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drawingml.chart+xml" PartName="/xl/charts/chart1.xml"/>
  <Override ContentType="application/vnd.openxmlformats-officedocument.drawingml.chart+xml" PartName="/xl/charts/chart6.xml"/>
  <Override ContentType="application/vnd.openxmlformats-officedocument.drawingml.chart+xml" PartName="/xl/charts/chart4.xml"/>
  <Override ContentType="application/vnd.openxmlformats-officedocument.drawingml.chart+xml" PartName="/xl/charts/chart5.xml"/>
  <Override ContentType="application/vnd.openxmlformats-officedocument.drawingml.chart+xml" PartName="/xl/charts/chart3.xml"/>
  <Override ContentType="application/vnd.openxmlformats-officedocument.drawingml.chart+xml" PartName="/xl/charts/chart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Overall" sheetId="1" r:id="rId3"/>
    <sheet state="visible" name="Strats" sheetId="2" r:id="rId4"/>
    <sheet state="visible" name="Data" sheetId="3" r:id="rId5"/>
    <sheet state="visible" name="LogHist" sheetId="4" r:id="rId6"/>
    <sheet state="visible" name="Port" sheetId="5" r:id="rId7"/>
    <sheet state="visible" name="Buys" sheetId="6" r:id="rId8"/>
    <sheet state="visible" name="Sells" sheetId="7" r:id="rId9"/>
    <sheet state="visible" name="Macro" sheetId="8" r:id="rId10"/>
    <sheet state="visible" name="Hist" sheetId="9" r:id="rId11"/>
    <sheet state="visible" name="Valu" sheetId="10" r:id="rId12"/>
    <sheet state="visible" name="ValueRch" sheetId="11" r:id="rId13"/>
    <sheet state="visible" name="Tools" sheetId="12" r:id="rId14"/>
    <sheet state="visible" name="Src+Proc" sheetId="13" r:id="rId15"/>
  </sheets>
  <definedNames>
    <definedName hidden="1" localSheetId="4" name="_xlnm._FilterDatabase">Port!$A$25:$R$126</definedName>
    <definedName hidden="1" localSheetId="6" name="_xlnm._FilterDatabase">Sells!$A$3:$V$106</definedName>
    <definedName hidden="1" localSheetId="7" name="_xlnm._FilterDatabase">Macro!$A$3:$U$28</definedName>
    <definedName hidden="1" localSheetId="8" name="_xlnm._FilterDatabase">Hist!$A$3:$U$242</definedName>
    <definedName hidden="1" localSheetId="5" name="_xlnm._FilterDatabase">Buys!$A$3:$U$402</definedName>
    <definedName hidden="1" localSheetId="3" name="_xlnm._FilterDatabase">LogHist!$A$1:$AH$12834</definedName>
    <definedName hidden="1" localSheetId="3" name="Z_EB187B22_7509_47A8_8540_FD7DC5E4551E_.wvu.FilterData">LogHist!$A$1:$O$10220</definedName>
    <definedName hidden="1" localSheetId="4" name="Z_F400C72F_99BA_4CC9_8C36_E921DA73C898_.wvu.FilterData">Port!$A$25:$J$126</definedName>
    <definedName hidden="1" localSheetId="3" name="Z_F400C72F_99BA_4CC9_8C36_E921DA73C898_.wvu.FilterData">LogHist!$A$1:$K$225</definedName>
    <definedName hidden="1" localSheetId="4" name="Z_F411629F_0215_4E4E_9CBF_4F89145406FC_.wvu.FilterData">Port!$A$25:$O$126</definedName>
    <definedName hidden="1" localSheetId="3" name="Z_3A5266F4_DB34_4B6F_9D4A_B164FA182F60_.wvu.FilterData">LogHist!$A$1:$Q$12834</definedName>
  </definedNames>
  <calcPr/>
  <customWorkbookViews>
    <customWorkbookView activeSheetId="0" maximized="1" tabRatio="600" windowHeight="0" windowWidth="0" guid="{F411629F-0215-4E4E-9CBF-4F89145406FC}" name="Filter 4"/>
    <customWorkbookView activeSheetId="0" maximized="1" tabRatio="600" windowHeight="0" windowWidth="0" guid="{EB187B22-7509-47A8-8540-FD7DC5E4551E}" name="Filter 2"/>
    <customWorkbookView activeSheetId="0" maximized="1" tabRatio="600" windowHeight="0" windowWidth="0" guid="{F400C72F-99BA-4CC9-8C36-E921DA73C898}" name="Filter 3"/>
    <customWorkbookView activeSheetId="0" maximized="1" tabRatio="600" windowHeight="0" windowWidth="0" guid="{3A5266F4-DB34-4B6F-9D4A-B164FA182F60}" name="Filter 1"/>
  </customWorkbookViews>
</workbook>
</file>

<file path=xl/comments1.xml><?xml version="1.0" encoding="utf-8"?>
<comments xmlns:r="http://schemas.openxmlformats.org/officeDocument/2006/relationships" xmlns="http://schemas.openxmlformats.org/spreadsheetml/2006/main">
  <authors>
    <author/>
  </authors>
  <commentList>
    <comment authorId="0" ref="H9">
      <text>
        <t xml:space="preserve">started 5/30</t>
      </text>
    </comment>
    <comment authorId="0" ref="D85">
      <text>
        <t xml:space="preserve">SW:
exaggerated bc of year-end rally that was accted for this in 2011 but act in 2010</t>
      </text>
    </comment>
    <comment authorId="0" ref="I85">
      <text>
        <t xml:space="preserve">SW:
not trading then</t>
      </text>
    </comment>
  </commentList>
</comments>
</file>

<file path=xl/sharedStrings.xml><?xml version="1.0" encoding="utf-8"?>
<sst xmlns="http://schemas.openxmlformats.org/spreadsheetml/2006/main" count="36221" uniqueCount="4029">
  <si>
    <t>Name</t>
  </si>
  <si>
    <t>Pareto Capital Management, LLC</t>
  </si>
  <si>
    <t>Performance/Commentary Updated Quarterly (Regular Calendar), Monthly Performance Only</t>
  </si>
  <si>
    <t>Date</t>
  </si>
  <si>
    <t>APV</t>
  </si>
  <si>
    <t>PCM-Main.xls</t>
  </si>
  <si>
    <t>% Change</t>
  </si>
  <si>
    <t>MTD Gross Chg</t>
  </si>
  <si>
    <t>APV-Fake</t>
  </si>
  <si>
    <t>MTD Chg</t>
  </si>
  <si>
    <t>Dow</t>
  </si>
  <si>
    <t>Comments/Significant Trades</t>
  </si>
  <si>
    <t>Comment2</t>
  </si>
  <si>
    <t>APV-NAV-Gross</t>
  </si>
  <si>
    <t>Strategy</t>
  </si>
  <si>
    <t>APV-NAV-Net</t>
  </si>
  <si>
    <t>Num Shares</t>
  </si>
  <si>
    <t>Futures: Tactical Volatility</t>
  </si>
  <si>
    <t>Check</t>
  </si>
  <si>
    <t>Deposits</t>
  </si>
  <si>
    <t>Withdrawal</t>
  </si>
  <si>
    <t>EQ: Fund Value (LT)</t>
  </si>
  <si>
    <t>EQ: Tactical Longs/Reduce (MT)</t>
  </si>
  <si>
    <t>EQ: Fund Shorting (S)</t>
  </si>
  <si>
    <t>EQ: Tactical Shorting (TS)</t>
  </si>
  <si>
    <t>EQ: Allocation Pct (AP)</t>
  </si>
  <si>
    <t>Risk Parity / All Weather</t>
  </si>
  <si>
    <t>Global Macro: Boom/Bust Cycles</t>
  </si>
  <si>
    <t>40k to transfer</t>
  </si>
  <si>
    <t>Equities: Growth</t>
  </si>
  <si>
    <t>Equities: Tactical Index Volatility</t>
  </si>
  <si>
    <t>Fixed Income?</t>
  </si>
  <si>
    <t>Currency/Commodities?</t>
  </si>
  <si>
    <t>*All: only turn on when all mkts open</t>
  </si>
  <si>
    <t>Undervalued (Quant/Qual)</t>
  </si>
  <si>
    <t>Momentum</t>
  </si>
  <si>
    <t>Fraud, Negative Fundamentals</t>
  </si>
  <si>
    <t>40k on the way</t>
  </si>
  <si>
    <t>Target allocation pct to equities</t>
  </si>
  <si>
    <t>Long Term Balanced</t>
  </si>
  <si>
    <t>Catalyst + Economy/Industry Driven</t>
  </si>
  <si>
    <t>Future potential</t>
  </si>
  <si>
    <t>Macro: Modified Portable Alpha</t>
  </si>
  <si>
    <t>*Holiday days/weeks off before &amp; after</t>
  </si>
  <si>
    <t>all-weather-story.pdf</t>
  </si>
  <si>
    <t>SPX TR:</t>
  </si>
  <si>
    <t>*Backtest.xls for details</t>
  </si>
  <si>
    <t>Dalio - Paradigm Shifts Asset Alloc.pdf</t>
  </si>
  <si>
    <t>*Bold = required</t>
  </si>
  <si>
    <t>Rules</t>
  </si>
  <si>
    <t>Breakout1forCL</t>
  </si>
  <si>
    <t>Medium Term Investing (1 buy/sell per day!, Value Category)</t>
  </si>
  <si>
    <t>Add on to Medium Term Investing</t>
  </si>
  <si>
    <t>Shorting</t>
  </si>
  <si>
    <t>Equity Index Score each one -1,0,1</t>
  </si>
  <si>
    <t>Rising Growth</t>
  </si>
  <si>
    <t>Stock market sectors</t>
  </si>
  <si>
    <t>Principles:</t>
  </si>
  <si>
    <t>Reload incr +-3pct tgt size only on slow (weekly) up trend/stable base + prior to breakout</t>
  </si>
  <si>
    <t>Price trend first required (scale in 0.5%incr to max 5% alloc, 10% max theme, vol/kelly/theme adj, 1/2 of long version)</t>
  </si>
  <si>
    <t>Reload incr +-1.5pct tgt size only on slow (weekly) up trend/stable base + prior to breakout</t>
  </si>
  <si>
    <t>Equities</t>
  </si>
  <si>
    <t>Leading sectors (XRT)</t>
  </si>
  <si>
    <t>1) Value: Buy good (long term moat=barrier to entry/high roic w fcf/pricing power)</t>
  </si>
  <si>
    <t>Use max risk &amp; pos limits to not add beyond</t>
  </si>
  <si>
    <t>Potential of going to 0 or 50%+ return</t>
  </si>
  <si>
    <t>Commodities</t>
  </si>
  <si>
    <t>vs Defensive sectors</t>
  </si>
  <si>
    <t>EMERGENCY</t>
  </si>
  <si>
    <t>Simple biz, with good mgt/products at good prices (p/e, peg) so that they can compound</t>
  </si>
  <si>
    <t>Scale out after big moves</t>
  </si>
  <si>
    <t>Types:</t>
  </si>
  <si>
    <t>Corporate Credit</t>
  </si>
  <si>
    <t>IB:</t>
  </si>
  <si>
    <t>2) Trend: As they move to fair value (technicals/catalyst/reason why mkt wrong)</t>
  </si>
  <si>
    <t>&gt;1:1 reward to risk given tgt/stops</t>
  </si>
  <si>
    <t>Fraud/litigation/accting probs, poor levered businesses w/ catalyst</t>
  </si>
  <si>
    <t>EM Credit</t>
  </si>
  <si>
    <t>Check specific co's</t>
  </si>
  <si>
    <t>1 (866) 694-2757</t>
  </si>
  <si>
    <t>relative strength, insider buying, stable price or counter to volatile price, 52 week highs</t>
  </si>
  <si>
    <t>MOSTLY EOD decisions</t>
  </si>
  <si>
    <t>Needs extreme insider selling!</t>
  </si>
  <si>
    <t>1 (877) 442-2757</t>
  </si>
  <si>
    <t>Quick exit if over limits</t>
  </si>
  <si>
    <t>Ego plays - e.g. naming of fields</t>
  </si>
  <si>
    <t>&gt;2 to 4 long</t>
  </si>
  <si>
    <t>Falling Growth</t>
  </si>
  <si>
    <t>Macro = politics &amp; economics</t>
  </si>
  <si>
    <t>1 (877) 4IB-BRKR</t>
  </si>
  <si>
    <t>Only for micro/non-volatile/noisy assets</t>
  </si>
  <si>
    <t>Only non hard to borrow or &lt;20% short interest/borrow/div</t>
  </si>
  <si>
    <t>-2 to 2 neutral</t>
  </si>
  <si>
    <t>Nominal Bonds</t>
  </si>
  <si>
    <t>Mirus:</t>
  </si>
  <si>
    <t>temporarily on confirmed technicals (buy back 1 or 2wice on holding of support)</t>
  </si>
  <si>
    <t xml:space="preserve">(i.e. not crowded) </t>
  </si>
  <si>
    <t>-4 to -2&lt; neg</t>
  </si>
  <si>
    <t>IL Bonds</t>
  </si>
  <si>
    <t>OVERTRADED, wait until end of day</t>
  </si>
  <si>
    <t>312-423-2234</t>
  </si>
  <si>
    <t>Edge: 0) focus on what matters 1) focus on why mkt is wrong/unique insight 2) combo of value+trend is proven 3) expand w/ qual</t>
  </si>
  <si>
    <t xml:space="preserve">Opposite of value: </t>
  </si>
  <si>
    <t>Shrt when stable floor/uptrend violated</t>
  </si>
  <si>
    <t>Dalio Approach</t>
  </si>
  <si>
    <t>1 (800) 496-1683</t>
  </si>
  <si>
    <t>Action times:</t>
  </si>
  <si>
    <t>1) debt-fuelled asset bubbles 2) accounting 3) tech obsolete 4) fads</t>
  </si>
  <si>
    <t>Or on weak rally to resistance (less)</t>
  </si>
  <si>
    <t>Rising Inflation</t>
  </si>
  <si>
    <t>1) Productivity growth</t>
  </si>
  <si>
    <t>TradeKing:</t>
  </si>
  <si>
    <t>Price trend first (scale in 1% incr, 10% max alloc, 20% max theme, vol/kelly/theme adjusted)</t>
  </si>
  <si>
    <t xml:space="preserve"> &gt;10:30am to noon, &gt;2:30pm to 4pm</t>
  </si>
  <si>
    <t>Worsening industry fundies (e.g. oversupply, substitution, commoditized products)</t>
  </si>
  <si>
    <t>Only shrt when all mkts weak/neutral</t>
  </si>
  <si>
    <t>2) Short term debt cycle</t>
  </si>
  <si>
    <t>877.495.5464</t>
  </si>
  <si>
    <t>Breakout1forES</t>
  </si>
  <si>
    <t>too aggressive on long side? Added many</t>
  </si>
  <si>
    <t>* Portfolio in (2) Recommendation list.xlsx * or other tabs here</t>
  </si>
  <si>
    <t>Insider selling better but okay if other reasons good</t>
  </si>
  <si>
    <t>Short timeframe for short! Diff from long</t>
  </si>
  <si>
    <t>Commodities (Gold)</t>
  </si>
  <si>
    <t>3) Long term debt cycle</t>
  </si>
  <si>
    <t>Bhigh = high in 9:30am-10am</t>
  </si>
  <si>
    <t>covered ASPS too early?!</t>
  </si>
  <si>
    <t>Criteria for buying: (or magic formula)</t>
  </si>
  <si>
    <t>Super addon: rare</t>
  </si>
  <si>
    <t>Executive departures</t>
  </si>
  <si>
    <t>Running</t>
  </si>
  <si>
    <t>Blow = low in 9:30am-10am</t>
  </si>
  <si>
    <t>Tgt ~ (next year eps)(15+0.5*min(growth,roe)), P/E &lt; 20ish &amp; P/S &lt; 3 &amp; PEG &lt; 1.5ish</t>
  </si>
  <si>
    <t>When weeklong stable trend &amp; signal</t>
  </si>
  <si>
    <t>Growth gone</t>
  </si>
  <si>
    <t>Okay, not running</t>
  </si>
  <si>
    <t>VIX calibration: 7.5pts for 25-30 vix</t>
  </si>
  <si>
    <t>Buy when &gt;20% from target or higher as portfolio size grows closer to max</t>
  </si>
  <si>
    <t>Max position 20%, 40% theme</t>
  </si>
  <si>
    <t>negative income</t>
  </si>
  <si>
    <t>Falling Inflation</t>
  </si>
  <si>
    <t>Do not work</t>
  </si>
  <si>
    <t>linearly, e.g. 3.25pts for 30-30.25 vix</t>
  </si>
  <si>
    <t>Roa &gt; 8%, ROIC &gt; 10% Roe &gt; 20%, FCF positive; for growth use gross margin * asset turnover, net 10%</t>
  </si>
  <si>
    <t>decreasing roa + catalyst</t>
  </si>
  <si>
    <t>Price &amp; Volume technicals (slow uptrend, tight base)</t>
  </si>
  <si>
    <t>Aggressive revenue recognition/accounting</t>
  </si>
  <si>
    <t>Max position 10%, 20% theme</t>
  </si>
  <si>
    <t>Risk Management</t>
  </si>
  <si>
    <t>Entry price: buy Bhigh + VIX calibration</t>
  </si>
  <si>
    <t>When near max portfolio (&gt;90% of max), need to swap/reduce to substantially higher/top picks only</t>
  </si>
  <si>
    <t xml:space="preserve">Down 4% from peak, reduce </t>
  </si>
  <si>
    <t>or sell Blow - VIX calibration</t>
  </si>
  <si>
    <t>(Do not fight trend!, More volm on up bars)</t>
  </si>
  <si>
    <t>Down 8% in a month, reduce</t>
  </si>
  <si>
    <t>(ie buy on start of uptrend, HL, HH, HL)</t>
  </si>
  <si>
    <t xml:space="preserve">Take few but higher conviction trades </t>
  </si>
  <si>
    <t>Tgt/stop: VIX calibration*2 or 5 pts</t>
  </si>
  <si>
    <t>Stops - use prev consolidation pt or 1/2 to prev true rel high, limit theme loss to 2% of portf</t>
  </si>
  <si>
    <t>price/earnings/other concrete catalyst</t>
  </si>
  <si>
    <t>(both directions)</t>
  </si>
  <si>
    <t>Moat (company &amp; industry)</t>
  </si>
  <si>
    <t>remained very long, with selective shorts</t>
  </si>
  <si>
    <t>Cost adv, economies of scale, customer captivity</t>
  </si>
  <si>
    <t>Short on slow (daily bars over weeks) sigs!</t>
  </si>
  <si>
    <t>Breakout1forNG</t>
  </si>
  <si>
    <t>Buy on slow signal (daily bars over weeks) /pullback usually (scale in 1-5% increments)</t>
  </si>
  <si>
    <t>BUT ONLY CLOSE TO STOP &lt; 20%</t>
  </si>
  <si>
    <t>*Turn off on supply report times (thurs 1030am)</t>
  </si>
  <si>
    <t>exited some long bias, going to spy/es for mkt exposure</t>
  </si>
  <si>
    <t>Rev's / Earnings last 5 years</t>
  </si>
  <si>
    <t>8-9am setup</t>
  </si>
  <si>
    <t>Only buy/sell in afternoon unless stopped out</t>
  </si>
  <si>
    <t>When in doubt, buy best performing chart</t>
  </si>
  <si>
    <t>maybe should hedge mkt exposure?</t>
  </si>
  <si>
    <t xml:space="preserve">Exit: </t>
  </si>
  <si>
    <t>Thesis proven wrong</t>
  </si>
  <si>
    <t>Criteria for selling: (wider for open/larger #s)</t>
  </si>
  <si>
    <t>temporarily monthly technicals weak</t>
  </si>
  <si>
    <t>Scale out on pop/weakness weekly, don't buy back to original % unless new buy price signal</t>
  </si>
  <si>
    <t>Volatile move towards price</t>
  </si>
  <si>
    <t>Tgt price reached/swap for better if not +%</t>
  </si>
  <si>
    <t>Buy back after sell-off</t>
  </si>
  <si>
    <t>Or temp on strength when monthly technicals weak</t>
  </si>
  <si>
    <t>Crossover1for6A</t>
  </si>
  <si>
    <t>LL, LH, LL (1 2 3 confirm)</t>
  </si>
  <si>
    <t>Price: 7/17/40 ema w/ 2min bars</t>
  </si>
  <si>
    <t>Last LL must be below RL b4 RH</t>
  </si>
  <si>
    <t>S/R, 50/200 day smas, wide bars</t>
  </si>
  <si>
    <t>Entry: outer ema + 4 pips for 8 mins</t>
  </si>
  <si>
    <t>Or permanently/temp if no new highs and tight range down</t>
  </si>
  <si>
    <t>(i.e. continually neg technicals)</t>
  </si>
  <si>
    <t>Tgt: 24 ticks/0.0024</t>
  </si>
  <si>
    <t>Or permanently if moat/thesis false</t>
  </si>
  <si>
    <t>Or large new high after big move w/ low vol, climax top</t>
  </si>
  <si>
    <t>Stops: 4 pips to 4 pips after move closer</t>
  </si>
  <si>
    <t>Misc:</t>
  </si>
  <si>
    <t>Timeframe: 6 months - 1 year</t>
  </si>
  <si>
    <t>Time valid: 3am</t>
  </si>
  <si>
    <t>10-20 long/short equities per portfolio! More return % required for higher net exposure</t>
  </si>
  <si>
    <t>start w/ 1.5% then scale up/down w profits</t>
  </si>
  <si>
    <t>Crossover1for6B</t>
  </si>
  <si>
    <t>try for only 1 new position per day!</t>
  </si>
  <si>
    <t>Entry:</t>
  </si>
  <si>
    <t>Fewer but better trades!</t>
  </si>
  <si>
    <t>Add when quiet, not at extremes!</t>
  </si>
  <si>
    <t>Alternate metrics</t>
  </si>
  <si>
    <t>* EBIT/(net working capital + net fixed assets), EBIT/EV</t>
  </si>
  <si>
    <t>* FCF to replace EBIT</t>
  </si>
  <si>
    <t>LGrowth and SGrowth</t>
  </si>
  <si>
    <t>remained extra long, 120% long, 15% short</t>
  </si>
  <si>
    <t>Allow for higher multiples and lower ROA as long as revenue growth is there, more so for SGrowth</t>
  </si>
  <si>
    <t>Crossover1for6E</t>
  </si>
  <si>
    <t>Portfolio Construction</t>
  </si>
  <si>
    <t>remained extra long, 125% long, 20% short</t>
  </si>
  <si>
    <t>Match net long for yearly view (swap new for old positions), trading/macro positions separate (see at Global Macro at right)</t>
  </si>
  <si>
    <t>Entry: outer ema + 7 pips for 8 mins</t>
  </si>
  <si>
    <t>Mcap &gt; Book value</t>
  </si>
  <si>
    <t>Distressed investing</t>
  </si>
  <si>
    <t>Tgt: 10 pips</t>
  </si>
  <si>
    <t>special situations</t>
  </si>
  <si>
    <t>Stops: -3 pips to -1 pip after move closer</t>
  </si>
  <si>
    <t>M&amp;A, spinoffs</t>
  </si>
  <si>
    <t>Crossover1forCL</t>
  </si>
  <si>
    <t>added macro long es position, heavily net long 140%</t>
  </si>
  <si>
    <t>*Turn off on supply report days/times (wed 1030am)</t>
  </si>
  <si>
    <t xml:space="preserve">Entry: if price fastest ema crosses </t>
  </si>
  <si>
    <t>danger! Weak intraday</t>
  </si>
  <si>
    <t>to outside of others from otherwise</t>
  </si>
  <si>
    <t>valid for only 8 mins after signal bar</t>
  </si>
  <si>
    <t>Entry price: outside ema +/- 0.10$</t>
  </si>
  <si>
    <t>should have covered day before</t>
  </si>
  <si>
    <t>Target: $0.50/40 and 50/40 ticks</t>
  </si>
  <si>
    <t>should have Started an aig position only yesterday</t>
  </si>
  <si>
    <t>Stop: outside ema -/+ $0.06 at entry;</t>
  </si>
  <si>
    <t xml:space="preserve">tighten to outside ema -/+ $0.06 pt (running) when </t>
  </si>
  <si>
    <t>last price moves 1/2 way to tgt</t>
  </si>
  <si>
    <t>Time valid: 9:45am-11:30/45am</t>
  </si>
  <si>
    <t>~70% net long</t>
  </si>
  <si>
    <t>(?or active day?), NOT ON FED DAY</t>
  </si>
  <si>
    <t>terrible job trading aig today</t>
  </si>
  <si>
    <t>Intuitive Scalping (below) valid for 9am-11:30am entries</t>
  </si>
  <si>
    <t>Profit extension (start when new relative low/high broken)</t>
  </si>
  <si>
    <t>Stop pull in/out based on relative high/lows</t>
  </si>
  <si>
    <t>terrible job trading ES today</t>
  </si>
  <si>
    <t>Cancel other side when new signal</t>
  </si>
  <si>
    <t>Crossover1forES</t>
  </si>
  <si>
    <t>tough day, nothing specific</t>
  </si>
  <si>
    <t>VIX: 7/17/40 ema w/ 2min bars</t>
  </si>
  <si>
    <t xml:space="preserve">VIX calibration: 3pts for 27.5-30, </t>
  </si>
  <si>
    <t>aapl eps miss</t>
  </si>
  <si>
    <t>2.5pts for 22.5-25, linearly</t>
  </si>
  <si>
    <t>If VIX &lt;= 17.5: no trade</t>
  </si>
  <si>
    <t>If 17.5 &lt; VIX &lt;= 30, no VIX confirm</t>
  </si>
  <si>
    <t>If 30 &lt; VIX confirm</t>
  </si>
  <si>
    <t>okay day, ready to buy?</t>
  </si>
  <si>
    <t>(+ vix confirm depending on vix);</t>
  </si>
  <si>
    <t>lagged ES</t>
  </si>
  <si>
    <t>Entry price: 3pts max</t>
  </si>
  <si>
    <t>Target: VIX calibration (+ VIX confirm)</t>
  </si>
  <si>
    <t>Stop: outside ema - 1pt at entry;</t>
  </si>
  <si>
    <t xml:space="preserve">tighten to outside ema + .25 pt (running) when </t>
  </si>
  <si>
    <t>last price moves closer to tgt than</t>
  </si>
  <si>
    <t>best price of last bar (does NOT include signal bar)</t>
  </si>
  <si>
    <t xml:space="preserve">Vix confirm: if fastest ema crosses </t>
  </si>
  <si>
    <t xml:space="preserve">to outside of others, + 1 pt to tgt; </t>
  </si>
  <si>
    <t>confirm is only valid if xover happens</t>
  </si>
  <si>
    <t>8 mins before or after price xover bar</t>
  </si>
  <si>
    <t xml:space="preserve">Time valid: 10am-12pm, 2pm-3:30pm </t>
  </si>
  <si>
    <t xml:space="preserve">15min leeway (9:30am-3:30pm if </t>
  </si>
  <si>
    <t xml:space="preserve">vix &gt; 30 or breakout to downside day) </t>
  </si>
  <si>
    <t>Crossover1forESforConfirm</t>
  </si>
  <si>
    <t>0.5 pt from outside ema for entry</t>
  </si>
  <si>
    <t>stop is -1 pt from outside ema</t>
  </si>
  <si>
    <t>tgt is 1/2 of primary tgt</t>
  </si>
  <si>
    <t>Intuitive Scalping for ES</t>
  </si>
  <si>
    <t>Buy on extreme weakness</t>
  </si>
  <si>
    <t>Sell on extreme strength</t>
  </si>
  <si>
    <t>Wait for double-confirmed trend!, do not fight trend!</t>
  </si>
  <si>
    <t xml:space="preserve">Support/Resistance confirmation &amp; breakouts, </t>
  </si>
  <si>
    <t>50/200 day smas</t>
  </si>
  <si>
    <t>possible weakness in s&amp;p? net long 115%</t>
  </si>
  <si>
    <t>Use multiple timeframes, longer = stronger</t>
  </si>
  <si>
    <t>1 day 1 min, 3 month 1 hour</t>
  </si>
  <si>
    <t>Do NOT hold extra positions overnight</t>
  </si>
  <si>
    <t>Have set profit/loss points! + 1 / - .5 or .75</t>
  </si>
  <si>
    <t>Be patient - entire days may have wrong setup</t>
  </si>
  <si>
    <t>Intuitive Scalping for CL</t>
  </si>
  <si>
    <t>MeanRevert1forES (1 min)</t>
  </si>
  <si>
    <t>Bollinger 1m, 2.5 stdev, 17 period</t>
  </si>
  <si>
    <t xml:space="preserve">Intuitive MultiStrat CL Trading </t>
  </si>
  <si>
    <t>Multiday Bars</t>
  </si>
  <si>
    <t>Buy when 2+ multiple signal</t>
  </si>
  <si>
    <t>Breakout of sloping intraday trendline</t>
  </si>
  <si>
    <t>CL Crossover 1 on correct side or will be w/ entry</t>
  </si>
  <si>
    <t>Gap closing at open w/ volume</t>
  </si>
  <si>
    <t>Multiday RH/RL S/R (4 min running stops)</t>
  </si>
  <si>
    <t xml:space="preserve">News (Reactions too) </t>
  </si>
  <si>
    <t>8:50am - 12pm stops wider at open/high volm than at other times (2 cents beyond RH/RL usually when noisy)</t>
  </si>
  <si>
    <t>No set tgt or ATR/8 = 0.50$</t>
  </si>
  <si>
    <t>Don't stop after big win!</t>
  </si>
  <si>
    <t>Never panic enter!</t>
  </si>
  <si>
    <t>More</t>
  </si>
  <si>
    <t>Time-variable based exit for all
ATR-breakout
Volume Adjusting/Adaptive MA systems
BBands
Tick charts for trend following!
TD Indicators
Dad-website!</t>
  </si>
  <si>
    <t>terrible trading aapl, DO NOT DAY TRADE</t>
  </si>
  <si>
    <t>terrible trading GC, DO NOT DAY TRADE</t>
  </si>
  <si>
    <t>Action</t>
  </si>
  <si>
    <t>Contract</t>
  </si>
  <si>
    <t>QtyChg</t>
  </si>
  <si>
    <t>Price</t>
  </si>
  <si>
    <t>Time</t>
  </si>
  <si>
    <t>should have bought gc back earlier</t>
  </si>
  <si>
    <t>Commission</t>
  </si>
  <si>
    <t>Cash Chg (PnL)</t>
  </si>
  <si>
    <t>Comments</t>
  </si>
  <si>
    <t>PctReturn</t>
  </si>
  <si>
    <t>Details</t>
  </si>
  <si>
    <t>StartDate</t>
  </si>
  <si>
    <t>Company Name (in alphabetical order)</t>
  </si>
  <si>
    <t>Ticker</t>
  </si>
  <si>
    <t>Stop</t>
  </si>
  <si>
    <t>% to Stop</t>
  </si>
  <si>
    <t>Current Price</t>
  </si>
  <si>
    <t>% to Target</t>
  </si>
  <si>
    <t>At Price</t>
  </si>
  <si>
    <t>Target</t>
  </si>
  <si>
    <t>EPS1</t>
  </si>
  <si>
    <t>EPS2</t>
  </si>
  <si>
    <t>FYend</t>
  </si>
  <si>
    <t>DaysToFYEnd</t>
  </si>
  <si>
    <t>FYEPSNxt</t>
  </si>
  <si>
    <t>Growth*0.5to0.75</t>
  </si>
  <si>
    <t>ROIC (Bw ROA ROE)</t>
  </si>
  <si>
    <t>Implied P/E</t>
  </si>
  <si>
    <t>Years to Normalization</t>
  </si>
  <si>
    <t>LastUpdated</t>
  </si>
  <si>
    <t>Category</t>
  </si>
  <si>
    <t>start</t>
  </si>
  <si>
    <t>MAKE SLOWER EOD TRADING DECISIONS</t>
  </si>
  <si>
    <t>watch</t>
  </si>
  <si>
    <t>Buy 5% aapl, aig, asps, wfc, neu, nov? ntes? short 2.5%% hlf, short 2.5% qihu, buy jef on dip? Short 2.5% kgc, Short 2.5% znga Research Gold/Silver cos</t>
  </si>
  <si>
    <t>Buy 5% aapl, aig, asps, wfc, neu, short 2.5%% hlf, short 2.5% qihu, buy jef on dip? Short 2.5% kgc, Short 2.5% znga Research MLM</t>
  </si>
  <si>
    <t>Buy 10% aig, 5% aapl, asps, wfc, neu, jef, short 2.5%% hlf, Short 2.5% kgc, Short 5% GLD, short 2.5% mlm, (Short 2.5% znga if borrow cheaper, short 2.5% qihu)</t>
  </si>
  <si>
    <t>BOT</t>
  </si>
  <si>
    <t>AIG</t>
  </si>
  <si>
    <t>ASPS-&gt; great day</t>
  </si>
  <si>
    <t>AAPL</t>
  </si>
  <si>
    <t>SLD</t>
  </si>
  <si>
    <t>KGC</t>
  </si>
  <si>
    <t>HLF</t>
  </si>
  <si>
    <t>MLM</t>
  </si>
  <si>
    <t>GLD</t>
  </si>
  <si>
    <t>WFC</t>
  </si>
  <si>
    <t>too flat? Need to add longs/reduce shorts</t>
  </si>
  <si>
    <t>ASPS</t>
  </si>
  <si>
    <t>WLT</t>
  </si>
  <si>
    <t>NEU</t>
  </si>
  <si>
    <t>poor AIG trading</t>
  </si>
  <si>
    <t>Buy 5% XYL, Buy 5% NTES, Buy 5% WXS, Buy HHC, Buy 5% GNC, Add to AIG on up day, Add to aapl? Asps? Buy 5% jef, NOV, EXPE on dip (Buy 5% ESRX, ), (Short 2.5% znga if borrow cheaper, short 2.5% qihu), portfolio stop at 130,000</t>
  </si>
  <si>
    <t>Add 2.5% to MLM short, Buy 5% XYL, Buy 5% NTES, Buy 5% WXS, Buy 5% HHC, Buy 5% GNC, Add 2.5% to HLF short, Add to AIG on up day, Add to aapl? Asps? Buy 5% jef, NOV, EXPE on dip (Buy 5% ESRX, ), (Short 2.5% znga if borrow cheaper, short 2.5% qihu), short 2.5% CLF, portfolio stop at 130,000</t>
  </si>
  <si>
    <t>XYL</t>
  </si>
  <si>
    <t>FB earnings</t>
  </si>
  <si>
    <t>NTES</t>
  </si>
  <si>
    <t>wait for eod for non-emergency exits!</t>
  </si>
  <si>
    <t>HHC</t>
  </si>
  <si>
    <t>usa markets closed</t>
  </si>
  <si>
    <t>WXS</t>
  </si>
  <si>
    <t>S&amp;P TR:</t>
  </si>
  <si>
    <t>GNC</t>
  </si>
  <si>
    <t>CLF</t>
  </si>
  <si>
    <t>Add 5% to ASPS, Add 5% to NTES, Short more KGC, HLF, Short 2.5% GMCR, Buy 5% NOV, Buy 5% jef, EXPE on dip (Buy 5% ESRX, ), (Short 2.5% znga if borrow cheaper, short 2.5% qihu), short 2.5% CLF, portfolio stop at 130,000</t>
  </si>
  <si>
    <t>GMCR</t>
  </si>
  <si>
    <t>Add 5% to ASPS, Short more KGC, HLF, Short 2.5% ZNGA/GRPN/QIHU? Buy 5% NOV, Buy 5% jef, EXPE on dip (Buy 5% ESRX ), (Short 2.5% znga if borrow cheaper, short 2.5% qihu) portfolio stop at 130,000</t>
  </si>
  <si>
    <t>Cover GLD/KGC if up day/reduce KGC otherwise, Short 2.5% FB/ZNGA/QIHU, Add 5% to ASPS, Buy 5% NOV, Buy 5% jef, EXPE on dip (Buy 5% ESRX ), portfolio stop at 130,000</t>
  </si>
  <si>
    <t>Cover GLD/KGC if up day/reduce KGC otherwise, Short 2.5% FB/ZNGA on upspike/QIHU, Sell 2% CRM, Add 5% to ASPS, Buy 5% NOV, Buy 5% jef, EXPE on dip (Buy 5% ESRX ), portfolio stop at 130,000</t>
  </si>
  <si>
    <t>End of day Z earnings brought portfolio back</t>
  </si>
  <si>
    <t xml:space="preserve">Cover GLD/KGC if up day/reduce KGC otherwise, Sell stop HHC/WXS, Short 2.5% FB/ZNGA on upspike/QIHU, Sell 2% CRM, Add 5% to ASPS, Buy 5% NOV, Buy 5% jef, EXPE on dip (Buy 5% ESRX ), portfolio stop at 130,000, </t>
  </si>
  <si>
    <t>okay day</t>
  </si>
  <si>
    <t>moved to only 20% net long</t>
  </si>
  <si>
    <t>Sharply reduced risk this week, now only +25% net long, sold out of all of aapl early in week, back a little in aig.</t>
  </si>
  <si>
    <t>Tough day bc of ASPS, FB</t>
  </si>
  <si>
    <t>FB</t>
  </si>
  <si>
    <t>emergency stop hit, reduced most positions</t>
  </si>
  <si>
    <t>Tough week, driven by equity market falls in spite of net exposure being low. Tech shorts popped + longs fell</t>
  </si>
  <si>
    <t xml:space="preserve">Buy back HHC, Add 5% to ASPS, Add to MLM/GMCR/WLT (if no spike) short? Add to HLF short &lt; 43, Short 2.5% ZNGA on upspike/QIHU, Sell 2% CRM,  Buy 5% MA/JEF? Buy 5% NOV, EXPE on dip (Buy 5% ESRX ), portfolio stop at 130,000, </t>
  </si>
  <si>
    <t>ZNGA</t>
  </si>
  <si>
    <t>QIHU</t>
  </si>
  <si>
    <t>NOV</t>
  </si>
  <si>
    <t>MA</t>
  </si>
  <si>
    <t xml:space="preserve">Cover WLT/CLF on up day? Add to AAPL on breakout? Add to AIG &gt; 30, Add to NTES/ASPS long? Add to HLF short &lt; 43, Short KGC on pop/weakness? EXPE on dip (Buy 5% ESRX ), portfolio stop at 130,000, </t>
  </si>
  <si>
    <t>JEF</t>
  </si>
  <si>
    <t>Add 5% NTES/AAPL, Add 5% SAM, Cover all but 2.5% of MLM/all of ZNGA/GMCR on up day tmrow, Cover WLT/CLF on up day? Add to AIG &gt; 30, Add to ASPS long? Add to HLF short &lt; 44, Short KGC on pop? EXPE on dip (Buy 5% ESRX ), portfolio stop at 130,000, research UBNT?</t>
  </si>
  <si>
    <t>Ended day ultra long</t>
  </si>
  <si>
    <t>hlss/asps hurt! Reduced hlss</t>
  </si>
  <si>
    <t>ES</t>
  </si>
  <si>
    <t>trading position</t>
  </si>
  <si>
    <t>Short KGC on break? Add to ASPS long? EXPE on dip (Buy 5% ESRX ), portfolio stop at 130,000, research UBNT?</t>
  </si>
  <si>
    <t>Short KGC on break? Add to ASPS long? Short GRPN? EXPE on dip (Buy 5% ESRX ), portfolio stop at 130,000, research EXPE/TRIP?</t>
  </si>
  <si>
    <t>Short GRPN, Short SLV, Add 5% to AAPL, Add to ASPS long? Short GRPN? EXPE on dip (Buy 5% ESRX ), portfolio stop at 130,000, research EXPE/TRIP?</t>
  </si>
  <si>
    <t>GRPN</t>
  </si>
  <si>
    <t>added to net longs, net exp @ 100%</t>
  </si>
  <si>
    <t xml:space="preserve">Buy back 5%+ AIG, Short 2.5% more WLT &lt; 45, Short 2.5% SHLD, Short SLV, Add 5% to AAPL, Add to ASPS long? EXPE on dip (Buy 5% ESRX ), short UBNT/CRM? portfolio stop at 130,000, research EXPE/TRIP? </t>
  </si>
  <si>
    <t>cover shorts too early, WAIT until &gt; 10:30am</t>
  </si>
  <si>
    <t xml:space="preserve">HLF eod 46 stop, Add 5% to AAPL eod, Add 2x 5% ASPS, Buy NOV/ESRX eod, Reduce NTES? Short SLV,  Add to ASPS long? EXPE on dip (Buy 5% ESRX ), short UBNT/CRM? portfolio stop at 130,000, research EXPE/TRIP? </t>
  </si>
  <si>
    <t>AAPL shorts</t>
  </si>
  <si>
    <t xml:space="preserve">AIG 20% stop &lt; 30 eod, ASPS 20% stop eod down, HLF eod 46 stop, Add 5% to AAPL eod on up day, Short 2.5% KGC, Short more FB? Short SLV,  Short CRM/ANR? Short FSLR? portfolio stop at 130,000, </t>
  </si>
  <si>
    <t>130% net long</t>
  </si>
  <si>
    <t>mistake trade!</t>
  </si>
  <si>
    <t>wait until end of day!</t>
  </si>
  <si>
    <t>CRM</t>
  </si>
  <si>
    <t>closed too early?</t>
  </si>
  <si>
    <t>120% net long, reduced ASPS</t>
  </si>
  <si>
    <t>AIG 20% stop &lt; 30 eod, HLF eod 46 stop, Add 5% to AAPL eod on up day, Cover FB &gt; 28.1 eod, Buy MA/NOV/ESRX eod/dip, Short SLV,  Short ANR/FSLR on pop, portfolio stop at 130,000, research LSTR for eod buy (10k)</t>
  </si>
  <si>
    <t>ESRX</t>
  </si>
  <si>
    <t xml:space="preserve">AIG 20% stop &lt; 30 eod, HLF eod 46 stop, Cover FB &gt; 30 open, Add back 20% ASPS? Short SLV,  Short ANR/FSLR on pop, portfolio stop at 130,000, </t>
  </si>
  <si>
    <t xml:space="preserve">Buy 10% ASPS order @ 63.80 &amp; 64.5, Buy 5% PCLN/JEF/ROST/TJX/Buy RMD on dips/CMI on pop, AIG 20% stop &lt; 30 eod, HLF eod 46 stop, Cover FB &gt; 30 open, Short SLV,  Short ANR/FSLR on pop, portfolio stop at 130,000, </t>
  </si>
  <si>
    <t xml:space="preserve">Buy 10% ASPS order @ 63.80 &amp; 64.5, Buy 5% PCLN/JEF/TJX/SIAL/Buy RMD on dips/CMI on pop, AIG 20% stop &lt; 30 eod, HLF eod 46 stop, Cover FB &gt; 30 open, Short SLV,  Short ANR/FSLR on pop, portfolio stop at 130,000, </t>
  </si>
  <si>
    <t>PCLN</t>
  </si>
  <si>
    <t>TJX</t>
  </si>
  <si>
    <t xml:space="preserve">Cover MLM/largest socialmedia pop on up day, Buy 5% JEF/SIAL/Buy RMD on dips/CMI on pop, AIG 20% stop &lt; 30 eod, ASPS 20% stop &lt; 64.5, Short SLV,  Short ANR/FSLR on pop, portfolio stop at 130,000, </t>
  </si>
  <si>
    <t>DO NOT DAY TRADE AAPL</t>
  </si>
  <si>
    <t xml:space="preserve">Buy 5% JEF/SIAL/Buy RMD on dips/CMI on pop, AIG 20% stop &lt; 30 eod, ASPS 20% stop &lt; 64.5, Short SLV,  Short ANR/FSLR on pop, portfolio stop at 130,000, </t>
  </si>
  <si>
    <t>135% net long</t>
  </si>
  <si>
    <t>RMD</t>
  </si>
  <si>
    <t xml:space="preserve">Buy 5% JEF on dip/SIAL/CMI on pop, AIG 20% stop &lt; 30 eod, ASPS 20% stop &lt; 70, Short QIHU/GRPN/ZNGA/SLV/2%CRM,  Short ANR/FSLR on pop, portfolio stop at 130,000, </t>
  </si>
  <si>
    <t>reduced significantly to 80% net long overdid it</t>
  </si>
  <si>
    <t>SLV</t>
  </si>
  <si>
    <t>relevered to 100% net long, cleaned portfolio</t>
  </si>
  <si>
    <t>Short 2.5% 3333.hk, Buy 5% JEF on dip/SIAL/CMI on pop, AIG 20% stop &lt; 31 eod, ASPS 20% stop &lt; 70 eod, Buy LSTR?, portfolio stop at 130,000, Add short 5% SLV, research 3333/HBAN/BKW?</t>
  </si>
  <si>
    <t>note (equity indices)</t>
  </si>
  <si>
    <t>positive, buy @ 1325?</t>
  </si>
  <si>
    <t>note (bonds/rates)</t>
  </si>
  <si>
    <t>positive</t>
  </si>
  <si>
    <t>note (fx)</t>
  </si>
  <si>
    <t>(noisy)</t>
  </si>
  <si>
    <t>note (other macro)</t>
  </si>
  <si>
    <t>tough day, reduced to 80% net long</t>
  </si>
  <si>
    <t>tough day, reduced to 60% net long, need to get more long near end of month?</t>
  </si>
  <si>
    <t>back to 80%, neutral position</t>
  </si>
  <si>
    <t>Add 15%+ AAPL on pop, 5% BWLD, Short 2.5% 3333.hk, Buy 5% JEF on dip/SIAL/CMI on pop, Buy GTAT? Buy LSTR?, portfolio stop at 130,000, research BKW?</t>
  </si>
  <si>
    <t>Removed shorts, 92% net long</t>
  </si>
  <si>
    <t>ANR</t>
  </si>
  <si>
    <t>BWLD</t>
  </si>
  <si>
    <t xml:space="preserve">Add 15% ASPS @ 68, Add 15%+ AAPL on pop, Short 2.5%+ 3333.hk, Sell XYL &lt; 22.5 eod or on pop, Prepare GRPN add 5%-15% add, Buy 5% JEF on dip/SIAL/CMI on pop, Buy GTAT? Buy LSTR?, Short WPRT at open? Watch CRM/HLF price, portfolio stop at 130,000, </t>
  </si>
  <si>
    <t>poor exit</t>
  </si>
  <si>
    <t xml:space="preserve">Add 15% ASPS at next open, Add 15%+ AAPL on pop/up day, Short 2.5%+ 3333.hk, Prepare GRPN add 5%-15% add, Buy 5% JEF on dip/SIAL/CMI on pop, Short WPRT at open? Buy 1 ES on dip &lt; 1310 Watch CRM/HLF price, portfolio stop at 130,000, </t>
  </si>
  <si>
    <t>positive, buy @ 1310?</t>
  </si>
  <si>
    <t>at 100% net long</t>
  </si>
  <si>
    <t>now @ 82% net long</t>
  </si>
  <si>
    <t>now @ 90% net long</t>
  </si>
  <si>
    <t>now @ 100% net long</t>
  </si>
  <si>
    <t xml:space="preserve">now @ 117% net long </t>
  </si>
  <si>
    <t xml:space="preserve">Add 15%+ AAPL on pop/up day, Short 2.5%+ 3333.hk, Buy GTAT/UPL on dip? Buy 5% JEF on dip/SIAL/CMI on pop, Buy 1 ES on dip &lt; 1310 Watch CRM/HLF price, portfolio stop at 130,000, </t>
  </si>
  <si>
    <t>USD</t>
  </si>
  <si>
    <t>FSLR</t>
  </si>
  <si>
    <t>Missed ES signal yesterday &lt;1310, Buy GTAT/UPL on dip? Buy 5% JEF on dip/SIAL/CMI on pop, Watch CRM/HLF price, portfolio stop at 130,000, research MNST</t>
  </si>
  <si>
    <t>review past week!</t>
  </si>
  <si>
    <t>Buy 5% DLTR, ESRX on dip, Buy GTAT/UPL on dip? Buy 5% SIAL/CMI on pop, Watch CRM/HLF price, portfolio stop at 130,000</t>
  </si>
  <si>
    <t>DLTR</t>
  </si>
  <si>
    <t>Sell ASPS &gt; 76.5, Short more QIHU to 5%, Cover 15% AIG trading position ~31.15 stop, Look to add 5% GRPN short?Buy ESRX on dip, Buy GTAT/UPL on dip? Buy 5% SIAL/CMI on pop, Watch CRM/HLF price, portfolio stop at 130,000</t>
  </si>
  <si>
    <t>Sell ASPS &gt; 76.5, Short more QIHU to 5%, Cover 15% AIG trading position ~31.15 stop, Look to add 5% GRPN short? Watch ANR/FSLR short, Buy ESRX on dip, Buy GTAT/UPL on dip? Buy 5% SIAL/CMI on pop, Watch CRM/HLF price, Research UBNT short, portfolio stop at 130,000</t>
  </si>
  <si>
    <t>reduced some shorts</t>
  </si>
  <si>
    <t>bad trade</t>
  </si>
  <si>
    <t>perm addon bc of smoking gun catalyst (Anonymous Analytics)</t>
  </si>
  <si>
    <t>Add 15% to ASPS &lt; 72, AIG &lt; 30.50, Add to AAPL on dip? Buy 5% NOV on dips, Add to PCLN on further dip? Sell ASPS &gt; 76.5 or not up day tom, Add 5% to SLV short? Add 4% FSLR short? Buy GTAT/UPL/CMI on dip? portfolio stop at 130,000</t>
  </si>
  <si>
    <t>Add 15% to ASPS &lt; 72, AIG &lt; 30.50, Add to AAPL on dip? Buy 5% NOV on dips, Add to PCLN on further dip? Add 4% FSLR short? Buy GTAT/UPL/CMI on dip? Research 0639! portfolio stop at 130,000</t>
  </si>
  <si>
    <t>Short 2.5% 0639, Add 15% to ASPS &lt; 72, AIG &lt; 30.50, Add to AAPL on dip? Buy 5% NOV on dips, Add to PCLN on further dip? Buy GTAT/UPL/CMI on dip? portfolio stop at 130,000</t>
  </si>
  <si>
    <t>Short 2.5% 0639, Cover GRPN on up day tomorrow &gt; 9, Add to AAPL on dip? Buy 5% NOV on dips, Add to PCLN on further dip? Research QCOR/DANG/RENN/YOKU, Buy GTAT/UPL/CMI on dip? portfolio stop at 130,000</t>
  </si>
  <si>
    <t>actually reduced shorts, net long ~200%</t>
  </si>
  <si>
    <t>Readded longs and shorts, net long ~102%</t>
  </si>
  <si>
    <t>hurt by shorts + new longs</t>
  </si>
  <si>
    <t>reduced, net long 70%</t>
  </si>
  <si>
    <t>Short 2.5% 0639, Buy ES &lt; 1337? Add to AAPL on dip? Buy 5% NOV on dips, Add to PCLN on further dip? Research QCOR/DANG/RENN/YOKU, Buy GTAT/UPL/CMI on dip? portfolio stop at 130,000</t>
  </si>
  <si>
    <t>net long 85%, potentially sold @ bottom so covered shorts</t>
  </si>
  <si>
    <t>Short 2.5% 0639, Sell ASPS &lt; 73/ES &lt;1330 at open, Add to AAPL on dip? Research QCOR/DANG/RENN/YOKU, Buy GTAT/UPL/CMI on dip? portfolio stop at 130,000</t>
  </si>
  <si>
    <t>net long 85%</t>
  </si>
  <si>
    <t>Short 2.5% 0639, Sell DLTR &amp; trading positions ASPS/AIG/AAPL if down day tom 7/12, Research QCOR/DANG/RENN/YOKU, Buy GTAT/UPL/CMI on dip? portfolio stop at 130,000</t>
  </si>
  <si>
    <t>covered all shorts, weak longs. Hurt by shorts</t>
  </si>
  <si>
    <t>shorts would have helped</t>
  </si>
  <si>
    <t>good, beating spx though gdx tenuous</t>
  </si>
  <si>
    <t>matching on upside</t>
  </si>
  <si>
    <t>shorts saved (ex gdx)</t>
  </si>
  <si>
    <t>okay day, watch vale</t>
  </si>
  <si>
    <t>slightly added longs</t>
  </si>
  <si>
    <t>okay day, watch clf</t>
  </si>
  <si>
    <t>great day to outperform</t>
  </si>
  <si>
    <t>underperformed greatly bc voya/hlss</t>
  </si>
  <si>
    <t>Short 2.5% 0639, Sell PCLN tom, Research RENN/YOKU, Buy GTAT/UPL/CMI on dip? portfolio stop at 130,000</t>
  </si>
  <si>
    <t>hurt by shorts, exited shorts</t>
  </si>
  <si>
    <t>lagged s&amp;p, maybe should have reduced longs?</t>
  </si>
  <si>
    <t>Short 2.5% 0639, add back 15% AIG on dip &lt; 31, buy 5% GNC on dip, buy 5% JEF on pop, add Buy GTAT/UPLon dip? portfolio stop at 135,000</t>
  </si>
  <si>
    <t>lagged s&amp;p, but voya/hlss mixed</t>
  </si>
  <si>
    <t>positive on bonds</t>
  </si>
  <si>
    <t>reshorted</t>
  </si>
  <si>
    <t>exited shorts, waiting for longer term sig</t>
  </si>
  <si>
    <t>can't find longs to sell</t>
  </si>
  <si>
    <t>slightly reduced long exp ahead of fed, still net 128%</t>
  </si>
  <si>
    <t>tried, can't find longs to reduce</t>
  </si>
  <si>
    <t>sold some longs</t>
  </si>
  <si>
    <t>sold more longs, 105% net long</t>
  </si>
  <si>
    <t>Cover 900 shrs ZNGA &lt; 4.77, Short 2.5% 0639, add back 25shrs/10% aapl on dip &lt; 600 or &gt; 615 close, buy 5% JEF on pop, add Buy GTAT/UPLon dip? research SPLK (short)? portfolio stop at 135,000</t>
  </si>
  <si>
    <t>positive, buy ES &lt; 1335</t>
  </si>
  <si>
    <t>positive on 10yr trsy</t>
  </si>
  <si>
    <t>Cover 900 shrs ZNGA &lt; 4.77, Short 2.5% 0639, add back 25shrs/10% aapl on dip &lt; 600 or &gt; 615 close, short 2% EDU, buy 5% JEF on pop, add Buy GTAT/UPLon dip? research SPLK/EDU (short)? portfolio stop at 135,000</t>
  </si>
  <si>
    <t>105% net long, good day</t>
  </si>
  <si>
    <t>101% net long, good day</t>
  </si>
  <si>
    <t>115% net long, good day</t>
  </si>
  <si>
    <t>reached max long 150%, should consider reducing</t>
  </si>
  <si>
    <t>133% long, exited refiners</t>
  </si>
  <si>
    <t>170% long, too long, reentered all++</t>
  </si>
  <si>
    <t>remained 170% long</t>
  </si>
  <si>
    <t>EDU</t>
  </si>
  <si>
    <t>Cover 900+700 shrs ZNGA &lt; 3.98, Short 2.5% 0639, add back 25shrs/10% aapl on dip &lt; 600 or &gt; 615 close, buy 5% JEF on pop, add Buy GTAT/UPLon dip? research SPLK/EDU(MW report) (short)? portfolio stop at 135,000</t>
  </si>
  <si>
    <t>positive, buy ES &lt; 1350</t>
  </si>
  <si>
    <t>still 170% long, possibly reduce on spy weakness?</t>
  </si>
  <si>
    <t>190% long</t>
  </si>
  <si>
    <t>170% long</t>
  </si>
  <si>
    <t>Cover 900+700 shrs ZNGA &lt; 3.98, Short 2.5% 0639, add Buy GTAT/UPLon dip? research SPLK (short)? portfolio stop at 135,000</t>
  </si>
  <si>
    <t>180% long again</t>
  </si>
  <si>
    <t>190% long again</t>
  </si>
  <si>
    <t>195%, need to reduce</t>
  </si>
  <si>
    <t>TERRIBLE SHORTS</t>
  </si>
  <si>
    <t>exited shorts</t>
  </si>
  <si>
    <t>Short 2.5% 0639, add Buy GTAT/UPLon dip? research SPLK (short)? portfolio stop at 140,000</t>
  </si>
  <si>
    <t>positive, but only ES long &lt; 1352, stop 1338 , tgt 1390</t>
  </si>
  <si>
    <t>short wti oil &gt; 100</t>
  </si>
  <si>
    <t>note</t>
  </si>
  <si>
    <t>terrible ES trading</t>
  </si>
  <si>
    <t>Sell AIG only eod &lt; 30, Short 2.5% 0639, add Buy GTAT/UPLon dip? research SPLK (short)? portfolio stop at 140,000</t>
  </si>
  <si>
    <t>positive, but only ES long &lt; 1337, stop 1300 , tgt 1390 execute during RTH only</t>
  </si>
  <si>
    <t>Total AUM</t>
  </si>
  <si>
    <t>Short 600 shrsRBS/400shrs GDXJ, Sell AIG only eod &lt; 30, Sell BWLD/RMD/MA on weakness, Short 2.5% 0639, add Buy GTAT/UPLon dip? research SPLK (short)? portfolio stop at 140,000</t>
  </si>
  <si>
    <t>Firm philosophy</t>
  </si>
  <si>
    <t>Stanley Wang, Managing Partner</t>
  </si>
  <si>
    <t>Personal AUM</t>
  </si>
  <si>
    <t>remain very long, waiting for pop for shorts</t>
  </si>
  <si>
    <t>GDXJ</t>
  </si>
  <si>
    <t>80%+ of gains come from 20% or less of efforts, so focus on that 20%</t>
  </si>
  <si>
    <t>readded shorts on drop</t>
  </si>
  <si>
    <t>SPX tr</t>
  </si>
  <si>
    <t>Sumzero</t>
  </si>
  <si>
    <t>Actual</t>
  </si>
  <si>
    <t>Year</t>
  </si>
  <si>
    <t>perf</t>
  </si>
  <si>
    <t>200% long, 25% short, 175% net</t>
  </si>
  <si>
    <t>RBS</t>
  </si>
  <si>
    <t>Fund philosophy (see Portfolio + Strat General)</t>
  </si>
  <si>
    <t>hurd</t>
  </si>
  <si>
    <t>*All returns are gross of mgt/performance fees</t>
  </si>
  <si>
    <t>Combination of equity value investing and trend-following/psychology, for the long-term</t>
  </si>
  <si>
    <t>mgt</t>
  </si>
  <si>
    <t>Annapurna Pareto Value LP, Gross</t>
  </si>
  <si>
    <t>Returns +10% &amp; volatility &lt; 10%</t>
  </si>
  <si>
    <t>Account</t>
  </si>
  <si>
    <t>mass reduce, now 150% long, 28% short, 125% net</t>
  </si>
  <si>
    <t>cont reduce, now 140% long, 22% short, 118% net</t>
  </si>
  <si>
    <t>Jan</t>
  </si>
  <si>
    <t>Feb</t>
  </si>
  <si>
    <t>Mar</t>
  </si>
  <si>
    <t>Apr</t>
  </si>
  <si>
    <t>May</t>
  </si>
  <si>
    <t>Jun</t>
  </si>
  <si>
    <t>readd, now 162% long, 22% short, 140% net</t>
  </si>
  <si>
    <t>Jul</t>
  </si>
  <si>
    <t>Aug</t>
  </si>
  <si>
    <t>Sep</t>
  </si>
  <si>
    <t>Oct</t>
  </si>
  <si>
    <t>Nov</t>
  </si>
  <si>
    <t>Dec</t>
  </si>
  <si>
    <t>YTD</t>
  </si>
  <si>
    <t>readd, now 177% long, 22% short, 155% net</t>
  </si>
  <si>
    <t>Ending AUM</t>
  </si>
  <si>
    <t>Deposits/Withdrawals</t>
  </si>
  <si>
    <t>Comments - Combined/Trading Acct</t>
  </si>
  <si>
    <t>Year AUM</t>
  </si>
  <si>
    <t>Returns</t>
  </si>
  <si>
    <t>LT-IB</t>
  </si>
  <si>
    <t>minor add, now 180% long, 22% short, 158% net</t>
  </si>
  <si>
    <t>readd/reduce hlss, now 192% long, 22% short, 170% net</t>
  </si>
  <si>
    <t>Short 2.5% 0639, add Buy GTAT/UPLon dip? research TRIP/SPLK (short)? portfolio stop at 140,000</t>
  </si>
  <si>
    <t>tough day</t>
  </si>
  <si>
    <t>positive, but only ES long &lt; 1300, stop 1285 , tgt 1390 execute during RTH only</t>
  </si>
  <si>
    <t>cleaned out, tough day, emergency brake</t>
  </si>
  <si>
    <t>neutral positioning 70% net long</t>
  </si>
  <si>
    <t>positive, but only ES long &lt; 1330, stop 1310 , tgt 1390 execute during RTH only, when ES up day</t>
  </si>
  <si>
    <t>Sell HHC on weakness? Short 2.5% 0639, add Buy GTAT/UPLon dip? research TRIP/SPLK (short)? portfolio stop at 140,000</t>
  </si>
  <si>
    <t>positive, but only ES long &lt; 1337, stop 1310 , tgt 1390 execute during RTH only, when ES up day</t>
  </si>
  <si>
    <t>Sell RMD, Buy 15% AIG &lt; 30, Buy BWLD back? Short 2.5% 0639, add Buy GTAT/UPLon dip? research TRIP/SPLK (short)? portfolio stop at 140,000</t>
  </si>
  <si>
    <t>added longs, 81% net long</t>
  </si>
  <si>
    <t>Sell RMD, Cover RBS/GDXJ/SLV?, Buy 15% AIG &lt; 30, Buy BWLD back? Short 2.5% 0639, add Buy GTAT/UPLon dip? research TRIP/SPLK (short)? portfolio stop at 140,000</t>
  </si>
  <si>
    <t>added longs, 94% net long, hurt by asps/ocn</t>
  </si>
  <si>
    <t>still 120% long, 26% short, 94% net</t>
  </si>
  <si>
    <t>net 78%, covered asps/ocn</t>
  </si>
  <si>
    <t>Cover SLV/GDXJ/RBS! Buy 20% aapl on trend up, Buy 20% AIG &lt; 30.5 or slow trend up, Buy 5% ESRX/TRIP/BWLD/GNC/UPL, Short 2.5% CRM/MLM, Short 2.5% DV on pop, Short 2.5% 0639, add Buy PCLN/NOV/GTAT on dip? research TRIP/SPLK (short)? portfolio stop at 140,000</t>
  </si>
  <si>
    <t>reduced on s&amp;p pop, 45% net long</t>
  </si>
  <si>
    <t>positive, but only ES long &lt; 1340-50, stop 1315 , tgt 1390 execute during RTH only, when ES up day</t>
  </si>
  <si>
    <t>still 45% net long, ready to buy asps/ocn again</t>
  </si>
  <si>
    <t>68% net long after readding asps/ocn/psx/mpc</t>
  </si>
  <si>
    <t>64% after more ocn/asps but no psx/mpc</t>
  </si>
  <si>
    <t>81% net long after buys</t>
  </si>
  <si>
    <t>back to 69%, hurt by asps/ocn</t>
  </si>
  <si>
    <t>back to 81% after buys</t>
  </si>
  <si>
    <t>TRIP</t>
  </si>
  <si>
    <t>Cover ANR on up day 7/31? Buy 20% aapl on trend up, Buy 20% AIG &lt; 30.5 or slow trend up,  Buy 5% GNC/BWLD/UPL/PSX, Buy 5% NOV/CF on dip, Short 2.5% DV on pop, Short 2.5% 0639, Short 2.5% MLM, add Buy PCLN/GTAT on dip? SPLK (short)? portfolio stop at 140,000</t>
  </si>
  <si>
    <t>FNMA</t>
  </si>
  <si>
    <t>PSX</t>
  </si>
  <si>
    <t>Cover WXS on weakness, Buy 25shrs aapl on trend up, Buy 20% AIG &lt; 30.5 or slow trend up,  Buy 5% GNC/BWLD/UPL, Buy 5% NOV/CF on dip, Short 2.5% DV on pop, Short 2.5% 0639, Short 2.5% MLM, add Buy PCLN/GTAT on dip? SPLK (short)? portfolio stop at 140,000</t>
  </si>
  <si>
    <t>poor execution</t>
  </si>
  <si>
    <t>Cover FSLR, ANR, Buy 20% AIG &lt; 30.5 or slow trend up,  Buy 5% GNC/BWLD/UPL, Buy 5% NOV/CF on dip, Short 2.5% DV on pop, Short 2.5% 0639, Short 2.5% MLM, add Buy PCLN/GTAT on dip? SPLK (short)? portfolio stop at 140,000</t>
  </si>
  <si>
    <t>hurt by shorts</t>
  </si>
  <si>
    <t>hurt by all</t>
  </si>
  <si>
    <t>LTM</t>
  </si>
  <si>
    <t>Gross Cumulative</t>
  </si>
  <si>
    <t>Reshort 400 shrs ANR on pop, 600 Shrs SAN, Buy 5% UPL/NOV/CF on dip, Short 2.5% DV on pop, Short 2.5% 0639, Short 2.5% MLM, add Buy PCLN/GTAT on dip? portfolio stop at 140,000</t>
  </si>
  <si>
    <t>SAN</t>
  </si>
  <si>
    <t>Buy 5% UPL/NOV/CF on dip, Short 2.5% DV on pop, Short 2.5% 0639, Short 2.5% MLM, add Buy PCLN/GTAT on dip? Research GPX/FMG, portfolio stop at 140,000</t>
  </si>
  <si>
    <t>Buy 5% NOV/CF/UPL on dip, Short 2.5% DV/FMG on pop, Short 2.5% 0639, Short 2.5% MLM, add Buy PCLN/GTAT on dip? portfolio stop at 140,000</t>
  </si>
  <si>
    <t>DV</t>
  </si>
  <si>
    <t>Buy 5% CF/UPL on dip, Short 2.5% FMG on pop, Short 2.5% 0639, Prepare to add GRPN short, Short 2.5% MLM, Run oil/spread analysis! add Buy PCLN/GTAT on dip? portfolio stop at 140,000</t>
  </si>
  <si>
    <t>NUS</t>
  </si>
  <si>
    <t>tough execution</t>
  </si>
  <si>
    <t>Cover TRIP on PCLN probs? Buy 5% CF/UPL on dip, Short 2.5% FMG on pop, Short 2.5% 0639, Prepare to add GRPN short, Short 2.5% MLM, Run oil/spread analysis! Telecom/bronte! portfolio stop at 140,000</t>
  </si>
  <si>
    <t>poor CLF trade</t>
  </si>
  <si>
    <t>Watch ANR short trading position, Buy 5% CF/UPL on dip, Short 2.5% FMG on pop, Short 2.5% 0639, Prepare to add GRPN/EDU/ZNGA short, Short 2.5% MLM, Run oil/spread analysis! Resarch Telecom/bronte, DF spinoff! portfolio stop at 145,000</t>
  </si>
  <si>
    <t>Cover ANR trading pos &gt; 7.50 open, Cover GNC? Buy 5% CF/UPL on dip, Short 2.5% FMG on pop, Short 2.5% 0639, Prepare to add GRPN/EDU/ZNGA short, Short 2.5% MLM, Run oil/spread analysis! Resarch Telecom/bronte, DF spinoff, NOV buyout! portfolio stop at 145,000</t>
  </si>
  <si>
    <t>Cover ANR of Monday open up &amp; &gt; 7.50 at close, Cover GNC on strength? Buy 5% CF/UPL on dip, Short 2.5% FMG on pop, Short 2.5% 0639, Prepare to add GRPN/EDU/ZNGA short, Short 2.5% MLM, Run oil/spread analysis! portfolio stop at 145,000</t>
  </si>
  <si>
    <t>Cover NUS, Cover ANR of Monday open up &amp; &gt; 7.50 at close, Sell WXS on strength, Sell GNC on strength? Prepare to add QIHU to 5% on dip, Prepare to add ZNGA to 2% on pop, Prepare to add GRPN/EDU/FB trading positions, Buy 5% CF on dip, Short 2.5% FMG on pop, Short 2.5% 0639, Short 2.5% MLM, Run oil/spread analysis! portfolio stop at 145,000</t>
  </si>
  <si>
    <t>Add to 22 shrs AAPL, Trade GRPN short in size tomorrow at open assuming earnings weakness, Cover ANR of Monday open up &amp; &gt; 7.50 at close, Sell GNC on strength? Prepare to add QIHU to 5% on dip, Prepare to add GRPN/EDU/FB trading positions, Buy 5% CF on dip, Short 2.5% FMG on pop, Short 2.5% 0639, Short 2.5% MLM, Research GNC growth/moat, Run oil/spread analysis! portfolio stop at 145,000</t>
  </si>
  <si>
    <t>Short GRPN in size on pop, Add to ANR short on weakness, Prepare to add QIHU to 5% on dip, Prepare EDU/FB trading positions, Buy 5% CF on dip, Short 2.5% FMG on pop, Short 2.5% 0639, Short 2.5% MLM, Research ASPS valuation/fha housing inventory, Research China banks (1288, etc), LINTA, VALE-chanos short, Run oil/spread analysis! portfolio stop at 145,000</t>
  </si>
  <si>
    <t>short wti oil &gt; 100? But what about declining well output (see news article)</t>
  </si>
  <si>
    <t>FMG</t>
  </si>
  <si>
    <t>AUD</t>
  </si>
  <si>
    <t>Short FB trading position, Short GRPN in size on pop, Add to ANR short on weakness, Prepare to add QIHU to 5% on dip, Prepare EDU trading positions, Buy 5% CF on dip, Short 2.5% 0639, Short 2.5% MLM, Research China banks (1288, etc), LINTA, VALE-chanos short, Run oil/spread analysis! Research GSE prefs! Research CHKR/PBT shorts? portfolio stop at 145,000</t>
  </si>
  <si>
    <t>Cover SAN &gt;7/CRM &gt; 146 on strong open, Short GRPN in size on pop, Prepare to add QIHU to 5%+ on dip, Prepare EDU trading positions, Buy 5% CF on dip, Buy GTAT on weakness? Short 2.5% 0639, Research APH, Research China banks (1288, etc), LINTA, VALE-chanos short, Run oil/spread analysis! Research GSE prefs! Research CHKR/PBT shorts? portfolio stop at 145,000</t>
  </si>
  <si>
    <t>Add to AAPL on dips? Reshort SAN @ 8, CRM &gt; 146 on strong open, Short GRPN in size on pop, Prepare to add QIHU to 5%+ on dip, Prepare EDU trading positions, Buy 5% CF on dip, Buy GTAT on weakness? Short 2.5% 0639, Research APH, Research China banks (1288, etc), LINTA, VALE-chanos short, Run oil/spread analysis! Research CHKR/PBT shorts? portfolio stop at 150,000</t>
  </si>
  <si>
    <t>Add 10 AAPL on dips? Reshort SAN @ 8, CRM &gt; 146 on strong open, Short GRPN in size on pop, Prepare to add QIHU to 5%+ on dip, Prepare EDU trading positions, Buy 5% CF on dip, Buy GTAT on weakness? Short 2.5% 0639, Research APH, Research China banks (1288, etc), LINTA, VALE-chanos short, Run oil/spread analysis! Research CHKR/PBT shorts? portfolio stop at 150,000</t>
  </si>
  <si>
    <t>positive, but only ES long &lt; 1380-90, stop 1350 , tgt 1450 execute during RTH only, when ES up day</t>
  </si>
  <si>
    <t>Add 15 AAPL on dips &lt; 645,  Add to ASPS &lt; 85, Reshort SAN @ 8, CRM &gt; 146 on strong open, Short GRPN in size on pop, Prepare to add QIHU to 5%+ on dip, Prepare EDU trading positions, Buy 5% CF on dip, Buy GTAT on weakness? Short 2.5% 0639, Research China banks (1288, etc), LINTA, VALE-chanos short, Run oil/spread analysis! Research CHKR/PBT shorts? portfolio stop at 150,000</t>
  </si>
  <si>
    <t>Reshort ANR 400+1100 shrs at open (+lower), Cover all GMCR on up day (reshort later), Add 15 AAPL on dips &lt; 645,  Add to ASPS &lt; 85, Reshort SAN @ 8, Reshort CRM on down day/earnings miss, Short GRPN in size on pop, Prepare EDU trading positions, Buy 5% CF on dip, Buy GTAT on weakness? Short 2.5% 0639, Research China banks (1288, 0998, 3988, etc), LINTA, VALE-chanos short, Run oil/spread analysis! Research CHKR/PBT shorts? portfolio stop at 150,000</t>
  </si>
  <si>
    <t>bad cover, wait till eod</t>
  </si>
  <si>
    <t>Add to ASPS &lt; 85, Cover QIHU on up open, Reshort ANR 400/GMCR 125 shrs at lower/higher, Reshort CRM on down day/earnings miss, Add 15 AAPL on dips &lt; 645/AIG &lt; 33.5, Reshort SAN @ 8, Short GRPN/ZNGA 800 shrs on pop, Prepare EDU trading positions, Buy 5% CF on dip, Buy GTAT on weakness? Short 2.5% 0639, Research China banks (1288, 0998, 3988, etc), LINTA, VALE-chanos short, Run oil/spread analysis! Research CHKR/PBT shorts? portfolio stop at 150,000</t>
  </si>
  <si>
    <t>Watch ASPS trading position, ~ 79$ stop, Short GRPN/ZNGA 800 shrs on pop, Cover QIHU &gt; RH, reshort GMCR 125 shrs at lower/higher, Add 15 AAPL on dips &lt; 645, Reshort SAN @ 8, Prepare EDU trading positions, Buy 5% CF on dip, Buy GTAT on weakness? Short 2.5% 0639, ASPS write-up! Research China banks (1288, 0998, 3988, etc), LINTA, Run oil/spread analysis! Research Canada banks (vic writeup) Research CHKR/PBT shorts? portfolio stop at 150,000</t>
  </si>
  <si>
    <t>Add to AIG 500 shrs trading position on pop, Add AAPL 20 shrs on dip &lt; 645-650, Watch ASPS trading position add back 200 shrs ~82$, ~ 78$ stop, Cover QIHU &gt; RH, Add to grpn/znga/anr short on pops, reshort GMCR 125 shrs, Prepare EDU trading positions, Buy 5% CF on dip, Buy GTAT on weakness? Short 2.5% 0639, ASPS write-up! Research China banks (1288, 0998, 3988, etc), LINTA, Run oil/spread analysis! Research Canada banks (vic writeup) Research PBT shorts? portfolio stop at 150,000</t>
  </si>
  <si>
    <t>?? Bot-in?</t>
  </si>
  <si>
    <t>Reshort 150 shrs QIHU, Add to AIG 900 shrs trading position on pop &gt;35, Add AAPL 25 shrs on dip &lt; 660, Watch ASPS trading position add back 200 shrs ~82$, ~ 78$ stop, Cover QIHU &gt; RH, Add to grpn/znga/anr short on pops, reshort GMCR 125 shrs, Prepare EDU trading positions, Buy 5% CF on dip, Buy GTAT on weakness? Short 2.5% 0639, Research China banks (1288, 0998, 3988, etc), LINTA, Run oil/spread analysis! Research Canada banks (vic writeup) Research PBT shorts? portfolio stop at 150,000</t>
  </si>
  <si>
    <t>Add to ZNGA 1500 shrs short, Add to AIG 900 shrs trading position on pop &gt;35, Add AAPL 25 shrs on dip &lt; 660, Watch ASPS trading position add back 200 shrs ~82$, ~ 78$ stop, Cover QIHU &gt; RH, Add to grpn/znga/anr short on pops, reshort GMCR 125 shrs, Prepare EDU trading positions, Buy 5% CF on dip, Buy GTAT on weakness? Short 2.5% 0639, Research China banks (1288, 0998, 3988, etc), LINTA, Run oil/spread analysis! Research Canada banks (vic writeup)? portfolio stop at 150,000</t>
  </si>
  <si>
    <t>Short 300 shrs EDU, Short 100 shrs WLT, Add to AIG 900 shrs trading position on pop &gt;35, Add AAPL 25 shrs on dip &lt; 660, Watch ASPS trading position add back 200 shrs ~82$, ~ 78$ stop, Cover QIHU &gt; RH, Add to grpn/znga/anr short on pops, reshort GMCR 125 shrs, Buy GTAT on weakness? Short 2.5% 0639, Research China banks (1288, 0998, 3988, etc), LINTA, Run oil/spread analysis! Research Canada banks (vic writeup)? portfolio stop at 150,000</t>
  </si>
  <si>
    <t>poor clf trade</t>
  </si>
  <si>
    <t>Sell ASPS trading position on pop &gt; 86 or down day fri (maybe cover all temp), Cover AIG 900 shrs if down day fri/Add to AIG 900 shrs trading position on pop &gt;35, Cover AAPL if down day fri/Add AAPL 25 shrs on dip &lt; 660, Cover QIHU &gt; RH, Add to grpn/znga/anr short on pops, Buy GTAT on weakness? Short 2.5% 0639, Research China banks (1288, 0998, 3988, etc), Run oil/spread analysis! portfolio stop at 150,000</t>
  </si>
  <si>
    <t>Cash</t>
  </si>
  <si>
    <t>emergency stop, mass reduce</t>
  </si>
  <si>
    <t>HKD</t>
  </si>
  <si>
    <t>Increase (all short) positions, Cover AIG 600 shrs if down day fri/Add to AIG 1200 shrs trading position on pop &gt;35, Cover AAPL trading positions &lt; 655, Add 40 shrs ESRX, Add 50 shrs HHC, Add 15 NEU, Cover QIHU &gt; RH, Add to grpn/znga/anr short on pops, Buy GTAT on weakness? Short 2.5% 0639, Research China banks (1288, 0998, 3988, etc), Run oil/spread analysis! Research Finviz, SAI, portfolio stop at 180,000</t>
  </si>
  <si>
    <t>Reeval AIG trading position, Look to increase WLT/ANR/GRPN/ZNGA/FB on pops, Cover AAPL trading positions &lt; 655, Cover QIHU &gt; RH, Buy GTAT on weakness? Short 2.5% 0639, Research China banks (1288, 0998, 3988, etc), Run oil/spread analysis! Research Finviz, SAI, portfolio stop at 180,000</t>
  </si>
  <si>
    <t>Look to increase WLT/ANR/GRPN/ZNGA/FB on pops, Cover AAPL trading positions &lt; 655, Cover QIHU &gt; RH, Buy GTAT on weakness? Short 2.5% 0639, Research China banks (1288, 0998, 3988, etc), Run oil/spread analysis! Research Finviz, SAI, portfolio stop at 180,000</t>
  </si>
  <si>
    <t>Look to increase WLT/ANR/GRPN/ZNGA/FB &amp; short CLF on pops,Cover AAPL trading positions &lt; 655, Cover QIHU &gt; RH, Buy GTAT on weakness? Short 2.5% 0639, Research China banks (1288, 0998, 3988, etc), Run oil/spread analysis! Research Finviz, SAI, portfolio stop at 180,000</t>
  </si>
  <si>
    <t>GC</t>
  </si>
  <si>
    <t>Reshort ANR &gt;7, Scale out of ASPS temp, Cover AIG &lt; 33.75 at close? Look to increase WLT/ANR/GRPN/ZNGA/FB &amp; short CLF on pops,Cover AAPL trading positions &lt; 655, Cover QIHU &gt; RH, Buy GTAT on weakness? Short 2.5% 0639, Research China banks (1288, 0998, 3988, etc), Run oil/spread analysis! Research Finviz, SAI, portfolio stop at 180,000</t>
  </si>
  <si>
    <t>short wti oil &gt; 100? But what about declining well output (see news article), long gc on dip to 1700</t>
  </si>
  <si>
    <t>Reshort ANR &gt;7, WLT, Scale out of ASPS temp on pop, Buy back AIG &lt; 32, Look to increase WLT/ANR/GRPN/ZNGA/FB/3968 &amp; short CLF on pops, Cover AAPL trading positions &lt; 655, Cover QIHU &gt; RH, Short 2.5% 0639, Research China banks (1288, 0998, 3988, etc), Run oil/spread analysis! Research SAI, USD.HKD, portfolio stop at 180,000</t>
  </si>
  <si>
    <t>Short WLT/CLF, Cover AIG/AAPL trading positions on down day 9/11, Look to increase WLT/ANR/GRPN/ZNGA/FB/3968, Cover AAPL trading positions &lt; 655, Cover QIHU &gt; RH, Short 2.5% 0639, Run oil/spread analysis! Research SAI, USD.HKD, portfolio stop at 180,000</t>
  </si>
  <si>
    <t>Buy back 60 shrs AAPL &lt; 650 (need to be up day to hold), Reshort FB 600 shrs on pop, Short EDU 300 shrs, Short QIHU 150s, Short GMCR 125s, Look to increase WLT/ANR/CLF/GRPN/ZNGA/3968, Cover AIG trading positions &lt; 33 eod, Cover QIHU &gt; RH, Short 2.5% 0639, Run oil/spread analysis! Research SAI, USD.HKD, portfolio stop at 180,000</t>
  </si>
  <si>
    <t>TERRIBLE AAPL TRADE DO NOT DAY TRADE, Add AAPL 85 shrs &lt; 665, Add AIG 1000 shrs after &gt; 35 but on dip after, Short ZNGA 2000 shrs, Short EDU 300 shrs, Short QIHU 150s, Short GMCR 125s, Short CLF 125s after Fed, Look to increase WLT/ANR/CLF/GRPN/ZNGA/3968, Cover AIG trading positions &lt; 33 eod, Short 2.5% 0639, Run oil/spread analysis! Research USD.HKD, SHOSR portfolio stop at 180,000</t>
  </si>
  <si>
    <t>Add AAPL 85 shrs &lt; 665, Add AIG 1000 shrs after &gt; 35 but on dip after, Short ZNGA 2000 shrs, Short EDU 300 shrs, Short QIHU 150s, Short GMCR 125s, Look to increase 3968, Short 2.5% 0639, Run oil/spread analysis! Research USD.HKD, SHOSR portfolio stop at 180,000</t>
  </si>
  <si>
    <t>Add AAPL 85 shrs &lt; 665, Add AIG 1000 shrs after &gt; 35 but on dip after, hold shorts temp but then: Short ZNGA 2000 shrs, Short EDU 300 shrs, Short QIHU 150s, Short GMCR 125s, Look to increase 3968, Short 2.5% 0639, Run oil/spread analysis! Research USD.HKD, SHOSR portfolio stop at 185,000</t>
  </si>
  <si>
    <t>Buy GLD 250s, Add AAPL 85 shrs &lt; 665, Add AIG 1000 shrs after &gt; 35 but on dip after, Short ZNGA 2000 shrs, Short EDU 300 shrs, Short QIHU 150s, Short GMCR 125s, Look to increase 3968, Short 2.5% 0639, Run oil/spread analysis! Research USD.HKD, SHOSR portfolio stop at 180,000</t>
  </si>
  <si>
    <t>Add AAPL 85 shrs &lt; 665, Add AIG 1000 shrs after &gt; 35 but on dip after/Reduce AIG to 20% if &lt; 34.50 at close, hold shorts temp but then: Short EDU 300 shrs, Short QIHU 150s, Short GMCR 125s, Look to increase 3968, Short 2.5% 0639, Run oil/spread analysis! Research USD.HKD, SHOSR portfolio stop at 180,000</t>
  </si>
  <si>
    <t>tough clf/vale trade</t>
  </si>
  <si>
    <t>Add AAPL 85 shrs &lt; 665, Add AIG 1000 shrs after &gt; 35 but on dip after/Reduce AIG to 20% if &lt; 34.50 at close, hold shorts temp but then: Short EDU 300 shrs, Short QIHU 150s, Look to increase 3968, Short 2.5% 0639, Run oil/spread analysis! Research USD.HKD, SHOSR portfolio stop at 180,000</t>
  </si>
  <si>
    <t>positive on long MBS - trsy spreads</t>
  </si>
  <si>
    <t>Cover all but 20% aig on down day tom, Reshort FB 300/GRPN 1000/ZNGA 1800/WLT 150 on pop, Add AAPL 85 shrs &lt; 665, Add AIG 1800s shrs hold shorts temp but then: Short EDU 300 shrs, Short QIHU 150s, Look to increase 3968, Short 2.5% 0639, Run oil/spread analysis! Research USD.HKD, SHOSR portfolio stop at 180,000</t>
  </si>
  <si>
    <t>Add NEU 15s, TJX 50s, Cover AIG if &lt; 33.75 eod 9/21, Watch ASPS potential breakout, Reshort QIHU 150s/FB 300/GRPN 1000/ZNGA 1800 on 9/21 open (up), Add AAPL 85 shrs &lt; 665, Look to increase 3968, Short 2.5% 0639, Run oil/spread analysis! Research USD.HKD, SHOSR portfolio stop at 180,000</t>
  </si>
  <si>
    <t xml:space="preserve">positive, </t>
  </si>
  <si>
    <t>held onto shorts too long</t>
  </si>
  <si>
    <t>Cover AIG if &lt; 33.75 eod 9/21, Watch ASPS potential breakout, Add AAPL 85 shrs &lt; 665, Look to increase 3968, Short 2.5% 0639, Run oil/spread analysis! Research USD.HKD, SHOSR, HLSS, portfolio stop at 180,000</t>
  </si>
  <si>
    <t>Cover AIG if &lt; 33.75 eod 9/23, Watch ASPS potential breakout, Add AAPL 85 shrs &lt; 665, Look to increase 3968, Short 2.5% 0639, Add HLSS to rec list, Research USD.HKD, SHOSR, HLSS, portfolio stop at 180,000</t>
  </si>
  <si>
    <t>GOOG</t>
  </si>
  <si>
    <t>should have covered shorts on monday</t>
  </si>
  <si>
    <t>Cover AIG if &lt; 33.75 eod 9/25, Cover AAPL trading position if not up day 9/25, Watch ASPS potential breakout, Look to increase NOV, 3968, FB, ANR, ZNGA, WLT, GRPN, CLF, Short 2.5% 0639, Research USD.HKD, SHOSR, HLSS, RAX, RIMM, portfolio stop at 185,000</t>
  </si>
  <si>
    <t>positive on s&amp;p 500</t>
  </si>
  <si>
    <t>Z</t>
  </si>
  <si>
    <t>RSE</t>
  </si>
  <si>
    <t>QCOR</t>
  </si>
  <si>
    <t>should have covered shorts on monday!</t>
  </si>
  <si>
    <t>Look to increase NOV, 3968, FB, ANR, ZNGA, WLT, GRPN, CLF, Short 2.5% 0639, Research RIMM, USD.HKD, SHOSR, HLSS, RAX, portfolio stop at 185,000</t>
  </si>
  <si>
    <t>should have reduced shorts today?</t>
  </si>
  <si>
    <t>Buy GC back on dip &lt; 1740, Short SAN? Look to increase NOV, 3968, ANR, ZNGA, WLT, GRPN, CLF, Short 2.5% 0639, Research RIMM, USD.HKD, SHOSR, HLSS, RAX, portfolio stop at 185,000</t>
  </si>
  <si>
    <t>Buy 1 more ES on okay day 9/28, Look to increase 3968, ANR, ZNGA, WLT, GRPN, CLF, Short 2.5% 0639, Research RIMM, USD.HKD, SHOSR, HLSS, RAX, portfolio stop at 185,000</t>
  </si>
  <si>
    <t>Buy 1 more ES on okay day 9/28, Look to increase 3968, ANR, ZNGA, WLT, GRPN, CLF, Short 2.5% 0639, Research USD.HKD, SHOSR, HLSS, RAX, VAR portfolio stop at 185,000</t>
  </si>
  <si>
    <t>too heavy on shorts! should have reduced</t>
  </si>
  <si>
    <t>Buy back 10% AAPL, Prepare to add 20% ASPS, Buy NSM on dip, Look to increase 3968, ANR, ZNGA, WLT, GRPN, CLF, Short 2.5% 0639, Research USD.HKD, SHOSR, HLSS, RAX, VAR, DVA (buffet), NSM, portfolio stop at 185,000</t>
  </si>
  <si>
    <t>SPLK</t>
  </si>
  <si>
    <t>Prepare to add 20% ASPS, Buy NSM on dip, Look to increase 3968, ANR, ZNGA, WLT, GRPN, CLF, Short 2.5% 0639, Research USD.HKD, SHOSR, HLSS, RAX, VAR, NSM, portfolio stop at 185,000</t>
  </si>
  <si>
    <t>Sell some ES if &lt; 1257 at close, Prepare to add 20% ASPS, Buy NSM on dip, Look to increase 3968, ANR, ZNGA, WLT, GRPN, CLF, Short 2.5% 0639, Research USD.HKD, SHOSR, HLSS, RAX, portfolio stop at 190,000</t>
  </si>
  <si>
    <t>Prepare to add 20% ASPS incrementally, Buy NSM on dip, Look to increase 3968, ANR, ZNGA, WLT, GRPN, CLF, Short 2.5% 0639, Research, portfolio stop at 190,000</t>
  </si>
  <si>
    <t>positive of gc, short wti oil &gt; 100? But what about declining well output (see news article), long gc on dip to 1700</t>
  </si>
  <si>
    <t>Add into ES on dip &lt; 1450, Buy 150s BWLD, Add 75s PSX, Prepare to add 20% ASPS incrementally, Buy NSM on dip, Look to increase 3968, ANR, ZNGA, WLT, GRPN, CLF, Short 2.5% 0639, Research, portfolio stop at 190,000</t>
  </si>
  <si>
    <t>positive on gc, short wti oil &gt; 100? But what about declining well output (see news article), long gc on dip to 1700</t>
  </si>
  <si>
    <t>Net Average</t>
  </si>
  <si>
    <t>too heavy in short positions</t>
  </si>
  <si>
    <t>*All returns are net of the actual fees paid by investors, weighted by amount invested by time period</t>
  </si>
  <si>
    <t>*All returns are net of all fees, costs and are pre-tax</t>
  </si>
  <si>
    <t xml:space="preserve">Annapurna Pareto Value LP, Net </t>
  </si>
  <si>
    <t>Management Fee (annualized, start of each month)</t>
  </si>
  <si>
    <t>varies, 0%</t>
  </si>
  <si>
    <t>Hurdle</t>
  </si>
  <si>
    <t>varies, 7%</t>
  </si>
  <si>
    <t>Ann Return</t>
  </si>
  <si>
    <t>Sell 1+ ES unless up day 10/9 post close, Add 300 shrs AIG, Prepare to add 20% ASPS incrementally, Buy NSM on dip, Look to increase 3968, ANR, ZNGA, WLT, GRPN, CLF, Short 2.5% 0639, Research RCII, portfolio stop at 190,000</t>
  </si>
  <si>
    <t>Sharpe</t>
  </si>
  <si>
    <t>Quarter</t>
  </si>
  <si>
    <t>Sell 200+ AIG (+ is temp), Readd 400+ shrs ANR on pop/dip, Prepare to add 20% ASPS incrementally, Buy NSM on dip, Look to increase 3968, ANR, ZNGA, WLT, GRPN, CLF, Short 2.5% 0639, Research RCII, portfolio stop at 190,000</t>
  </si>
  <si>
    <t>Peformance Fee (end of each year)</t>
  </si>
  <si>
    <t>varies, 25%</t>
  </si>
  <si>
    <t>HW Mark</t>
  </si>
  <si>
    <t>yes</t>
  </si>
  <si>
    <t>Ann Volatility</t>
  </si>
  <si>
    <t>Corr w spx</t>
  </si>
  <si>
    <t>Get % from fundadmin</t>
  </si>
  <si>
    <t>Prepare to add 20% ASPS incrementally, Buy NSM on dip, Short 2.5% 0639, Research RCII, Allergan, portfolio stop at 190,000</t>
  </si>
  <si>
    <t>Sell TJX, RMD, Other positions generally, Reshort 300 shrs EDU on technicals, Prepare to add 20% ASPS incrementally, Buy NSM on dip, Short 2.5% 0639, Research Allergan, , IRDM, IBM, portfolio stop at 190,000</t>
  </si>
  <si>
    <t>should have reduced! too many shorts!</t>
  </si>
  <si>
    <t>Buy back NOV 150s on dip, Prepare to add 20% ASPS incrementally, Buy NSM on dip, Short 2.5% 0639, Research Workday/ServiceNow, post on ANR, portfolio stop at 190,000</t>
  </si>
  <si>
    <t>poor sell?</t>
  </si>
  <si>
    <t>Cover ANR/CLF on up open 10/16, Buy back NOV 150s/PSX 250s, add 20s AAPL on dip/up day 10/16 for ES, Short 2.5% 0639, Research Workday/ServiceNow,  portfolio stop at 190,000</t>
  </si>
  <si>
    <t>massively short</t>
  </si>
  <si>
    <t>poor trade, technicals/history don't match</t>
  </si>
  <si>
    <t>reduced shorts a little, maybe need to reduce more?</t>
  </si>
  <si>
    <t>Buy back 20%/600 shrs+ AIG unless down open, Short 2.5% 0639, Research Workday/ServiceNow,  portfolio stop at 190,000</t>
  </si>
  <si>
    <t>massively short (net long 10%)</t>
  </si>
  <si>
    <t>Net Cumulative One Fee</t>
  </si>
  <si>
    <t>Reduce to ~20% AAPL by Oct 23, Add 200s AIG &lt; 36 &amp; outperform ES, Research Workday/ServiceNow, homebuilders XHB, portfolio stop at 190,000</t>
  </si>
  <si>
    <t>should have covered shorts</t>
  </si>
  <si>
    <t>Buy 5%+ HLSS, Reduce to 20% AIG if underperform for 3 days, Research Workday/ServiceNow, monitor AAPL insiders, portfolio stop at 190,000</t>
  </si>
  <si>
    <t>HLSS</t>
  </si>
  <si>
    <t>Reduce AIG/AAPL on pop? Increase HLSS after dip/consolidation, Research Workday/ServiceNow, monitor AAPL insiders, portfolio stop at 190,000</t>
  </si>
  <si>
    <t>stick to limits!</t>
  </si>
  <si>
    <t>Add 5% to AIG/ASPS 5% on dip/insider buying, Increase HLSS to 20% after dip/consolidation, Research Workday/ServiceNow, monitor AAPL insiders, portfolio stop at 190,000</t>
  </si>
  <si>
    <t>Add 5% to AIG/ASPS on dip/insider buying, Increase HLSS to 20% after dip/consolidation, Research Workday/ServiceNow, monitor AAPL insiders, portfolio stop at 190,000</t>
  </si>
  <si>
    <t>SHOULD HAVE EXITED</t>
  </si>
  <si>
    <t>NEVER EXCEED LIMITS</t>
  </si>
  <si>
    <t>DANGER-reduce positions, Add 5% to AIG/ASPS on dip/insider buying, Increase HLSS to 20% after dip/consolidation, Research Workday/ServiceNow, monitor AAPL insiders, portfolio stop at 190,000</t>
  </si>
  <si>
    <t>Net One Fee</t>
  </si>
  <si>
    <t>Beta</t>
  </si>
  <si>
    <t>DANGER-reduce positions, Close ZNGA, GRPN, PSX, Add 5% to AIG/ASPS on dip/insider buying, Increase HLSS to 20% after dip/consolidation, Research Workday/ServiceNow, monitor AAPL insiders, portfolio stop at 190,000</t>
  </si>
  <si>
    <t>positive on gc, short wti oil &gt; 100? But what about declining well output (see news article)</t>
  </si>
  <si>
    <t>DANGER-reduce positions, Add 5% to AIG/ASPS on dip/insider buying, Increase HLSS to 20%+ after dip/consolidation, Research Workday/ServiceNow, monitor AAPL insiders, portfolio stop at 190,000</t>
  </si>
  <si>
    <t>Turnover</t>
  </si>
  <si>
    <t>DANGER-reduce positions, Buy back 5%-10%+ AAPL @ 560-580, Add 5% to AIG/ASPS on dip/insider buying, Research Tronox, ServiceNow, Workday, research QLIK/other big data, WRLD short from VIC, STHJF, monitor AAPL insiders, portfolio stop at 190,000</t>
  </si>
  <si>
    <t>DANGER-reduce positions, Buy back 10%-20% AAPL @ 560-580, Add 5% to AIG/ASPS on dip/insider buying, Watch ServiceNow insiders, Workday, research QLIK/other big data, WRLD short from VIC, STHJF, monitor AAPL insiders, portfolio stop at 190,000</t>
  </si>
  <si>
    <t>Slowly add back positions, Add to 7%/400s RSE, Buy 5%/100s AIRM, Buy 5%/200s RMD back on dip, Buy back 10%-20% AAPL @ 560-580, Buy back 7%/250s NOV, Add 5% to AIG/ASPS on dip/insider buying, CGI-finviz, Watch ServiceNow insiders, Workday, research QLIK/other big data, WRLD short from VIC, STHJF, monitor AAPL insiders, portfolio stop at 190,000</t>
  </si>
  <si>
    <t>AIRM</t>
  </si>
  <si>
    <t>Slowly add back positions, Buy more 5% more AIRM? Buy 5%/200s RMD back on dip, Buy back to 20% AAPL @ 560-580, Add 5% to AIG/ASPS on dip/insider buying, Short 2.5% CLF/WLT on pop, consolidation, Increase FMG short to 4%? CGI-finviz, Watch ServiceNow insiders, Workday, research QLIK/other big data, WRLD short from VIC, STHJF, monitor AAPL insiders, portfolio stop at 190,000</t>
  </si>
  <si>
    <t>Slowly add back positions, Buy more 5% more AIRM? Buy 5%/200s RMD back on dip, Buy back to 20% AAPL @ 560-580, Add 5% to AIG/ASPS on dip/insider buying, Short 3% CLF on pop/consolidation, Increase FMG short to 4%? CGI-finviz, Watch ServiceNow insiders, Workday, research QLIK/other big data, WRLD short from VIC, STHJF, monitor AAPL insiders, portfolio stop at 190,000</t>
  </si>
  <si>
    <t>Slowly add back positions, Buy back 10%/600s AIG on dip, Buy 5%/200s RMD back on dip, Buy back to 20% AAPL @ 560-580, Add 5% to ASPS on dip/insider buying, Short 3% CLF on pop/consolidation, Increase FMG short to 4%? CGI-finviz, Watch ServiceNow insiders, Workday, research QLIK/other big data, WRLD short from VIC, STHJF, monitor AAPL insiders, portfolio stop at 190,000</t>
  </si>
  <si>
    <t>NOW</t>
  </si>
  <si>
    <t>Slowly add back positions, Short 4% PANW, Short 3% CLF on pop/consolidation, Buy back 10%/600s AIG on dip, Buy 5%/200s RMD back on dip, Buy back to 20% AAPL @ 560-580, Add 5% to ASPS on dip/insider buying, Increase FMG short to 4%? Research HLSS/OCN vintage, Finviz.csv, Watch WDAY/PANW, research QLIK/other big data, WRLD short from VIC, STHJF, monitor AAPL insiders, research HY (NC spinoff) portfolio stop at 190,000</t>
  </si>
  <si>
    <t>PANW</t>
  </si>
  <si>
    <t>Slowly add back positions, Add 5%/50s to ASPS on dip/insider buying/up day 11/6, Short 3% CLF on pop/consolidation, Buy back 5%/300s more AIG on dip, Buy 5%/200s RMD back on dip, Buy back to 20% AAPL @ 560-580, Increase FMG short to 4%? Research HLSS/OCN vintage, Finviz.csv, Watch WDAY/PANW, research QLIK/other big data, WRLD short from VIC, STHJF, monitor AAPL insiders, research HY (NC spinoff) portfolio stop at 190,000</t>
  </si>
  <si>
    <t>Comments - LT Acct only</t>
  </si>
  <si>
    <t>Add 5%/50s to ASPS on dip/insider buying/up day, Sell 300s/5% AIG &lt; 33.20, Buy 5%/200s RMD back on dip, Buy back to 20% AAPL @ 560-580, Increase FMG short to 4%? Research HLSS/OCN vintage, Finviz.csv, Watch WDAY/PANW, research QLIK/other big data, WRLD short from VIC, STHJF, monitor AAPL insiders, research HY (NC spinoff) portfolio stop at 190,000</t>
  </si>
  <si>
    <t>LT-Etrade Parents</t>
  </si>
  <si>
    <t>Add 5%/50s to ASPS on dip/insider buying/up day, Buy 300s+300 AIG on dip to 30, Buy 5%/200s RMD back on dip, Buy back to 20% AAPL @ 540?  Increase FMG short to 4%? Write PANW pitch Research HLSS/OCN vintage, Finviz.csv, Watch WDAY, research QLIK/other big data, WRLD short from VIC, STHJF, monitor AAPL insiders, research HY (NC spinoff), Research OSG bankruptcy portfolio stop at 190,000</t>
  </si>
  <si>
    <t>Yellow is LT no trading portfolio with instructions for mom, b4 was dad account w/ trading</t>
  </si>
  <si>
    <t>ST-M</t>
  </si>
  <si>
    <t>Start is Nov w/ grey/blackbox strategy</t>
  </si>
  <si>
    <t>LT-IB-old</t>
  </si>
  <si>
    <t>Cover 1/2 of HLSS on dip 11/14, Add 5%/50s to ASPS on dip/insider buying/up day, Sell AAPL on pop? Buy 300s+300 AIG on dip to 30, Buy 5%/200s RMD back on dip, Write PANW pitch Research HLSS/OCN vintage, Finviz.csv, Watch WDAY, research QLIK/other big data, STHJF, monitor AAPL insiders, research HY (NC spinoff), Research OSG bankruptcy portfolio stop at 190,000</t>
  </si>
  <si>
    <t>Merged accts in Feb</t>
  </si>
  <si>
    <t>Ended May 15 2011, started Dec 10 2010, yellow is fake porfolio</t>
  </si>
  <si>
    <t>Yellow is w/ fake acct, originally main acct</t>
  </si>
  <si>
    <t>*Control+shift to array annualize monthly data</t>
  </si>
  <si>
    <t>S&amp;P 500 Total Return</t>
  </si>
  <si>
    <t>ann ret</t>
  </si>
  <si>
    <t xml:space="preserve">STOP HIT - scale out of NEU positions 11/15! Readd 200s ASPS/1000s HLSS/1000s AIG/20s AAPL on dip, 200s SPLK short/200s CLF short/1400s FB, Research DE/WBC/PCP/HY positions, Write PANW pitch, Finviz.csv, Watch WDAY, research QLIK/other big data, STHJF, research HY (NC spinoff), portfolio stop 214,000  </t>
  </si>
  <si>
    <t>sharpe</t>
  </si>
  <si>
    <t>ann volatility</t>
  </si>
  <si>
    <t>SPX</t>
  </si>
  <si>
    <t xml:space="preserve">STOP HIT - now at super reduced positions, Readd to 600s HLSS/100s ASPS/300s AIG/150s NOV/250s PSX/50s CF, Research DE/WBC/PCP/HY positions, Write PANW pitch, Finviz.csv, Watch WDAY, research QLIK/other big data, STHJF, research HY (NC spinoff), portfolio stop 214,000  </t>
  </si>
  <si>
    <t>CF</t>
  </si>
  <si>
    <t xml:space="preserve">STOP HIT - now at super reduced positions, Readd 400s HLSS/300s AIG, Cover Z/PANW, later- reshort 350s NOW/300s SPLK/200s PANW/300s Z/, 200s CLF, Research DE/WBC/PCP/HY positions, Write PANW pitch, Finviz.csv, Watch WDAY, research QLIK/other big data, STHJF, research HY (NC spinoff), portfolio stop 214,000  </t>
  </si>
  <si>
    <t xml:space="preserve">STOP HIT - now at super reduced positions, Readd 400s HLSS/300s AIG, Buy 200s RMD, Cover Z/PANW partially temp, later- reshort 350s NOW/300s SPLK/200s PANW/300s Z, 150s CLF, 200s WLT, Research FRE/FNE preferred, Research DE/WBC/PCP/HY positions, Write PANW pitch, Finviz.csv, Watch WDAY, research QLIK/other big data, STHJF, research HY (NC spinoff), portfolio stop 214,000  </t>
  </si>
  <si>
    <t>Started May 30</t>
  </si>
  <si>
    <t>Total return pre tax</t>
  </si>
  <si>
    <t>VALE</t>
  </si>
  <si>
    <t xml:space="preserve">Readd 300s HLSS/200s AIG on dip, Buy 200s RMD, later- reshort 350s NOW/200s PANW/300s Z, average 20s into AAPL? Research/add to TEA (options?) Research FRE/FNE preferred, Research DE/WBC/PCP/HY positions, Write PANW pitch, Finviz.csv, Watch WDAY, research QLIK/other big data, STHJF, research HY (NC spinoff), portfolio stop 214,000  </t>
  </si>
  <si>
    <t>TEA</t>
  </si>
  <si>
    <t>Use total return spx, $spx[tr] from Barchart or total return</t>
  </si>
  <si>
    <t xml:space="preserve">Readd 300s HLSS/200s AIG on dip, average 20+20s into AAPL? Add 200s VALE short, Short 400s HPQ, Short 300s PBR, Buy 200s RMD/60s NEU, later- reshort 350s NOW/200s PANW/300s Z, Research/add to TEA (options?) Research FRE/FNE preferred, Research DE/WBC/PCP/HY positions, Write PANW pitch, Finviz.csv, Watch WDAY, research QLIK/other big data, STHJF, research HY (NC spinoff), portfolio stop 214,000  </t>
  </si>
  <si>
    <t>HPQ</t>
  </si>
  <si>
    <t>PBR</t>
  </si>
  <si>
    <t xml:space="preserve">Readd 300s HLSS &lt; 19.25/200s AIG &lt;31.5 on dip, average +20s into AAPL? 60s NEU, later- 200s PANW/100s Z/400s FB, Research/add to TEA (options?) Research FRE/FNE preferred, Research DE/WBC/PCP/HY positions, Write PANW pitch, Finviz.csv, Watch WDAY, research QLIK/other big data, STHJF, research HY (NC spinoff), portfolio stop 214,000  </t>
  </si>
  <si>
    <t>Graphs - Net Average</t>
  </si>
  <si>
    <t>YTD Graphs</t>
  </si>
  <si>
    <t>Month #</t>
  </si>
  <si>
    <t xml:space="preserve">Readd 60s NEU, 300s HLSS &lt; 19.25/200s AIG &lt;31.5 on dip, average +20s into AAPL? Research/add to TEA (options?) Research TWO, Research FRE/FNE preferred, Research DE/WBC/PCP/HY positions, Write PANW pitch, Finviz.csv, Watch WDAY, research QLIK/other big data, STHJF, research HY (NC spinoff), portfolio stop 214,000  </t>
  </si>
  <si>
    <t>APV-Net (YTD)</t>
  </si>
  <si>
    <t xml:space="preserve">Readd 60s NEU, 300s HLSS &lt; 19.25/200s AIG &lt;31.5 on dip, average +20s into AAPL? Research FRE/FNE preferred, Research DE/WBC/PCP/HY positions, Write PANW pitch, Finviz.csv, Watch WDAY, research QLIK/other big data, STHJF, research HY (NC spinoff), portfolio stop 214,000  </t>
  </si>
  <si>
    <t xml:space="preserve">Cover PANW temp &gt; 56 after 10:30am, Buy 100s AIRM, Readd 60s NEU, 300s HLSS &lt; 19.25/200s AIG &lt;31.5 on dip, average +20s into AAPL? Research FRE/FNE preferred, Research DE/WBC/PCP/HY positions, Write PANW pitch, Finviz.csv, Watch WDAY, research QLIK/other big data, STHJF, research HY (NC spinoff), portfolio stop 214,000  </t>
  </si>
  <si>
    <t>SPX (Total Ret)</t>
  </si>
  <si>
    <t>TEA (option)</t>
  </si>
  <si>
    <t xml:space="preserve">Cover SPLK temp on pos opening 11/28, average +20s into AAPL? Readd 60s NEU, 300s HLSS &lt; 19.25/200s AIG &lt;31.5 on dip, Review GMCR, Finviz.csv, Watch WDAY, research QLIK/other big data, STHJF, research HY (NC spinoff), portfolio stop 214,000  </t>
  </si>
  <si>
    <t>ITD</t>
  </si>
  <si>
    <t>Graph</t>
  </si>
  <si>
    <t>Pre-tax</t>
  </si>
  <si>
    <t>(inception to date)</t>
  </si>
  <si>
    <t>Graphs</t>
  </si>
  <si>
    <t>Start price</t>
  </si>
  <si>
    <t>LT-IB Since Inception ($100 start)</t>
  </si>
  <si>
    <t>APV-Net</t>
  </si>
  <si>
    <t xml:space="preserve">average +20s into AAPL? Readd 300s HLSS &lt; 19.25/200s AIG &lt;31.5 on dip, blog about ASPS spin-off, research QLIK/other big data, STHJF, research HY (NC spinoff), portfolio stop 214,000  </t>
  </si>
  <si>
    <t>Use Barchart ($SPX TR) or yahoo finance (^SP500TR)</t>
  </si>
  <si>
    <t>Close</t>
  </si>
  <si>
    <t>Monthly</t>
  </si>
  <si>
    <t>Cumulative</t>
  </si>
  <si>
    <t xml:space="preserve">Cover 500s+ HLSS &lt; 18.5, Sell 40s AAPL on down day tomorrow? 200s AIG &lt;31.5 on dip, 300s SPLK, 200s NOW, 400s HPQ, Add 100s+ Z on dip, Add 100s CLF short on pop, blog about ASPS spin-off, research QLIK/other big data, STHJF, Macau casinos, 10ks generally, portfolio stop 214,000  </t>
  </si>
  <si>
    <t xml:space="preserve">200s AIG &lt;31.5 on dip, Add 100s+ Z on dip, Add 100s CLF short on pop, Reshort WLT/HPQ on pop, blog about ASPS spin-off, research QLIK/other big data, STHJF, Macau casinos, 10ks generally, portfolio stop 214,000  </t>
  </si>
  <si>
    <t>positive on long MBS - trsy spreads, when fed raises rates, short 10yr/ty</t>
  </si>
  <si>
    <t>When fed raises rates to combat inflation, long gc/commods</t>
  </si>
  <si>
    <t xml:space="preserve">Short 250s ZNGA on pop &gt; 2.5, Short WLT on down day 12/4 open, Add 100s+ Z on dip, add 250s PSX (to 10%) on dip, 200s AIG &lt;31.5 on dip, Add 100s CLF short on pop, Reshort 200s WLT/HPQ on pop, blog about ASPS spin-off, research QLIK/other big data, 10ks generally, portfolio stop 214,000  </t>
  </si>
  <si>
    <t xml:space="preserve">Reduce 600s HLSS/100s ASPS on dip? Short 250s ZNGA on pop &gt; 2.5, Short 200s WLT on 12/4 open, Add 100s+ Z on dip, add 250s PSX (to 10%) on dip, 200s AIG &lt;31.5 on dip, Add 100s CLF short on pop, blog about ASPS spin-off, research QLIK/other big data, 10ks generally, portfolio stop 214,000  </t>
  </si>
  <si>
    <t xml:space="preserve">Reduce 200s ASPS &lt;100 dip? Buy back AAPL 40-80s tot &lt; 560, Short 250s ZNGA on pop &gt; 2.5, Add 100s+ Z on dip, add 250s PSX (to 10%) on dip, 200s AIG &lt;31.5 on dip, Add 100s CLF short on pop, blog about ASPS spin-off, research QLIK/other big data, research CF/PSx 10ks generally, portfolio stop 220,000  </t>
  </si>
  <si>
    <t xml:space="preserve">Short CLF 200s/WLT 200s on pop, Readd 1200s HLSS/ASPS 200s on dip, Buy back AAPL 40-80s tot &lt; 560, Short 250s ZNGA on pop &gt; 2.5, Add 100s+ Z on dip, add 250s PSX (to 10%) on dip, 200s AIG &lt;31.5 on dip, Add 100s CLF short on pop, blog about ASPS spin-off, research QLIK/other big data, research CF/PSx 10ks generally, portfolio stop 220,000  </t>
  </si>
  <si>
    <t xml:space="preserve">add 250s PSX (to 10%) on dip, 200s AIG &lt;31.5 on dip, blog about ASPS spin-off, research QLIK/other big data, research CF/PSx 10ks generally, portfolio stop 220,000  </t>
  </si>
  <si>
    <t xml:space="preserve">Sell all AAPL unless strong open 12/10, 200s AIG &lt;32.5 on dip, blog about ASPS spin-off, research QLIK/other big data, research CF/PSx 10ks generally, portfolio stop 220,000  </t>
  </si>
  <si>
    <t xml:space="preserve">Add 200s+ AIG &lt;32.5 on 12/11 on, Reshort 400s VALE on pop, Add PSX 100s on dip, blog about ASPS spin-off, research QLIK/other big data, research CF/PSX 10ks, research TRIP/ADBE short generally, portfolio stop 220,000  </t>
  </si>
  <si>
    <t xml:space="preserve">Temp sell 1000s HLSS on 12/12 strong open? Trading pos: 200s SPLK, 85s PANW, 1000s FMG, Add 200s+ AIG &lt;32.5 on 12/11 on, Reshort 400s VALE on pop, Add PSX 100s on dip, blog about ASPS spin-off, research CF/PSX 10ks, research ADBE short generally, research SCTY, portfolio stop 220,000  </t>
  </si>
  <si>
    <t xml:space="preserve">Trading pos: 200s SPLK, 150s PANW, 1000s FMG, 200s NOW, Add 200s+ AIG on dips, Add PSX 100s on dip, research CF/PSX 10ks, research SCTY, hf seeding firms (skybridge), portfolio stop 220,000  </t>
  </si>
  <si>
    <t xml:space="preserve">Trading pos: 200s SPLK, 150s PANW, 1000s FMG, 200s NOW, Add 200s+ AIG on dips, Add PSX 100s on dip, research CF/PSX 10ks, research SCTY, hf seeding firms (skybridge), HLSS modeling/writup + jobs email, portfolio stop 220,000  </t>
  </si>
  <si>
    <t xml:space="preserve">Trading pos: 200s SPLK, 150s PANW, 200s NOW, Add 200s+ AIG on dips, Add PSX 100s on dip, research CF/PSX 10ks, research SCTY, TWO/SBY spinoff ,hf seeding firms (skybridge), HLSS modeling/writup + jobs email, portfolio stop 220,000  </t>
  </si>
  <si>
    <t xml:space="preserve">Reduce HLSS, ASPS, after new yr, Trading pos: 200s SPLK, 150s PANW, 200s NOW, Monitor PANW (insider buying?) Add 200s+ AIG on dips, Add PSX 100s on dip, research CF/PSX 10ks, research SCTY, TWO/SBY spinoff ,hf seeding firms (skybridge), HLSS modeling/writup + jobs email, research SHOS, third point site, portfolio stop 220,000  </t>
  </si>
  <si>
    <t>AUM</t>
  </si>
  <si>
    <t xml:space="preserve">Add 100s Z on weak open 10:30am 12/18, Reduce HLSS, ASPS, after new yr, Trading pos: 150s PANW, 200s NOW, 300 SPLK, 300+ PBR, Monitor PANW (insider buying?) Add 200s+ AIG on dips, Add PSX 100s on dip, research CF/PSX 10ks, research SCTY, TWO/SBY spinoff ,hf seeding firms (skybridge), HLSS modeling/writup + jobs email, research SHOS, third point site, research TDG, watch GMCR for short? portfolio stop 220,000  </t>
  </si>
  <si>
    <t>Total</t>
  </si>
  <si>
    <t>Annualized</t>
  </si>
  <si>
    <t>HLSS (option)</t>
  </si>
  <si>
    <t>Graphs - Gross</t>
  </si>
  <si>
    <t xml:space="preserve">Reduce HLSS, ASPS, after new yr, Trading pos: 150s PANW, 200s NOW, 300 SPLK, 300+ PBR, Monitor PANW (insider buying?), GMCR for short, short HPQ after new year, SHOS/SBY insider buying, Add 200s+ AIG on dips, Add PSX 100s on dip, research CF/PSX 10ks, research SCTY, hf seeding firms (skybridge), third point site, research TDG, portfolio stop 220,000  </t>
  </si>
  <si>
    <t>APV-Gross</t>
  </si>
  <si>
    <t xml:space="preserve">Short 10s ISRG, Short 400s Z on weak open 10:30am et, Reduce HLSS, ASPS, after new yr, Trading pos: 150s PANW, 200s NOW, 300 SPLK (ready to cover), 300+ PBR, 500 VALE, 400s Z, Monitor PANW (insider buying?), GMCR for short, short HPQ after new year, SHOS/SBY insider buying, Add 200s+ AIG on dips, Add PSX 100s on dip, research CF/PSX 10ks, research SCTY, hf seeding firms (skybridge), third point site, research TDG, research WMC, portfolio stop 220,000  </t>
  </si>
  <si>
    <t>ISRG</t>
  </si>
  <si>
    <t>WMC</t>
  </si>
  <si>
    <t xml:space="preserve">Short 400s Z, Short 150s HLF on pop, Short 150s USNA on pop, Reduce HLSS, ASPS, after new yr, Trading pos: 300+ PBR, 400s Z, Monitor PANW (insider buying?), GMCR for short, short HPQ after new year, SHOS/SBY insider buying, Add 200s+ AIG on dips, Add PSX 100s on dip, research CF/PSX 10ks, research SCTY, hf seeding firms (skybridge), third point site, research TDG, research WMC, HLF presentation from Ackman, portfolio stop 220,000  </t>
  </si>
  <si>
    <t>Gross NAV</t>
  </si>
  <si>
    <t>USNA</t>
  </si>
  <si>
    <t xml:space="preserve">Short to 400s Z, Short 150s GMCR on weakness, Short 150s HLF on pop, Monitor PANW temp cover (insider buying?), Trading pos: 300+ PBR, 400s Z, GMCR for short, short HPQ after new year, SHOS/SBY insider buying, Add 200s+ AIG on dips, Add PSX 100s on dip, research CF/PSX 10ks, research SCTY, hf seeding firms (skybridge), third point site, research TDG, research WMC, HLF presentation from Ackman, portfolio stop 220,000  </t>
  </si>
  <si>
    <t xml:space="preserve">Buy 200s RMD, 200s CI, Short to 400s Z, Short 150s GMCR on weakness, Short 150s HLF on pop, Monitor PANW temp cover (insider buying?), Trading pos: 400s Z, GMCR for short, short HPQ after new year, SHOS/SBY insider buying, Add 200s+ AIG on dips, Add PSX 100s on dip, research CF/PSX 10ks, research SCTY, hf seeding firms (skybridge), third point site, research TDG, research UHAL, FMCN(bronte) short, portfolio stop 220,000  </t>
  </si>
  <si>
    <t>CI</t>
  </si>
  <si>
    <t xml:space="preserve">Short to 400s Z, Short 150s GMCR on weakness, Short 150s HLF on pop, Monitor PANW temp cover (insider buying?), Trading pos: 400s Z, GMCR for short, short HPQ after new year, SHOS/SBY insider buying, Add 200s+ AIG on dips, Add PSX 100s on dip, research CF/PSX 10ks, research SCTY, hf seeding firms (skybridge), third point site, research TDG, research UHAL, portfolio stop 220,000  </t>
  </si>
  <si>
    <t xml:space="preserve">Short to 400s Z, Short 150s GMCR on weakness, Short 150s HLF on pop, Monitor PANW temp cover (insider buying?), Trading pos: 150s PANW, 400s Z, 175s NUS, 200s USNA, GMCR for short, short HPQ after new year, SHOS/SBY insider buying, Add 200s+ AIG on dips, research CF/PSX 10ks, research SCTY, hf seeding firms (skybridge), third point site, research TDG, research levered nat gas cos, portfolio stop 220,000  </t>
  </si>
  <si>
    <t xml:space="preserve">Buy 300s SBY, Short 400s HPQ, Sell 200s CI on pop, Short 150s GMCR on weakness, Short 200s QCOR on pop, Short 150s HLF on pop, Monitor PANW temp cover (insider buying?), Trading pos: 200s USNA, 175s NUS, GMCR for short, short HPQ after new year, SHOS/SBY insider buying, Add 200s+ AIG on dips, research CF/PSX 10ks, research SCTY, hf seeding firms (skybridge), third point site, research TDG, research levered nat gas cos, portfolio stop 220,000  </t>
  </si>
  <si>
    <t>SBY</t>
  </si>
  <si>
    <t xml:space="preserve">Sell 200s CI on pop, Short 150s GMCR on weakness, Short 200s QCOR on pop, Short 150s HLF on pop, Monitor PANW temp cover (insider buying?), Trading pos: 200s USNA, 175s NUS, GMCR for short, SHOS/SBY insider buying, Add 200s+ AIG on dips, research CF/PSX 10ks, research SCTY, hf seeding firms (skybridge), third point site, research TDG, research levered nat gas cos (MHR/PGH), portfolio stop 220,000  </t>
  </si>
  <si>
    <t xml:space="preserve">Sell 200s CI on pop, Short 150s GMCR on weakness, Short 200s QCOR on pop, Short 200s USNA, 175s NUS, Monitor PANW temp cover (insider buying?), Trading pos: 150s PANW, 200s USNA, 175s NUS, GMCR for short, SHOS/SBY insider buying, Add 200s+ AIG on dips, research CF/PSX 10ks, research SCTY, hf seeding firms (skybridge), third point site, research TDG, research levered nat gas cos (MHR/PGH), portfolio stop 220,000  </t>
  </si>
  <si>
    <t xml:space="preserve">Buy 100s DVA on dip, Buy SBY &lt;18, Short 150s GMCR on weakness, Short 200s USNA, 175s NUS, Monitor PANW temp cover (insider buying?), Trading pos: 200s USNA, 175s NUS, GMCR for short, SHOS/SBY/SCTY insider buying, Add 200s+ AIG on dips, research CF/PSX 10ks, research SCTY, hf seeding firms (skybridge), third point site, research TDG, research levered nat gas cos (MHR/PGH), portfolio stop 220,000  </t>
  </si>
  <si>
    <t>DVA</t>
  </si>
  <si>
    <t xml:space="preserve">Increase HLSS temp to +1200s (4200 total), Buy SBY &lt;18, Buy 200s NSM &lt; 30, 1200s NCT on dip, Short 200s USNA, Monitor PANW temp cover (insider buying?), Trading pos: 200s USNA, GMCR for short, SHOS/SBY/SCTY insider buying, Add 200s+ AIG on dips, research CF/PSX 10ks, research SCTY, hf seeding firms (skybridge), third point site, research TDG, research levered nat gas cos (MHR/PGH), research NCT/spinoff/NSM for other MSRs, portfolio stop 220,000  </t>
  </si>
  <si>
    <t>NCT</t>
  </si>
  <si>
    <t>TWO</t>
  </si>
  <si>
    <t xml:space="preserve">Increase HLSS temp to +1200s (4200 total), Buy SBY &lt;18, Buy 200s NSM &lt; 30, Short 200s USNA, Monitor PANW temp cover (insider buying?), Trading pos: up to 1200s HLSS, 100s ASPS, 200s USNA, GMCR for short, SHOS/SBY/SCTY insider buying, Add 200s+ AIG on dips, research SCTY, hf seeding firms (skybridge), third point site, research TDG, research levered nat gas cos (MHR/PGH), research NCT/spinoff/NSM for other MSRs, research long HLF (chapman rebuttal), portfolio stop 220,000  </t>
  </si>
  <si>
    <t xml:space="preserve">Long 150s HLF/short 200 USNA on 1/10 open, Temp cover PANW/SPLK? Increase HLSS temp to +1200s (4200 total), Buy SBY &lt;18, Buy 200s NSM &lt; 30, Short 200s USNA/HLF when Ackman covers!, Monitor PANW temp cover (insider buying?), Trading pos: up to 1200s HLSS, 100s ASPS, 200s USNA, GMCR for short, SHOS/SBY/SCTY insider buying, Add 200s+ AIG on dips, research SCTY, hf seeding firms (skybridge), third point site, research TDG, research levered nat gas cos (MHR/PGH), research NCT/spinoff/NSM for other MSRs, portfolio stop 220,000  </t>
  </si>
  <si>
    <t>ADNC</t>
  </si>
  <si>
    <t xml:space="preserve">Reduce HLSS to 3k at open 1/11, Research ENS, Cover PANW temp on open unless way down, Buy SBY &lt;18, Buy 200s NSM &lt; 30, Add 200s+ AIG on dips, Short 200s HLF when Ackman covers!, Monitor PANW temp cover (insider buying?), Trading pos: up to 1200s HLSS, 100s ASPS, 200s USNA, SHOS/SBY/SCTY insider buying, research SCTY, hf seeding firms (skybridge), third point site, research TDG, research levered nat gas cos (MHR/PGH), portfolio stop 230,000  </t>
  </si>
  <si>
    <t xml:space="preserve">Sell HLSS trading position &gt; 20, ASPS &gt; 95, Research ENS, Buy SBY &lt;18, Buy 200s NSM &lt; 30, Add 200s+ AIG on dips, Short 200s HLF when Ackman covers!, Trading pos: 300s SPLK, 250s NOW, 150s PANW, up to 1200s HLSS, 100s ASPS, 200s USNA, SHOS/SBY/SCTY insider buying, research SCTY, hf seeding firms (skybridge), third point site, research TDG, research levered nat gas cos (EVEP), BRKR, portfolio stop 230,000  </t>
  </si>
  <si>
    <t xml:space="preserve">Reshort 300s SPLK, 250s NOW, 150s PANW 1/15 open, Sell HLSS trading position &gt; 20, ASPS trading pos &gt; 95, Research ENS, Buy SBY &lt;18, Buy 200s NSM &lt; 30, Add 200s+ AIG on dips, Short 200s HLF when Ackman covers!, Trading pos: 300s SPLK, 250s NOW, 150s PANW, up to 1200s HLSS, 100s ASPS, SHOS/SBY/SCTY insider buying, research SCTY, third point site, research levered nat gas cos (EVEP), BRKR, research DG, DVN, SE, VGR, VLTR, WAIR for short, portfolio stop 230,000  </t>
  </si>
  <si>
    <t xml:space="preserve">Reshort 450s HPQ on pop &gt; 20, Buy 1200s NCT &lt; 9.60, Sell HLSS trading position &gt; 20, ASPS trading pos &gt; 95, Research ENS, Buy SBY &lt;18, Buy 200s NSM &lt; 30, Add 200s+ AIG on dips, Short 200s HLF when Ackman covers!, Trading pos: 300s SPLK, 250s NOW, 150s PANW, up to 1200s HLSS, 100s ASPS, SHOS/SBY/SCTY insider buying, research SCTY, third point site, research levered nat gas cos (EVEP), BRKR, research DG, DVN, SE, VGR, VLTR, WAIR for short, portfolio stop 230,000  </t>
  </si>
  <si>
    <t xml:space="preserve">Sell HLSS/ASPS trading position 1/16 eod, Reshort 450s HPQ on pop &gt; 20, Buy 1200s NCT &lt; 9.60, Research ENS, Buy SBY &lt;18, Buy 200s NSM &lt; 30, Add 200s+ AIG on dips, Short 200s HLF when Ackman covers!, Trading pos: 300s SPLK, 250s NOW, 150s PANW, up to 1200s HLSS, 100s ASPS, SHOS/SBY/SCTY insider buying, research SCTY, third point site, research levered nat gas cos (EVEP), BRKR, research DG, DVN, VGR, VLTR, WAIR for short, AMTG/FFIN/GCI/SNA for long, portfolio stop 230,000  </t>
  </si>
  <si>
    <t xml:space="preserve">Buy 350s AGNC, 500s AMTG, Reshort 450s HPQ on pop &gt; 20, Buy 1200s NCT &lt; 9.60, Buy SBY &lt;18, Buy 200s NSM &lt; 30, Add 200s+ AIG on dips, Short 200s HLF when Ackman covers!, Trading pos: 300s SPLK, 250s NOW, 150s PANW, up to 1200s HLSS, 100s ASPS, SHOS/SBY/SCTY insider buying, research SCTY, third point site, research levered nat gas cos (EVEP), BRKR, research DG, DVN, VGR, VLTR, WAIR for short, AMTG/FFIN/GCI/SNA for long, research MPC long, portfolio stop 230,000  </t>
  </si>
  <si>
    <t>AGNC</t>
  </si>
  <si>
    <t>AMTG</t>
  </si>
  <si>
    <t>MPC</t>
  </si>
  <si>
    <t xml:space="preserve">Short 150s DVN, Buy 1200s NCT &lt; 9.60, Buy SBY &lt;18, Buy 200s NSM &lt; 30, Reshort 450s HPQ on pop &gt; 20, Short 200s HLF when Ackman covers!, Trading pos: , SHOS/SBY/SCTY insider buying, research SCTY, third point site, research levered nat gas cos (EVEP), BRKR, research DG, for short, portfolio stop 230,000  </t>
  </si>
  <si>
    <t xml:space="preserve">Buy 1200s NCT &lt; 9.60, Buy SBY &lt;18, Buy 200s NSM &lt; 30, Reshort 450s HPQ on pop &gt; 20, Short 200s HLF when Ackman covers!, Trading pos: , SHOS/SBY/SCTY insider buying, research SCTY, third point site, research levered nat gas cos, research CyrusOne for longportfolio stop 230,000  </t>
  </si>
  <si>
    <t xml:space="preserve">Buy 500s CF on dip, Buy 1200s NCT &lt; 9.60, Buy SBY &lt;18, Buy 200s NSM &lt; 30, Reshort 450s HPQ on insider selling &gt; 30, Short 200s HLF when Ackman covers!, Trading pos: , SHOS/SBY/SCTY insider buying, research SCTY, third point site, research levered nat gas cos, research CyrusOne for long, research AAPL, WBC long, portfolio stop 230,000  </t>
  </si>
  <si>
    <t>afternoon</t>
  </si>
  <si>
    <t xml:space="preserve">Buy 50s ATRI, Add 20s to AAPL on relative strength, buy 400s CF? Buy 1200s NCT &lt; 9.60, Buy SBY &lt;18, Buy 200s NSM &lt; 30, Reshort 450s HPQ on insider selling &gt; 30, Short 200s HLF when Ackman covers!, Trading pos: , SHOS/SBY/SCTY insider buying, research ATRI long, portfolio stop 230,000  </t>
  </si>
  <si>
    <t xml:space="preserve">Short 20s AAPL on pop, Buy 50s ATRI, buy 400s CF? Buy 1200s NCT &lt; 9.60, Buy SBY &lt;18, Buy 200s NSM &lt; 30, Reshort 450s HPQ on insider selling &gt; 30, Short 200s HLF when Ackman covers!, Trading pos: 150s PANW (insider acq) , SHOS/SBY/SCTY insider buying, research ATRI long, portfolio stop 230,000  </t>
  </si>
  <si>
    <t xml:space="preserve">Cover chinese shorts, Reduce underperforming longs, Short 20s AAPL on pop &amp; then relative weakness, Buy 50s ATRI, buy 400s CF? Buy 1200s NCT &lt; 9.60, Buy SBY &lt;18, Buy 200s NSM &lt; 30, Reshort 450s HPQ on insider selling &gt; 30, Short 200s HLF when Ackman covers!, Trading pos: 150s PANW (insider acq) , SHOS/SBY/SCTY insider buying, research ATRI long, portfolio stop 230,000  </t>
  </si>
  <si>
    <t>Buy back 150s ASPS on dip/first positive close, Short 20s-200s-600s+ AAPL on pop &amp; then relative weakness or new low 450 stop, Buy 50s ATRI, buy 400s CF? Buy 1200s NCT &lt; 9.60, Buy SBY &lt;18, Buy 200s NSM &lt; 30, Reshort 450s HPQ on insider selling &gt; 30, Short 200s HLF when Ackman covers!, Trading pos: 150s PANW (insider acq) , SHOS/SBY/SCTY insider buying, research ATRI long, portfolio stop 230,000</t>
  </si>
  <si>
    <t>Buy back 150s ASPS on dip/first positive close, Cover HLF/USNA, Cover AAPL short if strong open &gt; 450 (455 emergency) after 10:30am, Buy 50s ATRI, buy 400s CF? Buy 1200s NCT &lt; 9.60, Buy SBY &lt;18, Buy 200s NSM &lt; 30, Reshort 450s HPQ on insider selling &gt; 30, Short 200s HLF when Ackman covers!, Trading pos: 150s PANW (insider acq) , SHOS/SBY/SCTY insider buying, research ADC, portfolio stop 230,000</t>
  </si>
  <si>
    <t>TERRIBLE TRADE, NEVER AGAIN LARGE SHORT TERM TECHNICAL TRADES</t>
  </si>
  <si>
    <t>CVRR</t>
  </si>
  <si>
    <t>Sell NEU on pop, Buy back 150s ASPS on dip/first positive close, Buy 1200s NCT &lt; 9.60, Buy SBY &lt;18, Buy 200s NSM &lt; 30, Trading pos: SHOS/SBY/SCTY insider buying, portfolio stop 230,000</t>
  </si>
  <si>
    <t>positive on s&amp;p 500, shorting difficult so temp stop</t>
  </si>
  <si>
    <t>Sell NEU on pop, Reevaluate shorts: PANW SPLK NOW on pop? Buy back 150s ASPS on dip/first positive close, Buy 1200s NCT &lt; 9.60, Buy SBY &lt;18, Buy 200s NSM &lt; 30, Add 400s CVRR, Trading pos: SHOS/SBY/SCTY insider buying, portfolio stop 230,000</t>
  </si>
  <si>
    <t>positive on s&amp;p 500, expect bubbly market &amp; shorting difficult so temp stop</t>
  </si>
  <si>
    <t>Cover VALE temp? Sell NEU on pop, Short 200s NOW on pop, Buy 1200s NCT &lt; 9.60, Buy SBY &lt;18, Buy 200s NSM &lt; 30, Add 200s CVRR, Trading pos: 2000s FMG, SHOS/SBY/SCTY insider buying, research active ETFs to short managers, debt laden floating rate notes, portfolio stop 230,000</t>
  </si>
  <si>
    <t>CONE</t>
  </si>
  <si>
    <t>Short 200s NOW on pop, Buy 1200s NCT &lt; 10, Buy SBY &lt;19, Buy 200s NSM &lt; 30, Add 200s CVRR, Trading pos: 100s ASPS, 2000s FMG, 500s VALE, SHOS/SBY/SCTY insider buying, research active ETFs to short managers, debt laden floating rate notes, portfolio stop 230,000</t>
  </si>
  <si>
    <t>Buy 1200s NCT &lt; 10, Buy SBY &lt;19, Buy 200s NSM &lt; 30, Add 200s CVRR, Trading pos: 100s ASPS, 2000s FMG, 500s VALE, SHOS/SBY/SCTY insider buying, research active ETFs to short managers, debt laden floating rate notes, research ADT long, BAC long portfolio stop 230,000</t>
  </si>
  <si>
    <t>BAC</t>
  </si>
  <si>
    <t>Reshort all 2000s FMG, 250s PBR, 20s AAPL on pop, Buy 1200s NCT &lt; 10, Buy SBY &lt;19, Buy 200s NSM &lt; 30, Add 200s CVRR, Trading pos: 100s ASPS, 2000s FMG, 20s AAPL, SHOS/SBY/SCTY insider buying, research active ETFs to short managers, debt laden floating rate notes, research ADT long, BAC long portfolio, COV spinoff stop 230,000</t>
  </si>
  <si>
    <t>Reshort all 2000s FMG, 250s PBR, 20s AAPL on pop, Buy 1200s NCT &lt; 10, Buy SBY &lt;19, Buy 200s NSM &lt; 30, Add 200s CVRR, Trading pos: 100s ASPS, 2000s FMG, 20s AAPL, SHOS/SBY/SCTY insider buying, research active ETFs to short managers, debt laden floating rate notes, research ADT long, COV spinoff stop 230,000</t>
  </si>
  <si>
    <t>Reshort all 2000s FMG, 250s PBR on pop, Buy 1200s NCT &lt; 10, Buy SBY &lt;19, Buy 200s NSM &lt; 30, Add 200s CVRR, Trading pos: 100s ASPS, 2000s FMG, 20s AAPL, SHOS/SBY/SCTY insider buying, research active ETFs to short managers, debt laden floating rate notes, research ADT long, COV spinoff, stop 230,000</t>
  </si>
  <si>
    <t>Graphs - Net One Fee</t>
  </si>
  <si>
    <t>Buy back 300s+ ASPS on dip/close &gt; 87, Reshort all 2000s FMG, 250s PBR on pop, Buy 1200s NCT &lt; 10, Buy SBY &lt;19, Buy 200s NSM &lt; 30, Add 200s CVRR &lt;30, Trading pos: 300s ASPS, 2000s FMG, 20s AAPL, SHOS/SBY/SCTY insider buying, research active ETFs to short managers, debt laden floating rate notes, research ADT long, COV spinoff, short AUD.USD? stop 230,000</t>
  </si>
  <si>
    <t>Buy back 400s+ ASPS on dip/close &gt; 87,  Buy 1200s NCT &lt; 10.6, Reshort all 2000s FMG, 250s PBR on pop,Buy SBY &lt;19, Buy 200s NSM &lt; 30, Add 200s CVRR &lt;30, Trading pos: 300s ASPS, 2000s FMG, 20s AAPL, SHOS/SBY/SCTY insider buying, research active ETFs to short managers, debt laden floating rate notes, research ADT long, COV spinoff, short AUD.USD? stop 230,000</t>
  </si>
  <si>
    <t>Buy back 400s+ ASPS on dip/close &gt; 87,  Buy 1200s NCT &lt; 10.6, Reshort all 2000s FMG, 250s PBR on pop,Buy SBY &lt;19, Buy 200s NSM &lt; 30, Add 200s CVRR &lt;30, Trading pos: 400s ASPS, 2000s FMG, 20s AAPL, SHOS/SBY/SCTY insider buying, research active ETFs to short managers, debt laden floating rate notes (HY ETFs), research ADT long, short AUD.USD? watch GLD for breakout stop 230,000</t>
  </si>
  <si>
    <t>Add 200s+ ASPS on handle formation/up, Buy 800s NCT &lt; 10.6, Reshort all 2000s FMG, 250s PBR on pop,Buy SBY &lt;19, Buy 200s NSM &lt; 30, Add 200s CVRR &lt;30, Trading pos: 400s ASPS, 2000s FMG, 500s VALE, SHOS/SBY/SCTY insider buying, research active ETFs to short managers, debt laden floating rate notes (HY ETFs), portfolio stop 265,000</t>
  </si>
  <si>
    <t>Reduce 200s/to 10% ASPS on dip/close &lt; 87 by 10:30am 2/15 or on pop, Buy 800s NCT &lt; 10.6, Reshort all 2000s FMG, 250s PBR , 500s VALE on pop, Buy SBY &lt;19, Buy 200s NSM &lt; 30, Add 200s CVRR &lt;30, Trading pos: 2000s FMG, 500s VALE, SHOS/SBY/SCTY insider buying, research active ETFs to short managers, debt laden floating rate notes (HY ETFs), portfolio stop 265,000</t>
  </si>
  <si>
    <t>Buy 800s NCT &lt; 10.6, Reshort all 2000s FMG, 250s PBR , Buy 5% HLF on dip &lt;38-40, Buy SBY &lt;19, Buy 200s NSM &lt; 30, Add 200s CVRR &lt;30, Trading pos: 2000s FMG, 500s VALE, Watch SHOS/SBY/SCTY insider buying, research active ETFs to short managers, debt laden floating rate notes (HY ETFs), research ABBV, portfolio stop 265,000</t>
  </si>
  <si>
    <t>Buy 5%+ HLF on dip, Buy 5%/400s DXJ, Add to 10%+ ASPS on rounded bottom, Buy 800s NCT &lt; 10.6,  Add 200s+ CVRR &lt;30, 100s+ PSX &lt;55, Reshort all 2000s FMG, 250s PBR , Buy 5% HLF on dip &lt;38-40, Buy SBY &lt;19, Buy 200s NSM &lt; 30, Trading pos: 2000s FMG, Watch SHOS/SBY/SCTY insider buying, research active ETFs to short managers, debt laden floating rate notes (HY ETFs), research ABBV, research DXJ, swiss franc short, research C/BAC long? research MUR long/insider buying, portfolio stop 265,000</t>
  </si>
  <si>
    <t>DXJ</t>
  </si>
  <si>
    <t>MUR</t>
  </si>
  <si>
    <t>C</t>
  </si>
  <si>
    <t>Add to 10%+ ASPS on rounded bottom, Buy 800s NCT &lt; 10.6,  Add 400s+ CVRR &lt;30, 100s+ PSX &lt;55, Add more AIG/BAC on dip/insider buying, Reshort all 2000s FMG, 250s PBR , Buy SBY &lt;19, Buy 200s NSM &lt; 30, Trading pos: 2000s FMG, Watch SHOS/SBY/SCTY insider buying, research active ETFs to short managers, debt laden floating rate notes (HY ETFs), research ABBV, swiss franc short, portfolio stop 265,000</t>
  </si>
  <si>
    <t>Sell MPC, BAC, C on pop, Buy back 300s HLF on dip &lt; 37, Add to 10%+ ASPS on rounded bottom, Buy 800s NCT &lt; 10.6,  Add 400s+ CVRR &lt;30, 100s+ PSX &lt;55, Add more AIG/BAC on dip/insider buying, Reshort all 2000s FMG, 250s PBR , Buy SBY &lt;19, Buy 200s NSM &lt; 30, Trading pos: 2000s FMG, 300s HLF, Watch SHOS/SBY/SCTY insider buying, research active ETFs to short managers, debt laden floating rate notes (HY ETFs), research ABBV, swiss franc short, portfolio stop 265,000</t>
  </si>
  <si>
    <t>Buy 350s AGNC, 500s AMTG, 500s WMC at open, Add more 500s+ NCT&lt;10.5/200s+CVRR&lt;30 on dips, Add more AIG on dip/insider buying, Reshort all 2000s FMG, 250s PBR , Buy SBY &lt;19, Buy 200s NSM &lt; 30, Trading pos: 2000s FMG, 300s HLF, Watch LivingSocial ipo for short, ASPS/SHOS/SBY/SCTY insider buying, research active ETFs to short managers, debt laden floating rate notes (HY ETFs), research ABBV, swiss franc short, portfolio stop 265,000</t>
  </si>
  <si>
    <t>Add 250s MUR max to 15%, Sell NEU on pop, Add more 500s+ NCT&lt;10.5/200s+CVRR&lt;30 on dips, Add more AIG on dip/insider buying,  Reshort all 2000s FMG, 250s PBR , Buy SBY &lt;19, Buy 200s NSM &lt; 30, GC short? Trading pos: 250s MUR, 2000s FMG, 300s HLF, Watch LivingSocial ipo for short, ASPS/SHOS/SBY/SCTY insider buying, research active ETFs to short managers, debt laden floating rate notes (HY ETFs), research ABBV, swiss franc short, research WWAV, portfolio stop 265,000</t>
  </si>
  <si>
    <t>positive on s&amp;p 500, max 150% net long</t>
  </si>
  <si>
    <t>Add 200s to VALE to 5% short, Add 250s MUR max to 15%, Add more 500s+ NCT&lt;10.5/200s+CVRR&lt;30 on dips, Add more AIG on dip/insider buying,  Reshort all 2000s FMG, 250s PBR , Buy SBY &lt;19, Buy 200s NSM &lt; 30, GC short? HNZ sell put for merger arb? Trading pos: 250s MUR, 2000s FMG, 300s HLF, Watch LivingSocial ipo for short, ASPS/SHOS/SBY/SCTY insider buying, research active ETFs to short managers, debt laden floating rate notes (HY ETFs), research ABBV, swiss franc short, research WWAV, portfolio stop 265,000</t>
  </si>
  <si>
    <t>ABBV</t>
  </si>
  <si>
    <t>Add 250s MUR max to 15%, Add more 500s+ NCT&lt;10.5/200s+CVRR&lt;30 on dips, Add more AIG on dip/insider buying,  Reshort all 250s PBR , Buy SBY &lt;19, Buy 200s NSM &lt; 30, Trading pos: 250s MUR, 2000s FMG, 300s HLF, Watch LivingSocial ipo for short, ASPS/SHOS/SBY/SCTY insider buying, research active ETFs to short managers, debt laden floating rate notes (HY ETFs), research ABBV, swiss franc short, silicon investor signup, VALE puts, portfolio stop 265,000</t>
  </si>
  <si>
    <t>positive on s&amp;p 500 till end of year, max 150% net long</t>
  </si>
  <si>
    <t>Add 250s MUR max to 15%, Add more 500s+ NCT&lt;10.5/200s+CVRR&lt;30 on dips, Add more AIG&lt;35/insider buying,  Reshort all 250s PBR , Buy SBY &lt;19, Buy 200s NSM &lt; 30, Trading pos: 250s MUR, 2000s FMG, 300s HLF, Watch LivingSocial ipo for short, ASPS/SHOS/SBY/SCTY insider buying, research active ETFs to short managers, debt laden floating rate notes (HY ETFs), swiss franc short, silicon investor signup, VALE puts, portfolio stop 265,000</t>
  </si>
  <si>
    <t>Add 400s HLSS &lt; 22, Add more 500s+ NCT&lt;10.5/200s+CVRR&lt;30 on dips, Add more AIG&lt;35/insider buying,  Reshort all 250s PBR on pop , Buy SBY &lt;19, Buy 200s NSM &lt; 30, Trading pos: 250s MUR, 2000s FMG, Watch LivingSocial ipo for short, ASPS/SHOS/SBY/SCTY insider buying, research active ETFs to short managers, debt laden floating rate notes (HY ETFs), swiss franc short, silicon investor signup, portfolio stop 265,000</t>
  </si>
  <si>
    <t>Watch 30s AAPL, Add 400s HLSS &lt; 22, Add more 500s+ NCT&lt;10.5/200s+CVRR&lt;29 on dips, Add more AIG&lt;35/insider buying,  Reshort all 250s PBR on pop , Buy SBY &lt;19, Buy 200s NSM &lt; 30, Trading pos: 250s MUR, 2000s FMG, 30s AAPL, Watch LivingSocial ipo for short, ASPS/SHOS/SBY/SCTY insider buying, research active ETFs to short managers, debt laden floating rate notes (HY ETFs), swiss franc short, silicon investor signup, research CLMS, ITW, portfolio stop 265,000</t>
  </si>
  <si>
    <t>Watch 30s AAPL, Add SBY &lt;19 (insider), Add 400s HLSS &lt; 22, Add more 500s+ NCT&lt;10.5/200s+CVRR&lt;29 on dips, Add more AIG&lt;35/insider buying,  Reshort all 250s PBR on pop , Buy 200s NSM &lt; 30, Trading pos: 250s MUR, 2000s FMG, 30s AAPL, Watch LivingSocial ipo for short, ASPS/SHOS/SBY/SCTY insider buying, research active ETFs to short managers, debt laden floating rate notes (HY ETFs), swiss franc short, silicon investor signup, research CLMS, ITW, TRNO, VR, portfolio stop 265,000</t>
  </si>
  <si>
    <t>Reshort 30s AAPL, Add SBY &lt;19/stabilization (insider), Add 400s HLSS &lt; 22, Add more 500s+ NCT&lt;10.5/200s+CVRR&lt;29 on dips, Add more AIG&lt;35/insider buying,  Reshort all 250s PBR on pop , Buy 200s NSM &lt; 30, Trading pos: 250s MUR, 2000s FMG, 30s AAPL, Watch LivingSocial ipo for short, ASPS/SHOS/SBY/SCTY insider buying, research active ETFs to short managers, debt laden floating rate notes (HY ETFs), swiss franc short, silicon investor signup, research CLMS, ITW, TRNO, VR, portfolio stop 265,000</t>
  </si>
  <si>
    <t>Reshort 30s AAPL, Add SBY &lt;19/stabilization (insider), Add 400s HLSS &lt; 22, Add more 500s+ NCT&lt;10.5/200s+CVRR&lt;29 on dips, Add more AIG&lt;35/insider buying,  Reshort all 250s PBR on pop , Buy 200s NSM &lt; 30, Trading pos: 250s MUR, 30s AAPL, Watch LivingSocial ipo for short, ASPS/SHOS/SBY/SCTY insider buying, research active ETFs to short managers, debt laden floating rate notes (HY ETFs), swiss franc short, silicon investor signup, research CLMS, ITW, TRNO, VR, GILD, ARCP portfolio stop 265,000</t>
  </si>
  <si>
    <t>NEVER EVER DAY TRADE IN LARGE SIZE, NEVER EVER DAY TRADE IN LARGE SIZE, NEVER EVER DAY TRADE IN LARGE SIZE, Short 30s AAPL on pop, Add SBY &lt;19/stabilization (insider), Add 400s HLSS &lt; 22, Add more 500s+ NCT&lt;10.5/200s+CVRR&lt;29 on dips, Add more AIG&lt;35/insider buying,  Reshort all 250s PBR on pop , Buy 200s NSM &lt; 30, Trading pos: 250s MUR, 30s AAPL, Watch LivingSocial ipo for short, ASPS/SHOS/SBY/SCTY insider buying, research active ETFs to short managers, debt laden floating rate notes (HY ETFs), swiss franc short, silicon investor signup, research CLMS, ITW, TRNO, VR, GILD, ARCP portfolio stop 265,000</t>
  </si>
  <si>
    <t>NEVER EVER DAY TRADE IN LARGE SIZE, NEVER EVER DAY TRADE IN LARGE SIZE, Buy 5% CMI? Buy back RSE on dip &lt; 16, Add SBY &lt;19/stabilization (insider), Add 100s+ PSX &lt; 62, Add 400s HLSS &lt; 22, Add more 500s+ NCT&lt;10.5/200s+CVRR&lt;29 on dips, Add more AIG&lt;35/insider buying,  Short 30s AAPL on pop &gt; 450, Reshort all 250s PBR on pop , Buy 200s NSM &lt; 30, Trading pos: 250s MUR, 30s AAPL, Watch LivingSocial ipo for short, ASPS/SHOS/SBY/SCTY insider buying, research active ETFs to short managers, debt laden floating rate notes (HY ETFs), swiss franc short, silicon investor signup, research CLMS, ITW, TRNO, VR, TKR, portfolio stop 265,000</t>
  </si>
  <si>
    <t>positive on s&amp;p 500 till end of year, max 150% net long, very selective on shorts</t>
  </si>
  <si>
    <t>NEVER EVER DAY TRADE IN LARGE SIZE, Add 100s+ PSX &lt; 62, Buy back 5% asps after 3/25 (insider), Buy 5% CMI? Buy back RSE on dip &lt; 16, Add 400s HLSS &lt; 22, Add more 500s+ NCT&lt;10.5/200s+CVRR&lt;29 on dips, Add more AIG&lt;35/insider buying,  Short 30s AAPL on pop &gt; 450, Reshort all 250s PBR on pop , Buy 200s NSM &lt; 30, Trading pos: 250s MUR, 30s AAPL, Watch LivingSocial ipo for short, ASPS/SHOS/SBY/SCTY insider buying, research active ETFs to short managers, debt laden floating rate notes (HY ETFs), swiss franc short, silicon investor signup, research CLMS, ITW, TRNO, VR, TKR, ADNC (insider), MTG (insider) portfolio stop 285,000</t>
  </si>
  <si>
    <t>Reduce overall long positions (ABBV?), Add 100s+ PSX &lt; 62, Buy back 5% asps after 3/25 (insider), Buy 5% CMI? Buy back RSE on dip &lt; 16, Add 400s HLSS &lt; 22, Add more 500s+ NCT&lt;10.5/200s+CVRR&lt;29 on dips, Add more AIG&lt;35/insider buying,  Short 30s AAPL on pop &gt; 450, Reshort all 250s PBR on pop , Buy 200s NSM &lt; 30, Trading pos: 250s MUR, Watch LivingSocial ipo for short, ASPS/SHOS/SBY/SCTY insider buying, research active ETFs to short managers, debt laden floating rate notes (HY ETFs), swiss franc short, silicon investor signup, research CLMS, ITW, TRNO, VR, TKR, ADNC (insider), MTG (insider) portfolio stop 285,000</t>
  </si>
  <si>
    <t>Reduce overall long positions, Add 100s+ PSX &lt; 62, Buy back 5% asps after 3/25 (insider), Buy 5% CMI? Short AAPL 30s on pop &gt; 440, Buy back RSE on dip &lt; 16, Buy HLF on dip? Add 400s HLSS &lt; 22, Add more 500s+ NCT&lt;10.5/200s+CVRR&lt;29 on dips, Add more AIG&lt;35/insider buying,  Short 30s AAPL on pop &gt; 450, Reshort all 250s PBR on pop , Buy 200s NSM &lt; 30, Trading pos: 250s MUR, Watch LivingSocial ipo for short, ASPS/SHOS/SBY/SCTY insider buying, research active ETFs to short managers, debt laden floating rate notes (HY ETFs), swiss franc short, silicon investor signup, research CLMS, ITW, TRNO, VR, TKR, ADNC (insider), portfolio stop 285,000</t>
  </si>
  <si>
    <t>Reduce overall long positions (SBY?), Add 100s+ PSX &lt; 62, Buy back 5% asps after 3/25 (insider), Buy 5% CMI? Short AAPL 30s on pop &gt; 440, Buy back RSE on dip &lt; 16, Buy HLF on dip? Add 400s HLSS &lt; 22, Add more 500s+ NCT&lt;10.5/200s+CVRR&lt;29 on dips, Add more AIG&lt;35/insider buying,  Short 30s AAPL on pop &gt; 450, Reshort all 250s PBR on pop , Buy 200s NSM &lt; 30, Trading pos: 250s MUR, Watch LivingSocial ipo for short, ASPS/SHOS/SBY/SCTY insider buying, research active ETFs to short managers, debt laden floating rate notes (HY ETFs), swiss franc short, silicon investor signup, research CLMS, ITW, TRNO, VR, TKR, ADNC (insider), portfolio stop 310,000</t>
  </si>
  <si>
    <t>Reduce overall long positions (SBY?), Add 100s+ PSX &lt; 62, Buy back 5% asps after 3/25 (insider), Buy 5% CMI? Short AAPL 30s on pop &gt; 450, Buy back RSE on dip &lt; 16, Buy HLF on dip? Add 400s HLSS &lt; 22, Add more 500s+ NCT&lt;10.5 on dips, Add more AIG&lt;35/insider buying,  Reshort all 250s PBR on pop , Buy 200s NSM &lt; 30, Trading pos: 250s MUR, Watch LivingSocial ipo for short, ASPS/SHOS/SBY/SCTY insider buying, research active ETFs to short managers, debt laden floating rate notes (HY ETFs), swiss franc short, silicon investor signup, research CLMS, ITW, TRNO, VR, TKR, ADNC (insider), portfolio stop 310,000</t>
  </si>
  <si>
    <t>VALE puts? Reduce overall long positions (SBY?), Add 100s+ PSX &lt; 62, Buy back 5% asps after 3/25 (insider), Buy 5% CMI? Short AAPL 30s on pop &gt; 450 &amp; when insider sellers, Buy back RSE on dip &lt; 16, Buy HLF on dip? Add 400s HLSS &lt; 22, Add more 500s+ NCT&lt;10.5 on dips, Add more AIG&lt;35/insider buying,  Reshort all 250s PBR on pop , Buy 200s NSM &lt; 30, Trading pos: 250s MUR, Watch LivingSocial ipo for short, ASPS/SHOS/SBY/SCTY insider buying, research active ETFs to short managers, debt laden floating rate notes (HY ETFs), swiss franc short, silicon investor signup, research portfolio stop 310,000s</t>
  </si>
  <si>
    <t>VALE puts? Reduce overall long positions (300s-700s NCT if down &gt;10:30am, SBY?), Add 100s+ PSX &lt; 62, Buy back 5% asps after 3/25 (insider), Buy 5% CMI? Short AAPL 30s on pop &gt; 450 &amp; when insider sellers, Buy back RSE on dip &lt; 16, Buy HLF on dip? Add 400s HLSS &lt; 22, Add more 500s+ NCT&lt;10.5 on dips, Add more AIG&lt;35/insider buying,  Reshort all 250s PBR on pop , Buy 200s NSM &lt; 30, Trading pos: 250s MUR, Watch LivingSocial ipo for short, ASPS/SHOS/SBY/SCTY insider buying, research active ETFs to short managers, debt laden floating rate notes (HY ETFs), swiss franc short, silicon investor signup, research portfolio stop 310,000s</t>
  </si>
  <si>
    <t>VALE puts? Reduce overall long positions (300s-700s NCT if down &gt;10:30am on monday), Add 100s+ PSX &lt; 62, Buy back 5% asps after 3/25 (insider), Buy 5% CMI? Short AAPL 30s on pop &gt; 450 &amp; when insider sellers, Buy back RSE on dip &lt; 16, Buy HLF on dip? Add 400s HLSS &lt; 22, Add more 500s+ NCT&lt;10.5 on dips, Add more AIG&lt;35/insider buying,  Reshort all 250s PBR on pop , Buy 200s NSM &lt; 30, Trading pos: 250s MUR, Watch LivingSocial ipo for short, ASPS/SHOS/SBY/SCTY insider buying, research active ETFs to short managers, debt laden floating rate notes (HY ETFs), swiss franc short, silicon investor signup, research portfolio stop 310,000s</t>
  </si>
  <si>
    <t>VALE puts? Buy 1000s RSE (insider), Reduce overall long positions (NCT/HLSS/CVRR), Add 100s+ PSX &lt; 62, Buy back 5% asps after 3/25 (insider), Buy 5% CMI? Short AAPL 30s on pop &gt; 450 &amp; when insider sellers, Buy HLF on dip? Add 400s HLSS &lt; 22, Add more 500s+ NCT&lt;10.5 on dips, Add more AIG&lt;35/insider buying,  Reshort all 250s PBR on pop , Buy 200s NSM &lt; 30, Trading pos: 250s MUR, Watch LivingSocial ipo for short, ASPS/SHOS/SBY/SCTY insider buying, research active ETFs to short managers, debt laden floating rate notes (HY ETFs), swiss franc short, silicon investor signup, research CHDN, portfolio stop 310,000s</t>
  </si>
  <si>
    <t>VALE puts? Buy 1000s RSE (insider), Add more 1500s+ NCT&lt;10.5 on dips, Add 400s HLSS &lt; 22, Add 100s+ PSX &lt; 62, Buy back 5% asps after 3/25 (insider), Buy 5% CMI? Short AAPL 30s on pop &gt; 450 &amp; when insider sellers, Buy HLF on dip? Add more AIG&lt;35/insider buying,  Reshort all 250s PBR on pop , Buy 200s NSM &lt; 30, Trading pos: 250s MUR, Watch LivingSocial ipo for short, ASPS/SHOS/SBY/SCTY insider buying, research active ETFs to short managers, debt laden floating rate notes (HY ETFs), swiss franc short, silicon investor signup, research CHDN, portfolio stop 310,000s</t>
  </si>
  <si>
    <t>Short VALE 900s more,  Buy HLF on dip? Add more 200s+ NCT&lt;10.5 on dips, Add 400s HLSS &lt; 22, Add 100s+ PSX &lt; 62, Buy back 5% asps after 3/25 (insider), Buy 5% CMI? Short AAPL 30s on pop &gt; 450 &amp; when insider sellers, Add more AIG&lt;35/insider buying,  Reshort all 250s PBR on pop , Buy 200s NSM &lt; 30, Trading pos: 250s MUR, Watch LivingSocial ipo for short, ASPS/SHOS/SBY/SCTY insider buying, research active ETFs to short managers, debt laden floating rate notes (HY ETFs), swiss franc short, silicon investor signup, research CHDN, portfolio stop 310,000s</t>
  </si>
  <si>
    <t>Cover VALE if up day/outperform after 10:30am, Buy HLF on dip? Add more 200s+ NCT&lt;10.5 on dips, Add 400s HLSS &lt; 22, Add 100s+ PSX &lt; 62, Buy back 5% asps after 3/25 (insider), Buy 5% CMI? Short AAPL 30s on pop &gt; 450 &amp; when insider sellers, Add more AIG&lt;35/insider buying,  Reshort all 250s PBR on pop , Buy 200s NSM &lt; 30, Trading pos: 250s MUR, Watch LivingSocial ipo for short, ASPS/SHOS/SBY/SCTY insider buying, research active ETFs to short managers, debt laden floating rate notes (HY ETFs), swiss franc short, silicon investor signup, research CHDN, portfolio stop 310,000s</t>
  </si>
  <si>
    <t>Buy HLF 500s on strength after 10:30am? Cover VALE if up day/outperform after 10:30am, Add more 200s+ NCT&lt;10.5 on dips, Add 400s HLSS &lt; 22, Add 100s+ PSX &lt; 62, Buy back 5% asps after 3/25 (insider), Buy 5% CMI? Short AAPL 30s on pop &gt; 450 &amp; when insider sellers, Add more AIG&lt;35/insider buying,  Reshort all 250s PBR on pop , Buy 200s NSM &lt; 30, Trading pos: 250s MUR, Watch LivingSocial ipo for short, ASPS/SHOS/SBY/SCTY insider buying, research active ETFs to short managers, debt laden floating rate notes (HY ETFs), swiss franc short, silicon investor signup, research CHDN, portfolio stop 310,000s</t>
  </si>
  <si>
    <t>Sell HLF &lt; 37.50-75 at 3:50pm, if Cover VALE if up day/outperform after 10:30am, Add more 200s+ NCT&lt;10.5 on dips, Add 400s HLSS &lt; 22, Add 100s+ PSX &lt; 62, Buy back 5% asps after 3/25 (insider), Buy 5% CMI? Short AAPL 30s on pop &gt; 450 &amp; when insider sellers, Add more AIG&lt;35/insider buying,  Reshort all 250s PBR on pop , Buy 200s NSM &lt; 30, Trading pos: 250s MUR, Watch LivingSocial ipo for short, ASPS/SHOS/SBY/SCTY insider buying, research active ETFs to short managers, debt laden floating rate notes (HY ETFs), swiss franc short, silicon investor signup, research CHDN, portfolio stop 310,000s</t>
  </si>
  <si>
    <t>Sell HLF if &lt; 37.50-75  after 10:30am 4/1, if Cover VALE if up day/outperform after 10:30am, Buy 5% AGCO, Add more 200s+ NCT&lt;10.5 on dips, Add 400s HLSS &lt; 22, Add 100s+ PSX &lt; 62, Buy back 5% asps after 3/25 (insider), Buy 5% CMI? Short AAPL 30s on pop &gt; 450 &amp; when insider sellers, Add more AIG&lt;35/insider buying,  Reshort all 250s PBR on pop , Buy 200s NSM &lt; 30, Trading pos: 250s MUR, Watch LivingSocial ipo for short, ASPS/SHOS/SBY/SCTY insider buying, research active ETFs to short managers, debt laden floating rate notes (HY ETFs), swiss franc short, silicon investor signup, research CHDN, portfolio stop 310,000s</t>
  </si>
  <si>
    <t>99% invested</t>
  </si>
  <si>
    <t>Buy 5% AGCO, Add more 200s+ NCT&lt;10.5 on dips, Add 400s HLSS &lt; 22, Add 100s+ PSX &lt; 62, Buy back 5% asps after 3/25 (insider), Buy 5% CMI? Short AAPL 30s on pop &gt; 450 &amp; when insider sellers, Add more AIG&lt;35/insider buying,  Reshort all 250s PBR on pop , Buy 200s NSM &lt; 30, Trading pos: 250s MUR, Watch LivingSocial ipo for short, ASPS/SHOS/SBY/SCTY insider buying, research active ETFs to short managers, debt laden floating rate notes (HY ETFs), swiss franc short, silicon investor signup, research CHDN, portfolio stop 310,000s</t>
  </si>
  <si>
    <t>new buy sig</t>
  </si>
  <si>
    <t>Buy 5% AGCO, Add more 200s+ NCT&lt;10.5 on dips, Add 400s HLSS &lt; 22, Add 100s+ PSX &lt; 62, Buy back 5% asps after 3/25 (insider), Buy 5% CMI? Short AAPL 30s on pop &gt; 450 &amp; when insider sellers, Add more AIG&lt;35/insider buying,  Reshort all 250s PBR on pop , Buy 200s NSM &lt; 30, Trading pos: 250s MUR, Watch LivingSocial ipo for short, ASPS/SHOS/SBY/SCTY insider buying, research active ETFs to short managers, debt laden floating rate notes (HY ETFs), research XRAY, swiss franc short, silicon investor signup, portfolio stop 320,000s</t>
  </si>
  <si>
    <t>okay move</t>
  </si>
  <si>
    <t>Portfolio Monitoring</t>
  </si>
  <si>
    <t>done for now</t>
  </si>
  <si>
    <t>Choices: (-1/0/1)</t>
  </si>
  <si>
    <t>last updated</t>
  </si>
  <si>
    <t>Watch/next chg</t>
  </si>
  <si>
    <t>12mth macro</t>
  </si>
  <si>
    <t>AAII Retail/Insti sentiment/ICI flows contrary</t>
  </si>
  <si>
    <t>Cover VALE? Buy back 300s more CVRR &lt; 30-31, Add 400s HLSS &lt; 22, Add 100s+ PSX &lt; 62, Buy back 5% asps after 3/25 (insider), Buy 5% CMI?  Add more AIG&lt;35/insider buying,  Reshort all 250s PBR on pop , Buy 200s NSM &lt; 30, Trading pos: 250s MUR, Watch LivingSocial ipo for short, ASPS/SHOS/SBY/SCTY insider buying, research active ETFs to short managers, debt laden floating rate notes (HY ETFs), research XRAY, swiss franc short, silicon investor signup, portfolio stop 320,000s</t>
  </si>
  <si>
    <t>Target 90pct +-5, REDUCE ONLY esp on weakness</t>
  </si>
  <si>
    <t>Buys</t>
  </si>
  <si>
    <t>News sentiment contrary</t>
  </si>
  <si>
    <t xml:space="preserve">Buy LUV200s, HD NVR JPM SBUX HEI, DDOG BKNG DPZ NFLX IDXX CHD </t>
  </si>
  <si>
    <t>Sells</t>
  </si>
  <si>
    <t>Lt valuation contrary (norm p/e vs rates)</t>
  </si>
  <si>
    <t xml:space="preserve">Sell AAPL50s, MSFT100s, TEAM100S, googl10s, hd50s, nvr2s, aer150s </t>
  </si>
  <si>
    <t>Research</t>
  </si>
  <si>
    <t>1 yr/6mth oversold/trend-ma-brdth-relastreng</t>
  </si>
  <si>
    <t>Research  DDOG, NVO, NZYM, NKE,  SoftBank shrt, ROKU, TDY, ew zts, financials</t>
  </si>
  <si>
    <t>note (macro)</t>
  </si>
  <si>
    <t>total (+-5pct per point from 80%)</t>
  </si>
  <si>
    <t>Add longs &gt; 10:30am if not big down day (unemploy), Buy back 300s more CVRR &lt; 30-31, Add 300s HLSS &lt; 22.5, Add 100s+ PSX &lt; 62, Add 1500s NCT &lt; 10.5, Buy back 5% asps after 3/25 (insider), Buy 5% CMI?  Add more AIG&lt;35/insider buying,  Reshort all 250s PBR on pop , Buy 200s NSM &lt; 30, Trading pos: 250s MUR, Watch LivingSocial ipo for short, ASPS/SHOS/SBY/SCTY insider buying, research active ETFs to short managers, debt laden floating rate notes (HY ETFs), research XRAY, swiss franc short, silicon investor signup, portfolio stop 320,000s</t>
  </si>
  <si>
    <t>positive S&amp;P 500 2019; positive tech; 700k stop, exit when einhorn closes; negative on china</t>
  </si>
  <si>
    <t>target allocation pct</t>
  </si>
  <si>
    <t>Investment Process (Daily)</t>
  </si>
  <si>
    <t>AGCO</t>
  </si>
  <si>
    <t>Strategies:</t>
  </si>
  <si>
    <t>Buy longs if strong &gt; 10:30am Monday 4/8, Buy back 300s more CVRR &lt; 30, Add 400s HLSS &lt; 22.5, Add 1000s NCT &lt; 10.5, Buy back 5% asps after 3/25 (if insider), Buy 5% CMI?  Add more AIG&lt;35/insider buying,  Buy 200s NSM &lt; 30, Trading pos 400s SBY, Watch LivingSocial ipo for short, ASPS/SHOS/SBY/SCTY insider buying, research active ETFs to short managers, debt laden floating rate notes (HY ETFs), research XRAY, swiss franc short, silicon investor signup, portfolio stop 320,000s</t>
  </si>
  <si>
    <t>Kelly Criterion</t>
  </si>
  <si>
    <t>1. Set target net exposure (12 mth macro) &amp; max drawdown</t>
  </si>
  <si>
    <t>Sell AGCO, Buy back 300s more CVRR &lt; 30 (S-1/insider buying), Add 400s HLSS &lt; 22.5, Add 1000s NCT &lt; 10.5, Buy back 5% asps after 3/25 (if insider), Buy 5% CMI?  Add more AIG&lt;35/insider buying,  Buy 200s NSM &lt; 30, Trading pos 400s SBY, Watch LivingSocial ipo for short, ASPS/SHOS/SBY/SCTY insider buying, research active ETFs to short managers, debt laden floating rate notes (HY ETFs), research XRAY, swiss franc short, silicon investor signup, portfolio stop 320,000s</t>
  </si>
  <si>
    <t>Manual Wgt Guidelines (Adjust for Beta/Volatility)</t>
  </si>
  <si>
    <t>2. Based on ind weekly+ relative momentum/oversold, determine chg</t>
  </si>
  <si>
    <t>Tot Ret</t>
  </si>
  <si>
    <t>Position SizeL</t>
  </si>
  <si>
    <t>Position SizeS</t>
  </si>
  <si>
    <t>P</t>
  </si>
  <si>
    <t>*based on 1-yr trailing 2014</t>
  </si>
  <si>
    <t xml:space="preserve">  a. swap for net gain implied chg and tot ret % by chging tgt/stop</t>
  </si>
  <si>
    <t>75%+</t>
  </si>
  <si>
    <t>Q</t>
  </si>
  <si>
    <t xml:space="preserve">      in deciding what to swap out, </t>
  </si>
  <si>
    <t>50%+</t>
  </si>
  <si>
    <t>B</t>
  </si>
  <si>
    <t>*based on specific trade</t>
  </si>
  <si>
    <t xml:space="preserve">  b. to incr net, check pos implied chg and tot ret/10 for add</t>
  </si>
  <si>
    <t>25%+</t>
  </si>
  <si>
    <t>(incl borrow fee for shorts)</t>
  </si>
  <si>
    <t xml:space="preserve">  c. to decr net, check neg implied chg and tot ret/10 for reduce</t>
  </si>
  <si>
    <t>Remaining</t>
  </si>
  <si>
    <t>Buy 5% CMI?  Buy 200s NSM &lt; 30, Trading pos 400s SBY, Watch LivingSocial ipo for short, ASPS/SHOS/SBY/SCTY insider buying, research active ETFs to short managers, debt laden floating rate notes (HY ETFs), research XRAY, swiss franc short, silicon investor signup, research IEP long, AIG etc. tarp warrants on dip (AIG &lt; 35?) new insider buy sources, portfolio stop 320,000s</t>
  </si>
  <si>
    <t>3. New security selection / manual wgt chg &amp; 10K</t>
  </si>
  <si>
    <t>Kelly</t>
  </si>
  <si>
    <t xml:space="preserve">  a. driven by weekly+ momentum with stratgen</t>
  </si>
  <si>
    <t>1/2 Kelly</t>
  </si>
  <si>
    <t>longs</t>
  </si>
  <si>
    <t xml:space="preserve">  b. and FINVIZ highs+roa/insiders</t>
  </si>
  <si>
    <t>1/4 Kelly</t>
  </si>
  <si>
    <t>Buy 300s CVRR &lt; 31 or strong day &gt; 10:30am 4/10, Sell ASPS if weak after 10:30am 4/10, Buy 5% CMI?  Buy 200s NSM &lt; 30, Trading pos 300s CVRR, Watch LivingSocial ipo for short, ASPS/SHOS/SBY/SCTY insider buying, research active ETFs to short managers, debt laden floating rate notes (HY ETFs), research XRAY, swiss franc short, silicon investor signup, research IEP long, AIG etc. tarp warrants on dip (AIG &lt; 35?) new insider buy sources, review presidential budget, portfolio stop 320,000s</t>
  </si>
  <si>
    <t>shorts</t>
  </si>
  <si>
    <t xml:space="preserve">  c. and last date fundamentals updated &amp; research</t>
  </si>
  <si>
    <t>Kelly Adj</t>
  </si>
  <si>
    <t>4, Copy trades + buys/sells + updates to Log, Update Port Val in Data</t>
  </si>
  <si>
    <t>5. Check/update closed trades for pctreturn</t>
  </si>
  <si>
    <t>IBTX</t>
  </si>
  <si>
    <t>Adj$ (Cash amount)</t>
  </si>
  <si>
    <t>Max Implied Chg (blank or not)</t>
  </si>
  <si>
    <t>Portf Val</t>
  </si>
  <si>
    <t>GKK</t>
  </si>
  <si>
    <t>Tot &amp; R:R</t>
  </si>
  <si>
    <t>Buy AIG warrants when AIG &lt; 35, Buy 5% CMI?  Trading pos ,Watch LivingSocial ipo for short, ASPS/SHOS/SBY/SCTY insider buying, research active ETFs to short managers, debt laden floating rate notes (HY ETFs), research XRAY, swiss franc short, silicon investor signup, research IEP long, AIG etc. tarp warrants on dip (AIG &lt; 35?), research GKK, WD, review presidential budget, portfolio stop 320,000s</t>
  </si>
  <si>
    <t>R:R scaled by Manual Wgt</t>
  </si>
  <si>
    <t>Target Allocations</t>
  </si>
  <si>
    <t>Security</t>
  </si>
  <si>
    <t>Current</t>
  </si>
  <si>
    <t>Shares</t>
  </si>
  <si>
    <t>Implied Chg (+/-3%)</t>
  </si>
  <si>
    <t>Manual Wgt</t>
  </si>
  <si>
    <t>Implied Wgt</t>
  </si>
  <si>
    <t>Add 1500s/5% to NCT trading position/breakout? Buy AIG warrants when AIG &lt; 35, Buy 5% CMI?  Trading pos ,Watch LivingSocial ipo for short, ASPS/SHOS/SBY/SCTY insider buying, research active ETFs to short managers, debt laden floating rate notes (HY ETFs), research XRAY, swiss franc short, silicon investor signup, research IEP long, AIG etc. tarp warrants on dip (AIG &lt; 35?), research GKK, WD, review presidential budget, portfolio stop 320,000s</t>
  </si>
  <si>
    <t>Target Implied Chg</t>
  </si>
  <si>
    <t>Day % Chg</t>
  </si>
  <si>
    <t>Cur Price</t>
  </si>
  <si>
    <t>Target Next Chg</t>
  </si>
  <si>
    <t>Target Fwd P/E</t>
  </si>
  <si>
    <t>Yr To FYEnd</t>
  </si>
  <si>
    <t>Last Updated</t>
  </si>
  <si>
    <t>BRK.B</t>
  </si>
  <si>
    <t>Sell MUR (poor industry)? Buy AIG warrants when AIG &lt; 35, Buy 5% CMI?  Trading pos 1500s NCT, Watch LivingSocial ipo for short, ASPS/SHOS/SBY/SCTY insider buying, research active ETFs to short managers, debt laden floating rate notes (HY ETFs), research XRAY, swiss franc short, silicon investor signup, research IEP long, AIG etc. tarp warrants on dip (AIG &lt; 35?), research GKK, WD, review presidential budget, portfolio stop 320,000s</t>
  </si>
  <si>
    <t>Search for longs but buy on next dip after rise, Get ready to buy DXJ, Short KGC/GDX on pop? Buy AIG warrants when AIG &lt; 35, Buy 5% CMI?  Trading pos 1500s NCT, Watch LivingSocial ipo for short, ASPS/SHOS/SBY/SCTY insider buying, research active ETFs to short managers, debt laden floating rate notes (HY ETFs), swiss franc short, silicon investor signup, research IEP long, AIG etc. tarp warrants on dip (AIG &lt; 35?), research GKK, WD, SAFT, review presidential budget, portfolio stop 320,000s</t>
  </si>
  <si>
    <t>GPT</t>
  </si>
  <si>
    <t>Search for longs but buy on stable base + new uptrend, Get ready to buy DXJ, Short KGC/GDX on pop? Buy AIG warrants when AIG &lt; 35, Buy 5% CMI?  Trading pos: Watch LivingSocial ipo for short, ASPS/SHOS/SBY/SCTY insider buying, research active ETFs to short managers, debt laden floating rate notes (HY ETFs), swiss franc short, silicon investor signup, research IEP long, AIG etc. tarp warrants on dip (AIG &lt; 35?), research GKK, WD, SAFT, review presidential budget, portfolio stop 320,000s, bbg 212 617 5334 john hering</t>
  </si>
  <si>
    <t>positive on s&amp;p 500 till end of year, target 80-100% net long, max 150% net long, very selective on shorts</t>
  </si>
  <si>
    <t>GOOGL</t>
  </si>
  <si>
    <t xml:space="preserve">Reduce longs (CVRR/HLSS) on pop? Search for longs but buy ~ Apr 22 to May 1 on stable base + new uptrend (12% NCT, 5% ASPS, 5% DXJ, ~1% AIG wrt), Short KGC/GDX on pop? Buy AIG warrants when AIG &lt; 35, Buy 5% CMI?  Trading pos: Watch LivingSocial ipo for short, ASPS/SHOS/SBY/SCTY insider buying, research active ETFs to short managers, debt laden floating rate notes (HY ETFs), swiss franc short, silicon investor signup, research IEP long, AIG etc. tarp warrants on dip (AIG &lt; 35?), research SAFT, review presidential budget, portfolio stop 320,000s, </t>
  </si>
  <si>
    <t xml:space="preserve">Search for longs but scale buy ~ Apr 22 to May 1 on stable base + new uptrend (+800s to 20% HLSS, +300s to 15% CVRR, +3600s to 12% NCT, 250s 5% ASPS, 200s 2% short VALE, 5% NEU, 5% DXJ, ~3% AIG wrt when AIG &lt; 35, ), Short KGC/GDX on pop? Buy AIG warrants when AIG &lt; 35,  Trading pos: -800 HLSS, -300 CVRR, -3600 NCT, -5% ASPS, +2% VALE, Watch LivingSocial ipo for short, ASPS/SHOS/SBY/SCTY insider buying, research active ETFs to short managers, debt laden floating rate notes (HY ETFs), swiss franc short, silicon investor signup, finvizvalue, review presidential budget, research MKL, ESGR add to ib, AIRM research/buy back?, portfolio stop 320,000s, </t>
  </si>
  <si>
    <t xml:space="preserve">Search for longs but scale buy ~ Apr 22 to May 1 on stable base + new uptrend (250s 5% ASPS, 200s 2% short VALE, 5% DXJ, ~3% AIG wrt when AIG &lt; 35), Short KGC/GDX on pop+ new downtrend,  Trading pos: -+2% VALE, Watch LivingSocial ipo for short, ASPS/SHOS/SBY/SCTY insider buying, research active ETFs to short managers, debt laden floating rate notes (HY ETFs), swiss franc short, silicon investor signup, finvizvalue, review presidential budget, research MKL, AIRM research/buy back? research/prep gold miners portfolio stop 320,000s, </t>
  </si>
  <si>
    <t xml:space="preserve">Search for longs but scale buy ~ Apr 22 to May 1 on stable base + new uptrend (short 5% AAPL on weakness, 300s 2% short VALE on pop then weakness, 5% DXJ on dip, ~3% AIG wrt when AIG &lt; 35), Short KGC/GDX on pop+ new downtrend,  Trading pos: -+2% VALE, Watch LivingSocial ipo for short, ASPS/SHOS/SBY/SCTY insider buying, research active ETFs to short managers, debt laden floating rate notes (HY ETFs), swiss franc short, silicon investor signup, finvizvalue, review presidential budget, research MKL, AIRM research/buy back? research/prep gold miners portfolio stop 320,000s, </t>
  </si>
  <si>
    <t>MSFT</t>
  </si>
  <si>
    <t xml:space="preserve">Search for longs but scale buy ~ Apr 22 to May 1 on stable base + new uptrend (300s 2% short VALE on pop then weakness, 5% DXJ on dip, ~3% AIG wrt when AIG &lt; 35), Short GDX on pop+ new downtrend,  Trading pos: -+2% VALE, Watch LivingSocial ipo for short, research active ETFs to short managers (CAF), debt laden floating rate notes (HY ETFs), swiss franc short, silicon investor signup, finvizvalue, review presidential budget, research MKL, AIRM research/buy back? Research bac long (insider?) reconsider increases ASPS alloc, research/prep gold miners portfolio stop 320,000s, </t>
  </si>
  <si>
    <t>look for stall in S&amp;P at april end &lt; ytd high with May 1 rally start, positive on s&amp;p 500 till end of year, target 80-100% net long, max 150% net long, very selective on shorts</t>
  </si>
  <si>
    <t xml:space="preserve">Reduce NCT by 600s to 10% if down+ day after 10:30am 4/26, Search for longs but scale buy ~ Apr 22 to May 1 on stable base + new uptrend (300s 2% short VALE on pop then weakness, +200s to 9-10% ASPS, 5% DXJ on dip, ~3% AIG wrt when AIG &lt; 35), Short GDX on pop+ new downtrend,  Trading pos: -+2% VALE, Watch LivingSocial ipo for short, research active ETFs to short managers (CAF), debt laden floating rate notes (HY ETFs), swiss franc short, silicon investor signup, finvizvalue, review presidential budget, research MKL, AIRM research/buy back? Research bac c long (insider?) reconsider increases ASPS alloc, research/prep gold miners portfolio stop 320,000s, </t>
  </si>
  <si>
    <t>GDX</t>
  </si>
  <si>
    <t xml:space="preserve">Search for longs but scale buy ~ Apr 22 to May 1 on stable base + new uptrend (300s 2% short VALE on 4/29 down day &gt; 10:30am, +200s to 9-10% ASPS, 5% DXJ on dip, ~3% AIG wrt when AIG &lt; 35), Consider long 400s SPY/XLY macro trade on dip 4/29, Monitor CLF pop for 4% short, Reduce AIG 150s on pop, Trading pos: +2% VALE, Watch LivingSocial ipo for short, research active ETFs to short managers (CAF), debt laden floating rate notes (HY ETFs), swiss franc short, silicon investor signup, finvizvalue, review presidential budget, research MKL, AIRM research/buy back? Research bac c long (insider?) reconsider increases ASPS alloc, consider calls/puts to for temporary hedging, research/prep gold miners portfolio stop 320,000s, </t>
  </si>
  <si>
    <t xml:space="preserve">Temp cover AAPL/VALE on strong up day &gt; 10:30am 4/30?, Search for longs but scale buy ~ Apr 22 to May 1 on stable base + new uptrend (+150s to 9-10% ASPS, 5% DXJ on dip, ~3% AIG wrt when AIG &lt; 35), Consider long 400s SPY/XLY macro trade on dip 4/29, Monitor CLF pop for 4% short, Reduce AIG 150s on pop, Trading pos:, Watch LivingSocial ipo for short, research active ETFs to short managers (CAF), debt laden floating rate notes (HY ETFs), swiss franc short, silicon investor signup, finvizvalue, review presidential budget, research MKL, AIRM research/buy back? Research bac c long (insider?) reconsider increases ASPS alloc, consider calls/puts to for temporary hedging, research/prep gold miners portfolio stop 320,000s, </t>
  </si>
  <si>
    <t>Exited too late! Should not have shorted</t>
  </si>
  <si>
    <t xml:space="preserve">Reduce CVRR on weak 5/1 &gt; 10:30am? Reshort 40s AAPL/500s GDX/900s VALE on weakness post debt/buyback, Search for longs but scale buy ~ Apr 22 to May 1 on stable base + new uptrend (+150s to 9-10% ASPS, 5% DXJ on dip, ~3% AIG wrt when AIG &lt; 35), Monitor CLF pop for 4% short, Reduce AIG 150s on pop, Trading pos: +40s AAPL, +900 VALE, + 300s GDX, Watch LivingSocial ipo for short, research active ETFs to short managers (CAF), debt laden floating rate notes (HY ETFs), swiss franc short, silicon investor signup, finvizvalue, review presidential budget, AIRM research/buy back? Research bac c long (insider?) reconsider increases ASPS alloc, consider calls/puts to for temporary hedging, portfolio stop 320,000s, </t>
  </si>
  <si>
    <t>MKL</t>
  </si>
  <si>
    <t xml:space="preserve">Search for longs but scale buy ~ Apr 22 to May 1 on stable base + new uptrend (+150s to 9-10% ASPS, 5% DXJ on dip, ~3% AIG wrt when AIG &lt; 35), Monitor CLF pop for 4% short, Reduce AIG 150s on pop, Trading pos: ,Watch LivingSocial ipo for short, research active ETFs to short managers (CAF), debt laden floating rate notes (HY ETFs), swiss franc short, silicon investor signup, finvizvalue, review presidential budget, AIRM research/buy back? Research bac c long (insider?) reconsider increases ASPS alloc, consider calls/puts to for temporary hedging, portfolio stop 320,000s, </t>
  </si>
  <si>
    <t xml:space="preserve">Search for longs but scale buy ~ Apr 22 to May 1 on stable base + new uptrend (+150s to 9-10% ASPS, 5% DXJ on dip, ~3% AIG wrt when AIG &lt; 35), Monitor CLF pop for 4% short, Reduce AIG 150s on pop, Trading pos: ,Watch LivingSocial ipo for short, research active ETFs to short managers (CAF), debt laden floating rate notes (HY ETFs), swiss franc short, silicon investor signup, finvizvalue, review presidential budget, AIRM research/buy back? Research bac c long (insider?) reconsider increases ASPS alloc, ACC/EFX/MSFG/HBAN, portfolio stop 320,000s, </t>
  </si>
  <si>
    <t xml:space="preserve">Search for longs but scale buy ~ Apr 22 to May 1 on stable base + new uptrend (+300s HLSS, +30s DVA, +1200 ADNC, +200s SBY? +150s to 9-10% ASPS, 5% DXJ on dip, ~3% AIG wrt when AIG &lt; 35), Monitor CLF pop for 4% short, Reduce AIG 150s on pop, Trading pos: ,Watch LivingSocial ipo for short, research active ETFs to short managers (CAF), debt laden floating rate notes (HY ETFs), swiss franc short, silicon investor signup, finvizvalue, review presidential budget, AIRM research/buy back? Research bac c long (insider?) reconsider increases ASPS alloc, ACC/EFX/MSFG/HBAN, portfolio stop 320,000s, </t>
  </si>
  <si>
    <t>AMZN</t>
  </si>
  <si>
    <t xml:space="preserve">Search for longs but scale buy ~ Apr 22 to May 1 on stable base + new uptrend (+150s to 9-10% ASPS, 5% DXJ on dip, ~3% AIG wrt when AIG &lt; 35), Monitor CLF pop for 4% short, Reduce AIG 150s on pop, Trading pos: ,Watch LivingSocial ipo for short, research active ETFs to short managers (CAF), debt laden floating rate notes (HY ETFs), swiss franc short, silicon investor signup, finvizvalue, review presidential budget, AIRM research/buy back? Research bac c long (insider?) reconsider increases ASPS alloc, EFX/MSFG/HBAN long, PANW short, portfolio stop 320,000s, </t>
  </si>
  <si>
    <t xml:space="preserve">On new signal, +150s to 9-10% ASPS, 5% DXJ on dip, ~3% AIG wrt when AIG &lt; 35, Monitor CLF pop for 4% short, Trading pos: ,Watch LivingSocial ipo for short, research active ETFs to short managers (CAF), debt laden floating rate notes (HY ETFs), swiss franc short, silicon investor signup, finvizvalue, review presidential budget, AIRM research/buy back? Research wfc warrants/jpm,bac c long (insider?) reconsider increases ASPS alloc, EFX/MSFG/HBAN long, aud.usd short 20K, wfc short, portfolio stop 320,000s, </t>
  </si>
  <si>
    <t>ORLY</t>
  </si>
  <si>
    <t xml:space="preserve">Buy 5% HBAN? On new signal, +150s to 9-10% ASPS, 5% DXJ on dip, ~3% AIG wrt when AIG &lt; 35, Monitor CLF pop for 4% short, Trading pos: ,Watch LivingSocial ipo for short, research active ETFs to short managers (CAF), debt laden floating rate notes (HY ETFs), swiss franc short, silicon investor signup, finvizvalue, review presidential budget, portfolio stop 330,000s, </t>
  </si>
  <si>
    <t>HBAN</t>
  </si>
  <si>
    <t xml:space="preserve">Buy/research 1000s 7% VOYA, 100s PSX to 7%, +31s AAMC, On new signal, +200s CVRR to 15%, +150s to 9-10% ASPS, 5% DXJ on dip, ~3% AIG wrt when AIG &lt; 35, Trading pos: ,Watch LivingSocial ipo for short, research active ETFs to short managers (CAF), debt laden floating rate notes (HY ETFs), swiss franc short, silicon investor signup, finvizvalue, review presidential budget, portfolio stop 330,000s, </t>
  </si>
  <si>
    <t>VOYA</t>
  </si>
  <si>
    <t>AER</t>
  </si>
  <si>
    <t xml:space="preserve">Buy 31s AAMC, Cover 200 GDX if up day &gt; 10:30am 5/17, Cover 200s AIG on weak day 5/17? Watch NSM spinoff, On new signal, +200s CVRR to 15%, +150s to 9-10% ASPS, 5% DXJ on dip, ~3% AIG wrt when AIG &lt; 35, Trading pos: ,Watch LivingSocial ipo for short, research active ETFs to short managers (CAF), debt laden floating rate notes (HY ETFs), swiss franc short, silicon investor signup, finvizvalue, review presidential budget, CST/AAMC/AMBC, portfolio stop 330,000s, </t>
  </si>
  <si>
    <t>RESI</t>
  </si>
  <si>
    <t xml:space="preserve">Watch NSM spinoff, On new signal, Buy 31s AAMC, add to 3% RESI, +150s to 9-10% ASPS, 5% DXJ on dip, ~3% AIG wrt when AIG &lt; 35, Trading pos: ,Watch LivingSocial ipo for short, research active ETFs to short managers (CAF), debt laden floating rate notes (HY ETFs), swiss franc short, silicon investor signup, finvizvalue, review presidential budget, CST/AMBC, portfolio stop 330,000s, </t>
  </si>
  <si>
    <t xml:space="preserve">Watch NSM spinoff, On new signal, Buy 31s AAMC, add to 3% RESI, +500s VOYA to 10%, +150s to 9-10% ASPS, 5% DXJ on dip, ~3% AIG wrt when AIG &lt; 35, Trading pos: ,Watch LivingSocial ipo for short, research active ETFs to short managers (CAF), debt laden floating rate notes (HY ETFs), swiss franc short, silicon investor signup, finvizvalue, review presidential budget, CST/AMBC, portfolio stop 330,000s, </t>
  </si>
  <si>
    <t xml:space="preserve">Watch NSM spinoff, On new signal, Buy 31s AAMC, +150s to 9-10% ASPS, 5% DXJ on dip, ~3% AIG wrt when AIG &lt; 35, Trading pos: ,Watch LivingSocial ipo for short, research active ETFs to short managers (CAF), debt laden floating rate notes (HY ETFs), swiss franc short, silicon investor signup, finvizvalue, review presidential budget, CST/AMBC, portfolio stop 330,000s, </t>
  </si>
  <si>
    <t>UNH</t>
  </si>
  <si>
    <t xml:space="preserve">Reeval SBY, Watch NSM spinoff, , On new signal, Buy back 350s ASPS/1200s ADNC on dip, 31s AAMC, 5% DXJ on dip, ~3% AIG wrt when AIG &lt; 35, Trading pos: -1200s ADNC, -(250+100) ASPS, Watch LivingSocial ipo for short, research active ETFs to short managers (CAF), debt laden floating rate notes (HY ETFs), swiss franc short, silicon investor signup, finvizvalue, review presidential budget, CST/AMBC, portfolio stop 330,000s, </t>
  </si>
  <si>
    <t xml:space="preserve">Reeval AAMC for sell, PSX add, ASPS,Watch NSM spinoff, , On new signal, Buy back 100s HHC, Buy 5% (400s) GPT, Buy 31s AAMC, ~3% AIG wrt when AIG &lt; 35, Reeval SBY, Trading pos: -1200s ADNC, -(250+100) ASPS, Watch LivingSocial ipo for short, research active ETFs to short managers (CAF), debt laden floating rate notes (HY ETFs), swiss franc short, silicon investor signup, finvizvalue, review presidential budget, CST/AMBC, TEP(insider), portfolio stop 330,000s, </t>
  </si>
  <si>
    <t>ULTA</t>
  </si>
  <si>
    <t xml:space="preserve">Buy 6% 1000s TEP, Reload shorts?: clf -200s, GDX 150s, Reeval AAMC for sell, ASPS, Watch NSM spinoff, , On new signal, Buy back 100s HHC, ~3% AIG wrt when AIG &lt; 35, Trading pos: -(250+100) ASPS, Watch LivingSocial ipo for short, research active ETFs to short managers (CAF), debt laden floating rate notes (HY ETFs), swiss franc short, silicon investor signup, finvizvalue, review presidential budget, CST/AMBC, portfolio stop 330,000s, </t>
  </si>
  <si>
    <t>AAMC</t>
  </si>
  <si>
    <t>TEP</t>
  </si>
  <si>
    <t>HD</t>
  </si>
  <si>
    <t xml:space="preserve">Buy 7% 500s PRA, Reeval SBY (sell on pop/dip after 10:30am 5/30?), ASPS, Watch NSM spinoff, , On new signal, Buy back 100s HHC, ~3% AIG wrt when AIG &lt; 35, Trading pos: -(250+100) ASPS, +600 GDX, Watch LivingSocial ipo for short, research active ETFs to short managers (CAF), debt laden floating rate notes (HY ETFs), swiss franc short, silicon investor signup, finvizvalue, review presidential budget, CST/AMBC/SNA/TMHC, portfolio stop 330,000s, </t>
  </si>
  <si>
    <t>PRA</t>
  </si>
  <si>
    <t>TMHC</t>
  </si>
  <si>
    <t xml:space="preserve">Reeval SBY (sell on pop/dip after 10:30am 5/31?), GPT, ASPS, Watch NSM spinoff, , On new signal, Buy back 100s HHC, ~3% AIG wrt when AIG &lt; 35, Trading pos: -(250+100) ASPS, +600 GDX, + 500s VALE, Watch LivingSocial ipo for short, research active ETFs to short managers (CAF), debt laden floating rate notes (HY ETFs), swiss franc short, silicon investor signup, finvizvalue, review presidential budget, CST/AMBC/SNA/CUBI, portfolio stop 330,000s, </t>
  </si>
  <si>
    <t>TEAM</t>
  </si>
  <si>
    <t xml:space="preserve">Reeval ASPS, Watch NSM spinoff, , On new signal, Buy back 100s HHC, ~3% AIG wrt when AIG &lt; 35, Trading pos: -(250+100) ASPS, +600 GDX, + 500s VALE, Watch LivingSocial ipo for short, research active ETFs to short managers (CAF), debt laden floating rate notes (HY ETFs), swiss franc short, silicon investor signup, finvizvalue, review presidential budget, CST/AMBC/SNA/CUBI, portfolio stop 330,000s, </t>
  </si>
  <si>
    <t xml:space="preserve">Reeval ASPS, Watch NSM spinoff, , On new signal, Buy back 100s HHC, ~3% AIG wrt when AIG &lt; 35, Trading pos: -(250+100) ASPS, +600 GDX, + 500s VALE, Watch LivingSocial ipo for short, research active ETFs to short managers (CAF), debt laden floating rate notes (HY ETFs), swiss franc short, silicon investor signup, finvizvalue, review presidential budget, CST/AMBC/SNA/CUBI, BXMT, portfolio stop 330,000s, </t>
  </si>
  <si>
    <t>AZO</t>
  </si>
  <si>
    <t xml:space="preserve">Reshort 600s GDX on weakness 6/5 &gt;10:30am, Buy back 400s AIG, 100s HHC, ,~3% AIG wrt when AIG &lt; 35, Reeval ASPS, Watch NSM spinoff, , On new signal, Trading pos: -400s AIG, -(250+100) ASPS, +600 GDX, + 500s VALE, -100s HHC, Watch LivingSocial ipo for short, research active ETFs to short managers (CAF), debt laden floating rate notes (HY ETFs), swiss franc short, silicon investor signup, finvizvalue, review presidential budget, CST/AMBC, portfolio stop 330,000s, </t>
  </si>
  <si>
    <t xml:space="preserve">On new signal, buy back 100s HHC, ,~3% AIG wrt when AIG &lt; 35, Reeval ASPS, Watch NSM spinoff, , On new signal, Trading pos: -400s AIG, -(250+100) ASPS, + 500s VALE, + 200s CLF -100s HHC, Watch LivingSocial ipo for short, research active ETFs to short managers (CAF), debt laden floating rate notes (HY ETFs), swiss franc short, silicon investor signup, finvizvalue, review presidential budget, CST/AMBC/DXPE, portfolio stop 330,000s, </t>
  </si>
  <si>
    <t xml:space="preserve">Reshort 500s VALE, 300s CLF on weak pop, On new signal, buy back 100s HHC, ,~3% AIG wrt when AIG &lt; 35, Reeval ASPS, Watch NSM spinoff, , On new signal, Trading pos:+ 500s VALE, + 200s CLF, Watch LivingSocial ipo for short, research active ETFs to short managers (CAF), debt laden floating rate notes (HY ETFs), swiss franc short, silicon investor signup, finvizvalue, review presidential budget, CST/AMBC/DXPE, portfolio stop 330,000s, </t>
  </si>
  <si>
    <t xml:space="preserve">On new signal ~3% AIG wrt when AIG &lt; 35, Reeval ASPS, Watch NSM spinoff, , On new signal, Trading pos:+ 500s VALE, Watch LivingSocial ipo for short, research active ETFs to short managers (CAF), debt laden floating rate notes (HY ETFs) and comapnies who issue, swiss franc short, silicon investor signup, finvizvalue, review presidential budget, CST//AFSI/AOL/BKH, portfolio stop 330,000s, </t>
  </si>
  <si>
    <t xml:space="preserve">Re-eval NCT/NRZ?, On new signal ~3% AIG wrt when AIG &lt; 35, Reeval ASPS, Watch NSM spinoff, , On new signal, Trading pos:+ 500s VALE, Watch LivingSocial ipo for short, research active ETFs to short managers (CAF), debt laden floating rate notes (HY ETFs) and comapnies who issue, swiss franc short, silicon investor signup, finvizvalue, review presidential budget, CST/AFSI/AOL, portfolio stop 330,000s, </t>
  </si>
  <si>
    <t>NVR</t>
  </si>
  <si>
    <t xml:space="preserve">Re-eval NCT/NRZ?, On new signal ~3% AIG wrt when AIG &lt; 35, Reeval ASPS, Watch NSM spinoff, , On new signal, Trading pos:, Watch LivingSocial ipo for short, research active ETFs to short managers (CAF), debt laden floating rate notes (HY ETFs) and comapnies who issue, swiss franc short, silicon investor signup, finvizvalue, review presidential budget, CST/AFSI, portfolio stop 330,000s, </t>
  </si>
  <si>
    <t xml:space="preserve">Reeval IBTX more long, On new signal ~3% AIG wrt when AIG &lt; 35, Reeval ASPS, Watch NSM spinoff, , On new signal, Trading pos:, Watch LivingSocial ipo for short, research active ETFs to short managers (CAF), debt laden floating rate notes (HY ETFs) and comapnies who issue, swiss franc short, silicon investor signup, finvizvalue, review presidential budget, CST, portfolio stop 330,000s, </t>
  </si>
  <si>
    <t xml:space="preserve">Buy 5% 400s SHOS? Re-add 200s CLF short on weakness, Reeval IBTX more long, On new signal ~3% AIG wrt when AIG &lt; 35, Reeval ASPS, Watch NSM spinoff, , On new signal, Trading pos:, Watch LivingSocial ipo for short, research active ETFs to short managers (CAF), debt laden floating rate notes (HY ETFs) and comapnies who issue, swiss franc short, silicon investor signup, finvizvalue, review presidential budget, research SHOS, OSH postmordem, portfolio stop 350,000s, </t>
  </si>
  <si>
    <t>FNMAS</t>
  </si>
  <si>
    <t>SHOS</t>
  </si>
  <si>
    <t xml:space="preserve">Reeval IBTX more long, On new signal ~3% AIG wrt when AIG &lt; 35, Reeval ASPS, Watch NSM spinoff, , On new signal, Trading pos:, Watch LivingSocial ipo for short, research active ETFs to short managers (CAF), debt laden floating rate notes (HY ETFs) and comapnies who issue, swiss franc short, silicon investor signup, finvizvalue, review presidential budget, research SHOS, OSH postmordem, research ENVI, HLSS sumzero, CLF research/pitch? portfolio stop 350,000s, </t>
  </si>
  <si>
    <t xml:space="preserve">Reeval IBTX more long, On new signal ~3% AIG wrt when AIG &lt; 35, Reeval ASPS, Watch NSM spinoff, , On new signal, Trading pos: ,research active ETFs to short managers (CAF), debt laden floating rate notes (HY ETFs) and comapnies who issue, swiss franc short, silicon investor signup, finvizvalue, review presidential budget, research SHOS, research ENVI, CLF research/pitch? portfolio stop 350,000s, </t>
  </si>
  <si>
    <t xml:space="preserve">Reeval IBTX more long, Buy back RSE? On new signal ~3% AIG wrt when AIG &lt; 35, Reeval ASPS, Watch NSM spinoff, , On new signal, Trading pos: ,research active ETFs to short managers (CAF), debt laden floating rate notes (HY ETFs) and comapnies who issue, swiss franc short, silicon investor signup, finvizvalue, review presidential budget, research SHOS/RSE, research ENVI, CLF sumzero research/pitch? portfolio stop 350,000s, </t>
  </si>
  <si>
    <t xml:space="preserve">Reeval PSX (reduce/sell?) Reeval IBTX more long, Buy back RSE? On new signal ~3% AIG wrt when AIG &lt; 35, Reeval ASPS, Watch NSM spinoff, , On new signal, Trading pos: ,research active ETFs to short managers (CAF), debt laden floating rate notes (HY ETFs) and comapnies who issue, swiss franc short, silicon investor signup, finvizvalue, review presidential budget, research SHOS/RSE, research ENVI, CLF sumzero research/pitch? portfolio stop 350,000s, </t>
  </si>
  <si>
    <t>COST</t>
  </si>
  <si>
    <t xml:space="preserve">Buy WFC 5% on dip? Reeval PSX reduce/sell, IBTX more long, Buy back RSE? On new signal ~3% AIG wrt when AIG &lt; 35, Reeval ASPS, Watch NSM spinoff, , On new signal, Trading pos: ,research active ETFs to short managers (CAF), debt laden floating rate notes (HY ETFs) and comapnies who issue, swiss franc short, silicon investor signup, finvizvalue, review presidential budget, research SHOS/RSE, research ENVI, CLF sumzero research/pitch? portfolio stop 350,000s, </t>
  </si>
  <si>
    <t>NRZ</t>
  </si>
  <si>
    <t xml:space="preserve">Buy back 200s AIG/,400s SHOS, Research LMCA long, Buy WFC 5% on dip? IBTX more long, Buy back RSE? On new signal ~3% AIG wrt when AIG &lt; 35, Reeval ASPS, Watch NSM spinoff, , On new signal, Trading pos: -3300s NCT/NRZ, -400 SHOS, -200 AIG, research active ETFs to short managers (CAF), debt laden floating rate notes (HY ETFs) and comapnies who issue, swiss franc short, silicon investor signup, finvizvalue, review presidential budget, research SHOS/RSE, research ENVI, CLF sumzero research/pitch? portfolio stop 350,000s, </t>
  </si>
  <si>
    <t>pause due to china neutral until dip- positive on s&amp;p 500 till end of year, target 80-100% net long, max 150% net long, very selective on shorts</t>
  </si>
  <si>
    <t>short commod currencies</t>
  </si>
  <si>
    <t>When fed raises rates to combat inflation, long gc, neg on all hard commodities, exit yield-dependent equities</t>
  </si>
  <si>
    <t xml:space="preserve">Buy back 200s AIG, 400s SHOS, watch NCT/NRZ/PSX/CVRR+PBF, IBTX more long, Buy back RSE? On new signal ~3% AIG wrt when AIG &lt; 35, Reeval ASPS, Watch NSM spinoff, , On new signal, Trading pos: -400 SHOS, -200 AIG, research active ETFs to short managers (CAF), debt laden floating rate notes (HY ETFs) and comapnies who issue, swiss franc short, silicon investor signup, finvizvalue, review presidential budget, research SHOS/RSE, research ENVI, CLF sumzero research/pitch? portfolio stop 350,000s, </t>
  </si>
  <si>
    <t>V</t>
  </si>
  <si>
    <t xml:space="preserve">Buy 300s VOYA on up day 6/27/2013, Buy back 200s AIG on dip, watch 3500s NCT/ 3500s NRZ on dip,PSX/CVRR on dip, IBTX more long, Buy back RSE? On new signal ~3% AIG wrt when AIG &lt; 35, Watch NSM spinoff, , On new signal, Trading pos: -200 AIG, research active ETFs to short managers (CAF), debt laden floating rate notes (HY ETFs) and comapnies who issue, swiss franc short, silicon investor signup, finvizvalue, review presidential budget, research SHOS/RSE, research ENVI, DLTR, RSE, portfolio stop 350,000s, </t>
  </si>
  <si>
    <t xml:space="preserve">Buy back  3500s NCT/ 3500s NRZ on dip, Add 200s IBTX, Add 200s SHOS on new signal, Buy back 200s AIG on dip, watch PSX/CVRR on dip, Buy back RSE? On new signal ~3% AIG wrt when AIG &lt; 35, Watch NSM spinoff, , On new signal, Trading pos: -200 AIG, research active ETFs to short managers (CAF), debt laden floating rate notes (HY ETFs) and comapnies who issue, swiss franc short, silicon investor signup, finvizvalue, review presidential budget, research SHOS/RSE, research ENVI, DLTR, RSE, portfolio stop 350,000s, </t>
  </si>
  <si>
    <t>SHW</t>
  </si>
  <si>
    <t xml:space="preserve">When fed raises rates to combat inflation, long gc, neg on all hard commodities, </t>
  </si>
  <si>
    <t xml:space="preserve">Buy back  3500s NCT/ 3500s NRZ, 1700s CVRR, 500s PSX on dip, Buy 5% PLL? Add 200s IBTX, Add 200s SHOS on new signal, Buy back 200s AIG on dip, watch PSX/CVRR on dip, Buy back RSE? On new signal ~3% AIG wrt when AIG &lt; 35, Watch NSM spinoff, , On new signal, Trading pos: -200 AIG, research active ETFs to short managers (CAF), debt laden floating rate notes (HY ETFs) and comapnies who issue, swiss franc short, silicon investor signup, finvizvalue, review presidential budget, research SHOS/RSE, research ENVI, DLTR, RSE, VR, portfolio stop 350,000s, </t>
  </si>
  <si>
    <t>PLL</t>
  </si>
  <si>
    <t xml:space="preserve">Reduce/Sell DVA on pop?Reeval/add +700s CVRR, + 200s PSX?  Add 200s SHOS on new signal, Add 200s IBTX, Buy back 200s AIG on dip, Buy back RSE? On new signal ~3% AIG wrt when AIG &lt; 35, Watch NSM spinoff, , On new signal, Trading pos: -200 AIG, research active ETFs to short managers (CAF), debt laden floating rate notes (HY ETFs) and comapnies who issue, swiss franc short, silicon investor signup, finvizvalue, review presidential budget, research AFSI/HBAN, portfolio stop 350,000s, </t>
  </si>
  <si>
    <t>TCEHY</t>
  </si>
  <si>
    <t xml:space="preserve">Reduce/Sell PSX/CVRR/DVA?  Add 200s SHOS on new signal, Add 200s IBTX, Buy back 200s AIG on dip, Buy back RSE? On new signal ~3% AIG wrt when AIG &lt; 35, Watch NSM spinoff, , On new signal, Trading pos: -200 AIG, research active ETFs to short managers (CAF), debt laden floating rate notes (HY ETFs) and comapnies who issue, swiss franc short, silicon investor signup, finvizvalue, review presidential budget, research AFSI/HBAN, portfolio stop 350,000s, </t>
  </si>
  <si>
    <t>HORRIBLE TRADE DO NOT CHASE</t>
  </si>
  <si>
    <t xml:space="preserve">Reduce/Sell DVA? Add 5% AFSI? Readd SHOS 500s on up day 7/5+, Add 200s IBTX, Buy back 200s AIG on dip, Buy back RSE? On new signal ~3% AIG wrt when AIG &lt; 35, Watch NSM spinoff, , On new signal, Trading pos: -200 AIG, research active ETFs to short managers (CAF), debt laden floating rate notes (HY ETFs) and comapnies who issue, swiss franc short, silicon investor signup, finvizvalue, review presidential budget, research AFSI/HBAN, portfolio stop 350,000s, </t>
  </si>
  <si>
    <t>AFSI</t>
  </si>
  <si>
    <t>PGR</t>
  </si>
  <si>
    <t>should not have added</t>
  </si>
  <si>
    <t xml:space="preserve">Add 7%/700s AFSI, Readd SHOS 700s on up day 7/5+, Add 200s IBTX, Buy back 200s AIG on dip, Buy back RSE? On new signal ~3% AIG wrt when AIG &lt; 35, Watch NSM spinoff, , On new signal, Trading pos: -200 AIG, research active ETFs to short managers (CAF), debt laden floating rate notes (HY ETFs) and comapnies who issue, swiss franc short, silicon investor signup, finvizvalue, review presidential budget, research AFSI/HBAN, portfolio stop 350,000s, </t>
  </si>
  <si>
    <t xml:space="preserve">Add 200s IBTX, Buy back 200s AIG on dip, Buy back RSE? On new signal ~3% AIG wrt when AIG &lt; 35, Watch NSM spinoff, , On new signal, Trading pos: -200 AIG, research active ETFs to short managers (CAF), debt laden floating rate notes (HY ETFs) and comapnies who issue, swiss franc short, silicon investor signup, finvizvalue, review presidential budget, HBAN, portfolio stop 350,000s, </t>
  </si>
  <si>
    <t>MCO</t>
  </si>
  <si>
    <t xml:space="preserve">Reduce shorts on weak dip, On new signal, reshort 500s/2.5% CLF, 900s VALE, 400s GDX, Add 200s IBTX, Buy back 200s AIG on dip, Buy back RSE? On new signal ~3% AIG wrt when AIG &lt; 35, Watch NSM spinoff, , On new signal, Trading pos: -200 AIG, research active ETFs to short managers (CAF), debt laden floating rate notes (HY ETFs) and comapnies who issue, swiss franc short, silicon investor signup, review presidential budget, HBAN/AIRM, portfolio stop 350,000s, </t>
  </si>
  <si>
    <t xml:space="preserve">On new signal after pop/dip, reshort ~ 800s/4% CLF, 1300s/4% VALE, 600s/4% GDX, Add 200s IBTX, Buy back 200s AIG on dip, Buy back RSE? On new signal ~3% AIG wrt when AIG &lt; 35, Watch NSM spinoff, , On new signal, Trading pos: -200 AIG, research active ETFs to short managers (CAF), debt laden floating rate notes (HY ETFs) and comapnies who issue, swiss franc short, silicon investor signup, review presidential budget, HBAN/AIRM/ENH, portfolio stop 350,000s, </t>
  </si>
  <si>
    <t>when fed raises rates, short 10yr/ty</t>
  </si>
  <si>
    <t xml:space="preserve">On new signal after pop/dip, reshort ~ 800s/4% CLF, 1300s/4% VALE, 600s/4% GDX, Add 200s IBTX, Buy back 200s AIG on dip, Buy back RSE? On new signal ~3% AIG wrt when AIG &lt; 35, Watch NSM spinoff, , On new signal, Trading pos: -200 AIG, (see above), silicon investor signup, review presidential budget, HBAN/AIRM, shorts via finviz, portfolio stop 350,000s, </t>
  </si>
  <si>
    <t>JPM</t>
  </si>
  <si>
    <t xml:space="preserve">On new signal after pop/dip, reshort ~ 200s/1% CLF, 300s/1% VALE, 200s/1% GDX, Add 200s IBTX, Buy back 200s AIG on dip, Buy back RSE? On new signal ~3% AIG wrt when AIG &lt; 35, Watch NSM spinoff, , On new signal, Trading pos: -200 AIG, (see above), silicon investor signup, review presidential budget, HBAN/AIRM, shorts via finviz, portfolio stop 350,000s, </t>
  </si>
  <si>
    <t xml:space="preserve">Add 100s DLTR, Add 200s IBTX, Buy back 200s AIG on dip, On new signal ~3% AIG wrt when AIG &lt; 35, Watch NSM spinoff, On new signal, Trading pos: -200 AIG, (see above), silicon investor signup, review presidential budget, shorts via finviz, portfolio stop 350,000s, </t>
  </si>
  <si>
    <t>SBUX</t>
  </si>
  <si>
    <t xml:space="preserve">Slowly reduce HLSS/VOYA, Slowly Reshort CLF 1100s/GDX 900s/VALE 1800s after strong pop+weakness, Add 100s DLTR, Add 200s IBTX, Buy back 200s AIG on dip, On new signal ~3% AIG wrt when AIG &lt; 35, Watch NSM spinoff, On new signal, Trading pos: -200 AIG, +CLF/VALE/GDX, (see above), silicon investor signup, review presidential budget, shorts via finviz, portfolio stop 350,000s, </t>
  </si>
  <si>
    <t xml:space="preserve">Slowly reduce HLSS/VOYA, Slowly Reshort CLF 1100s/GDX 900s (or ABX?)/VALE 1800s after strong pop+weakness, Add 100s DLTR, Add 200s IBTX, Buy back 200s AIG on dip, On new signal ~3% AIG wrt when AIG &lt; 35, Watch NSM spinoff, On new signal, Trading pos: -200 AIG, +CLF/VALE/GDX, (see above), silicon investor signup, review presidential budget, shorts via finviz, research SWY, portfolio stop 350,000s, </t>
  </si>
  <si>
    <t>HEI</t>
  </si>
  <si>
    <t xml:space="preserve">1000s SPY long trading position? Slowly reduce HLSS/VOYA on pops, Slowly Reshort CLF 1100s/GDX 900s (or ABX?)/VALE 1800s after strong pop+weakness, Add 100s DLTR, Add 200s IBTX, Buy back 200s AIG on dip, On new signal ~3% AIG wrt when AIG &lt; 35, Watch NSM spinoff, On new signal, Trading pos: -200 AIG, +CLF/VALE/GDX, (see above), silicon investor signup, review presidential budget, shorts via finviz, research SWY, portfolio stop 350,000s, </t>
  </si>
  <si>
    <t>SPY</t>
  </si>
  <si>
    <t>SPGI</t>
  </si>
  <si>
    <t>SNV</t>
  </si>
  <si>
    <t xml:space="preserve">Slowly reduce HLSS/VOYA on pops, Slowly Reshort CLF 1100s/GDX 900s (or ABX?)/VALE 1800s after strong pop+weakness, Add 5000s SNV? Add 200s IBTX, On new signal ~3% AIG wrt when AIG &lt; 35, Watch NSM spinoff, On new signal, Trading pos: -200 AIG, +CLF/VALE/GDX, (see above), silicon investor signup, review presidential budget, shorts via finviz, research SWY, portfolio stop 350,000s, </t>
  </si>
  <si>
    <t xml:space="preserve">Watch SPY trade, Slowly reduce HLSS/VOYA on pops, Slowly Reshort CLF 1100s/GDX 900s (or ABX?)/VALE 1800s after strong pop+weakness, Add 200s IBTX, On new signal ~3% AIG wrt when AIG &lt; 35, Watch NSM spinoff, On new signal, Trading pos: -200 AIG, +CLF/VALE/GDX, (see above), silicon investor signup, review presidential budget, shorts via finviz, research SWY, portfolio stop 350,000s, </t>
  </si>
  <si>
    <t>VRSK</t>
  </si>
  <si>
    <t xml:space="preserve">Post Fed - Slowly Reshort CLF 1100s/GDX 900s (or ABX?)/VALE 1800s after strong pop+weakness, Watch SPY trade, Slowly reduce HLSS/VOYA on pops, Add 200s IBTX, On new signal ~3% AIG wrt when AIG &lt; 35, Watch NSM spinoff, On new signal, Trading pos: -200 AIG, +CLF/VALE/GDX, (see above), silicon investor signup, review presidential budget, shorts via finviz, research SWY, portfolio stop 350,000s, </t>
  </si>
  <si>
    <t>DIS</t>
  </si>
  <si>
    <t xml:space="preserve">Slowly Reshort VALE 200s, Add 1-2% IBTX/SNV on dips, Increases net longs on dips, Slowly reduce HLSS/VOYA on pops, , On new signal ~3% AIG wrt when AIG &lt; 35, Watch NSM spinoff, On new signal, Trading pos: -200 AIG, +CLF/VALE/GDX, (see above), silicon investor signup, review presidential budget, shorts via finviz, research SWY, portfolio stop 350,000s, </t>
  </si>
  <si>
    <t xml:space="preserve">Research/add CINF, Readd NRZ/NCT, Add 1-2% IBTX/SNV on dips, Increases net longs on dips, Slowly reduce HLSS/VOYA on pops, , On new signal ~3% AIG wrt when AIG &lt; 35, Watch NSM spinoff, On new signal, Trading pos: -NRZ/NCT, silicon investor signup, review presidential budget, shorts via finviz, research SWY, CINF, portfolio stop 350,000s, </t>
  </si>
  <si>
    <t>FIS</t>
  </si>
  <si>
    <t xml:space="preserve">Readd NRZ/NCT, Add 1-2% IBTX/SNV on dips, Increases net longs on dips, Slowly reduce HLSS/VOYA on pops, , On new signal ~3% AIG wrt when AIG &lt; 35, Watch NSM spinoff, On new signal, Trading pos: -NRZ/NCT, silicon investor signup, review presidential budget, shorts via finviz, research SWY, CF, portfolio stop 350,000s, </t>
  </si>
  <si>
    <t xml:space="preserve">Add 6%/125s CF, Add 1-2%+ IBTX/SNV on dips, Increases net longs on dips, Slowly reduce HLSS/VOYA on pops, , On new signal ~3% AIG wrt when AIG &lt; 35, Watch NSM spinoff, On new signal, Trading pos: -NRZ/NCT, silicon investor signup, review presidential budget, shorts via finviz, research SWY, CF, portfolio stop 350,000s, </t>
  </si>
  <si>
    <t xml:space="preserve">Add 1-2%+ IBTX/SNV on dips, Slowly reduce HLSS/VOYA on pops, , On new signal ~3% AIG wrt when AIG &lt; 35, Watch NSM spinoff, On new signal, Trading pos: -NRZ/NCT, silicon investor signup, review presidential budget, shorts via finviz, research SWY, CF, portfolio stop 350,000s, </t>
  </si>
  <si>
    <t>EBAY</t>
  </si>
  <si>
    <t xml:space="preserve">Close SPY trade on 8/8 opening weakness, Add 1-2%+ IBTX/SNV on dips, Slowly reduce HLSS/VOYA on pops, , On new signal ~3% AIG wrt when AIG &lt; 35, Watch NSM spinoff, On new signal, Trading pos: -NRZ/NCT, silicon investor signup, review presidential budget, shorts via finviz, research SWY, CF, portfolio stop 350,000s, </t>
  </si>
  <si>
    <t>FISV</t>
  </si>
  <si>
    <t xml:space="preserve">Close SPY trade on 8/9 opening weakness, Reshort GDX, CLF, VALE on pop/weakness, Slowly reduce HLSS/VOYA on pops, , On new signal ~3% AIG wrt when AIG &lt; 35, Watch NSM spinoff, On new signal, Trading pos: -GDX/CLF/VALE, silicon investor signup, review presidential budget, shorts via finviz, research SWY, CF, portfolio stop 350,000s, </t>
  </si>
  <si>
    <t>NFLX</t>
  </si>
  <si>
    <t xml:space="preserve">Close SPY trade on 8/9 opening weakness, Reshort GDX, CLF, VALE on pop/weakness, Slowly reduce HLSS/VOYA on pops, , On new signal ~3% AIG wrt when AIG &lt; 35, Watch NSM spinoff, On new signal, Trading pos: -GDX/CLF/VALE, silicon investor signup, review presidential budget, shorts via finviz, research AMH, SBY, portfolio stop 350,000s, </t>
  </si>
  <si>
    <t>ONLY BUY SPY after selloff, positive on s&amp;p 500 till end of year, target 80-100% net long, max 150% net long, very selective on shorts</t>
  </si>
  <si>
    <t>Consider new SPY long on weak fall + buy pressure 8/12, Temp sell SHOS on weakness, Reshort GDX, CLF, VALE on pop/weakness, Slowly reduce HLSS/VOYA on pops, , On new signal ~3% AIG wrt when AIG &lt; 35, Watch NSM spinoff, On new signal, Trading pos: -GDX/CLF/VALE, silicon investor signup, review presidential budget, shorts via finviz, research AMH, SBY, KEY, portfolio stop 350,000s, research KEY</t>
  </si>
  <si>
    <t>DAL</t>
  </si>
  <si>
    <t xml:space="preserve">Test buy 7% MPC-consid add to 10%, Consider new SPY long on weak fall + buy pressure 8/12, Slowly reduce HLSS/VOYA on pops, , On new signal ~3% AIG wrt when AIG &lt; 35, Watch NSM spinoff, On new signal, Trading pos: -GDX/CLF/VALE, silicon investor signup, review presidential budget, shorts via finviz, research AMH, SBY, KEY, CVRR, MPC insider, TWX, portfolio stop 350,000s, </t>
  </si>
  <si>
    <t xml:space="preserve">Add 200s AIG on dip, Consider new SPY long on weak fall + buy pressure, Slowly reduce HLSS/VOYA on pops, , On new signal ~3% AIG wrt when AIG &lt; 35, Watch NSM spinoff, On new signal, Trading pos: -GDX/CLF/VALE, silicon investor signup, review presidential budget, shorts via finviz, research AMH, SBY, KEY, CVRR, MPC insider, TWX, AYR insider, portfolio stop 390,000s, </t>
  </si>
  <si>
    <t xml:space="preserve">Reconsider exposure, esp shorts, Add 200s AIG on dip, Consider new SPY long on weak fall + buy pressure, Slowly reduce HLSS/VOYA on pops, , On new signal ~3% AIG wrt when AIG &lt; 35, Watch NSM spinoff, On new signal, Trading pos: see below, silicon investor signup, review presidential budget, shorts via finviz, research AMH, SBY, KEY, CVRR, MPC insider, TWX, AYR insider, portfolio stop 390,000s, </t>
  </si>
  <si>
    <t>SNA</t>
  </si>
  <si>
    <t xml:space="preserve">Cover GDX on strong open 8/16, Reconsider exposure (temp MPC, NCT/NRZ on pops), esp shorts on pops, Add 200s AIG on dip, Consider new SPY long on weak fall + buy pressure, Slowly reduce HLSS/VOYA on pops, , On new signal ~3% AIG wrt when AIG &lt; 35, Watch NSM spinoff, On new signal, Trading pos: see below, silicon investor signup, review presidential budget, shorts via finviz, research AMH, SBY, KEY, CVRR, TWX, CCCR fake short, TDG insider, portfolio stop 390,000s, </t>
  </si>
  <si>
    <t>LUV</t>
  </si>
  <si>
    <t xml:space="preserve">Sell MPC on dip &lt; 68 after 10:30am 8/20! Look to readd 200s VOYA on new sig, Readd 4%-8% SHOS? 5% DVA? Cover GDX on strong open 8/16, Reconsider exposure (temp MPC, NCT/NRZ on pops), esp shorts on pops, Consider new SPY long on weak fall + buy pressure, Slowly reduce HLSS/VOYA on pops, , On new signal ~3% AIG wrt when AIG &lt; 35, Watch NSM spinoff, On new signal, Trading pos: see below, silicon investor signup, review presidential budget, shorts via finviz, research AMH, SBY, KEY, CVRR, TWX, CCCR fake short, TDG insider, portfolio stop 390,000s, </t>
  </si>
  <si>
    <t>terrible panic trade</t>
  </si>
  <si>
    <t>HCA</t>
  </si>
  <si>
    <t xml:space="preserve">Look to readd 100s HHC on dip, 4400s NRZ, 200s VOYA on new sig, Readd 4%-8% SHOS? 5% DVA? Cover GDX on strong open, Reconsider exposure, Consider new SPY long on weak fall + buy pressure, pops, On new signal ~3% AIG wrt when AIG &lt; 35, Watch NSM spinoff, On new signal, Trading pos: see below, silicon investor signup, review presidential budget, shorts via finviz, research AMH, SBY, KEY, TWX, CCCR fake short, TDG insider, portfolio stop 390,000s, </t>
  </si>
  <si>
    <t>CP</t>
  </si>
  <si>
    <t xml:space="preserve">Add 200s VOYA/100s HHC on new sig/dip, Reconsider MPC long on dip/new sig, Reshort GDX/VALE/CLF on new sig, Add 6%/50s MKL? Consider new SPY long on weak fall + buy pressure, pops, On new signal ~3% AIG wrt when AIG &lt; 35, Watch NSM spinoff, On new signal, Trading pos: see below, silicon investor signup, review presidential budget, shorts via finviz, research AMH, SBY, KEY, TWX, CCCR fake short, NRZ/NCT for full removal portfolio stop 390,000s, </t>
  </si>
  <si>
    <t xml:space="preserve">Add 200s VOYA/100s HHC on new sig/dip, Reconsider MPC long (first 5%) on dip/new sig, Reshort GDX/VALE/CLF on new sig, Consider new SPY long on weak fall + buy pressure, pops, On new signal ~3% AIG wrt when AIG &lt; 35, Watch NSM spinoff, On new signal, Trading pos: see below, silicon investor signup, review presidential budget, shorts via finviz, research AMH, SBY, KEY, TWX, CCCR fake short, portfolio stop 390,000s, </t>
  </si>
  <si>
    <t xml:space="preserve">Reconsider MPC long (first 5%) on dip/new sig, Reshort GDX/VALE/CLF on new sig, Consider new SPY long on weak fall + buy pressure, pops, On new signal ~3% AIG wrt when AIG &lt; 35, Watch NSM spinoff, On new signal, Trading pos: see below, silicon investor signup, review presidential budget, shorts via finviz, research AMH, SBY, KEY, TWX, CCCR fake short, SBUX (insider) , portfolio stop 390,000s, </t>
  </si>
  <si>
    <t>STZ</t>
  </si>
  <si>
    <t xml:space="preserve">Add 400s ESRX/300s UNH/5%-200s DVA (on dip), 85s NEU (on dip), Reconsider MPC long (first 5%) on dip/new sig, Reshort GDX/VALE/CLF on new sig, Consider new SPY long on weak fall + buy pressure, pops, On new signal ~3% AIG wrt when AIG &lt; 35, Watch NSM spinoff, On new signal, Trading pos: see below, silicon investor signup, review presidential budget, shorts via finviz, research AMH, SBY, KEY, TWX, CCCR fake short, UNH (insider), portfolio stop 390,000s, </t>
  </si>
  <si>
    <t>ICLR</t>
  </si>
  <si>
    <t xml:space="preserve">Add 5%-200s DVA (on dip), 85s NEU (on dip), Reconsider MPC long (first 5%) on dip/new sig, Reshort GDX/VALE/CLF on new sig, Consider new SPY long on weak fall + buy pressure, pops, On new signal ~3% AIG wrt when AIG &lt; 35, Watch NSM spinoff, On new signal, Trading pos: see below, silicon investor signup, review presidential budget, shorts via finviz, research AMH (short?), KEY, CCCR fake short, ROLL/CBI (insider), portfolio stop 390,000s, </t>
  </si>
  <si>
    <t>BKNG</t>
  </si>
  <si>
    <t xml:space="preserve">Add 1%/100s IBTX on dip?, Add 5%-200s DVA (on dip), 85s NEU (on dip), Reconsider MPC long (first 5%) on dip/new sig, Consider new SPY long on weak fall + buy pressure, pops, On new signal ~3% AIG wrt when AIG &lt; 35, Watch NSM spinoff, On new signal, Trading pos: see below, silicon investor signup, review presidential budget, shorts via finviz, research AMH (short?), KEY, CCCR fake short, ROLL/CBI (insider), portfolio stop 390,000s, </t>
  </si>
  <si>
    <t xml:space="preserve">Reduce SNV on pop? Add 1%/100s IBTX on dip?, Add 5%-200s DVA (on dip), 85s NEU (on dip), Add LABL 5%/700s on stable, Reconsider MPC long (first 5%) on dip/new sig, Consider new SPY long on weak fall + buy pressure, pops, On new signal ~3% AIG wrt when AIG &lt; 35, Watch NSM spinoff, On new signal, Trading pos: see below, silicon investor signup, review presidential budget, shorts via finviz, research AMH (short?), KEY, CCCR fake short, LABL, portfolio stop 390,000s, </t>
  </si>
  <si>
    <t xml:space="preserve">Cover CLF temp on strong open 9/4? Reduce SNV on pop? Add 1%/100s IBTX on dip?, Add 5%-200s DVA (on dip), 85s NEU (on dip), Add LABL 5%/700s on stable, Reconsider MPC long (first 5%) on dip/new sig, Consider new SPY long on weak fall + buy pressure, pops, On new signal ~3% AIG wrt when AIG &lt; 35, Watch NSM spinoff, On new signal, Trading pos: see below, silicon investor signup, review presidential budget, shorts via finviz, research AMH (short?), KEY, CCCR fake short, LABL, portfolio stop 390,000s, </t>
  </si>
  <si>
    <t xml:space="preserve">Reduce SNV on pop? Add 1%/100s IBTX on dip?, Add 5%-200s DVA (on dip), Reconsider MPC long (first 5%) on dip/new sig, 85s NEU (on dip), Add LABL 5%/700s on stable, Consider new SPY long on weak fall + buy pressure, pops, On new signal ~3% AIG wrt when AIG &lt; 35, Watch NSM spinoff, On new signal, Trading pos: see below, silicon investor signup, review presidential budget, shorts via finviz, research AMH (short?), KEY, CCCR fake short, LABL, portfolio stop 390,000s, </t>
  </si>
  <si>
    <t>UNP</t>
  </si>
  <si>
    <t xml:space="preserve">Reduce SNV on pop? Add 1%/100s IBTX on dip?, Add 5%-200s DVA (on dip), Reconsider MPC long (first 5%) on dip/new sig, 85s NEU (on dip), Add LABL 5%/700s on stable, Consider new SPY long on weak fall + buy pressure, pops, On new signal ~3% AIG wrt when AIG &lt; 35, Watch NSM spinoff, On new signal, Trading pos: see below, silicon investor signup, review presidential budget, shorts via finviz, research AMH (short?), KEY, CCCR fake short, LABL, UHAL, portfolio stop 390,000s, </t>
  </si>
  <si>
    <t xml:space="preserve">Add 5% UHAL? Add 1%/100s IBTX on dip?, Add 5%-200s DVA (on dip), Reconsider MPC long (first 5%) on dip/new sig, 85s NEU (on dip), Add LABL 5%/700s on stable, Consider new SPY long on weak fall + buy pressure, pops, On new signal ~3% AIG wrt when AIG &lt; 35, Watch NSM spinoff, On new signal, Trading pos: see below, silicon investor signup, review presidential budget, shorts via finviz, research AMH (short?), KEY, CCCR fake short, LABL, UHAL, portfolio stop 390,000s, </t>
  </si>
  <si>
    <t>UHAL</t>
  </si>
  <si>
    <t xml:space="preserve">Add 1%/100s IBTX on dip?, Add 5%-200s DVA (on dip), Reconsider MPC long (first 5%) on dip/new sig, 85s NEU (on dip), Add LABL 5%/700s on stable, Consider new SPY long on weak fall + buy pressure, pops, On new signal ~3% AIG wrt when AIG &lt; 35, Watch NSM spinoff, On new signal, Trading pos: see below, silicon investor signup, review presidential budget, shorts via finviz, research AMH (short?), KEY, CCCR fake short, LABL, UHAL, MUSA, AMBC, CACI, portfolio stop 390,000s, </t>
  </si>
  <si>
    <t>LCII</t>
  </si>
  <si>
    <t xml:space="preserve">Reconsider shorts (CLF/VALE/GDX) if rejected dip9/12+, Add 1%/100s IBTX on dip?, Add 5%-200s DVA (on dip), Reconsider MPC long (first 5%) on dip/new sig, 85s NEU (on dip), Add LABL 5%/700s on stable, Consider new SPY long on weak fall + buy pressure, pops, On new signal ~3% AIG wrt when AIG &lt; 35, Watch NSM spinoff, On new signal, Trading pos: see below, silicon investor signup, review presidential budget, shorts via finviz, research AMH (short?), KEY, CCCR fake short, LABL, UHAL, MUSA, AMBC, CACI, FIBK, VAR, portfolio stop 390,000s, </t>
  </si>
  <si>
    <t xml:space="preserve">Reconsider shorts (CLF/VALE/GDX) if rejected dip9/12+, Add 1%/100s IBTX on dip?, Add 5%-200s DVA (on dip), Reconsider MPC long (first 5%) on dip/new sig, 85s NEU (on dip), Consider new SPY long on weak fall + buy pressure, pops, On new signal ~3% AIG wrt when AIG &lt; 35, Watch NSM spinoff, AMBC, insider, Trading pos: see below, silicon investor signup, research AMH (short?), KEY, CCCR fake short, MUSA, VAR, portfolio stop 390,000s, </t>
  </si>
  <si>
    <t>Good co. wait for dip</t>
  </si>
  <si>
    <t>Updated:</t>
  </si>
  <si>
    <t>Starting Mult:</t>
  </si>
  <si>
    <t xml:space="preserve">Reconsider shorts (CLF/VALE/GDX) if rejected dip9/12+, Add 1%/100s IBTX on dip?, Add 5%-200s DVA (on dip), Reconsider MPC long (first 5%) on dip/new sig, 85s NEU (on dip), Consider new SPY long on weak fall + buy pressure, pops, On new signal ~3% AIG wrt when AIG &lt; 35, Watch NSM spinoff, AMBC, insider, Trading pos: see below, silicon investor signup, research AMH (short?), KEY, portfolio stop 390,000s, </t>
  </si>
  <si>
    <t>FTV</t>
  </si>
  <si>
    <t>&lt;- based on interest rates, bond index/FRED high qual corporate bond, floor @ 6.66% using tradingeconomics</t>
  </si>
  <si>
    <t>see valuation tab</t>
  </si>
  <si>
    <t xml:space="preserve">Reconsider shorts (esp CLF, VALE/GDX) if rejected dip, Add 1%/100s IBTX on dip?, Add 5%-200s DVA (on dip), Reconsider MPC long (first 5%) on dip/new sig, 85s NEU (on dip), Consider new SPY long on weak fall + buy pressure, pops, On new signal ~3% AIG wrt when AIG &lt; 35, Watch NSM spinoff, AMBC, insider, Trading pos: see below, silicon investor signup, research AMH (short?), KEY, portfolio stop 390,000s, </t>
  </si>
  <si>
    <t>Act on now!</t>
  </si>
  <si>
    <t>CNI</t>
  </si>
  <si>
    <t>should have covered earlier</t>
  </si>
  <si>
    <t>See valuation tab</t>
  </si>
  <si>
    <t>year growth</t>
  </si>
  <si>
    <t>year roic</t>
  </si>
  <si>
    <t>eps yr</t>
  </si>
  <si>
    <t>fcf yr</t>
  </si>
  <si>
    <t>tv yr</t>
  </si>
  <si>
    <t>pvfcf yr</t>
  </si>
  <si>
    <t>Target v4.0</t>
  </si>
  <si>
    <t>EPS1 (Seeking Alpha/Barchart) Normalized No-Growth</t>
  </si>
  <si>
    <t>FYend1</t>
  </si>
  <si>
    <t>NormalizedEPS Growth*0.5to0.75</t>
  </si>
  <si>
    <t>Years to Normalization (Default 4)</t>
  </si>
  <si>
    <t>Comments, moat w pros and cons</t>
  </si>
  <si>
    <t xml:space="preserve">Reeval shorts (re-add on 2x slight weakness/curve down), Re-add 6% SNV? Add 1%/100s IBTX on dip?, Add 5%-200s DVA (on dip), Reconsider MPC long (first 5%) on dip/new sig, 85s NEU (on dip), Consider new SPY long on weak fall + buy pressure, pops, On new signal ~3% AIG wrt when AIG &lt; 35, Watch NSM spinoff, AMBC, insider, Trading pos: see below, silicon investor signup, research AMH (short?), KEY, BIG (insider) portfolio stop 390,000s, </t>
  </si>
  <si>
    <t>FIX</t>
  </si>
  <si>
    <t xml:space="preserve">Reeval shorts (re-add on 2x slight weakness/curve down), Buy 5+1% SIAL on dip, Buy 5+1% MTB on dip, Add 1%/100s IBTX on dip?, Add 5%-200s DVA (on dip), Reconsider MPC long (first 5%) on dip/new sig, 85s NEU (on dip), Consider new SPY long on weak fall + buy pressure, pops, On new signal ~3% AIG wrt when AIG &lt; 35, Watch NSM spinoff, AMBC, insider, Trading pos: see below, research MTB, KEY, BIG (insider), portfolio stop 390,000s, </t>
  </si>
  <si>
    <t xml:space="preserve">Re-add 900s GDX/1000s CLF/1800s VALE, Buy 5+1% SIAL on dip, Buy 5+1% MTB on dip, Add 1%/100s IBTX on dip?, Add 5%-200s DVA (on dip), Reconsider MPC long (first 5%) on dip/new sig, 85s NEU (on dip), Consider new SPY long on weak fall + buy pressure, pops, On new signal ~3% AIG wrt when AIG &lt; 35, Watch NSM spinoff, insider, Trading pos: see below, research MTB, BIG (insider), SNV, ADS/AMSG, DDS, GTN, MPC, BGC, PHM, SWY, SSW, FRAN, KEY, portfolio stop 390,000s, </t>
  </si>
  <si>
    <t>Altaba</t>
  </si>
  <si>
    <t>AABA</t>
  </si>
  <si>
    <t>SIAL</t>
  </si>
  <si>
    <t>QSR</t>
  </si>
  <si>
    <t>MTB</t>
  </si>
  <si>
    <t>Value</t>
  </si>
  <si>
    <t>valued @ $103 per VIC</t>
  </si>
  <si>
    <t xml:space="preserve">Cover shorts if not down day for them, Add 1%/100s IBTX on dip?, Add 5+2%% PLL on dip, Add 5%-200s DVA (on dip), Reconsider MPC long (first 5%) on dip/new sig, 85s NEU (on dip), Consider new SPY long on weak fall + buy pressure, pops, On new signal ~3% AIG wrt when AIG &lt; 35, Watch NSM spinoff, insider, Trading pos: see below, research MTB, BIG (insider), SNV, ADS/AMSG, DDS, GTN, MPC, BGC, PHM, SWY, SSW, FRAN, KEY, portfolio stop 390,000s, </t>
  </si>
  <si>
    <t>AAON Inc.</t>
  </si>
  <si>
    <t>AAON</t>
  </si>
  <si>
    <t xml:space="preserve">Cover shorts if not down day for them, Add 1%/100s IBTX on dip?, Add 5+2%% PLL on dip, Add 5%-200s DVA (on dip), Reconsider MPC long (first 5%) on dip/new sig, Consider new SPY long on weak fall + buy pressure, pops, On new signal ~3% AIG wrt when AIG &lt; 35, Watch NSM spinoff, insider, Trading pos: see below, research BIG (insider), SNV, ADS/AMSG, DDS, GTN, MPC, BGC, PHM, SWY, SSW, FRAN, KEY, portfolio stop 390,000s, </t>
  </si>
  <si>
    <t>ABT</t>
  </si>
  <si>
    <t xml:space="preserve">Cover shorts if not down day for them, Add 1%/100s IBTX on dip?, Add 5+2%% PLL on dip, Add 5%-200s DVA (on dip), Reconsider MPC long (first 5%) on dip/new sig, Consider new SPY long on weak fall + buy pressure, pops, On new signal ~3% AIG wrt when AIG &lt; 35, Watch NSM spinoff, insider, Trading pos: see below, research BIG (insider), SNV, ADS/AMSG, DDS, GTN, MPC, PHM, SWY, SSW, FRAN, KEY, portfolio stop 390,000s, </t>
  </si>
  <si>
    <t>a/c</t>
  </si>
  <si>
    <t>Advanced Auto Parts</t>
  </si>
  <si>
    <t>AAP</t>
  </si>
  <si>
    <t xml:space="preserve">Reconsider MPC long (first 5%) on dip/new sig? Reload 1% CLF/GDX? Add 1%/100s IBTX on dip?, Add 5+2%% PLL on dip, Add 5%-200s DVA (on dip), Consider new SPY long on weak fall + buy pressure, pops, On new signal ~3% AIG wrt when AIG &lt; 35, Watch NSM spinoff, insider, Trading pos: see below, research BIG (insider), MPC, PHM, SWY, SSW, FRAN, KEY, NBBC, portfolio stop 390,000s, </t>
  </si>
  <si>
    <t>poorly run auto parts? icahn?</t>
  </si>
  <si>
    <t xml:space="preserve">Reload 1% CLF/GDX on weakness, Reconsider MPC long (first 5%) on dip/new sig? Add 5+2%% PLL on dip, Add 5%-200s DVA (on dip), Consider new SPY long on weak fall + buy pressure, pops, On new signal ~3% AIG wrt when AIG &lt; 35, Watch NSM spinoff, insider, Trading pos: see below, research MPC, SSW, FRAN, KEY, NBBC, portfolio stop 390,000s, </t>
  </si>
  <si>
    <t>Apple, Inc.</t>
  </si>
  <si>
    <t>MMC</t>
  </si>
  <si>
    <t xml:space="preserve">Add 5+2%% PLL on dip, Add 5%-200s DVA (on dip), Consider new SPY long on weak fall + buy pressure, pops, On new signal ~3% AIG wrt when AIG &lt; 35, Watch NSM spinoff, insider, Trading pos: see below, research SSW, FRAN, KEY, NBBC, portfolio stop 390,000s, </t>
  </si>
  <si>
    <t>LGrowth</t>
  </si>
  <si>
    <t>Valued using world gdp growth P1) Growth not priced in P2) Apple halo/moat from apps that only work on iphones+ app store/ios developers? P3) Pricing power w/ suppliers/customers P4) insider buying earlier C1) Too large already C2) Steve Jobs prob C3) employee hardworking/closed culture + clashes (e.g. Forstall leaving)  C4) china risk! C5) smartphone industry plateauing</t>
  </si>
  <si>
    <t xml:space="preserve">Reload/add 1% HLSS on dip? Add 5+2%% PLL on dip, Add 5%-200s DVA (on dip), Consider new SPY long on weak fall + buy pressure, pops, On new signal ~3% AIG wrt when AIG &lt; 35, Watch NSM spinoff, insider, Trading pos: see below, research SSW, FRAN, KEY, NBBC, portfolio stop 390,000s, </t>
  </si>
  <si>
    <t>AbbVie Inc</t>
  </si>
  <si>
    <t>GILD</t>
  </si>
  <si>
    <t xml:space="preserve">Add 1% IBTX/UHAL while reducing others? Add 5+2%% PLL on dip, Add 5%-200s DVA (on dip), Consider new SPY long on weak fall + buy pressure, pops, On new signal ~3% AIG wrt when AIG &lt; 35, Watch NSM spinoff, insider, Trading pos: see below, research SSW, FRAN, KEY, NBBC, CPRT, WAGE, PSX/MPC, PHH p/b ratio, portfolio stop 390,000s, </t>
  </si>
  <si>
    <t>Pharma ABT spinoff valued at 50% earnings due to Humira P1) long term drugs P2) insider buying 8/2018 P3) spinoff C1) sustainability of earnings? C2) too big bc Humira</t>
  </si>
  <si>
    <t xml:space="preserve">Look to reduce longs, Add 5+2%% PLL on dip, Add 5%-200s DVA (on dip), Consider new SPY long on weak fall + buy pressure, pops, On new signal ~3% AIG wrt when AIG &lt; 35, Watch NSM spinoff, insider, Trading pos: see below, research SSW, FRAN, KEY, NBBC, CPRT, WAGE, PSX/MPC, PHH p/b ratio, portfolio stop 390,000s, </t>
  </si>
  <si>
    <t>AmerisourceBergen Corp</t>
  </si>
  <si>
    <t>ABC</t>
  </si>
  <si>
    <t>AON</t>
  </si>
  <si>
    <t xml:space="preserve">Look to reduce longs on weakness (HLSS?) Reduce shorts on strong 10/7 &gt; 10:30am? Review HLSS post earnings, Add 1% VOYA? Add 5+2%% PLL on dip, Add 5%-200s DVA (on dip), Consider new SPY long on weak fall + buy pressure, pops, On new signal ~3% AIG wrt when AIG &lt; 35, Watch NSM spinoff, insider, Trading pos: see below, research SSW, FRAN, KEY, NBBC, CPRT, WAGE, PSX/MPC, PHH p/b ratio, portfolio stop 390,000s, </t>
  </si>
  <si>
    <t>Pharma supply chain C1) Low ROA? C2) Fundies weakening due to generic price deflation?</t>
  </si>
  <si>
    <t xml:space="preserve">Research CPRT, Look to reduce longs on weakness (VOYA/HLSS?), Reduce shorts (GDX) on strong 10/8 &gt; 10:30am? Review HLSS post earnings, Add 1% VOYA? Add 5+2%% PLL on dip, Add 5%-200s DVA (on dip), PHH on dip, On new signal ~3% AIG wrt when AIG &lt; 35, Watch NSM spinoff, insider, Trading pos: see below, research SSW, FRAN, KEY, NBBC, CPRT, portfolio stop 390,000s, </t>
  </si>
  <si>
    <t>Asbury Automotive</t>
  </si>
  <si>
    <t>ABG</t>
  </si>
  <si>
    <t>PHH</t>
  </si>
  <si>
    <t>P1) decent metrics P2) moat a la buffett C1) poor total growth/book val growth &amp; poor capital alloc</t>
  </si>
  <si>
    <t>Abbott Laboratories</t>
  </si>
  <si>
    <t xml:space="preserve">Research CPRT, Review HLSS 10/17 post earnings to reduce, Look to reduce longs on weakness (HLSS/VOYA), Add 1% VOYA? Add 5+2%% PLL on dip, Add 5%-200s DVA (on dip), PHH on dip, On new signal ~3% AIG wrt when AIG &lt; 35, Watch NSM spinoff, insider, Trading pos: see below, research SSW, FRAN, KEY, NBBC, CPRT, portfolio stop 390,000s, </t>
  </si>
  <si>
    <t>medical devices P1) insider 2/2019</t>
  </si>
  <si>
    <t>Associated Capital</t>
  </si>
  <si>
    <t>AC</t>
  </si>
  <si>
    <t>ADBE</t>
  </si>
  <si>
    <t xml:space="preserve">Research/buy 6% CPRT?, Watch shorts (CLF/VALE) for reduce by 1-2% is strong open 10/11 &gt;10:30am, Review HLSS 10/17 post earnings to reduce, Look to reduce longs on weakness (HLSS/VOYA), Add 1% VOYA? Add 5+2%% PLL on dip, Add 5%-200s DVA (on dip), On new signal ~3% AIG wrt when AIG &lt; 35, Watch NSM spinoff, insider, Trading pos: see below, research SSW, FRAN, KEY, NBBC, CPRT, NKE, BKE, portfolio stop 390,000s, </t>
  </si>
  <si>
    <t>basehitinvesting pick, investment shop, special sit</t>
  </si>
  <si>
    <t>Arch Capital Group</t>
  </si>
  <si>
    <t>ACGL</t>
  </si>
  <si>
    <t xml:space="preserve">Research/buy 6% CPRT?, Watch shorts (CLF/VALE) for reduce by 1-2% is strong open 10/14 &gt;10:30am, Review HLSS 10/17 post earnings to reduce, Look to reduce longs on weakness (HLSS/VOYA), Add 1% VOYA? Add 5+2%% PLL on dip, Add 5%-200s DVA (on dip), On new signal ~3% AIG wrt when AIG &lt; 35, Watch NSM spinoff, insider, Trading pos: see below, research SSW, FRAN, KEY, NBBC, CPRT, NKE, BKE, portfolio stop 390,000s, </t>
  </si>
  <si>
    <t>mortgage focused insurer</t>
  </si>
  <si>
    <t>Accenture Plc</t>
  </si>
  <si>
    <t>ACN</t>
  </si>
  <si>
    <t>IT consulting best</t>
  </si>
  <si>
    <t>PAYX</t>
  </si>
  <si>
    <t>LII</t>
  </si>
  <si>
    <t>CPRT</t>
  </si>
  <si>
    <t xml:space="preserve">Research AZO/CPRT, add to MKL 1% on strength, Reshort GDX/VALE/CLF on pop-&gt;weakness after 10/17 10:30am, Review HLSS 10/17 post earnings to reduce, Look to reduce longs on weakness (HLSS/VOYA), Add 5+2%% PLL on dip, Add 5%-200s DVA (on dip), On new signal ~3% AIG wrt when AIG &lt; 35, Watch NSM spinoff, insider, Trading pos: see below, research SSW, FRAN, KEY, NBBC, CPRT, NKE, BKE, GTN, RDN/MTG, AFSI, LINTA/LMCA, portfolio stop 390,000s, </t>
  </si>
  <si>
    <t xml:space="preserve">Research AZO/CPRT, Reshort GDX/VALE/CLF on pop-&gt;weakness after 10/17 10:30am, Look to reduce longs on pop-&gt;weakness (HLSS/VOYA), Add 5+2%% PLL on dip, Add 5%-200s DVA (on dip), On new signal ~3% AIG wrt when AIG &lt; 35, Watch NSM spinoff, insider, Trading pos: see below, research NBBC, CPRT, portfolio stop 390,000s, </t>
  </si>
  <si>
    <t xml:space="preserve">Look to reduce longs on pop-&gt;weakness (400s-800s HLSS) pop-&gt;weakness -&gt;10:30am 10/21, Research AZO/CPRT, Reshort GDX/VALE/CLF on pop-&gt;weakness after 10/17 10:30am, Add 5+2%% PLL on dip, Add 5%-200s DVA (on dip), On new signal ~3% AIG wrt when AIG &lt; 35, Watch NSM spinoff, insider, Trading pos: see below, research NBBC, CPRT, portfolio stop 390,000s, </t>
  </si>
  <si>
    <t>BLK</t>
  </si>
  <si>
    <t xml:space="preserve">Look to reduce longs on pop-&gt;weakness (400s-800s HLSS) pop-&gt;weakness  and VOYA 150s on weakness -&gt;10:30am 10/21,Research AZO/CPRT, Reshort GDX/VALE/CLF on pop-&gt;weakness after 10/17 10:30am, Add 5+2%% PLL on dip, Add 5%-200s DVA (on dip), On new signal ~3% AIG wrt when AIG &lt; 35, Watch NSM spinoff, insider, Trading pos: see below, research NBBC, CPRT, FNE (pref), GPN, portfolio stop 390,000s, </t>
  </si>
  <si>
    <t xml:space="preserve">Look to reduce longs on pop-&gt;weakness (400s-800s HLSS) pop-&gt;weakness  and VOYA 150s on weakness -&gt;10:30am 10/22,Research AZO/CPRT, Reshort GDX/VALE/CLF on pop-&gt;weakness after 10/17 10:30am, Add 5+2%% PLL on dip, Add 5%-200s DVA (on dip), On new signal ~3% AIG wrt when AIG &lt; 35, Watch NSM spinoff, insider, Trading pos: see below, research NBBC, CPRT, FNE (pref), GPN, portfolio stop 390,000s, </t>
  </si>
  <si>
    <t xml:space="preserve">Look to reduce longs on pop-&gt;weakness VOYA 150s on weakness, (400s-800s HLSS) pop-&gt;weakness  &gt;10:30am 10/22,Research AZO/CPRT, Reshort GDX/VALE/CLF on pop-&gt;weakness after 10/17 10:30am, Add 5+2%% PLL on dip, Add 5%-200s DVA (on dip), On new signal ~3% AIG wrt when AIG &lt; 35, Watch NSM spinoff, insider, Trading pos: see below, research NBBC, CPRT, FNE (pref), GPN, RHP, KEY, portfolio stop 390,000s, </t>
  </si>
  <si>
    <t xml:space="preserve">Look to reduce longs on pop-&gt;weakness VOYA 150s+200s on weakness &lt;29.75, (400s-800s HLSS) pop-&gt;weakness  &gt;10:30am 10/22, temp sell CPRT? Research AZO/CPRT, Reshort 1000s GDX/ 1800s VALE/1000s CLF on pop-&gt;weakness after 10/17 10:30am, Add 5+2%% PLL on dip, Add 5%-200s DVA (on dip), On new signal ~3% AIG wrt when AIG &lt; 35, Watch CPRT (for reduce), FNMAS on dip to buy, NSM spinoff, insider, Trading pos: see below, research NBBC, CPRT, FNE/FMNAS/FMCKJ (pref), GPN, RHP, KEY, downloads folder, portfolio stop 390,000s, </t>
  </si>
  <si>
    <t xml:space="preserve">Look to reduce longs on pop-&gt;weakness VOYA 150s+200s on weakness &lt;29.75 &gt;10:30am 10/24, (400s-800s HLSS) pop-&gt;weakness, Research AZO/CPRT, Add 5+2%% PLL on dip, Add 5%-200s DVA (on dip), On new signal ~3% AIG wrt when AIG &lt; 35, Watch CPRT (for reduce), FNMAS on dip to buy, NSM spinoff, insider, Trading pos: see below, research NBBC, CPRT, GPN, RHP, KEY, downloads folder, portfolio stop 390,000s, </t>
  </si>
  <si>
    <t xml:space="preserve">Close shorts if tough up day &gt; 10:30am (or even not a large down day 10/24), Look to reduce longs on pop-&gt;weakness VOYA 150s+200s on weakness &lt;29.75 &gt;10:30am 10/24, (400s-800s HLSS) pop-&gt;weakness, Research AZO/CPRT, Add 5+2%% PLL on dip, Add 5%-200s DVA (on dip), On new signal ~3% AIG wrt when AIG &lt; 35, Watch CPRT (for reduce), FNMAS on dip to buy, NSM spinoff, insider, Trading pos: see below, research NBBC, CPRT, GPN, RHP, KEY, SCTY (insider), downloads folder, portfolio stop 390,000s, </t>
  </si>
  <si>
    <t>ROST</t>
  </si>
  <si>
    <t>scratch trade</t>
  </si>
  <si>
    <t xml:space="preserve">Look to reduce longs on pop-&gt;weakness VOYA 150s+200s, 400s-800s HLSS, Wait for better longterm signal for short gdx/clf/vale, Research AZO/CPRT, Add 5+2%% PLL on dip, Add 5%-200s DVA (on dip), On new signal ~3% AIG wrt when AIG &lt; 35, Watch FNMAS on dip to buy, NSM spinoff, Trading pos: see below, research NBBC, CPRT, GPN, RHP, KEY, SCTY (insider), china-related shorts re-find, downloads folder, portfolio stop 390,000s, </t>
  </si>
  <si>
    <t>Adobe</t>
  </si>
  <si>
    <t>CCF</t>
  </si>
  <si>
    <t xml:space="preserve">Scale into FMNAS 2%-4/5%, Look to reduce longs on pop-&gt;weakness VOYA 150s+200s, 400s-800s HLSS, Wait for better longterm signal for short gdx/clf/vale, Research AZO/CPRT, Add 5+2%% PLL on dip, Add 5%-200s DVA (on dip), On new signal ~3% AIG wrt when AIG &lt; 35, Watch FNMAS on dip to buy, NSM spinoff, Trading pos: see below, research NBBC, CPRT, GPN, RHP, KEY, SCTY (insider), china-related shorts re-find, downloads folder, portfolio stop 390,000s, </t>
  </si>
  <si>
    <t>digital media P1) digital creativity P2) insider 12/2017</t>
  </si>
  <si>
    <t>Alliance Data Systems Corporation</t>
  </si>
  <si>
    <t>ADS</t>
  </si>
  <si>
    <t xml:space="preserve">Scale into FMNAS 2%-4/5%, Look to reduce longs on pop-&gt;weakness VOYA 150s+200s, 400s-800s HLSS, Wait for better longterm signal for short gdx/clf/vale, Add 5+2%% PLL on dip, Add 5%-200s DVA (on dip), On new signal ~3% AIG wrt when AIG &lt; 35, Watch FNMAS on dip to buy, NSM spinoff, Trading pos: see below, research NBBC, CPRT, GPN, RHP, KEY, SCTY (insider), china-related shorts re-find, downloads folder, portfolio stop 390,000s, </t>
  </si>
  <si>
    <t>DDOG</t>
  </si>
  <si>
    <t>Outsourced data-driven marketing/loyalty solutions P1) marketing C1) roa too low</t>
  </si>
  <si>
    <t xml:space="preserve">Reduce leverage (HHC 50s/DLTR 100s/VOYA 150s on pop), Scale into FMNAS to 4/5% on dip/new sig, Wait for better longterm signal for short gdx/clf/vale, Add 5+2%% PLL on dip, Add 5%-200s DVA (on dip), On new signal ~3% AIG wrt when AIG &lt; 35, Watch FNMAS on dip to buy, NSM spinoff, Trading pos: see below, research NBBC, CPRT, GPN, RHP, KEY, SCTY (insider), china-related shorts re-find, downloads folder, EAT, portfolio stop 390,000s, </t>
  </si>
  <si>
    <t>Autodesk</t>
  </si>
  <si>
    <t>ADSK</t>
  </si>
  <si>
    <t xml:space="preserve">Reduce leverage, Scale into FMNAS to 4/5% on dip/new sig, Wait for better longterm signal for short gdx/clf/vale, Add 5+2%% PLL on dip, Add 5%-200s DVA (on dip), On new signal ~3% AIG wrt when AIG &lt; 35, Watch FNMAS on dip to buy, NSM spinoff, Trading pos: see below, research NBBC, CPRT, GPN, RHP, KEY, SCTY (insider), china-related shorts re-find, downloads folder, portfolio stop 390,000s, </t>
  </si>
  <si>
    <t>CAD software</t>
  </si>
  <si>
    <t>AerCap</t>
  </si>
  <si>
    <t>HSY</t>
  </si>
  <si>
    <t xml:space="preserve">Reduce leverage (CPRT/PHH on more weakness, 50s HHC if down day 10/31 &gt; 10:30am, 100s DLTR same, 20s UHAL same), Wait for better longterm signal for short gdx/clf/vale, Scale into FMNAS to 4/5% on dip/new sig, re-buy ASPS/OCN on dip insider? Add 5+2%% PLL on dip, Add 5%-200s DVA (on dip), On new signal ~3% AIG wrt when AIG &lt; 35, Watch FNMAS on dip to buy, NSM spinoff, Trading pos: see below, research NBBC, CPRT, SCTY (insider), china-related shorts re-find, downloads folder, portfolio stop 390,000s, </t>
  </si>
  <si>
    <t>Best run/larger aircraft leasing valued at 12x earnings, P1) good metrics P2) insider late 2015 @ no sales that aren't tax related C1) declining lease/aircraft rates? C2) emerging mkts issue/dependence? C3) new entrants from China? C4) for 12% roe, so apply -3% to  12x multiple</t>
  </si>
  <si>
    <t>Aflac</t>
  </si>
  <si>
    <t>AFL</t>
  </si>
  <si>
    <t>Allergan</t>
  </si>
  <si>
    <t>AGN</t>
  </si>
  <si>
    <t>pharma rollup P1) less reg risk than valeant bc not critical to health</t>
  </si>
  <si>
    <t>Agrium</t>
  </si>
  <si>
    <t>AGU</t>
  </si>
  <si>
    <t xml:space="preserve">Reduce leverage (on weakness, -200s VOYA, -300s HLSS, -100s AIG, 20s UHAL same, MTB), Add 1%/15s AZO, 1% 10 MKL, Wait for better longterm signal for short gdx/clf/vale, Scale into FMNAS to 4/5% on dip/new sig, re-buy ASPS/OCN on dip insider? Add 5+2%% PLL on dip, Add 5%-200s DVA (on dip), On new signal ~3% AIG wrt when AIG &lt; 35, Watch FNMAS, PHH, CPRT on dip to buy, NSM spinoff, Trading pos: see below, research NBBC, SCTY (insider), china-related shorts re-find, downloads folder, short leveraged loans, portfolio stop 390,000s, </t>
  </si>
  <si>
    <t>Nitrogen - a better version of POT? Not as good roa as CF?</t>
  </si>
  <si>
    <t>Argan</t>
  </si>
  <si>
    <t>AGX</t>
  </si>
  <si>
    <t>construction for power plants P1) insider 7/2018</t>
  </si>
  <si>
    <t>TTC</t>
  </si>
  <si>
    <t>American International Group, Inc.</t>
  </si>
  <si>
    <t xml:space="preserve">Scale into FMNAS to 4/5% on dip/new sig/stabilize by add 1% 600-800s, Reduce leverage (on weakness, -100s AIG, 20s UHAL same), Wait for better longterm signal for short gdx/clf/vale possibly until new yr, re-buy ASPS/OCN on dip insider? Add 5+2%% PLL on dip, Add 5%-200s DVA (on dip), On new signal ~3% AIG wrt when AIG &lt; 35, Watch FNMAS, PHH, CPRT on dip to buy, NSM spinoff, Trading pos: see below, research NBBC, SCTY (insider), china-related shorts re-find, downloads folder, short leveraged loans, portfolio stop 390,000s, </t>
  </si>
  <si>
    <t>ONLY BUY SPY after selloff, positive on s&amp;p 500 till end of year, target 80-100% net long, max 150% net long, very selective on shorts until 2014 or dec 2013</t>
  </si>
  <si>
    <t>distressed - P/B play P1) forced selling usa govt P2) okay co, P3) insider buying 8/2014, but credible? P4) slow rates selloff good for investment book yields C1) lack of insider buying now? C2) poor reserving practices all the way aback to 2003!</t>
  </si>
  <si>
    <t>Assurant</t>
  </si>
  <si>
    <t>AIZ</t>
  </si>
  <si>
    <t>Target@ 1.2x book for 12% roe, P1) growth in book value P2) insider buying 11/2013 P3) niche insurance P4) stabilitiy C1) growth? C2) high combined ratio C3) health issues with pricing!</t>
  </si>
  <si>
    <t>Akamai Technologies</t>
  </si>
  <si>
    <t>AKAM</t>
  </si>
  <si>
    <t xml:space="preserve">Re-add to voya 2%/300s on long sig/slow increase 11/5, Re-add HLSS 1%/300s on same, Scale into FMNAS to 4/5% on dip/new sig/stabilize, Reduce leverage (on weakness, -100s AIG), Wait for better longterm signal for short gdx/clf/vale possibly until new yr, re-buy ASPS/OCN on dip insider? Add 5+2%% PLL on dip, Add 5%-200s DVA (on dip), On new signal ~3% AIG wrt when AIG &lt; 35, Watch FNMAS, PHH, CPRT on dip to buy, NSM spinoff, Trading pos: see below, research NBBC, SCTY (insider), china-related shorts re-find, downloads folder, short leveraged loans, ESI/GTAT/XIN, VRX for short, portfolio stop 390,000s, </t>
  </si>
  <si>
    <t>FDS</t>
  </si>
  <si>
    <t>content delivery P1) insider</t>
  </si>
  <si>
    <t>Ablemarle</t>
  </si>
  <si>
    <t>ALB</t>
  </si>
  <si>
    <t>Like NEU P1) insider buying 1/2014</t>
  </si>
  <si>
    <t xml:space="preserve">Reduce VOYA 1-2% on weakness? Scale into FMNAS to 4/5% on dip/new sig/stabilize, Reduce leverage (on weakness, -100s AIG), Wait for better longterm signal for short gdx/clf/vale possibly until new yr, re-buy ASPS/OCN on dip insider? Add 5+2%% PLL on dip, Add 5%-200s DVA (on dip), On new signal ~3% AIG wrt when AIG &lt; 35, Watch FNMAS, PHH, CPRT on dip to buy, NSM spinoff, Trading pos: see below, research NBBC, SCTY (insider), china-related shorts re-find, downloads folder, short leveraged loans, ESI/GTAT/XIN, VRX for short, portfolio stop 390,000s, </t>
  </si>
  <si>
    <t>Align technology</t>
  </si>
  <si>
    <t>ALGN</t>
  </si>
  <si>
    <t>RNR</t>
  </si>
  <si>
    <t xml:space="preserve">Scale into FMNAS to 4/5% on dip/new sig/stabilize, Reduce leverage (on weakness, -100s AIG), Wait for better longterm signal for short gdx/clf/vale possibly until new yr, re-buy ASPS/OCN on dip insider? Add 5+2%% PLL on dip, Add 5%-200s DVA (on dip), On new signal ~3% AIG wrt when AIG &lt; 35, Watch FNMAS, PHH, CPRT on dip to buy, NSM spinoff, Trading pos: see below, research NBBC, SCTY (insider), china-related shorts re-find, downloads folder, short leveraged loans, ESI/GTAT/XIN, VRX for short, NQ for long, CYNO, F, WSH, portfolio stop 390,000s, </t>
  </si>
  <si>
    <t>invisalign</t>
  </si>
  <si>
    <t>Allegion</t>
  </si>
  <si>
    <t>ALLE</t>
  </si>
  <si>
    <t>to reduce risk &amp; too expensive</t>
  </si>
  <si>
    <t>Amgen</t>
  </si>
  <si>
    <t>AMGN</t>
  </si>
  <si>
    <t xml:space="preserve">Reduce leverage (on weakness, -200s VOYA, -300s HLSS, -100s AIG), Buy back 6%/300s SIAL, Scale into FMNAS to 4/5% on dip/new sig/stabilize, Wait for better longterm signal for short gdx/clf/vale possibly until new yr, re-buy ASPS/OCN on dip insider? Add 5+2%% PLL on dip, Add 5%-200s DVA (on dip), On new signal ~3% AIG wrt when AIG &lt; 35, Watch see below, research SCTY (insider), china-related shorts re-find, downloads folder, short leveraged loans, portfolio stop 390,000s, </t>
  </si>
  <si>
    <t>P1) long-lived medicines? P1) insiders 5/2014 C1) patents?</t>
  </si>
  <si>
    <t>Apollo Residential Mortgage Inc</t>
  </si>
  <si>
    <t>MDT</t>
  </si>
  <si>
    <t xml:space="preserve">Reduce leverage (on weakness, -300s HLSS), Buy back 6% 220s MTB on dip, 6%/300s SIAL on dip, Scale into FMNAS to 4/5% on dip/new sig/stabilize, Wait for better longterm signal for short gdx/clf/vale possibly until new yr, re-buy ASPS/OCN on dip insider? Add 5+2%% PLL on dip, Add 5%-200s DVA (on dip), On new signal ~3% AIG wrt when AIG &lt; 35, Watch see below, research SCTY (insider), china-related shorts re-find, downloads folder, short leveraged loans, ITT, AWH, USAK, FIG (blog), AIZ, portfolio stop 390,000s, </t>
  </si>
  <si>
    <t>See AGNC, Dependent on steep curve, ie fed will raise long term raise b4 raising short term P1) insider buying P2) mortgages C1) levered?</t>
  </si>
  <si>
    <t>ONLY BUY SPY after selloff, positive on s&amp;p 500 till end of year, target 80-100% net long, max 150% net long, very selective on shorts until 2014 or dec 2013 and then short more</t>
  </si>
  <si>
    <t>Amazon</t>
  </si>
  <si>
    <t>When fed raises rates to combat inflation, long gc; but currently neg on all hard commodities, exit yield-dependent equities/buy equities that benefit from rising rates</t>
  </si>
  <si>
    <t xml:space="preserve">Buy 6% AWH, 6% NOV, add back 2% HHC, Reduce leverage (on weakness, -300s HLSS), Buy back 6% 220s MTB on dip, 6%/300s SIAL on dip, Scale into FMNAS to 4/5% on dip/new sig/stabilize, Wait for better longterm signal for short gdx/clf/vale possibly until new yr, re-buy ASPS/OCN on dip insider? Add 5+2%% PLL on dip, Add 5%-200s DVA (on dip), On new signal ~3% AIG wrt when AIG &lt; 35, Watch see below, research SCTY (insider), china-related shorts re-find, downloads folder, short leveraged loans, ITT, AWH, NOV, portfolio stop 390,000s, </t>
  </si>
  <si>
    <t>Utility of internet, @  normalized10% margins P1) retailer P2) aws P3) 1700 partial insider 10/2019 C1) size</t>
  </si>
  <si>
    <t>AWH</t>
  </si>
  <si>
    <t>TMO</t>
  </si>
  <si>
    <t xml:space="preserve">Reduce leverage (on weakness, HHC), Buy back 6% 220s MTB on dip, 6%/300s SIAL on dip, Scale into FMNAS to 4/5% on dip/new sig/stabilize, Wait for better longterm signal for short gdx/clf/vale possibly until new yr, re-buy ASPS/OCN on dip insider? Add 5+2%% PLL on dip, Add 5%-200s DVA (on dip), On new signal ~3% AIG wrt when AIG &lt; 35, Watch see below, research SCTY (insider), china-related shorts re-find, downloads folder, short leveraged loans, ITT, AWH, portfolio stop 390,000s, </t>
  </si>
  <si>
    <t xml:space="preserve">Reduce leverage (on weakness, HLSS, HHC), Wait for better longterm signal for short gdx/clf/vale possibly until new yr, Buy back 6% 220s MTB on dip, 6%/300s SIAL on dip, Scale into FMNAS to 4/5% on dip/new sig/stabilize, re-buy ASPS/OCN on dip insider? Add 5+2%% PLL on dip, Add 5%-200s DVA (on dip), On new signal ~3% AIG wrt when AIG &lt; 35, Watch see below, research SCTY (insider), china-related shorts re-find, downloads folder, short leveraged loans, ITT, PSX/MPC, TSLA short, AIZ insider portfolio stop 390,000s, </t>
  </si>
  <si>
    <t xml:space="preserve">On 11/14 strength, Buy 6%/300s SIAL, 6%/400s AIZ, 6% 220s MTB, 300s MPC, Reduce leverage (on weakness, HHC), Wait for better longterm signal for short gdx/clf/vale possibly until new yr, Scale into FMNAS to 4/5% on dip/new sig/stabilize, re-buy ASPS/OCN on dip insider? Add 5+2%% PLL on dip, Add 5%-200s DVA (on dip), On new signal ~3% AIG wrt when AIG &lt; 35, Watch see below, research SCTY (insider), china-related shorts re-find, downloads folder, short leveraged loans, ITT, PSX/MPC, portfolio stop 390,000s, </t>
  </si>
  <si>
    <t>DPZ</t>
  </si>
  <si>
    <t>ROP</t>
  </si>
  <si>
    <t xml:space="preserve">Reduce leverage (on weakness, HHC), Wait for better longterm signal for short gdx/clf/vale possibly until new yr, Scale into FMNAS to 4/5% on dip/new sig/stabilize, re-buy ASPS/OCN on dip insider? Add 5+2%% PLL on dip, Add 5%-200s DVA (on dip), On new signal ~3% AIG wrt when AIG &lt; 35, Watch see below, research SCTY (insider), china-related shorts re-find, downloads folder, short leveraged loans, ITT, PSX/MPC, RDN, USAK, AET, portfolio stop 390,000s, </t>
  </si>
  <si>
    <t xml:space="preserve">Reduce leverage (on weakness, PSX/MPC, 1%-2% VOYA), Scale into FMNAS to 4/5% on dip/new sig/stabilize, Wait for better longterm signal for short gdx/clf/vale possibly until new yr, re-buy ASPS/OCN on dip insider? Add 5+2%% PLL on dip, Add 5%-200s DVA (on dip), On new signal ~3% AIG wrt when AIG &lt; 35, Watch see below, research SCTY (insider), china-related shorts re-find, downloads folder, short leveraged loans, ITT, PSX/MPC, RDN, USAK, AET, portfolio stop 390,000s, </t>
  </si>
  <si>
    <t>TDG</t>
  </si>
  <si>
    <t xml:space="preserve">Watch 250s MPC/300s PSX for 5% buy on dip, 650s CPRT buy on dip, Reduce leverage (on weakness, 1%-2% VOYA on 11/19 &gt;10:30am), Scale into FMNAS to 4/5% on dip/new sig/stabilize, Wait for better longterm signal for short gdx/clf/vale possibly until new yr, re-buy ASPS/OCN on dip insider? Add 5+2%% PLL on dip, Add 5%-200s DVA (on dip), On new signal ~3% AIG wrt when AIG &lt; 35, Watch see below, research SCTY (insider), china-related shorts re-find, downloads folder, short leveraged loans, ITT, PSX/MPC, RDN, SCL (other insider/finviz), portfolio stop 400,000s, </t>
  </si>
  <si>
    <t>NVO</t>
  </si>
  <si>
    <t>RDN</t>
  </si>
  <si>
    <t>SCL</t>
  </si>
  <si>
    <t>OCN</t>
  </si>
  <si>
    <t>Anthem (WellPoint, Inc.)</t>
  </si>
  <si>
    <t>ANTM</t>
  </si>
  <si>
    <t xml:space="preserve">Reduce leverage (on weakness, 2% HHC? 1%-2% VOYA on 11/19 &gt;10:30am, 1%+/20s UHAL, MTB/SIAL/NOV/CPRT), Scale into FMNAS to 4/5% on dip/new sig/stabilize, Wait for better longterm signal for short gdx/clf/vale possibly until new yr, re-buy ASPS/OCN on dip insider? Add 5+2%% PLL on dip, Add 5%-200s DVA (on dip), On new signal ~3% AIG wrt when AIG &lt; 35, Watch see below, research SCTY (insider), china-related shorts re-find, downloads folder, short leveraged loans, ITT, PSX/MPC, RDN, SCL (other insider/finviz), ASPS/OCN, portfolio stop 400,000s, </t>
  </si>
  <si>
    <t xml:space="preserve">Reduce leverage (on weakness, MPC/PSX weak open 11/21, 1%/10s MKL, 1%+/20s UHAL, RDN/MTB/SIAL/NOV/CPRT/AIZ/ASPS/OCN/AWH/SCL), Scale into FMNAS to 4/5% on dip/new sig/stabilize, Wait for better longterm signal for short gdx/clf/vale possibly until new yr, re-buy ASPS/OCN on dip insider? Add 5+2%% PLL on dip, Add 5%-200s DVA (on dip), On new signal ~3% AIG wrt when AIG &lt; 35, Watch see below, research SCTY (insider), china-related shorts re-find, downloads folder, short leveraged loans, ITT, PSX/MPC, RDN, SCL (other insider/finviz), NVR, portfolio stop 400,000s, </t>
  </si>
  <si>
    <t>Insurer who bought CI P1) good fundies C1) too big</t>
  </si>
  <si>
    <t>IQV</t>
  </si>
  <si>
    <t>Aon plc</t>
  </si>
  <si>
    <t xml:space="preserve">Reduce leverage (on weakness, 1-2% VOYA, MPC/PSX weak open 11/21, 1%/10s MKL, 1%+/20s UHAL, RDN/MTB/SIAL/NOV/CPRT/AIZ/ASPS/OCN/AWH/SCL), Scale into FMNAS to 4/5% on dip/new sig/stabilize, Wait for better longterm signal for short gdx/vale possibly until new yr, re-buy ASPS/OCN on dip insider? Add 5+2%% PLL on dip, Add 5%-200s DVA (on dip), On new signal ~3% AIG wrt when AIG &lt; 35, Watch see below, research SCTY (insider), china-related shorts re-find, downloads folder, short leveraged loans, ITT, PSX/MPC, RDN, SCL (other insider/finviz), NVR, FNMAS, BAC warrants, portfolio stop 400,000s, </t>
  </si>
  <si>
    <t>insurance/risk management broker &amp; consultant P1) insider 8/2015 P2) decent fundies C1) growth?</t>
  </si>
  <si>
    <t>Air Products</t>
  </si>
  <si>
    <t>APD</t>
  </si>
  <si>
    <t xml:space="preserve">Reduce leverage (on weakness, 1-2% HLSS, MPC/PSX weak open 11/21, 1%/10s MKL, 1%+/20s UHAL, RDN/MTB/SIAL/NOV/CPRT/AIZ/ASPS/OCN/AWH/SCL), Scale into FMNAS to 4/5% on dip/new sig/stabilize, Wait for better longterm signal for short gdx/vale possibly until new yr, re-buy ASPS/OCN on dip insider? Add 5+2%% PLL on dip, Add 5%-200s DVA (on dip), On new signal ~3% AIG wrt when AIG &lt; 35, Watch see below, research SCTY (insider), china-related shorts re-find, downloads folder, short leveraged loans, ITT, PSX/MPC, RDN, SCL (other insider/finviz), NVR, FNMAS, APD, portfolio stop 400,000s, </t>
  </si>
  <si>
    <t>industrial gas biz, valued @ average of 200 &amp; reg valuation P1) Insider buying 12/2014 though only ceo P2) ackman catalyst C1) size, little growth C2) exposure to china/commodities but not much bc mostly refining &amp; chemcials with growth or as inputs</t>
  </si>
  <si>
    <t>Amphenol Corporation</t>
  </si>
  <si>
    <t>APH</t>
  </si>
  <si>
    <t>ETSY</t>
  </si>
  <si>
    <t xml:space="preserve">Reduce leverage (on weakness, 1-2% HLSS, MPC/PSX weak open 11/21, 1%/10s MKL, 1%+/20s UHAL, RDN/MTB/SIAL/NOV/CPRT/AIZ/ASPS/OCN/AWH/SCL), Scale into FMNAS to 4/5% on dip/new sig/stabilize, Wait for better longterm signal for short gdx/vale possibly until new yr, re-buy ASPS/OCN on dip insider? Add 5+2%% PLL on dip, Add 5%-200s DVA (on dip), On new signal ~3% AIG wrt when AIG &lt; 35, Watch see below, research SCTY (insider), china-related shorts re-find, downloads folder, short leveraged loans, ITT, PSX/MPC, RDN, SCL (other insider/finviz), NVR, FNMAS, APD, FMCKJ/FMCC/FNMA, portfolio stop 400,000s, </t>
  </si>
  <si>
    <t>P1) Electronic connectors?</t>
  </si>
  <si>
    <t xml:space="preserve">Altisource Portfolio Solutions S.A. </t>
  </si>
  <si>
    <t xml:space="preserve">Add 50s ASPS on strength, Reduce leverage (on weakness, 1-2% HLSS, MPC/PSX weak open 11/21, 1%/10s MKL, 1%+/20s UHAL, RDN/MTB/SIAL/NOV/CPRT/AIZ/ASPS/OCN/AWH/SCL), Scale into FMNAS to 4/5% on dip/new sig/stabilize, Wait for better longterm signal for short gdx/vale possibly until new yr, re-buy ASPS/OCN on dip insider? Add 5+2%% PLL on dip, Add 5%-200s DVA (on dip), On new signal ~3% AIG wrt when AIG &lt; 35, Watch see below, research SCTY (insider), china-related shorts re-find, downloads folder, short leveraged loans, ITT, PSX/MPC, RDN, SCL (other insider/finviz), NVR, FNMAS, APD, FMCKJ/FMCC/FNMA, portfolio stop 400,000s, </t>
  </si>
  <si>
    <t>Multiple write ups P1) Mtg technology for MSRs P2) hugely profitable insider buying P3) behavioral? C1) too linked to refi/foreclosures? C2) Link to Ocwen! (spinoff of) C3) foreclosure/refin peak vs UPB growth? C4) not good towards customers?</t>
  </si>
  <si>
    <t>Atrion Corporation</t>
  </si>
  <si>
    <t>ATRI</t>
  </si>
  <si>
    <t>medical devices P1) great fundamentals</t>
  </si>
  <si>
    <t>Bank of Internet (Axos Fin/AX)</t>
  </si>
  <si>
    <t>AX</t>
  </si>
  <si>
    <t>online bank P1) efficiency P2) insider 2/2016 C1) over earning in cycle since 2008</t>
  </si>
  <si>
    <t>American Express</t>
  </si>
  <si>
    <t>AXP</t>
  </si>
  <si>
    <t>poor entry</t>
  </si>
  <si>
    <t>DHR</t>
  </si>
  <si>
    <t xml:space="preserve">Cover GDX/VALE on strength &gt; 10:30am 11/26, Reduce ASPS on weakness as well, Reduce leverage (on weakness, CPRT/NOV/CF, 1-2% HLSS, 1%/10s MKL, 1%+/20s UHAL, MTB/SIAL/AIZ/SCL/DLTR), Scale into FMCC/FMCKJ to 3%/1% on dip/new sig/stabilize, Add 5+2%% PLL on dip, Add 5%-200s DVA (on dip), On new signal ~3% AIG wrt when AIG &lt; 35, Watch see below, research SCTY (insider), china-related shorts re-find, downloads folder, short leveraged loans, ITT, PSX/MPC, RDN, SCL (other insider/finviz), NVR, FNMAS, APD, FMCKJ/FMCC/FNMA, portfolio stop 400,000s, </t>
  </si>
  <si>
    <t>card company making most money from transaction rev, 1) Self-reinforcing cycle for the rich P2) insider 2/2015 C1) growth ending? C2) competition from V etc. C3) costco loss? not material bc not high C4) charge card commoditization/price wars</t>
  </si>
  <si>
    <t>Autozone</t>
  </si>
  <si>
    <t>Just in time emergency logistics for car parts, Diy auto parts w lower growth bc electric P1) longevity of cars P2) insider buying 10/2013 P3) new car buying C1) growth C2) disruption from amazon 1/2017 but not same day? C3) disruption from electric cars!!</t>
  </si>
  <si>
    <t xml:space="preserve">Cover GDX/VALE on strength &gt; 10:30am 11/27?, Reduce MPC on big dip eod, ASPS on weakness as well, Reduce leverage (on weakness, NOV/AZO, CPRT/CF, 1-2% HLSS, 1%/10s MKL, 1%+/20s UHAL, MTB/SIAL/AIZ/SCL/DLTR), Scale into FMCC/FMCKJ to 3%/1% on dip/new sig/stabilize, Add 5+2%% PLL on dip, Add 5%-200s DVA (on dip), On new signal ~3% AIG wrt when AIG &lt; 35, Watch see below, research SCTY (insider), china-related shorts re-find, downloads folder, short leveraged loans, ITT, PSX/MPC, RDN, SCL (other insider/finviz), NVR, FNMAS, APD, FMCKJ/FMCC/FNMA, portfolio stop 400,000s, </t>
  </si>
  <si>
    <t>CHD</t>
  </si>
  <si>
    <t xml:space="preserve">Reduce MPC on big dip eod, ASPS on weakness as well, Reduce leverage (on weakness, DLTR(bigger drop)/NOV/AZO, CF, 1-2% HLSS, 1%/10s MKL, 1%+/20s UHAL, MTB/SIAL/AIZ/SCL/DLTR), Scale into FMCC/FMCKJ to 3%/1% on dip/new sig/stabilize, Add 5+2%% PLL on dip, Add 5%-200s DVA (on dip), On new signal ~3% AIG wrt when AIG &lt; 35, Watch see below, research SCTY (insider), china-related shorts re-find, downloads folder, short leveraged loans, ITT, RDN, SCL (other insider/finviz), NVR, FNMAS, APD, FMCKJ/FMCC/FNMA, SPG, RESI/AAMC? NDAQ, portfolio stop 400,000s, </t>
  </si>
  <si>
    <t xml:space="preserve">Reduce MPC on big dip eod, ASPS on weakness as well, Reduce leverage (on weakness, DLTR(bigger drop)/NOV/AZO, CF, 1-2% HLSS, 1%/10s MKL, 1%+/20s UHAL, MTB/SIAL/AIZ/SCL/DLTR), Add to IBTX on dip &lt; 40? Scale into FMCC/FMCKJ to 3%/1% on dip/new sig/stabilize, Add 5+2%% PLL on dip, Add 5%-200s DVA (on dip), On new signal ~3% AIG wrt when AIG &lt; 35, Watch see below, research SCTY (insider), china-related shorts re-find, downloads folder, short leveraged loans, ITT, RDN, SCL (other insider/finviz), NVR, FNMAS, APD, FMCKJ/FMCC/FNMA, SPG, RESI/AAMC? NDAQ, SUBK, portfolio stop 410,000s, </t>
  </si>
  <si>
    <t>EFX</t>
  </si>
  <si>
    <t xml:space="preserve">Add 1%-2%/200s AIG on strength,  Reduce DLTR/AZO? Add to IBTX on dip &lt; 40? Readd shorts? Reduce MPC on big dip eod, ASPS on weakness as well, Reduce leverage (on weakness, CF, 1-2% HLSS, 1%/10s MKL, 1%+/20s UHAL, MTB/SIAL/AIZ/SCL/DLTR), Scale into FMCC/FMCKJ to 3%/1% on dip/new sig/stabilize, Add 5+2%% PLL on dip, Add 5%-200s DVA (on dip), On new signal ~3% AIG wrt when AIG &lt; 35, Watch see below, research SCTY (insider), china-related shorts re-find, downloads folder, short leveraged loans, ITT, RDN, SCL (other insider/finviz), NVR, FNMAS, APD, FMCKJ/FMCC/FNMA, SPG, RESI/AAMC? NDAQ, SUBK, portfolio stop 410,000s, </t>
  </si>
  <si>
    <t xml:space="preserve">Reduce leverage (on weakness, 1%+/20s UHAL, DLTR/AZO, 1-2% HLSS, 1%/10s MKL, 1% VOYA,  MTB/SIAL/AIZ/SCL/DLTR), Add 1%-2%/200s AIG on strength,  Add to IBTX on dip &lt; 40? Readd shorts? Reduce MPC on big dip eod, ASPS on weakness as well, Scale into FMCC/FMCKJ to 3%/1% on dip/new sig/stabilize, Add back AAMC/RESI on big dip, Add 5+2%% PLL on dip, Add 5%-200s DVA (on dip), On new signal ~3% AIG wrt when AIG &lt; 35, Watch see below, research SCTY (insider), china-related shorts re-find, downloads folder, short leveraged loans, ITT, RDN, SCL (other insider/finviz), NVR, FNMAS, APD, FMCKJ/FMCC/FNMA, SPG, NDAQ, SUBK, ISBC portfolio stop 410,000s, </t>
  </si>
  <si>
    <t>NVDA</t>
  </si>
  <si>
    <t xml:space="preserve">Reduce leverage (on weakness, 1%/10s MKL, 1% SIAL/AIZ), Look to add below later in Dec. (400s-500sDLTR/5%300s HP/300sNOV/ 40sUHAL/100sHHC/220sAWH/ 350sSCL/500sVOYA/1000s ISBC), Add to IBTX on dip &lt; 40? Readd shorts? Scale into FMCC/FMCKJ to 3%/1% on dip/new sig/stabilize, Add back AAMC/RESI on big dip, Add 5+2%% PLL on dip, Add 5%-200s DVA (on dip), On new signal ~3% AIG wrt when AIG &lt; 35, Watch see below, research SCTY (insider), china-related shorts re-find, downloads folder, short leveraged loans, ITT, RDN, NVR, FNMAS, APD, FMCKJ/FMCC/FNMA, SPG, ISBC  portfolio stop 410,000s, </t>
  </si>
  <si>
    <t>NKE</t>
  </si>
  <si>
    <t>HP</t>
  </si>
  <si>
    <t>ISBC</t>
  </si>
  <si>
    <t>Aspen Technologies</t>
  </si>
  <si>
    <t>AZPN</t>
  </si>
  <si>
    <t>Boeing</t>
  </si>
  <si>
    <t>BA</t>
  </si>
  <si>
    <t xml:space="preserve">Reduce leverage (on weakness, ), Readd shorts? Scale into FMCC/FMCKJ to 3%/1% on dip/new sig/stabilize, Add back AAMC/RESI on big dip, Add 5+2%% PLL on dip, Add 5%-200s DVA (on dip), On new signal ~3% AIG wrt when AIG &lt; 35, Watch see below, research SCTY (insider), china-related shorts re-find, downloads folder, short leveraged loans, ITT, RDN, NVR, FNMAS, APD, FMCKJ/FMCC/FNMA, SPG, ISBC  portfolio stop 410,000s, </t>
  </si>
  <si>
    <t>Largest airplane manufacturer</t>
  </si>
  <si>
    <t>Alibaba</t>
  </si>
  <si>
    <t>BABA</t>
  </si>
  <si>
    <t xml:space="preserve">Add 1%-2%/100-200s DLTR, Watch NOV, Reduce leverage (on weakness, ), Readd shorts? Scale into FMCC/FMCKJ to 3%/1% on dip/new sig/stabilize, Add back AAMC/RESI on big dip, Add 5+2%% PLL on dip, Add 5%-200s DVA (on dip), On new signal ~3% AIG wrt when AIG &lt; 35, Watch see below, research SCTY (insider), china-related shorts re-find, downloads folder, short leveraged loans, MUSA, APD, INBK, NVR, BCBP, ITT, DAL, AJG, HEOP, CHMI (insider), portfolio stop 410,000s, </t>
  </si>
  <si>
    <t>chinese amazon, P1)   C1) bad mgt?</t>
  </si>
  <si>
    <t>Bank of America</t>
  </si>
  <si>
    <t xml:space="preserve">Add 1%-2%/100-200s DLTR, Watch NOV, Reduce leverage (on weakness, ), Readd shorts? Scale into FMCC/FMCKJ to 3%/1% on dip/new sig/stabilize, Add back AAMC/RESI on big dip, Add 5+2%% PLL on dip, Add 5%-200s DVA (on dip), On new signal ~3% AIG wrt when AIG &lt; 35, Watch see below, research SCTY (insider), china-related shorts re-find, downloads folder, short leveraged loans, MUSA, APD, INBK, NVR, BCBP, ITT, DAL, AJG, HEOP, CHMI (insider), MCY (insider) portfolio stop 410,000s, </t>
  </si>
  <si>
    <t>PATK</t>
  </si>
  <si>
    <t xml:space="preserve">See C, tgt at book value+,  P1) insider buying jan 2013 P2) profitable again, </t>
  </si>
  <si>
    <t>Brookfield Asset Management</t>
  </si>
  <si>
    <t>BAM</t>
  </si>
  <si>
    <t>infrastructure?</t>
  </si>
  <si>
    <t xml:space="preserve">Reduce leverage (on weakness, MPC, PSX), Buy BCBP, MUSA, CHMI (insider), WWAV on dip? Readd shorts? Scale into FMCC/FMCKJ to 3%/1% on dip/new sig/stabilize, Add back AAMC/RESI on big dip, Add 5+2%% PLL on dip, Add 5%-200s DVA (on dip), On new signal ~3% AIG wrt when AIG &lt; 35, Watch see below, research SCTY (insider), china-related shorts re-find, downloads folder, short leveraged loans, INBK, NVR, ITT, DAL, AJG, HEOP, portfolio stop 410,000s, </t>
  </si>
  <si>
    <t>Baxter</t>
  </si>
  <si>
    <t>BAX</t>
  </si>
  <si>
    <t>MSCI</t>
  </si>
  <si>
    <t>medical devices P1) good fundies pre 2014 and may look better after Baxalta spinoff P2) insider 5/2016</t>
  </si>
  <si>
    <t>BCB Bancorp</t>
  </si>
  <si>
    <t>BCBP</t>
  </si>
  <si>
    <t xml:space="preserve">Reduce leverage (on eod weakness, MPC, PSX), Buy BCBP, MUSA, CHMI (insider), INBK, WWAV on dip? Readd shorts? Scale into FMCC/FMCKJ to 3%1500s/1%1500s on dip/new sig/stabilize, Add back AAMC/RESI on big dip, Add 5+2%% PLL on dip, Add 5%-200s DVA (on dip), On new signal ~3% AIG wrt when AIG &lt; 35, Watch see below, research SCTY (insider), china-related shorts re-find, downloads folder, short leveraged loans, DAL, AJG, HEOP, short coals (WLT/ACI?), PFBI, NPBC, portfolio stop 410,000s, </t>
  </si>
  <si>
    <t>like IBTX? Check value P1) insider buying 12/2013</t>
  </si>
  <si>
    <t>Balchem Corporation</t>
  </si>
  <si>
    <t>BCPC</t>
  </si>
  <si>
    <t xml:space="preserve">Reduce leverage (on eod weakness, MPC, PSX, SCL, AWH, MTB), Scale into FMCC/FMCKJ to 3%1500s/1%1500s on dip/new sig/stabilize, Buy BCBP, MUSA, CHMI (insider), INBK, WWAV on dip? Readd shorts 900s GDX/1800s VALE on pop,  Add back AAMC/RESI on big dip, Add 5+2%% PLL on dip, Add 5%-200s DVA (on dip), On new signal ~3% AIG wrt when AIG &lt; 35, Watch see below, research SCTY (insider), china-related shorts re-find, downloads folder, short leveraged loans, DAL, AJG, HEOP, short coals (WLT/ACI?), PFBI, NPBC, portfolio stop 410,000s, </t>
  </si>
  <si>
    <t>Food chemicals P1) good roic P2) great growth C1) food regs?</t>
  </si>
  <si>
    <t>Becton, Dickinson &amp; Co.</t>
  </si>
  <si>
    <t>BDX</t>
  </si>
  <si>
    <t>CHMI</t>
  </si>
  <si>
    <t>YUM</t>
  </si>
  <si>
    <t>needles! Wait for dip</t>
  </si>
  <si>
    <t>Bausch (used to be Valeant)</t>
  </si>
  <si>
    <t>BHC</t>
  </si>
  <si>
    <t xml:space="preserve">Reduce leverage (on eod weakness, MPC, PSX, SCL, AWH, MTB), Scale into FMCC/FMCKJ to 3%1500s/1%1500s on dip/new sig/stabilize, Buy BCBP, MUSA, CHMI (insider), INBK, WWAV on dip? Readd shorts 900s GDX/1800s VALE on pop,  Add back AAMC/RESI on big dip, Add 5+2%% PLL on dip, Add 5%-200s DVA (on dip), On new signal ~3% AIG wrt when AIG &lt; 35, Watch see below, research SCTY (insider), china-related shorts re-find, downloads folder, short leveraged loans, DAL, AJG, HEOP, short coals (WLT/ACI?), PFBI, NPBC, CBB, MYL, KODK portfolio stop 410,000s, </t>
  </si>
  <si>
    <t>pharma w eye P1) insider 5/2018 P2) reset company C1) debt C2) philidor related fraud?</t>
  </si>
  <si>
    <t xml:space="preserve">Reduce leverage (on eod weakness, MPC, PSX, SCL, AWH, MTB), Scale into FMCC/FMCKJ to 3%1500s/1%1500s on dip/new sig/stabilize, Buy BCBP, MUSA, AFSI, INBK, WWAV on dip? Readd shorts 900s GDX/1800s VALE on pop,  Add back AAMC/RESI on big dip, Add 5+2%% PLL on dip, Add 5%-200s DVA (on dip), On new signal ~3% AIG wrt when AIG &lt; 35, Watch see below, research SCTY (insider), china-related shorts re-find, downloads folder, short leveraged loans, DAL, AJG, HEOP, short coals (WLT/ACI?), PFBI, NPBC, AFSI lolng, portfolio stop 410,000s, </t>
  </si>
  <si>
    <t xml:space="preserve">Baidu.com, Inc. (ADR) </t>
  </si>
  <si>
    <t>BIDU</t>
  </si>
  <si>
    <t>P1) Fundamentally great, C2) China risks</t>
  </si>
  <si>
    <t>VRSN</t>
  </si>
  <si>
    <t>Biogen</t>
  </si>
  <si>
    <t xml:space="preserve">Reduce leverage (on eod weakness, MPC, PSX, SCL, AWH, MTB), Scale into FMCC/FMCKJ to 3%1500s/1%1500s on dip/new sig/stabilize, Buy BCBP, ESL (Esterline), DAL, MUSA, AFSI, INBK, WWAV on dip? Readd shorts 900s GDX/1800s VALE on pop,  Add back AAMC/RESI on big dip, Add 5+2%% PLL on dip, Add 5%-200s DVA (on dip), On new signal ~3% AIG wrt when AIG &lt; 35, Watch see below, research SCTY (insider), china-related shorts re-find, downloads folder, short leveraged loans, ESL (Esterline), DAL, AJG, HEOP, short coals (WLT/ACI?), PFBI, NPBC, AFSI long, CECO, GAIN, FLXS, LCI, portfolio stop 410,000s, </t>
  </si>
  <si>
    <t>BIIB</t>
  </si>
  <si>
    <t>P1) drugs biopharma P2) insider 2/2019</t>
  </si>
  <si>
    <t>Buckle Inc. (The)</t>
  </si>
  <si>
    <t>BKE</t>
  </si>
  <si>
    <t>Great financials, but moat?</t>
  </si>
  <si>
    <t>ESL</t>
  </si>
  <si>
    <t>Black Knight</t>
  </si>
  <si>
    <t>BKI</t>
  </si>
  <si>
    <t xml:space="preserve">Reduce leverage (on eod weakness, MPC, PSX, SCL, AWH, MTB), Scale into FMCC/FMCKJ to 3%1500s/1%1500s on dip/new sig/stabilize, Buy DAL, MUSA, AFSI, INBK, WWAV on dip? Readd shorts 900s GDX/1800s VALE on pop,  Add back AAMC/RESI on big dip, Add 5+2%% PLL on dip, Add 5%-200s DVA (on dip), On new signal ~3% AIG wrt when AIG &lt; 35, Watch see below, research SCTY (insider), china-related shorts re-find, downloads folder, short leveraged loans, ESL (Esterline), DAL, AJG, HEOP, short coals (WLT/ACI?), PFBI, NPBC, AFSI long, CECO, GAIN, FLXS, LCI, portfolio stop 410,000s, </t>
  </si>
  <si>
    <t>MTD</t>
  </si>
  <si>
    <t>mortgage tech P1) insider 12/2018</t>
  </si>
  <si>
    <t>Booking.com</t>
  </si>
  <si>
    <t xml:space="preserve">Reduce leverage (on eod weakness, ASPS, AIG, BCBP, MPC, PSX, SCL, AWH, MTB), Scale into FMCC/FMCKJ to 3%1500s/1%1500s on dip/new sig/stabilize, Buy DAL, MUSA, AFSI, INBK, WWAV on dip? Readd shorts 900s GDX/1800s VALE on pop,  Add back AAMC/RESI on big dip, Add 5+2%% PLL on dip, Add 5%-200s DVA (on dip), On new signal ~3% AIG wrt when AIG &lt; 35, Watch see below, research SCTY (insider), china-related shorts re-find, downloads folder, short leveraged loans, ESL (Esterline), DAL, AJG, HEOP, short coals (WLT/ACI?), PFBI, NPBC, AFSI long, GAIN, FLXS, LCI, LNBB, SBUX, portfolio stop 410,000s, </t>
  </si>
  <si>
    <t xml:space="preserve">Scale into FMCC/FMCKJ to 3%1500s/1%1500s on dip/new sig/stabilize, Reduce leverage (on eod weakness, ASPS, AIG, BCBP, MPC, PSX, SCL, AWH, MTB), Buy DAL, MUSA, AFSI, INBK, WWAV on dip? Readd shorts 900s GDX/1800s VALE on pop,  Add back AAMC/RESI on big dip, Add 5+2%% PLL on dip, Add 5%-200s DVA (on dip), On new signal ~3% AIG wrt when AIG &lt; 35, Watch see below, research SCTY (insider), china-related shorts re-find, downloads folder, short leveraged loans, ESL (Esterline), DAL, AJG, HEOP, short coals (WLT/ACI?), PFBI, NPBC, AFSI long, GAIN, FLXS, LCI, LNBB, portfolio stop 410,000s, </t>
  </si>
  <si>
    <t>Bookings + Priceline hotel marketplace P1) Travel C1) Killing off NYOP bad for profits/choices! C2) competition from hotels?/google flights?</t>
  </si>
  <si>
    <t>MKC</t>
  </si>
  <si>
    <t>BlackRock</t>
  </si>
  <si>
    <t>asset manager P1) size P2) sindier 7/2018</t>
  </si>
  <si>
    <t>FMCC</t>
  </si>
  <si>
    <t>Ball Corp</t>
  </si>
  <si>
    <t>FMCKJ</t>
  </si>
  <si>
    <t>BLL</t>
  </si>
  <si>
    <t xml:space="preserve">Reduce leverage if 12/20 down &gt;10:30am (on eod weakness, 1/2MPC, 1/2PSX, 300s-600s HLSS pop, 300s-500s VOYA, ASPS, AIG), Buy AFSI, SBUX, DAL, MUSA, INBK, WWAV on dip? Readd shorts 900s GDX/1800s VALE on pop,  Add back AAMC/RESI on big dip, Add 5+2%% PLL on dip, Add 5%-200s DVA (on dip), On new signal ~3% AIG wrt when AIG &lt; 35, Watch see below, research SCTY (insider), china-related shorts re-find, downloads folder, short leveraged loans, ESL (Esterline), DAL, AJG, HEOP, short coals (WLT/ACI?), PFBI, NPBC, AFSI long, GAIN, FLXS, LCI, LNBB, portfolio stop 410,000s, </t>
  </si>
  <si>
    <t>Beverage cans! P1) multiple insider 8/2016 at highs, P2) good metrics P3) consumer trading down C1) projected growth concerns</t>
  </si>
  <si>
    <t>Broadridge Financial Services</t>
  </si>
  <si>
    <t>BR</t>
  </si>
  <si>
    <t xml:space="preserve">Readd shorts 900s GDX/1800s VALE on pop/Research USD.HKD/RMB long china banks,  Reduce leverage (on eod weakness, 200s ASPS, 1/2MPC, 1/2PSX, 300s-600s HLSS pop, 300s-500s VOYA, AIG), Buy AFSI, SBUX, DAL, MUSA, INBK, WWAV on dip? Add back AAMC/RESI on big dip, Add 5+2%% PLL on dip, Add 5%-200s DVA (on dip), On new signal ~3% AIG wrt when AIG &lt; 35, Watch see below, research SCTY (insider), china-related shorts re-find, downloads folder, short leveraged loans, ESL (Esterline), DAL, AJG, HEOP, short coals (WLT/ACI?), PFBI, NPBC, AFSI long, GAIN, FLXS, LCI, LNBB, portfolio stop 410,000s, </t>
  </si>
  <si>
    <t xml:space="preserve">Buy MUSA, SBUX, DAL, INBK, WWAV on dip? Readd shorts 1200s GDX/2000s VALE/1000s CLF on pop/Research USD.HKD/RMB, china banks,  Reduce leverage (on eod weakness, AIG? 200s ASPS, 1/2MPC, 1/2PSX, 300s-600s HLSS pop, 300s-500s VOYA), Add back AAMC/RESI on big dip, Add 5+2%% PLL on dip, Add 5%-200s DVA (on dip), On new signal ~3% AIG wrt when AIG &lt; 35, Watch see below, research SCTY (insider), china-related shorts re-find, downloads folder, short leveraged loans, ESL (Esterline), DAL, AJG, HEOP, short coals (WLT/ACI?), PFBI, NPBC, AFSI long, GAIN, FLXS, LCI, LNBB, portfolio stop 410,000s, </t>
  </si>
  <si>
    <t>MUSA</t>
  </si>
  <si>
    <t>Berkshire Hathaway</t>
  </si>
  <si>
    <t>ZTS</t>
  </si>
  <si>
    <t>TERRIBLE TRADE, SHORT ON PULLBACK</t>
  </si>
  <si>
    <t xml:space="preserve">Buy SBUX, DAL, INBK, WWAV on dip? Reduce leverage (on eod weakness, AIG? 200s ASPS, 1/2MPC, 1/2PSX, 300s-600s HLSS pop, 300s-500s VOYA), Add back AAMC/RESI on big dip, Add 5+2%% PLL on dip, Add 5%-200s DVA (on dip), On new signal ~3% AIG wrt when AIG &lt; 35, Watch see below, research SCTY (insider), china-related shorts re-find, downloads folder, short leveraged loans, ESL (Esterline), DAL, AJG, HEOP, short coals (WLT/ACI?), PFBI, NPBC, AFSI long, GAIN, FLXS, LCI, LNBB, Research USD.HKD/RMB, china banks,  portfolio stop 410,000s, </t>
  </si>
  <si>
    <t>buffett, valued @ 1.9x book, 10% roe &amp; 5% growth?</t>
  </si>
  <si>
    <t xml:space="preserve">Reduce WLT/CLF/shorts on strong open &gt; 10:30am 12/26, Buy SBUX, DAL, INBK, WWAV on dip? Reduce leverage (on eod weakness, AIG? 200s ASPS, 1/2MPC, 1/2PSX, 300s-600s HLSS pop, 300s-500s VOYA), Add back AAMC/RESI on big dip, Add 5+2%% PLL on dip, Add 5%-200s DVA (on dip), On new signal ~3% AIG wrt when AIG &lt; 35, Watch see below, research SCTY (insider), china-related shorts re-find, downloads folder, short leveraged loans, ESL (Esterline), DAL, AJG, HEOP, short coals (WLT/ACI?), PFBI, NPBC, AFSI long, GAIN, FLXS, Research USD.HKD/RMB, china banks, portfolio stop 410,000s, </t>
  </si>
  <si>
    <t xml:space="preserve">Reduce WLT/CLF/shorts on strong open &gt; 10:30am 12/27, Buy SBUX, DAL, INBK, WWAV on dip? Reduce leverage (on eod weakness, AIG? 200s ASPS, 1/2MPC, 1/2PSX, 300s-600s HLSS pop, 300s-500s VOYA), Add back AAMC/RESI on big dip, Add 5+2%% PLL on dip, Add 5%-200s DVA (on dip), On new signal ~3% AIG wrt when AIG &lt; 35, Watch see below, research SCTY (insider), china-related shorts re-find, downloads folder, short leveraged loans, ESL (Esterline), DAL, AJG, HEOP, short coals (WLT/ACI?), PFBI, NPBC, AFSI long, GAIN, FLXS, Research USD.HKD/RMB, china banks, portfolio stop 410,000s, </t>
  </si>
  <si>
    <t>ECL</t>
  </si>
  <si>
    <t xml:space="preserve">Buy SBUX, DAL, INBK, WWAV on dip? Reduce leverage (on eod weakness, AIG? 200s ASPS, 1/2MPC, 1/2PSX, 300s-600s HLSS pop, 300s-500s VOYA), In new Year, Reshort all GDX1200s, VALE2000s, (CLF1000s, WLT1500s if &lt;20% shares shrt) on pop and/or no new highs after 2 days, Add back AAMC/RESI on big dip, Add 5+2%% PLL on dip, Add 5%-200s DVA (on dip), On new signal ~3% AIG wrt when AIG &lt; 35, Watch see below, research SCTY (insider), china-related shorts re-find, downloads folder, short leveraged loans, ESL (Esterline), DAL, AJG, HEOP, short coals (WLT/ACI?), PFBI, NPBC, AFSI long, portfolio stop 410,000s, </t>
  </si>
  <si>
    <t xml:space="preserve">Buy SBUX, DAL, INBK, WWAV on dip? Reduce leverage (on eod weakness, 200s ASPS, MUSA/HLSS, 1/2MPC, 1/2PSX, 300s-600s HLSS pop, 300s-500s VOYA), In new Year, Reshort all GDX1200s, VALE2000s, (CLF1000s, WLT1500s if &lt;20% shares shrt) on pop and/or no new highs after 2 days, Add back AAMC/RESI on big dip, Add 5+2%% PLL on dip, Add 5%-200s DVA (on dip), On new signal ~3% AIG wrt when AIG &lt; 35, Watch see below, research SCTY (insider), china-related shorts re-find, downloads folder, short leveraged loans, ESL (Esterline), DAL, AJG, HEOP, short coals (WLT/ACI?), PFBI, NPBC, AFSI long, portfolio stop 410,000s, </t>
  </si>
  <si>
    <t xml:space="preserve">Reduce leverage (on eod weakness, MUSA all, AIG 100s, 200s ASPS, 1/2MPC, 1/2PSX, 300s-600s HLSS pop, 300s-500s VOYA), Buy SBUX, DAL, INBK, WWAV on dip? In new Year, Reshort all GDX1200s, VALE2000s, (CLF1000s, WLT1500s if &lt;20% shares shrt) on pop and/or no new highs after 2 days, Add back AAMC/RESI on big dip, Add 5+2%% PLL on dip, Add 5%-200s DVA (on dip), On new signal ~3% AIG wrt when AIG &lt; 35, Watch see below, research SCTY (insider), china-related shorts re-find, downloads folder, short leveraged loans, ESL (Esterline), DAL, AJG, portfolio stop 410,000s, </t>
  </si>
  <si>
    <t>positive on s&amp;p 500 till end of year, target 80-100% net long, max 150% net long, very selective on shorts until 2014 or dec 2013 and then short more</t>
  </si>
  <si>
    <t>TTD</t>
  </si>
  <si>
    <t xml:space="preserve">short china by q3 2014, When fed raises rates to combat inflation, long gc; but currently neg on all hard commodities, exit yield-dependent equities/buy equities that benefit from rising rates, </t>
  </si>
  <si>
    <t xml:space="preserve">Reshort all GDX1200s, VALE2000s, (CLF1000s, WLT1500s if &lt;20% shares shrt) on pop and/or no new highs after 2 days, Reduce leverage (on eod weakness, 1/2MPC, 1/2PSX, MUSA all, AIG 100s, 200s ASPS, 300s-600s HLSS pop, 300s-500s VOYA), Buy SBUX, DAL, INBK, WWAV on dip? In new Year, Add back AAMC/RESI on big dip, Add 5+2%% PLL on dip, Add 5%-200s DVA (on dip), On new signal ~3% AIG wrt when AIG &lt; 35, Watch see below, research SCTY (insider), china-related shorts re-find, downloads folder, short leveraged loans, ESL (Esterline), DAL, AJG, portfolio stop 410,000s, </t>
  </si>
  <si>
    <t xml:space="preserve">Reshort all GDX1200s, VALE2000s, Reduce leverage (on eod weakness, 1/2MPC, 1/2PSX, MUSA all, AIG 100s, 200s ASPS, 300s-600s HLSS pop, 300s-500s VOYA), Buy DAL, INBK, WWAV on dip? In new Year, Add back AAMC/RESI on big dip, Add 5+2%% PLL on dip, Add 5%-200s DVA (on dip), On new signal ~3% AIG wrt when AIG &lt; 35, Watch see below, research SCTY (insider), china-related shorts re-find, downloads folder, short leveraged loans, ESL (Esterline), DAL, AJG, portfolio stop 410,000s, </t>
  </si>
  <si>
    <t xml:space="preserve">Reshort all GDX1200s, VALE2000s, Reduce leverage (on eod weakness, 1/2MPC, 1/2PSX, MUSA all, AIG 100s, 200s ASPS, 300s-600s HLSS pop, 300s-500s VOYA), Buy DAL, INBK, WWAV on dip? In new Year, Add back AAMC/RESI on big dip, Add 5+2%% PLL on dip, Add 5%-200s DVA (on dip), On new signal ~3% AIG wrt when AIG &lt; 35, Watch see below, research SCTY (insider), china-related shorts re-find, downloads folder, short leveraged loans, ESL (Esterline), DAL, AJG, CODI portfolio stop 410,000s, </t>
  </si>
  <si>
    <t xml:space="preserve">Sell 200s ASPS if not up open 1/8, Reduce leverage (on eod weakness, 1/2MPC, 1/2PSX, MUSA all, AIG 100s, 300s-600s HLSS pop, 300s-500s VOYA), Buy DAL, INBK, WWAV on dip? In new Year, Add back AAMC/RESI on big dip, Add 5+2%% PLL on dip, Add 5%-200s DVA (on dip), On new signal ~3% AIG wrt when AIG &lt; 35, Watch see below, research SCTY (insider), china-related shorts re-find, downloads folder, short leveraged loans, ESL (Esterline), DAL, AJG, CODI portfolio stop 410,000s, </t>
  </si>
  <si>
    <t xml:space="preserve">Sell 200s ASPS if not up open 1/8, Reduce leverage (on eod weakness, 1/2MPC, 1/2PSX, MUSA all, AIG 100s, 300s-600s HLSS pop, 300s-500s VOYA), Buy DAL, INBK, WWAV on dip? In new Year, Add back AAMC/RESI on big dip, Add 5+2%% PLL on dip, Add 5%-200s DVA (on dip), On new signal ~3% AIG wrt when AIG &lt; 35, Watch see below, research SCTY (insider), china-related shorts re-find, downloads folder, short leveraged loans, ESL (Esterline), DAL, AJG, CODI, CECO portfolio stop 410,000s, </t>
  </si>
  <si>
    <t xml:space="preserve">Sell 200s ASPS if not up open 1/8, Reduce leverage (on eod weakness, 1/2MPC, 1/2PSX, MUSA all, AIG 100s, 300s-600s HLSS pop, 300s-500s VOYA), Buy DAL, INBK, WWAV on dip? In new Year, Add back AAMC/RESI on big dip, Add 5+2%% PLL on dip, Add 5%-200s DVA (on dip), On new signal ~3% AIG wrt when AIG &lt; 35, Watch see below, research SCTY (insider), china-related shorts re-find, downloads folder, short leveraged loans, ESL (Esterline), DAL, AJG, CODI, CECO, MNK, portfolio stop 410,000s, </t>
  </si>
  <si>
    <t xml:space="preserve">Buy 300s PLL, Reduce leverage (on eod weakness, 300s-500s VOYA if down worse 1/10, 1/2MPC, 1/2PSX, 200s ASPS, MUSA all, AIG 100s, 300s-600s HLSS pop, ), Buy INBK, WWAV on dip? In new Year, Add back AAMC/RESI on big dip, Add 5+2%% PLL on dip, Add 5%-200s DVA (on dip), On new signal ~3% AIG wrt when AIG &lt; 35, Watch see below, research SCTY (insider), china-related shorts re-find, downloads folder, short leveraged loans, ESL (Esterline), DAL, AJG, CODI, CECO, MNK, ISCA, HTZ, portfolio stop 490,000s, </t>
  </si>
  <si>
    <t xml:space="preserve">Reduce leverage (on eod weakness, 300s-500s VOYA, 1/2MPC, 1/2PSX, 200s ASPS, MUSA all, AIG 100s, 300s-600s HLSS pop, ), Buy INBK, WWAV on dip? In new Year, Add back AAMC/RESI on big dip, Add 5+2%% PLL on dip, Add 5%-200s DVA (on dip), On new signal ~3% AIG wrt when AIG &lt; 35, Watch see below, research SCTY (insider), china-related shorts re-find, downloads folder, short leveraged loans, ESL (Esterline), AJG, CODI, CECO, MNK, ISCA, HTZ, ATU, NEU writeup, portfolio stop 490,000s, </t>
  </si>
  <si>
    <t>EW</t>
  </si>
  <si>
    <t>Brown and Brown</t>
  </si>
  <si>
    <t>BRO</t>
  </si>
  <si>
    <t xml:space="preserve">Reduce leverage (on eod weakness, 1/2 of GDX, 200s-500s VOYA, 1/2MPC, 1/2PSX, 100s-200s ASPS, 100s DLTR, MUSA all, AIG 100s, 300s-600s HLSS pop, ), Buy INBK, WWAV on dip? In new Year, Add back AAMC/RESI on big dip, Add 5+2%% PLL on dip, Add 5%-200s DVA (on dip), On new signal ~3% AIG wrt when AIG &lt; 35, Watch see below, research SCTY (insider), china-related shorts re-find, downloads folder, short leveraged loans, AJG, CODI, CECO, MNK, ISCA, HTZ, ATU, NEU writeup, TJX, portfolio stop 490,000s, </t>
  </si>
  <si>
    <t>insurance broker P1) insider 7/2019 (36) C1) fundies C2) moat?</t>
  </si>
  <si>
    <t>MKTX</t>
  </si>
  <si>
    <t xml:space="preserve">Short PBR 1500s? Reduce leverage (on eod weakness, 1/2 of GDX, 200s-500s VOYA, 1/2MPC, 1/2PSX, 100s-200s ASPS, 100s DLTR, MUSA all, AIG 100s, 300s-600s HLSS pop, ), Buy INBK, WWAV on dip? In new Year, Add back AAMC/RESI on big dip, Add 5+2%% PLL on dip, Add 5%-200s DVA (on dip), On new signal ~3% AIG wrt when AIG &lt; 35, Watch see below, research SCTY (insider), china-related shorts re-find, downloads folder, short leveraged loans, AJG, CODI, CECO, MNK, ISCA, HTZ, ATU, NEU writeup, TJX, portfolio stop 490,000s, </t>
  </si>
  <si>
    <t xml:space="preserve">Reshort GDX on weakness/pop, Reduce leverage (on eod weakness 200s VOYA, CPRT, 100s DLTR, 300s-600s HLSS pop, ESL, ), Buy INBK, WWAV on dip? In new Year, Add back AAMC/RESI on big dip, Add 5+2%% PLL on dip, Add 5%-200s DVA (on dip), On new signal ~3% AIG wrt when AIG &lt; 35, Watch see below, research SCTY (insider), china-related shorts re-find, downloads folder, short leveraged loans, AJG, CODI, CECO, MNK, ISCA, HTZ, ATU, NEU writeup, TJX, portfolio stop 490,000s, </t>
  </si>
  <si>
    <t>UBER</t>
  </si>
  <si>
    <t>TSLA</t>
  </si>
  <si>
    <t xml:space="preserve">Reshort 1200s GDX on weakness/pop, Reduce leverage (on eod weakness SIAL, AFSI, 200s VOYA, 100s AIG, 100s DLTR, 300s-600s HLSS pop, ESL), Buy INBK, WWAV on dip? In new Year, Add back AAMC/RESI on big dip, Add 5+2%% PLL on dip, Add 5%-200s DVA (on dip), On new signal ~3% AIG wrt when AIG &lt; 35, Watch see below, research SCTY (insider), china-related shorts re-find, downloads folder, short leveraged loans, AJG, CODI, CECO, MNK, ISCA, HTZ, ATU, NEU writeup, TJX, portfolio stop 490,000s, </t>
  </si>
  <si>
    <t>ARCH</t>
  </si>
  <si>
    <t xml:space="preserve">Reduce leverage (on eod weakness SIAL if weak open 1/15, AFSI, 200s VOYA, 100s AIG, 100s DLTR, 300s-600s HLSS pop, ESL), Buy INBK, WWAV on dip? In new Year, Add back AAMC/RESI on big dip, Add 5+2%% PLL on dip, Add 5%-200s DVA (on dip), On new signal ~3% AIG wrt when AIG &lt; 35, Watch see below, research SCTY (insider), china-related shorts re-find, downloads folder, short leveraged loans, AJG, CODI, CECO, MNK, ISCA, HTZ, ATU, NEU writeup, TJX, portfolio stop 490,000s, </t>
  </si>
  <si>
    <t xml:space="preserve">Buy 350s SCL, 275s AWH Reduce leverage (on eod weakness,  SIAL if weak open 1/15, 1/2 CLF/WLT, 100s IBTX, AFSI, 200s VOYA, 100s AIG, 100s DLTR, 300s-600s HLSS pop, ESL), Buy INBK, WWAV on dip? In new Year, Add back AAMC/RESI on big dip, Add 5+2%% PLL on dip, Add 5%-200s DVA (on dip), On new signal ~3% AIG wrt when AIG &lt; 35, Watch see below, research SCTY (insider), china-related shorts re-find, downloads folder, short leveraged loans, AJG, CODI, CECO, MNK, ISCA, HTZ, ATU, NEU writeup, TJX, portfolio stop 490,000s, </t>
  </si>
  <si>
    <t>CTRA</t>
  </si>
  <si>
    <t xml:space="preserve">Reduce leverage (on eod weakness,  shorts on strong open 1/16, 100s IBTX, AFSI, 200s VOYA, 100s AIG, 100s DLTR, 300s-600s HLSS pop, ESL), Buy INBK, WWAV on dip? In new Year, Add back AAMC/RESI on big dip, Add 5+2%% PLL on dip, Add 5%-200s DVA (on dip), On new signal ~3% AIG wrt when AIG &lt; 35, Watch see below, research SCTY (insider), china-related shorts re-find, downloads folder, short leveraged loans, AJG, CODI, CECO, MNK, ISCA, HTZ, ATU, NEU writeup, TJX, FRED, portfolio stop 490,000s, </t>
  </si>
  <si>
    <t>Bruker Corporation</t>
  </si>
  <si>
    <t>BRKR</t>
  </si>
  <si>
    <t>Medical tech P1) insider buying @ 13</t>
  </si>
  <si>
    <t>BlueLinx Holdings</t>
  </si>
  <si>
    <t>BXC</t>
  </si>
  <si>
    <t>BTU</t>
  </si>
  <si>
    <t xml:space="preserve">Reduce leverage (on eod weakness,  shorts on strong open 1/16, 100s IBTX, AFSI, 200s VOYA, 100s AIG, 100s DLTR, 300s-600s HLSS pop, ESL), Buy INBK, WWAV on dip? In new Year, Add back AAMC/RESI on big dip, Add 5+2%% PLL on dip, Add 5%-200s DVA (on dip), On new signal ~3% AIG wrt when AIG &lt; 35, Watch see below, research SCTY (insider), china-related shorts re-find, downloads folder, short leveraged loans, AJG, CODI, CECO, MNK, ISCA, HTZ, ATU, NEU writeup, portfolio stop 490,000s, </t>
  </si>
  <si>
    <t>greenhaven road capital pitch, P1) insider 12/2018 P2)</t>
  </si>
  <si>
    <t xml:space="preserve">Buy back MTB 220s, PLL 300s, 500s C, Add ASPS, OCN, HHC, RDN, DHR on dip , Reduce leverage (on eod weakness,  shorts (WLT) on strong open 1/21, 100s IBTX, AFSI, 200s VOYA, 100s AIG, 100s DLTR, 300s-600s HLSS pop, ESL), Buy INBK, WWAV on dip? In new Year, Add back AAMC/RESI on big dip, Add 5+2%% PLL on dip, Add 5%-200s DVA (on dip), On new signal ~3% AIG wrt when AIG &lt; 35, Watch see below, research SCTY (insider), china-related shorts re-find, downloads folder, short leveraged loans, AJG, CODI, CECO, MNK, ISCA, HTZ, NEU writeup, portfolio stop 490,000s, </t>
  </si>
  <si>
    <t>Blackstone Mortgage Trust</t>
  </si>
  <si>
    <t>BXMT</t>
  </si>
  <si>
    <t xml:space="preserve">CRE loans/origination, bv @ 26  P1) huge insider buying at capital raise P2) is financial/bx co, insider buying ambiguous </t>
  </si>
  <si>
    <t>Citigroup</t>
  </si>
  <si>
    <t>Buy only after big falls/weakness and then support, Dilution, but P1) P/B &lt; 1 vs. industry P2) okay metrics, P3) insider buying 2012 C1) poor industry!</t>
  </si>
  <si>
    <t>Cameron International Corporation</t>
  </si>
  <si>
    <t>CAM</t>
  </si>
  <si>
    <t>oil &amp; gas equipment wait for dip, was part of oil spill!</t>
  </si>
  <si>
    <t xml:space="preserve">Add ASPS, OCN, HHC, RDN, DHR on dip , Reduce leverage (on eod weakness,  AFSI, shorts (WLT) on strong open 1/21, 100s IBTX, 200s VOYA, 100s AIG, 100s DLTR, 300s-600s HLSS pop, ESL), Buy INBK, WWAV on dip? Add back AAMC/RESI on big dip, Add Add 5%-200s DVA (on dip), On new signal ~3% AIG wrt when AIG &lt; 35, Watch see below, research SCTY (insider), china-related shorts re-find, downloads folder, short leveraged loans, AJG, CODI, CECO, MNK, ISCA, HTZ, NEU writeup, portfolio stop 490,000s, </t>
  </si>
  <si>
    <t>Chicago Bridge &amp; Iron Co. NV</t>
  </si>
  <si>
    <t>CBI</t>
  </si>
  <si>
    <t xml:space="preserve">Add ASPS, OCN, HHC, NEU, RDN, DHR,  PSX/MPC on dip , Reduce leverage (on eod weakness,  AFSI, shorts (WLT) on strong open 1/21, 100s IBTX, 200s VOYA, 100s AIG, 100s DLTR, 300s-600s HLSS pop, ESL), Buy INBK, WWAV on dip? Add back AAMC/RESI on big dip, Add Add 5%-200s DVA (on dip), On new signal ~3% AIG wrt when AIG &lt; 35, Watch see below, research SCTY (insider), china-related shorts re-find, downloads folder, short leveraged loans, AJG, CODI, CECO, MNK, ISCA, HTZ, NEU writeup, BBRY (CA insider)? portfolio stop 490,000s, </t>
  </si>
  <si>
    <t>slight positive on s&amp;p 500, target 80-100% net long, max 150% net long, very selective on shorts</t>
  </si>
  <si>
    <t xml:space="preserve">Reduce leverage (on eod weakness, 300s-600s HLSS pop,  200s VOYA, 100s AIG, 100s DLTR, 100s IBTX, ESL), Add ASPS, OCN, HHC, NEU, RDN, DHR,  PSX/MPC on dip , Buy INBK, WWAV on dip? Add back AAMC/RESI on big dip, Add Add 5%-200s DVA (on dip), On new signal ~3% AIG wrt when AIG &lt; 35, Watch see below, research SCTY (insider), china-related shorts re-find, downloads folder, short leveraged loans, AJG, CODI, CECO, MNK, ISCA, HTZ, NEU writeup, BBRY (CA insider)? MSON, XCO (insider) portfolio stop 490,000s, </t>
  </si>
  <si>
    <t>Target=100%</t>
  </si>
  <si>
    <t>earnings not stable</t>
  </si>
  <si>
    <t>Resulting Net</t>
  </si>
  <si>
    <t xml:space="preserve">Add 300s PSX/250s MPC? 650s CPRT, 300s SIAL, ASPS, OCN, HHC, NEU, RDN, DHR,  on dip , Reduce leverage (on eod weakness, 300s-600s HLSS pop, 200s VOYA, 100s AIG, 100s DLTR, 100s IBTX, ESL), Buy INBK, WWAV on dip? Add back AAMC/RESI on big dip, Add Add 5%-200s DVA (on dip), On new signal ~3% AIG wrt when AIG &lt; 35, Watch see below, research SCTY (insider), china-related shorts re-find, downloads folder, short leveraged loans, AJG, CODI, CECO, MNK, ISCA, HTZ, NEU writeup, BBRY (CA insider)? MSON, XCO (insider), SHLM, ASBC, portfolio stop 490,000s, </t>
  </si>
  <si>
    <t>CBOE holdings</t>
  </si>
  <si>
    <t>Risk Reward</t>
  </si>
  <si>
    <t>CBOE</t>
  </si>
  <si>
    <t>Risk</t>
  </si>
  <si>
    <t>Reward</t>
  </si>
  <si>
    <t>Target Max Drawdown</t>
  </si>
  <si>
    <t>Daily PnL</t>
  </si>
  <si>
    <t>Longs</t>
  </si>
  <si>
    <t xml:space="preserve">Add DLTR (when stable) ASPS, OCN, HHC, NEU, RDN, DHR,  on dip , Reduce leverage (on eod weakness, PBR, 500s to 7% HLSS pop, 200s VOYA, 100s AIG, 100s DLTR, 100s IBTX, ESL), Buy INBK, WWAV on dip? Add back AAMC/RESI on big dip, Add Add 5%-200s DVA (on dip), On new signal ~3% AIG wrt when AIG &lt; 35, Watch see below, research SCTY (insider), china-related shorts re-find, downloads folder, short leveraged loans, AJG, CODI, CECO, MNK, ISCA, HTZ, NEU writeup, BBRY (CA insider)? MSON, XCO (insider), SHLM, ASBC, ACAT, portfolio stop 490,000s, </t>
  </si>
  <si>
    <t>high performance materials</t>
  </si>
  <si>
    <t>CBIZ Inc</t>
  </si>
  <si>
    <t>CBZ</t>
  </si>
  <si>
    <t>put option for 4k shares</t>
  </si>
  <si>
    <t xml:space="preserve">Add DLTR (when stable) ASPS, OCN, HHC, NEU, RDN, DHR,  on dip , Reduce leverage (on eod weakness, PBR, 500s to 7% HLSS pop, 200s VOYA, 100s AIG, 100s DLTR, 100s IBTX, ESL), Buy INBK, WWAV on dip? Add back AAMC/RESI on big dip, Add Add 5%-200s DVA (on dip), On new signal ~3% AIG wrt when AIG &lt; 35, Watch see below, research SCTY (insider), china-related shorts re-find, downloads folder, short leveraged loans, AJG, CODI, CECO, MNK, ISCA, HTZ, NEU writeup, BBRY (CA insider)? MSON, XCO (insider), portfolio stop 490,000s, </t>
  </si>
  <si>
    <t>Shorts</t>
  </si>
  <si>
    <t xml:space="preserve">Add DLTR (when stable) ASPS, OCN, HHC, NEU, RDN, DHR,  on dip , Reduce leverage (on eod weakness, 1/24 open banks C, MTB? 500s to 7% HLSS pop, 200s VOYA, 100s AIG, PLL, SIAL, 100s IBTX, ESL), Buy INBK, WWAV on dip? Add back AAMC/RESI on big dip, Add Add 5%-200s DVA (on dip), On new signal ~3% AIG wrt when AIG &lt; 35, Watch see below, research SCTY (insider), china-related shorts re-find, downloads folder, short leveraged loans, AJG, CODI, CECO, MNK, ISCA, HTZ, NEU writeup, BBRY (CA insider)? MSON, XCO (insider), GE insider, GBX, ODC, portfolio stop 490,000s, </t>
  </si>
  <si>
    <t>Chemours</t>
  </si>
  <si>
    <t>CC</t>
  </si>
  <si>
    <t xml:space="preserve">Add DLTR (when stable) ASPS, OCN, HHC, NEU, RDN, DHR,  on dip , Reduce leverage (on eod weakness, 1/24 open banks C, MTB? 500s to 7% HLSS pop, 200s VOYA, 100s AIG, PLL, SIAL, 100s IBTX, ESL), Buy INBK, WWAV on dip? Add back AAMC/RESI on big dip, Add Add 5%-200s DVA (on dip), On new signal ~3% AIG wrt when AIG &lt; 35, Watch see below, research SCTY (insider), china-related shorts re-find, downloads folder, short leveraged loans, AJG, CODI, CECO, MNK, ISCA, HTZ, NEU writeup, BBRY (CA insider)? MSON, XCO (insider), ODC, portfolio stop 490,000s, </t>
  </si>
  <si>
    <t>chemicals P1) insider 5/2017 P2) input for refrigerator, coatings, C1) value proposition? C2) commodity product w china comp</t>
  </si>
  <si>
    <t>Chase Corp</t>
  </si>
  <si>
    <t>Max Drawdown</t>
  </si>
  <si>
    <t>Long</t>
  </si>
  <si>
    <t>Short</t>
  </si>
  <si>
    <t>Compania Cervecerias Unidas S.A. (ADR)</t>
  </si>
  <si>
    <t>CCU</t>
  </si>
  <si>
    <t>Net</t>
  </si>
  <si>
    <t>Gross</t>
  </si>
  <si>
    <t>Chilean beer!</t>
  </si>
  <si>
    <t>CDK Global</t>
  </si>
  <si>
    <t>CDK</t>
  </si>
  <si>
    <t>Target Max Net</t>
  </si>
  <si>
    <t>positive s&amp;p</t>
  </si>
  <si>
    <t>Target Net</t>
  </si>
  <si>
    <t>P1) tech for car dealerships</t>
  </si>
  <si>
    <t>neutral</t>
  </si>
  <si>
    <t>Target Min Net</t>
  </si>
  <si>
    <t>negative</t>
  </si>
  <si>
    <t>CF Industries Holdings, Inc.</t>
  </si>
  <si>
    <t>Max Long</t>
  </si>
  <si>
    <t>Max Short</t>
  </si>
  <si>
    <t>Max Gross</t>
  </si>
  <si>
    <t>Max Additional Long</t>
  </si>
  <si>
    <t>Max Additional Short</t>
  </si>
  <si>
    <t>P1) Nitrogen? P2) short ng play structurally low P3) higher roa than agu P4) light insider buying 2012Q4/201411, P5) Loeb catalyst C1) Unprofitable b4? C2) lng exports? C3) GS report - low barriers to entry? C4) exit bc of china capacity additions</t>
  </si>
  <si>
    <t>Max Additional Total</t>
  </si>
  <si>
    <t>Current Pct</t>
  </si>
  <si>
    <t>Citizens Financial Group</t>
  </si>
  <si>
    <t>CFG</t>
  </si>
  <si>
    <t>SGrowth</t>
  </si>
  <si>
    <t>Other</t>
  </si>
  <si>
    <t>bank spinoff priced @ avg of gaap book &amp; tangible, P1) insider 9/2014 P2) greenlight buy P3) overcapitalized C1) poor metrics?</t>
  </si>
  <si>
    <t>Incl R:R</t>
  </si>
  <si>
    <t>Incl Tot Ret</t>
  </si>
  <si>
    <t>Max 20%L/10%S</t>
  </si>
  <si>
    <t>Max 2%</t>
  </si>
  <si>
    <t>Theme</t>
  </si>
  <si>
    <t>Stocks</t>
  </si>
  <si>
    <t>Manual</t>
  </si>
  <si>
    <t>Chuch &amp; Dwight Co. Inc.</t>
  </si>
  <si>
    <t>Day % Change</t>
  </si>
  <si>
    <t>RV</t>
  </si>
  <si>
    <t>home care products P1) insider 9/2019</t>
  </si>
  <si>
    <t xml:space="preserve">Reduce leverage (CF 50s, 20s AZO), ReShort 1200s GDX on pop/dip, Add 200s DLTR (when stable) 100-200s ASPS, 100s OCN, 100s HHC, 30s NEU, 500s RDN,  on dip , Buy INBK, WWAV on dip? Add back AAMC/RESI on big dip, Add Add 5%-200s DVA (on dip), On new signal ~3% AIG wrt when AIG &lt; 35, Watch see below, research SCTY (insider), china-related shorts re-find, downloads folder, short leveraged loans, AJG, CODI, CECO, MNK, ISCA, HTZ, NEU writeup, BBRY (CA insider)? MSON, XCO (insider), ODC, ATRC, portfolio stop 490,000s, </t>
  </si>
  <si>
    <t>Short Oil</t>
  </si>
  <si>
    <t xml:space="preserve">Reduce leverage , Add 200s DLTR (when stable) 100-200s ASPS, 100s OCN, 100s HHC, 30s NEU, 500s RDN,  on dip , Buy INBK, WWAV on dip? Add back AAMC/RESI on big dip, Add Add 5%-200s DVA (on dip), On new signal ~3% AIG wrt when AIG &lt; 35, Watch see below, research SCTY (insider), china-related shorts re-find, downloads folder, short leveraged loans, AJG, CODI, CECO, MNK, ISCA, HTZ, NEU writeup, BBRY (CA insider)? MSON, XCO (insider), ODC, ATRC, BXS, portfolio stop 490,000s, </t>
  </si>
  <si>
    <t xml:space="preserve">Reduce leverage (100s-200s IBTX?, NEU) , Add 200s DLTR (when stable) 100-200s ASPS, 100s OCN, 100s HHC, 30s NEU, 500s RDN,  on dip , Buy INBK, WWAV on dip? Add back AAMC/RESI on big dip, Add Add 5%-200s DVA (on dip), On new signal ~3% AIG wrt when AIG &lt; 35, Watch see below, research SCTY (insider), china-related shorts re-find, downloads folder, short leveraged loans, AJG, CODI, CECO, MNK, ISCA, HTZ, NEU writeup, BBRY (CA insider)? MSON, XCO (insider), ODC, ATRC, BXS, portfolio stop 490,000s, </t>
  </si>
  <si>
    <t>P&amp;C Insurance</t>
  </si>
  <si>
    <t xml:space="preserve">Cover short CLF, WLT shorts? Reduce leverage (100s-200s IBTX?, NEU) , Add 200s DLTR (when stable) 100-200s ASPS, 100s OCN, 100s HHC, 30s NEU, 500s RDN,  on dip , Buy INBK, WWAV on dip? Add back AAMC/RESI on big dip, Add Add 5%-200s DVA (on dip), On new signal ~3% AIG wrt when AIG &lt; 35, Watch see below, research SCTY (insider), china-related shorts re-find, downloads folder, short leveraged loans, AJG, CODI, CECO, MNK, ISCA, HTZ, NEU writeup, BBRY (CA insider)? MSON, XCO (insider), ODC, ATRC, BXS, PBCT, EBCT, REED, portfolio stop 490,000s, </t>
  </si>
  <si>
    <t xml:space="preserve">Cover short CLF, WLT shorts on up day 1/29 close, Reduce leverage (100s IBTX, RDN?) , Add 30s NEU, 200s DLTR (when stable) 100-200s ASPS, 100s OCN, 100s HHC, 500s RDN, 275 AWH, 350s SCL, Buy INBK, WWAV on dip? Add back AAMC/RESI on big dip, Add Add 5%-200s DVA (on dip), On new signal ~3% AIG wrt when AIG &lt; 35, Watch see below, research SCTY (insider), china-related shorts re-find, downloads folder, short leveraged loans, AJG, CODI, CECO, MNK, ISCA, HTZ, NEU writeup, BBRY (CA insider)? MSON, XCO (insider), ODC, portfolio stop 490,000s, </t>
  </si>
  <si>
    <t>Cars</t>
  </si>
  <si>
    <t xml:space="preserve">Cover shorts on up day 1/30 close, reshort VALE/CLF on pop, Short 43000s 3333/9400s 3968, Reduce leverage (100s IBTX, RDN?) , Add 30s NEU pre-earnigns?, 200s DLTR (when stable) 100-200s ASPS, 100s OCN, 100s HHC, 500s RDN, 275 AWH, 350s SCL, Buy INBK, WWAV on dip? Add back AAMC/RESI on big dip, Add Add 5%-200s DVA (on dip), On new signal ~3% AIG wrt when AIG &lt; 35, Watch see below, research SCTY (insider), china-related shorts re-find, downloads folder, short leveraged loans, AJG, CODI, CECO, MNK, ISCA, HTZ, NEU writeup, BBRY (CA insider)? MSON, XCO (insider), ODC, portfolio stop 490,000s, </t>
  </si>
  <si>
    <t xml:space="preserve">Cover shorts on up day 1/30 close, but short 1200s GDX on pop/dip &gt; 10:30am, reshort VALE/CLF on pop, Reduce leverage (100s IBTX, RDN?) , Add 30s NEU pre-earnigns?, 200s DLTR (when stable) 100-200s ASPS, 100s OCN, 100s HHC, 500s RDN, 275 AWH, 350s SCL, Buy INBK, WWAV on dip? Add back AAMC/RESI on big dip, Add Add 5%-200s DVA (on dip), On new signal ~3% AIG wrt when AIG &lt; 35, Watch see below, research SCTY (insider), china-related shorts re-find, downloads folder, short leveraged loans, AJG, CODI, CECO, MNK, ISCA, HTZ, NEU writeup, BBRY (CA insider)? MSON, XCO (insider), ODC, portfolio stop 490,000s, </t>
  </si>
  <si>
    <t>Short gas/thermal coal</t>
  </si>
  <si>
    <t>CNX</t>
  </si>
  <si>
    <t xml:space="preserve">Reduce leverage (100s IBTX, RDN?) Buy 50s UHAL, 100 ASPS, 100s OCN, 100s HHC, 500s RDN on dip, Buy INBK, WWAV on dip? Add back AAMC/RESI on big dip, Add Add 5%-200s DVA (on dip), On new signal ~3% AIG wrt when AIG &lt; 35, Watch see below, research SCTY (insider), china-related shorts re-find, downloads folder, short leveraged loans, AJG, CODI, CECO, MNK, ISCA, HTZ, portfolio stop 490,000s, </t>
  </si>
  <si>
    <t>Biotech/Pharma</t>
  </si>
  <si>
    <t>Chemed Corp</t>
  </si>
  <si>
    <t>CHE</t>
  </si>
  <si>
    <t xml:space="preserve">Reduce leverage (100s IBTX, VALE on pop) Buy 50s UHAL, 100 ASPS, 100s OCN, 100s HHC, 800s DAL, 800s AFSI pop, 500s RDN on dip, 50s CF/AZO/MKL 400s ALB on dip, Buy INBK, WWAV on dip? Add back AAMC/RESI on big dip, Add Add 5%-200s DVA (on dip), On new signal ~3% AIG wrt when AIG &lt; 35, Watch see below, research SCTY (insider), china-related shorts re-find, downloads folder, short leveraged loans, AJG, CODI, CECO, MNK, ISCA, LYB, AUD.USD put?)/FXA, ALB (insider), AFSI, NRCIA, portfolio stop 490,000s, </t>
  </si>
  <si>
    <t>banks</t>
  </si>
  <si>
    <t>hospice care P1) older population</t>
  </si>
  <si>
    <t xml:space="preserve">Reduce leverage (100s IBTX, VALE on pop) Buy 50s UHAL, 100 ASPS, 100s OCN, 100s HHC, 800s DAL, 800s AFSI pop, 500s RDN on dip, 50s CF/AZO/MKL 400s ALB on dip, Buy INBK, WWAV on dip? Add back AAMC/RESI on big dip, Add Add 5%-200s DVA (on dip), On new signal ~3% AIG wrt when AIG &lt; 35, Watch see below, research SCTY (insider), china-related shorts re-find, downloads folder, short leveraged loans, AJG, CODI, CECO, MNK, ISCA, LYB, AUD.USD put?)/FXA, ALB (insider), AFSI, portfolio stop 490,000s, </t>
  </si>
  <si>
    <t>GS</t>
  </si>
  <si>
    <t xml:space="preserve">Reduce leverage (100s IBTX, VALE on pop) Buy 50s UHAL, 100 ASPS, 100s OCN, 100s HHC, 800s DAL, 800s AFSI pop, 500s RDN on dip, 50s CF/AZO/MKL 400s ALB on dip, Buy INBK, WWAV on dip? Add back AAMC/RESI on big dip, Add Add 5%-200s DVA (on dip), On new signal ~3% AIG wrt when AIG &lt; 35, Watch see below, research SCTY (insider), china-related shorts re-find, downloads folder, short leveraged loans, AJG, CODI, CECO, MNK, ISCA, LYB, AUD.USD put?)/FXA, ALB (insider), AFSI, JPM (insider?) portfolio stop 490,000s, </t>
  </si>
  <si>
    <t>Check Point Software</t>
  </si>
  <si>
    <t>CHKP</t>
  </si>
  <si>
    <t xml:space="preserve">Reduce leverage (100s IBTX, VALE on pop) Buy 50s UHAL, 100 ASPS, 100s OCN, 100s HHC, 800s DAL, 800s AFSI pop, 500s RDN on dip, 50s CF/AZO/MKL, 4% PSX/MPC, 5% PLL on dip, 1200s LUV, 400s ALB on dip, Buy INBK, WWAV on dip? Add back AAMC/RESI on big dip, Add Add 5%-200s DVA (on dip), On new signal ~3% AIG wrt when AIG &lt; 35, Watch see below, research SCTY (insider), china-related shorts re-find, downloads folder, short leveraged loans, AJG, CODI, CECO, MNK, ISCA, LYB, AUD.USD put?)/FXA, ALB (insider), AFSI, JPM (insider?) NVAX, ABCB, KCG, TSC (insider), ADM, portfolio stop 490,000s, </t>
  </si>
  <si>
    <t xml:space="preserve">Reduce leverage (100s IBTX, VALE on pop) Buy eod 50s UHAL, 100 ASPS, 100s OCN, 100s HHC, 800s DAL, 800s AFSI pop, 500s RDN on dip, 50s CF/AZO/MKL, 4% PSX/MPC, 5% PLL on dip, 1200s LUV, 400s ALB on dip, Buy INBK, WWAV on dip? Add back AAMC/RESI on big dip, Add Add 5%-200s DVA (on dip), On new signal ~3% AIG wrt when AIG &lt; 35, Watch see below, research SCTY (insider), china-related shorts re-find, downloads folder, short leveraged loans, AJG, CODI, CECO, MNK, ISCA, LYB, AUD.USD put?)/FXA, ALB (insider), AFSI, JPM (insider?) NVAX, ABCB, KCG, TSC (insider), ADM, BKYF, PEOP, BCBP, portfolio stop 490,000s, </t>
  </si>
  <si>
    <t>Fannie Basket</t>
  </si>
  <si>
    <t>Cherry Hill Mortgage</t>
  </si>
  <si>
    <t xml:space="preserve">Reduce leverage (100s IBTX, VALE/CLF on pop) Buy eod 50s UHAL, 100 ASPS, 100s OCN, 100s HHC, 800s DAL, 800s AFSI pop, 500s RDN on dip, 50s CF/AZO/MKL, 4% PSX/MPC, 5% PLL on dip, 1200s LUV, 400s ALB on dip, Buy INBK, WWAV on dip? Add back AAMC/RESI on big dip, Add Add 5%-200s DVA (on dip), On new signal ~3% AIG wrt when AIG &lt; 35, Watch see below, research SCTY (insider), china-related shorts re-find, downloads folder, short leveraged loans, AJG, CODI, CECO, MNK, ISCA, LYB, AUD.USD put?)/FXA, ALB (insider), AFSI, JPM (insider?) NVAX, ABCB, KCG, TSC (insider), ADM, BKYF, PEOP, BCBP, portfolio stop 490,000s, </t>
  </si>
  <si>
    <t>Tech basket</t>
  </si>
  <si>
    <t>MSRs P1) insider buying P2) cheap purchase price C1) incentives not as good w mgt fee? C2) student loan ARMs?</t>
  </si>
  <si>
    <t xml:space="preserve">Reduce leverage (100s IBTX, VALE/CLF on pop) Buy eod 50s UHAL, 100 ASPS, 100s OCN, 100s HHC, 800s DAL, 800s AFSI pop, 500s RDN on dip, 50s CF/AZO/MKL, 4% PSX/MPC, 5% PLL on dip, 1200s LUV, 400s ALB on dip, Buy INBK, WWAV on dip? Add back AAMC/RESI on big dip, Add Add 5%-200s DVA (on dip), On new signal ~3% AIG wrt when AIG &lt; 35, Watch see below, research SCTY (insider), china-related shorts re-find, downloads folder, short leveraged loans, AJG, CODI, CECO, MNK, ISCA, LYB, AUD.USD put?)/FXA, ALB (insider), AFSI, JPM (insider?) NVAX, ABCB, portfolio stop 490,000s, </t>
  </si>
  <si>
    <t>Cigna Corp</t>
  </si>
  <si>
    <t xml:space="preserve">Reduce leverage (100s IBTX, CLF on stop) Buy eod 100 ASPS &lt; 115, 100s OCN similarly, 100s HHC, 500s RDN on dip, 50s CF/AZO/MKL, 50s 1% AWH on dip,1200s LUV, 400s ALB on dip, Buy INBK, WWAV on dip? Add back AAMC/RESI on big dip, Add Add 5%-200s DVA (on dip), On new signal ~3% AIG wrt when AIG &lt; 35, Watch see below, research SCTY (insider), china-related shorts re-find, downloads folder, short leveraged loans, AJG, CODI, CECO, MNK, ISCA, LYB, AUD.USD put?)/FXA, ALB (insider), AFSI, JPM (insider?) NVAX, ABCB, portfolio stop 490,000s, </t>
  </si>
  <si>
    <t>P1) Healthcare insurance P2) insider buying C1) levered? c2) pbm bad biz but acquired? c3) political pricing risk?</t>
  </si>
  <si>
    <t>C&amp;J Energy Services Inc</t>
  </si>
  <si>
    <t>CJES</t>
  </si>
  <si>
    <t xml:space="preserve">Reduce leverage (100s IBTX, CLF on stop, 1/2 PBR) Buy eod 100 ASPS &lt; 115, 100s OCN similarly, 100s HHC, 500s RDN on dip, 50s CF/AZO/MKL, 50s 1% AWH on dip,1200s LUV, 400s ALB on dip, Buy INBK, WWAV on dip? Add back AAMC/RESI on big dip, Add Add 5%-200s DVA (on dip), On new signal ~3% AIG wrt when AIG &lt; 35, Watch see below, research SCTY (insider), china-related shorts re-find, downloads folder, short leveraged loans, AJG, CODI, CECO, MNK, ISCA, LYB, AUD.USD put?)/FXA, ALB (insider), AFSI, JPM (insider?) NVAX, ABCB, portfolio stop 490,000s, </t>
  </si>
  <si>
    <t>P1) Fracking? C1) oversupply/gas exposure?</t>
  </si>
  <si>
    <t xml:space="preserve">Reduce leverage (100s IBTX, GDX) Buy 200s AFSI/swap out SCL on weakness, eod 100 ASPS &lt; 115, 100s OCN similarly, 100s HHC, 500s RDN on dip, 50s CF/AZO/MKL, 50s 1% AWH on dip,1200s LUV, 400s ALB on dip, Buy INBK, WWAV on dip? Add back AAMC/RESI on big dip, Add Add 5%-200s DVA (on dip), On new signal ~3% AIG wrt when AIG &lt; 35, Watch see below, research SCTY (insider), china-related shorts re-find, downloads folder, short leveraged loans, AJG, CODI, CECO, MNK, ISCA, LYB, portfolio stop 490,000s, </t>
  </si>
  <si>
    <t>Core Laboratories N.V.</t>
  </si>
  <si>
    <t>CLB</t>
  </si>
  <si>
    <t xml:space="preserve">Reduce leverage (SCL), Short GDX on pop/dip, Buy eod 100 ASPS &lt; 115, 100s OCN similarly, 100s HHC, 500s RDN on dip, 50s CF/AZO/MKL, 300s PSX/250s MPC on dip, 50s 1% AWH on dip,1200s LUV, 400s ALB on dip,  Buy INBK, WWAV on dip? Add back AAMC/RESI on big dip, Add Add 5%-200s DVA (on dip), On new signal ~3% AIG wrt when AIG &lt; 35, Watch see below, research SCTY (insider), china-related shorts re-find, downloads folder, short leveraged loans, AJG, CODI, CECO, MNK, ISCA, LYB, portfolio stop 490,000s, </t>
  </si>
  <si>
    <t xml:space="preserve">oil production enhancements etc. P1) insider 2/2014 C1) </t>
  </si>
  <si>
    <t>Clearwater Paper Corp</t>
  </si>
  <si>
    <t>CLW</t>
  </si>
  <si>
    <t xml:space="preserve">Reduce leverage (SCL), Short GDX on pop/dip, Buy eod 100 ASPS &lt; 115, 100s OCN similarly, 100s HHC, 500s RDN on dip, 50s CF/AZO/MKL, 300s PSX/250s MPC on dip, 50s 1% AWH on dip,1200s LUV, 400s ALB on dip,  Buy INBK, WWAV on dip? Add back AAMC/RESI on big dip, Add Add 5%-200s DVA (on dip), On new signal ~3% AIG wrt when AIG &lt; 35, Watch see below, research SCTY (insider), china-related shorts re-find, downloads folder, short leveraged loans, AJG, CODI, CECO, MNK, ISCA, LYB, HOLX, TDC, FBIZ, portfolio stop 490,000s, </t>
  </si>
  <si>
    <t>Health Insurance</t>
  </si>
  <si>
    <t>Paper - wait for dip! IRS tax credits for alt?</t>
  </si>
  <si>
    <t>Chipotle Mexican Grill, Inc.</t>
  </si>
  <si>
    <t>CMG</t>
  </si>
  <si>
    <t xml:space="preserve">Reduce leverage (SCL),  Buy back 400s ASPS, 800s OCN,Short GDX on pop/dip, Buy eod 700s AIG, 100 ASPS &lt; 115, 100s OCN similarly, 100s HHC, 500s RDN on dip, 50s CF/AZO/MKL, 300s PSX/250s MPC on dip, 50s 1% AWH on dip,1200s LUV, 400s ALB on dip,  Buy INBK, WWAV on dip? Add back AAMC/RESI on big dip, Add Add 5%-200s DVA (on dip), On new signal ~3% AIG wrt when AIG &lt; 35, Watch see below, research SCTY (insider), china-related shorts re-find, downloads folder, short leveraged loans, AJG, CODI, CECO, MNK, ISCA, LYB, HOLX, TDC, FBIZ, portfolio stop 490,000s, </t>
  </si>
  <si>
    <t>P1) Great food + fundamentals! C1) Einhorn short bc of competition</t>
  </si>
  <si>
    <t>Cummins Inc.</t>
  </si>
  <si>
    <t>CMI</t>
  </si>
  <si>
    <t>P1) Diesel/Nat Gas engines? C1) Moat?</t>
  </si>
  <si>
    <t>Canadian National Railway (USA)</t>
  </si>
  <si>
    <t>Airlines</t>
  </si>
  <si>
    <t xml:space="preserve">Buy back 400s ASPS, 800s OCN,Short GDX+others on pop/dip, Buy eod 700s AIG, 100 ASPS &lt; 115, 100s OCN similarly, 100s HHC, 500s RDN on dip, 50s CF/AZO/MKL, 300s PSX/250s MPC on dip, 50s 1% AWH on dip,1200s LUV, 400s ALB on dip,  Buy INBK, WWAV on dip? Add back AAMC/RESI on big dip, Add Add 5%-200s DVA (on dip), On new signal ~3% AIG wrt when AIG &lt; 35, Watch see below, research SCTY (insider), china-related shorts re-find, downloads folder, short leveraged loans, AJG, CODI, CECO, MNK, ISCA, LYB, HOLX, TDC, FBIZ, portfolio stop 490,000s, </t>
  </si>
  <si>
    <t>railroad P1) Great fundamentals C1) commods-based rev bc haul mostly commods oil/gas/chem/coal!</t>
  </si>
  <si>
    <t xml:space="preserve">Buy eod 700s AIG, 300s PSX/250s MPC on dip/pop, 100 ASPS &lt; 115, 100s OCN similarly, 100s HHC, 500s RDN on dip, 50s CF/AZO/MKL, 50s 1% AWH on dip,1200s LUV, 400s ALB on dip,  Buy INBK, WWAV on dip? Add back AAMC/RESI on big dip, Add Add 5%-200s DVA (on dip), On new signal ~3% AIG wrt when AIG &lt; 35, Watch see below, research SCTY (insider), china-related shorts re-find, downloads folder, short leveraged loans, AJG, CODI, CECO, MNK, ISCA, LYB, HOLX, TDC, FBIZ, portfolio stop 490,000s, </t>
  </si>
  <si>
    <t xml:space="preserve">Buy eod 700s AIG, 100 ASPS &lt; 115, 100s OCN similarly, 100s HHC, 500s RDN on dip, 50s CF/AZO/MKL, 50s 1% AWH on dip,1200s LUV, 400s ALB on dip,  Buy INBK, WWAV on dip? Add back AAMC/RESI on big dip, Add Add 5%-200s DVA (on dip), On new signal ~3% AIG wrt when AIG &lt; 35, Watch see below, research SCTY (insider), china-related shorts re-find, downloads folder, short leveraged loans, AJG, CODI, CECO, MNK, ISCA, LYB, HOLX, TDC, FBIZ, portfolio stop 490,000s, </t>
  </si>
  <si>
    <t xml:space="preserve">Exit ASPS/OCN on weakness &gt; 10:30am 2/14? Buy eod 700s AIG, reeval 100 ASPS &lt; 115, 100s OCN similarly, 100s HHC, 500s RDN on dip, 50s CF/AZO/MKL, 50s 1% AWH on dip,1200s LUV, 400s ALB on dip,  Buy INBK, WWAV on dip? Add back AAMC/RESI on big dip, Add Add 5%-200s DVA (on dip), On new signal ~3% AIG wrt when AIG &lt; 35, Watch see below, research SCTY (insider), china-related shorts re-find, downloads folder, short leveraged loans, AJG, CODI, CECO, MNK, ISCA, LYB, HOLX, TDC, FBIZ, TDC, SFLY, JEC, POST, ZION, portfolio stop 490,000s, </t>
  </si>
  <si>
    <t xml:space="preserve">Exit ASPS/OCN on weakness &gt; 10:30am 2/14? Buy 5% 300s SCL/650s CPRT/300s SIAL?, eod 700s AIG, reeval 100 ASPS &lt; 115, 100s OCN similarly, 100s HHC, 500s RDN on dip, 50s CF/AZO/MKL, 50s 1% AWH on dip,1200s LUV, 400s ALB on dip,  Buy INBK, WWAV on dip? Add back AAMC/RESI on big dip, Add Add 5%-200s DVA (on dip), On new signal ~3% AIG wrt when AIG &lt; 35, Watch see below, research SCTY (insider), china-related shorts re-find, downloads folder, short leveraged loans, AJG, CODI, CECO, MNK, ISCA, LYB, HOLX, TDC, FBIZ, TDC, SFLY, JEC, POST, portfolio stop 490,000s, </t>
  </si>
  <si>
    <t>slight positive on s&amp;p 500, target 80-100% net long, max 100% net long, very selective on shorts</t>
  </si>
  <si>
    <t xml:space="preserve">Reduce leverage (DLTR, ASPS, OCN), Buy 300s SIAL on big dip? eod 700s AIG, reeval 100 ASPS &lt; 115, 100s OCN similarly, 100s HHC, 50s CF/AZO/MKL, 50s 1% AWH on dip,400s ALB on dip,  Buy INBK, WWAV on dip? Add back AAMC/RESI on big dip, Add Add 5%-200s DVA (on dip), On new signal ~3% AIG wrt when AIG &lt; 35, Watch see below, research SCTY (insider), china-related shorts re-find, downloads folder, short leveraged loans, AJG, CODI, CECO, MNK, ISCA, LYB, HOLX, TDC, FBIZ, TDC, SFLY, JEC, POST, FLO, portfolio stop 490,000s, </t>
  </si>
  <si>
    <t xml:space="preserve">Reduce leverage (ASPS/OCN on weakness after 2/18 10:30am, CPRT, SCL, DLTR), Buy 300s SIAL/700s AIG on big dip, reeval 100 ASPS &lt; 115, 100s OCN similarly, 100s HHC, 50s CF/AZO/MKL, 50s 1% AWH on dip,400s ALB on dip,  Buy INBK, WWAV on dip? Add back AAMC/RESI on big dip, Add Add 5%-200s DVA (on dip), On new signal ~3% AIG wrt when AIG &lt; 35, Watch see below, research SCTY (insider), china-related shorts re-find, downloads folder, short leveraged loans, AJG, CODI, CECO, MNK, ISCA, LYB, HOLX, TDC, FBIZ, TDC, SFLY, JEC, POST, FLO, RHI, portfolio stop 490,000s, </t>
  </si>
  <si>
    <t xml:space="preserve">Reduce leverage (), Buy ASPS/OCN/MPC/PSX back on big dip/new sig,300s SIAL/700s AIG on big dip, reeval 100 ASPS &lt; 115, 100s OCN similarly, 100s HHC, 50s CF/AZO/MKL, 50s 1% AWH on dip,400s ALB on dip,  Buy INBK, WWAV on dip? Add back AAMC/RESI on big dip, Add Add 5%-200s DVA (on dip), On new signal ~3% AIG wrt when AIG &lt; 35, Watch see below, research SCTY (insider), china-related shorts re-find, downloads folder, short leveraged loans, AJG, CODI, CECO, MNK, ISCA, LYB, HOLX, TDC, FBIZ, TDC, SFLY, JEC, POST, FLO, RHI, portfolio stop 490,000s, </t>
  </si>
  <si>
    <t xml:space="preserve">Reduce leverage (), Buy ASPS/OCN/MPC/PSX back on big dip/new sig(2 up days), HLSS? add 2% 20s MKL on dip, 300s SIAL/700s AIG on big dip, reeval 100 ASPS &lt; 115, 100s OCN similarly, 100s HHC, 50s CF/AZO/MKL, 50s 1% AWH on dip,400s ALB on dip,  Buy INBK, WWAV on dip? Add back AAMC/RESI on big dip, Add Add 5%-200s DVA (on dip), On new signal ~3% AIG wrt when AIG &lt; 35, Watch see below, research SCTY (insider), china-related shorts re-find, downloads folder, short leveraged loans, AJG, CODI, CECO, MNK, ISCA, LYB, HOLX, TDC, FBIZ, TDC, SFLY, JEC, POST, FLO, RHI, HLSS insider, portfolio stop 490,000s, </t>
  </si>
  <si>
    <t xml:space="preserve">Reduce leverage (UHAL), Buy ASPS/OCN/MPC/PSX back on big dip/new sig(2 up days), HLSS? add 2% 20s MKL on dip, 300s SIAL/700s AIG on big dip, reeval 100 ASPS &lt; 115, 100s OCN similarly, 100s HHC, 50s CF/AZO/MKL, 50s 1% AWH on dip,400s ALB on dip,  Buy INBK, WWAV on dip? Add back AAMC/RESI on big dip, Add Add 5%-200s DVA (on dip), On new signal ~3% AIG wrt when AIG &lt; 35, Watch see below, research SCTY (insider), china-related shorts re-find, downloads folder, short leveraged loans, AJG, CODI, CECO, MNK, ISCA, LYB, HOLX, TDC, FBIZ, TDC, SFLY, JEC, POST, FLO, RHI, HLSS insider, portfolio stop 490,000s, </t>
  </si>
  <si>
    <t xml:space="preserve">Reduce leverage (UHAL), Buy 4-5% ASPS/OCN/MPC/PSX back on big dip/new sig(2 up days), add 2% 20s MKL on dip, HLSS? 300s SIAL/700s AIG on big dip, reeval 100 ASPS &lt; 115, 100s OCN similarly, 100s HHC, 50s CF/AZO/MKL, 50s 1% AWH on dip,400s ALB on dip,  Buy INBK, WWAV on dip? Add back AAMC/RESI on big dip, Add Add 5%-200s DVA (on dip), On new signal ~3% AIG wrt when AIG &lt; 35, Watch see below, research SCTY (insider), china-related shorts re-find, downloads folder, short leveraged loans, AJG, CODI, CECO, MNK, ISCA, LYB, HOLX, TDC, FBIZ, TDC, SFLY, JEC, POST, FLO, RHI, HLSS insider, portfolio stop 490,000s, </t>
  </si>
  <si>
    <t xml:space="preserve">Reduce leverage (MPC/PSX on weak open &gt;10:30am on 2/24), Add 100s ASPS/200s OCN on big dip/new sig(2 up days), ASPS/OCN options?, add 2% 20s MKL on dip, HLSS? 300s SIAL/700s AIG on big dip, reeval 100 ASPS &lt; 115, 100s OCN similarly, 100s HHC, 50s CF/AZO/MKL, 50s 1% AWH on dip,400s ALB on dip,  Buy INBK, WWAV on dip? Add back AAMC/RESI on big dip, Add Add 5%-200s DVA (on dip), On new signal ~3% AIG wrt when AIG &lt; 35, Watch see below, research SCTY (insider), china-related shorts re-find, downloads folder, short leveraged loans, AJG, CODI, CECO, MNK, ISCA, LYB, HOLX, TDC, FBIZ, TDC, SFLY, JEC, POST, FLO, RHI, HLSS, NOR insider, portfolio stop 490,000s, </t>
  </si>
  <si>
    <t>Cabot Oil &amp; Gas</t>
  </si>
  <si>
    <t>COG</t>
  </si>
  <si>
    <t>P1) gas bottom? C1) Capex?</t>
  </si>
  <si>
    <t xml:space="preserve">CyrusOne </t>
  </si>
  <si>
    <t xml:space="preserve">Reduce leverage (MPC &lt;86.5/PSX &lt;74 on weak open &gt;10:30am on 2/24), Add 100s ASPS/200s OCN on big dip/new sig(2 up days), ASPS/OCN options?, add 2% 20s MKL on dip, 300s SIAL/700s AIG on big dip, 100s HHC, 50s CF/20s AZO/, 50s 1% AWH on dip,400s ALB on dip,  Buy WWAV on dip? Add back AAMC/RESI on big dip, Add Add 5%-200s DVA (on dip), On new signal ~3% AIG wrt when AIG &lt; 35, Watch see below, research SCTY (insider), china-related shorts re-find, downloads folder, short leveraged loans, AJG, CODI, CECO, MNK, ISCA, LYB, HOLX, TDC, FBIZ, TDC, SFLY, JEC, FLO, RHI, HLSS, NOR insider, portfolio stop 490,000s, </t>
  </si>
  <si>
    <t>Tgt @ 3x ttm revs Data center locatinons P1) Insider buying C1) glassdoor terrible reviews, employees thoroughly unhappy</t>
  </si>
  <si>
    <t>Costco Wholesale</t>
  </si>
  <si>
    <t xml:space="preserve">Reduce leverage (PBR?), add 2% 20s MKL on dip, Add back 300s PSX, 250s MPC on dip, Add 100s ASPS/200s OCN on big dip/new sig(2 up days), ASPS/OCN options?, 300s SIAL/700s AIG on big dip, 100s HHC, 50s CF/20s AZO/, 50s 1% AWH on dip, Buy WWAV on dip? Add back AAMC/RESI on big dip, Add Add 5%-200s DVA (on dip), On new signal ~3% AIG wrt when AIG &lt; 35, Watch see below, research SCTY (insider), china-related shorts re-find, downloads folder, short leveraged loans, AJG, CODI, CECO, MNK, ISCA, LYB, HOLX, TDC, FBIZ, TDC, SFLY, JEC, FLO, RHI, HLSS, RESI, MTSC (insider) , portfolio stop 490,000s, </t>
  </si>
  <si>
    <t>great retailer P1) insider 11/2015, 4/2019 P2) good metrics P3) labor good</t>
  </si>
  <si>
    <t xml:space="preserve">Reduce leverage (MPC/PSX?), Add 2% 75s AWH on strength, Add 100s ASPS/200s OCN on big dip/new sig(2 up days), ASPS/OCN options?, 300s SIAL/700s AIG on big dip, 100s HHC, 50s CF/20s AZO/, 50s 1% AWH on dip, Buy WWAV on dip? Add back AAMC/RESI on big dip, Add Add 5%-200s DVA (on dip), On new signal ~3% AIG wrt when AIG &lt; 35, Watch see below, research SCTY (insider), china-related shorts re-find, downloads folder, short leveraged loans, AJG, CODI, CECO, MNK, ISCA, LYB, HOLX, TDC, FBIZ, TDC, SFLY, JEC, FLO, RHI, HLSS, RESI, MTSC (insider) , portfolio stop 490,000s, </t>
  </si>
  <si>
    <t xml:space="preserve">Reduce leverage (MPC/PSX, 1% MKL?), Buy back 400s SCL,  Add 2% 75s AWH on strength, Add 100s ASPS/200s OCN on big dip/new sig(2 up days), ASPS/OCN options?,  Add back AAMC/RESI on big dip, 300s SIAL/700s AIG on big dip, 100s HHC, 50s CF/20s AZO/, 50s 1% AWH on dip, Buy WWAV on dip?Add Add 5%-200s DVA (on dip), On new signal ~3% AIG wrt when AIG &lt; 35, Watch see below, research SCTY (insider), china-related shorts re-find, downloads folder, short leveraged loans, AJG, CODI, CECO, MNK, ISCA, LYB, HOLX, TDC, FBIZ, TDC, SFLY, JEC, FLO, RHI, HLSS, RESI, MTSC (insider) , portfolio stop 490,000s, </t>
  </si>
  <si>
    <t xml:space="preserve">Reduce leverage (WLT on strong open 2/27 &gt; 10:30am, ASPS), Buy back 425s MPC/ 350s PSX, 1% MKL, on dip 400s SCL,  Add 2% 75s AWH on strength, Add 100s ASPS/200s OCN on big dip/new sig(2 up days), ASPS/OCN options?,  Add back AAMC/RESI on big dip, 300s SIAL/700s AIG on big dip, 100s HHC, 50s CF/20s AZO/, 50s 1% AWH on dip, Buy WWAV on dip?Add Add 5%-200s DVA (on dip), On new signal ~3% AIG wrt when AIG &lt; 35, Watch see below, research SCTY (insider), china-related shorts re-find, downloads folder, short leveraged loans, AJG, CODI, CECO, MNK, ISCA, LYB, HOLX, TDC, FBIZ, TDC, SFLY, JEC, FLO, RHI, HLSS, RESI, MTSC (insider) , portfolio stop 490,000s, </t>
  </si>
  <si>
    <t xml:space="preserve">Reduce leverage (WLT on strong open 2/27 &gt; 10:30am, 1/2 of ASPS/OCN on fall), Add 2% 75s AWH on strength, 1% 10s MKL, on dip Add 100s ASPS/200s OCN on big dip/new sig(2 up days), ASPS/OCN options?,  Add back AAMC/RESI on big dip, 300s SIAL/700s AIG on big dip, 100s HHC, 50s CF/20s AZO/, 50s 1% AWH on dip, Buy WWAV on dip?Add Add 5%-200s DVA (on dip), On new signal ~3% AIG wrt when AIG &lt; 35, Watch see below, research SCTY (insider), china-related shorts re-find, downloads folder, short leveraged loans, AJG, CODI, CECO, MNK, ISCA, LYB, HOLX, TDC, FBIZ, TDC, SFLY, JEC, FLO, RHI, HLSS, RESI, MTSC (insider) , portfolio stop 490,000s, </t>
  </si>
  <si>
    <t xml:space="preserve">Reduce leverage (WLT on strong open 2/27 &gt; 10:30am, 1/2 of ASPS/OCN on fall), Add 2% 75s AWH on strength, 1% 10s MKL, on dip, Add 100s ASPS/200s OCN on big dip/new sig(2 up days), ASPS/OCN options?,  Add back AAMC/RESI on big dip, 300s SIAL/700s AIG on big dip, 100s HHC, 50s CF/20s AZO/, 50s 1% AWH on dip, Buy WWAV on dip?Add Add 5%-200s DVA (on dip), On new signal ~3% AIG wrt when AIG &lt; 35, Watch see below, research SCTY (insider), china-related shorts re-find, downloads folder, short leveraged loans, AJG, CODI, CECO, MNK, ISCA, LYB, HOLX, TDC, FBIZ, TDC, SFLY, JEC, FLO, RHI, HLSS, RESI, MTSC (insider) , portfolio stop 490,000s, </t>
  </si>
  <si>
    <t xml:space="preserve">Reduce leverage (1/2 of ASPS/OCN on fall &lt; 97.5/&lt;35), Add 2% 75s AWH on strength, 1% 10s MKL, on dip, Add 100s ASPS/200s OCN on big dip/new sig(2 up days), ASPS/OCN options?,  Add back AAMC/RESI on big dip, 300s SIAL/700s AIG on big dip, 100s HHC, 50s CF/20s AZO/, 50s 1% AWH on dip, Buy WWAV on dip?Add Add 5%-200s DVA (on dip), On new signal ~3% AIG wrt when AIG &lt; 35, Watch see below, research SCTY (insider), china-related shorts re-find, downloads folder, short leveraged loans, AJG, CODI, CECO, MNK, ISCA, LYB, HOLX, TDC, FBIZ, TDC, SFLY, JEC, FLO, RHI, HLSS, RESI, MTSC (insider) , portfolio stop 490,000s, </t>
  </si>
  <si>
    <t xml:space="preserve">Reduce leverage (1/2 of ASPS/OCN on fall &lt; 97.5/&lt;35), Add 1% 20s UHAL, Add 100s ASPS/200s OCN on big dip/new sig(2 up days), ASPS/OCN options?,  Add back AAMC/RESI on big dip, 300s SIAL/700s AIG on big dip, 100s HHC, 50s CF/20s AZO/, 50s 1% AWH on dip, Buy WWAV on dip?Add Add 5%-200s DVA (on dip), On new signal ~3% AIG wrt when AIG &lt; 35, Watch see below, research SCTY (insider), china-related shorts re-find, downloads folder, short leveraged loans, AJG, CODI, CECO, MNK, ISCA, LYB, HOLX, TDC, FBIZ, TDC, SFLY, JEC, FLO, RHI, HLSS, RESI, MTSC (insider), SXL, portfolio stop 490,000s, </t>
  </si>
  <si>
    <t xml:space="preserve">Reduce leverage (1/2 of ASPS/OCN on fall &lt; 97.5/&lt;35, DLTR), Add 1% 20s UHAL, Add 100s ASPS/200s OCN on big dip/new sig(2 up days), ASPS/OCN options?,  Add back AAMC/RESI on big dip, 300s SIAL/700s AIG on big dip, 100s HHC, 50s CF/20s AZO/, 50s 1% AWH on dip, Buy WWAV on dip?Add Add 5%-200s DVA (on dip), On new signal ~3% AIG wrt when AIG &lt; 35, Watch see below, research SCTY (insider), china-related shorts re-find, downloads folder, short leveraged loans, AJG, CODI, CECO, MNK, portfolio stop 490,000s, </t>
  </si>
  <si>
    <t xml:space="preserve">Reduce leverage (1/2 of ASPS/OCN on fall &lt; 97.5/&lt;35, DLTR), Add 1% 20s UHAL, Add 100s ASPS/200s OCN on big dip/new sig(2 up days), ASPS/OCN options?,  Add back AAMC/RESI on big dip, 300s SIAL/700s AIG on big dip, 100s HHC, 50s CF/20s AZO/, 50s 1% AWH on dip, Buy WWAV on dip?Add Add 5%-200s DVA (on dip), On new signal ~3% AIG wrt when AIG &lt; 35, Watch see below, research SCTY (insider), china-related shorts re-find, downloads folder, short leveraged loans, AJG, CODI, CECO, MNK, WWAV (insider) portfolio stop 490,000s, </t>
  </si>
  <si>
    <t xml:space="preserve">Reduce leverage (200s DLTR to 5%), Add 1% 20s UHAL, Add 100s ASPS/200s OCN on big dip/new sig(2 up days), ASPS/OCN options?,  Add back AAMC/RESI on big dip, 300s SIAL/700s AIG on big dip, 100s HHC, 50s CF/20s AZO/, 50s 1% AWH on dip, Buy WWAV on dip?Add Add 5%-200s DVA (on dip), On new signal ~3% AIG wrt when AIG &lt; 35, Watch see below, research SCTY (insider), china-related shorts re-find, downloads folder, short leveraged loans, AJG, CODI, CECO, MNK, WWAV (insider), PKG (insider, consolidation), CLB (insider), BAGL, DAL  portfolio stop 490,000s, </t>
  </si>
  <si>
    <t xml:space="preserve">Reduce leverage (200s DLTR to 5%), Add 1% 20s UHAL, Add 100s ASPS/200s OCN on big dip/new sig(2 up days), ASPS/OCN options?,  Add back AAMC/RESI on big dip, 300s SIAL/700s AIG on big dip, 100s HHC, 50s CF/20s AZO/, 50s 1% AWH on dip, Buy WWAV on dip?Add Add 5%-200s DVA (on dip), On new signal ~3% AIG wrt when AIG &lt; 35, Watch see below, research SCTY (insider), china-related shorts re-find, downloads folder, short leveraged loans, AJG, CODI, CECO, MNK, WWAV (insider), PKG (insider, consolidation), CLB (insider), BAGL, DAL, KO portfolio stop 500,000s, </t>
  </si>
  <si>
    <t>Canadian Pacific</t>
  </si>
  <si>
    <t xml:space="preserve">Reduce leverage (on pop, short 750s WLT, 500s PBR, 300s CLF, 400s VALE, GDX reduce 1/2?), Add 1% 20s UHAL, Add 100s ASPS/200s OCN on big dip/new sig(2 up days), ASPS/OCN options?,  Add back AAMC/RESI on big dip, 300s SIAL/700s AIG on big dip, 100s HHC, 50s CF/20s AZO/, 50s 1% AWH on dip, Buy WWAV on dip?Add Add 5%-200s DVA (on dip), On new signal ~3% AIG wrt when AIG &lt; 35, Watch see below, research SCTY (insider), china-related shorts re-find, downloads folder, short leveraged loans, AJG, CODI, CECO, MNK, WWAV (insider), PKG (insider, consolidation), CLB (insider), BAGL, DAL, KO portfolio stop 500,000s, </t>
  </si>
  <si>
    <t>like UNP P1) good metrics P2) insider 2016 but new guy</t>
  </si>
  <si>
    <t xml:space="preserve">Reduce leverage (WLT?), Add 1% 20s UHAL, Add 100s ASPS/200s OCN on big dip/new sig(2 up days), ASPS/OCN options?,  Add back AAMC/RESI on big dip, 300s SIAL/700s AIG on big dip, 100s HHC, 50s CF/20s AZO/, 50s 1% AWH on dip, Buy WWAV on dip?Add Add 5%-200s DVA (on dip), On new signal ~3% AIG wrt when AIG &lt; 35, Watch see below, research SCTY (insider), china-related shorts re-find, downloads folder, short leveraged loans, AJG, CODI, CECO, MNK, WWAV (insider), PKG (insider, consolidation), CLB (insider), BAGL, DAL, KO, AXP/HTZ spinoff, portfolio stop 500,000s, </t>
  </si>
  <si>
    <t xml:space="preserve">Reduce leverage (CLF, PBR), Add 1% 20s UHAL, Add 100s ASPS/200s OCN on big dip/new sig(2 up days), ASPS/OCN options?,  Add back AAMC/RESI on big dip, 300s SIAL/700s AIG on big dip, 100s HHC, 50s CF/20s AZO/, 50s 1% AWH on dip, 5% CLB on dip, Buy WWAV on dip?Add Add 5%-200s DVA (on dip), On new signal ~3% AIG wrt when AIG &lt; 35, Watch see below, research SCTY (insider), china-related shorts re-find, downloads folder, short leveraged loans, AJG, CODI, CECO, MNK, WWAV (insider), PKG (insider, consolidation), CLB (insider), BAGL, DAL, KO, AXP/HTZ spinoff, portfolio stop 500,000s, </t>
  </si>
  <si>
    <t xml:space="preserve">Reduce leverage (CLF, PBR, VALE), Add 1% 20s UHAL, Add 100s ASPS/200s OCN on big dip/new sig(2 up days), ASPS/OCN options?,  Add back AAMC/RESI on big dip, 300s SIAL/700s AIG on big dip, 100s HHC, 50s CF/20s AZO/, 50s 1% AWH on dip, 5% CLB on dip, Buy WWAV on dip?Add Add 5%-200s DVA (on dip), On new signal ~3% AIG wrt when AIG &lt; 35, Watch see below, research SCTY (insider), china-related shorts re-find, downloads folder, short leveraged loans, AJG, CODI, CECO, MNK, WWAV (insider), PKG (insider, consolidation), CLB (insider), BAGL, DAL, KO, AXP/HTZ spinoff, portfolio stop 500,000s, </t>
  </si>
  <si>
    <t xml:space="preserve">Reduce leverage (CLF, PBR, VALE), Add 1% 20s UHAL, Add 100s ASPS/200s OCN on big dip/new sig(2 up days), ASPS/OCN options?,  Add back AAMC/RESI on big dip, 300s SIAL/700s AIG on big dip, 100s HHC, 50s CF/20s AZO/, 50s 1% AWH on dip, 5% CLB on dip, Buy WWAV on dip?Add Add 5%-200s DVA (on dip), On new signal ~3% AIG wrt when AIG &lt; 35, Watch see below, research SCTY (insider), china-related shorts re-find, downloads folder, short leveraged loans, AJG, CODI, CECO, MNK, WWAV (insider), PKG (insider, consolidation), CLB (insider), BAGL, DAL, KO, AXP/HTZ, VAL (insider) spinoff, portfolio stop 500,000s, </t>
  </si>
  <si>
    <t xml:space="preserve">Reduce leverage (DLTR?), Add 1% 20s UHAL, Add 100s ASPS/200s OCN on big dip/new sig(2 up days), ASPS/OCN options?,  Add back AAMC/RESI on big dip, 300s SIAL/700s AIG on big dip, 100s HHC, 50s CF/20s AZO/, 50s 1% AWH on dip, 5% CLB on dip, Buy WWAV on dip?Add Add 5%-200s DVA (on dip), On new signal ~3% AIG wrt when AIG &lt; 35, Watch see below, research SCTY (insider), china-related shorts re-find, downloads folder, short leveraged loans, AJG, CODI, CECO, MNK, WWAV (insider), PKG (insider, consolidation), CLB (insider), BAGL, DAL, KO, AXP/HTZ spinoff, , VAL (insider) portfolio stop 500,000s, </t>
  </si>
  <si>
    <t xml:space="preserve">Reduce leverage (PBR/VALE?), Add 1% 20s UHAL, Add 100s ASPS/200s OCN on big dip/new sig(2 up days), ASPS/OCN options?,  Add back AAMC/RESI on big dip, 300s SIAL/700s AIG on big dip, 100s HHC, 50s CF/20s AZO/, 50s 1% AWH on dip, 5% CLB on dip, Buy WWAV on dip?Add Add 5%-200s DVA (on dip), On new signal ~3% AIG wrt when AIG &lt; 35, Watch see below, research SCTY (insider), china-related shorts re-find, downloads folder, short leveraged loans, AJG, CODI, CECO, MNK, WWAV (insider), PKG (insider, consolidation), CLB (insider), BAGL, DAL, portfolio stop 500,000s, </t>
  </si>
  <si>
    <t xml:space="preserve">short 3% 800s CSLT on weakness, add 300-500s on pop, Reduce leverage (PBR/VALE?), Add 1% 20s UHAL, Add 100s ASPS/200s OCN on big dip/new sig(2 up days), ASPS/OCN options?,  Add back AAMC/RESI on big dip, 300s SIAL/700s AIG on big dip, 100s HHC, 50s CF/20s AZO/, 50s 1% AWH on dip, 5% CLB on dip, Buy WWAV on dip?Add Add 5%-200s DVA (on dip), On new signal ~3% AIG wrt when AIG &lt; 35, Watch see below, research SCTY (insider), china-related shorts re-find, downloads folder, short leveraged loans, AJG, CODI, CECO, MNK, WWAV (insider), PKG (insider, consolidation), CLB (insider), BAGL, DAL, portfolio stop 500,000s, </t>
  </si>
  <si>
    <t xml:space="preserve">cover CSLT on strong open 4/3, Reduce leverage (sell longs, reshort), Add 1% 20s UHAL, Add 100s ASPS/200s OCN on big dip/new sig(2 up days), ASPS/OCN options?,  Add back AAMC/RESI on big dip, 300s SIAL/700s AIG on big dip, 100s HHC, 50s CF/20s AZO/, 50s 1% AWH on dip, 5% CLB on dip, Buy WWAV on dip?Add Add 5%-200s DVA (on dip), On new signal ~3% AIG wrt when AIG &lt; 35, Watch see below, research SCTY (insider), china-related shorts re-find, downloads folder, short leveraged loans, AJG, CODI, CECO, MNK, WWAV (insider), PKG (insider, consolidation), CLB (insider), BAGL, DAL, portfolio stop 500,000s, </t>
  </si>
  <si>
    <t>CSLT</t>
  </si>
  <si>
    <t>Copart</t>
  </si>
  <si>
    <t>P1) Online car reseller for insurance, etc. P2) technology enabled, relationship driven C1) competition?</t>
  </si>
  <si>
    <t xml:space="preserve">Short 2500s PBR, 2600s VALE, 1600s CLF, 1200s GDX, 3000s WLT, cover CSLT on strong open 4/3, Reduce leverage (sell longs, reshort), Add 1% 20s UHAL, Add 100s ASPS/200s OCN on big dip/new sig(2 up days), ASPS/OCN options?,  Add back AAMC/RESI on big dip, 300s SIAL/700s AIG on big dip, 100s HHC, 50s CF/20s AZO/, 50s 1% AWH on dip, 5% CLB on dip, Buy WWAV on dip?Add Add 5%-200s DVA (on dip), On new signal ~3% AIG wrt when AIG &lt; 35, Watch see below, research SCTY (insider), china-related shorts re-find, downloads folder, short leveraged loans, AJG, CODI, CECO, MNK, WWAV (insider), PKG (insider, consolidation), CLB (insider), BAGL, DAL, portfolio stop 500,000s, </t>
  </si>
  <si>
    <t>Salesforce</t>
  </si>
  <si>
    <t xml:space="preserve">Buy back on dip 250s MPC, 300s PSX, Reduce leverage (), Add 1% 20s UHAL, Add 100s ASPS/200s OCN on big dip/new sig(2 up days), ASPS/OCN options?,  Add back AAMC/RESI on big dip, 300s SIAL/700s AIG on big dip, 100s HHC, 50s CF/20s AZO/, 50s 1% AWH on dip, 5% CLB on dip, Buy WWAV on dip?Add Add 5%-200s DVA (on dip), On new signal ~3% AIG wrt when AIG &lt; 35, Watch see below, research SCTY (insider), china-related shorts re-find, downloads folder, short leveraged loans, AJG, CODI, CECO, MNK, WWAV (insider), PKG (insider, consolidation), CLB (insider), BAGL, DAL, portfolio stop 500,000s, </t>
  </si>
  <si>
    <t>valued by FCF P1) insider 8/2018 (105b)</t>
  </si>
  <si>
    <t xml:space="preserve">America's Car-Mart, Inc. </t>
  </si>
  <si>
    <t>CRMT</t>
  </si>
  <si>
    <t>Cooper Tire</t>
  </si>
  <si>
    <t>CTB</t>
  </si>
  <si>
    <t>domestic tire maker, small P1) insider C1) volatile industry C2) lack of moat?</t>
  </si>
  <si>
    <t xml:space="preserve">Cover PBR &gt; 14, VALE &gt; 15? Buy back on dip 250s MPC, 300s PSX, Reduce leverage (), Add 1% 20s UHAL, Add 100s ASPS/200s OCN on big dip/new sig(2 up days), ASPS/OCN options?,  Add back AAMC/RESI on big dip, 300s SIAL/700s AIG on big dip, 100s HHC, 50s CF/20s AZO/, 50s 1% AWH on dip, 5% CLB on dip, Buy WWAV on dip?Add Add 5%-200s DVA (on dip), On new signal ~3% AIG wrt when AIG &lt; 35, Watch see below, research SCTY (insider), china-related shorts re-find, downloads folder, short leveraged loans, AJG, CODI, CECO, MNK, WWAV (insider), PKG (insider, consolidation), CLB (insider), BAGL, DAL, portfolio stop 500,000s, </t>
  </si>
  <si>
    <t>Calavo Growers</t>
  </si>
  <si>
    <t>CVGW</t>
  </si>
  <si>
    <t xml:space="preserve">Cover WLT/CLF/GDX/PBR/VALE? Buy back on dip 250s MPC, 300s PSX, Reduce leverage (), Add 1% 20s UHAL, Add 100s ASPS/200s OCN on big dip/new sig(2 up days), ASPS/OCN options?,  Add back AAMC/RESI on big dip, 300s SIAL/700s AIG on big dip, 100s HHC, 50s CF/20s AZO/, 50s 1% AWH on dip, 5% CLB on dip, Buy WWAV on dip?Add Add 5%-200s DVA (on dip), On new signal ~3% AIG wrt when AIG &lt; 35, Watch see below, research SCTY (insider), china-related shorts re-find, downloads folder, short leveraged loans, AJG, CODI, CECO, MNK, WWAV (insider), PKG (insider, consolidation), CLB (insider), BAGL, DAL, AZO (insider) portfolio stop 500,000s, </t>
  </si>
  <si>
    <t>organic food? P1) insider 7/2017 P2) good roa</t>
  </si>
  <si>
    <t xml:space="preserve">Buy back on dip 250s MPC, 300s PSX, Reduce leverage (), Add 1% 20s UHAL, Add 100s ASPS/200s OCN on big dip/new sig(2 up days), ASPS/OCN options?,  Add back AAMC/RESI on big dip, 300s SIAL/700s AIG on big dip, 100s HHC, 50s CF/20s AZO/, 50s 1% AWH on dip, 5% CLB on dip, Buy WWAV on dip?Add Add 5%-200s DVA (on dip), On new signal ~3% AIG wrt when AIG &lt; 35, Watch see below, research SCTY (insider), china-related shorts re-find, downloads folder, short leveraged loans, AJG, CODI, CECO, MNK, WWAV (insider), PKG (insider, consolidation), CLB (insider), BAGL, DAL, AZO (insider) portfolio stop 500,000s, </t>
  </si>
  <si>
    <t>Corvel</t>
  </si>
  <si>
    <t>CRVL</t>
  </si>
  <si>
    <t>healthcare mgt services</t>
  </si>
  <si>
    <t xml:space="preserve">Reduce leverage (), Research VRX/GIB short - Add shorts (per email?) Add 1% 20s UHAL, Add 100s ASPS/200s OCN on big dip/new sig(2 up days), ASPS/OCN options?,  Add back AAMC/RESI on big dip, 300s SIAL/700s AIG on big dip, 100s HHC, 50s CF/20s AZO/, 50s 1% AWH on dip, 5% CLB on dip, Buy WWAV on dip?Add Add 5%-200s DVA (on dip), On new signal ~3% AIG wrt when AIG &lt; 35, Watch see below, research SCTY (insider), china-related shorts re-find, downloads folder, short leveraged loans, AJG, CODI, CECO, MNK, WWAV (insider), PKG (insider, consolidation), CLB (insider), BAGL, DAL, portfolio stop 500,000s, </t>
  </si>
  <si>
    <t xml:space="preserve">Reduce leverage (MPC/PBR?), Research VRX/GIB short - Add shorts (per email?) Add 1% 20s UHAL, Add 100s ASPS/200s OCN on big dip/new sig(2 up days), ASPS/OCN options?,  Add back AAMC/RESI on big dip, 300s SIAL/700s AIG on big dip, 100s HHC, 50s CF/20s AZO/, 50s 1% AWH on dip, 5% CLB on dip, Buy WWAV on dip?Add Add 5%-200s DVA (on dip), On new signal ~3% AIG wrt when AIG &lt; 35, Watch see below, research SCTY (insider), china-related shorts re-find, downloads folder, short leveraged loans, AJG, CODI, CECO, MNK, WWAV (insider), PKG (insider, consolidation), CLB (insider), BAGL, DAL, portfolio stop 500,000s, </t>
  </si>
  <si>
    <t xml:space="preserve">Reduce leverage (WLT/GDX?), Research VRX/GIB short - Add shorts (per email?) Add 1% 20s UHAL, Add 100s ASPS/200s OCN on big dip/new sig(2 up days), ASPS/OCN options?,  Add back AAMC/RESI on big dip, 300s SIAL/700s AIG on big dip, 100s HHC, 50s CF/20s AZO/, 50s 1% AWH on dip, 5% CLB on dip, Buy WWAV on dip?Add Add 5%-200s DVA (on dip), On new signal ~3% AIG wrt when AIG &lt; 35, Watch see below, research SCTY (insider), china-related shorts re-find, downloads folder, short leveraged loans, AJG, CODI, CECO, MNK, WWAV (insider), PKG (insider, consolidation), CLB (insider), BAGL, DAL, portfolio stop 500,000s, </t>
  </si>
  <si>
    <t xml:space="preserve">Reduce leverage (CSLT/WLT?), Research VRX/GIB short - Add shorts (per email?) Add 1% 20s UHAL, Add 100s ASPS/200s OCN on big dip/new sig(2 up days), ASPS/OCN options?,  Add back AAMC/RESI on big dip, 300s SIAL/700s AIG on big dip, 100s HHC, 50s CF/20s AZO/, 50s 1% AWH on dip, 5% CLB on dip, Buy WWAV on dip?Add Add 5%-200s DVA (on dip), On new signal ~3% AIG wrt when AIG &lt; 35, Watch see below, research SCTY (insider), china-related shorts re-find, downloads folder, short leveraged loans, AJG, CODI, CECO, MNK, WWAV (insider), PKG (insider, consolidation), CLB (insider), BAGL, DAL, portfolio stop 500,000s, </t>
  </si>
  <si>
    <t xml:space="preserve">Reduce leverage (CSLT), Research VRX/GIB short - Add shorts (per email?) Add 1% 20s UHAL, Add 100s ASPS/200s OCN on big dip/new sig(2 up days), ASPS/OCN options?,  Add back AAMC/RESI on big dip, 300s SIAL/700s AIG on big dip, 100s HHC, 50s CF/20s AZO/, 50s 1% AWH on dip, 5% CLB on dip, Buy WWAV on dip?Add Add 5%-200s DVA (on dip), On new signal ~3% AIG wrt when AIG &lt; 35, Watch see below, research SCTY (insider), china-related shorts re-find, downloads folder, short leveraged loans, AJG, CODI, CECO, MNK, WWAV (insider), PKG (insider, consolidation), CLB (insider), BAGL, DAL, ESL, portfolio stop 500,000s, </t>
  </si>
  <si>
    <t xml:space="preserve">Reduce leverage (CSLT if &gt; 21 eod 4/18 or 4/19 10:30am), Research VRX/GIB short - Add shorts (per email?) Add 1% 20s UHAL, Add 100s ASPS/200s OCN on big dip/new sig(2 up days), ASPS/OCN options?,  Add back AAMC/RESI on big dip, 300s SIAL/700s AIG on big dip, 100s HHC, 50s CF/20s AZO/, 50s 1% AWH on dip, 5% CLB on dip, Buy WWAV on dip?Add Add 5%-200s DVA (on dip), On new signal ~3% AIG wrt when AIG &lt; 35, Watch see below, research SCTY (insider), china-related shorts re-find, downloads folder, short leveraged loans, AJG, CODI, CECO, MNK, WWAV (insider), PKG (insider, consolidation), CLB (insider), BAGL, DAL, ESL, CBR, C, portfolio stop 500,000s, </t>
  </si>
  <si>
    <t xml:space="preserve">Reduce leverage (CSLT if &gt; 21 eod 4/19), Research VRX/GIB short - Add shorts (per email?) Add 1% 20s UHAL, Add 100s ASPS/200s OCN on big dip/new sig(2 up days), ASPS/OCN options?,  Add back AAMC/RESI on big dip, 300s SIAL/700s AIG on big dip, 100s HHC, 50s CF/20s AZO/, 50s 1% AWH on dip, 5% CLB on dip, Buy WWAV on dip?Add Add 5%-200s DVA (on dip), On new signal ~3% AIG wrt when AIG &lt; 35, Watch see below, research SCTY (insider), china-related shorts re-find, downloads folder, short leveraged loans, AJG, CODI, CECO, MNK, WWAV (insider), PKG (insider, consolidation), CLB (insider), BAGL, DAL, ESL, CBR, C, portfolio stop 500,000s, </t>
  </si>
  <si>
    <t xml:space="preserve">Reduce leverage (), Add shorts (per email?) Add 1% 20s UHAL, Add 100s ASPS/200s OCN on big dip/new sig(2 up days), ASPS/OCN options?,  Add back AAMC/RESI on big dip, 300s SIAL/700s AIG on big dip, 100s HHC, 50s CF/20s AZO/, 50s 1% AWH on dip, 5% CLB on dip, Buy WWAV on dip?Add Add 5%-200s DVA (on dip), On new signal ~3% AIG wrt when AIG &lt; 35, Watch see below, research SCTY (insider), china-related shorts re-find, downloads folder, short leveraged loans, AJG, CODI, CECO, MNK, WWAV (insider), PKG (insider, consolidation), CLB (insider), BAGL, DAL, ESL, CBR, C, portfolio stop 500,000s, </t>
  </si>
  <si>
    <t xml:space="preserve">Reduce leverage (), Add shorts (per email?) Add 1% 20s UHAL, Add 100s ASPS/200s OCN on big dip/new sig(2 up days), ASPS/OCN options?,  Add back AAMC/RESI on big dip, 300s SIAL/700s AIG on big dip, 100s HHC, 50s CF/20s AZO/, 50s 1% AWH on dip, 5% CLB on dip, Buy WWAV on dip?Add Add 5%-200s DVA (on dip), On new signal ~3% AIG wrt when AIG &lt; 35, Watch see below, research SCTY (insider), china-related shorts re-find, downloads folder, short leveraged loans, AJG, CODI, CECO, MNK, WWAV (insider), PKG (insider, consolidation), CLB (insider), BAGL, DAL, portfolio stop 500,000s, </t>
  </si>
  <si>
    <t xml:space="preserve">Reduce leverage (reduce ASPS/OCN on dip, VJET on pop), Add shorts (per email?) Add 1% 20s UHAL, Add 100s ASPS/200s OCN on big dip/new sig(2 up days), ASPS/OCN options?,  Add back AAMC/RESI on big dip, 300s SIAL/700s AIG on big dip, 100s HHC, 50s CF/20s AZO/, 50s 1% AWH on dip, 5% CLB on dip, Buy WWAV on dip?Add Add 5%-200s DVA (on dip), On new signal ~3% AIG wrt when AIG &lt; 35, Watch see below, research SCTY (insider), china-related shorts re-find, downloads folder, short leveraged loans, AJG, CODI, CECO, MNK, WWAV (insider), PKG (insider, consolidation), CLB (insider), BAGL, DAL, PLUG/VJET/DDD/others for short? portfolio stop 500,000s, </t>
  </si>
  <si>
    <t>VJET</t>
  </si>
  <si>
    <t xml:space="preserve">Reduce leverage (reduce ASPS/OCN on dip), Add shorts (per email?) Add 1% 20s UHAL, Add 100s ASPS/200s OCN on big dip/new sig(2 up days), ASPS/OCN options?,  Add back AAMC/RESI on big dip, 300s SIAL/700s AIG on big dip, 100s HHC, 50s CF/20s AZO/, 50s 1% AWH on dip, 5% CLB on dip, Buy WWAV on dip?Add Add 5%-200s DVA (on dip), On new signal ~3% AIG wrt when AIG &lt; 35, Watch see below, research SCTY (insider), china-related shorts re-find, downloads folder, short leveraged loans, AJG, CODI, CECO, MNK, WWAV (insider), PKG (insider, consolidation), CLB (insider), BAGL, DAL, PLUG/DDD/others for short? portfolio stop 500,000s, </t>
  </si>
  <si>
    <t xml:space="preserve">Reduce leverage (reduce ASPS/OCN on dip 5/3 &gt; 10:30am, reshort PBR on pop/dip), Add shorts (per email?) Add 1% 20s UHAL, Add back AFSI/AAMC/RESI on big dip, 300s SIAL/700s AIG on big dip, 100s HHC, 50s CF/20s AZO/, 50s 1% AWH on dip, 5% CLB on dip, Buy WWAV on dip?Add Add 5%-200s DVA (on dip), On new signal ~3% AIG wrt when AIG &lt; 35, Watch see below, research SCTY (insider), china-related shorts re-find, downloads folder, short leveraged loans, AJG, CODI, CECO, MNK, WWAV (insider), PKG (insider, consolidation), CLB (insider), BAGL, DAL, PLUG/DDD/others for short/KWR? portfolio stop 500,000s, </t>
  </si>
  <si>
    <t xml:space="preserve">Reduce leverage (exit SCL, ASPS/OCN on dip 5/5 &gt; 10:30am, reshort PBR on pop/dip, add 10s 1% AZO), Add shorts (per email?) Add 1% 20s UHAL, Add back AFSI/AAMC/RESI on big dip, 300s SIAL/700s AIG on big dip, 100s HHC, 50s CF, 50s 1% AWH on dip, 5% CLB on dip, Buy WWAV on dip?Add Add 5%-200s DVA (on dip), On new signal ~3% AIG wrt when AIG &lt; 35, Watch see below, research SCTY (insider), china-related shorts re-find, downloads folder, short leveraged loans, AJG, CODI, CECO, MNK, WWAV (insider), PKG (insider, consolidation), CLB (insider), BAGL, DAL, PLUG/DDD/others for short? portfolio stop 500,000s, </t>
  </si>
  <si>
    <t xml:space="preserve">Reduce leverage (exit SCL, ASPS/OCN on dip 5/5 &gt; 10:30am, reshort PBR on pop/dip, add 15s 1% AZO, short 4600s PLUG, buy 5% 400s PKG), Add shorts (per email?) Add 1% 20s UHAL, Add back AFSI/AAMC/RESI on big dip, 300s SIAL/700s AIG on big dip, 100s HHC, 50s CF, 50s 1% AWH on dip, 5% CLB on dip, Buy WWAV on dip? Add Add 5%-200s DVA (on dip), On new signal ~3% AIG wrt when AIG &lt; 35, Watch see below, research SCTY (insider), china-related shorts re-find, downloads folder, short leveraged loans, portfolio stop 500,000s, </t>
  </si>
  <si>
    <t>slight positive on s&amp;p 500, target 60-80% net long, max 80% net long, more shorts</t>
  </si>
  <si>
    <t xml:space="preserve">Reduce leverage (ASPS/OCN), Add shorts (per email?) Add back AFSI/AAMC/RESI on big dip, 300s SIAL/700s AIG on big dip, 100s HHC, 50s CF, 50s 1% AWH on dip, 5% CLB on dip, Add 5%-200s DVA (on dip), On new signal ~3% AIG wrt when AIG &lt; 35, Watch see below, research  china-related shorts re-find, downloads folder, short leveraged loans, portfolio stop 500,000s, </t>
  </si>
  <si>
    <t>PLUG</t>
  </si>
  <si>
    <t>CVR Refining LP</t>
  </si>
  <si>
    <t>321 and 211 crack spread, P1) mass insider buying @ 25 P2) icahn P3) wti supply C1) see psx, gasoline demand down bc china (but so is crude oil!) C2) no compounding bc high dividend C3) check crack spread</t>
  </si>
  <si>
    <t>PKG</t>
  </si>
  <si>
    <t>Delta</t>
  </si>
  <si>
    <t>P1) industry consolidation P2) oil prices low?  P3) insider 12/2018 C1) consolidation broken by LUV or others? C2) poor business in general bc of entry, capacity incentives</t>
  </si>
  <si>
    <t>Datadog</t>
  </si>
  <si>
    <t xml:space="preserve">Reduce leverage (ASPS/OCN Reeval ASPS 600s/OCN 1300s long after stabilize, reeval SCL 400s long after stabilize), Add shorts (per email?) Add back AFSI/AAMC/RESI 300s SIAL/700s AIG on big dip, 100s HHC, 50s CF, 50s 1% AWH on dip, 5% CLB on dip, Add 5%-200s DVA (on dip), On new signal ~3% AIG wrt when AIG &lt; 35, Watch see below, research  china-related shorts re-find, downloads folder, short leveraged loans, portfolio stop 500,000s, </t>
  </si>
  <si>
    <t>Cloud monitoring</t>
  </si>
  <si>
    <t xml:space="preserve">Add shorts (1400s PLUG, 400s VJET, 800s WLT, 500s CSLT, short 2600s PBR at weak open per email?) Reduce leverage (ASPS/OCN Reeval ASPS 600s/OCN 1300s long after stabilize, reeval SCL 400s long after stabilize), Add back AFSI/AAMC/RESI 300s SIAL/700s AIG on big dip, 100s HHC, 50s CF, 50s 1% AWH on dip, 5% CLB on dip, Add 5%-200s DVA (on dip), On new signal ~3% AIG wrt when AIG &lt; 35, Watch see below, research  china-related shorts re-find, downloads folder, short leveraged loans, portfolio stop 500,000s, </t>
  </si>
  <si>
    <t>Sells/Shorts</t>
  </si>
  <si>
    <t xml:space="preserve">Add shorts (short more 500s VJET, 700s CSLT, 1300s WLT) Reduce leverage (ASPS/OCN Reeval ASPS 600s/OCN 1300s long after stabilize, reeval SCL 400s long after stabilize), Add back AFSI/AAMC/RESI 300s SIAL/700s AIG on big dip, 100s HHC, 50s CF, 50s 1% AWH on dip, 5% CLB on dip, Add 5%-200s DVA (on dip), On new signal ~3% AIG wrt when AIG &lt; 35, Watch see below, research  china-related shorts re-find, downloads folder, short leveraged loans, portfolio stop 500,000s, </t>
  </si>
  <si>
    <t xml:space="preserve">Add shorts (Add 100s 2-3% PSX (insider)) Reduce leverage (ASPS/OCN Reeval ASPS 600s/OCN 1300s long after stabilize, reeval SCL 400s long after stabilize), Add back AFSI/AAMC/RESI 300s SIAL/700s AIG on big dip, 100s HHC, 50s CF, 50s 1% AWH on dip, 5% CLB on dip, Add 5%-200s DVA (on dip), On new signal ~3% AIG wrt when AIG &lt; 35, Watch see below, research  china-related shorts re-find, downloads folder, short leveraged loans, Research Arista short (article about ipo shares?), portfolio stop 500,000s, </t>
  </si>
  <si>
    <t xml:space="preserve">Reduce leverage (ASPS/OCN Reeval 800s-1000s DAL, 700s AIG on dip, 500s AIZ, SCL 400s long after stabilize), Add back 1200s AFSI/AAMC/RESI 300s SIAL, 100s HHC, 25s CF, 50s 1% AWH on dip, 5% CLB on dip, Add 5%-200s DVA (on dip), On new signal ~3% AIG wrt when AIG &lt; 35, Watch, research china-related shorts re-find, downloads folder, short leveraged loans, Research Arista short (article about ipo shares?), portfolio stop 500,000s, </t>
  </si>
  <si>
    <t xml:space="preserve">Reduce leverage (Reeval CSLT, PBR temp cover, ASPS/OCN Reeval 800s-1000s DAL, 700s AIG on dip, 500s AIZ, SCL 400s long after stabilize), Add back 1200s AFSI/AAMC/RESI 300s SIAL, 100s HHC, 25s CF, 50s 1% AWH on dip, 5% CLB on dip, Add 5%-200s DVA (on dip), On new signal ~3% AIG wrt when AIG &lt; 35, Watch, research china-related shorts re-find, downloads folder, short leveraged loans, Research Arista short (article about ipo shares?), research ATEN, portfolio stop 500,000s, </t>
  </si>
  <si>
    <t xml:space="preserve">Reduce leverage (Reeval CSLT, PBR temp cover, add 1% 400s CLF short/500s 1% VJET/2000s PLUG/300s GDX/1400 WLT/400s PBR/400s VALE, ASPS/OCN Reeval 800s-1000s DAL, 700s AIG on dip, 500s AIZ, SCL 400s long after stabilize), Add back 1200s AFSI/AAMC/RESI 300s SIAL, 100s HHC, 25s CF, 50s 1% AWH on dip, 5% CLB on dip, Add 5%-200s DVA (on dip), On new signal ~3% AIG wrt when AIG &lt; 35, Watch, research china-related shorts re-find, downloads folder, short leveraged loans, Research Arista short (article about ipo shares?), research ATEN, VRX, portfolio stop 500,000s, </t>
  </si>
  <si>
    <t>Value = book value or exit when Einhorn does, or new product, Driven mostly by iPhone, mkt saturation, cheaper iphone hurts company 2013 Q1 news P1) tough culture, innovation over P2) software not a moat C1) insider buying means ~exit C2) software kind of moat?</t>
  </si>
  <si>
    <t>Barrick Gold</t>
  </si>
  <si>
    <t>ABX</t>
  </si>
  <si>
    <t>gold producer levered P1) Terrible capital allocator P2) increasing prod with loewr prices</t>
  </si>
  <si>
    <t xml:space="preserve">Reduce leverage (Reeval PLUG &gt;10:30am 5/19 cover, CSLT, PBR temp cover, Reeval 800s-1000s DAL, 700s AIG on dip, 500s AIZ, SCL 400s long after stabilize), Add back 1200s AFSI/AAMC/RESI 300s SIAL, 100s HHC, 25s CF, 50s 1% AWH on dip, 5% CLB on dip, Add 5%-200s DVA (on dip), On new signal ~3% AIG wrt when AIG &lt; 35, Watch, research china-related shorts re-find, downloads folder, short leveraged loans, Research Arista short (article about ipo shares?), research ATEN, VRX, portfolio stop 500,000s, </t>
  </si>
  <si>
    <t>Deere &amp; Co.</t>
  </si>
  <si>
    <t>DE</t>
  </si>
  <si>
    <t xml:space="preserve">Reduce leverage (ASPS/OCN temp cover on weakness, Reeval 800s-1000s DAL, 700s AIG on dip, 500s AIZ, SCL 400s long after stabilize), Add back 1200s AFSI/AAMC/RESI 300s SIAL, 100s HHC, 25s CF, 50s 1% AWH on dip, 5% CLB on dip, Add 5%-200s DVA (on dip), On new signal ~3% AIG wrt when AIG &lt; 35, Watch, research china-related shorts re-find, downloads folder, short leveraged loans, Research Arista short (article about ipo shares?), research ATEN, VRX, portfolio stop 500,000s, </t>
  </si>
  <si>
    <t>Arch coal</t>
  </si>
  <si>
    <t>P1) great fundamentals P2) construction C1) commodity supercycle falling? C2) size?</t>
  </si>
  <si>
    <t>Diageo plc (ADR)</t>
  </si>
  <si>
    <t>DEO</t>
  </si>
  <si>
    <t xml:space="preserve">Reduce leverage (Cover PLUG/CLF on short interest? ASPS/OCN temp cover on weakness, Reeval 800s-1000s DAL, 700s AIG on dip, 500s AIZ, SCL 400s long after stabilize), Add back 1200s AFSI/AAMC/RESI 300s SIAL, 100s HHC, 25s CF, 50s 1% AWH on dip, 5% CLB on dip, Add 5%-200s DVA (on dip), On new signal ~3% AIG wrt when AIG &lt; 35, Watch, research china-related shorts re-find, downloads folder, short leveraged loans, Research Arista short (article about ipo shares?), research ATEN, VRX, portfolio stop 500,000s, </t>
  </si>
  <si>
    <t>Beer!</t>
  </si>
  <si>
    <t>like btu</t>
  </si>
  <si>
    <t>Discover Financial Services</t>
  </si>
  <si>
    <t>DFS</t>
  </si>
  <si>
    <t>Financial - switch vs. axp?</t>
  </si>
  <si>
    <t>Agnico-Eagle Mines Limited (USA)</t>
  </si>
  <si>
    <t>AEM</t>
  </si>
  <si>
    <t xml:space="preserve">Reduce leverage (add 50s ASPS/ 150s OCN? add 25s CF, short 400s VALE, Reeval 800s-1000s DAL, 700s AIG on dip, 500s AIZ, SCL 400s long after stabilize), Add back 1200s AFSI/AAMC/RESI 300s SIAL, 100s HHC, 50s 1% AWH on dip, 5% CLB on dip, Add 5%-200s DVA (on dip), On new signal ~3% AIG wrt when AIG &lt; 35, Watch, research china-related shorts re-find, downloads folder, LEA, short leveraged loans, Research Arista short (article about ipo shares?), research ATEN, VRX, portfolio stop 500,000s, </t>
  </si>
  <si>
    <t>Dollar General</t>
  </si>
  <si>
    <t>DG</t>
  </si>
  <si>
    <t xml:space="preserve">Reduce leverage (add 50s ASPS/ 150s OCN? add 25s CF, short 400s VALE, Reeval 800s-1000s DAL, 700s AIG on dip, 500s AIZ, SCL 400s long after stabilize), Add back 1200s AFSI/AAMC/RESI 300s SIAL, 100s HHC, 50s 1% AWH on dip, 5% CLB on dip, Add 5%-200s DVA (on dip), research china-related shorts re-find, downloads folder, short leveraged loans, Research Arista short (article about ipo shares?), USD.HKD long? portfolio stop 500,000s, </t>
  </si>
  <si>
    <t>American Homes 4 Rent</t>
  </si>
  <si>
    <t>AMH</t>
  </si>
  <si>
    <t>Quest Diagnostics</t>
  </si>
  <si>
    <t>DGX</t>
  </si>
  <si>
    <t>P1) saturation and poor investment as single family housing rentals C1) Housing appreciation</t>
  </si>
  <si>
    <t xml:space="preserve">Reduce leverage (add 50s ASPS/ 150s OCN? add 25s CF, short 400s VALE, short 500s GLD, Reeval 800s-1000s DAL, 700s AIG on dip, 500s AIZ, SCL 400s long after stabilize), Add back 1200s AFSI/AAMC/RESI 300s SIAL, 100s HHC, 50s 1% AWH on dip, 5% CLB on dip, Add 5%-200s DVA (on dip), research china-related shorts re-find, downloads folder, short leveraged loans, Research Arista short (article about ipo shares?), USD.HKD long? short GLD? portfolio stop 500,000s, </t>
  </si>
  <si>
    <t>Laboratory testing! LH is better competitor!</t>
  </si>
  <si>
    <t>Alpha Natural Resources</t>
  </si>
  <si>
    <t>Danaher Corporation</t>
  </si>
  <si>
    <t xml:space="preserve">Reduce leverage (temp cover VJET? Reeval 800s-1000s DAL, 700s AIG on dip, 500s AIZ, SCL 400s long after stabilize), Add back 1200s AFSI/AAMC/RESI 300s SIAL, 100s HHC, 50s 1% AWH on dip, 5% CLB on dip, Add 5%-200s DVA (on dip), research china-related shorts re-find, downloads folder, short leveraged loans, Research Arista short (article about ipo shares?), USD.HKD long? short GLD? portfolio stop 500,000s, </t>
  </si>
  <si>
    <t>science tools P1) decent metrics P2) insider 4/2017, 8/2018, 8/2019</t>
  </si>
  <si>
    <t xml:space="preserve">Closed bc too volatile - already too cheap relative to thermal coal, Less than 1B business P1) "Junior" coal miner P2) bought MEE at top P3) is short dollar P4) nat gas short (substitution) P5) met coal (18% of rev) price drop from short china P6) book value @ 5B, tangible 4B, 1.5B net of development P7) FCF &lt; 0 C1) Valuation difficult, not </t>
  </si>
  <si>
    <t>Apache Corp</t>
  </si>
  <si>
    <t>APA</t>
  </si>
  <si>
    <t xml:space="preserve">Reduce leverage (temp cover PLUG/VJET? Reeval 800s-1000s DAL, 700s AIG on dip, 500s AIZ, SCL 400s long after stabilize), Add back 1200s AFSI/AAMC/RESI 300s SIAL, 100s HHC, 50s 1% AWH on dip, 5% CLB on dip, Add 5%-200s DVA (on dip), research china-related shorts re-find, downloads folder, short leveraged loans, Research Arista short (article about ipo shares?), USD.HKD long? short GLD? portfolio stop 500,000s, </t>
  </si>
  <si>
    <t xml:space="preserve">Reduce leverage (temp cover PLUG/VJET? Reeval 800s-1000s DAL, 700s AIG on dip, 500s AIZ, SCL 400s long after stabilize), Add back 1200s AFSI/AAMC/RESI 300s SIAL, 100s HHC, 50s 1% AWH on dip, 5% CLB on dip, Add 5%-200s DVA (on dip), research china-related shorts re-find, downloads folder, short leveraged loans, Research Arista short (article about ipo shares?), USD.HKD long? Research short AdvisorShares Pacific Asset Enhanced Floating Rate ETF? FLOT short? portfolio stop 500,000s, </t>
  </si>
  <si>
    <t xml:space="preserve">Reduce leverage (temp cover PLUG (borrow)/VJET? Reeval 800s-1000s DAL, 700s AIG on dip, 500s AIZ, SCL 400s long after stabilize), Add back 1200s AFSI/AAMC/RESI 300s SIAL, 100s HHC, 50s 1% AWH on dip, 5% CLB on dip, Add 5%-200s DVA (on dip), research china-related shorts re-find, downloads folder, short leveraged loans, Research Arista ANET short (article about ipo shares?), USD.HKD long? Research short AdvisorShares Pacific Asset Enhanced Floating Rate ETF? FLOT short? research short bitcoin etf per sec/winklevoss? portfolio stop 500,000s, </t>
  </si>
  <si>
    <t>Antero Resources</t>
  </si>
  <si>
    <t>AR</t>
  </si>
  <si>
    <t>UNIS</t>
  </si>
  <si>
    <t>BHP</t>
  </si>
  <si>
    <t xml:space="preserve">Reduce leverage (Short 2000s UNIS, Buy 1000s DAL, 700s AIG on dip, 100s PKG, short 800s COUP on weakness? reeval 500s AIZ, SCL 400s long after stabilize), Add back 1200s AFSI/AAMC/RESI 300s SIAL, 100s HHC, 50s 1% AWH on dip, 5% CLB on dip, Add 5%-200s DVA (on dip), research china-related shorts re-find, downloads folder, short leveraged loans, Research Arista ANET short (article about ipo shares?), USD.HKD long? Research short AdvisorShares Pacific Asset Enhanced Floating Rate ETF? FLOT short? research short bitcoin etf per sec/winklevoss? research COUP/SALE/GRPN shorts portfolio stop 500,000s, </t>
  </si>
  <si>
    <t>Target is pre-china prices, all-in cost of ~$80 1) China dependency/breakdown P2) Iron/Commods exposure C1) Balance sheet, but mostly pp&amp;e dependent on iron ore prices C2) short ratio too high C3)bloom lake and/or other foolish buyers but will only benefit debt buyers</t>
  </si>
  <si>
    <t xml:space="preserve">Reduce leverage (temp cover COUP,  PLUG on borrow cost, readd WLT on pop? Reduce IBTX? reeval 500s AIZ, SCL 400s long after stabilize), Add back 1200s AFSI/AAMC/RESI 300s SIAL, 100s HHC, 50s 1% AWH on dip, 5% CLB on dip, Add 5%-200s DVA (on dip), research china-related shorts re-find, downloads folder, short leveraged loans, Research Arista ANET short (article about ipo shares?), USD.HKD long? Research short AdvisorShares Pacific Asset Enhanced Floating Rate ETF? FLOT short? research short bitcoin etf per sec/winklevoss? research COUP/SALE/GRPN shorts portfolio stop 500,000s, </t>
  </si>
  <si>
    <t>Peabody Energy Corporation</t>
  </si>
  <si>
    <t>COUP</t>
  </si>
  <si>
    <t xml:space="preserve">Reduce leverage (short 800s CSLT, temp cover COUP,  PLUG on borrow cost, readd WLT on pop? Reduce IBTX? reeval 500s AIZ, SCL 400s long after stabilize), Add back 1200s AFSI/AAMC/RESI 300s SIAL, 100s HHC, 50s 1% AWH on dip, 5% CLB on dip, Add 5%-200s DVA (on dip), research china-related shorts re-find, downloads folder, short leveraged loans, Research Arista ANET short (article about ipo shares?), USD.HKD long? Research short AdvisorShares Pacific Asset Enhanced Floating Rate ETF? FLOT short? research short bitcoin etf per sec/winklevoss? research COUP/SALE/GRPN shorts portfolio stop 500,000s, </t>
  </si>
  <si>
    <t>Met coal prices/steel P1) China commods short and shift away from coal C1) india/other demand? but 50% of demand/supply is china check dropbox research</t>
  </si>
  <si>
    <t xml:space="preserve">Reduce leverage ( temp cover COUP,  PLUG on borrow cost, UNIS, on strong on 6/5 10:30am, readd WLT on pop?  Reduce IBTX?  reeval 500s AIZ, SCL 400s long after stabilize), Add back 1200s AFSI/AAMC/RESI 300s SIAL, 100s HHC, 50s 1% AWH on dip, 5% CLB on dip, Add 5%-200s DVA (on dip), research china-related shorts re-find, downloads folder, short leveraged loans, Research Arista ANET short (article about ipo shares?), USD.HKD long? Research short AdvisorShares Pacific Asset Enhanced Floating Rate ETF? FLOT short? research short bitcoin etf per sec/winklevoss? research COUP/SALE/GRPN shorts , Research Alibaba for...short? financial/moneymkt opsportfolio stop 500,000s, </t>
  </si>
  <si>
    <t>Disney</t>
  </si>
  <si>
    <t xml:space="preserve">Reduce leverage (watch WLT for reduce on strong pop, add 6000s-12000s on weak pop/weakness, Add 1000s CLF for short on weakness, 6%/10ks ANR, Watch 1000s/2% VALE, 2000s CSLT, 2800s VJET, 10000s/5% UNIS, 3000s PBR (after election?), 8000s/6% PLUG, 900s/5% COUP,  for reshort (on pop)/weakness, Buy 350s MPC on dip?  reeval 500s AIZ, SCL 400s long after stabilize), Add back 1200s AFSI/AAMC/RESI 300s SIAL, 100s HHC, 50s 1% AWH on dip, 5% CLB on dip, Add 5%-200s DVA (on dip), research china-related shorts re-find, downloads folder, short leveraged loans, Research Arista ANET short (article about ipo shares?), USD.HKD long? Research short AdvisorShares Pacific Asset Enhanced Floating Rate ETF? FLOT short? research short bitcoin etf per sec/winklevoss? research COUP/SALE/GRPN shorts , Research Alibaba for...short? financial/moneymkt ops, ANET, portfolio stop 500,000s, </t>
  </si>
  <si>
    <t xml:space="preserve">entertainment provider, movies &amp; large market share of content P1) insider 8/2017 P2) streaming </t>
  </si>
  <si>
    <t xml:space="preserve">Reduce leverage (watch WLT for reduce on strong pop, add 6000s on weak pop/weakness, Add 2000s CLF for short on weakness, Reshort 3-5000s CSLT, 6%/10ks ANR, Watch 1000s/2% VALE, 2000s CSLT, 2800s VJET, 10000s/5% UNIS, 3000s PBR (after election?), 8000s/6% PLUG, 900s/5% COUP,  for reshort (on pop)/weakness, reeval 500s AIZ, SCL 400s long after stabilize), Add back 1200s AFSI/AAMC/RESI 300s SIAL, 100s HHC, 50s 1% AWH on dip, 5% CLB on dip, Add 5%-200s DVA (on dip), research china-related shorts re-find, downloads folder, short leveraged loans, Research Arista ANET short (article about ipo shares?), USD.HKD long? Research short AdvisorShares Pacific Asset Enhanced Floating Rate ETF? FLOT short? research short bitcoin etf per sec/winklevoss? research COUP/SALE/GRPN shorts , Research Alibaba for...short? financial/moneymkt ops, ANET, portfolio stop 500,000s, </t>
  </si>
  <si>
    <t xml:space="preserve">Reduce leverage (Reduce GLD/ABX on &gt;10:30am pop, Add 6000s CLF for short on weakness, watch WLT for reduce on strong pop, add 6000s on weak pop/weakness, Reshort 3-5000s CSLT on weakness, Watch 2800s VJET, 10000s/5% UNIS, 3000s PBR (after election?), 8000s/6% PLUG, 900s/5% COUP,  for reshort (on pop)/weakness, reeval 500s AIZ, SCL 400s long after stabilize), Add back 1200s AFSI/AAMC/RESI 300s SIAL, 100s HHC, 50s 1% AWH on dip, 5% CLB on dip, Add 5%-200s DVA (on dip), research china-related shorts re-find, downloads folder, short leveraged loans, Research Arista ANET short (article about ipo shares?), USD.HKD long? Research short AdvisorShares Pacific Asset Enhanced Floating Rate ETF? FLOT short? research short bitcoin etf per sec/winklevoss? research COUP/SALE/GRPN shorts , Research Alibaba for...short? financial/moneymkt ops, ANET, portfolio stop 500,000s, </t>
  </si>
  <si>
    <t xml:space="preserve">Reduce leverage (Close ANR, CSLT on strong open 6/13, Reduce VALE, WLT, CLF?, VALE, to 5% on strong open 6/13 &gt;10:30am, Watch CLF short add,  buy back MPC 350s on stabilize, reduce positions, reshort 3000s PBR (after election?) Watch 2800s VJET, 10000s/5% UNIS, , 8000s/6% PLUG, 900s/5% COUP,  for reshort (on pop)/weakness, reeval 500s AIZ, SCL 400s long after stabilize), Add back 1200s AFSI/AAMC/RESI 300s SIAL, 100s HHC, 50s 1% AWH on dip, 5% CLB on dip, Add 5%-200s DVA (on dip), research china-related shorts re-find, downloads folder, short leveraged loans, Research Arista ANET short (article about ipo shares?), USD.HKD long? Research short AdvisorShares Pacific Asset Enhanced Floating Rate ETF? FLOT short? research short bitcoin etf per sec/winklevoss? , Research Alibaba for...short? financial/moneymkt ops, portfolio stop 500,000s, </t>
  </si>
  <si>
    <t>Chesapeake Energy</t>
  </si>
  <si>
    <t>CHK</t>
  </si>
  <si>
    <t xml:space="preserve">short gas P1) more levered version of CNX C1) but has lower cost due to suppliers? </t>
  </si>
  <si>
    <t>Cliffs Natural Resources Inc</t>
  </si>
  <si>
    <t xml:space="preserve">Reduce leverage (Reset: short 5% CLF/WLT/VALE/CSLT on big pop/weakness, add WLT/CLF on weakness, reduce IBTX on pop), research china-related shorts re-find, downloads folder, short leveraged loans, Research Arista ANET short (article about ipo shares?), USD.HKD long? Research short AdvisorShares Pacific Asset Enhanced Floating Rate ETF? FLOT short? research short bitcoin etf per sec/winklevoss? , Research Alibaba for...short? financial/moneymkt ops, portfolio stop 500,000s, </t>
  </si>
  <si>
    <t>Continential Resources</t>
  </si>
  <si>
    <t>CLR</t>
  </si>
  <si>
    <t>Target @ 2009 levels, Oil reduction/selling bc of opec/russia P1) capex++ P2) no oil hedge P3) divorce C1) low cost of production @ 50s? C2) oil spike? C3) okay assets in bakken C4) power to push servicing prices lower?</t>
  </si>
  <si>
    <t>Consol Energy</t>
  </si>
  <si>
    <t>short coal, nat gas (even liquids) P1) neg fcf P2) chanos short P3) china demand weakness P4) oversupply C1) nat gas rev growth</t>
  </si>
  <si>
    <t>Coupons.com</t>
  </si>
  <si>
    <t xml:space="preserve">P1) poor financials P2) should be like groupon P3) customer power P4) many competitors P5) COUP stock buybacks from execs, exec departures, C1) insider buying @ $17 5/2014 </t>
  </si>
  <si>
    <t xml:space="preserve">Reduce leverage (Cover extra CLF/WLT if not down day &gt;10:30am 6/17, Add 100s IBTX, Rebuy 25s UHAL/25s CF/350s MPC/1000s DAL/700s AIG on strength, Reshort COUP/PLUG on weakness and low borrow? short VRX?? add IBTX &lt;52), research china-related shorts re-find, downloads folder, short leveraged loans, Research Arista ANET short (article about ipo shares?), USD.HKD long? Research short AdvisorShares Pacific Asset Enhanced Floating Rate ETF? FLOT short? research short bitcoin etf per sec/winklevoss? , Research Alibaba for...short? financial/moneymkt ops, TDG, portfolio stop 500,000s, </t>
  </si>
  <si>
    <t>SalesForce</t>
  </si>
  <si>
    <t>val = 400mm fcf * 15 = 6B, Price volatile, wait for further price break + weak up trend P1) Rev slowdown? P2) overmarketed? Not a good co P3) vic writeup- increasing salesforce/invoice lengths + revenue recognition? (new "being provided" lanaguage P4) increasing compeition from oracle etc C1) strong fcf C2) okay industry? C3) industry leader?</t>
  </si>
  <si>
    <t>Contura Energy</t>
  </si>
  <si>
    <t>Dolby Laboratories, Inc</t>
  </si>
  <si>
    <t>DLB</t>
  </si>
  <si>
    <t>P1) Luxury sound for recovery!</t>
  </si>
  <si>
    <t>Dollar Tree, Inc.</t>
  </si>
  <si>
    <t xml:space="preserve">Reduce leverage (Cover extra CLF/WLT if not down day &gt;3:30pm 6/18, Reshort 1100s COUP 6/18 /PLUG on weakness and low borrow?  add IBTX &lt;52), research china-related shorts re-find, downloads folder, short leveraged loans, Research Arista ANET short (article about ipo shares?), USD.HKD long? Research short AdvisorShares Pacific Asset Enhanced Floating Rate ETF? FLOT short? research short bitcoin etf per sec/winklevoss? , Research Alibaba for...short? financial/moneymkt ops, TDG, portfolio stop 500,000s, </t>
  </si>
  <si>
    <t>coal, just like btu with poor gross margins but is Met Coal, check trading economics?</t>
  </si>
  <si>
    <t xml:space="preserve">Reduce leverage (Cover ANR, add 500s PKG, IBTX &lt; 52, readd 4000s WLT/1500s CLF/1000s VALE on new signal but wait ), research china-related shorts re-find, downloads folder, short leveraged loans, Research Arista ANET short (article about ipo shares?), USD.HKD long? Research short AdvisorShares Pacific Asset Enhanced Floating Rate ETF? FLOT short? research short bitcoin etf per sec/winklevoss? , Research Alibaba for...short? financial/moneymkt ops, TDG, portfolio stop 500,000s, </t>
  </si>
  <si>
    <t>dollar store valued @ normalized earnings=5, stop as C1) P1) Consumer remain trading down P2) Insider buying 9/2015 C1) trading down over?, growth gone</t>
  </si>
  <si>
    <t>Dorman</t>
  </si>
  <si>
    <t>DORM</t>
  </si>
  <si>
    <t>supplier for auto aftermarket P1) good roa C1) cyclical</t>
  </si>
  <si>
    <t xml:space="preserve">Reduce leverage (Readd short 7000s7% WLT/3000s8% CLF/4000s9% VALE/1500s8% GDX/2500s7% CSLT/ on open 6/20 unless up day, readd 1000s DAL on new sig/dip as wellReduce (ASPS &lt;110/OCN &lt;37), IBTX &lt; 52, ), research china-related shorts re-find, downloads folder, short leveraged loans, Research Arista ANET short (article about ipo shares?), USD.HKD long? Research short AdvisorShares Pacific Asset Enhanced Floating Rate ETF? FLOT short? research short bitcoin etf per sec/winklevoss? , Research Alibaba for...short? financial/moneymkt ops, TDG, portfolio stop 500,000s, </t>
  </si>
  <si>
    <t>Dover Corp</t>
  </si>
  <si>
    <t>DOV</t>
  </si>
  <si>
    <t>conglomerate manufacturer P1) good metrics C1) growth/complexity? C2) volatile earnings C3) too dependent on long oil</t>
  </si>
  <si>
    <t>Domino's Pizza</t>
  </si>
  <si>
    <t xml:space="preserve">Reduce leverage (Readd short 8000s8% WLT//2500sx27% CSLToroptions/500s CLF on open 6/21 unless up day, /dip as wellReduce (ASPS &lt;110/OCN &lt;37), IBTX &lt; 52, Long USD.HKD?!), research china-related shorts re-find, downloads folder, short leveraged loans, Research Arista ANET short (article about ipo shares?), USD.HKD long? Research short AdvisorShares Pacific Asset Enhanced Floating Rate ETF? FLOT short? research short bitcoin etf per sec/winklevoss? , Research Alibaba for...short? financial/moneymkt ops, TDG, portfolio stop 500,000s, </t>
  </si>
  <si>
    <t>pizza chain P1) great roa P2) insider 7/2015 c1) competition from other food delivery</t>
  </si>
  <si>
    <t xml:space="preserve">Reduce leverage (Reduce shorts by 1/2 (WLT&gt;6/CLF&gt;15/VALE&gt;14 after 10:30am 6/24)? Reshort 2500s CSLT on weakness, Stop/Reduce (ASPS &lt;110/OCN &lt;37), IBTX &lt; 52, Long USD.HKD?!), research china-related shorts re-find, downloads folder, short leveraged loans, Research Arista ANET short (article about ipo shares?), USD.HKD long? Research short AdvisorShares Pacific Asset Enhanced Floating Rate ETF? FLOT short? research short bitcoin etf per sec/winklevoss? , Research Alibaba for...short? financial/moneymkt ops, TDG, portfolio stop 500,000s, </t>
  </si>
  <si>
    <t xml:space="preserve">Reduce leverage (Stop/Reduce ASPS &lt;110/OCN &lt;37 or earlier? Add PSX (insider?) Readd 1000s CSLT on weakness?  IBTX &lt; 52, Long USD.HKD?!), research china-related shorts re-find, downloads folder, short leveraged loans, Research Arista ANET short (article about ipo shares?), USD.HKD long? Research short AdvisorShares Pacific Asset Enhanced Floating Rate ETF? FLOT short? research short bitcoin etf per sec/winklevoss? , Research Alibaba for...short? financial/moneymkt ops, TDG, portfolio stop 500,000s, </t>
  </si>
  <si>
    <t>Castlight Heathcare</t>
  </si>
  <si>
    <t>overpriced health tech w/ no advantage</t>
  </si>
  <si>
    <t xml:space="preserve">Reduce leverage (Stop/Reduce ASPS &lt;110/OCN &lt;37 or earlier? Cover 1/2 of WLT/CLF/VALE/CSLT&gt;16 on strength 6/30, Readd DAL 1000? IBTX &lt; 52, Long USD.HKD?!), research china-related shorts re-find, downloads folder, short leveraged loans, Research Arista ANET short (article about ipo shares?), USD.HKD long? Research short AdvisorShares Pacific Asset Enhanced Floating Rate ETF? FLOT short? research short bitcoin etf per sec/winklevoss? , Research Alibaba for...short? financial/moneymkt ops, portfolio stop 500,000s, </t>
  </si>
  <si>
    <t>positive on s&amp;p 500, target 80%-100% net long, max 120% long, max 40% short</t>
  </si>
  <si>
    <t>Devry, Inc</t>
  </si>
  <si>
    <t>to do 1/2 of multiple P1) smoother trend than STRA/ESI P2) for profit education poor business P3) Congressional attack P4) student churner/marketer only C1) price already moved? C2) Regionally accredited! Better than National</t>
  </si>
  <si>
    <t xml:space="preserve">Reduce leverage (Cover 1/2 of CLF/CSLT&gt;16/WLT/VALE on strength 7/1,Stop/Reduce ASPS &lt;110/OCN &lt;37 or earlier?  Readd DAL 1000? IBTX &lt; 52, Long USD.HKD?!), research china-related shorts re-find, downloads folder, short leveraged loans, Research Arista ANET short (article about ipo shares?), USD.HKD long? Research short AdvisorShares Pacific Asset Enhanced Floating Rate ETF? FLOT short? research short bitcoin etf per sec/winklevoss? , Research Alibaba for...short? financial/moneymkt ops, portfolio stop 500,000s, </t>
  </si>
  <si>
    <t>Encana</t>
  </si>
  <si>
    <t>ECA</t>
  </si>
  <si>
    <t xml:space="preserve">Reduce leverage (Stop/Reduce ASPS &lt;110/OCN &lt;36 or weakness 7/2 open, Cover 2/3 of 1500sCLF/2500sCSLT&gt;16/4000sWLT/2000sVALE on strength 7/2,  Readd DAL 1000? IBTX &lt; 52, Long USD.HKD?!), research china-related shorts re-find, downloads folder, short leveraged loans, Research Arista ANET short (article about ipo shares?), USD.HKD long? Research short AdvisorShares Pacific Asset Enhanced Floating Rate ETF? FLOT short? research short bitcoin etf per sec/winklevoss? , Research Alibaba for...short? financial/moneymkt ops, portfolio stop 500,000s, </t>
  </si>
  <si>
    <t xml:space="preserve">VIC-backed short P1) enrollment growth doesn’t match rev growth P2)SEC catalyst/investigation P3) MW report P4) slow store growth as catalyst?  C1) solid catalyst? C2) exit when acct restatement C3) china corruption too  much? C4) End valuation tough </t>
  </si>
  <si>
    <t xml:space="preserve">New Oriental Education &amp; Tech Grp </t>
  </si>
  <si>
    <t>ITT Educational Services, Inc.</t>
  </si>
  <si>
    <t>ESI</t>
  </si>
  <si>
    <t>P1) Chanos-backed short P2) Predatory govt reliant lending P3) Terrible product P4)  Regional accredation C1) cheap? C2) Final value difficult to find C3) not exactly fraud</t>
  </si>
  <si>
    <t>Ensco PLC</t>
  </si>
  <si>
    <t>ESV</t>
  </si>
  <si>
    <t>P1) Growth over, fad P2) Mgt/insider heavy selling? P3) FCF/earnings turning negative P4) VIC-write up, poor business as ad business not as good as good, mobile hurting w/ lower margins P5) acquisitions hurtful C1) name recognition? C2) fundy metrics decent (roa/roe) - not anymore as of Q2? C3) Q3 - Mobile earnings rising? C4) user moat C5) workers are happy?</t>
  </si>
  <si>
    <t>Freeport Mcmaron</t>
  </si>
  <si>
    <t>FCX</t>
  </si>
  <si>
    <t xml:space="preserve">copper short P1) deteriorating C1) </t>
  </si>
  <si>
    <t>Fortescue Metals Group</t>
  </si>
  <si>
    <t xml:space="preserve">Reduce leverage (Rebuy 200sASPS/500sOCN on dip, Reshort 1000sCLF/1000sCSLT&gt;16/1700sWLT/1300sVALE/2000s CSLT on pop,  IBTX &lt; 52, Long USD.HKD?!), research china-related shorts re-find, downloads folder, short leveraged loans, Research Arista ANET short (article about ipo shares?), USD.HKD long? Research short AdvisorShares Pacific Asset Enhanced Floating Rate ETF? FLOT short? research short bitcoin etf per sec/winklevoss? , Research Alibaba for...short? financial/moneymkt ops, portfolio stop 500,000s, </t>
  </si>
  <si>
    <t>2.5B book val but 3B capitalized expenditure P1) 98% iron exposure-chanos short pick P2) 4.5B debt P3) Mgt believes iron price wont drop P4) 8B capex vs 6B rev in 2012 C1) lowering cost struture C2) reducing capex?</t>
  </si>
  <si>
    <t>First Solar</t>
  </si>
  <si>
    <t xml:space="preserve">Reduce leverage (Rebuy 400s6%PSX/500s7%PKG/200sASPS/500sOCN, Sell 150sAWH on pop?, Reshort 2000sCSLT on weakness, Reshort 1500sCLF/3500sWLT/2000sVALE/700sGDX/1200sPBR on pop to stop or multiple weakness,  (GCI?) on dip, IBTX &lt; 52, Long USD.HKD?!), research china-related shorts re-find, downloads folder, short leveraged loans, Research Arista ANET short (article about ipo shares?), USD.HKD long? Research short AdvisorShares Pacific Asset Enhanced Floating Rate ETF? FLOT short? research short bitcoin etf per sec/winklevoss? , Research Alibaba for...short? financial/moneymkt ops, portfolio stop 500,000s, </t>
  </si>
  <si>
    <t>short trade over, risk/reward tough</t>
  </si>
  <si>
    <t>Flotek</t>
  </si>
  <si>
    <t>FTK</t>
  </si>
  <si>
    <t>ogs provider P1) potential fraud bc app-driven sales not reliable P2) bronte catalyst</t>
  </si>
  <si>
    <t>Golar LNG</t>
  </si>
  <si>
    <t>GLNG</t>
  </si>
  <si>
    <t xml:space="preserve">Reduce leverage (Rebuy 400s6%PSX/500s7%PKG/200sASPS/500sOCN on stabilize (e.g. 7/9 &gt;10:30am),  Reshort 1500sCLF/3500sWLT/1200sPBR on pop to stop or multiple weakness (e.g. down open 7/8 &gt;10:30am), (GCI?) on dip, IBTX &lt; 52) , research china-related shorts re-find, downloads folder, short leveraged loans, Research Arista ANET short (article about ipo shares?), USD.HKD long? Research short AdvisorShares Pacific Asset Enhanced Floating Rate ETF? FLOT short? research short bitcoin etf per sec/winklevoss? , Research Alibaba for...short? financial/moneymkt ops, portfolio stop 500,000s, </t>
  </si>
  <si>
    <t>gas carrier &amp; floating gassification, short gas lng P1) levered lng differentials  C1) dividend?</t>
  </si>
  <si>
    <t>DIRECTV</t>
  </si>
  <si>
    <t>DTV</t>
  </si>
  <si>
    <t>Green Mountain Coffee Roasters Inc.</t>
  </si>
  <si>
    <t xml:space="preserve">Closed bc growth gone, only fraud left, reopened bc catalyst = legal counsel leaving?  P1) FCF &lt; 0 P2) Accounting issues/AR large growth/inventory stuffing&amp;turnover slowing P3) competition C1) Recently upward momo C2) coffee addictign </t>
  </si>
  <si>
    <t>P1) Better cable C1) Net Income not catching up w/ rev</t>
  </si>
  <si>
    <t>Gamestop</t>
  </si>
  <si>
    <t>DaVita</t>
  </si>
  <si>
    <t>GME</t>
  </si>
  <si>
    <t>Chanos connection P1) Digital distribution destroying mkt C1) Okay fundamentals?</t>
  </si>
  <si>
    <t>P1) Dialysis P2) Buffet C1) Low ROA?</t>
  </si>
  <si>
    <t>Groupon, Inc</t>
  </si>
  <si>
    <t>Dow Chemical</t>
  </si>
  <si>
    <t>DWDP</t>
  </si>
  <si>
    <t>Exited at ~1x ttm sales, 2012 May 2 lockup ends P1) bad business model C1) insiders already cashed out</t>
  </si>
  <si>
    <t>diversified chemicals P1) insider P2) omega $75 P3) cost cutting P4) improving fundies C1) size, C2) growth? C3) int'l/oil exposure but okay</t>
  </si>
  <si>
    <t>Herbalife</t>
  </si>
  <si>
    <t>eBay</t>
  </si>
  <si>
    <t>Einhorn short, china fraud? P1) ackman catalyst 0$ tgt (hlf website by ackman) P2) pyramid scheme</t>
  </si>
  <si>
    <t xml:space="preserve">Huaneng Power International </t>
  </si>
  <si>
    <t xml:space="preserve">HNP </t>
  </si>
  <si>
    <t>slower ecommerce P1) insider 1/2019 P2) ecommerce cheaper than amzn</t>
  </si>
  <si>
    <t xml:space="preserve">Reduce leverage (New add 3%100cCLF put, 2%100cVALE Jan 16 puts on pop/consoladation, Reeval PKG on weakness, CSLT on strength, Prepare to readd WLT/CLF/VALE on consolidation to weakness to 1.5-2% risk each, Rebuy 200sASPS/500sOCN on stabilize, Reshort 1200sPBR on pop to stop or multiple weakness, (GCI?) on dip, IBTX &lt; 52) , research china-related shorts re-find, downloads folder, short leveraged loans, Research Arista ANET short (article about ipo shares?), USD.HKD long? Research short AdvisorShares Pacific Asset Enhanced Floating Rate ETF? FLOT short? research short bitcoin etf per sec/winklevoss? , Research Alibaba for...short? financial/moneymkt ops, portfolio stop 500,000s, </t>
  </si>
  <si>
    <t>Hewlett Packard</t>
  </si>
  <si>
    <t>Conservative target, could be far lower, P1) Terrible management P2) Old/dying business P3) poor acquisitions C1) Decent metrics (but neg fcf after acquisitions) C2) but price to sales?!</t>
  </si>
  <si>
    <t>Intuitive Surigical</t>
  </si>
  <si>
    <t>Citron catalyst P1) bad/dangerous products P2) overselling P3) employees not happy (incorrect glassdoor) P4) hospital/healthcare cutting costs? C1) high fcf C2) lack of hard catalyst (overvalued, okay product, just pricing decrease? Hard to do when robots/automation rising)</t>
  </si>
  <si>
    <t>Kinross Gold</t>
  </si>
  <si>
    <t xml:space="preserve">Reduce leverage (Cover CSLT on pop/strength 7/14 &gt;10:30am, Reeval PKG on weakness, Prepare to readd WLT/CLF/VALE on consolidation to weakness to 1.5-2% risk each, Rebuy 200sASPS/500sOCN on stabilize) , research china-related shorts re-find, downloads folder, short leveraged loans, Research Arista ANET short (article about ipo shares?), USD.HKD long? Research short AdvisorShares Pacific Asset Enhanced Floating Rate ETF? FLOT short? research short bitcoin etf per sec/winklevoss? , Research Alibaba for...short? financial/moneymkt ops, portfolio stop 510,000s, </t>
  </si>
  <si>
    <t>P1) Bought gold mines at the top</t>
  </si>
  <si>
    <t>Kinder Morgan</t>
  </si>
  <si>
    <t>KMI</t>
  </si>
  <si>
    <t xml:space="preserve">China Life Insurance </t>
  </si>
  <si>
    <t xml:space="preserve">LFC </t>
  </si>
  <si>
    <t xml:space="preserve">Reduce leverage (Cover CSLT on strength 7/15&gt;10:30am&gt;15$, Cover PBR on strong pop? Reeval PKG on weakness, Reduce IBTX on pop?Prepare to readd WLT/CLF/VALE on consolidation to weakness to 1.5-2% risk each, Research AA) , research china-related shorts re-find, downloads folder, short leveraged loans, Research Arista ANET short (article about ipo shares?), USD.HKD long? Research short AdvisorShares Pacific Asset Enhanced Floating Rate ETF? FLOT short? research short bitcoin etf per sec/winklevoss? , Research Alibaba for...short? financial/moneymkt ops, portfolio stop 510,000s, </t>
  </si>
  <si>
    <t>positive on s&amp;p 500 for 2015, target 80%-100% net long, max 120% long, max 40% short (mostly china), gross 150% max</t>
  </si>
  <si>
    <t>Lumber Liquidators</t>
  </si>
  <si>
    <t>LL</t>
  </si>
  <si>
    <t>eia report, kase, 60 minutes P1) illegal cancer-causing wood liability C1) too late?</t>
  </si>
  <si>
    <t>Cheniere Energy</t>
  </si>
  <si>
    <t>LNG</t>
  </si>
  <si>
    <t>lng export/arbitrage P1) lng demand decreasing C1) contracts 20 yr?</t>
  </si>
  <si>
    <t>Martin Marietta Materials</t>
  </si>
  <si>
    <t xml:space="preserve">Reduce leverage (Buy back 700sAIG/400sPSX/500sPKG/1000sDAL, Reduce IBTX on pop?  Research AA) , research china-related shorts re-find, downloads folder, short leveraged loans, Research Arista ANET short (article about ipo shares?), USD.HKD long? Research short AdvisorShares Pacific Asset Enhanced Floating Rate ETF? FLOT short? research short bitcoin etf per sec/winklevoss? , Research Alibaba for...short? financial/moneymkt ops, portfolio stop 510,000s, </t>
  </si>
  <si>
    <t>P1) Govt Subsidies ending P2) CEO egomanic from prev merger C1) smoking gun? C1) not sure of fraud optionality</t>
  </si>
  <si>
    <t>Melco Crown Entertainment Ltd</t>
  </si>
  <si>
    <t>MLCO</t>
  </si>
  <si>
    <t>macau casino P1) increasing supply of casinosP2) decreasing demand from china, P3) levered bet on chinese consumer (neg fcf) as of 2015 P2) growing competition/supply C1) chinese consumer?</t>
  </si>
  <si>
    <t>National Bank of Greece (ADR)</t>
  </si>
  <si>
    <t>NBG</t>
  </si>
  <si>
    <t>Netflix, Inc.</t>
  </si>
  <si>
    <t>CEO incompetence + Cost explosion bc of content owners C1) still okay fundamental metrics</t>
  </si>
  <si>
    <t>Novagold</t>
  </si>
  <si>
    <t>NG</t>
  </si>
  <si>
    <t xml:space="preserve">Reduce leverage (Cover 3500sWLT/1500sCLF/2000sVALE on strong open 7/21 &gt;10:30am, Rebuy 200sIBTX on stabilize, 400sPSX/1000sDAL) , research china-related shorts re-find, downloads folder, short leveraged loans, Research Arista ANET short (article about ipo shares?), USD.HKD long? Research short AdvisorShares Pacific Asset Enhanced Floating Rate ETF? FLOT short? research short bitcoin etf per sec/winklevoss? , Research Alibaba for...short? financial/moneymkt ops, portfolio stop 510,000s, </t>
  </si>
  <si>
    <t>Same as KGC</t>
  </si>
  <si>
    <t>Northern Oil &amp; Gas, Inc.</t>
  </si>
  <si>
    <t>NOG</t>
  </si>
  <si>
    <t>`</t>
  </si>
  <si>
    <t>oil gas fraud P1) bronte catalyst P2) fraud accountants C1) leverage</t>
  </si>
  <si>
    <t xml:space="preserve">Reduce leverage (Cover 3500sWLT/1500sCLF/2000sVALE on strong open 7/21 &gt;10:30am, Close LUV on weakness, Rebuy 200sIBTX on stabilize) , research china-related shorts re-find, downloads folder, short leveraged loans, USD.HKD long? Research short AdvisorShares Pacific Asset Enhanced Floating Rate ETF? FLOT short? research short bitcoin etf per sec/winklevoss? , Research Alibaba for...short? financial/moneymkt ops, research MCO, portfolio stop 510,000s, </t>
  </si>
  <si>
    <t>ServiceNow</t>
  </si>
  <si>
    <t xml:space="preserve">Exit bc help desk mkt okay, still IT/SAAS, P1) VIC-writeup 40x ttm sales, $4B market size P2) insider selling P3) S-1 registration for new selling on 10/31/2012? C1) catalyst/growth? C2) SAAS-like stickiness? </t>
  </si>
  <si>
    <t>Nu Skin Enterprises</t>
  </si>
  <si>
    <t xml:space="preserve">Reduce leverage (Close LUV on weakness) , research china-related shorts re-find, downloads folder, short leveraged loans, USD.HKD long? Research short AdvisorShares Pacific Asset Enhanced Floating Rate ETF? FLOT short? research short bitcoin etf per sec/winklevoss? , Research Alibaba for...short? financial/moneymkt ops, research MCO, portfolio stop 510,000s, </t>
  </si>
  <si>
    <t>Exit bc not necessarily declining industry, Target pre-2008 levels, P1) Citron catalyst - Breaking china MLM law, actually MLM (fraud-like) P2) Smoking gun of interview w/Pyramid (Citron) P3) Dependent on china P4) hlf catalyst C1) Dependent on China law C2) making $ otherwise</t>
  </si>
  <si>
    <t>Pandora</t>
  </si>
  <si>
    <t xml:space="preserve">Reduce leverage (Reduce AZO 2%20s on weakness &gt; 10:30am7/24, Rebuy 300sASPS/400sAIZ on strength 7/23&gt;10:30am, Rebuy 2%200s (then another 2% later) IBTX on strong open 7/23, Readd shorts on new sig weakness (low volatility), Review PKG, Close LUV on weakness, research buy 5% HLF &lt; 55, Investigate LEAF for short? Research AIZ/ASPS) , research china-related shorts re-find, downloads folder, short leveraged loans, USD.HKD long? Research short AdvisorShares Pacific Asset Enhanced Floating Rate ETF? FLOT short? research short bitcoin etf per sec/winklevoss? , Research Alibaba for...short? financial/moneymkt ops, research MCO, China property short - 3%1238, 3900, 2777, 1638, 1918, and 960, 3333, portfolio stop 510,000s, </t>
  </si>
  <si>
    <t>okay company</t>
  </si>
  <si>
    <t>Palo Alto Networks</t>
  </si>
  <si>
    <t>EBIX</t>
  </si>
  <si>
    <t>Exit bc not a bad company or industry, just overvalued, At 7.5x next year revenues, P1) Bad industry - network security? P2) NGFW not unique (anitian blog) P3) Priced at 15x ttm revs P3) Multiple secondary offerings by insiders P4) accting fy off, growth driven by marketing/sales only? C1) top holders not selling C2) employees happy (glassdoor)?</t>
  </si>
  <si>
    <t>Petrobras</t>
  </si>
  <si>
    <t xml:space="preserve">Reduce leverage (Exit 4%100sCF, Add 6%250s SNA, Rebuy 150sAWH on weakness/stabilize, Rebuy 2%200s (then another 2% later) IBTX on strong open, Readd shorts on new sig weakness (low volatility), research buy 5% HLF &lt; 55, Investigate LEAF for short? Research SNA/AIZ/ASPS) , research china-related shorts re-find, downloads folder, short leveraged loans, USD.HKD long? Research short AdvisorShares Pacific Asset Enhanced Floating Rate ETF? FLOT short? research short bitcoin etf per sec/winklevoss? , Research Alibaba for...short? financial/moneymkt ops, research MCO, China property short - 3%1238, 3900, 2777, 1638, 1918, and 960, 3333, portfolio stop 510,000s, </t>
  </si>
  <si>
    <t>Insurance exchange/software? C1) Acccounting probs (copperfield research?) C2) Acquisition/phantom growth C3) Auditor resignations</t>
  </si>
  <si>
    <t>Ecolab</t>
  </si>
  <si>
    <t>Value at below all time high P1) negative fcf, poorly run co P2) long oil P3) dollar-debt P4) chanos-catalyst C1) same as psx/ie short oil</t>
  </si>
  <si>
    <t>Pier 1 Imports</t>
  </si>
  <si>
    <t>PIR</t>
  </si>
  <si>
    <t xml:space="preserve">Reduce leverage (Exit CLF on strength after 7/29, Exit 4%100sCF on strength, Rebuy 150sAWH on weakness/stabilize, Rebuy 2%200s (then another 2% later) IBTX on strong open, research buy 5% HLF &lt; 55, Investigate LEAF for short? Research SNA/AIZ/ASPS) , research china-related shorts re-find, downloads folder, short leveraged loans, USD.HKD long? Research short AdvisorShares Pacific Asset Enhanced Floating Rate ETF? FLOT short? research short bitcoin etf per sec/winklevoss? , Research Alibaba for...short? financial/moneymkt ops, research MCO, China property short - 3%1238, 3900, 2777, 1638, 1918, and 960, 3333, portfolio stop 510,000s, </t>
  </si>
  <si>
    <t>cleaning products P1) insider buying 5/2014</t>
  </si>
  <si>
    <t>Stuck b/w price &amp; quality. Was losing $ before econ downturn</t>
  </si>
  <si>
    <t>Equifax</t>
  </si>
  <si>
    <t>Plug Power</t>
  </si>
  <si>
    <t>credit services</t>
  </si>
  <si>
    <t>valued at 10x ttm revs P1)  short for short oil/nat gas bc of cost/weight of hydrogen P2) over promotional exec P3) poor financials</t>
  </si>
  <si>
    <t>Questcor Pharmaceuticals</t>
  </si>
  <si>
    <t>Eagle Bancorp</t>
  </si>
  <si>
    <t>EGBN</t>
  </si>
  <si>
    <t>P1) Main drug isn't better than cheaper P2) Citron catalyst P3) Aetna dropping catalyst P4) insider selling @ 50s C1) need healthcare co's to wise up</t>
  </si>
  <si>
    <t>Well run regional bank P1) insider 7/2015 C1) too small?</t>
  </si>
  <si>
    <t xml:space="preserve">Qihoo 360 Technology Co Ltd </t>
  </si>
  <si>
    <t xml:space="preserve">Energen Corporation </t>
  </si>
  <si>
    <t>EGN</t>
  </si>
  <si>
    <t>P1) Rev overstatement P2) Fraud optionality? C1) borrow too tough? C2) catalyst?</t>
  </si>
  <si>
    <t>Oil &amp; Gas fluids C1) Moat?</t>
  </si>
  <si>
    <t>Royal Bank of Scotland plc</t>
  </si>
  <si>
    <t>NIC Inc.</t>
  </si>
  <si>
    <t>EGOV</t>
  </si>
  <si>
    <t>P1) terriible co earnings P2) ~60B bookval C1) Short financials trade over?</t>
  </si>
  <si>
    <t xml:space="preserve">Reduce leverage (Reeval all, research buy 5% HLF &lt; 55, Investigate LEAF for short? Research CLB, AA) , research china-related shorts re-find, downloads folder, short leveraged loans, USD.HKD long? Research short AdvisorShares Pacific Asset Enhanced Floating Rate ETF? FLOT short? research short bitcoin etf per sec/winklevoss? , Research Alibaba for...short? financial/moneymkt ops, research MCO, China property short - 3%1238, 3900, 2777, 1638, 1918, and 960, 3333, portfolio stop 510,000s, </t>
  </si>
  <si>
    <t>Rowan Companies</t>
  </si>
  <si>
    <t>RDC</t>
  </si>
  <si>
    <t>government saas</t>
  </si>
  <si>
    <t>same as SDRL</t>
  </si>
  <si>
    <t xml:space="preserve">Reduce leverage (Reduce 500sFNMAS etc.? Reeval all, research buy 6% HLF &lt; 55, Investigate LEAF for short? Research CLB, AA) , research china-related shorts re-find, downloads folder, short leveraged loans, USD.HKD long? Research short AdvisorShares Pacific Asset Enhanced Floating Rate ETF? FLOT short? research short bitcoin etf per sec/winklevoss? , Research Alibaba for...short? financial/moneymkt ops, research MCO, China property short - 3%1238, 3900, 2777, 1638, 1918, and 960, 3333, portfolio stop 510,000s, </t>
  </si>
  <si>
    <t>Elanco</t>
  </si>
  <si>
    <t>ELAN</t>
  </si>
  <si>
    <t>Renren Inc</t>
  </si>
  <si>
    <t>RENN</t>
  </si>
  <si>
    <t>&lt;6.1</t>
  </si>
  <si>
    <t>Like zts</t>
  </si>
  <si>
    <t>Rpc Inc</t>
  </si>
  <si>
    <t>Ellie Mae</t>
  </si>
  <si>
    <t>ELLI</t>
  </si>
  <si>
    <t>RES</t>
  </si>
  <si>
    <t>mortgage software</t>
  </si>
  <si>
    <t xml:space="preserve">Reduce leverage (Reeval all, Investigate LEAF for short? Research CLB, AA) , USD.HKD long? Research short AdvisorShares Pacific Asset Enhanced Floating Rate ETF? FLOT short? research short bitcoin etf per sec/winklevoss? , Research Alibaba for...short? financial/moneymkt ops, research MCO, China property short - 3%1238, 3900, 2777, 1638, 1918, and 960, 3333, portfolio stop 510,000s, </t>
  </si>
  <si>
    <t>Erie Indemnity Group</t>
  </si>
  <si>
    <t>ERIE</t>
  </si>
  <si>
    <t>insurance</t>
  </si>
  <si>
    <t>Rice Energy</t>
  </si>
  <si>
    <t>RICE</t>
  </si>
  <si>
    <t xml:space="preserve">Reduce leverage (Buy HLF 5.5% insider? CLB insider?  Exit ASPS on pop, Reeval all, Investigate LEAF for short? Research CLB, AA) , USD.HKD long? portfolio stop 510,000s, </t>
  </si>
  <si>
    <t>positive on s&amp;p 500 for 2015, target 80%-90% net long, max 90% long, max 0% short (mostly china), gross 150% max</t>
  </si>
  <si>
    <t>levered E&amp;P w nat gas, oil, ngl   C1) but does have midstream assets C2) growth?</t>
  </si>
  <si>
    <t xml:space="preserve">Reduce leverage (Monitor DLTR/APD/HLF/CLB/AIG on insider, Reeval all, Research CLB, AA) , portfolio stop 510,000s, </t>
  </si>
  <si>
    <t>Transocean</t>
  </si>
  <si>
    <t>RIG</t>
  </si>
  <si>
    <t>Macro hedge P1) spanish bank/default + recap P2) Only ~50B tangible book C1) okay company? Bounce on that?</t>
  </si>
  <si>
    <t xml:space="preserve">Reduce leverage (Monitor HLF/CLB/AIG on insider, Reeval all, Research CLB, AA) , portfolio stop 510,000s, </t>
  </si>
  <si>
    <t xml:space="preserve">Research In Motion Limited (USA) </t>
  </si>
  <si>
    <t>RIMM</t>
  </si>
  <si>
    <t xml:space="preserve">Reduce leverage (Monitor, Reeval all, Research) , portfolio stop 510,000s, </t>
  </si>
  <si>
    <t>Tang book = 6B, P1) CEO no sell P2) aapl beats it C1) too cheap</t>
  </si>
  <si>
    <t>Rio Tinto</t>
  </si>
  <si>
    <t>RIO</t>
  </si>
  <si>
    <t xml:space="preserve">Reduce leverage (Monitor, Reeval all, Readd ASPS on lawsky capitulation Research DFS, PSXP, AMT insider, CPSS? Short MLPs for writeup? ENH) , portfolio stop 510,000s, </t>
  </si>
  <si>
    <t>Banco Santander, S.A. (ADR)</t>
  </si>
  <si>
    <t xml:space="preserve">Reduce leverage (Add to FNMAS on signal, HHC &lt; 110, Add NEU now or on dip &lt; 350, Research  GPC, KEYS (november spin off of A), DFS/MA/V,  WFC, MSFT, KS, NMFC, AVT, APD, WAC/ASPS, SEE, CNV, GARS, WLKP insider, IDXX,) , portfolio stop 510,000s, </t>
  </si>
  <si>
    <t>Seadrill</t>
  </si>
  <si>
    <t>SDRL</t>
  </si>
  <si>
    <t>P1) fracking makes it outmoded P2) capex intensive, P3) fcf &lt; 0</t>
  </si>
  <si>
    <t>Sears Holdings</t>
  </si>
  <si>
    <t>SHLD</t>
  </si>
  <si>
    <t>Lampert rec C1) real estate buy? C2) possible sale?</t>
  </si>
  <si>
    <t>Sina.com</t>
  </si>
  <si>
    <t>SINA</t>
  </si>
  <si>
    <t>U.S. Silica Holdings Inc</t>
  </si>
  <si>
    <t>SLCA</t>
  </si>
  <si>
    <t xml:space="preserve">Reduce leverage (Add to FNMAS on signal, HHC &lt; 110, Add NEU now or on dip &lt; 350, MKL &lt; 600, Research KEYS (november spin off of A), DFS/MA/V,  WFC, MSFT, APD, WAC/ASPS, SEE, WLKP insider, IDXX, GPC,) , portfolio stop 510,000s, </t>
  </si>
  <si>
    <t>Sallie Mae</t>
  </si>
  <si>
    <t>SLM</t>
  </si>
  <si>
    <t xml:space="preserve">Reduce leverage (Watch/reduce 1ks FNMAS/FMCKJ? Add 150s HHC &lt; 110, Add NEU 15s now or on dip &lt; 350, 10s MKL &lt; 600, Add 300s1.5%AWH/200sVOYA/100sAIG on dip, Research HLF on strength, KEYS (november spin off of A), DFS/MA/V,  WFC, MSFT, APD, ASPS later on strength, WLKP insider, IDXX, GPC, TRUE insider, LUV,) , portfolio stop 510,000s, </t>
  </si>
  <si>
    <t>Student loans</t>
  </si>
  <si>
    <t>Sterlite Industries India Limited (ADR)</t>
  </si>
  <si>
    <t>SLT</t>
  </si>
  <si>
    <t xml:space="preserve">Reduce leverage (Watch/readd 500s-1k FNMAS/FMCKJ on new sig, Add 150s HHC &lt; 110, Add NEU 15s now or on dip &lt; 350, 10s MKL &lt; 600, Add 300s1.5%AWH/200sVOYA/100sAIG on dip, ASPS later on strength, KEYS (november spin off of A), DFS/MA/V,  WFC, MSFT, APD, WLKP insider, IDXX, GPC, TRUE insider, LUV, GNC insider) , portfolio stop 510,000s, </t>
  </si>
  <si>
    <t>P1) short copper C1) too micro for a macro trade C2) still profitable</t>
  </si>
  <si>
    <t>Splunk</t>
  </si>
  <si>
    <t>Exit bc growing/disruptive industry in big data, okay co. Target price at 2-3x ttm sales P1) insider selling/secondary offering just for insiders on purpose, so early after ipo P2) Glassdoor P3) Buckley Cap Cataylst P4) New entrants into big data P5) Maintenance rev is very low 1yr from 10Q for perpetual license C1) Big data growth C2) risk is acquisition by hpq etc C3) is in growth industry</t>
  </si>
  <si>
    <t xml:space="preserve">Suntech Power </t>
  </si>
  <si>
    <t xml:space="preserve">STP </t>
  </si>
  <si>
    <t>C1) Too late to trade?</t>
  </si>
  <si>
    <t>Strayer University</t>
  </si>
  <si>
    <t>STRA</t>
  </si>
  <si>
    <t xml:space="preserve">Reduce leverage (Watch/readd 500s-1k FNMAS/FMCKJ on new sig, Add 150s HHC &lt; 110, Add NEU 15s now or on dip &lt; 350, 10s MKL &lt; 600, Add 300s1.5%AWH/200sVOYA/100sAIG on dip, ASPS later on strength, KEYS (november spin off of A), DFS/MA/V,  WFC, MSFT, APD, WLKP insider, IDXX, GPC, TRUE insider, LUV, GNC insider, MGPI insider?) , portfolio stop 510,000s, </t>
  </si>
  <si>
    <t xml:space="preserve">P1) Short for profit P2) okay chart? </t>
  </si>
  <si>
    <t>Sunedison</t>
  </si>
  <si>
    <t>SUNE</t>
  </si>
  <si>
    <t xml:space="preserve">Reduce leverage (Reduce 1% PSX? Watch/readd 500s-1k FNMAS/FMCKJ on new sig, Add 150s HHC &lt; 110, Add NEU 15s now or on dip &lt; 350, 10s MKL &lt; 600, Add 300s1.5%AWH/200sVOYA/100sAIG/100sPKG on dip, AFSI 6% insider, ASPS later on strength, KEYS (november spin off of A), DFS/MA/V,  WFC, MSFT, APD, insider, IDXX, TRUE insider, GNC insider, DMD, SCCO) , portfolio stop 510,000s, </t>
  </si>
  <si>
    <t>Enstar Group</t>
  </si>
  <si>
    <t>ESGR</t>
  </si>
  <si>
    <t>Insurance runoff books P1) good/maturing co? P2) some insider buying C1) declining roa C2) negative op cash flow</t>
  </si>
  <si>
    <t>solar + debt</t>
  </si>
  <si>
    <t>Esterline</t>
  </si>
  <si>
    <t>Southwestern Energy</t>
  </si>
  <si>
    <t>SWN</t>
  </si>
  <si>
    <t xml:space="preserve">Reduce leverage (Reduce ? Add 300s1.5%AWH, 5%APD, Watch/readd 500s-1k FNMAS/FMCKJ on new sig, Add 150s HHC &lt; 110, Add NEU 15s now or on dip &lt; 350, 10s MKL &lt; 600, Add 200sVOYA/100sAIG on dip, ASPS later on strength, KEYS (november spin off of A), DFS/MA/V,  WFC, MSFT, APD insider, IDXX, TRUE insider, GNC insider, DMD, SCCO) , portfolio stop 510,000s, </t>
  </si>
  <si>
    <t>P1) mission critical tech for govt P2) insider buyign 12/2013</t>
  </si>
  <si>
    <t>same as AR nat gas short</t>
  </si>
  <si>
    <t>Express Scripts, Inc.</t>
  </si>
  <si>
    <t>Teck Resources</t>
  </si>
  <si>
    <t>TCK</t>
  </si>
  <si>
    <t>coal 50%, ~25% copper short for china</t>
  </si>
  <si>
    <t>P1) Baby boomers P2) negotiator for medical plans P3) insider buying April 2013, C1) dispute w/ WAG? C2) growth? C3) too big?</t>
  </si>
  <si>
    <t xml:space="preserve">Reduce leverage (Reduce overall!  Watch/readd 500s-1k FNMAS/FMCKJ on new sig, Add 150s HHC &lt; 110, Add NEU 15s now or on dip &lt; 350, 10s MKL &lt; 600, Add 200sVOYA/100sAIG on dip, ASPS later on strength, KEYS (november spin off of A), DFS/MA/V,  WFC, MSFT, APD insider, IDXX, TRUE insider, DMD, TDG?) , portfolio stop 510,000s, </t>
  </si>
  <si>
    <t xml:space="preserve">Talisman Energy </t>
  </si>
  <si>
    <t>TLM</t>
  </si>
  <si>
    <t>Etsy</t>
  </si>
  <si>
    <t>Oil sands P1) high cost of production, priced out of market P2) neg fcf C1) already too low relative book? esp rel to gas assets C2) mostly nat gas exposure? C3) buyout by Repsol</t>
  </si>
  <si>
    <t>LABL</t>
  </si>
  <si>
    <t>Retail niche</t>
  </si>
  <si>
    <t>Trina Solar</t>
  </si>
  <si>
    <t>TSL</t>
  </si>
  <si>
    <t xml:space="preserve">Reduce leverage (Reduce overall, HLF on weak open Wed&gt; 10:30am!  Watch/readd 500s-1k FNMAS/FMCKJ on new sig, Add 150s HHC &lt; 110, Add NEU 15s now or on dip &lt; 350, 10s MKL &lt; 600, Add 200sVOYA/100sAIG on dip, ASPS later on strength, KEYS (november spin off of A), DFS/MA/V,  WFC, MSFT, APD insider, IDXX, TRUE insider, DMD, TDG?) , portfolio stop 510,000s, </t>
  </si>
  <si>
    <t>Edwards Lifesciences</t>
  </si>
  <si>
    <t>Tesla</t>
  </si>
  <si>
    <t>P1) heart valves P2) insider 5/2016 though only new director</t>
  </si>
  <si>
    <t xml:space="preserve">Reduce leverage (Reduce overall! Watch/readd 500s-1k FNMAS/FMCKJ/FNMA/FMCC on new sig or slow strength 8/28 &gt;10:30am, Add 150s HHC &lt; 110, Add NEU 15s now or on dip &lt; 350, 10s MKL &lt; 600, Add 200sVOYA/100sAIG on dip, ASPS later on strength, KEYS (november spin off of A), DFS/MA/V,  WFC, MSFT, APD insider, IDXX, TRUE insider, DMD, TDG? ITW) , portfolio stop 510,000s, </t>
  </si>
  <si>
    <t>Expeditors International</t>
  </si>
  <si>
    <t>EXPD</t>
  </si>
  <si>
    <t>Levered eletric cars P1) musk poor mgr C1) electricity is next gen</t>
  </si>
  <si>
    <t xml:space="preserve">Reduce leverage Reduce overall! ? Watch/readd 500s-1k FNMAS/FMCKJ/FNMA/FMCC on new sig or slow strength 9/2 &gt;10:30am, Add 150s HHC &lt; 110, Add NEU 15s now or on dip &lt; 350, 10s MKL &lt; 600, Add 200sVOYA/100sAIG on dip, ASPS later on strength, KEYS (november spin off of A), DFS/MA/V,  WFC, MSFT, APD insider, IDXX, TRUE insider, DMD, TDG? ITW research) , portfolio stop 510,000s, </t>
  </si>
  <si>
    <t>int'l trade</t>
  </si>
  <si>
    <t xml:space="preserve">Reduce leverage (Reduce overall (NEU15-30s/APD on weakness)! Watch/readd 500s-1k FNMAS/FMCKJ/FNMA/FMCC on new sig or slow strength 9/2 &gt;10:30am, Add 150s HHC &lt; 110, Add NEU 15s now or on dip &lt; 350, 10s MKL &lt; 600, Add 200sVOYA/100sAIG on dip, Add DFS? ASPS later on strength, KEYS (november spin off of A), /MA/V,  WFC, MSFT, APD insider, IDXX, TRUE insider, IBTX) , portfolio stop 510,000s, </t>
  </si>
  <si>
    <t>Expedia Inc.</t>
  </si>
  <si>
    <t>EXPE</t>
  </si>
  <si>
    <t xml:space="preserve">Reduce leverage Reduce overall (NEU15-30s/APD on weakness)! Add AZO 15s now or on dip &lt; 530, Watch/readd 500s-1k FNMAS/FMCKJ/FNMA/FMCC on new sig or slow strength 9/2 &gt;10:30am, Add 150s HHC &lt; 110, 10s MKL &lt; 600, Add 200sVOYA/100sAIG on dip, Add DFS? ASPS later on strength, KEYS (november spin off of A), /MA/V,  WFC, MSFT, APD insider, IDXX, TRUE insider, IBTX) , portfolio stop 510,000s, </t>
  </si>
  <si>
    <t>P1) Travel boom P2) benefit from PCLN less</t>
  </si>
  <si>
    <t>EZCORP Inc</t>
  </si>
  <si>
    <t>EZPW</t>
  </si>
  <si>
    <t>P1) low-end buying C1) insider selling</t>
  </si>
  <si>
    <t xml:space="preserve">Reduce overall (sell HLF on weakness 9/3 &gt;10:30am, APD on weakness! Watch/readd 500s-1k FNMAS/FMCKJ/FNMA/FMCC on new sig or slow strength 9/2 &gt;10:30am, Add 150s HHC &lt; 110, 10s MKL &lt; 600, Add 200sVOYA/100sAIG on dip, Add DFS? ASPS later on strength, KEYS (november spin off of A), /MA/V,  WFC, MSFT, APD insider, IDXX, TRUE insider, IBTX) , portfolio stop 510,000s, </t>
  </si>
  <si>
    <t>Fastenal</t>
  </si>
  <si>
    <t>FAST</t>
  </si>
  <si>
    <t xml:space="preserve">Reduce overall (sell HLF on weakness 9/4 &gt;10:30am)! Add 150s HHC &lt; 110, 10s MKL &lt; 600, Add 200sVOYA/100sAIG on dip, Add DFS? ASPS later on strength, KEYS (november spin off of A), /MA/V,  WFC, MSFT, APD insider, IDXX, TRUE insider, IBTX, portfolio stop 510,000s, </t>
  </si>
  <si>
    <t>industrial distributor P1) great roa/fundies P2) insider 2/2016 C1) lack of growth C2) dependence on distributors?</t>
  </si>
  <si>
    <t>Facebook</t>
  </si>
  <si>
    <t>Demand aggregator (for advertising) per stratechery P1) best experience P2) great metrics C1) data privacy?</t>
  </si>
  <si>
    <t>First Citizens BancShares Inc</t>
  </si>
  <si>
    <t>FCNCA</t>
  </si>
  <si>
    <t>First Data Corp</t>
  </si>
  <si>
    <t>FDC</t>
  </si>
  <si>
    <t xml:space="preserve">FactSet Research Systems Inc. </t>
  </si>
  <si>
    <t>P1) Electronic market data C1) competition w/ Bloomberg</t>
  </si>
  <si>
    <t>F5 Networks, Inc.</t>
  </si>
  <si>
    <t>FFIV</t>
  </si>
  <si>
    <t>P1) Content delivery App delivery C1) competition from csco/moat? C2) don’t understand</t>
  </si>
  <si>
    <t xml:space="preserve">Reduce overall Monitor for readd: FNMAS etc. to 15% all, Add 150s HHC &lt; 110, 10s MKL &lt; 600, Add 200sVOYA/100sAIG on dip, Add DFS? ASPS later on strength, KEYS (november spin off of A), /MA/V,  WFC, MSFT, APD insider, IDXX, TRUE insider, IBTX, portfolio stop 510,000s, </t>
  </si>
  <si>
    <t>Fair Isaac</t>
  </si>
  <si>
    <t>FICO</t>
  </si>
  <si>
    <t xml:space="preserve">Monitor for readd: FNMAS etc. to 15% all, KEYS (november spin off of A), /MA/V,  WFC, MSFT, APD insider, IDXX, portfolio stop 510,000s, </t>
  </si>
  <si>
    <t>credit scoring</t>
  </si>
  <si>
    <t xml:space="preserve">Research VOYA for readd? Add 5% HLF/APD Monitor for readd: FNMAS etc. to 15% all, KEYS (november spin off of A), /MA/V,  WFC, MSFT, APD insider, IDXX, portfolio stop 510,000s, </t>
  </si>
  <si>
    <t>SYF</t>
  </si>
  <si>
    <t>Time Warner</t>
  </si>
  <si>
    <t>TWX</t>
  </si>
  <si>
    <t xml:space="preserve">Add 5% APD? Research VOYA for readd? HLF/TRUE on dip? Monitor for readd: FNMAS etc. to 15% all, KEYS (november spin off of A), /MA/V,  WFC, MSFT, TIME insider, AZZ add on dip &lt; 37, portfolio stop 510,000s, </t>
  </si>
  <si>
    <t>Travelzoo Inc.</t>
  </si>
  <si>
    <t>TZOO</t>
  </si>
  <si>
    <t>Too small</t>
  </si>
  <si>
    <t>Uber technologies</t>
  </si>
  <si>
    <t xml:space="preserve">Watch AFSI/APD for reduce, FNMAS etc. to 15% all,  Research VOYA for readd? HLF on dip? Monitor for readd: KEYS (november spin off of A), /MA/V,  WFC, MSFT portfolio stop 510,000s, </t>
  </si>
  <si>
    <t>P1) saturated P2) not profitable bc marketing req for growth and little pricing power C1) is tech platform</t>
  </si>
  <si>
    <t xml:space="preserve">Sell AFSI on pop/weakness 9/16 &gt;10:30am bc too aggressive, poor mgt/tech per glassdoor/10-k reserves, Readd PSX? watch APD for reduce, Buy FNMAS etc. to 15% total on new sig/stabilize,   Buy MIK on dip? Monitor for readd: KEYS (november spin off of A), /MA/V,  WFC, MSFT,  portfolio stop 510,000s, </t>
  </si>
  <si>
    <t xml:space="preserve">Buy FNMAS etc. to 15% total on new sig/stabilize, Add 5s 1% MKL insider? watch APD for reduce,  Buy MIK on dip? Monitor for readd: KEYS (november spin off of A), MA/V,  WFC, MSFT, research EMN, ELLI insider portfolio stop 510,000s, </t>
  </si>
  <si>
    <t xml:space="preserve">Add 200sSYF to 6%, Buy FNMAS etc. to 15% total on new sig/stabilize, Add 10s1%MKL, 10s1%AZO insider? watch APD for reduce,  Buy MIK on dip? Monitor for readd: KEYS (november spin off of A), MA/V,  WFC, MSFT, research EMN, ELLI insider, portfolio stop 510,000s, </t>
  </si>
  <si>
    <t xml:space="preserve">Buy FNMAS etc. to 15% total on new sig/stabilize, Add 10s1%MKL, 10s1%AZO insider? watch APD for reduce,  Buy MIK on dip? Monitor for readd: KEYS (november spin off of A), MA/V,  WFC, MSFT, research EMN, ELLI insider, portfolio stop 510,000s, </t>
  </si>
  <si>
    <t xml:space="preserve">Reduce FNMAS on weakness?  Buy FNMAS etc. to 15% total on new sig/stabilize, Add 10s1%MKL, 10s1%AZO insider? watch TDG/APD for reduce,  Buy 300s5%GPC on dip/500s6%FISV? Buy MIK on dip? Monitor for readd: KEYS (november spin off of A), MA/V,  WFC, MSFT, research EMN, ELLI insider, GPC insider review? FISV? portfolio stop 510,000s, </t>
  </si>
  <si>
    <t>GPC</t>
  </si>
  <si>
    <t xml:space="preserve">Watch TDG for reduce on poor mgt, Reduce FNMAS on weakness?  Buy FNMAS etc. to 15% total on new sig/stabilize,  Monitor for readd: ;KEYS (november spin off of A), MA/V,  WFC, MSFT, research EMN, ELLI insider, VRTV insider portfolio stop 510,000s, </t>
  </si>
  <si>
    <t xml:space="preserve">Watch SNA/TDG/PKG for reduce on poor mgt,  Reduce 500sFNMASetc. on weakness &gt;10:30am on 9/26;  Monitor for readd: ;KEYS (november spin off of A), MA/V,  WFC, MSFT, research EMN, ELLI insider, portfolio stop 510,000s, </t>
  </si>
  <si>
    <t xml:space="preserve">Watch SNA/TDG/PKG for reduce on poor mgt,  Reduce 500sFNMASetc. on weakness &gt;10:30am on 9/26;  Monitor for readd: ;KEYS (november spin off of A), MA/V,  WFC, MSFT, research EMN, ELLI insider, YHOO long bc less than BABA stake, portfolio stop 510,000s, </t>
  </si>
  <si>
    <t xml:space="preserve">Watch TDG/SNA,PKG for reduce on poor mgt/valuation, Add 100sLABL on dip?  Reduce 500sFNMAS etc. on weakness &gt;10:30am on 9/26;  Monitor for readd: ;KEYS (november spin off of A), MA/V,  WFC, MSFT, research EMN, ELLI insider, YHOO long bc less than BABA stake, portfolio stop 510,000s, </t>
  </si>
  <si>
    <t xml:space="preserve">Watch TDG/SNA,PKG for reduce on poor mgt/valuation, Reduce 500sFNMAS etc. on weakness &gt;10:30am on 9/30;  Monitor for readd: ; KEYS (november spin off of A), MA/V,  WFC, MSFT, research EMN, ELLI insider, YHOO long bc less than BABA stake portfolio stop 510,000s, </t>
  </si>
  <si>
    <t>Fidelity National Information Services</t>
  </si>
  <si>
    <t>Ubiquiti Networks</t>
  </si>
  <si>
    <t>UBNT</t>
  </si>
  <si>
    <t>P1) Accting? Increasing a/r P2) sales to distributors mainly/stuffing?</t>
  </si>
  <si>
    <t>P1) payment processor P2) banking backoffice p3) insider 3/2019 C1) competition from banks C2) low growth?</t>
  </si>
  <si>
    <t>Usana Health Sciences</t>
  </si>
  <si>
    <t>Value ~ book value, P1) Citron-catalyst - illegal mlm in china P2) insiders selling P3)</t>
  </si>
  <si>
    <t>Vale SA (ADR)</t>
  </si>
  <si>
    <t xml:space="preserve">All in costs ~60? Value is based on cash on balance sheet, P1) China/iron ore dependence P2) Capex P3) Chanos-largest fleet of iron ore in the world C1) FCF positive, but decreasing C2) selling assets to raise cash </t>
  </si>
  <si>
    <t xml:space="preserve">Maybe Buy 250sSNA, 400sPKG, Buy FNMASetc. after panic drop &amp; stabilize, Review sells for later re-add, Reduce SYF on weakness 10/1 &gt;10:30am, Watch overall reduce, Monitor for readd: ; KEYS (november spin off of A), MA/V,  WFC, MSFT, research EMN, research SFS, add glassdoor to rating? valuation portfolio % vs % earnings yield + 1/2 of growth %,  portfolio stop 510,000s, </t>
  </si>
  <si>
    <t>Voxeljet</t>
  </si>
  <si>
    <t xml:space="preserve">Readd 450sPKG on stabilize?, Reeval 300sGPC/250sSNA/450sFISV at lower price, Buy FNMASetc. after panic drop &amp; stabilize? Review sells for later re-add, Watch overall reduce, Monitor for readd: ; KEYS (november spin off of A), MA/V,  WFC, MSFT, research EMN, research SFS, add glassdoor to rating? lithia motors vs ABG, portfolio stop 510,000s, </t>
  </si>
  <si>
    <t>valued at 10x ttm revs</t>
  </si>
  <si>
    <t>Valeant Pharmaceuticals</t>
  </si>
  <si>
    <t>VRX</t>
  </si>
  <si>
    <t>Chanos pick? P1) terrible metrics P2) philidor+others P3) trapped longs C1) pearson not good</t>
  </si>
  <si>
    <t>VVUS, Inc.</t>
  </si>
  <si>
    <t>VVUS</t>
  </si>
  <si>
    <t xml:space="preserve">Add SYF? Buy ABG at lower price? Buy FNMASetc. after panic drop &amp; stabilize? Review sells for later re-add, Watch overall reduce, Monitor for readd: ; KEYS (november spin off of A), MA/V,  WFC, MSFT, research EMN, BRK investments/surplus ratio, portfolio stop 510,000s, </t>
  </si>
  <si>
    <t>positive on s&amp;p 500 for 2015, target 80%-90% net long, max 130% long, max 30% short (mostly china), gross 150% max</t>
  </si>
  <si>
    <t>Obesity drug w/ weak patent protection + overmarketing P1) citron report C1) only overvalued C2) self-marketing can overwhelm perceptions</t>
  </si>
  <si>
    <t>Workday, Inc.</t>
  </si>
  <si>
    <t>WDAY</t>
  </si>
  <si>
    <t>P1) overhyped?</t>
  </si>
  <si>
    <t>WeWork</t>
  </si>
  <si>
    <t>WE</t>
  </si>
  <si>
    <t>shorting pseudo tech but real-estate company</t>
  </si>
  <si>
    <t xml:space="preserve">Rebuy 500sAIG? Add FISV 1% on dip? Reshort 3%VALE1%puts/2%CLF1%puts/1%WLT on pop and slow new sig, Buy 5%APD on dip? Buy FNMASetc. after panic drop &amp; usa decides? Review sells for later re-add, Watch overall reduce, Monitor for readd: ; WFC, KEYS (november spin off of A), MA/V,   MSFT, research EMN, TRW, DOV, BRK investments/surplus ratio,  LUV, Short PBR after 10/26 runoff, portfolio stop 510,000s, </t>
  </si>
  <si>
    <t>Weatherford</t>
  </si>
  <si>
    <t>WFT</t>
  </si>
  <si>
    <t>P1) unprofitable even with okay oil P2) levered to oil, goodwill C1) oil price+ can offset?</t>
  </si>
  <si>
    <t>Westmoreland Coal</t>
  </si>
  <si>
    <t>WLB</t>
  </si>
  <si>
    <t>short coal, mlp acquirer P1) neg financials C1) too small?</t>
  </si>
  <si>
    <t>Walter Energy</t>
  </si>
  <si>
    <t>short china/coal, 666mm tangible book, 60% metallurgical/40% reg P1) Levered P2) Losing $</t>
  </si>
  <si>
    <t xml:space="preserve">REDUCE POSITIONS ONLY; Review 500sPKG/225APD/600sAIG/400sAIZ; Reshort 3%VALE1%puts/2%CLF1%puts/1%WLT on pop and slow new sig,  Buy FNMASetc. after panic drop &amp; usa decides? Monitor for readd: ; WFC, KEYS (november spin off of A), MA/V,   MSFT, research EMN, TRW, DOV, BRK investments/surplus ratio,  LUV, Short PBR after 10/26 runoff,  portfolio stop 510,000s, </t>
  </si>
  <si>
    <t>Williams Companies Inc</t>
  </si>
  <si>
    <t>WMB</t>
  </si>
  <si>
    <t>P1) competition from CMI P2) Mgt inconsistency w/ capital raises P3) neg fcf/earnings C1) catalyst? C2) hard to borrow</t>
  </si>
  <si>
    <t>Westport Innovations</t>
  </si>
  <si>
    <t>WPRT</t>
  </si>
  <si>
    <t xml:space="preserve">REDUCE POSITIONS ONLY; Monitor for readd 1%25sUHAL/ 1%15sNEU/ 1%100sFISV, Review 500sPKG/ 225APD/ 600sAIG/ 400sAIZ; Reshort 3%VALE1%puts/2%CLF1%puts/1%WLT on pop and slow new sig,  Buy FNMASetc. after panic drop &amp; usa decides? Monitor for readd: ; WFC, KEYS (november spin off of A), MA/V,   MSFT, research EMN, TRW, DOV, BRK investments/surplus ratio,  LUV, Short PBR after 10/26 runoff,  research GTIM, SCS  portfolio stop 510,000s, </t>
  </si>
  <si>
    <t>World Acceptance Corp</t>
  </si>
  <si>
    <t>WRLD</t>
  </si>
  <si>
    <t>P1) predatory lending</t>
  </si>
  <si>
    <t>Wynn Resorts1</t>
  </si>
  <si>
    <t>WYNN</t>
  </si>
  <si>
    <t>Yahoo, Inc.</t>
  </si>
  <si>
    <t>YHOO</t>
  </si>
  <si>
    <t>C1) Dying portal business model in usa C2) Terrible internal mgt/politics</t>
  </si>
  <si>
    <t>Yoku Inc</t>
  </si>
  <si>
    <t>YOKU</t>
  </si>
  <si>
    <t>okay co</t>
  </si>
  <si>
    <t>Zillow's</t>
  </si>
  <si>
    <t xml:space="preserve">Only maintain positions if strength 10/14 open, add 6%SNA/1%100sFISV, Reshort 3%VALE1%puts/2%CLF1%puts/1%WLT on pop and slow new sig/GDX/PBR,  Add FNMASetc. after panic drop &amp; usa decides? Monitor for readd: ; WFC, KEYS (november spin off of A), MA/V,   MSFT, research EMN, TRW, DOV, BRK investments/surplus ratio,  LUV, Short PBR after 10/26 runoff,  portfolio stop 510,000s, </t>
  </si>
  <si>
    <t>2012 Jan 06 lockup ends</t>
  </si>
  <si>
    <t>Fiserv, Inc.</t>
  </si>
  <si>
    <t xml:space="preserve">Zynga </t>
  </si>
  <si>
    <t>Exited at book value, ~1x ttm sales P1) Terrible no moat business dependent on facebook P2) mgt/employee culture weak C1) actually have power over facebook</t>
  </si>
  <si>
    <t>Exit bc website interest can be moat, housing still tailwind/not necessarily declining fundies, Tgt at 2x sales, P1) Citron catalyst 9/25 P2) Cold-call business model, NOT technology driven P3) insider sales &gt; earnings C1) too crowded a short</t>
  </si>
  <si>
    <t>&lt;Oil Shale/(Gas)&gt;</t>
  </si>
  <si>
    <t xml:space="preserve">fintech alternate pick at 20% of insider P1) insider buying 9/2014 P2) great metrics C1) growth? C2) bank consolidation means fewer customers? </t>
  </si>
  <si>
    <t>Too early, check back in 12/2012, maybe find water as long? 95$ upper lmt for b/e, will reduce over time</t>
  </si>
  <si>
    <t xml:space="preserve">Reduce opportunistically, add back 240sHHC &lt;115, 1%AZO, Reshort 3%VALE1%puts/2%CLF1%puts/1%WLT on pop and slow new sig/GDX/PBR,  Add FNMASetc. after panic drop &amp; usa decides? Monitor for readd: ; WFC, KEYS (november spin off of A), MA/V,   MSFT, research EMN, TRW, DOV, BRK investments/surplus ratio,  LUV, Short PBR after 10/26 runoff,   portfolio stop 510,000s, </t>
  </si>
  <si>
    <t>Fifth Third Bancorp</t>
  </si>
  <si>
    <t>FITB</t>
  </si>
  <si>
    <t>at 2x book P1) okay metrics P2) insider buying C1) moat?</t>
  </si>
  <si>
    <t>Comfort Systems USA</t>
  </si>
  <si>
    <t>hvac P1) okay metrics P2) insider buying 5, 8/2018 but only chairman? C1) moat? c2) operating leverage? c3) growth? only due to acquisitions?</t>
  </si>
  <si>
    <t xml:space="preserve">PROTECT CAPITAL/REDUCE ONLY, Add back 400sAIZ/300sVOYA, add back 240sHHC &lt;115, Reshort 3%VALE1%puts/2%CLF1%puts/1%WLT on pop and slow new sig/GDX/PBR,  Add FNMASetc. after panic drop &amp; usa decides? Monitor for readd: ; WFC, KEYS (november spin off of A), MA/V,   MSFT, research EMN, TRW, DOV, BRK investments/surplus ratio,  LUV, Short PBR after 10/26 runoff, Short oil cos? Change PKG bc china prob, targets for GPC/FISV,   portfolio stop 510,000s, </t>
  </si>
  <si>
    <t>positive on s&amp;p 500 for 2015, target 85%-95% net long, max 90% long, max 10% short (mostly china), gross 150% max</t>
  </si>
  <si>
    <t>Macro Trades</t>
  </si>
  <si>
    <t>EPS1 (WSJData/Barchart)</t>
  </si>
  <si>
    <t>AUD.USD</t>
  </si>
  <si>
    <t>Short aud/econ, catalyst lower interest rates</t>
  </si>
  <si>
    <t>China bond</t>
  </si>
  <si>
    <t>CBON</t>
  </si>
  <si>
    <t>China real estate</t>
  </si>
  <si>
    <t>FXP, TAO</t>
  </si>
  <si>
    <t>Hedged Japan etf</t>
  </si>
  <si>
    <t xml:space="preserve">PROTECT CAPITAL/REDUCE ONLY, Add 1.5%UHAL on sig, add back 240sHHC &lt;115, Reshort 4%VALE1%puts/2%CLF1%puts on next pop weakness, slow new sig/GDX/PBR,  Add FNMASetc. after panic drop &amp; usa decides? Monitor for readd: ; WFC, KEYS (november spin off of A), MA/V,   MSFT, research EMN, TRW, DOV, BRK investments/surplus ratio,  LUV, Short PBR after 10/26 runoff, Short oil cos? Change PKG bc china prob, targets for GPC/FISV,   portfolio stop 510,000s, </t>
  </si>
  <si>
    <t>60+</t>
  </si>
  <si>
    <t>Q1 2013 Abe trade P1) QE++++ C1) bad econ</t>
  </si>
  <si>
    <t>Euro debt crisis (Short EUR)</t>
  </si>
  <si>
    <t>EUO</t>
  </si>
  <si>
    <t>positive on s&amp;p 500 for 2015, target 85%-95% net long, max 100% long, max 20% short (mostly china), gross 120% max</t>
  </si>
  <si>
    <t>EUR.CHF</t>
  </si>
  <si>
    <t>Bio tech short</t>
  </si>
  <si>
    <t>IBB</t>
  </si>
  <si>
    <t>EUR.GBP</t>
  </si>
  <si>
    <t xml:space="preserve">CurrencyShares Swiss Franc Trust  </t>
  </si>
  <si>
    <t>FXF</t>
  </si>
  <si>
    <t>Long chf, short usdchf P) better econ on chf vs eur C1) fed committed to usd flattening</t>
  </si>
  <si>
    <t>Gold Fut</t>
  </si>
  <si>
    <t>Gold miners ETF</t>
  </si>
  <si>
    <t xml:space="preserve">Tougth to find target price? Short miners. Value Trap? P1) gld price fall catalyst P2) miners rehedging </t>
  </si>
  <si>
    <t xml:space="preserve">Cover shorts on strength 10/27 &gt; 10:30am, Add back 240sHHC &lt;115, ReshortCLF1%puts on next pop weakness, slow new sig/GDX,  Add FNMASetc. after panic drop &amp; usa decides? Monitor for readd: ; WFC, KEYS (november spin off of A), MA/V,   MSFT, research EMN, LUV, Short PBR after 10/26 runoff, Short oil cos: CFX, SWN   portfolio stop 510,000s, </t>
  </si>
  <si>
    <t>Gold junior miners ETF</t>
  </si>
  <si>
    <t>Juniors weaker P1) bubble formed gold price C1) money-printing? QE3 risk not worth it</t>
  </si>
  <si>
    <t>Gold</t>
  </si>
  <si>
    <t>QE3 trade?</t>
  </si>
  <si>
    <t>Gold mini</t>
  </si>
  <si>
    <t>QO</t>
  </si>
  <si>
    <t xml:space="preserve">Reduce CLF/PBR on relative strength &gt;10:30am? Add back 240sHHC &lt;115, ReshortCLF1%puts on next pop weakness, slow new sig/GDX,  Add FNMASetc. after panic drop &amp; usa decides? Monitor for readd: ; WFC, KEYS (november spin off of A), MA/V,   MSFT, research EMN, LUV, Short PBR after 10/26 runoff, Short oil cos: CFX, SWN, buy DOW insider?   portfolio stop 510,000s, </t>
  </si>
  <si>
    <t xml:space="preserve">Long Rates/Short Treasuries </t>
  </si>
  <si>
    <t>TBT</t>
  </si>
  <si>
    <t>Crude Oil (bc of Shale/OPEC)</t>
  </si>
  <si>
    <t>CL</t>
  </si>
  <si>
    <t>P1) Short oil bc of increasing supply from shale oil P2) contango P3) tgt oil &lt; 40 P4) oil cost curve @ 40-60, 500-700mln tonsexcludes usa shale, brazil, china, P5) china demand down http://www.financialsense.com/contributors/joseph-dancy/iea-shale-mirage-future-crude-oil-supply-crunch</t>
  </si>
  <si>
    <t xml:space="preserve">S&amp;P 500 </t>
  </si>
  <si>
    <t>.inx, $spx</t>
  </si>
  <si>
    <t>Silver Fut</t>
  </si>
  <si>
    <t>SI</t>
  </si>
  <si>
    <t>Silver</t>
  </si>
  <si>
    <t>more volatile than gold</t>
  </si>
  <si>
    <t>Silver Wheaton Corp</t>
  </si>
  <si>
    <t>SLW</t>
  </si>
  <si>
    <t>Undeperforms even slv</t>
  </si>
  <si>
    <t>nat gas bottom</t>
  </si>
  <si>
    <t>UNG</t>
  </si>
  <si>
    <t xml:space="preserve">Prep reshorts on pop 2500sVALE/2000s PBR/2000sCLF (watch iron ore price)~, Add back 240sHHC &lt;115, Add FNMASetc. after panic drop &amp; usa decides? Monitor for readd: ; WFC, KEYS (november spin off of A), MA/V,   MSFT, research EMN, LUV, Short PBR after 10/26 runoff, Short oil cos: CFX, SWN, buy DOW insider?   portfolio stop 510,000s, </t>
  </si>
  <si>
    <t>P1) possible bottom? C1) contango</t>
  </si>
  <si>
    <t>HKD Reeval China</t>
  </si>
  <si>
    <t>USD.HKD</t>
  </si>
  <si>
    <t>Carry negative @ IB</t>
  </si>
  <si>
    <t>Vix (short term equity correction)</t>
  </si>
  <si>
    <t>VXX</t>
  </si>
  <si>
    <t>Russian Ruble</t>
  </si>
  <si>
    <t>USD.RUB</t>
  </si>
  <si>
    <t>Iron ore (china related)</t>
  </si>
  <si>
    <t>ITI</t>
  </si>
  <si>
    <t>Priced @ 2007, P1) China construction slowdown kicker P2) large supply increase, rio bhp &lt; $20 cash cost per ton, global cost curve excludes usa, vale</t>
  </si>
  <si>
    <t xml:space="preserve">Exit CLF on strength 11/5 &gt;10:30am, Reduce PBR/VALEby500s on dip/stop, Add back 240sHHC &lt;115, Add FNMASetc. after panic drop &amp; usa decides? Monitor for readd: ; WFC, KEYS if insider?, MA/V,   MSFT, research EMN, LUV, Long USD.HKD? Short oil cos:  TLM?   portfolio stop 510,000s, </t>
  </si>
  <si>
    <t xml:space="preserve">Add back 240sHHC &lt;115, Add FNMASetc. after panic drop &amp; usa decides? Monitor for readd: WFC, KEYS if insider?, MA/V,   MSFT, research EMN, LUV, Long USD.HKD? Short oil cos:  TLM?  portfolio stop 510,000s, </t>
  </si>
  <si>
    <t>Score varies from -2 to 2</t>
  </si>
  <si>
    <t>Target = [ttm eps * (1+ 1/2min(growthrate,roe) * (15+1/2min(growthrate,roe)*100), P/B=*roe/.10 for financials or other metric in comments</t>
  </si>
  <si>
    <t>Close Price</t>
  </si>
  <si>
    <t>National Beverage</t>
  </si>
  <si>
    <t>FIZZ</t>
  </si>
  <si>
    <t>Limited Brands, Inc.</t>
  </si>
  <si>
    <t>LTD</t>
  </si>
  <si>
    <t xml:space="preserve">Buy 7% DAL on dip? Cover 500sVALE/PBR on strength, Add back 240sHHC &lt;115, Add FNMASetc. after panic drop &amp; usa decides? Monitor for readd: WFC, KEYS if insider?, MA/V,   MSFT, research EMN, LUV, Long USD.HKD? Short oil cos:  TLM?  portfolio stop 510,000s, </t>
  </si>
  <si>
    <t>positive on s&amp;p 500 for 2015, target 85%-95% net long, max 105% long, max 20% short (mostly china), gross 120% max</t>
  </si>
  <si>
    <t>flavored drinks</t>
  </si>
  <si>
    <t>Bought out; Cyclical P1) Luxury apparel?</t>
  </si>
  <si>
    <t>Freddie Mac (common)</t>
  </si>
  <si>
    <t>Sears Hometown</t>
  </si>
  <si>
    <t xml:space="preserve">Buy 7%CF125s, Buy 7% DAL on dip? Cover most of CLF/VALE/PBR on slow strength 11/10 &gt;10:30am, Add back 240sHHC &lt;115, Add FNMASetc. after panic drop &amp; usa decides? Monitor for readd: WFC, MA/V,   MSFT, research EMN, LUV, Long USD.HKD? Short oil cos: CLR, TLM, ECA/CVE, WPX, (divorce/capex), VAL insider 510,000s, </t>
  </si>
  <si>
    <t xml:space="preserve">No moat; P1) VIC-research P2) long housing (applicances) P3) Insider buying 06/2013 ~ 43 avg C1) depedence on shld? </t>
  </si>
  <si>
    <t>Audience</t>
  </si>
  <si>
    <t>Too dependent on others; Target price roughly reached, Value @ 3x sales, VIC-audio recognition P1) critical to samsung, google oems etc C1) at price? C2) dependent on acquisition? C3) High customer concentration? C4) Little mkt/pricing power</t>
  </si>
  <si>
    <t>Same as FMNA, but smaller</t>
  </si>
  <si>
    <t>American Capital Agency Corp.</t>
  </si>
  <si>
    <t>mreit P1) yield steepener C1) leverage C2) payout &gt; earnings/fcf C3) no compounding</t>
  </si>
  <si>
    <t>Freddie Mac Preferreds</t>
  </si>
  <si>
    <t>Agriculture parts, 1) huge insider buying 2) better metrics than DE C1) but insider buying indirect &amp; planned, may not be economically driven C2) ultimately determined by ag commods prices</t>
  </si>
  <si>
    <t>H.J. Heinz Company</t>
  </si>
  <si>
    <t>HNZ</t>
  </si>
  <si>
    <t xml:space="preserve">Reduce PSX/AWH on weakness, PBR on strength? Buy 7%1000sDAL on dip? Reeval CLF500s for add on slow weakness&lt;10.55&amp;lowborrow as well as 500sVALE on weak pop, Add back 240sHHC &lt;115, Add FNMASetc. after panic drop &amp; usa decides? Monitor for readd: WFC, MA/V,   MSFT, research EMN, LUV, Long USD.HKD? Short oil cos: TLM, ECA/CVE, WPX, CLR (divorce/capex), VAL insider, CBON short? insider 510,000s, </t>
  </si>
  <si>
    <t>Same as FMNAS?</t>
  </si>
  <si>
    <t>Ketchup, buffett &amp; 3g acquired</t>
  </si>
  <si>
    <t>Buffet protection, stay away</t>
  </si>
  <si>
    <t>AutoZone, Inc.</t>
  </si>
  <si>
    <t>C1) Balance Sheet neg equity</t>
  </si>
  <si>
    <t>Teavana, Inc.</t>
  </si>
  <si>
    <t>Fidelity National Financial</t>
  </si>
  <si>
    <t>FNF</t>
  </si>
  <si>
    <t>Proven wrong - truth not matter as much as motivations, 15.5$ buyout price, tgt price &lt;$10 P1) pesticide-filled coffee when marketed as healthy/pesticide-free P2) glaucus research</t>
  </si>
  <si>
    <t>Home Loan Servicing Solutions Ltd</t>
  </si>
  <si>
    <t/>
  </si>
  <si>
    <t>Title insurance + software</t>
  </si>
  <si>
    <t>Tgt from pitch 12/15/2012, P1) ASPS/OCN connection P2) Reminiscences link P3) Div growth from MSRs C1) not making money? Is now C2) Income (divs) vs growth</t>
  </si>
  <si>
    <t>Freeport-McMoRan Copper &amp; Gold</t>
  </si>
  <si>
    <t>Fannie Mae (common)</t>
  </si>
  <si>
    <t>copper C1) exposure to china</t>
  </si>
  <si>
    <t xml:space="preserve">Reduce PSX/AWH&lt;37 on weakness, CLF on strength? Buy 7%1000sDAL on dip? Reeval CLF500s for add on slow weakness&lt;10.55&amp;lowborrow as well as 500sVALE on weak pop, Add back 240sHHC &lt;115, Add FNMASetc. after panic drop &amp; usa decides? Monitor for readd: WFC, MA/V, MSFT, research EMN, LUV, Long USD.HKD? Short oil cos: TLM, ECA/CVE, WPX, CLR (divorce/capex), VAL insider, CBON short? BSX, MYL long insider 510,000s, </t>
  </si>
  <si>
    <t>Soutwestern Energy</t>
  </si>
  <si>
    <t>valued @ 20 per Ackman presentation, more risky than preferreds But USA has 80% ownership (why wouldn't monetize?)</t>
  </si>
  <si>
    <t>MYL</t>
  </si>
  <si>
    <t>BHP Billiton Limited</t>
  </si>
  <si>
    <t xml:space="preserve">Reduce CLF500s on strength&amp;high borrow, Sell 6%600sMYL on weakness, Reeval PSX6%400s for rebuy, Reduce AWH&lt;37 on weakness, Buy 7%1000sDAL?  Add back 240sHHC &lt;115, Add FNMASetc. after panic drop &amp; usa decides? Monitor for readd: WFC, MA/V,   MSFT, research EMN, LUV, Long USD.HKD? Short oil cos: TLM, ECA/CVE, WPX, CLR (divorce/capex), VAL insider, CBON short? BSX, GMT insider, long insider 510,000s, </t>
  </si>
  <si>
    <t>P1) Resources C1) Size? C2) China exposure!</t>
  </si>
  <si>
    <t>Agilent</t>
  </si>
  <si>
    <t>A</t>
  </si>
  <si>
    <t>P1) measurement C1) slowing revs?</t>
  </si>
  <si>
    <t>Altisource Asset Management</t>
  </si>
  <si>
    <t>P1) single family rentals P2) insider buying @ top on 5/15/2013 P3) lower cost basis in homes via REO/foreclosures C1) overvalued? But not based on assets owned C2) single family rental space too crowded?</t>
  </si>
  <si>
    <t>HCC Insurance</t>
  </si>
  <si>
    <t>HCC</t>
  </si>
  <si>
    <t>well run specialty insurer</t>
  </si>
  <si>
    <t>Rouse Properties</t>
  </si>
  <si>
    <t>Mall reit P1) Insider buying P2) Brookfield large 50%+ C1) okay co?, exit in 5 yrs? C2) competition from amazon for retailing!</t>
  </si>
  <si>
    <t>Sigma-Aldrich Corporation</t>
  </si>
  <si>
    <t xml:space="preserve">Reduce NEU15s on weakness? Reduce AWH300s&lt;37 on weakness, Reduce CLF500s on strength&amp;high borrow/reduce PBR&amp;VALE on strength 11/15 open? Look for reduce! Add 6%700sSTMP; Add 100s PSX/MYL?, Sell 6%600sMYL on weakness, Buy 7%1000sDAL?  Add back 240sHHC &lt;115, Add FNMASetc. after panic drop &amp; usa decides? Monitor for readd: WFC, MA/V,  MSFT, research EMN, LUV, Long USD.HKD? Short oil cos: TLM, CLR (divorce/capex), long insider 510,000s, </t>
  </si>
  <si>
    <t>positive on s&amp;p 500 for 2015, target 85%-95% net long, max 110% long, max 20% short (mostly china), gross 120% max</t>
  </si>
  <si>
    <t>P1) medical kits P2) recurring P3) insider C1) last q's growth? C2) recent growth only 10%!</t>
  </si>
  <si>
    <t>Time Warner Cable Inc</t>
  </si>
  <si>
    <t>TWC</t>
  </si>
  <si>
    <t xml:space="preserve">consolidation? P1) </t>
  </si>
  <si>
    <t>Taylor Morrison Home Corp</t>
  </si>
  <si>
    <t>Home builder P1) Insider buying C1) negative fcf C2) dependent on financing C3) Little competitive advantage</t>
  </si>
  <si>
    <t>Air Methods</t>
  </si>
  <si>
    <t>acquired P1) leader in fragmented industry P2) emergency safety premium C1) small co/not enough knowledge C2) high cost/medicare/govt not spending?</t>
  </si>
  <si>
    <t>Amsurg Corp</t>
  </si>
  <si>
    <t>AMSG</t>
  </si>
  <si>
    <t>Ambulatory centers</t>
  </si>
  <si>
    <t>AutoNation, Inc.</t>
  </si>
  <si>
    <t>AN</t>
  </si>
  <si>
    <t>used cars C1) declining revs</t>
  </si>
  <si>
    <t>American Capital Realty Partners</t>
  </si>
  <si>
    <t>ARCP</t>
  </si>
  <si>
    <t>P1) insider buying? C1) Losing money while paying dividends?</t>
  </si>
  <si>
    <t>Yahoo</t>
  </si>
  <si>
    <t>STMP</t>
  </si>
  <si>
    <t>WhiteWave</t>
  </si>
  <si>
    <t>WWAV</t>
  </si>
  <si>
    <t>Milk/coffee mostly NA P1) insider acquisitions</t>
  </si>
  <si>
    <t>Plains All American Pipeline L.P.</t>
  </si>
  <si>
    <t>PAA</t>
  </si>
  <si>
    <t xml:space="preserve">Close CLF on strength 11/18 @ open/add to VALE1%500s, Look for reduce! Buy 7%1000sDAL?  Add back 240sHHC &lt;115, Add FNMASetc. after panic drop &amp; usa decides? Monitor for readd: WFC, MA/V,   MSFT, research EMN, LUV, Long USD.HKD? Short oil cos: TLM, CLR (divorce/capex), long insider 510,000s, </t>
  </si>
  <si>
    <t>DST Systems</t>
  </si>
  <si>
    <t>DST</t>
  </si>
  <si>
    <t>sold</t>
  </si>
  <si>
    <t xml:space="preserve">Reduce PBR on strong open 11/19, Look for reduce! Buy 7%1000sDAL?  Add back 240sHHC &lt;115, Add FNMASetc. after panic drop &amp; usa decides? Monitor for readd: WFC, MA/V,   MSFT, research EMN, LUV, Long USD.HKD? Short oil cos: TLM, CLR (divorce/capex), SCL insider, THG long insider @ top,, long insider 510,000s, </t>
  </si>
  <si>
    <t xml:space="preserve">Reduce PBR/VALE on strong open 11/20, Reeval ZTS? Shorts+ on stabilze w new sig? Look for reduce! Buy 7%1000sDAL?  Add back 240sHHC &lt;115, Add FNMASetc. after panic drop &amp; usa decides? Monitor for readd: WFC, MA/V,   MSFT, research EMN, LUV, Long USD.HKD? Short oil cos: TLM, CLR (divorce/capex), SCL insider, TRV, long insider 510,000s, </t>
  </si>
  <si>
    <t>Bookings + Priceline P1) Travel C1) Killing off NYOP bad for profits/choices! C2) Europe exposure?</t>
  </si>
  <si>
    <t>P1) huge social media moat P2) great metrics</t>
  </si>
  <si>
    <t xml:space="preserve">Shorts+ on stabilze w new sig? Look for reduce (UHAL?)! Buy 7%1000sDAL?  Add back 240sHHC &lt;115, Add FNMASetc. after panic drop &amp; usa decides? Monitor for readd: WFC, MA/V,   MSFT, research EMN, LUV, Long USD.HKD? Short oil cos: TLM, CLR (divorce/capex), SCL insider, TRV, AON, RAX, long insider 510,000s, </t>
  </si>
  <si>
    <t>science tools P1) decent metrics P2) insider 4/2017</t>
  </si>
  <si>
    <t>Mobile homes P1) good roc but revs? P2) insider 5/2013, 5/2018</t>
  </si>
  <si>
    <t>Tactile Systems Technology Inc</t>
  </si>
  <si>
    <t>TCMD</t>
  </si>
  <si>
    <t>Google Inc.</t>
  </si>
  <si>
    <t>P1) Search growth/anchor P2) Mobile/Android C1) Insider/CEO mass selling? C2) Too big for growth?</t>
  </si>
  <si>
    <t>Pall Corporation</t>
  </si>
  <si>
    <t>Water! P1) insider buying 6/2013, 12/2013 P2)</t>
  </si>
  <si>
    <t>pharma arbitrage, P1) insider P2) ackman catalyst C1) debt C2) philidor related fraud? C3) mgt unaware or complicit in dubious ethics</t>
  </si>
  <si>
    <t>growth = 75% of rev growth, avged with 5x margins to get to 10% net margin P1) retailer P2) aws C1) size</t>
  </si>
  <si>
    <t>Sell</t>
  </si>
  <si>
    <t>Allied World</t>
  </si>
  <si>
    <t xml:space="preserve">Cover shorts on strength 11/25 &gt;10:30am, Shorts on stabilze w new sig/weakness? Look for reduce (UHAL?)! Buy 7%1000sDAL?  Add back 240sHHC &lt;115, Add FNMASetc. after panic drop &amp; usa decides? Monitor for readd: WFC, MA/V,   MSFT, research EMN, LUV, Long USD.HKD? HTZ insider? long insider 510,000s, </t>
  </si>
  <si>
    <t>Valued at 93 combined + 3 equities, or book*1.2 P1) Insider buying 11/2013 P2) specialty insurer moat P3) overreserved P4) IR optionality C1) sustainability? C2) competition from third party capital</t>
  </si>
  <si>
    <t>Blue Buffalo Pet Products Inc</t>
  </si>
  <si>
    <t>BUFF</t>
  </si>
  <si>
    <t>pet food P1) great fundamentals C1) insider selling 12/2017</t>
  </si>
  <si>
    <t>Buffalo Wild Wings Inc.</t>
  </si>
  <si>
    <t>P1) Wings! P2) insider 5/2015 P3) Marcato catalyst C1) Growth/Moat?</t>
  </si>
  <si>
    <t>Endurance Specialty Holdings</t>
  </si>
  <si>
    <t>ENH</t>
  </si>
  <si>
    <t>Fannie Mae Preferreds</t>
  </si>
  <si>
    <t>P/C Reinsurer valued at book *1.15 P1) huge insider buying 7/2013 C1) poor underwriting with losses?</t>
  </si>
  <si>
    <t>Green Mountain Coffee</t>
  </si>
  <si>
    <t>P1) cofee P2) insider 5/2015 C1) accouunting?</t>
  </si>
  <si>
    <t>Mead Johnson Nutrition</t>
  </si>
  <si>
    <t>MJN</t>
  </si>
  <si>
    <t>pediatric co, P1) great fundies P2) insider buy 7/2015</t>
  </si>
  <si>
    <t>Popeye's</t>
  </si>
  <si>
    <t>PLKI</t>
  </si>
  <si>
    <t>P1) special situation for govt funding P2) big part of usa mortgage guarantee system P3) fairx/perry cap lawsuit catalyst + WH catalyst 1/2019 C1) political risk ie no political will to fix C2) low roa?</t>
  </si>
  <si>
    <t>entertainment provider P1) HBO P2) other assets C1) tv disruption?</t>
  </si>
  <si>
    <t>Nationstar Mortgage Holdings Inc</t>
  </si>
  <si>
    <t xml:space="preserve"> Add 50sVALE puts on dip? Cover shorts on strength 11/25 &gt;10:30am, Shorts on stabilze w new sig/weakness? Look for reduce! Buy 7%1000sDAL?  Add back 240sHHC &lt;115, Add FNMASetc. after panic drop &amp; usa decides? Monitor for readd: WFC, MA/V,   MSFT, research EMN, LUV, Long USD.HKD? HTZ insider?long insider 510,000s, </t>
  </si>
  <si>
    <t>NSM</t>
  </si>
  <si>
    <t>Fonar</t>
  </si>
  <si>
    <t>FONR</t>
  </si>
  <si>
    <t>MRI machines P1) fantastic metrics C1) too small?</t>
  </si>
  <si>
    <t>Fox Factory Holdings</t>
  </si>
  <si>
    <t>FOXF</t>
  </si>
  <si>
    <t>P1) MSRights C1) Bad co?</t>
  </si>
  <si>
    <t>Precision Castparts Corp.</t>
  </si>
  <si>
    <t>PCP</t>
  </si>
  <si>
    <t>parts for bikes &amp; atvs P1) insider 12/2014 C1) weak 2015 results?</t>
  </si>
  <si>
    <t>10% discount due to 17% rev from ogs? P1) airplane parts P2) future growth? C1) oil &amp; gas exposure C2) writedowns but not shown upfront?</t>
  </si>
  <si>
    <t xml:space="preserve">Exit DAL on weakness 12/2, Reduce SNA50s/MKL10s? Add PBR 600s1% on slow weakness 12/1, Add 50sVALE puts on dip? Shorts on stabilze w new sig/weakness? Buy 7%1000sDAL&lt;41?  Look for reduce! Add back 240sHHC &lt;115, Add FNMASetc. after panic drop &amp; usa decides? Monitor for readd: WFC, MA/V,   MSFT, research EMN, LUV, Long USD.HKD? Short CLR? research WDFC, SNHY long insider 510,000s, </t>
  </si>
  <si>
    <t>Walgreen Company</t>
  </si>
  <si>
    <t>WAG</t>
  </si>
  <si>
    <t>Fortive</t>
  </si>
  <si>
    <t>Medicine C1) saturation? C2) too big?</t>
  </si>
  <si>
    <t>Valspar</t>
  </si>
  <si>
    <t>VAL</t>
  </si>
  <si>
    <t>sensors  P1) good fundamentals P2) insider 8/2018</t>
  </si>
  <si>
    <t>Buy</t>
  </si>
  <si>
    <t>GNC Holdings Inc</t>
  </si>
  <si>
    <t xml:space="preserve">Look for reduce! Reduce DAL on large weakness, Watch CLR short, Reduce ZTS/SNA50s?  Add 50sVALE puts on new sig? Shorts on stabilze w new sig/weakness? Add NOG short? Add back 240sHHC &lt;115, Add FNMASetc. after panic drop &amp; usa decides? Monitor for readd: WFC, MA/V,   MSFT; Research EMN, LUV, research WDFC, SNHY,  POST, VRX, insider 510,000s, </t>
  </si>
  <si>
    <t>P1) Largest Vitamins P2) Aging population P3) Young population athlete easy way C1) Moat vs ecommerce! Maybe largest C2) roa? C3) health/overuse risk?</t>
  </si>
  <si>
    <t xml:space="preserve">Covidien plc </t>
  </si>
  <si>
    <t>COV</t>
  </si>
  <si>
    <t>Spin off</t>
  </si>
  <si>
    <t>Lannett Company</t>
  </si>
  <si>
    <t>LCI</t>
  </si>
  <si>
    <t>generic/branded pills, now pain meds transferance P1) insider @ 43 C1) volatile growth? C2) price fixing accounts for price increases?!</t>
  </si>
  <si>
    <t xml:space="preserve">Rackspace Hosting, Inc. </t>
  </si>
  <si>
    <t>RAX</t>
  </si>
  <si>
    <t xml:space="preserve">Look for reduce! Watch/close DAL/CLR, Reduce ZTS/SNA50s?  Add 50sVALE puts on new sig? Shorts on stabilze w new sig/weakness? Add NOG short? Add back 240sHHC &lt;115, Add FNMASetc. after panic drop &amp; usa decides? Monitor for readd: WFC, MA/V,   MSFT; Research EMN, LUV, research WDFC, SNHY,  POST, VRX,, insider 510,000s, </t>
  </si>
  <si>
    <t>P1) Cloud computing C1) Bad co.? (ROA)</t>
  </si>
  <si>
    <t>Amtrust Financial Services, Inc.</t>
  </si>
  <si>
    <t>Valued @ book Traditional value play P1) Great metrics! ex p/b P2) insider buying 6/7/2013 but only on preferred stock P2) insider buying 12/2013 P3) Bronte piece 12/2013 C1) FCF inconsistent and essentially neg for last 3 yrs? FCF is positive, 10-k shows okay investing cash flow  C2) Moat? C3) accounting issues? See vic, p/b too high C4) growth not believable (ah, but writing long-tailed business) C5)too aggressive, poor mgt/tech per glassdoor/10-k reserves,</t>
  </si>
  <si>
    <t>Evergrande</t>
  </si>
  <si>
    <t>P1) Citron catalyst + liquidity crisis in 2012 P2) acct fraud P3) short china property</t>
  </si>
  <si>
    <t>Fushan International Energy Group Ltd.</t>
  </si>
  <si>
    <t>0639</t>
  </si>
  <si>
    <t>P1) Glaucus catalyst + coal/related party china fraud C1) non-hard catalyst + china qe</t>
  </si>
  <si>
    <t>Powerlong Real Estate Holdings Limited</t>
  </si>
  <si>
    <t>1238</t>
  </si>
  <si>
    <t>P1) property development P2) VIC forum post</t>
  </si>
  <si>
    <t>West China Cement Limited</t>
  </si>
  <si>
    <t>2233</t>
  </si>
  <si>
    <t>Closed bc of china pop/qe  P1) Glaucus catalyst + cement margin fabrication P2) $5B HKD debt overhang P3) Pyramid-like financing - 20% effective interest rate on 2008 loan?</t>
  </si>
  <si>
    <t>China Merchants Bank Co., Ltd</t>
  </si>
  <si>
    <t>3968</t>
  </si>
  <si>
    <t xml:space="preserve">Book val 188B, Short later P1) Short china loan P1) China "wealth mgt products" P2) smaller, worst performing stock P3) Forbes 2010 Chanos article, 11% of loans to LGFVsC1) no direct evid of such products </t>
  </si>
  <si>
    <t xml:space="preserve">Focus Media Holding Limited (ADR) </t>
  </si>
  <si>
    <t>FMCN</t>
  </si>
  <si>
    <t>P1) LCD china co fraud? P2) Bronte capital posts - rev per screen C1) not sure C2) china govt fraud protection</t>
  </si>
  <si>
    <t>Aetna</t>
  </si>
  <si>
    <t>AET</t>
  </si>
  <si>
    <t xml:space="preserve">Close ZTS on weakness 12/5 open, Watch/close ZTS/CLR insider for reduce, Look for reduce! Short NOG? Add 50sVALE puts on new sig? Shorts on stabilze w new sig/weakness? Add back 240sHHC &lt;115, Add FNMASetc. after panic drop &amp; usa decides? Monitor for readd: WFC, MA/V,   MSFT; Research EMN, LUV, RSX?,, insider 510,000s, </t>
  </si>
  <si>
    <t xml:space="preserve">Close PSX/MPC on big weakness 12/8 eod? Reduce VALE on strength 12/8 open? Close ZTS on weakness 12/5 open, Watch/close ZTS/CLR insider for reduce, Look for reduce! Short NOG? Add 50sVALE puts on new sig? Shorts on stabilze w new sig/weakness? Add back 240sHHC &lt;115, Add FNMASetc. after panic drop &amp; usa decides? Monitor for readd: WFC, MA/V,   MSFT; Research EMN, LUV, RSX?,, insider 510,000s, </t>
  </si>
  <si>
    <t>health insurer similar to CI P1) good metrics P2) insider 3/2016 EVP</t>
  </si>
  <si>
    <t>Safeway</t>
  </si>
  <si>
    <t>SWY</t>
  </si>
  <si>
    <t>Canadian grocery store P1) new insider buying 7/2013 C1) stagnant revs?</t>
  </si>
  <si>
    <t xml:space="preserve">iron ore tgt &lt; 30, oil tgt &lt;40;When fed raises rates to combat inflation, long gc; but currently neg on all hard commodities, exit yield-dependent equities/buy equities that benefit from rising rates, </t>
  </si>
  <si>
    <t>demand aggregator for advertising per Stratechery P1) Search growth/anchor P2) Mobile/Android C1) Insider/CEO mass selling? C2) Too big for growth?</t>
  </si>
  <si>
    <t>Ulta Salon</t>
  </si>
  <si>
    <t xml:space="preserve">Reduce/sell AWH on weakness 12/12? Sell MYL on weakness 12/12? Cover TLM on too much gas?? Reload shorts (oil &amp; iron ore) on new sig, Watch HHC140s+ for readd,  Look for reduce! Short NOG? Add 50sVALE puts on new sig? Shorts on stabilze w new sig/weakness? Add back 240sHHC &lt;115, Add FNMASetc. after panic drop &amp; usa decides? Monitor for readd: WFC, MA/V,   MSFT; Research EMN, LUV, Short china stocks, Ruble short?, insider 510,000s, </t>
  </si>
  <si>
    <t>full service salon w cosmetics P1) great metrics P2) old age P3) insider @ $200 in 8/2017 C1) slowdown in 2019</t>
  </si>
  <si>
    <t xml:space="preserve">Cover TLM on strength &gt;10:30am 12/15 or after strong dip,  Sell/reduce AWH/MYL/APD/ZTS on weakness 12/15? Reload shorts (oil &amp; iron ore) on new sig, Look for reduce! Short NOG? Add 50sVALE puts on new sig? Shorts on stabilze w new sig/weakness? Add back 240sHHC &lt;115, Add FNMASetc. after panic drop &amp; usa decides? Monitor for readd: WFC, MA/V,   MSFT; Research EMN, LUV, Short china stocks,  insider 510,000s, </t>
  </si>
  <si>
    <t>positive on s&amp;p 500 for 2015, target 85%-95% net long, max 110% long, max 20% short (mostly china), gross 150% max</t>
  </si>
  <si>
    <t xml:space="preserve">Reduce ZTS/DAL/HHC/STMP if relative weakness 12/17 post fed? Watch shorts (CLR/WFT/SDRL) for cover if strength post fed 12/17, Add 50s-100sHHCs on strength? Reload/watch shorts (oil &amp; iron ore) on new sig, Look for reduce! Short NOG? Add 50sVALE puts on new sig? Shorts on stabilze w new sig/weakness? Add back 240sHHC &lt;115, Add FNMASetc. after panic drop &amp; usa decides? Monitor for readd: see log; Research Short china stocks, DAL/airline politics? RSX/Rub? TLM after bid, CNH/chinese yuan trade/options! SPG,  M,  insider 510,000s, </t>
  </si>
  <si>
    <t>General Electric</t>
  </si>
  <si>
    <t>GE</t>
  </si>
  <si>
    <t>Industrial co transitioning from ge finance P1) 2x insider buying 4/2015 P2)</t>
  </si>
  <si>
    <t>Gilead</t>
  </si>
  <si>
    <t>hepatitis pharma P1) Insider buying 2015 P2) great metrics P3) research methods as moat C1) pricing axn from congress C2) high prices tough to sustain</t>
  </si>
  <si>
    <t>Gentex Corporation</t>
  </si>
  <si>
    <t>GNTX</t>
  </si>
  <si>
    <t>P1) Rearview mirror! C1) Moat? Deal w/ auto dealers?</t>
  </si>
  <si>
    <t xml:space="preserve">Add 50s HHC?, Reload/watch shorts ~12/26 friday eod +/- 1 day: (iron ore, VALE5ks+ CLF5ks+, long DAL 1k-1.2ks, &amp; oil PBR5ks+, CLR500s+, SDRL1.5ks+, WFT1.5ks+) on pop &amp; slow, new sig, Look for reduce! Short NOG? Add 50sVALE puts on new sig? Shorts on stabilze w new sig/weakness? Add back 240sHHC &lt;115, Add FNMASetc. after panic drop &amp; usa decides? Monitor for readd: see log; Research Short china stocks, DAL/airline politics? RSX/Rub? , CNH/chinese yuan trade/options! SPG,  M, HD, HEI,  insider 510,000s, </t>
  </si>
  <si>
    <t>Marshall Pairs</t>
  </si>
  <si>
    <t>MEE</t>
  </si>
  <si>
    <t>ACI</t>
  </si>
  <si>
    <t>NM</t>
  </si>
  <si>
    <t>EGLE</t>
  </si>
  <si>
    <t>DSX</t>
  </si>
  <si>
    <t>BAS</t>
  </si>
  <si>
    <t>SWSI</t>
  </si>
  <si>
    <t>SII</t>
  </si>
  <si>
    <t xml:space="preserve">Reload/watch shorts on slow multiday sig &gt;10:30am, or ~12/26 friday eod +/- 1 day: (iron ore, VALE5ks+ CLF5ks+, long DAL 1k-1.2ks, &amp; oil PBR5ks+, CLR500s+, SDRL1.5ks+, WFT1.5ks+) on pop &amp; slow, new sig, Look for reduce! Short NOG? Add 50sVALE puts on new sig? Shorts on stabilze w new sig/weakness? Add back 240sHHC &lt;115, Add FNMASetc. after panic drop &amp; usa decides? Monitor for readd: see log; Research Short china stocks, DAL/airline politics? RSX/Rub? , CNH/chinese yuan trade/options! SPG,  M, HD, insider 510,000s, </t>
  </si>
  <si>
    <t xml:space="preserve">    Washington Post</t>
  </si>
  <si>
    <t xml:space="preserve">    RR Donnelley</t>
  </si>
  <si>
    <t xml:space="preserve">    Game Stop</t>
  </si>
  <si>
    <t xml:space="preserve">    Pitney Bowes</t>
  </si>
  <si>
    <t xml:space="preserve">    Frontier</t>
  </si>
  <si>
    <t xml:space="preserve">    Harris</t>
  </si>
  <si>
    <t xml:space="preserve">    Avalonbay</t>
  </si>
  <si>
    <t xml:space="preserve">    Federated Investors</t>
  </si>
  <si>
    <t xml:space="preserve">    Borgwarner</t>
  </si>
  <si>
    <t xml:space="preserve">    Plum Creek Timber</t>
  </si>
  <si>
    <t xml:space="preserve">Cover shorts/extralongs on adverse move 12/24, Reload/watch shorts on slow multiday sig &gt;10:30am, or ~12/26 friday eod +/- 1 day: (iron ore, &amp; oil PBR5ks+, CLR500s+, ) on pop &amp; slow, new sig, Look for reduce! Short NOG? Add 50sVALE puts on new sig? Shorts on stabilze w new sig/weakness? Add back 240sHHC &lt;115, Add FNMASetc. after panic drop &amp; usa decides? Monitor for readd: see log; Research Short china stocks, DAL/airline politics? RSX/Rub? , CNH/chinese yuan trade/options! SPG,  M, HD, VRTV, insider 510,000s, </t>
  </si>
  <si>
    <t>Used for Buy / Sell tabs v4.0 Valuation</t>
  </si>
  <si>
    <t>Macro Inputs</t>
  </si>
  <si>
    <t>Risk Free Interest Rate (10-yr)</t>
  </si>
  <si>
    <t>st louis FRED</t>
  </si>
  <si>
    <t>Corporate Bond Premium</t>
  </si>
  <si>
    <t>Years Until Normalization</t>
  </si>
  <si>
    <t>Equity Risk Premium</t>
  </si>
  <si>
    <t>history/seeking alpha</t>
  </si>
  <si>
    <t>Normalization Rate</t>
  </si>
  <si>
    <t xml:space="preserve">Cover shorts/extralongs on adverse move 12/26, esp SDRL?, Look for reduce! Short NOG? Add cheap 50sVALE puts on new sig? Shorts on stabilze w new sig/weakness? Add FNMASetc. after panic drop &amp; usa decides? Monitor for readd: see log; Research Short china stocks, DAL/airline politics? RSX/Rub? , CNH/chinese yuan trade/options! SPG,  M, HD, VRTV, insider 510,000s, </t>
  </si>
  <si>
    <t>Company Inputs</t>
  </si>
  <si>
    <t>Detailed Valuation</t>
  </si>
  <si>
    <t>ROIC</t>
  </si>
  <si>
    <t>Growth Rate</t>
  </si>
  <si>
    <t>EPS</t>
  </si>
  <si>
    <t>VRTV</t>
  </si>
  <si>
    <t>Foward Normalized EPS</t>
  </si>
  <si>
    <t xml:space="preserve">Reduce CLF on strength &gt;10:30am 12/29, Add 25s-75s UHAL on strength, Cover shorts/extralongs on adverse move, Reload/watch shorts on slow multiday sig &gt;10:30am, or ~12/26 friday eod +/- 1 day: (iron ore, &amp; oil , ) on pop &amp; slow, new sig, Look for reduce! Short NOG? Add 50sVALE puts on new sig? Shorts on stabilze w new sig/weakness? Add back 240sHHC &lt;115, Add FNMASetc. after panic drop &amp; usa decides? Monitor for readd: see log; Research Short china stocks, DAL/airline politics? RSX/Rub? , CNH/chinese yuan trade/options! SPG,  M, HD,  insider 510,000s, </t>
  </si>
  <si>
    <t xml:space="preserve">Reduce CLF/VALE on strength @ open 12/30, Add 25s-75s UHAL on strength, Cover shorts/extralongs on adverse move, Reload/watch shorts on slow multiday sig &gt;10:30am, or ~12/26 friday eod +/- 1 day: (iron ore, &amp; oil , ) on pop &amp; slow, new sig, Look for reduce! Short NOG? Add 50sVALE puts on new sig? Shorts on stabilze w new sig/weakness? Add FNMASetc. after panic drop &amp; usa decides? Monitor for readd: see log; Research Short china stocks, DAL/airline politics? RSX/Rub? , CNH/chinese yuan trade/options! SPG,  M, HD,   insider 510,000s, </t>
  </si>
  <si>
    <t>Company Beta</t>
  </si>
  <si>
    <t>Dividend Rate</t>
  </si>
  <si>
    <t>Debt / Asset Ratio</t>
  </si>
  <si>
    <t>Tax Rate</t>
  </si>
  <si>
    <t>FCF</t>
  </si>
  <si>
    <t>Normalized ROIC</t>
  </si>
  <si>
    <t>Normalized Growth Rate</t>
  </si>
  <si>
    <t>First 10 years</t>
  </si>
  <si>
    <t>PVFCF</t>
  </si>
  <si>
    <t>Implied Reinvestment Rate</t>
  </si>
  <si>
    <t>Sum(PVFCF)</t>
  </si>
  <si>
    <t>20 years+ (TV)</t>
  </si>
  <si>
    <t>Equity Cost of Capital</t>
  </si>
  <si>
    <t>Go forward EPS</t>
  </si>
  <si>
    <t>Yr</t>
  </si>
  <si>
    <t>Debt Cost of Capital</t>
  </si>
  <si>
    <t>TV</t>
  </si>
  <si>
    <t>tv p/e</t>
  </si>
  <si>
    <t>WACC</t>
  </si>
  <si>
    <t>PVTV</t>
  </si>
  <si>
    <t>PCM-Valuation</t>
  </si>
  <si>
    <t xml:space="preserve">Look for reduce, Cover CLR/SDRL/WFT on strength 1/5 &gt;10:30am, Reload/watch shorts on weakness (iron ore VALE4ks+, &amp; oil PBR4ks, CLR400s, SDRL1k, WFT1ks) on pop (CLF 4ks+ ) &amp; slow, new sig, Add 25s-75s UHAL on strengt,h Look for reduce! Short NOG? Add 50sVALE puts on new sig? Shorts on stabilze w new sig/weakness? Add FNMASetc. after panic drop &amp; usa decides? Monitor for readd: see log; Research Short china stocks, DAL/airline politics? RSX/Rub? , CNH/chinese yuan trade/options! SPG,  M, HD, short SLCA/HCLP/EMES,   insider 510,000s, </t>
  </si>
  <si>
    <t xml:space="preserve">Look for reduce (UHAL/VRTV/HHC/VOYA/APD) , Reload/watch shorts on weakness (iron ore VALE4ks+, &amp; oil PBR4ks, CLR400s, SDRL1k, WFT1ks) on pop (CLF 4ks+ ) &amp; slow, new sig,  Look for reduce! Short NOG? Add 50sVALE puts on new sig? Shorts on stabilze w new sig/weakness? Add FNMASetc. after panic drop &amp; usa decides? Monitor for readd: see log; Research Short china stocks, DAL/airline politics? RSX/Rub? , CNH/chinese yuan trade/options! SPG,  M, HD, short SLCA/HCLP/EME,  insider 510,000s, </t>
  </si>
  <si>
    <t>History/Version</t>
  </si>
  <si>
    <t>Formula</t>
  </si>
  <si>
    <t>Target = [cyclically adj next year eps * (15 + 100*average(roic,growth, compounding ability)], P/B=max(1,roe/10), or other metric in comments, from barchart/wsj-data</t>
  </si>
  <si>
    <t>Target = [cyclically adj next year eps * (intr rate adj pe + 100*sqrt(epsgrowth%*(roic-int rate)),compounding ability], P/B=max(1,roe/10), or other metric in comments, from barchart/wsj-data</t>
  </si>
  <si>
    <t>Target = [cyclically adj next year eps * (intr rate adj pe + 100*sqrt(epsgrowth%*(roic-int rate))*(yrstonormalize/4)^.2), or other metric in comments, from seeking alpha/barchart</t>
  </si>
  <si>
    <t>This sheet</t>
  </si>
  <si>
    <t xml:space="preserve">Readd AIG 200s on dip/new sig, Look for reduce (VRTV) on adverse move 1/9 &gt; 10:30am , Reload/watch shorts on weakness (iron ore VALE4ks+, CLF 4ks+ &amp; oil PBR4ks, CLR400s, SDRL1k, WFT1ks) &amp; slow, new sig,  Look for reduce! Short NOG? Add 50sVALE puts on new sig? Shorts on stabilze w new sig/weakness? Add FNMASetc. after panic drop &amp; usa decides? Monitor for readd: see log; Research Short china stocks, DAL/airline politics? RSX/Rub? , CNH/chinese yuan trade/options! SPG,   insider 510,000s, </t>
  </si>
  <si>
    <t>Genuine Parts Company</t>
  </si>
  <si>
    <t>valued @ most of growth; Auto parts, industrial parts  P1) insider P2) fantastic metrics</t>
  </si>
  <si>
    <t>Global Payments Inc</t>
  </si>
  <si>
    <t>GPN</t>
  </si>
  <si>
    <t>Okay version of V/MA P1) payment process, merchant-&gt;GPN-&gt;MA/VA for small business P2) insider buying C1) worse metrics than V?</t>
  </si>
  <si>
    <t>Gramercy Capital Corp</t>
  </si>
  <si>
    <t xml:space="preserve">Reduce CLF/VALE on strength, Watch DAL/LUV for remove on weakness 1/12 &gt;10:30am, Readd AIG 200s on dip/new sig, Look for reduce (VRTV) on adverse move 1/9 &gt; 10:30am , Reload/watch shorts on weakness (iron ore VALE4ks+, CLF 4ks+ &amp; oil PBR4ks, CLR400s, SDRL1k, WFT1ks) &amp; slow, new sig,  Look for reduce! Short NOG? Add 50sVALE puts on new sig? Shorts on stabilze w new sig/weakness? Add FNMASetc. after panic drop &amp; usa decides? Monitor for readd: see log; Research Short china stocks,   insider 510,000s, </t>
  </si>
  <si>
    <t>positive on s&amp;p 500 for 2015, target 85%-95% net long, max 120% long, max 30% short (mostly china), gross 150% max</t>
  </si>
  <si>
    <t>Valued @ double of insider?CEO buying, Used to be GPT, Commercial lending/properties mgt P1) new large ceo insider buying 5/2013 P2) new strategy vs before of net leasing commercials C1) debt-laded/neg equity NOT True anymore C2) Better/easier plays elsewhere</t>
  </si>
  <si>
    <t>W R Grace</t>
  </si>
  <si>
    <t>GRA</t>
  </si>
  <si>
    <t>Green Brick Partners</t>
  </si>
  <si>
    <t>GRBK</t>
  </si>
  <si>
    <t>atl/tx homebuilder &amp; land, ~340mm book or ~10 book val P1) einhorn/others insider C1) no competitive advantage?</t>
  </si>
  <si>
    <t>GrubHub</t>
  </si>
  <si>
    <t>GRUB</t>
  </si>
  <si>
    <t xml:space="preserve">Add VALE2k+? Readd AIG200s-400s, VRTV200s-400s, SYF300s, watch UHAL for add? Reduce DAL/LUV on weakness 1/14 &gt; 10:30am, Reduce per log, Reload/watch shorts INCREMENTALLY on weakness (iron ore VALE4ks+, CLF 4ks+ &amp; oil PBR4ks, CLR400s, SDRL1k, WFT1ks) &amp; slow, new sig,  Add 50sVALE puts on new sig? Shorts on stabilize w new sig/weakness? Add FNMASetc. after panic drop &amp; usa decides? Monitor for readd: see log; Research Short china stocks,    insider 510,000s, </t>
  </si>
  <si>
    <t>mobile order P1) insider 4/2019 C1) competition from other apps? C2) lack of moat?</t>
  </si>
  <si>
    <t>Goldman Sachs</t>
  </si>
  <si>
    <t>P1) see JPM/WFC, best bank</t>
  </si>
  <si>
    <t>GT Solar International Inc</t>
  </si>
  <si>
    <t>GTATQ</t>
  </si>
  <si>
    <t>Wrong, no pricing power as aapl supplier! P1) Great metrics C1) Oversupply? C2) Moat?, used to be SOLR C3) China exposure! Wait till 2013 C4) customers reliant on govt subsidies</t>
  </si>
  <si>
    <t>Gray Television, Inc.</t>
  </si>
  <si>
    <t>GTN</t>
  </si>
  <si>
    <t>P1) TV+ online? C1) TV</t>
  </si>
  <si>
    <t>Genesse &amp; Wyoming</t>
  </si>
  <si>
    <t>GWR</t>
  </si>
  <si>
    <t>Rail</t>
  </si>
  <si>
    <t>Guidewire</t>
  </si>
  <si>
    <t>GWRE</t>
  </si>
  <si>
    <t>insurance software</t>
  </si>
  <si>
    <t xml:space="preserve">Broker  </t>
  </si>
  <si>
    <t>Interactive Brokers + charting</t>
  </si>
  <si>
    <t>Can build your own!</t>
  </si>
  <si>
    <t>Etrade (for nonactive)</t>
  </si>
  <si>
    <t xml:space="preserve">Velocity Futures - xTrader </t>
  </si>
  <si>
    <t>Lightspeed</t>
  </si>
  <si>
    <t>TD - Ameritrade (IRA for QuoteTracker!)</t>
  </si>
  <si>
    <t>TradeKing</t>
  </si>
  <si>
    <t>Mirus Futures + st charting</t>
  </si>
  <si>
    <t>Trading Execution</t>
  </si>
  <si>
    <t>IB - TWS</t>
  </si>
  <si>
    <t>NinjaTrader w/ IB</t>
  </si>
  <si>
    <t>NinjaTrader &amp; ZF (w/ Mirus)</t>
  </si>
  <si>
    <t>xTrader</t>
  </si>
  <si>
    <t>CQG/NET (charting &amp; automation w/ integrated client?)</t>
  </si>
  <si>
    <t>AMP Trading</t>
  </si>
  <si>
    <t>Genesis Securities</t>
  </si>
  <si>
    <t>IB alternative?</t>
  </si>
  <si>
    <t>ECHOtrade - Professional License needed!</t>
  </si>
  <si>
    <t>Globalfutures.com</t>
  </si>
  <si>
    <t>ButtonTrader</t>
  </si>
  <si>
    <t xml:space="preserve">Cobra Trading </t>
  </si>
  <si>
    <t>IB alternative</t>
  </si>
  <si>
    <t>Charting</t>
  </si>
  <si>
    <t>NinjaTrader - NinjaTrader 7 ?!</t>
  </si>
  <si>
    <t>eSignal - Available w/ Lightspeed!</t>
  </si>
  <si>
    <t>QuoteTracker</t>
  </si>
  <si>
    <t>Trading Software (Backtesting)</t>
  </si>
  <si>
    <t>Amibroker</t>
  </si>
  <si>
    <t>VERY GOOD - $409!</t>
  </si>
  <si>
    <t>Sterling Pro?!</t>
  </si>
  <si>
    <t xml:space="preserve">TradersStudio </t>
  </si>
  <si>
    <t>TradersLaboratory</t>
  </si>
  <si>
    <t>TradeStation</t>
  </si>
  <si>
    <t>Trading Blox</t>
  </si>
  <si>
    <t>MetaStock</t>
  </si>
  <si>
    <t>Multicharts</t>
  </si>
  <si>
    <t>ProRealTime - VERY GOOD FREE EOD!</t>
  </si>
  <si>
    <t xml:space="preserve">Data (past data) </t>
  </si>
  <si>
    <t xml:space="preserve">www.eoddata.com </t>
  </si>
  <si>
    <t xml:space="preserve">Thomson Reuters </t>
  </si>
  <si>
    <t xml:space="preserve">Interactive Data Corporation </t>
  </si>
  <si>
    <t xml:space="preserve">Bloomberg L.P. </t>
  </si>
  <si>
    <t xml:space="preserve">Xasax Corporation </t>
  </si>
  <si>
    <t>SNL Financial</t>
  </si>
  <si>
    <t>Reliability/Virtualization/Backup</t>
  </si>
  <si>
    <t>http://www.commercialnetworkservices.com/VPS/Windows/Traders/</t>
  </si>
  <si>
    <t>Morningstar (data from FactSet) insiders, screener</t>
  </si>
  <si>
    <t>Google Finance (+ portfolio &amp; login)</t>
  </si>
  <si>
    <t>SEC- EDGAR</t>
  </si>
  <si>
    <t>Barchart</t>
  </si>
  <si>
    <t>FINVIZ screener</t>
  </si>
  <si>
    <t>Duke Library - Morningstar!</t>
  </si>
  <si>
    <t xml:space="preserve">Duke Library - OneSource </t>
  </si>
  <si>
    <t>Duke Library - S&amp;P Net Advantage</t>
  </si>
  <si>
    <t>Duke Library - Reuters MarketLine</t>
  </si>
  <si>
    <t>Duke Library - CRSP via WRDS - Wharton Database</t>
  </si>
  <si>
    <t>Investopedia simulator</t>
  </si>
  <si>
    <t>http://www.10kwizard.com/  (Morningstar Document Research, formerly 10-K Wizard)</t>
  </si>
  <si>
    <t>Yahoo Finance</t>
  </si>
  <si>
    <t>GA Ocee Library - Morningstar</t>
  </si>
  <si>
    <t>GA Ocee Library -  Net Advantage</t>
  </si>
  <si>
    <t>bookmarks-&gt;screeners</t>
  </si>
  <si>
    <t>Valueline via library</t>
  </si>
  <si>
    <t>In depth fundamental?</t>
  </si>
  <si>
    <t>Hedge Fund Analyst Checklist</t>
  </si>
  <si>
    <t>January 20th, 2011 by Mebane Faber</t>
  </si>
  <si>
    <t>One of the turning points in my early career was taking a security analysis class taught by Tiger Cub John Griffin at UVa.  There are some old posts in the archives on the topic, but needless to say it was a great experience for a bio-engineer and is part of the reason I moved away from the lab bench and towards quant investing (whether that was a net plus or minus to society TBD).</t>
  </si>
  <si>
    <t>Anyways, I was cleaning out some old files and came across these notes from the class and thought I would repost them as they are a wonderful guide for a young analyst on how to think about investing in stocks.  While the list is a bit dated (from university in 2000) the message is still valid.  Other investors that promote using checklists include Buffett, Munger, and Pabrai (here is Pabrai’s PPT to Columbia on the topic).</t>
  </si>
  <si>
    <t>INVESTMENT FRAMEWORK</t>
  </si>
  <si>
    <t>Industry Study</t>
  </si>
  <si>
    <t xml:space="preserve">    * Is this a good business? What are the key success factors to superior performance in this industry?  (Value Added Research “VAR”)</t>
  </si>
  <si>
    <t xml:space="preserve">    * Define the market opportunity.  How do competitive products address this opportunity?</t>
  </si>
  <si>
    <t xml:space="preserve">    * What are the barriers to entry (“moats”)? (VAR!)</t>
  </si>
  <si>
    <t xml:space="preserve">    * What is the relative power of: (VAR)</t>
  </si>
  <si>
    <t xml:space="preserve">          o Customers</t>
  </si>
  <si>
    <t xml:space="preserve">          o Suppliers</t>
  </si>
  <si>
    <t xml:space="preserve">          o Competitors</t>
  </si>
  <si>
    <t xml:space="preserve">          o Regulators</t>
  </si>
  <si>
    <t xml:space="preserve">    * Who controls industry pricing?  Does the company/sector have any pricing power?</t>
  </si>
  <si>
    <t xml:space="preserve">    * How (and how much) can a good company differentiate itself from a bad one in this industry?</t>
  </si>
  <si>
    <t xml:space="preserve">    * Do you understand this business?  Test yourself and describe it to a ten year old.  DO THIS!</t>
  </si>
  <si>
    <t>Business Model (VAR)</t>
  </si>
  <si>
    <t xml:space="preserve">    * What is the selling model:  razor/blades? services? one-off contracts?</t>
  </si>
  <si>
    <t xml:space="preserve">    * What are the economics of the base business unit?  How does it stack up against competitors?</t>
  </si>
  <si>
    <t xml:space="preserve">    * Why is the company good (or bad) at what they do?  Can they sustain it?</t>
  </si>
  <si>
    <t xml:space="preserve">    * Is this company growing by acquisition?  How sustainable is that?</t>
  </si>
  <si>
    <t xml:space="preserve">    * Be able to easily describe the entire sales process – from order to fulfillment.</t>
  </si>
  <si>
    <t>Management (VAR)</t>
  </si>
  <si>
    <t xml:space="preserve">    * What is their background, and what do their former colleagues, investors, classmates, say about them?  Have they been successful in the past?  (Very important)</t>
  </si>
  <si>
    <t xml:space="preserve">    * How are they compensated?  Are their interests aligned with shareholders?</t>
  </si>
  <si>
    <t xml:space="preserve">    * Have they been good at allocating capital?</t>
  </si>
  <si>
    <t xml:space="preserve">    * Are they buying or selling stock?  How much as a percentage of their holdings, and why?</t>
  </si>
  <si>
    <t>Company/Cultural Issues (VAR)</t>
  </si>
  <si>
    <t xml:space="preserve">    * Is this a great company?  Is it built to last?  What could change this assessment?</t>
  </si>
  <si>
    <t xml:space="preserve">    * Can you imagine holding stock in this company for twenty years?</t>
  </si>
  <si>
    <t xml:space="preserve">    * If you had access to unlimited capital, how would you feel about your chances of successfully competing against this company?</t>
  </si>
  <si>
    <t xml:space="preserve">    * Compare to a weak competitor in the same industry.  What is the difference and why?</t>
  </si>
  <si>
    <t>Financial Measures First Step:  Check against all the accounting shenanigans in Howard Schilit’s book (Financial Shenanigans: How to Detect Accounting Gimmicks &amp; Fraud in Financial Reports, Third Edition) Balance Sheet</t>
  </si>
  <si>
    <t xml:space="preserve">    * What is the company’s capital structure, and how does it compare to its peers?</t>
  </si>
  <si>
    <t xml:space="preserve">    * What are the trends in inventory turns, days payable/receivable, and working capital?</t>
  </si>
  <si>
    <t xml:space="preserve">    * What are its coverage ratios on interest payments?</t>
  </si>
  <si>
    <t>Cash Flow</t>
  </si>
  <si>
    <t xml:space="preserve">    * What are the company’s capital requirements and cash flow characteristics?</t>
  </si>
  <si>
    <t xml:space="preserve">    * How is the company choosing to invest its capital?  CapEx?  Buybacks?  Acquisitions?</t>
  </si>
  <si>
    <t xml:space="preserve">    * Does the company need to access the capital markets?  How soon/often?</t>
  </si>
  <si>
    <t>Earnings/Profitability</t>
  </si>
  <si>
    <t xml:space="preserve">    * Regarding the company’s sales model, how visible are earnings quarter-to-quarter, and year-to-year?</t>
  </si>
  <si>
    <t xml:space="preserve">    * Is this a fixed or variable cost business?  How much cost leverage?</t>
  </si>
  <si>
    <t xml:space="preserve">    * Do earnings grow as a function of unit sales growth, price increases, or margin improvement?  How sustainable is this growth?</t>
  </si>
  <si>
    <t>Valuation</t>
  </si>
  <si>
    <t xml:space="preserve">    * Looking forward, what is the company’s valuation in terms of:</t>
  </si>
  <si>
    <t xml:space="preserve">          o Market Value/Earnings</t>
  </si>
  <si>
    <t xml:space="preserve">          o Enterprise Value/EBITDA</t>
  </si>
  <si>
    <t xml:space="preserve">          o Free Cash Flow Yield (After-Tax Free Cash Flow/Market Value)</t>
  </si>
  <si>
    <t xml:space="preserve">          o Market Value/Sales</t>
  </si>
  <si>
    <t xml:space="preserve">    * What is the company’s growth rates in terms of earnings, EBITDA, and FCF?</t>
  </si>
  <si>
    <t xml:space="preserve">    * What are consensus earnings  estimates, versus your own expectations?</t>
  </si>
  <si>
    <t xml:space="preserve">    * What are the key leverage points in our own and the street’s earnings models?  What has to go right, and where is the most chance for surprise?</t>
  </si>
  <si>
    <t xml:space="preserve">    * Are their accounting policies conservative and in line with their peers?</t>
  </si>
  <si>
    <t>Risks</t>
  </si>
  <si>
    <t xml:space="preserve">    * What are the big unknowns?  How much can the company control/influence these risks?</t>
  </si>
  <si>
    <t xml:space="preserve">    * What could cause this investment to be a total disaster?  How bad could it be?</t>
  </si>
  <si>
    <t>Other (Timeline/timing issues) DO A TIMELINE!</t>
  </si>
  <si>
    <t xml:space="preserve">    * What are the catalysts (triggers) for the company’s proper valuation to be realized?</t>
  </si>
  <si>
    <t xml:space="preserve">    * What good news, and what bad news, will affect the company in the coming year?</t>
  </si>
  <si>
    <t xml:space="preserve">    * Who owns the stock?  Momentum funds?  Big mutuals? Hedge funds?</t>
  </si>
  <si>
    <t xml:space="preserve">    * How difficult is it to build a significant position (float, volume)?</t>
  </si>
  <si>
    <t xml:space="preserve">    * Draw a time line of expected events and dates.  What might go wrong and when?</t>
  </si>
  <si>
    <t>Investment Framework:  Short Questions</t>
  </si>
  <si>
    <t>1.  Is this a bad business?</t>
  </si>
  <si>
    <t xml:space="preserve">    * Who has the power – customers, suppliers, competitors?</t>
  </si>
  <si>
    <t xml:space="preserve">    * What are the barriers to entry?</t>
  </si>
  <si>
    <t xml:space="preserve">    * What kind of reinvestment of capital is needed to grow?</t>
  </si>
  <si>
    <t xml:space="preserve">    * How is the business changing?</t>
  </si>
  <si>
    <t xml:space="preserve">    * What is the historic and current rate of success in this business?</t>
  </si>
  <si>
    <t xml:space="preserve">    * What are the major risks to the business plan?</t>
  </si>
  <si>
    <t>2.  What is the major misperception?</t>
  </si>
  <si>
    <t xml:space="preserve">    * Why does it exist?</t>
  </si>
  <si>
    <t xml:space="preserve">    * Who is responsible for it?</t>
  </si>
  <si>
    <t xml:space="preserve">    * What stakes do the various parties have in keeping the stock price high?</t>
  </si>
  <si>
    <t xml:space="preserve">    * How popular is the industry?  rising tides lift all boats – for awhile.</t>
  </si>
  <si>
    <t>3.  Assess management</t>
  </si>
  <si>
    <t xml:space="preserve">    * Industry reputation?</t>
  </si>
  <si>
    <t xml:space="preserve">    * Past history of success or failure.</t>
  </si>
  <si>
    <t xml:space="preserve">    * Straightforward or cunning?</t>
  </si>
  <si>
    <t xml:space="preserve">    * Check out insider ownership and selling.</t>
  </si>
  <si>
    <t>4.  Ratios:</t>
  </si>
  <si>
    <t xml:space="preserve">    * EBIT/EV as a percentage.</t>
  </si>
  <si>
    <t xml:space="preserve">    * (EBITDA-CAPEX)/EV as a percentage.</t>
  </si>
  <si>
    <t xml:space="preserve">    * Growth of inventories to cost of goods sold – are inventories rising faster?</t>
  </si>
  <si>
    <t xml:space="preserve">    * Growth of AR to sales and AP to sales.</t>
  </si>
  <si>
    <t xml:space="preserve">    * Any accounting changes – smaller reserve for bad debt, revenue recognition, etc.</t>
  </si>
  <si>
    <t xml:space="preserve">    * Cash flow/Int. expense.</t>
  </si>
  <si>
    <t xml:space="preserve">    * Review Howard Schilit’s red flags</t>
  </si>
  <si>
    <t>5.  Sentiment:  Are more people bullish or bearish on the stock?</t>
  </si>
  <si>
    <t xml:space="preserve">    * Do full media search for articles.  Make list of analyst recommendations.</t>
  </si>
  <si>
    <t xml:space="preserve">    * Short Interest?  SIR (remember, the stock that is already short is potential buying power)  Be careful if there is universal bearishness.</t>
  </si>
  <si>
    <t>6.  Timing</t>
  </si>
  <si>
    <t xml:space="preserve">    * What is the expected trigger on the misperception?  Do a time line.</t>
  </si>
  <si>
    <t xml:space="preserve">    * Who owns the stock – long term or short term, momentum investors?</t>
  </si>
  <si>
    <t xml:space="preserve">    * Has the souffle already risen once?</t>
  </si>
  <si>
    <t xml:space="preserve">    * Can the rising stock price be self-fulfilling for awhile (financing opportunities, etc)?</t>
  </si>
  <si>
    <t xml:space="preserve">    * Where does the company stand in terms of the fantasy, transition, reality paradigm?</t>
  </si>
  <si>
    <t>7.  Add when the story starts to unfold — regardless of stock price.</t>
  </si>
  <si>
    <t xml:space="preserve">    * Watch for earnings warnings, excuses, etc.  Where there’s smock, there is often fire.</t>
  </si>
  <si>
    <t xml:space="preserve">    * Is the company or wall street analyst group in denial of the problem?</t>
  </si>
  <si>
    <t xml:space="preserve">    * Watch the ratios, insider selling etc.</t>
  </si>
  <si>
    <t xml:space="preserve">    * Even if the stock down significantly from its high, if answering all these questions convinces you that it is still a short, do not cover and consider adding.  See below</t>
  </si>
  <si>
    <t xml:space="preserve">    * Does waiting for the new financials feel like waiting for Christmas?  IF “YES”  —–&gt; ADD.</t>
  </si>
  <si>
    <t xml:space="preserve">Add GPC?! Add VALE?1-2%; Add 2% PBR on weakness, Reduce/add per log, Reload/watch shorts INCREMENTALLY on weakness (iron ore VALE4ks+, CLF 2.5ks+ &amp; oil PBR2.5ks, CLR200s, SDRL1.5k, WFT1.5ks) &amp; slow, new sig,  Add 50sVALE puts on new sig? Shorts on stabilize w new sig/weakness? Add FNMASetc. after panic drop &amp; usa decides? Monitor for readd: see log; Research Short china stocks, ,    insider 510,000s, </t>
  </si>
  <si>
    <t xml:space="preserve">Watch/cover shorts on strength &gt; 1/20, Reduce/add per log, Reload/watch shorts INCREMENTALLY on weakness (iron ore VALE4ks+, CLF 2.5ks+ &amp; oil PBR2.s, CLR200s, SDRL1.5k, WFT1.5ks) &amp; slow, new sig,  Add 50sVALE puts on new sig? Shorts on stabilize w new sig/weakness? Add FNMASetc. after panic drop &amp; usa decides? Monitor for readd: see log; Research Short china stocks, ,    insider 510,000s, </t>
  </si>
  <si>
    <t xml:space="preserve">Watch shorts: SDRL/WFT reduce &gt; 10.50$, Reduce weak longs? Reduce/add per log (add HHC100s+, all others)  Reload/watch shorts INCREMENTALLY on weakness (iron ore VALE6ks+, &amp; oil PBR2.s, CLR200s, SDRL1.5k, WFT1.5ks) &amp; slow, new sig,  Add 50sVALE puts on new sig? Shorts on stabilize w new sig/weakness? Add FNMASetc. after panic drop &amp; usa decides? Monitor for readd: see log; Research Short china stocks/RMB, M, ,    insider 510,000s, </t>
  </si>
  <si>
    <t>W.W. Grainger Inc.</t>
  </si>
  <si>
    <t>GWW</t>
  </si>
  <si>
    <t>P1) industrial-distribution, multiple</t>
  </si>
  <si>
    <t xml:space="preserve">Reduce shorts on relative strength on Monday1/26 , Wait for short CLF on weakness or pop in 1-2 days, Reduce/add per log (mostly for reduce)  Watch shorts for BIG POP, then INCREMENTALLY readd on weakness (iron ore VALE6ks+, &amp; oil PBR2.s, CLR200s, SDRL1.5k, WFT1.5ks) &amp; slow, new sig,  Add 50sVALE puts on new sig? Shorts on stabilize w new sig/weakness? Add FNMASetc. after panic drop &amp; usa decides? Monitor for readd: see log; Research Short china stocks/RMB, M, CFG (insider/greenlight), TWX (insider buy?), KEYS insider/greenlight,    insider 510,000s, </t>
  </si>
  <si>
    <t>Hawaiian Airlines</t>
  </si>
  <si>
    <t>HA</t>
  </si>
  <si>
    <t>P1) good fundamentals P2) insider 5/2017</t>
  </si>
  <si>
    <t>Halliburton Company</t>
  </si>
  <si>
    <t>HAL</t>
  </si>
  <si>
    <t>P1) Oil services C1) Bad co?</t>
  </si>
  <si>
    <t>Huntington Bancshares Inc</t>
  </si>
  <si>
    <t xml:space="preserve">Reduce shorts on relative strength on Monday1/26 , Wait for short CLF on pop in 1-2 days, Reduce/add per log (mostly for reduce)  Watch shorts for BIG POP, then INCREMENTALLY readd on weakness (iron ore VALE6ks+, &amp; oil PBR2ks, CLR200s, SDRL1.5k, WFT1.5ks) &amp; slow, new sig,  Add 50sVALE puts on new sig? Shorts on stabilize w new sig/weakness? Add FNMASetc. after panic drop &amp; usa decides? Monitor for readd: see log; Research Short china stocks/RMB, M, CFG (insider/greenlight), TWX (insider buy?), KEYS insider/greenlight, RDI insider,    insider 510,000s, </t>
  </si>
  <si>
    <t>Target @ 2x book from past, Regional bank P1) increasing insider buying P2) better metrics C1) sell bc takes too long/better opportunities</t>
  </si>
  <si>
    <t>HCA Holdings</t>
  </si>
  <si>
    <t>KEYS</t>
  </si>
  <si>
    <t>Good hospital operator p1) decent metrics c1) exposure to healthcare reform?</t>
  </si>
  <si>
    <t>Cover CLR/SDRL/WFT on strength eod 1/27, Add to VALE/PBR on weakness eod? , Wait for short CLF on pop in 1-2 days, Reduce/add per log (mostly for reduce),  Watch shorts for BIG POP, then INCREMENTALLY readd on weakness (iron ore VALE6ks+, &amp; oil PBR2ks, CLR200s, SDRL1.5k, WFT1.5ks) &amp; slow, new sig,  Add 50sVALE puts on new sig? Shorts on stabilize w new sig/weakness? Add FNMASetc. after panic drop &amp; usa decides? Monitor for readd: see log; Research Short china stocks/RMB, M, CFG (insider/greenlight), TWX (insider buy?), KEYS insider/greenlight, RDI insider, BCR, BAX insider</t>
  </si>
  <si>
    <t>510k stop, positive on s&amp;p 500 for 2015, target 85%-95% net long, max 120% long, max 30% short (mostly china), gross 150% max</t>
  </si>
  <si>
    <t>Reduce KEYS? Add ENH? Watch PKG for add, Reduce/add per log (mostly for reduce), Watch shorts for BIG POP, then INCREMENTALLY readd on weakness (iron ore VALE6ks+, &amp; oil PBR2ks, CLR200s, SDRL1.5k, WFT1.5ks) &amp; slow, new sig,  Add 50sVALE puts on new sig? Shorts on stabilize w new sig/weakness? Add FNMASetc. after panic drop &amp; usa decides? Monitor for readd: see log; Research Short china stocks/RMB, M, TWX (insider buy?), RDI insider, BCR, BAX insider, ENH</t>
  </si>
  <si>
    <t>Watch CLR for reduce, Exit APD200s post-earnings, Watch HHC/DAL(on weakdip)/LUV for readd? Reduce KEYS? Watch PKG for add, Reduce/add per log (mostly for reduce), Watch shorts for BIG POP, then INCREMENTALLY readd on weakness (iron ore VALE6ks+, &amp; oil PBR2ks, CLR200s, SDRL1.5k, WFT1.5ks) &amp; slow, new sig,  Add 50sVALE puts on new sig? Shorts on stabilize w new sig/weakness? Add FNMASetc. after panic drop &amp; usa decides? Monitor for readd: see log; Research Short china stocks/RMB, M, TWX (insider buy?), RDI insider, BCR, BAX insider, BDL insider, research CLR/mlp shorts? SLCA shrt, short BHP spinoff/south32? search new high/low</t>
  </si>
  <si>
    <t>Cover adverse shorts 2/2 morning, Exit APD200s post-earnings, Watch HHC/DAL(on weakdip)/LUV for readd? Reduce KEYS? Watch PKG for add, Reduce/add per log (mostly for reduce), Watch shorts for BIG POP, then INCREMENTALLY readd on weakness (iron ore VALE6ks+, &amp; oil PBR2ks, CLR200s, SDRL1.5k, WFT1.5ks) &amp; slow, new sig,  Add 50sVALE puts on new sig? Shorts on stabilize w new sig/weakness? Add FNMASetc. after panic drop &amp; usa decides? Monitor for readd: see log; Research Short china stocks/RMB, M, TWX (insider buy?), RDI insider, BCR, BAX insider, BDL insider, research CLR/mlp shorts? SLCA shrt, short BHP spinoff/south32? search new high/low</t>
  </si>
  <si>
    <t>Home Depot</t>
  </si>
  <si>
    <t>best run home tools and materials P1) construction P2) insider 3/2016, 3/2018 11/2018 C1) future growth bc of size/housing?</t>
  </si>
  <si>
    <t>Reduce/add per log (mostly for reduce),  Watch shorts for BIG POP, then INCREMENTALLY readd on weakness (iron ore VALE6ks+, CLF1ks, &amp; oil PBR2ks, CLR200s, SDRL1.5k, WFT1.5ks) &amp; slow, new sig,  Add 50sVALE puts on new sig? Shorts on stabilize w new sig/weakness? Add FNMASetc. after panic drop &amp; usa decides? Monitor for readd: see log; Research Short china stocks/RMB, M, TWX (insider buy?), RDI insider, BCR, BAX insider, BDL insider, research CLR/mlp shorts? SLCA shrt, short BHP spinoff/south32? search new high/low, spinoffs, time</t>
  </si>
  <si>
    <t xml:space="preserve">iron ore tgt &lt; 15, oil tgt &lt;25;When fed raises rates to combat inflation, long gc; but currently neg on all hard commodities, exit yield-dependent equities/buy equities that benefit from rising rates, </t>
  </si>
  <si>
    <t>Add CLF on weakness 2/4, Reduce/add per log (mostly for reduce), Watch shorts for BIG POP, then INCREMENTALLY readd on weakness &amp; slow, new sig,  Add 50sVALE puts on new sig? Shorts on stabilize w new sig/weakness? Add FNMASetc. after panic drop &amp; usa decides? Monitor for readd: see log; Research Short china stocks/RMB, M, TWX (insider buy?), RDI insider, BCR, BAX insider, BDL insider, research CLR/mlp shorts? SLCA shrt, short BHP spinoff/south32? TIME search new high/low, spinoffs, time</t>
  </si>
  <si>
    <t>Add CLF on weakness 2/4, Reduce/add per log (mostly for reduce), Watch shorts for BIG POP, then INCREMENTALLY readd on weakness &amp; slow, new sig,  Add 50sVALE puts on new sig? Shorts on stabilize w new sig/weakness? Add FNMASetc. after panic drop &amp; usa decides? Monitor for readd: see log; Research Short china stocks/RMB, M, TWX (insider buy?), RDI insider, BCR, BAX insider, BDL insider, research CLR/mlp shorts? SLCA shrt, short BHP spinoff/south32? TIME, search new high/low, spinoffs, mtor insider, add ABC to buy list in tws, reeval FISV &amp; others for add</t>
  </si>
  <si>
    <t>Reduce/add per log (mostly for reduce), Watch shorts for BIG POP, then INCREMENTALLY readd on weakness &amp; slow, new sig,  Add 50sVALE puts on new sig? Shorts on stabilize w new sig/weakness? Add FNMASetc. after panic drop &amp; usa decides? Monitor for readd: see log; Research Short china stocks/RMB, M, TWX (insider buy?), RDI insider, BCR, BAX insider, BDL insider, research CLR/mlp shorts? SLCA shrt, short BHP spinoff/south32? TIME, search new high/low, spinoffs, mtor insider, add ABC to buy list in tws, DST/BR</t>
  </si>
  <si>
    <t>Heico</t>
  </si>
  <si>
    <t>High tech aviation/space P1) highly engineered P2) insider buying 7/2018, 6/2019 @$100</t>
  </si>
  <si>
    <t>Reduce VALE/PBR on strength 2/10, Reduce/add per log (mostly for reduce), Watch shorts for BIG POP, then INCREMENTALLY readd on weakness &amp; slow, new sig,  Add 50sVALE puts on new sig? Shorts on stabilize w new sig/weakness? Add FNMASetc. after panic drop &amp; usa decides? Monitor for readd: see log; Research Short china stocks/RMB, M, TWX (insider buy?), RDI insider, BCR, BAX insider, BDL insider, research CLR/mlp shorts? SLCA shrt, short BHP spinoff/south32? TIME, search new high/low, spinoffs, mtor insider, DST/BR, short rmb! RDI, chinese oil co short/SNP?</t>
  </si>
  <si>
    <t>Watch PBR for reduce on strong open 2/12, Reduce/add per log (mostly for reduce), Watch shorts for BIG POP, then INCREMENTALLY readd on weakness &amp; slow, new sig,  Add 50sVALE puts on new sig? Shorts on stabilize w new sig/weakness? Add FNMASetc. after panic drop &amp; usa decides? Monitor for readd: see log; Research Short china stocks/RMB, M, TWX (insider buy?), RDI insider, BCR, BAX insider, BDL insider, short BHP spinoff/south32? TIME, search new high/low, spinoffs, mtor insider, DST/BR, short rmb! RDI, chinese oil co short/SNP? DOW/T? GPK insider long, GILD long insider, WMS, GRA</t>
  </si>
  <si>
    <t>Watch VALE/PBR for reduce on strong close 2/13, Reduce/add per log (mostly for reduce), Watch shorts for BIG POP, then INCREMENTALLY readd on weakness &amp; slow, new sig,  Add 50sVALE puts on new sig? Shorts on stabilize w new sig/weakness? Add FNMASetc. after panic drop &amp; usa decides? Monitor for readd: see log; Research Short china stocks/RMB, M, TWX (insider buy?), RDI insider, BCR, BAX insider, BDL insider, short BHP spinoff/south32? TIME, search new high/low, spinoffs, mtor insider, DST/BR, short rmb! RDI, chinese oil co short/SNP? DOW/T? GPK insider long, GILD long insider, WMS, GRA</t>
  </si>
  <si>
    <t>510k stop, positive on s&amp;p 500 for 2015, target 70-90% net long, max 120% long, max 30% short (mostly china), gross 150% max</t>
  </si>
  <si>
    <t>Howard Hughes Corp.</t>
  </si>
  <si>
    <t>above 61.5</t>
  </si>
  <si>
    <t>Long-term candidate 4/21/2011, valued at 3x P/B bc 1.5x insider buying, Sell 2017 P1) Spin-off? P2) Paulson/Ackman Holdings? P3) Insider buy/alignment P4) RE recovery/value C1) poor metrics to start?</t>
  </si>
  <si>
    <t>Hillenbrand, Inc.</t>
  </si>
  <si>
    <t>HI</t>
  </si>
  <si>
    <t>P1) Funerals</t>
  </si>
  <si>
    <t>Huntington Ingalls Industries Inc</t>
  </si>
  <si>
    <t>HII</t>
  </si>
  <si>
    <t>shipbuilding P1) insider 5/2018</t>
  </si>
  <si>
    <t>Healthcare Innovations</t>
  </si>
  <si>
    <t>HIIQ</t>
  </si>
  <si>
    <t>technology driven insurance adminstrator; C1) poor coverage as middleman! C2) lack of value as not directly insurance? c3) lawsuits?</t>
  </si>
  <si>
    <t>Herbalife, Inc.</t>
  </si>
  <si>
    <t>15x earnings, Third Point 2012Q4 letter for long case + target, exit when Ackman covers P1) anti-ackman long P2) chapman - mlm lawyers + 10+ yrs own general counsel, all say won't be shut down C1) related to shut down mlm via chief analytics officer C2) poor value to customers! C3) too hard?</t>
  </si>
  <si>
    <t>Reeval AIZ, Cover GPC250s post earnings, Reduce/add per log (mostly for reduce), Watch shorts for BIG POP, then INCREMENTALLY readd on weakness &amp; slow, new sig,  Add 50sVALE puts on new sig? Shorts on stabilize w new sig/weakness? Add FNMASetc. after panic drop &amp; usa decides? Monitor for readd: see log; Research Short china stocks/RMB, M, TWX (insider buy?), RDI insider, BCR, BAX insider, BDL insider, short BHP spinoff/south32? TIME, search new high/low, spinoffs, mtor insider, DST/BR, short rmb! RDI, chinese oil co short/SNP? DOW/T? GPK insider long, WMS, GRA,</t>
  </si>
  <si>
    <t xml:space="preserve">Honeywell International Inc. </t>
  </si>
  <si>
    <t>HON</t>
  </si>
  <si>
    <t>Diversified technology/manu, moat?</t>
  </si>
  <si>
    <t>Helmerich &amp; Payne</t>
  </si>
  <si>
    <t>Oil drilling + technology P1) insider buying 12/2013 P2) horizontal drilling/shale revolution C1) sustainability/moat?</t>
  </si>
  <si>
    <t>Healthequity</t>
  </si>
  <si>
    <t>HQY</t>
  </si>
  <si>
    <t>Reeval Airlines, Cover GPC250s post earnings on weakness 2/19 eod, Reduce/add per log (mostly for reduce), Watch shorts for BIG POP, then INCREMENTALLY readd on weakness &amp; slow, new sig,  Add 50sVALE puts on new sig? Shorts on stabilize w new sig/weakness? Add FNMASetc. after panic drop &amp; usa decides? Monitor for readd: see log; Research Short china stocks/RMB, M, TWX (insider buy?), RDI insider, BCR, BAX insider, BDL insider, short BHP spinoff/south32? TIME, search new high/low, spinoffs, mtor insider, DST/BR, short rmb! RDI, chinese oil co short/SNP? DOW/T? GPK insider long, WMS, GRA, DNOW, DO, YHOO</t>
  </si>
  <si>
    <t>hsa/technologies + wageworks P1) insider 7/2019 ($61) C1) competition from other administrators?</t>
  </si>
  <si>
    <t>Reeval Airlines, Reduce/add per log (mostly for reduce), Watch shorts for BIG POP, then INCREMENTALLY readd on weakness &amp; slow, new sig,  Add 50sVALE puts on new sig? Shorts on stabilize w new sig/weakness? Add FNMASetc. after panic drop &amp; usa decides? Monitor for readd: see log; Research Short china stocks/RMB, M, TWX (insider buy?), RDI insider, BCR, BAX insider, BDL insider, short BHP spinoff/south32? TIME, search new high/low, spinoffs, mtor insider, DST/BR, short rmb! RDI, chinese oil co short/SNP? DOW/T? GPK insider long, WMS, GRA, DNOW, DO, YHOO, GE, TIME</t>
  </si>
  <si>
    <t>WMS</t>
  </si>
  <si>
    <t>Reduce PBR/VALE on strength 2/25 open but wait for dip, Reduce/add per log (mostly for reduce), Watch shorts for BIG POP, then INCREMENTALLY readd on weakness &amp; slow, new sig,  Add 50sVALE puts on new sig? Shorts on stabilize w new sig/weakness? Add FNMASetc. after panic drop &amp; usa decides? Monitor for readd: see log; Research Short china stocks/RMB, M, TWX (insider buy?), RDI insider, BCR, BAX insider, BDL insider, short BHP spinoff/south32? TIME, search new high/low, spinoffs, mtor insider, DST/BR, short rmb! RDI, chinese oil co short/SNP? DOW/T? GPK insider long, WMS, GRA, DNOW, DO, YHOO, GE, TIME, BMS/PKG, MMC, MSG, klarman picks, HD, QSR insider</t>
  </si>
  <si>
    <t>510k stop, positive on s&amp;p 500 for 2015, target 70-100% net long, max 120% long, max 30% short (mostly china), gross 150% max</t>
  </si>
  <si>
    <t>Watch PBR/VALE for reduce on positive open 2/26, Reduce/add per log (mostly for reduce), Watch shorts for BIG POP, then INCREMENTALLY readd on weakness &amp; slow, new sig,  Add 50sVALE puts on new sig? Shorts on stabilize w new sig/weakness? Add FNMASetc. after panic drop &amp; usa decides? Monitor for readd: see log; Research Short china stocks/RMB, M, TWX (insider buy?), RDI insider, BCR, BAX insider, BDL insider, short BHP spinoff/south32? TIME, search new high/low, spinoffs, mtor insider, DST/BR, short rmb! RDI, chinese oil co short/SNP? DOW/T? GPK insider long, WMS, GRA, DNOW, DO, YHOO, GE, TIME, BMS/PKG, MMC, MSG, klarman picks, HD</t>
  </si>
  <si>
    <t>Reduce shorts VALE/PBR/etc. on strength Monday open 3/1, add DAL?LUV?, Reduce/add per log (mostly for reduce), Watch shorts for BIG POP, then INCREMENTALLY readd on weakness &amp; slow, new sig,  Add 50sVALE puts on new sig? Shorts on stabilize w new sig/weakness? Add FNMASetc. after panic drop &amp; usa decides? Monitor for readd: see log; Research Short china stocks/RMB, M, TWX (insider buy?), RDI insider, BCR, BAX insider, BDL insider, short BHP spinoff/south32? TIME, search new high/low, spinoffs, mtor insider, DST/BR, short rmb! RDI, chinese oil co short/SNP? DOW/T? GPK insider long, WMS, GRA, DNOW, DO, YHOO, GE, TIME, BMS/PKG, MMC, MSG, klarman picks, HD, S, KO, AXP</t>
  </si>
  <si>
    <t>Add 150s QSR, Reduce/add per log (mostly for reduce), Watch shorts for BIG POP, then INCREMENTALLY readd on weakness &amp; slow, new sig,  Add 50sVALE puts on new sig? Shorts on stabilize w new sig/weakness? Add FNMASetc. after panic drop &amp; usa decides? Monitor for readd: see log; Research Short china stocks/RMB, M, TWX (insider buy?), RDI insider, BCR, BAX insider, BDL insider, short BHP spinoff/south32? TIME, search new high/low, spinoffs, mtor insider, DST/BR, short rmb! RDI, chinese oil co short/SNP? DOW/T? GPK insider long, WMS, GRA, DNOW, DO, YHOO, GE, TIME, BMS/PKG, MMC, MSG, klarman picks, HD, S, KO, AXP, Add to QSR?! MRGE, add fmckj++</t>
  </si>
  <si>
    <t>Hormel foods</t>
  </si>
  <si>
    <t>HRL</t>
  </si>
  <si>
    <t>Readd Shorts, PBR/VALE/etc.? Look for reduce, Watch AIZ/DAL/LUV for reduce on weakness, Reduce/add per log (mostly for reduce), Watch shorts for BIG POP, then INCREMENTALLY readd on weakness &amp; slow, new sig,  Add 50sVALE puts on new sig? Shorts on stabilize w new sig/weakness? Add FNMASetc. after panic drop &amp; usa decides? Monitor for readd: see log; Research Short china stocks/RMB, M, TWX (insider buy?), RDI insider, BCR, BAX insider, BDL insider, short BHP spinoff/south32? TIME, search new high/low, spinoffs, mtor insider, DST/BR, short rmb! RDI, chinese oil co short/SNP? DOW/T? GPK insider long, WMS, GRA, DNOW, DO, YHOO, GE, TIME, BMS/PKG, MMC, MSG, klarman picks, HD, S, KO, AXP, Add to QSR?! , add fmckj+</t>
  </si>
  <si>
    <t>Hershey</t>
  </si>
  <si>
    <t>candy addictive P1) good roa P2) insider 5/2019 $130 C1) low growth C2) healthy</t>
  </si>
  <si>
    <t>Reduce shorts esp oil on strength 3/6, Watch LL for short? Look for reduce, Watch AIZ/DAL/LUV for reduce on weakness, Reduce/add per log (mostly for reduce), Watch shorts for BIG POP, then INCREMENTALLY readd on weakness &amp; slow, new sig,  Add 50sVALE puts on new sig? Shorts on stabilize w new sig/weakness? Add FNMASetc. after panic drop &amp; usa decides? Monitor for readd: see log; Research Short china stocks/RMB, M, TWX (insider buy?), RDI insider, BCR, BAX insider, BDL insider, short BHP spinoff/south32? TIME, search new high/low, spinoffs, mtor insider, DST/BR, short rmb! RDI, chinese oil co short/SNP? DOW/T? GPK insider long, WMS, GRA, DNOW, DO, YHOO, GE, TIME, BMS/PKG, MMC, MSG, klarman picks, HD, S, KO, AXP, Short LL?</t>
  </si>
  <si>
    <t>Watch LL for short on &lt;10% borrow? Look for reduce, Watch AIZ/DAL/LUV for reduce on weakness, Reduce/add per log (mostly for reduce), Watch shorts for BIG POP, then INCREMENTALLY readd on weakness &amp; slow, new sig,  Add 50sVALE puts on new sig? Shorts on stabilize w new sig/weakness? Add FNMASetc. after panic drop &amp; usa decides? Monitor for readd: see log; Research Short china stocks/RMB, M, TWX (insider buy?), RDI insider, BCR, BAX insider, BDL insider, short BHP spinoff/south32? TIME, search new high/low, spinoffs, mtor insider, DST/BR, short rmb! RDI, chinese oil co short/SNP? DOW/T? GPK insider long, WMS, GRA, DNOW, DO, YHOO, GE, TIME, BMS/PKG, MMC, MSG, klarman picks, HD, S, KO, AXP, NXST buy? ETFC insider</t>
  </si>
  <si>
    <t>Reduce all (VRTV?), Watch LL for short on &lt;10% borrow? Look for reduce, Watch AIZ/DAL/LUV for reduce on weakness, Reduce/add per log (mostly for reduce), Watch shorts for BIG POP, then INCREMENTALLY readd on weakness &amp; slow, new sig,  Add 50sVALE puts on new sig? Shorts on stabilize w new sig/weakness? Add FNMASetc. after panic drop &amp; usa decides? Monitor for readd: see log; Research Short china stocks/RMB, M, TWX (insider buy?), RDI insider, BCR, BAX insider, BDL insider, short BHP spinoff/south32? TIME, search new high/low, spinoffs, mtor insider, DST/BR, short rmb! RDI, chinese oil co short/SNP? DOW/T? GPK insider long, WMS, GRA, DNOW, DO, YHOO, GE, TIME, BMS/PKG, MMC, MSG, klarman picks, HD, S, KO, AXP, NXST buy? ETFC insider, BRKR, GRA, BRC, VRX, FOXF</t>
  </si>
  <si>
    <t>Reduce all (DAL/LUV on weakness @ open 3/11, VRTV? shorts), Watch LL for short on &lt;10% borrow? Look for reduce, Watch AIZ/DAL/LUV for reduce on weakness, Reduce/add per log (mostly for reduce), Watch shorts for BIG POP, then INCREMENTALLY readd on weakness &amp; slow, new sig,  Add 50sVALE puts on new sig? Add FNMASetc. after panic drop &amp; usa decides? Monitor for readd: see log; Research Short china stocks/RMB, M, TWX (insider buy?), RDI insider, BCR, BAX insider, BDL insider, short BHP spinoff/south32? TIME, search new high/low, spinoffs, mtor insider, DST/BR, short rmb! RDI, chinese oil co short/SNP? DOW/T? GPK insider long, WMS, GRA, DNOW, DO, YHOO, GE, TIME, BMS/PKG, MMC, MSG, klarman picks, HD, S, KO, AXP, NXST buy? ETFC insider, BRKR, GRA, BRC, VRX, FOXF, LCI review</t>
  </si>
  <si>
    <t>Reduce all esp shorts on Monday 3/16, Watch LL for short on &lt;10% borrow? Look for reduce, Watch AIZ/DAL/LUV for reduce on weakness, Reduce/add per log (mostly for reduce), Watch shorts for BIG POP, then INCREMENTALLY readd on weakness &amp; slow, new sig,  Add 50sVALE puts on new sig? Add FNMASetc. after panic drop &amp; usa decides? Monitor for readd: see log; Research Short china stocks/RMB, M, TWX (insider buy?), RDI insider, BCR, BAX insider, BDL insider, short BHP spinoff/south32? TIME, search new high/low, spinoffs, mtor insider, DST/BR, short rmb! RDI, chinese oil co short/SNP? DOW/T? GPK insider long, WMS, GRA, DNOW, DO, YHOO, GE, TIME, BMS/PKG, MMC, MSG, klarman picks, HD, S, KO, AXP, NXST buy? ETFC insider, BRKR, GRA, BRC, VRX, FOXF, LCI review, VRX review,</t>
  </si>
  <si>
    <t>PAH</t>
  </si>
  <si>
    <t>Reduce all esp shorts (SDRL) on strength 3/17 open, Look for reduce (PKG on weakness), Reduce/add per log (mostly for reduce), Watch shorts for BIG POP, then INCREMENTALLY readd on weakness &amp; slow, new sig,  Add 50sVALE puts on new sig? Add FNMASetc. after panic drop &amp; usa decides? Monitor for readd: see log; Research Short china stocks/RMB, M, TWX (insider buy?), RDI insider, BCR, BAX insider, BDL insider, short BHP spinoff/south32? TIME, search new high/low, spinoffs, mtor insider, DST/BR, short rmb! RDI, chinese oil co short/SNP? DOW/T? GPK insider long, WMS, GRA, DNOW, DO, YHOO, GE, TIME, BMS/PKG, MMC, MSG, klarman picks, HD, S, KO, AXP, NXST buy? ETFC insider, BRKR, GRA, BRC, VRX, FOXF, LCI review, MPC , PNC,</t>
  </si>
  <si>
    <t>Watch shorts (reduce/add oil shorts?), Add 200sHD on dip/newsig, Look for reduce (st stocks, shorts, weakness on longs), Reduce/add per log (mostly for reduce), Watch shorts for BIG POP, then INCREMENTALLY readd on weakness &amp; slow, new sig,  Add 50sVALE puts on new sig? Add FNMASetc. after panic drop &amp; usa decides? Monitor for readd: see log; Research Short china stocks/RMB, M, TWX (insider buy?), RDI insider, BCR, BAX insider, BDL insider, short BHP spinoff/south32? TIME, search new high/low, spinoffs, mtor insider, DST/BR, short rmb! RDI, chinese oil co short/SNP? DOW/T? GPK insider long, WMS, GRA, DNOW, DO, YHOO, GE, TIME, BMS/PKG, MMC, MSG, klarman picks, HD, S, KO, AXP, NXST buy? ETFC insider, BRKR, GRA, BRC, VRX, FOXF, LCI review, MPC , PNC, LAD, LEA insider</t>
  </si>
  <si>
    <t>LEA</t>
  </si>
  <si>
    <t>Humana</t>
  </si>
  <si>
    <t>HUM</t>
  </si>
  <si>
    <t>Look for reduce (st stocks, shorts (esp vale&gt;6.25), buy PSA 100s, weakness on longs), Or watch shorts for new sig? Reduce/add per log (mostly for reduce), Watch shorts for BIG POP, then INCREMENTALLY readd on weakness &amp; slow, new sig,  Add 50sVALE puts on new sig? Add FNMASetc. after panic drop &amp; usa decides? Monitor for readd: see log; Research Short china stocks/RMB, M, TWX (insider buy?), RDI insider, BCR, BAX insider, BDL insider, short BHP spinoff/south32? TIME, search new high/low, spinoffs, mtor insider, DST/BR, short rmb! RDI, chinese oil co short/SNP? DOW/T? GPK insider long, WMS, GRA, DNOW, DO, YHOO, GE, TIME, BMS/PKG, MMC, MSG, klarman picks, HD, S, KO, AXP, NXST buy? ETFC insider, BRKR, GRA, BRC, VRX, FOXF, LCI review, MPC , PNC, LAD, PSA</t>
  </si>
  <si>
    <t>like Cigna</t>
  </si>
  <si>
    <t>PSA</t>
  </si>
  <si>
    <t>LAD</t>
  </si>
  <si>
    <t>Look for reduce (vrtv, qsr, myl) esp per log, Watch shorts for BIG POP, then INCREMENTALLY readd on weakness &amp; slow, new sig,  Add FNMASetc. after panic drop &amp; usa decides? Monitor for readd: see log; Research Short china stocks/RMB, M, TWX (insider buy?), RDI insider, BCR, BAX insider, BDL insider, short BHP spinoff/south32? TIME, search new high/low, spinoffs, mtor insider, DST/BR, short rmb! RDI, chinese oil co short/SNP? DOW/T? GPK insider long, WMS, GRA, DNOW, DO, YHOO, GE, TIME, BMS/PKG, MMC, MSG, klarman picks, S, AXP, NXST buy? ETFC insider, BRKR, GRA, BRC, VRX, FOXF, LCI review, MPC , PNC</t>
  </si>
  <si>
    <t>Watch VRTV reduce on weak 3/24 &gt;10:30am, Watch QSR, Look for reduce esp per log, Watch shorts for BIG POP, then INCREMENTALLY readd on weakness &amp; slow, new sig,  Add FNMASetc. after panic drop &amp; usa decides? Monitor for readd: see log; Research Short china stocks/RMB, M, TWX (insider buy?), RDI insider, BCR, BAX insider, BDL insider, short BHP spinoff/south32? TIME, search new high/low, spinoffs, mtor insider, DST/BR, short rmb! RDI, chinese oil co short/SNP? DOW/T? GPK insider long, GRA, DNOW, DO, YHOO, GE, TIME, BMS/PKG, MMC, MSG, klarman picks, S, AXP, NXST buy? ETFC insider, BRKR, GRA, BRC, VRX, FOXF, LCI review, MPC , PNC, PLUS, PINC,</t>
  </si>
  <si>
    <t>Hyster-Yale Materials Handling Inc</t>
  </si>
  <si>
    <t>HY</t>
  </si>
  <si>
    <t>International Business Machines Corp.</t>
  </si>
  <si>
    <t>IBM</t>
  </si>
  <si>
    <t>P1) Buffett pick</t>
  </si>
  <si>
    <t>Independent Banking Group</t>
  </si>
  <si>
    <t>Alt tgt at 55 P1) insider buying P2) wfc-like metrics P3) tx growth/industries as moat C1) too small? C2) liquidity of stock?</t>
  </si>
  <si>
    <t>Icon plc</t>
  </si>
  <si>
    <t>Watch VRTV reduce on weak 3/24 &gt;10:30am or pop, Watch QSR/PBR/VALE/WFT, Add DAL/LUV/PSX/MPC on dip, Look for reduce esp per log, Watch shorts for BIG POP, then INCREMENTALLY readd on weakness &amp; slow, new sig,  Add FNMASetc. after panic drop &amp; usa decides? Monitor for readd: see log; Research Short china stocks/RMB, M, TWX (insider buy?), RDI insider, BCR, BAX insider, BDL insider, short BHP spinoff/south32? TIME, search new high/low, spinoffs, mtor insider, DST/BR, short rmb! RDI, chinese oil co short/SNP? DOW/T? GPK insider long, GRA, DNOW, DO, YHOO, GE, TIME, BMS/PKG, MMC, MSG, klarman picks, S, AXP, NXST buy? ETFC insider, BRKR, GRA, BRC, VRX, FOXF, LCI review, MPC , PNC, PLUS, PRLB</t>
  </si>
  <si>
    <t>contract bio researcher</t>
  </si>
  <si>
    <t>IDEXX Laboratories, Inc.</t>
  </si>
  <si>
    <t>IDXX</t>
  </si>
  <si>
    <t>P1) pet medicine P2) insider 8/2018, insider 2/2019, insider 8/2019 271</t>
  </si>
  <si>
    <t>Interval Leisure Group Inc</t>
  </si>
  <si>
    <t>IILG</t>
  </si>
  <si>
    <t>Infosys Ltd ADR</t>
  </si>
  <si>
    <t>INFY</t>
  </si>
  <si>
    <t>P1) IT consulting/services? C1) too old?</t>
  </si>
  <si>
    <t>Ingredion Incorporated</t>
  </si>
  <si>
    <t>INGR</t>
  </si>
  <si>
    <t>Intel Corporation </t>
  </si>
  <si>
    <t>INTC</t>
  </si>
  <si>
    <t>Watch shorts for reduce, Look for reduce esp per log, Watch shorts for BIG POP, then INCREMENTALLY readd on weakness &amp; slow, new sig,  Add FNMASetc. after panic drop &amp; usa decides? Monitor for readd: see log; Research Short china stocks/RMB, M, TWX (insider buy?), RDI insider, BCR, BAX insider, BDL insider, short BHP spinoff/south32? TIME, search new high/low, spinoffs, mtor insider, DST/BR, short rmb! RDI, chinese oil co short/SNP? DOW/T? GPK insider long, GRA, DNOW, DO, YHOO, GE, TIME, BMS/PKG, MMC, MSG, klarman picks, S, AXP, NXST buy? ETFC insider, BRKR, GRA, BRC, VRX, FOXF, LCI review, MPC , PNC, PLUS, PRLB, Research AXP</t>
  </si>
  <si>
    <t>Chips, P1) data center P2) IoT C1) data center demand slowing? c2) hardware not a moat and growth not as good as software? c3) disruption from arm?</t>
  </si>
  <si>
    <t>Intuit</t>
  </si>
  <si>
    <t>INTU</t>
  </si>
  <si>
    <t>tax software</t>
  </si>
  <si>
    <t>QUINTILES TRANSNATIONAL HOLDINGS INC.</t>
  </si>
  <si>
    <t>drug lab</t>
  </si>
  <si>
    <t>Investors Bancorp</t>
  </si>
  <si>
    <t>P1) insiders buy 12/2013 C1) Moat? C2) insider selling? C3) FCF/BV weak</t>
  </si>
  <si>
    <t>Intuitive Surgical Inc.</t>
  </si>
  <si>
    <t>P1) robotic surgery C1) citron research short, poor product</t>
  </si>
  <si>
    <t>ITT Inc</t>
  </si>
  <si>
    <t>ITT</t>
  </si>
  <si>
    <t>oil &amp; gas tools</t>
  </si>
  <si>
    <t xml:space="preserve">Illinois Tool Works Inc. </t>
  </si>
  <si>
    <t>ITW</t>
  </si>
  <si>
    <t>P1) diversified equipment C1) moat?</t>
  </si>
  <si>
    <t>Jack Henry &amp; Associates</t>
  </si>
  <si>
    <t>JKHY</t>
  </si>
  <si>
    <t>Reduce shorts esp PBR, Reduce QSR? Watch shorts for BIG POP, then INCREMENTALLY readd on weakness &amp; slow, new sig,  Look for reduce esp per log, Add FNMASetc. after panic drop &amp; usa decides? Monitor for readd: see log; Research Short china stocks/RMB, M, TWX (insider buy?), RDI insider, BCR, BAX insider, BDL insider, short BHP spinoff/south32? TIME, search new high/low, spinoffs, mtor insider, DST/BR, short rmb! RDI, chinese oil co short/SNP? DOW/T? GPK insider long, YHOO, GE, TIME, BMS/PKG, MMC, MSG, klarman picks, S, NXST buy? ETFC insider, BRKR, GRA, FOXF, LCI review, MPC , PNC, PLUS, PRLB, Research AXP, HD</t>
  </si>
  <si>
    <t>financial technology</t>
  </si>
  <si>
    <t>Johson and Johnson</t>
  </si>
  <si>
    <t>JNJ</t>
  </si>
  <si>
    <t>consumer staple</t>
  </si>
  <si>
    <t>J.P. Morgan</t>
  </si>
  <si>
    <t>bank P1) well-run bank P2) insider 4/2017, 4/2019 10/2019 C1) low asset turnover</t>
  </si>
  <si>
    <t>Reduce SYF to 10% on weakness 4/7 open, Short VALE2% on weakness, Watch shorts for BIG POP, then INCREMENTALLY readd on weakness &amp; slow, new sig,  Look for reduce esp per log, Add FNMASetc. after panic drop &amp; usa decides? Monitor for readd: see log; Research Short china stocks/RMB, M, TWX (insider buy?), RDI insider, BCR, BAX insider, BDL insider, short BHP spinoff/south32? TIME, search new high/low, spinoffs, mtor insider, DST/BR, short rmb! RDI, chinese oil co short/SNP? DOW/T? GPK insider long, YHOO, GE, TIME, BMS/PKG, MMC, MSG, klarman picks, S, NXST buy? ETFC insider, BRKR, GRA, FOXF, LCI review, MPC , PNC, PLUS, PRLB, Research AXP, HD, DST, KMG, BHP short?</t>
  </si>
  <si>
    <t>Reduce ONLY, Reduce SYF to 9%(2k) or less, QSR on weakness 4/8 open &gt;10:30am, Watch shorts for BIG POP, then INCREMENTALLY readd on weakness &amp; slow, new sig,  Look for reduce esp per log, Add FNMASetc. after panic drop &amp; usa decides? Monitor for readd: see log; Research Short china stocks/RMB, M, TWX (insider buy?), RDI insider, BCR, BAX insider, BDL insider, short BHP spinoff/south32? TIME, search new high/low, spinoffs, mtor insider, DST/BR, short rmb! RDI, chinese oil co short/SNP? DOW/T? GPK insider long, YHOO, GE, TIME, BMS/PKG, MMC, MSG, klarman picks, S, NXST buy? ETFC insider, BRKR, GRA, FOXF, LCI review, MPC , PNC, PLUS, PRLB, Research AXP, HD, DST, KMG,</t>
  </si>
  <si>
    <t>John Wiley &amp; Sons Inc</t>
  </si>
  <si>
    <t>JW.A</t>
  </si>
  <si>
    <t>P1) Publishing/higher education C1) Moat?</t>
  </si>
  <si>
    <t>Kirby Corporation</t>
  </si>
  <si>
    <t>KEX</t>
  </si>
  <si>
    <t>Tank barges! P1) Largest jones act carriers? C1) Moat = largest inland (jones act)?  C2) Competitor to cni, dependence on oil/gas movt C3) insider selling?</t>
  </si>
  <si>
    <t>Keysight</t>
  </si>
  <si>
    <t>Instruments for science valued after margins revert to earlier yrs, P1) good metrics P2) cost cutting possible P1) poor revenue growth?</t>
  </si>
  <si>
    <t>Kraft Heinz</t>
  </si>
  <si>
    <t>KHC</t>
  </si>
  <si>
    <t>buffett &amp; 3g pick for fast food, P1) insider 2016 around 72$</t>
  </si>
  <si>
    <t>CarMax Inc.</t>
  </si>
  <si>
    <t>KMX</t>
  </si>
  <si>
    <t>used cars C1) rev's growing faster than earnings?</t>
  </si>
  <si>
    <t>Coca Cola</t>
  </si>
  <si>
    <t>KO</t>
  </si>
  <si>
    <t>Look for reduce esp per log, Reshort VALE/CLF on weakness 4/17 &gt;10:30am, Add AXP? Watch shorts for BIG POP, then INCREMENTALLY readd on weakness &amp; slow, new sig,  Add FNMASetc. after panic drop &amp; usa decides? Monitor for readd: see log; Research Short china stocks/RMB, M, TWX (insider buy?), RDI insider, BCR, BAX insider, BDL insider, short BHP spinoff/south32? TIME, search new high/low, spinoffs, mtor insider, DST/BR, short rmb! RDI, chinese oil co short/SNP? DOW/T? GPK insider long, YHOO, GE, TIME, , MMC, MSG, klarman picks, S, NXST buy? ETFC insider, BRKR, GRA, FOXF, LCI review, MPC , PNC, PLUS, PRLB, Research AXP, HD, LII</t>
  </si>
  <si>
    <t>Michael Kors</t>
  </si>
  <si>
    <t>KORS</t>
  </si>
  <si>
    <t>P1) good metrics, P2) insider C1) moat in apparel?</t>
  </si>
  <si>
    <t>Kroger</t>
  </si>
  <si>
    <t>KR</t>
  </si>
  <si>
    <t>Valued @ mid cycle earnigns, Grocery/consolidation P1) good roe P2) insider 2015? C1) deflation?</t>
  </si>
  <si>
    <t>Quakers Chemical</t>
  </si>
  <si>
    <t>KWR</t>
  </si>
  <si>
    <t>Steel/metal/auto chemical supplier. Good co. but wait until china better!</t>
  </si>
  <si>
    <t>Multi Color</t>
  </si>
  <si>
    <t>Readd 400sAIG/450sAWH//250sPKG, Reduce per log, Reeval GPC/HD for sell? Reshort VALE/CLF on weakness 4/20 &gt;10:30am, Watch shorts for BIG POP, then INCREMENTALLY readd on weakness &amp; slow, new sig,  Add FNMASetc. after panic drop &amp; usa decides? Monitor for readd: see log; Research Short china stocks/RMB, M, TWX (insider buy?), RDI insider, BCR, BAX insider, BDL insider, short BHP spinoff/south32? TIME, search new high/low, spinoffs, mtor insider, DST/BR, short rmb! RDI, chinese oil co short/SNP? DOW/T? GPK insider long, YHOO, GE, TIME, , MMC, MSG, klarman picks, S, NXST buy? ETFC insider, BRKR, GRA, FOXF, LCI review, MPC , PNC, PLUS, PRLB, Research AXP, HD, LII, DG, COTY, SEB</t>
  </si>
  <si>
    <t>Rollup of labels P1) High end labels P2) insider buying at highs 9/2014 and 2/2018 C1) decreasing ROA bc not much pricing power C2) more debt? C3) accounting weakness? C4) foreign curr loss?</t>
  </si>
  <si>
    <t>Lithia Motors</t>
  </si>
  <si>
    <t>P1) car seller P2) insider 3/2015 P3) industry consolidation C1) volatile metrics C2) fcf negative 2013 to 2015?!</t>
  </si>
  <si>
    <t>Drew Industries (LCI Industries)</t>
  </si>
  <si>
    <t xml:space="preserve">RV Supplier Acquirer: P1) great fundamentals P2) insider buying @ 115/share and 6/2018 and no sells C1) cyclical see rv industry stats very negative sept 2018 c2) pricing power vs concentrated rv seller? </t>
  </si>
  <si>
    <t>Lear Corp</t>
  </si>
  <si>
    <t>auto supplier P1) insider 3/2015 @ highs C1) insider selling C2) lack of rev growth? C3) competitive advantage vs. other suppliers &amp; customers such as GM?</t>
  </si>
  <si>
    <t>Lincoln Electric Holdings, Inc.</t>
  </si>
  <si>
    <t>LECO</t>
  </si>
  <si>
    <t>P1) insider buying P2) welding/automation C1) chinese exposure?</t>
  </si>
  <si>
    <t>Laboratory Corp. of America Holdings</t>
  </si>
  <si>
    <t xml:space="preserve">LH </t>
  </si>
  <si>
    <t>Laboratory testing! Better than DGX</t>
  </si>
  <si>
    <t>Lennox International Inc.</t>
  </si>
  <si>
    <t>Reduce per log, Watch shorts for BIG POP, then INCREMENTALLY readd on weakness &amp; slow, new sig,  Add FNMASetc. after panic drop &amp; usa decides? Monitor for readd: see log; Research Short china stocks/RMB, M, TWX (insider buy?), RDI insider, BCR, BAX insider, BDL insider, short BHP spinoff/south32? TIME, search new high/low, spinoffs, mtor insider, DST/BR, short rmb! RDI, chinese oil co short/SNP? DOW/T? GPK insider long, YHOO, GE, TIME, , MMC, MSG, klarman picks, S, NXST buy? ETFC insider, BRKR, GRA, FOXF, LCI review, MPC , PNC, PLUS, PRLB, Research AXP, HD, LII, AER research, M insider</t>
  </si>
  <si>
    <t xml:space="preserve">HVAC P1) insider 7/2017 c1) growth? </t>
  </si>
  <si>
    <t>Eli Lilly</t>
  </si>
  <si>
    <t>LLY</t>
  </si>
  <si>
    <t>LeMaitre Vascular, Inc</t>
  </si>
  <si>
    <t>LMAT</t>
  </si>
  <si>
    <t>DOW</t>
  </si>
  <si>
    <t>Liberty media corp (Sirus XM Radio++)</t>
  </si>
  <si>
    <t>LMCA</t>
  </si>
  <si>
    <t>WBA</t>
  </si>
  <si>
    <t>Add3%YUM, Look for reduce, Readd CFG/PAH others? Watch shorts for BIG POP, then INCREMENTALLY readd on weakness &amp; slow, new sig,   Research Short china stocks/RMB, BDL insider, short BHP spinoff/south32? TIME, search new high/low, spinoffs, mtor insider, DST/BR, GPK insider long, YHOO, MMC, MSG, klarman picks, S, BRKR, GRA, FOXF, LCI+, PNC, M insider, ASPS watch, CDK, JAH/PAH/platform company research</t>
  </si>
  <si>
    <t>P1) SIRI growth &amp; pricing power per vic write-up P2) Chairman buying near highs 6/2013 C1) online radio competition?</t>
  </si>
  <si>
    <t>Landstar System, Inc.</t>
  </si>
  <si>
    <t>LSTR</t>
  </si>
  <si>
    <t>Watch shorts for BIG POP, then INCREMENTALLY readd on weakness &amp; slow, new sig,   Research Short china stocks/RMB, BDL insider, short BHP spinoff/south32? TIME, search new high/low, spinoffs, mtor insider, DST/BR, GPK insider long, YHOO, MMC, MSG, klarman picks, S, BRKR, GRA, FOXF, PNC, M insider, ASPS watch, CDK, JAH/platform company research, BLWD,</t>
  </si>
  <si>
    <t>P1) logistics!</t>
  </si>
  <si>
    <t xml:space="preserve">Lululemon Athletica inc. </t>
  </si>
  <si>
    <t>LULU</t>
  </si>
  <si>
    <t>Athletic clothing C1) Moat?</t>
  </si>
  <si>
    <t>Southwest</t>
  </si>
  <si>
    <t xml:space="preserve">P1) insider buying 2/2014 2/2018 P2) stronger than DAL in price and fundamentals P3) short oil C1) capacity growing again in 6/2016? overearning?  C2) 7/2015 gov't intervention C3) employee relations bad 06/2016 </t>
  </si>
  <si>
    <t>Add MKL10s, Reduce VALE/CLF to orig if not down day, Watch shorts for BIG POP, then INCREMENTALLY readd on weakness &amp; slow, new sig,   Research Short china stocks/RMB, BDL insider, short BHP spinoff/south32? TIME, search new high/low, spinoffs, mtor insider, DST/BR, GPK insider long, YHOO, MMC, MSG, klarman picks, S, BRKR, GRA, FOXF, PNC, M insider, ASPS watch, CDK, JAH/platform company research, BLWD, PAYC/BLKB insider, GMCR insider.</t>
  </si>
  <si>
    <t>Watch PSX/MPC trade, Reduce VALE/CLF to orig if not down day, Watch shorts for BIG POP, then INCREMENTALLY readd on weakness &amp; slow, new sig,   Research Short china stocks/RMB, BDL insider, short BHP spinoff/south32? TIME, search new high/low, spinoffs, mtor insider, DST/BR, GPK insider long, YHOO, MMC, MSG, klarman picks, S, BRKR, GRA, FOXF, PNC, M insider, ASPS watch, CDK, JAH/platform company research, BLWD, PAYC/BLKB insider, GMCR insider, CPS, AVID</t>
  </si>
  <si>
    <t>Reduce per log, reduce MYL? research short SDRL/PBR? Watch shorts for BIG POP, then INCREMENTALLY readd on weakness &amp; slow, new sig,  Short BHP spinoff/south32? DST/BR, GPK insider long, YHOO, MMC, MSG, klarman picks, S, BRKR, GRA, FOXF, PNC, M insider, ASPS watch, CDK, JAH/platform company research, BLWD, PAYC/BLKB insider, GMCR insider, CPS insider, AVID, ZTS rebuy? DTV, FIS,</t>
  </si>
  <si>
    <t>Watch PBR/SDRL for reduce? Watch MPC/PSX for reduce on eod weakness 5/20, Reduce per log Watch shorts for BIG POP, then INCREMENTALLY readd on weakness &amp; slow, new sig,  Short BHP spinoff/south32? DST/BR, GPK insider long, YHOO, MMC, MSG, klarman picks, S, BRKR, GRA, FOXF, PNC, M insider, ASPS watch, CDK, JAH/platform company research, BLWD, PAYC/BLKB insider, GMCR insider, CPS insider, AVID, ZTS rebuy? DTV, FIS,</t>
  </si>
  <si>
    <t>Watch MPC/PSX for reduce on eod weakness 5/21, Reduce per log, Watch shorts for BIG POP, then INCREMENTALLY readd on weakness &amp; slow, new sig,  Short BHP spinoff/south32? DST/BR, GPK insider long, YHOO, MMC, MSG, klarman picks, S, BRKR, GRA, FOXF, PNC, M insider, ASPS watch, CDK, JAH/platform company research, BLWD, PAYC/BLKB insider, GMCR insider, CPS insider, AVID, ZTS rebuy? DTV, FIS,</t>
  </si>
  <si>
    <t>WST</t>
  </si>
  <si>
    <t>Lamb Weston</t>
  </si>
  <si>
    <t>LW</t>
  </si>
  <si>
    <t>frozen potatos</t>
  </si>
  <si>
    <t xml:space="preserve">LyondellBasell Industries N.V. </t>
  </si>
  <si>
    <t>LYB</t>
  </si>
  <si>
    <t>REBALANCE PER LOG ASAP, Reduce per log, Watch VALE/CLF shorts for BIG POP, then INCREMENTALLY readd on weakness &amp; slow, new sig,  Short BHP spinoff/south32? DST/BR, GPK insider long, YHOO, MMC, MSG, klarman picks, S, BRKR, GRA, FOXF, PNC, M insider, ASPS watch, CDK, JAH/platform company research, BLWD, PAYC/BLKB insider, GMCR insider, CPS insider, AVID, ZTS rebuy? DTV, FIS,</t>
  </si>
  <si>
    <t>Ethelyene production P1) NA oil/gas chemical producer cheaper than rest of world  P2) insider buying 2015 minor C1) commodity prods C2) ethylene capacity  growth</t>
  </si>
  <si>
    <t>Macy's</t>
  </si>
  <si>
    <t>M</t>
  </si>
  <si>
    <t>Mastercard</t>
  </si>
  <si>
    <t>Payments processing electronic moat P1) Electronic payments = network moat P2) insider 11/2018 C1) growth?</t>
  </si>
  <si>
    <t>Reduce VALE/PBR on up day 5/28 eod, REBALANCE PER LOG ASAP, Watch VALE/CLF shorts for BIG POP, then INCREMENTALLY readd on weakness &amp; slow, new sig,  Short BHP spinoff/south32? DST/BR, GPK insider long, MMC, MSG, klarman picks, S, BRKR, GRA, FOXF, PNC, M insider, ASPS watch, CDK, JAH, BLWD, PAYC/BLKB insider, GMCR insider, CPS insider, ZTS rebuy? DTV,</t>
  </si>
  <si>
    <t>Short CLF2500s on relative weakness, Reduce VALE/PBR on up day 5/28 eod, Rebalance per log, Watch VALE/CLF shorts for BIG POP, then INCREMENTALLY readd on weakness &amp; slow, new sig,  Short BHP spinoff/south32? DST/BR, GPK insider long, MMC, MSG, klarman picks, S, BRKR, GRA, FOXF, PNC, M insider, ASPS watch, WWD, CVO, MMC, BID, NUVA</t>
  </si>
  <si>
    <t>Reduce VALE/PBR on up day 5/28 eod, Rebalance per log, Watch VALE/CLF shorts for BIG POP, then INCREMENTALLY readd on weakness &amp; slow, new sig,  Short BHP spinoff/south32? DST/BR, GPK insider long, MMC, MSG, klarman picks, S, BRKR, GRA, FOXF, PNC, M insider, ASPS watch</t>
  </si>
  <si>
    <t>Add AER225s-325s on dip? Reduce MYL100s/PSX40s on pop? Rebalance per log, Watch VALE/CLF shorts for BIG POP, then INCREMENTALLY readd on weakness &amp; slow, new sig,  Short BHP spinoff/south32? DST/BR, GPK insider long, MMC, MSG, klarman picks, S, BRKR, GRA, FOXF, PNC, M insider, ASPS watch, WU</t>
  </si>
  <si>
    <t>Reduce MYL100s/PSX40s on pop? Rebalance per log, Watch VALE/CLF shorts for BIG POP, then INCREMENTALLY readd on weakness &amp; slow, new sig,  Short BHP spinoff/south32? DST/BR, GPK insider long, MMC, MSG, klarman picks, S, BRKR, GRA, FOXF, PNC, M insider, ASPS watch, WU, btu short?</t>
  </si>
  <si>
    <t>Watch shorts for add on weakness/reduce, Short more CLF1ks on weakness 6/5 new low &gt;10:30am? Reduce MYL100s/PSX40s? Rebalance per log, Watch VALE/CLF shorts for BIG POP, then INCREMENTALLY readd on weakness &amp; slow, new sig,  Short BHP spinoff/south32? DST/BR, GPK insider long, MMC, MSG, klarman picks, S, BRKR, GRA, FOXF, PNC, M insider, ASPS watch, WU, btu short? LDR, WWAV insider, JNJ insider, PAY/EBAY split, ESNT</t>
  </si>
  <si>
    <t>Reshort PBR 2% on pop/weakness, Reduce MYL100s/PSX40s? Rebalance per log, Watch VALE/CLF shorts for BIG POP, then INCREMENTALLY readd on weakness &amp; slow, new sig,  Short BHP spinoff/south32? DST/BR, GPK insider long, MMC, MSG, klarman picks, S, BRKR, GRA, FOXF, PNC, M insider, ASPS watch, WU, btu short? LDR, WWAV insider, JNJ insider, PAY/EBAY split, ESNT, MNK, RLI</t>
  </si>
  <si>
    <t>Reduce shorts CLF&gt;5.30 eod, VALE &gt;7, SDRL&gt;13, Reduce MYL100s/PSX40s? Rebalance per log, Watch VALE/CLF shorts for BIG POP, then INCREMENTALLY readd on weakness &amp; slow, new sig,  Short BHP spinoff/south32? DST/BR, GPK insider long, MMC, MSG, klarman picks, S, BRKR, GRA, FOXF, PNC, M insider, ASPS watch, WU, btu short? LDR, WWAV insider, JNJ insider, PAY/EBAY split, ESNT, MNK, RLI research, HCC</t>
  </si>
  <si>
    <t>Short CNX250s+, WLB250s+, CHK800s+, Buy CI50s, Add 1% to CLF/VALE on new sig? Watch BTU for new sig, Rebalance per log, Watch VALE/CLF shorts for BIG POP, then INCREMENTALLY readd on weakness &amp; slow, new sig,  Short BHP spinoff/south32? BR, GPK insider long, MMC, MSG, klarman picks, S, BRKR, GRA, FOXF, PNC, M insider, WU, btu short? LDR, WWAV insider, JNJ insider, PAY/EBAY split, MNK, RLI research, HCC, CNX short? TDC</t>
  </si>
  <si>
    <t>Manhattan Associates</t>
  </si>
  <si>
    <t>MANH</t>
  </si>
  <si>
    <t>DW</t>
  </si>
  <si>
    <t>supply chain consultants</t>
  </si>
  <si>
    <t>SCTY 1% insider?!, Reduce VOYA? Add 1% to CLF/VALE on new sig? Watch BTU for new sig, Rebalance per log, Watch VALE/CLF shorts for BIG POP, then INCREMENTALLY readd on weakness &amp; slow, new sig,  Short BHP spinoff/south32? BR, GPK insider long, MMC, MSG, klarman picks, S, BRKR, GRA, FOXF, PNC, M insider, WU, btu short? LDR, WWAV insider, JNJ insider, PAY/EBAY split, MNK, RLI research, HCC, CNX short? TDC, DW insider, SCTY, Dish/VZ, SPB, MTB</t>
  </si>
  <si>
    <t>ManTech International Corporation</t>
  </si>
  <si>
    <t>MANT</t>
  </si>
  <si>
    <t>P1) Cyber security C1) Moat/growth?</t>
  </si>
  <si>
    <t>Masimo</t>
  </si>
  <si>
    <t>MASI</t>
  </si>
  <si>
    <t>Short TCK575s, Watch VALE1k/CLF1.3ks for add on rel weakness? Watch PBR for reduce? Reduce MYL150s? Add 1% to CLF/VALE+new BTU on new sig? Rebalance per log, Short BHP spinoff/south32? BR, GPK insider long, MMC, MSG, klarman picks, S, BRKR, GRA, FOXF, PNC, M insider, WU, btu short? LDR, WWAV insider, JNJ insider, PAY/EBAY split, MNK, RLI research, HCC, CNX short? TDC, DW insider, SCTY, Dish/VZ, SPB, MTB, OII research</t>
  </si>
  <si>
    <t>medical tech/signal</t>
  </si>
  <si>
    <t xml:space="preserve">McDonald's Corporation </t>
  </si>
  <si>
    <t>MCD</t>
  </si>
  <si>
    <t>P1) best fast food C1) declining revenue</t>
  </si>
  <si>
    <t>McKesson</t>
  </si>
  <si>
    <t>MCK</t>
  </si>
  <si>
    <t>pharma distr like ABC P1) good roic C1) low margins? C2) competition from amazon?</t>
  </si>
  <si>
    <t>Watch VALE1k/CLF1.3ks for add on rel weakness? Watch PBR for reduce? Reduce MYL150s? Add 1% to CLF/VALE+new BTU on new sig? Rebalance per log, Short BHP spinoff/south32? BR, GPK insider long, MMC, MSG, klarman picks, S, BRKR, GRA, FOXF, PNC, M insider, WU, btu short? LDR, WWAV insider, JNJ insider, PAY/EBAY split, MNK, RLI research, HCC, CNX short? TDC, DW insider, SCTY, Dish/VZ, SPB, MTB, OII research</t>
  </si>
  <si>
    <t>Moody's Corporation</t>
  </si>
  <si>
    <t>MPEL</t>
  </si>
  <si>
    <t>oligopoly ratings P1) great fundamentals/roa P2) insider 8/2018</t>
  </si>
  <si>
    <t>Mednax</t>
  </si>
  <si>
    <t>Watch VALE1k/CLF1.3ks for add on rel weakness? Watch SNA for add?, Reduce MYL150s? Add 1% to CLF/VALE+new BTU on new sig? Rebalance per log, Short BHP spinoff/south32? BR, GPK insider long, MMC, MSG, klarman picks, S, BRKR, GRA, FOXF, PNC, M insider, WU, btu short? LDR, WWAV insider, JNJ insider, PAY/EBAY split, MNK, RLI research, HCC, CNX short? TDC, DW insider, SCTY, Dish/VZ, SPB, MTB, OII research, SNA research, research airlines? CMT/ACTA</t>
  </si>
  <si>
    <t>MD</t>
  </si>
  <si>
    <t>neonatal care</t>
  </si>
  <si>
    <t>Mondelez Intl</t>
  </si>
  <si>
    <t>MDLZ</t>
  </si>
  <si>
    <t>snacks, valued per brooklyn investor  P1) ackman catalyst P2) brooklyn investor valuation with 7% abs increase in operating margins P3) insider 8/2015 C1) lack of growth so far?</t>
  </si>
  <si>
    <t>Reduce CLF/VALE on strength Monday &gt;10:30am, Exit GMCR? Reduce MYL150s? Add 1% to CLF/VALE+new BTU on new sig? Rebalance per log, Short BHP spinoff/south32? BR, GPK insider long, MMC, MSG, klarman picks, S, BRKR, GRA, FOXF, PNC, M insider, WU, btu short? LDR, WWAV insider, JNJ insider, PAY/EBAY split, MNK, RLI research, HCC, CNX short? TDC, DW insider, SCTY, Dish/VZ, SPB, MTB, OII research, SNA research, research airlines? CMT/ACTA</t>
  </si>
  <si>
    <t>Medtronic</t>
  </si>
  <si>
    <t>medical equipment P1) insider 11/2016, 8/2018</t>
  </si>
  <si>
    <t>Reduce CLF on strength 6/30 &gt;10:30am? Reduce shorts? Reduce MYL150s? Add BRK.B45s? Short BTU on new sig? Rebalance per log, Short BHP spinoff/south32? BR, GPK insider long, MMC, MSG, klarman picks, S, BRKR, GRA, FOXF, PNC, M insider, WU, btu short? LDR, WWAV insider, JNJ insider, PAY/EBAY split, MNK, RLI research, HCC, CNX short? TDC, DW insider, SCTY, Dish/VZ, SPB, MTB, OII research, SNA research, research airlines? CMT/ACTA</t>
  </si>
  <si>
    <t>Michaels Companies</t>
  </si>
  <si>
    <t>MIK</t>
  </si>
  <si>
    <t>P1) great metrics P2) insider buying C1) growth?</t>
  </si>
  <si>
    <t>BRK B</t>
  </si>
  <si>
    <t>Mccormick</t>
  </si>
  <si>
    <t>spices P1) decent metrics P2) insider 5/2017</t>
  </si>
  <si>
    <t>Markel</t>
  </si>
  <si>
    <t>Buffett like, insurer + investments both good valued @ 94 combined + 5% investments P1) vic write up Jan2013 P2) insider buying 2/2014, 2/2018, 11/2018</t>
  </si>
  <si>
    <t>Reduce shorts? Reduce MYL150s? Short BTU on new sig? Rebalance per log, Short BHP spinoff/south32? BR, GPK insider long, MMC, MSG, klarman picks, S, BRKR, GRA, FOXF, PNC, M insider, WU, btu short? LDR, WWAV insider, JNJ insider, PAY/EBAY split, MNK, RLI research, HCC, CNX short? TDC, DW insider, SCTY, Dish/VZ, research BAX spinoff Baxalta BXLT, BAM research? Bayer spinoff</t>
  </si>
  <si>
    <t>Watch shorts for reduce Reduce MYL150s? Short BTU on new sig? Rebalance per log, BR, GPK insider long, MMC, MSG, klarman picks, S, BRKR, GRA, FOXF, PNC, M insider, WU, btu short? LDR, WWAV insider, JNJ insider, PAY/EBAY split, MNK, RLI research, HCC, CNX short? TDC, DW insider, SCTY, Dish/VZ, research BAX spinoff Baxalta BXLT, BAM research? Bayer spinoff, DTV</t>
  </si>
  <si>
    <t xml:space="preserve">MarketAxess Holdings Inc. </t>
  </si>
  <si>
    <t>Cover shorts if not weak opening 7/9, Watch shorts for reduce, Short BTU on new sig? Rebalance per log, BR, GPK insider long, MMC, MSG, klarman picks, S, BRKR, GRA, FOXF, PNC, M insider, WU, btu short? LDR, WWAV insider, JNJ insider, PAY/EBAY split, MNK, RLI research, HCC, CNX short? TDC, DW insider, SCTY, Dish/VZ, research BAX spinoff Baxalta BXLT, BAM research? Bayer spinoff, DTV, BKS, DY, LAYN, SNP or other option short?</t>
  </si>
  <si>
    <t>650k stop, positive on s&amp;p 500 for 2015, target 70-100% net long, max 120% long, max 30% short (mostly china), gross 150% max</t>
  </si>
  <si>
    <t>Bond etrading P1) network effects on traders C1) competition w tradeweb? C2) new competition from BLK/GS creating own systems</t>
  </si>
  <si>
    <t>Add to AER? Reduce shorts if not favorable move 7/10 &gt;10:30am, Add on coal shorts on pop, Reduce CHK/oil shorts? Short BTU on new sig? Rebalance per log, BR, GPK insider long, MMC, MSG, klarman picks, S, BRKR, GRA, FOXF, PNC, M insider, WU, btu short? LDR, WWAV insider, JNJ insider, PAY/EBAY split, MNK, RLI research, HCC, CNX short? TDC, DW insider, SCTY, Dish/VZ, research BAX spinoff Baxalta BXLT, BAM research? Bayer spinoff, DTV, BKS, DY, LAYN, SNP or other option short? research LNG for shrt? Spinoffs, MU, LPG</t>
  </si>
  <si>
    <t>Marsh and McLennan</t>
  </si>
  <si>
    <t>oligopolistic risk consultant P1) risk consultant</t>
  </si>
  <si>
    <t>Readd shorts on pop MPEL700s, PBR1650s, VALE2350s, pivoting to coal/BTU, 1/2VALE, TCK? Rebalance per log, BR, GPK insider long, MMC, MSG, klarman picks, S, BRKR, GRA, FOXF, PNC, M insider, WU, btu short? LDR, WWAV insider, JNJ insider, PAY/EBAY split, MNK, RLI research, HCC, CNX short? TDC, DW insider, SCTY, Dish/VZ, research BAX spinoff Baxalta BXLT, BAM research? Bayer spinoff, DTV, BKS, DY, LAYN, SNP or other option short? research LNG for shrt? Spinoffs</t>
  </si>
  <si>
    <t>3M</t>
  </si>
  <si>
    <t>MMM</t>
  </si>
  <si>
    <t>consumer + industrial conglomerate dip P1) Great valuation/financial metrics C1) Growth/Moat? C2) too big</t>
  </si>
  <si>
    <t>Maximus</t>
  </si>
  <si>
    <t>MMS</t>
  </si>
  <si>
    <t>Readd shorts on new sig, on pop pivoting to coal/BTU, ? Rebalance per log, BR, GPK insider long, MMC, MSG, klarman picks, S, BRKR, GRA, FOXF, PNC, M insider, WU, btu short? LDR, WWAV insider, JNJ insider, PAY/EBAY split, MNK, RLI research, HCC, CNX short? TDC, DW insider, SCTY, Dish/VZ, research BAX spinoff Baxalta BXLT, BAM research? Bayer spinoff, DTV, BKS, DY , SNP or other option short? research LNG for shrt? Spinoffs</t>
  </si>
  <si>
    <t>gov't consulting P1) good metrics C1) trump/govt risk?</t>
  </si>
  <si>
    <t>Monster Beverage</t>
  </si>
  <si>
    <t>MNST</t>
  </si>
  <si>
    <t>P1) Next gen drink C1) SEC investigation?</t>
  </si>
  <si>
    <t>Morningstar</t>
  </si>
  <si>
    <t>MORN</t>
  </si>
  <si>
    <t>Valued @ 12.5x ttm P1) insider buying 11/2013 P2) fertilizer C1) growth/moat? C2) size?</t>
  </si>
  <si>
    <t>Mosaic</t>
  </si>
  <si>
    <t>MOS</t>
  </si>
  <si>
    <t>Marathon Petroleum</t>
  </si>
  <si>
    <t>$9 spread ~ 2.4B eps*10-15 = 24-36B mkt cap, Best refiner, sensitive to 6 3 2 1 crack + wti/brent (equilibrium @ 9-15$?) P1) canadian/tight oil P2) insider buying C1) wti-brent shrinkage bc of oversupply? C2) take or pay pipelines make spread economics go away, but not really bc 9$ pipeline costs</t>
  </si>
  <si>
    <t>provider of indices</t>
  </si>
  <si>
    <t>Microsoft Corporation</t>
  </si>
  <si>
    <t>OS + Cloud P1) monopoly in OS P2) cloud P3) insider 6/2018 (100) C1) Growth? C2) too big/old!</t>
  </si>
  <si>
    <t>Add DW100s? SU/PXD short?  Rebalance per log, BR, GPK insider long, MMC, MSG, klarman picks, S, BRKR, GRA, FOXF, PNC, M insider, WU, btu short? LDR, WWAV insider, JNJ insider, PAY/EBAY split, MNK, RLI research, HCC, CNX short? TDC, DW insider, SCTY, Dish/VZ, research BAX spinoff Baxalta BXLT, BAM research? Bayer spinoff, DTV, BKS, DY , SNP or other option short? research LNG for shrt? Spinoffs M?</t>
  </si>
  <si>
    <t>Short coal/natgas + vale/tck on new low 7/31? Rebalance per log, BR, GPK insider long, MMC, MSG, klarman picks, S, BRKR, GRA, FOXF, PNC, M insider, WU, btu short? LDR, WWAV insider, JNJ insider, PAY/EBAY split, MNK, RLI research, HCC, CNX short? TDC, DW insider, SCTY, Dish/VZ, research BAX spinoff Baxalta BXLT, BAM research? Bayer spinoff, DTV, BKS, DY , SNP or other option short? Spinoffs M?</t>
  </si>
  <si>
    <t>MSC Industrial Direct Co Inc</t>
  </si>
  <si>
    <t>MSM</t>
  </si>
  <si>
    <t>P1) Metalworking/metal supply C1) moat?</t>
  </si>
  <si>
    <t>M&amp;T Bank</t>
  </si>
  <si>
    <t>Tgt @ 2x book P1) great fundies like WFC C1) moat/size?</t>
  </si>
  <si>
    <t xml:space="preserve">Mettler-Toledo International Inc </t>
  </si>
  <si>
    <t>life science sensors / analytics</t>
  </si>
  <si>
    <t>MTS Systems Corp</t>
  </si>
  <si>
    <t>MTSC</t>
  </si>
  <si>
    <t>Sensors for testing! P1) great metrics C1) growth?</t>
  </si>
  <si>
    <t>Micron Technology</t>
  </si>
  <si>
    <t>MU</t>
  </si>
  <si>
    <t>P1) great metrics P2) insider buying C1) growth? C2) tough industry even though consolidating</t>
  </si>
  <si>
    <t>Murphy Oil</t>
  </si>
  <si>
    <t>P1) Insider buying P2) Loeb catalyst/target price C1) poor industry (non-us refining)</t>
  </si>
  <si>
    <t>Murphy USA</t>
  </si>
  <si>
    <t>Mylan</t>
  </si>
  <si>
    <t>Generic pharmaceuticals P1) Insider P2) fcf growth C1) acquisitions C2) book value weakening? C3) governance by chairman/ceo? C4) usa regulation price</t>
  </si>
  <si>
    <t>Buy MU350s1%? Add VRX25s? Reduce shorts if not down day 8/4, Rebalance per log, BR, GPK insider long, MMC, MSG, klarman picks, S, BRKR, GRA, FOXF, PNC, M insider, WU, btu short? LDR, WWAV insider, JNJ insider, PAY/EBAY split, MNK, RLI research, HCC, CNX short? TDC, DW insider, SCTY, Dish/VZ, research BAX spinoff Baxalta BXLT, BAM research? Bayer spinoff, DTV, BKS, DY , SNP or other option short? Spinoffs M? AGN/STZ (loeb)</t>
  </si>
  <si>
    <t>Newcastle Investments</t>
  </si>
  <si>
    <t>MSRs + div P1) MSR spinoff P2) transition from mREIT to MSRs C1) funky metrics C2) spinoff &amp; this managed by Fortress, incentives mismatched</t>
  </si>
  <si>
    <t>NewMarket Corporation</t>
  </si>
  <si>
    <t xml:space="preserve">P1) Petro additive P2) short oil (oil supply adv) P3) pricing power/oligopoly similar to LZ C1) low volume liquidity C2) sustainable growth? (yes bc of oil supply) C3) growth/eps stopped </t>
  </si>
  <si>
    <t>Video!  P1) addictive p2) orig content at better cost, C1) competition from hbo/hulu?</t>
  </si>
  <si>
    <t>Buy ORLY30s, Reduce longs, Rebalance per log, BR, GPK insider long, MMC, MSG, klarman picks, S, BRKR, GRA, FOXF, PNC, M insider, WU, btu short? LDR, WWAV insider, JNJ insider, PAY/EBAY split, MNK, RLI research, HCC, TDC, SCTY, Dish/VZ, BAM research? Bayer spinoff, DTV, SNP or other option short? Spinoffs M? VFC/AGN research, PAH/APD/ZTS research, TEP insider, PF insider, all ORLY to tws</t>
  </si>
  <si>
    <t>Add 100sENH, VOYA200s, DOW150s, PSX100s Short more PBR500s/CHK1000s, watch ABX? Rebalance per log, BR, GPK insider long, MMC, MSG, klarman picks, S, BRKR, GRA, FOXF, PNC, M insider, WU, btu short? LDR, WWAV insider, JNJ insider, PAY/EBAY split, MNK, RLI research, HCC, TDC, SCTY, Dish/VZ, BAM research? Bayer spinoff, DTV, SNP or other option short? Spinoffs M? VFC/AGN research, PAH/APD/ZTS research, TEP insider, PF insider,</t>
  </si>
  <si>
    <t>Watch all shorts, Prepare to reduce AER/VRX, Rebalance per log, BR, GPK insider long, MMC, MSG, klarman picks, S, BRKR, GRA, FOXF, PNC, M insider, WU, btu short? LDR, WWAV insider, JNJ insider, PAY/EBAY split, MNK, RLI research, HCC, TDC, SCTY, Dish/VZ, BAM research? Bayer spinoff, DTV, SNP or other option short? Spinoffs M? VFC/AGN research, PAH/APD/ZTS research, TEP insider, PF insider, AON insider, MDLZ research insider</t>
  </si>
  <si>
    <t>PF</t>
  </si>
  <si>
    <t>Trade short VALE/TCK? Reduce all to limits!  Short MPEL200s on slow weakness, Reduce AAPL100s on china? Rebalance per log, BR, GPK insider long, MMC, MSG, klarman picks, S, BRKR, GRA, FOXF, PNC, M insider, WU, btu short? LDR, WWAV insider, JNJ insider, PAY/EBAY split, MNK, RLI research, HCC, TDC, SCTY, Dish/VZ, BAM research? Bayer spinoff, DTV, SNP or other option short? Spinoffs M? VFC research,</t>
  </si>
  <si>
    <t>NIKE, Inc.</t>
  </si>
  <si>
    <t>P1) top shoes P2) insider 4/2016 P3) emerging markets? C1) too big!</t>
  </si>
  <si>
    <t>Watch ABX/CLF/shorts for reduce! Rebalance per log, BR, GPK insider long, MMC, MSG, klarman picks, S, BRKR, GRA, FOXF, PNC, M insider, WU? LDR, WWAV insider, JNJ insider, PAY/EBAY split, MNK, RLI research, HCC, TDC, SCTY, Dish/VZ, BAM research? Bayer spinoff, DTV, SNP or other option short? Spinoffs M? VFC research, CP/UNP?</t>
  </si>
  <si>
    <t>Reduce BRK.B/AXP/AAPL/SYF/MYL on pop?, Rebalance per log, BR, GPK insider long, MMC, MSG, klarman picks, S, BRKR, GRA, FOXF, PNC, M insider, WU? LDR, WWAV insider, JNJ insider, PAY/EBAY split, Dish/VZ, BAM , Bayer, Spinoffs</t>
  </si>
  <si>
    <t>Readd ABX1kto4k+s, readd ORLY20s/BRK75s/AER200s? Reduce AAPL/SYF/MYL/AER on pop? or Rebalance per log, BR, GPK insider long, MMC, MSG, klarman picks, S, BRKR, GRA, FOXF, PNC, M insider, WU? LDR, WWAV insider, JNJ insider, PAY/EBAY split, Dish/VZ, Spinoffs , TTC research</t>
  </si>
  <si>
    <t xml:space="preserve">iron ore tgt &lt; 15, oil tgt &lt;25; gold &lt; 600; When fed raises rates to combat inflation, long gc; but currently neg on all hard commodities, exit yield-dependent equities/buy equities that benefit from rising rates, </t>
  </si>
  <si>
    <t>Reduce longs? Short LNG on pop? Rebalance per log, reduce only, BR, GPK insider long, MMC, MSG, klarman picks, S, BRKR, GRA, FOXF, PNC, M insider, WU? LDR, WWAV insider, JNJ insider, PAY/EBAY split, Dish/VZ, Spinoffs , TTC research</t>
  </si>
  <si>
    <t xml:space="preserve">iron ore tgt &lt; 15, oil tgt &lt;25; gold &lt; 600, copper &lt;2k; When fed raises rates to combat inflation, long gc; but currently neg on all hard commodities, exit yield-dependent equities/buy equities that benefit from rising rates, </t>
  </si>
  <si>
    <t>Northrup Grumman</t>
  </si>
  <si>
    <t>NOC</t>
  </si>
  <si>
    <t>govt security and ops</t>
  </si>
  <si>
    <t>National Oilwell Varco Inc</t>
  </si>
  <si>
    <t>Nat Gas play? + Oil P1) one stop shop for drilling P2) insider buying mid 2013 P3) gas optionality? C1) Rev not smooth up C2) dependent on oil prices C3) not cheap enough</t>
  </si>
  <si>
    <t>National Research Corp</t>
  </si>
  <si>
    <t>NRC</t>
  </si>
  <si>
    <t>P1) health tech C1) growth? C2) insiders?</t>
  </si>
  <si>
    <t>New Residential</t>
  </si>
  <si>
    <t>NCT's MSR spinoff</t>
  </si>
  <si>
    <t>NetEase.com, Inc.</t>
  </si>
  <si>
    <t xml:space="preserve">Do not add P1) Chinese online gaming C1) Sustainability? </t>
  </si>
  <si>
    <t>nVidia</t>
  </si>
  <si>
    <t>High perf computing, gpu ai bitcoin producer P1) good roa P2) growth C1) crypto hurt esp as part of gamer</t>
  </si>
  <si>
    <t>Novo Nordisk</t>
  </si>
  <si>
    <t>diabetes medicine</t>
  </si>
  <si>
    <t>Homebuilder well run P1) good roc but revs? P2) insider 5/2013, 5/2018 5/2019 (3300) C1) housing peaking but new home sales still okay</t>
  </si>
  <si>
    <t>Add LAD100s, watch FCXforshort on steady weakness, reduce only, BR, GPK insider long, MMC, MSG, klarman picks, S, BRKR, GRA, FOXF, PNC, M insider, WU? LDR, WWAV insider, JNJ insider, PAY/EBAY split, Dish/VZ, Spinoffs</t>
  </si>
  <si>
    <t>SBNY</t>
  </si>
  <si>
    <t>Reduce VALE/TCK/others unless favorable move open &gt; 10:30am 9/8, Add WLB750s/TCK1ks/VALE1ks/CNX1250s/PBR1ks/ESV100s short on weakness? Rebalance per log, BR, GPK insider long, MMC, MSG, klarman picks, S, BRKR, GRA, FOXF, PNC, M insider, WU? LDR, WWAV insider, JNJ insider, PAY/EBAY split, Dish/VZ, Spinoffs, research CHD,</t>
  </si>
  <si>
    <t xml:space="preserve">iron ore tgt &lt; 15, oil tgt &lt;25; gold &lt; 600, copper &lt;1k; When fed raises rates to combat inflation, long gc; but currently neg on all hard commodities, exit yield-dependent equities/buy equities that benefit from rising rates, </t>
  </si>
  <si>
    <t>Short TCK13ks/VALE6500s? Reduce VALE&gt;5/TCK&gt;6.8/FCX unless very favorable move open &gt; 10:30am 9/10, Watch shorts for reduce, Rebalance per log, BR, GPK insider long, MMC, MSG, klarman picks, S, BRKR, GRA, FOXF, PNC, M insider, WU? LDR, WWAV insider, JNJ insider, PYPL split, Spinoffs,</t>
  </si>
  <si>
    <t>SFBS</t>
  </si>
  <si>
    <t>Watch CHK, LNG, VALE for reduce? Add MYL100s/AIG200s/GRBK400s on new sig, Watch shorts for reduce, Rebalance per log, BR, GPK insider long, MMC, MSG, klarman picks, S, BRKR, GRA, FOXF, PNC, WU? LDR, WWAV insider, Spinoffs,</t>
  </si>
  <si>
    <t>Ocwen Financial</t>
  </si>
  <si>
    <t>Essentially parent of ASPS/HLSS, P1) MSRs C1) Costs? (more conservative accting) C2) ny dfs + jd power customer satisfaction rating</t>
  </si>
  <si>
    <t>Ollie's Bargain Outlet Holdings Inc</t>
  </si>
  <si>
    <t>OLLI</t>
  </si>
  <si>
    <t>excess/salvage merchandise P1) insider 4/2016, P2) decent fundies</t>
  </si>
  <si>
    <t>Omnicom Group Inc.</t>
  </si>
  <si>
    <t>OMC</t>
  </si>
  <si>
    <t>U1060261</t>
  </si>
  <si>
    <t>Oracle Corporation</t>
  </si>
  <si>
    <t>ORCL</t>
  </si>
  <si>
    <t>database software P1) Mgt C1) Size C2) competitiveness?</t>
  </si>
  <si>
    <t>Add FNMAS on strength? Rebalance per log, BR, GPK insider long, Watch BTU for short? MMC, MSG, klarman picks, S, BRKR, GRA, FOXF, PNC, WU? LDR, WWAV insider, Spinoffs,</t>
  </si>
  <si>
    <t>O'Reilly Auto Parts</t>
  </si>
  <si>
    <t>Add FNMAS on strength? Rebalance per log, BR, GPK insider long, Watch BTU for short? MMC, MSG, klarman picks, S, BRKR, GRA, FOXF, PNC, WU? LDR, WWAV insider, Spinoffs</t>
  </si>
  <si>
    <t>auto parts similar to azo, but more commercial and better run P1) per vic inventory mgt</t>
  </si>
  <si>
    <t>Platform Specialty Products Corp</t>
  </si>
  <si>
    <t>specialty chemical companies, priced @ high end of 2015 earnings w/ high multiple bc of levered growth P1) insider @ 26 P2) specialty chem C1) acquisition-driven C2) int'l/oilgas exposure especially currencies</t>
  </si>
  <si>
    <t>Patrick Industries Inc</t>
  </si>
  <si>
    <t>normalized earnings RV supplier, see lcii but cyclical</t>
  </si>
  <si>
    <t>Reduce MYL/AMGN on reg risk? GLNG short? Add FNMAS on strength? Rebalance per log, BR, GPK insider long, Watch BTU for short? MMC, MSG, klarman picks, BRKR, GRA, WWAV insider, Spinoffs, FOXF, GLNG short?</t>
  </si>
  <si>
    <t>Short more VALE? Reduce MYL/AMGN on reg risk? Add FNMAS on strength? Rebalance per log, BR, GPK insider long, Watch BTU for short? MMC, MSG, klarman picks, BRKR, GRA, WWAV insider, Spinoffs, FOXF,</t>
  </si>
  <si>
    <t>Add back MYL/others? Watch reduce ABX&gt;6.5 on Fri or other shorts? Add EGBN75s/SBNY25s/SFBS75s, Add FNMAS on strength? Rebalance per log, BR, GPK insider long, Watch BTU for short? MMC, MSG, klarman picks, BRKR, GRA, WWAV insider, Spinoffs, FOXF,</t>
  </si>
  <si>
    <t>Rebalance per log, BR, GPK insider long, Watch BTU for short? MMC, MSG, klarman picks, BRKR, GRA, WWAV insider, Spinoffs, FOXF</t>
  </si>
  <si>
    <t>650k stop</t>
  </si>
  <si>
    <t>Reduce shorts on pop &gt; open or 10:30am 10/1, Short more GLNG on pop, Rebalance per log, BR, GPK insider long, Watch BTU for short? MMC, MSG, klarman picks, BRKR, GRA, WWAV insider, Spinoffs, FOXF, HUM, ANTM</t>
  </si>
  <si>
    <t>Paycom</t>
  </si>
  <si>
    <t>PAYC</t>
  </si>
  <si>
    <t>cloud hcm</t>
  </si>
  <si>
    <t>Paychex</t>
  </si>
  <si>
    <t>Short more GLNG on pop, Rebalance per log, BR, GPK insider long, Watch BTU for short? MMC, MSG, klarman picks, BRKR, GRA, WWAV insider, Spinoffs, FOXF, HUM, ANTM, GLNG options?</t>
  </si>
  <si>
    <t>HR p1) insider 10/2018</t>
  </si>
  <si>
    <t>Rebalance per log, BR, GPK insider long, Watch BTU for short? MMC, MSG, klarman picks, BRKR, GRA, WWAV insider, Spinoffs, FOXF, HUM, ANTM, DORM, TTC, WINA</t>
  </si>
  <si>
    <t>Mass reduce shorts if not favorable open 10/12, Mass reduce 1%-2% top 8 positions of weakness 10/12 &gt;10:30am, Buy Airlines LUV500s/DAL/AAPL200s? Rebalance per log, BR, GPK insider long, Watch BTU for short? MMC, MSG, klarman picks, BRKR, GRA, WWAV insider, Spinoffs, FOXF, HUM, ANTM, DORM, TTC, WINA</t>
  </si>
  <si>
    <t>Add shorts 10/13 open on weakness, Rebalance per log, BR, GPK insider long, Watch BTU for short? MMC, MSG, klarman picks, BRKR, GRA, WWAV insider, Spinoffs, FOXF, HUM, ANTM, DORM, TTC, WINA, UNP/CNI?</t>
  </si>
  <si>
    <t>Rebalance per log, BR, GPK insider long, Watch BTU for short? MMC, MSG, klarman picks, BRKR, GRA, WWAV insider, Spinoffs, FOXF, HUM, ANTM, DORM, TTC, WINA, UNP/CNI?</t>
  </si>
  <si>
    <t>Penumbra</t>
  </si>
  <si>
    <t>PEN</t>
  </si>
  <si>
    <t>Reduce AER700s/VOYA400s/AWH150s/MKL15s/ABC75s/AIG100s/DW100s /PSX100s/DAL100s/LUV100s/BRK50s MPEL2500s/WYNN300s and other shorts unless favorable move 10/19 open, Rebalance per log, BR, GPK insider long, Watch BTU for short? MMC, MSG, klarman picks, BRKR, GRA, WWAV insider, Spinoffs, FOXF, HUM, ANTM, DORM, TTC, WINA, UNP/CNI?</t>
  </si>
  <si>
    <t>P1) medical device P2) insider 6/2018</t>
  </si>
  <si>
    <t>PetMed Express Inc</t>
  </si>
  <si>
    <t>PETS</t>
  </si>
  <si>
    <t>Pinnacle Foods</t>
  </si>
  <si>
    <t>foods manu &amp; distro</t>
  </si>
  <si>
    <t>Add LAD100s on dip, Reduce shorts and others monday eod 10/26? Rebalance per log, BR, GPK insider long, Watch BTU for short? MMC, MSG, klarman picks, BRKR, GRA, WWAV insider, Spinoffs, FOXF, HUM, ANTM, DORM, TTC, WINA, UNP/CNI?</t>
  </si>
  <si>
    <t>Progressive</t>
  </si>
  <si>
    <t>Best auto insurer + digital P1) insider 2/2019 P2) growth in commercial insurance</t>
  </si>
  <si>
    <t>Reduce VRX, horts and others monday eod 10/26? Cover shorts on adverse, Add LAD100s on dip, Rebalance per log, BR, GPK insider long, Watch BTU for short? MMC, MSG, klarman picks, BRKR, GRA, WWAV insider, Spinoffs, FOXF, HUM, ANTM, DORM, TTC, WINA, UNP/CNI? BK</t>
  </si>
  <si>
    <t>Exit pharma? Watch pharma/ABX/WYNN/LNG/MPEL for reduce? Short more FCX? Add LAD100s on dip, Rebalance per log, BR, GPK insider long, Watch BTU for short? MMC, MSG, klarman picks, BRKR, Spinoffs, , UNP/CNI?</t>
  </si>
  <si>
    <t>Reduce FCX/PBR/ABX if adverse 11/2 &gt;10:30am, Short more GLNG on sig? Add LAD100s, AWH 150s, on dip, Rebalance per log, BR, GPK insider long, Watch BTU for short? MMC/AON, klarman picks, Spinoffs, , UNP/CNI?</t>
  </si>
  <si>
    <t>positive S&amp;P 500 till end of year; 650k stop</t>
  </si>
  <si>
    <t>Reduce longs! Rebalance per log, BR, GPK insider long, Watch BTU for short? MMC/AON, klarman picks, Spinoffs, , UNP/CNI? LXFT,</t>
  </si>
  <si>
    <t>Reduce longs! Rebalance per log, BR, GPK insider long, Watch BTU for short? MMC/AON, klarman picks, Spinoffs, , UNP/CNI? LXFT, CNQ short! IBM</t>
  </si>
  <si>
    <t>Parker Hannifin</t>
  </si>
  <si>
    <t>PH</t>
  </si>
  <si>
    <t>P1) Fluid C2) climate control</t>
  </si>
  <si>
    <t>Rebalance per log, BR, GPK insider long, Watch BTU for short? MMC/AON, klarman picks, Spinoffs, , UNP/CNI? LXFT, CNQ short! IBM short UPL, research SUNE?</t>
  </si>
  <si>
    <t>PHH Corp</t>
  </si>
  <si>
    <t>MSR + Fleet biz, valued at book P1) MSRs P2) orange cap/spinoff catalyst P3) insider buying 10/2013 C1) Can't make money? C2) insider selling as well around same time</t>
  </si>
  <si>
    <t>Polaris Industries Inc.</t>
  </si>
  <si>
    <t>Watch FTK/GLNG/LNG? Rebalance per log, BR, GPK insider long, Watch BTU for short? MMC/AON, klarman picks, Spinoffs, , UNP/CNI? LXFT, CNQ short! IBM short UPL, research SUNE? WFC warrants, CF?</t>
  </si>
  <si>
    <t>PII</t>
  </si>
  <si>
    <t>P1) growth C1) too recent growth C2) moat?</t>
  </si>
  <si>
    <t>Packaging Corp of America</t>
  </si>
  <si>
    <t>P1) low cost producer in tough industry P2) consolidation boon to efficiency/argins C1) glassdoor reviews only okay C2) dependent on high occ prices due to china? Maybe not, because in general lower input costs C3) lowering sales, competition from electronics?</t>
  </si>
  <si>
    <t>PNC Financial</t>
  </si>
  <si>
    <t>PNC</t>
  </si>
  <si>
    <t>okay bank</t>
  </si>
  <si>
    <t>Pool Corporation</t>
  </si>
  <si>
    <t>POOL</t>
  </si>
  <si>
    <t>Rebalance per log, Add AER? BR, GPK insider long, Watch BTU for short? MMC/AON, klarman picks, Spinoffs, , UNP/CNI? LXFT, CNQ short! IBM short UPL, research SUNE? WFC warrants, CFG insinder? CF insider</t>
  </si>
  <si>
    <t>Pool supplies</t>
  </si>
  <si>
    <t>Potash Corporation of Saskatchewan Inc.</t>
  </si>
  <si>
    <t xml:space="preserve">POT </t>
  </si>
  <si>
    <t>Fertilizer C1) too price dependent C2) too large?</t>
  </si>
  <si>
    <t>Watch LNG, Rebalance per log, watch MPEL/WYNN for add? Add AER? BR, GPK insider long, Watch BTU for short? MMC/AON, klarman picks, Spinoffs, , UNP/CNI? LXFT, CNQ short! IBM short UPL, research SUNE? WFC warrants, CFG insinder? CF insider, add SWN to short list, research COG</t>
  </si>
  <si>
    <t>ProAssurance Corporation</t>
  </si>
  <si>
    <t>P&amp;C and Medical malpractice insurer w/ unique agent centric model P1) Insider buying P2) moat/stickiness? C1) growth?</t>
  </si>
  <si>
    <t>Proto Labs</t>
  </si>
  <si>
    <t>PRLB</t>
  </si>
  <si>
    <t>Reduce shorts if not favorable move Monday! Short PBRmore? Rebalance per log,BR, GPK insider long, Watch BTU for short? MMC/AON, klarman picks, Spinoffs, , UNP/CNI? LXFT, CNQ short! IBM short UPL, research SUNE? WFC warrants, CFG insinder? research COG, resconsider AER/VOYA as overlevered?</t>
  </si>
  <si>
    <t>medical device</t>
  </si>
  <si>
    <t>Public Storage</t>
  </si>
  <si>
    <t>storage reit, closed bc tax inefficiency?</t>
  </si>
  <si>
    <t>Watch SDRL/PBR/MPEL/WYNN, Reduce shorts if not favorable move Tues! Short PBR2.5ks? Rebalance per log, BR, GPK insider long, Watch BTU for short? MMC/AON, klarman picks, Spinoffs, , UNP/CNI? LXFT, CNQ short! IBM short UPL, research SUNE? WFC warrants, CFG insinder? resconsider AER/VOYA as overlevered?</t>
  </si>
  <si>
    <t>Phillips 66</t>
  </si>
  <si>
    <t>Oil arb us vs rest of world, no new refineries @ 1/2 of gdp growth P1) Combo of refining/chem/midstream arb P2) short crude oil bc NA oversupply P3) strong insider 11/2018 C1) moat? C2) insider sales 5/2013 C3) Gasoline demand? C4) still gets hurt by crude oil oversupply C5) China refinery oversupply, exporting oil products C6) Fcf not covering dividends!</t>
  </si>
  <si>
    <t>Watch UHAL, shorts for reduce on strong 12/1 open, Reduce SDRL bc borrow cost?! Short more TCK2ks? Rebalance per log, BR, GPK insider long, Watch BTU for short? MMC/AON, klarman picks, Spinoffs, , UNP/CNI? LXFT, CNQ short! IBM short UPL, research SUNE? WFC warrants</t>
  </si>
  <si>
    <t>Add ABC/KR/DW, Reduce VALE/PBR/TCK on strength , Rebalance per log, BR, GPK insider long, Watch BTU for short? MMC/AON, klarman picks, Spinoffs, , UNP/CNI? LXFT, CNQ short! IBM short UPL, research SUNE? EBAY, MNK insiders, USD.RMB</t>
  </si>
  <si>
    <t>Short KMI on pop? Reduce all shorts unless down day 12/10, Watch WYNN/MPEL reduce? Rebalance per log, BR, GPK insider long, Watch BTU for short? MMC/AON, klarman picks, Spinoffs, , UNP/CNI? LXFT, CNQ short! IBM short UPL, research SUNE? EBAY, MNK insiders, USD.RMB,</t>
  </si>
  <si>
    <t>Rebalance per log, BR, GPK insider long, Watch BTU for short? MMC/AON, klarman picks, Spinoffs, , UNP/CNI? LXFT, CNQ short! IBM, research SUNE? USD.RMB, PBR research/sumzero?</t>
  </si>
  <si>
    <t>Add ABC100s, TMO100s, reduce VRX on unfavorable? Mass reduce eod 12/16 unless favorable, Rebalance per log, BR, GPK insider long, Watch BTU for short? MMC/AON, klarman picks, Spinoffs, , UNP/CNI? LXFT, CNQ short! IBM, research SUNE? USD.RMB, PBR research/sumzero? DVN short?</t>
  </si>
  <si>
    <t>Short more ESV? Mass reduce 12/17 &gt; 10:30am unless favorable, Rebalance per log, BR, GPK insider long, Watch BTU for short? MMC/AON, klarman picks, Spinoffs, , UNP/CNI? LXFT, CNQ short! IBM, research SUNE? USD.RMB, PBR research/sumzero? DVN short?</t>
  </si>
  <si>
    <t>Slow reduce shorts esp CNX/AR, Rebalance per log, BR, GPK insider long, Watch BTU for short? MMC/AON, klarman picks, Spinoffs, , UNP/CNI? LXFT, CNQ short! IBM, research SUNE? USD.RMB, PBR research/sumzero? DVN short? Research AME, QSR, AZO</t>
  </si>
  <si>
    <t>Buy DAL450s, LUV500s, Slow reduce shorts esp CNX/AR/MPEL/WYNN, Rebalance per log, BR, GPK insider long, Watch BTU for short? MMC/AON, klarman picks, Spinoffs, , UNP/CNI? LXFT, CNQ short! IBM, research SUNE? USD.RMB, PBR research/sumzero? DVN short? Research AME, DAL/LUV</t>
  </si>
  <si>
    <t>Paypal</t>
  </si>
  <si>
    <t>PYPL</t>
  </si>
  <si>
    <t>Buy DAL450s, LUV500s, Rebalance per log, BR, GPK insider long, Watch BTU for short? MMC/AON, klarman picks, Spinoffs, , UNP/CNI? LXFT, CNQ short! IBM, research SUNE? USD.RMB, PBR research/sumzero? DVN short? Research AME, DAL/LUV</t>
  </si>
  <si>
    <t>payments, but not as good as v &amp; there is competition?</t>
  </si>
  <si>
    <t>Buy DAL450s, LUV500s, Rebalance per log, BR, GPK insider long, Watch BTU for short? MMC/AON, klarman picks, Spinoffs, , UNP/CNI? LXFT, CNQ short! IBM, research SUNE? USD.RMB, PBR research/sumzero? DVN short? Research AME, DAL/LUV, buy BIIB? CERN, HEI, SRCL</t>
  </si>
  <si>
    <t>Short PBR1ks more, Buy DAL450s, LUV500s, Rebalance per log, BR, GPK insider long, Watch BTU for short? MMC/AON, klarman picks, Spinoffs, , UNP/CNI? LXFT, CNQ short! IBM, research SUNE? USD.RMB, PBR research/sumzero? DVN short? Research AME, DAL/LUV,</t>
  </si>
  <si>
    <t>Watch QSR reduce, TCK1ks add?, temppos: PBR7ks, Buy DAL450s, LUV500s, Rebalance per log, BR, GPK insider long, Watch BTU for short? MMC/AON, klarman picks, Spinoffs, , UNP/CNI? LXFT, CNQ short! IBM, research SUNE? USD.RMB, PBR research/sumzero? DVN short? Research AME, DAL/LUV,</t>
  </si>
  <si>
    <t>Papa John's</t>
  </si>
  <si>
    <t>PZZA</t>
  </si>
  <si>
    <t>Restaurant Brands International Inc</t>
  </si>
  <si>
    <t xml:space="preserve"> BK &amp; Tim Hortons P1) 3G P2) insider 2/2018</t>
  </si>
  <si>
    <t>Radian</t>
  </si>
  <si>
    <t>Tgt is 2x insider buys 12x normalized earnings, P1) insider buying 11/2013 P2) mtgs better now C1) too leveraged?</t>
  </si>
  <si>
    <t>Everest Re</t>
  </si>
  <si>
    <t>RE</t>
  </si>
  <si>
    <t>Valued @ 1.2x book</t>
  </si>
  <si>
    <t>Renewable Energy Group Inc</t>
  </si>
  <si>
    <t>REGI</t>
  </si>
  <si>
    <t>biofuel cost adv w govt protect eps per vic P1) insider 3/2018, 12/2018 C2) hobo spread dependence/ no pricing power</t>
  </si>
  <si>
    <t>Altisource Residential</t>
  </si>
  <si>
    <t>Target @ 2x insider buying, Single family rental P1) insider buying 5/17/2013 P2) NPLs better cost basis (see AAMC) C1) single family rental oversupplied/overly competitive? See SBY C2) not just single family but buying NPLs</t>
  </si>
  <si>
    <t>Reduce shorts if not big down 1/7 open, Short MPEL1.3ks/WYNN300s, Watch QSR reduce,shortmore/ABX1ks, addPSX100s?, temppos: PBR14ks, Rebalance per log, BR, GPK insider long, Watch BTU for short? MMC/AON, klarman picks, Spinoffs, , UNP/CNI? LXFT, CNQ short! IBM, research SUNE? USD.RMB, PBR research/sumzero? DVN short? Research AME, DAL/LUV, CXO short?</t>
  </si>
  <si>
    <t>Rock-Tenn</t>
  </si>
  <si>
    <t>RKT</t>
  </si>
  <si>
    <t>Packaging C1) low roa C2) inconsistent eps</t>
  </si>
  <si>
    <t>RLI</t>
  </si>
  <si>
    <t>well run insurer with returns mostly from special dividends as added P1) great metrics, C1) growth?</t>
  </si>
  <si>
    <t>Rumble On</t>
  </si>
  <si>
    <t>RMBL</t>
  </si>
  <si>
    <t>online marketplace for bikes+ valued @ 5pct net margin P1) great growth  P2) users like it c1) tough industry c2) low gross margin c3) shrinking motorcycle mkt</t>
  </si>
  <si>
    <t>ResMed Inc.</t>
  </si>
  <si>
    <t>Sleep apnea leader premium p1) good fundies P2) cloud medical devices? C1) Medicare pricing? C2) saas cloud to mask declining margins</t>
  </si>
  <si>
    <t>Renaissance Re</t>
  </si>
  <si>
    <t>well-run reinsurer  C1) reinsurer model challenged?</t>
  </si>
  <si>
    <t>RBC Bearings</t>
  </si>
  <si>
    <t>ROLL</t>
  </si>
  <si>
    <t>Roper Technologies</t>
  </si>
  <si>
    <t>software tools for professional firms +medical rollup P1) insider 9/2018 P2) decent roa</t>
  </si>
  <si>
    <t>Ross Stores, Inc.</t>
  </si>
  <si>
    <t>Like TJX, but more levered?</t>
  </si>
  <si>
    <t>Reduce shorts 1/12 open?, temppos: PBR14ks, Rebalance per log, FNMAS+? BR, GPK insider long, Watch BTU for short? MMC/AON, klarman picks, Spinoffs, , UNP/CNI? LXFT, CNQ short! IBM, research SUNE? USD.RMB, PBR research/sumzero? DVN short? Research AME, DAL/LUV, CXO short?</t>
  </si>
  <si>
    <t>RPM Internationaal</t>
  </si>
  <si>
    <t>RPM</t>
  </si>
  <si>
    <t>protective coating etc</t>
  </si>
  <si>
    <t>Boston Beer Company Inc.</t>
  </si>
  <si>
    <t>SAM</t>
  </si>
  <si>
    <t>P1) Beer! P2) Independent? C1) heavy chairman selling?</t>
  </si>
  <si>
    <t>Signature Bank NY</t>
  </si>
  <si>
    <t>Watch TCK/WYNN/CNX/MPEL for reduce, Reduce shorts on strength 1/19 &gt;10:30am or earlier, Rebalance per log, FNMAS+? BR, GPK insider long, Watch BTU for short? MMC/AON, klarman picks, Spinoffs, , UNP/CNI? LXFT, CNQ short! IBM, DVN short? Research AME, DAL/LUV, CXO/ECA/WMB/APA short?, ELLI long?</t>
  </si>
  <si>
    <t>well-run regional bank</t>
  </si>
  <si>
    <t>Starbucks Corporation</t>
  </si>
  <si>
    <t>Long stress &amp; workday length P1) insider buying 8/2013, insider 8/2018, insider @ $70 P2) great roa C1) growth?</t>
  </si>
  <si>
    <t>Rebalance per log, FNMAS+? BR, GPK insider long, Watch BTU for short? MMC/AON, klarman picks, Spinoffs, , UNP/CNI? LXFT, CNQ short! IBM, DVN short? Research AME, DAL/LUV, CXO/ECA/WMB/APA short?, ELLI long?</t>
  </si>
  <si>
    <t>Rebalance per log? BR, GPK insider long, Watch BTU for short? MMC/AON, klarman picks, Spinoffs, , UNP/CNI? LXFT, CNQ short! IBM, DVN short? Research AME, DAL/LUV, CXO/ECA/WMB/APA short?, ELLI long?</t>
  </si>
  <si>
    <t>Stepan</t>
  </si>
  <si>
    <t>P1) chemicals for shampoo manufactureers etc. P2) use petro as input (see MPC) C1) culture deteriorating per glassdoor C2) margins don't keep up w/ sales?</t>
  </si>
  <si>
    <t>SolarCity</t>
  </si>
  <si>
    <t>SCTY</t>
  </si>
  <si>
    <t>P1) Short solar subsidies? C1) margin of safety?</t>
  </si>
  <si>
    <t>Seaboard</t>
  </si>
  <si>
    <t>SEB</t>
  </si>
  <si>
    <t>commodity conglomerate</t>
  </si>
  <si>
    <t>ServisFirst Bancshares, Inc.</t>
  </si>
  <si>
    <t>regional bank P1) insider 4/2015</t>
  </si>
  <si>
    <t>Shopify</t>
  </si>
  <si>
    <t>SHOP</t>
  </si>
  <si>
    <t xml:space="preserve">@ 10pct normalized margins, amazon but platform per stratechery </t>
  </si>
  <si>
    <t>MMC/AON, klarman picks, Spinoffs, , UNP/CNI? LXFT, CNQ short! IBM, DVN short? Research AME, DAL/LUV, CXO/ECA short? RMB/CNY trade? RLI/THG others reserach? DPZ/ROST/SBUX/TJX</t>
  </si>
  <si>
    <t>MMC/AON, klarman picks, Spinoffs, , UNP/CNI? LXFT, CNQ short! IBM, DVN short? Research AME, DAL/LUV, CXO/ECA short? RMB/CNY trade?</t>
  </si>
  <si>
    <t xml:space="preserve">iron ore tgt &lt; 15, oil tgt &lt;25; gold &lt; 600, copper &lt;1k; natgas &lt;1.5 When fed raises rates to combat inflation, long gc; but currently neg on all hard commodities, exit yield-dependent equities/buy equities that benefit from rising rates, </t>
  </si>
  <si>
    <t>Rebalance per log, MMC/AON, klarman picks, Spinoffs, , UNP/CNI? LXFT, CNQ short! IBM, DVN short? Research AME, DAL/LUV, CXO/ECA short? RMB/CNY trade?</t>
  </si>
  <si>
    <t>TurboShort on sig! Rebalance per log, MMC/AON, klarman picks, Spinoffs, , UNP/CNI? LXFT, CNQ short! IBM, DVN short? Research AME, DAL/LUV, CXO/ECA short? RMB/CNY trade?</t>
  </si>
  <si>
    <t>Sherwin-Williams</t>
  </si>
  <si>
    <t>paint brand w scale P1) fantastic roa/roic &amp; fundies P2) insider 10/2018 c1) sensitive to housing</t>
  </si>
  <si>
    <t>Add UHAL? Rebalance per log, MMC/AON, klarman picks, Spinoffs, , UNP/CNI? LXFT, CNQ short! IBM, DVN short? Research AME, DAL/LUV, CXO/ECA short? RMB/CNY trade? PGR, UA</t>
  </si>
  <si>
    <t>Add VALEshort2.5ks? add UHAL? Reduce financials? Rebalance per log, MMC/AON, klarman picks, Spinoffs, , UNP/CNI? LXFT, CNQ short! IBM, DVN short? RMB/CNY trade? ALGN, EW, IFF, Balchem, pnra, CCF, chd</t>
  </si>
  <si>
    <t>Mass reduce shorts if not favorable move, Reduce financials? Rebalance per log, MMC/AON, klarman picks, Spinoffs, , UNP/CNI? LXFT, CNQ short! IBM, DVN short? RMB/CNY trade? ALGN, EW, IFF, Balchem, pnra, CCF,</t>
  </si>
  <si>
    <t>Exit LABL on pop, Mass reduce shorts if not favorable move, Buy LAD? Reduce financials? Rebalance per log, MMC/AON, klarman picks, Spinoffs, , UNP/CNI? LXFT, CNQ short! IBM, DVN short? RMB/CNY trade? ALGN, EW, IFF, Balchem, pnra, CCF,</t>
  </si>
  <si>
    <t>Silgan Holdings Inc.</t>
  </si>
  <si>
    <t>SLGN</t>
  </si>
  <si>
    <t>Aluminum packaging! Wait for dip!</t>
  </si>
  <si>
    <t>Simulation Plus</t>
  </si>
  <si>
    <t>SLP</t>
  </si>
  <si>
    <t>pharma computer simulation</t>
  </si>
  <si>
    <t>Snap-on</t>
  </si>
  <si>
    <t>alternate value at 20% past insider, P1) insider 7/2014 P2) tools for auto+ P3) short commods steel/natgas/electricity P4) growth via on-shoring? C1) sustainability?</t>
  </si>
  <si>
    <t>Synovus Financial Corp.</t>
  </si>
  <si>
    <t>Formerly distressed bank: P1) insidering buying 7/2013, P2) exit from tarp C1) moat?</t>
  </si>
  <si>
    <t>Spectrum Brands</t>
  </si>
  <si>
    <t>SPB</t>
  </si>
  <si>
    <t>Rebalance per log, MMC/AON, klarman picks, Spinoffs, , UNP/CNI? LXFT, CNQ short! IBM, DVN short? RMB/CNY trade? ALGN, EW, IFF, Balchem, pnra, CCF,</t>
  </si>
  <si>
    <t>acquisition consumer prodocts P1) insider 9/2016 C1) too much debt?</t>
  </si>
  <si>
    <t>Simon Property Group</t>
  </si>
  <si>
    <t>SPG</t>
  </si>
  <si>
    <t>S&amp;P Global</t>
  </si>
  <si>
    <t>like moody's, a duopoly P1) insider buying 2015</t>
  </si>
  <si>
    <t>Rebalance per log, MMC/AON, klarman picks, Spinoffs, , UNP/CNI? LXFT, CNQ short! IBM, DVN short? RMB/CNY trade? ALGN, EW, IFF, Balchem, CCF,</t>
  </si>
  <si>
    <t>Rebalance per log, Keep shorts low until new sig, MMC/AON, klarman picks, Spinoffs, , UNP/CNI? LXFT, CNQ short! IBM, DVN short? RMB/CNY trade? ALGN, EW, IFF, Balchem, CCF,</t>
  </si>
  <si>
    <t>No shorts for now, Rebalance per log, Keep shorts low until slow new sig, MMC/AON, klarman picks, Spinoffs, , UNP/CNI? LXFT, CNQ short! IBM, DVN short? RMB/CNY trade? ALGN, EW, IFF, Balchem, CCF, AFL insider, watch CNI/UNP buy? INGR, HA</t>
  </si>
  <si>
    <t xml:space="preserve">iron ore tgt &lt; 15, coking coal &lt; 40, zinc &lt; 900, oil tgt &lt;25; gold &lt; 600, copper &lt;1k; natgas &lt;1.5 When fed raises rates to combat inflation, long gc; but currently neg on all hard commodities, exit yield-dependent equities/buy equities that benefit from rising rates, </t>
  </si>
  <si>
    <t>Square Inc</t>
  </si>
  <si>
    <t>SQ</t>
  </si>
  <si>
    <t>payments</t>
  </si>
  <si>
    <t>Add PBR1ks on weakness? Rebalance per log, MMC/AON, klarman picks, Spinoffs, , UNP/CNI? LXFT, CNQ short! IBM, DVN short? RMB/CNY trade? ALGN, EW, IFF, Balchem, CCF, AFL insider, watch CNI/UNP buy? INGR, HA</t>
  </si>
  <si>
    <t>Reduce longs? Rebalance per log, MMC/AON, klarman picks, Spinoffs, , UNP/CNI? LXFT, CNQ short! IBM, DVN short? RMB/CNY trade? ALGN, EW, IFF, Balchem, CCF, AFL insider,</t>
  </si>
  <si>
    <t>Rebalance per log, MMC/AON, klarman picks, Spinoffs, , UNP/CNI? LXFT, CNQ short! IBM, DVN short? RMB/CNY trade? ALGN, EW, IFF, Balchem, CCF, AFL insider,</t>
  </si>
  <si>
    <t>Reduce WYNN? Add DLTR100s? Rebalance per log, MMC/AON, klarman picks, Spinoffs, , UNP/CNI? LXFT, CNQ short! IBM, DVN short? RMB/CNY trade? ALGN, EW, IFF, Balchem, CCF, AFL insider,</t>
  </si>
  <si>
    <t>Seaspan</t>
  </si>
  <si>
    <t>SSW</t>
  </si>
  <si>
    <t>P1) world econ trade C1) capex/large fixed assets? C2)Div/capital alloc?</t>
  </si>
  <si>
    <t>Stamps.com</t>
  </si>
  <si>
    <t>Electronic stamps tied to small businesses P1) e-service tied to businesses C1) decline of mail? C2) poor customer reviews/scam-like</t>
  </si>
  <si>
    <t>Constellation Brands</t>
  </si>
  <si>
    <t>Readd FNMAS++ while reduce others, associated capital? Rebalance per log, MMC/AON, klarman picks, Spinoffs, , UNP/CNI? LXFT, CNQ short! IBM, DVN short? RMB/CNY trade? ALGN, EW, IFF, Balchem, CCF, AFL insider,</t>
  </si>
  <si>
    <t>alcohol Co plus mariju P1) insider 10/2014 P2) loeb C1) acquisitions?</t>
  </si>
  <si>
    <t>Skyworks Solutions, Inc.</t>
  </si>
  <si>
    <t>SWKS</t>
  </si>
  <si>
    <t>P1) cellphone &amp; semiconductor components C1) Lack of moat? Many competitors w/ similar offerings? C2) don't understand</t>
  </si>
  <si>
    <t>Synchrony Financial</t>
  </si>
  <si>
    <t>private label credit cards &amp; lending, growth% based on change in book value P1) insider 9/2014 P2) consumer private label credit cards (e.g. for Target)  C1) saturation? C2) not well run, complaints about paperwork?</t>
  </si>
  <si>
    <t>Stryker</t>
  </si>
  <si>
    <t>SYK</t>
  </si>
  <si>
    <t>P1) medical devices, but consistent?</t>
  </si>
  <si>
    <t xml:space="preserve">Synaptics, Incorporated </t>
  </si>
  <si>
    <t>SYNA</t>
  </si>
  <si>
    <t>Exit shorts 4/18 eod if not strong sig? Readd FNMAS++ while reduce others, associated capital? Rebalance per log, MMC/AON, klarman picks, Spinoffs, , UNP/CNI? LXFT, CNQ short! IBM, DVN short? RMB/CNY trade? ALGN, EW, IFF, Balchem, CCF, AFL insider,</t>
  </si>
  <si>
    <t>Syntel, Inc.</t>
  </si>
  <si>
    <t>SYNT</t>
  </si>
  <si>
    <t>moat?</t>
  </si>
  <si>
    <t>Tencent</t>
  </si>
  <si>
    <t>china tech P1) wechat P2) great roa &amp; growth C1) VIE structure C2) china-legal-political risk means less growth &amp; stagnation C3) gaming lumpiness</t>
  </si>
  <si>
    <t>No shorts until slow, sig, Reduce UHAL? Readd FNMAS++ while reduce others, associated capital? Rebalance per log, MMC/AON, klarman picks, Spinoffs, , UNP/CNI? LXFT, CNQ short! IBM, DVN short? RMB/CNY trade? ALGN, EW, IFF, Balchem, CCF, AFL insider,</t>
  </si>
  <si>
    <t>No shorts until slow sig! Reduce UHAL? Readd FNMAS++ while reduce others, associated capital? Rebalance per log, MMC/AON, klarman picks, Spinoffs, , UNP/CNI? LXFT, CNQ short! IBM, DVN short? RMB/CNY trade? ALGN, EW, IFF, Balchem, CCF, CP insider</t>
  </si>
  <si>
    <t xml:space="preserve">Medical p1) insider in 2017 C1) </t>
  </si>
  <si>
    <t>TransDigm Group Incorporated</t>
  </si>
  <si>
    <t>Valued at 30% return from insider, Aircraft supply parts, highly engineered P1) VIC- moat of proprietary products + quasi monopoly C1) valuation? C2) govt reliance? C3) poor glassdoor reviews, mgt focused on #s</t>
  </si>
  <si>
    <t>Atlassian</t>
  </si>
  <si>
    <t>Growth based on revenue growth * 1.5  P1) best software engineering platform P2) high r&amp;d bc no marketing</t>
  </si>
  <si>
    <t>Rebalance per log, MMC/AON, klarman picks, Spinoffs, , UNP/CNI? LXFT, CNQ RMB/CNY trade? ALGN, EW, IFF, Balchem, CCF,</t>
  </si>
  <si>
    <t>Watch ABC/GILD, Rebalance per log, MMC/AON, klarman picks, Spinoffs, , UNP/CNI? LXFT, RMB/CNY trade? PSX, KOP, PSXP, ORLY, MASI, UTHR</t>
  </si>
  <si>
    <t>ESV/MPEL trade! Watch AAPL/ABC/GILD, Rebalance per log, MMC/AON, klarman picks, Spinoffs, , UNP/CNI? LXFT, RMB/CNY trade? PSX, PSXP, ORLY, MASI, AAP, SCHW, WDC,</t>
  </si>
  <si>
    <t>Watch AAPL/ABC/GILD, Rebalance per log, MMC/AON, klarman picks, Spinoffs, , UNP/CNI? LXFT, RMB/CNY trade? PSX, PSXP, ORLY, MASI, AAP, SCHW, WDC, BOFI</t>
  </si>
  <si>
    <t>Watch/reduce UHAL, Exit LUV/KR? Rebalance per log, klarman picks, Spinoffs, , UNP/CNI? LXFT, RMB/CNY trade? PSX, PSXP, ORLY, MASI, AAP, SCHW, WDC, BOFI, PSA, AAP, RMD, FONR, NFLX, BWLD, CMG? THOR, BLL insider?</t>
  </si>
  <si>
    <t>Watch/reduce UHAL, Exit LUV/KR? Rebalance per log, klarman picks, Spinoffs, , UNP/CNI? LXFT, RMB/CNY trade? PSX, PSXP, ORLY, MASI, AAP, SCHW, WDC, BOFI, PSA, AAP, RMD, FONR, NFLX, BWLD, CMG? THOR, ABC/NFLX insider? TRV, trades</t>
  </si>
  <si>
    <t>Watch/reduce UHAL, Rebalance per log, klarman picks, Spinoffs, , UNP/CNI? LXFT, RMB/CNY trade? PSX, PSXP, ORLY, MASI, AAP, SCHW, WDC, BOFI, PSA, AAP, RMD, FONR, NFLX, BWLD, CMG? THOR, ABC insider?</t>
  </si>
  <si>
    <t>Watch/reduce UHAL, Rebalance per log, klarman picks, Spinoffs, , UNP/CNI? LXFT, RMB/CNY trade? PSX, PSXP, ORLY, MASI, AAP, SCHW, WDC, BOFI, PSA, AAP, RMD, FONR, NFLX, BWLD, CMG? THOR, ABC insider? ZTS</t>
  </si>
  <si>
    <t>Tallgrass Equity Partners LP</t>
  </si>
  <si>
    <t>2x offering price, NG pipeline/transport P1) insider buying @ ipo in 5/2013 P2) LNG-nat gas spread, long ng supply C1) growth? C2) moat? C3) non-compounding bc of dividends</t>
  </si>
  <si>
    <t>VVV</t>
  </si>
  <si>
    <t>TJX Companies (The)</t>
  </si>
  <si>
    <t>Watch MKTX for readd? Buy FTV insider spinoff? Watch LNG, Reduce MKL5s, DW50s, CCF50s, Buy 25sAGN, DVA50s, ZTS, CMG? Rebalance per log, klarman picks, Spinoffs, , UNP/CNI? LXFT, RMB/CNY trade? PSX, PSXP, ORLY, MASI, AAP, SCHW, WDC, BOFI, PSA, AAP, RMD, FONR, NFLX, BWLD, CMG? THOR, ABC insider? ZTS, MGPI, SPB, CRM, ULTA, BABY, Q, AZPN, CGNX, HQY, ELLI, NVDA, GCP, NGVT</t>
  </si>
  <si>
    <t xml:space="preserve">Great co. but wait for weakness! P1) discounter P2) great fundies </t>
  </si>
  <si>
    <t>Tencent Music</t>
  </si>
  <si>
    <t>TME</t>
  </si>
  <si>
    <t>Watch shorts for reduce if not favorable move! Watch MKTX for readd? Buy FTV insider spinoff? Watch LNG, Reduce MKL5s, DW50s, CCF50s, Buy 25sAGN, DVA50s, ZTS, CMG? Rebalance per log, klarman picks, Spinoffs, , UNP/CNI? LXFT, RMB/CNY trade? PSX, PSXP, ORLY, MASI, AAP, SCHW, WDC, BOFI, PSA, AAP, RMD, FONR, NFLX, BWLD, CMG? THOR, ABC insider? ZTS, MGPI, SPB, CRM, ULTA, BABY, Q, AZPN, CGNX, HQY, ELLI, NVDA, GCP, NGVT</t>
  </si>
  <si>
    <t>wechat + music C1) spotify-like no cost leverage</t>
  </si>
  <si>
    <t>Thermo Fisher Scientific Inc.</t>
  </si>
  <si>
    <t>Watch shorts for reduce if not favorable move 10/13 open! Watch MKTX for readd? Buy FTV insider spinoff? Watch LNG, Reduce MKL5s, DW50s, CCF50s, Buy 25sAGN, DVA50s, ZTS, CMG? Rebalance per log, klarman picks, Spinoffs, , UNP/CNI? LXFT, RMB/CNY trade? PSX, PSXP, ORLY, MASI, AAP, SCHW, WDC, BOFI, PSA, AAP, RMD, FONR, NFLX, BWLD, CMG? THOR, ABC insider? ZTS, MGPI, SPB, CRM, ULTA, BABY, Q, AZPN, CGNX, HQY, ELLI, NVDA, GCP, NGVT</t>
  </si>
  <si>
    <t>analytical instruments</t>
  </si>
  <si>
    <t>Watch MKTX for readd? Buy FTV insider spinoff? Watch LNG, Reduce MKL5s, DW50s, CCF50s, Buy 25sAGN, DVA50s, ZTS, CMG? Rebalance per log, klarman picks, Spinoffs, , UNP/CNI? LXFT, RMB/CNY trade? PSX, PSXP, ORLY, MASI, AAP, SCHW, WDC, BOFI, PSA, AAP, RMD, FONR, NFLX, BWLD, CMG? THOR, ABC insider? ZTS, MGPI, SPB, CRM, ULTA, BABY, Q, AZPN, CGNX, HQY, ELLI, NVDA, GCP, NGV</t>
  </si>
  <si>
    <t>Terra Industries Inc.</t>
  </si>
  <si>
    <t>TRA</t>
  </si>
  <si>
    <t>Agriculture</t>
  </si>
  <si>
    <t>TripAdvisor</t>
  </si>
  <si>
    <t>Add UHAL25s on 10/18 ex div? Watch MKTX for readd? Buy FTV insider spinoff? Watch LNG, Reduce MKL5s, DW50s, CCF50s, Buy 25sAGN, DVA50s, ZTS, CMG? Rebalance per log, klarman picks, Spinoffs, , UNP/CNI? LXFT, RMB/CNY trade? PSX, PSXP, ORLY, MASI, AAP, SCHW, WDC, BOFI, PSA, AAP, RMD, FONR, NFLX, BWLD, CMG? THOR, ABC insider? ZTS, MGPI, SPB, CRM, ULTA, BABY, Q, AZPN, CGNX, HQY, ELLI, NVDA, GCP, NGVT</t>
  </si>
  <si>
    <t>P1) Travel advisory P2) tech + network as moat C1) China exposure C2) customer concentration (EXPE/PCLN)</t>
  </si>
  <si>
    <t>TrueCar</t>
  </si>
  <si>
    <t>TRUE</t>
  </si>
  <si>
    <t>Valued @ 10x fwd sales P1) insider heavy 8/2014 C1) metrics C2) poor reviews on glassdoor C3) poor reviews online from usage</t>
  </si>
  <si>
    <t>Tractor Supply Company</t>
  </si>
  <si>
    <t>TSCO</t>
  </si>
  <si>
    <t>P1) Good metrics C1) why growth?</t>
  </si>
  <si>
    <t>Reduce UHAL, fcf? Add NOC/AGX to list, Buy FTV insider spinoff? Rebalance per log, klarman picks, LXFT, MASI, SCHW, BOFI, RMD, FONR, NFLX, BWLD, THOR, SPB, Q, AZPN,</t>
  </si>
  <si>
    <t>Tesoro</t>
  </si>
  <si>
    <t>TSO</t>
  </si>
  <si>
    <t>Toro Company</t>
  </si>
  <si>
    <t>turf maintenance equipment P) great roic C1) growth?</t>
  </si>
  <si>
    <t>The Trade Desk</t>
  </si>
  <si>
    <t>Reduce shares! Buy FTV insider spinoff? Rebalance per log, klarman picks, LXFT, MASI, SCHW, BOFI, RMD, FONR, NFLX, BWLD, THOR, SPB, Q, AZPN, add FB to list, reduce list! HCA, CHD, AGN, PJT, BHI, AKAM, MED</t>
  </si>
  <si>
    <t>P1) digital adveratising P2) profitable tech!</t>
  </si>
  <si>
    <t>Reduce shares! Buy FTV insider spinoff? Rebalance per log, klarman picks, LXFT, MASI, SCHW, BOFI, RMD, FONR, NFLX, BWLD, THOR, SPB, Q, AZPN, add FB to list, reduce list! HCA, CHD, AGN, PJT, BHI, AKAM, MED, MDT, ZLTQ, ITW, PZZA, EW, MCK,</t>
  </si>
  <si>
    <t>Tupperware Brands Corporation</t>
  </si>
  <si>
    <t>TUP</t>
  </si>
  <si>
    <t>Reduce shares! Buy FTV insider spinoff? klarman picks, LXFT, MASI, SCHW, BOFI, RMD, reduce list!</t>
  </si>
  <si>
    <t>Hostess Corp</t>
  </si>
  <si>
    <t>TWNK</t>
  </si>
  <si>
    <t>twinkies P1) insider 12/2016</t>
  </si>
  <si>
    <t>Reduce shares! Buy FTV insider spinoff? klarman picks, LXFT, MASI, SCHW, BOFI? TR insider!</t>
  </si>
  <si>
    <t>Two Harbors Investment Corp</t>
  </si>
  <si>
    <t>Mass reduce shares if weak open 12/19! Buy FTV insider spinoff? LXFT, MASI, SCHW, BOFI? MD insider! CHE, APOG, MSON,</t>
  </si>
  <si>
    <t>Lower prepayments P1) insider buying P2) mtg C1) out competed C2) manager model? C3) leverage/tail risk</t>
  </si>
  <si>
    <t>Under Armour</t>
  </si>
  <si>
    <t>UA</t>
  </si>
  <si>
    <t>Buy FTV insider spinoff? LXFT, MASI, SCHW, BOFI? MD insider! CHE, APOG, MSON, CHE, mcft</t>
  </si>
  <si>
    <t>Urstadt Biddle</t>
  </si>
  <si>
    <t>UBA</t>
  </si>
  <si>
    <t>Buy FTV insider spinoff? LXFT, MASI, SCHW, BOFI? MD insider! CHE, APOG, MSON, CHE, mcft,</t>
  </si>
  <si>
    <t>Good reit P1) insider buying 1/2015 P2) good metrics</t>
  </si>
  <si>
    <t>Buy FTV insider spinoff? LXFT, MASI, SCHW, BOFI? MD insider! CHE, APOG, MSON, CHE</t>
  </si>
  <si>
    <t>Amerco</t>
  </si>
  <si>
    <t>Buy FTV insider spinoff? LXFT, MASI, SCHW, BOFI? MD insider! CHE, APOG, MSON, CHE, STZ insider buy!</t>
  </si>
  <si>
    <t>moving co P1) Housing/immigration trend P2) some insider buying in 2013 P3) great fundies P4) RE optionality C1) old mgt trends! C2) fcf &gt; 0 bc purchases &amp; sales of pp&amp;e C3) too capex intensive but most investment is in Real estate so fcf &gt; 600mm/yr</t>
  </si>
  <si>
    <t>United Insurance Holdings Corp.(NDA)</t>
  </si>
  <si>
    <t>UIHC</t>
  </si>
  <si>
    <t>Reeval AZO/ORLY, Buy FTV insider spinoff? LXFT, MASI, SCHW, BOFI? MD insider! CHE, APOG, MSON, CHE, STZ insider buy!</t>
  </si>
  <si>
    <t>Reduce UHAL on pop? Buy FTV insider spinoff? LXFT, MASI, SCHW, BOFI? MD insider! CHE, APOG, MSON, CHE, STZ insider buy!</t>
  </si>
  <si>
    <t xml:space="preserve">full service salon w cosmetics P1) great metrics P2) old age P3) insider @ $200 in 8/2017, $230 9/2019 x2 C1) slowdown in 2019 </t>
  </si>
  <si>
    <t>Reduce UHAL125s, AWH200s on pop? Buy UNH50s/AET30s, Buy FTV insider spinoff? LXFT, MASI, SCHW, BOFI? MD insider! CHE, APOG, MSON, CHE, STZ insider buy!</t>
  </si>
  <si>
    <t>Research AWH tax, Reduce UHAL125s, AWH200s on pop? Buy UNH50s/AET30s, Buy FTV insider spinoff? LXFT, MASI, SCHW, BOFI? MD insider! CHE, APOG, MSON, CHE, STZ insider buy!</t>
  </si>
  <si>
    <t>Reduce UHAL125s, Buy FTV insider spinoff? LXFT, MASI, SCHW, BOFI? MD insider! CHE, APOG, MSON, CHE, STZ insider buy!</t>
  </si>
  <si>
    <t>Reduce UHAL125s, Buy FTV insider spinoff? LXFT, MASI, SCHW, BOFI? MD insider! CHE, APOG, MSON, CHE, STZ insider buy! MMS, MOS insider? VRSN, AAPL</t>
  </si>
  <si>
    <t>Reeval AIG, Reduce UHAL125s, Buy FTV insider spinoff? LXFT, MASI, SCHW, BOFI? MD insider! CHE, APOG, MSON, CHE, STZ insider buy! VRSN, AAPL</t>
  </si>
  <si>
    <t>Reduce UHAL125s, Buy FTV insider spinoff? LXFT, MASI, SCHW, BOFI? MD insider! CHE, APOG, MSON, CHE, STZ insider buy! VRSN, AAPL, WBA, SFBS</t>
  </si>
  <si>
    <t>Reduce UHAL125s, Buy FTV insider spinoff? LXFT, MASI, SCHW, BOFI? MD insider! CHE, APOG, MSON, CHE, STZ insider buy! VRSN, AAPL, WBA, SFBS, JKHY, ICLR, POOL</t>
  </si>
  <si>
    <t>Mass Reduce, Reduce FNMAS++? Buy FTV insider spinoff? LXFT, MASI, SCHW, BOFI? MD insider! CHE, APOG, MSON, CHE, STZ insider buy! VRSN, AAPL, WBA, SFBS, JKHY, ICLR, POOL</t>
  </si>
  <si>
    <t>Rebalance towards FNMAS+? Buy FTV insider spinoff? LXFT, MASI, SCHW, BOFI? MD insider! CHE, APOG, MSON, CHE, STZ insider buy! VRSN, AAPL, WBA, SFBS, JKHY, ICLR, POOL, GOOGL, MSFT</t>
  </si>
  <si>
    <t>Rebalance towards FNMAS+ from ULTA? Buy FTV insider spinoff? LXFT, MASI, SCHW, BOFI? MD insider! CHE, APOG, MSON, CHE, STZ insider buy! VRSN, AAPL, WBA, SFBS, JKHY, ICLR, POOL, GOOGL, MSFT, PF, HEI</t>
  </si>
  <si>
    <t>Rebalance towards FNMAS+ from ULTA? Buy FTV insider spinoff? LXFT, MASI, SCHW, BOFI? MD insider! CHE, APOG, MSON, CHE, STZ insider buy! VRSN, AAPL, WBA, SFBS, JKHY, ICLR, POOL, GOOGL, MSFT, PF, HEI, CMG, insiders BIIB, HBAN, BMY, KAR, CUB, IDXX, TTD</t>
  </si>
  <si>
    <t>Rebalance towards FNMAS+ from ULTA? Buy FTV insider spinoff? LXFT, MASI, SCHW, BOFI? MD insider! CHE, APOG, MSON, CHE, STZ insider buy! VRSN, AAPL, WBA, SFBS, JKHY, ICLR, POOL, GOOGL, MSFT, PF, HEI, CMG, insiders BIIB, HBAN, BMY, KAR, CUB, IDXX, TTD, ITT, FAF, FNF, bkfs, LEXEA</t>
  </si>
  <si>
    <t>Rebalance towards FNMAS1ks+/GOOGL10s from UHAL20s/MKL10s/AAPL25s? Buy FTV insider spinoff? LXFT, MASI, SCHW, BOFI? MD insider! CHE, APOG, MSON, CHE, STZ insider buy! VRSN, AAPL, WBA, SFBS, JKHY, ICLR, POOL, GOOGL, MSFT, PF, HEI, CMG, insiders BIIB, HBAN, BMY, KAR, CUB, IDXX, TTD, ITT, FAF, FNF, bkfs, LEXEA, DPZ/PZZA</t>
  </si>
  <si>
    <t>Reeval ORLY/AZO? Buy FTV insider spinoff? LXFT, MASI, SCHW, BOFI? MD insider! CHE, APOG, MSON, CHE, STZ insider buy! VRSN, AAPL, WBA, SFBS, JKHY, ICLR, POOL, GOOGL, MSFT, PF, HEI, CMG, insiders BIIB, HBAN, BMY, KAR, CUB, IDXX, TTD, ITT, FAF, FNF, bkfs, LEXEA, DPZ/PZZA, TCMD insider!!!</t>
  </si>
  <si>
    <t>Reeval ORLY/AZO? Buy FTV insider spinoff? LXFT, MASI, SCHW, BOFI? MD insider! CHE, APOG, MSON, CHE, STZ insider buy! VRSN, AAPL, WBA, SFBS, JKHY, ICLR, POOL, GOOGL, MSFT, PF, HEI, CMG, insiders BIIB, HBAN, BMY, KAR, CUB, IDXX, TTD, ITT, FAF, FNF, bkfs, LEXEA, DPZ/PZZA, TCMD insider!!! ICUI insider</t>
  </si>
  <si>
    <t>Reeval ORLY/AZO? Buy FTV insider spinoff? LXFT, MASI, SCHW, BOFI? MD insider! CHE, APOG, MSON, CHE, STZ insider buy! VRSN, AAPL, WBA, SFBS, JKHY, ICLR, POOL, GOOGL, MSFT, PF, HEI, CMG, insiders BIIB, HBAN, BMY, KAR, CUB, IDXX, TTD, ITT, FAF, FNF, bkfs, LEXEA, DPZ/PZZA</t>
  </si>
  <si>
    <t>Reeval ORLY/AZO? Buy FTV insider spinoff? LXFT, MASI, SCHW, BOFI? MD insider! CHE, APOG, MSON, CHE, STZ insider buy! VRSN, AAPL, WBA, SFBS, JKHY, ICLR, POOL, GOOGL, MSFT, PF, HEI, CMG, insiders BIIB, HBAN, BMY, KAR, CUB, IDXX, TTD, ITT, FAF, FNF, bkfs, LEXEA, DPZ/PZZA, MCD</t>
  </si>
  <si>
    <t>Reeval ORLY/AZO FNMAS? Buy FTV insider spinoff? LXFT, MASI, SCHW, BOFI? MD insider! CHE, APOG, MSON, CHE, STZ insider buy! VRSN, AAPL, WBA, SFBS, JKHY, ICLR, POOL, GOOGL, MSFT, PF, HEI, CMG, insiders BIIB, HBAN, BMY, KAR, CUB, IDXX, TTD, ITT, FAF, FNF, bkfs, LEXEA, DPZ, MCD, HQY</t>
  </si>
  <si>
    <t>Unilever</t>
  </si>
  <si>
    <t>UN</t>
  </si>
  <si>
    <t>Reeval ORLY/AZO Readd FNMAS? Buy FTV insider spinoff? LXFT, MASI, SCHW, BOFI? MD insider! CHE, APOG, MSON, CHE, STZ insider buy! VRSN, AAPL, WBA, SFBS, JKHY, ICLR, POOL, GOOGL, MSFT, PF, HEI, CMG, insiders BIIB, HBAN, BMY, KAR, CUB, IDXX, TTD, ITT, FAF, FNF, bkfs, LEXEA, DPZ, MCD, HQY, CVGW, LW</t>
  </si>
  <si>
    <t>Great consumer co.!</t>
  </si>
  <si>
    <t>United Health</t>
  </si>
  <si>
    <t>Add 1kFNMA, Reeval ORLY/AZO, Readd FNMAS+? Buy FTV insider spinoff? LXFT, MASI, SCHW, BOFI? MD insider! CHE, APOG, MSON, CHE, STZ insider buy! VRSN, AAPL, WBA, SFBS, JKHY, ICLR, POOL, GOOGL, MSFT, PF, HEI, CMG, insiders BIIB, HBAN, BMY, KAR, CUB, IDXX, TTD, ITT, FAF, FNF, bkfs, LEXEA, DPZ, MCD, HQY, CVGW, LW</t>
  </si>
  <si>
    <t>Reduce ABC/MCK, add to financials?! Reeval ORLY/AZO, Readd FNMAS+? Buy FTV insider spinoff? LXFT, MASI, SCHW, BOFI? MD insider! CHE, APOG, MSON, CHE, STZ insider buy! VRSN, AAPL, WBA, SFBS, JKHY, ICLR, POOL, GOOGL, MSFT, PF, HEI, CMG, insiders BIIB, HBAN, BMY, KAR, CUB, IDXX, TTD, ITT, FAF, FNF, bkfs, LEXEA, DPZ, MCD, HQY, CVGW, LW</t>
  </si>
  <si>
    <t>Healthcare P1) insider around 100s</t>
  </si>
  <si>
    <t>Buy AIG200s, 150sDHR, Reduce ABC/MCK, add to financials?! Reeval ORLY/AZO, Readd FNMAS+? Buy FTV insider spinoff? LXFT, MASI, SCHW, BOFI? MD insider! CHE, APOG, MSON, CHE, STZ insider buy! VRSN, AAPL, WBA, SFBS, JKHY, ICLR, POOL, GOOGL, MSFT, PF, HEI, CMG, insiders BIIB, HBAN, BMY, KAR, CUB, IDXX, TTD, ITT, FAF, FNF, bkfs, LEXEA, DPZ, MCD, HQY</t>
  </si>
  <si>
    <t>Reduce ABC/MCK, add to financials?! Reeval ORLY/AZO, Readd FNMAS+? Buy FTV insider spinoff? LXFT, MASI, SCHW, BOFI? MD insider! CHE, APOG, MSON, CHE, STZ insider buy! VRSN, AAPL, WBA, SFBS, JKHY, ICLR, POOL, GOOGL, MSFT, PF, HEI, CMG, insiders BIIB, HBAN, BMY, KAR, CUB, IDXX, TTD, ITT, FAF, FNF, bkfs, LEXEA, DPZ, MCD, HQY, LII (insider)</t>
  </si>
  <si>
    <t>Buy MKC 100s, Reduce ABC/MCK, add to financials?! Reeval ORLY/AZO, Readd FNMAS+? Buy FTV insider spinoff? LXFT, MASI, SCHW, BOFI? MD insider! CHE, APOG, MSON, CHE, STZ insider buy! VRSN, AAPL, WBA, SFBS, JKHY, ICLR, POOL, GOOGL, MSFT, PF, HEI, CMG, insiders BIIB, HBAN, BMY, KAR, CUB, IDXX, TTD, ITT, FAF, FNF, bkfs, LEXEA, DPZ, MCD, HQY, LII (insider)</t>
  </si>
  <si>
    <t>Reduce ABC/MCK, Reeval ORLY/AZO, Readd FNMAS+? Buy FTV insider spinoff? LXFT, MASI, SCHW, BOFI? MD insider! CHE, APOG, MSON, CHE, STZ insider buy! VRSN, AAPL, WBA, SFBS, JKHY, ICLR, POOL, GOOGL, MSFT, PF, HEI, CMG, insiders BIIB, HBAN, BMY, KAR, CUB, IDXX, TTD, ITT, FAF, FNF, bkfs, LEXEA, DPZ, MCD, HQY, ECL (insider)</t>
  </si>
  <si>
    <t>Readd FNMAS+? Reduce ABC/MCK, Reeval ORLY/AZO, Buy FTV insider spinoff? LXFT, MASI, SCHW, BOFI? MD insider! CHE, APOG, MSON, CHE, STZ insider buy! VRSN, AAPL, WBA, SFBS, JKHY, ICLR, POOL, GOOGL, MSFT, PF, HEI, CMG, insiders BIIB, HBAN, BMY, KAR, CUB, IDXX, TTD, ITT, FAF, FNF, bkfs, LEXEA, DPZ, MCD, HQY, ECL (insider), HA</t>
  </si>
  <si>
    <t>Readd FNMAS+? Reduce ABC/MCK, Reeval ORLY/AZO, Buy FTV insider spinoff? LXFT, MASI, SCHW, BOFI? MD insider! CHE, APOG, MSON, CHE, STZ insider buy! VRSN, AAPL, WBA, SFBS, JKHY, ICLR, POOL, GOOGL, MSFT, PF, HEI, CMG, insiders BIIB, HBAN, BMY, KAR, CUB, IDXX, TTD, ITT, FAF, FNF, bkfs, LEXEA, DPZ, MCD, HQY</t>
  </si>
  <si>
    <t>sold temp due to technicals</t>
  </si>
  <si>
    <t>Mass reduce? Readd AZO35s, ORLY100s on strength before 5/23/2017, Reduce ABC/MCK, Buy FTV insider spinoff? LXFT, MASI, SCHW, BOFI? MD insider! CHE, APOG, MSON, CHE, STZ insider buy! VRSN, AAPL, WBA, SFBS, JKHY, ICLR, POOL, GOOGL, MSFT, PF, HEI, CMG, insiders BIIB, HBAN, BMY, KAR, CUB, IDXX, TTD, ITT, FAF, FNF, bkfs, LEXEA, DPZ, MCD, HQY</t>
  </si>
  <si>
    <t>Mass reduce? Reduce ABC/MCK, Buy FTV insider spinoff? LXFT, MASI, SCHW, BOFI? MD insider! CHE, APOG, MSON, CHE, STZ insider buy! VRSN, AAPL, WBA, JKHY, ICLR, POOL, GOOGL, MSFT, PF, HEI, CMG, insiders BIIB, HBAN, BMY, KAR, CUB, IDXX, TTD, ITT, FAF, FNF, bkfs, LEXEA, DPZ, MCD, HQY</t>
  </si>
  <si>
    <t>Mass reduce? Reduce ABC/MCK, Buy FTV insider spinoff? LXFT, MASI, SCHW, BOFI? MD insider! CHE, APOG, MSON, CHE, STZ insider buy! VRSN, AAPL, WBA, JKHY, ICLR, POOL, GOOGL, MSFT, PF, HEI, CMG, insiders BIIB, HBAN, BMY, KAR, CUB, IDXX, TTD, ITT, FAF, FNF, bkfs, LEXEA, DPZ, MCD, HQY, HD insider?</t>
  </si>
  <si>
    <t>Add UHAL (insider?) Reduce ABC/MCK, Buy FTV insider spinoff? LXFT, MASI, SCHW, BOFI? MD insider! CHE, APOG, MSON, CHE, STZ insider buy! VRSN, AAPL, WBA, JKHY, ICLR, POOL, GOOGL, MSFT, PF, HEI, CMG, insiders BIIB, HBAN, BMY, KAR, CUB, IDXX, TTD, ITT, FAF, FNF, bkfs, LEXEA, DPZ, MCD, HQY, HD insider?</t>
  </si>
  <si>
    <t>Reduce overall risk? Watch AZO/ORLY, Reduce ABC/MCK, Buy FTV insider spinoff? LXFT, MASI, SCHW, BOFI? MD insider! CHE, APOG, MSON, CHE, STZ insider buy! VRSN, AAPL, WBA, JKHY, ICLR, POOL, GOOGL, MSFT, PF, HEI, CMG, insiders BIIB, HBAN, BMY, KAR, CUB, IDXX, TTD, ITT, FAF, FNF, bkfs, LEXEA, DPZ, MCD, HQY, HD insider?</t>
  </si>
  <si>
    <t>Reduce overall risk? Watch AZO/ORLY, Reduce ABC/MCK, Buy FTV insider spinoff? LXFT, MASI, SCHW, BOFI? MD insider! CHE, APOG, MSON, CHE, STZ insider buy! VRSN, AAPL, WBA, JKHY, ICLR, POOL, GOOGL, MSFT, PF, HEI, CMG, insiders BIIB, HBAN, BMY, KAR, CUB, IDXX, TTD, ITT, FAF, FNF, bkfs, LEXEA, DPZ, MCD, HQY, HD insider? Research NWL, TDY, TREE</t>
  </si>
  <si>
    <t>Reduce overall risk &amp; tech if weakness on Monday? Watch AZO/ORLY, Reduce ABC/MCK, Buy FTV insider spinoff? LXFT, MASI, SCHW, BOFI? MD insider! CHE, APOG, MSON, CHE, STZ insider buy! VRSN, AAPL, WBA, JKHY, ICLR, POOL, GOOGL, MSFT, PF, HEI, CMG, insiders BIIB, HBAN, BMY, KAR, CUB, IDXX, TTD, ITT, FAF, FNF, bkfs, LEXEA, DPZ, MCD, HQY, HD insider? Research NWL, TDY, TREE</t>
  </si>
  <si>
    <t>Unilife</t>
  </si>
  <si>
    <t>Reduce overall risk esp FNMAS?, Watch AZO/ORLY, Reduce ABC/MCK, Buy FTV insider spinoff? LXFT, MASI, SCHW, BOFI? MD insider! CHE, APOG, MSON, CHE, STZ insider buy! VRSN, AAPL, WBA, JKHY, ICLR, POOL, GOOGL, MSFT, PF, HEI, CMG, insiders BIIB, HBAN, BMY, KAR, CUB, IDXX, TTD, ITT, FAF, FNF, bkfs, LEXEA, DPZ, MCD, HQY, HD insider? Research NWL, TDY, TREE</t>
  </si>
  <si>
    <t>Reduce overall risk esp FNMAS?, Watch AZO/ORLY, Reduce ABC/MCK, Buy FTV insider spinoff? LXFT, MASI, SCHW, BOFI? MD insider! CHE, APOG, MSON, CHE, STZ insider buy! VRSN, AAPL, WBA, JKHY, ICLR, POOL, GOOGL, MSFT, PF, HEI, CMG, insiders BIIB, HBAN, BMY, KAR, CUB, IDXX, TTD, ITT, FAF, FNF, bkfs, LEXEA, DPZ, MCD, HQY, HD insider? Research TDY, TREE</t>
  </si>
  <si>
    <t xml:space="preserve">Useless disposable needles P1) kerrisdale cap P2) terrible financials/debt </t>
  </si>
  <si>
    <t>Union Pacific Corporation</t>
  </si>
  <si>
    <t>Reduce overall risk esp FNMAS if no reversal by eod 6/22?, Watch AZO/ORLY, Reduce ABC/MCK, Buy FTV insider spinoff? LXFT, MASI, SCHW, BOFI? MD insider! CHE, APOG, MSON, CHE, STZ insider buy! VRSN, AAPL, WBA, JKHY, ICLR, POOL, GOOGL, MSFT, PF, HEI, CMG, insiders BIIB, HBAN, BMY, KAR, CUB, IDXX, TTD, ITT, FAF, FNF, bkfs, LEXEA, DPZ, MCD, HQY, HD insider? Research TDY, TREE</t>
  </si>
  <si>
    <t>Great railroad P1) consistent P2) bnsf is other competitor, rational P3) insider 2/2016 C1) commod focused!</t>
  </si>
  <si>
    <t>Ultra Petroleum</t>
  </si>
  <si>
    <t>UPL</t>
  </si>
  <si>
    <t>Long gas C1) remaining oversupply overwhelms</t>
  </si>
  <si>
    <t>Add CHE? Reduce overall risk esp FNMAS if no reversal by eod 6/22?, Watch AZO/ORLY, Reduce ABC/MCK, Buy FTV insider spinoff? LXFT, MASI, SCHW, BOFI? MD insider! CHE, APOG, MSON, CHE, STZ insider buy! VRSN, AAPL, WBA, JKHY, ICLR, POOL, GOOGL, MSFT, PF, HEI, CMG, insiders BIIB, HBAN, BMY, KAR, CUB, IDXX, TTD, ITT, FAF, FNF, bkfs, LEXEA, DPZ, MCD, HQY, HD insider? Research TDY, TREE</t>
  </si>
  <si>
    <t>Visa</t>
  </si>
  <si>
    <t xml:space="preserve">similar to MA P1) great co for transactions P2) insider buying 3/2014 8/2019 $171 C1) size? </t>
  </si>
  <si>
    <t>Exit VVV, Add CHE? Reduce ABC/MCK, Buy FTV insider spinoff? LXFT, MASI, SCHW, BOFI? MD insider! CHE, APOG, MSON, CHE, STZ insider buy! VRSN, AAPL, WBA, JKHY, ICLR, POOL, GOOGL, MSFT, PF, HEI, CMG, insiders BIIB, HBAN, BMY, KAR, CUB, IDXX, TTD, ITT, FAF, FNF, bkfs, LEXEA, DPZ, MCD, HQY, HD insider? Research TDY, TREE</t>
  </si>
  <si>
    <t>Reeval FNMAS+? Add CHE? Reduce ABC/MCK, Buy FTV insider spinoff? LXFT, MASI, SCHW, BOFI? MD insider! CHE, APOG, MSON, CHE, STZ insider buy! VRSN, AAPL, WBA, JKHY, ICLR, POOL, GOOGL, MSFT, PF, HEI, CMG, insiders BIIB, HBAN, BMY, KAR, CUB, IDXX, TTD, ITT, FAF, FNF, bkfs, LEXEA, DPZ, MCD, HQY, HD insider? Research TDY, TREE</t>
  </si>
  <si>
    <t>Rebuy 4ksFNMAS+? AZO35s ORLY100s , Add CHE? Reduce ABC/MCK, Buy FTV insider spinoff? LXFT, MASI, SCHW, BOFI? MD insider! CHE, APOG, MSON, CHE, STZ insider buy! VRSN, AAPL, WBA, JKHY, ICLR, POOL, GOOGL, MSFT, PF, HEI, CMG, insiders BIIB, HBAN, BMY, KAR, CUB, IDXX, TTD, ITT, FAF, FNF, bkfs, LEXEA, DPZ, MCD, HQY, HD insider? Research TDY, TREE</t>
  </si>
  <si>
    <t>Reduce ABC/MCK, Buy FTV insider spinoff? LXFT, MASI, SCHW, BOFI? MD insider! CHE, APOG, MSON, CHE, STZ insider buy! VRSN, AAPL, WBA, JKHY, ICLR, POOL, GOOGL, MSFT, PF, HEI, CMG, insiders BIIB, HBAN, BMY, KAR, CUB, IDXX, TTD, ITT, FAF, FNF, bkfs, LEXEA, DPZ, MCD, HQY, HD insider? Research TDY, TREE</t>
  </si>
  <si>
    <t>Buy VVV500s, BWLD30s, Reduce ABC/MCK, Buy FTV insider spinoff? LXFT, MASI, SCHW, BOFI? MD insider! CHE, APOG, MSON, CHE, STZ insider buy! VRSN, AAPL, WBA, JKHY, ICLR, POOL, GOOGL, MSFT, PF, HEI, CMG, insiders BIIB, HBAN, BMY, KAR, CUB, IDXX, TTD, ITT, FAF, FNF, bkfs, LEXEA, DPZ, MCD, HQY, HD insider? Research TDY, TREE</t>
  </si>
  <si>
    <t>Add to FB/GOOG on dip, Reduce ABC/MCK, Buy FTV insider spinoff? LXFT, MASI, SCHW, BOFI? MD insider! CHE, APOG, MSON, CHE, STZ insider buy! VRSN, AAPL, WBA, JKHY, ICLR, POOL, GOOGL, MSFT, PF, HEI, CMG, insiders BIIB, HBAN, BMY, KAR, CUB, IDXX, TTD, ITT, FAF, FNF, bkfs, LEXEA, DPZ, MCD, HQY, HD insider? Research TDY, TREE</t>
  </si>
  <si>
    <t>Watch ORLY/AZO, Add to FB/GOOG on dip, Reduce ABC/MCK, Buy FTV insider spinoff? LXFT, MASI, SCHW, BOFI? MD insider! CHE, APOG, MSON, CHE, STZ insider buy! VRSN, AAPL, WBA, JKHY, ICLR, POOL, GOOGL, MSFT, PF, HEI, CMG, insiders BIIB, HBAN, BMY, KAR, CUB, IDXX, TTD, ITT, FAF, FNF, bkfs, LEXEA, DPZ, MCD, HQY, HD insider? Research TDY, TREE</t>
  </si>
  <si>
    <t>Look for reduce, esp EGBN/SFBS, Buy FTV insider spinoff? LXFT, MASI, SCHW, BOFI? MD insider! CHE, APOG, MSON, CHE, STZ insider buy! VRSN, AAPL, WBA, JKHY, ICLR, POOL, GOOGL, MSFT, PF, HEI, CMG, insiders BIIB, HBAN, BMY, KAR, CUB, IDXX, TTD, ITT, FAF, FNF, bkfs, LEXEA, DPZ, MCD, HQY, HD insider? Research TDY</t>
  </si>
  <si>
    <t>Look for reduce, esp EGBN/SFBS/FNMAS+/Tech, Buy FTV insider spinoff? LXFT, MASI, SCHW, BOFI? MD insider! CHE, APOG, MSON, CHE, STZ insider buy! VRSN, AAPL, WBA, JKHY, ICLR, POOL, GOOGL, MSFT, PF, HEI, CMG, insiders BIIB, HBAN, BMY, KAR, CUB, IDXX, TTD, ITT, FAF, FNF, bkfs, LEXEA, DPZ, MCD, HQY, HD insider? Research TDY</t>
  </si>
  <si>
    <t>Look for reduce, esp EGBN/SFBS/FNMAS+/Tech, Buy FTV insider spinoff? LXFT, MASI, SCHW, BOFI? MD insider! CHE, APOG, MSON, CHE, STZ insider buy! VRSN, AAPL, WBA, JKHY, ICLR, POOL, GOOGL, MSFT, PF, HEI, CMG, insiders BIIB, HBAN, BMY, KAR, CUB, IDXX, TTD, ITT, FAF, FNF, bkfs, LEXEA, DPZ, MCD, HQY, HD insider? Research TDY, ABBV insider</t>
  </si>
  <si>
    <t>Look for reduce, esp EGBN/SFBS/FNMAS+/Tech, Buy FTV insider spinoff? LXFT, MASI, SCHW, BOFI? MD insider! CHE, APOG, MSON, CHE, STZ insider buy! VRSN, AAPL, WBA, JKHY, ICLR, POOL, GOOGL, MSFT, PF, HEI, CMG, insiders BIIB, HBAN, BMY, KAR, CUB, IDXX, TTD, ITT, FAF, FNF, bkfs, LEXEA, DPZ, MCD, HQY, HD insider? Research TDY, ABBV insider, IDXX/QSR insider, BEAT</t>
  </si>
  <si>
    <t xml:space="preserve">Varian Medical Systems, Inc. </t>
  </si>
  <si>
    <t>VAR</t>
  </si>
  <si>
    <t>Cancer equipment, upside?</t>
  </si>
  <si>
    <t>Veeva Systems Inc.</t>
  </si>
  <si>
    <t>VEEV</t>
  </si>
  <si>
    <t xml:space="preserve">Life SaaS </t>
  </si>
  <si>
    <t>VF Corp</t>
  </si>
  <si>
    <t>VFC</t>
  </si>
  <si>
    <t>clothing co P1) insider 8/2015 strong</t>
  </si>
  <si>
    <t>Valmont Industries, Inc.</t>
  </si>
  <si>
    <t>VMI</t>
  </si>
  <si>
    <t>Moat? Too pricey?</t>
  </si>
  <si>
    <t>ING US Inc (Voya Financial)</t>
  </si>
  <si>
    <t>Target @ 0.5*book @ 2016H1, or normalized earnings for 6.6B ongoing equity + closed block at cost P1) fee-based retirement services P2) Insider buying @ 19.5 , in 2015 P3) forced selling by dutch govt P4) C1) CVA business liability? C2) low roic C3) can't make $ due to low rates</t>
  </si>
  <si>
    <t>Validus Holdings, Ltd.</t>
  </si>
  <si>
    <t>VR</t>
  </si>
  <si>
    <t>Deep value?, wait for dip!</t>
  </si>
  <si>
    <t>Look for reduce, esp EGBN/SFBS/FNMAS+/Tech, Buy FTV insider spinoff? LXFT, MASI, SCHW, BOFI? MD insider! CHE, APOG, MSON, CHE, STZ insider buy! VRSN, AAPL, WBA, JKHY, ICLR, POOL, GOOGL, MSFT, PF, HEI, CMG, insiders BIIB, HBAN, BMY, KAR, CUB, IDXX, TTD, ITT, FAF, FNF, bkfs, LEXEA, DPZ, MCD, HQY, HD insider? Research TDY, ABBV insider, IDXX/QSR insider, BEAT, DIS</t>
  </si>
  <si>
    <t>Verisk Analytics</t>
  </si>
  <si>
    <t>best analytics provider insurance P1) ISO insurance data monopoly on data source P2) insider 8/2018</t>
  </si>
  <si>
    <t>Verisign</t>
  </si>
  <si>
    <t>domain P1) basehit investing</t>
  </si>
  <si>
    <t>Research HCA, Buy FTV insider spinoff? LXFT, MASI, SCHW, BOFI? MD insider! CHE, APOG, MSON, CHE, STZ insider buy! VRSN, AAPL, WBA, JKHY, ICLR, POOL, GOOGL, MSFT, PF, HEI, CMG, insiders BIIB, HBAN, BMY, KAR, CUB, IDXX, TTD, ITT, FAF, FNF, bkfs, LEXEA, DPZ, MCD, HQY, HD insider? Research TDY, ABBV insider, IDXX/QSR insider, BEAT, DIS. CHUBA, ICLR new high, CRL</t>
  </si>
  <si>
    <t>Veritiv</t>
  </si>
  <si>
    <t>Research EFX, HCA, Buy FTV insider spinoff? LXFT, MASI, SCHW, BOFI? MD insider! CHE, APOG, MSON, CHE, STZ insider buy! VRSN, AAPL, WBA, JKHY, ICLR, POOL, GOOGL, MSFT, PF, HEI, CMG, insiders BIIB, HBAN, BMY, KAR, CUB, IDXX, TTD, ITT, FAF, FNF, bkfs, LEXEA, DPZ, MCD, HQY, HD insider? Research TDY, ABBV insider, IDXX/QSR insider, BEAT, DIS. CHUBA, ICLR new high, CRL</t>
  </si>
  <si>
    <t>B2B paper valued @ 15x normalized earnings w/ 16mm shares P1) insider 12/2014 C1) poor financials? C2) poor glassdoor reviews?</t>
  </si>
  <si>
    <t>Research EFX, HCA, Buy FTV insider spinoff? LXFT, MASI, SCHW, BOFI? MD insider! CHE, APOG, MSON, CHE, STZ insider buy! VRSN, AAPL, WBA, JKHY, ICLR, POOL, GOOGL, MSFT, PF, HEI, CMG, insiders BIIB, HBAN, BMY, KAR, CUB, IDXX, TTD, ITT, FAF, FNF, bkfs, LEXEA, DPZ, MCD, HQY, HD insider? Research TDY, ABBV insider, IDXX/QSR insider, BEAT, DIS. CHUBA, ICLR new high, CRL, RNR</t>
  </si>
  <si>
    <t>Versum</t>
  </si>
  <si>
    <t>VSM</t>
  </si>
  <si>
    <t>semiconductor/display supplier</t>
  </si>
  <si>
    <t>Valvoline</t>
  </si>
  <si>
    <t>Research HCA, Buy FTV insider spinoff? LXFT, MASI, SCHW, BOFI? MD insider! CHE, APOG, MSON, CHE, STZ insider buy! VRSN, AAPL, WBA, JKHY, ICLR, POOL, GOOGL, MSFT, PF, HEI, CMG, insiders BIIB, HBAN, BMY, KAR, CUB, IDXX, TTD, ITT, FAF, FNF, bkfs, LEXEA, DPZ, MCD, HQY, HD insider? Research TDY, ABBV insider, IDXX/QSR insider, BEAT, DIS. CHUBA, ICLR new high, CRL, RNR</t>
  </si>
  <si>
    <t>oil lubricant spinoff (consumer) P1) insider 10/2016, P2) great roa/roe C1) growth?</t>
  </si>
  <si>
    <t>Wabtec</t>
  </si>
  <si>
    <t>WAB</t>
  </si>
  <si>
    <t>railroad equipment</t>
  </si>
  <si>
    <t>Waters Corp</t>
  </si>
  <si>
    <t>WAT</t>
  </si>
  <si>
    <t>Instruments, Good co., but too expensive</t>
  </si>
  <si>
    <t>Research AGN, HCA, Buy FTV insider spinoff? LXFT, MASI, SCHW, BOFI? MD insider! CHE, APOG, MSON, CHE, STZ insider buy! VRSN, AAPL, WBA, JKHY, ICLR, POOL, GOOGL, MSFT, PF, HEI, CMG, insiders BIIB, HBAN, BMY, KAR, CUB, IDXX, TTD, ITT, FAF, FNF, bkfs, LEXEA, DPZ, MCD, HQY, HD insider? Research TDY, ABBV insider, IDXX/QSR insider, BEAT, DIS. CHUBA, ICLR new high, CRL, RNR</t>
  </si>
  <si>
    <t>Walgreen Boots</t>
  </si>
  <si>
    <t>Research SNA, AGN, HCA, Buy FTV insider spinoff? LXFT, MASI, SCHW, BOFI? MD insider! CHE, APOG, MSON, CHE, STZ insider buy! VRSN, AAPL, WBA, JKHY, ICLR, POOL, GOOGL, MSFT, PF, HEI, CMG, insiders BIIB, HBAN, BMY, KAR, CUB, IDXX, TTD, ITT, FAF, FNF, bkfs, LEXEA, DPZ, MCD, HQY, HD insider? Research TDY, ABBV insider, IDXX/QSR insider, BEAT, DIS. CHUBA, ICLR new high, CRL, RNR</t>
  </si>
  <si>
    <t>Add FNMAS1k+? Reduce AGN, Research SNA, HCA, Buy FTV insider spinoff? LXFT, MASI, SCHW, BOFI? MD insider! CHE, APOG, MSON, CHE, STZ insider buy! VRSN, AAPL, WBA, JKHY, ICLR, POOL, GOOGL, MSFT, PF, HEI, CMG, insiders BIIB, HBAN, BMY, KAR, CUB, IDXX, TTD, ITT, FAF, FNF, bkfs, LEXEA, DPZ, MCD, HQY, HD insider? Research TDY, ABBV insider, IDXX/QSR insider, BEAT, DIS. CHUBA, ICLR new high, CRL, RNR</t>
  </si>
  <si>
    <t xml:space="preserve">Medicine P1) insider P2) activist? </t>
  </si>
  <si>
    <t>Workday</t>
  </si>
  <si>
    <t>Research SNA, HCA, Buy FTV insider spinoff? LXFT, MASI, SCHW, BOFI? MD insider! CHE, APOG, MSON, CHE, STZ insider buy! VRSN, AAPL, WBA, JKHY, ICLR, POOL, GOOGL, MSFT, PF, HEI, CMG, insiders BIIB, HBAN, BMY, KAR, CUB, IDXX, TTD, ITT, FAF, FNF, bkfs, LEXEA, DPZ, MCD, HQY, HD insider? Research TDY, ABBV insider, IDXX/QSR insider, BEAT, DIS. CHUBA, ICLR new high, CRL, RNR, VSM, QSR</t>
  </si>
  <si>
    <t>HR Saas P1) insider 6/2019 C1) profitability an issue</t>
  </si>
  <si>
    <t>Watch FNMAS FOR Reduce++ Research SNA, HCA, Buy FTV insider spinoff? LXFT, MASI, SCHW, BOFI? MD insider! CHE, APOG, MSON, CHE, STZ insider buy! VRSN, AAPL, WBA, JKHY, ICLR, POOL, GOOGL, MSFT, PF, HEI, CMG, insiders BIIB, HBAN, BMY, KAR, CUB, IDXX, TTD, ITT, FAF, FNF, bkfs, LEXEA, DPZ, MCD, HQY, HD insider? Research TDY, ABBV insider, IDXX/QSR insider, BEAT, DIS. CHUBA, ICLR new high, CRL, RNR, VSM, QSR</t>
  </si>
  <si>
    <t>Buy 200s VRSK/DAL/SNA/HHC? Watch FNMAS FOR Reduce, Research HCA, Buy FTV insider spinoff? LXFT, MASI, SCHW, BOFI? MD insider! CHE, APOG, MSON, CHE, STZ insider buy! VRSN, AAPL, JKHY, ICLR, POOL, , MSFT, PF, HEI, CMG, insiders BIIB, HBAN, BMY, KAR, CUB, TTD, ITT, FAF, FNF, bkfs, LEXEA, DPZ, MCD, HQY, HD insider? Research TDY, ABBV insider, IDXX/QSR insider, BEAT, DIS. CHUBA, ICLR new high, CRL, RNR, VSM</t>
  </si>
  <si>
    <t>Sell 400sTWNK, Buy 150 VRSK, DAL/SNA/HHC? Watch FNMAS FOR Reduce, Research HCA, Buy FTV insider spinoff? LXFT, MASI, SCHW, BOFI? MD insider! CHE, APOG, MSON, CHE, STZ insider buy! VRSN, AAPL, JKHY, ICLR, POOL, , MSFT, PF, HEI, CMG, insiders BIIB, HBAN, BMY, KAR, CUB, TTD, ITT, FAF, FNF, bkfs, LEXEA, DPZ, MCD, HQY, HD insider? Research TDY, ABBV insider, IDXX/QSR insider, BEAT, DIS. CHUBA, ICLR new high, CRL, RNR, VSM</t>
  </si>
  <si>
    <t>Reduce 4kFNMAS unless up 11/9, Reduce others, Buy DAL/SNA/HHC? Research HCA, Buy FTV insider spinoff? LXFT, MASI, SCHW, BOFI? MD insider! CHE, APOG, MSON, CHE, STZ insider buy! VRSN, AAPL, JKHY, ICLR, POOL, , MSFT, PF, HEI, CMG, insiders BIIB, HBAN, BMY, KAR, CUB, TTD, ITT, FAF, FNF, bkfs, LEXEA, DPZ, MCD, HQY, HD insider? Research TDY, ABBV insider, IDXX/QSR insider, BEAT, DIS. CHUBA, ICLR new high, CRL, RNR, VSM</t>
  </si>
  <si>
    <t>Reduce others, Buy DAL/SNA/HHC? Research HCA, Buy FTV insider spinoff? LXFT, MASI, SCHW, BOFI? MD insider! CHE, APOG, MSON, CHE, STZ insider buy! VRSN, AAPL, JKHY, ICLR, POOL, , MSFT, PF, HEI, CMG, insiders BIIB, HBAN, BMY, KAR, CUB, TTD, ITT, FAF, FNF, bkfs, LEXEA, DPZ, MCD, HQY, HD insider? Research TDY, ABBV insider, IDXX/QSR insider, BEAT, DIS. CHUBA, ICLR new high, CRL, RNR, VSM</t>
  </si>
  <si>
    <t>Readd FNMAS1ks+? Reduce others, Buy DAL/SNA/HHC? Research HCA, Buy FTV insider spinoff? LXFT, MASI, SCHW, BOFI? MD insider! CHE, APOG, MSON, CHE, STZ insider buy! VRSN, AAPL, JKHY, ICLR, POOL, , MSFT, PF, HEI, CMG, insiders BIIB, HBAN, BMY, KAR, CUB, TTD, ITT, FAF, FNF, bkfs, LEXEA, DPZ, MCD, HQY, HD insider? Research TDY, ABBV insider, IDXX/QSR insider, BEAT, DIS. CHUBA, ICLR new high, CRL, RNR, VSM</t>
  </si>
  <si>
    <t xml:space="preserve">Reduce others, Buy LCII/MKL/QSR/DAL/SNA/HHC? Research HCA, Buy FTV insider spinoff? LXFT, MASI, SCHW, BOFI? MD insider! CHE, APOG, MSON, CHE, STZ insider buy! VRSN, AAPL, JKHY, ICLR, POOL, , MSFT, PF, HEI, CMG, insiders BIIB, HBAN, BMY, KAR, CUB, TTD, ITT, FAF, FNF, bkfs, LEXEA, DPZ, MCD, HQY, HD insider? Research TDY, ABBV insider, IDXX/QSR insider, BEAT, DIS. CHUBA, ICLR new high, CRL, RNR, VSM, </t>
  </si>
  <si>
    <t>Reduce others, Buy LCII/MKL/QSR/DAL/SNA/HHC? Research HCA, Buy FTV insider spinoff? LXFT, MASI, SCHW, BOFI? MD insider! CHE, APOG, MSON, CHE, STZ insider buy! VRSN, AAPL, JKHY, ICLR, POOL, , MSFT, PF, HEI, CMG, insiders BIIB, HBAN, BMY, KAR, CUB, TTD, ITT, FAF, FNF, bkfs, LEXEA, DPZ, MCD, HQY, HD insider? Research TDY, ABBV insider, IDXX/QSR insider, BEAT, DIS. CHUBA, ICLR new high, CRL, RNR, VSM, FIX insider</t>
  </si>
  <si>
    <t>Reduce UHAL, Buy LCII/MKL/QSR/DAL/SNA/HHC? Research HCA, Buy FTV insider spinoff? LXFT, MASI, SCHW, BOFI? MD insider! CHE, APOG, MSON, CHE, STZ insider buy! VRSN, AAPL, JKHY, ICLR, POOL, , MSFT, PF, HEI, CMG, insiders BIIB, HBAN, BMY, KAR, CUB, TTD, ITT, FAF, FNF, bkfs, LEXEA, DPZ, MCD, HQY, HD insider? Research TDY, ABBV insider, IDXX/QSR insider, BEAT, DIS. CHUBA, ICLR new high, CRL, RNR, VSM, FIX insider</t>
  </si>
  <si>
    <t>Reduce UHAL, Buy LCII/MKL/QSR/DAL/SNA/HHC/VSM/TEAM? Research HCA, Buy FTV insider spinoff? LXFT, MASI, SCHW, BOFI? MD insider! CHE, APOG, MSON, CHE, STZ insider buy! VRSN, AAPL, JKHY, ICLR, POOL, , MSFT, PF, HEI, CMG, insiders BIIB, HBAN, BMY, KAR, CUB, TTD, ITT, FAF, FNF, bkfs, LEXEA, DPZ, MCD, HQY, HD insider? Research TDY, ABBV insider, IDXX/QSR insider, BEAT, DIS. CHUBA, ICLR new high, CRL, RNR, FIX insider</t>
  </si>
  <si>
    <t>Reduce UHAL, Buy LCII/MKL/QSR/DAL/SNA/HHC/VSM/TEAM? Research HCA, Buy FTV insider spinoff? LXFT, MASI, SCHW, BOFI? MD insider! CHE, APOG, MSON, CHE, STZ insider buy! VRSN, AAPL, JKHY, ICLR, POOL, , MSFT, PF, HEI, CMG, insiders BIIB, HBAN, BMY, KAR, CUB, TTD, ITT, FAF, FNF, bkfs, LEXEA, DPZ, MCD, HQY, HD insider? Research TDY, ABBV insider, IDXX/QSR insider, BEAT, DIS. CHUBA, ICLR new high, CRL, RNR, FIX insider, HII insider, TWNK</t>
  </si>
  <si>
    <t>Sell UHAL/NVDA? Buy LCII/MKL/QSR/DAL/SNA/HHC/VSM/TEAM? Research HCA, Buy FTV insider spinoff? LXFT, MASI, SCHW, BOFI? MD insider! CHE, APOG, MSON, CHE, STZ insider buy! VRSN, AAPL, JKHY, ICLR, POOL, MSFT, PF, HEI, CMG, insiders BIIB, HBAN, BMY, KAR, CUB, TTD, ITT, FAF, FNF, bkfs, LEXEA, DPZ, MCD, HQY, HD insider? Research TDY, ABBV insider, IDXX/QSR insider, BEAT, DIS. CHUBA, ICLR new high, CRL, RNR, FIX insider, HII insider, TWNK insider</t>
  </si>
  <si>
    <t>Sell UHAL/NVDA/TCEHY? Buy LCII/MKL/QSR/DAL/SNA/HHC/VSM/TEAM? Research HCA, Buy FTV insider spinoff? LXFT, MASI, SCHW, BOFI? MD insider! CHE, APOG, MSON, CHE, STZ insider buy! VRSN, AAPL, JKHY, ICLR, POOL, MSFT, PF, HEI, CMG, insiders BIIB, HBAN, BMY, KAR, CUB, TTD, ITT, FAF, FNF, bkfs, LEXEA, DPZ, MCD, HQY, HD insider? Research TDY, ABBV insider, IDXX/QSR insider, BEAT, DIS. CHUBA, ICLR new high, CRL, RNR, FIX insider, HII insider, TWNK insider</t>
  </si>
  <si>
    <t>Sell UHAL/NVDA/TCEHY/AET? Buy TEAM/VSM/LCII/MKL/QSR/DAL/SNA/HHC? Research HCA, Buy FTV insider spinoff? LXFT, MASI, SCHW, BOFI? MD insider! CHE, APOG, MSON, CHE, STZ insider buy! VRSN, AAPL, JKHY, ICLR, POOL, MSFT, PF, HEI, CMG, insiders BIIB, HBAN, BMY, KAR, CUB, TTD, ITT, FAF, FNF, bkfs, LEXEA, DPZ, MCD, HQY, HD insider? Research TDY, ABBV insider, IDXX/QSR insider, BEAT, DIS. CHUBA, ICLR new high, CRL, RNR, FIX insider, HII insider, TWNK insider</t>
  </si>
  <si>
    <t>Sell NVDA/TCEHY/PZZA? Buy LCII/MKL/QSR/DAL/SNA/HHC? Research HCA, Buy FTV insider spinoff? LXFT, MASI, SCHW, BOFI? MD insider! CHE, APOG, MSON, CHE, STZ insider buy! VRSN, AAPL, JKHY, ICLR, POOL, MSFT, PF, HEI, CMG, insiders BIIB, HBAN, BMY, KAR, CUB, TTD, ITT, FAF, FNF, bkfs, LEXEA, DPZ, MCD, HQY, HD insider? Research TDY, ABBV insider, IDXX/QSR insider, BEAT, DIS. CHUBA, ICLR new high, CRL, RNR, FIX insider, HII insider, TWNK insider</t>
  </si>
  <si>
    <t>Sell NVDA/TCEHY/PZZA? Buy LCII/MKL/QSR/DAL/SNA/HHC? Research HCA, Buy FTV insider spinoff? LXFT, MASI, SCHW, BOFI? MD insider! CHE, APOG, MSON, CHE, STZ insider buy! VRSN, AAPL, JKHY, ICLR, POOL, MSFT, PF, HEI, CMG, insiders BIIB, HBAN, BMY, KAR, CUB, TTD, ITT, FAF, FNF, bkfs, LEXEA, DPZ, MCD, HQY, HD insider? Research TDY, ABBV insider, IDXX/QSR insider, BEAT, DIS. CHUBA, ICLR new high, CRL, RNR, FIX insider, HII insider, TWNK insider, BUFF new high, USNA buy? BF-B, SAM</t>
  </si>
  <si>
    <t>Sell NVDA/TCEHY/PZZA? Buy LCII/MKL/QSR/DAL/SNA/HHC? Research HCA, Buy FTV insider spinoff? LXFT, MASI, SCHW, BOFI? MD insider! CHE, APOG, MSON, CHE, STZ insider buy! VRSN, AAPL, JKHY, ICLR, POOL, MSFT, PF, HEI, CMG, insiders BIIB, HBAN, BMY, KAR, CUB, TTD, ITT, FAF, FNF, bkfs, LEXEA, DPZ, MCD, HQY, HD insider? Research TDY, ABBV insider, IDXX/QSR insider, BEAT, DIS. CHUBA, ICLR new high, CRL, RNR, FIX insider, HII insider, TWNK insider, BUFF new high, USNA buy? BF-B, SAM, IDXX</t>
  </si>
  <si>
    <t>Sell TCEHY/PZZA? Buy IDXX/ALGN/LCII/MKL/QSR/DAL/SNA/HHC/? Research HCA, Buy FTV insider spinoff? LXFT, MASI, SCHW, BOFI? MD insider! CHE, APOG, MSON, CHE, STZ insider buy! VRSN, AAPL, JKHY, ICLR, POOL, MSFT, PF, HEI, CMG, insiders BIIB, HBAN, BMY, KAR, CUB, TTD, ITT, FAF, FNF, bkfs, LEXEA, DPZ, MCD, HQY, HD insider? Research TDY, ABBV insider, IDXX/QSR insider, BEAT, DIS. CHUBA, ICLR new high, CRL, RNR, FIX insider, HII insider, TWNK insider, BUFF new high, USNA buy? BF-B, SAM</t>
  </si>
  <si>
    <t>Sell TCEHY/PZZA? Buy IDXX/ALGN/LCII/MKL/QSR/DAL/SNA/HHC/UHAL? Research HCA, Buy FTV insider spinoff? LXFT, MASI, SCHW, BOFI? MD insider! CHE, APOG, MSON, CHE, STZ insider buy! VRSN, AAPL, JKHY, ICLR, POOL, MSFT, PF, HEI, CMG, insiders BIIB, HBAN, BMY, KAR, CUB, TTD, ITT, FAF, FNF, bkfs, LEXEA, DPZ, MCD, HQY, HD insider? Research TDY, ABBV insider, IDXX/QSR insider, BEAT, DIS. CHUBA, ICLR new high, CRL, RNR, FIX insider, HII insider, TWNK insider, BUFF new high, USNA buy? BF-B, SAM</t>
  </si>
  <si>
    <t>Sell TCEHY/PZZA? Buy IDXX/ALGN/LCII/MKL/QSR/DAL/SNA/HHC/UHAL/TDG? Research HCA, Buy FTV insider spinoff? LXFT, MASI, SCHW, BOFI? MD insider! CHE, APOG, MSON, CHE, STZ insider buy! VRSN, AAPL, JKHY, ICLR, POOL, MSFT, PF, HEI, CMG, insiders BIIB, HBAN, BMY, KAR, CUB, TTD, ITT, FAF, FNF, bkfs, LEXEA, DPZ, MCD, HQY, HD insider? Research TDY, ABBV insider, IDXX/QSR insider, BEAT, DIS. CHUBA, ICLR new high, CRL, RNR, FIX insider, HII insider, TWNK insider, BUFF new high, USNA buy? BF-B, SAM</t>
  </si>
  <si>
    <t>Possibly reduce AIG100s/EGBN150s/SFBS200s, Sell TCEHY/PZZA? Buy IDXX/ALGN/LCII/MKL/QSR/DAL/SNA/HHC/UHAL/TDG? Research HCA, Buy FTV insider spinoff? LXFT, MASI, SCHW, BOFI? MD insider! CHE, APOG, MSON, CHE, STZ insider buy! VRSN, AAPL, JKHY, ICLR, POOL, MSFT, PF, HEI, CMG, insiders BIIB, HBAN, BMY, KAR, CUB, TTD, ITT, FAF, FNF, bkfs, LEXEA, DPZ, MCD, HQY, HD insider? Research TDY, ABBV insider, IDXX/QSR insider, BEAT, DIS. CHUBA, ICLR new high, CRL, RNR, FIX insider, HII insider, TWNK insider, BUFF new high, USNA buy? BF-B, SAM/CNBKA</t>
  </si>
  <si>
    <t>Possibly reduce AIG100s/EGBN150s/SFBS200s on pop, Sell PZZA? Buy IDXX/ALGN/LCII/MKL/QSR/DAL/SNA/HHC/UHAL/TDG? Research HCA, Buy FTV insider spinoff? LXFT, MASI, SCHW, BOFI? MD insider! CHE, APOG, MSON, CHE, STZ insider buy! VRSN, AAPL, JKHY, ICLR, POOL, MSFT, PF, HEI, CMG, insiders BIIB, HBAN, BMY, KAR, CUB, TTD, ITT, FAF, FNF, bkfs, LEXEA, DPZ, MCD, HQY, HD insider? Research TDY, ABBV insider, IDXX/QSR insider, BEAT, DIS. CHUBA, ICLR new high, CRL, RNR, FIX insider, HII insider, TWNK insider, BUFF new high, USNA buy? BF-B, SAM/CNBKA</t>
  </si>
  <si>
    <t>Possibly reduce AIG100s/EGBN150s/SFBS200s/PZZA50s on pop, Buy LCII/IDXX/ALGN/MKL/QSR/DAL/SNA/HHC/TDG? Research HCA, Buy FTV insider spinoff? LXFT, MASI, SCHW, BOFI? MD insider! CHE, APOG, MSON, CHE, STZ insider buy! VRSN, AAPL, JKHY, ICLR, POOL, MSFT, PF, HEI, CMG, insiders BIIB, HBAN, BMY, KAR, CUB, TTD, ITT, FAF, FNF, bkfs, LEXEA, DPZ, MCD, HQY, HD insider? Research TDY, ABBV insider, IDXX/QSR insider, BEAT, DIS. CHUBA, ICLR new high, CRL, RNR, FIX insider, HII insider, TWNK insider, BUFF new high, USNA buy? BF-B, SAM/CNBKA</t>
  </si>
  <si>
    <t>BuyLCII75s, Possibly reduce AIG100s/EGBN150s/SFBS200s/PZZA50s on pop, Buy LCII/IDXX/ALGN/MKL/QSR/DAL/SNA/HHC/TDG? Research HCA, Buy FTV insider spinoff? LXFT, MASI, SCHW, BOFI? MD insider! CHE, APOG, MSON, CHE, STZ insider buy! VRSN, AAPL, JKHY, ICLR, POOL, MSFT, PF, HEI, CMG, insiders BIIB, HBAN, BMY, KAR, CUB, TTD, ITT, FAF, FNF, bkfs, LEXEA, DPZ, MCD, HQY, HD insider? Research TDY, ABBV insider, IDXX/QSR insider, BEAT, DIS. CHUBA, ICLR new high, CRL, RNR, FIX insider, HII insider, TWNK insider, BUFF new high, USNA buy? BF-B, SAM/CNBKA</t>
  </si>
  <si>
    <t>Possibly reduce EGBN150s/SFBS200s/PZZA50s/VVV300s on pop, Buy LCII/IDXX/ALGN/MKL/QSR/DAL/SNA/HHC/TDG? Research HCA, Buy FTV insider spinoff? LXFT, MASI, SCHW, BOFI? MD insider! CHE, APOG, MSON, CHE, STZ insider buy! VRSN, AAPL, JKHY, ICLR, POOL, MSFT, PF, HEI, CMG, insiders BIIB, HBAN, BMY, KAR, CUB, TTD, ITT, FAF, FNF, bkfs, LEXEA, DPZ, MCD, HQY, HD insider? Research TDY, ABBV insider, IDXX/QSR insider, BEAT, DIS. CHUBA, ICLR new high, CRL, RNR, FIX insider, HII insider, TWNK insider, BUFF new high, USNA buy? BF-B, SAM/CNBKA</t>
  </si>
  <si>
    <t>Possibly reduce HIIQ350s/EGBN150s/SFBS200s/PZZA50s/VVV300s on pop, Buy LCII/IDXX/ALGN/MKL/QSR/DAL/SNA/HHC/TDG? Research HCA, Buy FTV insider spinoff? LXFT, MASI, SCHW, BOFI? MD insider! CHE, APOG, MSON, CHE, STZ insider buy! VRSN, AAPL, JKHY, ICLR, POOL, MSFT, PF, HEI, CMG, insiders BIIB, HBAN, BMY, KAR, CUB, TTD, ITT, FAF, FNF, bkfs, LEXEA, DPZ, MCD, HQY, HD insider? Research TDY, ABBV insider, IDXX/QSR insider, BEAT, DIS. CHUBA, ICLR new high, CRL, RNR, FIX insider, HII insider, TWNK insider, BUFF new high, USNA buy? BF-B, SAM/CNBKA</t>
  </si>
  <si>
    <t>WD-40 Company</t>
  </si>
  <si>
    <t>WDFC</t>
  </si>
  <si>
    <t>Moat w proprietary formula?</t>
  </si>
  <si>
    <t>Wendy's</t>
  </si>
  <si>
    <t>WEN</t>
  </si>
  <si>
    <t>1) Best bank by roa/fee/stability 2) customer service 3) lack of political probs C1) tail risk</t>
  </si>
  <si>
    <t>Short TSLA? Possibly reduce /EGBN150s/SFBS200s/VVV300s on pop, Buy LCII/IDXX/ALGN/MKL/QSR/DAL/SNA/HHC/TDG? Research HCA, Buy FTV insider spinoff? LXFT, MASI, SCHW, BOFI? MD insider! CHE, APOG, MSON, CHE, STZ insider buy! VRSN, AAPL, JKHY, ICLR, POOL, MSFT, PF, HEI, CMG, insiders BIIB, HBAN, BMY, KAR, CUB, TTD, ITT, FAF, FNF, bkfs, LEXEA, DPZ, MCD, HQY, HD insider? Research TDY, ABBV insider, IDXX/QSR insider, BEAT, DIS. CHUBA, ICLR new high, CRL, RNR, FIX insider, HII insider, TWNK insider, BUFF new high, USNA buy? BF-B, SAM/CNBKA</t>
  </si>
  <si>
    <t>Short TSLA? Possibly reduce VVV300s on pop, Buy LCII/IDXX/ALGN/MKL/QSR/DAL/SNA/HHC/TDG? Research HCA, Buy FTV insider spinoff? LXFT, MASI, SCHW, BOFI? MD insider! CHE, APOG, MSON, CHE, STZ insider buy! VRSN, AAPL, JKHY, ICLR, POOL, MSFT, PF, HEI, CMG, insiders BIIB, HBAN, BMY, KAR, CUB, TTD, ITT, FAF, FNF, bkfs, LEXEA, DPZ, MCD, HQY, HD insider? Research TDY, ABBV insider, IDXX/QSR insider, BEAT, DIS. CHUBA, ICLR new high, CRL, RNR, FIX insider, HII insider, TWNK insider, BUFF new high, USNA buy? BF-B, SAM/CNBKA</t>
  </si>
  <si>
    <t>Wright Express Corporation</t>
  </si>
  <si>
    <t>WEX</t>
  </si>
  <si>
    <t>Short TSLA? bPossibly reduce VVV300s on pop, Buy LCII/TCEHY/IDXX/ALGN/MKL/QSR/DAL/SNA/HHC/TDG? Research HCA, Buy FTV insider spinoff? LXFT, MASI, SCHW, BOFI? MD insider! CHE, APOG, MSON, CHE, STZ insider buy! VRSN, AAPL, JKHY, ICLR, POOL, MSFT, PF, HEI, CMG, insiders BIIB, HBAN, BMY, KAR, CUB, TTD, ITT, FAF, FNF, bkfs, LEXEA, DPZ, MCD, HQY, HD insider? Research TDY, ABBV insider, IDXX/QSR insider, BEAT, DIS. CHUBA, ICLR new high, CRL, RNR, FIX insider, HII insider, TWNK insider, BUFF new high, USNA buy? BF-B, SAM/CNBKA</t>
  </si>
  <si>
    <t>Gas credit cards - Wait for big dip! C1) growth/earnings not stable</t>
  </si>
  <si>
    <t>Short TSLA? Possibly reduce VVV300s on pop, Buy CC/LCII/TCEHY/IDXX/ALGN/MKL/QSR/DAL/SNA/HHC/TDG? Research HCA, Buy FTV insider spinoff? LXFT, MASI, SCHW, BOFI? MD insider! CHE, APOG, MSON, CHE, STZ insider buy! VRSN, AAPL, JKHY, ICLR, POOL, MSFT, PF, HEI, CMG, insiders BIIB, HBAN, BMY, KAR, CUB, TTD, ITT, FAF, FNF, bkfs, LEXEA, DPZ, MCD, HQY, HD insider? Research TDY, ABBV insider, IDXX/QSR insider, BEAT, DIS. CHUBA, ICLR new high, CRL, RNR, FIX insider, HII insider, TWNK insider, BUFF new high, USNA buy? BF-B, SAM/CNBKA</t>
  </si>
  <si>
    <t>Wells Fargo</t>
  </si>
  <si>
    <t xml:space="preserve">1) Best bank by roa/fee/stability 2) customer service 3) lack of political probs C1) tail risk C2) poor customer service actually and no growth ! </t>
  </si>
  <si>
    <t>Short TSLA? Possibly reduce VVV300s on pop, Buy CC/LCII/TCEHY/IDXX/ALGN/DAL? Buy FTV insider spinoff? LXFT, MASI, SCHW, BOFI? MD ,CHE, APOG, MSON, CHE, STZ insider buy! VRSN, JKHY, ICLR, POOL, MSFT, PF, HEI, CMG, insiders BIIB, HBAN, BMY, KAR, CUB, TTD, ITT, FAF, FNF, bkfs, LEXEA, DPZ, MCD, HQY, HD insider? Research TDY, ABBV insider, IDXX/QSR insider, BEAT, DIS. CHUBA, ICLR new high, CRL, RNR, FIX insider, HII insider, TWNK insider, BUFF new high, USNA buy? BF-B, SAM/CNBKA</t>
  </si>
  <si>
    <t>Winmark Corp</t>
  </si>
  <si>
    <t>WINA</t>
  </si>
  <si>
    <t>Short TSLA? Possibly reduce VVV300s on pop, Buy CC/LCII/TCEHY/IDXX/ALGN/DAL? Buy FTV insider spinoff? LXFT, MASI, SCHW, BOFI?CHE, APOG, MSON, CHE, STZ insider buy! VRSN, JKHY, ICLR, POOL, MSFT, PF, HEI, CMG, insiders BIIB, HBAN, BMY, KAR, CUB, TTD, ITT, FAF, FNF, bkfs, LEXEA, DPZ, MCD, HQY, HD insider? Research TDY, ABBV insider, BEAT, DIS. CHUBA, ICLR new high, CRL, RNR, FIX insider, HII insider, TWNK insider, BUFF new high, USNA buy? BF-B, SAM/CNBKA</t>
  </si>
  <si>
    <t>Western Asset Mortgage Capital Corp</t>
  </si>
  <si>
    <t xml:space="preserve">See agnc for thesis P1) insider buying </t>
  </si>
  <si>
    <t>Short TSLA? Possibly reduce VVV300s on pop, Buy CC/LCII/TCEHY/IDXX/ALGN/DAL? Buy FTV insider spinoff? LXFT, MASI, SCHW, BOFI?CHE, APOG, MSON, CHE, STZ insider buy! VRSN, JKHY, ICLR, POOL, MSFT, PF, HEI, CMG, insiders BIIB, HBAN, BMY, KAR, CUB, TTD, ITT, FAF, FNF, bkfs, LEXEA, DPZ, MCD, HQY, HD insider? Research TDY, ABBV insider, BEAT, DIS. CHUBA, ICLR new high, CRL, RNR, FIX insider, HII insider, TWNK insider, BUFF new high, USNA buy? BF-B</t>
  </si>
  <si>
    <t>Advanced Drainage Systems</t>
  </si>
  <si>
    <t>high end drainage pipes, construction related, valued below insiders P1) insider 2/2015 C1) metrics?</t>
  </si>
  <si>
    <t>Research PEN, Short TSLA? Possibly reduce VVV300s on pop, Buy CC/LCII/TCEHY/IDXX/ALGN/DAL? Buy FTV insider spinoff? LXFT, MASI, SCHW, BOFI?CHE, APOG, MSON, CHE, STZ insider buy! VRSN, JKHY, ICLR, POOL, MSFT, PF, HEI, CMG, insiders BIIB, HBAN, BMY, KAR, CUB, TTD, ITT, FAF, FNF, bkfs, LEXEA, DPZ, MCD, HQY, HD insider? Research TDY, ABBV insider, BEAT, DIS. CHUBA, ICLR new high, CRL, RNR, FIX insider, HII insider, TWNK insider, BUFF new high, USNA buy?</t>
  </si>
  <si>
    <t>Williams Partners L.P.</t>
  </si>
  <si>
    <t>WPZ</t>
  </si>
  <si>
    <t>Nat gas pipeline C1) actually short nat gas, long fluids</t>
  </si>
  <si>
    <t>Research PEN, Possibly reduce VVV300s on pop, Buy CC/LCII/TCEHY/IDXX/ALGN/DAL? Buy FTV insider spinoff? LXFT, MASI, SCHW, BOFI?CHE, APOG, MSON, CHE, STZ insider buy! VRSN, JKHY, ICLR, POOL, MSFT, PF, HEI, CMG, insiders BIIB, HBAN, BMY, KAR, CUB, TTD, ITT, FAF, FNF, bkfs, LEXEA, DPZ, MCD, HQY, HD insider? Research TDY, ABBV insider, BEAT, DIS. CHUBA, ICLR new high, CRL, RNR, FIX insider, HII insider, TWNK insider, BUFF new high, USNA buy?</t>
  </si>
  <si>
    <t>West Pharmaceutical Services, Inc</t>
  </si>
  <si>
    <t>Medical devices P1) insider buy 5/2015</t>
  </si>
  <si>
    <t>Buy MSFT300s, Rsh EYES Note PEN(add to buys), Possibly reduce VVV300s on pop, Buy CC/LCII/TCEHY/IDXX/ALGN/DAL? Buy FTV insider spinoff? LXFT, MASI, SCHW, BOFI?CHE, APOG, MSON, CHE, STZ insider buy! VRSN, JKHY, ICLR, POOL, MSFT, PF, HEI, CMG, insiders BIIB, HBAN, BMY, KAR, CUB, TTD, ITT, FAF, FNF, bkfs, LEXEA, DPZ, MCD, HQY, HD insider? Research TDY, ABBV insider, BEAT, DIS. CHUBA, ICLR new high, CRL, RNR, FIX insider, HII insider, TWNK insider, BUFF new high, USNA buy?</t>
  </si>
  <si>
    <t xml:space="preserve">Watts Water Technologies, Inc. </t>
  </si>
  <si>
    <t>WTS</t>
  </si>
  <si>
    <t>P1) Water systems</t>
  </si>
  <si>
    <t>XYLEM INC WI</t>
  </si>
  <si>
    <t>Rsh EYES, Possibly reduce VVV300s on pop, Buy CC/LCII/TCEHY/IDXX/ALGN/DAL? Buy FTV insider spinoff? LXFT, MASI, SCHW, BOFI?CHE, APOG, MSON, CHE, STZ insider buy! VRSN, JKHY, ICLR, POOL, MSFT, PF, HEI, CMG, insiders BIIB, HBAN, BMY, KAR, CUB, TTD, ITT, FAF, FNF, bkfs, LEXEA, DPZ, MCD, HQY, HD insider? Research TDY, ABBV insider, BEAT, DIS. CHUBA, ICLR new high, CRL, RNR, FIX insider, HII insider, TWNK insider, BUFF new high, USNA buy?</t>
  </si>
  <si>
    <t>ITT spinoff P1) water C1) spin off over C2) rev weakness C3) euro exposure?</t>
  </si>
  <si>
    <t>Possibly reduce VVV300s/MMC100s on pop, Buy CC/LCII/TCEHY/IDXX/ALGN/DAL? Buy FTV insider spinoff? LXFT, MASI, SCHW, BOFI?CHE, APOG, MSON, CHE, STZ insider buy! VRSN, JKHY, ICLR, POOL, MSFT, PF, HEI, CMG, insiders BIIB, HBAN, BMY, KAR, CUB, TTD, ITT, FAF, FNF, bkfs, LEXEA, DPZ, MCD, HQY, HD insider? Research TDY, ABBV insider, BEAT, DIS. CHUBA, ICLR new high, CRL, RNR, FIX insider, HII insider, TWNK insider, add Morn</t>
  </si>
  <si>
    <t>Yelp</t>
  </si>
  <si>
    <t>YELP</t>
  </si>
  <si>
    <t>P1) high valuation 20x+ ttm revs C1) crowded c) lack of catalyst?</t>
  </si>
  <si>
    <t>Clean up portfolio, check greenhaven! Possibly reduce VVV300s/mmc100s on pop, Buy CC/LCII/TCEHY/IDXX/ALGN/DAL? Buy FTV insider spinoff? LXFT, MASI, SCHW, BOFI?CHE, APOG, MSON, CHE, STZ insider buy! VRSN, JKHY, ICLR, POOL, MSFT, PF, HEI, CMG, insiders BIIB, HBAN, BMY, KAR, CUB, TTD, ITT, FAF, FNF, bkfs, LEXEA, DPZ, MCD, HQY, HD insider? Research TDY, ABBV insider, BEAT, DIS. CHUBA, ICLR new high, CRL, RNR, FIX insider, HII insider, TWNK insider, add Morn, rsch etsy</t>
  </si>
  <si>
    <t>YPF</t>
  </si>
  <si>
    <t>Exit VVV300s/mmc100s on pop, Buy CC/LCII/TCEHY/IDXX/ALGN/DAL? Buy FTV insider spinoff? LXFT, MASI, SCHW, BOFI?CHE, APOG, MSON, CHE, STZ insider buy! VRSN, JKHY, ICLR, POOL, MSFT, PF, HEI, CMG, insiders BIIB, HBAN, BMY, KAR, CUB, TTD, ITT, FAF, FNF, bkfs, LEXEA, DPZ, MCD, HQY, HD insider? Research TDY, ABBV insider, BEAT, DIS. CHUBA, ICLR new high, CRL, RNR, FIX insider, HII insider, TWNK insider, add Morn, rsch etsy</t>
  </si>
  <si>
    <t>neutral S&amp;P 500 till end of year; 650k stop</t>
  </si>
  <si>
    <t xml:space="preserve">iron ore tgt &lt; 15, coking coal &lt; 40, zinc &lt; 900, oil tgt &lt;25; gold &lt; 600, copper &lt;1k; natgas &lt;1.5 but currently neg on all hard commodities, exit yield-dependent equities/buy equities that benefit from rising rates </t>
  </si>
  <si>
    <t>argentinian oil P1) rev growth P2) edong rec C1) not profitable C2) commoditized C3) political/nationalization risk?</t>
  </si>
  <si>
    <t>Clean portfolio! Buy LCII/IDXX/ALGN/DAL? Buy FTV insider spinoff? LXFT, MASI, SCHW, BOFI?CHE, APOG, MSON, CHE, STZ insider buy! VRSN, JKHY, ICLR, POOL, MSFT, PF, HEI, CMG, insiders BIIB, HBAN, BMY, KAR, CUB, TTD, ITT, FAF, FNF, bkfs, LEXEA, DPZ, MCD, HQY, HD insider? Research TDY, ABBV insider, BEAT, DIS. CHUBA, ICLR new high, CRL, RNR, FIX insider, HII insider, TWNK insider, add Morn, rsch etsy</t>
  </si>
  <si>
    <t>Clean portfolio to 80pct! Sell VRSK50s/EFX50s/QSR75s/IQV75s/SFBS300s/EGBN250s/SBNY75s, Buy LCII/IDXX/ALGN/DAL? Buy FTV insider spinoff? LXFT, MASI, SCHW, BOFI?CHE, APOG, MSON, CHE, STZ insider buy! VRSN, JKHY, ICLR, POOL, MSFT, PF, HEI, CMG, insiders BIIB, HBAN, BMY, KAR, CUB, TTD, ITT, FAF, FNF, bkfs, LEXEA, DPZ, MCD, HQY, HD insider? Research TDY, ABBV insider, BEAT, DIS. CHUBA, ICLR new high, CRL, RNR, FIX insider, HII insider, TWNK insider, add Morn, rsch etsy</t>
  </si>
  <si>
    <t>Clean portfolio to 80pct! Buy LCII/IDXX/ALGN/DAL? Buy FTV insider spinoff? LXFT, MASI, SCHW, BOFI?CHE, APOG, MSON, CHE, STZ insider buy! VRSN, JKHY, ICLR, POOL, MSFT, PF, HEI, CMG, insiders BIIB, HBAN, BMY, KAR, CUB, TTD, ITT, FAF, FNF, bkfs, LEXEA, DPZ, MCD, HQY, HD insider? Research TDY, ABBV insider, BEAT, DIS. CHUBA, ICLR new high, CRL, RNR, FIX insider, HII insider, TWNK insider, add Morn, rsch etsy</t>
  </si>
  <si>
    <t>Clean portf to 80 pct! Buy techy on smooth up/LCII/IDXX/ALGN? Buy FTV insider spinoff? LXFT, MASI, SCHW, BOFI?CHE, APOG, MSON, CHE, STZ insider buy! VRSN, JKHY, ICLR, POOL, MSFT, PF, HEI, CMG, insiders BIIB, HBAN, BMY, KAR, CUB, TTD, ITT, FAF, FNF, bkfs, LEXEA, DPZ, MCD, HQY, HD insider? Research TDY, ABBV insider, BEAT, DIS. CHUBA, ICLR new high, CRL, RNR, FIX insider, HII insider, TWNK insider, add Morn, rsch etsy</t>
  </si>
  <si>
    <t>Clean portf to 80 pct! Buy techy on smooth up/LCII/IDXX/ALGN? Buy FTV insider spinoff? LXFT, MASI, SCHW, BOFI?CHE, APOG, MSON, CHE, STZ insider buy! VRSN, JKHY, ICLR, POOL, MSFT, PF, HEI, CMG, insiders BIIB, HBAN, BMY, KAR, CUB, TTD, ITT, FAF, FNF, bkfs, LEXEA, DPZ, MCD, HQY, HD insider? Research TDY, ABBV insider, BEAT, DIS. CHUBA, ICLR new high, CRL, RNR, FIX insider, HII insider, TWNK insider, add Morn</t>
  </si>
  <si>
    <t>Clean portf to 80 pct! Buy BRK B, TCEHY/LCII/IDXX/ALGN? Buy FTV insider spinoff? LXFT, MASI, SCHW, BOFI?CHE, APOG, MSON, CHE, STZ insider buy! VRSN, JKHY, ICLR, POOL, MSFT, PF, HEI, CMG, insiders BIIB, HBAN, BMY, KAR, CUB, TTD, ITT, FAF, FNF, bkfs, LEXEA, DPZ, MCD, HQY, HD insider? Research TDY, ABBV insider, BEAT, DIS. CHUBA, ICLR new high, CRL, RNR, FIX insider, HII insider, TWNK insider, add Morn</t>
  </si>
  <si>
    <t>Clean portf to 80 pct! Reduce NFLX/TCMD?, Buy BRK.B/TCEHY/LCII/IDXX/ALGN? Buy FTV insider spinoff? LXFT, MASI, SCHW, BOFI?CHE, APOG, MSON, CHE, STZ insider buy! VRSN, JKHY, ICLR, POOL, MSFT, PF, HEI, CMG, insiders BIIB, HBAN, BMY, KAR, CUB, TTD, ITT, FAF, FNF, bkfs, LEXEA, DPZ, MCD, HQY, HD insider? Research TDY, ABBV insider, BEAT, DIS. CHUBA, ICLR new high, CRL, RNR, FIX insider, HII insider, TWNK insider, add Morn, AABA insider?/AET, CMPR, BRKB, ADS</t>
  </si>
  <si>
    <t>Clean portf to 80 pct! Reduce CC/FONRfamily/VSM/TCMD?, Buy BRK.B/TCEHY/LCII/IDXX/ALGN/VRSK? Buy FTV insider spinoff? LXFT, MASI, SCHW, BOFI?CHE, APOG, MSON, CHE, STZ insider buy! VRSN, JKHY, ICLR, POOL, PF, HEI, CMG, insiders BIIB, HBAN, BMY, KAR, CUB, TTD, ITT, FAF, FNF, bkfs, LEXEA, DPZ, MCD, HQY, HD insider? Research TDY, ABBV insider, BEAT, DIS. CHUBA, ICLR new high, CRL, RNR, FIX insider, HII insider, TWNK insider, add Morn, AABA insider?/AET, CMPR, BRKB, ADS, EQIX, NVO, MU, ROST, FINVIZ, KEM</t>
  </si>
  <si>
    <t>Reduce CC/FONRfamily/VSM/TCMD?, Buy AER300s/GOOGL10s/TCEHY300s/NVR4s/BRK.B50s/LCII/IDXX/ALGN/VRSK? Buy FTV insider spinoff? LXFT, MASI, SCHW, BOFI?CHE, APOG, MSON, CHE, STZ insider buy! VRSN, JKHY, ICLR, POOL, PF, HEI, CMG, insiders BIIB, HBAN, BMY, KAR, CUB, TTD, ITT, FAF, FNF, bkfs, LEXEA, DPZ, MCD, HQY, HD insider? Research TDY, ABBV insider, BEAT, DIS. CHUBA, ICLR new high, CRL, RNR, FIX insider, HII insider, TWNK insider, add Morn, AABA insider?/AET, CMPR, BRKB, ADS, EQIX, NVO, MU, ROST, FINVIZ, KEM</t>
  </si>
  <si>
    <t>Reduce CC/FONRfamily/VSM/TCMD/DHR?, Buy CI/AER/LCII/IDXX/ALGN/VRSK/DIS/BRKB? Buy FTV insider spinoff? LXFT, MASI, SCHW, BOFI?CHE, APOG, MSON, CHE, STZ insider buy! VRSN, JKHY, ICLR, POOL, PF, HEI, CMG, insiders BIIB, HBAN, BMY, KAR, CUB, TTD, ITT, FAF, FNF, bkfs, LEXEA, DPZ, MCD, HQY, HD insider? Research TDY, ABBV insider, BEAT, DIS. CHUBA, ICLR new high, CRL, RNR, FIX insider, HII insider, TWNK insider, add Morn, AABA insider?/AET, CMPR</t>
  </si>
  <si>
    <t>Reduce CC/FONRfamily/VSM/TCMD/DHR?, Buy CI/AER/LCII/IDXX/ALGN/VRSK/DIS/BRKB? Buy FTV insider spinoff? LXFT, MASI, SCHW, BOFI?CHE, APOG, MSON, CHE, STZ insider buy! VRSN, JKHY, ICLR, POOL, PF, HEI, CMG, insiders BIIB, HBAN, BMY, KAR, CUB, TTD, ITT, FAF, FNF, bkfs, LEXEA, DPZ, MCD, HQY, HD insider? Research TDY, ABBV insider, BEAT, DIS. CHUBA, ICLR new high, CRL, RNR, FIX insider</t>
  </si>
  <si>
    <t>Reduce to 80pct, Reduce FONRfamily/VSM/TCMD/DHR?, Buy CI/AER/LCII/IDXX/ALGN/VRSK/DIS/BRKB? Buy FTV insider spinoff? LXFT, MASI, SCHW, BOFI?CHE, APOG, MSON, CHE, STZ insider buy! VRSN, JKHY, ICLR, POOL, PF, HEI, CMG, insiders BIIB, HBAN, BMY, KAR, CUB, TTD, ITT, FAF, FNF, bkfs, LEXEA, DPZ, MCD, HQY, HD insider? Research TDY, ABBV insider, BEAT, DIS. CHUBA, ICLR new high, CRL, RNR, PATK</t>
  </si>
  <si>
    <t>Exit Reduce FONRfamily/VSM, Reduce to 80pct, watch lcii, nvr, Reduce DHR?, Buy CI/AER/LCII/IDXX/ALGN/VRSK/DIS/BRKB? Buy FTV insider spinoff? LXFT, MASI, SCHW, BOFI?CHE, APOG, MSON, CHE, STZ insider buy! VRSN, JKHY, ICLR, POOL, PF, HEI, CMG, insiders BIIB, HBAN, BMY, KAR, CUB, TTD, ITT, FAF, FNF, bkfs, LEXEA, DPZ, MCD, HQY, HD insider? Research TDY, ABBV insider, BEAT, DIS. CHUBA, ICLR new high, CRL, RNR，PATK</t>
  </si>
  <si>
    <t xml:space="preserve">Yum! Brands, Inc. </t>
  </si>
  <si>
    <t>150$ target from ira sohn Food! P1) Third point/Jana partners activist P2) insider 2/2019 C1) growth? C2) china exposure not good</t>
  </si>
  <si>
    <t>Zoom Communications</t>
  </si>
  <si>
    <t>ZM</t>
  </si>
  <si>
    <t>Reduce to 80pct, watch lcii, nvr, Reduce DHR?, Buy CI/AER/LCII/IDXX/ALGN/VRSK/DIS/BRKB? Buy FTV insider spinoff? LXFT, MASI, SCHW, BOFI?CHE, APOG, MSON, CHE, STZ insider buy! VRSN, JKHY, ICLR, POOL, PF, HEI, CMG, insiders BIIB, HBAN, BMY, KAR, CUB, TTD, ITT, FAF, FNF, bkfs, LEXEA, DPZ, MCD, HQY, HD insider? Research TDY, ABBV insider, BEAT, DIS. CHUBA, ICLR new high, CRL, RNR</t>
  </si>
  <si>
    <t>video communication</t>
  </si>
  <si>
    <t>Reduce to 80pct, watch LCII, NVR, Reduce DHR?, Buy CI/AER/LCII/IDXX/ALGN/VRSK/DIS/BRKB? Buy FTV insider spinoff? LXFT, MASI, SCHW, BOFI?CHE, APOG, MSON, CHE, STZ insider buy! VRSN, JKHY, ICLR, POOL, PF, HEI, CMG, insiders BIIB, HBAN, BMY, KAR, CUB, TTD, ITT, FAF, FNF, bkfs, LEXEA, DPZ, MCD, HQY, HD insider? Research TDY, ABBV insider, BEAT, DIS. CHUBA, ICLR new high, CRL, RNR, LLY insider at highs/elanco, twtr, intu</t>
  </si>
  <si>
    <t>Zoetis Inc</t>
  </si>
  <si>
    <t>Reduce to 80pct, watch LCII, NVR, Reduce DHR?, Buy CI/AER/LCII/IDXX/ALGN/VRSK/DIS/BRKB? Buy FTV insider spinoff? LXFT, MASI, SCHW, BOFI?CHE, APOG, MSON, CHE, STZ insider buy! VRSN, JKHY, ICLR, POOL, PF, HEI, CMG, insiders BIIB, HBAN, BMY, KAR, CUB, TTD, ITT, FAF, FNF, bkfs, LEXEA, DPZ, MCD, HQY, HD insider? Research TDY, ABBV insider, BEAT, DIS. CHUBA, ICLR new high, CRL, RNR, LLY insider at highs/elanco, twtr, intu, chd, ngvt, finviz</t>
  </si>
  <si>
    <t>Valued @ 1.5x margins for via activist (so 30% op margins such as pfe) 1.2 * 44, Pfizer spinoff P1) ackman catalyst bc vrx/agn failed C1) vrx not buying</t>
  </si>
  <si>
    <t>Reduce to 80pct, watch LCII, NVR, TCEHY, Reduce DHR?, Buy CI/AER/LCII/IDXX/ALGN/VRSK/DIS/BRKB? Buy FTV insider spinoff? LXFT, MASI, SCHW, BOFI?CHE, APOG, MSON, CHE, STZ insider buy! VRSN, JKHY, ICLR, POOL, PF, HEI, CMG, insiders BIIB, HBAN, BMY, KAR, CUB, TTD, ITT, FAF, FNF, bkfs, LEXEA, DPZ, MCD, HQY, HD insider? Research TDY, ABBV insider, BEAT, DIS. CHUBA, ICLR new high, CRL, RNR, LLY insider at highs/elanco, finviz</t>
  </si>
  <si>
    <t>Reduce to 80pct, watch LCII, NVR, TCEHY, Buy CI/AER/LCII/IDXX/ALGN/VRSK/DIS/BRKB? Buy FTV insider spinoff? LXFT, MASI, SCHW, BOFI?CHE, APOG, MSON, CHE, STZ insider buy! VRSN, JKHY, ICLR, POOL, PF, HEI, CMG, insiders BIIB, HBAN, BMY, KAR, CUB, TTD, ITT, FAF, FNF, bkfs, LEXEA, DPZ, MCD, HQY, HD insider? Research TDY, ABBV insider, BEAT, DIS. CHUBA, LLY insider at highs/elanco, finviz</t>
  </si>
  <si>
    <t>Reduce to 80pct, watch NVR,  LCII, TCEHY, Buy CI/FTV/AER/LCII/IDXX/ALGN/VRSK/DIS/BRKB/DHR, Buy FTV insider spinoff? LXFT, MASI, SCHW, BOFI?CHE, APOG, MSON, CHE, STZ insider buy! VRSN, JKHY, ICLR, POOL, PF, HEI, CMG, insiders BIIB, HBAN, BMY, KAR, CUB, TTD, ITT, FAF, FNF, bkfs, LEXEA, DPZ, MCD, HQY, HD insider? Research TDY, ABBV insider, BEAT, DIS. CHUBA, LLY insider at highs/elanco, finviz, FTV insider,  DHR insider, CI</t>
  </si>
  <si>
    <t>Reduce to 80pct, watch NVR,  LCII, TCEHY, Buy CI/IDXX/FTV/AER/LCII//ALGN/VRSK/DIS/BRKB/DHR, Buy FTV insider spinoff? LXFT, MASI, SCHW, BOFI?CHE, APOG, MSON, CHE, STZ insider buy! VRSN, JKHY, ICLR, POOL, PF, HEI, CMG, insiders BIIB, HBAN, BMY, KAR, CUB, TTD, ITT, FAF, FNF, bkfs, LEXEA, DPZ, MCD, HQY, HD insider? Research TDY, ABBV insider, BEAT, DIS. CHUBA, LLY insider at highs/elanco, finviz, FTV insider,  DHR insider, CI, MGPI insider, IDXX insider</t>
  </si>
  <si>
    <t>Reduce to 80pct, watch NVR,  LCII, TCEHY, Buy CI/IDXX/FTV/AER/LCII//ALGN/VRSK/DIS/BRKB/DHR, Buy FTV insider spinoff? LXFT, MASI, SCHW, BOFI?CHE, APOG, MSON, CHE, STZ insider buy! VRSN, JKHY, ICLR, POOL, PF, HEI, CMG, insiders BIIB, HBAN, BMY, KAR, CUB, TTD, ITT, FAF, FNF, bkfs, LEXEA, DPZ, MCD, HQY, HD insider? Research TDY, ABBV insider, BEAT, DIS. CHUBA, LLY insider at highs/elanco, finviz, FTV insider,  DHR insider, CI, MGPI insider, IDXX insider, ROST/TJX, MCO insider, ETSY</t>
  </si>
  <si>
    <t>Reduce to 80pct, watch NVR,  LCII, TCEHY, NEU, Buy CI/IDXX/FTV/AER/LCII/ALGN/VRSK/DIS/BRKB/DHR, Buy FTV insider spinoff? LXFT, MASI, SCHW, BOFI?CHE, APOG, MSON, CHE, STZ insider buy! VRSN, JKHY, ICLR, POOL, PF, HEI, CMG, insiders BIIB, HBAN, BMY, KAR, CUB, TTD, ITT, FAF, FNF, bkfs, LEXEA, DPZ, MCD, HQY, HD insider? Research TDY, ABBV insider, BEAT, DIS. CHUBA, LLY insider at highs/elanco, finviz, FTV insider,  DHR insider, CI, MGPI insider, IDXX insider, ROST/TJX, MCO insider, ETSY</t>
  </si>
  <si>
    <t>neutral S&amp;P 500 till end of year; 650k stop, to exit when einhorn closes; tesla sold</t>
  </si>
  <si>
    <t xml:space="preserve">Reduce to 80pct, watch NVR,  LCII, TCEHY,  Buy CI/IDXX/FTV/AER/LCII/ALGN/VRSK/DIS/BRKB/DHR, Buy FTV insider spinoff? LXFT, MASI, SCHW, BOFI?CHE, APOG, MSON, CHE, STZ insider buy! VRSN, JKHY, ICLR, POOL, PF, HEI, CMG, insiders BIIB, HBAN, BMY, KAR, CUB, TTD, ITT, FAF, FNF, bkfs, LEXEA, DPZ, MCD, HQY, HD insider? Research TDY, ABBV insider, BEAT, DIS. CHUBA, LLY insider at highs/elanco, FTV insider,  DHR insider, CI, MGPI insider, IDXX insider, ROST/TJX </t>
  </si>
  <si>
    <t>Reduce to 80pct, watch NVR, LCII, TCEHY; Short TSLA50s? Buy ABBV100s, AAPLdip/BRKB/CI/IDXX/ALGN/VRSK/DIS/DHR, LXFT, MASI, SCHW, BOFI?CHE, APOG, MSON, CHE, STZ insider buy! VRSN, JKHY, ICLR, POOL, PF, HEI, CMG, insiders BIIB, HBAN, BMY, KAR, CUB, TTD, ITT, FAF, FNF, bkfs, LEXEA, DPZ, MCD, HD insider? Research TDY</t>
  </si>
  <si>
    <t>Reduce to 80pct, watch NVR, LCII, TCEHY; Short TSLA50s? Sell GOOGL10s on pop, Buy ABBV100s, AAPLdip/BRKB/CI/IDXX/ALGN/VRSK/DIS/DHR, LXFT, MASI, SCHW, BOFI?CHE, APOG, MSON, CHE, STZ insider buy! VRSN, JKHY, ICLR, POOL, PF, HEI, CMG, insiders BIIB, HBAN, BMY, KAR, CUB, TTD, ITT, FAF, FNF, bkfs, LEXEA, DPZ, MCD, HD insider? Research TDY</t>
  </si>
  <si>
    <t>Reduce to 80pct, watch NVR, LCII, TCEHY; Short TSLA50s?   AAPLdip/BRKB/CI/IDXX/ALGN/VRSK/DIS/DHR, LXFT, MASI, SCHW, BOFI?CHE, APOG, MSON, CHE, STZ insider buy! VRSN, JKHY, ICLR, POOL, PF, HEI, CMG, insiders BIIB, HBAN, BMY, KAR, CUB, TTD, ITT, FAF, FNF, bkfs, LEXEA, DPZ, MCD, HD insider? Research TDY, PRLB</t>
  </si>
  <si>
    <t>Reduce to 80pct, watch NVR, LCII, TCEHY, RMD; Sell GOOGL10s on pop, Buy SBUX/AAPLdip/HD/BRKB/CI/IDXX/ALGN/VRSK/DIS/DHR, LXFT, MASI, SCHW, BOFI?CHE, APOG, MSON, CHE, STZ insider buy! VRSN, JKHY, ICLR, POOL, PF, HEI, CMG, insiders BIIB, HBAN, BMY, KAR, CUB, TTD, ITT, FAF, FNF, bkfs, LEXEA, DPZ, MCD, SBUX insider</t>
  </si>
  <si>
    <t>Reduce to 90pct, watch NVR, LCII, TCEHY, RMD, QSR;  Buy SBUX150s/AAPLdip/HD/BRKB/CI/IDXX/ALGN/VRSK/DIS/DHR, LXFT, MASI, BOFI? CHE, APOG, MSON, CHE, STZ insider buy! VRSN, JKHY, ICLR, POOL, PF, CMG, insiders BIIB, HBAN, BMY, KAR, CUB, TTD, ITT, FAF, FNF, bkfs, LEXEA, DPZ, MCD, SBUX insider,</t>
  </si>
  <si>
    <t>Reduce to 90pct, watch amzn10s, NVR, LCII, TCEHY, RMD, QSR;  Buy SBUX150s/AAPLdip/HD/BRKB/CI/IDXX/ALGN/VRSK/DIS/DHR, LXFT, MASI, BOFI? CHE, APOG, MSON, CHE, STZ insider buy! VRSN, JKHY, ICLR, POOL, PF, CMG, insiders BIIB, HBAN, BMY, KAR, CUB, TTD, ITT, FAF, FNF, bkfs, LEXEA, DPZ, MCD, SBUX insider, aaba</t>
  </si>
  <si>
    <t>Reduce to 90pct, watch amzn10s, NVR, LCII, TCEHY, RMD, QSR;  Buy SBUX150s/AAPLdip/HD/BRKB/CI/IDXX/ALGN/VRSK/DIS/DHR, LXFT, MASI, BOFI? CHE, APOG, MSON, CHE, STZ insider buy! VRSN, JKHY, ICLR, POOL, PF, CMG, insiders BIIB, HBAN, BMY, KAR, CUB</t>
  </si>
  <si>
    <t>neutral S&amp;P 500 till end of year; positive tech; 700k stop, to exit when einhorn closes; tesla sold</t>
  </si>
  <si>
    <t>x</t>
  </si>
  <si>
    <t>Reduce to 90pct, watch amzn10s/TCEHY700s for reduce, NVR, LCII, RMD, QSR;  Buy SBUX150s/AAPLdip/HD/BRKB/CI/IDXX/ALGN/VRSK/DIS/DHR, LXFT, MASI, BOFI? CHE, APOG, MSON, CHE, STZ insider buy! VRSN, JKHY</t>
  </si>
  <si>
    <t>Reduce to 90pct, watch amzn10s for reduce, NVR add/chg?, LCII, QSR;  Buy SBUX150s/AAPLdip/HD/BRKB/CI/ IDXX/ALGN/VRSK/DIS/DHR/BHC/STZ/BOFI, LXFT</t>
  </si>
  <si>
    <t>Reduce to 90pct, reduce amzn13s on pop unless weakness, sell TCMD100s, NVR5s add/chg?, LCII, QSR;  Buy SBUX150s/AAPLdip/HD/BRKB/CI/ IDXX/ALGN/VRSK/DIS/DHR/BHC/STZ/BOFI</t>
  </si>
  <si>
    <t>Reduce to 90pct,  sell TCMD100s, NVR5s add/chg?, LCII, QSR;  Buy SBUX150s/AAPLdip/HD/BRKB/CI/ IDXX/ALGN/VRSK/DIS/DHR/BHC/STZ/BOFI</t>
  </si>
  <si>
    <t>Reduce to 90pct,  Sell wfc200s, NVR5s add/chg?, TCEHY, LCII, QSR;  Buy SBUX150s/AAPLdip/HD/BRKB/CI/ IDXX/ALGN/VRSK/DIS/DHR/BHC/STZ/BOFI, research nvr</t>
  </si>
  <si>
    <t>Reduce to 90pct,  NVR5s add/chg?, TCEHY, LCII, QSR;  Buy SBUX150s/AAPLdip/HD/BRKB/CI/ IDXX/ALGN/VRSK/DIS/DHR/BHC/STZ/BOFI, research nvr</t>
  </si>
  <si>
    <t xml:space="preserve">Reduce to 90pct, Sell/Reduce TCEHY on pop, Sell NOC13s, Buy ROP50s, NVR, TCEHY, LCII, QSR;  Buy SBUX/AAPLdip/ HD/BRKB/CI/ IDXX/ALGN/VRSK/ DIS/DHR/BHC/STZ/BOFI, </t>
  </si>
  <si>
    <t>negative on china due to nationalization/party+</t>
  </si>
  <si>
    <t xml:space="preserve">Reduce to 90pct, Sell/Reduce TCEHY on pop, NVR, TCEHY, LCII, QSR;  Buy SBUX/AAPLdip/ HD/BRKB/CI/ IDXX/ALGN/VRSK/ DIS/DHR/BHC/STZ/BOFI, </t>
  </si>
  <si>
    <t xml:space="preserve">Reduce to 90pct, Sell/Reduce TCEHY on pop, NVR, TCEHY, LCII, Buy SBUX/AAPLdip/ HD/BRKB/CI/ IDXX/ALGN/VRSK/ DIS/DHR/BHC/STZ/BOFI, </t>
  </si>
  <si>
    <t>Reduce to 90pct, Sell/Reduce LCII/NVR/TCEHY/AER on pop, NVR, TCEHY, LCII, Buy SBUX/AAPLdip/ HD/BRKB/CI/ IDXX/ALGN/VRSK/ DIS/DHR/BHC/STZ/BOFI/LABL</t>
  </si>
  <si>
    <t>Reduce to 85pct, Sell/Reduce LCII/NVR/TCEHY on pop, NVR, TCEHY, LCII, Buy SBUX/AAPLdip/ HD/BRKB/CI/ IDXX/ALGN/VRSK/ DIS/DHR/BHC/STZ/BOFI/LABL /RMBL</t>
  </si>
  <si>
    <t>Reduce to 85pct, Sell/Reduce GOOGL/MSFT/AAPL/NVDA/ROP on pop, Buy SBUX/AAPLdip/ HD/BRKB/CI/ IDXX/ALGN/VRSK/ DIS/DHR/BHC/STZ/BOFI/LABL /RMBL/AIRT</t>
  </si>
  <si>
    <t>Reduce/exit TCEHY due to china risk? Buy LABL/SBUX/AAPLdip/ HD/BRKB/CI/ IDXX/ALGN/VRSK/ DIS/DHR/BHC/STZ/BOFI /RMBL/AIRT</t>
  </si>
  <si>
    <t>Target 80pct,  Buy LABL/SBUX/AAPLdip/ HD/BRKB/CI/ IDXX/ALGN/VRSK/ DIS/DHR/BHC/STZ/BOFI /RMBL/AIRT/CPRT, research CPRT</t>
  </si>
  <si>
    <t>Target 80pct,  Reduce LCII, NVR? Buy LABL/SBUX/AAPLdip/ HD/BRKB/CI/ IDXX/ALGN/VRSK/ DIS/DHR/BHC/STZ/BOFI /RMBL/AIRT/CPRT,/PATK research CPRT</t>
  </si>
  <si>
    <t>Target 80pct,  Watch PATK175s, LCII, NVR for readd? Buy DAL/LABL/SBUX/AAPLdip/ HD/BRKB/CI/ IDXX/ALGN/VRSK/ DIS/DHR/BHC/STZ/BOFI /RMBL/AIRT/CPRT,/PATK research CPRT/COST</t>
  </si>
  <si>
    <t xml:space="preserve">Target 85pct,  Watch LABL/CI/ IDXX/ALGN/VRSK/ DIS/DHR/BHC/STZ/BOFI, research stz/PGR </t>
  </si>
  <si>
    <t xml:space="preserve">Target 85pct, watch LCII NVR SNA for reduce? Watch LABL/CI/ IDXX/ALGN/VRSK/ DIS/DHR/BHC/STZ/BOFI, research stz/PGR </t>
  </si>
  <si>
    <t xml:space="preserve">Target 85pct, watch NVR SNA ROP for reduce? Watch LABL/CI/ IDXX/ALGN/VRSK/ DIS/DHR/BHC/STZ/BOFI, research stz/PGR </t>
  </si>
  <si>
    <t>Target 85pct, watch NVR SNA ROP for reduce? Watch LABL/CI/ IDXX/ALGN/VRSK/ DIS/DHR/BHC/STZ/BOFI, research stz/PGR , BA, SNA10k</t>
  </si>
  <si>
    <t>Target 85pct, watch VRSK50s, AMZN2s, NVR SNA ROP RMBL AER for reduce?  Add LCII900s PATK250s NVDA SNA ? Watch LABL/CI/ IDXX/ALGN/VRSK/ DIS/DHR/BHC/STZ/BOFI, research stz/PGR , BA, SNA10k, ELLI research, ADS</t>
  </si>
  <si>
    <t>Target 85pct, watch REGI 11/8, LCII200s PATK250s NVR3s for reduce? Add NVDA SNA MA? Watch LABL/CI/ IDXX/ALGN/VRSK/ DIS/DHR/BHC/STZ/BOFI, research stz/PGR , BA, SNA10k, ELLI research, ADS, MA, SHW</t>
  </si>
  <si>
    <t>Target 85pct, buy ulta15s</t>
  </si>
  <si>
    <t>Buy FB/GOOGL PATK125s LCII150s</t>
  </si>
  <si>
    <t>Sell REGI</t>
  </si>
  <si>
    <t>Research stz/PGR , BA, SNA10k, ELLI research, ADS,</t>
  </si>
  <si>
    <t>neutral S&amp;P 500 till end of year; positive tech; 700k stop, exit when einhorn closes; negative on china</t>
  </si>
  <si>
    <t>Target 85pct</t>
  </si>
  <si>
    <t>Buy FB/GOOGL NVDA AMZN PATK125s LCII150s DIS</t>
  </si>
  <si>
    <t xml:space="preserve">Sell ROP? </t>
  </si>
  <si>
    <t>Research stz/PGR , BA, SNA10k, ELLI, ADS ROP, axp</t>
  </si>
  <si>
    <t xml:space="preserve">Target 85pct, sell CCF50s, EW35s, MKC50s, ZTS50s, AER500s on pop, </t>
  </si>
  <si>
    <t xml:space="preserve">Buy AZO5s NVDA50s AMZN  DIS50s  </t>
  </si>
  <si>
    <t>Sell Hca 50s, dhr ftv</t>
  </si>
  <si>
    <t>Research stz/PGR , BA, SNA10k, ELLI</t>
  </si>
  <si>
    <t xml:space="preserve">Buy HD50s AZO5s AMZN  DIS50s  </t>
  </si>
  <si>
    <t>Sell  Hca 50s, dhr ftv</t>
  </si>
  <si>
    <t>neutral S&amp;P 500 till 2018end; positive tech; 700k stop, exit when einhorn closes; negative on china</t>
  </si>
  <si>
    <t>Target 85pct+-1</t>
  </si>
  <si>
    <t xml:space="preserve">Buy HD50s PSX100s AMZN  DIS50s  </t>
  </si>
  <si>
    <t>Sell   dhr ftv</t>
  </si>
  <si>
    <t>Research stz/PGR , BA,  ELLI</t>
  </si>
  <si>
    <t xml:space="preserve">Buy BKNG5s FB100s HD50s PSX100s  AMZN  DIS50s  </t>
  </si>
  <si>
    <t>Target 87pct+-1</t>
  </si>
  <si>
    <t xml:space="preserve">Buy FB100s HD50s PSX100s  AMZN  DIS50s  </t>
  </si>
  <si>
    <t xml:space="preserve">Sell   dhr ftv </t>
  </si>
  <si>
    <t>Target 90pct+-1, to reduce on pop</t>
  </si>
  <si>
    <t>Buy ROST AMZN DIS50s JPM100s mkl</t>
  </si>
  <si>
    <t xml:space="preserve">Sell  dhr ftv </t>
  </si>
  <si>
    <t xml:space="preserve">Research stz/PGR , BA,  ELLI, elanco insider, </t>
  </si>
  <si>
    <t>Retail sentiment AAII contrary</t>
  </si>
  <si>
    <t>Target 80pct+-1, to reduce on pop</t>
  </si>
  <si>
    <t>Buy AER ROST AMZN DIS50s JPM100s mkl</t>
  </si>
  <si>
    <t>Lt valuation contrary</t>
  </si>
  <si>
    <t>Sell  dhr ftv msft googl</t>
  </si>
  <si>
    <t>1 year/6mth oversold/new trend</t>
  </si>
  <si>
    <t>total</t>
  </si>
  <si>
    <t>Target 80pct+-1, to add back to 90pct on dip</t>
  </si>
  <si>
    <t>Buy GOOGL20s, FB200s, MSFT 250s, AAPL75s, REGI300s, PSX200s, BKNG 5s, MKL</t>
  </si>
  <si>
    <t>Sell  dhr ftv</t>
  </si>
  <si>
    <t>Target 90pct +-1</t>
  </si>
  <si>
    <t xml:space="preserve">Buy MKL BRKB AER </t>
  </si>
  <si>
    <t>Buy MKL BRKB AER</t>
  </si>
  <si>
    <t>Sell DHR FTV</t>
  </si>
  <si>
    <t>Sell BTU700s DHR FTV</t>
  </si>
  <si>
    <t xml:space="preserve">Research BTU/PTR/TECK short, stz/PGR , BA,  ELLI, elanco insider, </t>
  </si>
  <si>
    <t>Target 85pct +-1, Close FTV DHR on pop</t>
  </si>
  <si>
    <t>Sell tech?</t>
  </si>
  <si>
    <t xml:space="preserve">Target 90pct +-1 </t>
  </si>
  <si>
    <t>Sell FTV DHR</t>
  </si>
  <si>
    <t>Target 90pct +-1, sell FTV DHR on pop, buy NVR5s</t>
  </si>
  <si>
    <t xml:space="preserve">Buy NVR SBUX MKL BRKB AER </t>
  </si>
  <si>
    <t xml:space="preserve">Sell </t>
  </si>
  <si>
    <t>Research BTU/PTR/TECK short, stz/PGR , BA,  ELLI, elanco insider, EBAY insider 1/2019, TCEHY</t>
  </si>
  <si>
    <t>Target 90pct +-1,</t>
  </si>
  <si>
    <t>Buy SBUX MKL BRKB AER CNI/UNP</t>
  </si>
  <si>
    <t>Sell BKNG?</t>
  </si>
  <si>
    <t>Research stz/PGR , BA,  ELLI, elanco insider, EBAY insider 1/2019, TCEHY</t>
  </si>
  <si>
    <t>Buy EBAY SBUX MKL BRKB AER CNI/UNP AMZN TCEHY</t>
  </si>
  <si>
    <t>Sell BKNG</t>
  </si>
  <si>
    <t xml:space="preserve">Research stz/PGR , BA,  ELLI, elanco insider </t>
  </si>
  <si>
    <t>Buy SBUX AMZN MKL BRKB AER CNI/UNP TCEHY</t>
  </si>
  <si>
    <t>Sell NVR5s, FB50s, AER150s</t>
  </si>
  <si>
    <t>Buy AAPL225s MKL AMZN BRKB AER CNI/UNP TCEHY</t>
  </si>
  <si>
    <t>Research stz/PGR , BA,  ELLI, elanco insider, AAPL</t>
  </si>
  <si>
    <t>Buy DAL MKL AMZN BRKB AER CNI/UNP FISV</t>
  </si>
  <si>
    <t>Sell ABBV, TCEHY, AAPL</t>
  </si>
  <si>
    <t>Research ADSK, stz/PGR , BA,  ELLI, elanco insider, AAPL,</t>
  </si>
  <si>
    <t>Target 90pct +-5, reduce to 90s if down day 1/23/2019</t>
  </si>
  <si>
    <t>Buy TME MKL AMZN BRKB CNI/UNP FISV</t>
  </si>
  <si>
    <t xml:space="preserve">Sell ABBV, AAPL, AER200s, TCEHY, </t>
  </si>
  <si>
    <t>Research TME, stz/PGR , BA</t>
  </si>
  <si>
    <t>Target 90pct +-5,</t>
  </si>
  <si>
    <t>Buy HEI MKL AMZN BRKB CNI/UNP FISV</t>
  </si>
  <si>
    <t>Buy MSFT GOOGL V MA NVR MKL AMZN BRKB CNI/UNP FISV</t>
  </si>
  <si>
    <t>Sell FIX, AAPL on new sig, AER200s, TCEHY, TME</t>
  </si>
  <si>
    <t>Buy NVR MSFT GOOGL V MA MKL AMZN BRKB CNI/UNP FISV</t>
  </si>
  <si>
    <t>Sell HEI150s, DPZ20s, FIX, AAPL on new sig, AER200s,</t>
  </si>
  <si>
    <t>Research tme, BXC greenhaven, spy add, stz/PGR , BA</t>
  </si>
  <si>
    <t xml:space="preserve">Target 90pct +-5, reduce AER500s on weakness 2/1 after 10:30am, sell msft300s same </t>
  </si>
  <si>
    <t>Buy MSFT GOOGL V MA TEAM MKL AMZN BRKB CNI/UNP FISV</t>
  </si>
  <si>
    <t>Sell NVR5s, DPZ20s, HEI150s, FIX, AAPL on new sig,</t>
  </si>
  <si>
    <t>Research tme, BXC greenhaven, spy add, stz/PGR , BA, mcs, BKI</t>
  </si>
  <si>
    <t>Target 90pct +-5, extra long until 2820spx or neg signal 1030am etc</t>
  </si>
  <si>
    <t>Buy HD100s, REGI300s, LUV400s, EBAY300s, MKL AMZN BRKB CNI/UNP ULTA</t>
  </si>
  <si>
    <t xml:space="preserve">Sell extra longs, FB150s, GOOGL20s, MSFT250s, TME1500s, ORLY25s, AZO10s, TEAM100s, amzn bc divorce? FIX, sbux hca </t>
  </si>
  <si>
    <t>Research ABT insider, tme, BXC greenhaven, spy add, stz/PGR , BA, mcs, BKI</t>
  </si>
  <si>
    <t xml:space="preserve">Target 90pct +-5, extra long until 2820spx or neg signal 1030am etc, </t>
  </si>
  <si>
    <t xml:space="preserve">Buy TCEHY200s, NFLX15s LUV400s, EBAY300s, MKL BRKB CNI/UNP ULTA </t>
  </si>
  <si>
    <t xml:space="preserve">Sell extra longs, aer700s, psx200, dpz30s, regi600s FB150s, GOOGL20s, MSFT250s, TME1500s, ORLY25s, AZO10s, TEAM100s, HD100s, amzn bc divorce? FIX, sbux hca </t>
  </si>
  <si>
    <t>Target 90pct +-5, extra long until 2820spx or neg signal 1030am 2/7</t>
  </si>
  <si>
    <t>Buy CI100s/UNH50s, FNMAS1000 on dip, TCEHY200s, NFLX15s LUV400s, EBAY300s, MKL BRKB CNI/UNP ULTA JPM</t>
  </si>
  <si>
    <t xml:space="preserve">Sell extra longs, MSFT250s, TME1500s,  TEAM100s, GOOGL10s amzn bc divorce? FIX, sbux hca </t>
  </si>
  <si>
    <t>Target 80pct +-5, reduce only to 80pct</t>
  </si>
  <si>
    <t>Buy AER1000, CI100s/UNH50s, FNMAS1000 on dip, TCEHY200s, MKL10s, NFLX15s LUV400s, EBAY300s, BRKB CNI/UNP ULTA JPM</t>
  </si>
  <si>
    <t>Sell MSFT250s, TME1500s, BKNG5s, SBUX100s, GOOGL10s, ORLY25s, AZO10s,  to even, FIX, SBUX HCA</t>
  </si>
  <si>
    <t>Target 80pct +-5, reduce only to 80pct, on pop</t>
  </si>
  <si>
    <t>Buy AER1000, CI100s/UNH50s, TCEHY200s, MKL10s, NFLX15s LUV400s, EBAY300s, BRKB CNI/UNP ulta rost on dip</t>
  </si>
  <si>
    <t>Sell MSFT250s, TME1500s, SBUX1000s, ORLY25s, AZO10s, HEI75s regi300s to even, FIX, SBUX HCA</t>
  </si>
  <si>
    <t>Research ABT insider, BXC greenhaven, stz/PGR , BA, mcs</t>
  </si>
  <si>
    <t>Retail/Insti sentiment AAII contrary</t>
  </si>
  <si>
    <t>Target 85pct +-5, reduce only to 80pct, on pop, sell Tcehy 200s on weakness 2/15?</t>
  </si>
  <si>
    <t>Buy amzn10s, AER1000, CI100s/UNH50s, TCEHY200s, MKL10s, NFLX15s LUV400s, EBAY300s, BRKB CNI/UNP ulta rost</t>
  </si>
  <si>
    <t>Sell MSFT250s, TME1500s, HEI75s, SBUX100s, ORLY25s, AZO10s,  regi300s to even</t>
  </si>
  <si>
    <t xml:space="preserve">Target 85pct +-5, reduce only to 80pct, on pop, </t>
  </si>
  <si>
    <t>Buy AMZN10s, AER1000, CI100s/UNH50s, MKL10s, LUV400s, EBAY300s, BRKB ulta rost ABT</t>
  </si>
  <si>
    <t>Sell MSFT250s, TME1500s, HEI75s, SBUX100s, ORLY25s, AZO10s, regi300s to even</t>
  </si>
  <si>
    <t>Sell MSFT250s, TME1500s, HEI75s, SBUX100s, ORLY25s, AZO10s, regi300s dpz10 to even</t>
  </si>
  <si>
    <t>Buy CI100s/UNH50s, AMZN10s, AER1000, MKL10s, LUV400s, EBAY300s, BRKB ulta rost ABT</t>
  </si>
  <si>
    <t>Buy CI100s/UNH50s, FB100s, BRKB, AMZN10s, AER1000, MKL10s, EBAY300s, ulta rost ABT</t>
  </si>
  <si>
    <t>Sell ORLY25s, AZO10s, MSFT250s, TME1500s, HEI75s, SBUX100s, regi300s dpz10 to even</t>
  </si>
  <si>
    <t>Target 85pct +-5, reduce to 80pct,on pop, sell FNMAS1000 on weakness mon/tues &gt; 1030am</t>
  </si>
  <si>
    <t>Buy CI100s/UNH50s, FB100s, BRKB50s, AMZN10s, AER1000, MKL10s, EBAY300s, ulta rost ABT</t>
  </si>
  <si>
    <t>Sell FNMAS1000, SBUX100s, TME1500s, MSFT250s, regi300s to even</t>
  </si>
  <si>
    <t>Research BXC, stz/PGR , BA, mcs</t>
  </si>
  <si>
    <t>Target 80pct +-5</t>
  </si>
  <si>
    <t>Buy CI100s/UNH50s, BRKB50s, AER1000, MKL10s, EBAY300s, ulta rost ABT</t>
  </si>
  <si>
    <t>Sell FNMAS1000, SBUX100s, TME500s, MSFT250s, regi300s to even</t>
  </si>
  <si>
    <t>Retail/Insti sentiment/flows AAII contrary</t>
  </si>
  <si>
    <t>Target 85pct +-5</t>
  </si>
  <si>
    <t>Buy AMZN10s CI100s/UNH50s, BRKB50s, AER1000, MKL10s, EBAY300s, ulta rost ABT FIX</t>
  </si>
  <si>
    <t>Sell TME500s, MSFT250s, regi300s to even</t>
  </si>
  <si>
    <t>Buy NVR5s, CI100s/UNH50s, BRKB50s, AER1000, MKL10s, EBAY300s, ulta rost ABT FIX</t>
  </si>
  <si>
    <t>Sell regi300s msft100s, fb50s, amzn5s, googl5s  TME500s, MSFT250s, to even</t>
  </si>
  <si>
    <t>Buy FNMAS1000s, NVR5s, ECL, CI100s/UNH50s, BRKB50s, AER1000 MKL10s, ulta rost ABT FIX</t>
  </si>
  <si>
    <t>Sell regi300s msft 100s, to even</t>
  </si>
  <si>
    <t>Research BXC, stz/PGR , BA, mcs, ECL</t>
  </si>
  <si>
    <t>Target 80pct +-5, maybe increase alloc on S&amp;p500 dip</t>
  </si>
  <si>
    <t>Buy FNMAS1000s, NVR5s, BRKB50s, MKL10s ECL, CI100s/UNH50s, AER1000 , ulta rost ABT FIX</t>
  </si>
  <si>
    <t>Buy MSFT200s, ECL, ULTA ROST ABT FIX</t>
  </si>
  <si>
    <t>Sell CI/UNH medicare AER600s DPZ regi300s , to even</t>
  </si>
  <si>
    <t>Research BXC, stz/PGR , mcs, ECL</t>
  </si>
  <si>
    <t>Target 85pct +-5, watch regi/FB/ci/unh</t>
  </si>
  <si>
    <t>Buy ECL, ULTA ROST ABT FIX</t>
  </si>
  <si>
    <t>Sell CI/UNH medicare , REGI300S,  FB100s, MSFT150s AER600s DPZ FNMAS</t>
  </si>
  <si>
    <t>1 yr/6mth oversold/trend-ma-brdth-relas</t>
  </si>
  <si>
    <t>Target 85pct +-5, watch sells</t>
  </si>
  <si>
    <t>Sell dpz, FNMAS, CI/UNH medicare , REGI300S,  FB100s, MSFT150s AER600s bkng</t>
  </si>
  <si>
    <t>Target 85pct +-5, consider readd?</t>
  </si>
  <si>
    <t>Buy FB/AMZN/REGI on dip, ECL, ULTA ROST ABT FIX</t>
  </si>
  <si>
    <t>Sell  CI/UNH medicare , bkng</t>
  </si>
  <si>
    <t>Research BXC, stz/PGR , mcs, ECL, new highs lii mtd fis/wp</t>
  </si>
  <si>
    <t>Target 90pct +-5, tgt spx 2950 stop 2750</t>
  </si>
  <si>
    <t xml:space="preserve">Buy SHW AER EBAY ECL, ULTA ROST abt fix </t>
  </si>
  <si>
    <t xml:space="preserve">Sell tech, bkng , CI/UNH medicare </t>
  </si>
  <si>
    <t>Research SHW BXC, stz/PGR , mcs, ECL, new highs lii mtd fis/wp</t>
  </si>
  <si>
    <t xml:space="preserve">Buy FIS, SHW AER EBAY ECL, ULTA ROST abt fix </t>
  </si>
  <si>
    <t xml:space="preserve">Sell TCEHY AMZN MSFT  GOOGL FB tech, bkng dpz, CI/UNH medicare </t>
  </si>
  <si>
    <t>Research FIS SHW BXC, stz/PGR , mcs, ECL, new highs lii mtd fis/wp</t>
  </si>
  <si>
    <t xml:space="preserve">Buy  AER EBAY ECL, ULTA ROST abt fix </t>
  </si>
  <si>
    <t xml:space="preserve">Sell REGI,TCEHY AMZN MSFT  GOOGL FB tech, bkng dpz, CI/UNH medicare </t>
  </si>
  <si>
    <t xml:space="preserve">Buy CI/UNH on dip or new sig  AER EBAY ECL, ULTA ROST abt fix </t>
  </si>
  <si>
    <t xml:space="preserve">Sell REGI,TCEHY AMZN MSFT  GOOGL FB tech, bkng dpz,  </t>
  </si>
  <si>
    <t>Research FIS SHW BXC, stz/PGR , mcs, ECL, new highs lii mtd zoom</t>
  </si>
  <si>
    <t>Buy FNMAS1K,  HD100s AER600s INTC EBAY ECL, ULTA ROST abt fix intc</t>
  </si>
  <si>
    <t>Research FIS SHW BXC, stz/PGR , mcs, ECL, new highs lii mtd ZM</t>
  </si>
  <si>
    <t>Buy FNMAS1K, INTC EBAY ECL, ULTA ROST abt fix intc</t>
  </si>
  <si>
    <t xml:space="preserve">Sell REGI, TSLA20s, TCEHY AMZN MSFT  GOOGL FB tech, bkng dpz,  </t>
  </si>
  <si>
    <t>Buy COST100s FNMAS1K, FIX INTC EBAY DAL LUV  ECL, ULTA ROST ABT</t>
  </si>
  <si>
    <t>Sell REGI, CI UNH ,TCEHY AMZN MSFT  GOOGL FB tech, bkng dpz</t>
  </si>
  <si>
    <t>Research CI/UNH lower growth FIS SHW BXC, stz/PGR , mcs, ECL, new highs lii mtd ZM</t>
  </si>
  <si>
    <t>Buy FIX200s INTC500s, FNMAS1K, CI100s/UNH60s EBAY DAL LUV ECL, ULTA ROST ABT</t>
  </si>
  <si>
    <t>Sell FB AER REGI, DPZ TCEHY AMZN MSFT GOOGL tech, bkng azo orly</t>
  </si>
  <si>
    <t>Research FIS SHW BXC, stz/PGR , mcs, ECL, new highs lii mtd ZM TW em stocks long</t>
  </si>
  <si>
    <t>Target 90pct +-5, reduce rod 4/12 unless higher, tgt spx 2950 stop 2750</t>
  </si>
  <si>
    <t>Buy FNMAS1K, EBAY DAL LUV ECL, ULTA ROST ABT, CI100s/UNh60s</t>
  </si>
  <si>
    <t>Sell AAPL FB DPZ TCEHY AMZN MSFT GOOGL tech, bkng azo orly</t>
  </si>
  <si>
    <t>Research FIS SHW BXC, stz/PGR , mcs, ECL, new highs lii mtd ZM TW em stocks long, TDG</t>
  </si>
  <si>
    <t>Research BXC, stz/PGR , mcs, ECL, new highs lii mtd ZM TW em stocks long, TDG, MSCI</t>
  </si>
  <si>
    <t xml:space="preserve">Buy FNMAS1K, PGR on dip, ULTA ROST ABT, EBAY CI100s/UNh60s DAL LUV </t>
  </si>
  <si>
    <t>Sell TME TCEHY AAPL FB DPZ AMZN MSFT GOOGL tech, bkng azo orly</t>
  </si>
  <si>
    <t>Research mcs, ECL, new highs lii mtd ZM TW em stocks long, TDG, MSCI</t>
  </si>
  <si>
    <t>Target 90pct +-5, reduce esp on pop, tgt spx 2950 stop 2750</t>
  </si>
  <si>
    <t xml:space="preserve">Buy FNMAS1K, PGR on dip,  MKL ULTA ROST ABT, EBAY DAL LUV </t>
  </si>
  <si>
    <t xml:space="preserve">Sell CI/UNH TME 2+%FB AMZN MSFT GOOGL AAPL TCEHY tech, bkng azo orly DPZ </t>
  </si>
  <si>
    <t>Research mcs, ECL, new highs lii mtd ZM TW em stocks long, TDG, MSCI, TTD</t>
  </si>
  <si>
    <t>Target 90pct +-5,  reduce esp on pop, tgt spx 2950 stop 2750</t>
  </si>
  <si>
    <t xml:space="preserve">Buy FNMAS1K, HCA JPM TEAM, ULTA ROST ABT, EBAY DAL LUV </t>
  </si>
  <si>
    <t xml:space="preserve">Sell CI/UNH 2+%FB AMZN MSFT GOOGL AAPL TCEHY tech, bkng azo orly DPZ </t>
  </si>
  <si>
    <t>Research mcs, ECL, new highs lii mtd ZM TW em stocks long, TDG, MSCI, TTD, MS, CC</t>
  </si>
  <si>
    <t>Target 90pct +-5, reduce tech 4/24, reduce esp on pop, tgt spx 2950 stop 2750</t>
  </si>
  <si>
    <t xml:space="preserve">Buy FNMAS1K,  JPM TEAM, ULTA ROST ABT, EBAY DAL LUV </t>
  </si>
  <si>
    <t xml:space="preserve">Sell CI/UNH 2+%FB AMZN MSFT GOOGL AAPL TCEHY tech, bkng azo orly </t>
  </si>
  <si>
    <t>Target 90pct +-5, reduce esp on pop</t>
  </si>
  <si>
    <t>Buy FNMAS1K, TEAM, ULTA SHW JPM  ci unh ROST ABT, EBAY DAL LUV</t>
  </si>
  <si>
    <t xml:space="preserve">Sell INTC 2+%FB AMZN MSFT GOOGL AAPL TCEHY Intc tech, bkng azo orly </t>
  </si>
  <si>
    <t>Research new highs lii mtd ZM TW em stocks long, TDG, MSCI, TTD, MS, CC, VEEV</t>
  </si>
  <si>
    <t>Buy FNMAS1K, TEAM,  ULTA SHW JPM  ci unh ROST ABT, EBAY DAL LUV</t>
  </si>
  <si>
    <t>Sell AER, poor performing</t>
  </si>
  <si>
    <t>Research GRUB CERN new highs lii mtd ZM TW, TDG, MSCI, TTD, MS, CC, VEEV, AAON</t>
  </si>
  <si>
    <t>Buy FNMAS1K, TEAM,  ULTA SHW JPM  ci unh ROST ABT, EBAY DAL LUV REGI</t>
  </si>
  <si>
    <t>Sell poor performing</t>
  </si>
  <si>
    <t>Sell poor performing, regi, psx, 1%tech</t>
  </si>
  <si>
    <t>Research CERN new highs lii mtd ZM TW, TDG, MSCI, TTD, MS, CC, VEEV, AAON</t>
  </si>
  <si>
    <t>Target 90pct +-5, add</t>
  </si>
  <si>
    <r>
      <t xml:space="preserve">Buy </t>
    </r>
    <r>
      <rPr>
        <b/>
      </rPr>
      <t>GOOGL10s, PSX400s, REGI600s</t>
    </r>
    <r>
      <t>, FB50s, MSFT50s AMZN5s  FNMAS1K, TEAM100s</t>
    </r>
  </si>
  <si>
    <t>Sell nvr azo</t>
  </si>
  <si>
    <t>Buy FNMAS1K, TEAM100s</t>
  </si>
  <si>
    <t>Buy FNMAS1K, TEAM100s, CI50s, UNH40s</t>
  </si>
  <si>
    <t>Sell MSFT</t>
  </si>
  <si>
    <t>Research lii mtd ZM TW, TDG, MSCI, TTD, MS, CC, VEEV, AAON, HSY, PAYX, PAYC</t>
  </si>
  <si>
    <t xml:space="preserve">Buy PSX100s FNMAS1K, TEAM100s, HD50s GOOGL5 CI50s, UNH40s, </t>
  </si>
  <si>
    <t xml:space="preserve">Sell MSFT FB </t>
  </si>
  <si>
    <t>Research FB GOOGL lii mtd ZM TW, TDG, MSCI, TTD, MS, CC, VEEV, AAON, HSY, PAYX, PAYC, SLP</t>
  </si>
  <si>
    <t>Buy FNMAS1K, TEAM100s, GOOGL5 CI50s, UNH40s UNP</t>
  </si>
  <si>
    <t>Sell MSFT FB REGI FIS PSX AER</t>
  </si>
  <si>
    <t>Research FB GOOGL lii mtd ZM TW, TDG, MSCI, TTD, MS, CC, VEEV, AAON, HSY, PAYX, PAYC</t>
  </si>
  <si>
    <t>Sell MSFT FB FIS PSX AER</t>
  </si>
  <si>
    <t xml:space="preserve">Target 85pct +-5, </t>
  </si>
  <si>
    <t>Sell FIS100s NVR2s PSX MSFT FB</t>
  </si>
  <si>
    <t>Research  lii mtd ZM TW, TDG, MSCI, TTD, MS, CC, VEEV, AAON, HSY, PAYX, PAYC</t>
  </si>
  <si>
    <t>Target 85pct +-5, tech investigation</t>
  </si>
  <si>
    <t>Buy MSFT150s, FB250s, AMZN15, GOOGL30s, AAPL150s  FNMAS1K, TEAM100s, CI50s, UNH40s</t>
  </si>
  <si>
    <t>Sell  PSX100s, COST50s, NVR3s, PGR100s, MCO25s</t>
  </si>
  <si>
    <t>Research  lii mtd ZM TW, TDG, MSCI, TTD, MS, CC, VEEV, AAON, HSY, PAYX, PAYC HSY</t>
  </si>
  <si>
    <t xml:space="preserve">Target 90pct +-5, </t>
  </si>
  <si>
    <t xml:space="preserve">Buy AMZN5s BKNG5s TME700s, FNMAS1K, TEAM100s, CI50s, UNH40s, </t>
  </si>
  <si>
    <t>Sell MSFT100s, PSX100s</t>
  </si>
  <si>
    <t>Research TTD, MS, CC, VEEV, AAON, HSY, PAYX, PAYC HSY, ERIE, CRVL, FICO</t>
  </si>
  <si>
    <t xml:space="preserve">Buy BKNG5s PSX100s, FNMAS1K, TEAM100s, CI50s, UNH40s, </t>
  </si>
  <si>
    <t>Sell MSFT100s</t>
  </si>
  <si>
    <t>Research WDAY TTD, MS, CC, VEEV, AAON, HSY, PAYX, PAYC HSY, ERIE, CRVL, FICO</t>
  </si>
  <si>
    <t xml:space="preserve">Buy NVR4s on dip, PSX100s, BKNG5s FNMAS1K, TEAM100s, CI50s, UNH40s, </t>
  </si>
  <si>
    <t>Research  TTD, MS, CC, VEEV, AAON, HSY, PAYX, PAYC HSY, ERIE, CRVL, FICO</t>
  </si>
  <si>
    <t xml:space="preserve">Buy CI50s, UNH40s, NVR4s on dip, HEI30s on dip, PSX100s, BKNG5s FNMAS1K, TEAM100s, </t>
  </si>
  <si>
    <t>Sell AAPL50s, AMZN5, SHW10s</t>
  </si>
  <si>
    <t>Target 85pct +-5, add on strength new high 6/19 &gt; 2:30p bc new trend</t>
  </si>
  <si>
    <t>Buy CI50s, UNH40s, NVR4s, HEI30s on dip, PSX100s, AER150s, BKNG5s FNMAS1K, TEAM100s</t>
  </si>
  <si>
    <t>Target 90pct +-5</t>
  </si>
  <si>
    <t>Buy NVR4s, HEI30s on dip, BKNG5s FNMAS1K, TEAM100s</t>
  </si>
  <si>
    <t>Research MS, CC, VEEV, AAON, HSY, PAYX, PAYC HSY, ERIE, CRVL, FICO</t>
  </si>
  <si>
    <t>Buy HD FB NVR4s, HEI30s on dip, BKNG5s FNMAS1K, TEAM100s AER</t>
  </si>
  <si>
    <t>Research LOW, MS, CC, VEEV, AAON, HSY, PAYX, PAYC HSY, ERIE, CRVL, FICO</t>
  </si>
  <si>
    <t>Buy HEI30s on dip, BKNG5s FNMAS1K, TEAM100s</t>
  </si>
  <si>
    <t>Sell AAPL50s, AMZN5, SHW10s, FB50s, HD50s, AER250s</t>
  </si>
  <si>
    <t>Sell AER250S, AAPL50s, AMZN5, SHW10s, FB50s, HD50s</t>
  </si>
  <si>
    <t>Research VEEV, AAON, HSY, PAYX, PAYC HSY, ERIE, CRVL, FICO, GWRE, MMC</t>
  </si>
  <si>
    <t>Research HSY, PAYX, PAYC HSY, ERIE, CRVL, FICO, GWRE, MMC</t>
  </si>
  <si>
    <t>Buy HEI30s on dip, BKNG5s FNMAS1K, TEAM100s FIX ORLY AZO</t>
  </si>
  <si>
    <t>Research PAYC HSY, ERIE, CRVL, FICO, GWRE, MMC</t>
  </si>
  <si>
    <t>Buy HEI30s on dip, BKNG5s FNMAS1K, TEAM100s FIX ORLY AZO TSLA?</t>
  </si>
  <si>
    <t>Research SHOP, PAYC HSY, ERIE, CRVL, FICO, GWRE, MMC</t>
  </si>
  <si>
    <t>Sell AER250s, AAPL50s, AMZN5, SHW10s, FB50s, HD50s</t>
  </si>
  <si>
    <t>Research SHOP, PAYC HSY, ERIE, CRVL, FICO, GWRE, MMC, BKI</t>
  </si>
  <si>
    <t>Target 90pct +-5, reduce top 5 if no pop 7/17-18</t>
  </si>
  <si>
    <t>Buy HEI30s on dip, BKNG5s FNMAS1K, TEAM100s FIX ORLY AZO TSLA? NVR</t>
  </si>
  <si>
    <t xml:space="preserve">Sell AER250s, FB50s, HD50s, MSFT50s, AMZN5, GOOGL5s AAPL50s, </t>
  </si>
  <si>
    <t>Research DPZ, SHOP, PAYC HSY, ERIE, CRVL, FICO, GWRE, MMC, ACN, HQY</t>
  </si>
  <si>
    <t>Buy MSFT100s on dip, TEAM100s, FNMAS1K, HEI30s, BKNG5s FIX ORLY AZO TSLA? NVR, DPZ</t>
  </si>
  <si>
    <t xml:space="preserve">Sell others, PSX 100s, AAPL50s, </t>
  </si>
  <si>
    <t>Research SHOP, PAYC HSY, ERIE, CRVL, FICO, GWRE, MMC, ACN, HQY</t>
  </si>
  <si>
    <t>Sell others, PSX 100s, AAPL50s, HD50s</t>
  </si>
  <si>
    <t>Research SHOP, PAYC HSY, ERIE, CRVL, FICO, GWRE, MMC, ACN, HQY, GWRE</t>
  </si>
  <si>
    <t>Target 85pct +-5, Sell FIX on pop, buy ORLY25s</t>
  </si>
  <si>
    <t>Buy ORLY25s  LUV200s, MSFT100s, TEAM100s, FNMAS1K, AZO7s HEI, BKNG NVR, DPZ NFLX</t>
  </si>
  <si>
    <t>Sell FIX500s, PSX 100s, AAPL50s, HD50s</t>
  </si>
  <si>
    <t>Research BRO insider/MMC/ACN SHOP, PAYC HSY, ERIE, CRVL, FICO, GWRE,HQY, GWRE</t>
  </si>
  <si>
    <t>Buy  LUV200s, MSFT100s, TEAM100s, FNMAS1K, AZO7s HEI, BKNG NVR, DPZ NFLX</t>
  </si>
  <si>
    <t>Sell, PSX 100s, AAPL50s, HD50s</t>
  </si>
  <si>
    <t>Research MMC/ACN SHOP, PAYC HSY, ERIE, CRVL, FICO, GWRE,HQY</t>
  </si>
  <si>
    <t>Buy LUV200s, FNMAS1K, AZO7s HEI, BKNG DPZ NFLX</t>
  </si>
  <si>
    <t>Sell EBAY150s, PSX 100s, AAPL50s, HD50s</t>
  </si>
  <si>
    <t>Research PGR EBAY MMC/ACN SHOP, PAYC HSY, ERIE, CRVL, FICO, GWRE,HQY, JPM/Wfc</t>
  </si>
  <si>
    <t>Target 85pct +-5, sell EBAY150s</t>
  </si>
  <si>
    <t>Buy BRK50s, LUV200s, FNMAS1K, AZO7s HEI, BKNG DPZ NFLX</t>
  </si>
  <si>
    <t>Sell EBAY150s, PSX 100s, other tech, AAPL50s, HD50s</t>
  </si>
  <si>
    <t>Research PGR EBAY MMC/ACN SHOP, PAYC HSY, ERIE, CRVL, FICO, GWRE,HQY, JPM/Wfc SQ</t>
  </si>
  <si>
    <t>Buy BRK50s, LUV200s, FNMAS1K, AZO7s HEI, BKNG DPZ NFLX IDXX</t>
  </si>
  <si>
    <t>Sell other tech, AAPL50s, HD50s</t>
  </si>
  <si>
    <t>Research EBAY MMC/ACN SHOP, PAYC ERIE, CRVL, FICO, GWRE, HQY, JPM SQ</t>
  </si>
  <si>
    <t>Target 85pct +-5, buy NFLX15s</t>
  </si>
  <si>
    <t xml:space="preserve">Sell MSFT100s, HD50s, FB50s, other tech, AAPL50s, </t>
  </si>
  <si>
    <t>Research NFLX EBAY MMC/ACN SHOP, PAYC ERIE, CRVL, FICO, GWRE, HQY, JPM SQ</t>
  </si>
  <si>
    <t>Target 90pct +-5, buy NFLX15s</t>
  </si>
  <si>
    <t>Research UBER NFLX EBAY MMC/ACN SHOP, PAYC ERIE, CRVL, FICO, GWRE, HQY, JPM SQ</t>
  </si>
  <si>
    <t>Sell SHW20s, MSFT100s, HD50s, FB50s, other tech, AAPL50s</t>
  </si>
  <si>
    <t>Buy FNMAS 1k, BRK50s, LUV200s, AZO7s HEI, BKNG DPZ NFLX IDXX</t>
  </si>
  <si>
    <t>Sell FB50s, msft100s, AAPL50s, ci/unh shw20s fis75s</t>
  </si>
  <si>
    <t>Research MMC/ACN SHOP, PAYC ERIE, CRVL, FICO, GWRE, HQY, JPM SQ</t>
  </si>
  <si>
    <t>Buy BRK50s, LUV200s, AZO7s HEI, BKNG DPZ NFLX IDXX</t>
  </si>
  <si>
    <t>Sell FIS75s SHW20s, CI150s/UNH100s FB50s, msft100s, AAPL50s, TEAM</t>
  </si>
  <si>
    <t>Research MMC/ACN SHOP, PAYC ERIE, CRVL, FICO, GWRE, HQY, JPM SQ, BTU</t>
  </si>
  <si>
    <t>Buy BRK50s, LUV200s, AZO7s HEI, BKNG DPZ NFLX IDXX COST</t>
  </si>
  <si>
    <t>Sell CI150s/UNH100s FB50s, msft100s, AAPL50s, TEAM</t>
  </si>
  <si>
    <t>Research Uber/wework, MMC/ACN SHOP, PAYC ERIE, CRVL, FICO, GWRE, HQY, JPM SQ, BTU</t>
  </si>
  <si>
    <t>Research Uber/wework, SHOP, PAYC ERIE, CRVL, FICO, GWRE, HQY, JPM SQ, BTU</t>
  </si>
  <si>
    <t>Buy LUV200s, AZO7s HEI, BKNG DPZ NFLX IDXX COST</t>
  </si>
  <si>
    <t>Sell CI150s/UNH100s</t>
  </si>
  <si>
    <t>Research Uber/wework, SHOP, PAYC ERIE, CRVL, FICO, GWRE, HQY, JPM SQ, BTU, ddog</t>
  </si>
  <si>
    <t>Buy ULTA, LUV200s, AZO7s HEI, BKNG DPZ NFLX IDXX COST</t>
  </si>
  <si>
    <t>Research Uber, WE, PAYC, CRVL, FICO, GWRE, HQY, JPM SQ, BTU, ddog, HUM, PYPL</t>
  </si>
  <si>
    <t xml:space="preserve">Research Uber, WE, GWRE, HQY, JPM SQ, BTU, ddog, HUM, PYPL, NVO, NZYM </t>
  </si>
  <si>
    <t>Buy ORLY LUV200s GOOGL20s on dip, AZO7s HEI, BKNG DPZ NFLX IDXX fb jpm ci</t>
  </si>
  <si>
    <t>Sell uber MSFT200s, HD50s, AAPL100s, GOOGL10s, TEAM200s amzn5s</t>
  </si>
  <si>
    <t xml:space="preserve">Research HQY, Uber, WE, JPM SQ, BTU, ddog, HUM, PYPL, NVO, NZYM </t>
  </si>
  <si>
    <t>total (+-5pct per point)</t>
  </si>
  <si>
    <t xml:space="preserve">Buy JPM HD LUV200s GOOGL10s on dip, AZO7s HEI, BKNG DPZ NFLX IDXX FB </t>
  </si>
  <si>
    <t>Sell MSFT200s, AAPL100s, GOOGL10s, TEAM200s amzn5s</t>
  </si>
  <si>
    <t xml:space="preserve">Research Uber, WE, JPM SQ, BTU, ddog, HUM, PYPL, NVO, NZYM </t>
  </si>
  <si>
    <t xml:space="preserve">Buy btu/tsla/uber JPM HD LUV200s GOOGL10s on dip, AZO7s HEI, BKNG DPZ NFLX IDXX FB </t>
  </si>
  <si>
    <t>Buy btu/tsla/uber JPM LUV200s GOOGL10s on dip, AZO7s HEI, BKNG DPZ NFLX IDXX FB CHD</t>
  </si>
  <si>
    <t>Sell MSFT150s, HD50S, AAPL100s, TEAM100S, COST50S, amzn5s Orly50s</t>
  </si>
  <si>
    <t xml:space="preserve">Research gwre insider, Uber, WE, JPM SQ, BTU, ddog, HUM, PYPL, NVO, NZYM </t>
  </si>
  <si>
    <t>Target 90pct +-5, REDUCE ONLY</t>
  </si>
  <si>
    <t>Buy uber/btu/tsla FB JPM LUV200s GOOGL10s on dip, AZO7s HEI, BKNG DPZ NFLX IDXX CHD</t>
  </si>
  <si>
    <t>Sell MSFT150s, HD50S, AAPL100s, COST50S, amzn5s Orly50s</t>
  </si>
  <si>
    <t>Target 90pct +-5, REDUCE ONLY esp shorts on strength 9/27 after 10:30a</t>
  </si>
  <si>
    <t>Buy uber/btu/tsla50pct JPM LUV200s, AZO7s HEI, BKNG DPZ NFLX IDXX CHD</t>
  </si>
  <si>
    <t>Sell MSFT100s, FB100s, amzn10s, HD50S, AAPL100s, COST50S, Orly50s, CI150s, UNH100s</t>
  </si>
  <si>
    <t>Research ddog, gwre insider, Uber, WE, JPM SQ, BTU, , HUM, PYPL, NVO, NZYM, NKE</t>
  </si>
  <si>
    <t>Target 90pct +-5, REDUCE ONLY esp shorts on strength</t>
  </si>
  <si>
    <t>Research gwre insider, Uber, WE, JPM SQ, BTU, , HUM, PYPL, NVO, NZYM, NKE, DDOG</t>
  </si>
  <si>
    <t>Target 90pct +-5, REDUCE ONLY all shorts 50pct by10;30am 10/3</t>
  </si>
  <si>
    <t>Sell MSFT100s, HD50S, COST50S, AAPL100s, Orly50s, FB100s, amzn10s, CI150s, UNH100s</t>
  </si>
  <si>
    <t>Target 90pct +-5, REDUCE ONLY tsla50pct on multi day strength</t>
  </si>
  <si>
    <t>Buy tsla50pct JPM LUV200s, AZO7s HEI, BKNG DPZ NFLX IDXX CHD</t>
  </si>
  <si>
    <t>Sell MSFT50s, HD50S, COST50S, AAPL50s, Orly50s, FB100s, amzn10s, CI150s, UNH100s</t>
  </si>
  <si>
    <t>Research Uber, JPM SQ, BTU, , HUM, PYPL, NVO, NZYM, NKE, DDOG</t>
  </si>
  <si>
    <t>Buy AZO17s, JPM LUV200s, AZO7s HEI, BKNG DPZ NFLX IDXX CHD</t>
  </si>
  <si>
    <t>Sell MSFT50s, COST50S, AAPL50s, ORLY50s, FB100s, amzn10s, CI150s, UNH100s</t>
  </si>
  <si>
    <t>Research UBER/TSLA, JPM SQ, BTU, , HUM, PYPL, NVO, NZYM, NKE, DDOG</t>
  </si>
  <si>
    <t>Buy AZO17s, LUV200s, HD NVR AMZN JPM HEI, BKNG DPZ NFLX IDXX CHD</t>
  </si>
  <si>
    <t xml:space="preserve">Sell commods shorts? MSFT50s, COST50S, AAPL50s, ORLY50s, FB100s,TEAM100s </t>
  </si>
  <si>
    <t>Research commods shorts, JPM SQ, BTU, , HUM, PYPL, NVO, NZYM, NKE, DDOG</t>
  </si>
  <si>
    <t xml:space="preserve">Sell BTU900S, CTRA900s ARCH MSFT50s, COST50S, AAPL50s, ORLY50s, FB100s,TEAM100s </t>
  </si>
  <si>
    <t>Research shorts, JPM SQ, BTU, HUM, PYPL, NVO, NZYM, NKE, DDOG, SoftBank shrt, ROKU, TDY, ew zts</t>
  </si>
  <si>
    <t xml:space="preserve">Sell BTU900S/CTRA900s on pop, MSFT50s, COST50S, AAPL50s, ORLY50s, FB100s,TEAM100s </t>
  </si>
  <si>
    <t>Research JPM SQ, BTU, HUM, PYPL, NVO, NZYM, NKE, DDOG, SoftBank shrt, ROKU, TDY, ew zts</t>
  </si>
  <si>
    <t>Start/Update</t>
  </si>
  <si>
    <t>End</t>
  </si>
  <si>
    <t>Rebal SLD</t>
  </si>
  <si>
    <t>Buy shorts AZO17s, LUV200s, HD NVR AMZN JPM HEI, BKNG DPZ NFLX IDXX CHD</t>
  </si>
  <si>
    <t xml:space="preserve">Sell MSFT50s, COST50S, AAPL50s, ORLY50s, FB100s,TEAM100s </t>
  </si>
  <si>
    <t>Target 90pct +-5, REDUCE ONLY, buy AZO17s</t>
  </si>
  <si>
    <t>Research SQ, BTU, HUM, PYPL, NVO, NZYM, NKE, DDOG, SoftBank shrt, ROKU, TDY, ew zts</t>
  </si>
  <si>
    <t>Buy shorts, LUV200s, HD NVR AMZN JPM HEI, BKNG DPZ NFLX IDXX CHD</t>
  </si>
  <si>
    <t xml:space="preserve">Sell AAPL50s, MSFT50s, COST50S,  ORLY50s, FB100s,TEAM100s </t>
  </si>
  <si>
    <t>Research BTU, HUM, PYPL, NVO, NZYM, NKE, DDOG, SoftBank shrt, ROKU, TDY, ew zts</t>
  </si>
  <si>
    <t>Buy shorts, LUV200s, HD NVR JPM HEI, BKNG DPZ NFLX IDXX CHD</t>
  </si>
  <si>
    <t>Research HUM, PYPL, NVO, NZYM, NKE, DDOG, SoftBank shrt, ROKU, TDY, ew zts</t>
  </si>
  <si>
    <t>Sell AAPL50s, MSFT100s, COST50s, TEAM100S, googl10s, ci50s, unh75s, nvr2s, aer150s</t>
  </si>
  <si>
    <t>Research PYPL, NVO, NZYM, NKE, DDOG, SoftBank shrt, ROKU, TDY, ew zts, financials</t>
  </si>
  <si>
    <t>Buy LUV200s, HD NVR JPM SBUX HEI, BKNG DPZ NFLX IDXX CHD</t>
  </si>
  <si>
    <t>Formula Ref</t>
  </si>
</sst>
</file>

<file path=xl/styles.xml><?xml version="1.0" encoding="utf-8"?>
<styleSheet xmlns="http://schemas.openxmlformats.org/spreadsheetml/2006/main" xmlns:x14ac="http://schemas.microsoft.com/office/spreadsheetml/2009/9/ac" xmlns:mc="http://schemas.openxmlformats.org/markup-compatibility/2006">
  <numFmts count="20">
    <numFmt numFmtId="164" formatCode="&quot;$&quot;#,##0.00_);[Red]\(&quot;$&quot;#,##0.00\)"/>
    <numFmt numFmtId="165" formatCode="0.0000"/>
    <numFmt numFmtId="166" formatCode="&quot;$&quot;#,##0.00"/>
    <numFmt numFmtId="167" formatCode="&quot;$&quot;#,##0.00_);\(&quot;$&quot;#,##0.00\)"/>
    <numFmt numFmtId="168" formatCode="[$-F400]h:mm:ss\ AM/PM"/>
    <numFmt numFmtId="169" formatCode="0.00_);\(0.00\)"/>
    <numFmt numFmtId="170" formatCode="0.00%;\(0.00%\)"/>
    <numFmt numFmtId="171" formatCode="#,###"/>
    <numFmt numFmtId="172" formatCode="&quot;$&quot;#,##0_);\(&quot;$&quot;#,##0\)"/>
    <numFmt numFmtId="173" formatCode="mm/yyyy"/>
    <numFmt numFmtId="174" formatCode="&quot;$&quot;#,##0"/>
    <numFmt numFmtId="175" formatCode="m/d/yyyy"/>
    <numFmt numFmtId="176" formatCode="0_);\(0\)"/>
    <numFmt numFmtId="177" formatCode="0.0%"/>
    <numFmt numFmtId="178" formatCode="M/d/yyyy"/>
    <numFmt numFmtId="179" formatCode="mm/dd/yyyy"/>
    <numFmt numFmtId="180" formatCode="0.0"/>
    <numFmt numFmtId="181" formatCode="m/d/yyyy h:mm:ss"/>
    <numFmt numFmtId="182" formatCode="mmm d h:mm:ss"/>
    <numFmt numFmtId="183" formatCode="mmmm d h:mm:ss"/>
  </numFmts>
  <fonts count="59">
    <font>
      <sz val="10.0"/>
      <color rgb="FF000000"/>
      <name val="Arial"/>
    </font>
    <font>
      <sz val="10.0"/>
      <name val="Arial"/>
    </font>
    <font>
      <b/>
      <u/>
      <sz val="10.0"/>
      <name val="Arial"/>
    </font>
    <font>
      <b/>
      <u/>
      <sz val="10.0"/>
      <name val="Arial"/>
    </font>
    <font>
      <b/>
      <u/>
      <sz val="10.0"/>
      <name val="Arial"/>
    </font>
    <font>
      <b/>
      <u/>
      <sz val="10.0"/>
      <name val="Arial"/>
    </font>
    <font>
      <sz val="10.0"/>
      <color rgb="FF0000FF"/>
      <name val="Arial"/>
    </font>
    <font>
      <b/>
      <sz val="10.0"/>
      <name val="Arial"/>
    </font>
    <font>
      <u/>
      <sz val="10.0"/>
      <name val="Arial"/>
    </font>
    <font>
      <u/>
      <sz val="10.0"/>
      <name val="Arial"/>
    </font>
    <font>
      <u/>
      <sz val="10.0"/>
      <name val="Arial"/>
    </font>
    <font>
      <u/>
      <sz val="10.0"/>
      <name val="Arial"/>
    </font>
    <font>
      <u/>
      <sz val="10.0"/>
      <name val="Arial"/>
    </font>
    <font>
      <u/>
      <sz val="10.0"/>
      <name val="Arial"/>
    </font>
    <font>
      <u/>
      <sz val="10.0"/>
      <name val="Arial"/>
    </font>
    <font>
      <b/>
    </font>
    <font>
      <u/>
      <sz val="10.0"/>
      <name val="Arial"/>
    </font>
    <font>
      <u/>
      <sz val="10.0"/>
      <name val="Arial"/>
    </font>
    <font>
      <u/>
      <sz val="10.0"/>
      <name val="Arial"/>
    </font>
    <font>
      <b/>
      <u/>
      <sz val="10.0"/>
      <name val="Arial"/>
    </font>
    <font/>
    <font>
      <b/>
      <sz val="10.0"/>
      <color rgb="FF0000FF"/>
      <name val="Arial"/>
    </font>
    <font>
      <u/>
      <sz val="10.0"/>
      <name val="Arial"/>
    </font>
    <font>
      <b/>
      <u/>
      <sz val="10.0"/>
      <name val="Arial"/>
    </font>
    <font>
      <b/>
      <u/>
      <sz val="10.0"/>
      <name val="Arial"/>
    </font>
    <font>
      <u/>
      <sz val="10.0"/>
      <name val="Arial"/>
    </font>
    <font>
      <name val="Arial"/>
    </font>
    <font>
      <b/>
      <u/>
      <sz val="10.0"/>
      <name val="Arial"/>
    </font>
    <font>
      <sz val="11.0"/>
      <color rgb="FF000000"/>
      <name val="Calibri"/>
    </font>
    <font>
      <sz val="11.0"/>
      <color rgb="FF000000"/>
      <name val="Arial"/>
    </font>
    <font>
      <sz val="11.0"/>
      <name val="Arial"/>
    </font>
    <font>
      <b/>
      <color rgb="FF222222"/>
      <name val="Arial"/>
    </font>
    <font>
      <sz val="10.0"/>
      <color rgb="FFCCCCCC"/>
      <name val="Arial"/>
    </font>
    <font>
      <color rgb="FFCCCCCC"/>
    </font>
    <font>
      <sz val="11.0"/>
    </font>
    <font>
      <i/>
      <u/>
    </font>
    <font>
      <sz val="11.0"/>
      <color rgb="FF0000FF"/>
    </font>
    <font>
      <b/>
      <u/>
      <sz val="10.0"/>
      <name val="Arial"/>
    </font>
    <font>
      <u/>
      <sz val="10.0"/>
      <name val="Arial"/>
    </font>
    <font>
      <u/>
      <sz val="10.0"/>
      <name val="Arial"/>
    </font>
    <font>
      <u/>
      <sz val="10.0"/>
      <name val="Arial"/>
    </font>
    <font>
      <u/>
    </font>
    <font>
      <u/>
      <sz val="10.0"/>
      <name val="Arial"/>
    </font>
    <font>
      <u/>
    </font>
    <font>
      <u/>
    </font>
    <font>
      <b/>
      <u/>
    </font>
    <font>
      <b/>
      <u/>
    </font>
    <font>
      <b/>
      <i/>
      <u/>
      <sz val="10.0"/>
      <name val="Arial"/>
    </font>
    <font>
      <b/>
      <u/>
      <sz val="10.0"/>
      <name val="Arial"/>
    </font>
    <font>
      <i/>
      <sz val="10.0"/>
      <name val="Arial"/>
    </font>
    <font>
      <b/>
      <sz val="11.0"/>
      <color rgb="FF000000"/>
      <name val="Arial"/>
    </font>
    <font>
      <b/>
      <u/>
    </font>
    <font>
      <b/>
      <u/>
      <sz val="10.0"/>
      <name val="Arial"/>
    </font>
    <font>
      <sz val="10.0"/>
    </font>
    <font>
      <b/>
      <name val="Arial"/>
    </font>
    <font>
      <b/>
      <sz val="11.0"/>
      <color rgb="FF000000"/>
      <name val="Calibri"/>
    </font>
    <font>
      <sz val="10.0"/>
      <color rgb="FFFF0000"/>
      <name val="Arial"/>
    </font>
    <font>
      <sz val="10.0"/>
      <color rgb="FF222222"/>
    </font>
    <font>
      <b/>
      <sz val="10.0"/>
      <color rgb="FF222222"/>
    </font>
  </fonts>
  <fills count="10">
    <fill>
      <patternFill patternType="none"/>
    </fill>
    <fill>
      <patternFill patternType="lightGray"/>
    </fill>
    <fill>
      <patternFill patternType="solid">
        <fgColor rgb="FFFFFF00"/>
        <bgColor rgb="FFFFFF00"/>
      </patternFill>
    </fill>
    <fill>
      <patternFill patternType="solid">
        <fgColor rgb="FFCCFFFF"/>
        <bgColor rgb="FFCCFFFF"/>
      </patternFill>
    </fill>
    <fill>
      <patternFill patternType="solid">
        <fgColor rgb="FFCCFFCC"/>
        <bgColor rgb="FFCCFFCC"/>
      </patternFill>
    </fill>
    <fill>
      <patternFill patternType="solid">
        <fgColor rgb="FFFFFFFF"/>
        <bgColor rgb="FFFFFFFF"/>
      </patternFill>
    </fill>
    <fill>
      <patternFill patternType="solid">
        <fgColor rgb="FF00FF00"/>
        <bgColor rgb="FF00FF00"/>
      </patternFill>
    </fill>
    <fill>
      <patternFill patternType="solid">
        <fgColor rgb="FFFF0000"/>
        <bgColor rgb="FFFF0000"/>
      </patternFill>
    </fill>
    <fill>
      <patternFill patternType="solid">
        <fgColor rgb="FF00FFFF"/>
        <bgColor rgb="FF00FFFF"/>
      </patternFill>
    </fill>
    <fill>
      <patternFill patternType="solid">
        <fgColor rgb="FFC0C0C0"/>
        <bgColor rgb="FFC0C0C0"/>
      </patternFill>
    </fill>
  </fills>
  <borders count="37">
    <border/>
    <border>
      <left style="thin">
        <color rgb="FF000000"/>
      </left>
      <right/>
      <top style="thin">
        <color rgb="FF000000"/>
      </top>
      <bottom style="thin">
        <color rgb="FF000000"/>
      </bottom>
    </border>
    <border>
      <left/>
      <right/>
      <top style="thin">
        <color rgb="FF000000"/>
      </top>
      <bottom style="thin">
        <color rgb="FF000000"/>
      </bottom>
    </border>
    <border>
      <left style="thin">
        <color rgb="FF000000"/>
      </left>
    </border>
    <border>
      <bottom style="thin">
        <color rgb="FF000000"/>
      </bottom>
    </border>
    <border>
      <left/>
      <right/>
      <top/>
      <bottom/>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ttom style="thin">
        <color rgb="FF000000"/>
      </bottom>
    </border>
    <border>
      <right style="thin">
        <color rgb="FF000000"/>
      </right>
      <bottom style="thin">
        <color rgb="FF000000"/>
      </bottom>
    </border>
    <border>
      <left/>
      <right style="thin">
        <color rgb="FF000000"/>
      </right>
      <top style="thin">
        <color rgb="FF000000"/>
      </top>
      <bottom style="thin">
        <color rgb="FF000000"/>
      </bottom>
    </border>
    <border>
      <right style="thin">
        <color rgb="FF000000"/>
      </right>
    </border>
    <border>
      <left/>
      <right/>
      <top style="thin">
        <color rgb="FF000000"/>
      </top>
      <bottom/>
    </border>
    <border>
      <left/>
      <right/>
      <top/>
      <bottom style="thin">
        <color rgb="FF000000"/>
      </bottom>
    </border>
    <border>
      <left/>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top style="thin">
        <color rgb="FF000000"/>
      </top>
      <bottom/>
    </border>
    <border>
      <left/>
      <right style="thin">
        <color rgb="FF000000"/>
      </right>
      <top style="thin">
        <color rgb="FF000000"/>
      </top>
      <bottom/>
    </border>
    <border>
      <left style="thin">
        <color rgb="FF000000"/>
      </left>
      <right style="thin">
        <color rgb="FF000000"/>
      </right>
      <top style="thin">
        <color rgb="FF000000"/>
      </top>
    </border>
    <border>
      <left style="thin">
        <color rgb="FF000000"/>
      </left>
      <right style="thin">
        <color rgb="FF000000"/>
      </right>
      <top style="thin">
        <color rgb="FF000000"/>
      </top>
      <bottom style="thin">
        <color rgb="FF000000"/>
      </bottom>
    </border>
    <border>
      <left style="thin">
        <color rgb="FF000000"/>
      </left>
      <right style="thin">
        <color rgb="FF000000"/>
      </right>
      <bottom style="thin">
        <color rgb="FF000000"/>
      </bottom>
    </border>
    <border>
      <left style="medium">
        <color rgb="FF000000"/>
      </left>
    </border>
    <border>
      <right style="medium">
        <color rgb="FF000000"/>
      </right>
    </border>
    <border>
      <left/>
    </border>
    <border>
      <right/>
      <top/>
      <bottom/>
    </border>
    <border>
      <left style="thin">
        <color rgb="FF000000"/>
      </left>
      <right style="thin">
        <color rgb="FF000000"/>
      </right>
    </border>
    <border>
      <left/>
      <top/>
      <bottom/>
    </border>
    <border>
      <bottom/>
    </border>
    <border>
      <right/>
    </border>
    <border>
      <left/>
      <right/>
      <bottom/>
    </border>
    <border>
      <right/>
      <bottom/>
    </border>
    <border>
      <right/>
      <top style="thin">
        <color rgb="FF000000"/>
      </top>
    </border>
    <border>
      <right style="thin">
        <color rgb="FF000000"/>
      </right>
      <bottom/>
    </border>
    <border>
      <right/>
      <bottom style="thin">
        <color rgb="FF000000"/>
      </bottom>
    </border>
  </borders>
  <cellStyleXfs count="1">
    <xf borderId="0" fillId="0" fontId="0" numFmtId="0" applyAlignment="1" applyFont="1"/>
  </cellStyleXfs>
  <cellXfs count="1247">
    <xf borderId="0" fillId="0" fontId="0" numFmtId="0" xfId="0" applyAlignment="1" applyFont="1">
      <alignment readingOrder="0" shrinkToFit="0" vertical="bottom" wrapText="0"/>
    </xf>
    <xf borderId="0" fillId="0" fontId="1" numFmtId="0" xfId="0" applyAlignment="1" applyFont="1">
      <alignment shrinkToFit="0" wrapText="0"/>
    </xf>
    <xf borderId="1" fillId="2" fontId="2" numFmtId="0" xfId="0" applyAlignment="1" applyBorder="1" applyFill="1" applyFont="1">
      <alignment shrinkToFit="0" wrapText="0"/>
    </xf>
    <xf borderId="2" fillId="2" fontId="3" numFmtId="0" xfId="0" applyAlignment="1" applyBorder="1" applyFont="1">
      <alignment shrinkToFit="0" wrapText="1"/>
    </xf>
    <xf borderId="2" fillId="2" fontId="1" numFmtId="0" xfId="0" applyAlignment="1" applyBorder="1" applyFont="1">
      <alignment shrinkToFit="0" wrapText="0"/>
    </xf>
    <xf borderId="3" fillId="0" fontId="1" numFmtId="0" xfId="0" applyAlignment="1" applyBorder="1" applyFont="1">
      <alignment shrinkToFit="0" wrapText="0"/>
    </xf>
    <xf borderId="4" fillId="0" fontId="1" numFmtId="14" xfId="0" applyAlignment="1" applyBorder="1" applyFont="1" applyNumberFormat="1">
      <alignment shrinkToFit="0" wrapText="0"/>
    </xf>
    <xf borderId="0" fillId="0" fontId="1" numFmtId="0" xfId="0" applyAlignment="1" applyFont="1">
      <alignment shrinkToFit="0" wrapText="0"/>
    </xf>
    <xf borderId="4" fillId="0" fontId="1" numFmtId="164" xfId="0" applyAlignment="1" applyBorder="1" applyFont="1" applyNumberFormat="1">
      <alignment shrinkToFit="0" wrapText="0"/>
    </xf>
    <xf borderId="0" fillId="0" fontId="1" numFmtId="0" xfId="0" applyAlignment="1" applyFont="1">
      <alignment readingOrder="0" shrinkToFit="0" wrapText="0"/>
    </xf>
    <xf borderId="4" fillId="0" fontId="1" numFmtId="0" xfId="0" applyAlignment="1" applyBorder="1" applyFont="1">
      <alignment shrinkToFit="0" wrapText="0"/>
    </xf>
    <xf borderId="0" fillId="0" fontId="1" numFmtId="0" xfId="0" applyAlignment="1" applyFont="1">
      <alignment shrinkToFit="0" wrapText="1"/>
    </xf>
    <xf borderId="0" fillId="0" fontId="1" numFmtId="164" xfId="0" applyAlignment="1" applyFont="1" applyNumberFormat="1">
      <alignment shrinkToFit="0" wrapText="0"/>
    </xf>
    <xf borderId="0" fillId="0" fontId="4" numFmtId="0" xfId="0" applyAlignment="1" applyFont="1">
      <alignment shrinkToFit="0" wrapText="0"/>
    </xf>
    <xf borderId="0" fillId="0" fontId="5" numFmtId="0" xfId="0" applyAlignment="1" applyFont="1">
      <alignment shrinkToFit="0" wrapText="1"/>
    </xf>
    <xf borderId="0" fillId="0" fontId="6" numFmtId="165" xfId="0" applyAlignment="1" applyFont="1" applyNumberFormat="1">
      <alignment shrinkToFit="0" wrapText="0"/>
    </xf>
    <xf borderId="5" fillId="3" fontId="1" numFmtId="0" xfId="0" applyAlignment="1" applyBorder="1" applyFill="1" applyFont="1">
      <alignment shrinkToFit="0" wrapText="0"/>
    </xf>
    <xf borderId="0" fillId="0" fontId="1" numFmtId="14" xfId="0" applyAlignment="1" applyFont="1" applyNumberFormat="1">
      <alignment shrinkToFit="0" wrapText="0"/>
    </xf>
    <xf borderId="5" fillId="3" fontId="1" numFmtId="0" xfId="0" applyAlignment="1" applyBorder="1" applyFont="1">
      <alignment readingOrder="0" shrinkToFit="0" wrapText="0"/>
    </xf>
    <xf borderId="0" fillId="0" fontId="1" numFmtId="10" xfId="0" applyAlignment="1" applyFont="1" applyNumberFormat="1">
      <alignment shrinkToFit="0" wrapText="0"/>
    </xf>
    <xf borderId="0" fillId="0" fontId="1" numFmtId="0" xfId="0" applyAlignment="1" applyFont="1">
      <alignment horizontal="left" shrinkToFit="0" wrapText="0"/>
    </xf>
    <xf borderId="0" fillId="0" fontId="1" numFmtId="4" xfId="0" applyAlignment="1" applyFont="1" applyNumberFormat="1">
      <alignment shrinkToFit="0" wrapText="0"/>
    </xf>
    <xf borderId="5" fillId="4" fontId="1" numFmtId="0" xfId="0" applyAlignment="1" applyBorder="1" applyFill="1" applyFont="1">
      <alignment readingOrder="0" shrinkToFit="0" wrapText="0"/>
    </xf>
    <xf borderId="0" fillId="4" fontId="1" numFmtId="0" xfId="0" applyAlignment="1" applyFont="1">
      <alignment readingOrder="0" shrinkToFit="0" wrapText="0"/>
    </xf>
    <xf borderId="0" fillId="5" fontId="1" numFmtId="0" xfId="0" applyAlignment="1" applyFill="1" applyFont="1">
      <alignment shrinkToFit="0" wrapText="0"/>
    </xf>
    <xf borderId="5" fillId="4" fontId="1" numFmtId="0" xfId="0" applyAlignment="1" applyBorder="1" applyFont="1">
      <alignment shrinkToFit="0" wrapText="0"/>
    </xf>
    <xf borderId="0" fillId="0" fontId="1" numFmtId="0" xfId="0" applyAlignment="1" applyFont="1">
      <alignment horizontal="left" shrinkToFit="0" wrapText="1"/>
    </xf>
    <xf borderId="5" fillId="3" fontId="1" numFmtId="0" xfId="0" applyAlignment="1" applyBorder="1" applyFont="1">
      <alignment horizontal="left" shrinkToFit="0" wrapText="0"/>
    </xf>
    <xf borderId="5" fillId="4" fontId="1" numFmtId="0" xfId="0" applyAlignment="1" applyBorder="1" applyFont="1">
      <alignment horizontal="left" shrinkToFit="0" wrapText="0"/>
    </xf>
    <xf borderId="0" fillId="4" fontId="1" numFmtId="0" xfId="0" applyAlignment="1" applyFont="1">
      <alignment horizontal="left" readingOrder="0" shrinkToFit="0" wrapText="0"/>
    </xf>
    <xf borderId="0" fillId="5" fontId="1" numFmtId="0" xfId="0" applyAlignment="1" applyFont="1">
      <alignment horizontal="left" shrinkToFit="0" wrapText="0"/>
    </xf>
    <xf borderId="5" fillId="4" fontId="1" numFmtId="0" xfId="0" applyAlignment="1" applyBorder="1" applyFont="1">
      <alignment horizontal="left" readingOrder="0" shrinkToFit="0" wrapText="0"/>
    </xf>
    <xf borderId="0" fillId="0" fontId="1" numFmtId="0" xfId="0" applyAlignment="1" applyFont="1">
      <alignment readingOrder="0" shrinkToFit="0" wrapText="0"/>
    </xf>
    <xf borderId="0" fillId="0" fontId="7" numFmtId="0" xfId="0" applyAlignment="1" applyFont="1">
      <alignment shrinkToFit="0" wrapText="0"/>
    </xf>
    <xf borderId="0" fillId="0" fontId="1" numFmtId="166" xfId="0" applyAlignment="1" applyFont="1" applyNumberFormat="1">
      <alignment shrinkToFit="0" wrapText="0"/>
    </xf>
    <xf borderId="0" fillId="0" fontId="8" numFmtId="0" xfId="0" applyAlignment="1" applyFont="1">
      <alignment shrinkToFit="0" wrapText="0"/>
    </xf>
    <xf borderId="5" fillId="6" fontId="9" numFmtId="0" xfId="0" applyAlignment="1" applyBorder="1" applyFill="1" applyFont="1">
      <alignment readingOrder="0" shrinkToFit="0" wrapText="0"/>
    </xf>
    <xf borderId="0" fillId="0" fontId="1" numFmtId="10" xfId="0" applyAlignment="1" applyFont="1" applyNumberFormat="1">
      <alignment readingOrder="0" shrinkToFit="0" wrapText="0"/>
    </xf>
    <xf borderId="5" fillId="6" fontId="10" numFmtId="0" xfId="0" applyAlignment="1" applyBorder="1" applyFont="1">
      <alignment shrinkToFit="0" wrapText="0"/>
    </xf>
    <xf borderId="0" fillId="6" fontId="11" numFmtId="0" xfId="0" applyAlignment="1" applyFill="1" applyFont="1">
      <alignment readingOrder="0" shrinkToFit="0" wrapText="0"/>
    </xf>
    <xf borderId="0" fillId="5" fontId="12" numFmtId="0" xfId="0" applyAlignment="1" applyFont="1">
      <alignment shrinkToFit="0" wrapText="0"/>
    </xf>
    <xf borderId="5" fillId="6" fontId="13" numFmtId="0" xfId="0" applyAlignment="1" applyBorder="1" applyFont="1">
      <alignment readingOrder="0" shrinkToFit="0" wrapText="0"/>
    </xf>
    <xf borderId="5" fillId="6" fontId="7" numFmtId="0" xfId="0" applyAlignment="1" applyBorder="1" applyFont="1">
      <alignment shrinkToFit="0" wrapText="0"/>
    </xf>
    <xf borderId="5" fillId="6" fontId="7" numFmtId="0" xfId="0" applyAlignment="1" applyBorder="1" applyFont="1">
      <alignment readingOrder="0" shrinkToFit="0" wrapText="0"/>
    </xf>
    <xf borderId="0" fillId="6" fontId="1" numFmtId="0" xfId="0" applyAlignment="1" applyFont="1">
      <alignment readingOrder="0" shrinkToFit="0" wrapText="0"/>
    </xf>
    <xf borderId="5" fillId="6" fontId="1" numFmtId="0" xfId="0" applyAlignment="1" applyBorder="1" applyFont="1">
      <alignment readingOrder="0" shrinkToFit="0" wrapText="0"/>
    </xf>
    <xf borderId="5" fillId="6" fontId="7" numFmtId="0" xfId="0" applyAlignment="1" applyBorder="1" applyFont="1">
      <alignment horizontal="left" readingOrder="0" shrinkToFit="0" wrapText="0"/>
    </xf>
    <xf borderId="0" fillId="0" fontId="7" numFmtId="0" xfId="0" applyAlignment="1" applyFont="1">
      <alignment horizontal="left" shrinkToFit="0" wrapText="0"/>
    </xf>
    <xf borderId="5" fillId="6" fontId="1" numFmtId="0" xfId="0" applyAlignment="1" applyBorder="1" applyFont="1">
      <alignment shrinkToFit="0" wrapText="0"/>
    </xf>
    <xf borderId="0" fillId="0" fontId="14" numFmtId="0" xfId="0" applyAlignment="1" applyFont="1">
      <alignment horizontal="left" shrinkToFit="0" wrapText="0"/>
    </xf>
    <xf borderId="5" fillId="6" fontId="1" numFmtId="0" xfId="0" applyAlignment="1" applyBorder="1" applyFont="1">
      <alignment horizontal="left" shrinkToFit="0" wrapText="0"/>
    </xf>
    <xf borderId="0" fillId="6" fontId="1" numFmtId="0" xfId="0" applyAlignment="1" applyFont="1">
      <alignment shrinkToFit="0" wrapText="0"/>
    </xf>
    <xf borderId="0" fillId="6" fontId="1" numFmtId="0" xfId="0" applyAlignment="1" applyFont="1">
      <alignment readingOrder="0" shrinkToFit="0" wrapText="0"/>
    </xf>
    <xf borderId="0" fillId="6" fontId="15" numFmtId="0" xfId="0" applyAlignment="1" applyFont="1">
      <alignment readingOrder="0"/>
    </xf>
    <xf borderId="5" fillId="6" fontId="7" numFmtId="0" xfId="0" applyAlignment="1" applyBorder="1" applyFont="1">
      <alignment horizontal="left" shrinkToFit="0" wrapText="0"/>
    </xf>
    <xf borderId="0" fillId="6" fontId="16" numFmtId="0" xfId="0" applyAlignment="1" applyFont="1">
      <alignment readingOrder="0" shrinkToFit="0" wrapText="0"/>
    </xf>
    <xf borderId="0" fillId="6" fontId="1" numFmtId="0" xfId="0" applyAlignment="1" applyFont="1">
      <alignment readingOrder="0" shrinkToFit="0" wrapText="0"/>
    </xf>
    <xf borderId="5" fillId="6" fontId="1" numFmtId="0" xfId="0" applyAlignment="1" applyBorder="1" applyFont="1">
      <alignment horizontal="left" readingOrder="0" shrinkToFit="0" wrapText="0"/>
    </xf>
    <xf borderId="5" fillId="2" fontId="17" numFmtId="0" xfId="0" applyAlignment="1" applyBorder="1" applyFont="1">
      <alignment shrinkToFit="0" wrapText="0"/>
    </xf>
    <xf borderId="5" fillId="2" fontId="1" numFmtId="0" xfId="0" applyAlignment="1" applyBorder="1" applyFont="1">
      <alignment horizontal="left" shrinkToFit="0" wrapText="0"/>
    </xf>
    <xf borderId="5" fillId="2" fontId="1" numFmtId="0" xfId="0" applyAlignment="1" applyBorder="1" applyFont="1">
      <alignment shrinkToFit="0" wrapText="0"/>
    </xf>
    <xf borderId="5" fillId="7" fontId="1" numFmtId="0" xfId="0" applyAlignment="1" applyBorder="1" applyFill="1" applyFont="1">
      <alignment shrinkToFit="0" wrapText="0"/>
    </xf>
    <xf borderId="5" fillId="6" fontId="18" numFmtId="0" xfId="0" applyAlignment="1" applyBorder="1" applyFont="1">
      <alignment shrinkToFit="0" wrapText="0"/>
    </xf>
    <xf borderId="4" fillId="0" fontId="1" numFmtId="0" xfId="0" applyAlignment="1" applyBorder="1" applyFont="1">
      <alignment readingOrder="0" shrinkToFit="0" wrapText="0"/>
    </xf>
    <xf borderId="4" fillId="0" fontId="1" numFmtId="3" xfId="0" applyAlignment="1" applyBorder="1" applyFont="1" applyNumberFormat="1">
      <alignment shrinkToFit="0" wrapText="0"/>
    </xf>
    <xf borderId="4" fillId="0" fontId="1" numFmtId="167" xfId="0" applyAlignment="1" applyBorder="1" applyFont="1" applyNumberFormat="1">
      <alignment shrinkToFit="0" wrapText="0"/>
    </xf>
    <xf borderId="4" fillId="0" fontId="1" numFmtId="168" xfId="0" applyAlignment="1" applyBorder="1" applyFont="1" applyNumberFormat="1">
      <alignment shrinkToFit="0" wrapText="0"/>
    </xf>
    <xf borderId="0" fillId="0" fontId="1" numFmtId="167" xfId="0" applyAlignment="1" applyFont="1" applyNumberFormat="1">
      <alignment shrinkToFit="0" wrapText="0"/>
    </xf>
    <xf borderId="0" fillId="0" fontId="1" numFmtId="2" xfId="0" applyAlignment="1" applyFont="1" applyNumberFormat="1">
      <alignment shrinkToFit="0" wrapText="0"/>
    </xf>
    <xf borderId="4" fillId="0" fontId="1" numFmtId="169" xfId="0" applyAlignment="1" applyBorder="1" applyFont="1" applyNumberFormat="1">
      <alignment shrinkToFit="0" wrapText="0"/>
    </xf>
    <xf borderId="0" fillId="0" fontId="1" numFmtId="10" xfId="0" applyAlignment="1" applyFont="1" applyNumberFormat="1">
      <alignment horizontal="center" shrinkToFit="0" wrapText="0"/>
    </xf>
    <xf borderId="4" fillId="0" fontId="7" numFmtId="0" xfId="0" applyAlignment="1" applyBorder="1" applyFont="1">
      <alignment horizontal="center" readingOrder="0" shrinkToFit="0" wrapText="0"/>
    </xf>
    <xf borderId="0" fillId="0" fontId="7" numFmtId="0" xfId="0" applyAlignment="1" applyFont="1">
      <alignment readingOrder="0" shrinkToFit="0" wrapText="0"/>
    </xf>
    <xf borderId="0" fillId="0" fontId="7" numFmtId="0" xfId="0" applyAlignment="1" applyFont="1">
      <alignment readingOrder="0" shrinkToFit="0" wrapText="0"/>
    </xf>
    <xf borderId="0" fillId="0" fontId="1" numFmtId="3" xfId="0" applyAlignment="1" applyFont="1" applyNumberFormat="1">
      <alignment shrinkToFit="0" wrapText="0"/>
    </xf>
    <xf borderId="0" fillId="0" fontId="1" numFmtId="168" xfId="0" applyAlignment="1" applyFont="1" applyNumberFormat="1">
      <alignment shrinkToFit="0" wrapText="0"/>
    </xf>
    <xf borderId="0" fillId="0" fontId="1" numFmtId="169" xfId="0" applyAlignment="1" applyFont="1" applyNumberFormat="1">
      <alignment shrinkToFit="0" wrapText="0"/>
    </xf>
    <xf borderId="0" fillId="0" fontId="1" numFmtId="39" xfId="0" applyAlignment="1" applyFont="1" applyNumberFormat="1">
      <alignment horizontal="center" shrinkToFit="0" wrapText="0"/>
    </xf>
    <xf borderId="0" fillId="0" fontId="1" numFmtId="0" xfId="0" applyAlignment="1" applyFont="1">
      <alignment horizontal="center" shrinkToFit="0" wrapText="0"/>
    </xf>
    <xf borderId="0" fillId="0" fontId="1" numFmtId="0" xfId="0" applyAlignment="1" applyFont="1">
      <alignment horizontal="center" shrinkToFit="0" wrapText="0"/>
    </xf>
    <xf borderId="0" fillId="0" fontId="0" numFmtId="165" xfId="0" applyAlignment="1" applyFont="1" applyNumberFormat="1">
      <alignment shrinkToFit="0" wrapText="0"/>
    </xf>
    <xf borderId="0" fillId="0" fontId="1" numFmtId="166" xfId="0" applyAlignment="1" applyFont="1" applyNumberFormat="1">
      <alignment shrinkToFit="0" wrapText="0"/>
    </xf>
    <xf borderId="0" fillId="0" fontId="1" numFmtId="1" xfId="0" applyAlignment="1" applyFont="1" applyNumberFormat="1">
      <alignment shrinkToFit="0" wrapText="0"/>
    </xf>
    <xf borderId="6" fillId="0" fontId="19" numFmtId="0" xfId="0" applyAlignment="1" applyBorder="1" applyFont="1">
      <alignment shrinkToFit="0" wrapText="0"/>
    </xf>
    <xf borderId="7" fillId="0" fontId="1" numFmtId="0" xfId="0" applyAlignment="1" applyBorder="1" applyFont="1">
      <alignment shrinkToFit="0" wrapText="0"/>
    </xf>
    <xf borderId="8" fillId="0" fontId="1" numFmtId="0" xfId="0" applyAlignment="1" applyBorder="1" applyFont="1">
      <alignment shrinkToFit="0" wrapText="0"/>
    </xf>
    <xf borderId="6" fillId="0" fontId="1" numFmtId="0" xfId="0" applyAlignment="1" applyBorder="1" applyFont="1">
      <alignment horizontal="left" shrinkToFit="0" wrapText="0"/>
    </xf>
    <xf borderId="7" fillId="0" fontId="20" numFmtId="0" xfId="0" applyBorder="1" applyFont="1"/>
    <xf borderId="7" fillId="0" fontId="1" numFmtId="166" xfId="0" applyAlignment="1" applyBorder="1" applyFont="1" applyNumberFormat="1">
      <alignment horizontal="right" shrinkToFit="0" wrapText="0"/>
    </xf>
    <xf borderId="9" fillId="0" fontId="1" numFmtId="0" xfId="0" applyAlignment="1" applyBorder="1" applyFont="1">
      <alignment shrinkToFit="0" wrapText="0"/>
    </xf>
    <xf borderId="10" fillId="0" fontId="1" numFmtId="0" xfId="0" applyAlignment="1" applyBorder="1" applyFont="1">
      <alignment shrinkToFit="0" wrapText="0"/>
    </xf>
    <xf borderId="9" fillId="0" fontId="1" numFmtId="0" xfId="0" applyAlignment="1" applyBorder="1" applyFont="1">
      <alignment horizontal="left" shrinkToFit="0" wrapText="0"/>
    </xf>
    <xf borderId="4" fillId="0" fontId="20" numFmtId="0" xfId="0" applyBorder="1" applyFont="1"/>
    <xf borderId="4" fillId="0" fontId="1" numFmtId="166" xfId="0" applyAlignment="1" applyBorder="1" applyFont="1" applyNumberFormat="1">
      <alignment horizontal="right" shrinkToFit="0" wrapText="0"/>
    </xf>
    <xf borderId="0" fillId="0" fontId="20" numFmtId="0" xfId="0" applyAlignment="1" applyFont="1">
      <alignment readingOrder="0"/>
    </xf>
    <xf borderId="0" fillId="0" fontId="21" numFmtId="0" xfId="0" applyAlignment="1" applyFont="1">
      <alignment readingOrder="0" shrinkToFit="0" wrapText="0"/>
    </xf>
    <xf borderId="0" fillId="0" fontId="20" numFmtId="10" xfId="0" applyAlignment="1" applyFont="1" applyNumberFormat="1">
      <alignment readingOrder="0"/>
    </xf>
    <xf borderId="0" fillId="0" fontId="20" numFmtId="9" xfId="0" applyAlignment="1" applyFont="1" applyNumberFormat="1">
      <alignment readingOrder="0"/>
    </xf>
    <xf borderId="0" fillId="0" fontId="22" numFmtId="0" xfId="0" applyAlignment="1" applyFont="1">
      <alignment readingOrder="0" shrinkToFit="0" wrapText="0"/>
    </xf>
    <xf borderId="0" fillId="8" fontId="23" numFmtId="0" xfId="0" applyAlignment="1" applyFill="1" applyFont="1">
      <alignment shrinkToFit="0" wrapText="0"/>
    </xf>
    <xf borderId="1" fillId="9" fontId="1" numFmtId="0" xfId="0" applyAlignment="1" applyBorder="1" applyFill="1" applyFont="1">
      <alignment horizontal="left" shrinkToFit="0" wrapText="0"/>
    </xf>
    <xf borderId="2" fillId="9" fontId="1" numFmtId="0" xfId="0" applyAlignment="1" applyBorder="1" applyFont="1">
      <alignment horizontal="center" shrinkToFit="0" wrapText="0"/>
    </xf>
    <xf borderId="2" fillId="9" fontId="1" numFmtId="164" xfId="0" applyAlignment="1" applyBorder="1" applyFont="1" applyNumberFormat="1">
      <alignment horizontal="center" shrinkToFit="0" wrapText="0"/>
    </xf>
    <xf borderId="2" fillId="9" fontId="1" numFmtId="10" xfId="0" applyAlignment="1" applyBorder="1" applyFont="1" applyNumberFormat="1">
      <alignment horizontal="center" shrinkToFit="0" wrapText="0"/>
    </xf>
    <xf borderId="11" fillId="9" fontId="1" numFmtId="166" xfId="0" applyAlignment="1" applyBorder="1" applyFont="1" applyNumberFormat="1">
      <alignment horizontal="center" shrinkToFit="0" wrapText="0"/>
    </xf>
    <xf borderId="0" fillId="0" fontId="1" numFmtId="10" xfId="0" applyAlignment="1" applyFont="1" applyNumberFormat="1">
      <alignment horizontal="center" shrinkToFit="0" wrapText="0"/>
    </xf>
    <xf borderId="0" fillId="0" fontId="1" numFmtId="164" xfId="0" applyAlignment="1" applyFont="1" applyNumberFormat="1">
      <alignment horizontal="center" shrinkToFit="0" wrapText="0"/>
    </xf>
    <xf borderId="0" fillId="0" fontId="1" numFmtId="164" xfId="0" applyAlignment="1" applyFont="1" applyNumberFormat="1">
      <alignment horizontal="left" shrinkToFit="0" wrapText="0"/>
    </xf>
    <xf borderId="3" fillId="0" fontId="1" numFmtId="0" xfId="0" applyAlignment="1" applyBorder="1" applyFont="1">
      <alignment horizontal="left" shrinkToFit="0" wrapText="0"/>
    </xf>
    <xf borderId="0" fillId="0" fontId="1" numFmtId="170" xfId="0" applyAlignment="1" applyFont="1" applyNumberFormat="1">
      <alignment shrinkToFit="0" wrapText="0"/>
    </xf>
    <xf borderId="0" fillId="0" fontId="0" numFmtId="170" xfId="0" applyAlignment="1" applyFont="1" applyNumberFormat="1">
      <alignment shrinkToFit="0" wrapText="0"/>
    </xf>
    <xf borderId="0" fillId="0" fontId="0" numFmtId="170" xfId="0" applyAlignment="1" applyFont="1" applyNumberFormat="1">
      <alignment readingOrder="0" shrinkToFit="0" wrapText="0"/>
    </xf>
    <xf borderId="0" fillId="0" fontId="1" numFmtId="11" xfId="0" applyAlignment="1" applyFont="1" applyNumberFormat="1">
      <alignment shrinkToFit="0" wrapText="0"/>
    </xf>
    <xf borderId="12" fillId="0" fontId="1" numFmtId="166" xfId="0" applyAlignment="1" applyBorder="1" applyFont="1" applyNumberFormat="1">
      <alignment shrinkToFit="0" wrapText="0"/>
    </xf>
    <xf borderId="0" fillId="0" fontId="20" numFmtId="10" xfId="0" applyFont="1" applyNumberFormat="1"/>
    <xf borderId="0" fillId="0" fontId="1" numFmtId="21" xfId="0" applyAlignment="1" applyFont="1" applyNumberFormat="1">
      <alignment shrinkToFit="0" wrapText="0"/>
    </xf>
    <xf borderId="4" fillId="0" fontId="1" numFmtId="170" xfId="0" applyAlignment="1" applyBorder="1" applyFont="1" applyNumberFormat="1">
      <alignment shrinkToFit="0" wrapText="0"/>
    </xf>
    <xf borderId="10" fillId="0" fontId="1" numFmtId="166" xfId="0" applyAlignment="1" applyBorder="1" applyFont="1" applyNumberFormat="1">
      <alignment shrinkToFit="0" wrapText="0"/>
    </xf>
    <xf borderId="0" fillId="8" fontId="24" numFmtId="0" xfId="0" applyAlignment="1" applyFont="1">
      <alignment horizontal="left" readingOrder="0" shrinkToFit="0" wrapText="0"/>
    </xf>
    <xf borderId="0" fillId="0" fontId="1" numFmtId="10" xfId="0" applyAlignment="1" applyFont="1" applyNumberFormat="1">
      <alignment shrinkToFit="0" wrapText="0"/>
    </xf>
    <xf borderId="0" fillId="0" fontId="1" numFmtId="164" xfId="0" applyAlignment="1" applyFont="1" applyNumberFormat="1">
      <alignment readingOrder="0" shrinkToFit="0" wrapText="0"/>
    </xf>
    <xf borderId="0" fillId="0" fontId="20" numFmtId="171" xfId="0" applyAlignment="1" applyFont="1" applyNumberFormat="1">
      <alignment readingOrder="0"/>
    </xf>
    <xf borderId="0" fillId="0" fontId="1" numFmtId="14" xfId="0" applyAlignment="1" applyFont="1" applyNumberFormat="1">
      <alignment readingOrder="0" shrinkToFit="0" wrapText="0"/>
    </xf>
    <xf borderId="0" fillId="0" fontId="25" numFmtId="10" xfId="0" applyAlignment="1" applyFont="1" applyNumberFormat="1">
      <alignment shrinkToFit="0" wrapText="0"/>
    </xf>
    <xf borderId="0" fillId="0" fontId="1" numFmtId="0" xfId="0" applyAlignment="1" applyFont="1">
      <alignment horizontal="left" readingOrder="0" shrinkToFit="0" wrapText="0"/>
    </xf>
    <xf borderId="0" fillId="0" fontId="6" numFmtId="10" xfId="0" applyAlignment="1" applyFont="1" applyNumberFormat="1">
      <alignment shrinkToFit="0" wrapText="0"/>
    </xf>
    <xf borderId="0" fillId="0" fontId="6" numFmtId="0" xfId="0" applyAlignment="1" applyFont="1">
      <alignment readingOrder="0" shrinkToFit="0" wrapText="0"/>
    </xf>
    <xf borderId="0" fillId="0" fontId="26" numFmtId="170" xfId="0" applyAlignment="1" applyFont="1" applyNumberFormat="1">
      <alignment horizontal="right" readingOrder="0" shrinkToFit="0" vertical="bottom" wrapText="0"/>
    </xf>
    <xf borderId="12" fillId="0" fontId="1" numFmtId="166" xfId="0" applyAlignment="1" applyBorder="1" applyFont="1" applyNumberFormat="1">
      <alignment readingOrder="0" shrinkToFit="0" wrapText="0"/>
    </xf>
    <xf borderId="0" fillId="0" fontId="1" numFmtId="170" xfId="0" applyAlignment="1" applyFont="1" applyNumberFormat="1">
      <alignment readingOrder="0" shrinkToFit="0" wrapText="0"/>
    </xf>
    <xf borderId="0" fillId="0" fontId="20" numFmtId="166" xfId="0" applyAlignment="1" applyFont="1" applyNumberFormat="1">
      <alignment readingOrder="0"/>
    </xf>
    <xf borderId="0" fillId="0" fontId="26" numFmtId="10" xfId="0" applyAlignment="1" applyFont="1" applyNumberFormat="1">
      <alignment horizontal="right" readingOrder="0" shrinkToFit="0" vertical="bottom" wrapText="0"/>
    </xf>
    <xf borderId="4" fillId="0" fontId="1" numFmtId="170" xfId="0" applyAlignment="1" applyBorder="1" applyFont="1" applyNumberFormat="1">
      <alignment readingOrder="0" shrinkToFit="0" wrapText="0"/>
    </xf>
    <xf borderId="10" fillId="0" fontId="1" numFmtId="166" xfId="0" applyAlignment="1" applyBorder="1" applyFont="1" applyNumberFormat="1">
      <alignment readingOrder="0" shrinkToFit="0" wrapText="0"/>
    </xf>
    <xf borderId="0" fillId="0" fontId="6" numFmtId="10" xfId="0" applyAlignment="1" applyFont="1" applyNumberFormat="1">
      <alignment readingOrder="0" shrinkToFit="0" wrapText="0"/>
    </xf>
    <xf borderId="2" fillId="9" fontId="1" numFmtId="0" xfId="0" applyAlignment="1" applyBorder="1" applyFont="1">
      <alignment horizontal="center" readingOrder="0" shrinkToFit="0" wrapText="0"/>
    </xf>
    <xf borderId="0" fillId="0" fontId="0" numFmtId="10" xfId="0" applyAlignment="1" applyFont="1" applyNumberFormat="1">
      <alignment readingOrder="0" shrinkToFit="0" wrapText="0"/>
    </xf>
    <xf borderId="13" fillId="2" fontId="1" numFmtId="170" xfId="0" applyAlignment="1" applyBorder="1" applyFont="1" applyNumberFormat="1">
      <alignment shrinkToFit="0" wrapText="0"/>
    </xf>
    <xf borderId="8" fillId="0" fontId="1" numFmtId="166" xfId="0" applyAlignment="1" applyBorder="1" applyFont="1" applyNumberFormat="1">
      <alignment shrinkToFit="0" wrapText="0"/>
    </xf>
    <xf borderId="14" fillId="2" fontId="1" numFmtId="170" xfId="0" applyAlignment="1" applyBorder="1" applyFont="1" applyNumberFormat="1">
      <alignment shrinkToFit="0" wrapText="0"/>
    </xf>
    <xf borderId="15" fillId="2" fontId="1" numFmtId="170" xfId="0" applyAlignment="1" applyBorder="1" applyFont="1" applyNumberFormat="1">
      <alignment shrinkToFit="0" wrapText="0"/>
    </xf>
    <xf borderId="7" fillId="0" fontId="1" numFmtId="170" xfId="0" applyAlignment="1" applyBorder="1" applyFont="1" applyNumberFormat="1">
      <alignment shrinkToFit="0" wrapText="0"/>
    </xf>
    <xf borderId="5" fillId="2" fontId="1" numFmtId="170" xfId="0" applyAlignment="1" applyBorder="1" applyFont="1" applyNumberFormat="1">
      <alignment shrinkToFit="0" wrapText="0"/>
    </xf>
    <xf borderId="0" fillId="8" fontId="27" numFmtId="0" xfId="0" applyAlignment="1" applyFont="1">
      <alignment readingOrder="0" shrinkToFit="0" wrapText="0"/>
    </xf>
    <xf borderId="3" fillId="0" fontId="1" numFmtId="0" xfId="0" applyAlignment="1" applyBorder="1" applyFont="1">
      <alignment horizontal="left" readingOrder="0" shrinkToFit="0" wrapText="0"/>
    </xf>
    <xf borderId="0" fillId="0" fontId="0" numFmtId="1" xfId="0" applyAlignment="1" applyFont="1" applyNumberFormat="1">
      <alignment shrinkToFit="0" wrapText="0"/>
    </xf>
    <xf borderId="16" fillId="0" fontId="1" numFmtId="0" xfId="0" applyAlignment="1" applyBorder="1" applyFont="1">
      <alignment horizontal="left" readingOrder="0" shrinkToFit="0" wrapText="0"/>
    </xf>
    <xf borderId="17" fillId="0" fontId="1" numFmtId="170" xfId="0" applyAlignment="1" applyBorder="1" applyFont="1" applyNumberFormat="1">
      <alignment shrinkToFit="0" wrapText="0"/>
    </xf>
    <xf borderId="18" fillId="0" fontId="1" numFmtId="166" xfId="0" applyAlignment="1" applyBorder="1" applyFont="1" applyNumberFormat="1">
      <alignment shrinkToFit="0" wrapText="0"/>
    </xf>
    <xf borderId="0" fillId="0" fontId="7" numFmtId="10" xfId="0" applyAlignment="1" applyFont="1" applyNumberFormat="1">
      <alignment shrinkToFit="0" wrapText="0"/>
    </xf>
    <xf borderId="0" fillId="0" fontId="1" numFmtId="9" xfId="0" applyAlignment="1" applyFont="1" applyNumberFormat="1">
      <alignment shrinkToFit="0" wrapText="0"/>
    </xf>
    <xf borderId="0" fillId="0" fontId="1" numFmtId="0" xfId="0" applyAlignment="1" applyFont="1">
      <alignment readingOrder="0" shrinkToFit="0" wrapText="0"/>
    </xf>
    <xf borderId="0" fillId="0" fontId="1" numFmtId="172" xfId="0" applyAlignment="1" applyFont="1" applyNumberFormat="1">
      <alignment shrinkToFit="0" wrapText="0"/>
    </xf>
    <xf borderId="19" fillId="9" fontId="1" numFmtId="0" xfId="0" applyAlignment="1" applyBorder="1" applyFont="1">
      <alignment shrinkToFit="0" wrapText="0"/>
    </xf>
    <xf borderId="13" fillId="9" fontId="1" numFmtId="0" xfId="0" applyAlignment="1" applyBorder="1" applyFont="1">
      <alignment shrinkToFit="0" wrapText="0"/>
    </xf>
    <xf borderId="13" fillId="9" fontId="1" numFmtId="172" xfId="0" applyAlignment="1" applyBorder="1" applyFont="1" applyNumberFormat="1">
      <alignment shrinkToFit="0" wrapText="0"/>
    </xf>
    <xf borderId="13" fillId="9" fontId="1" numFmtId="0" xfId="0" applyAlignment="1" applyBorder="1" applyFont="1">
      <alignment readingOrder="0" shrinkToFit="0" wrapText="0"/>
    </xf>
    <xf borderId="20" fillId="9" fontId="1" numFmtId="0" xfId="0" applyAlignment="1" applyBorder="1" applyFont="1">
      <alignment shrinkToFit="0" wrapText="0"/>
    </xf>
    <xf borderId="12" fillId="0" fontId="1" numFmtId="0" xfId="0" applyAlignment="1" applyBorder="1" applyFont="1">
      <alignment shrinkToFit="0" wrapText="0"/>
    </xf>
    <xf borderId="3" fillId="0" fontId="1" numFmtId="173" xfId="0" applyAlignment="1" applyBorder="1" applyFont="1" applyNumberFormat="1">
      <alignment shrinkToFit="0" wrapText="0"/>
    </xf>
    <xf borderId="0" fillId="0" fontId="28" numFmtId="0" xfId="0" applyAlignment="1" applyFont="1">
      <alignment readingOrder="0" shrinkToFit="0" vertical="bottom" wrapText="0"/>
    </xf>
    <xf borderId="0" fillId="0" fontId="28" numFmtId="14" xfId="0" applyAlignment="1" applyFont="1" applyNumberFormat="1">
      <alignment horizontal="right" readingOrder="0" shrinkToFit="0" vertical="bottom" wrapText="0"/>
    </xf>
    <xf borderId="0" fillId="2" fontId="28" numFmtId="4" xfId="0" applyAlignment="1" applyFont="1" applyNumberFormat="1">
      <alignment horizontal="right" readingOrder="0" shrinkToFit="0" vertical="bottom" wrapText="0"/>
    </xf>
    <xf borderId="0" fillId="2" fontId="28" numFmtId="0" xfId="0" applyAlignment="1" applyFont="1">
      <alignment horizontal="right" readingOrder="0" shrinkToFit="0" vertical="bottom" wrapText="0"/>
    </xf>
    <xf borderId="0" fillId="0" fontId="28" numFmtId="10" xfId="0" applyAlignment="1" applyFont="1" applyNumberFormat="1">
      <alignment horizontal="right" readingOrder="0" shrinkToFit="0" vertical="bottom" wrapText="0"/>
    </xf>
    <xf borderId="0" fillId="0" fontId="28" numFmtId="0" xfId="0" applyAlignment="1" applyFont="1">
      <alignment horizontal="right" readingOrder="0" shrinkToFit="0" vertical="bottom" wrapText="0"/>
    </xf>
    <xf borderId="12" fillId="0" fontId="1" numFmtId="10" xfId="0" applyAlignment="1" applyBorder="1" applyFont="1" applyNumberFormat="1">
      <alignment shrinkToFit="0" wrapText="0"/>
    </xf>
    <xf borderId="0" fillId="2" fontId="29" numFmtId="4" xfId="0" applyAlignment="1" applyFont="1" applyNumberFormat="1">
      <alignment horizontal="right" readingOrder="0" shrinkToFit="0" vertical="bottom" wrapText="0"/>
    </xf>
    <xf borderId="0" fillId="0" fontId="29" numFmtId="4" xfId="0" applyAlignment="1" applyFont="1" applyNumberFormat="1">
      <alignment horizontal="right" readingOrder="0" shrinkToFit="0" vertical="bottom" wrapText="0"/>
    </xf>
    <xf borderId="0" fillId="0" fontId="20" numFmtId="4" xfId="0" applyAlignment="1" applyFont="1" applyNumberFormat="1">
      <alignment readingOrder="0"/>
    </xf>
    <xf borderId="4" fillId="0" fontId="1" numFmtId="10" xfId="0" applyAlignment="1" applyBorder="1" applyFont="1" applyNumberFormat="1">
      <alignment shrinkToFit="0" wrapText="0"/>
    </xf>
    <xf borderId="3" fillId="0" fontId="1" numFmtId="0" xfId="0" applyAlignment="1" applyBorder="1" applyFont="1">
      <alignment readingOrder="0" shrinkToFit="0" wrapText="0"/>
    </xf>
    <xf borderId="13" fillId="9" fontId="1" numFmtId="172" xfId="0" applyAlignment="1" applyBorder="1" applyFont="1" applyNumberFormat="1">
      <alignment readingOrder="0" shrinkToFit="0" wrapText="0"/>
    </xf>
    <xf borderId="0" fillId="0" fontId="20" numFmtId="174" xfId="0" applyFont="1" applyNumberFormat="1"/>
    <xf borderId="12" fillId="0" fontId="26" numFmtId="0" xfId="0" applyAlignment="1" applyBorder="1" applyFont="1">
      <alignment vertical="bottom"/>
    </xf>
    <xf borderId="0" fillId="0" fontId="26" numFmtId="173" xfId="0" applyAlignment="1" applyFont="1" applyNumberFormat="1">
      <alignment horizontal="right" shrinkToFit="0" vertical="bottom" wrapText="0"/>
    </xf>
    <xf borderId="0" fillId="0" fontId="26" numFmtId="10" xfId="0" applyAlignment="1" applyFont="1" applyNumberFormat="1">
      <alignment horizontal="right" shrinkToFit="0" vertical="bottom" wrapText="0"/>
    </xf>
    <xf borderId="0" fillId="0" fontId="26" numFmtId="0" xfId="0" applyAlignment="1" applyFont="1">
      <alignment vertical="bottom"/>
    </xf>
    <xf borderId="0" fillId="0" fontId="26" numFmtId="170" xfId="0" applyAlignment="1" applyFont="1" applyNumberFormat="1">
      <alignment horizontal="right" shrinkToFit="0" vertical="bottom" wrapText="0"/>
    </xf>
    <xf borderId="12" fillId="0" fontId="26" numFmtId="10" xfId="0" applyAlignment="1" applyBorder="1" applyFont="1" applyNumberFormat="1">
      <alignment vertical="bottom"/>
    </xf>
    <xf borderId="0" fillId="0" fontId="26" numFmtId="174" xfId="0" applyAlignment="1" applyFont="1" applyNumberFormat="1">
      <alignment horizontal="right" vertical="bottom"/>
    </xf>
    <xf borderId="0" fillId="0" fontId="26" numFmtId="10" xfId="0" applyAlignment="1" applyFont="1" applyNumberFormat="1">
      <alignment horizontal="right" vertical="bottom"/>
    </xf>
    <xf borderId="0" fillId="0" fontId="26" numFmtId="10" xfId="0" applyAlignment="1" applyFont="1" applyNumberFormat="1">
      <alignment vertical="bottom"/>
    </xf>
    <xf borderId="0" fillId="0" fontId="26" numFmtId="166" xfId="0" applyAlignment="1" applyFont="1" applyNumberFormat="1">
      <alignment vertical="bottom"/>
    </xf>
    <xf borderId="0" fillId="0" fontId="26" numFmtId="174" xfId="0" applyAlignment="1" applyFont="1" applyNumberFormat="1">
      <alignment horizontal="right" vertical="bottom"/>
    </xf>
    <xf borderId="0" fillId="0" fontId="26" numFmtId="10" xfId="0" applyAlignment="1" applyFont="1" applyNumberFormat="1">
      <alignment horizontal="right" vertical="bottom"/>
    </xf>
    <xf borderId="0" fillId="0" fontId="1" numFmtId="164" xfId="0" applyAlignment="1" applyFont="1" applyNumberFormat="1">
      <alignment shrinkToFit="0" wrapText="0"/>
    </xf>
    <xf borderId="0" fillId="0" fontId="30" numFmtId="14" xfId="0" applyAlignment="1" applyFont="1" applyNumberFormat="1">
      <alignment vertical="bottom"/>
    </xf>
    <xf borderId="0" fillId="0" fontId="26" numFmtId="0" xfId="0" applyAlignment="1" applyFont="1">
      <alignment vertical="bottom"/>
    </xf>
    <xf borderId="0" fillId="0" fontId="30" numFmtId="0" xfId="0" applyAlignment="1" applyFont="1">
      <alignment vertical="bottom"/>
    </xf>
    <xf borderId="0" fillId="0" fontId="26" numFmtId="173" xfId="0" applyAlignment="1" applyFont="1" applyNumberFormat="1">
      <alignment horizontal="right" vertical="bottom"/>
    </xf>
    <xf borderId="0" fillId="0" fontId="26" numFmtId="170" xfId="0" applyAlignment="1" applyFont="1" applyNumberFormat="1">
      <alignment horizontal="right" vertical="bottom"/>
    </xf>
    <xf borderId="0" fillId="0" fontId="26" numFmtId="14" xfId="0" applyAlignment="1" applyFont="1" applyNumberFormat="1">
      <alignment vertical="bottom"/>
    </xf>
    <xf borderId="0" fillId="0" fontId="7" numFmtId="0" xfId="0" applyAlignment="1" applyFont="1">
      <alignment readingOrder="0" shrinkToFit="0" wrapText="0"/>
    </xf>
    <xf borderId="0" fillId="0" fontId="1" numFmtId="169" xfId="0" applyAlignment="1" applyFont="1" applyNumberFormat="1">
      <alignment horizontal="center" readingOrder="0" shrinkToFit="0" wrapText="0"/>
    </xf>
    <xf borderId="0" fillId="0" fontId="1" numFmtId="167" xfId="0" applyAlignment="1" applyFont="1" applyNumberFormat="1">
      <alignment readingOrder="0" shrinkToFit="0" wrapText="0"/>
    </xf>
    <xf borderId="0" fillId="2" fontId="1" numFmtId="175" xfId="0" applyAlignment="1" applyFont="1" applyNumberFormat="1">
      <alignment readingOrder="0" shrinkToFit="0" wrapText="0"/>
    </xf>
    <xf borderId="0" fillId="2" fontId="20" numFmtId="175" xfId="0" applyAlignment="1" applyFont="1" applyNumberFormat="1">
      <alignment readingOrder="0"/>
    </xf>
    <xf borderId="6" fillId="0" fontId="1" numFmtId="0" xfId="0" applyAlignment="1" applyBorder="1" applyFont="1">
      <alignment readingOrder="0" shrinkToFit="0" wrapText="0"/>
    </xf>
    <xf borderId="7" fillId="0" fontId="1" numFmtId="2" xfId="0" applyAlignment="1" applyBorder="1" applyFont="1" applyNumberFormat="1">
      <alignment shrinkToFit="0" wrapText="0"/>
    </xf>
    <xf borderId="8" fillId="2" fontId="1" numFmtId="176" xfId="0" applyAlignment="1" applyBorder="1" applyFont="1" applyNumberFormat="1">
      <alignment readingOrder="0" shrinkToFit="0" wrapText="0"/>
    </xf>
    <xf borderId="0" fillId="5" fontId="31" numFmtId="0" xfId="0" applyAlignment="1" applyFill="1" applyFont="1">
      <alignment readingOrder="0"/>
    </xf>
    <xf borderId="0" fillId="0" fontId="20" numFmtId="14" xfId="0" applyAlignment="1" applyFont="1" applyNumberFormat="1">
      <alignment readingOrder="0"/>
    </xf>
    <xf borderId="3" fillId="0" fontId="1" numFmtId="0" xfId="0" applyAlignment="1" applyBorder="1" applyFont="1">
      <alignment readingOrder="0" shrinkToFit="0" wrapText="0"/>
    </xf>
    <xf borderId="12" fillId="2" fontId="1" numFmtId="176" xfId="0" applyAlignment="1" applyBorder="1" applyFont="1" applyNumberFormat="1">
      <alignment readingOrder="0" shrinkToFit="0" wrapText="0"/>
    </xf>
    <xf borderId="0" fillId="0" fontId="20" numFmtId="0" xfId="0" applyAlignment="1" applyFont="1">
      <alignment vertical="bottom"/>
    </xf>
    <xf borderId="16" fillId="0" fontId="1" numFmtId="0" xfId="0" applyAlignment="1" applyBorder="1" applyFont="1">
      <alignment readingOrder="0" shrinkToFit="0" wrapText="0"/>
    </xf>
    <xf borderId="17" fillId="0" fontId="1" numFmtId="0" xfId="0" applyAlignment="1" applyBorder="1" applyFont="1">
      <alignment shrinkToFit="0" wrapText="0"/>
    </xf>
    <xf borderId="17" fillId="0" fontId="1" numFmtId="2" xfId="0" applyAlignment="1" applyBorder="1" applyFont="1" applyNumberFormat="1">
      <alignment shrinkToFit="0" wrapText="0"/>
    </xf>
    <xf borderId="18" fillId="2" fontId="1" numFmtId="176" xfId="0" applyAlignment="1" applyBorder="1" applyFont="1" applyNumberFormat="1">
      <alignment horizontal="center" shrinkToFit="0" wrapText="0"/>
    </xf>
    <xf borderId="6" fillId="0" fontId="7" numFmtId="0" xfId="0" applyAlignment="1" applyBorder="1" applyFont="1">
      <alignment readingOrder="0" shrinkToFit="0" wrapText="0"/>
    </xf>
    <xf borderId="7" fillId="0" fontId="1" numFmtId="0" xfId="0" applyAlignment="1" applyBorder="1" applyFont="1">
      <alignment shrinkToFit="0" wrapText="0"/>
    </xf>
    <xf borderId="8" fillId="0" fontId="20" numFmtId="0" xfId="0" applyBorder="1" applyFont="1"/>
    <xf borderId="6" fillId="0" fontId="7" numFmtId="0" xfId="0" applyAlignment="1" applyBorder="1" applyFont="1">
      <alignment readingOrder="0" shrinkToFit="0" wrapText="0"/>
    </xf>
    <xf borderId="7" fillId="0" fontId="32" numFmtId="0" xfId="0" applyAlignment="1" applyBorder="1" applyFont="1">
      <alignment readingOrder="0" shrinkToFit="0" wrapText="0"/>
    </xf>
    <xf borderId="8" fillId="0" fontId="32" numFmtId="2" xfId="0" applyAlignment="1" applyBorder="1" applyFont="1" applyNumberFormat="1">
      <alignment shrinkToFit="0" wrapText="0"/>
    </xf>
    <xf borderId="0" fillId="0" fontId="33" numFmtId="0" xfId="0" applyFont="1"/>
    <xf borderId="0" fillId="0" fontId="33" numFmtId="0" xfId="0" applyAlignment="1" applyFont="1">
      <alignment readingOrder="0"/>
    </xf>
    <xf borderId="3" fillId="0" fontId="20" numFmtId="0" xfId="0" applyAlignment="1" applyBorder="1" applyFont="1">
      <alignment readingOrder="0"/>
    </xf>
    <xf borderId="12" fillId="0" fontId="20" numFmtId="0" xfId="0" applyBorder="1" applyFont="1"/>
    <xf borderId="3" fillId="0" fontId="7" numFmtId="14" xfId="0" applyAlignment="1" applyBorder="1" applyFont="1" applyNumberFormat="1">
      <alignment shrinkToFit="0" wrapText="0"/>
    </xf>
    <xf borderId="3" fillId="0" fontId="34" numFmtId="0" xfId="0" applyAlignment="1" applyBorder="1" applyFont="1">
      <alignment shrinkToFit="0" vertical="bottom" wrapText="0"/>
    </xf>
    <xf borderId="6" fillId="0" fontId="20" numFmtId="0" xfId="0" applyAlignment="1" applyBorder="1" applyFont="1">
      <alignment readingOrder="0"/>
    </xf>
    <xf borderId="7" fillId="0" fontId="1" numFmtId="169" xfId="0" applyAlignment="1" applyBorder="1" applyFont="1" applyNumberFormat="1">
      <alignment readingOrder="0" shrinkToFit="0" wrapText="0"/>
    </xf>
    <xf borderId="8" fillId="0" fontId="1" numFmtId="169" xfId="0" applyAlignment="1" applyBorder="1" applyFont="1" applyNumberFormat="1">
      <alignment readingOrder="0" shrinkToFit="0" wrapText="0"/>
    </xf>
    <xf borderId="3" fillId="0" fontId="34" numFmtId="167" xfId="0" applyAlignment="1" applyBorder="1" applyFont="1" applyNumberFormat="1">
      <alignment readingOrder="0" shrinkToFit="0" vertical="bottom" wrapText="0"/>
    </xf>
    <xf borderId="0" fillId="0" fontId="34" numFmtId="0" xfId="0" applyAlignment="1" applyFont="1">
      <alignment readingOrder="0" shrinkToFit="0" vertical="bottom" wrapText="0"/>
    </xf>
    <xf borderId="3" fillId="0" fontId="1" numFmtId="169" xfId="0" applyAlignment="1" applyBorder="1" applyFont="1" applyNumberFormat="1">
      <alignment horizontal="center" readingOrder="0" shrinkToFit="0" wrapText="0"/>
    </xf>
    <xf borderId="0" fillId="0" fontId="20" numFmtId="177" xfId="0" applyAlignment="1" applyFont="1" applyNumberFormat="1">
      <alignment horizontal="center" readingOrder="0"/>
    </xf>
    <xf borderId="12" fillId="0" fontId="20" numFmtId="177" xfId="0" applyAlignment="1" applyBorder="1" applyFont="1" applyNumberFormat="1">
      <alignment horizontal="center" readingOrder="0"/>
    </xf>
    <xf borderId="0" fillId="0" fontId="7" numFmtId="14" xfId="0" applyAlignment="1" applyFont="1" applyNumberFormat="1">
      <alignment shrinkToFit="0" wrapText="0"/>
    </xf>
    <xf borderId="3" fillId="0" fontId="1" numFmtId="0" xfId="0" applyAlignment="1" applyBorder="1" applyFont="1">
      <alignment shrinkToFit="0" wrapText="0"/>
    </xf>
    <xf borderId="0" fillId="0" fontId="35" numFmtId="177" xfId="0" applyAlignment="1" applyFont="1" applyNumberFormat="1">
      <alignment horizontal="center" readingOrder="0"/>
    </xf>
    <xf borderId="0" fillId="0" fontId="36" numFmtId="0" xfId="0" applyAlignment="1" applyFont="1">
      <alignment readingOrder="0" shrinkToFit="0" vertical="bottom" wrapText="0"/>
    </xf>
    <xf borderId="3" fillId="0" fontId="1" numFmtId="0" xfId="0" applyAlignment="1" applyBorder="1" applyFont="1">
      <alignment horizontal="center" readingOrder="0" shrinkToFit="0" wrapText="0"/>
    </xf>
    <xf borderId="3" fillId="0" fontId="34" numFmtId="167" xfId="0" applyAlignment="1" applyBorder="1" applyFont="1" applyNumberFormat="1">
      <alignment shrinkToFit="0" vertical="bottom" wrapText="0"/>
    </xf>
    <xf borderId="0" fillId="0" fontId="34" numFmtId="0" xfId="0" applyAlignment="1" applyFont="1">
      <alignment shrinkToFit="0" vertical="bottom" wrapText="0"/>
    </xf>
    <xf borderId="9" fillId="0" fontId="1" numFmtId="169" xfId="0" applyAlignment="1" applyBorder="1" applyFont="1" applyNumberFormat="1">
      <alignment horizontal="center" readingOrder="0" shrinkToFit="0" wrapText="0"/>
    </xf>
    <xf borderId="4" fillId="0" fontId="20" numFmtId="177" xfId="0" applyAlignment="1" applyBorder="1" applyFont="1" applyNumberFormat="1">
      <alignment horizontal="center" readingOrder="0"/>
    </xf>
    <xf borderId="10" fillId="0" fontId="20" numFmtId="177" xfId="0" applyAlignment="1" applyBorder="1" applyFont="1" applyNumberFormat="1">
      <alignment horizontal="center" readingOrder="0"/>
    </xf>
    <xf borderId="3" fillId="0" fontId="20" numFmtId="0" xfId="0" applyBorder="1" applyFont="1"/>
    <xf borderId="0" fillId="0" fontId="34" numFmtId="9" xfId="0" applyAlignment="1" applyFont="1" applyNumberFormat="1">
      <alignment readingOrder="0" shrinkToFit="0" vertical="bottom" wrapText="0"/>
    </xf>
    <xf borderId="9" fillId="0" fontId="20" numFmtId="0" xfId="0" applyAlignment="1" applyBorder="1" applyFont="1">
      <alignment readingOrder="0"/>
    </xf>
    <xf borderId="10" fillId="0" fontId="20" numFmtId="0" xfId="0" applyBorder="1" applyFont="1"/>
    <xf borderId="9" fillId="0" fontId="20" numFmtId="0" xfId="0" applyBorder="1" applyFont="1"/>
    <xf borderId="9" fillId="0" fontId="1" numFmtId="0" xfId="0" applyAlignment="1" applyBorder="1" applyFont="1">
      <alignment readingOrder="0" shrinkToFit="0" wrapText="0"/>
    </xf>
    <xf borderId="4" fillId="0" fontId="1" numFmtId="165" xfId="0" applyAlignment="1" applyBorder="1" applyFont="1" applyNumberFormat="1">
      <alignment readingOrder="0" shrinkToFit="0" wrapText="0"/>
    </xf>
    <xf borderId="4" fillId="0" fontId="1" numFmtId="0" xfId="0" applyAlignment="1" applyBorder="1" applyFont="1">
      <alignment shrinkToFit="0" wrapText="0"/>
    </xf>
    <xf borderId="10" fillId="0" fontId="1" numFmtId="0" xfId="0" applyAlignment="1" applyBorder="1" applyFont="1">
      <alignment shrinkToFit="0" wrapText="0"/>
    </xf>
    <xf borderId="4" fillId="0" fontId="1" numFmtId="167" xfId="0" applyAlignment="1" applyBorder="1" applyFont="1" applyNumberFormat="1">
      <alignment readingOrder="0" shrinkToFit="0" wrapText="0"/>
    </xf>
    <xf borderId="0" fillId="0" fontId="1" numFmtId="0" xfId="0" applyAlignment="1" applyFont="1">
      <alignment horizontal="center" readingOrder="0" shrinkToFit="0" wrapText="0"/>
    </xf>
    <xf borderId="21" fillId="0" fontId="1" numFmtId="0" xfId="0" applyAlignment="1" applyBorder="1" applyFont="1">
      <alignment horizontal="center" readingOrder="0" shrinkToFit="0" wrapText="0"/>
    </xf>
    <xf borderId="16" fillId="0" fontId="7" numFmtId="0" xfId="0" applyAlignment="1" applyBorder="1" applyFont="1">
      <alignment readingOrder="0" shrinkToFit="0" wrapText="0"/>
    </xf>
    <xf borderId="18" fillId="0" fontId="7" numFmtId="166" xfId="0" applyAlignment="1" applyBorder="1" applyFont="1" applyNumberFormat="1">
      <alignment readingOrder="0" shrinkToFit="0" wrapText="0"/>
    </xf>
    <xf borderId="22" fillId="2" fontId="1" numFmtId="3" xfId="0" applyAlignment="1" applyBorder="1" applyFont="1" applyNumberFormat="1">
      <alignment readingOrder="0" shrinkToFit="0" wrapText="0"/>
    </xf>
    <xf borderId="23" fillId="2" fontId="20" numFmtId="10" xfId="0" applyAlignment="1" applyBorder="1" applyFont="1" applyNumberFormat="1">
      <alignment horizontal="center" readingOrder="0"/>
    </xf>
    <xf borderId="0" fillId="0" fontId="1" numFmtId="169" xfId="0" applyAlignment="1" applyFont="1" applyNumberFormat="1">
      <alignment readingOrder="0" shrinkToFit="0" wrapText="0"/>
    </xf>
    <xf borderId="0" fillId="0" fontId="37" numFmtId="14" xfId="0" applyAlignment="1" applyFont="1" applyNumberFormat="1">
      <alignment horizontal="center" shrinkToFit="0" wrapText="1"/>
    </xf>
    <xf borderId="0" fillId="0" fontId="38" numFmtId="0" xfId="0" applyAlignment="1" applyFont="1">
      <alignment horizontal="center" shrinkToFit="0" wrapText="1"/>
    </xf>
    <xf borderId="24" fillId="0" fontId="39" numFmtId="0" xfId="0" applyAlignment="1" applyBorder="1" applyFont="1">
      <alignment horizontal="center" shrinkToFit="0" wrapText="1"/>
    </xf>
    <xf borderId="0" fillId="0" fontId="40" numFmtId="0" xfId="0" applyAlignment="1" applyFont="1">
      <alignment horizontal="center" readingOrder="0" shrinkToFit="0" wrapText="1"/>
    </xf>
    <xf borderId="0" fillId="0" fontId="41" numFmtId="3" xfId="0" applyAlignment="1" applyFont="1" applyNumberFormat="1">
      <alignment horizontal="center" readingOrder="0" shrinkToFit="0" wrapText="1"/>
    </xf>
    <xf borderId="0" fillId="0" fontId="42" numFmtId="0" xfId="0" applyAlignment="1" applyFont="1">
      <alignment horizontal="center" readingOrder="0" shrinkToFit="0" wrapText="1"/>
    </xf>
    <xf borderId="0" fillId="0" fontId="43" numFmtId="0" xfId="0" applyAlignment="1" applyFont="1">
      <alignment horizontal="center" readingOrder="0" shrinkToFit="0" wrapText="1"/>
    </xf>
    <xf borderId="24" fillId="0" fontId="44" numFmtId="0" xfId="0" applyAlignment="1" applyBorder="1" applyFont="1">
      <alignment horizontal="center" readingOrder="0" shrinkToFit="0" wrapText="1"/>
    </xf>
    <xf borderId="25" fillId="0" fontId="45" numFmtId="0" xfId="0" applyAlignment="1" applyBorder="1" applyFont="1">
      <alignment horizontal="center" readingOrder="0" shrinkToFit="0" wrapText="1"/>
    </xf>
    <xf borderId="0" fillId="0" fontId="46" numFmtId="0" xfId="0" applyAlignment="1" applyFont="1">
      <alignment horizontal="center" readingOrder="0" shrinkToFit="0" wrapText="1"/>
    </xf>
    <xf borderId="0" fillId="0" fontId="47" numFmtId="0" xfId="0" applyAlignment="1" applyFont="1">
      <alignment horizontal="center" readingOrder="0" shrinkToFit="0" wrapText="1"/>
    </xf>
    <xf borderId="0" fillId="0" fontId="48" numFmtId="0" xfId="0" applyAlignment="1" applyFont="1">
      <alignment horizontal="center" readingOrder="0" shrinkToFit="0" wrapText="1"/>
    </xf>
    <xf borderId="0" fillId="0" fontId="1" numFmtId="14" xfId="0" applyAlignment="1" applyFont="1" applyNumberFormat="1">
      <alignment horizontal="center" shrinkToFit="0" wrapText="0"/>
    </xf>
    <xf borderId="24" fillId="2" fontId="1" numFmtId="0" xfId="0" applyAlignment="1" applyBorder="1" applyFont="1">
      <alignment horizontal="center" readingOrder="0" shrinkToFit="0" wrapText="0"/>
    </xf>
    <xf borderId="0" fillId="0" fontId="1" numFmtId="177" xfId="0" applyAlignment="1" applyFont="1" applyNumberFormat="1">
      <alignment horizontal="center" shrinkToFit="0" wrapText="0"/>
    </xf>
    <xf borderId="0" fillId="2" fontId="20" numFmtId="3" xfId="0" applyAlignment="1" applyFont="1" applyNumberFormat="1">
      <alignment horizontal="center" readingOrder="0"/>
    </xf>
    <xf borderId="0" fillId="0" fontId="1" numFmtId="177" xfId="0" applyAlignment="1" applyFont="1" applyNumberFormat="1">
      <alignment horizontal="center" readingOrder="0" shrinkToFit="0" wrapText="0"/>
    </xf>
    <xf borderId="0" fillId="2" fontId="20" numFmtId="177" xfId="0" applyAlignment="1" applyFont="1" applyNumberFormat="1">
      <alignment horizontal="center" readingOrder="0"/>
    </xf>
    <xf borderId="24" fillId="0" fontId="20" numFmtId="177" xfId="0" applyAlignment="1" applyBorder="1" applyFont="1" applyNumberFormat="1">
      <alignment horizontal="center" readingOrder="0"/>
    </xf>
    <xf borderId="0" fillId="0" fontId="1" numFmtId="177" xfId="0" applyAlignment="1" applyFont="1" applyNumberFormat="1">
      <alignment horizontal="center" shrinkToFit="0" wrapText="0"/>
    </xf>
    <xf borderId="25" fillId="0" fontId="20" numFmtId="177" xfId="0" applyAlignment="1" applyBorder="1" applyFont="1" applyNumberFormat="1">
      <alignment horizontal="center"/>
    </xf>
    <xf borderId="0" fillId="2" fontId="20" numFmtId="10" xfId="0" applyAlignment="1" applyFont="1" applyNumberFormat="1">
      <alignment horizontal="center" readingOrder="0"/>
    </xf>
    <xf borderId="0" fillId="0" fontId="20" numFmtId="4" xfId="0" applyAlignment="1" applyFont="1" applyNumberFormat="1">
      <alignment horizontal="center"/>
    </xf>
    <xf borderId="0" fillId="0" fontId="20" numFmtId="10" xfId="0" applyAlignment="1" applyFont="1" applyNumberFormat="1">
      <alignment horizontal="center" readingOrder="0"/>
    </xf>
    <xf borderId="0" fillId="0" fontId="20" numFmtId="3" xfId="0" applyAlignment="1" applyFont="1" applyNumberFormat="1">
      <alignment horizontal="center"/>
    </xf>
    <xf borderId="0" fillId="0" fontId="49" numFmtId="2" xfId="0" applyAlignment="1" applyFont="1" applyNumberFormat="1">
      <alignment horizontal="center" shrinkToFit="0" wrapText="0"/>
    </xf>
    <xf borderId="0" fillId="0" fontId="49" numFmtId="4" xfId="0" applyAlignment="1" applyFont="1" applyNumberFormat="1">
      <alignment horizontal="center" shrinkToFit="0" wrapText="0"/>
    </xf>
    <xf borderId="0" fillId="0" fontId="49" numFmtId="178" xfId="0" applyAlignment="1" applyFont="1" applyNumberFormat="1">
      <alignment horizontal="center" shrinkToFit="0" wrapText="0"/>
    </xf>
    <xf borderId="0" fillId="0" fontId="1" numFmtId="0" xfId="0" applyAlignment="1" applyFont="1">
      <alignment horizontal="center" readingOrder="0" shrinkToFit="0" wrapText="0"/>
    </xf>
    <xf borderId="0" fillId="0" fontId="20" numFmtId="3" xfId="0" applyAlignment="1" applyFont="1" applyNumberFormat="1">
      <alignment readingOrder="0"/>
    </xf>
    <xf borderId="0" fillId="0" fontId="1" numFmtId="177" xfId="0" applyAlignment="1" applyFont="1" applyNumberFormat="1">
      <alignment horizontal="center" shrinkToFit="0" wrapText="0"/>
    </xf>
    <xf borderId="24" fillId="2" fontId="1" numFmtId="0" xfId="0" applyAlignment="1" applyBorder="1" applyFont="1">
      <alignment horizontal="center" shrinkToFit="0" wrapText="0"/>
    </xf>
    <xf borderId="0" fillId="0" fontId="26" numFmtId="0" xfId="0" applyAlignment="1" applyFont="1">
      <alignment horizontal="center" shrinkToFit="0" vertical="bottom" wrapText="0"/>
    </xf>
    <xf borderId="0" fillId="0" fontId="26" numFmtId="0" xfId="0" applyAlignment="1" applyFont="1">
      <alignment horizontal="center" vertical="bottom"/>
    </xf>
    <xf borderId="24" fillId="2" fontId="26" numFmtId="0" xfId="0" applyAlignment="1" applyBorder="1" applyFont="1">
      <alignment horizontal="center" readingOrder="0" shrinkToFit="0" vertical="bottom" wrapText="0"/>
    </xf>
    <xf borderId="0" fillId="2" fontId="20" numFmtId="0" xfId="0" applyAlignment="1" applyFont="1">
      <alignment horizontal="center" readingOrder="0"/>
    </xf>
    <xf borderId="0" fillId="0" fontId="26" numFmtId="177" xfId="0" applyAlignment="1" applyFont="1" applyNumberFormat="1">
      <alignment horizontal="center" shrinkToFit="0" vertical="bottom" wrapText="0"/>
    </xf>
    <xf borderId="0" fillId="2" fontId="26" numFmtId="177" xfId="0" applyAlignment="1" applyFont="1" applyNumberFormat="1">
      <alignment horizontal="center" readingOrder="0" vertical="bottom"/>
    </xf>
    <xf borderId="0" fillId="0" fontId="26" numFmtId="177" xfId="0" applyAlignment="1" applyFont="1" applyNumberFormat="1">
      <alignment horizontal="center" shrinkToFit="0" vertical="bottom" wrapText="0"/>
    </xf>
    <xf borderId="25" fillId="0" fontId="26" numFmtId="177" xfId="0" applyAlignment="1" applyBorder="1" applyFont="1" applyNumberFormat="1">
      <alignment horizontal="center" vertical="bottom"/>
    </xf>
    <xf borderId="0" fillId="2" fontId="26" numFmtId="3" xfId="0" applyAlignment="1" applyFont="1" applyNumberFormat="1">
      <alignment horizontal="center" readingOrder="0" vertical="bottom"/>
    </xf>
    <xf borderId="24" fillId="0" fontId="26" numFmtId="177" xfId="0" applyAlignment="1" applyBorder="1" applyFont="1" applyNumberFormat="1">
      <alignment horizontal="center" vertical="bottom"/>
    </xf>
    <xf borderId="0" fillId="0" fontId="26" numFmtId="177" xfId="0" applyAlignment="1" applyFont="1" applyNumberFormat="1">
      <alignment horizontal="center" vertical="bottom"/>
    </xf>
    <xf borderId="0" fillId="0" fontId="26" numFmtId="4" xfId="0" applyAlignment="1" applyFont="1" applyNumberFormat="1">
      <alignment horizontal="center" vertical="bottom"/>
    </xf>
    <xf borderId="0" fillId="0" fontId="28" numFmtId="14" xfId="0" applyAlignment="1" applyFont="1" applyNumberFormat="1">
      <alignment shrinkToFit="0" vertical="center" wrapText="0"/>
    </xf>
    <xf borderId="5" fillId="2" fontId="28" numFmtId="0" xfId="0" applyAlignment="1" applyBorder="1" applyFont="1">
      <alignment shrinkToFit="0" vertical="center" wrapText="0"/>
    </xf>
    <xf borderId="0" fillId="0" fontId="28" numFmtId="0" xfId="0" applyAlignment="1" applyFont="1">
      <alignment shrinkToFit="0" vertical="center" wrapText="0"/>
    </xf>
    <xf borderId="0" fillId="0" fontId="29" numFmtId="0" xfId="0" applyAlignment="1" applyFont="1">
      <alignment readingOrder="0" shrinkToFit="0" vertical="center" wrapText="0"/>
    </xf>
    <xf borderId="0" fillId="2" fontId="29" numFmtId="175" xfId="0" applyAlignment="1" applyFont="1" applyNumberFormat="1">
      <alignment readingOrder="0" shrinkToFit="0" vertical="center" wrapText="0"/>
    </xf>
    <xf borderId="16" fillId="0" fontId="15" numFmtId="0" xfId="0" applyAlignment="1" applyBorder="1" applyFont="1">
      <alignment readingOrder="0" vertical="center"/>
    </xf>
    <xf borderId="17" fillId="0" fontId="28" numFmtId="166" xfId="0" applyAlignment="1" applyBorder="1" applyFont="1" applyNumberFormat="1">
      <alignment shrinkToFit="0" vertical="center" wrapText="0"/>
    </xf>
    <xf borderId="17" fillId="0" fontId="50" numFmtId="4" xfId="0" applyAlignment="1" applyBorder="1" applyFont="1" applyNumberFormat="1">
      <alignment readingOrder="0" shrinkToFit="0" vertical="center" wrapText="0"/>
    </xf>
    <xf quotePrefix="1" borderId="17" fillId="0" fontId="29" numFmtId="0" xfId="0" applyAlignment="1" applyBorder="1" applyFont="1">
      <alignment horizontal="left" readingOrder="0" shrinkToFit="0" vertical="center" wrapText="0"/>
    </xf>
    <xf borderId="17" fillId="0" fontId="28" numFmtId="2" xfId="0" applyAlignment="1" applyBorder="1" applyFont="1" applyNumberFormat="1">
      <alignment horizontal="center" shrinkToFit="0" vertical="center" wrapText="0"/>
    </xf>
    <xf borderId="18" fillId="0" fontId="28" numFmtId="1" xfId="0" applyAlignment="1" applyBorder="1" applyFont="1" applyNumberFormat="1">
      <alignment horizontal="center" shrinkToFit="0" vertical="center" wrapText="0"/>
    </xf>
    <xf borderId="0" fillId="0" fontId="28" numFmtId="4" xfId="0" applyAlignment="1" applyFont="1" applyNumberFormat="1">
      <alignment horizontal="center" shrinkToFit="0" vertical="center" wrapText="0"/>
    </xf>
    <xf borderId="0" fillId="0" fontId="28" numFmtId="2" xfId="0" applyAlignment="1" applyFont="1" applyNumberFormat="1">
      <alignment horizontal="center" shrinkToFit="0" vertical="center" wrapText="0"/>
    </xf>
    <xf borderId="0" fillId="0" fontId="28" numFmtId="1" xfId="0" applyAlignment="1" applyFont="1" applyNumberFormat="1">
      <alignment horizontal="center" shrinkToFit="0" vertical="center" wrapText="0"/>
    </xf>
    <xf borderId="0" fillId="0" fontId="28" numFmtId="10" xfId="0" applyAlignment="1" applyFont="1" applyNumberFormat="1">
      <alignment horizontal="center" shrinkToFit="0" vertical="center" wrapText="0"/>
    </xf>
    <xf borderId="0" fillId="0" fontId="28" numFmtId="0" xfId="0" applyAlignment="1" applyFont="1">
      <alignment horizontal="center" shrinkToFit="0" vertical="center" wrapText="0"/>
    </xf>
    <xf borderId="0" fillId="0" fontId="28" numFmtId="0" xfId="0" applyAlignment="1" applyFont="1">
      <alignment shrinkToFit="0" vertical="center" wrapText="1"/>
    </xf>
    <xf borderId="0" fillId="0" fontId="28" numFmtId="0" xfId="0" applyAlignment="1" applyFont="1">
      <alignment horizontal="center" readingOrder="0" shrinkToFit="0" vertical="center" wrapText="0"/>
    </xf>
    <xf borderId="0" fillId="0" fontId="28" numFmtId="0" xfId="0" applyAlignment="1" applyFont="1">
      <alignment shrinkToFit="0" vertical="center" wrapText="0"/>
    </xf>
    <xf borderId="5" fillId="8" fontId="28" numFmtId="0" xfId="0" applyAlignment="1" applyBorder="1" applyFont="1">
      <alignment shrinkToFit="0" vertical="center" wrapText="0"/>
    </xf>
    <xf borderId="0" fillId="0" fontId="28" numFmtId="10" xfId="0" applyAlignment="1" applyFont="1" applyNumberFormat="1">
      <alignment shrinkToFit="0" vertical="center" wrapText="0"/>
    </xf>
    <xf borderId="0" fillId="0" fontId="28" numFmtId="4" xfId="0" applyAlignment="1" applyFont="1" applyNumberFormat="1">
      <alignment shrinkToFit="0" vertical="center" wrapText="0"/>
    </xf>
    <xf borderId="0" fillId="2" fontId="20" numFmtId="3" xfId="0" applyAlignment="1" applyFont="1" applyNumberFormat="1">
      <alignment horizontal="center"/>
    </xf>
    <xf borderId="0" fillId="0" fontId="20" numFmtId="10" xfId="0" applyAlignment="1" applyFont="1" applyNumberFormat="1">
      <alignment vertical="center"/>
    </xf>
    <xf borderId="0" fillId="0" fontId="28" numFmtId="166" xfId="0" applyAlignment="1" applyFont="1" applyNumberFormat="1">
      <alignment shrinkToFit="0" vertical="center" wrapText="0"/>
    </xf>
    <xf borderId="0" fillId="0" fontId="29" numFmtId="166" xfId="0" applyAlignment="1" applyFont="1" applyNumberFormat="1">
      <alignment readingOrder="0" shrinkToFit="0" vertical="center" wrapText="0"/>
    </xf>
    <xf borderId="0" fillId="0" fontId="29" numFmtId="0" xfId="0" applyAlignment="1" applyFont="1">
      <alignment readingOrder="0" shrinkToFit="0" vertical="center" wrapText="1"/>
    </xf>
    <xf borderId="0" fillId="0" fontId="28" numFmtId="0" xfId="0" applyAlignment="1" applyFont="1">
      <alignment shrinkToFit="0" vertical="center" wrapText="1"/>
    </xf>
    <xf borderId="0" fillId="0" fontId="28" numFmtId="0" xfId="0" applyAlignment="1" applyFont="1">
      <alignment readingOrder="0" shrinkToFit="0" vertical="center" wrapText="1"/>
    </xf>
    <xf borderId="0" fillId="0" fontId="28" numFmtId="10" xfId="0" applyAlignment="1" applyFont="1" applyNumberFormat="1">
      <alignment readingOrder="0" shrinkToFit="0" vertical="center" wrapText="1"/>
    </xf>
    <xf borderId="0" fillId="0" fontId="29" numFmtId="4" xfId="0" applyAlignment="1" applyFont="1" applyNumberFormat="1">
      <alignment readingOrder="0" shrinkToFit="0" vertical="center" wrapText="1"/>
    </xf>
    <xf borderId="0" fillId="0" fontId="20" numFmtId="0" xfId="0" applyAlignment="1" applyFont="1">
      <alignment readingOrder="0" shrinkToFit="0" vertical="center" wrapText="1"/>
    </xf>
    <xf borderId="0" fillId="0" fontId="28" numFmtId="166" xfId="0" applyAlignment="1" applyFont="1" applyNumberFormat="1">
      <alignment shrinkToFit="0" vertical="center" wrapText="1"/>
    </xf>
    <xf borderId="0" fillId="0" fontId="29" numFmtId="166" xfId="0" applyAlignment="1" applyFont="1" applyNumberFormat="1">
      <alignment readingOrder="0" shrinkToFit="0" vertical="center" wrapText="1"/>
    </xf>
    <xf borderId="0" fillId="0" fontId="29" numFmtId="2" xfId="0" applyAlignment="1" applyFont="1" applyNumberFormat="1">
      <alignment horizontal="left" readingOrder="0" shrinkToFit="0" vertical="center" wrapText="1"/>
    </xf>
    <xf borderId="0" fillId="0" fontId="28" numFmtId="2" xfId="0" applyAlignment="1" applyFont="1" applyNumberFormat="1">
      <alignment horizontal="center" readingOrder="0" shrinkToFit="0" vertical="center" wrapText="1"/>
    </xf>
    <xf borderId="0" fillId="0" fontId="29" numFmtId="1" xfId="0" applyAlignment="1" applyFont="1" applyNumberFormat="1">
      <alignment horizontal="center" readingOrder="0" shrinkToFit="0" vertical="center" wrapText="1"/>
    </xf>
    <xf borderId="0" fillId="0" fontId="28" numFmtId="4" xfId="0" applyAlignment="1" applyFont="1" applyNumberFormat="1">
      <alignment horizontal="center" readingOrder="0" shrinkToFit="0" vertical="center" wrapText="1"/>
    </xf>
    <xf borderId="0" fillId="0" fontId="28" numFmtId="10" xfId="0" applyAlignment="1" applyFont="1" applyNumberFormat="1">
      <alignment horizontal="center" readingOrder="0" shrinkToFit="0" vertical="center" wrapText="1"/>
    </xf>
    <xf borderId="0" fillId="0" fontId="51" numFmtId="0" xfId="0" applyAlignment="1" applyFont="1">
      <alignment horizontal="center" readingOrder="0" shrinkToFit="0" vertical="center" wrapText="1"/>
    </xf>
    <xf borderId="0" fillId="0" fontId="29" numFmtId="0" xfId="0" applyAlignment="1" applyFont="1">
      <alignment horizontal="center" readingOrder="0" shrinkToFit="0" vertical="center" wrapText="1"/>
    </xf>
    <xf borderId="0" fillId="0" fontId="28" numFmtId="0" xfId="0" applyAlignment="1" applyFont="1">
      <alignment horizontal="center" readingOrder="0" shrinkToFit="0" vertical="center" wrapText="1"/>
    </xf>
    <xf borderId="0" fillId="8" fontId="28" numFmtId="14" xfId="0" applyAlignment="1" applyFont="1" applyNumberFormat="1">
      <alignment readingOrder="0" shrinkToFit="0" vertical="center" wrapText="0"/>
    </xf>
    <xf borderId="0" fillId="8" fontId="28" numFmtId="0" xfId="0" applyAlignment="1" applyFont="1">
      <alignment readingOrder="0" shrinkToFit="0" vertical="center" wrapText="0"/>
    </xf>
    <xf borderId="0" fillId="8" fontId="28" numFmtId="10" xfId="0" applyAlignment="1" applyFont="1" applyNumberFormat="1">
      <alignment shrinkToFit="0" vertical="center" wrapText="0"/>
    </xf>
    <xf borderId="0" fillId="8" fontId="29" numFmtId="4" xfId="0" applyAlignment="1" applyFont="1" applyNumberFormat="1">
      <alignment readingOrder="0" shrinkToFit="0" vertical="center" wrapText="0"/>
    </xf>
    <xf borderId="0" fillId="8" fontId="28" numFmtId="166" xfId="0" applyAlignment="1" applyFont="1" applyNumberFormat="1">
      <alignment shrinkToFit="0" vertical="center" wrapText="0"/>
    </xf>
    <xf borderId="0" fillId="8" fontId="28" numFmtId="166" xfId="0" applyAlignment="1" applyFont="1" applyNumberFormat="1">
      <alignment readingOrder="0" shrinkToFit="0" vertical="center" wrapText="0"/>
    </xf>
    <xf borderId="0" fillId="8" fontId="28" numFmtId="2" xfId="0" applyAlignment="1" applyFont="1" applyNumberFormat="1">
      <alignment horizontal="center" shrinkToFit="0" vertical="center" wrapText="0"/>
    </xf>
    <xf borderId="0" fillId="8" fontId="28" numFmtId="1" xfId="0" applyAlignment="1" applyFont="1" applyNumberFormat="1">
      <alignment horizontal="center" shrinkToFit="0" vertical="center" wrapText="0"/>
    </xf>
    <xf borderId="0" fillId="8" fontId="28" numFmtId="4" xfId="0" applyAlignment="1" applyFont="1" applyNumberFormat="1">
      <alignment horizontal="center" shrinkToFit="0" vertical="center" wrapText="0"/>
    </xf>
    <xf borderId="0" fillId="8" fontId="28" numFmtId="10" xfId="0" applyAlignment="1" applyFont="1" applyNumberFormat="1">
      <alignment horizontal="center" readingOrder="0" shrinkToFit="0" vertical="center" wrapText="0"/>
    </xf>
    <xf borderId="0" fillId="8" fontId="28" numFmtId="4" xfId="0" applyAlignment="1" applyFont="1" applyNumberFormat="1">
      <alignment horizontal="center" readingOrder="0" shrinkToFit="0" vertical="center" wrapText="0"/>
    </xf>
    <xf borderId="0" fillId="8" fontId="28" numFmtId="175" xfId="0" applyAlignment="1" applyFont="1" applyNumberFormat="1">
      <alignment horizontal="center" readingOrder="0" shrinkToFit="0" vertical="center" wrapText="0"/>
    </xf>
    <xf borderId="0" fillId="8" fontId="29" numFmtId="0" xfId="0" applyAlignment="1" applyFont="1">
      <alignment horizontal="center" readingOrder="0" shrinkToFit="0" vertical="center" wrapText="0"/>
    </xf>
    <xf borderId="0" fillId="8" fontId="28" numFmtId="0" xfId="0" applyAlignment="1" applyFont="1">
      <alignment readingOrder="0" shrinkToFit="0" vertical="center" wrapText="1"/>
    </xf>
    <xf borderId="0" fillId="8" fontId="29" numFmtId="14" xfId="0" applyAlignment="1" applyFont="1" applyNumberFormat="1">
      <alignment readingOrder="0" shrinkToFit="0" vertical="center" wrapText="0"/>
    </xf>
    <xf borderId="0" fillId="8" fontId="29" numFmtId="0" xfId="0" applyAlignment="1" applyFont="1">
      <alignment readingOrder="0" shrinkToFit="0" vertical="center" wrapText="0"/>
    </xf>
    <xf borderId="0" fillId="8" fontId="28" numFmtId="2" xfId="0" applyAlignment="1" applyFont="1" applyNumberFormat="1">
      <alignment horizontal="center" readingOrder="0" shrinkToFit="0" vertical="center" wrapText="0"/>
    </xf>
    <xf borderId="0" fillId="8" fontId="29" numFmtId="175" xfId="0" applyAlignment="1" applyFont="1" applyNumberFormat="1">
      <alignment horizontal="center" readingOrder="0" shrinkToFit="0" vertical="center" wrapText="0"/>
    </xf>
    <xf borderId="0" fillId="8" fontId="29" numFmtId="10" xfId="0" applyAlignment="1" applyFont="1" applyNumberFormat="1">
      <alignment horizontal="center" readingOrder="0" shrinkToFit="0" vertical="center" wrapText="0"/>
    </xf>
    <xf borderId="0" fillId="8" fontId="29" numFmtId="4" xfId="0" applyAlignment="1" applyFont="1" applyNumberFormat="1">
      <alignment horizontal="center" readingOrder="0" shrinkToFit="0" vertical="center" wrapText="0"/>
    </xf>
    <xf borderId="0" fillId="8" fontId="29" numFmtId="0" xfId="0" applyAlignment="1" applyFont="1">
      <alignment readingOrder="0" shrinkToFit="0" vertical="center" wrapText="1"/>
    </xf>
    <xf borderId="0" fillId="8" fontId="28" numFmtId="4" xfId="0" applyAlignment="1" applyFont="1" applyNumberFormat="1">
      <alignment shrinkToFit="0" vertical="center" wrapText="0"/>
    </xf>
    <xf borderId="0" fillId="8" fontId="28" numFmtId="0" xfId="0" applyAlignment="1" applyFont="1">
      <alignment horizontal="center" readingOrder="0" shrinkToFit="0" vertical="center" wrapText="0"/>
    </xf>
    <xf borderId="0" fillId="8" fontId="28" numFmtId="14" xfId="0" applyAlignment="1" applyFont="1" applyNumberFormat="1">
      <alignment shrinkToFit="0" vertical="center" wrapText="0"/>
    </xf>
    <xf borderId="0" fillId="8" fontId="28" numFmtId="0" xfId="0" applyAlignment="1" applyFont="1">
      <alignment shrinkToFit="0" vertical="center" wrapText="0"/>
    </xf>
    <xf borderId="5" fillId="8" fontId="28" numFmtId="166" xfId="0" applyAlignment="1" applyBorder="1" applyFont="1" applyNumberFormat="1">
      <alignment readingOrder="0" shrinkToFit="0" vertical="center" wrapText="0"/>
    </xf>
    <xf borderId="0" fillId="8" fontId="29" numFmtId="2" xfId="0" applyAlignment="1" applyFont="1" applyNumberFormat="1">
      <alignment horizontal="center" readingOrder="0" shrinkToFit="0" vertical="center" wrapText="0"/>
    </xf>
    <xf borderId="5" fillId="8" fontId="29" numFmtId="10" xfId="0" applyAlignment="1" applyBorder="1" applyFont="1" applyNumberFormat="1">
      <alignment horizontal="center" readingOrder="0" shrinkToFit="0" vertical="center" wrapText="0"/>
    </xf>
    <xf borderId="5" fillId="8" fontId="29" numFmtId="4" xfId="0" applyAlignment="1" applyBorder="1" applyFont="1" applyNumberFormat="1">
      <alignment horizontal="center" readingOrder="0" shrinkToFit="0" vertical="center" wrapText="0"/>
    </xf>
    <xf borderId="5" fillId="8" fontId="28" numFmtId="14" xfId="0" applyAlignment="1" applyBorder="1" applyFont="1" applyNumberFormat="1">
      <alignment readingOrder="0" shrinkToFit="0" vertical="center" wrapText="0"/>
    </xf>
    <xf borderId="5" fillId="8" fontId="29" numFmtId="0" xfId="0" applyAlignment="1" applyBorder="1" applyFont="1">
      <alignment readingOrder="0" shrinkToFit="0" vertical="center" wrapText="0"/>
    </xf>
    <xf borderId="5" fillId="8" fontId="28" numFmtId="10" xfId="0" applyAlignment="1" applyBorder="1" applyFont="1" applyNumberFormat="1">
      <alignment shrinkToFit="0" vertical="center" wrapText="0"/>
    </xf>
    <xf borderId="5" fillId="8" fontId="28" numFmtId="4" xfId="0" applyAlignment="1" applyBorder="1" applyFont="1" applyNumberFormat="1">
      <alignment shrinkToFit="0" vertical="center" wrapText="0"/>
    </xf>
    <xf borderId="5" fillId="8" fontId="28" numFmtId="166" xfId="0" applyAlignment="1" applyBorder="1" applyFont="1" applyNumberFormat="1">
      <alignment shrinkToFit="0" vertical="center" wrapText="0"/>
    </xf>
    <xf borderId="5" fillId="8" fontId="29" numFmtId="2" xfId="0" applyAlignment="1" applyBorder="1" applyFont="1" applyNumberFormat="1">
      <alignment horizontal="center" readingOrder="0" shrinkToFit="0" vertical="center" wrapText="0"/>
    </xf>
    <xf borderId="5" fillId="8" fontId="29" numFmtId="175" xfId="0" applyAlignment="1" applyBorder="1" applyFont="1" applyNumberFormat="1">
      <alignment horizontal="center" readingOrder="0" shrinkToFit="0" vertical="center" wrapText="0"/>
    </xf>
    <xf borderId="5" fillId="8" fontId="28" numFmtId="4" xfId="0" applyAlignment="1" applyBorder="1" applyFont="1" applyNumberFormat="1">
      <alignment horizontal="center" shrinkToFit="0" vertical="center" wrapText="0"/>
    </xf>
    <xf borderId="5" fillId="8" fontId="28" numFmtId="2" xfId="0" applyAlignment="1" applyBorder="1" applyFont="1" applyNumberFormat="1">
      <alignment horizontal="center" shrinkToFit="0" vertical="center" wrapText="0"/>
    </xf>
    <xf borderId="5" fillId="8" fontId="29" numFmtId="0" xfId="0" applyAlignment="1" applyBorder="1" applyFont="1">
      <alignment horizontal="center" readingOrder="0" shrinkToFit="0" vertical="center" wrapText="0"/>
    </xf>
    <xf borderId="5" fillId="8" fontId="29" numFmtId="0" xfId="0" applyAlignment="1" applyBorder="1" applyFont="1">
      <alignment readingOrder="0" shrinkToFit="0" vertical="center" wrapText="1"/>
    </xf>
    <xf borderId="5" fillId="8" fontId="28" numFmtId="14" xfId="0" applyAlignment="1" applyBorder="1" applyFont="1" applyNumberFormat="1">
      <alignment shrinkToFit="0" vertical="center" wrapText="0"/>
    </xf>
    <xf borderId="5" fillId="8" fontId="28" numFmtId="0" xfId="0" applyAlignment="1" applyBorder="1" applyFont="1">
      <alignment readingOrder="0" shrinkToFit="0" vertical="center" wrapText="0"/>
    </xf>
    <xf borderId="5" fillId="8" fontId="28" numFmtId="2" xfId="0" applyAlignment="1" applyBorder="1" applyFont="1" applyNumberFormat="1">
      <alignment horizontal="center" readingOrder="0" shrinkToFit="0" vertical="center" wrapText="0"/>
    </xf>
    <xf borderId="5" fillId="8" fontId="28" numFmtId="0" xfId="0" applyAlignment="1" applyBorder="1" applyFont="1">
      <alignment readingOrder="0" shrinkToFit="0" vertical="center" wrapText="1"/>
    </xf>
    <xf borderId="5" fillId="8" fontId="28" numFmtId="0" xfId="0" applyAlignment="1" applyBorder="1" applyFont="1">
      <alignment horizontal="center" readingOrder="0" shrinkToFit="0" vertical="center" wrapText="0"/>
    </xf>
    <xf borderId="5" fillId="8" fontId="29" numFmtId="14" xfId="0" applyAlignment="1" applyBorder="1" applyFont="1" applyNumberFormat="1">
      <alignment readingOrder="0" shrinkToFit="0" vertical="center" wrapText="0"/>
    </xf>
    <xf borderId="5" fillId="8" fontId="28" numFmtId="1" xfId="0" applyAlignment="1" applyBorder="1" applyFont="1" applyNumberFormat="1">
      <alignment horizontal="center" shrinkToFit="0" vertical="center" wrapText="0"/>
    </xf>
    <xf borderId="5" fillId="8" fontId="28" numFmtId="10" xfId="0" applyAlignment="1" applyBorder="1" applyFont="1" applyNumberFormat="1">
      <alignment horizontal="center" readingOrder="0" shrinkToFit="0" vertical="center" wrapText="0"/>
    </xf>
    <xf borderId="5" fillId="8" fontId="28" numFmtId="4" xfId="0" applyAlignment="1" applyBorder="1" applyFont="1" applyNumberFormat="1">
      <alignment horizontal="center" readingOrder="0" shrinkToFit="0" vertical="center" wrapText="0"/>
    </xf>
    <xf borderId="0" fillId="8" fontId="29" numFmtId="10" xfId="0" applyAlignment="1" applyFont="1" applyNumberFormat="1">
      <alignment readingOrder="0" shrinkToFit="0" vertical="center" wrapText="0"/>
    </xf>
    <xf borderId="0" fillId="8" fontId="29" numFmtId="2" xfId="0" applyAlignment="1" applyFont="1" applyNumberFormat="1">
      <alignment readingOrder="0" shrinkToFit="0" vertical="center" wrapText="0"/>
    </xf>
    <xf borderId="5" fillId="2" fontId="28" numFmtId="14" xfId="0" applyAlignment="1" applyBorder="1" applyFont="1" applyNumberFormat="1">
      <alignment shrinkToFit="0" vertical="center" wrapText="0"/>
    </xf>
    <xf borderId="5" fillId="2" fontId="28" numFmtId="0" xfId="0" applyAlignment="1" applyBorder="1" applyFont="1">
      <alignment readingOrder="0" shrinkToFit="0" vertical="center" wrapText="0"/>
    </xf>
    <xf borderId="5" fillId="2" fontId="28" numFmtId="10" xfId="0" applyAlignment="1" applyBorder="1" applyFont="1" applyNumberFormat="1">
      <alignment shrinkToFit="0" vertical="center" wrapText="0"/>
    </xf>
    <xf borderId="5" fillId="2" fontId="28" numFmtId="4" xfId="0" applyAlignment="1" applyBorder="1" applyFont="1" applyNumberFormat="1">
      <alignment shrinkToFit="0" vertical="center" wrapText="0"/>
    </xf>
    <xf borderId="5" fillId="2" fontId="28" numFmtId="166" xfId="0" applyAlignment="1" applyBorder="1" applyFont="1" applyNumberFormat="1">
      <alignment shrinkToFit="0" vertical="center" wrapText="0"/>
    </xf>
    <xf borderId="5" fillId="2" fontId="28" numFmtId="166" xfId="0" applyAlignment="1" applyBorder="1" applyFont="1" applyNumberFormat="1">
      <alignment readingOrder="0" shrinkToFit="0" vertical="center" wrapText="0"/>
    </xf>
    <xf borderId="5" fillId="2" fontId="29" numFmtId="2" xfId="0" applyAlignment="1" applyBorder="1" applyFont="1" applyNumberFormat="1">
      <alignment horizontal="center" readingOrder="0" shrinkToFit="0" vertical="center" wrapText="0"/>
    </xf>
    <xf borderId="5" fillId="2" fontId="29" numFmtId="175" xfId="0" applyAlignment="1" applyBorder="1" applyFont="1" applyNumberFormat="1">
      <alignment horizontal="center" readingOrder="0" shrinkToFit="0" vertical="center" wrapText="0"/>
    </xf>
    <xf borderId="5" fillId="2" fontId="28" numFmtId="4" xfId="0" applyAlignment="1" applyBorder="1" applyFont="1" applyNumberFormat="1">
      <alignment horizontal="center" shrinkToFit="0" vertical="center" wrapText="0"/>
    </xf>
    <xf borderId="5" fillId="2" fontId="28" numFmtId="2" xfId="0" applyAlignment="1" applyBorder="1" applyFont="1" applyNumberFormat="1">
      <alignment horizontal="center" shrinkToFit="0" vertical="center" wrapText="0"/>
    </xf>
    <xf borderId="5" fillId="2" fontId="29" numFmtId="10" xfId="0" applyAlignment="1" applyBorder="1" applyFont="1" applyNumberFormat="1">
      <alignment horizontal="center" readingOrder="0" shrinkToFit="0" vertical="center" wrapText="0"/>
    </xf>
    <xf borderId="5" fillId="2" fontId="29" numFmtId="4" xfId="0" applyAlignment="1" applyBorder="1" applyFont="1" applyNumberFormat="1">
      <alignment horizontal="center" readingOrder="0" shrinkToFit="0" vertical="center" wrapText="0"/>
    </xf>
    <xf borderId="5" fillId="2" fontId="29" numFmtId="0" xfId="0" applyAlignment="1" applyBorder="1" applyFont="1">
      <alignment horizontal="center" readingOrder="0" shrinkToFit="0" vertical="center" wrapText="0"/>
    </xf>
    <xf borderId="5" fillId="2" fontId="29" numFmtId="0" xfId="0" applyAlignment="1" applyBorder="1" applyFont="1">
      <alignment readingOrder="0" shrinkToFit="0" vertical="center" wrapText="1"/>
    </xf>
    <xf borderId="0" fillId="2" fontId="29" numFmtId="0" xfId="0" applyAlignment="1" applyFont="1">
      <alignment readingOrder="0" shrinkToFit="0" vertical="center" wrapText="0"/>
    </xf>
    <xf borderId="5" fillId="8" fontId="28" numFmtId="175" xfId="0" applyAlignment="1" applyBorder="1" applyFont="1" applyNumberFormat="1">
      <alignment horizontal="center" readingOrder="0" shrinkToFit="0" vertical="center" wrapText="0"/>
    </xf>
    <xf borderId="5" fillId="2" fontId="28" numFmtId="1" xfId="0" applyAlignment="1" applyBorder="1" applyFont="1" applyNumberFormat="1">
      <alignment horizontal="center" shrinkToFit="0" vertical="center" wrapText="0"/>
    </xf>
    <xf borderId="5" fillId="2" fontId="28" numFmtId="10" xfId="0" applyAlignment="1" applyBorder="1" applyFont="1" applyNumberFormat="1">
      <alignment horizontal="center" shrinkToFit="0" vertical="center" wrapText="0"/>
    </xf>
    <xf borderId="5" fillId="2" fontId="28" numFmtId="0" xfId="0" applyAlignment="1" applyBorder="1" applyFont="1">
      <alignment horizontal="center" shrinkToFit="0" vertical="center" wrapText="0"/>
    </xf>
    <xf borderId="5" fillId="2" fontId="28" numFmtId="0" xfId="0" applyAlignment="1" applyBorder="1" applyFont="1">
      <alignment shrinkToFit="0" vertical="center" wrapText="1"/>
    </xf>
    <xf borderId="0" fillId="2" fontId="28" numFmtId="0" xfId="0" applyAlignment="1" applyFont="1">
      <alignment shrinkToFit="0" vertical="center" wrapText="0"/>
    </xf>
    <xf borderId="5" fillId="8" fontId="28" numFmtId="10" xfId="0" applyAlignment="1" applyBorder="1" applyFont="1" applyNumberFormat="1">
      <alignment horizontal="center" shrinkToFit="0" vertical="center" wrapText="0"/>
    </xf>
    <xf borderId="5" fillId="8" fontId="28" numFmtId="0" xfId="0" applyAlignment="1" applyBorder="1" applyFont="1">
      <alignment horizontal="center" shrinkToFit="0" vertical="center" wrapText="0"/>
    </xf>
    <xf borderId="5" fillId="8" fontId="28" numFmtId="0" xfId="0" applyAlignment="1" applyBorder="1" applyFont="1">
      <alignment shrinkToFit="0" vertical="center" wrapText="1"/>
    </xf>
    <xf borderId="5" fillId="8" fontId="29" numFmtId="2" xfId="0" applyAlignment="1" applyBorder="1" applyFont="1" applyNumberFormat="1">
      <alignment readingOrder="0" shrinkToFit="0" vertical="center" wrapText="0"/>
    </xf>
    <xf borderId="0" fillId="0" fontId="26" numFmtId="0" xfId="0" applyAlignment="1" applyFont="1">
      <alignment horizontal="center" vertical="bottom"/>
    </xf>
    <xf borderId="0" fillId="2" fontId="26" numFmtId="3" xfId="0" applyAlignment="1" applyFont="1" applyNumberFormat="1">
      <alignment horizontal="center" vertical="bottom"/>
    </xf>
    <xf borderId="0" fillId="0" fontId="26" numFmtId="177" xfId="0" applyAlignment="1" applyFont="1" applyNumberFormat="1">
      <alignment horizontal="center" vertical="bottom"/>
    </xf>
    <xf borderId="5" fillId="2" fontId="28" numFmtId="16" xfId="0" applyAlignment="1" applyBorder="1" applyFont="1" applyNumberFormat="1">
      <alignment shrinkToFit="0" vertical="center" wrapText="0"/>
    </xf>
    <xf borderId="5" fillId="2" fontId="28" numFmtId="10" xfId="0" applyAlignment="1" applyBorder="1" applyFont="1" applyNumberFormat="1">
      <alignment horizontal="center" readingOrder="0" shrinkToFit="0" vertical="center" wrapText="0"/>
    </xf>
    <xf borderId="5" fillId="2" fontId="28" numFmtId="4" xfId="0" applyAlignment="1" applyBorder="1" applyFont="1" applyNumberFormat="1">
      <alignment horizontal="center" readingOrder="0" shrinkToFit="0" vertical="center" wrapText="0"/>
    </xf>
    <xf borderId="5" fillId="2" fontId="28" numFmtId="0" xfId="0" applyAlignment="1" applyBorder="1" applyFont="1">
      <alignment horizontal="center" readingOrder="0" shrinkToFit="0" vertical="center" wrapText="0"/>
    </xf>
    <xf borderId="5" fillId="2" fontId="28" numFmtId="0" xfId="0" applyAlignment="1" applyBorder="1" applyFont="1">
      <alignment readingOrder="0" shrinkToFit="0" vertical="center" wrapText="1"/>
    </xf>
    <xf borderId="0" fillId="2" fontId="28" numFmtId="0" xfId="0" applyAlignment="1" applyFont="1">
      <alignment readingOrder="0" shrinkToFit="0" vertical="center" wrapText="0"/>
    </xf>
    <xf borderId="0" fillId="8" fontId="29" numFmtId="178" xfId="0" applyAlignment="1" applyFont="1" applyNumberFormat="1">
      <alignment horizontal="center" readingOrder="0" shrinkToFit="0" vertical="center" wrapText="0"/>
    </xf>
    <xf borderId="26" fillId="8" fontId="29" numFmtId="10" xfId="0" applyAlignment="1" applyBorder="1" applyFont="1" applyNumberFormat="1">
      <alignment horizontal="right"/>
    </xf>
    <xf borderId="0" fillId="8" fontId="29" numFmtId="10" xfId="0" applyAlignment="1" applyFont="1" applyNumberFormat="1">
      <alignment horizontal="right"/>
    </xf>
    <xf borderId="0" fillId="8" fontId="29" numFmtId="2" xfId="0" applyAlignment="1" applyFont="1" applyNumberFormat="1">
      <alignment horizontal="right"/>
    </xf>
    <xf borderId="0" fillId="8" fontId="29" numFmtId="2" xfId="0" applyAlignment="1" applyFont="1" applyNumberFormat="1">
      <alignment horizontal="center"/>
    </xf>
    <xf borderId="0" fillId="8" fontId="28" numFmtId="178" xfId="0" applyAlignment="1" applyFont="1" applyNumberFormat="1">
      <alignment horizontal="center" readingOrder="0" shrinkToFit="0" vertical="center" wrapText="0"/>
    </xf>
    <xf borderId="0" fillId="8" fontId="28" numFmtId="10" xfId="0" applyAlignment="1" applyFont="1" applyNumberFormat="1">
      <alignment horizontal="center" shrinkToFit="0" vertical="center" wrapText="0"/>
    </xf>
    <xf borderId="0" fillId="8" fontId="28" numFmtId="0" xfId="0" applyAlignment="1" applyFont="1">
      <alignment horizontal="center" shrinkToFit="0" vertical="center" wrapText="0"/>
    </xf>
    <xf borderId="0" fillId="8" fontId="28" numFmtId="0" xfId="0" applyAlignment="1" applyFont="1">
      <alignment shrinkToFit="0" vertical="center" wrapText="1"/>
    </xf>
    <xf borderId="5" fillId="8" fontId="28" numFmtId="0" xfId="0" applyAlignment="1" applyBorder="1" applyFont="1">
      <alignment readingOrder="0" shrinkToFit="0" vertical="center" wrapText="1"/>
    </xf>
    <xf borderId="5" fillId="8" fontId="29" numFmtId="0" xfId="0" applyAlignment="1" applyBorder="1" applyFont="1">
      <alignment readingOrder="0" shrinkToFit="0" vertical="center" wrapText="0"/>
    </xf>
    <xf borderId="5" fillId="8" fontId="28" numFmtId="0" xfId="0" applyAlignment="1" applyBorder="1" applyFont="1">
      <alignment readingOrder="0" shrinkToFit="0" vertical="center" wrapText="0"/>
    </xf>
    <xf borderId="0" fillId="2" fontId="28" numFmtId="14" xfId="0" applyAlignment="1" applyFont="1" applyNumberFormat="1">
      <alignment readingOrder="0" shrinkToFit="0" vertical="center" wrapText="0"/>
    </xf>
    <xf borderId="0" fillId="2" fontId="28" numFmtId="10" xfId="0" applyAlignment="1" applyFont="1" applyNumberFormat="1">
      <alignment shrinkToFit="0" vertical="center" wrapText="0"/>
    </xf>
    <xf borderId="0" fillId="2" fontId="28" numFmtId="4" xfId="0" applyAlignment="1" applyFont="1" applyNumberFormat="1">
      <alignment shrinkToFit="0" vertical="center" wrapText="0"/>
    </xf>
    <xf borderId="0" fillId="2" fontId="28" numFmtId="166" xfId="0" applyAlignment="1" applyFont="1" applyNumberFormat="1">
      <alignment shrinkToFit="0" vertical="center" wrapText="0"/>
    </xf>
    <xf borderId="0" fillId="2" fontId="28" numFmtId="2" xfId="0" applyAlignment="1" applyFont="1" applyNumberFormat="1">
      <alignment horizontal="center" readingOrder="0" shrinkToFit="0" vertical="center" wrapText="0"/>
    </xf>
    <xf borderId="0" fillId="2" fontId="28" numFmtId="2" xfId="0" applyAlignment="1" applyFont="1" applyNumberFormat="1">
      <alignment horizontal="center" shrinkToFit="0" vertical="center" wrapText="0"/>
    </xf>
    <xf borderId="0" fillId="2" fontId="28" numFmtId="1" xfId="0" applyAlignment="1" applyFont="1" applyNumberFormat="1">
      <alignment horizontal="center" shrinkToFit="0" vertical="center" wrapText="0"/>
    </xf>
    <xf borderId="0" fillId="2" fontId="28" numFmtId="4" xfId="0" applyAlignment="1" applyFont="1" applyNumberFormat="1">
      <alignment horizontal="center" shrinkToFit="0" vertical="center" wrapText="0"/>
    </xf>
    <xf borderId="0" fillId="2" fontId="28" numFmtId="10" xfId="0" applyAlignment="1" applyFont="1" applyNumberFormat="1">
      <alignment horizontal="center" shrinkToFit="0" vertical="center" wrapText="0"/>
    </xf>
    <xf borderId="0" fillId="2" fontId="28" numFmtId="0" xfId="0" applyAlignment="1" applyFont="1">
      <alignment horizontal="center" shrinkToFit="0" vertical="center" wrapText="0"/>
    </xf>
    <xf borderId="0" fillId="2" fontId="28" numFmtId="0" xfId="0" applyAlignment="1" applyFont="1">
      <alignment shrinkToFit="0" vertical="center" wrapText="1"/>
    </xf>
    <xf borderId="0" fillId="8" fontId="28" numFmtId="0" xfId="0" applyAlignment="1" applyFont="1">
      <alignment readingOrder="0" shrinkToFit="0" vertical="center" wrapText="1"/>
    </xf>
    <xf borderId="0" fillId="0" fontId="49" numFmtId="2" xfId="0" applyAlignment="1" applyFont="1" applyNumberFormat="1">
      <alignment horizontal="center" readingOrder="0" shrinkToFit="0" wrapText="0"/>
    </xf>
    <xf borderId="0" fillId="8" fontId="29" numFmtId="0" xfId="0" applyAlignment="1" applyFont="1">
      <alignment readingOrder="0" shrinkToFit="0" vertical="center" wrapText="1"/>
    </xf>
    <xf borderId="5" fillId="8" fontId="29" numFmtId="0" xfId="0" applyAlignment="1" applyBorder="1" applyFont="1">
      <alignment readingOrder="0" shrinkToFit="0" vertical="center" wrapText="1"/>
    </xf>
    <xf borderId="5" fillId="2" fontId="28" numFmtId="0" xfId="0" applyAlignment="1" applyBorder="1" applyFont="1">
      <alignment shrinkToFit="0" vertical="center" wrapText="1"/>
    </xf>
    <xf borderId="5" fillId="0" fontId="28" numFmtId="14" xfId="0" applyAlignment="1" applyBorder="1" applyFont="1" applyNumberFormat="1">
      <alignment shrinkToFit="0" vertical="center" wrapText="0"/>
    </xf>
    <xf borderId="5" fillId="0" fontId="28" numFmtId="0" xfId="0" applyAlignment="1" applyBorder="1" applyFont="1">
      <alignment shrinkToFit="0" vertical="center" wrapText="0"/>
    </xf>
    <xf borderId="5" fillId="0" fontId="28" numFmtId="16" xfId="0" applyAlignment="1" applyBorder="1" applyFont="1" applyNumberFormat="1">
      <alignment shrinkToFit="0" vertical="center" wrapText="0"/>
    </xf>
    <xf borderId="0" fillId="0" fontId="49" numFmtId="3" xfId="0" applyAlignment="1" applyFont="1" applyNumberFormat="1">
      <alignment horizontal="center" shrinkToFit="0" wrapText="0"/>
    </xf>
    <xf borderId="5" fillId="0" fontId="28" numFmtId="10" xfId="0" applyAlignment="1" applyBorder="1" applyFont="1" applyNumberFormat="1">
      <alignment shrinkToFit="0" vertical="center" wrapText="0"/>
    </xf>
    <xf borderId="0" fillId="0" fontId="49" numFmtId="0" xfId="0" applyAlignment="1" applyFont="1">
      <alignment horizontal="center" shrinkToFit="0" wrapText="0"/>
    </xf>
    <xf borderId="5" fillId="0" fontId="28" numFmtId="4" xfId="0" applyAlignment="1" applyBorder="1" applyFont="1" applyNumberFormat="1">
      <alignment shrinkToFit="0" vertical="center" wrapText="0"/>
    </xf>
    <xf borderId="5" fillId="0" fontId="28" numFmtId="166" xfId="0" applyAlignment="1" applyBorder="1" applyFont="1" applyNumberFormat="1">
      <alignment shrinkToFit="0" vertical="center" wrapText="0"/>
    </xf>
    <xf borderId="0" fillId="0" fontId="1" numFmtId="177" xfId="0" applyAlignment="1" applyFont="1" applyNumberFormat="1">
      <alignment shrinkToFit="0" wrapText="0"/>
    </xf>
    <xf borderId="0" fillId="0" fontId="20" numFmtId="177" xfId="0" applyFont="1" applyNumberFormat="1"/>
    <xf borderId="5" fillId="0" fontId="28" numFmtId="2" xfId="0" applyAlignment="1" applyBorder="1" applyFont="1" applyNumberFormat="1">
      <alignment horizontal="center" shrinkToFit="0" vertical="center" wrapText="0"/>
    </xf>
    <xf borderId="5" fillId="0" fontId="28" numFmtId="1" xfId="0" applyAlignment="1" applyBorder="1" applyFont="1" applyNumberFormat="1">
      <alignment horizontal="center" shrinkToFit="0" vertical="center" wrapText="0"/>
    </xf>
    <xf borderId="0" fillId="0" fontId="1" numFmtId="39" xfId="0" applyAlignment="1" applyFont="1" applyNumberFormat="1">
      <alignment shrinkToFit="0" wrapText="0"/>
    </xf>
    <xf borderId="5" fillId="0" fontId="28" numFmtId="4" xfId="0" applyAlignment="1" applyBorder="1" applyFont="1" applyNumberFormat="1">
      <alignment horizontal="center" shrinkToFit="0" vertical="center" wrapText="0"/>
    </xf>
    <xf borderId="0" fillId="0" fontId="52" numFmtId="0" xfId="0" applyAlignment="1" applyFont="1">
      <alignment readingOrder="0" shrinkToFit="0" wrapText="0"/>
    </xf>
    <xf borderId="5" fillId="0" fontId="28" numFmtId="10" xfId="0" applyAlignment="1" applyBorder="1" applyFont="1" applyNumberFormat="1">
      <alignment horizontal="center" shrinkToFit="0" vertical="center" wrapText="0"/>
    </xf>
    <xf borderId="5" fillId="0" fontId="28" numFmtId="0" xfId="0" applyAlignment="1" applyBorder="1" applyFont="1">
      <alignment horizontal="center" shrinkToFit="0" vertical="center" wrapText="0"/>
    </xf>
    <xf borderId="5" fillId="0" fontId="28" numFmtId="0" xfId="0" applyAlignment="1" applyBorder="1" applyFont="1">
      <alignment shrinkToFit="0" vertical="center" wrapText="1"/>
    </xf>
    <xf borderId="0" fillId="0" fontId="15" numFmtId="0" xfId="0" applyAlignment="1" applyFont="1">
      <alignment readingOrder="0"/>
    </xf>
    <xf borderId="0" fillId="0" fontId="1" numFmtId="2" xfId="0" applyAlignment="1" applyFont="1" applyNumberFormat="1">
      <alignment horizontal="center" shrinkToFit="0" wrapText="0"/>
    </xf>
    <xf borderId="21" fillId="0" fontId="7" numFmtId="167" xfId="0" applyAlignment="1" applyBorder="1" applyFont="1" applyNumberFormat="1">
      <alignment readingOrder="0" shrinkToFit="0" wrapText="0"/>
    </xf>
    <xf borderId="27" fillId="0" fontId="28" numFmtId="0" xfId="0" applyAlignment="1" applyBorder="1" applyFont="1">
      <alignment shrinkToFit="0" vertical="center" wrapText="0"/>
    </xf>
    <xf borderId="0" fillId="0" fontId="1" numFmtId="177" xfId="0" applyAlignment="1" applyFont="1" applyNumberFormat="1">
      <alignment shrinkToFit="0" wrapText="0"/>
    </xf>
    <xf borderId="27" fillId="0" fontId="28" numFmtId="16" xfId="0" applyAlignment="1" applyBorder="1" applyFont="1" applyNumberFormat="1">
      <alignment shrinkToFit="0" vertical="center" wrapText="0"/>
    </xf>
    <xf borderId="27" fillId="0" fontId="28" numFmtId="10" xfId="0" applyAlignment="1" applyBorder="1" applyFont="1" applyNumberFormat="1">
      <alignment shrinkToFit="0" vertical="center" wrapText="0"/>
    </xf>
    <xf borderId="27" fillId="0" fontId="28" numFmtId="4" xfId="0" applyAlignment="1" applyBorder="1" applyFont="1" applyNumberFormat="1">
      <alignment shrinkToFit="0" vertical="center" wrapText="0"/>
    </xf>
    <xf borderId="27" fillId="0" fontId="28" numFmtId="166" xfId="0" applyAlignment="1" applyBorder="1" applyFont="1" applyNumberFormat="1">
      <alignment shrinkToFit="0" vertical="center" wrapText="0"/>
    </xf>
    <xf borderId="27" fillId="0" fontId="28" numFmtId="2" xfId="0" applyAlignment="1" applyBorder="1" applyFont="1" applyNumberFormat="1">
      <alignment horizontal="center" shrinkToFit="0" vertical="center" wrapText="0"/>
    </xf>
    <xf borderId="27" fillId="0" fontId="28" numFmtId="1" xfId="0" applyAlignment="1" applyBorder="1" applyFont="1" applyNumberFormat="1">
      <alignment horizontal="center" shrinkToFit="0" vertical="center" wrapText="0"/>
    </xf>
    <xf borderId="0" fillId="0" fontId="1" numFmtId="177" xfId="0" applyAlignment="1" applyFont="1" applyNumberFormat="1">
      <alignment readingOrder="0" shrinkToFit="0" wrapText="0"/>
    </xf>
    <xf borderId="27" fillId="0" fontId="28" numFmtId="4" xfId="0" applyAlignment="1" applyBorder="1" applyFont="1" applyNumberFormat="1">
      <alignment horizontal="center" shrinkToFit="0" vertical="center" wrapText="0"/>
    </xf>
    <xf borderId="27" fillId="0" fontId="28" numFmtId="10" xfId="0" applyAlignment="1" applyBorder="1" applyFont="1" applyNumberFormat="1">
      <alignment horizontal="center" shrinkToFit="0" vertical="center" wrapText="0"/>
    </xf>
    <xf borderId="28" fillId="0" fontId="1" numFmtId="10" xfId="0" applyAlignment="1" applyBorder="1" applyFont="1" applyNumberFormat="1">
      <alignment shrinkToFit="0" wrapText="0"/>
    </xf>
    <xf borderId="27" fillId="0" fontId="28" numFmtId="0" xfId="0" applyAlignment="1" applyBorder="1" applyFont="1">
      <alignment horizontal="center" shrinkToFit="0" vertical="center" wrapText="0"/>
    </xf>
    <xf borderId="27" fillId="0" fontId="28" numFmtId="0" xfId="0" applyAlignment="1" applyBorder="1" applyFont="1">
      <alignment shrinkToFit="0" vertical="center" wrapText="1"/>
    </xf>
    <xf borderId="5" fillId="8" fontId="29" numFmtId="179" xfId="0" applyAlignment="1" applyBorder="1" applyFont="1" applyNumberFormat="1">
      <alignment horizontal="center" readingOrder="0" shrinkToFit="0" vertical="center" wrapText="0"/>
    </xf>
    <xf borderId="23" fillId="0" fontId="1" numFmtId="10" xfId="0" applyAlignment="1" applyBorder="1" applyFont="1" applyNumberFormat="1">
      <alignment shrinkToFit="0" wrapText="0"/>
    </xf>
    <xf borderId="0" fillId="0" fontId="1" numFmtId="177" xfId="0" applyAlignment="1" applyFont="1" applyNumberFormat="1">
      <alignment shrinkToFit="0" wrapText="0"/>
    </xf>
    <xf borderId="0" fillId="2" fontId="28" numFmtId="14" xfId="0" applyAlignment="1" applyFont="1" applyNumberFormat="1">
      <alignment shrinkToFit="0" vertical="center" wrapText="0"/>
    </xf>
    <xf borderId="0" fillId="2" fontId="28" numFmtId="16" xfId="0" applyAlignment="1" applyFont="1" applyNumberFormat="1">
      <alignment shrinkToFit="0" vertical="center" wrapText="0"/>
    </xf>
    <xf borderId="6" fillId="0" fontId="1" numFmtId="0" xfId="0" applyAlignment="1" applyBorder="1" applyFont="1">
      <alignment readingOrder="0" shrinkToFit="0" wrapText="0"/>
    </xf>
    <xf borderId="7" fillId="0" fontId="1" numFmtId="177" xfId="0" applyAlignment="1" applyBorder="1" applyFont="1" applyNumberFormat="1">
      <alignment readingOrder="0" shrinkToFit="0" wrapText="0"/>
    </xf>
    <xf borderId="7" fillId="0" fontId="1" numFmtId="0" xfId="0" applyAlignment="1" applyBorder="1" applyFont="1">
      <alignment readingOrder="0" shrinkToFit="0" wrapText="0"/>
    </xf>
    <xf borderId="3" fillId="0" fontId="1" numFmtId="0" xfId="0" applyAlignment="1" applyBorder="1" applyFont="1">
      <alignment readingOrder="0" shrinkToFit="0" wrapText="0"/>
    </xf>
    <xf borderId="0" fillId="0" fontId="1" numFmtId="177" xfId="0" applyAlignment="1" applyFont="1" applyNumberFormat="1">
      <alignment readingOrder="0" shrinkToFit="0" wrapText="0"/>
    </xf>
    <xf borderId="9" fillId="0" fontId="1" numFmtId="0" xfId="0" applyAlignment="1" applyBorder="1" applyFont="1">
      <alignment readingOrder="0" shrinkToFit="0" wrapText="0"/>
    </xf>
    <xf borderId="4" fillId="0" fontId="1" numFmtId="177" xfId="0" applyAlignment="1" applyBorder="1" applyFont="1" applyNumberFormat="1">
      <alignment readingOrder="0" shrinkToFit="0" wrapText="0"/>
    </xf>
    <xf borderId="4" fillId="0" fontId="1" numFmtId="0" xfId="0" applyAlignment="1" applyBorder="1" applyFont="1">
      <alignment readingOrder="0" shrinkToFit="0" wrapText="0"/>
    </xf>
    <xf borderId="0" fillId="0" fontId="1" numFmtId="10" xfId="0" applyAlignment="1" applyFont="1" applyNumberFormat="1">
      <alignment horizontal="center" readingOrder="0" shrinkToFit="0" wrapText="0"/>
    </xf>
    <xf borderId="0" fillId="0" fontId="7" numFmtId="2" xfId="0" applyAlignment="1" applyFont="1" applyNumberFormat="1">
      <alignment readingOrder="0" shrinkToFit="0" wrapText="0"/>
    </xf>
    <xf borderId="0" fillId="0" fontId="7" numFmtId="177" xfId="0" applyAlignment="1" applyFont="1" applyNumberFormat="1">
      <alignment readingOrder="0" shrinkToFit="0" wrapText="0"/>
    </xf>
    <xf borderId="0" fillId="0" fontId="1" numFmtId="10" xfId="0" applyAlignment="1" applyFont="1" applyNumberFormat="1">
      <alignment shrinkToFit="0" wrapText="0"/>
    </xf>
    <xf borderId="0" fillId="0" fontId="20" numFmtId="177" xfId="0" applyAlignment="1" applyFont="1" applyNumberFormat="1">
      <alignment readingOrder="0"/>
    </xf>
    <xf borderId="0" fillId="0" fontId="20" numFmtId="4" xfId="0" applyFont="1" applyNumberFormat="1"/>
    <xf borderId="0" fillId="0" fontId="15" numFmtId="177" xfId="0" applyFont="1" applyNumberFormat="1"/>
    <xf borderId="0" fillId="0" fontId="7" numFmtId="10" xfId="0" applyAlignment="1" applyFont="1" applyNumberFormat="1">
      <alignment readingOrder="0" shrinkToFit="0" wrapText="0"/>
    </xf>
    <xf borderId="0" fillId="0" fontId="53" numFmtId="177" xfId="0" applyAlignment="1" applyFont="1" applyNumberFormat="1">
      <alignment horizontal="right" vertical="bottom"/>
    </xf>
    <xf borderId="0" fillId="0" fontId="53" numFmtId="4" xfId="0" applyAlignment="1" applyFont="1" applyNumberFormat="1">
      <alignment horizontal="right" vertical="bottom"/>
    </xf>
    <xf borderId="0" fillId="0" fontId="15" numFmtId="0" xfId="0" applyFont="1"/>
    <xf borderId="0" fillId="0" fontId="54" numFmtId="177" xfId="0" applyAlignment="1" applyFont="1" applyNumberFormat="1">
      <alignment horizontal="right" vertical="bottom"/>
    </xf>
    <xf borderId="5" fillId="8" fontId="28" numFmtId="14" xfId="0" applyAlignment="1" applyBorder="1" applyFont="1" applyNumberFormat="1">
      <alignment horizontal="right" readingOrder="0" shrinkToFit="0" vertical="center" wrapText="0"/>
    </xf>
    <xf borderId="5" fillId="8" fontId="28" numFmtId="0" xfId="0" applyAlignment="1" applyBorder="1" applyFont="1">
      <alignment readingOrder="0" shrinkToFit="0" vertical="center" wrapText="0"/>
    </xf>
    <xf borderId="5" fillId="8" fontId="26" numFmtId="16" xfId="0" applyAlignment="1" applyBorder="1" applyFont="1" applyNumberFormat="1">
      <alignment vertical="center"/>
    </xf>
    <xf borderId="5" fillId="8" fontId="26" numFmtId="10" xfId="0" applyAlignment="1" applyBorder="1" applyFont="1" applyNumberFormat="1">
      <alignment vertical="center"/>
    </xf>
    <xf borderId="0" fillId="0" fontId="7" numFmtId="177" xfId="0" applyAlignment="1" applyFont="1" applyNumberFormat="1">
      <alignment readingOrder="0" shrinkToFit="0" wrapText="0"/>
    </xf>
    <xf borderId="5" fillId="8" fontId="26" numFmtId="4" xfId="0" applyAlignment="1" applyBorder="1" applyFont="1" applyNumberFormat="1">
      <alignment vertical="center"/>
    </xf>
    <xf borderId="5" fillId="8" fontId="26" numFmtId="166" xfId="0" applyAlignment="1" applyBorder="1" applyFont="1" applyNumberFormat="1">
      <alignment vertical="center"/>
    </xf>
    <xf borderId="5" fillId="8" fontId="28" numFmtId="2" xfId="0" applyAlignment="1" applyBorder="1" applyFont="1" applyNumberFormat="1">
      <alignment horizontal="center" shrinkToFit="0" vertical="center" wrapText="0"/>
    </xf>
    <xf borderId="5" fillId="8" fontId="26" numFmtId="2" xfId="0" applyAlignment="1" applyBorder="1" applyFont="1" applyNumberFormat="1">
      <alignment horizontal="center" vertical="center"/>
    </xf>
    <xf borderId="5" fillId="8" fontId="26" numFmtId="1" xfId="0" applyAlignment="1" applyBorder="1" applyFont="1" applyNumberFormat="1">
      <alignment horizontal="center" vertical="center"/>
    </xf>
    <xf borderId="5" fillId="8" fontId="26" numFmtId="4" xfId="0" applyAlignment="1" applyBorder="1" applyFont="1" applyNumberFormat="1">
      <alignment horizontal="center" vertical="center"/>
    </xf>
    <xf borderId="5" fillId="8" fontId="28" numFmtId="10" xfId="0" applyAlignment="1" applyBorder="1" applyFont="1" applyNumberFormat="1">
      <alignment horizontal="center" shrinkToFit="0" vertical="center" wrapText="0"/>
    </xf>
    <xf borderId="5" fillId="8" fontId="28" numFmtId="4" xfId="0" applyAlignment="1" applyBorder="1" applyFont="1" applyNumberFormat="1">
      <alignment horizontal="center" shrinkToFit="0" vertical="center" wrapText="0"/>
    </xf>
    <xf borderId="5" fillId="8" fontId="28" numFmtId="0" xfId="0" applyAlignment="1" applyBorder="1" applyFont="1">
      <alignment horizontal="center" shrinkToFit="0" vertical="center" wrapText="0"/>
    </xf>
    <xf borderId="5" fillId="8" fontId="28" numFmtId="0" xfId="0" applyAlignment="1" applyBorder="1" applyFont="1">
      <alignment shrinkToFit="0" vertical="center" wrapText="1"/>
    </xf>
    <xf borderId="0" fillId="8" fontId="28" numFmtId="0" xfId="0" applyAlignment="1" applyFont="1">
      <alignment shrinkToFit="0" vertical="center" wrapText="0"/>
    </xf>
    <xf borderId="5" fillId="8" fontId="28" numFmtId="16" xfId="0" applyAlignment="1" applyBorder="1" applyFont="1" applyNumberFormat="1">
      <alignment shrinkToFit="0" vertical="center" wrapText="0"/>
    </xf>
    <xf borderId="0" fillId="0" fontId="54" numFmtId="177" xfId="0" applyAlignment="1" applyFont="1" applyNumberFormat="1">
      <alignment horizontal="right" vertical="bottom"/>
    </xf>
    <xf borderId="0" fillId="8" fontId="28" numFmtId="16" xfId="0" applyAlignment="1" applyFont="1" applyNumberFormat="1">
      <alignment shrinkToFit="0" vertical="center" wrapText="0"/>
    </xf>
    <xf borderId="0" fillId="0" fontId="28" numFmtId="16" xfId="0" applyAlignment="1" applyFont="1" applyNumberFormat="1">
      <alignment shrinkToFit="0" vertical="center" wrapText="0"/>
    </xf>
    <xf borderId="0" fillId="0" fontId="28" numFmtId="10" xfId="0" applyAlignment="1" applyFont="1" applyNumberFormat="1">
      <alignment shrinkToFit="0" vertical="center" wrapText="0"/>
    </xf>
    <xf borderId="0" fillId="0" fontId="26" numFmtId="14" xfId="0" applyAlignment="1" applyFont="1" applyNumberFormat="1">
      <alignment vertical="bottom"/>
    </xf>
    <xf borderId="0" fillId="0" fontId="26" numFmtId="0" xfId="0" applyAlignment="1" applyFont="1">
      <alignment readingOrder="0" shrinkToFit="0" vertical="bottom" wrapText="0"/>
    </xf>
    <xf borderId="0" fillId="0" fontId="26" numFmtId="177" xfId="0" applyAlignment="1" applyFont="1" applyNumberFormat="1">
      <alignment horizontal="right" shrinkToFit="0" vertical="bottom" wrapText="0"/>
    </xf>
    <xf borderId="0" fillId="0" fontId="26" numFmtId="177" xfId="0" applyAlignment="1" applyFont="1" applyNumberFormat="1">
      <alignment horizontal="right" vertical="bottom"/>
    </xf>
    <xf borderId="0" fillId="0" fontId="26" numFmtId="177" xfId="0" applyAlignment="1" applyFont="1" applyNumberFormat="1">
      <alignment horizontal="right" shrinkToFit="0" vertical="bottom" wrapText="0"/>
    </xf>
    <xf borderId="0" fillId="0" fontId="26" numFmtId="2" xfId="0" applyAlignment="1" applyFont="1" applyNumberFormat="1">
      <alignment vertical="bottom"/>
    </xf>
    <xf borderId="0" fillId="0" fontId="26" numFmtId="10" xfId="0" applyAlignment="1" applyFont="1" applyNumberFormat="1">
      <alignment horizontal="right" shrinkToFit="0" vertical="bottom" wrapText="0"/>
    </xf>
    <xf borderId="0" fillId="0" fontId="26" numFmtId="177" xfId="0" applyAlignment="1" applyFont="1" applyNumberFormat="1">
      <alignment horizontal="right" vertical="bottom"/>
    </xf>
    <xf borderId="0" fillId="0" fontId="26" numFmtId="4" xfId="0" applyAlignment="1" applyFont="1" applyNumberFormat="1">
      <alignment horizontal="right" vertical="bottom"/>
    </xf>
    <xf borderId="0" fillId="0" fontId="26" numFmtId="39" xfId="0" applyAlignment="1" applyFont="1" applyNumberFormat="1">
      <alignment vertical="bottom"/>
    </xf>
    <xf borderId="0" fillId="0" fontId="26" numFmtId="177" xfId="0" applyAlignment="1" applyFont="1" applyNumberFormat="1">
      <alignment vertical="bottom"/>
    </xf>
    <xf borderId="0" fillId="0" fontId="26" numFmtId="177" xfId="0" applyAlignment="1" applyFont="1" applyNumberFormat="1">
      <alignment vertical="bottom"/>
    </xf>
    <xf borderId="0" fillId="0" fontId="28" numFmtId="14" xfId="0" applyAlignment="1" applyFont="1" applyNumberFormat="1">
      <alignment shrinkToFit="0" wrapText="0"/>
    </xf>
    <xf borderId="0" fillId="0" fontId="28" numFmtId="0" xfId="0" applyAlignment="1" applyFont="1">
      <alignment shrinkToFit="0" wrapText="0"/>
    </xf>
    <xf borderId="0" fillId="0" fontId="28" numFmtId="49" xfId="0" applyAlignment="1" applyFont="1" applyNumberFormat="1">
      <alignment shrinkToFit="0" wrapText="0"/>
    </xf>
    <xf borderId="0" fillId="0" fontId="28" numFmtId="10" xfId="0" applyAlignment="1" applyFont="1" applyNumberFormat="1">
      <alignment shrinkToFit="0" wrapText="0"/>
    </xf>
    <xf borderId="0" fillId="0" fontId="28" numFmtId="166" xfId="0" applyAlignment="1" applyFont="1" applyNumberFormat="1">
      <alignment shrinkToFit="0" wrapText="0"/>
    </xf>
    <xf borderId="16" fillId="0" fontId="15" numFmtId="0" xfId="0" applyAlignment="1" applyBorder="1" applyFont="1">
      <alignment readingOrder="0"/>
    </xf>
    <xf borderId="17" fillId="0" fontId="28" numFmtId="166" xfId="0" applyAlignment="1" applyBorder="1" applyFont="1" applyNumberFormat="1">
      <alignment shrinkToFit="0" wrapText="0"/>
    </xf>
    <xf borderId="17" fillId="0" fontId="50" numFmtId="4" xfId="0" applyAlignment="1" applyBorder="1" applyFont="1" applyNumberFormat="1">
      <alignment readingOrder="0" shrinkToFit="0" wrapText="0"/>
    </xf>
    <xf borderId="0" fillId="0" fontId="20" numFmtId="0" xfId="0" applyAlignment="1" applyFont="1">
      <alignment shrinkToFit="0" wrapText="1"/>
    </xf>
    <xf borderId="0" fillId="0" fontId="55" numFmtId="0" xfId="0" applyAlignment="1" applyFont="1">
      <alignment shrinkToFit="0" wrapText="0"/>
    </xf>
    <xf borderId="0" fillId="0" fontId="28" numFmtId="166" xfId="0" applyAlignment="1" applyFont="1" applyNumberFormat="1">
      <alignment shrinkToFit="0" wrapText="0"/>
    </xf>
    <xf borderId="0" fillId="0" fontId="28" numFmtId="2" xfId="0" applyAlignment="1" applyFont="1" applyNumberFormat="1">
      <alignment shrinkToFit="0" wrapText="0"/>
    </xf>
    <xf borderId="0" fillId="0" fontId="28" numFmtId="14" xfId="0" applyAlignment="1" applyFont="1" applyNumberFormat="1">
      <alignment shrinkToFit="0" wrapText="1"/>
    </xf>
    <xf borderId="0" fillId="0" fontId="28" numFmtId="0" xfId="0" applyAlignment="1" applyFont="1">
      <alignment shrinkToFit="0" wrapText="1"/>
    </xf>
    <xf borderId="0" fillId="0" fontId="28" numFmtId="49" xfId="0" applyAlignment="1" applyFont="1" applyNumberFormat="1">
      <alignment shrinkToFit="0" wrapText="1"/>
    </xf>
    <xf borderId="0" fillId="0" fontId="28" numFmtId="0" xfId="0" applyAlignment="1" applyFont="1">
      <alignment readingOrder="0" shrinkToFit="0" wrapText="1"/>
    </xf>
    <xf borderId="0" fillId="0" fontId="28" numFmtId="10" xfId="0" applyAlignment="1" applyFont="1" applyNumberFormat="1">
      <alignment readingOrder="0" shrinkToFit="0" wrapText="1"/>
    </xf>
    <xf borderId="0" fillId="0" fontId="29" numFmtId="166" xfId="0" applyAlignment="1" applyFont="1" applyNumberFormat="1">
      <alignment readingOrder="0" shrinkToFit="0" wrapText="1"/>
    </xf>
    <xf borderId="0" fillId="0" fontId="20" numFmtId="10" xfId="0" applyAlignment="1" applyFont="1" applyNumberFormat="1">
      <alignment shrinkToFit="0" wrapText="1"/>
    </xf>
    <xf borderId="0" fillId="0" fontId="28" numFmtId="166" xfId="0" applyAlignment="1" applyFont="1" applyNumberFormat="1">
      <alignment shrinkToFit="0" wrapText="1"/>
    </xf>
    <xf borderId="0" fillId="0" fontId="28" numFmtId="2" xfId="0" applyAlignment="1" applyFont="1" applyNumberFormat="1">
      <alignment shrinkToFit="0" wrapText="1"/>
    </xf>
    <xf borderId="0" fillId="0" fontId="28" numFmtId="1" xfId="0" applyAlignment="1" applyFont="1" applyNumberFormat="1">
      <alignment readingOrder="0" shrinkToFit="0" wrapText="1"/>
    </xf>
    <xf borderId="0" fillId="0" fontId="29" numFmtId="0" xfId="0" applyAlignment="1" applyFont="1">
      <alignment horizontal="center" readingOrder="0" shrinkToFit="0" wrapText="1"/>
    </xf>
    <xf borderId="0" fillId="0" fontId="28" numFmtId="0" xfId="0" applyAlignment="1" applyFont="1">
      <alignment readingOrder="0" shrinkToFit="0" wrapText="0"/>
    </xf>
    <xf borderId="3" fillId="0" fontId="28" numFmtId="0" xfId="0" applyAlignment="1" applyBorder="1" applyFont="1">
      <alignment horizontal="center" readingOrder="0" shrinkToFit="0" vertical="center" wrapText="1"/>
    </xf>
    <xf borderId="5" fillId="2" fontId="28" numFmtId="14" xfId="0" applyAlignment="1" applyBorder="1" applyFont="1" applyNumberFormat="1">
      <alignment shrinkToFit="0" wrapText="0"/>
    </xf>
    <xf borderId="5" fillId="2" fontId="28" numFmtId="0" xfId="0" applyAlignment="1" applyBorder="1" applyFont="1">
      <alignment shrinkToFit="0" wrapText="0"/>
    </xf>
    <xf borderId="5" fillId="2" fontId="28" numFmtId="49" xfId="0" applyAlignment="1" applyBorder="1" applyFont="1" applyNumberFormat="1">
      <alignment shrinkToFit="0" wrapText="0"/>
    </xf>
    <xf borderId="5" fillId="2" fontId="28" numFmtId="10" xfId="0" applyAlignment="1" applyBorder="1" applyFont="1" applyNumberFormat="1">
      <alignment shrinkToFit="0" wrapText="0"/>
    </xf>
    <xf borderId="5" fillId="2" fontId="28" numFmtId="166" xfId="0" applyAlignment="1" applyBorder="1" applyFont="1" applyNumberFormat="1">
      <alignment shrinkToFit="0" wrapText="0"/>
    </xf>
    <xf borderId="5" fillId="2" fontId="28" numFmtId="166" xfId="0" applyAlignment="1" applyBorder="1" applyFont="1" applyNumberFormat="1">
      <alignment shrinkToFit="0" wrapText="0"/>
    </xf>
    <xf borderId="5" fillId="2" fontId="28" numFmtId="2" xfId="0" applyAlignment="1" applyBorder="1" applyFont="1" applyNumberFormat="1">
      <alignment shrinkToFit="0" wrapText="0"/>
    </xf>
    <xf borderId="29" fillId="2" fontId="28" numFmtId="0" xfId="0" applyAlignment="1" applyBorder="1" applyFont="1">
      <alignment shrinkToFit="0" wrapText="1"/>
    </xf>
    <xf borderId="3" fillId="2" fontId="28" numFmtId="0" xfId="0" applyAlignment="1" applyBorder="1" applyFont="1">
      <alignment shrinkToFit="0" wrapText="1"/>
    </xf>
    <xf borderId="27" fillId="2" fontId="28" numFmtId="0" xfId="0" applyAlignment="1" applyBorder="1" applyFont="1">
      <alignment shrinkToFit="0" wrapText="1"/>
    </xf>
    <xf borderId="5" fillId="2" fontId="28" numFmtId="0" xfId="0" applyAlignment="1" applyBorder="1" applyFont="1">
      <alignment shrinkToFit="0" wrapText="1"/>
    </xf>
    <xf borderId="5" fillId="8" fontId="28" numFmtId="14" xfId="0" applyAlignment="1" applyBorder="1" applyFont="1" applyNumberFormat="1">
      <alignment shrinkToFit="0" wrapText="0"/>
    </xf>
    <xf borderId="5" fillId="8" fontId="28" numFmtId="0" xfId="0" applyAlignment="1" applyBorder="1" applyFont="1">
      <alignment shrinkToFit="0" wrapText="0"/>
    </xf>
    <xf borderId="5" fillId="8" fontId="28" numFmtId="49" xfId="0" applyAlignment="1" applyBorder="1" applyFont="1" applyNumberFormat="1">
      <alignment shrinkToFit="0" wrapText="0"/>
    </xf>
    <xf borderId="5" fillId="8" fontId="28" numFmtId="0" xfId="0" applyAlignment="1" applyBorder="1" applyFont="1">
      <alignment readingOrder="0" shrinkToFit="0" wrapText="0"/>
    </xf>
    <xf borderId="5" fillId="8" fontId="28" numFmtId="10" xfId="0" applyAlignment="1" applyBorder="1" applyFont="1" applyNumberFormat="1">
      <alignment shrinkToFit="0" wrapText="0"/>
    </xf>
    <xf borderId="5" fillId="8" fontId="28" numFmtId="166" xfId="0" applyAlignment="1" applyBorder="1" applyFont="1" applyNumberFormat="1">
      <alignment shrinkToFit="0" wrapText="0"/>
    </xf>
    <xf borderId="5" fillId="8" fontId="28" numFmtId="166" xfId="0" applyAlignment="1" applyBorder="1" applyFont="1" applyNumberFormat="1">
      <alignment shrinkToFit="0" wrapText="0"/>
    </xf>
    <xf borderId="5" fillId="8" fontId="28" numFmtId="2" xfId="0" applyAlignment="1" applyBorder="1" applyFont="1" applyNumberFormat="1">
      <alignment readingOrder="0" shrinkToFit="0" wrapText="0"/>
    </xf>
    <xf borderId="29" fillId="8" fontId="28" numFmtId="0" xfId="0" applyAlignment="1" applyBorder="1" applyFont="1">
      <alignment readingOrder="0" shrinkToFit="0" wrapText="1"/>
    </xf>
    <xf borderId="3" fillId="8" fontId="28" numFmtId="0" xfId="0" applyAlignment="1" applyBorder="1" applyFont="1">
      <alignment readingOrder="0" shrinkToFit="0" wrapText="1"/>
    </xf>
    <xf borderId="27" fillId="8" fontId="28" numFmtId="0" xfId="0" applyAlignment="1" applyBorder="1" applyFont="1">
      <alignment readingOrder="0" shrinkToFit="0" wrapText="1"/>
    </xf>
    <xf borderId="5" fillId="8" fontId="28" numFmtId="0" xfId="0" applyAlignment="1" applyBorder="1" applyFont="1">
      <alignment readingOrder="0" shrinkToFit="0" wrapText="1"/>
    </xf>
    <xf borderId="5" fillId="8" fontId="29" numFmtId="14" xfId="0" applyAlignment="1" applyBorder="1" applyFont="1" applyNumberFormat="1">
      <alignment readingOrder="0" shrinkToFit="0" wrapText="0"/>
    </xf>
    <xf borderId="5" fillId="8" fontId="29" numFmtId="0" xfId="0" applyAlignment="1" applyBorder="1" applyFont="1">
      <alignment readingOrder="0" shrinkToFit="0" wrapText="0"/>
    </xf>
    <xf borderId="5" fillId="8" fontId="29" numFmtId="49" xfId="0" applyAlignment="1" applyBorder="1" applyFont="1" applyNumberFormat="1">
      <alignment readingOrder="0" shrinkToFit="0" wrapText="0"/>
    </xf>
    <xf borderId="5" fillId="8" fontId="29" numFmtId="175" xfId="0" applyAlignment="1" applyBorder="1" applyFont="1" applyNumberFormat="1">
      <alignment readingOrder="0" shrinkToFit="0" wrapText="0"/>
    </xf>
    <xf borderId="29" fillId="8" fontId="29" numFmtId="0" xfId="0" applyAlignment="1" applyBorder="1" applyFont="1">
      <alignment readingOrder="0" shrinkToFit="0" wrapText="1"/>
    </xf>
    <xf borderId="5" fillId="8" fontId="28" numFmtId="2" xfId="0" applyAlignment="1" applyBorder="1" applyFont="1" applyNumberFormat="1">
      <alignment shrinkToFit="0" wrapText="0"/>
    </xf>
    <xf borderId="29" fillId="8" fontId="28" numFmtId="0" xfId="0" applyAlignment="1" applyBorder="1" applyFont="1">
      <alignment shrinkToFit="0" wrapText="1"/>
    </xf>
    <xf borderId="3" fillId="8" fontId="28" numFmtId="0" xfId="0" applyAlignment="1" applyBorder="1" applyFont="1">
      <alignment shrinkToFit="0" wrapText="1"/>
    </xf>
    <xf borderId="27" fillId="8" fontId="28" numFmtId="0" xfId="0" applyAlignment="1" applyBorder="1" applyFont="1">
      <alignment shrinkToFit="0" wrapText="1"/>
    </xf>
    <xf borderId="5" fillId="8" fontId="28" numFmtId="0" xfId="0" applyAlignment="1" applyBorder="1" applyFont="1">
      <alignment shrinkToFit="0" wrapText="1"/>
    </xf>
    <xf borderId="5" fillId="2" fontId="28" numFmtId="14" xfId="0" applyAlignment="1" applyBorder="1" applyFont="1" applyNumberFormat="1">
      <alignment readingOrder="0" shrinkToFit="0" wrapText="0"/>
    </xf>
    <xf borderId="5" fillId="2" fontId="28" numFmtId="0" xfId="0" applyAlignment="1" applyBorder="1" applyFont="1">
      <alignment readingOrder="0" shrinkToFit="0" wrapText="0"/>
    </xf>
    <xf borderId="5" fillId="2" fontId="28" numFmtId="49" xfId="0" applyAlignment="1" applyBorder="1" applyFont="1" applyNumberFormat="1">
      <alignment readingOrder="0" shrinkToFit="0" wrapText="0"/>
    </xf>
    <xf borderId="5" fillId="2" fontId="28" numFmtId="2" xfId="0" applyAlignment="1" applyBorder="1" applyFont="1" applyNumberFormat="1">
      <alignment readingOrder="0" shrinkToFit="0" wrapText="0"/>
    </xf>
    <xf borderId="5" fillId="8" fontId="28" numFmtId="14" xfId="0" applyAlignment="1" applyBorder="1" applyFont="1" applyNumberFormat="1">
      <alignment readingOrder="0" shrinkToFit="0" wrapText="0"/>
    </xf>
    <xf borderId="5" fillId="8" fontId="28" numFmtId="49" xfId="0" applyAlignment="1" applyBorder="1" applyFont="1" applyNumberFormat="1">
      <alignment readingOrder="0" shrinkToFit="0" wrapText="0"/>
    </xf>
    <xf borderId="29" fillId="2" fontId="28" numFmtId="0" xfId="0" applyAlignment="1" applyBorder="1" applyFont="1">
      <alignment readingOrder="0" shrinkToFit="0" wrapText="1"/>
    </xf>
    <xf borderId="3" fillId="2" fontId="28" numFmtId="0" xfId="0" applyAlignment="1" applyBorder="1" applyFont="1">
      <alignment readingOrder="0" shrinkToFit="0" wrapText="1"/>
    </xf>
    <xf borderId="27" fillId="2" fontId="28" numFmtId="0" xfId="0" applyAlignment="1" applyBorder="1" applyFont="1">
      <alignment readingOrder="0" shrinkToFit="0" wrapText="1"/>
    </xf>
    <xf borderId="5" fillId="2" fontId="28" numFmtId="0" xfId="0" applyAlignment="1" applyBorder="1" applyFont="1">
      <alignment readingOrder="0" shrinkToFit="0" wrapText="1"/>
    </xf>
    <xf borderId="0" fillId="8" fontId="29" numFmtId="2" xfId="0" applyAlignment="1" applyFont="1" applyNumberFormat="1">
      <alignment horizontal="center" readingOrder="0" shrinkToFit="0" wrapText="0"/>
    </xf>
    <xf borderId="0" fillId="8" fontId="29" numFmtId="175" xfId="0" applyAlignment="1" applyFont="1" applyNumberFormat="1">
      <alignment horizontal="center" readingOrder="0" shrinkToFit="0" wrapText="0"/>
    </xf>
    <xf borderId="0" fillId="8" fontId="28" numFmtId="4" xfId="0" applyAlignment="1" applyFont="1" applyNumberFormat="1">
      <alignment horizontal="center" shrinkToFit="0" wrapText="0"/>
    </xf>
    <xf borderId="0" fillId="8" fontId="28" numFmtId="2" xfId="0" applyAlignment="1" applyFont="1" applyNumberFormat="1">
      <alignment horizontal="center" shrinkToFit="0" wrapText="0"/>
    </xf>
    <xf borderId="5" fillId="8" fontId="29" numFmtId="10" xfId="0" applyAlignment="1" applyBorder="1" applyFont="1" applyNumberFormat="1">
      <alignment horizontal="center" readingOrder="0" shrinkToFit="0" wrapText="0"/>
    </xf>
    <xf borderId="5" fillId="8" fontId="29" numFmtId="4" xfId="0" applyAlignment="1" applyBorder="1" applyFont="1" applyNumberFormat="1">
      <alignment horizontal="center" readingOrder="0" shrinkToFit="0" wrapText="0"/>
    </xf>
    <xf borderId="5" fillId="8" fontId="29" numFmtId="0" xfId="0" applyAlignment="1" applyBorder="1" applyFont="1">
      <alignment horizontal="center" readingOrder="0" shrinkToFit="0" wrapText="0"/>
    </xf>
    <xf borderId="5" fillId="8" fontId="29" numFmtId="175" xfId="0" applyAlignment="1" applyBorder="1" applyFont="1" applyNumberFormat="1">
      <alignment horizontal="center" readingOrder="0" shrinkToFit="0" wrapText="0"/>
    </xf>
    <xf borderId="3" fillId="8" fontId="29" numFmtId="10" xfId="0" applyAlignment="1" applyBorder="1" applyFont="1" applyNumberFormat="1">
      <alignment readingOrder="0" shrinkToFit="0" vertical="center" wrapText="0"/>
    </xf>
    <xf borderId="5" fillId="8" fontId="29" numFmtId="0" xfId="0" applyAlignment="1" applyBorder="1" applyFont="1">
      <alignment readingOrder="0" shrinkToFit="0" wrapText="1"/>
    </xf>
    <xf borderId="5" fillId="2" fontId="28" numFmtId="16" xfId="0" applyAlignment="1" applyBorder="1" applyFont="1" applyNumberFormat="1">
      <alignment shrinkToFit="0" wrapText="0"/>
    </xf>
    <xf borderId="5" fillId="8" fontId="29" numFmtId="166" xfId="0" applyAlignment="1" applyBorder="1" applyFont="1" applyNumberFormat="1">
      <alignment readingOrder="0" shrinkToFit="0" wrapText="0"/>
    </xf>
    <xf borderId="27" fillId="8" fontId="28" numFmtId="0" xfId="0" applyAlignment="1" applyBorder="1" applyFont="1">
      <alignment shrinkToFit="0" vertical="center" wrapText="0"/>
    </xf>
    <xf borderId="27" fillId="8" fontId="28" numFmtId="0" xfId="0" applyAlignment="1" applyBorder="1" applyFont="1">
      <alignment readingOrder="0" shrinkToFit="0" vertical="center" wrapText="0"/>
    </xf>
    <xf borderId="27" fillId="8" fontId="28" numFmtId="10" xfId="0" applyAlignment="1" applyBorder="1" applyFont="1" applyNumberFormat="1">
      <alignment shrinkToFit="0" vertical="center" wrapText="0"/>
    </xf>
    <xf borderId="27" fillId="8" fontId="28" numFmtId="4" xfId="0" applyAlignment="1" applyBorder="1" applyFont="1" applyNumberFormat="1">
      <alignment shrinkToFit="0" vertical="center" wrapText="0"/>
    </xf>
    <xf borderId="27" fillId="8" fontId="28" numFmtId="166" xfId="0" applyAlignment="1" applyBorder="1" applyFont="1" applyNumberFormat="1">
      <alignment shrinkToFit="0" vertical="center" wrapText="0"/>
    </xf>
    <xf borderId="27" fillId="8" fontId="29" numFmtId="2" xfId="0" applyAlignment="1" applyBorder="1" applyFont="1" applyNumberFormat="1">
      <alignment horizontal="center" readingOrder="0" shrinkToFit="0" vertical="center" wrapText="0"/>
    </xf>
    <xf borderId="27" fillId="8" fontId="29" numFmtId="175" xfId="0" applyAlignment="1" applyBorder="1" applyFont="1" applyNumberFormat="1">
      <alignment horizontal="center" readingOrder="0" shrinkToFit="0" vertical="center" wrapText="0"/>
    </xf>
    <xf borderId="27" fillId="8" fontId="28" numFmtId="4" xfId="0" applyAlignment="1" applyBorder="1" applyFont="1" applyNumberFormat="1">
      <alignment horizontal="center" shrinkToFit="0" vertical="center" wrapText="0"/>
    </xf>
    <xf borderId="27" fillId="8" fontId="28" numFmtId="2" xfId="0" applyAlignment="1" applyBorder="1" applyFont="1" applyNumberFormat="1">
      <alignment horizontal="center" shrinkToFit="0" vertical="center" wrapText="0"/>
    </xf>
    <xf borderId="27" fillId="8" fontId="29" numFmtId="10" xfId="0" applyAlignment="1" applyBorder="1" applyFont="1" applyNumberFormat="1">
      <alignment horizontal="center" readingOrder="0" shrinkToFit="0" vertical="center" wrapText="0"/>
    </xf>
    <xf borderId="27" fillId="8" fontId="29" numFmtId="4" xfId="0" applyAlignment="1" applyBorder="1" applyFont="1" applyNumberFormat="1">
      <alignment horizontal="center" readingOrder="0" shrinkToFit="0" vertical="center" wrapText="0"/>
    </xf>
    <xf borderId="27" fillId="8" fontId="28" numFmtId="0" xfId="0" applyAlignment="1" applyBorder="1" applyFont="1">
      <alignment horizontal="center" readingOrder="0" shrinkToFit="0" vertical="center" wrapText="0"/>
    </xf>
    <xf borderId="27" fillId="8" fontId="28" numFmtId="0" xfId="0" applyAlignment="1" applyBorder="1" applyFont="1">
      <alignment readingOrder="0" shrinkToFit="0" vertical="center" wrapText="1"/>
    </xf>
    <xf borderId="27" fillId="8" fontId="28" numFmtId="166" xfId="0" applyAlignment="1" applyBorder="1" applyFont="1" applyNumberFormat="1">
      <alignment readingOrder="0" shrinkToFit="0" vertical="center" wrapText="0"/>
    </xf>
    <xf borderId="27" fillId="8" fontId="28" numFmtId="1" xfId="0" applyAlignment="1" applyBorder="1" applyFont="1" applyNumberFormat="1">
      <alignment horizontal="center" shrinkToFit="0" vertical="center" wrapText="0"/>
    </xf>
    <xf borderId="27" fillId="8" fontId="28" numFmtId="10" xfId="0" applyAlignment="1" applyBorder="1" applyFont="1" applyNumberFormat="1">
      <alignment horizontal="center" readingOrder="0" shrinkToFit="0" vertical="center" wrapText="0"/>
    </xf>
    <xf borderId="27" fillId="8" fontId="28" numFmtId="4" xfId="0" applyAlignment="1" applyBorder="1" applyFont="1" applyNumberFormat="1">
      <alignment horizontal="center" readingOrder="0" shrinkToFit="0" vertical="center" wrapText="0"/>
    </xf>
    <xf borderId="5" fillId="2" fontId="28" numFmtId="14" xfId="0" applyAlignment="1" applyBorder="1" applyFont="1" applyNumberFormat="1">
      <alignment readingOrder="0" shrinkToFit="0" vertical="center" wrapText="0"/>
    </xf>
    <xf borderId="0" fillId="0" fontId="28" numFmtId="0" xfId="0" applyAlignment="1" applyFont="1">
      <alignment shrinkToFit="0" wrapText="0"/>
    </xf>
    <xf borderId="0" fillId="0" fontId="28" numFmtId="10" xfId="0" applyAlignment="1" applyFont="1" applyNumberFormat="1">
      <alignment shrinkToFit="0" wrapText="0"/>
    </xf>
    <xf borderId="0" fillId="0" fontId="28" numFmtId="0" xfId="0" applyAlignment="1" applyFont="1">
      <alignment shrinkToFit="0" wrapText="1"/>
    </xf>
    <xf borderId="3" fillId="0" fontId="28" numFmtId="0" xfId="0" applyAlignment="1" applyBorder="1" applyFont="1">
      <alignment shrinkToFit="0" wrapText="1"/>
    </xf>
    <xf borderId="3" fillId="0" fontId="28" numFmtId="0" xfId="0" applyAlignment="1" applyBorder="1" applyFont="1">
      <alignment shrinkToFit="0" wrapText="1"/>
    </xf>
    <xf borderId="0" fillId="8" fontId="28" numFmtId="14" xfId="0" applyAlignment="1" applyFont="1" applyNumberFormat="1">
      <alignment readingOrder="0" shrinkToFit="0" wrapText="0"/>
    </xf>
    <xf borderId="0" fillId="8" fontId="28" numFmtId="0" xfId="0" applyAlignment="1" applyFont="1">
      <alignment readingOrder="0" shrinkToFit="0" wrapText="0"/>
    </xf>
    <xf borderId="0" fillId="8" fontId="28" numFmtId="49" xfId="0" applyAlignment="1" applyFont="1" applyNumberFormat="1">
      <alignment readingOrder="0" shrinkToFit="0" wrapText="0"/>
    </xf>
    <xf borderId="0" fillId="8" fontId="28" numFmtId="2" xfId="0" applyAlignment="1" applyFont="1" applyNumberFormat="1">
      <alignment readingOrder="0" shrinkToFit="0" wrapText="0"/>
    </xf>
    <xf borderId="0" fillId="8" fontId="28" numFmtId="0" xfId="0" applyAlignment="1" applyFont="1">
      <alignment shrinkToFit="0" wrapText="0"/>
    </xf>
    <xf borderId="0" fillId="8" fontId="28" numFmtId="0" xfId="0" applyAlignment="1" applyFont="1">
      <alignment readingOrder="0" shrinkToFit="0" wrapText="1"/>
    </xf>
    <xf borderId="5" fillId="8" fontId="28" numFmtId="166" xfId="0" applyAlignment="1" applyBorder="1" applyFont="1" applyNumberFormat="1">
      <alignment readingOrder="0" shrinkToFit="0" wrapText="0"/>
    </xf>
    <xf borderId="5" fillId="0" fontId="28" numFmtId="14" xfId="0" applyAlignment="1" applyBorder="1" applyFont="1" applyNumberFormat="1">
      <alignment shrinkToFit="0" wrapText="0"/>
    </xf>
    <xf borderId="5" fillId="0" fontId="28" numFmtId="0" xfId="0" applyAlignment="1" applyBorder="1" applyFont="1">
      <alignment shrinkToFit="0" wrapText="0"/>
    </xf>
    <xf borderId="5" fillId="0" fontId="28" numFmtId="49" xfId="0" applyAlignment="1" applyBorder="1" applyFont="1" applyNumberFormat="1">
      <alignment shrinkToFit="0" wrapText="0"/>
    </xf>
    <xf borderId="5" fillId="0" fontId="28" numFmtId="10" xfId="0" applyAlignment="1" applyBorder="1" applyFont="1" applyNumberFormat="1">
      <alignment shrinkToFit="0" wrapText="0"/>
    </xf>
    <xf borderId="5" fillId="0" fontId="28" numFmtId="166" xfId="0" applyAlignment="1" applyBorder="1" applyFont="1" applyNumberFormat="1">
      <alignment shrinkToFit="0" wrapText="0"/>
    </xf>
    <xf borderId="5" fillId="0" fontId="28" numFmtId="166" xfId="0" applyAlignment="1" applyBorder="1" applyFont="1" applyNumberFormat="1">
      <alignment shrinkToFit="0" wrapText="0"/>
    </xf>
    <xf borderId="5" fillId="0" fontId="28" numFmtId="2" xfId="0" applyAlignment="1" applyBorder="1" applyFont="1" applyNumberFormat="1">
      <alignment shrinkToFit="0" wrapText="0"/>
    </xf>
    <xf borderId="29" fillId="0" fontId="28" numFmtId="0" xfId="0" applyAlignment="1" applyBorder="1" applyFont="1">
      <alignment shrinkToFit="0" wrapText="1"/>
    </xf>
    <xf borderId="27" fillId="0" fontId="28" numFmtId="0" xfId="0" applyAlignment="1" applyBorder="1" applyFont="1">
      <alignment shrinkToFit="0" wrapText="1"/>
    </xf>
    <xf borderId="5" fillId="0" fontId="28" numFmtId="0" xfId="0" applyAlignment="1" applyBorder="1" applyFont="1">
      <alignment shrinkToFit="0" wrapText="1"/>
    </xf>
    <xf borderId="0" fillId="2" fontId="28" numFmtId="14" xfId="0" applyAlignment="1" applyFont="1" applyNumberFormat="1">
      <alignment readingOrder="0" shrinkToFit="0" wrapText="0"/>
    </xf>
    <xf borderId="0" fillId="2" fontId="28" numFmtId="0" xfId="0" applyAlignment="1" applyFont="1">
      <alignment readingOrder="0" shrinkToFit="0" wrapText="0"/>
    </xf>
    <xf borderId="0" fillId="2" fontId="28" numFmtId="49" xfId="0" applyAlignment="1" applyFont="1" applyNumberFormat="1">
      <alignment readingOrder="0" shrinkToFit="0" wrapText="0"/>
    </xf>
    <xf borderId="0" fillId="2" fontId="28" numFmtId="0" xfId="0" applyAlignment="1" applyFont="1">
      <alignment shrinkToFit="0" wrapText="0"/>
    </xf>
    <xf borderId="0" fillId="2" fontId="28" numFmtId="10" xfId="0" applyAlignment="1" applyFont="1" applyNumberFormat="1">
      <alignment shrinkToFit="0" wrapText="0"/>
    </xf>
    <xf borderId="0" fillId="2" fontId="28" numFmtId="166" xfId="0" applyAlignment="1" applyFont="1" applyNumberFormat="1">
      <alignment shrinkToFit="0" wrapText="0"/>
    </xf>
    <xf borderId="0" fillId="2" fontId="28" numFmtId="166" xfId="0" applyAlignment="1" applyFont="1" applyNumberFormat="1">
      <alignment shrinkToFit="0" wrapText="0"/>
    </xf>
    <xf borderId="0" fillId="2" fontId="28" numFmtId="2" xfId="0" applyAlignment="1" applyFont="1" applyNumberFormat="1">
      <alignment readingOrder="0" shrinkToFit="0" wrapText="0"/>
    </xf>
    <xf borderId="0" fillId="2" fontId="28" numFmtId="0" xfId="0" applyAlignment="1" applyFont="1">
      <alignment readingOrder="0" shrinkToFit="0" wrapText="1"/>
    </xf>
    <xf borderId="5" fillId="2" fontId="28" numFmtId="166" xfId="0" applyAlignment="1" applyBorder="1" applyFont="1" applyNumberFormat="1">
      <alignment readingOrder="0" shrinkToFit="0" wrapText="0"/>
    </xf>
    <xf borderId="0" fillId="8" fontId="29" numFmtId="0" xfId="0" applyAlignment="1" applyFont="1">
      <alignment readingOrder="0" shrinkToFit="0" wrapText="0"/>
    </xf>
    <xf borderId="0" fillId="8" fontId="28" numFmtId="10" xfId="0" applyAlignment="1" applyFont="1" applyNumberFormat="1">
      <alignment shrinkToFit="0" wrapText="0"/>
    </xf>
    <xf borderId="0" fillId="8" fontId="28" numFmtId="166" xfId="0" applyAlignment="1" applyFont="1" applyNumberFormat="1">
      <alignment shrinkToFit="0" wrapText="0"/>
    </xf>
    <xf borderId="0" fillId="8" fontId="28" numFmtId="166" xfId="0" applyAlignment="1" applyFont="1" applyNumberFormat="1">
      <alignment shrinkToFit="0" wrapText="0"/>
    </xf>
    <xf borderId="5" fillId="8" fontId="28" numFmtId="10" xfId="0" applyAlignment="1" applyBorder="1" applyFont="1" applyNumberFormat="1">
      <alignment horizontal="right" shrinkToFit="0" vertical="center" wrapText="0"/>
    </xf>
    <xf borderId="5" fillId="8" fontId="28" numFmtId="166" xfId="0" applyAlignment="1" applyBorder="1" applyFont="1" applyNumberFormat="1">
      <alignment horizontal="right" shrinkToFit="0" vertical="center" wrapText="0"/>
    </xf>
    <xf borderId="0" fillId="8" fontId="29" numFmtId="0" xfId="0" applyAlignment="1" applyFont="1">
      <alignment readingOrder="0" shrinkToFit="0" wrapText="1"/>
    </xf>
    <xf borderId="5" fillId="8" fontId="28" numFmtId="10" xfId="0" applyAlignment="1" applyBorder="1" applyFont="1" applyNumberFormat="1">
      <alignment horizontal="center" readingOrder="0" shrinkToFit="0" vertical="center" wrapText="0"/>
    </xf>
    <xf borderId="5" fillId="8" fontId="28" numFmtId="4" xfId="0" applyAlignment="1" applyBorder="1" applyFont="1" applyNumberFormat="1">
      <alignment horizontal="center" readingOrder="0" shrinkToFit="0" vertical="center" wrapText="0"/>
    </xf>
    <xf borderId="5" fillId="8" fontId="28" numFmtId="0" xfId="0" applyAlignment="1" applyBorder="1" applyFont="1">
      <alignment horizontal="center" readingOrder="0" shrinkToFit="0" vertical="center" wrapText="0"/>
    </xf>
    <xf borderId="5" fillId="8" fontId="28" numFmtId="0" xfId="0" applyAlignment="1" applyBorder="1" applyFont="1">
      <alignment readingOrder="0" shrinkToFit="0" vertical="center" wrapText="1"/>
    </xf>
    <xf borderId="0" fillId="8" fontId="28" numFmtId="0" xfId="0" applyAlignment="1" applyFont="1">
      <alignment readingOrder="0" shrinkToFit="0" vertical="center" wrapText="0"/>
    </xf>
    <xf borderId="0" fillId="2" fontId="28" numFmtId="14" xfId="0" applyAlignment="1" applyFont="1" applyNumberFormat="1">
      <alignment shrinkToFit="0" wrapText="0"/>
    </xf>
    <xf borderId="0" fillId="2" fontId="28" numFmtId="49" xfId="0" applyAlignment="1" applyFont="1" applyNumberFormat="1">
      <alignment shrinkToFit="0" wrapText="0"/>
    </xf>
    <xf borderId="0" fillId="2" fontId="28" numFmtId="2" xfId="0" applyAlignment="1" applyFont="1" applyNumberFormat="1">
      <alignment shrinkToFit="0" wrapText="0"/>
    </xf>
    <xf borderId="0" fillId="2" fontId="28" numFmtId="0" xfId="0" applyAlignment="1" applyFont="1">
      <alignment shrinkToFit="0" wrapText="1"/>
    </xf>
    <xf borderId="5" fillId="8" fontId="28" numFmtId="16" xfId="0" applyAlignment="1" applyBorder="1" applyFont="1" applyNumberFormat="1">
      <alignment shrinkToFit="0" wrapText="0"/>
    </xf>
    <xf borderId="5" fillId="0" fontId="28" numFmtId="0" xfId="0" applyAlignment="1" applyBorder="1" applyFont="1">
      <alignment shrinkToFit="0" wrapText="0"/>
    </xf>
    <xf borderId="5" fillId="0" fontId="28" numFmtId="10" xfId="0" applyAlignment="1" applyBorder="1" applyFont="1" applyNumberFormat="1">
      <alignment shrinkToFit="0" wrapText="0"/>
    </xf>
    <xf borderId="29" fillId="0" fontId="28" numFmtId="0" xfId="0" applyAlignment="1" applyBorder="1" applyFont="1">
      <alignment shrinkToFit="0" wrapText="1"/>
    </xf>
    <xf borderId="27" fillId="0" fontId="28" numFmtId="0" xfId="0" applyAlignment="1" applyBorder="1" applyFont="1">
      <alignment shrinkToFit="0" wrapText="1"/>
    </xf>
    <xf borderId="5" fillId="0" fontId="28" numFmtId="0" xfId="0" applyAlignment="1" applyBorder="1" applyFont="1">
      <alignment shrinkToFit="0" wrapText="1"/>
    </xf>
    <xf borderId="0" fillId="8" fontId="29" numFmtId="14" xfId="0" applyAlignment="1" applyFont="1" applyNumberFormat="1">
      <alignment readingOrder="0" shrinkToFit="0" wrapText="0"/>
    </xf>
    <xf borderId="0" fillId="8" fontId="29" numFmtId="49" xfId="0" applyAlignment="1" applyFont="1" applyNumberFormat="1">
      <alignment readingOrder="0" shrinkToFit="0" wrapText="0"/>
    </xf>
    <xf borderId="0" fillId="8" fontId="28" numFmtId="14" xfId="0" applyAlignment="1" applyFont="1" applyNumberFormat="1">
      <alignment shrinkToFit="0" wrapText="0"/>
    </xf>
    <xf borderId="0" fillId="8" fontId="28" numFmtId="49" xfId="0" applyAlignment="1" applyFont="1" applyNumberFormat="1">
      <alignment shrinkToFit="0" wrapText="0"/>
    </xf>
    <xf borderId="0" fillId="8" fontId="28" numFmtId="2" xfId="0" applyAlignment="1" applyFont="1" applyNumberFormat="1">
      <alignment shrinkToFit="0" wrapText="0"/>
    </xf>
    <xf borderId="0" fillId="8" fontId="28" numFmtId="0" xfId="0" applyAlignment="1" applyFont="1">
      <alignment shrinkToFit="0" wrapText="1"/>
    </xf>
    <xf borderId="0" fillId="0" fontId="28" numFmtId="16" xfId="0" applyAlignment="1" applyFont="1" applyNumberFormat="1">
      <alignment shrinkToFit="0" wrapText="0"/>
    </xf>
    <xf borderId="0" fillId="0" fontId="1" numFmtId="3" xfId="0" applyAlignment="1" applyFont="1" applyNumberFormat="1">
      <alignment readingOrder="0" shrinkToFit="0" wrapText="0"/>
    </xf>
    <xf borderId="0" fillId="0" fontId="1" numFmtId="168" xfId="0" applyAlignment="1" applyFont="1" applyNumberFormat="1">
      <alignment readingOrder="0" shrinkToFit="0" wrapText="0"/>
    </xf>
    <xf borderId="0" fillId="0" fontId="1" numFmtId="2" xfId="0" applyAlignment="1" applyFont="1" applyNumberFormat="1">
      <alignment readingOrder="0" shrinkToFit="0" wrapText="0"/>
    </xf>
    <xf borderId="0" fillId="0" fontId="28" numFmtId="14" xfId="0" applyAlignment="1" applyFont="1" applyNumberFormat="1">
      <alignment readingOrder="0" shrinkToFit="0" wrapText="0"/>
    </xf>
    <xf borderId="0" fillId="0" fontId="20" numFmtId="10" xfId="0" applyAlignment="1" applyFont="1" applyNumberFormat="1">
      <alignment readingOrder="0"/>
    </xf>
    <xf borderId="0" fillId="0" fontId="28" numFmtId="0" xfId="0" applyAlignment="1" applyFont="1">
      <alignment readingOrder="0" shrinkToFit="0" wrapText="0"/>
    </xf>
    <xf borderId="0" fillId="0" fontId="28" numFmtId="14" xfId="0" applyAlignment="1" applyFont="1" applyNumberFormat="1">
      <alignment readingOrder="0" shrinkToFit="0" wrapText="1"/>
    </xf>
    <xf borderId="0" fillId="0" fontId="28" numFmtId="0" xfId="0" applyAlignment="1" applyFont="1">
      <alignment readingOrder="0" shrinkToFit="0" wrapText="1"/>
    </xf>
    <xf borderId="5" fillId="8" fontId="28" numFmtId="14" xfId="0" applyAlignment="1" applyBorder="1" applyFont="1" applyNumberFormat="1">
      <alignment horizontal="right" readingOrder="0" shrinkToFit="0" vertical="bottom" wrapText="0"/>
    </xf>
    <xf borderId="27" fillId="8" fontId="28" numFmtId="0" xfId="0" applyAlignment="1" applyBorder="1" applyFont="1">
      <alignment readingOrder="0" shrinkToFit="0" vertical="bottom" wrapText="0"/>
    </xf>
    <xf borderId="27" fillId="8" fontId="26" numFmtId="0" xfId="0" applyAlignment="1" applyBorder="1" applyFont="1">
      <alignment readingOrder="0" vertical="bottom"/>
    </xf>
    <xf borderId="27" fillId="8" fontId="26" numFmtId="14" xfId="0" applyAlignment="1" applyBorder="1" applyFont="1" applyNumberFormat="1">
      <alignment vertical="bottom"/>
    </xf>
    <xf borderId="27" fillId="8" fontId="28" numFmtId="10" xfId="0" applyAlignment="1" applyBorder="1" applyFont="1" applyNumberFormat="1">
      <alignment horizontal="center" shrinkToFit="0" vertical="bottom" wrapText="0"/>
    </xf>
    <xf borderId="27" fillId="8" fontId="26" numFmtId="166" xfId="0" applyAlignment="1" applyBorder="1" applyFont="1" applyNumberFormat="1">
      <alignment vertical="bottom"/>
    </xf>
    <xf borderId="27" fillId="8" fontId="28" numFmtId="0" xfId="0" applyAlignment="1" applyBorder="1" applyFont="1">
      <alignment horizontal="right" shrinkToFit="0" vertical="bottom" wrapText="0"/>
    </xf>
    <xf borderId="27" fillId="8" fontId="26" numFmtId="0" xfId="0" applyAlignment="1" applyBorder="1" applyFont="1">
      <alignment vertical="bottom"/>
    </xf>
    <xf borderId="0" fillId="8" fontId="28" numFmtId="174" xfId="0" applyAlignment="1" applyFont="1" applyNumberFormat="1">
      <alignment readingOrder="0" shrinkToFit="0" wrapText="0"/>
    </xf>
    <xf borderId="0" fillId="5" fontId="28" numFmtId="14" xfId="0" applyAlignment="1" applyFont="1" applyNumberFormat="1">
      <alignment shrinkToFit="0" wrapText="0"/>
    </xf>
    <xf borderId="0" fillId="5" fontId="28" numFmtId="0" xfId="0" applyAlignment="1" applyFont="1">
      <alignment shrinkToFit="0" wrapText="0"/>
    </xf>
    <xf borderId="0" fillId="5" fontId="28" numFmtId="10" xfId="0" applyAlignment="1" applyFont="1" applyNumberFormat="1">
      <alignment shrinkToFit="0" wrapText="0"/>
    </xf>
    <xf borderId="0" fillId="5" fontId="28" numFmtId="166" xfId="0" applyAlignment="1" applyFont="1" applyNumberFormat="1">
      <alignment shrinkToFit="0" wrapText="0"/>
    </xf>
    <xf borderId="0" fillId="0" fontId="28" numFmtId="1" xfId="0" applyAlignment="1" applyFont="1" applyNumberFormat="1">
      <alignment readingOrder="0" shrinkToFit="0" wrapText="0"/>
    </xf>
    <xf borderId="0" fillId="0" fontId="28" numFmtId="1" xfId="0" applyAlignment="1" applyFont="1" applyNumberFormat="1">
      <alignment shrinkToFit="0" wrapText="0"/>
    </xf>
    <xf borderId="0" fillId="0" fontId="28" numFmtId="0" xfId="0" applyAlignment="1" applyFont="1">
      <alignment horizontal="left" shrinkToFit="0" wrapText="0"/>
    </xf>
    <xf borderId="0" fillId="0" fontId="28" numFmtId="166" xfId="0" applyAlignment="1" applyFont="1" applyNumberFormat="1">
      <alignment readingOrder="0" shrinkToFit="0" wrapText="0"/>
    </xf>
    <xf borderId="0" fillId="0" fontId="20" numFmtId="0" xfId="0" applyAlignment="1" applyFont="1">
      <alignment readingOrder="0" shrinkToFit="0" wrapText="1"/>
    </xf>
    <xf borderId="0" fillId="0" fontId="28" numFmtId="0" xfId="0" applyAlignment="1" applyFont="1">
      <alignment horizontal="left" shrinkToFit="0" wrapText="1"/>
    </xf>
    <xf borderId="0" fillId="0" fontId="29" numFmtId="0" xfId="0" applyAlignment="1" applyFont="1">
      <alignment readingOrder="0" shrinkToFit="0" wrapText="1"/>
    </xf>
    <xf borderId="5" fillId="5" fontId="28" numFmtId="14" xfId="0" applyAlignment="1" applyBorder="1" applyFont="1" applyNumberFormat="1">
      <alignment shrinkToFit="0" wrapText="0"/>
    </xf>
    <xf borderId="5" fillId="5" fontId="28" numFmtId="0" xfId="0" applyAlignment="1" applyBorder="1" applyFont="1">
      <alignment shrinkToFit="0" wrapText="0"/>
    </xf>
    <xf borderId="5" fillId="5" fontId="28" numFmtId="16" xfId="0" applyAlignment="1" applyBorder="1" applyFont="1" applyNumberFormat="1">
      <alignment shrinkToFit="0" wrapText="0"/>
    </xf>
    <xf borderId="5" fillId="5" fontId="28" numFmtId="10" xfId="0" applyAlignment="1" applyBorder="1" applyFont="1" applyNumberFormat="1">
      <alignment shrinkToFit="0" wrapText="0"/>
    </xf>
    <xf borderId="5" fillId="5" fontId="28" numFmtId="166" xfId="0" applyAlignment="1" applyBorder="1" applyFont="1" applyNumberFormat="1">
      <alignment shrinkToFit="0" wrapText="0"/>
    </xf>
    <xf borderId="5" fillId="5" fontId="28" numFmtId="1" xfId="0" applyAlignment="1" applyBorder="1" applyFont="1" applyNumberFormat="1">
      <alignment shrinkToFit="0" wrapText="0"/>
    </xf>
    <xf borderId="5" fillId="5" fontId="28" numFmtId="0" xfId="0" applyAlignment="1" applyBorder="1" applyFont="1">
      <alignment readingOrder="0" shrinkToFit="0" wrapText="0"/>
    </xf>
    <xf borderId="5" fillId="5" fontId="28" numFmtId="0" xfId="0" applyAlignment="1" applyBorder="1" applyFont="1">
      <alignment horizontal="left" readingOrder="0" shrinkToFit="0" wrapText="0"/>
    </xf>
    <xf borderId="0" fillId="5" fontId="28" numFmtId="0" xfId="0" applyAlignment="1" applyFont="1">
      <alignment readingOrder="0" shrinkToFit="0" wrapText="0"/>
    </xf>
    <xf borderId="5" fillId="0" fontId="28" numFmtId="1" xfId="0" applyAlignment="1" applyBorder="1" applyFont="1" applyNumberFormat="1">
      <alignment shrinkToFit="0" wrapText="0"/>
    </xf>
    <xf borderId="5" fillId="0" fontId="28" numFmtId="0" xfId="0" applyAlignment="1" applyBorder="1" applyFont="1">
      <alignment readingOrder="0" shrinkToFit="0" wrapText="0"/>
    </xf>
    <xf borderId="5" fillId="0" fontId="28" numFmtId="0" xfId="0" applyAlignment="1" applyBorder="1" applyFont="1">
      <alignment horizontal="left" readingOrder="0" shrinkToFit="0" wrapText="0"/>
    </xf>
    <xf borderId="0" fillId="0" fontId="28" numFmtId="0" xfId="0" applyAlignment="1" applyFont="1">
      <alignment readingOrder="0" shrinkToFit="0" wrapText="0"/>
    </xf>
    <xf borderId="5" fillId="0" fontId="28" numFmtId="0" xfId="0" applyAlignment="1" applyBorder="1" applyFont="1">
      <alignment horizontal="left" shrinkToFit="0" wrapText="0"/>
    </xf>
    <xf borderId="5" fillId="5" fontId="28" numFmtId="0" xfId="0" applyAlignment="1" applyBorder="1" applyFont="1">
      <alignment horizontal="left" shrinkToFit="0" wrapText="0"/>
    </xf>
    <xf borderId="0" fillId="5" fontId="28" numFmtId="16" xfId="0" applyAlignment="1" applyFont="1" applyNumberFormat="1">
      <alignment shrinkToFit="0" wrapText="0"/>
    </xf>
    <xf borderId="0" fillId="5" fontId="28" numFmtId="1" xfId="0" applyAlignment="1" applyFont="1" applyNumberFormat="1">
      <alignment shrinkToFit="0" wrapText="0"/>
    </xf>
    <xf borderId="0" fillId="5" fontId="28" numFmtId="0" xfId="0" applyAlignment="1" applyFont="1">
      <alignment horizontal="left" readingOrder="0" shrinkToFit="0" wrapText="0"/>
    </xf>
    <xf borderId="0" fillId="5" fontId="28" numFmtId="0" xfId="0" applyAlignment="1" applyFont="1">
      <alignment horizontal="left" shrinkToFit="0" wrapText="0"/>
    </xf>
    <xf borderId="30" fillId="8" fontId="34" numFmtId="14" xfId="0" applyAlignment="1" applyBorder="1" applyFont="1" applyNumberFormat="1">
      <alignment horizontal="right" shrinkToFit="0" vertical="bottom" wrapText="0"/>
    </xf>
    <xf borderId="30" fillId="8" fontId="34" numFmtId="0" xfId="0" applyAlignment="1" applyBorder="1" applyFont="1">
      <alignment shrinkToFit="0" vertical="bottom" wrapText="0"/>
    </xf>
    <xf borderId="30" fillId="8" fontId="53" numFmtId="16" xfId="0" applyAlignment="1" applyBorder="1" applyFont="1" applyNumberFormat="1">
      <alignment vertical="bottom"/>
    </xf>
    <xf borderId="30" fillId="8" fontId="53" numFmtId="10" xfId="0" applyAlignment="1" applyBorder="1" applyFont="1" applyNumberFormat="1">
      <alignment vertical="bottom"/>
    </xf>
    <xf borderId="30" fillId="8" fontId="53" numFmtId="14" xfId="0" applyAlignment="1" applyBorder="1" applyFont="1" applyNumberFormat="1">
      <alignment vertical="bottom"/>
    </xf>
    <xf borderId="30" fillId="8" fontId="34" numFmtId="166" xfId="0" applyAlignment="1" applyBorder="1" applyFont="1" applyNumberFormat="1">
      <alignment horizontal="right" shrinkToFit="0" vertical="bottom" wrapText="0"/>
    </xf>
    <xf borderId="30" fillId="8" fontId="53" numFmtId="166" xfId="0" applyAlignment="1" applyBorder="1" applyFont="1" applyNumberFormat="1">
      <alignment vertical="bottom"/>
    </xf>
    <xf borderId="30" fillId="8" fontId="34" numFmtId="1" xfId="0" applyAlignment="1" applyBorder="1" applyFont="1" applyNumberFormat="1">
      <alignment horizontal="right" shrinkToFit="0" vertical="bottom" wrapText="0"/>
    </xf>
    <xf borderId="30" fillId="8" fontId="53" numFmtId="1" xfId="0" applyAlignment="1" applyBorder="1" applyFont="1" applyNumberFormat="1">
      <alignment vertical="bottom"/>
    </xf>
    <xf borderId="30" fillId="8" fontId="34" numFmtId="0" xfId="0" applyAlignment="1" applyBorder="1" applyFont="1">
      <alignment horizontal="left" shrinkToFit="0" vertical="bottom" wrapText="0"/>
    </xf>
    <xf borderId="5" fillId="2" fontId="28" numFmtId="1" xfId="0" applyAlignment="1" applyBorder="1" applyFont="1" applyNumberFormat="1">
      <alignment shrinkToFit="0" wrapText="0"/>
    </xf>
    <xf borderId="5" fillId="2" fontId="28" numFmtId="0" xfId="0" applyAlignment="1" applyBorder="1" applyFont="1">
      <alignment horizontal="left" shrinkToFit="0" wrapText="0"/>
    </xf>
    <xf borderId="5" fillId="8" fontId="28" numFmtId="1" xfId="0" applyAlignment="1" applyBorder="1" applyFont="1" applyNumberFormat="1">
      <alignment shrinkToFit="0" wrapText="0"/>
    </xf>
    <xf borderId="5" fillId="8" fontId="28" numFmtId="0" xfId="0" applyAlignment="1" applyBorder="1" applyFont="1">
      <alignment horizontal="left" shrinkToFit="0" wrapText="0"/>
    </xf>
    <xf borderId="5" fillId="0" fontId="28" numFmtId="16" xfId="0" applyAlignment="1" applyBorder="1" applyFont="1" applyNumberFormat="1">
      <alignment shrinkToFit="0" wrapText="0"/>
    </xf>
    <xf borderId="0" fillId="2" fontId="28" numFmtId="166" xfId="0" applyAlignment="1" applyFont="1" applyNumberFormat="1">
      <alignment readingOrder="0" shrinkToFit="0" wrapText="0"/>
    </xf>
    <xf borderId="5" fillId="8" fontId="28" numFmtId="0" xfId="0" applyAlignment="1" applyBorder="1" applyFont="1">
      <alignment horizontal="left" readingOrder="0" shrinkToFit="0" wrapText="0"/>
    </xf>
    <xf borderId="0" fillId="8" fontId="28" numFmtId="16" xfId="0" applyAlignment="1" applyFont="1" applyNumberFormat="1">
      <alignment shrinkToFit="0" wrapText="0"/>
    </xf>
    <xf borderId="0" fillId="8" fontId="28" numFmtId="1" xfId="0" applyAlignment="1" applyFont="1" applyNumberFormat="1">
      <alignment shrinkToFit="0" wrapText="0"/>
    </xf>
    <xf borderId="0" fillId="8" fontId="28" numFmtId="0" xfId="0" applyAlignment="1" applyFont="1">
      <alignment horizontal="left" shrinkToFit="0" wrapText="0"/>
    </xf>
    <xf borderId="5" fillId="2" fontId="28" numFmtId="0" xfId="0" applyAlignment="1" applyBorder="1" applyFont="1">
      <alignment horizontal="left" readingOrder="0" shrinkToFit="0" wrapText="0"/>
    </xf>
    <xf borderId="5" fillId="0" fontId="28" numFmtId="0" xfId="0" applyAlignment="1" applyBorder="1" applyFont="1">
      <alignment shrinkToFit="0" wrapText="1"/>
    </xf>
    <xf borderId="5" fillId="0" fontId="28" numFmtId="2" xfId="0" applyAlignment="1" applyBorder="1" applyFont="1" applyNumberFormat="1">
      <alignment horizontal="center" shrinkToFit="0" wrapText="0"/>
    </xf>
    <xf borderId="5" fillId="0" fontId="28" numFmtId="1" xfId="0" applyAlignment="1" applyBorder="1" applyFont="1" applyNumberFormat="1">
      <alignment horizontal="center" shrinkToFit="0" wrapText="0"/>
    </xf>
    <xf borderId="5" fillId="0" fontId="28" numFmtId="4" xfId="0" applyAlignment="1" applyBorder="1" applyFont="1" applyNumberFormat="1">
      <alignment horizontal="center" shrinkToFit="0" wrapText="0"/>
    </xf>
    <xf borderId="5" fillId="0" fontId="28" numFmtId="1" xfId="0" applyAlignment="1" applyBorder="1" applyFont="1" applyNumberFormat="1">
      <alignment horizontal="center" readingOrder="0" shrinkToFit="0" wrapText="0"/>
    </xf>
    <xf borderId="5" fillId="0" fontId="28" numFmtId="0" xfId="0" applyAlignment="1" applyBorder="1" applyFont="1">
      <alignment horizontal="center" shrinkToFit="0" wrapText="0"/>
    </xf>
    <xf borderId="5" fillId="8" fontId="28" numFmtId="2" xfId="0" applyAlignment="1" applyBorder="1" applyFont="1" applyNumberFormat="1">
      <alignment horizontal="center" shrinkToFit="0" wrapText="0"/>
    </xf>
    <xf borderId="5" fillId="8" fontId="28" numFmtId="1" xfId="0" applyAlignment="1" applyBorder="1" applyFont="1" applyNumberFormat="1">
      <alignment horizontal="center" shrinkToFit="0" wrapText="0"/>
    </xf>
    <xf borderId="5" fillId="8" fontId="28" numFmtId="4" xfId="0" applyAlignment="1" applyBorder="1" applyFont="1" applyNumberFormat="1">
      <alignment horizontal="center" shrinkToFit="0" wrapText="0"/>
    </xf>
    <xf borderId="5" fillId="8" fontId="29" numFmtId="0" xfId="0" applyAlignment="1" applyBorder="1" applyFont="1">
      <alignment horizontal="left" readingOrder="0" shrinkToFit="0" wrapText="0"/>
    </xf>
    <xf borderId="5" fillId="8" fontId="28" numFmtId="0" xfId="0" applyAlignment="1" applyBorder="1" applyFont="1">
      <alignment horizontal="center" readingOrder="0" shrinkToFit="0" wrapText="0"/>
    </xf>
    <xf borderId="5" fillId="8" fontId="28" numFmtId="14" xfId="0" applyAlignment="1" applyBorder="1" applyFont="1" applyNumberFormat="1">
      <alignment horizontal="right" vertical="bottom"/>
    </xf>
    <xf borderId="27" fillId="8" fontId="28" numFmtId="0" xfId="0" applyAlignment="1" applyBorder="1" applyFont="1">
      <alignment vertical="bottom"/>
    </xf>
    <xf borderId="27" fillId="8" fontId="28" numFmtId="16" xfId="0" applyAlignment="1" applyBorder="1" applyFont="1" applyNumberFormat="1">
      <alignment vertical="bottom"/>
    </xf>
    <xf borderId="27" fillId="8" fontId="26" numFmtId="10" xfId="0" applyAlignment="1" applyBorder="1" applyFont="1" applyNumberFormat="1">
      <alignment vertical="bottom"/>
    </xf>
    <xf borderId="27" fillId="8" fontId="28" numFmtId="10" xfId="0" applyAlignment="1" applyBorder="1" applyFont="1" applyNumberFormat="1">
      <alignment horizontal="right" vertical="bottom"/>
    </xf>
    <xf borderId="27" fillId="8" fontId="28" numFmtId="166" xfId="0" applyAlignment="1" applyBorder="1" applyFont="1" applyNumberFormat="1">
      <alignment horizontal="right" vertical="bottom"/>
    </xf>
    <xf borderId="27" fillId="8" fontId="28" numFmtId="2" xfId="0" applyAlignment="1" applyBorder="1" applyFont="1" applyNumberFormat="1">
      <alignment horizontal="center" readingOrder="0" vertical="bottom"/>
    </xf>
    <xf borderId="27" fillId="8" fontId="28" numFmtId="175" xfId="0" applyAlignment="1" applyBorder="1" applyFont="1" applyNumberFormat="1">
      <alignment horizontal="center" readingOrder="0" vertical="bottom"/>
    </xf>
    <xf borderId="27" fillId="8" fontId="28" numFmtId="4" xfId="0" applyAlignment="1" applyBorder="1" applyFont="1" applyNumberFormat="1">
      <alignment horizontal="center" vertical="bottom"/>
    </xf>
    <xf borderId="27" fillId="8" fontId="28" numFmtId="2" xfId="0" applyAlignment="1" applyBorder="1" applyFont="1" applyNumberFormat="1">
      <alignment horizontal="center" vertical="bottom"/>
    </xf>
    <xf borderId="27" fillId="8" fontId="28" numFmtId="10" xfId="0" applyAlignment="1" applyBorder="1" applyFont="1" applyNumberFormat="1">
      <alignment horizontal="center" readingOrder="0" vertical="bottom"/>
    </xf>
    <xf borderId="27" fillId="8" fontId="29" numFmtId="175" xfId="0" applyAlignment="1" applyBorder="1" applyFont="1" applyNumberFormat="1">
      <alignment horizontal="center" readingOrder="0" vertical="bottom"/>
    </xf>
    <xf borderId="27" fillId="8" fontId="29" numFmtId="175" xfId="0" applyAlignment="1" applyBorder="1" applyFont="1" applyNumberFormat="1">
      <alignment horizontal="left" readingOrder="0" vertical="bottom"/>
    </xf>
    <xf borderId="27" fillId="8" fontId="28" numFmtId="0" xfId="0" applyAlignment="1" applyBorder="1" applyFont="1">
      <alignment horizontal="center" vertical="bottom"/>
    </xf>
    <xf borderId="27" fillId="8" fontId="29" numFmtId="0" xfId="0" applyAlignment="1" applyBorder="1" applyFont="1">
      <alignment vertical="bottom"/>
    </xf>
    <xf borderId="27" fillId="8" fontId="28" numFmtId="0" xfId="0" applyAlignment="1" applyBorder="1" applyFont="1">
      <alignment vertical="bottom"/>
    </xf>
    <xf borderId="27" fillId="8" fontId="29" numFmtId="0" xfId="0" applyAlignment="1" applyBorder="1" applyFont="1">
      <alignment horizontal="right" vertical="bottom"/>
    </xf>
    <xf borderId="27" fillId="8" fontId="28" numFmtId="4" xfId="0" applyAlignment="1" applyBorder="1" applyFont="1" applyNumberFormat="1">
      <alignment horizontal="right" vertical="bottom"/>
    </xf>
    <xf borderId="27" fillId="8" fontId="28" numFmtId="175" xfId="0" applyAlignment="1" applyBorder="1" applyFont="1" applyNumberFormat="1">
      <alignment horizontal="center" vertical="bottom"/>
    </xf>
    <xf borderId="27" fillId="8" fontId="28" numFmtId="10" xfId="0" applyAlignment="1" applyBorder="1" applyFont="1" applyNumberFormat="1">
      <alignment horizontal="center" vertical="bottom"/>
    </xf>
    <xf borderId="27" fillId="8" fontId="29" numFmtId="175" xfId="0" applyAlignment="1" applyBorder="1" applyFont="1" applyNumberFormat="1">
      <alignment horizontal="center" vertical="bottom"/>
    </xf>
    <xf borderId="27" fillId="8" fontId="28" numFmtId="0" xfId="0" applyAlignment="1" applyBorder="1" applyFont="1">
      <alignment horizontal="center" vertical="bottom"/>
    </xf>
    <xf borderId="5" fillId="8" fontId="28" numFmtId="4" xfId="0" applyAlignment="1" applyBorder="1" applyFont="1" applyNumberFormat="1">
      <alignment shrinkToFit="0" wrapText="0"/>
    </xf>
    <xf borderId="5" fillId="8" fontId="28" numFmtId="2" xfId="0" applyAlignment="1" applyBorder="1" applyFont="1" applyNumberFormat="1">
      <alignment horizontal="center" readingOrder="0" shrinkToFit="0" wrapText="0"/>
    </xf>
    <xf borderId="5" fillId="8" fontId="28" numFmtId="175" xfId="0" applyAlignment="1" applyBorder="1" applyFont="1" applyNumberFormat="1">
      <alignment horizontal="center" readingOrder="0" shrinkToFit="0" wrapText="0"/>
    </xf>
    <xf borderId="5" fillId="8" fontId="28" numFmtId="10" xfId="0" applyAlignment="1" applyBorder="1" applyFont="1" applyNumberFormat="1">
      <alignment horizontal="center" readingOrder="0" shrinkToFit="0" wrapText="0"/>
    </xf>
    <xf borderId="0" fillId="8" fontId="28" numFmtId="4" xfId="0" applyAlignment="1" applyFont="1" applyNumberFormat="1">
      <alignment shrinkToFit="0" wrapText="0"/>
    </xf>
    <xf borderId="0" fillId="8" fontId="28" numFmtId="2" xfId="0" applyAlignment="1" applyFont="1" applyNumberFormat="1">
      <alignment horizontal="center" readingOrder="0" shrinkToFit="0" wrapText="0"/>
    </xf>
    <xf borderId="0" fillId="8" fontId="28" numFmtId="175" xfId="0" applyAlignment="1" applyFont="1" applyNumberFormat="1">
      <alignment horizontal="center" readingOrder="0" shrinkToFit="0" wrapText="0"/>
    </xf>
    <xf borderId="0" fillId="8" fontId="28" numFmtId="10" xfId="0" applyAlignment="1" applyFont="1" applyNumberFormat="1">
      <alignment horizontal="center" readingOrder="0" shrinkToFit="0" wrapText="0"/>
    </xf>
    <xf borderId="0" fillId="8" fontId="28" numFmtId="0" xfId="0" applyAlignment="1" applyFont="1">
      <alignment horizontal="center" readingOrder="0" shrinkToFit="0" wrapText="0"/>
    </xf>
    <xf borderId="5" fillId="8" fontId="28" numFmtId="0" xfId="0" applyAlignment="1" applyBorder="1" applyFont="1">
      <alignment horizontal="center" shrinkToFit="0" wrapText="0"/>
    </xf>
    <xf borderId="0" fillId="8" fontId="29" numFmtId="0" xfId="0" applyAlignment="1" applyFont="1">
      <alignment shrinkToFit="0" wrapText="0"/>
    </xf>
    <xf borderId="0" fillId="8" fontId="29" numFmtId="2" xfId="0" applyAlignment="1" applyFont="1" applyNumberFormat="1">
      <alignment horizontal="center" shrinkToFit="0" wrapText="0"/>
    </xf>
    <xf borderId="0" fillId="8" fontId="29" numFmtId="175" xfId="0" applyAlignment="1" applyFont="1" applyNumberFormat="1">
      <alignment horizontal="center" shrinkToFit="0" wrapText="0"/>
    </xf>
    <xf borderId="0" fillId="8" fontId="29" numFmtId="10" xfId="0" applyAlignment="1" applyFont="1" applyNumberFormat="1">
      <alignment horizontal="center" shrinkToFit="0" wrapText="0"/>
    </xf>
    <xf borderId="0" fillId="8" fontId="29" numFmtId="0" xfId="0" applyAlignment="1" applyFont="1">
      <alignment horizontal="center" shrinkToFit="0" wrapText="0"/>
    </xf>
    <xf borderId="0" fillId="5" fontId="29" numFmtId="0" xfId="0" applyAlignment="1" applyFont="1">
      <alignment readingOrder="0" shrinkToFit="0" wrapText="0"/>
    </xf>
    <xf borderId="30" fillId="8" fontId="28" numFmtId="14" xfId="0" applyAlignment="1" applyBorder="1" applyFont="1" applyNumberFormat="1">
      <alignment horizontal="right" vertical="bottom"/>
    </xf>
    <xf borderId="30" fillId="8" fontId="28" numFmtId="0" xfId="0" applyAlignment="1" applyBorder="1" applyFont="1">
      <alignment vertical="bottom"/>
    </xf>
    <xf borderId="30" fillId="8" fontId="28" numFmtId="0" xfId="0" applyAlignment="1" applyBorder="1" applyFont="1">
      <alignment horizontal="right" vertical="bottom"/>
    </xf>
    <xf borderId="30" fillId="8" fontId="28" numFmtId="10" xfId="0" applyAlignment="1" applyBorder="1" applyFont="1" applyNumberFormat="1">
      <alignment horizontal="center" vertical="bottom"/>
    </xf>
    <xf borderId="30" fillId="8" fontId="28" numFmtId="4" xfId="0" applyAlignment="1" applyBorder="1" applyFont="1" applyNumberFormat="1">
      <alignment horizontal="center" vertical="bottom"/>
    </xf>
    <xf borderId="30" fillId="8" fontId="26" numFmtId="166" xfId="0" applyAlignment="1" applyBorder="1" applyFont="1" applyNumberFormat="1">
      <alignment vertical="bottom"/>
    </xf>
    <xf borderId="0" fillId="8" fontId="28" numFmtId="166" xfId="0" applyAlignment="1" applyFont="1" applyNumberFormat="1">
      <alignment horizontal="right" vertical="bottom"/>
    </xf>
    <xf borderId="30" fillId="8" fontId="26" numFmtId="2" xfId="0" applyAlignment="1" applyBorder="1" applyFont="1" applyNumberFormat="1">
      <alignment vertical="bottom"/>
    </xf>
    <xf borderId="30" fillId="8" fontId="26" numFmtId="1" xfId="0" applyAlignment="1" applyBorder="1" applyFont="1" applyNumberFormat="1">
      <alignment vertical="bottom"/>
    </xf>
    <xf borderId="30" fillId="8" fontId="26" numFmtId="0" xfId="0" applyAlignment="1" applyBorder="1" applyFont="1">
      <alignment vertical="bottom"/>
    </xf>
    <xf borderId="31" fillId="8" fontId="28" numFmtId="166" xfId="0" applyAlignment="1" applyBorder="1" applyFont="1" applyNumberFormat="1">
      <alignment horizontal="right" vertical="bottom"/>
    </xf>
    <xf borderId="27" fillId="8" fontId="26" numFmtId="2" xfId="0" applyAlignment="1" applyBorder="1" applyFont="1" applyNumberFormat="1">
      <alignment vertical="bottom"/>
    </xf>
    <xf borderId="27" fillId="8" fontId="26" numFmtId="1" xfId="0" applyAlignment="1" applyBorder="1" applyFont="1" applyNumberFormat="1">
      <alignment vertical="bottom"/>
    </xf>
    <xf borderId="32" fillId="8" fontId="28" numFmtId="14" xfId="0" applyAlignment="1" applyBorder="1" applyFont="1" applyNumberFormat="1">
      <alignment horizontal="right" vertical="bottom"/>
    </xf>
    <xf borderId="33" fillId="8" fontId="28" numFmtId="0" xfId="0" applyAlignment="1" applyBorder="1" applyFont="1">
      <alignment vertical="bottom"/>
    </xf>
    <xf borderId="33" fillId="8" fontId="28" numFmtId="0" xfId="0" applyAlignment="1" applyBorder="1" applyFont="1">
      <alignment horizontal="right" vertical="bottom"/>
    </xf>
    <xf borderId="33" fillId="8" fontId="28" numFmtId="10" xfId="0" applyAlignment="1" applyBorder="1" applyFont="1" applyNumberFormat="1">
      <alignment horizontal="center" vertical="bottom"/>
    </xf>
    <xf borderId="33" fillId="8" fontId="28" numFmtId="4" xfId="0" applyAlignment="1" applyBorder="1" applyFont="1" applyNumberFormat="1">
      <alignment horizontal="center" vertical="bottom"/>
    </xf>
    <xf borderId="33" fillId="8" fontId="26" numFmtId="166" xfId="0" applyAlignment="1" applyBorder="1" applyFont="1" applyNumberFormat="1">
      <alignment vertical="bottom"/>
    </xf>
    <xf borderId="33" fillId="8" fontId="28" numFmtId="166" xfId="0" applyAlignment="1" applyBorder="1" applyFont="1" applyNumberFormat="1">
      <alignment horizontal="right" vertical="bottom"/>
    </xf>
    <xf borderId="33" fillId="8" fontId="26" numFmtId="2" xfId="0" applyAlignment="1" applyBorder="1" applyFont="1" applyNumberFormat="1">
      <alignment vertical="bottom"/>
    </xf>
    <xf borderId="33" fillId="8" fontId="26" numFmtId="1" xfId="0" applyAlignment="1" applyBorder="1" applyFont="1" applyNumberFormat="1">
      <alignment vertical="bottom"/>
    </xf>
    <xf borderId="33" fillId="8" fontId="26" numFmtId="0" xfId="0" applyAlignment="1" applyBorder="1" applyFont="1">
      <alignment vertical="bottom"/>
    </xf>
    <xf borderId="33" fillId="8" fontId="28" numFmtId="16" xfId="0" applyAlignment="1" applyBorder="1" applyFont="1" applyNumberFormat="1">
      <alignment horizontal="right" vertical="bottom"/>
    </xf>
    <xf borderId="33" fillId="8" fontId="26" numFmtId="10" xfId="0" applyAlignment="1" applyBorder="1" applyFont="1" applyNumberFormat="1">
      <alignment vertical="bottom"/>
    </xf>
    <xf borderId="5" fillId="2" fontId="28" numFmtId="14" xfId="0" applyAlignment="1" applyBorder="1" applyFont="1" applyNumberFormat="1">
      <alignment horizontal="right" vertical="bottom"/>
    </xf>
    <xf borderId="27" fillId="2" fontId="28" numFmtId="0" xfId="0" applyAlignment="1" applyBorder="1" applyFont="1">
      <alignment vertical="bottom"/>
    </xf>
    <xf borderId="27" fillId="2" fontId="29" numFmtId="0" xfId="0" applyAlignment="1" applyBorder="1" applyFont="1">
      <alignment vertical="bottom"/>
    </xf>
    <xf borderId="27" fillId="2" fontId="26" numFmtId="16" xfId="0" applyAlignment="1" applyBorder="1" applyFont="1" applyNumberFormat="1">
      <alignment vertical="bottom"/>
    </xf>
    <xf borderId="27" fillId="2" fontId="26" numFmtId="10" xfId="0" applyAlignment="1" applyBorder="1" applyFont="1" applyNumberFormat="1">
      <alignment vertical="bottom"/>
    </xf>
    <xf borderId="27" fillId="2" fontId="29" numFmtId="4" xfId="0" applyAlignment="1" applyBorder="1" applyFont="1" applyNumberFormat="1">
      <alignment horizontal="right" vertical="bottom"/>
    </xf>
    <xf borderId="27" fillId="2" fontId="28" numFmtId="10" xfId="0" applyAlignment="1" applyBorder="1" applyFont="1" applyNumberFormat="1">
      <alignment horizontal="right" vertical="bottom"/>
    </xf>
    <xf borderId="27" fillId="2" fontId="28" numFmtId="166" xfId="0" applyAlignment="1" applyBorder="1" applyFont="1" applyNumberFormat="1">
      <alignment horizontal="right" vertical="bottom"/>
    </xf>
    <xf borderId="27" fillId="2" fontId="26" numFmtId="2" xfId="0" applyAlignment="1" applyBorder="1" applyFont="1" applyNumberFormat="1">
      <alignment vertical="bottom"/>
    </xf>
    <xf borderId="27" fillId="2" fontId="26" numFmtId="1" xfId="0" applyAlignment="1" applyBorder="1" applyFont="1" applyNumberFormat="1">
      <alignment vertical="bottom"/>
    </xf>
    <xf borderId="27" fillId="2" fontId="28" numFmtId="4" xfId="0" applyAlignment="1" applyBorder="1" applyFont="1" applyNumberFormat="1">
      <alignment horizontal="center" vertical="bottom"/>
    </xf>
    <xf borderId="27" fillId="2" fontId="26" numFmtId="0" xfId="0" applyAlignment="1" applyBorder="1" applyFont="1">
      <alignment vertical="bottom"/>
    </xf>
    <xf borderId="33" fillId="8" fontId="28" numFmtId="10" xfId="0" applyAlignment="1" applyBorder="1" applyFont="1" applyNumberFormat="1">
      <alignment horizontal="right" vertical="bottom"/>
    </xf>
    <xf borderId="33" fillId="8" fontId="28" numFmtId="4" xfId="0" applyAlignment="1" applyBorder="1" applyFont="1" applyNumberFormat="1">
      <alignment horizontal="right" vertical="bottom"/>
    </xf>
    <xf borderId="0" fillId="2" fontId="28" numFmtId="14" xfId="0" applyAlignment="1" applyFont="1" applyNumberFormat="1">
      <alignment horizontal="right" vertical="bottom"/>
    </xf>
    <xf borderId="0" fillId="2" fontId="28" numFmtId="0" xfId="0" applyAlignment="1" applyFont="1">
      <alignment vertical="bottom"/>
    </xf>
    <xf borderId="0" fillId="2" fontId="26" numFmtId="16" xfId="0" applyAlignment="1" applyFont="1" applyNumberFormat="1">
      <alignment vertical="bottom"/>
    </xf>
    <xf borderId="0" fillId="2" fontId="26" numFmtId="10" xfId="0" applyAlignment="1" applyFont="1" applyNumberFormat="1">
      <alignment vertical="bottom"/>
    </xf>
    <xf borderId="0" fillId="2" fontId="28" numFmtId="4" xfId="0" applyAlignment="1" applyFont="1" applyNumberFormat="1">
      <alignment horizontal="center" vertical="bottom"/>
    </xf>
    <xf borderId="0" fillId="2" fontId="26" numFmtId="166" xfId="0" applyAlignment="1" applyFont="1" applyNumberFormat="1">
      <alignment vertical="bottom"/>
    </xf>
    <xf borderId="0" fillId="2" fontId="26" numFmtId="2" xfId="0" applyAlignment="1" applyFont="1" applyNumberFormat="1">
      <alignment vertical="bottom"/>
    </xf>
    <xf borderId="0" fillId="2" fontId="26" numFmtId="1" xfId="0" applyAlignment="1" applyFont="1" applyNumberFormat="1">
      <alignment vertical="bottom"/>
    </xf>
    <xf borderId="0" fillId="2" fontId="26" numFmtId="0" xfId="0" applyAlignment="1" applyFont="1">
      <alignment vertical="bottom"/>
    </xf>
    <xf borderId="27" fillId="8" fontId="26" numFmtId="16" xfId="0" applyAlignment="1" applyBorder="1" applyFont="1" applyNumberFormat="1">
      <alignment vertical="bottom"/>
    </xf>
    <xf borderId="27" fillId="8" fontId="29" numFmtId="4" xfId="0" applyAlignment="1" applyBorder="1" applyFont="1" applyNumberFormat="1">
      <alignment horizontal="right" readingOrder="0" vertical="bottom"/>
    </xf>
    <xf borderId="27" fillId="2" fontId="28" numFmtId="4" xfId="0" applyAlignment="1" applyBorder="1" applyFont="1" applyNumberFormat="1">
      <alignment horizontal="right" vertical="bottom"/>
    </xf>
    <xf borderId="27" fillId="2" fontId="26" numFmtId="166" xfId="0" applyAlignment="1" applyBorder="1" applyFont="1" applyNumberFormat="1">
      <alignment vertical="bottom"/>
    </xf>
    <xf borderId="27" fillId="8" fontId="29" numFmtId="10" xfId="0" applyAlignment="1" applyBorder="1" applyFont="1" applyNumberFormat="1">
      <alignment horizontal="right" readingOrder="0" vertical="bottom"/>
    </xf>
    <xf borderId="5" fillId="2" fontId="28" numFmtId="4" xfId="0" applyAlignment="1" applyBorder="1" applyFont="1" applyNumberFormat="1">
      <alignment shrinkToFit="0" wrapText="0"/>
    </xf>
    <xf borderId="5" fillId="2" fontId="28" numFmtId="2" xfId="0" applyAlignment="1" applyBorder="1" applyFont="1" applyNumberFormat="1">
      <alignment horizontal="center" shrinkToFit="0" wrapText="0"/>
    </xf>
    <xf borderId="5" fillId="2" fontId="28" numFmtId="1" xfId="0" applyAlignment="1" applyBorder="1" applyFont="1" applyNumberFormat="1">
      <alignment horizontal="center" shrinkToFit="0" wrapText="0"/>
    </xf>
    <xf borderId="5" fillId="2" fontId="28" numFmtId="4" xfId="0" applyAlignment="1" applyBorder="1" applyFont="1" applyNumberFormat="1">
      <alignment horizontal="center" shrinkToFit="0" wrapText="0"/>
    </xf>
    <xf borderId="0" fillId="0" fontId="1" numFmtId="14" xfId="0" applyAlignment="1" applyFont="1" applyNumberFormat="1">
      <alignment readingOrder="0" shrinkToFit="0" wrapText="0"/>
    </xf>
    <xf borderId="5" fillId="2" fontId="28" numFmtId="0" xfId="0" applyAlignment="1" applyBorder="1" applyFont="1">
      <alignment horizontal="center" shrinkToFit="0" wrapText="0"/>
    </xf>
    <xf borderId="5" fillId="8" fontId="28" numFmtId="14" xfId="0" applyAlignment="1" applyBorder="1" applyFont="1" applyNumberFormat="1">
      <alignment horizontal="right"/>
    </xf>
    <xf borderId="27" fillId="8" fontId="28" numFmtId="0" xfId="0" applyBorder="1" applyFont="1"/>
    <xf borderId="27" fillId="8" fontId="29" numFmtId="0" xfId="0" applyAlignment="1" applyBorder="1" applyFont="1">
      <alignment horizontal="right"/>
    </xf>
    <xf borderId="27" fillId="8" fontId="28" numFmtId="10" xfId="0" applyAlignment="1" applyBorder="1" applyFont="1" applyNumberFormat="1">
      <alignment horizontal="right"/>
    </xf>
    <xf borderId="27" fillId="8" fontId="28" numFmtId="4" xfId="0" applyAlignment="1" applyBorder="1" applyFont="1" applyNumberFormat="1">
      <alignment horizontal="right"/>
    </xf>
    <xf borderId="27" fillId="8" fontId="26" numFmtId="166" xfId="0" applyBorder="1" applyFont="1" applyNumberFormat="1"/>
    <xf borderId="27" fillId="8" fontId="28" numFmtId="166" xfId="0" applyAlignment="1" applyBorder="1" applyFont="1" applyNumberFormat="1">
      <alignment horizontal="right"/>
    </xf>
    <xf borderId="27" fillId="8" fontId="29" numFmtId="2" xfId="0" applyAlignment="1" applyBorder="1" applyFont="1" applyNumberFormat="1">
      <alignment horizontal="center"/>
    </xf>
    <xf borderId="27" fillId="8" fontId="28" numFmtId="175" xfId="0" applyAlignment="1" applyBorder="1" applyFont="1" applyNumberFormat="1">
      <alignment horizontal="center"/>
    </xf>
    <xf borderId="27" fillId="8" fontId="28" numFmtId="4" xfId="0" applyAlignment="1" applyBorder="1" applyFont="1" applyNumberFormat="1">
      <alignment horizontal="center"/>
    </xf>
    <xf borderId="27" fillId="8" fontId="28" numFmtId="2" xfId="0" applyAlignment="1" applyBorder="1" applyFont="1" applyNumberFormat="1">
      <alignment horizontal="center"/>
    </xf>
    <xf borderId="27" fillId="8" fontId="29" numFmtId="10" xfId="0" applyAlignment="1" applyBorder="1" applyFont="1" applyNumberFormat="1">
      <alignment horizontal="center"/>
    </xf>
    <xf borderId="27" fillId="8" fontId="29" numFmtId="4" xfId="0" applyAlignment="1" applyBorder="1" applyFont="1" applyNumberFormat="1">
      <alignment horizontal="center"/>
    </xf>
    <xf borderId="27" fillId="8" fontId="29" numFmtId="0" xfId="0" applyAlignment="1" applyBorder="1" applyFont="1">
      <alignment horizontal="center"/>
    </xf>
    <xf borderId="27" fillId="8" fontId="29" numFmtId="175" xfId="0" applyAlignment="1" applyBorder="1" applyFont="1" applyNumberFormat="1">
      <alignment horizontal="center"/>
    </xf>
    <xf borderId="27" fillId="8" fontId="28" numFmtId="0" xfId="0" applyAlignment="1" applyBorder="1" applyFont="1">
      <alignment horizontal="center"/>
    </xf>
    <xf borderId="27" fillId="8" fontId="29" numFmtId="0" xfId="0" applyAlignment="1" applyBorder="1" applyFont="1">
      <alignment shrinkToFit="0" wrapText="1"/>
    </xf>
    <xf borderId="27" fillId="8" fontId="29" numFmtId="16" xfId="0" applyAlignment="1" applyBorder="1" applyFont="1" applyNumberFormat="1">
      <alignment horizontal="right"/>
    </xf>
    <xf borderId="27" fillId="8" fontId="26" numFmtId="2" xfId="0" applyBorder="1" applyFont="1" applyNumberFormat="1"/>
    <xf borderId="27" fillId="8" fontId="28" numFmtId="10" xfId="0" applyAlignment="1" applyBorder="1" applyFont="1" applyNumberFormat="1">
      <alignment horizontal="center"/>
    </xf>
    <xf borderId="27" fillId="8" fontId="26" numFmtId="10" xfId="0" applyBorder="1" applyFont="1" applyNumberFormat="1"/>
    <xf borderId="27" fillId="8" fontId="26" numFmtId="4" xfId="0" applyBorder="1" applyFont="1" applyNumberFormat="1"/>
    <xf borderId="27" fillId="8" fontId="26" numFmtId="175" xfId="0" applyBorder="1" applyFont="1" applyNumberFormat="1"/>
    <xf borderId="0" fillId="5" fontId="28" numFmtId="0" xfId="0" applyAlignment="1" applyFont="1">
      <alignment readingOrder="0" shrinkToFit="0" wrapText="0"/>
    </xf>
    <xf borderId="0" fillId="8" fontId="28" numFmtId="14" xfId="0" applyAlignment="1" applyFont="1" applyNumberFormat="1">
      <alignment horizontal="right"/>
    </xf>
    <xf borderId="0" fillId="8" fontId="28" numFmtId="0" xfId="0" applyFont="1"/>
    <xf borderId="0" fillId="8" fontId="29" numFmtId="0" xfId="0" applyAlignment="1" applyFont="1">
      <alignment horizontal="right"/>
    </xf>
    <xf borderId="0" fillId="8" fontId="28" numFmtId="10" xfId="0" applyAlignment="1" applyFont="1" applyNumberFormat="1">
      <alignment horizontal="right"/>
    </xf>
    <xf borderId="0" fillId="8" fontId="28" numFmtId="4" xfId="0" applyAlignment="1" applyFont="1" applyNumberFormat="1">
      <alignment horizontal="right"/>
    </xf>
    <xf borderId="31" fillId="8" fontId="28" numFmtId="166" xfId="0" applyAlignment="1" applyBorder="1" applyFont="1" applyNumberFormat="1">
      <alignment horizontal="right"/>
    </xf>
    <xf borderId="0" fillId="8" fontId="29" numFmtId="175" xfId="0" applyAlignment="1" applyFont="1" applyNumberFormat="1">
      <alignment horizontal="center"/>
    </xf>
    <xf borderId="0" fillId="8" fontId="28" numFmtId="4" xfId="0" applyAlignment="1" applyFont="1" applyNumberFormat="1">
      <alignment horizontal="center"/>
    </xf>
    <xf borderId="0" fillId="8" fontId="28" numFmtId="2" xfId="0" applyAlignment="1" applyFont="1" applyNumberFormat="1">
      <alignment horizontal="center"/>
    </xf>
    <xf borderId="31" fillId="8" fontId="29" numFmtId="10" xfId="0" applyAlignment="1" applyBorder="1" applyFont="1" applyNumberFormat="1">
      <alignment horizontal="center"/>
    </xf>
    <xf borderId="0" fillId="8" fontId="28" numFmtId="0" xfId="0" applyAlignment="1" applyFont="1">
      <alignment horizontal="center"/>
    </xf>
    <xf borderId="31" fillId="8" fontId="29" numFmtId="0" xfId="0" applyAlignment="1" applyBorder="1" applyFont="1">
      <alignment shrinkToFit="0" wrapText="1"/>
    </xf>
    <xf borderId="5" fillId="5" fontId="28" numFmtId="166" xfId="0" applyAlignment="1" applyBorder="1" applyFont="1" applyNumberFormat="1">
      <alignment readingOrder="0" shrinkToFit="0" wrapText="0"/>
    </xf>
    <xf borderId="5" fillId="5" fontId="28" numFmtId="0" xfId="0" applyAlignment="1" applyBorder="1" applyFont="1">
      <alignment shrinkToFit="0" wrapText="1"/>
    </xf>
    <xf borderId="5" fillId="5" fontId="20" numFmtId="0" xfId="0" applyBorder="1" applyFont="1"/>
    <xf borderId="5" fillId="5" fontId="20" numFmtId="0" xfId="0" applyAlignment="1" applyBorder="1" applyFont="1">
      <alignment readingOrder="0"/>
    </xf>
    <xf borderId="0" fillId="0" fontId="55" numFmtId="0" xfId="0" applyFont="1"/>
    <xf borderId="5" fillId="2" fontId="28" numFmtId="10" xfId="0" applyAlignment="1" applyBorder="1" applyFont="1" applyNumberFormat="1">
      <alignment readingOrder="0"/>
    </xf>
    <xf borderId="0" fillId="2" fontId="20" numFmtId="0" xfId="0" applyAlignment="1" applyFont="1">
      <alignment readingOrder="0"/>
    </xf>
    <xf borderId="0" fillId="5" fontId="20" numFmtId="10" xfId="0" applyAlignment="1" applyFont="1" applyNumberFormat="1">
      <alignment readingOrder="0"/>
    </xf>
    <xf borderId="0" fillId="0" fontId="28" numFmtId="2" xfId="0" applyFont="1" applyNumberFormat="1"/>
    <xf borderId="5" fillId="2" fontId="28" numFmtId="2" xfId="0" applyBorder="1" applyFont="1" applyNumberFormat="1"/>
    <xf borderId="0" fillId="0" fontId="28" numFmtId="10" xfId="0" applyFont="1" applyNumberFormat="1"/>
    <xf borderId="0" fillId="2" fontId="28" numFmtId="10" xfId="0" applyAlignment="1" applyFont="1" applyNumberFormat="1">
      <alignment readingOrder="0"/>
    </xf>
    <xf borderId="5" fillId="2" fontId="28" numFmtId="10" xfId="0" applyBorder="1" applyFont="1" applyNumberFormat="1"/>
    <xf borderId="0" fillId="2" fontId="28" numFmtId="10" xfId="0" applyFont="1" applyNumberFormat="1"/>
    <xf borderId="0" fillId="0" fontId="20" numFmtId="0" xfId="0" applyAlignment="1" applyFont="1">
      <alignment horizontal="center"/>
    </xf>
    <xf borderId="0" fillId="2" fontId="20" numFmtId="10" xfId="0" applyAlignment="1" applyFont="1" applyNumberFormat="1">
      <alignment readingOrder="0"/>
    </xf>
    <xf borderId="0" fillId="0" fontId="28" numFmtId="0" xfId="0" applyFont="1"/>
    <xf borderId="0" fillId="0" fontId="20" numFmtId="2" xfId="0" applyFont="1" applyNumberFormat="1"/>
    <xf borderId="0" fillId="0" fontId="55" numFmtId="0" xfId="0" applyAlignment="1" applyFont="1">
      <alignment readingOrder="0"/>
    </xf>
    <xf borderId="0" fillId="0" fontId="15" numFmtId="0" xfId="0" applyAlignment="1" applyFont="1">
      <alignment horizontal="center" readingOrder="0"/>
    </xf>
    <xf borderId="0" fillId="0" fontId="20" numFmtId="180" xfId="0" applyAlignment="1" applyFont="1" applyNumberFormat="1">
      <alignment horizontal="center" readingOrder="0"/>
    </xf>
    <xf borderId="0" fillId="0" fontId="20" numFmtId="0" xfId="0" applyAlignment="1" applyFont="1">
      <alignment readingOrder="0"/>
    </xf>
    <xf borderId="0" fillId="0" fontId="20" numFmtId="2" xfId="0" applyAlignment="1" applyFont="1" applyNumberFormat="1">
      <alignment horizontal="center"/>
    </xf>
    <xf borderId="5" fillId="5" fontId="28" numFmtId="14" xfId="0" applyAlignment="1" applyBorder="1" applyFont="1" applyNumberFormat="1">
      <alignment shrinkToFit="0" vertical="center" wrapText="0"/>
    </xf>
    <xf borderId="5" fillId="5" fontId="28" numFmtId="0" xfId="0" applyAlignment="1" applyBorder="1" applyFont="1">
      <alignment shrinkToFit="0" vertical="center" wrapText="0"/>
    </xf>
    <xf borderId="5" fillId="5" fontId="28" numFmtId="16" xfId="0" applyAlignment="1" applyBorder="1" applyFont="1" applyNumberFormat="1">
      <alignment shrinkToFit="0" vertical="center" wrapText="0"/>
    </xf>
    <xf borderId="5" fillId="5" fontId="28" numFmtId="10" xfId="0" applyAlignment="1" applyBorder="1" applyFont="1" applyNumberFormat="1">
      <alignment shrinkToFit="0" vertical="center" wrapText="0"/>
    </xf>
    <xf borderId="5" fillId="5" fontId="28" numFmtId="4" xfId="0" applyAlignment="1" applyBorder="1" applyFont="1" applyNumberFormat="1">
      <alignment shrinkToFit="0" vertical="center" wrapText="0"/>
    </xf>
    <xf borderId="5" fillId="5" fontId="28" numFmtId="166" xfId="0" applyAlignment="1" applyBorder="1" applyFont="1" applyNumberFormat="1">
      <alignment shrinkToFit="0" vertical="center" wrapText="0"/>
    </xf>
    <xf borderId="5" fillId="5" fontId="28" numFmtId="2" xfId="0" applyAlignment="1" applyBorder="1" applyFont="1" applyNumberFormat="1">
      <alignment horizontal="center" shrinkToFit="0" vertical="center" wrapText="0"/>
    </xf>
    <xf borderId="5" fillId="5" fontId="28" numFmtId="1" xfId="0" applyAlignment="1" applyBorder="1" applyFont="1" applyNumberFormat="1">
      <alignment horizontal="center" shrinkToFit="0" vertical="center" wrapText="0"/>
    </xf>
    <xf borderId="5" fillId="5" fontId="28" numFmtId="4" xfId="0" applyAlignment="1" applyBorder="1" applyFont="1" applyNumberFormat="1">
      <alignment horizontal="center" shrinkToFit="0" vertical="center" wrapText="0"/>
    </xf>
    <xf borderId="5" fillId="5" fontId="28" numFmtId="10" xfId="0" applyAlignment="1" applyBorder="1" applyFont="1" applyNumberFormat="1">
      <alignment horizontal="center" shrinkToFit="0" vertical="center" wrapText="0"/>
    </xf>
    <xf borderId="5" fillId="5" fontId="28" numFmtId="0" xfId="0" applyAlignment="1" applyBorder="1" applyFont="1">
      <alignment horizontal="center" shrinkToFit="0" vertical="center" wrapText="0"/>
    </xf>
    <xf borderId="5" fillId="5" fontId="28" numFmtId="0" xfId="0" applyAlignment="1" applyBorder="1" applyFont="1">
      <alignment shrinkToFit="0" vertical="center" wrapText="1"/>
    </xf>
    <xf borderId="0" fillId="5" fontId="28" numFmtId="0" xfId="0" applyAlignment="1" applyFont="1">
      <alignment shrinkToFit="0" vertical="center" wrapText="0"/>
    </xf>
    <xf borderId="0" fillId="2" fontId="28" numFmtId="166" xfId="0" applyAlignment="1" applyFont="1" applyNumberFormat="1">
      <alignment readingOrder="0" shrinkToFit="0" vertical="center" wrapText="0"/>
    </xf>
    <xf borderId="5" fillId="2" fontId="20" numFmtId="10" xfId="0" applyAlignment="1" applyBorder="1" applyFont="1" applyNumberFormat="1">
      <alignment vertical="center"/>
    </xf>
    <xf borderId="5" fillId="2" fontId="20" numFmtId="4" xfId="0" applyAlignment="1" applyBorder="1" applyFont="1" applyNumberFormat="1">
      <alignment vertical="center"/>
    </xf>
    <xf borderId="5" fillId="2" fontId="20" numFmtId="0" xfId="0" applyAlignment="1" applyBorder="1" applyFont="1">
      <alignment vertical="center"/>
    </xf>
    <xf borderId="5" fillId="2" fontId="20" numFmtId="0" xfId="0" applyAlignment="1" applyBorder="1" applyFont="1">
      <alignment readingOrder="0" vertical="center"/>
    </xf>
    <xf borderId="26" fillId="8" fontId="29" numFmtId="10" xfId="0" applyAlignment="1" applyBorder="1" applyFont="1" applyNumberFormat="1">
      <alignment horizontal="right" vertical="bottom"/>
    </xf>
    <xf borderId="0" fillId="8" fontId="29" numFmtId="10" xfId="0" applyAlignment="1" applyFont="1" applyNumberFormat="1">
      <alignment horizontal="right" vertical="bottom"/>
    </xf>
    <xf borderId="5" fillId="8" fontId="1" numFmtId="0" xfId="0" applyAlignment="1" applyBorder="1" applyFont="1">
      <alignment shrinkToFit="0" wrapText="0"/>
    </xf>
    <xf borderId="0" fillId="0" fontId="56" numFmtId="0" xfId="0" applyAlignment="1" applyFont="1">
      <alignment shrinkToFit="0" wrapText="0"/>
    </xf>
    <xf borderId="0" fillId="8" fontId="29" numFmtId="2" xfId="0" applyAlignment="1" applyFont="1" applyNumberFormat="1">
      <alignment horizontal="right" vertical="bottom"/>
    </xf>
    <xf borderId="0" fillId="8" fontId="29" numFmtId="2" xfId="0" applyAlignment="1" applyFont="1" applyNumberFormat="1">
      <alignment horizontal="center" vertical="bottom"/>
    </xf>
    <xf borderId="0" fillId="5" fontId="57" numFmtId="0" xfId="0" applyAlignment="1" applyFont="1">
      <alignment readingOrder="0"/>
    </xf>
    <xf borderId="0" fillId="5" fontId="58" numFmtId="0" xfId="0" applyAlignment="1" applyFont="1">
      <alignment readingOrder="0"/>
    </xf>
    <xf borderId="5" fillId="8" fontId="28" numFmtId="10" xfId="0" applyAlignment="1" applyBorder="1" applyFont="1" applyNumberFormat="1">
      <alignment horizontal="right" vertical="center"/>
    </xf>
    <xf borderId="5" fillId="8" fontId="28" numFmtId="166" xfId="0" applyAlignment="1" applyBorder="1" applyFont="1" applyNumberFormat="1">
      <alignment horizontal="right" vertical="center"/>
    </xf>
    <xf borderId="5" fillId="8" fontId="29" numFmtId="9" xfId="0" applyAlignment="1" applyBorder="1" applyFont="1" applyNumberFormat="1">
      <alignment horizontal="center" readingOrder="0" shrinkToFit="0" vertical="center" wrapText="0"/>
    </xf>
    <xf borderId="5" fillId="2" fontId="28" numFmtId="2" xfId="0" applyAlignment="1" applyBorder="1" applyFont="1" applyNumberFormat="1">
      <alignment horizontal="center" readingOrder="0" shrinkToFit="0" vertical="center" wrapText="0"/>
    </xf>
    <xf borderId="5" fillId="8" fontId="28" numFmtId="1" xfId="0" applyAlignment="1" applyBorder="1" applyFont="1" applyNumberFormat="1">
      <alignment readingOrder="0" shrinkToFit="0" vertical="center" wrapText="0"/>
    </xf>
    <xf borderId="0" fillId="0" fontId="1" numFmtId="0" xfId="0" applyAlignment="1" applyFont="1">
      <alignment shrinkToFit="0" wrapText="0"/>
    </xf>
    <xf borderId="0" fillId="0" fontId="34" numFmtId="167" xfId="0" applyAlignment="1" applyFont="1" applyNumberFormat="1">
      <alignment readingOrder="0" shrinkToFit="0" vertical="bottom" wrapText="0"/>
    </xf>
    <xf borderId="0" fillId="0" fontId="34" numFmtId="2" xfId="0" applyAlignment="1" applyFont="1" applyNumberFormat="1">
      <alignment readingOrder="0" shrinkToFit="0" vertical="bottom" wrapText="0"/>
    </xf>
    <xf borderId="0" fillId="0" fontId="34" numFmtId="3" xfId="0" applyAlignment="1" applyFont="1" applyNumberFormat="1">
      <alignment readingOrder="0" shrinkToFit="0" vertical="bottom" wrapText="0"/>
    </xf>
    <xf borderId="0" fillId="2" fontId="28" numFmtId="10" xfId="0" applyAlignment="1" applyFont="1" applyNumberFormat="1">
      <alignment horizontal="center" readingOrder="0" shrinkToFit="0" vertical="center" wrapText="0"/>
    </xf>
    <xf borderId="0" fillId="2" fontId="28" numFmtId="4" xfId="0" applyAlignment="1" applyFont="1" applyNumberFormat="1">
      <alignment horizontal="center" readingOrder="0" shrinkToFit="0" vertical="center" wrapText="0"/>
    </xf>
    <xf borderId="0" fillId="2" fontId="28" numFmtId="0" xfId="0" applyAlignment="1" applyFont="1">
      <alignment horizontal="center" readingOrder="0" shrinkToFit="0" vertical="center" wrapText="0"/>
    </xf>
    <xf borderId="0" fillId="2" fontId="28" numFmtId="0" xfId="0" applyAlignment="1" applyFont="1">
      <alignment readingOrder="0" shrinkToFit="0" vertical="center" wrapText="1"/>
    </xf>
    <xf borderId="0" fillId="0" fontId="1" numFmtId="21" xfId="0" applyAlignment="1" applyFont="1" applyNumberFormat="1">
      <alignment readingOrder="0" shrinkToFit="0" wrapText="0"/>
    </xf>
    <xf borderId="0" fillId="0" fontId="1" numFmtId="3" xfId="0" applyAlignment="1" applyFont="1" applyNumberFormat="1">
      <alignment readingOrder="0" shrinkToFit="0" wrapText="0"/>
    </xf>
    <xf borderId="0" fillId="0" fontId="1" numFmtId="181" xfId="0" applyAlignment="1" applyFont="1" applyNumberFormat="1">
      <alignment readingOrder="0" shrinkToFit="0" wrapText="0"/>
    </xf>
    <xf borderId="0" fillId="0" fontId="20" numFmtId="0" xfId="0" applyFont="1"/>
    <xf borderId="0" fillId="0" fontId="20" numFmtId="21" xfId="0" applyAlignment="1" applyFont="1" applyNumberFormat="1">
      <alignment readingOrder="0"/>
    </xf>
    <xf borderId="0" fillId="0" fontId="20" numFmtId="2" xfId="0" applyAlignment="1" applyFont="1" applyNumberFormat="1">
      <alignment readingOrder="0"/>
    </xf>
    <xf borderId="0" fillId="0" fontId="20" numFmtId="169" xfId="0" applyAlignment="1" applyFont="1" applyNumberFormat="1">
      <alignment readingOrder="0"/>
    </xf>
    <xf borderId="5" fillId="8" fontId="28" numFmtId="2" xfId="0" applyAlignment="1" applyBorder="1" applyFont="1" applyNumberFormat="1">
      <alignment readingOrder="0" shrinkToFit="0" vertical="center" wrapText="0"/>
    </xf>
    <xf borderId="0" fillId="0" fontId="20" numFmtId="14" xfId="0" applyAlignment="1" applyFont="1" applyNumberFormat="1">
      <alignment readingOrder="0"/>
    </xf>
    <xf borderId="0" fillId="0" fontId="58" numFmtId="0" xfId="0" applyAlignment="1" applyFont="1">
      <alignment readingOrder="0"/>
    </xf>
    <xf borderId="0" fillId="0" fontId="7" numFmtId="0" xfId="0" applyAlignment="1" applyFont="1">
      <alignment shrinkToFit="0" wrapText="0"/>
    </xf>
    <xf borderId="0" fillId="0" fontId="20" numFmtId="181" xfId="0" applyAlignment="1" applyFont="1" applyNumberFormat="1">
      <alignment readingOrder="0"/>
    </xf>
    <xf borderId="0" fillId="0" fontId="31" numFmtId="0" xfId="0" applyAlignment="1" applyFont="1">
      <alignment readingOrder="0"/>
    </xf>
    <xf borderId="0" fillId="0" fontId="20" numFmtId="14" xfId="0" applyFont="1" applyNumberFormat="1"/>
    <xf borderId="5" fillId="2" fontId="28" numFmtId="0" xfId="0" applyAlignment="1" applyBorder="1" applyFont="1">
      <alignment readingOrder="0" shrinkToFit="0" vertical="center" wrapText="0"/>
    </xf>
    <xf borderId="5" fillId="8" fontId="28" numFmtId="0" xfId="0" applyAlignment="1" applyBorder="1" applyFont="1">
      <alignment readingOrder="0" shrinkToFit="0" vertical="center" wrapText="0"/>
    </xf>
    <xf borderId="0" fillId="0" fontId="20" numFmtId="182" xfId="0" applyAlignment="1" applyFont="1" applyNumberFormat="1">
      <alignment readingOrder="0"/>
    </xf>
    <xf borderId="0" fillId="0" fontId="1" numFmtId="182" xfId="0" applyAlignment="1" applyFont="1" applyNumberFormat="1">
      <alignment readingOrder="0" shrinkToFit="0" wrapText="0"/>
    </xf>
    <xf borderId="0" fillId="0" fontId="20" numFmtId="183" xfId="0" applyAlignment="1" applyFont="1" applyNumberFormat="1">
      <alignment readingOrder="0"/>
    </xf>
    <xf borderId="0" fillId="0" fontId="20" numFmtId="0" xfId="0" applyAlignment="1" applyFont="1">
      <alignment horizontal="center" vertical="bottom"/>
    </xf>
    <xf borderId="0" fillId="0" fontId="20" numFmtId="175" xfId="0" applyAlignment="1" applyFont="1" applyNumberFormat="1">
      <alignment readingOrder="0"/>
    </xf>
    <xf borderId="0" fillId="0" fontId="20" numFmtId="168" xfId="0" applyAlignment="1" applyFont="1" applyNumberFormat="1">
      <alignment readingOrder="0"/>
    </xf>
    <xf borderId="0" fillId="0" fontId="20" numFmtId="167" xfId="0" applyAlignment="1" applyFont="1" applyNumberFormat="1">
      <alignment readingOrder="0"/>
    </xf>
    <xf borderId="5" fillId="2" fontId="29" numFmtId="14" xfId="0" applyAlignment="1" applyBorder="1" applyFont="1" applyNumberFormat="1">
      <alignment readingOrder="0" shrinkToFit="0" vertical="center" wrapText="0"/>
    </xf>
    <xf borderId="5" fillId="2" fontId="29" numFmtId="0" xfId="0" applyAlignment="1" applyBorder="1" applyFont="1">
      <alignment readingOrder="0" shrinkToFit="0" vertical="center" wrapText="0"/>
    </xf>
    <xf borderId="26" fillId="2" fontId="29" numFmtId="10" xfId="0" applyAlignment="1" applyBorder="1" applyFont="1" applyNumberFormat="1">
      <alignment horizontal="right"/>
    </xf>
    <xf borderId="0" fillId="2" fontId="29" numFmtId="10" xfId="0" applyAlignment="1" applyFont="1" applyNumberFormat="1">
      <alignment horizontal="right"/>
    </xf>
    <xf borderId="0" fillId="2" fontId="29" numFmtId="2" xfId="0" applyAlignment="1" applyFont="1" applyNumberFormat="1">
      <alignment horizontal="right"/>
    </xf>
    <xf borderId="0" fillId="2" fontId="29" numFmtId="2" xfId="0" applyAlignment="1" applyFont="1" applyNumberFormat="1">
      <alignment horizontal="center"/>
    </xf>
    <xf borderId="5" fillId="0" fontId="20" numFmtId="0" xfId="0" applyAlignment="1" applyBorder="1" applyFont="1">
      <alignment vertical="center"/>
    </xf>
    <xf borderId="5" fillId="0" fontId="20" numFmtId="4" xfId="0" applyAlignment="1" applyBorder="1" applyFont="1" applyNumberFormat="1">
      <alignment vertical="center"/>
    </xf>
    <xf borderId="5" fillId="0" fontId="20" numFmtId="2" xfId="0" applyAlignment="1" applyBorder="1" applyFont="1" applyNumberFormat="1">
      <alignment horizontal="center" vertical="center"/>
    </xf>
    <xf borderId="5" fillId="0" fontId="20" numFmtId="0" xfId="0" applyAlignment="1" applyBorder="1" applyFont="1">
      <alignment horizontal="center" vertical="center"/>
    </xf>
    <xf borderId="5" fillId="0" fontId="20" numFmtId="4" xfId="0" applyAlignment="1" applyBorder="1" applyFont="1" applyNumberFormat="1">
      <alignment horizontal="center" vertical="center"/>
    </xf>
    <xf borderId="5" fillId="0" fontId="20" numFmtId="10" xfId="0" applyAlignment="1" applyBorder="1" applyFont="1" applyNumberFormat="1">
      <alignment horizontal="center" vertical="center"/>
    </xf>
    <xf borderId="5" fillId="0" fontId="20" numFmtId="0" xfId="0" applyAlignment="1" applyBorder="1" applyFont="1">
      <alignment shrinkToFit="0" vertical="center" wrapText="1"/>
    </xf>
    <xf borderId="0" fillId="0" fontId="20" numFmtId="0" xfId="0" applyAlignment="1" applyFont="1">
      <alignment vertical="center"/>
    </xf>
    <xf borderId="0" fillId="0" fontId="1" numFmtId="0" xfId="0" applyAlignment="1" applyFont="1">
      <alignment shrinkToFit="0" vertical="center" wrapText="0"/>
    </xf>
    <xf borderId="0" fillId="0" fontId="1" numFmtId="0" xfId="0" applyAlignment="1" applyFont="1">
      <alignment readingOrder="0" shrinkToFit="0" wrapText="0"/>
    </xf>
    <xf borderId="0" fillId="0" fontId="7" numFmtId="0" xfId="0" applyAlignment="1" applyFont="1">
      <alignment readingOrder="0" shrinkToFit="0" wrapText="0"/>
    </xf>
    <xf borderId="6" fillId="0" fontId="1" numFmtId="0" xfId="0" applyAlignment="1" applyBorder="1" applyFont="1">
      <alignment shrinkToFit="0" wrapText="0"/>
    </xf>
    <xf borderId="8" fillId="2" fontId="1" numFmtId="169" xfId="0" applyAlignment="1" applyBorder="1" applyFont="1" applyNumberFormat="1">
      <alignment readingOrder="0" shrinkToFit="0" wrapText="0"/>
    </xf>
    <xf borderId="12" fillId="2" fontId="1" numFmtId="169" xfId="0" applyAlignment="1" applyBorder="1" applyFont="1" applyNumberFormat="1">
      <alignment readingOrder="0" shrinkToFit="0" wrapText="0"/>
    </xf>
    <xf borderId="4" fillId="0" fontId="1" numFmtId="2" xfId="0" applyAlignment="1" applyBorder="1" applyFont="1" applyNumberFormat="1">
      <alignment shrinkToFit="0" wrapText="0"/>
    </xf>
    <xf borderId="10" fillId="2" fontId="1" numFmtId="169" xfId="0" applyAlignment="1" applyBorder="1" applyFont="1" applyNumberFormat="1">
      <alignment shrinkToFit="0" wrapText="0"/>
    </xf>
    <xf borderId="0" fillId="0" fontId="20" numFmtId="168" xfId="0" applyFont="1" applyNumberFormat="1"/>
    <xf borderId="0" fillId="0" fontId="20" numFmtId="167" xfId="0" applyFont="1" applyNumberFormat="1"/>
    <xf borderId="0" fillId="0" fontId="20" numFmtId="169" xfId="0" applyFont="1" applyNumberFormat="1"/>
    <xf borderId="0" fillId="0" fontId="1" numFmtId="167" xfId="0" applyAlignment="1" applyFont="1" applyNumberFormat="1">
      <alignment shrinkToFit="0" wrapText="0"/>
    </xf>
    <xf borderId="0" fillId="0" fontId="20" numFmtId="3" xfId="0" applyFont="1" applyNumberFormat="1"/>
    <xf borderId="10" fillId="2" fontId="1" numFmtId="176" xfId="0" applyAlignment="1" applyBorder="1" applyFont="1" applyNumberFormat="1">
      <alignment horizontal="center" shrinkToFit="0" wrapText="0"/>
    </xf>
    <xf borderId="0" fillId="0" fontId="1" numFmtId="9" xfId="0" applyAlignment="1" applyFont="1" applyNumberFormat="1">
      <alignment readingOrder="0" shrinkToFit="0" wrapText="0"/>
    </xf>
    <xf borderId="0" fillId="2" fontId="26" numFmtId="175" xfId="0" applyAlignment="1" applyFont="1" applyNumberFormat="1">
      <alignment horizontal="right" vertical="bottom"/>
    </xf>
    <xf borderId="0" fillId="0" fontId="26" numFmtId="9" xfId="0" applyAlignment="1" applyFont="1" applyNumberFormat="1">
      <alignment vertical="bottom"/>
    </xf>
    <xf borderId="12" fillId="0" fontId="26" numFmtId="9" xfId="0" applyAlignment="1" applyBorder="1" applyFont="1" applyNumberFormat="1">
      <alignment vertical="bottom"/>
    </xf>
    <xf borderId="34" fillId="0" fontId="26" numFmtId="168" xfId="0" applyAlignment="1" applyBorder="1" applyFont="1" applyNumberFormat="1">
      <alignment shrinkToFit="0" vertical="bottom" wrapText="0"/>
    </xf>
    <xf borderId="34" fillId="0" fontId="26" numFmtId="167" xfId="0" applyAlignment="1" applyBorder="1" applyFont="1" applyNumberFormat="1">
      <alignment vertical="bottom"/>
    </xf>
    <xf borderId="34" fillId="0" fontId="26" numFmtId="2" xfId="0" applyAlignment="1" applyBorder="1" applyFont="1" applyNumberFormat="1">
      <alignment vertical="bottom"/>
    </xf>
    <xf borderId="27" fillId="6" fontId="26" numFmtId="176" xfId="0" applyAlignment="1" applyBorder="1" applyFont="1" applyNumberFormat="1">
      <alignment horizontal="right" vertical="bottom"/>
    </xf>
    <xf borderId="0" fillId="0" fontId="26" numFmtId="167" xfId="0" applyAlignment="1" applyFont="1" applyNumberFormat="1">
      <alignment vertical="bottom"/>
    </xf>
    <xf borderId="31" fillId="5" fontId="31" numFmtId="0" xfId="0" applyAlignment="1" applyBorder="1" applyFont="1">
      <alignment shrinkToFit="0" vertical="bottom" wrapText="0"/>
    </xf>
    <xf borderId="0" fillId="0" fontId="26" numFmtId="14" xfId="0" applyAlignment="1" applyFont="1" applyNumberFormat="1">
      <alignment horizontal="right" vertical="bottom"/>
    </xf>
    <xf borderId="31" fillId="0" fontId="26" numFmtId="168" xfId="0" applyAlignment="1" applyBorder="1" applyFont="1" applyNumberFormat="1">
      <alignment shrinkToFit="0" vertical="bottom" wrapText="0"/>
    </xf>
    <xf borderId="31" fillId="0" fontId="26" numFmtId="167" xfId="0" applyAlignment="1" applyBorder="1" applyFont="1" applyNumberFormat="1">
      <alignment vertical="bottom"/>
    </xf>
    <xf borderId="12" fillId="2" fontId="26" numFmtId="176" xfId="0" applyAlignment="1" applyBorder="1" applyFont="1" applyNumberFormat="1">
      <alignment horizontal="right" vertical="bottom"/>
    </xf>
    <xf borderId="31" fillId="0" fontId="26" numFmtId="0" xfId="0" applyAlignment="1" applyBorder="1" applyFont="1">
      <alignment shrinkToFit="0" vertical="bottom" wrapText="0"/>
    </xf>
    <xf borderId="35" fillId="2" fontId="26" numFmtId="176" xfId="0" applyAlignment="1" applyBorder="1" applyFont="1" applyNumberFormat="1">
      <alignment horizontal="right" vertical="bottom"/>
    </xf>
    <xf borderId="36" fillId="0" fontId="26" numFmtId="168" xfId="0" applyAlignment="1" applyBorder="1" applyFont="1" applyNumberFormat="1">
      <alignment shrinkToFit="0" vertical="bottom" wrapText="0"/>
    </xf>
    <xf borderId="36" fillId="0" fontId="26" numFmtId="167" xfId="0" applyAlignment="1" applyBorder="1" applyFont="1" applyNumberFormat="1">
      <alignment vertical="bottom"/>
    </xf>
    <xf borderId="36" fillId="0" fontId="26" numFmtId="2" xfId="0" applyAlignment="1" applyBorder="1" applyFont="1" applyNumberFormat="1">
      <alignment vertical="bottom"/>
    </xf>
    <xf borderId="33" fillId="6" fontId="26" numFmtId="176" xfId="0" applyAlignment="1" applyBorder="1" applyFont="1" applyNumberFormat="1">
      <alignment horizontal="right" vertical="bottom"/>
    </xf>
    <xf borderId="4" fillId="0" fontId="26" numFmtId="168" xfId="0" applyAlignment="1" applyBorder="1" applyFont="1" applyNumberFormat="1">
      <alignment vertical="bottom"/>
    </xf>
    <xf borderId="4" fillId="0" fontId="26" numFmtId="167" xfId="0" applyAlignment="1" applyBorder="1" applyFont="1" applyNumberFormat="1">
      <alignment vertical="bottom"/>
    </xf>
    <xf borderId="33" fillId="6" fontId="26" numFmtId="176" xfId="0" applyAlignment="1" applyBorder="1" applyFont="1" applyNumberFormat="1">
      <alignment horizontal="center" vertical="bottom"/>
    </xf>
    <xf borderId="6" fillId="0" fontId="1" numFmtId="0" xfId="0" applyAlignment="1" applyBorder="1" applyFont="1">
      <alignment readingOrder="0" shrinkToFit="0" wrapText="0"/>
    </xf>
    <xf borderId="3" fillId="0" fontId="1" numFmtId="0" xfId="0" applyAlignment="1" applyBorder="1" applyFont="1">
      <alignment readingOrder="0" shrinkToFit="0" wrapText="0"/>
    </xf>
    <xf borderId="0" fillId="0" fontId="20" numFmtId="182" xfId="0" applyFont="1" applyNumberFormat="1"/>
    <xf borderId="0" fillId="0" fontId="1" numFmtId="182" xfId="0" applyAlignment="1" applyFont="1" applyNumberFormat="1">
      <alignment readingOrder="0" shrinkToFit="0" wrapText="0"/>
    </xf>
    <xf borderId="0" fillId="0" fontId="1" numFmtId="175" xfId="0" applyAlignment="1" applyFont="1" applyNumberFormat="1">
      <alignment readingOrder="0" shrinkToFit="0" wrapText="0"/>
    </xf>
    <xf borderId="32" fillId="8" fontId="28" numFmtId="0" xfId="0" applyAlignment="1" applyBorder="1" applyFont="1">
      <alignment vertical="bottom"/>
    </xf>
    <xf borderId="33" fillId="8" fontId="29" numFmtId="16" xfId="0" applyAlignment="1" applyBorder="1" applyFont="1" applyNumberFormat="1">
      <alignment horizontal="right" vertical="bottom"/>
    </xf>
    <xf borderId="33" fillId="8" fontId="29" numFmtId="2" xfId="0" applyAlignment="1" applyBorder="1" applyFont="1" applyNumberFormat="1">
      <alignment horizontal="center" vertical="bottom"/>
    </xf>
    <xf borderId="33" fillId="8" fontId="29" numFmtId="175" xfId="0" applyAlignment="1" applyBorder="1" applyFont="1" applyNumberFormat="1">
      <alignment horizontal="center" vertical="bottom"/>
    </xf>
    <xf borderId="33" fillId="8" fontId="28" numFmtId="2" xfId="0" applyAlignment="1" applyBorder="1" applyFont="1" applyNumberFormat="1">
      <alignment horizontal="center" vertical="bottom"/>
    </xf>
    <xf borderId="33" fillId="8" fontId="29" numFmtId="10" xfId="0" applyAlignment="1" applyBorder="1" applyFont="1" applyNumberFormat="1">
      <alignment horizontal="center" vertical="bottom"/>
    </xf>
    <xf borderId="33" fillId="8" fontId="29" numFmtId="4" xfId="0" applyAlignment="1" applyBorder="1" applyFont="1" applyNumberFormat="1">
      <alignment horizontal="center" vertical="bottom"/>
    </xf>
    <xf borderId="33" fillId="8" fontId="29" numFmtId="0" xfId="0" applyAlignment="1" applyBorder="1" applyFont="1">
      <alignment horizontal="center" vertical="bottom"/>
    </xf>
    <xf borderId="33" fillId="8" fontId="29" numFmtId="0" xfId="0" applyAlignment="1" applyBorder="1" applyFont="1">
      <alignment shrinkToFit="0" vertical="bottom" wrapText="1"/>
    </xf>
    <xf borderId="0" fillId="2" fontId="26" numFmtId="175" xfId="0" applyAlignment="1" applyFont="1" applyNumberFormat="1">
      <alignment horizontal="right" readingOrder="0" vertical="bottom"/>
    </xf>
    <xf borderId="31" fillId="0" fontId="26" numFmtId="0" xfId="0" applyAlignment="1" applyBorder="1" applyFont="1">
      <alignment readingOrder="0" shrinkToFit="0" vertical="bottom" wrapText="0"/>
    </xf>
    <xf borderId="12" fillId="0" fontId="26" numFmtId="9" xfId="0" applyAlignment="1" applyBorder="1" applyFont="1" applyNumberFormat="1">
      <alignment readingOrder="0" vertical="bottom"/>
    </xf>
    <xf borderId="34" fillId="0" fontId="26" numFmtId="168" xfId="0" applyAlignment="1" applyBorder="1" applyFont="1" applyNumberFormat="1">
      <alignment readingOrder="0" shrinkToFit="0" vertical="bottom" wrapText="0"/>
    </xf>
    <xf borderId="27" fillId="6" fontId="26" numFmtId="176" xfId="0" applyAlignment="1" applyBorder="1" applyFont="1" applyNumberFormat="1">
      <alignment horizontal="right" readingOrder="0" vertical="bottom"/>
    </xf>
    <xf borderId="31" fillId="5" fontId="31" numFmtId="0" xfId="0" applyAlignment="1" applyBorder="1" applyFont="1">
      <alignment readingOrder="0" shrinkToFit="0" vertical="bottom" wrapText="0"/>
    </xf>
    <xf borderId="0" fillId="0" fontId="26" numFmtId="14" xfId="0" applyAlignment="1" applyFont="1" applyNumberFormat="1">
      <alignment horizontal="right" readingOrder="0" vertical="bottom"/>
    </xf>
    <xf borderId="0" fillId="0" fontId="26" numFmtId="0" xfId="0" applyAlignment="1" applyFont="1">
      <alignment readingOrder="0" vertical="bottom"/>
    </xf>
    <xf borderId="31" fillId="0" fontId="26" numFmtId="168" xfId="0" applyAlignment="1" applyBorder="1" applyFont="1" applyNumberFormat="1">
      <alignment readingOrder="0" shrinkToFit="0" vertical="bottom" wrapText="0"/>
    </xf>
    <xf borderId="12" fillId="2" fontId="26" numFmtId="176" xfId="0" applyAlignment="1" applyBorder="1" applyFont="1" applyNumberFormat="1">
      <alignment horizontal="right" readingOrder="0" vertical="bottom"/>
    </xf>
    <xf borderId="35" fillId="2" fontId="26" numFmtId="176" xfId="0" applyAlignment="1" applyBorder="1" applyFont="1" applyNumberFormat="1">
      <alignment horizontal="right" readingOrder="0" vertical="bottom"/>
    </xf>
    <xf borderId="36" fillId="0" fontId="26" numFmtId="168" xfId="0" applyAlignment="1" applyBorder="1" applyFont="1" applyNumberFormat="1">
      <alignment readingOrder="0" shrinkToFit="0" vertical="bottom" wrapText="0"/>
    </xf>
    <xf borderId="33" fillId="6" fontId="26" numFmtId="176" xfId="0" applyAlignment="1" applyBorder="1" applyFont="1" applyNumberFormat="1">
      <alignment horizontal="right" readingOrder="0" vertical="bottom"/>
    </xf>
    <xf borderId="0" fillId="0" fontId="1" numFmtId="39" xfId="0" applyAlignment="1" applyFont="1" applyNumberFormat="1">
      <alignment horizontal="center" readingOrder="0" shrinkToFit="0" wrapText="0"/>
    </xf>
    <xf borderId="32" fillId="5" fontId="28" numFmtId="0" xfId="0" applyAlignment="1" applyBorder="1" applyFont="1">
      <alignment vertical="bottom"/>
    </xf>
    <xf borderId="33" fillId="5" fontId="28" numFmtId="0" xfId="0" applyAlignment="1" applyBorder="1" applyFont="1">
      <alignment vertical="bottom"/>
    </xf>
    <xf borderId="33" fillId="5" fontId="26" numFmtId="16" xfId="0" applyAlignment="1" applyBorder="1" applyFont="1" applyNumberFormat="1">
      <alignment vertical="bottom"/>
    </xf>
    <xf borderId="33" fillId="5" fontId="26" numFmtId="14" xfId="0" applyAlignment="1" applyBorder="1" applyFont="1" applyNumberFormat="1">
      <alignment vertical="bottom"/>
    </xf>
    <xf borderId="33" fillId="5" fontId="28" numFmtId="10" xfId="0" applyAlignment="1" applyBorder="1" applyFont="1" applyNumberFormat="1">
      <alignment horizontal="right" vertical="bottom"/>
    </xf>
    <xf borderId="33" fillId="5" fontId="26" numFmtId="166" xfId="0" applyAlignment="1" applyBorder="1" applyFont="1" applyNumberFormat="1">
      <alignment vertical="bottom"/>
    </xf>
    <xf borderId="33" fillId="5" fontId="28" numFmtId="166" xfId="0" applyAlignment="1" applyBorder="1" applyFont="1" applyNumberFormat="1">
      <alignment horizontal="right" vertical="bottom"/>
    </xf>
    <xf borderId="33" fillId="5" fontId="28" numFmtId="1" xfId="0" applyAlignment="1" applyBorder="1" applyFont="1" applyNumberFormat="1">
      <alignment horizontal="right" vertical="bottom"/>
    </xf>
    <xf borderId="33" fillId="5" fontId="26" numFmtId="1" xfId="0" applyAlignment="1" applyBorder="1" applyFont="1" applyNumberFormat="1">
      <alignment vertical="bottom"/>
    </xf>
    <xf borderId="33" fillId="5" fontId="26" numFmtId="0" xfId="0" applyAlignment="1" applyBorder="1" applyFont="1">
      <alignment vertical="bottom"/>
    </xf>
    <xf borderId="33" fillId="5" fontId="28" numFmtId="0" xfId="0" applyAlignment="1" applyBorder="1" applyFont="1">
      <alignment shrinkToFit="0" vertical="bottom" wrapText="0"/>
    </xf>
    <xf borderId="32" fillId="0" fontId="28" numFmtId="0" xfId="0" applyAlignment="1" applyBorder="1" applyFont="1">
      <alignment vertical="bottom"/>
    </xf>
    <xf borderId="33" fillId="0" fontId="28" numFmtId="0" xfId="0" applyAlignment="1" applyBorder="1" applyFont="1">
      <alignment vertical="bottom"/>
    </xf>
    <xf borderId="33" fillId="0" fontId="26" numFmtId="14" xfId="0" applyAlignment="1" applyBorder="1" applyFont="1" applyNumberFormat="1">
      <alignment vertical="bottom"/>
    </xf>
    <xf borderId="33" fillId="0" fontId="28" numFmtId="10" xfId="0" applyAlignment="1" applyBorder="1" applyFont="1" applyNumberFormat="1">
      <alignment horizontal="center" vertical="bottom"/>
    </xf>
    <xf borderId="33" fillId="0" fontId="26" numFmtId="166" xfId="0" applyAlignment="1" applyBorder="1" applyFont="1" applyNumberFormat="1">
      <alignment vertical="bottom"/>
    </xf>
    <xf borderId="33" fillId="0" fontId="28" numFmtId="166" xfId="0" applyAlignment="1" applyBorder="1" applyFont="1" applyNumberFormat="1">
      <alignment horizontal="right" vertical="bottom"/>
    </xf>
    <xf borderId="33" fillId="0" fontId="28" numFmtId="1" xfId="0" applyAlignment="1" applyBorder="1" applyFont="1" applyNumberFormat="1">
      <alignment horizontal="right" vertical="bottom"/>
    </xf>
    <xf borderId="33" fillId="0" fontId="26" numFmtId="1" xfId="0" applyAlignment="1" applyBorder="1" applyFont="1" applyNumberFormat="1">
      <alignment vertical="bottom"/>
    </xf>
    <xf borderId="33" fillId="0" fontId="26" numFmtId="0" xfId="0" applyAlignment="1" applyBorder="1" applyFont="1">
      <alignment vertical="bottom"/>
    </xf>
    <xf borderId="33" fillId="0" fontId="28" numFmtId="0" xfId="0" applyAlignment="1" applyBorder="1" applyFont="1">
      <alignment shrinkToFit="0" vertical="bottom" wrapText="0"/>
    </xf>
    <xf borderId="33" fillId="0" fontId="28" numFmtId="10" xfId="0" applyAlignment="1" applyBorder="1" applyFont="1" applyNumberFormat="1">
      <alignment horizontal="right" vertical="bottom"/>
    </xf>
    <xf borderId="30" fillId="5" fontId="28" numFmtId="0" xfId="0" applyAlignment="1" applyBorder="1" applyFont="1">
      <alignment vertical="bottom"/>
    </xf>
    <xf borderId="30" fillId="5" fontId="26" numFmtId="16" xfId="0" applyAlignment="1" applyBorder="1" applyFont="1" applyNumberFormat="1">
      <alignment vertical="bottom"/>
    </xf>
    <xf borderId="30" fillId="5" fontId="26" numFmtId="14" xfId="0" applyAlignment="1" applyBorder="1" applyFont="1" applyNumberFormat="1">
      <alignment vertical="bottom"/>
    </xf>
    <xf borderId="30" fillId="5" fontId="28" numFmtId="10" xfId="0" applyAlignment="1" applyBorder="1" applyFont="1" applyNumberFormat="1">
      <alignment horizontal="center" vertical="bottom"/>
    </xf>
    <xf borderId="30" fillId="5" fontId="28" numFmtId="166" xfId="0" applyAlignment="1" applyBorder="1" applyFont="1" applyNumberFormat="1">
      <alignment horizontal="right" vertical="bottom"/>
    </xf>
    <xf borderId="30" fillId="5" fontId="28" numFmtId="1" xfId="0" applyAlignment="1" applyBorder="1" applyFont="1" applyNumberFormat="1">
      <alignment horizontal="right" vertical="bottom"/>
    </xf>
    <xf borderId="30" fillId="5" fontId="26" numFmtId="1" xfId="0" applyAlignment="1" applyBorder="1" applyFont="1" applyNumberFormat="1">
      <alignment vertical="bottom"/>
    </xf>
    <xf borderId="30" fillId="5" fontId="26" numFmtId="0" xfId="0" applyAlignment="1" applyBorder="1" applyFont="1">
      <alignment vertical="bottom"/>
    </xf>
    <xf borderId="33" fillId="5" fontId="28" numFmtId="0" xfId="0" applyAlignment="1" applyBorder="1" applyFont="1">
      <alignment horizontal="right" vertical="bottom"/>
    </xf>
    <xf borderId="33" fillId="5" fontId="28" numFmtId="16" xfId="0" applyAlignment="1" applyBorder="1" applyFont="1" applyNumberFormat="1">
      <alignment horizontal="right" vertical="bottom"/>
    </xf>
    <xf borderId="0" fillId="5" fontId="28" numFmtId="0" xfId="0" applyAlignment="1" applyFont="1">
      <alignment vertical="bottom"/>
    </xf>
    <xf borderId="0" fillId="5" fontId="28" numFmtId="0" xfId="0" applyAlignment="1" applyFont="1">
      <alignment horizontal="center" vertical="bottom"/>
    </xf>
    <xf borderId="0" fillId="5" fontId="26" numFmtId="14" xfId="0" applyAlignment="1" applyFont="1" applyNumberFormat="1">
      <alignment vertical="bottom"/>
    </xf>
    <xf borderId="0" fillId="5" fontId="28" numFmtId="10" xfId="0" applyAlignment="1" applyFont="1" applyNumberFormat="1">
      <alignment horizontal="center" vertical="bottom"/>
    </xf>
    <xf borderId="0" fillId="5" fontId="26" numFmtId="166" xfId="0" applyAlignment="1" applyFont="1" applyNumberFormat="1">
      <alignment vertical="bottom"/>
    </xf>
    <xf borderId="0" fillId="5" fontId="28" numFmtId="166" xfId="0" applyAlignment="1" applyFont="1" applyNumberFormat="1">
      <alignment horizontal="right" vertical="bottom"/>
    </xf>
    <xf borderId="0" fillId="5" fontId="28" numFmtId="1" xfId="0" applyAlignment="1" applyFont="1" applyNumberFormat="1">
      <alignment horizontal="right" vertical="bottom"/>
    </xf>
    <xf borderId="0" fillId="5" fontId="26" numFmtId="1" xfId="0" applyAlignment="1" applyFont="1" applyNumberFormat="1">
      <alignment vertical="bottom"/>
    </xf>
    <xf borderId="31" fillId="5" fontId="28" numFmtId="0" xfId="0" applyAlignment="1" applyBorder="1" applyFont="1">
      <alignment shrinkToFit="0" vertical="bottom" wrapText="0"/>
    </xf>
    <xf borderId="30" fillId="8" fontId="30" numFmtId="0" xfId="0" applyAlignment="1" applyBorder="1" applyFont="1">
      <alignment vertical="bottom"/>
    </xf>
    <xf borderId="30" fillId="8" fontId="26" numFmtId="16" xfId="0" applyAlignment="1" applyBorder="1" applyFont="1" applyNumberFormat="1">
      <alignment vertical="bottom"/>
    </xf>
    <xf borderId="30" fillId="8" fontId="26" numFmtId="10" xfId="0" applyAlignment="1" applyBorder="1" applyFont="1" applyNumberFormat="1">
      <alignment vertical="bottom"/>
    </xf>
    <xf borderId="30" fillId="8" fontId="26" numFmtId="14" xfId="0" applyAlignment="1" applyBorder="1" applyFont="1" applyNumberFormat="1">
      <alignment vertical="bottom"/>
    </xf>
    <xf borderId="30" fillId="8" fontId="30" numFmtId="166" xfId="0" applyAlignment="1" applyBorder="1" applyFont="1" applyNumberFormat="1">
      <alignment horizontal="right" vertical="bottom"/>
    </xf>
    <xf borderId="30" fillId="8" fontId="30" numFmtId="1" xfId="0" applyAlignment="1" applyBorder="1" applyFont="1" applyNumberFormat="1">
      <alignment horizontal="right" vertical="bottom"/>
    </xf>
    <xf borderId="33" fillId="8" fontId="30" numFmtId="0" xfId="0" applyAlignment="1" applyBorder="1" applyFont="1">
      <alignment shrinkToFit="0" vertical="bottom" wrapText="0"/>
    </xf>
    <xf borderId="32" fillId="2" fontId="28" numFmtId="0" xfId="0" applyAlignment="1" applyBorder="1" applyFont="1">
      <alignment vertical="bottom"/>
    </xf>
    <xf borderId="33" fillId="2" fontId="28" numFmtId="0" xfId="0" applyAlignment="1" applyBorder="1" applyFont="1">
      <alignment vertical="bottom"/>
    </xf>
    <xf borderId="33" fillId="2" fontId="26" numFmtId="16" xfId="0" applyAlignment="1" applyBorder="1" applyFont="1" applyNumberFormat="1">
      <alignment vertical="bottom"/>
    </xf>
    <xf borderId="33" fillId="2" fontId="26" numFmtId="10" xfId="0" applyAlignment="1" applyBorder="1" applyFont="1" applyNumberFormat="1">
      <alignment vertical="bottom"/>
    </xf>
    <xf borderId="33" fillId="2" fontId="26" numFmtId="14" xfId="0" applyAlignment="1" applyBorder="1" applyFont="1" applyNumberFormat="1">
      <alignment vertical="bottom"/>
    </xf>
    <xf borderId="33" fillId="2" fontId="28" numFmtId="166" xfId="0" applyAlignment="1" applyBorder="1" applyFont="1" applyNumberFormat="1">
      <alignment horizontal="right" vertical="bottom"/>
    </xf>
    <xf borderId="33" fillId="2" fontId="26" numFmtId="166" xfId="0" applyAlignment="1" applyBorder="1" applyFont="1" applyNumberFormat="1">
      <alignment vertical="bottom"/>
    </xf>
    <xf borderId="33" fillId="2" fontId="28" numFmtId="1" xfId="0" applyAlignment="1" applyBorder="1" applyFont="1" applyNumberFormat="1">
      <alignment horizontal="right" vertical="bottom"/>
    </xf>
    <xf borderId="33" fillId="2" fontId="26" numFmtId="1" xfId="0" applyAlignment="1" applyBorder="1" applyFont="1" applyNumberFormat="1">
      <alignment vertical="bottom"/>
    </xf>
    <xf borderId="33" fillId="8" fontId="26" numFmtId="16" xfId="0" applyAlignment="1" applyBorder="1" applyFont="1" applyNumberFormat="1">
      <alignment vertical="bottom"/>
    </xf>
    <xf borderId="33" fillId="8" fontId="26" numFmtId="14" xfId="0" applyAlignment="1" applyBorder="1" applyFont="1" applyNumberFormat="1">
      <alignment vertical="bottom"/>
    </xf>
    <xf borderId="33" fillId="8" fontId="28" numFmtId="1" xfId="0" applyAlignment="1" applyBorder="1" applyFont="1" applyNumberFormat="1">
      <alignment horizontal="right" vertical="bottom"/>
    </xf>
    <xf borderId="33" fillId="0" fontId="26" numFmtId="16" xfId="0" applyAlignment="1" applyBorder="1" applyFont="1" applyNumberFormat="1">
      <alignment vertical="bottom"/>
    </xf>
    <xf borderId="33" fillId="0" fontId="26" numFmtId="10" xfId="0" applyAlignment="1" applyBorder="1" applyFont="1" applyNumberFormat="1">
      <alignment vertical="bottom"/>
    </xf>
    <xf borderId="0" fillId="2" fontId="26" numFmtId="14" xfId="0" applyAlignment="1" applyFont="1" applyNumberFormat="1">
      <alignment vertical="bottom"/>
    </xf>
    <xf borderId="0" fillId="2" fontId="28" numFmtId="10" xfId="0" applyAlignment="1" applyFont="1" applyNumberFormat="1">
      <alignment horizontal="right" vertical="bottom"/>
    </xf>
    <xf borderId="31" fillId="2" fontId="28" numFmtId="166" xfId="0" applyAlignment="1" applyBorder="1" applyFont="1" applyNumberFormat="1">
      <alignment horizontal="right" vertical="bottom"/>
    </xf>
    <xf borderId="30" fillId="2" fontId="26" numFmtId="10" xfId="0" applyAlignment="1" applyBorder="1" applyFont="1" applyNumberFormat="1">
      <alignment vertical="bottom"/>
    </xf>
    <xf borderId="30" fillId="2" fontId="26" numFmtId="14" xfId="0" applyAlignment="1" applyBorder="1" applyFont="1" applyNumberFormat="1">
      <alignment vertical="bottom"/>
    </xf>
    <xf borderId="30" fillId="2" fontId="26" numFmtId="166" xfId="0" applyAlignment="1" applyBorder="1" applyFont="1" applyNumberFormat="1">
      <alignment vertical="bottom"/>
    </xf>
    <xf borderId="33" fillId="2" fontId="28" numFmtId="0" xfId="0" applyAlignment="1" applyBorder="1" applyFont="1">
      <alignment shrinkToFit="0" vertical="bottom" wrapText="0"/>
    </xf>
    <xf borderId="33" fillId="2" fontId="28" numFmtId="10" xfId="0" applyAlignment="1" applyBorder="1" applyFont="1" applyNumberFormat="1">
      <alignment horizontal="right" vertical="bottom"/>
    </xf>
    <xf borderId="30" fillId="8" fontId="28" numFmtId="166" xfId="0" applyAlignment="1" applyBorder="1" applyFont="1" applyNumberFormat="1">
      <alignment horizontal="right" vertical="bottom"/>
    </xf>
    <xf borderId="30" fillId="8" fontId="28" numFmtId="1" xfId="0" applyAlignment="1" applyBorder="1" applyFont="1" applyNumberFormat="1">
      <alignment horizontal="right" vertical="bottom"/>
    </xf>
    <xf borderId="33" fillId="8" fontId="28" numFmtId="0" xfId="0" applyAlignment="1" applyBorder="1" applyFont="1">
      <alignment shrinkToFit="0" vertical="bottom" wrapText="0"/>
    </xf>
    <xf borderId="30" fillId="0" fontId="28" numFmtId="0" xfId="0" applyAlignment="1" applyBorder="1" applyFont="1">
      <alignment vertical="bottom"/>
    </xf>
    <xf borderId="30" fillId="0" fontId="26" numFmtId="16" xfId="0" applyAlignment="1" applyBorder="1" applyFont="1" applyNumberFormat="1">
      <alignment vertical="bottom"/>
    </xf>
    <xf borderId="30" fillId="0" fontId="26" numFmtId="10" xfId="0" applyAlignment="1" applyBorder="1" applyFont="1" applyNumberFormat="1">
      <alignment vertical="bottom"/>
    </xf>
    <xf borderId="30" fillId="0" fontId="26" numFmtId="14" xfId="0" applyAlignment="1" applyBorder="1" applyFont="1" applyNumberFormat="1">
      <alignment vertical="bottom"/>
    </xf>
    <xf borderId="30" fillId="0" fontId="28" numFmtId="10" xfId="0" applyAlignment="1" applyBorder="1" applyFont="1" applyNumberFormat="1">
      <alignment horizontal="right" vertical="bottom"/>
    </xf>
    <xf borderId="30" fillId="0" fontId="26" numFmtId="166" xfId="0" applyAlignment="1" applyBorder="1" applyFont="1" applyNumberFormat="1">
      <alignment vertical="bottom"/>
    </xf>
    <xf borderId="30" fillId="0" fontId="28" numFmtId="166" xfId="0" applyAlignment="1" applyBorder="1" applyFont="1" applyNumberFormat="1">
      <alignment horizontal="right" vertical="bottom"/>
    </xf>
    <xf borderId="30" fillId="0" fontId="28" numFmtId="1" xfId="0" applyAlignment="1" applyBorder="1" applyFont="1" applyNumberFormat="1">
      <alignment horizontal="right" vertical="bottom"/>
    </xf>
    <xf borderId="30" fillId="0" fontId="26" numFmtId="1" xfId="0" applyAlignment="1" applyBorder="1" applyFont="1" applyNumberFormat="1">
      <alignment vertical="bottom"/>
    </xf>
    <xf borderId="33" fillId="2" fontId="28" numFmtId="10" xfId="0" applyAlignment="1" applyBorder="1" applyFont="1" applyNumberFormat="1">
      <alignment horizontal="center" vertical="bottom"/>
    </xf>
    <xf borderId="33" fillId="2" fontId="26" numFmtId="0" xfId="0" applyAlignment="1" applyBorder="1" applyFont="1">
      <alignment vertical="bottom"/>
    </xf>
    <xf borderId="33" fillId="0" fontId="26" numFmtId="2" xfId="0" applyAlignment="1" applyBorder="1" applyFont="1" applyNumberFormat="1">
      <alignment vertical="bottom"/>
    </xf>
    <xf borderId="33" fillId="0" fontId="28" numFmtId="4" xfId="0" applyAlignment="1" applyBorder="1" applyFont="1" applyNumberFormat="1">
      <alignment horizontal="center" vertical="bottom"/>
    </xf>
    <xf borderId="33" fillId="0" fontId="28" numFmtId="1" xfId="0" applyAlignment="1" applyBorder="1" applyFont="1" applyNumberFormat="1">
      <alignment horizontal="center" vertical="bottom"/>
    </xf>
    <xf borderId="33" fillId="8" fontId="28" numFmtId="175" xfId="0" applyAlignment="1" applyBorder="1" applyFont="1" applyNumberFormat="1">
      <alignment horizontal="center" vertical="bottom"/>
    </xf>
    <xf borderId="33" fillId="8" fontId="26" numFmtId="175" xfId="0" applyAlignment="1" applyBorder="1" applyFont="1" applyNumberFormat="1">
      <alignment vertical="bottom"/>
    </xf>
    <xf borderId="33" fillId="8" fontId="29" numFmtId="175" xfId="0" applyAlignment="1" applyBorder="1" applyFont="1" applyNumberFormat="1">
      <alignment vertical="bottom"/>
    </xf>
    <xf borderId="33" fillId="8" fontId="29" numFmtId="0" xfId="0" applyAlignment="1" applyBorder="1" applyFont="1">
      <alignment horizontal="right" vertical="bottom"/>
    </xf>
    <xf borderId="33" fillId="8" fontId="28" numFmtId="0" xfId="0" applyAlignment="1" applyBorder="1" applyFont="1">
      <alignment horizontal="center" vertical="bottom"/>
    </xf>
    <xf borderId="30" fillId="8" fontId="29" numFmtId="0" xfId="0" applyAlignment="1" applyBorder="1" applyFont="1">
      <alignment horizontal="right" vertical="bottom"/>
    </xf>
    <xf borderId="30" fillId="8" fontId="28" numFmtId="10" xfId="0" applyAlignment="1" applyBorder="1" applyFont="1" applyNumberFormat="1">
      <alignment horizontal="right" vertical="bottom"/>
    </xf>
    <xf borderId="30" fillId="8" fontId="28" numFmtId="4" xfId="0" applyAlignment="1" applyBorder="1" applyFont="1" applyNumberFormat="1">
      <alignment horizontal="right" vertical="bottom"/>
    </xf>
    <xf borderId="30" fillId="8" fontId="28" numFmtId="2" xfId="0" applyAlignment="1" applyBorder="1" applyFont="1" applyNumberFormat="1">
      <alignment horizontal="center" vertical="bottom"/>
    </xf>
    <xf borderId="30" fillId="8" fontId="28" numFmtId="175" xfId="0" applyAlignment="1" applyBorder="1" applyFont="1" applyNumberFormat="1">
      <alignment horizontal="center" vertical="bottom"/>
    </xf>
    <xf borderId="30" fillId="8" fontId="26" numFmtId="175" xfId="0" applyAlignment="1" applyBorder="1" applyFont="1" applyNumberFormat="1">
      <alignment vertical="bottom"/>
    </xf>
    <xf borderId="30" fillId="8" fontId="28" numFmtId="0" xfId="0" applyAlignment="1" applyBorder="1" applyFont="1">
      <alignment horizontal="center" vertical="bottom"/>
    </xf>
    <xf borderId="33" fillId="8" fontId="29" numFmtId="0" xfId="0" applyAlignment="1" applyBorder="1" applyFont="1">
      <alignment vertical="bottom"/>
    </xf>
    <xf borderId="33" fillId="8" fontId="26" numFmtId="4" xfId="0" applyAlignment="1" applyBorder="1" applyFont="1" applyNumberFormat="1">
      <alignment vertical="bottom"/>
    </xf>
    <xf borderId="30" fillId="8" fontId="29" numFmtId="0" xfId="0" applyAlignment="1" applyBorder="1" applyFont="1">
      <alignment vertical="bottom"/>
    </xf>
    <xf borderId="0" fillId="8" fontId="29" numFmtId="0" xfId="0" applyAlignment="1" applyFont="1">
      <alignment horizontal="right" vertical="bottom"/>
    </xf>
    <xf borderId="30" fillId="8" fontId="29" numFmtId="2" xfId="0" applyAlignment="1" applyBorder="1" applyFont="1" applyNumberFormat="1">
      <alignment horizontal="center" vertical="bottom"/>
    </xf>
    <xf borderId="30" fillId="8" fontId="29" numFmtId="175" xfId="0" applyAlignment="1" applyBorder="1" applyFont="1" applyNumberFormat="1">
      <alignment horizontal="center" vertical="bottom"/>
    </xf>
    <xf borderId="30" fillId="8" fontId="29" numFmtId="10" xfId="0" applyAlignment="1" applyBorder="1" applyFont="1" applyNumberFormat="1">
      <alignment horizontal="center" vertical="bottom"/>
    </xf>
    <xf borderId="30" fillId="8" fontId="29" numFmtId="0" xfId="0" applyAlignment="1" applyBorder="1" applyFont="1">
      <alignment horizontal="center" vertical="bottom"/>
    </xf>
    <xf borderId="33" fillId="8" fontId="29" numFmtId="0" xfId="0" applyAlignment="1" applyBorder="1" applyFont="1">
      <alignment shrinkToFit="0" vertical="bottom" wrapText="0"/>
    </xf>
    <xf borderId="30" fillId="8" fontId="26" numFmtId="2" xfId="0" applyAlignment="1" applyBorder="1" applyFont="1" applyNumberFormat="1">
      <alignment horizontal="right" vertical="bottom"/>
    </xf>
    <xf borderId="33" fillId="8" fontId="26" numFmtId="2" xfId="0" applyAlignment="1" applyBorder="1" applyFont="1" applyNumberFormat="1">
      <alignment horizontal="right" vertical="bottom"/>
    </xf>
    <xf borderId="33" fillId="2" fontId="29" numFmtId="0" xfId="0" applyAlignment="1" applyBorder="1" applyFont="1">
      <alignment vertical="bottom"/>
    </xf>
    <xf borderId="33" fillId="2" fontId="29" numFmtId="4" xfId="0" applyAlignment="1" applyBorder="1" applyFont="1" applyNumberFormat="1">
      <alignment horizontal="right" vertical="bottom"/>
    </xf>
    <xf borderId="33" fillId="2" fontId="26" numFmtId="2" xfId="0" applyAlignment="1" applyBorder="1" applyFont="1" applyNumberFormat="1">
      <alignment vertical="bottom"/>
    </xf>
    <xf borderId="33" fillId="2" fontId="28" numFmtId="4" xfId="0" applyAlignment="1" applyBorder="1" applyFont="1" applyNumberFormat="1">
      <alignment horizontal="center" vertical="bottom"/>
    </xf>
    <xf borderId="33" fillId="2" fontId="26" numFmtId="2" xfId="0" applyAlignment="1" applyBorder="1" applyFont="1" applyNumberFormat="1">
      <alignment horizontal="right" vertical="bottom"/>
    </xf>
    <xf borderId="30" fillId="2" fontId="28" numFmtId="0" xfId="0" applyAlignment="1" applyBorder="1" applyFont="1">
      <alignment vertical="bottom"/>
    </xf>
    <xf borderId="30" fillId="2" fontId="26" numFmtId="16" xfId="0" applyAlignment="1" applyBorder="1" applyFont="1" applyNumberFormat="1">
      <alignment vertical="bottom"/>
    </xf>
    <xf borderId="30" fillId="2" fontId="28" numFmtId="4" xfId="0" applyAlignment="1" applyBorder="1" applyFont="1" applyNumberFormat="1">
      <alignment horizontal="center" vertical="bottom"/>
    </xf>
    <xf borderId="30" fillId="2" fontId="26" numFmtId="2" xfId="0" applyAlignment="1" applyBorder="1" applyFont="1" applyNumberFormat="1">
      <alignment vertical="bottom"/>
    </xf>
    <xf borderId="30" fillId="2" fontId="26" numFmtId="1" xfId="0" applyAlignment="1" applyBorder="1" applyFont="1" applyNumberFormat="1">
      <alignment vertical="bottom"/>
    </xf>
    <xf borderId="30" fillId="2" fontId="26" numFmtId="2" xfId="0" applyAlignment="1" applyBorder="1" applyFont="1" applyNumberFormat="1">
      <alignment horizontal="right" vertical="bottom"/>
    </xf>
    <xf borderId="30" fillId="2" fontId="26" numFmtId="0" xfId="0" applyAlignment="1" applyBorder="1" applyFont="1">
      <alignment vertical="bottom"/>
    </xf>
    <xf borderId="33" fillId="8" fontId="29" numFmtId="4" xfId="0" applyAlignment="1" applyBorder="1" applyFont="1" applyNumberFormat="1">
      <alignment horizontal="right" vertical="bottom"/>
    </xf>
    <xf borderId="33" fillId="2" fontId="28" numFmtId="4" xfId="0" applyAlignment="1" applyBorder="1" applyFont="1" applyNumberFormat="1">
      <alignment horizontal="right" vertical="bottom"/>
    </xf>
    <xf borderId="33" fillId="8" fontId="28" numFmtId="49" xfId="0" applyAlignment="1" applyBorder="1" applyFont="1" applyNumberFormat="1">
      <alignment horizontal="right" vertical="bottom"/>
    </xf>
    <xf borderId="33" fillId="8" fontId="28" numFmtId="166" xfId="0" applyAlignment="1" applyBorder="1" applyFont="1" applyNumberFormat="1">
      <alignment horizontal="right" vertical="bottom"/>
    </xf>
    <xf borderId="33" fillId="8" fontId="28" numFmtId="2" xfId="0" applyAlignment="1" applyBorder="1" applyFont="1" applyNumberFormat="1">
      <alignment horizontal="right" vertical="bottom"/>
    </xf>
    <xf borderId="33" fillId="8" fontId="28" numFmtId="49" xfId="0" applyAlignment="1" applyBorder="1" applyFont="1" applyNumberFormat="1">
      <alignment vertical="bottom"/>
    </xf>
    <xf borderId="33" fillId="8" fontId="28" numFmtId="166" xfId="0" applyAlignment="1" applyBorder="1" applyFont="1" applyNumberFormat="1">
      <alignment horizontal="center" vertical="bottom"/>
    </xf>
    <xf borderId="33" fillId="8" fontId="26" numFmtId="175" xfId="0" applyAlignment="1" applyBorder="1" applyFont="1" applyNumberFormat="1">
      <alignment horizontal="right" vertical="bottom"/>
    </xf>
    <xf borderId="5" fillId="2" fontId="29" numFmtId="14" xfId="0" applyAlignment="1" applyBorder="1" applyFont="1" applyNumberFormat="1">
      <alignment horizontal="right"/>
    </xf>
    <xf borderId="27" fillId="2" fontId="29" numFmtId="0" xfId="0" applyBorder="1" applyFont="1"/>
    <xf borderId="27" fillId="2" fontId="26" numFmtId="0" xfId="0" applyBorder="1" applyFont="1"/>
    <xf borderId="27" fillId="2" fontId="26" numFmtId="10" xfId="0" applyBorder="1" applyFont="1" applyNumberFormat="1"/>
    <xf borderId="27" fillId="2" fontId="28" numFmtId="4" xfId="0" applyAlignment="1" applyBorder="1" applyFont="1" applyNumberFormat="1">
      <alignment horizontal="right"/>
    </xf>
    <xf borderId="27" fillId="2" fontId="28" numFmtId="10" xfId="0" applyAlignment="1" applyBorder="1" applyFont="1" applyNumberFormat="1">
      <alignment horizontal="right"/>
    </xf>
    <xf borderId="27" fillId="2" fontId="26" numFmtId="166" xfId="0" applyBorder="1" applyFont="1" applyNumberFormat="1"/>
    <xf borderId="27" fillId="2" fontId="28" numFmtId="166" xfId="0" applyAlignment="1" applyBorder="1" applyFont="1" applyNumberFormat="1">
      <alignment horizontal="right"/>
    </xf>
    <xf borderId="27" fillId="2" fontId="29" numFmtId="2" xfId="0" applyAlignment="1" applyBorder="1" applyFont="1" applyNumberFormat="1">
      <alignment horizontal="center"/>
    </xf>
    <xf borderId="27" fillId="2" fontId="29" numFmtId="175" xfId="0" applyAlignment="1" applyBorder="1" applyFont="1" applyNumberFormat="1">
      <alignment horizontal="center"/>
    </xf>
    <xf borderId="27" fillId="2" fontId="28" numFmtId="4" xfId="0" applyAlignment="1" applyBorder="1" applyFont="1" applyNumberFormat="1">
      <alignment horizontal="center"/>
    </xf>
    <xf borderId="27" fillId="2" fontId="28" numFmtId="2" xfId="0" applyAlignment="1" applyBorder="1" applyFont="1" applyNumberFormat="1">
      <alignment horizontal="center"/>
    </xf>
    <xf borderId="27" fillId="2" fontId="29" numFmtId="10" xfId="0" applyAlignment="1" applyBorder="1" applyFont="1" applyNumberFormat="1">
      <alignment horizontal="center"/>
    </xf>
    <xf borderId="27" fillId="2" fontId="29" numFmtId="4" xfId="0" applyAlignment="1" applyBorder="1" applyFont="1" applyNumberFormat="1">
      <alignment horizontal="center"/>
    </xf>
    <xf borderId="27" fillId="2" fontId="29" numFmtId="0" xfId="0" applyAlignment="1" applyBorder="1" applyFont="1">
      <alignment horizontal="center"/>
    </xf>
    <xf borderId="27" fillId="2" fontId="29" numFmtId="0" xfId="0" applyAlignment="1" applyBorder="1" applyFont="1">
      <alignment shrinkToFit="0" wrapText="1"/>
    </xf>
    <xf borderId="5" fillId="8" fontId="29" numFmtId="2" xfId="0" applyAlignment="1" applyBorder="1" applyFont="1" applyNumberFormat="1">
      <alignment readingOrder="0" shrinkToFit="0" wrapText="0"/>
    </xf>
    <xf borderId="30" fillId="8" fontId="28" numFmtId="14" xfId="0" applyAlignment="1" applyBorder="1" applyFont="1" applyNumberFormat="1">
      <alignment horizontal="right"/>
    </xf>
    <xf borderId="30" fillId="8" fontId="28" numFmtId="0" xfId="0" applyBorder="1" applyFont="1"/>
    <xf borderId="30" fillId="8" fontId="29" numFmtId="0" xfId="0" applyAlignment="1" applyBorder="1" applyFont="1">
      <alignment horizontal="right"/>
    </xf>
    <xf borderId="30" fillId="8" fontId="28" numFmtId="10" xfId="0" applyAlignment="1" applyBorder="1" applyFont="1" applyNumberFormat="1">
      <alignment horizontal="right"/>
    </xf>
    <xf borderId="30" fillId="8" fontId="28" numFmtId="4" xfId="0" applyAlignment="1" applyBorder="1" applyFont="1" applyNumberFormat="1">
      <alignment horizontal="right"/>
    </xf>
    <xf borderId="33" fillId="8" fontId="26" numFmtId="166" xfId="0" applyBorder="1" applyFont="1" applyNumberFormat="1"/>
    <xf borderId="30" fillId="8" fontId="29" numFmtId="2" xfId="0" applyAlignment="1" applyBorder="1" applyFont="1" applyNumberFormat="1">
      <alignment horizontal="center"/>
    </xf>
    <xf borderId="30" fillId="8" fontId="29" numFmtId="175" xfId="0" applyAlignment="1" applyBorder="1" applyFont="1" applyNumberFormat="1">
      <alignment horizontal="center"/>
    </xf>
    <xf borderId="30" fillId="8" fontId="28" numFmtId="4" xfId="0" applyAlignment="1" applyBorder="1" applyFont="1" applyNumberFormat="1">
      <alignment horizontal="center"/>
    </xf>
    <xf borderId="30" fillId="8" fontId="28" numFmtId="2" xfId="0" applyAlignment="1" applyBorder="1" applyFont="1" applyNumberFormat="1">
      <alignment horizontal="center"/>
    </xf>
    <xf borderId="30" fillId="8" fontId="29" numFmtId="10" xfId="0" applyAlignment="1" applyBorder="1" applyFont="1" applyNumberFormat="1">
      <alignment horizontal="center"/>
    </xf>
    <xf borderId="33" fillId="8" fontId="29" numFmtId="10" xfId="0" applyAlignment="1" applyBorder="1" applyFont="1" applyNumberFormat="1">
      <alignment horizontal="center"/>
    </xf>
    <xf borderId="30" fillId="8" fontId="29" numFmtId="0" xfId="0" applyAlignment="1" applyBorder="1" applyFont="1">
      <alignment horizontal="center"/>
    </xf>
    <xf borderId="30" fillId="8" fontId="29" numFmtId="178" xfId="0" applyAlignment="1" applyBorder="1" applyFont="1" applyNumberFormat="1">
      <alignment horizontal="center"/>
    </xf>
    <xf borderId="30" fillId="8" fontId="28" numFmtId="0" xfId="0" applyAlignment="1" applyBorder="1" applyFont="1">
      <alignment horizontal="center"/>
    </xf>
    <xf borderId="33" fillId="8" fontId="29" numFmtId="0" xfId="0" applyAlignment="1" applyBorder="1" applyFont="1">
      <alignment shrinkToFit="0" wrapText="1"/>
    </xf>
  </cellXfs>
  <cellStyles count="1">
    <cellStyle xfId="0" name="Normal" builtinId="0"/>
  </cellStyles>
  <dxfs count="2">
    <dxf>
      <font/>
      <fill>
        <patternFill patternType="solid">
          <fgColor rgb="FFFF0000"/>
          <bgColor rgb="FFFF0000"/>
        </patternFill>
      </fill>
      <alignment shrinkToFit="0" wrapText="0"/>
      <border>
        <left/>
        <right/>
        <top/>
        <bottom/>
      </border>
    </dxf>
    <dxf>
      <font/>
      <fill>
        <patternFill patternType="solid">
          <fgColor rgb="FF00FF00"/>
          <bgColor rgb="FF00FF00"/>
        </patternFill>
      </fill>
      <alignment shrinkToFit="0" wrapText="0"/>
      <border>
        <left/>
        <right/>
        <top/>
        <bottom/>
      </border>
    </dxf>
  </dxfs>
</styleSheet>
</file>

<file path=xl/_rels/workbook.xml.rels><?xml version="1.0" encoding="UTF-8" standalone="yes"?><Relationships xmlns="http://schemas.openxmlformats.org/package/2006/relationships"><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15" Type="http://schemas.openxmlformats.org/officeDocument/2006/relationships/worksheet" Target="worksheets/sheet13.xml"/><Relationship Id="rId14" Type="http://schemas.openxmlformats.org/officeDocument/2006/relationships/worksheet" Target="worksheets/sheet1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9747"/>
          <c:y val="0.06618"/>
          <c:w val="0.8460000000000001"/>
          <c:h val="0.78676"/>
        </c:manualLayout>
      </c:layout>
      <c:lineChart>
        <c:ser>
          <c:idx val="0"/>
          <c:order val="0"/>
          <c:tx>
            <c:strRef>
              <c:f>Overall!$D$148</c:f>
            </c:strRef>
          </c:tx>
          <c:marker>
            <c:symbol val="none"/>
          </c:marker>
          <c:cat>
            <c:strRef>
              <c:f>Overall!$B$149:$B$241</c:f>
            </c:strRef>
          </c:cat>
          <c:val>
            <c:numRef>
              <c:f>Overall!$D$149:$D$241</c:f>
            </c:numRef>
          </c:val>
          <c:smooth val="0"/>
        </c:ser>
        <c:ser>
          <c:idx val="1"/>
          <c:order val="1"/>
          <c:tx>
            <c:strRef>
              <c:f>Overall!$G$148</c:f>
            </c:strRef>
          </c:tx>
          <c:marker>
            <c:symbol val="none"/>
          </c:marker>
          <c:cat>
            <c:strRef>
              <c:f>Overall!$B$149:$B$241</c:f>
            </c:strRef>
          </c:cat>
          <c:val>
            <c:numRef>
              <c:f>Overall!$G$149:$G$241</c:f>
            </c:numRef>
          </c:val>
          <c:smooth val="0"/>
        </c:ser>
        <c:axId val="2083325620"/>
        <c:axId val="1965475885"/>
      </c:lineChart>
      <c:catAx>
        <c:axId val="2083325620"/>
        <c:scaling>
          <c:orientation val="minMax"/>
        </c:scaling>
        <c:delete val="0"/>
        <c:axPos val="b"/>
        <c:title>
          <c:tx>
            <c:rich>
              <a:bodyPr/>
              <a:lstStyle/>
              <a:p>
                <a:pPr lvl="0">
                  <a:defRPr b="0">
                    <a:solidFill>
                      <a:srgbClr val="000000"/>
                    </a:solidFill>
                    <a:latin typeface="Roboto"/>
                  </a:defRPr>
                </a:pPr>
                <a:r>
                  <a:t/>
                </a:r>
              </a:p>
            </c:rich>
          </c:tx>
          <c:overlay val="0"/>
        </c:title>
        <c:txPr>
          <a:bodyPr/>
          <a:lstStyle/>
          <a:p>
            <a:pPr lvl="0">
              <a:defRPr b="0">
                <a:solidFill>
                  <a:srgbClr val="000000"/>
                </a:solidFill>
                <a:latin typeface="Roboto"/>
              </a:defRPr>
            </a:pPr>
          </a:p>
        </c:txPr>
        <c:crossAx val="1965475885"/>
      </c:catAx>
      <c:valAx>
        <c:axId val="1965475885"/>
        <c:scaling>
          <c:orientation val="minMax"/>
        </c:scaling>
        <c:delete val="0"/>
        <c:axPos val="l"/>
        <c:majorGridlines>
          <c:spPr>
            <a:ln>
              <a:solidFill>
                <a:srgbClr val="-484849"/>
              </a:solidFill>
            </a:ln>
          </c:spPr>
        </c:majorGridlines>
        <c:minorGridlines>
          <c:spPr>
            <a:ln>
              <a:solidFill>
                <a:srgbClr val="CCCCCC"/>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sz="1200">
                <a:solidFill>
                  <a:srgbClr val="000000"/>
                </a:solidFill>
                <a:latin typeface="Roboto"/>
              </a:defRPr>
            </a:pPr>
          </a:p>
        </c:txPr>
        <c:crossAx val="2083325620"/>
      </c:valAx>
    </c:plotArea>
    <c:legend>
      <c:legendPos val="b"/>
      <c:overlay val="0"/>
      <c:txPr>
        <a:bodyPr/>
        <a:lstStyle/>
        <a:p>
          <a:pPr lvl="0">
            <a:defRPr b="0" sz="1000">
              <a:solidFill>
                <a:srgbClr val="000000"/>
              </a:solidFill>
              <a:latin typeface="Roboto"/>
            </a:defRPr>
          </a:pPr>
        </a:p>
      </c:txPr>
    </c:legend>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849475318475364"/>
          <c:y val="0.04853560518049998"/>
          <c:w val="0.8138798513130021"/>
          <c:h val="0.7477828195204415"/>
        </c:manualLayout>
      </c:layout>
      <c:lineChart>
        <c:ser>
          <c:idx val="0"/>
          <c:order val="0"/>
          <c:tx>
            <c:strRef>
              <c:f>Overall!$B$105</c:f>
            </c:strRef>
          </c:tx>
          <c:marker>
            <c:symbol val="none"/>
          </c:marker>
          <c:cat>
            <c:strRef>
              <c:f>Overall!$C$104:$O$104</c:f>
            </c:strRef>
          </c:cat>
          <c:val>
            <c:numRef>
              <c:f>Overall!$C$105:$O$105</c:f>
            </c:numRef>
          </c:val>
          <c:smooth val="0"/>
        </c:ser>
        <c:ser>
          <c:idx val="1"/>
          <c:order val="1"/>
          <c:tx>
            <c:strRef>
              <c:f>Overall!$B$106</c:f>
            </c:strRef>
          </c:tx>
          <c:marker>
            <c:symbol val="none"/>
          </c:marker>
          <c:cat>
            <c:strRef>
              <c:f>Overall!$C$104:$O$104</c:f>
            </c:strRef>
          </c:cat>
          <c:val>
            <c:numRef>
              <c:f>Overall!$C$106:$O$106</c:f>
            </c:numRef>
          </c:val>
          <c:smooth val="0"/>
        </c:ser>
        <c:axId val="185685467"/>
        <c:axId val="1246472919"/>
      </c:lineChart>
      <c:catAx>
        <c:axId val="185685467"/>
        <c:scaling>
          <c:orientation val="minMax"/>
        </c:scaling>
        <c:delete val="0"/>
        <c:axPos val="b"/>
        <c:title>
          <c:tx>
            <c:rich>
              <a:bodyPr/>
              <a:lstStyle/>
              <a:p>
                <a:pPr lvl="0">
                  <a:defRPr b="0">
                    <a:solidFill>
                      <a:srgbClr val="000000"/>
                    </a:solidFill>
                    <a:latin typeface="Roboto"/>
                  </a:defRPr>
                </a:pPr>
                <a:r>
                  <a:t/>
                </a:r>
              </a:p>
            </c:rich>
          </c:tx>
          <c:overlay val="0"/>
        </c:title>
        <c:txPr>
          <a:bodyPr/>
          <a:lstStyle/>
          <a:p>
            <a:pPr lvl="0">
              <a:defRPr b="0">
                <a:solidFill>
                  <a:srgbClr val="000000"/>
                </a:solidFill>
                <a:latin typeface="Roboto"/>
              </a:defRPr>
            </a:pPr>
          </a:p>
        </c:txPr>
        <c:crossAx val="1246472919"/>
      </c:catAx>
      <c:valAx>
        <c:axId val="1246472919"/>
        <c:scaling>
          <c:orientation val="minMax"/>
          <c:max val="0.3"/>
        </c:scaling>
        <c:delete val="0"/>
        <c:axPos val="l"/>
        <c:majorGridlines>
          <c:spPr>
            <a:ln>
              <a:solidFill>
                <a:srgbClr val="-484849"/>
              </a:solidFill>
            </a:ln>
          </c:spPr>
        </c:majorGridlines>
        <c:minorGridlines>
          <c:spPr>
            <a:ln>
              <a:solidFill>
                <a:srgbClr val="CCCCCC"/>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sz="1200">
                <a:solidFill>
                  <a:srgbClr val="000000"/>
                </a:solidFill>
                <a:latin typeface="Roboto"/>
              </a:defRPr>
            </a:pPr>
          </a:p>
        </c:txPr>
        <c:crossAx val="185685467"/>
      </c:valAx>
    </c:plotArea>
    <c:legend>
      <c:legendPos val="b"/>
      <c:overlay val="0"/>
      <c:txPr>
        <a:bodyPr/>
        <a:lstStyle/>
        <a:p>
          <a:pPr lvl="0">
            <a:defRPr b="0" sz="1000">
              <a:solidFill>
                <a:srgbClr val="000000"/>
              </a:solidFill>
              <a:latin typeface="Roboto"/>
            </a:defRPr>
          </a:pPr>
        </a:p>
      </c:txPr>
    </c:legend>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849475318475364"/>
          <c:y val="0.04853560518049998"/>
          <c:w val="0.8138798513130021"/>
          <c:h val="0.7477828195204415"/>
        </c:manualLayout>
      </c:layout>
      <c:lineChart>
        <c:ser>
          <c:idx val="0"/>
          <c:order val="0"/>
          <c:tx>
            <c:strRef>
              <c:f>Overall!$B$255</c:f>
            </c:strRef>
          </c:tx>
          <c:marker>
            <c:symbol val="none"/>
          </c:marker>
          <c:cat>
            <c:strRef>
              <c:f>Overall!$C$254:$O$254</c:f>
            </c:strRef>
          </c:cat>
          <c:val>
            <c:numRef>
              <c:f>Overall!$C$255:$O$255</c:f>
            </c:numRef>
          </c:val>
          <c:smooth val="0"/>
        </c:ser>
        <c:ser>
          <c:idx val="1"/>
          <c:order val="1"/>
          <c:tx>
            <c:strRef>
              <c:f>Overall!$B$256</c:f>
            </c:strRef>
          </c:tx>
          <c:marker>
            <c:symbol val="none"/>
          </c:marker>
          <c:cat>
            <c:strRef>
              <c:f>Overall!$C$254:$O$254</c:f>
            </c:strRef>
          </c:cat>
          <c:val>
            <c:numRef>
              <c:f>Overall!$C$256:$O$256</c:f>
            </c:numRef>
          </c:val>
          <c:smooth val="0"/>
        </c:ser>
        <c:axId val="1976149993"/>
        <c:axId val="1924917449"/>
      </c:lineChart>
      <c:catAx>
        <c:axId val="1976149993"/>
        <c:scaling>
          <c:orientation val="minMax"/>
        </c:scaling>
        <c:delete val="0"/>
        <c:axPos val="b"/>
        <c:title>
          <c:tx>
            <c:rich>
              <a:bodyPr/>
              <a:lstStyle/>
              <a:p>
                <a:pPr lvl="0">
                  <a:defRPr b="0">
                    <a:solidFill>
                      <a:srgbClr val="000000"/>
                    </a:solidFill>
                    <a:latin typeface="Roboto"/>
                  </a:defRPr>
                </a:pPr>
                <a:r>
                  <a:t/>
                </a:r>
              </a:p>
            </c:rich>
          </c:tx>
          <c:overlay val="0"/>
        </c:title>
        <c:txPr>
          <a:bodyPr/>
          <a:lstStyle/>
          <a:p>
            <a:pPr lvl="0">
              <a:defRPr b="0">
                <a:solidFill>
                  <a:srgbClr val="000000"/>
                </a:solidFill>
                <a:latin typeface="Roboto"/>
              </a:defRPr>
            </a:pPr>
          </a:p>
        </c:txPr>
        <c:crossAx val="1924917449"/>
      </c:catAx>
      <c:valAx>
        <c:axId val="1924917449"/>
        <c:scaling>
          <c:orientation val="minMax"/>
        </c:scaling>
        <c:delete val="0"/>
        <c:axPos val="l"/>
        <c:majorGridlines>
          <c:spPr>
            <a:ln>
              <a:solidFill>
                <a:srgbClr val="-484849"/>
              </a:solidFill>
            </a:ln>
          </c:spPr>
        </c:majorGridlines>
        <c:minorGridlines>
          <c:spPr>
            <a:ln>
              <a:solidFill>
                <a:srgbClr val="CCCCCC"/>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sz="1200">
                <a:solidFill>
                  <a:srgbClr val="000000"/>
                </a:solidFill>
                <a:latin typeface="Roboto"/>
              </a:defRPr>
            </a:pPr>
          </a:p>
        </c:txPr>
        <c:crossAx val="1976149993"/>
      </c:valAx>
    </c:plotArea>
    <c:legend>
      <c:legendPos val="b"/>
      <c:overlay val="0"/>
      <c:txPr>
        <a:bodyPr/>
        <a:lstStyle/>
        <a:p>
          <a:pPr lvl="0">
            <a:defRPr b="0" sz="1000">
              <a:solidFill>
                <a:srgbClr val="000000"/>
              </a:solidFill>
              <a:latin typeface="Roboto"/>
            </a:defRPr>
          </a:pPr>
        </a:p>
      </c:txPr>
    </c:legend>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9747"/>
          <c:y val="0.06618"/>
          <c:w val="0.8460000000000001"/>
          <c:h val="0.78676"/>
        </c:manualLayout>
      </c:layout>
      <c:lineChart>
        <c:ser>
          <c:idx val="0"/>
          <c:order val="0"/>
          <c:tx>
            <c:strRef>
              <c:f>Overall!$D$296</c:f>
            </c:strRef>
          </c:tx>
          <c:marker>
            <c:symbol val="none"/>
          </c:marker>
          <c:cat>
            <c:strRef>
              <c:f>Overall!$B$297:$B$388</c:f>
            </c:strRef>
          </c:cat>
          <c:val>
            <c:numRef>
              <c:f>Overall!$D$297:$D$388</c:f>
            </c:numRef>
          </c:val>
          <c:smooth val="0"/>
        </c:ser>
        <c:ser>
          <c:idx val="1"/>
          <c:order val="1"/>
          <c:tx>
            <c:strRef>
              <c:f>Overall!$G$296</c:f>
            </c:strRef>
          </c:tx>
          <c:marker>
            <c:symbol val="none"/>
          </c:marker>
          <c:cat>
            <c:strRef>
              <c:f>Overall!$B$297:$B$388</c:f>
            </c:strRef>
          </c:cat>
          <c:val>
            <c:numRef>
              <c:f>Overall!$G$297:$G$388</c:f>
            </c:numRef>
          </c:val>
          <c:smooth val="0"/>
        </c:ser>
        <c:axId val="888724804"/>
        <c:axId val="439601656"/>
      </c:lineChart>
      <c:catAx>
        <c:axId val="888724804"/>
        <c:scaling>
          <c:orientation val="minMax"/>
        </c:scaling>
        <c:delete val="0"/>
        <c:axPos val="b"/>
        <c:title>
          <c:tx>
            <c:rich>
              <a:bodyPr/>
              <a:lstStyle/>
              <a:p>
                <a:pPr lvl="0">
                  <a:defRPr b="0">
                    <a:solidFill>
                      <a:srgbClr val="000000"/>
                    </a:solidFill>
                    <a:latin typeface="Roboto"/>
                  </a:defRPr>
                </a:pPr>
                <a:r>
                  <a:t/>
                </a:r>
              </a:p>
            </c:rich>
          </c:tx>
          <c:overlay val="0"/>
        </c:title>
        <c:txPr>
          <a:bodyPr/>
          <a:lstStyle/>
          <a:p>
            <a:pPr lvl="0">
              <a:defRPr b="0">
                <a:solidFill>
                  <a:srgbClr val="000000"/>
                </a:solidFill>
                <a:latin typeface="Roboto"/>
              </a:defRPr>
            </a:pPr>
          </a:p>
        </c:txPr>
        <c:crossAx val="439601656"/>
      </c:catAx>
      <c:valAx>
        <c:axId val="439601656"/>
        <c:scaling>
          <c:orientation val="minMax"/>
        </c:scaling>
        <c:delete val="0"/>
        <c:axPos val="l"/>
        <c:majorGridlines>
          <c:spPr>
            <a:ln>
              <a:solidFill>
                <a:srgbClr val="-484849"/>
              </a:solidFill>
            </a:ln>
          </c:spPr>
        </c:majorGridlines>
        <c:minorGridlines>
          <c:spPr>
            <a:ln>
              <a:solidFill>
                <a:srgbClr val="CCCCCC"/>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sz="1200">
                <a:solidFill>
                  <a:srgbClr val="000000"/>
                </a:solidFill>
                <a:latin typeface="Roboto"/>
              </a:defRPr>
            </a:pPr>
          </a:p>
        </c:txPr>
        <c:crossAx val="888724804"/>
      </c:valAx>
    </c:plotArea>
    <c:legend>
      <c:legendPos val="b"/>
      <c:overlay val="0"/>
      <c:txPr>
        <a:bodyPr/>
        <a:lstStyle/>
        <a:p>
          <a:pPr lvl="0">
            <a:defRPr b="0" sz="1000">
              <a:solidFill>
                <a:srgbClr val="000000"/>
              </a:solidFill>
              <a:latin typeface="Roboto"/>
            </a:defRPr>
          </a:pPr>
        </a:p>
      </c:txPr>
    </c:legend>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849475318475364"/>
          <c:y val="0.04853560518049998"/>
          <c:w val="0.8138798513130021"/>
          <c:h val="0.7477828195204415"/>
        </c:manualLayout>
      </c:layout>
      <c:lineChart>
        <c:ser>
          <c:idx val="0"/>
          <c:order val="0"/>
          <c:tx>
            <c:strRef>
              <c:f>Overall!$B$401</c:f>
            </c:strRef>
          </c:tx>
          <c:marker>
            <c:symbol val="none"/>
          </c:marker>
          <c:cat>
            <c:strRef>
              <c:f>Overall!$C$400:$O$400</c:f>
            </c:strRef>
          </c:cat>
          <c:val>
            <c:numRef>
              <c:f>Overall!$C$401:$O$401</c:f>
            </c:numRef>
          </c:val>
          <c:smooth val="0"/>
        </c:ser>
        <c:ser>
          <c:idx val="1"/>
          <c:order val="1"/>
          <c:tx>
            <c:strRef>
              <c:f>Overall!$B$402</c:f>
            </c:strRef>
          </c:tx>
          <c:marker>
            <c:symbol val="none"/>
          </c:marker>
          <c:cat>
            <c:strRef>
              <c:f>Overall!$C$400:$O$400</c:f>
            </c:strRef>
          </c:cat>
          <c:val>
            <c:numRef>
              <c:f>Overall!$C$402:$O$402</c:f>
            </c:numRef>
          </c:val>
          <c:smooth val="0"/>
        </c:ser>
        <c:axId val="1647538268"/>
        <c:axId val="546890470"/>
      </c:lineChart>
      <c:catAx>
        <c:axId val="1647538268"/>
        <c:scaling>
          <c:orientation val="minMax"/>
        </c:scaling>
        <c:delete val="0"/>
        <c:axPos val="b"/>
        <c:title>
          <c:tx>
            <c:rich>
              <a:bodyPr/>
              <a:lstStyle/>
              <a:p>
                <a:pPr lvl="0">
                  <a:defRPr b="0">
                    <a:solidFill>
                      <a:srgbClr val="000000"/>
                    </a:solidFill>
                    <a:latin typeface="Roboto"/>
                  </a:defRPr>
                </a:pPr>
                <a:r>
                  <a:t/>
                </a:r>
              </a:p>
            </c:rich>
          </c:tx>
          <c:overlay val="0"/>
        </c:title>
        <c:txPr>
          <a:bodyPr/>
          <a:lstStyle/>
          <a:p>
            <a:pPr lvl="0">
              <a:defRPr b="0">
                <a:solidFill>
                  <a:srgbClr val="000000"/>
                </a:solidFill>
                <a:latin typeface="Roboto"/>
              </a:defRPr>
            </a:pPr>
          </a:p>
        </c:txPr>
        <c:crossAx val="546890470"/>
      </c:catAx>
      <c:valAx>
        <c:axId val="546890470"/>
        <c:scaling>
          <c:orientation val="minMax"/>
        </c:scaling>
        <c:delete val="0"/>
        <c:axPos val="l"/>
        <c:majorGridlines>
          <c:spPr>
            <a:ln>
              <a:solidFill>
                <a:srgbClr val="-484849"/>
              </a:solidFill>
            </a:ln>
          </c:spPr>
        </c:majorGridlines>
        <c:minorGridlines>
          <c:spPr>
            <a:ln>
              <a:solidFill>
                <a:srgbClr val="CCCCCC"/>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sz="1200">
                <a:solidFill>
                  <a:srgbClr val="000000"/>
                </a:solidFill>
                <a:latin typeface="Roboto"/>
              </a:defRPr>
            </a:pPr>
          </a:p>
        </c:txPr>
        <c:crossAx val="1647538268"/>
      </c:valAx>
    </c:plotArea>
    <c:legend>
      <c:legendPos val="b"/>
      <c:overlay val="0"/>
      <c:txPr>
        <a:bodyPr/>
        <a:lstStyle/>
        <a:p>
          <a:pPr lvl="0">
            <a:defRPr b="0" sz="1000">
              <a:solidFill>
                <a:srgbClr val="000000"/>
              </a:solidFill>
              <a:latin typeface="Roboto"/>
            </a:defRPr>
          </a:pPr>
        </a:p>
      </c:txPr>
    </c:legend>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9747"/>
          <c:y val="0.06618"/>
          <c:w val="0.8460000000000001"/>
          <c:h val="0.78676"/>
        </c:manualLayout>
      </c:layout>
      <c:lineChart>
        <c:ser>
          <c:idx val="0"/>
          <c:order val="0"/>
          <c:tx>
            <c:strRef>
              <c:f>Overall!$D$444</c:f>
            </c:strRef>
          </c:tx>
          <c:marker>
            <c:symbol val="none"/>
          </c:marker>
          <c:cat>
            <c:strRef>
              <c:f>Overall!$B$445:$B$536</c:f>
            </c:strRef>
          </c:cat>
          <c:val>
            <c:numRef>
              <c:f>Overall!$D$445:$D$536</c:f>
            </c:numRef>
          </c:val>
          <c:smooth val="0"/>
        </c:ser>
        <c:ser>
          <c:idx val="1"/>
          <c:order val="1"/>
          <c:tx>
            <c:strRef>
              <c:f>Overall!$G$444</c:f>
            </c:strRef>
          </c:tx>
          <c:marker>
            <c:symbol val="none"/>
          </c:marker>
          <c:cat>
            <c:strRef>
              <c:f>Overall!$B$445:$B$536</c:f>
            </c:strRef>
          </c:cat>
          <c:val>
            <c:numRef>
              <c:f>Overall!$G$445:$G$536</c:f>
            </c:numRef>
          </c:val>
          <c:smooth val="0"/>
        </c:ser>
        <c:axId val="877453018"/>
        <c:axId val="1070308430"/>
      </c:lineChart>
      <c:catAx>
        <c:axId val="877453018"/>
        <c:scaling>
          <c:orientation val="minMax"/>
        </c:scaling>
        <c:delete val="0"/>
        <c:axPos val="b"/>
        <c:title>
          <c:tx>
            <c:rich>
              <a:bodyPr/>
              <a:lstStyle/>
              <a:p>
                <a:pPr lvl="0">
                  <a:defRPr b="0">
                    <a:solidFill>
                      <a:srgbClr val="000000"/>
                    </a:solidFill>
                    <a:latin typeface="Roboto"/>
                  </a:defRPr>
                </a:pPr>
                <a:r>
                  <a:t/>
                </a:r>
              </a:p>
            </c:rich>
          </c:tx>
          <c:overlay val="0"/>
        </c:title>
        <c:txPr>
          <a:bodyPr/>
          <a:lstStyle/>
          <a:p>
            <a:pPr lvl="0">
              <a:defRPr b="0">
                <a:solidFill>
                  <a:srgbClr val="000000"/>
                </a:solidFill>
                <a:latin typeface="Roboto"/>
              </a:defRPr>
            </a:pPr>
          </a:p>
        </c:txPr>
        <c:crossAx val="1070308430"/>
      </c:catAx>
      <c:valAx>
        <c:axId val="1070308430"/>
        <c:scaling>
          <c:orientation val="minMax"/>
        </c:scaling>
        <c:delete val="0"/>
        <c:axPos val="l"/>
        <c:majorGridlines>
          <c:spPr>
            <a:ln>
              <a:solidFill>
                <a:srgbClr val="-484849"/>
              </a:solidFill>
            </a:ln>
          </c:spPr>
        </c:majorGridlines>
        <c:minorGridlines>
          <c:spPr>
            <a:ln>
              <a:solidFill>
                <a:srgbClr val="CCCCCC"/>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sz="1200">
                <a:solidFill>
                  <a:srgbClr val="000000"/>
                </a:solidFill>
                <a:latin typeface="Roboto"/>
              </a:defRPr>
            </a:pPr>
          </a:p>
        </c:txPr>
        <c:crossAx val="877453018"/>
      </c:valAx>
    </c:plotArea>
    <c:legend>
      <c:legendPos val="b"/>
      <c:overlay val="0"/>
      <c:txPr>
        <a:bodyPr/>
        <a:lstStyle/>
        <a:p>
          <a:pPr lvl="0">
            <a:defRPr b="0" sz="1000">
              <a:solidFill>
                <a:srgbClr val="000000"/>
              </a:solidFill>
              <a:latin typeface="Roboto"/>
            </a:defRPr>
          </a:pPr>
        </a:p>
      </c:txPr>
    </c:legend>
  </c:chart>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5" Type="http://schemas.openxmlformats.org/officeDocument/2006/relationships/chart" Target="../charts/chart5.xml"/><Relationship Id="rId6"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504825</xdr:colOff>
      <xdr:row>126</xdr:row>
      <xdr:rowOff>133350</xdr:rowOff>
    </xdr:from>
    <xdr:ext cx="6838950" cy="2647950"/>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xdr:col>
      <xdr:colOff>457200</xdr:colOff>
      <xdr:row>108</xdr:row>
      <xdr:rowOff>123825</xdr:rowOff>
    </xdr:from>
    <xdr:ext cx="6829425" cy="2400300"/>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xdr:col>
      <xdr:colOff>0</xdr:colOff>
      <xdr:row>259</xdr:row>
      <xdr:rowOff>0</xdr:rowOff>
    </xdr:from>
    <xdr:ext cx="6619875" cy="2400300"/>
    <xdr:graphicFrame>
      <xdr:nvGraphicFramePr>
        <xdr:cNvPr id="3" name="Chart 3"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2</xdr:col>
      <xdr:colOff>0</xdr:colOff>
      <xdr:row>276</xdr:row>
      <xdr:rowOff>0</xdr:rowOff>
    </xdr:from>
    <xdr:ext cx="6629400" cy="2647950"/>
    <xdr:graphicFrame>
      <xdr:nvGraphicFramePr>
        <xdr:cNvPr id="4" name="Chart 4"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1</xdr:col>
      <xdr:colOff>790575</xdr:colOff>
      <xdr:row>403</xdr:row>
      <xdr:rowOff>123825</xdr:rowOff>
    </xdr:from>
    <xdr:ext cx="6829425" cy="2400300"/>
    <xdr:graphicFrame>
      <xdr:nvGraphicFramePr>
        <xdr:cNvPr id="5" name="Chart 5"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2</xdr:col>
      <xdr:colOff>0</xdr:colOff>
      <xdr:row>420</xdr:row>
      <xdr:rowOff>85725</xdr:rowOff>
    </xdr:from>
    <xdr:ext cx="6838950" cy="2647950"/>
    <xdr:graphicFrame>
      <xdr:nvGraphicFramePr>
        <xdr:cNvPr id="6" name="Chart 6" title="Chart"/>
        <xdr:cNvGraphicFramePr/>
      </xdr:nvGraphicFramePr>
      <xdr:xfrm>
        <a:off x="0" y="0"/>
        <a:ext cx="0" cy="0"/>
      </xdr:xfrm>
      <a:graphic>
        <a:graphicData uri="http://schemas.openxmlformats.org/drawingml/2006/chart">
          <c:chart r:id="rId6"/>
        </a:graphicData>
      </a:graphic>
    </xdr:graphicFrame>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66675</xdr:colOff>
      <xdr:row>1</xdr:row>
      <xdr:rowOff>123825</xdr:rowOff>
    </xdr:from>
    <xdr:ext cx="7277100" cy="4114800"/>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booking.com" TargetMode="External"/><Relationship Id="rId2" Type="http://schemas.openxmlformats.org/officeDocument/2006/relationships/hyperlink" Target="http://stamps.com" TargetMode="External"/><Relationship Id="rId3"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7.29" defaultRowHeight="15.75"/>
  <cols>
    <col customWidth="1" min="1" max="1" width="1.71"/>
    <col customWidth="1" min="2" max="2" width="12.0"/>
    <col customWidth="1" min="3" max="12" width="8.71"/>
    <col customWidth="1" min="13" max="13" width="8.29"/>
    <col customWidth="1" min="14" max="15" width="8.71"/>
    <col customWidth="1" min="16" max="16" width="9.14"/>
    <col customWidth="1" min="17" max="17" width="15.29"/>
    <col customWidth="1" min="18" max="18" width="2.57"/>
    <col customWidth="1" min="19" max="19" width="12.29"/>
    <col customWidth="1" min="20" max="20" width="36.29"/>
    <col customWidth="1" min="21" max="24" width="8.71"/>
  </cols>
  <sheetData>
    <row r="1" ht="9.0" customHeight="1">
      <c r="A1" s="1"/>
      <c r="B1" s="1"/>
      <c r="M1" s="1"/>
      <c r="P1" s="19"/>
      <c r="Q1" s="81"/>
      <c r="R1" s="19"/>
      <c r="S1" s="1"/>
      <c r="T1" s="1"/>
    </row>
    <row r="2" ht="12.75" customHeight="1">
      <c r="A2" s="1"/>
      <c r="B2" s="83" t="str">
        <f>Strats!D1</f>
        <v>Pareto Capital Management, LLC</v>
      </c>
      <c r="C2" s="84"/>
      <c r="D2" s="84"/>
      <c r="E2" s="85"/>
      <c r="F2" s="86" t="s">
        <v>530</v>
      </c>
      <c r="G2" s="87"/>
      <c r="H2" s="88" t="str">
        <f>vlookup($C$4,$C$35:$Q$43,15,false)</f>
        <v/>
      </c>
      <c r="I2" s="87"/>
      <c r="K2" s="35" t="s">
        <v>532</v>
      </c>
      <c r="M2" s="1"/>
      <c r="P2" s="19"/>
      <c r="Q2" s="81"/>
      <c r="R2" s="19"/>
      <c r="S2" s="1"/>
      <c r="T2" s="1"/>
    </row>
    <row r="3" ht="12.75" customHeight="1">
      <c r="A3" s="1"/>
      <c r="B3" s="89" t="s">
        <v>533</v>
      </c>
      <c r="C3" s="10"/>
      <c r="D3" s="10"/>
      <c r="E3" s="90"/>
      <c r="F3" s="91" t="s">
        <v>534</v>
      </c>
      <c r="G3" s="92"/>
      <c r="H3" s="93"/>
      <c r="I3" s="92"/>
      <c r="K3" s="7" t="s">
        <v>537</v>
      </c>
      <c r="M3" s="1"/>
      <c r="P3" s="19"/>
      <c r="Q3" s="81"/>
      <c r="R3" s="19"/>
      <c r="S3" s="1"/>
      <c r="T3" s="1"/>
      <c r="V3" s="94" t="s">
        <v>539</v>
      </c>
      <c r="W3" s="94" t="s">
        <v>540</v>
      </c>
      <c r="X3" s="94" t="s">
        <v>541</v>
      </c>
    </row>
    <row r="4" ht="12.75" customHeight="1">
      <c r="A4" s="1"/>
      <c r="B4" s="7" t="s">
        <v>542</v>
      </c>
      <c r="C4" s="95">
        <v>2019.0</v>
      </c>
      <c r="M4" s="1"/>
      <c r="P4" s="19"/>
      <c r="Q4" s="81"/>
      <c r="R4" s="19"/>
      <c r="S4" s="1"/>
      <c r="T4" s="1"/>
      <c r="U4" s="94" t="s">
        <v>543</v>
      </c>
      <c r="V4" s="94"/>
      <c r="W4" s="96">
        <f>G49</f>
        <v>0.15</v>
      </c>
      <c r="X4" s="97">
        <v>0.25</v>
      </c>
    </row>
    <row r="5" ht="12.75" customHeight="1">
      <c r="A5" s="1"/>
      <c r="B5" s="1"/>
      <c r="K5" s="98" t="s">
        <v>546</v>
      </c>
      <c r="M5" s="1"/>
      <c r="P5" s="19"/>
      <c r="Q5" s="81"/>
      <c r="R5" s="19"/>
      <c r="S5" s="1"/>
      <c r="T5" s="1"/>
      <c r="U5" s="94" t="s">
        <v>547</v>
      </c>
      <c r="V5" s="94"/>
      <c r="W5" s="96">
        <f>J48</f>
        <v>0.06</v>
      </c>
      <c r="X5" s="94">
        <v>0.0</v>
      </c>
    </row>
    <row r="6" ht="12.75" customHeight="1">
      <c r="A6" s="1"/>
      <c r="B6" s="7" t="s">
        <v>548</v>
      </c>
      <c r="K6" s="7" t="s">
        <v>549</v>
      </c>
      <c r="M6" s="1"/>
      <c r="P6" s="19"/>
      <c r="Q6" s="81"/>
      <c r="R6" s="19"/>
      <c r="S6" s="1"/>
      <c r="T6" s="1"/>
      <c r="U6" s="94" t="s">
        <v>550</v>
      </c>
      <c r="V6" s="94"/>
      <c r="W6" s="96">
        <f>G48</f>
        <v>0</v>
      </c>
      <c r="X6" s="97">
        <v>0.02</v>
      </c>
    </row>
    <row r="7" ht="12.75" customHeight="1">
      <c r="A7" s="1"/>
      <c r="B7" s="99" t="s">
        <v>551</v>
      </c>
      <c r="K7" s="94" t="s">
        <v>552</v>
      </c>
      <c r="M7" s="1"/>
      <c r="P7" s="19"/>
      <c r="Q7" s="81"/>
      <c r="R7" s="19"/>
      <c r="S7" s="1"/>
      <c r="T7" s="1"/>
      <c r="V7" s="94"/>
      <c r="W7" s="94"/>
      <c r="X7" s="94"/>
    </row>
    <row r="8" ht="12.75" customHeight="1">
      <c r="A8" s="1"/>
      <c r="B8" s="100" t="s">
        <v>553</v>
      </c>
      <c r="C8" s="101" t="s">
        <v>542</v>
      </c>
      <c r="D8" s="102" t="s">
        <v>556</v>
      </c>
      <c r="E8" s="102" t="s">
        <v>557</v>
      </c>
      <c r="F8" s="102" t="s">
        <v>558</v>
      </c>
      <c r="G8" s="102" t="s">
        <v>559</v>
      </c>
      <c r="H8" s="102" t="s">
        <v>560</v>
      </c>
      <c r="I8" s="102" t="s">
        <v>561</v>
      </c>
      <c r="J8" s="102" t="s">
        <v>563</v>
      </c>
      <c r="K8" s="102" t="s">
        <v>564</v>
      </c>
      <c r="L8" s="102" t="s">
        <v>565</v>
      </c>
      <c r="M8" s="102" t="s">
        <v>566</v>
      </c>
      <c r="N8" s="102" t="s">
        <v>567</v>
      </c>
      <c r="O8" s="102" t="s">
        <v>568</v>
      </c>
      <c r="P8" s="103" t="s">
        <v>569</v>
      </c>
      <c r="Q8" s="104" t="s">
        <v>571</v>
      </c>
      <c r="R8" s="105"/>
      <c r="S8" s="106" t="s">
        <v>572</v>
      </c>
      <c r="T8" s="107" t="s">
        <v>573</v>
      </c>
      <c r="U8" s="7" t="s">
        <v>574</v>
      </c>
      <c r="V8" s="104" t="s">
        <v>575</v>
      </c>
      <c r="W8" s="104" t="s">
        <v>575</v>
      </c>
      <c r="X8" s="104" t="s">
        <v>575</v>
      </c>
    </row>
    <row r="9" ht="12.75" customHeight="1">
      <c r="A9" s="1"/>
      <c r="B9" s="108" t="s">
        <v>576</v>
      </c>
      <c r="C9" s="9">
        <v>2012.0</v>
      </c>
      <c r="D9" s="109"/>
      <c r="E9" s="110"/>
      <c r="F9" s="110"/>
      <c r="G9" s="110" t="str">
        <f t="shared" ref="G9:O9" si="1">vlookup(date($C9,G$103,0),$B$296:$G$394,2,false)</f>
        <v/>
      </c>
      <c r="H9" s="111">
        <f t="shared" si="1"/>
        <v>-0.001022357143</v>
      </c>
      <c r="I9" s="111">
        <f t="shared" si="1"/>
        <v>0.03504318379</v>
      </c>
      <c r="J9" s="110">
        <f t="shared" si="1"/>
        <v>0.03847458412</v>
      </c>
      <c r="K9" s="110">
        <f t="shared" si="1"/>
        <v>0.08504131649</v>
      </c>
      <c r="L9" s="110">
        <f t="shared" si="1"/>
        <v>-0.01660838944</v>
      </c>
      <c r="M9" s="110">
        <f t="shared" si="1"/>
        <v>0.02987806955</v>
      </c>
      <c r="N9" s="110">
        <f t="shared" si="1"/>
        <v>-0.01459826737</v>
      </c>
      <c r="O9" s="110">
        <f t="shared" si="1"/>
        <v>-0.02607373551</v>
      </c>
      <c r="P9" s="110">
        <f t="array" ref="P9">PRODUCT(1+D9:O9)-1</f>
        <v>0.1324214703</v>
      </c>
      <c r="Q9" s="113"/>
      <c r="R9" s="105"/>
      <c r="S9" s="106"/>
      <c r="T9" s="107"/>
      <c r="U9" s="7">
        <f t="shared" ref="U9:U13" si="4">C9</f>
        <v>2012</v>
      </c>
      <c r="V9" s="114">
        <f t="shared" ref="V9:V13" si="5">P93</f>
        <v>0.08531482945</v>
      </c>
      <c r="W9" s="114">
        <f t="shared" ref="W9:W13" si="6">(max(0,(1-W$4)*($P9-W$5))+min(W$5,$P9))*(1-W$6)</f>
        <v>0.1215582497</v>
      </c>
      <c r="X9" s="114">
        <f t="shared" ref="X9:X13" si="7">P36</f>
        <v>0.1322603878</v>
      </c>
    </row>
    <row r="10" ht="12.75" customHeight="1">
      <c r="A10" s="1"/>
      <c r="B10" s="108" t="s">
        <v>576</v>
      </c>
      <c r="C10" s="7">
        <f t="shared" ref="C10:C14" si="8">C9+1</f>
        <v>2013</v>
      </c>
      <c r="D10" s="110">
        <f t="shared" ref="D10:M10" si="2">vlookup(date($C10,D$103,0),$B$296:$G$394,2,false)</f>
        <v>0.04645619676</v>
      </c>
      <c r="E10" s="110">
        <f t="shared" si="2"/>
        <v>0.01750640828</v>
      </c>
      <c r="F10" s="110">
        <f t="shared" si="2"/>
        <v>0.07569898952</v>
      </c>
      <c r="G10" s="110">
        <f t="shared" si="2"/>
        <v>-0.02815273082</v>
      </c>
      <c r="H10" s="110">
        <f t="shared" si="2"/>
        <v>0.0669678856</v>
      </c>
      <c r="I10" s="110">
        <f t="shared" si="2"/>
        <v>0.002358406204</v>
      </c>
      <c r="J10" s="110">
        <f t="shared" si="2"/>
        <v>0.01959750846</v>
      </c>
      <c r="K10" s="110">
        <f t="shared" si="2"/>
        <v>-0.07160731469</v>
      </c>
      <c r="L10" s="110">
        <f t="shared" si="2"/>
        <v>0.02740612292</v>
      </c>
      <c r="M10" s="111">
        <f t="shared" si="2"/>
        <v>0.05029452562</v>
      </c>
      <c r="N10" s="111">
        <f t="shared" ref="N10:O10" si="3">vlookup(date($C10,N$103,0),$B$148:$G$246,2,false)</f>
        <v>0.09246171064</v>
      </c>
      <c r="O10" s="111">
        <f t="shared" si="3"/>
        <v>0.04133546628</v>
      </c>
      <c r="P10" s="110">
        <f t="array" ref="P10">PRODUCT(1+D10:O10)-1</f>
        <v>0.3833497083</v>
      </c>
      <c r="Q10" s="113"/>
      <c r="R10" s="105"/>
      <c r="S10" s="106"/>
      <c r="T10" s="107"/>
      <c r="U10" s="7">
        <f t="shared" si="4"/>
        <v>2013</v>
      </c>
      <c r="V10" s="114">
        <f t="shared" si="5"/>
        <v>0.323884847</v>
      </c>
      <c r="W10" s="114">
        <f t="shared" si="6"/>
        <v>0.3348472521</v>
      </c>
      <c r="X10" s="114">
        <f t="shared" si="7"/>
        <v>0.3819932936</v>
      </c>
    </row>
    <row r="11" ht="12.75" customHeight="1">
      <c r="A11" s="108"/>
      <c r="B11" s="108" t="s">
        <v>576</v>
      </c>
      <c r="C11" s="7">
        <f t="shared" si="8"/>
        <v>2014</v>
      </c>
      <c r="D11" s="110">
        <f t="shared" ref="D11:M11" si="9">vlookup(date($C11,D$103,0),$B$296:$G$394,2,false)</f>
        <v>-0.05118829064</v>
      </c>
      <c r="E11" s="110">
        <f t="shared" si="9"/>
        <v>0.03500684048</v>
      </c>
      <c r="F11" s="110">
        <f t="shared" si="9"/>
        <v>0.04169032291</v>
      </c>
      <c r="G11" s="110">
        <f t="shared" si="9"/>
        <v>-0.01416190128</v>
      </c>
      <c r="H11" s="110">
        <f t="shared" si="9"/>
        <v>0.05541118872</v>
      </c>
      <c r="I11" s="110">
        <f t="shared" si="9"/>
        <v>-0.07139894197</v>
      </c>
      <c r="J11" s="110">
        <f t="shared" si="9"/>
        <v>-0.06953482089</v>
      </c>
      <c r="K11" s="110">
        <f t="shared" si="9"/>
        <v>0.03138127814</v>
      </c>
      <c r="L11" s="110">
        <f t="shared" si="9"/>
        <v>-0.05447690828</v>
      </c>
      <c r="M11" s="110">
        <f t="shared" si="9"/>
        <v>0.03193096832</v>
      </c>
      <c r="N11" s="110">
        <f t="shared" ref="N11:O11" si="10">vlookup(date($C11,N$103,0),$B$148:$G$246,2,false)</f>
        <v>0.07144043011</v>
      </c>
      <c r="O11" s="110">
        <f t="shared" si="10"/>
        <v>0.05403721334</v>
      </c>
      <c r="P11" s="110">
        <f t="array" ref="P11">PRODUCT(1+D11:O11)-1</f>
        <v>0.04516409126</v>
      </c>
      <c r="Q11" s="113"/>
      <c r="R11" s="105"/>
      <c r="S11" s="106"/>
      <c r="T11" s="107"/>
      <c r="U11" s="7">
        <f t="shared" si="4"/>
        <v>2014</v>
      </c>
      <c r="V11" s="114">
        <f t="shared" si="5"/>
        <v>0.1368835836</v>
      </c>
      <c r="W11" s="114">
        <f t="shared" si="6"/>
        <v>0.04516409126</v>
      </c>
      <c r="X11" s="114">
        <f t="shared" si="7"/>
        <v>0.04401391204</v>
      </c>
    </row>
    <row r="12" ht="12.75" customHeight="1">
      <c r="A12" s="1"/>
      <c r="B12" s="108" t="s">
        <v>576</v>
      </c>
      <c r="C12" s="7">
        <f t="shared" si="8"/>
        <v>2015</v>
      </c>
      <c r="D12" s="110">
        <f t="shared" ref="D12:O12" si="11">vlookup(date($C12,D$103,0),$B$296:$G$394,2,false)</f>
        <v>-0.02135220577</v>
      </c>
      <c r="E12" s="110">
        <f t="shared" si="11"/>
        <v>0.03143443254</v>
      </c>
      <c r="F12" s="110">
        <f t="shared" si="11"/>
        <v>0.07644641377</v>
      </c>
      <c r="G12" s="110">
        <f t="shared" si="11"/>
        <v>-0.0405155543</v>
      </c>
      <c r="H12" s="109">
        <f t="shared" si="11"/>
        <v>0.03987936671</v>
      </c>
      <c r="I12" s="109">
        <f t="shared" si="11"/>
        <v>0.006474039415</v>
      </c>
      <c r="J12" s="109">
        <f t="shared" si="11"/>
        <v>0.05008754105</v>
      </c>
      <c r="K12" s="109">
        <f t="shared" si="11"/>
        <v>-0.05850187146</v>
      </c>
      <c r="L12" s="109">
        <f t="shared" si="11"/>
        <v>-0.03865138868</v>
      </c>
      <c r="M12" s="109">
        <f t="shared" si="11"/>
        <v>0.06997955225</v>
      </c>
      <c r="N12" s="109">
        <f t="shared" si="11"/>
        <v>0.03816216755</v>
      </c>
      <c r="O12" s="109">
        <f t="shared" si="11"/>
        <v>-0.02312994944</v>
      </c>
      <c r="P12" s="109">
        <f t="array" ref="P12">PRODUCT(1+D12:O12)-1</f>
        <v>0.1253491339</v>
      </c>
      <c r="Q12" s="113"/>
      <c r="R12" s="105"/>
      <c r="S12" s="106"/>
      <c r="T12" s="107"/>
      <c r="U12" s="7">
        <f t="shared" si="4"/>
        <v>2015</v>
      </c>
      <c r="V12" s="114">
        <f t="shared" si="5"/>
        <v>0.01383764109</v>
      </c>
      <c r="W12" s="114">
        <f t="shared" si="6"/>
        <v>0.1155467638</v>
      </c>
      <c r="X12" s="114">
        <f t="shared" si="7"/>
        <v>0.1239915806</v>
      </c>
    </row>
    <row r="13" ht="12.75" customHeight="1">
      <c r="A13" s="1"/>
      <c r="B13" s="108" t="s">
        <v>576</v>
      </c>
      <c r="C13" s="7">
        <f t="shared" si="8"/>
        <v>2016</v>
      </c>
      <c r="D13" s="110">
        <f t="shared" ref="D13:O13" si="12">vlookup(date($C13,D$103,0),$B$296:$G$394,2,false)</f>
        <v>-0.02052166089</v>
      </c>
      <c r="E13" s="110">
        <f t="shared" si="12"/>
        <v>-0.1379021422</v>
      </c>
      <c r="F13" s="110">
        <f t="shared" si="12"/>
        <v>0.0375636455</v>
      </c>
      <c r="G13" s="110">
        <f t="shared" si="12"/>
        <v>-0.05841132145</v>
      </c>
      <c r="H13" s="109">
        <f t="shared" si="12"/>
        <v>0.03764013054</v>
      </c>
      <c r="I13" s="109">
        <f t="shared" si="12"/>
        <v>-0.008651042441</v>
      </c>
      <c r="J13" s="109">
        <f t="shared" si="12"/>
        <v>0.03456727726</v>
      </c>
      <c r="K13" s="109">
        <f t="shared" si="12"/>
        <v>-0.0344946677</v>
      </c>
      <c r="L13" s="109">
        <f t="shared" si="12"/>
        <v>-0.01798885985</v>
      </c>
      <c r="M13" s="109">
        <f t="shared" si="12"/>
        <v>-0.01486732085</v>
      </c>
      <c r="N13" s="109">
        <f t="shared" si="12"/>
        <v>0.1136197701</v>
      </c>
      <c r="O13" s="109">
        <f t="shared" si="12"/>
        <v>0.02108750395</v>
      </c>
      <c r="P13" s="109">
        <f t="array" ref="P13">PRODUCT(1+D13:O13)-1</f>
        <v>-0.06755088963</v>
      </c>
      <c r="Q13" s="113"/>
      <c r="R13" s="19"/>
      <c r="S13" s="7"/>
      <c r="T13" s="7"/>
      <c r="U13" s="7">
        <f t="shared" si="4"/>
        <v>2016</v>
      </c>
      <c r="V13" s="114">
        <f t="shared" si="5"/>
        <v>0.1195990921</v>
      </c>
      <c r="W13" s="114">
        <f t="shared" si="6"/>
        <v>-0.06755088963</v>
      </c>
      <c r="X13" s="114">
        <f t="shared" si="7"/>
        <v>-0.06875382818</v>
      </c>
    </row>
    <row r="14" ht="12.75" customHeight="1">
      <c r="A14" s="1"/>
      <c r="B14" s="108" t="s">
        <v>576</v>
      </c>
      <c r="C14" s="7">
        <f t="shared" si="8"/>
        <v>2017</v>
      </c>
      <c r="D14" s="110">
        <f t="shared" ref="D14:O14" si="13">vlookup(date($C14,D$103,0),$B$296:$G$394,2,false)</f>
        <v>0.0500521204</v>
      </c>
      <c r="E14" s="110">
        <f t="shared" si="13"/>
        <v>0.002036773492</v>
      </c>
      <c r="F14" s="110">
        <f t="shared" si="13"/>
        <v>-0.01049646155</v>
      </c>
      <c r="G14" s="110">
        <f t="shared" si="13"/>
        <v>0.0106821553</v>
      </c>
      <c r="H14" s="110">
        <f t="shared" si="13"/>
        <v>-0.002141840661</v>
      </c>
      <c r="I14" s="110">
        <f t="shared" si="13"/>
        <v>0.01402381858</v>
      </c>
      <c r="J14" s="110">
        <f t="shared" si="13"/>
        <v>0.01114571364</v>
      </c>
      <c r="K14" s="110">
        <f t="shared" si="13"/>
        <v>-0.02606099554</v>
      </c>
      <c r="L14" s="110">
        <f t="shared" si="13"/>
        <v>0.03104629153</v>
      </c>
      <c r="M14" s="110">
        <f t="shared" si="13"/>
        <v>0.01570972509</v>
      </c>
      <c r="N14" s="110">
        <f t="shared" si="13"/>
        <v>0.01482339525</v>
      </c>
      <c r="O14" s="110">
        <f t="shared" si="13"/>
        <v>0.01445951581</v>
      </c>
      <c r="P14" s="109">
        <f t="array" ref="P14">PRODUCT(1+D14:O14)-1</f>
        <v>0.130477453</v>
      </c>
      <c r="Q14" s="113"/>
      <c r="R14" s="19"/>
      <c r="S14" s="1"/>
      <c r="T14" s="7"/>
    </row>
    <row r="15" ht="12.75" customHeight="1">
      <c r="A15" s="1"/>
      <c r="B15" s="108" t="s">
        <v>576</v>
      </c>
      <c r="C15" s="9">
        <v>2018.0</v>
      </c>
      <c r="D15" s="109">
        <f t="shared" ref="D15:O15" si="14">vlookup(date($C15,D$103,0),$B$296:$G$394,2,false)</f>
        <v>0.03586108453</v>
      </c>
      <c r="E15" s="109">
        <f t="shared" si="14"/>
        <v>-0.04367604034</v>
      </c>
      <c r="F15" s="109">
        <f t="shared" si="14"/>
        <v>-0.0218723974</v>
      </c>
      <c r="G15" s="109">
        <f t="shared" si="14"/>
        <v>-0.00468487602</v>
      </c>
      <c r="H15" s="109">
        <f t="shared" si="14"/>
        <v>0.03047372543</v>
      </c>
      <c r="I15" s="109">
        <f t="shared" si="14"/>
        <v>0.001561511548</v>
      </c>
      <c r="J15" s="109">
        <f t="shared" si="14"/>
        <v>0.02335181859</v>
      </c>
      <c r="K15" s="109">
        <f t="shared" si="14"/>
        <v>0.0406976255</v>
      </c>
      <c r="L15" s="109">
        <f t="shared" si="14"/>
        <v>-0.0144245706</v>
      </c>
      <c r="M15" s="109">
        <f t="shared" si="14"/>
        <v>-0.0918198145</v>
      </c>
      <c r="N15" s="109">
        <f t="shared" si="14"/>
        <v>0.01574932217</v>
      </c>
      <c r="O15" s="109">
        <f t="shared" si="14"/>
        <v>-0.07896287452</v>
      </c>
      <c r="P15" s="109">
        <f t="array" ref="P15">PRODUCT(1+D15:O15)-1</f>
        <v>-0.1123284126</v>
      </c>
      <c r="Q15" s="113"/>
      <c r="R15" s="19"/>
      <c r="S15" s="1"/>
      <c r="T15" s="7"/>
      <c r="U15" s="94"/>
      <c r="V15" s="114"/>
      <c r="W15" s="114"/>
      <c r="X15" s="114"/>
    </row>
    <row r="16" ht="12.75" customHeight="1">
      <c r="A16" s="1"/>
      <c r="B16" s="91" t="s">
        <v>576</v>
      </c>
      <c r="C16" s="63">
        <v>2019.0</v>
      </c>
      <c r="D16" s="116">
        <f t="shared" ref="D16:L16" si="15">vlookup(date($C16,D$103,0),$B$296:$G$394,2,false)</f>
        <v>0.07752591156</v>
      </c>
      <c r="E16" s="116">
        <f t="shared" si="15"/>
        <v>0.01967085864</v>
      </c>
      <c r="F16" s="116">
        <f t="shared" si="15"/>
        <v>0.03461316956</v>
      </c>
      <c r="G16" s="116">
        <f t="shared" si="15"/>
        <v>0.08131955631</v>
      </c>
      <c r="H16" s="116">
        <f t="shared" si="15"/>
        <v>-0.05217677781</v>
      </c>
      <c r="I16" s="116">
        <f t="shared" si="15"/>
        <v>0.06476308561</v>
      </c>
      <c r="J16" s="116">
        <f t="shared" si="15"/>
        <v>0.02842760103</v>
      </c>
      <c r="K16" s="116">
        <f t="shared" si="15"/>
        <v>-0.01092559058</v>
      </c>
      <c r="L16" s="116">
        <f t="shared" si="15"/>
        <v>0.01690471054</v>
      </c>
      <c r="M16" s="116"/>
      <c r="N16" s="116"/>
      <c r="O16" s="116"/>
      <c r="P16" s="116">
        <f t="array" ref="P16">PRODUCT(1+D16:O16)-1</f>
        <v>0.2831666669</v>
      </c>
      <c r="Q16" s="117"/>
      <c r="R16" s="19"/>
      <c r="S16" s="1"/>
      <c r="T16" s="7"/>
      <c r="U16" s="94" t="s">
        <v>569</v>
      </c>
      <c r="V16" s="114">
        <f t="shared" ref="V16:X16" si="16">V12</f>
        <v>0.01383764109</v>
      </c>
      <c r="W16" s="114">
        <f t="shared" si="16"/>
        <v>0.1155467638</v>
      </c>
      <c r="X16" s="114">
        <f t="shared" si="16"/>
        <v>0.1239915806</v>
      </c>
    </row>
    <row r="17" ht="12.75" customHeight="1">
      <c r="A17" s="1"/>
      <c r="B17" s="20"/>
      <c r="D17" s="19"/>
      <c r="E17" s="19"/>
      <c r="F17" s="19"/>
      <c r="G17" s="19"/>
      <c r="H17" s="19"/>
      <c r="I17" s="19"/>
      <c r="J17" s="19"/>
      <c r="K17" s="19"/>
      <c r="L17" s="19"/>
      <c r="M17" s="19"/>
      <c r="N17" s="19"/>
      <c r="O17" s="19"/>
      <c r="P17" s="19"/>
      <c r="Q17" s="81"/>
      <c r="R17" s="19"/>
      <c r="S17" s="1"/>
      <c r="T17" s="1"/>
      <c r="U17" s="94" t="s">
        <v>611</v>
      </c>
      <c r="V17" s="114">
        <f t="shared" ref="V17:X17" si="17">V12</f>
        <v>0.01383764109</v>
      </c>
      <c r="W17" s="114">
        <f t="shared" si="17"/>
        <v>0.1155467638</v>
      </c>
      <c r="X17" s="114">
        <f t="shared" si="17"/>
        <v>0.1239915806</v>
      </c>
    </row>
    <row r="18" ht="12.75" customHeight="1">
      <c r="A18" s="1"/>
      <c r="B18" s="118" t="s">
        <v>612</v>
      </c>
      <c r="D18" s="19"/>
      <c r="E18" s="19"/>
      <c r="F18" s="19"/>
      <c r="G18" s="19"/>
      <c r="H18" s="19"/>
      <c r="I18" s="19"/>
      <c r="J18" s="19"/>
      <c r="K18" s="19"/>
      <c r="L18" s="19"/>
      <c r="M18" s="19"/>
      <c r="N18" s="19"/>
      <c r="O18" s="19"/>
      <c r="P18" s="19"/>
      <c r="Q18" s="81"/>
      <c r="R18" s="19"/>
      <c r="S18" s="1"/>
      <c r="T18" s="1"/>
    </row>
    <row r="19" ht="12.75" customHeight="1">
      <c r="A19" s="1"/>
      <c r="B19" s="100" t="s">
        <v>553</v>
      </c>
      <c r="C19" s="101" t="s">
        <v>542</v>
      </c>
      <c r="D19" s="102" t="s">
        <v>556</v>
      </c>
      <c r="E19" s="102" t="s">
        <v>557</v>
      </c>
      <c r="F19" s="102" t="s">
        <v>558</v>
      </c>
      <c r="G19" s="102" t="s">
        <v>559</v>
      </c>
      <c r="H19" s="102" t="s">
        <v>560</v>
      </c>
      <c r="I19" s="102" t="s">
        <v>561</v>
      </c>
      <c r="J19" s="102" t="s">
        <v>563</v>
      </c>
      <c r="K19" s="102" t="s">
        <v>564</v>
      </c>
      <c r="L19" s="102" t="s">
        <v>565</v>
      </c>
      <c r="M19" s="102" t="s">
        <v>566</v>
      </c>
      <c r="N19" s="102" t="s">
        <v>567</v>
      </c>
      <c r="O19" s="102" t="s">
        <v>568</v>
      </c>
      <c r="P19" s="103"/>
      <c r="Q19" s="104"/>
      <c r="R19" s="19"/>
      <c r="S19" s="1"/>
      <c r="T19" s="1"/>
    </row>
    <row r="20" ht="12.75" customHeight="1">
      <c r="A20" s="1"/>
      <c r="B20" s="108" t="s">
        <v>576</v>
      </c>
      <c r="C20" s="9">
        <f t="shared" ref="C20:C27" si="18">C9</f>
        <v>2012</v>
      </c>
      <c r="D20" s="109" t="str">
        <f t="array" ref="D20">if(isnumber(D9), product(1+$D9:D9)-1,"")</f>
        <v/>
      </c>
      <c r="E20" s="109" t="str">
        <f t="array" ref="E20">if(isnumber(E9), product(1+$D9:E9)-1,"")</f>
        <v/>
      </c>
      <c r="F20" s="109" t="str">
        <f t="array" ref="F20">if(isnumber(F9), product(1+$D9:F9)-1,"")</f>
        <v/>
      </c>
      <c r="G20" s="109" t="str">
        <f t="array" ref="G20">if(isnumber(G9), product(1+$D9:G9)-1,"")</f>
        <v/>
      </c>
      <c r="H20" s="109">
        <f t="array" ref="H20">if(isnumber(H9), product(1+$D9:H9)-1,"")</f>
        <v>-0.001022357143</v>
      </c>
      <c r="I20" s="109">
        <f t="array" ref="I20">if(isnumber(I9), product(1+$D9:I9)-1,"")</f>
        <v>0.033985</v>
      </c>
      <c r="J20" s="109">
        <f t="array" ref="J20">if(isnumber(J9), product(1+$D9:J9)-1,"")</f>
        <v>0.07376714286</v>
      </c>
      <c r="K20" s="109">
        <f t="array" ref="K20">if(isnumber(K9), product(1+$D9:K9)-1,"")</f>
        <v>0.1650817143</v>
      </c>
      <c r="L20" s="109">
        <f t="array" ref="L20">if(isnumber(L9), product(1+$D9:L9)-1,"")</f>
        <v>0.1457315835</v>
      </c>
      <c r="M20" s="109">
        <f t="array" ref="M20">if(isnumber(M9), product(1+$D9:M9)-1,"")</f>
        <v>0.1799638314</v>
      </c>
      <c r="N20" s="109">
        <f t="array" ref="N20">if(isnumber(N9), product(1+$D9:N9)-1,"")</f>
        <v>0.1627384039</v>
      </c>
      <c r="O20" s="109">
        <f t="array" ref="O20">if(isnumber(O9), product(1+$D9:O9)-1,"")</f>
        <v>0.1324214703</v>
      </c>
      <c r="P20" s="110"/>
      <c r="Q20" s="113"/>
      <c r="R20" s="19"/>
      <c r="S20" s="1"/>
      <c r="T20" s="1"/>
    </row>
    <row r="21" ht="12.75" customHeight="1">
      <c r="A21" s="1"/>
      <c r="B21" s="108" t="s">
        <v>576</v>
      </c>
      <c r="C21" s="7">
        <f t="shared" si="18"/>
        <v>2013</v>
      </c>
      <c r="D21" s="109">
        <f t="array" ref="D21">if(isnumber(D10), product(1+$D10:D10)-1,"")</f>
        <v>0.04645619676</v>
      </c>
      <c r="E21" s="109">
        <f t="array" ref="E21">if(isnumber(E10), product(1+$D10:E10)-1,"")</f>
        <v>0.06477588619</v>
      </c>
      <c r="F21" s="109">
        <f t="array" ref="F21">if(isnumber(F10), product(1+$D10:F10)-1,"")</f>
        <v>0.1453783448</v>
      </c>
      <c r="G21" s="109">
        <f t="array" ref="G21">if(isnumber(G10), product(1+$D10:G10)-1,"")</f>
        <v>0.1131328166</v>
      </c>
      <c r="H21" s="109">
        <f t="array" ref="H21">if(isnumber(H10), product(1+$D10:H10)-1,"")</f>
        <v>0.1876769677</v>
      </c>
      <c r="I21" s="109">
        <f t="array" ref="I21">if(isnumber(I10), product(1+$D10:I10)-1,"")</f>
        <v>0.1904779925</v>
      </c>
      <c r="J21" s="109">
        <f t="array" ref="J21">if(isnumber(J10), product(1+$D10:J10)-1,"")</f>
        <v>0.213808395</v>
      </c>
      <c r="K21" s="109">
        <f t="array" ref="K21">if(isnumber(K10), product(1+$D10:K10)-1,"")</f>
        <v>0.1268908353</v>
      </c>
      <c r="L21" s="109">
        <f t="array" ref="L21">if(isnumber(L10), product(1+$D10:L10)-1,"")</f>
        <v>0.157774544</v>
      </c>
      <c r="M21" s="109">
        <f t="array" ref="M21">if(isnumber(M10), product(1+$D10:M10)-1,"")</f>
        <v>0.2160042655</v>
      </c>
      <c r="N21" s="109">
        <f t="array" ref="N21">if(isnumber(N10), product(1+$D10:N10)-1,"")</f>
        <v>0.3284381</v>
      </c>
      <c r="O21" s="109">
        <f t="array" ref="O21">if(isnumber(O10), product(1+$D10:O10)-1,"")</f>
        <v>0.3833497083</v>
      </c>
      <c r="P21" s="110"/>
      <c r="Q21" s="113"/>
      <c r="R21" s="19"/>
      <c r="S21" s="1"/>
      <c r="T21" s="1"/>
    </row>
    <row r="22" ht="12.75" customHeight="1">
      <c r="A22" s="1"/>
      <c r="B22" s="108" t="s">
        <v>576</v>
      </c>
      <c r="C22" s="7">
        <f t="shared" si="18"/>
        <v>2014</v>
      </c>
      <c r="D22" s="109">
        <f t="array" ref="D22">if(isnumber(D11), product(1+$D11:D11)-1,"")</f>
        <v>-0.05118829064</v>
      </c>
      <c r="E22" s="109">
        <f t="array" ref="E22">if(isnumber(E11), product(1+$D11:E11)-1,"")</f>
        <v>-0.01797339049</v>
      </c>
      <c r="F22" s="109">
        <f t="array" ref="F22">if(isnumber(F11), product(1+$D11:F11)-1,"")</f>
        <v>0.02296761597</v>
      </c>
      <c r="G22" s="109">
        <f t="array" ref="G22">if(isnumber(G11), product(1+$D11:G11)-1,"")</f>
        <v>0.00848044958</v>
      </c>
      <c r="H22" s="109">
        <f t="array" ref="H22">if(isnumber(H11), product(1+$D11:H11)-1,"")</f>
        <v>0.06436155009</v>
      </c>
      <c r="I22" s="109">
        <f t="array" ref="I22">if(isnumber(I11), product(1+$D11:I11)-1,"")</f>
        <v>-0.01163273846</v>
      </c>
      <c r="J22" s="109">
        <f t="array" ref="J22">if(isnumber(J11), product(1+$D11:J11)-1,"")</f>
        <v>-0.08035867897</v>
      </c>
      <c r="K22" s="109">
        <f t="array" ref="K22">if(isnumber(K11), product(1+$D11:K11)-1,"")</f>
        <v>-0.05149915888</v>
      </c>
      <c r="L22" s="109">
        <f t="array" ref="L22">if(isnumber(L11), product(1+$D11:L11)-1,"")</f>
        <v>-0.1031705522</v>
      </c>
      <c r="M22" s="109">
        <f t="array" ref="M22">if(isnumber(M11), product(1+$D11:M11)-1,"")</f>
        <v>-0.07453391951</v>
      </c>
      <c r="N22" s="109">
        <f t="array" ref="N22">if(isnumber(N11), product(1+$D11:N11)-1,"")</f>
        <v>-0.008418224674</v>
      </c>
      <c r="O22" s="109">
        <f t="array" ref="O22">if(isnumber(O11), product(1+$D11:O11)-1,"")</f>
        <v>0.04516409126</v>
      </c>
      <c r="P22" s="110"/>
      <c r="Q22" s="113"/>
      <c r="R22" s="19"/>
      <c r="S22" s="1"/>
      <c r="T22" s="1"/>
    </row>
    <row r="23" ht="12.75" customHeight="1">
      <c r="A23" s="1"/>
      <c r="B23" s="108" t="s">
        <v>576</v>
      </c>
      <c r="C23" s="7">
        <f t="shared" si="18"/>
        <v>2015</v>
      </c>
      <c r="D23" s="109">
        <f t="array" ref="D23">if(isnumber(D12), product(1+$D12:D12)-1,"")</f>
        <v>-0.02135220577</v>
      </c>
      <c r="E23" s="109">
        <f t="array" ref="E23">if(isnumber(E12), product(1+$D12:E12)-1,"")</f>
        <v>0.009411032293</v>
      </c>
      <c r="F23" s="109">
        <f t="array" ref="F23">if(isnumber(F12), product(1+$D12:F12)-1,"")</f>
        <v>0.08657688574</v>
      </c>
      <c r="G23" s="109">
        <f t="array" ref="G23">if(isnumber(G12), product(1+$D12:G12)-1,"")</f>
        <v>0.04255362092</v>
      </c>
      <c r="H23" s="109">
        <f t="array" ref="H23">if(isnumber(H12), product(1+$D12:H12)-1,"")</f>
        <v>0.08412999908</v>
      </c>
      <c r="I23" s="109">
        <f t="array" ref="I23">if(isnumber(I12), product(1+$D12:I12)-1,"")</f>
        <v>0.09114869943</v>
      </c>
      <c r="J23" s="109">
        <f t="array" ref="J23">if(isnumber(J12), product(1+$D12:J12)-1,"")</f>
        <v>0.1458016547</v>
      </c>
      <c r="K23" s="109">
        <f t="array" ref="K23">if(isnumber(K12), product(1+$D12:K12)-1,"")</f>
        <v>0.07877011358</v>
      </c>
      <c r="L23" s="109">
        <f t="array" ref="L23">if(isnumber(L12), product(1+$D12:L12)-1,"")</f>
        <v>0.03707415062</v>
      </c>
      <c r="M23" s="109">
        <f t="array" ref="M23">if(isnumber(M12), product(1+$D12:M12)-1,"")</f>
        <v>0.1096481353</v>
      </c>
      <c r="N23" s="109">
        <f t="array" ref="N23">if(isnumber(N12), product(1+$D12:N12)-1,"")</f>
        <v>0.1519947134</v>
      </c>
      <c r="O23" s="109">
        <f t="array" ref="O23">if(isnumber(O12), product(1+$D12:O12)-1,"")</f>
        <v>0.1253491339</v>
      </c>
      <c r="P23" s="109"/>
      <c r="Q23" s="113"/>
      <c r="R23" s="19"/>
      <c r="S23" s="1"/>
      <c r="T23" s="1"/>
    </row>
    <row r="24" ht="12.75" customHeight="1">
      <c r="A24" s="1"/>
      <c r="B24" s="108" t="s">
        <v>576</v>
      </c>
      <c r="C24" s="7">
        <f t="shared" si="18"/>
        <v>2016</v>
      </c>
      <c r="D24" s="109">
        <f t="array" ref="D24">if(isnumber(D13), product(1+$D13:D13)-1,"")</f>
        <v>-0.02052166089</v>
      </c>
      <c r="E24" s="109">
        <f t="array" ref="E24">if(isnumber(E13), product(1+$D13:E13)-1,"")</f>
        <v>-0.1555938221</v>
      </c>
      <c r="F24" s="109">
        <f t="array" ref="F24">if(isnumber(F13), product(1+$D13:F13)-1,"")</f>
        <v>-0.1238748478</v>
      </c>
      <c r="G24" s="109">
        <f t="array" ref="G24">if(isnumber(G13), product(1+$D13:G13)-1,"")</f>
        <v>-0.1750504757</v>
      </c>
      <c r="H24" s="109">
        <f t="array" ref="H24">if(isnumber(H13), product(1+$D13:H13)-1,"")</f>
        <v>-0.1439992679</v>
      </c>
      <c r="I24" s="109">
        <f t="array" ref="I24">if(isnumber(I13), product(1+$D13:I13)-1,"")</f>
        <v>-0.1514045666</v>
      </c>
      <c r="J24" s="109">
        <f t="array" ref="J24">if(isnumber(J13), product(1+$D13:J13)-1,"")</f>
        <v>-0.1220709329</v>
      </c>
      <c r="K24" s="109">
        <f t="array" ref="K24">if(isnumber(K13), product(1+$D13:K13)-1,"")</f>
        <v>-0.1523548044</v>
      </c>
      <c r="L24" s="109">
        <f t="array" ref="L24">if(isnumber(L13), product(1+$D13:L13)-1,"")</f>
        <v>-0.167602975</v>
      </c>
      <c r="M24" s="109">
        <f t="array" ref="M24">if(isnumber(M13), product(1+$D13:M13)-1,"")</f>
        <v>-0.1799784886</v>
      </c>
      <c r="N24" s="109">
        <f t="array" ref="N24">if(isnumber(N13), product(1+$D13:N13)-1,"")</f>
        <v>-0.08680783306</v>
      </c>
      <c r="O24" s="109">
        <f t="array" ref="O24">if(isnumber(O13), product(1+$D13:O13)-1,"")</f>
        <v>-0.06755088963</v>
      </c>
      <c r="P24" s="109"/>
      <c r="Q24" s="113"/>
      <c r="R24" s="19"/>
      <c r="S24" s="1"/>
      <c r="T24" s="1"/>
    </row>
    <row r="25" ht="12.75" customHeight="1">
      <c r="A25" s="1"/>
      <c r="B25" s="108" t="s">
        <v>576</v>
      </c>
      <c r="C25" s="7">
        <f t="shared" si="18"/>
        <v>2017</v>
      </c>
      <c r="D25" s="109">
        <f t="array" ref="D25">if(isnumber(D14), product(1+$D14:D14)-1,"")</f>
        <v>0.0500521204</v>
      </c>
      <c r="E25" s="109">
        <f t="array" ref="E25">if(isnumber(E14), product(1+$D14:E14)-1,"")</f>
        <v>0.05219083872</v>
      </c>
      <c r="F25" s="109">
        <f t="array" ref="F25">if(isnumber(F14), product(1+$D14:F14)-1,"")</f>
        <v>0.04114655804</v>
      </c>
      <c r="G25" s="109">
        <f t="array" ref="G25">if(isnumber(G14), product(1+$D14:G14)-1,"")</f>
        <v>0.05226824727</v>
      </c>
      <c r="H25" s="109">
        <f t="array" ref="H25">if(isnumber(H14), product(1+$D14:H14)-1,"")</f>
        <v>0.05001445635</v>
      </c>
      <c r="I25" s="109">
        <f t="array" ref="I25">if(isnumber(I14), product(1+$D14:I14)-1,"")</f>
        <v>0.06473966859</v>
      </c>
      <c r="J25" s="109">
        <f t="array" ref="J25">if(isnumber(J14), product(1+$D14:J14)-1,"")</f>
        <v>0.07660695203</v>
      </c>
      <c r="K25" s="109">
        <f t="array" ref="K25">if(isnumber(K14), product(1+$D14:K14)-1,"")</f>
        <v>0.04854950306</v>
      </c>
      <c r="L25" s="109">
        <f t="array" ref="L25">if(isnumber(L14), product(1+$D14:L14)-1,"")</f>
        <v>0.08110307662</v>
      </c>
      <c r="M25" s="109">
        <f t="array" ref="M25">if(isnumber(M14), product(1+$D14:M14)-1,"")</f>
        <v>0.09808690874</v>
      </c>
      <c r="N25" s="109">
        <f t="array" ref="N25">if(isnumber(N14), product(1+$D14:N14)-1,"")</f>
        <v>0.114364285</v>
      </c>
      <c r="O25" s="109">
        <f t="array" ref="O25">if(isnumber(O14), product(1+$D14:O14)-1,"")</f>
        <v>0.130477453</v>
      </c>
      <c r="P25" s="109"/>
      <c r="Q25" s="113"/>
      <c r="R25" s="19"/>
      <c r="S25" s="1"/>
      <c r="T25" s="1"/>
    </row>
    <row r="26" ht="12.75" customHeight="1">
      <c r="A26" s="1"/>
      <c r="B26" s="108" t="s">
        <v>576</v>
      </c>
      <c r="C26" s="7">
        <f t="shared" si="18"/>
        <v>2018</v>
      </c>
      <c r="D26" s="109">
        <f t="array" ref="D26">if(isnumber(D15), product(1+$D15:D15)-1,"")</f>
        <v>0.03586108453</v>
      </c>
      <c r="E26" s="109">
        <f t="array" ref="E26">if(isnumber(E15), product(1+$D15:E15)-1,"")</f>
        <v>-0.009381225976</v>
      </c>
      <c r="F26" s="109">
        <f t="array" ref="F26">if(isnumber(F15), product(1+$D15:F15)-1,"")</f>
        <v>-0.03104843347</v>
      </c>
      <c r="G26" s="109">
        <f t="array" ref="G26">if(isnumber(G15), product(1+$D15:G15)-1,"")</f>
        <v>-0.03558785143</v>
      </c>
      <c r="H26" s="109">
        <f t="array" ref="H26">if(isnumber(H15), product(1+$D15:H15)-1,"")</f>
        <v>-0.006198620413</v>
      </c>
      <c r="I26" s="109">
        <f t="array" ref="I26">if(isnumber(I15), product(1+$D15:I15)-1,"")</f>
        <v>-0.004646788082</v>
      </c>
      <c r="J26" s="109">
        <f t="array" ref="J26">if(isnumber(J15), product(1+$D15:J15)-1,"")</f>
        <v>0.01859651955</v>
      </c>
      <c r="K26" s="109">
        <f t="array" ref="K26">if(isnumber(K15), product(1+$D15:K15)-1,"")</f>
        <v>0.06005097924</v>
      </c>
      <c r="L26" s="109">
        <f t="array" ref="L26">if(isnumber(L15), product(1+$D15:L15)-1,"")</f>
        <v>0.04476019906</v>
      </c>
      <c r="M26" s="109">
        <f t="array" ref="M26">if(isnumber(M15), product(1+$D15:M15)-1,"")</f>
        <v>-0.05116948862</v>
      </c>
      <c r="N26" s="109">
        <f t="array" ref="N26">if(isnumber(N15), product(1+$D15:N15)-1,"")</f>
        <v>-0.03622605121</v>
      </c>
      <c r="O26" s="109">
        <f t="array" ref="O26">if(isnumber(O15), product(1+$D15:O15)-1,"")</f>
        <v>-0.1123284126</v>
      </c>
      <c r="P26" s="109"/>
      <c r="Q26" s="113"/>
      <c r="R26" s="19"/>
      <c r="S26" s="1"/>
      <c r="T26" s="1"/>
    </row>
    <row r="27" ht="12.75" customHeight="1">
      <c r="A27" s="1"/>
      <c r="B27" s="91" t="s">
        <v>576</v>
      </c>
      <c r="C27" s="10">
        <f t="shared" si="18"/>
        <v>2019</v>
      </c>
      <c r="D27" s="116">
        <f t="array" ref="D27">if(isnumber(D16), product(1+$D16:D16)-1,"")</f>
        <v>0.07752591156</v>
      </c>
      <c r="E27" s="116">
        <f t="array" ref="E27">if(isnumber(E16), product(1+$D16:E16)-1,"")</f>
        <v>0.09872177145</v>
      </c>
      <c r="F27" s="116">
        <f t="array" ref="F27">if(isnumber(F16), product(1+$D16:F16)-1,"")</f>
        <v>0.1367520144</v>
      </c>
      <c r="G27" s="116">
        <f t="array" ref="G27">if(isnumber(G16), product(1+$D16:G16)-1,"")</f>
        <v>0.2291921839</v>
      </c>
      <c r="H27" s="116">
        <f t="array" ref="H27">if(isnumber(H16), product(1+$D16:H16)-1,"")</f>
        <v>0.1650568964</v>
      </c>
      <c r="I27" s="116">
        <f t="array" ref="I27">if(isnumber(I16), product(1+$D16:I16)-1,"")</f>
        <v>0.2405095759</v>
      </c>
      <c r="J27" s="116">
        <f t="array" ref="J27">if(isnumber(J16), product(1+$D16:J16)-1,"")</f>
        <v>0.2757742872</v>
      </c>
      <c r="K27" s="116">
        <f t="array" ref="K27">if(isnumber(K16), product(1+$D16:K16)-1,"")</f>
        <v>0.2618356997</v>
      </c>
      <c r="L27" s="116">
        <f t="array" ref="L27">if(isnumber(L16), product(1+$D16:L16)-1,"")</f>
        <v>0.2831666669</v>
      </c>
      <c r="M27" s="116" t="str">
        <f t="array" ref="M27">if(isnumber(M16), product(1+$D16:M16)-1,"")</f>
        <v/>
      </c>
      <c r="N27" s="116" t="str">
        <f t="array" ref="N27">if(isnumber(N16), product(1+$D16:N16)-1,"")</f>
        <v/>
      </c>
      <c r="O27" s="116" t="str">
        <f t="array" ref="O27">if(isnumber(O16), product(1+$D16:O16)-1,"")</f>
        <v/>
      </c>
      <c r="P27" s="116"/>
      <c r="Q27" s="117"/>
      <c r="R27" s="19"/>
      <c r="S27" s="1"/>
      <c r="T27" s="1"/>
    </row>
    <row r="28" ht="12.75" customHeight="1">
      <c r="A28" s="1"/>
      <c r="B28" s="20"/>
      <c r="D28" s="19"/>
      <c r="E28" s="19"/>
      <c r="F28" s="19"/>
      <c r="G28" s="19"/>
      <c r="H28" s="19"/>
      <c r="I28" s="19"/>
      <c r="J28" s="19"/>
      <c r="K28" s="19"/>
      <c r="L28" s="19"/>
      <c r="M28" s="19"/>
      <c r="N28" s="19"/>
      <c r="O28" s="19"/>
      <c r="P28" s="19"/>
      <c r="Q28" s="81"/>
      <c r="R28" s="19"/>
      <c r="S28" s="1"/>
      <c r="T28" s="1"/>
    </row>
    <row r="29" ht="12.75" customHeight="1">
      <c r="A29" s="1"/>
      <c r="B29" s="118" t="s">
        <v>698</v>
      </c>
      <c r="D29" s="19"/>
      <c r="E29" s="19"/>
      <c r="F29" s="19"/>
      <c r="G29" s="19"/>
      <c r="H29" s="19"/>
      <c r="I29" s="19"/>
      <c r="J29" s="19"/>
      <c r="K29" s="123"/>
      <c r="L29" s="19"/>
      <c r="M29" s="19"/>
      <c r="N29" s="19"/>
      <c r="O29" s="19"/>
      <c r="P29" s="19"/>
      <c r="Q29" s="81"/>
      <c r="R29" s="19"/>
      <c r="S29" s="1"/>
      <c r="T29" s="1"/>
    </row>
    <row r="30" ht="12.75" customHeight="1">
      <c r="A30" s="1"/>
      <c r="B30" s="124" t="s">
        <v>700</v>
      </c>
      <c r="D30" s="19"/>
      <c r="E30" s="19"/>
      <c r="F30" s="19"/>
      <c r="G30" s="19"/>
      <c r="H30" s="19"/>
      <c r="I30" s="19"/>
      <c r="J30" s="19"/>
      <c r="K30" s="123"/>
      <c r="L30" s="19"/>
      <c r="M30" s="19"/>
      <c r="N30" s="19"/>
      <c r="O30" s="19"/>
      <c r="P30" s="19"/>
      <c r="Q30" s="81"/>
      <c r="R30" s="19"/>
      <c r="S30" s="1"/>
      <c r="T30" s="1"/>
    </row>
    <row r="31" ht="12.75" customHeight="1">
      <c r="A31" s="1"/>
      <c r="B31" s="7" t="s">
        <v>701</v>
      </c>
      <c r="D31" s="19"/>
      <c r="E31" s="19"/>
      <c r="F31" s="19"/>
      <c r="G31" s="19"/>
      <c r="H31" s="19"/>
      <c r="I31" s="19"/>
      <c r="J31" s="19"/>
      <c r="K31" s="19"/>
      <c r="L31" s="19"/>
      <c r="M31" s="19"/>
      <c r="N31" s="19"/>
      <c r="O31" s="19"/>
      <c r="P31" s="19"/>
      <c r="Q31" s="81"/>
      <c r="R31" s="19"/>
      <c r="S31" s="1"/>
      <c r="T31" s="1"/>
    </row>
    <row r="32" ht="12.75" customHeight="1">
      <c r="A32" s="1"/>
      <c r="B32" s="7" t="s">
        <v>702</v>
      </c>
      <c r="D32" s="19"/>
      <c r="E32" s="19"/>
      <c r="F32" s="19"/>
      <c r="G32" s="19"/>
      <c r="H32" s="19"/>
      <c r="I32" s="19"/>
      <c r="J32" s="19"/>
      <c r="K32" s="19"/>
      <c r="L32" s="19"/>
      <c r="M32" s="19"/>
      <c r="N32" s="19"/>
      <c r="O32" s="19"/>
      <c r="P32" s="19"/>
      <c r="Q32" s="81"/>
      <c r="R32" s="19"/>
      <c r="S32" s="1"/>
      <c r="T32" s="1"/>
    </row>
    <row r="33" ht="12.75" customHeight="1">
      <c r="A33" s="1"/>
      <c r="B33" s="20" t="s">
        <v>703</v>
      </c>
      <c r="D33" s="19"/>
      <c r="E33" s="19"/>
      <c r="F33" s="125"/>
      <c r="G33" s="125" t="s">
        <v>704</v>
      </c>
      <c r="H33" s="19"/>
      <c r="I33" s="19" t="s">
        <v>705</v>
      </c>
      <c r="J33" s="125" t="s">
        <v>706</v>
      </c>
      <c r="K33" s="19"/>
      <c r="L33" s="19" t="s">
        <v>707</v>
      </c>
      <c r="M33" s="19">
        <f t="array" ref="M33">product(1+D36:O43)^(12/count(D36:O43))-1</f>
        <v>0.1119717635</v>
      </c>
      <c r="N33" s="19" t="s">
        <v>709</v>
      </c>
      <c r="O33" s="68">
        <f>M33/M34</f>
        <v>0.7067591518</v>
      </c>
      <c r="P33" s="19" t="s">
        <v>710</v>
      </c>
      <c r="Q33" s="109">
        <f t="array" ref="Q33">PRODUCT(1+D41:F41)-1</f>
        <v>0.04088935809</v>
      </c>
      <c r="R33" s="19"/>
      <c r="S33" s="1"/>
      <c r="T33" s="1"/>
    </row>
    <row r="34" ht="12.75" customHeight="1">
      <c r="A34" s="1"/>
      <c r="B34" s="20" t="s">
        <v>712</v>
      </c>
      <c r="D34" s="19"/>
      <c r="E34" s="19"/>
      <c r="F34" s="125"/>
      <c r="G34" s="125" t="s">
        <v>713</v>
      </c>
      <c r="H34" s="19"/>
      <c r="I34" s="19" t="s">
        <v>714</v>
      </c>
      <c r="J34" s="126" t="s">
        <v>715</v>
      </c>
      <c r="K34" s="19"/>
      <c r="L34" s="19" t="s">
        <v>716</v>
      </c>
      <c r="M34" s="19">
        <f>(STDEV(D35:O43)*SQRT(12))</f>
        <v>0.1584298742</v>
      </c>
      <c r="N34" s="19"/>
      <c r="O34" s="19"/>
      <c r="P34" s="19" t="s">
        <v>717</v>
      </c>
      <c r="Q34" s="19">
        <f>CORREL(D35:O41,D92:O98)</f>
        <v>0.5585702908</v>
      </c>
      <c r="R34" s="19"/>
      <c r="S34" s="1"/>
      <c r="T34" s="1"/>
    </row>
    <row r="35" ht="12.75" customHeight="1">
      <c r="A35" s="1"/>
      <c r="B35" s="100" t="s">
        <v>553</v>
      </c>
      <c r="C35" s="101" t="s">
        <v>542</v>
      </c>
      <c r="D35" s="102" t="s">
        <v>556</v>
      </c>
      <c r="E35" s="102" t="s">
        <v>557</v>
      </c>
      <c r="F35" s="102" t="s">
        <v>558</v>
      </c>
      <c r="G35" s="102" t="s">
        <v>559</v>
      </c>
      <c r="H35" s="102" t="s">
        <v>560</v>
      </c>
      <c r="I35" s="102" t="s">
        <v>561</v>
      </c>
      <c r="J35" s="102" t="s">
        <v>563</v>
      </c>
      <c r="K35" s="102" t="s">
        <v>564</v>
      </c>
      <c r="L35" s="102" t="s">
        <v>565</v>
      </c>
      <c r="M35" s="102" t="s">
        <v>566</v>
      </c>
      <c r="N35" s="102" t="s">
        <v>567</v>
      </c>
      <c r="O35" s="102" t="s">
        <v>568</v>
      </c>
      <c r="P35" s="103" t="s">
        <v>569</v>
      </c>
      <c r="Q35" s="104" t="s">
        <v>571</v>
      </c>
      <c r="R35" s="19"/>
      <c r="S35" s="1"/>
      <c r="T35" s="33" t="s">
        <v>718</v>
      </c>
    </row>
    <row r="36" ht="12.75" customHeight="1">
      <c r="A36" s="1"/>
      <c r="B36" s="108" t="s">
        <v>576</v>
      </c>
      <c r="C36" s="9">
        <f t="shared" ref="C36:C43" si="19">C9</f>
        <v>2012</v>
      </c>
      <c r="D36" s="110"/>
      <c r="E36" s="110"/>
      <c r="F36" s="110"/>
      <c r="G36" s="110"/>
      <c r="H36" s="110">
        <v>-0.0010223571428571443</v>
      </c>
      <c r="I36" s="110">
        <v>0.03504318379211546</v>
      </c>
      <c r="J36" s="110">
        <v>0.03847458411596194</v>
      </c>
      <c r="K36" s="110">
        <v>0.08504131648654867</v>
      </c>
      <c r="L36" s="110">
        <v>-0.016608389435654347</v>
      </c>
      <c r="M36" s="110">
        <v>0.029878069554765352</v>
      </c>
      <c r="N36" s="111">
        <v>-0.014672728019666</v>
      </c>
      <c r="O36" s="110">
        <v>-0.02613868403802223</v>
      </c>
      <c r="P36" s="109">
        <f t="array" ref="P36">PRODUCT(1+D36:O36)-1</f>
        <v>0.1322603878</v>
      </c>
      <c r="Q36" s="113">
        <v>236228.55</v>
      </c>
      <c r="R36" s="19"/>
      <c r="S36" s="1"/>
      <c r="T36" s="7"/>
    </row>
    <row r="37" ht="12.75" customHeight="1">
      <c r="A37" s="1"/>
      <c r="B37" s="108" t="s">
        <v>576</v>
      </c>
      <c r="C37" s="7">
        <f t="shared" si="19"/>
        <v>2013</v>
      </c>
      <c r="D37" s="111">
        <v>0.046385504873253</v>
      </c>
      <c r="E37" s="111">
        <v>0.0173882320390981</v>
      </c>
      <c r="F37" s="111">
        <v>0.0755821438455254</v>
      </c>
      <c r="G37" s="111">
        <v>-0.0282551680216151</v>
      </c>
      <c r="H37" s="111">
        <v>0.0668587526030915</v>
      </c>
      <c r="I37" s="111">
        <v>0.0022559566326368</v>
      </c>
      <c r="J37" s="111">
        <v>0.0194933731091769</v>
      </c>
      <c r="K37" s="111">
        <v>-0.0716929795124267</v>
      </c>
      <c r="L37" s="111">
        <v>0.0273113921786266</v>
      </c>
      <c r="M37" s="111">
        <v>0.0501977562508958</v>
      </c>
      <c r="N37" s="111">
        <v>0.0924617106435504</v>
      </c>
      <c r="O37" s="111">
        <v>0.0413354662768065</v>
      </c>
      <c r="P37" s="109">
        <f t="array" ref="P37">PRODUCT(1+D37:O37)-1</f>
        <v>0.3819932936</v>
      </c>
      <c r="Q37" s="113">
        <v>495827.93</v>
      </c>
      <c r="R37" s="19"/>
      <c r="S37" s="1"/>
      <c r="T37" s="7"/>
    </row>
    <row r="38" ht="12.75" customHeight="1">
      <c r="A38" s="1"/>
      <c r="B38" s="108" t="s">
        <v>576</v>
      </c>
      <c r="C38" s="7">
        <f t="shared" si="19"/>
        <v>2014</v>
      </c>
      <c r="D38" s="111">
        <v>-0.0512730846333492</v>
      </c>
      <c r="E38" s="111">
        <v>0.0348926891848368</v>
      </c>
      <c r="F38" s="111">
        <v>0.0415762509448161</v>
      </c>
      <c r="G38" s="111">
        <v>-0.0142758944715385</v>
      </c>
      <c r="H38" s="111">
        <v>0.0552972787124378</v>
      </c>
      <c r="I38" s="127">
        <v>-0.0715127743170878</v>
      </c>
      <c r="J38" s="127">
        <v>-0.0696444270014518</v>
      </c>
      <c r="K38" s="127">
        <v>0.0312717572931755</v>
      </c>
      <c r="L38" s="127">
        <v>-0.0545863522552738</v>
      </c>
      <c r="M38" s="127">
        <v>0.03182160814644</v>
      </c>
      <c r="N38" s="127">
        <v>0.0714404301081007</v>
      </c>
      <c r="O38" s="127">
        <v>0.0540372133409975</v>
      </c>
      <c r="P38" s="109">
        <f t="array" ref="P38">PRODUCT(1+D38:O38)-1</f>
        <v>0.04401391204</v>
      </c>
      <c r="Q38" s="128">
        <v>600000.0</v>
      </c>
      <c r="R38" s="19"/>
      <c r="S38" s="1"/>
      <c r="T38" s="1"/>
    </row>
    <row r="39" ht="12.75" customHeight="1">
      <c r="A39" s="1"/>
      <c r="B39" s="108" t="s">
        <v>576</v>
      </c>
      <c r="C39" s="7">
        <f t="shared" si="19"/>
        <v>2015</v>
      </c>
      <c r="D39" s="111">
        <v>-0.0214577090758425</v>
      </c>
      <c r="E39" s="111">
        <v>0.0313290077059113</v>
      </c>
      <c r="F39" s="111">
        <v>0.0763410633505078</v>
      </c>
      <c r="G39" s="111">
        <v>-0.0406180089581971</v>
      </c>
      <c r="H39" s="129">
        <v>0.0397769900978703</v>
      </c>
      <c r="I39" s="129">
        <v>0.00637173477790584</v>
      </c>
      <c r="J39" s="129">
        <v>0.0499882588130548</v>
      </c>
      <c r="K39" s="129">
        <v>-0.0586010842939021</v>
      </c>
      <c r="L39" s="129">
        <v>-0.0387505241467112</v>
      </c>
      <c r="M39" s="129">
        <v>0.0698804925057594</v>
      </c>
      <c r="N39" s="129">
        <v>0.0380631757896721</v>
      </c>
      <c r="O39" s="129">
        <v>-0.0232288711704715</v>
      </c>
      <c r="P39" s="109">
        <f t="array" ref="P39">PRODUCT(1+D39:O39)-1</f>
        <v>0.1239915806</v>
      </c>
      <c r="Q39" s="128">
        <v>700000.0</v>
      </c>
      <c r="R39" s="19"/>
      <c r="S39" s="1"/>
      <c r="T39" s="1"/>
    </row>
    <row r="40" ht="12.75" customHeight="1">
      <c r="A40" s="1"/>
      <c r="B40" s="108" t="s">
        <v>576</v>
      </c>
      <c r="C40" s="7">
        <f t="shared" si="19"/>
        <v>2016</v>
      </c>
      <c r="D40" s="111">
        <v>-0.02063887</v>
      </c>
      <c r="E40" s="111">
        <v>-0.13803577</v>
      </c>
      <c r="F40" s="111">
        <v>0.03745695</v>
      </c>
      <c r="G40" s="111">
        <v>-0.05855032</v>
      </c>
      <c r="H40" s="111">
        <v>0.03754307</v>
      </c>
      <c r="I40" s="127">
        <v>-0.00877317</v>
      </c>
      <c r="J40" s="127">
        <v>0.03447761</v>
      </c>
      <c r="K40" s="127">
        <v>-0.03463776</v>
      </c>
      <c r="L40" s="127">
        <v>-0.01812101</v>
      </c>
      <c r="M40" s="127">
        <v>-0.01499837</v>
      </c>
      <c r="N40" s="131">
        <v>0.11363835</v>
      </c>
      <c r="O40" s="127">
        <v>0.02102298</v>
      </c>
      <c r="P40" s="109">
        <f t="array" ref="P40">PRODUCT(1+D40:O40)-1</f>
        <v>-0.06875382818</v>
      </c>
      <c r="Q40" s="128">
        <v>750000.0</v>
      </c>
      <c r="R40" s="19"/>
      <c r="S40" s="1"/>
      <c r="T40" s="1"/>
    </row>
    <row r="41" ht="12.75" customHeight="1">
      <c r="A41" s="1"/>
      <c r="B41" s="108" t="s">
        <v>576</v>
      </c>
      <c r="C41" s="7">
        <f t="shared" si="19"/>
        <v>2017</v>
      </c>
      <c r="D41" s="111">
        <v>0.04996914</v>
      </c>
      <c r="E41" s="111">
        <v>0.00195402</v>
      </c>
      <c r="F41" s="111">
        <v>-0.01058101</v>
      </c>
      <c r="G41" s="111">
        <v>0.010602</v>
      </c>
      <c r="H41" s="111">
        <v>-0.00222527</v>
      </c>
      <c r="I41" s="111">
        <v>0.01393834</v>
      </c>
      <c r="J41" s="111">
        <v>0.01107705</v>
      </c>
      <c r="K41" s="111">
        <v>-0.0261582</v>
      </c>
      <c r="L41" s="111">
        <v>0.0309558</v>
      </c>
      <c r="M41" s="111">
        <v>0.01562016</v>
      </c>
      <c r="N41" s="111">
        <v>0.01473625</v>
      </c>
      <c r="O41" s="111">
        <v>0.01437406</v>
      </c>
      <c r="P41" s="109">
        <f t="array" ref="P41">PRODUCT(1+D41:O41)-1</f>
        <v>0.1293384154</v>
      </c>
      <c r="Q41" s="128">
        <v>800000.0</v>
      </c>
      <c r="R41" s="19"/>
      <c r="S41" s="1"/>
      <c r="T41" s="1"/>
    </row>
    <row r="42" ht="12.75" customHeight="1">
      <c r="A42" s="1"/>
      <c r="B42" s="108" t="s">
        <v>576</v>
      </c>
      <c r="C42" s="7">
        <f t="shared" si="19"/>
        <v>2018</v>
      </c>
      <c r="D42" s="129">
        <v>0.03581444</v>
      </c>
      <c r="E42" s="129">
        <v>-0.04372462</v>
      </c>
      <c r="F42" s="129">
        <v>-0.02192107</v>
      </c>
      <c r="G42" s="129">
        <v>-0.0047321</v>
      </c>
      <c r="H42" s="129">
        <v>0.03043311</v>
      </c>
      <c r="I42" s="129">
        <v>0.00151541</v>
      </c>
      <c r="J42" s="129">
        <v>0.02331237</v>
      </c>
      <c r="K42" s="129">
        <v>0.04066445</v>
      </c>
      <c r="L42" s="129">
        <v>-0.01447529</v>
      </c>
      <c r="M42" s="129">
        <v>-0.09190206</v>
      </c>
      <c r="N42" s="129">
        <v>0.01571129</v>
      </c>
      <c r="O42" s="129">
        <v>-0.07905003</v>
      </c>
      <c r="P42" s="109">
        <f t="array" ref="P42">PRODUCT(1+D42:O42)-1</f>
        <v>-0.1128812746</v>
      </c>
      <c r="Q42" s="128">
        <v>800000.0</v>
      </c>
      <c r="R42" s="19"/>
      <c r="S42" s="1"/>
      <c r="T42" s="1"/>
    </row>
    <row r="43" ht="12.75" customHeight="1">
      <c r="A43" s="1"/>
      <c r="B43" s="91" t="s">
        <v>576</v>
      </c>
      <c r="C43" s="10">
        <f t="shared" si="19"/>
        <v>2019</v>
      </c>
      <c r="D43" s="132">
        <v>0.07748149</v>
      </c>
      <c r="E43" s="132">
        <v>0.01963653</v>
      </c>
      <c r="F43" s="132">
        <v>0.03458052</v>
      </c>
      <c r="G43" s="132">
        <v>0.08115759</v>
      </c>
      <c r="H43" s="132">
        <v>-0.05212919</v>
      </c>
      <c r="I43" s="132">
        <v>0.0646226</v>
      </c>
      <c r="J43" s="132">
        <v>0.02835014</v>
      </c>
      <c r="K43" s="132">
        <v>-0.01094486</v>
      </c>
      <c r="L43" s="132">
        <v>0.01684617</v>
      </c>
      <c r="M43" s="132"/>
      <c r="N43" s="132"/>
      <c r="O43" s="132"/>
      <c r="P43" s="116">
        <f t="array" ref="P43">PRODUCT(1+D43:O43)-1</f>
        <v>0.2825376005</v>
      </c>
      <c r="Q43" s="133"/>
      <c r="R43" s="19"/>
      <c r="S43" s="1"/>
      <c r="T43" s="1"/>
    </row>
    <row r="44" ht="12.75" customHeight="1">
      <c r="A44" s="1"/>
      <c r="B44" s="20"/>
      <c r="D44" s="19"/>
      <c r="E44" s="19"/>
      <c r="F44" s="19"/>
      <c r="G44" s="19"/>
      <c r="H44" s="19"/>
      <c r="I44" s="19"/>
      <c r="J44" s="19"/>
      <c r="K44" s="19"/>
      <c r="L44" s="19"/>
      <c r="M44" s="19"/>
      <c r="N44" s="19"/>
      <c r="O44" s="19"/>
      <c r="P44" s="19"/>
      <c r="Q44" s="81"/>
      <c r="R44" s="19"/>
      <c r="S44" s="1"/>
      <c r="T44" s="1"/>
    </row>
    <row r="45" ht="12.75" customHeight="1">
      <c r="A45" s="1"/>
      <c r="B45" s="118" t="s">
        <v>730</v>
      </c>
      <c r="D45" s="19"/>
      <c r="E45" s="19"/>
      <c r="F45" s="19"/>
      <c r="G45" s="19"/>
      <c r="H45" s="19"/>
      <c r="I45" s="19"/>
      <c r="J45" s="19"/>
      <c r="K45" s="19"/>
      <c r="L45" s="19"/>
      <c r="M45" s="19"/>
      <c r="N45" s="19"/>
      <c r="O45" s="19"/>
      <c r="P45" s="19"/>
      <c r="Q45" s="81"/>
      <c r="R45" s="19"/>
      <c r="S45" s="1"/>
      <c r="T45" s="1"/>
    </row>
    <row r="46" ht="12.75" customHeight="1">
      <c r="A46" s="1"/>
      <c r="B46" s="7" t="s">
        <v>701</v>
      </c>
      <c r="D46" s="19"/>
      <c r="E46" s="19"/>
      <c r="F46" s="19"/>
      <c r="G46" s="19"/>
      <c r="H46" s="19"/>
      <c r="I46" s="19"/>
      <c r="J46" s="19"/>
      <c r="K46" s="19"/>
      <c r="L46" s="19"/>
      <c r="M46" s="19"/>
      <c r="N46" s="19"/>
      <c r="O46" s="19"/>
      <c r="P46" s="19"/>
      <c r="Q46" s="81"/>
      <c r="R46" s="19"/>
      <c r="S46" s="1"/>
      <c r="T46" s="1"/>
    </row>
    <row r="47" ht="12.75" customHeight="1">
      <c r="A47" s="1"/>
      <c r="B47" s="7" t="s">
        <v>702</v>
      </c>
      <c r="D47" s="19"/>
      <c r="E47" s="19"/>
      <c r="F47" s="19"/>
      <c r="G47" s="19"/>
      <c r="H47" s="19"/>
      <c r="I47" s="19"/>
      <c r="J47" s="19"/>
      <c r="K47" s="19"/>
      <c r="L47" s="19"/>
      <c r="M47" s="19"/>
      <c r="N47" s="19"/>
      <c r="O47" s="19"/>
      <c r="P47" s="19"/>
      <c r="Q47" s="81"/>
      <c r="R47" s="19"/>
      <c r="S47" s="1"/>
      <c r="T47" s="1"/>
    </row>
    <row r="48" ht="12.75" customHeight="1">
      <c r="A48" s="1"/>
      <c r="B48" s="20" t="s">
        <v>703</v>
      </c>
      <c r="D48" s="19"/>
      <c r="E48" s="19"/>
      <c r="F48" s="125"/>
      <c r="G48" s="134">
        <v>0.0</v>
      </c>
      <c r="H48" s="19"/>
      <c r="I48" s="19" t="s">
        <v>705</v>
      </c>
      <c r="J48" s="134">
        <v>0.06</v>
      </c>
      <c r="K48" s="19"/>
      <c r="L48" s="19"/>
      <c r="M48" s="19"/>
      <c r="N48" s="19"/>
      <c r="O48" s="68"/>
      <c r="P48" s="19"/>
      <c r="Q48" s="109"/>
      <c r="R48" s="19"/>
      <c r="S48" s="1"/>
      <c r="T48" s="1"/>
    </row>
    <row r="49" ht="12.75" customHeight="1">
      <c r="A49" s="1"/>
      <c r="B49" s="20" t="s">
        <v>712</v>
      </c>
      <c r="D49" s="19"/>
      <c r="E49" s="19"/>
      <c r="F49" s="125"/>
      <c r="G49" s="134">
        <v>0.15</v>
      </c>
      <c r="H49" s="19"/>
      <c r="I49" s="19" t="s">
        <v>714</v>
      </c>
      <c r="J49" s="126" t="s">
        <v>715</v>
      </c>
      <c r="K49" s="19"/>
      <c r="L49" s="19"/>
      <c r="M49" s="19"/>
      <c r="N49" s="19"/>
      <c r="O49" s="19"/>
      <c r="P49" s="19"/>
      <c r="Q49" s="19"/>
      <c r="R49" s="19"/>
      <c r="S49" s="1"/>
      <c r="T49" s="1"/>
    </row>
    <row r="50" ht="12.75" customHeight="1">
      <c r="A50" s="1"/>
      <c r="B50" s="100" t="s">
        <v>553</v>
      </c>
      <c r="C50" s="101" t="s">
        <v>542</v>
      </c>
      <c r="D50" s="102" t="s">
        <v>556</v>
      </c>
      <c r="E50" s="102" t="s">
        <v>557</v>
      </c>
      <c r="F50" s="102" t="s">
        <v>558</v>
      </c>
      <c r="G50" s="102" t="s">
        <v>559</v>
      </c>
      <c r="H50" s="102" t="s">
        <v>560</v>
      </c>
      <c r="I50" s="102" t="s">
        <v>561</v>
      </c>
      <c r="J50" s="102" t="s">
        <v>563</v>
      </c>
      <c r="K50" s="102" t="s">
        <v>564</v>
      </c>
      <c r="L50" s="102" t="s">
        <v>565</v>
      </c>
      <c r="M50" s="102" t="s">
        <v>566</v>
      </c>
      <c r="N50" s="102" t="s">
        <v>567</v>
      </c>
      <c r="O50" s="102" t="s">
        <v>568</v>
      </c>
      <c r="P50" s="135"/>
      <c r="Q50" s="104" t="s">
        <v>571</v>
      </c>
      <c r="R50" s="19"/>
      <c r="S50" s="1"/>
      <c r="T50" s="1"/>
    </row>
    <row r="51" ht="12.75" customHeight="1">
      <c r="A51" s="1"/>
      <c r="B51" s="108" t="s">
        <v>576</v>
      </c>
      <c r="C51" s="9">
        <f t="shared" ref="C51:C58" si="21">C9</f>
        <v>2012</v>
      </c>
      <c r="D51" s="111">
        <f t="shared" ref="D51:O51" si="20">(1+(min(value(D20),$J$48)+max(0,D20-$J$48)*(1-$G$49)))*(1-(D$103-1)/12*$G$48)-1</f>
        <v>0</v>
      </c>
      <c r="E51" s="111">
        <f t="shared" si="20"/>
        <v>0</v>
      </c>
      <c r="F51" s="111">
        <f t="shared" si="20"/>
        <v>0</v>
      </c>
      <c r="G51" s="111">
        <f t="shared" si="20"/>
        <v>0</v>
      </c>
      <c r="H51" s="111">
        <f t="shared" si="20"/>
        <v>-0.001</v>
      </c>
      <c r="I51" s="111">
        <f t="shared" si="20"/>
        <v>0.034</v>
      </c>
      <c r="J51" s="111">
        <f t="shared" si="20"/>
        <v>0.07170207143</v>
      </c>
      <c r="K51" s="111">
        <f t="shared" si="20"/>
        <v>0.1493194571</v>
      </c>
      <c r="L51" s="111">
        <f t="shared" si="20"/>
        <v>0.1328718459</v>
      </c>
      <c r="M51" s="111">
        <f t="shared" si="20"/>
        <v>0.1619692567</v>
      </c>
      <c r="N51" s="111">
        <f t="shared" si="20"/>
        <v>0.1473276433</v>
      </c>
      <c r="O51" s="111">
        <f t="shared" si="20"/>
        <v>0.1215582497</v>
      </c>
      <c r="P51" s="111"/>
      <c r="Q51" s="128"/>
      <c r="R51" s="19"/>
      <c r="S51" s="1"/>
      <c r="T51" s="1"/>
    </row>
    <row r="52" ht="12.75" customHeight="1">
      <c r="A52" s="1"/>
      <c r="B52" s="108" t="s">
        <v>576</v>
      </c>
      <c r="C52" s="7">
        <f t="shared" si="21"/>
        <v>2013</v>
      </c>
      <c r="D52" s="111">
        <f t="shared" ref="D52:O52" si="22">(1+(min(value(D21),$J$48)+max(0,D21-$J$48)*(1-$G$49)))*(1-(D$103-1)/12*$G$48)-1</f>
        <v>0.0465</v>
      </c>
      <c r="E52" s="111">
        <f t="shared" si="22"/>
        <v>0.06405950326</v>
      </c>
      <c r="F52" s="111">
        <f t="shared" si="22"/>
        <v>0.1325715931</v>
      </c>
      <c r="G52" s="111">
        <f t="shared" si="22"/>
        <v>0.1051628941</v>
      </c>
      <c r="H52" s="111">
        <f t="shared" si="22"/>
        <v>0.1685254226</v>
      </c>
      <c r="I52" s="111">
        <f t="shared" si="22"/>
        <v>0.1709062936</v>
      </c>
      <c r="J52" s="111">
        <f t="shared" si="22"/>
        <v>0.1907371357</v>
      </c>
      <c r="K52" s="111">
        <f t="shared" si="22"/>
        <v>0.11685721</v>
      </c>
      <c r="L52" s="111">
        <f t="shared" si="22"/>
        <v>0.1431083624</v>
      </c>
      <c r="M52" s="111">
        <f t="shared" si="22"/>
        <v>0.1926036257</v>
      </c>
      <c r="N52" s="111">
        <f t="shared" si="22"/>
        <v>0.288172385</v>
      </c>
      <c r="O52" s="111">
        <f t="shared" si="22"/>
        <v>0.3348472521</v>
      </c>
      <c r="P52" s="111"/>
      <c r="Q52" s="128"/>
      <c r="R52" s="19"/>
      <c r="S52" s="1"/>
      <c r="T52" s="1"/>
    </row>
    <row r="53" ht="12.75" customHeight="1">
      <c r="A53" s="1"/>
      <c r="B53" s="108" t="s">
        <v>576</v>
      </c>
      <c r="C53" s="7">
        <f t="shared" si="21"/>
        <v>2014</v>
      </c>
      <c r="D53" s="111">
        <f t="shared" ref="D53:N53" si="23">(1+(min(value(D22),$J$48)+max(0,D22-$J$48)*(1-$G$49)))*(1-(D$103-1)/12*$G$48)-1</f>
        <v>-0.0512</v>
      </c>
      <c r="E53" s="111">
        <f t="shared" si="23"/>
        <v>-0.018</v>
      </c>
      <c r="F53" s="111">
        <f t="shared" si="23"/>
        <v>0.023</v>
      </c>
      <c r="G53" s="111">
        <f t="shared" si="23"/>
        <v>0.0085</v>
      </c>
      <c r="H53" s="111">
        <f t="shared" si="23"/>
        <v>0.06370731757</v>
      </c>
      <c r="I53" s="111">
        <f t="shared" si="23"/>
        <v>-0.0116</v>
      </c>
      <c r="J53" s="111">
        <f t="shared" si="23"/>
        <v>-0.0804</v>
      </c>
      <c r="K53" s="111">
        <f t="shared" si="23"/>
        <v>-0.0515</v>
      </c>
      <c r="L53" s="111">
        <f t="shared" si="23"/>
        <v>-0.1032</v>
      </c>
      <c r="M53" s="111">
        <f t="shared" si="23"/>
        <v>-0.0745</v>
      </c>
      <c r="N53" s="111">
        <f t="shared" si="23"/>
        <v>-0.0084</v>
      </c>
      <c r="O53" s="111">
        <f t="shared" ref="O53:O54" si="25">(1+(min(O22,$J$48)+max(0,O22-$J$48)*(1-$G$49)))*(1-(O$103-1)/12*$G$48)-1</f>
        <v>0.04516409126</v>
      </c>
      <c r="P53" s="111"/>
      <c r="Q53" s="113"/>
      <c r="R53" s="19"/>
      <c r="S53" s="1"/>
      <c r="T53" s="1"/>
    </row>
    <row r="54" ht="12.75" customHeight="1">
      <c r="A54" s="1"/>
      <c r="B54" s="108" t="s">
        <v>576</v>
      </c>
      <c r="C54" s="7">
        <f t="shared" si="21"/>
        <v>2015</v>
      </c>
      <c r="D54" s="111">
        <f t="shared" ref="D54:N54" si="24">(1+(min(value(D23),$J$48)+max(0,D23-$J$48)*(1-$G$49)))*(1-(D$103-1)/12*$G$48)-1</f>
        <v>-0.0214</v>
      </c>
      <c r="E54" s="111">
        <f t="shared" si="24"/>
        <v>0.0094</v>
      </c>
      <c r="F54" s="111">
        <f t="shared" si="24"/>
        <v>0.08259035288</v>
      </c>
      <c r="G54" s="111">
        <f t="shared" si="24"/>
        <v>0.0426</v>
      </c>
      <c r="H54" s="111">
        <f t="shared" si="24"/>
        <v>0.08051049922</v>
      </c>
      <c r="I54" s="111">
        <f t="shared" si="24"/>
        <v>0.08647639451</v>
      </c>
      <c r="J54" s="111">
        <f t="shared" si="24"/>
        <v>0.1329314065</v>
      </c>
      <c r="K54" s="111">
        <f t="shared" si="24"/>
        <v>0.07595459654</v>
      </c>
      <c r="L54" s="111">
        <f t="shared" si="24"/>
        <v>0.0371</v>
      </c>
      <c r="M54" s="111">
        <f t="shared" si="24"/>
        <v>0.102200915</v>
      </c>
      <c r="N54" s="111">
        <f t="shared" si="24"/>
        <v>0.1381955064</v>
      </c>
      <c r="O54" s="111">
        <f t="shared" si="25"/>
        <v>0.1155467638</v>
      </c>
      <c r="P54" s="111"/>
      <c r="Q54" s="113"/>
      <c r="R54" s="19"/>
      <c r="S54" s="1"/>
      <c r="T54" s="1"/>
    </row>
    <row r="55" ht="12.75" customHeight="1">
      <c r="A55" s="1"/>
      <c r="B55" s="108" t="s">
        <v>576</v>
      </c>
      <c r="C55" s="7">
        <f t="shared" si="21"/>
        <v>2016</v>
      </c>
      <c r="D55" s="111">
        <f t="shared" ref="D55:O55" si="26">(1+(min(value(D24),$J$48)+max(0,D24-$J$48)*(1-$G$49)))*(1-(D$103-1)/12*$G$48)-1</f>
        <v>-0.0205</v>
      </c>
      <c r="E55" s="111">
        <f t="shared" si="26"/>
        <v>-0.1556</v>
      </c>
      <c r="F55" s="111">
        <f t="shared" si="26"/>
        <v>-0.1239</v>
      </c>
      <c r="G55" s="111">
        <f t="shared" si="26"/>
        <v>-0.1751</v>
      </c>
      <c r="H55" s="111">
        <f t="shared" si="26"/>
        <v>-0.144</v>
      </c>
      <c r="I55" s="111">
        <f t="shared" si="26"/>
        <v>-0.1514</v>
      </c>
      <c r="J55" s="111">
        <f t="shared" si="26"/>
        <v>-0.1221</v>
      </c>
      <c r="K55" s="111">
        <f t="shared" si="26"/>
        <v>-0.1524</v>
      </c>
      <c r="L55" s="111">
        <f t="shared" si="26"/>
        <v>-0.1676</v>
      </c>
      <c r="M55" s="111">
        <f t="shared" si="26"/>
        <v>-0.18</v>
      </c>
      <c r="N55" s="111">
        <f t="shared" si="26"/>
        <v>-0.0868</v>
      </c>
      <c r="O55" s="111">
        <f t="shared" si="26"/>
        <v>-0.0676</v>
      </c>
      <c r="P55" s="109"/>
      <c r="Q55" s="113"/>
      <c r="R55" s="19"/>
      <c r="S55" s="1"/>
      <c r="T55" s="1"/>
    </row>
    <row r="56" ht="12.75" customHeight="1">
      <c r="A56" s="1"/>
      <c r="B56" s="108" t="s">
        <v>576</v>
      </c>
      <c r="C56" s="7">
        <f t="shared" si="21"/>
        <v>2017</v>
      </c>
      <c r="D56" s="111">
        <f t="shared" ref="D56:O56" si="27">(1+(min(value(D25),$J$48)+max(0,D25-$J$48)*(1-$G$49)))*(1-(D$103-1)/12*$G$48)-1</f>
        <v>0.0501</v>
      </c>
      <c r="E56" s="111">
        <f t="shared" si="27"/>
        <v>0.0522</v>
      </c>
      <c r="F56" s="111">
        <f t="shared" si="27"/>
        <v>0.0411</v>
      </c>
      <c r="G56" s="111">
        <f t="shared" si="27"/>
        <v>0.0523</v>
      </c>
      <c r="H56" s="111">
        <f t="shared" si="27"/>
        <v>0.05</v>
      </c>
      <c r="I56" s="111">
        <f t="shared" si="27"/>
        <v>0.0640287183</v>
      </c>
      <c r="J56" s="111">
        <f t="shared" si="27"/>
        <v>0.07411590923</v>
      </c>
      <c r="K56" s="111">
        <f t="shared" si="27"/>
        <v>0.0485</v>
      </c>
      <c r="L56" s="111">
        <f t="shared" si="27"/>
        <v>0.07793761512</v>
      </c>
      <c r="M56" s="111">
        <f t="shared" si="27"/>
        <v>0.09237387243</v>
      </c>
      <c r="N56" s="111">
        <f t="shared" si="27"/>
        <v>0.1062096423</v>
      </c>
      <c r="O56" s="111">
        <f t="shared" si="27"/>
        <v>0.1199058351</v>
      </c>
      <c r="P56" s="109"/>
      <c r="Q56" s="113"/>
      <c r="R56" s="19"/>
      <c r="S56" s="1"/>
      <c r="T56" s="1"/>
    </row>
    <row r="57" ht="12.75" customHeight="1">
      <c r="A57" s="1"/>
      <c r="B57" s="108" t="s">
        <v>576</v>
      </c>
      <c r="C57" s="7">
        <f t="shared" si="21"/>
        <v>2018</v>
      </c>
      <c r="D57" s="109">
        <f t="shared" ref="D57:O57" si="28">(1+(min(value(D26),$J$48)+max(0,D26-$J$48)*(1-$G$49)))*(1-(D$103-1)/12*$G$48)-1</f>
        <v>0.0359</v>
      </c>
      <c r="E57" s="109">
        <f t="shared" si="28"/>
        <v>-0.0094</v>
      </c>
      <c r="F57" s="109">
        <f t="shared" si="28"/>
        <v>-0.031</v>
      </c>
      <c r="G57" s="109">
        <f t="shared" si="28"/>
        <v>-0.0356</v>
      </c>
      <c r="H57" s="109">
        <f t="shared" si="28"/>
        <v>-0.0062</v>
      </c>
      <c r="I57" s="109">
        <f t="shared" si="28"/>
        <v>-0.0046</v>
      </c>
      <c r="J57" s="109">
        <f t="shared" si="28"/>
        <v>0.0186</v>
      </c>
      <c r="K57" s="109">
        <f t="shared" si="28"/>
        <v>0.06004333236</v>
      </c>
      <c r="L57" s="109">
        <f t="shared" si="28"/>
        <v>0.0448</v>
      </c>
      <c r="M57" s="109">
        <f t="shared" si="28"/>
        <v>-0.0512</v>
      </c>
      <c r="N57" s="109">
        <f t="shared" si="28"/>
        <v>-0.0362</v>
      </c>
      <c r="O57" s="109">
        <f t="shared" si="28"/>
        <v>-0.1123</v>
      </c>
      <c r="P57" s="109"/>
      <c r="Q57" s="113"/>
      <c r="R57" s="19"/>
      <c r="S57" s="1"/>
      <c r="T57" s="1"/>
    </row>
    <row r="58" ht="12.75" customHeight="1">
      <c r="A58" s="1"/>
      <c r="B58" s="91" t="s">
        <v>576</v>
      </c>
      <c r="C58" s="10">
        <f t="shared" si="21"/>
        <v>2019</v>
      </c>
      <c r="D58" s="116">
        <f t="shared" ref="D58:O58" si="29">(1+(min(value(D27),$J$48)+max(0,D27-$J$48)*(1-$G$49)))*(1-(D$103-1)/12*$G$48)-1</f>
        <v>0.07489702483</v>
      </c>
      <c r="E58" s="116">
        <f t="shared" si="29"/>
        <v>0.09291350574</v>
      </c>
      <c r="F58" s="116">
        <f t="shared" si="29"/>
        <v>0.1252392123</v>
      </c>
      <c r="G58" s="116">
        <f t="shared" si="29"/>
        <v>0.2038133563</v>
      </c>
      <c r="H58" s="116">
        <f t="shared" si="29"/>
        <v>0.1492983619</v>
      </c>
      <c r="I58" s="116">
        <f t="shared" si="29"/>
        <v>0.2134331395</v>
      </c>
      <c r="J58" s="116">
        <f t="shared" si="29"/>
        <v>0.2434081441</v>
      </c>
      <c r="K58" s="116">
        <f t="shared" si="29"/>
        <v>0.2315603447</v>
      </c>
      <c r="L58" s="116">
        <f t="shared" si="29"/>
        <v>0.2496916669</v>
      </c>
      <c r="M58" s="116">
        <f t="shared" si="29"/>
        <v>0</v>
      </c>
      <c r="N58" s="116">
        <f t="shared" si="29"/>
        <v>0</v>
      </c>
      <c r="O58" s="116">
        <f t="shared" si="29"/>
        <v>0</v>
      </c>
      <c r="P58" s="116"/>
      <c r="Q58" s="117"/>
      <c r="R58" s="19"/>
      <c r="S58" s="1"/>
      <c r="T58" s="1"/>
    </row>
    <row r="59" ht="12.75" customHeight="1">
      <c r="A59" s="1"/>
      <c r="B59" s="20"/>
      <c r="C59" s="7"/>
      <c r="D59" s="109"/>
      <c r="E59" s="109"/>
      <c r="F59" s="109"/>
      <c r="G59" s="109"/>
      <c r="H59" s="109"/>
      <c r="I59" s="109"/>
      <c r="J59" s="109"/>
      <c r="K59" s="109"/>
      <c r="L59" s="109"/>
      <c r="M59" s="109"/>
      <c r="N59" s="109"/>
      <c r="O59" s="109"/>
      <c r="P59" s="109"/>
      <c r="Q59" s="81"/>
      <c r="R59" s="19"/>
      <c r="S59" s="1"/>
      <c r="T59" s="1"/>
    </row>
    <row r="60" ht="12.75" customHeight="1">
      <c r="A60" s="1"/>
      <c r="B60" s="118" t="s">
        <v>742</v>
      </c>
      <c r="D60" s="19"/>
      <c r="E60" s="19"/>
      <c r="F60" s="19"/>
      <c r="G60" s="19"/>
      <c r="H60" s="19"/>
      <c r="I60" s="19"/>
      <c r="J60" s="19"/>
      <c r="K60" s="19"/>
      <c r="L60" s="19"/>
      <c r="M60" s="19"/>
      <c r="N60" s="19"/>
      <c r="O60" s="19"/>
      <c r="P60" s="19"/>
      <c r="Q60" s="81"/>
      <c r="R60" s="19"/>
      <c r="S60" s="1"/>
      <c r="T60" s="1"/>
    </row>
    <row r="61" ht="12.75" customHeight="1">
      <c r="A61" s="1"/>
      <c r="B61" s="7" t="s">
        <v>701</v>
      </c>
      <c r="D61" s="19"/>
      <c r="E61" s="19"/>
      <c r="F61" s="19"/>
      <c r="G61" s="19"/>
      <c r="H61" s="19"/>
      <c r="I61" s="19"/>
      <c r="J61" s="19"/>
      <c r="K61" s="19"/>
      <c r="L61" s="19"/>
      <c r="M61" s="19"/>
      <c r="N61" s="19"/>
      <c r="O61" s="19"/>
      <c r="P61" s="19"/>
      <c r="Q61" s="81"/>
      <c r="R61" s="19"/>
      <c r="S61" s="1"/>
      <c r="T61" s="1"/>
    </row>
    <row r="62" ht="12.75" customHeight="1">
      <c r="A62" s="1"/>
      <c r="B62" s="7" t="s">
        <v>702</v>
      </c>
      <c r="D62" s="19"/>
      <c r="E62" s="19"/>
      <c r="F62" s="19"/>
      <c r="G62" s="19"/>
      <c r="H62" s="19"/>
      <c r="I62" s="19"/>
      <c r="J62" s="19"/>
      <c r="K62" s="19"/>
      <c r="L62" s="19"/>
      <c r="M62" s="19"/>
      <c r="N62" s="9" t="s">
        <v>743</v>
      </c>
      <c r="O62" s="21">
        <f>covar($D$65:$O$71,$D$92:$O$98)/stdev(D$92:O$98)^2</f>
        <v>0.8842802448</v>
      </c>
      <c r="P62" s="19"/>
      <c r="Q62" s="81"/>
      <c r="R62" s="19"/>
      <c r="S62" s="1"/>
      <c r="T62" s="1"/>
    </row>
    <row r="63" ht="12.75" customHeight="1">
      <c r="A63" s="1"/>
      <c r="B63" s="20" t="s">
        <v>703</v>
      </c>
      <c r="D63" s="19"/>
      <c r="E63" s="19"/>
      <c r="F63" s="125"/>
      <c r="G63" s="136">
        <f t="shared" ref="G63:G64" si="30">G48</f>
        <v>0</v>
      </c>
      <c r="H63" s="19"/>
      <c r="I63" s="19" t="s">
        <v>705</v>
      </c>
      <c r="J63" s="136">
        <f t="shared" ref="J63:J64" si="31">J48</f>
        <v>0.06</v>
      </c>
      <c r="K63" s="19"/>
      <c r="L63" s="19" t="s">
        <v>707</v>
      </c>
      <c r="M63" s="19">
        <f t="array" ref="M63">product(1+D66:O73)^(12/count(D66:O73))-1</f>
        <v>0.099584391</v>
      </c>
      <c r="N63" s="19" t="s">
        <v>709</v>
      </c>
      <c r="O63" s="68">
        <f>M63/M64</f>
        <v>0.6622733804</v>
      </c>
      <c r="P63" s="19" t="s">
        <v>710</v>
      </c>
      <c r="Q63" s="109">
        <f t="array" ref="Q63">PRODUCT(1+M66:O66)-1</f>
        <v>-0.009986651387</v>
      </c>
      <c r="R63" s="19"/>
      <c r="S63" s="1"/>
      <c r="T63" s="1"/>
    </row>
    <row r="64" ht="12.75" customHeight="1">
      <c r="A64" s="1"/>
      <c r="B64" s="20" t="s">
        <v>712</v>
      </c>
      <c r="D64" s="19"/>
      <c r="E64" s="19"/>
      <c r="F64" s="125"/>
      <c r="G64" s="136">
        <f t="shared" si="30"/>
        <v>0.15</v>
      </c>
      <c r="H64" s="19"/>
      <c r="I64" s="19" t="s">
        <v>714</v>
      </c>
      <c r="J64" s="136" t="str">
        <f t="shared" si="31"/>
        <v>yes</v>
      </c>
      <c r="K64" s="19"/>
      <c r="L64" s="19" t="s">
        <v>716</v>
      </c>
      <c r="M64" s="19">
        <f>(STDEV(D65:O73)*SQRT(12))</f>
        <v>0.1503674977</v>
      </c>
      <c r="N64" s="9" t="s">
        <v>747</v>
      </c>
      <c r="O64" s="19">
        <f>12500/675</f>
        <v>18.51851852</v>
      </c>
      <c r="P64" s="19" t="s">
        <v>717</v>
      </c>
      <c r="Q64" s="19">
        <f>CORREL(D65:O69,$D$92:$O$96)</f>
        <v>0.5821525404</v>
      </c>
      <c r="R64" s="19"/>
      <c r="S64" s="1"/>
      <c r="T64" s="1"/>
    </row>
    <row r="65" ht="12.75" customHeight="1">
      <c r="A65" s="1"/>
      <c r="B65" s="100" t="s">
        <v>553</v>
      </c>
      <c r="C65" s="101" t="s">
        <v>542</v>
      </c>
      <c r="D65" s="102" t="s">
        <v>556</v>
      </c>
      <c r="E65" s="102" t="s">
        <v>557</v>
      </c>
      <c r="F65" s="102" t="s">
        <v>558</v>
      </c>
      <c r="G65" s="102" t="s">
        <v>559</v>
      </c>
      <c r="H65" s="102" t="s">
        <v>560</v>
      </c>
      <c r="I65" s="102" t="s">
        <v>561</v>
      </c>
      <c r="J65" s="102" t="s">
        <v>563</v>
      </c>
      <c r="K65" s="102" t="s">
        <v>564</v>
      </c>
      <c r="L65" s="102" t="s">
        <v>565</v>
      </c>
      <c r="M65" s="102" t="s">
        <v>566</v>
      </c>
      <c r="N65" s="102" t="s">
        <v>567</v>
      </c>
      <c r="O65" s="102" t="s">
        <v>568</v>
      </c>
      <c r="P65" s="135" t="s">
        <v>569</v>
      </c>
      <c r="Q65" s="104" t="s">
        <v>571</v>
      </c>
      <c r="R65" s="19"/>
      <c r="S65" s="1"/>
      <c r="T65" s="1"/>
    </row>
    <row r="66" ht="12.75" customHeight="1">
      <c r="A66" s="1"/>
      <c r="B66" s="108" t="s">
        <v>576</v>
      </c>
      <c r="C66" s="9">
        <f t="shared" ref="C66:C73" si="33">C9</f>
        <v>2012</v>
      </c>
      <c r="D66" s="111"/>
      <c r="E66" s="111"/>
      <c r="F66" s="111"/>
      <c r="G66" s="111"/>
      <c r="H66" s="111">
        <f t="shared" ref="H66:O66" si="32">if(H$103=2,H51,(1+H51)/(1+G51)-1)</f>
        <v>-0.001</v>
      </c>
      <c r="I66" s="111">
        <f t="shared" si="32"/>
        <v>0.03503503504</v>
      </c>
      <c r="J66" s="111">
        <f t="shared" si="32"/>
        <v>0.03646235148</v>
      </c>
      <c r="K66" s="111">
        <f t="shared" si="32"/>
        <v>0.0724244058</v>
      </c>
      <c r="L66" s="111">
        <f t="shared" si="32"/>
        <v>-0.01431073938</v>
      </c>
      <c r="M66" s="111">
        <f t="shared" si="32"/>
        <v>0.02568464461</v>
      </c>
      <c r="N66" s="111">
        <f t="shared" si="32"/>
        <v>-0.01260068912</v>
      </c>
      <c r="O66" s="111">
        <f t="shared" si="32"/>
        <v>-0.02246036145</v>
      </c>
      <c r="P66" s="109">
        <f t="array" ref="P66">PRODUCT(1+D66:O66)-1</f>
        <v>0.1215582497</v>
      </c>
      <c r="Q66" s="128"/>
      <c r="R66" s="19"/>
      <c r="S66" s="1"/>
      <c r="T66" s="1"/>
    </row>
    <row r="67" ht="12.75" customHeight="1">
      <c r="A67" s="1"/>
      <c r="B67" s="108" t="s">
        <v>576</v>
      </c>
      <c r="C67" s="7">
        <f t="shared" si="33"/>
        <v>2013</v>
      </c>
      <c r="D67" s="111">
        <f t="shared" ref="D67:O67" si="34">if(D$103=2,D52,(1+D52)/(1+C52)-1)</f>
        <v>0.0465</v>
      </c>
      <c r="E67" s="111">
        <f t="shared" si="34"/>
        <v>0.01677926733</v>
      </c>
      <c r="F67" s="111">
        <f t="shared" si="34"/>
        <v>0.06438746108</v>
      </c>
      <c r="G67" s="111">
        <f t="shared" si="34"/>
        <v>-0.02420041185</v>
      </c>
      <c r="H67" s="111">
        <f t="shared" si="34"/>
        <v>0.05733320291</v>
      </c>
      <c r="I67" s="111">
        <f t="shared" si="34"/>
        <v>0.002037500403</v>
      </c>
      <c r="J67" s="111">
        <f t="shared" si="34"/>
        <v>0.0169363187</v>
      </c>
      <c r="K67" s="111">
        <f t="shared" si="34"/>
        <v>-0.06204553763</v>
      </c>
      <c r="L67" s="111">
        <f t="shared" si="34"/>
        <v>0.02350448402</v>
      </c>
      <c r="M67" s="111">
        <f t="shared" si="34"/>
        <v>0.04329883751</v>
      </c>
      <c r="N67" s="111">
        <f t="shared" si="34"/>
        <v>0.08013455376</v>
      </c>
      <c r="O67" s="111">
        <f t="shared" si="34"/>
        <v>0.03623340136</v>
      </c>
      <c r="P67" s="109">
        <f t="array" ref="P67">PRODUCT(1+D67:O67)-1</f>
        <v>0.3348472521</v>
      </c>
      <c r="Q67" s="128"/>
      <c r="R67" s="19"/>
      <c r="S67" s="1"/>
      <c r="T67" s="1"/>
    </row>
    <row r="68" ht="12.75" customHeight="1">
      <c r="A68" s="1"/>
      <c r="B68" s="108" t="s">
        <v>576</v>
      </c>
      <c r="C68" s="7">
        <f t="shared" si="33"/>
        <v>2014</v>
      </c>
      <c r="D68" s="111">
        <f t="shared" ref="D68:O68" si="35">if(D$103=2,D53,(1+D53)/(1+C53)-1)</f>
        <v>-0.0512</v>
      </c>
      <c r="E68" s="111">
        <f t="shared" si="35"/>
        <v>0.0349915683</v>
      </c>
      <c r="F68" s="111">
        <f t="shared" si="35"/>
        <v>0.04175152749</v>
      </c>
      <c r="G68" s="111">
        <f t="shared" si="35"/>
        <v>-0.01417399804</v>
      </c>
      <c r="H68" s="111">
        <f t="shared" si="35"/>
        <v>0.05474201049</v>
      </c>
      <c r="I68" s="111">
        <f t="shared" si="35"/>
        <v>-0.07079702878</v>
      </c>
      <c r="J68" s="111">
        <f t="shared" si="35"/>
        <v>-0.06960744638</v>
      </c>
      <c r="K68" s="111">
        <f t="shared" si="35"/>
        <v>0.03142670726</v>
      </c>
      <c r="L68" s="111">
        <f t="shared" si="35"/>
        <v>-0.0545071165</v>
      </c>
      <c r="M68" s="111">
        <f t="shared" si="35"/>
        <v>0.03200267618</v>
      </c>
      <c r="N68" s="111">
        <f t="shared" si="35"/>
        <v>0.07142085359</v>
      </c>
      <c r="O68" s="111">
        <f t="shared" si="35"/>
        <v>0.05401784113</v>
      </c>
      <c r="P68" s="109">
        <f t="array" ref="P68">PRODUCT(1+D68:O68)-1</f>
        <v>0.04516409126</v>
      </c>
      <c r="Q68" s="113"/>
      <c r="R68" s="19"/>
      <c r="S68" s="1"/>
      <c r="T68" s="1"/>
    </row>
    <row r="69" ht="12.75" customHeight="1">
      <c r="A69" s="1"/>
      <c r="B69" s="108" t="s">
        <v>576</v>
      </c>
      <c r="C69" s="7">
        <f t="shared" si="33"/>
        <v>2015</v>
      </c>
      <c r="D69" s="111">
        <f t="shared" ref="D69:O69" si="36">if(D$103=2,D54,(1+D54)/(1+C54)-1)</f>
        <v>-0.0214</v>
      </c>
      <c r="E69" s="111">
        <f t="shared" si="36"/>
        <v>0.03147353362</v>
      </c>
      <c r="F69" s="111">
        <f t="shared" si="36"/>
        <v>0.07250877043</v>
      </c>
      <c r="G69" s="111">
        <f t="shared" si="36"/>
        <v>-0.03693950604</v>
      </c>
      <c r="H69" s="111">
        <f t="shared" si="36"/>
        <v>0.03636149935</v>
      </c>
      <c r="I69" s="111">
        <f t="shared" si="36"/>
        <v>0.005521367259</v>
      </c>
      <c r="J69" s="111">
        <f t="shared" si="36"/>
        <v>0.04275749774</v>
      </c>
      <c r="K69" s="111">
        <f t="shared" si="36"/>
        <v>-0.05029149128</v>
      </c>
      <c r="L69" s="111">
        <f t="shared" si="36"/>
        <v>-0.03611174363</v>
      </c>
      <c r="M69" s="111">
        <f t="shared" si="36"/>
        <v>0.06277207119</v>
      </c>
      <c r="N69" s="111">
        <f t="shared" si="36"/>
        <v>0.03265701458</v>
      </c>
      <c r="O69" s="111">
        <f t="shared" si="36"/>
        <v>-0.01989881565</v>
      </c>
      <c r="P69" s="109">
        <f t="array" ref="P69">PRODUCT(1+D69:O69)-1</f>
        <v>0.1155467638</v>
      </c>
      <c r="Q69" s="113"/>
      <c r="R69" s="19"/>
      <c r="S69" s="1"/>
      <c r="T69" s="1"/>
    </row>
    <row r="70" ht="12.75" customHeight="1">
      <c r="A70" s="1"/>
      <c r="B70" s="108" t="s">
        <v>576</v>
      </c>
      <c r="C70" s="7">
        <f t="shared" si="33"/>
        <v>2016</v>
      </c>
      <c r="D70" s="111">
        <f t="shared" ref="D70:O70" si="37">if(D$103=2,D55,(1+D55)/(1+C55)-1)</f>
        <v>-0.0205</v>
      </c>
      <c r="E70" s="111">
        <f t="shared" si="37"/>
        <v>-0.137927514</v>
      </c>
      <c r="F70" s="111">
        <f t="shared" si="37"/>
        <v>0.03754144955</v>
      </c>
      <c r="G70" s="111">
        <f t="shared" si="37"/>
        <v>-0.05844081726</v>
      </c>
      <c r="H70" s="111">
        <f t="shared" si="37"/>
        <v>0.03770153958</v>
      </c>
      <c r="I70" s="111">
        <f t="shared" si="37"/>
        <v>-0.008644859813</v>
      </c>
      <c r="J70" s="111">
        <f t="shared" si="37"/>
        <v>0.03452745699</v>
      </c>
      <c r="K70" s="111">
        <f t="shared" si="37"/>
        <v>-0.03451418157</v>
      </c>
      <c r="L70" s="111">
        <f t="shared" si="37"/>
        <v>-0.01793298726</v>
      </c>
      <c r="M70" s="111">
        <f t="shared" si="37"/>
        <v>-0.01489668429</v>
      </c>
      <c r="N70" s="111">
        <f t="shared" si="37"/>
        <v>0.1136585366</v>
      </c>
      <c r="O70" s="111">
        <f t="shared" si="37"/>
        <v>0.02102496715</v>
      </c>
      <c r="P70" s="109">
        <f t="array" ref="P70">PRODUCT(1+D70:O70)-1</f>
        <v>-0.0676</v>
      </c>
      <c r="Q70" s="113"/>
      <c r="R70" s="19"/>
      <c r="S70" s="1"/>
      <c r="T70" s="1"/>
    </row>
    <row r="71" ht="12.75" customHeight="1">
      <c r="A71" s="1"/>
      <c r="B71" s="108" t="s">
        <v>576</v>
      </c>
      <c r="C71" s="7">
        <f t="shared" si="33"/>
        <v>2017</v>
      </c>
      <c r="D71" s="111">
        <f t="shared" ref="D71:O71" si="38">if(D$103=2,D56,(1+D56)/(1+C56)-1)</f>
        <v>0.0501</v>
      </c>
      <c r="E71" s="111">
        <f t="shared" si="38"/>
        <v>0.001999809542</v>
      </c>
      <c r="F71" s="111">
        <f t="shared" si="38"/>
        <v>-0.01054932522</v>
      </c>
      <c r="G71" s="111">
        <f t="shared" si="38"/>
        <v>0.01075785227</v>
      </c>
      <c r="H71" s="111">
        <f t="shared" si="38"/>
        <v>-0.002185688492</v>
      </c>
      <c r="I71" s="111">
        <f t="shared" si="38"/>
        <v>0.01336068409</v>
      </c>
      <c r="J71" s="111">
        <f t="shared" si="38"/>
        <v>0.009480186724</v>
      </c>
      <c r="K71" s="111">
        <f t="shared" si="38"/>
        <v>-0.02384836591</v>
      </c>
      <c r="L71" s="111">
        <f t="shared" si="38"/>
        <v>0.0280759324</v>
      </c>
      <c r="M71" s="111">
        <f t="shared" si="38"/>
        <v>0.0133924794</v>
      </c>
      <c r="N71" s="111">
        <f t="shared" si="38"/>
        <v>0.01266578245</v>
      </c>
      <c r="O71" s="111">
        <f t="shared" si="38"/>
        <v>0.01238119094</v>
      </c>
      <c r="P71" s="109">
        <f t="array" ref="P71">PRODUCT(1+D71:O71)-1</f>
        <v>0.1199058351</v>
      </c>
      <c r="Q71" s="113"/>
      <c r="R71" s="19"/>
      <c r="S71" s="1"/>
      <c r="T71" s="1"/>
    </row>
    <row r="72" ht="12.75" customHeight="1">
      <c r="A72" s="1"/>
      <c r="B72" s="108" t="s">
        <v>576</v>
      </c>
      <c r="C72" s="7">
        <f t="shared" si="33"/>
        <v>2018</v>
      </c>
      <c r="D72" s="109">
        <f t="shared" ref="D72:O72" si="39">if(D$103=2,D57,(1+D57)/(1+C57)-1)</f>
        <v>0.0359</v>
      </c>
      <c r="E72" s="109">
        <f t="shared" si="39"/>
        <v>-0.04373008978</v>
      </c>
      <c r="F72" s="109">
        <f t="shared" si="39"/>
        <v>-0.02180496669</v>
      </c>
      <c r="G72" s="109">
        <f t="shared" si="39"/>
        <v>-0.004747162023</v>
      </c>
      <c r="H72" s="109">
        <f t="shared" si="39"/>
        <v>0.03048527582</v>
      </c>
      <c r="I72" s="109">
        <f t="shared" si="39"/>
        <v>0.001609981888</v>
      </c>
      <c r="J72" s="109">
        <f t="shared" si="39"/>
        <v>0.02330721318</v>
      </c>
      <c r="K72" s="109">
        <f t="shared" si="39"/>
        <v>0.0406865623</v>
      </c>
      <c r="L72" s="109">
        <f t="shared" si="39"/>
        <v>-0.01437991438</v>
      </c>
      <c r="M72" s="109">
        <f t="shared" si="39"/>
        <v>-0.09188361409</v>
      </c>
      <c r="N72" s="109">
        <f t="shared" si="39"/>
        <v>0.01580944351</v>
      </c>
      <c r="O72" s="109">
        <f t="shared" si="39"/>
        <v>-0.0789582901</v>
      </c>
      <c r="P72" s="109">
        <f t="array" ref="P72">PRODUCT(1+D72:O72)-1</f>
        <v>-0.1123</v>
      </c>
      <c r="Q72" s="113"/>
      <c r="R72" s="19"/>
      <c r="S72" s="1"/>
      <c r="T72" s="1"/>
    </row>
    <row r="73" ht="12.75" customHeight="1">
      <c r="A73" s="1"/>
      <c r="B73" s="91" t="s">
        <v>576</v>
      </c>
      <c r="C73" s="10">
        <f t="shared" si="33"/>
        <v>2019</v>
      </c>
      <c r="D73" s="116">
        <f t="shared" ref="D73:I73" si="40">if(D$103=2,D58,(1+D58)/(1+C58)-1)</f>
        <v>0.07489702483</v>
      </c>
      <c r="E73" s="116">
        <f t="shared" si="40"/>
        <v>0.01676112268</v>
      </c>
      <c r="F73" s="116">
        <f t="shared" si="40"/>
        <v>0.02957755244</v>
      </c>
      <c r="G73" s="116">
        <f t="shared" si="40"/>
        <v>0.06982883566</v>
      </c>
      <c r="H73" s="116">
        <f t="shared" si="40"/>
        <v>-0.04528525461</v>
      </c>
      <c r="I73" s="116">
        <f t="shared" si="40"/>
        <v>0.0558034186</v>
      </c>
      <c r="J73" s="116">
        <f t="shared" ref="J73:O73" si="41">if(J16="","", if(J$103=2,J58,(1+J58)/(1+I58)-1))</f>
        <v>0.02470264214</v>
      </c>
      <c r="K73" s="116">
        <f t="shared" si="41"/>
        <v>-0.00952848786</v>
      </c>
      <c r="L73" s="116">
        <f t="shared" si="41"/>
        <v>0.0147222361</v>
      </c>
      <c r="M73" s="116" t="str">
        <f t="shared" si="41"/>
        <v/>
      </c>
      <c r="N73" s="116" t="str">
        <f t="shared" si="41"/>
        <v/>
      </c>
      <c r="O73" s="116" t="str">
        <f t="shared" si="41"/>
        <v/>
      </c>
      <c r="P73" s="116">
        <f t="array" ref="P73">PRODUCT(1+D73:O73)-1</f>
        <v>0.2496916669</v>
      </c>
      <c r="Q73" s="117"/>
      <c r="R73" s="19"/>
      <c r="S73" s="1"/>
      <c r="T73" s="1"/>
    </row>
    <row r="74" ht="12.75" customHeight="1">
      <c r="A74" s="1"/>
      <c r="B74" s="20"/>
      <c r="D74" s="19"/>
      <c r="E74" s="19"/>
      <c r="F74" s="19"/>
      <c r="G74" s="19"/>
      <c r="H74" s="19"/>
      <c r="I74" s="19"/>
      <c r="J74" s="19"/>
      <c r="K74" s="19"/>
      <c r="L74" s="19"/>
      <c r="M74" s="19"/>
      <c r="N74" s="19"/>
      <c r="O74" s="19"/>
      <c r="P74" s="19"/>
      <c r="Q74" s="81"/>
      <c r="R74" s="19"/>
      <c r="S74" s="1"/>
      <c r="T74" s="1"/>
    </row>
    <row r="75" ht="12.75" hidden="1" customHeight="1">
      <c r="A75" s="1"/>
      <c r="B75" s="100" t="s">
        <v>553</v>
      </c>
      <c r="C75" s="101" t="s">
        <v>542</v>
      </c>
      <c r="D75" s="102" t="s">
        <v>556</v>
      </c>
      <c r="E75" s="102" t="s">
        <v>557</v>
      </c>
      <c r="F75" s="102" t="s">
        <v>558</v>
      </c>
      <c r="G75" s="102" t="s">
        <v>559</v>
      </c>
      <c r="H75" s="102" t="s">
        <v>560</v>
      </c>
      <c r="I75" s="102" t="s">
        <v>561</v>
      </c>
      <c r="J75" s="102" t="s">
        <v>563</v>
      </c>
      <c r="K75" s="102" t="s">
        <v>564</v>
      </c>
      <c r="L75" s="102" t="s">
        <v>565</v>
      </c>
      <c r="M75" s="102" t="s">
        <v>566</v>
      </c>
      <c r="N75" s="102" t="s">
        <v>567</v>
      </c>
      <c r="O75" s="102" t="s">
        <v>568</v>
      </c>
      <c r="P75" s="103" t="s">
        <v>569</v>
      </c>
      <c r="Q75" s="104" t="s">
        <v>571</v>
      </c>
      <c r="R75" s="105"/>
      <c r="S75" s="106" t="s">
        <v>572</v>
      </c>
      <c r="T75" s="107" t="s">
        <v>759</v>
      </c>
      <c r="U75" s="7" t="s">
        <v>574</v>
      </c>
      <c r="V75" s="1"/>
      <c r="W75" s="1" t="str">
        <f>VLOOKUP($C$4,$C$75:$Q$77,15,FALSE)</f>
        <v>#N/A</v>
      </c>
    </row>
    <row r="76" ht="12.75" hidden="1" customHeight="1">
      <c r="A76" s="1"/>
      <c r="B76" s="86" t="s">
        <v>761</v>
      </c>
      <c r="C76" s="84">
        <v>2012.0</v>
      </c>
      <c r="D76" s="137">
        <v>0.042</v>
      </c>
      <c r="E76" s="137">
        <v>0.0163</v>
      </c>
      <c r="F76" s="137"/>
      <c r="G76" s="137"/>
      <c r="H76" s="137"/>
      <c r="I76" s="137"/>
      <c r="J76" s="137"/>
      <c r="K76" s="137"/>
      <c r="L76" s="137"/>
      <c r="M76" s="137"/>
      <c r="N76" s="137"/>
      <c r="O76" s="137"/>
      <c r="P76" s="109">
        <f t="array" ref="P76">PRODUCT(1+D76:O76)-1</f>
        <v>0.0589846</v>
      </c>
      <c r="Q76" s="138"/>
      <c r="R76" s="105"/>
      <c r="S76" s="106"/>
      <c r="T76" s="107"/>
      <c r="U76" s="7"/>
    </row>
    <row r="77" ht="12.75" hidden="1" customHeight="1">
      <c r="A77" s="1"/>
      <c r="B77" s="91" t="s">
        <v>761</v>
      </c>
      <c r="C77" s="10">
        <v>2011.0</v>
      </c>
      <c r="D77" s="116"/>
      <c r="E77" s="116">
        <v>-0.012658782816449499</v>
      </c>
      <c r="F77" s="116">
        <v>-0.003737470977971613</v>
      </c>
      <c r="G77" s="116">
        <v>0.05405684229134988</v>
      </c>
      <c r="H77" s="116">
        <v>-0.040735903349880864</v>
      </c>
      <c r="I77" s="139">
        <v>-0.0158</v>
      </c>
      <c r="J77" s="139">
        <v>0.0304</v>
      </c>
      <c r="K77" s="139">
        <v>-0.0726</v>
      </c>
      <c r="L77" s="139">
        <v>-0.122</v>
      </c>
      <c r="M77" s="139">
        <v>0.0254</v>
      </c>
      <c r="N77" s="139">
        <v>-0.014</v>
      </c>
      <c r="O77" s="140">
        <v>-0.0186</v>
      </c>
      <c r="P77" s="116">
        <f t="array" ref="P77">PRODUCT(1+D77:O77)-1</f>
        <v>-0.1850886155</v>
      </c>
      <c r="Q77" s="117">
        <v>80760.31</v>
      </c>
      <c r="R77" s="19"/>
      <c r="S77" s="1"/>
      <c r="T77" s="7" t="s">
        <v>763</v>
      </c>
    </row>
    <row r="78" ht="12.75" hidden="1" customHeight="1">
      <c r="A78" s="1"/>
      <c r="B78" s="20"/>
      <c r="D78" s="19"/>
      <c r="E78" s="19"/>
      <c r="F78" s="19"/>
      <c r="G78" s="19"/>
      <c r="H78" s="19"/>
      <c r="I78" s="19"/>
      <c r="J78" s="19"/>
      <c r="K78" s="19"/>
      <c r="L78" s="19"/>
      <c r="M78" s="19"/>
      <c r="N78" s="19"/>
      <c r="O78" s="19"/>
      <c r="P78" s="19"/>
      <c r="Q78" s="81"/>
      <c r="R78" s="19"/>
      <c r="S78" s="1"/>
      <c r="T78" s="1"/>
    </row>
    <row r="79" ht="12.75" hidden="1" customHeight="1">
      <c r="A79" s="1"/>
      <c r="B79" s="100" t="s">
        <v>553</v>
      </c>
      <c r="C79" s="101" t="s">
        <v>542</v>
      </c>
      <c r="D79" s="102" t="s">
        <v>556</v>
      </c>
      <c r="E79" s="102" t="s">
        <v>557</v>
      </c>
      <c r="F79" s="102" t="s">
        <v>558</v>
      </c>
      <c r="G79" s="102" t="s">
        <v>559</v>
      </c>
      <c r="H79" s="102" t="s">
        <v>560</v>
      </c>
      <c r="I79" s="102" t="s">
        <v>561</v>
      </c>
      <c r="J79" s="102" t="s">
        <v>563</v>
      </c>
      <c r="K79" s="102" t="s">
        <v>564</v>
      </c>
      <c r="L79" s="102" t="s">
        <v>565</v>
      </c>
      <c r="M79" s="102" t="s">
        <v>566</v>
      </c>
      <c r="N79" s="102" t="s">
        <v>567</v>
      </c>
      <c r="O79" s="102" t="s">
        <v>568</v>
      </c>
      <c r="P79" s="103" t="s">
        <v>569</v>
      </c>
      <c r="Q79" s="104" t="s">
        <v>571</v>
      </c>
      <c r="R79" s="105"/>
      <c r="S79" s="106" t="s">
        <v>572</v>
      </c>
      <c r="T79" s="107" t="s">
        <v>314</v>
      </c>
      <c r="U79" s="7" t="s">
        <v>574</v>
      </c>
      <c r="V79" s="1"/>
      <c r="W79" s="1" t="str">
        <f>VLOOKUP($C$4,$C$79:$Q$81,15,FALSE)</f>
        <v>#N/A</v>
      </c>
    </row>
    <row r="80" ht="12.75" hidden="1" customHeight="1">
      <c r="A80" s="1"/>
      <c r="B80" s="86" t="s">
        <v>764</v>
      </c>
      <c r="C80" s="84">
        <v>2011.0</v>
      </c>
      <c r="D80" s="141">
        <v>-0.2537</v>
      </c>
      <c r="E80" s="141">
        <v>0.04240044987969993</v>
      </c>
      <c r="F80" s="141">
        <v>-0.023674059950846704</v>
      </c>
      <c r="G80" s="141">
        <v>-0.3040726300700124</v>
      </c>
      <c r="H80" s="141">
        <v>1.281887475869206</v>
      </c>
      <c r="I80" s="141"/>
      <c r="J80" s="141"/>
      <c r="K80" s="141"/>
      <c r="L80" s="141"/>
      <c r="M80" s="141"/>
      <c r="N80" s="141"/>
      <c r="O80" s="141"/>
      <c r="P80" s="141">
        <f t="array" ref="P80">PRODUCT(1+D80:O80)-1</f>
        <v>0.2061491131</v>
      </c>
      <c r="Q80" s="138">
        <v>0.0</v>
      </c>
      <c r="R80" s="19"/>
      <c r="S80" s="1"/>
      <c r="T80" s="1"/>
    </row>
    <row r="81" ht="12.75" hidden="1" customHeight="1">
      <c r="A81" s="1"/>
      <c r="B81" s="91" t="s">
        <v>764</v>
      </c>
      <c r="C81" s="10">
        <v>2010.0</v>
      </c>
      <c r="D81" s="116"/>
      <c r="E81" s="116"/>
      <c r="F81" s="116"/>
      <c r="G81" s="116"/>
      <c r="H81" s="116"/>
      <c r="I81" s="116"/>
      <c r="J81" s="116"/>
      <c r="K81" s="116"/>
      <c r="L81" s="116"/>
      <c r="M81" s="116"/>
      <c r="N81" s="116"/>
      <c r="O81" s="116">
        <v>0.6645</v>
      </c>
      <c r="P81" s="116">
        <v>0.6645</v>
      </c>
      <c r="Q81" s="117">
        <v>7529.1</v>
      </c>
      <c r="R81" s="19"/>
      <c r="S81" s="1"/>
      <c r="T81" s="7" t="s">
        <v>765</v>
      </c>
    </row>
    <row r="82" ht="12.75" hidden="1" customHeight="1">
      <c r="A82" s="1"/>
      <c r="B82" s="1"/>
      <c r="D82" s="19"/>
      <c r="E82" s="19"/>
      <c r="F82" s="19"/>
      <c r="G82" s="19"/>
      <c r="H82" s="19"/>
      <c r="I82" s="19"/>
      <c r="J82" s="19"/>
      <c r="K82" s="19"/>
      <c r="L82" s="19"/>
      <c r="M82" s="19"/>
      <c r="N82" s="19"/>
      <c r="O82" s="19"/>
      <c r="P82" s="19"/>
      <c r="Q82" s="81"/>
      <c r="R82" s="19"/>
      <c r="S82" s="1"/>
      <c r="T82" s="1"/>
    </row>
    <row r="83" ht="12.75" hidden="1" customHeight="1">
      <c r="A83" s="1"/>
      <c r="B83" s="100" t="s">
        <v>553</v>
      </c>
      <c r="C83" s="101" t="s">
        <v>542</v>
      </c>
      <c r="D83" s="102" t="s">
        <v>556</v>
      </c>
      <c r="E83" s="102" t="s">
        <v>557</v>
      </c>
      <c r="F83" s="102" t="s">
        <v>558</v>
      </c>
      <c r="G83" s="102" t="s">
        <v>559</v>
      </c>
      <c r="H83" s="102" t="s">
        <v>560</v>
      </c>
      <c r="I83" s="102" t="s">
        <v>561</v>
      </c>
      <c r="J83" s="102" t="s">
        <v>563</v>
      </c>
      <c r="K83" s="102" t="s">
        <v>564</v>
      </c>
      <c r="L83" s="102" t="s">
        <v>565</v>
      </c>
      <c r="M83" s="102" t="s">
        <v>566</v>
      </c>
      <c r="N83" s="102" t="s">
        <v>567</v>
      </c>
      <c r="O83" s="102" t="s">
        <v>568</v>
      </c>
      <c r="P83" s="103" t="s">
        <v>569</v>
      </c>
      <c r="Q83" s="104" t="s">
        <v>571</v>
      </c>
      <c r="R83" s="105"/>
      <c r="S83" s="106" t="s">
        <v>572</v>
      </c>
      <c r="T83" s="107" t="s">
        <v>314</v>
      </c>
      <c r="U83" s="7" t="s">
        <v>574</v>
      </c>
      <c r="V83" s="1"/>
      <c r="W83" s="1" t="str">
        <f>VLOOKUP($C$4,$C$83:$Q$84,15,FALSE)</f>
        <v>#N/A</v>
      </c>
    </row>
    <row r="84" ht="12.75" hidden="1" customHeight="1">
      <c r="A84" s="1"/>
      <c r="B84" s="86" t="s">
        <v>766</v>
      </c>
      <c r="C84" s="7">
        <v>2012.0</v>
      </c>
      <c r="D84" s="142">
        <v>0.021875660789176132</v>
      </c>
      <c r="E84" s="142">
        <v>-0.01080072877057714</v>
      </c>
      <c r="F84" s="142">
        <v>0.07314997994233186</v>
      </c>
      <c r="G84" s="142">
        <v>0.014960936544657688</v>
      </c>
      <c r="H84" s="142">
        <v>-0.04769919622879781</v>
      </c>
      <c r="I84" s="142"/>
      <c r="J84" s="142"/>
      <c r="K84" s="142"/>
      <c r="L84" s="142"/>
      <c r="M84" s="142"/>
      <c r="N84" s="142"/>
      <c r="O84" s="142"/>
      <c r="P84" s="109">
        <f t="array" ref="P84">PRODUCT(1+D84:O84)-1</f>
        <v>0.04849350175</v>
      </c>
      <c r="Q84" s="138"/>
      <c r="R84" s="19"/>
      <c r="S84" s="1"/>
      <c r="T84" s="107"/>
    </row>
    <row r="85" ht="12.75" hidden="1" customHeight="1">
      <c r="A85" s="1"/>
      <c r="B85" s="108"/>
      <c r="C85" s="7">
        <v>2011.0</v>
      </c>
      <c r="D85" s="109">
        <v>0.095</v>
      </c>
      <c r="E85" s="109">
        <v>-0.005954556319981763</v>
      </c>
      <c r="F85" s="109">
        <v>0.006592135120131681</v>
      </c>
      <c r="G85" s="109">
        <v>0.05205532817611824</v>
      </c>
      <c r="H85" s="109">
        <v>-0.037298290906963794</v>
      </c>
      <c r="I85" s="109">
        <v>0.0</v>
      </c>
      <c r="J85" s="142">
        <v>-0.006079849999999998</v>
      </c>
      <c r="K85" s="142">
        <v>0.06905244852919012</v>
      </c>
      <c r="L85" s="142">
        <v>-0.06629953070471972</v>
      </c>
      <c r="M85" s="142">
        <v>-0.06863896461388275</v>
      </c>
      <c r="N85" s="142">
        <v>-0.08623905122817599</v>
      </c>
      <c r="O85" s="142">
        <v>-0.00982607087778375</v>
      </c>
      <c r="P85" s="109">
        <f t="array" ref="P85">PRODUCT(1+D85:O85)-1</f>
        <v>-0.07226392442</v>
      </c>
      <c r="Q85" s="113">
        <v>55792.54</v>
      </c>
      <c r="R85" s="19"/>
      <c r="S85" s="1" t="s">
        <v>768</v>
      </c>
      <c r="T85" s="107" t="s">
        <v>769</v>
      </c>
    </row>
    <row r="86" ht="12.75" hidden="1" customHeight="1">
      <c r="A86" s="1"/>
      <c r="B86" s="108"/>
      <c r="C86" s="7">
        <v>2010.0</v>
      </c>
      <c r="D86" s="109"/>
      <c r="E86" s="109"/>
      <c r="F86" s="109"/>
      <c r="G86" s="109"/>
      <c r="H86" s="109"/>
      <c r="I86" s="109"/>
      <c r="J86" s="109"/>
      <c r="K86" s="109"/>
      <c r="L86" s="109"/>
      <c r="M86" s="109"/>
      <c r="N86" s="109"/>
      <c r="O86" s="109"/>
      <c r="P86" s="109">
        <v>0.0401974184571372</v>
      </c>
      <c r="Q86" s="113">
        <v>17328.68</v>
      </c>
      <c r="R86" s="19"/>
      <c r="S86" s="1"/>
      <c r="T86" s="107" t="s">
        <v>770</v>
      </c>
    </row>
    <row r="87" ht="12.75" hidden="1" customHeight="1">
      <c r="A87" s="1"/>
      <c r="B87" s="91"/>
      <c r="C87" s="10">
        <v>2009.0</v>
      </c>
      <c r="D87" s="116"/>
      <c r="E87" s="116"/>
      <c r="F87" s="116"/>
      <c r="G87" s="116"/>
      <c r="H87" s="116"/>
      <c r="I87" s="116"/>
      <c r="J87" s="116"/>
      <c r="K87" s="116"/>
      <c r="L87" s="116"/>
      <c r="M87" s="116"/>
      <c r="N87" s="116"/>
      <c r="O87" s="116"/>
      <c r="P87" s="116">
        <v>0.09764900991697267</v>
      </c>
      <c r="Q87" s="117">
        <v>16659.03</v>
      </c>
      <c r="R87" s="19"/>
      <c r="S87" s="1"/>
      <c r="T87" s="107" t="s">
        <v>771</v>
      </c>
    </row>
    <row r="88" ht="12.75" hidden="1" customHeight="1">
      <c r="A88" s="1"/>
      <c r="B88" s="20"/>
      <c r="C88" s="7"/>
      <c r="D88" s="109"/>
      <c r="E88" s="109"/>
      <c r="F88" s="109"/>
      <c r="G88" s="109"/>
      <c r="H88" s="109"/>
      <c r="I88" s="109"/>
      <c r="J88" s="109"/>
      <c r="K88" s="109"/>
      <c r="L88" s="109"/>
      <c r="M88" s="109"/>
      <c r="N88" s="109"/>
      <c r="O88" s="109"/>
      <c r="P88" s="109"/>
      <c r="Q88" s="81"/>
      <c r="R88" s="19"/>
      <c r="S88" s="1"/>
      <c r="T88" s="107"/>
    </row>
    <row r="89" ht="12.75" customHeight="1">
      <c r="A89" s="1"/>
      <c r="B89" s="20"/>
      <c r="C89" s="7"/>
      <c r="D89" s="109"/>
      <c r="E89" s="109"/>
      <c r="F89" s="109"/>
      <c r="G89" s="109"/>
      <c r="H89" s="109"/>
      <c r="I89" s="109"/>
      <c r="J89" s="109"/>
      <c r="K89" s="109"/>
      <c r="L89" s="109"/>
      <c r="M89" s="109"/>
      <c r="N89" s="109"/>
      <c r="O89" s="68"/>
      <c r="P89" s="109"/>
      <c r="Q89" s="19"/>
      <c r="R89" s="19"/>
      <c r="S89" s="1"/>
      <c r="T89" s="107"/>
    </row>
    <row r="90" ht="12.75" customHeight="1">
      <c r="A90" s="1"/>
      <c r="B90" s="143" t="s">
        <v>772</v>
      </c>
      <c r="C90" s="7"/>
      <c r="D90" s="109"/>
      <c r="E90" s="109"/>
      <c r="F90" s="109"/>
      <c r="G90" s="109"/>
      <c r="H90" s="109"/>
      <c r="I90" s="109"/>
      <c r="J90" s="109"/>
      <c r="K90" s="109"/>
      <c r="L90" s="109" t="s">
        <v>773</v>
      </c>
      <c r="M90" s="109">
        <f t="array" ref="M90">PRODUCT(1+D93:O97)^(12/COUNT(D93:O97))-1</f>
        <v>0.1414616742</v>
      </c>
      <c r="N90" s="109" t="s">
        <v>775</v>
      </c>
      <c r="O90" s="68">
        <f>M90/M91</f>
        <v>1.40336791</v>
      </c>
      <c r="P90" s="109" t="s">
        <v>710</v>
      </c>
      <c r="Q90" s="19">
        <f t="array" ref="Q90">PRODUCT(1+J97:L97)-1</f>
        <v>0.03851862679</v>
      </c>
      <c r="R90" s="19"/>
      <c r="S90" s="1"/>
      <c r="T90" s="107"/>
    </row>
    <row r="91" ht="12.75" customHeight="1">
      <c r="A91" s="1"/>
      <c r="B91" s="7"/>
      <c r="D91" s="19"/>
      <c r="E91" s="19"/>
      <c r="F91" s="19"/>
      <c r="G91" s="19"/>
      <c r="H91" s="19"/>
      <c r="I91" s="19"/>
      <c r="J91" s="19"/>
      <c r="K91" s="19"/>
      <c r="L91" s="19" t="s">
        <v>776</v>
      </c>
      <c r="M91" s="19">
        <f>STDEV(D92:O97)*SQRT(12)</f>
        <v>0.1008015597</v>
      </c>
      <c r="N91" s="19"/>
      <c r="O91" s="19"/>
      <c r="P91" s="19"/>
      <c r="Q91" s="81"/>
      <c r="R91" s="19"/>
      <c r="S91" s="1"/>
      <c r="T91" s="1"/>
    </row>
    <row r="92" ht="12.75" customHeight="1">
      <c r="A92" s="1"/>
      <c r="B92" s="100" t="s">
        <v>553</v>
      </c>
      <c r="C92" s="101" t="s">
        <v>542</v>
      </c>
      <c r="D92" s="102" t="s">
        <v>556</v>
      </c>
      <c r="E92" s="102" t="s">
        <v>557</v>
      </c>
      <c r="F92" s="102" t="s">
        <v>558</v>
      </c>
      <c r="G92" s="102" t="s">
        <v>559</v>
      </c>
      <c r="H92" s="102" t="s">
        <v>560</v>
      </c>
      <c r="I92" s="102" t="s">
        <v>561</v>
      </c>
      <c r="J92" s="102" t="s">
        <v>563</v>
      </c>
      <c r="K92" s="102" t="s">
        <v>564</v>
      </c>
      <c r="L92" s="102" t="s">
        <v>565</v>
      </c>
      <c r="M92" s="102" t="s">
        <v>566</v>
      </c>
      <c r="N92" s="102" t="s">
        <v>567</v>
      </c>
      <c r="O92" s="102" t="s">
        <v>568</v>
      </c>
      <c r="P92" s="103" t="s">
        <v>777</v>
      </c>
      <c r="Q92" s="104" t="s">
        <v>571</v>
      </c>
      <c r="R92" s="19"/>
      <c r="S92" s="1"/>
      <c r="T92" s="1"/>
    </row>
    <row r="93" ht="12.75" customHeight="1">
      <c r="A93" s="1"/>
      <c r="B93" s="144" t="s">
        <v>777</v>
      </c>
      <c r="C93" s="9">
        <f t="shared" ref="C93:C100" si="43">C9</f>
        <v>2012</v>
      </c>
      <c r="D93" s="109"/>
      <c r="E93" s="129"/>
      <c r="F93" s="109"/>
      <c r="G93" s="129" t="str">
        <f t="shared" ref="G93:O93" si="42">vlookup(date($C93,G$103,0),$B$148:$G$246,5,false)</f>
        <v/>
      </c>
      <c r="H93" s="109">
        <f t="shared" si="42"/>
        <v>-0.01617285716</v>
      </c>
      <c r="I93" s="129">
        <f t="shared" si="42"/>
        <v>0.04120252792</v>
      </c>
      <c r="J93" s="109">
        <f t="shared" si="42"/>
        <v>0.01388874539</v>
      </c>
      <c r="K93" s="109">
        <f t="shared" si="42"/>
        <v>0.02252337808</v>
      </c>
      <c r="L93" s="129">
        <f t="shared" si="42"/>
        <v>0.02584258201</v>
      </c>
      <c r="M93" s="129">
        <f t="shared" si="42"/>
        <v>-0.01846508187</v>
      </c>
      <c r="N93" s="129">
        <f t="shared" si="42"/>
        <v>0.005799392076</v>
      </c>
      <c r="O93" s="129">
        <f t="shared" si="42"/>
        <v>0.009114227615</v>
      </c>
      <c r="P93" s="109">
        <f t="array" ref="P93">PRODUCT(1+D93:O93)-1</f>
        <v>0.08531482945</v>
      </c>
      <c r="Q93" s="113"/>
      <c r="R93" s="19"/>
      <c r="S93" s="1"/>
      <c r="T93" s="1"/>
    </row>
    <row r="94" ht="12.75" customHeight="1">
      <c r="A94" s="1"/>
      <c r="B94" s="108" t="s">
        <v>777</v>
      </c>
      <c r="C94" s="7">
        <f t="shared" si="43"/>
        <v>2013</v>
      </c>
      <c r="D94" s="129">
        <f t="shared" ref="D94:O94" si="44">iferror(vlookup(date($C94,D$103,0),$B$148:$G$246,5,false),"")</f>
        <v>0.05179599993</v>
      </c>
      <c r="E94" s="129">
        <f t="shared" si="44"/>
        <v>0.01357548941</v>
      </c>
      <c r="F94" s="129">
        <f t="shared" si="44"/>
        <v>0.03750304501</v>
      </c>
      <c r="G94" s="129">
        <f t="shared" si="44"/>
        <v>0.01926675405</v>
      </c>
      <c r="H94" s="129">
        <f t="shared" si="44"/>
        <v>0.02339008749</v>
      </c>
      <c r="I94" s="129">
        <f t="shared" si="44"/>
        <v>-0.01342813174</v>
      </c>
      <c r="J94" s="129">
        <f t="shared" si="44"/>
        <v>0.05088648365</v>
      </c>
      <c r="K94" s="129">
        <f t="shared" si="44"/>
        <v>-0.02896132177</v>
      </c>
      <c r="L94" s="129">
        <f t="shared" si="44"/>
        <v>0.03135827657</v>
      </c>
      <c r="M94" s="129">
        <f t="shared" si="44"/>
        <v>0.045967295</v>
      </c>
      <c r="N94" s="129">
        <f t="shared" si="44"/>
        <v>0.03047391258</v>
      </c>
      <c r="O94" s="129">
        <f t="shared" si="44"/>
        <v>0.02531762729</v>
      </c>
      <c r="P94" s="109">
        <f t="array" ref="P94">PRODUCT(1+D94:O94)-1</f>
        <v>0.323884847</v>
      </c>
      <c r="Q94" s="113"/>
      <c r="R94" s="19"/>
      <c r="S94" s="1"/>
      <c r="T94" s="1"/>
    </row>
    <row r="95" ht="12.75" customHeight="1">
      <c r="A95" s="1"/>
      <c r="B95" s="108" t="s">
        <v>777</v>
      </c>
      <c r="C95" s="7">
        <f t="shared" si="43"/>
        <v>2014</v>
      </c>
      <c r="D95" s="129">
        <f t="shared" ref="D95:O95" si="45">iferror(vlookup(date($C95,D$103,0),$B$148:$G$246,5,false),"")</f>
        <v>-0.03457608871</v>
      </c>
      <c r="E95" s="129">
        <f t="shared" si="45"/>
        <v>0.04574577367</v>
      </c>
      <c r="F95" s="129">
        <f t="shared" si="45"/>
        <v>0.008403625517</v>
      </c>
      <c r="G95" s="129">
        <f t="shared" si="45"/>
        <v>0.00739146112</v>
      </c>
      <c r="H95" s="129">
        <f t="shared" si="45"/>
        <v>0.02347625878</v>
      </c>
      <c r="I95" s="129">
        <f t="shared" si="45"/>
        <v>0.02065629364</v>
      </c>
      <c r="J95" s="129">
        <f t="shared" si="45"/>
        <v>-0.01379152856</v>
      </c>
      <c r="K95" s="129">
        <f t="shared" si="45"/>
        <v>0.04000357941</v>
      </c>
      <c r="L95" s="129">
        <f t="shared" si="45"/>
        <v>-0.01402016202</v>
      </c>
      <c r="M95" s="129">
        <f t="shared" si="45"/>
        <v>0.02442480061</v>
      </c>
      <c r="N95" s="129">
        <f t="shared" si="45"/>
        <v>0.02689408701</v>
      </c>
      <c r="O95" s="129">
        <f t="shared" si="45"/>
        <v>-0.002519216953</v>
      </c>
      <c r="P95" s="109">
        <f t="array" ref="P95">PRODUCT(1+D95:O95)-1</f>
        <v>0.1368835836</v>
      </c>
      <c r="Q95" s="113"/>
      <c r="R95" s="19"/>
      <c r="S95" s="1"/>
      <c r="T95" s="1"/>
    </row>
    <row r="96" ht="12.75" customHeight="1">
      <c r="A96" s="1"/>
      <c r="B96" s="108" t="s">
        <v>777</v>
      </c>
      <c r="C96" s="7">
        <f t="shared" si="43"/>
        <v>2015</v>
      </c>
      <c r="D96" s="129">
        <f t="shared" ref="D96:O96" si="46">iferror(vlookup(date($C96,D$103,0),$B$148:$G$246,5,false),"")</f>
        <v>-0.0300203515</v>
      </c>
      <c r="E96" s="129">
        <f t="shared" si="46"/>
        <v>0.05747368673</v>
      </c>
      <c r="F96" s="129">
        <f t="shared" si="46"/>
        <v>-0.01581563908</v>
      </c>
      <c r="G96" s="129">
        <f t="shared" si="46"/>
        <v>0.009594590872</v>
      </c>
      <c r="H96" s="129">
        <f t="shared" si="46"/>
        <v>0.01285859748</v>
      </c>
      <c r="I96" s="129">
        <f t="shared" si="46"/>
        <v>-0.01935912379</v>
      </c>
      <c r="J96" s="129">
        <f t="shared" si="46"/>
        <v>0.02095206807</v>
      </c>
      <c r="K96" s="129">
        <f t="shared" si="46"/>
        <v>-0.06033421789</v>
      </c>
      <c r="L96" s="129">
        <f t="shared" si="46"/>
        <v>-0.02474358478</v>
      </c>
      <c r="M96" s="129">
        <f t="shared" si="46"/>
        <v>0.08435457207</v>
      </c>
      <c r="N96" s="129">
        <f t="shared" si="46"/>
        <v>0.002973140954</v>
      </c>
      <c r="O96" s="129">
        <f t="shared" si="46"/>
        <v>-0.0157719578</v>
      </c>
      <c r="P96" s="109">
        <f t="array" ref="P96">PRODUCT(1+D96:O96)-1</f>
        <v>0.01383764109</v>
      </c>
      <c r="Q96" s="113"/>
      <c r="R96" s="19"/>
      <c r="S96" s="19"/>
      <c r="T96" s="107" t="s">
        <v>782</v>
      </c>
    </row>
    <row r="97" ht="12.75" customHeight="1">
      <c r="A97" s="1"/>
      <c r="B97" s="108" t="s">
        <v>777</v>
      </c>
      <c r="C97" s="7">
        <f t="shared" si="43"/>
        <v>2016</v>
      </c>
      <c r="D97" s="129">
        <f t="shared" ref="D97:O97" si="47">iferror(vlookup(date($C97,D$103,0),$B$148:$G$246,5,false),"")</f>
        <v>-0.04962321884</v>
      </c>
      <c r="E97" s="129">
        <f t="shared" si="47"/>
        <v>-0.001349133801</v>
      </c>
      <c r="F97" s="129">
        <f t="shared" si="47"/>
        <v>0.07460587914</v>
      </c>
      <c r="G97" s="129">
        <f t="shared" si="47"/>
        <v>-0.002445056778</v>
      </c>
      <c r="H97" s="129">
        <f t="shared" si="47"/>
        <v>0.01795721851</v>
      </c>
      <c r="I97" s="129">
        <f t="shared" si="47"/>
        <v>0.002592251039</v>
      </c>
      <c r="J97" s="129">
        <f t="shared" si="47"/>
        <v>0.0368680085</v>
      </c>
      <c r="K97" s="129">
        <f t="shared" si="47"/>
        <v>0.005636151085</v>
      </c>
      <c r="L97" s="129">
        <f t="shared" si="47"/>
        <v>-0.00402155787</v>
      </c>
      <c r="M97" s="129">
        <f t="shared" si="47"/>
        <v>-0.0182404527</v>
      </c>
      <c r="N97" s="129">
        <f t="shared" si="47"/>
        <v>0.03703511465</v>
      </c>
      <c r="O97" s="129">
        <f t="shared" si="47"/>
        <v>0.01976533285</v>
      </c>
      <c r="P97" s="109">
        <f t="array" ref="P97">PRODUCT(1+D97:O97)-1</f>
        <v>0.1195990921</v>
      </c>
      <c r="Q97" s="113"/>
      <c r="R97" s="19"/>
      <c r="S97" s="1"/>
      <c r="T97" s="7" t="s">
        <v>783</v>
      </c>
    </row>
    <row r="98" ht="12.75" customHeight="1">
      <c r="A98" s="1"/>
      <c r="B98" s="108" t="s">
        <v>777</v>
      </c>
      <c r="C98" s="7">
        <f t="shared" si="43"/>
        <v>2017</v>
      </c>
      <c r="D98" s="129">
        <f t="shared" ref="D98:O98" si="48">iferror(vlookup(date($C98,D$103,0),$B$148:$G$246,5,false),"")</f>
        <v>0.0189662184</v>
      </c>
      <c r="E98" s="129">
        <f t="shared" si="48"/>
        <v>0.03970815242</v>
      </c>
      <c r="F98" s="129">
        <f t="shared" si="48"/>
        <v>0.001164809516</v>
      </c>
      <c r="G98" s="129">
        <f t="shared" si="48"/>
        <v>0.01027056923</v>
      </c>
      <c r="H98" s="129">
        <f t="shared" si="48"/>
        <v>0.01407252629</v>
      </c>
      <c r="I98" s="129">
        <f t="shared" si="48"/>
        <v>0.00624174614</v>
      </c>
      <c r="J98" s="129">
        <f t="shared" si="48"/>
        <v>0.02056276131</v>
      </c>
      <c r="K98" s="129">
        <f t="shared" si="48"/>
        <v>0.003062062263</v>
      </c>
      <c r="L98" s="129">
        <f t="shared" si="48"/>
        <v>0.02062774838</v>
      </c>
      <c r="M98" s="129">
        <f t="shared" si="48"/>
        <v>0.02333484043</v>
      </c>
      <c r="N98" s="129">
        <f t="shared" si="48"/>
        <v>0.0286243785</v>
      </c>
      <c r="O98" s="129">
        <f t="shared" si="48"/>
        <v>0.01312871583</v>
      </c>
      <c r="P98" s="109">
        <f t="array" ref="P98">PRODUCT(1+D98:O98)-1</f>
        <v>0.2183160148</v>
      </c>
      <c r="Q98" s="113"/>
      <c r="R98" s="19"/>
      <c r="S98" s="1"/>
      <c r="T98" s="72" t="s">
        <v>787</v>
      </c>
    </row>
    <row r="99" ht="12.75" customHeight="1">
      <c r="A99" s="1"/>
      <c r="B99" s="144" t="s">
        <v>777</v>
      </c>
      <c r="C99" s="7">
        <f t="shared" si="43"/>
        <v>2018</v>
      </c>
      <c r="D99" s="129">
        <f t="shared" ref="D99:O99" si="49">iferror(vlookup(date($C99,D$103,0),$B$148:$G$246,5,false),"")</f>
        <v>0.0572537389</v>
      </c>
      <c r="E99" s="129">
        <f t="shared" si="49"/>
        <v>-0.03685579029</v>
      </c>
      <c r="F99" s="129">
        <f t="shared" si="49"/>
        <v>-0.02541403782</v>
      </c>
      <c r="G99" s="129">
        <f t="shared" si="49"/>
        <v>0.003837090847</v>
      </c>
      <c r="H99" s="129">
        <f t="shared" si="49"/>
        <v>0.02408223314</v>
      </c>
      <c r="I99" s="129">
        <f t="shared" si="49"/>
        <v>0.006154453658</v>
      </c>
      <c r="J99" s="129">
        <f t="shared" si="49"/>
        <v>0.03721478724</v>
      </c>
      <c r="K99" s="129">
        <f t="shared" si="49"/>
        <v>0.03258401862</v>
      </c>
      <c r="L99" s="129">
        <f t="shared" si="49"/>
        <v>0.005692049976</v>
      </c>
      <c r="M99" s="129">
        <f t="shared" si="49"/>
        <v>-0.06835004216</v>
      </c>
      <c r="N99" s="129">
        <f t="shared" si="49"/>
        <v>0.02037809922</v>
      </c>
      <c r="O99" s="129">
        <f t="shared" si="49"/>
        <v>-0.09028985692</v>
      </c>
      <c r="P99" s="109">
        <f t="array" ref="P99">PRODUCT(1+D99:O99)-1</f>
        <v>-0.04384241745</v>
      </c>
      <c r="Q99" s="113"/>
      <c r="R99" s="19"/>
      <c r="S99" s="1"/>
      <c r="T99" s="7"/>
    </row>
    <row r="100" ht="12.75" customHeight="1">
      <c r="A100" s="1"/>
      <c r="B100" s="91" t="s">
        <v>777</v>
      </c>
      <c r="C100" s="10">
        <f t="shared" si="43"/>
        <v>2019</v>
      </c>
      <c r="D100" s="116">
        <f t="shared" ref="D100:O100" si="50">iferror(vlookup(date($C100,D$103,0),$B$148:$G$246,5,false),"")</f>
        <v>0.08013490576</v>
      </c>
      <c r="E100" s="116">
        <f t="shared" si="50"/>
        <v>0.03210844727</v>
      </c>
      <c r="F100" s="116">
        <f t="shared" si="50"/>
        <v>0.01943133165</v>
      </c>
      <c r="G100" s="116">
        <f t="shared" si="50"/>
        <v>0.04048929642</v>
      </c>
      <c r="H100" s="116">
        <f t="shared" si="50"/>
        <v>-0.06354802751</v>
      </c>
      <c r="I100" s="116">
        <f t="shared" si="50"/>
        <v>0.07047671159</v>
      </c>
      <c r="J100" s="116">
        <f t="shared" si="50"/>
        <v>0.01437312233</v>
      </c>
      <c r="K100" s="116">
        <f t="shared" si="50"/>
        <v>-0.01584136609</v>
      </c>
      <c r="L100" s="116">
        <f t="shared" si="50"/>
        <v>0.01871069796</v>
      </c>
      <c r="M100" s="116" t="str">
        <f t="shared" si="50"/>
        <v/>
      </c>
      <c r="N100" s="116" t="str">
        <f t="shared" si="50"/>
        <v/>
      </c>
      <c r="O100" s="116" t="str">
        <f t="shared" si="50"/>
        <v/>
      </c>
      <c r="P100" s="116">
        <f t="array" ref="P100">PRODUCT(1+D100:O100)-1</f>
        <v>0.2055226294</v>
      </c>
      <c r="Q100" s="117"/>
      <c r="R100" s="19"/>
      <c r="S100" s="1"/>
      <c r="T100" s="7"/>
    </row>
    <row r="101" ht="12.75" customHeight="1">
      <c r="A101" s="1"/>
      <c r="B101" s="7"/>
      <c r="D101" s="19"/>
      <c r="E101" s="19"/>
      <c r="F101" s="19"/>
      <c r="G101" s="19"/>
      <c r="H101" s="19"/>
      <c r="I101" s="19"/>
      <c r="J101" s="19"/>
      <c r="K101" s="19"/>
      <c r="L101" s="19"/>
      <c r="M101" s="19"/>
      <c r="N101" s="19"/>
      <c r="O101" s="19"/>
      <c r="P101" s="7"/>
      <c r="Q101" s="81"/>
      <c r="R101" s="19"/>
      <c r="S101" s="1"/>
      <c r="T101" s="1"/>
    </row>
    <row r="102" ht="12.75" customHeight="1">
      <c r="A102" s="1"/>
      <c r="B102" s="143" t="s">
        <v>792</v>
      </c>
      <c r="C102" s="1"/>
      <c r="D102" s="145"/>
      <c r="E102" s="145"/>
      <c r="F102" s="145"/>
      <c r="G102" s="145"/>
      <c r="H102" s="145"/>
      <c r="I102" s="145"/>
      <c r="J102" s="145"/>
      <c r="K102" s="145"/>
      <c r="L102" s="145"/>
      <c r="M102" s="145"/>
      <c r="N102" s="145"/>
      <c r="O102" s="145"/>
      <c r="P102" s="145"/>
      <c r="Q102" s="145"/>
      <c r="R102" s="19"/>
      <c r="S102" s="1"/>
      <c r="T102" s="1"/>
    </row>
    <row r="103" ht="12.75" customHeight="1">
      <c r="A103" s="1"/>
      <c r="B103" s="35" t="s">
        <v>793</v>
      </c>
      <c r="C103" s="1" t="s">
        <v>794</v>
      </c>
      <c r="D103" s="145">
        <v>2.0</v>
      </c>
      <c r="E103" s="145">
        <f t="shared" ref="E103:O103" si="51">D103+1</f>
        <v>3</v>
      </c>
      <c r="F103" s="145">
        <f t="shared" si="51"/>
        <v>4</v>
      </c>
      <c r="G103" s="145">
        <f t="shared" si="51"/>
        <v>5</v>
      </c>
      <c r="H103" s="145">
        <f t="shared" si="51"/>
        <v>6</v>
      </c>
      <c r="I103" s="145">
        <f t="shared" si="51"/>
        <v>7</v>
      </c>
      <c r="J103" s="145">
        <f t="shared" si="51"/>
        <v>8</v>
      </c>
      <c r="K103" s="145">
        <f t="shared" si="51"/>
        <v>9</v>
      </c>
      <c r="L103" s="145">
        <f t="shared" si="51"/>
        <v>10</v>
      </c>
      <c r="M103" s="145">
        <f t="shared" si="51"/>
        <v>11</v>
      </c>
      <c r="N103" s="145">
        <f t="shared" si="51"/>
        <v>12</v>
      </c>
      <c r="O103" s="145">
        <f t="shared" si="51"/>
        <v>13</v>
      </c>
      <c r="P103" s="145"/>
      <c r="Q103" s="145"/>
      <c r="R103" s="19"/>
      <c r="S103" s="1"/>
      <c r="T103" s="1"/>
    </row>
    <row r="104" ht="12.75" customHeight="1">
      <c r="A104" s="1"/>
      <c r="B104" s="100" t="s">
        <v>553</v>
      </c>
      <c r="C104" s="101" t="s">
        <v>542</v>
      </c>
      <c r="D104" s="102" t="s">
        <v>556</v>
      </c>
      <c r="E104" s="102" t="s">
        <v>557</v>
      </c>
      <c r="F104" s="102" t="s">
        <v>558</v>
      </c>
      <c r="G104" s="102" t="s">
        <v>559</v>
      </c>
      <c r="H104" s="102" t="s">
        <v>560</v>
      </c>
      <c r="I104" s="102" t="s">
        <v>561</v>
      </c>
      <c r="J104" s="102" t="s">
        <v>563</v>
      </c>
      <c r="K104" s="102" t="s">
        <v>564</v>
      </c>
      <c r="L104" s="102" t="s">
        <v>565</v>
      </c>
      <c r="M104" s="102" t="s">
        <v>566</v>
      </c>
      <c r="N104" s="102" t="s">
        <v>567</v>
      </c>
      <c r="O104" s="102" t="s">
        <v>568</v>
      </c>
      <c r="P104" s="103"/>
      <c r="Q104" s="104" t="s">
        <v>571</v>
      </c>
      <c r="R104" s="19"/>
      <c r="S104" s="1"/>
      <c r="T104" s="1"/>
    </row>
    <row r="105" ht="12.75" customHeight="1">
      <c r="A105" s="1"/>
      <c r="B105" s="146" t="s">
        <v>796</v>
      </c>
      <c r="C105" s="147">
        <v>0.0</v>
      </c>
      <c r="D105" s="147">
        <f t="shared" ref="D105:O105" si="52">IF(VLOOKUP($C$4,$C$35:$Q$43,D103,FALSE)="",NA(),(1+VLOOKUP($C$4,$C$35:$Q$43,D103,FALSE))*(1+C105)-1)</f>
        <v>0.07748149</v>
      </c>
      <c r="E105" s="147">
        <f t="shared" si="52"/>
        <v>0.0986394876</v>
      </c>
      <c r="F105" s="147">
        <f t="shared" si="52"/>
        <v>0.1366310124</v>
      </c>
      <c r="G105" s="147">
        <f t="shared" si="52"/>
        <v>0.2288772461</v>
      </c>
      <c r="H105" s="147">
        <f t="shared" si="52"/>
        <v>0.1648168706</v>
      </c>
      <c r="I105" s="147">
        <f t="shared" si="52"/>
        <v>0.2400903653</v>
      </c>
      <c r="J105" s="147">
        <f t="shared" si="52"/>
        <v>0.2752471008</v>
      </c>
      <c r="K105" s="147">
        <f t="shared" si="52"/>
        <v>0.2612896998</v>
      </c>
      <c r="L105" s="147">
        <f t="shared" si="52"/>
        <v>0.2825376005</v>
      </c>
      <c r="M105" s="147" t="str">
        <f t="shared" si="52"/>
        <v>#N/A</v>
      </c>
      <c r="N105" s="147" t="str">
        <f t="shared" si="52"/>
        <v>#N/A</v>
      </c>
      <c r="O105" s="147" t="str">
        <f t="shared" si="52"/>
        <v>#N/A</v>
      </c>
      <c r="P105" s="147"/>
      <c r="Q105" s="148" t="str">
        <f>VLOOKUP(C4,C8:Q16,15,FALSE)</f>
        <v/>
      </c>
      <c r="R105" s="19"/>
      <c r="S105" s="1"/>
      <c r="T105" s="1"/>
    </row>
    <row r="106" ht="12.75" customHeight="1">
      <c r="A106" s="1"/>
      <c r="B106" s="7" t="s">
        <v>799</v>
      </c>
      <c r="C106" s="109">
        <v>0.0</v>
      </c>
      <c r="D106" s="109">
        <f t="shared" ref="D106:O106" si="53">IF(VLOOKUP($C$4,$C$92:$Q$100,D103,FALSE)="",NA(),(1+VLOOKUP($C$4,$C$92:$Q$100,D103,FALSE))*(1+C106)-1)</f>
        <v>0.08013490576</v>
      </c>
      <c r="E106" s="109">
        <f t="shared" si="53"/>
        <v>0.1148163604</v>
      </c>
      <c r="F106" s="109">
        <f t="shared" si="53"/>
        <v>0.1364787269</v>
      </c>
      <c r="G106" s="109">
        <f t="shared" si="53"/>
        <v>0.1824939509</v>
      </c>
      <c r="H106" s="109">
        <f t="shared" si="53"/>
        <v>0.1073487928</v>
      </c>
      <c r="I106" s="109">
        <f t="shared" si="53"/>
        <v>0.1853910943</v>
      </c>
      <c r="J106" s="109">
        <f t="shared" si="53"/>
        <v>0.2024288655</v>
      </c>
      <c r="K106" s="109">
        <f t="shared" si="53"/>
        <v>0.1833807496</v>
      </c>
      <c r="L106" s="109">
        <f t="shared" si="53"/>
        <v>0.2055226294</v>
      </c>
      <c r="M106" s="109" t="str">
        <f t="shared" si="53"/>
        <v>#N/A</v>
      </c>
      <c r="N106" s="109" t="str">
        <f t="shared" si="53"/>
        <v>#N/A</v>
      </c>
      <c r="O106" s="109" t="str">
        <f t="shared" si="53"/>
        <v>#N/A</v>
      </c>
      <c r="P106" s="109"/>
      <c r="Q106" s="81"/>
      <c r="R106" s="19"/>
      <c r="S106" s="1"/>
      <c r="T106" s="1"/>
    </row>
    <row r="107" ht="12.75" customHeight="1">
      <c r="A107" s="1"/>
      <c r="B107" s="7"/>
      <c r="C107" s="109"/>
      <c r="D107" s="109"/>
      <c r="E107" s="109"/>
      <c r="F107" s="109"/>
      <c r="G107" s="109"/>
      <c r="H107" s="109"/>
      <c r="I107" s="109"/>
      <c r="J107" s="109"/>
      <c r="K107" s="109"/>
      <c r="L107" s="109"/>
      <c r="M107" s="109"/>
      <c r="N107" s="109"/>
      <c r="O107" s="109"/>
      <c r="P107" s="109"/>
      <c r="Q107" s="81"/>
      <c r="R107" s="19"/>
      <c r="S107" s="1"/>
      <c r="T107" s="1"/>
    </row>
    <row r="108" ht="12.75" customHeight="1">
      <c r="A108" s="1"/>
      <c r="C108" s="109"/>
      <c r="D108" s="109"/>
      <c r="E108" s="109"/>
      <c r="F108" s="109"/>
      <c r="G108" s="109"/>
      <c r="H108" s="109"/>
      <c r="I108" s="109"/>
      <c r="J108" s="109"/>
      <c r="K108" s="109"/>
      <c r="L108" s="109"/>
      <c r="M108" s="109"/>
      <c r="N108" s="109"/>
      <c r="O108" s="109"/>
      <c r="P108" s="109"/>
      <c r="Q108" s="81"/>
      <c r="R108" s="19"/>
      <c r="S108" s="1"/>
      <c r="T108" s="1"/>
    </row>
    <row r="109" ht="12.75" customHeight="1">
      <c r="A109" s="1"/>
      <c r="B109" s="7"/>
      <c r="C109" s="109"/>
      <c r="D109" s="109"/>
      <c r="E109" s="109"/>
      <c r="F109" s="109"/>
      <c r="G109" s="109"/>
      <c r="H109" s="109"/>
      <c r="I109" s="109"/>
      <c r="J109" s="109"/>
      <c r="K109" s="109"/>
      <c r="L109" s="109"/>
      <c r="M109" s="109"/>
      <c r="N109" s="109"/>
      <c r="O109" s="109"/>
      <c r="P109" s="109"/>
      <c r="Q109" s="81"/>
      <c r="R109" s="19"/>
      <c r="S109" s="1"/>
      <c r="T109" s="1"/>
    </row>
    <row r="110" ht="12.75" customHeight="1">
      <c r="A110" s="1"/>
      <c r="B110" s="7"/>
      <c r="D110" s="19"/>
      <c r="E110" s="19"/>
      <c r="F110" s="19"/>
      <c r="G110" s="19"/>
      <c r="H110" s="19"/>
      <c r="I110" s="19"/>
      <c r="J110" s="149"/>
      <c r="K110" s="19"/>
      <c r="L110" s="19"/>
      <c r="M110" s="19"/>
      <c r="N110" s="19"/>
      <c r="O110" s="19"/>
      <c r="P110" s="19"/>
      <c r="Q110" s="81"/>
      <c r="R110" s="19"/>
      <c r="S110" s="1"/>
      <c r="T110" s="1"/>
    </row>
    <row r="111" ht="12.75" customHeight="1">
      <c r="A111" s="1"/>
      <c r="B111" s="33" t="s">
        <v>569</v>
      </c>
      <c r="D111" s="19"/>
      <c r="E111" s="19"/>
      <c r="F111" s="19"/>
      <c r="G111" s="19"/>
      <c r="H111" s="19"/>
      <c r="I111" s="149" t="s">
        <v>802</v>
      </c>
      <c r="K111" s="19"/>
      <c r="L111" s="19"/>
      <c r="M111" s="19"/>
      <c r="N111" s="19"/>
      <c r="O111" s="19"/>
      <c r="P111" s="19"/>
      <c r="Q111" s="81"/>
      <c r="R111" s="19"/>
      <c r="S111" s="1"/>
      <c r="T111" s="1"/>
    </row>
    <row r="112" ht="12.75" customHeight="1">
      <c r="A112" s="1"/>
      <c r="B112" s="33" t="s">
        <v>803</v>
      </c>
      <c r="D112" s="19"/>
      <c r="E112" s="19"/>
      <c r="F112" s="19"/>
      <c r="G112" s="19"/>
      <c r="H112" s="19"/>
      <c r="J112" s="19"/>
      <c r="K112" s="19"/>
      <c r="L112" s="19"/>
      <c r="M112" s="19"/>
      <c r="N112" s="19"/>
      <c r="O112" s="19"/>
      <c r="P112" s="19"/>
      <c r="Q112" s="81"/>
      <c r="R112" s="19"/>
      <c r="S112" s="1"/>
      <c r="T112" s="1"/>
    </row>
    <row r="113" ht="12.75" customHeight="1">
      <c r="A113" s="1"/>
      <c r="B113" s="9" t="s">
        <v>804</v>
      </c>
      <c r="D113" s="19"/>
      <c r="E113" s="19"/>
      <c r="F113" s="19"/>
      <c r="G113" s="19"/>
      <c r="H113" s="19"/>
      <c r="J113" s="19"/>
      <c r="K113" s="19"/>
      <c r="L113" s="19"/>
      <c r="M113" s="19"/>
      <c r="N113" s="19"/>
      <c r="O113" s="19"/>
      <c r="P113" s="19"/>
      <c r="Q113" s="81"/>
      <c r="R113" s="19"/>
      <c r="S113" s="1"/>
      <c r="T113" s="1"/>
    </row>
    <row r="114" ht="12.75" customHeight="1">
      <c r="A114" s="1"/>
      <c r="B114" s="7"/>
      <c r="D114" s="19"/>
      <c r="E114" s="19"/>
      <c r="F114" s="19"/>
      <c r="G114" s="19"/>
      <c r="H114" s="19"/>
      <c r="J114" s="19"/>
      <c r="K114" s="19"/>
      <c r="L114" s="19"/>
      <c r="M114" s="19"/>
      <c r="N114" s="19"/>
      <c r="O114" s="19"/>
      <c r="P114" s="19"/>
      <c r="Q114" s="81"/>
      <c r="R114" s="19"/>
      <c r="S114" s="1"/>
      <c r="T114" s="1"/>
    </row>
    <row r="115" ht="12.75" customHeight="1">
      <c r="A115" s="1"/>
      <c r="B115" s="7"/>
      <c r="D115" s="19"/>
      <c r="E115" s="19"/>
      <c r="F115" s="19"/>
      <c r="G115" s="19"/>
      <c r="H115" s="19"/>
      <c r="I115" s="19"/>
      <c r="J115" s="19"/>
      <c r="K115" s="19"/>
      <c r="L115" s="19"/>
      <c r="M115" s="19"/>
      <c r="N115" s="19"/>
      <c r="O115" s="19"/>
      <c r="P115" s="19"/>
      <c r="Q115" s="81"/>
      <c r="R115" s="19"/>
      <c r="S115" s="1"/>
      <c r="T115" s="1"/>
    </row>
    <row r="116" ht="12.75" customHeight="1">
      <c r="A116" s="1"/>
      <c r="B116" s="1"/>
      <c r="M116" s="1"/>
      <c r="P116" s="149"/>
      <c r="Q116" s="81"/>
      <c r="R116" s="19"/>
      <c r="S116" s="1"/>
      <c r="T116" s="1"/>
    </row>
    <row r="117" ht="12.75" customHeight="1">
      <c r="A117" s="1"/>
      <c r="B117" s="1"/>
      <c r="M117" s="1"/>
      <c r="P117" s="149"/>
      <c r="Q117" s="81"/>
      <c r="R117" s="19"/>
      <c r="S117" s="1"/>
      <c r="T117" s="1"/>
    </row>
    <row r="118" ht="12.75" customHeight="1">
      <c r="A118" s="1"/>
      <c r="B118" s="1"/>
      <c r="M118" s="1"/>
      <c r="P118" s="149"/>
      <c r="Q118" s="81"/>
      <c r="R118" s="19"/>
      <c r="S118" s="1"/>
      <c r="T118" s="1"/>
    </row>
    <row r="119" ht="12.75" customHeight="1">
      <c r="A119" s="7"/>
      <c r="B119" s="7"/>
      <c r="C119" s="7"/>
      <c r="D119" s="7"/>
      <c r="E119" s="7"/>
      <c r="F119" s="7"/>
      <c r="G119" s="7"/>
      <c r="H119" s="7"/>
      <c r="I119" s="7"/>
      <c r="J119" s="7"/>
      <c r="K119" s="7"/>
      <c r="L119" s="7"/>
      <c r="M119" s="7"/>
      <c r="N119" s="7"/>
      <c r="O119" s="7"/>
      <c r="P119" s="149"/>
      <c r="Q119" s="81"/>
      <c r="R119" s="19"/>
      <c r="S119" s="7"/>
      <c r="T119" s="7"/>
      <c r="U119" s="7"/>
      <c r="V119" s="7"/>
      <c r="W119" s="7"/>
    </row>
    <row r="120" ht="12.75" customHeight="1">
      <c r="A120" s="1"/>
      <c r="B120" s="1"/>
      <c r="M120" s="1"/>
      <c r="P120" s="149"/>
      <c r="Q120" s="81"/>
      <c r="R120" s="19"/>
      <c r="S120" s="1"/>
      <c r="T120" s="1"/>
    </row>
    <row r="121" ht="12.75" customHeight="1">
      <c r="A121" s="1"/>
      <c r="B121" s="1"/>
      <c r="M121" s="1"/>
      <c r="P121" s="19"/>
      <c r="Q121" s="81"/>
      <c r="R121" s="19"/>
      <c r="S121" s="1"/>
      <c r="T121" s="1"/>
    </row>
    <row r="122" ht="12.75" customHeight="1">
      <c r="A122" s="1"/>
      <c r="B122" s="1"/>
      <c r="M122" s="1"/>
      <c r="P122" s="19"/>
      <c r="Q122" s="81"/>
      <c r="R122" s="19"/>
      <c r="S122" s="1"/>
      <c r="T122" s="1"/>
    </row>
    <row r="123" ht="12.75" customHeight="1">
      <c r="A123" s="1"/>
      <c r="B123" s="1"/>
      <c r="M123" s="1"/>
      <c r="P123" s="19"/>
      <c r="Q123" s="81"/>
      <c r="R123" s="19"/>
      <c r="S123" s="1"/>
      <c r="T123" s="1"/>
    </row>
    <row r="124" ht="12.75" customHeight="1">
      <c r="A124" s="1"/>
      <c r="B124" s="72" t="s">
        <v>802</v>
      </c>
      <c r="C124" s="7"/>
      <c r="D124" s="150"/>
      <c r="E124" s="19"/>
      <c r="F124" s="19"/>
      <c r="M124" s="1"/>
      <c r="P124" s="19"/>
      <c r="Q124" s="81"/>
      <c r="R124" s="19"/>
      <c r="S124" s="1"/>
      <c r="T124" s="1"/>
    </row>
    <row r="125" ht="12.75" customHeight="1">
      <c r="A125" s="1"/>
      <c r="B125" s="72"/>
      <c r="C125" s="7"/>
      <c r="D125" s="150"/>
      <c r="E125" s="19"/>
      <c r="F125" s="19"/>
      <c r="M125" s="1"/>
      <c r="P125" s="19"/>
      <c r="Q125" s="81"/>
      <c r="R125" s="19"/>
      <c r="S125" s="1"/>
      <c r="T125" s="1"/>
    </row>
    <row r="126" ht="12.75" customHeight="1">
      <c r="A126" s="1"/>
      <c r="B126" s="149" t="s">
        <v>803</v>
      </c>
      <c r="C126" s="7"/>
      <c r="D126" s="150"/>
      <c r="E126" s="19"/>
      <c r="F126" s="19"/>
      <c r="M126" s="1"/>
      <c r="P126" s="19"/>
      <c r="Q126" s="81"/>
      <c r="R126" s="19"/>
      <c r="S126" s="1"/>
      <c r="T126" s="1"/>
    </row>
    <row r="127" ht="12.75" customHeight="1">
      <c r="A127" s="1"/>
      <c r="B127" s="19" t="s">
        <v>805</v>
      </c>
      <c r="C127" s="7"/>
      <c r="D127" s="150"/>
      <c r="E127" s="19"/>
      <c r="F127" s="19"/>
      <c r="M127" s="1"/>
      <c r="P127" s="19"/>
      <c r="Q127" s="81"/>
      <c r="R127" s="19"/>
      <c r="S127" s="1"/>
      <c r="T127" s="1"/>
    </row>
    <row r="128" ht="12.75" customHeight="1">
      <c r="A128" s="1"/>
      <c r="B128" s="151" t="s">
        <v>804</v>
      </c>
      <c r="C128" s="7"/>
      <c r="D128" s="150"/>
      <c r="E128" s="19"/>
      <c r="F128" s="19"/>
      <c r="M128" s="1"/>
      <c r="P128" s="19"/>
      <c r="Q128" s="81"/>
      <c r="R128" s="19"/>
      <c r="S128" s="1"/>
      <c r="T128" s="1"/>
    </row>
    <row r="129" ht="12.75" customHeight="1">
      <c r="A129" s="1"/>
      <c r="B129" s="35"/>
      <c r="C129" s="7"/>
      <c r="D129" s="150"/>
      <c r="E129" s="19"/>
      <c r="F129" s="19"/>
      <c r="M129" s="1"/>
      <c r="P129" s="19"/>
      <c r="Q129" s="81"/>
      <c r="R129" s="19"/>
      <c r="S129" s="1"/>
      <c r="T129" s="1"/>
    </row>
    <row r="130" ht="12.75" customHeight="1">
      <c r="A130" s="1"/>
      <c r="B130" s="35"/>
      <c r="C130" s="7"/>
      <c r="D130" s="150"/>
      <c r="E130" s="19"/>
      <c r="F130" s="19"/>
      <c r="M130" s="1"/>
      <c r="P130" s="19"/>
      <c r="Q130" s="81"/>
      <c r="R130" s="19"/>
      <c r="S130" s="1"/>
      <c r="T130" s="1"/>
    </row>
    <row r="131" ht="12.75" customHeight="1">
      <c r="A131" s="1"/>
      <c r="B131" s="35"/>
      <c r="C131" s="7"/>
      <c r="D131" s="150"/>
      <c r="E131" s="19"/>
      <c r="F131" s="19"/>
      <c r="M131" s="1"/>
      <c r="P131" s="19"/>
      <c r="Q131" s="81"/>
      <c r="R131" s="19"/>
      <c r="S131" s="1"/>
      <c r="T131" s="1"/>
    </row>
    <row r="132" ht="12.75" customHeight="1">
      <c r="A132" s="1"/>
      <c r="B132" s="35"/>
      <c r="C132" s="7"/>
      <c r="D132" s="150"/>
      <c r="E132" s="19"/>
      <c r="F132" s="19"/>
      <c r="M132" s="1"/>
      <c r="P132" s="19"/>
      <c r="Q132" s="81"/>
      <c r="R132" s="19"/>
      <c r="S132" s="1"/>
      <c r="T132" s="1"/>
    </row>
    <row r="133" ht="12.75" customHeight="1">
      <c r="A133" s="1"/>
      <c r="B133" s="35"/>
      <c r="C133" s="7"/>
      <c r="D133" s="150"/>
      <c r="E133" s="19"/>
      <c r="F133" s="19"/>
      <c r="M133" s="1"/>
      <c r="P133" s="19"/>
      <c r="Q133" s="81"/>
      <c r="R133" s="19"/>
      <c r="S133" s="1"/>
      <c r="T133" s="1"/>
    </row>
    <row r="134" ht="12.75" customHeight="1">
      <c r="A134" s="1"/>
      <c r="B134" s="35"/>
      <c r="C134" s="7"/>
      <c r="D134" s="150"/>
      <c r="E134" s="19"/>
      <c r="F134" s="19"/>
      <c r="M134" s="1"/>
      <c r="P134" s="19"/>
      <c r="Q134" s="81"/>
      <c r="R134" s="19"/>
      <c r="S134" s="1"/>
      <c r="T134" s="1"/>
    </row>
    <row r="135" ht="12.75" customHeight="1">
      <c r="A135" s="1"/>
      <c r="B135" s="35"/>
      <c r="C135" s="7"/>
      <c r="D135" s="150"/>
      <c r="E135" s="19"/>
      <c r="F135" s="19"/>
      <c r="M135" s="1"/>
      <c r="P135" s="19"/>
      <c r="Q135" s="81"/>
      <c r="R135" s="19"/>
      <c r="S135" s="1"/>
      <c r="T135" s="1"/>
    </row>
    <row r="136" ht="12.75" customHeight="1">
      <c r="A136" s="1"/>
      <c r="B136" s="35"/>
      <c r="C136" s="7"/>
      <c r="D136" s="150"/>
      <c r="E136" s="19"/>
      <c r="F136" s="19"/>
      <c r="M136" s="1"/>
      <c r="P136" s="19"/>
      <c r="Q136" s="81"/>
      <c r="R136" s="19"/>
      <c r="S136" s="1"/>
      <c r="T136" s="1"/>
    </row>
    <row r="137" ht="12.75" customHeight="1">
      <c r="A137" s="1"/>
      <c r="B137" s="35"/>
      <c r="C137" s="7"/>
      <c r="D137" s="150"/>
      <c r="E137" s="19"/>
      <c r="F137" s="19"/>
      <c r="M137" s="1"/>
      <c r="P137" s="19"/>
      <c r="Q137" s="81"/>
      <c r="R137" s="19"/>
      <c r="S137" s="1"/>
      <c r="T137" s="1"/>
    </row>
    <row r="138" ht="12.75" customHeight="1">
      <c r="A138" s="1"/>
      <c r="B138" s="35"/>
      <c r="C138" s="7"/>
      <c r="D138" s="150"/>
      <c r="E138" s="19"/>
      <c r="F138" s="19"/>
      <c r="M138" s="1"/>
      <c r="P138" s="19"/>
      <c r="Q138" s="81"/>
      <c r="R138" s="19"/>
      <c r="S138" s="1"/>
      <c r="T138" s="1"/>
    </row>
    <row r="139" ht="12.75" customHeight="1">
      <c r="A139" s="1"/>
      <c r="B139" s="35"/>
      <c r="C139" s="7"/>
      <c r="D139" s="150"/>
      <c r="E139" s="19"/>
      <c r="F139" s="19"/>
      <c r="M139" s="1"/>
      <c r="P139" s="19"/>
      <c r="Q139" s="81"/>
      <c r="R139" s="19"/>
      <c r="S139" s="1"/>
      <c r="T139" s="1"/>
    </row>
    <row r="140" ht="12.75" customHeight="1">
      <c r="A140" s="1"/>
      <c r="B140" s="35"/>
      <c r="C140" s="7"/>
      <c r="D140" s="150"/>
      <c r="E140" s="19"/>
      <c r="F140" s="19"/>
      <c r="M140" s="1"/>
      <c r="P140" s="19"/>
      <c r="Q140" s="81"/>
      <c r="R140" s="19"/>
      <c r="S140" s="1"/>
      <c r="T140" s="1"/>
    </row>
    <row r="141" ht="12.75" customHeight="1">
      <c r="A141" s="1"/>
      <c r="B141" s="35"/>
      <c r="C141" s="7"/>
      <c r="D141" s="150"/>
      <c r="E141" s="19"/>
      <c r="F141" s="19"/>
      <c r="M141" s="1"/>
      <c r="P141" s="19"/>
      <c r="Q141" s="81"/>
      <c r="R141" s="19"/>
      <c r="S141" s="1"/>
      <c r="T141" s="1"/>
    </row>
    <row r="142" ht="12.75" customHeight="1">
      <c r="A142" s="1"/>
      <c r="B142" s="35"/>
      <c r="C142" s="7"/>
      <c r="D142" s="150"/>
      <c r="E142" s="19"/>
      <c r="F142" s="19"/>
      <c r="M142" s="1"/>
      <c r="P142" s="19"/>
      <c r="Q142" s="81"/>
      <c r="R142" s="19"/>
      <c r="S142" s="1"/>
      <c r="T142" s="1"/>
    </row>
    <row r="143" ht="12.75" customHeight="1">
      <c r="A143" s="1"/>
      <c r="B143" s="35"/>
      <c r="C143" s="7"/>
      <c r="D143" s="150"/>
      <c r="E143" s="19"/>
      <c r="F143" s="19"/>
      <c r="M143" s="1"/>
      <c r="P143" s="19"/>
      <c r="Q143" s="81"/>
      <c r="R143" s="19"/>
      <c r="S143" s="1"/>
      <c r="T143" s="1"/>
    </row>
    <row r="144" ht="12.75" customHeight="1">
      <c r="A144" s="1"/>
      <c r="B144" s="35"/>
      <c r="C144" s="7"/>
      <c r="D144" s="150"/>
      <c r="E144" s="19"/>
      <c r="F144" s="19"/>
      <c r="M144" s="1"/>
      <c r="P144" s="19"/>
      <c r="Q144" s="81"/>
      <c r="R144" s="19"/>
      <c r="S144" s="1"/>
      <c r="T144" s="1"/>
    </row>
    <row r="145" ht="12.75" customHeight="1">
      <c r="A145" s="1"/>
      <c r="B145" s="35"/>
      <c r="C145" s="7"/>
      <c r="D145" s="150"/>
      <c r="E145" s="19"/>
      <c r="F145" s="19"/>
      <c r="M145" s="1"/>
      <c r="P145" s="19"/>
      <c r="Q145" s="81"/>
      <c r="R145" s="19"/>
      <c r="S145" s="1"/>
      <c r="T145" s="1"/>
    </row>
    <row r="146" ht="12.75" customHeight="1">
      <c r="A146" s="1"/>
      <c r="B146" s="35" t="s">
        <v>806</v>
      </c>
      <c r="C146" s="7" t="s">
        <v>807</v>
      </c>
      <c r="D146" s="150">
        <v>1.0</v>
      </c>
      <c r="E146" s="19"/>
      <c r="F146" s="19"/>
      <c r="M146" s="1"/>
      <c r="P146" s="19"/>
      <c r="Q146" s="81"/>
      <c r="R146" s="19"/>
      <c r="S146" s="1"/>
      <c r="T146" s="1"/>
    </row>
    <row r="147" ht="12.75" customHeight="1">
      <c r="A147" s="1"/>
      <c r="B147" s="7" t="s">
        <v>808</v>
      </c>
      <c r="C147" s="7"/>
      <c r="D147" s="152"/>
      <c r="E147" s="19"/>
      <c r="F147" s="19"/>
      <c r="M147" s="1"/>
      <c r="P147" s="19"/>
      <c r="Q147" s="81"/>
      <c r="R147" s="19"/>
      <c r="S147" s="1"/>
      <c r="T147" s="1"/>
    </row>
    <row r="148" ht="12.75" customHeight="1">
      <c r="A148" s="1"/>
      <c r="B148" s="153" t="s">
        <v>542</v>
      </c>
      <c r="C148" s="154" t="s">
        <v>809</v>
      </c>
      <c r="D148" s="155" t="s">
        <v>809</v>
      </c>
      <c r="E148" s="154"/>
      <c r="F148" s="156" t="s">
        <v>799</v>
      </c>
      <c r="G148" s="156" t="s">
        <v>799</v>
      </c>
      <c r="H148" s="157"/>
      <c r="M148" s="1"/>
      <c r="P148" s="19"/>
      <c r="Q148" s="81"/>
      <c r="R148" s="19"/>
      <c r="S148" s="1"/>
      <c r="T148" s="1"/>
    </row>
    <row r="149" ht="12.75" customHeight="1">
      <c r="A149" s="1"/>
      <c r="B149" s="5"/>
      <c r="C149" s="7"/>
      <c r="D149" s="7"/>
      <c r="E149" s="7"/>
      <c r="F149" s="19"/>
      <c r="G149" s="19"/>
      <c r="H149" s="158"/>
      <c r="K149" s="94" t="s">
        <v>811</v>
      </c>
      <c r="M149" s="1"/>
      <c r="P149" s="19"/>
      <c r="Q149" s="81"/>
      <c r="R149" s="19"/>
      <c r="S149" s="1"/>
      <c r="T149" s="1"/>
    </row>
    <row r="150" ht="12.75" customHeight="1">
      <c r="A150" s="1"/>
      <c r="B150" s="159"/>
      <c r="C150" s="19"/>
      <c r="D150" s="19"/>
      <c r="E150" s="7"/>
      <c r="F150" s="19"/>
      <c r="G150" s="19"/>
      <c r="H150" s="158"/>
      <c r="J150" s="160" t="s">
        <v>3</v>
      </c>
      <c r="K150" s="160" t="s">
        <v>812</v>
      </c>
      <c r="L150" s="94" t="s">
        <v>813</v>
      </c>
      <c r="M150" s="32" t="s">
        <v>814</v>
      </c>
      <c r="P150" s="19"/>
      <c r="Q150" s="81"/>
      <c r="R150" s="19"/>
      <c r="S150" s="1"/>
      <c r="T150" s="1"/>
    </row>
    <row r="151" ht="12.75" customHeight="1">
      <c r="A151" s="1"/>
      <c r="B151" s="159">
        <v>41029.0</v>
      </c>
      <c r="C151" s="19"/>
      <c r="D151" s="19">
        <v>0.0</v>
      </c>
      <c r="E151" s="7"/>
      <c r="F151" s="19"/>
      <c r="G151" s="19">
        <v>0.0</v>
      </c>
      <c r="H151" s="158"/>
      <c r="J151" s="161">
        <v>41058.0</v>
      </c>
      <c r="K151" s="162">
        <v>2307.57</v>
      </c>
      <c r="L151" s="160"/>
      <c r="M151" s="160"/>
      <c r="N151" s="160"/>
      <c r="P151" s="19"/>
      <c r="Q151" s="81"/>
      <c r="R151" s="19"/>
      <c r="S151" s="1"/>
      <c r="T151" s="1"/>
    </row>
    <row r="152" ht="12.75" customHeight="1">
      <c r="A152" s="1"/>
      <c r="B152" s="159">
        <f t="shared" ref="B152:B240" si="54">DATE(YEAR(B151+1),MONTH(B151+1)+1,DAY(B151+1))-1</f>
        <v>41060</v>
      </c>
      <c r="C152" s="129">
        <f t="shared" ref="C152:C240" si="55">vlookup(year($B152),$C$35:$O$43,month($B152)+1,false)</f>
        <v>-0.001022357143</v>
      </c>
      <c r="D152" s="19">
        <f t="shared" ref="D152:D240" si="56">(1+D151)*(1+C152)-1</f>
        <v>-0.001022357143</v>
      </c>
      <c r="E152" s="7"/>
      <c r="F152" s="129">
        <f t="shared" ref="F152:F240" si="57">L152</f>
        <v>-0.01617285716</v>
      </c>
      <c r="G152" s="19">
        <f t="shared" ref="G152:G240" si="58">(1+G151)*(1+F152)-1</f>
        <v>-0.01617285716</v>
      </c>
      <c r="H152" s="158"/>
      <c r="J152" s="161">
        <f t="shared" ref="J152:J240" si="59">B152</f>
        <v>41060</v>
      </c>
      <c r="K152" s="163">
        <v>2270.25</v>
      </c>
      <c r="L152" s="164">
        <f t="shared" ref="L152:L240" si="60">K152/K151-1</f>
        <v>-0.01617285716</v>
      </c>
      <c r="M152" s="164">
        <f t="shared" ref="M152:M240" si="61">K152/$K$151-1</f>
        <v>-0.01617285716</v>
      </c>
      <c r="N152" s="165"/>
      <c r="O152" s="165"/>
      <c r="P152" s="19"/>
      <c r="Q152" s="81"/>
      <c r="R152" s="19"/>
      <c r="S152" s="1"/>
      <c r="T152" s="1"/>
    </row>
    <row r="153" ht="12.75" customHeight="1">
      <c r="A153" s="1"/>
      <c r="B153" s="159">
        <f t="shared" si="54"/>
        <v>41090</v>
      </c>
      <c r="C153" s="129">
        <f t="shared" si="55"/>
        <v>0.03504318379</v>
      </c>
      <c r="D153" s="19">
        <f t="shared" si="56"/>
        <v>0.033985</v>
      </c>
      <c r="E153" s="7"/>
      <c r="F153" s="129">
        <f t="shared" si="57"/>
        <v>0.04120252792</v>
      </c>
      <c r="G153" s="19">
        <f t="shared" si="58"/>
        <v>0.02436330816</v>
      </c>
      <c r="H153" s="158"/>
      <c r="J153" s="161">
        <f t="shared" si="59"/>
        <v>41090</v>
      </c>
      <c r="K153" s="163">
        <v>2363.790039</v>
      </c>
      <c r="L153" s="164">
        <f t="shared" si="60"/>
        <v>0.04120252792</v>
      </c>
      <c r="M153" s="164">
        <f t="shared" si="61"/>
        <v>0.02436330816</v>
      </c>
      <c r="N153" s="165"/>
      <c r="O153" s="165"/>
      <c r="P153" s="19"/>
      <c r="Q153" s="81"/>
      <c r="R153" s="19"/>
      <c r="S153" s="1"/>
      <c r="T153" s="1"/>
    </row>
    <row r="154" ht="12.75" customHeight="1">
      <c r="A154" s="1"/>
      <c r="B154" s="159">
        <f t="shared" si="54"/>
        <v>41121</v>
      </c>
      <c r="C154" s="129">
        <f t="shared" si="55"/>
        <v>0.03847458412</v>
      </c>
      <c r="D154" s="19">
        <f t="shared" si="56"/>
        <v>0.07376714286</v>
      </c>
      <c r="E154" s="7"/>
      <c r="F154" s="129">
        <f t="shared" si="57"/>
        <v>0.01388874539</v>
      </c>
      <c r="G154" s="19">
        <f t="shared" si="58"/>
        <v>0.03859042933</v>
      </c>
      <c r="H154" s="158"/>
      <c r="J154" s="161">
        <f t="shared" si="59"/>
        <v>41121</v>
      </c>
      <c r="K154" s="163">
        <v>2396.620117</v>
      </c>
      <c r="L154" s="164">
        <f t="shared" si="60"/>
        <v>0.01388874539</v>
      </c>
      <c r="M154" s="164">
        <f t="shared" si="61"/>
        <v>0.03859042933</v>
      </c>
      <c r="N154" s="165"/>
      <c r="O154" s="165"/>
      <c r="P154" s="19"/>
      <c r="Q154" s="81"/>
      <c r="R154" s="19"/>
      <c r="S154" s="1"/>
      <c r="T154" s="1"/>
    </row>
    <row r="155" ht="12.75" customHeight="1">
      <c r="A155" s="1"/>
      <c r="B155" s="159">
        <f t="shared" si="54"/>
        <v>41152</v>
      </c>
      <c r="C155" s="129">
        <f t="shared" si="55"/>
        <v>0.08504131649</v>
      </c>
      <c r="D155" s="19">
        <f t="shared" si="56"/>
        <v>0.1650817143</v>
      </c>
      <c r="E155" s="7"/>
      <c r="F155" s="129">
        <f t="shared" si="57"/>
        <v>0.02252337808</v>
      </c>
      <c r="G155" s="19">
        <f t="shared" si="58"/>
        <v>0.06198299423</v>
      </c>
      <c r="H155" s="158"/>
      <c r="J155" s="161">
        <f t="shared" si="59"/>
        <v>41152</v>
      </c>
      <c r="K155" s="163">
        <v>2450.600098</v>
      </c>
      <c r="L155" s="164">
        <f t="shared" si="60"/>
        <v>0.02252337808</v>
      </c>
      <c r="M155" s="164">
        <f t="shared" si="61"/>
        <v>0.06198299423</v>
      </c>
      <c r="N155" s="165"/>
      <c r="O155" s="165"/>
      <c r="P155" s="19"/>
      <c r="Q155" s="81"/>
      <c r="R155" s="19"/>
      <c r="S155" s="1"/>
      <c r="T155" s="1"/>
    </row>
    <row r="156" ht="12.75" customHeight="1">
      <c r="A156" s="1"/>
      <c r="B156" s="159">
        <f t="shared" si="54"/>
        <v>41182</v>
      </c>
      <c r="C156" s="129">
        <f t="shared" si="55"/>
        <v>-0.01660838944</v>
      </c>
      <c r="D156" s="19">
        <f t="shared" si="56"/>
        <v>0.1457315835</v>
      </c>
      <c r="E156" s="7"/>
      <c r="F156" s="129">
        <f t="shared" si="57"/>
        <v>0.02584258201</v>
      </c>
      <c r="G156" s="19">
        <f t="shared" si="58"/>
        <v>0.08942737685</v>
      </c>
      <c r="H156" s="158"/>
      <c r="J156" s="161">
        <f t="shared" si="59"/>
        <v>41182</v>
      </c>
      <c r="K156" s="163">
        <v>2513.929932</v>
      </c>
      <c r="L156" s="164">
        <f t="shared" si="60"/>
        <v>0.02584258201</v>
      </c>
      <c r="M156" s="164">
        <f t="shared" si="61"/>
        <v>0.08942737685</v>
      </c>
      <c r="N156" s="165"/>
      <c r="O156" s="165"/>
      <c r="P156" s="19"/>
      <c r="Q156" s="81"/>
      <c r="R156" s="19"/>
      <c r="S156" s="1"/>
      <c r="T156" s="1"/>
    </row>
    <row r="157" ht="12.75" customHeight="1">
      <c r="A157" s="1"/>
      <c r="B157" s="159">
        <f t="shared" si="54"/>
        <v>41213</v>
      </c>
      <c r="C157" s="129">
        <f t="shared" si="55"/>
        <v>0.02987806955</v>
      </c>
      <c r="D157" s="19">
        <f t="shared" si="56"/>
        <v>0.1799638314</v>
      </c>
      <c r="E157" s="7"/>
      <c r="F157" s="129">
        <f t="shared" si="57"/>
        <v>-0.01846508187</v>
      </c>
      <c r="G157" s="19">
        <f t="shared" si="58"/>
        <v>0.06931101115</v>
      </c>
      <c r="H157" s="158"/>
      <c r="J157" s="161">
        <f t="shared" si="59"/>
        <v>41213</v>
      </c>
      <c r="K157" s="163">
        <v>2467.51001</v>
      </c>
      <c r="L157" s="164">
        <f t="shared" si="60"/>
        <v>-0.01846508187</v>
      </c>
      <c r="M157" s="164">
        <f t="shared" si="61"/>
        <v>0.06931101115</v>
      </c>
      <c r="N157" s="165"/>
      <c r="O157" s="165"/>
      <c r="P157" s="19"/>
      <c r="Q157" s="81"/>
      <c r="R157" s="19"/>
      <c r="S157" s="1"/>
      <c r="T157" s="1"/>
    </row>
    <row r="158" ht="12.75" customHeight="1">
      <c r="A158" s="1"/>
      <c r="B158" s="159">
        <f t="shared" si="54"/>
        <v>41243</v>
      </c>
      <c r="C158" s="129">
        <f t="shared" si="55"/>
        <v>-0.01467272802</v>
      </c>
      <c r="D158" s="19">
        <f t="shared" si="56"/>
        <v>0.162650543</v>
      </c>
      <c r="E158" s="7"/>
      <c r="F158" s="129">
        <f t="shared" si="57"/>
        <v>0.005799392076</v>
      </c>
      <c r="G158" s="19">
        <f t="shared" si="58"/>
        <v>0.07551236496</v>
      </c>
      <c r="H158" s="158"/>
      <c r="J158" s="161">
        <f t="shared" si="59"/>
        <v>41243</v>
      </c>
      <c r="K158" s="163">
        <v>2481.820068</v>
      </c>
      <c r="L158" s="164">
        <f t="shared" si="60"/>
        <v>0.005799392076</v>
      </c>
      <c r="M158" s="164">
        <f t="shared" si="61"/>
        <v>0.07551236496</v>
      </c>
      <c r="N158" s="165"/>
      <c r="O158" s="165"/>
      <c r="P158" s="19"/>
      <c r="Q158" s="81"/>
      <c r="R158" s="19"/>
      <c r="S158" s="1"/>
      <c r="T158" s="1"/>
    </row>
    <row r="159" ht="12.75" customHeight="1">
      <c r="A159" s="1"/>
      <c r="B159" s="159">
        <f t="shared" si="54"/>
        <v>41274</v>
      </c>
      <c r="C159" s="129">
        <f t="shared" si="55"/>
        <v>-0.02613868404</v>
      </c>
      <c r="D159" s="19">
        <f t="shared" si="56"/>
        <v>0.1322603878</v>
      </c>
      <c r="E159" s="7"/>
      <c r="F159" s="129">
        <f t="shared" si="57"/>
        <v>0.009114227615</v>
      </c>
      <c r="G159" s="19">
        <f t="shared" si="58"/>
        <v>0.08531482945</v>
      </c>
      <c r="H159" s="158"/>
      <c r="J159" s="161">
        <f t="shared" si="59"/>
        <v>41274</v>
      </c>
      <c r="K159" s="163">
        <v>2504.439941</v>
      </c>
      <c r="L159" s="164">
        <f t="shared" si="60"/>
        <v>0.009114227615</v>
      </c>
      <c r="M159" s="164">
        <f t="shared" si="61"/>
        <v>0.08531482945</v>
      </c>
      <c r="N159" s="165"/>
      <c r="O159" s="165"/>
      <c r="P159" s="19"/>
      <c r="Q159" s="81"/>
      <c r="R159" s="19"/>
      <c r="S159" s="1"/>
      <c r="T159" s="1"/>
    </row>
    <row r="160" ht="12.75" customHeight="1">
      <c r="A160" s="1"/>
      <c r="B160" s="159">
        <f t="shared" si="54"/>
        <v>41305</v>
      </c>
      <c r="C160" s="129">
        <f t="shared" si="55"/>
        <v>0.04638550487</v>
      </c>
      <c r="D160" s="19">
        <f t="shared" si="56"/>
        <v>0.1847808576</v>
      </c>
      <c r="E160" s="7"/>
      <c r="F160" s="129">
        <f t="shared" si="57"/>
        <v>0.05179599993</v>
      </c>
      <c r="G160" s="19">
        <f t="shared" si="58"/>
        <v>0.1415297963</v>
      </c>
      <c r="H160" s="158"/>
      <c r="J160" s="161">
        <f t="shared" si="59"/>
        <v>41305</v>
      </c>
      <c r="K160" s="163">
        <v>2634.159912</v>
      </c>
      <c r="L160" s="164">
        <f t="shared" si="60"/>
        <v>0.05179599993</v>
      </c>
      <c r="M160" s="164">
        <f t="shared" si="61"/>
        <v>0.1415297963</v>
      </c>
      <c r="N160" s="165"/>
      <c r="O160" s="165"/>
      <c r="P160" s="19"/>
      <c r="Q160" s="81"/>
      <c r="R160" s="19"/>
      <c r="S160" s="1"/>
      <c r="T160" s="1"/>
    </row>
    <row r="161" ht="12.75" customHeight="1">
      <c r="A161" s="1"/>
      <c r="B161" s="159">
        <f t="shared" si="54"/>
        <v>41333</v>
      </c>
      <c r="C161" s="129">
        <f t="shared" si="55"/>
        <v>0.01738823204</v>
      </c>
      <c r="D161" s="19">
        <f t="shared" si="56"/>
        <v>0.205382102</v>
      </c>
      <c r="E161" s="7"/>
      <c r="F161" s="129">
        <f t="shared" si="57"/>
        <v>0.01357548941</v>
      </c>
      <c r="G161" s="19">
        <f t="shared" si="58"/>
        <v>0.1570266219</v>
      </c>
      <c r="H161" s="158"/>
      <c r="J161" s="161">
        <f t="shared" si="59"/>
        <v>41333</v>
      </c>
      <c r="K161" s="163">
        <v>2669.919922</v>
      </c>
      <c r="L161" s="164">
        <f t="shared" si="60"/>
        <v>0.01357548941</v>
      </c>
      <c r="M161" s="164">
        <f t="shared" si="61"/>
        <v>0.1570266219</v>
      </c>
      <c r="N161" s="165"/>
      <c r="O161" s="165"/>
      <c r="P161" s="19"/>
      <c r="Q161" s="81"/>
      <c r="R161" s="19"/>
      <c r="S161" s="1"/>
      <c r="T161" s="1"/>
    </row>
    <row r="162" ht="12.75" customHeight="1">
      <c r="A162" s="1"/>
      <c r="B162" s="159">
        <f t="shared" si="54"/>
        <v>41364</v>
      </c>
      <c r="C162" s="129">
        <f t="shared" si="55"/>
        <v>0.07558214385</v>
      </c>
      <c r="D162" s="19">
        <f t="shared" si="56"/>
        <v>0.2964874655</v>
      </c>
      <c r="E162" s="7"/>
      <c r="F162" s="129">
        <f t="shared" si="57"/>
        <v>0.03750304501</v>
      </c>
      <c r="G162" s="19">
        <f t="shared" si="58"/>
        <v>0.2004186434</v>
      </c>
      <c r="H162" s="158"/>
      <c r="J162" s="161">
        <f t="shared" si="59"/>
        <v>41364</v>
      </c>
      <c r="K162" s="163">
        <v>2770.050049</v>
      </c>
      <c r="L162" s="164">
        <f t="shared" si="60"/>
        <v>0.03750304501</v>
      </c>
      <c r="M162" s="164">
        <f t="shared" si="61"/>
        <v>0.2004186434</v>
      </c>
      <c r="N162" s="165"/>
      <c r="O162" s="165"/>
      <c r="P162" s="19"/>
      <c r="Q162" s="81"/>
      <c r="R162" s="19"/>
      <c r="S162" s="1"/>
      <c r="T162" s="1"/>
    </row>
    <row r="163" ht="12.75" customHeight="1">
      <c r="A163" s="1"/>
      <c r="B163" s="159">
        <f t="shared" si="54"/>
        <v>41394</v>
      </c>
      <c r="C163" s="129">
        <f t="shared" si="55"/>
        <v>-0.02825516802</v>
      </c>
      <c r="D163" s="19">
        <f t="shared" si="56"/>
        <v>0.2598549943</v>
      </c>
      <c r="E163" s="7"/>
      <c r="F163" s="129">
        <f t="shared" si="57"/>
        <v>0.01926675405</v>
      </c>
      <c r="G163" s="19">
        <f t="shared" si="58"/>
        <v>0.2235468142</v>
      </c>
      <c r="H163" s="158"/>
      <c r="J163" s="161">
        <f t="shared" si="59"/>
        <v>41394</v>
      </c>
      <c r="K163" s="163">
        <v>2823.419922</v>
      </c>
      <c r="L163" s="164">
        <f t="shared" si="60"/>
        <v>0.01926675405</v>
      </c>
      <c r="M163" s="164">
        <f t="shared" si="61"/>
        <v>0.2235468142</v>
      </c>
      <c r="N163" s="165"/>
      <c r="O163" s="165"/>
      <c r="P163" s="19"/>
      <c r="Q163" s="81"/>
      <c r="R163" s="19"/>
      <c r="S163" s="1"/>
      <c r="T163" s="1"/>
    </row>
    <row r="164" ht="12.75" customHeight="1">
      <c r="A164" s="1"/>
      <c r="B164" s="159">
        <f t="shared" si="54"/>
        <v>41425</v>
      </c>
      <c r="C164" s="129">
        <f t="shared" si="55"/>
        <v>0.0668587526</v>
      </c>
      <c r="D164" s="19">
        <f t="shared" si="56"/>
        <v>0.3440873277</v>
      </c>
      <c r="E164" s="7"/>
      <c r="F164" s="129">
        <f t="shared" si="57"/>
        <v>0.02339008749</v>
      </c>
      <c r="G164" s="19">
        <f t="shared" si="58"/>
        <v>0.2521656812</v>
      </c>
      <c r="H164" s="158"/>
      <c r="J164" s="161">
        <f t="shared" si="59"/>
        <v>41425</v>
      </c>
      <c r="K164" s="163">
        <v>2889.459961</v>
      </c>
      <c r="L164" s="164">
        <f t="shared" si="60"/>
        <v>0.02339008749</v>
      </c>
      <c r="M164" s="164">
        <f t="shared" si="61"/>
        <v>0.2521656812</v>
      </c>
      <c r="N164" s="165"/>
      <c r="O164" s="165"/>
      <c r="P164" s="19"/>
      <c r="Q164" s="81"/>
      <c r="R164" s="19"/>
      <c r="S164" s="1"/>
      <c r="T164" s="1"/>
    </row>
    <row r="165" ht="12.75" customHeight="1">
      <c r="A165" s="1"/>
      <c r="B165" s="159">
        <f t="shared" si="54"/>
        <v>41455</v>
      </c>
      <c r="C165" s="129">
        <f t="shared" si="55"/>
        <v>0.002255956633</v>
      </c>
      <c r="D165" s="19">
        <f t="shared" si="56"/>
        <v>0.3471195304</v>
      </c>
      <c r="E165" s="7"/>
      <c r="F165" s="129">
        <f t="shared" si="57"/>
        <v>-0.01342813174</v>
      </c>
      <c r="G165" s="19">
        <f t="shared" si="58"/>
        <v>0.2353514355</v>
      </c>
      <c r="H165" s="158"/>
      <c r="J165" s="161">
        <f t="shared" si="59"/>
        <v>41455</v>
      </c>
      <c r="K165" s="163">
        <v>2850.659912</v>
      </c>
      <c r="L165" s="164">
        <f t="shared" si="60"/>
        <v>-0.01342813174</v>
      </c>
      <c r="M165" s="164">
        <f t="shared" si="61"/>
        <v>0.2353514355</v>
      </c>
      <c r="N165" s="165"/>
      <c r="O165" s="165"/>
      <c r="P165" s="19"/>
      <c r="Q165" s="81"/>
      <c r="R165" s="19"/>
      <c r="S165" s="1"/>
      <c r="T165" s="1"/>
    </row>
    <row r="166" ht="12.75" customHeight="1">
      <c r="A166" s="1"/>
      <c r="B166" s="159">
        <f t="shared" si="54"/>
        <v>41486</v>
      </c>
      <c r="C166" s="129">
        <f t="shared" si="55"/>
        <v>0.01949337311</v>
      </c>
      <c r="D166" s="19">
        <f t="shared" si="56"/>
        <v>0.373379434</v>
      </c>
      <c r="E166" s="7"/>
      <c r="F166" s="129">
        <f t="shared" si="57"/>
        <v>0.05088648365</v>
      </c>
      <c r="G166" s="19">
        <f t="shared" si="58"/>
        <v>0.2982141261</v>
      </c>
      <c r="H166" s="158"/>
      <c r="J166" s="161">
        <f t="shared" si="59"/>
        <v>41486</v>
      </c>
      <c r="K166" s="163">
        <v>2995.719971</v>
      </c>
      <c r="L166" s="164">
        <f t="shared" si="60"/>
        <v>0.05088648365</v>
      </c>
      <c r="M166" s="164">
        <f t="shared" si="61"/>
        <v>0.2982141261</v>
      </c>
      <c r="N166" s="165"/>
      <c r="O166" s="165"/>
      <c r="P166" s="19"/>
      <c r="Q166" s="81"/>
      <c r="R166" s="19"/>
      <c r="S166" s="1"/>
      <c r="T166" s="1"/>
    </row>
    <row r="167" ht="12.75" customHeight="1">
      <c r="A167" s="1"/>
      <c r="B167" s="159">
        <f t="shared" si="54"/>
        <v>41517</v>
      </c>
      <c r="C167" s="129">
        <f t="shared" si="55"/>
        <v>-0.07169297951</v>
      </c>
      <c r="D167" s="19">
        <f t="shared" si="56"/>
        <v>0.2749177704</v>
      </c>
      <c r="E167" s="7"/>
      <c r="F167" s="129">
        <f t="shared" si="57"/>
        <v>-0.02896132177</v>
      </c>
      <c r="G167" s="19">
        <f t="shared" si="58"/>
        <v>0.2606161291</v>
      </c>
      <c r="H167" s="166"/>
      <c r="J167" s="161">
        <f t="shared" si="59"/>
        <v>41517</v>
      </c>
      <c r="K167" s="163">
        <v>2908.959961</v>
      </c>
      <c r="L167" s="164">
        <f t="shared" si="60"/>
        <v>-0.02896132177</v>
      </c>
      <c r="M167" s="164">
        <f t="shared" si="61"/>
        <v>0.2606161291</v>
      </c>
      <c r="N167" s="165"/>
      <c r="O167" s="165"/>
      <c r="P167" s="19"/>
      <c r="Q167" s="81"/>
      <c r="R167" s="19"/>
      <c r="S167" s="1"/>
      <c r="T167" s="1"/>
    </row>
    <row r="168" ht="12.75" customHeight="1">
      <c r="A168" s="1"/>
      <c r="B168" s="159">
        <f t="shared" si="54"/>
        <v>41547</v>
      </c>
      <c r="C168" s="129">
        <f t="shared" si="55"/>
        <v>0.02731139218</v>
      </c>
      <c r="D168" s="19">
        <f t="shared" si="56"/>
        <v>0.3097375496</v>
      </c>
      <c r="E168" s="7"/>
      <c r="F168" s="129">
        <f t="shared" si="57"/>
        <v>0.03135827657</v>
      </c>
      <c r="G168" s="19">
        <f t="shared" si="58"/>
        <v>0.3001468783</v>
      </c>
      <c r="H168" s="166"/>
      <c r="J168" s="161">
        <f t="shared" si="59"/>
        <v>41547</v>
      </c>
      <c r="K168" s="163">
        <v>3000.179932</v>
      </c>
      <c r="L168" s="164">
        <f t="shared" si="60"/>
        <v>0.03135827657</v>
      </c>
      <c r="M168" s="164">
        <f t="shared" si="61"/>
        <v>0.3001468783</v>
      </c>
      <c r="N168" s="165"/>
      <c r="O168" s="165"/>
      <c r="P168" s="19"/>
      <c r="Q168" s="81"/>
      <c r="R168" s="19"/>
      <c r="S168" s="1"/>
      <c r="T168" s="1"/>
    </row>
    <row r="169" ht="12.75" customHeight="1">
      <c r="A169" s="1"/>
      <c r="B169" s="159">
        <f t="shared" si="54"/>
        <v>41578</v>
      </c>
      <c r="C169" s="129">
        <f t="shared" si="55"/>
        <v>0.05019775625</v>
      </c>
      <c r="D169" s="19">
        <f t="shared" si="56"/>
        <v>0.3754834359</v>
      </c>
      <c r="E169" s="7"/>
      <c r="F169" s="129">
        <f t="shared" si="57"/>
        <v>0.045967295</v>
      </c>
      <c r="G169" s="19">
        <f t="shared" si="58"/>
        <v>0.3599111134</v>
      </c>
      <c r="H169" s="166"/>
      <c r="J169" s="161">
        <f t="shared" si="59"/>
        <v>41578</v>
      </c>
      <c r="K169" s="163">
        <v>3138.090088</v>
      </c>
      <c r="L169" s="164">
        <f t="shared" si="60"/>
        <v>0.045967295</v>
      </c>
      <c r="M169" s="164">
        <f t="shared" si="61"/>
        <v>0.3599111134</v>
      </c>
      <c r="N169" s="165"/>
      <c r="O169" s="165"/>
      <c r="P169" s="19"/>
      <c r="Q169" s="81"/>
      <c r="R169" s="19"/>
      <c r="S169" s="1"/>
      <c r="T169" s="1"/>
    </row>
    <row r="170" ht="12.75" customHeight="1">
      <c r="A170" s="1"/>
      <c r="B170" s="159">
        <f t="shared" si="54"/>
        <v>41608</v>
      </c>
      <c r="C170" s="129">
        <f t="shared" si="55"/>
        <v>0.09246171064</v>
      </c>
      <c r="D170" s="19">
        <f t="shared" si="56"/>
        <v>0.5026629873</v>
      </c>
      <c r="E170" s="7"/>
      <c r="F170" s="129">
        <f t="shared" si="57"/>
        <v>0.03047391258</v>
      </c>
      <c r="G170" s="19">
        <f t="shared" si="58"/>
        <v>0.4013529258</v>
      </c>
      <c r="H170" s="166"/>
      <c r="J170" s="161">
        <f t="shared" si="59"/>
        <v>41608</v>
      </c>
      <c r="K170" s="163">
        <v>3233.719971</v>
      </c>
      <c r="L170" s="164">
        <f t="shared" si="60"/>
        <v>0.03047391258</v>
      </c>
      <c r="M170" s="164">
        <f t="shared" si="61"/>
        <v>0.4013529258</v>
      </c>
      <c r="N170" s="165"/>
      <c r="O170" s="165"/>
      <c r="P170" s="19"/>
      <c r="Q170" s="81"/>
      <c r="R170" s="19"/>
      <c r="S170" s="1"/>
      <c r="T170" s="1"/>
    </row>
    <row r="171" ht="12.75" customHeight="1">
      <c r="A171" s="1"/>
      <c r="B171" s="159">
        <f t="shared" si="54"/>
        <v>41639</v>
      </c>
      <c r="C171" s="129">
        <f t="shared" si="55"/>
        <v>0.04133546628</v>
      </c>
      <c r="D171" s="19">
        <f t="shared" si="56"/>
        <v>0.5647762626</v>
      </c>
      <c r="E171" s="7"/>
      <c r="F171" s="129">
        <f t="shared" si="57"/>
        <v>0.02531762729</v>
      </c>
      <c r="G171" s="19">
        <f t="shared" si="58"/>
        <v>0.4368318569</v>
      </c>
      <c r="H171" s="166"/>
      <c r="J171" s="161">
        <f t="shared" si="59"/>
        <v>41639</v>
      </c>
      <c r="K171" s="163">
        <v>3315.590088</v>
      </c>
      <c r="L171" s="164">
        <f t="shared" si="60"/>
        <v>0.02531762729</v>
      </c>
      <c r="M171" s="164">
        <f t="shared" si="61"/>
        <v>0.4368318569</v>
      </c>
      <c r="N171" s="165"/>
      <c r="O171" s="165"/>
      <c r="P171" s="19"/>
      <c r="Q171" s="81"/>
      <c r="R171" s="19"/>
      <c r="S171" s="1"/>
      <c r="T171" s="1"/>
    </row>
    <row r="172" ht="12.75" customHeight="1">
      <c r="A172" s="1"/>
      <c r="B172" s="159">
        <f t="shared" si="54"/>
        <v>41670</v>
      </c>
      <c r="C172" s="129">
        <f t="shared" si="55"/>
        <v>-0.05127308463</v>
      </c>
      <c r="D172" s="19">
        <f t="shared" si="56"/>
        <v>0.4845453568</v>
      </c>
      <c r="E172" s="7"/>
      <c r="F172" s="129">
        <f t="shared" si="57"/>
        <v>-0.03457608871</v>
      </c>
      <c r="G172" s="19">
        <f t="shared" si="58"/>
        <v>0.3871518311</v>
      </c>
      <c r="H172" s="166"/>
      <c r="J172" s="161">
        <f t="shared" si="59"/>
        <v>41670</v>
      </c>
      <c r="K172" s="163">
        <v>3200.949951</v>
      </c>
      <c r="L172" s="164">
        <f t="shared" si="60"/>
        <v>-0.03457608871</v>
      </c>
      <c r="M172" s="164">
        <f t="shared" si="61"/>
        <v>0.3871518311</v>
      </c>
      <c r="N172" s="165"/>
      <c r="O172" s="165"/>
      <c r="P172" s="19"/>
      <c r="Q172" s="81"/>
      <c r="R172" s="19"/>
      <c r="S172" s="1"/>
      <c r="T172" s="1"/>
    </row>
    <row r="173" ht="12.75" customHeight="1">
      <c r="A173" s="1"/>
      <c r="B173" s="159">
        <f t="shared" si="54"/>
        <v>41698</v>
      </c>
      <c r="C173" s="129">
        <f t="shared" si="55"/>
        <v>0.03489268918</v>
      </c>
      <c r="D173" s="19">
        <f t="shared" si="56"/>
        <v>0.5363451365</v>
      </c>
      <c r="E173" s="7"/>
      <c r="F173" s="129">
        <f t="shared" si="57"/>
        <v>0.04574577367</v>
      </c>
      <c r="G173" s="19">
        <f t="shared" si="58"/>
        <v>0.4506081649</v>
      </c>
      <c r="H173" s="166"/>
      <c r="J173" s="161">
        <f t="shared" si="59"/>
        <v>41698</v>
      </c>
      <c r="K173" s="163">
        <v>3347.379883</v>
      </c>
      <c r="L173" s="164">
        <f t="shared" si="60"/>
        <v>0.04574577367</v>
      </c>
      <c r="M173" s="164">
        <f t="shared" si="61"/>
        <v>0.4506081649</v>
      </c>
      <c r="N173" s="165"/>
      <c r="O173" s="165"/>
      <c r="P173" s="19"/>
      <c r="Q173" s="81"/>
      <c r="R173" s="19"/>
      <c r="S173" s="1"/>
      <c r="T173" s="1"/>
    </row>
    <row r="174" ht="12.75" customHeight="1">
      <c r="A174" s="1"/>
      <c r="B174" s="159">
        <f t="shared" si="54"/>
        <v>41729</v>
      </c>
      <c r="C174" s="129">
        <f t="shared" si="55"/>
        <v>0.04157625094</v>
      </c>
      <c r="D174" s="19">
        <f t="shared" si="56"/>
        <v>0.6002206075</v>
      </c>
      <c r="E174" s="7"/>
      <c r="F174" s="129">
        <f t="shared" si="57"/>
        <v>0.008403625517</v>
      </c>
      <c r="G174" s="19">
        <f t="shared" si="58"/>
        <v>0.4627985327</v>
      </c>
      <c r="H174" s="166"/>
      <c r="J174" s="161">
        <f t="shared" si="59"/>
        <v>41729</v>
      </c>
      <c r="K174" s="163">
        <v>3375.51001</v>
      </c>
      <c r="L174" s="164">
        <f t="shared" si="60"/>
        <v>0.008403625517</v>
      </c>
      <c r="M174" s="164">
        <f t="shared" si="61"/>
        <v>0.4627985327</v>
      </c>
      <c r="N174" s="165"/>
      <c r="O174" s="165"/>
      <c r="P174" s="19"/>
      <c r="Q174" s="81"/>
      <c r="R174" s="19"/>
      <c r="S174" s="1"/>
      <c r="T174" s="1"/>
    </row>
    <row r="175" ht="12.75" customHeight="1">
      <c r="A175" s="1"/>
      <c r="B175" s="159">
        <f t="shared" si="54"/>
        <v>41759</v>
      </c>
      <c r="C175" s="129">
        <f t="shared" si="55"/>
        <v>-0.01427589447</v>
      </c>
      <c r="D175" s="19">
        <f t="shared" si="56"/>
        <v>0.5773760269</v>
      </c>
      <c r="E175" s="7"/>
      <c r="F175" s="129">
        <f t="shared" si="57"/>
        <v>0.00739146112</v>
      </c>
      <c r="G175" s="19">
        <f t="shared" si="58"/>
        <v>0.4736107511</v>
      </c>
      <c r="H175" s="166"/>
      <c r="J175" s="161">
        <f t="shared" si="59"/>
        <v>41759</v>
      </c>
      <c r="K175" s="163">
        <v>3400.459961</v>
      </c>
      <c r="L175" s="164">
        <f t="shared" si="60"/>
        <v>0.00739146112</v>
      </c>
      <c r="M175" s="164">
        <f t="shared" si="61"/>
        <v>0.4736107511</v>
      </c>
      <c r="N175" s="165"/>
      <c r="O175" s="165"/>
      <c r="P175" s="19"/>
      <c r="Q175" s="81"/>
      <c r="R175" s="19"/>
      <c r="S175" s="1"/>
      <c r="T175" s="1"/>
    </row>
    <row r="176" ht="12.75" customHeight="1">
      <c r="A176" s="1"/>
      <c r="B176" s="159">
        <f t="shared" si="54"/>
        <v>41790</v>
      </c>
      <c r="C176" s="129">
        <f t="shared" si="55"/>
        <v>0.05529727871</v>
      </c>
      <c r="D176" s="19">
        <f t="shared" si="56"/>
        <v>0.6646006287</v>
      </c>
      <c r="E176" s="7"/>
      <c r="F176" s="129">
        <f t="shared" si="57"/>
        <v>0.02347625878</v>
      </c>
      <c r="G176" s="19">
        <f t="shared" si="58"/>
        <v>0.5082056185</v>
      </c>
      <c r="H176" s="166"/>
      <c r="J176" s="161">
        <f t="shared" si="59"/>
        <v>41790</v>
      </c>
      <c r="K176" s="163">
        <v>3480.290039</v>
      </c>
      <c r="L176" s="164">
        <f t="shared" si="60"/>
        <v>0.02347625878</v>
      </c>
      <c r="M176" s="164">
        <f t="shared" si="61"/>
        <v>0.5082056185</v>
      </c>
      <c r="N176" s="165"/>
      <c r="O176" s="165"/>
      <c r="P176" s="19"/>
      <c r="Q176" s="81"/>
      <c r="R176" s="19"/>
      <c r="S176" s="1"/>
      <c r="T176" s="1"/>
    </row>
    <row r="177" ht="12.75" customHeight="1">
      <c r="A177" s="1"/>
      <c r="B177" s="159">
        <f t="shared" si="54"/>
        <v>41820</v>
      </c>
      <c r="C177" s="129">
        <f t="shared" si="55"/>
        <v>-0.07151277432</v>
      </c>
      <c r="D177" s="19">
        <f t="shared" si="56"/>
        <v>0.5455604196</v>
      </c>
      <c r="E177" s="7"/>
      <c r="F177" s="129">
        <f t="shared" si="57"/>
        <v>0.02065629364</v>
      </c>
      <c r="G177" s="19">
        <f t="shared" si="58"/>
        <v>0.5393595566</v>
      </c>
      <c r="H177" s="166"/>
      <c r="J177" s="161">
        <f t="shared" si="59"/>
        <v>41820</v>
      </c>
      <c r="K177" s="163">
        <v>3552.179932</v>
      </c>
      <c r="L177" s="164">
        <f t="shared" si="60"/>
        <v>0.02065629364</v>
      </c>
      <c r="M177" s="164">
        <f t="shared" si="61"/>
        <v>0.5393595566</v>
      </c>
      <c r="N177" s="165"/>
      <c r="O177" s="165"/>
      <c r="P177" s="19"/>
      <c r="Q177" s="81"/>
      <c r="R177" s="19"/>
      <c r="S177" s="1"/>
      <c r="T177" s="1"/>
    </row>
    <row r="178" ht="12.75" customHeight="1">
      <c r="A178" s="1"/>
      <c r="B178" s="159">
        <f t="shared" si="54"/>
        <v>41851</v>
      </c>
      <c r="C178" s="129">
        <f t="shared" si="55"/>
        <v>-0.069644427</v>
      </c>
      <c r="D178" s="19">
        <f t="shared" si="56"/>
        <v>0.4379207498</v>
      </c>
      <c r="E178" s="7"/>
      <c r="F178" s="129">
        <f t="shared" si="57"/>
        <v>-0.01379152856</v>
      </c>
      <c r="G178" s="19">
        <f t="shared" si="58"/>
        <v>0.5181294353</v>
      </c>
      <c r="H178" s="166"/>
      <c r="J178" s="161">
        <f t="shared" si="59"/>
        <v>41851</v>
      </c>
      <c r="K178" s="163">
        <v>3503.189941</v>
      </c>
      <c r="L178" s="164">
        <f t="shared" si="60"/>
        <v>-0.01379152856</v>
      </c>
      <c r="M178" s="164">
        <f t="shared" si="61"/>
        <v>0.5181294353</v>
      </c>
      <c r="N178" s="165"/>
      <c r="O178" s="165"/>
      <c r="P178" s="19"/>
      <c r="Q178" s="81"/>
      <c r="R178" s="19"/>
      <c r="S178" s="1"/>
      <c r="T178" s="1"/>
    </row>
    <row r="179" ht="12.75" customHeight="1">
      <c r="A179" s="1"/>
      <c r="B179" s="159">
        <f t="shared" si="54"/>
        <v>41882</v>
      </c>
      <c r="C179" s="129">
        <f t="shared" si="55"/>
        <v>0.03127175729</v>
      </c>
      <c r="D179" s="19">
        <f t="shared" si="56"/>
        <v>0.4828870585</v>
      </c>
      <c r="E179" s="7"/>
      <c r="F179" s="129">
        <f t="shared" si="57"/>
        <v>0.04000357941</v>
      </c>
      <c r="G179" s="19">
        <f t="shared" si="58"/>
        <v>0.5788600467</v>
      </c>
      <c r="H179" s="166"/>
      <c r="J179" s="161">
        <f t="shared" si="59"/>
        <v>41882</v>
      </c>
      <c r="K179" s="163">
        <v>3643.330078</v>
      </c>
      <c r="L179" s="164">
        <f t="shared" si="60"/>
        <v>0.04000357941</v>
      </c>
      <c r="M179" s="164">
        <f t="shared" si="61"/>
        <v>0.5788600467</v>
      </c>
      <c r="N179" s="165"/>
      <c r="O179" s="165"/>
      <c r="P179" s="19"/>
      <c r="Q179" s="81"/>
      <c r="R179" s="19"/>
      <c r="S179" s="1"/>
      <c r="T179" s="1"/>
    </row>
    <row r="180" ht="12.75" customHeight="1">
      <c r="A180" s="1"/>
      <c r="B180" s="159">
        <f t="shared" si="54"/>
        <v>41912</v>
      </c>
      <c r="C180" s="129">
        <f t="shared" si="55"/>
        <v>-0.05458635226</v>
      </c>
      <c r="D180" s="19">
        <f t="shared" si="56"/>
        <v>0.4019416632</v>
      </c>
      <c r="E180" s="7"/>
      <c r="F180" s="129">
        <f t="shared" si="57"/>
        <v>-0.01402016202</v>
      </c>
      <c r="G180" s="19">
        <f t="shared" si="58"/>
        <v>0.556724173</v>
      </c>
      <c r="H180" s="166"/>
      <c r="J180" s="161">
        <f t="shared" si="59"/>
        <v>41912</v>
      </c>
      <c r="K180" s="163">
        <v>3592.25</v>
      </c>
      <c r="L180" s="164">
        <f t="shared" si="60"/>
        <v>-0.01402016202</v>
      </c>
      <c r="M180" s="164">
        <f t="shared" si="61"/>
        <v>0.556724173</v>
      </c>
      <c r="N180" s="165"/>
      <c r="O180" s="165"/>
      <c r="P180" s="19"/>
      <c r="Q180" s="81"/>
      <c r="R180" s="19"/>
      <c r="S180" s="1"/>
      <c r="T180" s="1"/>
    </row>
    <row r="181" ht="12.75" customHeight="1">
      <c r="A181" s="1"/>
      <c r="B181" s="159">
        <f t="shared" si="54"/>
        <v>41943</v>
      </c>
      <c r="C181" s="129">
        <f t="shared" si="55"/>
        <v>0.03182160815</v>
      </c>
      <c r="D181" s="19">
        <f t="shared" si="56"/>
        <v>0.4465537014</v>
      </c>
      <c r="E181" s="7"/>
      <c r="F181" s="129">
        <f t="shared" si="57"/>
        <v>0.02442480061</v>
      </c>
      <c r="G181" s="19">
        <f t="shared" si="58"/>
        <v>0.5947468506</v>
      </c>
      <c r="H181" s="166"/>
      <c r="J181" s="161">
        <f t="shared" si="59"/>
        <v>41943</v>
      </c>
      <c r="K181" s="163">
        <v>3679.98999</v>
      </c>
      <c r="L181" s="164">
        <f t="shared" si="60"/>
        <v>0.02442480061</v>
      </c>
      <c r="M181" s="164">
        <f t="shared" si="61"/>
        <v>0.5947468506</v>
      </c>
      <c r="N181" s="165"/>
      <c r="O181" s="165"/>
      <c r="P181" s="19"/>
      <c r="Q181" s="81"/>
      <c r="R181" s="19"/>
      <c r="S181" s="1"/>
      <c r="T181" s="1"/>
    </row>
    <row r="182" ht="12.75" customHeight="1">
      <c r="A182" s="1"/>
      <c r="B182" s="159">
        <f t="shared" si="54"/>
        <v>41973</v>
      </c>
      <c r="C182" s="129">
        <f t="shared" si="55"/>
        <v>0.07144043011</v>
      </c>
      <c r="D182" s="19">
        <f t="shared" si="56"/>
        <v>0.54989612</v>
      </c>
      <c r="E182" s="7"/>
      <c r="F182" s="129">
        <f t="shared" si="57"/>
        <v>0.02689408701</v>
      </c>
      <c r="G182" s="19">
        <f t="shared" si="58"/>
        <v>0.6376361111</v>
      </c>
      <c r="H182" s="166"/>
      <c r="J182" s="161">
        <f t="shared" si="59"/>
        <v>41973</v>
      </c>
      <c r="K182" s="163">
        <v>3778.959961</v>
      </c>
      <c r="L182" s="164">
        <f t="shared" si="60"/>
        <v>0.02689408701</v>
      </c>
      <c r="M182" s="164">
        <f t="shared" si="61"/>
        <v>0.6376361111</v>
      </c>
      <c r="N182" s="165"/>
      <c r="O182" s="165"/>
      <c r="P182" s="19"/>
      <c r="Q182" s="81"/>
      <c r="R182" s="19"/>
      <c r="S182" s="1"/>
      <c r="T182" s="1"/>
    </row>
    <row r="183" ht="12.75" customHeight="1">
      <c r="A183" s="1"/>
      <c r="B183" s="159">
        <f t="shared" si="54"/>
        <v>42004</v>
      </c>
      <c r="C183" s="129">
        <f t="shared" si="55"/>
        <v>0.05403721334</v>
      </c>
      <c r="D183" s="19">
        <f t="shared" si="56"/>
        <v>0.6336481873</v>
      </c>
      <c r="E183" s="7"/>
      <c r="F183" s="129">
        <f t="shared" si="57"/>
        <v>-0.002519216953</v>
      </c>
      <c r="G183" s="19">
        <f t="shared" si="58"/>
        <v>0.6335105505</v>
      </c>
      <c r="H183" s="166"/>
      <c r="J183" s="161">
        <f t="shared" si="59"/>
        <v>42004</v>
      </c>
      <c r="K183" s="163">
        <v>3769.439941</v>
      </c>
      <c r="L183" s="164">
        <f t="shared" si="60"/>
        <v>-0.002519216953</v>
      </c>
      <c r="M183" s="164">
        <f t="shared" si="61"/>
        <v>0.6335105505</v>
      </c>
      <c r="N183" s="165"/>
      <c r="O183" s="165"/>
      <c r="P183" s="19"/>
      <c r="Q183" s="81"/>
      <c r="R183" s="19"/>
      <c r="S183" s="1"/>
      <c r="T183" s="1"/>
    </row>
    <row r="184" ht="12.75" customHeight="1">
      <c r="A184" s="1"/>
      <c r="B184" s="159">
        <f t="shared" si="54"/>
        <v>42035</v>
      </c>
      <c r="C184" s="129">
        <f t="shared" si="55"/>
        <v>-0.02145770908</v>
      </c>
      <c r="D184" s="19">
        <f t="shared" si="56"/>
        <v>0.5985938398</v>
      </c>
      <c r="E184" s="7"/>
      <c r="F184" s="129">
        <f t="shared" si="57"/>
        <v>-0.0300203515</v>
      </c>
      <c r="G184" s="19">
        <f t="shared" si="58"/>
        <v>0.5844719896</v>
      </c>
      <c r="H184" s="166"/>
      <c r="J184" s="161">
        <f t="shared" si="59"/>
        <v>42035</v>
      </c>
      <c r="K184" s="163">
        <v>3656.280029</v>
      </c>
      <c r="L184" s="164">
        <f t="shared" si="60"/>
        <v>-0.0300203515</v>
      </c>
      <c r="M184" s="164">
        <f t="shared" si="61"/>
        <v>0.5844719896</v>
      </c>
      <c r="N184" s="165"/>
      <c r="O184" s="165"/>
      <c r="P184" s="19"/>
      <c r="Q184" s="81"/>
      <c r="R184" s="19"/>
      <c r="S184" s="1"/>
      <c r="T184" s="1"/>
    </row>
    <row r="185" ht="12.75" customHeight="1">
      <c r="A185" s="1"/>
      <c r="B185" s="159">
        <f t="shared" si="54"/>
        <v>42063</v>
      </c>
      <c r="C185" s="129">
        <f t="shared" si="55"/>
        <v>0.03132900771</v>
      </c>
      <c r="D185" s="19">
        <f t="shared" si="56"/>
        <v>0.6486761985</v>
      </c>
      <c r="E185" s="7"/>
      <c r="F185" s="129">
        <f t="shared" si="57"/>
        <v>0.05747368673</v>
      </c>
      <c r="G185" s="19">
        <f t="shared" si="58"/>
        <v>0.6755374364</v>
      </c>
      <c r="H185" s="166"/>
      <c r="J185" s="161">
        <f t="shared" si="59"/>
        <v>42063</v>
      </c>
      <c r="K185" s="163">
        <v>3866.419922</v>
      </c>
      <c r="L185" s="164">
        <f t="shared" si="60"/>
        <v>0.05747368673</v>
      </c>
      <c r="M185" s="164">
        <f t="shared" si="61"/>
        <v>0.6755374364</v>
      </c>
      <c r="N185" s="165"/>
      <c r="O185" s="165"/>
      <c r="P185" s="19"/>
      <c r="Q185" s="81"/>
      <c r="R185" s="19"/>
      <c r="S185" s="1"/>
      <c r="T185" s="1"/>
    </row>
    <row r="186" ht="12.75" customHeight="1">
      <c r="A186" s="1"/>
      <c r="B186" s="159">
        <f t="shared" si="54"/>
        <v>42094</v>
      </c>
      <c r="C186" s="129">
        <f t="shared" si="55"/>
        <v>0.07634106335</v>
      </c>
      <c r="D186" s="19">
        <f t="shared" si="56"/>
        <v>0.7745378926</v>
      </c>
      <c r="E186" s="7"/>
      <c r="F186" s="129">
        <f t="shared" si="57"/>
        <v>-0.01581563908</v>
      </c>
      <c r="G186" s="19">
        <f t="shared" si="58"/>
        <v>0.649037741</v>
      </c>
      <c r="H186" s="166"/>
      <c r="J186" s="161">
        <f t="shared" si="59"/>
        <v>42094</v>
      </c>
      <c r="K186" s="163">
        <v>3805.27002</v>
      </c>
      <c r="L186" s="164">
        <f t="shared" si="60"/>
        <v>-0.01581563908</v>
      </c>
      <c r="M186" s="164">
        <f t="shared" si="61"/>
        <v>0.649037741</v>
      </c>
      <c r="N186" s="165"/>
      <c r="O186" s="165"/>
      <c r="P186" s="19"/>
      <c r="Q186" s="81"/>
      <c r="R186" s="19"/>
      <c r="S186" s="1"/>
      <c r="T186" s="1"/>
    </row>
    <row r="187" ht="12.75" customHeight="1">
      <c r="A187" s="1"/>
      <c r="B187" s="159">
        <f t="shared" si="54"/>
        <v>42124</v>
      </c>
      <c r="C187" s="129">
        <f t="shared" si="55"/>
        <v>-0.04061800896</v>
      </c>
      <c r="D187" s="19">
        <f t="shared" si="56"/>
        <v>0.7024596966</v>
      </c>
      <c r="E187" s="7"/>
      <c r="F187" s="129">
        <f t="shared" si="57"/>
        <v>0.009594590872</v>
      </c>
      <c r="G187" s="19">
        <f t="shared" si="58"/>
        <v>0.6648595835</v>
      </c>
      <c r="H187" s="166"/>
      <c r="J187" s="161">
        <f t="shared" si="59"/>
        <v>42124</v>
      </c>
      <c r="K187" s="163">
        <v>3841.780029</v>
      </c>
      <c r="L187" s="164">
        <f t="shared" si="60"/>
        <v>0.009594590872</v>
      </c>
      <c r="M187" s="164">
        <f t="shared" si="61"/>
        <v>0.6648595835</v>
      </c>
      <c r="N187" s="165"/>
      <c r="O187" s="165"/>
      <c r="P187" s="19"/>
      <c r="Q187" s="81"/>
      <c r="R187" s="19"/>
      <c r="S187" s="1"/>
      <c r="T187" s="1"/>
    </row>
    <row r="188" ht="12.75" customHeight="1">
      <c r="A188" s="1"/>
      <c r="B188" s="159">
        <f t="shared" si="54"/>
        <v>42155</v>
      </c>
      <c r="C188" s="129">
        <f t="shared" si="55"/>
        <v>0.0397769901</v>
      </c>
      <c r="D188" s="19">
        <f t="shared" si="56"/>
        <v>0.7701784191</v>
      </c>
      <c r="E188" s="7"/>
      <c r="F188" s="129">
        <f t="shared" si="57"/>
        <v>0.01285859748</v>
      </c>
      <c r="G188" s="19">
        <f t="shared" si="58"/>
        <v>0.6862673427</v>
      </c>
      <c r="H188" s="166"/>
      <c r="J188" s="161">
        <f t="shared" si="59"/>
        <v>42155</v>
      </c>
      <c r="K188" s="163">
        <v>3891.179932</v>
      </c>
      <c r="L188" s="164">
        <f t="shared" si="60"/>
        <v>0.01285859748</v>
      </c>
      <c r="M188" s="164">
        <f t="shared" si="61"/>
        <v>0.6862673427</v>
      </c>
      <c r="N188" s="165"/>
      <c r="O188" s="165"/>
      <c r="P188" s="19"/>
      <c r="Q188" s="81"/>
      <c r="R188" s="19"/>
      <c r="S188" s="1"/>
      <c r="T188" s="1"/>
    </row>
    <row r="189" ht="12.75" customHeight="1">
      <c r="A189" s="1"/>
      <c r="B189" s="159">
        <f t="shared" si="54"/>
        <v>42185</v>
      </c>
      <c r="C189" s="129">
        <f t="shared" si="55"/>
        <v>0.006371734778</v>
      </c>
      <c r="D189" s="19">
        <f t="shared" si="56"/>
        <v>0.7814575265</v>
      </c>
      <c r="E189" s="7"/>
      <c r="F189" s="129">
        <f t="shared" si="57"/>
        <v>-0.01935912379</v>
      </c>
      <c r="G189" s="19">
        <f t="shared" si="58"/>
        <v>0.6536226845</v>
      </c>
      <c r="H189" s="166"/>
      <c r="J189" s="161">
        <f t="shared" si="59"/>
        <v>42185</v>
      </c>
      <c r="K189" s="163">
        <v>3815.850098</v>
      </c>
      <c r="L189" s="164">
        <f t="shared" si="60"/>
        <v>-0.01935912379</v>
      </c>
      <c r="M189" s="164">
        <f t="shared" si="61"/>
        <v>0.6536226845</v>
      </c>
      <c r="N189" s="165"/>
      <c r="O189" s="165"/>
      <c r="P189" s="19"/>
      <c r="Q189" s="81"/>
      <c r="R189" s="19"/>
      <c r="S189" s="1"/>
      <c r="T189" s="1"/>
    </row>
    <row r="190" ht="12.75" customHeight="1">
      <c r="A190" s="1"/>
      <c r="B190" s="159">
        <f t="shared" si="54"/>
        <v>42216</v>
      </c>
      <c r="C190" s="129">
        <f t="shared" si="55"/>
        <v>0.04998825881</v>
      </c>
      <c r="D190" s="19">
        <f t="shared" si="56"/>
        <v>0.8705094864</v>
      </c>
      <c r="E190" s="7"/>
      <c r="F190" s="129">
        <f t="shared" si="57"/>
        <v>0.02095206807</v>
      </c>
      <c r="G190" s="19">
        <f t="shared" si="58"/>
        <v>0.6882694995</v>
      </c>
      <c r="H190" s="166"/>
      <c r="J190" s="161">
        <f t="shared" si="59"/>
        <v>42216</v>
      </c>
      <c r="K190" s="163">
        <v>3895.800049</v>
      </c>
      <c r="L190" s="164">
        <f t="shared" si="60"/>
        <v>0.02095206807</v>
      </c>
      <c r="M190" s="164">
        <f t="shared" si="61"/>
        <v>0.6882694995</v>
      </c>
      <c r="N190" s="165"/>
      <c r="O190" s="165"/>
      <c r="P190" s="19"/>
      <c r="Q190" s="81"/>
      <c r="R190" s="19"/>
      <c r="S190" s="1"/>
      <c r="T190" s="1"/>
    </row>
    <row r="191" ht="12.75" customHeight="1">
      <c r="A191" s="1"/>
      <c r="B191" s="159">
        <f t="shared" si="54"/>
        <v>42247</v>
      </c>
      <c r="C191" s="129">
        <f t="shared" si="55"/>
        <v>-0.05860108429</v>
      </c>
      <c r="D191" s="19">
        <f t="shared" si="56"/>
        <v>0.7608956023</v>
      </c>
      <c r="E191" s="7"/>
      <c r="F191" s="129">
        <f t="shared" si="57"/>
        <v>-0.06033421789</v>
      </c>
      <c r="G191" s="19">
        <f t="shared" si="58"/>
        <v>0.5864090797</v>
      </c>
      <c r="H191" s="166"/>
      <c r="J191" s="161">
        <f t="shared" si="59"/>
        <v>42247</v>
      </c>
      <c r="K191" s="163">
        <v>3660.75</v>
      </c>
      <c r="L191" s="164">
        <f t="shared" si="60"/>
        <v>-0.06033421789</v>
      </c>
      <c r="M191" s="164">
        <f t="shared" si="61"/>
        <v>0.5864090797</v>
      </c>
      <c r="N191" s="165"/>
      <c r="O191" s="165"/>
      <c r="P191" s="19"/>
      <c r="Q191" s="81"/>
      <c r="R191" s="19"/>
      <c r="S191" s="1"/>
      <c r="T191" s="1"/>
    </row>
    <row r="192" ht="12.75" customHeight="1">
      <c r="A192" s="1"/>
      <c r="B192" s="159">
        <f t="shared" si="54"/>
        <v>42277</v>
      </c>
      <c r="C192" s="129">
        <f t="shared" si="55"/>
        <v>-0.03875052415</v>
      </c>
      <c r="D192" s="19">
        <f t="shared" si="56"/>
        <v>0.6926599748</v>
      </c>
      <c r="E192" s="7"/>
      <c r="F192" s="129">
        <f t="shared" si="57"/>
        <v>-0.02474358478</v>
      </c>
      <c r="G192" s="19">
        <f t="shared" si="58"/>
        <v>0.5471556321</v>
      </c>
      <c r="H192" s="166"/>
      <c r="J192" s="161">
        <f t="shared" si="59"/>
        <v>42277</v>
      </c>
      <c r="K192" s="163">
        <v>3570.169922</v>
      </c>
      <c r="L192" s="164">
        <f t="shared" si="60"/>
        <v>-0.02474358478</v>
      </c>
      <c r="M192" s="164">
        <f t="shared" si="61"/>
        <v>0.5471556321</v>
      </c>
      <c r="N192" s="165"/>
      <c r="O192" s="165"/>
      <c r="P192" s="19"/>
      <c r="Q192" s="81"/>
      <c r="R192" s="19"/>
      <c r="S192" s="1"/>
      <c r="T192" s="1"/>
    </row>
    <row r="193" ht="12.75" customHeight="1">
      <c r="A193" s="1"/>
      <c r="B193" s="159">
        <f t="shared" si="54"/>
        <v>42308</v>
      </c>
      <c r="C193" s="129">
        <f t="shared" si="55"/>
        <v>0.06988049251</v>
      </c>
      <c r="D193" s="19">
        <f t="shared" si="56"/>
        <v>0.8109438875</v>
      </c>
      <c r="E193" s="7"/>
      <c r="F193" s="129">
        <f t="shared" si="57"/>
        <v>0.08435457207</v>
      </c>
      <c r="G193" s="19">
        <f t="shared" si="58"/>
        <v>0.6776652834</v>
      </c>
      <c r="H193" s="166"/>
      <c r="J193" s="161">
        <f t="shared" si="59"/>
        <v>42308</v>
      </c>
      <c r="K193" s="163">
        <v>3871.330078</v>
      </c>
      <c r="L193" s="164">
        <f t="shared" si="60"/>
        <v>0.08435457207</v>
      </c>
      <c r="M193" s="164">
        <f t="shared" si="61"/>
        <v>0.6776652834</v>
      </c>
      <c r="N193" s="165"/>
      <c r="O193" s="165"/>
      <c r="P193" s="19"/>
      <c r="Q193" s="81"/>
      <c r="R193" s="19"/>
      <c r="S193" s="1"/>
      <c r="T193" s="1"/>
    </row>
    <row r="194" ht="12.75" customHeight="1">
      <c r="A194" s="1"/>
      <c r="B194" s="159">
        <f t="shared" si="54"/>
        <v>42338</v>
      </c>
      <c r="C194" s="129">
        <f t="shared" si="55"/>
        <v>0.03806317579</v>
      </c>
      <c r="D194" s="19">
        <f t="shared" si="56"/>
        <v>0.879874163</v>
      </c>
      <c r="E194" s="7"/>
      <c r="F194" s="129">
        <f t="shared" si="57"/>
        <v>0.002973140954</v>
      </c>
      <c r="G194" s="19">
        <f t="shared" si="58"/>
        <v>0.6826532188</v>
      </c>
      <c r="H194" s="166"/>
      <c r="J194" s="161">
        <f t="shared" si="59"/>
        <v>42338</v>
      </c>
      <c r="K194" s="163">
        <v>3882.840088</v>
      </c>
      <c r="L194" s="164">
        <f t="shared" si="60"/>
        <v>0.002973140954</v>
      </c>
      <c r="M194" s="164">
        <f t="shared" si="61"/>
        <v>0.6826532188</v>
      </c>
      <c r="N194" s="165"/>
      <c r="O194" s="165"/>
      <c r="P194" s="19"/>
      <c r="Q194" s="81"/>
      <c r="R194" s="19"/>
      <c r="S194" s="1"/>
      <c r="T194" s="1"/>
    </row>
    <row r="195" ht="12.75" customHeight="1">
      <c r="A195" s="1"/>
      <c r="B195" s="159">
        <f t="shared" si="54"/>
        <v>42369</v>
      </c>
      <c r="C195" s="129">
        <f t="shared" si="55"/>
        <v>-0.02322887117</v>
      </c>
      <c r="D195" s="19">
        <f t="shared" si="56"/>
        <v>0.8362068082</v>
      </c>
      <c r="E195" s="7"/>
      <c r="F195" s="129">
        <f t="shared" si="57"/>
        <v>-0.0157719578</v>
      </c>
      <c r="G195" s="19">
        <f t="shared" si="58"/>
        <v>0.6561144832</v>
      </c>
      <c r="H195" s="166"/>
      <c r="J195" s="161">
        <f t="shared" si="59"/>
        <v>42369</v>
      </c>
      <c r="K195" s="163">
        <v>3821.600098</v>
      </c>
      <c r="L195" s="164">
        <f t="shared" si="60"/>
        <v>-0.0157719578</v>
      </c>
      <c r="M195" s="164">
        <f t="shared" si="61"/>
        <v>0.6561144832</v>
      </c>
      <c r="N195" s="165"/>
      <c r="O195" s="165"/>
      <c r="P195" s="19"/>
      <c r="Q195" s="81"/>
      <c r="R195" s="19"/>
      <c r="S195" s="1"/>
      <c r="T195" s="1"/>
    </row>
    <row r="196" ht="12.75" customHeight="1">
      <c r="A196" s="1"/>
      <c r="B196" s="159">
        <f t="shared" si="54"/>
        <v>42400</v>
      </c>
      <c r="C196" s="129">
        <f t="shared" si="55"/>
        <v>-0.02063887</v>
      </c>
      <c r="D196" s="19">
        <f t="shared" si="56"/>
        <v>0.7983095746</v>
      </c>
      <c r="E196" s="7"/>
      <c r="F196" s="129">
        <f t="shared" si="57"/>
        <v>-0.04962321884</v>
      </c>
      <c r="G196" s="19">
        <f t="shared" si="58"/>
        <v>0.5739327518</v>
      </c>
      <c r="H196" s="166"/>
      <c r="J196" s="161">
        <f t="shared" si="59"/>
        <v>42400</v>
      </c>
      <c r="K196" s="162">
        <v>3631.96</v>
      </c>
      <c r="L196" s="164">
        <f t="shared" si="60"/>
        <v>-0.04962321884</v>
      </c>
      <c r="M196" s="164">
        <f t="shared" si="61"/>
        <v>0.5739327518</v>
      </c>
      <c r="N196" s="165"/>
      <c r="O196" s="165"/>
      <c r="P196" s="19"/>
      <c r="Q196" s="81"/>
      <c r="R196" s="19"/>
      <c r="S196" s="1"/>
      <c r="T196" s="1"/>
    </row>
    <row r="197" ht="12.75" customHeight="1">
      <c r="A197" s="1"/>
      <c r="B197" s="159">
        <f t="shared" si="54"/>
        <v>42429</v>
      </c>
      <c r="C197" s="129">
        <f t="shared" si="55"/>
        <v>-0.13803577</v>
      </c>
      <c r="D197" s="19">
        <f t="shared" si="56"/>
        <v>0.5500785278</v>
      </c>
      <c r="E197" s="7"/>
      <c r="F197" s="129">
        <f t="shared" si="57"/>
        <v>-0.001349133801</v>
      </c>
      <c r="G197" s="19">
        <f t="shared" si="58"/>
        <v>0.5718093059</v>
      </c>
      <c r="H197" s="166"/>
      <c r="J197" s="161">
        <f t="shared" si="59"/>
        <v>42429</v>
      </c>
      <c r="K197" s="162">
        <v>3627.06</v>
      </c>
      <c r="L197" s="164">
        <f t="shared" si="60"/>
        <v>-0.001349133801</v>
      </c>
      <c r="M197" s="164">
        <f t="shared" si="61"/>
        <v>0.5718093059</v>
      </c>
      <c r="N197" s="165"/>
      <c r="O197" s="165"/>
      <c r="P197" s="19"/>
      <c r="Q197" s="81"/>
      <c r="R197" s="19"/>
      <c r="S197" s="1"/>
      <c r="T197" s="1"/>
    </row>
    <row r="198" ht="12.75" customHeight="1">
      <c r="A198" s="1"/>
      <c r="B198" s="159">
        <f t="shared" si="54"/>
        <v>42460</v>
      </c>
      <c r="C198" s="129">
        <f t="shared" si="55"/>
        <v>0.03745695</v>
      </c>
      <c r="D198" s="19">
        <f t="shared" si="56"/>
        <v>0.6081397417</v>
      </c>
      <c r="E198" s="7"/>
      <c r="F198" s="129">
        <f t="shared" si="57"/>
        <v>0.07460587914</v>
      </c>
      <c r="G198" s="19">
        <f t="shared" si="58"/>
        <v>0.689075521</v>
      </c>
      <c r="H198" s="166"/>
      <c r="J198" s="161">
        <f t="shared" si="59"/>
        <v>42460</v>
      </c>
      <c r="K198" s="162">
        <v>3897.66</v>
      </c>
      <c r="L198" s="164">
        <f t="shared" si="60"/>
        <v>0.07460587914</v>
      </c>
      <c r="M198" s="164">
        <f t="shared" si="61"/>
        <v>0.689075521</v>
      </c>
      <c r="N198" s="165"/>
      <c r="P198" s="19"/>
      <c r="Q198" s="81"/>
      <c r="R198" s="19"/>
      <c r="S198" s="1"/>
      <c r="T198" s="1"/>
    </row>
    <row r="199" ht="12.75" customHeight="1">
      <c r="A199" s="1"/>
      <c r="B199" s="159">
        <f t="shared" si="54"/>
        <v>42490</v>
      </c>
      <c r="C199" s="129">
        <f t="shared" si="55"/>
        <v>-0.05855032</v>
      </c>
      <c r="D199" s="19">
        <f t="shared" si="56"/>
        <v>0.5139826452</v>
      </c>
      <c r="E199" s="7"/>
      <c r="F199" s="129">
        <f t="shared" si="57"/>
        <v>-0.002445056778</v>
      </c>
      <c r="G199" s="19">
        <f t="shared" si="58"/>
        <v>0.6849456355</v>
      </c>
      <c r="H199" s="166"/>
      <c r="J199" s="161">
        <f t="shared" si="59"/>
        <v>42490</v>
      </c>
      <c r="K199" s="162">
        <v>3888.13</v>
      </c>
      <c r="L199" s="164">
        <f t="shared" si="60"/>
        <v>-0.002445056778</v>
      </c>
      <c r="M199" s="164">
        <f t="shared" si="61"/>
        <v>0.6849456355</v>
      </c>
      <c r="N199" s="165"/>
      <c r="P199" s="19"/>
      <c r="Q199" s="81"/>
      <c r="R199" s="19"/>
      <c r="S199" s="1"/>
      <c r="T199" s="1"/>
    </row>
    <row r="200" ht="12.75" customHeight="1">
      <c r="A200" s="1"/>
      <c r="B200" s="159">
        <f t="shared" si="54"/>
        <v>42521</v>
      </c>
      <c r="C200" s="129">
        <f t="shared" si="55"/>
        <v>0.03754307</v>
      </c>
      <c r="D200" s="19">
        <f t="shared" si="56"/>
        <v>0.5708222017</v>
      </c>
      <c r="E200" s="7"/>
      <c r="F200" s="129">
        <f t="shared" si="57"/>
        <v>0.01795721851</v>
      </c>
      <c r="G200" s="19">
        <f t="shared" si="58"/>
        <v>0.7152025724</v>
      </c>
      <c r="H200" s="166"/>
      <c r="J200" s="161">
        <f t="shared" si="59"/>
        <v>42521</v>
      </c>
      <c r="K200" s="162">
        <v>3957.95</v>
      </c>
      <c r="L200" s="164">
        <f t="shared" si="60"/>
        <v>0.01795721851</v>
      </c>
      <c r="M200" s="164">
        <f t="shared" si="61"/>
        <v>0.7152025724</v>
      </c>
      <c r="N200" s="165"/>
      <c r="P200" s="19"/>
      <c r="Q200" s="81"/>
      <c r="R200" s="19"/>
      <c r="S200" s="1"/>
      <c r="T200" s="1"/>
    </row>
    <row r="201" ht="12.75" customHeight="1">
      <c r="A201" s="1"/>
      <c r="B201" s="159">
        <f t="shared" si="54"/>
        <v>42551</v>
      </c>
      <c r="C201" s="129">
        <f t="shared" si="55"/>
        <v>-0.00877317</v>
      </c>
      <c r="D201" s="19">
        <f t="shared" si="56"/>
        <v>0.5570411114</v>
      </c>
      <c r="E201" s="7"/>
      <c r="F201" s="129">
        <f t="shared" si="57"/>
        <v>0.002592251039</v>
      </c>
      <c r="G201" s="19">
        <f t="shared" si="58"/>
        <v>0.7196488081</v>
      </c>
      <c r="H201" s="166"/>
      <c r="J201" s="161">
        <f t="shared" si="59"/>
        <v>42551</v>
      </c>
      <c r="K201" s="162">
        <v>3968.21</v>
      </c>
      <c r="L201" s="164">
        <f t="shared" si="60"/>
        <v>0.002592251039</v>
      </c>
      <c r="M201" s="164">
        <f t="shared" si="61"/>
        <v>0.7196488081</v>
      </c>
      <c r="N201" s="165"/>
      <c r="P201" s="19"/>
      <c r="Q201" s="81"/>
      <c r="R201" s="19"/>
      <c r="S201" s="1"/>
      <c r="T201" s="1"/>
    </row>
    <row r="202" ht="12.75" customHeight="1">
      <c r="A202" s="1"/>
      <c r="B202" s="159">
        <f t="shared" si="54"/>
        <v>42582</v>
      </c>
      <c r="C202" s="129">
        <f t="shared" si="55"/>
        <v>0.03447761</v>
      </c>
      <c r="D202" s="19">
        <f t="shared" si="56"/>
        <v>0.6107241676</v>
      </c>
      <c r="E202" s="7"/>
      <c r="F202" s="129">
        <f t="shared" si="57"/>
        <v>0.0368680085</v>
      </c>
      <c r="G202" s="19">
        <f t="shared" si="58"/>
        <v>0.7830488349</v>
      </c>
      <c r="H202" s="166"/>
      <c r="J202" s="161">
        <f t="shared" si="59"/>
        <v>42582</v>
      </c>
      <c r="K202" s="162">
        <v>4114.51</v>
      </c>
      <c r="L202" s="164">
        <f t="shared" si="60"/>
        <v>0.0368680085</v>
      </c>
      <c r="M202" s="164">
        <f t="shared" si="61"/>
        <v>0.7830488349</v>
      </c>
      <c r="N202" s="165"/>
      <c r="P202" s="19"/>
      <c r="Q202" s="81"/>
      <c r="R202" s="19"/>
      <c r="S202" s="1"/>
      <c r="T202" s="1"/>
    </row>
    <row r="203" ht="12.75" customHeight="1">
      <c r="A203" s="1"/>
      <c r="B203" s="159">
        <f t="shared" si="54"/>
        <v>42613</v>
      </c>
      <c r="C203" s="129">
        <f t="shared" si="55"/>
        <v>-0.03463776</v>
      </c>
      <c r="D203" s="19">
        <f t="shared" si="56"/>
        <v>0.5549322905</v>
      </c>
      <c r="E203" s="7"/>
      <c r="F203" s="129">
        <f t="shared" si="57"/>
        <v>0.005636151085</v>
      </c>
      <c r="G203" s="19">
        <f t="shared" si="58"/>
        <v>0.7930983675</v>
      </c>
      <c r="H203" s="166"/>
      <c r="J203" s="161">
        <f t="shared" si="59"/>
        <v>42613</v>
      </c>
      <c r="K203" s="162">
        <v>4137.7</v>
      </c>
      <c r="L203" s="164">
        <f t="shared" si="60"/>
        <v>0.005636151085</v>
      </c>
      <c r="M203" s="164">
        <f t="shared" si="61"/>
        <v>0.7930983675</v>
      </c>
      <c r="N203" s="165"/>
      <c r="P203" s="19"/>
      <c r="Q203" s="81"/>
      <c r="R203" s="19"/>
      <c r="S203" s="1"/>
      <c r="T203" s="1"/>
    </row>
    <row r="204" ht="12.75" customHeight="1">
      <c r="A204" s="1"/>
      <c r="B204" s="159">
        <f t="shared" si="54"/>
        <v>42643</v>
      </c>
      <c r="C204" s="129">
        <f t="shared" si="55"/>
        <v>-0.01812101</v>
      </c>
      <c r="D204" s="19">
        <f t="shared" si="56"/>
        <v>0.5267553469</v>
      </c>
      <c r="E204" s="7"/>
      <c r="F204" s="129">
        <f t="shared" si="57"/>
        <v>-0.00402155787</v>
      </c>
      <c r="G204" s="19">
        <f t="shared" si="58"/>
        <v>0.7858873187</v>
      </c>
      <c r="H204" s="166"/>
      <c r="J204" s="161">
        <f t="shared" si="59"/>
        <v>42643</v>
      </c>
      <c r="K204" s="162">
        <v>4121.06</v>
      </c>
      <c r="L204" s="164">
        <f t="shared" si="60"/>
        <v>-0.00402155787</v>
      </c>
      <c r="M204" s="164">
        <f t="shared" si="61"/>
        <v>0.7858873187</v>
      </c>
      <c r="N204" s="165"/>
      <c r="P204" s="19"/>
      <c r="Q204" s="81"/>
      <c r="R204" s="19"/>
      <c r="S204" s="1"/>
      <c r="T204" s="1"/>
    </row>
    <row r="205" ht="12.75" customHeight="1">
      <c r="A205" s="1"/>
      <c r="B205" s="159">
        <f t="shared" si="54"/>
        <v>42674</v>
      </c>
      <c r="C205" s="129">
        <f t="shared" si="55"/>
        <v>-0.01499837</v>
      </c>
      <c r="D205" s="19">
        <f t="shared" si="56"/>
        <v>0.5038565053</v>
      </c>
      <c r="E205" s="7"/>
      <c r="F205" s="129">
        <f t="shared" si="57"/>
        <v>-0.0182404527</v>
      </c>
      <c r="G205" s="19">
        <f t="shared" si="58"/>
        <v>0.7533119255</v>
      </c>
      <c r="H205" s="166"/>
      <c r="J205" s="161">
        <f t="shared" si="59"/>
        <v>42674</v>
      </c>
      <c r="K205" s="162">
        <v>4045.89</v>
      </c>
      <c r="L205" s="164">
        <f t="shared" si="60"/>
        <v>-0.0182404527</v>
      </c>
      <c r="M205" s="164">
        <f t="shared" si="61"/>
        <v>0.7533119255</v>
      </c>
      <c r="N205" s="165"/>
      <c r="P205" s="19"/>
      <c r="Q205" s="81"/>
      <c r="R205" s="19"/>
      <c r="S205" s="1"/>
      <c r="T205" s="1"/>
    </row>
    <row r="206" ht="12.75" customHeight="1">
      <c r="A206" s="1"/>
      <c r="B206" s="159">
        <f t="shared" si="54"/>
        <v>42704</v>
      </c>
      <c r="C206" s="129">
        <f t="shared" si="55"/>
        <v>0.11363835</v>
      </c>
      <c r="D206" s="19">
        <f t="shared" si="56"/>
        <v>0.6747522772</v>
      </c>
      <c r="E206" s="7"/>
      <c r="F206" s="129">
        <f t="shared" si="57"/>
        <v>0.03703511465</v>
      </c>
      <c r="G206" s="19">
        <f t="shared" si="58"/>
        <v>0.8182460337</v>
      </c>
      <c r="H206" s="166"/>
      <c r="J206" s="161">
        <f t="shared" si="59"/>
        <v>42704</v>
      </c>
      <c r="K206" s="162">
        <v>4195.73</v>
      </c>
      <c r="L206" s="164">
        <f t="shared" si="60"/>
        <v>0.03703511465</v>
      </c>
      <c r="M206" s="164">
        <f t="shared" si="61"/>
        <v>0.8182460337</v>
      </c>
      <c r="N206" s="165"/>
      <c r="P206" s="19"/>
      <c r="Q206" s="81"/>
      <c r="R206" s="19"/>
      <c r="S206" s="1"/>
      <c r="T206" s="1"/>
    </row>
    <row r="207" ht="12.75" customHeight="1">
      <c r="A207" s="1"/>
      <c r="B207" s="159">
        <f t="shared" si="54"/>
        <v>42735</v>
      </c>
      <c r="C207" s="129">
        <f t="shared" si="55"/>
        <v>0.02102298</v>
      </c>
      <c r="D207" s="19">
        <f t="shared" si="56"/>
        <v>0.7099605608</v>
      </c>
      <c r="E207" s="7"/>
      <c r="F207" s="129">
        <f t="shared" si="57"/>
        <v>0.01976533285</v>
      </c>
      <c r="G207" s="19">
        <f t="shared" si="58"/>
        <v>0.8541842718</v>
      </c>
      <c r="H207" s="166"/>
      <c r="J207" s="161">
        <f t="shared" si="59"/>
        <v>42735</v>
      </c>
      <c r="K207" s="162">
        <v>4278.66</v>
      </c>
      <c r="L207" s="164">
        <f t="shared" si="60"/>
        <v>0.01976533285</v>
      </c>
      <c r="M207" s="164">
        <f t="shared" si="61"/>
        <v>0.8541842718</v>
      </c>
      <c r="N207" s="165"/>
      <c r="P207" s="19"/>
      <c r="Q207" s="81"/>
      <c r="R207" s="19"/>
      <c r="S207" s="1"/>
      <c r="T207" s="1"/>
    </row>
    <row r="208" ht="12.75" customHeight="1">
      <c r="A208" s="1"/>
      <c r="B208" s="159">
        <f t="shared" si="54"/>
        <v>42766</v>
      </c>
      <c r="C208" s="129">
        <f t="shared" si="55"/>
        <v>0.04996914</v>
      </c>
      <c r="D208" s="19">
        <f t="shared" si="56"/>
        <v>0.7954058195</v>
      </c>
      <c r="E208" s="7"/>
      <c r="F208" s="129">
        <f t="shared" si="57"/>
        <v>0.0189662184</v>
      </c>
      <c r="G208" s="19">
        <f t="shared" si="58"/>
        <v>0.8893511356</v>
      </c>
      <c r="H208" s="166"/>
      <c r="J208" s="161">
        <f t="shared" si="59"/>
        <v>42766</v>
      </c>
      <c r="K208" s="162">
        <v>4359.81</v>
      </c>
      <c r="L208" s="164">
        <f t="shared" si="60"/>
        <v>0.0189662184</v>
      </c>
      <c r="M208" s="164">
        <f t="shared" si="61"/>
        <v>0.8893511356</v>
      </c>
      <c r="N208" s="165"/>
      <c r="P208" s="19"/>
      <c r="Q208" s="81"/>
      <c r="R208" s="19"/>
      <c r="S208" s="1"/>
      <c r="T208" s="1"/>
    </row>
    <row r="209" ht="12.75" customHeight="1">
      <c r="A209" s="1"/>
      <c r="B209" s="159">
        <f t="shared" si="54"/>
        <v>42794</v>
      </c>
      <c r="C209" s="129">
        <f t="shared" si="55"/>
        <v>0.00195402</v>
      </c>
      <c r="D209" s="19">
        <f t="shared" si="56"/>
        <v>0.7989140784</v>
      </c>
      <c r="E209" s="7"/>
      <c r="F209" s="129">
        <f t="shared" si="57"/>
        <v>0.03970815242</v>
      </c>
      <c r="G209" s="19">
        <f t="shared" si="58"/>
        <v>0.9643737785</v>
      </c>
      <c r="H209" s="166"/>
      <c r="J209" s="161">
        <f t="shared" si="59"/>
        <v>42794</v>
      </c>
      <c r="K209" s="162">
        <v>4532.93</v>
      </c>
      <c r="L209" s="164">
        <f t="shared" si="60"/>
        <v>0.03970815242</v>
      </c>
      <c r="M209" s="164">
        <f t="shared" si="61"/>
        <v>0.9643737785</v>
      </c>
      <c r="N209" s="165"/>
      <c r="P209" s="19"/>
      <c r="Q209" s="81"/>
      <c r="R209" s="19"/>
      <c r="S209" s="1"/>
      <c r="T209" s="1"/>
    </row>
    <row r="210" ht="12.75" customHeight="1">
      <c r="A210" s="1"/>
      <c r="B210" s="159">
        <f t="shared" si="54"/>
        <v>42825</v>
      </c>
      <c r="C210" s="129">
        <f t="shared" si="55"/>
        <v>-0.01058101</v>
      </c>
      <c r="D210" s="19">
        <f t="shared" si="56"/>
        <v>0.7798797505</v>
      </c>
      <c r="E210" s="7"/>
      <c r="F210" s="129">
        <f t="shared" si="57"/>
        <v>0.001164809516</v>
      </c>
      <c r="G210" s="19">
        <f t="shared" si="58"/>
        <v>0.9666618997</v>
      </c>
      <c r="H210" s="166"/>
      <c r="J210" s="161">
        <f t="shared" si="59"/>
        <v>42825</v>
      </c>
      <c r="K210" s="162">
        <v>4538.21</v>
      </c>
      <c r="L210" s="164">
        <f t="shared" si="60"/>
        <v>0.001164809516</v>
      </c>
      <c r="M210" s="164">
        <f t="shared" si="61"/>
        <v>0.9666618997</v>
      </c>
      <c r="N210" s="165"/>
      <c r="P210" s="19"/>
      <c r="Q210" s="81"/>
      <c r="R210" s="19"/>
      <c r="S210" s="1"/>
      <c r="T210" s="1"/>
    </row>
    <row r="211" ht="12.75" customHeight="1">
      <c r="A211" s="1"/>
      <c r="B211" s="159">
        <f t="shared" si="54"/>
        <v>42855</v>
      </c>
      <c r="C211" s="129">
        <f t="shared" si="55"/>
        <v>0.010602</v>
      </c>
      <c r="D211" s="19">
        <f t="shared" si="56"/>
        <v>0.7987500356</v>
      </c>
      <c r="E211" s="7"/>
      <c r="F211" s="129">
        <f t="shared" si="57"/>
        <v>0.01027056923</v>
      </c>
      <c r="G211" s="19">
        <f t="shared" si="58"/>
        <v>0.9868606369</v>
      </c>
      <c r="H211" s="166"/>
      <c r="J211" s="161">
        <f t="shared" si="59"/>
        <v>42855</v>
      </c>
      <c r="K211" s="162">
        <v>4584.82</v>
      </c>
      <c r="L211" s="164">
        <f t="shared" si="60"/>
        <v>0.01027056923</v>
      </c>
      <c r="M211" s="164">
        <f t="shared" si="61"/>
        <v>0.9868606369</v>
      </c>
      <c r="N211" s="165"/>
      <c r="P211" s="19"/>
      <c r="Q211" s="81"/>
      <c r="R211" s="19"/>
      <c r="S211" s="1"/>
      <c r="T211" s="1"/>
    </row>
    <row r="212" ht="12.75" customHeight="1">
      <c r="A212" s="1"/>
      <c r="B212" s="159">
        <f t="shared" si="54"/>
        <v>42886</v>
      </c>
      <c r="C212" s="129">
        <f t="shared" si="55"/>
        <v>-0.00222527</v>
      </c>
      <c r="D212" s="19">
        <f t="shared" si="56"/>
        <v>0.7947473312</v>
      </c>
      <c r="E212" s="7"/>
      <c r="F212" s="129">
        <f t="shared" si="57"/>
        <v>0.01407252629</v>
      </c>
      <c r="G212" s="19">
        <f t="shared" si="58"/>
        <v>1.014820786</v>
      </c>
      <c r="H212" s="166"/>
      <c r="J212" s="161">
        <f t="shared" si="59"/>
        <v>42886</v>
      </c>
      <c r="K212" s="162">
        <v>4649.34</v>
      </c>
      <c r="L212" s="164">
        <f t="shared" si="60"/>
        <v>0.01407252629</v>
      </c>
      <c r="M212" s="164">
        <f t="shared" si="61"/>
        <v>1.014820786</v>
      </c>
      <c r="N212" s="165"/>
      <c r="P212" s="19"/>
      <c r="Q212" s="81"/>
      <c r="R212" s="19"/>
      <c r="S212" s="1"/>
      <c r="T212" s="1"/>
    </row>
    <row r="213" ht="12.75" customHeight="1">
      <c r="A213" s="1"/>
      <c r="B213" s="159">
        <f t="shared" si="54"/>
        <v>42916</v>
      </c>
      <c r="C213" s="129">
        <f t="shared" si="55"/>
        <v>0.01393834</v>
      </c>
      <c r="D213" s="19">
        <f t="shared" si="56"/>
        <v>0.8197631297</v>
      </c>
      <c r="E213" s="7"/>
      <c r="F213" s="129">
        <f t="shared" si="57"/>
        <v>0.00624174614</v>
      </c>
      <c r="G213" s="19">
        <f t="shared" si="58"/>
        <v>1.027396785</v>
      </c>
      <c r="H213" s="166"/>
      <c r="J213" s="161">
        <f t="shared" si="59"/>
        <v>42916</v>
      </c>
      <c r="K213" s="162">
        <v>4678.36</v>
      </c>
      <c r="L213" s="164">
        <f t="shared" si="60"/>
        <v>0.00624174614</v>
      </c>
      <c r="M213" s="164">
        <f t="shared" si="61"/>
        <v>1.027396785</v>
      </c>
      <c r="N213" s="165"/>
      <c r="P213" s="19"/>
      <c r="Q213" s="81"/>
      <c r="R213" s="19"/>
      <c r="S213" s="1"/>
      <c r="T213" s="1"/>
    </row>
    <row r="214" ht="12.75" customHeight="1">
      <c r="A214" s="1"/>
      <c r="B214" s="159">
        <f t="shared" si="54"/>
        <v>42947</v>
      </c>
      <c r="C214" s="129">
        <f t="shared" si="55"/>
        <v>0.01107705</v>
      </c>
      <c r="D214" s="19">
        <f t="shared" si="56"/>
        <v>0.8399207368</v>
      </c>
      <c r="E214" s="7"/>
      <c r="F214" s="129">
        <f t="shared" si="57"/>
        <v>0.02056276131</v>
      </c>
      <c r="G214" s="19">
        <f t="shared" si="58"/>
        <v>1.069085662</v>
      </c>
      <c r="H214" s="166"/>
      <c r="J214" s="161">
        <f t="shared" si="59"/>
        <v>42947</v>
      </c>
      <c r="K214" s="162">
        <v>4774.56</v>
      </c>
      <c r="L214" s="164">
        <f t="shared" si="60"/>
        <v>0.02056276131</v>
      </c>
      <c r="M214" s="164">
        <f t="shared" si="61"/>
        <v>1.069085662</v>
      </c>
      <c r="N214" s="165"/>
      <c r="P214" s="19"/>
      <c r="Q214" s="81"/>
      <c r="R214" s="19"/>
      <c r="S214" s="1"/>
      <c r="T214" s="1"/>
    </row>
    <row r="215" ht="12.75" customHeight="1">
      <c r="A215" s="1"/>
      <c r="B215" s="159">
        <f t="shared" si="54"/>
        <v>42978</v>
      </c>
      <c r="C215" s="129">
        <f t="shared" si="55"/>
        <v>-0.0261582</v>
      </c>
      <c r="D215" s="19">
        <f t="shared" si="56"/>
        <v>0.7917917222</v>
      </c>
      <c r="E215" s="7"/>
      <c r="F215" s="129">
        <f t="shared" si="57"/>
        <v>0.003062062263</v>
      </c>
      <c r="G215" s="19">
        <f t="shared" si="58"/>
        <v>1.075421331</v>
      </c>
      <c r="H215" s="166"/>
      <c r="J215" s="161">
        <f t="shared" si="59"/>
        <v>42978</v>
      </c>
      <c r="K215" s="162">
        <v>4789.18</v>
      </c>
      <c r="L215" s="164">
        <f t="shared" si="60"/>
        <v>0.003062062263</v>
      </c>
      <c r="M215" s="164">
        <f t="shared" si="61"/>
        <v>1.075421331</v>
      </c>
      <c r="N215" s="165"/>
      <c r="P215" s="19"/>
      <c r="Q215" s="81"/>
      <c r="R215" s="19"/>
      <c r="S215" s="1"/>
      <c r="T215" s="1"/>
    </row>
    <row r="216" ht="12.75" customHeight="1">
      <c r="A216" s="1"/>
      <c r="B216" s="159">
        <f t="shared" si="54"/>
        <v>43008</v>
      </c>
      <c r="C216" s="129">
        <f t="shared" si="55"/>
        <v>0.0309558</v>
      </c>
      <c r="D216" s="19">
        <f t="shared" si="56"/>
        <v>0.8472580684</v>
      </c>
      <c r="E216" s="7"/>
      <c r="F216" s="129">
        <f t="shared" si="57"/>
        <v>0.02062774838</v>
      </c>
      <c r="G216" s="19">
        <f t="shared" si="58"/>
        <v>1.1182326</v>
      </c>
      <c r="H216" s="166"/>
      <c r="J216" s="161">
        <f t="shared" si="59"/>
        <v>43008</v>
      </c>
      <c r="K216" s="162">
        <v>4887.97</v>
      </c>
      <c r="L216" s="164">
        <f t="shared" si="60"/>
        <v>0.02062774838</v>
      </c>
      <c r="M216" s="164">
        <f t="shared" si="61"/>
        <v>1.1182326</v>
      </c>
      <c r="N216" s="165"/>
      <c r="P216" s="19"/>
      <c r="Q216" s="81"/>
      <c r="R216" s="19"/>
      <c r="S216" s="1"/>
      <c r="T216" s="1"/>
    </row>
    <row r="217" ht="12.75" customHeight="1">
      <c r="A217" s="1"/>
      <c r="B217" s="159">
        <f t="shared" si="54"/>
        <v>43039</v>
      </c>
      <c r="C217" s="129">
        <f t="shared" si="55"/>
        <v>0.01562016</v>
      </c>
      <c r="D217" s="19">
        <f t="shared" si="56"/>
        <v>0.876112535</v>
      </c>
      <c r="E217" s="7"/>
      <c r="F217" s="129">
        <f t="shared" si="57"/>
        <v>0.02333484043</v>
      </c>
      <c r="G217" s="19">
        <f t="shared" si="58"/>
        <v>1.167661219</v>
      </c>
      <c r="H217" s="166"/>
      <c r="J217" s="161">
        <f t="shared" si="59"/>
        <v>43039</v>
      </c>
      <c r="K217" s="162">
        <v>5002.03</v>
      </c>
      <c r="L217" s="164">
        <f t="shared" si="60"/>
        <v>0.02333484043</v>
      </c>
      <c r="M217" s="164">
        <f t="shared" si="61"/>
        <v>1.167661219</v>
      </c>
      <c r="N217" s="165"/>
      <c r="P217" s="19"/>
      <c r="Q217" s="81"/>
      <c r="R217" s="19"/>
      <c r="S217" s="1"/>
      <c r="T217" s="1"/>
    </row>
    <row r="218" ht="12.75" customHeight="1">
      <c r="A218" s="1"/>
      <c r="B218" s="159">
        <f t="shared" si="54"/>
        <v>43069</v>
      </c>
      <c r="C218" s="129">
        <f t="shared" si="55"/>
        <v>0.01473625</v>
      </c>
      <c r="D218" s="19">
        <f t="shared" si="56"/>
        <v>0.9037593984</v>
      </c>
      <c r="E218" s="7"/>
      <c r="F218" s="129">
        <f t="shared" si="57"/>
        <v>0.0286243785</v>
      </c>
      <c r="G218" s="19">
        <f t="shared" si="58"/>
        <v>1.229709175</v>
      </c>
      <c r="H218" s="166"/>
      <c r="J218" s="161">
        <f t="shared" si="59"/>
        <v>43069</v>
      </c>
      <c r="K218" s="162">
        <v>5145.21</v>
      </c>
      <c r="L218" s="164">
        <f t="shared" si="60"/>
        <v>0.0286243785</v>
      </c>
      <c r="M218" s="164">
        <f t="shared" si="61"/>
        <v>1.229709175</v>
      </c>
      <c r="N218" s="165"/>
      <c r="P218" s="19"/>
      <c r="Q218" s="81"/>
      <c r="R218" s="19"/>
      <c r="S218" s="1"/>
      <c r="T218" s="1"/>
    </row>
    <row r="219" ht="12.75" customHeight="1">
      <c r="A219" s="1"/>
      <c r="B219" s="159">
        <f t="shared" si="54"/>
        <v>43100</v>
      </c>
      <c r="C219" s="129">
        <f t="shared" si="55"/>
        <v>0.01437406</v>
      </c>
      <c r="D219" s="19">
        <f t="shared" si="56"/>
        <v>0.9311241502</v>
      </c>
      <c r="E219" s="7"/>
      <c r="F219" s="129">
        <f t="shared" si="57"/>
        <v>0.01312871583</v>
      </c>
      <c r="G219" s="19">
        <f t="shared" si="58"/>
        <v>1.258982393</v>
      </c>
      <c r="H219" s="166"/>
      <c r="J219" s="161">
        <f t="shared" si="59"/>
        <v>43100</v>
      </c>
      <c r="K219" s="162">
        <v>5212.76</v>
      </c>
      <c r="L219" s="164">
        <f t="shared" si="60"/>
        <v>0.01312871583</v>
      </c>
      <c r="M219" s="164">
        <f t="shared" si="61"/>
        <v>1.258982393</v>
      </c>
      <c r="N219" s="165"/>
      <c r="P219" s="19"/>
      <c r="Q219" s="81"/>
      <c r="R219" s="19"/>
      <c r="S219" s="1"/>
      <c r="T219" s="1"/>
    </row>
    <row r="220" ht="12.75" customHeight="1">
      <c r="A220" s="1"/>
      <c r="B220" s="159">
        <f t="shared" si="54"/>
        <v>43131</v>
      </c>
      <c r="C220" s="129">
        <f t="shared" si="55"/>
        <v>0.03581444</v>
      </c>
      <c r="D220" s="19">
        <f t="shared" si="56"/>
        <v>1.00028628</v>
      </c>
      <c r="E220" s="7"/>
      <c r="F220" s="129">
        <f t="shared" si="57"/>
        <v>0.0572537389</v>
      </c>
      <c r="G220" s="19">
        <f t="shared" si="58"/>
        <v>1.388317581</v>
      </c>
      <c r="H220" s="166"/>
      <c r="J220" s="161">
        <f t="shared" si="59"/>
        <v>43131</v>
      </c>
      <c r="K220" s="162">
        <v>5511.21</v>
      </c>
      <c r="L220" s="164">
        <f t="shared" si="60"/>
        <v>0.0572537389</v>
      </c>
      <c r="M220" s="164">
        <f t="shared" si="61"/>
        <v>1.388317581</v>
      </c>
      <c r="N220" s="165"/>
      <c r="P220" s="19"/>
      <c r="Q220" s="81"/>
      <c r="R220" s="19"/>
      <c r="S220" s="1"/>
      <c r="T220" s="1"/>
    </row>
    <row r="221" ht="12.75" customHeight="1">
      <c r="A221" s="1"/>
      <c r="B221" s="159">
        <f t="shared" si="54"/>
        <v>43159</v>
      </c>
      <c r="C221" s="129">
        <f t="shared" si="55"/>
        <v>-0.04372462</v>
      </c>
      <c r="D221" s="19">
        <f t="shared" si="56"/>
        <v>0.9128245227</v>
      </c>
      <c r="E221" s="7"/>
      <c r="F221" s="129">
        <f t="shared" si="57"/>
        <v>-0.03685579029</v>
      </c>
      <c r="G221" s="19">
        <f t="shared" si="58"/>
        <v>1.300294249</v>
      </c>
      <c r="H221" s="166"/>
      <c r="J221" s="161">
        <f t="shared" si="59"/>
        <v>43159</v>
      </c>
      <c r="K221" s="162">
        <v>5308.09</v>
      </c>
      <c r="L221" s="164">
        <f t="shared" si="60"/>
        <v>-0.03685579029</v>
      </c>
      <c r="M221" s="164">
        <f t="shared" si="61"/>
        <v>1.300294249</v>
      </c>
      <c r="N221" s="165"/>
      <c r="P221" s="19"/>
      <c r="Q221" s="81"/>
      <c r="R221" s="19"/>
      <c r="S221" s="1"/>
      <c r="T221" s="1"/>
    </row>
    <row r="222" ht="12.75" customHeight="1">
      <c r="A222" s="1"/>
      <c r="B222" s="159">
        <f t="shared" si="54"/>
        <v>43190</v>
      </c>
      <c r="C222" s="129">
        <f t="shared" si="55"/>
        <v>-0.02192107</v>
      </c>
      <c r="D222" s="19">
        <f t="shared" si="56"/>
        <v>0.8708933624</v>
      </c>
      <c r="E222" s="7"/>
      <c r="F222" s="129">
        <f t="shared" si="57"/>
        <v>-0.02541403782</v>
      </c>
      <c r="G222" s="19">
        <f t="shared" si="58"/>
        <v>1.241834484</v>
      </c>
      <c r="H222" s="166"/>
      <c r="J222" s="161">
        <f t="shared" si="59"/>
        <v>43190</v>
      </c>
      <c r="K222" s="162">
        <v>5173.19</v>
      </c>
      <c r="L222" s="164">
        <f t="shared" si="60"/>
        <v>-0.02541403782</v>
      </c>
      <c r="M222" s="164">
        <f t="shared" si="61"/>
        <v>1.241834484</v>
      </c>
      <c r="N222" s="165"/>
      <c r="P222" s="19"/>
      <c r="Q222" s="81"/>
      <c r="R222" s="19"/>
      <c r="S222" s="1"/>
      <c r="T222" s="1"/>
    </row>
    <row r="223" ht="12.75" customHeight="1">
      <c r="A223" s="1"/>
      <c r="B223" s="159">
        <f t="shared" si="54"/>
        <v>43220</v>
      </c>
      <c r="C223" s="129">
        <f t="shared" si="55"/>
        <v>-0.0047321</v>
      </c>
      <c r="D223" s="19">
        <f t="shared" si="56"/>
        <v>0.862040108</v>
      </c>
      <c r="E223" s="7"/>
      <c r="F223" s="129">
        <f t="shared" si="57"/>
        <v>0.003837090847</v>
      </c>
      <c r="G223" s="19">
        <f t="shared" si="58"/>
        <v>1.250436606</v>
      </c>
      <c r="H223" s="166"/>
      <c r="J223" s="161">
        <f t="shared" si="59"/>
        <v>43220</v>
      </c>
      <c r="K223" s="162">
        <v>5193.04</v>
      </c>
      <c r="L223" s="164">
        <f t="shared" si="60"/>
        <v>0.003837090847</v>
      </c>
      <c r="M223" s="164">
        <f t="shared" si="61"/>
        <v>1.250436606</v>
      </c>
      <c r="N223" s="165"/>
      <c r="P223" s="19"/>
      <c r="Q223" s="81"/>
      <c r="R223" s="19"/>
      <c r="S223" s="1"/>
      <c r="T223" s="1"/>
    </row>
    <row r="224" ht="12.75" customHeight="1">
      <c r="A224" s="1"/>
      <c r="B224" s="159">
        <f t="shared" si="54"/>
        <v>43251</v>
      </c>
      <c r="C224" s="129">
        <f t="shared" si="55"/>
        <v>0.03043311</v>
      </c>
      <c r="D224" s="19">
        <f t="shared" si="56"/>
        <v>0.9187077794</v>
      </c>
      <c r="E224" s="7"/>
      <c r="F224" s="129">
        <f t="shared" si="57"/>
        <v>0.02408223314</v>
      </c>
      <c r="G224" s="19">
        <f t="shared" si="58"/>
        <v>1.304632146</v>
      </c>
      <c r="H224" s="166"/>
      <c r="J224" s="161">
        <f t="shared" si="59"/>
        <v>43251</v>
      </c>
      <c r="K224" s="162">
        <v>5318.1</v>
      </c>
      <c r="L224" s="164">
        <f t="shared" si="60"/>
        <v>0.02408223314</v>
      </c>
      <c r="M224" s="164">
        <f t="shared" si="61"/>
        <v>1.304632146</v>
      </c>
      <c r="N224" s="165"/>
      <c r="P224" s="19"/>
      <c r="Q224" s="81"/>
      <c r="R224" s="19"/>
      <c r="S224" s="1"/>
      <c r="T224" s="1"/>
    </row>
    <row r="225" ht="12.75" customHeight="1">
      <c r="A225" s="1"/>
      <c r="B225" s="159">
        <f t="shared" si="54"/>
        <v>43281</v>
      </c>
      <c r="C225" s="129">
        <f t="shared" si="55"/>
        <v>0.00151541</v>
      </c>
      <c r="D225" s="19">
        <f t="shared" si="56"/>
        <v>0.9216154083</v>
      </c>
      <c r="E225" s="7"/>
      <c r="F225" s="129">
        <f t="shared" si="57"/>
        <v>0.006154453658</v>
      </c>
      <c r="G225" s="19">
        <f t="shared" si="58"/>
        <v>1.318815897</v>
      </c>
      <c r="H225" s="166"/>
      <c r="J225" s="161">
        <f t="shared" si="59"/>
        <v>43281</v>
      </c>
      <c r="K225" s="162">
        <v>5350.83</v>
      </c>
      <c r="L225" s="164">
        <f t="shared" si="60"/>
        <v>0.006154453658</v>
      </c>
      <c r="M225" s="164">
        <f t="shared" si="61"/>
        <v>1.318815897</v>
      </c>
      <c r="N225" s="165"/>
      <c r="P225" s="19"/>
      <c r="Q225" s="81"/>
      <c r="R225" s="19"/>
      <c r="S225" s="1"/>
      <c r="T225" s="1"/>
    </row>
    <row r="226" ht="12.75" customHeight="1">
      <c r="A226" s="1"/>
      <c r="B226" s="159">
        <f t="shared" si="54"/>
        <v>43312</v>
      </c>
      <c r="C226" s="129">
        <f t="shared" si="55"/>
        <v>0.02331237</v>
      </c>
      <c r="D226" s="19">
        <f t="shared" si="56"/>
        <v>0.9664128177</v>
      </c>
      <c r="E226" s="7"/>
      <c r="F226" s="129">
        <f t="shared" si="57"/>
        <v>0.03721478724</v>
      </c>
      <c r="G226" s="19">
        <f t="shared" si="58"/>
        <v>1.405110138</v>
      </c>
      <c r="H226" s="166"/>
      <c r="J226" s="161">
        <f t="shared" si="59"/>
        <v>43312</v>
      </c>
      <c r="K226" s="167">
        <v>5549.96</v>
      </c>
      <c r="L226" s="164">
        <f t="shared" si="60"/>
        <v>0.03721478724</v>
      </c>
      <c r="M226" s="164">
        <f t="shared" si="61"/>
        <v>1.405110138</v>
      </c>
      <c r="N226" s="165"/>
      <c r="P226" s="19"/>
      <c r="Q226" s="81"/>
      <c r="R226" s="19"/>
      <c r="S226" s="1"/>
      <c r="T226" s="1"/>
    </row>
    <row r="227" ht="12.75" customHeight="1">
      <c r="A227" s="1"/>
      <c r="B227" s="159">
        <f t="shared" si="54"/>
        <v>43343</v>
      </c>
      <c r="C227" s="129">
        <f t="shared" si="55"/>
        <v>0.04066445</v>
      </c>
      <c r="D227" s="19">
        <f t="shared" si="56"/>
        <v>1.046375913</v>
      </c>
      <c r="E227" s="7"/>
      <c r="F227" s="129">
        <f t="shared" si="57"/>
        <v>0.03258401862</v>
      </c>
      <c r="G227" s="19">
        <f t="shared" si="58"/>
        <v>1.483478291</v>
      </c>
      <c r="H227" s="166"/>
      <c r="J227" s="161">
        <f t="shared" si="59"/>
        <v>43343</v>
      </c>
      <c r="K227" s="167">
        <v>5730.8</v>
      </c>
      <c r="L227" s="164">
        <f t="shared" si="60"/>
        <v>0.03258401862</v>
      </c>
      <c r="M227" s="164">
        <f t="shared" si="61"/>
        <v>1.483478291</v>
      </c>
      <c r="N227" s="165"/>
      <c r="P227" s="19"/>
      <c r="Q227" s="81"/>
      <c r="R227" s="19"/>
      <c r="S227" s="1"/>
      <c r="T227" s="1"/>
    </row>
    <row r="228" ht="12.75" customHeight="1">
      <c r="A228" s="1"/>
      <c r="B228" s="159">
        <f t="shared" si="54"/>
        <v>43373</v>
      </c>
      <c r="C228" s="129">
        <f t="shared" si="55"/>
        <v>-0.01447529</v>
      </c>
      <c r="D228" s="19">
        <f t="shared" si="56"/>
        <v>1.016754029</v>
      </c>
      <c r="E228" s="7"/>
      <c r="F228" s="129">
        <f t="shared" si="57"/>
        <v>0.005692049976</v>
      </c>
      <c r="G228" s="19">
        <f t="shared" si="58"/>
        <v>1.497614374</v>
      </c>
      <c r="H228" s="166"/>
      <c r="J228" s="161">
        <f t="shared" si="59"/>
        <v>43373</v>
      </c>
      <c r="K228" s="167">
        <v>5763.42</v>
      </c>
      <c r="L228" s="164">
        <f t="shared" si="60"/>
        <v>0.005692049976</v>
      </c>
      <c r="M228" s="164">
        <f t="shared" si="61"/>
        <v>1.497614374</v>
      </c>
      <c r="N228" s="168"/>
      <c r="P228" s="19"/>
      <c r="Q228" s="81"/>
      <c r="R228" s="19"/>
      <c r="S228" s="1"/>
      <c r="T228" s="1"/>
    </row>
    <row r="229" ht="12.75" customHeight="1">
      <c r="A229" s="1"/>
      <c r="B229" s="159">
        <f t="shared" si="54"/>
        <v>43404</v>
      </c>
      <c r="C229" s="129">
        <f t="shared" si="55"/>
        <v>-0.09190206</v>
      </c>
      <c r="D229" s="19">
        <f t="shared" si="56"/>
        <v>0.8314101789</v>
      </c>
      <c r="E229" s="7"/>
      <c r="F229" s="129">
        <f t="shared" si="57"/>
        <v>-0.06835004216</v>
      </c>
      <c r="G229" s="19">
        <f t="shared" si="58"/>
        <v>1.326902326</v>
      </c>
      <c r="H229" s="166"/>
      <c r="J229" s="161">
        <f t="shared" si="59"/>
        <v>43404</v>
      </c>
      <c r="K229" s="167">
        <v>5369.49</v>
      </c>
      <c r="L229" s="164">
        <f t="shared" si="60"/>
        <v>-0.06835004216</v>
      </c>
      <c r="M229" s="164">
        <f t="shared" si="61"/>
        <v>1.326902326</v>
      </c>
      <c r="N229" s="168"/>
      <c r="P229" s="19"/>
      <c r="Q229" s="81"/>
      <c r="R229" s="19"/>
      <c r="S229" s="1"/>
      <c r="T229" s="1"/>
    </row>
    <row r="230" ht="12.75" customHeight="1">
      <c r="A230" s="1"/>
      <c r="B230" s="159">
        <f t="shared" si="54"/>
        <v>43434</v>
      </c>
      <c r="C230" s="129">
        <f t="shared" si="55"/>
        <v>0.01571129</v>
      </c>
      <c r="D230" s="19">
        <f t="shared" si="56"/>
        <v>0.8601839953</v>
      </c>
      <c r="E230" s="7"/>
      <c r="F230" s="129">
        <f t="shared" si="57"/>
        <v>0.02037809922</v>
      </c>
      <c r="G230" s="19">
        <f t="shared" si="58"/>
        <v>1.374320172</v>
      </c>
      <c r="H230" s="166"/>
      <c r="J230" s="161">
        <f t="shared" si="59"/>
        <v>43434</v>
      </c>
      <c r="K230" s="167">
        <v>5478.91</v>
      </c>
      <c r="L230" s="164">
        <f t="shared" si="60"/>
        <v>0.02037809922</v>
      </c>
      <c r="M230" s="164">
        <f t="shared" si="61"/>
        <v>1.374320172</v>
      </c>
      <c r="N230" s="168"/>
      <c r="P230" s="19"/>
      <c r="Q230" s="81"/>
      <c r="R230" s="19"/>
      <c r="S230" s="1"/>
      <c r="T230" s="1"/>
    </row>
    <row r="231" ht="12.75" customHeight="1">
      <c r="A231" s="1"/>
      <c r="B231" s="159">
        <f t="shared" si="54"/>
        <v>43465</v>
      </c>
      <c r="C231" s="129">
        <f t="shared" si="55"/>
        <v>-0.07905003</v>
      </c>
      <c r="D231" s="19">
        <f t="shared" si="56"/>
        <v>0.7131363947</v>
      </c>
      <c r="E231" s="7"/>
      <c r="F231" s="129">
        <f t="shared" si="57"/>
        <v>-0.09028985692</v>
      </c>
      <c r="G231" s="19">
        <f t="shared" si="58"/>
        <v>1.159943144</v>
      </c>
      <c r="H231" s="166"/>
      <c r="J231" s="161">
        <f t="shared" si="59"/>
        <v>43465</v>
      </c>
      <c r="K231" s="167">
        <v>4984.22</v>
      </c>
      <c r="L231" s="164">
        <f t="shared" si="60"/>
        <v>-0.09028985692</v>
      </c>
      <c r="M231" s="164">
        <f t="shared" si="61"/>
        <v>1.159943144</v>
      </c>
      <c r="P231" s="19"/>
      <c r="Q231" s="81"/>
      <c r="R231" s="19"/>
      <c r="S231" s="1"/>
      <c r="T231" s="1"/>
    </row>
    <row r="232" ht="12.75" customHeight="1">
      <c r="A232" s="1"/>
      <c r="B232" s="159">
        <f t="shared" si="54"/>
        <v>43496</v>
      </c>
      <c r="C232" s="129">
        <f t="shared" si="55"/>
        <v>0.07748149</v>
      </c>
      <c r="D232" s="19">
        <f t="shared" si="56"/>
        <v>0.8458727551</v>
      </c>
      <c r="E232" s="7"/>
      <c r="F232" s="129">
        <f t="shared" si="57"/>
        <v>0.08013490576</v>
      </c>
      <c r="G232" s="19">
        <f t="shared" si="58"/>
        <v>1.333029984</v>
      </c>
      <c r="H232" s="166"/>
      <c r="J232" s="161">
        <f t="shared" si="59"/>
        <v>43496</v>
      </c>
      <c r="K232" s="167">
        <v>5383.63</v>
      </c>
      <c r="L232" s="164">
        <f t="shared" si="60"/>
        <v>0.08013490576</v>
      </c>
      <c r="M232" s="164">
        <f t="shared" si="61"/>
        <v>1.333029984</v>
      </c>
      <c r="P232" s="19"/>
      <c r="Q232" s="81"/>
      <c r="R232" s="19"/>
      <c r="S232" s="1"/>
      <c r="T232" s="1"/>
    </row>
    <row r="233" ht="12.75" customHeight="1">
      <c r="A233" s="1"/>
      <c r="B233" s="159">
        <f t="shared" si="54"/>
        <v>43524</v>
      </c>
      <c r="C233" s="129">
        <f t="shared" si="55"/>
        <v>0.01963653</v>
      </c>
      <c r="D233" s="19">
        <f t="shared" si="56"/>
        <v>0.8821192909</v>
      </c>
      <c r="E233" s="7"/>
      <c r="F233" s="129">
        <f t="shared" si="57"/>
        <v>0.03210844727</v>
      </c>
      <c r="G233" s="19">
        <f t="shared" si="58"/>
        <v>1.407939954</v>
      </c>
      <c r="H233" s="166"/>
      <c r="J233" s="161">
        <f t="shared" si="59"/>
        <v>43524</v>
      </c>
      <c r="K233" s="167">
        <v>5556.49</v>
      </c>
      <c r="L233" s="164">
        <f t="shared" si="60"/>
        <v>0.03210844727</v>
      </c>
      <c r="M233" s="164">
        <f t="shared" si="61"/>
        <v>1.407939954</v>
      </c>
      <c r="P233" s="19"/>
      <c r="Q233" s="81"/>
      <c r="R233" s="19"/>
      <c r="S233" s="1"/>
      <c r="T233" s="1"/>
    </row>
    <row r="234" ht="12.75" customHeight="1">
      <c r="A234" s="1"/>
      <c r="B234" s="159">
        <f t="shared" si="54"/>
        <v>43555</v>
      </c>
      <c r="C234" s="129">
        <f t="shared" si="55"/>
        <v>0.03458052</v>
      </c>
      <c r="D234" s="19">
        <f t="shared" si="56"/>
        <v>0.9472039546</v>
      </c>
      <c r="E234" s="7"/>
      <c r="F234" s="129">
        <f t="shared" si="57"/>
        <v>0.01943133165</v>
      </c>
      <c r="G234" s="19">
        <f t="shared" si="58"/>
        <v>1.454729434</v>
      </c>
      <c r="H234" s="166"/>
      <c r="J234" s="161">
        <f t="shared" si="59"/>
        <v>43555</v>
      </c>
      <c r="K234" s="167">
        <v>5664.46</v>
      </c>
      <c r="L234" s="164">
        <f t="shared" si="60"/>
        <v>0.01943133165</v>
      </c>
      <c r="M234" s="164">
        <f t="shared" si="61"/>
        <v>1.454729434</v>
      </c>
      <c r="P234" s="19"/>
      <c r="Q234" s="81"/>
      <c r="R234" s="19"/>
      <c r="S234" s="1"/>
      <c r="T234" s="1"/>
    </row>
    <row r="235" ht="12.75" customHeight="1">
      <c r="A235" s="1"/>
      <c r="B235" s="159">
        <f t="shared" si="54"/>
        <v>43585</v>
      </c>
      <c r="C235" s="129">
        <f t="shared" si="55"/>
        <v>0.08115759</v>
      </c>
      <c r="D235" s="19">
        <f t="shared" si="56"/>
        <v>1.105234335</v>
      </c>
      <c r="E235" s="7"/>
      <c r="F235" s="129">
        <f t="shared" si="57"/>
        <v>0.04048929642</v>
      </c>
      <c r="G235" s="19">
        <f t="shared" si="58"/>
        <v>1.554119702</v>
      </c>
      <c r="H235" s="166"/>
      <c r="J235" s="161">
        <f t="shared" si="59"/>
        <v>43585</v>
      </c>
      <c r="K235" s="167">
        <v>5893.81</v>
      </c>
      <c r="L235" s="164">
        <f t="shared" si="60"/>
        <v>0.04048929642</v>
      </c>
      <c r="M235" s="164">
        <f t="shared" si="61"/>
        <v>1.554119702</v>
      </c>
      <c r="P235" s="19"/>
      <c r="Q235" s="81"/>
      <c r="R235" s="19"/>
      <c r="S235" s="1"/>
      <c r="T235" s="1"/>
    </row>
    <row r="236" ht="12.75" customHeight="1">
      <c r="A236" s="1"/>
      <c r="B236" s="159">
        <f t="shared" si="54"/>
        <v>43616</v>
      </c>
      <c r="C236" s="129">
        <f t="shared" si="55"/>
        <v>-0.05212919</v>
      </c>
      <c r="D236" s="19">
        <f t="shared" si="56"/>
        <v>0.9954901742</v>
      </c>
      <c r="E236" s="7"/>
      <c r="F236" s="129">
        <f t="shared" si="57"/>
        <v>-0.06354802751</v>
      </c>
      <c r="G236" s="19">
        <f t="shared" si="58"/>
        <v>1.391810433</v>
      </c>
      <c r="H236" s="166"/>
      <c r="J236" s="161">
        <f t="shared" si="59"/>
        <v>43616</v>
      </c>
      <c r="K236" s="167">
        <v>5519.27</v>
      </c>
      <c r="L236" s="164">
        <f t="shared" si="60"/>
        <v>-0.06354802751</v>
      </c>
      <c r="M236" s="164">
        <f t="shared" si="61"/>
        <v>1.391810433</v>
      </c>
      <c r="P236" s="19"/>
      <c r="Q236" s="81"/>
      <c r="R236" s="19"/>
      <c r="S236" s="1"/>
      <c r="T236" s="1"/>
    </row>
    <row r="237" ht="12.75" customHeight="1">
      <c r="A237" s="1"/>
      <c r="B237" s="159">
        <f t="shared" si="54"/>
        <v>43646</v>
      </c>
      <c r="C237" s="129">
        <f t="shared" si="55"/>
        <v>0.0646226</v>
      </c>
      <c r="D237" s="19">
        <f t="shared" si="56"/>
        <v>1.124443938</v>
      </c>
      <c r="E237" s="7"/>
      <c r="F237" s="129">
        <f t="shared" si="57"/>
        <v>0.07047671159</v>
      </c>
      <c r="G237" s="19">
        <f t="shared" si="58"/>
        <v>1.560377367</v>
      </c>
      <c r="H237" s="166"/>
      <c r="J237" s="161">
        <f t="shared" si="59"/>
        <v>43646</v>
      </c>
      <c r="K237" s="167">
        <v>5908.25</v>
      </c>
      <c r="L237" s="164">
        <f t="shared" si="60"/>
        <v>0.07047671159</v>
      </c>
      <c r="M237" s="164">
        <f t="shared" si="61"/>
        <v>1.560377367</v>
      </c>
      <c r="P237" s="19"/>
      <c r="Q237" s="81"/>
      <c r="R237" s="19"/>
      <c r="S237" s="1"/>
      <c r="T237" s="1"/>
    </row>
    <row r="238" ht="12.75" customHeight="1">
      <c r="A238" s="1"/>
      <c r="B238" s="159">
        <f t="shared" si="54"/>
        <v>43677</v>
      </c>
      <c r="C238" s="129">
        <f t="shared" si="55"/>
        <v>0.02835014</v>
      </c>
      <c r="D238" s="19">
        <f t="shared" si="56"/>
        <v>1.184672221</v>
      </c>
      <c r="E238" s="7"/>
      <c r="F238" s="129">
        <f t="shared" si="57"/>
        <v>0.01437312233</v>
      </c>
      <c r="G238" s="19">
        <f t="shared" si="58"/>
        <v>1.597177984</v>
      </c>
      <c r="H238" s="166"/>
      <c r="J238" s="161">
        <f t="shared" si="59"/>
        <v>43677</v>
      </c>
      <c r="K238" s="167">
        <v>5993.17</v>
      </c>
      <c r="L238" s="164">
        <f t="shared" si="60"/>
        <v>0.01437312233</v>
      </c>
      <c r="M238" s="164">
        <f t="shared" si="61"/>
        <v>1.597177984</v>
      </c>
      <c r="P238" s="19"/>
      <c r="Q238" s="81"/>
      <c r="R238" s="19"/>
      <c r="S238" s="1"/>
      <c r="T238" s="1"/>
    </row>
    <row r="239" ht="12.75" customHeight="1">
      <c r="A239" s="1"/>
      <c r="B239" s="159">
        <f t="shared" si="54"/>
        <v>43708</v>
      </c>
      <c r="C239" s="129">
        <f t="shared" si="55"/>
        <v>-0.01094486</v>
      </c>
      <c r="D239" s="19">
        <f t="shared" si="56"/>
        <v>1.160761289</v>
      </c>
      <c r="E239" s="7"/>
      <c r="F239" s="129">
        <f t="shared" si="57"/>
        <v>-0.01584136609</v>
      </c>
      <c r="G239" s="19">
        <f t="shared" si="58"/>
        <v>1.556035137</v>
      </c>
      <c r="H239" s="166"/>
      <c r="J239" s="161">
        <f t="shared" si="59"/>
        <v>43708</v>
      </c>
      <c r="K239" s="167">
        <v>5898.23</v>
      </c>
      <c r="L239" s="164">
        <f t="shared" si="60"/>
        <v>-0.01584136609</v>
      </c>
      <c r="M239" s="164">
        <f t="shared" si="61"/>
        <v>1.556035137</v>
      </c>
      <c r="P239" s="19"/>
      <c r="Q239" s="81"/>
      <c r="R239" s="19"/>
      <c r="S239" s="1"/>
      <c r="T239" s="1"/>
    </row>
    <row r="240" ht="12.75" customHeight="1">
      <c r="A240" s="1"/>
      <c r="B240" s="159">
        <f t="shared" si="54"/>
        <v>43738</v>
      </c>
      <c r="C240" s="129">
        <f t="shared" si="55"/>
        <v>0.01684617</v>
      </c>
      <c r="D240" s="19">
        <f t="shared" si="56"/>
        <v>1.197161841</v>
      </c>
      <c r="E240" s="7"/>
      <c r="F240" s="129">
        <f t="shared" si="57"/>
        <v>0.01871069796</v>
      </c>
      <c r="G240" s="19">
        <f t="shared" si="58"/>
        <v>1.603860338</v>
      </c>
      <c r="H240" s="166"/>
      <c r="J240" s="161">
        <f t="shared" si="59"/>
        <v>43738</v>
      </c>
      <c r="K240" s="167">
        <v>6008.59</v>
      </c>
      <c r="L240" s="164">
        <f t="shared" si="60"/>
        <v>0.01871069796</v>
      </c>
      <c r="M240" s="164">
        <f t="shared" si="61"/>
        <v>1.603860338</v>
      </c>
      <c r="P240" s="19"/>
      <c r="Q240" s="81"/>
      <c r="R240" s="19"/>
      <c r="S240" s="1"/>
      <c r="T240" s="1"/>
    </row>
    <row r="241" ht="12.75" customHeight="1">
      <c r="A241" s="1"/>
      <c r="B241" s="159"/>
      <c r="C241" s="19"/>
      <c r="D241" s="19"/>
      <c r="E241" s="7"/>
      <c r="F241" s="19"/>
      <c r="G241" s="19"/>
      <c r="H241" s="166"/>
      <c r="K241" s="169"/>
      <c r="M241" s="1"/>
      <c r="P241" s="19"/>
      <c r="Q241" s="81"/>
      <c r="R241" s="19"/>
      <c r="S241" s="1"/>
      <c r="T241" s="1"/>
    </row>
    <row r="242" ht="12.75" customHeight="1">
      <c r="A242" s="1"/>
      <c r="B242" s="5"/>
      <c r="C242" s="152"/>
      <c r="E242" s="7"/>
      <c r="F242" s="19"/>
      <c r="G242" s="19"/>
      <c r="H242" s="166"/>
      <c r="M242" s="1"/>
      <c r="P242" s="19"/>
      <c r="Q242" s="81"/>
      <c r="R242" s="19"/>
      <c r="S242" s="1"/>
      <c r="T242" s="1"/>
    </row>
    <row r="243" ht="12.75" customHeight="1">
      <c r="A243" s="1"/>
      <c r="B243" s="5" t="s">
        <v>831</v>
      </c>
      <c r="C243" s="152" t="str">
        <f>VLOOKUP($C$4,$C$35:$Q$43,15,FALSE)</f>
        <v/>
      </c>
      <c r="E243" s="7"/>
      <c r="F243" s="19"/>
      <c r="G243" s="19"/>
      <c r="H243" s="166"/>
      <c r="M243" s="1"/>
      <c r="P243" s="19"/>
      <c r="Q243" s="81"/>
      <c r="R243" s="19"/>
      <c r="S243" s="1"/>
      <c r="T243" s="1"/>
    </row>
    <row r="244" ht="12.75" customHeight="1">
      <c r="A244" s="1"/>
      <c r="B244" s="5" t="s">
        <v>813</v>
      </c>
      <c r="C244" s="19">
        <f t="array" ref="C244">PRODUCT(1+C149:C241)^(1/COUNT(C149:C241))-1</f>
        <v>0.008883795663</v>
      </c>
      <c r="D244" s="7"/>
      <c r="E244" s="7"/>
      <c r="F244" s="19">
        <f t="array" ref="F244">PRODUCT(1+F149:F241)^(1/COUNT(F149:F241))-1</f>
        <v>0.01081077244</v>
      </c>
      <c r="G244" s="7"/>
      <c r="H244" s="158"/>
      <c r="M244" s="1"/>
      <c r="P244" s="19"/>
      <c r="Q244" s="81"/>
      <c r="R244" s="19"/>
      <c r="S244" s="1"/>
      <c r="T244" s="1"/>
    </row>
    <row r="245" ht="12.75" customHeight="1">
      <c r="A245" s="1"/>
      <c r="B245" s="89" t="s">
        <v>833</v>
      </c>
      <c r="C245" s="170">
        <f>((1+C244)^COUNTA(C149:C241))-1</f>
        <v>1.197161841</v>
      </c>
      <c r="D245" s="10"/>
      <c r="E245" s="10"/>
      <c r="F245" s="170">
        <f>((1+F244)^COUNTA(F149:F241))-1</f>
        <v>1.603860338</v>
      </c>
      <c r="G245" s="10"/>
      <c r="H245" s="90"/>
      <c r="M245" s="1"/>
      <c r="P245" s="19"/>
      <c r="Q245" s="81"/>
      <c r="R245" s="19"/>
      <c r="S245" s="1"/>
      <c r="T245" s="1"/>
    </row>
    <row r="246" ht="12.75" customHeight="1">
      <c r="A246" s="1"/>
      <c r="B246" s="171" t="s">
        <v>834</v>
      </c>
      <c r="C246" s="19">
        <f>(1+C244)^12-1</f>
        <v>0.1119717635</v>
      </c>
      <c r="D246" s="7"/>
      <c r="E246" s="7"/>
      <c r="F246" s="19">
        <f>(1+F244)^12-1</f>
        <v>0.1377277206</v>
      </c>
      <c r="G246" s="7"/>
      <c r="H246" s="158"/>
      <c r="M246" s="1"/>
      <c r="P246" s="19"/>
      <c r="Q246" s="81"/>
      <c r="R246" s="19"/>
      <c r="S246" s="1"/>
      <c r="T246" s="1"/>
    </row>
    <row r="248" ht="12.75" customHeight="1">
      <c r="A248" s="1"/>
      <c r="B248" s="7"/>
      <c r="C248" s="19"/>
      <c r="D248" s="7"/>
      <c r="E248" s="7"/>
      <c r="F248" s="19"/>
      <c r="G248" s="7"/>
      <c r="H248" s="7"/>
      <c r="M248" s="1"/>
      <c r="P248" s="19"/>
      <c r="Q248" s="81"/>
      <c r="R248" s="19"/>
      <c r="S248" s="1"/>
      <c r="T248" s="1"/>
    </row>
    <row r="249" ht="12.75" customHeight="1">
      <c r="A249" s="1"/>
      <c r="B249" s="7"/>
      <c r="C249" s="19"/>
      <c r="D249" s="7"/>
      <c r="E249" s="7"/>
      <c r="F249" s="19"/>
      <c r="G249" s="7"/>
      <c r="H249" s="7"/>
      <c r="M249" s="1"/>
      <c r="P249" s="19"/>
      <c r="Q249" s="81"/>
      <c r="R249" s="19"/>
      <c r="S249" s="1"/>
      <c r="T249" s="1"/>
    </row>
    <row r="250" ht="12.75" customHeight="1">
      <c r="A250" s="1"/>
      <c r="B250" s="7"/>
      <c r="C250" s="19"/>
      <c r="D250" s="7"/>
      <c r="E250" s="7"/>
      <c r="F250" s="19"/>
      <c r="G250" s="7"/>
      <c r="H250" s="7"/>
      <c r="M250" s="1"/>
      <c r="P250" s="19"/>
      <c r="Q250" s="81"/>
      <c r="R250" s="19"/>
      <c r="S250" s="1"/>
      <c r="T250" s="1"/>
    </row>
    <row r="251" ht="12.75" customHeight="1">
      <c r="A251" s="1"/>
      <c r="B251" s="7"/>
      <c r="C251" s="19"/>
      <c r="D251" s="7"/>
      <c r="E251" s="7"/>
      <c r="F251" s="19"/>
      <c r="G251" s="7"/>
      <c r="H251" s="7"/>
      <c r="M251" s="1"/>
      <c r="P251" s="19"/>
      <c r="Q251" s="81"/>
      <c r="R251" s="19"/>
      <c r="S251" s="1"/>
      <c r="T251" s="1"/>
    </row>
    <row r="252" ht="12.75" customHeight="1">
      <c r="A252" s="1"/>
      <c r="B252" s="143" t="s">
        <v>836</v>
      </c>
      <c r="C252" s="19"/>
      <c r="D252" s="7"/>
      <c r="E252" s="7"/>
      <c r="F252" s="19"/>
      <c r="G252" s="7"/>
      <c r="H252" s="7"/>
      <c r="M252" s="1"/>
      <c r="P252" s="19"/>
      <c r="Q252" s="81"/>
      <c r="R252" s="19"/>
      <c r="S252" s="1"/>
      <c r="T252" s="1"/>
    </row>
    <row r="253" ht="12.75" customHeight="1">
      <c r="A253" s="1"/>
      <c r="B253" s="35" t="s">
        <v>793</v>
      </c>
      <c r="C253" s="1" t="s">
        <v>794</v>
      </c>
      <c r="D253" s="145">
        <v>2.0</v>
      </c>
      <c r="E253" s="145">
        <f t="shared" ref="E253:O253" si="62">D253+1</f>
        <v>3</v>
      </c>
      <c r="F253" s="145">
        <f t="shared" si="62"/>
        <v>4</v>
      </c>
      <c r="G253" s="145">
        <f t="shared" si="62"/>
        <v>5</v>
      </c>
      <c r="H253" s="145">
        <f t="shared" si="62"/>
        <v>6</v>
      </c>
      <c r="I253" s="145">
        <f t="shared" si="62"/>
        <v>7</v>
      </c>
      <c r="J253" s="145">
        <f t="shared" si="62"/>
        <v>8</v>
      </c>
      <c r="K253" s="145">
        <f t="shared" si="62"/>
        <v>9</v>
      </c>
      <c r="L253" s="145">
        <f t="shared" si="62"/>
        <v>10</v>
      </c>
      <c r="M253" s="145">
        <f t="shared" si="62"/>
        <v>11</v>
      </c>
      <c r="N253" s="145">
        <f t="shared" si="62"/>
        <v>12</v>
      </c>
      <c r="O253" s="145">
        <f t="shared" si="62"/>
        <v>13</v>
      </c>
      <c r="P253" s="145"/>
      <c r="Q253" s="145"/>
      <c r="R253" s="19"/>
      <c r="S253" s="1"/>
      <c r="T253" s="1"/>
    </row>
    <row r="254" ht="12.75" customHeight="1">
      <c r="A254" s="1"/>
      <c r="B254" s="100" t="s">
        <v>553</v>
      </c>
      <c r="C254" s="101" t="s">
        <v>542</v>
      </c>
      <c r="D254" s="102" t="s">
        <v>556</v>
      </c>
      <c r="E254" s="102" t="s">
        <v>557</v>
      </c>
      <c r="F254" s="102" t="s">
        <v>558</v>
      </c>
      <c r="G254" s="102" t="s">
        <v>559</v>
      </c>
      <c r="H254" s="102" t="s">
        <v>560</v>
      </c>
      <c r="I254" s="102" t="s">
        <v>561</v>
      </c>
      <c r="J254" s="102" t="s">
        <v>563</v>
      </c>
      <c r="K254" s="102" t="s">
        <v>564</v>
      </c>
      <c r="L254" s="102" t="s">
        <v>565</v>
      </c>
      <c r="M254" s="102" t="s">
        <v>566</v>
      </c>
      <c r="N254" s="102" t="s">
        <v>567</v>
      </c>
      <c r="O254" s="102" t="s">
        <v>568</v>
      </c>
      <c r="P254" s="103"/>
      <c r="Q254" s="104" t="s">
        <v>571</v>
      </c>
      <c r="R254" s="19"/>
      <c r="S254" s="1"/>
      <c r="T254" s="1"/>
    </row>
    <row r="255" ht="12.75" customHeight="1">
      <c r="A255" s="1"/>
      <c r="B255" s="146" t="s">
        <v>838</v>
      </c>
      <c r="C255" s="147">
        <v>0.0</v>
      </c>
      <c r="D255" s="147">
        <f t="shared" ref="D255:O255" si="63">IF(VLOOKUP($C$4,$C$8:$Q$16,D253,FALSE)="",NA(),(1+VLOOKUP($C$4,$C$8:$Q$16,D253,FALSE))*(1+C255)-1)</f>
        <v>0.07752591156</v>
      </c>
      <c r="E255" s="147">
        <f t="shared" si="63"/>
        <v>0.09872177145</v>
      </c>
      <c r="F255" s="147">
        <f t="shared" si="63"/>
        <v>0.1367520144</v>
      </c>
      <c r="G255" s="147">
        <f t="shared" si="63"/>
        <v>0.2291921839</v>
      </c>
      <c r="H255" s="147">
        <f t="shared" si="63"/>
        <v>0.1650568964</v>
      </c>
      <c r="I255" s="147">
        <f t="shared" si="63"/>
        <v>0.2405095759</v>
      </c>
      <c r="J255" s="147">
        <f t="shared" si="63"/>
        <v>0.2757742872</v>
      </c>
      <c r="K255" s="147">
        <f t="shared" si="63"/>
        <v>0.2618356997</v>
      </c>
      <c r="L255" s="147">
        <f t="shared" si="63"/>
        <v>0.2831666669</v>
      </c>
      <c r="M255" s="147" t="str">
        <f t="shared" si="63"/>
        <v>#N/A</v>
      </c>
      <c r="N255" s="147" t="str">
        <f t="shared" si="63"/>
        <v>#N/A</v>
      </c>
      <c r="O255" s="147" t="str">
        <f t="shared" si="63"/>
        <v>#N/A</v>
      </c>
      <c r="P255" s="147"/>
      <c r="Q255" s="148" t="str">
        <f>VLOOKUP(C153,C157:Q164,15,FALSE)</f>
        <v>#N/A</v>
      </c>
      <c r="R255" s="19"/>
      <c r="S255" s="1"/>
      <c r="T255" s="1"/>
    </row>
    <row r="256" ht="12.75" customHeight="1">
      <c r="A256" s="1"/>
      <c r="B256" s="7" t="s">
        <v>799</v>
      </c>
      <c r="C256" s="109">
        <v>0.0</v>
      </c>
      <c r="D256" s="109">
        <f t="shared" ref="D256:O256" si="64">IF(VLOOKUP($C$4,$C$92:$Q$100,D253,FALSE)="",NA(),(1+VLOOKUP($C$4,$C$92:$Q$100,D253,FALSE))*(1+C256)-1)</f>
        <v>0.08013490576</v>
      </c>
      <c r="E256" s="109">
        <f t="shared" si="64"/>
        <v>0.1148163604</v>
      </c>
      <c r="F256" s="109">
        <f t="shared" si="64"/>
        <v>0.1364787269</v>
      </c>
      <c r="G256" s="109">
        <f t="shared" si="64"/>
        <v>0.1824939509</v>
      </c>
      <c r="H256" s="109">
        <f t="shared" si="64"/>
        <v>0.1073487928</v>
      </c>
      <c r="I256" s="109">
        <f t="shared" si="64"/>
        <v>0.1853910943</v>
      </c>
      <c r="J256" s="109">
        <f t="shared" si="64"/>
        <v>0.2024288655</v>
      </c>
      <c r="K256" s="109">
        <f t="shared" si="64"/>
        <v>0.1833807496</v>
      </c>
      <c r="L256" s="109">
        <f t="shared" si="64"/>
        <v>0.2055226294</v>
      </c>
      <c r="M256" s="109" t="str">
        <f t="shared" si="64"/>
        <v>#N/A</v>
      </c>
      <c r="N256" s="109" t="str">
        <f t="shared" si="64"/>
        <v>#N/A</v>
      </c>
      <c r="O256" s="109" t="str">
        <f t="shared" si="64"/>
        <v>#N/A</v>
      </c>
      <c r="P256" s="109"/>
      <c r="Q256" s="81"/>
      <c r="R256" s="19"/>
      <c r="S256" s="1"/>
      <c r="T256" s="1"/>
    </row>
    <row r="257" ht="12.75" customHeight="1">
      <c r="A257" s="1"/>
      <c r="B257" s="7"/>
      <c r="C257" s="109"/>
      <c r="D257" s="109"/>
      <c r="E257" s="109"/>
      <c r="F257" s="109"/>
      <c r="G257" s="109"/>
      <c r="H257" s="109"/>
      <c r="I257" s="109"/>
      <c r="J257" s="109"/>
      <c r="K257" s="109"/>
      <c r="L257" s="109"/>
      <c r="M257" s="109"/>
      <c r="N257" s="109"/>
      <c r="O257" s="109"/>
      <c r="P257" s="109"/>
      <c r="Q257" s="81"/>
      <c r="R257" s="19"/>
      <c r="S257" s="1"/>
      <c r="T257" s="1"/>
    </row>
    <row r="258" ht="12.75" customHeight="1">
      <c r="A258" s="1"/>
      <c r="B258" s="7"/>
      <c r="C258" s="109"/>
      <c r="D258" s="109"/>
      <c r="E258" s="109"/>
      <c r="F258" s="109"/>
      <c r="G258" s="109"/>
      <c r="H258" s="109"/>
      <c r="I258" s="109"/>
      <c r="J258" s="109"/>
      <c r="K258" s="109"/>
      <c r="L258" s="109"/>
      <c r="M258" s="109"/>
      <c r="N258" s="109"/>
      <c r="O258" s="109"/>
      <c r="P258" s="109"/>
      <c r="Q258" s="81"/>
      <c r="R258" s="19"/>
      <c r="S258" s="1"/>
      <c r="T258" s="1"/>
    </row>
    <row r="259" ht="12.75" customHeight="1">
      <c r="A259" s="1"/>
      <c r="B259" s="7"/>
      <c r="D259" s="19"/>
      <c r="E259" s="19"/>
      <c r="F259" s="19"/>
      <c r="G259" s="19"/>
      <c r="H259" s="19"/>
      <c r="I259" s="19"/>
      <c r="J259" s="149"/>
      <c r="K259" s="19"/>
      <c r="L259" s="19"/>
      <c r="M259" s="19"/>
      <c r="N259" s="19"/>
      <c r="O259" s="19"/>
      <c r="P259" s="19"/>
      <c r="Q259" s="81"/>
      <c r="R259" s="19"/>
      <c r="S259" s="1"/>
      <c r="T259" s="1"/>
    </row>
    <row r="260" ht="12.75" customHeight="1">
      <c r="A260" s="1"/>
      <c r="B260" s="33" t="s">
        <v>569</v>
      </c>
      <c r="D260" s="19"/>
      <c r="E260" s="19"/>
      <c r="F260" s="19"/>
      <c r="G260" s="19"/>
      <c r="H260" s="19"/>
      <c r="I260" s="149"/>
      <c r="K260" s="19"/>
      <c r="L260" s="19"/>
      <c r="M260" s="19"/>
      <c r="N260" s="19"/>
      <c r="O260" s="19"/>
      <c r="P260" s="19"/>
      <c r="Q260" s="81"/>
      <c r="R260" s="19"/>
      <c r="S260" s="1"/>
      <c r="T260" s="1"/>
    </row>
    <row r="261" ht="12.75" customHeight="1">
      <c r="A261" s="1"/>
      <c r="B261" s="33" t="s">
        <v>803</v>
      </c>
      <c r="D261" s="19"/>
      <c r="E261" s="19"/>
      <c r="F261" s="19"/>
      <c r="G261" s="19"/>
      <c r="H261" s="19"/>
      <c r="J261" s="19"/>
      <c r="K261" s="19"/>
      <c r="L261" s="19"/>
      <c r="M261" s="19"/>
      <c r="N261" s="19"/>
      <c r="O261" s="19"/>
      <c r="P261" s="19"/>
      <c r="Q261" s="81"/>
      <c r="R261" s="19"/>
      <c r="S261" s="1"/>
      <c r="T261" s="1"/>
    </row>
    <row r="262" ht="12.75" customHeight="1">
      <c r="A262" s="1"/>
      <c r="B262" s="9" t="s">
        <v>804</v>
      </c>
      <c r="D262" s="19"/>
      <c r="E262" s="19"/>
      <c r="F262" s="19"/>
      <c r="G262" s="19"/>
      <c r="H262" s="19"/>
      <c r="J262" s="19"/>
      <c r="K262" s="19"/>
      <c r="L262" s="19"/>
      <c r="M262" s="19"/>
      <c r="N262" s="19"/>
      <c r="O262" s="19"/>
      <c r="P262" s="19"/>
      <c r="Q262" s="81"/>
      <c r="R262" s="19"/>
      <c r="S262" s="1"/>
      <c r="T262" s="1"/>
    </row>
    <row r="263" ht="12.75" customHeight="1">
      <c r="A263" s="1"/>
      <c r="B263" s="7"/>
      <c r="D263" s="19"/>
      <c r="E263" s="19"/>
      <c r="F263" s="19"/>
      <c r="G263" s="19"/>
      <c r="H263" s="19"/>
      <c r="J263" s="19"/>
      <c r="K263" s="19"/>
      <c r="L263" s="19"/>
      <c r="M263" s="19"/>
      <c r="N263" s="19"/>
      <c r="O263" s="19"/>
      <c r="P263" s="19"/>
      <c r="Q263" s="81"/>
      <c r="R263" s="19"/>
      <c r="S263" s="1"/>
      <c r="T263" s="1"/>
    </row>
    <row r="264" ht="12.75" customHeight="1">
      <c r="A264" s="1"/>
      <c r="B264" s="7"/>
      <c r="D264" s="19"/>
      <c r="E264" s="19"/>
      <c r="F264" s="19"/>
      <c r="G264" s="19"/>
      <c r="H264" s="19"/>
      <c r="I264" s="19"/>
      <c r="J264" s="19"/>
      <c r="K264" s="19"/>
      <c r="L264" s="19"/>
      <c r="M264" s="19"/>
      <c r="N264" s="19"/>
      <c r="O264" s="19"/>
      <c r="P264" s="19"/>
      <c r="Q264" s="81"/>
      <c r="R264" s="19"/>
      <c r="S264" s="1"/>
      <c r="T264" s="1"/>
    </row>
    <row r="265" ht="12.75" customHeight="1">
      <c r="A265" s="1"/>
      <c r="B265" s="1"/>
      <c r="M265" s="1"/>
      <c r="P265" s="149"/>
      <c r="Q265" s="81"/>
      <c r="R265" s="19"/>
      <c r="S265" s="1"/>
      <c r="T265" s="1"/>
    </row>
    <row r="266" ht="12.75" customHeight="1">
      <c r="A266" s="1"/>
      <c r="B266" s="1"/>
      <c r="M266" s="1"/>
      <c r="P266" s="149"/>
      <c r="Q266" s="81"/>
      <c r="R266" s="19"/>
      <c r="S266" s="1"/>
      <c r="T266" s="1"/>
    </row>
    <row r="267" ht="12.75" customHeight="1">
      <c r="A267" s="1"/>
      <c r="B267" s="1"/>
      <c r="M267" s="1"/>
      <c r="P267" s="149"/>
      <c r="Q267" s="81"/>
      <c r="R267" s="19"/>
      <c r="S267" s="1"/>
      <c r="T267" s="1"/>
    </row>
    <row r="268" ht="12.75" customHeight="1">
      <c r="A268" s="1"/>
      <c r="B268" s="7"/>
      <c r="C268" s="7"/>
      <c r="D268" s="7"/>
      <c r="E268" s="7"/>
      <c r="F268" s="7"/>
      <c r="G268" s="7"/>
      <c r="H268" s="7"/>
      <c r="I268" s="7"/>
      <c r="J268" s="7"/>
      <c r="K268" s="7"/>
      <c r="L268" s="7"/>
      <c r="M268" s="7"/>
      <c r="N268" s="7"/>
      <c r="O268" s="7"/>
      <c r="P268" s="149"/>
      <c r="Q268" s="81"/>
      <c r="R268" s="19"/>
      <c r="S268" s="1"/>
      <c r="T268" s="1"/>
    </row>
    <row r="269" ht="12.75" customHeight="1">
      <c r="A269" s="1"/>
      <c r="B269" s="1"/>
      <c r="M269" s="1"/>
      <c r="P269" s="149"/>
      <c r="Q269" s="81"/>
      <c r="R269" s="19"/>
      <c r="S269" s="1"/>
      <c r="T269" s="1"/>
    </row>
    <row r="270" ht="12.75" customHeight="1">
      <c r="A270" s="1"/>
      <c r="B270" s="1"/>
      <c r="M270" s="1"/>
      <c r="P270" s="19"/>
      <c r="Q270" s="81"/>
      <c r="R270" s="19"/>
      <c r="S270" s="1"/>
      <c r="T270" s="1"/>
    </row>
    <row r="271" ht="12.75" customHeight="1">
      <c r="A271" s="1"/>
      <c r="B271" s="1"/>
      <c r="M271" s="1"/>
      <c r="P271" s="19"/>
      <c r="Q271" s="81"/>
      <c r="R271" s="19"/>
      <c r="S271" s="1"/>
      <c r="T271" s="1"/>
    </row>
    <row r="272" ht="12.75" customHeight="1">
      <c r="A272" s="1"/>
      <c r="B272" s="1"/>
      <c r="M272" s="1"/>
      <c r="P272" s="19"/>
      <c r="Q272" s="81"/>
      <c r="R272" s="19"/>
      <c r="S272" s="1"/>
      <c r="T272" s="1"/>
    </row>
    <row r="273" ht="12.75" customHeight="1">
      <c r="A273" s="1"/>
      <c r="B273" s="149" t="s">
        <v>802</v>
      </c>
      <c r="C273" s="7"/>
      <c r="D273" s="150"/>
      <c r="E273" s="19"/>
      <c r="F273" s="19"/>
      <c r="M273" s="1"/>
      <c r="P273" s="19"/>
      <c r="Q273" s="81"/>
      <c r="R273" s="19"/>
      <c r="S273" s="1"/>
      <c r="T273" s="1"/>
    </row>
    <row r="274" ht="12.75" customHeight="1">
      <c r="A274" s="1"/>
      <c r="B274" s="149" t="s">
        <v>803</v>
      </c>
      <c r="C274" s="7"/>
      <c r="D274" s="150"/>
      <c r="E274" s="19"/>
      <c r="F274" s="19"/>
      <c r="M274" s="1"/>
      <c r="P274" s="19"/>
      <c r="Q274" s="81"/>
      <c r="R274" s="19"/>
      <c r="S274" s="1"/>
      <c r="T274" s="1"/>
    </row>
    <row r="275" ht="12.75" customHeight="1">
      <c r="A275" s="1"/>
      <c r="B275" s="19" t="s">
        <v>805</v>
      </c>
      <c r="C275" s="7"/>
      <c r="D275" s="150"/>
      <c r="E275" s="19"/>
      <c r="F275" s="19"/>
      <c r="M275" s="1"/>
      <c r="P275" s="19"/>
      <c r="Q275" s="81"/>
      <c r="R275" s="19"/>
      <c r="S275" s="1"/>
      <c r="T275" s="1"/>
    </row>
    <row r="276" ht="12.75" customHeight="1">
      <c r="A276" s="1"/>
      <c r="B276" s="151" t="s">
        <v>804</v>
      </c>
      <c r="C276" s="7"/>
      <c r="D276" s="150"/>
      <c r="E276" s="19"/>
      <c r="F276" s="19"/>
      <c r="M276" s="1"/>
      <c r="P276" s="19"/>
      <c r="Q276" s="81"/>
      <c r="R276" s="19"/>
      <c r="S276" s="1"/>
      <c r="T276" s="1"/>
    </row>
    <row r="277" ht="12.75" customHeight="1">
      <c r="A277" s="1"/>
      <c r="B277" s="35"/>
      <c r="C277" s="7"/>
      <c r="D277" s="150"/>
      <c r="E277" s="19"/>
      <c r="F277" s="19"/>
      <c r="M277" s="1"/>
      <c r="P277" s="19"/>
      <c r="Q277" s="81"/>
      <c r="R277" s="19"/>
      <c r="S277" s="1"/>
      <c r="T277" s="1"/>
    </row>
    <row r="278" ht="12.75" customHeight="1">
      <c r="A278" s="1"/>
      <c r="B278" s="35"/>
      <c r="C278" s="7"/>
      <c r="D278" s="150"/>
      <c r="E278" s="19"/>
      <c r="F278" s="19"/>
      <c r="M278" s="1"/>
      <c r="P278" s="19"/>
      <c r="Q278" s="81"/>
      <c r="R278" s="19"/>
      <c r="S278" s="1"/>
      <c r="T278" s="1"/>
    </row>
    <row r="279" ht="12.75" customHeight="1">
      <c r="A279" s="1"/>
      <c r="B279" s="35"/>
      <c r="C279" s="7"/>
      <c r="D279" s="150"/>
      <c r="E279" s="19"/>
      <c r="F279" s="19"/>
      <c r="M279" s="1"/>
      <c r="P279" s="19"/>
      <c r="Q279" s="81"/>
      <c r="R279" s="19"/>
      <c r="S279" s="1"/>
      <c r="T279" s="1"/>
    </row>
    <row r="280" ht="12.75" customHeight="1">
      <c r="A280" s="1"/>
      <c r="B280" s="35"/>
      <c r="C280" s="7"/>
      <c r="D280" s="150"/>
      <c r="E280" s="19"/>
      <c r="F280" s="19"/>
      <c r="M280" s="1"/>
      <c r="P280" s="19"/>
      <c r="Q280" s="81"/>
      <c r="R280" s="19"/>
      <c r="S280" s="1"/>
      <c r="T280" s="1"/>
    </row>
    <row r="281" ht="12.75" customHeight="1">
      <c r="A281" s="1"/>
      <c r="B281" s="35"/>
      <c r="C281" s="7"/>
      <c r="D281" s="150"/>
      <c r="E281" s="19"/>
      <c r="F281" s="19"/>
      <c r="M281" s="1"/>
      <c r="P281" s="19"/>
      <c r="Q281" s="81"/>
      <c r="R281" s="19"/>
      <c r="S281" s="1"/>
      <c r="T281" s="1"/>
    </row>
    <row r="282" ht="12.75" customHeight="1">
      <c r="A282" s="1"/>
      <c r="B282" s="35"/>
      <c r="C282" s="7"/>
      <c r="D282" s="150"/>
      <c r="E282" s="19"/>
      <c r="F282" s="19"/>
      <c r="M282" s="1"/>
      <c r="P282" s="19"/>
      <c r="Q282" s="81"/>
      <c r="R282" s="19"/>
      <c r="S282" s="1"/>
      <c r="T282" s="1"/>
    </row>
    <row r="283" ht="12.75" customHeight="1">
      <c r="A283" s="1"/>
      <c r="B283" s="35"/>
      <c r="C283" s="7"/>
      <c r="D283" s="150"/>
      <c r="E283" s="19"/>
      <c r="F283" s="19"/>
      <c r="M283" s="1"/>
      <c r="P283" s="19"/>
      <c r="Q283" s="81"/>
      <c r="R283" s="19"/>
      <c r="S283" s="1"/>
      <c r="T283" s="1"/>
    </row>
    <row r="284" ht="12.75" customHeight="1">
      <c r="A284" s="1"/>
      <c r="B284" s="35"/>
      <c r="C284" s="7"/>
      <c r="D284" s="150"/>
      <c r="E284" s="19"/>
      <c r="F284" s="19"/>
      <c r="M284" s="1"/>
      <c r="P284" s="19"/>
      <c r="Q284" s="81"/>
      <c r="R284" s="19"/>
      <c r="S284" s="1"/>
      <c r="T284" s="1"/>
    </row>
    <row r="285" ht="12.75" customHeight="1">
      <c r="A285" s="1"/>
      <c r="B285" s="35"/>
      <c r="C285" s="7"/>
      <c r="D285" s="150"/>
      <c r="E285" s="19"/>
      <c r="F285" s="19"/>
      <c r="M285" s="1"/>
      <c r="P285" s="19"/>
      <c r="Q285" s="81"/>
      <c r="R285" s="19"/>
      <c r="S285" s="1"/>
      <c r="T285" s="1"/>
    </row>
    <row r="286" ht="12.75" customHeight="1">
      <c r="A286" s="1"/>
      <c r="B286" s="35"/>
      <c r="C286" s="7"/>
      <c r="D286" s="150"/>
      <c r="E286" s="19"/>
      <c r="F286" s="19"/>
      <c r="M286" s="1"/>
      <c r="P286" s="19"/>
      <c r="Q286" s="81"/>
      <c r="R286" s="19"/>
      <c r="S286" s="1"/>
      <c r="T286" s="1"/>
    </row>
    <row r="287" ht="12.75" customHeight="1">
      <c r="A287" s="1"/>
      <c r="B287" s="35"/>
      <c r="C287" s="7"/>
      <c r="D287" s="150"/>
      <c r="E287" s="19"/>
      <c r="F287" s="19"/>
      <c r="M287" s="1"/>
      <c r="P287" s="19"/>
      <c r="Q287" s="81"/>
      <c r="R287" s="19"/>
      <c r="S287" s="1"/>
      <c r="T287" s="1"/>
    </row>
    <row r="288" ht="12.75" customHeight="1">
      <c r="A288" s="1"/>
      <c r="B288" s="35"/>
      <c r="C288" s="7"/>
      <c r="D288" s="150"/>
      <c r="E288" s="19"/>
      <c r="F288" s="19"/>
      <c r="M288" s="1"/>
      <c r="P288" s="19"/>
      <c r="Q288" s="81"/>
      <c r="R288" s="19"/>
      <c r="S288" s="1"/>
      <c r="T288" s="1"/>
    </row>
    <row r="289" ht="12.75" customHeight="1">
      <c r="A289" s="1"/>
      <c r="B289" s="35"/>
      <c r="C289" s="7"/>
      <c r="D289" s="150"/>
      <c r="E289" s="19"/>
      <c r="F289" s="19"/>
      <c r="M289" s="1"/>
      <c r="P289" s="19"/>
      <c r="Q289" s="81"/>
      <c r="R289" s="19"/>
      <c r="S289" s="1"/>
      <c r="T289" s="1"/>
    </row>
    <row r="290" ht="12.75" customHeight="1">
      <c r="A290" s="1"/>
      <c r="B290" s="35"/>
      <c r="C290" s="7"/>
      <c r="D290" s="150"/>
      <c r="E290" s="19"/>
      <c r="F290" s="19"/>
      <c r="M290" s="1"/>
      <c r="P290" s="19"/>
      <c r="Q290" s="81"/>
      <c r="R290" s="19"/>
      <c r="S290" s="1"/>
      <c r="T290" s="1"/>
    </row>
    <row r="291" ht="12.75" customHeight="1">
      <c r="A291" s="1"/>
      <c r="B291" s="35"/>
      <c r="C291" s="7"/>
      <c r="D291" s="150"/>
      <c r="E291" s="19"/>
      <c r="F291" s="19"/>
      <c r="M291" s="1"/>
      <c r="P291" s="19"/>
      <c r="Q291" s="81"/>
      <c r="R291" s="19"/>
      <c r="S291" s="1"/>
      <c r="T291" s="1"/>
    </row>
    <row r="292" ht="12.75" customHeight="1">
      <c r="A292" s="1"/>
      <c r="B292" s="35"/>
      <c r="C292" s="7"/>
      <c r="D292" s="150"/>
      <c r="E292" s="19"/>
      <c r="F292" s="19"/>
      <c r="M292" s="1"/>
      <c r="P292" s="19"/>
      <c r="Q292" s="81"/>
      <c r="R292" s="19"/>
      <c r="S292" s="1"/>
      <c r="T292" s="1"/>
    </row>
    <row r="293" ht="12.75" customHeight="1">
      <c r="A293" s="1"/>
      <c r="B293" s="35"/>
      <c r="C293" s="7"/>
      <c r="D293" s="150"/>
      <c r="E293" s="19"/>
      <c r="F293" s="19"/>
      <c r="M293" s="1"/>
      <c r="P293" s="19"/>
      <c r="Q293" s="81"/>
      <c r="R293" s="19"/>
      <c r="S293" s="1"/>
      <c r="T293" s="1"/>
    </row>
    <row r="294" ht="12.75" customHeight="1">
      <c r="A294" s="1"/>
      <c r="B294" s="35" t="s">
        <v>806</v>
      </c>
      <c r="C294" s="7" t="s">
        <v>807</v>
      </c>
      <c r="D294" s="150">
        <v>1.0</v>
      </c>
      <c r="E294" s="19"/>
      <c r="F294" s="19"/>
      <c r="M294" s="1"/>
      <c r="P294" s="19"/>
      <c r="Q294" s="81"/>
      <c r="R294" s="19"/>
      <c r="S294" s="1"/>
      <c r="T294" s="1"/>
    </row>
    <row r="295" ht="12.75" customHeight="1">
      <c r="A295" s="1"/>
      <c r="B295" s="7" t="s">
        <v>808</v>
      </c>
      <c r="C295" s="7"/>
      <c r="D295" s="152"/>
      <c r="E295" s="19"/>
      <c r="F295" s="19"/>
      <c r="M295" s="1"/>
      <c r="P295" s="19"/>
      <c r="Q295" s="81"/>
      <c r="R295" s="19"/>
      <c r="S295" s="1"/>
      <c r="T295" s="1"/>
    </row>
    <row r="296" ht="12.75" customHeight="1">
      <c r="A296" s="1"/>
      <c r="B296" s="153" t="s">
        <v>542</v>
      </c>
      <c r="C296" s="154"/>
      <c r="D296" s="172" t="s">
        <v>838</v>
      </c>
      <c r="E296" s="154"/>
      <c r="F296" s="156" t="s">
        <v>799</v>
      </c>
      <c r="G296" s="156" t="s">
        <v>799</v>
      </c>
      <c r="H296" s="157"/>
      <c r="J296" s="94" t="s">
        <v>843</v>
      </c>
      <c r="M296" s="1"/>
      <c r="P296" s="19"/>
      <c r="Q296" s="81"/>
      <c r="R296" s="19"/>
      <c r="S296" s="1"/>
      <c r="T296" s="1"/>
    </row>
    <row r="297" ht="12.75" customHeight="1">
      <c r="A297" s="1"/>
      <c r="B297" s="5"/>
      <c r="C297" s="7"/>
      <c r="D297" s="7"/>
      <c r="E297" s="7"/>
      <c r="F297" s="19"/>
      <c r="G297" s="19"/>
      <c r="H297" s="158"/>
      <c r="M297" s="1"/>
      <c r="P297" s="19"/>
      <c r="Q297" s="81"/>
      <c r="R297" s="19"/>
      <c r="S297" s="1"/>
      <c r="T297" s="1"/>
    </row>
    <row r="298" ht="12.75" customHeight="1">
      <c r="A298" s="1"/>
      <c r="B298" s="159"/>
      <c r="C298" s="19"/>
      <c r="D298" s="19"/>
      <c r="E298" s="7"/>
      <c r="F298" s="19"/>
      <c r="G298" s="19"/>
      <c r="H298" s="158"/>
      <c r="M298" s="1"/>
      <c r="P298" s="19"/>
      <c r="Q298" s="81"/>
      <c r="R298" s="19"/>
      <c r="S298" s="1"/>
      <c r="T298" s="1"/>
    </row>
    <row r="299" ht="12.75" customHeight="1">
      <c r="A299" s="1"/>
      <c r="B299" s="159">
        <v>41029.0</v>
      </c>
      <c r="C299" s="19"/>
      <c r="D299" s="19">
        <v>0.0</v>
      </c>
      <c r="E299" s="7"/>
      <c r="F299" s="19"/>
      <c r="G299" s="19">
        <v>0.0</v>
      </c>
      <c r="H299" s="158"/>
      <c r="J299" s="173">
        <v>10000.0</v>
      </c>
      <c r="M299" s="1"/>
      <c r="P299" s="19"/>
      <c r="Q299" s="81"/>
      <c r="R299" s="19"/>
      <c r="S299" s="1"/>
      <c r="T299" s="1"/>
    </row>
    <row r="300" ht="12.75" customHeight="1">
      <c r="A300" s="1"/>
      <c r="B300" s="159">
        <f t="shared" ref="B300:B343" si="65">DATE(YEAR(B299+1),MONTH(B299+1)+1,DAY(B299+1))-1</f>
        <v>41060</v>
      </c>
      <c r="C300" s="19">
        <f t="shared" ref="C300:C388" si="66">K300</f>
        <v>-0.001022357143</v>
      </c>
      <c r="D300" s="19">
        <f t="shared" ref="D300:D343" si="67">(1+D299)*(1+C300)-1</f>
        <v>-0.001022357143</v>
      </c>
      <c r="E300" s="7"/>
      <c r="F300" s="109">
        <f t="shared" ref="F300:F388" si="68">F152</f>
        <v>-0.01617285716</v>
      </c>
      <c r="G300" s="19">
        <f t="shared" ref="G300:G343" si="69">(1+G299)*(1+F300)-1</f>
        <v>-0.01617285716</v>
      </c>
      <c r="H300" s="158"/>
      <c r="J300" s="173">
        <f>iferror(iferror(sumifs(Data!$L:$L,Data!$A:$A,B300),sumifs(Data!$L:$L,Data!$A:$A,B300-1)),sumifs(Data!$L:$L,Data!$A:$A,B300-2))</f>
        <v>9989.776429</v>
      </c>
      <c r="K300" s="114">
        <f t="shared" ref="K300:K388" si="70">J300/J299-1</f>
        <v>-0.001022357143</v>
      </c>
      <c r="M300" s="1"/>
      <c r="P300" s="19"/>
      <c r="Q300" s="81"/>
      <c r="R300" s="19"/>
      <c r="S300" s="1"/>
      <c r="T300" s="1"/>
    </row>
    <row r="301" ht="12.75" customHeight="1">
      <c r="A301" s="1"/>
      <c r="B301" s="159">
        <f t="shared" si="65"/>
        <v>41090</v>
      </c>
      <c r="C301" s="19">
        <f t="shared" si="66"/>
        <v>0.03504318379</v>
      </c>
      <c r="D301" s="19">
        <f t="shared" si="67"/>
        <v>0.033985</v>
      </c>
      <c r="E301" s="7"/>
      <c r="F301" s="109">
        <f t="shared" si="68"/>
        <v>0.04120252792</v>
      </c>
      <c r="G301" s="19">
        <f t="shared" si="69"/>
        <v>0.02436330816</v>
      </c>
      <c r="H301" s="158"/>
      <c r="J301" s="173">
        <f>iferror(iferror(vlookup(B301,Data!$A:$L,12,false),vlookup(B301-1,Data!$A:$L,12,true)),vlookup(B301-2,Data!$A:$L,12,false))</f>
        <v>10339.85</v>
      </c>
      <c r="K301" s="114">
        <f t="shared" si="70"/>
        <v>0.03504318379</v>
      </c>
      <c r="M301" s="1"/>
      <c r="P301" s="19"/>
      <c r="Q301" s="81"/>
      <c r="R301" s="19"/>
      <c r="S301" s="1"/>
      <c r="T301" s="1"/>
    </row>
    <row r="302" ht="12.75" customHeight="1">
      <c r="A302" s="1"/>
      <c r="B302" s="159">
        <f t="shared" si="65"/>
        <v>41121</v>
      </c>
      <c r="C302" s="19">
        <f t="shared" si="66"/>
        <v>0.03847458412</v>
      </c>
      <c r="D302" s="19">
        <f t="shared" si="67"/>
        <v>0.07376714286</v>
      </c>
      <c r="E302" s="7"/>
      <c r="F302" s="109">
        <f t="shared" si="68"/>
        <v>0.01388874539</v>
      </c>
      <c r="G302" s="19">
        <f t="shared" si="69"/>
        <v>0.03859042933</v>
      </c>
      <c r="H302" s="158"/>
      <c r="J302" s="173">
        <f>iferror(iferror(vlookup(B302,Data!$A:$L,12,false),vlookup(B302-1,Data!$A:$L,12,true)),vlookup(B302-2,Data!$A:$L,12,false))</f>
        <v>10737.67143</v>
      </c>
      <c r="K302" s="114">
        <f t="shared" si="70"/>
        <v>0.03847458412</v>
      </c>
      <c r="M302" s="1"/>
      <c r="P302" s="19"/>
      <c r="Q302" s="81"/>
      <c r="R302" s="19"/>
      <c r="S302" s="1"/>
      <c r="T302" s="1"/>
    </row>
    <row r="303" ht="12.75" customHeight="1">
      <c r="A303" s="1"/>
      <c r="B303" s="159">
        <f t="shared" si="65"/>
        <v>41152</v>
      </c>
      <c r="C303" s="19">
        <f t="shared" si="66"/>
        <v>0.08504131649</v>
      </c>
      <c r="D303" s="19">
        <f t="shared" si="67"/>
        <v>0.1650817143</v>
      </c>
      <c r="E303" s="7"/>
      <c r="F303" s="109">
        <f t="shared" si="68"/>
        <v>0.02252337808</v>
      </c>
      <c r="G303" s="19">
        <f t="shared" si="69"/>
        <v>0.06198299423</v>
      </c>
      <c r="H303" s="158"/>
      <c r="J303" s="173">
        <f>iferror(iferror(vlookup(B303,Data!$A:$L,12,false),vlookup(B303-1,Data!$A:$L,12,true)),vlookup(B303-2,Data!$A:$L,12,false))</f>
        <v>11650.81714</v>
      </c>
      <c r="K303" s="114">
        <f t="shared" si="70"/>
        <v>0.08504131649</v>
      </c>
      <c r="M303" s="1"/>
      <c r="P303" s="19"/>
      <c r="Q303" s="81"/>
      <c r="R303" s="19"/>
      <c r="S303" s="1"/>
      <c r="T303" s="1"/>
    </row>
    <row r="304" ht="12.75" customHeight="1">
      <c r="A304" s="1"/>
      <c r="B304" s="159">
        <f t="shared" si="65"/>
        <v>41182</v>
      </c>
      <c r="C304" s="19">
        <f t="shared" si="66"/>
        <v>-0.01660838944</v>
      </c>
      <c r="D304" s="19">
        <f t="shared" si="67"/>
        <v>0.1457315835</v>
      </c>
      <c r="E304" s="7"/>
      <c r="F304" s="109">
        <f t="shared" si="68"/>
        <v>0.02584258201</v>
      </c>
      <c r="G304" s="19">
        <f t="shared" si="69"/>
        <v>0.08942737685</v>
      </c>
      <c r="H304" s="158"/>
      <c r="J304" s="173">
        <f>iferror(iferror(vlookup(B304,Data!$A:$L,12,false),vlookup(B304-1,Data!$A:$L,12,true)),vlookup(B304-2,Data!$A:$L,12,false))</f>
        <v>11457.31583</v>
      </c>
      <c r="K304" s="114">
        <f t="shared" si="70"/>
        <v>-0.01660838944</v>
      </c>
      <c r="M304" s="1"/>
      <c r="P304" s="19"/>
      <c r="Q304" s="81"/>
      <c r="R304" s="19"/>
      <c r="S304" s="1"/>
      <c r="T304" s="1"/>
    </row>
    <row r="305" ht="12.75" customHeight="1">
      <c r="A305" s="1"/>
      <c r="B305" s="159">
        <f t="shared" si="65"/>
        <v>41213</v>
      </c>
      <c r="C305" s="19">
        <f t="shared" si="66"/>
        <v>0.02987806955</v>
      </c>
      <c r="D305" s="19">
        <f t="shared" si="67"/>
        <v>0.1799638314</v>
      </c>
      <c r="E305" s="7"/>
      <c r="F305" s="109">
        <f t="shared" si="68"/>
        <v>-0.01846508187</v>
      </c>
      <c r="G305" s="19">
        <f t="shared" si="69"/>
        <v>0.06931101115</v>
      </c>
      <c r="H305" s="158"/>
      <c r="J305" s="173">
        <f>iferror(iferror(vlookup(B305,Data!$A:$L,12,false),vlookup(B305-1,Data!$A:$L,12,true)),vlookup(B305-2,Data!$A:$L,12,false))</f>
        <v>11799.63831</v>
      </c>
      <c r="K305" s="114">
        <f t="shared" si="70"/>
        <v>0.02987806955</v>
      </c>
      <c r="M305" s="1"/>
      <c r="P305" s="19"/>
      <c r="Q305" s="81"/>
      <c r="R305" s="19"/>
      <c r="S305" s="1"/>
      <c r="T305" s="1"/>
    </row>
    <row r="306" ht="12.75" customHeight="1">
      <c r="A306" s="1"/>
      <c r="B306" s="159">
        <f t="shared" si="65"/>
        <v>41243</v>
      </c>
      <c r="C306" s="19">
        <f t="shared" si="66"/>
        <v>-0.01459826737</v>
      </c>
      <c r="D306" s="19">
        <f t="shared" si="67"/>
        <v>0.1627384039</v>
      </c>
      <c r="E306" s="7"/>
      <c r="F306" s="109">
        <f t="shared" si="68"/>
        <v>0.005799392076</v>
      </c>
      <c r="G306" s="19">
        <f t="shared" si="69"/>
        <v>0.07551236496</v>
      </c>
      <c r="H306" s="158"/>
      <c r="J306" s="173">
        <f>iferror(iferror(vlookup(B306,Data!$A:$L,12,false),vlookup(B306-1,Data!$A:$L,12,true)),vlookup(B306-2,Data!$A:$L,12,false))</f>
        <v>11627.38404</v>
      </c>
      <c r="K306" s="114">
        <f t="shared" si="70"/>
        <v>-0.01459826737</v>
      </c>
      <c r="M306" s="1"/>
      <c r="P306" s="19"/>
      <c r="Q306" s="81"/>
      <c r="R306" s="19"/>
      <c r="S306" s="1"/>
      <c r="T306" s="1"/>
    </row>
    <row r="307" ht="12.75" customHeight="1">
      <c r="A307" s="1"/>
      <c r="B307" s="159">
        <f t="shared" si="65"/>
        <v>41274</v>
      </c>
      <c r="C307" s="19">
        <f t="shared" si="66"/>
        <v>-0.02607373551</v>
      </c>
      <c r="D307" s="19">
        <f t="shared" si="67"/>
        <v>0.1324214703</v>
      </c>
      <c r="E307" s="7"/>
      <c r="F307" s="109">
        <f t="shared" si="68"/>
        <v>0.009114227615</v>
      </c>
      <c r="G307" s="19">
        <f t="shared" si="69"/>
        <v>0.08531482945</v>
      </c>
      <c r="H307" s="158"/>
      <c r="J307" s="173">
        <f>iferror(iferror(vlookup(B307,Data!$A:$L,12,false),vlookup(B307-1,Data!$A:$L,12,true)),vlookup(B307-2,Data!$A:$L,12,false))</f>
        <v>11324.2147</v>
      </c>
      <c r="K307" s="114">
        <f t="shared" si="70"/>
        <v>-0.02607373551</v>
      </c>
      <c r="M307" s="1"/>
      <c r="P307" s="19"/>
      <c r="Q307" s="81"/>
      <c r="R307" s="19"/>
      <c r="S307" s="1"/>
      <c r="T307" s="1"/>
    </row>
    <row r="308" ht="12.75" customHeight="1">
      <c r="A308" s="1"/>
      <c r="B308" s="159">
        <f t="shared" si="65"/>
        <v>41305</v>
      </c>
      <c r="C308" s="19">
        <f t="shared" si="66"/>
        <v>0.04645619676</v>
      </c>
      <c r="D308" s="19">
        <f t="shared" si="67"/>
        <v>0.1850294649</v>
      </c>
      <c r="E308" s="7"/>
      <c r="F308" s="109">
        <f t="shared" si="68"/>
        <v>0.05179599993</v>
      </c>
      <c r="G308" s="19">
        <f t="shared" si="69"/>
        <v>0.1415297963</v>
      </c>
      <c r="H308" s="158"/>
      <c r="J308" s="173">
        <f>iferror(iferror(vlookup(B308,Data!$A:$L,12,false),vlookup(B308-1,Data!$A:$L,12,true)),vlookup(B308-2,Data!$A:$L,12,false))</f>
        <v>11850.29465</v>
      </c>
      <c r="K308" s="114">
        <f t="shared" si="70"/>
        <v>0.04645619676</v>
      </c>
      <c r="M308" s="1"/>
      <c r="P308" s="19"/>
      <c r="Q308" s="81"/>
      <c r="R308" s="19"/>
      <c r="S308" s="1"/>
      <c r="T308" s="1"/>
    </row>
    <row r="309" ht="12.75" customHeight="1">
      <c r="A309" s="1"/>
      <c r="B309" s="159">
        <f t="shared" si="65"/>
        <v>41333</v>
      </c>
      <c r="C309" s="19">
        <f t="shared" si="66"/>
        <v>0.01750640828</v>
      </c>
      <c r="D309" s="19">
        <f t="shared" si="67"/>
        <v>0.2057750746</v>
      </c>
      <c r="E309" s="7"/>
      <c r="F309" s="109">
        <f t="shared" si="68"/>
        <v>0.01357548941</v>
      </c>
      <c r="G309" s="19">
        <f t="shared" si="69"/>
        <v>0.1570266219</v>
      </c>
      <c r="H309" s="158"/>
      <c r="J309" s="173">
        <f>iferror(iferror(vlookup(B309,Data!$A:$L,12,false),vlookup(B309-1,Data!$A:$L,12,true)),vlookup(B309-2,Data!$A:$L,12,false))</f>
        <v>12057.75075</v>
      </c>
      <c r="K309" s="114">
        <f t="shared" si="70"/>
        <v>0.01750640828</v>
      </c>
      <c r="M309" s="1"/>
      <c r="P309" s="19"/>
      <c r="Q309" s="81"/>
      <c r="R309" s="19"/>
      <c r="S309" s="1"/>
      <c r="T309" s="1"/>
    </row>
    <row r="310" ht="12.75" customHeight="1">
      <c r="A310" s="1"/>
      <c r="B310" s="159">
        <f t="shared" si="65"/>
        <v>41364</v>
      </c>
      <c r="C310" s="19">
        <f t="shared" si="66"/>
        <v>0.07569898952</v>
      </c>
      <c r="D310" s="19">
        <f t="shared" si="67"/>
        <v>0.2970510293</v>
      </c>
      <c r="E310" s="7"/>
      <c r="F310" s="109">
        <f t="shared" si="68"/>
        <v>0.03750304501</v>
      </c>
      <c r="G310" s="19">
        <f t="shared" si="69"/>
        <v>0.2004186434</v>
      </c>
      <c r="H310" s="158"/>
      <c r="J310" s="173">
        <f>iferror(iferror(vlookup(B310,Data!$A:$L,12,false),vlookup(B310-1,Data!$A:$L,12,true)),vlookup(B310-2,Data!$A:$L,12,false))</f>
        <v>12970.51029</v>
      </c>
      <c r="K310" s="114">
        <f t="shared" si="70"/>
        <v>0.07569898952</v>
      </c>
      <c r="M310" s="1"/>
      <c r="P310" s="19"/>
      <c r="Q310" s="81"/>
      <c r="R310" s="19"/>
      <c r="S310" s="1"/>
      <c r="T310" s="1"/>
    </row>
    <row r="311" ht="12.75" customHeight="1">
      <c r="A311" s="1"/>
      <c r="B311" s="159">
        <f t="shared" si="65"/>
        <v>41394</v>
      </c>
      <c r="C311" s="19">
        <f t="shared" si="66"/>
        <v>-0.02815273082</v>
      </c>
      <c r="D311" s="19">
        <f t="shared" si="67"/>
        <v>0.2605355008</v>
      </c>
      <c r="E311" s="7"/>
      <c r="F311" s="109">
        <f t="shared" si="68"/>
        <v>0.01926675405</v>
      </c>
      <c r="G311" s="19">
        <f t="shared" si="69"/>
        <v>0.2235468142</v>
      </c>
      <c r="H311" s="158"/>
      <c r="J311" s="173">
        <f>iferror(iferror(vlookup(B311,Data!$A:$L,12,false),vlookup(B311-1,Data!$A:$L,12,true)),vlookup(B311-2,Data!$A:$L,12,false))</f>
        <v>12605.35501</v>
      </c>
      <c r="K311" s="114">
        <f t="shared" si="70"/>
        <v>-0.02815273082</v>
      </c>
      <c r="M311" s="1"/>
      <c r="P311" s="19"/>
      <c r="Q311" s="81"/>
      <c r="R311" s="19"/>
      <c r="S311" s="1"/>
      <c r="T311" s="1"/>
    </row>
    <row r="312" ht="12.75" customHeight="1">
      <c r="A312" s="1"/>
      <c r="B312" s="159">
        <f t="shared" si="65"/>
        <v>41425</v>
      </c>
      <c r="C312" s="19">
        <f t="shared" si="66"/>
        <v>0.0669678856</v>
      </c>
      <c r="D312" s="19">
        <f t="shared" si="67"/>
        <v>0.344950898</v>
      </c>
      <c r="E312" s="7"/>
      <c r="F312" s="109">
        <f t="shared" si="68"/>
        <v>0.02339008749</v>
      </c>
      <c r="G312" s="19">
        <f t="shared" si="69"/>
        <v>0.2521656812</v>
      </c>
      <c r="H312" s="158"/>
      <c r="J312" s="173">
        <f>iferror(iferror(vlookup(B312,Data!$A:$L,12,false),vlookup(B312-1,Data!$A:$L,12,true)),vlookup(B312-2,Data!$A:$L,12,false))</f>
        <v>13449.50898</v>
      </c>
      <c r="K312" s="114">
        <f t="shared" si="70"/>
        <v>0.0669678856</v>
      </c>
      <c r="M312" s="1"/>
      <c r="P312" s="19"/>
      <c r="Q312" s="81"/>
      <c r="R312" s="19"/>
      <c r="S312" s="1"/>
      <c r="T312" s="1"/>
    </row>
    <row r="313" ht="12.75" customHeight="1">
      <c r="A313" s="1"/>
      <c r="B313" s="159">
        <f t="shared" si="65"/>
        <v>41455</v>
      </c>
      <c r="C313" s="19">
        <f t="shared" si="66"/>
        <v>0.002358406204</v>
      </c>
      <c r="D313" s="19">
        <f t="shared" si="67"/>
        <v>0.3481228386</v>
      </c>
      <c r="E313" s="7"/>
      <c r="F313" s="109">
        <f t="shared" si="68"/>
        <v>-0.01342813174</v>
      </c>
      <c r="G313" s="19">
        <f t="shared" si="69"/>
        <v>0.2353514355</v>
      </c>
      <c r="H313" s="158"/>
      <c r="J313" s="173">
        <f>iferror(iferror(vlookup(B313,Data!$A:$L,12,false),vlookup(B313-1,Data!$A:$L,12,true)),vlookup(B313-2,Data!$A:$L,12,false))</f>
        <v>13481.22839</v>
      </c>
      <c r="K313" s="114">
        <f t="shared" si="70"/>
        <v>0.002358406204</v>
      </c>
      <c r="M313" s="1"/>
      <c r="P313" s="19"/>
      <c r="Q313" s="81"/>
      <c r="R313" s="19"/>
      <c r="S313" s="1"/>
      <c r="T313" s="1"/>
    </row>
    <row r="314" ht="12.75" customHeight="1">
      <c r="A314" s="1"/>
      <c r="B314" s="159">
        <f t="shared" si="65"/>
        <v>41486</v>
      </c>
      <c r="C314" s="19">
        <f t="shared" si="66"/>
        <v>0.01959750846</v>
      </c>
      <c r="D314" s="19">
        <f t="shared" si="67"/>
        <v>0.3745426873</v>
      </c>
      <c r="E314" s="7"/>
      <c r="F314" s="109">
        <f t="shared" si="68"/>
        <v>0.05088648365</v>
      </c>
      <c r="G314" s="19">
        <f t="shared" si="69"/>
        <v>0.2982141261</v>
      </c>
      <c r="H314" s="158"/>
      <c r="J314" s="173">
        <f>iferror(iferror(vlookup(B314,Data!$A:$L,12,false),vlookup(B314-1,Data!$A:$L,12,true)),vlookup(B314-2,Data!$A:$L,12,false))</f>
        <v>13745.42687</v>
      </c>
      <c r="K314" s="114">
        <f t="shared" si="70"/>
        <v>0.01959750846</v>
      </c>
      <c r="M314" s="1"/>
      <c r="P314" s="19"/>
      <c r="Q314" s="81"/>
      <c r="R314" s="19"/>
      <c r="S314" s="1"/>
      <c r="T314" s="1"/>
    </row>
    <row r="315" ht="12.75" customHeight="1">
      <c r="A315" s="1"/>
      <c r="B315" s="159">
        <f t="shared" si="65"/>
        <v>41517</v>
      </c>
      <c r="C315" s="19">
        <f t="shared" si="66"/>
        <v>-0.07160731469</v>
      </c>
      <c r="D315" s="19">
        <f t="shared" si="67"/>
        <v>0.2761153765</v>
      </c>
      <c r="E315" s="7"/>
      <c r="F315" s="109">
        <f t="shared" si="68"/>
        <v>-0.02896132177</v>
      </c>
      <c r="G315" s="19">
        <f t="shared" si="69"/>
        <v>0.2606161291</v>
      </c>
      <c r="H315" s="166"/>
      <c r="J315" s="173">
        <f>iferror(iferror(vlookup(B315,Data!$A:$L,12,false),vlookup(B315-1,Data!$A:$L,12,true)),vlookup(B315-2,Data!$A:$L,12,false))</f>
        <v>12761.15377</v>
      </c>
      <c r="K315" s="114">
        <f t="shared" si="70"/>
        <v>-0.07160731469</v>
      </c>
      <c r="M315" s="1"/>
      <c r="P315" s="19"/>
      <c r="Q315" s="81"/>
      <c r="R315" s="19"/>
      <c r="S315" s="1"/>
      <c r="T315" s="1"/>
    </row>
    <row r="316" ht="12.75" customHeight="1">
      <c r="A316" s="1"/>
      <c r="B316" s="159">
        <f t="shared" si="65"/>
        <v>41547</v>
      </c>
      <c r="C316" s="19">
        <f t="shared" si="66"/>
        <v>0.02740612292</v>
      </c>
      <c r="D316" s="19">
        <f t="shared" si="67"/>
        <v>0.3110887514</v>
      </c>
      <c r="E316" s="7"/>
      <c r="F316" s="109">
        <f t="shared" si="68"/>
        <v>0.03135827657</v>
      </c>
      <c r="G316" s="19">
        <f t="shared" si="69"/>
        <v>0.3001468783</v>
      </c>
      <c r="H316" s="166"/>
      <c r="J316" s="173">
        <f>iferror(iferror(vlookup(B316,Data!$A:$L,12,false),vlookup(B316-1,Data!$A:$L,12,true)),vlookup(B316-2,Data!$A:$L,12,false))</f>
        <v>13110.88751</v>
      </c>
      <c r="K316" s="114">
        <f t="shared" si="70"/>
        <v>0.02740612292</v>
      </c>
      <c r="M316" s="1"/>
      <c r="P316" s="19"/>
      <c r="Q316" s="81"/>
      <c r="R316" s="19"/>
      <c r="S316" s="1"/>
      <c r="T316" s="1"/>
    </row>
    <row r="317" ht="12.75" customHeight="1">
      <c r="A317" s="1"/>
      <c r="B317" s="159">
        <f t="shared" si="65"/>
        <v>41578</v>
      </c>
      <c r="C317" s="19">
        <f t="shared" si="66"/>
        <v>0.05029452562</v>
      </c>
      <c r="D317" s="19">
        <f t="shared" si="67"/>
        <v>0.3770293382</v>
      </c>
      <c r="E317" s="7"/>
      <c r="F317" s="109">
        <f t="shared" si="68"/>
        <v>0.045967295</v>
      </c>
      <c r="G317" s="19">
        <f t="shared" si="69"/>
        <v>0.3599111134</v>
      </c>
      <c r="H317" s="166"/>
      <c r="J317" s="173">
        <f>iferror(iferror(vlookup(B317,Data!$A:$L,12,false),vlookup(B317-1,Data!$A:$L,12,true)),vlookup(B317-2,Data!$A:$L,12,false))</f>
        <v>13770.29338</v>
      </c>
      <c r="K317" s="114">
        <f t="shared" si="70"/>
        <v>0.05029452562</v>
      </c>
      <c r="M317" s="1"/>
      <c r="P317" s="19"/>
      <c r="Q317" s="81"/>
      <c r="R317" s="19"/>
      <c r="S317" s="1"/>
      <c r="T317" s="1"/>
    </row>
    <row r="318" ht="12.75" customHeight="1">
      <c r="A318" s="1"/>
      <c r="B318" s="159">
        <f t="shared" si="65"/>
        <v>41608</v>
      </c>
      <c r="C318" s="19">
        <f t="shared" si="66"/>
        <v>0.09256229975</v>
      </c>
      <c r="D318" s="19">
        <f t="shared" si="67"/>
        <v>0.5044903406</v>
      </c>
      <c r="E318" s="7"/>
      <c r="F318" s="109">
        <f t="shared" si="68"/>
        <v>0.03047391258</v>
      </c>
      <c r="G318" s="19">
        <f t="shared" si="69"/>
        <v>0.4013529258</v>
      </c>
      <c r="H318" s="166"/>
      <c r="J318" s="173">
        <f>iferror(iferror(vlookup(B318,Data!$A:$L,12,false),vlookup(B318-1,Data!$A:$L,12,true)),vlookup(B318-2,Data!$A:$L,12,false))</f>
        <v>15044.90341</v>
      </c>
      <c r="K318" s="114">
        <f t="shared" si="70"/>
        <v>0.09256229975</v>
      </c>
      <c r="M318" s="1"/>
      <c r="P318" s="19"/>
      <c r="Q318" s="81"/>
      <c r="R318" s="19"/>
      <c r="S318" s="1"/>
      <c r="T318" s="1"/>
    </row>
    <row r="319" ht="12.75" customHeight="1">
      <c r="A319" s="1"/>
      <c r="B319" s="159">
        <f t="shared" si="65"/>
        <v>41639</v>
      </c>
      <c r="C319" s="19">
        <f t="shared" si="66"/>
        <v>0.04143127681</v>
      </c>
      <c r="D319" s="19">
        <f t="shared" si="67"/>
        <v>0.5668232963</v>
      </c>
      <c r="E319" s="7"/>
      <c r="F319" s="109">
        <f t="shared" si="68"/>
        <v>0.02531762729</v>
      </c>
      <c r="G319" s="19">
        <f t="shared" si="69"/>
        <v>0.4368318569</v>
      </c>
      <c r="H319" s="166"/>
      <c r="J319" s="173">
        <f>iferror(iferror(vlookup(B319,Data!$A:$L,12,false),vlookup(B319-1,Data!$A:$L,12,true)),vlookup(B319-2,Data!$A:$L,12,false))</f>
        <v>15668.23296</v>
      </c>
      <c r="K319" s="114">
        <f t="shared" si="70"/>
        <v>0.04143127681</v>
      </c>
      <c r="M319" s="1"/>
      <c r="P319" s="19"/>
      <c r="Q319" s="81"/>
      <c r="R319" s="19"/>
      <c r="S319" s="1"/>
      <c r="T319" s="1"/>
    </row>
    <row r="320" ht="12.75" customHeight="1">
      <c r="A320" s="1"/>
      <c r="B320" s="159">
        <f t="shared" si="65"/>
        <v>41670</v>
      </c>
      <c r="C320" s="19">
        <f t="shared" si="66"/>
        <v>-0.05118829064</v>
      </c>
      <c r="D320" s="19">
        <f t="shared" si="67"/>
        <v>0.4866202901</v>
      </c>
      <c r="E320" s="7"/>
      <c r="F320" s="109">
        <f t="shared" si="68"/>
        <v>-0.03457608871</v>
      </c>
      <c r="G320" s="19">
        <f t="shared" si="69"/>
        <v>0.3871518311</v>
      </c>
      <c r="H320" s="166"/>
      <c r="J320" s="173">
        <f>iferror(iferror(vlookup(B320,Data!$A:$L,12,false),vlookup(B320-1,Data!$A:$L,12,true)),vlookup(B320-2,Data!$A:$L,12,false))</f>
        <v>14866.2029</v>
      </c>
      <c r="K320" s="114">
        <f t="shared" si="70"/>
        <v>-0.05118829064</v>
      </c>
      <c r="M320" s="1"/>
      <c r="P320" s="19"/>
      <c r="Q320" s="81"/>
      <c r="R320" s="19"/>
      <c r="S320" s="1"/>
      <c r="T320" s="1"/>
    </row>
    <row r="321" ht="12.75" customHeight="1">
      <c r="A321" s="1"/>
      <c r="B321" s="159">
        <f t="shared" si="65"/>
        <v>41698</v>
      </c>
      <c r="C321" s="19">
        <f t="shared" si="66"/>
        <v>0.03500684048</v>
      </c>
      <c r="D321" s="19">
        <f t="shared" si="67"/>
        <v>0.5386621694</v>
      </c>
      <c r="E321" s="7"/>
      <c r="F321" s="109">
        <f t="shared" si="68"/>
        <v>0.04574577367</v>
      </c>
      <c r="G321" s="19">
        <f t="shared" si="69"/>
        <v>0.4506081649</v>
      </c>
      <c r="H321" s="166"/>
      <c r="J321" s="173">
        <f>iferror(iferror(vlookup(B321,Data!$A:$L,12,false),vlookup(B321-1,Data!$A:$L,12,true)),vlookup(B321-2,Data!$A:$L,12,false))</f>
        <v>15386.62169</v>
      </c>
      <c r="K321" s="114">
        <f t="shared" si="70"/>
        <v>0.03500684048</v>
      </c>
      <c r="M321" s="1"/>
      <c r="P321" s="19"/>
      <c r="Q321" s="81"/>
      <c r="R321" s="19"/>
      <c r="S321" s="1"/>
      <c r="T321" s="1"/>
    </row>
    <row r="322" ht="12.75" customHeight="1">
      <c r="A322" s="1"/>
      <c r="B322" s="159">
        <f t="shared" si="65"/>
        <v>41729</v>
      </c>
      <c r="C322" s="19">
        <f t="shared" si="66"/>
        <v>0.04169032291</v>
      </c>
      <c r="D322" s="19">
        <f t="shared" si="67"/>
        <v>0.6028094921</v>
      </c>
      <c r="E322" s="7"/>
      <c r="F322" s="109">
        <f t="shared" si="68"/>
        <v>0.008403625517</v>
      </c>
      <c r="G322" s="19">
        <f t="shared" si="69"/>
        <v>0.4627985327</v>
      </c>
      <c r="H322" s="166"/>
      <c r="J322" s="173">
        <f>iferror(iferror(vlookup(B322,Data!$A:$L,12,false),vlookup(B322-1,Data!$A:$L,12,true)),vlookup(B322-2,Data!$A:$L,12,false))</f>
        <v>16028.09492</v>
      </c>
      <c r="K322" s="114">
        <f t="shared" si="70"/>
        <v>0.04169032291</v>
      </c>
      <c r="M322" s="1"/>
      <c r="P322" s="19"/>
      <c r="Q322" s="81"/>
      <c r="R322" s="19"/>
      <c r="S322" s="1"/>
      <c r="T322" s="1"/>
    </row>
    <row r="323" ht="12.75" customHeight="1">
      <c r="A323" s="1"/>
      <c r="B323" s="159">
        <f t="shared" si="65"/>
        <v>41759</v>
      </c>
      <c r="C323" s="19">
        <f t="shared" si="66"/>
        <v>-0.01416190128</v>
      </c>
      <c r="D323" s="19">
        <f t="shared" si="67"/>
        <v>0.5801106623</v>
      </c>
      <c r="E323" s="7"/>
      <c r="F323" s="109">
        <f t="shared" si="68"/>
        <v>0.00739146112</v>
      </c>
      <c r="G323" s="19">
        <f t="shared" si="69"/>
        <v>0.4736107511</v>
      </c>
      <c r="H323" s="166"/>
      <c r="J323" s="173">
        <f>iferror(iferror(vlookup(B323,Data!$A:$L,12,false),vlookup(B323-1,Data!$A:$L,12,true)),vlookup(B323-2,Data!$A:$L,12,false))</f>
        <v>15801.10662</v>
      </c>
      <c r="K323" s="114">
        <f t="shared" si="70"/>
        <v>-0.01416190128</v>
      </c>
      <c r="M323" s="1"/>
      <c r="P323" s="19"/>
      <c r="Q323" s="81"/>
      <c r="R323" s="19"/>
      <c r="S323" s="1"/>
      <c r="T323" s="1"/>
    </row>
    <row r="324" ht="12.75" customHeight="1">
      <c r="A324" s="1"/>
      <c r="B324" s="159">
        <f t="shared" si="65"/>
        <v>41790</v>
      </c>
      <c r="C324" s="19">
        <f t="shared" si="66"/>
        <v>0.05541118872</v>
      </c>
      <c r="D324" s="19">
        <f t="shared" si="67"/>
        <v>0.6676664724</v>
      </c>
      <c r="E324" s="7"/>
      <c r="F324" s="109">
        <f t="shared" si="68"/>
        <v>0.02347625878</v>
      </c>
      <c r="G324" s="19">
        <f t="shared" si="69"/>
        <v>0.5082056185</v>
      </c>
      <c r="H324" s="166"/>
      <c r="J324" s="173">
        <f>iferror(iferror(vlookup(B324,Data!$A:$L,12,false),vlookup(B324-1,Data!$A:$L,12,true)),vlookup(B324-2,Data!$A:$L,12,false))</f>
        <v>16676.66472</v>
      </c>
      <c r="K324" s="114">
        <f t="shared" si="70"/>
        <v>0.05541118872</v>
      </c>
      <c r="M324" s="1"/>
      <c r="P324" s="19"/>
      <c r="Q324" s="81"/>
      <c r="R324" s="19"/>
      <c r="S324" s="1"/>
      <c r="T324" s="1"/>
    </row>
    <row r="325" ht="12.75" customHeight="1">
      <c r="A325" s="1"/>
      <c r="B325" s="159">
        <f t="shared" si="65"/>
        <v>41820</v>
      </c>
      <c r="C325" s="19">
        <f t="shared" si="66"/>
        <v>-0.07139894197</v>
      </c>
      <c r="D325" s="19">
        <f t="shared" si="67"/>
        <v>0.5485968507</v>
      </c>
      <c r="E325" s="7"/>
      <c r="F325" s="109">
        <f t="shared" si="68"/>
        <v>0.02065629364</v>
      </c>
      <c r="G325" s="19">
        <f t="shared" si="69"/>
        <v>0.5393595566</v>
      </c>
      <c r="H325" s="166"/>
      <c r="J325" s="173">
        <f>iferror(iferror(vlookup(B325,Data!$A:$L,12,false),vlookup(B325-1,Data!$A:$L,12,true)),vlookup(B325-2,Data!$A:$L,12,false))</f>
        <v>15485.96851</v>
      </c>
      <c r="K325" s="114">
        <f t="shared" si="70"/>
        <v>-0.07139894197</v>
      </c>
      <c r="M325" s="1"/>
      <c r="P325" s="19"/>
      <c r="Q325" s="81"/>
      <c r="R325" s="19"/>
      <c r="S325" s="1"/>
      <c r="T325" s="1"/>
    </row>
    <row r="326" ht="12.75" customHeight="1">
      <c r="A326" s="1"/>
      <c r="B326" s="159">
        <f t="shared" si="65"/>
        <v>41851</v>
      </c>
      <c r="C326" s="19">
        <f t="shared" si="66"/>
        <v>-0.06953482089</v>
      </c>
      <c r="D326" s="19">
        <f t="shared" si="67"/>
        <v>0.4409154461</v>
      </c>
      <c r="E326" s="7"/>
      <c r="F326" s="109">
        <f t="shared" si="68"/>
        <v>-0.01379152856</v>
      </c>
      <c r="G326" s="19">
        <f t="shared" si="69"/>
        <v>0.5181294353</v>
      </c>
      <c r="H326" s="166"/>
      <c r="J326" s="173">
        <f>iferror(iferror(vlookup(B326,Data!$A:$L,12,false),vlookup(B326-1,Data!$A:$L,12,true)),vlookup(B326-2,Data!$A:$L,12,false))</f>
        <v>14409.15446</v>
      </c>
      <c r="K326" s="114">
        <f t="shared" si="70"/>
        <v>-0.06953482089</v>
      </c>
      <c r="M326" s="1"/>
      <c r="P326" s="19"/>
      <c r="Q326" s="81"/>
      <c r="R326" s="19"/>
      <c r="S326" s="1"/>
      <c r="T326" s="1"/>
    </row>
    <row r="327" ht="12.75" customHeight="1">
      <c r="A327" s="1"/>
      <c r="B327" s="159">
        <f t="shared" si="65"/>
        <v>41882</v>
      </c>
      <c r="C327" s="19">
        <f t="shared" si="66"/>
        <v>0.03138127814</v>
      </c>
      <c r="D327" s="19">
        <f t="shared" si="67"/>
        <v>0.4861332144</v>
      </c>
      <c r="E327" s="7"/>
      <c r="F327" s="109">
        <f t="shared" si="68"/>
        <v>0.04000357941</v>
      </c>
      <c r="G327" s="19">
        <f t="shared" si="69"/>
        <v>0.5788600467</v>
      </c>
      <c r="H327" s="166"/>
      <c r="J327" s="173">
        <f>iferror(iferror(vlookup(B327,Data!$A:$L,12,false),vlookup(B327-1,Data!$A:$L,12,true)),vlookup(B327-2,Data!$A:$L,12,false))</f>
        <v>14861.33214</v>
      </c>
      <c r="K327" s="114">
        <f t="shared" si="70"/>
        <v>0.03138127814</v>
      </c>
      <c r="M327" s="1"/>
      <c r="P327" s="19"/>
      <c r="Q327" s="81"/>
      <c r="R327" s="19"/>
      <c r="S327" s="1"/>
      <c r="T327" s="1"/>
    </row>
    <row r="328" ht="12.75" customHeight="1">
      <c r="A328" s="1"/>
      <c r="B328" s="159">
        <f t="shared" si="65"/>
        <v>41912</v>
      </c>
      <c r="C328" s="19">
        <f t="shared" si="66"/>
        <v>-0.05447690828</v>
      </c>
      <c r="D328" s="19">
        <f t="shared" si="67"/>
        <v>0.4051732716</v>
      </c>
      <c r="E328" s="7"/>
      <c r="F328" s="109">
        <f t="shared" si="68"/>
        <v>-0.01402016202</v>
      </c>
      <c r="G328" s="19">
        <f t="shared" si="69"/>
        <v>0.556724173</v>
      </c>
      <c r="H328" s="166"/>
      <c r="J328" s="173">
        <f>iferror(iferror(vlookup(B328,Data!$A:$L,12,false),vlookup(B328-1,Data!$A:$L,12,true)),vlookup(B328-2,Data!$A:$L,12,false))</f>
        <v>14051.73272</v>
      </c>
      <c r="K328" s="114">
        <f t="shared" si="70"/>
        <v>-0.05447690828</v>
      </c>
      <c r="M328" s="1"/>
      <c r="P328" s="19"/>
      <c r="Q328" s="81"/>
      <c r="R328" s="19"/>
      <c r="S328" s="1"/>
      <c r="T328" s="1"/>
    </row>
    <row r="329" ht="12.75" customHeight="1">
      <c r="A329" s="1"/>
      <c r="B329" s="159">
        <f t="shared" si="65"/>
        <v>41943</v>
      </c>
      <c r="C329" s="19">
        <f t="shared" si="66"/>
        <v>0.03193096832</v>
      </c>
      <c r="D329" s="19">
        <f t="shared" si="67"/>
        <v>0.4500418149</v>
      </c>
      <c r="E329" s="7"/>
      <c r="F329" s="109">
        <f t="shared" si="68"/>
        <v>0.02442480061</v>
      </c>
      <c r="G329" s="19">
        <f t="shared" si="69"/>
        <v>0.5947468506</v>
      </c>
      <c r="H329" s="166"/>
      <c r="J329" s="173">
        <f>iferror(iferror(vlookup(B329,Data!$A:$L,12,false),vlookup(B329-1,Data!$A:$L,12,true)),vlookup(B329-2,Data!$A:$L,12,false))</f>
        <v>14500.41815</v>
      </c>
      <c r="K329" s="114">
        <f t="shared" si="70"/>
        <v>0.03193096832</v>
      </c>
      <c r="M329" s="1"/>
      <c r="P329" s="19"/>
      <c r="Q329" s="81"/>
      <c r="R329" s="19"/>
      <c r="S329" s="1"/>
      <c r="T329" s="1"/>
    </row>
    <row r="330" ht="12.75" customHeight="1">
      <c r="A330" s="1"/>
      <c r="B330" s="159">
        <f t="shared" si="65"/>
        <v>41973</v>
      </c>
      <c r="C330" s="19">
        <f t="shared" si="66"/>
        <v>0.07154971355</v>
      </c>
      <c r="D330" s="19">
        <f t="shared" si="67"/>
        <v>0.5537918914</v>
      </c>
      <c r="E330" s="7"/>
      <c r="F330" s="109">
        <f t="shared" si="68"/>
        <v>0.02689408701</v>
      </c>
      <c r="G330" s="19">
        <f t="shared" si="69"/>
        <v>0.6376361111</v>
      </c>
      <c r="H330" s="166"/>
      <c r="J330" s="173">
        <f>iferror(iferror(vlookup(B330,Data!$A:$L,12,false),vlookup(B330-1,Data!$A:$L,12,true)),vlookup(B330-2,Data!$A:$L,12,false))</f>
        <v>15537.91891</v>
      </c>
      <c r="K330" s="114">
        <f t="shared" si="70"/>
        <v>0.07154971355</v>
      </c>
      <c r="M330" s="1"/>
      <c r="P330" s="19"/>
      <c r="Q330" s="81"/>
      <c r="R330" s="19"/>
      <c r="S330" s="1"/>
      <c r="T330" s="1"/>
    </row>
    <row r="331" ht="12.75" customHeight="1">
      <c r="A331" s="1"/>
      <c r="B331" s="159">
        <f t="shared" si="65"/>
        <v>42004</v>
      </c>
      <c r="C331" s="19">
        <f t="shared" si="66"/>
        <v>0.05414642294</v>
      </c>
      <c r="D331" s="19">
        <f t="shared" si="67"/>
        <v>0.6379241643</v>
      </c>
      <c r="E331" s="7"/>
      <c r="F331" s="109">
        <f t="shared" si="68"/>
        <v>-0.002519216953</v>
      </c>
      <c r="G331" s="19">
        <f t="shared" si="69"/>
        <v>0.6335105505</v>
      </c>
      <c r="H331" s="166"/>
      <c r="J331" s="173">
        <f>iferror(iferror(vlookup(B331,Data!$A:$L,12,false),vlookup(B331-1,Data!$A:$L,12,true)),vlookup(B331-2,Data!$A:$L,12,false))</f>
        <v>16379.24164</v>
      </c>
      <c r="K331" s="114">
        <f t="shared" si="70"/>
        <v>0.05414642294</v>
      </c>
      <c r="M331" s="1"/>
      <c r="P331" s="19"/>
      <c r="Q331" s="81"/>
      <c r="R331" s="19"/>
      <c r="S331" s="1"/>
      <c r="T331" s="1"/>
    </row>
    <row r="332" ht="12.75" customHeight="1">
      <c r="A332" s="1"/>
      <c r="B332" s="159">
        <f t="shared" si="65"/>
        <v>42035</v>
      </c>
      <c r="C332" s="19">
        <f t="shared" si="66"/>
        <v>-0.02135220577</v>
      </c>
      <c r="D332" s="19">
        <f t="shared" si="67"/>
        <v>0.6029508705</v>
      </c>
      <c r="E332" s="7"/>
      <c r="F332" s="109">
        <f t="shared" si="68"/>
        <v>-0.0300203515</v>
      </c>
      <c r="G332" s="19">
        <f t="shared" si="69"/>
        <v>0.5844719896</v>
      </c>
      <c r="H332" s="166"/>
      <c r="J332" s="173">
        <f>iferror(iferror(vlookup(B332,Data!$A:$L,12,false),vlookup(B332-1,Data!$A:$L,12,true)),vlookup(B332-2,Data!$A:$L,12,false))</f>
        <v>16029.5087</v>
      </c>
      <c r="K332" s="114">
        <f t="shared" si="70"/>
        <v>-0.02135220577</v>
      </c>
      <c r="M332" s="1"/>
      <c r="P332" s="19"/>
      <c r="Q332" s="81"/>
      <c r="R332" s="19"/>
      <c r="S332" s="1"/>
      <c r="T332" s="1"/>
    </row>
    <row r="333" ht="12.75" customHeight="1">
      <c r="A333" s="1"/>
      <c r="B333" s="159">
        <f t="shared" si="65"/>
        <v>42063</v>
      </c>
      <c r="C333" s="19">
        <f t="shared" si="66"/>
        <v>0.03143443254</v>
      </c>
      <c r="D333" s="19">
        <f t="shared" si="67"/>
        <v>0.6533387215</v>
      </c>
      <c r="E333" s="7"/>
      <c r="F333" s="109">
        <f t="shared" si="68"/>
        <v>0.05747368673</v>
      </c>
      <c r="G333" s="19">
        <f t="shared" si="69"/>
        <v>0.6755374364</v>
      </c>
      <c r="H333" s="166"/>
      <c r="J333" s="173">
        <f>iferror(iferror(vlookup(B333,Data!$A:$L,12,false),vlookup(B333-1,Data!$A:$L,12,true)),vlookup(B333-2,Data!$A:$L,12,false))</f>
        <v>16533.38721</v>
      </c>
      <c r="K333" s="114">
        <f t="shared" si="70"/>
        <v>0.03143443254</v>
      </c>
      <c r="M333" s="1"/>
      <c r="P333" s="19"/>
      <c r="Q333" s="81"/>
      <c r="R333" s="19"/>
      <c r="S333" s="1"/>
      <c r="T333" s="1"/>
    </row>
    <row r="334" ht="12.75" customHeight="1">
      <c r="A334" s="1"/>
      <c r="B334" s="159">
        <f t="shared" si="65"/>
        <v>42094</v>
      </c>
      <c r="C334" s="19">
        <f t="shared" si="66"/>
        <v>0.07644641377</v>
      </c>
      <c r="D334" s="19">
        <f t="shared" si="67"/>
        <v>0.7797305375</v>
      </c>
      <c r="E334" s="7"/>
      <c r="F334" s="109">
        <f t="shared" si="68"/>
        <v>-0.01581563908</v>
      </c>
      <c r="G334" s="19">
        <f t="shared" si="69"/>
        <v>0.649037741</v>
      </c>
      <c r="H334" s="166"/>
      <c r="J334" s="173">
        <f>iferror(iferror(vlookup(B334,Data!$A:$L,12,false),vlookup(B334-1,Data!$A:$L,12,true)),vlookup(B334-2,Data!$A:$L,12,false))</f>
        <v>17797.30537</v>
      </c>
      <c r="K334" s="114">
        <f t="shared" si="70"/>
        <v>0.07644641377</v>
      </c>
      <c r="M334" s="1"/>
      <c r="P334" s="19"/>
      <c r="Q334" s="81"/>
      <c r="R334" s="19"/>
      <c r="S334" s="1"/>
      <c r="T334" s="1"/>
    </row>
    <row r="335" ht="12.75" customHeight="1">
      <c r="A335" s="1"/>
      <c r="B335" s="159">
        <f t="shared" si="65"/>
        <v>42124</v>
      </c>
      <c r="C335" s="19">
        <f t="shared" si="66"/>
        <v>-0.0405155543</v>
      </c>
      <c r="D335" s="19">
        <f t="shared" si="67"/>
        <v>0.7076237682</v>
      </c>
      <c r="E335" s="7"/>
      <c r="F335" s="109">
        <f t="shared" si="68"/>
        <v>0.009594590872</v>
      </c>
      <c r="G335" s="19">
        <f t="shared" si="69"/>
        <v>0.6648595835</v>
      </c>
      <c r="H335" s="166"/>
      <c r="J335" s="173">
        <f>iferror(iferror(vlookup(B335,Data!$A:$L,12,false),vlookup(B335-1,Data!$A:$L,12,true)),vlookup(B335-2,Data!$A:$L,12,false))</f>
        <v>17076.23768</v>
      </c>
      <c r="K335" s="114">
        <f t="shared" si="70"/>
        <v>-0.0405155543</v>
      </c>
      <c r="M335" s="1"/>
      <c r="P335" s="19"/>
      <c r="Q335" s="81"/>
      <c r="R335" s="19"/>
      <c r="S335" s="1"/>
      <c r="T335" s="1"/>
    </row>
    <row r="336" ht="12.75" customHeight="1">
      <c r="A336" s="1"/>
      <c r="B336" s="159">
        <f t="shared" si="65"/>
        <v>42155</v>
      </c>
      <c r="C336" s="19">
        <f t="shared" si="66"/>
        <v>0.03987936671</v>
      </c>
      <c r="D336" s="19">
        <f t="shared" si="67"/>
        <v>0.7757227227</v>
      </c>
      <c r="E336" s="7"/>
      <c r="F336" s="109">
        <f t="shared" si="68"/>
        <v>0.01285859748</v>
      </c>
      <c r="G336" s="19">
        <f t="shared" si="69"/>
        <v>0.6862673427</v>
      </c>
      <c r="H336" s="166"/>
      <c r="J336" s="173">
        <f>iferror(iferror(vlookup(B336,Data!$A:$L,12,false),vlookup(B336-1,Data!$A:$L,12,true)),vlookup(B336-2,Data!$A:$L,12,false))</f>
        <v>17757.22723</v>
      </c>
      <c r="K336" s="114">
        <f t="shared" si="70"/>
        <v>0.03987936671</v>
      </c>
      <c r="M336" s="1"/>
      <c r="P336" s="19"/>
      <c r="Q336" s="81"/>
      <c r="R336" s="19"/>
      <c r="S336" s="1"/>
      <c r="T336" s="1"/>
    </row>
    <row r="337" ht="12.75" customHeight="1">
      <c r="A337" s="1"/>
      <c r="B337" s="159">
        <f t="shared" si="65"/>
        <v>42185</v>
      </c>
      <c r="C337" s="19">
        <f t="shared" si="66"/>
        <v>0.006474039415</v>
      </c>
      <c r="D337" s="19">
        <f t="shared" si="67"/>
        <v>0.7872188216</v>
      </c>
      <c r="E337" s="7"/>
      <c r="F337" s="109">
        <f t="shared" si="68"/>
        <v>-0.01935912379</v>
      </c>
      <c r="G337" s="19">
        <f t="shared" si="69"/>
        <v>0.6536226845</v>
      </c>
      <c r="H337" s="166"/>
      <c r="J337" s="173">
        <f>iferror(iferror(vlookup(B337,Data!$A:$L,12,false),vlookup(B337-1,Data!$A:$L,12,true)),vlookup(B337-2,Data!$A:$L,12,false))</f>
        <v>17872.18822</v>
      </c>
      <c r="K337" s="114">
        <f t="shared" si="70"/>
        <v>0.006474039415</v>
      </c>
      <c r="M337" s="1"/>
      <c r="P337" s="19"/>
      <c r="Q337" s="81"/>
      <c r="R337" s="19"/>
      <c r="S337" s="1"/>
      <c r="T337" s="1"/>
    </row>
    <row r="338" ht="12.75" customHeight="1">
      <c r="A338" s="1"/>
      <c r="B338" s="159">
        <f t="shared" si="65"/>
        <v>42216</v>
      </c>
      <c r="C338" s="19">
        <f t="shared" si="66"/>
        <v>0.05008754105</v>
      </c>
      <c r="D338" s="19">
        <f t="shared" si="67"/>
        <v>0.8767362177</v>
      </c>
      <c r="E338" s="7"/>
      <c r="F338" s="109">
        <f t="shared" si="68"/>
        <v>0.02095206807</v>
      </c>
      <c r="G338" s="19">
        <f t="shared" si="69"/>
        <v>0.6882694995</v>
      </c>
      <c r="H338" s="166"/>
      <c r="J338" s="173">
        <f>iferror(iferror(vlookup(B338,Data!$A:$L,12,false),vlookup(B338-1,Data!$A:$L,12,true)),vlookup(B338-2,Data!$A:$L,12,false))</f>
        <v>18767.36218</v>
      </c>
      <c r="K338" s="114">
        <f t="shared" si="70"/>
        <v>0.05008754105</v>
      </c>
      <c r="M338" s="1"/>
      <c r="P338" s="19"/>
      <c r="Q338" s="81"/>
      <c r="R338" s="19"/>
      <c r="S338" s="1"/>
      <c r="T338" s="1"/>
    </row>
    <row r="339" ht="12.75" customHeight="1">
      <c r="A339" s="1"/>
      <c r="B339" s="159">
        <f t="shared" si="65"/>
        <v>42247</v>
      </c>
      <c r="C339" s="19">
        <f t="shared" si="66"/>
        <v>-0.05850187146</v>
      </c>
      <c r="D339" s="19">
        <f t="shared" si="67"/>
        <v>0.7669436367</v>
      </c>
      <c r="E339" s="7"/>
      <c r="F339" s="109">
        <f t="shared" si="68"/>
        <v>-0.06033421789</v>
      </c>
      <c r="G339" s="19">
        <f t="shared" si="69"/>
        <v>0.5864090797</v>
      </c>
      <c r="H339" s="166"/>
      <c r="J339" s="173">
        <f>iferror(iferror(vlookup(B339,Data!$A:$L,12,false),vlookup(B339-1,Data!$A:$L,12,true)),vlookup(B339-2,Data!$A:$L,12,false))</f>
        <v>17669.43637</v>
      </c>
      <c r="K339" s="114">
        <f t="shared" si="70"/>
        <v>-0.05850187146</v>
      </c>
      <c r="M339" s="1"/>
      <c r="P339" s="19"/>
      <c r="Q339" s="81"/>
      <c r="R339" s="19"/>
      <c r="S339" s="1"/>
      <c r="T339" s="1"/>
    </row>
    <row r="340" ht="12.75" customHeight="1">
      <c r="A340" s="1"/>
      <c r="B340" s="159">
        <f t="shared" si="65"/>
        <v>42277</v>
      </c>
      <c r="C340" s="19">
        <f t="shared" si="66"/>
        <v>-0.03865138868</v>
      </c>
      <c r="D340" s="19">
        <f t="shared" si="67"/>
        <v>0.6986488114</v>
      </c>
      <c r="E340" s="7"/>
      <c r="F340" s="109">
        <f t="shared" si="68"/>
        <v>-0.02474358478</v>
      </c>
      <c r="G340" s="19">
        <f t="shared" si="69"/>
        <v>0.5471556321</v>
      </c>
      <c r="H340" s="166"/>
      <c r="J340" s="173">
        <f>iferror(iferror(vlookup(B340,Data!$A:$L,12,false),vlookup(B340-1,Data!$A:$L,12,true)),vlookup(B340-2,Data!$A:$L,12,false))</f>
        <v>16986.48811</v>
      </c>
      <c r="K340" s="114">
        <f t="shared" si="70"/>
        <v>-0.03865138868</v>
      </c>
      <c r="M340" s="1"/>
      <c r="P340" s="19"/>
      <c r="Q340" s="81"/>
      <c r="R340" s="19"/>
      <c r="S340" s="1"/>
      <c r="T340" s="1"/>
    </row>
    <row r="341" ht="12.75" customHeight="1">
      <c r="A341" s="1"/>
      <c r="B341" s="159">
        <f t="shared" si="65"/>
        <v>42308</v>
      </c>
      <c r="C341" s="19">
        <f t="shared" si="66"/>
        <v>0.06997955225</v>
      </c>
      <c r="D341" s="19">
        <f t="shared" si="67"/>
        <v>0.8175194947</v>
      </c>
      <c r="E341" s="7"/>
      <c r="F341" s="109">
        <f t="shared" si="68"/>
        <v>0.08435457207</v>
      </c>
      <c r="G341" s="19">
        <f t="shared" si="69"/>
        <v>0.6776652834</v>
      </c>
      <c r="H341" s="166"/>
      <c r="J341" s="173">
        <f>iferror(iferror(vlookup(B341,Data!$A:$L,12,false),vlookup(B341-1,Data!$A:$L,12,true)),vlookup(B341-2,Data!$A:$L,12,false))</f>
        <v>18175.19495</v>
      </c>
      <c r="K341" s="114">
        <f t="shared" si="70"/>
        <v>0.06997955225</v>
      </c>
      <c r="M341" s="1"/>
      <c r="P341" s="19"/>
      <c r="Q341" s="81"/>
      <c r="R341" s="19"/>
      <c r="S341" s="1"/>
      <c r="T341" s="1"/>
    </row>
    <row r="342" ht="12.75" customHeight="1">
      <c r="A342" s="1"/>
      <c r="B342" s="159">
        <f t="shared" si="65"/>
        <v>42338</v>
      </c>
      <c r="C342" s="19">
        <f t="shared" si="66"/>
        <v>0.03816216755</v>
      </c>
      <c r="D342" s="19">
        <f t="shared" si="67"/>
        <v>0.8868799782</v>
      </c>
      <c r="E342" s="7"/>
      <c r="F342" s="109">
        <f t="shared" si="68"/>
        <v>0.002973140954</v>
      </c>
      <c r="G342" s="19">
        <f t="shared" si="69"/>
        <v>0.6826532188</v>
      </c>
      <c r="H342" s="166"/>
      <c r="J342" s="173">
        <f>iferror(iferror(vlookup(B342,Data!$A:$L,12,false),vlookup(B342-1,Data!$A:$L,12,true)),vlookup(B342-2,Data!$A:$L,12,false))</f>
        <v>18868.79978</v>
      </c>
      <c r="K342" s="114">
        <f t="shared" si="70"/>
        <v>0.03816216755</v>
      </c>
      <c r="M342" s="1"/>
      <c r="P342" s="19"/>
      <c r="Q342" s="81"/>
      <c r="R342" s="19"/>
      <c r="S342" s="1"/>
      <c r="T342" s="1"/>
    </row>
    <row r="343" ht="12.75" customHeight="1">
      <c r="A343" s="1"/>
      <c r="B343" s="159">
        <f t="shared" si="65"/>
        <v>42369</v>
      </c>
      <c r="C343" s="19">
        <f t="shared" si="66"/>
        <v>-0.02312994944</v>
      </c>
      <c r="D343" s="19">
        <f t="shared" si="67"/>
        <v>0.8432365397</v>
      </c>
      <c r="E343" s="7"/>
      <c r="F343" s="109">
        <f t="shared" si="68"/>
        <v>-0.0157719578</v>
      </c>
      <c r="G343" s="19">
        <f t="shared" si="69"/>
        <v>0.6561144832</v>
      </c>
      <c r="H343" s="166"/>
      <c r="J343" s="173">
        <f>iferror(iferror(vlookup(B343,Data!$A:$L,12,false),vlookup(B343-1,Data!$A:$L,12,true)),vlookup(B343-2,Data!$A:$L,12,false))</f>
        <v>18432.3654</v>
      </c>
      <c r="K343" s="114">
        <f t="shared" si="70"/>
        <v>-0.02312994944</v>
      </c>
      <c r="M343" s="1"/>
      <c r="P343" s="19"/>
      <c r="Q343" s="81"/>
      <c r="R343" s="19"/>
      <c r="S343" s="1"/>
      <c r="T343" s="1"/>
    </row>
    <row r="344" ht="12.75" customHeight="1">
      <c r="A344" s="174"/>
      <c r="B344" s="175">
        <f t="shared" ref="B344:B388" si="71">DATE(YEAR(B343+1),MONTH(B343+1)+1,DAY(B343+1))-1</f>
        <v>42400</v>
      </c>
      <c r="C344" s="176">
        <f t="shared" si="66"/>
        <v>-0.02052166089</v>
      </c>
      <c r="D344" s="176">
        <f t="shared" ref="D344:D388" si="72">(1+D343)*(1+C344)-1</f>
        <v>0.8054102645</v>
      </c>
      <c r="E344" s="177"/>
      <c r="F344" s="178">
        <f t="shared" si="68"/>
        <v>-0.04962321884</v>
      </c>
      <c r="G344" s="176">
        <f t="shared" ref="G344:G388" si="73">(1+G343)*(1+F344)-1</f>
        <v>0.5739327518</v>
      </c>
      <c r="H344" s="179"/>
      <c r="I344" s="177"/>
      <c r="J344" s="180">
        <f>iferror(iferror(vlookup(B344,Data!$A:$L,12,false),vlookup(B344-1,Data!$A:$L,12,true)),vlookup(B344-2,Data!$A:$L,12,false))</f>
        <v>18054.10264</v>
      </c>
      <c r="K344" s="181">
        <f t="shared" si="70"/>
        <v>-0.02052166089</v>
      </c>
      <c r="L344" s="177"/>
      <c r="M344" s="177"/>
      <c r="N344" s="177"/>
      <c r="O344" s="177"/>
      <c r="P344" s="182"/>
      <c r="Q344" s="183"/>
      <c r="R344" s="182"/>
      <c r="S344" s="177"/>
      <c r="T344" s="177"/>
      <c r="U344" s="177"/>
      <c r="V344" s="177"/>
      <c r="W344" s="177"/>
      <c r="X344" s="177"/>
    </row>
    <row r="345" ht="12.75" customHeight="1">
      <c r="A345" s="174"/>
      <c r="B345" s="175">
        <f t="shared" si="71"/>
        <v>42429</v>
      </c>
      <c r="C345" s="176">
        <f t="shared" si="66"/>
        <v>-0.1379021422</v>
      </c>
      <c r="D345" s="176">
        <f t="shared" si="72"/>
        <v>0.5564403214</v>
      </c>
      <c r="E345" s="177"/>
      <c r="F345" s="178">
        <f t="shared" si="68"/>
        <v>-0.001349133801</v>
      </c>
      <c r="G345" s="176">
        <f t="shared" si="73"/>
        <v>0.5718093059</v>
      </c>
      <c r="H345" s="179"/>
      <c r="I345" s="177"/>
      <c r="J345" s="180">
        <f>iferror(iferror(vlookup(B345,Data!$A:$L,12,false),vlookup(B345-1,Data!$A:$L,12,true)),vlookup(B345-2,Data!$A:$L,12,false))</f>
        <v>15564.40321</v>
      </c>
      <c r="K345" s="181">
        <f t="shared" si="70"/>
        <v>-0.1379021422</v>
      </c>
      <c r="L345" s="177"/>
      <c r="M345" s="177"/>
      <c r="N345" s="177"/>
      <c r="O345" s="177"/>
      <c r="P345" s="182"/>
      <c r="Q345" s="183"/>
      <c r="R345" s="182"/>
      <c r="S345" s="177"/>
      <c r="T345" s="177"/>
      <c r="U345" s="177"/>
      <c r="V345" s="177"/>
      <c r="W345" s="177"/>
      <c r="X345" s="177"/>
    </row>
    <row r="346" ht="12.75" customHeight="1">
      <c r="A346" s="174"/>
      <c r="B346" s="175">
        <f t="shared" si="71"/>
        <v>42460</v>
      </c>
      <c r="C346" s="176">
        <f t="shared" si="66"/>
        <v>0.0375636455</v>
      </c>
      <c r="D346" s="176">
        <f t="shared" si="72"/>
        <v>0.6149058939</v>
      </c>
      <c r="E346" s="177"/>
      <c r="F346" s="178">
        <f t="shared" si="68"/>
        <v>0.07460587914</v>
      </c>
      <c r="G346" s="176">
        <f t="shared" si="73"/>
        <v>0.689075521</v>
      </c>
      <c r="H346" s="179"/>
      <c r="I346" s="177"/>
      <c r="J346" s="180">
        <f>iferror(iferror(vlookup(B346,Data!$A:$L,12,false),vlookup(B346-1,Data!$A:$L,12,true)),vlookup(B346-2,Data!$A:$L,12,false))</f>
        <v>16149.05894</v>
      </c>
      <c r="K346" s="181">
        <f t="shared" si="70"/>
        <v>0.0375636455</v>
      </c>
      <c r="L346" s="177"/>
      <c r="M346" s="177"/>
      <c r="N346" s="177"/>
      <c r="O346" s="177"/>
      <c r="P346" s="182"/>
      <c r="Q346" s="183"/>
      <c r="R346" s="182"/>
      <c r="S346" s="177"/>
      <c r="T346" s="177"/>
      <c r="U346" s="177"/>
      <c r="V346" s="177"/>
      <c r="W346" s="177"/>
      <c r="X346" s="177"/>
    </row>
    <row r="347" ht="12.75" customHeight="1">
      <c r="A347" s="174"/>
      <c r="B347" s="175">
        <f t="shared" si="71"/>
        <v>42490</v>
      </c>
      <c r="C347" s="176">
        <f t="shared" si="66"/>
        <v>-0.05841132145</v>
      </c>
      <c r="D347" s="176">
        <f t="shared" si="72"/>
        <v>0.5205771066</v>
      </c>
      <c r="E347" s="177"/>
      <c r="F347" s="178">
        <f t="shared" si="68"/>
        <v>-0.002445056778</v>
      </c>
      <c r="G347" s="176">
        <f t="shared" si="73"/>
        <v>0.6849456355</v>
      </c>
      <c r="H347" s="179"/>
      <c r="I347" s="177"/>
      <c r="J347" s="180">
        <f>iferror(iferror(vlookup(B347,Data!$A:$L,12,false),vlookup(B347-1,Data!$A:$L,12,true)),vlookup(B347-2,Data!$A:$L,12,false))</f>
        <v>15205.77107</v>
      </c>
      <c r="K347" s="181">
        <f t="shared" si="70"/>
        <v>-0.05841132145</v>
      </c>
      <c r="L347" s="177"/>
      <c r="M347" s="177"/>
      <c r="N347" s="177"/>
      <c r="O347" s="177"/>
      <c r="P347" s="182"/>
      <c r="Q347" s="183"/>
      <c r="R347" s="182"/>
      <c r="S347" s="177"/>
      <c r="T347" s="177"/>
      <c r="U347" s="177"/>
      <c r="V347" s="177"/>
      <c r="W347" s="177"/>
      <c r="X347" s="177"/>
    </row>
    <row r="348" ht="12.75" customHeight="1">
      <c r="A348" s="174"/>
      <c r="B348" s="175">
        <f t="shared" si="71"/>
        <v>42521</v>
      </c>
      <c r="C348" s="176">
        <f t="shared" si="66"/>
        <v>0.03764013054</v>
      </c>
      <c r="D348" s="176">
        <f t="shared" si="72"/>
        <v>0.5778118274</v>
      </c>
      <c r="E348" s="177"/>
      <c r="F348" s="178">
        <f t="shared" si="68"/>
        <v>0.01795721851</v>
      </c>
      <c r="G348" s="176">
        <f t="shared" si="73"/>
        <v>0.7152025724</v>
      </c>
      <c r="H348" s="179"/>
      <c r="I348" s="177"/>
      <c r="J348" s="180">
        <f>iferror(iferror(vlookup(B348,Data!$A:$L,12,false),vlookup(B348-1,Data!$A:$L,12,true)),vlookup(B348-2,Data!$A:$L,12,false))</f>
        <v>15778.11827</v>
      </c>
      <c r="K348" s="181">
        <f t="shared" si="70"/>
        <v>0.03764013054</v>
      </c>
      <c r="L348" s="177"/>
      <c r="M348" s="177"/>
      <c r="N348" s="177"/>
      <c r="O348" s="177"/>
      <c r="P348" s="182"/>
      <c r="Q348" s="183"/>
      <c r="R348" s="182"/>
      <c r="S348" s="177"/>
      <c r="T348" s="177"/>
      <c r="U348" s="177"/>
      <c r="V348" s="177"/>
      <c r="W348" s="177"/>
      <c r="X348" s="177"/>
    </row>
    <row r="349" ht="12.75" customHeight="1">
      <c r="A349" s="174"/>
      <c r="B349" s="175">
        <f t="shared" si="71"/>
        <v>42551</v>
      </c>
      <c r="C349" s="176">
        <f t="shared" si="66"/>
        <v>-0.008651042441</v>
      </c>
      <c r="D349" s="176">
        <f t="shared" si="72"/>
        <v>0.5641621103</v>
      </c>
      <c r="E349" s="177"/>
      <c r="F349" s="178">
        <f t="shared" si="68"/>
        <v>0.002592251039</v>
      </c>
      <c r="G349" s="176">
        <f t="shared" si="73"/>
        <v>0.7196488081</v>
      </c>
      <c r="H349" s="179"/>
      <c r="I349" s="177"/>
      <c r="J349" s="180">
        <f>iferror(iferror(vlookup(B349,Data!$A:$L,12,false),vlookup(B349-1,Data!$A:$L,12,true)),vlookup(B349-2,Data!$A:$L,12,false))</f>
        <v>15641.6211</v>
      </c>
      <c r="K349" s="181">
        <f t="shared" si="70"/>
        <v>-0.008651042441</v>
      </c>
      <c r="L349" s="177"/>
      <c r="M349" s="177"/>
      <c r="N349" s="177"/>
      <c r="O349" s="177"/>
      <c r="P349" s="182"/>
      <c r="Q349" s="183"/>
      <c r="R349" s="182"/>
      <c r="S349" s="177"/>
      <c r="T349" s="177"/>
      <c r="U349" s="177"/>
      <c r="V349" s="177"/>
      <c r="W349" s="177"/>
      <c r="X349" s="177"/>
    </row>
    <row r="350" ht="12.75" customHeight="1">
      <c r="A350" s="174"/>
      <c r="B350" s="175">
        <f t="shared" si="71"/>
        <v>42582</v>
      </c>
      <c r="C350" s="176">
        <f t="shared" si="66"/>
        <v>0.03456727726</v>
      </c>
      <c r="D350" s="176">
        <f t="shared" si="72"/>
        <v>0.6182309357</v>
      </c>
      <c r="E350" s="177"/>
      <c r="F350" s="178">
        <f t="shared" si="68"/>
        <v>0.0368680085</v>
      </c>
      <c r="G350" s="176">
        <f t="shared" si="73"/>
        <v>0.7830488349</v>
      </c>
      <c r="H350" s="179"/>
      <c r="I350" s="177"/>
      <c r="J350" s="180">
        <f>iferror(iferror(vlookup(B350,Data!$A:$L,12,false),vlookup(B350-1,Data!$A:$L,12,true)),vlookup(B350-2,Data!$A:$L,12,false))</f>
        <v>16182.30936</v>
      </c>
      <c r="K350" s="181">
        <f t="shared" si="70"/>
        <v>0.03456727726</v>
      </c>
      <c r="L350" s="177"/>
      <c r="M350" s="177"/>
      <c r="N350" s="177"/>
      <c r="O350" s="177"/>
      <c r="P350" s="182"/>
      <c r="Q350" s="183"/>
      <c r="R350" s="182"/>
      <c r="S350" s="177"/>
      <c r="T350" s="177"/>
      <c r="U350" s="177"/>
      <c r="V350" s="177"/>
      <c r="W350" s="177"/>
      <c r="X350" s="177"/>
    </row>
    <row r="351" ht="12.75" customHeight="1">
      <c r="A351" s="174"/>
      <c r="B351" s="175">
        <f t="shared" si="71"/>
        <v>42613</v>
      </c>
      <c r="C351" s="176">
        <f t="shared" si="66"/>
        <v>-0.0344946677</v>
      </c>
      <c r="D351" s="176">
        <f t="shared" si="72"/>
        <v>0.5624105973</v>
      </c>
      <c r="E351" s="177"/>
      <c r="F351" s="178">
        <f t="shared" si="68"/>
        <v>0.005636151085</v>
      </c>
      <c r="G351" s="176">
        <f t="shared" si="73"/>
        <v>0.7930983675</v>
      </c>
      <c r="H351" s="179"/>
      <c r="I351" s="177"/>
      <c r="J351" s="180">
        <f>iferror(iferror(vlookup(B351,Data!$A:$L,12,false),vlookup(B351-1,Data!$A:$L,12,true)),vlookup(B351-2,Data!$A:$L,12,false))</f>
        <v>15624.10597</v>
      </c>
      <c r="K351" s="181">
        <f t="shared" si="70"/>
        <v>-0.0344946677</v>
      </c>
      <c r="L351" s="177"/>
      <c r="M351" s="177"/>
      <c r="N351" s="177"/>
      <c r="O351" s="177"/>
      <c r="P351" s="182"/>
      <c r="Q351" s="183"/>
      <c r="R351" s="182"/>
      <c r="S351" s="177"/>
      <c r="T351" s="177"/>
      <c r="U351" s="177"/>
      <c r="V351" s="177"/>
      <c r="W351" s="177"/>
      <c r="X351" s="177"/>
    </row>
    <row r="352" ht="12.75" customHeight="1">
      <c r="A352" s="174"/>
      <c r="B352" s="175">
        <f t="shared" si="71"/>
        <v>42643</v>
      </c>
      <c r="C352" s="176">
        <f t="shared" si="66"/>
        <v>-0.01798885985</v>
      </c>
      <c r="D352" s="176">
        <f t="shared" si="72"/>
        <v>0.534304612</v>
      </c>
      <c r="E352" s="177"/>
      <c r="F352" s="178">
        <f t="shared" si="68"/>
        <v>-0.00402155787</v>
      </c>
      <c r="G352" s="176">
        <f t="shared" si="73"/>
        <v>0.7858873187</v>
      </c>
      <c r="H352" s="179"/>
      <c r="I352" s="177"/>
      <c r="J352" s="184">
        <f>iferror(iferror(vlookup(B352,Data!$A:$L,12,false),vlookup(B352-1,Data!$A:$L,12,true)),vlookup(B352-2,Data!$A:$L,12,false))</f>
        <v>15343.04612</v>
      </c>
      <c r="K352" s="185">
        <f t="shared" si="70"/>
        <v>-0.01798885985</v>
      </c>
      <c r="L352" s="177"/>
      <c r="M352" s="177"/>
      <c r="N352" s="177"/>
      <c r="O352" s="177"/>
      <c r="P352" s="182"/>
      <c r="Q352" s="183"/>
      <c r="R352" s="182"/>
      <c r="S352" s="177"/>
      <c r="T352" s="177"/>
      <c r="U352" s="177"/>
      <c r="V352" s="177"/>
      <c r="W352" s="177"/>
      <c r="X352" s="177"/>
    </row>
    <row r="353" ht="12.75" customHeight="1">
      <c r="A353" s="174"/>
      <c r="B353" s="175">
        <f t="shared" si="71"/>
        <v>42674</v>
      </c>
      <c r="C353" s="176">
        <f t="shared" si="66"/>
        <v>-0.01486732085</v>
      </c>
      <c r="D353" s="176">
        <f t="shared" si="72"/>
        <v>0.5114936131</v>
      </c>
      <c r="E353" s="177"/>
      <c r="F353" s="178">
        <f t="shared" si="68"/>
        <v>-0.0182404527</v>
      </c>
      <c r="G353" s="176">
        <f t="shared" si="73"/>
        <v>0.7533119255</v>
      </c>
      <c r="H353" s="179"/>
      <c r="I353" s="177"/>
      <c r="J353" s="184">
        <f>iferror(iferror(vlookup(B353,Data!$A:$L,12,false),vlookup(B353-1,Data!$A:$L,12,true)),vlookup(B353-2,Data!$A:$L,12,false))</f>
        <v>15114.93613</v>
      </c>
      <c r="K353" s="185">
        <f t="shared" si="70"/>
        <v>-0.01486732085</v>
      </c>
      <c r="L353" s="177"/>
      <c r="M353" s="177"/>
      <c r="N353" s="177"/>
      <c r="O353" s="177"/>
      <c r="P353" s="182"/>
      <c r="Q353" s="183"/>
      <c r="R353" s="182"/>
      <c r="S353" s="177"/>
      <c r="T353" s="177"/>
      <c r="U353" s="177"/>
      <c r="V353" s="177"/>
      <c r="W353" s="177"/>
      <c r="X353" s="177"/>
    </row>
    <row r="354" ht="12.75" customHeight="1">
      <c r="A354" s="174"/>
      <c r="B354" s="175">
        <f t="shared" si="71"/>
        <v>42704</v>
      </c>
      <c r="C354" s="176">
        <f t="shared" si="66"/>
        <v>0.1136197701</v>
      </c>
      <c r="D354" s="176">
        <f t="shared" si="72"/>
        <v>0.6832291698</v>
      </c>
      <c r="E354" s="177"/>
      <c r="F354" s="178">
        <f t="shared" si="68"/>
        <v>0.03703511465</v>
      </c>
      <c r="G354" s="176">
        <f t="shared" si="73"/>
        <v>0.8182460337</v>
      </c>
      <c r="H354" s="179"/>
      <c r="I354" s="177"/>
      <c r="J354" s="184">
        <f>iferror(iferror(vlookup(B354,Data!$A:$L,12,false),vlookup(B354-1,Data!$A:$L,12,true)),vlookup(B354-2,Data!$A:$L,12,false))</f>
        <v>16832.2917</v>
      </c>
      <c r="K354" s="185">
        <f t="shared" si="70"/>
        <v>0.1136197701</v>
      </c>
      <c r="L354" s="177"/>
      <c r="M354" s="177"/>
      <c r="N354" s="177"/>
      <c r="O354" s="177"/>
      <c r="P354" s="182"/>
      <c r="Q354" s="183"/>
      <c r="R354" s="182"/>
      <c r="S354" s="177"/>
      <c r="T354" s="177"/>
      <c r="U354" s="177"/>
      <c r="V354" s="177"/>
      <c r="W354" s="177"/>
      <c r="X354" s="177"/>
    </row>
    <row r="355" ht="12.75" customHeight="1">
      <c r="A355" s="174"/>
      <c r="B355" s="175">
        <f t="shared" si="71"/>
        <v>42735</v>
      </c>
      <c r="C355" s="176">
        <f t="shared" si="66"/>
        <v>0.02108750395</v>
      </c>
      <c r="D355" s="176">
        <f t="shared" si="72"/>
        <v>0.7187242716</v>
      </c>
      <c r="E355" s="177"/>
      <c r="F355" s="178">
        <f t="shared" si="68"/>
        <v>0.01976533285</v>
      </c>
      <c r="G355" s="176">
        <f t="shared" si="73"/>
        <v>0.8541842718</v>
      </c>
      <c r="H355" s="179"/>
      <c r="I355" s="177"/>
      <c r="J355" s="184">
        <f>iferror(iferror(vlookup(B355,Data!$A:$L,12,false),vlookup(B355-1,Data!$A:$L,12,true)),vlookup(B355-2,Data!$A:$L,12,false))</f>
        <v>17187.24272</v>
      </c>
      <c r="K355" s="185">
        <f t="shared" si="70"/>
        <v>0.02108750395</v>
      </c>
      <c r="L355" s="177"/>
      <c r="M355" s="177"/>
      <c r="N355" s="177"/>
      <c r="O355" s="177"/>
      <c r="P355" s="182"/>
      <c r="Q355" s="183"/>
      <c r="R355" s="182"/>
      <c r="S355" s="177"/>
      <c r="T355" s="177"/>
      <c r="U355" s="177"/>
      <c r="V355" s="177"/>
      <c r="W355" s="177"/>
      <c r="X355" s="177"/>
    </row>
    <row r="356" ht="12.75" customHeight="1">
      <c r="A356" s="174"/>
      <c r="B356" s="175">
        <f t="shared" si="71"/>
        <v>42766</v>
      </c>
      <c r="C356" s="176">
        <f t="shared" si="66"/>
        <v>0.0500521204</v>
      </c>
      <c r="D356" s="176">
        <f t="shared" si="72"/>
        <v>0.8047500658</v>
      </c>
      <c r="E356" s="177"/>
      <c r="F356" s="178">
        <f t="shared" si="68"/>
        <v>0.0189662184</v>
      </c>
      <c r="G356" s="176">
        <f t="shared" si="73"/>
        <v>0.8893511356</v>
      </c>
      <c r="H356" s="179"/>
      <c r="I356" s="177"/>
      <c r="J356" s="184">
        <f>iferror(iferror(vlookup(B356,Data!$A:$L,12,false),vlookup(B356-1,Data!$A:$L,12,true)),vlookup(B356-2,Data!$A:$L,12,false))</f>
        <v>18047.50066</v>
      </c>
      <c r="K356" s="185">
        <f t="shared" si="70"/>
        <v>0.0500521204</v>
      </c>
      <c r="L356" s="177"/>
      <c r="M356" s="177"/>
      <c r="N356" s="177"/>
      <c r="O356" s="177"/>
      <c r="P356" s="182"/>
      <c r="Q356" s="183"/>
      <c r="R356" s="182"/>
      <c r="S356" s="177"/>
      <c r="T356" s="177"/>
      <c r="U356" s="177"/>
      <c r="V356" s="177"/>
      <c r="W356" s="177"/>
      <c r="X356" s="177"/>
    </row>
    <row r="357" ht="12.75" customHeight="1">
      <c r="A357" s="174"/>
      <c r="B357" s="175">
        <f t="shared" si="71"/>
        <v>42794</v>
      </c>
      <c r="C357" s="176">
        <f t="shared" si="66"/>
        <v>0.002036773492</v>
      </c>
      <c r="D357" s="176">
        <f t="shared" si="72"/>
        <v>0.8084259329</v>
      </c>
      <c r="E357" s="177"/>
      <c r="F357" s="178">
        <f t="shared" si="68"/>
        <v>0.03970815242</v>
      </c>
      <c r="G357" s="176">
        <f t="shared" si="73"/>
        <v>0.9643737785</v>
      </c>
      <c r="H357" s="179"/>
      <c r="I357" s="177"/>
      <c r="J357" s="184">
        <f>iferror(iferror(vlookup(B357,Data!$A:$L,12,false),vlookup(B357-1,Data!$A:$L,12,true)),vlookup(B357-2,Data!$A:$L,12,false))</f>
        <v>18084.25933</v>
      </c>
      <c r="K357" s="185">
        <f t="shared" si="70"/>
        <v>0.002036773492</v>
      </c>
      <c r="L357" s="177"/>
      <c r="M357" s="177"/>
      <c r="N357" s="177"/>
      <c r="O357" s="177"/>
      <c r="P357" s="182"/>
      <c r="Q357" s="183"/>
      <c r="R357" s="182"/>
      <c r="S357" s="177"/>
      <c r="T357" s="177"/>
      <c r="U357" s="177"/>
      <c r="V357" s="177"/>
      <c r="W357" s="177"/>
      <c r="X357" s="177"/>
    </row>
    <row r="358" ht="12.75" customHeight="1">
      <c r="A358" s="174"/>
      <c r="B358" s="175">
        <f t="shared" si="71"/>
        <v>42825</v>
      </c>
      <c r="C358" s="176">
        <f t="shared" si="66"/>
        <v>-0.01049646155</v>
      </c>
      <c r="D358" s="176">
        <f t="shared" si="72"/>
        <v>0.7894438596</v>
      </c>
      <c r="E358" s="177"/>
      <c r="F358" s="178">
        <f t="shared" si="68"/>
        <v>0.001164809516</v>
      </c>
      <c r="G358" s="176">
        <f t="shared" si="73"/>
        <v>0.9666618997</v>
      </c>
      <c r="H358" s="179"/>
      <c r="I358" s="177"/>
      <c r="J358" s="184">
        <f>iferror(iferror(vlookup(B358,Data!$A:$L,12,false),vlookup(B358-1,Data!$A:$L,12,true)),vlookup(B358-2,Data!$A:$L,12,false))</f>
        <v>17894.4386</v>
      </c>
      <c r="K358" s="185">
        <f t="shared" si="70"/>
        <v>-0.01049646155</v>
      </c>
      <c r="L358" s="177"/>
      <c r="M358" s="177"/>
      <c r="N358" s="177"/>
      <c r="O358" s="177"/>
      <c r="P358" s="182"/>
      <c r="Q358" s="183"/>
      <c r="R358" s="182"/>
      <c r="S358" s="177"/>
      <c r="T358" s="177"/>
      <c r="U358" s="177"/>
      <c r="V358" s="177"/>
      <c r="W358" s="177"/>
      <c r="X358" s="177"/>
    </row>
    <row r="359" ht="12.75" customHeight="1">
      <c r="A359" s="174"/>
      <c r="B359" s="175">
        <f t="shared" si="71"/>
        <v>42855</v>
      </c>
      <c r="C359" s="176">
        <f t="shared" si="66"/>
        <v>0.0106821553</v>
      </c>
      <c r="D359" s="176">
        <f t="shared" si="72"/>
        <v>0.8085589768</v>
      </c>
      <c r="E359" s="177"/>
      <c r="F359" s="178">
        <f t="shared" si="68"/>
        <v>0.01027056923</v>
      </c>
      <c r="G359" s="176">
        <f t="shared" si="73"/>
        <v>0.9868606369</v>
      </c>
      <c r="H359" s="179"/>
      <c r="I359" s="177"/>
      <c r="J359" s="184">
        <f>iferror(iferror(vlookup(B359,Data!$A:$L,12,false),vlookup(B359-1,Data!$A:$L,12,true)),vlookup(B359-2,Data!$A:$L,12,false))</f>
        <v>18085.58977</v>
      </c>
      <c r="K359" s="185">
        <f t="shared" si="70"/>
        <v>0.0106821553</v>
      </c>
      <c r="L359" s="177"/>
      <c r="M359" s="177"/>
      <c r="N359" s="177"/>
      <c r="O359" s="177"/>
      <c r="P359" s="182"/>
      <c r="Q359" s="183"/>
      <c r="R359" s="182"/>
      <c r="S359" s="177"/>
      <c r="T359" s="177"/>
      <c r="U359" s="177"/>
      <c r="V359" s="177"/>
      <c r="W359" s="177"/>
      <c r="X359" s="177"/>
    </row>
    <row r="360" ht="12.75" customHeight="1">
      <c r="A360" s="174"/>
      <c r="B360" s="175">
        <f t="shared" si="71"/>
        <v>42886</v>
      </c>
      <c r="C360" s="176">
        <f t="shared" si="66"/>
        <v>-0.002141840661</v>
      </c>
      <c r="D360" s="176">
        <f t="shared" si="72"/>
        <v>0.8046853317</v>
      </c>
      <c r="E360" s="177"/>
      <c r="F360" s="178">
        <f t="shared" si="68"/>
        <v>0.01407252629</v>
      </c>
      <c r="G360" s="176">
        <f t="shared" si="73"/>
        <v>1.014820786</v>
      </c>
      <c r="H360" s="179"/>
      <c r="I360" s="177"/>
      <c r="J360" s="184">
        <f>iferror(iferror(vlookup(B360,Data!$A:$L,12,false),vlookup(B360-1,Data!$A:$L,12,true)),vlookup(B360-2,Data!$A:$L,12,false))</f>
        <v>18046.85332</v>
      </c>
      <c r="K360" s="185">
        <f t="shared" si="70"/>
        <v>-0.002141840661</v>
      </c>
      <c r="L360" s="177"/>
      <c r="M360" s="177"/>
      <c r="N360" s="177"/>
      <c r="O360" s="177"/>
      <c r="P360" s="182"/>
      <c r="Q360" s="183"/>
      <c r="R360" s="182"/>
      <c r="S360" s="177"/>
      <c r="T360" s="177"/>
      <c r="U360" s="177"/>
      <c r="V360" s="177"/>
      <c r="W360" s="177"/>
      <c r="X360" s="177"/>
    </row>
    <row r="361" ht="12.75" customHeight="1">
      <c r="A361" s="174"/>
      <c r="B361" s="175">
        <f t="shared" si="71"/>
        <v>42916</v>
      </c>
      <c r="C361" s="176">
        <f t="shared" si="66"/>
        <v>0.01402381858</v>
      </c>
      <c r="D361" s="176">
        <f t="shared" si="72"/>
        <v>0.8299939114</v>
      </c>
      <c r="E361" s="177"/>
      <c r="F361" s="178">
        <f t="shared" si="68"/>
        <v>0.00624174614</v>
      </c>
      <c r="G361" s="176">
        <f t="shared" si="73"/>
        <v>1.027396785</v>
      </c>
      <c r="H361" s="179"/>
      <c r="I361" s="177"/>
      <c r="J361" s="184">
        <f>iferror(iferror(vlookup(B361,Data!$A:$L,12,false),vlookup(B361-1,Data!$A:$L,12,true)),vlookup(B361-2,Data!$A:$L,12,false))</f>
        <v>18299.93911</v>
      </c>
      <c r="K361" s="185">
        <f t="shared" si="70"/>
        <v>0.01402381858</v>
      </c>
      <c r="L361" s="177"/>
      <c r="M361" s="177"/>
      <c r="N361" s="177"/>
      <c r="O361" s="177"/>
      <c r="P361" s="182"/>
      <c r="Q361" s="183"/>
      <c r="R361" s="182"/>
      <c r="S361" s="177"/>
      <c r="T361" s="177"/>
      <c r="U361" s="177"/>
      <c r="V361" s="177"/>
      <c r="W361" s="177"/>
      <c r="X361" s="177"/>
    </row>
    <row r="362" ht="12.75" customHeight="1">
      <c r="A362" s="174"/>
      <c r="B362" s="175">
        <f t="shared" si="71"/>
        <v>42947</v>
      </c>
      <c r="C362" s="176">
        <f t="shared" si="66"/>
        <v>0.01114571364</v>
      </c>
      <c r="D362" s="176">
        <f t="shared" si="72"/>
        <v>0.8503904995</v>
      </c>
      <c r="E362" s="177"/>
      <c r="F362" s="178">
        <f t="shared" si="68"/>
        <v>0.02056276131</v>
      </c>
      <c r="G362" s="176">
        <f t="shared" si="73"/>
        <v>1.069085662</v>
      </c>
      <c r="H362" s="179"/>
      <c r="I362" s="177"/>
      <c r="J362" s="184">
        <f>iferror(iferror(vlookup(B362,Data!$A:$L,12,false),vlookup(B362-1,Data!$A:$L,12,true)),vlookup(B362-2,Data!$A:$L,12,false))</f>
        <v>18503.90499</v>
      </c>
      <c r="K362" s="185">
        <f t="shared" si="70"/>
        <v>0.01114571364</v>
      </c>
      <c r="L362" s="177"/>
      <c r="M362" s="177"/>
      <c r="N362" s="177"/>
      <c r="O362" s="177"/>
      <c r="P362" s="182"/>
      <c r="Q362" s="183"/>
      <c r="R362" s="182"/>
      <c r="S362" s="177"/>
      <c r="T362" s="177"/>
      <c r="U362" s="177"/>
      <c r="V362" s="177"/>
      <c r="W362" s="177"/>
      <c r="X362" s="177"/>
    </row>
    <row r="363" ht="12.75" customHeight="1">
      <c r="A363" s="174"/>
      <c r="B363" s="175">
        <f t="shared" si="71"/>
        <v>42978</v>
      </c>
      <c r="C363" s="176">
        <f t="shared" si="66"/>
        <v>-0.02606099554</v>
      </c>
      <c r="D363" s="176">
        <f t="shared" si="72"/>
        <v>0.8021674809</v>
      </c>
      <c r="E363" s="177"/>
      <c r="F363" s="178">
        <f t="shared" si="68"/>
        <v>0.003062062263</v>
      </c>
      <c r="G363" s="176">
        <f t="shared" si="73"/>
        <v>1.075421331</v>
      </c>
      <c r="H363" s="179"/>
      <c r="I363" s="177"/>
      <c r="J363" s="184">
        <f>iferror(iferror(vlookup(B363,Data!$A:$L,12,false),vlookup(B363-1,Data!$A:$L,12,true)),vlookup(B363-2,Data!$A:$L,12,false))</f>
        <v>18021.67481</v>
      </c>
      <c r="K363" s="185">
        <f t="shared" si="70"/>
        <v>-0.02606099554</v>
      </c>
      <c r="L363" s="177"/>
      <c r="M363" s="177"/>
      <c r="N363" s="177"/>
      <c r="O363" s="177"/>
      <c r="P363" s="182"/>
      <c r="Q363" s="183"/>
      <c r="R363" s="182"/>
      <c r="S363" s="177"/>
      <c r="T363" s="177"/>
      <c r="U363" s="177"/>
      <c r="V363" s="177"/>
      <c r="W363" s="177"/>
      <c r="X363" s="177"/>
    </row>
    <row r="364" ht="12.75" customHeight="1">
      <c r="A364" s="174"/>
      <c r="B364" s="175">
        <f t="shared" si="71"/>
        <v>43008</v>
      </c>
      <c r="C364" s="176">
        <f t="shared" si="66"/>
        <v>0.03104629153</v>
      </c>
      <c r="D364" s="176">
        <f t="shared" si="72"/>
        <v>0.8581180979</v>
      </c>
      <c r="E364" s="177"/>
      <c r="F364" s="178">
        <f t="shared" si="68"/>
        <v>0.02062774838</v>
      </c>
      <c r="G364" s="176">
        <f t="shared" si="73"/>
        <v>1.1182326</v>
      </c>
      <c r="H364" s="179"/>
      <c r="I364" s="177"/>
      <c r="J364" s="184">
        <f>iferror(iferror(vlookup(B364,Data!$A:$L,12,false),vlookup(B364-1,Data!$A:$L,12,true)),vlookup(B364-2,Data!$A:$L,12,false))</f>
        <v>18581.18098</v>
      </c>
      <c r="K364" s="185">
        <f t="shared" si="70"/>
        <v>0.03104629153</v>
      </c>
      <c r="L364" s="177"/>
      <c r="M364" s="177"/>
      <c r="N364" s="177"/>
      <c r="O364" s="177"/>
      <c r="P364" s="182"/>
      <c r="Q364" s="183"/>
      <c r="R364" s="182"/>
      <c r="S364" s="177"/>
      <c r="T364" s="177"/>
      <c r="U364" s="177"/>
      <c r="V364" s="177"/>
      <c r="W364" s="177"/>
      <c r="X364" s="177"/>
    </row>
    <row r="365" ht="12.75" customHeight="1">
      <c r="A365" s="174"/>
      <c r="B365" s="175">
        <f t="shared" si="71"/>
        <v>43039</v>
      </c>
      <c r="C365" s="176">
        <f t="shared" si="66"/>
        <v>0.01570972509</v>
      </c>
      <c r="D365" s="176">
        <f t="shared" si="72"/>
        <v>0.8873086224</v>
      </c>
      <c r="E365" s="177"/>
      <c r="F365" s="178">
        <f t="shared" si="68"/>
        <v>0.02333484043</v>
      </c>
      <c r="G365" s="176">
        <f t="shared" si="73"/>
        <v>1.167661219</v>
      </c>
      <c r="H365" s="179"/>
      <c r="I365" s="177"/>
      <c r="J365" s="184">
        <f>iferror(iferror(vlookup(B365,Data!$A:$L,12,false),vlookup(B365-1,Data!$A:$L,12,true)),vlookup(B365-2,Data!$A:$L,12,false))</f>
        <v>18873.08622</v>
      </c>
      <c r="K365" s="185">
        <f t="shared" si="70"/>
        <v>0.01570972509</v>
      </c>
      <c r="L365" s="177"/>
      <c r="M365" s="177"/>
      <c r="N365" s="177"/>
      <c r="O365" s="177"/>
      <c r="P365" s="182"/>
      <c r="Q365" s="183"/>
      <c r="R365" s="182"/>
      <c r="S365" s="177"/>
      <c r="T365" s="177"/>
      <c r="U365" s="177"/>
      <c r="V365" s="177"/>
      <c r="W365" s="177"/>
      <c r="X365" s="177"/>
    </row>
    <row r="366" ht="12.75" customHeight="1">
      <c r="A366" s="174"/>
      <c r="B366" s="175">
        <f t="shared" si="71"/>
        <v>43069</v>
      </c>
      <c r="C366" s="176">
        <f t="shared" si="66"/>
        <v>0.01482339525</v>
      </c>
      <c r="D366" s="176">
        <f t="shared" si="72"/>
        <v>0.9152849441</v>
      </c>
      <c r="E366" s="177"/>
      <c r="F366" s="178">
        <f t="shared" si="68"/>
        <v>0.0286243785</v>
      </c>
      <c r="G366" s="176">
        <f t="shared" si="73"/>
        <v>1.229709175</v>
      </c>
      <c r="H366" s="179"/>
      <c r="I366" s="177"/>
      <c r="J366" s="184">
        <f>iferror(iferror(vlookup(B366,Data!$A:$L,12,false),vlookup(B366-1,Data!$A:$L,12,true)),vlookup(B366-2,Data!$A:$L,12,false))</f>
        <v>19152.84944</v>
      </c>
      <c r="K366" s="185">
        <f t="shared" si="70"/>
        <v>0.01482339525</v>
      </c>
      <c r="L366" s="177"/>
      <c r="M366" s="177"/>
      <c r="N366" s="177"/>
      <c r="O366" s="177"/>
      <c r="P366" s="182"/>
      <c r="Q366" s="183"/>
      <c r="R366" s="182"/>
      <c r="S366" s="177"/>
      <c r="T366" s="177"/>
      <c r="U366" s="177"/>
      <c r="V366" s="177"/>
      <c r="W366" s="177"/>
      <c r="X366" s="177"/>
    </row>
    <row r="367" ht="12.75" customHeight="1">
      <c r="A367" s="174"/>
      <c r="B367" s="175">
        <f t="shared" si="71"/>
        <v>43100</v>
      </c>
      <c r="C367" s="176">
        <f t="shared" si="66"/>
        <v>0.01445951581</v>
      </c>
      <c r="D367" s="176">
        <f t="shared" si="72"/>
        <v>0.942979037</v>
      </c>
      <c r="E367" s="177"/>
      <c r="F367" s="178">
        <f t="shared" si="68"/>
        <v>0.01312871583</v>
      </c>
      <c r="G367" s="176">
        <f t="shared" si="73"/>
        <v>1.258982393</v>
      </c>
      <c r="H367" s="179"/>
      <c r="I367" s="177"/>
      <c r="J367" s="184">
        <f>iferror(iferror(vlookup(B367,Data!$A:$L,12,false),vlookup(B367-1,Data!$A:$L,12,true)),vlookup(B367-2,Data!$A:$L,12,false))</f>
        <v>19429.79037</v>
      </c>
      <c r="K367" s="185">
        <f t="shared" si="70"/>
        <v>0.01445951581</v>
      </c>
      <c r="L367" s="177"/>
      <c r="M367" s="177"/>
      <c r="N367" s="177"/>
      <c r="O367" s="177"/>
      <c r="P367" s="182"/>
      <c r="Q367" s="183"/>
      <c r="R367" s="182"/>
      <c r="S367" s="177"/>
      <c r="T367" s="177"/>
      <c r="U367" s="177"/>
      <c r="V367" s="177"/>
      <c r="W367" s="177"/>
      <c r="X367" s="177"/>
    </row>
    <row r="368" ht="12.75" customHeight="1">
      <c r="A368" s="174"/>
      <c r="B368" s="175">
        <f t="shared" si="71"/>
        <v>43131</v>
      </c>
      <c r="C368" s="176">
        <f t="shared" si="66"/>
        <v>0.03586108453</v>
      </c>
      <c r="D368" s="176">
        <f t="shared" si="72"/>
        <v>1.012656372</v>
      </c>
      <c r="E368" s="177"/>
      <c r="F368" s="178">
        <f t="shared" si="68"/>
        <v>0.0572537389</v>
      </c>
      <c r="G368" s="176">
        <f t="shared" si="73"/>
        <v>1.388317581</v>
      </c>
      <c r="H368" s="179"/>
      <c r="I368" s="177"/>
      <c r="J368" s="184">
        <f>iferror(iferror(vlookup(B368,Data!$A:$L,12,false),vlookup(B368-1,Data!$A:$L,12,true)),vlookup(B368-2,Data!$A:$L,12,false))</f>
        <v>20126.56372</v>
      </c>
      <c r="K368" s="185">
        <f t="shared" si="70"/>
        <v>0.03586108453</v>
      </c>
      <c r="L368" s="177"/>
      <c r="M368" s="177"/>
      <c r="N368" s="177"/>
      <c r="O368" s="177"/>
      <c r="P368" s="182"/>
      <c r="Q368" s="183"/>
      <c r="R368" s="182"/>
      <c r="S368" s="177"/>
      <c r="T368" s="177"/>
      <c r="U368" s="177"/>
      <c r="V368" s="177"/>
      <c r="W368" s="177"/>
      <c r="X368" s="177"/>
    </row>
    <row r="369" ht="12.75" customHeight="1">
      <c r="A369" s="174"/>
      <c r="B369" s="175">
        <f t="shared" si="71"/>
        <v>43159</v>
      </c>
      <c r="C369" s="176">
        <f t="shared" si="66"/>
        <v>-0.04367604034</v>
      </c>
      <c r="D369" s="176">
        <f t="shared" si="72"/>
        <v>0.9247515116</v>
      </c>
      <c r="E369" s="177"/>
      <c r="F369" s="178">
        <f t="shared" si="68"/>
        <v>-0.03685579029</v>
      </c>
      <c r="G369" s="176">
        <f t="shared" si="73"/>
        <v>1.300294249</v>
      </c>
      <c r="H369" s="179"/>
      <c r="I369" s="177"/>
      <c r="J369" s="184">
        <f>iferror(iferror(vlookup(B369,Data!$A:$L,12,false),vlookup(B369-1,Data!$A:$L,12,true)),vlookup(B369-2,Data!$A:$L,12,false))</f>
        <v>19247.51512</v>
      </c>
      <c r="K369" s="185">
        <f t="shared" si="70"/>
        <v>-0.04367604034</v>
      </c>
      <c r="L369" s="177"/>
      <c r="M369" s="177"/>
      <c r="N369" s="177"/>
      <c r="O369" s="177"/>
      <c r="P369" s="182"/>
      <c r="Q369" s="183"/>
      <c r="R369" s="182"/>
      <c r="S369" s="177"/>
      <c r="T369" s="177"/>
      <c r="U369" s="177"/>
      <c r="V369" s="177"/>
      <c r="W369" s="177"/>
      <c r="X369" s="177"/>
    </row>
    <row r="370" ht="12.75" customHeight="1">
      <c r="A370" s="174"/>
      <c r="B370" s="175">
        <f t="shared" si="71"/>
        <v>43190</v>
      </c>
      <c r="C370" s="176">
        <f t="shared" si="66"/>
        <v>-0.0218723974</v>
      </c>
      <c r="D370" s="176">
        <f t="shared" si="72"/>
        <v>0.8826525816</v>
      </c>
      <c r="E370" s="177"/>
      <c r="F370" s="178">
        <f t="shared" si="68"/>
        <v>-0.02541403782</v>
      </c>
      <c r="G370" s="176">
        <f t="shared" si="73"/>
        <v>1.241834484</v>
      </c>
      <c r="H370" s="179"/>
      <c r="I370" s="177"/>
      <c r="J370" s="184">
        <f>iferror(iferror(vlookup(B370,Data!$A:$L,12,false),vlookup(B370-1,Data!$A:$L,12,true)),vlookup(B370-2,Data!$A:$L,12,false))</f>
        <v>18826.52582</v>
      </c>
      <c r="K370" s="185">
        <f t="shared" si="70"/>
        <v>-0.0218723974</v>
      </c>
      <c r="L370" s="177"/>
      <c r="M370" s="177"/>
      <c r="N370" s="177"/>
      <c r="O370" s="177"/>
      <c r="P370" s="182"/>
      <c r="Q370" s="183"/>
      <c r="R370" s="182"/>
      <c r="S370" s="177"/>
      <c r="T370" s="177"/>
      <c r="U370" s="177"/>
      <c r="V370" s="177"/>
      <c r="W370" s="177"/>
      <c r="X370" s="177"/>
    </row>
    <row r="371" ht="12.75" customHeight="1">
      <c r="A371" s="174"/>
      <c r="B371" s="175">
        <f t="shared" si="71"/>
        <v>43220</v>
      </c>
      <c r="C371" s="176">
        <f t="shared" si="66"/>
        <v>-0.00468487602</v>
      </c>
      <c r="D371" s="176">
        <f t="shared" si="72"/>
        <v>0.8738325877</v>
      </c>
      <c r="E371" s="177"/>
      <c r="F371" s="178">
        <f t="shared" si="68"/>
        <v>0.003837090847</v>
      </c>
      <c r="G371" s="176">
        <f t="shared" si="73"/>
        <v>1.250436606</v>
      </c>
      <c r="H371" s="179"/>
      <c r="I371" s="177"/>
      <c r="J371" s="184">
        <f>iferror(iferror(vlookup(B371,Data!$A:$L,12,false),vlookup(B371-1,Data!$A:$L,12,true)),vlookup(B371-2,Data!$A:$L,12,false))</f>
        <v>18738.32588</v>
      </c>
      <c r="K371" s="185">
        <f t="shared" si="70"/>
        <v>-0.00468487602</v>
      </c>
      <c r="L371" s="177"/>
      <c r="M371" s="177"/>
      <c r="N371" s="177"/>
      <c r="O371" s="177"/>
      <c r="P371" s="182"/>
      <c r="Q371" s="183"/>
      <c r="R371" s="182"/>
      <c r="S371" s="177"/>
      <c r="T371" s="177"/>
      <c r="U371" s="177"/>
      <c r="V371" s="177"/>
      <c r="W371" s="177"/>
      <c r="X371" s="177"/>
    </row>
    <row r="372" ht="12.75" customHeight="1">
      <c r="A372" s="174"/>
      <c r="B372" s="175">
        <f t="shared" si="71"/>
        <v>43251</v>
      </c>
      <c r="C372" s="176">
        <f t="shared" si="66"/>
        <v>0.03047372543</v>
      </c>
      <c r="D372" s="176">
        <f t="shared" si="72"/>
        <v>0.9309352475</v>
      </c>
      <c r="E372" s="177"/>
      <c r="F372" s="178">
        <f t="shared" si="68"/>
        <v>0.02408223314</v>
      </c>
      <c r="G372" s="176">
        <f t="shared" si="73"/>
        <v>1.304632146</v>
      </c>
      <c r="H372" s="179"/>
      <c r="I372" s="177"/>
      <c r="J372" s="184">
        <f>iferror(iferror(vlookup(B372,Data!$A:$L,12,false),vlookup(B372-1,Data!$A:$L,12,true)),vlookup(B372-2,Data!$A:$L,12,false))</f>
        <v>19309.35247</v>
      </c>
      <c r="K372" s="185">
        <f t="shared" si="70"/>
        <v>0.03047372543</v>
      </c>
      <c r="L372" s="177"/>
      <c r="M372" s="177"/>
      <c r="N372" s="177"/>
      <c r="O372" s="177"/>
      <c r="P372" s="182"/>
      <c r="Q372" s="183"/>
      <c r="R372" s="182"/>
      <c r="S372" s="177"/>
      <c r="T372" s="177"/>
      <c r="U372" s="177"/>
      <c r="V372" s="177"/>
      <c r="W372" s="177"/>
      <c r="X372" s="177"/>
    </row>
    <row r="373" ht="12.75" customHeight="1">
      <c r="A373" s="174"/>
      <c r="B373" s="175">
        <f t="shared" si="71"/>
        <v>43281</v>
      </c>
      <c r="C373" s="176">
        <f t="shared" si="66"/>
        <v>0.001561511548</v>
      </c>
      <c r="D373" s="176">
        <f t="shared" si="72"/>
        <v>0.9339504252</v>
      </c>
      <c r="E373" s="177"/>
      <c r="F373" s="178">
        <f t="shared" si="68"/>
        <v>0.006154453658</v>
      </c>
      <c r="G373" s="176">
        <f t="shared" si="73"/>
        <v>1.318815897</v>
      </c>
      <c r="H373" s="179"/>
      <c r="I373" s="177"/>
      <c r="J373" s="184">
        <f>iferror(iferror(vlookup(B373,Data!$A:$L,12,false),vlookup(B373-1,Data!$A:$L,12,true)),vlookup(B373-2,Data!$A:$L,12,false))</f>
        <v>19339.50425</v>
      </c>
      <c r="K373" s="185">
        <f t="shared" si="70"/>
        <v>0.001561511548</v>
      </c>
      <c r="L373" s="177"/>
      <c r="M373" s="177"/>
      <c r="N373" s="177"/>
      <c r="O373" s="177"/>
      <c r="P373" s="182"/>
      <c r="Q373" s="183"/>
      <c r="R373" s="182"/>
      <c r="S373" s="177"/>
      <c r="T373" s="177"/>
      <c r="U373" s="177"/>
      <c r="V373" s="177"/>
      <c r="W373" s="177"/>
      <c r="X373" s="177"/>
    </row>
    <row r="374" ht="12.75" customHeight="1">
      <c r="A374" s="174"/>
      <c r="B374" s="175">
        <f t="shared" si="71"/>
        <v>43312</v>
      </c>
      <c r="C374" s="176">
        <f t="shared" si="66"/>
        <v>0.02335181859</v>
      </c>
      <c r="D374" s="176">
        <f t="shared" si="72"/>
        <v>0.9791116847</v>
      </c>
      <c r="E374" s="177"/>
      <c r="F374" s="178">
        <f t="shared" si="68"/>
        <v>0.03721478724</v>
      </c>
      <c r="G374" s="176">
        <f t="shared" si="73"/>
        <v>1.405110138</v>
      </c>
      <c r="H374" s="179"/>
      <c r="I374" s="177"/>
      <c r="J374" s="184">
        <f>iferror(iferror(vlookup(B374,Data!$A:$L,12,false),vlookup(B374-1,Data!$A:$L,12,true)),vlookup(B374-2,Data!$A:$L,12,false))</f>
        <v>19791.11685</v>
      </c>
      <c r="K374" s="185">
        <f t="shared" si="70"/>
        <v>0.02335181859</v>
      </c>
      <c r="L374" s="177"/>
      <c r="M374" s="177"/>
      <c r="N374" s="177"/>
      <c r="O374" s="177"/>
      <c r="P374" s="182"/>
      <c r="Q374" s="183"/>
      <c r="R374" s="182"/>
      <c r="S374" s="177"/>
      <c r="T374" s="177"/>
      <c r="U374" s="177"/>
      <c r="V374" s="177"/>
      <c r="W374" s="177"/>
      <c r="X374" s="177"/>
    </row>
    <row r="375" ht="12.75" customHeight="1">
      <c r="A375" s="174"/>
      <c r="B375" s="175">
        <f t="shared" si="71"/>
        <v>43343</v>
      </c>
      <c r="C375" s="176">
        <f t="shared" si="66"/>
        <v>0.0406976255</v>
      </c>
      <c r="D375" s="176">
        <f t="shared" si="72"/>
        <v>1.059656831</v>
      </c>
      <c r="E375" s="177"/>
      <c r="F375" s="178">
        <f t="shared" si="68"/>
        <v>0.03258401862</v>
      </c>
      <c r="G375" s="176">
        <f t="shared" si="73"/>
        <v>1.483478291</v>
      </c>
      <c r="H375" s="179"/>
      <c r="I375" s="177"/>
      <c r="J375" s="184">
        <f>iferror(iferror(vlookup(B375,Data!$A:$L,12,false),vlookup(B375-1,Data!$A:$L,12,true)),vlookup(B375-2,Data!$A:$L,12,false))</f>
        <v>20596.56831</v>
      </c>
      <c r="K375" s="185">
        <f t="shared" si="70"/>
        <v>0.0406976255</v>
      </c>
      <c r="L375" s="177"/>
      <c r="M375" s="177"/>
      <c r="N375" s="177"/>
      <c r="O375" s="177"/>
      <c r="P375" s="182"/>
      <c r="Q375" s="183"/>
      <c r="R375" s="182"/>
      <c r="S375" s="177"/>
      <c r="T375" s="177"/>
      <c r="U375" s="177"/>
      <c r="V375" s="177"/>
      <c r="W375" s="177"/>
      <c r="X375" s="177"/>
    </row>
    <row r="376" ht="12.75" customHeight="1">
      <c r="A376" s="174"/>
      <c r="B376" s="175">
        <f t="shared" si="71"/>
        <v>43373</v>
      </c>
      <c r="C376" s="176">
        <f t="shared" si="66"/>
        <v>-0.0144245706</v>
      </c>
      <c r="D376" s="176">
        <f t="shared" si="72"/>
        <v>1.029947165</v>
      </c>
      <c r="E376" s="177"/>
      <c r="F376" s="178">
        <f t="shared" si="68"/>
        <v>0.005692049976</v>
      </c>
      <c r="G376" s="176">
        <f t="shared" si="73"/>
        <v>1.497614374</v>
      </c>
      <c r="H376" s="179"/>
      <c r="I376" s="177"/>
      <c r="J376" s="184">
        <f>iferror(iferror(vlookup(B376,Data!$A:$L,12,false),vlookup(B376-1,Data!$A:$L,12,true)),vlookup(B376-2,Data!$A:$L,12,false))</f>
        <v>20299.47165</v>
      </c>
      <c r="K376" s="185">
        <f t="shared" si="70"/>
        <v>-0.0144245706</v>
      </c>
      <c r="L376" s="177"/>
      <c r="M376" s="177"/>
      <c r="N376" s="177"/>
      <c r="O376" s="177"/>
      <c r="P376" s="182"/>
      <c r="Q376" s="183"/>
      <c r="R376" s="182"/>
      <c r="S376" s="177"/>
      <c r="T376" s="177"/>
      <c r="U376" s="177"/>
      <c r="V376" s="177"/>
      <c r="W376" s="177"/>
      <c r="X376" s="177"/>
    </row>
    <row r="377" ht="12.75" customHeight="1">
      <c r="A377" s="174"/>
      <c r="B377" s="175">
        <f t="shared" si="71"/>
        <v>43404</v>
      </c>
      <c r="C377" s="176">
        <f t="shared" si="66"/>
        <v>-0.0918198145</v>
      </c>
      <c r="D377" s="176">
        <f t="shared" si="72"/>
        <v>0.8435577933</v>
      </c>
      <c r="E377" s="177"/>
      <c r="F377" s="178">
        <f t="shared" si="68"/>
        <v>-0.06835004216</v>
      </c>
      <c r="G377" s="176">
        <f t="shared" si="73"/>
        <v>1.326902326</v>
      </c>
      <c r="H377" s="179"/>
      <c r="I377" s="177"/>
      <c r="J377" s="184">
        <f>iferror(iferror(vlookup(B377,Data!$A:$L,12,false),vlookup(B377-1,Data!$A:$L,12,true)),vlookup(B377-2,Data!$A:$L,12,false))</f>
        <v>18435.57793</v>
      </c>
      <c r="K377" s="185">
        <f t="shared" si="70"/>
        <v>-0.0918198145</v>
      </c>
      <c r="L377" s="177"/>
      <c r="M377" s="177"/>
      <c r="N377" s="177"/>
      <c r="O377" s="177"/>
      <c r="P377" s="182"/>
      <c r="Q377" s="183"/>
      <c r="R377" s="182"/>
      <c r="S377" s="177"/>
      <c r="T377" s="177"/>
      <c r="U377" s="177"/>
      <c r="V377" s="177"/>
      <c r="W377" s="177"/>
      <c r="X377" s="177"/>
    </row>
    <row r="378" ht="12.75" customHeight="1">
      <c r="A378" s="174"/>
      <c r="B378" s="175">
        <f t="shared" si="71"/>
        <v>43434</v>
      </c>
      <c r="C378" s="176">
        <f t="shared" si="66"/>
        <v>0.01574932217</v>
      </c>
      <c r="D378" s="176">
        <f t="shared" si="72"/>
        <v>0.8725925789</v>
      </c>
      <c r="E378" s="177"/>
      <c r="F378" s="178">
        <f t="shared" si="68"/>
        <v>0.02037809922</v>
      </c>
      <c r="G378" s="176">
        <f t="shared" si="73"/>
        <v>1.374320172</v>
      </c>
      <c r="H378" s="179"/>
      <c r="I378" s="177"/>
      <c r="J378" s="184">
        <f>iferror(iferror(vlookup(B378,Data!$A:$L,12,false),vlookup(B378-1,Data!$A:$L,12,true)),vlookup(B378-2,Data!$A:$L,12,false))</f>
        <v>18725.92579</v>
      </c>
      <c r="K378" s="185">
        <f t="shared" si="70"/>
        <v>0.01574932217</v>
      </c>
      <c r="L378" s="177"/>
      <c r="M378" s="177"/>
      <c r="N378" s="177"/>
      <c r="O378" s="177"/>
      <c r="P378" s="182"/>
      <c r="Q378" s="183"/>
      <c r="R378" s="182"/>
      <c r="S378" s="177"/>
      <c r="T378" s="177"/>
      <c r="U378" s="177"/>
      <c r="V378" s="177"/>
      <c r="W378" s="177"/>
      <c r="X378" s="177"/>
    </row>
    <row r="379" ht="12.75" customHeight="1">
      <c r="A379" s="174"/>
      <c r="B379" s="175">
        <f t="shared" si="71"/>
        <v>43465</v>
      </c>
      <c r="C379" s="176">
        <f t="shared" si="66"/>
        <v>-0.07896287452</v>
      </c>
      <c r="D379" s="176">
        <f t="shared" si="72"/>
        <v>0.7247272861</v>
      </c>
      <c r="E379" s="177"/>
      <c r="F379" s="178">
        <f t="shared" si="68"/>
        <v>-0.09028985692</v>
      </c>
      <c r="G379" s="176">
        <f t="shared" si="73"/>
        <v>1.159943144</v>
      </c>
      <c r="H379" s="179"/>
      <c r="I379" s="177"/>
      <c r="J379" s="184">
        <f>iferror(iferror(vlookup(B379,Data!$A:$L,12,false),vlookup(B379-1,Data!$A:$L,12,true)),vlookup(B379-2,Data!$A:$L,12,false))</f>
        <v>17247.27286</v>
      </c>
      <c r="K379" s="185">
        <f t="shared" si="70"/>
        <v>-0.07896287452</v>
      </c>
      <c r="L379" s="177"/>
      <c r="M379" s="177"/>
      <c r="N379" s="177"/>
      <c r="O379" s="177"/>
      <c r="P379" s="182"/>
      <c r="Q379" s="183"/>
      <c r="R379" s="182"/>
      <c r="S379" s="177"/>
      <c r="T379" s="177"/>
      <c r="U379" s="177"/>
      <c r="V379" s="177"/>
      <c r="W379" s="177"/>
      <c r="X379" s="177"/>
    </row>
    <row r="380" ht="12.75" customHeight="1">
      <c r="A380" s="174"/>
      <c r="B380" s="175">
        <f t="shared" si="71"/>
        <v>43496</v>
      </c>
      <c r="C380" s="176">
        <f t="shared" si="66"/>
        <v>0.07752591156</v>
      </c>
      <c r="D380" s="176">
        <f t="shared" si="72"/>
        <v>0.8584383411</v>
      </c>
      <c r="E380" s="177"/>
      <c r="F380" s="178">
        <f t="shared" si="68"/>
        <v>0.08013490576</v>
      </c>
      <c r="G380" s="176">
        <f t="shared" si="73"/>
        <v>1.333029984</v>
      </c>
      <c r="H380" s="179"/>
      <c r="I380" s="177"/>
      <c r="J380" s="184">
        <f>iferror(iferror(vlookup(B380,Data!$A:$L,12,false),vlookup(B380-1,Data!$A:$L,12,true)),vlookup(B380-2,Data!$A:$L,12,false))</f>
        <v>18584.38341</v>
      </c>
      <c r="K380" s="185">
        <f t="shared" si="70"/>
        <v>0.07752591156</v>
      </c>
      <c r="L380" s="177"/>
      <c r="M380" s="177"/>
      <c r="N380" s="177"/>
      <c r="O380" s="177"/>
      <c r="P380" s="182"/>
      <c r="Q380" s="183"/>
      <c r="R380" s="182"/>
      <c r="S380" s="177"/>
      <c r="T380" s="177"/>
      <c r="U380" s="177"/>
      <c r="V380" s="177"/>
      <c r="W380" s="177"/>
      <c r="X380" s="177"/>
    </row>
    <row r="381" ht="12.75" customHeight="1">
      <c r="A381" s="174"/>
      <c r="B381" s="175">
        <f t="shared" si="71"/>
        <v>43524</v>
      </c>
      <c r="C381" s="176">
        <f t="shared" si="66"/>
        <v>0.01967085864</v>
      </c>
      <c r="D381" s="176">
        <f t="shared" si="72"/>
        <v>0.894995419</v>
      </c>
      <c r="E381" s="177"/>
      <c r="F381" s="178">
        <f t="shared" si="68"/>
        <v>0.03210844727</v>
      </c>
      <c r="G381" s="176">
        <f t="shared" si="73"/>
        <v>1.407939954</v>
      </c>
      <c r="H381" s="179"/>
      <c r="I381" s="177"/>
      <c r="J381" s="184">
        <f>iferror(iferror(vlookup(B381,Data!$A:$L,12,false),vlookup(B381-1,Data!$A:$L,12,true)),vlookup(B381-2,Data!$A:$L,12,false))</f>
        <v>18949.95419</v>
      </c>
      <c r="K381" s="185">
        <f t="shared" si="70"/>
        <v>0.01967085864</v>
      </c>
      <c r="L381" s="177"/>
      <c r="M381" s="177"/>
      <c r="N381" s="177"/>
      <c r="O381" s="177"/>
      <c r="P381" s="182"/>
      <c r="Q381" s="183"/>
      <c r="R381" s="182"/>
      <c r="S381" s="177"/>
      <c r="T381" s="177"/>
      <c r="U381" s="177"/>
      <c r="V381" s="177"/>
      <c r="W381" s="177"/>
      <c r="X381" s="177"/>
    </row>
    <row r="382" ht="12.75" customHeight="1">
      <c r="A382" s="174"/>
      <c r="B382" s="175">
        <f t="shared" si="71"/>
        <v>43555</v>
      </c>
      <c r="C382" s="176">
        <f t="shared" si="66"/>
        <v>0.03461316956</v>
      </c>
      <c r="D382" s="176">
        <f t="shared" si="72"/>
        <v>0.9605872168</v>
      </c>
      <c r="E382" s="177"/>
      <c r="F382" s="178">
        <f t="shared" si="68"/>
        <v>0.01943133165</v>
      </c>
      <c r="G382" s="176">
        <f t="shared" si="73"/>
        <v>1.454729434</v>
      </c>
      <c r="H382" s="179"/>
      <c r="I382" s="177"/>
      <c r="J382" s="184">
        <f>iferror(iferror(vlookup(B382,Data!$A:$L,12,false),vlookup(B382-1,Data!$A:$L,12,true)),vlookup(B382-2,Data!$A:$L,12,false))</f>
        <v>19605.87217</v>
      </c>
      <c r="K382" s="185">
        <f t="shared" si="70"/>
        <v>0.03461316956</v>
      </c>
      <c r="L382" s="177"/>
      <c r="M382" s="177"/>
      <c r="N382" s="177"/>
      <c r="O382" s="177"/>
      <c r="P382" s="182"/>
      <c r="Q382" s="183"/>
      <c r="R382" s="182"/>
      <c r="S382" s="177"/>
      <c r="T382" s="177"/>
      <c r="U382" s="177"/>
      <c r="V382" s="177"/>
      <c r="W382" s="177"/>
      <c r="X382" s="177"/>
    </row>
    <row r="383" ht="12.75" customHeight="1">
      <c r="A383" s="174"/>
      <c r="B383" s="175">
        <f t="shared" si="71"/>
        <v>43585</v>
      </c>
      <c r="C383" s="176">
        <f t="shared" si="66"/>
        <v>0.08131955631</v>
      </c>
      <c r="D383" s="176">
        <f t="shared" si="72"/>
        <v>1.120021299</v>
      </c>
      <c r="E383" s="177"/>
      <c r="F383" s="178">
        <f t="shared" si="68"/>
        <v>0.04048929642</v>
      </c>
      <c r="G383" s="176">
        <f t="shared" si="73"/>
        <v>1.554119702</v>
      </c>
      <c r="H383" s="179"/>
      <c r="I383" s="177"/>
      <c r="J383" s="184">
        <f>iferror(iferror(vlookup(B383,Data!$A:$L,12,false),vlookup(B383-1,Data!$A:$L,12,true)),vlookup(B383-2,Data!$A:$L,12,false))</f>
        <v>21200.21299</v>
      </c>
      <c r="K383" s="185">
        <f t="shared" si="70"/>
        <v>0.08131955631</v>
      </c>
      <c r="L383" s="177"/>
      <c r="M383" s="177"/>
      <c r="N383" s="177"/>
      <c r="O383" s="177"/>
      <c r="P383" s="182"/>
      <c r="Q383" s="183"/>
      <c r="R383" s="182"/>
      <c r="S383" s="177"/>
      <c r="T383" s="177"/>
      <c r="U383" s="177"/>
      <c r="V383" s="177"/>
      <c r="W383" s="177"/>
      <c r="X383" s="177"/>
    </row>
    <row r="384" ht="12.75" customHeight="1">
      <c r="A384" s="174"/>
      <c r="B384" s="175">
        <f t="shared" si="71"/>
        <v>43616</v>
      </c>
      <c r="C384" s="176">
        <f t="shared" si="66"/>
        <v>-0.05217677781</v>
      </c>
      <c r="D384" s="176">
        <f t="shared" si="72"/>
        <v>1.009405419</v>
      </c>
      <c r="E384" s="177"/>
      <c r="F384" s="178">
        <f t="shared" si="68"/>
        <v>-0.06354802751</v>
      </c>
      <c r="G384" s="176">
        <f t="shared" si="73"/>
        <v>1.391810433</v>
      </c>
      <c r="H384" s="179"/>
      <c r="I384" s="177"/>
      <c r="J384" s="184">
        <f>iferror(iferror(vlookup(B384,Data!$A:$L,12,false),vlookup(B384-1,Data!$A:$L,12,true)),vlookup(B384-2,Data!$A:$L,12,false))</f>
        <v>20094.05419</v>
      </c>
      <c r="K384" s="185">
        <f t="shared" si="70"/>
        <v>-0.05217677781</v>
      </c>
      <c r="L384" s="177"/>
      <c r="M384" s="177"/>
      <c r="N384" s="177"/>
      <c r="O384" s="177"/>
      <c r="P384" s="182"/>
      <c r="Q384" s="183"/>
      <c r="R384" s="182"/>
      <c r="S384" s="177"/>
      <c r="T384" s="177"/>
      <c r="U384" s="177"/>
      <c r="V384" s="177"/>
      <c r="W384" s="177"/>
      <c r="X384" s="177"/>
    </row>
    <row r="385" ht="12.75" customHeight="1">
      <c r="A385" s="174"/>
      <c r="B385" s="175">
        <f t="shared" si="71"/>
        <v>43646</v>
      </c>
      <c r="C385" s="176">
        <f t="shared" si="66"/>
        <v>0.06476308561</v>
      </c>
      <c r="D385" s="176">
        <f t="shared" si="72"/>
        <v>1.139540714</v>
      </c>
      <c r="E385" s="177"/>
      <c r="F385" s="178">
        <f t="shared" si="68"/>
        <v>0.07047671159</v>
      </c>
      <c r="G385" s="176">
        <f t="shared" si="73"/>
        <v>1.560377367</v>
      </c>
      <c r="H385" s="179"/>
      <c r="I385" s="177"/>
      <c r="J385" s="184">
        <f>iferror(iferror(vlookup(B385,Data!$A:$L,12,false),vlookup(B385-1,Data!$A:$L,12,true)),vlookup(B385-2,Data!$A:$L,12,false))</f>
        <v>21395.40714</v>
      </c>
      <c r="K385" s="185">
        <f t="shared" si="70"/>
        <v>0.06476308561</v>
      </c>
      <c r="L385" s="177"/>
      <c r="M385" s="177"/>
      <c r="N385" s="177"/>
      <c r="O385" s="177"/>
      <c r="P385" s="182"/>
      <c r="Q385" s="183"/>
      <c r="R385" s="182"/>
      <c r="S385" s="177"/>
      <c r="T385" s="177"/>
      <c r="U385" s="177"/>
      <c r="V385" s="177"/>
      <c r="W385" s="177"/>
      <c r="X385" s="177"/>
    </row>
    <row r="386" ht="12.75" customHeight="1">
      <c r="A386" s="174"/>
      <c r="B386" s="175">
        <f t="shared" si="71"/>
        <v>43677</v>
      </c>
      <c r="C386" s="176">
        <f t="shared" si="66"/>
        <v>0.02842760103</v>
      </c>
      <c r="D386" s="176">
        <f t="shared" si="72"/>
        <v>1.200362724</v>
      </c>
      <c r="E386" s="177"/>
      <c r="F386" s="178">
        <f t="shared" si="68"/>
        <v>0.01437312233</v>
      </c>
      <c r="G386" s="176">
        <f t="shared" si="73"/>
        <v>1.597177984</v>
      </c>
      <c r="H386" s="179"/>
      <c r="I386" s="177"/>
      <c r="J386" s="184">
        <f>iferror(iferror(vlookup(B386,Data!$A:$L,12,false),vlookup(B386-1,Data!$A:$L,12,true)),vlookup(B386-2,Data!$A:$L,12,false))</f>
        <v>22003.62724</v>
      </c>
      <c r="K386" s="185">
        <f t="shared" si="70"/>
        <v>0.02842760103</v>
      </c>
      <c r="L386" s="177"/>
      <c r="M386" s="177"/>
      <c r="N386" s="177"/>
      <c r="O386" s="177"/>
      <c r="P386" s="182"/>
      <c r="Q386" s="183"/>
      <c r="R386" s="182"/>
      <c r="S386" s="177"/>
      <c r="T386" s="177"/>
      <c r="U386" s="177"/>
      <c r="V386" s="177"/>
      <c r="W386" s="177"/>
      <c r="X386" s="177"/>
    </row>
    <row r="387" ht="12.75" customHeight="1">
      <c r="A387" s="174"/>
      <c r="B387" s="175">
        <f t="shared" si="71"/>
        <v>43708</v>
      </c>
      <c r="C387" s="176">
        <f t="shared" si="66"/>
        <v>-0.01092559058</v>
      </c>
      <c r="D387" s="176">
        <f t="shared" si="72"/>
        <v>1.176322462</v>
      </c>
      <c r="E387" s="177"/>
      <c r="F387" s="178">
        <f t="shared" si="68"/>
        <v>-0.01584136609</v>
      </c>
      <c r="G387" s="176">
        <f t="shared" si="73"/>
        <v>1.556035137</v>
      </c>
      <c r="H387" s="179"/>
      <c r="I387" s="177"/>
      <c r="J387" s="184">
        <f>iferror(iferror(vlookup(B387,Data!$A:$L,12,false),vlookup(B387-1,Data!$A:$L,12,true)),vlookup(B387-2,Data!$A:$L,12,false))</f>
        <v>21763.22462</v>
      </c>
      <c r="K387" s="185">
        <f t="shared" si="70"/>
        <v>-0.01092559058</v>
      </c>
      <c r="L387" s="177"/>
      <c r="M387" s="177"/>
      <c r="N387" s="177"/>
      <c r="O387" s="177"/>
      <c r="P387" s="182"/>
      <c r="Q387" s="183"/>
      <c r="R387" s="182"/>
      <c r="S387" s="177"/>
      <c r="T387" s="177"/>
      <c r="U387" s="177"/>
      <c r="V387" s="177"/>
      <c r="W387" s="177"/>
      <c r="X387" s="177"/>
    </row>
    <row r="388" ht="12.75" customHeight="1">
      <c r="A388" s="174"/>
      <c r="B388" s="175">
        <f t="shared" si="71"/>
        <v>43738</v>
      </c>
      <c r="C388" s="176">
        <f t="shared" si="66"/>
        <v>0.01690471054</v>
      </c>
      <c r="D388" s="176">
        <f t="shared" si="72"/>
        <v>1.213112563</v>
      </c>
      <c r="E388" s="177"/>
      <c r="F388" s="178">
        <f t="shared" si="68"/>
        <v>0.01871069796</v>
      </c>
      <c r="G388" s="176">
        <f t="shared" si="73"/>
        <v>1.603860338</v>
      </c>
      <c r="H388" s="179"/>
      <c r="I388" s="177"/>
      <c r="J388" s="184">
        <f>iferror(iferror(vlookup(B388,Data!$A:$L,12,false),vlookup(B388-1,Data!$A:$L,12,true)),vlookup(B388-2,Data!$A:$L,12,false))</f>
        <v>22131.12563</v>
      </c>
      <c r="K388" s="185">
        <f t="shared" si="70"/>
        <v>0.01690471054</v>
      </c>
      <c r="L388" s="177"/>
      <c r="M388" s="177"/>
      <c r="N388" s="177"/>
      <c r="O388" s="177"/>
      <c r="P388" s="182"/>
      <c r="Q388" s="183"/>
      <c r="R388" s="182"/>
      <c r="S388" s="177"/>
      <c r="T388" s="177"/>
      <c r="U388" s="177"/>
      <c r="V388" s="177"/>
      <c r="W388" s="177"/>
      <c r="X388" s="177"/>
    </row>
    <row r="389" ht="12.75" customHeight="1">
      <c r="A389" s="1"/>
      <c r="B389" s="5"/>
      <c r="C389" s="152"/>
      <c r="E389" s="7"/>
      <c r="F389" s="19"/>
      <c r="G389" s="19"/>
      <c r="H389" s="166"/>
      <c r="M389" s="1"/>
      <c r="P389" s="19"/>
      <c r="Q389" s="81"/>
      <c r="R389" s="19"/>
      <c r="S389" s="1"/>
      <c r="T389" s="1"/>
    </row>
    <row r="390" ht="12.75" customHeight="1">
      <c r="A390" s="1"/>
      <c r="B390" s="5"/>
      <c r="C390" s="152"/>
      <c r="E390" s="7"/>
      <c r="F390" s="19"/>
      <c r="G390" s="19"/>
      <c r="H390" s="166"/>
      <c r="M390" s="1"/>
      <c r="P390" s="19"/>
      <c r="Q390" s="81"/>
      <c r="R390" s="19"/>
      <c r="S390" s="1"/>
      <c r="T390" s="1"/>
    </row>
    <row r="391" ht="12.75" customHeight="1">
      <c r="A391" s="1"/>
      <c r="B391" s="5" t="s">
        <v>831</v>
      </c>
      <c r="C391" s="152" t="str">
        <f>VLOOKUP($C$4,$C$35:$Q$43,15,FALSE)</f>
        <v/>
      </c>
      <c r="E391" s="7"/>
      <c r="F391" s="19"/>
      <c r="G391" s="19"/>
      <c r="H391" s="166"/>
      <c r="M391" s="1"/>
      <c r="P391" s="19"/>
      <c r="Q391" s="81"/>
      <c r="R391" s="19"/>
      <c r="S391" s="1"/>
      <c r="T391" s="1"/>
    </row>
    <row r="392" ht="12.75" customHeight="1">
      <c r="A392" s="1"/>
      <c r="B392" s="5" t="s">
        <v>813</v>
      </c>
      <c r="C392" s="19">
        <f t="array" ref="C392">PRODUCT(1+C297:C390)^(1/COUNT(C297:C390))-1</f>
        <v>0.008965795958</v>
      </c>
      <c r="D392" s="7"/>
      <c r="E392" s="7"/>
      <c r="F392" s="19">
        <f t="array" ref="F392">PRODUCT(1+F297:F390)^(1/COUNT(F297:F390))-1</f>
        <v>0.01081077244</v>
      </c>
      <c r="G392" s="7"/>
      <c r="H392" s="158"/>
      <c r="M392" s="1"/>
      <c r="P392" s="19"/>
      <c r="Q392" s="81"/>
      <c r="R392" s="19"/>
      <c r="S392" s="1"/>
      <c r="T392" s="1"/>
    </row>
    <row r="393" ht="12.75" customHeight="1">
      <c r="A393" s="1"/>
      <c r="B393" s="89" t="s">
        <v>833</v>
      </c>
      <c r="C393" s="170">
        <f>((1+C392)^COUNTA(C297:C390))-1</f>
        <v>1.213112563</v>
      </c>
      <c r="D393" s="10"/>
      <c r="E393" s="10"/>
      <c r="F393" s="170">
        <f>((1+F392)^COUNTA(F297:F390))-1</f>
        <v>1.603860338</v>
      </c>
      <c r="G393" s="10"/>
      <c r="H393" s="90"/>
      <c r="M393" s="1"/>
      <c r="P393" s="19"/>
      <c r="Q393" s="81"/>
      <c r="R393" s="19"/>
      <c r="S393" s="1"/>
      <c r="T393" s="1"/>
    </row>
    <row r="394" ht="12.75" customHeight="1">
      <c r="A394" s="1"/>
      <c r="B394" s="171" t="s">
        <v>834</v>
      </c>
      <c r="C394" s="19">
        <f>(1+C392)^12-1</f>
        <v>0.1130567977</v>
      </c>
      <c r="D394" s="7"/>
      <c r="E394" s="7"/>
      <c r="F394" s="19">
        <f>(1+F392)^12-1</f>
        <v>0.1377277206</v>
      </c>
      <c r="G394" s="7"/>
      <c r="H394" s="158"/>
      <c r="M394" s="1"/>
      <c r="P394" s="19"/>
      <c r="Q394" s="81"/>
      <c r="R394" s="19"/>
      <c r="S394" s="1"/>
      <c r="T394" s="1"/>
    </row>
    <row r="396" ht="12.75" customHeight="1">
      <c r="A396" s="1"/>
      <c r="B396" s="7"/>
      <c r="C396" s="19"/>
      <c r="D396" s="7"/>
      <c r="E396" s="7"/>
      <c r="F396" s="19"/>
      <c r="G396" s="7"/>
      <c r="H396" s="7"/>
      <c r="M396" s="1"/>
      <c r="P396" s="19"/>
      <c r="Q396" s="81"/>
      <c r="R396" s="19"/>
      <c r="S396" s="1"/>
      <c r="T396" s="1"/>
    </row>
    <row r="397" ht="12.75" customHeight="1">
      <c r="A397" s="1"/>
      <c r="B397" s="7"/>
      <c r="C397" s="19"/>
      <c r="D397" s="7"/>
      <c r="E397" s="7"/>
      <c r="F397" s="19"/>
      <c r="G397" s="7"/>
      <c r="H397" s="7"/>
      <c r="M397" s="1"/>
      <c r="P397" s="19"/>
      <c r="Q397" s="81"/>
      <c r="R397" s="19"/>
      <c r="S397" s="1"/>
      <c r="T397" s="1"/>
    </row>
    <row r="398" ht="12.75" customHeight="1">
      <c r="A398" s="1"/>
      <c r="B398" s="143" t="s">
        <v>894</v>
      </c>
      <c r="C398" s="1"/>
      <c r="D398" s="145"/>
      <c r="E398" s="145"/>
      <c r="F398" s="145"/>
      <c r="G398" s="145"/>
      <c r="H398" s="145"/>
      <c r="I398" s="145"/>
      <c r="J398" s="145"/>
      <c r="K398" s="145"/>
      <c r="L398" s="145"/>
      <c r="M398" s="145"/>
      <c r="N398" s="145"/>
      <c r="O398" s="145"/>
      <c r="P398" s="145"/>
      <c r="Q398" s="145"/>
      <c r="R398" s="19"/>
      <c r="S398" s="1"/>
      <c r="T398" s="1"/>
    </row>
    <row r="399" ht="12.75" customHeight="1">
      <c r="A399" s="1"/>
      <c r="B399" s="35" t="s">
        <v>793</v>
      </c>
      <c r="C399" s="1" t="s">
        <v>794</v>
      </c>
      <c r="D399" s="145">
        <v>2.0</v>
      </c>
      <c r="E399" s="145">
        <f t="shared" ref="E399:O399" si="74">D399+1</f>
        <v>3</v>
      </c>
      <c r="F399" s="145">
        <f t="shared" si="74"/>
        <v>4</v>
      </c>
      <c r="G399" s="145">
        <f t="shared" si="74"/>
        <v>5</v>
      </c>
      <c r="H399" s="145">
        <f t="shared" si="74"/>
        <v>6</v>
      </c>
      <c r="I399" s="145">
        <f t="shared" si="74"/>
        <v>7</v>
      </c>
      <c r="J399" s="145">
        <f t="shared" si="74"/>
        <v>8</v>
      </c>
      <c r="K399" s="145">
        <f t="shared" si="74"/>
        <v>9</v>
      </c>
      <c r="L399" s="145">
        <f t="shared" si="74"/>
        <v>10</v>
      </c>
      <c r="M399" s="145">
        <f t="shared" si="74"/>
        <v>11</v>
      </c>
      <c r="N399" s="145">
        <f t="shared" si="74"/>
        <v>12</v>
      </c>
      <c r="O399" s="145">
        <f t="shared" si="74"/>
        <v>13</v>
      </c>
      <c r="P399" s="145"/>
      <c r="Q399" s="145"/>
      <c r="R399" s="19"/>
      <c r="S399" s="1"/>
      <c r="T399" s="1"/>
    </row>
    <row r="400" ht="12.75" customHeight="1">
      <c r="A400" s="1"/>
      <c r="B400" s="100" t="s">
        <v>553</v>
      </c>
      <c r="C400" s="101" t="s">
        <v>542</v>
      </c>
      <c r="D400" s="102" t="s">
        <v>556</v>
      </c>
      <c r="E400" s="102" t="s">
        <v>557</v>
      </c>
      <c r="F400" s="102" t="s">
        <v>558</v>
      </c>
      <c r="G400" s="102" t="s">
        <v>559</v>
      </c>
      <c r="H400" s="102" t="s">
        <v>560</v>
      </c>
      <c r="I400" s="102" t="s">
        <v>561</v>
      </c>
      <c r="J400" s="102" t="s">
        <v>563</v>
      </c>
      <c r="K400" s="102" t="s">
        <v>564</v>
      </c>
      <c r="L400" s="102" t="s">
        <v>565</v>
      </c>
      <c r="M400" s="102" t="s">
        <v>566</v>
      </c>
      <c r="N400" s="102" t="s">
        <v>567</v>
      </c>
      <c r="O400" s="102" t="s">
        <v>568</v>
      </c>
      <c r="P400" s="103"/>
      <c r="Q400" s="104" t="s">
        <v>571</v>
      </c>
      <c r="R400" s="19"/>
      <c r="S400" s="1"/>
      <c r="T400" s="1"/>
    </row>
    <row r="401" ht="12.75" customHeight="1">
      <c r="A401" s="1"/>
      <c r="B401" s="146" t="s">
        <v>796</v>
      </c>
      <c r="C401" s="147">
        <v>0.0</v>
      </c>
      <c r="D401" s="147">
        <f t="shared" ref="D401:O401" si="75">IF(VLOOKUP($C$4,$C$65:$Q$73,D399,FALSE)="",NA(),(1+VLOOKUP($C$4,$C$65:$Q$73,D399,FALSE))*(1+C401)-1)</f>
        <v>0.07489702483</v>
      </c>
      <c r="E401" s="147">
        <f t="shared" si="75"/>
        <v>0.09291350574</v>
      </c>
      <c r="F401" s="147">
        <f t="shared" si="75"/>
        <v>0.1252392123</v>
      </c>
      <c r="G401" s="147">
        <f t="shared" si="75"/>
        <v>0.2038133563</v>
      </c>
      <c r="H401" s="147">
        <f t="shared" si="75"/>
        <v>0.1492983619</v>
      </c>
      <c r="I401" s="147">
        <f t="shared" si="75"/>
        <v>0.2134331395</v>
      </c>
      <c r="J401" s="147">
        <f t="shared" si="75"/>
        <v>0.2434081441</v>
      </c>
      <c r="K401" s="147">
        <f t="shared" si="75"/>
        <v>0.2315603447</v>
      </c>
      <c r="L401" s="147">
        <f t="shared" si="75"/>
        <v>0.2496916669</v>
      </c>
      <c r="M401" s="147" t="str">
        <f t="shared" si="75"/>
        <v>#N/A</v>
      </c>
      <c r="N401" s="147" t="str">
        <f t="shared" si="75"/>
        <v>#N/A</v>
      </c>
      <c r="O401" s="147" t="str">
        <f t="shared" si="75"/>
        <v>#N/A</v>
      </c>
      <c r="P401" s="147"/>
      <c r="Q401" s="148" t="str">
        <f>VLOOKUP(C255,C259:Q266,15,FALSE)</f>
        <v>#N/A</v>
      </c>
      <c r="R401" s="19"/>
      <c r="S401" s="1"/>
      <c r="T401" s="1"/>
    </row>
    <row r="402" ht="12.75" customHeight="1">
      <c r="A402" s="1"/>
      <c r="B402" s="7" t="s">
        <v>799</v>
      </c>
      <c r="C402" s="109">
        <v>0.0</v>
      </c>
      <c r="D402" s="109">
        <f t="shared" ref="D402:O402" si="76">IF(VLOOKUP($C$4,$C$92:$Q$100,D399,FALSE)="",NA(),(1+VLOOKUP($C$4,$C$92:$Q$100,D399,FALSE))*(1+C402)-1)</f>
        <v>0.08013490576</v>
      </c>
      <c r="E402" s="109">
        <f t="shared" si="76"/>
        <v>0.1148163604</v>
      </c>
      <c r="F402" s="109">
        <f t="shared" si="76"/>
        <v>0.1364787269</v>
      </c>
      <c r="G402" s="109">
        <f t="shared" si="76"/>
        <v>0.1824939509</v>
      </c>
      <c r="H402" s="109">
        <f t="shared" si="76"/>
        <v>0.1073487928</v>
      </c>
      <c r="I402" s="109">
        <f t="shared" si="76"/>
        <v>0.1853910943</v>
      </c>
      <c r="J402" s="109">
        <f t="shared" si="76"/>
        <v>0.2024288655</v>
      </c>
      <c r="K402" s="109">
        <f t="shared" si="76"/>
        <v>0.1833807496</v>
      </c>
      <c r="L402" s="109">
        <f t="shared" si="76"/>
        <v>0.2055226294</v>
      </c>
      <c r="M402" s="109" t="str">
        <f t="shared" si="76"/>
        <v>#N/A</v>
      </c>
      <c r="N402" s="109" t="str">
        <f t="shared" si="76"/>
        <v>#N/A</v>
      </c>
      <c r="O402" s="109" t="str">
        <f t="shared" si="76"/>
        <v>#N/A</v>
      </c>
      <c r="P402" s="109"/>
      <c r="Q402" s="81"/>
      <c r="R402" s="19"/>
      <c r="S402" s="1"/>
      <c r="T402" s="1"/>
    </row>
    <row r="403" ht="12.75" customHeight="1">
      <c r="A403" s="1"/>
      <c r="B403" s="7"/>
      <c r="C403" s="109"/>
      <c r="D403" s="109"/>
      <c r="E403" s="109"/>
      <c r="F403" s="109"/>
      <c r="G403" s="109"/>
      <c r="H403" s="109"/>
      <c r="I403" s="109"/>
      <c r="J403" s="109"/>
      <c r="K403" s="109"/>
      <c r="L403" s="109"/>
      <c r="M403" s="109"/>
      <c r="N403" s="109"/>
      <c r="O403" s="109"/>
      <c r="P403" s="109"/>
      <c r="Q403" s="81"/>
      <c r="R403" s="19"/>
      <c r="S403" s="1"/>
      <c r="T403" s="1"/>
    </row>
    <row r="404" ht="12.75" customHeight="1">
      <c r="A404" s="1"/>
      <c r="C404" s="109"/>
      <c r="D404" s="109"/>
      <c r="E404" s="109"/>
      <c r="F404" s="109"/>
      <c r="G404" s="109"/>
      <c r="H404" s="109"/>
      <c r="I404" s="109"/>
      <c r="J404" s="109"/>
      <c r="K404" s="109"/>
      <c r="L404" s="109"/>
      <c r="M404" s="109"/>
      <c r="N404" s="109"/>
      <c r="O404" s="109"/>
      <c r="P404" s="109"/>
      <c r="Q404" s="81"/>
      <c r="R404" s="19"/>
      <c r="S404" s="1"/>
      <c r="T404" s="1"/>
    </row>
    <row r="405" ht="12.75" customHeight="1">
      <c r="A405" s="1"/>
      <c r="B405" s="7"/>
      <c r="C405" s="109"/>
      <c r="D405" s="109"/>
      <c r="E405" s="109"/>
      <c r="F405" s="109"/>
      <c r="G405" s="109"/>
      <c r="H405" s="109"/>
      <c r="I405" s="109"/>
      <c r="J405" s="109"/>
      <c r="K405" s="109"/>
      <c r="L405" s="109"/>
      <c r="M405" s="109"/>
      <c r="N405" s="109"/>
      <c r="O405" s="109"/>
      <c r="P405" s="109"/>
      <c r="Q405" s="81"/>
      <c r="R405" s="19"/>
      <c r="S405" s="1"/>
      <c r="T405" s="1"/>
    </row>
    <row r="406" ht="12.75" customHeight="1">
      <c r="A406" s="1"/>
      <c r="B406" s="7"/>
      <c r="D406" s="19"/>
      <c r="E406" s="19"/>
      <c r="F406" s="19"/>
      <c r="G406" s="19"/>
      <c r="H406" s="19"/>
      <c r="I406" s="19"/>
      <c r="J406" s="149"/>
      <c r="K406" s="19"/>
      <c r="L406" s="19"/>
      <c r="M406" s="19"/>
      <c r="N406" s="19"/>
      <c r="O406" s="19"/>
      <c r="P406" s="19"/>
      <c r="Q406" s="81"/>
      <c r="R406" s="19"/>
      <c r="S406" s="1"/>
      <c r="T406" s="1"/>
    </row>
    <row r="407" ht="12.75" customHeight="1">
      <c r="A407" s="1"/>
      <c r="B407" s="33" t="s">
        <v>569</v>
      </c>
      <c r="D407" s="19"/>
      <c r="E407" s="19"/>
      <c r="F407" s="19"/>
      <c r="G407" s="19"/>
      <c r="H407" s="19"/>
      <c r="I407" s="149" t="s">
        <v>802</v>
      </c>
      <c r="K407" s="19"/>
      <c r="L407" s="19"/>
      <c r="M407" s="19"/>
      <c r="N407" s="19"/>
      <c r="O407" s="19"/>
      <c r="P407" s="19"/>
      <c r="Q407" s="81"/>
      <c r="R407" s="19"/>
      <c r="S407" s="1"/>
      <c r="T407" s="1"/>
    </row>
    <row r="408" ht="12.75" customHeight="1">
      <c r="A408" s="1"/>
      <c r="B408" s="33" t="s">
        <v>803</v>
      </c>
      <c r="D408" s="19"/>
      <c r="E408" s="19"/>
      <c r="F408" s="19"/>
      <c r="G408" s="19"/>
      <c r="H408" s="19"/>
      <c r="J408" s="19"/>
      <c r="K408" s="19"/>
      <c r="L408" s="19"/>
      <c r="M408" s="19"/>
      <c r="N408" s="19"/>
      <c r="O408" s="19"/>
      <c r="P408" s="19"/>
      <c r="Q408" s="81"/>
      <c r="R408" s="19"/>
      <c r="S408" s="1"/>
      <c r="T408" s="1"/>
    </row>
    <row r="409" ht="12.75" customHeight="1">
      <c r="A409" s="1"/>
      <c r="B409" s="9" t="s">
        <v>804</v>
      </c>
      <c r="D409" s="19"/>
      <c r="E409" s="19"/>
      <c r="F409" s="19"/>
      <c r="G409" s="19"/>
      <c r="H409" s="19"/>
      <c r="J409" s="19"/>
      <c r="K409" s="19"/>
      <c r="L409" s="19"/>
      <c r="M409" s="19"/>
      <c r="N409" s="19"/>
      <c r="O409" s="19"/>
      <c r="P409" s="19"/>
      <c r="Q409" s="81"/>
      <c r="R409" s="19"/>
      <c r="S409" s="1"/>
      <c r="T409" s="1"/>
    </row>
    <row r="410" ht="12.75" customHeight="1">
      <c r="A410" s="1"/>
      <c r="B410" s="7"/>
      <c r="D410" s="19"/>
      <c r="E410" s="19"/>
      <c r="F410" s="19"/>
      <c r="G410" s="19"/>
      <c r="H410" s="19"/>
      <c r="J410" s="19"/>
      <c r="K410" s="19"/>
      <c r="L410" s="19"/>
      <c r="M410" s="19"/>
      <c r="N410" s="19"/>
      <c r="O410" s="19"/>
      <c r="P410" s="19"/>
      <c r="Q410" s="81"/>
      <c r="R410" s="19"/>
      <c r="S410" s="1"/>
      <c r="T410" s="1"/>
    </row>
    <row r="411" ht="12.75" customHeight="1">
      <c r="A411" s="1"/>
      <c r="B411" s="7"/>
      <c r="D411" s="19"/>
      <c r="E411" s="19"/>
      <c r="F411" s="19"/>
      <c r="G411" s="19"/>
      <c r="H411" s="19"/>
      <c r="I411" s="19"/>
      <c r="J411" s="19"/>
      <c r="K411" s="19"/>
      <c r="L411" s="19"/>
      <c r="M411" s="19"/>
      <c r="N411" s="19"/>
      <c r="O411" s="19"/>
      <c r="P411" s="19"/>
      <c r="Q411" s="81"/>
      <c r="R411" s="19"/>
      <c r="S411" s="1"/>
      <c r="T411" s="1"/>
    </row>
    <row r="412" ht="12.75" customHeight="1">
      <c r="A412" s="1"/>
      <c r="B412" s="1"/>
      <c r="M412" s="1"/>
      <c r="P412" s="149"/>
      <c r="Q412" s="81"/>
      <c r="R412" s="19"/>
      <c r="S412" s="1"/>
      <c r="T412" s="1"/>
    </row>
    <row r="413" ht="12.75" customHeight="1">
      <c r="A413" s="1"/>
      <c r="B413" s="1"/>
      <c r="M413" s="1"/>
      <c r="P413" s="149"/>
      <c r="Q413" s="81"/>
      <c r="R413" s="19"/>
      <c r="S413" s="1"/>
      <c r="T413" s="1"/>
    </row>
    <row r="414" ht="12.75" customHeight="1">
      <c r="A414" s="1"/>
      <c r="B414" s="1"/>
      <c r="M414" s="1"/>
      <c r="P414" s="149"/>
      <c r="Q414" s="81"/>
      <c r="R414" s="19"/>
      <c r="S414" s="1"/>
      <c r="T414" s="1"/>
    </row>
    <row r="415" ht="12.75" customHeight="1">
      <c r="A415" s="1"/>
      <c r="B415" s="7"/>
      <c r="C415" s="7"/>
      <c r="D415" s="7"/>
      <c r="E415" s="7"/>
      <c r="F415" s="7"/>
      <c r="G415" s="7"/>
      <c r="H415" s="7"/>
      <c r="I415" s="7"/>
      <c r="J415" s="7"/>
      <c r="K415" s="7"/>
      <c r="L415" s="7"/>
      <c r="M415" s="7"/>
      <c r="N415" s="7"/>
      <c r="O415" s="7"/>
      <c r="P415" s="149"/>
      <c r="Q415" s="81"/>
      <c r="R415" s="19"/>
      <c r="S415" s="1"/>
      <c r="T415" s="1"/>
    </row>
    <row r="416" ht="12.75" customHeight="1">
      <c r="A416" s="1"/>
      <c r="B416" s="1"/>
      <c r="M416" s="1"/>
      <c r="P416" s="149"/>
      <c r="Q416" s="81"/>
      <c r="R416" s="19"/>
      <c r="S416" s="1"/>
      <c r="T416" s="1"/>
    </row>
    <row r="417" ht="12.75" customHeight="1">
      <c r="A417" s="1"/>
      <c r="B417" s="1"/>
      <c r="M417" s="1"/>
      <c r="P417" s="19"/>
      <c r="Q417" s="81"/>
      <c r="R417" s="19"/>
      <c r="S417" s="1"/>
      <c r="T417" s="1"/>
    </row>
    <row r="418" ht="12.75" customHeight="1">
      <c r="A418" s="1"/>
      <c r="B418" s="1"/>
      <c r="M418" s="1"/>
      <c r="P418" s="19"/>
      <c r="Q418" s="81"/>
      <c r="R418" s="19"/>
      <c r="S418" s="1"/>
      <c r="T418" s="1"/>
    </row>
    <row r="419" ht="12.75" customHeight="1">
      <c r="A419" s="1"/>
      <c r="B419" s="1"/>
      <c r="M419" s="1"/>
      <c r="P419" s="19"/>
      <c r="Q419" s="81"/>
      <c r="R419" s="19"/>
      <c r="S419" s="1"/>
      <c r="T419" s="1"/>
    </row>
    <row r="420" ht="12.75" customHeight="1">
      <c r="A420" s="1"/>
      <c r="B420" s="72" t="s">
        <v>802</v>
      </c>
      <c r="C420" s="7"/>
      <c r="D420" s="150"/>
      <c r="E420" s="19"/>
      <c r="F420" s="19"/>
      <c r="M420" s="1"/>
      <c r="P420" s="19"/>
      <c r="Q420" s="81"/>
      <c r="R420" s="19"/>
      <c r="S420" s="1"/>
      <c r="T420" s="1"/>
    </row>
    <row r="421" ht="12.75" customHeight="1">
      <c r="A421" s="1"/>
      <c r="B421" s="72"/>
      <c r="C421" s="7"/>
      <c r="D421" s="150"/>
      <c r="E421" s="19"/>
      <c r="F421" s="19"/>
      <c r="M421" s="1"/>
      <c r="P421" s="19"/>
      <c r="Q421" s="81"/>
      <c r="R421" s="19"/>
      <c r="S421" s="1"/>
      <c r="T421" s="1"/>
    </row>
    <row r="422" ht="12.75" customHeight="1">
      <c r="A422" s="1"/>
      <c r="B422" s="149" t="s">
        <v>803</v>
      </c>
      <c r="C422" s="7"/>
      <c r="D422" s="150"/>
      <c r="E422" s="19"/>
      <c r="F422" s="19"/>
      <c r="M422" s="1"/>
      <c r="P422" s="19"/>
      <c r="Q422" s="81"/>
      <c r="R422" s="19"/>
      <c r="S422" s="1"/>
      <c r="T422" s="1"/>
    </row>
    <row r="423" ht="12.75" customHeight="1">
      <c r="A423" s="1"/>
      <c r="B423" s="19" t="s">
        <v>805</v>
      </c>
      <c r="C423" s="7"/>
      <c r="D423" s="150"/>
      <c r="E423" s="19"/>
      <c r="F423" s="19"/>
      <c r="M423" s="1"/>
      <c r="P423" s="19"/>
      <c r="Q423" s="81"/>
      <c r="R423" s="19"/>
      <c r="S423" s="1"/>
      <c r="T423" s="1"/>
    </row>
    <row r="424" ht="12.75" customHeight="1">
      <c r="A424" s="1"/>
      <c r="B424" s="151" t="s">
        <v>804</v>
      </c>
      <c r="C424" s="7"/>
      <c r="D424" s="150"/>
      <c r="E424" s="19"/>
      <c r="F424" s="19"/>
      <c r="M424" s="1"/>
      <c r="P424" s="19"/>
      <c r="Q424" s="81"/>
      <c r="R424" s="19"/>
      <c r="S424" s="1"/>
      <c r="T424" s="1"/>
    </row>
    <row r="425" ht="12.75" customHeight="1">
      <c r="A425" s="1"/>
      <c r="B425" s="35"/>
      <c r="C425" s="7"/>
      <c r="D425" s="150"/>
      <c r="E425" s="19"/>
      <c r="F425" s="19"/>
      <c r="M425" s="1"/>
      <c r="P425" s="19"/>
      <c r="Q425" s="81"/>
      <c r="R425" s="19"/>
      <c r="S425" s="1"/>
      <c r="T425" s="1"/>
    </row>
    <row r="426" ht="12.75" customHeight="1">
      <c r="A426" s="1"/>
      <c r="B426" s="35"/>
      <c r="C426" s="7"/>
      <c r="D426" s="150"/>
      <c r="E426" s="19"/>
      <c r="F426" s="19"/>
      <c r="M426" s="1"/>
      <c r="P426" s="19"/>
      <c r="Q426" s="81"/>
      <c r="R426" s="19"/>
      <c r="S426" s="1"/>
      <c r="T426" s="1"/>
    </row>
    <row r="427" ht="12.75" customHeight="1">
      <c r="A427" s="1"/>
      <c r="B427" s="35"/>
      <c r="C427" s="7"/>
      <c r="D427" s="150"/>
      <c r="E427" s="19"/>
      <c r="F427" s="19"/>
      <c r="M427" s="1"/>
      <c r="P427" s="19"/>
      <c r="Q427" s="81"/>
      <c r="R427" s="19"/>
      <c r="S427" s="1"/>
      <c r="T427" s="1"/>
    </row>
    <row r="428" ht="12.75" customHeight="1">
      <c r="A428" s="1"/>
      <c r="B428" s="35"/>
      <c r="C428" s="7"/>
      <c r="D428" s="150"/>
      <c r="E428" s="19"/>
      <c r="F428" s="19"/>
      <c r="M428" s="1"/>
      <c r="P428" s="19"/>
      <c r="Q428" s="81"/>
      <c r="R428" s="19"/>
      <c r="S428" s="1"/>
      <c r="T428" s="1"/>
    </row>
    <row r="429" ht="12.75" customHeight="1">
      <c r="A429" s="1"/>
      <c r="B429" s="35"/>
      <c r="C429" s="7"/>
      <c r="D429" s="150"/>
      <c r="E429" s="19"/>
      <c r="F429" s="19"/>
      <c r="M429" s="1"/>
      <c r="P429" s="19"/>
      <c r="Q429" s="81"/>
      <c r="R429" s="19"/>
      <c r="S429" s="1"/>
      <c r="T429" s="1"/>
    </row>
    <row r="430" ht="12.75" customHeight="1">
      <c r="A430" s="1"/>
      <c r="B430" s="35"/>
      <c r="C430" s="7"/>
      <c r="D430" s="150"/>
      <c r="E430" s="19"/>
      <c r="F430" s="19"/>
      <c r="M430" s="1"/>
      <c r="P430" s="19"/>
      <c r="Q430" s="81"/>
      <c r="R430" s="19"/>
      <c r="S430" s="1"/>
      <c r="T430" s="1"/>
    </row>
    <row r="431" ht="12.75" customHeight="1">
      <c r="A431" s="1"/>
      <c r="B431" s="35"/>
      <c r="C431" s="7"/>
      <c r="D431" s="150"/>
      <c r="E431" s="19"/>
      <c r="F431" s="19"/>
      <c r="M431" s="1"/>
      <c r="P431" s="19"/>
      <c r="Q431" s="81"/>
      <c r="R431" s="19"/>
      <c r="S431" s="1"/>
      <c r="T431" s="1"/>
    </row>
    <row r="432" ht="12.75" customHeight="1">
      <c r="A432" s="1"/>
      <c r="B432" s="35"/>
      <c r="C432" s="7"/>
      <c r="D432" s="150"/>
      <c r="E432" s="19"/>
      <c r="F432" s="19"/>
      <c r="M432" s="1"/>
      <c r="P432" s="19"/>
      <c r="Q432" s="81"/>
      <c r="R432" s="19"/>
      <c r="S432" s="1"/>
      <c r="T432" s="1"/>
    </row>
    <row r="433" ht="12.75" customHeight="1">
      <c r="A433" s="1"/>
      <c r="B433" s="35"/>
      <c r="C433" s="7"/>
      <c r="D433" s="150"/>
      <c r="E433" s="19"/>
      <c r="F433" s="19"/>
      <c r="M433" s="1"/>
      <c r="P433" s="19"/>
      <c r="Q433" s="81"/>
      <c r="R433" s="19"/>
      <c r="S433" s="1"/>
      <c r="T433" s="1"/>
    </row>
    <row r="434" ht="12.75" customHeight="1">
      <c r="A434" s="1"/>
      <c r="B434" s="35"/>
      <c r="C434" s="7"/>
      <c r="D434" s="150"/>
      <c r="E434" s="19"/>
      <c r="F434" s="19"/>
      <c r="M434" s="1"/>
      <c r="P434" s="19"/>
      <c r="Q434" s="81"/>
      <c r="R434" s="19"/>
      <c r="S434" s="1"/>
      <c r="T434" s="1"/>
    </row>
    <row r="435" ht="12.75" customHeight="1">
      <c r="A435" s="1"/>
      <c r="B435" s="35"/>
      <c r="C435" s="7"/>
      <c r="D435" s="150"/>
      <c r="E435" s="19"/>
      <c r="F435" s="19"/>
      <c r="M435" s="1"/>
      <c r="P435" s="19"/>
      <c r="Q435" s="81"/>
      <c r="R435" s="19"/>
      <c r="S435" s="1"/>
      <c r="T435" s="1"/>
    </row>
    <row r="436" ht="12.75" customHeight="1">
      <c r="A436" s="1"/>
      <c r="B436" s="35"/>
      <c r="C436" s="7"/>
      <c r="D436" s="150"/>
      <c r="E436" s="19"/>
      <c r="F436" s="19"/>
      <c r="M436" s="1"/>
      <c r="P436" s="19"/>
      <c r="Q436" s="81"/>
      <c r="R436" s="19"/>
      <c r="S436" s="1"/>
      <c r="T436" s="1"/>
    </row>
    <row r="437" ht="12.75" customHeight="1">
      <c r="A437" s="1"/>
      <c r="B437" s="35"/>
      <c r="C437" s="7"/>
      <c r="D437" s="150"/>
      <c r="E437" s="19"/>
      <c r="F437" s="19"/>
      <c r="M437" s="1"/>
      <c r="P437" s="19"/>
      <c r="Q437" s="81"/>
      <c r="R437" s="19"/>
      <c r="S437" s="1"/>
      <c r="T437" s="1"/>
    </row>
    <row r="438" ht="12.75" customHeight="1">
      <c r="A438" s="1"/>
      <c r="B438" s="35"/>
      <c r="C438" s="7"/>
      <c r="D438" s="150"/>
      <c r="E438" s="19"/>
      <c r="F438" s="19"/>
      <c r="M438" s="1"/>
      <c r="P438" s="19"/>
      <c r="Q438" s="81"/>
      <c r="R438" s="19"/>
      <c r="S438" s="1"/>
      <c r="T438" s="1"/>
    </row>
    <row r="439" ht="12.75" customHeight="1">
      <c r="A439" s="1"/>
      <c r="B439" s="35"/>
      <c r="C439" s="7"/>
      <c r="D439" s="150"/>
      <c r="E439" s="19"/>
      <c r="F439" s="19"/>
      <c r="M439" s="1"/>
      <c r="P439" s="19"/>
      <c r="Q439" s="81"/>
      <c r="R439" s="19"/>
      <c r="S439" s="1"/>
      <c r="T439" s="1"/>
    </row>
    <row r="440" ht="12.75" customHeight="1">
      <c r="A440" s="1"/>
      <c r="B440" s="35"/>
      <c r="C440" s="7"/>
      <c r="D440" s="150"/>
      <c r="E440" s="19"/>
      <c r="F440" s="19"/>
      <c r="M440" s="1"/>
      <c r="P440" s="19"/>
      <c r="Q440" s="81"/>
      <c r="R440" s="19"/>
      <c r="S440" s="1"/>
      <c r="T440" s="1"/>
    </row>
    <row r="441" ht="12.75" customHeight="1">
      <c r="A441" s="1"/>
      <c r="B441" s="35"/>
      <c r="C441" s="7"/>
      <c r="D441" s="150"/>
      <c r="E441" s="19"/>
      <c r="F441" s="19"/>
      <c r="M441" s="1"/>
      <c r="P441" s="19"/>
      <c r="Q441" s="81"/>
      <c r="R441" s="19"/>
      <c r="S441" s="1"/>
      <c r="T441" s="1"/>
    </row>
    <row r="442" ht="12.75" customHeight="1">
      <c r="A442" s="1"/>
      <c r="B442" s="35" t="s">
        <v>806</v>
      </c>
      <c r="C442" s="7" t="s">
        <v>807</v>
      </c>
      <c r="D442" s="150">
        <v>1.0</v>
      </c>
      <c r="E442" s="19"/>
      <c r="F442" s="19"/>
      <c r="M442" s="1"/>
      <c r="P442" s="19"/>
      <c r="Q442" s="81"/>
      <c r="R442" s="19"/>
      <c r="S442" s="1"/>
      <c r="T442" s="1"/>
    </row>
    <row r="443" ht="12.75" customHeight="1">
      <c r="A443" s="1"/>
      <c r="B443" s="7" t="s">
        <v>808</v>
      </c>
      <c r="C443" s="7"/>
      <c r="D443" s="152"/>
      <c r="E443" s="19"/>
      <c r="F443" s="19"/>
      <c r="M443" s="1"/>
      <c r="P443" s="19"/>
      <c r="Q443" s="81"/>
      <c r="R443" s="19"/>
      <c r="S443" s="1"/>
      <c r="T443" s="1"/>
    </row>
    <row r="444" ht="12.75" customHeight="1">
      <c r="A444" s="1"/>
      <c r="B444" s="153" t="s">
        <v>542</v>
      </c>
      <c r="C444" s="154" t="s">
        <v>809</v>
      </c>
      <c r="D444" s="155" t="s">
        <v>809</v>
      </c>
      <c r="E444" s="154"/>
      <c r="F444" s="156" t="s">
        <v>799</v>
      </c>
      <c r="G444" s="156" t="s">
        <v>799</v>
      </c>
      <c r="H444" s="157"/>
      <c r="M444" s="1"/>
      <c r="P444" s="19"/>
      <c r="Q444" s="81"/>
      <c r="R444" s="19"/>
      <c r="S444" s="1"/>
      <c r="T444" s="1"/>
    </row>
    <row r="445" ht="12.75" customHeight="1">
      <c r="A445" s="1"/>
      <c r="B445" s="5"/>
      <c r="C445" s="7"/>
      <c r="D445" s="7"/>
      <c r="E445" s="7"/>
      <c r="F445" s="19"/>
      <c r="G445" s="19"/>
      <c r="H445" s="158"/>
      <c r="K445" s="94"/>
      <c r="M445" s="1"/>
      <c r="P445" s="19"/>
      <c r="Q445" s="81"/>
      <c r="R445" s="19"/>
      <c r="S445" s="1"/>
      <c r="T445" s="1"/>
    </row>
    <row r="446" ht="12.75" customHeight="1">
      <c r="A446" s="1"/>
      <c r="B446" s="159"/>
      <c r="C446" s="19"/>
      <c r="D446" s="19"/>
      <c r="E446" s="7"/>
      <c r="F446" s="19"/>
      <c r="G446" s="19"/>
      <c r="H446" s="158"/>
      <c r="J446" s="160"/>
      <c r="K446" s="94"/>
      <c r="L446" s="94"/>
      <c r="M446" s="32"/>
      <c r="P446" s="19"/>
      <c r="Q446" s="81"/>
      <c r="R446" s="19"/>
      <c r="S446" s="1"/>
      <c r="T446" s="1"/>
    </row>
    <row r="447" ht="12.75" customHeight="1">
      <c r="A447" s="1"/>
      <c r="B447" s="159">
        <v>41029.0</v>
      </c>
      <c r="C447" s="19"/>
      <c r="D447" s="19">
        <v>0.0</v>
      </c>
      <c r="E447" s="7"/>
      <c r="F447" s="19"/>
      <c r="G447" s="19">
        <v>0.0</v>
      </c>
      <c r="H447" s="158"/>
      <c r="J447" s="161"/>
      <c r="K447" s="94"/>
      <c r="L447" s="160"/>
      <c r="M447" s="160"/>
      <c r="N447" s="160"/>
      <c r="P447" s="19"/>
      <c r="Q447" s="81"/>
      <c r="R447" s="19"/>
      <c r="S447" s="1"/>
      <c r="T447" s="1"/>
    </row>
    <row r="448" ht="12.75" customHeight="1">
      <c r="A448" s="1"/>
      <c r="B448" s="159">
        <f t="shared" ref="B448:B506" si="77">DATE(YEAR(B447+1),MONTH(B447+1)+1,DAY(B447+1))-1</f>
        <v>41060</v>
      </c>
      <c r="C448" s="19">
        <f t="shared" ref="C448:C536" si="78">vlookup(year($B448),$C$65:$O$73,month($B448)+1,false)</f>
        <v>-0.001</v>
      </c>
      <c r="D448" s="19">
        <f t="shared" ref="D448:D506" si="79">(1+D447)*(1+C448)-1</f>
        <v>-0.001</v>
      </c>
      <c r="E448" s="7"/>
      <c r="F448" s="129">
        <f t="shared" ref="F448:F536" si="80">F152</f>
        <v>-0.01617285716</v>
      </c>
      <c r="G448" s="19">
        <f t="shared" ref="G448:G506" si="81">(1+G447)*(1+F448)-1</f>
        <v>-0.01617285716</v>
      </c>
      <c r="H448" s="158"/>
      <c r="J448" s="161"/>
      <c r="K448" s="94"/>
      <c r="L448" s="164"/>
      <c r="M448" s="164"/>
      <c r="N448" s="165"/>
      <c r="P448" s="19"/>
      <c r="Q448" s="81"/>
      <c r="R448" s="19"/>
      <c r="S448" s="1"/>
      <c r="T448" s="1"/>
    </row>
    <row r="449" ht="12.75" customHeight="1">
      <c r="A449" s="1"/>
      <c r="B449" s="159">
        <f t="shared" si="77"/>
        <v>41090</v>
      </c>
      <c r="C449" s="19">
        <f t="shared" si="78"/>
        <v>0.03503503504</v>
      </c>
      <c r="D449" s="19">
        <f t="shared" si="79"/>
        <v>0.034</v>
      </c>
      <c r="E449" s="7"/>
      <c r="F449" s="129">
        <f t="shared" si="80"/>
        <v>0.04120252792</v>
      </c>
      <c r="G449" s="19">
        <f t="shared" si="81"/>
        <v>0.02436330816</v>
      </c>
      <c r="H449" s="158"/>
      <c r="J449" s="161"/>
      <c r="K449" s="94"/>
      <c r="L449" s="164"/>
      <c r="M449" s="164"/>
      <c r="N449" s="165"/>
      <c r="P449" s="19"/>
      <c r="Q449" s="81"/>
      <c r="R449" s="19"/>
      <c r="S449" s="1"/>
      <c r="T449" s="1"/>
    </row>
    <row r="450" ht="12.75" customHeight="1">
      <c r="A450" s="1"/>
      <c r="B450" s="159">
        <f t="shared" si="77"/>
        <v>41121</v>
      </c>
      <c r="C450" s="19">
        <f t="shared" si="78"/>
        <v>0.03646235148</v>
      </c>
      <c r="D450" s="19">
        <f t="shared" si="79"/>
        <v>0.07170207143</v>
      </c>
      <c r="E450" s="7"/>
      <c r="F450" s="129">
        <f t="shared" si="80"/>
        <v>0.01388874539</v>
      </c>
      <c r="G450" s="19">
        <f t="shared" si="81"/>
        <v>0.03859042933</v>
      </c>
      <c r="H450" s="158"/>
      <c r="J450" s="161"/>
      <c r="K450" s="94"/>
      <c r="L450" s="164"/>
      <c r="M450" s="164"/>
      <c r="N450" s="165"/>
      <c r="P450" s="19"/>
      <c r="Q450" s="81"/>
      <c r="R450" s="19"/>
      <c r="S450" s="1"/>
      <c r="T450" s="1"/>
    </row>
    <row r="451" ht="12.75" customHeight="1">
      <c r="A451" s="1"/>
      <c r="B451" s="159">
        <f t="shared" si="77"/>
        <v>41152</v>
      </c>
      <c r="C451" s="19">
        <f t="shared" si="78"/>
        <v>0.0724244058</v>
      </c>
      <c r="D451" s="19">
        <f t="shared" si="79"/>
        <v>0.1493194571</v>
      </c>
      <c r="E451" s="7"/>
      <c r="F451" s="129">
        <f t="shared" si="80"/>
        <v>0.02252337808</v>
      </c>
      <c r="G451" s="19">
        <f t="shared" si="81"/>
        <v>0.06198299423</v>
      </c>
      <c r="H451" s="158"/>
      <c r="J451" s="161"/>
      <c r="K451" s="94"/>
      <c r="L451" s="164"/>
      <c r="M451" s="164"/>
      <c r="N451" s="165"/>
      <c r="P451" s="19"/>
      <c r="Q451" s="81"/>
      <c r="R451" s="19"/>
      <c r="S451" s="1"/>
      <c r="T451" s="1"/>
    </row>
    <row r="452" ht="12.75" customHeight="1">
      <c r="A452" s="1"/>
      <c r="B452" s="159">
        <f t="shared" si="77"/>
        <v>41182</v>
      </c>
      <c r="C452" s="19">
        <f t="shared" si="78"/>
        <v>-0.01431073938</v>
      </c>
      <c r="D452" s="19">
        <f t="shared" si="79"/>
        <v>0.1328718459</v>
      </c>
      <c r="E452" s="7"/>
      <c r="F452" s="129">
        <f t="shared" si="80"/>
        <v>0.02584258201</v>
      </c>
      <c r="G452" s="19">
        <f t="shared" si="81"/>
        <v>0.08942737685</v>
      </c>
      <c r="H452" s="158"/>
      <c r="J452" s="161"/>
      <c r="K452" s="94"/>
      <c r="L452" s="164"/>
      <c r="M452" s="164"/>
      <c r="N452" s="165"/>
      <c r="P452" s="19"/>
      <c r="Q452" s="81"/>
      <c r="R452" s="19"/>
      <c r="S452" s="1"/>
      <c r="T452" s="1"/>
    </row>
    <row r="453" ht="12.75" customHeight="1">
      <c r="A453" s="1"/>
      <c r="B453" s="159">
        <f t="shared" si="77"/>
        <v>41213</v>
      </c>
      <c r="C453" s="19">
        <f t="shared" si="78"/>
        <v>0.02568464461</v>
      </c>
      <c r="D453" s="19">
        <f t="shared" si="79"/>
        <v>0.1619692567</v>
      </c>
      <c r="E453" s="7"/>
      <c r="F453" s="129">
        <f t="shared" si="80"/>
        <v>-0.01846508187</v>
      </c>
      <c r="G453" s="19">
        <f t="shared" si="81"/>
        <v>0.06931101115</v>
      </c>
      <c r="H453" s="158"/>
      <c r="J453" s="161"/>
      <c r="K453" s="94"/>
      <c r="L453" s="164"/>
      <c r="M453" s="164"/>
      <c r="N453" s="165"/>
      <c r="P453" s="19"/>
      <c r="Q453" s="81"/>
      <c r="R453" s="19"/>
      <c r="S453" s="1"/>
      <c r="T453" s="1"/>
    </row>
    <row r="454" ht="12.75" customHeight="1">
      <c r="A454" s="1"/>
      <c r="B454" s="159">
        <f t="shared" si="77"/>
        <v>41243</v>
      </c>
      <c r="C454" s="19">
        <f t="shared" si="78"/>
        <v>-0.01260068912</v>
      </c>
      <c r="D454" s="19">
        <f t="shared" si="79"/>
        <v>0.1473276433</v>
      </c>
      <c r="E454" s="7"/>
      <c r="F454" s="129">
        <f t="shared" si="80"/>
        <v>0.005799392076</v>
      </c>
      <c r="G454" s="19">
        <f t="shared" si="81"/>
        <v>0.07551236496</v>
      </c>
      <c r="H454" s="158"/>
      <c r="J454" s="161"/>
      <c r="K454" s="94"/>
      <c r="L454" s="164"/>
      <c r="M454" s="164"/>
      <c r="N454" s="165"/>
      <c r="P454" s="19"/>
      <c r="Q454" s="81"/>
      <c r="R454" s="19"/>
      <c r="S454" s="1"/>
      <c r="T454" s="1"/>
    </row>
    <row r="455" ht="12.75" customHeight="1">
      <c r="A455" s="1"/>
      <c r="B455" s="159">
        <f t="shared" si="77"/>
        <v>41274</v>
      </c>
      <c r="C455" s="19">
        <f t="shared" si="78"/>
        <v>-0.02246036145</v>
      </c>
      <c r="D455" s="19">
        <f t="shared" si="79"/>
        <v>0.1215582497</v>
      </c>
      <c r="E455" s="7"/>
      <c r="F455" s="129">
        <f t="shared" si="80"/>
        <v>0.009114227615</v>
      </c>
      <c r="G455" s="19">
        <f t="shared" si="81"/>
        <v>0.08531482945</v>
      </c>
      <c r="H455" s="158"/>
      <c r="J455" s="161"/>
      <c r="K455" s="94"/>
      <c r="L455" s="164"/>
      <c r="M455" s="164"/>
      <c r="N455" s="165"/>
      <c r="P455" s="19"/>
      <c r="Q455" s="81"/>
      <c r="R455" s="19"/>
      <c r="S455" s="1"/>
      <c r="T455" s="1"/>
    </row>
    <row r="456" ht="12.75" customHeight="1">
      <c r="A456" s="1"/>
      <c r="B456" s="159">
        <f t="shared" si="77"/>
        <v>41305</v>
      </c>
      <c r="C456" s="19">
        <f t="shared" si="78"/>
        <v>0.0465</v>
      </c>
      <c r="D456" s="19">
        <f t="shared" si="79"/>
        <v>0.1737107084</v>
      </c>
      <c r="E456" s="7"/>
      <c r="F456" s="129">
        <f t="shared" si="80"/>
        <v>0.05179599993</v>
      </c>
      <c r="G456" s="19">
        <f t="shared" si="81"/>
        <v>0.1415297963</v>
      </c>
      <c r="H456" s="158"/>
      <c r="J456" s="161"/>
      <c r="K456" s="94"/>
      <c r="L456" s="164"/>
      <c r="M456" s="164"/>
      <c r="N456" s="165"/>
      <c r="P456" s="19"/>
      <c r="Q456" s="81"/>
      <c r="R456" s="19"/>
      <c r="S456" s="1"/>
      <c r="T456" s="1"/>
    </row>
    <row r="457" ht="12.75" customHeight="1">
      <c r="A457" s="1"/>
      <c r="B457" s="159">
        <f t="shared" si="77"/>
        <v>41333</v>
      </c>
      <c r="C457" s="19">
        <f t="shared" si="78"/>
        <v>0.01677926733</v>
      </c>
      <c r="D457" s="19">
        <f t="shared" si="79"/>
        <v>0.1934047141</v>
      </c>
      <c r="E457" s="7"/>
      <c r="F457" s="129">
        <f t="shared" si="80"/>
        <v>0.01357548941</v>
      </c>
      <c r="G457" s="19">
        <f t="shared" si="81"/>
        <v>0.1570266219</v>
      </c>
      <c r="H457" s="158"/>
      <c r="J457" s="161"/>
      <c r="K457" s="94"/>
      <c r="L457" s="164"/>
      <c r="M457" s="164"/>
      <c r="N457" s="165"/>
      <c r="P457" s="19"/>
      <c r="Q457" s="81"/>
      <c r="R457" s="19"/>
      <c r="S457" s="1"/>
      <c r="T457" s="1"/>
    </row>
    <row r="458" ht="12.75" customHeight="1">
      <c r="A458" s="1"/>
      <c r="B458" s="159">
        <f t="shared" si="77"/>
        <v>41364</v>
      </c>
      <c r="C458" s="19">
        <f t="shared" si="78"/>
        <v>0.06438746108</v>
      </c>
      <c r="D458" s="19">
        <f t="shared" si="79"/>
        <v>0.2702450137</v>
      </c>
      <c r="E458" s="7"/>
      <c r="F458" s="129">
        <f t="shared" si="80"/>
        <v>0.03750304501</v>
      </c>
      <c r="G458" s="19">
        <f t="shared" si="81"/>
        <v>0.2004186434</v>
      </c>
      <c r="H458" s="158"/>
      <c r="J458" s="161"/>
      <c r="K458" s="94"/>
      <c r="L458" s="164"/>
      <c r="M458" s="164"/>
      <c r="N458" s="165"/>
      <c r="P458" s="19"/>
      <c r="Q458" s="81"/>
      <c r="R458" s="19"/>
      <c r="S458" s="1"/>
      <c r="T458" s="1"/>
    </row>
    <row r="459" ht="12.75" customHeight="1">
      <c r="A459" s="1"/>
      <c r="B459" s="159">
        <f t="shared" si="77"/>
        <v>41394</v>
      </c>
      <c r="C459" s="19">
        <f t="shared" si="78"/>
        <v>-0.02420041185</v>
      </c>
      <c r="D459" s="19">
        <f t="shared" si="79"/>
        <v>0.2395045612</v>
      </c>
      <c r="E459" s="7"/>
      <c r="F459" s="129">
        <f t="shared" si="80"/>
        <v>0.01926675405</v>
      </c>
      <c r="G459" s="19">
        <f t="shared" si="81"/>
        <v>0.2235468142</v>
      </c>
      <c r="H459" s="158"/>
      <c r="J459" s="161"/>
      <c r="K459" s="94"/>
      <c r="L459" s="164"/>
      <c r="M459" s="164"/>
      <c r="N459" s="165"/>
      <c r="P459" s="19"/>
      <c r="Q459" s="81"/>
      <c r="R459" s="19"/>
      <c r="S459" s="1"/>
      <c r="T459" s="1"/>
    </row>
    <row r="460" ht="12.75" customHeight="1">
      <c r="A460" s="1"/>
      <c r="B460" s="159">
        <f t="shared" si="77"/>
        <v>41425</v>
      </c>
      <c r="C460" s="19">
        <f t="shared" si="78"/>
        <v>0.05733320291</v>
      </c>
      <c r="D460" s="19">
        <f t="shared" si="79"/>
        <v>0.3105693277</v>
      </c>
      <c r="E460" s="7"/>
      <c r="F460" s="129">
        <f t="shared" si="80"/>
        <v>0.02339008749</v>
      </c>
      <c r="G460" s="19">
        <f t="shared" si="81"/>
        <v>0.2521656812</v>
      </c>
      <c r="H460" s="158"/>
      <c r="J460" s="161"/>
      <c r="K460" s="94"/>
      <c r="L460" s="164"/>
      <c r="M460" s="164"/>
      <c r="N460" s="165"/>
      <c r="P460" s="19"/>
      <c r="Q460" s="81"/>
      <c r="R460" s="19"/>
      <c r="S460" s="1"/>
      <c r="T460" s="1"/>
    </row>
    <row r="461" ht="12.75" customHeight="1">
      <c r="A461" s="1"/>
      <c r="B461" s="159">
        <f t="shared" si="77"/>
        <v>41455</v>
      </c>
      <c r="C461" s="19">
        <f t="shared" si="78"/>
        <v>0.002037500403</v>
      </c>
      <c r="D461" s="19">
        <f t="shared" si="79"/>
        <v>0.3132396132</v>
      </c>
      <c r="E461" s="7"/>
      <c r="F461" s="129">
        <f t="shared" si="80"/>
        <v>-0.01342813174</v>
      </c>
      <c r="G461" s="19">
        <f t="shared" si="81"/>
        <v>0.2353514355</v>
      </c>
      <c r="H461" s="158"/>
      <c r="J461" s="161"/>
      <c r="K461" s="94"/>
      <c r="L461" s="164"/>
      <c r="M461" s="164"/>
      <c r="N461" s="165"/>
      <c r="P461" s="19"/>
      <c r="Q461" s="81"/>
      <c r="R461" s="19"/>
      <c r="S461" s="1"/>
      <c r="T461" s="1"/>
    </row>
    <row r="462" ht="12.75" customHeight="1">
      <c r="A462" s="1"/>
      <c r="B462" s="159">
        <f t="shared" si="77"/>
        <v>41486</v>
      </c>
      <c r="C462" s="19">
        <f t="shared" si="78"/>
        <v>0.0169363187</v>
      </c>
      <c r="D462" s="19">
        <f t="shared" si="79"/>
        <v>0.3354810579</v>
      </c>
      <c r="E462" s="7"/>
      <c r="F462" s="129">
        <f t="shared" si="80"/>
        <v>0.05088648365</v>
      </c>
      <c r="G462" s="19">
        <f t="shared" si="81"/>
        <v>0.2982141261</v>
      </c>
      <c r="H462" s="158"/>
      <c r="J462" s="161"/>
      <c r="K462" s="94"/>
      <c r="L462" s="164"/>
      <c r="M462" s="164"/>
      <c r="N462" s="165"/>
      <c r="P462" s="19"/>
      <c r="Q462" s="81"/>
      <c r="R462" s="19"/>
      <c r="S462" s="1"/>
      <c r="T462" s="1"/>
    </row>
    <row r="463" ht="12.75" customHeight="1">
      <c r="A463" s="1"/>
      <c r="B463" s="159">
        <f t="shared" si="77"/>
        <v>41517</v>
      </c>
      <c r="C463" s="19">
        <f t="shared" si="78"/>
        <v>-0.06204553763</v>
      </c>
      <c r="D463" s="19">
        <f t="shared" si="79"/>
        <v>0.2526204176</v>
      </c>
      <c r="E463" s="7"/>
      <c r="F463" s="129">
        <f t="shared" si="80"/>
        <v>-0.02896132177</v>
      </c>
      <c r="G463" s="19">
        <f t="shared" si="81"/>
        <v>0.2606161291</v>
      </c>
      <c r="H463" s="166"/>
      <c r="J463" s="161"/>
      <c r="K463" s="94"/>
      <c r="L463" s="164"/>
      <c r="M463" s="164"/>
      <c r="N463" s="165"/>
      <c r="P463" s="19"/>
      <c r="Q463" s="81"/>
      <c r="R463" s="19"/>
      <c r="S463" s="1"/>
      <c r="T463" s="1"/>
    </row>
    <row r="464" ht="12.75" customHeight="1">
      <c r="A464" s="1"/>
      <c r="B464" s="159">
        <f t="shared" si="77"/>
        <v>41547</v>
      </c>
      <c r="C464" s="19">
        <f t="shared" si="78"/>
        <v>0.02350448402</v>
      </c>
      <c r="D464" s="19">
        <f t="shared" si="79"/>
        <v>0.2820626142</v>
      </c>
      <c r="E464" s="7"/>
      <c r="F464" s="129">
        <f t="shared" si="80"/>
        <v>0.03135827657</v>
      </c>
      <c r="G464" s="19">
        <f t="shared" si="81"/>
        <v>0.3001468783</v>
      </c>
      <c r="H464" s="166"/>
      <c r="J464" s="161"/>
      <c r="K464" s="94"/>
      <c r="L464" s="164"/>
      <c r="M464" s="164"/>
      <c r="N464" s="165"/>
      <c r="P464" s="19"/>
      <c r="Q464" s="81"/>
      <c r="R464" s="19"/>
      <c r="S464" s="1"/>
      <c r="T464" s="1"/>
    </row>
    <row r="465" ht="12.75" customHeight="1">
      <c r="A465" s="1"/>
      <c r="B465" s="159">
        <f t="shared" si="77"/>
        <v>41578</v>
      </c>
      <c r="C465" s="19">
        <f t="shared" si="78"/>
        <v>0.04329883751</v>
      </c>
      <c r="D465" s="19">
        <f t="shared" si="79"/>
        <v>0.337574435</v>
      </c>
      <c r="E465" s="7"/>
      <c r="F465" s="129">
        <f t="shared" si="80"/>
        <v>0.045967295</v>
      </c>
      <c r="G465" s="19">
        <f t="shared" si="81"/>
        <v>0.3599111134</v>
      </c>
      <c r="H465" s="166"/>
      <c r="J465" s="161"/>
      <c r="K465" s="94"/>
      <c r="L465" s="164"/>
      <c r="M465" s="164"/>
      <c r="N465" s="165"/>
      <c r="P465" s="19"/>
      <c r="Q465" s="81"/>
      <c r="R465" s="19"/>
      <c r="S465" s="1"/>
      <c r="T465" s="1"/>
    </row>
    <row r="466" ht="12.75" customHeight="1">
      <c r="A466" s="1"/>
      <c r="B466" s="159">
        <f t="shared" si="77"/>
        <v>41608</v>
      </c>
      <c r="C466" s="19">
        <f t="shared" si="78"/>
        <v>0.08013455376</v>
      </c>
      <c r="D466" s="19">
        <f t="shared" si="79"/>
        <v>0.4447603655</v>
      </c>
      <c r="E466" s="7"/>
      <c r="F466" s="129">
        <f t="shared" si="80"/>
        <v>0.03047391258</v>
      </c>
      <c r="G466" s="19">
        <f t="shared" si="81"/>
        <v>0.4013529258</v>
      </c>
      <c r="H466" s="166"/>
      <c r="J466" s="161"/>
      <c r="K466" s="94"/>
      <c r="L466" s="164"/>
      <c r="M466" s="164"/>
      <c r="N466" s="165"/>
      <c r="P466" s="19"/>
      <c r="Q466" s="81"/>
      <c r="R466" s="19"/>
      <c r="S466" s="1"/>
      <c r="T466" s="1"/>
    </row>
    <row r="467" ht="12.75" customHeight="1">
      <c r="A467" s="1"/>
      <c r="B467" s="159">
        <f t="shared" si="77"/>
        <v>41639</v>
      </c>
      <c r="C467" s="19">
        <f t="shared" si="78"/>
        <v>0.03623340136</v>
      </c>
      <c r="D467" s="19">
        <f t="shared" si="79"/>
        <v>0.4971089477</v>
      </c>
      <c r="E467" s="7"/>
      <c r="F467" s="129">
        <f t="shared" si="80"/>
        <v>0.02531762729</v>
      </c>
      <c r="G467" s="19">
        <f t="shared" si="81"/>
        <v>0.4368318569</v>
      </c>
      <c r="H467" s="166"/>
      <c r="J467" s="161"/>
      <c r="K467" s="94"/>
      <c r="L467" s="164"/>
      <c r="M467" s="164"/>
      <c r="N467" s="165"/>
      <c r="P467" s="19"/>
      <c r="Q467" s="81"/>
      <c r="R467" s="19"/>
      <c r="S467" s="1"/>
      <c r="T467" s="1"/>
    </row>
    <row r="468" ht="12.75" customHeight="1">
      <c r="A468" s="1"/>
      <c r="B468" s="159">
        <f t="shared" si="77"/>
        <v>41670</v>
      </c>
      <c r="C468" s="19">
        <f t="shared" si="78"/>
        <v>-0.0512</v>
      </c>
      <c r="D468" s="19">
        <f t="shared" si="79"/>
        <v>0.4204569696</v>
      </c>
      <c r="E468" s="7"/>
      <c r="F468" s="129">
        <f t="shared" si="80"/>
        <v>-0.03457608871</v>
      </c>
      <c r="G468" s="19">
        <f t="shared" si="81"/>
        <v>0.3871518311</v>
      </c>
      <c r="H468" s="166"/>
      <c r="J468" s="161"/>
      <c r="K468" s="94"/>
      <c r="L468" s="164"/>
      <c r="M468" s="164"/>
      <c r="N468" s="165"/>
      <c r="P468" s="19"/>
      <c r="Q468" s="81"/>
      <c r="R468" s="19"/>
      <c r="S468" s="1"/>
      <c r="T468" s="1"/>
    </row>
    <row r="469" ht="12.75" customHeight="1">
      <c r="A469" s="1"/>
      <c r="B469" s="159">
        <f t="shared" si="77"/>
        <v>41698</v>
      </c>
      <c r="C469" s="19">
        <f t="shared" si="78"/>
        <v>0.0349915683</v>
      </c>
      <c r="D469" s="19">
        <f t="shared" si="79"/>
        <v>0.4701609866</v>
      </c>
      <c r="E469" s="7"/>
      <c r="F469" s="129">
        <f t="shared" si="80"/>
        <v>0.04574577367</v>
      </c>
      <c r="G469" s="19">
        <f t="shared" si="81"/>
        <v>0.4506081649</v>
      </c>
      <c r="H469" s="166"/>
      <c r="J469" s="161"/>
      <c r="K469" s="94"/>
      <c r="L469" s="164"/>
      <c r="M469" s="164"/>
      <c r="N469" s="165"/>
      <c r="P469" s="19"/>
      <c r="Q469" s="81"/>
      <c r="R469" s="19"/>
      <c r="S469" s="1"/>
      <c r="T469" s="1"/>
    </row>
    <row r="470" ht="12.75" customHeight="1">
      <c r="A470" s="1"/>
      <c r="B470" s="159">
        <f t="shared" si="77"/>
        <v>41729</v>
      </c>
      <c r="C470" s="19">
        <f t="shared" si="78"/>
        <v>0.04175152749</v>
      </c>
      <c r="D470" s="19">
        <f t="shared" si="79"/>
        <v>0.5315424535</v>
      </c>
      <c r="E470" s="7"/>
      <c r="F470" s="129">
        <f t="shared" si="80"/>
        <v>0.008403625517</v>
      </c>
      <c r="G470" s="19">
        <f t="shared" si="81"/>
        <v>0.4627985327</v>
      </c>
      <c r="H470" s="166"/>
      <c r="J470" s="161"/>
      <c r="K470" s="94"/>
      <c r="L470" s="164"/>
      <c r="M470" s="164"/>
      <c r="N470" s="165"/>
      <c r="P470" s="19"/>
      <c r="Q470" s="81"/>
      <c r="R470" s="19"/>
      <c r="S470" s="1"/>
      <c r="T470" s="1"/>
    </row>
    <row r="471" ht="12.75" customHeight="1">
      <c r="A471" s="1"/>
      <c r="B471" s="159">
        <f t="shared" si="77"/>
        <v>41759</v>
      </c>
      <c r="C471" s="19">
        <f t="shared" si="78"/>
        <v>-0.01417399804</v>
      </c>
      <c r="D471" s="19">
        <f t="shared" si="79"/>
        <v>0.5098343737</v>
      </c>
      <c r="E471" s="7"/>
      <c r="F471" s="129">
        <f t="shared" si="80"/>
        <v>0.00739146112</v>
      </c>
      <c r="G471" s="19">
        <f t="shared" si="81"/>
        <v>0.4736107511</v>
      </c>
      <c r="H471" s="166"/>
      <c r="J471" s="161"/>
      <c r="K471" s="94"/>
      <c r="L471" s="164"/>
      <c r="M471" s="164"/>
      <c r="N471" s="165"/>
      <c r="P471" s="19"/>
      <c r="Q471" s="81"/>
      <c r="R471" s="19"/>
      <c r="S471" s="1"/>
      <c r="T471" s="1"/>
    </row>
    <row r="472" ht="12.75" customHeight="1">
      <c r="A472" s="1"/>
      <c r="B472" s="159">
        <f t="shared" si="77"/>
        <v>41790</v>
      </c>
      <c r="C472" s="19">
        <f t="shared" si="78"/>
        <v>0.05474201049</v>
      </c>
      <c r="D472" s="19">
        <f t="shared" si="79"/>
        <v>0.5924857429</v>
      </c>
      <c r="E472" s="7"/>
      <c r="F472" s="129">
        <f t="shared" si="80"/>
        <v>0.02347625878</v>
      </c>
      <c r="G472" s="19">
        <f t="shared" si="81"/>
        <v>0.5082056185</v>
      </c>
      <c r="H472" s="166"/>
      <c r="J472" s="161"/>
      <c r="K472" s="94"/>
      <c r="L472" s="164"/>
      <c r="M472" s="164"/>
      <c r="N472" s="165"/>
      <c r="P472" s="19"/>
      <c r="Q472" s="81"/>
      <c r="R472" s="19"/>
      <c r="S472" s="1"/>
      <c r="T472" s="1"/>
    </row>
    <row r="473" ht="12.75" customHeight="1">
      <c r="A473" s="1"/>
      <c r="B473" s="159">
        <f t="shared" si="77"/>
        <v>41820</v>
      </c>
      <c r="C473" s="19">
        <f t="shared" si="78"/>
        <v>-0.07079702878</v>
      </c>
      <c r="D473" s="19">
        <f t="shared" si="79"/>
        <v>0.4797424839</v>
      </c>
      <c r="E473" s="7"/>
      <c r="F473" s="129">
        <f t="shared" si="80"/>
        <v>0.02065629364</v>
      </c>
      <c r="G473" s="19">
        <f t="shared" si="81"/>
        <v>0.5393595566</v>
      </c>
      <c r="H473" s="166"/>
      <c r="J473" s="161"/>
      <c r="K473" s="94"/>
      <c r="L473" s="164"/>
      <c r="M473" s="164"/>
      <c r="N473" s="165"/>
      <c r="P473" s="19"/>
      <c r="Q473" s="81"/>
      <c r="R473" s="19"/>
      <c r="S473" s="1"/>
      <c r="T473" s="1"/>
    </row>
    <row r="474" ht="12.75" customHeight="1">
      <c r="A474" s="1"/>
      <c r="B474" s="159">
        <f t="shared" si="77"/>
        <v>41851</v>
      </c>
      <c r="C474" s="19">
        <f t="shared" si="78"/>
        <v>-0.06960744638</v>
      </c>
      <c r="D474" s="19">
        <f t="shared" si="79"/>
        <v>0.3767413883</v>
      </c>
      <c r="E474" s="7"/>
      <c r="F474" s="129">
        <f t="shared" si="80"/>
        <v>-0.01379152856</v>
      </c>
      <c r="G474" s="19">
        <f t="shared" si="81"/>
        <v>0.5181294353</v>
      </c>
      <c r="H474" s="166"/>
      <c r="J474" s="161"/>
      <c r="K474" s="94"/>
      <c r="L474" s="164"/>
      <c r="M474" s="164"/>
      <c r="N474" s="165"/>
      <c r="P474" s="19"/>
      <c r="Q474" s="81"/>
      <c r="R474" s="19"/>
      <c r="S474" s="1"/>
      <c r="T474" s="1"/>
    </row>
    <row r="475" ht="12.75" customHeight="1">
      <c r="A475" s="1"/>
      <c r="B475" s="159">
        <f t="shared" si="77"/>
        <v>41882</v>
      </c>
      <c r="C475" s="19">
        <f t="shared" si="78"/>
        <v>0.03142670726</v>
      </c>
      <c r="D475" s="19">
        <f t="shared" si="79"/>
        <v>0.4200078369</v>
      </c>
      <c r="E475" s="7"/>
      <c r="F475" s="129">
        <f t="shared" si="80"/>
        <v>0.04000357941</v>
      </c>
      <c r="G475" s="19">
        <f t="shared" si="81"/>
        <v>0.5788600467</v>
      </c>
      <c r="H475" s="166"/>
      <c r="J475" s="161"/>
      <c r="K475" s="94"/>
      <c r="L475" s="164"/>
      <c r="M475" s="164"/>
      <c r="N475" s="165"/>
      <c r="P475" s="19"/>
      <c r="Q475" s="81"/>
      <c r="R475" s="19"/>
      <c r="S475" s="1"/>
      <c r="T475" s="1"/>
    </row>
    <row r="476" ht="12.75" customHeight="1">
      <c r="A476" s="1"/>
      <c r="B476" s="159">
        <f t="shared" si="77"/>
        <v>41912</v>
      </c>
      <c r="C476" s="19">
        <f t="shared" si="78"/>
        <v>-0.0545071165</v>
      </c>
      <c r="D476" s="19">
        <f t="shared" si="79"/>
        <v>0.3426073043</v>
      </c>
      <c r="E476" s="7"/>
      <c r="F476" s="129">
        <f t="shared" si="80"/>
        <v>-0.01402016202</v>
      </c>
      <c r="G476" s="19">
        <f t="shared" si="81"/>
        <v>0.556724173</v>
      </c>
      <c r="H476" s="166"/>
      <c r="J476" s="161"/>
      <c r="K476" s="94"/>
      <c r="L476" s="164"/>
      <c r="M476" s="164"/>
      <c r="N476" s="165"/>
      <c r="P476" s="19"/>
      <c r="Q476" s="81"/>
      <c r="R476" s="19"/>
      <c r="S476" s="1"/>
      <c r="T476" s="1"/>
    </row>
    <row r="477" ht="12.75" customHeight="1">
      <c r="A477" s="1"/>
      <c r="B477" s="159">
        <f t="shared" si="77"/>
        <v>41943</v>
      </c>
      <c r="C477" s="19">
        <f t="shared" si="78"/>
        <v>0.03200267618</v>
      </c>
      <c r="D477" s="19">
        <f t="shared" si="79"/>
        <v>0.3855743311</v>
      </c>
      <c r="E477" s="7"/>
      <c r="F477" s="129">
        <f t="shared" si="80"/>
        <v>0.02442480061</v>
      </c>
      <c r="G477" s="19">
        <f t="shared" si="81"/>
        <v>0.5947468506</v>
      </c>
      <c r="H477" s="166"/>
      <c r="J477" s="161"/>
      <c r="K477" s="94"/>
      <c r="L477" s="164"/>
      <c r="M477" s="164"/>
      <c r="N477" s="165"/>
      <c r="P477" s="19"/>
      <c r="Q477" s="81"/>
      <c r="R477" s="19"/>
      <c r="S477" s="1"/>
      <c r="T477" s="1"/>
    </row>
    <row r="478" ht="12.75" customHeight="1">
      <c r="A478" s="1"/>
      <c r="B478" s="159">
        <f t="shared" si="77"/>
        <v>41973</v>
      </c>
      <c r="C478" s="19">
        <f t="shared" si="78"/>
        <v>0.07142085359</v>
      </c>
      <c r="D478" s="19">
        <f t="shared" si="79"/>
        <v>0.4845332325</v>
      </c>
      <c r="E478" s="7"/>
      <c r="F478" s="129">
        <f t="shared" si="80"/>
        <v>0.02689408701</v>
      </c>
      <c r="G478" s="19">
        <f t="shared" si="81"/>
        <v>0.6376361111</v>
      </c>
      <c r="H478" s="166"/>
      <c r="J478" s="161"/>
      <c r="K478" s="94"/>
      <c r="L478" s="164"/>
      <c r="M478" s="164"/>
      <c r="N478" s="165"/>
      <c r="P478" s="19"/>
      <c r="Q478" s="81"/>
      <c r="R478" s="19"/>
      <c r="S478" s="1"/>
      <c r="T478" s="1"/>
    </row>
    <row r="479" ht="12.75" customHeight="1">
      <c r="A479" s="1"/>
      <c r="B479" s="159">
        <f t="shared" si="77"/>
        <v>42004</v>
      </c>
      <c r="C479" s="19">
        <f t="shared" si="78"/>
        <v>0.05401784113</v>
      </c>
      <c r="D479" s="19">
        <f t="shared" si="79"/>
        <v>0.5647245128</v>
      </c>
      <c r="E479" s="7"/>
      <c r="F479" s="129">
        <f t="shared" si="80"/>
        <v>-0.002519216953</v>
      </c>
      <c r="G479" s="19">
        <f t="shared" si="81"/>
        <v>0.6335105505</v>
      </c>
      <c r="H479" s="166"/>
      <c r="J479" s="161"/>
      <c r="K479" s="94"/>
      <c r="L479" s="164"/>
      <c r="M479" s="164"/>
      <c r="N479" s="165"/>
      <c r="P479" s="19"/>
      <c r="Q479" s="81"/>
      <c r="R479" s="19"/>
      <c r="S479" s="1"/>
      <c r="T479" s="1"/>
    </row>
    <row r="480" ht="12.75" customHeight="1">
      <c r="A480" s="1"/>
      <c r="B480" s="159">
        <f t="shared" si="77"/>
        <v>42035</v>
      </c>
      <c r="C480" s="19">
        <f t="shared" si="78"/>
        <v>-0.0214</v>
      </c>
      <c r="D480" s="19">
        <f t="shared" si="79"/>
        <v>0.5312394083</v>
      </c>
      <c r="E480" s="7"/>
      <c r="F480" s="129">
        <f t="shared" si="80"/>
        <v>-0.0300203515</v>
      </c>
      <c r="G480" s="19">
        <f t="shared" si="81"/>
        <v>0.5844719896</v>
      </c>
      <c r="H480" s="166"/>
      <c r="J480" s="161"/>
      <c r="K480" s="94"/>
      <c r="L480" s="164"/>
      <c r="M480" s="164"/>
      <c r="N480" s="165"/>
      <c r="P480" s="19"/>
      <c r="Q480" s="81"/>
      <c r="R480" s="19"/>
      <c r="S480" s="1"/>
      <c r="T480" s="1"/>
    </row>
    <row r="481" ht="12.75" customHeight="1">
      <c r="A481" s="1"/>
      <c r="B481" s="159">
        <f t="shared" si="77"/>
        <v>42063</v>
      </c>
      <c r="C481" s="19">
        <f t="shared" si="78"/>
        <v>0.03147353362</v>
      </c>
      <c r="D481" s="19">
        <f t="shared" si="79"/>
        <v>0.5794329233</v>
      </c>
      <c r="E481" s="7"/>
      <c r="F481" s="129">
        <f t="shared" si="80"/>
        <v>0.05747368673</v>
      </c>
      <c r="G481" s="19">
        <f t="shared" si="81"/>
        <v>0.6755374364</v>
      </c>
      <c r="H481" s="166"/>
      <c r="J481" s="161"/>
      <c r="K481" s="94"/>
      <c r="L481" s="164"/>
      <c r="M481" s="164"/>
      <c r="N481" s="165"/>
      <c r="P481" s="19"/>
      <c r="Q481" s="81"/>
      <c r="R481" s="19"/>
      <c r="S481" s="1"/>
      <c r="T481" s="1"/>
    </row>
    <row r="482" ht="12.75" customHeight="1">
      <c r="A482" s="1"/>
      <c r="B482" s="159">
        <f t="shared" si="77"/>
        <v>42094</v>
      </c>
      <c r="C482" s="19">
        <f t="shared" si="78"/>
        <v>0.07250877043</v>
      </c>
      <c r="D482" s="19">
        <f t="shared" si="79"/>
        <v>0.6939556625</v>
      </c>
      <c r="E482" s="7"/>
      <c r="F482" s="129">
        <f t="shared" si="80"/>
        <v>-0.01581563908</v>
      </c>
      <c r="G482" s="19">
        <f t="shared" si="81"/>
        <v>0.649037741</v>
      </c>
      <c r="H482" s="166"/>
      <c r="J482" s="161"/>
      <c r="K482" s="94"/>
      <c r="L482" s="164"/>
      <c r="M482" s="164"/>
      <c r="N482" s="165"/>
      <c r="P482" s="19"/>
      <c r="Q482" s="81"/>
      <c r="R482" s="19"/>
      <c r="S482" s="1"/>
      <c r="T482" s="1"/>
    </row>
    <row r="483" ht="12.75" customHeight="1">
      <c r="A483" s="1"/>
      <c r="B483" s="159">
        <f t="shared" si="77"/>
        <v>42124</v>
      </c>
      <c r="C483" s="19">
        <f t="shared" si="78"/>
        <v>-0.03693950604</v>
      </c>
      <c r="D483" s="19">
        <f t="shared" si="79"/>
        <v>0.6313817771</v>
      </c>
      <c r="E483" s="7"/>
      <c r="F483" s="129">
        <f t="shared" si="80"/>
        <v>0.009594590872</v>
      </c>
      <c r="G483" s="19">
        <f t="shared" si="81"/>
        <v>0.6648595835</v>
      </c>
      <c r="H483" s="166"/>
      <c r="J483" s="161"/>
      <c r="K483" s="94"/>
      <c r="L483" s="164"/>
      <c r="M483" s="164"/>
      <c r="N483" s="165"/>
      <c r="P483" s="19"/>
      <c r="Q483" s="81"/>
      <c r="R483" s="19"/>
      <c r="S483" s="1"/>
      <c r="T483" s="1"/>
    </row>
    <row r="484" ht="12.75" customHeight="1">
      <c r="A484" s="1"/>
      <c r="B484" s="159">
        <f t="shared" si="77"/>
        <v>42155</v>
      </c>
      <c r="C484" s="19">
        <f t="shared" si="78"/>
        <v>0.03636149935</v>
      </c>
      <c r="D484" s="19">
        <f t="shared" si="79"/>
        <v>0.6907012645</v>
      </c>
      <c r="E484" s="7"/>
      <c r="F484" s="129">
        <f t="shared" si="80"/>
        <v>0.01285859748</v>
      </c>
      <c r="G484" s="19">
        <f t="shared" si="81"/>
        <v>0.6862673427</v>
      </c>
      <c r="H484" s="166"/>
      <c r="J484" s="161"/>
      <c r="K484" s="94"/>
      <c r="L484" s="164"/>
      <c r="M484" s="164"/>
      <c r="N484" s="165"/>
      <c r="P484" s="19"/>
      <c r="Q484" s="81"/>
      <c r="R484" s="19"/>
      <c r="S484" s="1"/>
      <c r="T484" s="1"/>
    </row>
    <row r="485" ht="12.75" customHeight="1">
      <c r="A485" s="1"/>
      <c r="B485" s="159">
        <f t="shared" si="77"/>
        <v>42185</v>
      </c>
      <c r="C485" s="19">
        <f t="shared" si="78"/>
        <v>0.005521367259</v>
      </c>
      <c r="D485" s="19">
        <f t="shared" si="79"/>
        <v>0.7000362471</v>
      </c>
      <c r="E485" s="7"/>
      <c r="F485" s="129">
        <f t="shared" si="80"/>
        <v>-0.01935912379</v>
      </c>
      <c r="G485" s="19">
        <f t="shared" si="81"/>
        <v>0.6536226845</v>
      </c>
      <c r="H485" s="166"/>
      <c r="J485" s="161"/>
      <c r="K485" s="94"/>
      <c r="L485" s="164"/>
      <c r="M485" s="164"/>
      <c r="N485" s="165"/>
      <c r="P485" s="19"/>
      <c r="Q485" s="81"/>
      <c r="R485" s="19"/>
      <c r="S485" s="1"/>
      <c r="T485" s="1"/>
    </row>
    <row r="486" ht="12.75" customHeight="1">
      <c r="A486" s="1"/>
      <c r="B486" s="159">
        <f t="shared" si="77"/>
        <v>42216</v>
      </c>
      <c r="C486" s="19">
        <f t="shared" si="78"/>
        <v>0.04275749774</v>
      </c>
      <c r="D486" s="19">
        <f t="shared" si="79"/>
        <v>0.7727255431</v>
      </c>
      <c r="E486" s="7"/>
      <c r="F486" s="129">
        <f t="shared" si="80"/>
        <v>0.02095206807</v>
      </c>
      <c r="G486" s="19">
        <f t="shared" si="81"/>
        <v>0.6882694995</v>
      </c>
      <c r="H486" s="166"/>
      <c r="J486" s="161"/>
      <c r="K486" s="94"/>
      <c r="L486" s="164"/>
      <c r="M486" s="164"/>
      <c r="N486" s="165"/>
      <c r="P486" s="19"/>
      <c r="Q486" s="81"/>
      <c r="R486" s="19"/>
      <c r="S486" s="1"/>
      <c r="T486" s="1"/>
    </row>
    <row r="487" ht="12.75" customHeight="1">
      <c r="A487" s="1"/>
      <c r="B487" s="159">
        <f t="shared" si="77"/>
        <v>42247</v>
      </c>
      <c r="C487" s="19">
        <f t="shared" si="78"/>
        <v>-0.05029149128</v>
      </c>
      <c r="D487" s="19">
        <f t="shared" si="79"/>
        <v>0.6835725319</v>
      </c>
      <c r="E487" s="7"/>
      <c r="F487" s="129">
        <f t="shared" si="80"/>
        <v>-0.06033421789</v>
      </c>
      <c r="G487" s="19">
        <f t="shared" si="81"/>
        <v>0.5864090797</v>
      </c>
      <c r="H487" s="166"/>
      <c r="J487" s="161"/>
      <c r="K487" s="94"/>
      <c r="L487" s="164"/>
      <c r="M487" s="164"/>
      <c r="N487" s="165"/>
      <c r="P487" s="19"/>
      <c r="Q487" s="81"/>
      <c r="R487" s="19"/>
      <c r="S487" s="1"/>
      <c r="T487" s="1"/>
    </row>
    <row r="488" ht="12.75" customHeight="1">
      <c r="A488" s="1"/>
      <c r="B488" s="159">
        <f t="shared" si="77"/>
        <v>42277</v>
      </c>
      <c r="C488" s="19">
        <f t="shared" si="78"/>
        <v>-0.03611174363</v>
      </c>
      <c r="D488" s="19">
        <f t="shared" si="79"/>
        <v>0.6227757923</v>
      </c>
      <c r="E488" s="7"/>
      <c r="F488" s="129">
        <f t="shared" si="80"/>
        <v>-0.02474358478</v>
      </c>
      <c r="G488" s="19">
        <f t="shared" si="81"/>
        <v>0.5471556321</v>
      </c>
      <c r="H488" s="166"/>
      <c r="J488" s="161"/>
      <c r="K488" s="94"/>
      <c r="L488" s="164"/>
      <c r="M488" s="164"/>
      <c r="N488" s="165"/>
      <c r="P488" s="19"/>
      <c r="Q488" s="81"/>
      <c r="R488" s="19"/>
      <c r="S488" s="1"/>
      <c r="T488" s="1"/>
    </row>
    <row r="489" ht="12.75" customHeight="1">
      <c r="A489" s="1"/>
      <c r="B489" s="159">
        <f t="shared" si="77"/>
        <v>42308</v>
      </c>
      <c r="C489" s="19">
        <f t="shared" si="78"/>
        <v>0.06277207119</v>
      </c>
      <c r="D489" s="19">
        <f t="shared" si="79"/>
        <v>0.7246407898</v>
      </c>
      <c r="E489" s="7"/>
      <c r="F489" s="129">
        <f t="shared" si="80"/>
        <v>0.08435457207</v>
      </c>
      <c r="G489" s="19">
        <f t="shared" si="81"/>
        <v>0.6776652834</v>
      </c>
      <c r="H489" s="166"/>
      <c r="J489" s="161"/>
      <c r="K489" s="94"/>
      <c r="L489" s="164"/>
      <c r="M489" s="164"/>
      <c r="N489" s="165"/>
      <c r="P489" s="19"/>
      <c r="Q489" s="81"/>
      <c r="R489" s="19"/>
      <c r="S489" s="1"/>
      <c r="T489" s="1"/>
    </row>
    <row r="490" ht="12.75" customHeight="1">
      <c r="A490" s="1"/>
      <c r="B490" s="159">
        <f t="shared" si="77"/>
        <v>42338</v>
      </c>
      <c r="C490" s="19">
        <f t="shared" si="78"/>
        <v>0.03265701458</v>
      </c>
      <c r="D490" s="19">
        <f t="shared" si="79"/>
        <v>0.7809624092</v>
      </c>
      <c r="E490" s="7"/>
      <c r="F490" s="129">
        <f t="shared" si="80"/>
        <v>0.002973140954</v>
      </c>
      <c r="G490" s="19">
        <f t="shared" si="81"/>
        <v>0.6826532188</v>
      </c>
      <c r="H490" s="166"/>
      <c r="J490" s="161"/>
      <c r="K490" s="94"/>
      <c r="L490" s="164"/>
      <c r="M490" s="164"/>
      <c r="N490" s="165"/>
      <c r="P490" s="19"/>
      <c r="Q490" s="81"/>
      <c r="R490" s="19"/>
      <c r="S490" s="1"/>
      <c r="T490" s="1"/>
    </row>
    <row r="491" ht="12.75" customHeight="1">
      <c r="A491" s="1"/>
      <c r="B491" s="159">
        <f t="shared" si="77"/>
        <v>42369</v>
      </c>
      <c r="C491" s="19">
        <f t="shared" si="78"/>
        <v>-0.01989881565</v>
      </c>
      <c r="D491" s="19">
        <f t="shared" si="79"/>
        <v>0.7455233666</v>
      </c>
      <c r="E491" s="7"/>
      <c r="F491" s="129">
        <f t="shared" si="80"/>
        <v>-0.0157719578</v>
      </c>
      <c r="G491" s="19">
        <f t="shared" si="81"/>
        <v>0.6561144832</v>
      </c>
      <c r="H491" s="166"/>
      <c r="J491" s="161"/>
      <c r="K491" s="94"/>
      <c r="L491" s="165"/>
      <c r="M491" s="165"/>
      <c r="N491" s="165"/>
      <c r="P491" s="19"/>
      <c r="Q491" s="81"/>
      <c r="R491" s="19"/>
      <c r="S491" s="1"/>
      <c r="T491" s="1"/>
    </row>
    <row r="492" ht="12.75" customHeight="1">
      <c r="A492" s="1"/>
      <c r="B492" s="159">
        <f t="shared" si="77"/>
        <v>42400</v>
      </c>
      <c r="C492" s="19">
        <f t="shared" si="78"/>
        <v>-0.0205</v>
      </c>
      <c r="D492" s="19">
        <f t="shared" si="79"/>
        <v>0.7097401376</v>
      </c>
      <c r="E492" s="7"/>
      <c r="F492" s="129">
        <f t="shared" si="80"/>
        <v>-0.04962321884</v>
      </c>
      <c r="G492" s="19">
        <f t="shared" si="81"/>
        <v>0.5739327518</v>
      </c>
      <c r="H492" s="166"/>
      <c r="J492" s="161"/>
      <c r="K492" s="94"/>
      <c r="L492" s="165"/>
      <c r="M492" s="165"/>
      <c r="N492" s="165"/>
      <c r="P492" s="19"/>
      <c r="Q492" s="81"/>
      <c r="R492" s="19"/>
      <c r="S492" s="1"/>
      <c r="T492" s="1"/>
    </row>
    <row r="493" ht="12.75" customHeight="1">
      <c r="A493" s="1"/>
      <c r="B493" s="159">
        <f t="shared" si="77"/>
        <v>42429</v>
      </c>
      <c r="C493" s="19">
        <f t="shared" si="78"/>
        <v>-0.137927514</v>
      </c>
      <c r="D493" s="19">
        <f t="shared" si="79"/>
        <v>0.4739199307</v>
      </c>
      <c r="E493" s="7"/>
      <c r="F493" s="129">
        <f t="shared" si="80"/>
        <v>-0.001349133801</v>
      </c>
      <c r="G493" s="19">
        <f t="shared" si="81"/>
        <v>0.5718093059</v>
      </c>
      <c r="H493" s="166"/>
      <c r="J493" s="161"/>
      <c r="K493" s="94"/>
      <c r="L493" s="165"/>
      <c r="M493" s="165"/>
      <c r="N493" s="165"/>
      <c r="P493" s="19"/>
      <c r="Q493" s="81"/>
      <c r="R493" s="19"/>
      <c r="S493" s="1"/>
      <c r="T493" s="1"/>
    </row>
    <row r="494" ht="12.75" customHeight="1">
      <c r="A494" s="1"/>
      <c r="B494" s="159">
        <f t="shared" si="77"/>
        <v>42460</v>
      </c>
      <c r="C494" s="19">
        <f t="shared" si="78"/>
        <v>0.03754144955</v>
      </c>
      <c r="D494" s="19">
        <f t="shared" si="79"/>
        <v>0.5292530215</v>
      </c>
      <c r="E494" s="7"/>
      <c r="F494" s="129">
        <f t="shared" si="80"/>
        <v>0.07460587914</v>
      </c>
      <c r="G494" s="19">
        <f t="shared" si="81"/>
        <v>0.689075521</v>
      </c>
      <c r="H494" s="166"/>
      <c r="J494" s="161"/>
      <c r="K494" s="94"/>
      <c r="L494" s="165"/>
      <c r="M494" s="165"/>
      <c r="N494" s="165"/>
      <c r="P494" s="19"/>
      <c r="Q494" s="81"/>
      <c r="R494" s="19"/>
      <c r="S494" s="1"/>
      <c r="T494" s="1"/>
    </row>
    <row r="495" ht="12.75" customHeight="1">
      <c r="A495" s="1"/>
      <c r="B495" s="159">
        <f t="shared" si="77"/>
        <v>42490</v>
      </c>
      <c r="C495" s="19">
        <f t="shared" si="78"/>
        <v>-0.05844081726</v>
      </c>
      <c r="D495" s="19">
        <f t="shared" si="79"/>
        <v>0.4398822251</v>
      </c>
      <c r="E495" s="7"/>
      <c r="F495" s="129">
        <f t="shared" si="80"/>
        <v>-0.002445056778</v>
      </c>
      <c r="G495" s="19">
        <f t="shared" si="81"/>
        <v>0.6849456355</v>
      </c>
      <c r="H495" s="166"/>
      <c r="J495" s="161"/>
      <c r="K495" s="94"/>
      <c r="L495" s="165"/>
      <c r="M495" s="165"/>
      <c r="N495" s="165"/>
      <c r="P495" s="19"/>
      <c r="Q495" s="81"/>
      <c r="R495" s="19"/>
      <c r="S495" s="1"/>
      <c r="T495" s="1"/>
    </row>
    <row r="496" ht="12.75" customHeight="1">
      <c r="A496" s="1"/>
      <c r="B496" s="159">
        <f t="shared" si="77"/>
        <v>42521</v>
      </c>
      <c r="C496" s="19">
        <f t="shared" si="78"/>
        <v>0.03770153958</v>
      </c>
      <c r="D496" s="19">
        <f t="shared" si="79"/>
        <v>0.4941680018</v>
      </c>
      <c r="E496" s="7"/>
      <c r="F496" s="129">
        <f t="shared" si="80"/>
        <v>0.01795721851</v>
      </c>
      <c r="G496" s="19">
        <f t="shared" si="81"/>
        <v>0.7152025724</v>
      </c>
      <c r="H496" s="166"/>
      <c r="J496" s="161"/>
      <c r="K496" s="94"/>
      <c r="L496" s="165"/>
      <c r="M496" s="165"/>
      <c r="N496" s="165"/>
      <c r="P496" s="19"/>
      <c r="Q496" s="81"/>
      <c r="R496" s="19"/>
      <c r="S496" s="1"/>
      <c r="T496" s="1"/>
    </row>
    <row r="497" ht="12.75" customHeight="1">
      <c r="A497" s="1"/>
      <c r="B497" s="159">
        <f t="shared" si="77"/>
        <v>42551</v>
      </c>
      <c r="C497" s="19">
        <f t="shared" si="78"/>
        <v>-0.008644859813</v>
      </c>
      <c r="D497" s="19">
        <f t="shared" si="79"/>
        <v>0.4812511289</v>
      </c>
      <c r="E497" s="7"/>
      <c r="F497" s="129">
        <f t="shared" si="80"/>
        <v>0.002592251039</v>
      </c>
      <c r="G497" s="19">
        <f t="shared" si="81"/>
        <v>0.7196488081</v>
      </c>
      <c r="H497" s="166"/>
      <c r="J497" s="161"/>
      <c r="K497" s="94"/>
      <c r="L497" s="165"/>
      <c r="M497" s="165"/>
      <c r="N497" s="165"/>
      <c r="P497" s="19"/>
      <c r="Q497" s="81"/>
      <c r="R497" s="19"/>
      <c r="S497" s="1"/>
      <c r="T497" s="1"/>
    </row>
    <row r="498" ht="12.75" customHeight="1">
      <c r="A498" s="1"/>
      <c r="B498" s="159">
        <f t="shared" si="77"/>
        <v>42582</v>
      </c>
      <c r="C498" s="19">
        <f t="shared" si="78"/>
        <v>0.03452745699</v>
      </c>
      <c r="D498" s="19">
        <f t="shared" si="79"/>
        <v>0.5323949635</v>
      </c>
      <c r="E498" s="7"/>
      <c r="F498" s="129">
        <f t="shared" si="80"/>
        <v>0.0368680085</v>
      </c>
      <c r="G498" s="19">
        <f t="shared" si="81"/>
        <v>0.7830488349</v>
      </c>
      <c r="H498" s="166"/>
      <c r="J498" s="161"/>
      <c r="K498" s="94"/>
      <c r="L498" s="165"/>
      <c r="M498" s="165"/>
      <c r="N498" s="165"/>
      <c r="P498" s="19"/>
      <c r="Q498" s="81"/>
      <c r="R498" s="19"/>
      <c r="S498" s="1"/>
      <c r="T498" s="1"/>
    </row>
    <row r="499" ht="12.75" customHeight="1">
      <c r="A499" s="1"/>
      <c r="B499" s="159">
        <f t="shared" si="77"/>
        <v>42613</v>
      </c>
      <c r="C499" s="19">
        <f t="shared" si="78"/>
        <v>-0.03451418157</v>
      </c>
      <c r="D499" s="19">
        <f t="shared" si="79"/>
        <v>0.4795056055</v>
      </c>
      <c r="E499" s="7"/>
      <c r="F499" s="129">
        <f t="shared" si="80"/>
        <v>0.005636151085</v>
      </c>
      <c r="G499" s="19">
        <f t="shared" si="81"/>
        <v>0.7930983675</v>
      </c>
      <c r="H499" s="166"/>
      <c r="J499" s="161"/>
      <c r="K499" s="94"/>
      <c r="L499" s="165"/>
      <c r="M499" s="165"/>
      <c r="N499" s="165"/>
      <c r="P499" s="19"/>
      <c r="Q499" s="81"/>
      <c r="R499" s="19"/>
      <c r="S499" s="1"/>
      <c r="T499" s="1"/>
    </row>
    <row r="500" ht="12.75" customHeight="1">
      <c r="A500" s="1"/>
      <c r="B500" s="159">
        <f t="shared" si="77"/>
        <v>42643</v>
      </c>
      <c r="C500" s="19">
        <f t="shared" si="78"/>
        <v>-0.01793298726</v>
      </c>
      <c r="D500" s="19">
        <f t="shared" si="79"/>
        <v>0.4529736503</v>
      </c>
      <c r="E500" s="7"/>
      <c r="F500" s="129">
        <f t="shared" si="80"/>
        <v>-0.00402155787</v>
      </c>
      <c r="G500" s="19">
        <f t="shared" si="81"/>
        <v>0.7858873187</v>
      </c>
      <c r="H500" s="166"/>
      <c r="J500" s="161"/>
      <c r="K500" s="94"/>
      <c r="L500" s="165"/>
      <c r="M500" s="165"/>
      <c r="N500" s="165"/>
      <c r="P500" s="19"/>
      <c r="Q500" s="81"/>
      <c r="R500" s="19"/>
      <c r="S500" s="1"/>
      <c r="T500" s="1"/>
    </row>
    <row r="501" ht="12.75" customHeight="1">
      <c r="A501" s="1"/>
      <c r="B501" s="159">
        <f t="shared" si="77"/>
        <v>42674</v>
      </c>
      <c r="C501" s="19">
        <f t="shared" si="78"/>
        <v>-0.01489668429</v>
      </c>
      <c r="D501" s="19">
        <f t="shared" si="79"/>
        <v>0.4313291606</v>
      </c>
      <c r="E501" s="7"/>
      <c r="F501" s="129">
        <f t="shared" si="80"/>
        <v>-0.0182404527</v>
      </c>
      <c r="G501" s="19">
        <f t="shared" si="81"/>
        <v>0.7533119255</v>
      </c>
      <c r="H501" s="166"/>
      <c r="J501" s="161"/>
      <c r="K501" s="94"/>
      <c r="L501" s="165"/>
      <c r="M501" s="165"/>
      <c r="N501" s="165"/>
      <c r="P501" s="19"/>
      <c r="Q501" s="81"/>
      <c r="R501" s="19"/>
      <c r="S501" s="1"/>
      <c r="T501" s="1"/>
    </row>
    <row r="502" ht="12.75" customHeight="1">
      <c r="A502" s="1"/>
      <c r="B502" s="159">
        <f t="shared" si="77"/>
        <v>42704</v>
      </c>
      <c r="C502" s="19">
        <f t="shared" si="78"/>
        <v>0.1136585366</v>
      </c>
      <c r="D502" s="19">
        <f t="shared" si="79"/>
        <v>0.5940119384</v>
      </c>
      <c r="E502" s="7"/>
      <c r="F502" s="129">
        <f t="shared" si="80"/>
        <v>0.03703511465</v>
      </c>
      <c r="G502" s="19">
        <f t="shared" si="81"/>
        <v>0.8182460337</v>
      </c>
      <c r="H502" s="166"/>
      <c r="J502" s="161"/>
      <c r="K502" s="94"/>
      <c r="L502" s="165"/>
      <c r="M502" s="165"/>
      <c r="N502" s="165"/>
      <c r="P502" s="19"/>
      <c r="Q502" s="81"/>
      <c r="R502" s="19"/>
      <c r="S502" s="1"/>
      <c r="T502" s="1"/>
    </row>
    <row r="503" ht="12.75" customHeight="1">
      <c r="A503" s="1"/>
      <c r="B503" s="159">
        <f t="shared" si="77"/>
        <v>42735</v>
      </c>
      <c r="C503" s="19">
        <f t="shared" si="78"/>
        <v>0.02102496715</v>
      </c>
      <c r="D503" s="19">
        <f t="shared" si="79"/>
        <v>0.627525987</v>
      </c>
      <c r="E503" s="7"/>
      <c r="F503" s="129">
        <f t="shared" si="80"/>
        <v>0.01976533285</v>
      </c>
      <c r="G503" s="19">
        <f t="shared" si="81"/>
        <v>0.8541842718</v>
      </c>
      <c r="H503" s="166"/>
      <c r="J503" s="161"/>
      <c r="K503" s="94"/>
      <c r="L503" s="165"/>
      <c r="M503" s="165"/>
      <c r="N503" s="165"/>
      <c r="P503" s="19"/>
      <c r="Q503" s="81"/>
      <c r="R503" s="19"/>
      <c r="S503" s="1"/>
      <c r="T503" s="1"/>
    </row>
    <row r="504" ht="12.75" customHeight="1">
      <c r="A504" s="1"/>
      <c r="B504" s="159">
        <f t="shared" si="77"/>
        <v>42766</v>
      </c>
      <c r="C504" s="19">
        <f t="shared" si="78"/>
        <v>0.0501</v>
      </c>
      <c r="D504" s="19">
        <f t="shared" si="79"/>
        <v>0.709065039</v>
      </c>
      <c r="E504" s="7"/>
      <c r="F504" s="129">
        <f t="shared" si="80"/>
        <v>0.0189662184</v>
      </c>
      <c r="G504" s="19">
        <f t="shared" si="81"/>
        <v>0.8893511356</v>
      </c>
      <c r="H504" s="166"/>
      <c r="J504" s="161"/>
      <c r="K504" s="94"/>
      <c r="L504" s="165"/>
      <c r="M504" s="165"/>
      <c r="N504" s="165"/>
      <c r="P504" s="19"/>
      <c r="Q504" s="81"/>
      <c r="R504" s="19"/>
      <c r="S504" s="1"/>
      <c r="T504" s="1"/>
    </row>
    <row r="505" ht="12.75" customHeight="1">
      <c r="A505" s="1"/>
      <c r="B505" s="159">
        <f t="shared" si="77"/>
        <v>42794</v>
      </c>
      <c r="C505" s="19">
        <f t="shared" si="78"/>
        <v>0.001999809542</v>
      </c>
      <c r="D505" s="19">
        <f t="shared" si="79"/>
        <v>0.7124828435</v>
      </c>
      <c r="E505" s="7"/>
      <c r="F505" s="129">
        <f t="shared" si="80"/>
        <v>0.03970815242</v>
      </c>
      <c r="G505" s="19">
        <f t="shared" si="81"/>
        <v>0.9643737785</v>
      </c>
      <c r="H505" s="166"/>
      <c r="J505" s="161"/>
      <c r="K505" s="94"/>
      <c r="L505" s="165"/>
      <c r="M505" s="165"/>
      <c r="N505" s="165"/>
      <c r="P505" s="19"/>
      <c r="Q505" s="81"/>
      <c r="R505" s="19"/>
      <c r="S505" s="1"/>
      <c r="T505" s="1"/>
    </row>
    <row r="506" ht="12.75" customHeight="1">
      <c r="A506" s="1"/>
      <c r="B506" s="159">
        <f t="shared" si="77"/>
        <v>42825</v>
      </c>
      <c r="C506" s="19">
        <f t="shared" si="78"/>
        <v>-0.01054932522</v>
      </c>
      <c r="D506" s="19">
        <f t="shared" si="79"/>
        <v>0.6944173051</v>
      </c>
      <c r="E506" s="7"/>
      <c r="F506" s="129">
        <f t="shared" si="80"/>
        <v>0.001164809516</v>
      </c>
      <c r="G506" s="19">
        <f t="shared" si="81"/>
        <v>0.9666618997</v>
      </c>
      <c r="H506" s="166"/>
      <c r="J506" s="161"/>
      <c r="K506" s="94"/>
      <c r="L506" s="165"/>
      <c r="M506" s="165"/>
      <c r="N506" s="165"/>
      <c r="P506" s="19"/>
      <c r="Q506" s="81"/>
      <c r="R506" s="19"/>
      <c r="S506" s="1"/>
      <c r="T506" s="1"/>
    </row>
    <row r="507" ht="12.75" customHeight="1">
      <c r="A507" s="174"/>
      <c r="B507" s="175">
        <f t="shared" ref="B507:B536" si="82">DATE(YEAR(B506+1),MONTH(B506+1)+1,DAY(B506+1))-1</f>
        <v>42855</v>
      </c>
      <c r="C507" s="176">
        <f t="shared" si="78"/>
        <v>0.01075785227</v>
      </c>
      <c r="D507" s="176">
        <f t="shared" ref="D507:D536" si="83">(1+D506)*(1+C507)-1</f>
        <v>0.7126455961</v>
      </c>
      <c r="E507" s="177"/>
      <c r="F507" s="178">
        <f t="shared" si="80"/>
        <v>0.01027056923</v>
      </c>
      <c r="G507" s="176">
        <f t="shared" ref="G507:G536" si="84">(1+G506)*(1+F507)-1</f>
        <v>0.9868606369</v>
      </c>
      <c r="H507" s="179"/>
      <c r="I507" s="177"/>
      <c r="J507" s="187"/>
      <c r="K507" s="188"/>
      <c r="L507" s="189"/>
      <c r="M507" s="189"/>
      <c r="N507" s="189"/>
      <c r="O507" s="177"/>
      <c r="P507" s="182"/>
      <c r="Q507" s="183"/>
      <c r="R507" s="182"/>
      <c r="S507" s="177"/>
      <c r="T507" s="177"/>
      <c r="U507" s="177"/>
      <c r="V507" s="177"/>
      <c r="W507" s="177"/>
      <c r="X507" s="177"/>
    </row>
    <row r="508" ht="12.75" customHeight="1">
      <c r="A508" s="174"/>
      <c r="B508" s="175">
        <f t="shared" si="82"/>
        <v>42886</v>
      </c>
      <c r="C508" s="176">
        <f t="shared" si="78"/>
        <v>-0.002185688492</v>
      </c>
      <c r="D508" s="176">
        <f t="shared" si="83"/>
        <v>0.7089022864</v>
      </c>
      <c r="E508" s="177"/>
      <c r="F508" s="178">
        <f t="shared" si="80"/>
        <v>0.01407252629</v>
      </c>
      <c r="G508" s="176">
        <f t="shared" si="84"/>
        <v>1.014820786</v>
      </c>
      <c r="H508" s="179"/>
      <c r="I508" s="177"/>
      <c r="J508" s="187"/>
      <c r="K508" s="188"/>
      <c r="L508" s="189"/>
      <c r="M508" s="189"/>
      <c r="N508" s="189"/>
      <c r="O508" s="177"/>
      <c r="P508" s="182"/>
      <c r="Q508" s="183"/>
      <c r="R508" s="182"/>
      <c r="S508" s="177"/>
      <c r="T508" s="177"/>
      <c r="U508" s="177"/>
      <c r="V508" s="177"/>
      <c r="W508" s="177"/>
      <c r="X508" s="177"/>
    </row>
    <row r="509" ht="12.75" customHeight="1">
      <c r="A509" s="174"/>
      <c r="B509" s="175">
        <f t="shared" si="82"/>
        <v>42916</v>
      </c>
      <c r="C509" s="176">
        <f t="shared" si="78"/>
        <v>0.01336068409</v>
      </c>
      <c r="D509" s="176">
        <f t="shared" si="83"/>
        <v>0.73173439</v>
      </c>
      <c r="E509" s="177"/>
      <c r="F509" s="178">
        <f t="shared" si="80"/>
        <v>0.00624174614</v>
      </c>
      <c r="G509" s="176">
        <f t="shared" si="84"/>
        <v>1.027396785</v>
      </c>
      <c r="H509" s="179"/>
      <c r="I509" s="177"/>
      <c r="J509" s="187"/>
      <c r="K509" s="188"/>
      <c r="L509" s="189"/>
      <c r="M509" s="189"/>
      <c r="N509" s="189"/>
      <c r="O509" s="177"/>
      <c r="P509" s="182"/>
      <c r="Q509" s="183"/>
      <c r="R509" s="182"/>
      <c r="S509" s="177"/>
      <c r="T509" s="177"/>
      <c r="U509" s="177"/>
      <c r="V509" s="177"/>
      <c r="W509" s="177"/>
      <c r="X509" s="177"/>
    </row>
    <row r="510" ht="12.75" customHeight="1">
      <c r="A510" s="174"/>
      <c r="B510" s="175">
        <f t="shared" si="82"/>
        <v>42947</v>
      </c>
      <c r="C510" s="176">
        <f t="shared" si="78"/>
        <v>0.009480186724</v>
      </c>
      <c r="D510" s="176">
        <f t="shared" si="83"/>
        <v>0.7481515553</v>
      </c>
      <c r="E510" s="177"/>
      <c r="F510" s="178">
        <f t="shared" si="80"/>
        <v>0.02056276131</v>
      </c>
      <c r="G510" s="176">
        <f t="shared" si="84"/>
        <v>1.069085662</v>
      </c>
      <c r="H510" s="179"/>
      <c r="I510" s="177"/>
      <c r="J510" s="187"/>
      <c r="K510" s="188"/>
      <c r="L510" s="189"/>
      <c r="M510" s="189"/>
      <c r="N510" s="189"/>
      <c r="O510" s="177"/>
      <c r="P510" s="182"/>
      <c r="Q510" s="183"/>
      <c r="R510" s="182"/>
      <c r="S510" s="177"/>
      <c r="T510" s="177"/>
      <c r="U510" s="177"/>
      <c r="V510" s="177"/>
      <c r="W510" s="177"/>
      <c r="X510" s="177"/>
    </row>
    <row r="511" ht="12.75" customHeight="1">
      <c r="A511" s="174"/>
      <c r="B511" s="190">
        <f t="shared" si="82"/>
        <v>42978</v>
      </c>
      <c r="C511" s="182">
        <f t="shared" si="78"/>
        <v>-0.02384836591</v>
      </c>
      <c r="D511" s="182">
        <f t="shared" si="83"/>
        <v>0.7064609974</v>
      </c>
      <c r="E511" s="177"/>
      <c r="F511" s="191">
        <f t="shared" si="80"/>
        <v>0.003062062263</v>
      </c>
      <c r="G511" s="182">
        <f t="shared" si="84"/>
        <v>1.075421331</v>
      </c>
      <c r="H511" s="179"/>
      <c r="I511" s="177"/>
      <c r="J511" s="192"/>
      <c r="K511" s="188"/>
      <c r="L511" s="177"/>
      <c r="M511" s="177"/>
      <c r="N511" s="177"/>
      <c r="O511" s="177"/>
      <c r="P511" s="182"/>
      <c r="Q511" s="183"/>
      <c r="R511" s="182"/>
      <c r="S511" s="177"/>
      <c r="T511" s="177"/>
      <c r="U511" s="177"/>
      <c r="V511" s="177"/>
      <c r="W511" s="177"/>
      <c r="X511" s="177"/>
    </row>
    <row r="512" ht="12.75" customHeight="1">
      <c r="A512" s="174"/>
      <c r="B512" s="190">
        <f t="shared" si="82"/>
        <v>43008</v>
      </c>
      <c r="C512" s="182">
        <f t="shared" si="78"/>
        <v>0.0280759324</v>
      </c>
      <c r="D512" s="182">
        <f t="shared" si="83"/>
        <v>0.754371481</v>
      </c>
      <c r="E512" s="177"/>
      <c r="F512" s="191">
        <f t="shared" si="80"/>
        <v>0.02062774838</v>
      </c>
      <c r="G512" s="182">
        <f t="shared" si="84"/>
        <v>1.1182326</v>
      </c>
      <c r="H512" s="179"/>
      <c r="I512" s="177"/>
      <c r="J512" s="192"/>
      <c r="K512" s="188"/>
      <c r="L512" s="177"/>
      <c r="M512" s="177"/>
      <c r="N512" s="177"/>
      <c r="O512" s="177"/>
      <c r="P512" s="182"/>
      <c r="Q512" s="183"/>
      <c r="R512" s="182"/>
      <c r="S512" s="177"/>
      <c r="T512" s="177"/>
      <c r="U512" s="177"/>
      <c r="V512" s="177"/>
      <c r="W512" s="177"/>
      <c r="X512" s="177"/>
    </row>
    <row r="513" ht="12.75" customHeight="1">
      <c r="A513" s="174"/>
      <c r="B513" s="190">
        <f t="shared" si="82"/>
        <v>43039</v>
      </c>
      <c r="C513" s="182">
        <f t="shared" si="78"/>
        <v>0.0133924794</v>
      </c>
      <c r="D513" s="182">
        <f t="shared" si="83"/>
        <v>0.7778668649</v>
      </c>
      <c r="E513" s="177"/>
      <c r="F513" s="191">
        <f t="shared" si="80"/>
        <v>0.02333484043</v>
      </c>
      <c r="G513" s="182">
        <f t="shared" si="84"/>
        <v>1.167661219</v>
      </c>
      <c r="H513" s="179"/>
      <c r="I513" s="177"/>
      <c r="J513" s="192"/>
      <c r="K513" s="188"/>
      <c r="L513" s="177"/>
      <c r="M513" s="177"/>
      <c r="N513" s="177"/>
      <c r="O513" s="177"/>
      <c r="P513" s="182"/>
      <c r="Q513" s="183"/>
      <c r="R513" s="182"/>
      <c r="S513" s="177"/>
      <c r="T513" s="177"/>
      <c r="U513" s="177"/>
      <c r="V513" s="177"/>
      <c r="W513" s="177"/>
      <c r="X513" s="177"/>
    </row>
    <row r="514" ht="12.75" customHeight="1">
      <c r="A514" s="174"/>
      <c r="B514" s="190">
        <f t="shared" si="82"/>
        <v>43069</v>
      </c>
      <c r="C514" s="182">
        <f t="shared" si="78"/>
        <v>0.01266578245</v>
      </c>
      <c r="D514" s="182">
        <f t="shared" si="83"/>
        <v>0.8003849398</v>
      </c>
      <c r="E514" s="177"/>
      <c r="F514" s="191">
        <f t="shared" si="80"/>
        <v>0.0286243785</v>
      </c>
      <c r="G514" s="182">
        <f t="shared" si="84"/>
        <v>1.229709175</v>
      </c>
      <c r="H514" s="179"/>
      <c r="I514" s="177"/>
      <c r="J514" s="192"/>
      <c r="K514" s="188"/>
      <c r="L514" s="177"/>
      <c r="M514" s="177"/>
      <c r="N514" s="177"/>
      <c r="O514" s="177"/>
      <c r="P514" s="182"/>
      <c r="Q514" s="183"/>
      <c r="R514" s="182"/>
      <c r="S514" s="177"/>
      <c r="T514" s="177"/>
      <c r="U514" s="177"/>
      <c r="V514" s="177"/>
      <c r="W514" s="177"/>
      <c r="X514" s="177"/>
    </row>
    <row r="515" ht="12.75" customHeight="1">
      <c r="A515" s="174"/>
      <c r="B515" s="190">
        <f t="shared" si="82"/>
        <v>43100</v>
      </c>
      <c r="C515" s="182">
        <f t="shared" si="78"/>
        <v>0.01238119094</v>
      </c>
      <c r="D515" s="182">
        <f t="shared" si="83"/>
        <v>0.8226758496</v>
      </c>
      <c r="E515" s="177"/>
      <c r="F515" s="191">
        <f t="shared" si="80"/>
        <v>0.01312871583</v>
      </c>
      <c r="G515" s="182">
        <f t="shared" si="84"/>
        <v>1.258982393</v>
      </c>
      <c r="H515" s="179"/>
      <c r="I515" s="177"/>
      <c r="J515" s="192"/>
      <c r="K515" s="188"/>
      <c r="L515" s="177"/>
      <c r="M515" s="177"/>
      <c r="N515" s="177"/>
      <c r="O515" s="177"/>
      <c r="P515" s="182"/>
      <c r="Q515" s="183"/>
      <c r="R515" s="182"/>
      <c r="S515" s="177"/>
      <c r="T515" s="177"/>
      <c r="U515" s="177"/>
      <c r="V515" s="177"/>
      <c r="W515" s="177"/>
      <c r="X515" s="177"/>
    </row>
    <row r="516" ht="12.75" customHeight="1">
      <c r="A516" s="174"/>
      <c r="B516" s="190">
        <f t="shared" si="82"/>
        <v>43131</v>
      </c>
      <c r="C516" s="182">
        <f t="shared" si="78"/>
        <v>0.0359</v>
      </c>
      <c r="D516" s="182">
        <f t="shared" si="83"/>
        <v>0.8881099126</v>
      </c>
      <c r="E516" s="177"/>
      <c r="F516" s="191">
        <f t="shared" si="80"/>
        <v>0.0572537389</v>
      </c>
      <c r="G516" s="182">
        <f t="shared" si="84"/>
        <v>1.388317581</v>
      </c>
      <c r="H516" s="179"/>
      <c r="I516" s="177"/>
      <c r="J516" s="192"/>
      <c r="K516" s="188"/>
      <c r="L516" s="177"/>
      <c r="M516" s="177"/>
      <c r="N516" s="177"/>
      <c r="O516" s="177"/>
      <c r="P516" s="182"/>
      <c r="Q516" s="183"/>
      <c r="R516" s="182"/>
      <c r="S516" s="177"/>
      <c r="T516" s="177"/>
      <c r="U516" s="177"/>
      <c r="V516" s="177"/>
      <c r="W516" s="177"/>
      <c r="X516" s="177"/>
    </row>
    <row r="517" ht="12.75" customHeight="1">
      <c r="A517" s="174"/>
      <c r="B517" s="190">
        <f t="shared" si="82"/>
        <v>43159</v>
      </c>
      <c r="C517" s="182">
        <f t="shared" si="78"/>
        <v>-0.04373008978</v>
      </c>
      <c r="D517" s="182">
        <f t="shared" si="83"/>
        <v>0.8055426966</v>
      </c>
      <c r="E517" s="177"/>
      <c r="F517" s="191">
        <f t="shared" si="80"/>
        <v>-0.03685579029</v>
      </c>
      <c r="G517" s="182">
        <f t="shared" si="84"/>
        <v>1.300294249</v>
      </c>
      <c r="H517" s="179"/>
      <c r="I517" s="177"/>
      <c r="J517" s="192"/>
      <c r="K517" s="188"/>
      <c r="L517" s="177"/>
      <c r="M517" s="177"/>
      <c r="N517" s="177"/>
      <c r="O517" s="177"/>
      <c r="P517" s="182"/>
      <c r="Q517" s="183"/>
      <c r="R517" s="182"/>
      <c r="S517" s="177"/>
      <c r="T517" s="177"/>
      <c r="U517" s="177"/>
      <c r="V517" s="177"/>
      <c r="W517" s="177"/>
      <c r="X517" s="177"/>
    </row>
    <row r="518" ht="12.75" customHeight="1">
      <c r="A518" s="174"/>
      <c r="B518" s="190">
        <f t="shared" si="82"/>
        <v>43190</v>
      </c>
      <c r="C518" s="182">
        <f t="shared" si="78"/>
        <v>-0.02180496669</v>
      </c>
      <c r="D518" s="182">
        <f t="shared" si="83"/>
        <v>0.7661728982</v>
      </c>
      <c r="E518" s="177"/>
      <c r="F518" s="191">
        <f t="shared" si="80"/>
        <v>-0.02541403782</v>
      </c>
      <c r="G518" s="182">
        <f t="shared" si="84"/>
        <v>1.241834484</v>
      </c>
      <c r="H518" s="179"/>
      <c r="I518" s="177"/>
      <c r="J518" s="192"/>
      <c r="K518" s="188"/>
      <c r="L518" s="177"/>
      <c r="M518" s="177"/>
      <c r="N518" s="177"/>
      <c r="O518" s="177"/>
      <c r="P518" s="182"/>
      <c r="Q518" s="183"/>
      <c r="R518" s="182"/>
      <c r="S518" s="177"/>
      <c r="T518" s="177"/>
      <c r="U518" s="177"/>
      <c r="V518" s="177"/>
      <c r="W518" s="177"/>
      <c r="X518" s="177"/>
    </row>
    <row r="519" ht="12.75" customHeight="1">
      <c r="A519" s="174"/>
      <c r="B519" s="190">
        <f t="shared" si="82"/>
        <v>43220</v>
      </c>
      <c r="C519" s="182">
        <f t="shared" si="78"/>
        <v>-0.004747162023</v>
      </c>
      <c r="D519" s="182">
        <f t="shared" si="83"/>
        <v>0.7577885893</v>
      </c>
      <c r="E519" s="177"/>
      <c r="F519" s="191">
        <f t="shared" si="80"/>
        <v>0.003837090847</v>
      </c>
      <c r="G519" s="182">
        <f t="shared" si="84"/>
        <v>1.250436606</v>
      </c>
      <c r="H519" s="179"/>
      <c r="I519" s="177"/>
      <c r="J519" s="192"/>
      <c r="K519" s="188"/>
      <c r="L519" s="177"/>
      <c r="M519" s="177"/>
      <c r="N519" s="177"/>
      <c r="O519" s="177"/>
      <c r="P519" s="182"/>
      <c r="Q519" s="183"/>
      <c r="R519" s="182"/>
      <c r="S519" s="177"/>
      <c r="T519" s="177"/>
      <c r="U519" s="177"/>
      <c r="V519" s="177"/>
      <c r="W519" s="177"/>
      <c r="X519" s="177"/>
    </row>
    <row r="520" ht="12.75" customHeight="1">
      <c r="A520" s="174"/>
      <c r="B520" s="190">
        <f t="shared" si="82"/>
        <v>43251</v>
      </c>
      <c r="C520" s="182">
        <f t="shared" si="78"/>
        <v>0.03048527582</v>
      </c>
      <c r="D520" s="182">
        <f t="shared" si="83"/>
        <v>0.8113752593</v>
      </c>
      <c r="E520" s="177"/>
      <c r="F520" s="191">
        <f t="shared" si="80"/>
        <v>0.02408223314</v>
      </c>
      <c r="G520" s="182">
        <f t="shared" si="84"/>
        <v>1.304632146</v>
      </c>
      <c r="H520" s="179"/>
      <c r="I520" s="177"/>
      <c r="J520" s="192"/>
      <c r="K520" s="188"/>
      <c r="L520" s="177"/>
      <c r="M520" s="177"/>
      <c r="N520" s="177"/>
      <c r="O520" s="177"/>
      <c r="P520" s="182"/>
      <c r="Q520" s="183"/>
      <c r="R520" s="182"/>
      <c r="S520" s="177"/>
      <c r="T520" s="177"/>
      <c r="U520" s="177"/>
      <c r="V520" s="177"/>
      <c r="W520" s="177"/>
      <c r="X520" s="177"/>
    </row>
    <row r="521" ht="12.75" customHeight="1">
      <c r="A521" s="174"/>
      <c r="B521" s="190">
        <f t="shared" si="82"/>
        <v>43281</v>
      </c>
      <c r="C521" s="182">
        <f t="shared" si="78"/>
        <v>0.001609981888</v>
      </c>
      <c r="D521" s="182">
        <f t="shared" si="83"/>
        <v>0.8142915406</v>
      </c>
      <c r="E521" s="177"/>
      <c r="F521" s="191">
        <f t="shared" si="80"/>
        <v>0.006154453658</v>
      </c>
      <c r="G521" s="182">
        <f t="shared" si="84"/>
        <v>1.318815897</v>
      </c>
      <c r="H521" s="179"/>
      <c r="I521" s="177"/>
      <c r="J521" s="192"/>
      <c r="K521" s="188"/>
      <c r="L521" s="177"/>
      <c r="M521" s="177"/>
      <c r="N521" s="177"/>
      <c r="O521" s="177"/>
      <c r="P521" s="182"/>
      <c r="Q521" s="183"/>
      <c r="R521" s="182"/>
      <c r="S521" s="177"/>
      <c r="T521" s="177"/>
      <c r="U521" s="177"/>
      <c r="V521" s="177"/>
      <c r="W521" s="177"/>
      <c r="X521" s="177"/>
    </row>
    <row r="522" ht="12.75" customHeight="1">
      <c r="A522" s="174"/>
      <c r="B522" s="190">
        <f t="shared" si="82"/>
        <v>43312</v>
      </c>
      <c r="C522" s="182">
        <f t="shared" si="78"/>
        <v>0.02330721318</v>
      </c>
      <c r="D522" s="182">
        <f t="shared" si="83"/>
        <v>0.8565776204</v>
      </c>
      <c r="E522" s="177"/>
      <c r="F522" s="191">
        <f t="shared" si="80"/>
        <v>0.03721478724</v>
      </c>
      <c r="G522" s="182">
        <f t="shared" si="84"/>
        <v>1.405110138</v>
      </c>
      <c r="H522" s="179"/>
      <c r="I522" s="177"/>
      <c r="J522" s="192"/>
      <c r="K522" s="188"/>
      <c r="L522" s="177"/>
      <c r="M522" s="177"/>
      <c r="N522" s="177"/>
      <c r="O522" s="177"/>
      <c r="P522" s="182"/>
      <c r="Q522" s="183"/>
      <c r="R522" s="182"/>
      <c r="S522" s="177"/>
      <c r="T522" s="177"/>
      <c r="U522" s="177"/>
      <c r="V522" s="177"/>
      <c r="W522" s="177"/>
      <c r="X522" s="177"/>
    </row>
    <row r="523" ht="12.75" customHeight="1">
      <c r="A523" s="174"/>
      <c r="B523" s="190">
        <f t="shared" si="82"/>
        <v>43343</v>
      </c>
      <c r="C523" s="182">
        <f t="shared" si="78"/>
        <v>0.0406865623</v>
      </c>
      <c r="D523" s="182">
        <f t="shared" si="83"/>
        <v>0.9321153814</v>
      </c>
      <c r="E523" s="177"/>
      <c r="F523" s="191">
        <f t="shared" si="80"/>
        <v>0.03258401862</v>
      </c>
      <c r="G523" s="182">
        <f t="shared" si="84"/>
        <v>1.483478291</v>
      </c>
      <c r="H523" s="179"/>
      <c r="I523" s="177"/>
      <c r="J523" s="192"/>
      <c r="K523" s="188"/>
      <c r="L523" s="177"/>
      <c r="M523" s="177"/>
      <c r="N523" s="177"/>
      <c r="O523" s="177"/>
      <c r="P523" s="182"/>
      <c r="Q523" s="183"/>
      <c r="R523" s="182"/>
      <c r="S523" s="177"/>
      <c r="T523" s="177"/>
      <c r="U523" s="177"/>
      <c r="V523" s="177"/>
      <c r="W523" s="177"/>
      <c r="X523" s="177"/>
    </row>
    <row r="524" ht="12.75" customHeight="1">
      <c r="A524" s="174"/>
      <c r="B524" s="190">
        <f t="shared" si="82"/>
        <v>43373</v>
      </c>
      <c r="C524" s="182">
        <f t="shared" si="78"/>
        <v>-0.01437991438</v>
      </c>
      <c r="D524" s="182">
        <f t="shared" si="83"/>
        <v>0.9043317276</v>
      </c>
      <c r="E524" s="177"/>
      <c r="F524" s="191">
        <f t="shared" si="80"/>
        <v>0.005692049976</v>
      </c>
      <c r="G524" s="182">
        <f t="shared" si="84"/>
        <v>1.497614374</v>
      </c>
      <c r="H524" s="179"/>
      <c r="I524" s="177"/>
      <c r="J524" s="192"/>
      <c r="K524" s="188"/>
      <c r="L524" s="177"/>
      <c r="M524" s="177"/>
      <c r="N524" s="177"/>
      <c r="O524" s="177"/>
      <c r="P524" s="182"/>
      <c r="Q524" s="183"/>
      <c r="R524" s="182"/>
      <c r="S524" s="177"/>
      <c r="T524" s="177"/>
      <c r="U524" s="177"/>
      <c r="V524" s="177"/>
      <c r="W524" s="177"/>
      <c r="X524" s="177"/>
    </row>
    <row r="525" ht="12.75" customHeight="1">
      <c r="A525" s="174"/>
      <c r="B525" s="190">
        <f t="shared" si="82"/>
        <v>43404</v>
      </c>
      <c r="C525" s="182">
        <f t="shared" si="78"/>
        <v>-0.09188361409</v>
      </c>
      <c r="D525" s="182">
        <f t="shared" si="83"/>
        <v>0.7293548461</v>
      </c>
      <c r="E525" s="177"/>
      <c r="F525" s="191">
        <f t="shared" si="80"/>
        <v>-0.06835004216</v>
      </c>
      <c r="G525" s="182">
        <f t="shared" si="84"/>
        <v>1.326902326</v>
      </c>
      <c r="H525" s="179"/>
      <c r="I525" s="177"/>
      <c r="J525" s="192"/>
      <c r="K525" s="188"/>
      <c r="L525" s="177"/>
      <c r="M525" s="177"/>
      <c r="N525" s="177"/>
      <c r="O525" s="177"/>
      <c r="P525" s="182"/>
      <c r="Q525" s="183"/>
      <c r="R525" s="182"/>
      <c r="S525" s="177"/>
      <c r="T525" s="177"/>
      <c r="U525" s="177"/>
      <c r="V525" s="177"/>
      <c r="W525" s="177"/>
      <c r="X525" s="177"/>
    </row>
    <row r="526" ht="12.75" customHeight="1">
      <c r="A526" s="174"/>
      <c r="B526" s="190">
        <f t="shared" si="82"/>
        <v>43434</v>
      </c>
      <c r="C526" s="182">
        <f t="shared" si="78"/>
        <v>0.01580944351</v>
      </c>
      <c r="D526" s="182">
        <f t="shared" si="83"/>
        <v>0.7566949838</v>
      </c>
      <c r="E526" s="177"/>
      <c r="F526" s="191">
        <f t="shared" si="80"/>
        <v>0.02037809922</v>
      </c>
      <c r="G526" s="182">
        <f t="shared" si="84"/>
        <v>1.374320172</v>
      </c>
      <c r="H526" s="179"/>
      <c r="I526" s="177"/>
      <c r="J526" s="192"/>
      <c r="K526" s="188"/>
      <c r="L526" s="177"/>
      <c r="M526" s="177"/>
      <c r="N526" s="177"/>
      <c r="O526" s="177"/>
      <c r="P526" s="182"/>
      <c r="Q526" s="183"/>
      <c r="R526" s="182"/>
      <c r="S526" s="177"/>
      <c r="T526" s="177"/>
      <c r="U526" s="177"/>
      <c r="V526" s="177"/>
      <c r="W526" s="177"/>
      <c r="X526" s="177"/>
    </row>
    <row r="527" ht="12.75" customHeight="1">
      <c r="A527" s="174"/>
      <c r="B527" s="190">
        <f t="shared" si="82"/>
        <v>43465</v>
      </c>
      <c r="C527" s="182">
        <f t="shared" si="78"/>
        <v>-0.0789582901</v>
      </c>
      <c r="D527" s="182">
        <f t="shared" si="83"/>
        <v>0.6179893516</v>
      </c>
      <c r="E527" s="177"/>
      <c r="F527" s="191">
        <f t="shared" si="80"/>
        <v>-0.09028985692</v>
      </c>
      <c r="G527" s="182">
        <f t="shared" si="84"/>
        <v>1.159943144</v>
      </c>
      <c r="H527" s="179"/>
      <c r="I527" s="177"/>
      <c r="J527" s="192"/>
      <c r="K527" s="188"/>
      <c r="L527" s="177"/>
      <c r="M527" s="177"/>
      <c r="N527" s="177"/>
      <c r="O527" s="177"/>
      <c r="P527" s="182"/>
      <c r="Q527" s="183"/>
      <c r="R527" s="182"/>
      <c r="S527" s="177"/>
      <c r="T527" s="177"/>
      <c r="U527" s="177"/>
      <c r="V527" s="177"/>
      <c r="W527" s="177"/>
      <c r="X527" s="177"/>
    </row>
    <row r="528" ht="12.75" customHeight="1">
      <c r="A528" s="174"/>
      <c r="B528" s="190">
        <f t="shared" si="82"/>
        <v>43496</v>
      </c>
      <c r="C528" s="182">
        <f t="shared" si="78"/>
        <v>0.07489702483</v>
      </c>
      <c r="D528" s="182">
        <f t="shared" si="83"/>
        <v>0.7391719403</v>
      </c>
      <c r="E528" s="177"/>
      <c r="F528" s="191">
        <f t="shared" si="80"/>
        <v>0.08013490576</v>
      </c>
      <c r="G528" s="182">
        <f t="shared" si="84"/>
        <v>1.333029984</v>
      </c>
      <c r="H528" s="179"/>
      <c r="I528" s="177"/>
      <c r="J528" s="192"/>
      <c r="K528" s="188"/>
      <c r="L528" s="177"/>
      <c r="M528" s="177"/>
      <c r="N528" s="177"/>
      <c r="O528" s="177"/>
      <c r="P528" s="182"/>
      <c r="Q528" s="183"/>
      <c r="R528" s="182"/>
      <c r="S528" s="177"/>
      <c r="T528" s="177"/>
      <c r="U528" s="177"/>
      <c r="V528" s="177"/>
      <c r="W528" s="177"/>
      <c r="X528" s="177"/>
    </row>
    <row r="529" ht="12.75" customHeight="1">
      <c r="A529" s="174"/>
      <c r="B529" s="190">
        <f t="shared" si="82"/>
        <v>43524</v>
      </c>
      <c r="C529" s="182">
        <f t="shared" si="78"/>
        <v>0.01676112268</v>
      </c>
      <c r="D529" s="182">
        <f t="shared" si="83"/>
        <v>0.7683224146</v>
      </c>
      <c r="E529" s="177"/>
      <c r="F529" s="191">
        <f t="shared" si="80"/>
        <v>0.03210844727</v>
      </c>
      <c r="G529" s="182">
        <f t="shared" si="84"/>
        <v>1.407939954</v>
      </c>
      <c r="H529" s="179"/>
      <c r="I529" s="177"/>
      <c r="J529" s="192"/>
      <c r="K529" s="188"/>
      <c r="L529" s="177"/>
      <c r="M529" s="177"/>
      <c r="N529" s="177"/>
      <c r="O529" s="177"/>
      <c r="P529" s="182"/>
      <c r="Q529" s="183"/>
      <c r="R529" s="182"/>
      <c r="S529" s="177"/>
      <c r="T529" s="177"/>
      <c r="U529" s="177"/>
      <c r="V529" s="177"/>
      <c r="W529" s="177"/>
      <c r="X529" s="177"/>
    </row>
    <row r="530" ht="12.75" customHeight="1">
      <c r="A530" s="174"/>
      <c r="B530" s="190">
        <f t="shared" si="82"/>
        <v>43555</v>
      </c>
      <c r="C530" s="182">
        <f t="shared" si="78"/>
        <v>0.02957755244</v>
      </c>
      <c r="D530" s="182">
        <f t="shared" si="83"/>
        <v>0.8206250635</v>
      </c>
      <c r="E530" s="177"/>
      <c r="F530" s="191">
        <f t="shared" si="80"/>
        <v>0.01943133165</v>
      </c>
      <c r="G530" s="182">
        <f t="shared" si="84"/>
        <v>1.454729434</v>
      </c>
      <c r="H530" s="179"/>
      <c r="I530" s="177"/>
      <c r="J530" s="192"/>
      <c r="K530" s="188"/>
      <c r="L530" s="177"/>
      <c r="M530" s="177"/>
      <c r="N530" s="177"/>
      <c r="O530" s="177"/>
      <c r="P530" s="182"/>
      <c r="Q530" s="183"/>
      <c r="R530" s="182"/>
      <c r="S530" s="177"/>
      <c r="T530" s="177"/>
      <c r="U530" s="177"/>
      <c r="V530" s="177"/>
      <c r="W530" s="177"/>
      <c r="X530" s="177"/>
    </row>
    <row r="531" ht="12.75" customHeight="1">
      <c r="A531" s="174"/>
      <c r="B531" s="190">
        <f t="shared" si="82"/>
        <v>43585</v>
      </c>
      <c r="C531" s="182">
        <f t="shared" si="78"/>
        <v>0.06982883566</v>
      </c>
      <c r="D531" s="182">
        <f t="shared" si="83"/>
        <v>0.9477571919</v>
      </c>
      <c r="E531" s="177"/>
      <c r="F531" s="191">
        <f t="shared" si="80"/>
        <v>0.04048929642</v>
      </c>
      <c r="G531" s="182">
        <f t="shared" si="84"/>
        <v>1.554119702</v>
      </c>
      <c r="H531" s="179"/>
      <c r="I531" s="177"/>
      <c r="J531" s="192"/>
      <c r="K531" s="188"/>
      <c r="L531" s="177"/>
      <c r="M531" s="177"/>
      <c r="N531" s="177"/>
      <c r="O531" s="177"/>
      <c r="P531" s="182"/>
      <c r="Q531" s="183"/>
      <c r="R531" s="182"/>
      <c r="S531" s="177"/>
      <c r="T531" s="177"/>
      <c r="U531" s="177"/>
      <c r="V531" s="177"/>
      <c r="W531" s="177"/>
      <c r="X531" s="177"/>
    </row>
    <row r="532" ht="12.75" customHeight="1">
      <c r="A532" s="174"/>
      <c r="B532" s="190">
        <f t="shared" si="82"/>
        <v>43616</v>
      </c>
      <c r="C532" s="182">
        <f t="shared" si="78"/>
        <v>-0.04528525461</v>
      </c>
      <c r="D532" s="182">
        <f t="shared" si="83"/>
        <v>0.8595525115</v>
      </c>
      <c r="E532" s="177"/>
      <c r="F532" s="191">
        <f t="shared" si="80"/>
        <v>-0.06354802751</v>
      </c>
      <c r="G532" s="182">
        <f t="shared" si="84"/>
        <v>1.391810433</v>
      </c>
      <c r="H532" s="179"/>
      <c r="I532" s="177"/>
      <c r="J532" s="192"/>
      <c r="K532" s="188"/>
      <c r="L532" s="177"/>
      <c r="M532" s="177"/>
      <c r="N532" s="177"/>
      <c r="O532" s="177"/>
      <c r="P532" s="182"/>
      <c r="Q532" s="183"/>
      <c r="R532" s="182"/>
      <c r="S532" s="177"/>
      <c r="T532" s="177"/>
      <c r="U532" s="177"/>
      <c r="V532" s="177"/>
      <c r="W532" s="177"/>
      <c r="X532" s="177"/>
    </row>
    <row r="533" ht="12.75" customHeight="1">
      <c r="A533" s="174"/>
      <c r="B533" s="190">
        <f t="shared" si="82"/>
        <v>43646</v>
      </c>
      <c r="C533" s="182">
        <f t="shared" si="78"/>
        <v>0.0558034186</v>
      </c>
      <c r="D533" s="182">
        <f t="shared" si="83"/>
        <v>0.9633218987</v>
      </c>
      <c r="E533" s="177"/>
      <c r="F533" s="191">
        <f t="shared" si="80"/>
        <v>0.07047671159</v>
      </c>
      <c r="G533" s="182">
        <f t="shared" si="84"/>
        <v>1.560377367</v>
      </c>
      <c r="H533" s="179"/>
      <c r="I533" s="177"/>
      <c r="J533" s="192"/>
      <c r="K533" s="188"/>
      <c r="L533" s="177"/>
      <c r="M533" s="177"/>
      <c r="N533" s="177"/>
      <c r="O533" s="177"/>
      <c r="P533" s="182"/>
      <c r="Q533" s="183"/>
      <c r="R533" s="182"/>
      <c r="S533" s="177"/>
      <c r="T533" s="177"/>
      <c r="U533" s="177"/>
      <c r="V533" s="177"/>
      <c r="W533" s="177"/>
      <c r="X533" s="177"/>
    </row>
    <row r="534" ht="12.75" customHeight="1">
      <c r="A534" s="174"/>
      <c r="B534" s="190">
        <f t="shared" si="82"/>
        <v>43677</v>
      </c>
      <c r="C534" s="182">
        <f t="shared" si="78"/>
        <v>0.02470264214</v>
      </c>
      <c r="D534" s="182">
        <f t="shared" si="83"/>
        <v>1.011821137</v>
      </c>
      <c r="E534" s="177"/>
      <c r="F534" s="191">
        <f t="shared" si="80"/>
        <v>0.01437312233</v>
      </c>
      <c r="G534" s="182">
        <f t="shared" si="84"/>
        <v>1.597177984</v>
      </c>
      <c r="H534" s="179"/>
      <c r="I534" s="177"/>
      <c r="J534" s="192"/>
      <c r="K534" s="188"/>
      <c r="L534" s="177"/>
      <c r="M534" s="177"/>
      <c r="N534" s="177"/>
      <c r="O534" s="177"/>
      <c r="P534" s="182"/>
      <c r="Q534" s="183"/>
      <c r="R534" s="182"/>
      <c r="S534" s="177"/>
      <c r="T534" s="177"/>
      <c r="U534" s="177"/>
      <c r="V534" s="177"/>
      <c r="W534" s="177"/>
      <c r="X534" s="177"/>
    </row>
    <row r="535" ht="12.75" customHeight="1">
      <c r="A535" s="174"/>
      <c r="B535" s="190">
        <f t="shared" si="82"/>
        <v>43708</v>
      </c>
      <c r="C535" s="182">
        <f t="shared" si="78"/>
        <v>-0.00952848786</v>
      </c>
      <c r="D535" s="182">
        <f t="shared" si="83"/>
        <v>0.9926515237</v>
      </c>
      <c r="E535" s="177"/>
      <c r="F535" s="191">
        <f t="shared" si="80"/>
        <v>-0.01584136609</v>
      </c>
      <c r="G535" s="182">
        <f t="shared" si="84"/>
        <v>1.556035137</v>
      </c>
      <c r="H535" s="179"/>
      <c r="I535" s="177"/>
      <c r="J535" s="192"/>
      <c r="K535" s="188"/>
      <c r="L535" s="177"/>
      <c r="M535" s="177"/>
      <c r="N535" s="177"/>
      <c r="O535" s="177"/>
      <c r="P535" s="182"/>
      <c r="Q535" s="183"/>
      <c r="R535" s="182"/>
      <c r="S535" s="177"/>
      <c r="T535" s="177"/>
      <c r="U535" s="177"/>
      <c r="V535" s="177"/>
      <c r="W535" s="177"/>
      <c r="X535" s="177"/>
    </row>
    <row r="536" ht="12.75" customHeight="1">
      <c r="A536" s="174"/>
      <c r="B536" s="190">
        <f t="shared" si="82"/>
        <v>43738</v>
      </c>
      <c r="C536" s="182">
        <f t="shared" si="78"/>
        <v>0.0147222361</v>
      </c>
      <c r="D536" s="182">
        <f t="shared" si="83"/>
        <v>1.02198781</v>
      </c>
      <c r="E536" s="177"/>
      <c r="F536" s="191">
        <f t="shared" si="80"/>
        <v>0.01871069796</v>
      </c>
      <c r="G536" s="182">
        <f t="shared" si="84"/>
        <v>1.603860338</v>
      </c>
      <c r="H536" s="179"/>
      <c r="I536" s="177"/>
      <c r="J536" s="192"/>
      <c r="K536" s="188"/>
      <c r="L536" s="177"/>
      <c r="M536" s="177"/>
      <c r="N536" s="177"/>
      <c r="O536" s="177"/>
      <c r="P536" s="182"/>
      <c r="Q536" s="183"/>
      <c r="R536" s="182"/>
      <c r="S536" s="177"/>
      <c r="T536" s="177"/>
      <c r="U536" s="177"/>
      <c r="V536" s="177"/>
      <c r="W536" s="177"/>
      <c r="X536" s="177"/>
    </row>
    <row r="537" ht="12.75" customHeight="1">
      <c r="A537" s="1"/>
      <c r="B537" s="5"/>
      <c r="C537" s="152"/>
      <c r="E537" s="7"/>
      <c r="F537" s="19"/>
      <c r="G537" s="19"/>
      <c r="H537" s="166"/>
      <c r="K537" s="94"/>
      <c r="M537" s="1"/>
      <c r="P537" s="19"/>
      <c r="Q537" s="81"/>
      <c r="R537" s="19"/>
      <c r="S537" s="1"/>
      <c r="T537" s="1"/>
    </row>
    <row r="538" ht="12.75" customHeight="1">
      <c r="A538" s="1"/>
      <c r="B538" s="5"/>
      <c r="C538" s="152"/>
      <c r="E538" s="7"/>
      <c r="F538" s="19"/>
      <c r="G538" s="19"/>
      <c r="H538" s="166"/>
      <c r="K538" s="94"/>
      <c r="M538" s="1"/>
      <c r="P538" s="19"/>
      <c r="Q538" s="81"/>
      <c r="R538" s="19"/>
      <c r="S538" s="1"/>
      <c r="T538" s="1"/>
    </row>
    <row r="539" ht="12.75" customHeight="1">
      <c r="A539" s="1"/>
      <c r="B539" s="5" t="s">
        <v>831</v>
      </c>
      <c r="C539" s="152" t="str">
        <f>VLOOKUP($C$4,$C$35:$Q$43,15,FALSE)</f>
        <v/>
      </c>
      <c r="E539" s="7"/>
      <c r="F539" s="19"/>
      <c r="G539" s="19"/>
      <c r="H539" s="166"/>
      <c r="K539" s="94"/>
      <c r="M539" s="1"/>
      <c r="P539" s="19"/>
      <c r="Q539" s="81"/>
      <c r="R539" s="19"/>
      <c r="S539" s="1"/>
      <c r="T539" s="1"/>
    </row>
    <row r="540" ht="12.75" customHeight="1">
      <c r="A540" s="1"/>
      <c r="B540" s="5" t="s">
        <v>813</v>
      </c>
      <c r="C540" s="19">
        <f t="array" ref="C540">PRODUCT(1+C445:C526)^(1/COUNT(C445:C526))-1</f>
        <v>0.007157572243</v>
      </c>
      <c r="D540" s="7"/>
      <c r="E540" s="7"/>
      <c r="F540" s="19">
        <f t="array" ref="F540">PRODUCT(1+F445:F526)^(1/COUNT(F445:F526))-1</f>
        <v>0.01100583426</v>
      </c>
      <c r="G540" s="7"/>
      <c r="H540" s="158"/>
      <c r="K540" s="94"/>
      <c r="M540" s="1"/>
      <c r="P540" s="19"/>
      <c r="Q540" s="81"/>
      <c r="R540" s="19"/>
      <c r="S540" s="1"/>
      <c r="T540" s="1"/>
    </row>
    <row r="541" ht="12.75" customHeight="1">
      <c r="A541" s="1"/>
      <c r="B541" s="89" t="s">
        <v>833</v>
      </c>
      <c r="C541" s="170">
        <f>((1+C540)^COUNTA(C445:C526))-1</f>
        <v>0.7566949838</v>
      </c>
      <c r="D541" s="10"/>
      <c r="E541" s="10"/>
      <c r="F541" s="170">
        <f>((1+F540)^COUNTA(F445:F526))-1</f>
        <v>1.374320172</v>
      </c>
      <c r="G541" s="10"/>
      <c r="H541" s="90"/>
      <c r="K541" s="94"/>
      <c r="M541" s="1"/>
      <c r="P541" s="19"/>
      <c r="Q541" s="81"/>
      <c r="R541" s="19"/>
      <c r="S541" s="1"/>
      <c r="T541" s="1"/>
    </row>
    <row r="542" ht="12.75" customHeight="1">
      <c r="A542" s="1"/>
      <c r="B542" s="171" t="s">
        <v>834</v>
      </c>
      <c r="C542" s="19">
        <f>(1+C540)^12-1</f>
        <v>0.08935408802</v>
      </c>
      <c r="D542" s="7"/>
      <c r="E542" s="7"/>
      <c r="F542" s="19">
        <f>(1+F540)^12-1</f>
        <v>0.1403651631</v>
      </c>
      <c r="G542" s="7"/>
      <c r="H542" s="158"/>
      <c r="K542" s="94"/>
      <c r="M542" s="1"/>
      <c r="P542" s="19"/>
      <c r="Q542" s="81"/>
      <c r="R542" s="19"/>
      <c r="S542" s="1"/>
      <c r="T542" s="1"/>
    </row>
    <row r="544" ht="12.75" customHeight="1">
      <c r="A544" s="1"/>
      <c r="B544" s="7"/>
      <c r="C544" s="19"/>
      <c r="D544" s="7"/>
      <c r="E544" s="7"/>
      <c r="F544" s="19"/>
      <c r="G544" s="7"/>
      <c r="H544" s="7"/>
      <c r="M544" s="1"/>
      <c r="P544" s="19"/>
      <c r="Q544" s="81"/>
      <c r="R544" s="19"/>
      <c r="S544" s="1"/>
      <c r="T544" s="1"/>
    </row>
    <row r="545" ht="12.75" customHeight="1">
      <c r="A545" s="1"/>
      <c r="B545" s="7"/>
      <c r="C545" s="19"/>
      <c r="D545" s="7"/>
      <c r="E545" s="7"/>
      <c r="F545" s="19"/>
      <c r="G545" s="7"/>
      <c r="H545" s="7"/>
      <c r="M545" s="1"/>
      <c r="P545" s="19"/>
      <c r="Q545" s="81"/>
      <c r="R545" s="19"/>
      <c r="S545" s="1"/>
      <c r="T545" s="1"/>
    </row>
    <row r="546" ht="12.75" customHeight="1">
      <c r="A546" s="1"/>
      <c r="B546" s="7"/>
      <c r="C546" s="19"/>
      <c r="D546" s="7"/>
      <c r="E546" s="7"/>
      <c r="F546" s="19"/>
      <c r="G546" s="7"/>
      <c r="H546" s="7"/>
      <c r="M546" s="1"/>
      <c r="P546" s="19"/>
      <c r="Q546" s="81"/>
      <c r="R546" s="19"/>
      <c r="S546" s="1"/>
      <c r="T546" s="1"/>
    </row>
    <row r="547" ht="12.75" customHeight="1">
      <c r="A547" s="1"/>
      <c r="B547" s="7"/>
      <c r="C547" s="19"/>
      <c r="D547" s="7"/>
      <c r="E547" s="7"/>
      <c r="F547" s="19"/>
      <c r="G547" s="7"/>
      <c r="H547" s="7"/>
      <c r="M547" s="1"/>
      <c r="P547" s="19"/>
      <c r="Q547" s="81"/>
      <c r="R547" s="19"/>
      <c r="S547" s="1"/>
      <c r="T547" s="1"/>
    </row>
    <row r="548" ht="12.75" customHeight="1">
      <c r="A548" s="1"/>
      <c r="B548" s="7"/>
      <c r="C548" s="19"/>
      <c r="D548" s="7"/>
      <c r="E548" s="7"/>
      <c r="F548" s="19"/>
      <c r="G548" s="7"/>
      <c r="H548" s="7"/>
      <c r="M548" s="1"/>
      <c r="P548" s="19"/>
      <c r="Q548" s="81"/>
      <c r="R548" s="19"/>
      <c r="S548" s="1"/>
      <c r="T548" s="1"/>
    </row>
    <row r="549" ht="12.75" customHeight="1">
      <c r="A549" s="1"/>
      <c r="B549" s="7"/>
      <c r="C549" s="19"/>
      <c r="D549" s="7"/>
      <c r="E549" s="7"/>
      <c r="F549" s="19"/>
      <c r="G549" s="7"/>
      <c r="H549" s="7"/>
      <c r="M549" s="1"/>
      <c r="P549" s="19"/>
      <c r="Q549" s="81"/>
      <c r="R549" s="19"/>
      <c r="S549" s="1"/>
      <c r="T549" s="1"/>
    </row>
    <row r="550" ht="12.75" customHeight="1">
      <c r="A550" s="1"/>
      <c r="B550" s="7"/>
      <c r="C550" s="19"/>
      <c r="D550" s="7"/>
      <c r="E550" s="7"/>
      <c r="F550" s="19"/>
      <c r="G550" s="7"/>
      <c r="H550" s="7"/>
      <c r="M550" s="1"/>
      <c r="P550" s="19"/>
      <c r="Q550" s="81"/>
      <c r="R550" s="19"/>
      <c r="S550" s="1"/>
      <c r="T550" s="1"/>
    </row>
    <row r="551" ht="12.75" customHeight="1">
      <c r="A551" s="1"/>
      <c r="B551" s="7"/>
      <c r="C551" s="19"/>
      <c r="D551" s="7"/>
      <c r="E551" s="7"/>
      <c r="F551" s="19"/>
      <c r="G551" s="7"/>
      <c r="H551" s="7"/>
      <c r="M551" s="1"/>
      <c r="P551" s="19"/>
      <c r="Q551" s="81"/>
      <c r="R551" s="19"/>
      <c r="S551" s="1"/>
      <c r="T551" s="1"/>
    </row>
    <row r="552" ht="12.75" customHeight="1">
      <c r="A552" s="1"/>
      <c r="B552" s="7"/>
      <c r="C552" s="19"/>
      <c r="D552" s="7"/>
      <c r="E552" s="7"/>
      <c r="F552" s="19"/>
      <c r="G552" s="7"/>
      <c r="H552" s="7"/>
      <c r="M552" s="1"/>
      <c r="P552" s="19"/>
      <c r="Q552" s="81"/>
      <c r="R552" s="19"/>
      <c r="S552" s="1"/>
      <c r="T552" s="1"/>
    </row>
    <row r="553" ht="12.75" customHeight="1">
      <c r="A553" s="1"/>
      <c r="B553" s="7"/>
      <c r="C553" s="19"/>
      <c r="D553" s="7"/>
      <c r="E553" s="7"/>
      <c r="F553" s="19"/>
      <c r="G553" s="7"/>
      <c r="H553" s="7"/>
      <c r="M553" s="1"/>
      <c r="P553" s="19"/>
      <c r="Q553" s="81"/>
      <c r="R553" s="19"/>
      <c r="S553" s="1"/>
      <c r="T553" s="1"/>
    </row>
    <row r="554" ht="12.75" customHeight="1">
      <c r="A554" s="1"/>
      <c r="B554" s="7"/>
      <c r="C554" s="19"/>
      <c r="D554" s="7"/>
      <c r="E554" s="7"/>
      <c r="F554" s="19"/>
      <c r="G554" s="7"/>
      <c r="H554" s="7"/>
      <c r="M554" s="1"/>
      <c r="P554" s="19"/>
      <c r="Q554" s="81"/>
      <c r="R554" s="19"/>
      <c r="S554" s="1"/>
      <c r="T554" s="1"/>
    </row>
    <row r="555" ht="12.75" customHeight="1">
      <c r="A555" s="1"/>
      <c r="B555" s="7"/>
      <c r="C555" s="19"/>
      <c r="D555" s="7"/>
      <c r="E555" s="7"/>
      <c r="F555" s="19"/>
      <c r="G555" s="7"/>
      <c r="H555" s="7"/>
      <c r="M555" s="1"/>
      <c r="P555" s="19"/>
      <c r="Q555" s="81"/>
      <c r="R555" s="19"/>
      <c r="S555" s="1"/>
      <c r="T555" s="1"/>
    </row>
    <row r="556" ht="12.75" customHeight="1">
      <c r="A556" s="1"/>
      <c r="B556" s="7"/>
      <c r="C556" s="19"/>
      <c r="D556" s="7"/>
      <c r="E556" s="7"/>
      <c r="F556" s="19"/>
      <c r="G556" s="7"/>
      <c r="H556" s="7"/>
      <c r="M556" s="1"/>
      <c r="P556" s="19"/>
      <c r="Q556" s="81"/>
      <c r="R556" s="19"/>
      <c r="S556" s="1"/>
      <c r="T556" s="1"/>
    </row>
    <row r="557" ht="12.75" customHeight="1">
      <c r="A557" s="1"/>
      <c r="B557" s="7"/>
      <c r="C557" s="19"/>
      <c r="D557" s="7"/>
      <c r="E557" s="7"/>
      <c r="F557" s="19"/>
      <c r="G557" s="7"/>
      <c r="H557" s="7"/>
      <c r="M557" s="1"/>
      <c r="P557" s="19"/>
      <c r="Q557" s="81"/>
      <c r="R557" s="19"/>
      <c r="S557" s="1"/>
      <c r="T557" s="1"/>
    </row>
    <row r="558" ht="12.75" customHeight="1">
      <c r="A558" s="1"/>
      <c r="B558" s="7"/>
      <c r="C558" s="19"/>
      <c r="D558" s="7"/>
      <c r="E558" s="7"/>
      <c r="F558" s="19"/>
      <c r="G558" s="7"/>
      <c r="H558" s="7"/>
      <c r="M558" s="1"/>
      <c r="P558" s="19"/>
      <c r="Q558" s="81"/>
      <c r="R558" s="19"/>
      <c r="S558" s="1"/>
      <c r="T558" s="1"/>
    </row>
    <row r="559" ht="12.75" customHeight="1">
      <c r="A559" s="1"/>
      <c r="B559" s="7"/>
      <c r="C559" s="19"/>
      <c r="D559" s="7"/>
      <c r="E559" s="7"/>
      <c r="F559" s="19"/>
      <c r="G559" s="7"/>
      <c r="H559" s="7"/>
      <c r="M559" s="1"/>
      <c r="P559" s="19"/>
      <c r="Q559" s="81"/>
      <c r="R559" s="19"/>
      <c r="S559" s="1"/>
      <c r="T559" s="1"/>
    </row>
    <row r="560" ht="12.75" customHeight="1">
      <c r="A560" s="1"/>
      <c r="B560" s="7"/>
      <c r="C560" s="19"/>
      <c r="D560" s="7"/>
      <c r="E560" s="7"/>
      <c r="F560" s="19"/>
      <c r="G560" s="7"/>
      <c r="H560" s="7"/>
      <c r="M560" s="1"/>
      <c r="P560" s="19"/>
      <c r="Q560" s="81"/>
      <c r="R560" s="19"/>
      <c r="S560" s="1"/>
      <c r="T560" s="1"/>
    </row>
    <row r="561" ht="12.75" customHeight="1">
      <c r="A561" s="1"/>
      <c r="B561" s="7"/>
      <c r="C561" s="19"/>
      <c r="D561" s="7"/>
      <c r="E561" s="7"/>
      <c r="F561" s="19"/>
      <c r="G561" s="7"/>
      <c r="H561" s="7"/>
      <c r="M561" s="1"/>
      <c r="P561" s="19"/>
      <c r="Q561" s="81"/>
      <c r="R561" s="19"/>
      <c r="S561" s="1"/>
      <c r="T561" s="1"/>
    </row>
    <row r="562" ht="12.75" customHeight="1">
      <c r="A562" s="1"/>
      <c r="B562" s="7"/>
      <c r="C562" s="19"/>
      <c r="D562" s="7"/>
      <c r="E562" s="7"/>
      <c r="F562" s="19"/>
      <c r="G562" s="7"/>
      <c r="H562" s="7"/>
      <c r="M562" s="1"/>
      <c r="P562" s="19"/>
      <c r="Q562" s="81"/>
      <c r="R562" s="19"/>
      <c r="S562" s="1"/>
      <c r="T562" s="1"/>
    </row>
    <row r="563" ht="12.75" customHeight="1">
      <c r="A563" s="1"/>
      <c r="B563" s="7"/>
      <c r="C563" s="19"/>
      <c r="D563" s="7"/>
      <c r="E563" s="7"/>
      <c r="F563" s="19"/>
      <c r="G563" s="7"/>
      <c r="H563" s="7"/>
      <c r="M563" s="1"/>
      <c r="P563" s="19"/>
      <c r="Q563" s="81"/>
      <c r="R563" s="19"/>
      <c r="S563" s="1"/>
      <c r="T563" s="1"/>
    </row>
    <row r="564" ht="12.75" customHeight="1">
      <c r="A564" s="1"/>
      <c r="B564" s="7"/>
      <c r="C564" s="19"/>
      <c r="D564" s="7"/>
      <c r="E564" s="7"/>
      <c r="F564" s="19"/>
      <c r="G564" s="7"/>
      <c r="H564" s="7"/>
      <c r="M564" s="1"/>
      <c r="P564" s="19"/>
      <c r="Q564" s="81"/>
      <c r="R564" s="19"/>
      <c r="S564" s="1"/>
      <c r="T564" s="1"/>
    </row>
    <row r="565" ht="12.75" customHeight="1">
      <c r="A565" s="1"/>
      <c r="B565" s="7"/>
      <c r="C565" s="19"/>
      <c r="D565" s="7"/>
      <c r="E565" s="7"/>
      <c r="F565" s="19"/>
      <c r="G565" s="7"/>
      <c r="H565" s="7"/>
      <c r="M565" s="1"/>
      <c r="P565" s="19"/>
      <c r="Q565" s="81"/>
      <c r="R565" s="19"/>
      <c r="S565" s="1"/>
      <c r="T565" s="1"/>
    </row>
    <row r="566" ht="12.75" customHeight="1">
      <c r="A566" s="1"/>
      <c r="B566" s="7"/>
      <c r="C566" s="19"/>
      <c r="D566" s="7"/>
      <c r="E566" s="7"/>
      <c r="F566" s="19"/>
      <c r="G566" s="7"/>
      <c r="H566" s="7"/>
      <c r="M566" s="1"/>
      <c r="P566" s="19"/>
      <c r="Q566" s="81"/>
      <c r="R566" s="19"/>
      <c r="S566" s="1"/>
      <c r="T566" s="1"/>
    </row>
    <row r="567" ht="12.75" customHeight="1">
      <c r="A567" s="1"/>
      <c r="B567" s="7"/>
      <c r="C567" s="19"/>
      <c r="D567" s="7"/>
      <c r="E567" s="7"/>
      <c r="F567" s="19"/>
      <c r="G567" s="7"/>
      <c r="H567" s="7"/>
      <c r="M567" s="1"/>
      <c r="P567" s="19"/>
      <c r="Q567" s="81"/>
      <c r="R567" s="19"/>
      <c r="S567" s="1"/>
      <c r="T567" s="1"/>
    </row>
    <row r="568" ht="12.75" customHeight="1">
      <c r="A568" s="1"/>
      <c r="B568" s="7"/>
      <c r="C568" s="19"/>
      <c r="D568" s="7"/>
      <c r="E568" s="7"/>
      <c r="F568" s="19"/>
      <c r="G568" s="7"/>
      <c r="H568" s="7"/>
      <c r="M568" s="1"/>
      <c r="P568" s="19"/>
      <c r="Q568" s="81"/>
      <c r="R568" s="19"/>
      <c r="S568" s="1"/>
      <c r="T568" s="1"/>
    </row>
    <row r="569" ht="12.75" customHeight="1">
      <c r="A569" s="1"/>
      <c r="B569" s="7"/>
      <c r="C569" s="19"/>
      <c r="D569" s="7"/>
      <c r="E569" s="7"/>
      <c r="F569" s="19"/>
      <c r="G569" s="7"/>
      <c r="H569" s="7"/>
      <c r="M569" s="1"/>
      <c r="P569" s="19"/>
      <c r="Q569" s="81"/>
      <c r="R569" s="19"/>
      <c r="S569" s="1"/>
      <c r="T569" s="1"/>
    </row>
    <row r="570" ht="12.75" customHeight="1">
      <c r="A570" s="1"/>
      <c r="B570" s="7"/>
      <c r="C570" s="19"/>
      <c r="D570" s="7"/>
      <c r="E570" s="7"/>
      <c r="F570" s="19"/>
      <c r="G570" s="7"/>
      <c r="H570" s="7"/>
      <c r="M570" s="1"/>
      <c r="P570" s="19"/>
      <c r="Q570" s="81"/>
      <c r="R570" s="19"/>
      <c r="S570" s="1"/>
      <c r="T570" s="1"/>
    </row>
    <row r="571" ht="12.75" customHeight="1">
      <c r="A571" s="1"/>
      <c r="B571" s="7"/>
      <c r="C571" s="19"/>
      <c r="D571" s="7"/>
      <c r="E571" s="7"/>
      <c r="F571" s="19"/>
      <c r="G571" s="7"/>
      <c r="H571" s="7"/>
      <c r="M571" s="1"/>
      <c r="P571" s="19"/>
      <c r="Q571" s="81"/>
      <c r="R571" s="19"/>
      <c r="S571" s="1"/>
      <c r="T571" s="1"/>
    </row>
    <row r="572" ht="12.75" customHeight="1">
      <c r="A572" s="1"/>
      <c r="B572" s="7"/>
      <c r="C572" s="19"/>
      <c r="D572" s="7"/>
      <c r="E572" s="7"/>
      <c r="F572" s="19"/>
      <c r="G572" s="7"/>
      <c r="H572" s="7"/>
      <c r="M572" s="1"/>
      <c r="P572" s="19"/>
      <c r="Q572" s="81"/>
      <c r="R572" s="19"/>
      <c r="S572" s="1"/>
      <c r="T572" s="1"/>
    </row>
    <row r="573" ht="12.75" customHeight="1">
      <c r="A573" s="1"/>
      <c r="B573" s="7"/>
      <c r="C573" s="19"/>
      <c r="D573" s="7"/>
      <c r="E573" s="7"/>
      <c r="F573" s="19"/>
      <c r="G573" s="7"/>
      <c r="H573" s="7"/>
      <c r="M573" s="1"/>
      <c r="P573" s="19"/>
      <c r="Q573" s="81"/>
      <c r="R573" s="19"/>
      <c r="S573" s="1"/>
      <c r="T573" s="1"/>
    </row>
    <row r="574" ht="12.75" customHeight="1">
      <c r="A574" s="1"/>
      <c r="B574" s="7"/>
      <c r="C574" s="19"/>
      <c r="D574" s="7"/>
      <c r="E574" s="7"/>
      <c r="F574" s="19"/>
      <c r="G574" s="7"/>
      <c r="H574" s="7"/>
      <c r="M574" s="1"/>
      <c r="P574" s="19"/>
      <c r="Q574" s="81"/>
      <c r="R574" s="19"/>
      <c r="S574" s="1"/>
      <c r="T574" s="1"/>
    </row>
    <row r="575" ht="12.75" customHeight="1">
      <c r="A575" s="1"/>
      <c r="B575" s="7"/>
      <c r="C575" s="19"/>
      <c r="D575" s="7"/>
      <c r="E575" s="7"/>
      <c r="F575" s="19"/>
      <c r="G575" s="7"/>
      <c r="H575" s="7"/>
      <c r="M575" s="1"/>
      <c r="P575" s="19"/>
      <c r="Q575" s="81"/>
      <c r="R575" s="19"/>
      <c r="S575" s="1"/>
      <c r="T575" s="1"/>
    </row>
    <row r="576" ht="12.75" customHeight="1">
      <c r="A576" s="1"/>
      <c r="B576" s="7"/>
      <c r="C576" s="19"/>
      <c r="D576" s="7"/>
      <c r="E576" s="7"/>
      <c r="F576" s="19"/>
      <c r="G576" s="7"/>
      <c r="H576" s="7"/>
      <c r="M576" s="1"/>
      <c r="P576" s="19"/>
      <c r="Q576" s="81"/>
      <c r="R576" s="19"/>
      <c r="S576" s="1"/>
      <c r="T576" s="1"/>
    </row>
    <row r="577" ht="12.75" customHeight="1">
      <c r="A577" s="1"/>
      <c r="B577" s="7"/>
      <c r="C577" s="19"/>
      <c r="D577" s="7"/>
      <c r="E577" s="7"/>
      <c r="F577" s="19"/>
      <c r="G577" s="7"/>
      <c r="H577" s="7"/>
      <c r="M577" s="1"/>
      <c r="P577" s="19"/>
      <c r="Q577" s="81"/>
      <c r="R577" s="19"/>
      <c r="S577" s="1"/>
      <c r="T577" s="1"/>
    </row>
    <row r="578" ht="12.75" customHeight="1">
      <c r="A578" s="1"/>
      <c r="B578" s="7"/>
      <c r="C578" s="19"/>
      <c r="D578" s="7"/>
      <c r="E578" s="7"/>
      <c r="F578" s="19"/>
      <c r="G578" s="7"/>
      <c r="H578" s="7"/>
      <c r="M578" s="1"/>
      <c r="P578" s="19"/>
      <c r="Q578" s="81"/>
      <c r="R578" s="19"/>
      <c r="S578" s="1"/>
      <c r="T578" s="1"/>
    </row>
    <row r="579" ht="12.75" customHeight="1">
      <c r="A579" s="1"/>
      <c r="B579" s="7"/>
      <c r="C579" s="19"/>
      <c r="D579" s="7"/>
      <c r="E579" s="7"/>
      <c r="F579" s="19"/>
      <c r="G579" s="7"/>
      <c r="H579" s="7"/>
      <c r="M579" s="1"/>
      <c r="P579" s="19"/>
      <c r="Q579" s="81"/>
      <c r="R579" s="19"/>
      <c r="S579" s="1"/>
      <c r="T579" s="1"/>
    </row>
    <row r="580" ht="12.75" customHeight="1">
      <c r="A580" s="1"/>
      <c r="B580" s="7"/>
      <c r="C580" s="19"/>
      <c r="D580" s="7"/>
      <c r="E580" s="7"/>
      <c r="F580" s="19"/>
      <c r="G580" s="7"/>
      <c r="H580" s="7"/>
      <c r="M580" s="1"/>
      <c r="P580" s="19"/>
      <c r="Q580" s="81"/>
      <c r="R580" s="19"/>
      <c r="S580" s="1"/>
      <c r="T580" s="1"/>
    </row>
    <row r="581" ht="12.75" customHeight="1">
      <c r="A581" s="1"/>
      <c r="B581" s="7"/>
      <c r="C581" s="19"/>
      <c r="D581" s="7"/>
      <c r="E581" s="7"/>
      <c r="F581" s="19"/>
      <c r="G581" s="7"/>
      <c r="H581" s="7"/>
      <c r="M581" s="1"/>
      <c r="P581" s="19"/>
      <c r="Q581" s="81"/>
      <c r="R581" s="19"/>
      <c r="S581" s="1"/>
      <c r="T581" s="1"/>
    </row>
    <row r="582" ht="12.75" customHeight="1">
      <c r="A582" s="1"/>
      <c r="B582" s="7"/>
      <c r="C582" s="19"/>
      <c r="D582" s="7"/>
      <c r="E582" s="7"/>
      <c r="F582" s="19"/>
      <c r="G582" s="7"/>
      <c r="H582" s="7"/>
      <c r="M582" s="1"/>
      <c r="P582" s="19"/>
      <c r="Q582" s="81"/>
      <c r="R582" s="19"/>
      <c r="S582" s="1"/>
      <c r="T582" s="1"/>
    </row>
    <row r="583" ht="12.75" customHeight="1">
      <c r="A583" s="1"/>
      <c r="B583" s="7"/>
      <c r="C583" s="19"/>
      <c r="D583" s="7"/>
      <c r="E583" s="7"/>
      <c r="F583" s="19"/>
      <c r="G583" s="7"/>
      <c r="H583" s="7"/>
      <c r="M583" s="1"/>
      <c r="P583" s="19"/>
      <c r="Q583" s="81"/>
      <c r="R583" s="19"/>
      <c r="S583" s="1"/>
      <c r="T583" s="1"/>
    </row>
    <row r="584" ht="12.75" customHeight="1">
      <c r="A584" s="1"/>
      <c r="B584" s="7"/>
      <c r="C584" s="19"/>
      <c r="D584" s="7"/>
      <c r="E584" s="7"/>
      <c r="F584" s="19"/>
      <c r="G584" s="7"/>
      <c r="H584" s="7"/>
      <c r="M584" s="1"/>
      <c r="P584" s="19"/>
      <c r="Q584" s="81"/>
      <c r="R584" s="19"/>
      <c r="S584" s="1"/>
      <c r="T584" s="1"/>
    </row>
    <row r="585" ht="12.75" customHeight="1">
      <c r="A585" s="1"/>
      <c r="B585" s="7"/>
      <c r="C585" s="19"/>
      <c r="D585" s="7"/>
      <c r="E585" s="7"/>
      <c r="F585" s="19"/>
      <c r="G585" s="7"/>
      <c r="H585" s="7"/>
      <c r="M585" s="1"/>
      <c r="P585" s="19"/>
      <c r="Q585" s="81"/>
      <c r="R585" s="19"/>
      <c r="S585" s="1"/>
      <c r="T585" s="1"/>
    </row>
    <row r="586" ht="12.75" customHeight="1">
      <c r="A586" s="1"/>
      <c r="B586" s="7"/>
      <c r="C586" s="19"/>
      <c r="D586" s="7"/>
      <c r="E586" s="7"/>
      <c r="F586" s="19"/>
      <c r="G586" s="7"/>
      <c r="H586" s="7"/>
      <c r="M586" s="1"/>
      <c r="P586" s="19"/>
      <c r="Q586" s="81"/>
      <c r="R586" s="19"/>
      <c r="S586" s="1"/>
      <c r="T586" s="1"/>
    </row>
    <row r="587" ht="12.75" customHeight="1">
      <c r="A587" s="1"/>
      <c r="B587" s="7"/>
      <c r="C587" s="19"/>
      <c r="D587" s="7"/>
      <c r="E587" s="7"/>
      <c r="F587" s="19"/>
      <c r="G587" s="7"/>
      <c r="H587" s="7"/>
      <c r="M587" s="1"/>
      <c r="P587" s="19"/>
      <c r="Q587" s="81"/>
      <c r="R587" s="19"/>
      <c r="S587" s="1"/>
      <c r="T587" s="1"/>
    </row>
    <row r="588" ht="12.75" customHeight="1">
      <c r="A588" s="1"/>
      <c r="B588" s="7"/>
      <c r="C588" s="19"/>
      <c r="D588" s="7"/>
      <c r="E588" s="7"/>
      <c r="F588" s="19"/>
      <c r="G588" s="7"/>
      <c r="H588" s="7"/>
      <c r="M588" s="1"/>
      <c r="P588" s="19"/>
      <c r="Q588" s="81"/>
      <c r="R588" s="19"/>
      <c r="S588" s="1"/>
      <c r="T588" s="1"/>
    </row>
    <row r="589" ht="12.75" customHeight="1">
      <c r="A589" s="1"/>
      <c r="B589" s="7"/>
      <c r="C589" s="19"/>
      <c r="D589" s="7"/>
      <c r="E589" s="7"/>
      <c r="F589" s="19"/>
      <c r="G589" s="7"/>
      <c r="H589" s="7"/>
      <c r="M589" s="1"/>
      <c r="P589" s="19"/>
      <c r="Q589" s="81"/>
      <c r="R589" s="19"/>
      <c r="S589" s="1"/>
      <c r="T589" s="1"/>
    </row>
    <row r="590" ht="12.75" customHeight="1">
      <c r="A590" s="1"/>
      <c r="B590" s="7"/>
      <c r="C590" s="19"/>
      <c r="D590" s="7"/>
      <c r="E590" s="7"/>
      <c r="F590" s="19"/>
      <c r="G590" s="7"/>
      <c r="H590" s="7"/>
      <c r="M590" s="1"/>
      <c r="P590" s="19"/>
      <c r="Q590" s="81"/>
      <c r="R590" s="19"/>
      <c r="S590" s="1"/>
      <c r="T590" s="1"/>
    </row>
    <row r="591" ht="12.75" customHeight="1">
      <c r="A591" s="1"/>
      <c r="B591" s="7"/>
      <c r="C591" s="19"/>
      <c r="D591" s="7"/>
      <c r="E591" s="7"/>
      <c r="F591" s="19"/>
      <c r="G591" s="7"/>
      <c r="H591" s="7"/>
      <c r="M591" s="1"/>
      <c r="P591" s="19"/>
      <c r="Q591" s="81"/>
      <c r="R591" s="19"/>
      <c r="S591" s="1"/>
      <c r="T591" s="1"/>
    </row>
    <row r="592" ht="12.75" customHeight="1">
      <c r="A592" s="1"/>
      <c r="B592" s="7"/>
      <c r="C592" s="19"/>
      <c r="D592" s="7"/>
      <c r="E592" s="7"/>
      <c r="F592" s="19"/>
      <c r="G592" s="7"/>
      <c r="H592" s="7"/>
      <c r="M592" s="1"/>
      <c r="P592" s="19"/>
      <c r="Q592" s="81"/>
      <c r="R592" s="19"/>
      <c r="S592" s="1"/>
      <c r="T592" s="1"/>
    </row>
    <row r="593" ht="12.75" customHeight="1">
      <c r="A593" s="1"/>
      <c r="B593" s="7"/>
      <c r="C593" s="19"/>
      <c r="D593" s="7"/>
      <c r="E593" s="7"/>
      <c r="F593" s="19"/>
      <c r="G593" s="7"/>
      <c r="H593" s="7"/>
      <c r="M593" s="1"/>
      <c r="P593" s="19"/>
      <c r="Q593" s="81"/>
      <c r="R593" s="19"/>
      <c r="S593" s="1"/>
      <c r="T593" s="1"/>
    </row>
    <row r="594" ht="12.75" customHeight="1">
      <c r="A594" s="1"/>
      <c r="B594" s="7"/>
      <c r="C594" s="19"/>
      <c r="D594" s="7"/>
      <c r="E594" s="7"/>
      <c r="F594" s="19"/>
      <c r="G594" s="7"/>
      <c r="H594" s="7"/>
      <c r="M594" s="1"/>
      <c r="P594" s="19"/>
      <c r="Q594" s="81"/>
      <c r="R594" s="19"/>
      <c r="S594" s="1"/>
      <c r="T594" s="1"/>
    </row>
    <row r="595" ht="12.75" customHeight="1">
      <c r="A595" s="1"/>
      <c r="B595" s="7"/>
      <c r="C595" s="19"/>
      <c r="D595" s="7"/>
      <c r="E595" s="7"/>
      <c r="F595" s="19"/>
      <c r="G595" s="7"/>
      <c r="H595" s="7"/>
      <c r="M595" s="1"/>
      <c r="P595" s="19"/>
      <c r="Q595" s="81"/>
      <c r="R595" s="19"/>
      <c r="S595" s="1"/>
      <c r="T595" s="1"/>
    </row>
    <row r="596" ht="12.75" customHeight="1">
      <c r="A596" s="1"/>
      <c r="B596" s="7"/>
      <c r="C596" s="19"/>
      <c r="D596" s="7"/>
      <c r="E596" s="7"/>
      <c r="F596" s="19"/>
      <c r="G596" s="7"/>
      <c r="H596" s="7"/>
      <c r="M596" s="1"/>
      <c r="P596" s="19"/>
      <c r="Q596" s="81"/>
      <c r="R596" s="19"/>
      <c r="S596" s="1"/>
      <c r="T596" s="1"/>
    </row>
    <row r="597" ht="12.75" customHeight="1">
      <c r="A597" s="1"/>
      <c r="B597" s="7"/>
      <c r="C597" s="19"/>
      <c r="D597" s="7"/>
      <c r="E597" s="7"/>
      <c r="F597" s="19"/>
      <c r="G597" s="7"/>
      <c r="H597" s="7"/>
      <c r="M597" s="1"/>
      <c r="P597" s="19"/>
      <c r="Q597" s="81"/>
      <c r="R597" s="19"/>
      <c r="S597" s="1"/>
      <c r="T597" s="1"/>
    </row>
    <row r="598" ht="12.75" customHeight="1">
      <c r="A598" s="1"/>
      <c r="B598" s="7"/>
      <c r="C598" s="19"/>
      <c r="D598" s="7"/>
      <c r="E598" s="7"/>
      <c r="F598" s="19"/>
      <c r="G598" s="7"/>
      <c r="H598" s="7"/>
      <c r="M598" s="1"/>
      <c r="P598" s="19"/>
      <c r="Q598" s="81"/>
      <c r="R598" s="19"/>
      <c r="S598" s="1"/>
      <c r="T598" s="1"/>
    </row>
    <row r="599" ht="12.75" customHeight="1">
      <c r="A599" s="1"/>
      <c r="B599" s="7"/>
      <c r="C599" s="19"/>
      <c r="D599" s="7"/>
      <c r="E599" s="7"/>
      <c r="F599" s="19"/>
      <c r="G599" s="7"/>
      <c r="H599" s="7"/>
      <c r="M599" s="1"/>
      <c r="P599" s="19"/>
      <c r="Q599" s="81"/>
      <c r="R599" s="19"/>
      <c r="S599" s="1"/>
      <c r="T599" s="1"/>
    </row>
    <row r="600" ht="12.75" customHeight="1">
      <c r="A600" s="1"/>
      <c r="B600" s="7"/>
      <c r="C600" s="19"/>
      <c r="D600" s="7"/>
      <c r="E600" s="7"/>
      <c r="F600" s="19"/>
      <c r="G600" s="7"/>
      <c r="H600" s="7"/>
      <c r="M600" s="1"/>
      <c r="P600" s="19"/>
      <c r="Q600" s="81"/>
      <c r="R600" s="19"/>
      <c r="S600" s="1"/>
      <c r="T600" s="1"/>
    </row>
    <row r="601" ht="12.75" customHeight="1">
      <c r="A601" s="1"/>
      <c r="B601" s="7"/>
      <c r="C601" s="19"/>
      <c r="D601" s="7"/>
      <c r="E601" s="7"/>
      <c r="F601" s="19"/>
      <c r="G601" s="7"/>
      <c r="H601" s="7"/>
      <c r="M601" s="1"/>
      <c r="P601" s="19"/>
      <c r="Q601" s="81"/>
      <c r="R601" s="19"/>
      <c r="S601" s="1"/>
      <c r="T601" s="1"/>
    </row>
    <row r="602" ht="12.75" customHeight="1">
      <c r="A602" s="1"/>
      <c r="B602" s="7"/>
      <c r="C602" s="19"/>
      <c r="D602" s="7"/>
      <c r="E602" s="7"/>
      <c r="F602" s="19"/>
      <c r="G602" s="7"/>
      <c r="H602" s="7"/>
      <c r="M602" s="1"/>
      <c r="P602" s="19"/>
      <c r="Q602" s="81"/>
      <c r="R602" s="19"/>
      <c r="S602" s="1"/>
      <c r="T602" s="1"/>
    </row>
    <row r="603" ht="12.75" customHeight="1">
      <c r="A603" s="1"/>
      <c r="B603" s="7"/>
      <c r="C603" s="19"/>
      <c r="D603" s="7"/>
      <c r="E603" s="7"/>
      <c r="F603" s="19"/>
      <c r="G603" s="7"/>
      <c r="H603" s="7"/>
      <c r="M603" s="1"/>
      <c r="P603" s="19"/>
      <c r="Q603" s="81"/>
      <c r="R603" s="19"/>
      <c r="S603" s="1"/>
      <c r="T603" s="1"/>
    </row>
    <row r="604" ht="12.75" customHeight="1">
      <c r="A604" s="1"/>
      <c r="B604" s="7"/>
      <c r="C604" s="19"/>
      <c r="D604" s="7"/>
      <c r="E604" s="7"/>
      <c r="F604" s="19"/>
      <c r="G604" s="7"/>
      <c r="H604" s="7"/>
      <c r="M604" s="1"/>
      <c r="P604" s="19"/>
      <c r="Q604" s="81"/>
      <c r="R604" s="19"/>
      <c r="S604" s="1"/>
      <c r="T604" s="1"/>
    </row>
    <row r="605" ht="12.75" customHeight="1">
      <c r="A605" s="1"/>
      <c r="B605" s="7"/>
      <c r="C605" s="19"/>
      <c r="D605" s="7"/>
      <c r="E605" s="7"/>
      <c r="F605" s="19"/>
      <c r="G605" s="7"/>
      <c r="H605" s="7"/>
      <c r="M605" s="1"/>
      <c r="P605" s="19"/>
      <c r="Q605" s="81"/>
      <c r="R605" s="19"/>
      <c r="S605" s="1"/>
      <c r="T605" s="1"/>
    </row>
    <row r="606" ht="12.75" customHeight="1">
      <c r="A606" s="1"/>
      <c r="B606" s="7"/>
      <c r="C606" s="19"/>
      <c r="D606" s="7"/>
      <c r="E606" s="7"/>
      <c r="F606" s="19"/>
      <c r="G606" s="7"/>
      <c r="H606" s="7"/>
      <c r="M606" s="1"/>
      <c r="P606" s="19"/>
      <c r="Q606" s="81"/>
      <c r="R606" s="19"/>
      <c r="S606" s="1"/>
      <c r="T606" s="1"/>
    </row>
    <row r="607" ht="12.75" customHeight="1">
      <c r="A607" s="1"/>
      <c r="B607" s="7"/>
      <c r="C607" s="19"/>
      <c r="D607" s="7"/>
      <c r="E607" s="7"/>
      <c r="F607" s="19"/>
      <c r="G607" s="7"/>
      <c r="H607" s="7"/>
      <c r="M607" s="1"/>
      <c r="P607" s="19"/>
      <c r="Q607" s="81"/>
      <c r="R607" s="19"/>
      <c r="S607" s="1"/>
      <c r="T607" s="1"/>
    </row>
    <row r="608" ht="12.75" customHeight="1">
      <c r="A608" s="1"/>
      <c r="B608" s="7"/>
      <c r="C608" s="19"/>
      <c r="D608" s="7"/>
      <c r="E608" s="7"/>
      <c r="F608" s="19"/>
      <c r="G608" s="7"/>
      <c r="H608" s="7"/>
      <c r="M608" s="1"/>
      <c r="P608" s="19"/>
      <c r="Q608" s="81"/>
      <c r="R608" s="19"/>
      <c r="S608" s="1"/>
      <c r="T608" s="1"/>
    </row>
    <row r="609" ht="12.75" customHeight="1">
      <c r="A609" s="1"/>
      <c r="B609" s="7"/>
      <c r="C609" s="19"/>
      <c r="D609" s="7"/>
      <c r="E609" s="7"/>
      <c r="F609" s="19"/>
      <c r="G609" s="7"/>
      <c r="H609" s="7"/>
      <c r="M609" s="1"/>
      <c r="P609" s="19"/>
      <c r="Q609" s="81"/>
      <c r="R609" s="19"/>
      <c r="S609" s="1"/>
      <c r="T609" s="1"/>
    </row>
    <row r="610" ht="12.75" customHeight="1">
      <c r="A610" s="1"/>
      <c r="B610" s="7"/>
      <c r="C610" s="19"/>
      <c r="D610" s="7"/>
      <c r="E610" s="7"/>
      <c r="F610" s="19"/>
      <c r="G610" s="7"/>
      <c r="H610" s="7"/>
      <c r="M610" s="1"/>
      <c r="P610" s="19"/>
      <c r="Q610" s="81"/>
      <c r="R610" s="19"/>
      <c r="S610" s="1"/>
      <c r="T610" s="1"/>
    </row>
    <row r="611" ht="12.75" customHeight="1">
      <c r="A611" s="1"/>
      <c r="B611" s="7"/>
      <c r="C611" s="19"/>
      <c r="D611" s="7"/>
      <c r="E611" s="7"/>
      <c r="F611" s="19"/>
      <c r="G611" s="7"/>
      <c r="H611" s="7"/>
      <c r="M611" s="1"/>
      <c r="P611" s="19"/>
      <c r="Q611" s="81"/>
      <c r="R611" s="19"/>
      <c r="S611" s="1"/>
      <c r="T611" s="1"/>
    </row>
    <row r="612" ht="12.75" customHeight="1">
      <c r="A612" s="1"/>
      <c r="B612" s="7"/>
      <c r="C612" s="19"/>
      <c r="D612" s="7"/>
      <c r="E612" s="7"/>
      <c r="F612" s="19"/>
      <c r="G612" s="7"/>
      <c r="H612" s="7"/>
      <c r="M612" s="1"/>
      <c r="P612" s="19"/>
      <c r="Q612" s="81"/>
      <c r="R612" s="19"/>
      <c r="S612" s="1"/>
      <c r="T612" s="1"/>
    </row>
    <row r="613" ht="12.75" customHeight="1">
      <c r="A613" s="1"/>
      <c r="B613" s="7"/>
      <c r="C613" s="19"/>
      <c r="D613" s="7"/>
      <c r="E613" s="7"/>
      <c r="F613" s="19"/>
      <c r="G613" s="7"/>
      <c r="H613" s="7"/>
      <c r="M613" s="1"/>
      <c r="P613" s="19"/>
      <c r="Q613" s="81"/>
      <c r="R613" s="19"/>
      <c r="S613" s="1"/>
      <c r="T613" s="1"/>
    </row>
    <row r="614" ht="12.75" customHeight="1">
      <c r="A614" s="1"/>
      <c r="B614" s="7"/>
      <c r="C614" s="19"/>
      <c r="D614" s="7"/>
      <c r="E614" s="7"/>
      <c r="F614" s="19"/>
      <c r="G614" s="7"/>
      <c r="H614" s="7"/>
      <c r="M614" s="1"/>
      <c r="P614" s="19"/>
      <c r="Q614" s="81"/>
      <c r="R614" s="19"/>
      <c r="S614" s="1"/>
      <c r="T614" s="1"/>
    </row>
    <row r="615" ht="12.75" customHeight="1">
      <c r="A615" s="1"/>
      <c r="B615" s="7"/>
      <c r="C615" s="19"/>
      <c r="D615" s="7"/>
      <c r="E615" s="7"/>
      <c r="F615" s="19"/>
      <c r="G615" s="7"/>
      <c r="H615" s="7"/>
      <c r="M615" s="1"/>
      <c r="P615" s="19"/>
      <c r="Q615" s="81"/>
      <c r="R615" s="19"/>
      <c r="S615" s="1"/>
      <c r="T615" s="1"/>
    </row>
    <row r="616" ht="12.75" customHeight="1">
      <c r="A616" s="1"/>
      <c r="B616" s="7"/>
      <c r="C616" s="19"/>
      <c r="D616" s="7"/>
      <c r="E616" s="7"/>
      <c r="F616" s="19"/>
      <c r="G616" s="7"/>
      <c r="H616" s="7"/>
      <c r="M616" s="1"/>
      <c r="P616" s="19"/>
      <c r="Q616" s="81"/>
      <c r="R616" s="19"/>
      <c r="S616" s="1"/>
      <c r="T616" s="1"/>
    </row>
    <row r="617" ht="12.75" customHeight="1">
      <c r="A617" s="1"/>
      <c r="B617" s="7"/>
      <c r="C617" s="19"/>
      <c r="D617" s="7"/>
      <c r="E617" s="7"/>
      <c r="F617" s="19"/>
      <c r="G617" s="7"/>
      <c r="H617" s="7"/>
      <c r="M617" s="1"/>
      <c r="P617" s="19"/>
      <c r="Q617" s="81"/>
      <c r="R617" s="19"/>
      <c r="S617" s="1"/>
      <c r="T617" s="1"/>
    </row>
    <row r="618" ht="12.75" customHeight="1">
      <c r="A618" s="1"/>
      <c r="B618" s="7"/>
      <c r="C618" s="19"/>
      <c r="D618" s="7"/>
      <c r="E618" s="7"/>
      <c r="F618" s="19"/>
      <c r="G618" s="7"/>
      <c r="H618" s="7"/>
      <c r="M618" s="1"/>
      <c r="P618" s="19"/>
      <c r="Q618" s="81"/>
      <c r="R618" s="19"/>
      <c r="S618" s="1"/>
      <c r="T618" s="1"/>
    </row>
    <row r="619" ht="12.75" customHeight="1">
      <c r="A619" s="1"/>
      <c r="B619" s="7"/>
      <c r="C619" s="19"/>
      <c r="D619" s="7"/>
      <c r="E619" s="7"/>
      <c r="F619" s="19"/>
      <c r="G619" s="7"/>
      <c r="H619" s="7"/>
      <c r="M619" s="1"/>
      <c r="P619" s="19"/>
      <c r="Q619" s="81"/>
      <c r="R619" s="19"/>
      <c r="S619" s="1"/>
      <c r="T619" s="1"/>
    </row>
    <row r="620" ht="12.75" customHeight="1">
      <c r="A620" s="1"/>
      <c r="B620" s="7"/>
      <c r="C620" s="19"/>
      <c r="D620" s="7"/>
      <c r="E620" s="7"/>
      <c r="F620" s="19"/>
      <c r="G620" s="7"/>
      <c r="H620" s="7"/>
      <c r="M620" s="1"/>
      <c r="P620" s="19"/>
      <c r="Q620" s="81"/>
      <c r="R620" s="19"/>
      <c r="S620" s="1"/>
      <c r="T620" s="1"/>
    </row>
    <row r="621" ht="12.75" customHeight="1">
      <c r="A621" s="1"/>
      <c r="B621" s="7"/>
      <c r="C621" s="19"/>
      <c r="D621" s="7"/>
      <c r="E621" s="7"/>
      <c r="F621" s="19"/>
      <c r="G621" s="7"/>
      <c r="H621" s="7"/>
      <c r="M621" s="1"/>
      <c r="P621" s="19"/>
      <c r="Q621" s="81"/>
      <c r="R621" s="19"/>
      <c r="S621" s="1"/>
      <c r="T621" s="1"/>
    </row>
    <row r="622" ht="12.75" customHeight="1">
      <c r="A622" s="1"/>
      <c r="B622" s="7"/>
      <c r="C622" s="19"/>
      <c r="D622" s="7"/>
      <c r="E622" s="7"/>
      <c r="F622" s="19"/>
      <c r="G622" s="7"/>
      <c r="H622" s="7"/>
      <c r="M622" s="1"/>
      <c r="P622" s="19"/>
      <c r="Q622" s="81"/>
      <c r="R622" s="19"/>
      <c r="S622" s="1"/>
      <c r="T622" s="1"/>
    </row>
    <row r="623" ht="12.75" customHeight="1">
      <c r="A623" s="1"/>
      <c r="B623" s="7"/>
      <c r="C623" s="19"/>
      <c r="D623" s="7"/>
      <c r="E623" s="7"/>
      <c r="F623" s="19"/>
      <c r="G623" s="7"/>
      <c r="H623" s="7"/>
      <c r="M623" s="1"/>
      <c r="P623" s="19"/>
      <c r="Q623" s="81"/>
      <c r="R623" s="19"/>
      <c r="S623" s="1"/>
      <c r="T623" s="1"/>
    </row>
    <row r="624" ht="12.75" customHeight="1">
      <c r="A624" s="1"/>
      <c r="B624" s="7"/>
      <c r="C624" s="19"/>
      <c r="D624" s="7"/>
      <c r="E624" s="7"/>
      <c r="F624" s="19"/>
      <c r="G624" s="7"/>
      <c r="H624" s="7"/>
      <c r="M624" s="1"/>
      <c r="P624" s="19"/>
      <c r="Q624" s="81"/>
      <c r="R624" s="19"/>
      <c r="S624" s="1"/>
      <c r="T624" s="1"/>
    </row>
    <row r="625" ht="12.75" customHeight="1">
      <c r="A625" s="1"/>
      <c r="B625" s="7"/>
      <c r="C625" s="19"/>
      <c r="D625" s="7"/>
      <c r="E625" s="7"/>
      <c r="F625" s="19"/>
      <c r="G625" s="7"/>
      <c r="H625" s="7"/>
      <c r="M625" s="1"/>
      <c r="P625" s="19"/>
      <c r="Q625" s="81"/>
      <c r="R625" s="19"/>
      <c r="S625" s="1"/>
      <c r="T625" s="1"/>
    </row>
    <row r="626" ht="12.75" customHeight="1">
      <c r="A626" s="1"/>
      <c r="B626" s="7"/>
      <c r="C626" s="19"/>
      <c r="D626" s="7"/>
      <c r="E626" s="7"/>
      <c r="F626" s="19"/>
      <c r="G626" s="7"/>
      <c r="H626" s="7"/>
      <c r="M626" s="1"/>
      <c r="P626" s="19"/>
      <c r="Q626" s="81"/>
      <c r="R626" s="19"/>
      <c r="S626" s="1"/>
      <c r="T626" s="1"/>
    </row>
    <row r="627" ht="12.75" customHeight="1">
      <c r="A627" s="1"/>
      <c r="B627" s="7"/>
      <c r="C627" s="19"/>
      <c r="D627" s="7"/>
      <c r="E627" s="7"/>
      <c r="F627" s="19"/>
      <c r="G627" s="7"/>
      <c r="H627" s="7"/>
      <c r="M627" s="1"/>
      <c r="P627" s="19"/>
      <c r="Q627" s="81"/>
      <c r="R627" s="19"/>
      <c r="S627" s="1"/>
      <c r="T627" s="1"/>
    </row>
    <row r="628" ht="12.75" customHeight="1">
      <c r="A628" s="1"/>
      <c r="B628" s="7"/>
      <c r="C628" s="19"/>
      <c r="D628" s="7"/>
      <c r="E628" s="7"/>
      <c r="F628" s="19"/>
      <c r="G628" s="7"/>
      <c r="H628" s="7"/>
      <c r="M628" s="1"/>
      <c r="P628" s="19"/>
      <c r="Q628" s="81"/>
      <c r="R628" s="19"/>
      <c r="S628" s="1"/>
      <c r="T628" s="1"/>
    </row>
    <row r="629" ht="12.75" customHeight="1">
      <c r="A629" s="1"/>
      <c r="B629" s="7"/>
      <c r="C629" s="19"/>
      <c r="D629" s="7"/>
      <c r="E629" s="7"/>
      <c r="F629" s="19"/>
      <c r="G629" s="7"/>
      <c r="H629" s="7"/>
      <c r="M629" s="1"/>
      <c r="P629" s="19"/>
      <c r="Q629" s="81"/>
      <c r="R629" s="19"/>
      <c r="S629" s="1"/>
      <c r="T629" s="1"/>
    </row>
    <row r="630" ht="12.75" customHeight="1">
      <c r="A630" s="1"/>
      <c r="B630" s="7"/>
      <c r="C630" s="19"/>
      <c r="D630" s="7"/>
      <c r="E630" s="7"/>
      <c r="F630" s="19"/>
      <c r="G630" s="7"/>
      <c r="H630" s="7"/>
      <c r="M630" s="1"/>
      <c r="P630" s="19"/>
      <c r="Q630" s="81"/>
      <c r="R630" s="19"/>
      <c r="S630" s="1"/>
      <c r="T630" s="1"/>
    </row>
    <row r="631" ht="12.75" customHeight="1">
      <c r="A631" s="1"/>
      <c r="B631" s="7"/>
      <c r="C631" s="19"/>
      <c r="D631" s="7"/>
      <c r="E631" s="7"/>
      <c r="F631" s="19"/>
      <c r="G631" s="7"/>
      <c r="H631" s="7"/>
      <c r="M631" s="1"/>
      <c r="P631" s="19"/>
      <c r="Q631" s="81"/>
      <c r="R631" s="19"/>
      <c r="S631" s="1"/>
      <c r="T631" s="1"/>
    </row>
    <row r="632" ht="12.75" customHeight="1">
      <c r="A632" s="1"/>
      <c r="B632" s="7"/>
      <c r="C632" s="19"/>
      <c r="D632" s="7"/>
      <c r="E632" s="7"/>
      <c r="F632" s="19"/>
      <c r="G632" s="7"/>
      <c r="H632" s="7"/>
      <c r="M632" s="1"/>
      <c r="P632" s="19"/>
      <c r="Q632" s="81"/>
      <c r="R632" s="19"/>
      <c r="S632" s="1"/>
      <c r="T632" s="1"/>
    </row>
    <row r="633" ht="12.75" customHeight="1">
      <c r="A633" s="1"/>
      <c r="B633" s="7"/>
      <c r="C633" s="19"/>
      <c r="D633" s="7"/>
      <c r="E633" s="7"/>
      <c r="F633" s="19"/>
      <c r="G633" s="7"/>
      <c r="H633" s="7"/>
      <c r="M633" s="1"/>
      <c r="P633" s="19"/>
      <c r="Q633" s="81"/>
      <c r="R633" s="19"/>
      <c r="S633" s="1"/>
      <c r="T633" s="1"/>
    </row>
    <row r="634" ht="12.75" customHeight="1">
      <c r="A634" s="1"/>
      <c r="B634" s="7"/>
      <c r="C634" s="19"/>
      <c r="D634" s="7"/>
      <c r="E634" s="7"/>
      <c r="F634" s="19"/>
      <c r="G634" s="7"/>
      <c r="H634" s="7"/>
      <c r="M634" s="1"/>
      <c r="P634" s="19"/>
      <c r="Q634" s="81"/>
      <c r="R634" s="19"/>
      <c r="S634" s="1"/>
      <c r="T634" s="1"/>
    </row>
    <row r="635" ht="12.75" customHeight="1">
      <c r="A635" s="1"/>
      <c r="B635" s="7"/>
      <c r="C635" s="19"/>
      <c r="D635" s="7"/>
      <c r="E635" s="7"/>
      <c r="F635" s="19"/>
      <c r="G635" s="7"/>
      <c r="H635" s="7"/>
      <c r="M635" s="1"/>
      <c r="P635" s="19"/>
      <c r="Q635" s="81"/>
      <c r="R635" s="19"/>
      <c r="S635" s="1"/>
      <c r="T635" s="1"/>
    </row>
    <row r="636" ht="12.75" customHeight="1">
      <c r="A636" s="1"/>
      <c r="B636" s="7"/>
      <c r="C636" s="19"/>
      <c r="D636" s="7"/>
      <c r="E636" s="7"/>
      <c r="F636" s="19"/>
      <c r="G636" s="7"/>
      <c r="H636" s="7"/>
      <c r="M636" s="1"/>
      <c r="P636" s="19"/>
      <c r="Q636" s="81"/>
      <c r="R636" s="19"/>
      <c r="S636" s="1"/>
      <c r="T636" s="1"/>
    </row>
    <row r="637" ht="12.75" customHeight="1">
      <c r="A637" s="1"/>
      <c r="B637" s="7"/>
      <c r="C637" s="19"/>
      <c r="D637" s="7"/>
      <c r="E637" s="7"/>
      <c r="F637" s="19"/>
      <c r="G637" s="7"/>
      <c r="H637" s="7"/>
      <c r="M637" s="1"/>
      <c r="P637" s="19"/>
      <c r="Q637" s="81"/>
      <c r="R637" s="19"/>
      <c r="S637" s="1"/>
      <c r="T637" s="1"/>
    </row>
    <row r="638" ht="12.75" customHeight="1">
      <c r="A638" s="1"/>
      <c r="B638" s="7"/>
      <c r="C638" s="19"/>
      <c r="D638" s="7"/>
      <c r="E638" s="7"/>
      <c r="F638" s="19"/>
      <c r="G638" s="7"/>
      <c r="H638" s="7"/>
      <c r="M638" s="1"/>
      <c r="P638" s="19"/>
      <c r="Q638" s="81"/>
      <c r="R638" s="19"/>
      <c r="S638" s="1"/>
      <c r="T638" s="1"/>
    </row>
    <row r="639" ht="12.75" customHeight="1">
      <c r="A639" s="1"/>
      <c r="B639" s="7"/>
      <c r="C639" s="19"/>
      <c r="D639" s="7"/>
      <c r="E639" s="7"/>
      <c r="F639" s="19"/>
      <c r="G639" s="7"/>
      <c r="H639" s="7"/>
      <c r="M639" s="1"/>
      <c r="P639" s="19"/>
      <c r="Q639" s="81"/>
      <c r="R639" s="19"/>
      <c r="S639" s="1"/>
      <c r="T639" s="1"/>
    </row>
    <row r="640" ht="12.75" customHeight="1">
      <c r="A640" s="1"/>
      <c r="B640" s="7"/>
      <c r="C640" s="19"/>
      <c r="D640" s="7"/>
      <c r="E640" s="7"/>
      <c r="F640" s="19"/>
      <c r="G640" s="7"/>
      <c r="H640" s="7"/>
      <c r="M640" s="1"/>
      <c r="P640" s="19"/>
      <c r="Q640" s="81"/>
      <c r="R640" s="19"/>
      <c r="S640" s="1"/>
      <c r="T640" s="1"/>
    </row>
    <row r="641" ht="12.75" customHeight="1">
      <c r="A641" s="1"/>
      <c r="B641" s="7"/>
      <c r="C641" s="19"/>
      <c r="D641" s="7"/>
      <c r="E641" s="7"/>
      <c r="F641" s="19"/>
      <c r="G641" s="7"/>
      <c r="H641" s="7"/>
      <c r="M641" s="1"/>
      <c r="P641" s="19"/>
      <c r="Q641" s="81"/>
      <c r="R641" s="19"/>
      <c r="S641" s="1"/>
      <c r="T641" s="1"/>
    </row>
    <row r="642" ht="12.75" customHeight="1">
      <c r="A642" s="1"/>
      <c r="B642" s="7"/>
      <c r="C642" s="19"/>
      <c r="D642" s="7"/>
      <c r="E642" s="7"/>
      <c r="F642" s="19"/>
      <c r="G642" s="7"/>
      <c r="H642" s="7"/>
      <c r="M642" s="1"/>
      <c r="P642" s="19"/>
      <c r="Q642" s="81"/>
      <c r="R642" s="19"/>
      <c r="S642" s="1"/>
      <c r="T642" s="1"/>
    </row>
    <row r="643" ht="12.75" customHeight="1">
      <c r="A643" s="1"/>
      <c r="B643" s="7"/>
      <c r="C643" s="19"/>
      <c r="D643" s="7"/>
      <c r="E643" s="7"/>
      <c r="F643" s="19"/>
      <c r="G643" s="7"/>
      <c r="H643" s="7"/>
      <c r="M643" s="1"/>
      <c r="P643" s="19"/>
      <c r="Q643" s="81"/>
      <c r="R643" s="19"/>
      <c r="S643" s="1"/>
      <c r="T643" s="1"/>
    </row>
    <row r="644" ht="12.75" customHeight="1">
      <c r="A644" s="1"/>
      <c r="B644" s="7"/>
      <c r="C644" s="19"/>
      <c r="D644" s="7"/>
      <c r="E644" s="7"/>
      <c r="F644" s="19"/>
      <c r="G644" s="7"/>
      <c r="H644" s="7"/>
      <c r="M644" s="1"/>
      <c r="P644" s="19"/>
      <c r="Q644" s="81"/>
      <c r="R644" s="19"/>
      <c r="S644" s="1"/>
      <c r="T644" s="1"/>
    </row>
    <row r="645" ht="12.75" customHeight="1">
      <c r="A645" s="1"/>
      <c r="B645" s="7"/>
      <c r="C645" s="19"/>
      <c r="D645" s="7"/>
      <c r="E645" s="7"/>
      <c r="F645" s="19"/>
      <c r="G645" s="7"/>
      <c r="H645" s="7"/>
      <c r="M645" s="1"/>
      <c r="P645" s="19"/>
      <c r="Q645" s="81"/>
      <c r="R645" s="19"/>
      <c r="S645" s="1"/>
      <c r="T645" s="1"/>
    </row>
    <row r="646" ht="12.75" customHeight="1">
      <c r="A646" s="1"/>
      <c r="B646" s="7"/>
      <c r="C646" s="19"/>
      <c r="D646" s="7"/>
      <c r="E646" s="7"/>
      <c r="F646" s="19"/>
      <c r="G646" s="7"/>
      <c r="H646" s="7"/>
      <c r="M646" s="1"/>
      <c r="P646" s="19"/>
      <c r="Q646" s="81"/>
      <c r="R646" s="19"/>
      <c r="S646" s="1"/>
      <c r="T646" s="1"/>
    </row>
    <row r="647" ht="12.75" customHeight="1">
      <c r="A647" s="1"/>
      <c r="B647" s="7"/>
      <c r="C647" s="19"/>
      <c r="D647" s="7"/>
      <c r="E647" s="7"/>
      <c r="F647" s="19"/>
      <c r="G647" s="7"/>
      <c r="H647" s="7"/>
      <c r="M647" s="1"/>
      <c r="P647" s="19"/>
      <c r="Q647" s="81"/>
      <c r="R647" s="19"/>
      <c r="S647" s="1"/>
      <c r="T647" s="1"/>
    </row>
    <row r="648" ht="12.75" customHeight="1">
      <c r="A648" s="1"/>
      <c r="B648" s="7"/>
      <c r="C648" s="19"/>
      <c r="D648" s="7"/>
      <c r="E648" s="7"/>
      <c r="F648" s="19"/>
      <c r="G648" s="7"/>
      <c r="H648" s="7"/>
      <c r="M648" s="1"/>
      <c r="P648" s="19"/>
      <c r="Q648" s="81"/>
      <c r="R648" s="19"/>
      <c r="S648" s="1"/>
      <c r="T648" s="1"/>
    </row>
    <row r="649" ht="12.75" customHeight="1">
      <c r="A649" s="1"/>
      <c r="B649" s="7"/>
      <c r="C649" s="19"/>
      <c r="D649" s="7"/>
      <c r="E649" s="7"/>
      <c r="F649" s="19"/>
      <c r="G649" s="7"/>
      <c r="H649" s="7"/>
      <c r="M649" s="1"/>
      <c r="P649" s="19"/>
      <c r="Q649" s="81"/>
      <c r="R649" s="19"/>
      <c r="S649" s="1"/>
      <c r="T649" s="1"/>
    </row>
    <row r="650" ht="12.75" customHeight="1">
      <c r="A650" s="1"/>
      <c r="B650" s="7"/>
      <c r="C650" s="19"/>
      <c r="D650" s="7"/>
      <c r="E650" s="7"/>
      <c r="F650" s="19"/>
      <c r="G650" s="7"/>
      <c r="H650" s="7"/>
      <c r="M650" s="1"/>
      <c r="P650" s="19"/>
      <c r="Q650" s="81"/>
      <c r="R650" s="19"/>
      <c r="S650" s="1"/>
      <c r="T650" s="1"/>
    </row>
    <row r="651" ht="12.75" customHeight="1">
      <c r="A651" s="1"/>
      <c r="B651" s="7"/>
      <c r="C651" s="19"/>
      <c r="D651" s="7"/>
      <c r="E651" s="7"/>
      <c r="F651" s="19"/>
      <c r="G651" s="7"/>
      <c r="H651" s="7"/>
      <c r="M651" s="1"/>
      <c r="P651" s="19"/>
      <c r="Q651" s="81"/>
      <c r="R651" s="19"/>
      <c r="S651" s="1"/>
      <c r="T651" s="1"/>
    </row>
    <row r="652" ht="12.75" customHeight="1">
      <c r="A652" s="1"/>
      <c r="B652" s="7"/>
      <c r="C652" s="19"/>
      <c r="D652" s="7"/>
      <c r="E652" s="7"/>
      <c r="F652" s="19"/>
      <c r="G652" s="7"/>
      <c r="H652" s="7"/>
      <c r="M652" s="1"/>
      <c r="P652" s="19"/>
      <c r="Q652" s="81"/>
      <c r="R652" s="19"/>
      <c r="S652" s="1"/>
      <c r="T652" s="1"/>
    </row>
    <row r="653" ht="12.75" customHeight="1">
      <c r="A653" s="1"/>
      <c r="B653" s="7"/>
      <c r="C653" s="19"/>
      <c r="D653" s="7"/>
      <c r="E653" s="7"/>
      <c r="F653" s="19"/>
      <c r="G653" s="7"/>
      <c r="H653" s="7"/>
      <c r="M653" s="1"/>
      <c r="P653" s="19"/>
      <c r="Q653" s="81"/>
      <c r="R653" s="19"/>
      <c r="S653" s="1"/>
      <c r="T653" s="1"/>
    </row>
    <row r="654" ht="12.75" customHeight="1">
      <c r="A654" s="1"/>
      <c r="B654" s="7"/>
      <c r="C654" s="19"/>
      <c r="D654" s="7"/>
      <c r="E654" s="7"/>
      <c r="F654" s="19"/>
      <c r="G654" s="7"/>
      <c r="H654" s="7"/>
      <c r="M654" s="1"/>
      <c r="P654" s="19"/>
      <c r="Q654" s="81"/>
      <c r="R654" s="19"/>
      <c r="S654" s="1"/>
      <c r="T654" s="1"/>
    </row>
    <row r="655" ht="12.75" customHeight="1">
      <c r="A655" s="1"/>
      <c r="B655" s="7"/>
      <c r="C655" s="19"/>
      <c r="D655" s="7"/>
      <c r="E655" s="7"/>
      <c r="F655" s="19"/>
      <c r="G655" s="7"/>
      <c r="H655" s="7"/>
      <c r="M655" s="1"/>
      <c r="P655" s="19"/>
      <c r="Q655" s="81"/>
      <c r="R655" s="19"/>
      <c r="S655" s="1"/>
      <c r="T655" s="1"/>
    </row>
    <row r="656" ht="12.75" customHeight="1">
      <c r="A656" s="1"/>
      <c r="B656" s="7"/>
      <c r="C656" s="19"/>
      <c r="D656" s="7"/>
      <c r="E656" s="7"/>
      <c r="F656" s="19"/>
      <c r="G656" s="7"/>
      <c r="H656" s="7"/>
      <c r="M656" s="1"/>
      <c r="P656" s="19"/>
      <c r="Q656" s="81"/>
      <c r="R656" s="19"/>
      <c r="S656" s="1"/>
      <c r="T656" s="1"/>
    </row>
    <row r="657" ht="12.75" customHeight="1">
      <c r="A657" s="1"/>
      <c r="B657" s="7"/>
      <c r="C657" s="19"/>
      <c r="D657" s="7"/>
      <c r="E657" s="7"/>
      <c r="F657" s="19"/>
      <c r="G657" s="7"/>
      <c r="H657" s="7"/>
      <c r="M657" s="1"/>
      <c r="P657" s="19"/>
      <c r="Q657" s="81"/>
      <c r="R657" s="19"/>
      <c r="S657" s="1"/>
      <c r="T657" s="1"/>
    </row>
    <row r="658" ht="12.75" customHeight="1">
      <c r="A658" s="1"/>
      <c r="B658" s="7"/>
      <c r="C658" s="19"/>
      <c r="D658" s="7"/>
      <c r="E658" s="7"/>
      <c r="F658" s="19"/>
      <c r="G658" s="7"/>
      <c r="H658" s="7"/>
      <c r="M658" s="1"/>
      <c r="P658" s="19"/>
      <c r="Q658" s="81"/>
      <c r="R658" s="19"/>
      <c r="S658" s="1"/>
      <c r="T658" s="1"/>
    </row>
    <row r="659" ht="12.75" customHeight="1">
      <c r="A659" s="1"/>
      <c r="B659" s="7"/>
      <c r="C659" s="19"/>
      <c r="D659" s="7"/>
      <c r="E659" s="7"/>
      <c r="F659" s="19"/>
      <c r="G659" s="7"/>
      <c r="H659" s="7"/>
      <c r="M659" s="1"/>
      <c r="P659" s="19"/>
      <c r="Q659" s="81"/>
      <c r="R659" s="19"/>
      <c r="S659" s="1"/>
      <c r="T659" s="1"/>
    </row>
    <row r="660" ht="12.75" customHeight="1">
      <c r="A660" s="1"/>
      <c r="B660" s="7"/>
      <c r="C660" s="19"/>
      <c r="D660" s="7"/>
      <c r="E660" s="7"/>
      <c r="F660" s="19"/>
      <c r="G660" s="7"/>
      <c r="H660" s="7"/>
      <c r="M660" s="1"/>
      <c r="P660" s="19"/>
      <c r="Q660" s="81"/>
      <c r="R660" s="19"/>
      <c r="S660" s="1"/>
      <c r="T660" s="1"/>
    </row>
    <row r="661" ht="12.75" customHeight="1">
      <c r="A661" s="1"/>
      <c r="B661" s="7"/>
      <c r="C661" s="19"/>
      <c r="D661" s="7"/>
      <c r="E661" s="7"/>
      <c r="F661" s="19"/>
      <c r="G661" s="7"/>
      <c r="H661" s="7"/>
      <c r="M661" s="1"/>
      <c r="P661" s="19"/>
      <c r="Q661" s="81"/>
      <c r="R661" s="19"/>
      <c r="S661" s="1"/>
      <c r="T661" s="1"/>
    </row>
    <row r="662" ht="12.75" customHeight="1">
      <c r="A662" s="1"/>
      <c r="B662" s="7"/>
      <c r="C662" s="19"/>
      <c r="D662" s="7"/>
      <c r="E662" s="7"/>
      <c r="F662" s="19"/>
      <c r="G662" s="7"/>
      <c r="H662" s="7"/>
      <c r="M662" s="1"/>
      <c r="P662" s="19"/>
      <c r="Q662" s="81"/>
      <c r="R662" s="19"/>
      <c r="S662" s="1"/>
      <c r="T662" s="1"/>
    </row>
    <row r="663" ht="12.75" customHeight="1">
      <c r="A663" s="1"/>
      <c r="B663" s="7"/>
      <c r="C663" s="19"/>
      <c r="D663" s="7"/>
      <c r="E663" s="7"/>
      <c r="F663" s="19"/>
      <c r="G663" s="7"/>
      <c r="H663" s="7"/>
      <c r="M663" s="1"/>
      <c r="P663" s="19"/>
      <c r="Q663" s="81"/>
      <c r="R663" s="19"/>
      <c r="S663" s="1"/>
      <c r="T663" s="1"/>
    </row>
    <row r="664" ht="12.75" customHeight="1">
      <c r="A664" s="1"/>
      <c r="B664" s="7"/>
      <c r="C664" s="19"/>
      <c r="D664" s="7"/>
      <c r="E664" s="7"/>
      <c r="F664" s="19"/>
      <c r="G664" s="7"/>
      <c r="H664" s="7"/>
      <c r="M664" s="1"/>
      <c r="P664" s="19"/>
      <c r="Q664" s="81"/>
      <c r="R664" s="19"/>
      <c r="S664" s="1"/>
      <c r="T664" s="1"/>
    </row>
    <row r="665" ht="12.75" customHeight="1">
      <c r="A665" s="1"/>
      <c r="B665" s="7"/>
      <c r="C665" s="19"/>
      <c r="D665" s="7"/>
      <c r="E665" s="7"/>
      <c r="F665" s="19"/>
      <c r="G665" s="7"/>
      <c r="H665" s="7"/>
      <c r="M665" s="1"/>
      <c r="P665" s="19"/>
      <c r="Q665" s="81"/>
      <c r="R665" s="19"/>
      <c r="S665" s="1"/>
      <c r="T665" s="1"/>
    </row>
    <row r="666" ht="12.75" customHeight="1">
      <c r="A666" s="1"/>
      <c r="B666" s="7"/>
      <c r="C666" s="19"/>
      <c r="D666" s="7"/>
      <c r="E666" s="7"/>
      <c r="F666" s="19"/>
      <c r="G666" s="7"/>
      <c r="H666" s="7"/>
      <c r="M666" s="1"/>
      <c r="P666" s="19"/>
      <c r="Q666" s="81"/>
      <c r="R666" s="19"/>
      <c r="S666" s="1"/>
      <c r="T666" s="1"/>
    </row>
    <row r="667" ht="12.75" customHeight="1">
      <c r="A667" s="1"/>
      <c r="B667" s="7"/>
      <c r="C667" s="19"/>
      <c r="D667" s="7"/>
      <c r="E667" s="7"/>
      <c r="F667" s="19"/>
      <c r="G667" s="7"/>
      <c r="H667" s="7"/>
      <c r="M667" s="1"/>
      <c r="P667" s="19"/>
      <c r="Q667" s="81"/>
      <c r="R667" s="19"/>
      <c r="S667" s="1"/>
      <c r="T667" s="1"/>
    </row>
    <row r="668" ht="12.75" customHeight="1">
      <c r="A668" s="1"/>
      <c r="B668" s="7"/>
      <c r="C668" s="19"/>
      <c r="D668" s="7"/>
      <c r="E668" s="7"/>
      <c r="F668" s="19"/>
      <c r="G668" s="7"/>
      <c r="H668" s="7"/>
      <c r="M668" s="1"/>
      <c r="P668" s="19"/>
      <c r="Q668" s="81"/>
      <c r="R668" s="19"/>
      <c r="S668" s="1"/>
      <c r="T668" s="1"/>
    </row>
    <row r="669" ht="12.75" customHeight="1">
      <c r="A669" s="1"/>
      <c r="B669" s="7"/>
      <c r="C669" s="19"/>
      <c r="D669" s="7"/>
      <c r="E669" s="7"/>
      <c r="F669" s="19"/>
      <c r="G669" s="7"/>
      <c r="H669" s="7"/>
      <c r="M669" s="1"/>
      <c r="P669" s="19"/>
      <c r="Q669" s="81"/>
      <c r="R669" s="19"/>
      <c r="S669" s="1"/>
      <c r="T669" s="1"/>
    </row>
    <row r="670" ht="12.75" customHeight="1">
      <c r="A670" s="1"/>
      <c r="B670" s="7"/>
      <c r="C670" s="19"/>
      <c r="D670" s="7"/>
      <c r="E670" s="7"/>
      <c r="F670" s="19"/>
      <c r="G670" s="7"/>
      <c r="H670" s="7"/>
      <c r="M670" s="1"/>
      <c r="P670" s="19"/>
      <c r="Q670" s="81"/>
      <c r="R670" s="19"/>
      <c r="S670" s="1"/>
      <c r="T670" s="1"/>
    </row>
    <row r="671" ht="12.75" customHeight="1">
      <c r="A671" s="1"/>
      <c r="B671" s="7"/>
      <c r="C671" s="19"/>
      <c r="D671" s="7"/>
      <c r="E671" s="7"/>
      <c r="F671" s="19"/>
      <c r="G671" s="7"/>
      <c r="H671" s="7"/>
      <c r="M671" s="1"/>
      <c r="P671" s="19"/>
      <c r="Q671" s="81"/>
      <c r="R671" s="19"/>
      <c r="S671" s="1"/>
      <c r="T671" s="1"/>
    </row>
    <row r="672" ht="12.75" customHeight="1">
      <c r="A672" s="1"/>
      <c r="B672" s="7"/>
      <c r="C672" s="19"/>
      <c r="D672" s="7"/>
      <c r="E672" s="7"/>
      <c r="F672" s="19"/>
      <c r="G672" s="7"/>
      <c r="H672" s="7"/>
      <c r="M672" s="1"/>
      <c r="P672" s="19"/>
      <c r="Q672" s="81"/>
      <c r="R672" s="19"/>
      <c r="S672" s="1"/>
      <c r="T672" s="1"/>
    </row>
    <row r="673" ht="12.75" customHeight="1">
      <c r="A673" s="1"/>
      <c r="B673" s="7"/>
      <c r="C673" s="19"/>
      <c r="D673" s="7"/>
      <c r="E673" s="7"/>
      <c r="F673" s="19"/>
      <c r="G673" s="7"/>
      <c r="H673" s="7"/>
      <c r="M673" s="1"/>
      <c r="P673" s="19"/>
      <c r="Q673" s="81"/>
      <c r="R673" s="19"/>
      <c r="S673" s="1"/>
      <c r="T673" s="1"/>
    </row>
    <row r="674" ht="12.75" customHeight="1">
      <c r="A674" s="1"/>
      <c r="B674" s="7"/>
      <c r="C674" s="19"/>
      <c r="D674" s="7"/>
      <c r="E674" s="7"/>
      <c r="F674" s="19"/>
      <c r="G674" s="7"/>
      <c r="H674" s="7"/>
      <c r="M674" s="1"/>
      <c r="P674" s="19"/>
      <c r="Q674" s="81"/>
      <c r="R674" s="19"/>
      <c r="S674" s="1"/>
      <c r="T674" s="1"/>
    </row>
    <row r="675" ht="12.75" customHeight="1">
      <c r="A675" s="1"/>
      <c r="B675" s="7"/>
      <c r="C675" s="19"/>
      <c r="D675" s="7"/>
      <c r="E675" s="7"/>
      <c r="F675" s="19"/>
      <c r="G675" s="7"/>
      <c r="H675" s="7"/>
      <c r="M675" s="1"/>
      <c r="P675" s="19"/>
      <c r="Q675" s="81"/>
      <c r="R675" s="19"/>
      <c r="S675" s="1"/>
      <c r="T675" s="1"/>
    </row>
    <row r="676" ht="12.75" customHeight="1">
      <c r="A676" s="1"/>
      <c r="B676" s="7"/>
      <c r="C676" s="19"/>
      <c r="D676" s="7"/>
      <c r="E676" s="7"/>
      <c r="F676" s="19"/>
      <c r="G676" s="7"/>
      <c r="H676" s="7"/>
      <c r="M676" s="1"/>
      <c r="P676" s="19"/>
      <c r="Q676" s="81"/>
      <c r="R676" s="19"/>
      <c r="S676" s="1"/>
      <c r="T676" s="1"/>
    </row>
    <row r="677" ht="12.75" customHeight="1">
      <c r="A677" s="1"/>
      <c r="B677" s="7"/>
      <c r="C677" s="19"/>
      <c r="D677" s="7"/>
      <c r="E677" s="7"/>
      <c r="F677" s="19"/>
      <c r="G677" s="7"/>
      <c r="H677" s="7"/>
      <c r="M677" s="1"/>
      <c r="P677" s="19"/>
      <c r="Q677" s="81"/>
      <c r="R677" s="19"/>
      <c r="S677" s="1"/>
      <c r="T677" s="1"/>
    </row>
    <row r="678" ht="12.75" customHeight="1">
      <c r="A678" s="1"/>
      <c r="B678" s="7"/>
      <c r="C678" s="19"/>
      <c r="D678" s="7"/>
      <c r="E678" s="7"/>
      <c r="F678" s="19"/>
      <c r="G678" s="7"/>
      <c r="H678" s="7"/>
      <c r="M678" s="1"/>
      <c r="P678" s="19"/>
      <c r="Q678" s="81"/>
      <c r="R678" s="19"/>
      <c r="S678" s="1"/>
      <c r="T678" s="1"/>
    </row>
    <row r="679" ht="12.75" customHeight="1">
      <c r="A679" s="1"/>
      <c r="B679" s="7"/>
      <c r="C679" s="19"/>
      <c r="D679" s="7"/>
      <c r="E679" s="7"/>
      <c r="F679" s="19"/>
      <c r="G679" s="7"/>
      <c r="H679" s="7"/>
      <c r="M679" s="1"/>
      <c r="P679" s="19"/>
      <c r="Q679" s="81"/>
      <c r="R679" s="19"/>
      <c r="S679" s="1"/>
      <c r="T679" s="1"/>
    </row>
    <row r="680" ht="12.75" customHeight="1">
      <c r="A680" s="1"/>
      <c r="B680" s="7"/>
      <c r="C680" s="19"/>
      <c r="D680" s="7"/>
      <c r="E680" s="7"/>
      <c r="F680" s="19"/>
      <c r="G680" s="7"/>
      <c r="H680" s="7"/>
      <c r="M680" s="1"/>
      <c r="P680" s="19"/>
      <c r="Q680" s="81"/>
      <c r="R680" s="19"/>
      <c r="S680" s="1"/>
      <c r="T680" s="1"/>
    </row>
    <row r="681" ht="12.75" customHeight="1">
      <c r="A681" s="1"/>
      <c r="B681" s="7"/>
      <c r="C681" s="19"/>
      <c r="D681" s="7"/>
      <c r="E681" s="7"/>
      <c r="F681" s="19"/>
      <c r="G681" s="7"/>
      <c r="H681" s="7"/>
      <c r="M681" s="1"/>
      <c r="P681" s="19"/>
      <c r="Q681" s="81"/>
      <c r="R681" s="19"/>
      <c r="S681" s="1"/>
      <c r="T681" s="1"/>
    </row>
    <row r="682" ht="12.75" customHeight="1">
      <c r="A682" s="1"/>
      <c r="B682" s="7"/>
      <c r="C682" s="19"/>
      <c r="D682" s="7"/>
      <c r="E682" s="7"/>
      <c r="F682" s="19"/>
      <c r="G682" s="7"/>
      <c r="H682" s="7"/>
      <c r="M682" s="1"/>
      <c r="P682" s="19"/>
      <c r="Q682" s="81"/>
      <c r="R682" s="19"/>
      <c r="S682" s="1"/>
      <c r="T682" s="1"/>
    </row>
    <row r="683" ht="12.75" customHeight="1">
      <c r="A683" s="1"/>
      <c r="B683" s="7"/>
      <c r="C683" s="19"/>
      <c r="D683" s="7"/>
      <c r="E683" s="7"/>
      <c r="F683" s="19"/>
      <c r="G683" s="7"/>
      <c r="H683" s="7"/>
      <c r="M683" s="1"/>
      <c r="P683" s="19"/>
      <c r="Q683" s="81"/>
      <c r="R683" s="19"/>
      <c r="S683" s="1"/>
      <c r="T683" s="1"/>
    </row>
    <row r="684" ht="12.75" customHeight="1">
      <c r="A684" s="1"/>
      <c r="B684" s="7"/>
      <c r="C684" s="19"/>
      <c r="D684" s="7"/>
      <c r="E684" s="7"/>
      <c r="F684" s="19"/>
      <c r="G684" s="7"/>
      <c r="H684" s="7"/>
      <c r="M684" s="1"/>
      <c r="P684" s="19"/>
      <c r="Q684" s="81"/>
      <c r="R684" s="19"/>
      <c r="S684" s="1"/>
      <c r="T684" s="1"/>
    </row>
    <row r="685" ht="12.75" customHeight="1">
      <c r="A685" s="1"/>
      <c r="B685" s="7"/>
      <c r="C685" s="19"/>
      <c r="D685" s="7"/>
      <c r="E685" s="7"/>
      <c r="F685" s="19"/>
      <c r="G685" s="7"/>
      <c r="H685" s="7"/>
      <c r="M685" s="1"/>
      <c r="P685" s="19"/>
      <c r="Q685" s="81"/>
      <c r="R685" s="19"/>
      <c r="S685" s="1"/>
      <c r="T685" s="1"/>
    </row>
    <row r="686" ht="12.75" customHeight="1">
      <c r="A686" s="1"/>
      <c r="B686" s="7"/>
      <c r="C686" s="19"/>
      <c r="D686" s="7"/>
      <c r="E686" s="7"/>
      <c r="F686" s="19"/>
      <c r="G686" s="7"/>
      <c r="H686" s="7"/>
      <c r="M686" s="1"/>
      <c r="P686" s="19"/>
      <c r="Q686" s="81"/>
      <c r="R686" s="19"/>
      <c r="S686" s="1"/>
      <c r="T686" s="1"/>
    </row>
    <row r="687" ht="12.75" customHeight="1">
      <c r="A687" s="1"/>
      <c r="B687" s="7"/>
      <c r="C687" s="19"/>
      <c r="D687" s="7"/>
      <c r="E687" s="7"/>
      <c r="F687" s="19"/>
      <c r="G687" s="7"/>
      <c r="H687" s="7"/>
      <c r="M687" s="1"/>
      <c r="P687" s="19"/>
      <c r="Q687" s="81"/>
      <c r="R687" s="19"/>
      <c r="S687" s="1"/>
      <c r="T687" s="1"/>
    </row>
    <row r="688" ht="12.75" customHeight="1">
      <c r="A688" s="1"/>
      <c r="B688" s="7"/>
      <c r="C688" s="19"/>
      <c r="D688" s="7"/>
      <c r="E688" s="7"/>
      <c r="F688" s="19"/>
      <c r="G688" s="7"/>
      <c r="H688" s="7"/>
      <c r="M688" s="1"/>
      <c r="P688" s="19"/>
      <c r="Q688" s="81"/>
      <c r="R688" s="19"/>
      <c r="S688" s="1"/>
      <c r="T688" s="1"/>
    </row>
    <row r="689" ht="12.75" customHeight="1">
      <c r="A689" s="1"/>
      <c r="B689" s="7"/>
      <c r="C689" s="19"/>
      <c r="D689" s="7"/>
      <c r="E689" s="7"/>
      <c r="F689" s="19"/>
      <c r="G689" s="7"/>
      <c r="H689" s="7"/>
      <c r="M689" s="1"/>
      <c r="P689" s="19"/>
      <c r="Q689" s="81"/>
      <c r="R689" s="19"/>
      <c r="S689" s="1"/>
      <c r="T689" s="1"/>
    </row>
    <row r="690" ht="12.75" customHeight="1">
      <c r="A690" s="1"/>
      <c r="B690" s="7"/>
      <c r="C690" s="19"/>
      <c r="D690" s="7"/>
      <c r="E690" s="7"/>
      <c r="F690" s="19"/>
      <c r="G690" s="7"/>
      <c r="H690" s="7"/>
      <c r="M690" s="1"/>
      <c r="P690" s="19"/>
      <c r="Q690" s="81"/>
      <c r="R690" s="19"/>
      <c r="S690" s="1"/>
      <c r="T690" s="1"/>
    </row>
    <row r="691" ht="12.75" customHeight="1">
      <c r="A691" s="1"/>
      <c r="B691" s="7"/>
      <c r="C691" s="19"/>
      <c r="D691" s="7"/>
      <c r="E691" s="7"/>
      <c r="F691" s="19"/>
      <c r="G691" s="7"/>
      <c r="H691" s="7"/>
      <c r="M691" s="1"/>
      <c r="P691" s="19"/>
      <c r="Q691" s="81"/>
      <c r="R691" s="19"/>
      <c r="S691" s="1"/>
      <c r="T691" s="1"/>
    </row>
    <row r="692" ht="12.75" customHeight="1">
      <c r="A692" s="1"/>
      <c r="B692" s="7"/>
      <c r="C692" s="19"/>
      <c r="D692" s="7"/>
      <c r="E692" s="7"/>
      <c r="F692" s="19"/>
      <c r="G692" s="7"/>
      <c r="H692" s="7"/>
      <c r="M692" s="1"/>
      <c r="P692" s="19"/>
      <c r="Q692" s="81"/>
      <c r="R692" s="19"/>
      <c r="S692" s="1"/>
      <c r="T692" s="1"/>
    </row>
    <row r="693" ht="12.75" customHeight="1">
      <c r="A693" s="1"/>
      <c r="B693" s="7"/>
      <c r="C693" s="19"/>
      <c r="D693" s="7"/>
      <c r="E693" s="7"/>
      <c r="F693" s="19"/>
      <c r="G693" s="7"/>
      <c r="H693" s="7"/>
      <c r="M693" s="1"/>
      <c r="P693" s="19"/>
      <c r="Q693" s="81"/>
      <c r="R693" s="19"/>
      <c r="S693" s="1"/>
      <c r="T693" s="1"/>
    </row>
    <row r="694" ht="12.75" customHeight="1">
      <c r="A694" s="1"/>
      <c r="B694" s="7"/>
      <c r="C694" s="19"/>
      <c r="D694" s="7"/>
      <c r="E694" s="7"/>
      <c r="F694" s="19"/>
      <c r="G694" s="7"/>
      <c r="H694" s="7"/>
      <c r="M694" s="1"/>
      <c r="P694" s="19"/>
      <c r="Q694" s="81"/>
      <c r="R694" s="19"/>
      <c r="S694" s="1"/>
      <c r="T694" s="1"/>
    </row>
    <row r="695" ht="12.75" customHeight="1">
      <c r="A695" s="1"/>
      <c r="B695" s="7"/>
      <c r="C695" s="19"/>
      <c r="D695" s="7"/>
      <c r="E695" s="7"/>
      <c r="F695" s="19"/>
      <c r="G695" s="7"/>
      <c r="H695" s="7"/>
      <c r="M695" s="1"/>
      <c r="P695" s="19"/>
      <c r="Q695" s="81"/>
      <c r="R695" s="19"/>
      <c r="S695" s="1"/>
      <c r="T695" s="1"/>
    </row>
    <row r="696" ht="12.75" customHeight="1">
      <c r="A696" s="1"/>
      <c r="B696" s="7"/>
      <c r="C696" s="19"/>
      <c r="D696" s="7"/>
      <c r="E696" s="7"/>
      <c r="F696" s="19"/>
      <c r="G696" s="7"/>
      <c r="H696" s="7"/>
      <c r="M696" s="1"/>
      <c r="P696" s="19"/>
      <c r="Q696" s="81"/>
      <c r="R696" s="19"/>
      <c r="S696" s="1"/>
      <c r="T696" s="1"/>
    </row>
    <row r="697" ht="12.75" customHeight="1">
      <c r="A697" s="1"/>
      <c r="B697" s="7"/>
      <c r="C697" s="19"/>
      <c r="D697" s="7"/>
      <c r="E697" s="7"/>
      <c r="F697" s="19"/>
      <c r="G697" s="7"/>
      <c r="H697" s="7"/>
      <c r="M697" s="1"/>
      <c r="P697" s="19"/>
      <c r="Q697" s="81"/>
      <c r="R697" s="19"/>
      <c r="S697" s="1"/>
      <c r="T697" s="1"/>
    </row>
    <row r="698" ht="12.75" customHeight="1">
      <c r="A698" s="1"/>
      <c r="B698" s="7"/>
      <c r="C698" s="19"/>
      <c r="D698" s="7"/>
      <c r="E698" s="7"/>
      <c r="F698" s="19"/>
      <c r="G698" s="7"/>
      <c r="H698" s="7"/>
      <c r="M698" s="1"/>
      <c r="P698" s="19"/>
      <c r="Q698" s="81"/>
      <c r="R698" s="19"/>
      <c r="S698" s="1"/>
      <c r="T698" s="1"/>
    </row>
    <row r="699" ht="12.75" customHeight="1">
      <c r="A699" s="1"/>
      <c r="B699" s="7"/>
      <c r="C699" s="19"/>
      <c r="D699" s="7"/>
      <c r="E699" s="7"/>
      <c r="F699" s="19"/>
      <c r="G699" s="7"/>
      <c r="H699" s="7"/>
      <c r="M699" s="1"/>
      <c r="P699" s="19"/>
      <c r="Q699" s="81"/>
      <c r="R699" s="19"/>
      <c r="S699" s="1"/>
      <c r="T699" s="1"/>
    </row>
    <row r="700" ht="12.75" customHeight="1">
      <c r="A700" s="1"/>
      <c r="B700" s="7"/>
      <c r="C700" s="19"/>
      <c r="D700" s="7"/>
      <c r="E700" s="7"/>
      <c r="F700" s="19"/>
      <c r="G700" s="7"/>
      <c r="H700" s="7"/>
      <c r="M700" s="1"/>
      <c r="P700" s="19"/>
      <c r="Q700" s="81"/>
      <c r="R700" s="19"/>
      <c r="S700" s="1"/>
      <c r="T700" s="1"/>
    </row>
    <row r="701" ht="12.75" customHeight="1">
      <c r="A701" s="1"/>
      <c r="B701" s="7"/>
      <c r="C701" s="19"/>
      <c r="D701" s="7"/>
      <c r="E701" s="7"/>
      <c r="F701" s="19"/>
      <c r="G701" s="7"/>
      <c r="H701" s="7"/>
      <c r="M701" s="1"/>
      <c r="P701" s="19"/>
      <c r="Q701" s="81"/>
      <c r="R701" s="19"/>
      <c r="S701" s="1"/>
      <c r="T701" s="1"/>
    </row>
    <row r="702" ht="12.75" customHeight="1">
      <c r="A702" s="1"/>
      <c r="B702" s="7"/>
      <c r="C702" s="19"/>
      <c r="D702" s="7"/>
      <c r="E702" s="7"/>
      <c r="F702" s="19"/>
      <c r="G702" s="7"/>
      <c r="H702" s="7"/>
      <c r="M702" s="1"/>
      <c r="P702" s="19"/>
      <c r="Q702" s="81"/>
      <c r="R702" s="19"/>
      <c r="S702" s="1"/>
      <c r="T702" s="1"/>
    </row>
    <row r="703" ht="12.75" customHeight="1">
      <c r="A703" s="1"/>
      <c r="B703" s="7"/>
      <c r="C703" s="19"/>
      <c r="D703" s="7"/>
      <c r="E703" s="7"/>
      <c r="F703" s="19"/>
      <c r="G703" s="7"/>
      <c r="H703" s="7"/>
      <c r="M703" s="1"/>
      <c r="P703" s="19"/>
      <c r="Q703" s="81"/>
      <c r="R703" s="19"/>
      <c r="S703" s="1"/>
      <c r="T703" s="1"/>
    </row>
    <row r="704" ht="12.75" customHeight="1">
      <c r="A704" s="1"/>
      <c r="B704" s="7"/>
      <c r="C704" s="19"/>
      <c r="D704" s="7"/>
      <c r="E704" s="7"/>
      <c r="F704" s="19"/>
      <c r="G704" s="7"/>
      <c r="H704" s="7"/>
      <c r="M704" s="1"/>
      <c r="P704" s="19"/>
      <c r="Q704" s="81"/>
      <c r="R704" s="19"/>
      <c r="S704" s="1"/>
      <c r="T704" s="1"/>
    </row>
    <row r="705" ht="12.75" customHeight="1">
      <c r="A705" s="1"/>
      <c r="B705" s="7"/>
      <c r="C705" s="19"/>
      <c r="D705" s="7"/>
      <c r="E705" s="7"/>
      <c r="F705" s="19"/>
      <c r="G705" s="7"/>
      <c r="H705" s="7"/>
      <c r="M705" s="1"/>
      <c r="P705" s="19"/>
      <c r="Q705" s="81"/>
      <c r="R705" s="19"/>
      <c r="S705" s="1"/>
      <c r="T705" s="1"/>
    </row>
    <row r="706" ht="12.75" customHeight="1">
      <c r="A706" s="1"/>
      <c r="B706" s="7"/>
      <c r="C706" s="19"/>
      <c r="D706" s="7"/>
      <c r="E706" s="7"/>
      <c r="F706" s="19"/>
      <c r="G706" s="7"/>
      <c r="H706" s="7"/>
      <c r="M706" s="1"/>
      <c r="P706" s="19"/>
      <c r="Q706" s="81"/>
      <c r="R706" s="19"/>
      <c r="S706" s="1"/>
      <c r="T706" s="1"/>
    </row>
    <row r="707" ht="12.75" customHeight="1">
      <c r="A707" s="1"/>
      <c r="B707" s="7"/>
      <c r="C707" s="19"/>
      <c r="D707" s="7"/>
      <c r="E707" s="7"/>
      <c r="F707" s="19"/>
      <c r="G707" s="7"/>
      <c r="H707" s="7"/>
      <c r="M707" s="1"/>
      <c r="P707" s="19"/>
      <c r="Q707" s="81"/>
      <c r="R707" s="19"/>
      <c r="S707" s="1"/>
      <c r="T707" s="1"/>
    </row>
    <row r="708" ht="12.75" customHeight="1">
      <c r="A708" s="1"/>
      <c r="B708" s="7"/>
      <c r="C708" s="19"/>
      <c r="D708" s="7"/>
      <c r="E708" s="7"/>
      <c r="F708" s="19"/>
      <c r="G708" s="7"/>
      <c r="H708" s="7"/>
      <c r="M708" s="1"/>
      <c r="P708" s="19"/>
      <c r="Q708" s="81"/>
      <c r="R708" s="19"/>
      <c r="S708" s="1"/>
      <c r="T708" s="1"/>
    </row>
    <row r="709" ht="12.75" customHeight="1">
      <c r="A709" s="1"/>
      <c r="B709" s="7"/>
      <c r="C709" s="19"/>
      <c r="D709" s="7"/>
      <c r="E709" s="7"/>
      <c r="F709" s="19"/>
      <c r="G709" s="7"/>
      <c r="H709" s="7"/>
      <c r="M709" s="1"/>
      <c r="P709" s="19"/>
      <c r="Q709" s="81"/>
      <c r="R709" s="19"/>
      <c r="S709" s="1"/>
      <c r="T709" s="1"/>
    </row>
    <row r="710" ht="12.75" customHeight="1">
      <c r="A710" s="1"/>
      <c r="B710" s="7"/>
      <c r="C710" s="19"/>
      <c r="D710" s="7"/>
      <c r="E710" s="7"/>
      <c r="F710" s="19"/>
      <c r="G710" s="7"/>
      <c r="H710" s="7"/>
      <c r="M710" s="1"/>
      <c r="P710" s="19"/>
      <c r="Q710" s="81"/>
      <c r="R710" s="19"/>
      <c r="S710" s="1"/>
      <c r="T710" s="1"/>
    </row>
    <row r="711" ht="12.75" customHeight="1">
      <c r="A711" s="1"/>
      <c r="B711" s="7"/>
      <c r="C711" s="19"/>
      <c r="D711" s="7"/>
      <c r="E711" s="7"/>
      <c r="F711" s="19"/>
      <c r="G711" s="7"/>
      <c r="H711" s="7"/>
      <c r="M711" s="1"/>
      <c r="P711" s="19"/>
      <c r="Q711" s="81"/>
      <c r="R711" s="19"/>
      <c r="S711" s="1"/>
      <c r="T711" s="1"/>
    </row>
    <row r="712" ht="12.75" customHeight="1">
      <c r="A712" s="1"/>
      <c r="B712" s="7"/>
      <c r="C712" s="19"/>
      <c r="D712" s="7"/>
      <c r="E712" s="7"/>
      <c r="F712" s="19"/>
      <c r="G712" s="7"/>
      <c r="H712" s="7"/>
      <c r="M712" s="1"/>
      <c r="P712" s="19"/>
      <c r="Q712" s="81"/>
      <c r="R712" s="19"/>
      <c r="S712" s="1"/>
      <c r="T712" s="1"/>
    </row>
    <row r="713" ht="12.75" customHeight="1">
      <c r="A713" s="1"/>
      <c r="B713" s="7"/>
      <c r="C713" s="19"/>
      <c r="D713" s="7"/>
      <c r="E713" s="7"/>
      <c r="F713" s="19"/>
      <c r="G713" s="7"/>
      <c r="H713" s="7"/>
      <c r="M713" s="1"/>
      <c r="P713" s="19"/>
      <c r="Q713" s="81"/>
      <c r="R713" s="19"/>
      <c r="S713" s="1"/>
      <c r="T713" s="1"/>
    </row>
    <row r="714" ht="12.75" customHeight="1">
      <c r="A714" s="1"/>
      <c r="B714" s="7"/>
      <c r="C714" s="19"/>
      <c r="D714" s="7"/>
      <c r="E714" s="7"/>
      <c r="F714" s="19"/>
      <c r="G714" s="7"/>
      <c r="H714" s="7"/>
      <c r="M714" s="1"/>
      <c r="P714" s="19"/>
      <c r="Q714" s="81"/>
      <c r="R714" s="19"/>
      <c r="S714" s="1"/>
      <c r="T714" s="1"/>
    </row>
    <row r="715" ht="12.75" customHeight="1">
      <c r="A715" s="1"/>
      <c r="B715" s="7"/>
      <c r="C715" s="19"/>
      <c r="D715" s="7"/>
      <c r="E715" s="7"/>
      <c r="F715" s="19"/>
      <c r="G715" s="7"/>
      <c r="H715" s="7"/>
      <c r="M715" s="1"/>
      <c r="P715" s="19"/>
      <c r="Q715" s="81"/>
      <c r="R715" s="19"/>
      <c r="S715" s="1"/>
      <c r="T715" s="1"/>
    </row>
    <row r="716" ht="12.75" customHeight="1">
      <c r="A716" s="1"/>
      <c r="B716" s="7"/>
      <c r="C716" s="19"/>
      <c r="D716" s="7"/>
      <c r="E716" s="7"/>
      <c r="F716" s="19"/>
      <c r="G716" s="7"/>
      <c r="H716" s="7"/>
      <c r="M716" s="1"/>
      <c r="P716" s="19"/>
      <c r="Q716" s="81"/>
      <c r="R716" s="19"/>
      <c r="S716" s="1"/>
      <c r="T716" s="1"/>
    </row>
    <row r="717" ht="12.75" customHeight="1">
      <c r="A717" s="1"/>
      <c r="B717" s="7"/>
      <c r="C717" s="19"/>
      <c r="D717" s="7"/>
      <c r="E717" s="7"/>
      <c r="F717" s="19"/>
      <c r="G717" s="7"/>
      <c r="H717" s="7"/>
      <c r="M717" s="1"/>
      <c r="P717" s="19"/>
      <c r="Q717" s="81"/>
      <c r="R717" s="19"/>
      <c r="S717" s="1"/>
      <c r="T717" s="1"/>
    </row>
    <row r="718" ht="12.75" customHeight="1">
      <c r="A718" s="1"/>
      <c r="B718" s="7"/>
      <c r="C718" s="19"/>
      <c r="D718" s="7"/>
      <c r="E718" s="7"/>
      <c r="F718" s="19"/>
      <c r="G718" s="7"/>
      <c r="H718" s="7"/>
      <c r="M718" s="1"/>
      <c r="P718" s="19"/>
      <c r="Q718" s="81"/>
      <c r="R718" s="19"/>
      <c r="S718" s="1"/>
      <c r="T718" s="1"/>
    </row>
    <row r="719" ht="12.75" customHeight="1">
      <c r="A719" s="1"/>
      <c r="B719" s="7"/>
      <c r="C719" s="19"/>
      <c r="D719" s="7"/>
      <c r="E719" s="7"/>
      <c r="F719" s="19"/>
      <c r="G719" s="7"/>
      <c r="H719" s="7"/>
      <c r="M719" s="1"/>
      <c r="P719" s="19"/>
      <c r="Q719" s="81"/>
      <c r="R719" s="19"/>
      <c r="S719" s="1"/>
      <c r="T719" s="1"/>
    </row>
    <row r="720" ht="12.75" customHeight="1">
      <c r="A720" s="1"/>
      <c r="B720" s="7"/>
      <c r="C720" s="19"/>
      <c r="D720" s="7"/>
      <c r="E720" s="7"/>
      <c r="F720" s="19"/>
      <c r="G720" s="7"/>
      <c r="H720" s="7"/>
      <c r="M720" s="1"/>
      <c r="P720" s="19"/>
      <c r="Q720" s="81"/>
      <c r="R720" s="19"/>
      <c r="S720" s="1"/>
      <c r="T720" s="1"/>
    </row>
    <row r="721" ht="12.75" customHeight="1">
      <c r="A721" s="1"/>
      <c r="B721" s="7"/>
      <c r="C721" s="19"/>
      <c r="D721" s="7"/>
      <c r="E721" s="7"/>
      <c r="F721" s="19"/>
      <c r="G721" s="7"/>
      <c r="H721" s="7"/>
      <c r="M721" s="1"/>
      <c r="P721" s="19"/>
      <c r="Q721" s="81"/>
      <c r="R721" s="19"/>
      <c r="S721" s="1"/>
      <c r="T721" s="1"/>
    </row>
    <row r="722" ht="12.75" customHeight="1">
      <c r="A722" s="1"/>
      <c r="B722" s="7"/>
      <c r="C722" s="19"/>
      <c r="D722" s="7"/>
      <c r="E722" s="7"/>
      <c r="F722" s="19"/>
      <c r="G722" s="7"/>
      <c r="H722" s="7"/>
      <c r="M722" s="1"/>
      <c r="P722" s="19"/>
      <c r="Q722" s="81"/>
      <c r="R722" s="19"/>
      <c r="S722" s="1"/>
      <c r="T722" s="1"/>
    </row>
    <row r="723" ht="12.75" customHeight="1">
      <c r="A723" s="1"/>
      <c r="B723" s="7"/>
      <c r="C723" s="19"/>
      <c r="D723" s="7"/>
      <c r="E723" s="7"/>
      <c r="F723" s="19"/>
      <c r="G723" s="7"/>
      <c r="H723" s="7"/>
      <c r="M723" s="1"/>
      <c r="P723" s="19"/>
      <c r="Q723" s="81"/>
      <c r="R723" s="19"/>
      <c r="S723" s="1"/>
      <c r="T723" s="1"/>
    </row>
    <row r="724" ht="12.75" customHeight="1">
      <c r="A724" s="1"/>
      <c r="B724" s="7"/>
      <c r="C724" s="19"/>
      <c r="D724" s="7"/>
      <c r="E724" s="7"/>
      <c r="F724" s="19"/>
      <c r="G724" s="7"/>
      <c r="H724" s="7"/>
      <c r="M724" s="1"/>
      <c r="P724" s="19"/>
      <c r="Q724" s="81"/>
      <c r="R724" s="19"/>
      <c r="S724" s="1"/>
      <c r="T724" s="1"/>
    </row>
    <row r="725" ht="12.75" customHeight="1">
      <c r="A725" s="1"/>
      <c r="B725" s="7"/>
      <c r="C725" s="19"/>
      <c r="D725" s="7"/>
      <c r="E725" s="7"/>
      <c r="F725" s="19"/>
      <c r="G725" s="7"/>
      <c r="H725" s="7"/>
      <c r="M725" s="1"/>
      <c r="P725" s="19"/>
      <c r="Q725" s="81"/>
      <c r="R725" s="19"/>
      <c r="S725" s="1"/>
      <c r="T725" s="1"/>
    </row>
    <row r="726" ht="12.75" customHeight="1">
      <c r="A726" s="1"/>
      <c r="B726" s="7"/>
      <c r="C726" s="19"/>
      <c r="D726" s="7"/>
      <c r="E726" s="7"/>
      <c r="F726" s="19"/>
      <c r="G726" s="7"/>
      <c r="H726" s="7"/>
      <c r="M726" s="1"/>
      <c r="P726" s="19"/>
      <c r="Q726" s="81"/>
      <c r="R726" s="19"/>
      <c r="S726" s="1"/>
      <c r="T726" s="1"/>
    </row>
    <row r="727" ht="12.75" customHeight="1">
      <c r="A727" s="1"/>
      <c r="B727" s="7"/>
      <c r="C727" s="19"/>
      <c r="D727" s="7"/>
      <c r="E727" s="7"/>
      <c r="F727" s="19"/>
      <c r="G727" s="7"/>
      <c r="H727" s="7"/>
      <c r="M727" s="1"/>
      <c r="P727" s="19"/>
      <c r="Q727" s="81"/>
      <c r="R727" s="19"/>
      <c r="S727" s="1"/>
      <c r="T727" s="1"/>
    </row>
    <row r="728" ht="12.75" customHeight="1">
      <c r="A728" s="1"/>
      <c r="B728" s="7"/>
      <c r="C728" s="19"/>
      <c r="D728" s="7"/>
      <c r="E728" s="7"/>
      <c r="F728" s="19"/>
      <c r="G728" s="7"/>
      <c r="H728" s="7"/>
      <c r="M728" s="1"/>
      <c r="P728" s="19"/>
      <c r="Q728" s="81"/>
      <c r="R728" s="19"/>
      <c r="S728" s="1"/>
      <c r="T728" s="1"/>
    </row>
    <row r="729" ht="12.75" customHeight="1">
      <c r="A729" s="1"/>
      <c r="B729" s="7"/>
      <c r="C729" s="19"/>
      <c r="D729" s="7"/>
      <c r="E729" s="7"/>
      <c r="F729" s="19"/>
      <c r="G729" s="7"/>
      <c r="H729" s="7"/>
      <c r="M729" s="1"/>
      <c r="P729" s="19"/>
      <c r="Q729" s="81"/>
      <c r="R729" s="19"/>
      <c r="S729" s="1"/>
      <c r="T729" s="1"/>
    </row>
    <row r="730" ht="12.75" customHeight="1">
      <c r="A730" s="1"/>
      <c r="B730" s="7"/>
      <c r="C730" s="19"/>
      <c r="D730" s="7"/>
      <c r="E730" s="7"/>
      <c r="F730" s="19"/>
      <c r="G730" s="7"/>
      <c r="H730" s="7"/>
      <c r="M730" s="1"/>
      <c r="P730" s="19"/>
      <c r="Q730" s="81"/>
      <c r="R730" s="19"/>
      <c r="S730" s="1"/>
      <c r="T730" s="1"/>
    </row>
    <row r="731" ht="12.75" customHeight="1">
      <c r="A731" s="1"/>
      <c r="B731" s="7"/>
      <c r="C731" s="19"/>
      <c r="D731" s="7"/>
      <c r="E731" s="7"/>
      <c r="F731" s="19"/>
      <c r="G731" s="7"/>
      <c r="H731" s="7"/>
      <c r="M731" s="1"/>
      <c r="P731" s="19"/>
      <c r="Q731" s="81"/>
      <c r="R731" s="19"/>
      <c r="S731" s="1"/>
      <c r="T731" s="1"/>
    </row>
    <row r="732" ht="12.75" customHeight="1">
      <c r="A732" s="1"/>
      <c r="B732" s="7"/>
      <c r="C732" s="19"/>
      <c r="D732" s="7"/>
      <c r="E732" s="7"/>
      <c r="F732" s="19"/>
      <c r="G732" s="7"/>
      <c r="H732" s="7"/>
      <c r="M732" s="1"/>
      <c r="P732" s="19"/>
      <c r="Q732" s="81"/>
      <c r="R732" s="19"/>
      <c r="S732" s="1"/>
      <c r="T732" s="1"/>
    </row>
    <row r="733" ht="12.75" customHeight="1">
      <c r="A733" s="1"/>
      <c r="B733" s="7"/>
      <c r="C733" s="19"/>
      <c r="D733" s="7"/>
      <c r="E733" s="7"/>
      <c r="F733" s="19"/>
      <c r="G733" s="7"/>
      <c r="H733" s="7"/>
      <c r="M733" s="1"/>
      <c r="P733" s="19"/>
      <c r="Q733" s="81"/>
      <c r="R733" s="19"/>
      <c r="S733" s="1"/>
      <c r="T733" s="1"/>
    </row>
    <row r="734" ht="12.75" customHeight="1">
      <c r="A734" s="1"/>
      <c r="B734" s="7"/>
      <c r="C734" s="19"/>
      <c r="D734" s="7"/>
      <c r="E734" s="7"/>
      <c r="F734" s="19"/>
      <c r="G734" s="7"/>
      <c r="H734" s="7"/>
      <c r="M734" s="1"/>
      <c r="P734" s="19"/>
      <c r="Q734" s="81"/>
      <c r="R734" s="19"/>
      <c r="S734" s="1"/>
      <c r="T734" s="1"/>
    </row>
    <row r="735" ht="12.75" customHeight="1">
      <c r="A735" s="1"/>
      <c r="B735" s="7"/>
      <c r="C735" s="19"/>
      <c r="D735" s="7"/>
      <c r="E735" s="7"/>
      <c r="F735" s="19"/>
      <c r="G735" s="7"/>
      <c r="H735" s="7"/>
      <c r="M735" s="1"/>
      <c r="P735" s="19"/>
      <c r="Q735" s="81"/>
      <c r="R735" s="19"/>
      <c r="S735" s="1"/>
      <c r="T735" s="1"/>
    </row>
    <row r="736" ht="12.75" customHeight="1">
      <c r="A736" s="1"/>
      <c r="B736" s="7"/>
      <c r="C736" s="19"/>
      <c r="D736" s="7"/>
      <c r="E736" s="7"/>
      <c r="F736" s="19"/>
      <c r="G736" s="7"/>
      <c r="H736" s="7"/>
      <c r="M736" s="1"/>
      <c r="P736" s="19"/>
      <c r="Q736" s="81"/>
      <c r="R736" s="19"/>
      <c r="S736" s="1"/>
      <c r="T736" s="1"/>
    </row>
    <row r="737" ht="12.75" customHeight="1">
      <c r="A737" s="1"/>
      <c r="B737" s="7"/>
      <c r="C737" s="19"/>
      <c r="D737" s="7"/>
      <c r="E737" s="7"/>
      <c r="F737" s="19"/>
      <c r="G737" s="7"/>
      <c r="H737" s="7"/>
      <c r="M737" s="1"/>
      <c r="P737" s="19"/>
      <c r="Q737" s="81"/>
      <c r="R737" s="19"/>
      <c r="S737" s="1"/>
      <c r="T737" s="1"/>
    </row>
    <row r="738" ht="12.75" customHeight="1">
      <c r="A738" s="1"/>
      <c r="B738" s="7"/>
      <c r="C738" s="19"/>
      <c r="D738" s="7"/>
      <c r="E738" s="7"/>
      <c r="F738" s="19"/>
      <c r="G738" s="7"/>
      <c r="H738" s="7"/>
      <c r="M738" s="1"/>
      <c r="P738" s="19"/>
      <c r="Q738" s="81"/>
      <c r="R738" s="19"/>
      <c r="S738" s="1"/>
      <c r="T738" s="1"/>
    </row>
    <row r="739" ht="12.75" customHeight="1">
      <c r="A739" s="1"/>
      <c r="B739" s="7"/>
      <c r="C739" s="19"/>
      <c r="D739" s="7"/>
      <c r="E739" s="7"/>
      <c r="F739" s="19"/>
      <c r="G739" s="7"/>
      <c r="H739" s="7"/>
      <c r="M739" s="1"/>
      <c r="P739" s="19"/>
      <c r="Q739" s="81"/>
      <c r="R739" s="19"/>
      <c r="S739" s="1"/>
      <c r="T739" s="1"/>
    </row>
    <row r="740" ht="12.75" customHeight="1">
      <c r="A740" s="1"/>
      <c r="B740" s="7"/>
      <c r="C740" s="19"/>
      <c r="D740" s="7"/>
      <c r="E740" s="7"/>
      <c r="F740" s="19"/>
      <c r="G740" s="7"/>
      <c r="H740" s="7"/>
      <c r="M740" s="1"/>
      <c r="P740" s="19"/>
      <c r="Q740" s="81"/>
      <c r="R740" s="19"/>
      <c r="S740" s="1"/>
      <c r="T740" s="1"/>
    </row>
    <row r="741" ht="12.75" customHeight="1">
      <c r="A741" s="1"/>
      <c r="B741" s="7"/>
      <c r="C741" s="19"/>
      <c r="D741" s="7"/>
      <c r="E741" s="7"/>
      <c r="F741" s="19"/>
      <c r="G741" s="7"/>
      <c r="H741" s="7"/>
      <c r="M741" s="1"/>
      <c r="P741" s="19"/>
      <c r="Q741" s="81"/>
      <c r="R741" s="19"/>
      <c r="S741" s="1"/>
      <c r="T741" s="1"/>
    </row>
    <row r="742" ht="12.75" customHeight="1">
      <c r="A742" s="1"/>
      <c r="B742" s="7"/>
      <c r="C742" s="19"/>
      <c r="D742" s="7"/>
      <c r="E742" s="7"/>
      <c r="F742" s="19"/>
      <c r="G742" s="7"/>
      <c r="H742" s="7"/>
      <c r="M742" s="1"/>
      <c r="P742" s="19"/>
      <c r="Q742" s="81"/>
      <c r="R742" s="19"/>
      <c r="S742" s="1"/>
      <c r="T742" s="1"/>
    </row>
    <row r="743" ht="12.75" customHeight="1">
      <c r="A743" s="1"/>
      <c r="B743" s="7"/>
      <c r="C743" s="19"/>
      <c r="D743" s="7"/>
      <c r="E743" s="7"/>
      <c r="F743" s="19"/>
      <c r="G743" s="7"/>
      <c r="H743" s="7"/>
      <c r="M743" s="1"/>
      <c r="P743" s="19"/>
      <c r="Q743" s="81"/>
      <c r="R743" s="19"/>
      <c r="S743" s="1"/>
      <c r="T743" s="1"/>
    </row>
    <row r="744" ht="12.75" customHeight="1">
      <c r="A744" s="1"/>
      <c r="B744" s="7"/>
      <c r="C744" s="19"/>
      <c r="D744" s="7"/>
      <c r="E744" s="7"/>
      <c r="F744" s="19"/>
      <c r="G744" s="7"/>
      <c r="H744" s="7"/>
      <c r="M744" s="1"/>
      <c r="P744" s="19"/>
      <c r="Q744" s="81"/>
      <c r="R744" s="19"/>
      <c r="S744" s="1"/>
      <c r="T744" s="1"/>
    </row>
    <row r="745" ht="12.75" customHeight="1">
      <c r="A745" s="1"/>
      <c r="B745" s="7"/>
      <c r="C745" s="19"/>
      <c r="D745" s="7"/>
      <c r="E745" s="7"/>
      <c r="F745" s="19"/>
      <c r="G745" s="7"/>
      <c r="H745" s="7"/>
      <c r="M745" s="1"/>
      <c r="P745" s="19"/>
      <c r="Q745" s="81"/>
      <c r="R745" s="19"/>
      <c r="S745" s="1"/>
      <c r="T745" s="1"/>
    </row>
    <row r="746" ht="12.75" customHeight="1">
      <c r="A746" s="1"/>
      <c r="B746" s="7"/>
      <c r="C746" s="19"/>
      <c r="D746" s="7"/>
      <c r="E746" s="7"/>
      <c r="F746" s="19"/>
      <c r="G746" s="7"/>
      <c r="H746" s="7"/>
      <c r="M746" s="1"/>
      <c r="P746" s="19"/>
      <c r="Q746" s="81"/>
      <c r="R746" s="19"/>
      <c r="S746" s="1"/>
      <c r="T746" s="1"/>
    </row>
    <row r="747" ht="12.75" customHeight="1">
      <c r="A747" s="1"/>
      <c r="B747" s="7"/>
      <c r="C747" s="19"/>
      <c r="D747" s="7"/>
      <c r="E747" s="7"/>
      <c r="F747" s="19"/>
      <c r="G747" s="7"/>
      <c r="H747" s="7"/>
      <c r="M747" s="1"/>
      <c r="P747" s="19"/>
      <c r="Q747" s="81"/>
      <c r="R747" s="19"/>
      <c r="S747" s="1"/>
      <c r="T747" s="1"/>
    </row>
    <row r="748" ht="12.75" customHeight="1">
      <c r="A748" s="1"/>
      <c r="B748" s="7"/>
      <c r="C748" s="19"/>
      <c r="D748" s="7"/>
      <c r="E748" s="7"/>
      <c r="F748" s="19"/>
      <c r="G748" s="7"/>
      <c r="H748" s="7"/>
      <c r="M748" s="1"/>
      <c r="P748" s="19"/>
      <c r="Q748" s="81"/>
      <c r="R748" s="19"/>
      <c r="S748" s="1"/>
      <c r="T748" s="1"/>
    </row>
    <row r="749" ht="12.75" customHeight="1">
      <c r="A749" s="1"/>
      <c r="B749" s="7"/>
      <c r="C749" s="19"/>
      <c r="D749" s="7"/>
      <c r="E749" s="7"/>
      <c r="F749" s="19"/>
      <c r="G749" s="7"/>
      <c r="H749" s="7"/>
      <c r="M749" s="1"/>
      <c r="P749" s="19"/>
      <c r="Q749" s="81"/>
      <c r="R749" s="19"/>
      <c r="S749" s="1"/>
      <c r="T749" s="1"/>
    </row>
    <row r="750" ht="12.75" customHeight="1">
      <c r="A750" s="1"/>
      <c r="B750" s="7"/>
      <c r="C750" s="19"/>
      <c r="D750" s="7"/>
      <c r="E750" s="7"/>
      <c r="F750" s="19"/>
      <c r="G750" s="7"/>
      <c r="H750" s="7"/>
      <c r="M750" s="1"/>
      <c r="P750" s="19"/>
      <c r="Q750" s="81"/>
      <c r="R750" s="19"/>
      <c r="S750" s="1"/>
      <c r="T750" s="1"/>
    </row>
    <row r="751" ht="12.75" customHeight="1">
      <c r="A751" s="1"/>
      <c r="B751" s="7"/>
      <c r="C751" s="19"/>
      <c r="D751" s="7"/>
      <c r="E751" s="7"/>
      <c r="F751" s="19"/>
      <c r="G751" s="7"/>
      <c r="H751" s="7"/>
      <c r="M751" s="1"/>
      <c r="P751" s="19"/>
      <c r="Q751" s="81"/>
      <c r="R751" s="19"/>
      <c r="S751" s="1"/>
      <c r="T751" s="1"/>
    </row>
    <row r="752" ht="12.75" customHeight="1">
      <c r="A752" s="1"/>
      <c r="B752" s="7"/>
      <c r="C752" s="19"/>
      <c r="D752" s="7"/>
      <c r="E752" s="7"/>
      <c r="F752" s="19"/>
      <c r="G752" s="7"/>
      <c r="H752" s="7"/>
      <c r="M752" s="1"/>
      <c r="P752" s="19"/>
      <c r="Q752" s="81"/>
      <c r="R752" s="19"/>
      <c r="S752" s="1"/>
      <c r="T752" s="1"/>
    </row>
    <row r="753" ht="12.75" customHeight="1">
      <c r="A753" s="1"/>
      <c r="B753" s="7"/>
      <c r="C753" s="19"/>
      <c r="D753" s="7"/>
      <c r="E753" s="7"/>
      <c r="F753" s="19"/>
      <c r="G753" s="7"/>
      <c r="H753" s="7"/>
      <c r="M753" s="1"/>
      <c r="P753" s="19"/>
      <c r="Q753" s="81"/>
      <c r="R753" s="19"/>
      <c r="S753" s="1"/>
      <c r="T753" s="1"/>
    </row>
    <row r="754" ht="12.75" customHeight="1">
      <c r="A754" s="1"/>
      <c r="B754" s="7"/>
      <c r="C754" s="19"/>
      <c r="D754" s="7"/>
      <c r="E754" s="7"/>
      <c r="F754" s="19"/>
      <c r="G754" s="7"/>
      <c r="H754" s="7"/>
      <c r="M754" s="1"/>
      <c r="P754" s="19"/>
      <c r="Q754" s="81"/>
      <c r="R754" s="19"/>
      <c r="S754" s="1"/>
      <c r="T754" s="1"/>
    </row>
    <row r="755" ht="12.75" customHeight="1">
      <c r="A755" s="1"/>
      <c r="B755" s="7"/>
      <c r="C755" s="19"/>
      <c r="D755" s="7"/>
      <c r="E755" s="7"/>
      <c r="F755" s="19"/>
      <c r="G755" s="7"/>
      <c r="H755" s="7"/>
      <c r="M755" s="1"/>
      <c r="P755" s="19"/>
      <c r="Q755" s="81"/>
      <c r="R755" s="19"/>
      <c r="S755" s="1"/>
      <c r="T755" s="1"/>
    </row>
    <row r="756" ht="12.75" customHeight="1">
      <c r="A756" s="1"/>
      <c r="B756" s="7"/>
      <c r="C756" s="19"/>
      <c r="D756" s="7"/>
      <c r="E756" s="7"/>
      <c r="F756" s="19"/>
      <c r="G756" s="7"/>
      <c r="H756" s="7"/>
      <c r="M756" s="1"/>
      <c r="P756" s="19"/>
      <c r="Q756" s="81"/>
      <c r="R756" s="19"/>
      <c r="S756" s="1"/>
      <c r="T756" s="1"/>
    </row>
    <row r="757" ht="12.75" customHeight="1">
      <c r="A757" s="1"/>
      <c r="B757" s="7"/>
      <c r="C757" s="19"/>
      <c r="D757" s="7"/>
      <c r="E757" s="7"/>
      <c r="F757" s="19"/>
      <c r="G757" s="7"/>
      <c r="H757" s="7"/>
      <c r="M757" s="1"/>
      <c r="P757" s="19"/>
      <c r="Q757" s="81"/>
      <c r="R757" s="19"/>
      <c r="S757" s="1"/>
      <c r="T757" s="1"/>
    </row>
    <row r="758" ht="12.75" customHeight="1">
      <c r="A758" s="1"/>
      <c r="B758" s="7"/>
      <c r="C758" s="19"/>
      <c r="D758" s="7"/>
      <c r="E758" s="7"/>
      <c r="F758" s="19"/>
      <c r="G758" s="7"/>
      <c r="H758" s="7"/>
      <c r="M758" s="1"/>
      <c r="P758" s="19"/>
      <c r="Q758" s="81"/>
      <c r="R758" s="19"/>
      <c r="S758" s="1"/>
      <c r="T758" s="1"/>
    </row>
    <row r="759" ht="12.75" customHeight="1">
      <c r="A759" s="1"/>
      <c r="B759" s="7"/>
      <c r="C759" s="19"/>
      <c r="D759" s="7"/>
      <c r="E759" s="7"/>
      <c r="F759" s="19"/>
      <c r="G759" s="7"/>
      <c r="H759" s="7"/>
      <c r="M759" s="1"/>
      <c r="P759" s="19"/>
      <c r="Q759" s="81"/>
      <c r="R759" s="19"/>
      <c r="S759" s="1"/>
      <c r="T759" s="1"/>
    </row>
    <row r="760" ht="12.75" customHeight="1">
      <c r="A760" s="1"/>
      <c r="B760" s="7"/>
      <c r="C760" s="19"/>
      <c r="D760" s="7"/>
      <c r="E760" s="7"/>
      <c r="F760" s="19"/>
      <c r="G760" s="7"/>
      <c r="H760" s="7"/>
      <c r="M760" s="1"/>
      <c r="P760" s="19"/>
      <c r="Q760" s="81"/>
      <c r="R760" s="19"/>
      <c r="S760" s="1"/>
      <c r="T760" s="1"/>
    </row>
    <row r="761" ht="12.75" customHeight="1">
      <c r="A761" s="1"/>
      <c r="B761" s="7"/>
      <c r="C761" s="19"/>
      <c r="D761" s="7"/>
      <c r="E761" s="7"/>
      <c r="F761" s="19"/>
      <c r="G761" s="7"/>
      <c r="H761" s="7"/>
      <c r="M761" s="1"/>
      <c r="P761" s="19"/>
      <c r="Q761" s="81"/>
      <c r="R761" s="19"/>
      <c r="S761" s="1"/>
      <c r="T761" s="1"/>
    </row>
    <row r="762" ht="12.75" customHeight="1">
      <c r="A762" s="1"/>
      <c r="B762" s="7"/>
      <c r="C762" s="19"/>
      <c r="D762" s="7"/>
      <c r="E762" s="7"/>
      <c r="F762" s="19"/>
      <c r="G762" s="7"/>
      <c r="H762" s="7"/>
      <c r="M762" s="1"/>
      <c r="P762" s="19"/>
      <c r="Q762" s="81"/>
      <c r="R762" s="19"/>
      <c r="S762" s="1"/>
      <c r="T762" s="1"/>
    </row>
    <row r="763" ht="12.75" customHeight="1">
      <c r="A763" s="1"/>
      <c r="B763" s="7"/>
      <c r="C763" s="19"/>
      <c r="D763" s="7"/>
      <c r="E763" s="7"/>
      <c r="F763" s="19"/>
      <c r="G763" s="7"/>
      <c r="H763" s="7"/>
      <c r="M763" s="1"/>
      <c r="P763" s="19"/>
      <c r="Q763" s="81"/>
      <c r="R763" s="19"/>
      <c r="S763" s="1"/>
      <c r="T763" s="1"/>
    </row>
    <row r="764" ht="12.75" customHeight="1">
      <c r="A764" s="1"/>
      <c r="B764" s="7"/>
      <c r="C764" s="19"/>
      <c r="D764" s="7"/>
      <c r="E764" s="7"/>
      <c r="F764" s="19"/>
      <c r="G764" s="7"/>
      <c r="H764" s="7"/>
      <c r="M764" s="1"/>
      <c r="P764" s="19"/>
      <c r="Q764" s="81"/>
      <c r="R764" s="19"/>
      <c r="S764" s="1"/>
      <c r="T764" s="1"/>
    </row>
    <row r="765" ht="12.75" customHeight="1">
      <c r="A765" s="1"/>
      <c r="B765" s="7"/>
      <c r="C765" s="19"/>
      <c r="D765" s="7"/>
      <c r="E765" s="7"/>
      <c r="F765" s="19"/>
      <c r="G765" s="7"/>
      <c r="H765" s="7"/>
      <c r="M765" s="1"/>
      <c r="P765" s="19"/>
      <c r="Q765" s="81"/>
      <c r="R765" s="19"/>
      <c r="S765" s="1"/>
      <c r="T765" s="1"/>
    </row>
    <row r="766" ht="12.75" customHeight="1">
      <c r="A766" s="1"/>
      <c r="B766" s="7"/>
      <c r="C766" s="19"/>
      <c r="D766" s="7"/>
      <c r="E766" s="7"/>
      <c r="F766" s="19"/>
      <c r="G766" s="7"/>
      <c r="H766" s="7"/>
      <c r="M766" s="1"/>
      <c r="P766" s="19"/>
      <c r="Q766" s="81"/>
      <c r="R766" s="19"/>
      <c r="S766" s="1"/>
      <c r="T766" s="1"/>
    </row>
    <row r="767" ht="12.75" customHeight="1">
      <c r="A767" s="1"/>
      <c r="B767" s="7"/>
      <c r="C767" s="19"/>
      <c r="D767" s="7"/>
      <c r="E767" s="7"/>
      <c r="F767" s="19"/>
      <c r="G767" s="7"/>
      <c r="H767" s="7"/>
      <c r="M767" s="1"/>
      <c r="P767" s="19"/>
      <c r="Q767" s="81"/>
      <c r="R767" s="19"/>
      <c r="S767" s="1"/>
      <c r="T767" s="1"/>
    </row>
    <row r="768" ht="12.75" customHeight="1">
      <c r="A768" s="1"/>
      <c r="B768" s="7"/>
      <c r="C768" s="19"/>
      <c r="D768" s="7"/>
      <c r="E768" s="7"/>
      <c r="F768" s="19"/>
      <c r="G768" s="7"/>
      <c r="H768" s="7"/>
      <c r="M768" s="1"/>
      <c r="P768" s="19"/>
      <c r="Q768" s="81"/>
      <c r="R768" s="19"/>
      <c r="S768" s="1"/>
      <c r="T768" s="1"/>
    </row>
    <row r="769" ht="12.75" customHeight="1">
      <c r="A769" s="1"/>
      <c r="B769" s="7"/>
      <c r="C769" s="19"/>
      <c r="D769" s="7"/>
      <c r="E769" s="7"/>
      <c r="F769" s="19"/>
      <c r="G769" s="7"/>
      <c r="H769" s="7"/>
      <c r="M769" s="1"/>
      <c r="P769" s="19"/>
      <c r="Q769" s="81"/>
      <c r="R769" s="19"/>
      <c r="S769" s="1"/>
      <c r="T769" s="1"/>
    </row>
    <row r="770" ht="12.75" customHeight="1">
      <c r="A770" s="1"/>
      <c r="B770" s="7"/>
      <c r="C770" s="19"/>
      <c r="D770" s="7"/>
      <c r="E770" s="7"/>
      <c r="F770" s="19"/>
      <c r="G770" s="7"/>
      <c r="H770" s="7"/>
      <c r="M770" s="1"/>
      <c r="P770" s="19"/>
      <c r="Q770" s="81"/>
      <c r="R770" s="19"/>
      <c r="S770" s="1"/>
      <c r="T770" s="1"/>
    </row>
    <row r="771" ht="12.75" customHeight="1">
      <c r="A771" s="1"/>
      <c r="B771" s="7"/>
      <c r="C771" s="19"/>
      <c r="D771" s="7"/>
      <c r="E771" s="7"/>
      <c r="F771" s="19"/>
      <c r="G771" s="7"/>
      <c r="H771" s="7"/>
      <c r="M771" s="1"/>
      <c r="P771" s="19"/>
      <c r="Q771" s="81"/>
      <c r="R771" s="19"/>
      <c r="S771" s="1"/>
      <c r="T771" s="1"/>
    </row>
    <row r="772" ht="12.75" customHeight="1">
      <c r="A772" s="1"/>
      <c r="B772" s="7"/>
      <c r="C772" s="19"/>
      <c r="D772" s="7"/>
      <c r="E772" s="7"/>
      <c r="F772" s="19"/>
      <c r="G772" s="7"/>
      <c r="H772" s="7"/>
      <c r="M772" s="1"/>
      <c r="P772" s="19"/>
      <c r="Q772" s="81"/>
      <c r="R772" s="19"/>
      <c r="S772" s="1"/>
      <c r="T772" s="1"/>
    </row>
    <row r="773" ht="12.75" customHeight="1">
      <c r="A773" s="1"/>
      <c r="B773" s="7"/>
      <c r="C773" s="19"/>
      <c r="D773" s="7"/>
      <c r="E773" s="7"/>
      <c r="F773" s="19"/>
      <c r="G773" s="7"/>
      <c r="H773" s="7"/>
      <c r="M773" s="1"/>
      <c r="P773" s="19"/>
      <c r="Q773" s="81"/>
      <c r="R773" s="19"/>
      <c r="S773" s="1"/>
      <c r="T773" s="1"/>
    </row>
    <row r="774" ht="12.75" customHeight="1">
      <c r="A774" s="1"/>
      <c r="B774" s="7"/>
      <c r="C774" s="19"/>
      <c r="D774" s="7"/>
      <c r="E774" s="7"/>
      <c r="F774" s="19"/>
      <c r="G774" s="7"/>
      <c r="H774" s="7"/>
      <c r="M774" s="1"/>
      <c r="P774" s="19"/>
      <c r="Q774" s="81"/>
      <c r="R774" s="19"/>
      <c r="S774" s="1"/>
      <c r="T774" s="1"/>
    </row>
    <row r="775" ht="12.75" customHeight="1">
      <c r="A775" s="1"/>
      <c r="B775" s="7"/>
      <c r="C775" s="19"/>
      <c r="D775" s="7"/>
      <c r="E775" s="7"/>
      <c r="F775" s="19"/>
      <c r="G775" s="7"/>
      <c r="H775" s="7"/>
      <c r="M775" s="1"/>
      <c r="P775" s="19"/>
      <c r="Q775" s="81"/>
      <c r="R775" s="19"/>
      <c r="S775" s="1"/>
      <c r="T775" s="1"/>
    </row>
    <row r="776" ht="12.75" customHeight="1">
      <c r="A776" s="1"/>
      <c r="B776" s="7"/>
      <c r="C776" s="19"/>
      <c r="D776" s="7"/>
      <c r="E776" s="7"/>
      <c r="F776" s="19"/>
      <c r="G776" s="7"/>
      <c r="H776" s="7"/>
      <c r="M776" s="1"/>
      <c r="P776" s="19"/>
      <c r="Q776" s="81"/>
      <c r="R776" s="19"/>
      <c r="S776" s="1"/>
      <c r="T776" s="1"/>
    </row>
    <row r="777" ht="12.75" customHeight="1">
      <c r="A777" s="1"/>
      <c r="B777" s="7"/>
      <c r="C777" s="19"/>
      <c r="D777" s="7"/>
      <c r="E777" s="7"/>
      <c r="F777" s="19"/>
      <c r="G777" s="7"/>
      <c r="H777" s="7"/>
      <c r="M777" s="1"/>
      <c r="P777" s="19"/>
      <c r="Q777" s="81"/>
      <c r="R777" s="19"/>
      <c r="S777" s="1"/>
      <c r="T777" s="1"/>
    </row>
    <row r="778" ht="12.75" customHeight="1">
      <c r="A778" s="1"/>
      <c r="B778" s="7"/>
      <c r="C778" s="19"/>
      <c r="D778" s="7"/>
      <c r="E778" s="7"/>
      <c r="F778" s="19"/>
      <c r="G778" s="7"/>
      <c r="H778" s="7"/>
      <c r="M778" s="1"/>
      <c r="P778" s="19"/>
      <c r="Q778" s="81"/>
      <c r="R778" s="19"/>
      <c r="S778" s="1"/>
      <c r="T778" s="1"/>
    </row>
    <row r="779" ht="12.75" customHeight="1">
      <c r="A779" s="1"/>
      <c r="B779" s="7"/>
      <c r="C779" s="19"/>
      <c r="D779" s="7"/>
      <c r="E779" s="7"/>
      <c r="F779" s="19"/>
      <c r="G779" s="7"/>
      <c r="H779" s="7"/>
      <c r="M779" s="1"/>
      <c r="P779" s="19"/>
      <c r="Q779" s="81"/>
      <c r="R779" s="19"/>
      <c r="S779" s="1"/>
      <c r="T779" s="1"/>
    </row>
    <row r="780" ht="12.75" customHeight="1">
      <c r="A780" s="1"/>
      <c r="B780" s="7"/>
      <c r="C780" s="19"/>
      <c r="D780" s="7"/>
      <c r="E780" s="7"/>
      <c r="F780" s="19"/>
      <c r="G780" s="7"/>
      <c r="H780" s="7"/>
      <c r="M780" s="1"/>
      <c r="P780" s="19"/>
      <c r="Q780" s="81"/>
      <c r="R780" s="19"/>
      <c r="S780" s="1"/>
      <c r="T780" s="1"/>
    </row>
    <row r="781" ht="12.75" customHeight="1">
      <c r="A781" s="1"/>
      <c r="B781" s="7"/>
      <c r="C781" s="19"/>
      <c r="D781" s="7"/>
      <c r="E781" s="7"/>
      <c r="F781" s="19"/>
      <c r="G781" s="7"/>
      <c r="H781" s="7"/>
      <c r="M781" s="1"/>
      <c r="P781" s="19"/>
      <c r="Q781" s="81"/>
      <c r="R781" s="19"/>
      <c r="S781" s="1"/>
      <c r="T781" s="1"/>
    </row>
    <row r="782" ht="12.75" customHeight="1">
      <c r="A782" s="1"/>
      <c r="B782" s="7"/>
      <c r="C782" s="19"/>
      <c r="D782" s="7"/>
      <c r="E782" s="7"/>
      <c r="F782" s="19"/>
      <c r="G782" s="7"/>
      <c r="H782" s="7"/>
      <c r="M782" s="1"/>
      <c r="P782" s="19"/>
      <c r="Q782" s="81"/>
      <c r="R782" s="19"/>
      <c r="S782" s="1"/>
      <c r="T782" s="1"/>
    </row>
    <row r="783" ht="12.75" customHeight="1">
      <c r="A783" s="1"/>
      <c r="B783" s="7"/>
      <c r="C783" s="19"/>
      <c r="D783" s="7"/>
      <c r="E783" s="7"/>
      <c r="F783" s="19"/>
      <c r="G783" s="7"/>
      <c r="H783" s="7"/>
      <c r="M783" s="1"/>
      <c r="P783" s="19"/>
      <c r="Q783" s="81"/>
      <c r="R783" s="19"/>
      <c r="S783" s="1"/>
      <c r="T783" s="1"/>
    </row>
    <row r="784" ht="12.75" customHeight="1">
      <c r="A784" s="1"/>
      <c r="B784" s="7"/>
      <c r="C784" s="19"/>
      <c r="D784" s="7"/>
      <c r="E784" s="7"/>
      <c r="F784" s="19"/>
      <c r="G784" s="7"/>
      <c r="H784" s="7"/>
      <c r="M784" s="1"/>
      <c r="P784" s="19"/>
      <c r="Q784" s="81"/>
      <c r="R784" s="19"/>
      <c r="S784" s="1"/>
      <c r="T784" s="1"/>
    </row>
    <row r="785" ht="12.75" customHeight="1">
      <c r="A785" s="1"/>
      <c r="B785" s="7"/>
      <c r="C785" s="19"/>
      <c r="D785" s="7"/>
      <c r="E785" s="7"/>
      <c r="F785" s="19"/>
      <c r="G785" s="7"/>
      <c r="H785" s="7"/>
      <c r="M785" s="1"/>
      <c r="P785" s="19"/>
      <c r="Q785" s="81"/>
      <c r="R785" s="19"/>
      <c r="S785" s="1"/>
      <c r="T785" s="1"/>
    </row>
    <row r="786" ht="12.75" customHeight="1">
      <c r="A786" s="1"/>
      <c r="B786" s="7"/>
      <c r="C786" s="19"/>
      <c r="D786" s="7"/>
      <c r="E786" s="7"/>
      <c r="F786" s="19"/>
      <c r="G786" s="7"/>
      <c r="H786" s="7"/>
      <c r="M786" s="1"/>
      <c r="P786" s="19"/>
      <c r="Q786" s="81"/>
      <c r="R786" s="19"/>
      <c r="S786" s="1"/>
      <c r="T786" s="1"/>
    </row>
    <row r="787" ht="12.75" customHeight="1">
      <c r="A787" s="1"/>
      <c r="B787" s="7"/>
      <c r="C787" s="19"/>
      <c r="D787" s="7"/>
      <c r="E787" s="7"/>
      <c r="F787" s="19"/>
      <c r="G787" s="7"/>
      <c r="H787" s="7"/>
      <c r="M787" s="1"/>
      <c r="P787" s="19"/>
      <c r="Q787" s="81"/>
      <c r="R787" s="19"/>
      <c r="S787" s="1"/>
      <c r="T787" s="1"/>
    </row>
    <row r="788" ht="12.75" customHeight="1">
      <c r="A788" s="1"/>
      <c r="B788" s="7"/>
      <c r="C788" s="19"/>
      <c r="D788" s="7"/>
      <c r="E788" s="7"/>
      <c r="F788" s="19"/>
      <c r="G788" s="7"/>
      <c r="H788" s="7"/>
      <c r="M788" s="1"/>
      <c r="P788" s="19"/>
      <c r="Q788" s="81"/>
      <c r="R788" s="19"/>
      <c r="S788" s="1"/>
      <c r="T788" s="1"/>
    </row>
    <row r="789" ht="12.75" customHeight="1">
      <c r="A789" s="1"/>
      <c r="B789" s="7"/>
      <c r="C789" s="19"/>
      <c r="D789" s="7"/>
      <c r="E789" s="7"/>
      <c r="F789" s="19"/>
      <c r="G789" s="7"/>
      <c r="H789" s="7"/>
      <c r="M789" s="1"/>
      <c r="P789" s="19"/>
      <c r="Q789" s="81"/>
      <c r="R789" s="19"/>
      <c r="S789" s="1"/>
      <c r="T789" s="1"/>
    </row>
    <row r="790" ht="12.75" customHeight="1">
      <c r="A790" s="1"/>
      <c r="B790" s="7"/>
      <c r="C790" s="19"/>
      <c r="D790" s="7"/>
      <c r="E790" s="7"/>
      <c r="F790" s="19"/>
      <c r="G790" s="7"/>
      <c r="H790" s="7"/>
      <c r="M790" s="1"/>
      <c r="P790" s="19"/>
      <c r="Q790" s="81"/>
      <c r="R790" s="19"/>
      <c r="S790" s="1"/>
      <c r="T790" s="1"/>
    </row>
    <row r="791" ht="12.75" customHeight="1">
      <c r="A791" s="1"/>
      <c r="B791" s="7"/>
      <c r="C791" s="19"/>
      <c r="D791" s="7"/>
      <c r="E791" s="7"/>
      <c r="F791" s="19"/>
      <c r="G791" s="7"/>
      <c r="H791" s="7"/>
      <c r="M791" s="1"/>
      <c r="P791" s="19"/>
      <c r="Q791" s="81"/>
      <c r="R791" s="19"/>
      <c r="S791" s="1"/>
      <c r="T791" s="1"/>
    </row>
    <row r="792" ht="12.75" customHeight="1">
      <c r="A792" s="1"/>
      <c r="B792" s="7"/>
      <c r="C792" s="19"/>
      <c r="D792" s="7"/>
      <c r="E792" s="7"/>
      <c r="F792" s="19"/>
      <c r="G792" s="7"/>
      <c r="H792" s="7"/>
      <c r="M792" s="1"/>
      <c r="P792" s="19"/>
      <c r="Q792" s="81"/>
      <c r="R792" s="19"/>
      <c r="S792" s="1"/>
      <c r="T792" s="1"/>
    </row>
    <row r="793" ht="12.75" customHeight="1">
      <c r="A793" s="1"/>
      <c r="B793" s="7"/>
      <c r="C793" s="19"/>
      <c r="D793" s="7"/>
      <c r="E793" s="7"/>
      <c r="F793" s="19"/>
      <c r="G793" s="7"/>
      <c r="H793" s="7"/>
      <c r="M793" s="1"/>
      <c r="P793" s="19"/>
      <c r="Q793" s="81"/>
      <c r="R793" s="19"/>
      <c r="S793" s="1"/>
      <c r="T793" s="1"/>
    </row>
    <row r="794" ht="12.75" customHeight="1">
      <c r="A794" s="1"/>
      <c r="B794" s="7"/>
      <c r="C794" s="19"/>
      <c r="D794" s="7"/>
      <c r="E794" s="7"/>
      <c r="F794" s="19"/>
      <c r="G794" s="7"/>
      <c r="H794" s="7"/>
      <c r="M794" s="1"/>
      <c r="P794" s="19"/>
      <c r="Q794" s="81"/>
      <c r="R794" s="19"/>
      <c r="S794" s="1"/>
      <c r="T794" s="1"/>
    </row>
    <row r="795" ht="12.75" customHeight="1">
      <c r="A795" s="1"/>
      <c r="B795" s="7"/>
      <c r="C795" s="19"/>
      <c r="D795" s="7"/>
      <c r="E795" s="7"/>
      <c r="F795" s="19"/>
      <c r="G795" s="7"/>
      <c r="H795" s="7"/>
      <c r="M795" s="1"/>
      <c r="P795" s="19"/>
      <c r="Q795" s="81"/>
      <c r="R795" s="19"/>
      <c r="S795" s="1"/>
      <c r="T795" s="1"/>
    </row>
    <row r="796" ht="12.75" customHeight="1">
      <c r="A796" s="1"/>
      <c r="B796" s="7"/>
      <c r="C796" s="19"/>
      <c r="D796" s="7"/>
      <c r="E796" s="7"/>
      <c r="F796" s="19"/>
      <c r="G796" s="7"/>
      <c r="H796" s="7"/>
      <c r="M796" s="1"/>
      <c r="P796" s="19"/>
      <c r="Q796" s="81"/>
      <c r="R796" s="19"/>
      <c r="S796" s="1"/>
      <c r="T796" s="1"/>
    </row>
    <row r="797" ht="12.75" customHeight="1">
      <c r="A797" s="1"/>
      <c r="B797" s="7"/>
      <c r="C797" s="19"/>
      <c r="D797" s="7"/>
      <c r="E797" s="7"/>
      <c r="F797" s="19"/>
      <c r="G797" s="7"/>
      <c r="H797" s="7"/>
      <c r="M797" s="1"/>
      <c r="P797" s="19"/>
      <c r="Q797" s="81"/>
      <c r="R797" s="19"/>
      <c r="S797" s="1"/>
      <c r="T797" s="1"/>
    </row>
    <row r="798" ht="12.75" customHeight="1">
      <c r="A798" s="1"/>
      <c r="B798" s="7"/>
      <c r="C798" s="19"/>
      <c r="D798" s="7"/>
      <c r="E798" s="7"/>
      <c r="F798" s="19"/>
      <c r="G798" s="7"/>
      <c r="H798" s="7"/>
      <c r="M798" s="1"/>
      <c r="P798" s="19"/>
      <c r="Q798" s="81"/>
      <c r="R798" s="19"/>
      <c r="S798" s="1"/>
      <c r="T798" s="1"/>
    </row>
    <row r="799" ht="12.75" customHeight="1">
      <c r="A799" s="1"/>
      <c r="B799" s="7"/>
      <c r="C799" s="19"/>
      <c r="D799" s="7"/>
      <c r="E799" s="7"/>
      <c r="F799" s="19"/>
      <c r="G799" s="7"/>
      <c r="H799" s="7"/>
      <c r="M799" s="1"/>
      <c r="P799" s="19"/>
      <c r="Q799" s="81"/>
      <c r="R799" s="19"/>
      <c r="S799" s="1"/>
      <c r="T799" s="1"/>
    </row>
    <row r="800" ht="12.75" customHeight="1">
      <c r="A800" s="1"/>
      <c r="B800" s="7"/>
      <c r="C800" s="19"/>
      <c r="D800" s="7"/>
      <c r="E800" s="7"/>
      <c r="F800" s="19"/>
      <c r="G800" s="7"/>
      <c r="H800" s="7"/>
      <c r="M800" s="1"/>
      <c r="P800" s="19"/>
      <c r="Q800" s="81"/>
      <c r="R800" s="19"/>
      <c r="S800" s="1"/>
      <c r="T800" s="1"/>
    </row>
    <row r="801" ht="12.75" customHeight="1">
      <c r="A801" s="1"/>
      <c r="B801" s="7"/>
      <c r="C801" s="19"/>
      <c r="D801" s="7"/>
      <c r="E801" s="7"/>
      <c r="F801" s="19"/>
      <c r="G801" s="7"/>
      <c r="H801" s="7"/>
      <c r="M801" s="1"/>
      <c r="P801" s="19"/>
      <c r="Q801" s="81"/>
      <c r="R801" s="19"/>
      <c r="S801" s="1"/>
      <c r="T801" s="1"/>
    </row>
    <row r="802" ht="12.75" customHeight="1">
      <c r="A802" s="1"/>
      <c r="B802" s="7"/>
      <c r="C802" s="19"/>
      <c r="D802" s="7"/>
      <c r="E802" s="7"/>
      <c r="F802" s="19"/>
      <c r="G802" s="7"/>
      <c r="H802" s="7"/>
      <c r="M802" s="1"/>
      <c r="P802" s="19"/>
      <c r="Q802" s="81"/>
      <c r="R802" s="19"/>
      <c r="S802" s="1"/>
      <c r="T802" s="1"/>
    </row>
    <row r="803" ht="12.75" customHeight="1">
      <c r="A803" s="1"/>
      <c r="B803" s="7"/>
      <c r="C803" s="19"/>
      <c r="D803" s="7"/>
      <c r="E803" s="7"/>
      <c r="F803" s="19"/>
      <c r="G803" s="7"/>
      <c r="H803" s="7"/>
      <c r="M803" s="1"/>
      <c r="P803" s="19"/>
      <c r="Q803" s="81"/>
      <c r="R803" s="19"/>
      <c r="S803" s="1"/>
      <c r="T803" s="1"/>
    </row>
    <row r="804" ht="12.75" customHeight="1">
      <c r="A804" s="1"/>
      <c r="B804" s="7"/>
      <c r="C804" s="19"/>
      <c r="D804" s="7"/>
      <c r="E804" s="7"/>
      <c r="F804" s="19"/>
      <c r="G804" s="7"/>
      <c r="H804" s="7"/>
      <c r="M804" s="1"/>
      <c r="P804" s="19"/>
      <c r="Q804" s="81"/>
      <c r="R804" s="19"/>
      <c r="S804" s="1"/>
      <c r="T804" s="1"/>
    </row>
    <row r="805" ht="12.75" customHeight="1">
      <c r="A805" s="1"/>
      <c r="B805" s="7"/>
      <c r="C805" s="19"/>
      <c r="D805" s="7"/>
      <c r="E805" s="7"/>
      <c r="F805" s="19"/>
      <c r="G805" s="7"/>
      <c r="H805" s="7"/>
      <c r="M805" s="1"/>
      <c r="P805" s="19"/>
      <c r="Q805" s="81"/>
      <c r="R805" s="19"/>
      <c r="S805" s="1"/>
      <c r="T805" s="1"/>
    </row>
    <row r="806" ht="12.75" customHeight="1">
      <c r="A806" s="1"/>
      <c r="B806" s="7"/>
      <c r="C806" s="19"/>
      <c r="D806" s="7"/>
      <c r="E806" s="7"/>
      <c r="F806" s="19"/>
      <c r="G806" s="7"/>
      <c r="H806" s="7"/>
      <c r="M806" s="1"/>
      <c r="P806" s="19"/>
      <c r="Q806" s="81"/>
      <c r="R806" s="19"/>
      <c r="S806" s="1"/>
      <c r="T806" s="1"/>
    </row>
    <row r="807" ht="12.75" customHeight="1">
      <c r="A807" s="1"/>
      <c r="B807" s="7"/>
      <c r="C807" s="19"/>
      <c r="D807" s="7"/>
      <c r="E807" s="7"/>
      <c r="F807" s="19"/>
      <c r="G807" s="7"/>
      <c r="H807" s="7"/>
      <c r="M807" s="1"/>
      <c r="P807" s="19"/>
      <c r="Q807" s="81"/>
      <c r="R807" s="19"/>
      <c r="S807" s="1"/>
      <c r="T807" s="1"/>
    </row>
    <row r="808" ht="12.75" customHeight="1">
      <c r="A808" s="1"/>
      <c r="B808" s="7"/>
      <c r="C808" s="19"/>
      <c r="D808" s="7"/>
      <c r="E808" s="7"/>
      <c r="F808" s="19"/>
      <c r="G808" s="7"/>
      <c r="H808" s="7"/>
      <c r="M808" s="1"/>
      <c r="P808" s="19"/>
      <c r="Q808" s="81"/>
      <c r="R808" s="19"/>
      <c r="S808" s="1"/>
      <c r="T808" s="1"/>
    </row>
    <row r="809" ht="12.75" customHeight="1">
      <c r="A809" s="1"/>
      <c r="B809" s="7"/>
      <c r="C809" s="19"/>
      <c r="D809" s="7"/>
      <c r="E809" s="7"/>
      <c r="F809" s="19"/>
      <c r="G809" s="7"/>
      <c r="H809" s="7"/>
      <c r="M809" s="1"/>
      <c r="P809" s="19"/>
      <c r="Q809" s="81"/>
      <c r="R809" s="19"/>
      <c r="S809" s="1"/>
      <c r="T809" s="1"/>
    </row>
    <row r="810" ht="12.75" customHeight="1">
      <c r="A810" s="1"/>
      <c r="B810" s="7"/>
      <c r="C810" s="19"/>
      <c r="D810" s="7"/>
      <c r="E810" s="7"/>
      <c r="F810" s="19"/>
      <c r="G810" s="7"/>
      <c r="H810" s="7"/>
      <c r="M810" s="1"/>
      <c r="P810" s="19"/>
      <c r="Q810" s="81"/>
      <c r="R810" s="19"/>
      <c r="S810" s="1"/>
      <c r="T810" s="1"/>
    </row>
    <row r="811" ht="12.75" customHeight="1">
      <c r="A811" s="1"/>
      <c r="B811" s="7"/>
      <c r="C811" s="19"/>
      <c r="D811" s="7"/>
      <c r="E811" s="7"/>
      <c r="F811" s="19"/>
      <c r="G811" s="7"/>
      <c r="H811" s="7"/>
      <c r="M811" s="1"/>
      <c r="P811" s="19"/>
      <c r="Q811" s="81"/>
      <c r="R811" s="19"/>
      <c r="S811" s="1"/>
      <c r="T811" s="1"/>
    </row>
    <row r="812" ht="12.75" customHeight="1">
      <c r="A812" s="1"/>
      <c r="B812" s="7"/>
      <c r="C812" s="19"/>
      <c r="D812" s="7"/>
      <c r="E812" s="7"/>
      <c r="F812" s="19"/>
      <c r="G812" s="7"/>
      <c r="H812" s="7"/>
      <c r="M812" s="1"/>
      <c r="P812" s="19"/>
      <c r="Q812" s="81"/>
      <c r="R812" s="19"/>
      <c r="S812" s="1"/>
      <c r="T812" s="1"/>
    </row>
    <row r="813" ht="12.75" customHeight="1">
      <c r="A813" s="1"/>
      <c r="B813" s="7"/>
      <c r="C813" s="19"/>
      <c r="D813" s="7"/>
      <c r="E813" s="7"/>
      <c r="F813" s="19"/>
      <c r="G813" s="7"/>
      <c r="H813" s="7"/>
      <c r="M813" s="1"/>
      <c r="P813" s="19"/>
      <c r="Q813" s="81"/>
      <c r="R813" s="19"/>
      <c r="S813" s="1"/>
      <c r="T813" s="1"/>
    </row>
    <row r="814" ht="12.75" customHeight="1">
      <c r="A814" s="1"/>
      <c r="B814" s="7"/>
      <c r="C814" s="19"/>
      <c r="D814" s="7"/>
      <c r="E814" s="7"/>
      <c r="F814" s="19"/>
      <c r="G814" s="7"/>
      <c r="H814" s="7"/>
      <c r="M814" s="1"/>
      <c r="P814" s="19"/>
      <c r="Q814" s="81"/>
      <c r="R814" s="19"/>
      <c r="S814" s="1"/>
      <c r="T814" s="1"/>
    </row>
    <row r="815" ht="12.75" customHeight="1">
      <c r="A815" s="1"/>
      <c r="B815" s="7"/>
      <c r="C815" s="19"/>
      <c r="D815" s="7"/>
      <c r="E815" s="7"/>
      <c r="F815" s="19"/>
      <c r="G815" s="7"/>
      <c r="H815" s="7"/>
      <c r="M815" s="1"/>
      <c r="P815" s="19"/>
      <c r="Q815" s="81"/>
      <c r="R815" s="19"/>
      <c r="S815" s="1"/>
      <c r="T815" s="1"/>
    </row>
    <row r="816" ht="12.75" customHeight="1">
      <c r="A816" s="1"/>
      <c r="B816" s="7"/>
      <c r="C816" s="19"/>
      <c r="D816" s="7"/>
      <c r="E816" s="7"/>
      <c r="F816" s="19"/>
      <c r="G816" s="7"/>
      <c r="H816" s="7"/>
      <c r="M816" s="1"/>
      <c r="P816" s="19"/>
      <c r="Q816" s="81"/>
      <c r="R816" s="19"/>
      <c r="S816" s="1"/>
      <c r="T816" s="1"/>
    </row>
    <row r="817" ht="12.75" customHeight="1">
      <c r="A817" s="1"/>
      <c r="B817" s="7"/>
      <c r="C817" s="19"/>
      <c r="D817" s="7"/>
      <c r="E817" s="7"/>
      <c r="F817" s="19"/>
      <c r="G817" s="7"/>
      <c r="H817" s="7"/>
      <c r="M817" s="1"/>
      <c r="P817" s="19"/>
      <c r="Q817" s="81"/>
      <c r="R817" s="19"/>
      <c r="S817" s="1"/>
      <c r="T817" s="1"/>
    </row>
    <row r="818" ht="12.75" customHeight="1">
      <c r="A818" s="1"/>
      <c r="B818" s="7"/>
      <c r="C818" s="19"/>
      <c r="D818" s="7"/>
      <c r="E818" s="7"/>
      <c r="F818" s="19"/>
      <c r="G818" s="7"/>
      <c r="H818" s="7"/>
      <c r="M818" s="1"/>
      <c r="P818" s="19"/>
      <c r="Q818" s="81"/>
      <c r="R818" s="19"/>
      <c r="S818" s="1"/>
      <c r="T818" s="1"/>
    </row>
    <row r="819" ht="12.75" customHeight="1">
      <c r="A819" s="1"/>
      <c r="B819" s="7"/>
      <c r="C819" s="19"/>
      <c r="D819" s="7"/>
      <c r="E819" s="7"/>
      <c r="F819" s="19"/>
      <c r="G819" s="7"/>
      <c r="H819" s="7"/>
      <c r="M819" s="1"/>
      <c r="P819" s="19"/>
      <c r="Q819" s="81"/>
      <c r="R819" s="19"/>
      <c r="S819" s="1"/>
      <c r="T819" s="1"/>
    </row>
    <row r="820" ht="12.75" customHeight="1">
      <c r="A820" s="1"/>
      <c r="B820" s="7"/>
      <c r="C820" s="19"/>
      <c r="D820" s="7"/>
      <c r="E820" s="7"/>
      <c r="F820" s="19"/>
      <c r="G820" s="7"/>
      <c r="H820" s="7"/>
      <c r="M820" s="1"/>
      <c r="P820" s="19"/>
      <c r="Q820" s="81"/>
      <c r="R820" s="19"/>
      <c r="S820" s="1"/>
      <c r="T820" s="1"/>
    </row>
    <row r="821" ht="12.75" customHeight="1">
      <c r="A821" s="1"/>
      <c r="B821" s="7"/>
      <c r="C821" s="19"/>
      <c r="D821" s="7"/>
      <c r="E821" s="7"/>
      <c r="F821" s="19"/>
      <c r="G821" s="7"/>
      <c r="H821" s="7"/>
      <c r="M821" s="1"/>
      <c r="P821" s="19"/>
      <c r="Q821" s="81"/>
      <c r="R821" s="19"/>
      <c r="S821" s="1"/>
      <c r="T821" s="1"/>
    </row>
    <row r="822" ht="12.75" customHeight="1">
      <c r="A822" s="1"/>
      <c r="B822" s="7"/>
      <c r="C822" s="19"/>
      <c r="D822" s="7"/>
      <c r="E822" s="7"/>
      <c r="F822" s="19"/>
      <c r="G822" s="7"/>
      <c r="H822" s="7"/>
      <c r="M822" s="1"/>
      <c r="P822" s="19"/>
      <c r="Q822" s="81"/>
      <c r="R822" s="19"/>
      <c r="S822" s="1"/>
      <c r="T822" s="1"/>
    </row>
    <row r="823" ht="12.75" customHeight="1">
      <c r="A823" s="1"/>
      <c r="B823" s="7"/>
      <c r="C823" s="19"/>
      <c r="D823" s="7"/>
      <c r="E823" s="7"/>
      <c r="F823" s="19"/>
      <c r="G823" s="7"/>
      <c r="H823" s="7"/>
      <c r="M823" s="1"/>
      <c r="P823" s="19"/>
      <c r="Q823" s="81"/>
      <c r="R823" s="19"/>
      <c r="S823" s="1"/>
      <c r="T823" s="1"/>
    </row>
    <row r="824" ht="12.75" customHeight="1">
      <c r="A824" s="1"/>
      <c r="B824" s="7"/>
      <c r="C824" s="19"/>
      <c r="D824" s="7"/>
      <c r="E824" s="7"/>
      <c r="F824" s="19"/>
      <c r="G824" s="7"/>
      <c r="H824" s="7"/>
      <c r="M824" s="1"/>
      <c r="P824" s="19"/>
      <c r="Q824" s="81"/>
      <c r="R824" s="19"/>
      <c r="S824" s="1"/>
      <c r="T824" s="1"/>
    </row>
    <row r="825" ht="12.75" customHeight="1">
      <c r="A825" s="1"/>
      <c r="B825" s="7"/>
      <c r="C825" s="19"/>
      <c r="D825" s="7"/>
      <c r="E825" s="7"/>
      <c r="F825" s="19"/>
      <c r="G825" s="7"/>
      <c r="H825" s="7"/>
      <c r="M825" s="1"/>
      <c r="P825" s="19"/>
      <c r="Q825" s="81"/>
      <c r="R825" s="19"/>
      <c r="S825" s="1"/>
      <c r="T825" s="1"/>
    </row>
    <row r="826" ht="12.75" customHeight="1">
      <c r="A826" s="1"/>
      <c r="B826" s="7"/>
      <c r="C826" s="19"/>
      <c r="D826" s="7"/>
      <c r="E826" s="7"/>
      <c r="F826" s="19"/>
      <c r="G826" s="7"/>
      <c r="H826" s="7"/>
      <c r="M826" s="1"/>
      <c r="P826" s="19"/>
      <c r="Q826" s="81"/>
      <c r="R826" s="19"/>
      <c r="S826" s="1"/>
      <c r="T826" s="1"/>
    </row>
    <row r="827" ht="12.75" customHeight="1">
      <c r="A827" s="1"/>
      <c r="B827" s="7"/>
      <c r="C827" s="19"/>
      <c r="D827" s="7"/>
      <c r="E827" s="7"/>
      <c r="F827" s="19"/>
      <c r="G827" s="7"/>
      <c r="H827" s="7"/>
      <c r="M827" s="1"/>
      <c r="P827" s="19"/>
      <c r="Q827" s="81"/>
      <c r="R827" s="19"/>
      <c r="S827" s="1"/>
      <c r="T827" s="1"/>
    </row>
    <row r="828" ht="12.75" customHeight="1">
      <c r="A828" s="1"/>
      <c r="B828" s="7"/>
      <c r="C828" s="19"/>
      <c r="D828" s="7"/>
      <c r="E828" s="7"/>
      <c r="F828" s="19"/>
      <c r="G828" s="7"/>
      <c r="H828" s="7"/>
      <c r="M828" s="1"/>
      <c r="P828" s="19"/>
      <c r="Q828" s="81"/>
      <c r="R828" s="19"/>
      <c r="S828" s="1"/>
      <c r="T828" s="1"/>
    </row>
    <row r="829" ht="12.75" customHeight="1">
      <c r="A829" s="1"/>
      <c r="B829" s="7"/>
      <c r="C829" s="19"/>
      <c r="D829" s="7"/>
      <c r="E829" s="7"/>
      <c r="F829" s="19"/>
      <c r="G829" s="7"/>
      <c r="H829" s="7"/>
      <c r="M829" s="1"/>
      <c r="P829" s="19"/>
      <c r="Q829" s="81"/>
      <c r="R829" s="19"/>
      <c r="S829" s="1"/>
      <c r="T829" s="1"/>
    </row>
    <row r="830" ht="12.75" customHeight="1">
      <c r="A830" s="1"/>
      <c r="B830" s="7"/>
      <c r="C830" s="19"/>
      <c r="D830" s="7"/>
      <c r="E830" s="7"/>
      <c r="F830" s="19"/>
      <c r="G830" s="7"/>
      <c r="H830" s="7"/>
      <c r="M830" s="1"/>
      <c r="P830" s="19"/>
      <c r="Q830" s="81"/>
      <c r="R830" s="19"/>
      <c r="S830" s="1"/>
      <c r="T830" s="1"/>
    </row>
    <row r="831" ht="12.75" customHeight="1">
      <c r="A831" s="1"/>
      <c r="B831" s="7"/>
      <c r="C831" s="19"/>
      <c r="D831" s="7"/>
      <c r="E831" s="7"/>
      <c r="F831" s="19"/>
      <c r="G831" s="7"/>
      <c r="H831" s="7"/>
      <c r="M831" s="1"/>
      <c r="P831" s="19"/>
      <c r="Q831" s="81"/>
      <c r="R831" s="19"/>
      <c r="S831" s="1"/>
      <c r="T831" s="1"/>
    </row>
    <row r="832" ht="12.75" customHeight="1">
      <c r="A832" s="1"/>
      <c r="B832" s="7"/>
      <c r="C832" s="19"/>
      <c r="D832" s="7"/>
      <c r="E832" s="7"/>
      <c r="F832" s="19"/>
      <c r="G832" s="7"/>
      <c r="H832" s="7"/>
      <c r="M832" s="1"/>
      <c r="P832" s="19"/>
      <c r="Q832" s="81"/>
      <c r="R832" s="19"/>
      <c r="S832" s="1"/>
      <c r="T832" s="1"/>
    </row>
    <row r="833" ht="12.75" customHeight="1">
      <c r="A833" s="1"/>
      <c r="B833" s="7"/>
      <c r="C833" s="19"/>
      <c r="D833" s="7"/>
      <c r="E833" s="7"/>
      <c r="F833" s="19"/>
      <c r="G833" s="7"/>
      <c r="H833" s="7"/>
      <c r="M833" s="1"/>
      <c r="P833" s="19"/>
      <c r="Q833" s="81"/>
      <c r="R833" s="19"/>
      <c r="S833" s="1"/>
      <c r="T833" s="1"/>
    </row>
    <row r="834" ht="12.75" customHeight="1">
      <c r="A834" s="1"/>
      <c r="B834" s="7"/>
      <c r="C834" s="19"/>
      <c r="D834" s="7"/>
      <c r="E834" s="7"/>
      <c r="F834" s="19"/>
      <c r="G834" s="7"/>
      <c r="H834" s="7"/>
      <c r="M834" s="1"/>
      <c r="P834" s="19"/>
      <c r="Q834" s="81"/>
      <c r="R834" s="19"/>
      <c r="S834" s="1"/>
      <c r="T834" s="1"/>
    </row>
    <row r="835" ht="12.75" customHeight="1">
      <c r="A835" s="1"/>
      <c r="B835" s="7"/>
      <c r="C835" s="19"/>
      <c r="D835" s="7"/>
      <c r="E835" s="7"/>
      <c r="F835" s="19"/>
      <c r="G835" s="7"/>
      <c r="H835" s="7"/>
      <c r="M835" s="1"/>
      <c r="P835" s="19"/>
      <c r="Q835" s="81"/>
      <c r="R835" s="19"/>
      <c r="S835" s="1"/>
      <c r="T835" s="1"/>
    </row>
    <row r="836" ht="12.75" customHeight="1">
      <c r="A836" s="1"/>
      <c r="B836" s="7"/>
      <c r="C836" s="19"/>
      <c r="D836" s="7"/>
      <c r="E836" s="7"/>
      <c r="F836" s="19"/>
      <c r="G836" s="7"/>
      <c r="H836" s="7"/>
      <c r="M836" s="1"/>
      <c r="P836" s="19"/>
      <c r="Q836" s="81"/>
      <c r="R836" s="19"/>
      <c r="S836" s="1"/>
      <c r="T836" s="1"/>
    </row>
    <row r="837" ht="12.75" customHeight="1">
      <c r="A837" s="1"/>
      <c r="B837" s="7"/>
      <c r="C837" s="19"/>
      <c r="D837" s="7"/>
      <c r="E837" s="7"/>
      <c r="F837" s="19"/>
      <c r="G837" s="7"/>
      <c r="H837" s="7"/>
      <c r="M837" s="1"/>
      <c r="P837" s="19"/>
      <c r="Q837" s="81"/>
      <c r="R837" s="19"/>
      <c r="S837" s="1"/>
      <c r="T837" s="1"/>
    </row>
    <row r="838" ht="12.75" customHeight="1">
      <c r="A838" s="1"/>
      <c r="B838" s="7"/>
      <c r="C838" s="19"/>
      <c r="D838" s="7"/>
      <c r="E838" s="7"/>
      <c r="F838" s="19"/>
      <c r="G838" s="7"/>
      <c r="H838" s="7"/>
      <c r="M838" s="1"/>
      <c r="P838" s="19"/>
      <c r="Q838" s="81"/>
      <c r="R838" s="19"/>
      <c r="S838" s="1"/>
      <c r="T838" s="1"/>
    </row>
    <row r="839" ht="12.75" customHeight="1">
      <c r="A839" s="1"/>
      <c r="B839" s="7"/>
      <c r="C839" s="19"/>
      <c r="D839" s="7"/>
      <c r="E839" s="7"/>
      <c r="F839" s="19"/>
      <c r="G839" s="7"/>
      <c r="H839" s="7"/>
      <c r="M839" s="1"/>
      <c r="P839" s="19"/>
      <c r="Q839" s="81"/>
      <c r="R839" s="19"/>
      <c r="S839" s="1"/>
      <c r="T839" s="1"/>
    </row>
    <row r="840" ht="12.75" customHeight="1">
      <c r="A840" s="1"/>
      <c r="B840" s="7"/>
      <c r="C840" s="19"/>
      <c r="D840" s="7"/>
      <c r="E840" s="7"/>
      <c r="F840" s="19"/>
      <c r="G840" s="7"/>
      <c r="H840" s="7"/>
      <c r="M840" s="1"/>
      <c r="P840" s="19"/>
      <c r="Q840" s="81"/>
      <c r="R840" s="19"/>
      <c r="S840" s="1"/>
      <c r="T840" s="1"/>
    </row>
    <row r="841" ht="12.75" customHeight="1">
      <c r="A841" s="1"/>
      <c r="B841" s="7"/>
      <c r="C841" s="19"/>
      <c r="D841" s="7"/>
      <c r="E841" s="7"/>
      <c r="F841" s="19"/>
      <c r="G841" s="7"/>
      <c r="H841" s="7"/>
      <c r="M841" s="1"/>
      <c r="P841" s="19"/>
      <c r="Q841" s="81"/>
      <c r="R841" s="19"/>
      <c r="S841" s="1"/>
      <c r="T841" s="1"/>
    </row>
    <row r="842" ht="12.75" customHeight="1">
      <c r="A842" s="1"/>
      <c r="B842" s="7"/>
      <c r="C842" s="19"/>
      <c r="D842" s="7"/>
      <c r="E842" s="7"/>
      <c r="F842" s="19"/>
      <c r="G842" s="7"/>
      <c r="H842" s="7"/>
      <c r="M842" s="1"/>
      <c r="P842" s="19"/>
      <c r="Q842" s="81"/>
      <c r="R842" s="19"/>
      <c r="S842" s="1"/>
      <c r="T842" s="1"/>
    </row>
    <row r="843" ht="12.75" customHeight="1">
      <c r="A843" s="1"/>
      <c r="B843" s="7"/>
      <c r="C843" s="19"/>
      <c r="D843" s="7"/>
      <c r="E843" s="7"/>
      <c r="F843" s="19"/>
      <c r="G843" s="7"/>
      <c r="H843" s="7"/>
      <c r="M843" s="1"/>
      <c r="P843" s="19"/>
      <c r="Q843" s="81"/>
      <c r="R843" s="19"/>
      <c r="S843" s="1"/>
      <c r="T843" s="1"/>
    </row>
    <row r="844" ht="12.75" customHeight="1">
      <c r="A844" s="1"/>
      <c r="B844" s="7"/>
      <c r="C844" s="19"/>
      <c r="D844" s="7"/>
      <c r="E844" s="7"/>
      <c r="F844" s="19"/>
      <c r="G844" s="7"/>
      <c r="H844" s="7"/>
      <c r="M844" s="1"/>
      <c r="P844" s="19"/>
      <c r="Q844" s="81"/>
      <c r="R844" s="19"/>
      <c r="S844" s="1"/>
      <c r="T844" s="1"/>
    </row>
    <row r="845" ht="12.75" customHeight="1">
      <c r="A845" s="1"/>
      <c r="B845" s="7"/>
      <c r="C845" s="19"/>
      <c r="D845" s="7"/>
      <c r="E845" s="7"/>
      <c r="F845" s="19"/>
      <c r="G845" s="7"/>
      <c r="H845" s="7"/>
      <c r="M845" s="1"/>
      <c r="P845" s="19"/>
      <c r="Q845" s="81"/>
      <c r="R845" s="19"/>
      <c r="S845" s="1"/>
      <c r="T845" s="1"/>
    </row>
    <row r="846" ht="12.75" customHeight="1">
      <c r="A846" s="1"/>
      <c r="B846" s="7"/>
      <c r="C846" s="19"/>
      <c r="D846" s="7"/>
      <c r="E846" s="7"/>
      <c r="F846" s="19"/>
      <c r="G846" s="7"/>
      <c r="H846" s="7"/>
      <c r="M846" s="1"/>
      <c r="P846" s="19"/>
      <c r="Q846" s="81"/>
      <c r="R846" s="19"/>
      <c r="S846" s="1"/>
      <c r="T846" s="1"/>
    </row>
    <row r="847" ht="12.75" customHeight="1">
      <c r="A847" s="1"/>
      <c r="B847" s="7"/>
      <c r="C847" s="19"/>
      <c r="D847" s="7"/>
      <c r="E847" s="7"/>
      <c r="F847" s="19"/>
      <c r="G847" s="7"/>
      <c r="H847" s="7"/>
      <c r="M847" s="1"/>
      <c r="P847" s="19"/>
      <c r="Q847" s="81"/>
      <c r="R847" s="19"/>
      <c r="S847" s="1"/>
      <c r="T847" s="1"/>
    </row>
    <row r="848" ht="12.75" customHeight="1">
      <c r="A848" s="1"/>
      <c r="B848" s="7"/>
      <c r="C848" s="19"/>
      <c r="D848" s="7"/>
      <c r="E848" s="7"/>
      <c r="F848" s="19"/>
      <c r="G848" s="7"/>
      <c r="H848" s="7"/>
      <c r="M848" s="1"/>
      <c r="P848" s="19"/>
      <c r="Q848" s="81"/>
      <c r="R848" s="19"/>
      <c r="S848" s="1"/>
      <c r="T848" s="1"/>
    </row>
    <row r="849" ht="12.75" customHeight="1">
      <c r="A849" s="1"/>
      <c r="B849" s="7"/>
      <c r="C849" s="19"/>
      <c r="D849" s="7"/>
      <c r="E849" s="7"/>
      <c r="F849" s="19"/>
      <c r="G849" s="7"/>
      <c r="H849" s="7"/>
      <c r="M849" s="1"/>
      <c r="P849" s="19"/>
      <c r="Q849" s="81"/>
      <c r="R849" s="19"/>
      <c r="S849" s="1"/>
      <c r="T849" s="1"/>
    </row>
    <row r="850" ht="12.75" customHeight="1">
      <c r="A850" s="1"/>
      <c r="B850" s="7"/>
      <c r="C850" s="19"/>
      <c r="D850" s="7"/>
      <c r="E850" s="7"/>
      <c r="F850" s="19"/>
      <c r="G850" s="7"/>
      <c r="H850" s="7"/>
      <c r="M850" s="1"/>
      <c r="P850" s="19"/>
      <c r="Q850" s="81"/>
      <c r="R850" s="19"/>
      <c r="S850" s="1"/>
      <c r="T850" s="1"/>
    </row>
    <row r="851" ht="12.75" customHeight="1">
      <c r="A851" s="1"/>
      <c r="B851" s="7"/>
      <c r="C851" s="19"/>
      <c r="D851" s="7"/>
      <c r="E851" s="7"/>
      <c r="F851" s="19"/>
      <c r="G851" s="7"/>
      <c r="H851" s="7"/>
      <c r="M851" s="1"/>
      <c r="P851" s="19"/>
      <c r="Q851" s="81"/>
      <c r="R851" s="19"/>
      <c r="S851" s="1"/>
      <c r="T851" s="1"/>
    </row>
    <row r="852" ht="12.75" customHeight="1">
      <c r="A852" s="1"/>
      <c r="B852" s="7"/>
      <c r="C852" s="19"/>
      <c r="D852" s="7"/>
      <c r="E852" s="7"/>
      <c r="F852" s="19"/>
      <c r="G852" s="7"/>
      <c r="H852" s="7"/>
      <c r="M852" s="1"/>
      <c r="P852" s="19"/>
      <c r="Q852" s="81"/>
      <c r="R852" s="19"/>
      <c r="S852" s="1"/>
      <c r="T852" s="1"/>
    </row>
    <row r="853" ht="12.75" customHeight="1">
      <c r="A853" s="1"/>
      <c r="B853" s="7"/>
      <c r="C853" s="19"/>
      <c r="D853" s="7"/>
      <c r="E853" s="7"/>
      <c r="F853" s="19"/>
      <c r="G853" s="7"/>
      <c r="H853" s="7"/>
      <c r="M853" s="1"/>
      <c r="P853" s="19"/>
      <c r="Q853" s="81"/>
      <c r="R853" s="19"/>
      <c r="S853" s="1"/>
      <c r="T853" s="1"/>
    </row>
    <row r="854" ht="12.75" customHeight="1">
      <c r="A854" s="1"/>
      <c r="B854" s="7"/>
      <c r="C854" s="19"/>
      <c r="D854" s="7"/>
      <c r="E854" s="7"/>
      <c r="F854" s="19"/>
      <c r="G854" s="7"/>
      <c r="H854" s="7"/>
      <c r="M854" s="1"/>
      <c r="P854" s="19"/>
      <c r="Q854" s="81"/>
      <c r="R854" s="19"/>
      <c r="S854" s="1"/>
      <c r="T854" s="1"/>
    </row>
    <row r="855" ht="12.75" customHeight="1">
      <c r="A855" s="1"/>
      <c r="B855" s="7"/>
      <c r="C855" s="19"/>
      <c r="D855" s="7"/>
      <c r="E855" s="7"/>
      <c r="F855" s="19"/>
      <c r="G855" s="7"/>
      <c r="H855" s="7"/>
      <c r="M855" s="1"/>
      <c r="P855" s="19"/>
      <c r="Q855" s="81"/>
      <c r="R855" s="19"/>
      <c r="S855" s="1"/>
      <c r="T855" s="1"/>
    </row>
    <row r="856" ht="12.75" customHeight="1">
      <c r="A856" s="1"/>
      <c r="B856" s="7"/>
      <c r="C856" s="19"/>
      <c r="D856" s="7"/>
      <c r="E856" s="7"/>
      <c r="F856" s="19"/>
      <c r="G856" s="7"/>
      <c r="H856" s="7"/>
      <c r="M856" s="1"/>
      <c r="P856" s="19"/>
      <c r="Q856" s="81"/>
      <c r="R856" s="19"/>
      <c r="S856" s="1"/>
      <c r="T856" s="1"/>
    </row>
    <row r="857" ht="12.75" customHeight="1">
      <c r="A857" s="1"/>
      <c r="B857" s="7"/>
      <c r="C857" s="19"/>
      <c r="D857" s="7"/>
      <c r="E857" s="7"/>
      <c r="F857" s="19"/>
      <c r="G857" s="7"/>
      <c r="H857" s="7"/>
      <c r="M857" s="1"/>
      <c r="P857" s="19"/>
      <c r="Q857" s="81"/>
      <c r="R857" s="19"/>
      <c r="S857" s="1"/>
      <c r="T857" s="1"/>
    </row>
    <row r="858" ht="12.75" customHeight="1">
      <c r="A858" s="1"/>
      <c r="B858" s="7"/>
      <c r="C858" s="19"/>
      <c r="D858" s="7"/>
      <c r="E858" s="7"/>
      <c r="F858" s="19"/>
      <c r="G858" s="7"/>
      <c r="H858" s="7"/>
      <c r="M858" s="1"/>
      <c r="P858" s="19"/>
      <c r="Q858" s="81"/>
      <c r="R858" s="19"/>
      <c r="S858" s="1"/>
      <c r="T858" s="1"/>
    </row>
    <row r="859" ht="12.75" customHeight="1">
      <c r="A859" s="1"/>
      <c r="B859" s="7"/>
      <c r="C859" s="19"/>
      <c r="D859" s="7"/>
      <c r="E859" s="7"/>
      <c r="F859" s="19"/>
      <c r="G859" s="7"/>
      <c r="H859" s="7"/>
      <c r="M859" s="1"/>
      <c r="P859" s="19"/>
      <c r="Q859" s="81"/>
      <c r="R859" s="19"/>
      <c r="S859" s="1"/>
      <c r="T859" s="1"/>
    </row>
    <row r="860" ht="12.75" customHeight="1">
      <c r="A860" s="1"/>
      <c r="B860" s="7"/>
      <c r="C860" s="19"/>
      <c r="D860" s="7"/>
      <c r="E860" s="7"/>
      <c r="F860" s="19"/>
      <c r="G860" s="7"/>
      <c r="H860" s="7"/>
      <c r="M860" s="1"/>
      <c r="P860" s="19"/>
      <c r="Q860" s="81"/>
      <c r="R860" s="19"/>
      <c r="S860" s="1"/>
      <c r="T860" s="1"/>
    </row>
    <row r="861" ht="12.75" customHeight="1">
      <c r="A861" s="1"/>
      <c r="B861" s="7"/>
      <c r="C861" s="19"/>
      <c r="D861" s="7"/>
      <c r="E861" s="7"/>
      <c r="F861" s="19"/>
      <c r="G861" s="7"/>
      <c r="H861" s="7"/>
      <c r="M861" s="1"/>
      <c r="P861" s="19"/>
      <c r="Q861" s="81"/>
      <c r="R861" s="19"/>
      <c r="S861" s="1"/>
      <c r="T861" s="1"/>
    </row>
    <row r="862" ht="12.75" customHeight="1">
      <c r="A862" s="1"/>
      <c r="B862" s="7"/>
      <c r="C862" s="19"/>
      <c r="D862" s="7"/>
      <c r="E862" s="7"/>
      <c r="F862" s="19"/>
      <c r="G862" s="7"/>
      <c r="H862" s="7"/>
      <c r="M862" s="1"/>
      <c r="P862" s="19"/>
      <c r="Q862" s="81"/>
      <c r="R862" s="19"/>
      <c r="S862" s="1"/>
      <c r="T862" s="1"/>
    </row>
    <row r="863" ht="12.75" customHeight="1">
      <c r="A863" s="1"/>
      <c r="B863" s="7"/>
      <c r="C863" s="19"/>
      <c r="D863" s="7"/>
      <c r="E863" s="7"/>
      <c r="F863" s="19"/>
      <c r="G863" s="7"/>
      <c r="H863" s="7"/>
      <c r="M863" s="1"/>
      <c r="P863" s="19"/>
      <c r="Q863" s="81"/>
      <c r="R863" s="19"/>
      <c r="S863" s="1"/>
      <c r="T863" s="1"/>
    </row>
    <row r="864" ht="12.75" customHeight="1">
      <c r="A864" s="1"/>
      <c r="B864" s="7"/>
      <c r="C864" s="19"/>
      <c r="D864" s="7"/>
      <c r="E864" s="7"/>
      <c r="F864" s="19"/>
      <c r="G864" s="7"/>
      <c r="H864" s="7"/>
      <c r="M864" s="1"/>
      <c r="P864" s="19"/>
      <c r="Q864" s="81"/>
      <c r="R864" s="19"/>
      <c r="S864" s="1"/>
      <c r="T864" s="1"/>
    </row>
    <row r="865" ht="12.75" customHeight="1">
      <c r="A865" s="1"/>
      <c r="B865" s="7"/>
      <c r="C865" s="19"/>
      <c r="D865" s="7"/>
      <c r="E865" s="7"/>
      <c r="F865" s="19"/>
      <c r="G865" s="7"/>
      <c r="H865" s="7"/>
      <c r="M865" s="1"/>
      <c r="P865" s="19"/>
      <c r="Q865" s="81"/>
      <c r="R865" s="19"/>
      <c r="S865" s="1"/>
      <c r="T865" s="1"/>
    </row>
    <row r="866" ht="12.75" customHeight="1">
      <c r="A866" s="1"/>
      <c r="B866" s="7"/>
      <c r="C866" s="19"/>
      <c r="D866" s="7"/>
      <c r="E866" s="7"/>
      <c r="F866" s="19"/>
      <c r="G866" s="7"/>
      <c r="H866" s="7"/>
      <c r="M866" s="1"/>
      <c r="P866" s="19"/>
      <c r="Q866" s="81"/>
      <c r="R866" s="19"/>
      <c r="S866" s="1"/>
      <c r="T866" s="1"/>
    </row>
    <row r="867" ht="12.75" customHeight="1">
      <c r="A867" s="1"/>
      <c r="B867" s="7"/>
      <c r="C867" s="19"/>
      <c r="D867" s="7"/>
      <c r="E867" s="7"/>
      <c r="F867" s="19"/>
      <c r="G867" s="7"/>
      <c r="H867" s="7"/>
      <c r="M867" s="1"/>
      <c r="P867" s="19"/>
      <c r="Q867" s="81"/>
      <c r="R867" s="19"/>
      <c r="S867" s="1"/>
      <c r="T867" s="1"/>
    </row>
    <row r="868" ht="12.75" customHeight="1">
      <c r="A868" s="1"/>
      <c r="B868" s="7"/>
      <c r="C868" s="19"/>
      <c r="D868" s="7"/>
      <c r="E868" s="7"/>
      <c r="F868" s="19"/>
      <c r="G868" s="7"/>
      <c r="H868" s="7"/>
      <c r="M868" s="1"/>
      <c r="P868" s="19"/>
      <c r="Q868" s="81"/>
      <c r="R868" s="19"/>
      <c r="S868" s="1"/>
      <c r="T868" s="1"/>
    </row>
    <row r="869" ht="12.75" customHeight="1">
      <c r="A869" s="1"/>
      <c r="B869" s="7"/>
      <c r="C869" s="19"/>
      <c r="D869" s="7"/>
      <c r="E869" s="7"/>
      <c r="F869" s="19"/>
      <c r="G869" s="7"/>
      <c r="H869" s="7"/>
      <c r="M869" s="1"/>
      <c r="P869" s="19"/>
      <c r="Q869" s="81"/>
      <c r="R869" s="19"/>
      <c r="S869" s="1"/>
      <c r="T869" s="1"/>
    </row>
    <row r="870" ht="12.75" customHeight="1">
      <c r="A870" s="1"/>
      <c r="B870" s="7"/>
      <c r="C870" s="19"/>
      <c r="D870" s="7"/>
      <c r="E870" s="7"/>
      <c r="F870" s="19"/>
      <c r="G870" s="7"/>
      <c r="H870" s="7"/>
      <c r="M870" s="1"/>
      <c r="P870" s="19"/>
      <c r="Q870" s="81"/>
      <c r="R870" s="19"/>
      <c r="S870" s="1"/>
      <c r="T870" s="1"/>
    </row>
    <row r="871" ht="12.75" customHeight="1">
      <c r="A871" s="1"/>
      <c r="B871" s="7"/>
      <c r="C871" s="19"/>
      <c r="D871" s="7"/>
      <c r="E871" s="7"/>
      <c r="F871" s="19"/>
      <c r="G871" s="7"/>
      <c r="H871" s="7"/>
      <c r="M871" s="1"/>
      <c r="P871" s="19"/>
      <c r="Q871" s="81"/>
      <c r="R871" s="19"/>
      <c r="S871" s="1"/>
      <c r="T871" s="1"/>
    </row>
    <row r="872" ht="12.75" customHeight="1">
      <c r="A872" s="1"/>
      <c r="B872" s="7"/>
      <c r="C872" s="19"/>
      <c r="D872" s="7"/>
      <c r="E872" s="7"/>
      <c r="F872" s="19"/>
      <c r="G872" s="7"/>
      <c r="H872" s="7"/>
      <c r="M872" s="1"/>
      <c r="P872" s="19"/>
      <c r="Q872" s="81"/>
      <c r="R872" s="19"/>
      <c r="S872" s="1"/>
      <c r="T872" s="1"/>
    </row>
    <row r="873" ht="12.75" customHeight="1">
      <c r="A873" s="1"/>
      <c r="B873" s="7"/>
      <c r="C873" s="19"/>
      <c r="D873" s="7"/>
      <c r="E873" s="7"/>
      <c r="F873" s="19"/>
      <c r="G873" s="7"/>
      <c r="H873" s="7"/>
      <c r="M873" s="1"/>
      <c r="P873" s="19"/>
      <c r="Q873" s="81"/>
      <c r="R873" s="19"/>
      <c r="S873" s="1"/>
      <c r="T873" s="1"/>
    </row>
    <row r="874" ht="12.75" customHeight="1">
      <c r="A874" s="1"/>
      <c r="B874" s="7"/>
      <c r="C874" s="19"/>
      <c r="D874" s="7"/>
      <c r="E874" s="7"/>
      <c r="F874" s="19"/>
      <c r="G874" s="7"/>
      <c r="H874" s="7"/>
      <c r="M874" s="1"/>
      <c r="P874" s="19"/>
      <c r="Q874" s="81"/>
      <c r="R874" s="19"/>
      <c r="S874" s="1"/>
      <c r="T874" s="1"/>
    </row>
    <row r="875" ht="12.75" customHeight="1">
      <c r="A875" s="1"/>
      <c r="B875" s="7"/>
      <c r="C875" s="19"/>
      <c r="D875" s="7"/>
      <c r="E875" s="7"/>
      <c r="F875" s="19"/>
      <c r="G875" s="7"/>
      <c r="H875" s="7"/>
      <c r="M875" s="1"/>
      <c r="P875" s="19"/>
      <c r="Q875" s="81"/>
      <c r="R875" s="19"/>
      <c r="S875" s="1"/>
      <c r="T875" s="1"/>
    </row>
    <row r="876" ht="12.75" customHeight="1">
      <c r="A876" s="1"/>
      <c r="B876" s="7"/>
      <c r="C876" s="19"/>
      <c r="D876" s="7"/>
      <c r="E876" s="7"/>
      <c r="F876" s="19"/>
      <c r="G876" s="7"/>
      <c r="H876" s="7"/>
      <c r="M876" s="1"/>
      <c r="P876" s="19"/>
      <c r="Q876" s="81"/>
      <c r="R876" s="19"/>
      <c r="S876" s="1"/>
      <c r="T876" s="1"/>
    </row>
    <row r="877" ht="12.75" customHeight="1">
      <c r="A877" s="1"/>
      <c r="B877" s="7"/>
      <c r="C877" s="19"/>
      <c r="D877" s="7"/>
      <c r="E877" s="7"/>
      <c r="F877" s="19"/>
      <c r="G877" s="7"/>
      <c r="H877" s="7"/>
      <c r="M877" s="1"/>
      <c r="P877" s="19"/>
      <c r="Q877" s="81"/>
      <c r="R877" s="19"/>
      <c r="S877" s="1"/>
      <c r="T877" s="1"/>
    </row>
    <row r="878" ht="12.75" customHeight="1">
      <c r="A878" s="1"/>
      <c r="B878" s="7"/>
      <c r="C878" s="19"/>
      <c r="D878" s="7"/>
      <c r="E878" s="7"/>
      <c r="F878" s="19"/>
      <c r="G878" s="7"/>
      <c r="H878" s="7"/>
      <c r="M878" s="1"/>
      <c r="P878" s="19"/>
      <c r="Q878" s="81"/>
      <c r="R878" s="19"/>
      <c r="S878" s="1"/>
      <c r="T878" s="1"/>
    </row>
    <row r="879" ht="12.75" customHeight="1">
      <c r="A879" s="1"/>
      <c r="B879" s="7"/>
      <c r="C879" s="19"/>
      <c r="D879" s="7"/>
      <c r="E879" s="7"/>
      <c r="F879" s="19"/>
      <c r="G879" s="7"/>
      <c r="H879" s="7"/>
      <c r="M879" s="1"/>
      <c r="P879" s="19"/>
      <c r="Q879" s="81"/>
      <c r="R879" s="19"/>
      <c r="S879" s="1"/>
      <c r="T879" s="1"/>
    </row>
    <row r="880" ht="12.75" customHeight="1">
      <c r="A880" s="1"/>
      <c r="B880" s="7"/>
      <c r="C880" s="19"/>
      <c r="D880" s="7"/>
      <c r="E880" s="7"/>
      <c r="F880" s="19"/>
      <c r="G880" s="7"/>
      <c r="H880" s="7"/>
      <c r="M880" s="1"/>
      <c r="P880" s="19"/>
      <c r="Q880" s="81"/>
      <c r="R880" s="19"/>
      <c r="S880" s="1"/>
      <c r="T880" s="1"/>
    </row>
    <row r="881" ht="12.75" customHeight="1">
      <c r="A881" s="1"/>
      <c r="B881" s="7"/>
      <c r="C881" s="19"/>
      <c r="D881" s="7"/>
      <c r="E881" s="7"/>
      <c r="F881" s="19"/>
      <c r="G881" s="7"/>
      <c r="H881" s="7"/>
      <c r="M881" s="1"/>
      <c r="P881" s="19"/>
      <c r="Q881" s="81"/>
      <c r="R881" s="19"/>
      <c r="S881" s="1"/>
      <c r="T881" s="1"/>
    </row>
    <row r="882" ht="12.75" customHeight="1">
      <c r="A882" s="1"/>
      <c r="B882" s="7"/>
      <c r="C882" s="19"/>
      <c r="D882" s="7"/>
      <c r="E882" s="7"/>
      <c r="F882" s="19"/>
      <c r="G882" s="7"/>
      <c r="H882" s="7"/>
      <c r="M882" s="1"/>
      <c r="P882" s="19"/>
      <c r="Q882" s="81"/>
      <c r="R882" s="19"/>
      <c r="S882" s="1"/>
      <c r="T882" s="1"/>
    </row>
    <row r="883" ht="12.75" customHeight="1">
      <c r="A883" s="1"/>
      <c r="B883" s="7"/>
      <c r="C883" s="19"/>
      <c r="D883" s="7"/>
      <c r="E883" s="7"/>
      <c r="F883" s="19"/>
      <c r="G883" s="7"/>
      <c r="H883" s="7"/>
      <c r="M883" s="1"/>
      <c r="P883" s="19"/>
      <c r="Q883" s="81"/>
      <c r="R883" s="19"/>
      <c r="S883" s="1"/>
      <c r="T883" s="1"/>
    </row>
    <row r="884" ht="12.75" customHeight="1">
      <c r="A884" s="1"/>
      <c r="B884" s="7"/>
      <c r="C884" s="19"/>
      <c r="D884" s="7"/>
      <c r="E884" s="7"/>
      <c r="F884" s="19"/>
      <c r="G884" s="7"/>
      <c r="H884" s="7"/>
      <c r="M884" s="1"/>
      <c r="P884" s="19"/>
      <c r="Q884" s="81"/>
      <c r="R884" s="19"/>
      <c r="S884" s="1"/>
      <c r="T884" s="1"/>
    </row>
    <row r="885" ht="12.75" customHeight="1">
      <c r="A885" s="1"/>
      <c r="B885" s="7"/>
      <c r="C885" s="19"/>
      <c r="D885" s="7"/>
      <c r="E885" s="7"/>
      <c r="F885" s="19"/>
      <c r="G885" s="7"/>
      <c r="H885" s="7"/>
      <c r="M885" s="1"/>
      <c r="P885" s="19"/>
      <c r="Q885" s="81"/>
      <c r="R885" s="19"/>
      <c r="S885" s="1"/>
      <c r="T885" s="1"/>
    </row>
    <row r="886" ht="12.75" customHeight="1">
      <c r="A886" s="1"/>
      <c r="B886" s="7"/>
      <c r="C886" s="19"/>
      <c r="D886" s="7"/>
      <c r="E886" s="7"/>
      <c r="F886" s="19"/>
      <c r="G886" s="7"/>
      <c r="H886" s="7"/>
      <c r="M886" s="1"/>
      <c r="P886" s="19"/>
      <c r="Q886" s="81"/>
      <c r="R886" s="19"/>
      <c r="S886" s="1"/>
      <c r="T886" s="1"/>
    </row>
    <row r="887" ht="12.75" customHeight="1">
      <c r="A887" s="1"/>
      <c r="B887" s="7"/>
      <c r="C887" s="19"/>
      <c r="D887" s="7"/>
      <c r="E887" s="7"/>
      <c r="F887" s="19"/>
      <c r="G887" s="7"/>
      <c r="H887" s="7"/>
      <c r="M887" s="1"/>
      <c r="P887" s="19"/>
      <c r="Q887" s="81"/>
      <c r="R887" s="19"/>
      <c r="S887" s="1"/>
      <c r="T887" s="1"/>
    </row>
    <row r="888" ht="12.75" customHeight="1">
      <c r="A888" s="1"/>
      <c r="B888" s="7"/>
      <c r="C888" s="19"/>
      <c r="D888" s="7"/>
      <c r="E888" s="7"/>
      <c r="F888" s="19"/>
      <c r="G888" s="7"/>
      <c r="H888" s="7"/>
      <c r="M888" s="1"/>
      <c r="P888" s="19"/>
      <c r="Q888" s="81"/>
      <c r="R888" s="19"/>
      <c r="S888" s="1"/>
      <c r="T888" s="1"/>
    </row>
    <row r="889" ht="12.75" customHeight="1">
      <c r="A889" s="1"/>
      <c r="B889" s="7"/>
      <c r="C889" s="19"/>
      <c r="D889" s="7"/>
      <c r="E889" s="7"/>
      <c r="F889" s="19"/>
      <c r="G889" s="7"/>
      <c r="H889" s="7"/>
      <c r="M889" s="1"/>
      <c r="P889" s="19"/>
      <c r="Q889" s="81"/>
      <c r="R889" s="19"/>
      <c r="S889" s="1"/>
      <c r="T889" s="1"/>
    </row>
    <row r="890" ht="12.75" customHeight="1">
      <c r="A890" s="1"/>
      <c r="B890" s="7"/>
      <c r="C890" s="19"/>
      <c r="D890" s="7"/>
      <c r="E890" s="7"/>
      <c r="F890" s="19"/>
      <c r="G890" s="7"/>
      <c r="H890" s="7"/>
      <c r="M890" s="1"/>
      <c r="P890" s="19"/>
      <c r="Q890" s="81"/>
      <c r="R890" s="19"/>
      <c r="S890" s="1"/>
      <c r="T890" s="1"/>
    </row>
    <row r="891" ht="12.75" customHeight="1">
      <c r="A891" s="1"/>
      <c r="B891" s="7"/>
      <c r="C891" s="19"/>
      <c r="D891" s="7"/>
      <c r="E891" s="7"/>
      <c r="F891" s="19"/>
      <c r="G891" s="7"/>
      <c r="H891" s="7"/>
      <c r="M891" s="1"/>
      <c r="P891" s="19"/>
      <c r="Q891" s="81"/>
      <c r="R891" s="19"/>
      <c r="S891" s="1"/>
      <c r="T891" s="1"/>
    </row>
    <row r="892" ht="12.75" customHeight="1">
      <c r="A892" s="1"/>
      <c r="B892" s="7"/>
      <c r="C892" s="19"/>
      <c r="D892" s="7"/>
      <c r="E892" s="7"/>
      <c r="F892" s="19"/>
      <c r="G892" s="7"/>
      <c r="H892" s="7"/>
      <c r="M892" s="1"/>
      <c r="P892" s="19"/>
      <c r="Q892" s="81"/>
      <c r="R892" s="19"/>
      <c r="S892" s="1"/>
      <c r="T892" s="1"/>
    </row>
    <row r="893" ht="12.75" customHeight="1">
      <c r="A893" s="1"/>
      <c r="B893" s="7"/>
      <c r="C893" s="19"/>
      <c r="D893" s="7"/>
      <c r="E893" s="7"/>
      <c r="F893" s="19"/>
      <c r="G893" s="7"/>
      <c r="H893" s="7"/>
      <c r="M893" s="1"/>
      <c r="P893" s="19"/>
      <c r="Q893" s="81"/>
      <c r="R893" s="19"/>
      <c r="S893" s="1"/>
      <c r="T893" s="1"/>
    </row>
    <row r="894" ht="12.75" customHeight="1">
      <c r="A894" s="1"/>
      <c r="B894" s="7"/>
      <c r="C894" s="19"/>
      <c r="D894" s="7"/>
      <c r="E894" s="7"/>
      <c r="F894" s="19"/>
      <c r="G894" s="7"/>
      <c r="H894" s="7"/>
      <c r="M894" s="1"/>
      <c r="P894" s="19"/>
      <c r="Q894" s="81"/>
      <c r="R894" s="19"/>
      <c r="S894" s="1"/>
      <c r="T894" s="1"/>
    </row>
    <row r="895" ht="12.75" customHeight="1">
      <c r="A895" s="1"/>
      <c r="B895" s="7"/>
      <c r="C895" s="19"/>
      <c r="D895" s="7"/>
      <c r="E895" s="7"/>
      <c r="F895" s="19"/>
      <c r="G895" s="7"/>
      <c r="H895" s="7"/>
      <c r="M895" s="1"/>
      <c r="P895" s="19"/>
      <c r="Q895" s="81"/>
      <c r="R895" s="19"/>
      <c r="S895" s="1"/>
      <c r="T895" s="1"/>
    </row>
    <row r="896" ht="12.75" customHeight="1">
      <c r="A896" s="1"/>
      <c r="B896" s="7"/>
      <c r="C896" s="19"/>
      <c r="D896" s="7"/>
      <c r="E896" s="7"/>
      <c r="F896" s="19"/>
      <c r="G896" s="7"/>
      <c r="H896" s="7"/>
      <c r="M896" s="1"/>
      <c r="P896" s="19"/>
      <c r="Q896" s="81"/>
      <c r="R896" s="19"/>
      <c r="S896" s="1"/>
      <c r="T896" s="1"/>
    </row>
    <row r="897" ht="12.75" customHeight="1">
      <c r="A897" s="1"/>
      <c r="B897" s="7"/>
      <c r="C897" s="19"/>
      <c r="D897" s="7"/>
      <c r="E897" s="7"/>
      <c r="F897" s="19"/>
      <c r="G897" s="7"/>
      <c r="H897" s="7"/>
      <c r="M897" s="1"/>
      <c r="P897" s="19"/>
      <c r="Q897" s="81"/>
      <c r="R897" s="19"/>
      <c r="S897" s="1"/>
      <c r="T897" s="1"/>
    </row>
    <row r="898" ht="12.75" customHeight="1">
      <c r="A898" s="1"/>
      <c r="B898" s="7"/>
      <c r="C898" s="19"/>
      <c r="D898" s="7"/>
      <c r="E898" s="7"/>
      <c r="F898" s="19"/>
      <c r="G898" s="7"/>
      <c r="H898" s="7"/>
      <c r="M898" s="1"/>
      <c r="P898" s="19"/>
      <c r="Q898" s="81"/>
      <c r="R898" s="19"/>
      <c r="S898" s="1"/>
      <c r="T898" s="1"/>
    </row>
    <row r="899" ht="12.75" customHeight="1">
      <c r="A899" s="1"/>
      <c r="B899" s="7"/>
      <c r="C899" s="19"/>
      <c r="D899" s="7"/>
      <c r="E899" s="7"/>
      <c r="F899" s="19"/>
      <c r="G899" s="7"/>
      <c r="H899" s="7"/>
      <c r="M899" s="1"/>
      <c r="P899" s="19"/>
      <c r="Q899" s="81"/>
      <c r="R899" s="19"/>
      <c r="S899" s="1"/>
      <c r="T899" s="1"/>
    </row>
    <row r="900" ht="12.75" customHeight="1">
      <c r="A900" s="1"/>
      <c r="B900" s="7"/>
      <c r="C900" s="19"/>
      <c r="D900" s="7"/>
      <c r="E900" s="7"/>
      <c r="F900" s="19"/>
      <c r="G900" s="7"/>
      <c r="H900" s="7"/>
      <c r="M900" s="1"/>
      <c r="P900" s="19"/>
      <c r="Q900" s="81"/>
      <c r="R900" s="19"/>
      <c r="S900" s="1"/>
      <c r="T900" s="1"/>
    </row>
    <row r="901" ht="12.75" customHeight="1">
      <c r="A901" s="1"/>
      <c r="B901" s="7"/>
      <c r="C901" s="19"/>
      <c r="D901" s="7"/>
      <c r="E901" s="7"/>
      <c r="F901" s="19"/>
      <c r="G901" s="7"/>
      <c r="H901" s="7"/>
      <c r="M901" s="1"/>
      <c r="P901" s="19"/>
      <c r="Q901" s="81"/>
      <c r="R901" s="19"/>
      <c r="S901" s="1"/>
      <c r="T901" s="1"/>
    </row>
    <row r="902" ht="12.75" customHeight="1">
      <c r="A902" s="1"/>
      <c r="B902" s="7"/>
      <c r="C902" s="19"/>
      <c r="D902" s="7"/>
      <c r="E902" s="7"/>
      <c r="F902" s="19"/>
      <c r="G902" s="7"/>
      <c r="H902" s="7"/>
      <c r="M902" s="1"/>
      <c r="P902" s="19"/>
      <c r="Q902" s="81"/>
      <c r="R902" s="19"/>
      <c r="S902" s="1"/>
      <c r="T902" s="1"/>
    </row>
    <row r="903" ht="12.75" customHeight="1">
      <c r="A903" s="1"/>
      <c r="B903" s="7"/>
      <c r="C903" s="19"/>
      <c r="D903" s="7"/>
      <c r="E903" s="7"/>
      <c r="F903" s="19"/>
      <c r="G903" s="7"/>
      <c r="H903" s="7"/>
      <c r="M903" s="1"/>
      <c r="P903" s="19"/>
      <c r="Q903" s="81"/>
      <c r="R903" s="19"/>
      <c r="S903" s="1"/>
      <c r="T903" s="1"/>
    </row>
    <row r="904" ht="12.75" customHeight="1">
      <c r="A904" s="1"/>
      <c r="B904" s="7"/>
      <c r="C904" s="19"/>
      <c r="D904" s="7"/>
      <c r="E904" s="7"/>
      <c r="F904" s="19"/>
      <c r="G904" s="7"/>
      <c r="H904" s="7"/>
      <c r="M904" s="1"/>
      <c r="P904" s="19"/>
      <c r="Q904" s="81"/>
      <c r="R904" s="19"/>
      <c r="S904" s="1"/>
      <c r="T904" s="1"/>
    </row>
    <row r="905" ht="12.75" customHeight="1">
      <c r="A905" s="1"/>
      <c r="B905" s="7"/>
      <c r="C905" s="19"/>
      <c r="D905" s="7"/>
      <c r="E905" s="7"/>
      <c r="F905" s="19"/>
      <c r="G905" s="7"/>
      <c r="H905" s="7"/>
      <c r="M905" s="1"/>
      <c r="P905" s="19"/>
      <c r="Q905" s="81"/>
      <c r="R905" s="19"/>
      <c r="S905" s="1"/>
      <c r="T905" s="1"/>
    </row>
    <row r="906" ht="12.75" customHeight="1">
      <c r="A906" s="1"/>
      <c r="B906" s="7"/>
      <c r="C906" s="19"/>
      <c r="D906" s="7"/>
      <c r="E906" s="7"/>
      <c r="F906" s="19"/>
      <c r="G906" s="7"/>
      <c r="H906" s="7"/>
      <c r="M906" s="1"/>
      <c r="P906" s="19"/>
      <c r="Q906" s="81"/>
      <c r="R906" s="19"/>
      <c r="S906" s="1"/>
      <c r="T906" s="1"/>
    </row>
    <row r="907" ht="12.75" customHeight="1">
      <c r="A907" s="1"/>
      <c r="B907" s="7"/>
      <c r="C907" s="19"/>
      <c r="D907" s="7"/>
      <c r="E907" s="7"/>
      <c r="F907" s="19"/>
      <c r="G907" s="7"/>
      <c r="H907" s="7"/>
      <c r="M907" s="1"/>
      <c r="P907" s="19"/>
      <c r="Q907" s="81"/>
      <c r="R907" s="19"/>
      <c r="S907" s="1"/>
      <c r="T907" s="1"/>
    </row>
    <row r="908" ht="12.75" customHeight="1">
      <c r="A908" s="1"/>
      <c r="B908" s="7"/>
      <c r="C908" s="19"/>
      <c r="D908" s="7"/>
      <c r="E908" s="7"/>
      <c r="F908" s="19"/>
      <c r="G908" s="7"/>
      <c r="H908" s="7"/>
      <c r="M908" s="1"/>
      <c r="P908" s="19"/>
      <c r="Q908" s="81"/>
      <c r="R908" s="19"/>
      <c r="S908" s="1"/>
      <c r="T908" s="1"/>
    </row>
    <row r="909" ht="12.75" customHeight="1">
      <c r="A909" s="1"/>
      <c r="B909" s="7"/>
      <c r="C909" s="19"/>
      <c r="D909" s="7"/>
      <c r="E909" s="7"/>
      <c r="F909" s="19"/>
      <c r="G909" s="7"/>
      <c r="H909" s="7"/>
      <c r="M909" s="1"/>
      <c r="P909" s="19"/>
      <c r="Q909" s="81"/>
      <c r="R909" s="19"/>
      <c r="S909" s="1"/>
      <c r="T909" s="1"/>
    </row>
    <row r="910" ht="12.75" customHeight="1">
      <c r="A910" s="1"/>
      <c r="B910" s="7"/>
      <c r="C910" s="19"/>
      <c r="D910" s="7"/>
      <c r="E910" s="7"/>
      <c r="F910" s="19"/>
      <c r="G910" s="7"/>
      <c r="H910" s="7"/>
      <c r="M910" s="1"/>
      <c r="P910" s="19"/>
      <c r="Q910" s="81"/>
      <c r="R910" s="19"/>
      <c r="S910" s="1"/>
      <c r="T910" s="1"/>
    </row>
    <row r="911" ht="12.75" customHeight="1">
      <c r="A911" s="1"/>
      <c r="B911" s="7"/>
      <c r="C911" s="19"/>
      <c r="D911" s="7"/>
      <c r="E911" s="7"/>
      <c r="F911" s="19"/>
      <c r="G911" s="7"/>
      <c r="H911" s="7"/>
      <c r="M911" s="1"/>
      <c r="P911" s="19"/>
      <c r="Q911" s="81"/>
      <c r="R911" s="19"/>
      <c r="S911" s="1"/>
      <c r="T911" s="1"/>
    </row>
    <row r="912" ht="12.75" customHeight="1">
      <c r="A912" s="1"/>
      <c r="B912" s="7"/>
      <c r="C912" s="19"/>
      <c r="D912" s="7"/>
      <c r="E912" s="7"/>
      <c r="F912" s="19"/>
      <c r="G912" s="7"/>
      <c r="H912" s="7"/>
      <c r="M912" s="1"/>
      <c r="P912" s="19"/>
      <c r="Q912" s="81"/>
      <c r="R912" s="19"/>
      <c r="S912" s="1"/>
      <c r="T912" s="1"/>
    </row>
    <row r="913" ht="12.75" customHeight="1">
      <c r="A913" s="1"/>
      <c r="B913" s="7"/>
      <c r="C913" s="19"/>
      <c r="D913" s="7"/>
      <c r="E913" s="7"/>
      <c r="F913" s="19"/>
      <c r="G913" s="7"/>
      <c r="H913" s="7"/>
      <c r="M913" s="1"/>
      <c r="P913" s="19"/>
      <c r="Q913" s="81"/>
      <c r="R913" s="19"/>
      <c r="S913" s="1"/>
      <c r="T913" s="1"/>
    </row>
    <row r="914" ht="12.75" customHeight="1">
      <c r="A914" s="1"/>
      <c r="B914" s="7"/>
      <c r="C914" s="19"/>
      <c r="D914" s="7"/>
      <c r="E914" s="7"/>
      <c r="F914" s="19"/>
      <c r="G914" s="7"/>
      <c r="H914" s="7"/>
      <c r="M914" s="1"/>
      <c r="P914" s="19"/>
      <c r="Q914" s="81"/>
      <c r="R914" s="19"/>
      <c r="S914" s="1"/>
      <c r="T914" s="1"/>
    </row>
    <row r="915" ht="12.75" customHeight="1">
      <c r="A915" s="1"/>
      <c r="B915" s="7"/>
      <c r="C915" s="19"/>
      <c r="D915" s="7"/>
      <c r="E915" s="7"/>
      <c r="F915" s="19"/>
      <c r="G915" s="7"/>
      <c r="H915" s="7"/>
      <c r="M915" s="1"/>
      <c r="P915" s="19"/>
      <c r="Q915" s="81"/>
      <c r="R915" s="19"/>
      <c r="S915" s="1"/>
      <c r="T915" s="1"/>
    </row>
    <row r="916" ht="12.75" customHeight="1">
      <c r="A916" s="1"/>
      <c r="B916" s="7"/>
      <c r="C916" s="19"/>
      <c r="D916" s="7"/>
      <c r="E916" s="7"/>
      <c r="F916" s="19"/>
      <c r="G916" s="7"/>
      <c r="H916" s="7"/>
      <c r="M916" s="1"/>
      <c r="P916" s="19"/>
      <c r="Q916" s="81"/>
      <c r="R916" s="19"/>
      <c r="S916" s="1"/>
      <c r="T916" s="1"/>
    </row>
    <row r="917" ht="12.75" customHeight="1">
      <c r="A917" s="1"/>
      <c r="B917" s="7"/>
      <c r="C917" s="19"/>
      <c r="D917" s="7"/>
      <c r="E917" s="7"/>
      <c r="F917" s="19"/>
      <c r="G917" s="7"/>
      <c r="H917" s="7"/>
      <c r="M917" s="1"/>
      <c r="P917" s="19"/>
      <c r="Q917" s="81"/>
      <c r="R917" s="19"/>
      <c r="S917" s="1"/>
      <c r="T917" s="1"/>
    </row>
    <row r="918" ht="12.75" customHeight="1">
      <c r="A918" s="1"/>
      <c r="B918" s="7"/>
      <c r="C918" s="19"/>
      <c r="D918" s="7"/>
      <c r="E918" s="7"/>
      <c r="F918" s="19"/>
      <c r="G918" s="7"/>
      <c r="H918" s="7"/>
      <c r="M918" s="1"/>
      <c r="P918" s="19"/>
      <c r="Q918" s="81"/>
      <c r="R918" s="19"/>
      <c r="S918" s="1"/>
      <c r="T918" s="1"/>
    </row>
    <row r="919" ht="12.75" customHeight="1">
      <c r="A919" s="1"/>
      <c r="B919" s="7"/>
      <c r="C919" s="19"/>
      <c r="D919" s="7"/>
      <c r="E919" s="7"/>
      <c r="F919" s="19"/>
      <c r="G919" s="7"/>
      <c r="H919" s="7"/>
      <c r="M919" s="1"/>
      <c r="P919" s="19"/>
      <c r="Q919" s="81"/>
      <c r="R919" s="19"/>
      <c r="S919" s="1"/>
      <c r="T919" s="1"/>
    </row>
    <row r="920" ht="12.75" customHeight="1">
      <c r="A920" s="1"/>
      <c r="B920" s="7"/>
      <c r="C920" s="19"/>
      <c r="D920" s="7"/>
      <c r="E920" s="7"/>
      <c r="F920" s="19"/>
      <c r="G920" s="7"/>
      <c r="H920" s="7"/>
      <c r="M920" s="1"/>
      <c r="P920" s="19"/>
      <c r="Q920" s="81"/>
      <c r="R920" s="19"/>
      <c r="S920" s="1"/>
      <c r="T920" s="1"/>
    </row>
    <row r="921" ht="12.75" customHeight="1">
      <c r="A921" s="1"/>
      <c r="B921" s="7"/>
      <c r="C921" s="19"/>
      <c r="D921" s="7"/>
      <c r="E921" s="7"/>
      <c r="F921" s="19"/>
      <c r="G921" s="7"/>
      <c r="H921" s="7"/>
      <c r="M921" s="1"/>
      <c r="P921" s="19"/>
      <c r="Q921" s="81"/>
      <c r="R921" s="19"/>
      <c r="S921" s="1"/>
      <c r="T921" s="1"/>
    </row>
    <row r="922" ht="12.75" customHeight="1">
      <c r="A922" s="1"/>
      <c r="B922" s="7"/>
      <c r="C922" s="19"/>
      <c r="D922" s="7"/>
      <c r="E922" s="7"/>
      <c r="F922" s="19"/>
      <c r="G922" s="7"/>
      <c r="H922" s="7"/>
      <c r="M922" s="1"/>
      <c r="P922" s="19"/>
      <c r="Q922" s="81"/>
      <c r="R922" s="19"/>
      <c r="S922" s="1"/>
      <c r="T922" s="1"/>
    </row>
    <row r="923" ht="12.75" customHeight="1">
      <c r="A923" s="1"/>
      <c r="B923" s="7"/>
      <c r="C923" s="19"/>
      <c r="D923" s="7"/>
      <c r="E923" s="7"/>
      <c r="F923" s="19"/>
      <c r="G923" s="7"/>
      <c r="H923" s="7"/>
      <c r="M923" s="1"/>
      <c r="P923" s="19"/>
      <c r="Q923" s="81"/>
      <c r="R923" s="19"/>
      <c r="S923" s="1"/>
      <c r="T923" s="1"/>
    </row>
    <row r="924" ht="12.75" customHeight="1">
      <c r="A924" s="1"/>
      <c r="B924" s="7"/>
      <c r="C924" s="19"/>
      <c r="D924" s="7"/>
      <c r="E924" s="7"/>
      <c r="F924" s="19"/>
      <c r="G924" s="7"/>
      <c r="H924" s="7"/>
      <c r="M924" s="1"/>
      <c r="P924" s="19"/>
      <c r="Q924" s="81"/>
      <c r="R924" s="19"/>
      <c r="S924" s="1"/>
      <c r="T924" s="1"/>
    </row>
    <row r="925" ht="12.75" customHeight="1">
      <c r="A925" s="1"/>
      <c r="B925" s="7"/>
      <c r="C925" s="19"/>
      <c r="D925" s="7"/>
      <c r="E925" s="7"/>
      <c r="F925" s="19"/>
      <c r="G925" s="7"/>
      <c r="H925" s="7"/>
      <c r="M925" s="1"/>
      <c r="P925" s="19"/>
      <c r="Q925" s="81"/>
      <c r="R925" s="19"/>
      <c r="S925" s="1"/>
      <c r="T925" s="1"/>
    </row>
    <row r="926" ht="12.75" customHeight="1">
      <c r="A926" s="1"/>
      <c r="B926" s="7"/>
      <c r="C926" s="19"/>
      <c r="D926" s="7"/>
      <c r="E926" s="7"/>
      <c r="F926" s="19"/>
      <c r="G926" s="7"/>
      <c r="H926" s="7"/>
      <c r="M926" s="1"/>
      <c r="P926" s="19"/>
      <c r="Q926" s="81"/>
      <c r="R926" s="19"/>
      <c r="S926" s="1"/>
      <c r="T926" s="1"/>
    </row>
    <row r="927" ht="12.75" customHeight="1">
      <c r="A927" s="1"/>
      <c r="B927" s="7"/>
      <c r="C927" s="19"/>
      <c r="D927" s="7"/>
      <c r="E927" s="7"/>
      <c r="F927" s="19"/>
      <c r="G927" s="7"/>
      <c r="H927" s="7"/>
      <c r="M927" s="1"/>
      <c r="P927" s="19"/>
      <c r="Q927" s="81"/>
      <c r="R927" s="19"/>
      <c r="S927" s="1"/>
      <c r="T927" s="1"/>
    </row>
    <row r="928" ht="12.75" customHeight="1">
      <c r="A928" s="1"/>
      <c r="B928" s="7"/>
      <c r="C928" s="19"/>
      <c r="D928" s="7"/>
      <c r="E928" s="7"/>
      <c r="F928" s="19"/>
      <c r="G928" s="7"/>
      <c r="H928" s="7"/>
      <c r="M928" s="1"/>
      <c r="P928" s="19"/>
      <c r="Q928" s="81"/>
      <c r="R928" s="19"/>
      <c r="S928" s="1"/>
      <c r="T928" s="1"/>
    </row>
    <row r="929" ht="12.75" customHeight="1">
      <c r="A929" s="1"/>
      <c r="B929" s="7"/>
      <c r="C929" s="19"/>
      <c r="D929" s="7"/>
      <c r="E929" s="7"/>
      <c r="F929" s="19"/>
      <c r="G929" s="7"/>
      <c r="H929" s="7"/>
      <c r="M929" s="1"/>
      <c r="P929" s="19"/>
      <c r="Q929" s="81"/>
      <c r="R929" s="19"/>
      <c r="S929" s="1"/>
      <c r="T929" s="1"/>
    </row>
    <row r="930" ht="12.75" customHeight="1">
      <c r="A930" s="1"/>
      <c r="B930" s="7"/>
      <c r="C930" s="19"/>
      <c r="D930" s="7"/>
      <c r="E930" s="7"/>
      <c r="F930" s="19"/>
      <c r="G930" s="7"/>
      <c r="H930" s="7"/>
      <c r="M930" s="1"/>
      <c r="P930" s="19"/>
      <c r="Q930" s="81"/>
      <c r="R930" s="19"/>
      <c r="S930" s="1"/>
      <c r="T930" s="1"/>
    </row>
    <row r="931" ht="12.75" customHeight="1">
      <c r="A931" s="1"/>
      <c r="B931" s="7"/>
      <c r="C931" s="19"/>
      <c r="D931" s="7"/>
      <c r="E931" s="7"/>
      <c r="F931" s="19"/>
      <c r="G931" s="7"/>
      <c r="H931" s="7"/>
      <c r="M931" s="1"/>
      <c r="P931" s="19"/>
      <c r="Q931" s="81"/>
      <c r="R931" s="19"/>
      <c r="S931" s="1"/>
      <c r="T931" s="1"/>
    </row>
    <row r="932" ht="12.75" customHeight="1">
      <c r="A932" s="1"/>
      <c r="B932" s="7"/>
      <c r="C932" s="19"/>
      <c r="D932" s="7"/>
      <c r="E932" s="7"/>
      <c r="F932" s="19"/>
      <c r="G932" s="7"/>
      <c r="H932" s="7"/>
      <c r="M932" s="1"/>
      <c r="P932" s="19"/>
      <c r="Q932" s="81"/>
      <c r="R932" s="19"/>
      <c r="S932" s="1"/>
      <c r="T932" s="1"/>
    </row>
    <row r="933" ht="12.75" customHeight="1">
      <c r="A933" s="1"/>
      <c r="B933" s="7"/>
      <c r="C933" s="19"/>
      <c r="D933" s="7"/>
      <c r="E933" s="7"/>
      <c r="F933" s="19"/>
      <c r="G933" s="7"/>
      <c r="H933" s="7"/>
      <c r="M933" s="1"/>
      <c r="P933" s="19"/>
      <c r="Q933" s="81"/>
      <c r="R933" s="19"/>
      <c r="S933" s="1"/>
      <c r="T933" s="1"/>
    </row>
    <row r="934" ht="12.75" customHeight="1">
      <c r="A934" s="1"/>
      <c r="B934" s="7"/>
      <c r="C934" s="19"/>
      <c r="D934" s="7"/>
      <c r="E934" s="7"/>
      <c r="F934" s="19"/>
      <c r="G934" s="7"/>
      <c r="H934" s="7"/>
      <c r="M934" s="1"/>
      <c r="P934" s="19"/>
      <c r="Q934" s="81"/>
      <c r="R934" s="19"/>
      <c r="S934" s="1"/>
      <c r="T934" s="1"/>
    </row>
    <row r="935" ht="12.75" customHeight="1">
      <c r="A935" s="1"/>
      <c r="B935" s="7"/>
      <c r="C935" s="19"/>
      <c r="D935" s="7"/>
      <c r="E935" s="7"/>
      <c r="F935" s="19"/>
      <c r="G935" s="7"/>
      <c r="H935" s="7"/>
      <c r="M935" s="1"/>
      <c r="P935" s="19"/>
      <c r="Q935" s="81"/>
      <c r="R935" s="19"/>
      <c r="S935" s="1"/>
      <c r="T935" s="1"/>
    </row>
    <row r="936" ht="12.75" customHeight="1">
      <c r="A936" s="1"/>
      <c r="B936" s="7"/>
      <c r="C936" s="19"/>
      <c r="D936" s="7"/>
      <c r="E936" s="7"/>
      <c r="F936" s="19"/>
      <c r="G936" s="7"/>
      <c r="H936" s="7"/>
      <c r="M936" s="1"/>
      <c r="P936" s="19"/>
      <c r="Q936" s="81"/>
      <c r="R936" s="19"/>
      <c r="S936" s="1"/>
      <c r="T936" s="1"/>
    </row>
    <row r="937" ht="12.75" customHeight="1">
      <c r="A937" s="1"/>
      <c r="B937" s="7"/>
      <c r="C937" s="19"/>
      <c r="D937" s="7"/>
      <c r="E937" s="7"/>
      <c r="F937" s="19"/>
      <c r="G937" s="7"/>
      <c r="H937" s="7"/>
      <c r="M937" s="1"/>
      <c r="P937" s="19"/>
      <c r="Q937" s="81"/>
      <c r="R937" s="19"/>
      <c r="S937" s="1"/>
      <c r="T937" s="1"/>
    </row>
    <row r="938" ht="12.75" customHeight="1">
      <c r="A938" s="1"/>
      <c r="B938" s="7"/>
      <c r="C938" s="19"/>
      <c r="D938" s="7"/>
      <c r="E938" s="7"/>
      <c r="F938" s="19"/>
      <c r="G938" s="7"/>
      <c r="H938" s="7"/>
      <c r="M938" s="1"/>
      <c r="P938" s="19"/>
      <c r="Q938" s="81"/>
      <c r="R938" s="19"/>
      <c r="S938" s="1"/>
      <c r="T938" s="1"/>
    </row>
    <row r="939" ht="12.75" customHeight="1">
      <c r="A939" s="1"/>
      <c r="B939" s="7"/>
      <c r="C939" s="19"/>
      <c r="D939" s="7"/>
      <c r="E939" s="7"/>
      <c r="F939" s="19"/>
      <c r="G939" s="7"/>
      <c r="H939" s="7"/>
      <c r="M939" s="1"/>
      <c r="P939" s="19"/>
      <c r="Q939" s="81"/>
      <c r="R939" s="19"/>
      <c r="S939" s="1"/>
      <c r="T939" s="1"/>
    </row>
    <row r="940" ht="12.75" customHeight="1">
      <c r="A940" s="1"/>
      <c r="B940" s="7"/>
      <c r="C940" s="19"/>
      <c r="D940" s="7"/>
      <c r="E940" s="7"/>
      <c r="F940" s="19"/>
      <c r="G940" s="7"/>
      <c r="H940" s="7"/>
      <c r="M940" s="1"/>
      <c r="P940" s="19"/>
      <c r="Q940" s="81"/>
      <c r="R940" s="19"/>
      <c r="S940" s="1"/>
      <c r="T940" s="1"/>
    </row>
    <row r="941" ht="12.75" customHeight="1">
      <c r="A941" s="1"/>
      <c r="B941" s="7"/>
      <c r="C941" s="19"/>
      <c r="D941" s="7"/>
      <c r="E941" s="7"/>
      <c r="F941" s="19"/>
      <c r="G941" s="7"/>
      <c r="H941" s="7"/>
      <c r="M941" s="1"/>
      <c r="P941" s="19"/>
      <c r="Q941" s="81"/>
      <c r="R941" s="19"/>
      <c r="S941" s="1"/>
      <c r="T941" s="1"/>
    </row>
    <row r="942" ht="12.75" customHeight="1">
      <c r="A942" s="1"/>
      <c r="B942" s="7"/>
      <c r="C942" s="19"/>
      <c r="D942" s="7"/>
      <c r="E942" s="7"/>
      <c r="F942" s="19"/>
      <c r="G942" s="7"/>
      <c r="H942" s="7"/>
      <c r="M942" s="1"/>
      <c r="P942" s="19"/>
      <c r="Q942" s="81"/>
      <c r="R942" s="19"/>
      <c r="S942" s="1"/>
      <c r="T942" s="1"/>
    </row>
    <row r="943" ht="12.75" customHeight="1">
      <c r="A943" s="1"/>
      <c r="B943" s="7"/>
      <c r="C943" s="19"/>
      <c r="D943" s="7"/>
      <c r="E943" s="7"/>
      <c r="F943" s="19"/>
      <c r="G943" s="7"/>
      <c r="H943" s="7"/>
      <c r="M943" s="1"/>
      <c r="P943" s="19"/>
      <c r="Q943" s="81"/>
      <c r="R943" s="19"/>
      <c r="S943" s="1"/>
      <c r="T943" s="1"/>
    </row>
    <row r="944" ht="12.75" customHeight="1">
      <c r="A944" s="1"/>
      <c r="B944" s="7"/>
      <c r="C944" s="19"/>
      <c r="D944" s="7"/>
      <c r="E944" s="7"/>
      <c r="F944" s="19"/>
      <c r="G944" s="7"/>
      <c r="H944" s="7"/>
      <c r="M944" s="1"/>
      <c r="P944" s="19"/>
      <c r="Q944" s="81"/>
      <c r="R944" s="19"/>
      <c r="S944" s="1"/>
      <c r="T944" s="1"/>
    </row>
    <row r="945" ht="12.75" customHeight="1">
      <c r="A945" s="1"/>
      <c r="B945" s="7"/>
      <c r="C945" s="19"/>
      <c r="D945" s="7"/>
      <c r="E945" s="7"/>
      <c r="F945" s="19"/>
      <c r="G945" s="7"/>
      <c r="H945" s="7"/>
      <c r="M945" s="1"/>
      <c r="P945" s="19"/>
      <c r="Q945" s="81"/>
      <c r="R945" s="19"/>
      <c r="S945" s="1"/>
      <c r="T945" s="1"/>
    </row>
    <row r="946" ht="12.75" customHeight="1">
      <c r="A946" s="1"/>
      <c r="B946" s="7"/>
      <c r="C946" s="19"/>
      <c r="D946" s="7"/>
      <c r="E946" s="7"/>
      <c r="F946" s="19"/>
      <c r="G946" s="7"/>
      <c r="H946" s="7"/>
      <c r="M946" s="1"/>
      <c r="P946" s="19"/>
      <c r="Q946" s="81"/>
      <c r="R946" s="19"/>
      <c r="S946" s="1"/>
      <c r="T946" s="1"/>
    </row>
    <row r="947" ht="12.75" customHeight="1">
      <c r="A947" s="1"/>
      <c r="B947" s="7"/>
      <c r="C947" s="19"/>
      <c r="D947" s="7"/>
      <c r="E947" s="7"/>
      <c r="F947" s="19"/>
      <c r="G947" s="7"/>
      <c r="H947" s="7"/>
      <c r="M947" s="1"/>
      <c r="P947" s="19"/>
      <c r="Q947" s="81"/>
      <c r="R947" s="19"/>
      <c r="S947" s="1"/>
      <c r="T947" s="1"/>
    </row>
    <row r="948" ht="12.75" customHeight="1">
      <c r="A948" s="1"/>
      <c r="B948" s="7"/>
      <c r="C948" s="19"/>
      <c r="D948" s="7"/>
      <c r="E948" s="7"/>
      <c r="F948" s="19"/>
      <c r="G948" s="7"/>
      <c r="H948" s="7"/>
      <c r="M948" s="1"/>
      <c r="P948" s="19"/>
      <c r="Q948" s="81"/>
      <c r="R948" s="19"/>
      <c r="S948" s="1"/>
      <c r="T948" s="1"/>
    </row>
    <row r="949" ht="12.75" customHeight="1">
      <c r="A949" s="1"/>
      <c r="B949" s="7"/>
      <c r="C949" s="19"/>
      <c r="D949" s="7"/>
      <c r="E949" s="7"/>
      <c r="F949" s="19"/>
      <c r="G949" s="7"/>
      <c r="H949" s="7"/>
      <c r="M949" s="1"/>
      <c r="P949" s="19"/>
      <c r="Q949" s="81"/>
      <c r="R949" s="19"/>
      <c r="S949" s="1"/>
      <c r="T949" s="1"/>
    </row>
    <row r="950" ht="12.75" customHeight="1">
      <c r="A950" s="1"/>
      <c r="B950" s="7"/>
      <c r="C950" s="19"/>
      <c r="D950" s="7"/>
      <c r="E950" s="7"/>
      <c r="F950" s="19"/>
      <c r="G950" s="7"/>
      <c r="H950" s="7"/>
      <c r="M950" s="1"/>
      <c r="P950" s="19"/>
      <c r="Q950" s="81"/>
      <c r="R950" s="19"/>
      <c r="S950" s="1"/>
      <c r="T950" s="1"/>
    </row>
    <row r="951" ht="12.75" customHeight="1">
      <c r="A951" s="1"/>
      <c r="B951" s="7"/>
      <c r="C951" s="19"/>
      <c r="D951" s="7"/>
      <c r="E951" s="7"/>
      <c r="F951" s="19"/>
      <c r="G951" s="7"/>
      <c r="H951" s="7"/>
      <c r="M951" s="1"/>
      <c r="P951" s="19"/>
      <c r="Q951" s="81"/>
      <c r="R951" s="19"/>
      <c r="S951" s="1"/>
      <c r="T951" s="1"/>
    </row>
    <row r="952" ht="12.75" customHeight="1">
      <c r="A952" s="1"/>
      <c r="B952" s="7"/>
      <c r="C952" s="19"/>
      <c r="D952" s="7"/>
      <c r="E952" s="7"/>
      <c r="F952" s="19"/>
      <c r="G952" s="7"/>
      <c r="H952" s="7"/>
      <c r="M952" s="1"/>
      <c r="P952" s="19"/>
      <c r="Q952" s="81"/>
      <c r="R952" s="19"/>
      <c r="S952" s="1"/>
      <c r="T952" s="1"/>
    </row>
    <row r="953" ht="12.75" customHeight="1">
      <c r="A953" s="1"/>
      <c r="B953" s="7"/>
      <c r="C953" s="19"/>
      <c r="D953" s="7"/>
      <c r="E953" s="7"/>
      <c r="F953" s="19"/>
      <c r="G953" s="7"/>
      <c r="H953" s="7"/>
      <c r="M953" s="1"/>
      <c r="P953" s="19"/>
      <c r="Q953" s="81"/>
      <c r="R953" s="19"/>
      <c r="S953" s="1"/>
      <c r="T953" s="1"/>
    </row>
    <row r="954" ht="12.75" customHeight="1">
      <c r="A954" s="1"/>
      <c r="B954" s="7"/>
      <c r="C954" s="19"/>
      <c r="D954" s="7"/>
      <c r="E954" s="7"/>
      <c r="F954" s="19"/>
      <c r="G954" s="7"/>
      <c r="H954" s="7"/>
      <c r="M954" s="1"/>
      <c r="P954" s="19"/>
      <c r="Q954" s="81"/>
      <c r="R954" s="19"/>
      <c r="S954" s="1"/>
      <c r="T954" s="1"/>
    </row>
    <row r="955" ht="12.75" customHeight="1">
      <c r="A955" s="1"/>
      <c r="B955" s="7"/>
      <c r="C955" s="19"/>
      <c r="D955" s="7"/>
      <c r="E955" s="7"/>
      <c r="F955" s="19"/>
      <c r="G955" s="7"/>
      <c r="H955" s="7"/>
      <c r="M955" s="1"/>
      <c r="P955" s="19"/>
      <c r="Q955" s="81"/>
      <c r="R955" s="19"/>
      <c r="S955" s="1"/>
      <c r="T955" s="1"/>
    </row>
    <row r="956" ht="12.75" customHeight="1">
      <c r="A956" s="1"/>
      <c r="B956" s="7"/>
      <c r="C956" s="19"/>
      <c r="D956" s="7"/>
      <c r="E956" s="7"/>
      <c r="F956" s="19"/>
      <c r="G956" s="7"/>
      <c r="H956" s="7"/>
      <c r="M956" s="1"/>
      <c r="P956" s="19"/>
      <c r="Q956" s="81"/>
      <c r="R956" s="19"/>
      <c r="S956" s="1"/>
      <c r="T956" s="1"/>
    </row>
    <row r="957" ht="12.75" customHeight="1">
      <c r="A957" s="1"/>
      <c r="B957" s="7"/>
      <c r="C957" s="19"/>
      <c r="D957" s="7"/>
      <c r="E957" s="7"/>
      <c r="F957" s="19"/>
      <c r="G957" s="7"/>
      <c r="H957" s="7"/>
      <c r="M957" s="1"/>
      <c r="P957" s="19"/>
      <c r="Q957" s="81"/>
      <c r="R957" s="19"/>
      <c r="S957" s="1"/>
      <c r="T957" s="1"/>
    </row>
    <row r="958" ht="12.75" customHeight="1">
      <c r="A958" s="1"/>
      <c r="B958" s="7"/>
      <c r="C958" s="19"/>
      <c r="D958" s="7"/>
      <c r="E958" s="7"/>
      <c r="F958" s="19"/>
      <c r="G958" s="7"/>
      <c r="H958" s="7"/>
      <c r="M958" s="1"/>
      <c r="P958" s="19"/>
      <c r="Q958" s="81"/>
      <c r="R958" s="19"/>
      <c r="S958" s="1"/>
      <c r="T958" s="1"/>
    </row>
    <row r="959" ht="12.75" customHeight="1">
      <c r="A959" s="1"/>
      <c r="B959" s="7"/>
      <c r="C959" s="19"/>
      <c r="D959" s="7"/>
      <c r="E959" s="7"/>
      <c r="F959" s="19"/>
      <c r="G959" s="7"/>
      <c r="H959" s="7"/>
      <c r="M959" s="1"/>
      <c r="P959" s="19"/>
      <c r="Q959" s="81"/>
      <c r="R959" s="19"/>
      <c r="S959" s="1"/>
      <c r="T959" s="1"/>
    </row>
    <row r="960" ht="12.75" customHeight="1">
      <c r="A960" s="1"/>
      <c r="B960" s="7"/>
      <c r="C960" s="19"/>
      <c r="D960" s="7"/>
      <c r="E960" s="7"/>
      <c r="F960" s="19"/>
      <c r="G960" s="7"/>
      <c r="H960" s="7"/>
      <c r="M960" s="1"/>
      <c r="P960" s="19"/>
      <c r="Q960" s="81"/>
      <c r="R960" s="19"/>
      <c r="S960" s="1"/>
      <c r="T960" s="1"/>
    </row>
    <row r="961" ht="12.75" customHeight="1">
      <c r="A961" s="1"/>
      <c r="B961" s="7"/>
      <c r="C961" s="19"/>
      <c r="D961" s="7"/>
      <c r="E961" s="7"/>
      <c r="F961" s="19"/>
      <c r="G961" s="7"/>
      <c r="H961" s="7"/>
      <c r="M961" s="1"/>
      <c r="P961" s="19"/>
      <c r="Q961" s="81"/>
      <c r="R961" s="19"/>
      <c r="S961" s="1"/>
      <c r="T961" s="1"/>
    </row>
    <row r="962" ht="12.75" customHeight="1">
      <c r="A962" s="1"/>
      <c r="B962" s="7"/>
      <c r="C962" s="19"/>
      <c r="D962" s="7"/>
      <c r="E962" s="7"/>
      <c r="F962" s="19"/>
      <c r="G962" s="7"/>
      <c r="H962" s="7"/>
      <c r="M962" s="1"/>
      <c r="P962" s="19"/>
      <c r="Q962" s="81"/>
      <c r="R962" s="19"/>
      <c r="S962" s="1"/>
      <c r="T962" s="1"/>
    </row>
    <row r="963" ht="12.75" customHeight="1">
      <c r="A963" s="1"/>
      <c r="B963" s="7"/>
      <c r="C963" s="19"/>
      <c r="D963" s="7"/>
      <c r="E963" s="7"/>
      <c r="F963" s="19"/>
      <c r="G963" s="7"/>
      <c r="H963" s="7"/>
      <c r="M963" s="1"/>
      <c r="P963" s="19"/>
      <c r="Q963" s="81"/>
      <c r="R963" s="19"/>
      <c r="S963" s="1"/>
      <c r="T963" s="1"/>
    </row>
    <row r="964" ht="12.75" customHeight="1">
      <c r="A964" s="1"/>
      <c r="B964" s="7"/>
      <c r="C964" s="19"/>
      <c r="D964" s="7"/>
      <c r="E964" s="7"/>
      <c r="F964" s="19"/>
      <c r="G964" s="7"/>
      <c r="H964" s="7"/>
      <c r="M964" s="1"/>
      <c r="P964" s="19"/>
      <c r="Q964" s="81"/>
      <c r="R964" s="19"/>
      <c r="S964" s="1"/>
      <c r="T964" s="1"/>
    </row>
    <row r="965" ht="12.75" customHeight="1">
      <c r="A965" s="1"/>
      <c r="B965" s="7"/>
      <c r="C965" s="19"/>
      <c r="D965" s="7"/>
      <c r="E965" s="7"/>
      <c r="F965" s="19"/>
      <c r="G965" s="7"/>
      <c r="H965" s="7"/>
      <c r="M965" s="1"/>
      <c r="P965" s="19"/>
      <c r="Q965" s="81"/>
      <c r="R965" s="19"/>
      <c r="S965" s="1"/>
      <c r="T965" s="1"/>
    </row>
    <row r="966" ht="12.75" customHeight="1">
      <c r="A966" s="1"/>
      <c r="B966" s="7"/>
      <c r="C966" s="19"/>
      <c r="D966" s="7"/>
      <c r="E966" s="7"/>
      <c r="F966" s="19"/>
      <c r="G966" s="7"/>
      <c r="H966" s="7"/>
      <c r="M966" s="1"/>
      <c r="P966" s="19"/>
      <c r="Q966" s="81"/>
      <c r="R966" s="19"/>
      <c r="S966" s="1"/>
      <c r="T966" s="1"/>
    </row>
    <row r="967" ht="12.75" customHeight="1">
      <c r="A967" s="1"/>
      <c r="B967" s="7"/>
      <c r="C967" s="19"/>
      <c r="D967" s="7"/>
      <c r="E967" s="7"/>
      <c r="F967" s="19"/>
      <c r="G967" s="7"/>
      <c r="H967" s="7"/>
      <c r="M967" s="1"/>
      <c r="P967" s="19"/>
      <c r="Q967" s="81"/>
      <c r="R967" s="19"/>
      <c r="S967" s="1"/>
      <c r="T967" s="1"/>
    </row>
    <row r="968" ht="12.75" customHeight="1">
      <c r="A968" s="1"/>
      <c r="B968" s="7"/>
      <c r="C968" s="19"/>
      <c r="D968" s="7"/>
      <c r="E968" s="7"/>
      <c r="F968" s="19"/>
      <c r="G968" s="7"/>
      <c r="H968" s="7"/>
      <c r="M968" s="1"/>
      <c r="P968" s="19"/>
      <c r="Q968" s="81"/>
      <c r="R968" s="19"/>
      <c r="S968" s="1"/>
      <c r="T968" s="1"/>
    </row>
    <row r="969" ht="12.75" customHeight="1">
      <c r="A969" s="1"/>
      <c r="B969" s="7"/>
      <c r="C969" s="19"/>
      <c r="D969" s="7"/>
      <c r="E969" s="7"/>
      <c r="F969" s="19"/>
      <c r="G969" s="7"/>
      <c r="H969" s="7"/>
      <c r="M969" s="1"/>
      <c r="P969" s="19"/>
      <c r="Q969" s="81"/>
      <c r="R969" s="19"/>
      <c r="S969" s="1"/>
      <c r="T969" s="1"/>
    </row>
    <row r="970" ht="12.75" customHeight="1">
      <c r="A970" s="1"/>
      <c r="B970" s="7"/>
      <c r="C970" s="19"/>
      <c r="D970" s="7"/>
      <c r="E970" s="7"/>
      <c r="F970" s="19"/>
      <c r="G970" s="7"/>
      <c r="H970" s="7"/>
      <c r="M970" s="1"/>
      <c r="P970" s="19"/>
      <c r="Q970" s="81"/>
      <c r="R970" s="19"/>
      <c r="S970" s="1"/>
      <c r="T970" s="1"/>
    </row>
    <row r="971" ht="12.75" customHeight="1">
      <c r="A971" s="1"/>
      <c r="B971" s="7"/>
      <c r="C971" s="19"/>
      <c r="D971" s="7"/>
      <c r="E971" s="7"/>
      <c r="F971" s="19"/>
      <c r="G971" s="7"/>
      <c r="H971" s="7"/>
      <c r="M971" s="1"/>
      <c r="P971" s="19"/>
      <c r="Q971" s="81"/>
      <c r="R971" s="19"/>
      <c r="S971" s="1"/>
      <c r="T971" s="1"/>
    </row>
    <row r="972" ht="12.75" customHeight="1">
      <c r="A972" s="1"/>
      <c r="B972" s="7"/>
      <c r="C972" s="19"/>
      <c r="D972" s="7"/>
      <c r="E972" s="7"/>
      <c r="F972" s="19"/>
      <c r="G972" s="7"/>
      <c r="H972" s="7"/>
      <c r="M972" s="1"/>
      <c r="P972" s="19"/>
      <c r="Q972" s="81"/>
      <c r="R972" s="19"/>
      <c r="S972" s="1"/>
      <c r="T972" s="1"/>
    </row>
    <row r="973" ht="12.75" customHeight="1">
      <c r="A973" s="1"/>
      <c r="B973" s="7"/>
      <c r="C973" s="19"/>
      <c r="D973" s="7"/>
      <c r="E973" s="7"/>
      <c r="F973" s="19"/>
      <c r="G973" s="7"/>
      <c r="H973" s="7"/>
      <c r="M973" s="1"/>
      <c r="P973" s="19"/>
      <c r="Q973" s="81"/>
      <c r="R973" s="19"/>
      <c r="S973" s="1"/>
      <c r="T973" s="1"/>
    </row>
    <row r="974" ht="12.75" customHeight="1">
      <c r="A974" s="1"/>
      <c r="B974" s="7"/>
      <c r="C974" s="19"/>
      <c r="D974" s="7"/>
      <c r="E974" s="7"/>
      <c r="F974" s="19"/>
      <c r="G974" s="7"/>
      <c r="H974" s="7"/>
      <c r="M974" s="1"/>
      <c r="P974" s="19"/>
      <c r="Q974" s="81"/>
      <c r="R974" s="19"/>
      <c r="S974" s="1"/>
      <c r="T974" s="1"/>
    </row>
    <row r="975" ht="12.75" customHeight="1">
      <c r="A975" s="1"/>
      <c r="B975" s="7"/>
      <c r="C975" s="19"/>
      <c r="D975" s="7"/>
      <c r="E975" s="7"/>
      <c r="F975" s="19"/>
      <c r="G975" s="7"/>
      <c r="H975" s="7"/>
      <c r="M975" s="1"/>
      <c r="P975" s="19"/>
      <c r="Q975" s="81"/>
      <c r="R975" s="19"/>
      <c r="S975" s="1"/>
      <c r="T975" s="1"/>
    </row>
    <row r="976" ht="12.75" customHeight="1">
      <c r="A976" s="1"/>
      <c r="B976" s="7"/>
      <c r="C976" s="19"/>
      <c r="D976" s="7"/>
      <c r="E976" s="7"/>
      <c r="F976" s="19"/>
      <c r="G976" s="7"/>
      <c r="H976" s="7"/>
      <c r="M976" s="1"/>
      <c r="P976" s="19"/>
      <c r="Q976" s="81"/>
      <c r="R976" s="19"/>
      <c r="S976" s="1"/>
      <c r="T976" s="1"/>
    </row>
    <row r="977" ht="12.75" customHeight="1">
      <c r="A977" s="1"/>
      <c r="B977" s="7"/>
      <c r="C977" s="19"/>
      <c r="D977" s="7"/>
      <c r="E977" s="7"/>
      <c r="F977" s="19"/>
      <c r="G977" s="7"/>
      <c r="H977" s="7"/>
      <c r="M977" s="1"/>
      <c r="P977" s="19"/>
      <c r="Q977" s="81"/>
      <c r="R977" s="19"/>
      <c r="S977" s="1"/>
      <c r="T977" s="1"/>
    </row>
    <row r="978" ht="12.75" customHeight="1">
      <c r="A978" s="1"/>
      <c r="B978" s="7"/>
      <c r="C978" s="19"/>
      <c r="D978" s="7"/>
      <c r="E978" s="7"/>
      <c r="F978" s="19"/>
      <c r="G978" s="7"/>
      <c r="H978" s="7"/>
      <c r="M978" s="1"/>
      <c r="P978" s="19"/>
      <c r="Q978" s="81"/>
      <c r="R978" s="19"/>
      <c r="S978" s="1"/>
      <c r="T978" s="1"/>
    </row>
    <row r="979" ht="12.75" customHeight="1">
      <c r="A979" s="1"/>
      <c r="B979" s="7"/>
      <c r="C979" s="19"/>
      <c r="D979" s="7"/>
      <c r="E979" s="7"/>
      <c r="F979" s="19"/>
      <c r="G979" s="7"/>
      <c r="H979" s="7"/>
      <c r="M979" s="1"/>
      <c r="P979" s="19"/>
      <c r="Q979" s="81"/>
      <c r="R979" s="19"/>
      <c r="S979" s="1"/>
      <c r="T979" s="1"/>
    </row>
    <row r="980" ht="12.75" customHeight="1">
      <c r="A980" s="1"/>
      <c r="B980" s="7"/>
      <c r="C980" s="19"/>
      <c r="D980" s="7"/>
      <c r="E980" s="7"/>
      <c r="F980" s="19"/>
      <c r="G980" s="7"/>
      <c r="H980" s="7"/>
      <c r="M980" s="1"/>
      <c r="P980" s="19"/>
      <c r="Q980" s="81"/>
      <c r="R980" s="19"/>
      <c r="S980" s="1"/>
      <c r="T980" s="1"/>
    </row>
    <row r="981" ht="12.75" customHeight="1">
      <c r="A981" s="1"/>
      <c r="B981" s="7"/>
      <c r="C981" s="19"/>
      <c r="D981" s="7"/>
      <c r="E981" s="7"/>
      <c r="F981" s="19"/>
      <c r="G981" s="7"/>
      <c r="H981" s="7"/>
      <c r="M981" s="1"/>
      <c r="P981" s="19"/>
      <c r="Q981" s="81"/>
      <c r="R981" s="19"/>
      <c r="S981" s="1"/>
      <c r="T981" s="1"/>
    </row>
    <row r="982" ht="12.75" customHeight="1">
      <c r="A982" s="1"/>
      <c r="B982" s="7"/>
      <c r="C982" s="19"/>
      <c r="D982" s="7"/>
      <c r="E982" s="7"/>
      <c r="F982" s="19"/>
      <c r="G982" s="7"/>
      <c r="H982" s="7"/>
      <c r="M982" s="1"/>
      <c r="P982" s="19"/>
      <c r="Q982" s="81"/>
      <c r="R982" s="19"/>
      <c r="S982" s="1"/>
      <c r="T982" s="1"/>
    </row>
    <row r="983" ht="12.75" customHeight="1">
      <c r="A983" s="1"/>
      <c r="B983" s="7"/>
      <c r="C983" s="19"/>
      <c r="D983" s="7"/>
      <c r="E983" s="7"/>
      <c r="F983" s="19"/>
      <c r="G983" s="7"/>
      <c r="H983" s="7"/>
      <c r="M983" s="1"/>
      <c r="P983" s="19"/>
      <c r="Q983" s="81"/>
      <c r="R983" s="19"/>
      <c r="S983" s="1"/>
      <c r="T983" s="1"/>
    </row>
    <row r="984" ht="12.75" customHeight="1">
      <c r="A984" s="1"/>
      <c r="B984" s="7"/>
      <c r="C984" s="19"/>
      <c r="D984" s="7"/>
      <c r="E984" s="7"/>
      <c r="F984" s="19"/>
      <c r="G984" s="7"/>
      <c r="H984" s="7"/>
      <c r="M984" s="1"/>
      <c r="P984" s="19"/>
      <c r="Q984" s="81"/>
      <c r="R984" s="19"/>
      <c r="S984" s="1"/>
      <c r="T984" s="1"/>
    </row>
    <row r="985" ht="12.75" customHeight="1">
      <c r="A985" s="1"/>
      <c r="B985" s="7"/>
      <c r="C985" s="19"/>
      <c r="D985" s="7"/>
      <c r="E985" s="7"/>
      <c r="F985" s="19"/>
      <c r="G985" s="7"/>
      <c r="H985" s="7"/>
      <c r="M985" s="1"/>
      <c r="P985" s="19"/>
      <c r="Q985" s="81"/>
      <c r="R985" s="19"/>
      <c r="S985" s="1"/>
      <c r="T985" s="1"/>
    </row>
    <row r="986" ht="12.75" customHeight="1">
      <c r="A986" s="1"/>
      <c r="B986" s="7"/>
      <c r="C986" s="19"/>
      <c r="D986" s="7"/>
      <c r="E986" s="7"/>
      <c r="F986" s="19"/>
      <c r="G986" s="7"/>
      <c r="H986" s="7"/>
      <c r="M986" s="1"/>
      <c r="P986" s="19"/>
      <c r="Q986" s="81"/>
      <c r="R986" s="19"/>
      <c r="S986" s="1"/>
      <c r="T986" s="1"/>
    </row>
    <row r="987" ht="12.75" customHeight="1">
      <c r="A987" s="1"/>
      <c r="B987" s="7"/>
      <c r="C987" s="19"/>
      <c r="D987" s="7"/>
      <c r="E987" s="7"/>
      <c r="F987" s="19"/>
      <c r="G987" s="7"/>
      <c r="H987" s="7"/>
      <c r="M987" s="1"/>
      <c r="P987" s="19"/>
      <c r="Q987" s="81"/>
      <c r="R987" s="19"/>
      <c r="S987" s="1"/>
      <c r="T987" s="1"/>
    </row>
    <row r="988" ht="12.75" customHeight="1">
      <c r="A988" s="1"/>
      <c r="B988" s="7"/>
      <c r="C988" s="19"/>
      <c r="D988" s="7"/>
      <c r="E988" s="7"/>
      <c r="F988" s="19"/>
      <c r="G988" s="7"/>
      <c r="H988" s="7"/>
      <c r="M988" s="1"/>
      <c r="P988" s="19"/>
      <c r="Q988" s="81"/>
      <c r="R988" s="19"/>
      <c r="S988" s="1"/>
      <c r="T988" s="1"/>
    </row>
    <row r="989" ht="12.75" customHeight="1">
      <c r="A989" s="1"/>
      <c r="B989" s="7"/>
      <c r="C989" s="19"/>
      <c r="D989" s="7"/>
      <c r="E989" s="7"/>
      <c r="F989" s="19"/>
      <c r="G989" s="7"/>
      <c r="H989" s="7"/>
      <c r="M989" s="1"/>
      <c r="P989" s="19"/>
      <c r="Q989" s="81"/>
      <c r="R989" s="19"/>
      <c r="S989" s="1"/>
      <c r="T989" s="1"/>
    </row>
    <row r="990" ht="12.75" customHeight="1">
      <c r="A990" s="1"/>
      <c r="B990" s="7"/>
      <c r="C990" s="19"/>
      <c r="D990" s="7"/>
      <c r="E990" s="7"/>
      <c r="F990" s="19"/>
      <c r="G990" s="7"/>
      <c r="H990" s="7"/>
      <c r="M990" s="1"/>
      <c r="P990" s="19"/>
      <c r="Q990" s="81"/>
      <c r="R990" s="19"/>
      <c r="S990" s="1"/>
      <c r="T990" s="1"/>
    </row>
    <row r="991" ht="12.75" customHeight="1">
      <c r="A991" s="1"/>
      <c r="B991" s="7"/>
      <c r="C991" s="19"/>
      <c r="D991" s="7"/>
      <c r="E991" s="7"/>
      <c r="F991" s="19"/>
      <c r="G991" s="7"/>
      <c r="H991" s="7"/>
      <c r="M991" s="1"/>
      <c r="P991" s="19"/>
      <c r="Q991" s="81"/>
      <c r="R991" s="19"/>
      <c r="S991" s="1"/>
      <c r="T991" s="1"/>
    </row>
    <row r="992" ht="12.75" customHeight="1">
      <c r="A992" s="1"/>
      <c r="B992" s="7"/>
      <c r="C992" s="19"/>
      <c r="D992" s="7"/>
      <c r="E992" s="7"/>
      <c r="F992" s="19"/>
      <c r="G992" s="7"/>
      <c r="H992" s="7"/>
      <c r="M992" s="1"/>
      <c r="P992" s="19"/>
      <c r="Q992" s="81"/>
      <c r="R992" s="19"/>
      <c r="S992" s="1"/>
      <c r="T992" s="1"/>
    </row>
    <row r="993" ht="12.75" customHeight="1">
      <c r="A993" s="1"/>
      <c r="B993" s="7"/>
      <c r="C993" s="19"/>
      <c r="D993" s="7"/>
      <c r="E993" s="7"/>
      <c r="F993" s="19"/>
      <c r="G993" s="7"/>
      <c r="H993" s="7"/>
      <c r="M993" s="1"/>
      <c r="P993" s="19"/>
      <c r="Q993" s="81"/>
      <c r="R993" s="19"/>
      <c r="S993" s="1"/>
      <c r="T993" s="1"/>
    </row>
    <row r="994" ht="12.75" customHeight="1">
      <c r="A994" s="1"/>
      <c r="B994" s="7"/>
      <c r="C994" s="19"/>
      <c r="D994" s="7"/>
      <c r="E994" s="7"/>
      <c r="F994" s="19"/>
      <c r="G994" s="7"/>
      <c r="H994" s="7"/>
      <c r="M994" s="1"/>
      <c r="P994" s="19"/>
      <c r="Q994" s="81"/>
      <c r="R994" s="19"/>
      <c r="S994" s="1"/>
      <c r="T994" s="1"/>
    </row>
    <row r="995" ht="12.75" customHeight="1">
      <c r="A995" s="1"/>
      <c r="B995" s="7"/>
      <c r="C995" s="19"/>
      <c r="D995" s="7"/>
      <c r="E995" s="7"/>
      <c r="F995" s="19"/>
      <c r="G995" s="7"/>
      <c r="H995" s="7"/>
      <c r="M995" s="1"/>
      <c r="P995" s="19"/>
      <c r="Q995" s="81"/>
      <c r="R995" s="19"/>
      <c r="S995" s="1"/>
      <c r="T995" s="1"/>
    </row>
    <row r="996" ht="12.75" customHeight="1">
      <c r="A996" s="1"/>
      <c r="B996" s="7"/>
      <c r="C996" s="19"/>
      <c r="D996" s="7"/>
      <c r="E996" s="7"/>
      <c r="F996" s="19"/>
      <c r="G996" s="7"/>
      <c r="H996" s="7"/>
      <c r="M996" s="1"/>
      <c r="P996" s="19"/>
      <c r="Q996" s="81"/>
      <c r="R996" s="19"/>
      <c r="S996" s="1"/>
      <c r="T996" s="1"/>
    </row>
    <row r="997" ht="12.75" customHeight="1">
      <c r="A997" s="1"/>
      <c r="B997" s="7"/>
      <c r="C997" s="19"/>
      <c r="D997" s="7"/>
      <c r="E997" s="7"/>
      <c r="F997" s="19"/>
      <c r="G997" s="7"/>
      <c r="H997" s="7"/>
      <c r="M997" s="1"/>
      <c r="P997" s="19"/>
      <c r="Q997" s="81"/>
      <c r="R997" s="19"/>
      <c r="S997" s="1"/>
      <c r="T997" s="1"/>
    </row>
    <row r="998" ht="12.75" customHeight="1">
      <c r="A998" s="1"/>
      <c r="B998" s="7"/>
      <c r="C998" s="19"/>
      <c r="D998" s="7"/>
      <c r="E998" s="7"/>
      <c r="F998" s="19"/>
      <c r="G998" s="7"/>
      <c r="H998" s="7"/>
      <c r="M998" s="1"/>
      <c r="P998" s="19"/>
      <c r="Q998" s="81"/>
      <c r="R998" s="19"/>
      <c r="S998" s="1"/>
      <c r="T998" s="1"/>
    </row>
    <row r="999" ht="12.75" customHeight="1">
      <c r="A999" s="1"/>
      <c r="B999" s="7"/>
      <c r="C999" s="19"/>
      <c r="D999" s="7"/>
      <c r="E999" s="7"/>
      <c r="F999" s="19"/>
      <c r="G999" s="7"/>
      <c r="H999" s="7"/>
      <c r="M999" s="1"/>
      <c r="P999" s="19"/>
      <c r="Q999" s="81"/>
      <c r="R999" s="19"/>
      <c r="S999" s="1"/>
      <c r="T999" s="1"/>
    </row>
    <row r="1000" ht="12.75" customHeight="1">
      <c r="A1000" s="1"/>
      <c r="B1000" s="7"/>
      <c r="C1000" s="19"/>
      <c r="D1000" s="7"/>
      <c r="E1000" s="7"/>
      <c r="F1000" s="19"/>
      <c r="G1000" s="7"/>
      <c r="H1000" s="7"/>
      <c r="M1000" s="1"/>
      <c r="P1000" s="19"/>
      <c r="Q1000" s="81"/>
      <c r="R1000" s="19"/>
      <c r="S1000" s="1"/>
      <c r="T1000" s="1"/>
    </row>
    <row r="1001" ht="12.75" customHeight="1">
      <c r="A1001" s="1"/>
      <c r="B1001" s="7"/>
      <c r="C1001" s="19"/>
      <c r="D1001" s="7"/>
      <c r="E1001" s="7"/>
      <c r="F1001" s="19"/>
      <c r="G1001" s="7"/>
      <c r="H1001" s="7"/>
      <c r="M1001" s="1"/>
      <c r="P1001" s="19"/>
      <c r="Q1001" s="81"/>
      <c r="R1001" s="19"/>
      <c r="S1001" s="1"/>
      <c r="T1001" s="1"/>
    </row>
    <row r="1002" ht="12.75" customHeight="1">
      <c r="A1002" s="1"/>
      <c r="B1002" s="7"/>
      <c r="C1002" s="19"/>
      <c r="D1002" s="7"/>
      <c r="E1002" s="7"/>
      <c r="F1002" s="19"/>
      <c r="G1002" s="7"/>
      <c r="H1002" s="7"/>
      <c r="M1002" s="1"/>
      <c r="P1002" s="19"/>
      <c r="Q1002" s="81"/>
      <c r="R1002" s="19"/>
      <c r="S1002" s="1"/>
      <c r="T1002" s="1"/>
    </row>
    <row r="1003" ht="12.75" customHeight="1">
      <c r="A1003" s="1"/>
      <c r="B1003" s="7"/>
      <c r="C1003" s="19"/>
      <c r="D1003" s="7"/>
      <c r="E1003" s="7"/>
      <c r="F1003" s="19"/>
      <c r="G1003" s="7"/>
      <c r="H1003" s="7"/>
      <c r="M1003" s="1"/>
      <c r="P1003" s="19"/>
      <c r="Q1003" s="81"/>
      <c r="R1003" s="19"/>
      <c r="S1003" s="1"/>
      <c r="T1003" s="1"/>
    </row>
    <row r="1004" ht="12.75" customHeight="1">
      <c r="A1004" s="1"/>
      <c r="B1004" s="7"/>
      <c r="C1004" s="19"/>
      <c r="D1004" s="7"/>
      <c r="E1004" s="7"/>
      <c r="F1004" s="19"/>
      <c r="G1004" s="7"/>
      <c r="H1004" s="7"/>
      <c r="M1004" s="1"/>
      <c r="P1004" s="19"/>
      <c r="Q1004" s="81"/>
      <c r="R1004" s="19"/>
      <c r="S1004" s="1"/>
      <c r="T1004" s="1"/>
    </row>
    <row r="1005" ht="12.75" customHeight="1">
      <c r="A1005" s="1"/>
      <c r="B1005" s="7"/>
      <c r="C1005" s="19"/>
      <c r="D1005" s="7"/>
      <c r="E1005" s="7"/>
      <c r="F1005" s="19"/>
      <c r="G1005" s="7"/>
      <c r="H1005" s="7"/>
      <c r="M1005" s="1"/>
      <c r="P1005" s="19"/>
      <c r="Q1005" s="81"/>
      <c r="R1005" s="19"/>
      <c r="S1005" s="1"/>
      <c r="T1005" s="1"/>
    </row>
    <row r="1006" ht="12.75" customHeight="1">
      <c r="A1006" s="1"/>
      <c r="B1006" s="7"/>
      <c r="C1006" s="19"/>
      <c r="D1006" s="7"/>
      <c r="E1006" s="7"/>
      <c r="F1006" s="19"/>
      <c r="G1006" s="7"/>
      <c r="H1006" s="7"/>
      <c r="M1006" s="1"/>
      <c r="P1006" s="19"/>
      <c r="Q1006" s="81"/>
      <c r="R1006" s="19"/>
      <c r="S1006" s="1"/>
      <c r="T1006" s="1"/>
    </row>
    <row r="1007" ht="12.75" customHeight="1">
      <c r="A1007" s="1"/>
      <c r="B1007" s="7"/>
      <c r="C1007" s="19"/>
      <c r="D1007" s="7"/>
      <c r="E1007" s="7"/>
      <c r="F1007" s="19"/>
      <c r="G1007" s="7"/>
      <c r="H1007" s="7"/>
      <c r="M1007" s="1"/>
      <c r="P1007" s="19"/>
      <c r="Q1007" s="81"/>
      <c r="R1007" s="19"/>
      <c r="S1007" s="1"/>
      <c r="T1007" s="1"/>
    </row>
    <row r="1008" ht="12.75" customHeight="1">
      <c r="A1008" s="1"/>
      <c r="B1008" s="7"/>
      <c r="C1008" s="19"/>
      <c r="D1008" s="7"/>
      <c r="E1008" s="7"/>
      <c r="F1008" s="19"/>
      <c r="G1008" s="7"/>
      <c r="H1008" s="7"/>
      <c r="M1008" s="1"/>
      <c r="P1008" s="19"/>
      <c r="Q1008" s="81"/>
      <c r="R1008" s="19"/>
      <c r="S1008" s="1"/>
      <c r="T1008" s="1"/>
    </row>
    <row r="1009" ht="12.75" customHeight="1">
      <c r="A1009" s="1"/>
      <c r="B1009" s="7"/>
      <c r="C1009" s="19"/>
      <c r="D1009" s="7"/>
      <c r="E1009" s="7"/>
      <c r="F1009" s="19"/>
      <c r="G1009" s="7"/>
      <c r="H1009" s="7"/>
      <c r="M1009" s="1"/>
      <c r="P1009" s="19"/>
      <c r="Q1009" s="81"/>
      <c r="R1009" s="19"/>
      <c r="S1009" s="1"/>
      <c r="T1009" s="1"/>
    </row>
    <row r="1010" ht="12.75" customHeight="1">
      <c r="A1010" s="1"/>
      <c r="B1010" s="7"/>
      <c r="C1010" s="19"/>
      <c r="D1010" s="7"/>
      <c r="E1010" s="7"/>
      <c r="F1010" s="19"/>
      <c r="G1010" s="7"/>
      <c r="H1010" s="7"/>
      <c r="M1010" s="1"/>
      <c r="P1010" s="19"/>
      <c r="Q1010" s="81"/>
      <c r="R1010" s="19"/>
      <c r="S1010" s="1"/>
      <c r="T1010" s="1"/>
    </row>
    <row r="1011" ht="12.75" customHeight="1">
      <c r="A1011" s="1"/>
      <c r="B1011" s="7"/>
      <c r="C1011" s="19"/>
      <c r="D1011" s="7"/>
      <c r="E1011" s="7"/>
      <c r="F1011" s="19"/>
      <c r="G1011" s="7"/>
      <c r="H1011" s="7"/>
      <c r="M1011" s="1"/>
      <c r="P1011" s="19"/>
      <c r="Q1011" s="81"/>
      <c r="R1011" s="19"/>
      <c r="S1011" s="1"/>
      <c r="T1011" s="1"/>
    </row>
    <row r="1012" ht="12.75" customHeight="1">
      <c r="A1012" s="1"/>
      <c r="B1012" s="7"/>
      <c r="C1012" s="19"/>
      <c r="D1012" s="7"/>
      <c r="E1012" s="7"/>
      <c r="F1012" s="19"/>
      <c r="G1012" s="7"/>
      <c r="H1012" s="7"/>
      <c r="M1012" s="1"/>
      <c r="P1012" s="19"/>
      <c r="Q1012" s="81"/>
      <c r="R1012" s="19"/>
      <c r="S1012" s="1"/>
      <c r="T1012" s="1"/>
    </row>
    <row r="1013" ht="12.75" customHeight="1">
      <c r="A1013" s="1"/>
      <c r="B1013" s="7"/>
      <c r="C1013" s="19"/>
      <c r="D1013" s="7"/>
      <c r="E1013" s="7"/>
      <c r="F1013" s="19"/>
      <c r="G1013" s="7"/>
      <c r="H1013" s="7"/>
      <c r="M1013" s="1"/>
      <c r="P1013" s="19"/>
      <c r="Q1013" s="81"/>
      <c r="R1013" s="19"/>
      <c r="S1013" s="1"/>
      <c r="T1013" s="1"/>
    </row>
    <row r="1014" ht="12.75" customHeight="1">
      <c r="A1014" s="1"/>
      <c r="B1014" s="7"/>
      <c r="C1014" s="19"/>
      <c r="D1014" s="7"/>
      <c r="E1014" s="7"/>
      <c r="F1014" s="19"/>
      <c r="G1014" s="7"/>
      <c r="H1014" s="7"/>
      <c r="M1014" s="1"/>
      <c r="P1014" s="19"/>
      <c r="Q1014" s="81"/>
      <c r="R1014" s="19"/>
      <c r="S1014" s="1"/>
      <c r="T1014" s="1"/>
    </row>
    <row r="1015" ht="12.75" customHeight="1">
      <c r="A1015" s="1"/>
      <c r="B1015" s="7"/>
      <c r="C1015" s="19"/>
      <c r="D1015" s="7"/>
      <c r="E1015" s="7"/>
      <c r="F1015" s="19"/>
      <c r="G1015" s="7"/>
      <c r="H1015" s="7"/>
      <c r="M1015" s="1"/>
      <c r="P1015" s="19"/>
      <c r="Q1015" s="81"/>
      <c r="R1015" s="19"/>
      <c r="S1015" s="1"/>
      <c r="T1015" s="1"/>
    </row>
    <row r="1016" ht="12.75" customHeight="1">
      <c r="A1016" s="1"/>
      <c r="B1016" s="7"/>
      <c r="C1016" s="19"/>
      <c r="D1016" s="7"/>
      <c r="E1016" s="7"/>
      <c r="F1016" s="19"/>
      <c r="G1016" s="7"/>
      <c r="H1016" s="7"/>
      <c r="M1016" s="1"/>
      <c r="P1016" s="19"/>
      <c r="Q1016" s="81"/>
      <c r="R1016" s="19"/>
      <c r="S1016" s="1"/>
      <c r="T1016" s="1"/>
    </row>
    <row r="1017" ht="12.75" customHeight="1">
      <c r="A1017" s="1"/>
      <c r="B1017" s="7"/>
      <c r="C1017" s="19"/>
      <c r="D1017" s="7"/>
      <c r="E1017" s="7"/>
      <c r="F1017" s="19"/>
      <c r="G1017" s="7"/>
      <c r="H1017" s="7"/>
      <c r="M1017" s="1"/>
      <c r="P1017" s="19"/>
      <c r="Q1017" s="81"/>
      <c r="R1017" s="19"/>
      <c r="S1017" s="1"/>
      <c r="T1017" s="1"/>
    </row>
    <row r="1018" ht="12.75" customHeight="1">
      <c r="A1018" s="1"/>
      <c r="B1018" s="7"/>
      <c r="C1018" s="19"/>
      <c r="D1018" s="7"/>
      <c r="E1018" s="7"/>
      <c r="F1018" s="19"/>
      <c r="G1018" s="7"/>
      <c r="H1018" s="7"/>
      <c r="M1018" s="1"/>
      <c r="P1018" s="19"/>
      <c r="Q1018" s="81"/>
      <c r="R1018" s="19"/>
      <c r="S1018" s="1"/>
      <c r="T1018" s="1"/>
    </row>
    <row r="1019" ht="12.75" customHeight="1">
      <c r="A1019" s="1"/>
      <c r="B1019" s="7"/>
      <c r="C1019" s="19"/>
      <c r="D1019" s="7"/>
      <c r="E1019" s="7"/>
      <c r="F1019" s="19"/>
      <c r="G1019" s="7"/>
      <c r="H1019" s="7"/>
      <c r="M1019" s="1"/>
      <c r="P1019" s="19"/>
      <c r="Q1019" s="81"/>
      <c r="R1019" s="19"/>
      <c r="S1019" s="1"/>
      <c r="T1019" s="1"/>
    </row>
    <row r="1020" ht="12.75" customHeight="1">
      <c r="A1020" s="1"/>
      <c r="B1020" s="7"/>
      <c r="C1020" s="19"/>
      <c r="D1020" s="7"/>
      <c r="E1020" s="7"/>
      <c r="F1020" s="19"/>
      <c r="G1020" s="7"/>
      <c r="H1020" s="7"/>
      <c r="M1020" s="1"/>
      <c r="P1020" s="19"/>
      <c r="Q1020" s="81"/>
      <c r="R1020" s="19"/>
      <c r="S1020" s="1"/>
      <c r="T1020" s="1"/>
    </row>
    <row r="1021" ht="12.75" customHeight="1">
      <c r="A1021" s="1"/>
      <c r="B1021" s="7"/>
      <c r="C1021" s="19"/>
      <c r="D1021" s="7"/>
      <c r="E1021" s="7"/>
      <c r="F1021" s="19"/>
      <c r="G1021" s="7"/>
      <c r="H1021" s="7"/>
      <c r="M1021" s="1"/>
      <c r="P1021" s="19"/>
      <c r="Q1021" s="81"/>
      <c r="R1021" s="19"/>
      <c r="S1021" s="1"/>
      <c r="T1021" s="1"/>
    </row>
    <row r="1022" ht="12.75" customHeight="1">
      <c r="A1022" s="1"/>
      <c r="B1022" s="7"/>
      <c r="C1022" s="19"/>
      <c r="D1022" s="7"/>
      <c r="E1022" s="7"/>
      <c r="F1022" s="19"/>
      <c r="G1022" s="7"/>
      <c r="H1022" s="7"/>
      <c r="M1022" s="1"/>
      <c r="P1022" s="19"/>
      <c r="Q1022" s="81"/>
      <c r="R1022" s="19"/>
      <c r="S1022" s="1"/>
      <c r="T1022" s="1"/>
    </row>
    <row r="1023" ht="12.75" customHeight="1">
      <c r="A1023" s="1"/>
      <c r="B1023" s="7"/>
      <c r="C1023" s="19"/>
      <c r="D1023" s="7"/>
      <c r="E1023" s="7"/>
      <c r="F1023" s="19"/>
      <c r="G1023" s="7"/>
      <c r="H1023" s="7"/>
      <c r="M1023" s="1"/>
      <c r="P1023" s="19"/>
      <c r="Q1023" s="81"/>
      <c r="R1023" s="19"/>
      <c r="S1023" s="1"/>
      <c r="T1023" s="1"/>
    </row>
    <row r="1024" ht="12.75" customHeight="1">
      <c r="A1024" s="1"/>
      <c r="B1024" s="7"/>
      <c r="C1024" s="19"/>
      <c r="D1024" s="7"/>
      <c r="E1024" s="7"/>
      <c r="F1024" s="19"/>
      <c r="G1024" s="7"/>
      <c r="H1024" s="7"/>
      <c r="M1024" s="1"/>
      <c r="P1024" s="19"/>
      <c r="Q1024" s="81"/>
      <c r="R1024" s="19"/>
      <c r="S1024" s="1"/>
      <c r="T1024" s="1"/>
    </row>
    <row r="1025" ht="12.75" customHeight="1">
      <c r="A1025" s="1"/>
      <c r="B1025" s="7"/>
      <c r="C1025" s="19"/>
      <c r="D1025" s="7"/>
      <c r="E1025" s="7"/>
      <c r="F1025" s="19"/>
      <c r="G1025" s="7"/>
      <c r="H1025" s="7"/>
      <c r="M1025" s="1"/>
      <c r="P1025" s="19"/>
      <c r="Q1025" s="81"/>
      <c r="R1025" s="19"/>
      <c r="S1025" s="1"/>
      <c r="T1025" s="1"/>
    </row>
    <row r="1026" ht="12.75" customHeight="1">
      <c r="A1026" s="1"/>
      <c r="B1026" s="7"/>
      <c r="C1026" s="19"/>
      <c r="D1026" s="7"/>
      <c r="E1026" s="7"/>
      <c r="F1026" s="19"/>
      <c r="G1026" s="7"/>
      <c r="H1026" s="7"/>
      <c r="M1026" s="1"/>
      <c r="P1026" s="19"/>
      <c r="Q1026" s="81"/>
      <c r="R1026" s="19"/>
      <c r="S1026" s="1"/>
      <c r="T1026" s="1"/>
    </row>
    <row r="1027" ht="12.75" customHeight="1">
      <c r="A1027" s="1"/>
      <c r="B1027" s="7"/>
      <c r="C1027" s="19"/>
      <c r="D1027" s="7"/>
      <c r="E1027" s="7"/>
      <c r="F1027" s="19"/>
      <c r="G1027" s="7"/>
      <c r="H1027" s="7"/>
      <c r="M1027" s="1"/>
      <c r="P1027" s="19"/>
      <c r="Q1027" s="81"/>
      <c r="R1027" s="19"/>
      <c r="S1027" s="1"/>
      <c r="T1027" s="1"/>
    </row>
    <row r="1028" ht="12.75" customHeight="1">
      <c r="A1028" s="1"/>
      <c r="B1028" s="7"/>
      <c r="C1028" s="19"/>
      <c r="D1028" s="7"/>
      <c r="E1028" s="7"/>
      <c r="F1028" s="19"/>
      <c r="G1028" s="7"/>
      <c r="H1028" s="7"/>
      <c r="M1028" s="1"/>
      <c r="P1028" s="19"/>
      <c r="Q1028" s="81"/>
      <c r="R1028" s="19"/>
      <c r="S1028" s="1"/>
      <c r="T1028" s="1"/>
    </row>
    <row r="1029" ht="12.75" customHeight="1">
      <c r="A1029" s="1"/>
      <c r="B1029" s="7"/>
      <c r="C1029" s="19"/>
      <c r="D1029" s="7"/>
      <c r="E1029" s="7"/>
      <c r="F1029" s="19"/>
      <c r="G1029" s="7"/>
      <c r="H1029" s="7"/>
      <c r="M1029" s="1"/>
      <c r="P1029" s="19"/>
      <c r="Q1029" s="81"/>
      <c r="R1029" s="19"/>
      <c r="S1029" s="1"/>
      <c r="T1029" s="1"/>
    </row>
    <row r="1030" ht="12.75" customHeight="1">
      <c r="A1030" s="1"/>
      <c r="B1030" s="7"/>
      <c r="C1030" s="19"/>
      <c r="D1030" s="7"/>
      <c r="E1030" s="7"/>
      <c r="F1030" s="19"/>
      <c r="G1030" s="7"/>
      <c r="H1030" s="7"/>
      <c r="M1030" s="1"/>
      <c r="P1030" s="19"/>
      <c r="Q1030" s="81"/>
      <c r="R1030" s="19"/>
      <c r="S1030" s="1"/>
      <c r="T1030" s="1"/>
    </row>
    <row r="1031" ht="12.75" customHeight="1">
      <c r="A1031" s="1"/>
      <c r="B1031" s="7"/>
      <c r="C1031" s="19"/>
      <c r="D1031" s="7"/>
      <c r="E1031" s="7"/>
      <c r="F1031" s="19"/>
      <c r="G1031" s="7"/>
      <c r="H1031" s="7"/>
      <c r="M1031" s="1"/>
      <c r="P1031" s="19"/>
      <c r="Q1031" s="81"/>
      <c r="R1031" s="19"/>
      <c r="S1031" s="1"/>
      <c r="T1031" s="1"/>
    </row>
    <row r="1032" ht="12.75" customHeight="1">
      <c r="A1032" s="1"/>
      <c r="B1032" s="7"/>
      <c r="C1032" s="19"/>
      <c r="D1032" s="7"/>
      <c r="E1032" s="7"/>
      <c r="F1032" s="19"/>
      <c r="G1032" s="7"/>
      <c r="H1032" s="7"/>
      <c r="M1032" s="1"/>
      <c r="P1032" s="19"/>
      <c r="Q1032" s="81"/>
      <c r="R1032" s="19"/>
      <c r="S1032" s="1"/>
      <c r="T1032" s="1"/>
    </row>
    <row r="1033" ht="12.75" customHeight="1">
      <c r="A1033" s="1"/>
      <c r="B1033" s="7"/>
      <c r="C1033" s="19"/>
      <c r="D1033" s="7"/>
      <c r="E1033" s="7"/>
      <c r="F1033" s="19"/>
      <c r="G1033" s="7"/>
      <c r="H1033" s="7"/>
      <c r="M1033" s="1"/>
      <c r="P1033" s="19"/>
      <c r="Q1033" s="81"/>
      <c r="R1033" s="19"/>
      <c r="S1033" s="1"/>
      <c r="T1033" s="1"/>
    </row>
    <row r="1034" ht="12.75" customHeight="1">
      <c r="A1034" s="1"/>
      <c r="B1034" s="7"/>
      <c r="C1034" s="19"/>
      <c r="D1034" s="7"/>
      <c r="E1034" s="7"/>
      <c r="F1034" s="19"/>
      <c r="G1034" s="7"/>
      <c r="H1034" s="7"/>
      <c r="M1034" s="1"/>
      <c r="P1034" s="19"/>
      <c r="Q1034" s="81"/>
      <c r="R1034" s="19"/>
      <c r="S1034" s="1"/>
      <c r="T1034" s="1"/>
    </row>
    <row r="1035" ht="12.75" customHeight="1">
      <c r="A1035" s="1"/>
      <c r="B1035" s="7"/>
      <c r="C1035" s="19"/>
      <c r="D1035" s="7"/>
      <c r="E1035" s="7"/>
      <c r="F1035" s="19"/>
      <c r="G1035" s="7"/>
      <c r="H1035" s="7"/>
      <c r="M1035" s="1"/>
      <c r="P1035" s="19"/>
      <c r="Q1035" s="81"/>
      <c r="R1035" s="19"/>
      <c r="S1035" s="1"/>
      <c r="T1035" s="1"/>
    </row>
    <row r="1036" ht="12.75" customHeight="1">
      <c r="A1036" s="1"/>
      <c r="B1036" s="7"/>
      <c r="C1036" s="19"/>
      <c r="D1036" s="7"/>
      <c r="E1036" s="7"/>
      <c r="F1036" s="19"/>
      <c r="G1036" s="7"/>
      <c r="H1036" s="7"/>
      <c r="M1036" s="1"/>
      <c r="P1036" s="19"/>
      <c r="Q1036" s="81"/>
      <c r="R1036" s="19"/>
      <c r="S1036" s="1"/>
      <c r="T1036" s="1"/>
    </row>
    <row r="1037" ht="12.75" customHeight="1">
      <c r="A1037" s="1"/>
      <c r="B1037" s="7"/>
      <c r="C1037" s="19"/>
      <c r="D1037" s="7"/>
      <c r="E1037" s="7"/>
      <c r="F1037" s="19"/>
      <c r="G1037" s="7"/>
      <c r="H1037" s="7"/>
      <c r="M1037" s="1"/>
      <c r="P1037" s="19"/>
      <c r="Q1037" s="81"/>
      <c r="R1037" s="19"/>
      <c r="S1037" s="1"/>
      <c r="T1037" s="1"/>
    </row>
    <row r="1038" ht="12.75" customHeight="1">
      <c r="A1038" s="1"/>
      <c r="B1038" s="7"/>
      <c r="C1038" s="19"/>
      <c r="D1038" s="7"/>
      <c r="E1038" s="7"/>
      <c r="F1038" s="19"/>
      <c r="G1038" s="7"/>
      <c r="H1038" s="7"/>
      <c r="M1038" s="1"/>
      <c r="P1038" s="19"/>
      <c r="Q1038" s="81"/>
      <c r="R1038" s="19"/>
      <c r="S1038" s="1"/>
      <c r="T1038" s="1"/>
    </row>
    <row r="1039" ht="12.75" customHeight="1">
      <c r="A1039" s="1"/>
      <c r="B1039" s="7"/>
      <c r="C1039" s="19"/>
      <c r="D1039" s="7"/>
      <c r="E1039" s="7"/>
      <c r="F1039" s="19"/>
      <c r="G1039" s="7"/>
      <c r="H1039" s="7"/>
      <c r="M1039" s="1"/>
      <c r="P1039" s="19"/>
      <c r="Q1039" s="81"/>
      <c r="R1039" s="19"/>
      <c r="S1039" s="1"/>
      <c r="T1039" s="1"/>
    </row>
    <row r="1040" ht="12.75" customHeight="1">
      <c r="A1040" s="1"/>
      <c r="B1040" s="7"/>
      <c r="C1040" s="19"/>
      <c r="D1040" s="7"/>
      <c r="E1040" s="7"/>
      <c r="F1040" s="19"/>
      <c r="G1040" s="7"/>
      <c r="H1040" s="7"/>
      <c r="M1040" s="1"/>
      <c r="P1040" s="19"/>
      <c r="Q1040" s="81"/>
      <c r="R1040" s="19"/>
      <c r="S1040" s="1"/>
      <c r="T1040" s="1"/>
    </row>
    <row r="1041" ht="12.75" customHeight="1">
      <c r="A1041" s="1"/>
      <c r="B1041" s="7"/>
      <c r="C1041" s="19"/>
      <c r="D1041" s="7"/>
      <c r="E1041" s="7"/>
      <c r="F1041" s="19"/>
      <c r="G1041" s="7"/>
      <c r="H1041" s="7"/>
      <c r="M1041" s="1"/>
      <c r="P1041" s="19"/>
      <c r="Q1041" s="81"/>
      <c r="R1041" s="19"/>
      <c r="S1041" s="1"/>
      <c r="T1041" s="1"/>
    </row>
    <row r="1042" ht="12.75" customHeight="1">
      <c r="A1042" s="1"/>
      <c r="B1042" s="7"/>
      <c r="C1042" s="19"/>
      <c r="D1042" s="7"/>
      <c r="E1042" s="7"/>
      <c r="F1042" s="19"/>
      <c r="G1042" s="7"/>
      <c r="H1042" s="7"/>
      <c r="M1042" s="1"/>
      <c r="P1042" s="19"/>
      <c r="Q1042" s="81"/>
      <c r="R1042" s="19"/>
      <c r="S1042" s="1"/>
      <c r="T1042" s="1"/>
    </row>
    <row r="1043" ht="12.75" customHeight="1">
      <c r="A1043" s="1"/>
      <c r="B1043" s="7"/>
      <c r="C1043" s="19"/>
      <c r="D1043" s="7"/>
      <c r="E1043" s="7"/>
      <c r="F1043" s="19"/>
      <c r="G1043" s="7"/>
      <c r="H1043" s="7"/>
      <c r="M1043" s="1"/>
      <c r="P1043" s="19"/>
      <c r="Q1043" s="81"/>
      <c r="R1043" s="19"/>
      <c r="S1043" s="1"/>
      <c r="T1043" s="1"/>
    </row>
    <row r="1044" ht="12.75" customHeight="1">
      <c r="A1044" s="1"/>
      <c r="B1044" s="7"/>
      <c r="C1044" s="19"/>
      <c r="D1044" s="7"/>
      <c r="E1044" s="7"/>
      <c r="F1044" s="19"/>
      <c r="G1044" s="7"/>
      <c r="H1044" s="7"/>
      <c r="M1044" s="1"/>
      <c r="P1044" s="19"/>
      <c r="Q1044" s="81"/>
      <c r="R1044" s="19"/>
      <c r="S1044" s="1"/>
      <c r="T1044" s="1"/>
    </row>
    <row r="1045" ht="12.75" customHeight="1">
      <c r="A1045" s="1"/>
      <c r="B1045" s="7"/>
      <c r="C1045" s="19"/>
      <c r="D1045" s="7"/>
      <c r="E1045" s="7"/>
      <c r="F1045" s="19"/>
      <c r="G1045" s="7"/>
      <c r="H1045" s="7"/>
      <c r="M1045" s="1"/>
      <c r="P1045" s="19"/>
      <c r="Q1045" s="81"/>
      <c r="R1045" s="19"/>
      <c r="S1045" s="1"/>
      <c r="T1045" s="1"/>
    </row>
    <row r="1046" ht="12.75" customHeight="1">
      <c r="A1046" s="1"/>
      <c r="B1046" s="7"/>
      <c r="C1046" s="19"/>
      <c r="D1046" s="7"/>
      <c r="E1046" s="7"/>
      <c r="F1046" s="19"/>
      <c r="G1046" s="7"/>
      <c r="H1046" s="7"/>
      <c r="M1046" s="1"/>
      <c r="P1046" s="19"/>
      <c r="Q1046" s="81"/>
      <c r="R1046" s="19"/>
      <c r="S1046" s="1"/>
      <c r="T1046" s="1"/>
    </row>
    <row r="1047" ht="12.75" customHeight="1">
      <c r="A1047" s="1"/>
      <c r="B1047" s="7"/>
      <c r="C1047" s="19"/>
      <c r="D1047" s="7"/>
      <c r="E1047" s="7"/>
      <c r="F1047" s="19"/>
      <c r="G1047" s="7"/>
      <c r="H1047" s="7"/>
      <c r="M1047" s="1"/>
      <c r="P1047" s="19"/>
      <c r="Q1047" s="81"/>
      <c r="R1047" s="19"/>
      <c r="S1047" s="1"/>
      <c r="T1047" s="1"/>
    </row>
    <row r="1048" ht="12.75" customHeight="1">
      <c r="A1048" s="1"/>
      <c r="B1048" s="7"/>
      <c r="C1048" s="19"/>
      <c r="D1048" s="7"/>
      <c r="E1048" s="7"/>
      <c r="F1048" s="19"/>
      <c r="G1048" s="7"/>
      <c r="H1048" s="7"/>
      <c r="M1048" s="1"/>
      <c r="P1048" s="19"/>
      <c r="Q1048" s="81"/>
      <c r="R1048" s="19"/>
      <c r="S1048" s="1"/>
      <c r="T1048" s="1"/>
    </row>
    <row r="1049" ht="12.75" customHeight="1">
      <c r="A1049" s="1"/>
      <c r="B1049" s="7"/>
      <c r="C1049" s="19"/>
      <c r="D1049" s="7"/>
      <c r="E1049" s="7"/>
      <c r="F1049" s="19"/>
      <c r="G1049" s="7"/>
      <c r="H1049" s="7"/>
      <c r="M1049" s="1"/>
      <c r="P1049" s="19"/>
      <c r="Q1049" s="81"/>
      <c r="R1049" s="19"/>
      <c r="S1049" s="1"/>
      <c r="T1049" s="1"/>
    </row>
    <row r="1050" ht="12.75" customHeight="1">
      <c r="A1050" s="1"/>
      <c r="B1050" s="7"/>
      <c r="C1050" s="19"/>
      <c r="D1050" s="7"/>
      <c r="E1050" s="7"/>
      <c r="F1050" s="19"/>
      <c r="G1050" s="7"/>
      <c r="H1050" s="7"/>
      <c r="M1050" s="1"/>
      <c r="P1050" s="19"/>
      <c r="Q1050" s="81"/>
      <c r="R1050" s="19"/>
      <c r="S1050" s="1"/>
      <c r="T1050" s="1"/>
    </row>
    <row r="1051" ht="12.75" customHeight="1">
      <c r="A1051" s="1"/>
      <c r="B1051" s="7"/>
      <c r="C1051" s="19"/>
      <c r="D1051" s="7"/>
      <c r="E1051" s="7"/>
      <c r="F1051" s="19"/>
      <c r="G1051" s="7"/>
      <c r="H1051" s="7"/>
      <c r="M1051" s="1"/>
      <c r="P1051" s="19"/>
      <c r="Q1051" s="81"/>
      <c r="R1051" s="19"/>
      <c r="S1051" s="1"/>
      <c r="T1051" s="1"/>
    </row>
    <row r="1052" ht="12.75" customHeight="1">
      <c r="A1052" s="1"/>
      <c r="B1052" s="7"/>
      <c r="C1052" s="19"/>
      <c r="D1052" s="7"/>
      <c r="E1052" s="7"/>
      <c r="F1052" s="19"/>
      <c r="G1052" s="7"/>
      <c r="H1052" s="7"/>
      <c r="M1052" s="1"/>
      <c r="P1052" s="19"/>
      <c r="Q1052" s="81"/>
      <c r="R1052" s="19"/>
      <c r="S1052" s="1"/>
      <c r="T1052" s="1"/>
    </row>
    <row r="1053" ht="12.75" customHeight="1">
      <c r="A1053" s="1"/>
      <c r="B1053" s="7"/>
      <c r="C1053" s="19"/>
      <c r="D1053" s="7"/>
      <c r="E1053" s="7"/>
      <c r="F1053" s="19"/>
      <c r="G1053" s="7"/>
      <c r="H1053" s="7"/>
      <c r="M1053" s="1"/>
      <c r="P1053" s="19"/>
      <c r="Q1053" s="81"/>
      <c r="R1053" s="19"/>
      <c r="S1053" s="1"/>
      <c r="T1053" s="1"/>
    </row>
    <row r="1054" ht="12.75" customHeight="1">
      <c r="A1054" s="1"/>
      <c r="B1054" s="7"/>
      <c r="C1054" s="19"/>
      <c r="D1054" s="7"/>
      <c r="E1054" s="7"/>
      <c r="F1054" s="19"/>
      <c r="G1054" s="7"/>
      <c r="H1054" s="7"/>
      <c r="M1054" s="1"/>
      <c r="P1054" s="19"/>
      <c r="Q1054" s="81"/>
      <c r="R1054" s="19"/>
      <c r="S1054" s="1"/>
      <c r="T1054" s="1"/>
    </row>
    <row r="1055" ht="12.75" customHeight="1">
      <c r="A1055" s="1"/>
      <c r="B1055" s="7"/>
      <c r="C1055" s="19"/>
      <c r="D1055" s="7"/>
      <c r="E1055" s="7"/>
      <c r="F1055" s="19"/>
      <c r="G1055" s="7"/>
      <c r="H1055" s="7"/>
      <c r="M1055" s="1"/>
      <c r="P1055" s="19"/>
      <c r="Q1055" s="81"/>
      <c r="R1055" s="19"/>
      <c r="S1055" s="1"/>
      <c r="T1055" s="1"/>
    </row>
    <row r="1056" ht="12.75" customHeight="1">
      <c r="A1056" s="1"/>
      <c r="B1056" s="7"/>
      <c r="C1056" s="19"/>
      <c r="D1056" s="7"/>
      <c r="E1056" s="7"/>
      <c r="F1056" s="19"/>
      <c r="G1056" s="7"/>
      <c r="H1056" s="7"/>
      <c r="M1056" s="1"/>
      <c r="P1056" s="19"/>
      <c r="Q1056" s="81"/>
      <c r="R1056" s="19"/>
      <c r="S1056" s="1"/>
      <c r="T1056" s="1"/>
    </row>
    <row r="1057" ht="12.75" customHeight="1">
      <c r="A1057" s="1"/>
      <c r="B1057" s="7"/>
      <c r="C1057" s="19"/>
      <c r="D1057" s="7"/>
      <c r="E1057" s="7"/>
      <c r="F1057" s="19"/>
      <c r="G1057" s="7"/>
      <c r="H1057" s="7"/>
      <c r="M1057" s="1"/>
      <c r="P1057" s="19"/>
      <c r="Q1057" s="81"/>
      <c r="R1057" s="19"/>
      <c r="S1057" s="1"/>
      <c r="T1057" s="1"/>
    </row>
    <row r="1058" ht="12.75" customHeight="1">
      <c r="A1058" s="1"/>
      <c r="B1058" s="7"/>
      <c r="C1058" s="19"/>
      <c r="D1058" s="7"/>
      <c r="E1058" s="7"/>
      <c r="F1058" s="19"/>
      <c r="G1058" s="7"/>
      <c r="H1058" s="7"/>
      <c r="M1058" s="1"/>
      <c r="P1058" s="19"/>
      <c r="Q1058" s="81"/>
      <c r="R1058" s="19"/>
      <c r="S1058" s="1"/>
      <c r="T1058" s="1"/>
    </row>
    <row r="1059" ht="12.75" customHeight="1">
      <c r="A1059" s="1"/>
      <c r="B1059" s="7"/>
      <c r="C1059" s="19"/>
      <c r="D1059" s="7"/>
      <c r="E1059" s="7"/>
      <c r="F1059" s="19"/>
      <c r="G1059" s="7"/>
      <c r="H1059" s="7"/>
      <c r="M1059" s="1"/>
      <c r="P1059" s="19"/>
      <c r="Q1059" s="81"/>
      <c r="R1059" s="19"/>
      <c r="S1059" s="1"/>
      <c r="T1059" s="1"/>
    </row>
    <row r="1060" ht="12.75" customHeight="1">
      <c r="A1060" s="1"/>
      <c r="B1060" s="7"/>
      <c r="C1060" s="19"/>
      <c r="D1060" s="7"/>
      <c r="E1060" s="7"/>
      <c r="F1060" s="19"/>
      <c r="G1060" s="7"/>
      <c r="H1060" s="7"/>
      <c r="M1060" s="1"/>
      <c r="P1060" s="19"/>
      <c r="Q1060" s="81"/>
      <c r="R1060" s="19"/>
      <c r="S1060" s="1"/>
      <c r="T1060" s="1"/>
    </row>
    <row r="1061" ht="12.75" customHeight="1">
      <c r="A1061" s="1"/>
      <c r="B1061" s="7"/>
      <c r="C1061" s="19"/>
      <c r="D1061" s="7"/>
      <c r="E1061" s="7"/>
      <c r="F1061" s="19"/>
      <c r="G1061" s="7"/>
      <c r="H1061" s="7"/>
      <c r="M1061" s="1"/>
      <c r="P1061" s="19"/>
      <c r="Q1061" s="81"/>
      <c r="R1061" s="19"/>
      <c r="S1061" s="1"/>
      <c r="T1061" s="1"/>
    </row>
    <row r="1062" ht="12.75" customHeight="1">
      <c r="A1062" s="1"/>
      <c r="B1062" s="7"/>
      <c r="C1062" s="19"/>
      <c r="D1062" s="7"/>
      <c r="E1062" s="7"/>
      <c r="F1062" s="19"/>
      <c r="G1062" s="7"/>
      <c r="H1062" s="7"/>
      <c r="M1062" s="1"/>
      <c r="P1062" s="19"/>
      <c r="Q1062" s="81"/>
      <c r="R1062" s="19"/>
      <c r="S1062" s="1"/>
      <c r="T1062" s="1"/>
    </row>
    <row r="1063" ht="12.75" customHeight="1">
      <c r="A1063" s="1"/>
      <c r="B1063" s="7"/>
      <c r="C1063" s="19"/>
      <c r="D1063" s="7"/>
      <c r="E1063" s="7"/>
      <c r="F1063" s="19"/>
      <c r="G1063" s="7"/>
      <c r="H1063" s="7"/>
      <c r="M1063" s="1"/>
      <c r="P1063" s="19"/>
      <c r="Q1063" s="81"/>
      <c r="R1063" s="19"/>
      <c r="S1063" s="1"/>
      <c r="T1063" s="1"/>
    </row>
    <row r="1064" ht="12.75" customHeight="1">
      <c r="A1064" s="1"/>
      <c r="B1064" s="7"/>
      <c r="C1064" s="19"/>
      <c r="D1064" s="7"/>
      <c r="E1064" s="7"/>
      <c r="F1064" s="19"/>
      <c r="G1064" s="7"/>
      <c r="H1064" s="7"/>
      <c r="M1064" s="1"/>
      <c r="P1064" s="19"/>
      <c r="Q1064" s="81"/>
      <c r="R1064" s="19"/>
      <c r="S1064" s="1"/>
      <c r="T1064" s="1"/>
    </row>
    <row r="1065" ht="12.75" customHeight="1">
      <c r="A1065" s="1"/>
      <c r="B1065" s="7"/>
      <c r="C1065" s="19"/>
      <c r="D1065" s="7"/>
      <c r="E1065" s="7"/>
      <c r="F1065" s="19"/>
      <c r="G1065" s="7"/>
      <c r="H1065" s="7"/>
      <c r="M1065" s="1"/>
      <c r="P1065" s="19"/>
      <c r="Q1065" s="81"/>
      <c r="R1065" s="19"/>
      <c r="S1065" s="1"/>
      <c r="T1065" s="1"/>
    </row>
    <row r="1066" ht="12.75" customHeight="1">
      <c r="A1066" s="1"/>
      <c r="B1066" s="7"/>
      <c r="C1066" s="19"/>
      <c r="D1066" s="7"/>
      <c r="E1066" s="7"/>
      <c r="F1066" s="19"/>
      <c r="G1066" s="7"/>
      <c r="H1066" s="7"/>
      <c r="M1066" s="1"/>
      <c r="P1066" s="19"/>
      <c r="Q1066" s="81"/>
      <c r="R1066" s="19"/>
      <c r="S1066" s="1"/>
      <c r="T1066" s="1"/>
    </row>
    <row r="1067" ht="12.75" customHeight="1">
      <c r="A1067" s="1"/>
      <c r="B1067" s="7"/>
      <c r="C1067" s="19"/>
      <c r="D1067" s="7"/>
      <c r="E1067" s="7"/>
      <c r="F1067" s="19"/>
      <c r="G1067" s="7"/>
      <c r="H1067" s="7"/>
      <c r="M1067" s="1"/>
      <c r="P1067" s="19"/>
      <c r="Q1067" s="81"/>
      <c r="R1067" s="19"/>
      <c r="S1067" s="1"/>
      <c r="T1067" s="1"/>
    </row>
    <row r="1068" ht="12.75" customHeight="1">
      <c r="A1068" s="1"/>
      <c r="B1068" s="7"/>
      <c r="C1068" s="19"/>
      <c r="D1068" s="7"/>
      <c r="E1068" s="7"/>
      <c r="F1068" s="19"/>
      <c r="G1068" s="7"/>
      <c r="H1068" s="7"/>
      <c r="M1068" s="1"/>
      <c r="P1068" s="19"/>
      <c r="Q1068" s="81"/>
      <c r="R1068" s="19"/>
      <c r="S1068" s="1"/>
      <c r="T1068" s="1"/>
    </row>
    <row r="1069" ht="12.75" customHeight="1">
      <c r="A1069" s="1"/>
      <c r="B1069" s="7"/>
      <c r="C1069" s="19"/>
      <c r="D1069" s="7"/>
      <c r="E1069" s="7"/>
      <c r="F1069" s="19"/>
      <c r="G1069" s="7"/>
      <c r="H1069" s="7"/>
      <c r="M1069" s="1"/>
      <c r="P1069" s="19"/>
      <c r="Q1069" s="81"/>
      <c r="R1069" s="19"/>
      <c r="S1069" s="1"/>
      <c r="T1069" s="1"/>
    </row>
    <row r="1070" ht="12.75" customHeight="1">
      <c r="A1070" s="1"/>
      <c r="B1070" s="7"/>
      <c r="C1070" s="19"/>
      <c r="D1070" s="7"/>
      <c r="E1070" s="7"/>
      <c r="F1070" s="19"/>
      <c r="G1070" s="7"/>
      <c r="H1070" s="7"/>
      <c r="M1070" s="1"/>
      <c r="P1070" s="19"/>
      <c r="Q1070" s="81"/>
      <c r="R1070" s="19"/>
      <c r="S1070" s="1"/>
      <c r="T1070" s="1"/>
    </row>
    <row r="1071" ht="12.75" customHeight="1">
      <c r="A1071" s="1"/>
      <c r="B1071" s="7"/>
      <c r="C1071" s="19"/>
      <c r="D1071" s="7"/>
      <c r="E1071" s="7"/>
      <c r="F1071" s="19"/>
      <c r="G1071" s="7"/>
      <c r="H1071" s="7"/>
      <c r="M1071" s="1"/>
      <c r="P1071" s="19"/>
      <c r="Q1071" s="81"/>
      <c r="R1071" s="19"/>
      <c r="S1071" s="1"/>
      <c r="T1071" s="1"/>
    </row>
    <row r="1072" ht="12.75" customHeight="1">
      <c r="A1072" s="1"/>
      <c r="B1072" s="7"/>
      <c r="C1072" s="19"/>
      <c r="D1072" s="7"/>
      <c r="E1072" s="7"/>
      <c r="F1072" s="19"/>
      <c r="G1072" s="7"/>
      <c r="H1072" s="7"/>
      <c r="M1072" s="1"/>
      <c r="P1072" s="19"/>
      <c r="Q1072" s="81"/>
      <c r="R1072" s="19"/>
      <c r="S1072" s="1"/>
      <c r="T1072" s="1"/>
    </row>
    <row r="1073" ht="12.75" customHeight="1">
      <c r="A1073" s="1"/>
      <c r="B1073" s="7"/>
      <c r="C1073" s="19"/>
      <c r="D1073" s="7"/>
      <c r="E1073" s="7"/>
      <c r="F1073" s="19"/>
      <c r="G1073" s="7"/>
      <c r="H1073" s="7"/>
      <c r="M1073" s="1"/>
      <c r="P1073" s="19"/>
      <c r="Q1073" s="81"/>
      <c r="R1073" s="19"/>
      <c r="S1073" s="1"/>
      <c r="T1073" s="1"/>
    </row>
    <row r="1074" ht="12.75" customHeight="1">
      <c r="A1074" s="1"/>
      <c r="B1074" s="7"/>
      <c r="C1074" s="19"/>
      <c r="D1074" s="7"/>
      <c r="E1074" s="7"/>
      <c r="F1074" s="19"/>
      <c r="G1074" s="7"/>
      <c r="H1074" s="7"/>
      <c r="M1074" s="1"/>
      <c r="P1074" s="19"/>
      <c r="Q1074" s="81"/>
      <c r="R1074" s="19"/>
      <c r="S1074" s="1"/>
      <c r="T1074" s="1"/>
    </row>
    <row r="1075" ht="12.75" customHeight="1">
      <c r="A1075" s="1"/>
      <c r="B1075" s="7"/>
      <c r="C1075" s="19"/>
      <c r="D1075" s="7"/>
      <c r="E1075" s="7"/>
      <c r="F1075" s="19"/>
      <c r="G1075" s="7"/>
      <c r="H1075" s="7"/>
      <c r="M1075" s="1"/>
      <c r="P1075" s="19"/>
      <c r="Q1075" s="81"/>
      <c r="R1075" s="19"/>
      <c r="S1075" s="1"/>
      <c r="T1075" s="1"/>
    </row>
    <row r="1076" ht="12.75" customHeight="1">
      <c r="A1076" s="1"/>
      <c r="B1076" s="7"/>
      <c r="C1076" s="19"/>
      <c r="D1076" s="7"/>
      <c r="E1076" s="7"/>
      <c r="F1076" s="19"/>
      <c r="G1076" s="7"/>
      <c r="H1076" s="7"/>
      <c r="M1076" s="1"/>
      <c r="P1076" s="19"/>
      <c r="Q1076" s="81"/>
      <c r="R1076" s="19"/>
      <c r="S1076" s="1"/>
      <c r="T1076" s="1"/>
    </row>
    <row r="1077" ht="12.75" customHeight="1">
      <c r="A1077" s="1"/>
      <c r="B1077" s="7"/>
      <c r="C1077" s="19"/>
      <c r="D1077" s="7"/>
      <c r="E1077" s="7"/>
      <c r="F1077" s="19"/>
      <c r="G1077" s="7"/>
      <c r="H1077" s="7"/>
      <c r="M1077" s="1"/>
      <c r="P1077" s="19"/>
      <c r="Q1077" s="81"/>
      <c r="R1077" s="19"/>
      <c r="S1077" s="1"/>
      <c r="T1077" s="1"/>
    </row>
    <row r="1078" ht="12.75" customHeight="1">
      <c r="A1078" s="1"/>
      <c r="B1078" s="7"/>
      <c r="C1078" s="19"/>
      <c r="D1078" s="7"/>
      <c r="E1078" s="7"/>
      <c r="F1078" s="19"/>
      <c r="G1078" s="7"/>
      <c r="H1078" s="7"/>
      <c r="M1078" s="1"/>
      <c r="P1078" s="19"/>
      <c r="Q1078" s="81"/>
      <c r="R1078" s="19"/>
      <c r="S1078" s="1"/>
      <c r="T1078" s="1"/>
    </row>
    <row r="1079" ht="12.75" customHeight="1">
      <c r="A1079" s="1"/>
      <c r="B1079" s="7"/>
      <c r="C1079" s="19"/>
      <c r="D1079" s="7"/>
      <c r="E1079" s="7"/>
      <c r="F1079" s="19"/>
      <c r="G1079" s="7"/>
      <c r="H1079" s="7"/>
      <c r="M1079" s="1"/>
      <c r="P1079" s="19"/>
      <c r="Q1079" s="81"/>
      <c r="R1079" s="19"/>
      <c r="S1079" s="1"/>
      <c r="T1079" s="1"/>
    </row>
    <row r="1080" ht="12.75" customHeight="1">
      <c r="A1080" s="1"/>
      <c r="B1080" s="7"/>
      <c r="C1080" s="19"/>
      <c r="D1080" s="7"/>
      <c r="E1080" s="7"/>
      <c r="F1080" s="19"/>
      <c r="G1080" s="7"/>
      <c r="H1080" s="7"/>
      <c r="M1080" s="1"/>
      <c r="P1080" s="19"/>
      <c r="Q1080" s="81"/>
      <c r="R1080" s="19"/>
      <c r="S1080" s="1"/>
      <c r="T1080" s="1"/>
    </row>
    <row r="1081" ht="12.75" customHeight="1">
      <c r="A1081" s="1"/>
      <c r="B1081" s="7"/>
      <c r="C1081" s="19"/>
      <c r="D1081" s="7"/>
      <c r="E1081" s="7"/>
      <c r="F1081" s="19"/>
      <c r="G1081" s="7"/>
      <c r="H1081" s="7"/>
      <c r="M1081" s="1"/>
      <c r="P1081" s="19"/>
      <c r="Q1081" s="81"/>
      <c r="R1081" s="19"/>
      <c r="S1081" s="1"/>
      <c r="T1081" s="1"/>
    </row>
    <row r="1082" ht="12.75" customHeight="1">
      <c r="A1082" s="1"/>
      <c r="B1082" s="7"/>
      <c r="C1082" s="19"/>
      <c r="D1082" s="7"/>
      <c r="E1082" s="7"/>
      <c r="F1082" s="19"/>
      <c r="G1082" s="7"/>
      <c r="H1082" s="7"/>
      <c r="M1082" s="1"/>
      <c r="P1082" s="19"/>
      <c r="Q1082" s="81"/>
      <c r="R1082" s="19"/>
      <c r="S1082" s="1"/>
      <c r="T1082" s="1"/>
    </row>
    <row r="1083" ht="12.75" customHeight="1">
      <c r="A1083" s="1"/>
      <c r="B1083" s="7"/>
      <c r="C1083" s="19"/>
      <c r="D1083" s="7"/>
      <c r="E1083" s="7"/>
      <c r="F1083" s="19"/>
      <c r="G1083" s="7"/>
      <c r="H1083" s="7"/>
      <c r="M1083" s="1"/>
      <c r="P1083" s="19"/>
      <c r="Q1083" s="81"/>
      <c r="R1083" s="19"/>
      <c r="S1083" s="1"/>
      <c r="T1083" s="1"/>
    </row>
    <row r="1084" ht="12.75" customHeight="1">
      <c r="A1084" s="1"/>
      <c r="B1084" s="7"/>
      <c r="C1084" s="19"/>
      <c r="D1084" s="7"/>
      <c r="E1084" s="7"/>
      <c r="F1084" s="19"/>
      <c r="G1084" s="7"/>
      <c r="H1084" s="7"/>
      <c r="M1084" s="1"/>
      <c r="P1084" s="19"/>
      <c r="Q1084" s="81"/>
      <c r="R1084" s="19"/>
      <c r="S1084" s="1"/>
      <c r="T1084" s="1"/>
    </row>
    <row r="1085" ht="12.75" customHeight="1">
      <c r="A1085" s="1"/>
      <c r="B1085" s="7"/>
      <c r="C1085" s="19"/>
      <c r="D1085" s="7"/>
      <c r="E1085" s="7"/>
      <c r="F1085" s="19"/>
      <c r="G1085" s="7"/>
      <c r="H1085" s="7"/>
      <c r="M1085" s="1"/>
      <c r="P1085" s="19"/>
      <c r="Q1085" s="81"/>
      <c r="R1085" s="19"/>
      <c r="S1085" s="1"/>
      <c r="T1085" s="1"/>
    </row>
    <row r="1086" ht="12.75" customHeight="1">
      <c r="A1086" s="1"/>
      <c r="B1086" s="7"/>
      <c r="C1086" s="19"/>
      <c r="D1086" s="7"/>
      <c r="E1086" s="7"/>
      <c r="F1086" s="19"/>
      <c r="G1086" s="7"/>
      <c r="H1086" s="7"/>
      <c r="M1086" s="1"/>
      <c r="P1086" s="19"/>
      <c r="Q1086" s="81"/>
      <c r="R1086" s="19"/>
      <c r="S1086" s="1"/>
      <c r="T1086" s="1"/>
    </row>
    <row r="1087" ht="12.75" customHeight="1">
      <c r="A1087" s="1"/>
      <c r="B1087" s="7"/>
      <c r="C1087" s="19"/>
      <c r="D1087" s="7"/>
      <c r="E1087" s="7"/>
      <c r="F1087" s="19"/>
      <c r="G1087" s="7"/>
      <c r="H1087" s="7"/>
      <c r="M1087" s="1"/>
      <c r="P1087" s="19"/>
      <c r="Q1087" s="81"/>
      <c r="R1087" s="19"/>
      <c r="S1087" s="1"/>
      <c r="T1087" s="1"/>
    </row>
    <row r="1088" ht="12.75" customHeight="1">
      <c r="A1088" s="1"/>
      <c r="B1088" s="7"/>
      <c r="C1088" s="19"/>
      <c r="D1088" s="7"/>
      <c r="E1088" s="7"/>
      <c r="F1088" s="19"/>
      <c r="G1088" s="7"/>
      <c r="H1088" s="7"/>
      <c r="M1088" s="1"/>
      <c r="P1088" s="19"/>
      <c r="Q1088" s="81"/>
      <c r="R1088" s="19"/>
      <c r="S1088" s="1"/>
      <c r="T1088" s="1"/>
    </row>
    <row r="1089" ht="12.75" customHeight="1">
      <c r="A1089" s="1"/>
      <c r="B1089" s="7"/>
      <c r="C1089" s="19"/>
      <c r="D1089" s="7"/>
      <c r="E1089" s="7"/>
      <c r="F1089" s="19"/>
      <c r="G1089" s="7"/>
      <c r="H1089" s="7"/>
      <c r="M1089" s="1"/>
      <c r="P1089" s="19"/>
      <c r="Q1089" s="81"/>
      <c r="R1089" s="19"/>
      <c r="S1089" s="1"/>
      <c r="T1089" s="1"/>
    </row>
    <row r="1090" ht="12.75" customHeight="1">
      <c r="A1090" s="1"/>
      <c r="B1090" s="7"/>
      <c r="C1090" s="19"/>
      <c r="D1090" s="7"/>
      <c r="E1090" s="7"/>
      <c r="F1090" s="19"/>
      <c r="G1090" s="7"/>
      <c r="H1090" s="7"/>
      <c r="M1090" s="1"/>
      <c r="P1090" s="19"/>
      <c r="Q1090" s="81"/>
      <c r="R1090" s="19"/>
      <c r="S1090" s="1"/>
      <c r="T1090" s="1"/>
    </row>
    <row r="1091" ht="12.75" customHeight="1">
      <c r="A1091" s="1"/>
      <c r="B1091" s="7"/>
      <c r="C1091" s="19"/>
      <c r="D1091" s="7"/>
      <c r="E1091" s="7"/>
      <c r="F1091" s="19"/>
      <c r="G1091" s="7"/>
      <c r="H1091" s="7"/>
      <c r="M1091" s="1"/>
      <c r="P1091" s="19"/>
      <c r="Q1091" s="81"/>
      <c r="R1091" s="19"/>
      <c r="S1091" s="1"/>
      <c r="T1091" s="1"/>
    </row>
    <row r="1092" ht="12.75" customHeight="1">
      <c r="A1092" s="1"/>
      <c r="B1092" s="7"/>
      <c r="C1092" s="19"/>
      <c r="D1092" s="7"/>
      <c r="E1092" s="7"/>
      <c r="F1092" s="19"/>
      <c r="G1092" s="7"/>
      <c r="H1092" s="7"/>
      <c r="M1092" s="1"/>
      <c r="P1092" s="19"/>
      <c r="Q1092" s="81"/>
      <c r="R1092" s="19"/>
      <c r="S1092" s="1"/>
      <c r="T1092" s="1"/>
    </row>
    <row r="1093" ht="12.75" customHeight="1">
      <c r="A1093" s="1"/>
      <c r="B1093" s="7"/>
      <c r="C1093" s="19"/>
      <c r="D1093" s="7"/>
      <c r="E1093" s="7"/>
      <c r="F1093" s="19"/>
      <c r="G1093" s="7"/>
      <c r="H1093" s="7"/>
      <c r="M1093" s="1"/>
      <c r="P1093" s="19"/>
      <c r="Q1093" s="81"/>
      <c r="R1093" s="19"/>
      <c r="S1093" s="1"/>
      <c r="T1093" s="1"/>
    </row>
    <row r="1094" ht="12.75" customHeight="1">
      <c r="A1094" s="1"/>
      <c r="B1094" s="7"/>
      <c r="C1094" s="19"/>
      <c r="D1094" s="7"/>
      <c r="E1094" s="7"/>
      <c r="F1094" s="19"/>
      <c r="G1094" s="7"/>
      <c r="H1094" s="7"/>
      <c r="M1094" s="1"/>
      <c r="P1094" s="19"/>
      <c r="Q1094" s="81"/>
      <c r="R1094" s="19"/>
      <c r="S1094" s="1"/>
      <c r="T1094" s="1"/>
    </row>
    <row r="1095" ht="12.75" customHeight="1">
      <c r="A1095" s="1"/>
      <c r="B1095" s="7"/>
      <c r="C1095" s="19"/>
      <c r="D1095" s="7"/>
      <c r="E1095" s="7"/>
      <c r="F1095" s="19"/>
      <c r="G1095" s="7"/>
      <c r="H1095" s="7"/>
      <c r="M1095" s="1"/>
      <c r="P1095" s="19"/>
      <c r="Q1095" s="81"/>
      <c r="R1095" s="19"/>
      <c r="S1095" s="1"/>
      <c r="T1095" s="1"/>
    </row>
    <row r="1096" ht="12.75" customHeight="1">
      <c r="A1096" s="1"/>
      <c r="B1096" s="7"/>
      <c r="C1096" s="19"/>
      <c r="D1096" s="7"/>
      <c r="E1096" s="7"/>
      <c r="F1096" s="19"/>
      <c r="G1096" s="7"/>
      <c r="H1096" s="7"/>
      <c r="M1096" s="1"/>
      <c r="P1096" s="19"/>
      <c r="Q1096" s="81"/>
      <c r="R1096" s="19"/>
      <c r="S1096" s="1"/>
      <c r="T1096" s="1"/>
    </row>
    <row r="1097" ht="12.75" customHeight="1">
      <c r="A1097" s="1"/>
      <c r="B1097" s="7"/>
      <c r="C1097" s="19"/>
      <c r="D1097" s="7"/>
      <c r="E1097" s="7"/>
      <c r="F1097" s="19"/>
      <c r="G1097" s="7"/>
      <c r="H1097" s="7"/>
      <c r="M1097" s="1"/>
      <c r="P1097" s="19"/>
      <c r="Q1097" s="81"/>
      <c r="R1097" s="19"/>
      <c r="S1097" s="1"/>
      <c r="T1097" s="1"/>
    </row>
    <row r="1098" ht="12.75" customHeight="1">
      <c r="A1098" s="1"/>
      <c r="B1098" s="7"/>
      <c r="C1098" s="19"/>
      <c r="D1098" s="7"/>
      <c r="E1098" s="7"/>
      <c r="F1098" s="19"/>
      <c r="G1098" s="7"/>
      <c r="H1098" s="7"/>
      <c r="M1098" s="1"/>
      <c r="P1098" s="19"/>
      <c r="Q1098" s="81"/>
      <c r="R1098" s="19"/>
      <c r="S1098" s="1"/>
      <c r="T1098" s="1"/>
    </row>
    <row r="1099" ht="12.75" customHeight="1">
      <c r="A1099" s="1"/>
      <c r="B1099" s="7"/>
      <c r="C1099" s="19"/>
      <c r="D1099" s="7"/>
      <c r="E1099" s="7"/>
      <c r="F1099" s="19"/>
      <c r="G1099" s="7"/>
      <c r="H1099" s="7"/>
      <c r="M1099" s="1"/>
      <c r="P1099" s="19"/>
      <c r="Q1099" s="81"/>
      <c r="R1099" s="19"/>
      <c r="S1099" s="1"/>
      <c r="T1099" s="1"/>
    </row>
    <row r="1100" ht="12.75" customHeight="1">
      <c r="A1100" s="1"/>
      <c r="B1100" s="7"/>
      <c r="C1100" s="19"/>
      <c r="D1100" s="7"/>
      <c r="E1100" s="7"/>
      <c r="F1100" s="19"/>
      <c r="G1100" s="7"/>
      <c r="H1100" s="7"/>
      <c r="M1100" s="1"/>
      <c r="P1100" s="19"/>
      <c r="Q1100" s="81"/>
      <c r="R1100" s="19"/>
      <c r="S1100" s="1"/>
      <c r="T1100" s="1"/>
    </row>
    <row r="1101" ht="12.75" customHeight="1">
      <c r="A1101" s="1"/>
      <c r="B1101" s="7"/>
      <c r="C1101" s="19"/>
      <c r="D1101" s="7"/>
      <c r="E1101" s="7"/>
      <c r="F1101" s="19"/>
      <c r="G1101" s="7"/>
      <c r="H1101" s="7"/>
      <c r="M1101" s="1"/>
      <c r="P1101" s="19"/>
      <c r="Q1101" s="81"/>
      <c r="R1101" s="19"/>
      <c r="S1101" s="1"/>
      <c r="T1101" s="1"/>
    </row>
    <row r="1102" ht="12.75" customHeight="1">
      <c r="A1102" s="1"/>
      <c r="B1102" s="7"/>
      <c r="C1102" s="19"/>
      <c r="D1102" s="7"/>
      <c r="E1102" s="7"/>
      <c r="F1102" s="19"/>
      <c r="G1102" s="7"/>
      <c r="H1102" s="7"/>
      <c r="M1102" s="1"/>
      <c r="P1102" s="19"/>
      <c r="Q1102" s="81"/>
      <c r="R1102" s="19"/>
      <c r="S1102" s="1"/>
      <c r="T1102" s="1"/>
    </row>
    <row r="1103" ht="12.75" customHeight="1">
      <c r="A1103" s="1"/>
      <c r="B1103" s="7"/>
      <c r="C1103" s="19"/>
      <c r="D1103" s="7"/>
      <c r="E1103" s="7"/>
      <c r="F1103" s="19"/>
      <c r="G1103" s="7"/>
      <c r="H1103" s="7"/>
      <c r="M1103" s="1"/>
      <c r="P1103" s="19"/>
      <c r="Q1103" s="81"/>
      <c r="R1103" s="19"/>
      <c r="S1103" s="1"/>
      <c r="T1103" s="1"/>
    </row>
    <row r="1104" ht="12.75" customHeight="1">
      <c r="A1104" s="1"/>
      <c r="B1104" s="7"/>
      <c r="C1104" s="19"/>
      <c r="D1104" s="7"/>
      <c r="E1104" s="7"/>
      <c r="F1104" s="19"/>
      <c r="G1104" s="7"/>
      <c r="H1104" s="7"/>
      <c r="M1104" s="1"/>
      <c r="P1104" s="19"/>
      <c r="Q1104" s="81"/>
      <c r="R1104" s="19"/>
      <c r="S1104" s="1"/>
      <c r="T1104" s="1"/>
    </row>
    <row r="1105" ht="12.75" customHeight="1">
      <c r="A1105" s="1"/>
      <c r="B1105" s="7"/>
      <c r="C1105" s="19"/>
      <c r="D1105" s="7"/>
      <c r="E1105" s="7"/>
      <c r="F1105" s="19"/>
      <c r="G1105" s="7"/>
      <c r="H1105" s="7"/>
      <c r="M1105" s="1"/>
      <c r="P1105" s="19"/>
      <c r="Q1105" s="81"/>
      <c r="R1105" s="19"/>
      <c r="S1105" s="1"/>
      <c r="T1105" s="1"/>
    </row>
    <row r="1106" ht="12.75" customHeight="1">
      <c r="A1106" s="1"/>
      <c r="B1106" s="7"/>
      <c r="C1106" s="19"/>
      <c r="D1106" s="7"/>
      <c r="E1106" s="7"/>
      <c r="F1106" s="19"/>
      <c r="G1106" s="7"/>
      <c r="H1106" s="7"/>
      <c r="M1106" s="1"/>
      <c r="P1106" s="19"/>
      <c r="Q1106" s="81"/>
      <c r="R1106" s="19"/>
      <c r="S1106" s="1"/>
      <c r="T1106" s="1"/>
    </row>
    <row r="1107" ht="12.75" customHeight="1">
      <c r="A1107" s="1"/>
      <c r="B1107" s="7"/>
      <c r="C1107" s="19"/>
      <c r="D1107" s="7"/>
      <c r="E1107" s="7"/>
      <c r="F1107" s="19"/>
      <c r="G1107" s="7"/>
      <c r="H1107" s="7"/>
      <c r="M1107" s="1"/>
      <c r="P1107" s="19"/>
      <c r="Q1107" s="81"/>
      <c r="R1107" s="19"/>
      <c r="S1107" s="1"/>
      <c r="T1107" s="1"/>
    </row>
    <row r="1108" ht="12.75" customHeight="1">
      <c r="A1108" s="1"/>
      <c r="B1108" s="7"/>
      <c r="C1108" s="19"/>
      <c r="D1108" s="7"/>
      <c r="E1108" s="7"/>
      <c r="F1108" s="19"/>
      <c r="G1108" s="7"/>
      <c r="H1108" s="7"/>
      <c r="M1108" s="1"/>
      <c r="P1108" s="19"/>
      <c r="Q1108" s="81"/>
      <c r="R1108" s="19"/>
      <c r="S1108" s="1"/>
      <c r="T1108" s="1"/>
    </row>
    <row r="1109" ht="12.75" customHeight="1">
      <c r="A1109" s="1"/>
      <c r="B1109" s="7"/>
      <c r="C1109" s="19"/>
      <c r="D1109" s="7"/>
      <c r="E1109" s="7"/>
      <c r="F1109" s="19"/>
      <c r="G1109" s="7"/>
      <c r="H1109" s="7"/>
      <c r="M1109" s="1"/>
      <c r="P1109" s="19"/>
      <c r="Q1109" s="81"/>
      <c r="R1109" s="19"/>
      <c r="S1109" s="1"/>
      <c r="T1109" s="1"/>
    </row>
    <row r="1110" ht="12.75" customHeight="1">
      <c r="A1110" s="1"/>
      <c r="B1110" s="7"/>
      <c r="C1110" s="19"/>
      <c r="D1110" s="7"/>
      <c r="E1110" s="7"/>
      <c r="F1110" s="19"/>
      <c r="G1110" s="7"/>
      <c r="H1110" s="7"/>
      <c r="M1110" s="1"/>
      <c r="P1110" s="19"/>
      <c r="Q1110" s="81"/>
      <c r="R1110" s="19"/>
      <c r="S1110" s="1"/>
      <c r="T1110" s="1"/>
    </row>
    <row r="1111" ht="12.75" customHeight="1">
      <c r="A1111" s="1"/>
      <c r="B1111" s="7"/>
      <c r="C1111" s="19"/>
      <c r="D1111" s="7"/>
      <c r="E1111" s="7"/>
      <c r="F1111" s="19"/>
      <c r="G1111" s="7"/>
      <c r="H1111" s="7"/>
      <c r="M1111" s="1"/>
      <c r="P1111" s="19"/>
      <c r="Q1111" s="81"/>
      <c r="R1111" s="19"/>
      <c r="S1111" s="1"/>
      <c r="T1111" s="1"/>
    </row>
    <row r="1112" ht="12.75" customHeight="1">
      <c r="A1112" s="1"/>
      <c r="B1112" s="7"/>
      <c r="C1112" s="19"/>
      <c r="D1112" s="7"/>
      <c r="E1112" s="7"/>
      <c r="F1112" s="19"/>
      <c r="G1112" s="7"/>
      <c r="H1112" s="7"/>
      <c r="M1112" s="1"/>
      <c r="P1112" s="19"/>
      <c r="Q1112" s="81"/>
      <c r="R1112" s="19"/>
      <c r="S1112" s="1"/>
      <c r="T1112" s="1"/>
    </row>
    <row r="1113" ht="12.75" customHeight="1">
      <c r="A1113" s="1"/>
      <c r="B1113" s="7"/>
      <c r="C1113" s="19"/>
      <c r="D1113" s="7"/>
      <c r="E1113" s="7"/>
      <c r="F1113" s="19"/>
      <c r="G1113" s="7"/>
      <c r="H1113" s="7"/>
      <c r="M1113" s="1"/>
      <c r="P1113" s="19"/>
      <c r="Q1113" s="81"/>
      <c r="R1113" s="19"/>
      <c r="S1113" s="1"/>
      <c r="T1113" s="1"/>
    </row>
    <row r="1114" ht="12.75" customHeight="1">
      <c r="A1114" s="1"/>
      <c r="B1114" s="7"/>
      <c r="C1114" s="19"/>
      <c r="D1114" s="7"/>
      <c r="E1114" s="7"/>
      <c r="F1114" s="19"/>
      <c r="G1114" s="7"/>
      <c r="H1114" s="7"/>
      <c r="M1114" s="1"/>
      <c r="P1114" s="19"/>
      <c r="Q1114" s="81"/>
      <c r="R1114" s="19"/>
      <c r="S1114" s="1"/>
      <c r="T1114" s="1"/>
    </row>
    <row r="1115" ht="12.75" customHeight="1">
      <c r="A1115" s="1"/>
      <c r="B1115" s="7"/>
      <c r="C1115" s="19"/>
      <c r="D1115" s="7"/>
      <c r="E1115" s="7"/>
      <c r="F1115" s="19"/>
      <c r="G1115" s="7"/>
      <c r="H1115" s="7"/>
      <c r="M1115" s="1"/>
      <c r="P1115" s="19"/>
      <c r="Q1115" s="81"/>
      <c r="R1115" s="19"/>
      <c r="S1115" s="1"/>
      <c r="T1115" s="1"/>
    </row>
    <row r="1116" ht="12.75" customHeight="1">
      <c r="A1116" s="1"/>
      <c r="B1116" s="7"/>
      <c r="C1116" s="19"/>
      <c r="D1116" s="7"/>
      <c r="E1116" s="7"/>
      <c r="F1116" s="19"/>
      <c r="G1116" s="7"/>
      <c r="H1116" s="7"/>
      <c r="M1116" s="1"/>
      <c r="P1116" s="19"/>
      <c r="Q1116" s="81"/>
      <c r="R1116" s="19"/>
      <c r="S1116" s="1"/>
      <c r="T1116" s="1"/>
    </row>
    <row r="1117" ht="12.75" customHeight="1">
      <c r="A1117" s="1"/>
      <c r="B1117" s="7"/>
      <c r="C1117" s="19"/>
      <c r="D1117" s="7"/>
      <c r="E1117" s="7"/>
      <c r="F1117" s="19"/>
      <c r="G1117" s="7"/>
      <c r="H1117" s="7"/>
      <c r="M1117" s="1"/>
      <c r="P1117" s="19"/>
      <c r="Q1117" s="81"/>
      <c r="R1117" s="19"/>
      <c r="S1117" s="1"/>
      <c r="T1117" s="1"/>
    </row>
    <row r="1118" ht="12.75" customHeight="1">
      <c r="A1118" s="1"/>
      <c r="B1118" s="7"/>
      <c r="C1118" s="19"/>
      <c r="D1118" s="7"/>
      <c r="E1118" s="7"/>
      <c r="F1118" s="19"/>
      <c r="G1118" s="7"/>
      <c r="H1118" s="7"/>
      <c r="M1118" s="1"/>
      <c r="P1118" s="19"/>
      <c r="Q1118" s="81"/>
      <c r="R1118" s="19"/>
      <c r="S1118" s="1"/>
      <c r="T1118" s="1"/>
    </row>
    <row r="1119" ht="12.75" customHeight="1">
      <c r="A1119" s="1"/>
      <c r="B1119" s="7"/>
      <c r="C1119" s="19"/>
      <c r="D1119" s="7"/>
      <c r="E1119" s="7"/>
      <c r="F1119" s="19"/>
      <c r="G1119" s="7"/>
      <c r="H1119" s="7"/>
      <c r="M1119" s="1"/>
      <c r="P1119" s="19"/>
      <c r="Q1119" s="81"/>
      <c r="R1119" s="19"/>
      <c r="S1119" s="1"/>
      <c r="T1119" s="1"/>
    </row>
    <row r="1120" ht="12.75" customHeight="1">
      <c r="A1120" s="1"/>
      <c r="B1120" s="7"/>
      <c r="C1120" s="19"/>
      <c r="D1120" s="7"/>
      <c r="E1120" s="7"/>
      <c r="F1120" s="19"/>
      <c r="G1120" s="7"/>
      <c r="H1120" s="7"/>
      <c r="M1120" s="1"/>
      <c r="P1120" s="19"/>
      <c r="Q1120" s="81"/>
      <c r="R1120" s="19"/>
      <c r="S1120" s="1"/>
      <c r="T1120" s="1"/>
    </row>
    <row r="1121" ht="12.75" customHeight="1">
      <c r="A1121" s="1"/>
      <c r="B1121" s="7"/>
      <c r="C1121" s="19"/>
      <c r="D1121" s="7"/>
      <c r="E1121" s="7"/>
      <c r="F1121" s="19"/>
      <c r="G1121" s="7"/>
      <c r="H1121" s="7"/>
      <c r="M1121" s="1"/>
      <c r="P1121" s="19"/>
      <c r="Q1121" s="81"/>
      <c r="R1121" s="19"/>
      <c r="S1121" s="1"/>
      <c r="T1121" s="1"/>
    </row>
    <row r="1122" ht="12.75" customHeight="1">
      <c r="A1122" s="1"/>
      <c r="B1122" s="7"/>
      <c r="C1122" s="19"/>
      <c r="D1122" s="7"/>
      <c r="E1122" s="7"/>
      <c r="F1122" s="19"/>
      <c r="G1122" s="7"/>
      <c r="H1122" s="7"/>
      <c r="M1122" s="1"/>
      <c r="P1122" s="19"/>
      <c r="Q1122" s="81"/>
      <c r="R1122" s="19"/>
      <c r="S1122" s="1"/>
      <c r="T1122" s="1"/>
    </row>
    <row r="1123" ht="12.75" customHeight="1">
      <c r="A1123" s="1"/>
      <c r="B1123" s="7"/>
      <c r="C1123" s="19"/>
      <c r="D1123" s="7"/>
      <c r="E1123" s="7"/>
      <c r="F1123" s="19"/>
      <c r="G1123" s="7"/>
      <c r="H1123" s="7"/>
      <c r="M1123" s="1"/>
      <c r="P1123" s="19"/>
      <c r="Q1123" s="81"/>
      <c r="R1123" s="19"/>
      <c r="S1123" s="1"/>
      <c r="T1123" s="1"/>
    </row>
    <row r="1124" ht="12.75" customHeight="1">
      <c r="A1124" s="1"/>
      <c r="B1124" s="7"/>
      <c r="C1124" s="19"/>
      <c r="D1124" s="7"/>
      <c r="E1124" s="7"/>
      <c r="F1124" s="19"/>
      <c r="G1124" s="7"/>
      <c r="H1124" s="7"/>
      <c r="M1124" s="1"/>
      <c r="P1124" s="19"/>
      <c r="Q1124" s="81"/>
      <c r="R1124" s="19"/>
      <c r="S1124" s="1"/>
      <c r="T1124" s="1"/>
    </row>
    <row r="1125" ht="12.75" customHeight="1">
      <c r="A1125" s="1"/>
      <c r="B1125" s="7"/>
      <c r="C1125" s="19"/>
      <c r="D1125" s="7"/>
      <c r="E1125" s="7"/>
      <c r="F1125" s="19"/>
      <c r="G1125" s="7"/>
      <c r="H1125" s="7"/>
      <c r="M1125" s="1"/>
      <c r="P1125" s="19"/>
      <c r="Q1125" s="81"/>
      <c r="R1125" s="19"/>
      <c r="S1125" s="1"/>
      <c r="T1125" s="1"/>
    </row>
    <row r="1126" ht="12.75" customHeight="1">
      <c r="A1126" s="1"/>
      <c r="B1126" s="7"/>
      <c r="C1126" s="19"/>
      <c r="D1126" s="7"/>
      <c r="E1126" s="7"/>
      <c r="F1126" s="19"/>
      <c r="G1126" s="7"/>
      <c r="H1126" s="7"/>
      <c r="M1126" s="1"/>
      <c r="P1126" s="19"/>
      <c r="Q1126" s="81"/>
      <c r="R1126" s="19"/>
      <c r="S1126" s="1"/>
      <c r="T1126" s="1"/>
    </row>
    <row r="1127" ht="12.75" customHeight="1">
      <c r="A1127" s="1"/>
      <c r="B1127" s="7"/>
      <c r="C1127" s="19"/>
      <c r="D1127" s="7"/>
      <c r="E1127" s="7"/>
      <c r="F1127" s="19"/>
      <c r="G1127" s="7"/>
      <c r="H1127" s="7"/>
      <c r="M1127" s="1"/>
      <c r="P1127" s="19"/>
      <c r="Q1127" s="81"/>
      <c r="R1127" s="19"/>
      <c r="S1127" s="1"/>
      <c r="T1127" s="1"/>
    </row>
    <row r="1128" ht="12.75" customHeight="1">
      <c r="A1128" s="1"/>
      <c r="B1128" s="7"/>
      <c r="C1128" s="19"/>
      <c r="D1128" s="7"/>
      <c r="E1128" s="7"/>
      <c r="F1128" s="19"/>
      <c r="G1128" s="7"/>
      <c r="H1128" s="7"/>
      <c r="M1128" s="1"/>
      <c r="P1128" s="19"/>
      <c r="Q1128" s="81"/>
      <c r="R1128" s="19"/>
      <c r="S1128" s="1"/>
      <c r="T1128" s="1"/>
    </row>
    <row r="1129" ht="12.75" customHeight="1">
      <c r="A1129" s="1"/>
      <c r="B1129" s="7"/>
      <c r="C1129" s="19"/>
      <c r="D1129" s="7"/>
      <c r="E1129" s="7"/>
      <c r="F1129" s="19"/>
      <c r="G1129" s="7"/>
      <c r="H1129" s="7"/>
      <c r="M1129" s="1"/>
      <c r="P1129" s="19"/>
      <c r="Q1129" s="81"/>
      <c r="R1129" s="19"/>
      <c r="S1129" s="1"/>
      <c r="T1129" s="1"/>
    </row>
    <row r="1130" ht="12.75" customHeight="1">
      <c r="A1130" s="1"/>
      <c r="B1130" s="7"/>
      <c r="C1130" s="19"/>
      <c r="D1130" s="7"/>
      <c r="E1130" s="7"/>
      <c r="F1130" s="19"/>
      <c r="G1130" s="7"/>
      <c r="H1130" s="7"/>
      <c r="M1130" s="1"/>
      <c r="P1130" s="19"/>
      <c r="Q1130" s="81"/>
      <c r="R1130" s="19"/>
      <c r="S1130" s="1"/>
      <c r="T1130" s="1"/>
    </row>
    <row r="1131" ht="12.75" customHeight="1">
      <c r="A1131" s="1"/>
      <c r="B1131" s="7"/>
      <c r="C1131" s="19"/>
      <c r="D1131" s="7"/>
      <c r="E1131" s="7"/>
      <c r="F1131" s="19"/>
      <c r="G1131" s="7"/>
      <c r="H1131" s="7"/>
      <c r="M1131" s="1"/>
      <c r="P1131" s="19"/>
      <c r="Q1131" s="81"/>
      <c r="R1131" s="19"/>
      <c r="S1131" s="1"/>
      <c r="T1131" s="1"/>
    </row>
    <row r="1132" ht="12.75" customHeight="1">
      <c r="A1132" s="1"/>
      <c r="B1132" s="7"/>
      <c r="C1132" s="19"/>
      <c r="D1132" s="7"/>
      <c r="E1132" s="7"/>
      <c r="F1132" s="19"/>
      <c r="G1132" s="7"/>
      <c r="H1132" s="7"/>
      <c r="M1132" s="1"/>
      <c r="P1132" s="19"/>
      <c r="Q1132" s="81"/>
      <c r="R1132" s="19"/>
      <c r="S1132" s="1"/>
      <c r="T1132" s="1"/>
    </row>
    <row r="1133" ht="12.75" customHeight="1">
      <c r="A1133" s="1"/>
      <c r="B1133" s="7"/>
      <c r="C1133" s="19"/>
      <c r="D1133" s="7"/>
      <c r="E1133" s="7"/>
      <c r="F1133" s="19"/>
      <c r="G1133" s="7"/>
      <c r="H1133" s="7"/>
      <c r="M1133" s="1"/>
      <c r="P1133" s="19"/>
      <c r="Q1133" s="81"/>
      <c r="R1133" s="19"/>
      <c r="S1133" s="1"/>
      <c r="T1133" s="1"/>
    </row>
    <row r="1134" ht="12.75" customHeight="1">
      <c r="A1134" s="1"/>
      <c r="B1134" s="7"/>
      <c r="C1134" s="19"/>
      <c r="D1134" s="7"/>
      <c r="E1134" s="7"/>
      <c r="F1134" s="19"/>
      <c r="G1134" s="7"/>
      <c r="H1134" s="7"/>
      <c r="M1134" s="1"/>
      <c r="P1134" s="19"/>
      <c r="Q1134" s="81"/>
      <c r="R1134" s="19"/>
      <c r="S1134" s="1"/>
      <c r="T1134" s="1"/>
    </row>
    <row r="1135" ht="12.75" customHeight="1">
      <c r="A1135" s="1"/>
      <c r="B1135" s="7"/>
      <c r="C1135" s="19"/>
      <c r="D1135" s="7"/>
      <c r="E1135" s="7"/>
      <c r="F1135" s="19"/>
      <c r="G1135" s="7"/>
      <c r="H1135" s="7"/>
      <c r="M1135" s="1"/>
      <c r="P1135" s="19"/>
      <c r="Q1135" s="81"/>
      <c r="R1135" s="19"/>
      <c r="S1135" s="1"/>
      <c r="T1135" s="1"/>
    </row>
    <row r="1136" ht="12.75" customHeight="1">
      <c r="A1136" s="1"/>
      <c r="B1136" s="7"/>
      <c r="C1136" s="19"/>
      <c r="D1136" s="7"/>
      <c r="E1136" s="7"/>
      <c r="F1136" s="19"/>
      <c r="G1136" s="7"/>
      <c r="H1136" s="7"/>
      <c r="M1136" s="1"/>
      <c r="P1136" s="19"/>
      <c r="Q1136" s="81"/>
      <c r="R1136" s="19"/>
      <c r="S1136" s="1"/>
      <c r="T1136" s="1"/>
    </row>
    <row r="1137" ht="12.75" customHeight="1">
      <c r="A1137" s="1"/>
      <c r="B1137" s="7"/>
      <c r="C1137" s="19"/>
      <c r="D1137" s="7"/>
      <c r="E1137" s="7"/>
      <c r="F1137" s="19"/>
      <c r="G1137" s="7"/>
      <c r="H1137" s="7"/>
      <c r="M1137" s="1"/>
      <c r="P1137" s="19"/>
      <c r="Q1137" s="81"/>
      <c r="R1137" s="19"/>
      <c r="S1137" s="1"/>
      <c r="T1137" s="1"/>
    </row>
    <row r="1138" ht="12.75" customHeight="1">
      <c r="A1138" s="1"/>
      <c r="B1138" s="7"/>
      <c r="C1138" s="19"/>
      <c r="D1138" s="7"/>
      <c r="E1138" s="7"/>
      <c r="F1138" s="19"/>
      <c r="G1138" s="7"/>
      <c r="H1138" s="7"/>
      <c r="M1138" s="1"/>
      <c r="P1138" s="19"/>
      <c r="Q1138" s="81"/>
      <c r="R1138" s="19"/>
      <c r="S1138" s="1"/>
      <c r="T1138" s="1"/>
    </row>
    <row r="1139" ht="12.75" customHeight="1">
      <c r="A1139" s="1"/>
      <c r="B1139" s="7"/>
      <c r="C1139" s="19"/>
      <c r="D1139" s="7"/>
      <c r="E1139" s="7"/>
      <c r="F1139" s="19"/>
      <c r="G1139" s="7"/>
      <c r="H1139" s="7"/>
      <c r="M1139" s="1"/>
      <c r="P1139" s="19"/>
      <c r="Q1139" s="81"/>
      <c r="R1139" s="19"/>
      <c r="S1139" s="1"/>
      <c r="T1139" s="1"/>
    </row>
    <row r="1140" ht="12.75" customHeight="1">
      <c r="A1140" s="1"/>
      <c r="B1140" s="7"/>
      <c r="C1140" s="19"/>
      <c r="D1140" s="7"/>
      <c r="E1140" s="7"/>
      <c r="F1140" s="19"/>
      <c r="G1140" s="7"/>
      <c r="H1140" s="7"/>
      <c r="M1140" s="1"/>
      <c r="P1140" s="19"/>
      <c r="Q1140" s="81"/>
      <c r="R1140" s="19"/>
      <c r="S1140" s="1"/>
      <c r="T1140" s="1"/>
    </row>
    <row r="1141" ht="12.75" customHeight="1">
      <c r="A1141" s="1"/>
      <c r="B1141" s="7"/>
      <c r="C1141" s="19"/>
      <c r="D1141" s="7"/>
      <c r="E1141" s="7"/>
      <c r="F1141" s="19"/>
      <c r="G1141" s="7"/>
      <c r="H1141" s="7"/>
      <c r="M1141" s="1"/>
      <c r="P1141" s="19"/>
      <c r="Q1141" s="81"/>
      <c r="R1141" s="19"/>
      <c r="S1141" s="1"/>
      <c r="T1141" s="1"/>
    </row>
    <row r="1142" ht="12.75" customHeight="1">
      <c r="A1142" s="1"/>
      <c r="B1142" s="7"/>
      <c r="C1142" s="19"/>
      <c r="D1142" s="7"/>
      <c r="E1142" s="7"/>
      <c r="F1142" s="19"/>
      <c r="G1142" s="7"/>
      <c r="H1142" s="7"/>
      <c r="M1142" s="1"/>
      <c r="P1142" s="19"/>
      <c r="Q1142" s="81"/>
      <c r="R1142" s="19"/>
      <c r="S1142" s="1"/>
      <c r="T1142" s="1"/>
    </row>
    <row r="1143" ht="12.75" customHeight="1">
      <c r="A1143" s="1"/>
      <c r="B1143" s="7"/>
      <c r="C1143" s="19"/>
      <c r="D1143" s="7"/>
      <c r="E1143" s="7"/>
      <c r="F1143" s="19"/>
      <c r="G1143" s="7"/>
      <c r="H1143" s="7"/>
      <c r="M1143" s="1"/>
      <c r="P1143" s="19"/>
      <c r="Q1143" s="81"/>
      <c r="R1143" s="19"/>
      <c r="S1143" s="1"/>
      <c r="T1143" s="1"/>
    </row>
    <row r="1144" ht="12.75" customHeight="1">
      <c r="A1144" s="1"/>
      <c r="B1144" s="7"/>
      <c r="C1144" s="19"/>
      <c r="D1144" s="7"/>
      <c r="E1144" s="7"/>
      <c r="F1144" s="19"/>
      <c r="G1144" s="7"/>
      <c r="H1144" s="7"/>
      <c r="M1144" s="1"/>
      <c r="P1144" s="19"/>
      <c r="Q1144" s="81"/>
      <c r="R1144" s="19"/>
      <c r="S1144" s="1"/>
      <c r="T1144" s="1"/>
    </row>
    <row r="1145" ht="12.75" customHeight="1">
      <c r="A1145" s="1"/>
      <c r="B1145" s="7"/>
      <c r="C1145" s="19"/>
      <c r="D1145" s="7"/>
      <c r="E1145" s="7"/>
      <c r="F1145" s="19"/>
      <c r="G1145" s="7"/>
      <c r="H1145" s="7"/>
      <c r="M1145" s="1"/>
      <c r="P1145" s="19"/>
      <c r="Q1145" s="81"/>
      <c r="R1145" s="19"/>
      <c r="S1145" s="1"/>
      <c r="T1145" s="1"/>
    </row>
    <row r="1146" ht="12.75" customHeight="1">
      <c r="A1146" s="1"/>
      <c r="B1146" s="7"/>
      <c r="C1146" s="19"/>
      <c r="D1146" s="7"/>
      <c r="E1146" s="7"/>
      <c r="F1146" s="19"/>
      <c r="G1146" s="7"/>
      <c r="H1146" s="7"/>
      <c r="M1146" s="1"/>
      <c r="P1146" s="19"/>
      <c r="Q1146" s="81"/>
      <c r="R1146" s="19"/>
      <c r="S1146" s="1"/>
      <c r="T1146" s="1"/>
    </row>
    <row r="1147" ht="12.75" customHeight="1">
      <c r="A1147" s="1"/>
      <c r="B1147" s="7"/>
      <c r="C1147" s="19"/>
      <c r="D1147" s="7"/>
      <c r="E1147" s="7"/>
      <c r="F1147" s="19"/>
      <c r="G1147" s="7"/>
      <c r="H1147" s="7"/>
      <c r="M1147" s="1"/>
      <c r="P1147" s="19"/>
      <c r="Q1147" s="81"/>
      <c r="R1147" s="19"/>
      <c r="S1147" s="1"/>
      <c r="T1147" s="1"/>
    </row>
    <row r="1148" ht="12.75" customHeight="1">
      <c r="A1148" s="1"/>
      <c r="B1148" s="7"/>
      <c r="C1148" s="19"/>
      <c r="D1148" s="7"/>
      <c r="E1148" s="7"/>
      <c r="F1148" s="19"/>
      <c r="G1148" s="7"/>
      <c r="H1148" s="7"/>
      <c r="M1148" s="1"/>
      <c r="P1148" s="19"/>
      <c r="Q1148" s="81"/>
      <c r="R1148" s="19"/>
      <c r="S1148" s="1"/>
      <c r="T1148" s="1"/>
    </row>
    <row r="1149" ht="12.75" customHeight="1">
      <c r="A1149" s="1"/>
      <c r="B1149" s="7"/>
      <c r="C1149" s="19"/>
      <c r="D1149" s="7"/>
      <c r="E1149" s="7"/>
      <c r="F1149" s="19"/>
      <c r="G1149" s="7"/>
      <c r="H1149" s="7"/>
      <c r="M1149" s="1"/>
      <c r="P1149" s="19"/>
      <c r="Q1149" s="81"/>
      <c r="R1149" s="19"/>
      <c r="S1149" s="1"/>
      <c r="T1149" s="1"/>
    </row>
    <row r="1150" ht="12.75" customHeight="1">
      <c r="A1150" s="1"/>
      <c r="B1150" s="7"/>
      <c r="C1150" s="19"/>
      <c r="D1150" s="7"/>
      <c r="E1150" s="7"/>
      <c r="F1150" s="19"/>
      <c r="G1150" s="7"/>
      <c r="H1150" s="7"/>
      <c r="M1150" s="1"/>
      <c r="P1150" s="19"/>
      <c r="Q1150" s="81"/>
      <c r="R1150" s="19"/>
      <c r="S1150" s="1"/>
      <c r="T1150" s="1"/>
    </row>
    <row r="1151" ht="12.75" customHeight="1">
      <c r="A1151" s="1"/>
      <c r="B1151" s="7"/>
      <c r="C1151" s="19"/>
      <c r="D1151" s="7"/>
      <c r="E1151" s="7"/>
      <c r="F1151" s="19"/>
      <c r="G1151" s="7"/>
      <c r="H1151" s="7"/>
      <c r="M1151" s="1"/>
      <c r="P1151" s="19"/>
      <c r="Q1151" s="81"/>
      <c r="R1151" s="19"/>
      <c r="S1151" s="1"/>
      <c r="T1151" s="1"/>
    </row>
    <row r="1152" ht="12.75" customHeight="1">
      <c r="A1152" s="1"/>
      <c r="B1152" s="7"/>
      <c r="C1152" s="19"/>
      <c r="D1152" s="7"/>
      <c r="E1152" s="7"/>
      <c r="F1152" s="19"/>
      <c r="G1152" s="7"/>
      <c r="H1152" s="7"/>
      <c r="M1152" s="1"/>
      <c r="P1152" s="19"/>
      <c r="Q1152" s="81"/>
      <c r="R1152" s="19"/>
      <c r="S1152" s="1"/>
      <c r="T1152" s="1"/>
    </row>
    <row r="1153" ht="12.75" customHeight="1">
      <c r="A1153" s="1"/>
      <c r="B1153" s="7"/>
      <c r="C1153" s="19"/>
      <c r="D1153" s="7"/>
      <c r="E1153" s="7"/>
      <c r="F1153" s="19"/>
      <c r="G1153" s="7"/>
      <c r="H1153" s="7"/>
      <c r="M1153" s="1"/>
      <c r="P1153" s="19"/>
      <c r="Q1153" s="81"/>
      <c r="R1153" s="19"/>
      <c r="S1153" s="1"/>
      <c r="T1153" s="1"/>
    </row>
    <row r="1154" ht="12.75" customHeight="1">
      <c r="A1154" s="1"/>
      <c r="B1154" s="7"/>
      <c r="C1154" s="19"/>
      <c r="D1154" s="7"/>
      <c r="E1154" s="7"/>
      <c r="F1154" s="19"/>
      <c r="G1154" s="7"/>
      <c r="H1154" s="7"/>
      <c r="M1154" s="1"/>
      <c r="P1154" s="19"/>
      <c r="Q1154" s="81"/>
      <c r="R1154" s="19"/>
      <c r="S1154" s="1"/>
      <c r="T1154" s="1"/>
    </row>
    <row r="1155" ht="12.75" customHeight="1">
      <c r="A1155" s="1"/>
      <c r="B1155" s="7"/>
      <c r="C1155" s="19"/>
      <c r="D1155" s="7"/>
      <c r="E1155" s="7"/>
      <c r="F1155" s="19"/>
      <c r="G1155" s="7"/>
      <c r="H1155" s="7"/>
      <c r="M1155" s="1"/>
      <c r="P1155" s="19"/>
      <c r="Q1155" s="81"/>
      <c r="R1155" s="19"/>
      <c r="S1155" s="1"/>
      <c r="T1155" s="1"/>
    </row>
    <row r="1156" ht="12.75" customHeight="1">
      <c r="A1156" s="1"/>
      <c r="B1156" s="7"/>
      <c r="C1156" s="19"/>
      <c r="D1156" s="7"/>
      <c r="E1156" s="7"/>
      <c r="F1156" s="19"/>
      <c r="G1156" s="7"/>
      <c r="H1156" s="7"/>
      <c r="M1156" s="1"/>
      <c r="P1156" s="19"/>
      <c r="Q1156" s="81"/>
      <c r="R1156" s="19"/>
      <c r="S1156" s="1"/>
      <c r="T1156" s="1"/>
    </row>
    <row r="1157" ht="12.75" customHeight="1">
      <c r="A1157" s="1"/>
      <c r="B1157" s="7"/>
      <c r="C1157" s="19"/>
      <c r="D1157" s="7"/>
      <c r="E1157" s="7"/>
      <c r="F1157" s="19"/>
      <c r="G1157" s="7"/>
      <c r="H1157" s="7"/>
      <c r="M1157" s="1"/>
      <c r="P1157" s="19"/>
      <c r="Q1157" s="81"/>
      <c r="R1157" s="19"/>
      <c r="S1157" s="1"/>
      <c r="T1157" s="1"/>
    </row>
    <row r="1158" ht="12.75" customHeight="1">
      <c r="A1158" s="1"/>
      <c r="B1158" s="7"/>
      <c r="C1158" s="19"/>
      <c r="D1158" s="7"/>
      <c r="E1158" s="7"/>
      <c r="F1158" s="19"/>
      <c r="G1158" s="7"/>
      <c r="H1158" s="7"/>
      <c r="M1158" s="1"/>
      <c r="P1158" s="19"/>
      <c r="Q1158" s="81"/>
      <c r="R1158" s="19"/>
      <c r="S1158" s="1"/>
      <c r="T1158" s="1"/>
    </row>
    <row r="1159" ht="12.75" customHeight="1">
      <c r="A1159" s="1"/>
      <c r="B1159" s="7"/>
      <c r="C1159" s="19"/>
      <c r="D1159" s="7"/>
      <c r="E1159" s="7"/>
      <c r="F1159" s="19"/>
      <c r="G1159" s="7"/>
      <c r="H1159" s="7"/>
      <c r="M1159" s="1"/>
      <c r="P1159" s="19"/>
      <c r="Q1159" s="81"/>
      <c r="R1159" s="19"/>
      <c r="S1159" s="1"/>
      <c r="T1159" s="1"/>
    </row>
    <row r="1160" ht="12.75" customHeight="1">
      <c r="A1160" s="1"/>
      <c r="B1160" s="7"/>
      <c r="C1160" s="19"/>
      <c r="D1160" s="7"/>
      <c r="E1160" s="7"/>
      <c r="F1160" s="19"/>
      <c r="G1160" s="7"/>
      <c r="H1160" s="7"/>
      <c r="M1160" s="1"/>
      <c r="P1160" s="19"/>
      <c r="Q1160" s="81"/>
      <c r="R1160" s="19"/>
      <c r="S1160" s="1"/>
      <c r="T1160" s="1"/>
    </row>
    <row r="1161" ht="12.75" customHeight="1">
      <c r="A1161" s="1"/>
      <c r="B1161" s="7"/>
      <c r="C1161" s="19"/>
      <c r="D1161" s="7"/>
      <c r="E1161" s="7"/>
      <c r="F1161" s="19"/>
      <c r="G1161" s="7"/>
      <c r="H1161" s="7"/>
      <c r="M1161" s="1"/>
      <c r="P1161" s="19"/>
      <c r="Q1161" s="81"/>
      <c r="R1161" s="19"/>
      <c r="S1161" s="1"/>
      <c r="T1161" s="1"/>
    </row>
    <row r="1162" ht="12.75" customHeight="1">
      <c r="A1162" s="1"/>
      <c r="B1162" s="7"/>
      <c r="C1162" s="19"/>
      <c r="D1162" s="7"/>
      <c r="E1162" s="7"/>
      <c r="F1162" s="19"/>
      <c r="G1162" s="7"/>
      <c r="H1162" s="7"/>
      <c r="M1162" s="1"/>
      <c r="P1162" s="19"/>
      <c r="Q1162" s="81"/>
      <c r="R1162" s="19"/>
      <c r="S1162" s="1"/>
      <c r="T1162" s="1"/>
    </row>
    <row r="1163" ht="12.75" customHeight="1">
      <c r="A1163" s="1"/>
      <c r="B1163" s="7"/>
      <c r="C1163" s="19"/>
      <c r="D1163" s="7"/>
      <c r="E1163" s="7"/>
      <c r="F1163" s="19"/>
      <c r="G1163" s="7"/>
      <c r="H1163" s="7"/>
      <c r="M1163" s="1"/>
      <c r="P1163" s="19"/>
      <c r="Q1163" s="81"/>
      <c r="R1163" s="19"/>
      <c r="S1163" s="1"/>
      <c r="T1163" s="1"/>
    </row>
    <row r="1164" ht="12.75" customHeight="1">
      <c r="A1164" s="1"/>
      <c r="B1164" s="7"/>
      <c r="C1164" s="19"/>
      <c r="D1164" s="7"/>
      <c r="E1164" s="7"/>
      <c r="F1164" s="19"/>
      <c r="G1164" s="7"/>
      <c r="H1164" s="7"/>
      <c r="M1164" s="1"/>
      <c r="P1164" s="19"/>
      <c r="Q1164" s="81"/>
      <c r="R1164" s="19"/>
      <c r="S1164" s="1"/>
      <c r="T1164" s="1"/>
    </row>
    <row r="1165" ht="12.75" customHeight="1">
      <c r="A1165" s="1"/>
      <c r="B1165" s="7"/>
      <c r="C1165" s="19"/>
      <c r="D1165" s="7"/>
      <c r="E1165" s="7"/>
      <c r="F1165" s="19"/>
      <c r="G1165" s="7"/>
      <c r="H1165" s="7"/>
      <c r="M1165" s="1"/>
      <c r="P1165" s="19"/>
      <c r="Q1165" s="81"/>
      <c r="R1165" s="19"/>
      <c r="S1165" s="1"/>
      <c r="T1165" s="1"/>
    </row>
    <row r="1166" ht="12.75" customHeight="1">
      <c r="A1166" s="1"/>
      <c r="B1166" s="7"/>
      <c r="C1166" s="19"/>
      <c r="D1166" s="7"/>
      <c r="E1166" s="7"/>
      <c r="F1166" s="19"/>
      <c r="G1166" s="7"/>
      <c r="H1166" s="7"/>
      <c r="M1166" s="1"/>
      <c r="P1166" s="19"/>
      <c r="Q1166" s="81"/>
      <c r="R1166" s="19"/>
      <c r="S1166" s="1"/>
      <c r="T1166" s="1"/>
    </row>
    <row r="1167" ht="12.75" customHeight="1">
      <c r="A1167" s="1"/>
      <c r="B1167" s="7"/>
      <c r="C1167" s="19"/>
      <c r="D1167" s="7"/>
      <c r="E1167" s="7"/>
      <c r="F1167" s="19"/>
      <c r="G1167" s="7"/>
      <c r="H1167" s="7"/>
      <c r="M1167" s="1"/>
      <c r="P1167" s="19"/>
      <c r="Q1167" s="81"/>
      <c r="R1167" s="19"/>
      <c r="S1167" s="1"/>
      <c r="T1167" s="1"/>
    </row>
    <row r="1168" ht="12.75" customHeight="1">
      <c r="A1168" s="1"/>
      <c r="B1168" s="7"/>
      <c r="C1168" s="19"/>
      <c r="D1168" s="7"/>
      <c r="E1168" s="7"/>
      <c r="F1168" s="19"/>
      <c r="G1168" s="7"/>
      <c r="H1168" s="7"/>
      <c r="M1168" s="1"/>
      <c r="P1168" s="19"/>
      <c r="Q1168" s="81"/>
      <c r="R1168" s="19"/>
      <c r="S1168" s="1"/>
      <c r="T1168" s="1"/>
    </row>
    <row r="1169" ht="12.75" customHeight="1">
      <c r="A1169" s="1"/>
      <c r="B1169" s="7"/>
      <c r="C1169" s="19"/>
      <c r="D1169" s="7"/>
      <c r="E1169" s="7"/>
      <c r="F1169" s="19"/>
      <c r="G1169" s="7"/>
      <c r="H1169" s="7"/>
      <c r="M1169" s="1"/>
      <c r="P1169" s="19"/>
      <c r="Q1169" s="81"/>
      <c r="R1169" s="19"/>
      <c r="S1169" s="1"/>
      <c r="T1169" s="1"/>
    </row>
    <row r="1170" ht="12.75" customHeight="1">
      <c r="A1170" s="1"/>
      <c r="B1170" s="7"/>
      <c r="C1170" s="19"/>
      <c r="D1170" s="7"/>
      <c r="E1170" s="7"/>
      <c r="F1170" s="19"/>
      <c r="G1170" s="7"/>
      <c r="H1170" s="7"/>
      <c r="M1170" s="1"/>
      <c r="P1170" s="19"/>
      <c r="Q1170" s="81"/>
      <c r="R1170" s="19"/>
      <c r="S1170" s="1"/>
      <c r="T1170" s="1"/>
    </row>
    <row r="1171" ht="12.75" customHeight="1">
      <c r="A1171" s="1"/>
      <c r="B1171" s="7"/>
      <c r="C1171" s="19"/>
      <c r="D1171" s="7"/>
      <c r="E1171" s="7"/>
      <c r="F1171" s="19"/>
      <c r="G1171" s="7"/>
      <c r="H1171" s="7"/>
      <c r="M1171" s="1"/>
      <c r="P1171" s="19"/>
      <c r="Q1171" s="81"/>
      <c r="R1171" s="19"/>
      <c r="S1171" s="1"/>
      <c r="T1171" s="1"/>
    </row>
    <row r="1172" ht="12.75" customHeight="1">
      <c r="A1172" s="1"/>
      <c r="B1172" s="7"/>
      <c r="C1172" s="19"/>
      <c r="D1172" s="7"/>
      <c r="E1172" s="7"/>
      <c r="F1172" s="19"/>
      <c r="G1172" s="7"/>
      <c r="H1172" s="7"/>
      <c r="M1172" s="1"/>
      <c r="P1172" s="19"/>
      <c r="Q1172" s="81"/>
      <c r="R1172" s="19"/>
      <c r="S1172" s="1"/>
      <c r="T1172" s="1"/>
    </row>
    <row r="1173" ht="12.75" customHeight="1">
      <c r="A1173" s="1"/>
      <c r="B1173" s="7"/>
      <c r="C1173" s="19"/>
      <c r="D1173" s="7"/>
      <c r="E1173" s="7"/>
      <c r="F1173" s="19"/>
      <c r="G1173" s="7"/>
      <c r="H1173" s="7"/>
      <c r="M1173" s="1"/>
      <c r="P1173" s="19"/>
      <c r="Q1173" s="81"/>
      <c r="R1173" s="19"/>
      <c r="S1173" s="1"/>
      <c r="T1173" s="1"/>
    </row>
    <row r="1174" ht="12.75" customHeight="1">
      <c r="A1174" s="1"/>
      <c r="B1174" s="7"/>
      <c r="C1174" s="19"/>
      <c r="D1174" s="7"/>
      <c r="E1174" s="7"/>
      <c r="F1174" s="19"/>
      <c r="G1174" s="7"/>
      <c r="H1174" s="7"/>
      <c r="M1174" s="1"/>
      <c r="P1174" s="19"/>
      <c r="Q1174" s="81"/>
      <c r="R1174" s="19"/>
      <c r="S1174" s="1"/>
      <c r="T1174" s="1"/>
    </row>
    <row r="1175" ht="12.75" customHeight="1">
      <c r="A1175" s="1"/>
      <c r="B1175" s="7"/>
      <c r="C1175" s="19"/>
      <c r="D1175" s="7"/>
      <c r="E1175" s="7"/>
      <c r="F1175" s="19"/>
      <c r="G1175" s="7"/>
      <c r="H1175" s="7"/>
      <c r="M1175" s="1"/>
      <c r="P1175" s="19"/>
      <c r="Q1175" s="81"/>
      <c r="R1175" s="19"/>
      <c r="S1175" s="1"/>
      <c r="T1175" s="1"/>
    </row>
    <row r="1176" ht="12.75" customHeight="1">
      <c r="A1176" s="1"/>
      <c r="B1176" s="7"/>
      <c r="C1176" s="19"/>
      <c r="D1176" s="7"/>
      <c r="E1176" s="7"/>
      <c r="F1176" s="19"/>
      <c r="G1176" s="7"/>
      <c r="H1176" s="7"/>
      <c r="M1176" s="1"/>
      <c r="P1176" s="19"/>
      <c r="Q1176" s="81"/>
      <c r="R1176" s="19"/>
      <c r="S1176" s="1"/>
      <c r="T1176" s="1"/>
    </row>
    <row r="1177" ht="12.75" customHeight="1">
      <c r="A1177" s="1"/>
      <c r="B1177" s="7"/>
      <c r="C1177" s="19"/>
      <c r="D1177" s="7"/>
      <c r="E1177" s="7"/>
      <c r="F1177" s="19"/>
      <c r="G1177" s="7"/>
      <c r="H1177" s="7"/>
      <c r="M1177" s="1"/>
      <c r="P1177" s="19"/>
      <c r="Q1177" s="81"/>
      <c r="R1177" s="19"/>
      <c r="S1177" s="1"/>
      <c r="T1177" s="1"/>
    </row>
    <row r="1178" ht="12.75" customHeight="1">
      <c r="A1178" s="1"/>
      <c r="B1178" s="7"/>
      <c r="C1178" s="19"/>
      <c r="D1178" s="7"/>
      <c r="E1178" s="7"/>
      <c r="F1178" s="19"/>
      <c r="G1178" s="7"/>
      <c r="H1178" s="7"/>
      <c r="M1178" s="1"/>
      <c r="P1178" s="19"/>
      <c r="Q1178" s="81"/>
      <c r="R1178" s="19"/>
      <c r="S1178" s="1"/>
      <c r="T1178" s="1"/>
    </row>
    <row r="1179" ht="12.75" customHeight="1">
      <c r="A1179" s="1"/>
      <c r="B1179" s="7"/>
      <c r="C1179" s="19"/>
      <c r="D1179" s="7"/>
      <c r="E1179" s="7"/>
      <c r="F1179" s="19"/>
      <c r="G1179" s="7"/>
      <c r="H1179" s="7"/>
      <c r="M1179" s="1"/>
      <c r="P1179" s="19"/>
      <c r="Q1179" s="81"/>
      <c r="R1179" s="19"/>
      <c r="S1179" s="1"/>
      <c r="T1179" s="1"/>
    </row>
    <row r="1180" ht="12.75" customHeight="1">
      <c r="A1180" s="1"/>
      <c r="B1180" s="7"/>
      <c r="C1180" s="19"/>
      <c r="D1180" s="7"/>
      <c r="E1180" s="7"/>
      <c r="F1180" s="19"/>
      <c r="G1180" s="7"/>
      <c r="H1180" s="7"/>
      <c r="M1180" s="1"/>
      <c r="P1180" s="19"/>
      <c r="Q1180" s="81"/>
      <c r="R1180" s="19"/>
      <c r="S1180" s="1"/>
      <c r="T1180" s="1"/>
    </row>
    <row r="1181" ht="12.75" customHeight="1">
      <c r="A1181" s="1"/>
      <c r="B1181" s="7"/>
      <c r="C1181" s="19"/>
      <c r="D1181" s="7"/>
      <c r="E1181" s="7"/>
      <c r="F1181" s="19"/>
      <c r="G1181" s="7"/>
      <c r="H1181" s="7"/>
      <c r="M1181" s="1"/>
      <c r="P1181" s="19"/>
      <c r="Q1181" s="81"/>
      <c r="R1181" s="19"/>
      <c r="S1181" s="1"/>
      <c r="T1181" s="1"/>
    </row>
    <row r="1182" ht="12.75" customHeight="1">
      <c r="A1182" s="1"/>
      <c r="B1182" s="7"/>
      <c r="C1182" s="19"/>
      <c r="D1182" s="7"/>
      <c r="E1182" s="7"/>
      <c r="F1182" s="19"/>
      <c r="G1182" s="7"/>
      <c r="H1182" s="7"/>
      <c r="M1182" s="1"/>
      <c r="P1182" s="19"/>
      <c r="Q1182" s="81"/>
      <c r="R1182" s="19"/>
      <c r="S1182" s="1"/>
      <c r="T1182" s="1"/>
    </row>
    <row r="1183" ht="12.75" customHeight="1">
      <c r="A1183" s="1"/>
      <c r="B1183" s="7"/>
      <c r="C1183" s="19"/>
      <c r="D1183" s="7"/>
      <c r="E1183" s="7"/>
      <c r="F1183" s="19"/>
      <c r="G1183" s="7"/>
      <c r="H1183" s="7"/>
      <c r="M1183" s="1"/>
      <c r="P1183" s="19"/>
      <c r="Q1183" s="81"/>
      <c r="R1183" s="19"/>
      <c r="S1183" s="1"/>
      <c r="T1183" s="1"/>
    </row>
    <row r="1184" ht="12.75" customHeight="1">
      <c r="A1184" s="1"/>
      <c r="B1184" s="7"/>
      <c r="C1184" s="19"/>
      <c r="D1184" s="7"/>
      <c r="E1184" s="7"/>
      <c r="F1184" s="19"/>
      <c r="G1184" s="7"/>
      <c r="H1184" s="7"/>
      <c r="M1184" s="1"/>
      <c r="P1184" s="19"/>
      <c r="Q1184" s="81"/>
      <c r="R1184" s="19"/>
      <c r="S1184" s="1"/>
      <c r="T1184" s="1"/>
    </row>
    <row r="1185" ht="12.75" customHeight="1">
      <c r="A1185" s="1"/>
      <c r="B1185" s="7"/>
      <c r="C1185" s="19"/>
      <c r="D1185" s="7"/>
      <c r="E1185" s="7"/>
      <c r="F1185" s="19"/>
      <c r="G1185" s="7"/>
      <c r="H1185" s="7"/>
      <c r="M1185" s="1"/>
      <c r="P1185" s="19"/>
      <c r="Q1185" s="81"/>
      <c r="R1185" s="19"/>
      <c r="S1185" s="1"/>
      <c r="T1185" s="1"/>
    </row>
    <row r="1186" ht="12.75" customHeight="1">
      <c r="A1186" s="1"/>
      <c r="B1186" s="7"/>
      <c r="C1186" s="19"/>
      <c r="D1186" s="7"/>
      <c r="E1186" s="7"/>
      <c r="F1186" s="19"/>
      <c r="G1186" s="7"/>
      <c r="H1186" s="7"/>
      <c r="M1186" s="1"/>
      <c r="P1186" s="19"/>
      <c r="Q1186" s="81"/>
      <c r="R1186" s="19"/>
      <c r="S1186" s="1"/>
      <c r="T1186" s="1"/>
    </row>
    <row r="1187" ht="12.75" customHeight="1">
      <c r="A1187" s="1"/>
      <c r="B1187" s="7"/>
      <c r="C1187" s="19"/>
      <c r="D1187" s="7"/>
      <c r="E1187" s="7"/>
      <c r="F1187" s="19"/>
      <c r="G1187" s="7"/>
      <c r="H1187" s="7"/>
      <c r="M1187" s="1"/>
      <c r="P1187" s="19"/>
      <c r="Q1187" s="81"/>
      <c r="R1187" s="19"/>
      <c r="S1187" s="1"/>
      <c r="T1187" s="1"/>
    </row>
    <row r="1188" ht="12.75" customHeight="1">
      <c r="A1188" s="1"/>
      <c r="B1188" s="7"/>
      <c r="C1188" s="19"/>
      <c r="D1188" s="7"/>
      <c r="E1188" s="7"/>
      <c r="F1188" s="19"/>
      <c r="G1188" s="7"/>
      <c r="H1188" s="7"/>
      <c r="M1188" s="1"/>
      <c r="P1188" s="19"/>
      <c r="Q1188" s="81"/>
      <c r="R1188" s="19"/>
      <c r="S1188" s="1"/>
      <c r="T1188" s="1"/>
    </row>
    <row r="1189" ht="12.75" customHeight="1">
      <c r="A1189" s="1"/>
      <c r="B1189" s="7"/>
      <c r="C1189" s="19"/>
      <c r="D1189" s="7"/>
      <c r="E1189" s="7"/>
      <c r="F1189" s="19"/>
      <c r="G1189" s="7"/>
      <c r="H1189" s="7"/>
      <c r="M1189" s="1"/>
      <c r="P1189" s="19"/>
      <c r="Q1189" s="81"/>
      <c r="R1189" s="19"/>
      <c r="S1189" s="1"/>
      <c r="T1189" s="1"/>
    </row>
    <row r="1190" ht="12.75" customHeight="1">
      <c r="A1190" s="1"/>
      <c r="B1190" s="7"/>
      <c r="C1190" s="19"/>
      <c r="D1190" s="7"/>
      <c r="E1190" s="7"/>
      <c r="F1190" s="19"/>
      <c r="G1190" s="7"/>
      <c r="H1190" s="7"/>
      <c r="M1190" s="1"/>
      <c r="P1190" s="19"/>
      <c r="Q1190" s="81"/>
      <c r="R1190" s="19"/>
      <c r="S1190" s="1"/>
      <c r="T1190" s="1"/>
    </row>
    <row r="1191" ht="12.75" customHeight="1">
      <c r="A1191" s="1"/>
      <c r="B1191" s="7"/>
      <c r="C1191" s="19"/>
      <c r="D1191" s="7"/>
      <c r="E1191" s="7"/>
      <c r="F1191" s="19"/>
      <c r="G1191" s="7"/>
      <c r="H1191" s="7"/>
      <c r="M1191" s="1"/>
      <c r="P1191" s="19"/>
      <c r="Q1191" s="81"/>
      <c r="R1191" s="19"/>
      <c r="S1191" s="1"/>
      <c r="T1191" s="1"/>
    </row>
    <row r="1192" ht="12.75" customHeight="1">
      <c r="A1192" s="1"/>
      <c r="B1192" s="7"/>
      <c r="C1192" s="19"/>
      <c r="D1192" s="7"/>
      <c r="E1192" s="7"/>
      <c r="F1192" s="19"/>
      <c r="G1192" s="7"/>
      <c r="H1192" s="7"/>
      <c r="M1192" s="1"/>
      <c r="P1192" s="19"/>
      <c r="Q1192" s="81"/>
      <c r="R1192" s="19"/>
      <c r="S1192" s="1"/>
      <c r="T1192" s="1"/>
    </row>
    <row r="1193" ht="12.75" customHeight="1">
      <c r="A1193" s="1"/>
      <c r="B1193" s="7"/>
      <c r="C1193" s="19"/>
      <c r="D1193" s="7"/>
      <c r="E1193" s="7"/>
      <c r="F1193" s="19"/>
      <c r="G1193" s="7"/>
      <c r="H1193" s="7"/>
      <c r="M1193" s="1"/>
      <c r="P1193" s="19"/>
      <c r="Q1193" s="81"/>
      <c r="R1193" s="19"/>
      <c r="S1193" s="1"/>
      <c r="T1193" s="1"/>
    </row>
    <row r="1194" ht="12.75" customHeight="1">
      <c r="A1194" s="1"/>
      <c r="B1194" s="7"/>
      <c r="C1194" s="19"/>
      <c r="D1194" s="7"/>
      <c r="E1194" s="7"/>
      <c r="F1194" s="19"/>
      <c r="G1194" s="7"/>
      <c r="H1194" s="7"/>
      <c r="M1194" s="1"/>
      <c r="P1194" s="19"/>
      <c r="Q1194" s="81"/>
      <c r="R1194" s="19"/>
      <c r="S1194" s="1"/>
      <c r="T1194" s="1"/>
    </row>
    <row r="1195" ht="12.75" customHeight="1">
      <c r="A1195" s="1"/>
      <c r="B1195" s="7"/>
      <c r="C1195" s="19"/>
      <c r="D1195" s="7"/>
      <c r="E1195" s="7"/>
      <c r="F1195" s="19"/>
      <c r="G1195" s="7"/>
      <c r="H1195" s="7"/>
      <c r="M1195" s="1"/>
      <c r="P1195" s="19"/>
      <c r="Q1195" s="81"/>
      <c r="R1195" s="19"/>
      <c r="S1195" s="1"/>
      <c r="T1195" s="1"/>
    </row>
    <row r="1196" ht="12.75" customHeight="1">
      <c r="A1196" s="1"/>
      <c r="B1196" s="7"/>
      <c r="C1196" s="19"/>
      <c r="D1196" s="7"/>
      <c r="E1196" s="7"/>
      <c r="F1196" s="19"/>
      <c r="G1196" s="7"/>
      <c r="H1196" s="7"/>
      <c r="M1196" s="1"/>
      <c r="P1196" s="19"/>
      <c r="Q1196" s="81"/>
      <c r="R1196" s="19"/>
      <c r="S1196" s="1"/>
      <c r="T1196" s="1"/>
    </row>
    <row r="1197" ht="12.75" customHeight="1">
      <c r="A1197" s="1"/>
      <c r="B1197" s="7"/>
      <c r="C1197" s="19"/>
      <c r="D1197" s="7"/>
      <c r="E1197" s="7"/>
      <c r="F1197" s="19"/>
      <c r="G1197" s="7"/>
      <c r="H1197" s="7"/>
      <c r="M1197" s="1"/>
      <c r="P1197" s="19"/>
      <c r="Q1197" s="81"/>
      <c r="R1197" s="19"/>
      <c r="S1197" s="1"/>
      <c r="T1197" s="1"/>
    </row>
    <row r="1198" ht="12.75" customHeight="1">
      <c r="A1198" s="1"/>
      <c r="B1198" s="7"/>
      <c r="C1198" s="19"/>
      <c r="D1198" s="7"/>
      <c r="E1198" s="7"/>
      <c r="F1198" s="19"/>
      <c r="G1198" s="7"/>
      <c r="H1198" s="7"/>
      <c r="M1198" s="1"/>
      <c r="P1198" s="19"/>
      <c r="Q1198" s="81"/>
      <c r="R1198" s="19"/>
      <c r="S1198" s="1"/>
      <c r="T1198" s="1"/>
    </row>
    <row r="1199" ht="12.75" customHeight="1">
      <c r="A1199" s="1"/>
      <c r="B1199" s="7"/>
      <c r="C1199" s="19"/>
      <c r="D1199" s="7"/>
      <c r="E1199" s="7"/>
      <c r="F1199" s="19"/>
      <c r="G1199" s="7"/>
      <c r="H1199" s="7"/>
      <c r="M1199" s="1"/>
      <c r="P1199" s="19"/>
      <c r="Q1199" s="81"/>
      <c r="R1199" s="19"/>
      <c r="S1199" s="1"/>
      <c r="T1199" s="1"/>
    </row>
    <row r="1200" ht="12.75" customHeight="1">
      <c r="A1200" s="1"/>
      <c r="B1200" s="7"/>
      <c r="C1200" s="19"/>
      <c r="D1200" s="7"/>
      <c r="E1200" s="7"/>
      <c r="F1200" s="19"/>
      <c r="G1200" s="7"/>
      <c r="H1200" s="7"/>
      <c r="M1200" s="1"/>
      <c r="P1200" s="19"/>
      <c r="Q1200" s="81"/>
      <c r="R1200" s="19"/>
      <c r="S1200" s="1"/>
      <c r="T1200" s="1"/>
    </row>
    <row r="1201" ht="12.75" customHeight="1">
      <c r="A1201" s="1"/>
      <c r="B1201" s="7"/>
      <c r="C1201" s="19"/>
      <c r="D1201" s="7"/>
      <c r="E1201" s="7"/>
      <c r="F1201" s="19"/>
      <c r="G1201" s="7"/>
      <c r="H1201" s="7"/>
      <c r="M1201" s="1"/>
      <c r="P1201" s="19"/>
      <c r="Q1201" s="81"/>
      <c r="R1201" s="19"/>
      <c r="S1201" s="1"/>
      <c r="T1201" s="1"/>
    </row>
    <row r="1202" ht="12.75" customHeight="1">
      <c r="A1202" s="1"/>
      <c r="B1202" s="7"/>
      <c r="C1202" s="19"/>
      <c r="D1202" s="7"/>
      <c r="E1202" s="7"/>
      <c r="F1202" s="19"/>
      <c r="G1202" s="7"/>
      <c r="H1202" s="7"/>
      <c r="M1202" s="1"/>
      <c r="P1202" s="19"/>
      <c r="Q1202" s="81"/>
      <c r="R1202" s="19"/>
      <c r="S1202" s="1"/>
      <c r="T1202" s="1"/>
    </row>
    <row r="1203" ht="12.75" customHeight="1">
      <c r="A1203" s="1"/>
      <c r="B1203" s="7"/>
      <c r="C1203" s="19"/>
      <c r="D1203" s="7"/>
      <c r="E1203" s="7"/>
      <c r="F1203" s="19"/>
      <c r="G1203" s="7"/>
      <c r="H1203" s="7"/>
      <c r="M1203" s="1"/>
      <c r="P1203" s="19"/>
      <c r="Q1203" s="81"/>
      <c r="R1203" s="19"/>
      <c r="S1203" s="1"/>
      <c r="T1203" s="1"/>
    </row>
    <row r="1204" ht="12.75" customHeight="1">
      <c r="A1204" s="1"/>
      <c r="B1204" s="7"/>
      <c r="C1204" s="19"/>
      <c r="D1204" s="7"/>
      <c r="E1204" s="7"/>
      <c r="F1204" s="19"/>
      <c r="G1204" s="7"/>
      <c r="H1204" s="7"/>
      <c r="M1204" s="1"/>
      <c r="P1204" s="19"/>
      <c r="Q1204" s="81"/>
      <c r="R1204" s="19"/>
      <c r="S1204" s="1"/>
      <c r="T1204" s="1"/>
    </row>
    <row r="1205" ht="12.75" customHeight="1">
      <c r="A1205" s="1"/>
      <c r="B1205" s="7"/>
      <c r="C1205" s="19"/>
      <c r="D1205" s="7"/>
      <c r="E1205" s="7"/>
      <c r="F1205" s="19"/>
      <c r="G1205" s="7"/>
      <c r="H1205" s="7"/>
      <c r="M1205" s="1"/>
      <c r="P1205" s="19"/>
      <c r="Q1205" s="81"/>
      <c r="R1205" s="19"/>
      <c r="S1205" s="1"/>
      <c r="T1205" s="1"/>
    </row>
    <row r="1206" ht="12.75" customHeight="1">
      <c r="A1206" s="1"/>
      <c r="B1206" s="7"/>
      <c r="C1206" s="19"/>
      <c r="D1206" s="7"/>
      <c r="E1206" s="7"/>
      <c r="F1206" s="19"/>
      <c r="G1206" s="7"/>
      <c r="H1206" s="7"/>
      <c r="M1206" s="1"/>
      <c r="P1206" s="19"/>
      <c r="Q1206" s="81"/>
      <c r="R1206" s="19"/>
      <c r="S1206" s="1"/>
      <c r="T1206" s="1"/>
    </row>
    <row r="1207" ht="12.75" customHeight="1">
      <c r="A1207" s="1"/>
      <c r="B1207" s="7"/>
      <c r="C1207" s="19"/>
      <c r="D1207" s="7"/>
      <c r="E1207" s="7"/>
      <c r="F1207" s="19"/>
      <c r="G1207" s="7"/>
      <c r="H1207" s="7"/>
      <c r="M1207" s="1"/>
      <c r="P1207" s="19"/>
      <c r="Q1207" s="81"/>
      <c r="R1207" s="19"/>
      <c r="S1207" s="1"/>
      <c r="T1207" s="1"/>
    </row>
    <row r="1208" ht="12.75" customHeight="1">
      <c r="A1208" s="1"/>
      <c r="B1208" s="7"/>
      <c r="C1208" s="19"/>
      <c r="D1208" s="7"/>
      <c r="E1208" s="7"/>
      <c r="F1208" s="19"/>
      <c r="G1208" s="7"/>
      <c r="H1208" s="7"/>
      <c r="M1208" s="1"/>
      <c r="P1208" s="19"/>
      <c r="Q1208" s="81"/>
      <c r="R1208" s="19"/>
      <c r="S1208" s="1"/>
      <c r="T1208" s="1"/>
    </row>
    <row r="1209" ht="12.75" customHeight="1">
      <c r="A1209" s="1"/>
      <c r="B1209" s="7"/>
      <c r="C1209" s="19"/>
      <c r="D1209" s="7"/>
      <c r="E1209" s="7"/>
      <c r="F1209" s="19"/>
      <c r="G1209" s="7"/>
      <c r="H1209" s="7"/>
      <c r="M1209" s="1"/>
      <c r="P1209" s="19"/>
      <c r="Q1209" s="81"/>
      <c r="R1209" s="19"/>
      <c r="S1209" s="1"/>
      <c r="T1209" s="1"/>
    </row>
    <row r="1210" ht="12.75" customHeight="1">
      <c r="A1210" s="1"/>
      <c r="B1210" s="7"/>
      <c r="C1210" s="19"/>
      <c r="D1210" s="7"/>
      <c r="E1210" s="7"/>
      <c r="F1210" s="19"/>
      <c r="G1210" s="7"/>
      <c r="H1210" s="7"/>
      <c r="M1210" s="1"/>
      <c r="P1210" s="19"/>
      <c r="Q1210" s="81"/>
      <c r="R1210" s="19"/>
      <c r="S1210" s="1"/>
      <c r="T1210" s="1"/>
    </row>
    <row r="1211" ht="12.75" customHeight="1">
      <c r="A1211" s="1"/>
      <c r="B1211" s="7"/>
      <c r="C1211" s="19"/>
      <c r="D1211" s="7"/>
      <c r="E1211" s="7"/>
      <c r="F1211" s="19"/>
      <c r="G1211" s="7"/>
      <c r="H1211" s="7"/>
      <c r="M1211" s="1"/>
      <c r="P1211" s="19"/>
      <c r="Q1211" s="81"/>
      <c r="R1211" s="19"/>
      <c r="S1211" s="1"/>
      <c r="T1211" s="1"/>
    </row>
    <row r="1212" ht="12.75" customHeight="1">
      <c r="A1212" s="1"/>
      <c r="B1212" s="7"/>
      <c r="C1212" s="19"/>
      <c r="D1212" s="7"/>
      <c r="E1212" s="7"/>
      <c r="F1212" s="19"/>
      <c r="G1212" s="7"/>
      <c r="H1212" s="7"/>
      <c r="M1212" s="1"/>
      <c r="P1212" s="19"/>
      <c r="Q1212" s="81"/>
      <c r="R1212" s="19"/>
      <c r="S1212" s="1"/>
      <c r="T1212" s="1"/>
    </row>
    <row r="1213" ht="12.75" customHeight="1">
      <c r="A1213" s="1"/>
      <c r="B1213" s="7"/>
      <c r="C1213" s="19"/>
      <c r="D1213" s="7"/>
      <c r="E1213" s="7"/>
      <c r="F1213" s="19"/>
      <c r="G1213" s="7"/>
      <c r="H1213" s="7"/>
      <c r="M1213" s="1"/>
      <c r="P1213" s="19"/>
      <c r="Q1213" s="81"/>
      <c r="R1213" s="19"/>
      <c r="S1213" s="1"/>
      <c r="T1213" s="1"/>
    </row>
    <row r="1214" ht="12.75" customHeight="1">
      <c r="A1214" s="1"/>
      <c r="B1214" s="7"/>
      <c r="C1214" s="19"/>
      <c r="D1214" s="7"/>
      <c r="E1214" s="7"/>
      <c r="F1214" s="19"/>
      <c r="G1214" s="7"/>
      <c r="H1214" s="7"/>
      <c r="M1214" s="1"/>
      <c r="P1214" s="19"/>
      <c r="Q1214" s="81"/>
      <c r="R1214" s="19"/>
      <c r="S1214" s="1"/>
      <c r="T1214" s="1"/>
    </row>
    <row r="1215" ht="12.75" customHeight="1">
      <c r="A1215" s="1"/>
      <c r="B1215" s="7"/>
      <c r="C1215" s="19"/>
      <c r="D1215" s="7"/>
      <c r="E1215" s="7"/>
      <c r="F1215" s="19"/>
      <c r="G1215" s="7"/>
      <c r="H1215" s="7"/>
      <c r="M1215" s="1"/>
      <c r="P1215" s="19"/>
      <c r="Q1215" s="81"/>
      <c r="R1215" s="19"/>
      <c r="S1215" s="1"/>
      <c r="T1215" s="1"/>
    </row>
    <row r="1216" ht="12.75" customHeight="1">
      <c r="A1216" s="1"/>
      <c r="B1216" s="7"/>
      <c r="C1216" s="19"/>
      <c r="D1216" s="7"/>
      <c r="E1216" s="7"/>
      <c r="F1216" s="19"/>
      <c r="G1216" s="7"/>
      <c r="H1216" s="7"/>
      <c r="M1216" s="1"/>
      <c r="P1216" s="19"/>
      <c r="Q1216" s="81"/>
      <c r="R1216" s="19"/>
      <c r="S1216" s="1"/>
      <c r="T1216" s="1"/>
    </row>
    <row r="1217" ht="12.75" customHeight="1">
      <c r="A1217" s="1"/>
      <c r="B1217" s="7"/>
      <c r="C1217" s="19"/>
      <c r="D1217" s="7"/>
      <c r="E1217" s="7"/>
      <c r="F1217" s="19"/>
      <c r="G1217" s="7"/>
      <c r="H1217" s="7"/>
      <c r="M1217" s="1"/>
      <c r="P1217" s="19"/>
      <c r="Q1217" s="81"/>
      <c r="R1217" s="19"/>
      <c r="S1217" s="1"/>
      <c r="T1217" s="1"/>
    </row>
    <row r="1218" ht="12.75" customHeight="1">
      <c r="A1218" s="1"/>
      <c r="B1218" s="7"/>
      <c r="C1218" s="19"/>
      <c r="D1218" s="7"/>
      <c r="E1218" s="7"/>
      <c r="F1218" s="19"/>
      <c r="G1218" s="7"/>
      <c r="H1218" s="7"/>
      <c r="M1218" s="1"/>
      <c r="P1218" s="19"/>
      <c r="Q1218" s="81"/>
      <c r="R1218" s="19"/>
      <c r="S1218" s="1"/>
      <c r="T1218" s="1"/>
    </row>
    <row r="1219" ht="12.75" customHeight="1">
      <c r="A1219" s="1"/>
      <c r="B1219" s="7"/>
      <c r="C1219" s="19"/>
      <c r="D1219" s="7"/>
      <c r="E1219" s="7"/>
      <c r="F1219" s="19"/>
      <c r="G1219" s="7"/>
      <c r="H1219" s="7"/>
      <c r="M1219" s="1"/>
      <c r="P1219" s="19"/>
      <c r="Q1219" s="81"/>
      <c r="R1219" s="19"/>
      <c r="S1219" s="1"/>
      <c r="T1219" s="1"/>
    </row>
    <row r="1220" ht="12.75" customHeight="1">
      <c r="A1220" s="1"/>
      <c r="B1220" s="7"/>
      <c r="C1220" s="19"/>
      <c r="D1220" s="7"/>
      <c r="E1220" s="7"/>
      <c r="F1220" s="19"/>
      <c r="G1220" s="7"/>
      <c r="H1220" s="7"/>
      <c r="M1220" s="1"/>
      <c r="P1220" s="19"/>
      <c r="Q1220" s="81"/>
      <c r="R1220" s="19"/>
      <c r="S1220" s="1"/>
      <c r="T1220" s="1"/>
    </row>
    <row r="1221" ht="12.75" customHeight="1">
      <c r="A1221" s="1"/>
      <c r="B1221" s="7"/>
      <c r="C1221" s="19"/>
      <c r="D1221" s="7"/>
      <c r="E1221" s="7"/>
      <c r="F1221" s="19"/>
      <c r="G1221" s="7"/>
      <c r="H1221" s="7"/>
      <c r="M1221" s="1"/>
      <c r="P1221" s="19"/>
      <c r="Q1221" s="81"/>
      <c r="R1221" s="19"/>
      <c r="S1221" s="1"/>
      <c r="T1221" s="1"/>
    </row>
    <row r="1222" ht="12.75" customHeight="1">
      <c r="A1222" s="1"/>
      <c r="B1222" s="7"/>
      <c r="C1222" s="19"/>
      <c r="D1222" s="7"/>
      <c r="E1222" s="7"/>
      <c r="F1222" s="19"/>
      <c r="G1222" s="7"/>
      <c r="H1222" s="7"/>
      <c r="M1222" s="1"/>
      <c r="P1222" s="19"/>
      <c r="Q1222" s="81"/>
      <c r="R1222" s="19"/>
      <c r="S1222" s="1"/>
      <c r="T1222" s="1"/>
    </row>
    <row r="1223" ht="12.75" customHeight="1">
      <c r="A1223" s="1"/>
      <c r="B1223" s="7"/>
      <c r="C1223" s="19"/>
      <c r="D1223" s="7"/>
      <c r="E1223" s="7"/>
      <c r="F1223" s="19"/>
      <c r="G1223" s="7"/>
      <c r="H1223" s="7"/>
      <c r="M1223" s="1"/>
      <c r="P1223" s="19"/>
      <c r="Q1223" s="81"/>
      <c r="R1223" s="19"/>
      <c r="S1223" s="1"/>
      <c r="T1223" s="1"/>
    </row>
    <row r="1224" ht="12.75" customHeight="1">
      <c r="A1224" s="1"/>
      <c r="B1224" s="7"/>
      <c r="C1224" s="19"/>
      <c r="D1224" s="7"/>
      <c r="E1224" s="7"/>
      <c r="F1224" s="19"/>
      <c r="G1224" s="7"/>
      <c r="H1224" s="7"/>
      <c r="M1224" s="1"/>
      <c r="P1224" s="19"/>
      <c r="Q1224" s="81"/>
      <c r="R1224" s="19"/>
      <c r="S1224" s="1"/>
      <c r="T1224" s="1"/>
    </row>
    <row r="1225" ht="12.75" customHeight="1">
      <c r="A1225" s="1"/>
      <c r="B1225" s="7"/>
      <c r="C1225" s="19"/>
      <c r="D1225" s="7"/>
      <c r="E1225" s="7"/>
      <c r="F1225" s="19"/>
      <c r="G1225" s="7"/>
      <c r="H1225" s="7"/>
      <c r="M1225" s="1"/>
      <c r="P1225" s="19"/>
      <c r="Q1225" s="81"/>
      <c r="R1225" s="19"/>
      <c r="S1225" s="1"/>
      <c r="T1225" s="1"/>
    </row>
    <row r="1226" ht="12.75" customHeight="1">
      <c r="A1226" s="1"/>
      <c r="B1226" s="7"/>
      <c r="C1226" s="19"/>
      <c r="D1226" s="7"/>
      <c r="E1226" s="7"/>
      <c r="F1226" s="19"/>
      <c r="G1226" s="7"/>
      <c r="H1226" s="7"/>
      <c r="M1226" s="1"/>
      <c r="P1226" s="19"/>
      <c r="Q1226" s="81"/>
      <c r="R1226" s="19"/>
      <c r="S1226" s="1"/>
      <c r="T1226" s="1"/>
    </row>
    <row r="1227" ht="12.75" customHeight="1">
      <c r="A1227" s="1"/>
      <c r="B1227" s="7"/>
      <c r="C1227" s="19"/>
      <c r="D1227" s="7"/>
      <c r="E1227" s="7"/>
      <c r="F1227" s="19"/>
      <c r="G1227" s="7"/>
      <c r="H1227" s="7"/>
      <c r="M1227" s="1"/>
      <c r="P1227" s="19"/>
      <c r="Q1227" s="81"/>
      <c r="R1227" s="19"/>
      <c r="S1227" s="1"/>
      <c r="T1227" s="1"/>
    </row>
    <row r="1228" ht="12.75" customHeight="1">
      <c r="A1228" s="1"/>
      <c r="B1228" s="7"/>
      <c r="C1228" s="19"/>
      <c r="D1228" s="7"/>
      <c r="E1228" s="7"/>
      <c r="F1228" s="19"/>
      <c r="G1228" s="7"/>
      <c r="H1228" s="7"/>
      <c r="M1228" s="1"/>
      <c r="P1228" s="19"/>
      <c r="Q1228" s="81"/>
      <c r="R1228" s="19"/>
      <c r="S1228" s="1"/>
      <c r="T1228" s="1"/>
    </row>
    <row r="1229" ht="12.75" customHeight="1">
      <c r="A1229" s="1"/>
      <c r="B1229" s="7"/>
      <c r="C1229" s="19"/>
      <c r="D1229" s="7"/>
      <c r="E1229" s="7"/>
      <c r="F1229" s="19"/>
      <c r="G1229" s="7"/>
      <c r="H1229" s="7"/>
      <c r="M1229" s="1"/>
      <c r="P1229" s="19"/>
      <c r="Q1229" s="81"/>
      <c r="R1229" s="19"/>
      <c r="S1229" s="1"/>
      <c r="T1229" s="1"/>
    </row>
    <row r="1230" ht="12.75" customHeight="1">
      <c r="A1230" s="1"/>
      <c r="B1230" s="7"/>
      <c r="C1230" s="19"/>
      <c r="D1230" s="7"/>
      <c r="E1230" s="7"/>
      <c r="F1230" s="19"/>
      <c r="G1230" s="7"/>
      <c r="H1230" s="7"/>
      <c r="M1230" s="1"/>
      <c r="P1230" s="19"/>
      <c r="Q1230" s="81"/>
      <c r="R1230" s="19"/>
      <c r="S1230" s="1"/>
      <c r="T1230" s="1"/>
    </row>
    <row r="1231" ht="12.75" customHeight="1">
      <c r="A1231" s="1"/>
      <c r="B1231" s="7"/>
      <c r="C1231" s="19"/>
      <c r="D1231" s="7"/>
      <c r="E1231" s="7"/>
      <c r="F1231" s="19"/>
      <c r="G1231" s="7"/>
      <c r="H1231" s="7"/>
      <c r="M1231" s="1"/>
      <c r="P1231" s="19"/>
      <c r="Q1231" s="81"/>
      <c r="R1231" s="19"/>
      <c r="S1231" s="1"/>
      <c r="T1231" s="1"/>
    </row>
    <row r="1232" ht="12.75" customHeight="1">
      <c r="A1232" s="1"/>
      <c r="B1232" s="7"/>
      <c r="C1232" s="19"/>
      <c r="D1232" s="7"/>
      <c r="E1232" s="7"/>
      <c r="F1232" s="19"/>
      <c r="G1232" s="7"/>
      <c r="H1232" s="7"/>
      <c r="M1232" s="1"/>
      <c r="P1232" s="19"/>
      <c r="Q1232" s="81"/>
      <c r="R1232" s="19"/>
      <c r="S1232" s="1"/>
      <c r="T1232" s="1"/>
    </row>
    <row r="1233" ht="12.75" customHeight="1">
      <c r="A1233" s="1"/>
      <c r="B1233" s="7"/>
      <c r="C1233" s="19"/>
      <c r="D1233" s="7"/>
      <c r="E1233" s="7"/>
      <c r="F1233" s="19"/>
      <c r="G1233" s="7"/>
      <c r="H1233" s="7"/>
      <c r="M1233" s="1"/>
      <c r="P1233" s="19"/>
      <c r="Q1233" s="81"/>
      <c r="R1233" s="19"/>
      <c r="S1233" s="1"/>
      <c r="T1233" s="1"/>
    </row>
    <row r="1234" ht="12.75" customHeight="1">
      <c r="A1234" s="1"/>
      <c r="B1234" s="7"/>
      <c r="C1234" s="19"/>
      <c r="D1234" s="7"/>
      <c r="E1234" s="7"/>
      <c r="F1234" s="19"/>
      <c r="G1234" s="7"/>
      <c r="H1234" s="7"/>
      <c r="M1234" s="1"/>
      <c r="P1234" s="19"/>
      <c r="Q1234" s="81"/>
      <c r="R1234" s="19"/>
      <c r="S1234" s="1"/>
      <c r="T1234" s="1"/>
    </row>
    <row r="1235" ht="12.75" customHeight="1">
      <c r="A1235" s="1"/>
      <c r="B1235" s="7"/>
      <c r="C1235" s="19"/>
      <c r="D1235" s="7"/>
      <c r="E1235" s="7"/>
      <c r="F1235" s="19"/>
      <c r="G1235" s="7"/>
      <c r="H1235" s="7"/>
      <c r="M1235" s="1"/>
      <c r="P1235" s="19"/>
      <c r="Q1235" s="81"/>
      <c r="R1235" s="19"/>
      <c r="S1235" s="1"/>
      <c r="T1235" s="1"/>
    </row>
    <row r="1236" ht="12.75" customHeight="1">
      <c r="A1236" s="1"/>
      <c r="B1236" s="7"/>
      <c r="C1236" s="19"/>
      <c r="D1236" s="7"/>
      <c r="E1236" s="7"/>
      <c r="F1236" s="19"/>
      <c r="G1236" s="7"/>
      <c r="H1236" s="7"/>
      <c r="M1236" s="1"/>
      <c r="P1236" s="19"/>
      <c r="Q1236" s="81"/>
      <c r="R1236" s="19"/>
      <c r="S1236" s="1"/>
      <c r="T1236" s="1"/>
    </row>
    <row r="1237" ht="12.75" customHeight="1">
      <c r="A1237" s="1"/>
      <c r="B1237" s="7"/>
      <c r="C1237" s="19"/>
      <c r="D1237" s="7"/>
      <c r="E1237" s="7"/>
      <c r="F1237" s="19"/>
      <c r="G1237" s="7"/>
      <c r="H1237" s="7"/>
      <c r="M1237" s="1"/>
      <c r="P1237" s="19"/>
      <c r="Q1237" s="81"/>
      <c r="R1237" s="19"/>
      <c r="S1237" s="1"/>
      <c r="T1237" s="1"/>
    </row>
    <row r="1238" ht="12.75" customHeight="1">
      <c r="A1238" s="1"/>
      <c r="B1238" s="7"/>
      <c r="C1238" s="19"/>
      <c r="D1238" s="7"/>
      <c r="E1238" s="7"/>
      <c r="F1238" s="19"/>
      <c r="G1238" s="7"/>
      <c r="H1238" s="7"/>
      <c r="M1238" s="1"/>
      <c r="P1238" s="19"/>
      <c r="Q1238" s="81"/>
      <c r="R1238" s="19"/>
      <c r="S1238" s="1"/>
      <c r="T1238" s="1"/>
    </row>
    <row r="1239" ht="12.75" customHeight="1">
      <c r="A1239" s="1"/>
      <c r="B1239" s="7"/>
      <c r="C1239" s="19"/>
      <c r="D1239" s="7"/>
      <c r="E1239" s="7"/>
      <c r="F1239" s="19"/>
      <c r="G1239" s="7"/>
      <c r="H1239" s="7"/>
      <c r="M1239" s="1"/>
      <c r="P1239" s="19"/>
      <c r="Q1239" s="81"/>
      <c r="R1239" s="19"/>
      <c r="S1239" s="1"/>
      <c r="T1239" s="1"/>
    </row>
    <row r="1240" ht="12.75" customHeight="1">
      <c r="A1240" s="1"/>
      <c r="B1240" s="7"/>
      <c r="C1240" s="19"/>
      <c r="D1240" s="7"/>
      <c r="E1240" s="7"/>
      <c r="F1240" s="19"/>
      <c r="G1240" s="7"/>
      <c r="H1240" s="7"/>
      <c r="M1240" s="1"/>
      <c r="P1240" s="19"/>
      <c r="Q1240" s="81"/>
      <c r="R1240" s="19"/>
      <c r="S1240" s="1"/>
      <c r="T1240" s="1"/>
    </row>
    <row r="1241" ht="12.75" customHeight="1">
      <c r="A1241" s="1"/>
      <c r="B1241" s="7"/>
      <c r="C1241" s="19"/>
      <c r="D1241" s="7"/>
      <c r="E1241" s="7"/>
      <c r="F1241" s="19"/>
      <c r="G1241" s="7"/>
      <c r="H1241" s="7"/>
      <c r="M1241" s="1"/>
      <c r="P1241" s="19"/>
      <c r="Q1241" s="81"/>
      <c r="R1241" s="19"/>
      <c r="S1241" s="1"/>
      <c r="T1241" s="1"/>
    </row>
    <row r="1242" ht="12.75" customHeight="1">
      <c r="A1242" s="1"/>
      <c r="B1242" s="7"/>
      <c r="C1242" s="19"/>
      <c r="D1242" s="7"/>
      <c r="E1242" s="7"/>
      <c r="F1242" s="19"/>
      <c r="G1242" s="7"/>
      <c r="H1242" s="7"/>
      <c r="M1242" s="1"/>
      <c r="P1242" s="19"/>
      <c r="Q1242" s="81"/>
      <c r="R1242" s="19"/>
      <c r="S1242" s="1"/>
      <c r="T1242" s="1"/>
    </row>
    <row r="1243" ht="12.75" customHeight="1">
      <c r="A1243" s="1"/>
      <c r="B1243" s="7"/>
      <c r="C1243" s="19"/>
      <c r="D1243" s="7"/>
      <c r="E1243" s="7"/>
      <c r="F1243" s="19"/>
      <c r="G1243" s="7"/>
      <c r="H1243" s="7"/>
      <c r="M1243" s="1"/>
      <c r="P1243" s="19"/>
      <c r="Q1243" s="81"/>
      <c r="R1243" s="19"/>
      <c r="S1243" s="1"/>
      <c r="T1243" s="1"/>
    </row>
    <row r="1244" ht="12.75" customHeight="1">
      <c r="A1244" s="1"/>
      <c r="B1244" s="7"/>
      <c r="C1244" s="19"/>
      <c r="D1244" s="7"/>
      <c r="E1244" s="7"/>
      <c r="F1244" s="19"/>
      <c r="G1244" s="7"/>
      <c r="H1244" s="7"/>
      <c r="M1244" s="1"/>
      <c r="P1244" s="19"/>
      <c r="Q1244" s="81"/>
      <c r="R1244" s="19"/>
      <c r="S1244" s="1"/>
      <c r="T1244" s="1"/>
    </row>
    <row r="1245" ht="12.75" customHeight="1">
      <c r="A1245" s="1"/>
      <c r="B1245" s="7"/>
      <c r="C1245" s="19"/>
      <c r="D1245" s="7"/>
      <c r="E1245" s="7"/>
      <c r="F1245" s="19"/>
      <c r="G1245" s="7"/>
      <c r="H1245" s="7"/>
      <c r="M1245" s="1"/>
      <c r="P1245" s="19"/>
      <c r="Q1245" s="81"/>
      <c r="R1245" s="19"/>
      <c r="S1245" s="1"/>
      <c r="T1245" s="1"/>
    </row>
    <row r="1246" ht="12.75" customHeight="1">
      <c r="A1246" s="1"/>
      <c r="B1246" s="7"/>
      <c r="C1246" s="19"/>
      <c r="D1246" s="7"/>
      <c r="E1246" s="7"/>
      <c r="F1246" s="19"/>
      <c r="G1246" s="7"/>
      <c r="H1246" s="7"/>
      <c r="M1246" s="1"/>
      <c r="P1246" s="19"/>
      <c r="Q1246" s="81"/>
      <c r="R1246" s="19"/>
      <c r="S1246" s="1"/>
      <c r="T1246" s="1"/>
    </row>
    <row r="1247" ht="12.75" customHeight="1">
      <c r="A1247" s="1"/>
      <c r="B1247" s="7"/>
      <c r="C1247" s="19"/>
      <c r="D1247" s="7"/>
      <c r="E1247" s="7"/>
      <c r="F1247" s="19"/>
      <c r="G1247" s="7"/>
      <c r="H1247" s="7"/>
      <c r="M1247" s="1"/>
      <c r="P1247" s="19"/>
      <c r="Q1247" s="81"/>
      <c r="R1247" s="19"/>
      <c r="S1247" s="1"/>
      <c r="T1247" s="1"/>
    </row>
    <row r="1248" ht="12.75" customHeight="1">
      <c r="A1248" s="1"/>
      <c r="B1248" s="7"/>
      <c r="C1248" s="19"/>
      <c r="D1248" s="7"/>
      <c r="E1248" s="7"/>
      <c r="F1248" s="19"/>
      <c r="G1248" s="7"/>
      <c r="H1248" s="7"/>
      <c r="M1248" s="1"/>
      <c r="P1248" s="19"/>
      <c r="Q1248" s="81"/>
      <c r="R1248" s="19"/>
      <c r="S1248" s="1"/>
      <c r="T1248" s="1"/>
    </row>
    <row r="1249" ht="12.75" customHeight="1">
      <c r="A1249" s="1"/>
      <c r="B1249" s="7"/>
      <c r="C1249" s="19"/>
      <c r="D1249" s="7"/>
      <c r="E1249" s="7"/>
      <c r="F1249" s="19"/>
      <c r="G1249" s="7"/>
      <c r="H1249" s="7"/>
      <c r="M1249" s="1"/>
      <c r="P1249" s="19"/>
      <c r="Q1249" s="81"/>
      <c r="R1249" s="19"/>
      <c r="S1249" s="1"/>
      <c r="T1249" s="1"/>
    </row>
    <row r="1250" ht="12.75" customHeight="1">
      <c r="A1250" s="1"/>
      <c r="B1250" s="7"/>
      <c r="C1250" s="19"/>
      <c r="D1250" s="7"/>
      <c r="E1250" s="7"/>
      <c r="F1250" s="19"/>
      <c r="G1250" s="7"/>
      <c r="H1250" s="7"/>
      <c r="M1250" s="1"/>
      <c r="P1250" s="19"/>
      <c r="Q1250" s="81"/>
      <c r="R1250" s="19"/>
      <c r="S1250" s="1"/>
      <c r="T1250" s="1"/>
    </row>
    <row r="1251" ht="12.75" customHeight="1">
      <c r="A1251" s="1"/>
      <c r="B1251" s="7"/>
      <c r="C1251" s="19"/>
      <c r="D1251" s="7"/>
      <c r="E1251" s="7"/>
      <c r="F1251" s="19"/>
      <c r="G1251" s="7"/>
      <c r="H1251" s="7"/>
      <c r="M1251" s="1"/>
      <c r="P1251" s="19"/>
      <c r="Q1251" s="81"/>
      <c r="R1251" s="19"/>
      <c r="S1251" s="1"/>
      <c r="T1251" s="1"/>
    </row>
    <row r="1252" ht="12.75" customHeight="1">
      <c r="A1252" s="1"/>
      <c r="B1252" s="7"/>
      <c r="C1252" s="19"/>
      <c r="D1252" s="7"/>
      <c r="E1252" s="7"/>
      <c r="F1252" s="19"/>
      <c r="G1252" s="7"/>
      <c r="H1252" s="7"/>
      <c r="M1252" s="1"/>
      <c r="P1252" s="19"/>
      <c r="Q1252" s="81"/>
      <c r="R1252" s="19"/>
      <c r="S1252" s="1"/>
      <c r="T1252" s="1"/>
    </row>
    <row r="1253" ht="12.75" customHeight="1">
      <c r="A1253" s="1"/>
      <c r="B1253" s="7"/>
      <c r="C1253" s="19"/>
      <c r="D1253" s="7"/>
      <c r="E1253" s="7"/>
      <c r="F1253" s="19"/>
      <c r="G1253" s="7"/>
      <c r="H1253" s="7"/>
      <c r="M1253" s="1"/>
      <c r="P1253" s="19"/>
      <c r="Q1253" s="81"/>
      <c r="R1253" s="19"/>
      <c r="S1253" s="1"/>
      <c r="T1253" s="1"/>
    </row>
    <row r="1254" ht="12.75" customHeight="1">
      <c r="A1254" s="1"/>
      <c r="B1254" s="7"/>
      <c r="C1254" s="19"/>
      <c r="D1254" s="7"/>
      <c r="E1254" s="7"/>
      <c r="F1254" s="19"/>
      <c r="G1254" s="7"/>
      <c r="H1254" s="7"/>
      <c r="M1254" s="1"/>
      <c r="P1254" s="19"/>
      <c r="Q1254" s="81"/>
      <c r="R1254" s="19"/>
      <c r="S1254" s="1"/>
      <c r="T1254" s="1"/>
    </row>
    <row r="1255" ht="12.75" customHeight="1">
      <c r="A1255" s="1"/>
      <c r="B1255" s="7"/>
      <c r="C1255" s="19"/>
      <c r="D1255" s="7"/>
      <c r="E1255" s="7"/>
      <c r="F1255" s="19"/>
      <c r="G1255" s="7"/>
      <c r="H1255" s="7"/>
      <c r="M1255" s="1"/>
      <c r="P1255" s="19"/>
      <c r="Q1255" s="81"/>
      <c r="R1255" s="19"/>
      <c r="S1255" s="1"/>
      <c r="T1255" s="1"/>
    </row>
    <row r="1256" ht="12.75" customHeight="1">
      <c r="A1256" s="1"/>
      <c r="B1256" s="7"/>
      <c r="C1256" s="19"/>
      <c r="D1256" s="7"/>
      <c r="E1256" s="7"/>
      <c r="F1256" s="19"/>
      <c r="G1256" s="7"/>
      <c r="H1256" s="7"/>
      <c r="M1256" s="1"/>
      <c r="P1256" s="19"/>
      <c r="Q1256" s="81"/>
      <c r="R1256" s="19"/>
      <c r="S1256" s="1"/>
      <c r="T1256" s="1"/>
    </row>
    <row r="1257" ht="12.75" customHeight="1">
      <c r="A1257" s="1"/>
      <c r="B1257" s="7"/>
      <c r="C1257" s="19"/>
      <c r="D1257" s="7"/>
      <c r="E1257" s="7"/>
      <c r="F1257" s="19"/>
      <c r="G1257" s="7"/>
      <c r="H1257" s="7"/>
      <c r="M1257" s="1"/>
      <c r="P1257" s="19"/>
      <c r="Q1257" s="81"/>
      <c r="R1257" s="19"/>
      <c r="S1257" s="1"/>
      <c r="T1257" s="1"/>
    </row>
    <row r="1258" ht="12.75" customHeight="1">
      <c r="A1258" s="1"/>
      <c r="B1258" s="7"/>
      <c r="C1258" s="19"/>
      <c r="D1258" s="7"/>
      <c r="E1258" s="7"/>
      <c r="F1258" s="19"/>
      <c r="G1258" s="7"/>
      <c r="H1258" s="7"/>
      <c r="M1258" s="1"/>
      <c r="P1258" s="19"/>
      <c r="Q1258" s="81"/>
      <c r="R1258" s="19"/>
      <c r="S1258" s="1"/>
      <c r="T1258" s="1"/>
    </row>
    <row r="1259" ht="12.75" customHeight="1">
      <c r="A1259" s="1"/>
      <c r="B1259" s="7"/>
      <c r="C1259" s="19"/>
      <c r="D1259" s="7"/>
      <c r="E1259" s="7"/>
      <c r="F1259" s="19"/>
      <c r="G1259" s="7"/>
      <c r="H1259" s="7"/>
      <c r="M1259" s="1"/>
      <c r="P1259" s="19"/>
      <c r="Q1259" s="81"/>
      <c r="R1259" s="19"/>
      <c r="S1259" s="1"/>
      <c r="T1259" s="1"/>
    </row>
    <row r="1260" ht="12.75" customHeight="1">
      <c r="A1260" s="1"/>
      <c r="B1260" s="7"/>
      <c r="C1260" s="19"/>
      <c r="D1260" s="7"/>
      <c r="E1260" s="7"/>
      <c r="F1260" s="19"/>
      <c r="G1260" s="7"/>
      <c r="H1260" s="7"/>
      <c r="M1260" s="1"/>
      <c r="P1260" s="19"/>
      <c r="Q1260" s="81"/>
      <c r="R1260" s="19"/>
      <c r="S1260" s="1"/>
      <c r="T1260" s="1"/>
    </row>
    <row r="1261" ht="12.75" customHeight="1">
      <c r="A1261" s="1"/>
      <c r="B1261" s="7"/>
      <c r="C1261" s="19"/>
      <c r="D1261" s="7"/>
      <c r="E1261" s="7"/>
      <c r="F1261" s="19"/>
      <c r="G1261" s="7"/>
      <c r="H1261" s="7"/>
      <c r="M1261" s="1"/>
      <c r="P1261" s="19"/>
      <c r="Q1261" s="81"/>
      <c r="R1261" s="19"/>
      <c r="S1261" s="1"/>
      <c r="T1261" s="1"/>
    </row>
    <row r="1262" ht="12.75" customHeight="1">
      <c r="A1262" s="1"/>
      <c r="B1262" s="7"/>
      <c r="C1262" s="19"/>
      <c r="D1262" s="7"/>
      <c r="E1262" s="7"/>
      <c r="F1262" s="19"/>
      <c r="G1262" s="7"/>
      <c r="H1262" s="7"/>
      <c r="M1262" s="1"/>
      <c r="P1262" s="19"/>
      <c r="Q1262" s="81"/>
      <c r="R1262" s="19"/>
      <c r="S1262" s="1"/>
      <c r="T1262" s="1"/>
    </row>
  </sheetData>
  <mergeCells count="4">
    <mergeCell ref="F2:G2"/>
    <mergeCell ref="F3:G3"/>
    <mergeCell ref="H2:I2"/>
    <mergeCell ref="H3:I3"/>
  </mergeCells>
  <conditionalFormatting sqref="K80">
    <cfRule type="cellIs" dxfId="0" priority="1" stopIfTrue="1" operator="lessThan">
      <formula>0</formula>
    </cfRule>
  </conditionalFormatting>
  <conditionalFormatting sqref="K80">
    <cfRule type="cellIs" dxfId="1" priority="2" stopIfTrue="1" operator="greaterThan">
      <formula>0</formula>
    </cfRule>
  </conditionalFormatting>
  <conditionalFormatting sqref="N80">
    <cfRule type="cellIs" dxfId="0" priority="3" stopIfTrue="1" operator="lessThan">
      <formula>0</formula>
    </cfRule>
  </conditionalFormatting>
  <conditionalFormatting sqref="N80">
    <cfRule type="cellIs" dxfId="1" priority="4" stopIfTrue="1" operator="greaterThan">
      <formula>0</formula>
    </cfRule>
  </conditionalFormatting>
  <conditionalFormatting sqref="H81">
    <cfRule type="cellIs" dxfId="0" priority="5" stopIfTrue="1" operator="lessThan">
      <formula>0</formula>
    </cfRule>
  </conditionalFormatting>
  <conditionalFormatting sqref="H81">
    <cfRule type="cellIs" dxfId="1" priority="6" stopIfTrue="1" operator="greaterThan">
      <formula>0</formula>
    </cfRule>
  </conditionalFormatting>
  <conditionalFormatting sqref="K81">
    <cfRule type="cellIs" dxfId="0" priority="7" stopIfTrue="1" operator="lessThan">
      <formula>0</formula>
    </cfRule>
  </conditionalFormatting>
  <conditionalFormatting sqref="K81">
    <cfRule type="cellIs" dxfId="1" priority="8" stopIfTrue="1" operator="greaterThan">
      <formula>0</formula>
    </cfRule>
  </conditionalFormatting>
  <conditionalFormatting sqref="N81">
    <cfRule type="cellIs" dxfId="0" priority="9" stopIfTrue="1" operator="lessThan">
      <formula>0</formula>
    </cfRule>
  </conditionalFormatting>
  <conditionalFormatting sqref="N81">
    <cfRule type="cellIs" dxfId="1" priority="10" stopIfTrue="1" operator="greaterThan">
      <formula>0</formula>
    </cfRule>
  </conditionalFormatting>
  <conditionalFormatting sqref="H86">
    <cfRule type="cellIs" dxfId="0" priority="11" stopIfTrue="1" operator="lessThan">
      <formula>0</formula>
    </cfRule>
  </conditionalFormatting>
  <conditionalFormatting sqref="H86">
    <cfRule type="cellIs" dxfId="1" priority="12" stopIfTrue="1" operator="greaterThan">
      <formula>0</formula>
    </cfRule>
  </conditionalFormatting>
  <conditionalFormatting sqref="K86">
    <cfRule type="cellIs" dxfId="0" priority="13" stopIfTrue="1" operator="lessThan">
      <formula>0</formula>
    </cfRule>
  </conditionalFormatting>
  <conditionalFormatting sqref="K86">
    <cfRule type="cellIs" dxfId="1" priority="14" stopIfTrue="1" operator="greaterThan">
      <formula>0</formula>
    </cfRule>
  </conditionalFormatting>
  <conditionalFormatting sqref="N86">
    <cfRule type="cellIs" dxfId="0" priority="15" stopIfTrue="1" operator="lessThan">
      <formula>0</formula>
    </cfRule>
  </conditionalFormatting>
  <conditionalFormatting sqref="N86">
    <cfRule type="cellIs" dxfId="1" priority="16" stopIfTrue="1" operator="greaterThan">
      <formula>0</formula>
    </cfRule>
  </conditionalFormatting>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7.29" defaultRowHeight="15.75"/>
  <cols>
    <col customWidth="1" min="1" max="1" width="2.71"/>
    <col customWidth="1" min="2" max="2" width="10.71"/>
    <col customWidth="1" min="3" max="3" width="2.71"/>
    <col customWidth="1" min="4" max="4" width="30.71"/>
    <col customWidth="1" min="5" max="5" width="2.71"/>
    <col customWidth="1" min="6" max="6" width="76.86"/>
    <col customWidth="1" min="7" max="7" width="2.71"/>
    <col customWidth="1" min="8" max="8" width="54.29"/>
    <col customWidth="1" min="9" max="9" width="2.71"/>
    <col customWidth="1" min="10" max="10" width="80.86"/>
    <col customWidth="1" min="11" max="11" width="2.71"/>
    <col customWidth="1" min="12" max="12" width="53.43"/>
    <col customWidth="1" min="13" max="13" width="2.71"/>
    <col customWidth="1" min="14" max="14" width="30.57"/>
    <col customWidth="1" min="15" max="15" width="2.71"/>
    <col customWidth="1" min="16" max="16" width="30.71"/>
    <col customWidth="1" min="17" max="17" width="2.71"/>
    <col customWidth="1" min="18" max="18" width="30.71"/>
    <col customWidth="1" min="19" max="19" width="2.71"/>
    <col customWidth="1" min="20" max="20" width="30.71"/>
    <col customWidth="1" min="21" max="21" width="2.71"/>
    <col customWidth="1" min="22" max="22" width="30.71"/>
    <col customWidth="1" min="23" max="23" width="2.71"/>
    <col customWidth="1" min="24" max="24" width="30.71"/>
    <col customWidth="1" min="25" max="25" width="2.71"/>
    <col customWidth="1" min="26" max="26" width="30.71"/>
  </cols>
  <sheetData>
    <row r="1" ht="12.75" customHeight="1">
      <c r="A1" s="1"/>
      <c r="B1" s="2" t="s">
        <v>0</v>
      </c>
      <c r="C1" s="3"/>
      <c r="D1" s="4" t="s">
        <v>1</v>
      </c>
      <c r="E1" s="3"/>
      <c r="F1" s="5" t="s">
        <v>2</v>
      </c>
      <c r="G1" s="1"/>
      <c r="H1" s="1"/>
      <c r="I1" s="1"/>
      <c r="J1" s="1"/>
      <c r="K1" s="1"/>
      <c r="L1" s="1"/>
      <c r="M1" s="1"/>
      <c r="N1" s="1"/>
      <c r="O1" s="1"/>
      <c r="P1" s="1"/>
      <c r="Q1" s="1"/>
      <c r="R1" s="1"/>
      <c r="S1" s="1"/>
      <c r="T1" s="1"/>
      <c r="U1" s="1"/>
      <c r="V1" s="1"/>
      <c r="W1" s="1"/>
      <c r="X1" s="1"/>
      <c r="Y1" s="1"/>
      <c r="Z1" s="1"/>
    </row>
    <row r="2" ht="12.75" customHeight="1">
      <c r="A2" s="7"/>
      <c r="B2" s="9" t="s">
        <v>5</v>
      </c>
      <c r="C2" s="11"/>
      <c r="D2" s="7"/>
      <c r="E2" s="11"/>
      <c r="F2" s="9"/>
      <c r="G2" s="7"/>
      <c r="H2" s="7"/>
      <c r="I2" s="7"/>
      <c r="J2" s="7"/>
      <c r="K2" s="7"/>
      <c r="L2" s="7"/>
      <c r="M2" s="7"/>
      <c r="N2" s="7"/>
      <c r="O2" s="7"/>
      <c r="P2" s="7"/>
      <c r="Q2" s="7"/>
      <c r="R2" s="7"/>
      <c r="S2" s="7"/>
      <c r="T2" s="7"/>
      <c r="U2" s="7"/>
      <c r="V2" s="7"/>
      <c r="W2" s="7"/>
      <c r="X2" s="7"/>
      <c r="Y2" s="7"/>
      <c r="Z2" s="7"/>
    </row>
    <row r="3" ht="12.75" customHeight="1">
      <c r="A3" s="7"/>
      <c r="B3" s="13" t="s">
        <v>14</v>
      </c>
      <c r="C3" s="14"/>
      <c r="D3" s="16" t="s">
        <v>17</v>
      </c>
      <c r="E3" s="14"/>
      <c r="F3" s="18" t="s">
        <v>21</v>
      </c>
      <c r="G3" s="1"/>
      <c r="H3" s="18" t="s">
        <v>22</v>
      </c>
      <c r="I3" s="20"/>
      <c r="J3" s="22" t="s">
        <v>23</v>
      </c>
      <c r="K3" s="1"/>
      <c r="L3" s="22" t="s">
        <v>24</v>
      </c>
      <c r="M3" s="1"/>
      <c r="N3" s="23" t="s">
        <v>25</v>
      </c>
      <c r="O3" s="24"/>
      <c r="P3" s="22" t="s">
        <v>26</v>
      </c>
      <c r="Q3" s="1"/>
      <c r="R3" s="25" t="s">
        <v>27</v>
      </c>
      <c r="S3" s="20"/>
      <c r="T3" s="25" t="s">
        <v>29</v>
      </c>
      <c r="U3" s="1"/>
      <c r="V3" s="25" t="s">
        <v>30</v>
      </c>
      <c r="W3" s="1"/>
      <c r="X3" s="1" t="s">
        <v>31</v>
      </c>
      <c r="Y3" s="1"/>
      <c r="Z3" s="1" t="s">
        <v>32</v>
      </c>
    </row>
    <row r="4" ht="12.75" customHeight="1">
      <c r="A4" s="7"/>
      <c r="B4" s="20"/>
      <c r="C4" s="26"/>
      <c r="D4" s="1" t="s">
        <v>33</v>
      </c>
      <c r="E4" s="26"/>
      <c r="F4" s="27" t="s">
        <v>34</v>
      </c>
      <c r="G4" s="1"/>
      <c r="H4" s="27" t="s">
        <v>35</v>
      </c>
      <c r="I4" s="1"/>
      <c r="J4" s="28" t="s">
        <v>36</v>
      </c>
      <c r="K4" s="1"/>
      <c r="L4" s="28" t="s">
        <v>35</v>
      </c>
      <c r="M4" s="1"/>
      <c r="N4" s="29" t="s">
        <v>38</v>
      </c>
      <c r="O4" s="30"/>
      <c r="P4" s="31" t="s">
        <v>39</v>
      </c>
      <c r="Q4" s="1"/>
      <c r="R4" s="28" t="s">
        <v>40</v>
      </c>
      <c r="S4" s="1"/>
      <c r="T4" s="28" t="s">
        <v>41</v>
      </c>
      <c r="U4" s="1"/>
      <c r="V4" s="28" t="s">
        <v>42</v>
      </c>
      <c r="W4" s="1"/>
      <c r="X4" s="1"/>
      <c r="Y4" s="1"/>
      <c r="Z4" s="1"/>
    </row>
    <row r="5" ht="12.75" customHeight="1">
      <c r="A5" s="7"/>
      <c r="B5" s="20"/>
      <c r="C5" s="26"/>
      <c r="D5" s="1" t="s">
        <v>43</v>
      </c>
      <c r="E5" s="26"/>
      <c r="F5" s="1"/>
      <c r="G5" s="1"/>
      <c r="H5" s="1"/>
      <c r="I5" s="1"/>
      <c r="J5" s="1"/>
      <c r="K5" s="1"/>
      <c r="L5" s="1"/>
      <c r="M5" s="1"/>
      <c r="N5" s="1"/>
      <c r="O5" s="1"/>
      <c r="P5" s="32" t="s">
        <v>44</v>
      </c>
      <c r="Q5" s="1"/>
      <c r="R5" s="1"/>
      <c r="S5" s="1"/>
      <c r="T5" s="1"/>
      <c r="U5" s="1"/>
      <c r="V5" s="1"/>
      <c r="W5" s="1"/>
      <c r="X5" s="1"/>
      <c r="Y5" s="1"/>
      <c r="Z5" s="1"/>
    </row>
    <row r="6" ht="12.75" customHeight="1">
      <c r="A6" s="7"/>
      <c r="B6" s="20"/>
      <c r="C6" s="26"/>
      <c r="D6" s="1" t="s">
        <v>46</v>
      </c>
      <c r="E6" s="26"/>
      <c r="F6" s="1"/>
      <c r="G6" s="1"/>
      <c r="H6" s="1"/>
      <c r="I6" s="1"/>
      <c r="J6" s="1"/>
      <c r="K6" s="1"/>
      <c r="L6" s="1"/>
      <c r="M6" s="1"/>
      <c r="N6" s="1"/>
      <c r="O6" s="1"/>
      <c r="P6" s="32" t="s">
        <v>47</v>
      </c>
      <c r="Q6" s="1"/>
      <c r="R6" s="1"/>
      <c r="S6" s="1"/>
      <c r="T6" s="1"/>
      <c r="U6" s="1"/>
      <c r="V6" s="1"/>
      <c r="W6" s="1"/>
      <c r="X6" s="1"/>
      <c r="Y6" s="1"/>
      <c r="Z6" s="1"/>
    </row>
    <row r="7" ht="12.75" customHeight="1">
      <c r="A7" s="7"/>
      <c r="B7" s="20"/>
      <c r="C7" s="26"/>
      <c r="D7" s="33" t="s">
        <v>48</v>
      </c>
      <c r="E7" s="26"/>
      <c r="F7" s="32"/>
      <c r="G7" s="1"/>
      <c r="H7" s="1"/>
      <c r="I7" s="1"/>
      <c r="J7" s="33"/>
      <c r="K7" s="1"/>
      <c r="L7" s="1"/>
      <c r="M7" s="1"/>
      <c r="N7" s="1"/>
      <c r="O7" s="1"/>
      <c r="P7" s="1"/>
      <c r="Q7" s="1"/>
      <c r="R7" s="1"/>
      <c r="S7" s="1"/>
      <c r="T7" s="1"/>
      <c r="U7" s="1"/>
      <c r="V7" s="1"/>
      <c r="W7" s="1"/>
      <c r="X7" s="1"/>
      <c r="Y7" s="1"/>
      <c r="Z7" s="1"/>
    </row>
    <row r="8" ht="12.75" customHeight="1">
      <c r="A8" s="7"/>
      <c r="B8" s="20"/>
      <c r="C8" s="26"/>
      <c r="D8" s="1"/>
      <c r="E8" s="26"/>
      <c r="F8" s="34" t="str">
        <f>Buys!I2</f>
        <v>See valuation tab</v>
      </c>
      <c r="G8" s="1"/>
      <c r="H8" s="1"/>
      <c r="I8" s="1"/>
      <c r="J8" s="33"/>
      <c r="K8" s="1"/>
      <c r="L8" s="1"/>
      <c r="M8" s="1"/>
      <c r="N8" s="1"/>
      <c r="O8" s="1"/>
      <c r="P8" s="1"/>
      <c r="Q8" s="1"/>
      <c r="R8" s="1"/>
      <c r="S8" s="1"/>
      <c r="T8" s="1"/>
      <c r="U8" s="1"/>
      <c r="V8" s="1"/>
      <c r="W8" s="1"/>
      <c r="X8" s="1"/>
      <c r="Y8" s="1"/>
      <c r="Z8" s="1"/>
    </row>
    <row r="9" ht="12.75" customHeight="1">
      <c r="A9" s="7"/>
      <c r="B9" s="13" t="s">
        <v>49</v>
      </c>
      <c r="C9" s="14"/>
      <c r="D9" s="35" t="s">
        <v>50</v>
      </c>
      <c r="E9" s="14"/>
      <c r="F9" s="36" t="s">
        <v>51</v>
      </c>
      <c r="G9" s="1"/>
      <c r="H9" s="38" t="s">
        <v>52</v>
      </c>
      <c r="I9" s="1"/>
      <c r="J9" s="38" t="s">
        <v>53</v>
      </c>
      <c r="K9" s="1"/>
      <c r="L9" s="38" t="str">
        <f>H9</f>
        <v>Add on to Medium Term Investing</v>
      </c>
      <c r="M9" s="1"/>
      <c r="N9" s="39" t="s">
        <v>54</v>
      </c>
      <c r="O9" s="40"/>
      <c r="P9" s="41" t="s">
        <v>55</v>
      </c>
      <c r="Q9" s="1"/>
      <c r="R9" s="36" t="s">
        <v>56</v>
      </c>
      <c r="S9" s="1"/>
      <c r="T9" s="1"/>
      <c r="U9" s="1"/>
      <c r="V9" s="1"/>
      <c r="W9" s="1"/>
      <c r="X9" s="1"/>
      <c r="Y9" s="1"/>
      <c r="Z9" s="1"/>
    </row>
    <row r="10" ht="12.75" customHeight="1">
      <c r="A10" s="7"/>
      <c r="B10" s="7"/>
      <c r="C10" s="11"/>
      <c r="D10" s="1"/>
      <c r="E10" s="1"/>
      <c r="F10" s="42" t="s">
        <v>57</v>
      </c>
      <c r="G10" s="1"/>
      <c r="H10" s="43" t="s">
        <v>58</v>
      </c>
      <c r="I10" s="1"/>
      <c r="J10" s="43" t="s">
        <v>59</v>
      </c>
      <c r="K10" s="1"/>
      <c r="L10" s="43" t="s">
        <v>60</v>
      </c>
      <c r="M10" s="1"/>
      <c r="N10" s="44" t="str">
        <f>Port!F3</f>
        <v>AAII Retail/Insti sentiment/ICI flows contrary</v>
      </c>
      <c r="O10" s="24"/>
      <c r="P10" s="45" t="s">
        <v>61</v>
      </c>
      <c r="Q10" s="1"/>
      <c r="R10" s="45" t="s">
        <v>62</v>
      </c>
      <c r="S10" s="1"/>
      <c r="T10" s="1"/>
      <c r="U10" s="1"/>
      <c r="V10" s="1"/>
      <c r="W10" s="1"/>
      <c r="X10" s="1"/>
      <c r="Y10" s="1"/>
      <c r="Z10" s="1"/>
    </row>
    <row r="11" ht="12.75" customHeight="1">
      <c r="A11" s="7"/>
      <c r="B11" s="20"/>
      <c r="C11" s="26"/>
      <c r="D11" s="1"/>
      <c r="E11" s="1"/>
      <c r="F11" s="43" t="s">
        <v>63</v>
      </c>
      <c r="G11" s="1"/>
      <c r="H11" s="46" t="s">
        <v>64</v>
      </c>
      <c r="I11" s="1"/>
      <c r="J11" s="42" t="s">
        <v>65</v>
      </c>
      <c r="K11" s="1"/>
      <c r="L11" s="42" t="str">
        <f t="shared" ref="L11:L15" si="1">H11</f>
        <v>Use max risk &amp; pos limits to not add beyond</v>
      </c>
      <c r="M11" s="1"/>
      <c r="N11" s="44" t="str">
        <f>Port!F4</f>
        <v>News sentiment contrary</v>
      </c>
      <c r="O11" s="24"/>
      <c r="P11" s="45" t="s">
        <v>66</v>
      </c>
      <c r="Q11" s="1"/>
      <c r="R11" s="45" t="s">
        <v>67</v>
      </c>
      <c r="S11" s="1"/>
      <c r="T11" s="1"/>
      <c r="U11" s="1"/>
      <c r="V11" s="1"/>
      <c r="W11" s="1"/>
      <c r="X11" s="1"/>
      <c r="Y11" s="1"/>
      <c r="Z11" s="1"/>
    </row>
    <row r="12" ht="12.75" customHeight="1">
      <c r="A12" s="7"/>
      <c r="B12" s="47" t="s">
        <v>68</v>
      </c>
      <c r="C12" s="26"/>
      <c r="D12" s="1"/>
      <c r="E12" s="1"/>
      <c r="F12" s="43" t="s">
        <v>69</v>
      </c>
      <c r="G12" s="1"/>
      <c r="H12" s="46" t="s">
        <v>70</v>
      </c>
      <c r="I12" s="1"/>
      <c r="J12" s="46" t="s">
        <v>71</v>
      </c>
      <c r="K12" s="1"/>
      <c r="L12" s="42" t="str">
        <f t="shared" si="1"/>
        <v>Scale out after big moves</v>
      </c>
      <c r="M12" s="1"/>
      <c r="N12" s="44" t="str">
        <f>Port!F5</f>
        <v>Lt valuation contrary (norm p/e vs rates)</v>
      </c>
      <c r="O12" s="24"/>
      <c r="P12" s="45" t="s">
        <v>72</v>
      </c>
      <c r="Q12" s="1"/>
      <c r="R12" s="48"/>
      <c r="S12" s="1"/>
      <c r="T12" s="1"/>
      <c r="U12" s="1"/>
      <c r="V12" s="1"/>
      <c r="W12" s="1"/>
      <c r="X12" s="1"/>
      <c r="Y12" s="1"/>
      <c r="Z12" s="1"/>
    </row>
    <row r="13" ht="12.75" customHeight="1">
      <c r="A13" s="7"/>
      <c r="B13" s="49" t="s">
        <v>73</v>
      </c>
      <c r="C13" s="26"/>
      <c r="D13" s="1"/>
      <c r="E13" s="7"/>
      <c r="F13" s="42" t="s">
        <v>74</v>
      </c>
      <c r="G13" s="1"/>
      <c r="H13" s="42" t="s">
        <v>75</v>
      </c>
      <c r="I13" s="1"/>
      <c r="J13" s="46" t="s">
        <v>76</v>
      </c>
      <c r="K13" s="1"/>
      <c r="L13" s="43" t="str">
        <f t="shared" si="1"/>
        <v>&gt;1:1 reward to risk given tgt/stops</v>
      </c>
      <c r="M13" s="1"/>
      <c r="N13" s="44" t="str">
        <f>Port!F6</f>
        <v>1 yr/6mth oversold/trend-ma-brdth-relastreng</v>
      </c>
      <c r="O13" s="24"/>
      <c r="P13" s="45" t="s">
        <v>77</v>
      </c>
      <c r="Q13" s="1"/>
      <c r="R13" s="45" t="s">
        <v>78</v>
      </c>
      <c r="S13" s="1"/>
      <c r="T13" s="1"/>
      <c r="U13" s="1"/>
      <c r="V13" s="1"/>
      <c r="W13" s="1"/>
      <c r="X13" s="1"/>
      <c r="Y13" s="1"/>
      <c r="Z13" s="1"/>
    </row>
    <row r="14" ht="12.75" customHeight="1">
      <c r="A14" s="7"/>
      <c r="B14" s="1" t="s">
        <v>79</v>
      </c>
      <c r="C14" s="11"/>
      <c r="D14" s="1"/>
      <c r="E14" s="1"/>
      <c r="F14" s="43" t="s">
        <v>80</v>
      </c>
      <c r="G14" s="1"/>
      <c r="H14" s="42" t="s">
        <v>81</v>
      </c>
      <c r="I14" s="1"/>
      <c r="J14" s="50" t="s">
        <v>82</v>
      </c>
      <c r="K14" s="1"/>
      <c r="L14" s="42" t="str">
        <f t="shared" si="1"/>
        <v>MOSTLY EOD decisions</v>
      </c>
      <c r="M14" s="1"/>
      <c r="N14" s="24"/>
      <c r="O14" s="24"/>
      <c r="P14" s="48"/>
      <c r="Q14" s="1"/>
      <c r="R14" s="48"/>
      <c r="S14" s="1"/>
      <c r="T14" s="1"/>
      <c r="U14" s="1"/>
      <c r="V14" s="1"/>
      <c r="W14" s="1"/>
      <c r="X14" s="1"/>
      <c r="Y14" s="1"/>
      <c r="Z14" s="1"/>
    </row>
    <row r="15" ht="12.75" customHeight="1">
      <c r="A15" s="7"/>
      <c r="B15" s="7" t="s">
        <v>83</v>
      </c>
      <c r="C15" s="14"/>
      <c r="D15" s="1"/>
      <c r="E15" s="1"/>
      <c r="F15" s="51" t="str">
        <f t="shared" ref="F15:F16" si="2">H19</f>
        <v>Action times:</v>
      </c>
      <c r="G15" s="1"/>
      <c r="H15" s="43" t="s">
        <v>84</v>
      </c>
      <c r="I15" s="1"/>
      <c r="J15" s="50" t="s">
        <v>85</v>
      </c>
      <c r="K15" s="1"/>
      <c r="L15" s="43" t="str">
        <f t="shared" si="1"/>
        <v>Quick exit if over limits</v>
      </c>
      <c r="M15" s="1"/>
      <c r="N15" s="44" t="s">
        <v>86</v>
      </c>
      <c r="O15" s="24"/>
      <c r="P15" s="41" t="s">
        <v>87</v>
      </c>
      <c r="Q15" s="1"/>
      <c r="R15" s="45" t="s">
        <v>88</v>
      </c>
      <c r="S15" s="1"/>
      <c r="T15" s="1"/>
      <c r="U15" s="1"/>
      <c r="V15" s="1"/>
      <c r="W15" s="1"/>
      <c r="X15" s="1"/>
      <c r="Y15" s="1"/>
      <c r="Z15" s="1"/>
    </row>
    <row r="16" ht="12.75" customHeight="1">
      <c r="A16" s="7"/>
      <c r="B16" s="7" t="s">
        <v>89</v>
      </c>
      <c r="C16" s="11"/>
      <c r="D16" s="1"/>
      <c r="E16" s="1"/>
      <c r="F16" s="51" t="str">
        <f t="shared" si="2"/>
        <v> &gt;10:30am to noon, &gt;2:30pm to 4pm</v>
      </c>
      <c r="G16" s="1"/>
      <c r="H16" s="48" t="s">
        <v>90</v>
      </c>
      <c r="I16" s="1"/>
      <c r="J16" s="42" t="s">
        <v>91</v>
      </c>
      <c r="K16" s="1"/>
      <c r="L16" s="48"/>
      <c r="M16" s="1"/>
      <c r="N16" s="44" t="s">
        <v>92</v>
      </c>
      <c r="O16" s="24"/>
      <c r="P16" s="45" t="s">
        <v>93</v>
      </c>
      <c r="Q16" s="1"/>
      <c r="R16" s="48"/>
      <c r="S16" s="1"/>
      <c r="T16" s="1"/>
      <c r="U16" s="1"/>
      <c r="V16" s="1"/>
      <c r="W16" s="1"/>
      <c r="X16" s="1"/>
      <c r="Y16" s="1"/>
      <c r="Z16" s="1"/>
    </row>
    <row r="17" ht="12.75" customHeight="1">
      <c r="A17" s="7"/>
      <c r="B17" s="35" t="s">
        <v>94</v>
      </c>
      <c r="C17" s="11"/>
      <c r="D17" s="1"/>
      <c r="E17" s="1"/>
      <c r="G17" s="1"/>
      <c r="H17" s="48" t="s">
        <v>95</v>
      </c>
      <c r="I17" s="1"/>
      <c r="J17" s="50" t="s">
        <v>96</v>
      </c>
      <c r="K17" s="1"/>
      <c r="L17" s="48" t="s">
        <v>90</v>
      </c>
      <c r="M17" s="1"/>
      <c r="N17" s="52" t="s">
        <v>97</v>
      </c>
      <c r="O17" s="1"/>
      <c r="P17" s="45" t="s">
        <v>98</v>
      </c>
      <c r="Q17" s="1"/>
      <c r="R17" s="1"/>
      <c r="S17" s="1"/>
      <c r="T17" s="1"/>
      <c r="U17" s="1"/>
      <c r="V17" s="1"/>
      <c r="W17" s="1"/>
      <c r="X17" s="1"/>
      <c r="Y17" s="1"/>
      <c r="Z17" s="1"/>
    </row>
    <row r="18" ht="12.75" customHeight="1">
      <c r="A18" s="7"/>
      <c r="B18" s="7" t="s">
        <v>100</v>
      </c>
      <c r="C18" s="26"/>
      <c r="D18" s="1"/>
      <c r="E18" s="26"/>
      <c r="F18" s="53" t="s">
        <v>101</v>
      </c>
      <c r="G18" s="1"/>
      <c r="H18" s="1"/>
      <c r="I18" s="1"/>
      <c r="J18" s="54" t="s">
        <v>102</v>
      </c>
      <c r="K18" s="1"/>
      <c r="L18" s="48" t="s">
        <v>103</v>
      </c>
      <c r="M18" s="1"/>
      <c r="N18" s="1"/>
      <c r="O18" s="1"/>
      <c r="P18" s="45"/>
      <c r="Q18" s="1"/>
      <c r="R18" s="55" t="s">
        <v>104</v>
      </c>
      <c r="S18" s="1"/>
      <c r="T18" s="1"/>
      <c r="U18" s="1"/>
      <c r="V18" s="1"/>
      <c r="W18" s="1"/>
      <c r="X18" s="1"/>
      <c r="Y18" s="1"/>
      <c r="Z18" s="1"/>
    </row>
    <row r="19" ht="12.75" customHeight="1">
      <c r="A19" s="7"/>
      <c r="B19" s="7" t="s">
        <v>105</v>
      </c>
      <c r="C19" s="11"/>
      <c r="D19" s="1"/>
      <c r="E19" s="11"/>
      <c r="G19" s="1"/>
      <c r="H19" s="38" t="s">
        <v>106</v>
      </c>
      <c r="I19" s="1"/>
      <c r="J19" s="46" t="s">
        <v>107</v>
      </c>
      <c r="K19" s="1"/>
      <c r="L19" s="50" t="s">
        <v>108</v>
      </c>
      <c r="M19" s="1"/>
      <c r="N19" s="1"/>
      <c r="O19" s="1"/>
      <c r="P19" s="41" t="s">
        <v>109</v>
      </c>
      <c r="Q19" s="1"/>
      <c r="R19" s="56" t="s">
        <v>110</v>
      </c>
      <c r="S19" s="1"/>
      <c r="T19" s="1"/>
      <c r="U19" s="1"/>
      <c r="V19" s="1"/>
      <c r="W19" s="1"/>
      <c r="X19" s="1"/>
      <c r="Y19" s="1"/>
      <c r="Z19" s="1"/>
    </row>
    <row r="20" ht="12.75" customHeight="1">
      <c r="A20" s="7"/>
      <c r="B20" s="35" t="s">
        <v>111</v>
      </c>
      <c r="C20" s="11"/>
      <c r="D20" s="1"/>
      <c r="E20" s="11"/>
      <c r="F20" s="43" t="s">
        <v>112</v>
      </c>
      <c r="G20" s="1"/>
      <c r="H20" s="43" t="s">
        <v>113</v>
      </c>
      <c r="I20" s="1"/>
      <c r="J20" s="57" t="s">
        <v>114</v>
      </c>
      <c r="K20" s="1"/>
      <c r="L20" s="48" t="s">
        <v>115</v>
      </c>
      <c r="M20" s="1"/>
      <c r="N20" s="1"/>
      <c r="O20" s="1"/>
      <c r="P20" s="45" t="s">
        <v>98</v>
      </c>
      <c r="Q20" s="1"/>
      <c r="R20" s="56" t="s">
        <v>116</v>
      </c>
      <c r="S20" s="1"/>
      <c r="T20" s="1"/>
      <c r="U20" s="1"/>
      <c r="V20" s="1"/>
      <c r="W20" s="1"/>
      <c r="X20" s="1"/>
      <c r="Y20" s="1"/>
      <c r="Z20" s="1"/>
    </row>
    <row r="21" ht="12.75" customHeight="1">
      <c r="A21" s="7"/>
      <c r="B21" s="7" t="s">
        <v>117</v>
      </c>
      <c r="C21" s="11"/>
      <c r="D21" s="58" t="s">
        <v>118</v>
      </c>
      <c r="E21" s="11"/>
      <c r="F21" s="45" t="s">
        <v>120</v>
      </c>
      <c r="G21" s="1"/>
      <c r="H21" s="1"/>
      <c r="I21" s="1"/>
      <c r="J21" s="50" t="s">
        <v>121</v>
      </c>
      <c r="K21" s="1"/>
      <c r="L21" s="48" t="s">
        <v>122</v>
      </c>
      <c r="M21" s="1"/>
      <c r="N21" s="1"/>
      <c r="O21" s="1"/>
      <c r="P21" s="45" t="s">
        <v>123</v>
      </c>
      <c r="Q21" s="1"/>
      <c r="R21" s="56" t="s">
        <v>124</v>
      </c>
      <c r="S21" s="1"/>
      <c r="T21" s="1"/>
      <c r="U21" s="1"/>
      <c r="V21" s="1"/>
      <c r="W21" s="1"/>
      <c r="X21" s="1"/>
      <c r="Y21" s="1"/>
      <c r="Z21" s="1"/>
    </row>
    <row r="22" ht="12.75" customHeight="1">
      <c r="A22" s="7"/>
      <c r="B22" s="1"/>
      <c r="C22" s="11"/>
      <c r="D22" s="59" t="s">
        <v>125</v>
      </c>
      <c r="E22" s="11"/>
      <c r="F22" s="48" t="s">
        <v>127</v>
      </c>
      <c r="G22" s="1"/>
      <c r="H22" s="36" t="s">
        <v>128</v>
      </c>
      <c r="I22" s="1"/>
      <c r="J22" s="50" t="s">
        <v>129</v>
      </c>
      <c r="K22" s="1"/>
      <c r="L22" s="1"/>
      <c r="M22" s="1"/>
      <c r="N22" s="1"/>
      <c r="O22" s="1"/>
      <c r="P22" s="45" t="s">
        <v>77</v>
      </c>
      <c r="Q22" s="1"/>
      <c r="R22" s="1"/>
      <c r="S22" s="1"/>
      <c r="T22" s="1"/>
      <c r="U22" s="1"/>
      <c r="V22" s="1"/>
      <c r="W22" s="1"/>
      <c r="X22" s="1"/>
      <c r="Y22" s="1"/>
      <c r="Z22" s="1"/>
    </row>
    <row r="23" ht="12.75" customHeight="1">
      <c r="A23" s="7"/>
      <c r="B23" s="48" t="s">
        <v>130</v>
      </c>
      <c r="C23" s="26"/>
      <c r="D23" s="60" t="s">
        <v>131</v>
      </c>
      <c r="E23" s="26"/>
      <c r="F23" s="43" t="s">
        <v>132</v>
      </c>
      <c r="G23" s="1"/>
      <c r="H23" s="56" t="s">
        <v>133</v>
      </c>
      <c r="I23" s="1"/>
      <c r="J23" s="50" t="s">
        <v>134</v>
      </c>
      <c r="K23" s="1"/>
      <c r="L23" s="1"/>
      <c r="M23" s="1"/>
      <c r="N23" s="1"/>
      <c r="O23" s="1"/>
      <c r="P23" s="45"/>
      <c r="Q23" s="1"/>
      <c r="R23" s="1"/>
      <c r="S23" s="1"/>
      <c r="T23" s="1"/>
      <c r="U23" s="1"/>
      <c r="V23" s="1"/>
      <c r="W23" s="1"/>
      <c r="X23" s="1"/>
      <c r="Y23" s="1"/>
      <c r="Z23" s="1"/>
    </row>
    <row r="24" ht="12.75" customHeight="1">
      <c r="A24" s="7"/>
      <c r="B24" s="60" t="s">
        <v>135</v>
      </c>
      <c r="C24" s="11"/>
      <c r="D24" s="60" t="s">
        <v>136</v>
      </c>
      <c r="E24" s="11"/>
      <c r="F24" s="43" t="s">
        <v>137</v>
      </c>
      <c r="G24" s="1"/>
      <c r="H24" s="56" t="s">
        <v>138</v>
      </c>
      <c r="I24" s="1"/>
      <c r="J24" s="50" t="s">
        <v>139</v>
      </c>
      <c r="K24" s="1"/>
      <c r="L24" s="36" t="s">
        <v>128</v>
      </c>
      <c r="M24" s="1"/>
      <c r="N24" s="1"/>
      <c r="O24" s="1"/>
      <c r="P24" s="41" t="s">
        <v>140</v>
      </c>
      <c r="Q24" s="1"/>
      <c r="R24" s="1"/>
      <c r="S24" s="1"/>
      <c r="T24" s="1"/>
      <c r="U24" s="1"/>
      <c r="V24" s="1"/>
      <c r="W24" s="1"/>
      <c r="X24" s="1"/>
      <c r="Y24" s="1"/>
      <c r="Z24" s="1"/>
    </row>
    <row r="25" ht="12.75" customHeight="1">
      <c r="A25" s="7"/>
      <c r="B25" s="61" t="s">
        <v>141</v>
      </c>
      <c r="C25" s="11"/>
      <c r="D25" s="59" t="s">
        <v>142</v>
      </c>
      <c r="E25" s="11"/>
      <c r="F25" s="43" t="s">
        <v>143</v>
      </c>
      <c r="G25" s="1"/>
      <c r="H25" s="1"/>
      <c r="I25" s="1"/>
      <c r="J25" s="50" t="s">
        <v>144</v>
      </c>
      <c r="K25" s="1"/>
      <c r="L25" s="56" t="s">
        <v>133</v>
      </c>
      <c r="M25" s="1"/>
      <c r="N25" s="1"/>
      <c r="O25" s="1"/>
      <c r="P25" s="45" t="s">
        <v>61</v>
      </c>
      <c r="Q25" s="1"/>
      <c r="R25" s="1"/>
      <c r="S25" s="1"/>
      <c r="T25" s="1"/>
      <c r="U25" s="1"/>
      <c r="V25" s="1"/>
      <c r="W25" s="1"/>
      <c r="X25" s="1"/>
      <c r="Y25" s="1"/>
      <c r="Z25" s="1"/>
    </row>
    <row r="26" ht="12.75" customHeight="1">
      <c r="A26" s="7"/>
      <c r="B26" s="1"/>
      <c r="C26" s="11"/>
      <c r="D26" s="59"/>
      <c r="E26" s="11"/>
      <c r="F26" s="42" t="s">
        <v>145</v>
      </c>
      <c r="G26" s="1"/>
      <c r="H26" s="1"/>
      <c r="I26" s="1"/>
      <c r="J26" s="57" t="s">
        <v>146</v>
      </c>
      <c r="K26" s="1"/>
      <c r="L26" s="56" t="s">
        <v>147</v>
      </c>
      <c r="M26" s="1"/>
      <c r="N26" s="1"/>
      <c r="O26" s="1"/>
      <c r="P26" s="45" t="s">
        <v>93</v>
      </c>
      <c r="Q26" s="1"/>
      <c r="R26" s="1"/>
      <c r="S26" s="1"/>
      <c r="T26" s="1"/>
      <c r="U26" s="1"/>
      <c r="V26" s="1"/>
      <c r="W26" s="1"/>
      <c r="X26" s="1"/>
      <c r="Y26" s="1"/>
      <c r="Z26" s="1"/>
    </row>
    <row r="27" ht="12.75" customHeight="1">
      <c r="A27" s="7"/>
      <c r="B27" s="38" t="s">
        <v>148</v>
      </c>
      <c r="C27" s="26"/>
      <c r="D27" s="60" t="s">
        <v>149</v>
      </c>
      <c r="E27" s="26"/>
      <c r="F27" s="50"/>
      <c r="G27" s="1"/>
      <c r="H27" s="1"/>
      <c r="I27" s="1"/>
      <c r="J27" s="43" t="s">
        <v>150</v>
      </c>
      <c r="K27" s="1"/>
      <c r="L27" s="1"/>
      <c r="M27" s="1"/>
      <c r="N27" s="1"/>
      <c r="O27" s="1"/>
      <c r="P27" s="45"/>
      <c r="Q27" s="1"/>
      <c r="R27" s="1"/>
      <c r="S27" s="1"/>
      <c r="T27" s="1"/>
      <c r="U27" s="1"/>
      <c r="V27" s="1"/>
      <c r="W27" s="1"/>
      <c r="X27" s="1"/>
      <c r="Y27" s="1"/>
      <c r="Z27" s="1"/>
    </row>
    <row r="28" ht="12.75" customHeight="1">
      <c r="A28" s="7"/>
      <c r="B28" s="45" t="s">
        <v>151</v>
      </c>
      <c r="C28" s="11"/>
      <c r="D28" s="59" t="s">
        <v>152</v>
      </c>
      <c r="E28" s="11"/>
      <c r="F28" s="48" t="s">
        <v>153</v>
      </c>
      <c r="G28" s="1"/>
      <c r="H28" s="1"/>
      <c r="I28" s="1"/>
      <c r="J28" s="42"/>
      <c r="K28" s="1"/>
      <c r="L28" s="1"/>
      <c r="M28" s="1"/>
      <c r="N28" s="1"/>
      <c r="O28" s="1"/>
      <c r="P28" s="45"/>
      <c r="Q28" s="1"/>
      <c r="R28" s="1"/>
      <c r="S28" s="1"/>
      <c r="T28" s="1"/>
      <c r="U28" s="1"/>
      <c r="V28" s="1"/>
      <c r="W28" s="1"/>
      <c r="X28" s="1"/>
      <c r="Y28" s="1"/>
      <c r="Z28" s="1"/>
    </row>
    <row r="29" ht="12.75" customHeight="1">
      <c r="A29" s="7"/>
      <c r="B29" s="45" t="s">
        <v>154</v>
      </c>
      <c r="C29" s="11"/>
      <c r="D29" s="60"/>
      <c r="E29" s="11"/>
      <c r="F29" s="50" t="s">
        <v>155</v>
      </c>
      <c r="G29" s="1"/>
      <c r="H29" s="1"/>
      <c r="I29" s="1"/>
      <c r="J29" s="42" t="s">
        <v>156</v>
      </c>
      <c r="K29" s="1"/>
      <c r="L29" s="1"/>
      <c r="M29" s="1"/>
      <c r="N29" s="1"/>
      <c r="O29" s="1"/>
      <c r="P29" s="45"/>
      <c r="Q29" s="1"/>
      <c r="R29" s="1"/>
      <c r="S29" s="1"/>
      <c r="T29" s="1"/>
      <c r="U29" s="1"/>
      <c r="V29" s="1"/>
      <c r="W29" s="1"/>
      <c r="X29" s="1"/>
      <c r="Y29" s="1"/>
      <c r="Z29" s="1"/>
    </row>
    <row r="30" ht="12.75" customHeight="1">
      <c r="A30" s="7"/>
      <c r="B30" s="20"/>
      <c r="C30" s="26"/>
      <c r="D30" s="60" t="s">
        <v>157</v>
      </c>
      <c r="E30" s="26"/>
      <c r="F30" s="46" t="s">
        <v>158</v>
      </c>
      <c r="G30" s="1"/>
      <c r="H30" s="1"/>
      <c r="I30" s="1"/>
      <c r="J30" s="50" t="s">
        <v>159</v>
      </c>
      <c r="K30" s="1"/>
      <c r="L30" s="1"/>
      <c r="M30" s="1"/>
      <c r="N30" s="1"/>
      <c r="O30" s="1"/>
      <c r="P30" s="45"/>
      <c r="Q30" s="1"/>
      <c r="R30" s="1"/>
      <c r="S30" s="1"/>
      <c r="T30" s="1"/>
      <c r="U30" s="1"/>
      <c r="V30" s="1"/>
      <c r="W30" s="1"/>
      <c r="X30" s="1"/>
      <c r="Y30" s="1"/>
      <c r="Z30" s="1"/>
    </row>
    <row r="31" ht="12.75" customHeight="1">
      <c r="A31" s="7"/>
      <c r="B31" s="7"/>
      <c r="C31" s="11"/>
      <c r="D31" s="59" t="s">
        <v>160</v>
      </c>
      <c r="E31" s="11"/>
      <c r="F31" s="42" t="s">
        <v>161</v>
      </c>
      <c r="G31" s="1"/>
      <c r="H31" s="1"/>
      <c r="I31" s="1"/>
      <c r="J31" s="48"/>
      <c r="K31" s="1"/>
      <c r="L31" s="1"/>
      <c r="M31" s="1"/>
      <c r="N31" s="1"/>
      <c r="O31" s="1"/>
      <c r="P31" s="1"/>
      <c r="Q31" s="1"/>
      <c r="R31" s="1"/>
      <c r="S31" s="1"/>
      <c r="T31" s="1"/>
      <c r="U31" s="1"/>
      <c r="V31" s="1"/>
      <c r="W31" s="1"/>
      <c r="X31" s="1"/>
      <c r="Y31" s="1"/>
      <c r="Z31" s="1"/>
    </row>
    <row r="32" ht="12.75" customHeight="1">
      <c r="A32" s="7"/>
      <c r="B32" s="7"/>
      <c r="C32" s="11"/>
      <c r="D32" s="1"/>
      <c r="E32" s="11"/>
      <c r="F32" s="50" t="s">
        <v>163</v>
      </c>
      <c r="G32" s="1"/>
      <c r="H32" s="1"/>
      <c r="I32" s="1"/>
      <c r="J32" s="43" t="s">
        <v>164</v>
      </c>
      <c r="K32" s="1"/>
      <c r="L32" s="1"/>
      <c r="M32" s="1"/>
      <c r="N32" s="1"/>
      <c r="O32" s="1"/>
      <c r="P32" s="1"/>
      <c r="Q32" s="1"/>
      <c r="R32" s="1"/>
      <c r="S32" s="1"/>
      <c r="T32" s="1"/>
      <c r="U32" s="1"/>
      <c r="V32" s="1"/>
      <c r="W32" s="1"/>
      <c r="X32" s="1"/>
      <c r="Y32" s="1"/>
      <c r="Z32" s="1"/>
    </row>
    <row r="33" ht="12.75" customHeight="1">
      <c r="A33" s="7"/>
      <c r="B33" s="20"/>
      <c r="C33" s="26"/>
      <c r="D33" s="58" t="s">
        <v>165</v>
      </c>
      <c r="E33" s="26"/>
      <c r="F33" s="43" t="s">
        <v>166</v>
      </c>
      <c r="G33" s="1"/>
      <c r="H33" s="1"/>
      <c r="I33" s="1"/>
      <c r="J33" s="57" t="s">
        <v>167</v>
      </c>
      <c r="K33" s="1"/>
      <c r="L33" s="1"/>
      <c r="M33" s="1"/>
      <c r="N33" s="1"/>
      <c r="O33" s="1"/>
      <c r="P33" s="1"/>
      <c r="Q33" s="1"/>
      <c r="R33" s="1"/>
      <c r="S33" s="1"/>
      <c r="T33" s="1"/>
      <c r="U33" s="1"/>
      <c r="V33" s="1"/>
      <c r="W33" s="1"/>
      <c r="X33" s="1"/>
      <c r="Y33" s="1"/>
      <c r="Z33" s="1"/>
    </row>
    <row r="34" ht="12.75" customHeight="1">
      <c r="A34" s="7"/>
      <c r="B34" s="7"/>
      <c r="C34" s="11"/>
      <c r="D34" s="60" t="s">
        <v>168</v>
      </c>
      <c r="E34" s="11"/>
      <c r="F34" s="48" t="s">
        <v>170</v>
      </c>
      <c r="G34" s="1"/>
      <c r="H34" s="1"/>
      <c r="I34" s="1"/>
      <c r="J34" s="48"/>
      <c r="K34" s="1"/>
      <c r="L34" s="1"/>
      <c r="M34" s="1"/>
      <c r="N34" s="1"/>
      <c r="O34" s="1"/>
      <c r="P34" s="1"/>
      <c r="Q34" s="1"/>
      <c r="R34" s="1"/>
      <c r="S34" s="1"/>
      <c r="T34" s="1"/>
      <c r="U34" s="1"/>
      <c r="V34" s="1"/>
      <c r="W34" s="1"/>
      <c r="X34" s="1"/>
      <c r="Y34" s="1"/>
      <c r="Z34" s="1"/>
    </row>
    <row r="35" ht="12.75" customHeight="1">
      <c r="A35" s="7"/>
      <c r="B35" s="7"/>
      <c r="C35" s="11"/>
      <c r="D35" s="60" t="s">
        <v>171</v>
      </c>
      <c r="E35" s="11"/>
      <c r="F35" s="48" t="s">
        <v>172</v>
      </c>
      <c r="G35" s="1"/>
      <c r="H35" s="1"/>
      <c r="I35" s="1"/>
      <c r="J35" s="48"/>
      <c r="K35" s="1"/>
      <c r="L35" s="1"/>
      <c r="M35" s="1"/>
      <c r="N35" s="1"/>
      <c r="O35" s="1"/>
      <c r="P35" s="1"/>
      <c r="Q35" s="1"/>
      <c r="R35" s="1"/>
      <c r="S35" s="1"/>
      <c r="T35" s="1"/>
      <c r="U35" s="1"/>
      <c r="V35" s="1"/>
      <c r="W35" s="1"/>
      <c r="X35" s="1"/>
      <c r="Y35" s="1"/>
      <c r="Z35" s="1"/>
    </row>
    <row r="36" ht="12.75" customHeight="1">
      <c r="A36" s="7"/>
      <c r="B36" s="20"/>
      <c r="C36" s="26"/>
      <c r="D36" s="60"/>
      <c r="E36" s="26"/>
      <c r="F36" s="48" t="s">
        <v>173</v>
      </c>
      <c r="G36" s="1"/>
      <c r="H36" s="1"/>
      <c r="I36" s="1"/>
      <c r="J36" s="48" t="s">
        <v>175</v>
      </c>
      <c r="K36" s="1"/>
      <c r="L36" s="1"/>
      <c r="M36" s="1"/>
      <c r="N36" s="1"/>
      <c r="O36" s="1"/>
      <c r="P36" s="1"/>
      <c r="Q36" s="1"/>
      <c r="R36" s="1"/>
      <c r="S36" s="1"/>
      <c r="T36" s="1"/>
      <c r="U36" s="1"/>
      <c r="V36" s="1"/>
      <c r="W36" s="1"/>
      <c r="X36" s="1"/>
      <c r="Y36" s="1"/>
      <c r="Z36" s="1"/>
    </row>
    <row r="37" ht="12.75" customHeight="1">
      <c r="A37" s="7"/>
      <c r="B37" s="7"/>
      <c r="C37" s="11"/>
      <c r="D37" s="60"/>
      <c r="E37" s="11"/>
      <c r="F37" s="43" t="s">
        <v>150</v>
      </c>
      <c r="G37" s="1"/>
      <c r="H37" s="1"/>
      <c r="I37" s="1"/>
      <c r="J37" s="48"/>
      <c r="K37" s="1"/>
      <c r="L37" s="1"/>
      <c r="M37" s="1"/>
      <c r="N37" s="1"/>
      <c r="O37" s="1"/>
      <c r="P37" s="1"/>
      <c r="Q37" s="1"/>
      <c r="R37" s="1"/>
      <c r="S37" s="1"/>
      <c r="T37" s="1"/>
      <c r="U37" s="1"/>
      <c r="V37" s="1"/>
      <c r="W37" s="1"/>
      <c r="X37" s="1"/>
      <c r="Y37" s="1"/>
      <c r="Z37" s="1"/>
    </row>
    <row r="38" ht="12.75" customHeight="1">
      <c r="A38" s="7"/>
      <c r="B38" s="7"/>
      <c r="C38" s="11"/>
      <c r="D38" s="60"/>
      <c r="E38" s="11"/>
      <c r="F38" s="48"/>
      <c r="G38" s="1"/>
      <c r="H38" s="1"/>
      <c r="I38" s="1"/>
      <c r="J38" s="48" t="s">
        <v>176</v>
      </c>
      <c r="K38" s="1"/>
      <c r="L38" s="1"/>
      <c r="M38" s="1"/>
      <c r="N38" s="1"/>
      <c r="O38" s="1"/>
      <c r="P38" s="1"/>
      <c r="Q38" s="1"/>
      <c r="R38" s="1"/>
      <c r="S38" s="1"/>
      <c r="T38" s="1"/>
      <c r="U38" s="1"/>
      <c r="V38" s="1"/>
      <c r="W38" s="1"/>
      <c r="X38" s="1"/>
      <c r="Y38" s="1"/>
      <c r="Z38" s="1"/>
    </row>
    <row r="39" ht="12.75" customHeight="1">
      <c r="A39" s="7"/>
      <c r="B39" s="7"/>
      <c r="C39" s="11"/>
      <c r="D39" s="60"/>
      <c r="E39" s="11"/>
      <c r="F39" s="38" t="s">
        <v>177</v>
      </c>
      <c r="G39" s="1"/>
      <c r="H39" s="1"/>
      <c r="I39" s="1"/>
      <c r="J39" s="48" t="s">
        <v>178</v>
      </c>
      <c r="K39" s="1"/>
      <c r="L39" s="1"/>
      <c r="M39" s="1"/>
      <c r="N39" s="1"/>
      <c r="O39" s="1"/>
      <c r="P39" s="1"/>
      <c r="Q39" s="1"/>
      <c r="R39" s="1"/>
      <c r="S39" s="1"/>
      <c r="T39" s="1"/>
      <c r="U39" s="1"/>
      <c r="V39" s="1"/>
      <c r="W39" s="1"/>
      <c r="X39" s="1"/>
      <c r="Y39" s="1"/>
      <c r="Z39" s="1"/>
    </row>
    <row r="40" ht="12.75" customHeight="1">
      <c r="A40" s="7"/>
      <c r="B40" s="7"/>
      <c r="C40" s="11"/>
      <c r="D40" s="60"/>
      <c r="E40" s="11"/>
      <c r="F40" s="54" t="s">
        <v>179</v>
      </c>
      <c r="G40" s="1"/>
      <c r="H40" s="1"/>
      <c r="I40" s="1"/>
      <c r="J40" s="1"/>
      <c r="K40" s="1"/>
      <c r="L40" s="1"/>
      <c r="M40" s="1"/>
      <c r="N40" s="1"/>
      <c r="O40" s="1"/>
      <c r="P40" s="1"/>
      <c r="Q40" s="1"/>
      <c r="R40" s="1"/>
      <c r="S40" s="1"/>
      <c r="T40" s="1"/>
      <c r="U40" s="1"/>
      <c r="V40" s="1"/>
      <c r="W40" s="1"/>
      <c r="X40" s="1"/>
      <c r="Y40" s="1"/>
      <c r="Z40" s="1"/>
    </row>
    <row r="41" ht="12.75" customHeight="1">
      <c r="A41" s="7"/>
      <c r="B41" s="7"/>
      <c r="C41" s="11"/>
      <c r="D41" s="60"/>
      <c r="E41" s="11"/>
      <c r="F41" s="54" t="s">
        <v>180</v>
      </c>
      <c r="G41" s="1"/>
      <c r="H41" s="1"/>
      <c r="I41" s="1"/>
      <c r="J41" s="1"/>
      <c r="K41" s="1"/>
      <c r="L41" s="1"/>
      <c r="M41" s="1"/>
      <c r="N41" s="1"/>
      <c r="O41" s="1"/>
      <c r="P41" s="1"/>
      <c r="Q41" s="1"/>
      <c r="R41" s="1"/>
      <c r="S41" s="1"/>
      <c r="T41" s="1"/>
      <c r="U41" s="1"/>
      <c r="V41" s="1"/>
      <c r="W41" s="1"/>
      <c r="X41" s="1"/>
      <c r="Y41" s="1"/>
      <c r="Z41" s="1"/>
    </row>
    <row r="42" ht="12.75" customHeight="1">
      <c r="A42" s="7"/>
      <c r="B42" s="7"/>
      <c r="C42" s="11"/>
      <c r="D42" s="60"/>
      <c r="E42" s="11"/>
      <c r="F42" s="48" t="s">
        <v>181</v>
      </c>
      <c r="G42" s="1"/>
      <c r="H42" s="1"/>
      <c r="I42" s="1"/>
      <c r="J42" s="1"/>
      <c r="K42" s="1"/>
      <c r="L42" s="1"/>
      <c r="M42" s="1"/>
      <c r="N42" s="1"/>
      <c r="O42" s="1"/>
      <c r="P42" s="1"/>
      <c r="Q42" s="1"/>
      <c r="R42" s="1"/>
      <c r="S42" s="1"/>
      <c r="T42" s="1"/>
      <c r="U42" s="1"/>
      <c r="V42" s="1"/>
      <c r="W42" s="1"/>
      <c r="X42" s="1"/>
      <c r="Y42" s="1"/>
      <c r="Z42" s="1"/>
    </row>
    <row r="43" ht="12.75" customHeight="1">
      <c r="A43" s="7"/>
      <c r="B43" s="7"/>
      <c r="C43" s="11"/>
      <c r="D43" s="60"/>
      <c r="E43" s="11"/>
      <c r="F43" s="45" t="s">
        <v>182</v>
      </c>
      <c r="G43" s="1"/>
      <c r="H43" s="1"/>
      <c r="I43" s="1"/>
      <c r="J43" s="1"/>
      <c r="K43" s="1"/>
      <c r="L43" s="1"/>
      <c r="M43" s="1"/>
      <c r="N43" s="1"/>
      <c r="O43" s="1"/>
      <c r="P43" s="1"/>
      <c r="Q43" s="1"/>
      <c r="R43" s="1"/>
      <c r="S43" s="1"/>
      <c r="T43" s="1"/>
      <c r="U43" s="1"/>
      <c r="V43" s="1"/>
      <c r="W43" s="1"/>
      <c r="X43" s="1"/>
      <c r="Y43" s="1"/>
      <c r="Z43" s="1"/>
    </row>
    <row r="44" ht="12.75" customHeight="1">
      <c r="A44" s="7"/>
      <c r="B44" s="7"/>
      <c r="C44" s="11"/>
      <c r="D44" s="1"/>
      <c r="E44" s="11"/>
      <c r="F44" s="48" t="s">
        <v>183</v>
      </c>
      <c r="G44" s="1"/>
      <c r="H44" s="1"/>
      <c r="I44" s="1"/>
      <c r="J44" s="1"/>
      <c r="K44" s="1"/>
      <c r="L44" s="1"/>
      <c r="M44" s="1"/>
      <c r="N44" s="1"/>
      <c r="O44" s="1"/>
      <c r="P44" s="1"/>
      <c r="Q44" s="1"/>
      <c r="R44" s="1"/>
      <c r="S44" s="1"/>
      <c r="T44" s="1"/>
      <c r="U44" s="1"/>
      <c r="V44" s="1"/>
      <c r="W44" s="1"/>
      <c r="X44" s="1"/>
      <c r="Y44" s="1"/>
      <c r="Z44" s="1"/>
    </row>
    <row r="45" ht="12.75" customHeight="1">
      <c r="A45" s="7"/>
      <c r="B45" s="7"/>
      <c r="C45" s="11"/>
      <c r="D45" s="35" t="s">
        <v>184</v>
      </c>
      <c r="E45" s="11"/>
      <c r="F45" s="50" t="s">
        <v>185</v>
      </c>
      <c r="G45" s="1"/>
      <c r="H45" s="1"/>
      <c r="I45" s="1"/>
      <c r="J45" s="1"/>
      <c r="K45" s="1"/>
      <c r="L45" s="1"/>
      <c r="M45" s="1"/>
      <c r="N45" s="1"/>
      <c r="O45" s="1"/>
      <c r="P45" s="1"/>
      <c r="Q45" s="1"/>
      <c r="R45" s="1"/>
      <c r="S45" s="1"/>
      <c r="T45" s="1"/>
      <c r="U45" s="1"/>
      <c r="V45" s="1"/>
      <c r="W45" s="1"/>
      <c r="X45" s="1"/>
      <c r="Y45" s="1"/>
      <c r="Z45" s="1"/>
    </row>
    <row r="46" ht="12.75" customHeight="1">
      <c r="A46" s="7"/>
      <c r="B46" s="7"/>
      <c r="C46" s="11"/>
      <c r="D46" s="7" t="s">
        <v>186</v>
      </c>
      <c r="E46" s="11"/>
      <c r="F46" s="50" t="s">
        <v>187</v>
      </c>
      <c r="G46" s="1"/>
      <c r="H46" s="1"/>
      <c r="I46" s="1"/>
      <c r="J46" s="1"/>
      <c r="K46" s="1"/>
      <c r="L46" s="1"/>
      <c r="M46" s="1"/>
      <c r="N46" s="1"/>
      <c r="O46" s="1"/>
      <c r="P46" s="1"/>
      <c r="Q46" s="1"/>
      <c r="R46" s="1"/>
      <c r="S46" s="1"/>
      <c r="T46" s="1"/>
      <c r="U46" s="1"/>
      <c r="V46" s="1"/>
      <c r="W46" s="1"/>
      <c r="X46" s="1"/>
      <c r="Y46" s="1"/>
      <c r="Z46" s="1"/>
    </row>
    <row r="47" ht="12.75" customHeight="1">
      <c r="A47" s="7"/>
      <c r="B47" s="7"/>
      <c r="C47" s="11"/>
      <c r="D47" s="7"/>
      <c r="E47" s="11"/>
      <c r="F47" s="50" t="s">
        <v>188</v>
      </c>
      <c r="G47" s="1"/>
      <c r="H47" s="1"/>
      <c r="I47" s="1"/>
      <c r="J47" s="1"/>
      <c r="K47" s="1"/>
      <c r="L47" s="1"/>
      <c r="M47" s="1"/>
      <c r="N47" s="1"/>
      <c r="O47" s="1"/>
      <c r="P47" s="1"/>
      <c r="Q47" s="1"/>
      <c r="R47" s="1"/>
      <c r="S47" s="1"/>
      <c r="T47" s="1"/>
      <c r="U47" s="1"/>
      <c r="V47" s="1"/>
      <c r="W47" s="1"/>
      <c r="X47" s="1"/>
      <c r="Y47" s="1"/>
      <c r="Z47" s="1"/>
    </row>
    <row r="48" ht="12.75" customHeight="1">
      <c r="A48" s="7"/>
      <c r="B48" s="7"/>
      <c r="C48" s="11"/>
      <c r="D48" s="7" t="s">
        <v>189</v>
      </c>
      <c r="E48" s="11"/>
      <c r="F48" s="48" t="s">
        <v>190</v>
      </c>
      <c r="G48" s="1"/>
      <c r="H48" s="1"/>
      <c r="I48" s="1"/>
      <c r="J48" s="1"/>
      <c r="K48" s="1"/>
      <c r="L48" s="1"/>
      <c r="M48" s="1"/>
      <c r="N48" s="1"/>
      <c r="O48" s="1"/>
      <c r="P48" s="1"/>
      <c r="Q48" s="1"/>
      <c r="R48" s="1"/>
      <c r="S48" s="1"/>
      <c r="T48" s="1"/>
      <c r="U48" s="1"/>
      <c r="V48" s="1"/>
      <c r="W48" s="1"/>
      <c r="X48" s="1"/>
      <c r="Y48" s="1"/>
      <c r="Z48" s="1"/>
    </row>
    <row r="49" ht="12.75" customHeight="1">
      <c r="A49" s="7"/>
      <c r="B49" s="7"/>
      <c r="C49" s="11"/>
      <c r="D49" s="7"/>
      <c r="E49" s="11"/>
      <c r="F49" s="50" t="s">
        <v>191</v>
      </c>
      <c r="G49" s="1"/>
      <c r="H49" s="1"/>
      <c r="I49" s="1"/>
      <c r="J49" s="1"/>
      <c r="K49" s="1"/>
      <c r="L49" s="1"/>
      <c r="M49" s="1"/>
      <c r="N49" s="1"/>
      <c r="O49" s="1"/>
      <c r="P49" s="1"/>
      <c r="Q49" s="1"/>
      <c r="R49" s="1"/>
      <c r="S49" s="1"/>
      <c r="T49" s="1"/>
      <c r="U49" s="1"/>
      <c r="V49" s="1"/>
      <c r="W49" s="1"/>
      <c r="X49" s="1"/>
      <c r="Y49" s="1"/>
      <c r="Z49" s="1"/>
    </row>
    <row r="50" ht="12.75" customHeight="1">
      <c r="A50" s="7"/>
      <c r="B50" s="7"/>
      <c r="C50" s="11"/>
      <c r="D50" s="7" t="s">
        <v>192</v>
      </c>
      <c r="E50" s="11"/>
      <c r="F50" s="48" t="s">
        <v>193</v>
      </c>
      <c r="G50" s="1"/>
      <c r="H50" s="1"/>
      <c r="I50" s="1"/>
      <c r="J50" s="1"/>
      <c r="K50" s="1"/>
      <c r="L50" s="1"/>
      <c r="M50" s="1"/>
      <c r="N50" s="1"/>
      <c r="O50" s="1"/>
      <c r="P50" s="1"/>
      <c r="Q50" s="1"/>
      <c r="R50" s="1"/>
      <c r="S50" s="1"/>
      <c r="T50" s="1"/>
      <c r="U50" s="1"/>
      <c r="V50" s="1"/>
      <c r="W50" s="1"/>
      <c r="X50" s="1"/>
      <c r="Y50" s="1"/>
      <c r="Z50" s="1"/>
    </row>
    <row r="51" ht="12.75" customHeight="1">
      <c r="A51" s="7"/>
      <c r="B51" s="7"/>
      <c r="C51" s="11"/>
      <c r="D51" s="7"/>
      <c r="E51" s="11"/>
      <c r="F51" s="48" t="s">
        <v>194</v>
      </c>
      <c r="G51" s="1"/>
      <c r="H51" s="1"/>
      <c r="I51" s="1"/>
      <c r="J51" s="1"/>
      <c r="K51" s="1"/>
      <c r="L51" s="1"/>
      <c r="M51" s="1"/>
      <c r="N51" s="1"/>
      <c r="O51" s="1"/>
      <c r="P51" s="1"/>
      <c r="Q51" s="1"/>
      <c r="R51" s="1"/>
      <c r="S51" s="1"/>
      <c r="T51" s="1"/>
      <c r="U51" s="1"/>
      <c r="V51" s="1"/>
      <c r="W51" s="1"/>
      <c r="X51" s="1"/>
      <c r="Y51" s="1"/>
      <c r="Z51" s="1"/>
    </row>
    <row r="52" ht="12.75" customHeight="1">
      <c r="A52" s="7"/>
      <c r="B52" s="7"/>
      <c r="C52" s="11"/>
      <c r="D52" s="7" t="s">
        <v>195</v>
      </c>
      <c r="E52" s="11"/>
      <c r="F52" s="62" t="s">
        <v>196</v>
      </c>
      <c r="G52" s="1"/>
      <c r="H52" s="1"/>
      <c r="I52" s="1"/>
      <c r="J52" s="1"/>
      <c r="K52" s="1"/>
      <c r="L52" s="1"/>
      <c r="M52" s="1"/>
      <c r="N52" s="1"/>
      <c r="O52" s="1"/>
      <c r="P52" s="1"/>
      <c r="Q52" s="1"/>
      <c r="R52" s="1"/>
      <c r="S52" s="1"/>
      <c r="T52" s="1"/>
      <c r="U52" s="1"/>
      <c r="V52" s="1"/>
      <c r="W52" s="1"/>
      <c r="X52" s="1"/>
      <c r="Y52" s="1"/>
      <c r="Z52" s="1"/>
    </row>
    <row r="53" ht="12.75" customHeight="1">
      <c r="A53" s="7"/>
      <c r="B53" s="7"/>
      <c r="C53" s="11"/>
      <c r="D53" s="7"/>
      <c r="E53" s="11"/>
      <c r="F53" s="48" t="s">
        <v>197</v>
      </c>
      <c r="G53" s="1"/>
      <c r="H53" s="1"/>
      <c r="I53" s="1"/>
      <c r="J53" s="1"/>
      <c r="K53" s="1"/>
      <c r="L53" s="1"/>
      <c r="M53" s="1"/>
      <c r="N53" s="1"/>
      <c r="O53" s="1"/>
      <c r="P53" s="1"/>
      <c r="Q53" s="1"/>
      <c r="R53" s="1"/>
      <c r="S53" s="1"/>
      <c r="T53" s="1"/>
      <c r="U53" s="1"/>
      <c r="V53" s="1"/>
      <c r="W53" s="1"/>
      <c r="X53" s="1"/>
      <c r="Y53" s="1"/>
      <c r="Z53" s="1"/>
    </row>
    <row r="54" ht="12.75" customHeight="1">
      <c r="A54" s="7"/>
      <c r="B54" s="7"/>
      <c r="C54" s="11"/>
      <c r="D54" s="7" t="s">
        <v>198</v>
      </c>
      <c r="E54" s="11"/>
      <c r="F54" s="45" t="s">
        <v>199</v>
      </c>
      <c r="G54" s="1"/>
      <c r="H54" s="1"/>
      <c r="I54" s="1"/>
      <c r="J54" s="1"/>
      <c r="K54" s="1"/>
      <c r="L54" s="1"/>
      <c r="M54" s="1"/>
      <c r="N54" s="1"/>
      <c r="O54" s="1"/>
      <c r="P54" s="1"/>
      <c r="Q54" s="1"/>
      <c r="R54" s="1"/>
      <c r="S54" s="1"/>
      <c r="T54" s="1"/>
      <c r="U54" s="1"/>
      <c r="V54" s="1"/>
      <c r="W54" s="1"/>
      <c r="X54" s="1"/>
      <c r="Y54" s="1"/>
      <c r="Z54" s="1"/>
    </row>
    <row r="55" ht="12.75" customHeight="1">
      <c r="A55" s="7"/>
      <c r="B55" s="7"/>
      <c r="C55" s="11"/>
      <c r="D55" s="7"/>
      <c r="E55" s="11"/>
      <c r="F55" s="45" t="s">
        <v>200</v>
      </c>
      <c r="G55" s="1"/>
      <c r="H55" s="1"/>
      <c r="I55" s="1"/>
      <c r="J55" s="1"/>
      <c r="K55" s="1"/>
      <c r="L55" s="1"/>
      <c r="M55" s="1"/>
      <c r="N55" s="1"/>
      <c r="O55" s="1"/>
      <c r="P55" s="1"/>
      <c r="Q55" s="1"/>
      <c r="R55" s="1"/>
      <c r="S55" s="1"/>
      <c r="T55" s="1"/>
      <c r="U55" s="1"/>
      <c r="V55" s="1"/>
      <c r="W55" s="1"/>
      <c r="X55" s="1"/>
      <c r="Y55" s="1"/>
      <c r="Z55" s="1"/>
    </row>
    <row r="56" ht="12.75" customHeight="1">
      <c r="A56" s="1"/>
      <c r="B56" s="1"/>
      <c r="C56" s="11"/>
      <c r="D56" s="58" t="s">
        <v>201</v>
      </c>
      <c r="E56" s="11"/>
      <c r="F56" s="48" t="s">
        <v>202</v>
      </c>
      <c r="G56" s="1"/>
      <c r="H56" s="1"/>
      <c r="I56" s="1"/>
      <c r="J56" s="1"/>
      <c r="K56" s="1"/>
      <c r="L56" s="1"/>
      <c r="M56" s="1"/>
      <c r="N56" s="1"/>
      <c r="O56" s="1"/>
      <c r="P56" s="1"/>
      <c r="Q56" s="1"/>
      <c r="R56" s="1"/>
      <c r="S56" s="1"/>
      <c r="T56" s="1"/>
      <c r="U56" s="1"/>
      <c r="V56" s="1"/>
      <c r="W56" s="1"/>
      <c r="X56" s="1"/>
      <c r="Y56" s="1"/>
      <c r="Z56" s="1"/>
    </row>
    <row r="57" ht="12.75" customHeight="1">
      <c r="A57" s="1"/>
      <c r="B57" s="1"/>
      <c r="C57" s="11"/>
      <c r="D57" s="60" t="s">
        <v>203</v>
      </c>
      <c r="E57" s="11"/>
      <c r="F57" s="48" t="s">
        <v>204</v>
      </c>
      <c r="G57" s="1"/>
      <c r="H57" s="1"/>
      <c r="I57" s="1"/>
      <c r="J57" s="1"/>
      <c r="K57" s="1"/>
      <c r="L57" s="1"/>
      <c r="M57" s="1"/>
      <c r="N57" s="1"/>
      <c r="O57" s="1"/>
      <c r="P57" s="1"/>
      <c r="Q57" s="1"/>
      <c r="R57" s="1"/>
      <c r="S57" s="1"/>
      <c r="T57" s="1"/>
      <c r="U57" s="1"/>
      <c r="V57" s="1"/>
      <c r="W57" s="1"/>
      <c r="X57" s="1"/>
      <c r="Y57" s="1"/>
      <c r="Z57" s="1"/>
    </row>
    <row r="58" ht="12.75" customHeight="1">
      <c r="A58" s="1"/>
      <c r="B58" s="1"/>
      <c r="C58" s="11"/>
      <c r="D58" s="60"/>
      <c r="E58" s="11"/>
      <c r="F58" s="48" t="s">
        <v>205</v>
      </c>
      <c r="G58" s="1"/>
      <c r="H58" s="1"/>
      <c r="I58" s="1"/>
      <c r="J58" s="1"/>
      <c r="K58" s="1"/>
      <c r="L58" s="1"/>
      <c r="M58" s="1"/>
      <c r="N58" s="1"/>
      <c r="O58" s="1"/>
      <c r="P58" s="1"/>
      <c r="Q58" s="1"/>
      <c r="R58" s="1"/>
      <c r="S58" s="1"/>
      <c r="T58" s="1"/>
      <c r="U58" s="1"/>
      <c r="V58" s="1"/>
      <c r="W58" s="1"/>
      <c r="X58" s="1"/>
      <c r="Y58" s="1"/>
      <c r="Z58" s="1"/>
    </row>
    <row r="59" ht="12.75" customHeight="1">
      <c r="A59" s="1"/>
      <c r="B59" s="1"/>
      <c r="C59" s="11"/>
      <c r="D59" s="60"/>
      <c r="E59" s="11"/>
      <c r="F59" s="38" t="s">
        <v>206</v>
      </c>
      <c r="G59" s="1"/>
      <c r="H59" s="1"/>
      <c r="I59" s="1"/>
      <c r="J59" s="1"/>
      <c r="K59" s="1"/>
      <c r="L59" s="1"/>
      <c r="M59" s="1"/>
      <c r="N59" s="1"/>
      <c r="O59" s="1"/>
      <c r="P59" s="1"/>
      <c r="Q59" s="1"/>
      <c r="R59" s="1"/>
      <c r="S59" s="1"/>
      <c r="T59" s="1"/>
      <c r="U59" s="1"/>
      <c r="V59" s="1"/>
      <c r="W59" s="1"/>
      <c r="X59" s="1"/>
      <c r="Y59" s="1"/>
      <c r="Z59" s="1"/>
    </row>
    <row r="60" ht="12.75" customHeight="1">
      <c r="A60" s="1"/>
      <c r="B60" s="1"/>
      <c r="C60" s="11"/>
      <c r="D60" s="60"/>
      <c r="E60" s="11"/>
      <c r="F60" s="48" t="s">
        <v>207</v>
      </c>
      <c r="G60" s="1"/>
      <c r="H60" s="1"/>
      <c r="I60" s="1"/>
      <c r="J60" s="1"/>
      <c r="K60" s="1"/>
      <c r="L60" s="1"/>
      <c r="M60" s="1"/>
      <c r="N60" s="1"/>
      <c r="O60" s="1"/>
      <c r="P60" s="1"/>
      <c r="Q60" s="1"/>
      <c r="R60" s="1"/>
      <c r="S60" s="1"/>
      <c r="T60" s="1"/>
      <c r="U60" s="1"/>
      <c r="V60" s="1"/>
      <c r="W60" s="1"/>
      <c r="X60" s="1"/>
      <c r="Y60" s="1"/>
      <c r="Z60" s="1"/>
    </row>
    <row r="61" ht="12.75" customHeight="1">
      <c r="A61" s="1"/>
      <c r="B61" s="1"/>
      <c r="C61" s="11"/>
      <c r="D61" s="60"/>
      <c r="E61" s="11"/>
      <c r="F61" s="48" t="s">
        <v>208</v>
      </c>
      <c r="G61" s="1"/>
      <c r="H61" s="1"/>
      <c r="I61" s="1"/>
      <c r="J61" s="1"/>
      <c r="K61" s="1"/>
      <c r="L61" s="1"/>
      <c r="M61" s="1"/>
      <c r="N61" s="1"/>
      <c r="O61" s="1"/>
      <c r="P61" s="1"/>
      <c r="Q61" s="1"/>
      <c r="R61" s="1"/>
      <c r="S61" s="1"/>
      <c r="T61" s="1"/>
      <c r="U61" s="1"/>
      <c r="V61" s="1"/>
      <c r="W61" s="1"/>
      <c r="X61" s="1"/>
      <c r="Y61" s="1"/>
      <c r="Z61" s="1"/>
    </row>
    <row r="62" ht="12.75" customHeight="1">
      <c r="A62" s="1"/>
      <c r="B62" s="1"/>
      <c r="C62" s="11"/>
      <c r="D62" s="60"/>
      <c r="E62" s="11"/>
      <c r="F62" s="1"/>
      <c r="G62" s="1"/>
      <c r="H62" s="1"/>
      <c r="I62" s="1"/>
      <c r="J62" s="1"/>
      <c r="K62" s="1"/>
      <c r="L62" s="1"/>
      <c r="M62" s="1"/>
      <c r="N62" s="1"/>
      <c r="O62" s="1"/>
      <c r="P62" s="1"/>
      <c r="Q62" s="1"/>
      <c r="R62" s="1"/>
      <c r="S62" s="1"/>
      <c r="T62" s="1"/>
      <c r="U62" s="1"/>
      <c r="V62" s="1"/>
      <c r="W62" s="1"/>
      <c r="X62" s="1"/>
      <c r="Y62" s="1"/>
      <c r="Z62" s="1"/>
    </row>
    <row r="63" ht="12.75" customHeight="1">
      <c r="A63" s="1"/>
      <c r="B63" s="1"/>
      <c r="C63" s="11"/>
      <c r="D63" s="60"/>
      <c r="E63" s="11"/>
      <c r="F63" s="38" t="s">
        <v>209</v>
      </c>
      <c r="G63" s="1"/>
      <c r="H63" s="1"/>
      <c r="I63" s="1"/>
      <c r="J63" s="1"/>
      <c r="K63" s="1"/>
      <c r="L63" s="1"/>
      <c r="M63" s="1"/>
      <c r="N63" s="1"/>
      <c r="O63" s="1"/>
      <c r="P63" s="1"/>
      <c r="Q63" s="1"/>
      <c r="R63" s="1"/>
      <c r="S63" s="1"/>
      <c r="T63" s="1"/>
      <c r="U63" s="1"/>
      <c r="V63" s="1"/>
      <c r="W63" s="1"/>
      <c r="X63" s="1"/>
      <c r="Y63" s="1"/>
      <c r="Z63" s="1"/>
    </row>
    <row r="64" ht="12.75" customHeight="1">
      <c r="A64" s="1"/>
      <c r="B64" s="1"/>
      <c r="C64" s="11"/>
      <c r="D64" s="7"/>
      <c r="E64" s="11"/>
      <c r="F64" s="48" t="s">
        <v>211</v>
      </c>
      <c r="G64" s="1"/>
      <c r="H64" s="1"/>
      <c r="I64" s="1"/>
      <c r="J64" s="1"/>
      <c r="K64" s="1"/>
      <c r="L64" s="1"/>
      <c r="M64" s="1"/>
      <c r="N64" s="1"/>
      <c r="O64" s="1"/>
      <c r="P64" s="1"/>
      <c r="Q64" s="1"/>
      <c r="R64" s="1"/>
      <c r="S64" s="1"/>
      <c r="T64" s="1"/>
      <c r="U64" s="1"/>
      <c r="V64" s="1"/>
      <c r="W64" s="1"/>
      <c r="X64" s="1"/>
      <c r="Y64" s="1"/>
      <c r="Z64" s="1"/>
    </row>
    <row r="65" ht="12.75" customHeight="1">
      <c r="A65" s="1"/>
      <c r="B65" s="1"/>
      <c r="C65" s="11"/>
      <c r="D65" s="1"/>
      <c r="E65" s="11"/>
      <c r="G65" s="1"/>
      <c r="H65" s="1"/>
      <c r="I65" s="1"/>
      <c r="J65" s="1"/>
      <c r="K65" s="1"/>
      <c r="L65" s="1"/>
      <c r="M65" s="1"/>
      <c r="N65" s="1"/>
      <c r="O65" s="1"/>
      <c r="P65" s="1"/>
      <c r="Q65" s="1"/>
      <c r="R65" s="1"/>
      <c r="S65" s="1"/>
      <c r="T65" s="1"/>
      <c r="U65" s="1"/>
      <c r="V65" s="1"/>
      <c r="W65" s="1"/>
      <c r="X65" s="1"/>
      <c r="Y65" s="1"/>
      <c r="Z65" s="1"/>
    </row>
    <row r="66" ht="12.75" customHeight="1">
      <c r="A66" s="1"/>
      <c r="B66" s="1"/>
      <c r="C66" s="11"/>
      <c r="D66" s="58" t="s">
        <v>212</v>
      </c>
      <c r="E66" s="11"/>
      <c r="F66" s="38" t="s">
        <v>213</v>
      </c>
      <c r="G66" s="1"/>
      <c r="H66" s="1"/>
      <c r="I66" s="1"/>
      <c r="J66" s="1"/>
      <c r="K66" s="1"/>
      <c r="L66" s="1"/>
      <c r="M66" s="1"/>
      <c r="N66" s="1"/>
      <c r="O66" s="1"/>
      <c r="P66" s="1"/>
      <c r="Q66" s="1"/>
      <c r="R66" s="1"/>
      <c r="S66" s="1"/>
      <c r="T66" s="1"/>
      <c r="U66" s="1"/>
      <c r="V66" s="1"/>
      <c r="W66" s="1"/>
      <c r="X66" s="1"/>
      <c r="Y66" s="1"/>
      <c r="Z66" s="1"/>
    </row>
    <row r="67" ht="12.75" customHeight="1">
      <c r="A67" s="1"/>
      <c r="B67" s="1"/>
      <c r="C67" s="1"/>
      <c r="D67" s="60" t="s">
        <v>186</v>
      </c>
      <c r="E67" s="11"/>
      <c r="F67" s="48" t="s">
        <v>215</v>
      </c>
      <c r="G67" s="1"/>
      <c r="H67" s="1"/>
      <c r="I67" s="1"/>
      <c r="J67" s="1"/>
      <c r="K67" s="1"/>
      <c r="L67" s="1"/>
      <c r="M67" s="1"/>
      <c r="N67" s="1"/>
      <c r="O67" s="1"/>
      <c r="P67" s="1"/>
      <c r="Q67" s="1"/>
      <c r="R67" s="1"/>
      <c r="S67" s="1"/>
      <c r="T67" s="1"/>
      <c r="U67" s="1"/>
      <c r="V67" s="1"/>
      <c r="W67" s="1"/>
      <c r="X67" s="1"/>
      <c r="Y67" s="1"/>
      <c r="Z67" s="1"/>
    </row>
    <row r="68" ht="12.75" customHeight="1">
      <c r="A68" s="1"/>
      <c r="B68" s="1"/>
      <c r="C68" s="1"/>
      <c r="D68" s="60"/>
      <c r="E68" s="11"/>
      <c r="F68" s="1"/>
      <c r="G68" s="1"/>
      <c r="H68" s="1"/>
      <c r="I68" s="1"/>
      <c r="J68" s="1"/>
      <c r="K68" s="1"/>
      <c r="L68" s="1"/>
      <c r="M68" s="1"/>
      <c r="N68" s="1"/>
      <c r="O68" s="1"/>
      <c r="P68" s="1"/>
      <c r="Q68" s="1"/>
      <c r="R68" s="1"/>
      <c r="S68" s="1"/>
      <c r="T68" s="1"/>
      <c r="U68" s="1"/>
      <c r="V68" s="1"/>
      <c r="W68" s="1"/>
      <c r="X68" s="1"/>
      <c r="Y68" s="1"/>
      <c r="Z68" s="1"/>
    </row>
    <row r="69" ht="12.75" customHeight="1">
      <c r="A69" s="1"/>
      <c r="B69" s="1"/>
      <c r="C69" s="1"/>
      <c r="D69" s="60" t="s">
        <v>216</v>
      </c>
      <c r="E69" s="11"/>
      <c r="F69" s="38" t="s">
        <v>217</v>
      </c>
      <c r="G69" s="1"/>
      <c r="H69" s="1"/>
      <c r="I69" s="1"/>
      <c r="J69" s="1"/>
      <c r="K69" s="1"/>
      <c r="L69" s="1"/>
      <c r="M69" s="1"/>
      <c r="N69" s="1"/>
      <c r="O69" s="1"/>
      <c r="P69" s="1"/>
      <c r="Q69" s="1"/>
      <c r="R69" s="1"/>
      <c r="S69" s="1"/>
      <c r="T69" s="1"/>
      <c r="U69" s="1"/>
      <c r="V69" s="1"/>
      <c r="W69" s="1"/>
      <c r="X69" s="1"/>
      <c r="Y69" s="1"/>
      <c r="Z69" s="1"/>
    </row>
    <row r="70" ht="12.75" customHeight="1">
      <c r="A70" s="1"/>
      <c r="B70" s="1"/>
      <c r="C70" s="1"/>
      <c r="D70" s="60"/>
      <c r="E70" s="11"/>
      <c r="F70" s="48" t="s">
        <v>218</v>
      </c>
      <c r="G70" s="1"/>
      <c r="H70" s="1"/>
      <c r="I70" s="1"/>
      <c r="J70" s="1"/>
      <c r="K70" s="1"/>
      <c r="L70" s="1"/>
      <c r="M70" s="1"/>
      <c r="N70" s="1"/>
      <c r="O70" s="1"/>
      <c r="P70" s="1"/>
      <c r="Q70" s="1"/>
      <c r="R70" s="1"/>
      <c r="S70" s="1"/>
      <c r="T70" s="1"/>
      <c r="U70" s="1"/>
      <c r="V70" s="1"/>
      <c r="W70" s="1"/>
      <c r="X70" s="1"/>
      <c r="Y70" s="1"/>
      <c r="Z70" s="1"/>
    </row>
    <row r="71" ht="12.75" customHeight="1">
      <c r="A71" s="1"/>
      <c r="B71" s="1"/>
      <c r="C71" s="1"/>
      <c r="D71" s="60" t="s">
        <v>219</v>
      </c>
      <c r="E71" s="11"/>
      <c r="F71" s="1"/>
      <c r="G71" s="1"/>
      <c r="H71" s="1"/>
      <c r="I71" s="1"/>
      <c r="J71" s="1"/>
      <c r="K71" s="1"/>
      <c r="L71" s="1"/>
      <c r="M71" s="1"/>
      <c r="N71" s="1"/>
      <c r="O71" s="1"/>
      <c r="P71" s="1"/>
      <c r="Q71" s="1"/>
      <c r="R71" s="1"/>
      <c r="S71" s="1"/>
      <c r="T71" s="1"/>
      <c r="U71" s="1"/>
      <c r="V71" s="1"/>
      <c r="W71" s="1"/>
      <c r="X71" s="1"/>
      <c r="Y71" s="1"/>
      <c r="Z71" s="1"/>
    </row>
    <row r="72" ht="12.75" customHeight="1">
      <c r="A72" s="1"/>
      <c r="B72" s="1"/>
      <c r="C72" s="1"/>
      <c r="D72" s="60"/>
      <c r="E72" s="11"/>
      <c r="F72" s="41" t="s">
        <v>220</v>
      </c>
      <c r="G72" s="1"/>
      <c r="H72" s="1"/>
      <c r="I72" s="1"/>
      <c r="J72" s="1"/>
      <c r="K72" s="1"/>
      <c r="L72" s="1"/>
      <c r="M72" s="1"/>
      <c r="N72" s="1"/>
      <c r="O72" s="1"/>
      <c r="P72" s="1"/>
      <c r="Q72" s="1"/>
      <c r="R72" s="1"/>
      <c r="S72" s="1"/>
      <c r="T72" s="1"/>
      <c r="U72" s="1"/>
      <c r="V72" s="1"/>
      <c r="W72" s="1"/>
      <c r="X72" s="1"/>
      <c r="Y72" s="1"/>
      <c r="Z72" s="1"/>
    </row>
    <row r="73" ht="12.75" customHeight="1">
      <c r="A73" s="1"/>
      <c r="B73" s="1"/>
      <c r="C73" s="1"/>
      <c r="D73" s="60" t="s">
        <v>221</v>
      </c>
      <c r="E73" s="11"/>
      <c r="F73" s="45" t="s">
        <v>222</v>
      </c>
      <c r="G73" s="1"/>
      <c r="H73" s="1"/>
      <c r="I73" s="1"/>
      <c r="J73" s="1"/>
      <c r="K73" s="1"/>
      <c r="L73" s="1"/>
      <c r="M73" s="1"/>
      <c r="N73" s="1"/>
      <c r="O73" s="1"/>
      <c r="P73" s="1"/>
      <c r="Q73" s="1"/>
      <c r="R73" s="1"/>
      <c r="S73" s="1"/>
      <c r="T73" s="1"/>
      <c r="U73" s="1"/>
      <c r="V73" s="1"/>
      <c r="W73" s="1"/>
      <c r="X73" s="1"/>
      <c r="Y73" s="1"/>
      <c r="Z73" s="1"/>
    </row>
    <row r="74" ht="12.75" customHeight="1">
      <c r="A74" s="1"/>
      <c r="B74" s="1"/>
      <c r="C74" s="1"/>
      <c r="D74" s="7"/>
      <c r="E74" s="11"/>
      <c r="G74" s="1"/>
      <c r="H74" s="1"/>
      <c r="I74" s="1"/>
      <c r="J74" s="1"/>
      <c r="K74" s="1"/>
      <c r="L74" s="1"/>
      <c r="M74" s="1"/>
      <c r="N74" s="1"/>
      <c r="O74" s="1"/>
      <c r="P74" s="1"/>
      <c r="Q74" s="1"/>
      <c r="R74" s="1"/>
      <c r="S74" s="1"/>
      <c r="T74" s="1"/>
      <c r="U74" s="1"/>
      <c r="V74" s="1"/>
      <c r="W74" s="1"/>
      <c r="X74" s="1"/>
      <c r="Y74" s="1"/>
      <c r="Z74" s="1"/>
    </row>
    <row r="75" ht="12.75" customHeight="1">
      <c r="A75" s="1"/>
      <c r="B75" s="1"/>
      <c r="C75" s="1"/>
      <c r="D75" s="58" t="s">
        <v>223</v>
      </c>
      <c r="E75" s="11"/>
      <c r="G75" s="1"/>
      <c r="H75" s="1"/>
      <c r="I75" s="1"/>
      <c r="J75" s="1"/>
      <c r="K75" s="1"/>
      <c r="L75" s="1"/>
      <c r="M75" s="1"/>
      <c r="N75" s="1"/>
      <c r="O75" s="1"/>
      <c r="P75" s="1"/>
      <c r="Q75" s="1"/>
      <c r="R75" s="1"/>
      <c r="S75" s="1"/>
      <c r="T75" s="1"/>
      <c r="U75" s="1"/>
      <c r="V75" s="1"/>
      <c r="W75" s="1"/>
      <c r="X75" s="1"/>
      <c r="Y75" s="1"/>
      <c r="Z75" s="1"/>
    </row>
    <row r="76" ht="12.75" customHeight="1">
      <c r="A76" s="1"/>
      <c r="B76" s="1"/>
      <c r="C76" s="1"/>
      <c r="D76" s="60" t="s">
        <v>225</v>
      </c>
      <c r="E76" s="11"/>
      <c r="F76" s="1"/>
      <c r="G76" s="1"/>
      <c r="H76" s="1"/>
      <c r="I76" s="1"/>
      <c r="J76" s="1"/>
      <c r="K76" s="1"/>
      <c r="L76" s="1"/>
      <c r="M76" s="1"/>
      <c r="N76" s="1"/>
      <c r="O76" s="1"/>
      <c r="P76" s="1"/>
      <c r="Q76" s="1"/>
      <c r="R76" s="1"/>
      <c r="S76" s="1"/>
      <c r="T76" s="1"/>
      <c r="U76" s="1"/>
      <c r="V76" s="1"/>
      <c r="W76" s="1"/>
      <c r="X76" s="1"/>
      <c r="Y76" s="1"/>
      <c r="Z76" s="1"/>
    </row>
    <row r="77" ht="12.75" customHeight="1">
      <c r="A77" s="1"/>
      <c r="B77" s="1"/>
      <c r="C77" s="1"/>
      <c r="D77" s="60" t="s">
        <v>186</v>
      </c>
      <c r="E77" s="11"/>
      <c r="F77" s="1"/>
      <c r="G77" s="1"/>
      <c r="H77" s="1"/>
      <c r="I77" s="1"/>
      <c r="J77" s="1"/>
      <c r="K77" s="1"/>
      <c r="L77" s="1"/>
      <c r="M77" s="1"/>
      <c r="N77" s="1"/>
      <c r="O77" s="1"/>
      <c r="P77" s="1"/>
      <c r="Q77" s="1"/>
      <c r="R77" s="1"/>
      <c r="S77" s="1"/>
      <c r="T77" s="1"/>
      <c r="U77" s="1"/>
      <c r="V77" s="1"/>
      <c r="W77" s="1"/>
      <c r="X77" s="1"/>
      <c r="Y77" s="1"/>
      <c r="Z77" s="1"/>
    </row>
    <row r="78" ht="12.75" customHeight="1">
      <c r="A78" s="1"/>
      <c r="B78" s="1"/>
      <c r="C78" s="1"/>
      <c r="D78" s="60"/>
      <c r="E78" s="11"/>
      <c r="F78" s="1"/>
      <c r="G78" s="1"/>
      <c r="H78" s="1"/>
      <c r="I78" s="1"/>
      <c r="J78" s="1"/>
      <c r="K78" s="1"/>
      <c r="L78" s="1"/>
      <c r="M78" s="1"/>
      <c r="N78" s="1"/>
      <c r="O78" s="1"/>
      <c r="P78" s="1"/>
      <c r="Q78" s="1"/>
      <c r="R78" s="1"/>
      <c r="S78" s="1"/>
      <c r="T78" s="1"/>
      <c r="U78" s="1"/>
      <c r="V78" s="1"/>
      <c r="W78" s="1"/>
      <c r="X78" s="1"/>
      <c r="Y78" s="1"/>
      <c r="Z78" s="1"/>
    </row>
    <row r="79" ht="12.75" customHeight="1">
      <c r="A79" s="1"/>
      <c r="B79" s="1"/>
      <c r="C79" s="1"/>
      <c r="D79" s="60" t="s">
        <v>226</v>
      </c>
      <c r="E79" s="11"/>
      <c r="F79" s="1"/>
      <c r="G79" s="1"/>
      <c r="H79" s="1"/>
      <c r="I79" s="1"/>
      <c r="J79" s="1"/>
      <c r="K79" s="1"/>
      <c r="L79" s="1"/>
      <c r="M79" s="1"/>
      <c r="N79" s="1"/>
      <c r="O79" s="1"/>
      <c r="P79" s="1"/>
      <c r="Q79" s="1"/>
      <c r="R79" s="1"/>
      <c r="S79" s="1"/>
      <c r="T79" s="1"/>
      <c r="U79" s="1"/>
      <c r="V79" s="1"/>
      <c r="W79" s="1"/>
      <c r="X79" s="1"/>
      <c r="Y79" s="1"/>
      <c r="Z79" s="1"/>
    </row>
    <row r="80" ht="12.75" customHeight="1">
      <c r="A80" s="1"/>
      <c r="B80" s="1"/>
      <c r="C80" s="1"/>
      <c r="D80" s="59" t="s">
        <v>228</v>
      </c>
      <c r="E80" s="11"/>
      <c r="F80" s="1"/>
      <c r="G80" s="1"/>
      <c r="H80" s="1"/>
      <c r="I80" s="1"/>
      <c r="J80" s="1"/>
      <c r="K80" s="1"/>
      <c r="L80" s="1"/>
      <c r="M80" s="1"/>
      <c r="N80" s="1"/>
      <c r="O80" s="1"/>
      <c r="P80" s="1"/>
      <c r="Q80" s="1"/>
      <c r="R80" s="1"/>
      <c r="S80" s="1"/>
      <c r="T80" s="1"/>
      <c r="U80" s="1"/>
      <c r="V80" s="1"/>
      <c r="W80" s="1"/>
      <c r="X80" s="1"/>
      <c r="Y80" s="1"/>
      <c r="Z80" s="1"/>
    </row>
    <row r="81" ht="12.75" customHeight="1">
      <c r="A81" s="1"/>
      <c r="B81" s="1"/>
      <c r="C81" s="1"/>
      <c r="D81" s="59" t="s">
        <v>229</v>
      </c>
      <c r="E81" s="11"/>
      <c r="F81" s="1"/>
      <c r="G81" s="1"/>
      <c r="H81" s="1"/>
      <c r="I81" s="1"/>
      <c r="J81" s="1"/>
      <c r="K81" s="1"/>
      <c r="L81" s="1"/>
      <c r="M81" s="1"/>
      <c r="N81" s="1"/>
      <c r="O81" s="1"/>
      <c r="P81" s="1"/>
      <c r="Q81" s="1"/>
      <c r="R81" s="1"/>
      <c r="S81" s="1"/>
      <c r="T81" s="1"/>
      <c r="U81" s="1"/>
      <c r="V81" s="1"/>
      <c r="W81" s="1"/>
      <c r="X81" s="1"/>
      <c r="Y81" s="1"/>
      <c r="Z81" s="1"/>
    </row>
    <row r="82" ht="12.75" customHeight="1">
      <c r="A82" s="1"/>
      <c r="B82" s="1"/>
      <c r="C82" s="1"/>
      <c r="D82" s="60"/>
      <c r="E82" s="11"/>
      <c r="F82" s="1"/>
      <c r="G82" s="1"/>
      <c r="H82" s="1"/>
      <c r="I82" s="1"/>
      <c r="J82" s="1"/>
      <c r="K82" s="1"/>
      <c r="L82" s="1"/>
      <c r="M82" s="1"/>
      <c r="N82" s="1"/>
      <c r="O82" s="1"/>
      <c r="P82" s="1"/>
      <c r="Q82" s="1"/>
      <c r="R82" s="1"/>
      <c r="S82" s="1"/>
      <c r="T82" s="1"/>
      <c r="U82" s="1"/>
      <c r="V82" s="1"/>
      <c r="W82" s="1"/>
      <c r="X82" s="1"/>
      <c r="Y82" s="1"/>
      <c r="Z82" s="1"/>
    </row>
    <row r="83" ht="12.75" customHeight="1">
      <c r="A83" s="1"/>
      <c r="B83" s="1"/>
      <c r="C83" s="1"/>
      <c r="D83" s="60" t="s">
        <v>230</v>
      </c>
      <c r="E83" s="11"/>
      <c r="F83" s="1"/>
      <c r="G83" s="1"/>
      <c r="H83" s="1"/>
      <c r="I83" s="1"/>
      <c r="J83" s="1"/>
      <c r="K83" s="1"/>
      <c r="L83" s="1"/>
      <c r="M83" s="1"/>
      <c r="N83" s="1"/>
      <c r="O83" s="1"/>
      <c r="P83" s="1"/>
      <c r="Q83" s="1"/>
      <c r="R83" s="1"/>
      <c r="S83" s="1"/>
      <c r="T83" s="1"/>
      <c r="U83" s="1"/>
      <c r="V83" s="1"/>
      <c r="W83" s="1"/>
      <c r="X83" s="1"/>
      <c r="Y83" s="1"/>
      <c r="Z83" s="1"/>
    </row>
    <row r="84" ht="12.75" customHeight="1">
      <c r="A84" s="1"/>
      <c r="B84" s="1"/>
      <c r="C84" s="1"/>
      <c r="D84" s="59"/>
      <c r="E84" s="11"/>
      <c r="F84" s="1"/>
      <c r="G84" s="1"/>
      <c r="H84" s="1"/>
      <c r="I84" s="1"/>
      <c r="J84" s="1"/>
      <c r="K84" s="1"/>
      <c r="L84" s="1"/>
      <c r="M84" s="1"/>
      <c r="N84" s="1"/>
      <c r="O84" s="1"/>
      <c r="P84" s="1"/>
      <c r="Q84" s="1"/>
      <c r="R84" s="1"/>
      <c r="S84" s="1"/>
      <c r="T84" s="1"/>
      <c r="U84" s="1"/>
      <c r="V84" s="1"/>
      <c r="W84" s="1"/>
      <c r="X84" s="1"/>
      <c r="Y84" s="1"/>
      <c r="Z84" s="1"/>
    </row>
    <row r="85" ht="12.75" customHeight="1">
      <c r="A85" s="1"/>
      <c r="B85" s="1"/>
      <c r="C85" s="1"/>
      <c r="D85" s="60"/>
      <c r="E85" s="11"/>
      <c r="F85" s="1"/>
      <c r="G85" s="1"/>
      <c r="H85" s="1"/>
      <c r="I85" s="1"/>
      <c r="J85" s="1"/>
      <c r="K85" s="1"/>
      <c r="L85" s="1"/>
      <c r="M85" s="1"/>
      <c r="N85" s="1"/>
      <c r="O85" s="1"/>
      <c r="P85" s="1"/>
      <c r="Q85" s="1"/>
      <c r="R85" s="1"/>
      <c r="S85" s="1"/>
      <c r="T85" s="1"/>
      <c r="U85" s="1"/>
      <c r="V85" s="1"/>
      <c r="W85" s="1"/>
      <c r="X85" s="1"/>
      <c r="Y85" s="1"/>
      <c r="Z85" s="1"/>
    </row>
    <row r="86" ht="12.75" customHeight="1">
      <c r="A86" s="1"/>
      <c r="B86" s="1"/>
      <c r="C86" s="1"/>
      <c r="D86" s="60" t="s">
        <v>232</v>
      </c>
      <c r="E86" s="11"/>
      <c r="F86" s="1"/>
      <c r="G86" s="1"/>
      <c r="H86" s="1"/>
      <c r="I86" s="1"/>
      <c r="J86" s="1"/>
      <c r="K86" s="1"/>
      <c r="L86" s="1"/>
      <c r="M86" s="1"/>
      <c r="N86" s="1"/>
      <c r="O86" s="1"/>
      <c r="P86" s="1"/>
      <c r="Q86" s="1"/>
      <c r="R86" s="1"/>
      <c r="S86" s="1"/>
      <c r="T86" s="1"/>
      <c r="U86" s="1"/>
      <c r="V86" s="1"/>
      <c r="W86" s="1"/>
      <c r="X86" s="1"/>
      <c r="Y86" s="1"/>
      <c r="Z86" s="1"/>
    </row>
    <row r="87" ht="12.75" customHeight="1">
      <c r="A87" s="1"/>
      <c r="B87" s="1"/>
      <c r="C87" s="1"/>
      <c r="D87" s="60"/>
      <c r="E87" s="11"/>
      <c r="F87" s="1"/>
      <c r="G87" s="1"/>
      <c r="H87" s="1"/>
      <c r="I87" s="1"/>
      <c r="J87" s="1"/>
      <c r="K87" s="1"/>
      <c r="L87" s="1"/>
      <c r="M87" s="1"/>
      <c r="N87" s="1"/>
      <c r="O87" s="1"/>
      <c r="P87" s="1"/>
      <c r="Q87" s="1"/>
      <c r="R87" s="1"/>
      <c r="S87" s="1"/>
      <c r="T87" s="1"/>
      <c r="U87" s="1"/>
      <c r="V87" s="1"/>
      <c r="W87" s="1"/>
      <c r="X87" s="1"/>
      <c r="Y87" s="1"/>
      <c r="Z87" s="1"/>
    </row>
    <row r="88" ht="12.75" customHeight="1">
      <c r="A88" s="1"/>
      <c r="B88" s="1"/>
      <c r="C88" s="1"/>
      <c r="D88" s="60" t="s">
        <v>234</v>
      </c>
      <c r="E88" s="11"/>
      <c r="F88" s="1"/>
      <c r="G88" s="1"/>
      <c r="H88" s="1"/>
      <c r="I88" s="1"/>
      <c r="J88" s="1"/>
      <c r="K88" s="1"/>
      <c r="L88" s="1"/>
      <c r="M88" s="1"/>
      <c r="N88" s="1"/>
      <c r="O88" s="1"/>
      <c r="P88" s="1"/>
      <c r="Q88" s="1"/>
      <c r="R88" s="1"/>
      <c r="S88" s="1"/>
      <c r="T88" s="1"/>
      <c r="U88" s="1"/>
      <c r="V88" s="1"/>
      <c r="W88" s="1"/>
      <c r="X88" s="1"/>
      <c r="Y88" s="1"/>
      <c r="Z88" s="1"/>
    </row>
    <row r="89" ht="12.75" customHeight="1">
      <c r="A89" s="1"/>
      <c r="B89" s="1"/>
      <c r="C89" s="1"/>
      <c r="D89" s="59" t="s">
        <v>235</v>
      </c>
      <c r="E89" s="11"/>
      <c r="F89" s="1"/>
      <c r="G89" s="1"/>
      <c r="H89" s="1"/>
      <c r="I89" s="1"/>
      <c r="J89" s="1"/>
      <c r="K89" s="1"/>
      <c r="L89" s="1"/>
      <c r="M89" s="1"/>
      <c r="N89" s="1"/>
      <c r="O89" s="1"/>
      <c r="P89" s="1"/>
      <c r="Q89" s="1"/>
      <c r="R89" s="1"/>
      <c r="S89" s="1"/>
      <c r="T89" s="1"/>
      <c r="U89" s="1"/>
      <c r="V89" s="1"/>
      <c r="W89" s="1"/>
      <c r="X89" s="1"/>
      <c r="Y89" s="1"/>
      <c r="Z89" s="1"/>
    </row>
    <row r="90" ht="12.75" customHeight="1">
      <c r="A90" s="1"/>
      <c r="B90" s="1"/>
      <c r="C90" s="1"/>
      <c r="D90" s="59" t="s">
        <v>236</v>
      </c>
      <c r="E90" s="11"/>
      <c r="F90" s="1"/>
      <c r="G90" s="1"/>
      <c r="H90" s="1"/>
      <c r="I90" s="1"/>
      <c r="J90" s="1"/>
      <c r="K90" s="1"/>
      <c r="L90" s="1"/>
      <c r="M90" s="1"/>
      <c r="N90" s="1"/>
      <c r="O90" s="1"/>
      <c r="P90" s="1"/>
      <c r="Q90" s="1"/>
      <c r="R90" s="1"/>
      <c r="S90" s="1"/>
      <c r="T90" s="1"/>
      <c r="U90" s="1"/>
      <c r="V90" s="1"/>
      <c r="W90" s="1"/>
      <c r="X90" s="1"/>
      <c r="Y90" s="1"/>
      <c r="Z90" s="1"/>
    </row>
    <row r="91" ht="12.75" customHeight="1">
      <c r="A91" s="1"/>
      <c r="B91" s="1"/>
      <c r="C91" s="1"/>
      <c r="D91" s="60"/>
      <c r="E91" s="11"/>
      <c r="F91" s="1"/>
      <c r="G91" s="1"/>
      <c r="H91" s="1"/>
      <c r="I91" s="1"/>
      <c r="J91" s="1"/>
      <c r="K91" s="1"/>
      <c r="L91" s="1"/>
      <c r="M91" s="1"/>
      <c r="N91" s="1"/>
      <c r="O91" s="1"/>
      <c r="P91" s="1"/>
      <c r="Q91" s="1"/>
      <c r="R91" s="1"/>
      <c r="S91" s="1"/>
      <c r="T91" s="1"/>
      <c r="U91" s="1"/>
      <c r="V91" s="1"/>
      <c r="W91" s="1"/>
      <c r="X91" s="1"/>
      <c r="Y91" s="1"/>
      <c r="Z91" s="1"/>
    </row>
    <row r="92" ht="12.75" customHeight="1">
      <c r="A92" s="1"/>
      <c r="B92" s="1"/>
      <c r="C92" s="1"/>
      <c r="D92" s="59" t="s">
        <v>237</v>
      </c>
      <c r="E92" s="11"/>
      <c r="F92" s="1"/>
      <c r="G92" s="1"/>
      <c r="H92" s="1"/>
      <c r="I92" s="1"/>
      <c r="J92" s="1"/>
      <c r="K92" s="1"/>
      <c r="L92" s="1"/>
      <c r="M92" s="1"/>
      <c r="N92" s="1"/>
      <c r="O92" s="1"/>
      <c r="P92" s="1"/>
      <c r="Q92" s="1"/>
      <c r="R92" s="1"/>
      <c r="S92" s="1"/>
      <c r="T92" s="1"/>
      <c r="U92" s="1"/>
      <c r="V92" s="1"/>
      <c r="W92" s="1"/>
      <c r="X92" s="1"/>
      <c r="Y92" s="1"/>
      <c r="Z92" s="1"/>
    </row>
    <row r="93" ht="12.75" customHeight="1">
      <c r="A93" s="1"/>
      <c r="B93" s="1"/>
      <c r="C93" s="1"/>
      <c r="D93" s="59" t="s">
        <v>239</v>
      </c>
      <c r="E93" s="11"/>
      <c r="F93" s="1"/>
      <c r="G93" s="1"/>
      <c r="H93" s="1"/>
      <c r="I93" s="1"/>
      <c r="J93" s="1"/>
      <c r="K93" s="1"/>
      <c r="L93" s="1"/>
      <c r="M93" s="1"/>
      <c r="N93" s="1"/>
      <c r="O93" s="1"/>
      <c r="P93" s="1"/>
      <c r="Q93" s="1"/>
      <c r="R93" s="1"/>
      <c r="S93" s="1"/>
      <c r="T93" s="1"/>
      <c r="U93" s="1"/>
      <c r="V93" s="1"/>
      <c r="W93" s="1"/>
      <c r="X93" s="1"/>
      <c r="Y93" s="1"/>
      <c r="Z93" s="1"/>
    </row>
    <row r="94" ht="12.75" customHeight="1">
      <c r="A94" s="1"/>
      <c r="B94" s="1"/>
      <c r="C94" s="1"/>
      <c r="D94" s="59"/>
      <c r="E94" s="11"/>
      <c r="F94" s="1"/>
      <c r="G94" s="1"/>
      <c r="H94" s="1"/>
      <c r="I94" s="1"/>
      <c r="J94" s="1"/>
      <c r="K94" s="1"/>
      <c r="L94" s="1"/>
      <c r="M94" s="1"/>
      <c r="N94" s="1"/>
      <c r="O94" s="1"/>
      <c r="P94" s="1"/>
      <c r="Q94" s="1"/>
      <c r="R94" s="1"/>
      <c r="S94" s="1"/>
      <c r="T94" s="1"/>
      <c r="U94" s="1"/>
      <c r="V94" s="1"/>
      <c r="W94" s="1"/>
      <c r="X94" s="1"/>
      <c r="Y94" s="1"/>
      <c r="Z94" s="1"/>
    </row>
    <row r="95" ht="12.75" customHeight="1">
      <c r="A95" s="1"/>
      <c r="B95" s="1"/>
      <c r="C95" s="1"/>
      <c r="D95" s="59" t="s">
        <v>241</v>
      </c>
      <c r="E95" s="11"/>
      <c r="F95" s="1"/>
      <c r="G95" s="1"/>
      <c r="H95" s="1"/>
      <c r="I95" s="1"/>
      <c r="J95" s="1"/>
      <c r="K95" s="1"/>
      <c r="L95" s="1"/>
      <c r="M95" s="1"/>
      <c r="N95" s="1"/>
      <c r="O95" s="1"/>
      <c r="P95" s="1"/>
      <c r="Q95" s="1"/>
      <c r="R95" s="1"/>
      <c r="S95" s="1"/>
      <c r="T95" s="1"/>
      <c r="U95" s="1"/>
      <c r="V95" s="1"/>
      <c r="W95" s="1"/>
      <c r="X95" s="1"/>
      <c r="Y95" s="1"/>
      <c r="Z95" s="1"/>
    </row>
    <row r="96" ht="12.75" customHeight="1">
      <c r="A96" s="1"/>
      <c r="B96" s="1"/>
      <c r="C96" s="1"/>
      <c r="D96" s="59" t="s">
        <v>242</v>
      </c>
      <c r="E96" s="11"/>
      <c r="F96" s="1"/>
      <c r="G96" s="1"/>
      <c r="H96" s="1"/>
      <c r="I96" s="1"/>
      <c r="J96" s="1"/>
      <c r="K96" s="1"/>
      <c r="L96" s="1"/>
      <c r="M96" s="1"/>
      <c r="N96" s="1"/>
      <c r="O96" s="1"/>
      <c r="P96" s="1"/>
      <c r="Q96" s="1"/>
      <c r="R96" s="1"/>
      <c r="S96" s="1"/>
      <c r="T96" s="1"/>
      <c r="U96" s="1"/>
      <c r="V96" s="1"/>
      <c r="W96" s="1"/>
      <c r="X96" s="1"/>
      <c r="Y96" s="1"/>
      <c r="Z96" s="1"/>
    </row>
    <row r="97" ht="12.75" customHeight="1">
      <c r="A97" s="1"/>
      <c r="B97" s="1"/>
      <c r="C97" s="1"/>
      <c r="D97" s="59" t="s">
        <v>243</v>
      </c>
      <c r="E97" s="11"/>
      <c r="F97" s="1"/>
      <c r="G97" s="1"/>
      <c r="H97" s="1"/>
      <c r="I97" s="1"/>
      <c r="J97" s="1"/>
      <c r="K97" s="1"/>
      <c r="L97" s="1"/>
      <c r="M97" s="1"/>
      <c r="N97" s="1"/>
      <c r="O97" s="1"/>
      <c r="P97" s="1"/>
      <c r="Q97" s="1"/>
      <c r="R97" s="1"/>
      <c r="S97" s="1"/>
      <c r="T97" s="1"/>
      <c r="U97" s="1"/>
      <c r="V97" s="1"/>
      <c r="W97" s="1"/>
      <c r="X97" s="1"/>
      <c r="Y97" s="1"/>
      <c r="Z97" s="1"/>
    </row>
    <row r="98" ht="12.75" customHeight="1">
      <c r="A98" s="1"/>
      <c r="B98" s="1"/>
      <c r="C98" s="1"/>
      <c r="D98" s="59" t="s">
        <v>245</v>
      </c>
      <c r="E98" s="11"/>
      <c r="F98" s="1"/>
      <c r="G98" s="1"/>
      <c r="H98" s="1"/>
      <c r="I98" s="1"/>
      <c r="J98" s="1"/>
      <c r="K98" s="1"/>
      <c r="L98" s="1"/>
      <c r="M98" s="1"/>
      <c r="N98" s="1"/>
      <c r="O98" s="1"/>
      <c r="P98" s="1"/>
      <c r="Q98" s="1"/>
      <c r="R98" s="1"/>
      <c r="S98" s="1"/>
      <c r="T98" s="1"/>
      <c r="U98" s="1"/>
      <c r="V98" s="1"/>
      <c r="W98" s="1"/>
      <c r="X98" s="1"/>
      <c r="Y98" s="1"/>
      <c r="Z98" s="1"/>
    </row>
    <row r="99" ht="12.75" customHeight="1">
      <c r="A99" s="1"/>
      <c r="B99" s="1"/>
      <c r="C99" s="1"/>
      <c r="D99" s="1"/>
      <c r="E99" s="11"/>
      <c r="F99" s="1"/>
      <c r="G99" s="1"/>
      <c r="H99" s="1"/>
      <c r="I99" s="1"/>
      <c r="J99" s="1"/>
      <c r="K99" s="1"/>
      <c r="L99" s="1"/>
      <c r="M99" s="1"/>
      <c r="N99" s="1"/>
      <c r="O99" s="1"/>
      <c r="P99" s="1"/>
      <c r="Q99" s="1"/>
      <c r="R99" s="1"/>
      <c r="S99" s="1"/>
      <c r="T99" s="1"/>
      <c r="U99" s="1"/>
      <c r="V99" s="1"/>
      <c r="W99" s="1"/>
      <c r="X99" s="1"/>
      <c r="Y99" s="1"/>
      <c r="Z99" s="1"/>
    </row>
    <row r="100" ht="12.75" customHeight="1">
      <c r="A100" s="1"/>
      <c r="B100" s="1"/>
      <c r="C100" s="1"/>
      <c r="D100" s="35" t="s">
        <v>246</v>
      </c>
      <c r="E100" s="11"/>
      <c r="F100" s="1"/>
      <c r="G100" s="1"/>
      <c r="H100" s="1"/>
      <c r="I100" s="1"/>
      <c r="J100" s="1"/>
      <c r="K100" s="1"/>
      <c r="L100" s="1"/>
      <c r="M100" s="1"/>
      <c r="N100" s="1"/>
      <c r="O100" s="1"/>
      <c r="P100" s="1"/>
      <c r="Q100" s="1"/>
      <c r="R100" s="1"/>
      <c r="S100" s="1"/>
      <c r="T100" s="1"/>
      <c r="U100" s="1"/>
      <c r="V100" s="1"/>
      <c r="W100" s="1"/>
      <c r="X100" s="1"/>
      <c r="Y100" s="1"/>
      <c r="Z100" s="1"/>
    </row>
    <row r="101" ht="12.75" customHeight="1">
      <c r="A101" s="1"/>
      <c r="B101" s="1"/>
      <c r="C101" s="11"/>
      <c r="D101" s="7" t="s">
        <v>186</v>
      </c>
      <c r="E101" s="11"/>
      <c r="F101" s="1"/>
      <c r="G101" s="1"/>
      <c r="H101" s="1"/>
      <c r="I101" s="1"/>
      <c r="J101" s="1"/>
      <c r="K101" s="1"/>
      <c r="L101" s="1"/>
      <c r="M101" s="1"/>
      <c r="N101" s="1"/>
      <c r="O101" s="1"/>
      <c r="P101" s="1"/>
      <c r="Q101" s="1"/>
      <c r="R101" s="1"/>
      <c r="S101" s="1"/>
      <c r="T101" s="1"/>
      <c r="U101" s="1"/>
      <c r="V101" s="1"/>
      <c r="W101" s="1"/>
      <c r="X101" s="1"/>
      <c r="Y101" s="1"/>
      <c r="Z101" s="1"/>
    </row>
    <row r="102" ht="12.75" customHeight="1">
      <c r="A102" s="1"/>
      <c r="B102" s="1"/>
      <c r="C102" s="11"/>
      <c r="D102" s="7" t="s">
        <v>248</v>
      </c>
      <c r="E102" s="1"/>
      <c r="F102" s="1"/>
      <c r="G102" s="1"/>
      <c r="H102" s="1"/>
      <c r="I102" s="1"/>
      <c r="J102" s="1"/>
      <c r="K102" s="1"/>
      <c r="L102" s="1"/>
      <c r="M102" s="1"/>
      <c r="N102" s="1"/>
      <c r="O102" s="1"/>
      <c r="P102" s="1"/>
      <c r="Q102" s="1"/>
      <c r="R102" s="1"/>
      <c r="S102" s="1"/>
      <c r="T102" s="1"/>
      <c r="U102" s="1"/>
      <c r="V102" s="1"/>
      <c r="W102" s="1"/>
      <c r="X102" s="1"/>
      <c r="Y102" s="1"/>
      <c r="Z102" s="1"/>
    </row>
    <row r="103" ht="12.75" customHeight="1">
      <c r="A103" s="1"/>
      <c r="B103" s="1"/>
      <c r="C103" s="11"/>
      <c r="D103" s="7" t="s">
        <v>249</v>
      </c>
      <c r="E103" s="1"/>
      <c r="F103" s="1"/>
      <c r="G103" s="1"/>
      <c r="H103" s="1"/>
      <c r="I103" s="1"/>
      <c r="J103" s="1"/>
      <c r="K103" s="1"/>
      <c r="L103" s="1"/>
      <c r="M103" s="1"/>
      <c r="N103" s="1"/>
      <c r="O103" s="1"/>
      <c r="P103" s="1"/>
      <c r="Q103" s="1"/>
      <c r="R103" s="1"/>
      <c r="S103" s="1"/>
      <c r="T103" s="1"/>
      <c r="U103" s="1"/>
      <c r="V103" s="1"/>
      <c r="W103" s="1"/>
      <c r="X103" s="1"/>
      <c r="Y103" s="1"/>
      <c r="Z103" s="1"/>
    </row>
    <row r="104" ht="12.75" customHeight="1">
      <c r="A104" s="1"/>
      <c r="B104" s="1"/>
      <c r="C104" s="11"/>
      <c r="D104" s="20" t="s">
        <v>251</v>
      </c>
      <c r="E104" s="1"/>
      <c r="F104" s="1"/>
      <c r="G104" s="1"/>
      <c r="H104" s="1"/>
      <c r="I104" s="1"/>
      <c r="J104" s="1"/>
      <c r="K104" s="1"/>
      <c r="L104" s="1"/>
      <c r="M104" s="1"/>
      <c r="N104" s="1"/>
      <c r="O104" s="1"/>
      <c r="P104" s="1"/>
      <c r="Q104" s="1"/>
      <c r="R104" s="1"/>
      <c r="S104" s="1"/>
      <c r="T104" s="1"/>
      <c r="U104" s="1"/>
      <c r="V104" s="1"/>
      <c r="W104" s="1"/>
      <c r="X104" s="1"/>
      <c r="Y104" s="1"/>
      <c r="Z104" s="1"/>
    </row>
    <row r="105" ht="12.75" customHeight="1">
      <c r="A105" s="1"/>
      <c r="B105" s="1"/>
      <c r="C105" s="11"/>
      <c r="D105" s="7" t="s">
        <v>252</v>
      </c>
      <c r="E105" s="1"/>
      <c r="F105" s="1"/>
      <c r="G105" s="1"/>
      <c r="H105" s="1"/>
      <c r="I105" s="1"/>
      <c r="J105" s="1"/>
      <c r="K105" s="1"/>
      <c r="L105" s="1"/>
      <c r="M105" s="1"/>
      <c r="N105" s="1"/>
      <c r="O105" s="1"/>
      <c r="P105" s="1"/>
      <c r="Q105" s="1"/>
      <c r="R105" s="1"/>
      <c r="S105" s="1"/>
      <c r="T105" s="1"/>
      <c r="U105" s="1"/>
      <c r="V105" s="1"/>
      <c r="W105" s="1"/>
      <c r="X105" s="1"/>
      <c r="Y105" s="1"/>
      <c r="Z105" s="1"/>
    </row>
    <row r="106" ht="12.75" customHeight="1">
      <c r="A106" s="1"/>
      <c r="B106" s="1"/>
      <c r="C106" s="11"/>
      <c r="D106" s="7" t="s">
        <v>253</v>
      </c>
      <c r="E106" s="11"/>
      <c r="F106" s="1"/>
      <c r="G106" s="1"/>
      <c r="H106" s="1"/>
      <c r="I106" s="1"/>
      <c r="J106" s="1"/>
      <c r="K106" s="1"/>
      <c r="L106" s="1"/>
      <c r="M106" s="1"/>
      <c r="N106" s="1"/>
      <c r="O106" s="1"/>
      <c r="P106" s="1"/>
      <c r="Q106" s="1"/>
      <c r="R106" s="1"/>
      <c r="S106" s="1"/>
      <c r="T106" s="1"/>
      <c r="U106" s="1"/>
      <c r="V106" s="1"/>
      <c r="W106" s="1"/>
      <c r="X106" s="1"/>
      <c r="Y106" s="1"/>
      <c r="Z106" s="1"/>
    </row>
    <row r="107" ht="12.75" customHeight="1">
      <c r="A107" s="1"/>
      <c r="B107" s="1"/>
      <c r="C107" s="11"/>
      <c r="D107" s="7" t="s">
        <v>254</v>
      </c>
      <c r="E107" s="11"/>
      <c r="F107" s="1"/>
      <c r="G107" s="1"/>
      <c r="H107" s="1"/>
      <c r="I107" s="1"/>
      <c r="J107" s="1"/>
      <c r="K107" s="1"/>
      <c r="L107" s="1"/>
      <c r="M107" s="1"/>
      <c r="N107" s="1"/>
      <c r="O107" s="1"/>
      <c r="P107" s="1"/>
      <c r="Q107" s="1"/>
      <c r="R107" s="1"/>
      <c r="S107" s="1"/>
      <c r="T107" s="1"/>
      <c r="U107" s="1"/>
      <c r="V107" s="1"/>
      <c r="W107" s="1"/>
      <c r="X107" s="1"/>
      <c r="Y107" s="1"/>
      <c r="Z107" s="1"/>
    </row>
    <row r="108" ht="12.75" customHeight="1">
      <c r="A108" s="1"/>
      <c r="B108" s="1"/>
      <c r="C108" s="11"/>
      <c r="D108" s="1"/>
      <c r="E108" s="11"/>
      <c r="F108" s="1"/>
      <c r="G108" s="1"/>
      <c r="H108" s="1"/>
      <c r="I108" s="1"/>
      <c r="J108" s="1"/>
      <c r="K108" s="1"/>
      <c r="L108" s="1"/>
      <c r="M108" s="1"/>
      <c r="N108" s="1"/>
      <c r="O108" s="1"/>
      <c r="P108" s="1"/>
      <c r="Q108" s="1"/>
      <c r="R108" s="1"/>
      <c r="S108" s="1"/>
      <c r="T108" s="1"/>
      <c r="U108" s="1"/>
      <c r="V108" s="1"/>
      <c r="W108" s="1"/>
      <c r="X108" s="1"/>
      <c r="Y108" s="1"/>
      <c r="Z108" s="1"/>
    </row>
    <row r="109" ht="12.75" customHeight="1">
      <c r="A109" s="1"/>
      <c r="B109" s="1"/>
      <c r="C109" s="11"/>
      <c r="D109" s="7" t="s">
        <v>226</v>
      </c>
      <c r="E109" s="11"/>
      <c r="F109" s="1"/>
      <c r="G109" s="1"/>
      <c r="H109" s="1"/>
      <c r="I109" s="1"/>
      <c r="J109" s="1"/>
      <c r="K109" s="1"/>
      <c r="L109" s="1"/>
      <c r="M109" s="1"/>
      <c r="N109" s="1"/>
      <c r="O109" s="1"/>
      <c r="P109" s="1"/>
      <c r="Q109" s="1"/>
      <c r="R109" s="1"/>
      <c r="S109" s="1"/>
      <c r="T109" s="1"/>
      <c r="U109" s="1"/>
      <c r="V109" s="1"/>
      <c r="W109" s="1"/>
      <c r="X109" s="1"/>
      <c r="Y109" s="1"/>
      <c r="Z109" s="1"/>
    </row>
    <row r="110" ht="12.75" customHeight="1">
      <c r="A110" s="1"/>
      <c r="B110" s="1"/>
      <c r="C110" s="11"/>
      <c r="D110" s="20" t="s">
        <v>228</v>
      </c>
      <c r="E110" s="11"/>
      <c r="F110" s="1"/>
      <c r="G110" s="1"/>
      <c r="H110" s="1"/>
      <c r="I110" s="1"/>
      <c r="J110" s="1"/>
      <c r="K110" s="1"/>
      <c r="L110" s="1"/>
      <c r="M110" s="1"/>
      <c r="N110" s="1"/>
      <c r="O110" s="1"/>
      <c r="P110" s="1"/>
      <c r="Q110" s="1"/>
      <c r="R110" s="1"/>
      <c r="S110" s="1"/>
      <c r="T110" s="1"/>
      <c r="U110" s="1"/>
      <c r="V110" s="1"/>
      <c r="W110" s="1"/>
      <c r="X110" s="1"/>
      <c r="Y110" s="1"/>
      <c r="Z110" s="1"/>
    </row>
    <row r="111" ht="12.75" customHeight="1">
      <c r="A111" s="1"/>
      <c r="B111" s="1"/>
      <c r="C111" s="11"/>
      <c r="D111" s="20" t="s">
        <v>256</v>
      </c>
      <c r="E111" s="11"/>
      <c r="F111" s="1"/>
      <c r="G111" s="1"/>
      <c r="H111" s="1"/>
      <c r="I111" s="1"/>
      <c r="J111" s="1"/>
      <c r="K111" s="1"/>
      <c r="L111" s="1"/>
      <c r="M111" s="1"/>
      <c r="N111" s="1"/>
      <c r="O111" s="1"/>
      <c r="P111" s="1"/>
      <c r="Q111" s="1"/>
      <c r="R111" s="1"/>
      <c r="S111" s="1"/>
      <c r="T111" s="1"/>
      <c r="U111" s="1"/>
      <c r="V111" s="1"/>
      <c r="W111" s="1"/>
      <c r="X111" s="1"/>
      <c r="Y111" s="1"/>
      <c r="Z111" s="1"/>
    </row>
    <row r="112" ht="12.75" customHeight="1">
      <c r="A112" s="1"/>
      <c r="B112" s="1"/>
      <c r="C112" s="11"/>
      <c r="D112" s="20" t="s">
        <v>229</v>
      </c>
      <c r="E112" s="11"/>
      <c r="F112" s="1"/>
      <c r="G112" s="1"/>
      <c r="H112" s="1"/>
      <c r="I112" s="1"/>
      <c r="J112" s="1"/>
      <c r="K112" s="1"/>
      <c r="L112" s="1"/>
      <c r="M112" s="1"/>
      <c r="N112" s="1"/>
      <c r="O112" s="1"/>
      <c r="P112" s="1"/>
      <c r="Q112" s="1"/>
      <c r="R112" s="1"/>
      <c r="S112" s="1"/>
      <c r="T112" s="1"/>
      <c r="U112" s="1"/>
      <c r="V112" s="1"/>
      <c r="W112" s="1"/>
      <c r="X112" s="1"/>
      <c r="Y112" s="1"/>
      <c r="Z112" s="1"/>
    </row>
    <row r="113" ht="12.75" customHeight="1">
      <c r="A113" s="1"/>
      <c r="B113" s="1"/>
      <c r="C113" s="11"/>
      <c r="D113" s="1"/>
      <c r="E113" s="11"/>
      <c r="F113" s="1"/>
      <c r="G113" s="1"/>
      <c r="H113" s="1"/>
      <c r="I113" s="1"/>
      <c r="J113" s="1"/>
      <c r="K113" s="1"/>
      <c r="L113" s="1"/>
      <c r="M113" s="1"/>
      <c r="N113" s="1"/>
      <c r="O113" s="1"/>
      <c r="P113" s="1"/>
      <c r="Q113" s="1"/>
      <c r="R113" s="1"/>
      <c r="S113" s="1"/>
      <c r="T113" s="1"/>
      <c r="U113" s="1"/>
      <c r="V113" s="1"/>
      <c r="W113" s="1"/>
      <c r="X113" s="1"/>
      <c r="Y113" s="1"/>
      <c r="Z113" s="1"/>
    </row>
    <row r="114" ht="12.75" customHeight="1">
      <c r="A114" s="1"/>
      <c r="B114" s="1"/>
      <c r="C114" s="11"/>
      <c r="D114" s="7" t="s">
        <v>258</v>
      </c>
      <c r="E114" s="11"/>
      <c r="F114" s="1"/>
      <c r="G114" s="1"/>
      <c r="H114" s="1"/>
      <c r="I114" s="1"/>
      <c r="J114" s="1"/>
      <c r="K114" s="1"/>
      <c r="L114" s="1"/>
      <c r="M114" s="1"/>
      <c r="N114" s="1"/>
      <c r="O114" s="1"/>
      <c r="P114" s="1"/>
      <c r="Q114" s="1"/>
      <c r="R114" s="1"/>
      <c r="S114" s="1"/>
      <c r="T114" s="1"/>
      <c r="U114" s="1"/>
      <c r="V114" s="1"/>
      <c r="W114" s="1"/>
      <c r="X114" s="1"/>
      <c r="Y114" s="1"/>
      <c r="Z114" s="1"/>
    </row>
    <row r="115" ht="12.75" customHeight="1">
      <c r="A115" s="1"/>
      <c r="B115" s="1"/>
      <c r="C115" s="11"/>
      <c r="D115" s="20"/>
      <c r="E115" s="11"/>
      <c r="F115" s="1"/>
      <c r="G115" s="1"/>
      <c r="H115" s="1"/>
      <c r="I115" s="1"/>
      <c r="J115" s="1"/>
      <c r="K115" s="1"/>
      <c r="L115" s="1"/>
      <c r="M115" s="1"/>
      <c r="N115" s="1"/>
      <c r="O115" s="1"/>
      <c r="P115" s="1"/>
      <c r="Q115" s="1"/>
      <c r="R115" s="1"/>
      <c r="S115" s="1"/>
      <c r="T115" s="1"/>
      <c r="U115" s="1"/>
      <c r="V115" s="1"/>
      <c r="W115" s="1"/>
      <c r="X115" s="1"/>
      <c r="Y115" s="1"/>
      <c r="Z115" s="1"/>
    </row>
    <row r="116" ht="12.75" customHeight="1">
      <c r="A116" s="1"/>
      <c r="B116" s="1"/>
      <c r="C116" s="11"/>
      <c r="D116" s="7"/>
      <c r="E116" s="11"/>
      <c r="F116" s="1"/>
      <c r="G116" s="1"/>
      <c r="H116" s="1"/>
      <c r="I116" s="1"/>
      <c r="J116" s="1"/>
      <c r="K116" s="1"/>
      <c r="L116" s="1"/>
      <c r="M116" s="1"/>
      <c r="N116" s="1"/>
      <c r="O116" s="1"/>
      <c r="P116" s="1"/>
      <c r="Q116" s="1"/>
      <c r="R116" s="1"/>
      <c r="S116" s="1"/>
      <c r="T116" s="1"/>
      <c r="U116" s="1"/>
      <c r="V116" s="1"/>
      <c r="W116" s="1"/>
      <c r="X116" s="1"/>
      <c r="Y116" s="1"/>
      <c r="Z116" s="1"/>
    </row>
    <row r="117" ht="12.75" customHeight="1">
      <c r="A117" s="1"/>
      <c r="B117" s="1"/>
      <c r="C117" s="11"/>
      <c r="D117" s="7" t="s">
        <v>259</v>
      </c>
      <c r="E117" s="11"/>
      <c r="F117" s="1"/>
      <c r="G117" s="1"/>
      <c r="H117" s="1"/>
      <c r="I117" s="1"/>
      <c r="J117" s="1"/>
      <c r="K117" s="1"/>
      <c r="L117" s="1"/>
      <c r="M117" s="1"/>
      <c r="N117" s="1"/>
      <c r="O117" s="1"/>
      <c r="P117" s="1"/>
      <c r="Q117" s="1"/>
      <c r="R117" s="1"/>
      <c r="S117" s="1"/>
      <c r="T117" s="1"/>
      <c r="U117" s="1"/>
      <c r="V117" s="1"/>
      <c r="W117" s="1"/>
      <c r="X117" s="1"/>
      <c r="Y117" s="1"/>
      <c r="Z117" s="1"/>
    </row>
    <row r="118" ht="12.75" customHeight="1">
      <c r="A118" s="1"/>
      <c r="B118" s="1"/>
      <c r="C118" s="11"/>
      <c r="D118" s="1"/>
      <c r="E118" s="11"/>
      <c r="F118" s="1"/>
      <c r="G118" s="1"/>
      <c r="H118" s="1"/>
      <c r="I118" s="1"/>
      <c r="J118" s="1"/>
      <c r="K118" s="1"/>
      <c r="L118" s="1"/>
      <c r="M118" s="1"/>
      <c r="N118" s="1"/>
      <c r="O118" s="1"/>
      <c r="P118" s="1"/>
      <c r="Q118" s="1"/>
      <c r="R118" s="1"/>
      <c r="S118" s="1"/>
      <c r="T118" s="1"/>
      <c r="U118" s="1"/>
      <c r="V118" s="1"/>
      <c r="W118" s="1"/>
      <c r="X118" s="1"/>
      <c r="Y118" s="1"/>
      <c r="Z118" s="1"/>
    </row>
    <row r="119" ht="12.75" customHeight="1">
      <c r="A119" s="1"/>
      <c r="B119" s="1"/>
      <c r="C119" s="11"/>
      <c r="D119" s="7" t="s">
        <v>260</v>
      </c>
      <c r="E119" s="11"/>
      <c r="F119" s="1"/>
      <c r="G119" s="1"/>
      <c r="H119" s="1"/>
      <c r="I119" s="1"/>
      <c r="J119" s="1"/>
      <c r="K119" s="1"/>
      <c r="L119" s="1"/>
      <c r="M119" s="1"/>
      <c r="N119" s="1"/>
      <c r="O119" s="1"/>
      <c r="P119" s="1"/>
      <c r="Q119" s="1"/>
      <c r="R119" s="1"/>
      <c r="S119" s="1"/>
      <c r="T119" s="1"/>
      <c r="U119" s="1"/>
      <c r="V119" s="1"/>
      <c r="W119" s="1"/>
      <c r="X119" s="1"/>
      <c r="Y119" s="1"/>
      <c r="Z119" s="1"/>
    </row>
    <row r="120" ht="12.75" customHeight="1">
      <c r="A120" s="1"/>
      <c r="B120" s="1"/>
      <c r="C120" s="11"/>
      <c r="D120" s="20" t="s">
        <v>261</v>
      </c>
      <c r="E120" s="11"/>
      <c r="F120" s="1"/>
      <c r="G120" s="1"/>
      <c r="H120" s="1"/>
      <c r="I120" s="1"/>
      <c r="J120" s="1"/>
      <c r="K120" s="1"/>
      <c r="L120" s="1"/>
      <c r="M120" s="1"/>
      <c r="N120" s="1"/>
      <c r="O120" s="1"/>
      <c r="P120" s="1"/>
      <c r="Q120" s="1"/>
      <c r="R120" s="1"/>
      <c r="S120" s="1"/>
      <c r="T120" s="1"/>
      <c r="U120" s="1"/>
      <c r="V120" s="1"/>
      <c r="W120" s="1"/>
      <c r="X120" s="1"/>
      <c r="Y120" s="1"/>
      <c r="Z120" s="1"/>
    </row>
    <row r="121" ht="12.75" customHeight="1">
      <c r="A121" s="1"/>
      <c r="B121" s="1"/>
      <c r="C121" s="11"/>
      <c r="D121" s="20" t="s">
        <v>262</v>
      </c>
      <c r="E121" s="11"/>
      <c r="F121" s="1"/>
      <c r="G121" s="1"/>
      <c r="H121" s="1"/>
      <c r="I121" s="1"/>
      <c r="J121" s="1"/>
      <c r="K121" s="1"/>
      <c r="L121" s="1"/>
      <c r="M121" s="1"/>
      <c r="N121" s="1"/>
      <c r="O121" s="1"/>
      <c r="P121" s="1"/>
      <c r="Q121" s="1"/>
      <c r="R121" s="1"/>
      <c r="S121" s="1"/>
      <c r="T121" s="1"/>
      <c r="U121" s="1"/>
      <c r="V121" s="1"/>
      <c r="W121" s="1"/>
      <c r="X121" s="1"/>
      <c r="Y121" s="1"/>
      <c r="Z121" s="1"/>
    </row>
    <row r="122" ht="12.75" customHeight="1">
      <c r="A122" s="1"/>
      <c r="B122" s="1"/>
      <c r="C122" s="11"/>
      <c r="D122" s="20" t="s">
        <v>263</v>
      </c>
      <c r="E122" s="11"/>
      <c r="F122" s="1"/>
      <c r="G122" s="1"/>
      <c r="H122" s="1"/>
      <c r="I122" s="1"/>
      <c r="J122" s="1"/>
      <c r="K122" s="1"/>
      <c r="L122" s="1"/>
      <c r="M122" s="1"/>
      <c r="N122" s="1"/>
      <c r="O122" s="1"/>
      <c r="P122" s="1"/>
      <c r="Q122" s="1"/>
      <c r="R122" s="1"/>
      <c r="S122" s="1"/>
      <c r="T122" s="1"/>
      <c r="U122" s="1"/>
      <c r="V122" s="1"/>
      <c r="W122" s="1"/>
      <c r="X122" s="1"/>
      <c r="Y122" s="1"/>
      <c r="Z122" s="1"/>
    </row>
    <row r="123" ht="12.75" customHeight="1">
      <c r="A123" s="1"/>
      <c r="B123" s="1"/>
      <c r="C123" s="11"/>
      <c r="D123" s="1"/>
      <c r="E123" s="11"/>
      <c r="F123" s="1"/>
      <c r="G123" s="1"/>
      <c r="H123" s="1"/>
      <c r="I123" s="1"/>
      <c r="J123" s="1"/>
      <c r="K123" s="1"/>
      <c r="L123" s="1"/>
      <c r="M123" s="1"/>
      <c r="N123" s="1"/>
      <c r="O123" s="1"/>
      <c r="P123" s="1"/>
      <c r="Q123" s="1"/>
      <c r="R123" s="1"/>
      <c r="S123" s="1"/>
      <c r="T123" s="1"/>
      <c r="U123" s="1"/>
      <c r="V123" s="1"/>
      <c r="W123" s="1"/>
      <c r="X123" s="1"/>
      <c r="Y123" s="1"/>
      <c r="Z123" s="1"/>
    </row>
    <row r="124" ht="12.75" customHeight="1">
      <c r="A124" s="1"/>
      <c r="B124" s="1"/>
      <c r="C124" s="11"/>
      <c r="D124" s="20" t="s">
        <v>264</v>
      </c>
      <c r="E124" s="11"/>
      <c r="F124" s="1"/>
      <c r="G124" s="1"/>
      <c r="H124" s="1"/>
      <c r="I124" s="1"/>
      <c r="J124" s="1"/>
      <c r="K124" s="1"/>
      <c r="L124" s="1"/>
      <c r="M124" s="1"/>
      <c r="N124" s="1"/>
      <c r="O124" s="1"/>
      <c r="P124" s="1"/>
      <c r="Q124" s="1"/>
      <c r="R124" s="1"/>
      <c r="S124" s="1"/>
      <c r="T124" s="1"/>
      <c r="U124" s="1"/>
      <c r="V124" s="1"/>
      <c r="W124" s="1"/>
      <c r="X124" s="1"/>
      <c r="Y124" s="1"/>
      <c r="Z124" s="1"/>
    </row>
    <row r="125" ht="12.75" customHeight="1">
      <c r="A125" s="1"/>
      <c r="B125" s="1"/>
      <c r="C125" s="11"/>
      <c r="D125" s="20" t="s">
        <v>265</v>
      </c>
      <c r="E125" s="11"/>
      <c r="F125" s="1"/>
      <c r="G125" s="1"/>
      <c r="H125" s="1"/>
      <c r="I125" s="1"/>
      <c r="J125" s="1"/>
      <c r="K125" s="1"/>
      <c r="L125" s="1"/>
      <c r="M125" s="1"/>
      <c r="N125" s="1"/>
      <c r="O125" s="1"/>
      <c r="P125" s="1"/>
      <c r="Q125" s="1"/>
      <c r="R125" s="1"/>
      <c r="S125" s="1"/>
      <c r="T125" s="1"/>
      <c r="U125" s="1"/>
      <c r="V125" s="1"/>
      <c r="W125" s="1"/>
      <c r="X125" s="1"/>
      <c r="Y125" s="1"/>
      <c r="Z125" s="1"/>
    </row>
    <row r="126" ht="12.75" customHeight="1">
      <c r="A126" s="1"/>
      <c r="B126" s="1"/>
      <c r="C126" s="11"/>
      <c r="D126" s="20" t="s">
        <v>266</v>
      </c>
      <c r="E126" s="11"/>
      <c r="F126" s="1"/>
      <c r="G126" s="1"/>
      <c r="H126" s="1"/>
      <c r="I126" s="1"/>
      <c r="J126" s="1"/>
      <c r="K126" s="1"/>
      <c r="L126" s="1"/>
      <c r="M126" s="1"/>
      <c r="N126" s="1"/>
      <c r="O126" s="1"/>
      <c r="P126" s="1"/>
      <c r="Q126" s="1"/>
      <c r="R126" s="1"/>
      <c r="S126" s="1"/>
      <c r="T126" s="1"/>
      <c r="U126" s="1"/>
      <c r="V126" s="1"/>
      <c r="W126" s="1"/>
      <c r="X126" s="1"/>
      <c r="Y126" s="1"/>
      <c r="Z126" s="1"/>
    </row>
    <row r="127" ht="12.75" customHeight="1">
      <c r="A127" s="1"/>
      <c r="B127" s="1"/>
      <c r="C127" s="11"/>
      <c r="D127" s="20" t="s">
        <v>267</v>
      </c>
      <c r="E127" s="11"/>
      <c r="F127" s="1"/>
      <c r="G127" s="1"/>
      <c r="H127" s="1"/>
      <c r="I127" s="1"/>
      <c r="J127" s="1"/>
      <c r="K127" s="1"/>
      <c r="L127" s="1"/>
      <c r="M127" s="1"/>
      <c r="N127" s="1"/>
      <c r="O127" s="1"/>
      <c r="P127" s="1"/>
      <c r="Q127" s="1"/>
      <c r="R127" s="1"/>
      <c r="S127" s="1"/>
      <c r="T127" s="1"/>
      <c r="U127" s="1"/>
      <c r="V127" s="1"/>
      <c r="W127" s="1"/>
      <c r="X127" s="1"/>
      <c r="Y127" s="1"/>
      <c r="Z127" s="1"/>
    </row>
    <row r="128" ht="12.75" customHeight="1">
      <c r="A128" s="1"/>
      <c r="B128" s="1"/>
      <c r="C128" s="11"/>
      <c r="D128" s="20"/>
      <c r="E128" s="11"/>
      <c r="F128" s="1"/>
      <c r="G128" s="1"/>
      <c r="H128" s="1"/>
      <c r="I128" s="1"/>
      <c r="J128" s="1"/>
      <c r="K128" s="1"/>
      <c r="L128" s="1"/>
      <c r="M128" s="1"/>
      <c r="N128" s="1"/>
      <c r="O128" s="1"/>
      <c r="P128" s="1"/>
      <c r="Q128" s="1"/>
      <c r="R128" s="1"/>
      <c r="S128" s="1"/>
      <c r="T128" s="1"/>
      <c r="U128" s="1"/>
      <c r="V128" s="1"/>
      <c r="W128" s="1"/>
      <c r="X128" s="1"/>
      <c r="Y128" s="1"/>
      <c r="Z128" s="1"/>
    </row>
    <row r="129" ht="12.75" customHeight="1">
      <c r="A129" s="1"/>
      <c r="B129" s="1"/>
      <c r="C129" s="11"/>
      <c r="D129" s="20" t="s">
        <v>268</v>
      </c>
      <c r="E129" s="11"/>
      <c r="F129" s="1"/>
      <c r="G129" s="1"/>
      <c r="H129" s="1"/>
      <c r="I129" s="1"/>
      <c r="J129" s="1"/>
      <c r="K129" s="1"/>
      <c r="L129" s="1"/>
      <c r="M129" s="1"/>
      <c r="N129" s="1"/>
      <c r="O129" s="1"/>
      <c r="P129" s="1"/>
      <c r="Q129" s="1"/>
      <c r="R129" s="1"/>
      <c r="S129" s="1"/>
      <c r="T129" s="1"/>
      <c r="U129" s="1"/>
      <c r="V129" s="1"/>
      <c r="W129" s="1"/>
      <c r="X129" s="1"/>
      <c r="Y129" s="1"/>
      <c r="Z129" s="1"/>
    </row>
    <row r="130" ht="12.75" customHeight="1">
      <c r="A130" s="1"/>
      <c r="B130" s="1"/>
      <c r="C130" s="11"/>
      <c r="D130" s="20" t="s">
        <v>269</v>
      </c>
      <c r="E130" s="11"/>
      <c r="F130" s="1"/>
      <c r="G130" s="1"/>
      <c r="H130" s="1"/>
      <c r="I130" s="1"/>
      <c r="J130" s="1"/>
      <c r="K130" s="1"/>
      <c r="L130" s="1"/>
      <c r="M130" s="1"/>
      <c r="N130" s="1"/>
      <c r="O130" s="1"/>
      <c r="P130" s="1"/>
      <c r="Q130" s="1"/>
      <c r="R130" s="1"/>
      <c r="S130" s="1"/>
      <c r="T130" s="1"/>
      <c r="U130" s="1"/>
      <c r="V130" s="1"/>
      <c r="W130" s="1"/>
      <c r="X130" s="1"/>
      <c r="Y130" s="1"/>
      <c r="Z130" s="1"/>
    </row>
    <row r="131" ht="12.75" customHeight="1">
      <c r="A131" s="1"/>
      <c r="B131" s="1"/>
      <c r="C131" s="11"/>
      <c r="D131" s="20" t="s">
        <v>270</v>
      </c>
      <c r="E131" s="11"/>
      <c r="F131" s="1"/>
      <c r="G131" s="1"/>
      <c r="H131" s="1"/>
      <c r="I131" s="1"/>
      <c r="J131" s="1"/>
      <c r="K131" s="1"/>
      <c r="L131" s="1"/>
      <c r="M131" s="1"/>
      <c r="N131" s="1"/>
      <c r="O131" s="1"/>
      <c r="P131" s="1"/>
      <c r="Q131" s="1"/>
      <c r="R131" s="1"/>
      <c r="S131" s="1"/>
      <c r="T131" s="1"/>
      <c r="U131" s="1"/>
      <c r="V131" s="1"/>
      <c r="W131" s="1"/>
      <c r="X131" s="1"/>
      <c r="Y131" s="1"/>
      <c r="Z131" s="1"/>
    </row>
    <row r="132" ht="12.75" customHeight="1">
      <c r="A132" s="1"/>
      <c r="B132" s="1"/>
      <c r="C132" s="11"/>
      <c r="D132" s="20" t="s">
        <v>239</v>
      </c>
      <c r="E132" s="11"/>
      <c r="F132" s="1"/>
      <c r="G132" s="1"/>
      <c r="H132" s="1"/>
      <c r="I132" s="1"/>
      <c r="J132" s="1"/>
      <c r="K132" s="1"/>
      <c r="L132" s="1"/>
      <c r="M132" s="1"/>
      <c r="N132" s="1"/>
      <c r="O132" s="1"/>
      <c r="P132" s="1"/>
      <c r="Q132" s="1"/>
      <c r="R132" s="1"/>
      <c r="S132" s="1"/>
      <c r="T132" s="1"/>
      <c r="U132" s="1"/>
      <c r="V132" s="1"/>
      <c r="W132" s="1"/>
      <c r="X132" s="1"/>
      <c r="Y132" s="1"/>
      <c r="Z132" s="1"/>
    </row>
    <row r="133" ht="12.75" customHeight="1">
      <c r="A133" s="1"/>
      <c r="B133" s="1"/>
      <c r="C133" s="11"/>
      <c r="D133" s="1"/>
      <c r="E133" s="11"/>
      <c r="F133" s="1"/>
      <c r="G133" s="1"/>
      <c r="H133" s="1"/>
      <c r="I133" s="1"/>
      <c r="J133" s="1"/>
      <c r="K133" s="1"/>
      <c r="L133" s="1"/>
      <c r="M133" s="1"/>
      <c r="N133" s="1"/>
      <c r="O133" s="1"/>
      <c r="P133" s="1"/>
      <c r="Q133" s="1"/>
      <c r="R133" s="1"/>
      <c r="S133" s="1"/>
      <c r="T133" s="1"/>
      <c r="U133" s="1"/>
      <c r="V133" s="1"/>
      <c r="W133" s="1"/>
      <c r="X133" s="1"/>
      <c r="Y133" s="1"/>
      <c r="Z133" s="1"/>
    </row>
    <row r="134" ht="12.75" customHeight="1">
      <c r="A134" s="1"/>
      <c r="B134" s="1"/>
      <c r="C134" s="11"/>
      <c r="D134" s="35" t="s">
        <v>271</v>
      </c>
      <c r="E134" s="11"/>
      <c r="F134" s="1"/>
      <c r="G134" s="1"/>
      <c r="H134" s="1"/>
      <c r="I134" s="1"/>
      <c r="J134" s="1"/>
      <c r="K134" s="1"/>
      <c r="L134" s="1"/>
      <c r="M134" s="1"/>
      <c r="N134" s="1"/>
      <c r="O134" s="1"/>
      <c r="P134" s="1"/>
      <c r="Q134" s="1"/>
      <c r="R134" s="1"/>
      <c r="S134" s="1"/>
      <c r="T134" s="1"/>
      <c r="U134" s="1"/>
      <c r="V134" s="1"/>
      <c r="W134" s="1"/>
      <c r="X134" s="1"/>
      <c r="Y134" s="1"/>
      <c r="Z134" s="1"/>
    </row>
    <row r="135" ht="12.75" customHeight="1">
      <c r="A135" s="1"/>
      <c r="B135" s="1"/>
      <c r="C135" s="11"/>
      <c r="D135" s="20" t="s">
        <v>272</v>
      </c>
      <c r="E135" s="11"/>
      <c r="F135" s="1"/>
      <c r="G135" s="1"/>
      <c r="H135" s="1"/>
      <c r="I135" s="1"/>
      <c r="J135" s="1"/>
      <c r="K135" s="1"/>
      <c r="L135" s="1"/>
      <c r="M135" s="1"/>
      <c r="N135" s="1"/>
      <c r="O135" s="1"/>
      <c r="P135" s="1"/>
      <c r="Q135" s="1"/>
      <c r="R135" s="1"/>
      <c r="S135" s="1"/>
      <c r="T135" s="1"/>
      <c r="U135" s="1"/>
      <c r="V135" s="1"/>
      <c r="W135" s="1"/>
      <c r="X135" s="1"/>
      <c r="Y135" s="1"/>
      <c r="Z135" s="1"/>
    </row>
    <row r="136" ht="12.75" customHeight="1">
      <c r="A136" s="1"/>
      <c r="B136" s="1"/>
      <c r="C136" s="11"/>
      <c r="D136" s="7" t="s">
        <v>273</v>
      </c>
      <c r="E136" s="11"/>
      <c r="F136" s="1"/>
      <c r="G136" s="1"/>
      <c r="H136" s="1"/>
      <c r="I136" s="1"/>
      <c r="J136" s="1"/>
      <c r="K136" s="1"/>
      <c r="L136" s="1"/>
      <c r="M136" s="1"/>
      <c r="N136" s="1"/>
      <c r="O136" s="1"/>
      <c r="P136" s="1"/>
      <c r="Q136" s="1"/>
      <c r="R136" s="1"/>
      <c r="S136" s="1"/>
      <c r="T136" s="1"/>
      <c r="U136" s="1"/>
      <c r="V136" s="1"/>
      <c r="W136" s="1"/>
      <c r="X136" s="1"/>
      <c r="Y136" s="1"/>
      <c r="Z136" s="1"/>
    </row>
    <row r="137" ht="12.75" customHeight="1">
      <c r="A137" s="1"/>
      <c r="B137" s="1"/>
      <c r="C137" s="11"/>
      <c r="D137" s="7" t="s">
        <v>274</v>
      </c>
      <c r="E137" s="11"/>
      <c r="F137" s="1"/>
      <c r="G137" s="1"/>
      <c r="H137" s="1"/>
      <c r="I137" s="1"/>
      <c r="J137" s="1"/>
      <c r="K137" s="1"/>
      <c r="L137" s="1"/>
      <c r="M137" s="1"/>
      <c r="N137" s="1"/>
      <c r="O137" s="1"/>
      <c r="P137" s="1"/>
      <c r="Q137" s="1"/>
      <c r="R137" s="1"/>
      <c r="S137" s="1"/>
      <c r="T137" s="1"/>
      <c r="U137" s="1"/>
      <c r="V137" s="1"/>
      <c r="W137" s="1"/>
      <c r="X137" s="1"/>
      <c r="Y137" s="1"/>
      <c r="Z137" s="1"/>
    </row>
    <row r="138" ht="12.75" customHeight="1">
      <c r="A138" s="1"/>
      <c r="B138" s="1"/>
      <c r="C138" s="11"/>
      <c r="D138" s="1"/>
      <c r="E138" s="11"/>
      <c r="F138" s="1"/>
      <c r="G138" s="1"/>
      <c r="H138" s="1"/>
      <c r="I138" s="1"/>
      <c r="J138" s="1"/>
      <c r="K138" s="1"/>
      <c r="L138" s="1"/>
      <c r="M138" s="1"/>
      <c r="N138" s="1"/>
      <c r="O138" s="1"/>
      <c r="P138" s="1"/>
      <c r="Q138" s="1"/>
      <c r="R138" s="1"/>
      <c r="S138" s="1"/>
      <c r="T138" s="1"/>
      <c r="U138" s="1"/>
      <c r="V138" s="1"/>
      <c r="W138" s="1"/>
      <c r="X138" s="1"/>
      <c r="Y138" s="1"/>
      <c r="Z138" s="1"/>
    </row>
    <row r="139" ht="12.75" customHeight="1">
      <c r="A139" s="1"/>
      <c r="B139" s="1"/>
      <c r="C139" s="11"/>
      <c r="D139" s="35" t="s">
        <v>275</v>
      </c>
      <c r="E139" s="11"/>
      <c r="F139" s="1"/>
      <c r="G139" s="1"/>
      <c r="H139" s="1"/>
      <c r="I139" s="1"/>
      <c r="J139" s="1"/>
      <c r="K139" s="1"/>
      <c r="L139" s="1"/>
      <c r="M139" s="1"/>
      <c r="N139" s="1"/>
      <c r="O139" s="1"/>
      <c r="P139" s="1"/>
      <c r="Q139" s="1"/>
      <c r="R139" s="1"/>
      <c r="S139" s="1"/>
      <c r="T139" s="1"/>
      <c r="U139" s="1"/>
      <c r="V139" s="1"/>
      <c r="W139" s="1"/>
      <c r="X139" s="1"/>
      <c r="Y139" s="1"/>
      <c r="Z139" s="1"/>
    </row>
    <row r="140" ht="12.75" customHeight="1">
      <c r="A140" s="1"/>
      <c r="B140" s="1"/>
      <c r="C140" s="11"/>
      <c r="D140" s="7" t="s">
        <v>276</v>
      </c>
      <c r="E140" s="11"/>
      <c r="F140" s="1"/>
      <c r="G140" s="1"/>
      <c r="H140" s="1"/>
      <c r="I140" s="1"/>
      <c r="J140" s="1"/>
      <c r="K140" s="1"/>
      <c r="L140" s="1"/>
      <c r="M140" s="1"/>
      <c r="N140" s="1"/>
      <c r="O140" s="1"/>
      <c r="P140" s="1"/>
      <c r="Q140" s="1"/>
      <c r="R140" s="1"/>
      <c r="S140" s="1"/>
      <c r="T140" s="1"/>
      <c r="U140" s="1"/>
      <c r="V140" s="1"/>
      <c r="W140" s="1"/>
      <c r="X140" s="1"/>
      <c r="Y140" s="1"/>
      <c r="Z140" s="1"/>
    </row>
    <row r="141" ht="12.75" customHeight="1">
      <c r="A141" s="1"/>
      <c r="B141" s="1"/>
      <c r="C141" s="11"/>
      <c r="D141" s="7" t="s">
        <v>277</v>
      </c>
      <c r="E141" s="11"/>
      <c r="F141" s="1"/>
      <c r="G141" s="1"/>
      <c r="H141" s="1"/>
      <c r="I141" s="1"/>
      <c r="J141" s="1"/>
      <c r="K141" s="1"/>
      <c r="L141" s="1"/>
      <c r="M141" s="1"/>
      <c r="N141" s="1"/>
      <c r="O141" s="1"/>
      <c r="P141" s="1"/>
      <c r="Q141" s="1"/>
      <c r="R141" s="1"/>
      <c r="S141" s="1"/>
      <c r="T141" s="1"/>
      <c r="U141" s="1"/>
      <c r="V141" s="1"/>
      <c r="W141" s="1"/>
      <c r="X141" s="1"/>
      <c r="Y141" s="1"/>
      <c r="Z141" s="1"/>
    </row>
    <row r="142" ht="12.75" customHeight="1">
      <c r="A142" s="1"/>
      <c r="B142" s="1"/>
      <c r="C142" s="11"/>
      <c r="D142" s="7" t="s">
        <v>278</v>
      </c>
      <c r="E142" s="11"/>
      <c r="F142" s="1"/>
      <c r="G142" s="1"/>
      <c r="H142" s="1"/>
      <c r="I142" s="1"/>
      <c r="J142" s="1"/>
      <c r="K142" s="1"/>
      <c r="L142" s="1"/>
      <c r="M142" s="1"/>
      <c r="N142" s="1"/>
      <c r="O142" s="1"/>
      <c r="P142" s="1"/>
      <c r="Q142" s="1"/>
      <c r="R142" s="1"/>
      <c r="S142" s="1"/>
      <c r="T142" s="1"/>
      <c r="U142" s="1"/>
      <c r="V142" s="1"/>
      <c r="W142" s="1"/>
      <c r="X142" s="1"/>
      <c r="Y142" s="1"/>
      <c r="Z142" s="1"/>
    </row>
    <row r="143" ht="12.75" customHeight="1">
      <c r="A143" s="1"/>
      <c r="B143" s="1"/>
      <c r="C143" s="11"/>
      <c r="D143" s="7" t="s">
        <v>279</v>
      </c>
      <c r="E143" s="11"/>
      <c r="F143" s="1"/>
      <c r="G143" s="1"/>
      <c r="H143" s="1"/>
      <c r="I143" s="1"/>
      <c r="J143" s="1"/>
      <c r="K143" s="1"/>
      <c r="L143" s="1"/>
      <c r="M143" s="1"/>
      <c r="N143" s="1"/>
      <c r="O143" s="1"/>
      <c r="P143" s="1"/>
      <c r="Q143" s="1"/>
      <c r="R143" s="1"/>
      <c r="S143" s="1"/>
      <c r="T143" s="1"/>
      <c r="U143" s="1"/>
      <c r="V143" s="1"/>
      <c r="W143" s="1"/>
      <c r="X143" s="1"/>
      <c r="Y143" s="1"/>
      <c r="Z143" s="1"/>
    </row>
    <row r="144" ht="12.75" customHeight="1">
      <c r="A144" s="1"/>
      <c r="B144" s="1"/>
      <c r="C144" s="11"/>
      <c r="D144" s="7" t="s">
        <v>280</v>
      </c>
      <c r="E144" s="11"/>
      <c r="F144" s="1"/>
      <c r="G144" s="1"/>
      <c r="H144" s="1"/>
      <c r="I144" s="1"/>
      <c r="J144" s="1"/>
      <c r="K144" s="1"/>
      <c r="L144" s="1"/>
      <c r="M144" s="1"/>
      <c r="N144" s="1"/>
      <c r="O144" s="1"/>
      <c r="P144" s="1"/>
      <c r="Q144" s="1"/>
      <c r="R144" s="1"/>
      <c r="S144" s="1"/>
      <c r="T144" s="1"/>
      <c r="U144" s="1"/>
      <c r="V144" s="1"/>
      <c r="W144" s="1"/>
      <c r="X144" s="1"/>
      <c r="Y144" s="1"/>
      <c r="Z144" s="1"/>
    </row>
    <row r="145" ht="12.75" customHeight="1">
      <c r="A145" s="1"/>
      <c r="B145" s="1"/>
      <c r="C145" s="11"/>
      <c r="D145" s="7" t="s">
        <v>282</v>
      </c>
      <c r="E145" s="11"/>
      <c r="F145" s="1"/>
      <c r="G145" s="1"/>
      <c r="H145" s="1"/>
      <c r="I145" s="1"/>
      <c r="J145" s="1"/>
      <c r="K145" s="1"/>
      <c r="L145" s="1"/>
      <c r="M145" s="1"/>
      <c r="N145" s="1"/>
      <c r="O145" s="1"/>
      <c r="P145" s="1"/>
      <c r="Q145" s="1"/>
      <c r="R145" s="1"/>
      <c r="S145" s="1"/>
      <c r="T145" s="1"/>
      <c r="U145" s="1"/>
      <c r="V145" s="1"/>
      <c r="W145" s="1"/>
      <c r="X145" s="1"/>
      <c r="Y145" s="1"/>
      <c r="Z145" s="1"/>
    </row>
    <row r="146" ht="12.75" customHeight="1">
      <c r="A146" s="1"/>
      <c r="B146" s="1"/>
      <c r="C146" s="11"/>
      <c r="D146" s="20" t="s">
        <v>283</v>
      </c>
      <c r="E146" s="11"/>
      <c r="F146" s="1"/>
      <c r="G146" s="1"/>
      <c r="H146" s="1"/>
      <c r="I146" s="1"/>
      <c r="J146" s="1"/>
      <c r="K146" s="1"/>
      <c r="L146" s="1"/>
      <c r="M146" s="1"/>
      <c r="N146" s="1"/>
      <c r="O146" s="1"/>
      <c r="P146" s="1"/>
      <c r="Q146" s="1"/>
      <c r="R146" s="1"/>
      <c r="S146" s="1"/>
      <c r="T146" s="1"/>
      <c r="U146" s="1"/>
      <c r="V146" s="1"/>
      <c r="W146" s="1"/>
      <c r="X146" s="1"/>
      <c r="Y146" s="1"/>
      <c r="Z146" s="1"/>
    </row>
    <row r="147" ht="12.75" customHeight="1">
      <c r="A147" s="1"/>
      <c r="B147" s="1"/>
      <c r="C147" s="11"/>
      <c r="D147" s="7" t="s">
        <v>284</v>
      </c>
      <c r="E147" s="11"/>
      <c r="F147" s="1"/>
      <c r="G147" s="1"/>
      <c r="H147" s="1"/>
      <c r="I147" s="1"/>
      <c r="J147" s="1"/>
      <c r="K147" s="1"/>
      <c r="L147" s="1"/>
      <c r="M147" s="1"/>
      <c r="N147" s="1"/>
      <c r="O147" s="1"/>
      <c r="P147" s="1"/>
      <c r="Q147" s="1"/>
      <c r="R147" s="1"/>
      <c r="S147" s="1"/>
      <c r="T147" s="1"/>
      <c r="U147" s="1"/>
      <c r="V147" s="1"/>
      <c r="W147" s="1"/>
      <c r="X147" s="1"/>
      <c r="Y147" s="1"/>
      <c r="Z147" s="1"/>
    </row>
    <row r="148" ht="12.75" customHeight="1">
      <c r="A148" s="1"/>
      <c r="B148" s="1"/>
      <c r="C148" s="11"/>
      <c r="D148" s="7" t="s">
        <v>285</v>
      </c>
      <c r="E148" s="11"/>
      <c r="F148" s="1"/>
      <c r="G148" s="1"/>
      <c r="H148" s="1"/>
      <c r="I148" s="1"/>
      <c r="J148" s="1"/>
      <c r="K148" s="1"/>
      <c r="L148" s="1"/>
      <c r="M148" s="1"/>
      <c r="N148" s="1"/>
      <c r="O148" s="1"/>
      <c r="P148" s="1"/>
      <c r="Q148" s="1"/>
      <c r="R148" s="1"/>
      <c r="S148" s="1"/>
      <c r="T148" s="1"/>
      <c r="U148" s="1"/>
      <c r="V148" s="1"/>
      <c r="W148" s="1"/>
      <c r="X148" s="1"/>
      <c r="Y148" s="1"/>
      <c r="Z148" s="1"/>
    </row>
    <row r="149" ht="12.75" customHeight="1">
      <c r="A149" s="1"/>
      <c r="B149" s="1"/>
      <c r="C149" s="11"/>
      <c r="D149" s="7" t="s">
        <v>286</v>
      </c>
      <c r="E149" s="11"/>
      <c r="F149" s="1"/>
      <c r="G149" s="1"/>
      <c r="H149" s="1"/>
      <c r="I149" s="1"/>
      <c r="J149" s="1"/>
      <c r="K149" s="1"/>
      <c r="L149" s="1"/>
      <c r="M149" s="1"/>
      <c r="N149" s="1"/>
      <c r="O149" s="1"/>
      <c r="P149" s="1"/>
      <c r="Q149" s="1"/>
      <c r="R149" s="1"/>
      <c r="S149" s="1"/>
      <c r="T149" s="1"/>
      <c r="U149" s="1"/>
      <c r="V149" s="1"/>
      <c r="W149" s="1"/>
      <c r="X149" s="1"/>
      <c r="Y149" s="1"/>
      <c r="Z149" s="1"/>
    </row>
    <row r="150" ht="12.75" customHeight="1">
      <c r="A150" s="1"/>
      <c r="B150" s="1"/>
      <c r="C150" s="11"/>
      <c r="D150" s="1"/>
      <c r="E150" s="11"/>
      <c r="F150" s="1"/>
      <c r="G150" s="1"/>
      <c r="H150" s="1"/>
      <c r="I150" s="1"/>
      <c r="J150" s="1"/>
      <c r="K150" s="1"/>
      <c r="L150" s="1"/>
      <c r="M150" s="1"/>
      <c r="N150" s="1"/>
      <c r="O150" s="1"/>
      <c r="P150" s="1"/>
      <c r="Q150" s="1"/>
      <c r="R150" s="1"/>
      <c r="S150" s="1"/>
      <c r="T150" s="1"/>
      <c r="U150" s="1"/>
      <c r="V150" s="1"/>
      <c r="W150" s="1"/>
      <c r="X150" s="1"/>
      <c r="Y150" s="1"/>
      <c r="Z150" s="1"/>
    </row>
    <row r="151" ht="12.75" customHeight="1">
      <c r="A151" s="1"/>
      <c r="B151" s="1"/>
      <c r="C151" s="11"/>
      <c r="D151" s="35" t="s">
        <v>287</v>
      </c>
      <c r="E151" s="11"/>
      <c r="F151" s="1"/>
      <c r="G151" s="1"/>
      <c r="H151" s="1"/>
      <c r="I151" s="1"/>
      <c r="J151" s="1"/>
      <c r="K151" s="1"/>
      <c r="L151" s="1"/>
      <c r="M151" s="1"/>
      <c r="N151" s="1"/>
      <c r="O151" s="1"/>
      <c r="P151" s="1"/>
      <c r="Q151" s="1"/>
      <c r="R151" s="1"/>
      <c r="S151" s="1"/>
      <c r="T151" s="1"/>
      <c r="U151" s="1"/>
      <c r="V151" s="1"/>
      <c r="W151" s="1"/>
      <c r="X151" s="1"/>
      <c r="Y151" s="1"/>
      <c r="Z151" s="1"/>
    </row>
    <row r="152" ht="12.75" customHeight="1">
      <c r="A152" s="1"/>
      <c r="B152" s="1"/>
      <c r="C152" s="11"/>
      <c r="D152" s="7" t="s">
        <v>276</v>
      </c>
      <c r="E152" s="11"/>
      <c r="F152" s="1"/>
      <c r="G152" s="1"/>
      <c r="H152" s="1"/>
      <c r="I152" s="1"/>
      <c r="J152" s="1"/>
      <c r="K152" s="1"/>
      <c r="L152" s="1"/>
      <c r="M152" s="1"/>
      <c r="N152" s="1"/>
      <c r="O152" s="1"/>
      <c r="P152" s="1"/>
      <c r="Q152" s="1"/>
      <c r="R152" s="1"/>
      <c r="S152" s="1"/>
      <c r="T152" s="1"/>
      <c r="U152" s="1"/>
      <c r="V152" s="1"/>
      <c r="W152" s="1"/>
      <c r="X152" s="1"/>
      <c r="Y152" s="1"/>
      <c r="Z152" s="1"/>
    </row>
    <row r="153" ht="12.75" customHeight="1">
      <c r="A153" s="1"/>
      <c r="B153" s="1"/>
      <c r="C153" s="11"/>
      <c r="D153" s="7" t="s">
        <v>277</v>
      </c>
      <c r="E153" s="11"/>
      <c r="F153" s="1"/>
      <c r="G153" s="1"/>
      <c r="H153" s="1"/>
      <c r="I153" s="1"/>
      <c r="J153" s="1"/>
      <c r="K153" s="1"/>
      <c r="L153" s="1"/>
      <c r="M153" s="1"/>
      <c r="N153" s="1"/>
      <c r="O153" s="1"/>
      <c r="P153" s="1"/>
      <c r="Q153" s="1"/>
      <c r="R153" s="1"/>
      <c r="S153" s="1"/>
      <c r="T153" s="1"/>
      <c r="U153" s="1"/>
      <c r="V153" s="1"/>
      <c r="W153" s="1"/>
      <c r="X153" s="1"/>
      <c r="Y153" s="1"/>
      <c r="Z153" s="1"/>
    </row>
    <row r="154" ht="12.75" customHeight="1">
      <c r="A154" s="1"/>
      <c r="B154" s="1"/>
      <c r="C154" s="11"/>
      <c r="D154" s="7" t="s">
        <v>278</v>
      </c>
      <c r="E154" s="11"/>
      <c r="F154" s="1"/>
      <c r="G154" s="1"/>
      <c r="H154" s="1"/>
      <c r="I154" s="1"/>
      <c r="J154" s="1"/>
      <c r="K154" s="1"/>
      <c r="L154" s="1"/>
      <c r="M154" s="1"/>
      <c r="N154" s="1"/>
      <c r="O154" s="1"/>
      <c r="P154" s="1"/>
      <c r="Q154" s="1"/>
      <c r="R154" s="1"/>
      <c r="S154" s="1"/>
      <c r="T154" s="1"/>
      <c r="U154" s="1"/>
      <c r="V154" s="1"/>
      <c r="W154" s="1"/>
      <c r="X154" s="1"/>
      <c r="Y154" s="1"/>
      <c r="Z154" s="1"/>
    </row>
    <row r="155" ht="12.75" customHeight="1">
      <c r="A155" s="1"/>
      <c r="B155" s="1"/>
      <c r="C155" s="11"/>
      <c r="D155" s="7" t="s">
        <v>279</v>
      </c>
      <c r="E155" s="11"/>
      <c r="F155" s="1"/>
      <c r="G155" s="1"/>
      <c r="H155" s="1"/>
      <c r="I155" s="1"/>
      <c r="J155" s="1"/>
      <c r="K155" s="1"/>
      <c r="L155" s="1"/>
      <c r="M155" s="1"/>
      <c r="N155" s="1"/>
      <c r="O155" s="1"/>
      <c r="P155" s="1"/>
      <c r="Q155" s="1"/>
      <c r="R155" s="1"/>
      <c r="S155" s="1"/>
      <c r="T155" s="1"/>
      <c r="U155" s="1"/>
      <c r="V155" s="1"/>
      <c r="W155" s="1"/>
      <c r="X155" s="1"/>
      <c r="Y155" s="1"/>
      <c r="Z155" s="1"/>
    </row>
    <row r="156" ht="12.75" customHeight="1">
      <c r="A156" s="1"/>
      <c r="B156" s="1"/>
      <c r="C156" s="11"/>
      <c r="D156" s="7" t="s">
        <v>280</v>
      </c>
      <c r="E156" s="11"/>
      <c r="F156" s="1"/>
      <c r="G156" s="1"/>
      <c r="H156" s="1"/>
      <c r="I156" s="1"/>
      <c r="J156" s="1"/>
      <c r="K156" s="1"/>
      <c r="L156" s="1"/>
      <c r="M156" s="1"/>
      <c r="N156" s="1"/>
      <c r="O156" s="1"/>
      <c r="P156" s="1"/>
      <c r="Q156" s="1"/>
      <c r="R156" s="1"/>
      <c r="S156" s="1"/>
      <c r="T156" s="1"/>
      <c r="U156" s="1"/>
      <c r="V156" s="1"/>
      <c r="W156" s="1"/>
      <c r="X156" s="1"/>
      <c r="Y156" s="1"/>
      <c r="Z156" s="1"/>
    </row>
    <row r="157" ht="12.75" customHeight="1">
      <c r="A157" s="1"/>
      <c r="B157" s="1"/>
      <c r="C157" s="11"/>
      <c r="D157" s="7" t="s">
        <v>282</v>
      </c>
      <c r="E157" s="11"/>
      <c r="F157" s="1"/>
      <c r="G157" s="1"/>
      <c r="H157" s="1"/>
      <c r="I157" s="1"/>
      <c r="J157" s="1"/>
      <c r="K157" s="1"/>
      <c r="L157" s="1"/>
      <c r="M157" s="1"/>
      <c r="N157" s="1"/>
      <c r="O157" s="1"/>
      <c r="P157" s="1"/>
      <c r="Q157" s="1"/>
      <c r="R157" s="1"/>
      <c r="S157" s="1"/>
      <c r="T157" s="1"/>
      <c r="U157" s="1"/>
      <c r="V157" s="1"/>
      <c r="W157" s="1"/>
      <c r="X157" s="1"/>
      <c r="Y157" s="1"/>
      <c r="Z157" s="1"/>
    </row>
    <row r="158" ht="12.75" customHeight="1">
      <c r="A158" s="1"/>
      <c r="B158" s="1"/>
      <c r="C158" s="11"/>
      <c r="D158" s="20" t="s">
        <v>283</v>
      </c>
      <c r="E158" s="11"/>
      <c r="F158" s="1"/>
      <c r="G158" s="1"/>
      <c r="H158" s="1"/>
      <c r="I158" s="1"/>
      <c r="J158" s="1"/>
      <c r="K158" s="1"/>
      <c r="L158" s="1"/>
      <c r="M158" s="1"/>
      <c r="N158" s="1"/>
      <c r="O158" s="1"/>
      <c r="P158" s="1"/>
      <c r="Q158" s="1"/>
      <c r="R158" s="1"/>
      <c r="S158" s="1"/>
      <c r="T158" s="1"/>
      <c r="U158" s="1"/>
      <c r="V158" s="1"/>
      <c r="W158" s="1"/>
      <c r="X158" s="1"/>
      <c r="Y158" s="1"/>
      <c r="Z158" s="1"/>
    </row>
    <row r="159" ht="12.75" customHeight="1">
      <c r="A159" s="1"/>
      <c r="B159" s="1"/>
      <c r="C159" s="11"/>
      <c r="D159" s="7" t="s">
        <v>284</v>
      </c>
      <c r="E159" s="11"/>
      <c r="F159" s="1"/>
      <c r="G159" s="1"/>
      <c r="H159" s="1"/>
      <c r="I159" s="1"/>
      <c r="J159" s="1"/>
      <c r="K159" s="1"/>
      <c r="L159" s="1"/>
      <c r="M159" s="1"/>
      <c r="N159" s="1"/>
      <c r="O159" s="1"/>
      <c r="P159" s="1"/>
      <c r="Q159" s="1"/>
      <c r="R159" s="1"/>
      <c r="S159" s="1"/>
      <c r="T159" s="1"/>
      <c r="U159" s="1"/>
      <c r="V159" s="1"/>
      <c r="W159" s="1"/>
      <c r="X159" s="1"/>
      <c r="Y159" s="1"/>
      <c r="Z159" s="1"/>
    </row>
    <row r="160" ht="12.75" customHeight="1">
      <c r="A160" s="1"/>
      <c r="B160" s="1"/>
      <c r="C160" s="11"/>
      <c r="D160" s="7" t="s">
        <v>285</v>
      </c>
      <c r="E160" s="11"/>
      <c r="F160" s="1"/>
      <c r="G160" s="1"/>
      <c r="H160" s="1"/>
      <c r="I160" s="1"/>
      <c r="J160" s="1"/>
      <c r="K160" s="1"/>
      <c r="L160" s="1"/>
      <c r="M160" s="1"/>
      <c r="N160" s="1"/>
      <c r="O160" s="1"/>
      <c r="P160" s="1"/>
      <c r="Q160" s="1"/>
      <c r="R160" s="1"/>
      <c r="S160" s="1"/>
      <c r="T160" s="1"/>
      <c r="U160" s="1"/>
      <c r="V160" s="1"/>
      <c r="W160" s="1"/>
      <c r="X160" s="1"/>
      <c r="Y160" s="1"/>
      <c r="Z160" s="1"/>
    </row>
    <row r="161" ht="12.75" customHeight="1">
      <c r="A161" s="1"/>
      <c r="B161" s="1"/>
      <c r="C161" s="11"/>
      <c r="D161" s="7" t="s">
        <v>286</v>
      </c>
      <c r="E161" s="11"/>
      <c r="F161" s="1"/>
      <c r="G161" s="1"/>
      <c r="H161" s="1"/>
      <c r="I161" s="1"/>
      <c r="J161" s="1"/>
      <c r="K161" s="1"/>
      <c r="L161" s="1"/>
      <c r="M161" s="1"/>
      <c r="N161" s="1"/>
      <c r="O161" s="1"/>
      <c r="P161" s="1"/>
      <c r="Q161" s="1"/>
      <c r="R161" s="1"/>
      <c r="S161" s="1"/>
      <c r="T161" s="1"/>
      <c r="U161" s="1"/>
      <c r="V161" s="1"/>
      <c r="W161" s="1"/>
      <c r="X161" s="1"/>
      <c r="Y161" s="1"/>
      <c r="Z161" s="1"/>
    </row>
    <row r="162" ht="12.75" customHeight="1">
      <c r="A162" s="1"/>
      <c r="B162" s="1"/>
      <c r="C162" s="11"/>
      <c r="D162" s="1"/>
      <c r="E162" s="11"/>
      <c r="F162" s="1"/>
      <c r="G162" s="1"/>
      <c r="H162" s="1"/>
      <c r="I162" s="1"/>
      <c r="J162" s="1"/>
      <c r="K162" s="1"/>
      <c r="L162" s="1"/>
      <c r="M162" s="1"/>
      <c r="N162" s="1"/>
      <c r="O162" s="1"/>
      <c r="P162" s="1"/>
      <c r="Q162" s="1"/>
      <c r="R162" s="1"/>
      <c r="S162" s="1"/>
      <c r="T162" s="1"/>
      <c r="U162" s="1"/>
      <c r="V162" s="1"/>
      <c r="W162" s="1"/>
      <c r="X162" s="1"/>
      <c r="Y162" s="1"/>
      <c r="Z162" s="1"/>
    </row>
    <row r="163" ht="12.75" customHeight="1">
      <c r="A163" s="1"/>
      <c r="B163" s="1"/>
      <c r="C163" s="11"/>
      <c r="D163" s="35" t="s">
        <v>288</v>
      </c>
      <c r="E163" s="11"/>
      <c r="F163" s="1"/>
      <c r="G163" s="1"/>
      <c r="H163" s="1"/>
      <c r="I163" s="1"/>
      <c r="J163" s="1"/>
      <c r="K163" s="1"/>
      <c r="L163" s="1"/>
      <c r="M163" s="1"/>
      <c r="N163" s="1"/>
      <c r="O163" s="1"/>
      <c r="P163" s="1"/>
      <c r="Q163" s="1"/>
      <c r="R163" s="1"/>
      <c r="S163" s="1"/>
      <c r="T163" s="1"/>
      <c r="U163" s="1"/>
      <c r="V163" s="1"/>
      <c r="W163" s="1"/>
      <c r="X163" s="1"/>
      <c r="Y163" s="1"/>
      <c r="Z163" s="1"/>
    </row>
    <row r="164" ht="12.75" customHeight="1">
      <c r="A164" s="1"/>
      <c r="B164" s="1"/>
      <c r="C164" s="11"/>
      <c r="D164" s="7" t="s">
        <v>289</v>
      </c>
      <c r="E164" s="11"/>
      <c r="F164" s="1"/>
      <c r="G164" s="1"/>
      <c r="H164" s="1"/>
      <c r="I164" s="1"/>
      <c r="J164" s="1"/>
      <c r="K164" s="1"/>
      <c r="L164" s="1"/>
      <c r="M164" s="1"/>
      <c r="N164" s="1"/>
      <c r="O164" s="1"/>
      <c r="P164" s="1"/>
      <c r="Q164" s="1"/>
      <c r="R164" s="1"/>
      <c r="S164" s="1"/>
      <c r="T164" s="1"/>
      <c r="U164" s="1"/>
      <c r="V164" s="1"/>
      <c r="W164" s="1"/>
      <c r="X164" s="1"/>
      <c r="Y164" s="1"/>
      <c r="Z164" s="1"/>
    </row>
    <row r="165" ht="12.75" customHeight="1">
      <c r="A165" s="1"/>
      <c r="B165" s="1"/>
      <c r="C165" s="11"/>
      <c r="D165" s="1"/>
      <c r="E165" s="11"/>
      <c r="F165" s="1"/>
      <c r="G165" s="1"/>
      <c r="H165" s="1"/>
      <c r="I165" s="1"/>
      <c r="J165" s="1"/>
      <c r="K165" s="1"/>
      <c r="L165" s="1"/>
      <c r="M165" s="1"/>
      <c r="N165" s="1"/>
      <c r="O165" s="1"/>
      <c r="P165" s="1"/>
      <c r="Q165" s="1"/>
      <c r="R165" s="1"/>
      <c r="S165" s="1"/>
      <c r="T165" s="1"/>
      <c r="U165" s="1"/>
      <c r="V165" s="1"/>
      <c r="W165" s="1"/>
      <c r="X165" s="1"/>
      <c r="Y165" s="1"/>
      <c r="Z165" s="1"/>
    </row>
    <row r="166" ht="12.75" customHeight="1">
      <c r="A166" s="1"/>
      <c r="B166" s="1"/>
      <c r="C166" s="11"/>
      <c r="D166" s="38" t="s">
        <v>290</v>
      </c>
      <c r="E166" s="11"/>
      <c r="F166" s="1"/>
      <c r="G166" s="1"/>
      <c r="H166" s="1"/>
      <c r="I166" s="1"/>
      <c r="J166" s="1"/>
      <c r="K166" s="1"/>
      <c r="L166" s="1"/>
      <c r="M166" s="1"/>
      <c r="N166" s="1"/>
      <c r="O166" s="1"/>
      <c r="P166" s="1"/>
      <c r="Q166" s="1"/>
      <c r="R166" s="1"/>
      <c r="S166" s="1"/>
      <c r="T166" s="1"/>
      <c r="U166" s="1"/>
      <c r="V166" s="1"/>
      <c r="W166" s="1"/>
      <c r="X166" s="1"/>
      <c r="Y166" s="1"/>
      <c r="Z166" s="1"/>
    </row>
    <row r="167" ht="12.75" customHeight="1">
      <c r="A167" s="1"/>
      <c r="B167" s="1"/>
      <c r="C167" s="11"/>
      <c r="D167" s="48" t="s">
        <v>291</v>
      </c>
      <c r="E167" s="11"/>
      <c r="F167" s="1"/>
      <c r="G167" s="1"/>
      <c r="H167" s="1"/>
      <c r="I167" s="1"/>
      <c r="J167" s="1"/>
      <c r="K167" s="1"/>
      <c r="L167" s="1"/>
      <c r="M167" s="1"/>
      <c r="N167" s="1"/>
      <c r="O167" s="1"/>
      <c r="P167" s="1"/>
      <c r="Q167" s="1"/>
      <c r="R167" s="1"/>
      <c r="S167" s="1"/>
      <c r="T167" s="1"/>
      <c r="U167" s="1"/>
      <c r="V167" s="1"/>
      <c r="W167" s="1"/>
      <c r="X167" s="1"/>
      <c r="Y167" s="1"/>
      <c r="Z167" s="1"/>
    </row>
    <row r="168" ht="12.75" customHeight="1">
      <c r="A168" s="1"/>
      <c r="B168" s="1"/>
      <c r="C168" s="11"/>
      <c r="D168" s="48" t="s">
        <v>292</v>
      </c>
      <c r="E168" s="11"/>
      <c r="F168" s="1"/>
      <c r="G168" s="1"/>
      <c r="H168" s="1"/>
      <c r="I168" s="1"/>
      <c r="J168" s="1"/>
      <c r="K168" s="1"/>
      <c r="L168" s="1"/>
      <c r="M168" s="1"/>
      <c r="N168" s="1"/>
      <c r="O168" s="1"/>
      <c r="P168" s="1"/>
      <c r="Q168" s="1"/>
      <c r="R168" s="1"/>
      <c r="S168" s="1"/>
      <c r="T168" s="1"/>
      <c r="U168" s="1"/>
      <c r="V168" s="1"/>
      <c r="W168" s="1"/>
      <c r="X168" s="1"/>
      <c r="Y168" s="1"/>
      <c r="Z168" s="1"/>
    </row>
    <row r="169" ht="12.75" customHeight="1">
      <c r="A169" s="1"/>
      <c r="B169" s="1"/>
      <c r="C169" s="11"/>
      <c r="D169" s="50" t="s">
        <v>293</v>
      </c>
      <c r="E169" s="11"/>
      <c r="F169" s="1"/>
      <c r="G169" s="1"/>
      <c r="H169" s="1"/>
      <c r="I169" s="1"/>
      <c r="J169" s="1"/>
      <c r="K169" s="1"/>
      <c r="L169" s="1"/>
      <c r="M169" s="1"/>
      <c r="N169" s="1"/>
      <c r="O169" s="1"/>
      <c r="P169" s="1"/>
      <c r="Q169" s="1"/>
      <c r="R169" s="1"/>
      <c r="S169" s="1"/>
      <c r="T169" s="1"/>
      <c r="U169" s="1"/>
      <c r="V169" s="1"/>
      <c r="W169" s="1"/>
      <c r="X169" s="1"/>
      <c r="Y169" s="1"/>
      <c r="Z169" s="1"/>
    </row>
    <row r="170" ht="12.75" customHeight="1">
      <c r="A170" s="1"/>
      <c r="B170" s="1"/>
      <c r="C170" s="11"/>
      <c r="D170" s="50" t="s">
        <v>294</v>
      </c>
      <c r="E170" s="11"/>
      <c r="F170" s="1"/>
      <c r="G170" s="1"/>
      <c r="H170" s="1"/>
      <c r="I170" s="1"/>
      <c r="J170" s="1"/>
      <c r="K170" s="1"/>
      <c r="L170" s="1"/>
      <c r="M170" s="1"/>
      <c r="N170" s="1"/>
      <c r="O170" s="1"/>
      <c r="P170" s="1"/>
      <c r="Q170" s="1"/>
      <c r="R170" s="1"/>
      <c r="S170" s="1"/>
      <c r="T170" s="1"/>
      <c r="U170" s="1"/>
      <c r="V170" s="1"/>
      <c r="W170" s="1"/>
      <c r="X170" s="1"/>
      <c r="Y170" s="1"/>
      <c r="Z170" s="1"/>
    </row>
    <row r="171" ht="12.75" customHeight="1">
      <c r="A171" s="1"/>
      <c r="B171" s="1"/>
      <c r="C171" s="11"/>
      <c r="D171" s="50" t="s">
        <v>295</v>
      </c>
      <c r="E171" s="11"/>
      <c r="F171" s="1"/>
      <c r="G171" s="1"/>
      <c r="H171" s="1"/>
      <c r="I171" s="1"/>
      <c r="J171" s="1"/>
      <c r="K171" s="1"/>
      <c r="L171" s="1"/>
      <c r="M171" s="1"/>
      <c r="N171" s="1"/>
      <c r="O171" s="1"/>
      <c r="P171" s="1"/>
      <c r="Q171" s="1"/>
      <c r="R171" s="1"/>
      <c r="S171" s="1"/>
      <c r="T171" s="1"/>
      <c r="U171" s="1"/>
      <c r="V171" s="1"/>
      <c r="W171" s="1"/>
      <c r="X171" s="1"/>
      <c r="Y171" s="1"/>
      <c r="Z171" s="1"/>
    </row>
    <row r="172" ht="12.75" customHeight="1">
      <c r="A172" s="1"/>
      <c r="B172" s="1"/>
      <c r="C172" s="11"/>
      <c r="D172" s="50" t="s">
        <v>296</v>
      </c>
      <c r="E172" s="11"/>
      <c r="F172" s="1"/>
      <c r="G172" s="1"/>
      <c r="H172" s="1"/>
      <c r="I172" s="1"/>
      <c r="J172" s="1"/>
      <c r="K172" s="1"/>
      <c r="L172" s="1"/>
      <c r="M172" s="1"/>
      <c r="N172" s="1"/>
      <c r="O172" s="1"/>
      <c r="P172" s="1"/>
      <c r="Q172" s="1"/>
      <c r="R172" s="1"/>
      <c r="S172" s="1"/>
      <c r="T172" s="1"/>
      <c r="U172" s="1"/>
      <c r="V172" s="1"/>
      <c r="W172" s="1"/>
      <c r="X172" s="1"/>
      <c r="Y172" s="1"/>
      <c r="Z172" s="1"/>
    </row>
    <row r="173" ht="12.75" customHeight="1">
      <c r="A173" s="1"/>
      <c r="B173" s="1"/>
      <c r="C173" s="11"/>
      <c r="D173" s="50" t="s">
        <v>297</v>
      </c>
      <c r="E173" s="11"/>
      <c r="F173" s="1"/>
      <c r="G173" s="1"/>
      <c r="H173" s="1"/>
      <c r="I173" s="1"/>
      <c r="J173" s="1"/>
      <c r="K173" s="1"/>
      <c r="L173" s="1"/>
      <c r="M173" s="1"/>
      <c r="N173" s="1"/>
      <c r="O173" s="1"/>
      <c r="P173" s="1"/>
      <c r="Q173" s="1"/>
      <c r="R173" s="1"/>
      <c r="S173" s="1"/>
      <c r="T173" s="1"/>
      <c r="U173" s="1"/>
      <c r="V173" s="1"/>
      <c r="W173" s="1"/>
      <c r="X173" s="1"/>
      <c r="Y173" s="1"/>
      <c r="Z173" s="1"/>
    </row>
    <row r="174" ht="12.75" customHeight="1">
      <c r="A174" s="1"/>
      <c r="B174" s="1"/>
      <c r="C174" s="11"/>
      <c r="D174" s="48" t="s">
        <v>298</v>
      </c>
      <c r="E174" s="11"/>
      <c r="F174" s="1"/>
      <c r="G174" s="1"/>
      <c r="H174" s="1"/>
      <c r="I174" s="1"/>
      <c r="J174" s="1"/>
      <c r="K174" s="1"/>
      <c r="L174" s="1"/>
      <c r="M174" s="1"/>
      <c r="N174" s="1"/>
      <c r="O174" s="1"/>
      <c r="P174" s="1"/>
      <c r="Q174" s="1"/>
      <c r="R174" s="1"/>
      <c r="S174" s="1"/>
      <c r="T174" s="1"/>
      <c r="U174" s="1"/>
      <c r="V174" s="1"/>
      <c r="W174" s="1"/>
      <c r="X174" s="1"/>
      <c r="Y174" s="1"/>
      <c r="Z174" s="1"/>
    </row>
    <row r="175" ht="12.75" customHeight="1">
      <c r="A175" s="1"/>
      <c r="B175" s="1"/>
      <c r="C175" s="11"/>
      <c r="D175" s="48" t="s">
        <v>299</v>
      </c>
      <c r="E175" s="11"/>
      <c r="F175" s="1"/>
      <c r="G175" s="1"/>
      <c r="H175" s="1"/>
      <c r="I175" s="1"/>
      <c r="J175" s="1"/>
      <c r="K175" s="1"/>
      <c r="L175" s="1"/>
      <c r="M175" s="1"/>
      <c r="N175" s="1"/>
      <c r="O175" s="1"/>
      <c r="P175" s="1"/>
      <c r="Q175" s="1"/>
      <c r="R175" s="1"/>
      <c r="S175" s="1"/>
      <c r="T175" s="1"/>
      <c r="U175" s="1"/>
      <c r="V175" s="1"/>
      <c r="W175" s="1"/>
      <c r="X175" s="1"/>
      <c r="Y175" s="1"/>
      <c r="Z175" s="1"/>
    </row>
    <row r="176" ht="12.75" customHeight="1">
      <c r="A176" s="1"/>
      <c r="B176" s="1"/>
      <c r="C176" s="11"/>
      <c r="D176" s="48" t="s">
        <v>300</v>
      </c>
      <c r="E176" s="11"/>
      <c r="F176" s="1"/>
      <c r="G176" s="1"/>
      <c r="H176" s="1"/>
      <c r="I176" s="1"/>
      <c r="J176" s="1"/>
      <c r="K176" s="1"/>
      <c r="L176" s="1"/>
      <c r="M176" s="1"/>
      <c r="N176" s="1"/>
      <c r="O176" s="1"/>
      <c r="P176" s="1"/>
      <c r="Q176" s="1"/>
      <c r="R176" s="1"/>
      <c r="S176" s="1"/>
      <c r="T176" s="1"/>
      <c r="U176" s="1"/>
      <c r="V176" s="1"/>
      <c r="W176" s="1"/>
      <c r="X176" s="1"/>
      <c r="Y176" s="1"/>
      <c r="Z176" s="1"/>
    </row>
    <row r="177" ht="12.75" customHeight="1">
      <c r="A177" s="1"/>
      <c r="B177" s="1"/>
      <c r="C177" s="11"/>
      <c r="D177" s="48" t="s">
        <v>301</v>
      </c>
      <c r="E177" s="11"/>
      <c r="F177" s="1"/>
      <c r="G177" s="1"/>
      <c r="H177" s="1"/>
      <c r="I177" s="1"/>
      <c r="J177" s="1"/>
      <c r="K177" s="1"/>
      <c r="L177" s="1"/>
      <c r="M177" s="1"/>
      <c r="N177" s="1"/>
      <c r="O177" s="1"/>
      <c r="P177" s="1"/>
      <c r="Q177" s="1"/>
      <c r="R177" s="1"/>
      <c r="S177" s="1"/>
      <c r="T177" s="1"/>
      <c r="U177" s="1"/>
      <c r="V177" s="1"/>
      <c r="W177" s="1"/>
      <c r="X177" s="1"/>
      <c r="Y177" s="1"/>
      <c r="Z177" s="1"/>
    </row>
    <row r="178" ht="12.75" customHeight="1">
      <c r="A178" s="1"/>
      <c r="B178" s="1"/>
      <c r="C178" s="11"/>
      <c r="D178" s="7"/>
      <c r="E178" s="11"/>
      <c r="F178" s="1"/>
      <c r="G178" s="1"/>
      <c r="H178" s="1"/>
      <c r="I178" s="1"/>
      <c r="J178" s="1"/>
      <c r="K178" s="1"/>
      <c r="L178" s="1"/>
      <c r="M178" s="1"/>
      <c r="N178" s="1"/>
      <c r="O178" s="1"/>
      <c r="P178" s="1"/>
      <c r="Q178" s="1"/>
      <c r="R178" s="1"/>
      <c r="S178" s="1"/>
      <c r="T178" s="1"/>
      <c r="U178" s="1"/>
      <c r="V178" s="1"/>
      <c r="W178" s="1"/>
      <c r="X178" s="1"/>
      <c r="Y178" s="1"/>
      <c r="Z178" s="1"/>
    </row>
    <row r="179" ht="12.75" customHeight="1">
      <c r="A179" s="1"/>
      <c r="B179" s="1"/>
      <c r="C179" s="11"/>
      <c r="D179" s="35" t="s">
        <v>302</v>
      </c>
      <c r="E179" s="11"/>
      <c r="F179" s="1"/>
      <c r="G179" s="1"/>
      <c r="H179" s="1"/>
      <c r="I179" s="1"/>
      <c r="J179" s="1"/>
      <c r="K179" s="1"/>
      <c r="L179" s="1"/>
      <c r="M179" s="1"/>
      <c r="N179" s="1"/>
      <c r="O179" s="1"/>
      <c r="P179" s="1"/>
      <c r="Q179" s="1"/>
      <c r="R179" s="1"/>
      <c r="S179" s="1"/>
      <c r="T179" s="1"/>
      <c r="U179" s="1"/>
      <c r="V179" s="1"/>
      <c r="W179" s="1"/>
      <c r="X179" s="1"/>
      <c r="Y179" s="1"/>
      <c r="Z179" s="1"/>
    </row>
    <row r="180" ht="102.0" customHeight="1">
      <c r="A180" s="1"/>
      <c r="B180" s="1"/>
      <c r="C180" s="11"/>
      <c r="D180" s="11" t="s">
        <v>303</v>
      </c>
      <c r="E180" s="11"/>
      <c r="F180" s="1"/>
      <c r="G180" s="1"/>
      <c r="H180" s="1"/>
      <c r="I180" s="1"/>
      <c r="J180" s="1"/>
      <c r="K180" s="1"/>
      <c r="L180" s="1"/>
      <c r="M180" s="1"/>
      <c r="N180" s="1"/>
      <c r="O180" s="1"/>
      <c r="P180" s="1"/>
      <c r="Q180" s="1"/>
      <c r="R180" s="1"/>
      <c r="S180" s="1"/>
      <c r="T180" s="1"/>
      <c r="U180" s="1"/>
      <c r="V180" s="1"/>
      <c r="W180" s="1"/>
      <c r="X180" s="1"/>
      <c r="Y180" s="1"/>
      <c r="Z180" s="1"/>
    </row>
    <row r="181" ht="12.75" customHeight="1">
      <c r="A181" s="1"/>
      <c r="B181" s="1"/>
      <c r="C181" s="11"/>
      <c r="D181" s="7"/>
      <c r="E181" s="11"/>
      <c r="F181" s="1"/>
      <c r="G181" s="1"/>
      <c r="H181" s="1"/>
      <c r="I181" s="1"/>
      <c r="J181" s="1"/>
      <c r="K181" s="1"/>
      <c r="L181" s="1"/>
      <c r="M181" s="1"/>
      <c r="N181" s="1"/>
      <c r="O181" s="1"/>
      <c r="P181" s="1"/>
      <c r="Q181" s="1"/>
      <c r="R181" s="1"/>
      <c r="S181" s="1"/>
      <c r="T181" s="1"/>
      <c r="U181" s="1"/>
      <c r="V181" s="1"/>
      <c r="W181" s="1"/>
      <c r="X181" s="1"/>
      <c r="Y181" s="1"/>
      <c r="Z181" s="1"/>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7.29" defaultRowHeight="15.75" outlineLevelRow="1"/>
  <cols>
    <col customWidth="1" min="1" max="1" width="10.71"/>
    <col customWidth="1" min="2" max="2" width="14.29"/>
    <col customWidth="1" min="3" max="3" width="9.71"/>
    <col customWidth="1" min="4" max="4" width="14.43"/>
    <col customWidth="1" hidden="1" min="5" max="5" width="14.29"/>
    <col customWidth="1" hidden="1" min="6" max="9" width="9.71"/>
    <col customWidth="1" min="10" max="10" width="30.71"/>
    <col customWidth="1" min="11" max="11" width="13.71"/>
    <col customWidth="1" min="12" max="12" width="15.0"/>
    <col customWidth="1" hidden="1" min="13" max="13" width="12.71"/>
    <col customWidth="1" hidden="1" min="14" max="14" width="11.29"/>
    <col customWidth="1" hidden="1" min="15" max="15" width="11.71"/>
    <col customWidth="1" min="16" max="16" width="10.14"/>
    <col customWidth="1" min="17" max="18" width="11.71"/>
  </cols>
  <sheetData>
    <row r="1" ht="12.75" customHeight="1">
      <c r="A1" s="6" t="s">
        <v>3</v>
      </c>
      <c r="B1" s="8" t="s">
        <v>4</v>
      </c>
      <c r="C1" s="10" t="s">
        <v>6</v>
      </c>
      <c r="D1" s="10" t="s">
        <v>7</v>
      </c>
      <c r="E1" s="8" t="s">
        <v>8</v>
      </c>
      <c r="F1" s="10" t="s">
        <v>6</v>
      </c>
      <c r="G1" s="10" t="s">
        <v>9</v>
      </c>
      <c r="H1" s="10" t="s">
        <v>10</v>
      </c>
      <c r="I1" s="10" t="s">
        <v>6</v>
      </c>
      <c r="J1" s="10" t="s">
        <v>11</v>
      </c>
      <c r="K1" s="10" t="s">
        <v>12</v>
      </c>
      <c r="L1" s="12" t="s">
        <v>13</v>
      </c>
      <c r="M1" s="12" t="s">
        <v>15</v>
      </c>
      <c r="N1" s="15" t="s">
        <v>16</v>
      </c>
      <c r="O1" s="7" t="s">
        <v>18</v>
      </c>
      <c r="P1" s="10" t="s">
        <v>19</v>
      </c>
      <c r="Q1" s="12" t="s">
        <v>20</v>
      </c>
      <c r="R1" s="10"/>
    </row>
    <row r="2" ht="12.75" customHeight="1" collapsed="1">
      <c r="A2" s="17"/>
      <c r="B2" s="12"/>
      <c r="C2" s="19"/>
      <c r="D2" s="19"/>
      <c r="E2" s="12"/>
      <c r="F2" s="19"/>
      <c r="G2" s="19"/>
      <c r="H2" s="21"/>
      <c r="I2" s="19"/>
      <c r="J2" s="1"/>
      <c r="K2" s="1"/>
      <c r="L2" s="12"/>
      <c r="M2" s="12"/>
      <c r="N2" s="15"/>
      <c r="O2" s="1"/>
      <c r="Q2" s="12"/>
      <c r="R2" s="1"/>
    </row>
    <row r="3" ht="12.75" hidden="1" customHeight="1" outlineLevel="1">
      <c r="A3" s="17"/>
      <c r="B3" s="12"/>
      <c r="C3" s="19"/>
      <c r="D3" s="19"/>
      <c r="E3" s="12"/>
      <c r="F3" s="19"/>
      <c r="G3" s="19"/>
      <c r="H3" s="21"/>
      <c r="I3" s="19"/>
      <c r="J3" s="1"/>
      <c r="K3" s="1"/>
      <c r="L3" s="12">
        <v>10000.0</v>
      </c>
      <c r="M3" s="12">
        <v>10000.0</v>
      </c>
      <c r="N3" s="15"/>
      <c r="O3" s="1"/>
      <c r="Q3" s="12"/>
      <c r="R3" s="1"/>
    </row>
    <row r="4" ht="12.75" hidden="1" customHeight="1" outlineLevel="1">
      <c r="A4" s="17"/>
      <c r="B4" s="12"/>
      <c r="C4" s="19"/>
      <c r="D4" s="19"/>
      <c r="E4" s="12"/>
      <c r="F4" s="19"/>
      <c r="G4" s="19"/>
      <c r="H4" s="1"/>
      <c r="I4" s="1"/>
      <c r="J4" s="1"/>
      <c r="K4" s="1"/>
      <c r="L4" s="12"/>
      <c r="M4" s="12"/>
      <c r="N4" s="15"/>
      <c r="O4" s="1"/>
      <c r="Q4" s="12"/>
      <c r="R4" s="1"/>
    </row>
    <row r="5" ht="12.75" hidden="1" customHeight="1" outlineLevel="1">
      <c r="A5" s="17">
        <v>41057.0</v>
      </c>
      <c r="B5" s="12">
        <v>140000.0</v>
      </c>
      <c r="C5" s="19"/>
      <c r="D5" s="19">
        <f t="shared" ref="D5:D8" si="2">(B5/$B$5)-1</f>
        <v>0</v>
      </c>
      <c r="E5" s="12">
        <v>1000000.0</v>
      </c>
      <c r="F5" s="19"/>
      <c r="G5" s="19">
        <f t="shared" ref="G5:G8" si="3">(E5/$E$5)-1</f>
        <v>0</v>
      </c>
      <c r="H5" s="1"/>
      <c r="I5" s="1"/>
      <c r="J5" s="7" t="s">
        <v>28</v>
      </c>
      <c r="K5" s="1"/>
      <c r="L5" s="12">
        <f t="shared" ref="L5:M5" si="1">L3</f>
        <v>10000</v>
      </c>
      <c r="M5" s="12">
        <f t="shared" si="1"/>
        <v>10000</v>
      </c>
      <c r="N5" s="15">
        <v>14.0</v>
      </c>
      <c r="O5" s="1" t="b">
        <f t="shared" ref="O5:O8" si="4">N5*M5=B5</f>
        <v>1</v>
      </c>
      <c r="Q5" s="12"/>
      <c r="R5" s="1"/>
    </row>
    <row r="6" ht="12.75" hidden="1" customHeight="1" outlineLevel="1">
      <c r="A6" s="17">
        <v>41058.0</v>
      </c>
      <c r="B6" s="12">
        <v>140000.0</v>
      </c>
      <c r="C6" s="19">
        <f t="shared" ref="C6:C8" si="5">(B6/B5)-1</f>
        <v>0</v>
      </c>
      <c r="D6" s="19">
        <f t="shared" si="2"/>
        <v>0</v>
      </c>
      <c r="E6" s="12">
        <v>1026562.31</v>
      </c>
      <c r="F6" s="19">
        <f t="shared" ref="F6:F8" si="6">(E6/E5)-1</f>
        <v>0.02656231</v>
      </c>
      <c r="G6" s="19">
        <f t="shared" si="3"/>
        <v>0.02656231</v>
      </c>
      <c r="H6" s="1"/>
      <c r="I6" s="1"/>
      <c r="J6" s="1" t="s">
        <v>37</v>
      </c>
      <c r="K6" s="1"/>
      <c r="L6" s="12">
        <f t="shared" ref="L6:L8" si="7">IF(C5="",L3*(1+C6),L5*(1+C6))</f>
        <v>10000</v>
      </c>
      <c r="M6" s="12">
        <f t="shared" ref="M6:M8" si="8">IF(C5="",M3*(1+C6),IF(C7="",M5*(1+C6)*(1-(#REF!/12)),M5*(1+C6)))</f>
        <v>10000</v>
      </c>
      <c r="N6" s="15">
        <v>14.0</v>
      </c>
      <c r="O6" s="1" t="b">
        <f t="shared" si="4"/>
        <v>1</v>
      </c>
      <c r="Q6" s="12"/>
      <c r="R6" s="1"/>
    </row>
    <row r="7" ht="12.75" hidden="1" customHeight="1" outlineLevel="1">
      <c r="A7" s="17">
        <v>41059.0</v>
      </c>
      <c r="B7" s="12">
        <f>99390.91+40000</f>
        <v>139390.91</v>
      </c>
      <c r="C7" s="19">
        <f t="shared" si="5"/>
        <v>-0.004350642857</v>
      </c>
      <c r="D7" s="19">
        <f t="shared" si="2"/>
        <v>-0.004350642857</v>
      </c>
      <c r="E7" s="12">
        <v>993638.65</v>
      </c>
      <c r="F7" s="19">
        <f t="shared" si="6"/>
        <v>-0.03207175997</v>
      </c>
      <c r="G7" s="19">
        <f t="shared" si="3"/>
        <v>-0.00636135</v>
      </c>
      <c r="H7" s="1"/>
      <c r="I7" s="1"/>
      <c r="J7" s="1"/>
      <c r="K7" s="1" t="s">
        <v>45</v>
      </c>
      <c r="L7" s="12">
        <f t="shared" si="7"/>
        <v>9956.493571</v>
      </c>
      <c r="M7" s="12">
        <f t="shared" si="8"/>
        <v>9956.493571</v>
      </c>
      <c r="N7" s="15">
        <v>14.0</v>
      </c>
      <c r="O7" s="1" t="b">
        <f t="shared" si="4"/>
        <v>1</v>
      </c>
      <c r="Q7" s="12"/>
      <c r="R7" s="1"/>
    </row>
    <row r="8" ht="12.75" hidden="1" customHeight="1" outlineLevel="1">
      <c r="A8" s="17">
        <v>41060.0</v>
      </c>
      <c r="B8" s="12">
        <f>99856.87+40000</f>
        <v>139856.87</v>
      </c>
      <c r="C8" s="19">
        <f t="shared" si="5"/>
        <v>0.00334282917</v>
      </c>
      <c r="D8" s="19">
        <f t="shared" si="2"/>
        <v>-0.001022357143</v>
      </c>
      <c r="E8" s="12"/>
      <c r="F8" s="19">
        <f t="shared" si="6"/>
        <v>-1</v>
      </c>
      <c r="G8" s="19">
        <f t="shared" si="3"/>
        <v>-1</v>
      </c>
      <c r="H8" s="1"/>
      <c r="I8" s="1"/>
      <c r="J8" s="1"/>
      <c r="K8" s="37">
        <f>2270.25/2307.57-1</f>
        <v>-0.01617285716</v>
      </c>
      <c r="L8" s="12">
        <f t="shared" si="7"/>
        <v>9989.776429</v>
      </c>
      <c r="M8" s="12" t="str">
        <f t="shared" si="8"/>
        <v>#REF!</v>
      </c>
      <c r="N8" s="15">
        <v>14.023372287145246</v>
      </c>
      <c r="O8" s="1" t="str">
        <f t="shared" si="4"/>
        <v>#REF!</v>
      </c>
      <c r="Q8" s="12"/>
      <c r="R8" s="1"/>
    </row>
    <row r="9" ht="12.75" hidden="1" customHeight="1" outlineLevel="1">
      <c r="A9" s="17"/>
      <c r="B9" s="12"/>
      <c r="C9" s="19"/>
      <c r="D9" s="19"/>
      <c r="E9" s="12"/>
      <c r="F9" s="19"/>
      <c r="G9" s="19"/>
      <c r="H9" s="1"/>
      <c r="I9" s="1"/>
      <c r="J9" s="1"/>
      <c r="K9" s="1"/>
      <c r="L9" s="12"/>
      <c r="M9" s="12"/>
      <c r="N9" s="15"/>
      <c r="O9" s="12"/>
      <c r="Q9" s="12"/>
      <c r="R9" s="1"/>
    </row>
    <row r="10" ht="12.75" hidden="1" customHeight="1" outlineLevel="1">
      <c r="A10" s="17"/>
      <c r="B10" s="12">
        <f>B8</f>
        <v>139856.87</v>
      </c>
      <c r="C10" s="19"/>
      <c r="D10" s="19">
        <f t="shared" ref="D10:D31" si="9">(B10/$B$10)-1</f>
        <v>0</v>
      </c>
      <c r="E10" s="12" t="str">
        <f>E8</f>
        <v/>
      </c>
      <c r="F10" s="19"/>
      <c r="G10" s="19" t="str">
        <f t="shared" ref="G10:G31" si="10">(E10/$E$10)-1</f>
        <v>#DIV/0!</v>
      </c>
      <c r="H10" s="1"/>
      <c r="I10" s="1"/>
      <c r="J10" s="1"/>
      <c r="K10" s="1"/>
      <c r="L10" s="12"/>
      <c r="M10" s="12"/>
      <c r="N10" s="15"/>
      <c r="O10" s="1"/>
      <c r="Q10" s="12"/>
      <c r="R10" s="1"/>
    </row>
    <row r="11" ht="12.75" hidden="1" customHeight="1" outlineLevel="1">
      <c r="A11" s="17">
        <v>41061.0</v>
      </c>
      <c r="B11" s="12">
        <f>116024.08+20000</f>
        <v>136024.08</v>
      </c>
      <c r="C11" s="19">
        <f t="shared" ref="C11:C31" si="11">(B11/B10)-1</f>
        <v>-0.02740508922</v>
      </c>
      <c r="D11" s="19">
        <f t="shared" si="9"/>
        <v>-0.02740508922</v>
      </c>
      <c r="E11" s="12"/>
      <c r="F11" s="19" t="str">
        <f t="shared" ref="F11:F31" si="12">(E11/E10)-1</f>
        <v>#DIV/0!</v>
      </c>
      <c r="G11" s="19" t="str">
        <f t="shared" si="10"/>
        <v>#DIV/0!</v>
      </c>
      <c r="H11" s="1"/>
      <c r="I11" s="1"/>
      <c r="J11" s="1"/>
      <c r="K11" s="1"/>
      <c r="L11" s="12">
        <f t="shared" ref="L11:L31" si="13">IF(C10="",L8*(1+C11),L10*(1+C11))</f>
        <v>9716.005714</v>
      </c>
      <c r="M11" s="12" t="str">
        <f t="shared" ref="M11:M31" si="14">IF(C10="",M8*(1+C11),IF(C12="",M10*(1+C11)*(1-(#REF!/12)),M10*(1+C11)))</f>
        <v>#REF!</v>
      </c>
      <c r="N11" s="15">
        <v>14.023372287145246</v>
      </c>
      <c r="O11" s="1" t="str">
        <f t="shared" ref="O11:O31" si="15">N11*M11=B11</f>
        <v>#REF!</v>
      </c>
      <c r="Q11" s="19"/>
      <c r="R11" s="19"/>
    </row>
    <row r="12" ht="12.75" hidden="1" customHeight="1" outlineLevel="1">
      <c r="A12" s="17">
        <v>41064.0</v>
      </c>
      <c r="B12" s="12">
        <f>116300.38+20000</f>
        <v>136300.38</v>
      </c>
      <c r="C12" s="19">
        <f t="shared" si="11"/>
        <v>0.002031257995</v>
      </c>
      <c r="D12" s="19">
        <f t="shared" si="9"/>
        <v>-0.02542949803</v>
      </c>
      <c r="E12" s="12"/>
      <c r="F12" s="7" t="str">
        <f t="shared" si="12"/>
        <v>#DIV/0!</v>
      </c>
      <c r="G12" s="7" t="str">
        <f t="shared" si="10"/>
        <v>#DIV/0!</v>
      </c>
      <c r="H12" s="1"/>
      <c r="I12" s="1"/>
      <c r="J12" s="1"/>
      <c r="K12" s="1"/>
      <c r="L12" s="12">
        <f t="shared" si="13"/>
        <v>9735.741429</v>
      </c>
      <c r="M12" s="12" t="str">
        <f t="shared" si="14"/>
        <v>#REF!</v>
      </c>
      <c r="N12" s="15">
        <v>14.023372287145246</v>
      </c>
      <c r="O12" s="1" t="str">
        <f t="shared" si="15"/>
        <v>#REF!</v>
      </c>
      <c r="Q12" s="19"/>
      <c r="R12" s="1"/>
    </row>
    <row r="13" ht="12.75" hidden="1" customHeight="1" outlineLevel="1">
      <c r="A13" s="17">
        <v>41065.0</v>
      </c>
      <c r="B13" s="12">
        <v>138135.46</v>
      </c>
      <c r="C13" s="19">
        <f t="shared" si="11"/>
        <v>0.01346349878</v>
      </c>
      <c r="D13" s="19">
        <f t="shared" si="9"/>
        <v>-0.01230836926</v>
      </c>
      <c r="E13" s="12"/>
      <c r="F13" s="7" t="str">
        <f t="shared" si="12"/>
        <v>#DIV/0!</v>
      </c>
      <c r="G13" s="7" t="str">
        <f t="shared" si="10"/>
        <v>#DIV/0!</v>
      </c>
      <c r="H13" s="1"/>
      <c r="I13" s="1"/>
      <c r="J13" s="1"/>
      <c r="K13" s="1"/>
      <c r="L13" s="12">
        <f t="shared" si="13"/>
        <v>9866.818571</v>
      </c>
      <c r="M13" s="12" t="str">
        <f t="shared" si="14"/>
        <v>#REF!</v>
      </c>
      <c r="N13" s="15">
        <v>14.023372287145246</v>
      </c>
      <c r="O13" s="1" t="str">
        <f t="shared" si="15"/>
        <v>#REF!</v>
      </c>
      <c r="Q13" s="12"/>
      <c r="R13" s="1"/>
    </row>
    <row r="14" ht="12.75" hidden="1" customHeight="1" outlineLevel="1">
      <c r="A14" s="17">
        <v>41066.0</v>
      </c>
      <c r="B14" s="12">
        <v>140085.83</v>
      </c>
      <c r="C14" s="19">
        <f t="shared" si="11"/>
        <v>0.01411925656</v>
      </c>
      <c r="D14" s="19">
        <f t="shared" si="9"/>
        <v>0.001637102275</v>
      </c>
      <c r="E14" s="12"/>
      <c r="F14" s="7" t="str">
        <f t="shared" si="12"/>
        <v>#DIV/0!</v>
      </c>
      <c r="G14" s="7" t="str">
        <f t="shared" si="10"/>
        <v>#DIV/0!</v>
      </c>
      <c r="H14" s="1"/>
      <c r="I14" s="1"/>
      <c r="J14" s="1"/>
      <c r="K14" s="1"/>
      <c r="L14" s="12">
        <f t="shared" si="13"/>
        <v>10006.13071</v>
      </c>
      <c r="M14" s="12" t="str">
        <f t="shared" si="14"/>
        <v>#REF!</v>
      </c>
      <c r="N14" s="15">
        <v>14.023372287145246</v>
      </c>
      <c r="O14" s="1" t="str">
        <f t="shared" si="15"/>
        <v>#REF!</v>
      </c>
      <c r="Q14" s="12"/>
      <c r="R14" s="1"/>
    </row>
    <row r="15" ht="12.75" hidden="1" customHeight="1" outlineLevel="1">
      <c r="A15" s="17">
        <v>41067.0</v>
      </c>
      <c r="B15" s="12">
        <v>139239.83</v>
      </c>
      <c r="C15" s="19">
        <f t="shared" si="11"/>
        <v>-0.00603915471</v>
      </c>
      <c r="D15" s="19">
        <f t="shared" si="9"/>
        <v>-0.004411939149</v>
      </c>
      <c r="E15" s="12"/>
      <c r="F15" s="7" t="str">
        <f t="shared" si="12"/>
        <v>#DIV/0!</v>
      </c>
      <c r="G15" s="7" t="str">
        <f t="shared" si="10"/>
        <v>#DIV/0!</v>
      </c>
      <c r="H15" s="1"/>
      <c r="I15" s="1"/>
      <c r="J15" s="1" t="s">
        <v>99</v>
      </c>
      <c r="K15" s="1"/>
      <c r="L15" s="12">
        <f t="shared" si="13"/>
        <v>9945.702143</v>
      </c>
      <c r="M15" s="12" t="str">
        <f t="shared" si="14"/>
        <v>#REF!</v>
      </c>
      <c r="N15" s="15">
        <v>14.023372287145246</v>
      </c>
      <c r="O15" s="1" t="str">
        <f t="shared" si="15"/>
        <v>#REF!</v>
      </c>
      <c r="Q15" s="12"/>
      <c r="R15" s="1"/>
    </row>
    <row r="16" ht="12.75" hidden="1" customHeight="1" outlineLevel="1">
      <c r="A16" s="17">
        <v>41068.0</v>
      </c>
      <c r="B16" s="12">
        <v>140588.21</v>
      </c>
      <c r="C16" s="19">
        <f t="shared" si="11"/>
        <v>0.009683867037</v>
      </c>
      <c r="D16" s="19">
        <f t="shared" si="9"/>
        <v>0.005229203256</v>
      </c>
      <c r="E16" s="12"/>
      <c r="F16" s="7" t="str">
        <f t="shared" si="12"/>
        <v>#DIV/0!</v>
      </c>
      <c r="G16" s="7" t="str">
        <f t="shared" si="10"/>
        <v>#DIV/0!</v>
      </c>
      <c r="H16" s="1"/>
      <c r="I16" s="1"/>
      <c r="J16" s="1"/>
      <c r="K16" s="1"/>
      <c r="L16" s="12">
        <f t="shared" si="13"/>
        <v>10042.015</v>
      </c>
      <c r="M16" s="12" t="str">
        <f t="shared" si="14"/>
        <v>#REF!</v>
      </c>
      <c r="N16" s="15">
        <v>14.023372287145246</v>
      </c>
      <c r="O16" s="1" t="str">
        <f t="shared" si="15"/>
        <v>#REF!</v>
      </c>
      <c r="Q16" s="12"/>
      <c r="R16" s="1"/>
    </row>
    <row r="17" ht="12.75" hidden="1" customHeight="1" outlineLevel="1">
      <c r="A17" s="17">
        <v>41071.0</v>
      </c>
      <c r="B17" s="12">
        <v>140039.64</v>
      </c>
      <c r="C17" s="19">
        <f t="shared" si="11"/>
        <v>-0.003901963045</v>
      </c>
      <c r="D17" s="19">
        <f t="shared" si="9"/>
        <v>0.001306836053</v>
      </c>
      <c r="E17" s="12"/>
      <c r="F17" s="7" t="str">
        <f t="shared" si="12"/>
        <v>#DIV/0!</v>
      </c>
      <c r="G17" s="7" t="str">
        <f t="shared" si="10"/>
        <v>#DIV/0!</v>
      </c>
      <c r="H17" s="1"/>
      <c r="I17" s="1"/>
      <c r="J17" s="1"/>
      <c r="K17" s="1"/>
      <c r="L17" s="12">
        <f t="shared" si="13"/>
        <v>10002.83143</v>
      </c>
      <c r="M17" s="12" t="str">
        <f t="shared" si="14"/>
        <v>#REF!</v>
      </c>
      <c r="N17" s="15">
        <v>14.023372287145246</v>
      </c>
      <c r="O17" s="1" t="str">
        <f t="shared" si="15"/>
        <v>#REF!</v>
      </c>
      <c r="Q17" s="12"/>
      <c r="R17" s="1"/>
    </row>
    <row r="18" ht="12.75" hidden="1" customHeight="1" outlineLevel="1">
      <c r="A18" s="17">
        <v>41072.0</v>
      </c>
      <c r="B18" s="12">
        <v>140835.82</v>
      </c>
      <c r="C18" s="19">
        <f t="shared" si="11"/>
        <v>0.005685390222</v>
      </c>
      <c r="D18" s="19">
        <f t="shared" si="9"/>
        <v>0.006999656148</v>
      </c>
      <c r="E18" s="12"/>
      <c r="F18" s="7" t="str">
        <f t="shared" si="12"/>
        <v>#DIV/0!</v>
      </c>
      <c r="G18" s="7" t="str">
        <f t="shared" si="10"/>
        <v>#DIV/0!</v>
      </c>
      <c r="H18" s="1"/>
      <c r="I18" s="1"/>
      <c r="J18" s="1"/>
      <c r="K18" s="1"/>
      <c r="L18" s="12">
        <f t="shared" si="13"/>
        <v>10059.70143</v>
      </c>
      <c r="M18" s="12" t="str">
        <f t="shared" si="14"/>
        <v>#REF!</v>
      </c>
      <c r="N18" s="15">
        <v>14.023372287145246</v>
      </c>
      <c r="O18" s="1" t="str">
        <f t="shared" si="15"/>
        <v>#REF!</v>
      </c>
      <c r="Q18" s="12"/>
      <c r="R18" s="1"/>
    </row>
    <row r="19" ht="12.75" hidden="1" customHeight="1" outlineLevel="1">
      <c r="A19" s="17">
        <v>41073.0</v>
      </c>
      <c r="B19" s="12">
        <v>140216.67</v>
      </c>
      <c r="C19" s="19">
        <f t="shared" si="11"/>
        <v>-0.004396253737</v>
      </c>
      <c r="D19" s="19">
        <f t="shared" si="9"/>
        <v>0.002572630147</v>
      </c>
      <c r="E19" s="12"/>
      <c r="F19" s="7" t="str">
        <f t="shared" si="12"/>
        <v>#DIV/0!</v>
      </c>
      <c r="G19" s="7" t="str">
        <f t="shared" si="10"/>
        <v>#DIV/0!</v>
      </c>
      <c r="H19" s="1"/>
      <c r="I19" s="1"/>
      <c r="J19" s="1" t="s">
        <v>119</v>
      </c>
      <c r="K19" s="1"/>
      <c r="L19" s="12">
        <f t="shared" si="13"/>
        <v>10015.47643</v>
      </c>
      <c r="M19" s="12" t="str">
        <f t="shared" si="14"/>
        <v>#REF!</v>
      </c>
      <c r="N19" s="15">
        <v>14.023372287145246</v>
      </c>
      <c r="O19" s="1" t="str">
        <f t="shared" si="15"/>
        <v>#REF!</v>
      </c>
      <c r="Q19" s="12"/>
      <c r="R19" s="1"/>
    </row>
    <row r="20" ht="12.75" hidden="1" customHeight="1" outlineLevel="1">
      <c r="A20" s="17">
        <v>41074.0</v>
      </c>
      <c r="B20" s="12">
        <v>140993.48</v>
      </c>
      <c r="C20" s="19">
        <f t="shared" si="11"/>
        <v>0.005540068809</v>
      </c>
      <c r="D20" s="19">
        <f t="shared" si="9"/>
        <v>0.008126951504</v>
      </c>
      <c r="E20" s="12"/>
      <c r="F20" s="7" t="str">
        <f t="shared" si="12"/>
        <v>#DIV/0!</v>
      </c>
      <c r="G20" s="7" t="str">
        <f t="shared" si="10"/>
        <v>#DIV/0!</v>
      </c>
      <c r="H20" s="1"/>
      <c r="I20" s="1"/>
      <c r="J20" s="1" t="s">
        <v>126</v>
      </c>
      <c r="K20" s="1"/>
      <c r="L20" s="12">
        <f t="shared" si="13"/>
        <v>10070.96286</v>
      </c>
      <c r="M20" s="12" t="str">
        <f t="shared" si="14"/>
        <v>#REF!</v>
      </c>
      <c r="N20" s="15">
        <v>14.023372287145246</v>
      </c>
      <c r="O20" s="1" t="str">
        <f t="shared" si="15"/>
        <v>#REF!</v>
      </c>
      <c r="Q20" s="12"/>
      <c r="R20" s="1"/>
    </row>
    <row r="21" ht="12.75" hidden="1" customHeight="1" outlineLevel="1">
      <c r="A21" s="17">
        <v>41075.0</v>
      </c>
      <c r="B21" s="12">
        <v>140804.07</v>
      </c>
      <c r="C21" s="19">
        <f t="shared" si="11"/>
        <v>-0.001343395453</v>
      </c>
      <c r="D21" s="19">
        <f t="shared" si="9"/>
        <v>0.006772638341</v>
      </c>
      <c r="E21" s="12"/>
      <c r="F21" s="7" t="str">
        <f t="shared" si="12"/>
        <v>#DIV/0!</v>
      </c>
      <c r="G21" s="7" t="str">
        <f t="shared" si="10"/>
        <v>#DIV/0!</v>
      </c>
      <c r="H21" s="1"/>
      <c r="I21" s="1"/>
      <c r="J21" s="1"/>
      <c r="K21" s="1"/>
      <c r="L21" s="12">
        <f t="shared" si="13"/>
        <v>10057.43357</v>
      </c>
      <c r="M21" s="12" t="str">
        <f t="shared" si="14"/>
        <v>#REF!</v>
      </c>
      <c r="N21" s="15">
        <v>14.023372287145246</v>
      </c>
      <c r="O21" s="1" t="str">
        <f t="shared" si="15"/>
        <v>#REF!</v>
      </c>
      <c r="Q21" s="12"/>
      <c r="R21" s="1"/>
    </row>
    <row r="22" ht="12.75" hidden="1" customHeight="1" outlineLevel="1">
      <c r="A22" s="17">
        <v>41078.0</v>
      </c>
      <c r="B22" s="12">
        <v>141783.55</v>
      </c>
      <c r="C22" s="19">
        <f t="shared" si="11"/>
        <v>0.006956333009</v>
      </c>
      <c r="D22" s="19">
        <f t="shared" si="9"/>
        <v>0.01377608408</v>
      </c>
      <c r="E22" s="12"/>
      <c r="F22" s="7" t="str">
        <f t="shared" si="12"/>
        <v>#DIV/0!</v>
      </c>
      <c r="G22" s="7" t="str">
        <f t="shared" si="10"/>
        <v>#DIV/0!</v>
      </c>
      <c r="H22" s="1"/>
      <c r="I22" s="1"/>
      <c r="J22" s="1"/>
      <c r="K22" s="1"/>
      <c r="L22" s="12">
        <f t="shared" si="13"/>
        <v>10127.39643</v>
      </c>
      <c r="M22" s="12" t="str">
        <f t="shared" si="14"/>
        <v>#REF!</v>
      </c>
      <c r="N22" s="15">
        <v>14.023372287145246</v>
      </c>
      <c r="O22" s="1" t="str">
        <f t="shared" si="15"/>
        <v>#REF!</v>
      </c>
      <c r="Q22" s="12"/>
      <c r="R22" s="1"/>
    </row>
    <row r="23" ht="12.75" hidden="1" customHeight="1" outlineLevel="1">
      <c r="A23" s="17">
        <v>41079.0</v>
      </c>
      <c r="B23" s="12">
        <v>143808.57</v>
      </c>
      <c r="C23" s="19">
        <f t="shared" si="11"/>
        <v>0.01428247494</v>
      </c>
      <c r="D23" s="19">
        <f t="shared" si="9"/>
        <v>0.0282553156</v>
      </c>
      <c r="E23" s="12"/>
      <c r="F23" s="7" t="str">
        <f t="shared" si="12"/>
        <v>#DIV/0!</v>
      </c>
      <c r="G23" s="7" t="str">
        <f t="shared" si="10"/>
        <v>#DIV/0!</v>
      </c>
      <c r="H23" s="1"/>
      <c r="I23" s="1"/>
      <c r="J23" s="1"/>
      <c r="K23" s="1"/>
      <c r="L23" s="12">
        <f t="shared" si="13"/>
        <v>10272.04071</v>
      </c>
      <c r="M23" s="12" t="str">
        <f t="shared" si="14"/>
        <v>#REF!</v>
      </c>
      <c r="N23" s="15">
        <v>14.023372287145246</v>
      </c>
      <c r="O23" s="1" t="str">
        <f t="shared" si="15"/>
        <v>#REF!</v>
      </c>
      <c r="Q23" s="12"/>
      <c r="R23" s="1"/>
    </row>
    <row r="24" ht="12.75" hidden="1" customHeight="1" outlineLevel="1">
      <c r="A24" s="17">
        <v>41080.0</v>
      </c>
      <c r="B24" s="12">
        <v>143504.03</v>
      </c>
      <c r="C24" s="19">
        <f t="shared" si="11"/>
        <v>-0.002117676297</v>
      </c>
      <c r="D24" s="19">
        <f t="shared" si="9"/>
        <v>0.02607780369</v>
      </c>
      <c r="E24" s="12"/>
      <c r="F24" s="7" t="str">
        <f t="shared" si="12"/>
        <v>#DIV/0!</v>
      </c>
      <c r="G24" s="7" t="str">
        <f t="shared" si="10"/>
        <v>#DIV/0!</v>
      </c>
      <c r="H24" s="1"/>
      <c r="I24" s="1"/>
      <c r="J24" s="1"/>
      <c r="K24" s="1"/>
      <c r="L24" s="12">
        <f t="shared" si="13"/>
        <v>10250.28786</v>
      </c>
      <c r="M24" s="12" t="str">
        <f t="shared" si="14"/>
        <v>#REF!</v>
      </c>
      <c r="N24" s="15">
        <v>14.023372287145246</v>
      </c>
      <c r="O24" s="1" t="str">
        <f t="shared" si="15"/>
        <v>#REF!</v>
      </c>
      <c r="Q24" s="12"/>
      <c r="R24" s="1"/>
    </row>
    <row r="25" ht="12.75" hidden="1" customHeight="1" outlineLevel="1">
      <c r="A25" s="17">
        <v>41081.0</v>
      </c>
      <c r="B25" s="12">
        <v>139996.23</v>
      </c>
      <c r="C25" s="19">
        <f t="shared" si="11"/>
        <v>-0.02444391283</v>
      </c>
      <c r="D25" s="19">
        <f t="shared" si="9"/>
        <v>0.0009964472964</v>
      </c>
      <c r="E25" s="12"/>
      <c r="F25" s="7" t="str">
        <f t="shared" si="12"/>
        <v>#DIV/0!</v>
      </c>
      <c r="G25" s="7" t="str">
        <f t="shared" si="10"/>
        <v>#DIV/0!</v>
      </c>
      <c r="H25" s="1"/>
      <c r="I25" s="1"/>
      <c r="J25" s="1" t="s">
        <v>162</v>
      </c>
      <c r="K25" s="1"/>
      <c r="L25" s="12">
        <f t="shared" si="13"/>
        <v>9999.730714</v>
      </c>
      <c r="M25" s="12" t="str">
        <f t="shared" si="14"/>
        <v>#REF!</v>
      </c>
      <c r="N25" s="15">
        <v>14.023372287145246</v>
      </c>
      <c r="O25" s="1" t="str">
        <f t="shared" si="15"/>
        <v>#REF!</v>
      </c>
      <c r="Q25" s="12"/>
      <c r="R25" s="1"/>
    </row>
    <row r="26" ht="12.75" hidden="1" customHeight="1" outlineLevel="1">
      <c r="A26" s="17">
        <v>41082.0</v>
      </c>
      <c r="B26" s="12">
        <v>141125.34</v>
      </c>
      <c r="C26" s="19">
        <f t="shared" si="11"/>
        <v>0.008065288615</v>
      </c>
      <c r="D26" s="19">
        <f t="shared" si="9"/>
        <v>0.009069772547</v>
      </c>
      <c r="E26" s="12"/>
      <c r="F26" s="7" t="str">
        <f t="shared" si="12"/>
        <v>#DIV/0!</v>
      </c>
      <c r="G26" s="7" t="str">
        <f t="shared" si="10"/>
        <v>#DIV/0!</v>
      </c>
      <c r="H26" s="1"/>
      <c r="I26" s="1"/>
      <c r="J26" s="1" t="s">
        <v>169</v>
      </c>
      <c r="K26" s="1"/>
      <c r="L26" s="12">
        <f t="shared" si="13"/>
        <v>10080.38143</v>
      </c>
      <c r="M26" s="12" t="str">
        <f t="shared" si="14"/>
        <v>#REF!</v>
      </c>
      <c r="N26" s="15">
        <v>14.023372287145246</v>
      </c>
      <c r="O26" s="1" t="str">
        <f t="shared" si="15"/>
        <v>#REF!</v>
      </c>
      <c r="Q26" s="12"/>
      <c r="R26" s="1"/>
    </row>
    <row r="27" ht="12.75" hidden="1" customHeight="1" outlineLevel="1">
      <c r="A27" s="17">
        <v>41085.0</v>
      </c>
      <c r="B27" s="12">
        <v>139689.9</v>
      </c>
      <c r="C27" s="19">
        <f t="shared" si="11"/>
        <v>-0.01017138382</v>
      </c>
      <c r="D27" s="19">
        <f t="shared" si="9"/>
        <v>-0.001193863412</v>
      </c>
      <c r="E27" s="12"/>
      <c r="F27" s="7" t="str">
        <f t="shared" si="12"/>
        <v>#DIV/0!</v>
      </c>
      <c r="G27" s="7" t="str">
        <f t="shared" si="10"/>
        <v>#DIV/0!</v>
      </c>
      <c r="H27" s="1"/>
      <c r="I27" s="1"/>
      <c r="J27" s="1" t="s">
        <v>174</v>
      </c>
      <c r="K27" s="1"/>
      <c r="L27" s="12">
        <f t="shared" si="13"/>
        <v>9977.85</v>
      </c>
      <c r="M27" s="12" t="str">
        <f t="shared" si="14"/>
        <v>#REF!</v>
      </c>
      <c r="N27" s="15">
        <v>14.023372287145246</v>
      </c>
      <c r="O27" s="1" t="str">
        <f t="shared" si="15"/>
        <v>#REF!</v>
      </c>
      <c r="Q27" s="12"/>
      <c r="R27" s="1"/>
    </row>
    <row r="28" ht="12.75" hidden="1" customHeight="1" outlineLevel="1">
      <c r="A28" s="17">
        <v>41086.0</v>
      </c>
      <c r="B28" s="12">
        <v>140874.55</v>
      </c>
      <c r="C28" s="19">
        <f t="shared" si="11"/>
        <v>0.008480570177</v>
      </c>
      <c r="D28" s="19">
        <f t="shared" si="9"/>
        <v>0.007276582123</v>
      </c>
      <c r="E28" s="12"/>
      <c r="F28" s="7" t="str">
        <f t="shared" si="12"/>
        <v>#DIV/0!</v>
      </c>
      <c r="G28" s="7" t="str">
        <f t="shared" si="10"/>
        <v>#DIV/0!</v>
      </c>
      <c r="H28" s="1"/>
      <c r="I28" s="1"/>
      <c r="J28" s="1"/>
      <c r="K28" s="1"/>
      <c r="L28" s="12">
        <f t="shared" si="13"/>
        <v>10062.46786</v>
      </c>
      <c r="M28" s="12" t="str">
        <f t="shared" si="14"/>
        <v>#REF!</v>
      </c>
      <c r="N28" s="15">
        <v>14.023372287145246</v>
      </c>
      <c r="O28" s="1" t="str">
        <f t="shared" si="15"/>
        <v>#REF!</v>
      </c>
      <c r="Q28" s="12"/>
      <c r="R28" s="1"/>
    </row>
    <row r="29" ht="12.75" hidden="1" customHeight="1" outlineLevel="1">
      <c r="A29" s="17">
        <v>41087.0</v>
      </c>
      <c r="B29" s="12">
        <v>141452.34</v>
      </c>
      <c r="C29" s="19">
        <f t="shared" si="11"/>
        <v>0.004101450546</v>
      </c>
      <c r="D29" s="19">
        <f t="shared" si="9"/>
        <v>0.01140787721</v>
      </c>
      <c r="E29" s="12"/>
      <c r="F29" s="7" t="str">
        <f t="shared" si="12"/>
        <v>#DIV/0!</v>
      </c>
      <c r="G29" s="7" t="str">
        <f t="shared" si="10"/>
        <v>#DIV/0!</v>
      </c>
      <c r="H29" s="1"/>
      <c r="I29" s="1"/>
      <c r="J29" s="1"/>
      <c r="K29" s="1"/>
      <c r="L29" s="12">
        <f t="shared" si="13"/>
        <v>10103.73857</v>
      </c>
      <c r="M29" s="12" t="str">
        <f t="shared" si="14"/>
        <v>#REF!</v>
      </c>
      <c r="N29" s="15">
        <v>14.023372287145246</v>
      </c>
      <c r="O29" s="1" t="str">
        <f t="shared" si="15"/>
        <v>#REF!</v>
      </c>
      <c r="Q29" s="12"/>
      <c r="R29" s="1"/>
    </row>
    <row r="30" ht="12.75" hidden="1" customHeight="1" outlineLevel="1">
      <c r="A30" s="17">
        <v>41088.0</v>
      </c>
      <c r="B30" s="12">
        <v>141239.53</v>
      </c>
      <c r="C30" s="19">
        <f t="shared" si="11"/>
        <v>-0.001504464331</v>
      </c>
      <c r="D30" s="19">
        <f t="shared" si="9"/>
        <v>0.009886250136</v>
      </c>
      <c r="E30" s="12"/>
      <c r="F30" s="7" t="str">
        <f t="shared" si="12"/>
        <v>#DIV/0!</v>
      </c>
      <c r="G30" s="7" t="str">
        <f t="shared" si="10"/>
        <v>#DIV/0!</v>
      </c>
      <c r="H30" s="1"/>
      <c r="I30" s="1"/>
      <c r="J30" s="1"/>
      <c r="K30" s="1" t="s">
        <v>45</v>
      </c>
      <c r="L30" s="12">
        <f t="shared" si="13"/>
        <v>10088.53786</v>
      </c>
      <c r="M30" s="12" t="str">
        <f t="shared" si="14"/>
        <v>#REF!</v>
      </c>
      <c r="N30" s="15">
        <v>14.023372287145246</v>
      </c>
      <c r="O30" s="1" t="str">
        <f t="shared" si="15"/>
        <v>#REF!</v>
      </c>
      <c r="Q30" s="12"/>
      <c r="R30" s="1"/>
    </row>
    <row r="31" ht="12.75" hidden="1" customHeight="1" outlineLevel="1">
      <c r="A31" s="17">
        <v>41089.0</v>
      </c>
      <c r="B31" s="12">
        <v>144757.9</v>
      </c>
      <c r="C31" s="19">
        <f t="shared" si="11"/>
        <v>0.02491066063</v>
      </c>
      <c r="D31" s="19">
        <f t="shared" si="9"/>
        <v>0.03504318379</v>
      </c>
      <c r="E31" s="12"/>
      <c r="F31" s="7" t="str">
        <f t="shared" si="12"/>
        <v>#DIV/0!</v>
      </c>
      <c r="G31" s="7" t="str">
        <f t="shared" si="10"/>
        <v>#DIV/0!</v>
      </c>
      <c r="H31" s="1"/>
      <c r="I31" s="1"/>
      <c r="J31" s="1"/>
      <c r="K31" s="19">
        <f>(2363.69-2270.25)/2270.25</f>
        <v>0.04115846272</v>
      </c>
      <c r="L31" s="12">
        <f t="shared" si="13"/>
        <v>10339.85</v>
      </c>
      <c r="M31" s="12" t="str">
        <f t="shared" si="14"/>
        <v>#REF!</v>
      </c>
      <c r="N31" s="15">
        <v>14.046783593133803</v>
      </c>
      <c r="O31" s="1" t="str">
        <f t="shared" si="15"/>
        <v>#REF!</v>
      </c>
      <c r="Q31" s="12"/>
      <c r="R31" s="1"/>
    </row>
    <row r="32" ht="12.75" hidden="1" customHeight="1" outlineLevel="1">
      <c r="A32" s="17"/>
      <c r="B32" s="12"/>
      <c r="C32" s="1"/>
      <c r="D32" s="1"/>
      <c r="E32" s="12"/>
      <c r="F32" s="7"/>
      <c r="G32" s="7"/>
      <c r="H32" s="1"/>
      <c r="I32" s="1"/>
      <c r="J32" s="1"/>
      <c r="K32" s="1"/>
      <c r="L32" s="12"/>
      <c r="M32" s="12"/>
      <c r="N32" s="15"/>
      <c r="O32" s="1"/>
      <c r="Q32" s="12"/>
      <c r="R32" s="1"/>
    </row>
    <row r="33" ht="12.75" hidden="1" customHeight="1" outlineLevel="1">
      <c r="A33" s="17"/>
      <c r="B33" s="12">
        <f>B31</f>
        <v>144757.9</v>
      </c>
      <c r="C33" s="19"/>
      <c r="D33" s="19">
        <f t="shared" ref="D33:D54" si="16">(B33/$B$33)-1</f>
        <v>0</v>
      </c>
      <c r="E33" s="12" t="str">
        <f>E31</f>
        <v/>
      </c>
      <c r="F33" s="19"/>
      <c r="G33" s="19" t="str">
        <f t="shared" ref="G33:G54" si="17">(E33/$E$33)-1</f>
        <v>#DIV/0!</v>
      </c>
      <c r="H33" s="1"/>
      <c r="I33" s="1"/>
      <c r="J33" s="1"/>
      <c r="K33" s="1"/>
      <c r="L33" s="12"/>
      <c r="M33" s="12"/>
      <c r="N33" s="15"/>
      <c r="O33" s="1"/>
      <c r="Q33" s="12"/>
      <c r="R33" s="1"/>
    </row>
    <row r="34" ht="12.75" hidden="1" customHeight="1" outlineLevel="1">
      <c r="A34" s="17">
        <v>41092.0</v>
      </c>
      <c r="B34" s="12">
        <v>148268.25</v>
      </c>
      <c r="C34" s="19">
        <f t="shared" ref="C34:C54" si="18">(B34/B33)-1</f>
        <v>0.02424979915</v>
      </c>
      <c r="D34" s="19">
        <f t="shared" si="16"/>
        <v>0.02424979915</v>
      </c>
      <c r="E34" s="12"/>
      <c r="F34" s="19" t="str">
        <f t="shared" ref="F34:F54" si="19">(E34/E33)-1</f>
        <v>#DIV/0!</v>
      </c>
      <c r="G34" s="19" t="str">
        <f t="shared" si="17"/>
        <v>#DIV/0!</v>
      </c>
      <c r="H34" s="1"/>
      <c r="I34" s="1"/>
      <c r="J34" s="1"/>
      <c r="K34" s="1"/>
      <c r="L34" s="12">
        <f t="shared" ref="L34:L54" si="20">IF(C33="",L31*(1+C34),L33*(1+C34))</f>
        <v>10590.58929</v>
      </c>
      <c r="M34" s="12" t="str">
        <f t="shared" ref="M34:M54" si="21">IF(C33="",M31*(1+C34),IF(C35="",M33*(1+C34)*(1-(#REF!/12)),M33*(1+C34)))</f>
        <v>#REF!</v>
      </c>
      <c r="N34" s="15">
        <v>14.046783593133803</v>
      </c>
      <c r="O34" s="1" t="str">
        <f t="shared" ref="O34:O54" si="22">N34*M34=B34</f>
        <v>#REF!</v>
      </c>
      <c r="Q34" s="12"/>
      <c r="R34" s="1"/>
    </row>
    <row r="35" ht="12.75" hidden="1" customHeight="1" outlineLevel="1">
      <c r="A35" s="17">
        <v>41093.0</v>
      </c>
      <c r="B35" s="12">
        <v>149913.16</v>
      </c>
      <c r="C35" s="19">
        <f t="shared" si="18"/>
        <v>0.01109414861</v>
      </c>
      <c r="D35" s="19">
        <f t="shared" si="16"/>
        <v>0.03561297864</v>
      </c>
      <c r="E35" s="12"/>
      <c r="F35" s="19" t="str">
        <f t="shared" si="19"/>
        <v>#DIV/0!</v>
      </c>
      <c r="G35" s="19" t="str">
        <f t="shared" si="17"/>
        <v>#DIV/0!</v>
      </c>
      <c r="H35" s="1"/>
      <c r="I35" s="1"/>
      <c r="J35" s="1" t="s">
        <v>210</v>
      </c>
      <c r="K35" s="1"/>
      <c r="L35" s="12">
        <f t="shared" si="20"/>
        <v>10708.08286</v>
      </c>
      <c r="M35" s="12" t="str">
        <f t="shared" si="21"/>
        <v>#REF!</v>
      </c>
      <c r="N35" s="15">
        <v>14.046783593133803</v>
      </c>
      <c r="O35" s="1" t="str">
        <f t="shared" si="22"/>
        <v>#REF!</v>
      </c>
      <c r="Q35" s="12"/>
      <c r="R35" s="1"/>
    </row>
    <row r="36" ht="12.75" hidden="1" customHeight="1" outlineLevel="1">
      <c r="A36" s="17">
        <v>41095.0</v>
      </c>
      <c r="B36" s="12">
        <v>150198.12</v>
      </c>
      <c r="C36" s="19">
        <f t="shared" si="18"/>
        <v>0.001900833789</v>
      </c>
      <c r="D36" s="19">
        <f t="shared" si="16"/>
        <v>0.03758150678</v>
      </c>
      <c r="E36" s="12"/>
      <c r="F36" s="19" t="str">
        <f t="shared" si="19"/>
        <v>#DIV/0!</v>
      </c>
      <c r="G36" s="19" t="str">
        <f t="shared" si="17"/>
        <v>#DIV/0!</v>
      </c>
      <c r="H36" s="1"/>
      <c r="I36" s="1"/>
      <c r="J36" s="1" t="s">
        <v>214</v>
      </c>
      <c r="K36" s="1"/>
      <c r="L36" s="12">
        <f t="shared" si="20"/>
        <v>10728.43714</v>
      </c>
      <c r="M36" s="12" t="str">
        <f t="shared" si="21"/>
        <v>#REF!</v>
      </c>
      <c r="N36" s="15">
        <v>14.046783593133803</v>
      </c>
      <c r="O36" s="1" t="str">
        <f t="shared" si="22"/>
        <v>#REF!</v>
      </c>
      <c r="Q36" s="12"/>
      <c r="R36" s="1"/>
    </row>
    <row r="37" ht="12.75" hidden="1" customHeight="1" outlineLevel="1">
      <c r="A37" s="17">
        <v>41096.0</v>
      </c>
      <c r="B37" s="12">
        <v>148797.95</v>
      </c>
      <c r="C37" s="19">
        <f t="shared" si="18"/>
        <v>-0.009322153966</v>
      </c>
      <c r="D37" s="19">
        <f t="shared" si="16"/>
        <v>0.02790901222</v>
      </c>
      <c r="E37" s="12"/>
      <c r="F37" s="19" t="str">
        <f t="shared" si="19"/>
        <v>#DIV/0!</v>
      </c>
      <c r="G37" s="19" t="str">
        <f t="shared" si="17"/>
        <v>#DIV/0!</v>
      </c>
      <c r="H37" s="1"/>
      <c r="I37" s="1"/>
      <c r="J37" s="1"/>
      <c r="K37" s="1"/>
      <c r="L37" s="12">
        <f t="shared" si="20"/>
        <v>10628.425</v>
      </c>
      <c r="M37" s="12" t="str">
        <f t="shared" si="21"/>
        <v>#REF!</v>
      </c>
      <c r="N37" s="15">
        <v>14.046783593133803</v>
      </c>
      <c r="O37" s="1" t="str">
        <f t="shared" si="22"/>
        <v>#REF!</v>
      </c>
      <c r="Q37" s="12"/>
      <c r="R37" s="1"/>
    </row>
    <row r="38" ht="12.75" hidden="1" customHeight="1" outlineLevel="1">
      <c r="A38" s="17">
        <v>41099.0</v>
      </c>
      <c r="B38" s="12">
        <v>148943.21</v>
      </c>
      <c r="C38" s="19">
        <f t="shared" si="18"/>
        <v>0.0009762231267</v>
      </c>
      <c r="D38" s="19">
        <f t="shared" si="16"/>
        <v>0.02891248077</v>
      </c>
      <c r="E38" s="12"/>
      <c r="F38" s="19" t="str">
        <f t="shared" si="19"/>
        <v>#DIV/0!</v>
      </c>
      <c r="G38" s="19" t="str">
        <f t="shared" si="17"/>
        <v>#DIV/0!</v>
      </c>
      <c r="H38" s="1"/>
      <c r="I38" s="1"/>
      <c r="J38" s="1"/>
      <c r="K38" s="1"/>
      <c r="L38" s="12">
        <f t="shared" si="20"/>
        <v>10638.80071</v>
      </c>
      <c r="M38" s="12" t="str">
        <f t="shared" si="21"/>
        <v>#REF!</v>
      </c>
      <c r="N38" s="15">
        <v>14.046783593133803</v>
      </c>
      <c r="O38" s="1" t="str">
        <f t="shared" si="22"/>
        <v>#REF!</v>
      </c>
      <c r="Q38" s="12"/>
      <c r="R38" s="1"/>
    </row>
    <row r="39" ht="12.75" hidden="1" customHeight="1" outlineLevel="1">
      <c r="A39" s="17">
        <v>41100.0</v>
      </c>
      <c r="B39" s="12">
        <v>148292.21</v>
      </c>
      <c r="C39" s="19">
        <f t="shared" si="18"/>
        <v>-0.004370793405</v>
      </c>
      <c r="D39" s="19">
        <f t="shared" si="16"/>
        <v>0.02441531688</v>
      </c>
      <c r="E39" s="12"/>
      <c r="F39" s="19" t="str">
        <f t="shared" si="19"/>
        <v>#DIV/0!</v>
      </c>
      <c r="G39" s="19" t="str">
        <f t="shared" si="17"/>
        <v>#DIV/0!</v>
      </c>
      <c r="H39" s="1"/>
      <c r="I39" s="1"/>
      <c r="J39" s="1" t="s">
        <v>224</v>
      </c>
      <c r="K39" s="1"/>
      <c r="L39" s="12">
        <f t="shared" si="20"/>
        <v>10592.30071</v>
      </c>
      <c r="M39" s="12" t="str">
        <f t="shared" si="21"/>
        <v>#REF!</v>
      </c>
      <c r="N39" s="15">
        <v>14.046783593133803</v>
      </c>
      <c r="O39" s="1" t="str">
        <f t="shared" si="22"/>
        <v>#REF!</v>
      </c>
      <c r="Q39" s="12"/>
      <c r="R39" s="1"/>
    </row>
    <row r="40" ht="12.75" hidden="1" customHeight="1" outlineLevel="1">
      <c r="A40" s="17">
        <v>41101.0</v>
      </c>
      <c r="B40" s="12">
        <v>148737.11</v>
      </c>
      <c r="C40" s="19">
        <f t="shared" si="18"/>
        <v>0.003000157594</v>
      </c>
      <c r="D40" s="19">
        <f t="shared" si="16"/>
        <v>0.02748872428</v>
      </c>
      <c r="E40" s="12"/>
      <c r="F40" s="19" t="str">
        <f t="shared" si="19"/>
        <v>#DIV/0!</v>
      </c>
      <c r="G40" s="19" t="str">
        <f t="shared" si="17"/>
        <v>#DIV/0!</v>
      </c>
      <c r="H40" s="1"/>
      <c r="I40" s="1"/>
      <c r="J40" s="1" t="s">
        <v>227</v>
      </c>
      <c r="K40" s="1"/>
      <c r="L40" s="12">
        <f t="shared" si="20"/>
        <v>10624.07929</v>
      </c>
      <c r="M40" s="12" t="str">
        <f t="shared" si="21"/>
        <v>#REF!</v>
      </c>
      <c r="N40" s="15">
        <v>14.046783593133803</v>
      </c>
      <c r="O40" s="1" t="str">
        <f t="shared" si="22"/>
        <v>#REF!</v>
      </c>
      <c r="Q40" s="12"/>
      <c r="R40" s="1"/>
    </row>
    <row r="41" ht="12.75" hidden="1" customHeight="1" outlineLevel="1">
      <c r="A41" s="17">
        <v>41102.0</v>
      </c>
      <c r="B41" s="12">
        <v>146054.06</v>
      </c>
      <c r="C41" s="19">
        <f t="shared" si="18"/>
        <v>-0.01803887409</v>
      </c>
      <c r="D41" s="19">
        <f t="shared" si="16"/>
        <v>0.008953984549</v>
      </c>
      <c r="E41" s="12"/>
      <c r="F41" s="19" t="str">
        <f t="shared" si="19"/>
        <v>#DIV/0!</v>
      </c>
      <c r="G41" s="19" t="str">
        <f t="shared" si="17"/>
        <v>#DIV/0!</v>
      </c>
      <c r="H41" s="1"/>
      <c r="I41" s="1"/>
      <c r="J41" s="1" t="s">
        <v>231</v>
      </c>
      <c r="K41" s="1"/>
      <c r="L41" s="12">
        <f t="shared" si="20"/>
        <v>10432.43286</v>
      </c>
      <c r="M41" s="12" t="str">
        <f t="shared" si="21"/>
        <v>#REF!</v>
      </c>
      <c r="N41" s="15">
        <v>14.046783593133803</v>
      </c>
      <c r="O41" s="1" t="str">
        <f t="shared" si="22"/>
        <v>#REF!</v>
      </c>
      <c r="Q41" s="12"/>
      <c r="R41" s="1"/>
    </row>
    <row r="42" ht="12.75" hidden="1" customHeight="1" outlineLevel="1">
      <c r="A42" s="17">
        <v>41103.0</v>
      </c>
      <c r="B42" s="12">
        <v>148910.34</v>
      </c>
      <c r="C42" s="19">
        <f t="shared" si="18"/>
        <v>0.01955632045</v>
      </c>
      <c r="D42" s="19">
        <f t="shared" si="16"/>
        <v>0.02868541199</v>
      </c>
      <c r="E42" s="12"/>
      <c r="F42" s="19" t="str">
        <f t="shared" si="19"/>
        <v>#DIV/0!</v>
      </c>
      <c r="G42" s="19" t="str">
        <f t="shared" si="17"/>
        <v>#DIV/0!</v>
      </c>
      <c r="H42" s="1"/>
      <c r="I42" s="1"/>
      <c r="J42" s="1" t="s">
        <v>233</v>
      </c>
      <c r="K42" s="1"/>
      <c r="L42" s="12">
        <f t="shared" si="20"/>
        <v>10636.45286</v>
      </c>
      <c r="M42" s="12" t="str">
        <f t="shared" si="21"/>
        <v>#REF!</v>
      </c>
      <c r="N42" s="15">
        <v>14.046783593133803</v>
      </c>
      <c r="O42" s="1" t="str">
        <f t="shared" si="22"/>
        <v>#REF!</v>
      </c>
      <c r="Q42" s="12"/>
      <c r="R42" s="1"/>
    </row>
    <row r="43" ht="12.75" hidden="1" customHeight="1" outlineLevel="1">
      <c r="A43" s="17">
        <v>41106.0</v>
      </c>
      <c r="B43" s="12">
        <v>149963.15</v>
      </c>
      <c r="C43" s="19">
        <f t="shared" si="18"/>
        <v>0.007070093319</v>
      </c>
      <c r="D43" s="19">
        <f t="shared" si="16"/>
        <v>0.03595831385</v>
      </c>
      <c r="E43" s="12"/>
      <c r="F43" s="19" t="str">
        <f t="shared" si="19"/>
        <v>#DIV/0!</v>
      </c>
      <c r="G43" s="19" t="str">
        <f t="shared" si="17"/>
        <v>#DIV/0!</v>
      </c>
      <c r="H43" s="1"/>
      <c r="I43" s="1"/>
      <c r="J43" s="1"/>
      <c r="K43" s="1"/>
      <c r="L43" s="12">
        <f t="shared" si="20"/>
        <v>10711.65357</v>
      </c>
      <c r="M43" s="12" t="str">
        <f t="shared" si="21"/>
        <v>#REF!</v>
      </c>
      <c r="N43" s="15">
        <v>14.046783593133803</v>
      </c>
      <c r="O43" s="1" t="str">
        <f t="shared" si="22"/>
        <v>#REF!</v>
      </c>
      <c r="Q43" s="12"/>
      <c r="R43" s="1"/>
    </row>
    <row r="44" ht="12.75" hidden="1" customHeight="1" outlineLevel="1">
      <c r="A44" s="17">
        <v>41107.0</v>
      </c>
      <c r="B44" s="12">
        <v>152902.23</v>
      </c>
      <c r="C44" s="19">
        <f t="shared" si="18"/>
        <v>0.01959868141</v>
      </c>
      <c r="D44" s="19">
        <f t="shared" si="16"/>
        <v>0.05626173079</v>
      </c>
      <c r="E44" s="12"/>
      <c r="F44" s="19" t="str">
        <f t="shared" si="19"/>
        <v>#DIV/0!</v>
      </c>
      <c r="G44" s="19" t="str">
        <f t="shared" si="17"/>
        <v>#DIV/0!</v>
      </c>
      <c r="H44" s="1"/>
      <c r="I44" s="1"/>
      <c r="J44" s="1"/>
      <c r="K44" s="1"/>
      <c r="L44" s="12">
        <f t="shared" si="20"/>
        <v>10921.58786</v>
      </c>
      <c r="M44" s="12" t="str">
        <f t="shared" si="21"/>
        <v>#REF!</v>
      </c>
      <c r="N44" s="15">
        <v>14.046783593133803</v>
      </c>
      <c r="O44" s="1" t="str">
        <f t="shared" si="22"/>
        <v>#REF!</v>
      </c>
      <c r="Q44" s="12"/>
      <c r="R44" s="1"/>
    </row>
    <row r="45" ht="12.75" hidden="1" customHeight="1" outlineLevel="1">
      <c r="A45" s="17">
        <v>41108.0</v>
      </c>
      <c r="B45" s="12">
        <v>153207.66</v>
      </c>
      <c r="C45" s="19">
        <f t="shared" si="18"/>
        <v>0.001997550984</v>
      </c>
      <c r="D45" s="19">
        <f t="shared" si="16"/>
        <v>0.05837166745</v>
      </c>
      <c r="E45" s="12"/>
      <c r="F45" s="19" t="str">
        <f t="shared" si="19"/>
        <v>#DIV/0!</v>
      </c>
      <c r="G45" s="19" t="str">
        <f t="shared" si="17"/>
        <v>#DIV/0!</v>
      </c>
      <c r="H45" s="1"/>
      <c r="I45" s="1"/>
      <c r="J45" s="1" t="s">
        <v>238</v>
      </c>
      <c r="K45" s="1"/>
      <c r="L45" s="12">
        <f t="shared" si="20"/>
        <v>10943.40429</v>
      </c>
      <c r="M45" s="12" t="str">
        <f t="shared" si="21"/>
        <v>#REF!</v>
      </c>
      <c r="N45" s="15">
        <v>14.046783593133803</v>
      </c>
      <c r="O45" s="1" t="str">
        <f t="shared" si="22"/>
        <v>#REF!</v>
      </c>
      <c r="Q45" s="12"/>
      <c r="R45" s="1"/>
    </row>
    <row r="46" ht="12.75" hidden="1" customHeight="1" outlineLevel="1">
      <c r="A46" s="17">
        <v>41109.0</v>
      </c>
      <c r="B46" s="12">
        <v>153089.94</v>
      </c>
      <c r="C46" s="19">
        <f t="shared" si="18"/>
        <v>-0.0007683688923</v>
      </c>
      <c r="D46" s="19">
        <f t="shared" si="16"/>
        <v>0.05755844759</v>
      </c>
      <c r="E46" s="12"/>
      <c r="F46" s="19" t="str">
        <f t="shared" si="19"/>
        <v>#DIV/0!</v>
      </c>
      <c r="G46" s="19" t="str">
        <f t="shared" si="17"/>
        <v>#DIV/0!</v>
      </c>
      <c r="H46" s="1"/>
      <c r="I46" s="1"/>
      <c r="J46" s="7" t="s">
        <v>240</v>
      </c>
      <c r="K46" s="1"/>
      <c r="L46" s="12">
        <f t="shared" si="20"/>
        <v>10934.99571</v>
      </c>
      <c r="M46" s="12" t="str">
        <f t="shared" si="21"/>
        <v>#REF!</v>
      </c>
      <c r="N46" s="15">
        <v>14.046783593133803</v>
      </c>
      <c r="O46" s="1" t="str">
        <f t="shared" si="22"/>
        <v>#REF!</v>
      </c>
      <c r="Q46" s="12"/>
      <c r="R46" s="1"/>
    </row>
    <row r="47" ht="12.75" hidden="1" customHeight="1" outlineLevel="1">
      <c r="A47" s="17">
        <v>41110.0</v>
      </c>
      <c r="B47" s="12">
        <v>149592.33</v>
      </c>
      <c r="C47" s="19">
        <f t="shared" si="18"/>
        <v>-0.02284676576</v>
      </c>
      <c r="D47" s="19">
        <f t="shared" si="16"/>
        <v>0.03339665745</v>
      </c>
      <c r="E47" s="12"/>
      <c r="F47" s="19" t="str">
        <f t="shared" si="19"/>
        <v>#DIV/0!</v>
      </c>
      <c r="G47" s="19" t="str">
        <f t="shared" si="17"/>
        <v>#DIV/0!</v>
      </c>
      <c r="H47" s="1"/>
      <c r="I47" s="1"/>
      <c r="J47" s="7" t="s">
        <v>244</v>
      </c>
      <c r="K47" s="1"/>
      <c r="L47" s="12">
        <f t="shared" si="20"/>
        <v>10685.16643</v>
      </c>
      <c r="M47" s="12" t="str">
        <f t="shared" si="21"/>
        <v>#REF!</v>
      </c>
      <c r="N47" s="15">
        <v>14.046783593133803</v>
      </c>
      <c r="O47" s="1" t="str">
        <f t="shared" si="22"/>
        <v>#REF!</v>
      </c>
      <c r="Q47" s="12"/>
      <c r="R47" s="1"/>
    </row>
    <row r="48" ht="12.75" hidden="1" customHeight="1" outlineLevel="1">
      <c r="A48" s="17">
        <v>41113.0</v>
      </c>
      <c r="B48" s="12">
        <v>147840.5</v>
      </c>
      <c r="C48" s="19">
        <f t="shared" si="18"/>
        <v>-0.01171069399</v>
      </c>
      <c r="D48" s="19">
        <f t="shared" si="16"/>
        <v>0.02129486543</v>
      </c>
      <c r="E48" s="12"/>
      <c r="F48" s="19" t="str">
        <f t="shared" si="19"/>
        <v>#DIV/0!</v>
      </c>
      <c r="G48" s="19" t="str">
        <f t="shared" si="17"/>
        <v>#DIV/0!</v>
      </c>
      <c r="H48" s="1"/>
      <c r="I48" s="1"/>
      <c r="J48" s="7" t="s">
        <v>247</v>
      </c>
      <c r="K48" s="1"/>
      <c r="L48" s="12">
        <f t="shared" si="20"/>
        <v>10560.03571</v>
      </c>
      <c r="M48" s="12" t="str">
        <f t="shared" si="21"/>
        <v>#REF!</v>
      </c>
      <c r="N48" s="15">
        <v>14.046783593133803</v>
      </c>
      <c r="O48" s="1" t="str">
        <f t="shared" si="22"/>
        <v>#REF!</v>
      </c>
      <c r="Q48" s="12"/>
      <c r="R48" s="1"/>
    </row>
    <row r="49" ht="12.75" hidden="1" customHeight="1" outlineLevel="1">
      <c r="A49" s="17">
        <v>41114.0</v>
      </c>
      <c r="B49" s="12">
        <v>145624.56</v>
      </c>
      <c r="C49" s="19">
        <f t="shared" si="18"/>
        <v>-0.01498872095</v>
      </c>
      <c r="D49" s="19">
        <f t="shared" si="16"/>
        <v>0.005986961679</v>
      </c>
      <c r="E49" s="12"/>
      <c r="F49" s="19" t="str">
        <f t="shared" si="19"/>
        <v>#DIV/0!</v>
      </c>
      <c r="G49" s="19" t="str">
        <f t="shared" si="17"/>
        <v>#DIV/0!</v>
      </c>
      <c r="H49" s="1"/>
      <c r="I49" s="1"/>
      <c r="J49" s="7" t="s">
        <v>250</v>
      </c>
      <c r="K49" s="1"/>
      <c r="L49" s="12">
        <f t="shared" si="20"/>
        <v>10401.75429</v>
      </c>
      <c r="M49" s="12" t="str">
        <f t="shared" si="21"/>
        <v>#REF!</v>
      </c>
      <c r="N49" s="15">
        <v>14.046783593133803</v>
      </c>
      <c r="O49" s="1" t="str">
        <f t="shared" si="22"/>
        <v>#REF!</v>
      </c>
      <c r="Q49" s="12"/>
      <c r="R49" s="1"/>
    </row>
    <row r="50" ht="12.75" hidden="1" customHeight="1" outlineLevel="1">
      <c r="A50" s="17">
        <v>41115.0</v>
      </c>
      <c r="B50" s="12">
        <v>146062.65</v>
      </c>
      <c r="C50" s="19">
        <f t="shared" si="18"/>
        <v>0.003008352437</v>
      </c>
      <c r="D50" s="19">
        <f t="shared" si="16"/>
        <v>0.009013325007</v>
      </c>
      <c r="E50" s="12"/>
      <c r="F50" s="19" t="str">
        <f t="shared" si="19"/>
        <v>#DIV/0!</v>
      </c>
      <c r="G50" s="19" t="str">
        <f t="shared" si="17"/>
        <v>#DIV/0!</v>
      </c>
      <c r="H50" s="1"/>
      <c r="I50" s="1"/>
      <c r="J50" s="7" t="s">
        <v>255</v>
      </c>
      <c r="K50" s="1"/>
      <c r="L50" s="12">
        <f t="shared" si="20"/>
        <v>10433.04643</v>
      </c>
      <c r="M50" s="12" t="str">
        <f t="shared" si="21"/>
        <v>#REF!</v>
      </c>
      <c r="N50" s="15">
        <v>14.046783593133803</v>
      </c>
      <c r="O50" s="1" t="str">
        <f t="shared" si="22"/>
        <v>#REF!</v>
      </c>
      <c r="Q50" s="12"/>
      <c r="R50" s="1"/>
    </row>
    <row r="51" ht="12.75" hidden="1" customHeight="1" outlineLevel="1">
      <c r="A51" s="17">
        <v>41116.0</v>
      </c>
      <c r="B51" s="12">
        <v>147352.02</v>
      </c>
      <c r="C51" s="19">
        <f t="shared" si="18"/>
        <v>0.008827513399</v>
      </c>
      <c r="D51" s="19">
        <f t="shared" si="16"/>
        <v>0.01792040365</v>
      </c>
      <c r="E51" s="12"/>
      <c r="F51" s="19" t="str">
        <f t="shared" si="19"/>
        <v>#DIV/0!</v>
      </c>
      <c r="G51" s="19" t="str">
        <f t="shared" si="17"/>
        <v>#DIV/0!</v>
      </c>
      <c r="H51" s="1"/>
      <c r="I51" s="1"/>
      <c r="J51" s="1"/>
      <c r="K51" s="1"/>
      <c r="L51" s="12">
        <f t="shared" si="20"/>
        <v>10525.14429</v>
      </c>
      <c r="M51" s="12" t="str">
        <f t="shared" si="21"/>
        <v>#REF!</v>
      </c>
      <c r="N51" s="15">
        <v>14.046783593133803</v>
      </c>
      <c r="O51" s="1" t="str">
        <f t="shared" si="22"/>
        <v>#REF!</v>
      </c>
      <c r="Q51" s="12"/>
      <c r="R51" s="1"/>
    </row>
    <row r="52" ht="12.75" hidden="1" customHeight="1" outlineLevel="1">
      <c r="A52" s="17">
        <v>41117.0</v>
      </c>
      <c r="B52" s="12">
        <v>147623.22</v>
      </c>
      <c r="C52" s="19">
        <f t="shared" si="18"/>
        <v>0.001840490548</v>
      </c>
      <c r="D52" s="19">
        <f t="shared" si="16"/>
        <v>0.01979387653</v>
      </c>
      <c r="E52" s="12"/>
      <c r="F52" s="19" t="str">
        <f t="shared" si="19"/>
        <v>#DIV/0!</v>
      </c>
      <c r="G52" s="19" t="str">
        <f t="shared" si="17"/>
        <v>#DIV/0!</v>
      </c>
      <c r="H52" s="1"/>
      <c r="I52" s="1"/>
      <c r="J52" s="7" t="s">
        <v>257</v>
      </c>
      <c r="K52" s="1"/>
      <c r="L52" s="12">
        <f t="shared" si="20"/>
        <v>10544.51571</v>
      </c>
      <c r="M52" s="12" t="str">
        <f t="shared" si="21"/>
        <v>#REF!</v>
      </c>
      <c r="N52" s="15">
        <v>14.046783593133803</v>
      </c>
      <c r="O52" s="1" t="str">
        <f t="shared" si="22"/>
        <v>#REF!</v>
      </c>
      <c r="Q52" s="12"/>
      <c r="R52" s="1"/>
    </row>
    <row r="53" ht="12.75" hidden="1" customHeight="1" outlineLevel="1">
      <c r="A53" s="17">
        <v>41120.0</v>
      </c>
      <c r="B53" s="12">
        <v>150589.2</v>
      </c>
      <c r="C53" s="19">
        <f t="shared" si="18"/>
        <v>0.0200915547</v>
      </c>
      <c r="D53" s="19">
        <f t="shared" si="16"/>
        <v>0.04028312099</v>
      </c>
      <c r="E53" s="12"/>
      <c r="F53" s="19" t="str">
        <f t="shared" si="19"/>
        <v>#DIV/0!</v>
      </c>
      <c r="G53" s="19" t="str">
        <f t="shared" si="17"/>
        <v>#DIV/0!</v>
      </c>
      <c r="H53" s="1"/>
      <c r="I53" s="1"/>
      <c r="J53" s="1"/>
      <c r="K53" s="1" t="s">
        <v>45</v>
      </c>
      <c r="L53" s="12">
        <f t="shared" si="20"/>
        <v>10756.37143</v>
      </c>
      <c r="M53" s="12" t="str">
        <f t="shared" si="21"/>
        <v>#REF!</v>
      </c>
      <c r="N53" s="15">
        <v>14.046783593133803</v>
      </c>
      <c r="O53" s="1" t="str">
        <f t="shared" si="22"/>
        <v>#REF!</v>
      </c>
      <c r="Q53" s="12"/>
      <c r="R53" s="1"/>
    </row>
    <row r="54" ht="12.75" hidden="1" customHeight="1" outlineLevel="1">
      <c r="A54" s="17">
        <v>41121.0</v>
      </c>
      <c r="B54" s="12">
        <v>150327.4</v>
      </c>
      <c r="C54" s="19">
        <f t="shared" si="18"/>
        <v>-0.001738504488</v>
      </c>
      <c r="D54" s="19">
        <f t="shared" si="16"/>
        <v>0.03847458412</v>
      </c>
      <c r="E54" s="12"/>
      <c r="F54" s="19" t="str">
        <f t="shared" si="19"/>
        <v>#DIV/0!</v>
      </c>
      <c r="G54" s="19" t="str">
        <f t="shared" si="17"/>
        <v>#DIV/0!</v>
      </c>
      <c r="H54" s="1"/>
      <c r="I54" s="1"/>
      <c r="J54" s="1"/>
      <c r="K54" s="19">
        <f>(2396.62-2363.69)/2363.69</f>
        <v>0.01393160694</v>
      </c>
      <c r="L54" s="12">
        <f t="shared" si="20"/>
        <v>10737.67143</v>
      </c>
      <c r="M54" s="12" t="str">
        <f t="shared" si="21"/>
        <v>#REF!</v>
      </c>
      <c r="N54" s="15">
        <v>14.070233983105641</v>
      </c>
      <c r="O54" s="1" t="str">
        <f t="shared" si="22"/>
        <v>#REF!</v>
      </c>
      <c r="Q54" s="12"/>
      <c r="R54" s="1"/>
    </row>
    <row r="55" ht="12.75" hidden="1" customHeight="1" outlineLevel="1">
      <c r="A55" s="17"/>
      <c r="B55" s="12"/>
      <c r="C55" s="19"/>
      <c r="D55" s="19"/>
      <c r="E55" s="12"/>
      <c r="F55" s="7"/>
      <c r="G55" s="7"/>
      <c r="H55" s="1"/>
      <c r="I55" s="1"/>
      <c r="J55" s="1"/>
      <c r="K55" s="1"/>
      <c r="L55" s="12"/>
      <c r="M55" s="12"/>
      <c r="N55" s="15"/>
      <c r="O55" s="1"/>
      <c r="Q55" s="12"/>
      <c r="R55" s="1"/>
    </row>
    <row r="56" ht="12.75" hidden="1" customHeight="1" outlineLevel="1">
      <c r="A56" s="17"/>
      <c r="B56" s="12">
        <v>150327.4</v>
      </c>
      <c r="C56" s="19"/>
      <c r="D56" s="19">
        <f t="shared" ref="D56:D79" si="23">(B56/$B$56)-1</f>
        <v>0</v>
      </c>
      <c r="E56" s="12"/>
      <c r="F56" s="19"/>
      <c r="G56" s="19" t="str">
        <f t="shared" ref="G56:G79" si="24">(E56/$E$56)-1</f>
        <v>#DIV/0!</v>
      </c>
      <c r="H56" s="1"/>
      <c r="I56" s="1"/>
      <c r="J56" s="1"/>
      <c r="K56" s="1"/>
      <c r="L56" s="12"/>
      <c r="M56" s="12"/>
      <c r="N56" s="15"/>
      <c r="O56" s="1"/>
      <c r="Q56" s="12"/>
      <c r="R56" s="1"/>
    </row>
    <row r="57" ht="12.75" hidden="1" customHeight="1" outlineLevel="1">
      <c r="A57" s="17">
        <v>41122.0</v>
      </c>
      <c r="B57" s="12">
        <v>148849.72</v>
      </c>
      <c r="C57" s="19">
        <f t="shared" ref="C57:C79" si="25">(B57/B56)-1</f>
        <v>-0.009829744943</v>
      </c>
      <c r="D57" s="19">
        <f t="shared" si="23"/>
        <v>-0.009829744943</v>
      </c>
      <c r="E57" s="12"/>
      <c r="F57" s="19" t="str">
        <f t="shared" ref="F57:F79" si="26">(E57/E56)-1</f>
        <v>#DIV/0!</v>
      </c>
      <c r="G57" s="19" t="str">
        <f t="shared" si="24"/>
        <v>#DIV/0!</v>
      </c>
      <c r="H57" s="1"/>
      <c r="I57" s="1"/>
      <c r="J57" s="1"/>
      <c r="K57" s="1"/>
      <c r="L57" s="12">
        <f t="shared" ref="L57:L79" si="27">IF(C56="",L54*(1+C57),L56*(1+C57))</f>
        <v>10632.12286</v>
      </c>
      <c r="M57" s="12" t="str">
        <f t="shared" ref="M57:M79" si="28">IF(C56="",M54*(1+C57),IF(C58="",M56*(1+C57)*(1-(#REF!/12)),M56*(1+C57)))</f>
        <v>#REF!</v>
      </c>
      <c r="N57" s="15">
        <v>14.070233983105641</v>
      </c>
      <c r="O57" s="1" t="str">
        <f t="shared" ref="O57:O79" si="29">N57*M57=B57</f>
        <v>#REF!</v>
      </c>
      <c r="Q57" s="12"/>
      <c r="R57" s="1"/>
    </row>
    <row r="58" ht="12.75" hidden="1" customHeight="1" outlineLevel="1">
      <c r="A58" s="17">
        <v>41123.0</v>
      </c>
      <c r="B58" s="12">
        <v>149197.65</v>
      </c>
      <c r="C58" s="19">
        <f t="shared" si="25"/>
        <v>0.00233745821</v>
      </c>
      <c r="D58" s="19">
        <f t="shared" si="23"/>
        <v>-0.007515263352</v>
      </c>
      <c r="E58" s="12"/>
      <c r="F58" s="7" t="str">
        <f t="shared" si="26"/>
        <v>#DIV/0!</v>
      </c>
      <c r="G58" s="7" t="str">
        <f t="shared" si="24"/>
        <v>#DIV/0!</v>
      </c>
      <c r="H58" s="1"/>
      <c r="I58" s="1"/>
      <c r="J58" s="1"/>
      <c r="K58" s="1"/>
      <c r="L58" s="12">
        <f t="shared" si="27"/>
        <v>10656.975</v>
      </c>
      <c r="M58" s="12" t="str">
        <f t="shared" si="28"/>
        <v>#REF!</v>
      </c>
      <c r="N58" s="15">
        <v>14.070233983105641</v>
      </c>
      <c r="O58" s="1" t="str">
        <f t="shared" si="29"/>
        <v>#REF!</v>
      </c>
      <c r="Q58" s="12"/>
      <c r="R58" s="1"/>
    </row>
    <row r="59" ht="12.75" hidden="1" customHeight="1" outlineLevel="1">
      <c r="A59" s="17">
        <v>41124.0</v>
      </c>
      <c r="B59" s="12">
        <v>151861.96</v>
      </c>
      <c r="C59" s="19">
        <f t="shared" si="25"/>
        <v>0.0178575869</v>
      </c>
      <c r="D59" s="19">
        <f t="shared" si="23"/>
        <v>0.01020811908</v>
      </c>
      <c r="E59" s="12"/>
      <c r="F59" s="7" t="str">
        <f t="shared" si="26"/>
        <v>#DIV/0!</v>
      </c>
      <c r="G59" s="7" t="str">
        <f t="shared" si="24"/>
        <v>#DIV/0!</v>
      </c>
      <c r="H59" s="1"/>
      <c r="I59" s="1"/>
      <c r="J59" s="1"/>
      <c r="K59" s="1"/>
      <c r="L59" s="12">
        <f t="shared" si="27"/>
        <v>10847.28286</v>
      </c>
      <c r="M59" s="12" t="str">
        <f t="shared" si="28"/>
        <v>#REF!</v>
      </c>
      <c r="N59" s="15">
        <v>14.070233983105641</v>
      </c>
      <c r="O59" s="1" t="str">
        <f t="shared" si="29"/>
        <v>#REF!</v>
      </c>
      <c r="Q59" s="12"/>
      <c r="R59" s="1"/>
    </row>
    <row r="60" ht="12.75" hidden="1" customHeight="1" outlineLevel="1">
      <c r="A60" s="17">
        <v>41127.0</v>
      </c>
      <c r="B60" s="12">
        <v>153796.84</v>
      </c>
      <c r="C60" s="19">
        <f t="shared" si="25"/>
        <v>0.01274104456</v>
      </c>
      <c r="D60" s="19">
        <f t="shared" si="23"/>
        <v>0.02307922574</v>
      </c>
      <c r="E60" s="12"/>
      <c r="F60" s="7" t="str">
        <f t="shared" si="26"/>
        <v>#DIV/0!</v>
      </c>
      <c r="G60" s="7" t="str">
        <f t="shared" si="24"/>
        <v>#DIV/0!</v>
      </c>
      <c r="H60" s="1"/>
      <c r="I60" s="1"/>
      <c r="J60" s="1" t="s">
        <v>281</v>
      </c>
      <c r="K60" s="1"/>
      <c r="L60" s="12">
        <f t="shared" si="27"/>
        <v>10985.48857</v>
      </c>
      <c r="M60" s="12" t="str">
        <f t="shared" si="28"/>
        <v>#REF!</v>
      </c>
      <c r="N60" s="15">
        <v>14.070233983105641</v>
      </c>
      <c r="O60" s="1" t="str">
        <f t="shared" si="29"/>
        <v>#REF!</v>
      </c>
      <c r="Q60" s="12"/>
      <c r="R60" s="1"/>
    </row>
    <row r="61" ht="12.75" hidden="1" customHeight="1" outlineLevel="1">
      <c r="A61" s="17">
        <v>41128.0</v>
      </c>
      <c r="B61" s="12">
        <v>154598.36</v>
      </c>
      <c r="C61" s="19">
        <f t="shared" si="25"/>
        <v>0.00521155051</v>
      </c>
      <c r="D61" s="19">
        <f t="shared" si="23"/>
        <v>0.0284110548</v>
      </c>
      <c r="E61" s="12"/>
      <c r="F61" s="7" t="str">
        <f t="shared" si="26"/>
        <v>#DIV/0!</v>
      </c>
      <c r="G61" s="7" t="str">
        <f t="shared" si="24"/>
        <v>#DIV/0!</v>
      </c>
      <c r="H61" s="1"/>
      <c r="I61" s="1"/>
      <c r="J61" s="1"/>
      <c r="K61" s="1"/>
      <c r="L61" s="12">
        <f t="shared" si="27"/>
        <v>11042.74</v>
      </c>
      <c r="M61" s="12" t="str">
        <f t="shared" si="28"/>
        <v>#REF!</v>
      </c>
      <c r="N61" s="15">
        <v>14.070233983105641</v>
      </c>
      <c r="O61" s="1" t="str">
        <f t="shared" si="29"/>
        <v>#REF!</v>
      </c>
      <c r="Q61" s="12"/>
      <c r="R61" s="1"/>
    </row>
    <row r="62" ht="12.75" hidden="1" customHeight="1" outlineLevel="1">
      <c r="A62" s="17">
        <v>41129.0</v>
      </c>
      <c r="B62" s="12">
        <v>155956.97</v>
      </c>
      <c r="C62" s="19">
        <f t="shared" si="25"/>
        <v>0.008787997492</v>
      </c>
      <c r="D62" s="19">
        <f t="shared" si="23"/>
        <v>0.03744872858</v>
      </c>
      <c r="E62" s="12"/>
      <c r="F62" s="7" t="str">
        <f t="shared" si="26"/>
        <v>#DIV/0!</v>
      </c>
      <c r="G62" s="7" t="str">
        <f t="shared" si="24"/>
        <v>#DIV/0!</v>
      </c>
      <c r="H62" s="1"/>
      <c r="I62" s="1"/>
      <c r="J62" s="1"/>
      <c r="K62" s="1"/>
      <c r="L62" s="12">
        <f t="shared" si="27"/>
        <v>11139.78357</v>
      </c>
      <c r="M62" s="12" t="str">
        <f t="shared" si="28"/>
        <v>#REF!</v>
      </c>
      <c r="N62" s="15">
        <v>14.070233983105641</v>
      </c>
      <c r="O62" s="1" t="str">
        <f t="shared" si="29"/>
        <v>#REF!</v>
      </c>
      <c r="Q62" s="12"/>
      <c r="R62" s="1"/>
    </row>
    <row r="63" ht="12.75" hidden="1" customHeight="1" outlineLevel="1">
      <c r="A63" s="17">
        <v>41130.0</v>
      </c>
      <c r="B63" s="12">
        <v>155113.44</v>
      </c>
      <c r="C63" s="19">
        <f t="shared" si="25"/>
        <v>-0.005408735499</v>
      </c>
      <c r="D63" s="19">
        <f t="shared" si="23"/>
        <v>0.03183744281</v>
      </c>
      <c r="E63" s="12"/>
      <c r="F63" s="7" t="str">
        <f t="shared" si="26"/>
        <v>#DIV/0!</v>
      </c>
      <c r="G63" s="7" t="str">
        <f t="shared" si="24"/>
        <v>#DIV/0!</v>
      </c>
      <c r="H63" s="1"/>
      <c r="I63" s="1"/>
      <c r="J63" s="1"/>
      <c r="K63" s="1"/>
      <c r="L63" s="12">
        <f t="shared" si="27"/>
        <v>11079.53143</v>
      </c>
      <c r="M63" s="12" t="str">
        <f t="shared" si="28"/>
        <v>#REF!</v>
      </c>
      <c r="N63" s="15">
        <v>14.070233983105641</v>
      </c>
      <c r="O63" s="1" t="str">
        <f t="shared" si="29"/>
        <v>#REF!</v>
      </c>
      <c r="Q63" s="12"/>
      <c r="R63" s="1"/>
    </row>
    <row r="64" ht="12.75" hidden="1" customHeight="1" outlineLevel="1">
      <c r="A64" s="17">
        <v>41131.0</v>
      </c>
      <c r="B64" s="12">
        <v>154218.86</v>
      </c>
      <c r="C64" s="19">
        <f t="shared" si="25"/>
        <v>-0.005767262979</v>
      </c>
      <c r="D64" s="19">
        <f t="shared" si="23"/>
        <v>0.02588656492</v>
      </c>
      <c r="E64" s="12"/>
      <c r="F64" s="7" t="str">
        <f t="shared" si="26"/>
        <v>#DIV/0!</v>
      </c>
      <c r="G64" s="7" t="str">
        <f t="shared" si="24"/>
        <v>#DIV/0!</v>
      </c>
      <c r="H64" s="1"/>
      <c r="I64" s="1"/>
      <c r="J64" s="1"/>
      <c r="K64" s="1"/>
      <c r="L64" s="12">
        <f t="shared" si="27"/>
        <v>11015.63286</v>
      </c>
      <c r="M64" s="12" t="str">
        <f t="shared" si="28"/>
        <v>#REF!</v>
      </c>
      <c r="N64" s="15">
        <v>14.070233983105641</v>
      </c>
      <c r="O64" s="1" t="str">
        <f t="shared" si="29"/>
        <v>#REF!</v>
      </c>
      <c r="Q64" s="12"/>
      <c r="R64" s="1"/>
    </row>
    <row r="65" ht="12.75" hidden="1" customHeight="1" outlineLevel="1">
      <c r="A65" s="17">
        <v>41134.0</v>
      </c>
      <c r="B65" s="12">
        <v>156790.2</v>
      </c>
      <c r="C65" s="19">
        <f t="shared" si="25"/>
        <v>0.01667331739</v>
      </c>
      <c r="D65" s="19">
        <f t="shared" si="23"/>
        <v>0.04299149723</v>
      </c>
      <c r="E65" s="12"/>
      <c r="F65" s="7" t="str">
        <f t="shared" si="26"/>
        <v>#DIV/0!</v>
      </c>
      <c r="G65" s="7" t="str">
        <f t="shared" si="24"/>
        <v>#DIV/0!</v>
      </c>
      <c r="H65" s="1"/>
      <c r="I65" s="1"/>
      <c r="J65" s="1"/>
      <c r="K65" s="1"/>
      <c r="L65" s="12">
        <f t="shared" si="27"/>
        <v>11199.3</v>
      </c>
      <c r="M65" s="12" t="str">
        <f t="shared" si="28"/>
        <v>#REF!</v>
      </c>
      <c r="N65" s="15">
        <v>14.070233983105641</v>
      </c>
      <c r="O65" s="1" t="str">
        <f t="shared" si="29"/>
        <v>#REF!</v>
      </c>
      <c r="Q65" s="12"/>
      <c r="R65" s="1"/>
    </row>
    <row r="66" ht="12.75" hidden="1" customHeight="1" outlineLevel="1">
      <c r="A66" s="17">
        <v>41135.0</v>
      </c>
      <c r="B66" s="12">
        <v>158939.87</v>
      </c>
      <c r="C66" s="19">
        <f t="shared" si="25"/>
        <v>0.01371048701</v>
      </c>
      <c r="D66" s="19">
        <f t="shared" si="23"/>
        <v>0.0572914186</v>
      </c>
      <c r="E66" s="12"/>
      <c r="F66" s="7" t="str">
        <f t="shared" si="26"/>
        <v>#DIV/0!</v>
      </c>
      <c r="G66" s="7" t="str">
        <f t="shared" si="24"/>
        <v>#DIV/0!</v>
      </c>
      <c r="H66" s="1"/>
      <c r="I66" s="1"/>
      <c r="J66" s="1"/>
      <c r="K66" s="1"/>
      <c r="L66" s="12">
        <f t="shared" si="27"/>
        <v>11352.84786</v>
      </c>
      <c r="M66" s="12" t="str">
        <f t="shared" si="28"/>
        <v>#REF!</v>
      </c>
      <c r="N66" s="15">
        <v>14.070233983105641</v>
      </c>
      <c r="O66" s="1" t="str">
        <f t="shared" si="29"/>
        <v>#REF!</v>
      </c>
      <c r="Q66" s="12"/>
      <c r="R66" s="1"/>
    </row>
    <row r="67" ht="12.75" hidden="1" customHeight="1" outlineLevel="1">
      <c r="A67" s="17">
        <v>41136.0</v>
      </c>
      <c r="B67" s="12">
        <v>159189.93</v>
      </c>
      <c r="C67" s="19">
        <f t="shared" si="25"/>
        <v>0.001573299387</v>
      </c>
      <c r="D67" s="19">
        <f t="shared" si="23"/>
        <v>0.05895485454</v>
      </c>
      <c r="E67" s="12"/>
      <c r="F67" s="7" t="str">
        <f t="shared" si="26"/>
        <v>#DIV/0!</v>
      </c>
      <c r="G67" s="7" t="str">
        <f t="shared" si="24"/>
        <v>#DIV/0!</v>
      </c>
      <c r="H67" s="1"/>
      <c r="I67" s="1"/>
      <c r="J67" s="1"/>
      <c r="K67" s="1"/>
      <c r="L67" s="12">
        <f t="shared" si="27"/>
        <v>11370.70929</v>
      </c>
      <c r="M67" s="12" t="str">
        <f t="shared" si="28"/>
        <v>#REF!</v>
      </c>
      <c r="N67" s="15">
        <v>14.070233983105641</v>
      </c>
      <c r="O67" s="1" t="str">
        <f t="shared" si="29"/>
        <v>#REF!</v>
      </c>
      <c r="Q67" s="12"/>
      <c r="R67" s="1"/>
    </row>
    <row r="68" ht="12.75" hidden="1" customHeight="1" outlineLevel="1">
      <c r="A68" s="17">
        <v>41137.0</v>
      </c>
      <c r="B68" s="12">
        <v>162791.6</v>
      </c>
      <c r="C68" s="19">
        <f t="shared" si="25"/>
        <v>0.02262498639</v>
      </c>
      <c r="D68" s="19">
        <f t="shared" si="23"/>
        <v>0.08291369371</v>
      </c>
      <c r="E68" s="12"/>
      <c r="F68" s="7" t="str">
        <f t="shared" si="26"/>
        <v>#DIV/0!</v>
      </c>
      <c r="G68" s="7" t="str">
        <f t="shared" si="24"/>
        <v>#DIV/0!</v>
      </c>
      <c r="H68" s="1"/>
      <c r="I68" s="1"/>
      <c r="J68" s="1"/>
      <c r="K68" s="1"/>
      <c r="L68" s="12">
        <f t="shared" si="27"/>
        <v>11627.97143</v>
      </c>
      <c r="M68" s="12" t="str">
        <f t="shared" si="28"/>
        <v>#REF!</v>
      </c>
      <c r="N68" s="15">
        <v>14.070233983105641</v>
      </c>
      <c r="O68" s="1" t="str">
        <f t="shared" si="29"/>
        <v>#REF!</v>
      </c>
      <c r="Q68" s="12"/>
      <c r="R68" s="1"/>
    </row>
    <row r="69" ht="12.75" hidden="1" customHeight="1" outlineLevel="1">
      <c r="A69" s="17">
        <v>41138.0</v>
      </c>
      <c r="B69" s="12">
        <v>165059.89</v>
      </c>
      <c r="C69" s="19">
        <f t="shared" si="25"/>
        <v>0.0139337042</v>
      </c>
      <c r="D69" s="19">
        <f t="shared" si="23"/>
        <v>0.09800269279</v>
      </c>
      <c r="E69" s="12"/>
      <c r="F69" s="7" t="str">
        <f t="shared" si="26"/>
        <v>#DIV/0!</v>
      </c>
      <c r="G69" s="7" t="str">
        <f t="shared" si="24"/>
        <v>#DIV/0!</v>
      </c>
      <c r="H69" s="1"/>
      <c r="I69" s="1"/>
      <c r="J69" s="1"/>
      <c r="K69" s="1"/>
      <c r="L69" s="12">
        <f t="shared" si="27"/>
        <v>11789.99214</v>
      </c>
      <c r="M69" s="12" t="str">
        <f t="shared" si="28"/>
        <v>#REF!</v>
      </c>
      <c r="N69" s="15">
        <v>14.070233983105641</v>
      </c>
      <c r="O69" s="1" t="str">
        <f t="shared" si="29"/>
        <v>#REF!</v>
      </c>
      <c r="Q69" s="12"/>
      <c r="R69" s="19"/>
    </row>
    <row r="70" ht="12.75" hidden="1" customHeight="1" outlineLevel="1">
      <c r="A70" s="17">
        <v>41141.0</v>
      </c>
      <c r="B70" s="12">
        <v>165250.84</v>
      </c>
      <c r="C70" s="19">
        <f t="shared" si="25"/>
        <v>0.001156852825</v>
      </c>
      <c r="D70" s="19">
        <f t="shared" si="23"/>
        <v>0.09927292031</v>
      </c>
      <c r="E70" s="12"/>
      <c r="F70" s="7" t="str">
        <f t="shared" si="26"/>
        <v>#DIV/0!</v>
      </c>
      <c r="G70" s="7" t="str">
        <f t="shared" si="24"/>
        <v>#DIV/0!</v>
      </c>
      <c r="H70" s="1"/>
      <c r="I70" s="1"/>
      <c r="J70" s="1"/>
      <c r="K70" s="1"/>
      <c r="L70" s="12">
        <f t="shared" si="27"/>
        <v>11803.63143</v>
      </c>
      <c r="M70" s="12" t="str">
        <f t="shared" si="28"/>
        <v>#REF!</v>
      </c>
      <c r="N70" s="15">
        <v>14.070233983105641</v>
      </c>
      <c r="O70" s="1" t="str">
        <f t="shared" si="29"/>
        <v>#REF!</v>
      </c>
      <c r="Q70" s="12"/>
      <c r="R70" s="1"/>
    </row>
    <row r="71" ht="12.75" hidden="1" customHeight="1" outlineLevel="1">
      <c r="A71" s="17">
        <v>41142.0</v>
      </c>
      <c r="B71" s="12">
        <v>159787.29</v>
      </c>
      <c r="C71" s="19">
        <f t="shared" si="25"/>
        <v>-0.03306216174</v>
      </c>
      <c r="D71" s="19">
        <f t="shared" si="23"/>
        <v>0.06292858122</v>
      </c>
      <c r="E71" s="12"/>
      <c r="F71" s="7" t="str">
        <f t="shared" si="26"/>
        <v>#DIV/0!</v>
      </c>
      <c r="G71" s="7" t="str">
        <f t="shared" si="24"/>
        <v>#DIV/0!</v>
      </c>
      <c r="H71" s="1"/>
      <c r="I71" s="1"/>
      <c r="J71" s="1"/>
      <c r="K71" s="1"/>
      <c r="L71" s="12">
        <f t="shared" si="27"/>
        <v>11413.37786</v>
      </c>
      <c r="M71" s="12" t="str">
        <f t="shared" si="28"/>
        <v>#REF!</v>
      </c>
      <c r="N71" s="15">
        <v>14.070233983105641</v>
      </c>
      <c r="O71" s="1" t="str">
        <f t="shared" si="29"/>
        <v>#REF!</v>
      </c>
      <c r="Q71" s="12"/>
      <c r="R71" s="1"/>
    </row>
    <row r="72" ht="12.75" hidden="1" customHeight="1" outlineLevel="1">
      <c r="A72" s="17">
        <v>41143.0</v>
      </c>
      <c r="B72" s="12">
        <v>159226.51</v>
      </c>
      <c r="C72" s="19">
        <f t="shared" si="25"/>
        <v>-0.003509540715</v>
      </c>
      <c r="D72" s="19">
        <f t="shared" si="23"/>
        <v>0.05919819008</v>
      </c>
      <c r="E72" s="12"/>
      <c r="F72" s="7" t="str">
        <f t="shared" si="26"/>
        <v>#DIV/0!</v>
      </c>
      <c r="G72" s="7" t="str">
        <f t="shared" si="24"/>
        <v>#DIV/0!</v>
      </c>
      <c r="H72" s="1"/>
      <c r="I72" s="1"/>
      <c r="J72" s="1"/>
      <c r="K72" s="1"/>
      <c r="L72" s="12">
        <f t="shared" si="27"/>
        <v>11373.32214</v>
      </c>
      <c r="M72" s="12" t="str">
        <f t="shared" si="28"/>
        <v>#REF!</v>
      </c>
      <c r="N72" s="15">
        <v>14.070233983105641</v>
      </c>
      <c r="O72" s="1" t="str">
        <f t="shared" si="29"/>
        <v>#REF!</v>
      </c>
      <c r="Q72" s="12"/>
      <c r="R72" s="1"/>
    </row>
    <row r="73" ht="12.75" hidden="1" customHeight="1" outlineLevel="1">
      <c r="A73" s="17">
        <v>41144.0</v>
      </c>
      <c r="B73" s="12">
        <v>158560.18</v>
      </c>
      <c r="C73" s="19">
        <f t="shared" si="25"/>
        <v>-0.004184793098</v>
      </c>
      <c r="D73" s="19">
        <f t="shared" si="23"/>
        <v>0.05476566481</v>
      </c>
      <c r="E73" s="12"/>
      <c r="F73" s="7" t="str">
        <f t="shared" si="26"/>
        <v>#DIV/0!</v>
      </c>
      <c r="G73" s="7" t="str">
        <f t="shared" si="24"/>
        <v>#DIV/0!</v>
      </c>
      <c r="H73" s="1"/>
      <c r="I73" s="1"/>
      <c r="J73" s="1"/>
      <c r="K73" s="1"/>
      <c r="L73" s="12">
        <f t="shared" si="27"/>
        <v>11325.72714</v>
      </c>
      <c r="M73" s="12" t="str">
        <f t="shared" si="28"/>
        <v>#REF!</v>
      </c>
      <c r="N73" s="15">
        <v>14.070233983105641</v>
      </c>
      <c r="O73" s="1" t="str">
        <f t="shared" si="29"/>
        <v>#REF!</v>
      </c>
      <c r="Q73" s="12"/>
      <c r="R73" s="1"/>
    </row>
    <row r="74" ht="12.75" hidden="1" customHeight="1" outlineLevel="1">
      <c r="A74" s="17">
        <v>41145.0</v>
      </c>
      <c r="B74" s="12">
        <v>160582.02</v>
      </c>
      <c r="C74" s="19">
        <f t="shared" si="25"/>
        <v>0.01275124688</v>
      </c>
      <c r="D74" s="19">
        <f t="shared" si="23"/>
        <v>0.0682152422</v>
      </c>
      <c r="E74" s="12"/>
      <c r="F74" s="7" t="str">
        <f t="shared" si="26"/>
        <v>#DIV/0!</v>
      </c>
      <c r="G74" s="7" t="str">
        <f t="shared" si="24"/>
        <v>#DIV/0!</v>
      </c>
      <c r="H74" s="1"/>
      <c r="I74" s="1"/>
      <c r="J74" s="1"/>
      <c r="K74" s="1"/>
      <c r="L74" s="12">
        <f t="shared" si="27"/>
        <v>11470.14429</v>
      </c>
      <c r="M74" s="12" t="str">
        <f t="shared" si="28"/>
        <v>#REF!</v>
      </c>
      <c r="N74" s="15">
        <v>14.070233983105641</v>
      </c>
      <c r="O74" s="1" t="str">
        <f t="shared" si="29"/>
        <v>#REF!</v>
      </c>
      <c r="Q74" s="12"/>
      <c r="R74" s="1"/>
    </row>
    <row r="75" ht="12.75" hidden="1" customHeight="1" outlineLevel="1">
      <c r="A75" s="17">
        <v>41148.0</v>
      </c>
      <c r="B75" s="12">
        <v>162460.25</v>
      </c>
      <c r="C75" s="19">
        <f t="shared" si="25"/>
        <v>0.01169639042</v>
      </c>
      <c r="D75" s="19">
        <f t="shared" si="23"/>
        <v>0.08070950472</v>
      </c>
      <c r="E75" s="12"/>
      <c r="F75" s="7" t="str">
        <f t="shared" si="26"/>
        <v>#DIV/0!</v>
      </c>
      <c r="G75" s="7" t="str">
        <f t="shared" si="24"/>
        <v>#DIV/0!</v>
      </c>
      <c r="H75" s="1"/>
      <c r="I75" s="1"/>
      <c r="J75" s="1"/>
      <c r="K75" s="1"/>
      <c r="L75" s="12">
        <f t="shared" si="27"/>
        <v>11604.30357</v>
      </c>
      <c r="M75" s="12" t="str">
        <f t="shared" si="28"/>
        <v>#REF!</v>
      </c>
      <c r="N75" s="15">
        <v>14.070233983105641</v>
      </c>
      <c r="O75" s="1" t="str">
        <f t="shared" si="29"/>
        <v>#REF!</v>
      </c>
      <c r="Q75" s="12"/>
      <c r="R75" s="1"/>
    </row>
    <row r="76" ht="12.75" hidden="1" customHeight="1" outlineLevel="1">
      <c r="A76" s="17">
        <v>41149.0</v>
      </c>
      <c r="B76" s="12">
        <v>162892.88</v>
      </c>
      <c r="C76" s="19">
        <f t="shared" si="25"/>
        <v>0.00266298987</v>
      </c>
      <c r="D76" s="19">
        <f t="shared" si="23"/>
        <v>0.08358742318</v>
      </c>
      <c r="E76" s="12"/>
      <c r="F76" s="7" t="str">
        <f t="shared" si="26"/>
        <v>#DIV/0!</v>
      </c>
      <c r="G76" s="7" t="str">
        <f t="shared" si="24"/>
        <v>#DIV/0!</v>
      </c>
      <c r="H76" s="1"/>
      <c r="I76" s="1"/>
      <c r="J76" s="1"/>
      <c r="K76" s="1"/>
      <c r="L76" s="12">
        <f t="shared" si="27"/>
        <v>11635.20571</v>
      </c>
      <c r="M76" s="12" t="str">
        <f t="shared" si="28"/>
        <v>#REF!</v>
      </c>
      <c r="N76" s="15">
        <v>14.070233983105641</v>
      </c>
      <c r="O76" s="1" t="str">
        <f t="shared" si="29"/>
        <v>#REF!</v>
      </c>
      <c r="Q76" s="12"/>
      <c r="R76" s="1"/>
    </row>
    <row r="77" ht="12.75" hidden="1" customHeight="1" outlineLevel="1">
      <c r="A77" s="17">
        <v>41150.0</v>
      </c>
      <c r="B77" s="12">
        <v>162777.45</v>
      </c>
      <c r="C77" s="19">
        <f t="shared" si="25"/>
        <v>-0.000708625202</v>
      </c>
      <c r="D77" s="19">
        <f t="shared" si="23"/>
        <v>0.08281956583</v>
      </c>
      <c r="E77" s="12"/>
      <c r="F77" s="7" t="str">
        <f t="shared" si="26"/>
        <v>#DIV/0!</v>
      </c>
      <c r="G77" s="7" t="str">
        <f t="shared" si="24"/>
        <v>#DIV/0!</v>
      </c>
      <c r="H77" s="1"/>
      <c r="I77" s="1"/>
      <c r="J77" s="1"/>
      <c r="K77" s="1"/>
      <c r="L77" s="12">
        <f t="shared" si="27"/>
        <v>11626.96071</v>
      </c>
      <c r="M77" s="12" t="str">
        <f t="shared" si="28"/>
        <v>#REF!</v>
      </c>
      <c r="N77" s="15">
        <v>14.070233983105641</v>
      </c>
      <c r="O77" s="1" t="str">
        <f t="shared" si="29"/>
        <v>#REF!</v>
      </c>
      <c r="Q77" s="12"/>
      <c r="R77" s="1"/>
    </row>
    <row r="78" ht="12.75" hidden="1" customHeight="1" outlineLevel="1">
      <c r="A78" s="17">
        <v>41151.0</v>
      </c>
      <c r="B78" s="12">
        <v>160542.47</v>
      </c>
      <c r="C78" s="19">
        <f t="shared" si="25"/>
        <v>-0.01373028021</v>
      </c>
      <c r="D78" s="19">
        <f t="shared" si="23"/>
        <v>0.06795214977</v>
      </c>
      <c r="E78" s="12"/>
      <c r="F78" s="7" t="str">
        <f t="shared" si="26"/>
        <v>#DIV/0!</v>
      </c>
      <c r="G78" s="7" t="str">
        <f t="shared" si="24"/>
        <v>#DIV/0!</v>
      </c>
      <c r="H78" s="1"/>
      <c r="I78" s="1"/>
      <c r="J78" s="1"/>
      <c r="K78" s="1" t="s">
        <v>45</v>
      </c>
      <c r="L78" s="12">
        <f t="shared" si="27"/>
        <v>11467.31929</v>
      </c>
      <c r="M78" s="12" t="str">
        <f t="shared" si="28"/>
        <v>#REF!</v>
      </c>
      <c r="N78" s="15">
        <v>14.070233983105641</v>
      </c>
      <c r="O78" s="1" t="str">
        <f t="shared" si="29"/>
        <v>#REF!</v>
      </c>
      <c r="Q78" s="12"/>
      <c r="R78" s="1"/>
    </row>
    <row r="79" ht="12.75" hidden="1" customHeight="1" outlineLevel="1">
      <c r="A79" s="17">
        <v>41152.0</v>
      </c>
      <c r="B79" s="12">
        <v>163111.44</v>
      </c>
      <c r="C79" s="19">
        <f t="shared" si="25"/>
        <v>0.01600180937</v>
      </c>
      <c r="D79" s="19">
        <f t="shared" si="23"/>
        <v>0.08504131649</v>
      </c>
      <c r="E79" s="12"/>
      <c r="F79" s="7" t="str">
        <f t="shared" si="26"/>
        <v>#DIV/0!</v>
      </c>
      <c r="G79" s="7" t="str">
        <f t="shared" si="24"/>
        <v>#DIV/0!</v>
      </c>
      <c r="H79" s="1"/>
      <c r="I79" s="1"/>
      <c r="J79" s="1"/>
      <c r="K79" s="19">
        <f>(2450.6-2396.62)/2396.62</f>
        <v>0.0225233871</v>
      </c>
      <c r="L79" s="12">
        <f t="shared" si="27"/>
        <v>11650.81714</v>
      </c>
      <c r="M79" s="12" t="str">
        <f t="shared" si="28"/>
        <v>#REF!</v>
      </c>
      <c r="N79" s="15">
        <v>14.093723522309489</v>
      </c>
      <c r="O79" s="1" t="str">
        <f t="shared" si="29"/>
        <v>#REF!</v>
      </c>
      <c r="Q79" s="12"/>
      <c r="R79" s="19"/>
    </row>
    <row r="80" ht="12.75" hidden="1" customHeight="1" outlineLevel="1">
      <c r="A80" s="17"/>
      <c r="B80" s="12"/>
      <c r="C80" s="1"/>
      <c r="D80" s="1"/>
      <c r="E80" s="12"/>
      <c r="F80" s="7"/>
      <c r="G80" s="7"/>
      <c r="H80" s="1"/>
      <c r="I80" s="1"/>
      <c r="J80" s="1"/>
      <c r="K80" s="1"/>
      <c r="L80" s="12"/>
      <c r="M80" s="12"/>
      <c r="N80" s="15"/>
      <c r="O80" s="1"/>
      <c r="Q80" s="12"/>
      <c r="R80" s="1"/>
    </row>
    <row r="81" ht="12.75" hidden="1" customHeight="1" outlineLevel="1">
      <c r="A81" s="17"/>
      <c r="B81" s="12">
        <f>B79+P81</f>
        <v>193111.44</v>
      </c>
      <c r="C81" s="19"/>
      <c r="D81" s="19">
        <f t="shared" ref="D81:D100" si="30">(B81/$B$81)-1</f>
        <v>0</v>
      </c>
      <c r="E81" s="12"/>
      <c r="F81" s="19"/>
      <c r="G81" s="19" t="str">
        <f t="shared" ref="G81:G100" si="31">(E81/$E$81)-1</f>
        <v>#DIV/0!</v>
      </c>
      <c r="H81" s="1"/>
      <c r="I81" s="1"/>
      <c r="J81" s="1"/>
      <c r="K81" s="1"/>
      <c r="L81" s="12"/>
      <c r="M81" s="12"/>
      <c r="N81" s="15"/>
      <c r="O81" s="1"/>
      <c r="P81" s="1">
        <v>30000.0</v>
      </c>
      <c r="Q81" s="12"/>
      <c r="R81" s="1"/>
    </row>
    <row r="82" ht="12.75" hidden="1" customHeight="1" outlineLevel="1">
      <c r="A82" s="17">
        <v>41156.0</v>
      </c>
      <c r="B82" s="12">
        <f>167004.71+30000</f>
        <v>197004.71</v>
      </c>
      <c r="C82" s="19">
        <f t="shared" ref="C82:C100" si="32">(B82/B81)-1</f>
        <v>0.02016074242</v>
      </c>
      <c r="D82" s="19">
        <f t="shared" si="30"/>
        <v>0.02016074242</v>
      </c>
      <c r="E82" s="12"/>
      <c r="F82" s="19" t="str">
        <f t="shared" ref="F82:F100" si="33">(E82/E81)-1</f>
        <v>#DIV/0!</v>
      </c>
      <c r="G82" s="19" t="str">
        <f t="shared" si="31"/>
        <v>#DIV/0!</v>
      </c>
      <c r="H82" s="1"/>
      <c r="I82" s="1"/>
      <c r="J82" s="1"/>
      <c r="K82" s="1"/>
      <c r="L82" s="12">
        <f t="shared" ref="L82:L100" si="34">IF(C81="",L79*(1+C82),L81*(1+C82))</f>
        <v>11885.70627</v>
      </c>
      <c r="M82" s="12" t="str">
        <f t="shared" ref="M82:M100" si="35">IF(C81="",M79*(1+C82),IF(C83="",M81*(1+C82)*(1-(#REF!/12)),M81*(1+C82)))</f>
        <v>#REF!</v>
      </c>
      <c r="N82" s="15">
        <v>16.685888153246992</v>
      </c>
      <c r="O82" s="1" t="str">
        <f t="shared" ref="O82:O100" si="36">N82*M82=B82</f>
        <v>#REF!</v>
      </c>
      <c r="Q82" s="12"/>
      <c r="R82" s="1"/>
    </row>
    <row r="83" ht="12.75" hidden="1" customHeight="1" outlineLevel="1">
      <c r="A83" s="17">
        <v>41157.0</v>
      </c>
      <c r="B83" s="12">
        <f>167289.58+30000</f>
        <v>197289.58</v>
      </c>
      <c r="C83" s="19">
        <f t="shared" si="32"/>
        <v>0.001446006037</v>
      </c>
      <c r="D83" s="19">
        <f t="shared" si="30"/>
        <v>0.02163590101</v>
      </c>
      <c r="E83" s="12"/>
      <c r="F83" s="19" t="str">
        <f t="shared" si="33"/>
        <v>#DIV/0!</v>
      </c>
      <c r="G83" s="19" t="str">
        <f t="shared" si="31"/>
        <v>#DIV/0!</v>
      </c>
      <c r="H83" s="1"/>
      <c r="I83" s="1"/>
      <c r="J83" s="1"/>
      <c r="K83" s="1"/>
      <c r="L83" s="12">
        <f t="shared" si="34"/>
        <v>11902.89307</v>
      </c>
      <c r="M83" s="12" t="str">
        <f t="shared" si="35"/>
        <v>#REF!</v>
      </c>
      <c r="N83" s="15">
        <v>16.685888153246992</v>
      </c>
      <c r="O83" s="1" t="str">
        <f t="shared" si="36"/>
        <v>#REF!</v>
      </c>
      <c r="Q83" s="12"/>
      <c r="R83" s="1"/>
    </row>
    <row r="84" ht="12.75" hidden="1" customHeight="1" outlineLevel="1">
      <c r="A84" s="17">
        <v>41158.0</v>
      </c>
      <c r="B84" s="12">
        <f>168040.98+30000</f>
        <v>198040.98</v>
      </c>
      <c r="C84" s="19">
        <f t="shared" si="32"/>
        <v>0.003808614728</v>
      </c>
      <c r="D84" s="19">
        <f t="shared" si="30"/>
        <v>0.02552691855</v>
      </c>
      <c r="E84" s="12"/>
      <c r="F84" s="19" t="str">
        <f t="shared" si="33"/>
        <v>#DIV/0!</v>
      </c>
      <c r="G84" s="19" t="str">
        <f t="shared" si="31"/>
        <v>#DIV/0!</v>
      </c>
      <c r="H84" s="1"/>
      <c r="I84" s="1"/>
      <c r="J84" s="1"/>
      <c r="K84" s="1"/>
      <c r="L84" s="12">
        <f t="shared" si="34"/>
        <v>11948.2266</v>
      </c>
      <c r="M84" s="12" t="str">
        <f t="shared" si="35"/>
        <v>#REF!</v>
      </c>
      <c r="N84" s="15">
        <v>16.685888153246992</v>
      </c>
      <c r="O84" s="1" t="str">
        <f t="shared" si="36"/>
        <v>#REF!</v>
      </c>
      <c r="Q84" s="12"/>
      <c r="R84" s="1"/>
    </row>
    <row r="85" ht="12.75" hidden="1" customHeight="1" outlineLevel="1">
      <c r="A85" s="17">
        <v>41159.0</v>
      </c>
      <c r="B85" s="12">
        <v>196017.45</v>
      </c>
      <c r="C85" s="19">
        <f t="shared" si="32"/>
        <v>-0.01021773372</v>
      </c>
      <c r="D85" s="19">
        <f t="shared" si="30"/>
        <v>0.01504835757</v>
      </c>
      <c r="E85" s="12"/>
      <c r="F85" s="19" t="str">
        <f t="shared" si="33"/>
        <v>#DIV/0!</v>
      </c>
      <c r="G85" s="19" t="str">
        <f t="shared" si="31"/>
        <v>#DIV/0!</v>
      </c>
      <c r="H85" s="1"/>
      <c r="I85" s="1"/>
      <c r="J85" s="1"/>
      <c r="K85" s="1"/>
      <c r="L85" s="12">
        <f t="shared" si="34"/>
        <v>11826.14281</v>
      </c>
      <c r="M85" s="12" t="str">
        <f t="shared" si="35"/>
        <v>#REF!</v>
      </c>
      <c r="N85" s="15">
        <v>16.685888153246992</v>
      </c>
      <c r="O85" s="1" t="str">
        <f t="shared" si="36"/>
        <v>#REF!</v>
      </c>
      <c r="Q85" s="12"/>
      <c r="R85" s="1"/>
    </row>
    <row r="86" ht="12.75" hidden="1" customHeight="1" outlineLevel="1">
      <c r="A86" s="17">
        <v>41162.0</v>
      </c>
      <c r="B86" s="12">
        <v>192890.61</v>
      </c>
      <c r="C86" s="19">
        <f t="shared" si="32"/>
        <v>-0.0159518451</v>
      </c>
      <c r="D86" s="19">
        <f t="shared" si="30"/>
        <v>-0.001143536602</v>
      </c>
      <c r="E86" s="12"/>
      <c r="F86" s="19" t="str">
        <f t="shared" si="33"/>
        <v>#DIV/0!</v>
      </c>
      <c r="G86" s="19" t="str">
        <f t="shared" si="31"/>
        <v>#DIV/0!</v>
      </c>
      <c r="H86" s="1"/>
      <c r="I86" s="1"/>
      <c r="J86" s="1"/>
      <c r="K86" s="1"/>
      <c r="L86" s="12">
        <f t="shared" si="34"/>
        <v>11637.49401</v>
      </c>
      <c r="M86" s="12" t="str">
        <f t="shared" si="35"/>
        <v>#REF!</v>
      </c>
      <c r="N86" s="15">
        <v>16.685888153246992</v>
      </c>
      <c r="O86" s="1" t="str">
        <f t="shared" si="36"/>
        <v>#REF!</v>
      </c>
      <c r="Q86" s="12"/>
      <c r="R86" s="1"/>
    </row>
    <row r="87" ht="12.75" hidden="1" customHeight="1" outlineLevel="1">
      <c r="A87" s="17">
        <v>41163.0</v>
      </c>
      <c r="B87" s="12">
        <v>191479.99</v>
      </c>
      <c r="C87" s="19">
        <f t="shared" si="32"/>
        <v>-0.007313056867</v>
      </c>
      <c r="D87" s="19">
        <f t="shared" si="30"/>
        <v>-0.008448230721</v>
      </c>
      <c r="E87" s="12"/>
      <c r="F87" s="19" t="str">
        <f t="shared" si="33"/>
        <v>#DIV/0!</v>
      </c>
      <c r="G87" s="19" t="str">
        <f t="shared" si="31"/>
        <v>#DIV/0!</v>
      </c>
      <c r="H87" s="1"/>
      <c r="I87" s="1"/>
      <c r="J87" s="1"/>
      <c r="K87" s="1"/>
      <c r="L87" s="12">
        <f t="shared" si="34"/>
        <v>11552.38835</v>
      </c>
      <c r="M87" s="12" t="str">
        <f t="shared" si="35"/>
        <v>#REF!</v>
      </c>
      <c r="N87" s="15">
        <v>16.685888153246992</v>
      </c>
      <c r="O87" s="1" t="str">
        <f t="shared" si="36"/>
        <v>#REF!</v>
      </c>
      <c r="Q87" s="12"/>
      <c r="R87" s="1"/>
    </row>
    <row r="88" ht="12.75" hidden="1" customHeight="1" outlineLevel="1">
      <c r="A88" s="17">
        <v>41164.0</v>
      </c>
      <c r="B88" s="12">
        <v>193882.39</v>
      </c>
      <c r="C88" s="19">
        <f t="shared" si="32"/>
        <v>0.01254648071</v>
      </c>
      <c r="D88" s="19">
        <f t="shared" si="30"/>
        <v>0.003992254421</v>
      </c>
      <c r="E88" s="12"/>
      <c r="F88" s="19" t="str">
        <f t="shared" si="33"/>
        <v>#DIV/0!</v>
      </c>
      <c r="G88" s="19" t="str">
        <f t="shared" si="31"/>
        <v>#DIV/0!</v>
      </c>
      <c r="H88" s="1"/>
      <c r="I88" s="1"/>
      <c r="J88" s="7" t="s">
        <v>304</v>
      </c>
      <c r="K88" s="1"/>
      <c r="L88" s="12">
        <f t="shared" si="34"/>
        <v>11697.33017</v>
      </c>
      <c r="M88" s="12" t="str">
        <f t="shared" si="35"/>
        <v>#REF!</v>
      </c>
      <c r="N88" s="15">
        <v>16.685888153246992</v>
      </c>
      <c r="O88" s="1" t="str">
        <f t="shared" si="36"/>
        <v>#REF!</v>
      </c>
      <c r="Q88" s="12"/>
      <c r="R88" s="1"/>
    </row>
    <row r="89" ht="12.75" hidden="1" customHeight="1" outlineLevel="1">
      <c r="A89" s="17">
        <v>41165.0</v>
      </c>
      <c r="B89" s="12">
        <v>198513.57</v>
      </c>
      <c r="C89" s="19">
        <f t="shared" si="32"/>
        <v>0.02388654276</v>
      </c>
      <c r="D89" s="19">
        <f t="shared" si="30"/>
        <v>0.02797415834</v>
      </c>
      <c r="E89" s="12"/>
      <c r="F89" s="19" t="str">
        <f t="shared" si="33"/>
        <v>#DIV/0!</v>
      </c>
      <c r="G89" s="19" t="str">
        <f t="shared" si="31"/>
        <v>#DIV/0!</v>
      </c>
      <c r="H89" s="1"/>
      <c r="I89" s="1"/>
      <c r="J89" s="1"/>
      <c r="K89" s="1"/>
      <c r="L89" s="12">
        <f t="shared" si="34"/>
        <v>11976.73895</v>
      </c>
      <c r="M89" s="12" t="str">
        <f t="shared" si="35"/>
        <v>#REF!</v>
      </c>
      <c r="N89" s="15">
        <v>16.685888153246992</v>
      </c>
      <c r="O89" s="1" t="str">
        <f t="shared" si="36"/>
        <v>#REF!</v>
      </c>
      <c r="Q89" s="12"/>
      <c r="R89" s="1"/>
    </row>
    <row r="90" ht="12.75" hidden="1" customHeight="1" outlineLevel="1">
      <c r="A90" s="17">
        <v>41166.0</v>
      </c>
      <c r="B90" s="12">
        <v>200201.79</v>
      </c>
      <c r="C90" s="19">
        <f t="shared" si="32"/>
        <v>0.008504305272</v>
      </c>
      <c r="D90" s="19">
        <f t="shared" si="30"/>
        <v>0.0367163644</v>
      </c>
      <c r="E90" s="12"/>
      <c r="F90" s="19" t="str">
        <f t="shared" si="33"/>
        <v>#DIV/0!</v>
      </c>
      <c r="G90" s="19" t="str">
        <f t="shared" si="31"/>
        <v>#DIV/0!</v>
      </c>
      <c r="H90" s="1"/>
      <c r="I90" s="1"/>
      <c r="J90" s="1"/>
      <c r="K90" s="1"/>
      <c r="L90" s="12">
        <f t="shared" si="34"/>
        <v>12078.59279</v>
      </c>
      <c r="M90" s="12" t="str">
        <f t="shared" si="35"/>
        <v>#REF!</v>
      </c>
      <c r="N90" s="15">
        <v>16.685888153246992</v>
      </c>
      <c r="O90" s="1" t="str">
        <f t="shared" si="36"/>
        <v>#REF!</v>
      </c>
      <c r="Q90" s="12"/>
      <c r="R90" s="19"/>
    </row>
    <row r="91" ht="12.75" hidden="1" customHeight="1" outlineLevel="1">
      <c r="A91" s="17">
        <v>41169.0</v>
      </c>
      <c r="B91" s="12">
        <v>199505.29</v>
      </c>
      <c r="C91" s="19">
        <f t="shared" si="32"/>
        <v>-0.003478989873</v>
      </c>
      <c r="D91" s="19">
        <f t="shared" si="30"/>
        <v>0.03310963866</v>
      </c>
      <c r="E91" s="12"/>
      <c r="F91" s="19" t="str">
        <f t="shared" si="33"/>
        <v>#DIV/0!</v>
      </c>
      <c r="G91" s="19" t="str">
        <f t="shared" si="31"/>
        <v>#DIV/0!</v>
      </c>
      <c r="H91" s="1"/>
      <c r="I91" s="1"/>
      <c r="J91" s="1"/>
      <c r="K91" s="1"/>
      <c r="L91" s="12">
        <f t="shared" si="34"/>
        <v>12036.57149</v>
      </c>
      <c r="M91" s="12" t="str">
        <f t="shared" si="35"/>
        <v>#REF!</v>
      </c>
      <c r="N91" s="15">
        <v>16.685888153246992</v>
      </c>
      <c r="O91" s="1" t="str">
        <f t="shared" si="36"/>
        <v>#REF!</v>
      </c>
      <c r="Q91" s="12"/>
      <c r="R91" s="1"/>
    </row>
    <row r="92" ht="12.75" hidden="1" customHeight="1" outlineLevel="1">
      <c r="A92" s="17">
        <v>41170.0</v>
      </c>
      <c r="B92" s="12">
        <v>198003.08</v>
      </c>
      <c r="C92" s="19">
        <f t="shared" si="32"/>
        <v>-0.007529675028</v>
      </c>
      <c r="D92" s="19">
        <f t="shared" si="30"/>
        <v>0.02533065882</v>
      </c>
      <c r="E92" s="12"/>
      <c r="F92" s="19" t="str">
        <f t="shared" si="33"/>
        <v>#DIV/0!</v>
      </c>
      <c r="G92" s="19" t="str">
        <f t="shared" si="31"/>
        <v>#DIV/0!</v>
      </c>
      <c r="H92" s="1"/>
      <c r="I92" s="1"/>
      <c r="J92" s="7" t="s">
        <v>305</v>
      </c>
      <c r="K92" s="1"/>
      <c r="L92" s="12">
        <f t="shared" si="34"/>
        <v>11945.94002</v>
      </c>
      <c r="M92" s="12" t="str">
        <f t="shared" si="35"/>
        <v>#REF!</v>
      </c>
      <c r="N92" s="15">
        <v>16.685888153246992</v>
      </c>
      <c r="O92" s="1" t="str">
        <f t="shared" si="36"/>
        <v>#REF!</v>
      </c>
      <c r="Q92" s="12"/>
      <c r="R92" s="1"/>
    </row>
    <row r="93" ht="12.75" hidden="1" customHeight="1" outlineLevel="1">
      <c r="A93" s="17">
        <v>41171.0</v>
      </c>
      <c r="B93" s="12">
        <v>196460.54</v>
      </c>
      <c r="C93" s="19">
        <f t="shared" si="32"/>
        <v>-0.007790484875</v>
      </c>
      <c r="D93" s="19">
        <f t="shared" si="30"/>
        <v>0.01734283583</v>
      </c>
      <c r="E93" s="12"/>
      <c r="F93" s="19" t="str">
        <f t="shared" si="33"/>
        <v>#DIV/0!</v>
      </c>
      <c r="G93" s="19" t="str">
        <f t="shared" si="31"/>
        <v>#DIV/0!</v>
      </c>
      <c r="H93" s="1"/>
      <c r="I93" s="1"/>
      <c r="J93" s="1"/>
      <c r="K93" s="1"/>
      <c r="L93" s="12">
        <f t="shared" si="34"/>
        <v>11852.87535</v>
      </c>
      <c r="M93" s="12" t="str">
        <f t="shared" si="35"/>
        <v>#REF!</v>
      </c>
      <c r="N93" s="15">
        <v>16.685888153246992</v>
      </c>
      <c r="O93" s="1" t="str">
        <f t="shared" si="36"/>
        <v>#REF!</v>
      </c>
      <c r="Q93" s="12"/>
      <c r="R93" s="1"/>
    </row>
    <row r="94" ht="12.75" hidden="1" customHeight="1" outlineLevel="1">
      <c r="A94" s="17">
        <v>41172.0</v>
      </c>
      <c r="B94" s="12">
        <v>195532.44</v>
      </c>
      <c r="C94" s="19">
        <f t="shared" si="32"/>
        <v>-0.004724103884</v>
      </c>
      <c r="D94" s="19">
        <f t="shared" si="30"/>
        <v>0.01253680258</v>
      </c>
      <c r="E94" s="12"/>
      <c r="F94" s="19" t="str">
        <f t="shared" si="33"/>
        <v>#DIV/0!</v>
      </c>
      <c r="G94" s="19" t="str">
        <f t="shared" si="31"/>
        <v>#DIV/0!</v>
      </c>
      <c r="H94" s="1"/>
      <c r="I94" s="1"/>
      <c r="J94" s="1"/>
      <c r="K94" s="1"/>
      <c r="L94" s="12">
        <f t="shared" si="34"/>
        <v>11796.88114</v>
      </c>
      <c r="M94" s="12" t="str">
        <f t="shared" si="35"/>
        <v>#REF!</v>
      </c>
      <c r="N94" s="15">
        <v>16.685888153246992</v>
      </c>
      <c r="O94" s="1" t="str">
        <f t="shared" si="36"/>
        <v>#REF!</v>
      </c>
      <c r="Q94" s="12"/>
      <c r="R94" s="1"/>
    </row>
    <row r="95" ht="12.75" hidden="1" customHeight="1" outlineLevel="1">
      <c r="A95" s="17">
        <v>41173.0</v>
      </c>
      <c r="B95" s="12">
        <v>195639.71</v>
      </c>
      <c r="C95" s="19">
        <f t="shared" si="32"/>
        <v>0.0005486046203</v>
      </c>
      <c r="D95" s="19">
        <f t="shared" si="30"/>
        <v>0.01309228495</v>
      </c>
      <c r="E95" s="12"/>
      <c r="F95" s="19" t="str">
        <f t="shared" si="33"/>
        <v>#DIV/0!</v>
      </c>
      <c r="G95" s="19" t="str">
        <f t="shared" si="31"/>
        <v>#DIV/0!</v>
      </c>
      <c r="H95" s="1"/>
      <c r="I95" s="1"/>
      <c r="J95" s="1"/>
      <c r="K95" s="1"/>
      <c r="L95" s="12">
        <f t="shared" si="34"/>
        <v>11803.35296</v>
      </c>
      <c r="M95" s="12" t="str">
        <f t="shared" si="35"/>
        <v>#REF!</v>
      </c>
      <c r="N95" s="15">
        <v>16.685888153246992</v>
      </c>
      <c r="O95" s="1" t="str">
        <f t="shared" si="36"/>
        <v>#REF!</v>
      </c>
      <c r="Q95" s="12"/>
      <c r="R95" s="1"/>
    </row>
    <row r="96" ht="12.75" hidden="1" customHeight="1" outlineLevel="1">
      <c r="A96" s="17">
        <v>41176.0</v>
      </c>
      <c r="B96" s="12">
        <v>194386.72</v>
      </c>
      <c r="C96" s="19">
        <f t="shared" si="32"/>
        <v>-0.006404579111</v>
      </c>
      <c r="D96" s="19">
        <f t="shared" si="30"/>
        <v>0.006603855266</v>
      </c>
      <c r="E96" s="12"/>
      <c r="F96" s="19" t="str">
        <f t="shared" si="33"/>
        <v>#DIV/0!</v>
      </c>
      <c r="G96" s="19" t="str">
        <f t="shared" si="31"/>
        <v>#DIV/0!</v>
      </c>
      <c r="H96" s="1"/>
      <c r="I96" s="1"/>
      <c r="J96" s="1"/>
      <c r="K96" s="1"/>
      <c r="L96" s="12">
        <f t="shared" si="34"/>
        <v>11727.75745</v>
      </c>
      <c r="M96" s="12" t="str">
        <f t="shared" si="35"/>
        <v>#REF!</v>
      </c>
      <c r="N96" s="15">
        <v>16.685888153246992</v>
      </c>
      <c r="O96" s="1" t="str">
        <f t="shared" si="36"/>
        <v>#REF!</v>
      </c>
      <c r="Q96" s="12"/>
      <c r="R96" s="1"/>
    </row>
    <row r="97" ht="12.75" hidden="1" customHeight="1" outlineLevel="1">
      <c r="A97" s="17">
        <v>41177.0</v>
      </c>
      <c r="B97" s="12">
        <v>189876.03</v>
      </c>
      <c r="C97" s="19">
        <f t="shared" si="32"/>
        <v>-0.02320472304</v>
      </c>
      <c r="D97" s="19">
        <f t="shared" si="30"/>
        <v>-0.0167541084</v>
      </c>
      <c r="E97" s="12"/>
      <c r="F97" s="19" t="str">
        <f t="shared" si="33"/>
        <v>#DIV/0!</v>
      </c>
      <c r="G97" s="19" t="str">
        <f t="shared" si="31"/>
        <v>#DIV/0!</v>
      </c>
      <c r="H97" s="1"/>
      <c r="I97" s="1"/>
      <c r="J97" s="1"/>
      <c r="K97" s="1"/>
      <c r="L97" s="12">
        <f t="shared" si="34"/>
        <v>11455.61809</v>
      </c>
      <c r="M97" s="12" t="str">
        <f t="shared" si="35"/>
        <v>#REF!</v>
      </c>
      <c r="N97" s="15">
        <v>16.685888153246992</v>
      </c>
      <c r="O97" s="1" t="str">
        <f t="shared" si="36"/>
        <v>#REF!</v>
      </c>
      <c r="Q97" s="12"/>
      <c r="R97" s="1"/>
    </row>
    <row r="98" ht="12.75" hidden="1" customHeight="1" outlineLevel="1">
      <c r="A98" s="17">
        <v>41178.0</v>
      </c>
      <c r="B98" s="12">
        <v>188916.05</v>
      </c>
      <c r="C98" s="19">
        <f t="shared" si="32"/>
        <v>-0.005055825109</v>
      </c>
      <c r="D98" s="19">
        <f t="shared" si="30"/>
        <v>-0.02172522767</v>
      </c>
      <c r="E98" s="12"/>
      <c r="F98" s="19" t="str">
        <f t="shared" si="33"/>
        <v>#DIV/0!</v>
      </c>
      <c r="G98" s="19" t="str">
        <f t="shared" si="31"/>
        <v>#DIV/0!</v>
      </c>
      <c r="H98" s="1"/>
      <c r="I98" s="1"/>
      <c r="J98" s="1"/>
      <c r="K98" s="1"/>
      <c r="L98" s="12">
        <f t="shared" si="34"/>
        <v>11397.70049</v>
      </c>
      <c r="M98" s="12" t="str">
        <f t="shared" si="35"/>
        <v>#REF!</v>
      </c>
      <c r="N98" s="15">
        <v>16.685888153246992</v>
      </c>
      <c r="O98" s="1" t="str">
        <f t="shared" si="36"/>
        <v>#REF!</v>
      </c>
      <c r="Q98" s="12"/>
      <c r="R98" s="1"/>
    </row>
    <row r="99" ht="12.75" hidden="1" customHeight="1" outlineLevel="1">
      <c r="A99" s="17">
        <v>41179.0</v>
      </c>
      <c r="B99" s="12">
        <v>193251.3</v>
      </c>
      <c r="C99" s="19">
        <f t="shared" si="32"/>
        <v>0.02294802374</v>
      </c>
      <c r="D99" s="19">
        <f t="shared" si="30"/>
        <v>0.0007242450266</v>
      </c>
      <c r="E99" s="12"/>
      <c r="F99" s="19" t="str">
        <f t="shared" si="33"/>
        <v>#DIV/0!</v>
      </c>
      <c r="G99" s="19" t="str">
        <f t="shared" si="31"/>
        <v>#DIV/0!</v>
      </c>
      <c r="H99" s="1"/>
      <c r="I99" s="1"/>
      <c r="J99" s="1" t="s">
        <v>311</v>
      </c>
      <c r="K99" s="7" t="s">
        <v>45</v>
      </c>
      <c r="L99" s="12">
        <f t="shared" si="34"/>
        <v>11659.25519</v>
      </c>
      <c r="M99" s="12" t="str">
        <f t="shared" si="35"/>
        <v>#REF!</v>
      </c>
      <c r="N99" s="15">
        <v>16.685888153246992</v>
      </c>
      <c r="O99" s="1" t="str">
        <f t="shared" si="36"/>
        <v>#REF!</v>
      </c>
      <c r="Q99" s="12"/>
      <c r="R99" s="1"/>
    </row>
    <row r="100" ht="12.75" hidden="1" customHeight="1" outlineLevel="1">
      <c r="A100" s="17">
        <v>41180.0</v>
      </c>
      <c r="B100" s="12">
        <v>189904.17</v>
      </c>
      <c r="C100" s="19">
        <f t="shared" si="32"/>
        <v>-0.01732009047</v>
      </c>
      <c r="D100" s="19">
        <f t="shared" si="30"/>
        <v>-0.01660838944</v>
      </c>
      <c r="E100" s="12"/>
      <c r="F100" s="19" t="str">
        <f t="shared" si="33"/>
        <v>#DIV/0!</v>
      </c>
      <c r="G100" s="19" t="str">
        <f t="shared" si="31"/>
        <v>#DIV/0!</v>
      </c>
      <c r="H100" s="1"/>
      <c r="I100" s="1"/>
      <c r="J100" s="1"/>
      <c r="K100" s="19">
        <f>2513.93/2450.6-1</f>
        <v>0.02584265078</v>
      </c>
      <c r="L100" s="12">
        <f t="shared" si="34"/>
        <v>11457.31583</v>
      </c>
      <c r="M100" s="12" t="str">
        <f t="shared" si="35"/>
        <v>#REF!</v>
      </c>
      <c r="N100" s="15">
        <v>16.713744393903497</v>
      </c>
      <c r="O100" s="1" t="str">
        <f t="shared" si="36"/>
        <v>#REF!</v>
      </c>
      <c r="Q100" s="12"/>
      <c r="R100" s="19"/>
    </row>
    <row r="101" ht="12.75" hidden="1" customHeight="1" outlineLevel="1">
      <c r="A101" s="17"/>
      <c r="B101" s="12"/>
      <c r="C101" s="19"/>
      <c r="D101" s="19"/>
      <c r="E101" s="12"/>
      <c r="F101" s="19"/>
      <c r="G101" s="19"/>
      <c r="H101" s="1"/>
      <c r="I101" s="1"/>
      <c r="J101" s="1"/>
      <c r="K101" s="1"/>
      <c r="L101" s="12"/>
      <c r="M101" s="12"/>
      <c r="N101" s="15"/>
      <c r="O101" s="1"/>
      <c r="Q101" s="12"/>
      <c r="R101" s="1"/>
    </row>
    <row r="102" ht="12.75" hidden="1" customHeight="1" outlineLevel="1">
      <c r="A102" s="17"/>
      <c r="B102" s="12">
        <v>189904.17</v>
      </c>
      <c r="C102" s="19"/>
      <c r="D102" s="19">
        <f t="shared" ref="D102:D125" si="37">(B102/$B$102)-1</f>
        <v>0</v>
      </c>
      <c r="E102" s="12"/>
      <c r="F102" s="19"/>
      <c r="G102" s="19" t="str">
        <f t="shared" ref="G102:G125" si="38">(E102/$E$81)-1</f>
        <v>#DIV/0!</v>
      </c>
      <c r="H102" s="1"/>
      <c r="I102" s="1"/>
      <c r="J102" s="1"/>
      <c r="K102" s="1"/>
      <c r="L102" s="12"/>
      <c r="M102" s="12"/>
      <c r="N102" s="15"/>
      <c r="O102" s="1"/>
      <c r="Q102" s="12"/>
      <c r="R102" s="1"/>
    </row>
    <row r="103" ht="12.75" hidden="1" customHeight="1" outlineLevel="1">
      <c r="A103" s="17">
        <v>41183.0</v>
      </c>
      <c r="B103" s="12">
        <v>190354.66</v>
      </c>
      <c r="C103" s="19">
        <f t="shared" ref="C103:C125" si="39">(B103/B102)-1</f>
        <v>0.002372196461</v>
      </c>
      <c r="D103" s="19">
        <f t="shared" si="37"/>
        <v>0.002372196461</v>
      </c>
      <c r="E103" s="12"/>
      <c r="F103" s="19" t="str">
        <f t="shared" ref="F103:F125" si="40">(E103/E102)-1</f>
        <v>#DIV/0!</v>
      </c>
      <c r="G103" s="19" t="str">
        <f t="shared" si="38"/>
        <v>#DIV/0!</v>
      </c>
      <c r="H103" s="1"/>
      <c r="I103" s="1"/>
      <c r="J103" s="1" t="s">
        <v>338</v>
      </c>
      <c r="K103" s="1"/>
      <c r="L103" s="12">
        <f t="shared" ref="L103:L125" si="41">IF(C102="",L100*(1+C103),L102*(1+C103))</f>
        <v>11484.49484</v>
      </c>
      <c r="M103" s="12" t="str">
        <f t="shared" ref="M103:M125" si="42">IF(C102="",M100*(1+C103),IF(C104="",M102*(1+C103)*(1-(#REF!/12)),M102*(1+C103)))</f>
        <v>#REF!</v>
      </c>
      <c r="N103" s="15">
        <v>16.713744393903497</v>
      </c>
      <c r="O103" s="1" t="str">
        <f t="shared" ref="O103:O125" si="43">N103*M103=B103</f>
        <v>#REF!</v>
      </c>
      <c r="Q103" s="12"/>
      <c r="R103" s="1"/>
    </row>
    <row r="104" ht="12.75" hidden="1" customHeight="1" outlineLevel="1">
      <c r="A104" s="17">
        <v>41184.0</v>
      </c>
      <c r="B104" s="12">
        <v>190514.6</v>
      </c>
      <c r="C104" s="19">
        <f t="shared" si="39"/>
        <v>0.0008402210905</v>
      </c>
      <c r="D104" s="19">
        <f t="shared" si="37"/>
        <v>0.003214410721</v>
      </c>
      <c r="E104" s="12"/>
      <c r="F104" s="19" t="str">
        <f t="shared" si="40"/>
        <v>#DIV/0!</v>
      </c>
      <c r="G104" s="19" t="str">
        <f t="shared" si="38"/>
        <v>#DIV/0!</v>
      </c>
      <c r="H104" s="1"/>
      <c r="I104" s="1"/>
      <c r="J104" s="1"/>
      <c r="K104" s="1"/>
      <c r="L104" s="12">
        <f t="shared" si="41"/>
        <v>11494.14435</v>
      </c>
      <c r="M104" s="12" t="str">
        <f t="shared" si="42"/>
        <v>#REF!</v>
      </c>
      <c r="N104" s="15">
        <v>16.713744393903497</v>
      </c>
      <c r="O104" s="1" t="str">
        <f t="shared" si="43"/>
        <v>#REF!</v>
      </c>
      <c r="Q104" s="12"/>
      <c r="R104" s="1"/>
    </row>
    <row r="105" ht="12.75" hidden="1" customHeight="1" outlineLevel="1">
      <c r="A105" s="17">
        <v>41185.0</v>
      </c>
      <c r="B105" s="12">
        <v>199896.32</v>
      </c>
      <c r="C105" s="19">
        <f t="shared" si="39"/>
        <v>0.04924409993</v>
      </c>
      <c r="D105" s="19">
        <f t="shared" si="37"/>
        <v>0.05261680141</v>
      </c>
      <c r="E105" s="12"/>
      <c r="F105" s="19" t="str">
        <f t="shared" si="40"/>
        <v>#DIV/0!</v>
      </c>
      <c r="G105" s="19" t="str">
        <f t="shared" si="38"/>
        <v>#DIV/0!</v>
      </c>
      <c r="H105" s="1"/>
      <c r="I105" s="1"/>
      <c r="J105" s="1" t="s">
        <v>345</v>
      </c>
      <c r="K105" s="1"/>
      <c r="L105" s="12">
        <f t="shared" si="41"/>
        <v>12060.16315</v>
      </c>
      <c r="M105" s="12" t="str">
        <f t="shared" si="42"/>
        <v>#REF!</v>
      </c>
      <c r="N105" s="15">
        <v>16.713744393903497</v>
      </c>
      <c r="O105" s="1" t="str">
        <f t="shared" si="43"/>
        <v>#REF!</v>
      </c>
      <c r="Q105" s="12"/>
      <c r="R105" s="1"/>
    </row>
    <row r="106" ht="12.75" hidden="1" customHeight="1" outlineLevel="1">
      <c r="A106" s="17">
        <v>41186.0</v>
      </c>
      <c r="B106" s="12">
        <v>208049.53</v>
      </c>
      <c r="C106" s="19">
        <f t="shared" si="39"/>
        <v>0.04078719408</v>
      </c>
      <c r="D106" s="19">
        <f t="shared" si="37"/>
        <v>0.09555008718</v>
      </c>
      <c r="E106" s="12"/>
      <c r="F106" s="19" t="str">
        <f t="shared" si="40"/>
        <v>#DIV/0!</v>
      </c>
      <c r="G106" s="19" t="str">
        <f t="shared" si="38"/>
        <v>#DIV/0!</v>
      </c>
      <c r="H106" s="1"/>
      <c r="I106" s="1"/>
      <c r="J106" s="1"/>
      <c r="K106" s="1"/>
      <c r="L106" s="12">
        <f t="shared" si="41"/>
        <v>12552.06336</v>
      </c>
      <c r="M106" s="12" t="str">
        <f t="shared" si="42"/>
        <v>#REF!</v>
      </c>
      <c r="N106" s="15">
        <v>16.713744393903497</v>
      </c>
      <c r="O106" s="1" t="str">
        <f t="shared" si="43"/>
        <v>#REF!</v>
      </c>
      <c r="Q106" s="12"/>
      <c r="R106" s="1"/>
    </row>
    <row r="107" ht="12.75" hidden="1" customHeight="1" outlineLevel="1">
      <c r="A107" s="17">
        <v>41187.0</v>
      </c>
      <c r="B107" s="12">
        <v>205176.32</v>
      </c>
      <c r="C107" s="19">
        <f t="shared" si="39"/>
        <v>-0.01381022106</v>
      </c>
      <c r="D107" s="19">
        <f t="shared" si="37"/>
        <v>0.0804202983</v>
      </c>
      <c r="E107" s="12"/>
      <c r="F107" s="19" t="str">
        <f t="shared" si="40"/>
        <v>#DIV/0!</v>
      </c>
      <c r="G107" s="19" t="str">
        <f t="shared" si="38"/>
        <v>#DIV/0!</v>
      </c>
      <c r="H107" s="1"/>
      <c r="I107" s="1"/>
      <c r="J107" s="1"/>
      <c r="K107" s="1"/>
      <c r="L107" s="12">
        <f t="shared" si="41"/>
        <v>12378.71659</v>
      </c>
      <c r="M107" s="12" t="str">
        <f t="shared" si="42"/>
        <v>#REF!</v>
      </c>
      <c r="N107" s="15">
        <v>16.713744393903497</v>
      </c>
      <c r="O107" s="1" t="str">
        <f t="shared" si="43"/>
        <v>#REF!</v>
      </c>
      <c r="Q107" s="12"/>
      <c r="R107" s="1"/>
    </row>
    <row r="108" ht="12.75" hidden="1" customHeight="1" outlineLevel="1">
      <c r="A108" s="17">
        <v>41190.0</v>
      </c>
      <c r="B108" s="12">
        <v>203722.06</v>
      </c>
      <c r="C108" s="19">
        <f t="shared" si="39"/>
        <v>-0.007087854973</v>
      </c>
      <c r="D108" s="19">
        <f t="shared" si="37"/>
        <v>0.07276243592</v>
      </c>
      <c r="E108" s="12"/>
      <c r="F108" s="19" t="str">
        <f t="shared" si="40"/>
        <v>#DIV/0!</v>
      </c>
      <c r="G108" s="19" t="str">
        <f t="shared" si="38"/>
        <v>#DIV/0!</v>
      </c>
      <c r="H108" s="1"/>
      <c r="I108" s="1"/>
      <c r="J108" s="1"/>
      <c r="K108" s="1"/>
      <c r="L108" s="12">
        <f t="shared" si="41"/>
        <v>12290.97804</v>
      </c>
      <c r="M108" s="12" t="str">
        <f t="shared" si="42"/>
        <v>#REF!</v>
      </c>
      <c r="N108" s="15">
        <v>16.713744393903497</v>
      </c>
      <c r="O108" s="1" t="str">
        <f t="shared" si="43"/>
        <v>#REF!</v>
      </c>
      <c r="Q108" s="12"/>
      <c r="R108" s="12"/>
    </row>
    <row r="109" ht="12.75" hidden="1" customHeight="1" outlineLevel="1">
      <c r="A109" s="17">
        <v>41191.0</v>
      </c>
      <c r="B109" s="12">
        <v>196785.48</v>
      </c>
      <c r="C109" s="19">
        <f t="shared" si="39"/>
        <v>-0.03404923355</v>
      </c>
      <c r="D109" s="19">
        <f t="shared" si="37"/>
        <v>0.03623569719</v>
      </c>
      <c r="E109" s="12"/>
      <c r="F109" s="19" t="str">
        <f t="shared" si="40"/>
        <v>#DIV/0!</v>
      </c>
      <c r="G109" s="19" t="str">
        <f t="shared" si="38"/>
        <v>#DIV/0!</v>
      </c>
      <c r="H109" s="1"/>
      <c r="I109" s="1"/>
      <c r="J109" s="1"/>
      <c r="K109" s="1"/>
      <c r="L109" s="12">
        <f t="shared" si="41"/>
        <v>11872.47966</v>
      </c>
      <c r="M109" s="12" t="str">
        <f t="shared" si="42"/>
        <v>#REF!</v>
      </c>
      <c r="N109" s="15">
        <v>16.713744393903497</v>
      </c>
      <c r="O109" s="1" t="str">
        <f t="shared" si="43"/>
        <v>#REF!</v>
      </c>
      <c r="Q109" s="12"/>
      <c r="R109" s="1"/>
    </row>
    <row r="110" ht="12.75" hidden="1" customHeight="1" outlineLevel="1">
      <c r="A110" s="17">
        <v>41192.0</v>
      </c>
      <c r="B110" s="12">
        <v>198103.73</v>
      </c>
      <c r="C110" s="19">
        <f t="shared" si="39"/>
        <v>0.006698919046</v>
      </c>
      <c r="D110" s="19">
        <f t="shared" si="37"/>
        <v>0.04317735624</v>
      </c>
      <c r="E110" s="12"/>
      <c r="F110" s="19" t="str">
        <f t="shared" si="40"/>
        <v>#DIV/0!</v>
      </c>
      <c r="G110" s="19" t="str">
        <f t="shared" si="38"/>
        <v>#DIV/0!</v>
      </c>
      <c r="H110" s="1"/>
      <c r="I110" s="1"/>
      <c r="J110" s="1"/>
      <c r="K110" s="1"/>
      <c r="L110" s="12">
        <f t="shared" si="41"/>
        <v>11952.01244</v>
      </c>
      <c r="M110" s="12" t="str">
        <f t="shared" si="42"/>
        <v>#REF!</v>
      </c>
      <c r="N110" s="15">
        <v>16.713744393903497</v>
      </c>
      <c r="O110" s="1" t="str">
        <f t="shared" si="43"/>
        <v>#REF!</v>
      </c>
      <c r="Q110" s="12"/>
      <c r="R110" s="1"/>
    </row>
    <row r="111" ht="12.75" hidden="1" customHeight="1" outlineLevel="1">
      <c r="A111" s="17">
        <v>41193.0</v>
      </c>
      <c r="B111" s="12">
        <v>195930.21</v>
      </c>
      <c r="C111" s="19">
        <f t="shared" si="39"/>
        <v>-0.01097162582</v>
      </c>
      <c r="D111" s="19">
        <f t="shared" si="37"/>
        <v>0.03173200462</v>
      </c>
      <c r="E111" s="12"/>
      <c r="F111" s="19" t="str">
        <f t="shared" si="40"/>
        <v>#DIV/0!</v>
      </c>
      <c r="G111" s="19" t="str">
        <f t="shared" si="38"/>
        <v>#DIV/0!</v>
      </c>
      <c r="H111" s="1"/>
      <c r="I111" s="1"/>
      <c r="J111" s="1"/>
      <c r="K111" s="1"/>
      <c r="L111" s="12">
        <f t="shared" si="41"/>
        <v>11820.87943</v>
      </c>
      <c r="M111" s="12" t="str">
        <f t="shared" si="42"/>
        <v>#REF!</v>
      </c>
      <c r="N111" s="15">
        <v>16.713744393903497</v>
      </c>
      <c r="O111" s="1" t="str">
        <f t="shared" si="43"/>
        <v>#REF!</v>
      </c>
      <c r="Q111" s="12"/>
      <c r="R111" s="1"/>
    </row>
    <row r="112" ht="12.75" hidden="1" customHeight="1" outlineLevel="1">
      <c r="A112" s="17">
        <v>41194.0</v>
      </c>
      <c r="B112" s="12">
        <v>197817.65</v>
      </c>
      <c r="C112" s="19">
        <f t="shared" si="39"/>
        <v>0.009633226035</v>
      </c>
      <c r="D112" s="19">
        <f t="shared" si="37"/>
        <v>0.04167091223</v>
      </c>
      <c r="E112" s="12"/>
      <c r="F112" s="19" t="str">
        <f t="shared" si="40"/>
        <v>#DIV/0!</v>
      </c>
      <c r="G112" s="19" t="str">
        <f t="shared" si="38"/>
        <v>#DIV/0!</v>
      </c>
      <c r="H112" s="1"/>
      <c r="I112" s="1"/>
      <c r="J112" s="1"/>
      <c r="K112" s="1"/>
      <c r="L112" s="12">
        <f t="shared" si="41"/>
        <v>11934.75264</v>
      </c>
      <c r="M112" s="12" t="str">
        <f t="shared" si="42"/>
        <v>#REF!</v>
      </c>
      <c r="N112" s="15">
        <v>16.713744393903497</v>
      </c>
      <c r="O112" s="1" t="str">
        <f t="shared" si="43"/>
        <v>#REF!</v>
      </c>
      <c r="Q112" s="12"/>
      <c r="R112" s="1"/>
    </row>
    <row r="113" ht="12.75" hidden="1" customHeight="1" outlineLevel="1">
      <c r="A113" s="17">
        <v>41197.0</v>
      </c>
      <c r="B113" s="12">
        <v>198550.31</v>
      </c>
      <c r="C113" s="19">
        <f t="shared" si="39"/>
        <v>0.003703714001</v>
      </c>
      <c r="D113" s="19">
        <f t="shared" si="37"/>
        <v>0.04552896337</v>
      </c>
      <c r="E113" s="12"/>
      <c r="F113" s="19" t="str">
        <f t="shared" si="40"/>
        <v>#DIV/0!</v>
      </c>
      <c r="G113" s="19" t="str">
        <f t="shared" si="38"/>
        <v>#DIV/0!</v>
      </c>
      <c r="H113" s="1"/>
      <c r="I113" s="1"/>
      <c r="J113" s="7" t="s">
        <v>353</v>
      </c>
      <c r="K113" s="1"/>
      <c r="L113" s="12">
        <f t="shared" si="41"/>
        <v>11978.95555</v>
      </c>
      <c r="M113" s="12" t="str">
        <f t="shared" si="42"/>
        <v>#REF!</v>
      </c>
      <c r="N113" s="15">
        <v>16.713744393903497</v>
      </c>
      <c r="O113" s="1" t="str">
        <f t="shared" si="43"/>
        <v>#REF!</v>
      </c>
      <c r="Q113" s="12"/>
      <c r="R113" s="1"/>
    </row>
    <row r="114" ht="12.75" hidden="1" customHeight="1" outlineLevel="1">
      <c r="A114" s="17">
        <v>41198.0</v>
      </c>
      <c r="B114" s="12">
        <v>201440.46</v>
      </c>
      <c r="C114" s="19">
        <f t="shared" si="39"/>
        <v>0.01455626033</v>
      </c>
      <c r="D114" s="19">
        <f t="shared" si="37"/>
        <v>0.06074795514</v>
      </c>
      <c r="E114" s="12"/>
      <c r="F114" s="19" t="str">
        <f t="shared" si="40"/>
        <v>#DIV/0!</v>
      </c>
      <c r="G114" s="19" t="str">
        <f t="shared" si="38"/>
        <v>#DIV/0!</v>
      </c>
      <c r="H114" s="1"/>
      <c r="I114" s="1"/>
      <c r="J114" s="1"/>
      <c r="K114" s="1"/>
      <c r="L114" s="12">
        <f t="shared" si="41"/>
        <v>12153.32434</v>
      </c>
      <c r="M114" s="12" t="str">
        <f t="shared" si="42"/>
        <v>#REF!</v>
      </c>
      <c r="N114" s="15">
        <v>16.713744393903497</v>
      </c>
      <c r="O114" s="1" t="str">
        <f t="shared" si="43"/>
        <v>#REF!</v>
      </c>
      <c r="Q114" s="12"/>
      <c r="R114" s="1"/>
    </row>
    <row r="115" ht="12.75" hidden="1" customHeight="1" outlineLevel="1">
      <c r="A115" s="17">
        <v>41199.0</v>
      </c>
      <c r="B115" s="12">
        <v>201292.01</v>
      </c>
      <c r="C115" s="19">
        <f t="shared" si="39"/>
        <v>-0.0007369423203</v>
      </c>
      <c r="D115" s="19">
        <f t="shared" si="37"/>
        <v>0.05996624508</v>
      </c>
      <c r="E115" s="12"/>
      <c r="F115" s="19" t="str">
        <f t="shared" si="40"/>
        <v>#DIV/0!</v>
      </c>
      <c r="G115" s="19" t="str">
        <f t="shared" si="38"/>
        <v>#DIV/0!</v>
      </c>
      <c r="H115" s="1"/>
      <c r="I115" s="1"/>
      <c r="J115" s="1" t="s">
        <v>357</v>
      </c>
      <c r="K115" s="1"/>
      <c r="L115" s="12">
        <f t="shared" si="41"/>
        <v>12144.36804</v>
      </c>
      <c r="M115" s="12" t="str">
        <f t="shared" si="42"/>
        <v>#REF!</v>
      </c>
      <c r="N115" s="15">
        <v>16.713744393903497</v>
      </c>
      <c r="O115" s="1" t="str">
        <f t="shared" si="43"/>
        <v>#REF!</v>
      </c>
      <c r="Q115" s="12"/>
      <c r="R115" s="1"/>
    </row>
    <row r="116" ht="12.75" hidden="1" customHeight="1" outlineLevel="1">
      <c r="A116" s="17">
        <v>41200.0</v>
      </c>
      <c r="B116" s="12">
        <v>198150.02</v>
      </c>
      <c r="C116" s="19">
        <f t="shared" si="39"/>
        <v>-0.01560911434</v>
      </c>
      <c r="D116" s="19">
        <f t="shared" si="37"/>
        <v>0.04342111076</v>
      </c>
      <c r="E116" s="12"/>
      <c r="F116" s="19" t="str">
        <f t="shared" si="40"/>
        <v>#DIV/0!</v>
      </c>
      <c r="G116" s="19" t="str">
        <f t="shared" si="38"/>
        <v>#DIV/0!</v>
      </c>
      <c r="H116" s="1"/>
      <c r="I116" s="1"/>
      <c r="J116" s="1"/>
      <c r="K116" s="1"/>
      <c r="L116" s="12">
        <f t="shared" si="41"/>
        <v>11954.80521</v>
      </c>
      <c r="M116" s="12" t="str">
        <f t="shared" si="42"/>
        <v>#REF!</v>
      </c>
      <c r="N116" s="15">
        <v>16.713744393903497</v>
      </c>
      <c r="O116" s="1" t="str">
        <f t="shared" si="43"/>
        <v>#REF!</v>
      </c>
      <c r="Q116" s="12"/>
      <c r="R116" s="1"/>
    </row>
    <row r="117" ht="12.75" hidden="1" customHeight="1" outlineLevel="1">
      <c r="A117" s="17">
        <v>41201.0</v>
      </c>
      <c r="B117" s="12">
        <v>194793.3</v>
      </c>
      <c r="C117" s="19">
        <f t="shared" si="39"/>
        <v>-0.01694029604</v>
      </c>
      <c r="D117" s="19">
        <f t="shared" si="37"/>
        <v>0.02574524825</v>
      </c>
      <c r="E117" s="12"/>
      <c r="F117" s="19" t="str">
        <f t="shared" si="40"/>
        <v>#DIV/0!</v>
      </c>
      <c r="G117" s="19" t="str">
        <f t="shared" si="38"/>
        <v>#DIV/0!</v>
      </c>
      <c r="H117" s="1"/>
      <c r="I117" s="1"/>
      <c r="J117" s="1"/>
      <c r="K117" s="1"/>
      <c r="L117" s="12">
        <f t="shared" si="41"/>
        <v>11752.28727</v>
      </c>
      <c r="M117" s="12" t="str">
        <f t="shared" si="42"/>
        <v>#REF!</v>
      </c>
      <c r="N117" s="15">
        <v>16.713744393903497</v>
      </c>
      <c r="O117" s="1" t="str">
        <f t="shared" si="43"/>
        <v>#REF!</v>
      </c>
      <c r="Q117" s="12"/>
      <c r="R117" s="1"/>
    </row>
    <row r="118" ht="12.75" hidden="1" customHeight="1" outlineLevel="1">
      <c r="A118" s="17">
        <v>41204.0</v>
      </c>
      <c r="B118" s="12">
        <v>195745.11</v>
      </c>
      <c r="C118" s="19">
        <f t="shared" si="39"/>
        <v>0.004886256355</v>
      </c>
      <c r="D118" s="19">
        <f t="shared" si="37"/>
        <v>0.03075730249</v>
      </c>
      <c r="E118" s="12"/>
      <c r="F118" s="19" t="str">
        <f t="shared" si="40"/>
        <v>#DIV/0!</v>
      </c>
      <c r="G118" s="19" t="str">
        <f t="shared" si="38"/>
        <v>#DIV/0!</v>
      </c>
      <c r="H118" s="1"/>
      <c r="I118" s="1"/>
      <c r="J118" s="1"/>
      <c r="K118" s="1"/>
      <c r="L118" s="12">
        <f t="shared" si="41"/>
        <v>11809.71196</v>
      </c>
      <c r="M118" s="12" t="str">
        <f t="shared" si="42"/>
        <v>#REF!</v>
      </c>
      <c r="N118" s="15">
        <v>16.713744393903497</v>
      </c>
      <c r="O118" s="1" t="str">
        <f t="shared" si="43"/>
        <v>#REF!</v>
      </c>
      <c r="Q118" s="12"/>
      <c r="R118" s="1"/>
    </row>
    <row r="119" ht="12.75" hidden="1" customHeight="1" outlineLevel="1">
      <c r="A119" s="17">
        <v>41205.0</v>
      </c>
      <c r="B119" s="12">
        <v>191303.99</v>
      </c>
      <c r="C119" s="19">
        <f t="shared" si="39"/>
        <v>-0.02268828069</v>
      </c>
      <c r="D119" s="19">
        <f t="shared" si="37"/>
        <v>0.00737119148</v>
      </c>
      <c r="E119" s="12"/>
      <c r="F119" s="19" t="str">
        <f t="shared" si="40"/>
        <v>#DIV/0!</v>
      </c>
      <c r="G119" s="19" t="str">
        <f t="shared" si="38"/>
        <v>#DIV/0!</v>
      </c>
      <c r="H119" s="1"/>
      <c r="I119" s="1"/>
      <c r="J119" s="1" t="s">
        <v>361</v>
      </c>
      <c r="K119" s="1"/>
      <c r="L119" s="12">
        <f t="shared" si="41"/>
        <v>11541.7699</v>
      </c>
      <c r="M119" s="12" t="str">
        <f t="shared" si="42"/>
        <v>#REF!</v>
      </c>
      <c r="N119" s="15">
        <v>16.713744393903497</v>
      </c>
      <c r="O119" s="1" t="str">
        <f t="shared" si="43"/>
        <v>#REF!</v>
      </c>
      <c r="Q119" s="12"/>
      <c r="R119" s="1"/>
    </row>
    <row r="120" ht="12.75" hidden="1" customHeight="1" outlineLevel="1">
      <c r="A120" s="17">
        <v>41206.0</v>
      </c>
      <c r="B120" s="12">
        <v>194360.59</v>
      </c>
      <c r="C120" s="19">
        <f t="shared" si="39"/>
        <v>0.0159777117</v>
      </c>
      <c r="D120" s="19">
        <f t="shared" si="37"/>
        <v>0.02346667796</v>
      </c>
      <c r="E120" s="12"/>
      <c r="F120" s="19" t="str">
        <f t="shared" si="40"/>
        <v>#DIV/0!</v>
      </c>
      <c r="G120" s="19" t="str">
        <f t="shared" si="38"/>
        <v>#DIV/0!</v>
      </c>
      <c r="H120" s="1"/>
      <c r="I120" s="1"/>
      <c r="J120" s="1"/>
      <c r="K120" s="1"/>
      <c r="L120" s="12">
        <f t="shared" si="41"/>
        <v>11726.18098</v>
      </c>
      <c r="M120" s="12" t="str">
        <f t="shared" si="42"/>
        <v>#REF!</v>
      </c>
      <c r="N120" s="15">
        <v>16.713744393903497</v>
      </c>
      <c r="O120" s="1" t="str">
        <f t="shared" si="43"/>
        <v>#REF!</v>
      </c>
      <c r="Q120" s="12"/>
      <c r="R120" s="1"/>
    </row>
    <row r="121" ht="12.75" hidden="1" customHeight="1" outlineLevel="1">
      <c r="A121" s="17">
        <v>41207.0</v>
      </c>
      <c r="B121" s="12">
        <v>192368.32</v>
      </c>
      <c r="C121" s="19">
        <f t="shared" si="39"/>
        <v>-0.01025038049</v>
      </c>
      <c r="D121" s="19">
        <f t="shared" si="37"/>
        <v>0.01297575509</v>
      </c>
      <c r="E121" s="12"/>
      <c r="F121" s="19" t="str">
        <f t="shared" si="40"/>
        <v>#DIV/0!</v>
      </c>
      <c r="G121" s="19" t="str">
        <f t="shared" si="38"/>
        <v>#DIV/0!</v>
      </c>
      <c r="H121" s="1"/>
      <c r="I121" s="1"/>
      <c r="J121" s="1"/>
      <c r="K121" s="1"/>
      <c r="L121" s="12">
        <f t="shared" si="41"/>
        <v>11605.98316</v>
      </c>
      <c r="M121" s="12" t="str">
        <f t="shared" si="42"/>
        <v>#REF!</v>
      </c>
      <c r="N121" s="15">
        <v>16.713744393903497</v>
      </c>
      <c r="O121" s="1" t="str">
        <f t="shared" si="43"/>
        <v>#REF!</v>
      </c>
      <c r="Q121" s="12"/>
      <c r="R121" s="1"/>
    </row>
    <row r="122" ht="12.75" hidden="1" customHeight="1" outlineLevel="1">
      <c r="A122" s="17">
        <v>41208.0</v>
      </c>
      <c r="B122" s="12">
        <v>194029.64</v>
      </c>
      <c r="C122" s="19">
        <f t="shared" si="39"/>
        <v>0.008636141336</v>
      </c>
      <c r="D122" s="19">
        <f t="shared" si="37"/>
        <v>0.02172395688</v>
      </c>
      <c r="E122" s="12"/>
      <c r="F122" s="19" t="str">
        <f t="shared" si="40"/>
        <v>#DIV/0!</v>
      </c>
      <c r="G122" s="19" t="str">
        <f t="shared" si="38"/>
        <v>#DIV/0!</v>
      </c>
      <c r="H122" s="1"/>
      <c r="I122" s="1"/>
      <c r="J122" s="1" t="s">
        <v>363</v>
      </c>
      <c r="K122" s="1"/>
      <c r="L122" s="12">
        <f t="shared" si="41"/>
        <v>11706.21407</v>
      </c>
      <c r="M122" s="12" t="str">
        <f t="shared" si="42"/>
        <v>#REF!</v>
      </c>
      <c r="N122" s="15">
        <v>16.713744393903497</v>
      </c>
      <c r="O122" s="1" t="str">
        <f t="shared" si="43"/>
        <v>#REF!</v>
      </c>
      <c r="Q122" s="12"/>
      <c r="R122" s="1"/>
    </row>
    <row r="123" ht="12.75" hidden="1" customHeight="1" outlineLevel="1">
      <c r="A123" s="17">
        <v>41211.0</v>
      </c>
      <c r="B123" s="12">
        <v>194228.77</v>
      </c>
      <c r="C123" s="19">
        <f t="shared" si="39"/>
        <v>0.001026286499</v>
      </c>
      <c r="D123" s="19">
        <f t="shared" si="37"/>
        <v>0.02277253838</v>
      </c>
      <c r="E123" s="12"/>
      <c r="F123" s="19" t="str">
        <f t="shared" si="40"/>
        <v>#DIV/0!</v>
      </c>
      <c r="G123" s="19" t="str">
        <f t="shared" si="38"/>
        <v>#DIV/0!</v>
      </c>
      <c r="H123" s="1"/>
      <c r="I123" s="1"/>
      <c r="J123" s="1" t="s">
        <v>365</v>
      </c>
      <c r="K123" s="1"/>
      <c r="L123" s="12">
        <f t="shared" si="41"/>
        <v>11718.228</v>
      </c>
      <c r="M123" s="12" t="str">
        <f t="shared" si="42"/>
        <v>#REF!</v>
      </c>
      <c r="N123" s="15">
        <v>16.713744393903497</v>
      </c>
      <c r="O123" s="1" t="str">
        <f t="shared" si="43"/>
        <v>#REF!</v>
      </c>
      <c r="Q123" s="12"/>
      <c r="R123" s="1"/>
    </row>
    <row r="124" ht="12.75" hidden="1" customHeight="1" outlineLevel="1">
      <c r="A124" s="17">
        <v>41212.0</v>
      </c>
      <c r="B124" s="12">
        <v>194532.78</v>
      </c>
      <c r="C124" s="19">
        <f t="shared" si="39"/>
        <v>0.001565216111</v>
      </c>
      <c r="D124" s="19">
        <f t="shared" si="37"/>
        <v>0.02437339844</v>
      </c>
      <c r="E124" s="12"/>
      <c r="F124" s="19" t="str">
        <f t="shared" si="40"/>
        <v>#DIV/0!</v>
      </c>
      <c r="G124" s="19" t="str">
        <f t="shared" si="38"/>
        <v>#DIV/0!</v>
      </c>
      <c r="H124" s="1"/>
      <c r="I124" s="1"/>
      <c r="J124" s="1"/>
      <c r="K124" s="1" t="s">
        <v>367</v>
      </c>
      <c r="L124" s="12">
        <f t="shared" si="41"/>
        <v>11736.56956</v>
      </c>
      <c r="M124" s="12" t="str">
        <f t="shared" si="42"/>
        <v>#REF!</v>
      </c>
      <c r="N124" s="15">
        <v>16.713744393903497</v>
      </c>
      <c r="O124" s="1" t="str">
        <f t="shared" si="43"/>
        <v>#REF!</v>
      </c>
      <c r="Q124" s="12"/>
      <c r="R124" s="1"/>
    </row>
    <row r="125" ht="12.75" hidden="1" customHeight="1" outlineLevel="1">
      <c r="A125" s="17">
        <v>41213.0</v>
      </c>
      <c r="B125" s="12">
        <v>195578.14</v>
      </c>
      <c r="C125" s="19">
        <f t="shared" si="39"/>
        <v>0.005373695888</v>
      </c>
      <c r="D125" s="19">
        <f t="shared" si="37"/>
        <v>0.02987806955</v>
      </c>
      <c r="E125" s="12"/>
      <c r="F125" s="19" t="str">
        <f t="shared" si="40"/>
        <v>#DIV/0!</v>
      </c>
      <c r="G125" s="19" t="str">
        <f t="shared" si="38"/>
        <v>#DIV/0!</v>
      </c>
      <c r="H125" s="1"/>
      <c r="I125" s="1"/>
      <c r="J125" s="1"/>
      <c r="K125" s="19">
        <f>2467.51/2513.93-1</f>
        <v>-0.01846511239</v>
      </c>
      <c r="L125" s="12">
        <f t="shared" si="41"/>
        <v>11799.63831</v>
      </c>
      <c r="M125" s="12" t="str">
        <f t="shared" si="42"/>
        <v>#REF!</v>
      </c>
      <c r="N125" s="15">
        <v>16.741647139135388</v>
      </c>
      <c r="O125" s="1" t="str">
        <f t="shared" si="43"/>
        <v>#REF!</v>
      </c>
      <c r="Q125" s="12"/>
      <c r="R125" s="1"/>
    </row>
    <row r="126" ht="12.75" hidden="1" customHeight="1" outlineLevel="1">
      <c r="A126" s="17"/>
      <c r="B126" s="12"/>
      <c r="C126" s="1"/>
      <c r="D126" s="1"/>
      <c r="E126" s="12"/>
      <c r="F126" s="7"/>
      <c r="G126" s="7"/>
      <c r="H126" s="1"/>
      <c r="I126" s="1"/>
      <c r="J126" s="1"/>
      <c r="K126" s="1"/>
      <c r="L126" s="12"/>
      <c r="M126" s="12"/>
      <c r="N126" s="15"/>
      <c r="O126" s="1"/>
      <c r="Q126" s="12"/>
      <c r="R126" s="1"/>
    </row>
    <row r="127" ht="12.75" hidden="1" customHeight="1" outlineLevel="1">
      <c r="A127" s="17"/>
      <c r="B127" s="12">
        <f>B125+P127</f>
        <v>225578.14</v>
      </c>
      <c r="C127" s="19"/>
      <c r="D127" s="19">
        <f t="shared" ref="D127:D148" si="44">(B127/$B$127)-1</f>
        <v>0</v>
      </c>
      <c r="E127" s="12"/>
      <c r="F127" s="7"/>
      <c r="G127" s="7"/>
      <c r="H127" s="1"/>
      <c r="I127" s="1"/>
      <c r="J127" s="1"/>
      <c r="K127" s="1"/>
      <c r="L127" s="12"/>
      <c r="M127" s="12"/>
      <c r="N127" s="15"/>
      <c r="O127" s="1"/>
      <c r="P127" s="1">
        <v>30000.0</v>
      </c>
      <c r="Q127" s="12"/>
      <c r="R127" s="1"/>
    </row>
    <row r="128" ht="12.75" hidden="1" customHeight="1" outlineLevel="1">
      <c r="A128" s="17">
        <v>41214.0</v>
      </c>
      <c r="B128" s="12">
        <v>225715.68</v>
      </c>
      <c r="C128" s="19">
        <f t="shared" ref="C128:C148" si="45">(B128/B127)-1</f>
        <v>0.0006097222009</v>
      </c>
      <c r="D128" s="19">
        <f t="shared" si="44"/>
        <v>0.0006097222009</v>
      </c>
      <c r="E128" s="12"/>
      <c r="F128" s="7"/>
      <c r="G128" s="7"/>
      <c r="H128" s="1"/>
      <c r="I128" s="1"/>
      <c r="J128" s="1"/>
      <c r="K128" s="1"/>
      <c r="L128" s="12">
        <f t="shared" ref="L128:L148" si="46">IF(C127="",L125*(1+C128),L127*(1+C128))</f>
        <v>11806.83282</v>
      </c>
      <c r="M128" s="12" t="str">
        <f t="shared" ref="M128:M148" si="47">IF(C127="",M125*(1+C128),IF(C129="",M127*(1+C128)*(1-(#REF!/12)),M127*(1+C128)))</f>
        <v>#REF!</v>
      </c>
      <c r="N128" s="80" t="str">
        <f>IF(N127="",N125+(P127/M125),N127)</f>
        <v>#REF!</v>
      </c>
      <c r="O128" s="1" t="str">
        <f t="shared" ref="O128:O148" si="48">N128*M128=B128</f>
        <v>#REF!</v>
      </c>
      <c r="Q128" s="12"/>
      <c r="R128" s="1"/>
    </row>
    <row r="129" ht="12.75" hidden="1" customHeight="1" outlineLevel="1">
      <c r="A129" s="17">
        <v>41215.0</v>
      </c>
      <c r="B129" s="12">
        <f>190151.19+30000</f>
        <v>220151.19</v>
      </c>
      <c r="C129" s="19">
        <f t="shared" si="45"/>
        <v>-0.02465265151</v>
      </c>
      <c r="D129" s="19">
        <f t="shared" si="44"/>
        <v>-0.02405796058</v>
      </c>
      <c r="E129" s="12"/>
      <c r="F129" s="7"/>
      <c r="G129" s="7"/>
      <c r="H129" s="1"/>
      <c r="I129" s="1"/>
      <c r="J129" s="1"/>
      <c r="K129" s="1"/>
      <c r="L129" s="12">
        <f t="shared" si="46"/>
        <v>11515.76308</v>
      </c>
      <c r="M129" s="12" t="str">
        <f t="shared" si="47"/>
        <v>#REF!</v>
      </c>
      <c r="N129" s="80" t="str">
        <f t="shared" ref="N129:N147" si="49">IF(N128="",N126+(P127/M126),N128)</f>
        <v>#REF!</v>
      </c>
      <c r="O129" s="1" t="str">
        <f t="shared" si="48"/>
        <v>#REF!</v>
      </c>
      <c r="Q129" s="12"/>
      <c r="R129" s="1"/>
    </row>
    <row r="130" ht="12.75" hidden="1" customHeight="1" outlineLevel="1">
      <c r="A130" s="17">
        <v>41218.0</v>
      </c>
      <c r="B130" s="12">
        <f>191305.16+30000</f>
        <v>221305.16</v>
      </c>
      <c r="C130" s="19">
        <f t="shared" si="45"/>
        <v>0.005241715932</v>
      </c>
      <c r="D130" s="19">
        <f t="shared" si="44"/>
        <v>-0.01894234964</v>
      </c>
      <c r="E130" s="12"/>
      <c r="F130" s="7"/>
      <c r="G130" s="7"/>
      <c r="H130" s="1"/>
      <c r="I130" s="1"/>
      <c r="J130" s="1" t="s">
        <v>375</v>
      </c>
      <c r="K130" s="1"/>
      <c r="L130" s="12">
        <f t="shared" si="46"/>
        <v>11576.12544</v>
      </c>
      <c r="M130" s="12" t="str">
        <f t="shared" si="47"/>
        <v>#REF!</v>
      </c>
      <c r="N130" s="80" t="str">
        <f t="shared" si="49"/>
        <v>#REF!</v>
      </c>
      <c r="O130" s="1" t="str">
        <f t="shared" si="48"/>
        <v>#REF!</v>
      </c>
      <c r="Q130" s="12"/>
      <c r="R130" s="19"/>
    </row>
    <row r="131" ht="12.75" hidden="1" customHeight="1" outlineLevel="1">
      <c r="A131" s="17">
        <v>41219.0</v>
      </c>
      <c r="B131" s="12">
        <f>193440.48+30000</f>
        <v>223440.48</v>
      </c>
      <c r="C131" s="19">
        <f t="shared" si="45"/>
        <v>0.009648758303</v>
      </c>
      <c r="D131" s="19">
        <f t="shared" si="44"/>
        <v>-0.009476361495</v>
      </c>
      <c r="E131" s="12"/>
      <c r="F131" s="7"/>
      <c r="G131" s="7"/>
      <c r="H131" s="1"/>
      <c r="I131" s="1"/>
      <c r="J131" s="1" t="s">
        <v>377</v>
      </c>
      <c r="K131" s="1"/>
      <c r="L131" s="12">
        <f t="shared" si="46"/>
        <v>11687.82068</v>
      </c>
      <c r="M131" s="12" t="str">
        <f t="shared" si="47"/>
        <v>#REF!</v>
      </c>
      <c r="N131" s="80" t="str">
        <f t="shared" si="49"/>
        <v>#REF!</v>
      </c>
      <c r="O131" s="1" t="str">
        <f t="shared" si="48"/>
        <v>#REF!</v>
      </c>
      <c r="Q131" s="12"/>
      <c r="R131" s="1"/>
    </row>
    <row r="132" ht="12.75" hidden="1" customHeight="1" outlineLevel="1">
      <c r="A132" s="17">
        <v>41220.0</v>
      </c>
      <c r="B132" s="12">
        <f>215177.76+10000</f>
        <v>225177.76</v>
      </c>
      <c r="C132" s="19">
        <f t="shared" si="45"/>
        <v>0.007775135463</v>
      </c>
      <c r="D132" s="19">
        <f t="shared" si="44"/>
        <v>-0.001774906026</v>
      </c>
      <c r="E132" s="12"/>
      <c r="F132" s="7"/>
      <c r="G132" s="7"/>
      <c r="H132" s="1"/>
      <c r="I132" s="1"/>
      <c r="J132" s="7" t="s">
        <v>378</v>
      </c>
      <c r="K132" s="1"/>
      <c r="L132" s="12">
        <f t="shared" si="46"/>
        <v>11778.69506</v>
      </c>
      <c r="M132" s="12" t="str">
        <f t="shared" si="47"/>
        <v>#REF!</v>
      </c>
      <c r="N132" s="80" t="str">
        <f t="shared" si="49"/>
        <v>#REF!</v>
      </c>
      <c r="O132" s="1" t="str">
        <f t="shared" si="48"/>
        <v>#REF!</v>
      </c>
      <c r="Q132" s="12"/>
      <c r="R132" s="1"/>
    </row>
    <row r="133" ht="12.75" hidden="1" customHeight="1" outlineLevel="1">
      <c r="A133" s="17">
        <v>41221.0</v>
      </c>
      <c r="B133" s="12">
        <f>217078.75+10000</f>
        <v>227078.75</v>
      </c>
      <c r="C133" s="19">
        <f t="shared" si="45"/>
        <v>0.008442174751</v>
      </c>
      <c r="D133" s="19">
        <f t="shared" si="44"/>
        <v>0.006652284658</v>
      </c>
      <c r="E133" s="12"/>
      <c r="F133" s="7"/>
      <c r="G133" s="7"/>
      <c r="H133" s="1"/>
      <c r="I133" s="1"/>
      <c r="J133" s="1"/>
      <c r="K133" s="1"/>
      <c r="L133" s="12">
        <f t="shared" si="46"/>
        <v>11878.13287</v>
      </c>
      <c r="M133" s="12" t="str">
        <f t="shared" si="47"/>
        <v>#REF!</v>
      </c>
      <c r="N133" s="80" t="str">
        <f t="shared" si="49"/>
        <v>#REF!</v>
      </c>
      <c r="O133" s="1" t="str">
        <f t="shared" si="48"/>
        <v>#REF!</v>
      </c>
      <c r="Q133" s="12"/>
      <c r="R133" s="1"/>
    </row>
    <row r="134" ht="12.75" hidden="1" customHeight="1" outlineLevel="1">
      <c r="A134" s="17">
        <v>41222.0</v>
      </c>
      <c r="B134" s="12">
        <f>216265.85+10000</f>
        <v>226265.85</v>
      </c>
      <c r="C134" s="19">
        <f t="shared" si="45"/>
        <v>-0.003579815372</v>
      </c>
      <c r="D134" s="19">
        <f t="shared" si="44"/>
        <v>0.003048655335</v>
      </c>
      <c r="E134" s="12"/>
      <c r="F134" s="7"/>
      <c r="G134" s="7"/>
      <c r="H134" s="1"/>
      <c r="I134" s="1"/>
      <c r="J134" s="7" t="s">
        <v>379</v>
      </c>
      <c r="K134" s="1"/>
      <c r="L134" s="12">
        <f t="shared" si="46"/>
        <v>11835.61134</v>
      </c>
      <c r="M134" s="12" t="str">
        <f t="shared" si="47"/>
        <v>#REF!</v>
      </c>
      <c r="N134" s="80" t="str">
        <f t="shared" si="49"/>
        <v>#REF!</v>
      </c>
      <c r="O134" s="1" t="str">
        <f t="shared" si="48"/>
        <v>#REF!</v>
      </c>
      <c r="Q134" s="12"/>
      <c r="R134" s="1"/>
    </row>
    <row r="135" ht="12.75" hidden="1" customHeight="1" outlineLevel="1">
      <c r="A135" s="17">
        <v>41225.0</v>
      </c>
      <c r="B135" s="12">
        <f>214477.97+10000</f>
        <v>224477.97</v>
      </c>
      <c r="C135" s="19">
        <f t="shared" si="45"/>
        <v>-0.00790167849</v>
      </c>
      <c r="D135" s="19">
        <f t="shared" si="44"/>
        <v>-0.004877112649</v>
      </c>
      <c r="E135" s="12"/>
      <c r="F135" s="7"/>
      <c r="G135" s="7"/>
      <c r="H135" s="1"/>
      <c r="I135" s="1"/>
      <c r="J135" s="7" t="s">
        <v>380</v>
      </c>
      <c r="K135" s="1"/>
      <c r="L135" s="12">
        <f t="shared" si="46"/>
        <v>11742.09015</v>
      </c>
      <c r="M135" s="12" t="str">
        <f t="shared" si="47"/>
        <v>#REF!</v>
      </c>
      <c r="N135" s="80" t="str">
        <f t="shared" si="49"/>
        <v>#REF!</v>
      </c>
      <c r="O135" s="1" t="str">
        <f t="shared" si="48"/>
        <v>#REF!</v>
      </c>
      <c r="Q135" s="12"/>
      <c r="R135" s="1"/>
    </row>
    <row r="136" ht="12.75" hidden="1" customHeight="1" outlineLevel="1">
      <c r="A136" s="17">
        <v>41226.0</v>
      </c>
      <c r="B136" s="12">
        <v>221563.5</v>
      </c>
      <c r="C136" s="19">
        <f t="shared" si="45"/>
        <v>-0.01298332304</v>
      </c>
      <c r="D136" s="19">
        <f t="shared" si="44"/>
        <v>-0.01779711456</v>
      </c>
      <c r="E136" s="12"/>
      <c r="F136" s="7"/>
      <c r="G136" s="7"/>
      <c r="H136" s="1"/>
      <c r="I136" s="1"/>
      <c r="J136" s="1"/>
      <c r="K136" s="1"/>
      <c r="L136" s="12">
        <f t="shared" si="46"/>
        <v>11589.6388</v>
      </c>
      <c r="M136" s="12" t="str">
        <f t="shared" si="47"/>
        <v>#REF!</v>
      </c>
      <c r="N136" s="80" t="str">
        <f t="shared" si="49"/>
        <v>#REF!</v>
      </c>
      <c r="O136" s="1" t="str">
        <f t="shared" si="48"/>
        <v>#REF!</v>
      </c>
      <c r="Q136" s="12"/>
      <c r="R136" s="1"/>
    </row>
    <row r="137" ht="12.75" hidden="1" customHeight="1" outlineLevel="1">
      <c r="A137" s="17">
        <v>41227.0</v>
      </c>
      <c r="B137" s="12">
        <v>213663.43</v>
      </c>
      <c r="C137" s="19">
        <f t="shared" si="45"/>
        <v>-0.03565600832</v>
      </c>
      <c r="D137" s="19">
        <f t="shared" si="44"/>
        <v>-0.05281854882</v>
      </c>
      <c r="E137" s="12"/>
      <c r="F137" s="7"/>
      <c r="G137" s="7"/>
      <c r="H137" s="1"/>
      <c r="I137" s="1"/>
      <c r="J137" s="1" t="s">
        <v>382</v>
      </c>
      <c r="K137" s="1"/>
      <c r="L137" s="12">
        <f t="shared" si="46"/>
        <v>11176.39854</v>
      </c>
      <c r="M137" s="12" t="str">
        <f t="shared" si="47"/>
        <v>#REF!</v>
      </c>
      <c r="N137" s="80" t="str">
        <f t="shared" si="49"/>
        <v>#REF!</v>
      </c>
      <c r="O137" s="1" t="str">
        <f t="shared" si="48"/>
        <v>#REF!</v>
      </c>
      <c r="Q137" s="12"/>
      <c r="R137" s="1"/>
    </row>
    <row r="138" ht="12.75" hidden="1" customHeight="1" outlineLevel="1">
      <c r="A138" s="17">
        <v>41228.0</v>
      </c>
      <c r="B138" s="12">
        <v>213009.51</v>
      </c>
      <c r="C138" s="19">
        <f t="shared" si="45"/>
        <v>-0.00306051438</v>
      </c>
      <c r="D138" s="19">
        <f t="shared" si="44"/>
        <v>-0.05571741127</v>
      </c>
      <c r="E138" s="12"/>
      <c r="F138" s="7"/>
      <c r="G138" s="7"/>
      <c r="H138" s="1"/>
      <c r="I138" s="1"/>
      <c r="J138" s="1"/>
      <c r="K138" s="1"/>
      <c r="L138" s="12">
        <f t="shared" si="46"/>
        <v>11142.19301</v>
      </c>
      <c r="M138" s="12" t="str">
        <f t="shared" si="47"/>
        <v>#REF!</v>
      </c>
      <c r="N138" s="80" t="str">
        <f t="shared" si="49"/>
        <v>#REF!</v>
      </c>
      <c r="O138" s="1" t="str">
        <f t="shared" si="48"/>
        <v>#REF!</v>
      </c>
      <c r="Q138" s="12"/>
      <c r="R138" s="1"/>
    </row>
    <row r="139" ht="12.75" hidden="1" customHeight="1" outlineLevel="1">
      <c r="A139" s="17">
        <v>41229.0</v>
      </c>
      <c r="B139" s="12">
        <v>215107.85</v>
      </c>
      <c r="C139" s="19">
        <f t="shared" si="45"/>
        <v>0.00985092168</v>
      </c>
      <c r="D139" s="19">
        <f t="shared" si="44"/>
        <v>-0.04641535745</v>
      </c>
      <c r="E139" s="12"/>
      <c r="F139" s="7"/>
      <c r="G139" s="7"/>
      <c r="H139" s="1"/>
      <c r="I139" s="1"/>
      <c r="J139" s="7" t="s">
        <v>383</v>
      </c>
      <c r="K139" s="1"/>
      <c r="L139" s="12">
        <f t="shared" si="46"/>
        <v>11251.95388</v>
      </c>
      <c r="M139" s="12" t="str">
        <f t="shared" si="47"/>
        <v>#REF!</v>
      </c>
      <c r="N139" s="80" t="str">
        <f t="shared" si="49"/>
        <v>#REF!</v>
      </c>
      <c r="O139" s="1" t="str">
        <f t="shared" si="48"/>
        <v>#REF!</v>
      </c>
      <c r="Q139" s="12"/>
      <c r="R139" s="1"/>
    </row>
    <row r="140" ht="12.75" hidden="1" customHeight="1" outlineLevel="1">
      <c r="A140" s="17">
        <v>41232.0</v>
      </c>
      <c r="B140" s="12">
        <v>217900.18</v>
      </c>
      <c r="C140" s="19">
        <f t="shared" si="45"/>
        <v>0.01298106973</v>
      </c>
      <c r="D140" s="19">
        <f t="shared" si="44"/>
        <v>-0.03403680871</v>
      </c>
      <c r="E140" s="12"/>
      <c r="F140" s="7"/>
      <c r="G140" s="7"/>
      <c r="H140" s="1"/>
      <c r="I140" s="1"/>
      <c r="J140" s="1"/>
      <c r="K140" s="1"/>
      <c r="L140" s="12">
        <f t="shared" si="46"/>
        <v>11398.01628</v>
      </c>
      <c r="M140" s="12" t="str">
        <f t="shared" si="47"/>
        <v>#REF!</v>
      </c>
      <c r="N140" s="80" t="str">
        <f t="shared" si="49"/>
        <v>#REF!</v>
      </c>
      <c r="O140" s="1" t="str">
        <f t="shared" si="48"/>
        <v>#REF!</v>
      </c>
      <c r="Q140" s="12"/>
      <c r="R140" s="1"/>
    </row>
    <row r="141" ht="12.75" hidden="1" customHeight="1" outlineLevel="1">
      <c r="A141" s="17">
        <v>41233.0</v>
      </c>
      <c r="B141" s="12">
        <v>219232.48</v>
      </c>
      <c r="C141" s="19">
        <f t="shared" si="45"/>
        <v>0.006114267551</v>
      </c>
      <c r="D141" s="19">
        <f t="shared" si="44"/>
        <v>-0.02813065131</v>
      </c>
      <c r="E141" s="12"/>
      <c r="F141" s="7"/>
      <c r="G141" s="7"/>
      <c r="H141" s="1"/>
      <c r="I141" s="1"/>
      <c r="J141" s="1"/>
      <c r="K141" s="1"/>
      <c r="L141" s="12">
        <f t="shared" si="46"/>
        <v>11467.7068</v>
      </c>
      <c r="M141" s="12" t="str">
        <f t="shared" si="47"/>
        <v>#REF!</v>
      </c>
      <c r="N141" s="80" t="str">
        <f t="shared" si="49"/>
        <v>#REF!</v>
      </c>
      <c r="O141" s="1" t="str">
        <f t="shared" si="48"/>
        <v>#REF!</v>
      </c>
      <c r="Q141" s="12"/>
      <c r="R141" s="1"/>
    </row>
    <row r="142" ht="12.75" hidden="1" customHeight="1" outlineLevel="1">
      <c r="A142" s="17">
        <v>41234.0</v>
      </c>
      <c r="B142" s="12">
        <v>220998.03</v>
      </c>
      <c r="C142" s="19">
        <f t="shared" si="45"/>
        <v>0.008053323121</v>
      </c>
      <c r="D142" s="19">
        <f t="shared" si="44"/>
        <v>-0.02030387342</v>
      </c>
      <c r="E142" s="12"/>
      <c r="F142" s="7"/>
      <c r="G142" s="7"/>
      <c r="H142" s="1"/>
      <c r="I142" s="1"/>
      <c r="J142" s="1"/>
      <c r="K142" s="1"/>
      <c r="L142" s="12">
        <f t="shared" si="46"/>
        <v>11560.05995</v>
      </c>
      <c r="M142" s="12" t="str">
        <f t="shared" si="47"/>
        <v>#REF!</v>
      </c>
      <c r="N142" s="80" t="str">
        <f t="shared" si="49"/>
        <v>#REF!</v>
      </c>
      <c r="O142" s="1" t="str">
        <f t="shared" si="48"/>
        <v>#REF!</v>
      </c>
      <c r="Q142" s="12"/>
      <c r="R142" s="1"/>
    </row>
    <row r="143" ht="12.75" hidden="1" customHeight="1" outlineLevel="1">
      <c r="A143" s="17">
        <v>41236.0</v>
      </c>
      <c r="B143" s="12">
        <v>222369.48</v>
      </c>
      <c r="C143" s="19">
        <f t="shared" si="45"/>
        <v>0.006205711426</v>
      </c>
      <c r="D143" s="19">
        <f t="shared" si="44"/>
        <v>-0.01422416197</v>
      </c>
      <c r="E143" s="12"/>
      <c r="F143" s="7"/>
      <c r="G143" s="7"/>
      <c r="H143" s="1"/>
      <c r="I143" s="1"/>
      <c r="J143" s="1"/>
      <c r="K143" s="1"/>
      <c r="L143" s="12">
        <f t="shared" si="46"/>
        <v>11631.79835</v>
      </c>
      <c r="M143" s="12" t="str">
        <f t="shared" si="47"/>
        <v>#REF!</v>
      </c>
      <c r="N143" s="80" t="str">
        <f t="shared" si="49"/>
        <v>#REF!</v>
      </c>
      <c r="O143" s="1" t="str">
        <f t="shared" si="48"/>
        <v>#REF!</v>
      </c>
      <c r="Q143" s="12"/>
      <c r="R143" s="1"/>
    </row>
    <row r="144" ht="12.75" hidden="1" customHeight="1" outlineLevel="1">
      <c r="A144" s="17">
        <v>41239.0</v>
      </c>
      <c r="B144" s="12">
        <v>219404.5</v>
      </c>
      <c r="C144" s="19">
        <f t="shared" si="45"/>
        <v>-0.01333357437</v>
      </c>
      <c r="D144" s="19">
        <f t="shared" si="44"/>
        <v>-0.02736807742</v>
      </c>
      <c r="E144" s="12"/>
      <c r="F144" s="7"/>
      <c r="G144" s="7"/>
      <c r="H144" s="1"/>
      <c r="I144" s="1"/>
      <c r="J144" s="1"/>
      <c r="K144" s="1"/>
      <c r="L144" s="12">
        <f t="shared" si="46"/>
        <v>11476.7049</v>
      </c>
      <c r="M144" s="12" t="str">
        <f t="shared" si="47"/>
        <v>#REF!</v>
      </c>
      <c r="N144" s="80" t="str">
        <f t="shared" si="49"/>
        <v>#REF!</v>
      </c>
      <c r="O144" s="1" t="str">
        <f t="shared" si="48"/>
        <v>#REF!</v>
      </c>
      <c r="Q144" s="12"/>
      <c r="R144" s="1"/>
    </row>
    <row r="145" ht="12.75" hidden="1" customHeight="1" outlineLevel="1">
      <c r="A145" s="17">
        <v>41240.0</v>
      </c>
      <c r="B145" s="12">
        <v>220186.19</v>
      </c>
      <c r="C145" s="19">
        <f t="shared" si="45"/>
        <v>0.003562780162</v>
      </c>
      <c r="D145" s="19">
        <f t="shared" si="44"/>
        <v>-0.0239028037</v>
      </c>
      <c r="E145" s="12"/>
      <c r="F145" s="7"/>
      <c r="G145" s="7"/>
      <c r="H145" s="1"/>
      <c r="I145" s="1"/>
      <c r="J145" s="1"/>
      <c r="K145" s="1"/>
      <c r="L145" s="12">
        <f t="shared" si="46"/>
        <v>11517.59388</v>
      </c>
      <c r="M145" s="12" t="str">
        <f t="shared" si="47"/>
        <v>#REF!</v>
      </c>
      <c r="N145" s="80" t="str">
        <f t="shared" si="49"/>
        <v>#REF!</v>
      </c>
      <c r="O145" s="1" t="str">
        <f t="shared" si="48"/>
        <v>#REF!</v>
      </c>
      <c r="Q145" s="12"/>
      <c r="R145" s="1"/>
    </row>
    <row r="146" ht="12.75" hidden="1" customHeight="1" outlineLevel="1">
      <c r="A146" s="17">
        <v>41241.0</v>
      </c>
      <c r="B146" s="12">
        <v>221083.93</v>
      </c>
      <c r="C146" s="19">
        <f t="shared" si="45"/>
        <v>0.004077185767</v>
      </c>
      <c r="D146" s="19">
        <f t="shared" si="44"/>
        <v>-0.01992307411</v>
      </c>
      <c r="E146" s="12"/>
      <c r="F146" s="7"/>
      <c r="G146" s="7"/>
      <c r="H146" s="1"/>
      <c r="I146" s="1"/>
      <c r="J146" s="1"/>
      <c r="K146" s="1"/>
      <c r="L146" s="12">
        <f t="shared" si="46"/>
        <v>11564.55325</v>
      </c>
      <c r="M146" s="12" t="str">
        <f t="shared" si="47"/>
        <v>#REF!</v>
      </c>
      <c r="N146" s="80" t="str">
        <f t="shared" si="49"/>
        <v>#REF!</v>
      </c>
      <c r="O146" s="1" t="str">
        <f t="shared" si="48"/>
        <v>#REF!</v>
      </c>
      <c r="Q146" s="12"/>
      <c r="R146" s="1"/>
    </row>
    <row r="147" ht="12.75" hidden="1" customHeight="1" outlineLevel="1">
      <c r="A147" s="17">
        <v>41242.0</v>
      </c>
      <c r="B147" s="12">
        <v>221762.34</v>
      </c>
      <c r="C147" s="19">
        <f t="shared" si="45"/>
        <v>0.003068563147</v>
      </c>
      <c r="D147" s="19">
        <f t="shared" si="44"/>
        <v>-0.01691564617</v>
      </c>
      <c r="E147" s="12"/>
      <c r="F147" s="7"/>
      <c r="G147" s="7"/>
      <c r="H147" s="1"/>
      <c r="I147" s="1"/>
      <c r="J147" s="1"/>
      <c r="K147" s="7" t="s">
        <v>367</v>
      </c>
      <c r="L147" s="12">
        <f t="shared" si="46"/>
        <v>11600.03981</v>
      </c>
      <c r="M147" s="12" t="str">
        <f t="shared" si="47"/>
        <v>#REF!</v>
      </c>
      <c r="N147" s="80" t="str">
        <f t="shared" si="49"/>
        <v>#REF!</v>
      </c>
      <c r="O147" s="1" t="str">
        <f t="shared" si="48"/>
        <v>#REF!</v>
      </c>
      <c r="Q147" s="12"/>
      <c r="R147" s="1"/>
    </row>
    <row r="148" ht="12.75" hidden="1" customHeight="1" outlineLevel="1">
      <c r="A148" s="17">
        <v>41243.0</v>
      </c>
      <c r="B148" s="12">
        <v>222285.09</v>
      </c>
      <c r="C148" s="19">
        <f t="shared" si="45"/>
        <v>0.002357253265</v>
      </c>
      <c r="D148" s="19">
        <f t="shared" si="44"/>
        <v>-0.01459826737</v>
      </c>
      <c r="E148" s="12"/>
      <c r="F148" s="7"/>
      <c r="G148" s="7"/>
      <c r="H148" s="1"/>
      <c r="I148" s="1"/>
      <c r="J148" s="1"/>
      <c r="K148" s="19">
        <f>2481.82/2467.51-1</f>
        <v>0.005799368594</v>
      </c>
      <c r="L148" s="12">
        <f t="shared" si="46"/>
        <v>11627.38404</v>
      </c>
      <c r="M148" s="12" t="str">
        <f t="shared" si="47"/>
        <v>#REF!</v>
      </c>
      <c r="N148" s="15">
        <v>19.341907942685303</v>
      </c>
      <c r="O148" s="1" t="str">
        <f t="shared" si="48"/>
        <v>#REF!</v>
      </c>
      <c r="Q148" s="12"/>
      <c r="R148" s="1"/>
    </row>
    <row r="149" ht="12.75" hidden="1" customHeight="1" outlineLevel="1">
      <c r="A149" s="17"/>
      <c r="B149" s="12"/>
      <c r="C149" s="19"/>
      <c r="D149" s="19"/>
      <c r="E149" s="12"/>
      <c r="F149" s="7"/>
      <c r="G149" s="7"/>
      <c r="H149" s="1"/>
      <c r="I149" s="1"/>
      <c r="J149" s="1"/>
      <c r="K149" s="1"/>
      <c r="L149" s="12"/>
      <c r="M149" s="12"/>
      <c r="N149" s="15"/>
      <c r="O149" s="1"/>
      <c r="Q149" s="12"/>
      <c r="R149" s="1"/>
    </row>
    <row r="150" ht="12.75" hidden="1" customHeight="1" outlineLevel="1">
      <c r="A150" s="17"/>
      <c r="B150" s="12">
        <f>B148+P150</f>
        <v>232285.09</v>
      </c>
      <c r="C150" s="19"/>
      <c r="D150" s="19">
        <f t="shared" ref="D150:D170" si="50">(B150/$B$150)-1</f>
        <v>0</v>
      </c>
      <c r="E150" s="12"/>
      <c r="F150" s="7"/>
      <c r="G150" s="7"/>
      <c r="H150" s="1"/>
      <c r="I150" s="1"/>
      <c r="J150" s="1"/>
      <c r="K150" s="1"/>
      <c r="L150" s="12"/>
      <c r="M150" s="12"/>
      <c r="N150" s="15"/>
      <c r="O150" s="1"/>
      <c r="P150" s="1">
        <v>10000.0</v>
      </c>
      <c r="Q150" s="12"/>
      <c r="R150" s="1"/>
    </row>
    <row r="151" ht="12.75" hidden="1" customHeight="1" outlineLevel="1">
      <c r="A151" s="17">
        <v>41246.0</v>
      </c>
      <c r="B151" s="12">
        <f>220384.2+$P$150</f>
        <v>230384.2</v>
      </c>
      <c r="C151" s="19">
        <f t="shared" ref="C151:C170" si="51">(B151/B150)-1</f>
        <v>-0.008183435278</v>
      </c>
      <c r="D151" s="19">
        <f t="shared" si="50"/>
        <v>-0.008183435278</v>
      </c>
      <c r="E151" s="12"/>
      <c r="F151" s="7"/>
      <c r="G151" s="7"/>
      <c r="H151" s="1"/>
      <c r="I151" s="1"/>
      <c r="J151" s="1"/>
      <c r="K151" s="1"/>
      <c r="L151" s="12">
        <f t="shared" ref="L151:L167" si="52">IF(C150="",L148*(1+C151),L150*(1+C151))</f>
        <v>11532.23209</v>
      </c>
      <c r="M151" s="12" t="str">
        <f t="shared" ref="M151:M167" si="53">IF(C150="",M148*(1+C151),IF(C152="",M150*(1+C151)*(1-(#REF!/12)),M150*(1+C151)))</f>
        <v>#REF!</v>
      </c>
      <c r="N151" s="80" t="str">
        <f t="shared" ref="N151:N167" si="54">IF(N150="",N148+(P150/M148),N150)</f>
        <v>#REF!</v>
      </c>
      <c r="O151" s="1" t="str">
        <f t="shared" ref="O151:O170" si="55">N151*M151=B151</f>
        <v>#REF!</v>
      </c>
      <c r="Q151" s="12"/>
      <c r="R151" s="1"/>
    </row>
    <row r="152" ht="12.75" hidden="1" customHeight="1" outlineLevel="1">
      <c r="A152" s="17">
        <v>41247.0</v>
      </c>
      <c r="B152" s="12">
        <f>220639.89+$P$150</f>
        <v>230639.89</v>
      </c>
      <c r="C152" s="19">
        <f t="shared" si="51"/>
        <v>0.001109841734</v>
      </c>
      <c r="D152" s="19">
        <f t="shared" si="50"/>
        <v>-0.007082675862</v>
      </c>
      <c r="E152" s="12"/>
      <c r="F152" s="7"/>
      <c r="G152" s="7"/>
      <c r="H152" s="1"/>
      <c r="I152" s="1"/>
      <c r="J152" s="1"/>
      <c r="K152" s="1"/>
      <c r="L152" s="12">
        <f t="shared" si="52"/>
        <v>11545.03105</v>
      </c>
      <c r="M152" s="12" t="str">
        <f t="shared" si="53"/>
        <v>#REF!</v>
      </c>
      <c r="N152" s="80" t="str">
        <f t="shared" si="54"/>
        <v>#REF!</v>
      </c>
      <c r="O152" s="1" t="str">
        <f t="shared" si="55"/>
        <v>#REF!</v>
      </c>
      <c r="Q152" s="12"/>
      <c r="R152" s="1"/>
    </row>
    <row r="153" ht="12.75" hidden="1" customHeight="1" outlineLevel="1">
      <c r="A153" s="17">
        <v>41248.0</v>
      </c>
      <c r="B153" s="12">
        <f>216049.89+$P$150</f>
        <v>226049.89</v>
      </c>
      <c r="C153" s="19">
        <f t="shared" si="51"/>
        <v>-0.01990115413</v>
      </c>
      <c r="D153" s="19">
        <f t="shared" si="50"/>
        <v>-0.02684287657</v>
      </c>
      <c r="E153" s="12"/>
      <c r="F153" s="7"/>
      <c r="G153" s="7"/>
      <c r="H153" s="1"/>
      <c r="I153" s="1"/>
      <c r="J153" s="1"/>
      <c r="K153" s="1"/>
      <c r="L153" s="12">
        <f t="shared" si="52"/>
        <v>11315.2716</v>
      </c>
      <c r="M153" s="12" t="str">
        <f t="shared" si="53"/>
        <v>#REF!</v>
      </c>
      <c r="N153" s="80" t="str">
        <f t="shared" si="54"/>
        <v>#REF!</v>
      </c>
      <c r="O153" s="1" t="str">
        <f t="shared" si="55"/>
        <v>#REF!</v>
      </c>
      <c r="Q153" s="12"/>
      <c r="R153" s="1"/>
    </row>
    <row r="154" ht="12.75" hidden="1" customHeight="1" outlineLevel="1">
      <c r="A154" s="17">
        <v>41249.0</v>
      </c>
      <c r="B154" s="12">
        <f>216824.64+$P$150</f>
        <v>226824.64</v>
      </c>
      <c r="C154" s="19">
        <f t="shared" si="51"/>
        <v>0.003427340752</v>
      </c>
      <c r="D154" s="19">
        <f t="shared" si="50"/>
        <v>-0.0235075355</v>
      </c>
      <c r="E154" s="12"/>
      <c r="F154" s="7"/>
      <c r="G154" s="7"/>
      <c r="H154" s="1"/>
      <c r="I154" s="1"/>
      <c r="J154" s="1"/>
      <c r="K154" s="1"/>
      <c r="L154" s="12">
        <f t="shared" si="52"/>
        <v>11354.0529</v>
      </c>
      <c r="M154" s="12" t="str">
        <f t="shared" si="53"/>
        <v>#REF!</v>
      </c>
      <c r="N154" s="80" t="str">
        <f t="shared" si="54"/>
        <v>#REF!</v>
      </c>
      <c r="O154" s="1" t="str">
        <f t="shared" si="55"/>
        <v>#REF!</v>
      </c>
      <c r="Q154" s="12"/>
      <c r="R154" s="1"/>
    </row>
    <row r="155" ht="12.75" hidden="1" customHeight="1" outlineLevel="1">
      <c r="A155" s="17">
        <v>41250.0</v>
      </c>
      <c r="B155" s="12">
        <f>216660.62+$P$150</f>
        <v>226660.62</v>
      </c>
      <c r="C155" s="19">
        <f t="shared" si="51"/>
        <v>-0.0007231136794</v>
      </c>
      <c r="D155" s="19">
        <f t="shared" si="50"/>
        <v>-0.02421365056</v>
      </c>
      <c r="E155" s="12"/>
      <c r="F155" s="7"/>
      <c r="G155" s="7"/>
      <c r="H155" s="1"/>
      <c r="I155" s="1"/>
      <c r="J155" s="1"/>
      <c r="K155" s="1"/>
      <c r="L155" s="12">
        <f t="shared" si="52"/>
        <v>11345.84262</v>
      </c>
      <c r="M155" s="12" t="str">
        <f t="shared" si="53"/>
        <v>#REF!</v>
      </c>
      <c r="N155" s="80" t="str">
        <f t="shared" si="54"/>
        <v>#REF!</v>
      </c>
      <c r="O155" s="1" t="str">
        <f t="shared" si="55"/>
        <v>#REF!</v>
      </c>
      <c r="Q155" s="12"/>
      <c r="R155" s="1"/>
    </row>
    <row r="156" ht="12.75" hidden="1" customHeight="1" outlineLevel="1">
      <c r="A156" s="17">
        <v>41253.0</v>
      </c>
      <c r="B156" s="12">
        <v>226276.61</v>
      </c>
      <c r="C156" s="19">
        <f t="shared" si="51"/>
        <v>-0.00169420696</v>
      </c>
      <c r="D156" s="19">
        <f t="shared" si="50"/>
        <v>-0.02586683459</v>
      </c>
      <c r="E156" s="12"/>
      <c r="F156" s="7"/>
      <c r="G156" s="7"/>
      <c r="H156" s="1"/>
      <c r="I156" s="1"/>
      <c r="J156" s="1"/>
      <c r="K156" s="1"/>
      <c r="L156" s="12">
        <f t="shared" si="52"/>
        <v>11326.62042</v>
      </c>
      <c r="M156" s="12" t="str">
        <f t="shared" si="53"/>
        <v>#REF!</v>
      </c>
      <c r="N156" s="80" t="str">
        <f t="shared" si="54"/>
        <v>#REF!</v>
      </c>
      <c r="O156" s="1" t="str">
        <f t="shared" si="55"/>
        <v>#REF!</v>
      </c>
      <c r="Q156" s="12"/>
      <c r="R156" s="1"/>
    </row>
    <row r="157" ht="12.75" hidden="1" customHeight="1" outlineLevel="1">
      <c r="A157" s="17">
        <v>41254.0</v>
      </c>
      <c r="B157" s="12">
        <v>227119.24</v>
      </c>
      <c r="C157" s="19">
        <f t="shared" si="51"/>
        <v>0.003723893512</v>
      </c>
      <c r="D157" s="19">
        <f t="shared" si="50"/>
        <v>-0.02223926641</v>
      </c>
      <c r="E157" s="12"/>
      <c r="F157" s="7"/>
      <c r="G157" s="7"/>
      <c r="H157" s="1"/>
      <c r="I157" s="1"/>
      <c r="J157" s="1"/>
      <c r="K157" s="1"/>
      <c r="L157" s="12">
        <f t="shared" si="52"/>
        <v>11368.79955</v>
      </c>
      <c r="M157" s="12" t="str">
        <f t="shared" si="53"/>
        <v>#REF!</v>
      </c>
      <c r="N157" s="80" t="str">
        <f t="shared" si="54"/>
        <v>#REF!</v>
      </c>
      <c r="O157" s="1" t="str">
        <f t="shared" si="55"/>
        <v>#REF!</v>
      </c>
      <c r="Q157" s="12"/>
      <c r="R157" s="1"/>
    </row>
    <row r="158" ht="12.75" hidden="1" customHeight="1" outlineLevel="1">
      <c r="A158" s="17">
        <v>41255.0</v>
      </c>
      <c r="B158" s="12">
        <v>228290.13</v>
      </c>
      <c r="C158" s="19">
        <f t="shared" si="51"/>
        <v>0.005155397667</v>
      </c>
      <c r="D158" s="19">
        <f t="shared" si="50"/>
        <v>-0.01719852101</v>
      </c>
      <c r="E158" s="12"/>
      <c r="F158" s="7"/>
      <c r="G158" s="7"/>
      <c r="H158" s="1"/>
      <c r="I158" s="1"/>
      <c r="J158" s="1"/>
      <c r="K158" s="1"/>
      <c r="L158" s="12">
        <f t="shared" si="52"/>
        <v>11427.41023</v>
      </c>
      <c r="M158" s="12" t="str">
        <f t="shared" si="53"/>
        <v>#REF!</v>
      </c>
      <c r="N158" s="80" t="str">
        <f t="shared" si="54"/>
        <v>#REF!</v>
      </c>
      <c r="O158" s="1" t="str">
        <f t="shared" si="55"/>
        <v>#REF!</v>
      </c>
      <c r="Q158" s="12"/>
      <c r="R158" s="1"/>
    </row>
    <row r="159" ht="12.75" hidden="1" customHeight="1" outlineLevel="1">
      <c r="A159" s="17">
        <v>41256.0</v>
      </c>
      <c r="B159" s="12">
        <v>227177.85</v>
      </c>
      <c r="C159" s="19">
        <f t="shared" si="51"/>
        <v>-0.004872221151</v>
      </c>
      <c r="D159" s="19">
        <f t="shared" si="50"/>
        <v>-0.02198694716</v>
      </c>
      <c r="E159" s="12"/>
      <c r="F159" s="7"/>
      <c r="G159" s="7"/>
      <c r="H159" s="1"/>
      <c r="I159" s="1"/>
      <c r="J159" s="1"/>
      <c r="K159" s="1"/>
      <c r="L159" s="12">
        <f t="shared" si="52"/>
        <v>11371.73336</v>
      </c>
      <c r="M159" s="12" t="str">
        <f t="shared" si="53"/>
        <v>#REF!</v>
      </c>
      <c r="N159" s="80" t="str">
        <f t="shared" si="54"/>
        <v>#REF!</v>
      </c>
      <c r="O159" s="1" t="str">
        <f t="shared" si="55"/>
        <v>#REF!</v>
      </c>
      <c r="Q159" s="12"/>
      <c r="R159" s="1"/>
    </row>
    <row r="160" ht="12.75" hidden="1" customHeight="1" outlineLevel="1">
      <c r="A160" s="17">
        <v>41257.0</v>
      </c>
      <c r="B160" s="12">
        <v>225291.57</v>
      </c>
      <c r="C160" s="19">
        <f t="shared" si="51"/>
        <v>-0.008303098211</v>
      </c>
      <c r="D160" s="19">
        <f t="shared" si="50"/>
        <v>-0.03010748559</v>
      </c>
      <c r="E160" s="12"/>
      <c r="F160" s="7"/>
      <c r="G160" s="7"/>
      <c r="H160" s="1"/>
      <c r="I160" s="1"/>
      <c r="J160" s="1"/>
      <c r="K160" s="1"/>
      <c r="L160" s="12">
        <f t="shared" si="52"/>
        <v>11277.31274</v>
      </c>
      <c r="M160" s="12" t="str">
        <f t="shared" si="53"/>
        <v>#REF!</v>
      </c>
      <c r="N160" s="80" t="str">
        <f t="shared" si="54"/>
        <v>#REF!</v>
      </c>
      <c r="O160" s="1" t="str">
        <f t="shared" si="55"/>
        <v>#REF!</v>
      </c>
      <c r="Q160" s="12"/>
      <c r="R160" s="1"/>
    </row>
    <row r="161" ht="12.75" hidden="1" customHeight="1" outlineLevel="1">
      <c r="A161" s="17">
        <v>41260.0</v>
      </c>
      <c r="B161" s="12">
        <v>227892.46</v>
      </c>
      <c r="C161" s="19">
        <f t="shared" si="51"/>
        <v>0.01154455091</v>
      </c>
      <c r="D161" s="19">
        <f t="shared" si="50"/>
        <v>-0.01891051208</v>
      </c>
      <c r="E161" s="12"/>
      <c r="F161" s="7"/>
      <c r="G161" s="7"/>
      <c r="H161" s="1"/>
      <c r="I161" s="1"/>
      <c r="J161" s="1"/>
      <c r="K161" s="1"/>
      <c r="L161" s="12">
        <f t="shared" si="52"/>
        <v>11407.50425</v>
      </c>
      <c r="M161" s="12" t="str">
        <f t="shared" si="53"/>
        <v>#REF!</v>
      </c>
      <c r="N161" s="80" t="str">
        <f t="shared" si="54"/>
        <v>#REF!</v>
      </c>
      <c r="O161" s="1" t="str">
        <f t="shared" si="55"/>
        <v>#REF!</v>
      </c>
      <c r="Q161" s="12"/>
      <c r="R161" s="1"/>
    </row>
    <row r="162" ht="12.75" hidden="1" customHeight="1" outlineLevel="1">
      <c r="A162" s="17">
        <v>41261.0</v>
      </c>
      <c r="B162" s="12">
        <v>230460.05</v>
      </c>
      <c r="C162" s="19">
        <f t="shared" si="51"/>
        <v>0.01126667376</v>
      </c>
      <c r="D162" s="19">
        <f t="shared" si="50"/>
        <v>-0.007856896885</v>
      </c>
      <c r="E162" s="12"/>
      <c r="F162" s="7"/>
      <c r="G162" s="7"/>
      <c r="H162" s="1"/>
      <c r="I162" s="1"/>
      <c r="J162" s="1" t="s">
        <v>392</v>
      </c>
      <c r="K162" s="1"/>
      <c r="L162" s="12">
        <f t="shared" si="52"/>
        <v>11536.02888</v>
      </c>
      <c r="M162" s="12" t="str">
        <f t="shared" si="53"/>
        <v>#REF!</v>
      </c>
      <c r="N162" s="80" t="str">
        <f t="shared" si="54"/>
        <v>#REF!</v>
      </c>
      <c r="O162" s="1" t="str">
        <f t="shared" si="55"/>
        <v>#REF!</v>
      </c>
      <c r="Q162" s="12"/>
      <c r="R162" s="1"/>
    </row>
    <row r="163" ht="12.75" hidden="1" customHeight="1" outlineLevel="1">
      <c r="A163" s="17">
        <v>41262.0</v>
      </c>
      <c r="B163" s="12">
        <v>225042.55</v>
      </c>
      <c r="C163" s="19">
        <f t="shared" si="51"/>
        <v>-0.02350732806</v>
      </c>
      <c r="D163" s="19">
        <f t="shared" si="50"/>
        <v>-0.03117953029</v>
      </c>
      <c r="E163" s="12"/>
      <c r="F163" s="7"/>
      <c r="G163" s="7"/>
      <c r="H163" s="1"/>
      <c r="I163" s="1"/>
      <c r="J163" s="1" t="s">
        <v>393</v>
      </c>
      <c r="K163" s="1"/>
      <c r="L163" s="12">
        <f t="shared" si="52"/>
        <v>11264.84767</v>
      </c>
      <c r="M163" s="12" t="str">
        <f t="shared" si="53"/>
        <v>#REF!</v>
      </c>
      <c r="N163" s="80" t="str">
        <f t="shared" si="54"/>
        <v>#REF!</v>
      </c>
      <c r="O163" s="1" t="str">
        <f t="shared" si="55"/>
        <v>#REF!</v>
      </c>
      <c r="Q163" s="12"/>
      <c r="R163" s="1"/>
    </row>
    <row r="164" ht="12.75" hidden="1" customHeight="1" outlineLevel="1">
      <c r="A164" s="17">
        <v>41263.0</v>
      </c>
      <c r="B164" s="12">
        <v>229079.75</v>
      </c>
      <c r="C164" s="19">
        <f t="shared" si="51"/>
        <v>0.01793971851</v>
      </c>
      <c r="D164" s="19">
        <f t="shared" si="50"/>
        <v>-0.01379916378</v>
      </c>
      <c r="E164" s="12"/>
      <c r="F164" s="7"/>
      <c r="G164" s="7"/>
      <c r="H164" s="1"/>
      <c r="I164" s="1"/>
      <c r="J164" s="1"/>
      <c r="K164" s="1"/>
      <c r="L164" s="12">
        <f t="shared" si="52"/>
        <v>11466.93586</v>
      </c>
      <c r="M164" s="12" t="str">
        <f t="shared" si="53"/>
        <v>#REF!</v>
      </c>
      <c r="N164" s="80" t="str">
        <f t="shared" si="54"/>
        <v>#REF!</v>
      </c>
      <c r="O164" s="1" t="str">
        <f t="shared" si="55"/>
        <v>#REF!</v>
      </c>
      <c r="Q164" s="12"/>
      <c r="R164" s="1"/>
    </row>
    <row r="165" ht="12.75" hidden="1" customHeight="1" outlineLevel="1">
      <c r="A165" s="17">
        <v>41264.0</v>
      </c>
      <c r="B165" s="12">
        <v>226350.16</v>
      </c>
      <c r="C165" s="19">
        <f t="shared" si="51"/>
        <v>-0.01191545739</v>
      </c>
      <c r="D165" s="19">
        <f t="shared" si="50"/>
        <v>-0.02555019782</v>
      </c>
      <c r="E165" s="12"/>
      <c r="F165" s="7"/>
      <c r="G165" s="7"/>
      <c r="H165" s="1"/>
      <c r="I165" s="1"/>
      <c r="J165" s="1"/>
      <c r="K165" s="1"/>
      <c r="L165" s="12">
        <f t="shared" si="52"/>
        <v>11330.30208</v>
      </c>
      <c r="M165" s="12" t="str">
        <f t="shared" si="53"/>
        <v>#REF!</v>
      </c>
      <c r="N165" s="80" t="str">
        <f t="shared" si="54"/>
        <v>#REF!</v>
      </c>
      <c r="O165" s="1" t="str">
        <f t="shared" si="55"/>
        <v>#REF!</v>
      </c>
      <c r="Q165" s="12"/>
      <c r="R165" s="1"/>
    </row>
    <row r="166" ht="12.75" hidden="1" customHeight="1" outlineLevel="1">
      <c r="A166" s="17">
        <v>41267.0</v>
      </c>
      <c r="B166" s="12">
        <v>227477.56</v>
      </c>
      <c r="C166" s="19">
        <f t="shared" si="51"/>
        <v>0.004980778454</v>
      </c>
      <c r="D166" s="19">
        <f t="shared" si="50"/>
        <v>-0.02069667924</v>
      </c>
      <c r="E166" s="12"/>
      <c r="F166" s="7"/>
      <c r="G166" s="7"/>
      <c r="H166" s="1"/>
      <c r="I166" s="1"/>
      <c r="J166" s="1"/>
      <c r="K166" s="1"/>
      <c r="L166" s="12">
        <f t="shared" si="52"/>
        <v>11386.7358</v>
      </c>
      <c r="M166" s="12" t="str">
        <f t="shared" si="53"/>
        <v>#REF!</v>
      </c>
      <c r="N166" s="80" t="str">
        <f t="shared" si="54"/>
        <v>#REF!</v>
      </c>
      <c r="O166" s="1" t="str">
        <f t="shared" si="55"/>
        <v>#REF!</v>
      </c>
      <c r="Q166" s="12"/>
      <c r="R166" s="1"/>
    </row>
    <row r="167" ht="12.75" hidden="1" customHeight="1" outlineLevel="1">
      <c r="A167" s="17">
        <v>41269.0</v>
      </c>
      <c r="B167" s="12">
        <v>226769.88</v>
      </c>
      <c r="C167" s="19">
        <f t="shared" si="51"/>
        <v>-0.003110988178</v>
      </c>
      <c r="D167" s="19">
        <f t="shared" si="50"/>
        <v>-0.02374328029</v>
      </c>
      <c r="E167" s="12"/>
      <c r="F167" s="7"/>
      <c r="G167" s="7"/>
      <c r="H167" s="1"/>
      <c r="I167" s="1"/>
      <c r="J167" s="1"/>
      <c r="K167" s="1"/>
      <c r="L167" s="12">
        <f t="shared" si="52"/>
        <v>11351.3118</v>
      </c>
      <c r="M167" s="12" t="str">
        <f t="shared" si="53"/>
        <v>#REF!</v>
      </c>
      <c r="N167" s="80" t="str">
        <f t="shared" si="54"/>
        <v>#REF!</v>
      </c>
      <c r="O167" s="1" t="str">
        <f t="shared" si="55"/>
        <v>#REF!</v>
      </c>
      <c r="Q167" s="12"/>
      <c r="R167" s="1"/>
    </row>
    <row r="168" ht="12.75" hidden="1" customHeight="1" outlineLevel="1">
      <c r="A168" s="17">
        <v>41270.0</v>
      </c>
      <c r="B168" s="12">
        <v>224762.07</v>
      </c>
      <c r="C168" s="19">
        <f t="shared" si="51"/>
        <v>-0.00885395362</v>
      </c>
      <c r="D168" s="19">
        <f t="shared" si="50"/>
        <v>-0.03238701201</v>
      </c>
      <c r="E168" s="12"/>
      <c r="F168" s="7"/>
      <c r="G168" s="7"/>
      <c r="H168" s="1"/>
      <c r="I168" s="1"/>
      <c r="J168" s="1"/>
      <c r="K168" s="1"/>
      <c r="L168" s="12">
        <f>IF(C167="",L166*(1+C168),L167*(1+C168))</f>
        <v>11250.80781</v>
      </c>
      <c r="M168" s="12" t="str">
        <f>IF(C167="",M166*(1+C168),IF(C169="",M167*(1+C168)*(1-(#REF!/12)),M167*(1+C168)))</f>
        <v>#REF!</v>
      </c>
      <c r="N168" s="80" t="str">
        <f>IF(N167="",N166+(P167/M166),N167)</f>
        <v>#REF!</v>
      </c>
      <c r="O168" s="1" t="str">
        <f t="shared" si="55"/>
        <v>#REF!</v>
      </c>
      <c r="Q168" s="12"/>
      <c r="R168" s="1"/>
    </row>
    <row r="169" ht="12.75" hidden="1" customHeight="1" outlineLevel="1">
      <c r="A169" s="17">
        <v>41271.0</v>
      </c>
      <c r="B169" s="12">
        <v>223562.36</v>
      </c>
      <c r="C169" s="19">
        <f t="shared" si="51"/>
        <v>-0.005337688873</v>
      </c>
      <c r="D169" s="19">
        <f t="shared" si="50"/>
        <v>-0.03755182909</v>
      </c>
      <c r="E169" s="12"/>
      <c r="F169" s="7"/>
      <c r="G169" s="7"/>
      <c r="H169" s="1"/>
      <c r="I169" s="1"/>
      <c r="J169" s="1"/>
      <c r="K169" s="7" t="s">
        <v>367</v>
      </c>
      <c r="L169" s="12">
        <f>IF(C168="",#REF!*(1+C169),L168*(1+C169))</f>
        <v>11190.7545</v>
      </c>
      <c r="M169" s="12" t="str">
        <f>IF(C168="",#REF!*(1+C169),IF(C170="",M168*(1+C169)*(1-(#REF!/12)),M168*(1+C169)))</f>
        <v>#REF!</v>
      </c>
      <c r="N169" s="80" t="str">
        <f>IF(N168="",#REF!+(P168/#REF!),N168)</f>
        <v>#REF!</v>
      </c>
      <c r="O169" s="1" t="str">
        <f t="shared" si="55"/>
        <v>#REF!</v>
      </c>
      <c r="Q169" s="12"/>
      <c r="R169" s="1"/>
    </row>
    <row r="170" ht="12.75" hidden="1" customHeight="1" outlineLevel="1">
      <c r="A170" s="17">
        <v>41274.0</v>
      </c>
      <c r="B170" s="12">
        <v>226228.55</v>
      </c>
      <c r="C170" s="19">
        <f t="shared" si="51"/>
        <v>0.01192593422</v>
      </c>
      <c r="D170" s="19">
        <f t="shared" si="50"/>
        <v>-0.02607373551</v>
      </c>
      <c r="E170" s="12"/>
      <c r="F170" s="7"/>
      <c r="G170" s="7"/>
      <c r="H170" s="1"/>
      <c r="I170" s="1"/>
      <c r="J170" s="1"/>
      <c r="K170" s="19">
        <f>2504.44/2481.82-1</f>
        <v>0.009114279037</v>
      </c>
      <c r="L170" s="12">
        <f>IF(C169="",L167*(1+C170),L169*(1+C170))</f>
        <v>11324.2147</v>
      </c>
      <c r="M170" s="12" t="str">
        <f>IF(C169="",M167*(1+C170),IF(C171="",M169*(1+C170)*(1-(#REF!/12)),M169*(1+C170)))</f>
        <v>#REF!</v>
      </c>
      <c r="N170" s="15">
        <v>20.245790617599646</v>
      </c>
      <c r="O170" s="1" t="str">
        <f t="shared" si="55"/>
        <v>#REF!</v>
      </c>
      <c r="Q170" s="12"/>
      <c r="R170" s="1"/>
    </row>
    <row r="171" ht="12.75" hidden="1" customHeight="1" outlineLevel="1">
      <c r="A171" s="17"/>
      <c r="B171" s="12"/>
      <c r="C171" s="19"/>
      <c r="D171" s="19"/>
      <c r="E171" s="12"/>
      <c r="F171" s="7"/>
      <c r="G171" s="7"/>
      <c r="H171" s="1"/>
      <c r="I171" s="1"/>
      <c r="J171" s="1"/>
      <c r="K171" s="1"/>
      <c r="L171" s="12"/>
      <c r="M171" s="12"/>
      <c r="N171" s="15"/>
      <c r="O171" s="1"/>
      <c r="Q171" s="12"/>
      <c r="R171" s="1"/>
    </row>
    <row r="172" ht="12.75" hidden="1" customHeight="1" outlineLevel="1">
      <c r="A172" s="17"/>
      <c r="B172" s="12">
        <f>B170+P172</f>
        <v>236228.55</v>
      </c>
      <c r="C172" s="19"/>
      <c r="D172" s="19">
        <f t="shared" ref="D172:D194" si="56">(B172/$B$172)-1</f>
        <v>0</v>
      </c>
      <c r="E172" s="12"/>
      <c r="F172" s="7"/>
      <c r="G172" s="7"/>
      <c r="H172" s="1"/>
      <c r="I172" s="1"/>
      <c r="J172" s="1"/>
      <c r="K172" s="1"/>
      <c r="L172" s="12"/>
      <c r="M172" s="12"/>
      <c r="N172" s="15"/>
      <c r="O172" s="1"/>
      <c r="P172" s="1">
        <v>10000.0</v>
      </c>
      <c r="Q172" s="12"/>
      <c r="R172" s="1"/>
    </row>
    <row r="173" ht="12.75" hidden="1" customHeight="1" outlineLevel="1">
      <c r="A173" s="17">
        <v>41275.0</v>
      </c>
      <c r="B173" s="12">
        <v>236228.55</v>
      </c>
      <c r="C173" s="19">
        <f t="shared" ref="C173:C194" si="57">(B173/B172)-1</f>
        <v>0</v>
      </c>
      <c r="D173" s="19">
        <f t="shared" si="56"/>
        <v>0</v>
      </c>
      <c r="E173" s="12"/>
      <c r="F173" s="7"/>
      <c r="G173" s="7"/>
      <c r="H173" s="1"/>
      <c r="I173" s="1"/>
      <c r="J173" s="1"/>
      <c r="K173" s="1"/>
      <c r="L173" s="12">
        <f t="shared" ref="L173:L194" si="58">IF(C172="",L170*(1+C173),L172*(1+C173))</f>
        <v>11324.2147</v>
      </c>
      <c r="M173" s="12" t="str">
        <f t="shared" ref="M173:M194" si="59">IF(C172="",M170*(1+C173),IF(C174="",M172*(1+C173)*(1-(#REF!/12)),M172*(1+C173)))</f>
        <v>#REF!</v>
      </c>
      <c r="N173" s="80" t="str">
        <f t="shared" ref="N173:N193" si="60">IF(N172="",N170+(P172/M170),N172)</f>
        <v>#REF!</v>
      </c>
      <c r="O173" s="1" t="str">
        <f t="shared" ref="O173:O194" si="61">N173*M173=B173</f>
        <v>#REF!</v>
      </c>
      <c r="Q173" s="12"/>
      <c r="R173" s="1"/>
    </row>
    <row r="174" ht="12.75" hidden="1" customHeight="1" outlineLevel="1">
      <c r="A174" s="17">
        <v>41276.0</v>
      </c>
      <c r="B174" s="12">
        <v>240111.27</v>
      </c>
      <c r="C174" s="19">
        <f t="shared" si="57"/>
        <v>0.01643628596</v>
      </c>
      <c r="D174" s="19">
        <f t="shared" si="56"/>
        <v>0.01643628596</v>
      </c>
      <c r="E174" s="12"/>
      <c r="F174" s="7"/>
      <c r="G174" s="7"/>
      <c r="H174" s="1"/>
      <c r="I174" s="1"/>
      <c r="J174" s="1"/>
      <c r="K174" s="1"/>
      <c r="L174" s="12">
        <f t="shared" si="58"/>
        <v>11510.34273</v>
      </c>
      <c r="M174" s="12" t="str">
        <f t="shared" si="59"/>
        <v>#REF!</v>
      </c>
      <c r="N174" s="80" t="str">
        <f t="shared" si="60"/>
        <v>#REF!</v>
      </c>
      <c r="O174" s="1" t="str">
        <f t="shared" si="61"/>
        <v>#REF!</v>
      </c>
      <c r="Q174" s="12"/>
      <c r="R174" s="1"/>
    </row>
    <row r="175" ht="12.75" hidden="1" customHeight="1" outlineLevel="1">
      <c r="A175" s="17">
        <v>41277.0</v>
      </c>
      <c r="B175" s="12">
        <v>236864.06</v>
      </c>
      <c r="C175" s="19">
        <f t="shared" si="57"/>
        <v>-0.01352377171</v>
      </c>
      <c r="D175" s="19">
        <f t="shared" si="56"/>
        <v>0.002690233674</v>
      </c>
      <c r="E175" s="12"/>
      <c r="F175" s="7"/>
      <c r="G175" s="7"/>
      <c r="H175" s="1"/>
      <c r="I175" s="1"/>
      <c r="J175" s="1"/>
      <c r="K175" s="1"/>
      <c r="L175" s="12">
        <f t="shared" si="58"/>
        <v>11354.67949</v>
      </c>
      <c r="M175" s="12" t="str">
        <f t="shared" si="59"/>
        <v>#REF!</v>
      </c>
      <c r="N175" s="80" t="str">
        <f t="shared" si="60"/>
        <v>#REF!</v>
      </c>
      <c r="O175" s="1" t="str">
        <f t="shared" si="61"/>
        <v>#REF!</v>
      </c>
      <c r="Q175" s="12"/>
      <c r="R175" s="1"/>
    </row>
    <row r="176" ht="12.75" hidden="1" customHeight="1" outlineLevel="1">
      <c r="A176" s="17">
        <v>41278.0</v>
      </c>
      <c r="B176" s="12">
        <f>229517.07+$P$172</f>
        <v>239517.07</v>
      </c>
      <c r="C176" s="19">
        <f t="shared" si="57"/>
        <v>0.01120055951</v>
      </c>
      <c r="D176" s="19">
        <f t="shared" si="56"/>
        <v>0.01392092531</v>
      </c>
      <c r="E176" s="12"/>
      <c r="F176" s="7"/>
      <c r="G176" s="7"/>
      <c r="H176" s="1"/>
      <c r="I176" s="1"/>
      <c r="J176" s="1"/>
      <c r="K176" s="1"/>
      <c r="L176" s="12">
        <f t="shared" si="58"/>
        <v>11481.85825</v>
      </c>
      <c r="M176" s="12" t="str">
        <f t="shared" si="59"/>
        <v>#REF!</v>
      </c>
      <c r="N176" s="80" t="str">
        <f t="shared" si="60"/>
        <v>#REF!</v>
      </c>
      <c r="O176" s="1" t="str">
        <f t="shared" si="61"/>
        <v>#REF!</v>
      </c>
      <c r="Q176" s="12"/>
      <c r="R176" s="1"/>
    </row>
    <row r="177" ht="12.75" hidden="1" customHeight="1" outlineLevel="1">
      <c r="A177" s="17">
        <v>41281.0</v>
      </c>
      <c r="B177" s="12">
        <f>229670.94+10000</f>
        <v>239670.94</v>
      </c>
      <c r="C177" s="19">
        <f t="shared" si="57"/>
        <v>0.0006424176782</v>
      </c>
      <c r="D177" s="19">
        <f t="shared" si="56"/>
        <v>0.01457228603</v>
      </c>
      <c r="E177" s="12"/>
      <c r="F177" s="7"/>
      <c r="G177" s="7"/>
      <c r="H177" s="1"/>
      <c r="I177" s="1"/>
      <c r="J177" s="1"/>
      <c r="K177" s="1"/>
      <c r="L177" s="12">
        <f t="shared" si="58"/>
        <v>11489.2344</v>
      </c>
      <c r="M177" s="12" t="str">
        <f t="shared" si="59"/>
        <v>#REF!</v>
      </c>
      <c r="N177" s="80" t="str">
        <f t="shared" si="60"/>
        <v>#REF!</v>
      </c>
      <c r="O177" s="1" t="str">
        <f t="shared" si="61"/>
        <v>#REF!</v>
      </c>
      <c r="Q177" s="12"/>
      <c r="R177" s="1"/>
    </row>
    <row r="178" ht="12.75" hidden="1" customHeight="1" outlineLevel="1">
      <c r="A178" s="17">
        <v>41282.0</v>
      </c>
      <c r="B178" s="12">
        <v>244017.45</v>
      </c>
      <c r="C178" s="19">
        <f t="shared" si="57"/>
        <v>0.01813532337</v>
      </c>
      <c r="D178" s="19">
        <f t="shared" si="56"/>
        <v>0.03297188253</v>
      </c>
      <c r="E178" s="12"/>
      <c r="F178" s="7"/>
      <c r="G178" s="7"/>
      <c r="H178" s="1"/>
      <c r="I178" s="1"/>
      <c r="J178" s="7" t="s">
        <v>400</v>
      </c>
      <c r="K178" s="1"/>
      <c r="L178" s="12">
        <f t="shared" si="58"/>
        <v>11697.59538</v>
      </c>
      <c r="M178" s="12" t="str">
        <f t="shared" si="59"/>
        <v>#REF!</v>
      </c>
      <c r="N178" s="80" t="str">
        <f t="shared" si="60"/>
        <v>#REF!</v>
      </c>
      <c r="O178" s="1" t="str">
        <f t="shared" si="61"/>
        <v>#REF!</v>
      </c>
      <c r="Q178" s="12"/>
      <c r="R178" s="1"/>
    </row>
    <row r="179" ht="12.75" hidden="1" customHeight="1" outlineLevel="1">
      <c r="A179" s="17">
        <v>41283.0</v>
      </c>
      <c r="B179" s="12">
        <v>246099.9</v>
      </c>
      <c r="C179" s="19">
        <f t="shared" si="57"/>
        <v>0.008534020825</v>
      </c>
      <c r="D179" s="19">
        <f t="shared" si="56"/>
        <v>0.04178728608</v>
      </c>
      <c r="E179" s="12"/>
      <c r="F179" s="7"/>
      <c r="G179" s="7"/>
      <c r="H179" s="1"/>
      <c r="I179" s="1"/>
      <c r="J179" s="1"/>
      <c r="K179" s="1"/>
      <c r="L179" s="12">
        <f t="shared" si="58"/>
        <v>11797.4229</v>
      </c>
      <c r="M179" s="12" t="str">
        <f t="shared" si="59"/>
        <v>#REF!</v>
      </c>
      <c r="N179" s="80" t="str">
        <f t="shared" si="60"/>
        <v>#REF!</v>
      </c>
      <c r="O179" s="1" t="str">
        <f t="shared" si="61"/>
        <v>#REF!</v>
      </c>
      <c r="Q179" s="12"/>
      <c r="R179" s="1"/>
    </row>
    <row r="180" ht="12.75" hidden="1" customHeight="1" outlineLevel="1">
      <c r="A180" s="17">
        <v>41284.0</v>
      </c>
      <c r="B180" s="12">
        <v>248017.24</v>
      </c>
      <c r="C180" s="19">
        <f t="shared" si="57"/>
        <v>0.007790901175</v>
      </c>
      <c r="D180" s="19">
        <f t="shared" si="56"/>
        <v>0.04990374787</v>
      </c>
      <c r="E180" s="12"/>
      <c r="F180" s="7"/>
      <c r="G180" s="7"/>
      <c r="H180" s="1"/>
      <c r="I180" s="1"/>
      <c r="J180" s="1"/>
      <c r="K180" s="1"/>
      <c r="L180" s="12">
        <f t="shared" si="58"/>
        <v>11889.33546</v>
      </c>
      <c r="M180" s="12" t="str">
        <f t="shared" si="59"/>
        <v>#REF!</v>
      </c>
      <c r="N180" s="80" t="str">
        <f t="shared" si="60"/>
        <v>#REF!</v>
      </c>
      <c r="O180" s="1" t="str">
        <f t="shared" si="61"/>
        <v>#REF!</v>
      </c>
      <c r="Q180" s="12"/>
      <c r="R180" s="1"/>
    </row>
    <row r="181" ht="12.75" hidden="1" customHeight="1" outlineLevel="1">
      <c r="A181" s="17">
        <v>41285.0</v>
      </c>
      <c r="B181" s="12">
        <v>248323.11</v>
      </c>
      <c r="C181" s="19">
        <f t="shared" si="57"/>
        <v>0.001233261043</v>
      </c>
      <c r="D181" s="19">
        <f t="shared" si="56"/>
        <v>0.05119855327</v>
      </c>
      <c r="E181" s="12"/>
      <c r="F181" s="7"/>
      <c r="G181" s="7"/>
      <c r="H181" s="1"/>
      <c r="I181" s="1"/>
      <c r="J181" s="1"/>
      <c r="K181" s="1"/>
      <c r="L181" s="12">
        <f t="shared" si="58"/>
        <v>11903.99811</v>
      </c>
      <c r="M181" s="12" t="str">
        <f t="shared" si="59"/>
        <v>#REF!</v>
      </c>
      <c r="N181" s="80" t="str">
        <f t="shared" si="60"/>
        <v>#REF!</v>
      </c>
      <c r="O181" s="1" t="str">
        <f t="shared" si="61"/>
        <v>#REF!</v>
      </c>
      <c r="Q181" s="12"/>
      <c r="R181" s="1"/>
    </row>
    <row r="182" ht="12.75" hidden="1" customHeight="1" outlineLevel="1">
      <c r="A182" s="17">
        <v>41288.0</v>
      </c>
      <c r="B182" s="12">
        <v>248850.81</v>
      </c>
      <c r="C182" s="19">
        <f t="shared" si="57"/>
        <v>0.002125053927</v>
      </c>
      <c r="D182" s="19">
        <f t="shared" si="56"/>
        <v>0.05343240688</v>
      </c>
      <c r="E182" s="12"/>
      <c r="F182" s="7"/>
      <c r="G182" s="7"/>
      <c r="H182" s="1"/>
      <c r="I182" s="1"/>
      <c r="J182" s="1"/>
      <c r="K182" s="1"/>
      <c r="L182" s="12">
        <f t="shared" si="58"/>
        <v>11929.29475</v>
      </c>
      <c r="M182" s="12" t="str">
        <f t="shared" si="59"/>
        <v>#REF!</v>
      </c>
      <c r="N182" s="80" t="str">
        <f t="shared" si="60"/>
        <v>#REF!</v>
      </c>
      <c r="O182" s="1" t="str">
        <f t="shared" si="61"/>
        <v>#REF!</v>
      </c>
      <c r="Q182" s="12"/>
      <c r="R182" s="1"/>
    </row>
    <row r="183" ht="12.75" hidden="1" customHeight="1" outlineLevel="1">
      <c r="A183" s="17">
        <v>41289.0</v>
      </c>
      <c r="B183" s="12">
        <v>250923.24</v>
      </c>
      <c r="C183" s="19">
        <f t="shared" si="57"/>
        <v>0.008328001826</v>
      </c>
      <c r="D183" s="19">
        <f t="shared" si="56"/>
        <v>0.06220539389</v>
      </c>
      <c r="E183" s="12"/>
      <c r="F183" s="7"/>
      <c r="G183" s="7"/>
      <c r="H183" s="1"/>
      <c r="I183" s="1"/>
      <c r="J183" s="1" t="s">
        <v>402</v>
      </c>
      <c r="K183" s="1"/>
      <c r="L183" s="12">
        <f t="shared" si="58"/>
        <v>12028.64194</v>
      </c>
      <c r="M183" s="12" t="str">
        <f t="shared" si="59"/>
        <v>#REF!</v>
      </c>
      <c r="N183" s="80" t="str">
        <f t="shared" si="60"/>
        <v>#REF!</v>
      </c>
      <c r="O183" s="1" t="str">
        <f t="shared" si="61"/>
        <v>#REF!</v>
      </c>
      <c r="Q183" s="12"/>
      <c r="R183" s="1"/>
    </row>
    <row r="184" ht="12.75" hidden="1" customHeight="1" outlineLevel="1">
      <c r="A184" s="17">
        <v>41290.0</v>
      </c>
      <c r="B184" s="12">
        <v>249215.92</v>
      </c>
      <c r="C184" s="19">
        <f t="shared" si="57"/>
        <v>-0.006804152537</v>
      </c>
      <c r="D184" s="19">
        <f t="shared" si="56"/>
        <v>0.05497798636</v>
      </c>
      <c r="E184" s="12"/>
      <c r="F184" s="7"/>
      <c r="G184" s="7"/>
      <c r="H184" s="1"/>
      <c r="I184" s="1"/>
      <c r="J184" s="1"/>
      <c r="K184" s="1"/>
      <c r="L184" s="12">
        <f t="shared" si="58"/>
        <v>11946.79722</v>
      </c>
      <c r="M184" s="12" t="str">
        <f t="shared" si="59"/>
        <v>#REF!</v>
      </c>
      <c r="N184" s="80" t="str">
        <f t="shared" si="60"/>
        <v>#REF!</v>
      </c>
      <c r="O184" s="1" t="str">
        <f t="shared" si="61"/>
        <v>#REF!</v>
      </c>
      <c r="Q184" s="12"/>
      <c r="R184" s="1"/>
    </row>
    <row r="185" ht="12.75" hidden="1" customHeight="1" outlineLevel="1">
      <c r="A185" s="17">
        <v>41291.0</v>
      </c>
      <c r="B185" s="12">
        <v>251961.27</v>
      </c>
      <c r="C185" s="19">
        <f t="shared" si="57"/>
        <v>0.01101594954</v>
      </c>
      <c r="D185" s="19">
        <f t="shared" si="56"/>
        <v>0.06659957063</v>
      </c>
      <c r="E185" s="12"/>
      <c r="F185" s="7"/>
      <c r="G185" s="7"/>
      <c r="H185" s="1"/>
      <c r="I185" s="1"/>
      <c r="J185" s="1"/>
      <c r="K185" s="1"/>
      <c r="L185" s="12">
        <f t="shared" si="58"/>
        <v>12078.40254</v>
      </c>
      <c r="M185" s="12" t="str">
        <f t="shared" si="59"/>
        <v>#REF!</v>
      </c>
      <c r="N185" s="80" t="str">
        <f t="shared" si="60"/>
        <v>#REF!</v>
      </c>
      <c r="O185" s="1" t="str">
        <f t="shared" si="61"/>
        <v>#REF!</v>
      </c>
      <c r="Q185" s="12"/>
      <c r="R185" s="1"/>
    </row>
    <row r="186" ht="12.75" hidden="1" customHeight="1" outlineLevel="1">
      <c r="A186" s="17">
        <v>41292.0</v>
      </c>
      <c r="B186" s="12">
        <v>251987.64</v>
      </c>
      <c r="C186" s="19">
        <f t="shared" si="57"/>
        <v>0.0001046589422</v>
      </c>
      <c r="D186" s="19">
        <f t="shared" si="56"/>
        <v>0.06671119981</v>
      </c>
      <c r="E186" s="12"/>
      <c r="F186" s="7"/>
      <c r="G186" s="7"/>
      <c r="H186" s="1"/>
      <c r="I186" s="1"/>
      <c r="J186" s="1"/>
      <c r="K186" s="1"/>
      <c r="L186" s="12">
        <f t="shared" si="58"/>
        <v>12079.66665</v>
      </c>
      <c r="M186" s="12" t="str">
        <f t="shared" si="59"/>
        <v>#REF!</v>
      </c>
      <c r="N186" s="80" t="str">
        <f t="shared" si="60"/>
        <v>#REF!</v>
      </c>
      <c r="O186" s="1" t="str">
        <f t="shared" si="61"/>
        <v>#REF!</v>
      </c>
      <c r="Q186" s="12"/>
      <c r="R186" s="1"/>
    </row>
    <row r="187" ht="12.75" hidden="1" customHeight="1" outlineLevel="1">
      <c r="A187" s="17">
        <v>41296.0</v>
      </c>
      <c r="B187" s="12">
        <v>254031.17</v>
      </c>
      <c r="C187" s="19">
        <f t="shared" si="57"/>
        <v>0.00810964379</v>
      </c>
      <c r="D187" s="19">
        <f t="shared" si="56"/>
        <v>0.07536184767</v>
      </c>
      <c r="E187" s="12"/>
      <c r="F187" s="7"/>
      <c r="G187" s="7"/>
      <c r="H187" s="1"/>
      <c r="I187" s="1"/>
      <c r="J187" s="1"/>
      <c r="K187" s="1"/>
      <c r="L187" s="12">
        <f t="shared" si="58"/>
        <v>12177.62845</v>
      </c>
      <c r="M187" s="12" t="str">
        <f t="shared" si="59"/>
        <v>#REF!</v>
      </c>
      <c r="N187" s="80" t="str">
        <f t="shared" si="60"/>
        <v>#REF!</v>
      </c>
      <c r="O187" s="1" t="str">
        <f t="shared" si="61"/>
        <v>#REF!</v>
      </c>
      <c r="Q187" s="12"/>
      <c r="R187" s="1"/>
    </row>
    <row r="188" ht="12.75" hidden="1" customHeight="1" outlineLevel="1">
      <c r="A188" s="17">
        <v>41297.0</v>
      </c>
      <c r="B188" s="12">
        <v>252628.74</v>
      </c>
      <c r="C188" s="19">
        <f t="shared" si="57"/>
        <v>-0.005520700472</v>
      </c>
      <c r="D188" s="19">
        <f t="shared" si="56"/>
        <v>0.06942509701</v>
      </c>
      <c r="E188" s="12"/>
      <c r="F188" s="7"/>
      <c r="G188" s="7"/>
      <c r="H188" s="1"/>
      <c r="I188" s="1"/>
      <c r="J188" s="7"/>
      <c r="K188" s="1"/>
      <c r="L188" s="12">
        <f t="shared" si="58"/>
        <v>12110.39941</v>
      </c>
      <c r="M188" s="12" t="str">
        <f t="shared" si="59"/>
        <v>#REF!</v>
      </c>
      <c r="N188" s="80" t="str">
        <f t="shared" si="60"/>
        <v>#REF!</v>
      </c>
      <c r="O188" s="1" t="str">
        <f t="shared" si="61"/>
        <v>#REF!</v>
      </c>
      <c r="Q188" s="12"/>
      <c r="R188" s="1"/>
    </row>
    <row r="189" ht="12.75" hidden="1" customHeight="1" outlineLevel="1">
      <c r="A189" s="17">
        <v>41298.0</v>
      </c>
      <c r="B189" s="12">
        <v>249157.41</v>
      </c>
      <c r="C189" s="19">
        <f t="shared" si="57"/>
        <v>-0.01374083566</v>
      </c>
      <c r="D189" s="19">
        <f t="shared" si="56"/>
        <v>0.0547303025</v>
      </c>
      <c r="E189" s="12"/>
      <c r="F189" s="7"/>
      <c r="G189" s="7"/>
      <c r="H189" s="1"/>
      <c r="I189" s="1"/>
      <c r="J189" s="1"/>
      <c r="K189" s="1"/>
      <c r="L189" s="12">
        <f t="shared" si="58"/>
        <v>11943.9924</v>
      </c>
      <c r="M189" s="12" t="str">
        <f t="shared" si="59"/>
        <v>#REF!</v>
      </c>
      <c r="N189" s="80" t="str">
        <f t="shared" si="60"/>
        <v>#REF!</v>
      </c>
      <c r="O189" s="1" t="str">
        <f t="shared" si="61"/>
        <v>#REF!</v>
      </c>
      <c r="Q189" s="12"/>
      <c r="R189" s="1"/>
    </row>
    <row r="190" ht="12.75" hidden="1" customHeight="1" outlineLevel="1">
      <c r="A190" s="17">
        <v>41299.0</v>
      </c>
      <c r="B190" s="12">
        <v>251152.11</v>
      </c>
      <c r="C190" s="19">
        <f t="shared" si="57"/>
        <v>0.008005782369</v>
      </c>
      <c r="D190" s="19">
        <f t="shared" si="56"/>
        <v>0.06317424376</v>
      </c>
      <c r="E190" s="12"/>
      <c r="F190" s="7"/>
      <c r="G190" s="7"/>
      <c r="H190" s="1"/>
      <c r="I190" s="1"/>
      <c r="J190" s="1"/>
      <c r="K190" s="1"/>
      <c r="L190" s="12">
        <f t="shared" si="58"/>
        <v>12039.6134</v>
      </c>
      <c r="M190" s="12" t="str">
        <f t="shared" si="59"/>
        <v>#REF!</v>
      </c>
      <c r="N190" s="80" t="str">
        <f t="shared" si="60"/>
        <v>#REF!</v>
      </c>
      <c r="O190" s="1" t="str">
        <f t="shared" si="61"/>
        <v>#REF!</v>
      </c>
      <c r="Q190" s="12"/>
      <c r="R190" s="1"/>
    </row>
    <row r="191" ht="12.75" hidden="1" customHeight="1" outlineLevel="1">
      <c r="A191" s="17">
        <v>41302.0</v>
      </c>
      <c r="B191" s="12">
        <v>249331.69</v>
      </c>
      <c r="C191" s="19">
        <f t="shared" si="57"/>
        <v>-0.007248276751</v>
      </c>
      <c r="D191" s="19">
        <f t="shared" si="56"/>
        <v>0.0554680626</v>
      </c>
      <c r="E191" s="12"/>
      <c r="F191" s="7"/>
      <c r="G191" s="7"/>
      <c r="H191" s="1"/>
      <c r="I191" s="1"/>
      <c r="J191" s="1" t="s">
        <v>404</v>
      </c>
      <c r="K191" s="1"/>
      <c r="L191" s="12">
        <f t="shared" si="58"/>
        <v>11952.34695</v>
      </c>
      <c r="M191" s="12" t="str">
        <f t="shared" si="59"/>
        <v>#REF!</v>
      </c>
      <c r="N191" s="80" t="str">
        <f t="shared" si="60"/>
        <v>#REF!</v>
      </c>
      <c r="O191" s="1" t="str">
        <f t="shared" si="61"/>
        <v>#REF!</v>
      </c>
      <c r="Q191" s="12"/>
      <c r="R191" s="1"/>
    </row>
    <row r="192" ht="12.75" hidden="1" customHeight="1" outlineLevel="1">
      <c r="A192" s="17">
        <v>41303.0</v>
      </c>
      <c r="B192" s="12">
        <v>246616.3</v>
      </c>
      <c r="C192" s="19">
        <f t="shared" si="57"/>
        <v>-0.01089067338</v>
      </c>
      <c r="D192" s="19">
        <f t="shared" si="56"/>
        <v>0.04397330467</v>
      </c>
      <c r="E192" s="12"/>
      <c r="F192" s="7"/>
      <c r="G192" s="7"/>
      <c r="H192" s="1"/>
      <c r="I192" s="1"/>
      <c r="J192" s="1" t="s">
        <v>404</v>
      </c>
      <c r="K192" s="1"/>
      <c r="L192" s="12">
        <f t="shared" si="58"/>
        <v>11822.17785</v>
      </c>
      <c r="M192" s="12" t="str">
        <f t="shared" si="59"/>
        <v>#REF!</v>
      </c>
      <c r="N192" s="80" t="str">
        <f t="shared" si="60"/>
        <v>#REF!</v>
      </c>
      <c r="O192" s="1" t="str">
        <f t="shared" si="61"/>
        <v>#REF!</v>
      </c>
      <c r="Q192" s="12"/>
      <c r="R192" s="1"/>
    </row>
    <row r="193" ht="12.75" hidden="1" customHeight="1" outlineLevel="1">
      <c r="A193" s="17">
        <v>41304.0</v>
      </c>
      <c r="B193" s="12">
        <v>245163.07</v>
      </c>
      <c r="C193" s="19">
        <f t="shared" si="57"/>
        <v>-0.005892676194</v>
      </c>
      <c r="D193" s="19">
        <f t="shared" si="56"/>
        <v>0.03782150803</v>
      </c>
      <c r="E193" s="12"/>
      <c r="F193" s="7"/>
      <c r="G193" s="7"/>
      <c r="H193" s="1"/>
      <c r="I193" s="1"/>
      <c r="J193" s="1" t="s">
        <v>404</v>
      </c>
      <c r="K193" s="1" t="s">
        <v>367</v>
      </c>
      <c r="L193" s="12">
        <f t="shared" si="58"/>
        <v>11752.51358</v>
      </c>
      <c r="M193" s="12" t="str">
        <f t="shared" si="59"/>
        <v>#REF!</v>
      </c>
      <c r="N193" s="80" t="str">
        <f t="shared" si="60"/>
        <v>#REF!</v>
      </c>
      <c r="O193" s="1" t="str">
        <f t="shared" si="61"/>
        <v>#REF!</v>
      </c>
      <c r="Q193" s="12"/>
      <c r="R193" s="1"/>
    </row>
    <row r="194" ht="12.75" hidden="1" customHeight="1" outlineLevel="1">
      <c r="A194" s="17">
        <v>41305.0</v>
      </c>
      <c r="B194" s="12">
        <v>247202.83</v>
      </c>
      <c r="C194" s="19">
        <f t="shared" si="57"/>
        <v>0.008320013287</v>
      </c>
      <c r="D194" s="19">
        <f t="shared" si="56"/>
        <v>0.04645619676</v>
      </c>
      <c r="E194" s="12"/>
      <c r="F194" s="7"/>
      <c r="G194" s="7"/>
      <c r="H194" s="1"/>
      <c r="I194" s="1"/>
      <c r="J194" s="1"/>
      <c r="K194" s="19">
        <f>2634.16/2504.44-1</f>
        <v>0.05179601029</v>
      </c>
      <c r="L194" s="12">
        <f t="shared" si="58"/>
        <v>11850.29465</v>
      </c>
      <c r="M194" s="12" t="str">
        <f t="shared" si="59"/>
        <v>#REF!</v>
      </c>
      <c r="N194" s="15">
        <v>21.17601038746172</v>
      </c>
      <c r="O194" s="1" t="str">
        <f t="shared" si="61"/>
        <v>#REF!</v>
      </c>
      <c r="P194" s="21"/>
      <c r="Q194" s="19"/>
      <c r="R194" s="1"/>
    </row>
    <row r="195" ht="12.75" hidden="1" customHeight="1" outlineLevel="1">
      <c r="A195" s="17"/>
      <c r="B195" s="12"/>
      <c r="C195" s="1"/>
      <c r="D195" s="1"/>
      <c r="E195" s="12"/>
      <c r="F195" s="7"/>
      <c r="G195" s="7"/>
      <c r="H195" s="1"/>
      <c r="I195" s="1"/>
      <c r="J195" s="1"/>
      <c r="K195" s="1"/>
      <c r="L195" s="12"/>
      <c r="M195" s="12"/>
      <c r="N195" s="15"/>
      <c r="O195" s="1"/>
      <c r="Q195" s="12"/>
      <c r="R195" s="1"/>
    </row>
    <row r="196" ht="12.75" hidden="1" customHeight="1" outlineLevel="1">
      <c r="A196" s="17"/>
      <c r="B196" s="12">
        <f>B194+P196</f>
        <v>287202.83</v>
      </c>
      <c r="C196" s="19"/>
      <c r="D196" s="19">
        <f t="shared" ref="D196:D216" si="62">(B196/$B$196)-1</f>
        <v>0</v>
      </c>
      <c r="E196" s="12"/>
      <c r="F196" s="7"/>
      <c r="G196" s="7"/>
      <c r="H196" s="1"/>
      <c r="I196" s="1"/>
      <c r="J196" s="1"/>
      <c r="K196" s="1"/>
      <c r="L196" s="12"/>
      <c r="M196" s="12"/>
      <c r="N196" s="15"/>
      <c r="O196" s="1"/>
      <c r="P196" s="1">
        <v>40000.0</v>
      </c>
      <c r="Q196" s="12"/>
      <c r="R196" s="1"/>
    </row>
    <row r="197" ht="12.75" hidden="1" customHeight="1" outlineLevel="1">
      <c r="A197" s="17">
        <v>41306.0</v>
      </c>
      <c r="B197" s="12">
        <f>251518.2+P196</f>
        <v>291518.2</v>
      </c>
      <c r="C197" s="19">
        <f t="shared" ref="C197:C216" si="63">(B197/B196)-1</f>
        <v>0.0150255135</v>
      </c>
      <c r="D197" s="19">
        <f t="shared" si="62"/>
        <v>0.0150255135</v>
      </c>
      <c r="E197" s="12"/>
      <c r="F197" s="7"/>
      <c r="G197" s="7"/>
      <c r="H197" s="1"/>
      <c r="I197" s="1"/>
      <c r="J197" s="1" t="s">
        <v>406</v>
      </c>
      <c r="K197" s="1"/>
      <c r="L197" s="12">
        <f t="shared" ref="L197:L216" si="64">IF(C196="",L194*(1+C197),L196*(1+C197))</f>
        <v>12028.35141</v>
      </c>
      <c r="M197" s="12" t="str">
        <f t="shared" ref="M197:M216" si="65">IF(C196="",M194*(1+C197),IF(C198="",M196*(1+C197)*(1-(#REF!/12)),M196*(1+C197)))</f>
        <v>#REF!</v>
      </c>
      <c r="N197" s="80" t="str">
        <f t="shared" ref="N197:N215" si="66">IF(N196="",N194+(P196/M194),N196)</f>
        <v>#REF!</v>
      </c>
      <c r="O197" s="1" t="str">
        <f t="shared" ref="O197:O216" si="67">N197*M197=B197</f>
        <v>#REF!</v>
      </c>
      <c r="Q197" s="12"/>
      <c r="R197" s="1"/>
    </row>
    <row r="198" ht="12.75" hidden="1" customHeight="1" outlineLevel="1">
      <c r="A198" s="17">
        <v>41309.0</v>
      </c>
      <c r="B198" s="12">
        <f>258410.23+30000</f>
        <v>288410.23</v>
      </c>
      <c r="C198" s="19">
        <f t="shared" si="63"/>
        <v>-0.01066132406</v>
      </c>
      <c r="D198" s="19">
        <f t="shared" si="62"/>
        <v>0.004203997572</v>
      </c>
      <c r="E198" s="12"/>
      <c r="F198" s="7"/>
      <c r="G198" s="7"/>
      <c r="H198" s="1"/>
      <c r="I198" s="1"/>
      <c r="J198" s="1"/>
      <c r="K198" s="1"/>
      <c r="L198" s="12">
        <f t="shared" si="64"/>
        <v>11900.11326</v>
      </c>
      <c r="M198" s="12" t="str">
        <f t="shared" si="65"/>
        <v>#REF!</v>
      </c>
      <c r="N198" s="80" t="str">
        <f t="shared" si="66"/>
        <v>#REF!</v>
      </c>
      <c r="O198" s="1" t="str">
        <f t="shared" si="67"/>
        <v>#REF!</v>
      </c>
      <c r="Q198" s="12"/>
      <c r="R198" s="1"/>
    </row>
    <row r="199" ht="12.75" hidden="1" customHeight="1" outlineLevel="1">
      <c r="A199" s="17">
        <v>41310.0</v>
      </c>
      <c r="B199" s="12">
        <f>260494.1+30000</f>
        <v>290494.1</v>
      </c>
      <c r="C199" s="19">
        <f t="shared" si="63"/>
        <v>0.007225367838</v>
      </c>
      <c r="D199" s="19">
        <f t="shared" si="62"/>
        <v>0.01145974084</v>
      </c>
      <c r="E199" s="12"/>
      <c r="F199" s="7"/>
      <c r="G199" s="7"/>
      <c r="H199" s="1"/>
      <c r="I199" s="1"/>
      <c r="J199" s="1"/>
      <c r="K199" s="1"/>
      <c r="L199" s="12">
        <f t="shared" si="64"/>
        <v>11986.09595</v>
      </c>
      <c r="M199" s="12" t="str">
        <f t="shared" si="65"/>
        <v>#REF!</v>
      </c>
      <c r="N199" s="80" t="str">
        <f t="shared" si="66"/>
        <v>#REF!</v>
      </c>
      <c r="O199" s="1" t="str">
        <f t="shared" si="67"/>
        <v>#REF!</v>
      </c>
      <c r="Q199" s="12"/>
      <c r="R199" s="1"/>
    </row>
    <row r="200" ht="12.75" hidden="1" customHeight="1" outlineLevel="1">
      <c r="A200" s="17">
        <v>41311.0</v>
      </c>
      <c r="B200" s="12">
        <f>260572.57+30000</f>
        <v>290572.57</v>
      </c>
      <c r="C200" s="19">
        <f t="shared" si="63"/>
        <v>0.0002701259681</v>
      </c>
      <c r="D200" s="19">
        <f t="shared" si="62"/>
        <v>0.01173296238</v>
      </c>
      <c r="E200" s="12"/>
      <c r="F200" s="7"/>
      <c r="G200" s="7"/>
      <c r="H200" s="1"/>
      <c r="I200" s="1"/>
      <c r="J200" s="1"/>
      <c r="K200" s="1"/>
      <c r="L200" s="12">
        <f t="shared" si="64"/>
        <v>11989.33371</v>
      </c>
      <c r="M200" s="12" t="str">
        <f t="shared" si="65"/>
        <v>#REF!</v>
      </c>
      <c r="N200" s="80" t="str">
        <f t="shared" si="66"/>
        <v>#REF!</v>
      </c>
      <c r="O200" s="1" t="str">
        <f t="shared" si="67"/>
        <v>#REF!</v>
      </c>
      <c r="Q200" s="12"/>
      <c r="R200" s="1"/>
    </row>
    <row r="201" ht="12.75" hidden="1" customHeight="1" outlineLevel="1">
      <c r="A201" s="17">
        <v>41312.0</v>
      </c>
      <c r="B201" s="12">
        <f>262304.53+30000</f>
        <v>292304.53</v>
      </c>
      <c r="C201" s="19">
        <f t="shared" si="63"/>
        <v>0.005960507559</v>
      </c>
      <c r="D201" s="19">
        <f t="shared" si="62"/>
        <v>0.01776340435</v>
      </c>
      <c r="E201" s="12"/>
      <c r="F201" s="7"/>
      <c r="G201" s="7"/>
      <c r="H201" s="1"/>
      <c r="I201" s="1"/>
      <c r="J201" s="1"/>
      <c r="K201" s="1"/>
      <c r="L201" s="12">
        <f t="shared" si="64"/>
        <v>12060.79622</v>
      </c>
      <c r="M201" s="12" t="str">
        <f t="shared" si="65"/>
        <v>#REF!</v>
      </c>
      <c r="N201" s="80" t="str">
        <f t="shared" si="66"/>
        <v>#REF!</v>
      </c>
      <c r="O201" s="1" t="str">
        <f t="shared" si="67"/>
        <v>#REF!</v>
      </c>
      <c r="Q201" s="12"/>
      <c r="R201" s="1"/>
    </row>
    <row r="202" ht="12.75" hidden="1" customHeight="1" outlineLevel="1">
      <c r="A202" s="17">
        <v>41313.0</v>
      </c>
      <c r="B202" s="12">
        <f>274465.72+20000</f>
        <v>294465.72</v>
      </c>
      <c r="C202" s="19">
        <f t="shared" si="63"/>
        <v>0.007393624724</v>
      </c>
      <c r="D202" s="19">
        <f t="shared" si="62"/>
        <v>0.02528836502</v>
      </c>
      <c r="E202" s="12"/>
      <c r="F202" s="7"/>
      <c r="G202" s="7"/>
      <c r="H202" s="1"/>
      <c r="I202" s="1"/>
      <c r="J202" s="1" t="s">
        <v>411</v>
      </c>
      <c r="K202" s="1"/>
      <c r="L202" s="12">
        <f t="shared" si="64"/>
        <v>12149.96923</v>
      </c>
      <c r="M202" s="12" t="str">
        <f t="shared" si="65"/>
        <v>#REF!</v>
      </c>
      <c r="N202" s="80" t="str">
        <f t="shared" si="66"/>
        <v>#REF!</v>
      </c>
      <c r="O202" s="1" t="str">
        <f t="shared" si="67"/>
        <v>#REF!</v>
      </c>
      <c r="Q202" s="12"/>
      <c r="R202" s="1"/>
    </row>
    <row r="203" ht="12.75" hidden="1" customHeight="1" outlineLevel="1">
      <c r="A203" s="17">
        <v>41316.0</v>
      </c>
      <c r="B203" s="12">
        <f>273849.47+20000</f>
        <v>293849.47</v>
      </c>
      <c r="C203" s="19">
        <f t="shared" si="63"/>
        <v>-0.002092773312</v>
      </c>
      <c r="D203" s="19">
        <f t="shared" si="62"/>
        <v>0.02314266889</v>
      </c>
      <c r="E203" s="12"/>
      <c r="F203" s="7"/>
      <c r="G203" s="7"/>
      <c r="H203" s="1"/>
      <c r="I203" s="1"/>
      <c r="J203" s="1"/>
      <c r="K203" s="1"/>
      <c r="L203" s="12">
        <f t="shared" si="64"/>
        <v>12124.54209</v>
      </c>
      <c r="M203" s="12" t="str">
        <f t="shared" si="65"/>
        <v>#REF!</v>
      </c>
      <c r="N203" s="80" t="str">
        <f t="shared" si="66"/>
        <v>#REF!</v>
      </c>
      <c r="O203" s="1" t="str">
        <f t="shared" si="67"/>
        <v>#REF!</v>
      </c>
      <c r="Q203" s="12"/>
      <c r="R203" s="1"/>
    </row>
    <row r="204" ht="12.75" hidden="1" customHeight="1" outlineLevel="1">
      <c r="A204" s="17">
        <v>41317.0</v>
      </c>
      <c r="B204" s="12">
        <f>271360.09+20000</f>
        <v>291360.09</v>
      </c>
      <c r="C204" s="19">
        <f t="shared" si="63"/>
        <v>-0.008471616437</v>
      </c>
      <c r="D204" s="19">
        <f t="shared" si="62"/>
        <v>0.01447499664</v>
      </c>
      <c r="E204" s="12"/>
      <c r="F204" s="7"/>
      <c r="G204" s="7"/>
      <c r="H204" s="1"/>
      <c r="I204" s="1"/>
      <c r="J204" s="1"/>
      <c r="K204" s="1"/>
      <c r="L204" s="12">
        <f t="shared" si="64"/>
        <v>12021.82762</v>
      </c>
      <c r="M204" s="12" t="str">
        <f t="shared" si="65"/>
        <v>#REF!</v>
      </c>
      <c r="N204" s="80" t="str">
        <f t="shared" si="66"/>
        <v>#REF!</v>
      </c>
      <c r="O204" s="1" t="str">
        <f t="shared" si="67"/>
        <v>#REF!</v>
      </c>
      <c r="Q204" s="12"/>
      <c r="R204" s="1"/>
    </row>
    <row r="205" ht="12.75" hidden="1" customHeight="1" outlineLevel="1">
      <c r="A205" s="17">
        <v>41318.0</v>
      </c>
      <c r="B205" s="12">
        <f>279404.91+20000</f>
        <v>299404.91</v>
      </c>
      <c r="C205" s="19">
        <f t="shared" si="63"/>
        <v>0.02761126275</v>
      </c>
      <c r="D205" s="19">
        <f t="shared" si="62"/>
        <v>0.04248593233</v>
      </c>
      <c r="E205" s="12"/>
      <c r="F205" s="7"/>
      <c r="G205" s="7"/>
      <c r="H205" s="1"/>
      <c r="I205" s="1"/>
      <c r="J205" s="1"/>
      <c r="K205" s="1"/>
      <c r="L205" s="12">
        <f t="shared" si="64"/>
        <v>12353.76547</v>
      </c>
      <c r="M205" s="12" t="str">
        <f t="shared" si="65"/>
        <v>#REF!</v>
      </c>
      <c r="N205" s="80" t="str">
        <f t="shared" si="66"/>
        <v>#REF!</v>
      </c>
      <c r="O205" s="1" t="str">
        <f t="shared" si="67"/>
        <v>#REF!</v>
      </c>
      <c r="Q205" s="12"/>
      <c r="R205" s="1"/>
    </row>
    <row r="206" ht="12.75" hidden="1" customHeight="1" outlineLevel="1">
      <c r="A206" s="17">
        <v>41319.0</v>
      </c>
      <c r="B206" s="12">
        <v>299990.08</v>
      </c>
      <c r="C206" s="19">
        <f t="shared" si="63"/>
        <v>0.001954443566</v>
      </c>
      <c r="D206" s="19">
        <f t="shared" si="62"/>
        <v>0.04452341225</v>
      </c>
      <c r="E206" s="12"/>
      <c r="F206" s="7"/>
      <c r="G206" s="7"/>
      <c r="H206" s="1"/>
      <c r="I206" s="1"/>
      <c r="J206" s="1"/>
      <c r="K206" s="1"/>
      <c r="L206" s="12">
        <f t="shared" si="64"/>
        <v>12377.9102</v>
      </c>
      <c r="M206" s="12" t="str">
        <f t="shared" si="65"/>
        <v>#REF!</v>
      </c>
      <c r="N206" s="80" t="str">
        <f t="shared" si="66"/>
        <v>#REF!</v>
      </c>
      <c r="O206" s="1" t="str">
        <f t="shared" si="67"/>
        <v>#REF!</v>
      </c>
      <c r="Q206" s="12"/>
      <c r="R206" s="1"/>
    </row>
    <row r="207" ht="12.75" hidden="1" customHeight="1" outlineLevel="1">
      <c r="A207" s="17">
        <v>41320.0</v>
      </c>
      <c r="B207" s="12">
        <v>297979.71</v>
      </c>
      <c r="C207" s="19">
        <f t="shared" si="63"/>
        <v>-0.006701454928</v>
      </c>
      <c r="D207" s="19">
        <f t="shared" si="62"/>
        <v>0.03752358568</v>
      </c>
      <c r="E207" s="12"/>
      <c r="F207" s="7"/>
      <c r="G207" s="7"/>
      <c r="H207" s="1"/>
      <c r="I207" s="1"/>
      <c r="J207" s="1"/>
      <c r="K207" s="1"/>
      <c r="L207" s="12">
        <f t="shared" si="64"/>
        <v>12294.9602</v>
      </c>
      <c r="M207" s="12" t="str">
        <f t="shared" si="65"/>
        <v>#REF!</v>
      </c>
      <c r="N207" s="80" t="str">
        <f t="shared" si="66"/>
        <v>#REF!</v>
      </c>
      <c r="O207" s="1" t="str">
        <f t="shared" si="67"/>
        <v>#REF!</v>
      </c>
      <c r="Q207" s="12"/>
      <c r="R207" s="1"/>
    </row>
    <row r="208" ht="12.75" hidden="1" customHeight="1" outlineLevel="1">
      <c r="A208" s="17">
        <v>41323.0</v>
      </c>
      <c r="B208" s="12">
        <f>B207</f>
        <v>297979.71</v>
      </c>
      <c r="C208" s="19">
        <f t="shared" si="63"/>
        <v>0</v>
      </c>
      <c r="D208" s="19">
        <f t="shared" si="62"/>
        <v>0.03752358568</v>
      </c>
      <c r="E208" s="12"/>
      <c r="F208" s="7"/>
      <c r="G208" s="7"/>
      <c r="H208" s="1"/>
      <c r="I208" s="1"/>
      <c r="J208" s="1"/>
      <c r="K208" s="1"/>
      <c r="L208" s="12">
        <f t="shared" si="64"/>
        <v>12294.9602</v>
      </c>
      <c r="M208" s="12" t="str">
        <f t="shared" si="65"/>
        <v>#REF!</v>
      </c>
      <c r="N208" s="80" t="str">
        <f t="shared" si="66"/>
        <v>#REF!</v>
      </c>
      <c r="O208" s="1" t="str">
        <f t="shared" si="67"/>
        <v>#REF!</v>
      </c>
      <c r="Q208" s="12"/>
      <c r="R208" s="1"/>
    </row>
    <row r="209" ht="12.75" hidden="1" customHeight="1" outlineLevel="1">
      <c r="A209" s="17">
        <v>41324.0</v>
      </c>
      <c r="B209" s="12">
        <v>300559.1</v>
      </c>
      <c r="C209" s="19">
        <f t="shared" si="63"/>
        <v>0.008656260522</v>
      </c>
      <c r="D209" s="19">
        <f t="shared" si="62"/>
        <v>0.04650466014</v>
      </c>
      <c r="E209" s="12"/>
      <c r="F209" s="7"/>
      <c r="G209" s="7"/>
      <c r="H209" s="1"/>
      <c r="I209" s="1"/>
      <c r="J209" s="1"/>
      <c r="K209" s="1"/>
      <c r="L209" s="12">
        <f t="shared" si="64"/>
        <v>12401.38857</v>
      </c>
      <c r="M209" s="12" t="str">
        <f t="shared" si="65"/>
        <v>#REF!</v>
      </c>
      <c r="N209" s="80" t="str">
        <f t="shared" si="66"/>
        <v>#REF!</v>
      </c>
      <c r="O209" s="1" t="str">
        <f t="shared" si="67"/>
        <v>#REF!</v>
      </c>
      <c r="Q209" s="12"/>
      <c r="R209" s="1"/>
    </row>
    <row r="210" ht="12.75" hidden="1" customHeight="1" outlineLevel="1">
      <c r="A210" s="17">
        <v>41325.0</v>
      </c>
      <c r="B210" s="12">
        <v>291288.07</v>
      </c>
      <c r="C210" s="19">
        <f t="shared" si="63"/>
        <v>-0.03084594677</v>
      </c>
      <c r="D210" s="19">
        <f t="shared" si="62"/>
        <v>0.0142242331</v>
      </c>
      <c r="E210" s="12"/>
      <c r="F210" s="7"/>
      <c r="G210" s="7"/>
      <c r="H210" s="1"/>
      <c r="I210" s="1"/>
      <c r="J210" s="1"/>
      <c r="K210" s="1"/>
      <c r="L210" s="12">
        <f t="shared" si="64"/>
        <v>12018.856</v>
      </c>
      <c r="M210" s="12" t="str">
        <f t="shared" si="65"/>
        <v>#REF!</v>
      </c>
      <c r="N210" s="80" t="str">
        <f t="shared" si="66"/>
        <v>#REF!</v>
      </c>
      <c r="O210" s="1" t="str">
        <f t="shared" si="67"/>
        <v>#REF!</v>
      </c>
      <c r="Q210" s="12"/>
      <c r="R210" s="1"/>
    </row>
    <row r="211" ht="12.75" hidden="1" customHeight="1" outlineLevel="1">
      <c r="A211" s="17">
        <v>41326.0</v>
      </c>
      <c r="B211" s="12">
        <v>284919.04</v>
      </c>
      <c r="C211" s="19">
        <f t="shared" si="63"/>
        <v>-0.02186505613</v>
      </c>
      <c r="D211" s="19">
        <f t="shared" si="62"/>
        <v>-0.007951836686</v>
      </c>
      <c r="E211" s="12"/>
      <c r="F211" s="7"/>
      <c r="G211" s="7"/>
      <c r="H211" s="1"/>
      <c r="I211" s="1"/>
      <c r="J211" s="1"/>
      <c r="K211" s="1"/>
      <c r="L211" s="12">
        <f t="shared" si="64"/>
        <v>11756.06304</v>
      </c>
      <c r="M211" s="12" t="str">
        <f t="shared" si="65"/>
        <v>#REF!</v>
      </c>
      <c r="N211" s="80" t="str">
        <f t="shared" si="66"/>
        <v>#REF!</v>
      </c>
      <c r="O211" s="1" t="str">
        <f t="shared" si="67"/>
        <v>#REF!</v>
      </c>
      <c r="Q211" s="12"/>
      <c r="R211" s="1"/>
    </row>
    <row r="212" ht="12.75" hidden="1" customHeight="1" outlineLevel="1">
      <c r="A212" s="17">
        <v>41327.0</v>
      </c>
      <c r="B212" s="12">
        <v>289765.21</v>
      </c>
      <c r="C212" s="19">
        <f t="shared" si="63"/>
        <v>0.01700893699</v>
      </c>
      <c r="D212" s="19">
        <f t="shared" si="62"/>
        <v>0.008921848019</v>
      </c>
      <c r="E212" s="12"/>
      <c r="F212" s="7"/>
      <c r="G212" s="7"/>
      <c r="H212" s="1"/>
      <c r="I212" s="1"/>
      <c r="J212" s="1"/>
      <c r="K212" s="1"/>
      <c r="L212" s="12">
        <f t="shared" si="64"/>
        <v>11956.02118</v>
      </c>
      <c r="M212" s="12" t="str">
        <f t="shared" si="65"/>
        <v>#REF!</v>
      </c>
      <c r="N212" s="80" t="str">
        <f t="shared" si="66"/>
        <v>#REF!</v>
      </c>
      <c r="O212" s="1" t="str">
        <f t="shared" si="67"/>
        <v>#REF!</v>
      </c>
      <c r="Q212" s="12"/>
      <c r="R212" s="1"/>
    </row>
    <row r="213" ht="12.75" hidden="1" customHeight="1" outlineLevel="1">
      <c r="A213" s="17">
        <v>41330.0</v>
      </c>
      <c r="B213" s="12">
        <v>284711.43</v>
      </c>
      <c r="C213" s="19">
        <f t="shared" si="63"/>
        <v>-0.01744094814</v>
      </c>
      <c r="D213" s="19">
        <f t="shared" si="62"/>
        <v>-0.008674705608</v>
      </c>
      <c r="E213" s="12"/>
      <c r="F213" s="7"/>
      <c r="G213" s="7"/>
      <c r="H213" s="1"/>
      <c r="I213" s="1"/>
      <c r="J213" s="1"/>
      <c r="K213" s="1"/>
      <c r="L213" s="12">
        <f t="shared" si="64"/>
        <v>11747.49683</v>
      </c>
      <c r="M213" s="12" t="str">
        <f t="shared" si="65"/>
        <v>#REF!</v>
      </c>
      <c r="N213" s="80" t="str">
        <f t="shared" si="66"/>
        <v>#REF!</v>
      </c>
      <c r="O213" s="1" t="str">
        <f t="shared" si="67"/>
        <v>#REF!</v>
      </c>
      <c r="Q213" s="12"/>
      <c r="R213" s="1"/>
    </row>
    <row r="214" ht="12.75" hidden="1" customHeight="1" outlineLevel="1">
      <c r="A214" s="17">
        <v>41331.0</v>
      </c>
      <c r="B214" s="12">
        <v>284791.76</v>
      </c>
      <c r="C214" s="19">
        <f t="shared" si="63"/>
        <v>0.0002821453287</v>
      </c>
      <c r="D214" s="19">
        <f t="shared" si="62"/>
        <v>-0.008395007807</v>
      </c>
      <c r="E214" s="12"/>
      <c r="F214" s="7"/>
      <c r="G214" s="7"/>
      <c r="H214" s="1"/>
      <c r="I214" s="1"/>
      <c r="J214" s="1"/>
      <c r="K214" s="1"/>
      <c r="L214" s="12">
        <f t="shared" si="64"/>
        <v>11750.81133</v>
      </c>
      <c r="M214" s="12" t="str">
        <f t="shared" si="65"/>
        <v>#REF!</v>
      </c>
      <c r="N214" s="80" t="str">
        <f t="shared" si="66"/>
        <v>#REF!</v>
      </c>
      <c r="O214" s="1" t="str">
        <f t="shared" si="67"/>
        <v>#REF!</v>
      </c>
      <c r="Q214" s="12"/>
      <c r="R214" s="1"/>
    </row>
    <row r="215" ht="12.75" hidden="1" customHeight="1" outlineLevel="1">
      <c r="A215" s="17">
        <v>41332.0</v>
      </c>
      <c r="B215" s="12">
        <v>287973.13</v>
      </c>
      <c r="C215" s="19">
        <f t="shared" si="63"/>
        <v>0.01117086393</v>
      </c>
      <c r="D215" s="19">
        <f t="shared" si="62"/>
        <v>0.002682076636</v>
      </c>
      <c r="E215" s="12"/>
      <c r="F215" s="7"/>
      <c r="G215" s="7"/>
      <c r="H215" s="1"/>
      <c r="I215" s="1"/>
      <c r="J215" s="1"/>
      <c r="K215" s="1" t="s">
        <v>367</v>
      </c>
      <c r="L215" s="12">
        <f t="shared" si="64"/>
        <v>11882.07805</v>
      </c>
      <c r="M215" s="12" t="str">
        <f t="shared" si="65"/>
        <v>#REF!</v>
      </c>
      <c r="N215" s="80" t="str">
        <f t="shared" si="66"/>
        <v>#REF!</v>
      </c>
      <c r="O215" s="1" t="str">
        <f t="shared" si="67"/>
        <v>#REF!</v>
      </c>
      <c r="Q215" s="12"/>
      <c r="R215" s="1"/>
    </row>
    <row r="216" ht="12.75" hidden="1" customHeight="1" outlineLevel="1">
      <c r="A216" s="17">
        <v>41333.0</v>
      </c>
      <c r="B216" s="12">
        <v>292230.72</v>
      </c>
      <c r="C216" s="19">
        <f t="shared" si="63"/>
        <v>0.014784678</v>
      </c>
      <c r="D216" s="19">
        <f t="shared" si="62"/>
        <v>0.01750640828</v>
      </c>
      <c r="E216" s="12"/>
      <c r="F216" s="7"/>
      <c r="G216" s="7"/>
      <c r="H216" s="1"/>
      <c r="I216" s="1"/>
      <c r="J216" s="1"/>
      <c r="K216" s="19">
        <f>2669.92/2634.16-1</f>
        <v>0.01357548516</v>
      </c>
      <c r="L216" s="12">
        <f t="shared" si="64"/>
        <v>12057.75075</v>
      </c>
      <c r="M216" s="12" t="str">
        <f t="shared" si="65"/>
        <v>#REF!</v>
      </c>
      <c r="N216" s="15"/>
      <c r="O216" s="1" t="str">
        <f t="shared" si="67"/>
        <v>#REF!</v>
      </c>
      <c r="Q216" s="12"/>
      <c r="R216" s="1"/>
    </row>
    <row r="217" ht="12.75" hidden="1" customHeight="1" outlineLevel="1">
      <c r="A217" s="17"/>
      <c r="B217" s="12"/>
      <c r="C217" s="1"/>
      <c r="D217" s="1"/>
      <c r="E217" s="12"/>
      <c r="F217" s="7"/>
      <c r="G217" s="7"/>
      <c r="H217" s="1"/>
      <c r="I217" s="1"/>
      <c r="J217" s="1"/>
      <c r="K217" s="1"/>
      <c r="L217" s="12"/>
      <c r="M217" s="12"/>
      <c r="N217" s="15"/>
      <c r="O217" s="1"/>
      <c r="Q217" s="12"/>
      <c r="R217" s="1"/>
    </row>
    <row r="218" ht="12.75" hidden="1" customHeight="1" outlineLevel="1">
      <c r="A218" s="17"/>
      <c r="B218" s="12">
        <f>B216+P218</f>
        <v>312230.72</v>
      </c>
      <c r="C218" s="19"/>
      <c r="D218" s="19">
        <f t="shared" ref="D218:D239" si="68">(B218/$B$218)-1</f>
        <v>0</v>
      </c>
      <c r="E218" s="12"/>
      <c r="F218" s="7"/>
      <c r="G218" s="7"/>
      <c r="H218" s="1"/>
      <c r="I218" s="1"/>
      <c r="J218" s="1"/>
      <c r="K218" s="1"/>
      <c r="L218" s="12"/>
      <c r="M218" s="12"/>
      <c r="N218" s="15"/>
      <c r="O218" s="1"/>
      <c r="P218" s="1">
        <v>20000.0</v>
      </c>
      <c r="Q218" s="12"/>
      <c r="R218" s="1"/>
    </row>
    <row r="219" ht="12.75" hidden="1" customHeight="1" outlineLevel="1">
      <c r="A219" s="17">
        <v>41334.0</v>
      </c>
      <c r="B219" s="12">
        <f>294420.27+P218</f>
        <v>314420.27</v>
      </c>
      <c r="C219" s="19">
        <f t="shared" ref="C219:C239" si="69">(B219/B218)-1</f>
        <v>0.007012602732</v>
      </c>
      <c r="D219" s="19">
        <f t="shared" si="68"/>
        <v>0.007012602732</v>
      </c>
      <c r="E219" s="12"/>
      <c r="F219" s="7"/>
      <c r="G219" s="7"/>
      <c r="H219" s="1"/>
      <c r="I219" s="1"/>
      <c r="J219" s="1"/>
      <c r="K219" s="1"/>
      <c r="L219" s="12">
        <f t="shared" ref="L219:L239" si="70">IF(C218="",L216*(1+C219),L218*(1+C219))</f>
        <v>12142.30696</v>
      </c>
      <c r="M219" s="12" t="str">
        <f t="shared" ref="M219:M239" si="71">IF(C218="",M216*(1+C219),IF(C220="",M218*(1+C219)*(1-(#REF!/12)),M218*(1+C219)))</f>
        <v>#REF!</v>
      </c>
      <c r="N219" s="80" t="str">
        <f t="shared" ref="N219:N239" si="72">IF(N218="",N216+(P218/M216),N218)</f>
        <v>#REF!</v>
      </c>
      <c r="O219" s="1" t="str">
        <f t="shared" ref="O219:O239" si="73">N219*M219=B219</f>
        <v>#REF!</v>
      </c>
      <c r="Q219" s="12"/>
      <c r="R219" s="1"/>
    </row>
    <row r="220" ht="12.75" hidden="1" customHeight="1" outlineLevel="1">
      <c r="A220" s="17">
        <v>41337.0</v>
      </c>
      <c r="B220" s="12">
        <f>299950.01+P218</f>
        <v>319950.01</v>
      </c>
      <c r="C220" s="19">
        <f t="shared" si="69"/>
        <v>0.01758709768</v>
      </c>
      <c r="D220" s="19">
        <f t="shared" si="68"/>
        <v>0.02472303174</v>
      </c>
      <c r="E220" s="12"/>
      <c r="F220" s="7"/>
      <c r="G220" s="7"/>
      <c r="H220" s="1"/>
      <c r="I220" s="1"/>
      <c r="J220" s="1"/>
      <c r="K220" s="1"/>
      <c r="L220" s="12">
        <f t="shared" si="70"/>
        <v>12355.8549</v>
      </c>
      <c r="M220" s="12" t="str">
        <f t="shared" si="71"/>
        <v>#REF!</v>
      </c>
      <c r="N220" s="80" t="str">
        <f t="shared" si="72"/>
        <v>#REF!</v>
      </c>
      <c r="O220" s="1" t="str">
        <f t="shared" si="73"/>
        <v>#REF!</v>
      </c>
      <c r="Q220" s="12"/>
      <c r="R220" s="1"/>
    </row>
    <row r="221" ht="12.75" hidden="1" customHeight="1" outlineLevel="1">
      <c r="A221" s="17">
        <v>41338.0</v>
      </c>
      <c r="B221" s="12">
        <f>302461.75+P218</f>
        <v>322461.75</v>
      </c>
      <c r="C221" s="19">
        <f t="shared" si="69"/>
        <v>0.007850413882</v>
      </c>
      <c r="D221" s="19">
        <f t="shared" si="68"/>
        <v>0.03276753165</v>
      </c>
      <c r="E221" s="12"/>
      <c r="F221" s="7"/>
      <c r="G221" s="7"/>
      <c r="H221" s="1"/>
      <c r="I221" s="1"/>
      <c r="J221" s="1"/>
      <c r="K221" s="1"/>
      <c r="L221" s="12">
        <f t="shared" si="70"/>
        <v>12452.85347</v>
      </c>
      <c r="M221" s="12" t="str">
        <f t="shared" si="71"/>
        <v>#REF!</v>
      </c>
      <c r="N221" s="80" t="str">
        <f t="shared" si="72"/>
        <v>#REF!</v>
      </c>
      <c r="O221" s="1" t="str">
        <f t="shared" si="73"/>
        <v>#REF!</v>
      </c>
      <c r="Q221" s="12"/>
      <c r="R221" s="1"/>
    </row>
    <row r="222" ht="12.75" hidden="1" customHeight="1" outlineLevel="1">
      <c r="A222" s="17">
        <v>41339.0</v>
      </c>
      <c r="B222" s="12">
        <f>298446.75+$P$218</f>
        <v>318446.75</v>
      </c>
      <c r="C222" s="19">
        <f t="shared" si="69"/>
        <v>-0.01245108916</v>
      </c>
      <c r="D222" s="19">
        <f t="shared" si="68"/>
        <v>0.01990845103</v>
      </c>
      <c r="E222" s="12"/>
      <c r="F222" s="7"/>
      <c r="G222" s="7"/>
      <c r="H222" s="1"/>
      <c r="I222" s="1"/>
      <c r="J222" s="1"/>
      <c r="K222" s="1"/>
      <c r="L222" s="12">
        <f t="shared" si="70"/>
        <v>12297.80189</v>
      </c>
      <c r="M222" s="12" t="str">
        <f t="shared" si="71"/>
        <v>#REF!</v>
      </c>
      <c r="N222" s="80" t="str">
        <f t="shared" si="72"/>
        <v>#REF!</v>
      </c>
      <c r="O222" s="1" t="str">
        <f t="shared" si="73"/>
        <v>#REF!</v>
      </c>
      <c r="Q222" s="12"/>
      <c r="R222" s="1"/>
    </row>
    <row r="223" ht="12.75" hidden="1" customHeight="1" outlineLevel="1">
      <c r="A223" s="17">
        <v>41340.0</v>
      </c>
      <c r="B223" s="12">
        <f>316753.13</f>
        <v>316753.13</v>
      </c>
      <c r="C223" s="19">
        <f t="shared" si="69"/>
        <v>-0.005318377405</v>
      </c>
      <c r="D223" s="19">
        <f t="shared" si="68"/>
        <v>0.01448419297</v>
      </c>
      <c r="E223" s="12"/>
      <c r="F223" s="7"/>
      <c r="G223" s="7"/>
      <c r="H223" s="1"/>
      <c r="I223" s="1"/>
      <c r="J223" s="1" t="s">
        <v>420</v>
      </c>
      <c r="K223" s="1"/>
      <c r="L223" s="12">
        <f t="shared" si="70"/>
        <v>12232.39753</v>
      </c>
      <c r="M223" s="12" t="str">
        <f t="shared" si="71"/>
        <v>#REF!</v>
      </c>
      <c r="N223" s="80" t="str">
        <f t="shared" si="72"/>
        <v>#REF!</v>
      </c>
      <c r="O223" s="1" t="str">
        <f t="shared" si="73"/>
        <v>#REF!</v>
      </c>
      <c r="Q223" s="12"/>
      <c r="R223" s="1"/>
    </row>
    <row r="224" ht="12.75" hidden="1" customHeight="1" outlineLevel="1">
      <c r="A224" s="17">
        <v>41341.0</v>
      </c>
      <c r="B224" s="12">
        <f>309386.39+10000</f>
        <v>319386.39</v>
      </c>
      <c r="C224" s="19">
        <f t="shared" si="69"/>
        <v>0.008313288017</v>
      </c>
      <c r="D224" s="19">
        <f t="shared" si="68"/>
        <v>0.02291789226</v>
      </c>
      <c r="E224" s="12"/>
      <c r="F224" s="7"/>
      <c r="G224" s="7"/>
      <c r="H224" s="1"/>
      <c r="I224" s="1"/>
      <c r="J224" s="1"/>
      <c r="K224" s="1"/>
      <c r="L224" s="12">
        <f t="shared" si="70"/>
        <v>12334.08898</v>
      </c>
      <c r="M224" s="12" t="str">
        <f t="shared" si="71"/>
        <v>#REF!</v>
      </c>
      <c r="N224" s="80" t="str">
        <f t="shared" si="72"/>
        <v>#REF!</v>
      </c>
      <c r="O224" s="1" t="str">
        <f t="shared" si="73"/>
        <v>#REF!</v>
      </c>
      <c r="Q224" s="12"/>
      <c r="R224" s="1"/>
    </row>
    <row r="225" ht="12.75" hidden="1" customHeight="1" outlineLevel="1">
      <c r="A225" s="17">
        <v>41344.0</v>
      </c>
      <c r="B225" s="12">
        <f>310755.72+10000</f>
        <v>320755.72</v>
      </c>
      <c r="C225" s="19">
        <f t="shared" si="69"/>
        <v>0.00428737743</v>
      </c>
      <c r="D225" s="19">
        <f t="shared" si="68"/>
        <v>0.02730352734</v>
      </c>
      <c r="E225" s="12"/>
      <c r="F225" s="7"/>
      <c r="G225" s="7"/>
      <c r="H225" s="1"/>
      <c r="I225" s="1"/>
      <c r="J225" s="1"/>
      <c r="K225" s="1"/>
      <c r="L225" s="12">
        <f t="shared" si="70"/>
        <v>12386.96987</v>
      </c>
      <c r="M225" s="12" t="str">
        <f t="shared" si="71"/>
        <v>#REF!</v>
      </c>
      <c r="N225" s="80" t="str">
        <f t="shared" si="72"/>
        <v>#REF!</v>
      </c>
      <c r="O225" s="1" t="str">
        <f t="shared" si="73"/>
        <v>#REF!</v>
      </c>
      <c r="Q225" s="12"/>
      <c r="R225" s="1"/>
    </row>
    <row r="226" ht="12.75" hidden="1" customHeight="1" outlineLevel="1">
      <c r="A226" s="17">
        <v>41345.0</v>
      </c>
      <c r="B226" s="12">
        <f>311343.26+10000</f>
        <v>321343.26</v>
      </c>
      <c r="C226" s="19">
        <f t="shared" si="69"/>
        <v>0.001831736625</v>
      </c>
      <c r="D226" s="19">
        <f t="shared" si="68"/>
        <v>0.02918527684</v>
      </c>
      <c r="E226" s="12"/>
      <c r="F226" s="7"/>
      <c r="G226" s="7"/>
      <c r="H226" s="1"/>
      <c r="I226" s="1"/>
      <c r="J226" s="1"/>
      <c r="K226" s="1"/>
      <c r="L226" s="12">
        <f t="shared" si="70"/>
        <v>12409.65954</v>
      </c>
      <c r="M226" s="12" t="str">
        <f t="shared" si="71"/>
        <v>#REF!</v>
      </c>
      <c r="N226" s="80" t="str">
        <f t="shared" si="72"/>
        <v>#REF!</v>
      </c>
      <c r="O226" s="1" t="str">
        <f t="shared" si="73"/>
        <v>#REF!</v>
      </c>
      <c r="Q226" s="12"/>
      <c r="R226" s="1"/>
    </row>
    <row r="227" ht="12.75" hidden="1" customHeight="1" outlineLevel="1">
      <c r="A227" s="17">
        <v>41346.0</v>
      </c>
      <c r="B227" s="12">
        <f>313867.9+10000</f>
        <v>323867.9</v>
      </c>
      <c r="C227" s="19">
        <f t="shared" si="69"/>
        <v>0.007856520781</v>
      </c>
      <c r="D227" s="19">
        <f t="shared" si="68"/>
        <v>0.03727109235</v>
      </c>
      <c r="E227" s="12"/>
      <c r="F227" s="7"/>
      <c r="G227" s="7"/>
      <c r="H227" s="1"/>
      <c r="I227" s="1"/>
      <c r="J227" s="1"/>
      <c r="K227" s="1"/>
      <c r="L227" s="12">
        <f t="shared" si="70"/>
        <v>12507.15629</v>
      </c>
      <c r="M227" s="12" t="str">
        <f t="shared" si="71"/>
        <v>#REF!</v>
      </c>
      <c r="N227" s="80" t="str">
        <f t="shared" si="72"/>
        <v>#REF!</v>
      </c>
      <c r="O227" s="1" t="str">
        <f t="shared" si="73"/>
        <v>#REF!</v>
      </c>
      <c r="Q227" s="12"/>
      <c r="R227" s="1"/>
    </row>
    <row r="228" ht="12.75" hidden="1" customHeight="1" outlineLevel="1">
      <c r="A228" s="17">
        <v>41347.0</v>
      </c>
      <c r="B228" s="12">
        <f>320499.55+10000</f>
        <v>330499.55</v>
      </c>
      <c r="C228" s="19">
        <f t="shared" si="69"/>
        <v>0.02047640411</v>
      </c>
      <c r="D228" s="19">
        <f t="shared" si="68"/>
        <v>0.05851067441</v>
      </c>
      <c r="E228" s="12"/>
      <c r="F228" s="7"/>
      <c r="G228" s="7"/>
      <c r="H228" s="1"/>
      <c r="I228" s="1"/>
      <c r="J228" s="1"/>
      <c r="K228" s="1"/>
      <c r="L228" s="12">
        <f t="shared" si="70"/>
        <v>12763.25787</v>
      </c>
      <c r="M228" s="12" t="str">
        <f t="shared" si="71"/>
        <v>#REF!</v>
      </c>
      <c r="N228" s="80" t="str">
        <f t="shared" si="72"/>
        <v>#REF!</v>
      </c>
      <c r="O228" s="1" t="str">
        <f t="shared" si="73"/>
        <v>#REF!</v>
      </c>
      <c r="Q228" s="12"/>
      <c r="R228" s="1"/>
    </row>
    <row r="229" ht="12.75" hidden="1" customHeight="1" outlineLevel="1">
      <c r="A229" s="17">
        <v>41348.0</v>
      </c>
      <c r="B229" s="12">
        <v>331764.33</v>
      </c>
      <c r="C229" s="19">
        <f t="shared" si="69"/>
        <v>0.003826873592</v>
      </c>
      <c r="D229" s="19">
        <f t="shared" si="68"/>
        <v>0.06256146096</v>
      </c>
      <c r="E229" s="12"/>
      <c r="F229" s="7"/>
      <c r="G229" s="7"/>
      <c r="H229" s="1"/>
      <c r="I229" s="1"/>
      <c r="J229" s="1"/>
      <c r="K229" s="1"/>
      <c r="L229" s="12">
        <f t="shared" si="70"/>
        <v>12812.10125</v>
      </c>
      <c r="M229" s="12" t="str">
        <f t="shared" si="71"/>
        <v>#REF!</v>
      </c>
      <c r="N229" s="80" t="str">
        <f t="shared" si="72"/>
        <v>#REF!</v>
      </c>
      <c r="O229" s="1" t="str">
        <f t="shared" si="73"/>
        <v>#REF!</v>
      </c>
      <c r="Q229" s="12"/>
      <c r="R229" s="1"/>
    </row>
    <row r="230" ht="12.75" hidden="1" customHeight="1" outlineLevel="1">
      <c r="A230" s="17">
        <v>41351.0</v>
      </c>
      <c r="B230" s="12">
        <v>330206.49</v>
      </c>
      <c r="C230" s="19">
        <f t="shared" si="69"/>
        <v>-0.004695622341</v>
      </c>
      <c r="D230" s="19">
        <f t="shared" si="68"/>
        <v>0.05757207363</v>
      </c>
      <c r="E230" s="12"/>
      <c r="F230" s="7"/>
      <c r="G230" s="7"/>
      <c r="H230" s="1"/>
      <c r="I230" s="1"/>
      <c r="J230" s="1"/>
      <c r="K230" s="1"/>
      <c r="L230" s="12">
        <f t="shared" si="70"/>
        <v>12751.94046</v>
      </c>
      <c r="M230" s="12" t="str">
        <f t="shared" si="71"/>
        <v>#REF!</v>
      </c>
      <c r="N230" s="80" t="str">
        <f t="shared" si="72"/>
        <v>#REF!</v>
      </c>
      <c r="O230" s="1" t="str">
        <f t="shared" si="73"/>
        <v>#REF!</v>
      </c>
      <c r="Q230" s="12"/>
      <c r="R230" s="1"/>
    </row>
    <row r="231" ht="12.75" hidden="1" customHeight="1" outlineLevel="1">
      <c r="A231" s="17">
        <v>41352.0</v>
      </c>
      <c r="B231" s="12">
        <v>325532.44</v>
      </c>
      <c r="C231" s="19">
        <f t="shared" si="69"/>
        <v>-0.01415493075</v>
      </c>
      <c r="D231" s="19">
        <f t="shared" si="68"/>
        <v>0.04260221416</v>
      </c>
      <c r="E231" s="12"/>
      <c r="F231" s="7"/>
      <c r="G231" s="7"/>
      <c r="H231" s="1"/>
      <c r="I231" s="1"/>
      <c r="J231" s="1"/>
      <c r="K231" s="1"/>
      <c r="L231" s="12">
        <f t="shared" si="70"/>
        <v>12571.43763</v>
      </c>
      <c r="M231" s="12" t="str">
        <f t="shared" si="71"/>
        <v>#REF!</v>
      </c>
      <c r="N231" s="80" t="str">
        <f t="shared" si="72"/>
        <v>#REF!</v>
      </c>
      <c r="O231" s="1" t="str">
        <f t="shared" si="73"/>
        <v>#REF!</v>
      </c>
      <c r="Q231" s="12"/>
      <c r="R231" s="1"/>
    </row>
    <row r="232" ht="12.75" hidden="1" customHeight="1" outlineLevel="1">
      <c r="A232" s="17">
        <v>41353.0</v>
      </c>
      <c r="B232" s="12">
        <v>326676.71</v>
      </c>
      <c r="C232" s="19">
        <f t="shared" si="69"/>
        <v>0.003515072108</v>
      </c>
      <c r="D232" s="19">
        <f t="shared" si="68"/>
        <v>0.04626703612</v>
      </c>
      <c r="E232" s="12"/>
      <c r="F232" s="7"/>
      <c r="G232" s="7"/>
      <c r="H232" s="1"/>
      <c r="I232" s="1"/>
      <c r="J232" s="1"/>
      <c r="K232" s="1"/>
      <c r="L232" s="12">
        <f t="shared" si="70"/>
        <v>12615.62713</v>
      </c>
      <c r="M232" s="12" t="str">
        <f t="shared" si="71"/>
        <v>#REF!</v>
      </c>
      <c r="N232" s="80" t="str">
        <f t="shared" si="72"/>
        <v>#REF!</v>
      </c>
      <c r="O232" s="1" t="str">
        <f t="shared" si="73"/>
        <v>#REF!</v>
      </c>
      <c r="Q232" s="12"/>
      <c r="R232" s="1"/>
    </row>
    <row r="233" ht="12.75" hidden="1" customHeight="1" outlineLevel="1">
      <c r="A233" s="17">
        <v>41354.0</v>
      </c>
      <c r="B233" s="12">
        <v>325461.2</v>
      </c>
      <c r="C233" s="19">
        <f t="shared" si="69"/>
        <v>-0.003720834583</v>
      </c>
      <c r="D233" s="19">
        <f t="shared" si="68"/>
        <v>0.04237404955</v>
      </c>
      <c r="E233" s="12"/>
      <c r="F233" s="7"/>
      <c r="G233" s="7"/>
      <c r="H233" s="1"/>
      <c r="I233" s="1"/>
      <c r="J233" s="1"/>
      <c r="K233" s="1"/>
      <c r="L233" s="12">
        <f t="shared" si="70"/>
        <v>12568.68647</v>
      </c>
      <c r="M233" s="12" t="str">
        <f t="shared" si="71"/>
        <v>#REF!</v>
      </c>
      <c r="N233" s="80" t="str">
        <f t="shared" si="72"/>
        <v>#REF!</v>
      </c>
      <c r="O233" s="1" t="str">
        <f t="shared" si="73"/>
        <v>#REF!</v>
      </c>
      <c r="Q233" s="12"/>
      <c r="R233" s="1"/>
    </row>
    <row r="234" ht="12.75" hidden="1" customHeight="1" outlineLevel="1">
      <c r="A234" s="17">
        <v>41355.0</v>
      </c>
      <c r="B234" s="12">
        <v>322862.01</v>
      </c>
      <c r="C234" s="19">
        <f t="shared" si="69"/>
        <v>-0.007986174696</v>
      </c>
      <c r="D234" s="19">
        <f t="shared" si="68"/>
        <v>0.03404946829</v>
      </c>
      <c r="E234" s="12"/>
      <c r="F234" s="7"/>
      <c r="G234" s="7"/>
      <c r="H234" s="1"/>
      <c r="I234" s="1"/>
      <c r="J234" s="1"/>
      <c r="K234" s="1"/>
      <c r="L234" s="12">
        <f t="shared" si="70"/>
        <v>12468.31075</v>
      </c>
      <c r="M234" s="12" t="str">
        <f t="shared" si="71"/>
        <v>#REF!</v>
      </c>
      <c r="N234" s="80" t="str">
        <f t="shared" si="72"/>
        <v>#REF!</v>
      </c>
      <c r="O234" s="1" t="str">
        <f t="shared" si="73"/>
        <v>#REF!</v>
      </c>
      <c r="Q234" s="12"/>
      <c r="R234" s="1"/>
    </row>
    <row r="235" ht="12.75" hidden="1" customHeight="1" outlineLevel="1">
      <c r="A235" s="17">
        <v>41358.0</v>
      </c>
      <c r="B235" s="12">
        <v>323570.15</v>
      </c>
      <c r="C235" s="19">
        <f t="shared" si="69"/>
        <v>0.002193320918</v>
      </c>
      <c r="D235" s="19">
        <f t="shared" si="68"/>
        <v>0.03631747062</v>
      </c>
      <c r="E235" s="12"/>
      <c r="F235" s="7"/>
      <c r="G235" s="7"/>
      <c r="H235" s="1"/>
      <c r="I235" s="1"/>
      <c r="J235" s="1"/>
      <c r="K235" s="1"/>
      <c r="L235" s="12">
        <f t="shared" si="70"/>
        <v>12495.65775</v>
      </c>
      <c r="M235" s="12" t="str">
        <f t="shared" si="71"/>
        <v>#REF!</v>
      </c>
      <c r="N235" s="80" t="str">
        <f t="shared" si="72"/>
        <v>#REF!</v>
      </c>
      <c r="O235" s="1" t="str">
        <f t="shared" si="73"/>
        <v>#REF!</v>
      </c>
      <c r="Q235" s="12"/>
      <c r="R235" s="1"/>
    </row>
    <row r="236" ht="12.75" hidden="1" customHeight="1" outlineLevel="1">
      <c r="A236" s="17">
        <v>41359.0</v>
      </c>
      <c r="B236" s="12">
        <v>329587.67</v>
      </c>
      <c r="C236" s="19">
        <f t="shared" si="69"/>
        <v>0.01859726554</v>
      </c>
      <c r="D236" s="19">
        <f t="shared" si="68"/>
        <v>0.0555901418</v>
      </c>
      <c r="E236" s="12"/>
      <c r="F236" s="7"/>
      <c r="G236" s="7"/>
      <c r="H236" s="1"/>
      <c r="I236" s="1"/>
      <c r="J236" s="1"/>
      <c r="K236" s="1"/>
      <c r="L236" s="12">
        <f t="shared" si="70"/>
        <v>12728.04282</v>
      </c>
      <c r="M236" s="12" t="str">
        <f t="shared" si="71"/>
        <v>#REF!</v>
      </c>
      <c r="N236" s="80" t="str">
        <f t="shared" si="72"/>
        <v>#REF!</v>
      </c>
      <c r="O236" s="1" t="str">
        <f t="shared" si="73"/>
        <v>#REF!</v>
      </c>
      <c r="Q236" s="12"/>
      <c r="R236" s="1"/>
    </row>
    <row r="237" ht="12.75" hidden="1" customHeight="1" outlineLevel="1">
      <c r="A237" s="17">
        <v>41360.0</v>
      </c>
      <c r="B237" s="12">
        <v>331692.68</v>
      </c>
      <c r="C237" s="19">
        <f t="shared" si="69"/>
        <v>0.00638679839</v>
      </c>
      <c r="D237" s="19">
        <f t="shared" si="68"/>
        <v>0.06233198322</v>
      </c>
      <c r="E237" s="12"/>
      <c r="F237" s="7"/>
      <c r="G237" s="7"/>
      <c r="H237" s="1"/>
      <c r="I237" s="1"/>
      <c r="J237" s="1" t="s">
        <v>406</v>
      </c>
      <c r="K237" s="1"/>
      <c r="L237" s="12">
        <f t="shared" si="70"/>
        <v>12809.33426</v>
      </c>
      <c r="M237" s="12" t="str">
        <f t="shared" si="71"/>
        <v>#REF!</v>
      </c>
      <c r="N237" s="80" t="str">
        <f t="shared" si="72"/>
        <v>#REF!</v>
      </c>
      <c r="O237" s="1" t="str">
        <f t="shared" si="73"/>
        <v>#REF!</v>
      </c>
      <c r="Q237" s="12"/>
      <c r="R237" s="1"/>
    </row>
    <row r="238" ht="12.75" hidden="1" customHeight="1" outlineLevel="1">
      <c r="A238" s="17">
        <v>41361.0</v>
      </c>
      <c r="B238" s="12">
        <f>335866.27</f>
        <v>335866.27</v>
      </c>
      <c r="C238" s="19">
        <f t="shared" si="69"/>
        <v>0.01258270155</v>
      </c>
      <c r="D238" s="19">
        <f t="shared" si="68"/>
        <v>0.07569898952</v>
      </c>
      <c r="E238" s="12"/>
      <c r="F238" s="7"/>
      <c r="G238" s="7"/>
      <c r="H238" s="1"/>
      <c r="I238" s="1"/>
      <c r="J238" s="1" t="s">
        <v>422</v>
      </c>
      <c r="K238" s="1" t="s">
        <v>367</v>
      </c>
      <c r="L238" s="12">
        <f t="shared" si="70"/>
        <v>12970.51029</v>
      </c>
      <c r="M238" s="12" t="str">
        <f t="shared" si="71"/>
        <v>#REF!</v>
      </c>
      <c r="N238" s="80" t="str">
        <f t="shared" si="72"/>
        <v>#REF!</v>
      </c>
      <c r="O238" s="1" t="str">
        <f t="shared" si="73"/>
        <v>#REF!</v>
      </c>
      <c r="Q238" s="12"/>
      <c r="R238" s="1"/>
    </row>
    <row r="239" ht="12.75" hidden="1" customHeight="1" outlineLevel="1">
      <c r="A239" s="17">
        <v>41362.0</v>
      </c>
      <c r="B239" s="12">
        <f>B238</f>
        <v>335866.27</v>
      </c>
      <c r="C239" s="19">
        <f t="shared" si="69"/>
        <v>0</v>
      </c>
      <c r="D239" s="19">
        <f t="shared" si="68"/>
        <v>0.07569898952</v>
      </c>
      <c r="E239" s="12"/>
      <c r="F239" s="7"/>
      <c r="G239" s="7"/>
      <c r="H239" s="1"/>
      <c r="I239" s="1"/>
      <c r="J239" s="1"/>
      <c r="K239" s="19">
        <f>2770.05/2669.92-1</f>
        <v>0.03750299634</v>
      </c>
      <c r="L239" s="12">
        <f t="shared" si="70"/>
        <v>12970.51029</v>
      </c>
      <c r="M239" s="12" t="str">
        <f t="shared" si="71"/>
        <v>#REF!</v>
      </c>
      <c r="N239" s="80" t="str">
        <f t="shared" si="72"/>
        <v>#REF!</v>
      </c>
      <c r="O239" s="1" t="str">
        <f t="shared" si="73"/>
        <v>#REF!</v>
      </c>
      <c r="Q239" s="12"/>
      <c r="R239" s="1"/>
    </row>
    <row r="240" ht="12.75" hidden="1" customHeight="1" outlineLevel="1">
      <c r="A240" s="17"/>
      <c r="B240" s="12"/>
      <c r="C240" s="1"/>
      <c r="D240" s="1"/>
      <c r="E240" s="12"/>
      <c r="F240" s="7"/>
      <c r="G240" s="7"/>
      <c r="H240" s="1"/>
      <c r="I240" s="1"/>
      <c r="J240" s="1"/>
      <c r="K240" s="1"/>
      <c r="L240" s="12"/>
      <c r="M240" s="12"/>
      <c r="N240" s="15"/>
      <c r="O240" s="1"/>
      <c r="Q240" s="12"/>
      <c r="R240" s="1"/>
    </row>
    <row r="241" ht="12.75" hidden="1" customHeight="1" outlineLevel="1">
      <c r="A241" s="17"/>
      <c r="B241" s="12">
        <f>B239+P241</f>
        <v>345866.27</v>
      </c>
      <c r="C241" s="19"/>
      <c r="D241" s="19">
        <f t="shared" ref="D241:D263" si="74">(B241/$B$241)-1</f>
        <v>0</v>
      </c>
      <c r="E241" s="12"/>
      <c r="F241" s="7"/>
      <c r="G241" s="7"/>
      <c r="H241" s="1"/>
      <c r="I241" s="1"/>
      <c r="J241" s="1"/>
      <c r="K241" s="1"/>
      <c r="L241" s="12"/>
      <c r="M241" s="12"/>
      <c r="N241" s="15"/>
      <c r="O241" s="1"/>
      <c r="P241" s="1">
        <v>10000.0</v>
      </c>
      <c r="Q241" s="12"/>
      <c r="R241" s="1"/>
    </row>
    <row r="242" ht="12.75" hidden="1" customHeight="1" outlineLevel="1">
      <c r="A242" s="17">
        <v>41365.0</v>
      </c>
      <c r="B242" s="12">
        <f>331779.77+$P$241</f>
        <v>341779.77</v>
      </c>
      <c r="C242" s="19">
        <f t="shared" ref="C242:C263" si="75">(B242/B241)-1</f>
        <v>-0.01181526027</v>
      </c>
      <c r="D242" s="19">
        <f t="shared" si="74"/>
        <v>-0.01181526027</v>
      </c>
      <c r="E242" s="12"/>
      <c r="F242" s="7"/>
      <c r="G242" s="7"/>
      <c r="H242" s="1"/>
      <c r="I242" s="1"/>
      <c r="J242" s="1"/>
      <c r="K242" s="1"/>
      <c r="L242" s="12">
        <f t="shared" ref="L242:L263" si="76">IF(C241="",L239*(1+C242),L241*(1+C242))</f>
        <v>12817.26034</v>
      </c>
      <c r="M242" s="12"/>
      <c r="N242" s="15"/>
      <c r="O242" s="1"/>
      <c r="Q242" s="12"/>
      <c r="R242" s="1"/>
    </row>
    <row r="243" ht="12.75" hidden="1" customHeight="1" outlineLevel="1">
      <c r="A243" s="17">
        <v>41366.0</v>
      </c>
      <c r="B243" s="12">
        <f>328012.56+P241</f>
        <v>338012.56</v>
      </c>
      <c r="C243" s="19">
        <f t="shared" si="75"/>
        <v>-0.01102233172</v>
      </c>
      <c r="D243" s="19">
        <f t="shared" si="74"/>
        <v>-0.02270736028</v>
      </c>
      <c r="E243" s="12"/>
      <c r="F243" s="7"/>
      <c r="G243" s="7"/>
      <c r="H243" s="1"/>
      <c r="I243" s="1"/>
      <c r="J243" s="1"/>
      <c r="K243" s="1"/>
      <c r="L243" s="12">
        <f t="shared" si="76"/>
        <v>12675.98424</v>
      </c>
      <c r="M243" s="12"/>
      <c r="N243" s="15"/>
      <c r="O243" s="1"/>
      <c r="Q243" s="12"/>
      <c r="R243" s="1"/>
    </row>
    <row r="244" ht="12.75" hidden="1" customHeight="1" outlineLevel="1">
      <c r="A244" s="17">
        <v>41367.0</v>
      </c>
      <c r="B244" s="12">
        <f>322128.83+$P$241</f>
        <v>332128.83</v>
      </c>
      <c r="C244" s="19">
        <f t="shared" si="75"/>
        <v>-0.01740683837</v>
      </c>
      <c r="D244" s="19">
        <f t="shared" si="74"/>
        <v>-0.0397189353</v>
      </c>
      <c r="E244" s="12"/>
      <c r="F244" s="7"/>
      <c r="G244" s="7"/>
      <c r="H244" s="1"/>
      <c r="I244" s="1"/>
      <c r="J244" s="1" t="s">
        <v>425</v>
      </c>
      <c r="K244" s="1"/>
      <c r="L244" s="12">
        <f t="shared" si="76"/>
        <v>12455.33543</v>
      </c>
      <c r="M244" s="12"/>
      <c r="N244" s="15"/>
      <c r="O244" s="1"/>
      <c r="Q244" s="12"/>
      <c r="R244" s="1"/>
    </row>
    <row r="245" ht="12.75" hidden="1" customHeight="1" outlineLevel="1">
      <c r="A245" s="17">
        <v>41368.0</v>
      </c>
      <c r="B245" s="12">
        <f>324542.33+$P$241</f>
        <v>334542.33</v>
      </c>
      <c r="C245" s="19">
        <f t="shared" si="75"/>
        <v>0.007266758505</v>
      </c>
      <c r="D245" s="19">
        <f t="shared" si="74"/>
        <v>-0.0327408047</v>
      </c>
      <c r="E245" s="12"/>
      <c r="F245" s="7"/>
      <c r="G245" s="7"/>
      <c r="H245" s="1"/>
      <c r="I245" s="1"/>
      <c r="J245" s="1"/>
      <c r="K245" s="1"/>
      <c r="L245" s="12">
        <f t="shared" si="76"/>
        <v>12545.84535</v>
      </c>
      <c r="M245" s="12"/>
      <c r="N245" s="15"/>
      <c r="O245" s="1"/>
      <c r="Q245" s="12"/>
      <c r="R245" s="1"/>
    </row>
    <row r="246" ht="12.75" hidden="1" customHeight="1" outlineLevel="1">
      <c r="A246" s="17">
        <v>41369.0</v>
      </c>
      <c r="B246" s="12">
        <f>323844.68+P241</f>
        <v>333844.68</v>
      </c>
      <c r="C246" s="19">
        <f t="shared" si="75"/>
        <v>-0.002085386325</v>
      </c>
      <c r="D246" s="19">
        <f t="shared" si="74"/>
        <v>-0.0347579138</v>
      </c>
      <c r="E246" s="12"/>
      <c r="F246" s="7"/>
      <c r="G246" s="7"/>
      <c r="H246" s="1"/>
      <c r="I246" s="1"/>
      <c r="J246" s="1"/>
      <c r="K246" s="1"/>
      <c r="L246" s="12">
        <f t="shared" si="76"/>
        <v>12519.68241</v>
      </c>
      <c r="M246" s="12"/>
      <c r="N246" s="15"/>
      <c r="O246" s="1"/>
      <c r="Q246" s="12"/>
      <c r="R246" s="1"/>
    </row>
    <row r="247" ht="12.75" hidden="1" customHeight="1" outlineLevel="1">
      <c r="A247" s="17">
        <v>41372.0</v>
      </c>
      <c r="B247" s="12">
        <f>329458.22+P241</f>
        <v>339458.22</v>
      </c>
      <c r="C247" s="19">
        <f t="shared" si="75"/>
        <v>0.01681482539</v>
      </c>
      <c r="D247" s="19">
        <f t="shared" si="74"/>
        <v>-0.01852753667</v>
      </c>
      <c r="E247" s="12"/>
      <c r="F247" s="7"/>
      <c r="G247" s="7"/>
      <c r="H247" s="1"/>
      <c r="I247" s="1"/>
      <c r="J247" s="1" t="s">
        <v>427</v>
      </c>
      <c r="K247" s="1"/>
      <c r="L247" s="12">
        <f t="shared" si="76"/>
        <v>12730.19869</v>
      </c>
      <c r="M247" s="12"/>
      <c r="N247" s="15"/>
      <c r="O247" s="1"/>
      <c r="Q247" s="12"/>
      <c r="R247" s="1"/>
    </row>
    <row r="248" ht="12.75" hidden="1" customHeight="1" outlineLevel="1">
      <c r="A248" s="17">
        <v>41373.0</v>
      </c>
      <c r="B248" s="12">
        <f>328900.83+P241</f>
        <v>338900.83</v>
      </c>
      <c r="C248" s="19">
        <f t="shared" si="75"/>
        <v>-0.00164199883</v>
      </c>
      <c r="D248" s="19">
        <f t="shared" si="74"/>
        <v>-0.02013911331</v>
      </c>
      <c r="E248" s="12"/>
      <c r="F248" s="7"/>
      <c r="G248" s="7"/>
      <c r="H248" s="1"/>
      <c r="I248" s="1"/>
      <c r="J248" s="1"/>
      <c r="K248" s="1"/>
      <c r="L248" s="12">
        <f t="shared" si="76"/>
        <v>12709.29572</v>
      </c>
      <c r="M248" s="12"/>
      <c r="N248" s="15"/>
      <c r="O248" s="1"/>
      <c r="Q248" s="12"/>
      <c r="R248" s="1"/>
    </row>
    <row r="249" ht="12.75" hidden="1" customHeight="1" outlineLevel="1">
      <c r="A249" s="17">
        <v>41374.0</v>
      </c>
      <c r="B249" s="12">
        <f>328468.12+P241</f>
        <v>338468.12</v>
      </c>
      <c r="C249" s="19">
        <f t="shared" si="75"/>
        <v>-0.001276804191</v>
      </c>
      <c r="D249" s="19">
        <f t="shared" si="74"/>
        <v>-0.02139020379</v>
      </c>
      <c r="E249" s="12"/>
      <c r="F249" s="7"/>
      <c r="G249" s="7"/>
      <c r="H249" s="1"/>
      <c r="I249" s="1"/>
      <c r="J249" s="1"/>
      <c r="K249" s="1"/>
      <c r="L249" s="12">
        <f t="shared" si="76"/>
        <v>12693.06843</v>
      </c>
      <c r="M249" s="12"/>
      <c r="N249" s="15"/>
      <c r="O249" s="1"/>
      <c r="Q249" s="12"/>
      <c r="R249" s="1"/>
    </row>
    <row r="250" ht="12.75" hidden="1" customHeight="1" outlineLevel="1">
      <c r="A250" s="17">
        <v>41375.0</v>
      </c>
      <c r="B250" s="12">
        <f>327837.19+P241</f>
        <v>337837.19</v>
      </c>
      <c r="C250" s="19">
        <f t="shared" si="75"/>
        <v>-0.001864075116</v>
      </c>
      <c r="D250" s="19">
        <f t="shared" si="74"/>
        <v>-0.02321440596</v>
      </c>
      <c r="E250" s="12"/>
      <c r="F250" s="7"/>
      <c r="G250" s="7"/>
      <c r="H250" s="1"/>
      <c r="I250" s="1"/>
      <c r="J250" s="1"/>
      <c r="K250" s="1"/>
      <c r="L250" s="12">
        <f t="shared" si="76"/>
        <v>12669.4076</v>
      </c>
      <c r="M250" s="12"/>
      <c r="N250" s="15"/>
      <c r="O250" s="1"/>
      <c r="Q250" s="12"/>
      <c r="R250" s="1"/>
    </row>
    <row r="251" ht="12.75" hidden="1" customHeight="1" outlineLevel="1">
      <c r="A251" s="17">
        <v>41376.0</v>
      </c>
      <c r="B251" s="12">
        <v>335587.78</v>
      </c>
      <c r="C251" s="19">
        <f t="shared" si="75"/>
        <v>-0.006658266368</v>
      </c>
      <c r="D251" s="19">
        <f t="shared" si="74"/>
        <v>-0.02971810463</v>
      </c>
      <c r="E251" s="12"/>
      <c r="F251" s="7"/>
      <c r="G251" s="7"/>
      <c r="H251" s="1"/>
      <c r="I251" s="1"/>
      <c r="J251" s="1"/>
      <c r="K251" s="1"/>
      <c r="L251" s="12">
        <f t="shared" si="76"/>
        <v>12585.05131</v>
      </c>
      <c r="M251" s="12"/>
      <c r="N251" s="15"/>
      <c r="O251" s="1"/>
      <c r="Q251" s="12"/>
      <c r="R251" s="1"/>
    </row>
    <row r="252" ht="12.75" hidden="1" customHeight="1" outlineLevel="1">
      <c r="A252" s="17">
        <v>41379.0</v>
      </c>
      <c r="B252" s="12">
        <v>326497.17</v>
      </c>
      <c r="C252" s="19">
        <f t="shared" si="75"/>
        <v>-0.02708862045</v>
      </c>
      <c r="D252" s="19">
        <f t="shared" si="74"/>
        <v>-0.05600170262</v>
      </c>
      <c r="E252" s="12"/>
      <c r="F252" s="7"/>
      <c r="G252" s="7"/>
      <c r="H252" s="1"/>
      <c r="I252" s="1"/>
      <c r="J252" s="1"/>
      <c r="K252" s="1"/>
      <c r="L252" s="12">
        <f t="shared" si="76"/>
        <v>12244.13963</v>
      </c>
      <c r="M252" s="12"/>
      <c r="N252" s="15"/>
      <c r="O252" s="1"/>
      <c r="Q252" s="12"/>
      <c r="R252" s="1"/>
    </row>
    <row r="253" ht="12.75" hidden="1" customHeight="1" outlineLevel="1">
      <c r="A253" s="17">
        <v>41380.0</v>
      </c>
      <c r="B253" s="12">
        <v>329922.35</v>
      </c>
      <c r="C253" s="19">
        <f t="shared" si="75"/>
        <v>0.01049068817</v>
      </c>
      <c r="D253" s="19">
        <f t="shared" si="74"/>
        <v>-0.04609851085</v>
      </c>
      <c r="E253" s="12"/>
      <c r="F253" s="7"/>
      <c r="G253" s="7"/>
      <c r="H253" s="1"/>
      <c r="I253" s="1"/>
      <c r="J253" s="1"/>
      <c r="K253" s="1"/>
      <c r="L253" s="12">
        <f t="shared" si="76"/>
        <v>12372.58908</v>
      </c>
      <c r="M253" s="12"/>
      <c r="N253" s="15"/>
      <c r="O253" s="1"/>
      <c r="Q253" s="12"/>
      <c r="R253" s="1"/>
    </row>
    <row r="254" ht="12.75" hidden="1" customHeight="1" outlineLevel="1">
      <c r="A254" s="17">
        <v>41381.0</v>
      </c>
      <c r="B254" s="12">
        <v>324891.65</v>
      </c>
      <c r="C254" s="19">
        <f t="shared" si="75"/>
        <v>-0.01524813339</v>
      </c>
      <c r="D254" s="19">
        <f t="shared" si="74"/>
        <v>-0.06064372799</v>
      </c>
      <c r="E254" s="12"/>
      <c r="F254" s="7"/>
      <c r="G254" s="7"/>
      <c r="H254" s="1"/>
      <c r="I254" s="1"/>
      <c r="J254" s="1" t="s">
        <v>436</v>
      </c>
      <c r="K254" s="1"/>
      <c r="L254" s="12">
        <f t="shared" si="76"/>
        <v>12183.93019</v>
      </c>
      <c r="M254" s="12"/>
      <c r="N254" s="15"/>
      <c r="O254" s="1"/>
      <c r="Q254" s="12"/>
      <c r="R254" s="1"/>
    </row>
    <row r="255" ht="12.75" hidden="1" customHeight="1" outlineLevel="1">
      <c r="A255" s="17">
        <v>41382.0</v>
      </c>
      <c r="B255" s="12">
        <v>322489.89</v>
      </c>
      <c r="C255" s="19">
        <f t="shared" si="75"/>
        <v>-0.007392495313</v>
      </c>
      <c r="D255" s="19">
        <f t="shared" si="74"/>
        <v>-0.06758791483</v>
      </c>
      <c r="E255" s="12"/>
      <c r="F255" s="7"/>
      <c r="G255" s="7"/>
      <c r="H255" s="1"/>
      <c r="I255" s="1"/>
      <c r="J255" s="1" t="s">
        <v>437</v>
      </c>
      <c r="K255" s="1"/>
      <c r="L255" s="12">
        <f t="shared" si="76"/>
        <v>12093.86055</v>
      </c>
      <c r="M255" s="12"/>
      <c r="N255" s="15"/>
      <c r="O255" s="1"/>
      <c r="Q255" s="12"/>
      <c r="R255" s="1"/>
    </row>
    <row r="256" ht="12.75" hidden="1" customHeight="1" outlineLevel="1">
      <c r="A256" s="17">
        <v>41383.0</v>
      </c>
      <c r="B256" s="12">
        <v>322756.76</v>
      </c>
      <c r="C256" s="19">
        <f t="shared" si="75"/>
        <v>0.0008275298181</v>
      </c>
      <c r="D256" s="19">
        <f t="shared" si="74"/>
        <v>-0.06681631603</v>
      </c>
      <c r="E256" s="12"/>
      <c r="F256" s="7"/>
      <c r="G256" s="7"/>
      <c r="H256" s="1"/>
      <c r="I256" s="1"/>
      <c r="J256" s="1"/>
      <c r="K256" s="1"/>
      <c r="L256" s="12">
        <f t="shared" si="76"/>
        <v>12103.86858</v>
      </c>
      <c r="M256" s="12"/>
      <c r="N256" s="15"/>
      <c r="O256" s="1"/>
      <c r="Q256" s="12"/>
      <c r="R256" s="1"/>
    </row>
    <row r="257" ht="12.75" hidden="1" customHeight="1" outlineLevel="1">
      <c r="A257" s="17">
        <v>41386.0</v>
      </c>
      <c r="B257" s="12">
        <v>325210.59</v>
      </c>
      <c r="C257" s="19">
        <f t="shared" si="75"/>
        <v>0.007602722248</v>
      </c>
      <c r="D257" s="19">
        <f t="shared" si="74"/>
        <v>-0.05972157967</v>
      </c>
      <c r="E257" s="12"/>
      <c r="F257" s="7"/>
      <c r="G257" s="7"/>
      <c r="H257" s="1"/>
      <c r="I257" s="1"/>
      <c r="J257" s="7" t="s">
        <v>438</v>
      </c>
      <c r="K257" s="1"/>
      <c r="L257" s="12">
        <f t="shared" si="76"/>
        <v>12195.89093</v>
      </c>
      <c r="M257" s="12"/>
      <c r="N257" s="15"/>
      <c r="O257" s="1"/>
      <c r="Q257" s="12"/>
      <c r="R257" s="1"/>
    </row>
    <row r="258" ht="12.75" hidden="1" customHeight="1" outlineLevel="1">
      <c r="A258" s="17">
        <v>41387.0</v>
      </c>
      <c r="B258" s="12">
        <v>330347.12</v>
      </c>
      <c r="C258" s="19">
        <f t="shared" si="75"/>
        <v>0.01579447336</v>
      </c>
      <c r="D258" s="19">
        <f t="shared" si="74"/>
        <v>-0.04487037721</v>
      </c>
      <c r="E258" s="12"/>
      <c r="F258" s="7"/>
      <c r="G258" s="7"/>
      <c r="H258" s="1"/>
      <c r="I258" s="1"/>
      <c r="J258" s="1"/>
      <c r="K258" s="1"/>
      <c r="L258" s="12">
        <f t="shared" si="76"/>
        <v>12388.5186</v>
      </c>
      <c r="M258" s="12"/>
      <c r="N258" s="15"/>
      <c r="O258" s="1"/>
      <c r="Q258" s="12"/>
      <c r="R258" s="1"/>
    </row>
    <row r="259" ht="12.75" hidden="1" customHeight="1" outlineLevel="1">
      <c r="A259" s="17">
        <v>41388.0</v>
      </c>
      <c r="B259" s="12">
        <v>334397.46</v>
      </c>
      <c r="C259" s="19">
        <f t="shared" si="75"/>
        <v>0.01226086064</v>
      </c>
      <c r="D259" s="19">
        <f t="shared" si="74"/>
        <v>-0.03315966602</v>
      </c>
      <c r="E259" s="12"/>
      <c r="F259" s="7"/>
      <c r="G259" s="7"/>
      <c r="H259" s="1"/>
      <c r="I259" s="1"/>
      <c r="J259" s="1"/>
      <c r="K259" s="1"/>
      <c r="L259" s="12">
        <f t="shared" si="76"/>
        <v>12540.4125</v>
      </c>
      <c r="M259" s="12"/>
      <c r="N259" s="15"/>
      <c r="O259" s="1"/>
      <c r="Q259" s="12"/>
      <c r="R259" s="1"/>
    </row>
    <row r="260" ht="12.75" hidden="1" customHeight="1" outlineLevel="1">
      <c r="A260" s="17">
        <v>41389.0</v>
      </c>
      <c r="B260" s="12">
        <v>338523.12</v>
      </c>
      <c r="C260" s="19">
        <f t="shared" si="75"/>
        <v>0.01233759371</v>
      </c>
      <c r="D260" s="19">
        <f t="shared" si="74"/>
        <v>-0.02123118279</v>
      </c>
      <c r="E260" s="12"/>
      <c r="F260" s="7"/>
      <c r="G260" s="7"/>
      <c r="H260" s="1"/>
      <c r="I260" s="1"/>
      <c r="J260" s="1"/>
      <c r="K260" s="1"/>
      <c r="L260" s="12">
        <f t="shared" si="76"/>
        <v>12695.13102</v>
      </c>
      <c r="M260" s="12"/>
      <c r="N260" s="15"/>
      <c r="O260" s="1"/>
      <c r="Q260" s="12"/>
      <c r="R260" s="1"/>
    </row>
    <row r="261" ht="12.75" hidden="1" customHeight="1" outlineLevel="1">
      <c r="A261" s="17">
        <v>41390.0</v>
      </c>
      <c r="B261" s="12">
        <v>337758.94</v>
      </c>
      <c r="C261" s="19">
        <f t="shared" si="75"/>
        <v>-0.002257393823</v>
      </c>
      <c r="D261" s="19">
        <f t="shared" si="74"/>
        <v>-0.02344064947</v>
      </c>
      <c r="E261" s="12"/>
      <c r="F261" s="7"/>
      <c r="G261" s="7"/>
      <c r="H261" s="1"/>
      <c r="I261" s="1"/>
      <c r="J261" s="1"/>
      <c r="K261" s="1"/>
      <c r="L261" s="12">
        <f t="shared" si="76"/>
        <v>12666.47311</v>
      </c>
      <c r="M261" s="12"/>
      <c r="N261" s="15"/>
      <c r="O261" s="1"/>
      <c r="Q261" s="12"/>
      <c r="R261" s="1"/>
    </row>
    <row r="262" ht="12.75" hidden="1" customHeight="1" outlineLevel="1">
      <c r="A262" s="17">
        <v>41393.0</v>
      </c>
      <c r="B262" s="12">
        <v>337167.52</v>
      </c>
      <c r="C262" s="19">
        <f t="shared" si="75"/>
        <v>-0.001751012127</v>
      </c>
      <c r="D262" s="19">
        <f t="shared" si="74"/>
        <v>-0.02515061674</v>
      </c>
      <c r="E262" s="12"/>
      <c r="F262" s="7"/>
      <c r="G262" s="7"/>
      <c r="H262" s="1"/>
      <c r="I262" s="1"/>
      <c r="J262" s="1"/>
      <c r="K262" s="1" t="s">
        <v>367</v>
      </c>
      <c r="L262" s="12">
        <f t="shared" si="76"/>
        <v>12644.29396</v>
      </c>
      <c r="M262" s="12"/>
      <c r="N262" s="15"/>
      <c r="O262" s="1"/>
      <c r="Q262" s="12"/>
      <c r="R262" s="1"/>
    </row>
    <row r="263" ht="12.75" hidden="1" customHeight="1" outlineLevel="1">
      <c r="A263" s="17">
        <v>41394.0</v>
      </c>
      <c r="B263" s="12">
        <v>336129.19</v>
      </c>
      <c r="C263" s="19">
        <f t="shared" si="75"/>
        <v>-0.003079567095</v>
      </c>
      <c r="D263" s="19">
        <f t="shared" si="74"/>
        <v>-0.02815273082</v>
      </c>
      <c r="E263" s="12"/>
      <c r="F263" s="7"/>
      <c r="G263" s="7"/>
      <c r="H263" s="1"/>
      <c r="I263" s="1"/>
      <c r="J263" s="7" t="s">
        <v>440</v>
      </c>
      <c r="K263" s="19">
        <f>2823.42/2770.05-1</f>
        <v>0.01926680024</v>
      </c>
      <c r="L263" s="12">
        <f t="shared" si="76"/>
        <v>12605.35501</v>
      </c>
      <c r="M263" s="12"/>
      <c r="N263" s="15"/>
      <c r="O263" s="1"/>
      <c r="Q263" s="12"/>
      <c r="R263" s="1"/>
    </row>
    <row r="264" ht="12.75" hidden="1" customHeight="1" outlineLevel="1">
      <c r="A264" s="17"/>
      <c r="B264" s="12"/>
      <c r="C264" s="19"/>
      <c r="D264" s="19"/>
      <c r="E264" s="12"/>
      <c r="F264" s="7"/>
      <c r="G264" s="7"/>
      <c r="H264" s="1"/>
      <c r="I264" s="1"/>
      <c r="J264" s="1"/>
      <c r="K264" s="1"/>
      <c r="L264" s="12"/>
      <c r="M264" s="12"/>
      <c r="N264" s="15"/>
      <c r="O264" s="1"/>
      <c r="Q264" s="12"/>
      <c r="R264" s="1"/>
    </row>
    <row r="265" ht="12.75" hidden="1" customHeight="1" outlineLevel="1">
      <c r="A265" s="17"/>
      <c r="B265" s="12">
        <f>B263+P265</f>
        <v>346129.19</v>
      </c>
      <c r="C265" s="19"/>
      <c r="D265" s="19">
        <f t="shared" ref="D265:D288" si="77">(B265/$B$265)-1</f>
        <v>0</v>
      </c>
      <c r="E265" s="12"/>
      <c r="F265" s="7"/>
      <c r="G265" s="7"/>
      <c r="H265" s="1"/>
      <c r="I265" s="1"/>
      <c r="J265" s="1"/>
      <c r="K265" s="1"/>
      <c r="L265" s="12"/>
      <c r="M265" s="12"/>
      <c r="N265" s="15"/>
      <c r="O265" s="1"/>
      <c r="P265" s="1">
        <v>10000.0</v>
      </c>
      <c r="Q265" s="12"/>
      <c r="R265" s="1"/>
    </row>
    <row r="266" ht="12.75" hidden="1" customHeight="1" outlineLevel="1">
      <c r="A266" s="17">
        <v>41395.0</v>
      </c>
      <c r="B266" s="12">
        <f>331584.76+$P$265</f>
        <v>341584.76</v>
      </c>
      <c r="C266" s="19">
        <f t="shared" ref="C266:C288" si="78">(B266/B265)-1</f>
        <v>-0.01312928852</v>
      </c>
      <c r="D266" s="19">
        <f t="shared" si="77"/>
        <v>-0.01312928852</v>
      </c>
      <c r="E266" s="12"/>
      <c r="F266" s="7"/>
      <c r="G266" s="7"/>
      <c r="H266" s="1"/>
      <c r="I266" s="1"/>
      <c r="J266" s="1"/>
      <c r="K266" s="1"/>
      <c r="L266" s="12">
        <f t="shared" ref="L266:L288" si="79">IF(C265="",L263*(1+C266),L265*(1+C266))</f>
        <v>12439.85567</v>
      </c>
      <c r="M266" s="12"/>
      <c r="N266" s="15"/>
      <c r="O266" s="1"/>
      <c r="Q266" s="12"/>
      <c r="R266" s="1"/>
    </row>
    <row r="267" ht="12.75" hidden="1" customHeight="1" outlineLevel="1">
      <c r="A267" s="17">
        <v>41396.0</v>
      </c>
      <c r="B267" s="12">
        <f>337800.87+$P$265</f>
        <v>347800.87</v>
      </c>
      <c r="C267" s="19">
        <f t="shared" si="78"/>
        <v>0.0181978552</v>
      </c>
      <c r="D267" s="19">
        <f t="shared" si="77"/>
        <v>0.004829641788</v>
      </c>
      <c r="E267" s="12"/>
      <c r="F267" s="7"/>
      <c r="G267" s="7"/>
      <c r="H267" s="1"/>
      <c r="I267" s="1"/>
      <c r="J267" s="1"/>
      <c r="K267" s="1"/>
      <c r="L267" s="12">
        <f t="shared" si="79"/>
        <v>12666.23436</v>
      </c>
      <c r="M267" s="12"/>
      <c r="N267" s="15"/>
      <c r="O267" s="1"/>
      <c r="Q267" s="12"/>
      <c r="R267" s="1"/>
    </row>
    <row r="268" ht="12.75" hidden="1" customHeight="1" outlineLevel="1">
      <c r="A268" s="17">
        <v>41397.0</v>
      </c>
      <c r="B268" s="12">
        <f>344299.97+$P$265</f>
        <v>354299.97</v>
      </c>
      <c r="C268" s="19">
        <f t="shared" si="78"/>
        <v>0.01868626723</v>
      </c>
      <c r="D268" s="19">
        <f t="shared" si="77"/>
        <v>0.023606157</v>
      </c>
      <c r="E268" s="12"/>
      <c r="F268" s="7"/>
      <c r="G268" s="7"/>
      <c r="H268" s="1"/>
      <c r="I268" s="1"/>
      <c r="J268" s="1"/>
      <c r="K268" s="1"/>
      <c r="L268" s="12">
        <f t="shared" si="79"/>
        <v>12902.919</v>
      </c>
      <c r="M268" s="12"/>
      <c r="N268" s="15"/>
      <c r="O268" s="1"/>
      <c r="Q268" s="12"/>
      <c r="R268" s="1"/>
    </row>
    <row r="269" ht="12.75" hidden="1" customHeight="1" outlineLevel="1">
      <c r="A269" s="17">
        <v>41400.0</v>
      </c>
      <c r="B269" s="12">
        <f>348776.96+$P$265</f>
        <v>358776.96</v>
      </c>
      <c r="C269" s="19">
        <f t="shared" si="78"/>
        <v>0.01263615687</v>
      </c>
      <c r="D269" s="19">
        <f t="shared" si="77"/>
        <v>0.03654060497</v>
      </c>
      <c r="E269" s="12"/>
      <c r="F269" s="7"/>
      <c r="G269" s="7"/>
      <c r="H269" s="1"/>
      <c r="I269" s="1"/>
      <c r="J269" s="1"/>
      <c r="K269" s="1"/>
      <c r="L269" s="12">
        <f t="shared" si="79"/>
        <v>13065.96231</v>
      </c>
      <c r="M269" s="12"/>
      <c r="N269" s="15"/>
      <c r="O269" s="1"/>
      <c r="Q269" s="12"/>
      <c r="R269" s="1"/>
    </row>
    <row r="270" ht="12.75" hidden="1" customHeight="1" outlineLevel="1">
      <c r="A270" s="17">
        <v>41401.0</v>
      </c>
      <c r="B270" s="12">
        <f>352348.53+$P$265</f>
        <v>362348.53</v>
      </c>
      <c r="C270" s="19">
        <f t="shared" si="78"/>
        <v>0.009954847714</v>
      </c>
      <c r="D270" s="19">
        <f t="shared" si="77"/>
        <v>0.04685920884</v>
      </c>
      <c r="E270" s="12"/>
      <c r="F270" s="7"/>
      <c r="G270" s="7"/>
      <c r="H270" s="1"/>
      <c r="I270" s="1"/>
      <c r="J270" s="1"/>
      <c r="K270" s="1"/>
      <c r="L270" s="12">
        <f t="shared" si="79"/>
        <v>13196.03197</v>
      </c>
      <c r="M270" s="12"/>
      <c r="N270" s="15"/>
      <c r="O270" s="1"/>
      <c r="Q270" s="12"/>
      <c r="R270" s="1"/>
    </row>
    <row r="271" ht="12.75" hidden="1" customHeight="1" outlineLevel="1">
      <c r="A271" s="17">
        <v>41402.0</v>
      </c>
      <c r="B271" s="12">
        <f>355850.09+$P$265</f>
        <v>365850.09</v>
      </c>
      <c r="C271" s="19">
        <f t="shared" si="78"/>
        <v>0.009663513745</v>
      </c>
      <c r="D271" s="19">
        <f t="shared" si="77"/>
        <v>0.05697554719</v>
      </c>
      <c r="E271" s="12"/>
      <c r="F271" s="7"/>
      <c r="G271" s="7"/>
      <c r="H271" s="1"/>
      <c r="I271" s="1"/>
      <c r="J271" s="1"/>
      <c r="K271" s="1"/>
      <c r="L271" s="12">
        <f t="shared" si="79"/>
        <v>13323.55201</v>
      </c>
      <c r="M271" s="12"/>
      <c r="N271" s="15"/>
      <c r="O271" s="1"/>
      <c r="Q271" s="12"/>
      <c r="R271" s="1"/>
    </row>
    <row r="272" ht="12.75" hidden="1" customHeight="1" outlineLevel="1">
      <c r="A272" s="17">
        <v>41403.0</v>
      </c>
      <c r="B272" s="12">
        <f>370559.2</f>
        <v>370559.2</v>
      </c>
      <c r="C272" s="19">
        <f t="shared" si="78"/>
        <v>0.01287169288</v>
      </c>
      <c r="D272" s="19">
        <f t="shared" si="77"/>
        <v>0.07058061182</v>
      </c>
      <c r="E272" s="12"/>
      <c r="F272" s="7"/>
      <c r="G272" s="7"/>
      <c r="H272" s="1"/>
      <c r="I272" s="1"/>
      <c r="J272" s="1"/>
      <c r="K272" s="1"/>
      <c r="L272" s="12">
        <f t="shared" si="79"/>
        <v>13495.04868</v>
      </c>
      <c r="M272" s="12"/>
      <c r="N272" s="15"/>
      <c r="O272" s="1"/>
      <c r="Q272" s="12"/>
      <c r="R272" s="1"/>
    </row>
    <row r="273" ht="12.75" hidden="1" customHeight="1" outlineLevel="1">
      <c r="A273" s="17">
        <v>41404.0</v>
      </c>
      <c r="B273" s="12">
        <v>373482.06</v>
      </c>
      <c r="C273" s="19">
        <f t="shared" si="78"/>
        <v>0.007887700535</v>
      </c>
      <c r="D273" s="19">
        <f t="shared" si="77"/>
        <v>0.07902503109</v>
      </c>
      <c r="E273" s="12"/>
      <c r="F273" s="7"/>
      <c r="G273" s="7"/>
      <c r="H273" s="1"/>
      <c r="I273" s="1"/>
      <c r="J273" s="1"/>
      <c r="K273" s="1"/>
      <c r="L273" s="12">
        <f t="shared" si="79"/>
        <v>13601.49358</v>
      </c>
      <c r="M273" s="12"/>
      <c r="N273" s="15"/>
      <c r="O273" s="1"/>
      <c r="Q273" s="12"/>
      <c r="R273" s="1"/>
    </row>
    <row r="274" ht="12.75" hidden="1" customHeight="1" outlineLevel="1">
      <c r="A274" s="17">
        <v>41407.0</v>
      </c>
      <c r="B274" s="12">
        <v>369809.36</v>
      </c>
      <c r="C274" s="19">
        <f t="shared" si="78"/>
        <v>-0.009833671797</v>
      </c>
      <c r="D274" s="19">
        <f t="shared" si="77"/>
        <v>0.06841425307</v>
      </c>
      <c r="E274" s="12"/>
      <c r="F274" s="7"/>
      <c r="G274" s="7"/>
      <c r="H274" s="1"/>
      <c r="I274" s="1"/>
      <c r="J274" s="1"/>
      <c r="K274" s="1"/>
      <c r="L274" s="12">
        <f t="shared" si="79"/>
        <v>13467.74096</v>
      </c>
      <c r="M274" s="12"/>
      <c r="N274" s="15"/>
      <c r="O274" s="1"/>
      <c r="Q274" s="12"/>
      <c r="R274" s="1"/>
    </row>
    <row r="275" ht="12.75" hidden="1" customHeight="1" outlineLevel="1">
      <c r="A275" s="17">
        <v>41408.0</v>
      </c>
      <c r="B275" s="12">
        <f>371292.23</f>
        <v>371292.23</v>
      </c>
      <c r="C275" s="19">
        <f t="shared" si="78"/>
        <v>0.004009822791</v>
      </c>
      <c r="D275" s="19">
        <f t="shared" si="77"/>
        <v>0.07269840489</v>
      </c>
      <c r="E275" s="12"/>
      <c r="F275" s="7"/>
      <c r="G275" s="7"/>
      <c r="H275" s="1"/>
      <c r="I275" s="1"/>
      <c r="J275" s="1"/>
      <c r="K275" s="1"/>
      <c r="L275" s="12">
        <f t="shared" si="79"/>
        <v>13521.74421</v>
      </c>
      <c r="M275" s="12"/>
      <c r="N275" s="15"/>
      <c r="O275" s="1"/>
      <c r="Q275" s="12"/>
      <c r="R275" s="1"/>
    </row>
    <row r="276" ht="12.75" hidden="1" customHeight="1" outlineLevel="1">
      <c r="A276" s="17">
        <v>41409.0</v>
      </c>
      <c r="B276" s="12">
        <v>374568.04</v>
      </c>
      <c r="C276" s="19">
        <f t="shared" si="78"/>
        <v>0.008822727047</v>
      </c>
      <c r="D276" s="19">
        <f t="shared" si="77"/>
        <v>0.08216253012</v>
      </c>
      <c r="E276" s="12"/>
      <c r="F276" s="7"/>
      <c r="G276" s="7"/>
      <c r="H276" s="1"/>
      <c r="I276" s="1"/>
      <c r="J276" s="1"/>
      <c r="K276" s="1"/>
      <c r="L276" s="12">
        <f t="shared" si="79"/>
        <v>13641.04287</v>
      </c>
      <c r="M276" s="12"/>
      <c r="N276" s="15"/>
      <c r="O276" s="1"/>
      <c r="Q276" s="12"/>
      <c r="R276" s="1"/>
    </row>
    <row r="277" ht="12.75" hidden="1" customHeight="1" outlineLevel="1">
      <c r="A277" s="17">
        <v>41410.0</v>
      </c>
      <c r="B277" s="12">
        <v>378015.73</v>
      </c>
      <c r="C277" s="19">
        <f t="shared" si="78"/>
        <v>0.009204442536</v>
      </c>
      <c r="D277" s="19">
        <f t="shared" si="77"/>
        <v>0.09212323295</v>
      </c>
      <c r="E277" s="12"/>
      <c r="F277" s="7"/>
      <c r="G277" s="7"/>
      <c r="H277" s="1"/>
      <c r="I277" s="1"/>
      <c r="J277" s="1"/>
      <c r="K277" s="1"/>
      <c r="L277" s="12">
        <f t="shared" si="79"/>
        <v>13766.60106</v>
      </c>
      <c r="M277" s="12"/>
      <c r="N277" s="15"/>
      <c r="O277" s="1"/>
      <c r="Q277" s="12"/>
      <c r="R277" s="1"/>
    </row>
    <row r="278" ht="12.75" hidden="1" customHeight="1" outlineLevel="1">
      <c r="A278" s="17">
        <v>41411.0</v>
      </c>
      <c r="B278" s="12">
        <v>380262.8</v>
      </c>
      <c r="C278" s="19">
        <f t="shared" si="78"/>
        <v>0.005944382262</v>
      </c>
      <c r="D278" s="19">
        <f t="shared" si="77"/>
        <v>0.09861523092</v>
      </c>
      <c r="E278" s="12"/>
      <c r="F278" s="7"/>
      <c r="G278" s="7"/>
      <c r="H278" s="1"/>
      <c r="I278" s="1"/>
      <c r="J278" s="1"/>
      <c r="K278" s="1"/>
      <c r="L278" s="12">
        <f t="shared" si="79"/>
        <v>13848.435</v>
      </c>
      <c r="M278" s="12"/>
      <c r="N278" s="15"/>
      <c r="O278" s="1"/>
      <c r="Q278" s="12"/>
      <c r="R278" s="1"/>
    </row>
    <row r="279" ht="12.75" hidden="1" customHeight="1" outlineLevel="1">
      <c r="A279" s="17">
        <v>41414.0</v>
      </c>
      <c r="B279" s="12">
        <v>377285.25</v>
      </c>
      <c r="C279" s="19">
        <f t="shared" si="78"/>
        <v>-0.007830242664</v>
      </c>
      <c r="D279" s="19">
        <f t="shared" si="77"/>
        <v>0.09001280707</v>
      </c>
      <c r="E279" s="12"/>
      <c r="F279" s="7"/>
      <c r="G279" s="7"/>
      <c r="H279" s="1"/>
      <c r="I279" s="1"/>
      <c r="J279" s="1"/>
      <c r="K279" s="1"/>
      <c r="L279" s="12">
        <f t="shared" si="79"/>
        <v>13739.9984</v>
      </c>
      <c r="M279" s="12"/>
      <c r="N279" s="15"/>
      <c r="O279" s="1"/>
      <c r="Q279" s="12"/>
      <c r="R279" s="1"/>
    </row>
    <row r="280" ht="12.75" hidden="1" customHeight="1" outlineLevel="1">
      <c r="A280" s="17">
        <v>41415.0</v>
      </c>
      <c r="B280" s="12">
        <v>378527.8</v>
      </c>
      <c r="C280" s="19">
        <f t="shared" si="78"/>
        <v>0.003293396707</v>
      </c>
      <c r="D280" s="19">
        <f t="shared" si="77"/>
        <v>0.09360265166</v>
      </c>
      <c r="E280" s="12"/>
      <c r="F280" s="7"/>
      <c r="G280" s="7"/>
      <c r="H280" s="1"/>
      <c r="I280" s="1"/>
      <c r="J280" s="1" t="s">
        <v>447</v>
      </c>
      <c r="K280" s="1"/>
      <c r="L280" s="12">
        <f t="shared" si="79"/>
        <v>13785.24966</v>
      </c>
      <c r="M280" s="12"/>
      <c r="N280" s="15"/>
      <c r="O280" s="1"/>
      <c r="Q280" s="12"/>
      <c r="R280" s="1"/>
    </row>
    <row r="281" ht="12.75" hidden="1" customHeight="1" outlineLevel="1">
      <c r="A281" s="17">
        <v>41416.0</v>
      </c>
      <c r="B281" s="12">
        <v>371225.25</v>
      </c>
      <c r="C281" s="19">
        <f t="shared" si="78"/>
        <v>-0.01929197803</v>
      </c>
      <c r="D281" s="19">
        <f t="shared" si="77"/>
        <v>0.07250489333</v>
      </c>
      <c r="E281" s="12"/>
      <c r="F281" s="7"/>
      <c r="G281" s="7"/>
      <c r="H281" s="1"/>
      <c r="I281" s="1"/>
      <c r="J281" s="1" t="s">
        <v>448</v>
      </c>
      <c r="K281" s="1"/>
      <c r="L281" s="12">
        <f t="shared" si="79"/>
        <v>13519.30493</v>
      </c>
      <c r="M281" s="12"/>
      <c r="N281" s="15"/>
      <c r="O281" s="1"/>
      <c r="Q281" s="12"/>
      <c r="R281" s="1"/>
    </row>
    <row r="282" ht="12.75" hidden="1" customHeight="1" outlineLevel="1">
      <c r="A282" s="17">
        <v>41417.0</v>
      </c>
      <c r="B282" s="12">
        <v>368849.1</v>
      </c>
      <c r="C282" s="19">
        <f t="shared" si="78"/>
        <v>-0.006400830762</v>
      </c>
      <c r="D282" s="19">
        <f t="shared" si="77"/>
        <v>0.06563997102</v>
      </c>
      <c r="E282" s="12"/>
      <c r="F282" s="7"/>
      <c r="G282" s="7"/>
      <c r="H282" s="1"/>
      <c r="I282" s="1"/>
      <c r="J282" s="1"/>
      <c r="K282" s="1"/>
      <c r="L282" s="12">
        <f t="shared" si="79"/>
        <v>13432.77015</v>
      </c>
      <c r="M282" s="12"/>
      <c r="N282" s="15"/>
      <c r="O282" s="1"/>
      <c r="Q282" s="12"/>
      <c r="R282" s="1"/>
    </row>
    <row r="283" ht="12.75" hidden="1" customHeight="1" outlineLevel="1">
      <c r="A283" s="17">
        <v>41418.0</v>
      </c>
      <c r="B283" s="12">
        <v>371234.27</v>
      </c>
      <c r="C283" s="19">
        <f t="shared" si="78"/>
        <v>0.006466519777</v>
      </c>
      <c r="D283" s="19">
        <f t="shared" si="77"/>
        <v>0.07253095297</v>
      </c>
      <c r="E283" s="12"/>
      <c r="F283" s="7"/>
      <c r="G283" s="7"/>
      <c r="H283" s="1"/>
      <c r="I283" s="1"/>
      <c r="J283" s="7" t="s">
        <v>449</v>
      </c>
      <c r="K283" s="1"/>
      <c r="L283" s="12">
        <f t="shared" si="79"/>
        <v>13519.63342</v>
      </c>
      <c r="M283" s="12"/>
      <c r="N283" s="15"/>
      <c r="O283" s="1"/>
      <c r="Q283" s="12"/>
      <c r="R283" s="1"/>
    </row>
    <row r="284" ht="12.75" hidden="1" customHeight="1" outlineLevel="1">
      <c r="A284" s="17">
        <v>41421.0</v>
      </c>
      <c r="B284" s="12">
        <v>371234.27</v>
      </c>
      <c r="C284" s="19">
        <f t="shared" si="78"/>
        <v>0</v>
      </c>
      <c r="D284" s="19">
        <f t="shared" si="77"/>
        <v>0.07253095297</v>
      </c>
      <c r="E284" s="12"/>
      <c r="F284" s="7"/>
      <c r="G284" s="7"/>
      <c r="H284" s="1"/>
      <c r="I284" s="1"/>
      <c r="J284" s="1"/>
      <c r="K284" s="1"/>
      <c r="L284" s="12">
        <f t="shared" si="79"/>
        <v>13519.63342</v>
      </c>
      <c r="M284" s="12"/>
      <c r="N284" s="15"/>
      <c r="O284" s="1"/>
      <c r="Q284" s="12"/>
      <c r="R284" s="1"/>
    </row>
    <row r="285" ht="12.75" hidden="1" customHeight="1" outlineLevel="1">
      <c r="A285" s="17">
        <v>41422.0</v>
      </c>
      <c r="B285" s="12">
        <v>376820.91</v>
      </c>
      <c r="C285" s="19">
        <f t="shared" si="78"/>
        <v>0.01504882618</v>
      </c>
      <c r="D285" s="19">
        <f t="shared" si="77"/>
        <v>0.08867128485</v>
      </c>
      <c r="E285" s="12"/>
      <c r="F285" s="7"/>
      <c r="G285" s="7"/>
      <c r="H285" s="1"/>
      <c r="I285" s="1"/>
      <c r="J285" s="1" t="s">
        <v>450</v>
      </c>
      <c r="K285" s="1"/>
      <c r="L285" s="12">
        <f t="shared" si="79"/>
        <v>13723.08803</v>
      </c>
      <c r="M285" s="12"/>
      <c r="N285" s="15"/>
      <c r="O285" s="1"/>
      <c r="Q285" s="12"/>
      <c r="R285" s="1"/>
    </row>
    <row r="286" ht="12.75" hidden="1" customHeight="1" outlineLevel="1">
      <c r="A286" s="17">
        <v>41423.0</v>
      </c>
      <c r="B286" s="12">
        <v>372300.65</v>
      </c>
      <c r="C286" s="19">
        <f t="shared" si="78"/>
        <v>-0.01199577805</v>
      </c>
      <c r="D286" s="19">
        <f t="shared" si="77"/>
        <v>0.07561182575</v>
      </c>
      <c r="E286" s="12"/>
      <c r="F286" s="7"/>
      <c r="G286" s="7"/>
      <c r="H286" s="1"/>
      <c r="I286" s="1"/>
      <c r="J286" s="1"/>
      <c r="K286" s="1"/>
      <c r="L286" s="12">
        <f t="shared" si="79"/>
        <v>13558.46891</v>
      </c>
      <c r="M286" s="12"/>
      <c r="N286" s="15"/>
      <c r="O286" s="1"/>
      <c r="Q286" s="12"/>
      <c r="R286" s="1"/>
    </row>
    <row r="287" ht="12.75" hidden="1" customHeight="1" outlineLevel="1">
      <c r="A287" s="17">
        <v>41424.0</v>
      </c>
      <c r="B287" s="12">
        <v>372939.52</v>
      </c>
      <c r="C287" s="19">
        <f t="shared" si="78"/>
        <v>0.001716005599</v>
      </c>
      <c r="D287" s="19">
        <f t="shared" si="77"/>
        <v>0.07745758166</v>
      </c>
      <c r="E287" s="12"/>
      <c r="F287" s="7"/>
      <c r="G287" s="7"/>
      <c r="H287" s="1"/>
      <c r="I287" s="1"/>
      <c r="J287" s="7" t="s">
        <v>451</v>
      </c>
      <c r="K287" s="7" t="s">
        <v>367</v>
      </c>
      <c r="L287" s="12">
        <f t="shared" si="79"/>
        <v>13581.73532</v>
      </c>
      <c r="M287" s="12"/>
      <c r="N287" s="15"/>
      <c r="O287" s="1"/>
      <c r="Q287" s="12"/>
      <c r="R287" s="1"/>
    </row>
    <row r="288" ht="12.75" hidden="1" customHeight="1" outlineLevel="1">
      <c r="A288" s="17">
        <v>41425.0</v>
      </c>
      <c r="B288" s="12">
        <v>369308.73</v>
      </c>
      <c r="C288" s="19">
        <f t="shared" si="78"/>
        <v>-0.009735600024</v>
      </c>
      <c r="D288" s="19">
        <f t="shared" si="77"/>
        <v>0.0669678856</v>
      </c>
      <c r="E288" s="12"/>
      <c r="F288" s="7"/>
      <c r="G288" s="7"/>
      <c r="H288" s="1"/>
      <c r="I288" s="1"/>
      <c r="J288" s="7" t="s">
        <v>450</v>
      </c>
      <c r="K288" s="19">
        <f>2889.46/2823.42-1</f>
        <v>0.02339007303</v>
      </c>
      <c r="L288" s="12">
        <f t="shared" si="79"/>
        <v>13449.50898</v>
      </c>
      <c r="M288" s="12"/>
      <c r="N288" s="15"/>
      <c r="O288" s="1"/>
      <c r="Q288" s="12"/>
      <c r="R288" s="1"/>
    </row>
    <row r="289" ht="12.75" hidden="1" customHeight="1" outlineLevel="1">
      <c r="A289" s="17"/>
      <c r="B289" s="12"/>
      <c r="C289" s="1"/>
      <c r="D289" s="1"/>
      <c r="E289" s="12"/>
      <c r="F289" s="7"/>
      <c r="G289" s="7"/>
      <c r="H289" s="1"/>
      <c r="I289" s="1"/>
      <c r="J289" s="1"/>
      <c r="K289" s="1"/>
      <c r="L289" s="12"/>
      <c r="M289" s="12"/>
      <c r="N289" s="15"/>
      <c r="O289" s="1"/>
      <c r="Q289" s="12"/>
      <c r="R289" s="1"/>
    </row>
    <row r="290" ht="12.75" hidden="1" customHeight="1" outlineLevel="1">
      <c r="A290" s="17"/>
      <c r="B290" s="12">
        <f>B288</f>
        <v>369308.73</v>
      </c>
      <c r="C290" s="19"/>
      <c r="D290" s="19">
        <f t="shared" ref="D290:D310" si="80">(B290/$B$290)-1</f>
        <v>0</v>
      </c>
      <c r="E290" s="12"/>
      <c r="F290" s="7"/>
      <c r="G290" s="7"/>
      <c r="H290" s="1"/>
      <c r="I290" s="1"/>
      <c r="J290" s="1"/>
      <c r="K290" s="1"/>
      <c r="L290" s="12"/>
      <c r="M290" s="12"/>
      <c r="N290" s="15"/>
      <c r="O290" s="1"/>
      <c r="Q290" s="12"/>
      <c r="R290" s="1"/>
    </row>
    <row r="291" ht="12.75" hidden="1" customHeight="1" outlineLevel="1">
      <c r="A291" s="17">
        <v>41428.0</v>
      </c>
      <c r="B291" s="12">
        <v>369636.05</v>
      </c>
      <c r="C291" s="19">
        <f t="shared" ref="C291:C310" si="81">(B291/B290)-1</f>
        <v>0.000886304529</v>
      </c>
      <c r="D291" s="19">
        <f t="shared" si="80"/>
        <v>0.000886304529</v>
      </c>
      <c r="E291" s="12"/>
      <c r="F291" s="7"/>
      <c r="G291" s="7"/>
      <c r="H291" s="1"/>
      <c r="I291" s="1"/>
      <c r="J291" s="1"/>
      <c r="K291" s="1"/>
      <c r="L291" s="12">
        <f t="shared" ref="L291:L310" si="82">IF(C290="",L288*(1+C291),L290*(1+C291))</f>
        <v>13461.42934</v>
      </c>
      <c r="M291" s="12"/>
      <c r="N291" s="15"/>
      <c r="O291" s="1"/>
      <c r="Q291" s="12"/>
      <c r="R291" s="1"/>
    </row>
    <row r="292" ht="12.75" hidden="1" customHeight="1" outlineLevel="1">
      <c r="A292" s="17">
        <v>41429.0</v>
      </c>
      <c r="B292" s="12">
        <v>365276.69</v>
      </c>
      <c r="C292" s="19">
        <f t="shared" si="81"/>
        <v>-0.01179365487</v>
      </c>
      <c r="D292" s="19">
        <f t="shared" si="80"/>
        <v>-0.01091780311</v>
      </c>
      <c r="E292" s="12"/>
      <c r="F292" s="7"/>
      <c r="G292" s="7"/>
      <c r="H292" s="1"/>
      <c r="I292" s="1"/>
      <c r="J292" s="1"/>
      <c r="K292" s="1"/>
      <c r="L292" s="12">
        <f t="shared" si="82"/>
        <v>13302.66989</v>
      </c>
      <c r="M292" s="12"/>
      <c r="N292" s="15"/>
      <c r="O292" s="1"/>
      <c r="Q292" s="12"/>
      <c r="R292" s="1"/>
    </row>
    <row r="293" ht="12.75" hidden="1" customHeight="1" outlineLevel="1">
      <c r="A293" s="17">
        <v>41430.0</v>
      </c>
      <c r="B293" s="12">
        <v>363921.33</v>
      </c>
      <c r="C293" s="19">
        <f t="shared" si="81"/>
        <v>-0.003710502304</v>
      </c>
      <c r="D293" s="19">
        <f t="shared" si="80"/>
        <v>-0.01458779488</v>
      </c>
      <c r="E293" s="12"/>
      <c r="F293" s="7"/>
      <c r="G293" s="7"/>
      <c r="H293" s="1"/>
      <c r="I293" s="1"/>
      <c r="J293" s="1"/>
      <c r="K293" s="1"/>
      <c r="L293" s="12">
        <f t="shared" si="82"/>
        <v>13253.3103</v>
      </c>
      <c r="M293" s="12"/>
      <c r="N293" s="15"/>
      <c r="O293" s="1"/>
      <c r="Q293" s="12"/>
      <c r="R293" s="1"/>
    </row>
    <row r="294" ht="12.75" hidden="1" customHeight="1" outlineLevel="1">
      <c r="A294" s="17">
        <v>41431.0</v>
      </c>
      <c r="B294" s="12">
        <v>369743.34</v>
      </c>
      <c r="C294" s="19">
        <f t="shared" si="81"/>
        <v>0.01599799055</v>
      </c>
      <c r="D294" s="19">
        <f t="shared" si="80"/>
        <v>0.001176820272</v>
      </c>
      <c r="E294" s="12"/>
      <c r="F294" s="7"/>
      <c r="G294" s="7"/>
      <c r="H294" s="1"/>
      <c r="I294" s="1"/>
      <c r="J294" s="1"/>
      <c r="K294" s="1"/>
      <c r="L294" s="12">
        <f t="shared" si="82"/>
        <v>13465.33663</v>
      </c>
      <c r="M294" s="12"/>
      <c r="N294" s="15"/>
      <c r="O294" s="1"/>
      <c r="Q294" s="12"/>
      <c r="R294" s="1"/>
    </row>
    <row r="295" ht="12.75" hidden="1" customHeight="1" outlineLevel="1">
      <c r="A295" s="17">
        <v>41432.0</v>
      </c>
      <c r="B295" s="12">
        <v>375491.66</v>
      </c>
      <c r="C295" s="19">
        <f t="shared" si="81"/>
        <v>0.01554678443</v>
      </c>
      <c r="D295" s="19">
        <f t="shared" si="80"/>
        <v>0.01674190047</v>
      </c>
      <c r="E295" s="12"/>
      <c r="F295" s="7"/>
      <c r="G295" s="7"/>
      <c r="H295" s="1"/>
      <c r="I295" s="1"/>
      <c r="J295" s="1"/>
      <c r="K295" s="1"/>
      <c r="L295" s="12">
        <f t="shared" si="82"/>
        <v>13674.67932</v>
      </c>
      <c r="M295" s="12"/>
      <c r="N295" s="15"/>
      <c r="O295" s="1"/>
      <c r="Q295" s="12"/>
      <c r="R295" s="1"/>
    </row>
    <row r="296" ht="12.75" hidden="1" customHeight="1" outlineLevel="1">
      <c r="A296" s="17">
        <v>41435.0</v>
      </c>
      <c r="B296" s="12">
        <v>377367.9</v>
      </c>
      <c r="C296" s="19">
        <f t="shared" si="81"/>
        <v>0.004996755454</v>
      </c>
      <c r="D296" s="19">
        <f t="shared" si="80"/>
        <v>0.02182231111</v>
      </c>
      <c r="E296" s="12"/>
      <c r="F296" s="7"/>
      <c r="G296" s="7"/>
      <c r="H296" s="1"/>
      <c r="I296" s="1"/>
      <c r="J296" s="1"/>
      <c r="K296" s="1"/>
      <c r="L296" s="12">
        <f t="shared" si="82"/>
        <v>13743.00835</v>
      </c>
      <c r="M296" s="12"/>
      <c r="N296" s="15"/>
      <c r="O296" s="1"/>
      <c r="Q296" s="12"/>
      <c r="R296" s="1"/>
    </row>
    <row r="297" ht="12.75" hidden="1" customHeight="1" outlineLevel="1">
      <c r="A297" s="17">
        <v>41436.0</v>
      </c>
      <c r="B297" s="12">
        <v>373787.22</v>
      </c>
      <c r="C297" s="19">
        <f t="shared" si="81"/>
        <v>-0.009488565403</v>
      </c>
      <c r="D297" s="19">
        <f t="shared" si="80"/>
        <v>0.01212668328</v>
      </c>
      <c r="E297" s="12"/>
      <c r="F297" s="7"/>
      <c r="G297" s="7"/>
      <c r="H297" s="1"/>
      <c r="I297" s="1"/>
      <c r="J297" s="1"/>
      <c r="K297" s="1"/>
      <c r="L297" s="12">
        <f t="shared" si="82"/>
        <v>13612.60692</v>
      </c>
      <c r="M297" s="12"/>
      <c r="N297" s="15"/>
      <c r="O297" s="1"/>
      <c r="Q297" s="12"/>
      <c r="R297" s="1"/>
    </row>
    <row r="298" ht="12.75" hidden="1" customHeight="1" outlineLevel="1">
      <c r="A298" s="17">
        <v>41437.0</v>
      </c>
      <c r="B298" s="12">
        <v>368914.66</v>
      </c>
      <c r="C298" s="19">
        <f t="shared" si="81"/>
        <v>-0.01303565167</v>
      </c>
      <c r="D298" s="19">
        <f t="shared" si="80"/>
        <v>-0.001067047616</v>
      </c>
      <c r="E298" s="12"/>
      <c r="F298" s="7"/>
      <c r="G298" s="7"/>
      <c r="H298" s="1"/>
      <c r="I298" s="1"/>
      <c r="J298" s="1"/>
      <c r="K298" s="1"/>
      <c r="L298" s="12">
        <f t="shared" si="82"/>
        <v>13435.15771</v>
      </c>
      <c r="M298" s="12"/>
      <c r="N298" s="15"/>
      <c r="O298" s="1"/>
      <c r="Q298" s="12"/>
      <c r="R298" s="1"/>
    </row>
    <row r="299" ht="12.75" hidden="1" customHeight="1" outlineLevel="1">
      <c r="A299" s="17">
        <v>41438.0</v>
      </c>
      <c r="B299" s="12">
        <v>373070.15</v>
      </c>
      <c r="C299" s="19">
        <f t="shared" si="81"/>
        <v>0.0112640956</v>
      </c>
      <c r="D299" s="19">
        <f t="shared" si="80"/>
        <v>0.01018502866</v>
      </c>
      <c r="E299" s="12"/>
      <c r="F299" s="7"/>
      <c r="G299" s="7"/>
      <c r="H299" s="1"/>
      <c r="I299" s="1"/>
      <c r="J299" s="1"/>
      <c r="K299" s="1"/>
      <c r="L299" s="12">
        <f t="shared" si="82"/>
        <v>13586.49261</v>
      </c>
      <c r="M299" s="12"/>
      <c r="N299" s="15"/>
      <c r="O299" s="1"/>
      <c r="Q299" s="12"/>
      <c r="R299" s="1"/>
    </row>
    <row r="300" ht="12.75" hidden="1" customHeight="1" outlineLevel="1">
      <c r="A300" s="17">
        <v>41439.0</v>
      </c>
      <c r="B300" s="12">
        <v>374425.13</v>
      </c>
      <c r="C300" s="19">
        <f t="shared" si="81"/>
        <v>0.003631971092</v>
      </c>
      <c r="D300" s="19">
        <f t="shared" si="80"/>
        <v>0.01385399148</v>
      </c>
      <c r="E300" s="12"/>
      <c r="F300" s="7"/>
      <c r="G300" s="7"/>
      <c r="H300" s="1"/>
      <c r="I300" s="1"/>
      <c r="J300" s="1"/>
      <c r="K300" s="1"/>
      <c r="L300" s="12">
        <f t="shared" si="82"/>
        <v>13635.83836</v>
      </c>
      <c r="M300" s="12"/>
      <c r="N300" s="15"/>
      <c r="O300" s="1"/>
      <c r="Q300" s="12"/>
      <c r="R300" s="1"/>
    </row>
    <row r="301" ht="12.75" hidden="1" customHeight="1" outlineLevel="1">
      <c r="A301" s="17">
        <v>41442.0</v>
      </c>
      <c r="B301" s="12">
        <v>377953.35</v>
      </c>
      <c r="C301" s="19">
        <f t="shared" si="81"/>
        <v>0.009423032049</v>
      </c>
      <c r="D301" s="19">
        <f t="shared" si="80"/>
        <v>0.02340757014</v>
      </c>
      <c r="E301" s="12"/>
      <c r="F301" s="7"/>
      <c r="G301" s="7"/>
      <c r="H301" s="1"/>
      <c r="I301" s="1"/>
      <c r="J301" s="1"/>
      <c r="K301" s="1"/>
      <c r="L301" s="12">
        <f t="shared" si="82"/>
        <v>13764.3293</v>
      </c>
      <c r="M301" s="12"/>
      <c r="N301" s="15"/>
      <c r="O301" s="1"/>
      <c r="Q301" s="12"/>
      <c r="R301" s="1"/>
    </row>
    <row r="302" ht="12.75" hidden="1" customHeight="1" outlineLevel="1">
      <c r="A302" s="17">
        <v>41443.0</v>
      </c>
      <c r="B302" s="12">
        <v>379702.51</v>
      </c>
      <c r="C302" s="19">
        <f t="shared" si="81"/>
        <v>0.004627978559</v>
      </c>
      <c r="D302" s="19">
        <f t="shared" si="80"/>
        <v>0.02814387843</v>
      </c>
      <c r="E302" s="12"/>
      <c r="F302" s="7"/>
      <c r="G302" s="7"/>
      <c r="H302" s="1"/>
      <c r="I302" s="1"/>
      <c r="J302" s="1"/>
      <c r="K302" s="1"/>
      <c r="L302" s="12">
        <f t="shared" si="82"/>
        <v>13828.03033</v>
      </c>
      <c r="M302" s="12"/>
      <c r="N302" s="15"/>
      <c r="O302" s="1"/>
      <c r="Q302" s="12"/>
      <c r="R302" s="1"/>
    </row>
    <row r="303" ht="12.75" hidden="1" customHeight="1" outlineLevel="1">
      <c r="A303" s="17">
        <v>41444.0</v>
      </c>
      <c r="B303" s="12">
        <v>377710.08</v>
      </c>
      <c r="C303" s="19">
        <f t="shared" si="81"/>
        <v>-0.005247344823</v>
      </c>
      <c r="D303" s="19">
        <f t="shared" si="80"/>
        <v>0.02274885297</v>
      </c>
      <c r="E303" s="12"/>
      <c r="F303" s="7"/>
      <c r="G303" s="7"/>
      <c r="H303" s="1"/>
      <c r="I303" s="1"/>
      <c r="J303" s="1"/>
      <c r="K303" s="1"/>
      <c r="L303" s="12">
        <f t="shared" si="82"/>
        <v>13755.46988</v>
      </c>
      <c r="M303" s="12"/>
      <c r="N303" s="15"/>
      <c r="O303" s="1"/>
      <c r="Q303" s="12"/>
      <c r="R303" s="1"/>
    </row>
    <row r="304" ht="12.75" hidden="1" customHeight="1" outlineLevel="1">
      <c r="A304" s="17">
        <v>41445.0</v>
      </c>
      <c r="B304" s="12">
        <v>371120.3</v>
      </c>
      <c r="C304" s="19">
        <f t="shared" si="81"/>
        <v>-0.01744666174</v>
      </c>
      <c r="D304" s="19">
        <f t="shared" si="80"/>
        <v>0.004905299693</v>
      </c>
      <c r="E304" s="12"/>
      <c r="F304" s="7"/>
      <c r="G304" s="7"/>
      <c r="H304" s="1"/>
      <c r="I304" s="1"/>
      <c r="J304" s="1"/>
      <c r="K304" s="1"/>
      <c r="L304" s="12">
        <f t="shared" si="82"/>
        <v>13515.48285</v>
      </c>
      <c r="M304" s="12"/>
      <c r="N304" s="15"/>
      <c r="O304" s="1"/>
      <c r="Q304" s="12"/>
      <c r="R304" s="1"/>
    </row>
    <row r="305" ht="12.75" hidden="1" customHeight="1" outlineLevel="1">
      <c r="A305" s="17">
        <v>41446.0</v>
      </c>
      <c r="B305" s="12">
        <v>365138.85</v>
      </c>
      <c r="C305" s="19">
        <f t="shared" si="81"/>
        <v>-0.01611728057</v>
      </c>
      <c r="D305" s="19">
        <f t="shared" si="80"/>
        <v>-0.01129104097</v>
      </c>
      <c r="E305" s="12"/>
      <c r="F305" s="7"/>
      <c r="G305" s="7"/>
      <c r="H305" s="1"/>
      <c r="I305" s="1"/>
      <c r="J305" s="1"/>
      <c r="K305" s="1"/>
      <c r="L305" s="12">
        <f t="shared" si="82"/>
        <v>13297.65002</v>
      </c>
      <c r="M305" s="12"/>
      <c r="N305" s="15"/>
      <c r="O305" s="1"/>
      <c r="Q305" s="12"/>
      <c r="R305" s="1"/>
    </row>
    <row r="306" ht="12.75" hidden="1" customHeight="1" outlineLevel="1">
      <c r="A306" s="17">
        <v>41449.0</v>
      </c>
      <c r="B306" s="12">
        <v>358110.78</v>
      </c>
      <c r="C306" s="19">
        <f t="shared" si="81"/>
        <v>-0.01924766428</v>
      </c>
      <c r="D306" s="19">
        <f t="shared" si="80"/>
        <v>-0.03032137908</v>
      </c>
      <c r="E306" s="12"/>
      <c r="F306" s="7"/>
      <c r="G306" s="7"/>
      <c r="H306" s="1"/>
      <c r="I306" s="1"/>
      <c r="J306" s="1"/>
      <c r="K306" s="1"/>
      <c r="L306" s="12">
        <f t="shared" si="82"/>
        <v>13041.70132</v>
      </c>
      <c r="M306" s="12"/>
      <c r="N306" s="15"/>
      <c r="O306" s="1"/>
      <c r="Q306" s="12"/>
      <c r="R306" s="1"/>
    </row>
    <row r="307" ht="12.75" hidden="1" customHeight="1" outlineLevel="1">
      <c r="A307" s="17">
        <v>41450.0</v>
      </c>
      <c r="B307" s="12">
        <v>362744.08</v>
      </c>
      <c r="C307" s="19">
        <f t="shared" si="81"/>
        <v>0.01293817516</v>
      </c>
      <c r="D307" s="19">
        <f t="shared" si="80"/>
        <v>-0.01777550723</v>
      </c>
      <c r="E307" s="12"/>
      <c r="F307" s="7"/>
      <c r="G307" s="7"/>
      <c r="H307" s="1"/>
      <c r="I307" s="1"/>
      <c r="J307" s="1"/>
      <c r="K307" s="1"/>
      <c r="L307" s="12">
        <f t="shared" si="82"/>
        <v>13210.43714</v>
      </c>
      <c r="M307" s="12"/>
      <c r="N307" s="15"/>
      <c r="O307" s="1"/>
      <c r="Q307" s="12"/>
      <c r="R307" s="1"/>
    </row>
    <row r="308" ht="12.75" hidden="1" customHeight="1" outlineLevel="1">
      <c r="A308" s="17">
        <v>41451.0</v>
      </c>
      <c r="B308" s="12">
        <v>365380.85</v>
      </c>
      <c r="C308" s="19">
        <f t="shared" si="81"/>
        <v>0.007268953914</v>
      </c>
      <c r="D308" s="19">
        <f t="shared" si="80"/>
        <v>-0.01063576266</v>
      </c>
      <c r="E308" s="12"/>
      <c r="F308" s="7"/>
      <c r="G308" s="7"/>
      <c r="H308" s="1"/>
      <c r="I308" s="1"/>
      <c r="J308" s="1"/>
      <c r="K308" s="1"/>
      <c r="L308" s="12">
        <f t="shared" si="82"/>
        <v>13306.46319</v>
      </c>
      <c r="M308" s="12"/>
      <c r="N308" s="15"/>
      <c r="O308" s="1"/>
      <c r="Q308" s="12"/>
      <c r="R308" s="1"/>
    </row>
    <row r="309" ht="12.75" hidden="1" customHeight="1" outlineLevel="1">
      <c r="A309" s="17">
        <v>41452.0</v>
      </c>
      <c r="B309" s="12">
        <v>370870.06</v>
      </c>
      <c r="C309" s="19">
        <f t="shared" si="81"/>
        <v>0.01502325587</v>
      </c>
      <c r="D309" s="19">
        <f t="shared" si="80"/>
        <v>0.004227709429</v>
      </c>
      <c r="E309" s="12"/>
      <c r="F309" s="7"/>
      <c r="G309" s="7"/>
      <c r="H309" s="1"/>
      <c r="I309" s="1"/>
      <c r="J309" s="1"/>
      <c r="K309" s="7" t="s">
        <v>367</v>
      </c>
      <c r="L309" s="12">
        <f t="shared" si="82"/>
        <v>13506.3696</v>
      </c>
      <c r="M309" s="12"/>
      <c r="N309" s="15"/>
      <c r="O309" s="1"/>
      <c r="Q309" s="12"/>
      <c r="R309" s="1"/>
    </row>
    <row r="310" ht="12.75" hidden="1" customHeight="1" outlineLevel="1">
      <c r="A310" s="17">
        <v>41453.0</v>
      </c>
      <c r="B310" s="12">
        <f>370179.71</f>
        <v>370179.71</v>
      </c>
      <c r="C310" s="19">
        <f t="shared" si="81"/>
        <v>-0.001861433624</v>
      </c>
      <c r="D310" s="19">
        <f t="shared" si="80"/>
        <v>0.002358406204</v>
      </c>
      <c r="E310" s="12"/>
      <c r="F310" s="7"/>
      <c r="G310" s="7"/>
      <c r="H310" s="1"/>
      <c r="I310" s="1"/>
      <c r="J310" s="1"/>
      <c r="K310" s="19">
        <f>2850.66/2889.46-1</f>
        <v>-0.0134281146</v>
      </c>
      <c r="L310" s="12">
        <f t="shared" si="82"/>
        <v>13481.22839</v>
      </c>
      <c r="M310" s="12"/>
      <c r="N310" s="15"/>
      <c r="O310" s="1"/>
      <c r="Q310" s="12"/>
      <c r="R310" s="1"/>
    </row>
    <row r="311" ht="12.75" hidden="1" customHeight="1" outlineLevel="1">
      <c r="A311" s="17"/>
      <c r="B311" s="12"/>
      <c r="C311" s="1"/>
      <c r="D311" s="1"/>
      <c r="E311" s="12"/>
      <c r="F311" s="7"/>
      <c r="G311" s="7"/>
      <c r="H311" s="1"/>
      <c r="I311" s="1"/>
      <c r="J311" s="1"/>
      <c r="K311" s="1"/>
      <c r="L311" s="12"/>
      <c r="M311" s="12"/>
      <c r="N311" s="15"/>
      <c r="O311" s="1"/>
      <c r="Q311" s="12"/>
      <c r="R311" s="1"/>
    </row>
    <row r="312" ht="12.75" hidden="1" customHeight="1" outlineLevel="1">
      <c r="A312" s="17"/>
      <c r="B312" s="12">
        <f>B310</f>
        <v>370179.71</v>
      </c>
      <c r="C312" s="19"/>
      <c r="D312" s="19">
        <f t="shared" ref="D312:D335" si="83">(B312/$B$312)-1</f>
        <v>0</v>
      </c>
      <c r="E312" s="12"/>
      <c r="F312" s="7"/>
      <c r="G312" s="7"/>
      <c r="H312" s="1"/>
      <c r="I312" s="1"/>
      <c r="J312" s="1"/>
      <c r="K312" s="1"/>
      <c r="L312" s="12"/>
      <c r="M312" s="12"/>
      <c r="N312" s="15"/>
      <c r="O312" s="1"/>
      <c r="Q312" s="12"/>
      <c r="R312" s="1"/>
    </row>
    <row r="313" ht="12.75" hidden="1" customHeight="1" outlineLevel="1">
      <c r="A313" s="17">
        <v>41456.0</v>
      </c>
      <c r="B313" s="12">
        <v>370456.68</v>
      </c>
      <c r="C313" s="19">
        <f t="shared" ref="C313:C335" si="84">(B313/B312)-1</f>
        <v>0.0007482041628</v>
      </c>
      <c r="D313" s="19">
        <f t="shared" si="83"/>
        <v>0.0007482041628</v>
      </c>
      <c r="E313" s="12"/>
      <c r="F313" s="7"/>
      <c r="G313" s="7"/>
      <c r="H313" s="1"/>
      <c r="I313" s="1"/>
      <c r="J313" s="1"/>
      <c r="K313" s="1"/>
      <c r="L313" s="12">
        <f t="shared" ref="L313:L335" si="85">IF(C312="",L310*(1+C313),L312*(1+C313))</f>
        <v>13491.3151</v>
      </c>
      <c r="M313" s="12"/>
      <c r="N313" s="15"/>
      <c r="O313" s="1"/>
      <c r="Q313" s="12"/>
      <c r="R313" s="1"/>
    </row>
    <row r="314" ht="12.75" hidden="1" customHeight="1" outlineLevel="1">
      <c r="A314" s="17">
        <v>41457.0</v>
      </c>
      <c r="B314" s="12">
        <v>365289.4</v>
      </c>
      <c r="C314" s="19">
        <f t="shared" si="84"/>
        <v>-0.01394840552</v>
      </c>
      <c r="D314" s="19">
        <f t="shared" si="83"/>
        <v>-0.01321063761</v>
      </c>
      <c r="E314" s="12"/>
      <c r="F314" s="7"/>
      <c r="G314" s="7"/>
      <c r="H314" s="1"/>
      <c r="I314" s="1"/>
      <c r="J314" s="1"/>
      <c r="K314" s="1"/>
      <c r="L314" s="12">
        <f t="shared" si="85"/>
        <v>13303.13276</v>
      </c>
      <c r="M314" s="12"/>
      <c r="N314" s="15"/>
      <c r="O314" s="1"/>
      <c r="Q314" s="12"/>
      <c r="R314" s="1"/>
    </row>
    <row r="315" ht="12.75" hidden="1" customHeight="1" outlineLevel="1">
      <c r="A315" s="17">
        <v>41458.0</v>
      </c>
      <c r="B315" s="12">
        <v>363466.9</v>
      </c>
      <c r="C315" s="19">
        <f t="shared" si="84"/>
        <v>-0.004989194869</v>
      </c>
      <c r="D315" s="19">
        <f t="shared" si="83"/>
        <v>-0.01813392203</v>
      </c>
      <c r="E315" s="12"/>
      <c r="F315" s="7"/>
      <c r="G315" s="7"/>
      <c r="H315" s="1"/>
      <c r="I315" s="1"/>
      <c r="J315" s="1"/>
      <c r="K315" s="1"/>
      <c r="L315" s="12">
        <f t="shared" si="85"/>
        <v>13236.76084</v>
      </c>
      <c r="M315" s="12"/>
      <c r="N315" s="15"/>
      <c r="O315" s="1"/>
      <c r="Q315" s="12"/>
      <c r="R315" s="1"/>
    </row>
    <row r="316" ht="12.75" hidden="1" customHeight="1" outlineLevel="1">
      <c r="A316" s="17">
        <v>41459.0</v>
      </c>
      <c r="B316" s="12">
        <f>B315</f>
        <v>363466.9</v>
      </c>
      <c r="C316" s="19">
        <f t="shared" si="84"/>
        <v>0</v>
      </c>
      <c r="D316" s="19">
        <f t="shared" si="83"/>
        <v>-0.01813392203</v>
      </c>
      <c r="E316" s="12"/>
      <c r="F316" s="7"/>
      <c r="G316" s="7"/>
      <c r="H316" s="1"/>
      <c r="I316" s="1"/>
      <c r="J316" s="1"/>
      <c r="K316" s="1"/>
      <c r="L316" s="12">
        <f t="shared" si="85"/>
        <v>13236.76084</v>
      </c>
      <c r="M316" s="12"/>
      <c r="N316" s="15"/>
      <c r="O316" s="1"/>
      <c r="Q316" s="12"/>
      <c r="R316" s="1"/>
    </row>
    <row r="317" ht="12.75" hidden="1" customHeight="1" outlineLevel="1">
      <c r="A317" s="17">
        <v>41460.0</v>
      </c>
      <c r="B317" s="12">
        <v>365926.67</v>
      </c>
      <c r="C317" s="19">
        <f t="shared" si="84"/>
        <v>0.006767521334</v>
      </c>
      <c r="D317" s="19">
        <f t="shared" si="83"/>
        <v>-0.0114891224</v>
      </c>
      <c r="E317" s="12"/>
      <c r="F317" s="7"/>
      <c r="G317" s="7"/>
      <c r="H317" s="1"/>
      <c r="I317" s="1"/>
      <c r="J317" s="1"/>
      <c r="K317" s="1"/>
      <c r="L317" s="12">
        <f t="shared" si="85"/>
        <v>13326.3409</v>
      </c>
      <c r="M317" s="12"/>
      <c r="N317" s="15"/>
      <c r="O317" s="1"/>
      <c r="Q317" s="12"/>
      <c r="R317" s="1"/>
    </row>
    <row r="318" ht="12.75" hidden="1" customHeight="1" outlineLevel="1">
      <c r="A318" s="17">
        <v>41463.0</v>
      </c>
      <c r="B318" s="12">
        <v>370152.98</v>
      </c>
      <c r="C318" s="19">
        <f t="shared" si="84"/>
        <v>0.01154960911</v>
      </c>
      <c r="D318" s="19">
        <f t="shared" si="83"/>
        <v>-0.00007220817154</v>
      </c>
      <c r="E318" s="12"/>
      <c r="F318" s="7"/>
      <c r="G318" s="7"/>
      <c r="H318" s="1"/>
      <c r="I318" s="1"/>
      <c r="J318" s="1"/>
      <c r="K318" s="1"/>
      <c r="L318" s="12">
        <f t="shared" si="85"/>
        <v>13480.25493</v>
      </c>
      <c r="M318" s="12"/>
      <c r="N318" s="15"/>
      <c r="O318" s="1"/>
      <c r="Q318" s="12"/>
      <c r="R318" s="1"/>
    </row>
    <row r="319" ht="12.75" hidden="1" customHeight="1" outlineLevel="1">
      <c r="A319" s="17">
        <v>41464.0</v>
      </c>
      <c r="B319" s="12">
        <v>371237.16</v>
      </c>
      <c r="C319" s="19">
        <f t="shared" si="84"/>
        <v>0.002929005191</v>
      </c>
      <c r="D319" s="19">
        <f t="shared" si="83"/>
        <v>0.002856585522</v>
      </c>
      <c r="E319" s="12"/>
      <c r="F319" s="7"/>
      <c r="G319" s="7"/>
      <c r="H319" s="1"/>
      <c r="I319" s="1"/>
      <c r="J319" s="1"/>
      <c r="K319" s="1"/>
      <c r="L319" s="12">
        <f t="shared" si="85"/>
        <v>13519.73867</v>
      </c>
      <c r="M319" s="12"/>
      <c r="N319" s="15"/>
      <c r="O319" s="1"/>
      <c r="Q319" s="12"/>
      <c r="R319" s="1"/>
    </row>
    <row r="320" ht="12.75" hidden="1" customHeight="1" outlineLevel="1">
      <c r="A320" s="17">
        <v>41465.0</v>
      </c>
      <c r="B320" s="12">
        <v>371624.69</v>
      </c>
      <c r="C320" s="19">
        <f t="shared" si="84"/>
        <v>0.001043887956</v>
      </c>
      <c r="D320" s="19">
        <f t="shared" si="83"/>
        <v>0.003903455432</v>
      </c>
      <c r="E320" s="12"/>
      <c r="F320" s="7"/>
      <c r="G320" s="7"/>
      <c r="H320" s="1"/>
      <c r="I320" s="1"/>
      <c r="J320" s="1"/>
      <c r="K320" s="1"/>
      <c r="L320" s="12">
        <f t="shared" si="85"/>
        <v>13533.85176</v>
      </c>
      <c r="M320" s="12"/>
      <c r="N320" s="15"/>
      <c r="O320" s="1"/>
      <c r="Q320" s="12"/>
      <c r="R320" s="1"/>
    </row>
    <row r="321" ht="12.75" hidden="1" customHeight="1" outlineLevel="1">
      <c r="A321" s="17">
        <v>41466.0</v>
      </c>
      <c r="B321" s="12">
        <v>373522.5</v>
      </c>
      <c r="C321" s="19">
        <f t="shared" si="84"/>
        <v>0.005106792016</v>
      </c>
      <c r="D321" s="19">
        <f t="shared" si="83"/>
        <v>0.009030181584</v>
      </c>
      <c r="E321" s="12"/>
      <c r="F321" s="7"/>
      <c r="G321" s="7"/>
      <c r="H321" s="1"/>
      <c r="I321" s="1"/>
      <c r="J321" s="1" t="s">
        <v>461</v>
      </c>
      <c r="K321" s="1"/>
      <c r="L321" s="12">
        <f t="shared" si="85"/>
        <v>13602.96633</v>
      </c>
      <c r="M321" s="12"/>
      <c r="N321" s="15"/>
      <c r="O321" s="1"/>
      <c r="Q321" s="12"/>
      <c r="R321" s="1"/>
    </row>
    <row r="322" ht="12.75" hidden="1" customHeight="1" outlineLevel="1">
      <c r="A322" s="17">
        <v>41467.0</v>
      </c>
      <c r="B322" s="12">
        <v>378320.89</v>
      </c>
      <c r="C322" s="19">
        <f t="shared" si="84"/>
        <v>0.01284632117</v>
      </c>
      <c r="D322" s="19">
        <f t="shared" si="83"/>
        <v>0.02199250737</v>
      </c>
      <c r="E322" s="12"/>
      <c r="F322" s="7"/>
      <c r="G322" s="7"/>
      <c r="H322" s="1"/>
      <c r="I322" s="1"/>
      <c r="J322" s="1"/>
      <c r="K322" s="1"/>
      <c r="L322" s="12">
        <f t="shared" si="85"/>
        <v>13777.7144</v>
      </c>
      <c r="M322" s="12"/>
      <c r="N322" s="15"/>
      <c r="O322" s="1"/>
      <c r="Q322" s="12"/>
      <c r="R322" s="1"/>
    </row>
    <row r="323" ht="12.75" hidden="1" customHeight="1" outlineLevel="1">
      <c r="A323" s="17">
        <v>41470.0</v>
      </c>
      <c r="B323" s="12">
        <v>376818.72</v>
      </c>
      <c r="C323" s="19">
        <f t="shared" si="84"/>
        <v>-0.003970623985</v>
      </c>
      <c r="D323" s="19">
        <f t="shared" si="83"/>
        <v>0.01793455941</v>
      </c>
      <c r="E323" s="12"/>
      <c r="F323" s="7"/>
      <c r="G323" s="7"/>
      <c r="H323" s="1"/>
      <c r="I323" s="1"/>
      <c r="J323" s="1"/>
      <c r="K323" s="1"/>
      <c r="L323" s="12">
        <f t="shared" si="85"/>
        <v>13723.00828</v>
      </c>
      <c r="M323" s="12"/>
      <c r="N323" s="15"/>
      <c r="O323" s="1"/>
      <c r="Q323" s="12"/>
      <c r="R323" s="1"/>
    </row>
    <row r="324" ht="12.75" hidden="1" customHeight="1" outlineLevel="1">
      <c r="A324" s="17">
        <v>41471.0</v>
      </c>
      <c r="B324" s="12">
        <v>374418.58</v>
      </c>
      <c r="C324" s="19">
        <f t="shared" si="84"/>
        <v>-0.006369481856</v>
      </c>
      <c r="D324" s="19">
        <f t="shared" si="83"/>
        <v>0.0114508437</v>
      </c>
      <c r="E324" s="12"/>
      <c r="F324" s="7"/>
      <c r="G324" s="7"/>
      <c r="H324" s="1"/>
      <c r="I324" s="1"/>
      <c r="J324" s="1"/>
      <c r="K324" s="1"/>
      <c r="L324" s="12">
        <f t="shared" si="85"/>
        <v>13635.59982</v>
      </c>
      <c r="M324" s="12"/>
      <c r="N324" s="15"/>
      <c r="O324" s="1"/>
      <c r="Q324" s="12"/>
      <c r="R324" s="1"/>
    </row>
    <row r="325" ht="12.75" hidden="1" customHeight="1" outlineLevel="1">
      <c r="A325" s="17">
        <v>41472.0</v>
      </c>
      <c r="B325" s="12">
        <v>376074.89</v>
      </c>
      <c r="C325" s="19">
        <f t="shared" si="84"/>
        <v>0.004423685384</v>
      </c>
      <c r="D325" s="19">
        <f t="shared" si="83"/>
        <v>0.01592518401</v>
      </c>
      <c r="E325" s="12"/>
      <c r="F325" s="7"/>
      <c r="G325" s="7"/>
      <c r="H325" s="1"/>
      <c r="I325" s="1"/>
      <c r="J325" s="1"/>
      <c r="K325" s="1"/>
      <c r="L325" s="12">
        <f t="shared" si="85"/>
        <v>13695.91943</v>
      </c>
      <c r="M325" s="12"/>
      <c r="N325" s="15"/>
      <c r="O325" s="1"/>
      <c r="Q325" s="12"/>
      <c r="R325" s="1"/>
    </row>
    <row r="326" ht="12.75" hidden="1" customHeight="1" outlineLevel="1">
      <c r="A326" s="17">
        <v>41473.0</v>
      </c>
      <c r="B326" s="12">
        <v>379234.44</v>
      </c>
      <c r="C326" s="19">
        <f t="shared" si="84"/>
        <v>0.00840138516</v>
      </c>
      <c r="D326" s="19">
        <f t="shared" si="83"/>
        <v>0.02446036278</v>
      </c>
      <c r="E326" s="12"/>
      <c r="F326" s="7"/>
      <c r="G326" s="7"/>
      <c r="H326" s="1"/>
      <c r="I326" s="1"/>
      <c r="J326" s="1"/>
      <c r="K326" s="1"/>
      <c r="L326" s="12">
        <f t="shared" si="85"/>
        <v>13810.98412</v>
      </c>
      <c r="M326" s="12"/>
      <c r="N326" s="15"/>
      <c r="O326" s="1"/>
      <c r="Q326" s="12"/>
      <c r="R326" s="1"/>
    </row>
    <row r="327" ht="12.75" hidden="1" customHeight="1" outlineLevel="1">
      <c r="A327" s="17">
        <v>41474.0</v>
      </c>
      <c r="B327" s="12">
        <v>380215.56</v>
      </c>
      <c r="C327" s="19">
        <f t="shared" si="84"/>
        <v>0.002587106804</v>
      </c>
      <c r="D327" s="19">
        <f t="shared" si="83"/>
        <v>0.02711075115</v>
      </c>
      <c r="E327" s="12"/>
      <c r="F327" s="7"/>
      <c r="G327" s="7"/>
      <c r="H327" s="1"/>
      <c r="I327" s="1"/>
      <c r="J327" s="1"/>
      <c r="K327" s="1"/>
      <c r="L327" s="12">
        <f t="shared" si="85"/>
        <v>13846.71461</v>
      </c>
      <c r="M327" s="12"/>
      <c r="N327" s="15"/>
      <c r="O327" s="1"/>
      <c r="Q327" s="12"/>
      <c r="R327" s="1"/>
    </row>
    <row r="328" ht="12.75" hidden="1" customHeight="1" outlineLevel="1">
      <c r="A328" s="17">
        <v>41477.0</v>
      </c>
      <c r="B328" s="12">
        <v>378949.48</v>
      </c>
      <c r="C328" s="19">
        <f t="shared" si="84"/>
        <v>-0.003329900544</v>
      </c>
      <c r="D328" s="19">
        <f t="shared" si="83"/>
        <v>0.02369057451</v>
      </c>
      <c r="E328" s="12"/>
      <c r="F328" s="7"/>
      <c r="G328" s="7"/>
      <c r="H328" s="1"/>
      <c r="I328" s="1"/>
      <c r="J328" s="1"/>
      <c r="K328" s="1"/>
      <c r="L328" s="12">
        <f t="shared" si="85"/>
        <v>13800.60643</v>
      </c>
      <c r="M328" s="12"/>
      <c r="N328" s="15"/>
      <c r="O328" s="1"/>
      <c r="Q328" s="12"/>
      <c r="R328" s="1"/>
    </row>
    <row r="329" ht="12.75" hidden="1" customHeight="1" outlineLevel="1">
      <c r="A329" s="17">
        <v>41478.0</v>
      </c>
      <c r="B329" s="12">
        <v>372944.44</v>
      </c>
      <c r="C329" s="19">
        <f t="shared" si="84"/>
        <v>-0.01584654503</v>
      </c>
      <c r="D329" s="19">
        <f t="shared" si="83"/>
        <v>0.007468615716</v>
      </c>
      <c r="E329" s="12"/>
      <c r="F329" s="7"/>
      <c r="G329" s="7"/>
      <c r="H329" s="1"/>
      <c r="I329" s="1"/>
      <c r="J329" s="1"/>
      <c r="K329" s="1"/>
      <c r="L329" s="12">
        <f t="shared" si="85"/>
        <v>13581.9145</v>
      </c>
      <c r="M329" s="12"/>
      <c r="N329" s="15"/>
      <c r="O329" s="1"/>
      <c r="Q329" s="12"/>
      <c r="R329" s="1"/>
    </row>
    <row r="330" ht="12.75" hidden="1" customHeight="1" outlineLevel="1">
      <c r="A330" s="17">
        <v>41479.0</v>
      </c>
      <c r="B330" s="12">
        <v>373130.64</v>
      </c>
      <c r="C330" s="19">
        <f t="shared" si="84"/>
        <v>0.0004992700789</v>
      </c>
      <c r="D330" s="19">
        <f t="shared" si="83"/>
        <v>0.007971614652</v>
      </c>
      <c r="E330" s="12"/>
      <c r="F330" s="7"/>
      <c r="G330" s="7"/>
      <c r="H330" s="1"/>
      <c r="I330" s="1"/>
      <c r="J330" s="1"/>
      <c r="K330" s="1"/>
      <c r="L330" s="12">
        <f t="shared" si="85"/>
        <v>13588.69554</v>
      </c>
      <c r="M330" s="12"/>
      <c r="N330" s="15"/>
      <c r="O330" s="1"/>
      <c r="Q330" s="12"/>
      <c r="R330" s="1"/>
    </row>
    <row r="331" ht="12.75" hidden="1" customHeight="1" outlineLevel="1">
      <c r="A331" s="17">
        <v>41480.0</v>
      </c>
      <c r="B331" s="12">
        <v>376141.44</v>
      </c>
      <c r="C331" s="19">
        <f t="shared" si="84"/>
        <v>0.008069023761</v>
      </c>
      <c r="D331" s="19">
        <f t="shared" si="83"/>
        <v>0.01610496156</v>
      </c>
      <c r="E331" s="12"/>
      <c r="F331" s="7"/>
      <c r="G331" s="7"/>
      <c r="H331" s="1"/>
      <c r="I331" s="1"/>
      <c r="J331" s="1"/>
      <c r="K331" s="1"/>
      <c r="L331" s="12">
        <f t="shared" si="85"/>
        <v>13698.34305</v>
      </c>
      <c r="M331" s="12"/>
      <c r="N331" s="15"/>
      <c r="O331" s="1"/>
      <c r="Q331" s="12"/>
      <c r="R331" s="1"/>
    </row>
    <row r="332" ht="12.75" hidden="1" customHeight="1" outlineLevel="1">
      <c r="A332" s="17">
        <v>41481.0</v>
      </c>
      <c r="B332" s="12">
        <v>376927.65</v>
      </c>
      <c r="C332" s="19">
        <f t="shared" si="84"/>
        <v>0.002090197772</v>
      </c>
      <c r="D332" s="19">
        <f t="shared" si="83"/>
        <v>0.01822882189</v>
      </c>
      <c r="E332" s="12"/>
      <c r="F332" s="7"/>
      <c r="G332" s="7"/>
      <c r="H332" s="1"/>
      <c r="I332" s="1"/>
      <c r="J332" s="1"/>
      <c r="K332" s="1"/>
      <c r="L332" s="12">
        <f t="shared" si="85"/>
        <v>13726.9753</v>
      </c>
      <c r="M332" s="12"/>
      <c r="N332" s="15"/>
      <c r="O332" s="1"/>
      <c r="Q332" s="12"/>
      <c r="R332" s="1"/>
    </row>
    <row r="333" ht="12.75" hidden="1" customHeight="1" outlineLevel="1">
      <c r="A333" s="17">
        <v>41484.0</v>
      </c>
      <c r="B333" s="12">
        <v>374188.36</v>
      </c>
      <c r="C333" s="19">
        <f t="shared" si="84"/>
        <v>-0.007267415909</v>
      </c>
      <c r="D333" s="19">
        <f t="shared" si="83"/>
        <v>0.01082892955</v>
      </c>
      <c r="E333" s="12"/>
      <c r="F333" s="7"/>
      <c r="G333" s="7"/>
      <c r="H333" s="1"/>
      <c r="I333" s="1"/>
      <c r="J333" s="1"/>
      <c r="K333" s="1"/>
      <c r="L333" s="12">
        <f t="shared" si="85"/>
        <v>13627.21566</v>
      </c>
      <c r="M333" s="12"/>
      <c r="N333" s="15"/>
      <c r="O333" s="1"/>
      <c r="Q333" s="12"/>
      <c r="R333" s="1"/>
    </row>
    <row r="334" ht="12.75" hidden="1" customHeight="1" outlineLevel="1">
      <c r="A334" s="17">
        <v>41485.0</v>
      </c>
      <c r="B334" s="12">
        <v>377516.92</v>
      </c>
      <c r="C334" s="19">
        <f t="shared" si="84"/>
        <v>0.008895412995</v>
      </c>
      <c r="D334" s="19">
        <f t="shared" si="83"/>
        <v>0.01982067034</v>
      </c>
      <c r="E334" s="12"/>
      <c r="F334" s="7"/>
      <c r="G334" s="7"/>
      <c r="H334" s="1"/>
      <c r="I334" s="1"/>
      <c r="J334" s="1"/>
      <c r="K334" s="1" t="s">
        <v>367</v>
      </c>
      <c r="L334" s="12">
        <f t="shared" si="85"/>
        <v>13748.43537</v>
      </c>
      <c r="M334" s="12"/>
      <c r="N334" s="15"/>
      <c r="O334" s="1"/>
      <c r="Q334" s="12"/>
      <c r="R334" s="1"/>
    </row>
    <row r="335" ht="12.75" hidden="1" customHeight="1" outlineLevel="1">
      <c r="A335" s="17">
        <v>41486.0</v>
      </c>
      <c r="B335" s="12">
        <v>377434.31</v>
      </c>
      <c r="C335" s="19">
        <f t="shared" si="84"/>
        <v>-0.0002188246291</v>
      </c>
      <c r="D335" s="19">
        <f t="shared" si="83"/>
        <v>0.01959750846</v>
      </c>
      <c r="E335" s="12"/>
      <c r="F335" s="7"/>
      <c r="G335" s="7"/>
      <c r="H335" s="1"/>
      <c r="I335" s="1"/>
      <c r="J335" s="1"/>
      <c r="K335" s="19">
        <f>2995.72/2850.66-1</f>
        <v>0.05088646138</v>
      </c>
      <c r="L335" s="12">
        <f t="shared" si="85"/>
        <v>13745.42687</v>
      </c>
      <c r="M335" s="12"/>
      <c r="N335" s="15"/>
      <c r="O335" s="1"/>
      <c r="Q335" s="12"/>
      <c r="R335" s="1"/>
    </row>
    <row r="336" ht="12.75" hidden="1" customHeight="1" outlineLevel="1">
      <c r="A336" s="17"/>
      <c r="B336" s="12"/>
      <c r="C336" s="1"/>
      <c r="D336" s="1"/>
      <c r="E336" s="12"/>
      <c r="F336" s="7"/>
      <c r="G336" s="7"/>
      <c r="H336" s="1"/>
      <c r="I336" s="1"/>
      <c r="J336" s="1"/>
      <c r="K336" s="1"/>
      <c r="L336" s="12"/>
      <c r="M336" s="12"/>
      <c r="N336" s="15"/>
      <c r="O336" s="1"/>
      <c r="Q336" s="12"/>
      <c r="R336" s="1"/>
    </row>
    <row r="337" ht="12.75" hidden="1" customHeight="1" outlineLevel="1">
      <c r="A337" s="17"/>
      <c r="B337" s="12">
        <f>B335+P337-Q337</f>
        <v>417434.31</v>
      </c>
      <c r="C337" s="19"/>
      <c r="D337" s="19">
        <f t="shared" ref="D337:D359" si="86">(B337/$B$337)-1</f>
        <v>0</v>
      </c>
      <c r="E337" s="12"/>
      <c r="F337" s="7"/>
      <c r="G337" s="7"/>
      <c r="H337" s="1"/>
      <c r="I337" s="1"/>
      <c r="J337" s="1"/>
      <c r="K337" s="1"/>
      <c r="L337" s="12"/>
      <c r="M337" s="12"/>
      <c r="N337" s="15"/>
      <c r="O337" s="1"/>
      <c r="P337" s="1">
        <v>40000.0</v>
      </c>
      <c r="Q337" s="12"/>
      <c r="R337" s="1"/>
    </row>
    <row r="338" ht="12.75" hidden="1" customHeight="1" outlineLevel="1">
      <c r="A338" s="17">
        <v>41487.0</v>
      </c>
      <c r="B338" s="12">
        <f>388356.1+$P$337</f>
        <v>428356.1</v>
      </c>
      <c r="C338" s="19">
        <f t="shared" ref="C338:C359" si="87">(B338/B337)-1</f>
        <v>0.02616409274</v>
      </c>
      <c r="D338" s="19">
        <f t="shared" si="86"/>
        <v>0.02616409274</v>
      </c>
      <c r="E338" s="12"/>
      <c r="F338" s="7"/>
      <c r="G338" s="7"/>
      <c r="H338" s="1"/>
      <c r="I338" s="1"/>
      <c r="J338" s="1"/>
      <c r="K338" s="1"/>
      <c r="L338" s="12">
        <f t="shared" ref="L338:L359" si="88">IF(C337="",L335*(1+C338),L337*(1+C338))</f>
        <v>14105.0635</v>
      </c>
      <c r="M338" s="12"/>
      <c r="N338" s="15"/>
      <c r="O338" s="1"/>
      <c r="Q338" s="12"/>
      <c r="R338" s="1"/>
    </row>
    <row r="339" ht="12.75" hidden="1" customHeight="1" outlineLevel="1">
      <c r="A339" s="17">
        <v>41488.0</v>
      </c>
      <c r="B339" s="12">
        <f>387593.95+$P$337</f>
        <v>427593.95</v>
      </c>
      <c r="C339" s="19">
        <f t="shared" si="87"/>
        <v>-0.001779243951</v>
      </c>
      <c r="D339" s="19">
        <f t="shared" si="86"/>
        <v>0.02433829649</v>
      </c>
      <c r="E339" s="12"/>
      <c r="F339" s="7"/>
      <c r="G339" s="7"/>
      <c r="H339" s="1"/>
      <c r="I339" s="1"/>
      <c r="J339" s="1"/>
      <c r="K339" s="1"/>
      <c r="L339" s="12">
        <f t="shared" si="88"/>
        <v>14079.96715</v>
      </c>
      <c r="M339" s="12"/>
      <c r="N339" s="15"/>
      <c r="O339" s="1"/>
      <c r="Q339" s="12"/>
      <c r="R339" s="1"/>
    </row>
    <row r="340" ht="12.75" hidden="1" customHeight="1" outlineLevel="1">
      <c r="A340" s="17">
        <v>41491.0</v>
      </c>
      <c r="B340" s="12">
        <f>387098.54+$P$337</f>
        <v>427098.54</v>
      </c>
      <c r="C340" s="19">
        <f t="shared" si="87"/>
        <v>-0.00115859918</v>
      </c>
      <c r="D340" s="19">
        <f t="shared" si="86"/>
        <v>0.02315149897</v>
      </c>
      <c r="E340" s="12"/>
      <c r="F340" s="7"/>
      <c r="G340" s="7"/>
      <c r="H340" s="1"/>
      <c r="I340" s="1"/>
      <c r="J340" s="1"/>
      <c r="K340" s="1"/>
      <c r="L340" s="12">
        <f t="shared" si="88"/>
        <v>14063.65411</v>
      </c>
      <c r="M340" s="12"/>
      <c r="N340" s="15"/>
      <c r="O340" s="1"/>
      <c r="Q340" s="12"/>
      <c r="R340" s="1"/>
    </row>
    <row r="341" ht="12.75" hidden="1" customHeight="1" outlineLevel="1">
      <c r="A341" s="17">
        <v>41492.0</v>
      </c>
      <c r="B341" s="12">
        <f>382097.64+$P$337</f>
        <v>422097.64</v>
      </c>
      <c r="C341" s="19">
        <f t="shared" si="87"/>
        <v>-0.01170900748</v>
      </c>
      <c r="D341" s="19">
        <f t="shared" si="86"/>
        <v>0.01117141042</v>
      </c>
      <c r="E341" s="12"/>
      <c r="F341" s="7"/>
      <c r="G341" s="7"/>
      <c r="H341" s="1"/>
      <c r="I341" s="1"/>
      <c r="J341" s="1"/>
      <c r="K341" s="1"/>
      <c r="L341" s="12">
        <f t="shared" si="88"/>
        <v>13898.98268</v>
      </c>
      <c r="M341" s="12"/>
      <c r="N341" s="15"/>
      <c r="O341" s="1"/>
      <c r="Q341" s="12"/>
      <c r="R341" s="1"/>
    </row>
    <row r="342" ht="12.75" hidden="1" customHeight="1" outlineLevel="1">
      <c r="A342" s="17">
        <v>41493.0</v>
      </c>
      <c r="B342" s="12">
        <f>372246.92+$P$337</f>
        <v>412246.92</v>
      </c>
      <c r="C342" s="19">
        <f t="shared" si="87"/>
        <v>-0.02333753868</v>
      </c>
      <c r="D342" s="19">
        <f t="shared" si="86"/>
        <v>-0.01242684148</v>
      </c>
      <c r="E342" s="12"/>
      <c r="F342" s="7"/>
      <c r="G342" s="7"/>
      <c r="H342" s="1"/>
      <c r="I342" s="1"/>
      <c r="J342" s="1" t="s">
        <v>468</v>
      </c>
      <c r="K342" s="1"/>
      <c r="L342" s="12">
        <f t="shared" si="88"/>
        <v>13574.61463</v>
      </c>
      <c r="M342" s="12"/>
      <c r="N342" s="15"/>
      <c r="O342" s="1"/>
      <c r="Q342" s="12"/>
      <c r="R342" s="1"/>
    </row>
    <row r="343" ht="12.75" hidden="1" customHeight="1" outlineLevel="1">
      <c r="A343" s="17">
        <v>41494.0</v>
      </c>
      <c r="B343" s="12">
        <v>415875.41</v>
      </c>
      <c r="C343" s="19">
        <f t="shared" si="87"/>
        <v>0.008801739501</v>
      </c>
      <c r="D343" s="19">
        <f t="shared" si="86"/>
        <v>-0.003734479804</v>
      </c>
      <c r="E343" s="12"/>
      <c r="F343" s="7"/>
      <c r="G343" s="7"/>
      <c r="H343" s="1"/>
      <c r="I343" s="1"/>
      <c r="J343" s="1"/>
      <c r="K343" s="1"/>
      <c r="L343" s="12">
        <f t="shared" si="88"/>
        <v>13694.09485</v>
      </c>
      <c r="M343" s="12"/>
      <c r="N343" s="15"/>
      <c r="O343" s="1"/>
      <c r="Q343" s="12"/>
      <c r="R343" s="1"/>
    </row>
    <row r="344" ht="12.75" hidden="1" customHeight="1" outlineLevel="1">
      <c r="A344" s="17">
        <v>41495.0</v>
      </c>
      <c r="B344" s="12">
        <v>411556.77</v>
      </c>
      <c r="C344" s="19">
        <f t="shared" si="87"/>
        <v>-0.01038445625</v>
      </c>
      <c r="D344" s="19">
        <f t="shared" si="86"/>
        <v>-0.01408015551</v>
      </c>
      <c r="E344" s="12"/>
      <c r="F344" s="7"/>
      <c r="G344" s="7"/>
      <c r="H344" s="1"/>
      <c r="I344" s="1"/>
      <c r="J344" s="1"/>
      <c r="K344" s="1"/>
      <c r="L344" s="12">
        <f t="shared" si="88"/>
        <v>13551.88913</v>
      </c>
      <c r="M344" s="12"/>
      <c r="N344" s="15"/>
      <c r="O344" s="1"/>
      <c r="Q344" s="12"/>
      <c r="R344" s="1"/>
    </row>
    <row r="345" ht="12.75" hidden="1" customHeight="1" outlineLevel="1">
      <c r="A345" s="17">
        <v>41498.0</v>
      </c>
      <c r="B345" s="12">
        <v>412424.22</v>
      </c>
      <c r="C345" s="19">
        <f t="shared" si="87"/>
        <v>0.002107728662</v>
      </c>
      <c r="D345" s="19">
        <f t="shared" si="86"/>
        <v>-0.012002104</v>
      </c>
      <c r="E345" s="12"/>
      <c r="F345" s="7"/>
      <c r="G345" s="7"/>
      <c r="H345" s="1"/>
      <c r="I345" s="1"/>
      <c r="J345" s="1"/>
      <c r="K345" s="1"/>
      <c r="L345" s="12">
        <f t="shared" si="88"/>
        <v>13580.45283</v>
      </c>
      <c r="M345" s="12"/>
      <c r="N345" s="15"/>
      <c r="O345" s="1"/>
      <c r="Q345" s="12"/>
      <c r="R345" s="1"/>
    </row>
    <row r="346" ht="12.75" hidden="1" customHeight="1" outlineLevel="1">
      <c r="A346" s="17">
        <v>41499.0</v>
      </c>
      <c r="B346" s="12">
        <v>412808.26</v>
      </c>
      <c r="C346" s="19">
        <f t="shared" si="87"/>
        <v>0.0009311771263</v>
      </c>
      <c r="D346" s="19">
        <f t="shared" si="86"/>
        <v>-0.01108210295</v>
      </c>
      <c r="E346" s="12"/>
      <c r="F346" s="7"/>
      <c r="G346" s="7"/>
      <c r="H346" s="1"/>
      <c r="I346" s="1"/>
      <c r="J346" s="1" t="s">
        <v>469</v>
      </c>
      <c r="K346" s="1"/>
      <c r="L346" s="12">
        <f t="shared" si="88"/>
        <v>13593.09864</v>
      </c>
      <c r="M346" s="12"/>
      <c r="N346" s="15"/>
      <c r="O346" s="1"/>
      <c r="Q346" s="12"/>
      <c r="R346" s="1"/>
    </row>
    <row r="347" ht="12.75" hidden="1" customHeight="1" outlineLevel="1">
      <c r="A347" s="17">
        <v>41500.0</v>
      </c>
      <c r="B347" s="12">
        <v>407692.84</v>
      </c>
      <c r="C347" s="19">
        <f t="shared" si="87"/>
        <v>-0.01239175786</v>
      </c>
      <c r="D347" s="19">
        <f t="shared" si="86"/>
        <v>-0.02333653408</v>
      </c>
      <c r="E347" s="12"/>
      <c r="F347" s="7"/>
      <c r="G347" s="7"/>
      <c r="H347" s="1"/>
      <c r="I347" s="1"/>
      <c r="J347" s="1" t="s">
        <v>470</v>
      </c>
      <c r="K347" s="1"/>
      <c r="L347" s="12">
        <f t="shared" si="88"/>
        <v>13424.65625</v>
      </c>
      <c r="M347" s="12"/>
      <c r="N347" s="15"/>
      <c r="O347" s="1"/>
      <c r="Q347" s="12"/>
      <c r="R347" s="1"/>
    </row>
    <row r="348" ht="12.75" hidden="1" customHeight="1" outlineLevel="1">
      <c r="A348" s="17">
        <v>41501.0</v>
      </c>
      <c r="B348" s="12">
        <v>396041.5</v>
      </c>
      <c r="C348" s="19">
        <f t="shared" si="87"/>
        <v>-0.02857872118</v>
      </c>
      <c r="D348" s="19">
        <f t="shared" si="86"/>
        <v>-0.05124832695</v>
      </c>
      <c r="E348" s="12"/>
      <c r="F348" s="7"/>
      <c r="G348" s="7"/>
      <c r="H348" s="1"/>
      <c r="I348" s="1"/>
      <c r="J348" s="1" t="s">
        <v>470</v>
      </c>
      <c r="K348" s="1"/>
      <c r="L348" s="12">
        <f t="shared" si="88"/>
        <v>13040.99674</v>
      </c>
      <c r="M348" s="12"/>
      <c r="N348" s="15"/>
      <c r="O348" s="1"/>
      <c r="Q348" s="12"/>
      <c r="R348" s="1"/>
    </row>
    <row r="349" ht="12.75" hidden="1" customHeight="1" outlineLevel="1">
      <c r="A349" s="17">
        <v>41502.0</v>
      </c>
      <c r="B349" s="12">
        <v>397701.48</v>
      </c>
      <c r="C349" s="19">
        <f t="shared" si="87"/>
        <v>0.004191429434</v>
      </c>
      <c r="D349" s="19">
        <f t="shared" si="86"/>
        <v>-0.04727170126</v>
      </c>
      <c r="E349" s="12"/>
      <c r="F349" s="7"/>
      <c r="G349" s="7"/>
      <c r="H349" s="1"/>
      <c r="I349" s="1"/>
      <c r="J349" s="1"/>
      <c r="K349" s="1"/>
      <c r="L349" s="12">
        <f t="shared" si="88"/>
        <v>13095.65716</v>
      </c>
      <c r="M349" s="12"/>
      <c r="N349" s="15"/>
      <c r="O349" s="1"/>
      <c r="Q349" s="12"/>
      <c r="R349" s="1"/>
    </row>
    <row r="350" ht="12.75" hidden="1" customHeight="1" outlineLevel="1">
      <c r="A350" s="17">
        <v>41505.0</v>
      </c>
      <c r="B350" s="12">
        <v>391356.78</v>
      </c>
      <c r="C350" s="19">
        <f t="shared" si="87"/>
        <v>-0.01595342316</v>
      </c>
      <c r="D350" s="19">
        <f t="shared" si="86"/>
        <v>-0.06247097897</v>
      </c>
      <c r="E350" s="12"/>
      <c r="F350" s="7"/>
      <c r="G350" s="7"/>
      <c r="H350" s="1"/>
      <c r="I350" s="1"/>
      <c r="J350" s="1" t="s">
        <v>471</v>
      </c>
      <c r="K350" s="1"/>
      <c r="L350" s="12">
        <f t="shared" si="88"/>
        <v>12886.7366</v>
      </c>
      <c r="M350" s="12"/>
      <c r="N350" s="15"/>
      <c r="O350" s="1"/>
      <c r="Q350" s="12"/>
      <c r="R350" s="1"/>
    </row>
    <row r="351" ht="12.75" hidden="1" customHeight="1" outlineLevel="1">
      <c r="A351" s="17">
        <v>41506.0</v>
      </c>
      <c r="B351" s="12">
        <v>397151.18</v>
      </c>
      <c r="C351" s="19">
        <f t="shared" si="87"/>
        <v>0.01480592722</v>
      </c>
      <c r="D351" s="19">
        <f t="shared" si="86"/>
        <v>-0.04858999252</v>
      </c>
      <c r="E351" s="12"/>
      <c r="F351" s="7"/>
      <c r="G351" s="7"/>
      <c r="H351" s="1"/>
      <c r="I351" s="1"/>
      <c r="J351" s="1" t="s">
        <v>473</v>
      </c>
      <c r="K351" s="1"/>
      <c r="L351" s="12">
        <f t="shared" si="88"/>
        <v>13077.53668</v>
      </c>
      <c r="M351" s="12"/>
      <c r="N351" s="15"/>
      <c r="O351" s="1"/>
      <c r="Q351" s="12"/>
      <c r="R351" s="1"/>
    </row>
    <row r="352" ht="12.75" hidden="1" customHeight="1" outlineLevel="1">
      <c r="A352" s="17">
        <v>41507.0</v>
      </c>
      <c r="B352" s="12">
        <v>394248.59</v>
      </c>
      <c r="C352" s="19">
        <f t="shared" si="87"/>
        <v>-0.007308526693</v>
      </c>
      <c r="D352" s="19">
        <f t="shared" si="86"/>
        <v>-0.05554339795</v>
      </c>
      <c r="E352" s="12"/>
      <c r="F352" s="7"/>
      <c r="G352" s="7"/>
      <c r="H352" s="1"/>
      <c r="I352" s="1"/>
      <c r="J352" s="1"/>
      <c r="K352" s="1"/>
      <c r="L352" s="12">
        <f t="shared" si="88"/>
        <v>12981.95916</v>
      </c>
      <c r="M352" s="12"/>
      <c r="N352" s="15"/>
      <c r="O352" s="1"/>
      <c r="Q352" s="12"/>
      <c r="R352" s="1"/>
    </row>
    <row r="353" ht="12.75" hidden="1" customHeight="1" outlineLevel="1">
      <c r="A353" s="17">
        <v>41508.0</v>
      </c>
      <c r="B353" s="12">
        <v>397470.3</v>
      </c>
      <c r="C353" s="19">
        <f t="shared" si="87"/>
        <v>0.008171773043</v>
      </c>
      <c r="D353" s="19">
        <f t="shared" si="86"/>
        <v>-0.04782551295</v>
      </c>
      <c r="E353" s="12"/>
      <c r="F353" s="7"/>
      <c r="G353" s="7"/>
      <c r="H353" s="1"/>
      <c r="I353" s="1"/>
      <c r="J353" s="1"/>
      <c r="K353" s="1"/>
      <c r="L353" s="12">
        <f t="shared" si="88"/>
        <v>13088.04478</v>
      </c>
      <c r="M353" s="12"/>
      <c r="N353" s="15"/>
      <c r="O353" s="1"/>
      <c r="Q353" s="12"/>
      <c r="R353" s="1"/>
    </row>
    <row r="354" ht="12.75" hidden="1" customHeight="1" outlineLevel="1">
      <c r="A354" s="17">
        <v>41509.0</v>
      </c>
      <c r="B354" s="12">
        <v>398866.99</v>
      </c>
      <c r="C354" s="19">
        <f t="shared" si="87"/>
        <v>0.003513948086</v>
      </c>
      <c r="D354" s="19">
        <f t="shared" si="86"/>
        <v>-0.04447962124</v>
      </c>
      <c r="E354" s="12"/>
      <c r="F354" s="7"/>
      <c r="G354" s="7"/>
      <c r="H354" s="1"/>
      <c r="I354" s="1"/>
      <c r="J354" s="1"/>
      <c r="K354" s="1"/>
      <c r="L354" s="12">
        <f t="shared" si="88"/>
        <v>13134.03549</v>
      </c>
      <c r="M354" s="12"/>
      <c r="N354" s="15"/>
      <c r="O354" s="1"/>
      <c r="Q354" s="12"/>
      <c r="R354" s="1"/>
    </row>
    <row r="355" ht="12.75" hidden="1" customHeight="1" outlineLevel="1">
      <c r="A355" s="17">
        <v>41512.0</v>
      </c>
      <c r="B355" s="12">
        <v>397324.54</v>
      </c>
      <c r="C355" s="19">
        <f t="shared" si="87"/>
        <v>-0.003867078597</v>
      </c>
      <c r="D355" s="19">
        <f t="shared" si="86"/>
        <v>-0.04817469364</v>
      </c>
      <c r="E355" s="12"/>
      <c r="F355" s="7"/>
      <c r="G355" s="7"/>
      <c r="H355" s="1"/>
      <c r="I355" s="1"/>
      <c r="J355" s="1"/>
      <c r="K355" s="1"/>
      <c r="L355" s="12">
        <f t="shared" si="88"/>
        <v>13083.24514</v>
      </c>
      <c r="M355" s="12"/>
      <c r="N355" s="15"/>
      <c r="O355" s="1"/>
      <c r="Q355" s="12"/>
      <c r="R355" s="1"/>
    </row>
    <row r="356" ht="12.75" hidden="1" customHeight="1" outlineLevel="1">
      <c r="A356" s="17">
        <v>41513.0</v>
      </c>
      <c r="B356" s="12">
        <v>390035.84</v>
      </c>
      <c r="C356" s="19">
        <f t="shared" si="87"/>
        <v>-0.0183444496</v>
      </c>
      <c r="D356" s="19">
        <f t="shared" si="86"/>
        <v>-0.06563540501</v>
      </c>
      <c r="E356" s="12"/>
      <c r="F356" s="7"/>
      <c r="G356" s="7"/>
      <c r="H356" s="1"/>
      <c r="I356" s="1"/>
      <c r="J356" s="1"/>
      <c r="K356" s="1"/>
      <c r="L356" s="12">
        <f t="shared" si="88"/>
        <v>12843.24021</v>
      </c>
      <c r="M356" s="12"/>
      <c r="N356" s="15"/>
      <c r="O356" s="1"/>
      <c r="Q356" s="12"/>
      <c r="R356" s="1"/>
    </row>
    <row r="357" ht="12.75" hidden="1" customHeight="1" outlineLevel="1">
      <c r="A357" s="17">
        <v>41514.0</v>
      </c>
      <c r="B357" s="12">
        <v>389497.0</v>
      </c>
      <c r="C357" s="19">
        <f t="shared" si="87"/>
        <v>-0.001381514068</v>
      </c>
      <c r="D357" s="19">
        <f t="shared" si="86"/>
        <v>-0.06692624284</v>
      </c>
      <c r="E357" s="12"/>
      <c r="F357" s="7"/>
      <c r="G357" s="7"/>
      <c r="H357" s="1"/>
      <c r="I357" s="1"/>
      <c r="J357" s="1"/>
      <c r="K357" s="1"/>
      <c r="L357" s="12">
        <f t="shared" si="88"/>
        <v>12825.4971</v>
      </c>
      <c r="M357" s="12"/>
      <c r="N357" s="15"/>
      <c r="O357" s="1"/>
      <c r="Q357" s="12"/>
      <c r="R357" s="1"/>
    </row>
    <row r="358" ht="12.75" hidden="1" customHeight="1" outlineLevel="1">
      <c r="A358" s="17">
        <v>41515.0</v>
      </c>
      <c r="B358" s="12">
        <v>390768.39</v>
      </c>
      <c r="C358" s="19">
        <f t="shared" si="87"/>
        <v>0.00326418432</v>
      </c>
      <c r="D358" s="19">
        <f t="shared" si="86"/>
        <v>-0.06388051811</v>
      </c>
      <c r="E358" s="12"/>
      <c r="F358" s="7"/>
      <c r="G358" s="7"/>
      <c r="H358" s="1"/>
      <c r="I358" s="1"/>
      <c r="J358" s="1" t="s">
        <v>475</v>
      </c>
      <c r="K358" s="1" t="s">
        <v>367</v>
      </c>
      <c r="L358" s="12">
        <f t="shared" si="88"/>
        <v>12867.36188</v>
      </c>
      <c r="M358" s="12"/>
      <c r="N358" s="15"/>
      <c r="O358" s="1"/>
      <c r="Q358" s="12"/>
      <c r="R358" s="1"/>
    </row>
    <row r="359" ht="12.75" hidden="1" customHeight="1" outlineLevel="1">
      <c r="A359" s="17">
        <v>41516.0</v>
      </c>
      <c r="B359" s="12">
        <v>387542.96</v>
      </c>
      <c r="C359" s="19">
        <f t="shared" si="87"/>
        <v>-0.008254070909</v>
      </c>
      <c r="D359" s="19">
        <f t="shared" si="86"/>
        <v>-0.07160731469</v>
      </c>
      <c r="E359" s="12"/>
      <c r="F359" s="7"/>
      <c r="G359" s="7"/>
      <c r="H359" s="1"/>
      <c r="I359" s="1"/>
      <c r="J359" s="1"/>
      <c r="K359" s="19">
        <f>2908.96/2995.72-1</f>
        <v>-0.02896131815</v>
      </c>
      <c r="L359" s="12">
        <f t="shared" si="88"/>
        <v>12761.15377</v>
      </c>
      <c r="M359" s="12"/>
      <c r="N359" s="15"/>
      <c r="O359" s="1"/>
      <c r="Q359" s="12"/>
      <c r="R359" s="1"/>
    </row>
    <row r="360" ht="12.75" hidden="1" customHeight="1" outlineLevel="1">
      <c r="A360" s="17"/>
      <c r="B360" s="12"/>
      <c r="C360" s="1"/>
      <c r="D360" s="1"/>
      <c r="E360" s="12"/>
      <c r="F360" s="7"/>
      <c r="G360" s="7"/>
      <c r="H360" s="1"/>
      <c r="I360" s="1"/>
      <c r="J360" s="1"/>
      <c r="K360" s="1"/>
      <c r="L360" s="12"/>
      <c r="M360" s="12"/>
      <c r="N360" s="15"/>
      <c r="O360" s="1"/>
      <c r="Q360" s="12"/>
      <c r="R360" s="1"/>
    </row>
    <row r="361" ht="12.75" hidden="1" customHeight="1" outlineLevel="1">
      <c r="A361" s="17"/>
      <c r="B361" s="12">
        <f>B359</f>
        <v>387542.96</v>
      </c>
      <c r="C361" s="19"/>
      <c r="D361" s="19">
        <f t="shared" ref="D361:D382" si="89">(B361/$B$361)-1</f>
        <v>0</v>
      </c>
      <c r="E361" s="12"/>
      <c r="F361" s="7"/>
      <c r="G361" s="7"/>
      <c r="H361" s="1"/>
      <c r="I361" s="1"/>
      <c r="J361" s="1"/>
      <c r="K361" s="1"/>
      <c r="L361" s="12"/>
      <c r="M361" s="12"/>
      <c r="N361" s="15"/>
      <c r="O361" s="1"/>
      <c r="Q361" s="12"/>
      <c r="R361" s="1"/>
    </row>
    <row r="362" ht="12.75" hidden="1" customHeight="1" outlineLevel="1">
      <c r="A362" s="17">
        <v>41519.0</v>
      </c>
      <c r="B362" s="12">
        <v>387542.96</v>
      </c>
      <c r="C362" s="19">
        <f t="shared" ref="C362:C382" si="90">(B362/B361)-1</f>
        <v>0</v>
      </c>
      <c r="D362" s="19">
        <f t="shared" si="89"/>
        <v>0</v>
      </c>
      <c r="E362" s="12"/>
      <c r="F362" s="7"/>
      <c r="G362" s="7"/>
      <c r="H362" s="1"/>
      <c r="I362" s="1"/>
      <c r="J362" s="1"/>
      <c r="K362" s="1"/>
      <c r="L362" s="12">
        <f t="shared" ref="L362:L382" si="91">IF(C361="",L359*(1+C362),L361*(1+C362))</f>
        <v>12761.15377</v>
      </c>
      <c r="M362" s="12"/>
      <c r="N362" s="15"/>
      <c r="O362" s="1"/>
      <c r="Q362" s="12"/>
      <c r="R362" s="1"/>
    </row>
    <row r="363" ht="12.75" hidden="1" customHeight="1" outlineLevel="1">
      <c r="A363" s="17">
        <v>41520.0</v>
      </c>
      <c r="B363" s="12">
        <v>389383.15</v>
      </c>
      <c r="C363" s="19">
        <f t="shared" si="90"/>
        <v>0.004748350996</v>
      </c>
      <c r="D363" s="19">
        <f t="shared" si="89"/>
        <v>0.004748350996</v>
      </c>
      <c r="E363" s="12"/>
      <c r="F363" s="7"/>
      <c r="G363" s="7"/>
      <c r="H363" s="1"/>
      <c r="I363" s="1"/>
      <c r="J363" s="1"/>
      <c r="K363" s="1"/>
      <c r="L363" s="12">
        <f t="shared" si="91"/>
        <v>12821.7482</v>
      </c>
      <c r="M363" s="12"/>
      <c r="N363" s="15"/>
      <c r="O363" s="1"/>
      <c r="Q363" s="12"/>
      <c r="R363" s="1"/>
    </row>
    <row r="364" ht="12.75" hidden="1" customHeight="1" outlineLevel="1">
      <c r="A364" s="17">
        <v>41521.0</v>
      </c>
      <c r="B364" s="12">
        <v>391028.62</v>
      </c>
      <c r="C364" s="19">
        <f t="shared" si="90"/>
        <v>0.004225837713</v>
      </c>
      <c r="D364" s="19">
        <f t="shared" si="89"/>
        <v>0.008994254469</v>
      </c>
      <c r="E364" s="12"/>
      <c r="F364" s="7"/>
      <c r="G364" s="7"/>
      <c r="H364" s="1"/>
      <c r="I364" s="1"/>
      <c r="J364" s="1"/>
      <c r="K364" s="1"/>
      <c r="L364" s="12">
        <f t="shared" si="91"/>
        <v>12875.93083</v>
      </c>
      <c r="M364" s="12"/>
      <c r="N364" s="15"/>
      <c r="O364" s="1"/>
      <c r="Q364" s="12"/>
      <c r="R364" s="1"/>
    </row>
    <row r="365" ht="12.75" hidden="1" customHeight="1" outlineLevel="1">
      <c r="A365" s="17">
        <v>41522.0</v>
      </c>
      <c r="B365" s="12">
        <v>393396.9</v>
      </c>
      <c r="C365" s="19">
        <f t="shared" si="90"/>
        <v>0.006056538777</v>
      </c>
      <c r="D365" s="19">
        <f t="shared" si="89"/>
        <v>0.0151052673</v>
      </c>
      <c r="E365" s="12"/>
      <c r="F365" s="7"/>
      <c r="G365" s="7"/>
      <c r="H365" s="1"/>
      <c r="I365" s="1"/>
      <c r="J365" s="1"/>
      <c r="K365" s="1"/>
      <c r="L365" s="12">
        <f t="shared" si="91"/>
        <v>12953.9144</v>
      </c>
      <c r="M365" s="12"/>
      <c r="N365" s="15"/>
      <c r="O365" s="1"/>
      <c r="Q365" s="12"/>
      <c r="R365" s="1"/>
    </row>
    <row r="366" ht="12.75" hidden="1" customHeight="1" outlineLevel="1">
      <c r="A366" s="17">
        <v>41523.0</v>
      </c>
      <c r="B366" s="12">
        <v>391773.75</v>
      </c>
      <c r="C366" s="19">
        <f t="shared" si="90"/>
        <v>-0.004125985741</v>
      </c>
      <c r="D366" s="19">
        <f t="shared" si="89"/>
        <v>0.01091695744</v>
      </c>
      <c r="E366" s="12"/>
      <c r="F366" s="7"/>
      <c r="G366" s="7"/>
      <c r="H366" s="1"/>
      <c r="I366" s="1"/>
      <c r="J366" s="1"/>
      <c r="K366" s="1"/>
      <c r="L366" s="12">
        <f t="shared" si="91"/>
        <v>12900.46674</v>
      </c>
      <c r="M366" s="12"/>
      <c r="N366" s="15"/>
      <c r="O366" s="1"/>
      <c r="Q366" s="12"/>
      <c r="R366" s="1"/>
    </row>
    <row r="367" ht="12.75" hidden="1" customHeight="1" outlineLevel="1">
      <c r="A367" s="17">
        <v>41526.0</v>
      </c>
      <c r="B367" s="12">
        <v>394018.73</v>
      </c>
      <c r="C367" s="19">
        <f t="shared" si="90"/>
        <v>0.005730297142</v>
      </c>
      <c r="D367" s="19">
        <f t="shared" si="89"/>
        <v>0.01670981199</v>
      </c>
      <c r="E367" s="12"/>
      <c r="F367" s="7"/>
      <c r="G367" s="7"/>
      <c r="H367" s="1"/>
      <c r="I367" s="1"/>
      <c r="J367" s="1"/>
      <c r="K367" s="1"/>
      <c r="L367" s="12">
        <f t="shared" si="91"/>
        <v>12974.39025</v>
      </c>
      <c r="M367" s="12"/>
      <c r="N367" s="15"/>
      <c r="O367" s="1"/>
      <c r="Q367" s="12"/>
      <c r="R367" s="1"/>
    </row>
    <row r="368" ht="12.75" hidden="1" customHeight="1" outlineLevel="1">
      <c r="A368" s="17">
        <v>41527.0</v>
      </c>
      <c r="B368" s="12">
        <v>397097.01</v>
      </c>
      <c r="C368" s="19">
        <f t="shared" si="90"/>
        <v>0.007812522009</v>
      </c>
      <c r="D368" s="19">
        <f t="shared" si="89"/>
        <v>0.02465287977</v>
      </c>
      <c r="E368" s="12"/>
      <c r="F368" s="7"/>
      <c r="G368" s="7"/>
      <c r="H368" s="1"/>
      <c r="I368" s="1"/>
      <c r="J368" s="1"/>
      <c r="K368" s="1"/>
      <c r="L368" s="12">
        <f t="shared" si="91"/>
        <v>13075.75295</v>
      </c>
      <c r="M368" s="12"/>
      <c r="N368" s="15"/>
      <c r="O368" s="1"/>
      <c r="Q368" s="12"/>
      <c r="R368" s="1"/>
    </row>
    <row r="369" ht="12.75" hidden="1" customHeight="1" outlineLevel="1">
      <c r="A369" s="17">
        <v>41528.0</v>
      </c>
      <c r="B369" s="12">
        <v>398353.31</v>
      </c>
      <c r="C369" s="19">
        <f t="shared" si="90"/>
        <v>0.00316371055</v>
      </c>
      <c r="D369" s="19">
        <f t="shared" si="89"/>
        <v>0.0278945849</v>
      </c>
      <c r="E369" s="12"/>
      <c r="F369" s="7"/>
      <c r="G369" s="7"/>
      <c r="H369" s="1"/>
      <c r="I369" s="1"/>
      <c r="J369" s="1"/>
      <c r="K369" s="1"/>
      <c r="L369" s="12">
        <f t="shared" si="91"/>
        <v>13117.12085</v>
      </c>
      <c r="M369" s="12"/>
      <c r="N369" s="15"/>
      <c r="O369" s="1"/>
      <c r="Q369" s="12"/>
      <c r="R369" s="1"/>
    </row>
    <row r="370" ht="12.75" hidden="1" customHeight="1" outlineLevel="1">
      <c r="A370" s="17">
        <v>41529.0</v>
      </c>
      <c r="B370" s="12">
        <v>397768.81</v>
      </c>
      <c r="C370" s="19">
        <f t="shared" si="90"/>
        <v>-0.001467290431</v>
      </c>
      <c r="D370" s="19">
        <f t="shared" si="89"/>
        <v>0.02638636501</v>
      </c>
      <c r="E370" s="12"/>
      <c r="F370" s="7"/>
      <c r="G370" s="7"/>
      <c r="H370" s="1"/>
      <c r="I370" s="1"/>
      <c r="J370" s="1"/>
      <c r="K370" s="1"/>
      <c r="L370" s="12">
        <f t="shared" si="91"/>
        <v>13097.87423</v>
      </c>
      <c r="M370" s="12"/>
      <c r="N370" s="15"/>
      <c r="O370" s="1"/>
      <c r="Q370" s="12"/>
      <c r="R370" s="1"/>
    </row>
    <row r="371" ht="12.75" hidden="1" customHeight="1" outlineLevel="1">
      <c r="A371" s="17">
        <v>41530.0</v>
      </c>
      <c r="B371" s="12">
        <v>398169.91</v>
      </c>
      <c r="C371" s="19">
        <f t="shared" si="90"/>
        <v>0.001008374689</v>
      </c>
      <c r="D371" s="19">
        <f t="shared" si="89"/>
        <v>0.02742134704</v>
      </c>
      <c r="E371" s="12"/>
      <c r="F371" s="7"/>
      <c r="G371" s="7"/>
      <c r="H371" s="1"/>
      <c r="I371" s="1"/>
      <c r="J371" s="1"/>
      <c r="K371" s="1"/>
      <c r="L371" s="12">
        <f t="shared" si="91"/>
        <v>13111.08179</v>
      </c>
      <c r="M371" s="12"/>
      <c r="N371" s="15"/>
      <c r="O371" s="1"/>
      <c r="Q371" s="12"/>
      <c r="R371" s="1"/>
    </row>
    <row r="372" ht="12.75" hidden="1" customHeight="1" outlineLevel="1">
      <c r="A372" s="17">
        <v>41533.0</v>
      </c>
      <c r="B372" s="12">
        <v>399727.61</v>
      </c>
      <c r="C372" s="19">
        <f t="shared" si="90"/>
        <v>0.003912148962</v>
      </c>
      <c r="D372" s="19">
        <f t="shared" si="89"/>
        <v>0.0314407724</v>
      </c>
      <c r="E372" s="12"/>
      <c r="F372" s="7"/>
      <c r="G372" s="7"/>
      <c r="H372" s="1"/>
      <c r="I372" s="1"/>
      <c r="J372" s="1"/>
      <c r="K372" s="1"/>
      <c r="L372" s="12">
        <f t="shared" si="91"/>
        <v>13162.3743</v>
      </c>
      <c r="M372" s="12"/>
      <c r="N372" s="15"/>
      <c r="O372" s="1"/>
      <c r="Q372" s="12"/>
      <c r="R372" s="1"/>
    </row>
    <row r="373" ht="12.75" hidden="1" customHeight="1" outlineLevel="1">
      <c r="A373" s="17">
        <v>41534.0</v>
      </c>
      <c r="B373" s="12">
        <v>401769.88</v>
      </c>
      <c r="C373" s="19">
        <f t="shared" si="90"/>
        <v>0.005109154206</v>
      </c>
      <c r="D373" s="19">
        <f t="shared" si="89"/>
        <v>0.03671056236</v>
      </c>
      <c r="E373" s="12"/>
      <c r="F373" s="7"/>
      <c r="G373" s="7"/>
      <c r="H373" s="1"/>
      <c r="I373" s="1"/>
      <c r="J373" s="1" t="s">
        <v>477</v>
      </c>
      <c r="K373" s="1"/>
      <c r="L373" s="12">
        <f t="shared" si="91"/>
        <v>13229.6229</v>
      </c>
      <c r="M373" s="12"/>
      <c r="N373" s="15"/>
      <c r="O373" s="1"/>
      <c r="Q373" s="12"/>
      <c r="R373" s="1"/>
    </row>
    <row r="374" ht="12.75" hidden="1" customHeight="1" outlineLevel="1">
      <c r="A374" s="17">
        <v>41535.0</v>
      </c>
      <c r="B374" s="12">
        <v>400355.47</v>
      </c>
      <c r="C374" s="19">
        <f t="shared" si="90"/>
        <v>-0.003520448073</v>
      </c>
      <c r="D374" s="19">
        <f t="shared" si="89"/>
        <v>0.03306087666</v>
      </c>
      <c r="E374" s="12"/>
      <c r="F374" s="7"/>
      <c r="G374" s="7"/>
      <c r="H374" s="1"/>
      <c r="I374" s="1"/>
      <c r="J374" s="1" t="s">
        <v>478</v>
      </c>
      <c r="K374" s="1"/>
      <c r="L374" s="12">
        <f t="shared" si="91"/>
        <v>13183.0487</v>
      </c>
      <c r="M374" s="12"/>
      <c r="N374" s="15"/>
      <c r="O374" s="1"/>
      <c r="Q374" s="12"/>
      <c r="R374" s="1"/>
    </row>
    <row r="375" ht="12.75" hidden="1" customHeight="1" outlineLevel="1">
      <c r="A375" s="17">
        <v>41536.0</v>
      </c>
      <c r="B375" s="12">
        <v>397221.93</v>
      </c>
      <c r="C375" s="19">
        <f t="shared" si="90"/>
        <v>-0.007826894435</v>
      </c>
      <c r="D375" s="19">
        <f t="shared" si="89"/>
        <v>0.02497521823</v>
      </c>
      <c r="E375" s="12"/>
      <c r="F375" s="7"/>
      <c r="G375" s="7"/>
      <c r="H375" s="1"/>
      <c r="I375" s="1"/>
      <c r="J375" s="1"/>
      <c r="K375" s="1"/>
      <c r="L375" s="12">
        <f t="shared" si="91"/>
        <v>13079.86637</v>
      </c>
      <c r="M375" s="12"/>
      <c r="N375" s="15"/>
      <c r="O375" s="1"/>
      <c r="Q375" s="12"/>
      <c r="R375" s="1"/>
    </row>
    <row r="376" ht="12.75" hidden="1" customHeight="1" outlineLevel="1">
      <c r="A376" s="17">
        <v>41537.0</v>
      </c>
      <c r="B376" s="12">
        <v>395907.81</v>
      </c>
      <c r="C376" s="19">
        <f t="shared" si="90"/>
        <v>-0.00330827656</v>
      </c>
      <c r="D376" s="19">
        <f t="shared" si="89"/>
        <v>0.02158431674</v>
      </c>
      <c r="E376" s="12"/>
      <c r="F376" s="7"/>
      <c r="G376" s="7"/>
      <c r="H376" s="1"/>
      <c r="I376" s="1"/>
      <c r="J376" s="1"/>
      <c r="K376" s="1"/>
      <c r="L376" s="12">
        <f t="shared" si="91"/>
        <v>13036.59455</v>
      </c>
      <c r="M376" s="12"/>
      <c r="N376" s="15"/>
      <c r="O376" s="1"/>
      <c r="Q376" s="12"/>
      <c r="R376" s="1"/>
    </row>
    <row r="377" ht="12.75" hidden="1" customHeight="1" outlineLevel="1">
      <c r="A377" s="17">
        <v>41540.0</v>
      </c>
      <c r="B377" s="12">
        <v>395289.98</v>
      </c>
      <c r="C377" s="19">
        <f t="shared" si="90"/>
        <v>-0.001560540066</v>
      </c>
      <c r="D377" s="19">
        <f t="shared" si="89"/>
        <v>0.01999009349</v>
      </c>
      <c r="E377" s="12"/>
      <c r="F377" s="7"/>
      <c r="G377" s="7"/>
      <c r="H377" s="1"/>
      <c r="I377" s="1"/>
      <c r="J377" s="1"/>
      <c r="K377" s="1"/>
      <c r="L377" s="12">
        <f t="shared" si="91"/>
        <v>13016.25042</v>
      </c>
      <c r="M377" s="12"/>
      <c r="N377" s="15"/>
      <c r="O377" s="1"/>
      <c r="Q377" s="12"/>
      <c r="R377" s="1"/>
    </row>
    <row r="378" ht="12.75" hidden="1" customHeight="1" outlineLevel="1">
      <c r="A378" s="17">
        <v>41541.0</v>
      </c>
      <c r="B378" s="12">
        <v>396738.91</v>
      </c>
      <c r="C378" s="19">
        <f t="shared" si="90"/>
        <v>0.003665486284</v>
      </c>
      <c r="D378" s="19">
        <f t="shared" si="89"/>
        <v>0.02372885318</v>
      </c>
      <c r="E378" s="12"/>
      <c r="F378" s="7"/>
      <c r="G378" s="7"/>
      <c r="H378" s="1"/>
      <c r="I378" s="1"/>
      <c r="J378" s="1"/>
      <c r="K378" s="1"/>
      <c r="L378" s="12">
        <f t="shared" si="91"/>
        <v>13063.96131</v>
      </c>
      <c r="M378" s="12"/>
      <c r="N378" s="15"/>
      <c r="O378" s="1"/>
      <c r="Q378" s="12"/>
      <c r="R378" s="1"/>
    </row>
    <row r="379" ht="12.75" hidden="1" customHeight="1" outlineLevel="1">
      <c r="A379" s="17">
        <v>41542.0</v>
      </c>
      <c r="B379" s="12">
        <v>397719.79</v>
      </c>
      <c r="C379" s="19">
        <f t="shared" si="90"/>
        <v>0.002472356442</v>
      </c>
      <c r="D379" s="19">
        <f t="shared" si="89"/>
        <v>0.02625987581</v>
      </c>
      <c r="E379" s="12"/>
      <c r="F379" s="7"/>
      <c r="G379" s="7"/>
      <c r="H379" s="1"/>
      <c r="I379" s="1"/>
      <c r="J379" s="1" t="s">
        <v>479</v>
      </c>
      <c r="K379" s="1"/>
      <c r="L379" s="12">
        <f t="shared" si="91"/>
        <v>13096.26008</v>
      </c>
      <c r="M379" s="12"/>
      <c r="N379" s="15"/>
      <c r="O379" s="1"/>
      <c r="Q379" s="12"/>
      <c r="R379" s="1"/>
    </row>
    <row r="380" ht="12.75" hidden="1" customHeight="1" outlineLevel="1">
      <c r="A380" s="17">
        <v>41543.0</v>
      </c>
      <c r="B380" s="12">
        <v>399036.24</v>
      </c>
      <c r="C380" s="19">
        <f t="shared" si="90"/>
        <v>0.003309993702</v>
      </c>
      <c r="D380" s="19">
        <f t="shared" si="89"/>
        <v>0.02965678953</v>
      </c>
      <c r="E380" s="12"/>
      <c r="F380" s="7"/>
      <c r="G380" s="7"/>
      <c r="H380" s="1"/>
      <c r="I380" s="1"/>
      <c r="J380" s="1" t="s">
        <v>480</v>
      </c>
      <c r="K380" s="1"/>
      <c r="L380" s="12">
        <f t="shared" si="91"/>
        <v>13139.60862</v>
      </c>
      <c r="M380" s="12"/>
      <c r="N380" s="15"/>
      <c r="O380" s="1"/>
      <c r="Q380" s="12"/>
      <c r="R380" s="1"/>
    </row>
    <row r="381" ht="12.75" hidden="1" customHeight="1" outlineLevel="1">
      <c r="A381" s="17">
        <v>41544.0</v>
      </c>
      <c r="B381" s="12">
        <v>399940.03</v>
      </c>
      <c r="C381" s="19">
        <f t="shared" si="90"/>
        <v>0.002264932127</v>
      </c>
      <c r="D381" s="19">
        <f t="shared" si="89"/>
        <v>0.03198889228</v>
      </c>
      <c r="E381" s="12"/>
      <c r="F381" s="7"/>
      <c r="G381" s="7"/>
      <c r="H381" s="1"/>
      <c r="I381" s="1"/>
      <c r="J381" s="7" t="s">
        <v>481</v>
      </c>
      <c r="K381" s="1" t="s">
        <v>367</v>
      </c>
      <c r="L381" s="12">
        <f t="shared" si="91"/>
        <v>13169.36894</v>
      </c>
      <c r="M381" s="12"/>
      <c r="N381" s="15"/>
      <c r="O381" s="1"/>
      <c r="Q381" s="12"/>
      <c r="R381" s="1"/>
    </row>
    <row r="382" ht="12.75" hidden="1" customHeight="1" outlineLevel="1">
      <c r="A382" s="17">
        <v>41547.0</v>
      </c>
      <c r="B382" s="12">
        <v>398164.01</v>
      </c>
      <c r="C382" s="19">
        <f t="shared" si="90"/>
        <v>-0.004440715774</v>
      </c>
      <c r="D382" s="19">
        <f t="shared" si="89"/>
        <v>0.02740612292</v>
      </c>
      <c r="E382" s="12"/>
      <c r="F382" s="7"/>
      <c r="G382" s="7"/>
      <c r="H382" s="1"/>
      <c r="I382" s="1"/>
      <c r="J382" s="7" t="s">
        <v>482</v>
      </c>
      <c r="K382" s="19">
        <f>3000.18/2908.96-1</f>
        <v>0.03135828612</v>
      </c>
      <c r="L382" s="12">
        <f t="shared" si="91"/>
        <v>13110.88751</v>
      </c>
      <c r="M382" s="12"/>
      <c r="N382" s="15"/>
      <c r="O382" s="1"/>
      <c r="Q382" s="12"/>
      <c r="R382" s="21"/>
    </row>
    <row r="383" ht="12.75" hidden="1" customHeight="1" outlineLevel="1">
      <c r="A383" s="17"/>
      <c r="B383" s="12"/>
      <c r="C383" s="1"/>
      <c r="D383" s="1"/>
      <c r="E383" s="12"/>
      <c r="F383" s="7"/>
      <c r="G383" s="7"/>
      <c r="H383" s="1"/>
      <c r="I383" s="1"/>
      <c r="J383" s="1"/>
      <c r="K383" s="1"/>
      <c r="L383" s="12"/>
      <c r="M383" s="12"/>
      <c r="N383" s="15"/>
      <c r="O383" s="1"/>
      <c r="Q383" s="12"/>
      <c r="R383" s="1"/>
    </row>
    <row r="384" ht="12.75" hidden="1" customHeight="1" outlineLevel="1">
      <c r="A384" s="17"/>
      <c r="B384" s="12">
        <f>B382</f>
        <v>398164.01</v>
      </c>
      <c r="C384" s="19"/>
      <c r="D384" s="19">
        <f t="shared" ref="D384:D407" si="92">(B384/$B$384)-1</f>
        <v>0</v>
      </c>
      <c r="E384" s="12"/>
      <c r="F384" s="7"/>
      <c r="G384" s="7"/>
      <c r="H384" s="1"/>
      <c r="I384" s="1"/>
      <c r="J384" s="1"/>
      <c r="K384" s="1"/>
      <c r="L384" s="12"/>
      <c r="M384" s="12"/>
      <c r="N384" s="15"/>
      <c r="O384" s="1"/>
      <c r="Q384" s="12"/>
      <c r="R384" s="1"/>
    </row>
    <row r="385" ht="12.75" hidden="1" customHeight="1" outlineLevel="1">
      <c r="A385" s="17">
        <v>41548.0</v>
      </c>
      <c r="B385" s="12">
        <v>405577.96</v>
      </c>
      <c r="C385" s="19">
        <f t="shared" ref="C385:C407" si="93">(B385/B384)-1</f>
        <v>0.0186203419</v>
      </c>
      <c r="D385" s="19">
        <f t="shared" si="92"/>
        <v>0.0186203419</v>
      </c>
      <c r="E385" s="12"/>
      <c r="F385" s="7"/>
      <c r="G385" s="7"/>
      <c r="H385" s="1"/>
      <c r="I385" s="1"/>
      <c r="J385" s="1" t="s">
        <v>483</v>
      </c>
      <c r="K385" s="1"/>
      <c r="L385" s="12">
        <f t="shared" ref="L385:L407" si="94">IF(C384="",L382*(1+C385),L384*(1+C385))</f>
        <v>13355.01672</v>
      </c>
      <c r="M385" s="12"/>
      <c r="N385" s="15"/>
      <c r="O385" s="1"/>
      <c r="Q385" s="12"/>
      <c r="R385" s="1"/>
    </row>
    <row r="386" ht="12.75" hidden="1" customHeight="1" outlineLevel="1">
      <c r="A386" s="17">
        <v>41549.0</v>
      </c>
      <c r="B386" s="12">
        <v>404253.22</v>
      </c>
      <c r="C386" s="19">
        <f t="shared" si="93"/>
        <v>-0.003266301749</v>
      </c>
      <c r="D386" s="19">
        <f t="shared" si="92"/>
        <v>0.0152932205</v>
      </c>
      <c r="E386" s="12"/>
      <c r="F386" s="7"/>
      <c r="G386" s="7"/>
      <c r="H386" s="1"/>
      <c r="I386" s="1"/>
      <c r="J386" s="1" t="s">
        <v>484</v>
      </c>
      <c r="K386" s="1"/>
      <c r="L386" s="12">
        <f t="shared" si="94"/>
        <v>13311.39521</v>
      </c>
      <c r="M386" s="12"/>
      <c r="N386" s="15"/>
      <c r="O386" s="1"/>
      <c r="Q386" s="12"/>
      <c r="R386" s="1"/>
    </row>
    <row r="387" ht="12.75" hidden="1" customHeight="1" outlineLevel="1">
      <c r="A387" s="17">
        <v>41550.0</v>
      </c>
      <c r="B387" s="12">
        <v>403598.39</v>
      </c>
      <c r="C387" s="19">
        <f t="shared" si="93"/>
        <v>-0.001619851043</v>
      </c>
      <c r="D387" s="19">
        <f t="shared" si="92"/>
        <v>0.01364859672</v>
      </c>
      <c r="E387" s="12"/>
      <c r="F387" s="7"/>
      <c r="G387" s="7"/>
      <c r="H387" s="1"/>
      <c r="I387" s="1"/>
      <c r="J387" s="1" t="s">
        <v>485</v>
      </c>
      <c r="K387" s="1"/>
      <c r="L387" s="12">
        <f t="shared" si="94"/>
        <v>13289.83273</v>
      </c>
      <c r="M387" s="12"/>
      <c r="N387" s="15"/>
      <c r="O387" s="1"/>
      <c r="Q387" s="12"/>
      <c r="R387" s="1"/>
    </row>
    <row r="388" ht="12.75" hidden="1" customHeight="1" outlineLevel="1">
      <c r="A388" s="17">
        <v>41551.0</v>
      </c>
      <c r="B388" s="12">
        <v>404007.4</v>
      </c>
      <c r="C388" s="19">
        <f t="shared" si="93"/>
        <v>0.001013408403</v>
      </c>
      <c r="D388" s="19">
        <f t="shared" si="92"/>
        <v>0.01467583672</v>
      </c>
      <c r="E388" s="12"/>
      <c r="F388" s="7"/>
      <c r="G388" s="7"/>
      <c r="H388" s="1"/>
      <c r="I388" s="1"/>
      <c r="J388" s="1" t="s">
        <v>486</v>
      </c>
      <c r="K388" s="1"/>
      <c r="L388" s="12">
        <f t="shared" si="94"/>
        <v>13303.30076</v>
      </c>
      <c r="M388" s="12"/>
      <c r="N388" s="15"/>
      <c r="O388" s="1"/>
      <c r="Q388" s="12"/>
      <c r="R388" s="1"/>
    </row>
    <row r="389" ht="12.75" hidden="1" customHeight="1" outlineLevel="1">
      <c r="A389" s="17">
        <v>41554.0</v>
      </c>
      <c r="B389" s="12">
        <v>401050.31</v>
      </c>
      <c r="C389" s="19">
        <f t="shared" si="93"/>
        <v>-0.007319395635</v>
      </c>
      <c r="D389" s="19">
        <f t="shared" si="92"/>
        <v>0.007249022834</v>
      </c>
      <c r="E389" s="12"/>
      <c r="F389" s="7"/>
      <c r="G389" s="7"/>
      <c r="H389" s="1"/>
      <c r="I389" s="1"/>
      <c r="J389" s="1"/>
      <c r="K389" s="1"/>
      <c r="L389" s="12">
        <f t="shared" si="94"/>
        <v>13205.92864</v>
      </c>
      <c r="M389" s="12"/>
      <c r="N389" s="15"/>
      <c r="O389" s="1"/>
      <c r="Q389" s="12"/>
      <c r="R389" s="1"/>
    </row>
    <row r="390" ht="12.75" hidden="1" customHeight="1" outlineLevel="1">
      <c r="A390" s="17">
        <v>41555.0</v>
      </c>
      <c r="B390" s="12">
        <v>396396.71</v>
      </c>
      <c r="C390" s="19">
        <f t="shared" si="93"/>
        <v>-0.01160353174</v>
      </c>
      <c r="D390" s="19">
        <f t="shared" si="92"/>
        <v>-0.004438623169</v>
      </c>
      <c r="E390" s="12"/>
      <c r="F390" s="7"/>
      <c r="G390" s="7"/>
      <c r="H390" s="1"/>
      <c r="I390" s="1"/>
      <c r="J390" s="1"/>
      <c r="K390" s="1"/>
      <c r="L390" s="12">
        <f t="shared" si="94"/>
        <v>13052.69322</v>
      </c>
      <c r="M390" s="12"/>
      <c r="N390" s="15"/>
      <c r="O390" s="1"/>
      <c r="Q390" s="12"/>
      <c r="R390" s="1"/>
    </row>
    <row r="391" ht="12.75" hidden="1" customHeight="1" outlineLevel="1">
      <c r="A391" s="17">
        <v>41556.0</v>
      </c>
      <c r="B391" s="12">
        <v>395417.54</v>
      </c>
      <c r="C391" s="19">
        <f t="shared" si="93"/>
        <v>-0.002470176909</v>
      </c>
      <c r="D391" s="19">
        <f t="shared" si="92"/>
        <v>-0.006897835894</v>
      </c>
      <c r="E391" s="12"/>
      <c r="F391" s="7"/>
      <c r="G391" s="7"/>
      <c r="H391" s="1"/>
      <c r="I391" s="1"/>
      <c r="J391" s="1"/>
      <c r="K391" s="1"/>
      <c r="L391" s="12">
        <f t="shared" si="94"/>
        <v>13020.45076</v>
      </c>
      <c r="M391" s="12"/>
      <c r="N391" s="15"/>
      <c r="O391" s="1"/>
      <c r="Q391" s="12"/>
      <c r="R391" s="1"/>
    </row>
    <row r="392" ht="12.75" hidden="1" customHeight="1" outlineLevel="1">
      <c r="A392" s="17">
        <v>41557.0</v>
      </c>
      <c r="B392" s="12">
        <v>403563.67</v>
      </c>
      <c r="C392" s="19">
        <f t="shared" si="93"/>
        <v>0.02060133701</v>
      </c>
      <c r="D392" s="19">
        <f t="shared" si="92"/>
        <v>0.01356139647</v>
      </c>
      <c r="E392" s="12"/>
      <c r="F392" s="7"/>
      <c r="G392" s="7"/>
      <c r="H392" s="1"/>
      <c r="I392" s="1"/>
      <c r="J392" s="1"/>
      <c r="K392" s="1"/>
      <c r="L392" s="12">
        <f t="shared" si="94"/>
        <v>13288.68946</v>
      </c>
      <c r="M392" s="12"/>
      <c r="N392" s="15"/>
      <c r="O392" s="1"/>
      <c r="Q392" s="12"/>
      <c r="R392" s="1"/>
    </row>
    <row r="393" ht="12.75" hidden="1" customHeight="1" outlineLevel="1">
      <c r="A393" s="17">
        <v>41558.0</v>
      </c>
      <c r="B393" s="12">
        <v>406607.04</v>
      </c>
      <c r="C393" s="19">
        <f t="shared" si="93"/>
        <v>0.007541238784</v>
      </c>
      <c r="D393" s="19">
        <f t="shared" si="92"/>
        <v>0.02120490498</v>
      </c>
      <c r="E393" s="12"/>
      <c r="F393" s="7"/>
      <c r="G393" s="7"/>
      <c r="H393" s="1"/>
      <c r="I393" s="1"/>
      <c r="J393" s="1"/>
      <c r="K393" s="1"/>
      <c r="L393" s="12">
        <f t="shared" si="94"/>
        <v>13388.90264</v>
      </c>
      <c r="M393" s="12"/>
      <c r="N393" s="15"/>
      <c r="O393" s="1"/>
      <c r="Q393" s="12"/>
      <c r="R393" s="1"/>
    </row>
    <row r="394" ht="12.75" hidden="1" customHeight="1" outlineLevel="1">
      <c r="A394" s="17">
        <v>41561.0</v>
      </c>
      <c r="B394" s="12">
        <v>407670.79</v>
      </c>
      <c r="C394" s="19">
        <f t="shared" si="93"/>
        <v>0.002616162278</v>
      </c>
      <c r="D394" s="19">
        <f t="shared" si="92"/>
        <v>0.02387654273</v>
      </c>
      <c r="E394" s="12"/>
      <c r="F394" s="7"/>
      <c r="G394" s="7"/>
      <c r="H394" s="1"/>
      <c r="I394" s="1"/>
      <c r="J394" s="1"/>
      <c r="K394" s="1"/>
      <c r="L394" s="12">
        <f t="shared" si="94"/>
        <v>13423.93018</v>
      </c>
      <c r="M394" s="12"/>
      <c r="N394" s="15"/>
      <c r="O394" s="1"/>
      <c r="Q394" s="12"/>
      <c r="R394" s="1"/>
    </row>
    <row r="395" ht="12.75" hidden="1" customHeight="1" outlineLevel="1">
      <c r="A395" s="17">
        <v>41562.0</v>
      </c>
      <c r="B395" s="12">
        <v>402600.89</v>
      </c>
      <c r="C395" s="19">
        <f t="shared" si="93"/>
        <v>-0.01243626015</v>
      </c>
      <c r="D395" s="19">
        <f t="shared" si="92"/>
        <v>0.01114334769</v>
      </c>
      <c r="E395" s="12"/>
      <c r="F395" s="7"/>
      <c r="G395" s="7"/>
      <c r="H395" s="1"/>
      <c r="I395" s="1"/>
      <c r="J395" s="1" t="s">
        <v>488</v>
      </c>
      <c r="K395" s="1"/>
      <c r="L395" s="12">
        <f t="shared" si="94"/>
        <v>13256.98669</v>
      </c>
      <c r="M395" s="12"/>
      <c r="N395" s="15"/>
      <c r="O395" s="1"/>
      <c r="Q395" s="12"/>
      <c r="R395" s="1"/>
    </row>
    <row r="396" ht="12.75" hidden="1" customHeight="1" outlineLevel="1">
      <c r="A396" s="17">
        <v>41563.0</v>
      </c>
      <c r="B396" s="12">
        <v>407754.29</v>
      </c>
      <c r="C396" s="19">
        <f t="shared" si="93"/>
        <v>0.01280026977</v>
      </c>
      <c r="D396" s="19">
        <f t="shared" si="92"/>
        <v>0.02408625531</v>
      </c>
      <c r="E396" s="12"/>
      <c r="F396" s="7"/>
      <c r="G396" s="7"/>
      <c r="H396" s="1"/>
      <c r="I396" s="1"/>
      <c r="J396" s="1"/>
      <c r="K396" s="1"/>
      <c r="L396" s="12">
        <f t="shared" si="94"/>
        <v>13426.6797</v>
      </c>
      <c r="M396" s="12"/>
      <c r="N396" s="15"/>
      <c r="O396" s="1"/>
      <c r="Q396" s="12"/>
      <c r="R396" s="1"/>
    </row>
    <row r="397" ht="12.75" hidden="1" customHeight="1" outlineLevel="1">
      <c r="A397" s="17">
        <v>41564.0</v>
      </c>
      <c r="B397" s="12">
        <v>412488.77</v>
      </c>
      <c r="C397" s="19">
        <f t="shared" si="93"/>
        <v>0.01161111021</v>
      </c>
      <c r="D397" s="19">
        <f t="shared" si="92"/>
        <v>0.03597703369</v>
      </c>
      <c r="E397" s="12"/>
      <c r="F397" s="7"/>
      <c r="G397" s="7"/>
      <c r="H397" s="1"/>
      <c r="I397" s="1"/>
      <c r="J397" s="1"/>
      <c r="K397" s="1"/>
      <c r="L397" s="12">
        <f t="shared" si="94"/>
        <v>13582.57836</v>
      </c>
      <c r="M397" s="12"/>
      <c r="N397" s="15"/>
      <c r="O397" s="1"/>
      <c r="Q397" s="12"/>
      <c r="R397" s="1"/>
    </row>
    <row r="398" ht="12.75" hidden="1" customHeight="1" outlineLevel="1">
      <c r="A398" s="17">
        <v>41565.0</v>
      </c>
      <c r="B398" s="12">
        <v>412782.36</v>
      </c>
      <c r="C398" s="19">
        <f t="shared" si="93"/>
        <v>0.0007117527103</v>
      </c>
      <c r="D398" s="19">
        <f t="shared" si="92"/>
        <v>0.03671439315</v>
      </c>
      <c r="E398" s="12"/>
      <c r="F398" s="7"/>
      <c r="G398" s="7"/>
      <c r="H398" s="1"/>
      <c r="I398" s="1"/>
      <c r="J398" s="1" t="s">
        <v>489</v>
      </c>
      <c r="K398" s="1"/>
      <c r="L398" s="12">
        <f t="shared" si="94"/>
        <v>13592.24579</v>
      </c>
      <c r="M398" s="12"/>
      <c r="N398" s="15"/>
      <c r="O398" s="1"/>
      <c r="Q398" s="12"/>
      <c r="R398" s="1"/>
    </row>
    <row r="399" ht="12.75" hidden="1" customHeight="1" outlineLevel="1">
      <c r="A399" s="17">
        <v>41568.0</v>
      </c>
      <c r="B399" s="12">
        <v>412140.99</v>
      </c>
      <c r="C399" s="19">
        <f t="shared" si="93"/>
        <v>-0.001553772792</v>
      </c>
      <c r="D399" s="19">
        <f t="shared" si="92"/>
        <v>0.03510357453</v>
      </c>
      <c r="E399" s="12"/>
      <c r="F399" s="7"/>
      <c r="G399" s="7"/>
      <c r="H399" s="1"/>
      <c r="I399" s="1"/>
      <c r="J399" s="1" t="s">
        <v>491</v>
      </c>
      <c r="K399" s="1"/>
      <c r="L399" s="12">
        <f t="shared" si="94"/>
        <v>13571.12653</v>
      </c>
      <c r="M399" s="12"/>
      <c r="N399" s="15"/>
      <c r="O399" s="1"/>
      <c r="Q399" s="12"/>
      <c r="R399" s="1"/>
    </row>
    <row r="400" ht="12.75" hidden="1" customHeight="1" outlineLevel="1">
      <c r="A400" s="17">
        <v>41569.0</v>
      </c>
      <c r="B400" s="12">
        <v>414958.68</v>
      </c>
      <c r="C400" s="19">
        <f t="shared" si="93"/>
        <v>0.006836713815</v>
      </c>
      <c r="D400" s="19">
        <f t="shared" si="92"/>
        <v>0.04218028144</v>
      </c>
      <c r="E400" s="12"/>
      <c r="F400" s="7"/>
      <c r="G400" s="7"/>
      <c r="H400" s="1"/>
      <c r="I400" s="1"/>
      <c r="J400" s="1"/>
      <c r="K400" s="1"/>
      <c r="L400" s="12">
        <f t="shared" si="94"/>
        <v>13663.90844</v>
      </c>
      <c r="M400" s="12"/>
      <c r="N400" s="15"/>
      <c r="O400" s="1"/>
      <c r="Q400" s="12"/>
      <c r="R400" s="1"/>
    </row>
    <row r="401" ht="12.75" hidden="1" customHeight="1" outlineLevel="1">
      <c r="A401" s="17">
        <v>41570.0</v>
      </c>
      <c r="B401" s="12">
        <v>412635.65</v>
      </c>
      <c r="C401" s="19">
        <f t="shared" si="93"/>
        <v>-0.005598220044</v>
      </c>
      <c r="D401" s="19">
        <f t="shared" si="92"/>
        <v>0.0363459269</v>
      </c>
      <c r="E401" s="12"/>
      <c r="F401" s="7"/>
      <c r="G401" s="7"/>
      <c r="H401" s="1"/>
      <c r="I401" s="1"/>
      <c r="J401" s="1" t="s">
        <v>493</v>
      </c>
      <c r="K401" s="1"/>
      <c r="L401" s="12">
        <f t="shared" si="94"/>
        <v>13587.41487</v>
      </c>
      <c r="M401" s="12"/>
      <c r="N401" s="15"/>
      <c r="O401" s="1"/>
      <c r="Q401" s="12"/>
      <c r="R401" s="1"/>
    </row>
    <row r="402" ht="12.75" hidden="1" customHeight="1" outlineLevel="1">
      <c r="A402" s="17">
        <v>41571.0</v>
      </c>
      <c r="B402" s="12">
        <v>418349.59</v>
      </c>
      <c r="C402" s="19">
        <f t="shared" si="93"/>
        <v>0.01384742205</v>
      </c>
      <c r="D402" s="19">
        <f t="shared" si="92"/>
        <v>0.05069664634</v>
      </c>
      <c r="E402" s="12"/>
      <c r="F402" s="7"/>
      <c r="G402" s="7"/>
      <c r="H402" s="1"/>
      <c r="I402" s="1"/>
      <c r="J402" s="1" t="s">
        <v>494</v>
      </c>
      <c r="K402" s="1"/>
      <c r="L402" s="12">
        <f t="shared" si="94"/>
        <v>13775.56554</v>
      </c>
      <c r="M402" s="12"/>
      <c r="N402" s="15"/>
      <c r="O402" s="1"/>
      <c r="Q402" s="12"/>
      <c r="R402" s="1"/>
    </row>
    <row r="403" ht="12.75" hidden="1" customHeight="1" outlineLevel="1">
      <c r="A403" s="17">
        <v>41572.0</v>
      </c>
      <c r="B403" s="12">
        <v>418911.53</v>
      </c>
      <c r="C403" s="19">
        <f t="shared" si="93"/>
        <v>0.00134323067</v>
      </c>
      <c r="D403" s="19">
        <f t="shared" si="92"/>
        <v>0.0521079743</v>
      </c>
      <c r="E403" s="12"/>
      <c r="F403" s="7"/>
      <c r="G403" s="7"/>
      <c r="H403" s="1"/>
      <c r="I403" s="1"/>
      <c r="J403" s="1" t="s">
        <v>495</v>
      </c>
      <c r="K403" s="1"/>
      <c r="L403" s="12">
        <f t="shared" si="94"/>
        <v>13794.0693</v>
      </c>
      <c r="M403" s="12"/>
      <c r="N403" s="15"/>
      <c r="O403" s="1"/>
      <c r="Q403" s="12"/>
      <c r="R403" s="1"/>
    </row>
    <row r="404" ht="12.75" hidden="1" customHeight="1" outlineLevel="1">
      <c r="A404" s="17">
        <v>41575.0</v>
      </c>
      <c r="B404" s="12">
        <v>419039.15</v>
      </c>
      <c r="C404" s="19">
        <f t="shared" si="93"/>
        <v>0.0003046466637</v>
      </c>
      <c r="D404" s="19">
        <f t="shared" si="92"/>
        <v>0.05242849548</v>
      </c>
      <c r="E404" s="12"/>
      <c r="F404" s="7"/>
      <c r="G404" s="7"/>
      <c r="H404" s="1"/>
      <c r="I404" s="1"/>
      <c r="J404" s="1" t="s">
        <v>496</v>
      </c>
      <c r="K404" s="1"/>
      <c r="L404" s="12">
        <f t="shared" si="94"/>
        <v>13798.27162</v>
      </c>
      <c r="M404" s="12"/>
      <c r="N404" s="15"/>
      <c r="O404" s="1"/>
      <c r="Q404" s="12"/>
      <c r="R404" s="1"/>
    </row>
    <row r="405" ht="12.75" hidden="1" customHeight="1" outlineLevel="1">
      <c r="A405" s="17">
        <v>41576.0</v>
      </c>
      <c r="B405" s="12">
        <v>421692.86</v>
      </c>
      <c r="C405" s="19">
        <f t="shared" si="93"/>
        <v>0.006332845034</v>
      </c>
      <c r="D405" s="19">
        <f t="shared" si="92"/>
        <v>0.05909336205</v>
      </c>
      <c r="E405" s="12"/>
      <c r="F405" s="7"/>
      <c r="G405" s="7"/>
      <c r="H405" s="1"/>
      <c r="I405" s="1"/>
      <c r="J405" s="7" t="s">
        <v>497</v>
      </c>
      <c r="K405" s="1"/>
      <c r="L405" s="12">
        <f t="shared" si="94"/>
        <v>13885.65394</v>
      </c>
      <c r="M405" s="12"/>
      <c r="N405" s="15"/>
      <c r="O405" s="1"/>
      <c r="Q405" s="12"/>
      <c r="R405" s="1"/>
    </row>
    <row r="406" ht="12.75" hidden="1" customHeight="1" outlineLevel="1">
      <c r="A406" s="17">
        <v>41577.0</v>
      </c>
      <c r="B406" s="12">
        <v>419575.98</v>
      </c>
      <c r="C406" s="19">
        <f t="shared" si="93"/>
        <v>-0.005019956942</v>
      </c>
      <c r="D406" s="19">
        <f t="shared" si="92"/>
        <v>0.05377675898</v>
      </c>
      <c r="E406" s="12"/>
      <c r="F406" s="7"/>
      <c r="G406" s="7"/>
      <c r="H406" s="1"/>
      <c r="I406" s="1"/>
      <c r="J406" s="7" t="s">
        <v>498</v>
      </c>
      <c r="K406" s="1" t="s">
        <v>367</v>
      </c>
      <c r="L406" s="12">
        <f t="shared" si="94"/>
        <v>13815.94855</v>
      </c>
      <c r="M406" s="12"/>
      <c r="N406" s="15"/>
      <c r="O406" s="1"/>
      <c r="Q406" s="12"/>
      <c r="R406" s="1"/>
    </row>
    <row r="407" ht="12.75" hidden="1" customHeight="1" outlineLevel="1">
      <c r="A407" s="17">
        <v>41578.0</v>
      </c>
      <c r="B407" s="12">
        <v>418189.48</v>
      </c>
      <c r="C407" s="19">
        <f t="shared" si="93"/>
        <v>-0.003304526632</v>
      </c>
      <c r="D407" s="19">
        <f t="shared" si="92"/>
        <v>0.05029452562</v>
      </c>
      <c r="E407" s="12"/>
      <c r="F407" s="7"/>
      <c r="G407" s="7"/>
      <c r="H407" s="1"/>
      <c r="I407" s="1"/>
      <c r="J407" s="7" t="s">
        <v>499</v>
      </c>
      <c r="K407" s="19">
        <f>3138.09/3000.18-1</f>
        <v>0.04596724197</v>
      </c>
      <c r="L407" s="12">
        <f t="shared" si="94"/>
        <v>13770.29338</v>
      </c>
      <c r="M407" s="12"/>
      <c r="N407" s="15"/>
      <c r="O407" s="1"/>
      <c r="Q407" s="12"/>
      <c r="R407" s="1"/>
    </row>
    <row r="408" ht="12.75" hidden="1" customHeight="1" outlineLevel="1">
      <c r="A408" s="17"/>
      <c r="B408" s="12"/>
      <c r="C408" s="1"/>
      <c r="D408" s="1"/>
      <c r="E408" s="12"/>
      <c r="F408" s="7"/>
      <c r="G408" s="7"/>
      <c r="H408" s="1"/>
      <c r="I408" s="1"/>
      <c r="J408" s="1"/>
      <c r="K408" s="1"/>
      <c r="L408" s="12"/>
      <c r="M408" s="12"/>
      <c r="N408" s="15"/>
      <c r="O408" s="1"/>
      <c r="Q408" s="12"/>
      <c r="R408" s="1"/>
    </row>
    <row r="409" ht="12.75" hidden="1" customHeight="1" outlineLevel="1">
      <c r="A409" s="17"/>
      <c r="B409" s="12">
        <f>B407</f>
        <v>418189.48</v>
      </c>
      <c r="C409" s="19"/>
      <c r="D409" s="19">
        <f t="shared" ref="D409:D430" si="95">(B409/$B$409)-1</f>
        <v>0</v>
      </c>
      <c r="E409" s="12"/>
      <c r="F409" s="7"/>
      <c r="G409" s="7"/>
      <c r="H409" s="1"/>
      <c r="I409" s="1"/>
      <c r="J409" s="1"/>
      <c r="K409" s="1"/>
      <c r="L409" s="12"/>
      <c r="M409" s="12"/>
      <c r="N409" s="15"/>
      <c r="O409" s="1"/>
      <c r="Q409" s="12"/>
      <c r="R409" s="1"/>
    </row>
    <row r="410" ht="12.75" hidden="1" customHeight="1" outlineLevel="1">
      <c r="A410" s="17">
        <v>41579.0</v>
      </c>
      <c r="B410" s="12">
        <v>415365.79</v>
      </c>
      <c r="C410" s="19">
        <f t="shared" ref="C410:C430" si="96">(B410/B409)-1</f>
        <v>-0.006752178462</v>
      </c>
      <c r="D410" s="19">
        <f t="shared" si="95"/>
        <v>-0.006752178462</v>
      </c>
      <c r="E410" s="12"/>
      <c r="F410" s="7"/>
      <c r="G410" s="7"/>
      <c r="H410" s="1"/>
      <c r="I410" s="1"/>
      <c r="J410" s="1"/>
      <c r="K410" s="1"/>
      <c r="L410" s="12">
        <f t="shared" ref="L410:L430" si="97">IF(C409="",L407*(1+C410),L409*(1+C410))</f>
        <v>13677.3139</v>
      </c>
      <c r="M410" s="12"/>
      <c r="N410" s="15"/>
      <c r="O410" s="1"/>
      <c r="Q410" s="12"/>
      <c r="R410" s="1"/>
    </row>
    <row r="411" ht="12.75" hidden="1" customHeight="1" outlineLevel="1">
      <c r="A411" s="17">
        <v>41582.0</v>
      </c>
      <c r="B411" s="12">
        <v>417168.27</v>
      </c>
      <c r="C411" s="19">
        <f t="shared" si="96"/>
        <v>0.004339500371</v>
      </c>
      <c r="D411" s="19">
        <f t="shared" si="95"/>
        <v>-0.002441979172</v>
      </c>
      <c r="E411" s="12"/>
      <c r="F411" s="7"/>
      <c r="G411" s="7"/>
      <c r="H411" s="1"/>
      <c r="I411" s="1"/>
      <c r="J411" s="1"/>
      <c r="K411" s="1"/>
      <c r="L411" s="12">
        <f t="shared" si="97"/>
        <v>13736.66661</v>
      </c>
      <c r="M411" s="12"/>
      <c r="N411" s="15"/>
      <c r="O411" s="1"/>
      <c r="Q411" s="12"/>
      <c r="R411" s="1"/>
    </row>
    <row r="412" ht="12.75" hidden="1" customHeight="1" outlineLevel="1">
      <c r="A412" s="17">
        <v>41583.0</v>
      </c>
      <c r="B412" s="12">
        <v>417362.62</v>
      </c>
      <c r="C412" s="19">
        <f t="shared" si="96"/>
        <v>0.0004658791523</v>
      </c>
      <c r="D412" s="19">
        <f t="shared" si="95"/>
        <v>-0.001977237687</v>
      </c>
      <c r="E412" s="12"/>
      <c r="F412" s="7"/>
      <c r="G412" s="7"/>
      <c r="H412" s="1"/>
      <c r="I412" s="1"/>
      <c r="J412" s="1"/>
      <c r="K412" s="1"/>
      <c r="L412" s="12">
        <f t="shared" si="97"/>
        <v>13743.06624</v>
      </c>
      <c r="M412" s="12"/>
      <c r="N412" s="15"/>
      <c r="O412" s="1"/>
      <c r="Q412" s="12"/>
      <c r="R412" s="1"/>
    </row>
    <row r="413" ht="12.75" hidden="1" customHeight="1" outlineLevel="1">
      <c r="A413" s="17">
        <v>41584.0</v>
      </c>
      <c r="B413" s="12">
        <v>423747.5</v>
      </c>
      <c r="C413" s="19">
        <f t="shared" si="96"/>
        <v>0.01529815967</v>
      </c>
      <c r="D413" s="19">
        <f t="shared" si="95"/>
        <v>0.01329067388</v>
      </c>
      <c r="E413" s="12"/>
      <c r="F413" s="7"/>
      <c r="G413" s="7"/>
      <c r="H413" s="1"/>
      <c r="I413" s="1"/>
      <c r="J413" s="1" t="s">
        <v>504</v>
      </c>
      <c r="K413" s="1"/>
      <c r="L413" s="12">
        <f t="shared" si="97"/>
        <v>13953.30986</v>
      </c>
      <c r="M413" s="12"/>
      <c r="N413" s="15"/>
      <c r="O413" s="1"/>
      <c r="Q413" s="12"/>
      <c r="R413" s="1"/>
    </row>
    <row r="414" ht="12.75" hidden="1" customHeight="1" outlineLevel="1">
      <c r="A414" s="17">
        <v>41585.0</v>
      </c>
      <c r="B414" s="12">
        <v>421307.97</v>
      </c>
      <c r="C414" s="19">
        <f t="shared" si="96"/>
        <v>-0.005757036915</v>
      </c>
      <c r="D414" s="19">
        <f t="shared" si="95"/>
        <v>0.007457122068</v>
      </c>
      <c r="E414" s="12"/>
      <c r="F414" s="7"/>
      <c r="G414" s="7"/>
      <c r="H414" s="1"/>
      <c r="I414" s="1"/>
      <c r="J414" s="1"/>
      <c r="K414" s="1"/>
      <c r="L414" s="12">
        <f t="shared" si="97"/>
        <v>13872.98014</v>
      </c>
      <c r="M414" s="12"/>
      <c r="N414" s="15"/>
      <c r="O414" s="1"/>
      <c r="Q414" s="12"/>
      <c r="R414" s="1"/>
    </row>
    <row r="415" ht="12.75" hidden="1" customHeight="1" outlineLevel="1">
      <c r="A415" s="17">
        <v>41586.0</v>
      </c>
      <c r="B415" s="12">
        <v>429155.32</v>
      </c>
      <c r="C415" s="19">
        <f t="shared" si="96"/>
        <v>0.01862616081</v>
      </c>
      <c r="D415" s="19">
        <f t="shared" si="95"/>
        <v>0.02622218043</v>
      </c>
      <c r="E415" s="12"/>
      <c r="F415" s="7"/>
      <c r="G415" s="7"/>
      <c r="H415" s="1"/>
      <c r="I415" s="1"/>
      <c r="J415" s="1" t="s">
        <v>505</v>
      </c>
      <c r="K415" s="1"/>
      <c r="L415" s="12">
        <f t="shared" si="97"/>
        <v>14131.3805</v>
      </c>
      <c r="M415" s="12"/>
      <c r="N415" s="15"/>
      <c r="O415" s="1"/>
      <c r="Q415" s="12"/>
      <c r="R415" s="1"/>
    </row>
    <row r="416" ht="12.75" hidden="1" customHeight="1" outlineLevel="1">
      <c r="A416" s="17">
        <v>41589.0</v>
      </c>
      <c r="B416" s="12">
        <v>431773.69</v>
      </c>
      <c r="C416" s="19">
        <f t="shared" si="96"/>
        <v>0.00610121762</v>
      </c>
      <c r="D416" s="19">
        <f t="shared" si="95"/>
        <v>0.03248338528</v>
      </c>
      <c r="E416" s="12"/>
      <c r="F416" s="7"/>
      <c r="G416" s="7"/>
      <c r="H416" s="1"/>
      <c r="I416" s="1"/>
      <c r="J416" s="1" t="s">
        <v>506</v>
      </c>
      <c r="K416" s="1"/>
      <c r="L416" s="12">
        <f t="shared" si="97"/>
        <v>14217.59913</v>
      </c>
      <c r="M416" s="12"/>
      <c r="N416" s="15"/>
      <c r="O416" s="1"/>
      <c r="Q416" s="12"/>
      <c r="R416" s="1"/>
    </row>
    <row r="417" ht="12.75" hidden="1" customHeight="1" outlineLevel="1">
      <c r="A417" s="17">
        <v>41590.0</v>
      </c>
      <c r="B417" s="12">
        <v>429739.12</v>
      </c>
      <c r="C417" s="19">
        <f t="shared" si="96"/>
        <v>-0.004712121297</v>
      </c>
      <c r="D417" s="19">
        <f t="shared" si="95"/>
        <v>0.02761819833</v>
      </c>
      <c r="E417" s="12"/>
      <c r="F417" s="7"/>
      <c r="G417" s="7"/>
      <c r="H417" s="1"/>
      <c r="I417" s="1"/>
      <c r="J417" s="1"/>
      <c r="K417" s="1"/>
      <c r="L417" s="12">
        <f t="shared" si="97"/>
        <v>14150.60408</v>
      </c>
      <c r="M417" s="12"/>
      <c r="N417" s="15"/>
      <c r="O417" s="1"/>
      <c r="Q417" s="12"/>
      <c r="R417" s="1"/>
    </row>
    <row r="418" ht="12.75" hidden="1" customHeight="1" outlineLevel="1">
      <c r="A418" s="17">
        <v>41591.0</v>
      </c>
      <c r="B418" s="12">
        <v>434856.41</v>
      </c>
      <c r="C418" s="19">
        <f t="shared" si="96"/>
        <v>0.01190789891</v>
      </c>
      <c r="D418" s="19">
        <f t="shared" si="95"/>
        <v>0.03985497196</v>
      </c>
      <c r="E418" s="12"/>
      <c r="F418" s="7"/>
      <c r="G418" s="7"/>
      <c r="H418" s="1"/>
      <c r="I418" s="1"/>
      <c r="J418" s="1"/>
      <c r="K418" s="1"/>
      <c r="L418" s="12">
        <f t="shared" si="97"/>
        <v>14319.10804</v>
      </c>
      <c r="M418" s="12"/>
      <c r="N418" s="15"/>
      <c r="O418" s="1"/>
      <c r="Q418" s="12"/>
      <c r="R418" s="1"/>
    </row>
    <row r="419" ht="12.75" hidden="1" customHeight="1" outlineLevel="1">
      <c r="A419" s="17">
        <v>41592.0</v>
      </c>
      <c r="B419" s="12">
        <v>438883.36</v>
      </c>
      <c r="C419" s="19">
        <f t="shared" si="96"/>
        <v>0.00926041311</v>
      </c>
      <c r="D419" s="19">
        <f t="shared" si="95"/>
        <v>0.04948445858</v>
      </c>
      <c r="E419" s="12"/>
      <c r="F419" s="7"/>
      <c r="G419" s="7"/>
      <c r="H419" s="1"/>
      <c r="I419" s="1"/>
      <c r="J419" s="1" t="s">
        <v>507</v>
      </c>
      <c r="K419" s="1"/>
      <c r="L419" s="12">
        <f t="shared" si="97"/>
        <v>14451.70889</v>
      </c>
      <c r="M419" s="12"/>
      <c r="N419" s="15"/>
      <c r="O419" s="1"/>
      <c r="Q419" s="12"/>
      <c r="R419" s="1"/>
    </row>
    <row r="420" ht="12.75" hidden="1" customHeight="1" outlineLevel="1">
      <c r="A420" s="17">
        <v>41593.0</v>
      </c>
      <c r="B420" s="12">
        <v>437200.0</v>
      </c>
      <c r="C420" s="19">
        <f t="shared" si="96"/>
        <v>-0.003835552116</v>
      </c>
      <c r="D420" s="19">
        <f t="shared" si="95"/>
        <v>0.04545910624</v>
      </c>
      <c r="E420" s="12"/>
      <c r="F420" s="7"/>
      <c r="G420" s="7"/>
      <c r="H420" s="1"/>
      <c r="I420" s="1"/>
      <c r="J420" s="1" t="s">
        <v>507</v>
      </c>
      <c r="K420" s="1"/>
      <c r="L420" s="12">
        <f t="shared" si="97"/>
        <v>14396.27861</v>
      </c>
      <c r="M420" s="12"/>
      <c r="N420" s="15"/>
      <c r="O420" s="1"/>
      <c r="Q420" s="12"/>
      <c r="R420" s="1"/>
    </row>
    <row r="421" ht="12.75" hidden="1" customHeight="1" outlineLevel="1">
      <c r="A421" s="17">
        <v>41596.0</v>
      </c>
      <c r="B421" s="12">
        <v>434300.0</v>
      </c>
      <c r="C421" s="19">
        <f t="shared" si="96"/>
        <v>-0.006633119854</v>
      </c>
      <c r="D421" s="19">
        <f t="shared" si="95"/>
        <v>0.03852445069</v>
      </c>
      <c r="E421" s="12"/>
      <c r="F421" s="7"/>
      <c r="G421" s="7"/>
      <c r="H421" s="1"/>
      <c r="I421" s="1"/>
      <c r="J421" s="1" t="s">
        <v>508</v>
      </c>
      <c r="K421" s="1"/>
      <c r="L421" s="12">
        <f t="shared" si="97"/>
        <v>14300.78637</v>
      </c>
      <c r="M421" s="12"/>
      <c r="N421" s="15"/>
      <c r="O421" s="1"/>
      <c r="Q421" s="12"/>
      <c r="R421" s="1"/>
    </row>
    <row r="422" ht="12.75" hidden="1" customHeight="1" outlineLevel="1">
      <c r="A422" s="17">
        <v>41597.0</v>
      </c>
      <c r="B422" s="12">
        <v>431681.55</v>
      </c>
      <c r="C422" s="19">
        <f t="shared" si="96"/>
        <v>-0.006029127331</v>
      </c>
      <c r="D422" s="19">
        <f t="shared" si="95"/>
        <v>0.03226305454</v>
      </c>
      <c r="E422" s="12"/>
      <c r="F422" s="7"/>
      <c r="G422" s="7"/>
      <c r="H422" s="1"/>
      <c r="I422" s="1"/>
      <c r="J422" s="7" t="s">
        <v>509</v>
      </c>
      <c r="K422" s="1"/>
      <c r="L422" s="12">
        <f t="shared" si="97"/>
        <v>14214.56511</v>
      </c>
      <c r="M422" s="12"/>
      <c r="N422" s="15"/>
      <c r="O422" s="1"/>
      <c r="Q422" s="12"/>
      <c r="R422" s="1"/>
    </row>
    <row r="423" ht="12.75" hidden="1" customHeight="1" outlineLevel="1">
      <c r="A423" s="17">
        <v>41598.0</v>
      </c>
      <c r="B423" s="12">
        <v>429537.69</v>
      </c>
      <c r="C423" s="19">
        <f t="shared" si="96"/>
        <v>-0.004966299811</v>
      </c>
      <c r="D423" s="19">
        <f t="shared" si="95"/>
        <v>0.02713652672</v>
      </c>
      <c r="E423" s="12"/>
      <c r="F423" s="7"/>
      <c r="G423" s="7"/>
      <c r="H423" s="1"/>
      <c r="I423" s="1"/>
      <c r="J423" s="1"/>
      <c r="K423" s="1"/>
      <c r="L423" s="12">
        <f t="shared" si="97"/>
        <v>14143.97132</v>
      </c>
      <c r="M423" s="12"/>
      <c r="N423" s="15"/>
      <c r="O423" s="1"/>
      <c r="Q423" s="12"/>
      <c r="R423" s="1"/>
    </row>
    <row r="424" ht="12.75" hidden="1" customHeight="1" outlineLevel="1">
      <c r="A424" s="17">
        <v>41599.0</v>
      </c>
      <c r="B424" s="12">
        <v>435265.55</v>
      </c>
      <c r="C424" s="19">
        <f t="shared" si="96"/>
        <v>0.01333494157</v>
      </c>
      <c r="D424" s="19">
        <f t="shared" si="95"/>
        <v>0.0408333323</v>
      </c>
      <c r="E424" s="12"/>
      <c r="F424" s="7"/>
      <c r="G424" s="7"/>
      <c r="H424" s="1"/>
      <c r="I424" s="1"/>
      <c r="J424" s="1" t="s">
        <v>510</v>
      </c>
      <c r="K424" s="1"/>
      <c r="L424" s="12">
        <f t="shared" si="97"/>
        <v>14332.58035</v>
      </c>
      <c r="M424" s="12"/>
      <c r="N424" s="15"/>
      <c r="O424" s="1"/>
      <c r="Q424" s="12"/>
      <c r="R424" s="1"/>
    </row>
    <row r="425" ht="12.75" hidden="1" customHeight="1" outlineLevel="1">
      <c r="A425" s="17">
        <v>41600.0</v>
      </c>
      <c r="B425" s="12">
        <v>442609.8</v>
      </c>
      <c r="C425" s="19">
        <f t="shared" si="96"/>
        <v>0.01687303303</v>
      </c>
      <c r="D425" s="19">
        <f t="shared" si="95"/>
        <v>0.05839534749</v>
      </c>
      <c r="E425" s="12"/>
      <c r="F425" s="7"/>
      <c r="G425" s="7"/>
      <c r="H425" s="1"/>
      <c r="I425" s="1"/>
      <c r="J425" s="1"/>
      <c r="K425" s="1"/>
      <c r="L425" s="12">
        <f t="shared" si="97"/>
        <v>14574.41445</v>
      </c>
      <c r="M425" s="12"/>
      <c r="N425" s="15"/>
      <c r="O425" s="1"/>
      <c r="Q425" s="12"/>
      <c r="R425" s="1"/>
    </row>
    <row r="426" ht="12.75" hidden="1" customHeight="1" outlineLevel="1">
      <c r="A426" s="17">
        <v>41603.0</v>
      </c>
      <c r="B426" s="12">
        <v>444664.63</v>
      </c>
      <c r="C426" s="19">
        <f t="shared" si="96"/>
        <v>0.004642531638</v>
      </c>
      <c r="D426" s="19">
        <f t="shared" si="95"/>
        <v>0.06330898137</v>
      </c>
      <c r="E426" s="12"/>
      <c r="F426" s="7"/>
      <c r="G426" s="7"/>
      <c r="H426" s="1"/>
      <c r="I426" s="1"/>
      <c r="J426" s="1"/>
      <c r="K426" s="1"/>
      <c r="L426" s="12">
        <f t="shared" si="97"/>
        <v>14642.07663</v>
      </c>
      <c r="M426" s="12"/>
      <c r="N426" s="15"/>
      <c r="O426" s="1"/>
      <c r="Q426" s="12"/>
      <c r="R426" s="1"/>
    </row>
    <row r="427" ht="12.75" hidden="1" customHeight="1" outlineLevel="1">
      <c r="A427" s="17">
        <v>41604.0</v>
      </c>
      <c r="B427" s="12">
        <v>447665.49</v>
      </c>
      <c r="C427" s="19">
        <f t="shared" si="96"/>
        <v>0.00674859163</v>
      </c>
      <c r="D427" s="19">
        <f t="shared" si="95"/>
        <v>0.07048481947</v>
      </c>
      <c r="E427" s="12"/>
      <c r="F427" s="7"/>
      <c r="G427" s="7"/>
      <c r="H427" s="1"/>
      <c r="I427" s="1"/>
      <c r="J427" s="1"/>
      <c r="K427" s="1"/>
      <c r="L427" s="12">
        <f t="shared" si="97"/>
        <v>14740.89002</v>
      </c>
      <c r="M427" s="12"/>
      <c r="N427" s="15"/>
      <c r="O427" s="1"/>
      <c r="Q427" s="12"/>
      <c r="R427" s="1"/>
    </row>
    <row r="428" ht="12.75" hidden="1" customHeight="1" outlineLevel="1">
      <c r="A428" s="17">
        <v>41605.0</v>
      </c>
      <c r="B428" s="12">
        <v>452334.7</v>
      </c>
      <c r="C428" s="19">
        <f t="shared" si="96"/>
        <v>0.01043013166</v>
      </c>
      <c r="D428" s="19">
        <f t="shared" si="95"/>
        <v>0.08165011707</v>
      </c>
      <c r="E428" s="12"/>
      <c r="F428" s="7"/>
      <c r="G428" s="7"/>
      <c r="H428" s="1"/>
      <c r="I428" s="1"/>
      <c r="J428" s="1"/>
      <c r="K428" s="1"/>
      <c r="L428" s="12">
        <f t="shared" si="97"/>
        <v>14894.63945</v>
      </c>
      <c r="M428" s="12"/>
      <c r="N428" s="15"/>
      <c r="O428" s="1"/>
      <c r="Q428" s="12"/>
      <c r="R428" s="1"/>
    </row>
    <row r="429" ht="12.75" hidden="1" customHeight="1" outlineLevel="1">
      <c r="A429" s="17">
        <v>41606.0</v>
      </c>
      <c r="B429" s="12">
        <f>B428</f>
        <v>452334.7</v>
      </c>
      <c r="C429" s="19">
        <f t="shared" si="96"/>
        <v>0</v>
      </c>
      <c r="D429" s="19">
        <f t="shared" si="95"/>
        <v>0.08165011707</v>
      </c>
      <c r="E429" s="12"/>
      <c r="F429" s="7"/>
      <c r="G429" s="7"/>
      <c r="H429" s="1"/>
      <c r="I429" s="1"/>
      <c r="J429" s="1"/>
      <c r="K429" s="1" t="s">
        <v>367</v>
      </c>
      <c r="L429" s="12">
        <f t="shared" si="97"/>
        <v>14894.63945</v>
      </c>
      <c r="M429" s="12"/>
      <c r="N429" s="15"/>
      <c r="O429" s="1"/>
      <c r="Q429" s="12"/>
      <c r="R429" s="1"/>
    </row>
    <row r="430" ht="12.75" hidden="1" customHeight="1" outlineLevel="1">
      <c r="A430" s="17">
        <v>41607.0</v>
      </c>
      <c r="B430" s="12">
        <v>456898.06</v>
      </c>
      <c r="C430" s="19">
        <f t="shared" si="96"/>
        <v>0.01008845883</v>
      </c>
      <c r="D430" s="19">
        <f t="shared" si="95"/>
        <v>0.09256229975</v>
      </c>
      <c r="E430" s="12"/>
      <c r="F430" s="7"/>
      <c r="G430" s="7"/>
      <c r="H430" s="1"/>
      <c r="I430" s="1"/>
      <c r="J430" s="1"/>
      <c r="K430" s="19">
        <f>3233.72/3138.09-1</f>
        <v>0.03047395072</v>
      </c>
      <c r="L430" s="12">
        <f t="shared" si="97"/>
        <v>15044.90341</v>
      </c>
      <c r="M430" s="12"/>
      <c r="N430" s="15"/>
      <c r="O430" s="1"/>
      <c r="Q430" s="12"/>
      <c r="R430" s="1"/>
    </row>
    <row r="431" ht="12.75" hidden="1" customHeight="1" outlineLevel="1">
      <c r="A431" s="17"/>
      <c r="B431" s="12"/>
      <c r="C431" s="1"/>
      <c r="D431" s="1"/>
      <c r="E431" s="12"/>
      <c r="F431" s="7"/>
      <c r="G431" s="7"/>
      <c r="H431" s="1"/>
      <c r="I431" s="1"/>
      <c r="J431" s="1"/>
      <c r="K431" s="1"/>
      <c r="L431" s="12"/>
      <c r="M431" s="12"/>
      <c r="N431" s="15"/>
      <c r="O431" s="1"/>
      <c r="Q431" s="12"/>
      <c r="R431" s="1"/>
    </row>
    <row r="432" ht="12.75" hidden="1" customHeight="1" outlineLevel="1">
      <c r="A432" s="17"/>
      <c r="B432" s="12">
        <f>B430</f>
        <v>456898.06</v>
      </c>
      <c r="C432" s="19"/>
      <c r="D432" s="19">
        <f t="shared" ref="D432:D454" si="98">(B432/$B$432)-1</f>
        <v>0</v>
      </c>
      <c r="E432" s="12"/>
      <c r="F432" s="7"/>
      <c r="G432" s="7"/>
      <c r="H432" s="1"/>
      <c r="I432" s="1"/>
      <c r="J432" s="1"/>
      <c r="K432" s="1"/>
      <c r="L432" s="12"/>
      <c r="M432" s="12"/>
      <c r="N432" s="15"/>
      <c r="O432" s="1"/>
      <c r="Q432" s="12"/>
      <c r="R432" s="1"/>
    </row>
    <row r="433" ht="12.75" hidden="1" customHeight="1" outlineLevel="1">
      <c r="A433" s="17">
        <v>41610.0</v>
      </c>
      <c r="B433" s="12">
        <v>457552.23</v>
      </c>
      <c r="C433" s="19">
        <f t="shared" ref="C433:C454" si="99">(B433/B432)-1</f>
        <v>0.001431763575</v>
      </c>
      <c r="D433" s="19">
        <f t="shared" si="98"/>
        <v>0.001431763575</v>
      </c>
      <c r="E433" s="12"/>
      <c r="F433" s="7"/>
      <c r="G433" s="7"/>
      <c r="H433" s="1"/>
      <c r="I433" s="1"/>
      <c r="J433" s="1" t="s">
        <v>514</v>
      </c>
      <c r="K433" s="1"/>
      <c r="L433" s="12">
        <f t="shared" ref="L433:L454" si="100">IF(C432="",L430*(1+C433),L432*(1+C433))</f>
        <v>15066.44415</v>
      </c>
      <c r="M433" s="12"/>
      <c r="N433" s="15"/>
      <c r="O433" s="1"/>
      <c r="Q433" s="12"/>
      <c r="R433" s="1"/>
    </row>
    <row r="434" ht="12.75" hidden="1" customHeight="1" outlineLevel="1">
      <c r="A434" s="17">
        <v>41611.0</v>
      </c>
      <c r="B434" s="12">
        <v>455415.0</v>
      </c>
      <c r="C434" s="19">
        <f t="shared" si="99"/>
        <v>-0.004671007723</v>
      </c>
      <c r="D434" s="19">
        <f t="shared" si="98"/>
        <v>-0.003245931926</v>
      </c>
      <c r="E434" s="12"/>
      <c r="F434" s="7"/>
      <c r="G434" s="7"/>
      <c r="H434" s="1"/>
      <c r="I434" s="1"/>
      <c r="J434" s="1"/>
      <c r="K434" s="1"/>
      <c r="L434" s="12">
        <f t="shared" si="100"/>
        <v>14996.06867</v>
      </c>
      <c r="M434" s="12"/>
      <c r="N434" s="15"/>
      <c r="O434" s="1"/>
      <c r="Q434" s="12"/>
      <c r="R434" s="1"/>
    </row>
    <row r="435" ht="12.75" hidden="1" customHeight="1" outlineLevel="1">
      <c r="A435" s="17">
        <v>41612.0</v>
      </c>
      <c r="B435" s="12">
        <v>454526.37</v>
      </c>
      <c r="C435" s="19">
        <f t="shared" si="99"/>
        <v>-0.001951253253</v>
      </c>
      <c r="D435" s="19">
        <f t="shared" si="98"/>
        <v>-0.005190851544</v>
      </c>
      <c r="E435" s="12"/>
      <c r="F435" s="7"/>
      <c r="G435" s="7"/>
      <c r="H435" s="1"/>
      <c r="I435" s="1"/>
      <c r="J435" s="1"/>
      <c r="K435" s="1"/>
      <c r="L435" s="12">
        <f t="shared" si="100"/>
        <v>14966.80755</v>
      </c>
      <c r="M435" s="12"/>
      <c r="N435" s="15"/>
      <c r="O435" s="1"/>
      <c r="Q435" s="12"/>
      <c r="R435" s="1"/>
    </row>
    <row r="436" ht="12.75" hidden="1" customHeight="1" outlineLevel="1">
      <c r="A436" s="17">
        <v>41613.0</v>
      </c>
      <c r="B436" s="12">
        <v>450719.28</v>
      </c>
      <c r="C436" s="19">
        <f t="shared" si="99"/>
        <v>-0.008375949673</v>
      </c>
      <c r="D436" s="19">
        <f t="shared" si="98"/>
        <v>-0.0135233229</v>
      </c>
      <c r="E436" s="12"/>
      <c r="F436" s="7"/>
      <c r="G436" s="7"/>
      <c r="H436" s="1"/>
      <c r="I436" s="1"/>
      <c r="J436" s="1"/>
      <c r="K436" s="1"/>
      <c r="L436" s="12">
        <f t="shared" si="100"/>
        <v>14841.44632</v>
      </c>
      <c r="M436" s="12"/>
      <c r="N436" s="15"/>
      <c r="O436" s="1"/>
      <c r="Q436" s="12"/>
      <c r="R436" s="1"/>
    </row>
    <row r="437" ht="12.75" hidden="1" customHeight="1" outlineLevel="1">
      <c r="A437" s="17">
        <v>41614.0</v>
      </c>
      <c r="B437" s="12">
        <v>460841.8</v>
      </c>
      <c r="C437" s="19">
        <f t="shared" si="99"/>
        <v>0.02245859108</v>
      </c>
      <c r="D437" s="19">
        <f t="shared" si="98"/>
        <v>0.008631553393</v>
      </c>
      <c r="E437" s="12"/>
      <c r="F437" s="7"/>
      <c r="G437" s="7"/>
      <c r="H437" s="1"/>
      <c r="I437" s="1"/>
      <c r="J437" s="1" t="s">
        <v>515</v>
      </c>
      <c r="K437" s="1"/>
      <c r="L437" s="12">
        <f t="shared" si="100"/>
        <v>15174.76429</v>
      </c>
      <c r="M437" s="12"/>
      <c r="N437" s="15"/>
      <c r="O437" s="1"/>
      <c r="Q437" s="12"/>
      <c r="R437" s="1"/>
    </row>
    <row r="438" ht="12.75" hidden="1" customHeight="1" outlineLevel="1">
      <c r="A438" s="17">
        <v>41617.0</v>
      </c>
      <c r="B438" s="12">
        <v>458418.19</v>
      </c>
      <c r="C438" s="19">
        <f t="shared" si="99"/>
        <v>-0.005259093251</v>
      </c>
      <c r="D438" s="19">
        <f t="shared" si="98"/>
        <v>0.003327065998</v>
      </c>
      <c r="E438" s="12"/>
      <c r="F438" s="7"/>
      <c r="G438" s="7"/>
      <c r="H438" s="1"/>
      <c r="I438" s="1"/>
      <c r="J438" s="1" t="s">
        <v>516</v>
      </c>
      <c r="K438" s="1"/>
      <c r="L438" s="12">
        <f t="shared" si="100"/>
        <v>15094.95879</v>
      </c>
      <c r="M438" s="12"/>
      <c r="N438" s="15"/>
      <c r="O438" s="1"/>
      <c r="Q438" s="12"/>
      <c r="R438" s="1"/>
    </row>
    <row r="439" ht="12.75" hidden="1" customHeight="1" outlineLevel="1">
      <c r="A439" s="17">
        <v>41618.0</v>
      </c>
      <c r="B439" s="12">
        <v>455500.51</v>
      </c>
      <c r="C439" s="19">
        <f t="shared" si="99"/>
        <v>-0.006364668906</v>
      </c>
      <c r="D439" s="19">
        <f t="shared" si="98"/>
        <v>-0.003058778582</v>
      </c>
      <c r="E439" s="12"/>
      <c r="F439" s="7"/>
      <c r="G439" s="7"/>
      <c r="H439" s="1"/>
      <c r="I439" s="1"/>
      <c r="J439" s="1" t="s">
        <v>516</v>
      </c>
      <c r="K439" s="1"/>
      <c r="L439" s="12">
        <f t="shared" si="100"/>
        <v>14998.88438</v>
      </c>
      <c r="M439" s="12"/>
      <c r="N439" s="15"/>
      <c r="O439" s="1"/>
      <c r="Q439" s="12"/>
      <c r="R439" s="1"/>
    </row>
    <row r="440" ht="12.75" hidden="1" customHeight="1" outlineLevel="1">
      <c r="A440" s="17">
        <v>41619.0</v>
      </c>
      <c r="B440" s="12">
        <v>448414.51</v>
      </c>
      <c r="C440" s="19">
        <f t="shared" si="99"/>
        <v>-0.01555651387</v>
      </c>
      <c r="D440" s="19">
        <f t="shared" si="98"/>
        <v>-0.01856770852</v>
      </c>
      <c r="E440" s="12"/>
      <c r="F440" s="7"/>
      <c r="G440" s="7"/>
      <c r="H440" s="1"/>
      <c r="I440" s="1"/>
      <c r="J440" s="1"/>
      <c r="K440" s="1"/>
      <c r="L440" s="12">
        <f t="shared" si="100"/>
        <v>14765.55402</v>
      </c>
      <c r="M440" s="12"/>
      <c r="N440" s="15"/>
      <c r="O440" s="1"/>
      <c r="Q440" s="12"/>
      <c r="R440" s="1"/>
    </row>
    <row r="441" ht="12.75" hidden="1" customHeight="1" outlineLevel="1">
      <c r="A441" s="17">
        <v>41620.0</v>
      </c>
      <c r="B441" s="12">
        <v>450487.35</v>
      </c>
      <c r="C441" s="19">
        <f t="shared" si="99"/>
        <v>0.004622597962</v>
      </c>
      <c r="D441" s="19">
        <f t="shared" si="98"/>
        <v>-0.01403094161</v>
      </c>
      <c r="E441" s="12"/>
      <c r="F441" s="7"/>
      <c r="G441" s="7"/>
      <c r="H441" s="1"/>
      <c r="I441" s="1"/>
      <c r="J441" s="1"/>
      <c r="K441" s="1"/>
      <c r="L441" s="12">
        <f t="shared" si="100"/>
        <v>14833.80924</v>
      </c>
      <c r="M441" s="12"/>
      <c r="N441" s="15"/>
      <c r="O441" s="1"/>
      <c r="Q441" s="12"/>
      <c r="R441" s="1"/>
    </row>
    <row r="442" ht="12.75" hidden="1" customHeight="1" outlineLevel="1">
      <c r="A442" s="17">
        <v>41621.0</v>
      </c>
      <c r="B442" s="12">
        <v>451736.28</v>
      </c>
      <c r="C442" s="19">
        <f t="shared" si="99"/>
        <v>0.002772397494</v>
      </c>
      <c r="D442" s="19">
        <f t="shared" si="98"/>
        <v>-0.01129744346</v>
      </c>
      <c r="E442" s="12"/>
      <c r="F442" s="7"/>
      <c r="G442" s="7"/>
      <c r="H442" s="1"/>
      <c r="I442" s="1"/>
      <c r="J442" s="1"/>
      <c r="K442" s="1"/>
      <c r="L442" s="12">
        <f t="shared" si="100"/>
        <v>14874.93446</v>
      </c>
      <c r="M442" s="12"/>
      <c r="N442" s="15"/>
      <c r="O442" s="1"/>
      <c r="Q442" s="12"/>
      <c r="R442" s="1"/>
    </row>
    <row r="443" ht="12.75" hidden="1" customHeight="1" outlineLevel="1">
      <c r="A443" s="17">
        <v>41624.0</v>
      </c>
      <c r="B443" s="12">
        <v>457731.11</v>
      </c>
      <c r="C443" s="19">
        <f t="shared" si="99"/>
        <v>0.013270641</v>
      </c>
      <c r="D443" s="19">
        <f t="shared" si="98"/>
        <v>0.001823273226</v>
      </c>
      <c r="E443" s="12"/>
      <c r="F443" s="7"/>
      <c r="G443" s="7"/>
      <c r="H443" s="1"/>
      <c r="I443" s="1"/>
      <c r="J443" s="1" t="s">
        <v>518</v>
      </c>
      <c r="K443" s="1"/>
      <c r="L443" s="12">
        <f t="shared" si="100"/>
        <v>15072.33438</v>
      </c>
      <c r="M443" s="12"/>
      <c r="N443" s="15"/>
      <c r="O443" s="1"/>
      <c r="Q443" s="12"/>
      <c r="R443" s="1"/>
    </row>
    <row r="444" ht="12.75" hidden="1" customHeight="1" outlineLevel="1">
      <c r="A444" s="17">
        <v>41625.0</v>
      </c>
      <c r="B444" s="12">
        <v>454082.97</v>
      </c>
      <c r="C444" s="19">
        <f t="shared" si="99"/>
        <v>-0.007970050364</v>
      </c>
      <c r="D444" s="19">
        <f t="shared" si="98"/>
        <v>-0.006161308717</v>
      </c>
      <c r="E444" s="12"/>
      <c r="F444" s="7"/>
      <c r="G444" s="7"/>
      <c r="H444" s="1"/>
      <c r="I444" s="1"/>
      <c r="J444" s="1"/>
      <c r="K444" s="1"/>
      <c r="L444" s="12">
        <f t="shared" si="100"/>
        <v>14952.20711</v>
      </c>
      <c r="M444" s="12"/>
      <c r="N444" s="15"/>
      <c r="O444" s="1"/>
      <c r="Q444" s="12"/>
      <c r="R444" s="1"/>
    </row>
    <row r="445" ht="12.75" hidden="1" customHeight="1" outlineLevel="1">
      <c r="A445" s="17">
        <v>41626.0</v>
      </c>
      <c r="B445" s="12">
        <v>463101.65</v>
      </c>
      <c r="C445" s="19">
        <f t="shared" si="99"/>
        <v>0.0198613042</v>
      </c>
      <c r="D445" s="19">
        <f t="shared" si="98"/>
        <v>0.01357762386</v>
      </c>
      <c r="E445" s="12"/>
      <c r="F445" s="7"/>
      <c r="G445" s="7"/>
      <c r="H445" s="1"/>
      <c r="I445" s="1"/>
      <c r="J445" s="1" t="s">
        <v>519</v>
      </c>
      <c r="K445" s="1"/>
      <c r="L445" s="12">
        <f t="shared" si="100"/>
        <v>15249.17744</v>
      </c>
      <c r="M445" s="12"/>
      <c r="N445" s="15"/>
      <c r="O445" s="1"/>
      <c r="Q445" s="12"/>
      <c r="R445" s="1"/>
    </row>
    <row r="446" ht="12.75" hidden="1" customHeight="1" outlineLevel="1">
      <c r="A446" s="17">
        <v>41627.0</v>
      </c>
      <c r="B446" s="12">
        <v>460598.76</v>
      </c>
      <c r="C446" s="19">
        <f t="shared" si="99"/>
        <v>-0.005404623369</v>
      </c>
      <c r="D446" s="19">
        <f t="shared" si="98"/>
        <v>0.008099618545</v>
      </c>
      <c r="E446" s="12"/>
      <c r="F446" s="7"/>
      <c r="G446" s="7"/>
      <c r="H446" s="1"/>
      <c r="I446" s="1"/>
      <c r="J446" s="1"/>
      <c r="K446" s="1"/>
      <c r="L446" s="12">
        <f t="shared" si="100"/>
        <v>15166.76138</v>
      </c>
      <c r="M446" s="12"/>
      <c r="N446" s="15"/>
      <c r="O446" s="1"/>
      <c r="Q446" s="12"/>
      <c r="R446" s="1"/>
    </row>
    <row r="447" ht="12.75" hidden="1" customHeight="1" outlineLevel="1">
      <c r="A447" s="17">
        <v>41628.0</v>
      </c>
      <c r="B447" s="12">
        <v>470395.43</v>
      </c>
      <c r="C447" s="19">
        <f t="shared" si="99"/>
        <v>0.0212694233</v>
      </c>
      <c r="D447" s="19">
        <f t="shared" si="98"/>
        <v>0.02954131607</v>
      </c>
      <c r="E447" s="12"/>
      <c r="F447" s="7"/>
      <c r="G447" s="7"/>
      <c r="H447" s="1"/>
      <c r="I447" s="1"/>
      <c r="J447" s="1" t="s">
        <v>520</v>
      </c>
      <c r="K447" s="1"/>
      <c r="L447" s="12">
        <f t="shared" si="100"/>
        <v>15489.34965</v>
      </c>
      <c r="M447" s="12"/>
      <c r="N447" s="15"/>
      <c r="O447" s="1"/>
      <c r="Q447" s="12"/>
      <c r="R447" s="1"/>
    </row>
    <row r="448" ht="12.75" hidden="1" customHeight="1" outlineLevel="1">
      <c r="A448" s="17">
        <v>41631.0</v>
      </c>
      <c r="B448" s="12">
        <v>474482.59</v>
      </c>
      <c r="C448" s="19">
        <f t="shared" si="99"/>
        <v>0.008688774889</v>
      </c>
      <c r="D448" s="19">
        <f t="shared" si="98"/>
        <v>0.0384867688</v>
      </c>
      <c r="E448" s="12"/>
      <c r="F448" s="7"/>
      <c r="G448" s="7"/>
      <c r="H448" s="1"/>
      <c r="I448" s="1"/>
      <c r="J448" s="1"/>
      <c r="K448" s="1"/>
      <c r="L448" s="12">
        <f t="shared" si="100"/>
        <v>15623.93312</v>
      </c>
      <c r="M448" s="12"/>
      <c r="N448" s="15"/>
      <c r="O448" s="1"/>
      <c r="Q448" s="12"/>
      <c r="R448" s="1"/>
    </row>
    <row r="449" ht="12.75" hidden="1" customHeight="1" outlineLevel="1">
      <c r="A449" s="17">
        <v>41632.0</v>
      </c>
      <c r="B449" s="12">
        <v>476619.44</v>
      </c>
      <c r="C449" s="19">
        <f t="shared" si="99"/>
        <v>0.004503537211</v>
      </c>
      <c r="D449" s="19">
        <f t="shared" si="98"/>
        <v>0.04316363261</v>
      </c>
      <c r="E449" s="12"/>
      <c r="F449" s="7"/>
      <c r="G449" s="7"/>
      <c r="H449" s="1"/>
      <c r="I449" s="1"/>
      <c r="J449" s="1" t="s">
        <v>521</v>
      </c>
      <c r="K449" s="1"/>
      <c r="L449" s="12">
        <f t="shared" si="100"/>
        <v>15694.29609</v>
      </c>
      <c r="M449" s="12"/>
      <c r="N449" s="15"/>
      <c r="O449" s="1"/>
      <c r="Q449" s="12"/>
      <c r="R449" s="1"/>
    </row>
    <row r="450" ht="12.75" hidden="1" customHeight="1" outlineLevel="1">
      <c r="A450" s="17">
        <v>41633.0</v>
      </c>
      <c r="B450" s="12">
        <f>B449</f>
        <v>476619.44</v>
      </c>
      <c r="C450" s="19">
        <f t="shared" si="99"/>
        <v>0</v>
      </c>
      <c r="D450" s="19">
        <f t="shared" si="98"/>
        <v>0.04316363261</v>
      </c>
      <c r="E450" s="12"/>
      <c r="F450" s="7"/>
      <c r="G450" s="7"/>
      <c r="H450" s="1"/>
      <c r="I450" s="1"/>
      <c r="J450" s="1"/>
      <c r="K450" s="1"/>
      <c r="L450" s="12">
        <f t="shared" si="100"/>
        <v>15694.29609</v>
      </c>
      <c r="M450" s="12"/>
      <c r="N450" s="15"/>
      <c r="O450" s="1"/>
      <c r="Q450" s="12"/>
      <c r="R450" s="1"/>
    </row>
    <row r="451" ht="12.75" hidden="1" customHeight="1" outlineLevel="1">
      <c r="A451" s="17">
        <v>41634.0</v>
      </c>
      <c r="B451" s="12">
        <v>478900.68</v>
      </c>
      <c r="C451" s="19">
        <f t="shared" si="99"/>
        <v>0.004786292393</v>
      </c>
      <c r="D451" s="19">
        <f t="shared" si="98"/>
        <v>0.04815651876</v>
      </c>
      <c r="E451" s="12"/>
      <c r="F451" s="7"/>
      <c r="G451" s="7"/>
      <c r="H451" s="1"/>
      <c r="I451" s="1"/>
      <c r="J451" s="1" t="s">
        <v>522</v>
      </c>
      <c r="K451" s="1"/>
      <c r="L451" s="12">
        <f t="shared" si="100"/>
        <v>15769.41358</v>
      </c>
      <c r="M451" s="12"/>
      <c r="N451" s="15"/>
      <c r="O451" s="1"/>
      <c r="Q451" s="12"/>
      <c r="R451" s="1"/>
    </row>
    <row r="452" ht="12.75" hidden="1" customHeight="1" outlineLevel="1">
      <c r="A452" s="17">
        <v>41635.0</v>
      </c>
      <c r="B452" s="12">
        <v>473695.3</v>
      </c>
      <c r="C452" s="19">
        <f t="shared" si="99"/>
        <v>-0.01086943539</v>
      </c>
      <c r="D452" s="19">
        <f t="shared" si="98"/>
        <v>0.0367636492</v>
      </c>
      <c r="E452" s="12"/>
      <c r="F452" s="7"/>
      <c r="G452" s="7"/>
      <c r="H452" s="1"/>
      <c r="I452" s="1"/>
      <c r="J452" s="1"/>
      <c r="K452" s="1"/>
      <c r="L452" s="12">
        <f t="shared" si="100"/>
        <v>15598.00896</v>
      </c>
      <c r="M452" s="12"/>
      <c r="N452" s="15"/>
      <c r="O452" s="1"/>
      <c r="Q452" s="12"/>
      <c r="R452" s="1"/>
    </row>
    <row r="453" ht="12.75" hidden="1" customHeight="1" outlineLevel="1">
      <c r="A453" s="17">
        <v>41638.0</v>
      </c>
      <c r="B453" s="12">
        <v>471209.38</v>
      </c>
      <c r="C453" s="19">
        <f t="shared" si="99"/>
        <v>-0.005247930473</v>
      </c>
      <c r="D453" s="19">
        <f t="shared" si="98"/>
        <v>0.03132278566</v>
      </c>
      <c r="E453" s="12"/>
      <c r="F453" s="7"/>
      <c r="G453" s="7"/>
      <c r="H453" s="1"/>
      <c r="I453" s="1"/>
      <c r="J453" s="1"/>
      <c r="K453" s="1" t="s">
        <v>367</v>
      </c>
      <c r="L453" s="12">
        <f t="shared" si="100"/>
        <v>15516.15169</v>
      </c>
      <c r="M453" s="12"/>
      <c r="N453" s="15"/>
      <c r="O453" s="1"/>
      <c r="Q453" s="12"/>
      <c r="R453" s="1"/>
    </row>
    <row r="454" ht="12.75" hidden="1" customHeight="1" outlineLevel="1">
      <c r="A454" s="17">
        <v>41639.0</v>
      </c>
      <c r="B454" s="12">
        <v>475827.93</v>
      </c>
      <c r="C454" s="19">
        <f t="shared" si="99"/>
        <v>0.009801481456</v>
      </c>
      <c r="D454" s="19">
        <f t="shared" si="98"/>
        <v>0.04143127681</v>
      </c>
      <c r="E454" s="12"/>
      <c r="F454" s="7"/>
      <c r="G454" s="7"/>
      <c r="H454" s="1"/>
      <c r="I454" s="1"/>
      <c r="J454" s="1"/>
      <c r="K454" s="19">
        <f>3315.59/3233.72-1</f>
        <v>0.02531759089</v>
      </c>
      <c r="L454" s="12">
        <f t="shared" si="100"/>
        <v>15668.23296</v>
      </c>
      <c r="M454" s="12"/>
      <c r="N454" s="15"/>
      <c r="O454" s="1"/>
      <c r="Q454" s="12"/>
      <c r="R454" s="1"/>
    </row>
    <row r="455" ht="12.75" hidden="1" customHeight="1" outlineLevel="1">
      <c r="A455" s="17"/>
      <c r="B455" s="12"/>
      <c r="C455" s="1"/>
      <c r="D455" s="1"/>
      <c r="E455" s="12"/>
      <c r="F455" s="7"/>
      <c r="G455" s="7"/>
      <c r="H455" s="1"/>
      <c r="I455" s="1"/>
      <c r="J455" s="1"/>
      <c r="K455" s="1"/>
      <c r="L455" s="12"/>
      <c r="M455" s="12"/>
      <c r="N455" s="15"/>
      <c r="O455" s="1"/>
      <c r="Q455" s="12"/>
      <c r="R455" s="1"/>
    </row>
    <row r="456" ht="12.75" hidden="1" customHeight="1" outlineLevel="1">
      <c r="A456" s="17"/>
      <c r="B456" s="12">
        <f>B454+P456</f>
        <v>515827.93</v>
      </c>
      <c r="C456" s="19"/>
      <c r="D456" s="19">
        <f t="shared" ref="D456:D479" si="101">(B456/$B$456)-1</f>
        <v>0</v>
      </c>
      <c r="E456" s="12"/>
      <c r="F456" s="7"/>
      <c r="G456" s="7"/>
      <c r="H456" s="1"/>
      <c r="I456" s="1"/>
      <c r="J456" s="1"/>
      <c r="K456" s="1"/>
      <c r="L456" s="12"/>
      <c r="M456" s="12"/>
      <c r="N456" s="15"/>
      <c r="O456" s="1"/>
      <c r="P456" s="82">
        <v>40000.0</v>
      </c>
      <c r="Q456" s="12"/>
      <c r="R456" s="1"/>
    </row>
    <row r="457" ht="12.75" hidden="1" customHeight="1" outlineLevel="1">
      <c r="A457" s="17">
        <v>41640.0</v>
      </c>
      <c r="B457" s="12">
        <f>493278.98+20000</f>
        <v>513278.98</v>
      </c>
      <c r="C457" s="19">
        <f t="shared" ref="C457:C479" si="102">(B457/B456)-1</f>
        <v>-0.00494147341</v>
      </c>
      <c r="D457" s="19">
        <f t="shared" si="101"/>
        <v>-0.00494147341</v>
      </c>
      <c r="E457" s="12"/>
      <c r="F457" s="7"/>
      <c r="G457" s="7"/>
      <c r="H457" s="1"/>
      <c r="I457" s="1"/>
      <c r="J457" s="1"/>
      <c r="K457" s="1"/>
      <c r="L457" s="12">
        <f t="shared" ref="L457:L479" si="103">IF(C456="",L454*(1+C457),L456*(1+C457))</f>
        <v>15590.80881</v>
      </c>
      <c r="M457" s="12"/>
      <c r="N457" s="15"/>
      <c r="O457" s="1"/>
      <c r="Q457" s="12"/>
      <c r="R457" s="1"/>
    </row>
    <row r="458" ht="12.75" hidden="1" customHeight="1" outlineLevel="1">
      <c r="A458" s="17">
        <v>41641.0</v>
      </c>
      <c r="B458" s="12">
        <v>513278.98</v>
      </c>
      <c r="C458" s="19">
        <f t="shared" si="102"/>
        <v>0</v>
      </c>
      <c r="D458" s="19">
        <f t="shared" si="101"/>
        <v>-0.00494147341</v>
      </c>
      <c r="E458" s="12"/>
      <c r="F458" s="7"/>
      <c r="G458" s="7"/>
      <c r="H458" s="1"/>
      <c r="I458" s="1"/>
      <c r="J458" s="1"/>
      <c r="K458" s="1"/>
      <c r="L458" s="12">
        <f t="shared" si="103"/>
        <v>15590.80881</v>
      </c>
      <c r="M458" s="12"/>
      <c r="N458" s="15"/>
      <c r="O458" s="1"/>
      <c r="Q458" s="12"/>
      <c r="R458" s="1"/>
    </row>
    <row r="459" ht="12.75" hidden="1" customHeight="1" outlineLevel="1">
      <c r="A459" s="17">
        <v>41642.0</v>
      </c>
      <c r="B459" s="12">
        <f>494473.56+20000</f>
        <v>514473.56</v>
      </c>
      <c r="C459" s="19">
        <f t="shared" si="102"/>
        <v>0.002327350323</v>
      </c>
      <c r="D459" s="19">
        <f t="shared" si="101"/>
        <v>-0.002625623626</v>
      </c>
      <c r="E459" s="12"/>
      <c r="F459" s="7"/>
      <c r="G459" s="7"/>
      <c r="H459" s="1"/>
      <c r="I459" s="1"/>
      <c r="J459" s="1"/>
      <c r="K459" s="1"/>
      <c r="L459" s="12">
        <f t="shared" si="103"/>
        <v>15627.09408</v>
      </c>
      <c r="M459" s="12"/>
      <c r="N459" s="15"/>
      <c r="O459" s="1"/>
      <c r="Q459" s="12"/>
      <c r="R459" s="1"/>
    </row>
    <row r="460" ht="12.75" hidden="1" customHeight="1" outlineLevel="1">
      <c r="A460" s="17">
        <v>41645.0</v>
      </c>
      <c r="B460" s="12">
        <f>495305.48+20000</f>
        <v>515305.48</v>
      </c>
      <c r="C460" s="19">
        <f t="shared" si="102"/>
        <v>0.001617031592</v>
      </c>
      <c r="D460" s="19">
        <f t="shared" si="101"/>
        <v>-0.00101283775</v>
      </c>
      <c r="E460" s="12"/>
      <c r="F460" s="7"/>
      <c r="G460" s="7"/>
      <c r="H460" s="1"/>
      <c r="I460" s="1"/>
      <c r="J460" s="1" t="s">
        <v>535</v>
      </c>
      <c r="K460" s="1"/>
      <c r="L460" s="12">
        <f t="shared" si="103"/>
        <v>15652.36359</v>
      </c>
      <c r="M460" s="12"/>
      <c r="N460" s="15"/>
      <c r="O460" s="1"/>
      <c r="Q460" s="12"/>
      <c r="R460" s="1"/>
    </row>
    <row r="461" ht="12.75" hidden="1" customHeight="1" outlineLevel="1">
      <c r="A461" s="17">
        <v>41646.0</v>
      </c>
      <c r="B461" s="12">
        <f>497392.61+20000</f>
        <v>517392.61</v>
      </c>
      <c r="C461" s="19">
        <f t="shared" si="102"/>
        <v>0.004050277129</v>
      </c>
      <c r="D461" s="19">
        <f t="shared" si="101"/>
        <v>0.003033337105</v>
      </c>
      <c r="E461" s="12"/>
      <c r="F461" s="7"/>
      <c r="G461" s="7"/>
      <c r="H461" s="1"/>
      <c r="I461" s="1"/>
      <c r="J461" s="1" t="s">
        <v>538</v>
      </c>
      <c r="K461" s="1"/>
      <c r="L461" s="12">
        <f t="shared" si="103"/>
        <v>15715.76</v>
      </c>
      <c r="M461" s="12"/>
      <c r="N461" s="15"/>
      <c r="O461" s="1"/>
      <c r="Q461" s="12"/>
      <c r="R461" s="1"/>
    </row>
    <row r="462" ht="12.75" hidden="1" customHeight="1" outlineLevel="1">
      <c r="A462" s="17">
        <v>41647.0</v>
      </c>
      <c r="B462" s="12">
        <f>507412.49+20000</f>
        <v>527412.49</v>
      </c>
      <c r="C462" s="19">
        <f t="shared" si="102"/>
        <v>0.01936610575</v>
      </c>
      <c r="D462" s="19">
        <f t="shared" si="101"/>
        <v>0.02245818678</v>
      </c>
      <c r="E462" s="12"/>
      <c r="F462" s="7"/>
      <c r="G462" s="7"/>
      <c r="H462" s="1"/>
      <c r="I462" s="1"/>
      <c r="J462" s="1" t="s">
        <v>544</v>
      </c>
      <c r="K462" s="1"/>
      <c r="L462" s="12">
        <f t="shared" si="103"/>
        <v>16020.11307</v>
      </c>
      <c r="M462" s="12"/>
      <c r="N462" s="15"/>
      <c r="O462" s="1"/>
      <c r="Q462" s="12"/>
      <c r="R462" s="1"/>
    </row>
    <row r="463" ht="12.75" hidden="1" customHeight="1" outlineLevel="1">
      <c r="A463" s="17">
        <v>41648.0</v>
      </c>
      <c r="B463" s="12">
        <f>517072.16+20000</f>
        <v>537072.16</v>
      </c>
      <c r="C463" s="19">
        <f t="shared" si="102"/>
        <v>0.01831520903</v>
      </c>
      <c r="D463" s="19">
        <f t="shared" si="101"/>
        <v>0.0411847222</v>
      </c>
      <c r="E463" s="12"/>
      <c r="F463" s="7"/>
      <c r="G463" s="7"/>
      <c r="H463" s="1"/>
      <c r="I463" s="1"/>
      <c r="J463" s="1"/>
      <c r="K463" s="1"/>
      <c r="L463" s="12">
        <f t="shared" si="103"/>
        <v>16313.52479</v>
      </c>
      <c r="M463" s="12"/>
      <c r="N463" s="15"/>
      <c r="O463" s="1"/>
      <c r="Q463" s="12"/>
      <c r="R463" s="1"/>
    </row>
    <row r="464" ht="12.75" hidden="1" customHeight="1" outlineLevel="1">
      <c r="A464" s="17">
        <v>41649.0</v>
      </c>
      <c r="B464" s="12">
        <v>537435.51</v>
      </c>
      <c r="C464" s="19">
        <f t="shared" si="102"/>
        <v>0.0006765385121</v>
      </c>
      <c r="D464" s="19">
        <f t="shared" si="101"/>
        <v>0.04188912376</v>
      </c>
      <c r="E464" s="12"/>
      <c r="F464" s="7"/>
      <c r="G464" s="7"/>
      <c r="H464" s="1"/>
      <c r="I464" s="1"/>
      <c r="J464" s="1"/>
      <c r="K464" s="1"/>
      <c r="L464" s="12">
        <f t="shared" si="103"/>
        <v>16324.56151</v>
      </c>
      <c r="M464" s="12"/>
      <c r="N464" s="15"/>
      <c r="O464" s="1"/>
      <c r="Q464" s="12"/>
      <c r="R464" s="1"/>
    </row>
    <row r="465" ht="12.75" hidden="1" customHeight="1" outlineLevel="1">
      <c r="A465" s="17">
        <v>41652.0</v>
      </c>
      <c r="B465" s="12">
        <v>523958.5</v>
      </c>
      <c r="C465" s="19">
        <f t="shared" si="102"/>
        <v>-0.02507651569</v>
      </c>
      <c r="D465" s="19">
        <f t="shared" si="101"/>
        <v>0.0157621748</v>
      </c>
      <c r="E465" s="12"/>
      <c r="F465" s="7"/>
      <c r="G465" s="7"/>
      <c r="H465" s="1"/>
      <c r="I465" s="1"/>
      <c r="J465" s="1" t="s">
        <v>554</v>
      </c>
      <c r="K465" s="1"/>
      <c r="L465" s="12">
        <f t="shared" si="103"/>
        <v>15915.19839</v>
      </c>
      <c r="M465" s="12"/>
      <c r="N465" s="15"/>
      <c r="O465" s="1"/>
      <c r="Q465" s="12"/>
      <c r="R465" s="1"/>
    </row>
    <row r="466" ht="12.75" hidden="1" customHeight="1" outlineLevel="1">
      <c r="A466" s="17">
        <v>41653.0</v>
      </c>
      <c r="B466" s="12">
        <v>527199.83</v>
      </c>
      <c r="C466" s="19">
        <f t="shared" si="102"/>
        <v>0.006186234215</v>
      </c>
      <c r="D466" s="19">
        <f t="shared" si="101"/>
        <v>0.02204591752</v>
      </c>
      <c r="E466" s="12"/>
      <c r="F466" s="7"/>
      <c r="G466" s="7"/>
      <c r="H466" s="1"/>
      <c r="I466" s="1"/>
      <c r="J466" s="1" t="s">
        <v>555</v>
      </c>
      <c r="K466" s="1"/>
      <c r="L466" s="12">
        <f t="shared" si="103"/>
        <v>16013.65353</v>
      </c>
      <c r="M466" s="12"/>
      <c r="N466" s="15"/>
      <c r="O466" s="1"/>
      <c r="Q466" s="12"/>
      <c r="R466" s="1"/>
    </row>
    <row r="467" ht="12.75" hidden="1" customHeight="1" outlineLevel="1">
      <c r="A467" s="17">
        <v>41654.0</v>
      </c>
      <c r="B467" s="12">
        <v>525833.28</v>
      </c>
      <c r="C467" s="19">
        <f t="shared" si="102"/>
        <v>-0.002592091124</v>
      </c>
      <c r="D467" s="19">
        <f t="shared" si="101"/>
        <v>0.01939668137</v>
      </c>
      <c r="E467" s="12"/>
      <c r="F467" s="7"/>
      <c r="G467" s="7"/>
      <c r="H467" s="1"/>
      <c r="I467" s="1"/>
      <c r="J467" s="1"/>
      <c r="K467" s="1"/>
      <c r="L467" s="12">
        <f t="shared" si="103"/>
        <v>15972.14469</v>
      </c>
      <c r="M467" s="12"/>
      <c r="N467" s="15"/>
      <c r="O467" s="1"/>
      <c r="Q467" s="12"/>
      <c r="R467" s="1"/>
    </row>
    <row r="468" ht="12.75" hidden="1" customHeight="1" outlineLevel="1">
      <c r="A468" s="17">
        <v>41655.0</v>
      </c>
      <c r="B468" s="12">
        <v>524980.53</v>
      </c>
      <c r="C468" s="19">
        <f t="shared" si="102"/>
        <v>-0.001621711733</v>
      </c>
      <c r="D468" s="19">
        <f t="shared" si="101"/>
        <v>0.01774351381</v>
      </c>
      <c r="E468" s="12"/>
      <c r="F468" s="7"/>
      <c r="G468" s="7"/>
      <c r="H468" s="1"/>
      <c r="I468" s="1"/>
      <c r="J468" s="1" t="s">
        <v>562</v>
      </c>
      <c r="K468" s="1"/>
      <c r="L468" s="12">
        <f t="shared" si="103"/>
        <v>15946.24247</v>
      </c>
      <c r="M468" s="12"/>
      <c r="N468" s="15"/>
      <c r="O468" s="1"/>
      <c r="Q468" s="12"/>
      <c r="R468" s="1"/>
    </row>
    <row r="469" ht="12.75" hidden="1" customHeight="1" outlineLevel="1">
      <c r="A469" s="17">
        <v>41656.0</v>
      </c>
      <c r="B469" s="12">
        <v>520781.75</v>
      </c>
      <c r="C469" s="19">
        <f t="shared" si="102"/>
        <v>-0.007997972801</v>
      </c>
      <c r="D469" s="19">
        <f t="shared" si="101"/>
        <v>0.009603628869</v>
      </c>
      <c r="E469" s="12"/>
      <c r="F469" s="7"/>
      <c r="G469" s="7"/>
      <c r="H469" s="1"/>
      <c r="I469" s="1"/>
      <c r="J469" s="1" t="s">
        <v>570</v>
      </c>
      <c r="K469" s="1"/>
      <c r="L469" s="12">
        <f t="shared" si="103"/>
        <v>15818.70486</v>
      </c>
      <c r="M469" s="12"/>
      <c r="N469" s="15"/>
      <c r="O469" s="1"/>
      <c r="Q469" s="12"/>
      <c r="R469" s="1"/>
    </row>
    <row r="470" ht="12.75" hidden="1" customHeight="1" outlineLevel="1">
      <c r="A470" s="17">
        <v>41659.0</v>
      </c>
      <c r="B470" s="12">
        <f>B469</f>
        <v>520781.75</v>
      </c>
      <c r="C470" s="19">
        <f t="shared" si="102"/>
        <v>0</v>
      </c>
      <c r="D470" s="19">
        <f t="shared" si="101"/>
        <v>0.009603628869</v>
      </c>
      <c r="E470" s="12"/>
      <c r="F470" s="7"/>
      <c r="G470" s="7"/>
      <c r="H470" s="1"/>
      <c r="I470" s="1"/>
      <c r="J470" s="1"/>
      <c r="K470" s="1"/>
      <c r="L470" s="12">
        <f t="shared" si="103"/>
        <v>15818.70486</v>
      </c>
      <c r="M470" s="12"/>
      <c r="N470" s="15"/>
      <c r="O470" s="1"/>
      <c r="Q470" s="12"/>
      <c r="R470" s="1"/>
    </row>
    <row r="471" ht="12.75" hidden="1" customHeight="1" outlineLevel="1">
      <c r="A471" s="17">
        <v>41660.0</v>
      </c>
      <c r="B471" s="12">
        <v>526130.21</v>
      </c>
      <c r="C471" s="19">
        <f t="shared" si="102"/>
        <v>0.01027006035</v>
      </c>
      <c r="D471" s="19">
        <f t="shared" si="101"/>
        <v>0.01997231906</v>
      </c>
      <c r="E471" s="12"/>
      <c r="F471" s="7"/>
      <c r="G471" s="7"/>
      <c r="H471" s="1"/>
      <c r="I471" s="1"/>
      <c r="J471" s="1" t="s">
        <v>577</v>
      </c>
      <c r="K471" s="1"/>
      <c r="L471" s="12">
        <f t="shared" si="103"/>
        <v>15981.16391</v>
      </c>
      <c r="M471" s="12"/>
      <c r="N471" s="15"/>
      <c r="O471" s="1"/>
      <c r="Q471" s="12"/>
      <c r="R471" s="1"/>
    </row>
    <row r="472" ht="12.75" hidden="1" customHeight="1" outlineLevel="1">
      <c r="A472" s="17">
        <v>41661.0</v>
      </c>
      <c r="B472" s="12">
        <v>525609.47</v>
      </c>
      <c r="C472" s="19">
        <f t="shared" si="102"/>
        <v>-0.0009897549886</v>
      </c>
      <c r="D472" s="19">
        <f t="shared" si="101"/>
        <v>0.01896279637</v>
      </c>
      <c r="E472" s="12"/>
      <c r="F472" s="7"/>
      <c r="G472" s="7"/>
      <c r="H472" s="1"/>
      <c r="I472" s="1"/>
      <c r="J472" s="1" t="s">
        <v>578</v>
      </c>
      <c r="K472" s="1"/>
      <c r="L472" s="12">
        <f t="shared" si="103"/>
        <v>15965.34647</v>
      </c>
      <c r="M472" s="12"/>
      <c r="N472" s="15"/>
      <c r="O472" s="1"/>
      <c r="Q472" s="12"/>
      <c r="R472" s="1"/>
    </row>
    <row r="473" ht="12.75" hidden="1" customHeight="1" outlineLevel="1">
      <c r="A473" s="17">
        <v>41662.0</v>
      </c>
      <c r="B473" s="12">
        <v>516713.48</v>
      </c>
      <c r="C473" s="19">
        <f t="shared" si="102"/>
        <v>-0.0169250946</v>
      </c>
      <c r="D473" s="19">
        <f t="shared" si="101"/>
        <v>0.001716754655</v>
      </c>
      <c r="E473" s="12"/>
      <c r="F473" s="7"/>
      <c r="G473" s="7"/>
      <c r="H473" s="1"/>
      <c r="I473" s="1"/>
      <c r="J473" s="1" t="s">
        <v>580</v>
      </c>
      <c r="K473" s="1"/>
      <c r="L473" s="12">
        <f t="shared" si="103"/>
        <v>15695.13148</v>
      </c>
      <c r="M473" s="12"/>
      <c r="N473" s="15"/>
      <c r="O473" s="1"/>
      <c r="Q473" s="12"/>
      <c r="R473" s="1"/>
    </row>
    <row r="474" ht="12.75" hidden="1" customHeight="1" outlineLevel="1">
      <c r="A474" s="17">
        <v>41663.0</v>
      </c>
      <c r="B474" s="12">
        <v>498593.6</v>
      </c>
      <c r="C474" s="19">
        <f t="shared" si="102"/>
        <v>-0.03506755814</v>
      </c>
      <c r="D474" s="19">
        <f t="shared" si="101"/>
        <v>-0.03341100588</v>
      </c>
      <c r="E474" s="12"/>
      <c r="F474" s="7"/>
      <c r="G474" s="7"/>
      <c r="H474" s="1"/>
      <c r="I474" s="1"/>
      <c r="J474" s="1" t="s">
        <v>582</v>
      </c>
      <c r="K474" s="1"/>
      <c r="L474" s="12">
        <f t="shared" si="103"/>
        <v>15144.74154</v>
      </c>
      <c r="M474" s="12"/>
      <c r="N474" s="15"/>
      <c r="O474" s="1"/>
      <c r="Q474" s="12"/>
      <c r="R474" s="1"/>
    </row>
    <row r="475" ht="12.75" hidden="1" customHeight="1" outlineLevel="1">
      <c r="A475" s="17">
        <v>41666.0</v>
      </c>
      <c r="B475" s="12">
        <v>494051.93</v>
      </c>
      <c r="C475" s="19">
        <f t="shared" si="102"/>
        <v>-0.009108961687</v>
      </c>
      <c r="D475" s="19">
        <f t="shared" si="101"/>
        <v>-0.04221562799</v>
      </c>
      <c r="E475" s="12"/>
      <c r="F475" s="7"/>
      <c r="G475" s="7"/>
      <c r="H475" s="1"/>
      <c r="I475" s="1"/>
      <c r="J475" s="1" t="s">
        <v>582</v>
      </c>
      <c r="K475" s="1"/>
      <c r="L475" s="12">
        <f t="shared" si="103"/>
        <v>15006.78867</v>
      </c>
      <c r="M475" s="12"/>
      <c r="N475" s="15"/>
      <c r="O475" s="1"/>
      <c r="Q475" s="12"/>
      <c r="R475" s="1"/>
    </row>
    <row r="476" ht="12.75" hidden="1" customHeight="1" outlineLevel="1">
      <c r="A476" s="17">
        <v>41667.0</v>
      </c>
      <c r="B476" s="12">
        <v>492137.49</v>
      </c>
      <c r="C476" s="19">
        <f t="shared" si="102"/>
        <v>-0.003874977272</v>
      </c>
      <c r="D476" s="19">
        <f t="shared" si="101"/>
        <v>-0.04592702066</v>
      </c>
      <c r="E476" s="12"/>
      <c r="F476" s="7"/>
      <c r="G476" s="7"/>
      <c r="H476" s="1"/>
      <c r="I476" s="1"/>
      <c r="J476" s="1"/>
      <c r="K476" s="1"/>
      <c r="L476" s="12">
        <f t="shared" si="103"/>
        <v>14948.6377</v>
      </c>
      <c r="M476" s="12"/>
      <c r="N476" s="15"/>
      <c r="O476" s="1"/>
      <c r="Q476" s="12"/>
      <c r="R476" s="1"/>
    </row>
    <row r="477" ht="12.75" hidden="1" customHeight="1" outlineLevel="1">
      <c r="A477" s="17">
        <v>41668.0</v>
      </c>
      <c r="B477" s="12">
        <v>486388.28</v>
      </c>
      <c r="C477" s="19">
        <f t="shared" si="102"/>
        <v>-0.0116821216</v>
      </c>
      <c r="D477" s="19">
        <f t="shared" si="101"/>
        <v>-0.05707261722</v>
      </c>
      <c r="E477" s="12"/>
      <c r="F477" s="7"/>
      <c r="G477" s="7"/>
      <c r="H477" s="1"/>
      <c r="I477" s="1"/>
      <c r="J477" s="1"/>
      <c r="K477" s="1"/>
      <c r="L477" s="12">
        <f t="shared" si="103"/>
        <v>14774.0059</v>
      </c>
      <c r="M477" s="12"/>
      <c r="N477" s="15"/>
      <c r="O477" s="1"/>
      <c r="Q477" s="12"/>
      <c r="R477" s="1"/>
    </row>
    <row r="478" ht="12.75" hidden="1" customHeight="1" outlineLevel="1">
      <c r="A478" s="17">
        <v>41669.0</v>
      </c>
      <c r="B478" s="12">
        <v>491014.56</v>
      </c>
      <c r="C478" s="19">
        <f t="shared" si="102"/>
        <v>0.009511495631</v>
      </c>
      <c r="D478" s="19">
        <f t="shared" si="101"/>
        <v>-0.04810396754</v>
      </c>
      <c r="E478" s="12"/>
      <c r="F478" s="7"/>
      <c r="G478" s="7"/>
      <c r="H478" s="1"/>
      <c r="I478" s="1"/>
      <c r="J478" s="1" t="s">
        <v>583</v>
      </c>
      <c r="K478" s="1" t="s">
        <v>367</v>
      </c>
      <c r="L478" s="12">
        <f t="shared" si="103"/>
        <v>14914.52879</v>
      </c>
      <c r="M478" s="12"/>
      <c r="N478" s="15"/>
      <c r="O478" s="1"/>
      <c r="Q478" s="12"/>
      <c r="R478" s="1"/>
    </row>
    <row r="479" ht="12.75" hidden="1" customHeight="1" outlineLevel="1">
      <c r="A479" s="17">
        <v>41670.0</v>
      </c>
      <c r="B479" s="12">
        <v>489423.58</v>
      </c>
      <c r="C479" s="19">
        <f t="shared" si="102"/>
        <v>-0.003240189049</v>
      </c>
      <c r="D479" s="19">
        <f t="shared" si="101"/>
        <v>-0.05118829064</v>
      </c>
      <c r="E479" s="12"/>
      <c r="F479" s="7"/>
      <c r="G479" s="7"/>
      <c r="H479" s="1"/>
      <c r="I479" s="1"/>
      <c r="J479" s="1"/>
      <c r="K479" s="19">
        <f>3200.96/3315.59-1</f>
        <v>-0.03457303225</v>
      </c>
      <c r="L479" s="12">
        <f t="shared" si="103"/>
        <v>14866.2029</v>
      </c>
      <c r="M479" s="12"/>
      <c r="N479" s="15"/>
      <c r="O479" s="1"/>
      <c r="Q479" s="12"/>
      <c r="R479" s="1"/>
    </row>
    <row r="480" ht="12.75" hidden="1" customHeight="1" outlineLevel="1">
      <c r="A480" s="17"/>
      <c r="B480" s="12"/>
      <c r="C480" s="1"/>
      <c r="D480" s="1"/>
      <c r="E480" s="12"/>
      <c r="F480" s="7"/>
      <c r="G480" s="7"/>
      <c r="H480" s="1"/>
      <c r="I480" s="1"/>
      <c r="J480" s="1"/>
      <c r="K480" s="1"/>
      <c r="L480" s="12"/>
      <c r="M480" s="12"/>
      <c r="N480" s="15"/>
      <c r="O480" s="1"/>
      <c r="P480" s="112"/>
      <c r="Q480" s="12"/>
      <c r="R480" s="1"/>
    </row>
    <row r="481" ht="12.75" hidden="1" customHeight="1" outlineLevel="1">
      <c r="A481" s="17"/>
      <c r="B481" s="12">
        <f>B479+P481</f>
        <v>509423.58</v>
      </c>
      <c r="C481" s="19"/>
      <c r="D481" s="19">
        <f t="shared" ref="D481:D501" si="104">(B481/$B$481)-1</f>
        <v>0</v>
      </c>
      <c r="E481" s="12"/>
      <c r="F481" s="7"/>
      <c r="G481" s="7"/>
      <c r="H481" s="1"/>
      <c r="I481" s="1"/>
      <c r="J481" s="1"/>
      <c r="K481" s="1"/>
      <c r="L481" s="12"/>
      <c r="M481" s="12"/>
      <c r="N481" s="15"/>
      <c r="O481" s="1"/>
      <c r="P481" s="82">
        <v>20000.0</v>
      </c>
      <c r="Q481" s="12"/>
      <c r="R481" s="1"/>
    </row>
    <row r="482" ht="12.75" hidden="1" customHeight="1" outlineLevel="1">
      <c r="A482" s="17">
        <v>41673.0</v>
      </c>
      <c r="B482" s="12">
        <f>482754.98+20000</f>
        <v>502754.98</v>
      </c>
      <c r="C482" s="19">
        <f t="shared" ref="C482:C501" si="105">(B482/B481)-1</f>
        <v>-0.0130904816</v>
      </c>
      <c r="D482" s="19">
        <f t="shared" si="104"/>
        <v>-0.0130904816</v>
      </c>
      <c r="E482" s="12"/>
      <c r="F482" s="7"/>
      <c r="G482" s="7"/>
      <c r="H482" s="1"/>
      <c r="I482" s="1"/>
      <c r="J482" s="1"/>
      <c r="K482" s="1"/>
      <c r="L482" s="12">
        <f t="shared" ref="L482:L501" si="106">IF(C481="",L479*(1+C482),L481*(1+C482))</f>
        <v>14671.59715</v>
      </c>
      <c r="M482" s="12"/>
      <c r="N482" s="15"/>
      <c r="O482" s="1"/>
      <c r="Q482" s="12"/>
      <c r="R482" s="1"/>
    </row>
    <row r="483" ht="12.75" hidden="1" customHeight="1" outlineLevel="1">
      <c r="A483" s="17">
        <v>41674.0</v>
      </c>
      <c r="B483" s="12">
        <f>482841.63+20000</f>
        <v>502841.63</v>
      </c>
      <c r="C483" s="19">
        <f t="shared" si="105"/>
        <v>0.0001723503564</v>
      </c>
      <c r="D483" s="19">
        <f t="shared" si="104"/>
        <v>-0.01292038739</v>
      </c>
      <c r="E483" s="12"/>
      <c r="F483" s="7"/>
      <c r="G483" s="7"/>
      <c r="H483" s="1"/>
      <c r="I483" s="1"/>
      <c r="J483" s="1"/>
      <c r="K483" s="1"/>
      <c r="L483" s="12">
        <f t="shared" si="106"/>
        <v>14674.1258</v>
      </c>
      <c r="M483" s="12"/>
      <c r="N483" s="15"/>
      <c r="O483" s="1"/>
      <c r="Q483" s="12"/>
      <c r="R483" s="1"/>
    </row>
    <row r="484" ht="12.75" hidden="1" customHeight="1" outlineLevel="1">
      <c r="A484" s="17">
        <v>41675.0</v>
      </c>
      <c r="B484" s="12">
        <f>485281.07+20000</f>
        <v>505281.07</v>
      </c>
      <c r="C484" s="19">
        <f t="shared" si="105"/>
        <v>0.004851308751</v>
      </c>
      <c r="D484" s="19">
        <f t="shared" si="104"/>
        <v>-0.008131759429</v>
      </c>
      <c r="E484" s="12"/>
      <c r="F484" s="7"/>
      <c r="G484" s="7"/>
      <c r="H484" s="1"/>
      <c r="I484" s="1"/>
      <c r="J484" s="1" t="s">
        <v>588</v>
      </c>
      <c r="K484" s="1"/>
      <c r="L484" s="12">
        <f t="shared" si="106"/>
        <v>14745.31451</v>
      </c>
      <c r="M484" s="12"/>
      <c r="N484" s="15"/>
      <c r="O484" s="1"/>
      <c r="Q484" s="12"/>
      <c r="R484" s="1"/>
    </row>
    <row r="485" ht="12.75" hidden="1" customHeight="1" outlineLevel="1">
      <c r="A485" s="17">
        <v>41676.0</v>
      </c>
      <c r="B485" s="12">
        <f>483045.67+20000</f>
        <v>503045.67</v>
      </c>
      <c r="C485" s="19">
        <f t="shared" si="105"/>
        <v>-0.004424072329</v>
      </c>
      <c r="D485" s="19">
        <f t="shared" si="104"/>
        <v>-0.01251985627</v>
      </c>
      <c r="E485" s="12"/>
      <c r="F485" s="7"/>
      <c r="G485" s="7"/>
      <c r="H485" s="1"/>
      <c r="I485" s="1"/>
      <c r="J485" s="1" t="s">
        <v>590</v>
      </c>
      <c r="K485" s="1"/>
      <c r="L485" s="12">
        <f t="shared" si="106"/>
        <v>14680.08018</v>
      </c>
      <c r="M485" s="12"/>
      <c r="N485" s="15"/>
      <c r="O485" s="1"/>
      <c r="Q485" s="12"/>
      <c r="R485" s="1"/>
    </row>
    <row r="486" ht="12.75" hidden="1" customHeight="1" outlineLevel="1">
      <c r="A486" s="17">
        <v>41677.0</v>
      </c>
      <c r="B486" s="12">
        <f>490227.47+20000</f>
        <v>510227.47</v>
      </c>
      <c r="C486" s="19">
        <f t="shared" si="105"/>
        <v>0.01427663616</v>
      </c>
      <c r="D486" s="19">
        <f t="shared" si="104"/>
        <v>0.001578038457</v>
      </c>
      <c r="E486" s="12"/>
      <c r="F486" s="7"/>
      <c r="G486" s="7"/>
      <c r="H486" s="1"/>
      <c r="I486" s="1"/>
      <c r="J486" s="7" t="s">
        <v>591</v>
      </c>
      <c r="K486" s="1"/>
      <c r="L486" s="12">
        <f t="shared" si="106"/>
        <v>14889.66234</v>
      </c>
      <c r="M486" s="12"/>
      <c r="N486" s="15"/>
      <c r="O486" s="1"/>
      <c r="Q486" s="12"/>
      <c r="R486" s="1"/>
    </row>
    <row r="487" ht="12.75" hidden="1" customHeight="1" outlineLevel="1">
      <c r="A487" s="17">
        <v>41680.0</v>
      </c>
      <c r="B487" s="12">
        <f>488806.57+20000</f>
        <v>508806.57</v>
      </c>
      <c r="C487" s="19">
        <f t="shared" si="105"/>
        <v>-0.00278483634</v>
      </c>
      <c r="D487" s="19">
        <f t="shared" si="104"/>
        <v>-0.001211192462</v>
      </c>
      <c r="E487" s="12"/>
      <c r="F487" s="7"/>
      <c r="G487" s="7"/>
      <c r="H487" s="1"/>
      <c r="I487" s="1"/>
      <c r="J487" s="7" t="s">
        <v>592</v>
      </c>
      <c r="K487" s="1"/>
      <c r="L487" s="12">
        <f t="shared" si="106"/>
        <v>14848.19707</v>
      </c>
      <c r="M487" s="12"/>
      <c r="N487" s="15"/>
      <c r="O487" s="1"/>
      <c r="Q487" s="12"/>
      <c r="R487" s="1"/>
    </row>
    <row r="488" ht="12.75" hidden="1" customHeight="1" outlineLevel="1">
      <c r="A488" s="17">
        <v>41681.0</v>
      </c>
      <c r="B488" s="12">
        <v>505852.74</v>
      </c>
      <c r="C488" s="19">
        <f t="shared" si="105"/>
        <v>-0.005805408527</v>
      </c>
      <c r="D488" s="19">
        <f t="shared" si="104"/>
        <v>-0.007009569522</v>
      </c>
      <c r="E488" s="12"/>
      <c r="F488" s="7"/>
      <c r="G488" s="7"/>
      <c r="H488" s="1"/>
      <c r="I488" s="1"/>
      <c r="J488" s="1"/>
      <c r="K488" s="1"/>
      <c r="L488" s="12">
        <f t="shared" si="106"/>
        <v>14761.99722</v>
      </c>
      <c r="M488" s="12"/>
      <c r="N488" s="15"/>
      <c r="O488" s="1"/>
      <c r="Q488" s="12"/>
      <c r="R488" s="1"/>
    </row>
    <row r="489" ht="12.75" hidden="1" customHeight="1" outlineLevel="1">
      <c r="A489" s="17">
        <v>41682.0</v>
      </c>
      <c r="B489" s="12">
        <v>507860.58</v>
      </c>
      <c r="C489" s="19">
        <f t="shared" si="105"/>
        <v>0.003969218393</v>
      </c>
      <c r="D489" s="19">
        <f t="shared" si="104"/>
        <v>-0.00306817364</v>
      </c>
      <c r="E489" s="12"/>
      <c r="F489" s="7"/>
      <c r="G489" s="7"/>
      <c r="H489" s="1"/>
      <c r="I489" s="1"/>
      <c r="J489" s="1"/>
      <c r="K489" s="1"/>
      <c r="L489" s="12">
        <f t="shared" si="106"/>
        <v>14820.59081</v>
      </c>
      <c r="M489" s="12"/>
      <c r="N489" s="15"/>
      <c r="O489" s="1"/>
      <c r="Q489" s="12"/>
      <c r="R489" s="1"/>
    </row>
    <row r="490" ht="12.75" hidden="1" customHeight="1" outlineLevel="1">
      <c r="A490" s="17">
        <v>41683.0</v>
      </c>
      <c r="B490" s="12">
        <v>510845.09</v>
      </c>
      <c r="C490" s="19">
        <f t="shared" si="105"/>
        <v>0.00587663252</v>
      </c>
      <c r="D490" s="19">
        <f t="shared" si="104"/>
        <v>0.00279042835</v>
      </c>
      <c r="E490" s="12"/>
      <c r="F490" s="7"/>
      <c r="G490" s="7"/>
      <c r="H490" s="1"/>
      <c r="I490" s="1"/>
      <c r="J490" s="1"/>
      <c r="K490" s="1"/>
      <c r="L490" s="12">
        <f t="shared" si="106"/>
        <v>14907.68597</v>
      </c>
      <c r="M490" s="12"/>
      <c r="N490" s="15"/>
      <c r="O490" s="1"/>
      <c r="Q490" s="12"/>
      <c r="R490" s="1"/>
    </row>
    <row r="491" ht="12.75" hidden="1" customHeight="1" outlineLevel="1">
      <c r="A491" s="17">
        <v>41684.0</v>
      </c>
      <c r="B491" s="12">
        <v>508372.29</v>
      </c>
      <c r="C491" s="19">
        <f t="shared" si="105"/>
        <v>-0.004840606376</v>
      </c>
      <c r="D491" s="19">
        <f t="shared" si="104"/>
        <v>-0.002063685391</v>
      </c>
      <c r="E491" s="12"/>
      <c r="F491" s="7"/>
      <c r="G491" s="7"/>
      <c r="H491" s="1"/>
      <c r="I491" s="1"/>
      <c r="J491" s="1"/>
      <c r="K491" s="1"/>
      <c r="L491" s="12">
        <f t="shared" si="106"/>
        <v>14835.52373</v>
      </c>
      <c r="M491" s="12"/>
      <c r="N491" s="15"/>
      <c r="O491" s="1"/>
      <c r="Q491" s="12"/>
      <c r="R491" s="1"/>
    </row>
    <row r="492" ht="12.75" hidden="1" customHeight="1" outlineLevel="1">
      <c r="A492" s="17">
        <v>41687.0</v>
      </c>
      <c r="B492" s="12">
        <f>B491</f>
        <v>508372.29</v>
      </c>
      <c r="C492" s="19">
        <f t="shared" si="105"/>
        <v>0</v>
      </c>
      <c r="D492" s="19">
        <f t="shared" si="104"/>
        <v>-0.002063685391</v>
      </c>
      <c r="E492" s="12"/>
      <c r="F492" s="7"/>
      <c r="G492" s="7"/>
      <c r="H492" s="1"/>
      <c r="I492" s="1"/>
      <c r="J492" s="1"/>
      <c r="K492" s="1"/>
      <c r="L492" s="12">
        <f t="shared" si="106"/>
        <v>14835.52373</v>
      </c>
      <c r="M492" s="12"/>
      <c r="N492" s="15"/>
      <c r="O492" s="1"/>
      <c r="Q492" s="12"/>
      <c r="R492" s="1"/>
    </row>
    <row r="493" ht="12.75" hidden="1" customHeight="1" outlineLevel="1">
      <c r="A493" s="17">
        <v>41688.0</v>
      </c>
      <c r="B493" s="12">
        <v>507567.39</v>
      </c>
      <c r="C493" s="19">
        <f t="shared" si="105"/>
        <v>-0.001583288499</v>
      </c>
      <c r="D493" s="19">
        <f t="shared" si="104"/>
        <v>-0.003643706481</v>
      </c>
      <c r="E493" s="12"/>
      <c r="F493" s="7"/>
      <c r="G493" s="7"/>
      <c r="H493" s="1"/>
      <c r="I493" s="1"/>
      <c r="J493" s="1" t="s">
        <v>594</v>
      </c>
      <c r="K493" s="1"/>
      <c r="L493" s="12">
        <f t="shared" si="106"/>
        <v>14812.03482</v>
      </c>
      <c r="M493" s="12"/>
      <c r="N493" s="15"/>
      <c r="O493" s="1"/>
      <c r="Q493" s="12"/>
      <c r="R493" s="1"/>
    </row>
    <row r="494" ht="12.75" hidden="1" customHeight="1" outlineLevel="1">
      <c r="A494" s="17">
        <v>41689.0</v>
      </c>
      <c r="B494" s="12">
        <v>509284.09</v>
      </c>
      <c r="C494" s="19">
        <f t="shared" si="105"/>
        <v>0.003382210981</v>
      </c>
      <c r="D494" s="19">
        <f t="shared" si="104"/>
        <v>-0.0002738192841</v>
      </c>
      <c r="E494" s="12"/>
      <c r="F494" s="7"/>
      <c r="G494" s="7"/>
      <c r="H494" s="1"/>
      <c r="I494" s="1"/>
      <c r="J494" s="1"/>
      <c r="K494" s="1"/>
      <c r="L494" s="12">
        <f t="shared" si="106"/>
        <v>14862.13225</v>
      </c>
      <c r="M494" s="12"/>
      <c r="N494" s="15"/>
      <c r="O494" s="1"/>
      <c r="Q494" s="12"/>
      <c r="R494" s="1"/>
    </row>
    <row r="495" ht="12.75" hidden="1" customHeight="1" outlineLevel="1">
      <c r="A495" s="17">
        <v>41690.0</v>
      </c>
      <c r="B495" s="12">
        <v>509963.51</v>
      </c>
      <c r="C495" s="19">
        <f t="shared" si="105"/>
        <v>0.001334068771</v>
      </c>
      <c r="D495" s="19">
        <f t="shared" si="104"/>
        <v>0.001059884193</v>
      </c>
      <c r="E495" s="12"/>
      <c r="F495" s="7"/>
      <c r="G495" s="7"/>
      <c r="H495" s="1"/>
      <c r="I495" s="1"/>
      <c r="J495" s="1" t="s">
        <v>596</v>
      </c>
      <c r="K495" s="1"/>
      <c r="L495" s="12">
        <f t="shared" si="106"/>
        <v>14881.95935</v>
      </c>
      <c r="M495" s="12"/>
      <c r="N495" s="15"/>
      <c r="O495" s="1"/>
      <c r="Q495" s="12"/>
      <c r="R495" s="1"/>
    </row>
    <row r="496" ht="12.75" hidden="1" customHeight="1" outlineLevel="1">
      <c r="A496" s="17">
        <v>41691.0</v>
      </c>
      <c r="B496" s="12">
        <v>515040.7</v>
      </c>
      <c r="C496" s="19">
        <f t="shared" si="105"/>
        <v>0.009955986851</v>
      </c>
      <c r="D496" s="19">
        <f t="shared" si="104"/>
        <v>0.01102642324</v>
      </c>
      <c r="E496" s="12"/>
      <c r="F496" s="7"/>
      <c r="G496" s="7"/>
      <c r="H496" s="1"/>
      <c r="I496" s="1"/>
      <c r="J496" s="1" t="s">
        <v>597</v>
      </c>
      <c r="K496" s="1"/>
      <c r="L496" s="12">
        <f t="shared" si="106"/>
        <v>15030.12395</v>
      </c>
      <c r="M496" s="12"/>
      <c r="N496" s="15"/>
      <c r="O496" s="1"/>
      <c r="Q496" s="12"/>
      <c r="R496" s="1"/>
    </row>
    <row r="497" ht="12.75" hidden="1" customHeight="1" outlineLevel="1">
      <c r="A497" s="17">
        <v>41694.0</v>
      </c>
      <c r="B497" s="12">
        <v>520540.51</v>
      </c>
      <c r="C497" s="19">
        <f t="shared" si="105"/>
        <v>0.01067839881</v>
      </c>
      <c r="D497" s="19">
        <f t="shared" si="104"/>
        <v>0.0218225666</v>
      </c>
      <c r="E497" s="12"/>
      <c r="F497" s="7"/>
      <c r="G497" s="7"/>
      <c r="H497" s="1"/>
      <c r="I497" s="1"/>
      <c r="J497" s="1" t="s">
        <v>598</v>
      </c>
      <c r="K497" s="1"/>
      <c r="L497" s="12">
        <f t="shared" si="106"/>
        <v>15190.6216</v>
      </c>
      <c r="M497" s="12"/>
      <c r="N497" s="15"/>
      <c r="O497" s="1"/>
      <c r="Q497" s="12"/>
      <c r="R497" s="1"/>
    </row>
    <row r="498" ht="12.75" hidden="1" customHeight="1" outlineLevel="1">
      <c r="A498" s="17">
        <v>41695.0</v>
      </c>
      <c r="B498" s="12">
        <v>527566.81</v>
      </c>
      <c r="C498" s="19">
        <f t="shared" si="105"/>
        <v>0.0134980849</v>
      </c>
      <c r="D498" s="19">
        <f t="shared" si="104"/>
        <v>0.03561521436</v>
      </c>
      <c r="E498" s="12"/>
      <c r="F498" s="7"/>
      <c r="G498" s="7"/>
      <c r="H498" s="1"/>
      <c r="I498" s="1"/>
      <c r="J498" s="1" t="s">
        <v>599</v>
      </c>
      <c r="K498" s="1"/>
      <c r="L498" s="12">
        <f t="shared" si="106"/>
        <v>15395.6659</v>
      </c>
      <c r="M498" s="12"/>
      <c r="N498" s="15"/>
      <c r="O498" s="1"/>
      <c r="Q498" s="12"/>
      <c r="R498" s="1"/>
    </row>
    <row r="499" ht="12.75" hidden="1" customHeight="1" outlineLevel="1">
      <c r="A499" s="17">
        <v>41696.0</v>
      </c>
      <c r="B499" s="12">
        <v>521062.47</v>
      </c>
      <c r="C499" s="19">
        <f t="shared" si="105"/>
        <v>-0.01232894086</v>
      </c>
      <c r="D499" s="19">
        <f t="shared" si="104"/>
        <v>0.02284717563</v>
      </c>
      <c r="E499" s="12"/>
      <c r="F499" s="7"/>
      <c r="G499" s="7"/>
      <c r="H499" s="1"/>
      <c r="I499" s="1"/>
      <c r="J499" s="1" t="s">
        <v>600</v>
      </c>
      <c r="K499" s="1"/>
      <c r="L499" s="12">
        <f t="shared" si="106"/>
        <v>15205.85365</v>
      </c>
      <c r="M499" s="12"/>
      <c r="N499" s="15"/>
      <c r="O499" s="1"/>
      <c r="Q499" s="12"/>
      <c r="R499" s="1"/>
    </row>
    <row r="500" ht="12.75" hidden="1" customHeight="1" outlineLevel="1">
      <c r="A500" s="17">
        <v>41697.0</v>
      </c>
      <c r="B500" s="12">
        <v>523303.5</v>
      </c>
      <c r="C500" s="19">
        <f t="shared" si="105"/>
        <v>0.004300885458</v>
      </c>
      <c r="D500" s="19">
        <f t="shared" si="104"/>
        <v>0.02724632417</v>
      </c>
      <c r="E500" s="12"/>
      <c r="F500" s="7"/>
      <c r="G500" s="7"/>
      <c r="H500" s="1"/>
      <c r="I500" s="1"/>
      <c r="J500" s="1" t="s">
        <v>601</v>
      </c>
      <c r="K500" s="1" t="s">
        <v>367</v>
      </c>
      <c r="L500" s="12">
        <f t="shared" si="106"/>
        <v>15271.25228</v>
      </c>
      <c r="M500" s="12"/>
      <c r="N500" s="15"/>
      <c r="O500" s="1"/>
      <c r="Q500" s="12"/>
      <c r="R500" s="1"/>
    </row>
    <row r="501" ht="12.75" hidden="1" customHeight="1" outlineLevel="1">
      <c r="A501" s="17">
        <v>41698.0</v>
      </c>
      <c r="B501" s="12">
        <v>527256.89</v>
      </c>
      <c r="C501" s="19">
        <f t="shared" si="105"/>
        <v>0.007554679072</v>
      </c>
      <c r="D501" s="19">
        <f t="shared" si="104"/>
        <v>0.03500684048</v>
      </c>
      <c r="E501" s="12"/>
      <c r="F501" s="7"/>
      <c r="G501" s="7"/>
      <c r="H501" s="1"/>
      <c r="I501" s="1"/>
      <c r="J501" s="1"/>
      <c r="K501" s="19">
        <f>3347.38/3200.96-1</f>
        <v>0.04574252724</v>
      </c>
      <c r="L501" s="12">
        <f t="shared" si="106"/>
        <v>15386.62169</v>
      </c>
      <c r="M501" s="12"/>
      <c r="N501" s="15"/>
      <c r="O501" s="1"/>
      <c r="Q501" s="12"/>
      <c r="R501" s="1"/>
    </row>
    <row r="502" ht="12.75" hidden="1" customHeight="1" outlineLevel="1">
      <c r="A502" s="17"/>
      <c r="B502" s="12"/>
      <c r="C502" s="1"/>
      <c r="D502" s="1"/>
      <c r="E502" s="12"/>
      <c r="F502" s="7"/>
      <c r="G502" s="7"/>
      <c r="H502" s="1"/>
      <c r="I502" s="1"/>
      <c r="J502" s="1"/>
      <c r="K502" s="1"/>
      <c r="L502" s="12"/>
      <c r="M502" s="12"/>
      <c r="N502" s="15"/>
      <c r="O502" s="1"/>
      <c r="Q502" s="12"/>
      <c r="R502" s="1"/>
    </row>
    <row r="503" ht="12.75" hidden="1" customHeight="1" outlineLevel="1">
      <c r="A503" s="17"/>
      <c r="B503" s="12">
        <f>B501</f>
        <v>527256.89</v>
      </c>
      <c r="C503" s="19"/>
      <c r="D503" s="19">
        <f t="shared" ref="D503:D524" si="107">(B503/$B$503)-1</f>
        <v>0</v>
      </c>
      <c r="E503" s="12"/>
      <c r="F503" s="7"/>
      <c r="G503" s="7"/>
      <c r="H503" s="1"/>
      <c r="I503" s="1"/>
      <c r="J503" s="1"/>
      <c r="K503" s="1"/>
      <c r="L503" s="12"/>
      <c r="M503" s="12"/>
      <c r="N503" s="15"/>
      <c r="O503" s="1"/>
      <c r="Q503" s="12"/>
      <c r="R503" s="1"/>
    </row>
    <row r="504" ht="12.75" hidden="1" customHeight="1" outlineLevel="1">
      <c r="A504" s="17">
        <v>41701.0</v>
      </c>
      <c r="B504" s="12">
        <v>528537.78</v>
      </c>
      <c r="C504" s="19">
        <f t="shared" ref="C504:C524" si="108">(B504/B503)-1</f>
        <v>0.002429347106</v>
      </c>
      <c r="D504" s="19">
        <f t="shared" si="107"/>
        <v>0.002429347106</v>
      </c>
      <c r="E504" s="12"/>
      <c r="F504" s="7"/>
      <c r="G504" s="7"/>
      <c r="H504" s="1"/>
      <c r="I504" s="1"/>
      <c r="J504" s="1"/>
      <c r="K504" s="1"/>
      <c r="L504" s="12">
        <f t="shared" ref="L504:L524" si="109">IF(C503="",L501*(1+C504),L503*(1+C504))</f>
        <v>15424.00114</v>
      </c>
      <c r="M504" s="12"/>
      <c r="N504" s="15"/>
      <c r="O504" s="1"/>
      <c r="Q504" s="12"/>
      <c r="R504" s="1"/>
    </row>
    <row r="505" ht="12.75" hidden="1" customHeight="1" outlineLevel="1">
      <c r="A505" s="17">
        <v>41702.0</v>
      </c>
      <c r="B505" s="12">
        <v>538212.66</v>
      </c>
      <c r="C505" s="19">
        <f t="shared" si="108"/>
        <v>0.01830499231</v>
      </c>
      <c r="D505" s="19">
        <f t="shared" si="107"/>
        <v>0.0207788086</v>
      </c>
      <c r="E505" s="12"/>
      <c r="F505" s="7"/>
      <c r="G505" s="7"/>
      <c r="H505" s="1"/>
      <c r="I505" s="1"/>
      <c r="J505" s="1"/>
      <c r="K505" s="1"/>
      <c r="L505" s="12">
        <f t="shared" si="109"/>
        <v>15706.33736</v>
      </c>
      <c r="M505" s="12"/>
      <c r="N505" s="15"/>
      <c r="O505" s="1"/>
      <c r="Q505" s="12"/>
      <c r="R505" s="1"/>
    </row>
    <row r="506" ht="12.75" hidden="1" customHeight="1" outlineLevel="1">
      <c r="A506" s="17">
        <v>41703.0</v>
      </c>
      <c r="B506" s="12">
        <v>541718.18</v>
      </c>
      <c r="C506" s="19">
        <f t="shared" si="108"/>
        <v>0.006513261877</v>
      </c>
      <c r="D506" s="19">
        <f t="shared" si="107"/>
        <v>0.0274274083</v>
      </c>
      <c r="E506" s="12"/>
      <c r="F506" s="7"/>
      <c r="G506" s="7"/>
      <c r="H506" s="1"/>
      <c r="I506" s="1"/>
      <c r="J506" s="1"/>
      <c r="K506" s="1"/>
      <c r="L506" s="12">
        <f t="shared" si="109"/>
        <v>15808.63685</v>
      </c>
      <c r="M506" s="12"/>
      <c r="N506" s="15"/>
      <c r="O506" s="1"/>
      <c r="Q506" s="12"/>
      <c r="R506" s="1"/>
    </row>
    <row r="507" ht="12.75" hidden="1" customHeight="1" outlineLevel="1">
      <c r="A507" s="17">
        <v>41704.0</v>
      </c>
      <c r="B507" s="12">
        <v>549659.82</v>
      </c>
      <c r="C507" s="19">
        <f t="shared" si="108"/>
        <v>0.01466009503</v>
      </c>
      <c r="D507" s="19">
        <f t="shared" si="107"/>
        <v>0.04248959174</v>
      </c>
      <c r="E507" s="12"/>
      <c r="F507" s="7"/>
      <c r="G507" s="7"/>
      <c r="H507" s="1"/>
      <c r="I507" s="1"/>
      <c r="J507" s="1"/>
      <c r="K507" s="1"/>
      <c r="L507" s="12">
        <f t="shared" si="109"/>
        <v>16040.39297</v>
      </c>
      <c r="M507" s="12"/>
      <c r="N507" s="15"/>
      <c r="O507" s="1"/>
      <c r="Q507" s="12"/>
      <c r="R507" s="1"/>
    </row>
    <row r="508" ht="12.75" hidden="1" customHeight="1" outlineLevel="1">
      <c r="A508" s="17">
        <v>41705.0</v>
      </c>
      <c r="B508" s="12">
        <v>554663.0</v>
      </c>
      <c r="C508" s="19">
        <f t="shared" si="108"/>
        <v>0.009102320777</v>
      </c>
      <c r="D508" s="19">
        <f t="shared" si="107"/>
        <v>0.05197866641</v>
      </c>
      <c r="E508" s="12"/>
      <c r="F508" s="7"/>
      <c r="G508" s="7"/>
      <c r="H508" s="1"/>
      <c r="I508" s="1"/>
      <c r="J508" s="1"/>
      <c r="K508" s="1"/>
      <c r="L508" s="12">
        <f t="shared" si="109"/>
        <v>16186.39777</v>
      </c>
      <c r="M508" s="12"/>
      <c r="N508" s="15"/>
      <c r="O508" s="1"/>
      <c r="Q508" s="12"/>
      <c r="R508" s="1"/>
    </row>
    <row r="509" ht="12.75" hidden="1" customHeight="1" outlineLevel="1">
      <c r="A509" s="17">
        <v>41708.0</v>
      </c>
      <c r="B509" s="12">
        <v>561759.99</v>
      </c>
      <c r="C509" s="19">
        <f t="shared" si="108"/>
        <v>0.01279513867</v>
      </c>
      <c r="D509" s="19">
        <f t="shared" si="107"/>
        <v>0.06543887933</v>
      </c>
      <c r="E509" s="12"/>
      <c r="F509" s="7"/>
      <c r="G509" s="7"/>
      <c r="H509" s="1"/>
      <c r="I509" s="1"/>
      <c r="J509" s="1"/>
      <c r="K509" s="1"/>
      <c r="L509" s="12">
        <f t="shared" si="109"/>
        <v>16393.50497</v>
      </c>
      <c r="M509" s="12"/>
      <c r="N509" s="15"/>
      <c r="O509" s="1"/>
      <c r="Q509" s="12"/>
      <c r="R509" s="1"/>
    </row>
    <row r="510" ht="12.75" hidden="1" customHeight="1" outlineLevel="1">
      <c r="A510" s="17">
        <v>41709.0</v>
      </c>
      <c r="B510" s="12">
        <v>553082.37</v>
      </c>
      <c r="C510" s="19">
        <f t="shared" si="108"/>
        <v>-0.01544720193</v>
      </c>
      <c r="D510" s="19">
        <f t="shared" si="107"/>
        <v>0.04898082982</v>
      </c>
      <c r="E510" s="12"/>
      <c r="F510" s="7"/>
      <c r="G510" s="7"/>
      <c r="H510" s="1"/>
      <c r="I510" s="1"/>
      <c r="J510" s="1" t="s">
        <v>604</v>
      </c>
      <c r="K510" s="1"/>
      <c r="L510" s="12">
        <f t="shared" si="109"/>
        <v>16140.27119</v>
      </c>
      <c r="M510" s="12"/>
      <c r="N510" s="15"/>
      <c r="O510" s="1"/>
      <c r="Q510" s="12"/>
      <c r="R510" s="1"/>
    </row>
    <row r="511" ht="12.75" hidden="1" customHeight="1" outlineLevel="1">
      <c r="A511" s="17">
        <v>41710.0</v>
      </c>
      <c r="B511" s="12">
        <v>547034.0</v>
      </c>
      <c r="C511" s="19">
        <f t="shared" si="108"/>
        <v>-0.01093574905</v>
      </c>
      <c r="D511" s="19">
        <f t="shared" si="107"/>
        <v>0.03750943871</v>
      </c>
      <c r="E511" s="12"/>
      <c r="F511" s="7"/>
      <c r="G511" s="7"/>
      <c r="H511" s="1"/>
      <c r="I511" s="1"/>
      <c r="J511" s="1"/>
      <c r="K511" s="1"/>
      <c r="L511" s="12">
        <f t="shared" si="109"/>
        <v>15963.76524</v>
      </c>
      <c r="M511" s="12"/>
      <c r="N511" s="15"/>
      <c r="O511" s="1"/>
      <c r="Q511" s="12"/>
      <c r="R511" s="1"/>
    </row>
    <row r="512" ht="12.75" hidden="1" customHeight="1" outlineLevel="1">
      <c r="A512" s="17">
        <v>41711.0</v>
      </c>
      <c r="B512" s="12">
        <v>542577.76</v>
      </c>
      <c r="C512" s="19">
        <f t="shared" si="108"/>
        <v>-0.008146184698</v>
      </c>
      <c r="D512" s="19">
        <f t="shared" si="107"/>
        <v>0.0290576952</v>
      </c>
      <c r="E512" s="12"/>
      <c r="F512" s="7"/>
      <c r="G512" s="7"/>
      <c r="H512" s="1"/>
      <c r="I512" s="1"/>
      <c r="J512" s="1"/>
      <c r="K512" s="1"/>
      <c r="L512" s="12">
        <f t="shared" si="109"/>
        <v>15833.72146</v>
      </c>
      <c r="M512" s="12"/>
      <c r="N512" s="15"/>
      <c r="O512" s="1"/>
      <c r="Q512" s="12"/>
      <c r="R512" s="1"/>
    </row>
    <row r="513" ht="12.75" hidden="1" customHeight="1" outlineLevel="1">
      <c r="A513" s="17">
        <v>41712.0</v>
      </c>
      <c r="B513" s="12">
        <v>549569.81</v>
      </c>
      <c r="C513" s="19">
        <f t="shared" si="108"/>
        <v>0.01288672429</v>
      </c>
      <c r="D513" s="19">
        <f t="shared" si="107"/>
        <v>0.042318878</v>
      </c>
      <c r="E513" s="12"/>
      <c r="F513" s="7"/>
      <c r="G513" s="7"/>
      <c r="H513" s="1"/>
      <c r="I513" s="1"/>
      <c r="J513" s="1"/>
      <c r="K513" s="1"/>
      <c r="L513" s="12">
        <f t="shared" si="109"/>
        <v>16037.76626</v>
      </c>
      <c r="M513" s="12"/>
      <c r="N513" s="15"/>
      <c r="O513" s="1"/>
      <c r="Q513" s="12"/>
      <c r="R513" s="1"/>
    </row>
    <row r="514" ht="12.75" hidden="1" customHeight="1" outlineLevel="1">
      <c r="A514" s="17">
        <v>41715.0</v>
      </c>
      <c r="B514" s="12">
        <v>549740.97</v>
      </c>
      <c r="C514" s="19">
        <f t="shared" si="108"/>
        <v>0.0003114435999</v>
      </c>
      <c r="D514" s="19">
        <f t="shared" si="107"/>
        <v>0.04264350154</v>
      </c>
      <c r="E514" s="12"/>
      <c r="F514" s="7"/>
      <c r="G514" s="7"/>
      <c r="H514" s="1"/>
      <c r="I514" s="1"/>
      <c r="J514" s="1"/>
      <c r="K514" s="1"/>
      <c r="L514" s="12">
        <f t="shared" si="109"/>
        <v>16042.76112</v>
      </c>
      <c r="M514" s="12"/>
      <c r="N514" s="15"/>
      <c r="O514" s="1"/>
      <c r="Q514" s="12"/>
      <c r="R514" s="1"/>
    </row>
    <row r="515" ht="12.75" hidden="1" customHeight="1" outlineLevel="1">
      <c r="A515" s="17">
        <v>41716.0</v>
      </c>
      <c r="B515" s="12">
        <v>546634.66</v>
      </c>
      <c r="C515" s="19">
        <f t="shared" si="108"/>
        <v>-0.005650497543</v>
      </c>
      <c r="D515" s="19">
        <f t="shared" si="107"/>
        <v>0.036752047</v>
      </c>
      <c r="E515" s="12"/>
      <c r="F515" s="7"/>
      <c r="G515" s="7"/>
      <c r="H515" s="1"/>
      <c r="I515" s="1"/>
      <c r="J515" s="1"/>
      <c r="K515" s="1"/>
      <c r="L515" s="12">
        <f t="shared" si="109"/>
        <v>15952.11154</v>
      </c>
      <c r="M515" s="12"/>
      <c r="N515" s="15"/>
      <c r="O515" s="1"/>
      <c r="Q515" s="12"/>
      <c r="R515" s="1"/>
    </row>
    <row r="516" ht="12.75" hidden="1" customHeight="1" outlineLevel="1">
      <c r="A516" s="17">
        <v>41717.0</v>
      </c>
      <c r="B516" s="12">
        <v>545412.95</v>
      </c>
      <c r="C516" s="19">
        <f t="shared" si="108"/>
        <v>-0.00223496622</v>
      </c>
      <c r="D516" s="19">
        <f t="shared" si="107"/>
        <v>0.03443494119</v>
      </c>
      <c r="E516" s="12"/>
      <c r="F516" s="7"/>
      <c r="G516" s="7"/>
      <c r="H516" s="1"/>
      <c r="I516" s="1"/>
      <c r="J516" s="1"/>
      <c r="K516" s="1"/>
      <c r="L516" s="12">
        <f t="shared" si="109"/>
        <v>15916.45911</v>
      </c>
      <c r="M516" s="12"/>
      <c r="N516" s="15"/>
      <c r="O516" s="1"/>
      <c r="Q516" s="12"/>
      <c r="R516" s="1"/>
    </row>
    <row r="517" ht="12.75" hidden="1" customHeight="1" outlineLevel="1">
      <c r="A517" s="17">
        <v>41718.0</v>
      </c>
      <c r="B517" s="12">
        <v>555270.87</v>
      </c>
      <c r="C517" s="19">
        <f t="shared" si="108"/>
        <v>0.01807423164</v>
      </c>
      <c r="D517" s="19">
        <f t="shared" si="107"/>
        <v>0.05313155794</v>
      </c>
      <c r="E517" s="12"/>
      <c r="F517" s="7"/>
      <c r="G517" s="7"/>
      <c r="H517" s="1"/>
      <c r="I517" s="1"/>
      <c r="J517" s="1"/>
      <c r="K517" s="1"/>
      <c r="L517" s="12">
        <f t="shared" si="109"/>
        <v>16204.13688</v>
      </c>
      <c r="M517" s="12"/>
      <c r="N517" s="15"/>
      <c r="O517" s="1"/>
      <c r="Q517" s="12"/>
      <c r="R517" s="1"/>
    </row>
    <row r="518" ht="12.75" hidden="1" customHeight="1" outlineLevel="1">
      <c r="A518" s="17">
        <v>41719.0</v>
      </c>
      <c r="B518" s="12">
        <v>551424.61</v>
      </c>
      <c r="C518" s="19">
        <f t="shared" si="108"/>
        <v>-0.006926817537</v>
      </c>
      <c r="D518" s="19">
        <f t="shared" si="107"/>
        <v>0.0458367078</v>
      </c>
      <c r="E518" s="12"/>
      <c r="F518" s="7"/>
      <c r="G518" s="7"/>
      <c r="H518" s="1"/>
      <c r="I518" s="1"/>
      <c r="J518" s="1"/>
      <c r="K518" s="1"/>
      <c r="L518" s="12">
        <f t="shared" si="109"/>
        <v>16091.89378</v>
      </c>
      <c r="M518" s="12"/>
      <c r="N518" s="15"/>
      <c r="O518" s="1"/>
      <c r="Q518" s="12"/>
      <c r="R518" s="1"/>
    </row>
    <row r="519" ht="12.75" hidden="1" customHeight="1" outlineLevel="1">
      <c r="A519" s="17">
        <v>41722.0</v>
      </c>
      <c r="B519" s="12">
        <v>548575.86</v>
      </c>
      <c r="C519" s="19">
        <f t="shared" si="108"/>
        <v>-0.005166164056</v>
      </c>
      <c r="D519" s="19">
        <f t="shared" si="107"/>
        <v>0.04043374379</v>
      </c>
      <c r="E519" s="12"/>
      <c r="F519" s="7"/>
      <c r="G519" s="7"/>
      <c r="H519" s="1"/>
      <c r="I519" s="1"/>
      <c r="J519" s="1"/>
      <c r="K519" s="1"/>
      <c r="L519" s="12">
        <f t="shared" si="109"/>
        <v>16008.76041</v>
      </c>
      <c r="M519" s="12"/>
      <c r="N519" s="15"/>
      <c r="O519" s="1"/>
      <c r="Q519" s="12"/>
      <c r="R519" s="1"/>
    </row>
    <row r="520" ht="12.75" hidden="1" customHeight="1" outlineLevel="1">
      <c r="A520" s="17">
        <v>41723.0</v>
      </c>
      <c r="B520" s="12">
        <v>546848.5</v>
      </c>
      <c r="C520" s="19">
        <f t="shared" si="108"/>
        <v>-0.003148807897</v>
      </c>
      <c r="D520" s="19">
        <f t="shared" si="107"/>
        <v>0.0371576178</v>
      </c>
      <c r="E520" s="12"/>
      <c r="F520" s="7"/>
      <c r="G520" s="7"/>
      <c r="H520" s="1"/>
      <c r="I520" s="1"/>
      <c r="J520" s="1"/>
      <c r="K520" s="1"/>
      <c r="L520" s="12">
        <f t="shared" si="109"/>
        <v>15958.3519</v>
      </c>
      <c r="M520" s="12"/>
      <c r="N520" s="15"/>
      <c r="O520" s="1"/>
      <c r="Q520" s="12"/>
      <c r="R520" s="1"/>
    </row>
    <row r="521" ht="12.75" hidden="1" customHeight="1" outlineLevel="1">
      <c r="A521" s="17">
        <v>41724.0</v>
      </c>
      <c r="B521" s="12">
        <v>546186.56</v>
      </c>
      <c r="C521" s="19">
        <f t="shared" si="108"/>
        <v>-0.001210463227</v>
      </c>
      <c r="D521" s="19">
        <f t="shared" si="107"/>
        <v>0.03590217664</v>
      </c>
      <c r="E521" s="12"/>
      <c r="F521" s="7"/>
      <c r="G521" s="7"/>
      <c r="H521" s="1"/>
      <c r="I521" s="1"/>
      <c r="J521" s="1"/>
      <c r="K521" s="1"/>
      <c r="L521" s="12">
        <f t="shared" si="109"/>
        <v>15939.0349</v>
      </c>
      <c r="M521" s="12"/>
      <c r="N521" s="15"/>
      <c r="O521" s="1"/>
      <c r="Q521" s="12"/>
      <c r="R521" s="1"/>
    </row>
    <row r="522" ht="12.75" hidden="1" customHeight="1" outlineLevel="1">
      <c r="A522" s="17">
        <v>41725.0</v>
      </c>
      <c r="B522" s="12">
        <v>543446.7</v>
      </c>
      <c r="C522" s="19">
        <f t="shared" si="108"/>
        <v>-0.005016344598</v>
      </c>
      <c r="D522" s="19">
        <f t="shared" si="107"/>
        <v>0.03070573435</v>
      </c>
      <c r="E522" s="12"/>
      <c r="F522" s="7"/>
      <c r="G522" s="7"/>
      <c r="H522" s="1"/>
      <c r="I522" s="1"/>
      <c r="J522" s="1"/>
      <c r="K522" s="1"/>
      <c r="L522" s="12">
        <f t="shared" si="109"/>
        <v>15859.07921</v>
      </c>
      <c r="M522" s="12"/>
      <c r="N522" s="15"/>
      <c r="O522" s="1"/>
      <c r="Q522" s="12"/>
      <c r="R522" s="1"/>
    </row>
    <row r="523" ht="12.75" hidden="1" customHeight="1" outlineLevel="1">
      <c r="A523" s="17">
        <v>41726.0</v>
      </c>
      <c r="B523" s="12">
        <v>541050.71</v>
      </c>
      <c r="C523" s="19">
        <f t="shared" si="108"/>
        <v>-0.004408877632</v>
      </c>
      <c r="D523" s="19">
        <f t="shared" si="107"/>
        <v>0.0261614789</v>
      </c>
      <c r="E523" s="12"/>
      <c r="F523" s="7"/>
      <c r="G523" s="7"/>
      <c r="H523" s="1"/>
      <c r="I523" s="1"/>
      <c r="J523" s="1"/>
      <c r="K523" s="1" t="s">
        <v>367</v>
      </c>
      <c r="L523" s="12">
        <f t="shared" si="109"/>
        <v>15789.15847</v>
      </c>
      <c r="M523" s="12"/>
      <c r="N523" s="15"/>
      <c r="O523" s="1"/>
      <c r="Q523" s="12"/>
      <c r="R523" s="1"/>
    </row>
    <row r="524" ht="12.75" hidden="1" customHeight="1" outlineLevel="1">
      <c r="A524" s="17">
        <v>41729.0</v>
      </c>
      <c r="B524" s="12">
        <v>549238.4</v>
      </c>
      <c r="C524" s="19">
        <f t="shared" si="108"/>
        <v>0.01513294382</v>
      </c>
      <c r="D524" s="19">
        <f t="shared" si="107"/>
        <v>0.04169032291</v>
      </c>
      <c r="E524" s="12"/>
      <c r="F524" s="7"/>
      <c r="G524" s="7"/>
      <c r="H524" s="1"/>
      <c r="I524" s="1"/>
      <c r="J524" s="1"/>
      <c r="K524" s="19">
        <f>3375.51/3347.38-1</f>
        <v>0.008403587283</v>
      </c>
      <c r="L524" s="12">
        <f t="shared" si="109"/>
        <v>16028.09492</v>
      </c>
      <c r="M524" s="12"/>
      <c r="N524" s="15"/>
      <c r="O524" s="1"/>
      <c r="Q524" s="12"/>
      <c r="R524" s="1"/>
    </row>
    <row r="525" ht="12.75" hidden="1" customHeight="1" outlineLevel="1">
      <c r="A525" s="17"/>
      <c r="B525" s="12"/>
      <c r="C525" s="1"/>
      <c r="D525" s="1"/>
      <c r="E525" s="12"/>
      <c r="F525" s="7"/>
      <c r="G525" s="7"/>
      <c r="H525" s="1"/>
      <c r="I525" s="1"/>
      <c r="J525" s="1"/>
      <c r="K525" s="1"/>
      <c r="L525" s="12"/>
      <c r="M525" s="12"/>
      <c r="N525" s="15"/>
      <c r="O525" s="1"/>
      <c r="Q525" s="12"/>
      <c r="R525" s="1"/>
    </row>
    <row r="526" ht="12.75" hidden="1" customHeight="1" outlineLevel="1">
      <c r="A526" s="17"/>
      <c r="B526" s="12">
        <f>B524</f>
        <v>549238.4</v>
      </c>
      <c r="C526" s="19"/>
      <c r="D526" s="19">
        <f t="shared" ref="D526:D548" si="110">(B526/$B$526)-1</f>
        <v>0</v>
      </c>
      <c r="E526" s="12"/>
      <c r="F526" s="7"/>
      <c r="G526" s="7"/>
      <c r="H526" s="1"/>
      <c r="I526" s="1"/>
      <c r="J526" s="1"/>
      <c r="K526" s="1"/>
      <c r="L526" s="12"/>
      <c r="M526" s="12"/>
      <c r="N526" s="15"/>
      <c r="O526" s="1"/>
      <c r="Q526" s="12"/>
      <c r="R526" s="1"/>
    </row>
    <row r="527" ht="12.75" hidden="1" customHeight="1" outlineLevel="1">
      <c r="A527" s="17">
        <v>41730.0</v>
      </c>
      <c r="B527" s="12">
        <v>554979.99</v>
      </c>
      <c r="C527" s="19">
        <f t="shared" ref="C527:C548" si="111">(B527/B526)-1</f>
        <v>0.01045373011</v>
      </c>
      <c r="D527" s="19">
        <f t="shared" si="110"/>
        <v>0.01045373011</v>
      </c>
      <c r="E527" s="12"/>
      <c r="F527" s="7"/>
      <c r="G527" s="7"/>
      <c r="H527" s="1"/>
      <c r="I527" s="1"/>
      <c r="J527" s="1"/>
      <c r="K527" s="1"/>
      <c r="L527" s="12">
        <f t="shared" ref="L527:L548" si="112">IF(C526="",L524*(1+C527),L526*(1+C527))</f>
        <v>16195.6483</v>
      </c>
      <c r="M527" s="12"/>
      <c r="N527" s="15"/>
      <c r="O527" s="1"/>
      <c r="Q527" s="12"/>
      <c r="R527" s="1"/>
    </row>
    <row r="528" ht="12.75" hidden="1" customHeight="1" outlineLevel="1">
      <c r="A528" s="17">
        <v>41731.0</v>
      </c>
      <c r="B528" s="12">
        <v>550033.24</v>
      </c>
      <c r="C528" s="19">
        <f t="shared" si="111"/>
        <v>-0.008913384427</v>
      </c>
      <c r="D528" s="19">
        <f t="shared" si="110"/>
        <v>0.001447167569</v>
      </c>
      <c r="E528" s="12"/>
      <c r="F528" s="7"/>
      <c r="G528" s="7"/>
      <c r="H528" s="1"/>
      <c r="I528" s="1"/>
      <c r="J528" s="1"/>
      <c r="K528" s="1"/>
      <c r="L528" s="12">
        <f t="shared" si="112"/>
        <v>16051.29026</v>
      </c>
      <c r="M528" s="12"/>
      <c r="N528" s="15"/>
      <c r="O528" s="1"/>
      <c r="Q528" s="12"/>
      <c r="R528" s="1"/>
    </row>
    <row r="529" ht="12.75" hidden="1" customHeight="1" outlineLevel="1">
      <c r="A529" s="17">
        <v>41732.0</v>
      </c>
      <c r="B529" s="12">
        <v>551091.7</v>
      </c>
      <c r="C529" s="19">
        <f t="shared" si="111"/>
        <v>0.001924356426</v>
      </c>
      <c r="D529" s="19">
        <f t="shared" si="110"/>
        <v>0.003374308861</v>
      </c>
      <c r="E529" s="12"/>
      <c r="F529" s="7"/>
      <c r="G529" s="7"/>
      <c r="H529" s="1"/>
      <c r="I529" s="1"/>
      <c r="J529" s="1"/>
      <c r="K529" s="1"/>
      <c r="L529" s="12">
        <f t="shared" si="112"/>
        <v>16082.17866</v>
      </c>
      <c r="M529" s="12"/>
      <c r="N529" s="15"/>
      <c r="O529" s="1"/>
      <c r="Q529" s="12"/>
      <c r="R529" s="1"/>
    </row>
    <row r="530" ht="12.75" hidden="1" customHeight="1" outlineLevel="1">
      <c r="A530" s="17">
        <v>41733.0</v>
      </c>
      <c r="B530" s="12">
        <v>540959.37</v>
      </c>
      <c r="C530" s="19">
        <f t="shared" si="111"/>
        <v>-0.01838592379</v>
      </c>
      <c r="D530" s="19">
        <f t="shared" si="110"/>
        <v>-0.01507365472</v>
      </c>
      <c r="E530" s="12"/>
      <c r="F530" s="7"/>
      <c r="G530" s="7"/>
      <c r="H530" s="1"/>
      <c r="I530" s="1"/>
      <c r="J530" s="1" t="s">
        <v>609</v>
      </c>
      <c r="K530" s="1"/>
      <c r="L530" s="12">
        <f t="shared" si="112"/>
        <v>15786.49295</v>
      </c>
      <c r="M530" s="12"/>
      <c r="N530" s="15"/>
      <c r="O530" s="1"/>
      <c r="Q530" s="12"/>
      <c r="R530" s="1"/>
    </row>
    <row r="531" ht="12.75" hidden="1" customHeight="1" outlineLevel="1">
      <c r="A531" s="17">
        <v>41736.0</v>
      </c>
      <c r="B531" s="12">
        <v>531580.14</v>
      </c>
      <c r="C531" s="19">
        <f t="shared" si="111"/>
        <v>-0.01733814131</v>
      </c>
      <c r="D531" s="19">
        <f t="shared" si="110"/>
        <v>-0.03215044687</v>
      </c>
      <c r="E531" s="12"/>
      <c r="F531" s="7"/>
      <c r="G531" s="7"/>
      <c r="H531" s="1"/>
      <c r="I531" s="1"/>
      <c r="J531" s="1" t="s">
        <v>610</v>
      </c>
      <c r="K531" s="1"/>
      <c r="L531" s="12">
        <f t="shared" si="112"/>
        <v>15512.78451</v>
      </c>
      <c r="M531" s="12"/>
      <c r="N531" s="15"/>
      <c r="O531" s="1"/>
      <c r="Q531" s="12"/>
      <c r="R531" s="1"/>
    </row>
    <row r="532" ht="12.75" hidden="1" customHeight="1" outlineLevel="1">
      <c r="A532" s="17">
        <v>41737.0</v>
      </c>
      <c r="B532" s="12">
        <v>529067.22</v>
      </c>
      <c r="C532" s="19">
        <f t="shared" si="111"/>
        <v>-0.004727264642</v>
      </c>
      <c r="D532" s="19">
        <f t="shared" si="110"/>
        <v>-0.03672572784</v>
      </c>
      <c r="E532" s="12"/>
      <c r="F532" s="7"/>
      <c r="G532" s="7"/>
      <c r="H532" s="1"/>
      <c r="I532" s="1"/>
      <c r="J532" s="1"/>
      <c r="K532" s="1"/>
      <c r="L532" s="12">
        <f t="shared" si="112"/>
        <v>15439.45147</v>
      </c>
      <c r="M532" s="12"/>
      <c r="N532" s="15"/>
      <c r="O532" s="1"/>
      <c r="Q532" s="12"/>
      <c r="R532" s="1"/>
    </row>
    <row r="533" ht="12.75" hidden="1" customHeight="1" outlineLevel="1">
      <c r="A533" s="17">
        <v>41738.0</v>
      </c>
      <c r="B533" s="12">
        <v>539251.62</v>
      </c>
      <c r="C533" s="19">
        <f t="shared" si="111"/>
        <v>0.01924972785</v>
      </c>
      <c r="D533" s="19">
        <f t="shared" si="110"/>
        <v>-0.01818296026</v>
      </c>
      <c r="E533" s="12"/>
      <c r="F533" s="7"/>
      <c r="G533" s="7"/>
      <c r="H533" s="1"/>
      <c r="I533" s="1"/>
      <c r="J533" s="1"/>
      <c r="K533" s="1"/>
      <c r="L533" s="12">
        <f t="shared" si="112"/>
        <v>15736.65671</v>
      </c>
      <c r="M533" s="12"/>
      <c r="N533" s="15"/>
      <c r="O533" s="1"/>
      <c r="Q533" s="12"/>
      <c r="R533" s="1"/>
    </row>
    <row r="534" ht="12.75" hidden="1" customHeight="1" outlineLevel="1">
      <c r="A534" s="17">
        <v>41739.0</v>
      </c>
      <c r="B534" s="12">
        <v>537206.85</v>
      </c>
      <c r="C534" s="19">
        <f t="shared" si="111"/>
        <v>-0.003791866216</v>
      </c>
      <c r="D534" s="19">
        <f t="shared" si="110"/>
        <v>-0.02190587912</v>
      </c>
      <c r="E534" s="12"/>
      <c r="F534" s="7"/>
      <c r="G534" s="7"/>
      <c r="H534" s="1"/>
      <c r="I534" s="1"/>
      <c r="J534" s="1"/>
      <c r="K534" s="1"/>
      <c r="L534" s="12">
        <f t="shared" si="112"/>
        <v>15676.98541</v>
      </c>
      <c r="M534" s="12"/>
      <c r="N534" s="15"/>
      <c r="O534" s="1"/>
      <c r="Q534" s="12"/>
      <c r="R534" s="1"/>
    </row>
    <row r="535" ht="12.75" hidden="1" customHeight="1" outlineLevel="1">
      <c r="A535" s="17">
        <v>41740.0</v>
      </c>
      <c r="B535" s="12">
        <v>537000.0</v>
      </c>
      <c r="C535" s="19">
        <f t="shared" si="111"/>
        <v>-0.0003850472123</v>
      </c>
      <c r="D535" s="19">
        <f t="shared" si="110"/>
        <v>-0.02228249154</v>
      </c>
      <c r="E535" s="12"/>
      <c r="F535" s="7"/>
      <c r="G535" s="7"/>
      <c r="H535" s="1"/>
      <c r="I535" s="1"/>
      <c r="J535" s="1"/>
      <c r="K535" s="1"/>
      <c r="L535" s="12">
        <f t="shared" si="112"/>
        <v>15670.94903</v>
      </c>
      <c r="M535" s="12"/>
      <c r="N535" s="15"/>
      <c r="O535" s="1"/>
      <c r="Q535" s="12"/>
      <c r="R535" s="1"/>
    </row>
    <row r="536" ht="12.75" hidden="1" customHeight="1" outlineLevel="1">
      <c r="A536" s="17">
        <v>41743.0</v>
      </c>
      <c r="B536" s="12">
        <v>542501.57</v>
      </c>
      <c r="C536" s="19">
        <f t="shared" si="111"/>
        <v>0.01024500931</v>
      </c>
      <c r="D536" s="19">
        <f t="shared" si="110"/>
        <v>-0.01226576656</v>
      </c>
      <c r="E536" s="12"/>
      <c r="F536" s="7"/>
      <c r="G536" s="7"/>
      <c r="H536" s="1"/>
      <c r="I536" s="1"/>
      <c r="J536" s="1"/>
      <c r="K536" s="1"/>
      <c r="L536" s="12">
        <f t="shared" si="112"/>
        <v>15831.49805</v>
      </c>
      <c r="M536" s="12"/>
      <c r="N536" s="15"/>
      <c r="O536" s="1"/>
      <c r="Q536" s="12"/>
      <c r="R536" s="1"/>
    </row>
    <row r="537" ht="12.75" hidden="1" customHeight="1" outlineLevel="1">
      <c r="A537" s="17">
        <v>41744.0</v>
      </c>
      <c r="B537" s="12">
        <v>543105.75</v>
      </c>
      <c r="C537" s="19">
        <f t="shared" si="111"/>
        <v>0.001113692629</v>
      </c>
      <c r="D537" s="19">
        <f t="shared" si="110"/>
        <v>-0.01116573422</v>
      </c>
      <c r="E537" s="12"/>
      <c r="F537" s="7"/>
      <c r="G537" s="7"/>
      <c r="H537" s="1"/>
      <c r="I537" s="1"/>
      <c r="J537" s="1"/>
      <c r="K537" s="1"/>
      <c r="L537" s="12">
        <f t="shared" si="112"/>
        <v>15849.12947</v>
      </c>
      <c r="M537" s="12"/>
      <c r="N537" s="15"/>
      <c r="O537" s="1"/>
      <c r="Q537" s="12"/>
      <c r="R537" s="1"/>
    </row>
    <row r="538" ht="12.75" hidden="1" customHeight="1" outlineLevel="1">
      <c r="A538" s="17">
        <v>41745.0</v>
      </c>
      <c r="B538" s="12">
        <v>546000.0</v>
      </c>
      <c r="C538" s="19">
        <f t="shared" si="111"/>
        <v>0.005329072653</v>
      </c>
      <c r="D538" s="19">
        <f t="shared" si="110"/>
        <v>-0.00589616458</v>
      </c>
      <c r="E538" s="12"/>
      <c r="F538" s="7"/>
      <c r="G538" s="7"/>
      <c r="H538" s="1"/>
      <c r="I538" s="1"/>
      <c r="J538" s="1"/>
      <c r="K538" s="1"/>
      <c r="L538" s="12">
        <f t="shared" si="112"/>
        <v>15933.59064</v>
      </c>
      <c r="M538" s="12"/>
      <c r="N538" s="15"/>
      <c r="O538" s="1"/>
      <c r="Q538" s="12"/>
      <c r="R538" s="1"/>
    </row>
    <row r="539" ht="12.75" hidden="1" customHeight="1" outlineLevel="1">
      <c r="A539" s="17">
        <v>41746.0</v>
      </c>
      <c r="B539" s="12">
        <v>542447.28</v>
      </c>
      <c r="C539" s="19">
        <f t="shared" si="111"/>
        <v>-0.006506813187</v>
      </c>
      <c r="D539" s="19">
        <f t="shared" si="110"/>
        <v>-0.01236461253</v>
      </c>
      <c r="E539" s="12"/>
      <c r="F539" s="7"/>
      <c r="G539" s="7"/>
      <c r="H539" s="1"/>
      <c r="I539" s="1"/>
      <c r="J539" s="1"/>
      <c r="K539" s="1"/>
      <c r="L539" s="12">
        <f t="shared" si="112"/>
        <v>15829.91374</v>
      </c>
      <c r="M539" s="12"/>
      <c r="N539" s="15"/>
      <c r="O539" s="1"/>
      <c r="Q539" s="12"/>
      <c r="R539" s="1"/>
    </row>
    <row r="540" ht="12.75" hidden="1" customHeight="1" outlineLevel="1">
      <c r="A540" s="17">
        <v>41747.0</v>
      </c>
      <c r="B540" s="12">
        <v>542447.28</v>
      </c>
      <c r="C540" s="19">
        <f t="shared" si="111"/>
        <v>0</v>
      </c>
      <c r="D540" s="19">
        <f t="shared" si="110"/>
        <v>-0.01236461253</v>
      </c>
      <c r="E540" s="12"/>
      <c r="F540" s="7"/>
      <c r="G540" s="7"/>
      <c r="H540" s="1"/>
      <c r="I540" s="1"/>
      <c r="J540" s="1"/>
      <c r="K540" s="1"/>
      <c r="L540" s="12">
        <f t="shared" si="112"/>
        <v>15829.91374</v>
      </c>
      <c r="M540" s="12"/>
      <c r="N540" s="15"/>
      <c r="O540" s="1"/>
      <c r="Q540" s="12"/>
      <c r="R540" s="1"/>
    </row>
    <row r="541" ht="12.75" hidden="1" customHeight="1" outlineLevel="1">
      <c r="A541" s="17">
        <v>41750.0</v>
      </c>
      <c r="B541" s="12">
        <v>545580.95</v>
      </c>
      <c r="C541" s="19">
        <f t="shared" si="111"/>
        <v>0.005776911629</v>
      </c>
      <c r="D541" s="19">
        <f t="shared" si="110"/>
        <v>-0.00665913017</v>
      </c>
      <c r="E541" s="12"/>
      <c r="F541" s="7"/>
      <c r="G541" s="7"/>
      <c r="H541" s="1"/>
      <c r="I541" s="1"/>
      <c r="J541" s="1"/>
      <c r="K541" s="1"/>
      <c r="L541" s="12">
        <f t="shared" si="112"/>
        <v>15921.36175</v>
      </c>
      <c r="M541" s="12"/>
      <c r="N541" s="15"/>
      <c r="O541" s="1"/>
      <c r="Q541" s="12"/>
      <c r="R541" s="1"/>
    </row>
    <row r="542" ht="12.75" hidden="1" customHeight="1" outlineLevel="1">
      <c r="A542" s="17">
        <v>41751.0</v>
      </c>
      <c r="B542" s="12">
        <v>552132.0</v>
      </c>
      <c r="C542" s="19">
        <f t="shared" si="111"/>
        <v>0.0120074757</v>
      </c>
      <c r="D542" s="19">
        <f t="shared" si="110"/>
        <v>0.005268386187</v>
      </c>
      <c r="E542" s="12"/>
      <c r="F542" s="7"/>
      <c r="G542" s="7"/>
      <c r="H542" s="1"/>
      <c r="I542" s="1"/>
      <c r="J542" s="1"/>
      <c r="K542" s="1"/>
      <c r="L542" s="12">
        <f t="shared" si="112"/>
        <v>16112.53711</v>
      </c>
      <c r="M542" s="12"/>
      <c r="N542" s="15"/>
      <c r="O542" s="1"/>
      <c r="Q542" s="12"/>
      <c r="R542" s="1"/>
    </row>
    <row r="543" ht="12.75" hidden="1" customHeight="1" outlineLevel="1">
      <c r="A543" s="17">
        <v>41752.0</v>
      </c>
      <c r="B543" s="12">
        <v>550216.8</v>
      </c>
      <c r="C543" s="19">
        <f t="shared" si="111"/>
        <v>-0.003468735737</v>
      </c>
      <c r="D543" s="19">
        <f t="shared" si="110"/>
        <v>0.001781375811</v>
      </c>
      <c r="E543" s="12"/>
      <c r="F543" s="7"/>
      <c r="G543" s="7"/>
      <c r="H543" s="1"/>
      <c r="I543" s="1"/>
      <c r="J543" s="1"/>
      <c r="K543" s="1"/>
      <c r="L543" s="12">
        <f t="shared" si="112"/>
        <v>16056.64698</v>
      </c>
      <c r="M543" s="12"/>
      <c r="N543" s="15"/>
      <c r="O543" s="1"/>
      <c r="Q543" s="12"/>
      <c r="R543" s="1"/>
    </row>
    <row r="544" ht="12.75" hidden="1" customHeight="1" outlineLevel="1">
      <c r="A544" s="17">
        <v>41753.0</v>
      </c>
      <c r="B544" s="12">
        <v>549688.77</v>
      </c>
      <c r="C544" s="19">
        <f t="shared" si="111"/>
        <v>-0.0009596762585</v>
      </c>
      <c r="D544" s="19">
        <f t="shared" si="110"/>
        <v>0.000819990008</v>
      </c>
      <c r="E544" s="12"/>
      <c r="F544" s="7"/>
      <c r="G544" s="7"/>
      <c r="H544" s="1"/>
      <c r="I544" s="1"/>
      <c r="J544" s="1"/>
      <c r="K544" s="1"/>
      <c r="L544" s="12">
        <f t="shared" si="112"/>
        <v>16041.2378</v>
      </c>
      <c r="M544" s="12"/>
      <c r="N544" s="15"/>
      <c r="O544" s="1"/>
      <c r="Q544" s="12"/>
      <c r="R544" s="1"/>
    </row>
    <row r="545" ht="12.75" hidden="1" customHeight="1" outlineLevel="1">
      <c r="A545" s="17">
        <v>41754.0</v>
      </c>
      <c r="B545" s="12">
        <v>544735.08</v>
      </c>
      <c r="C545" s="19">
        <f t="shared" si="111"/>
        <v>-0.009011808628</v>
      </c>
      <c r="D545" s="19">
        <f t="shared" si="110"/>
        <v>-0.008199208213</v>
      </c>
      <c r="E545" s="12"/>
      <c r="F545" s="7"/>
      <c r="G545" s="7"/>
      <c r="H545" s="1"/>
      <c r="I545" s="1"/>
      <c r="J545" s="1"/>
      <c r="K545" s="1"/>
      <c r="L545" s="12">
        <f t="shared" si="112"/>
        <v>15896.67723</v>
      </c>
      <c r="M545" s="12"/>
      <c r="N545" s="15"/>
      <c r="O545" s="1"/>
      <c r="Q545" s="12"/>
      <c r="R545" s="1"/>
    </row>
    <row r="546" ht="12.75" hidden="1" customHeight="1" outlineLevel="1">
      <c r="A546" s="17">
        <v>41757.0</v>
      </c>
      <c r="B546" s="12">
        <v>539852.46</v>
      </c>
      <c r="C546" s="19">
        <f t="shared" si="111"/>
        <v>-0.008963292762</v>
      </c>
      <c r="D546" s="19">
        <f t="shared" si="110"/>
        <v>-0.01708900907</v>
      </c>
      <c r="E546" s="12"/>
      <c r="F546" s="7"/>
      <c r="G546" s="7"/>
      <c r="H546" s="1"/>
      <c r="I546" s="1"/>
      <c r="J546" s="1"/>
      <c r="K546" s="1"/>
      <c r="L546" s="12">
        <f t="shared" si="112"/>
        <v>15754.19066</v>
      </c>
      <c r="M546" s="12"/>
      <c r="N546" s="15"/>
      <c r="O546" s="1"/>
      <c r="Q546" s="12"/>
      <c r="R546" s="1"/>
    </row>
    <row r="547" ht="12.75" hidden="1" customHeight="1" outlineLevel="1">
      <c r="A547" s="17">
        <v>41758.0</v>
      </c>
      <c r="B547" s="12">
        <v>536046.12</v>
      </c>
      <c r="C547" s="19">
        <f t="shared" si="111"/>
        <v>-0.007050704187</v>
      </c>
      <c r="D547" s="19">
        <f t="shared" si="110"/>
        <v>-0.02401922371</v>
      </c>
      <c r="E547" s="12"/>
      <c r="F547" s="7"/>
      <c r="G547" s="7"/>
      <c r="H547" s="1"/>
      <c r="I547" s="1"/>
      <c r="J547" s="1"/>
      <c r="K547" s="1" t="s">
        <v>367</v>
      </c>
      <c r="L547" s="12">
        <f t="shared" si="112"/>
        <v>15643.11252</v>
      </c>
      <c r="M547" s="12"/>
      <c r="N547" s="15"/>
      <c r="O547" s="1"/>
      <c r="Q547" s="12"/>
      <c r="R547" s="1"/>
    </row>
    <row r="548" ht="12.75" hidden="1" customHeight="1" outlineLevel="1">
      <c r="A548" s="17">
        <v>41759.0</v>
      </c>
      <c r="B548" s="12">
        <v>541460.14</v>
      </c>
      <c r="C548" s="19">
        <f t="shared" si="111"/>
        <v>0.01009991454</v>
      </c>
      <c r="D548" s="19">
        <f t="shared" si="110"/>
        <v>-0.01416190128</v>
      </c>
      <c r="E548" s="12"/>
      <c r="F548" s="7"/>
      <c r="G548" s="7"/>
      <c r="H548" s="1"/>
      <c r="I548" s="1"/>
      <c r="J548" s="1"/>
      <c r="K548" s="19">
        <f>3400.46/3375.51-1</f>
        <v>0.007391475658</v>
      </c>
      <c r="L548" s="12">
        <f t="shared" si="112"/>
        <v>15801.10662</v>
      </c>
      <c r="M548" s="12"/>
      <c r="N548" s="15"/>
      <c r="O548" s="1"/>
      <c r="Q548" s="12"/>
      <c r="R548" s="1"/>
    </row>
    <row r="549" ht="12.75" hidden="1" customHeight="1" outlineLevel="1">
      <c r="A549" s="17"/>
      <c r="B549" s="12"/>
      <c r="C549" s="19"/>
      <c r="D549" s="19"/>
      <c r="E549" s="12"/>
      <c r="F549" s="7"/>
      <c r="G549" s="7"/>
      <c r="H549" s="1"/>
      <c r="I549" s="1"/>
      <c r="J549" s="1"/>
      <c r="K549" s="1"/>
      <c r="L549" s="12"/>
      <c r="M549" s="12"/>
      <c r="N549" s="15"/>
      <c r="O549" s="1"/>
      <c r="Q549" s="12"/>
      <c r="R549" s="1"/>
    </row>
    <row r="550" ht="12.75" hidden="1" customHeight="1" outlineLevel="1">
      <c r="A550" s="17"/>
      <c r="B550" s="12">
        <f>B548</f>
        <v>541460.14</v>
      </c>
      <c r="C550" s="19"/>
      <c r="D550" s="19">
        <f t="shared" ref="D550:D572" si="113">(B550/$B$550)-1</f>
        <v>0</v>
      </c>
      <c r="E550" s="12"/>
      <c r="F550" s="7"/>
      <c r="G550" s="7"/>
      <c r="H550" s="1"/>
      <c r="I550" s="1"/>
      <c r="J550" s="1"/>
      <c r="K550" s="1"/>
      <c r="L550" s="12"/>
      <c r="M550" s="12"/>
      <c r="N550" s="15"/>
      <c r="O550" s="1"/>
      <c r="Q550" s="12"/>
      <c r="R550" s="1"/>
    </row>
    <row r="551" ht="12.75" hidden="1" customHeight="1" outlineLevel="1">
      <c r="A551" s="17">
        <v>41760.0</v>
      </c>
      <c r="B551" s="12">
        <v>536671.54</v>
      </c>
      <c r="C551" s="19">
        <f t="shared" ref="C551:C572" si="114">(B551/B550)-1</f>
        <v>-0.008843864296</v>
      </c>
      <c r="D551" s="19">
        <f t="shared" si="113"/>
        <v>-0.008843864296</v>
      </c>
      <c r="E551" s="12"/>
      <c r="F551" s="7"/>
      <c r="G551" s="7"/>
      <c r="H551" s="1"/>
      <c r="I551" s="1"/>
      <c r="J551" s="1"/>
      <c r="K551" s="1"/>
      <c r="L551" s="12">
        <f t="shared" ref="L551:L572" si="115">IF(C550="",L548*(1+C551),L550*(1+C551))</f>
        <v>15661.36378</v>
      </c>
      <c r="M551" s="12"/>
      <c r="N551" s="15"/>
      <c r="O551" s="1"/>
      <c r="Q551" s="12"/>
      <c r="R551" s="1"/>
    </row>
    <row r="552" ht="12.75" hidden="1" customHeight="1" outlineLevel="1">
      <c r="A552" s="17">
        <v>41761.0</v>
      </c>
      <c r="B552" s="12">
        <v>535412.25</v>
      </c>
      <c r="C552" s="19">
        <f t="shared" si="114"/>
        <v>-0.002346481798</v>
      </c>
      <c r="D552" s="19">
        <f t="shared" si="113"/>
        <v>-0.01116959413</v>
      </c>
      <c r="E552" s="12"/>
      <c r="F552" s="7"/>
      <c r="G552" s="7"/>
      <c r="H552" s="1"/>
      <c r="I552" s="1"/>
      <c r="J552" s="1"/>
      <c r="K552" s="1"/>
      <c r="L552" s="12">
        <f t="shared" si="115"/>
        <v>15624.61468</v>
      </c>
      <c r="M552" s="12"/>
      <c r="N552" s="15"/>
      <c r="O552" s="1"/>
      <c r="Q552" s="12"/>
      <c r="R552" s="1"/>
    </row>
    <row r="553" ht="12.75" hidden="1" customHeight="1" outlineLevel="1">
      <c r="A553" s="17">
        <v>41764.0</v>
      </c>
      <c r="B553" s="12">
        <v>539344.81</v>
      </c>
      <c r="C553" s="19">
        <f t="shared" si="114"/>
        <v>0.007344919732</v>
      </c>
      <c r="D553" s="19">
        <f t="shared" si="113"/>
        <v>-0.003906714167</v>
      </c>
      <c r="E553" s="12"/>
      <c r="F553" s="7"/>
      <c r="G553" s="7"/>
      <c r="H553" s="1"/>
      <c r="I553" s="1"/>
      <c r="J553" s="1"/>
      <c r="K553" s="1"/>
      <c r="L553" s="12">
        <f t="shared" si="115"/>
        <v>15739.37622</v>
      </c>
      <c r="M553" s="12"/>
      <c r="N553" s="15"/>
      <c r="O553" s="1"/>
      <c r="Q553" s="12"/>
      <c r="R553" s="1"/>
    </row>
    <row r="554" ht="12.75" hidden="1" customHeight="1" outlineLevel="1">
      <c r="A554" s="17">
        <v>41765.0</v>
      </c>
      <c r="B554" s="12">
        <v>539247.22</v>
      </c>
      <c r="C554" s="19">
        <f t="shared" si="114"/>
        <v>-0.0001809417615</v>
      </c>
      <c r="D554" s="19">
        <f t="shared" si="113"/>
        <v>-0.004086949041</v>
      </c>
      <c r="E554" s="12"/>
      <c r="F554" s="7"/>
      <c r="G554" s="7"/>
      <c r="H554" s="1"/>
      <c r="I554" s="1"/>
      <c r="J554" s="1"/>
      <c r="K554" s="1"/>
      <c r="L554" s="12">
        <f t="shared" si="115"/>
        <v>15736.52831</v>
      </c>
      <c r="M554" s="12"/>
      <c r="N554" s="15"/>
      <c r="O554" s="1"/>
      <c r="Q554" s="12"/>
      <c r="R554" s="1"/>
    </row>
    <row r="555" ht="12.75" hidden="1" customHeight="1" outlineLevel="1">
      <c r="A555" s="17">
        <v>41766.0</v>
      </c>
      <c r="B555" s="12">
        <v>543777.98</v>
      </c>
      <c r="C555" s="19">
        <f t="shared" si="114"/>
        <v>0.008402009008</v>
      </c>
      <c r="D555" s="19">
        <f t="shared" si="113"/>
        <v>0.004280721384</v>
      </c>
      <c r="E555" s="12"/>
      <c r="F555" s="7"/>
      <c r="G555" s="7"/>
      <c r="H555" s="1"/>
      <c r="I555" s="1"/>
      <c r="J555" s="1"/>
      <c r="K555" s="1"/>
      <c r="L555" s="12">
        <f t="shared" si="115"/>
        <v>15868.74676</v>
      </c>
      <c r="M555" s="12"/>
      <c r="N555" s="15"/>
      <c r="O555" s="1"/>
      <c r="Q555" s="12"/>
      <c r="R555" s="1"/>
    </row>
    <row r="556" ht="12.75" hidden="1" customHeight="1" outlineLevel="1">
      <c r="A556" s="17">
        <v>41767.0</v>
      </c>
      <c r="B556" s="12">
        <v>552160.94</v>
      </c>
      <c r="C556" s="19">
        <f t="shared" si="114"/>
        <v>0.01541614466</v>
      </c>
      <c r="D556" s="19">
        <f t="shared" si="113"/>
        <v>0.01976285826</v>
      </c>
      <c r="E556" s="12"/>
      <c r="F556" s="7"/>
      <c r="G556" s="7"/>
      <c r="H556" s="1"/>
      <c r="I556" s="1"/>
      <c r="J556" s="1"/>
      <c r="K556" s="1"/>
      <c r="L556" s="12">
        <f t="shared" si="115"/>
        <v>16113.38165</v>
      </c>
      <c r="M556" s="12"/>
      <c r="N556" s="15"/>
      <c r="O556" s="1"/>
      <c r="Q556" s="12"/>
      <c r="R556" s="1"/>
    </row>
    <row r="557" ht="12.75" hidden="1" customHeight="1" outlineLevel="1">
      <c r="A557" s="17">
        <v>41768.0</v>
      </c>
      <c r="B557" s="12">
        <v>549500.0</v>
      </c>
      <c r="C557" s="19">
        <f t="shared" si="114"/>
        <v>-0.00481913842</v>
      </c>
      <c r="D557" s="19">
        <f t="shared" si="113"/>
        <v>0.01484847989</v>
      </c>
      <c r="E557" s="12"/>
      <c r="F557" s="7"/>
      <c r="G557" s="7"/>
      <c r="H557" s="1"/>
      <c r="I557" s="1"/>
      <c r="J557" s="1"/>
      <c r="K557" s="1"/>
      <c r="L557" s="12">
        <f t="shared" si="115"/>
        <v>16035.72904</v>
      </c>
      <c r="M557" s="12"/>
      <c r="N557" s="15"/>
      <c r="O557" s="1"/>
      <c r="Q557" s="12"/>
      <c r="R557" s="1"/>
    </row>
    <row r="558" ht="12.75" hidden="1" customHeight="1" outlineLevel="1">
      <c r="A558" s="17">
        <v>41771.0</v>
      </c>
      <c r="B558" s="12">
        <v>547656.73</v>
      </c>
      <c r="C558" s="19">
        <f t="shared" si="114"/>
        <v>-0.0033544495</v>
      </c>
      <c r="D558" s="19">
        <f t="shared" si="113"/>
        <v>0.01144422191</v>
      </c>
      <c r="E558" s="12"/>
      <c r="F558" s="7"/>
      <c r="G558" s="7"/>
      <c r="H558" s="1"/>
      <c r="I558" s="1"/>
      <c r="J558" s="1"/>
      <c r="K558" s="1"/>
      <c r="L558" s="12">
        <f t="shared" si="115"/>
        <v>15981.93799</v>
      </c>
      <c r="M558" s="12"/>
      <c r="N558" s="15"/>
      <c r="O558" s="1"/>
      <c r="Q558" s="12"/>
      <c r="R558" s="1"/>
    </row>
    <row r="559" ht="12.75" hidden="1" customHeight="1" outlineLevel="1">
      <c r="A559" s="17">
        <v>41772.0</v>
      </c>
      <c r="B559" s="12">
        <v>541287.46</v>
      </c>
      <c r="C559" s="19">
        <f t="shared" si="114"/>
        <v>-0.01163004059</v>
      </c>
      <c r="D559" s="19">
        <f t="shared" si="113"/>
        <v>-0.0003189154422</v>
      </c>
      <c r="E559" s="12"/>
      <c r="F559" s="7"/>
      <c r="G559" s="7"/>
      <c r="H559" s="1"/>
      <c r="I559" s="1"/>
      <c r="J559" s="1"/>
      <c r="K559" s="1"/>
      <c r="L559" s="12">
        <f t="shared" si="115"/>
        <v>15796.06741</v>
      </c>
      <c r="M559" s="12"/>
      <c r="N559" s="15"/>
      <c r="O559" s="1"/>
      <c r="Q559" s="12"/>
      <c r="R559" s="1"/>
    </row>
    <row r="560" ht="12.75" hidden="1" customHeight="1" outlineLevel="1">
      <c r="A560" s="17">
        <v>41773.0</v>
      </c>
      <c r="B560" s="12">
        <v>537745.56</v>
      </c>
      <c r="C560" s="19">
        <f t="shared" si="114"/>
        <v>-0.006543473222</v>
      </c>
      <c r="D560" s="19">
        <f t="shared" si="113"/>
        <v>-0.00686030185</v>
      </c>
      <c r="E560" s="12"/>
      <c r="F560" s="7"/>
      <c r="G560" s="7"/>
      <c r="H560" s="1"/>
      <c r="I560" s="1"/>
      <c r="J560" s="1"/>
      <c r="K560" s="1"/>
      <c r="L560" s="12">
        <f t="shared" si="115"/>
        <v>15692.70626</v>
      </c>
      <c r="M560" s="12"/>
      <c r="N560" s="15"/>
      <c r="O560" s="1"/>
      <c r="Q560" s="12"/>
      <c r="R560" s="1"/>
    </row>
    <row r="561" ht="12.75" hidden="1" customHeight="1" outlineLevel="1">
      <c r="A561" s="17">
        <v>41774.0</v>
      </c>
      <c r="B561" s="12">
        <v>536174.93</v>
      </c>
      <c r="C561" s="19">
        <f t="shared" si="114"/>
        <v>-0.002920767956</v>
      </c>
      <c r="D561" s="19">
        <f t="shared" si="113"/>
        <v>-0.009761032456</v>
      </c>
      <c r="E561" s="12"/>
      <c r="F561" s="7"/>
      <c r="G561" s="7"/>
      <c r="H561" s="1"/>
      <c r="I561" s="1"/>
      <c r="J561" s="1"/>
      <c r="K561" s="1"/>
      <c r="L561" s="12">
        <f t="shared" si="115"/>
        <v>15646.87151</v>
      </c>
      <c r="M561" s="12"/>
      <c r="N561" s="15"/>
      <c r="O561" s="1"/>
      <c r="Q561" s="12"/>
      <c r="R561" s="1"/>
    </row>
    <row r="562" ht="12.75" hidden="1" customHeight="1" outlineLevel="1">
      <c r="A562" s="17">
        <v>41775.0</v>
      </c>
      <c r="B562" s="12">
        <v>535074.32</v>
      </c>
      <c r="C562" s="19">
        <f t="shared" si="114"/>
        <v>-0.00205270694</v>
      </c>
      <c r="D562" s="19">
        <f t="shared" si="113"/>
        <v>-0.01179370286</v>
      </c>
      <c r="E562" s="12"/>
      <c r="F562" s="7"/>
      <c r="G562" s="7"/>
      <c r="H562" s="1"/>
      <c r="I562" s="1"/>
      <c r="J562" s="1"/>
      <c r="K562" s="1"/>
      <c r="L562" s="12">
        <f t="shared" si="115"/>
        <v>15614.75307</v>
      </c>
      <c r="M562" s="12"/>
      <c r="N562" s="15"/>
      <c r="O562" s="1"/>
      <c r="Q562" s="12"/>
      <c r="R562" s="1"/>
    </row>
    <row r="563" ht="12.75" hidden="1" customHeight="1" outlineLevel="1">
      <c r="A563" s="17">
        <v>41778.0</v>
      </c>
      <c r="B563" s="12">
        <v>537343.22</v>
      </c>
      <c r="C563" s="19">
        <f t="shared" si="114"/>
        <v>0.004240345528</v>
      </c>
      <c r="D563" s="19">
        <f t="shared" si="113"/>
        <v>-0.007603366704</v>
      </c>
      <c r="E563" s="12"/>
      <c r="F563" s="7"/>
      <c r="G563" s="7"/>
      <c r="H563" s="1"/>
      <c r="I563" s="1"/>
      <c r="J563" s="1"/>
      <c r="K563" s="1"/>
      <c r="L563" s="12">
        <f t="shared" si="115"/>
        <v>15680.96501</v>
      </c>
      <c r="M563" s="12"/>
      <c r="N563" s="15"/>
      <c r="O563" s="1"/>
      <c r="Q563" s="12"/>
      <c r="R563" s="1"/>
    </row>
    <row r="564" ht="12.75" hidden="1" customHeight="1" outlineLevel="1">
      <c r="A564" s="17">
        <v>41779.0</v>
      </c>
      <c r="B564" s="12">
        <v>537950.19</v>
      </c>
      <c r="C564" s="19">
        <f t="shared" si="114"/>
        <v>0.001129575991</v>
      </c>
      <c r="D564" s="19">
        <f t="shared" si="113"/>
        <v>-0.006482379294</v>
      </c>
      <c r="E564" s="12"/>
      <c r="F564" s="7"/>
      <c r="G564" s="7"/>
      <c r="H564" s="1"/>
      <c r="I564" s="1"/>
      <c r="J564" s="1"/>
      <c r="K564" s="1"/>
      <c r="L564" s="12">
        <f t="shared" si="115"/>
        <v>15698.67786</v>
      </c>
      <c r="M564" s="12"/>
      <c r="N564" s="15"/>
      <c r="O564" s="1"/>
      <c r="Q564" s="12"/>
      <c r="R564" s="1"/>
    </row>
    <row r="565" ht="12.75" hidden="1" customHeight="1" outlineLevel="1">
      <c r="A565" s="17">
        <v>41780.0</v>
      </c>
      <c r="B565" s="12">
        <v>535088.0</v>
      </c>
      <c r="C565" s="19">
        <f t="shared" si="114"/>
        <v>-0.005320548358</v>
      </c>
      <c r="D565" s="19">
        <f t="shared" si="113"/>
        <v>-0.01176843784</v>
      </c>
      <c r="E565" s="12"/>
      <c r="F565" s="7"/>
      <c r="G565" s="7"/>
      <c r="H565" s="1"/>
      <c r="I565" s="1"/>
      <c r="J565" s="1"/>
      <c r="K565" s="1"/>
      <c r="L565" s="12">
        <f t="shared" si="115"/>
        <v>15615.15228</v>
      </c>
      <c r="M565" s="12"/>
      <c r="N565" s="15"/>
      <c r="O565" s="1"/>
      <c r="Q565" s="12"/>
      <c r="R565" s="1"/>
    </row>
    <row r="566" ht="12.75" hidden="1" customHeight="1" outlineLevel="1">
      <c r="A566" s="17">
        <v>41781.0</v>
      </c>
      <c r="B566" s="12">
        <v>533717.52</v>
      </c>
      <c r="C566" s="19">
        <f t="shared" si="114"/>
        <v>-0.002561223574</v>
      </c>
      <c r="D566" s="19">
        <f t="shared" si="113"/>
        <v>-0.01429951981</v>
      </c>
      <c r="E566" s="12"/>
      <c r="F566" s="7"/>
      <c r="G566" s="7"/>
      <c r="H566" s="1"/>
      <c r="I566" s="1"/>
      <c r="J566" s="1"/>
      <c r="K566" s="1"/>
      <c r="L566" s="12">
        <f t="shared" si="115"/>
        <v>15575.15839</v>
      </c>
      <c r="M566" s="12"/>
      <c r="N566" s="15"/>
      <c r="O566" s="1"/>
      <c r="Q566" s="12"/>
      <c r="R566" s="1"/>
    </row>
    <row r="567" ht="12.75" hidden="1" customHeight="1" outlineLevel="1">
      <c r="A567" s="17">
        <v>41782.0</v>
      </c>
      <c r="B567" s="12">
        <v>543757.89</v>
      </c>
      <c r="C567" s="19">
        <f t="shared" si="114"/>
        <v>0.01881214242</v>
      </c>
      <c r="D567" s="19">
        <f t="shared" si="113"/>
        <v>0.004243618007</v>
      </c>
      <c r="E567" s="12"/>
      <c r="F567" s="7"/>
      <c r="G567" s="7"/>
      <c r="H567" s="1"/>
      <c r="I567" s="1"/>
      <c r="J567" s="1"/>
      <c r="K567" s="1"/>
      <c r="L567" s="12">
        <f t="shared" si="115"/>
        <v>15868.16048</v>
      </c>
      <c r="M567" s="12"/>
      <c r="N567" s="15"/>
      <c r="O567" s="1"/>
      <c r="Q567" s="12"/>
      <c r="R567" s="1"/>
    </row>
    <row r="568" ht="12.75" hidden="1" customHeight="1" outlineLevel="1">
      <c r="A568" s="17">
        <v>41785.0</v>
      </c>
      <c r="B568" s="12">
        <f>B567</f>
        <v>543757.89</v>
      </c>
      <c r="C568" s="19">
        <f t="shared" si="114"/>
        <v>0</v>
      </c>
      <c r="D568" s="19">
        <f t="shared" si="113"/>
        <v>0.004243618007</v>
      </c>
      <c r="E568" s="12"/>
      <c r="F568" s="7"/>
      <c r="G568" s="7"/>
      <c r="H568" s="1"/>
      <c r="I568" s="1"/>
      <c r="J568" s="1"/>
      <c r="K568" s="1"/>
      <c r="L568" s="12">
        <f t="shared" si="115"/>
        <v>15868.16048</v>
      </c>
      <c r="M568" s="12"/>
      <c r="N568" s="15"/>
      <c r="O568" s="1"/>
      <c r="Q568" s="12"/>
      <c r="R568" s="1"/>
    </row>
    <row r="569" ht="12.75" hidden="1" customHeight="1" outlineLevel="1">
      <c r="A569" s="17">
        <v>41786.0</v>
      </c>
      <c r="B569" s="12">
        <v>554699.67</v>
      </c>
      <c r="C569" s="19">
        <f t="shared" si="114"/>
        <v>0.02012252181</v>
      </c>
      <c r="D569" s="19">
        <f t="shared" si="113"/>
        <v>0.02445153211</v>
      </c>
      <c r="E569" s="12"/>
      <c r="F569" s="7"/>
      <c r="G569" s="7"/>
      <c r="H569" s="1"/>
      <c r="I569" s="1"/>
      <c r="J569" s="1"/>
      <c r="K569" s="1"/>
      <c r="L569" s="12">
        <f t="shared" si="115"/>
        <v>16187.46789</v>
      </c>
      <c r="M569" s="12"/>
      <c r="N569" s="15"/>
      <c r="O569" s="1"/>
      <c r="Q569" s="12"/>
      <c r="R569" s="1"/>
    </row>
    <row r="570" ht="12.75" hidden="1" customHeight="1" outlineLevel="1">
      <c r="A570" s="17">
        <v>41787.0</v>
      </c>
      <c r="B570" s="12">
        <v>562500.0</v>
      </c>
      <c r="C570" s="19">
        <f t="shared" si="114"/>
        <v>0.01406225823</v>
      </c>
      <c r="D570" s="19">
        <f t="shared" si="113"/>
        <v>0.0388576341</v>
      </c>
      <c r="E570" s="12"/>
      <c r="F570" s="7"/>
      <c r="G570" s="7"/>
      <c r="H570" s="1"/>
      <c r="I570" s="1"/>
      <c r="J570" s="1"/>
      <c r="K570" s="1"/>
      <c r="L570" s="12">
        <f t="shared" si="115"/>
        <v>16415.10024</v>
      </c>
      <c r="M570" s="12"/>
      <c r="N570" s="15"/>
      <c r="O570" s="1"/>
      <c r="Q570" s="12"/>
      <c r="R570" s="1"/>
    </row>
    <row r="571" ht="12.75" hidden="1" customHeight="1" outlineLevel="1">
      <c r="A571" s="17">
        <v>41788.0</v>
      </c>
      <c r="B571" s="12">
        <v>558764.61</v>
      </c>
      <c r="C571" s="19">
        <f t="shared" si="114"/>
        <v>-0.006640693333</v>
      </c>
      <c r="D571" s="19">
        <f t="shared" si="113"/>
        <v>0.03195889914</v>
      </c>
      <c r="E571" s="12"/>
      <c r="F571" s="7"/>
      <c r="G571" s="7"/>
      <c r="H571" s="1"/>
      <c r="I571" s="1"/>
      <c r="J571" s="1"/>
      <c r="K571" s="1" t="s">
        <v>367</v>
      </c>
      <c r="L571" s="12">
        <f t="shared" si="115"/>
        <v>16306.0926</v>
      </c>
      <c r="M571" s="12"/>
      <c r="N571" s="15"/>
      <c r="O571" s="1"/>
      <c r="Q571" s="12"/>
      <c r="R571" s="1"/>
    </row>
    <row r="572" ht="12.75" hidden="1" customHeight="1" outlineLevel="1">
      <c r="A572" s="17">
        <v>41789.0</v>
      </c>
      <c r="B572" s="12">
        <v>571463.09</v>
      </c>
      <c r="C572" s="19">
        <f t="shared" si="114"/>
        <v>0.0227259919</v>
      </c>
      <c r="D572" s="19">
        <f t="shared" si="113"/>
        <v>0.05541118872</v>
      </c>
      <c r="E572" s="12"/>
      <c r="F572" s="7"/>
      <c r="G572" s="7"/>
      <c r="H572" s="1"/>
      <c r="I572" s="1"/>
      <c r="J572" s="1"/>
      <c r="K572" s="19">
        <f>3480.29/3400.46-1</f>
        <v>0.02347623557</v>
      </c>
      <c r="L572" s="12">
        <f t="shared" si="115"/>
        <v>16676.66472</v>
      </c>
      <c r="M572" s="12"/>
      <c r="N572" s="15"/>
      <c r="O572" s="1"/>
      <c r="Q572" s="12"/>
      <c r="R572" s="1"/>
    </row>
    <row r="573" ht="12.75" hidden="1" customHeight="1" outlineLevel="1">
      <c r="A573" s="17"/>
      <c r="B573" s="12"/>
      <c r="C573" s="19"/>
      <c r="D573" s="19"/>
      <c r="E573" s="12"/>
      <c r="F573" s="7"/>
      <c r="G573" s="7"/>
      <c r="H573" s="1"/>
      <c r="I573" s="1"/>
      <c r="J573" s="1"/>
      <c r="K573" s="1"/>
      <c r="L573" s="12"/>
      <c r="M573" s="12"/>
      <c r="N573" s="15"/>
      <c r="O573" s="1"/>
      <c r="Q573" s="12"/>
      <c r="R573" s="1"/>
    </row>
    <row r="574" ht="12.75" hidden="1" customHeight="1" outlineLevel="1">
      <c r="A574" s="17"/>
      <c r="B574" s="12">
        <f>B572</f>
        <v>571463.09</v>
      </c>
      <c r="C574" s="19"/>
      <c r="D574" s="19">
        <f t="shared" ref="D574:D595" si="116">(B574/$B$574)-1</f>
        <v>0</v>
      </c>
      <c r="E574" s="12"/>
      <c r="F574" s="7"/>
      <c r="G574" s="7"/>
      <c r="H574" s="1"/>
      <c r="I574" s="1"/>
      <c r="J574" s="1"/>
      <c r="K574" s="1"/>
      <c r="L574" s="12"/>
      <c r="M574" s="12"/>
      <c r="N574" s="15"/>
      <c r="O574" s="1"/>
      <c r="Q574" s="12"/>
      <c r="R574" s="1"/>
    </row>
    <row r="575" ht="12.75" hidden="1" customHeight="1" outlineLevel="1">
      <c r="A575" s="17">
        <v>41792.0</v>
      </c>
      <c r="B575" s="12">
        <v>582000.0</v>
      </c>
      <c r="C575" s="19">
        <f t="shared" ref="C575:C595" si="117">(B575/B574)-1</f>
        <v>0.01843847868</v>
      </c>
      <c r="D575" s="19">
        <f t="shared" si="116"/>
        <v>0.01843847868</v>
      </c>
      <c r="E575" s="12"/>
      <c r="F575" s="7"/>
      <c r="G575" s="7"/>
      <c r="H575" s="1"/>
      <c r="I575" s="1"/>
      <c r="J575" s="1"/>
      <c r="K575" s="1"/>
      <c r="L575" s="12">
        <f t="shared" ref="L575:L595" si="118">IF(C574="",L572*(1+C575),L574*(1+C575))</f>
        <v>16984.15705</v>
      </c>
      <c r="M575" s="12"/>
      <c r="N575" s="15"/>
      <c r="O575" s="1"/>
      <c r="Q575" s="12"/>
      <c r="R575" s="1"/>
    </row>
    <row r="576" ht="12.75" hidden="1" customHeight="1" outlineLevel="1">
      <c r="A576" s="17">
        <v>41793.0</v>
      </c>
      <c r="B576" s="12">
        <v>587000.0</v>
      </c>
      <c r="C576" s="19">
        <f t="shared" si="117"/>
        <v>0.008591065292</v>
      </c>
      <c r="D576" s="19">
        <f t="shared" si="116"/>
        <v>0.02718795014</v>
      </c>
      <c r="E576" s="12"/>
      <c r="F576" s="7"/>
      <c r="G576" s="7"/>
      <c r="H576" s="1"/>
      <c r="I576" s="1"/>
      <c r="J576" s="1"/>
      <c r="K576" s="1"/>
      <c r="L576" s="12">
        <f t="shared" si="118"/>
        <v>17130.06905</v>
      </c>
      <c r="M576" s="12"/>
      <c r="N576" s="15"/>
      <c r="O576" s="1"/>
      <c r="Q576" s="12"/>
      <c r="R576" s="1"/>
    </row>
    <row r="577" ht="12.75" hidden="1" customHeight="1" outlineLevel="1">
      <c r="A577" s="17">
        <v>41794.0</v>
      </c>
      <c r="B577" s="12">
        <v>598000.0</v>
      </c>
      <c r="C577" s="19">
        <f t="shared" si="117"/>
        <v>0.01873935264</v>
      </c>
      <c r="D577" s="19">
        <f t="shared" si="116"/>
        <v>0.04643678737</v>
      </c>
      <c r="E577" s="12"/>
      <c r="F577" s="7"/>
      <c r="G577" s="7"/>
      <c r="H577" s="1"/>
      <c r="I577" s="1"/>
      <c r="J577" s="1"/>
      <c r="K577" s="1"/>
      <c r="L577" s="12">
        <f t="shared" si="118"/>
        <v>17451.07546</v>
      </c>
      <c r="M577" s="12"/>
      <c r="N577" s="15"/>
      <c r="O577" s="1"/>
      <c r="Q577" s="12"/>
      <c r="R577" s="1"/>
    </row>
    <row r="578" ht="12.75" hidden="1" customHeight="1" outlineLevel="1">
      <c r="A578" s="17">
        <v>41795.0</v>
      </c>
      <c r="B578" s="12">
        <v>593426.42</v>
      </c>
      <c r="C578" s="19">
        <f t="shared" si="117"/>
        <v>-0.00764812709</v>
      </c>
      <c r="D578" s="19">
        <f t="shared" si="116"/>
        <v>0.03843350583</v>
      </c>
      <c r="E578" s="12"/>
      <c r="F578" s="7"/>
      <c r="G578" s="7"/>
      <c r="H578" s="1"/>
      <c r="I578" s="1"/>
      <c r="J578" s="1"/>
      <c r="K578" s="1"/>
      <c r="L578" s="12">
        <f t="shared" si="118"/>
        <v>17317.60741</v>
      </c>
      <c r="M578" s="12"/>
      <c r="N578" s="15"/>
      <c r="O578" s="1"/>
      <c r="Q578" s="12"/>
      <c r="R578" s="1"/>
    </row>
    <row r="579" ht="12.75" hidden="1" customHeight="1" outlineLevel="1">
      <c r="A579" s="17">
        <v>41796.0</v>
      </c>
      <c r="B579" s="12">
        <v>589562.53</v>
      </c>
      <c r="C579" s="19">
        <f t="shared" si="117"/>
        <v>-0.006511152638</v>
      </c>
      <c r="D579" s="19">
        <f t="shared" si="116"/>
        <v>0.03167210677</v>
      </c>
      <c r="E579" s="12"/>
      <c r="F579" s="7"/>
      <c r="G579" s="7"/>
      <c r="H579" s="1"/>
      <c r="I579" s="1"/>
      <c r="J579" s="1"/>
      <c r="K579" s="1"/>
      <c r="L579" s="12">
        <f t="shared" si="118"/>
        <v>17204.84983</v>
      </c>
      <c r="M579" s="12"/>
      <c r="N579" s="15"/>
      <c r="O579" s="1"/>
      <c r="Q579" s="12"/>
      <c r="R579" s="1"/>
    </row>
    <row r="580" ht="12.75" hidden="1" customHeight="1" outlineLevel="1">
      <c r="A580" s="17">
        <v>41799.0</v>
      </c>
      <c r="B580" s="12">
        <v>580854.7</v>
      </c>
      <c r="C580" s="19">
        <f t="shared" si="117"/>
        <v>-0.01476998547</v>
      </c>
      <c r="D580" s="19">
        <f t="shared" si="116"/>
        <v>0.01643432474</v>
      </c>
      <c r="E580" s="12"/>
      <c r="F580" s="7"/>
      <c r="G580" s="7"/>
      <c r="H580" s="1"/>
      <c r="I580" s="1"/>
      <c r="J580" s="1"/>
      <c r="K580" s="1"/>
      <c r="L580" s="12">
        <f t="shared" si="118"/>
        <v>16950.73445</v>
      </c>
      <c r="M580" s="12"/>
      <c r="N580" s="15"/>
      <c r="O580" s="1"/>
      <c r="Q580" s="12"/>
      <c r="R580" s="1"/>
    </row>
    <row r="581" ht="12.75" hidden="1" customHeight="1" outlineLevel="1">
      <c r="A581" s="17">
        <v>41800.0</v>
      </c>
      <c r="B581" s="12">
        <v>574196.19</v>
      </c>
      <c r="C581" s="19">
        <f t="shared" si="117"/>
        <v>-0.0114632971</v>
      </c>
      <c r="D581" s="19">
        <f t="shared" si="116"/>
        <v>0.004782636093</v>
      </c>
      <c r="E581" s="12"/>
      <c r="F581" s="7"/>
      <c r="G581" s="7"/>
      <c r="H581" s="1"/>
      <c r="I581" s="1"/>
      <c r="J581" s="1"/>
      <c r="K581" s="1"/>
      <c r="L581" s="12">
        <f t="shared" si="118"/>
        <v>16756.42314</v>
      </c>
      <c r="M581" s="12"/>
      <c r="N581" s="15"/>
      <c r="O581" s="1"/>
      <c r="Q581" s="12"/>
      <c r="R581" s="1"/>
    </row>
    <row r="582" ht="12.75" hidden="1" customHeight="1" outlineLevel="1">
      <c r="A582" s="17">
        <v>41801.0</v>
      </c>
      <c r="B582" s="12">
        <v>566021.36</v>
      </c>
      <c r="C582" s="19">
        <f t="shared" si="117"/>
        <v>-0.01423699798</v>
      </c>
      <c r="D582" s="19">
        <f t="shared" si="116"/>
        <v>-0.009522452272</v>
      </c>
      <c r="E582" s="12"/>
      <c r="F582" s="7"/>
      <c r="G582" s="7"/>
      <c r="H582" s="1"/>
      <c r="I582" s="1"/>
      <c r="J582" s="1"/>
      <c r="K582" s="1"/>
      <c r="L582" s="12">
        <f t="shared" si="118"/>
        <v>16517.86198</v>
      </c>
      <c r="M582" s="12"/>
      <c r="N582" s="15"/>
      <c r="O582" s="1"/>
      <c r="Q582" s="12"/>
      <c r="R582" s="1"/>
    </row>
    <row r="583" ht="12.75" hidden="1" customHeight="1" outlineLevel="1">
      <c r="A583" s="17">
        <v>41802.0</v>
      </c>
      <c r="B583" s="12">
        <v>566732.34</v>
      </c>
      <c r="C583" s="19">
        <f t="shared" si="117"/>
        <v>0.001256101007</v>
      </c>
      <c r="D583" s="19">
        <f t="shared" si="116"/>
        <v>-0.008278312428</v>
      </c>
      <c r="E583" s="12"/>
      <c r="F583" s="7"/>
      <c r="G583" s="7"/>
      <c r="H583" s="1"/>
      <c r="I583" s="1"/>
      <c r="J583" s="1"/>
      <c r="K583" s="1"/>
      <c r="L583" s="12">
        <f t="shared" si="118"/>
        <v>16538.61008</v>
      </c>
      <c r="M583" s="12"/>
      <c r="N583" s="15"/>
      <c r="O583" s="1"/>
      <c r="Q583" s="12"/>
      <c r="R583" s="1"/>
    </row>
    <row r="584" ht="12.75" hidden="1" customHeight="1" outlineLevel="1">
      <c r="A584" s="17">
        <v>41803.0</v>
      </c>
      <c r="B584" s="12">
        <v>554264.59</v>
      </c>
      <c r="C584" s="19">
        <f t="shared" si="117"/>
        <v>-0.02199936217</v>
      </c>
      <c r="D584" s="19">
        <f t="shared" si="116"/>
        <v>-0.030095557</v>
      </c>
      <c r="E584" s="12"/>
      <c r="F584" s="7"/>
      <c r="G584" s="7"/>
      <c r="H584" s="1"/>
      <c r="I584" s="1"/>
      <c r="J584" s="1"/>
      <c r="K584" s="1"/>
      <c r="L584" s="12">
        <f t="shared" si="118"/>
        <v>16174.77121</v>
      </c>
      <c r="M584" s="12"/>
      <c r="N584" s="15"/>
      <c r="O584" s="1"/>
      <c r="Q584" s="12"/>
      <c r="R584" s="1"/>
    </row>
    <row r="585" ht="12.75" hidden="1" customHeight="1" outlineLevel="1">
      <c r="A585" s="17">
        <v>41806.0</v>
      </c>
      <c r="B585" s="12">
        <v>553700.0</v>
      </c>
      <c r="C585" s="19">
        <f t="shared" si="117"/>
        <v>-0.001018629027</v>
      </c>
      <c r="D585" s="19">
        <f t="shared" si="116"/>
        <v>-0.03108352982</v>
      </c>
      <c r="E585" s="12"/>
      <c r="F585" s="7"/>
      <c r="G585" s="7"/>
      <c r="H585" s="1"/>
      <c r="I585" s="1"/>
      <c r="J585" s="1"/>
      <c r="K585" s="1"/>
      <c r="L585" s="12">
        <f t="shared" si="118"/>
        <v>16158.29512</v>
      </c>
      <c r="M585" s="12"/>
      <c r="N585" s="15"/>
      <c r="O585" s="1"/>
      <c r="Q585" s="12"/>
      <c r="R585" s="1"/>
    </row>
    <row r="586" ht="12.75" hidden="1" customHeight="1" outlineLevel="1">
      <c r="A586" s="17">
        <v>41807.0</v>
      </c>
      <c r="B586" s="12">
        <v>556766.52</v>
      </c>
      <c r="C586" s="19">
        <f t="shared" si="117"/>
        <v>0.005538233701</v>
      </c>
      <c r="D586" s="19">
        <f t="shared" si="116"/>
        <v>-0.02571744397</v>
      </c>
      <c r="E586" s="12"/>
      <c r="F586" s="7"/>
      <c r="G586" s="7"/>
      <c r="H586" s="1"/>
      <c r="I586" s="1"/>
      <c r="J586" s="1"/>
      <c r="K586" s="1"/>
      <c r="L586" s="12">
        <f t="shared" si="118"/>
        <v>16247.78353</v>
      </c>
      <c r="M586" s="12"/>
      <c r="N586" s="15"/>
      <c r="O586" s="1"/>
      <c r="Q586" s="12"/>
      <c r="R586" s="1"/>
    </row>
    <row r="587" ht="12.75" hidden="1" customHeight="1" outlineLevel="1">
      <c r="A587" s="17">
        <v>41808.0</v>
      </c>
      <c r="B587" s="12">
        <v>545199.48</v>
      </c>
      <c r="C587" s="19">
        <f t="shared" si="117"/>
        <v>-0.02077538714</v>
      </c>
      <c r="D587" s="19">
        <f t="shared" si="116"/>
        <v>-0.04595854126</v>
      </c>
      <c r="E587" s="12"/>
      <c r="F587" s="7"/>
      <c r="G587" s="7"/>
      <c r="H587" s="1"/>
      <c r="I587" s="1"/>
      <c r="J587" s="1" t="s">
        <v>622</v>
      </c>
      <c r="K587" s="1"/>
      <c r="L587" s="12">
        <f t="shared" si="118"/>
        <v>15910.22954</v>
      </c>
      <c r="M587" s="12"/>
      <c r="N587" s="15"/>
      <c r="O587" s="1"/>
      <c r="Q587" s="12"/>
      <c r="R587" s="1"/>
    </row>
    <row r="588" ht="12.75" hidden="1" customHeight="1" outlineLevel="1">
      <c r="A588" s="17">
        <v>41809.0</v>
      </c>
      <c r="B588" s="12">
        <v>539155.71</v>
      </c>
      <c r="C588" s="19">
        <f t="shared" si="117"/>
        <v>-0.01108542877</v>
      </c>
      <c r="D588" s="19">
        <f t="shared" si="116"/>
        <v>-0.05653449989</v>
      </c>
      <c r="E588" s="12"/>
      <c r="F588" s="7"/>
      <c r="G588" s="7"/>
      <c r="H588" s="1"/>
      <c r="I588" s="1"/>
      <c r="J588" s="1"/>
      <c r="K588" s="1"/>
      <c r="L588" s="12">
        <f t="shared" si="118"/>
        <v>15733.85782</v>
      </c>
      <c r="M588" s="12"/>
      <c r="N588" s="15"/>
      <c r="O588" s="1"/>
      <c r="Q588" s="12"/>
      <c r="R588" s="1"/>
    </row>
    <row r="589" ht="12.75" hidden="1" customHeight="1" outlineLevel="1">
      <c r="A589" s="17">
        <v>41810.0</v>
      </c>
      <c r="B589" s="12">
        <v>542064.52</v>
      </c>
      <c r="C589" s="19">
        <f t="shared" si="117"/>
        <v>0.005395120456</v>
      </c>
      <c r="D589" s="19">
        <f t="shared" si="116"/>
        <v>-0.05144438987</v>
      </c>
      <c r="E589" s="12"/>
      <c r="F589" s="7"/>
      <c r="G589" s="7"/>
      <c r="H589" s="1"/>
      <c r="I589" s="1"/>
      <c r="J589" s="1"/>
      <c r="K589" s="1"/>
      <c r="L589" s="12">
        <f t="shared" si="118"/>
        <v>15818.74388</v>
      </c>
      <c r="M589" s="12"/>
      <c r="N589" s="15"/>
      <c r="O589" s="1"/>
      <c r="Q589" s="12"/>
      <c r="R589" s="1"/>
    </row>
    <row r="590" ht="12.75" hidden="1" customHeight="1" outlineLevel="1">
      <c r="A590" s="17">
        <v>41813.0</v>
      </c>
      <c r="B590" s="12">
        <v>538619.97</v>
      </c>
      <c r="C590" s="19">
        <f t="shared" si="117"/>
        <v>-0.006354501859</v>
      </c>
      <c r="D590" s="19">
        <f t="shared" si="116"/>
        <v>-0.05747198826</v>
      </c>
      <c r="E590" s="12"/>
      <c r="F590" s="7"/>
      <c r="G590" s="7"/>
      <c r="H590" s="1"/>
      <c r="I590" s="1"/>
      <c r="J590" s="1"/>
      <c r="K590" s="1"/>
      <c r="L590" s="12">
        <f t="shared" si="118"/>
        <v>15718.22364</v>
      </c>
      <c r="M590" s="12"/>
      <c r="N590" s="15"/>
      <c r="O590" s="1"/>
      <c r="Q590" s="12"/>
      <c r="R590" s="1"/>
    </row>
    <row r="591" ht="12.75" hidden="1" customHeight="1" outlineLevel="1">
      <c r="A591" s="17">
        <v>41814.0</v>
      </c>
      <c r="B591" s="12">
        <v>535017.17</v>
      </c>
      <c r="C591" s="19">
        <f t="shared" si="117"/>
        <v>-0.006688946197</v>
      </c>
      <c r="D591" s="19">
        <f t="shared" si="116"/>
        <v>-0.06377650742</v>
      </c>
      <c r="E591" s="12"/>
      <c r="F591" s="7"/>
      <c r="G591" s="7"/>
      <c r="H591" s="1"/>
      <c r="I591" s="1"/>
      <c r="J591" s="1"/>
      <c r="K591" s="1"/>
      <c r="L591" s="12">
        <f t="shared" si="118"/>
        <v>15613.08529</v>
      </c>
      <c r="M591" s="12"/>
      <c r="N591" s="15"/>
      <c r="O591" s="1"/>
      <c r="Q591" s="12"/>
      <c r="R591" s="1"/>
    </row>
    <row r="592" ht="12.75" hidden="1" customHeight="1" outlineLevel="1">
      <c r="A592" s="17">
        <v>41815.0</v>
      </c>
      <c r="B592" s="12">
        <v>536125.1</v>
      </c>
      <c r="C592" s="19">
        <f t="shared" si="117"/>
        <v>0.002070830736</v>
      </c>
      <c r="D592" s="19">
        <f t="shared" si="116"/>
        <v>-0.06183774704</v>
      </c>
      <c r="E592" s="12"/>
      <c r="F592" s="7"/>
      <c r="G592" s="7"/>
      <c r="H592" s="1"/>
      <c r="I592" s="1"/>
      <c r="J592" s="1"/>
      <c r="K592" s="1"/>
      <c r="L592" s="12">
        <f t="shared" si="118"/>
        <v>15645.41735</v>
      </c>
      <c r="M592" s="12"/>
      <c r="N592" s="15"/>
      <c r="O592" s="1"/>
      <c r="Q592" s="12"/>
      <c r="R592" s="1"/>
    </row>
    <row r="593" ht="12.75" hidden="1" customHeight="1" outlineLevel="1">
      <c r="A593" s="17">
        <v>41816.0</v>
      </c>
      <c r="B593" s="12">
        <v>526027.45</v>
      </c>
      <c r="C593" s="19">
        <f t="shared" si="117"/>
        <v>-0.01883450336</v>
      </c>
      <c r="D593" s="19">
        <f t="shared" si="116"/>
        <v>-0.07950756715</v>
      </c>
      <c r="E593" s="12"/>
      <c r="F593" s="7"/>
      <c r="G593" s="7"/>
      <c r="H593" s="1"/>
      <c r="I593" s="1"/>
      <c r="J593" s="1"/>
      <c r="K593" s="1"/>
      <c r="L593" s="12">
        <f t="shared" si="118"/>
        <v>15350.74368</v>
      </c>
      <c r="M593" s="12"/>
      <c r="N593" s="15"/>
      <c r="O593" s="1"/>
      <c r="Q593" s="12"/>
      <c r="R593" s="1"/>
    </row>
    <row r="594" ht="12.75" hidden="1" customHeight="1" outlineLevel="1">
      <c r="A594" s="17">
        <v>41817.0</v>
      </c>
      <c r="B594" s="12">
        <v>529916.09</v>
      </c>
      <c r="C594" s="19">
        <f t="shared" si="117"/>
        <v>0.007392465925</v>
      </c>
      <c r="D594" s="19">
        <f t="shared" si="116"/>
        <v>-0.0727028582</v>
      </c>
      <c r="E594" s="12"/>
      <c r="F594" s="7"/>
      <c r="G594" s="7"/>
      <c r="H594" s="1"/>
      <c r="I594" s="1"/>
      <c r="J594" s="1"/>
      <c r="K594" s="1" t="s">
        <v>367</v>
      </c>
      <c r="L594" s="12">
        <f t="shared" si="118"/>
        <v>15464.22353</v>
      </c>
      <c r="M594" s="12"/>
      <c r="N594" s="15"/>
      <c r="O594" s="1"/>
      <c r="Q594" s="12"/>
      <c r="R594" s="1"/>
    </row>
    <row r="595" ht="12.75" hidden="1" customHeight="1" outlineLevel="1">
      <c r="A595" s="17">
        <v>41820.0</v>
      </c>
      <c r="B595" s="12">
        <v>530661.23</v>
      </c>
      <c r="C595" s="19">
        <f t="shared" si="117"/>
        <v>0.001406147151</v>
      </c>
      <c r="D595" s="19">
        <f t="shared" si="116"/>
        <v>-0.07139894197</v>
      </c>
      <c r="E595" s="12"/>
      <c r="F595" s="7"/>
      <c r="G595" s="7"/>
      <c r="H595" s="1"/>
      <c r="I595" s="1"/>
      <c r="J595" s="1"/>
      <c r="K595" s="19">
        <f>3576.55/3480.29-1</f>
        <v>0.02765861466</v>
      </c>
      <c r="L595" s="12">
        <f t="shared" si="118"/>
        <v>15485.96851</v>
      </c>
      <c r="M595" s="12"/>
      <c r="N595" s="15"/>
      <c r="O595" s="1"/>
      <c r="Q595" s="12"/>
      <c r="R595" s="1"/>
    </row>
    <row r="596" ht="12.75" hidden="1" customHeight="1" outlineLevel="1">
      <c r="A596" s="17"/>
      <c r="B596" s="12"/>
      <c r="C596" s="19"/>
      <c r="D596" s="19"/>
      <c r="E596" s="12"/>
      <c r="F596" s="7"/>
      <c r="G596" s="7"/>
      <c r="H596" s="1"/>
      <c r="I596" s="1"/>
      <c r="J596" s="1"/>
      <c r="K596" s="1"/>
      <c r="L596" s="12"/>
      <c r="M596" s="12"/>
      <c r="N596" s="15"/>
      <c r="O596" s="1"/>
      <c r="Q596" s="12"/>
      <c r="R596" s="1"/>
    </row>
    <row r="597" ht="12.75" hidden="1" customHeight="1" outlineLevel="1">
      <c r="A597" s="17"/>
      <c r="B597" s="12">
        <f>B595+20000</f>
        <v>550661.23</v>
      </c>
      <c r="C597" s="19"/>
      <c r="D597" s="19">
        <f t="shared" ref="D597:D620" si="119">(B597/$B$597)-1</f>
        <v>0</v>
      </c>
      <c r="E597" s="12"/>
      <c r="F597" s="7"/>
      <c r="G597" s="7"/>
      <c r="H597" s="1"/>
      <c r="I597" s="1"/>
      <c r="J597" s="1"/>
      <c r="K597" s="1"/>
      <c r="L597" s="12"/>
      <c r="M597" s="12"/>
      <c r="N597" s="15"/>
      <c r="O597" s="1"/>
      <c r="P597" s="82">
        <v>20000.0</v>
      </c>
      <c r="Q597" s="12"/>
      <c r="R597" s="1"/>
    </row>
    <row r="598" ht="12.75" hidden="1" customHeight="1" outlineLevel="1">
      <c r="A598" s="17">
        <v>41821.0</v>
      </c>
      <c r="B598" s="12">
        <f>529700.7+20000</f>
        <v>549700.7</v>
      </c>
      <c r="C598" s="19">
        <f t="shared" ref="C598:C620" si="120">(B598/B597)-1</f>
        <v>-0.001744321096</v>
      </c>
      <c r="D598" s="19">
        <f t="shared" si="119"/>
        <v>-0.001744321096</v>
      </c>
      <c r="E598" s="12"/>
      <c r="F598" s="7"/>
      <c r="G598" s="7"/>
      <c r="H598" s="1"/>
      <c r="I598" s="1"/>
      <c r="J598" s="1"/>
      <c r="K598" s="1"/>
      <c r="L598" s="12">
        <f t="shared" ref="L598:L620" si="121">IF(C597="",L595*(1+C598),L597*(1+C598))</f>
        <v>15458.95601</v>
      </c>
      <c r="M598" s="12"/>
      <c r="N598" s="15"/>
      <c r="O598" s="1"/>
      <c r="Q598" s="12"/>
      <c r="R598" s="1"/>
    </row>
    <row r="599" ht="12.75" hidden="1" customHeight="1" outlineLevel="1">
      <c r="A599" s="17">
        <v>41822.0</v>
      </c>
      <c r="B599" s="12">
        <f>520285.25+20000</f>
        <v>540285.25</v>
      </c>
      <c r="C599" s="19">
        <f t="shared" si="120"/>
        <v>-0.01712832092</v>
      </c>
      <c r="D599" s="19">
        <f t="shared" si="119"/>
        <v>-0.01884276472</v>
      </c>
      <c r="E599" s="12"/>
      <c r="F599" s="7"/>
      <c r="G599" s="7"/>
      <c r="H599" s="1"/>
      <c r="I599" s="1"/>
      <c r="J599" s="1"/>
      <c r="K599" s="1"/>
      <c r="L599" s="12">
        <f t="shared" si="121"/>
        <v>15194.17005</v>
      </c>
      <c r="M599" s="12"/>
      <c r="N599" s="15"/>
      <c r="O599" s="1"/>
      <c r="Q599" s="12"/>
      <c r="R599" s="1"/>
    </row>
    <row r="600" ht="12.75" hidden="1" customHeight="1" outlineLevel="1">
      <c r="A600" s="17">
        <v>41823.0</v>
      </c>
      <c r="B600" s="12">
        <f>520591.82+20000</f>
        <v>540591.82</v>
      </c>
      <c r="C600" s="19">
        <f t="shared" si="120"/>
        <v>0.0005674224865</v>
      </c>
      <c r="D600" s="19">
        <f t="shared" si="119"/>
        <v>-0.01828603405</v>
      </c>
      <c r="E600" s="12"/>
      <c r="F600" s="7"/>
      <c r="G600" s="7"/>
      <c r="H600" s="1"/>
      <c r="I600" s="1"/>
      <c r="J600" s="1"/>
      <c r="K600" s="1"/>
      <c r="L600" s="12">
        <f t="shared" si="121"/>
        <v>15202.79156</v>
      </c>
      <c r="M600" s="12"/>
      <c r="N600" s="15"/>
      <c r="O600" s="1"/>
      <c r="Q600" s="12"/>
      <c r="R600" s="1"/>
    </row>
    <row r="601" ht="12.75" hidden="1" customHeight="1" outlineLevel="1">
      <c r="A601" s="17">
        <v>41824.0</v>
      </c>
      <c r="B601" s="12">
        <v>540591.8200000001</v>
      </c>
      <c r="C601" s="19">
        <f t="shared" si="120"/>
        <v>0</v>
      </c>
      <c r="D601" s="19">
        <f t="shared" si="119"/>
        <v>-0.01828603405</v>
      </c>
      <c r="E601" s="12"/>
      <c r="F601" s="7"/>
      <c r="G601" s="7"/>
      <c r="H601" s="1"/>
      <c r="I601" s="1"/>
      <c r="J601" s="1"/>
      <c r="K601" s="1"/>
      <c r="L601" s="12">
        <f t="shared" si="121"/>
        <v>15202.79156</v>
      </c>
      <c r="M601" s="12"/>
      <c r="N601" s="15"/>
      <c r="O601" s="1"/>
      <c r="Q601" s="12"/>
      <c r="R601" s="1"/>
    </row>
    <row r="602" ht="12.75" hidden="1" customHeight="1" outlineLevel="1">
      <c r="A602" s="17">
        <v>41827.0</v>
      </c>
      <c r="B602" s="12">
        <v>540294.69</v>
      </c>
      <c r="C602" s="19">
        <f t="shared" si="120"/>
        <v>-0.0005496383575</v>
      </c>
      <c r="D602" s="19">
        <f t="shared" si="119"/>
        <v>-0.0188256217</v>
      </c>
      <c r="E602" s="12"/>
      <c r="F602" s="7"/>
      <c r="G602" s="7"/>
      <c r="H602" s="1"/>
      <c r="I602" s="1"/>
      <c r="J602" s="1"/>
      <c r="K602" s="1"/>
      <c r="L602" s="12">
        <f t="shared" si="121"/>
        <v>15194.43552</v>
      </c>
      <c r="M602" s="12"/>
      <c r="N602" s="15"/>
      <c r="O602" s="1"/>
      <c r="Q602" s="12"/>
      <c r="R602" s="1"/>
    </row>
    <row r="603" ht="12.75" hidden="1" customHeight="1" outlineLevel="1">
      <c r="A603" s="17">
        <v>41828.0</v>
      </c>
      <c r="B603" s="12">
        <v>538489.26</v>
      </c>
      <c r="C603" s="19">
        <f t="shared" si="120"/>
        <v>-0.003341565322</v>
      </c>
      <c r="D603" s="19">
        <f t="shared" si="119"/>
        <v>-0.02210427998</v>
      </c>
      <c r="E603" s="12"/>
      <c r="F603" s="7"/>
      <c r="G603" s="7"/>
      <c r="H603" s="1"/>
      <c r="I603" s="1"/>
      <c r="J603" s="1"/>
      <c r="K603" s="1"/>
      <c r="L603" s="12">
        <f t="shared" si="121"/>
        <v>15143.66232</v>
      </c>
      <c r="M603" s="12"/>
      <c r="N603" s="15"/>
      <c r="O603" s="1"/>
      <c r="Q603" s="12"/>
      <c r="R603" s="1"/>
    </row>
    <row r="604" ht="12.75" hidden="1" customHeight="1" outlineLevel="1">
      <c r="A604" s="17">
        <v>41829.0</v>
      </c>
      <c r="B604" s="12">
        <v>541278.42</v>
      </c>
      <c r="C604" s="19">
        <f t="shared" si="120"/>
        <v>0.005179601911</v>
      </c>
      <c r="D604" s="19">
        <f t="shared" si="119"/>
        <v>-0.01703916944</v>
      </c>
      <c r="E604" s="12"/>
      <c r="F604" s="7"/>
      <c r="G604" s="7"/>
      <c r="H604" s="1"/>
      <c r="I604" s="1"/>
      <c r="J604" s="1"/>
      <c r="K604" s="1"/>
      <c r="L604" s="12">
        <f t="shared" si="121"/>
        <v>15222.10047</v>
      </c>
      <c r="M604" s="12"/>
      <c r="N604" s="15"/>
      <c r="O604" s="1"/>
      <c r="Q604" s="12"/>
      <c r="R604" s="1"/>
    </row>
    <row r="605" ht="12.75" hidden="1" customHeight="1" outlineLevel="1">
      <c r="A605" s="17">
        <v>41830.0</v>
      </c>
      <c r="B605" s="12">
        <v>537350.53</v>
      </c>
      <c r="C605" s="19">
        <f t="shared" si="120"/>
        <v>-0.007256690559</v>
      </c>
      <c r="D605" s="19">
        <f t="shared" si="119"/>
        <v>-0.02417221201</v>
      </c>
      <c r="E605" s="12"/>
      <c r="F605" s="7"/>
      <c r="G605" s="7"/>
      <c r="H605" s="1"/>
      <c r="I605" s="1"/>
      <c r="J605" s="1"/>
      <c r="K605" s="1"/>
      <c r="L605" s="12">
        <f t="shared" si="121"/>
        <v>15111.63839</v>
      </c>
      <c r="M605" s="12"/>
      <c r="N605" s="15"/>
      <c r="O605" s="1"/>
      <c r="Q605" s="12"/>
      <c r="R605" s="1"/>
    </row>
    <row r="606" ht="12.75" hidden="1" customHeight="1" outlineLevel="1">
      <c r="A606" s="17">
        <v>41831.0</v>
      </c>
      <c r="B606" s="12">
        <v>534424.3</v>
      </c>
      <c r="C606" s="19">
        <f t="shared" si="120"/>
        <v>-0.005445663187</v>
      </c>
      <c r="D606" s="19">
        <f t="shared" si="119"/>
        <v>-0.02948624148</v>
      </c>
      <c r="E606" s="12"/>
      <c r="F606" s="7"/>
      <c r="G606" s="7"/>
      <c r="H606" s="1"/>
      <c r="I606" s="1"/>
      <c r="J606" s="1"/>
      <c r="K606" s="1"/>
      <c r="L606" s="12">
        <f t="shared" si="121"/>
        <v>15029.3455</v>
      </c>
      <c r="M606" s="12"/>
      <c r="N606" s="15"/>
      <c r="O606" s="1"/>
      <c r="Q606" s="12"/>
      <c r="R606" s="1"/>
    </row>
    <row r="607" ht="12.75" hidden="1" customHeight="1" outlineLevel="1">
      <c r="A607" s="17">
        <v>41834.0</v>
      </c>
      <c r="B607" s="12">
        <v>534731.36</v>
      </c>
      <c r="C607" s="19">
        <f t="shared" si="120"/>
        <v>0.0005745621971</v>
      </c>
      <c r="D607" s="19">
        <f t="shared" si="119"/>
        <v>-0.02892862096</v>
      </c>
      <c r="E607" s="12"/>
      <c r="F607" s="7"/>
      <c r="G607" s="7"/>
      <c r="H607" s="1"/>
      <c r="I607" s="1"/>
      <c r="J607" s="1"/>
      <c r="K607" s="1"/>
      <c r="L607" s="12">
        <f t="shared" si="121"/>
        <v>15037.98079</v>
      </c>
      <c r="M607" s="12"/>
      <c r="N607" s="15"/>
      <c r="O607" s="1"/>
      <c r="Q607" s="12"/>
      <c r="R607" s="1"/>
    </row>
    <row r="608" ht="12.75" hidden="1" customHeight="1" outlineLevel="1">
      <c r="A608" s="17">
        <v>41835.0</v>
      </c>
      <c r="B608" s="12">
        <v>534505.13</v>
      </c>
      <c r="C608" s="19">
        <f t="shared" si="120"/>
        <v>-0.0004230722507</v>
      </c>
      <c r="D608" s="19">
        <f t="shared" si="119"/>
        <v>-0.02933945431</v>
      </c>
      <c r="E608" s="12"/>
      <c r="F608" s="7"/>
      <c r="G608" s="7"/>
      <c r="H608" s="1"/>
      <c r="I608" s="1"/>
      <c r="J608" s="1"/>
      <c r="K608" s="1"/>
      <c r="L608" s="12">
        <f t="shared" si="121"/>
        <v>15031.61864</v>
      </c>
      <c r="M608" s="12"/>
      <c r="N608" s="15"/>
      <c r="O608" s="1"/>
      <c r="Q608" s="12"/>
      <c r="R608" s="1"/>
    </row>
    <row r="609" ht="12.75" hidden="1" customHeight="1" outlineLevel="1">
      <c r="A609" s="17">
        <v>41836.0</v>
      </c>
      <c r="B609" s="12">
        <v>530000.0</v>
      </c>
      <c r="C609" s="19">
        <f t="shared" si="120"/>
        <v>-0.008428600115</v>
      </c>
      <c r="D609" s="19">
        <f t="shared" si="119"/>
        <v>-0.0375207639</v>
      </c>
      <c r="E609" s="12"/>
      <c r="F609" s="7"/>
      <c r="G609" s="7"/>
      <c r="H609" s="1"/>
      <c r="I609" s="1"/>
      <c r="J609" s="1"/>
      <c r="K609" s="1"/>
      <c r="L609" s="12">
        <f t="shared" si="121"/>
        <v>14904.92314</v>
      </c>
      <c r="M609" s="12"/>
      <c r="N609" s="15"/>
      <c r="O609" s="1"/>
      <c r="Q609" s="12"/>
      <c r="R609" s="1"/>
    </row>
    <row r="610" ht="12.75" hidden="1" customHeight="1" outlineLevel="1">
      <c r="A610" s="17">
        <v>41837.0</v>
      </c>
      <c r="B610" s="12">
        <v>529362.2</v>
      </c>
      <c r="C610" s="19">
        <f t="shared" si="120"/>
        <v>-0.001203396226</v>
      </c>
      <c r="D610" s="19">
        <f t="shared" si="119"/>
        <v>-0.03867900778</v>
      </c>
      <c r="E610" s="12"/>
      <c r="F610" s="7"/>
      <c r="G610" s="7"/>
      <c r="H610" s="1"/>
      <c r="I610" s="1"/>
      <c r="J610" s="1"/>
      <c r="K610" s="1"/>
      <c r="L610" s="12">
        <f t="shared" si="121"/>
        <v>14886.98661</v>
      </c>
      <c r="M610" s="12"/>
      <c r="N610" s="15"/>
      <c r="O610" s="1"/>
      <c r="Q610" s="12"/>
      <c r="R610" s="1"/>
    </row>
    <row r="611" ht="12.75" hidden="1" customHeight="1" outlineLevel="1">
      <c r="A611" s="17">
        <v>41838.0</v>
      </c>
      <c r="B611" s="12">
        <v>531441.55</v>
      </c>
      <c r="C611" s="19">
        <f t="shared" si="120"/>
        <v>0.003928028862</v>
      </c>
      <c r="D611" s="19">
        <f t="shared" si="119"/>
        <v>-0.03490291118</v>
      </c>
      <c r="E611" s="12"/>
      <c r="F611" s="7"/>
      <c r="G611" s="7"/>
      <c r="H611" s="1"/>
      <c r="I611" s="1"/>
      <c r="J611" s="1"/>
      <c r="K611" s="1"/>
      <c r="L611" s="12">
        <f t="shared" si="121"/>
        <v>14945.46312</v>
      </c>
      <c r="M611" s="12"/>
      <c r="N611" s="15"/>
      <c r="O611" s="1"/>
      <c r="Q611" s="12"/>
      <c r="R611" s="1"/>
    </row>
    <row r="612" ht="12.75" hidden="1" customHeight="1" outlineLevel="1">
      <c r="A612" s="17">
        <v>41841.0</v>
      </c>
      <c r="B612" s="12">
        <v>532017.33</v>
      </c>
      <c r="C612" s="19">
        <f t="shared" si="120"/>
        <v>0.00108343053</v>
      </c>
      <c r="D612" s="19">
        <f t="shared" si="119"/>
        <v>-0.03385729553</v>
      </c>
      <c r="E612" s="12"/>
      <c r="F612" s="7"/>
      <c r="G612" s="7"/>
      <c r="H612" s="1"/>
      <c r="I612" s="1"/>
      <c r="J612" s="1"/>
      <c r="K612" s="1"/>
      <c r="L612" s="12">
        <f t="shared" si="121"/>
        <v>14961.65549</v>
      </c>
      <c r="M612" s="12"/>
      <c r="N612" s="15"/>
      <c r="O612" s="1"/>
      <c r="Q612" s="12"/>
      <c r="R612" s="1"/>
    </row>
    <row r="613" ht="12.75" hidden="1" customHeight="1" outlineLevel="1">
      <c r="A613" s="17">
        <v>41842.0</v>
      </c>
      <c r="B613" s="12">
        <v>530899.88</v>
      </c>
      <c r="C613" s="19">
        <f t="shared" si="120"/>
        <v>-0.002100401504</v>
      </c>
      <c r="D613" s="19">
        <f t="shared" si="119"/>
        <v>-0.03588658312</v>
      </c>
      <c r="E613" s="12"/>
      <c r="F613" s="7"/>
      <c r="G613" s="7"/>
      <c r="H613" s="1"/>
      <c r="I613" s="1"/>
      <c r="J613" s="1"/>
      <c r="K613" s="1"/>
      <c r="L613" s="12">
        <f t="shared" si="121"/>
        <v>14930.23001</v>
      </c>
      <c r="M613" s="12"/>
      <c r="N613" s="15"/>
      <c r="O613" s="1"/>
      <c r="Q613" s="12"/>
      <c r="R613" s="1"/>
    </row>
    <row r="614" ht="12.75" hidden="1" customHeight="1" outlineLevel="1">
      <c r="A614" s="17">
        <v>41843.0</v>
      </c>
      <c r="B614" s="12">
        <v>531486.45</v>
      </c>
      <c r="C614" s="19">
        <f t="shared" si="120"/>
        <v>0.001104859922</v>
      </c>
      <c r="D614" s="19">
        <f t="shared" si="119"/>
        <v>-0.03482137284</v>
      </c>
      <c r="E614" s="12"/>
      <c r="F614" s="7"/>
      <c r="G614" s="7"/>
      <c r="H614" s="1"/>
      <c r="I614" s="1"/>
      <c r="J614" s="1"/>
      <c r="K614" s="1"/>
      <c r="L614" s="12">
        <f t="shared" si="121"/>
        <v>14946.72582</v>
      </c>
      <c r="M614" s="12"/>
      <c r="N614" s="15"/>
      <c r="O614" s="1"/>
      <c r="Q614" s="12"/>
      <c r="R614" s="1"/>
    </row>
    <row r="615" ht="12.75" hidden="1" customHeight="1" outlineLevel="1">
      <c r="A615" s="17">
        <v>41844.0</v>
      </c>
      <c r="B615" s="12">
        <v>533988.7</v>
      </c>
      <c r="C615" s="19">
        <f t="shared" si="120"/>
        <v>0.004708022189</v>
      </c>
      <c r="D615" s="19">
        <f t="shared" si="119"/>
        <v>-0.03027729045</v>
      </c>
      <c r="E615" s="12"/>
      <c r="F615" s="7"/>
      <c r="G615" s="7"/>
      <c r="H615" s="1"/>
      <c r="I615" s="1"/>
      <c r="J615" s="1"/>
      <c r="K615" s="1"/>
      <c r="L615" s="12">
        <f t="shared" si="121"/>
        <v>15017.09534</v>
      </c>
      <c r="M615" s="12"/>
      <c r="N615" s="15"/>
      <c r="O615" s="1"/>
      <c r="Q615" s="12"/>
      <c r="R615" s="1"/>
    </row>
    <row r="616" ht="12.75" hidden="1" customHeight="1" outlineLevel="1">
      <c r="A616" s="17">
        <v>41845.0</v>
      </c>
      <c r="B616" s="12">
        <v>528491.77</v>
      </c>
      <c r="C616" s="19">
        <f t="shared" si="120"/>
        <v>-0.01029409424</v>
      </c>
      <c r="D616" s="19">
        <f t="shared" si="119"/>
        <v>-0.04025970741</v>
      </c>
      <c r="E616" s="12"/>
      <c r="F616" s="7"/>
      <c r="G616" s="7"/>
      <c r="H616" s="1"/>
      <c r="I616" s="1"/>
      <c r="J616" s="1"/>
      <c r="K616" s="1"/>
      <c r="L616" s="12">
        <f t="shared" si="121"/>
        <v>14862.50795</v>
      </c>
      <c r="M616" s="12"/>
      <c r="N616" s="15"/>
      <c r="O616" s="1"/>
      <c r="Q616" s="12"/>
      <c r="R616" s="1"/>
    </row>
    <row r="617" ht="12.75" hidden="1" customHeight="1" outlineLevel="1">
      <c r="A617" s="17">
        <v>41848.0</v>
      </c>
      <c r="B617" s="12">
        <v>523052.35</v>
      </c>
      <c r="C617" s="19">
        <f t="shared" si="120"/>
        <v>-0.01029234571</v>
      </c>
      <c r="D617" s="19">
        <f t="shared" si="119"/>
        <v>-0.05013768629</v>
      </c>
      <c r="E617" s="12"/>
      <c r="F617" s="7"/>
      <c r="G617" s="7"/>
      <c r="H617" s="1"/>
      <c r="I617" s="1"/>
      <c r="J617" s="1"/>
      <c r="K617" s="1"/>
      <c r="L617" s="12">
        <f t="shared" si="121"/>
        <v>14709.53788</v>
      </c>
      <c r="M617" s="12"/>
      <c r="N617" s="15"/>
      <c r="O617" s="1"/>
      <c r="Q617" s="12"/>
      <c r="R617" s="1"/>
    </row>
    <row r="618" ht="12.75" hidden="1" customHeight="1" outlineLevel="1">
      <c r="A618" s="17">
        <v>41849.0</v>
      </c>
      <c r="B618" s="12">
        <v>520999.45</v>
      </c>
      <c r="C618" s="19">
        <f t="shared" si="120"/>
        <v>-0.003924846146</v>
      </c>
      <c r="D618" s="19">
        <f t="shared" si="119"/>
        <v>-0.05386574973</v>
      </c>
      <c r="E618" s="12"/>
      <c r="F618" s="7"/>
      <c r="G618" s="7"/>
      <c r="H618" s="1"/>
      <c r="I618" s="1"/>
      <c r="J618" s="1"/>
      <c r="K618" s="1"/>
      <c r="L618" s="12">
        <f t="shared" si="121"/>
        <v>14651.8052</v>
      </c>
      <c r="M618" s="12"/>
      <c r="N618" s="15"/>
      <c r="O618" s="1"/>
      <c r="Q618" s="12"/>
      <c r="R618" s="1"/>
    </row>
    <row r="619" ht="12.75" hidden="1" customHeight="1" outlineLevel="1">
      <c r="A619" s="17">
        <v>41850.0</v>
      </c>
      <c r="B619" s="12">
        <v>521404.65</v>
      </c>
      <c r="C619" s="19">
        <f t="shared" si="120"/>
        <v>0.0007777359458</v>
      </c>
      <c r="D619" s="19">
        <f t="shared" si="119"/>
        <v>-0.05312990711</v>
      </c>
      <c r="E619" s="12"/>
      <c r="F619" s="7"/>
      <c r="G619" s="7"/>
      <c r="H619" s="1"/>
      <c r="I619" s="1"/>
      <c r="J619" s="1"/>
      <c r="K619" s="7" t="s">
        <v>367</v>
      </c>
      <c r="L619" s="12">
        <f t="shared" si="121"/>
        <v>14663.20044</v>
      </c>
      <c r="M619" s="12"/>
      <c r="N619" s="15"/>
      <c r="O619" s="1"/>
      <c r="Q619" s="12"/>
      <c r="R619" s="1"/>
    </row>
    <row r="620" ht="12.75" hidden="1" customHeight="1" outlineLevel="1">
      <c r="A620" s="17">
        <v>41851.0</v>
      </c>
      <c r="B620" s="12">
        <v>512371.1</v>
      </c>
      <c r="C620" s="19">
        <f t="shared" si="120"/>
        <v>-0.01732541127</v>
      </c>
      <c r="D620" s="19">
        <f t="shared" si="119"/>
        <v>-0.06953482089</v>
      </c>
      <c r="E620" s="12"/>
      <c r="F620" s="7"/>
      <c r="G620" s="7"/>
      <c r="H620" s="1"/>
      <c r="I620" s="1"/>
      <c r="J620" s="1"/>
      <c r="K620" s="19">
        <f>3503.19/3576.55-1</f>
        <v>-0.02051138667</v>
      </c>
      <c r="L620" s="12">
        <f t="shared" si="121"/>
        <v>14409.15446</v>
      </c>
      <c r="M620" s="12"/>
      <c r="N620" s="15"/>
      <c r="O620" s="1"/>
      <c r="Q620" s="12"/>
      <c r="R620" s="1"/>
    </row>
    <row r="621" ht="12.75" hidden="1" customHeight="1" outlineLevel="1">
      <c r="A621" s="17"/>
      <c r="B621" s="12"/>
      <c r="C621" s="19"/>
      <c r="D621" s="19"/>
      <c r="E621" s="12"/>
      <c r="F621" s="7"/>
      <c r="G621" s="7"/>
      <c r="H621" s="1"/>
      <c r="I621" s="1"/>
      <c r="J621" s="1"/>
      <c r="K621" s="1"/>
      <c r="L621" s="12"/>
      <c r="M621" s="12"/>
      <c r="N621" s="15"/>
      <c r="O621" s="1"/>
      <c r="Q621" s="12"/>
      <c r="R621" s="1"/>
    </row>
    <row r="622" ht="12.75" hidden="1" customHeight="1" outlineLevel="1">
      <c r="A622" s="17"/>
      <c r="B622" s="12">
        <f>B620</f>
        <v>512371.1</v>
      </c>
      <c r="C622" s="19"/>
      <c r="D622" s="19">
        <f t="shared" ref="D622:D643" si="122">(B622/$B$622)-1</f>
        <v>0</v>
      </c>
      <c r="E622" s="12"/>
      <c r="F622" s="7"/>
      <c r="G622" s="7"/>
      <c r="H622" s="1"/>
      <c r="I622" s="1"/>
      <c r="J622" s="1"/>
      <c r="K622" s="1"/>
      <c r="L622" s="12"/>
      <c r="M622" s="12"/>
      <c r="N622" s="15"/>
      <c r="O622" s="1"/>
      <c r="Q622" s="12"/>
      <c r="R622" s="1"/>
    </row>
    <row r="623" ht="12.75" hidden="1" customHeight="1" outlineLevel="1">
      <c r="A623" s="17">
        <v>41852.0</v>
      </c>
      <c r="B623" s="12">
        <v>512388.96</v>
      </c>
      <c r="C623" s="19">
        <f t="shared" ref="C623:C643" si="123">(B623/B622)-1</f>
        <v>0.00003485754759</v>
      </c>
      <c r="D623" s="19">
        <f t="shared" si="122"/>
        <v>0.00003485754759</v>
      </c>
      <c r="E623" s="12"/>
      <c r="F623" s="7"/>
      <c r="G623" s="7"/>
      <c r="H623" s="1"/>
      <c r="I623" s="1"/>
      <c r="J623" s="1"/>
      <c r="K623" s="1"/>
      <c r="L623" s="12">
        <f t="shared" ref="L623:L643" si="124">IF(C622="",L620*(1+C623),L622*(1+C623))</f>
        <v>14409.65673</v>
      </c>
      <c r="M623" s="12"/>
      <c r="N623" s="15"/>
      <c r="O623" s="1"/>
      <c r="Q623" s="12"/>
      <c r="R623" s="1"/>
    </row>
    <row r="624" ht="12.75" hidden="1" customHeight="1" outlineLevel="1">
      <c r="A624" s="17">
        <v>41855.0</v>
      </c>
      <c r="B624" s="12">
        <v>513943.79</v>
      </c>
      <c r="C624" s="19">
        <f t="shared" si="123"/>
        <v>0.003034472093</v>
      </c>
      <c r="D624" s="19">
        <f t="shared" si="122"/>
        <v>0.003069435415</v>
      </c>
      <c r="E624" s="12"/>
      <c r="F624" s="7"/>
      <c r="G624" s="7"/>
      <c r="H624" s="1"/>
      <c r="I624" s="1"/>
      <c r="J624" s="1"/>
      <c r="K624" s="1"/>
      <c r="L624" s="12">
        <f t="shared" si="124"/>
        <v>14453.38243</v>
      </c>
      <c r="M624" s="12"/>
      <c r="N624" s="15"/>
      <c r="O624" s="1"/>
      <c r="Q624" s="12"/>
      <c r="R624" s="1"/>
    </row>
    <row r="625" ht="12.75" hidden="1" customHeight="1" outlineLevel="1">
      <c r="A625" s="17">
        <v>41856.0</v>
      </c>
      <c r="B625" s="12">
        <v>511777.63</v>
      </c>
      <c r="C625" s="19">
        <f t="shared" si="123"/>
        <v>-0.004214779986</v>
      </c>
      <c r="D625" s="19">
        <f t="shared" si="122"/>
        <v>-0.001158281566</v>
      </c>
      <c r="E625" s="12"/>
      <c r="F625" s="7"/>
      <c r="G625" s="7"/>
      <c r="H625" s="1"/>
      <c r="I625" s="1"/>
      <c r="J625" s="1"/>
      <c r="K625" s="1"/>
      <c r="L625" s="12">
        <f t="shared" si="124"/>
        <v>14392.4646</v>
      </c>
      <c r="M625" s="12"/>
      <c r="N625" s="15"/>
      <c r="O625" s="1"/>
      <c r="Q625" s="12"/>
      <c r="R625" s="1"/>
    </row>
    <row r="626" ht="12.75" hidden="1" customHeight="1" outlineLevel="1">
      <c r="A626" s="17">
        <v>41857.0</v>
      </c>
      <c r="B626" s="12">
        <v>512734.93</v>
      </c>
      <c r="C626" s="19">
        <f t="shared" si="123"/>
        <v>0.001870538968</v>
      </c>
      <c r="D626" s="19">
        <f t="shared" si="122"/>
        <v>0.0007100907916</v>
      </c>
      <c r="E626" s="12"/>
      <c r="F626" s="7"/>
      <c r="G626" s="7"/>
      <c r="H626" s="1"/>
      <c r="I626" s="1"/>
      <c r="J626" s="1"/>
      <c r="K626" s="1"/>
      <c r="L626" s="12">
        <f t="shared" si="124"/>
        <v>14419.38627</v>
      </c>
      <c r="M626" s="12"/>
      <c r="N626" s="15"/>
      <c r="O626" s="1"/>
      <c r="Q626" s="12"/>
      <c r="R626" s="1"/>
    </row>
    <row r="627" ht="12.75" hidden="1" customHeight="1" outlineLevel="1">
      <c r="A627" s="17">
        <v>41858.0</v>
      </c>
      <c r="B627" s="12">
        <v>509282.07</v>
      </c>
      <c r="C627" s="19">
        <f t="shared" si="123"/>
        <v>-0.006734200847</v>
      </c>
      <c r="D627" s="19">
        <f t="shared" si="122"/>
        <v>-0.00602889195</v>
      </c>
      <c r="E627" s="12"/>
      <c r="F627" s="7"/>
      <c r="G627" s="7"/>
      <c r="H627" s="1"/>
      <c r="I627" s="1"/>
      <c r="J627" s="1"/>
      <c r="K627" s="1"/>
      <c r="L627" s="12">
        <f t="shared" si="124"/>
        <v>14322.28323</v>
      </c>
      <c r="M627" s="12"/>
      <c r="N627" s="15"/>
      <c r="O627" s="1"/>
      <c r="Q627" s="12"/>
      <c r="R627" s="1"/>
    </row>
    <row r="628" ht="12.75" hidden="1" customHeight="1" outlineLevel="1">
      <c r="A628" s="17">
        <v>41859.0</v>
      </c>
      <c r="B628" s="12">
        <v>513496.71</v>
      </c>
      <c r="C628" s="19">
        <f t="shared" si="123"/>
        <v>0.008275649681</v>
      </c>
      <c r="D628" s="19">
        <f t="shared" si="122"/>
        <v>0.002196864733</v>
      </c>
      <c r="E628" s="12"/>
      <c r="F628" s="7"/>
      <c r="G628" s="7"/>
      <c r="H628" s="1"/>
      <c r="I628" s="1"/>
      <c r="J628" s="1"/>
      <c r="K628" s="1"/>
      <c r="L628" s="12">
        <f t="shared" si="124"/>
        <v>14440.80942</v>
      </c>
      <c r="M628" s="12"/>
      <c r="N628" s="15"/>
      <c r="O628" s="1"/>
      <c r="Q628" s="12"/>
      <c r="R628" s="1"/>
    </row>
    <row r="629" ht="12.75" hidden="1" customHeight="1" outlineLevel="1">
      <c r="A629" s="17">
        <v>41862.0</v>
      </c>
      <c r="B629" s="12">
        <v>514695.42</v>
      </c>
      <c r="C629" s="19">
        <f t="shared" si="123"/>
        <v>0.002334406388</v>
      </c>
      <c r="D629" s="19">
        <f t="shared" si="122"/>
        <v>0.004536399496</v>
      </c>
      <c r="E629" s="12"/>
      <c r="F629" s="7"/>
      <c r="G629" s="7"/>
      <c r="H629" s="1"/>
      <c r="I629" s="1"/>
      <c r="J629" s="1"/>
      <c r="K629" s="1"/>
      <c r="L629" s="12">
        <f t="shared" si="124"/>
        <v>14474.52014</v>
      </c>
      <c r="M629" s="12"/>
      <c r="N629" s="15"/>
      <c r="O629" s="1"/>
      <c r="Q629" s="12"/>
      <c r="R629" s="1"/>
    </row>
    <row r="630" ht="12.75" hidden="1" customHeight="1" outlineLevel="1">
      <c r="A630" s="17">
        <v>41863.0</v>
      </c>
      <c r="B630" s="12">
        <f>B629</f>
        <v>514695.42</v>
      </c>
      <c r="C630" s="19">
        <f t="shared" si="123"/>
        <v>0</v>
      </c>
      <c r="D630" s="19">
        <f t="shared" si="122"/>
        <v>0.004536399496</v>
      </c>
      <c r="E630" s="12"/>
      <c r="F630" s="7"/>
      <c r="G630" s="7"/>
      <c r="H630" s="1"/>
      <c r="I630" s="1"/>
      <c r="J630" s="1"/>
      <c r="K630" s="1"/>
      <c r="L630" s="12">
        <f t="shared" si="124"/>
        <v>14474.52014</v>
      </c>
      <c r="M630" s="12"/>
      <c r="N630" s="15"/>
      <c r="O630" s="1"/>
      <c r="Q630" s="12"/>
      <c r="R630" s="1"/>
    </row>
    <row r="631" ht="12.75" hidden="1" customHeight="1" outlineLevel="1">
      <c r="A631" s="17">
        <v>41864.0</v>
      </c>
      <c r="B631" s="12">
        <v>516542.03</v>
      </c>
      <c r="C631" s="19">
        <f t="shared" si="123"/>
        <v>0.003587772357</v>
      </c>
      <c r="D631" s="19">
        <f t="shared" si="122"/>
        <v>0.008140447422</v>
      </c>
      <c r="E631" s="12"/>
      <c r="F631" s="7"/>
      <c r="G631" s="7"/>
      <c r="H631" s="1"/>
      <c r="I631" s="1"/>
      <c r="J631" s="1"/>
      <c r="K631" s="1"/>
      <c r="L631" s="12">
        <f t="shared" si="124"/>
        <v>14526.45142</v>
      </c>
      <c r="M631" s="12"/>
      <c r="N631" s="15"/>
      <c r="O631" s="1"/>
      <c r="Q631" s="12"/>
      <c r="R631" s="1"/>
    </row>
    <row r="632" ht="12.75" hidden="1" customHeight="1" outlineLevel="1">
      <c r="A632" s="17">
        <v>41865.0</v>
      </c>
      <c r="B632" s="12">
        <v>520103.27</v>
      </c>
      <c r="C632" s="19">
        <f t="shared" si="123"/>
        <v>0.006894385729</v>
      </c>
      <c r="D632" s="19">
        <f t="shared" si="122"/>
        <v>0.01509095654</v>
      </c>
      <c r="E632" s="12"/>
      <c r="F632" s="7"/>
      <c r="G632" s="7"/>
      <c r="H632" s="1"/>
      <c r="I632" s="1"/>
      <c r="J632" s="1"/>
      <c r="K632" s="1"/>
      <c r="L632" s="12">
        <f t="shared" si="124"/>
        <v>14626.60238</v>
      </c>
      <c r="M632" s="12"/>
      <c r="N632" s="15"/>
      <c r="O632" s="1"/>
      <c r="Q632" s="12"/>
      <c r="R632" s="1"/>
    </row>
    <row r="633" ht="12.75" hidden="1" customHeight="1" outlineLevel="1">
      <c r="A633" s="17">
        <v>41866.0</v>
      </c>
      <c r="B633" s="12">
        <v>519972.51</v>
      </c>
      <c r="C633" s="19">
        <f t="shared" si="123"/>
        <v>-0.0002514116091</v>
      </c>
      <c r="D633" s="19">
        <f t="shared" si="122"/>
        <v>0.01483575088</v>
      </c>
      <c r="E633" s="12"/>
      <c r="F633" s="7"/>
      <c r="G633" s="7"/>
      <c r="H633" s="1"/>
      <c r="I633" s="1"/>
      <c r="J633" s="1"/>
      <c r="K633" s="1"/>
      <c r="L633" s="12">
        <f t="shared" si="124"/>
        <v>14622.92509</v>
      </c>
      <c r="M633" s="12"/>
      <c r="N633" s="15"/>
      <c r="O633" s="1"/>
      <c r="Q633" s="12"/>
      <c r="R633" s="1"/>
    </row>
    <row r="634" ht="12.75" hidden="1" customHeight="1" outlineLevel="1">
      <c r="A634" s="17">
        <v>41869.0</v>
      </c>
      <c r="B634" s="12">
        <v>524465.38</v>
      </c>
      <c r="C634" s="19">
        <f t="shared" si="123"/>
        <v>0.008640591404</v>
      </c>
      <c r="D634" s="19">
        <f t="shared" si="122"/>
        <v>0.02360453195</v>
      </c>
      <c r="E634" s="12"/>
      <c r="F634" s="7"/>
      <c r="G634" s="7"/>
      <c r="H634" s="1"/>
      <c r="I634" s="1"/>
      <c r="J634" s="1"/>
      <c r="K634" s="1"/>
      <c r="L634" s="12">
        <f t="shared" si="124"/>
        <v>14749.27581</v>
      </c>
      <c r="M634" s="12"/>
      <c r="N634" s="15"/>
      <c r="O634" s="1"/>
      <c r="Q634" s="12"/>
      <c r="R634" s="1"/>
    </row>
    <row r="635" ht="12.75" hidden="1" customHeight="1" outlineLevel="1">
      <c r="A635" s="17">
        <v>41870.0</v>
      </c>
      <c r="B635" s="12">
        <v>524207.43</v>
      </c>
      <c r="C635" s="19">
        <f t="shared" si="123"/>
        <v>-0.0004918341798</v>
      </c>
      <c r="D635" s="19">
        <f t="shared" si="122"/>
        <v>0.02310108825</v>
      </c>
      <c r="E635" s="12"/>
      <c r="F635" s="7"/>
      <c r="G635" s="7"/>
      <c r="H635" s="1"/>
      <c r="I635" s="1"/>
      <c r="J635" s="1"/>
      <c r="K635" s="1"/>
      <c r="L635" s="12">
        <f t="shared" si="124"/>
        <v>14742.02161</v>
      </c>
      <c r="M635" s="12"/>
      <c r="N635" s="15"/>
      <c r="O635" s="1"/>
      <c r="Q635" s="12"/>
      <c r="R635" s="1"/>
    </row>
    <row r="636" ht="12.75" hidden="1" customHeight="1" outlineLevel="1">
      <c r="A636" s="17">
        <v>41871.0</v>
      </c>
      <c r="B636" s="12">
        <v>523800.0</v>
      </c>
      <c r="C636" s="19">
        <f t="shared" si="123"/>
        <v>-0.0007772304944</v>
      </c>
      <c r="D636" s="19">
        <f t="shared" si="122"/>
        <v>0.02230590289</v>
      </c>
      <c r="E636" s="12"/>
      <c r="F636" s="7"/>
      <c r="G636" s="7"/>
      <c r="H636" s="1"/>
      <c r="I636" s="1"/>
      <c r="J636" s="1"/>
      <c r="K636" s="1"/>
      <c r="L636" s="12">
        <f t="shared" si="124"/>
        <v>14730.56366</v>
      </c>
      <c r="M636" s="12"/>
      <c r="N636" s="15"/>
      <c r="O636" s="1"/>
      <c r="Q636" s="12"/>
      <c r="R636" s="1"/>
    </row>
    <row r="637" ht="12.75" hidden="1" customHeight="1" outlineLevel="1">
      <c r="A637" s="17">
        <v>41872.0</v>
      </c>
      <c r="B637" s="12">
        <v>525060.61</v>
      </c>
      <c r="C637" s="19">
        <f t="shared" si="123"/>
        <v>0.002406662848</v>
      </c>
      <c r="D637" s="19">
        <f t="shared" si="122"/>
        <v>0.02476624853</v>
      </c>
      <c r="E637" s="12"/>
      <c r="F637" s="7"/>
      <c r="G637" s="7"/>
      <c r="H637" s="1"/>
      <c r="I637" s="1"/>
      <c r="J637" s="1"/>
      <c r="K637" s="1"/>
      <c r="L637" s="12">
        <f t="shared" si="124"/>
        <v>14766.01516</v>
      </c>
      <c r="M637" s="12"/>
      <c r="N637" s="15"/>
      <c r="O637" s="1"/>
      <c r="Q637" s="12"/>
      <c r="R637" s="1"/>
    </row>
    <row r="638" ht="12.75" hidden="1" customHeight="1" outlineLevel="1">
      <c r="A638" s="17">
        <v>41873.0</v>
      </c>
      <c r="B638" s="12">
        <v>523944.6</v>
      </c>
      <c r="C638" s="19">
        <f t="shared" si="123"/>
        <v>-0.002125487951</v>
      </c>
      <c r="D638" s="19">
        <f t="shared" si="122"/>
        <v>0.02258812021</v>
      </c>
      <c r="E638" s="12"/>
      <c r="F638" s="7"/>
      <c r="G638" s="7"/>
      <c r="H638" s="1"/>
      <c r="I638" s="1"/>
      <c r="J638" s="1"/>
      <c r="K638" s="1"/>
      <c r="L638" s="12">
        <f t="shared" si="124"/>
        <v>14734.63017</v>
      </c>
      <c r="M638" s="12"/>
      <c r="N638" s="15"/>
      <c r="O638" s="1"/>
      <c r="Q638" s="12"/>
      <c r="R638" s="1"/>
    </row>
    <row r="639" ht="12.75" hidden="1" customHeight="1" outlineLevel="1">
      <c r="A639" s="17">
        <v>41876.0</v>
      </c>
      <c r="B639" s="12">
        <v>527832.18</v>
      </c>
      <c r="C639" s="19">
        <f t="shared" si="123"/>
        <v>0.007419830264</v>
      </c>
      <c r="D639" s="19">
        <f t="shared" si="122"/>
        <v>0.03017555049</v>
      </c>
      <c r="E639" s="12"/>
      <c r="F639" s="7"/>
      <c r="G639" s="7"/>
      <c r="H639" s="1"/>
      <c r="I639" s="1"/>
      <c r="J639" s="1"/>
      <c r="K639" s="1"/>
      <c r="L639" s="12">
        <f t="shared" si="124"/>
        <v>14843.95863</v>
      </c>
      <c r="M639" s="12"/>
      <c r="N639" s="15"/>
      <c r="O639" s="1"/>
      <c r="Q639" s="12"/>
      <c r="R639" s="1"/>
    </row>
    <row r="640" ht="12.75" hidden="1" customHeight="1" outlineLevel="1">
      <c r="A640" s="17">
        <v>41877.0</v>
      </c>
      <c r="B640" s="12">
        <v>527359.83</v>
      </c>
      <c r="C640" s="19">
        <f t="shared" si="123"/>
        <v>-0.0008948867043</v>
      </c>
      <c r="D640" s="19">
        <f t="shared" si="122"/>
        <v>0.02925366009</v>
      </c>
      <c r="E640" s="12"/>
      <c r="F640" s="7"/>
      <c r="G640" s="7"/>
      <c r="H640" s="1"/>
      <c r="I640" s="1"/>
      <c r="J640" s="1"/>
      <c r="K640" s="1"/>
      <c r="L640" s="12">
        <f t="shared" si="124"/>
        <v>14830.67497</v>
      </c>
      <c r="M640" s="12"/>
      <c r="N640" s="15"/>
      <c r="O640" s="1"/>
      <c r="Q640" s="12"/>
      <c r="R640" s="1"/>
    </row>
    <row r="641" ht="12.75" hidden="1" customHeight="1" outlineLevel="1">
      <c r="A641" s="17">
        <v>41878.0</v>
      </c>
      <c r="B641" s="12">
        <v>529243.46</v>
      </c>
      <c r="C641" s="19">
        <f t="shared" si="123"/>
        <v>0.003571811679</v>
      </c>
      <c r="D641" s="19">
        <f t="shared" si="122"/>
        <v>0.03292996034</v>
      </c>
      <c r="E641" s="12"/>
      <c r="F641" s="7"/>
      <c r="G641" s="7"/>
      <c r="H641" s="1"/>
      <c r="I641" s="1"/>
      <c r="J641" s="1"/>
      <c r="K641" s="1"/>
      <c r="L641" s="12">
        <f t="shared" si="124"/>
        <v>14883.64735</v>
      </c>
      <c r="M641" s="12"/>
      <c r="N641" s="15"/>
      <c r="O641" s="1"/>
      <c r="Q641" s="12"/>
      <c r="R641" s="1"/>
    </row>
    <row r="642" ht="12.75" hidden="1" customHeight="1" outlineLevel="1">
      <c r="A642" s="17">
        <v>41879.0</v>
      </c>
      <c r="B642" s="12">
        <v>526230.0</v>
      </c>
      <c r="C642" s="19">
        <f t="shared" si="123"/>
        <v>-0.005693901253</v>
      </c>
      <c r="D642" s="19">
        <f t="shared" si="122"/>
        <v>0.02704855914</v>
      </c>
      <c r="E642" s="12"/>
      <c r="F642" s="7"/>
      <c r="G642" s="7"/>
      <c r="H642" s="1"/>
      <c r="I642" s="1"/>
      <c r="J642" s="1"/>
      <c r="K642" s="7" t="s">
        <v>367</v>
      </c>
      <c r="L642" s="12">
        <f t="shared" si="124"/>
        <v>14798.90133</v>
      </c>
      <c r="M642" s="12"/>
      <c r="N642" s="15"/>
      <c r="O642" s="1"/>
      <c r="Q642" s="12"/>
      <c r="R642" s="1"/>
    </row>
    <row r="643" ht="12.75" hidden="1" customHeight="1" outlineLevel="1">
      <c r="A643" s="17">
        <v>41880.0</v>
      </c>
      <c r="B643" s="12">
        <v>528449.96</v>
      </c>
      <c r="C643" s="19">
        <f t="shared" si="123"/>
        <v>0.004218611634</v>
      </c>
      <c r="D643" s="19">
        <f t="shared" si="122"/>
        <v>0.03138127814</v>
      </c>
      <c r="E643" s="12"/>
      <c r="F643" s="7"/>
      <c r="G643" s="7"/>
      <c r="H643" s="1"/>
      <c r="I643" s="1"/>
      <c r="J643" s="1"/>
      <c r="K643" s="19">
        <f>3643.34/3503.19-1</f>
        <v>0.04000639417</v>
      </c>
      <c r="L643" s="12">
        <f t="shared" si="124"/>
        <v>14861.33214</v>
      </c>
      <c r="M643" s="12"/>
      <c r="N643" s="15"/>
      <c r="O643" s="1"/>
      <c r="Q643" s="12"/>
      <c r="R643" s="1"/>
    </row>
    <row r="644" ht="12.75" hidden="1" customHeight="1" outlineLevel="1">
      <c r="A644" s="17"/>
      <c r="B644" s="12"/>
      <c r="C644" s="19"/>
      <c r="D644" s="19"/>
      <c r="E644" s="12"/>
      <c r="F644" s="7"/>
      <c r="G644" s="7"/>
      <c r="H644" s="1"/>
      <c r="I644" s="1"/>
      <c r="J644" s="1"/>
      <c r="K644" s="1"/>
      <c r="L644" s="12"/>
      <c r="M644" s="12"/>
      <c r="N644" s="15"/>
      <c r="O644" s="1"/>
      <c r="Q644" s="12"/>
      <c r="R644" s="1"/>
    </row>
    <row r="645" ht="12.75" hidden="1" customHeight="1" outlineLevel="1">
      <c r="A645" s="17"/>
      <c r="B645" s="12">
        <f>B643</f>
        <v>528449.96</v>
      </c>
      <c r="C645" s="19"/>
      <c r="D645" s="19">
        <f t="shared" ref="D645:D667" si="125">(B645/$B$645)-1</f>
        <v>0</v>
      </c>
      <c r="E645" s="12"/>
      <c r="F645" s="7"/>
      <c r="G645" s="7"/>
      <c r="H645" s="1"/>
      <c r="I645" s="1"/>
      <c r="J645" s="1"/>
      <c r="K645" s="1"/>
      <c r="L645" s="12"/>
      <c r="M645" s="12"/>
      <c r="N645" s="15"/>
      <c r="O645" s="1"/>
      <c r="Q645" s="12"/>
      <c r="R645" s="1"/>
    </row>
    <row r="646" ht="12.75" hidden="1" customHeight="1" outlineLevel="1">
      <c r="A646" s="17">
        <v>41883.0</v>
      </c>
      <c r="B646" s="12">
        <f>B645</f>
        <v>528449.96</v>
      </c>
      <c r="C646" s="19">
        <f t="shared" ref="C646:C667" si="126">(B646/B645)-1</f>
        <v>0</v>
      </c>
      <c r="D646" s="19">
        <f t="shared" si="125"/>
        <v>0</v>
      </c>
      <c r="E646" s="12"/>
      <c r="F646" s="7"/>
      <c r="G646" s="7"/>
      <c r="H646" s="1"/>
      <c r="I646" s="1"/>
      <c r="J646" s="1"/>
      <c r="K646" s="1"/>
      <c r="L646" s="12">
        <f t="shared" ref="L646:L667" si="127">IF(C645="",L643*(1+C646),L645*(1+C646))</f>
        <v>14861.33214</v>
      </c>
      <c r="M646" s="12"/>
      <c r="N646" s="15"/>
      <c r="O646" s="1"/>
      <c r="Q646" s="12"/>
      <c r="R646" s="1"/>
    </row>
    <row r="647" ht="12.75" hidden="1" customHeight="1" outlineLevel="1">
      <c r="A647" s="17">
        <v>41884.0</v>
      </c>
      <c r="B647" s="12">
        <v>530142.32</v>
      </c>
      <c r="C647" s="19">
        <f t="shared" si="126"/>
        <v>0.003202498114</v>
      </c>
      <c r="D647" s="19">
        <f t="shared" si="125"/>
        <v>0.003202498114</v>
      </c>
      <c r="E647" s="12"/>
      <c r="F647" s="7"/>
      <c r="G647" s="7"/>
      <c r="H647" s="1"/>
      <c r="I647" s="1"/>
      <c r="J647" s="1"/>
      <c r="K647" s="1"/>
      <c r="L647" s="12">
        <f t="shared" si="127"/>
        <v>14908.92553</v>
      </c>
      <c r="M647" s="12"/>
      <c r="N647" s="15"/>
      <c r="O647" s="1"/>
      <c r="Q647" s="12"/>
      <c r="R647" s="1"/>
    </row>
    <row r="648" ht="12.75" hidden="1" customHeight="1" outlineLevel="1">
      <c r="A648" s="17">
        <v>41885.0</v>
      </c>
      <c r="B648" s="12">
        <v>528461.04</v>
      </c>
      <c r="C648" s="19">
        <f t="shared" si="126"/>
        <v>-0.003171374811</v>
      </c>
      <c r="D648" s="19">
        <f t="shared" si="125"/>
        <v>0.00002096698049</v>
      </c>
      <c r="E648" s="12"/>
      <c r="F648" s="7"/>
      <c r="G648" s="7"/>
      <c r="H648" s="1"/>
      <c r="I648" s="1"/>
      <c r="J648" s="1"/>
      <c r="K648" s="1"/>
      <c r="L648" s="12">
        <f t="shared" si="127"/>
        <v>14861.64374</v>
      </c>
      <c r="M648" s="12"/>
      <c r="N648" s="15"/>
      <c r="O648" s="1"/>
      <c r="Q648" s="12"/>
      <c r="R648" s="1"/>
    </row>
    <row r="649" ht="12.75" hidden="1" customHeight="1" outlineLevel="1">
      <c r="A649" s="17">
        <v>41886.0</v>
      </c>
      <c r="B649" s="12">
        <v>523928.75</v>
      </c>
      <c r="C649" s="19">
        <f t="shared" si="126"/>
        <v>-0.008576393825</v>
      </c>
      <c r="D649" s="19">
        <f t="shared" si="125"/>
        <v>-0.008555606665</v>
      </c>
      <c r="E649" s="12"/>
      <c r="F649" s="7"/>
      <c r="G649" s="7"/>
      <c r="H649" s="1"/>
      <c r="I649" s="1"/>
      <c r="J649" s="1"/>
      <c r="K649" s="1"/>
      <c r="L649" s="12">
        <f t="shared" si="127"/>
        <v>14734.18443</v>
      </c>
      <c r="M649" s="12"/>
      <c r="N649" s="15"/>
      <c r="O649" s="1"/>
      <c r="Q649" s="12"/>
      <c r="R649" s="1"/>
    </row>
    <row r="650" ht="12.75" hidden="1" customHeight="1" outlineLevel="1">
      <c r="A650" s="17">
        <v>41887.0</v>
      </c>
      <c r="B650" s="12">
        <v>524927.36</v>
      </c>
      <c r="C650" s="19">
        <f t="shared" si="126"/>
        <v>0.00190600344</v>
      </c>
      <c r="D650" s="19">
        <f t="shared" si="125"/>
        <v>-0.006665910241</v>
      </c>
      <c r="E650" s="12"/>
      <c r="F650" s="7"/>
      <c r="G650" s="7"/>
      <c r="H650" s="1"/>
      <c r="I650" s="1"/>
      <c r="J650" s="1"/>
      <c r="K650" s="1"/>
      <c r="L650" s="12">
        <f t="shared" si="127"/>
        <v>14762.26784</v>
      </c>
      <c r="M650" s="12"/>
      <c r="N650" s="15"/>
      <c r="O650" s="1"/>
      <c r="Q650" s="12"/>
      <c r="R650" s="1"/>
    </row>
    <row r="651" ht="12.75" hidden="1" customHeight="1" outlineLevel="1">
      <c r="A651" s="17">
        <v>41890.0</v>
      </c>
      <c r="B651" s="12">
        <v>523507.78</v>
      </c>
      <c r="C651" s="19">
        <f t="shared" si="126"/>
        <v>-0.002704336082</v>
      </c>
      <c r="D651" s="19">
        <f t="shared" si="125"/>
        <v>-0.009352219461</v>
      </c>
      <c r="E651" s="12"/>
      <c r="F651" s="7"/>
      <c r="G651" s="7"/>
      <c r="H651" s="1"/>
      <c r="I651" s="1"/>
      <c r="J651" s="1"/>
      <c r="K651" s="1"/>
      <c r="L651" s="12">
        <f t="shared" si="127"/>
        <v>14722.3457</v>
      </c>
      <c r="M651" s="12"/>
      <c r="N651" s="15"/>
      <c r="O651" s="1"/>
      <c r="Q651" s="12"/>
      <c r="R651" s="1"/>
    </row>
    <row r="652" ht="12.75" hidden="1" customHeight="1" outlineLevel="1">
      <c r="A652" s="17">
        <v>41891.0</v>
      </c>
      <c r="B652" s="12">
        <v>518417.91</v>
      </c>
      <c r="C652" s="19">
        <f t="shared" si="126"/>
        <v>-0.009722625326</v>
      </c>
      <c r="D652" s="19">
        <f t="shared" si="125"/>
        <v>-0.01898391666</v>
      </c>
      <c r="E652" s="12"/>
      <c r="F652" s="7"/>
      <c r="G652" s="7"/>
      <c r="H652" s="1"/>
      <c r="I652" s="1"/>
      <c r="J652" s="1"/>
      <c r="K652" s="1"/>
      <c r="L652" s="12">
        <f t="shared" si="127"/>
        <v>14579.20585</v>
      </c>
      <c r="M652" s="12"/>
      <c r="N652" s="15"/>
      <c r="O652" s="1"/>
      <c r="Q652" s="12"/>
      <c r="R652" s="1"/>
    </row>
    <row r="653" ht="12.75" hidden="1" customHeight="1" outlineLevel="1">
      <c r="A653" s="17">
        <v>41892.0</v>
      </c>
      <c r="B653" s="12">
        <v>515900.0</v>
      </c>
      <c r="C653" s="19">
        <f t="shared" si="126"/>
        <v>-0.004856911676</v>
      </c>
      <c r="D653" s="19">
        <f t="shared" si="125"/>
        <v>-0.02374862513</v>
      </c>
      <c r="E653" s="12"/>
      <c r="F653" s="7"/>
      <c r="G653" s="7"/>
      <c r="H653" s="1"/>
      <c r="I653" s="1"/>
      <c r="J653" s="1"/>
      <c r="K653" s="1"/>
      <c r="L653" s="12">
        <f t="shared" si="127"/>
        <v>14508.39594</v>
      </c>
      <c r="M653" s="12"/>
      <c r="N653" s="15"/>
      <c r="O653" s="1"/>
      <c r="Q653" s="12"/>
      <c r="R653" s="1"/>
    </row>
    <row r="654" ht="12.75" hidden="1" customHeight="1" outlineLevel="1">
      <c r="A654" s="17">
        <v>41893.0</v>
      </c>
      <c r="B654" s="12">
        <v>518193.79</v>
      </c>
      <c r="C654" s="19">
        <f t="shared" si="126"/>
        <v>0.004446191122</v>
      </c>
      <c r="D654" s="19">
        <f t="shared" si="125"/>
        <v>-0.01940802493</v>
      </c>
      <c r="E654" s="12"/>
      <c r="F654" s="7"/>
      <c r="G654" s="7"/>
      <c r="H654" s="1"/>
      <c r="I654" s="1"/>
      <c r="J654" s="1"/>
      <c r="K654" s="1"/>
      <c r="L654" s="12">
        <f t="shared" si="127"/>
        <v>14572.90304</v>
      </c>
      <c r="M654" s="12"/>
      <c r="N654" s="15"/>
      <c r="O654" s="1"/>
      <c r="Q654" s="12"/>
      <c r="R654" s="1"/>
    </row>
    <row r="655" ht="12.75" hidden="1" customHeight="1" outlineLevel="1">
      <c r="A655" s="17">
        <v>41894.0</v>
      </c>
      <c r="B655" s="12">
        <v>516094.94</v>
      </c>
      <c r="C655" s="19">
        <f t="shared" si="126"/>
        <v>-0.004050318704</v>
      </c>
      <c r="D655" s="19">
        <f t="shared" si="125"/>
        <v>-0.02337973495</v>
      </c>
      <c r="E655" s="12"/>
      <c r="F655" s="7"/>
      <c r="G655" s="7"/>
      <c r="H655" s="1"/>
      <c r="I655" s="1"/>
      <c r="J655" s="1"/>
      <c r="K655" s="1"/>
      <c r="L655" s="12">
        <f t="shared" si="127"/>
        <v>14513.87814</v>
      </c>
      <c r="M655" s="12"/>
      <c r="N655" s="15"/>
      <c r="O655" s="1"/>
      <c r="Q655" s="12"/>
      <c r="R655" s="1"/>
    </row>
    <row r="656" ht="12.75" hidden="1" customHeight="1" outlineLevel="1">
      <c r="A656" s="17">
        <v>41897.0</v>
      </c>
      <c r="B656" s="12">
        <v>514432.71</v>
      </c>
      <c r="C656" s="19">
        <f t="shared" si="126"/>
        <v>-0.00322078337</v>
      </c>
      <c r="D656" s="19">
        <f t="shared" si="125"/>
        <v>-0.02652521726</v>
      </c>
      <c r="E656" s="12"/>
      <c r="F656" s="7"/>
      <c r="G656" s="7"/>
      <c r="H656" s="1"/>
      <c r="I656" s="1"/>
      <c r="J656" s="1"/>
      <c r="K656" s="1"/>
      <c r="L656" s="12">
        <f t="shared" si="127"/>
        <v>14467.13208</v>
      </c>
      <c r="M656" s="12"/>
      <c r="N656" s="15"/>
      <c r="O656" s="1"/>
      <c r="Q656" s="12"/>
      <c r="R656" s="1"/>
    </row>
    <row r="657" ht="12.75" hidden="1" customHeight="1" outlineLevel="1">
      <c r="A657" s="17">
        <v>41898.0</v>
      </c>
      <c r="B657" s="12">
        <v>515812.19</v>
      </c>
      <c r="C657" s="19">
        <f t="shared" si="126"/>
        <v>0.002681555767</v>
      </c>
      <c r="D657" s="19">
        <f t="shared" si="125"/>
        <v>-0.02391479034</v>
      </c>
      <c r="E657" s="12"/>
      <c r="F657" s="7"/>
      <c r="G657" s="7"/>
      <c r="H657" s="1"/>
      <c r="I657" s="1"/>
      <c r="J657" s="1"/>
      <c r="K657" s="1"/>
      <c r="L657" s="12">
        <f t="shared" si="127"/>
        <v>14505.9265</v>
      </c>
      <c r="M657" s="12"/>
      <c r="N657" s="15"/>
      <c r="O657" s="1"/>
      <c r="Q657" s="12"/>
      <c r="R657" s="1"/>
    </row>
    <row r="658" ht="12.75" hidden="1" customHeight="1" outlineLevel="1">
      <c r="A658" s="17">
        <v>41899.0</v>
      </c>
      <c r="B658" s="12">
        <v>515316.95</v>
      </c>
      <c r="C658" s="19">
        <f t="shared" si="126"/>
        <v>-0.0009601168984</v>
      </c>
      <c r="D658" s="19">
        <f t="shared" si="125"/>
        <v>-0.02485194625</v>
      </c>
      <c r="E658" s="12"/>
      <c r="F658" s="7"/>
      <c r="G658" s="7"/>
      <c r="H658" s="1"/>
      <c r="I658" s="1"/>
      <c r="J658" s="1"/>
      <c r="K658" s="1"/>
      <c r="L658" s="12">
        <f t="shared" si="127"/>
        <v>14491.99912</v>
      </c>
      <c r="M658" s="12"/>
      <c r="N658" s="15"/>
      <c r="O658" s="1"/>
      <c r="Q658" s="12"/>
      <c r="R658" s="1"/>
    </row>
    <row r="659" ht="12.75" hidden="1" customHeight="1" outlineLevel="1">
      <c r="A659" s="17">
        <v>41900.0</v>
      </c>
      <c r="B659" s="12">
        <v>518469.62</v>
      </c>
      <c r="C659" s="19">
        <f t="shared" si="126"/>
        <v>0.006117924124</v>
      </c>
      <c r="D659" s="19">
        <f t="shared" si="125"/>
        <v>-0.01888606444</v>
      </c>
      <c r="E659" s="12"/>
      <c r="F659" s="7"/>
      <c r="G659" s="7"/>
      <c r="H659" s="1"/>
      <c r="I659" s="1"/>
      <c r="J659" s="1"/>
      <c r="K659" s="1"/>
      <c r="L659" s="12">
        <f t="shared" si="127"/>
        <v>14580.66007</v>
      </c>
      <c r="M659" s="12"/>
      <c r="N659" s="15"/>
      <c r="O659" s="1"/>
      <c r="Q659" s="12"/>
      <c r="R659" s="1"/>
    </row>
    <row r="660" ht="12.75" hidden="1" customHeight="1" outlineLevel="1">
      <c r="A660" s="17">
        <v>41901.0</v>
      </c>
      <c r="B660" s="12">
        <v>517321.53</v>
      </c>
      <c r="C660" s="19">
        <f t="shared" si="126"/>
        <v>-0.002214382397</v>
      </c>
      <c r="D660" s="19">
        <f t="shared" si="125"/>
        <v>-0.02105862587</v>
      </c>
      <c r="E660" s="12"/>
      <c r="F660" s="7"/>
      <c r="G660" s="7"/>
      <c r="H660" s="1"/>
      <c r="I660" s="1"/>
      <c r="J660" s="1"/>
      <c r="K660" s="1"/>
      <c r="L660" s="12">
        <f t="shared" si="127"/>
        <v>14548.37291</v>
      </c>
      <c r="M660" s="12"/>
      <c r="N660" s="15"/>
      <c r="O660" s="1"/>
      <c r="Q660" s="12"/>
      <c r="R660" s="1"/>
    </row>
    <row r="661" ht="12.75" hidden="1" customHeight="1" outlineLevel="1">
      <c r="A661" s="17">
        <v>41904.0</v>
      </c>
      <c r="B661" s="12">
        <v>509792.53</v>
      </c>
      <c r="C661" s="19">
        <f t="shared" si="126"/>
        <v>-0.01455381144</v>
      </c>
      <c r="D661" s="19">
        <f t="shared" si="125"/>
        <v>-0.03530595404</v>
      </c>
      <c r="E661" s="12"/>
      <c r="F661" s="7"/>
      <c r="G661" s="7"/>
      <c r="H661" s="1"/>
      <c r="I661" s="1"/>
      <c r="J661" s="1"/>
      <c r="K661" s="1"/>
      <c r="L661" s="12">
        <f t="shared" si="127"/>
        <v>14336.63863</v>
      </c>
      <c r="M661" s="12"/>
      <c r="N661" s="15"/>
      <c r="O661" s="1"/>
      <c r="Q661" s="12"/>
      <c r="R661" s="1"/>
    </row>
    <row r="662" ht="12.75" hidden="1" customHeight="1" outlineLevel="1">
      <c r="A662" s="17">
        <v>41905.0</v>
      </c>
      <c r="B662" s="12">
        <v>505849.27</v>
      </c>
      <c r="C662" s="19">
        <f t="shared" si="126"/>
        <v>-0.007735028993</v>
      </c>
      <c r="D662" s="19">
        <f t="shared" si="125"/>
        <v>-0.04276789045</v>
      </c>
      <c r="E662" s="12"/>
      <c r="F662" s="7"/>
      <c r="G662" s="7"/>
      <c r="H662" s="1"/>
      <c r="I662" s="1"/>
      <c r="J662" s="1"/>
      <c r="K662" s="1"/>
      <c r="L662" s="12">
        <f t="shared" si="127"/>
        <v>14225.74432</v>
      </c>
      <c r="M662" s="12"/>
      <c r="N662" s="15"/>
      <c r="O662" s="1"/>
      <c r="Q662" s="12"/>
      <c r="R662" s="1"/>
    </row>
    <row r="663" ht="12.75" hidden="1" customHeight="1" outlineLevel="1">
      <c r="A663" s="17">
        <v>41906.0</v>
      </c>
      <c r="B663" s="12">
        <v>508645.4</v>
      </c>
      <c r="C663" s="19">
        <f t="shared" si="126"/>
        <v>0.005527595206</v>
      </c>
      <c r="D663" s="19">
        <f t="shared" si="125"/>
        <v>-0.03747669883</v>
      </c>
      <c r="E663" s="12"/>
      <c r="F663" s="7"/>
      <c r="G663" s="7"/>
      <c r="H663" s="1"/>
      <c r="I663" s="1"/>
      <c r="J663" s="1"/>
      <c r="K663" s="1"/>
      <c r="L663" s="12">
        <f t="shared" si="127"/>
        <v>14304.37848</v>
      </c>
      <c r="M663" s="12"/>
      <c r="N663" s="15"/>
      <c r="O663" s="1"/>
      <c r="Q663" s="12"/>
      <c r="R663" s="1"/>
    </row>
    <row r="664" ht="12.75" hidden="1" customHeight="1" outlineLevel="1">
      <c r="A664" s="17">
        <v>41907.0</v>
      </c>
      <c r="B664" s="12">
        <v>501984.86</v>
      </c>
      <c r="C664" s="19">
        <f t="shared" si="126"/>
        <v>-0.0130946628</v>
      </c>
      <c r="D664" s="19">
        <f t="shared" si="125"/>
        <v>-0.0500806169</v>
      </c>
      <c r="E664" s="12"/>
      <c r="F664" s="7"/>
      <c r="G664" s="7"/>
      <c r="H664" s="1"/>
      <c r="I664" s="1"/>
      <c r="J664" s="1"/>
      <c r="K664" s="1"/>
      <c r="L664" s="12">
        <f t="shared" si="127"/>
        <v>14117.06746</v>
      </c>
      <c r="M664" s="12"/>
      <c r="N664" s="15"/>
      <c r="O664" s="1"/>
      <c r="Q664" s="12"/>
      <c r="R664" s="1"/>
    </row>
    <row r="665" ht="12.75" hidden="1" customHeight="1" outlineLevel="1">
      <c r="A665" s="17">
        <v>41908.0</v>
      </c>
      <c r="B665" s="12">
        <v>506433.11</v>
      </c>
      <c r="C665" s="19">
        <f t="shared" si="126"/>
        <v>0.008861323029</v>
      </c>
      <c r="D665" s="19">
        <f t="shared" si="125"/>
        <v>-0.0416630744</v>
      </c>
      <c r="E665" s="12"/>
      <c r="F665" s="7"/>
      <c r="G665" s="7"/>
      <c r="H665" s="1"/>
      <c r="I665" s="1"/>
      <c r="J665" s="1"/>
      <c r="K665" s="1"/>
      <c r="L665" s="12">
        <f t="shared" si="127"/>
        <v>14242.16336</v>
      </c>
      <c r="M665" s="12"/>
      <c r="N665" s="15"/>
      <c r="O665" s="1"/>
      <c r="Q665" s="12"/>
      <c r="R665" s="1"/>
    </row>
    <row r="666" ht="12.75" hidden="1" customHeight="1" outlineLevel="1">
      <c r="A666" s="17">
        <v>41911.0</v>
      </c>
      <c r="B666" s="12">
        <v>504248.89</v>
      </c>
      <c r="C666" s="19">
        <f t="shared" si="126"/>
        <v>-0.004312948654</v>
      </c>
      <c r="D666" s="19">
        <f t="shared" si="125"/>
        <v>-0.04579633235</v>
      </c>
      <c r="E666" s="12"/>
      <c r="F666" s="7"/>
      <c r="G666" s="7"/>
      <c r="H666" s="1"/>
      <c r="I666" s="1"/>
      <c r="J666" s="1"/>
      <c r="K666" s="7" t="s">
        <v>367</v>
      </c>
      <c r="L666" s="12">
        <f t="shared" si="127"/>
        <v>14180.73764</v>
      </c>
      <c r="M666" s="12"/>
      <c r="N666" s="15"/>
      <c r="O666" s="1"/>
      <c r="Q666" s="12"/>
      <c r="R666" s="1"/>
    </row>
    <row r="667" ht="12.75" hidden="1" customHeight="1" outlineLevel="1">
      <c r="A667" s="17">
        <v>41912.0</v>
      </c>
      <c r="B667" s="12">
        <v>499661.64</v>
      </c>
      <c r="C667" s="19">
        <f t="shared" si="126"/>
        <v>-0.009097194046</v>
      </c>
      <c r="D667" s="19">
        <f t="shared" si="125"/>
        <v>-0.05447690828</v>
      </c>
      <c r="E667" s="12"/>
      <c r="F667" s="7"/>
      <c r="G667" s="7"/>
      <c r="H667" s="1"/>
      <c r="I667" s="1"/>
      <c r="J667" s="1"/>
      <c r="K667" s="119">
        <f>3592.25/3643.34-1</f>
        <v>-0.01402284717</v>
      </c>
      <c r="L667" s="12">
        <f t="shared" si="127"/>
        <v>14051.73272</v>
      </c>
      <c r="M667" s="12"/>
      <c r="N667" s="15"/>
      <c r="O667" s="1"/>
      <c r="Q667" s="12"/>
      <c r="R667" s="1"/>
    </row>
    <row r="668" ht="12.75" hidden="1" customHeight="1" outlineLevel="1">
      <c r="A668" s="17"/>
      <c r="B668" s="12"/>
      <c r="C668" s="1"/>
      <c r="D668" s="1"/>
      <c r="E668" s="12"/>
      <c r="F668" s="7"/>
      <c r="G668" s="7"/>
      <c r="H668" s="1"/>
      <c r="I668" s="1"/>
      <c r="J668" s="1"/>
      <c r="K668" s="1"/>
      <c r="L668" s="12"/>
      <c r="M668" s="12"/>
      <c r="N668" s="15"/>
      <c r="O668" s="1"/>
      <c r="Q668" s="12"/>
      <c r="R668" s="1"/>
    </row>
    <row r="669" ht="12.75" hidden="1" customHeight="1" outlineLevel="1">
      <c r="A669" s="17"/>
      <c r="B669" s="12">
        <f>B667</f>
        <v>499661.64</v>
      </c>
      <c r="C669" s="19"/>
      <c r="D669" s="19">
        <f t="shared" ref="D669:D692" si="128">(B669/$B$669)-1</f>
        <v>0</v>
      </c>
      <c r="E669" s="12"/>
      <c r="F669" s="7"/>
      <c r="G669" s="7"/>
      <c r="H669" s="1"/>
      <c r="I669" s="1"/>
      <c r="J669" s="1"/>
      <c r="K669" s="1"/>
      <c r="L669" s="12"/>
      <c r="M669" s="12"/>
      <c r="N669" s="15"/>
      <c r="O669" s="1"/>
      <c r="Q669" s="12"/>
      <c r="R669" s="1"/>
    </row>
    <row r="670" ht="12.75" hidden="1" customHeight="1" outlineLevel="1">
      <c r="A670" s="17">
        <v>41913.0</v>
      </c>
      <c r="B670" s="12">
        <v>492911.45</v>
      </c>
      <c r="C670" s="19">
        <f t="shared" ref="C670:C692" si="129">(B670/B669)-1</f>
        <v>-0.01350952216</v>
      </c>
      <c r="D670" s="19">
        <f t="shared" si="128"/>
        <v>-0.01350952216</v>
      </c>
      <c r="E670" s="12"/>
      <c r="F670" s="7"/>
      <c r="G670" s="7"/>
      <c r="H670" s="1"/>
      <c r="I670" s="1"/>
      <c r="J670" s="1"/>
      <c r="K670" s="1"/>
      <c r="L670" s="12">
        <f t="shared" ref="L670:L692" si="130">IF(C669="",L667*(1+C670),L669*(1+C670))</f>
        <v>13861.90052</v>
      </c>
      <c r="M670" s="12"/>
      <c r="N670" s="15"/>
      <c r="O670" s="1"/>
      <c r="Q670" s="12"/>
      <c r="R670" s="1"/>
    </row>
    <row r="671" ht="12.75" hidden="1" customHeight="1" outlineLevel="1">
      <c r="A671" s="17">
        <v>41914.0</v>
      </c>
      <c r="B671" s="12">
        <v>495119.13</v>
      </c>
      <c r="C671" s="19">
        <f t="shared" si="129"/>
        <v>0.004478857207</v>
      </c>
      <c r="D671" s="19">
        <f t="shared" si="128"/>
        <v>-0.009091172178</v>
      </c>
      <c r="E671" s="12"/>
      <c r="F671" s="7"/>
      <c r="G671" s="7"/>
      <c r="H671" s="1"/>
      <c r="I671" s="1"/>
      <c r="J671" s="1"/>
      <c r="K671" s="1"/>
      <c r="L671" s="12">
        <f t="shared" si="130"/>
        <v>13923.98599</v>
      </c>
      <c r="M671" s="12"/>
      <c r="N671" s="15"/>
      <c r="O671" s="1"/>
      <c r="Q671" s="12"/>
      <c r="R671" s="1"/>
    </row>
    <row r="672" ht="12.75" hidden="1" customHeight="1" outlineLevel="1">
      <c r="A672" s="17">
        <v>41915.0</v>
      </c>
      <c r="B672" s="12">
        <v>498661.68</v>
      </c>
      <c r="C672" s="19">
        <f t="shared" si="129"/>
        <v>0.00715494471</v>
      </c>
      <c r="D672" s="19">
        <f t="shared" si="128"/>
        <v>-0.002001274302</v>
      </c>
      <c r="E672" s="12"/>
      <c r="F672" s="7"/>
      <c r="G672" s="7"/>
      <c r="H672" s="1"/>
      <c r="I672" s="1"/>
      <c r="J672" s="1"/>
      <c r="K672" s="1"/>
      <c r="L672" s="12">
        <f t="shared" si="130"/>
        <v>14023.61134</v>
      </c>
      <c r="M672" s="12"/>
      <c r="N672" s="15"/>
      <c r="O672" s="1"/>
      <c r="Q672" s="12"/>
      <c r="R672" s="1"/>
    </row>
    <row r="673" ht="12.75" hidden="1" customHeight="1" outlineLevel="1">
      <c r="A673" s="17">
        <v>41918.0</v>
      </c>
      <c r="B673" s="12">
        <v>497976.67</v>
      </c>
      <c r="C673" s="19">
        <f t="shared" si="129"/>
        <v>-0.001373696892</v>
      </c>
      <c r="D673" s="19">
        <f t="shared" si="128"/>
        <v>-0.00337222205</v>
      </c>
      <c r="E673" s="12"/>
      <c r="F673" s="7"/>
      <c r="G673" s="7"/>
      <c r="H673" s="1"/>
      <c r="I673" s="1"/>
      <c r="J673" s="1"/>
      <c r="K673" s="1"/>
      <c r="L673" s="12">
        <f t="shared" si="130"/>
        <v>14004.34715</v>
      </c>
      <c r="M673" s="12"/>
      <c r="N673" s="15"/>
      <c r="O673" s="1"/>
      <c r="Q673" s="12"/>
      <c r="R673" s="1"/>
    </row>
    <row r="674" ht="12.75" hidden="1" customHeight="1" outlineLevel="1">
      <c r="A674" s="17">
        <v>41919.0</v>
      </c>
      <c r="B674" s="12">
        <v>491664.12</v>
      </c>
      <c r="C674" s="19">
        <f t="shared" si="129"/>
        <v>-0.01267639707</v>
      </c>
      <c r="D674" s="19">
        <f t="shared" si="128"/>
        <v>-0.01600587149</v>
      </c>
      <c r="E674" s="12"/>
      <c r="F674" s="7"/>
      <c r="G674" s="7"/>
      <c r="H674" s="1"/>
      <c r="I674" s="1"/>
      <c r="J674" s="1"/>
      <c r="K674" s="1"/>
      <c r="L674" s="12">
        <f t="shared" si="130"/>
        <v>13826.82249</v>
      </c>
      <c r="M674" s="12"/>
      <c r="N674" s="15"/>
      <c r="O674" s="1"/>
      <c r="Q674" s="12"/>
      <c r="R674" s="1"/>
    </row>
    <row r="675" ht="12.75" hidden="1" customHeight="1" outlineLevel="1">
      <c r="A675" s="17">
        <v>41920.0</v>
      </c>
      <c r="B675" s="12">
        <v>496778.64</v>
      </c>
      <c r="C675" s="19">
        <f t="shared" si="129"/>
        <v>0.01040246744</v>
      </c>
      <c r="D675" s="19">
        <f t="shared" si="128"/>
        <v>-0.00576990461</v>
      </c>
      <c r="E675" s="12"/>
      <c r="F675" s="7"/>
      <c r="G675" s="7"/>
      <c r="H675" s="1"/>
      <c r="I675" s="1"/>
      <c r="J675" s="1"/>
      <c r="K675" s="1"/>
      <c r="L675" s="12">
        <f t="shared" si="130"/>
        <v>13970.65556</v>
      </c>
      <c r="M675" s="12"/>
      <c r="N675" s="15"/>
      <c r="O675" s="1"/>
      <c r="Q675" s="12"/>
      <c r="R675" s="1"/>
    </row>
    <row r="676" ht="12.75" hidden="1" customHeight="1" outlineLevel="1">
      <c r="A676" s="17">
        <v>41921.0</v>
      </c>
      <c r="B676" s="12">
        <v>486335.72</v>
      </c>
      <c r="C676" s="19">
        <f t="shared" si="129"/>
        <v>-0.02102127418</v>
      </c>
      <c r="D676" s="19">
        <f t="shared" si="128"/>
        <v>-0.02666988805</v>
      </c>
      <c r="E676" s="12"/>
      <c r="F676" s="7"/>
      <c r="G676" s="7"/>
      <c r="H676" s="1"/>
      <c r="I676" s="1"/>
      <c r="J676" s="1"/>
      <c r="K676" s="1"/>
      <c r="L676" s="12">
        <f t="shared" si="130"/>
        <v>13676.97458</v>
      </c>
      <c r="M676" s="12"/>
      <c r="N676" s="15"/>
      <c r="O676" s="1"/>
      <c r="Q676" s="12"/>
      <c r="R676" s="1"/>
    </row>
    <row r="677" ht="12.75" hidden="1" customHeight="1" outlineLevel="1">
      <c r="A677" s="17">
        <v>41922.0</v>
      </c>
      <c r="B677" s="12">
        <v>483329.32</v>
      </c>
      <c r="C677" s="19">
        <f t="shared" si="129"/>
        <v>-0.006181737998</v>
      </c>
      <c r="D677" s="19">
        <f t="shared" si="128"/>
        <v>-0.03268675978</v>
      </c>
      <c r="E677" s="12"/>
      <c r="F677" s="7"/>
      <c r="G677" s="7"/>
      <c r="H677" s="1"/>
      <c r="I677" s="1"/>
      <c r="J677" s="1"/>
      <c r="K677" s="1"/>
      <c r="L677" s="12">
        <f t="shared" si="130"/>
        <v>13592.4271</v>
      </c>
      <c r="M677" s="12"/>
      <c r="N677" s="15"/>
      <c r="O677" s="1"/>
      <c r="Q677" s="12"/>
      <c r="R677" s="1"/>
    </row>
    <row r="678" ht="12.75" hidden="1" customHeight="1" outlineLevel="1">
      <c r="A678" s="17">
        <v>41925.0</v>
      </c>
      <c r="B678" s="12">
        <v>475339.4</v>
      </c>
      <c r="C678" s="19">
        <f t="shared" si="129"/>
        <v>-0.01653100623</v>
      </c>
      <c r="D678" s="19">
        <f t="shared" si="128"/>
        <v>-0.04867742098</v>
      </c>
      <c r="E678" s="12"/>
      <c r="F678" s="7"/>
      <c r="G678" s="7"/>
      <c r="H678" s="1"/>
      <c r="I678" s="1"/>
      <c r="J678" s="1"/>
      <c r="K678" s="1"/>
      <c r="L678" s="12">
        <f t="shared" si="130"/>
        <v>13367.73061</v>
      </c>
      <c r="M678" s="12"/>
      <c r="N678" s="15"/>
      <c r="O678" s="1"/>
      <c r="Q678" s="12"/>
      <c r="R678" s="1"/>
    </row>
    <row r="679" ht="12.75" hidden="1" customHeight="1" outlineLevel="1">
      <c r="A679" s="17">
        <v>41926.0</v>
      </c>
      <c r="B679" s="12">
        <v>480891.57</v>
      </c>
      <c r="C679" s="19">
        <f t="shared" si="129"/>
        <v>0.01168043297</v>
      </c>
      <c r="D679" s="19">
        <f t="shared" si="128"/>
        <v>-0.03756556137</v>
      </c>
      <c r="E679" s="12"/>
      <c r="F679" s="7"/>
      <c r="G679" s="7"/>
      <c r="H679" s="1"/>
      <c r="I679" s="1"/>
      <c r="J679" s="1"/>
      <c r="K679" s="1"/>
      <c r="L679" s="12">
        <f t="shared" si="130"/>
        <v>13523.87149</v>
      </c>
      <c r="M679" s="12"/>
      <c r="N679" s="15"/>
      <c r="O679" s="1"/>
      <c r="Q679" s="12"/>
      <c r="R679" s="1"/>
    </row>
    <row r="680" ht="12.75" hidden="1" customHeight="1" outlineLevel="1">
      <c r="A680" s="17">
        <v>41927.0</v>
      </c>
      <c r="B680" s="120">
        <v>472798.65</v>
      </c>
      <c r="C680" s="19">
        <f t="shared" si="129"/>
        <v>-0.0168289912</v>
      </c>
      <c r="D680" s="19">
        <f t="shared" si="128"/>
        <v>-0.05376236207</v>
      </c>
      <c r="E680" s="12"/>
      <c r="F680" s="7"/>
      <c r="G680" s="7"/>
      <c r="H680" s="1"/>
      <c r="I680" s="1"/>
      <c r="J680" s="1"/>
      <c r="K680" s="1"/>
      <c r="L680" s="12">
        <f t="shared" si="130"/>
        <v>13296.27837</v>
      </c>
      <c r="M680" s="12"/>
      <c r="N680" s="15"/>
      <c r="O680" s="1"/>
      <c r="Q680" s="12"/>
      <c r="R680" s="1"/>
    </row>
    <row r="681" ht="12.75" hidden="1" customHeight="1" outlineLevel="1">
      <c r="A681" s="17">
        <v>41928.0</v>
      </c>
      <c r="B681" s="120">
        <v>477909.73</v>
      </c>
      <c r="C681" s="19">
        <f t="shared" si="129"/>
        <v>0.01081026775</v>
      </c>
      <c r="D681" s="19">
        <f t="shared" si="128"/>
        <v>-0.04353327984</v>
      </c>
      <c r="E681" s="12"/>
      <c r="F681" s="7"/>
      <c r="G681" s="7"/>
      <c r="H681" s="1"/>
      <c r="I681" s="1"/>
      <c r="J681" s="1"/>
      <c r="K681" s="1"/>
      <c r="L681" s="12">
        <f t="shared" si="130"/>
        <v>13440.0147</v>
      </c>
      <c r="M681" s="12"/>
      <c r="N681" s="15"/>
      <c r="O681" s="1"/>
      <c r="Q681" s="12"/>
      <c r="R681" s="1"/>
    </row>
    <row r="682" ht="12.75" hidden="1" customHeight="1" outlineLevel="1">
      <c r="A682" s="17">
        <v>41929.0</v>
      </c>
      <c r="B682" s="120">
        <v>483962.62</v>
      </c>
      <c r="C682" s="19">
        <f t="shared" si="129"/>
        <v>0.01266534163</v>
      </c>
      <c r="D682" s="19">
        <f t="shared" si="128"/>
        <v>-0.03141930207</v>
      </c>
      <c r="E682" s="12"/>
      <c r="F682" s="7"/>
      <c r="G682" s="7"/>
      <c r="H682" s="1"/>
      <c r="I682" s="1"/>
      <c r="J682" s="1"/>
      <c r="K682" s="1"/>
      <c r="L682" s="12">
        <f t="shared" si="130"/>
        <v>13610.23708</v>
      </c>
      <c r="M682" s="12"/>
      <c r="N682" s="15"/>
      <c r="O682" s="1"/>
      <c r="Q682" s="12"/>
      <c r="R682" s="1"/>
    </row>
    <row r="683" ht="12.75" hidden="1" customHeight="1" outlineLevel="1">
      <c r="A683" s="17">
        <v>41932.0</v>
      </c>
      <c r="B683" s="120">
        <v>486004.6</v>
      </c>
      <c r="C683" s="19">
        <f t="shared" si="129"/>
        <v>0.004219292804</v>
      </c>
      <c r="D683" s="19">
        <f t="shared" si="128"/>
        <v>-0.0273325765</v>
      </c>
      <c r="E683" s="12"/>
      <c r="F683" s="7"/>
      <c r="G683" s="7"/>
      <c r="H683" s="1"/>
      <c r="I683" s="1"/>
      <c r="J683" s="1"/>
      <c r="K683" s="1"/>
      <c r="L683" s="12">
        <f t="shared" si="130"/>
        <v>13667.66266</v>
      </c>
      <c r="M683" s="12"/>
      <c r="N683" s="15"/>
      <c r="O683" s="1"/>
      <c r="Q683" s="12"/>
      <c r="R683" s="1"/>
    </row>
    <row r="684" ht="12.75" hidden="1" customHeight="1" outlineLevel="1">
      <c r="A684" s="17">
        <v>41933.0</v>
      </c>
      <c r="B684" s="120">
        <v>499010.48</v>
      </c>
      <c r="C684" s="19">
        <f t="shared" si="129"/>
        <v>0.02676081667</v>
      </c>
      <c r="D684" s="19">
        <f t="shared" si="128"/>
        <v>-0.001303201903</v>
      </c>
      <c r="E684" s="12"/>
      <c r="F684" s="7"/>
      <c r="G684" s="7"/>
      <c r="H684" s="1"/>
      <c r="I684" s="1"/>
      <c r="J684" s="1"/>
      <c r="K684" s="1"/>
      <c r="L684" s="12">
        <f t="shared" si="130"/>
        <v>14033.42047</v>
      </c>
      <c r="M684" s="12"/>
      <c r="N684" s="15"/>
      <c r="O684" s="1"/>
      <c r="Q684" s="12"/>
      <c r="R684" s="1"/>
    </row>
    <row r="685" ht="12.75" hidden="1" customHeight="1" outlineLevel="1">
      <c r="A685" s="17">
        <v>41934.0</v>
      </c>
      <c r="B685" s="120">
        <v>493064.56</v>
      </c>
      <c r="C685" s="19">
        <f t="shared" si="129"/>
        <v>-0.01191542109</v>
      </c>
      <c r="D685" s="19">
        <f t="shared" si="128"/>
        <v>-0.0132030948</v>
      </c>
      <c r="E685" s="12"/>
      <c r="F685" s="7"/>
      <c r="G685" s="7"/>
      <c r="H685" s="1"/>
      <c r="I685" s="1"/>
      <c r="J685" s="1"/>
      <c r="K685" s="1"/>
      <c r="L685" s="12">
        <f t="shared" si="130"/>
        <v>13866.20636</v>
      </c>
      <c r="M685" s="12"/>
      <c r="N685" s="15"/>
      <c r="O685" s="1"/>
      <c r="Q685" s="12"/>
      <c r="R685" s="1"/>
    </row>
    <row r="686" ht="12.75" hidden="1" customHeight="1" outlineLevel="1">
      <c r="A686" s="17">
        <v>41935.0</v>
      </c>
      <c r="B686" s="120">
        <v>498313.0</v>
      </c>
      <c r="C686" s="19">
        <f t="shared" si="129"/>
        <v>0.01064452898</v>
      </c>
      <c r="D686" s="19">
        <f t="shared" si="128"/>
        <v>-0.002699106539</v>
      </c>
      <c r="E686" s="12"/>
      <c r="F686" s="7"/>
      <c r="G686" s="7"/>
      <c r="H686" s="1"/>
      <c r="I686" s="1"/>
      <c r="J686" s="1"/>
      <c r="K686" s="1"/>
      <c r="L686" s="12">
        <f t="shared" si="130"/>
        <v>14013.80559</v>
      </c>
      <c r="M686" s="12"/>
      <c r="N686" s="15"/>
      <c r="O686" s="1"/>
      <c r="Q686" s="12"/>
      <c r="R686" s="1"/>
    </row>
    <row r="687" ht="12.75" hidden="1" customHeight="1" outlineLevel="1">
      <c r="A687" s="17">
        <v>41936.0</v>
      </c>
      <c r="B687" s="120">
        <v>499185.73</v>
      </c>
      <c r="C687" s="19">
        <f t="shared" si="129"/>
        <v>0.001751369119</v>
      </c>
      <c r="D687" s="19">
        <f t="shared" si="128"/>
        <v>-0.0009524645518</v>
      </c>
      <c r="E687" s="12"/>
      <c r="F687" s="7"/>
      <c r="G687" s="7"/>
      <c r="H687" s="1"/>
      <c r="I687" s="1"/>
      <c r="J687" s="1"/>
      <c r="K687" s="1"/>
      <c r="L687" s="12">
        <f t="shared" si="130"/>
        <v>14038.34894</v>
      </c>
      <c r="M687" s="12"/>
      <c r="N687" s="15"/>
      <c r="O687" s="1"/>
      <c r="Q687" s="12"/>
      <c r="R687" s="1"/>
    </row>
    <row r="688" ht="12.75" hidden="1" customHeight="1" outlineLevel="1">
      <c r="A688" s="17">
        <v>41939.0</v>
      </c>
      <c r="B688" s="120">
        <v>506995.93</v>
      </c>
      <c r="C688" s="19">
        <f t="shared" si="129"/>
        <v>0.01564587994</v>
      </c>
      <c r="D688" s="19">
        <f t="shared" si="128"/>
        <v>0.01467851324</v>
      </c>
      <c r="E688" s="12"/>
      <c r="F688" s="7"/>
      <c r="G688" s="7"/>
      <c r="H688" s="1"/>
      <c r="I688" s="1"/>
      <c r="J688" s="1"/>
      <c r="K688" s="1"/>
      <c r="L688" s="12">
        <f t="shared" si="130"/>
        <v>14257.99126</v>
      </c>
      <c r="M688" s="12"/>
      <c r="N688" s="15"/>
      <c r="O688" s="1"/>
      <c r="Q688" s="12"/>
      <c r="R688" s="1"/>
    </row>
    <row r="689" ht="12.75" hidden="1" customHeight="1" outlineLevel="1">
      <c r="A689" s="17">
        <v>41940.0</v>
      </c>
      <c r="B689" s="120">
        <v>509864.26</v>
      </c>
      <c r="C689" s="19">
        <f t="shared" si="129"/>
        <v>0.005657501038</v>
      </c>
      <c r="D689" s="19">
        <f t="shared" si="128"/>
        <v>0.02041905798</v>
      </c>
      <c r="E689" s="12"/>
      <c r="F689" s="7"/>
      <c r="G689" s="7"/>
      <c r="H689" s="1"/>
      <c r="I689" s="1"/>
      <c r="J689" s="1"/>
      <c r="K689" s="1"/>
      <c r="L689" s="12">
        <f t="shared" si="130"/>
        <v>14338.65586</v>
      </c>
      <c r="M689" s="12"/>
      <c r="N689" s="15"/>
      <c r="O689" s="1"/>
      <c r="Q689" s="12"/>
      <c r="R689" s="1"/>
    </row>
    <row r="690" ht="12.75" hidden="1" customHeight="1" outlineLevel="1">
      <c r="A690" s="17">
        <v>41941.0</v>
      </c>
      <c r="B690" s="120">
        <v>513595.4</v>
      </c>
      <c r="C690" s="19">
        <f t="shared" si="129"/>
        <v>0.007317908496</v>
      </c>
      <c r="D690" s="19">
        <f t="shared" si="128"/>
        <v>0.02788639128</v>
      </c>
      <c r="E690" s="12"/>
      <c r="F690" s="7"/>
      <c r="G690" s="7"/>
      <c r="H690" s="1"/>
      <c r="I690" s="1"/>
      <c r="J690" s="1"/>
      <c r="K690" s="1"/>
      <c r="L690" s="12">
        <f t="shared" si="130"/>
        <v>14443.58483</v>
      </c>
      <c r="M690" s="12"/>
      <c r="N690" s="15"/>
      <c r="O690" s="1"/>
      <c r="Q690" s="12"/>
      <c r="R690" s="1"/>
    </row>
    <row r="691" ht="12.75" hidden="1" customHeight="1" outlineLevel="1">
      <c r="A691" s="17">
        <v>41942.0</v>
      </c>
      <c r="B691" s="120">
        <v>512791.85</v>
      </c>
      <c r="C691" s="19">
        <f t="shared" si="129"/>
        <v>-0.001564558405</v>
      </c>
      <c r="D691" s="19">
        <f t="shared" si="128"/>
        <v>0.02627820299</v>
      </c>
      <c r="E691" s="12"/>
      <c r="F691" s="7"/>
      <c r="G691" s="7"/>
      <c r="H691" s="1"/>
      <c r="I691" s="1"/>
      <c r="J691" s="1"/>
      <c r="K691" s="7" t="s">
        <v>367</v>
      </c>
      <c r="L691" s="12">
        <f t="shared" si="130"/>
        <v>14420.987</v>
      </c>
      <c r="M691" s="12"/>
      <c r="N691" s="15"/>
      <c r="O691" s="1"/>
      <c r="Q691" s="12"/>
      <c r="R691" s="1"/>
    </row>
    <row r="692" ht="12.75" hidden="1" customHeight="1" outlineLevel="1">
      <c r="A692" s="17">
        <v>41943.0</v>
      </c>
      <c r="B692" s="120">
        <v>515616.32</v>
      </c>
      <c r="C692" s="19">
        <f t="shared" si="129"/>
        <v>0.005508024357</v>
      </c>
      <c r="D692" s="19">
        <f t="shared" si="128"/>
        <v>0.03193096832</v>
      </c>
      <c r="E692" s="12"/>
      <c r="F692" s="7"/>
      <c r="G692" s="7"/>
      <c r="H692" s="1"/>
      <c r="I692" s="1"/>
      <c r="J692" s="1"/>
      <c r="K692" s="37">
        <f>3679.99/3592.25-1</f>
        <v>0.0244248034</v>
      </c>
      <c r="L692" s="12">
        <f t="shared" si="130"/>
        <v>14500.41815</v>
      </c>
      <c r="M692" s="12"/>
      <c r="N692" s="15"/>
      <c r="O692" s="1"/>
      <c r="Q692" s="12"/>
      <c r="R692" s="1"/>
    </row>
    <row r="693" ht="12.75" hidden="1" customHeight="1" outlineLevel="1">
      <c r="A693" s="17"/>
      <c r="B693" s="12"/>
      <c r="C693" s="1"/>
      <c r="D693" s="1"/>
      <c r="E693" s="12"/>
      <c r="F693" s="7"/>
      <c r="G693" s="7"/>
      <c r="H693" s="1"/>
      <c r="I693" s="1"/>
      <c r="J693" s="1"/>
      <c r="K693" s="1"/>
      <c r="L693" s="12"/>
      <c r="M693" s="12"/>
      <c r="N693" s="15"/>
      <c r="O693" s="1"/>
      <c r="Q693" s="12"/>
      <c r="R693" s="1"/>
    </row>
    <row r="694" ht="12.75" hidden="1" customHeight="1" outlineLevel="1">
      <c r="A694" s="17"/>
      <c r="B694" s="12">
        <f>B692</f>
        <v>515616.32</v>
      </c>
      <c r="C694" s="19"/>
      <c r="D694" s="19">
        <f t="shared" ref="D694:D714" si="131">(B694/$B$694)-1</f>
        <v>0</v>
      </c>
      <c r="E694" s="12"/>
      <c r="F694" s="7"/>
      <c r="G694" s="7"/>
      <c r="H694" s="1"/>
      <c r="I694" s="1"/>
      <c r="J694" s="1"/>
      <c r="K694" s="1"/>
      <c r="L694" s="12"/>
      <c r="M694" s="12"/>
      <c r="N694" s="15"/>
      <c r="O694" s="1"/>
      <c r="Q694" s="12"/>
      <c r="R694" s="1"/>
    </row>
    <row r="695" ht="12.75" hidden="1" customHeight="1" outlineLevel="1">
      <c r="A695" s="17">
        <v>41946.0</v>
      </c>
      <c r="B695" s="120">
        <v>518029.54</v>
      </c>
      <c r="C695" s="19">
        <f t="shared" ref="C695:C714" si="132">(B695/B694)-1</f>
        <v>0.00468026303</v>
      </c>
      <c r="D695" s="19">
        <f t="shared" si="131"/>
        <v>0.00468026303</v>
      </c>
      <c r="E695" s="12"/>
      <c r="F695" s="7"/>
      <c r="G695" s="7"/>
      <c r="H695" s="1"/>
      <c r="I695" s="1"/>
      <c r="J695" s="1"/>
      <c r="K695" s="1"/>
      <c r="L695" s="12">
        <f t="shared" ref="L695:L714" si="133">IF(C694="",L692*(1+C695),L694*(1+C695))</f>
        <v>14568.28392</v>
      </c>
      <c r="M695" s="12"/>
      <c r="N695" s="15"/>
      <c r="O695" s="1"/>
      <c r="Q695" s="12"/>
      <c r="R695" s="1"/>
    </row>
    <row r="696" ht="12.75" hidden="1" customHeight="1" outlineLevel="1">
      <c r="A696" s="17">
        <v>41947.0</v>
      </c>
      <c r="B696" s="120">
        <v>516898.13</v>
      </c>
      <c r="C696" s="19">
        <f t="shared" si="132"/>
        <v>-0.002184064638</v>
      </c>
      <c r="D696" s="19">
        <f t="shared" si="131"/>
        <v>0.002485976394</v>
      </c>
      <c r="E696" s="12"/>
      <c r="F696" s="7"/>
      <c r="G696" s="7"/>
      <c r="H696" s="1"/>
      <c r="I696" s="1"/>
      <c r="J696" s="1"/>
      <c r="K696" s="1"/>
      <c r="L696" s="12">
        <f t="shared" si="133"/>
        <v>14536.46585</v>
      </c>
      <c r="M696" s="12"/>
      <c r="N696" s="15"/>
      <c r="O696" s="1"/>
      <c r="Q696" s="12"/>
      <c r="R696" s="1"/>
    </row>
    <row r="697" ht="12.75" hidden="1" customHeight="1" outlineLevel="1">
      <c r="A697" s="17">
        <v>41948.0</v>
      </c>
      <c r="B697" s="120">
        <v>521126.22</v>
      </c>
      <c r="C697" s="19">
        <f t="shared" si="132"/>
        <v>0.008179735531</v>
      </c>
      <c r="D697" s="19">
        <f t="shared" si="131"/>
        <v>0.01068604655</v>
      </c>
      <c r="E697" s="12"/>
      <c r="F697" s="7"/>
      <c r="G697" s="7"/>
      <c r="H697" s="1"/>
      <c r="I697" s="1"/>
      <c r="J697" s="1"/>
      <c r="K697" s="1"/>
      <c r="L697" s="12">
        <f t="shared" si="133"/>
        <v>14655.37029</v>
      </c>
      <c r="M697" s="12"/>
      <c r="N697" s="15"/>
      <c r="O697" s="1"/>
      <c r="Q697" s="12"/>
      <c r="R697" s="1"/>
    </row>
    <row r="698" ht="12.75" hidden="1" customHeight="1" outlineLevel="1">
      <c r="A698" s="17">
        <v>41949.0</v>
      </c>
      <c r="B698" s="120">
        <v>527955.08</v>
      </c>
      <c r="C698" s="19">
        <f t="shared" si="132"/>
        <v>0.01310404224</v>
      </c>
      <c r="D698" s="19">
        <f t="shared" si="131"/>
        <v>0.0239301192</v>
      </c>
      <c r="E698" s="12"/>
      <c r="F698" s="7"/>
      <c r="G698" s="7"/>
      <c r="H698" s="1"/>
      <c r="I698" s="1"/>
      <c r="J698" s="1"/>
      <c r="K698" s="1"/>
      <c r="L698" s="12">
        <f t="shared" si="133"/>
        <v>14847.41488</v>
      </c>
      <c r="M698" s="12"/>
      <c r="N698" s="15"/>
      <c r="O698" s="1"/>
      <c r="Q698" s="12"/>
      <c r="R698" s="1"/>
    </row>
    <row r="699" ht="12.75" hidden="1" customHeight="1" outlineLevel="1">
      <c r="A699" s="17">
        <v>41950.0</v>
      </c>
      <c r="B699" s="120">
        <v>527623.09</v>
      </c>
      <c r="C699" s="19">
        <f t="shared" si="132"/>
        <v>-0.0006288224369</v>
      </c>
      <c r="D699" s="19">
        <f t="shared" si="131"/>
        <v>0.02328624897</v>
      </c>
      <c r="E699" s="12"/>
      <c r="F699" s="7"/>
      <c r="G699" s="7"/>
      <c r="H699" s="1"/>
      <c r="I699" s="1"/>
      <c r="J699" s="1"/>
      <c r="K699" s="1"/>
      <c r="L699" s="12">
        <f t="shared" si="133"/>
        <v>14838.0785</v>
      </c>
      <c r="M699" s="12"/>
      <c r="N699" s="15"/>
      <c r="O699" s="1"/>
      <c r="Q699" s="12"/>
      <c r="R699" s="1"/>
    </row>
    <row r="700" ht="12.75" hidden="1" customHeight="1" outlineLevel="1">
      <c r="A700" s="17">
        <v>41953.0</v>
      </c>
      <c r="B700" s="120">
        <v>533014.28</v>
      </c>
      <c r="C700" s="19">
        <f t="shared" si="132"/>
        <v>0.0102178811</v>
      </c>
      <c r="D700" s="19">
        <f t="shared" si="131"/>
        <v>0.03374206619</v>
      </c>
      <c r="E700" s="12"/>
      <c r="F700" s="7"/>
      <c r="G700" s="7"/>
      <c r="H700" s="1"/>
      <c r="I700" s="1"/>
      <c r="J700" s="1"/>
      <c r="K700" s="1"/>
      <c r="L700" s="12">
        <f t="shared" si="133"/>
        <v>14989.69222</v>
      </c>
      <c r="M700" s="12"/>
      <c r="N700" s="15"/>
      <c r="O700" s="1"/>
      <c r="Q700" s="12"/>
      <c r="R700" s="1"/>
    </row>
    <row r="701" ht="12.75" hidden="1" customHeight="1" outlineLevel="1">
      <c r="A701" s="17">
        <v>41954.0</v>
      </c>
      <c r="B701" s="120">
        <v>535232.94</v>
      </c>
      <c r="C701" s="19">
        <f t="shared" si="132"/>
        <v>0.004162477598</v>
      </c>
      <c r="D701" s="19">
        <f t="shared" si="131"/>
        <v>0.03804499439</v>
      </c>
      <c r="E701" s="12"/>
      <c r="F701" s="7"/>
      <c r="G701" s="7"/>
      <c r="H701" s="1"/>
      <c r="I701" s="1"/>
      <c r="J701" s="1"/>
      <c r="K701" s="1"/>
      <c r="L701" s="12">
        <f t="shared" si="133"/>
        <v>15052.08648</v>
      </c>
      <c r="M701" s="12"/>
      <c r="N701" s="15"/>
      <c r="O701" s="1"/>
      <c r="Q701" s="12"/>
      <c r="R701" s="1"/>
    </row>
    <row r="702" ht="12.75" hidden="1" customHeight="1" outlineLevel="1">
      <c r="A702" s="17">
        <v>41955.0</v>
      </c>
      <c r="B702" s="120">
        <v>534120.92</v>
      </c>
      <c r="C702" s="19">
        <f t="shared" si="132"/>
        <v>-0.002077637449</v>
      </c>
      <c r="D702" s="19">
        <f t="shared" si="131"/>
        <v>0.03588831323</v>
      </c>
      <c r="E702" s="12"/>
      <c r="F702" s="7"/>
      <c r="G702" s="7"/>
      <c r="H702" s="1"/>
      <c r="I702" s="1"/>
      <c r="J702" s="1"/>
      <c r="K702" s="1"/>
      <c r="L702" s="12">
        <f t="shared" si="133"/>
        <v>15020.8137</v>
      </c>
      <c r="M702" s="12"/>
      <c r="N702" s="15"/>
      <c r="O702" s="1"/>
      <c r="Q702" s="12"/>
      <c r="R702" s="1"/>
    </row>
    <row r="703" ht="12.75" hidden="1" customHeight="1" outlineLevel="1">
      <c r="A703" s="17">
        <v>41956.0</v>
      </c>
      <c r="B703" s="120">
        <v>535060.13</v>
      </c>
      <c r="C703" s="19">
        <f t="shared" si="132"/>
        <v>0.001758422044</v>
      </c>
      <c r="D703" s="19">
        <f t="shared" si="131"/>
        <v>0.03770984208</v>
      </c>
      <c r="E703" s="12"/>
      <c r="F703" s="7"/>
      <c r="G703" s="7"/>
      <c r="H703" s="1"/>
      <c r="I703" s="1"/>
      <c r="J703" s="1"/>
      <c r="K703" s="1"/>
      <c r="L703" s="12">
        <f t="shared" si="133"/>
        <v>15047.22663</v>
      </c>
      <c r="M703" s="12"/>
      <c r="N703" s="15"/>
      <c r="O703" s="1"/>
      <c r="Q703" s="12"/>
      <c r="R703" s="1"/>
    </row>
    <row r="704" ht="12.75" hidden="1" customHeight="1" outlineLevel="1">
      <c r="A704" s="17">
        <v>41957.0</v>
      </c>
      <c r="B704" s="120">
        <v>532855.34</v>
      </c>
      <c r="C704" s="19">
        <f t="shared" si="132"/>
        <v>-0.004120639675</v>
      </c>
      <c r="D704" s="19">
        <f t="shared" si="131"/>
        <v>0.03343381373</v>
      </c>
      <c r="E704" s="12"/>
      <c r="F704" s="7"/>
      <c r="G704" s="7"/>
      <c r="H704" s="1"/>
      <c r="I704" s="1"/>
      <c r="J704" s="1"/>
      <c r="K704" s="1"/>
      <c r="L704" s="12">
        <f t="shared" si="133"/>
        <v>14985.22243</v>
      </c>
      <c r="M704" s="12"/>
      <c r="N704" s="15"/>
      <c r="O704" s="1"/>
      <c r="Q704" s="12"/>
      <c r="R704" s="1"/>
    </row>
    <row r="705" ht="12.75" hidden="1" customHeight="1" outlineLevel="1">
      <c r="A705" s="17">
        <v>41960.0</v>
      </c>
      <c r="B705" s="120">
        <v>537971.18</v>
      </c>
      <c r="C705" s="19">
        <f t="shared" si="132"/>
        <v>0.009600804601</v>
      </c>
      <c r="D705" s="19">
        <f t="shared" si="131"/>
        <v>0.04335560985</v>
      </c>
      <c r="E705" s="12"/>
      <c r="F705" s="7"/>
      <c r="G705" s="7"/>
      <c r="H705" s="1"/>
      <c r="I705" s="1"/>
      <c r="J705" s="1"/>
      <c r="K705" s="1"/>
      <c r="L705" s="12">
        <f t="shared" si="133"/>
        <v>15129.09262</v>
      </c>
      <c r="M705" s="12"/>
      <c r="N705" s="15"/>
      <c r="O705" s="1"/>
      <c r="Q705" s="12"/>
      <c r="R705" s="1"/>
    </row>
    <row r="706" ht="12.75" hidden="1" customHeight="1" outlineLevel="1">
      <c r="A706" s="17">
        <v>41961.0</v>
      </c>
      <c r="B706" s="120">
        <v>543925.1</v>
      </c>
      <c r="C706" s="19">
        <f t="shared" si="132"/>
        <v>0.01106735866</v>
      </c>
      <c r="D706" s="19">
        <f t="shared" si="131"/>
        <v>0.05490280059</v>
      </c>
      <c r="E706" s="12"/>
      <c r="F706" s="7"/>
      <c r="G706" s="7"/>
      <c r="H706" s="1"/>
      <c r="I706" s="1"/>
      <c r="J706" s="1"/>
      <c r="K706" s="1"/>
      <c r="L706" s="12">
        <f t="shared" si="133"/>
        <v>15296.53171</v>
      </c>
      <c r="M706" s="12"/>
      <c r="N706" s="15"/>
      <c r="O706" s="1"/>
      <c r="Q706" s="12"/>
      <c r="R706" s="1"/>
    </row>
    <row r="707" ht="12.75" hidden="1" customHeight="1" outlineLevel="1">
      <c r="A707" s="17">
        <v>41962.0</v>
      </c>
      <c r="B707" s="120">
        <v>550793.14</v>
      </c>
      <c r="C707" s="19">
        <f t="shared" si="132"/>
        <v>0.01262681204</v>
      </c>
      <c r="D707" s="19">
        <f t="shared" si="131"/>
        <v>0.06822285997</v>
      </c>
      <c r="E707" s="12"/>
      <c r="F707" s="7"/>
      <c r="G707" s="7"/>
      <c r="H707" s="1"/>
      <c r="I707" s="1"/>
      <c r="J707" s="1"/>
      <c r="K707" s="1"/>
      <c r="L707" s="12">
        <f t="shared" si="133"/>
        <v>15489.67815</v>
      </c>
      <c r="M707" s="12"/>
      <c r="N707" s="15"/>
      <c r="O707" s="1"/>
      <c r="Q707" s="12"/>
      <c r="R707" s="1"/>
    </row>
    <row r="708" ht="12.75" hidden="1" customHeight="1" outlineLevel="1">
      <c r="A708" s="17">
        <v>41963.0</v>
      </c>
      <c r="B708" s="120">
        <v>548566.96</v>
      </c>
      <c r="C708" s="19">
        <f t="shared" si="132"/>
        <v>-0.004041771472</v>
      </c>
      <c r="D708" s="19">
        <f t="shared" si="131"/>
        <v>0.06390534729</v>
      </c>
      <c r="E708" s="12"/>
      <c r="F708" s="7"/>
      <c r="G708" s="7"/>
      <c r="H708" s="1"/>
      <c r="I708" s="1"/>
      <c r="J708" s="1"/>
      <c r="K708" s="1"/>
      <c r="L708" s="12">
        <f t="shared" si="133"/>
        <v>15427.07241</v>
      </c>
      <c r="M708" s="12"/>
      <c r="N708" s="15"/>
      <c r="O708" s="1"/>
      <c r="Q708" s="12"/>
      <c r="R708" s="1"/>
    </row>
    <row r="709" ht="12.75" hidden="1" customHeight="1" outlineLevel="1">
      <c r="A709" s="17">
        <v>41964.0</v>
      </c>
      <c r="B709" s="120">
        <v>548828.49</v>
      </c>
      <c r="C709" s="19">
        <f t="shared" si="132"/>
        <v>0.0004767512794</v>
      </c>
      <c r="D709" s="19">
        <f t="shared" si="131"/>
        <v>0.06441256553</v>
      </c>
      <c r="E709" s="12"/>
      <c r="F709" s="7"/>
      <c r="G709" s="7"/>
      <c r="H709" s="1"/>
      <c r="I709" s="1"/>
      <c r="J709" s="1"/>
      <c r="K709" s="1"/>
      <c r="L709" s="12">
        <f t="shared" si="133"/>
        <v>15434.42728</v>
      </c>
      <c r="M709" s="12"/>
      <c r="N709" s="15"/>
      <c r="O709" s="1"/>
      <c r="Q709" s="12"/>
      <c r="R709" s="1"/>
    </row>
    <row r="710" ht="12.75" hidden="1" customHeight="1" outlineLevel="1">
      <c r="A710" s="17">
        <v>41967.0</v>
      </c>
      <c r="B710" s="120">
        <v>548998.89</v>
      </c>
      <c r="C710" s="19">
        <f t="shared" si="132"/>
        <v>0.0003104795088</v>
      </c>
      <c r="D710" s="19">
        <f t="shared" si="131"/>
        <v>0.06474304382</v>
      </c>
      <c r="E710" s="12"/>
      <c r="F710" s="7"/>
      <c r="G710" s="7"/>
      <c r="H710" s="1"/>
      <c r="I710" s="1"/>
      <c r="J710" s="1"/>
      <c r="K710" s="1"/>
      <c r="L710" s="12">
        <f t="shared" si="133"/>
        <v>15439.21936</v>
      </c>
      <c r="M710" s="12"/>
      <c r="N710" s="15"/>
      <c r="O710" s="1"/>
      <c r="Q710" s="12"/>
      <c r="R710" s="1"/>
    </row>
    <row r="711" ht="12.75" hidden="1" customHeight="1" outlineLevel="1">
      <c r="A711" s="17">
        <v>41968.0</v>
      </c>
      <c r="B711" s="120">
        <v>550021.04</v>
      </c>
      <c r="C711" s="19">
        <f t="shared" si="132"/>
        <v>0.001861843473</v>
      </c>
      <c r="D711" s="19">
        <f t="shared" si="131"/>
        <v>0.06672542871</v>
      </c>
      <c r="E711" s="12"/>
      <c r="F711" s="7"/>
      <c r="G711" s="7"/>
      <c r="H711" s="1"/>
      <c r="I711" s="1"/>
      <c r="J711" s="1"/>
      <c r="K711" s="1"/>
      <c r="L711" s="12">
        <f t="shared" si="133"/>
        <v>15467.96477</v>
      </c>
      <c r="M711" s="12"/>
      <c r="N711" s="15"/>
      <c r="O711" s="1"/>
      <c r="Q711" s="12"/>
      <c r="R711" s="1"/>
    </row>
    <row r="712" ht="12.75" hidden="1" customHeight="1" outlineLevel="1">
      <c r="A712" s="17">
        <v>41969.0</v>
      </c>
      <c r="B712" s="120">
        <v>551417.21</v>
      </c>
      <c r="C712" s="19">
        <f t="shared" si="132"/>
        <v>0.002538393804</v>
      </c>
      <c r="D712" s="19">
        <f t="shared" si="131"/>
        <v>0.06943319793</v>
      </c>
      <c r="E712" s="12"/>
      <c r="F712" s="7"/>
      <c r="G712" s="7"/>
      <c r="H712" s="1"/>
      <c r="I712" s="1"/>
      <c r="J712" s="1"/>
      <c r="K712" s="1"/>
      <c r="L712" s="12">
        <f t="shared" si="133"/>
        <v>15507.22855</v>
      </c>
      <c r="M712" s="12"/>
      <c r="N712" s="15"/>
      <c r="O712" s="1"/>
      <c r="Q712" s="12"/>
      <c r="R712" s="1"/>
    </row>
    <row r="713" ht="12.75" hidden="1" customHeight="1" outlineLevel="1">
      <c r="A713" s="17">
        <v>41970.0</v>
      </c>
      <c r="B713" s="12">
        <f>B712</f>
        <v>551417.21</v>
      </c>
      <c r="C713" s="19">
        <f t="shared" si="132"/>
        <v>0</v>
      </c>
      <c r="D713" s="19">
        <f t="shared" si="131"/>
        <v>0.06943319793</v>
      </c>
      <c r="E713" s="12"/>
      <c r="F713" s="7"/>
      <c r="G713" s="7"/>
      <c r="H713" s="1"/>
      <c r="I713" s="1"/>
      <c r="J713" s="1"/>
      <c r="K713" s="7" t="s">
        <v>367</v>
      </c>
      <c r="L713" s="12">
        <f t="shared" si="133"/>
        <v>15507.22855</v>
      </c>
      <c r="M713" s="12"/>
      <c r="N713" s="15"/>
      <c r="O713" s="1"/>
      <c r="Q713" s="12"/>
      <c r="R713" s="1"/>
    </row>
    <row r="714" ht="12.75" hidden="1" customHeight="1" outlineLevel="1">
      <c r="A714" s="17">
        <v>41971.0</v>
      </c>
      <c r="B714" s="120">
        <v>552508.52</v>
      </c>
      <c r="C714" s="19">
        <f t="shared" si="132"/>
        <v>0.001979100362</v>
      </c>
      <c r="D714" s="19">
        <f t="shared" si="131"/>
        <v>0.07154971355</v>
      </c>
      <c r="E714" s="12"/>
      <c r="F714" s="7"/>
      <c r="G714" s="7"/>
      <c r="H714" s="1"/>
      <c r="I714" s="1"/>
      <c r="J714" s="1"/>
      <c r="K714" s="37">
        <f>3778.96/3679.99-1</f>
        <v>0.02689409482</v>
      </c>
      <c r="L714" s="12">
        <f t="shared" si="133"/>
        <v>15537.91891</v>
      </c>
      <c r="M714" s="12"/>
      <c r="N714" s="15"/>
      <c r="O714" s="1"/>
      <c r="Q714" s="12"/>
      <c r="R714" s="1"/>
    </row>
    <row r="715" ht="12.75" hidden="1" customHeight="1" outlineLevel="1">
      <c r="A715" s="17"/>
      <c r="B715" s="12"/>
      <c r="C715" s="19"/>
      <c r="D715" s="19"/>
      <c r="E715" s="12"/>
      <c r="F715" s="7"/>
      <c r="G715" s="7"/>
      <c r="H715" s="1"/>
      <c r="I715" s="1"/>
      <c r="J715" s="1"/>
      <c r="K715" s="1"/>
      <c r="L715" s="12"/>
      <c r="M715" s="12"/>
      <c r="N715" s="15"/>
      <c r="O715" s="1"/>
      <c r="Q715" s="12"/>
      <c r="R715" s="1"/>
    </row>
    <row r="716" ht="12.75" hidden="1" customHeight="1" outlineLevel="1">
      <c r="A716" s="17"/>
      <c r="B716" s="12">
        <f>B714</f>
        <v>552508.52</v>
      </c>
      <c r="C716" s="19"/>
      <c r="D716" s="19">
        <f t="shared" ref="D716:D739" si="134">(B716/$B$716)-1</f>
        <v>0</v>
      </c>
      <c r="E716" s="12"/>
      <c r="F716" s="7"/>
      <c r="G716" s="7"/>
      <c r="H716" s="1"/>
      <c r="I716" s="1"/>
      <c r="J716" s="1"/>
      <c r="K716" s="1"/>
      <c r="L716" s="12"/>
      <c r="M716" s="12"/>
      <c r="N716" s="15"/>
      <c r="O716" s="1"/>
      <c r="Q716" s="12"/>
      <c r="R716" s="1"/>
    </row>
    <row r="717" ht="12.75" hidden="1" customHeight="1" outlineLevel="1">
      <c r="A717" s="17">
        <v>41974.0</v>
      </c>
      <c r="B717" s="120">
        <v>552730.74</v>
      </c>
      <c r="C717" s="19">
        <f t="shared" ref="C717:C739" si="135">(B717/B716)-1</f>
        <v>0.0004022019425</v>
      </c>
      <c r="D717" s="19">
        <f t="shared" si="134"/>
        <v>0.0004022019425</v>
      </c>
      <c r="E717" s="12"/>
      <c r="F717" s="7"/>
      <c r="G717" s="7"/>
      <c r="H717" s="1"/>
      <c r="I717" s="1"/>
      <c r="J717" s="1"/>
      <c r="K717" s="1"/>
      <c r="L717" s="12">
        <f t="shared" ref="L717:L739" si="136">IF(C716="",L714*(1+C717),L716*(1+C717))</f>
        <v>15544.16829</v>
      </c>
      <c r="M717" s="12"/>
      <c r="N717" s="15"/>
      <c r="O717" s="1"/>
      <c r="Q717" s="12"/>
      <c r="R717" s="1"/>
    </row>
    <row r="718" ht="12.75" hidden="1" customHeight="1" outlineLevel="1">
      <c r="A718" s="17">
        <v>41975.0</v>
      </c>
      <c r="B718" s="120">
        <v>562558.49</v>
      </c>
      <c r="C718" s="19">
        <f t="shared" si="135"/>
        <v>0.01778035721</v>
      </c>
      <c r="D718" s="19">
        <f t="shared" si="134"/>
        <v>0.01818971045</v>
      </c>
      <c r="E718" s="12"/>
      <c r="F718" s="7"/>
      <c r="G718" s="7"/>
      <c r="H718" s="1"/>
      <c r="I718" s="1"/>
      <c r="J718" s="1"/>
      <c r="K718" s="1"/>
      <c r="L718" s="12">
        <f t="shared" si="136"/>
        <v>15820.54916</v>
      </c>
      <c r="M718" s="12"/>
      <c r="N718" s="15"/>
      <c r="O718" s="1"/>
      <c r="Q718" s="12"/>
      <c r="R718" s="1"/>
    </row>
    <row r="719" ht="12.75" hidden="1" customHeight="1" outlineLevel="1">
      <c r="A719" s="17">
        <v>41976.0</v>
      </c>
      <c r="B719" s="120">
        <v>563066.2</v>
      </c>
      <c r="C719" s="19">
        <f t="shared" si="135"/>
        <v>0.0009025017114</v>
      </c>
      <c r="D719" s="19">
        <f t="shared" si="134"/>
        <v>0.01910862841</v>
      </c>
      <c r="E719" s="12"/>
      <c r="F719" s="7"/>
      <c r="G719" s="7"/>
      <c r="H719" s="1"/>
      <c r="I719" s="1"/>
      <c r="J719" s="1"/>
      <c r="K719" s="1"/>
      <c r="L719" s="12">
        <f t="shared" si="136"/>
        <v>15834.82723</v>
      </c>
      <c r="M719" s="12"/>
      <c r="N719" s="15"/>
      <c r="O719" s="1"/>
      <c r="Q719" s="12"/>
      <c r="R719" s="1"/>
    </row>
    <row r="720" ht="12.75" hidden="1" customHeight="1" outlineLevel="1">
      <c r="A720" s="17">
        <v>41977.0</v>
      </c>
      <c r="B720" s="120">
        <v>571481.02</v>
      </c>
      <c r="C720" s="19">
        <f t="shared" si="135"/>
        <v>0.01494463706</v>
      </c>
      <c r="D720" s="19">
        <f t="shared" si="134"/>
        <v>0.03433883698</v>
      </c>
      <c r="E720" s="12"/>
      <c r="F720" s="7"/>
      <c r="G720" s="7"/>
      <c r="H720" s="1"/>
      <c r="I720" s="1"/>
      <c r="J720" s="1"/>
      <c r="K720" s="1"/>
      <c r="L720" s="12">
        <f t="shared" si="136"/>
        <v>16071.47298</v>
      </c>
      <c r="M720" s="12"/>
      <c r="N720" s="15"/>
      <c r="O720" s="1"/>
      <c r="Q720" s="12"/>
      <c r="R720" s="1"/>
    </row>
    <row r="721" ht="12.75" hidden="1" customHeight="1" outlineLevel="1">
      <c r="A721" s="17">
        <v>41978.0</v>
      </c>
      <c r="B721" s="120">
        <v>573330.44</v>
      </c>
      <c r="C721" s="19">
        <f t="shared" si="135"/>
        <v>0.003236187966</v>
      </c>
      <c r="D721" s="19">
        <f t="shared" si="134"/>
        <v>0.03768615188</v>
      </c>
      <c r="E721" s="12"/>
      <c r="F721" s="7"/>
      <c r="G721" s="7"/>
      <c r="H721" s="1"/>
      <c r="I721" s="1"/>
      <c r="J721" s="1"/>
      <c r="K721" s="1"/>
      <c r="L721" s="12">
        <f t="shared" si="136"/>
        <v>16123.48329</v>
      </c>
      <c r="M721" s="12"/>
      <c r="N721" s="15"/>
      <c r="O721" s="1"/>
      <c r="Q721" s="12"/>
      <c r="R721" s="1"/>
    </row>
    <row r="722" ht="12.75" hidden="1" customHeight="1" outlineLevel="1">
      <c r="A722" s="17">
        <v>41981.0</v>
      </c>
      <c r="B722" s="120">
        <v>584271.1</v>
      </c>
      <c r="C722" s="19">
        <f t="shared" si="135"/>
        <v>0.01908264281</v>
      </c>
      <c r="D722" s="19">
        <f t="shared" si="134"/>
        <v>0.05748794607</v>
      </c>
      <c r="E722" s="12"/>
      <c r="F722" s="7"/>
      <c r="G722" s="7"/>
      <c r="H722" s="1"/>
      <c r="I722" s="1"/>
      <c r="J722" s="1"/>
      <c r="K722" s="1"/>
      <c r="L722" s="12">
        <f t="shared" si="136"/>
        <v>16431.16196</v>
      </c>
      <c r="M722" s="12"/>
      <c r="N722" s="15"/>
      <c r="O722" s="1"/>
      <c r="Q722" s="12"/>
      <c r="R722" s="1"/>
    </row>
    <row r="723" ht="12.75" hidden="1" customHeight="1" outlineLevel="1">
      <c r="A723" s="17">
        <v>41982.0</v>
      </c>
      <c r="B723" s="120">
        <v>577378.13</v>
      </c>
      <c r="C723" s="19">
        <f t="shared" si="135"/>
        <v>-0.01179755425</v>
      </c>
      <c r="D723" s="19">
        <f t="shared" si="134"/>
        <v>0.04501217465</v>
      </c>
      <c r="E723" s="12"/>
      <c r="F723" s="7"/>
      <c r="G723" s="7"/>
      <c r="H723" s="1"/>
      <c r="I723" s="1"/>
      <c r="J723" s="1"/>
      <c r="K723" s="1"/>
      <c r="L723" s="12">
        <f t="shared" si="136"/>
        <v>16237.31443</v>
      </c>
      <c r="M723" s="12"/>
      <c r="N723" s="15"/>
      <c r="O723" s="1"/>
      <c r="Q723" s="12"/>
      <c r="R723" s="1"/>
    </row>
    <row r="724" ht="12.75" hidden="1" customHeight="1" outlineLevel="1">
      <c r="A724" s="17">
        <v>41983.0</v>
      </c>
      <c r="B724" s="120">
        <v>585696.31</v>
      </c>
      <c r="C724" s="19">
        <f t="shared" si="135"/>
        <v>0.01440681517</v>
      </c>
      <c r="D724" s="19">
        <f t="shared" si="134"/>
        <v>0.0600674719</v>
      </c>
      <c r="E724" s="12"/>
      <c r="F724" s="7"/>
      <c r="G724" s="7"/>
      <c r="H724" s="1"/>
      <c r="I724" s="1"/>
      <c r="J724" s="1"/>
      <c r="K724" s="1"/>
      <c r="L724" s="12">
        <f t="shared" si="136"/>
        <v>16471.24242</v>
      </c>
      <c r="M724" s="12"/>
      <c r="N724" s="15"/>
      <c r="O724" s="1"/>
      <c r="Q724" s="12"/>
      <c r="R724" s="1"/>
    </row>
    <row r="725" ht="12.75" hidden="1" customHeight="1" outlineLevel="1">
      <c r="A725" s="17">
        <v>41984.0</v>
      </c>
      <c r="B725" s="120">
        <v>598079.47</v>
      </c>
      <c r="C725" s="19">
        <f t="shared" si="135"/>
        <v>0.02114262936</v>
      </c>
      <c r="D725" s="19">
        <f t="shared" si="134"/>
        <v>0.08248008556</v>
      </c>
      <c r="E725" s="12"/>
      <c r="F725" s="7"/>
      <c r="G725" s="7"/>
      <c r="H725" s="1"/>
      <c r="I725" s="1"/>
      <c r="J725" s="1"/>
      <c r="K725" s="1"/>
      <c r="L725" s="12">
        <f t="shared" si="136"/>
        <v>16819.48779</v>
      </c>
      <c r="M725" s="12"/>
      <c r="N725" s="15"/>
      <c r="O725" s="1"/>
      <c r="Q725" s="12"/>
      <c r="R725" s="1"/>
    </row>
    <row r="726" ht="12.75" hidden="1" customHeight="1" outlineLevel="1">
      <c r="A726" s="17">
        <v>41985.0</v>
      </c>
      <c r="B726" s="120">
        <v>587868.41</v>
      </c>
      <c r="C726" s="19">
        <f t="shared" si="135"/>
        <v>-0.01707308228</v>
      </c>
      <c r="D726" s="19">
        <f t="shared" si="134"/>
        <v>0.06399881399</v>
      </c>
      <c r="E726" s="12"/>
      <c r="F726" s="7"/>
      <c r="G726" s="7"/>
      <c r="H726" s="1"/>
      <c r="I726" s="1"/>
      <c r="J726" s="1"/>
      <c r="K726" s="1"/>
      <c r="L726" s="12">
        <f t="shared" si="136"/>
        <v>16532.3273</v>
      </c>
      <c r="M726" s="12"/>
      <c r="N726" s="15"/>
      <c r="O726" s="1"/>
      <c r="Q726" s="12"/>
      <c r="R726" s="1"/>
    </row>
    <row r="727" ht="12.75" hidden="1" customHeight="1" outlineLevel="1">
      <c r="A727" s="17">
        <v>41988.0</v>
      </c>
      <c r="B727" s="120">
        <v>592326.0</v>
      </c>
      <c r="C727" s="19">
        <f t="shared" si="135"/>
        <v>0.007582632311</v>
      </c>
      <c r="D727" s="19">
        <f t="shared" si="134"/>
        <v>0.07206672578</v>
      </c>
      <c r="E727" s="12"/>
      <c r="F727" s="7"/>
      <c r="G727" s="7"/>
      <c r="H727" s="1"/>
      <c r="I727" s="1"/>
      <c r="J727" s="1"/>
      <c r="K727" s="1"/>
      <c r="L727" s="12">
        <f t="shared" si="136"/>
        <v>16657.68586</v>
      </c>
      <c r="M727" s="12"/>
      <c r="N727" s="15"/>
      <c r="O727" s="1"/>
      <c r="Q727" s="12"/>
      <c r="R727" s="1"/>
    </row>
    <row r="728" ht="12.75" hidden="1" customHeight="1" outlineLevel="1">
      <c r="A728" s="17">
        <v>41989.0</v>
      </c>
      <c r="B728" s="120">
        <v>584202.07</v>
      </c>
      <c r="C728" s="19">
        <f t="shared" si="135"/>
        <v>-0.01371530205</v>
      </c>
      <c r="D728" s="19">
        <f t="shared" si="134"/>
        <v>0.05736300682</v>
      </c>
      <c r="E728" s="12"/>
      <c r="F728" s="7"/>
      <c r="G728" s="7"/>
      <c r="H728" s="1"/>
      <c r="I728" s="1"/>
      <c r="J728" s="1"/>
      <c r="K728" s="1"/>
      <c r="L728" s="12">
        <f t="shared" si="136"/>
        <v>16429.22066</v>
      </c>
      <c r="M728" s="12"/>
      <c r="N728" s="15"/>
      <c r="O728" s="1"/>
      <c r="Q728" s="12"/>
      <c r="R728" s="1"/>
    </row>
    <row r="729" ht="12.75" hidden="1" customHeight="1" outlineLevel="1">
      <c r="A729" s="17">
        <v>41990.0</v>
      </c>
      <c r="B729" s="120">
        <v>584138.5</v>
      </c>
      <c r="C729" s="19">
        <f t="shared" si="135"/>
        <v>-0.0001088150886</v>
      </c>
      <c r="D729" s="19">
        <f t="shared" si="134"/>
        <v>0.05724794977</v>
      </c>
      <c r="E729" s="12"/>
      <c r="F729" s="7"/>
      <c r="G729" s="7"/>
      <c r="H729" s="1"/>
      <c r="I729" s="1"/>
      <c r="J729" s="1"/>
      <c r="K729" s="1"/>
      <c r="L729" s="12">
        <f t="shared" si="136"/>
        <v>16427.43292</v>
      </c>
      <c r="M729" s="12"/>
      <c r="N729" s="15"/>
      <c r="O729" s="1"/>
      <c r="Q729" s="12"/>
      <c r="R729" s="1"/>
    </row>
    <row r="730" ht="12.75" hidden="1" customHeight="1" outlineLevel="1">
      <c r="A730" s="17">
        <v>41991.0</v>
      </c>
      <c r="B730" s="120">
        <v>596693.32</v>
      </c>
      <c r="C730" s="19">
        <f t="shared" si="135"/>
        <v>0.02149288225</v>
      </c>
      <c r="D730" s="19">
        <f t="shared" si="134"/>
        <v>0.07997125547</v>
      </c>
      <c r="E730" s="12"/>
      <c r="F730" s="7"/>
      <c r="G730" s="7"/>
      <c r="H730" s="1"/>
      <c r="I730" s="1"/>
      <c r="J730" s="1"/>
      <c r="K730" s="1"/>
      <c r="L730" s="12">
        <f t="shared" si="136"/>
        <v>16780.5058</v>
      </c>
      <c r="M730" s="12"/>
      <c r="N730" s="15"/>
      <c r="O730" s="1"/>
      <c r="Q730" s="12"/>
      <c r="R730" s="1"/>
    </row>
    <row r="731" ht="12.75" hidden="1" customHeight="1" outlineLevel="1">
      <c r="A731" s="17">
        <v>41992.0</v>
      </c>
      <c r="B731" s="120">
        <v>600672.99</v>
      </c>
      <c r="C731" s="19">
        <f t="shared" si="135"/>
        <v>0.006669540058</v>
      </c>
      <c r="D731" s="19">
        <f t="shared" si="134"/>
        <v>0.08717416702</v>
      </c>
      <c r="E731" s="12"/>
      <c r="F731" s="7"/>
      <c r="G731" s="7"/>
      <c r="H731" s="1"/>
      <c r="I731" s="1"/>
      <c r="J731" s="1"/>
      <c r="K731" s="1"/>
      <c r="L731" s="12">
        <f t="shared" si="136"/>
        <v>16892.42405</v>
      </c>
      <c r="M731" s="12"/>
      <c r="N731" s="15"/>
      <c r="O731" s="1"/>
      <c r="Q731" s="12"/>
      <c r="R731" s="1"/>
    </row>
    <row r="732" ht="12.75" hidden="1" customHeight="1" outlineLevel="1">
      <c r="A732" s="17">
        <v>41995.0</v>
      </c>
      <c r="B732" s="120">
        <v>594199.06</v>
      </c>
      <c r="C732" s="19">
        <f t="shared" si="135"/>
        <v>-0.01077779442</v>
      </c>
      <c r="D732" s="19">
        <f t="shared" si="134"/>
        <v>0.07545682734</v>
      </c>
      <c r="E732" s="12"/>
      <c r="F732" s="7"/>
      <c r="G732" s="7"/>
      <c r="H732" s="1"/>
      <c r="I732" s="1"/>
      <c r="J732" s="1"/>
      <c r="K732" s="1"/>
      <c r="L732" s="12">
        <f t="shared" si="136"/>
        <v>16710.36098</v>
      </c>
      <c r="M732" s="12"/>
      <c r="N732" s="15"/>
      <c r="O732" s="1"/>
      <c r="Q732" s="12"/>
      <c r="R732" s="1"/>
    </row>
    <row r="733" ht="12.75" hidden="1" customHeight="1" outlineLevel="1">
      <c r="A733" s="17">
        <v>41996.0</v>
      </c>
      <c r="B733" s="120">
        <v>596155.45</v>
      </c>
      <c r="C733" s="19">
        <f t="shared" si="135"/>
        <v>0.003292482489</v>
      </c>
      <c r="D733" s="19">
        <f t="shared" si="134"/>
        <v>0.07899775012</v>
      </c>
      <c r="E733" s="12"/>
      <c r="F733" s="7"/>
      <c r="G733" s="7"/>
      <c r="H733" s="1"/>
      <c r="I733" s="1"/>
      <c r="J733" s="1"/>
      <c r="K733" s="1"/>
      <c r="L733" s="12">
        <f t="shared" si="136"/>
        <v>16765.37955</v>
      </c>
      <c r="M733" s="12"/>
      <c r="N733" s="15"/>
      <c r="O733" s="1"/>
      <c r="Q733" s="12"/>
      <c r="R733" s="1"/>
    </row>
    <row r="734" ht="12.75" hidden="1" customHeight="1" outlineLevel="1">
      <c r="A734" s="17">
        <v>41997.0</v>
      </c>
      <c r="B734" s="120">
        <v>604705.86</v>
      </c>
      <c r="C734" s="19">
        <f t="shared" si="135"/>
        <v>0.01434258464</v>
      </c>
      <c r="D734" s="19">
        <f t="shared" si="134"/>
        <v>0.09447336667</v>
      </c>
      <c r="E734" s="12"/>
      <c r="F734" s="7"/>
      <c r="G734" s="7"/>
      <c r="H734" s="1"/>
      <c r="I734" s="1"/>
      <c r="J734" s="1"/>
      <c r="K734" s="1"/>
      <c r="L734" s="12">
        <f t="shared" si="136"/>
        <v>17005.83842</v>
      </c>
      <c r="M734" s="12"/>
      <c r="N734" s="15"/>
      <c r="O734" s="1"/>
      <c r="Q734" s="12"/>
      <c r="R734" s="1"/>
    </row>
    <row r="735" ht="12.75" hidden="1" customHeight="1" outlineLevel="1">
      <c r="A735" s="17">
        <v>41998.0</v>
      </c>
      <c r="B735" s="12">
        <f>B734</f>
        <v>604705.86</v>
      </c>
      <c r="C735" s="19">
        <f t="shared" si="135"/>
        <v>0</v>
      </c>
      <c r="D735" s="19">
        <f t="shared" si="134"/>
        <v>0.09447336667</v>
      </c>
      <c r="E735" s="12"/>
      <c r="F735" s="7"/>
      <c r="G735" s="7"/>
      <c r="H735" s="1"/>
      <c r="I735" s="1"/>
      <c r="J735" s="1"/>
      <c r="K735" s="1"/>
      <c r="L735" s="12">
        <f t="shared" si="136"/>
        <v>17005.83842</v>
      </c>
      <c r="M735" s="12"/>
      <c r="N735" s="15"/>
      <c r="O735" s="1"/>
      <c r="Q735" s="12"/>
      <c r="R735" s="1"/>
    </row>
    <row r="736" ht="12.75" hidden="1" customHeight="1" outlineLevel="1">
      <c r="A736" s="17">
        <v>41999.0</v>
      </c>
      <c r="B736" s="12">
        <v>604705.86</v>
      </c>
      <c r="C736" s="19">
        <f t="shared" si="135"/>
        <v>0</v>
      </c>
      <c r="D736" s="19">
        <f t="shared" si="134"/>
        <v>0.09447336667</v>
      </c>
      <c r="E736" s="12"/>
      <c r="F736" s="7"/>
      <c r="G736" s="7"/>
      <c r="H736" s="1"/>
      <c r="I736" s="1"/>
      <c r="J736" s="1"/>
      <c r="K736" s="1"/>
      <c r="L736" s="12">
        <f t="shared" si="136"/>
        <v>17005.83842</v>
      </c>
      <c r="M736" s="12"/>
      <c r="N736" s="15"/>
      <c r="O736" s="1"/>
      <c r="Q736" s="12"/>
      <c r="R736" s="1"/>
    </row>
    <row r="737" ht="12.75" hidden="1" customHeight="1" outlineLevel="1">
      <c r="A737" s="17">
        <v>42002.0</v>
      </c>
      <c r="B737" s="120">
        <v>601568.92</v>
      </c>
      <c r="C737" s="19">
        <f t="shared" si="135"/>
        <v>-0.005187546884</v>
      </c>
      <c r="D737" s="19">
        <f t="shared" si="134"/>
        <v>0.08879573477</v>
      </c>
      <c r="E737" s="12"/>
      <c r="F737" s="7"/>
      <c r="G737" s="7"/>
      <c r="H737" s="1"/>
      <c r="I737" s="1"/>
      <c r="J737" s="1"/>
      <c r="K737" s="1"/>
      <c r="L737" s="12">
        <f t="shared" si="136"/>
        <v>16917.61984</v>
      </c>
      <c r="M737" s="12"/>
      <c r="N737" s="15"/>
      <c r="O737" s="1"/>
      <c r="Q737" s="12"/>
      <c r="R737" s="1"/>
    </row>
    <row r="738" ht="12.75" hidden="1" customHeight="1" outlineLevel="1">
      <c r="A738" s="17">
        <v>42003.0</v>
      </c>
      <c r="B738" s="120">
        <v>593608.2</v>
      </c>
      <c r="C738" s="19">
        <f t="shared" si="135"/>
        <v>-0.01323326345</v>
      </c>
      <c r="D738" s="19">
        <f t="shared" si="134"/>
        <v>0.07438741397</v>
      </c>
      <c r="E738" s="12"/>
      <c r="F738" s="7"/>
      <c r="G738" s="7"/>
      <c r="H738" s="1"/>
      <c r="I738" s="1"/>
      <c r="J738" s="32" t="s">
        <v>647</v>
      </c>
      <c r="K738" s="7" t="s">
        <v>367</v>
      </c>
      <c r="L738" s="12">
        <f t="shared" si="136"/>
        <v>16693.74452</v>
      </c>
      <c r="M738" s="12"/>
      <c r="N738" s="15"/>
      <c r="O738" s="1"/>
      <c r="Q738" s="12"/>
      <c r="R738" s="1"/>
    </row>
    <row r="739" ht="12.75" hidden="1" customHeight="1" outlineLevel="1">
      <c r="A739" s="17">
        <v>42004.0</v>
      </c>
      <c r="B739" s="120">
        <v>582424.88</v>
      </c>
      <c r="C739" s="19">
        <f t="shared" si="135"/>
        <v>-0.01883956455</v>
      </c>
      <c r="D739" s="19">
        <f t="shared" si="134"/>
        <v>0.05414642294</v>
      </c>
      <c r="E739" s="12"/>
      <c r="F739" s="7"/>
      <c r="G739" s="7"/>
      <c r="H739" s="1"/>
      <c r="I739" s="1"/>
      <c r="J739" s="1"/>
      <c r="K739" s="37">
        <f>3769.44/3778.96-1</f>
        <v>-0.002519211635</v>
      </c>
      <c r="L739" s="12">
        <f t="shared" si="136"/>
        <v>16379.24164</v>
      </c>
      <c r="M739" s="12"/>
      <c r="N739" s="15"/>
      <c r="O739" s="1"/>
      <c r="Q739" s="12"/>
      <c r="R739" s="1"/>
    </row>
    <row r="740" ht="12.75" hidden="1" customHeight="1" outlineLevel="1">
      <c r="A740" s="17"/>
      <c r="B740" s="12"/>
      <c r="C740" s="1"/>
      <c r="D740" s="1"/>
      <c r="E740" s="12"/>
      <c r="F740" s="7"/>
      <c r="G740" s="7"/>
      <c r="H740" s="1"/>
      <c r="I740" s="1"/>
      <c r="J740" s="1"/>
      <c r="K740" s="1"/>
      <c r="L740" s="12"/>
      <c r="M740" s="12"/>
      <c r="N740" s="15"/>
      <c r="O740" s="1"/>
      <c r="Q740" s="12"/>
      <c r="R740" s="1"/>
    </row>
    <row r="741" ht="12.75" hidden="1" customHeight="1" outlineLevel="1">
      <c r="A741" s="17"/>
      <c r="B741" s="12">
        <f>B739+P741</f>
        <v>602424.88</v>
      </c>
      <c r="C741" s="19"/>
      <c r="D741" s="19">
        <f t="shared" ref="D741:D763" si="137">(B741/$B$741)-1</f>
        <v>0</v>
      </c>
      <c r="E741" s="12"/>
      <c r="F741" s="7"/>
      <c r="G741" s="7"/>
      <c r="H741" s="1"/>
      <c r="I741" s="1"/>
      <c r="J741" s="1"/>
      <c r="K741" s="1"/>
      <c r="L741" s="12"/>
      <c r="M741" s="12"/>
      <c r="N741" s="15"/>
      <c r="O741" s="1"/>
      <c r="P741" s="121">
        <v>20000.0</v>
      </c>
      <c r="Q741" s="12"/>
      <c r="R741" s="1"/>
    </row>
    <row r="742" ht="12.75" hidden="1" customHeight="1" outlineLevel="1">
      <c r="A742" s="17">
        <v>42005.0</v>
      </c>
      <c r="B742" s="12">
        <v>602424.88</v>
      </c>
      <c r="C742" s="19">
        <f t="shared" ref="C742:C763" si="138">(B742/B741)-1</f>
        <v>0</v>
      </c>
      <c r="D742" s="19">
        <f t="shared" si="137"/>
        <v>0</v>
      </c>
      <c r="E742" s="12"/>
      <c r="F742" s="7"/>
      <c r="G742" s="7"/>
      <c r="H742" s="1"/>
      <c r="I742" s="1"/>
      <c r="J742" s="1"/>
      <c r="K742" s="1"/>
      <c r="L742" s="12">
        <f t="shared" ref="L742:L763" si="139">IF(C741="",L739*(1+C742),L741*(1+C742))</f>
        <v>16379.24164</v>
      </c>
      <c r="M742" s="12"/>
      <c r="N742" s="15"/>
      <c r="O742" s="1"/>
      <c r="Q742" s="12"/>
      <c r="R742" s="1"/>
    </row>
    <row r="743" ht="12.75" hidden="1" customHeight="1" outlineLevel="1">
      <c r="A743" s="17">
        <v>42006.0</v>
      </c>
      <c r="B743" s="120">
        <v>615650.5</v>
      </c>
      <c r="C743" s="19">
        <f t="shared" si="138"/>
        <v>0.02195397375</v>
      </c>
      <c r="D743" s="19">
        <f t="shared" si="137"/>
        <v>0.02195397375</v>
      </c>
      <c r="E743" s="12"/>
      <c r="F743" s="7"/>
      <c r="G743" s="7"/>
      <c r="H743" s="1"/>
      <c r="I743" s="1"/>
      <c r="J743" s="1"/>
      <c r="K743" s="1"/>
      <c r="L743" s="12">
        <f t="shared" si="139"/>
        <v>16738.83108</v>
      </c>
      <c r="M743" s="12"/>
      <c r="N743" s="15"/>
      <c r="O743" s="1"/>
      <c r="Q743" s="12"/>
      <c r="R743" s="1"/>
    </row>
    <row r="744" ht="12.75" hidden="1" customHeight="1" outlineLevel="1">
      <c r="A744" s="17">
        <v>42009.0</v>
      </c>
      <c r="B744" s="120">
        <v>617790.89</v>
      </c>
      <c r="C744" s="19">
        <f t="shared" si="138"/>
        <v>0.003476631628</v>
      </c>
      <c r="D744" s="19">
        <f t="shared" si="137"/>
        <v>0.02550693125</v>
      </c>
      <c r="E744" s="12"/>
      <c r="F744" s="7"/>
      <c r="G744" s="7"/>
      <c r="H744" s="1"/>
      <c r="I744" s="1"/>
      <c r="J744" s="1"/>
      <c r="K744" s="1"/>
      <c r="L744" s="12">
        <f t="shared" si="139"/>
        <v>16797.02583</v>
      </c>
      <c r="M744" s="12"/>
      <c r="N744" s="15"/>
      <c r="O744" s="1"/>
      <c r="Q744" s="12"/>
      <c r="R744" s="1"/>
    </row>
    <row r="745" ht="12.75" hidden="1" customHeight="1" outlineLevel="1">
      <c r="A745" s="17">
        <v>42010.0</v>
      </c>
      <c r="B745" s="120">
        <v>602952.45</v>
      </c>
      <c r="C745" s="19">
        <f t="shared" si="138"/>
        <v>-0.02401854776</v>
      </c>
      <c r="D745" s="19">
        <f t="shared" si="137"/>
        <v>0.000875744043</v>
      </c>
      <c r="E745" s="12"/>
      <c r="F745" s="7"/>
      <c r="G745" s="7"/>
      <c r="H745" s="1"/>
      <c r="I745" s="1"/>
      <c r="J745" s="1"/>
      <c r="K745" s="1"/>
      <c r="L745" s="12">
        <f t="shared" si="139"/>
        <v>16393.58567</v>
      </c>
      <c r="M745" s="12"/>
      <c r="N745" s="15"/>
      <c r="O745" s="1"/>
      <c r="Q745" s="12"/>
      <c r="R745" s="1"/>
    </row>
    <row r="746" ht="12.75" hidden="1" customHeight="1" outlineLevel="1">
      <c r="A746" s="17">
        <v>42011.0</v>
      </c>
      <c r="B746" s="120">
        <v>598117.96</v>
      </c>
      <c r="C746" s="19">
        <f t="shared" si="138"/>
        <v>-0.008018028619</v>
      </c>
      <c r="D746" s="19">
        <f t="shared" si="137"/>
        <v>-0.007149306317</v>
      </c>
      <c r="E746" s="12"/>
      <c r="F746" s="7"/>
      <c r="G746" s="7"/>
      <c r="H746" s="1"/>
      <c r="I746" s="1"/>
      <c r="J746" s="1"/>
      <c r="K746" s="1"/>
      <c r="L746" s="12">
        <f t="shared" si="139"/>
        <v>16262.14143</v>
      </c>
      <c r="M746" s="12"/>
      <c r="N746" s="15"/>
      <c r="O746" s="1"/>
      <c r="Q746" s="12"/>
      <c r="R746" s="1"/>
    </row>
    <row r="747" ht="12.75" hidden="1" customHeight="1" outlineLevel="1">
      <c r="A747" s="17">
        <v>42012.0</v>
      </c>
      <c r="B747" s="120">
        <v>602873.39</v>
      </c>
      <c r="C747" s="19">
        <f t="shared" si="138"/>
        <v>0.007950655754</v>
      </c>
      <c r="D747" s="19">
        <f t="shared" si="137"/>
        <v>0.0007445077634</v>
      </c>
      <c r="E747" s="12"/>
      <c r="F747" s="7"/>
      <c r="G747" s="7"/>
      <c r="H747" s="1"/>
      <c r="I747" s="1"/>
      <c r="J747" s="1"/>
      <c r="K747" s="1"/>
      <c r="L747" s="12">
        <f t="shared" si="139"/>
        <v>16391.43612</v>
      </c>
      <c r="M747" s="12"/>
      <c r="N747" s="15"/>
      <c r="O747" s="1"/>
      <c r="Q747" s="12"/>
      <c r="R747" s="1"/>
    </row>
    <row r="748" ht="12.75" hidden="1" customHeight="1" outlineLevel="1">
      <c r="A748" s="17">
        <v>42013.0</v>
      </c>
      <c r="B748" s="120">
        <v>590671.11</v>
      </c>
      <c r="C748" s="19">
        <f t="shared" si="138"/>
        <v>-0.02024020334</v>
      </c>
      <c r="D748" s="19">
        <f t="shared" si="137"/>
        <v>-0.01951076456</v>
      </c>
      <c r="E748" s="12"/>
      <c r="F748" s="7"/>
      <c r="G748" s="7"/>
      <c r="H748" s="1"/>
      <c r="I748" s="1"/>
      <c r="J748" s="1"/>
      <c r="K748" s="1"/>
      <c r="L748" s="12">
        <f t="shared" si="139"/>
        <v>16059.67012</v>
      </c>
      <c r="M748" s="12"/>
      <c r="N748" s="15"/>
      <c r="O748" s="1"/>
      <c r="Q748" s="12"/>
      <c r="R748" s="1"/>
    </row>
    <row r="749" ht="12.75" hidden="1" customHeight="1" outlineLevel="1">
      <c r="A749" s="17">
        <v>42016.0</v>
      </c>
      <c r="B749" s="120">
        <v>583838.51</v>
      </c>
      <c r="C749" s="19">
        <f t="shared" si="138"/>
        <v>-0.01156752021</v>
      </c>
      <c r="D749" s="19">
        <f t="shared" si="137"/>
        <v>-0.0308525936</v>
      </c>
      <c r="E749" s="12"/>
      <c r="F749" s="7"/>
      <c r="G749" s="7"/>
      <c r="H749" s="1"/>
      <c r="I749" s="1"/>
      <c r="J749" s="1"/>
      <c r="K749" s="1"/>
      <c r="L749" s="12">
        <f t="shared" si="139"/>
        <v>15873.89956</v>
      </c>
      <c r="M749" s="12"/>
      <c r="N749" s="15"/>
      <c r="O749" s="1"/>
      <c r="Q749" s="12"/>
      <c r="R749" s="1"/>
    </row>
    <row r="750" ht="12.75" hidden="1" customHeight="1" outlineLevel="1">
      <c r="A750" s="17">
        <v>42017.0</v>
      </c>
      <c r="B750" s="120">
        <v>583054.94</v>
      </c>
      <c r="C750" s="19">
        <f t="shared" si="138"/>
        <v>-0.001342100575</v>
      </c>
      <c r="D750" s="19">
        <f t="shared" si="137"/>
        <v>-0.0321532869</v>
      </c>
      <c r="E750" s="12"/>
      <c r="F750" s="7"/>
      <c r="G750" s="7"/>
      <c r="H750" s="1"/>
      <c r="I750" s="1"/>
      <c r="J750" s="1"/>
      <c r="K750" s="1"/>
      <c r="L750" s="12">
        <f t="shared" si="139"/>
        <v>15852.59519</v>
      </c>
      <c r="M750" s="12"/>
      <c r="N750" s="15"/>
      <c r="O750" s="1"/>
      <c r="Q750" s="12"/>
      <c r="R750" s="1"/>
    </row>
    <row r="751" ht="12.75" hidden="1" customHeight="1" outlineLevel="1">
      <c r="A751" s="17">
        <v>42018.0</v>
      </c>
      <c r="B751" s="120">
        <v>572654.56</v>
      </c>
      <c r="C751" s="19">
        <f t="shared" si="138"/>
        <v>-0.01783773584</v>
      </c>
      <c r="D751" s="19">
        <f t="shared" si="137"/>
        <v>-0.0494174809</v>
      </c>
      <c r="E751" s="12"/>
      <c r="F751" s="7"/>
      <c r="G751" s="7"/>
      <c r="H751" s="1"/>
      <c r="I751" s="1"/>
      <c r="J751" s="32" t="s">
        <v>650</v>
      </c>
      <c r="K751" s="1"/>
      <c r="L751" s="12">
        <f t="shared" si="139"/>
        <v>15569.82078</v>
      </c>
      <c r="M751" s="12"/>
      <c r="N751" s="15"/>
      <c r="O751" s="1"/>
      <c r="Q751" s="12"/>
      <c r="R751" s="1"/>
    </row>
    <row r="752" ht="12.75" hidden="1" customHeight="1" outlineLevel="1">
      <c r="A752" s="17">
        <v>42019.0</v>
      </c>
      <c r="B752" s="120">
        <v>565912.0</v>
      </c>
      <c r="C752" s="19">
        <f t="shared" si="138"/>
        <v>-0.01177421865</v>
      </c>
      <c r="D752" s="19">
        <f t="shared" si="137"/>
        <v>-0.06060984732</v>
      </c>
      <c r="E752" s="12"/>
      <c r="F752" s="7"/>
      <c r="G752" s="7"/>
      <c r="H752" s="1"/>
      <c r="I752" s="1"/>
      <c r="J752" s="1"/>
      <c r="K752" s="1"/>
      <c r="L752" s="12">
        <f t="shared" si="139"/>
        <v>15386.49831</v>
      </c>
      <c r="M752" s="12"/>
      <c r="N752" s="15"/>
      <c r="O752" s="1"/>
      <c r="Q752" s="12"/>
      <c r="R752" s="1"/>
    </row>
    <row r="753" ht="12.75" hidden="1" customHeight="1" outlineLevel="1">
      <c r="A753" s="17">
        <v>42020.0</v>
      </c>
      <c r="B753" s="120">
        <v>566493.17</v>
      </c>
      <c r="C753" s="19">
        <f t="shared" si="138"/>
        <v>0.001026961789</v>
      </c>
      <c r="D753" s="19">
        <f t="shared" si="137"/>
        <v>-0.05964512953</v>
      </c>
      <c r="E753" s="12"/>
      <c r="F753" s="7"/>
      <c r="G753" s="7"/>
      <c r="H753" s="1"/>
      <c r="I753" s="1"/>
      <c r="J753" s="1"/>
      <c r="K753" s="1"/>
      <c r="L753" s="12">
        <f t="shared" si="139"/>
        <v>15402.29965</v>
      </c>
      <c r="M753" s="12"/>
      <c r="N753" s="15"/>
      <c r="O753" s="1"/>
      <c r="Q753" s="12"/>
      <c r="R753" s="1"/>
    </row>
    <row r="754" ht="12.75" hidden="1" customHeight="1" outlineLevel="1">
      <c r="A754" s="17">
        <v>42023.0</v>
      </c>
      <c r="B754" s="120">
        <v>562354.02</v>
      </c>
      <c r="C754" s="19">
        <f t="shared" si="138"/>
        <v>-0.007306619425</v>
      </c>
      <c r="D754" s="19">
        <f t="shared" si="137"/>
        <v>-0.06651594469</v>
      </c>
      <c r="E754" s="12"/>
      <c r="F754" s="7"/>
      <c r="G754" s="7"/>
      <c r="H754" s="1"/>
      <c r="I754" s="1"/>
      <c r="J754" s="1"/>
      <c r="K754" s="1"/>
      <c r="L754" s="12">
        <f t="shared" si="139"/>
        <v>15289.76091</v>
      </c>
      <c r="M754" s="12"/>
      <c r="N754" s="15"/>
      <c r="O754" s="1"/>
      <c r="Q754" s="12"/>
      <c r="R754" s="1"/>
    </row>
    <row r="755" ht="12.75" hidden="1" customHeight="1" outlineLevel="1">
      <c r="A755" s="17">
        <v>42024.0</v>
      </c>
      <c r="B755" s="120">
        <v>562354.02</v>
      </c>
      <c r="C755" s="19">
        <f t="shared" si="138"/>
        <v>0</v>
      </c>
      <c r="D755" s="19">
        <f t="shared" si="137"/>
        <v>-0.06651594469</v>
      </c>
      <c r="E755" s="12"/>
      <c r="F755" s="7"/>
      <c r="G755" s="7"/>
      <c r="H755" s="1"/>
      <c r="I755" s="1"/>
      <c r="J755" s="1"/>
      <c r="K755" s="1"/>
      <c r="L755" s="12">
        <f t="shared" si="139"/>
        <v>15289.76091</v>
      </c>
      <c r="M755" s="12"/>
      <c r="N755" s="15"/>
      <c r="O755" s="1"/>
      <c r="Q755" s="12"/>
      <c r="R755" s="1"/>
    </row>
    <row r="756" ht="12.75" hidden="1" customHeight="1" outlineLevel="1">
      <c r="A756" s="17">
        <v>42025.0</v>
      </c>
      <c r="B756" s="120">
        <v>560904.77</v>
      </c>
      <c r="C756" s="19">
        <f t="shared" si="138"/>
        <v>-0.002577113257</v>
      </c>
      <c r="D756" s="19">
        <f t="shared" si="137"/>
        <v>-0.06892163883</v>
      </c>
      <c r="E756" s="12"/>
      <c r="F756" s="7"/>
      <c r="G756" s="7"/>
      <c r="H756" s="1"/>
      <c r="I756" s="1"/>
      <c r="J756" s="1"/>
      <c r="K756" s="1"/>
      <c r="L756" s="12">
        <f t="shared" si="139"/>
        <v>15250.35747</v>
      </c>
      <c r="M756" s="12"/>
      <c r="N756" s="15"/>
      <c r="O756" s="1"/>
      <c r="Q756" s="12"/>
      <c r="R756" s="1"/>
    </row>
    <row r="757" ht="12.75" hidden="1" customHeight="1" outlineLevel="1">
      <c r="A757" s="17">
        <v>42026.0</v>
      </c>
      <c r="B757" s="120">
        <v>569842.3</v>
      </c>
      <c r="C757" s="19">
        <f t="shared" si="138"/>
        <v>0.01593413085</v>
      </c>
      <c r="D757" s="19">
        <f t="shared" si="137"/>
        <v>-0.05408571439</v>
      </c>
      <c r="E757" s="12"/>
      <c r="F757" s="7"/>
      <c r="G757" s="7"/>
      <c r="H757" s="1"/>
      <c r="I757" s="1"/>
      <c r="J757" s="1"/>
      <c r="K757" s="1"/>
      <c r="L757" s="12">
        <f t="shared" si="139"/>
        <v>15493.35866</v>
      </c>
      <c r="M757" s="12"/>
      <c r="N757" s="15"/>
      <c r="O757" s="1"/>
      <c r="Q757" s="12"/>
      <c r="R757" s="1"/>
    </row>
    <row r="758" ht="12.75" hidden="1" customHeight="1" outlineLevel="1">
      <c r="A758" s="17">
        <v>42027.0</v>
      </c>
      <c r="B758" s="120">
        <v>581519.05</v>
      </c>
      <c r="C758" s="19">
        <f t="shared" si="138"/>
        <v>0.02049119555</v>
      </c>
      <c r="D758" s="19">
        <f t="shared" si="137"/>
        <v>-0.03470279979</v>
      </c>
      <c r="E758" s="12"/>
      <c r="F758" s="7"/>
      <c r="G758" s="7"/>
      <c r="H758" s="1"/>
      <c r="I758" s="1"/>
      <c r="J758" s="1"/>
      <c r="K758" s="1"/>
      <c r="L758" s="12">
        <f t="shared" si="139"/>
        <v>15810.8361</v>
      </c>
      <c r="M758" s="12"/>
      <c r="N758" s="15"/>
      <c r="O758" s="1"/>
      <c r="Q758" s="12"/>
      <c r="R758" s="1"/>
    </row>
    <row r="759" ht="12.75" hidden="1" customHeight="1" outlineLevel="1">
      <c r="A759" s="17">
        <v>42030.0</v>
      </c>
      <c r="B759" s="120">
        <v>592821.68</v>
      </c>
      <c r="C759" s="19">
        <f t="shared" si="138"/>
        <v>0.0194363882</v>
      </c>
      <c r="D759" s="19">
        <f t="shared" si="137"/>
        <v>-0.01594090868</v>
      </c>
      <c r="E759" s="12"/>
      <c r="F759" s="7"/>
      <c r="G759" s="7"/>
      <c r="H759" s="1"/>
      <c r="I759" s="1"/>
      <c r="J759" s="1"/>
      <c r="K759" s="1"/>
      <c r="L759" s="12">
        <f t="shared" si="139"/>
        <v>16118.14165</v>
      </c>
      <c r="M759" s="12"/>
      <c r="N759" s="15"/>
      <c r="O759" s="1"/>
      <c r="Q759" s="12"/>
      <c r="R759" s="1"/>
    </row>
    <row r="760" ht="12.75" hidden="1" customHeight="1" outlineLevel="1">
      <c r="A760" s="17">
        <v>42031.0</v>
      </c>
      <c r="B760" s="120">
        <v>585670.28</v>
      </c>
      <c r="C760" s="19">
        <f t="shared" si="138"/>
        <v>-0.012063324</v>
      </c>
      <c r="D760" s="19">
        <f t="shared" si="137"/>
        <v>-0.02781193234</v>
      </c>
      <c r="E760" s="12"/>
      <c r="F760" s="7"/>
      <c r="G760" s="7"/>
      <c r="H760" s="1"/>
      <c r="I760" s="1"/>
      <c r="J760" s="1"/>
      <c r="K760" s="1"/>
      <c r="L760" s="12">
        <f t="shared" si="139"/>
        <v>15923.70328</v>
      </c>
      <c r="M760" s="12"/>
      <c r="N760" s="15"/>
      <c r="O760" s="1"/>
      <c r="Q760" s="12"/>
      <c r="R760" s="1"/>
    </row>
    <row r="761" ht="12.75" hidden="1" customHeight="1" outlineLevel="1">
      <c r="A761" s="17">
        <v>42032.0</v>
      </c>
      <c r="B761" s="120">
        <v>583421.21</v>
      </c>
      <c r="C761" s="19">
        <f t="shared" si="138"/>
        <v>-0.003840164128</v>
      </c>
      <c r="D761" s="19">
        <f t="shared" si="137"/>
        <v>-0.03154529408</v>
      </c>
      <c r="E761" s="12"/>
      <c r="F761" s="7"/>
      <c r="G761" s="7"/>
      <c r="H761" s="1"/>
      <c r="I761" s="1"/>
      <c r="J761" s="1"/>
      <c r="K761" s="1"/>
      <c r="L761" s="12">
        <f t="shared" si="139"/>
        <v>15862.55365</v>
      </c>
      <c r="M761" s="12"/>
      <c r="N761" s="15"/>
      <c r="O761" s="1"/>
      <c r="Q761" s="12"/>
      <c r="R761" s="1"/>
    </row>
    <row r="762" ht="12.75" hidden="1" customHeight="1" outlineLevel="1">
      <c r="A762" s="17">
        <v>42033.0</v>
      </c>
      <c r="B762" s="120">
        <v>599997.65</v>
      </c>
      <c r="C762" s="19">
        <f t="shared" si="138"/>
        <v>0.02841247407</v>
      </c>
      <c r="D762" s="19">
        <f t="shared" si="137"/>
        <v>-0.004029099861</v>
      </c>
      <c r="E762" s="12"/>
      <c r="F762" s="7"/>
      <c r="G762" s="7"/>
      <c r="H762" s="1"/>
      <c r="I762" s="1"/>
      <c r="J762" s="1"/>
      <c r="K762" s="7" t="s">
        <v>367</v>
      </c>
      <c r="L762" s="12">
        <f t="shared" si="139"/>
        <v>16313.24804</v>
      </c>
      <c r="M762" s="12"/>
      <c r="N762" s="15"/>
      <c r="O762" s="1"/>
      <c r="Q762" s="12"/>
      <c r="R762" s="1"/>
    </row>
    <row r="763" ht="12.75" hidden="1" customHeight="1" outlineLevel="1">
      <c r="A763" s="17">
        <v>42034.0</v>
      </c>
      <c r="B763" s="120">
        <v>589561.78</v>
      </c>
      <c r="C763" s="19">
        <f t="shared" si="138"/>
        <v>-0.01739318479</v>
      </c>
      <c r="D763" s="19">
        <f t="shared" si="137"/>
        <v>-0.02135220577</v>
      </c>
      <c r="E763" s="12"/>
      <c r="F763" s="7"/>
      <c r="G763" s="7"/>
      <c r="H763" s="1"/>
      <c r="I763" s="1"/>
      <c r="J763" s="1"/>
      <c r="K763" s="37">
        <f>3656.28/3769.44-1</f>
        <v>-0.03002037438</v>
      </c>
      <c r="L763" s="12">
        <f t="shared" si="139"/>
        <v>16029.5087</v>
      </c>
      <c r="M763" s="12"/>
      <c r="N763" s="15"/>
      <c r="O763" s="1"/>
      <c r="Q763" s="12"/>
      <c r="R763" s="1"/>
    </row>
    <row r="764" ht="12.75" hidden="1" customHeight="1" outlineLevel="1">
      <c r="A764" s="17"/>
      <c r="B764" s="12"/>
      <c r="C764" s="1"/>
      <c r="D764" s="1"/>
      <c r="E764" s="12"/>
      <c r="F764" s="7"/>
      <c r="G764" s="7"/>
      <c r="H764" s="1"/>
      <c r="I764" s="1"/>
      <c r="J764" s="1"/>
      <c r="K764" s="1"/>
      <c r="L764" s="12"/>
      <c r="M764" s="12"/>
      <c r="N764" s="15"/>
      <c r="O764" s="1"/>
      <c r="Q764" s="12"/>
      <c r="R764" s="1"/>
    </row>
    <row r="765" ht="12.75" hidden="1" customHeight="1" outlineLevel="1">
      <c r="A765" s="17"/>
      <c r="B765" s="12">
        <f>B763</f>
        <v>589561.78</v>
      </c>
      <c r="C765" s="19"/>
      <c r="D765" s="19">
        <f t="shared" ref="D765:D785" si="140">(B765/$B$765)-1</f>
        <v>0</v>
      </c>
      <c r="E765" s="12"/>
      <c r="F765" s="7"/>
      <c r="G765" s="7"/>
      <c r="H765" s="1"/>
      <c r="I765" s="1"/>
      <c r="J765" s="1"/>
      <c r="K765" s="1"/>
      <c r="L765" s="12"/>
      <c r="M765" s="12"/>
      <c r="N765" s="15"/>
      <c r="O765" s="1"/>
      <c r="Q765" s="12"/>
      <c r="R765" s="1"/>
    </row>
    <row r="766" ht="12.75" hidden="1" customHeight="1" outlineLevel="1">
      <c r="A766" s="17">
        <v>42037.0</v>
      </c>
      <c r="B766" s="120">
        <v>578765.09</v>
      </c>
      <c r="C766" s="19">
        <f t="shared" ref="C766:C785" si="141">(B766/B765)-1</f>
        <v>-0.01831307654</v>
      </c>
      <c r="D766" s="19">
        <f t="shared" si="140"/>
        <v>-0.01831307654</v>
      </c>
      <c r="E766" s="12"/>
      <c r="F766" s="7"/>
      <c r="G766" s="7"/>
      <c r="H766" s="1"/>
      <c r="I766" s="1"/>
      <c r="J766" s="1"/>
      <c r="K766" s="1"/>
      <c r="L766" s="12">
        <f t="shared" ref="L766:L785" si="142">IF(C765="",L763*(1+C766),L765*(1+C766))</f>
        <v>15735.95908</v>
      </c>
      <c r="M766" s="12"/>
      <c r="N766" s="15"/>
      <c r="O766" s="1"/>
      <c r="Q766" s="12"/>
      <c r="R766" s="1"/>
    </row>
    <row r="767" ht="12.75" hidden="1" customHeight="1" outlineLevel="1">
      <c r="A767" s="17">
        <v>42038.0</v>
      </c>
      <c r="B767" s="120">
        <v>580087.48</v>
      </c>
      <c r="C767" s="19">
        <f t="shared" si="141"/>
        <v>0.002284847554</v>
      </c>
      <c r="D767" s="19">
        <f t="shared" si="140"/>
        <v>-0.01607007157</v>
      </c>
      <c r="E767" s="12"/>
      <c r="F767" s="7"/>
      <c r="G767" s="7"/>
      <c r="H767" s="1"/>
      <c r="I767" s="1"/>
      <c r="J767" s="1"/>
      <c r="K767" s="1"/>
      <c r="L767" s="12">
        <f t="shared" si="142"/>
        <v>15771.91335</v>
      </c>
      <c r="M767" s="12"/>
      <c r="N767" s="15"/>
      <c r="O767" s="1"/>
      <c r="Q767" s="12"/>
      <c r="R767" s="1"/>
    </row>
    <row r="768" ht="12.75" hidden="1" customHeight="1" outlineLevel="1">
      <c r="A768" s="17">
        <v>42039.0</v>
      </c>
      <c r="B768" s="120">
        <v>582880.54</v>
      </c>
      <c r="C768" s="19">
        <f t="shared" si="141"/>
        <v>0.004814894471</v>
      </c>
      <c r="D768" s="19">
        <f t="shared" si="140"/>
        <v>-0.0113325528</v>
      </c>
      <c r="E768" s="12"/>
      <c r="F768" s="7"/>
      <c r="G768" s="7"/>
      <c r="H768" s="1"/>
      <c r="I768" s="1"/>
      <c r="J768" s="1"/>
      <c r="K768" s="1"/>
      <c r="L768" s="12">
        <f t="shared" si="142"/>
        <v>15847.85345</v>
      </c>
      <c r="M768" s="12"/>
      <c r="N768" s="15"/>
      <c r="O768" s="1"/>
      <c r="Q768" s="12"/>
      <c r="R768" s="1"/>
    </row>
    <row r="769" ht="12.75" hidden="1" customHeight="1" outlineLevel="1">
      <c r="A769" s="17">
        <v>42040.0</v>
      </c>
      <c r="B769" s="120">
        <v>590831.4</v>
      </c>
      <c r="C769" s="19">
        <f t="shared" si="141"/>
        <v>0.01364063381</v>
      </c>
      <c r="D769" s="19">
        <f t="shared" si="140"/>
        <v>0.002153497806</v>
      </c>
      <c r="E769" s="12"/>
      <c r="F769" s="7"/>
      <c r="G769" s="7"/>
      <c r="H769" s="1"/>
      <c r="I769" s="1"/>
      <c r="J769" s="1"/>
      <c r="K769" s="1"/>
      <c r="L769" s="12">
        <f t="shared" si="142"/>
        <v>16064.02822</v>
      </c>
      <c r="M769" s="12"/>
      <c r="N769" s="15"/>
      <c r="O769" s="1"/>
      <c r="Q769" s="12"/>
      <c r="R769" s="1"/>
    </row>
    <row r="770" ht="12.75" hidden="1" customHeight="1" outlineLevel="1">
      <c r="A770" s="17">
        <v>42041.0</v>
      </c>
      <c r="B770" s="120">
        <v>600002.41</v>
      </c>
      <c r="C770" s="19">
        <f t="shared" si="141"/>
        <v>0.01552221158</v>
      </c>
      <c r="D770" s="19">
        <f t="shared" si="140"/>
        <v>0.01770913644</v>
      </c>
      <c r="E770" s="12"/>
      <c r="F770" s="7"/>
      <c r="G770" s="7"/>
      <c r="H770" s="1"/>
      <c r="I770" s="1"/>
      <c r="J770" s="1"/>
      <c r="K770" s="1"/>
      <c r="L770" s="12">
        <f t="shared" si="142"/>
        <v>16313.37746</v>
      </c>
      <c r="M770" s="12"/>
      <c r="N770" s="15"/>
      <c r="O770" s="1"/>
      <c r="Q770" s="12"/>
      <c r="R770" s="1"/>
    </row>
    <row r="771" ht="12.75" hidden="1" customHeight="1" outlineLevel="1">
      <c r="A771" s="17">
        <v>42044.0</v>
      </c>
      <c r="B771" s="120">
        <v>588862.0</v>
      </c>
      <c r="C771" s="19">
        <f t="shared" si="141"/>
        <v>-0.01856727542</v>
      </c>
      <c r="D771" s="19">
        <f t="shared" si="140"/>
        <v>-0.001186949398</v>
      </c>
      <c r="E771" s="12"/>
      <c r="F771" s="7"/>
      <c r="G771" s="7"/>
      <c r="H771" s="1"/>
      <c r="I771" s="1"/>
      <c r="J771" s="1"/>
      <c r="K771" s="1"/>
      <c r="L771" s="12">
        <f t="shared" si="142"/>
        <v>16010.48249</v>
      </c>
      <c r="M771" s="12"/>
      <c r="N771" s="15"/>
      <c r="O771" s="1"/>
      <c r="Q771" s="12"/>
      <c r="R771" s="1"/>
    </row>
    <row r="772" ht="12.75" hidden="1" customHeight="1" outlineLevel="1">
      <c r="A772" s="17">
        <v>42045.0</v>
      </c>
      <c r="B772" s="120">
        <v>599031.4</v>
      </c>
      <c r="C772" s="19">
        <f t="shared" si="141"/>
        <v>0.01726958099</v>
      </c>
      <c r="D772" s="19">
        <f t="shared" si="140"/>
        <v>0.01606213347</v>
      </c>
      <c r="E772" s="12"/>
      <c r="F772" s="7"/>
      <c r="G772" s="7"/>
      <c r="H772" s="1"/>
      <c r="I772" s="1"/>
      <c r="J772" s="1"/>
      <c r="K772" s="1"/>
      <c r="L772" s="12">
        <f t="shared" si="142"/>
        <v>16286.97681</v>
      </c>
      <c r="M772" s="12"/>
      <c r="N772" s="15"/>
      <c r="O772" s="1"/>
      <c r="Q772" s="12"/>
      <c r="R772" s="1"/>
    </row>
    <row r="773" ht="12.75" hidden="1" customHeight="1" outlineLevel="1">
      <c r="A773" s="17">
        <v>42046.0</v>
      </c>
      <c r="B773" s="120">
        <v>603930.42</v>
      </c>
      <c r="C773" s="19">
        <f t="shared" si="141"/>
        <v>0.008178235732</v>
      </c>
      <c r="D773" s="19">
        <f t="shared" si="140"/>
        <v>0.02437172912</v>
      </c>
      <c r="E773" s="12"/>
      <c r="F773" s="7"/>
      <c r="G773" s="7"/>
      <c r="H773" s="1"/>
      <c r="I773" s="1"/>
      <c r="J773" s="1"/>
      <c r="K773" s="1"/>
      <c r="L773" s="12">
        <f t="shared" si="142"/>
        <v>16420.17555</v>
      </c>
      <c r="M773" s="12"/>
      <c r="N773" s="15"/>
      <c r="O773" s="1"/>
      <c r="Q773" s="12"/>
      <c r="R773" s="1"/>
    </row>
    <row r="774" ht="12.75" hidden="1" customHeight="1" outlineLevel="1">
      <c r="A774" s="17">
        <v>42047.0</v>
      </c>
      <c r="B774" s="120">
        <v>603833.67</v>
      </c>
      <c r="C774" s="19">
        <f t="shared" si="141"/>
        <v>-0.0001602005741</v>
      </c>
      <c r="D774" s="19">
        <f t="shared" si="140"/>
        <v>0.02420762418</v>
      </c>
      <c r="E774" s="12"/>
      <c r="F774" s="7"/>
      <c r="G774" s="7"/>
      <c r="H774" s="1"/>
      <c r="I774" s="1"/>
      <c r="J774" s="1"/>
      <c r="K774" s="1"/>
      <c r="L774" s="12">
        <f t="shared" si="142"/>
        <v>16417.54503</v>
      </c>
      <c r="M774" s="12"/>
      <c r="N774" s="15"/>
      <c r="O774" s="1"/>
      <c r="Q774" s="12"/>
      <c r="R774" s="1"/>
    </row>
    <row r="775" ht="12.75" hidden="1" customHeight="1" outlineLevel="1">
      <c r="A775" s="17">
        <v>42048.0</v>
      </c>
      <c r="B775" s="120">
        <v>598180.14</v>
      </c>
      <c r="C775" s="19">
        <f t="shared" si="141"/>
        <v>-0.009362727322</v>
      </c>
      <c r="D775" s="19">
        <f t="shared" si="140"/>
        <v>0.01461824747</v>
      </c>
      <c r="E775" s="12"/>
      <c r="F775" s="7"/>
      <c r="G775" s="7"/>
      <c r="H775" s="1"/>
      <c r="I775" s="1"/>
      <c r="J775" s="1"/>
      <c r="K775" s="1"/>
      <c r="L775" s="12">
        <f t="shared" si="142"/>
        <v>16263.83203</v>
      </c>
      <c r="M775" s="12"/>
      <c r="N775" s="15"/>
      <c r="O775" s="1"/>
      <c r="Q775" s="12"/>
      <c r="R775" s="1"/>
    </row>
    <row r="776" ht="12.75" hidden="1" customHeight="1" outlineLevel="1">
      <c r="A776" s="17">
        <v>42051.0</v>
      </c>
      <c r="B776" s="120">
        <v>600658.33</v>
      </c>
      <c r="C776" s="19">
        <f t="shared" si="141"/>
        <v>0.004142882443</v>
      </c>
      <c r="D776" s="19">
        <f t="shared" si="140"/>
        <v>0.0188216916</v>
      </c>
      <c r="E776" s="12"/>
      <c r="F776" s="7"/>
      <c r="G776" s="7"/>
      <c r="H776" s="1"/>
      <c r="I776" s="1"/>
      <c r="J776" s="1"/>
      <c r="K776" s="1"/>
      <c r="L776" s="12">
        <f t="shared" si="142"/>
        <v>16331.21117</v>
      </c>
      <c r="M776" s="12"/>
      <c r="N776" s="15"/>
      <c r="O776" s="1"/>
      <c r="Q776" s="12"/>
      <c r="R776" s="1"/>
    </row>
    <row r="777" ht="12.75" hidden="1" customHeight="1" outlineLevel="1">
      <c r="A777" s="17">
        <v>42052.0</v>
      </c>
      <c r="B777" s="120">
        <v>600658.33</v>
      </c>
      <c r="C777" s="19">
        <f t="shared" si="141"/>
        <v>0</v>
      </c>
      <c r="D777" s="19">
        <f t="shared" si="140"/>
        <v>0.0188216916</v>
      </c>
      <c r="E777" s="12"/>
      <c r="F777" s="7"/>
      <c r="G777" s="7"/>
      <c r="H777" s="1"/>
      <c r="I777" s="1"/>
      <c r="J777" s="1"/>
      <c r="K777" s="1"/>
      <c r="L777" s="12">
        <f t="shared" si="142"/>
        <v>16331.21117</v>
      </c>
      <c r="M777" s="12"/>
      <c r="N777" s="15"/>
      <c r="O777" s="1"/>
      <c r="Q777" s="12"/>
      <c r="R777" s="1"/>
    </row>
    <row r="778" ht="12.75" hidden="1" customHeight="1" outlineLevel="1">
      <c r="A778" s="17">
        <v>42053.0</v>
      </c>
      <c r="B778" s="120">
        <v>600131.9</v>
      </c>
      <c r="C778" s="19">
        <f t="shared" si="141"/>
        <v>-0.0008764217088</v>
      </c>
      <c r="D778" s="19">
        <f t="shared" si="140"/>
        <v>0.01792877415</v>
      </c>
      <c r="E778" s="12"/>
      <c r="F778" s="7"/>
      <c r="G778" s="7"/>
      <c r="H778" s="1"/>
      <c r="I778" s="1"/>
      <c r="J778" s="1"/>
      <c r="K778" s="1"/>
      <c r="L778" s="12">
        <f t="shared" si="142"/>
        <v>16316.89815</v>
      </c>
      <c r="M778" s="12"/>
      <c r="N778" s="15"/>
      <c r="O778" s="1"/>
      <c r="Q778" s="12"/>
      <c r="R778" s="1"/>
    </row>
    <row r="779" ht="12.75" hidden="1" customHeight="1" outlineLevel="1">
      <c r="A779" s="17">
        <v>42054.0</v>
      </c>
      <c r="B779" s="120">
        <v>600286.8</v>
      </c>
      <c r="C779" s="19">
        <f t="shared" si="141"/>
        <v>0.0002581099255</v>
      </c>
      <c r="D779" s="19">
        <f t="shared" si="140"/>
        <v>0.01819151167</v>
      </c>
      <c r="E779" s="12"/>
      <c r="F779" s="7"/>
      <c r="G779" s="7"/>
      <c r="H779" s="1"/>
      <c r="I779" s="1"/>
      <c r="J779" s="1"/>
      <c r="K779" s="1"/>
      <c r="L779" s="12">
        <f t="shared" si="142"/>
        <v>16321.1097</v>
      </c>
      <c r="M779" s="12"/>
      <c r="N779" s="15"/>
      <c r="O779" s="1"/>
      <c r="Q779" s="12"/>
      <c r="R779" s="1"/>
    </row>
    <row r="780" ht="12.75" hidden="1" customHeight="1" outlineLevel="1">
      <c r="A780" s="17">
        <v>42055.0</v>
      </c>
      <c r="B780" s="120">
        <v>604513.95</v>
      </c>
      <c r="C780" s="19">
        <f t="shared" si="141"/>
        <v>0.007041883979</v>
      </c>
      <c r="D780" s="19">
        <f t="shared" si="140"/>
        <v>0.02536149816</v>
      </c>
      <c r="E780" s="12"/>
      <c r="F780" s="7"/>
      <c r="G780" s="7"/>
      <c r="H780" s="1"/>
      <c r="I780" s="1"/>
      <c r="J780" s="1"/>
      <c r="K780" s="1"/>
      <c r="L780" s="12">
        <f t="shared" si="142"/>
        <v>16436.04106</v>
      </c>
      <c r="M780" s="12"/>
      <c r="N780" s="15"/>
      <c r="O780" s="1"/>
      <c r="Q780" s="12"/>
      <c r="R780" s="1"/>
    </row>
    <row r="781" ht="12.75" hidden="1" customHeight="1" outlineLevel="1">
      <c r="A781" s="17">
        <v>42058.0</v>
      </c>
      <c r="B781" s="120">
        <v>607644.96</v>
      </c>
      <c r="C781" s="19">
        <f t="shared" si="141"/>
        <v>0.005179384198</v>
      </c>
      <c r="D781" s="19">
        <f t="shared" si="140"/>
        <v>0.0306722393</v>
      </c>
      <c r="E781" s="12"/>
      <c r="F781" s="7"/>
      <c r="G781" s="7"/>
      <c r="H781" s="1"/>
      <c r="I781" s="1"/>
      <c r="J781" s="1"/>
      <c r="K781" s="1"/>
      <c r="L781" s="12">
        <f t="shared" si="142"/>
        <v>16521.16963</v>
      </c>
      <c r="M781" s="12"/>
      <c r="N781" s="15"/>
      <c r="O781" s="1"/>
      <c r="Q781" s="12"/>
      <c r="R781" s="1"/>
    </row>
    <row r="782" ht="12.75" hidden="1" customHeight="1" outlineLevel="1">
      <c r="A782" s="17">
        <v>42059.0</v>
      </c>
      <c r="B782" s="120">
        <v>603553.06</v>
      </c>
      <c r="C782" s="19">
        <f t="shared" si="141"/>
        <v>-0.006734031004</v>
      </c>
      <c r="D782" s="19">
        <f t="shared" si="140"/>
        <v>0.02373166049</v>
      </c>
      <c r="E782" s="12"/>
      <c r="F782" s="7"/>
      <c r="G782" s="7"/>
      <c r="H782" s="1"/>
      <c r="I782" s="1"/>
      <c r="J782" s="1"/>
      <c r="K782" s="1"/>
      <c r="L782" s="12">
        <f t="shared" si="142"/>
        <v>16409.91556</v>
      </c>
      <c r="M782" s="12"/>
      <c r="N782" s="15"/>
      <c r="O782" s="1"/>
      <c r="Q782" s="12"/>
      <c r="R782" s="1"/>
    </row>
    <row r="783" ht="12.75" hidden="1" customHeight="1" outlineLevel="1">
      <c r="A783" s="17">
        <v>42060.0</v>
      </c>
      <c r="B783" s="120">
        <v>604089.63</v>
      </c>
      <c r="C783" s="19">
        <f t="shared" si="141"/>
        <v>0.0008890187716</v>
      </c>
      <c r="D783" s="19">
        <f t="shared" si="140"/>
        <v>0.02464177715</v>
      </c>
      <c r="E783" s="12"/>
      <c r="F783" s="7"/>
      <c r="G783" s="7"/>
      <c r="H783" s="1"/>
      <c r="I783" s="1"/>
      <c r="J783" s="1"/>
      <c r="K783" s="1"/>
      <c r="L783" s="12">
        <f t="shared" si="142"/>
        <v>16424.50429</v>
      </c>
      <c r="M783" s="12"/>
      <c r="N783" s="15"/>
      <c r="O783" s="1"/>
      <c r="Q783" s="12"/>
      <c r="R783" s="1"/>
    </row>
    <row r="784" ht="12.75" hidden="1" customHeight="1" outlineLevel="1">
      <c r="A784" s="17">
        <v>42061.0</v>
      </c>
      <c r="B784" s="120">
        <v>609419.78</v>
      </c>
      <c r="C784" s="19">
        <f t="shared" si="141"/>
        <v>0.008823442309</v>
      </c>
      <c r="D784" s="19">
        <f t="shared" si="140"/>
        <v>0.03368264476</v>
      </c>
      <c r="E784" s="12"/>
      <c r="F784" s="7"/>
      <c r="G784" s="7"/>
      <c r="H784" s="1"/>
      <c r="I784" s="1"/>
      <c r="J784" s="1"/>
      <c r="K784" s="7" t="s">
        <v>367</v>
      </c>
      <c r="L784" s="12">
        <f t="shared" si="142"/>
        <v>16569.42495</v>
      </c>
      <c r="M784" s="12"/>
      <c r="N784" s="15"/>
      <c r="O784" s="1"/>
      <c r="Q784" s="12"/>
      <c r="R784" s="1"/>
    </row>
    <row r="785" ht="12.75" hidden="1" customHeight="1" outlineLevel="1">
      <c r="A785" s="17">
        <v>42062.0</v>
      </c>
      <c r="B785" s="120">
        <v>608094.32</v>
      </c>
      <c r="C785" s="19">
        <f t="shared" si="141"/>
        <v>-0.002174954019</v>
      </c>
      <c r="D785" s="19">
        <f t="shared" si="140"/>
        <v>0.03143443254</v>
      </c>
      <c r="E785" s="12"/>
      <c r="F785" s="7"/>
      <c r="G785" s="7"/>
      <c r="H785" s="1"/>
      <c r="I785" s="1"/>
      <c r="J785" s="1"/>
      <c r="K785" s="37">
        <f>3866.42/3656.28-1</f>
        <v>0.05747371645</v>
      </c>
      <c r="L785" s="12">
        <f t="shared" si="142"/>
        <v>16533.38721</v>
      </c>
      <c r="M785" s="12"/>
      <c r="N785" s="15"/>
      <c r="O785" s="1"/>
      <c r="Q785" s="12"/>
      <c r="R785" s="1"/>
    </row>
    <row r="786" ht="12.75" hidden="1" customHeight="1" outlineLevel="1">
      <c r="A786" s="17"/>
      <c r="B786" s="12"/>
      <c r="C786" s="1"/>
      <c r="D786" s="1"/>
      <c r="E786" s="12"/>
      <c r="F786" s="7"/>
      <c r="G786" s="7"/>
      <c r="H786" s="1"/>
      <c r="I786" s="1"/>
      <c r="J786" s="1"/>
      <c r="K786" s="1"/>
      <c r="L786" s="12"/>
      <c r="M786" s="12"/>
      <c r="N786" s="15"/>
      <c r="O786" s="1"/>
      <c r="Q786" s="12"/>
      <c r="R786" s="1"/>
    </row>
    <row r="787" ht="12.75" hidden="1" customHeight="1" outlineLevel="1">
      <c r="A787" s="17"/>
      <c r="B787" s="12">
        <f>B785</f>
        <v>608094.32</v>
      </c>
      <c r="C787" s="19"/>
      <c r="D787" s="19">
        <f t="shared" ref="D787:D809" si="143">(B787/$B$787)-1</f>
        <v>0</v>
      </c>
      <c r="E787" s="12"/>
      <c r="F787" s="7"/>
      <c r="G787" s="7"/>
      <c r="H787" s="1"/>
      <c r="I787" s="1"/>
      <c r="J787" s="1"/>
      <c r="K787" s="1"/>
      <c r="L787" s="12"/>
      <c r="M787" s="12"/>
      <c r="N787" s="15"/>
      <c r="O787" s="1"/>
      <c r="Q787" s="12"/>
      <c r="R787" s="1"/>
    </row>
    <row r="788" ht="12.75" hidden="1" customHeight="1" outlineLevel="1">
      <c r="A788" s="17">
        <v>42065.0</v>
      </c>
      <c r="B788" s="120">
        <v>620299.12</v>
      </c>
      <c r="C788" s="19">
        <f t="shared" ref="C788:C809" si="144">(B788/B787)-1</f>
        <v>0.02007057063</v>
      </c>
      <c r="D788" s="19">
        <f t="shared" si="143"/>
        <v>0.02007057063</v>
      </c>
      <c r="E788" s="12"/>
      <c r="F788" s="7"/>
      <c r="G788" s="7"/>
      <c r="H788" s="1"/>
      <c r="I788" s="1"/>
      <c r="J788" s="1"/>
      <c r="K788" s="1"/>
      <c r="L788" s="12">
        <f t="shared" ref="L788:L809" si="145">IF(C787="",L785*(1+C788),L787*(1+C788))</f>
        <v>16865.22173</v>
      </c>
      <c r="M788" s="12"/>
      <c r="N788" s="15"/>
      <c r="O788" s="1"/>
      <c r="Q788" s="12"/>
      <c r="R788" s="1"/>
    </row>
    <row r="789" ht="12.75" hidden="1" customHeight="1" outlineLevel="1">
      <c r="A789" s="17">
        <v>42066.0</v>
      </c>
      <c r="B789" s="120">
        <v>616647.14</v>
      </c>
      <c r="C789" s="19">
        <f t="shared" si="144"/>
        <v>-0.005887449913</v>
      </c>
      <c r="D789" s="19">
        <f t="shared" si="143"/>
        <v>0.01406495624</v>
      </c>
      <c r="E789" s="12"/>
      <c r="F789" s="7"/>
      <c r="G789" s="7"/>
      <c r="H789" s="1"/>
      <c r="I789" s="1"/>
      <c r="J789" s="1"/>
      <c r="K789" s="1"/>
      <c r="L789" s="12">
        <f t="shared" si="145"/>
        <v>16765.92858</v>
      </c>
      <c r="M789" s="12"/>
      <c r="N789" s="15"/>
      <c r="O789" s="1"/>
      <c r="Q789" s="12"/>
      <c r="R789" s="1"/>
    </row>
    <row r="790" ht="12.75" hidden="1" customHeight="1" outlineLevel="1">
      <c r="A790" s="17">
        <v>42067.0</v>
      </c>
      <c r="B790" s="120">
        <v>618545.21</v>
      </c>
      <c r="C790" s="19">
        <f t="shared" si="144"/>
        <v>0.003078048817</v>
      </c>
      <c r="D790" s="19">
        <f t="shared" si="143"/>
        <v>0.01718629768</v>
      </c>
      <c r="E790" s="12"/>
      <c r="F790" s="7"/>
      <c r="G790" s="7"/>
      <c r="H790" s="1"/>
      <c r="I790" s="1"/>
      <c r="J790" s="1"/>
      <c r="K790" s="1"/>
      <c r="L790" s="12">
        <f t="shared" si="145"/>
        <v>16817.53493</v>
      </c>
      <c r="M790" s="12"/>
      <c r="N790" s="15"/>
      <c r="O790" s="1"/>
      <c r="Q790" s="12"/>
      <c r="R790" s="1"/>
    </row>
    <row r="791" ht="12.75" hidden="1" customHeight="1" outlineLevel="1">
      <c r="A791" s="17">
        <v>42068.0</v>
      </c>
      <c r="B791" s="120">
        <v>621042.79</v>
      </c>
      <c r="C791" s="19">
        <f t="shared" si="144"/>
        <v>0.004037829345</v>
      </c>
      <c r="D791" s="19">
        <f t="shared" si="143"/>
        <v>0.02129352236</v>
      </c>
      <c r="E791" s="12"/>
      <c r="F791" s="7"/>
      <c r="G791" s="7"/>
      <c r="H791" s="1"/>
      <c r="I791" s="1"/>
      <c r="J791" s="1"/>
      <c r="K791" s="1"/>
      <c r="L791" s="12">
        <f t="shared" si="145"/>
        <v>16885.44126</v>
      </c>
      <c r="M791" s="12"/>
      <c r="N791" s="15"/>
      <c r="O791" s="1"/>
      <c r="Q791" s="12"/>
      <c r="R791" s="1"/>
    </row>
    <row r="792" ht="12.75" hidden="1" customHeight="1" outlineLevel="1">
      <c r="A792" s="17">
        <v>42069.0</v>
      </c>
      <c r="B792" s="120">
        <v>622882.0</v>
      </c>
      <c r="C792" s="19">
        <f t="shared" si="144"/>
        <v>0.00296148676</v>
      </c>
      <c r="D792" s="19">
        <f t="shared" si="143"/>
        <v>0.0243180696</v>
      </c>
      <c r="E792" s="12"/>
      <c r="F792" s="7"/>
      <c r="G792" s="7"/>
      <c r="H792" s="1"/>
      <c r="I792" s="1"/>
      <c r="J792" s="1"/>
      <c r="K792" s="1"/>
      <c r="L792" s="12">
        <f t="shared" si="145"/>
        <v>16935.44728</v>
      </c>
      <c r="M792" s="12"/>
      <c r="N792" s="15"/>
      <c r="O792" s="1"/>
      <c r="Q792" s="12"/>
      <c r="R792" s="1"/>
    </row>
    <row r="793" ht="12.75" hidden="1" customHeight="1" outlineLevel="1">
      <c r="A793" s="17">
        <v>42072.0</v>
      </c>
      <c r="B793" s="120">
        <v>638658.49</v>
      </c>
      <c r="C793" s="19">
        <f t="shared" si="144"/>
        <v>0.02532821626</v>
      </c>
      <c r="D793" s="19">
        <f t="shared" si="143"/>
        <v>0.05026221919</v>
      </c>
      <c r="E793" s="12"/>
      <c r="F793" s="7"/>
      <c r="G793" s="7"/>
      <c r="H793" s="1"/>
      <c r="I793" s="1"/>
      <c r="J793" s="1"/>
      <c r="K793" s="1"/>
      <c r="L793" s="12">
        <f t="shared" si="145"/>
        <v>17364.39195</v>
      </c>
      <c r="M793" s="12"/>
      <c r="N793" s="15"/>
      <c r="O793" s="1"/>
      <c r="Q793" s="12"/>
      <c r="R793" s="1"/>
    </row>
    <row r="794" ht="12.75" hidden="1" customHeight="1" outlineLevel="1">
      <c r="A794" s="17">
        <v>42073.0</v>
      </c>
      <c r="B794" s="120">
        <v>635169.008</v>
      </c>
      <c r="C794" s="19">
        <f t="shared" si="144"/>
        <v>-0.005463768281</v>
      </c>
      <c r="D794" s="19">
        <f t="shared" si="143"/>
        <v>0.04452382979</v>
      </c>
      <c r="E794" s="12"/>
      <c r="F794" s="7"/>
      <c r="G794" s="7"/>
      <c r="H794" s="1"/>
      <c r="I794" s="1"/>
      <c r="J794" s="1"/>
      <c r="K794" s="1"/>
      <c r="L794" s="12">
        <f t="shared" si="145"/>
        <v>17269.51693</v>
      </c>
      <c r="M794" s="12"/>
      <c r="N794" s="15"/>
      <c r="O794" s="1"/>
      <c r="Q794" s="12"/>
      <c r="R794" s="1"/>
    </row>
    <row r="795" ht="12.75" hidden="1" customHeight="1" outlineLevel="1">
      <c r="A795" s="17">
        <v>42074.0</v>
      </c>
      <c r="B795" s="120">
        <v>645313.0</v>
      </c>
      <c r="C795" s="19">
        <f t="shared" si="144"/>
        <v>0.01597053992</v>
      </c>
      <c r="D795" s="19">
        <f t="shared" si="143"/>
        <v>0.06120543931</v>
      </c>
      <c r="E795" s="12"/>
      <c r="F795" s="7"/>
      <c r="G795" s="7"/>
      <c r="H795" s="1"/>
      <c r="I795" s="1"/>
      <c r="J795" s="1"/>
      <c r="K795" s="1"/>
      <c r="L795" s="12">
        <f t="shared" si="145"/>
        <v>17545.32044</v>
      </c>
      <c r="M795" s="12"/>
      <c r="N795" s="15"/>
      <c r="O795" s="1"/>
      <c r="Q795" s="12"/>
      <c r="R795" s="1"/>
    </row>
    <row r="796" ht="12.75" hidden="1" customHeight="1" outlineLevel="1">
      <c r="A796" s="17">
        <v>42075.0</v>
      </c>
      <c r="B796" s="120">
        <v>660464.86</v>
      </c>
      <c r="C796" s="19">
        <f t="shared" si="144"/>
        <v>0.02347986171</v>
      </c>
      <c r="D796" s="19">
        <f t="shared" si="143"/>
        <v>0.08612239628</v>
      </c>
      <c r="E796" s="12"/>
      <c r="F796" s="7"/>
      <c r="G796" s="7"/>
      <c r="H796" s="1"/>
      <c r="I796" s="1"/>
      <c r="J796" s="1"/>
      <c r="K796" s="1"/>
      <c r="L796" s="12">
        <f t="shared" si="145"/>
        <v>17957.28214</v>
      </c>
      <c r="M796" s="12"/>
      <c r="N796" s="15"/>
      <c r="O796" s="1"/>
      <c r="Q796" s="12"/>
      <c r="R796" s="1"/>
    </row>
    <row r="797" ht="12.75" hidden="1" customHeight="1" outlineLevel="1">
      <c r="A797" s="17">
        <v>42076.0</v>
      </c>
      <c r="B797" s="120">
        <v>669229.09</v>
      </c>
      <c r="C797" s="19">
        <f t="shared" si="144"/>
        <v>0.01326979001</v>
      </c>
      <c r="D797" s="19">
        <f t="shared" si="143"/>
        <v>0.1005350124</v>
      </c>
      <c r="E797" s="12"/>
      <c r="F797" s="7"/>
      <c r="G797" s="7"/>
      <c r="H797" s="1"/>
      <c r="I797" s="1"/>
      <c r="J797" s="1"/>
      <c r="K797" s="1"/>
      <c r="L797" s="12">
        <f t="shared" si="145"/>
        <v>18195.5715</v>
      </c>
      <c r="M797" s="12"/>
      <c r="N797" s="15"/>
      <c r="O797" s="1"/>
      <c r="Q797" s="12"/>
      <c r="R797" s="1"/>
    </row>
    <row r="798" ht="12.75" hidden="1" customHeight="1" outlineLevel="1">
      <c r="A798" s="17">
        <v>42079.0</v>
      </c>
      <c r="B798" s="120">
        <v>679389.26</v>
      </c>
      <c r="C798" s="19">
        <f t="shared" si="144"/>
        <v>0.01518190131</v>
      </c>
      <c r="D798" s="19">
        <f t="shared" si="143"/>
        <v>0.1172432263</v>
      </c>
      <c r="E798" s="12"/>
      <c r="F798" s="7"/>
      <c r="G798" s="7"/>
      <c r="H798" s="1"/>
      <c r="I798" s="1"/>
      <c r="J798" s="1"/>
      <c r="K798" s="1"/>
      <c r="L798" s="12">
        <f t="shared" si="145"/>
        <v>18471.81487</v>
      </c>
      <c r="M798" s="12"/>
      <c r="N798" s="15"/>
      <c r="O798" s="1"/>
      <c r="Q798" s="12"/>
      <c r="R798" s="1"/>
    </row>
    <row r="799" ht="12.75" hidden="1" customHeight="1" outlineLevel="1">
      <c r="A799" s="17">
        <v>42080.0</v>
      </c>
      <c r="B799" s="120">
        <v>680864.0</v>
      </c>
      <c r="C799" s="19">
        <f t="shared" si="144"/>
        <v>0.002170684888</v>
      </c>
      <c r="D799" s="19">
        <f t="shared" si="143"/>
        <v>0.1196684093</v>
      </c>
      <c r="E799" s="12"/>
      <c r="F799" s="7"/>
      <c r="G799" s="7"/>
      <c r="H799" s="1"/>
      <c r="I799" s="1"/>
      <c r="J799" s="1"/>
      <c r="K799" s="1"/>
      <c r="L799" s="12">
        <f t="shared" si="145"/>
        <v>18511.91136</v>
      </c>
      <c r="M799" s="12"/>
      <c r="N799" s="15"/>
      <c r="O799" s="1"/>
      <c r="Q799" s="12"/>
      <c r="R799" s="1"/>
    </row>
    <row r="800" ht="12.75" hidden="1" customHeight="1" outlineLevel="1">
      <c r="A800" s="17">
        <v>42081.0</v>
      </c>
      <c r="B800" s="120">
        <v>679720.29</v>
      </c>
      <c r="C800" s="19">
        <f t="shared" si="144"/>
        <v>-0.001679792146</v>
      </c>
      <c r="D800" s="19">
        <f t="shared" si="143"/>
        <v>0.1177875991</v>
      </c>
      <c r="E800" s="12"/>
      <c r="F800" s="7"/>
      <c r="G800" s="7"/>
      <c r="H800" s="1"/>
      <c r="I800" s="1"/>
      <c r="J800" s="1"/>
      <c r="K800" s="1"/>
      <c r="L800" s="12">
        <f t="shared" si="145"/>
        <v>18480.8152</v>
      </c>
      <c r="M800" s="12"/>
      <c r="N800" s="15"/>
      <c r="O800" s="1"/>
      <c r="Q800" s="12"/>
      <c r="R800" s="1"/>
    </row>
    <row r="801" ht="12.75" hidden="1" customHeight="1" outlineLevel="1">
      <c r="A801" s="17">
        <v>42082.0</v>
      </c>
      <c r="B801" s="120">
        <v>683052.0</v>
      </c>
      <c r="C801" s="19">
        <f t="shared" si="144"/>
        <v>0.004901589741</v>
      </c>
      <c r="D801" s="19">
        <f t="shared" si="143"/>
        <v>0.1232665354</v>
      </c>
      <c r="E801" s="12"/>
      <c r="F801" s="7"/>
      <c r="G801" s="7"/>
      <c r="H801" s="1"/>
      <c r="I801" s="1"/>
      <c r="J801" s="1"/>
      <c r="K801" s="1"/>
      <c r="L801" s="12">
        <f t="shared" si="145"/>
        <v>18571.40057</v>
      </c>
      <c r="M801" s="12"/>
      <c r="N801" s="15"/>
      <c r="O801" s="1"/>
      <c r="Q801" s="12"/>
      <c r="R801" s="1"/>
    </row>
    <row r="802" ht="12.75" hidden="1" customHeight="1" outlineLevel="1">
      <c r="A802" s="17">
        <v>42083.0</v>
      </c>
      <c r="B802" s="120">
        <v>672633.0</v>
      </c>
      <c r="C802" s="19">
        <f t="shared" si="144"/>
        <v>-0.01525359709</v>
      </c>
      <c r="D802" s="19">
        <f t="shared" si="143"/>
        <v>0.1061326802</v>
      </c>
      <c r="E802" s="12"/>
      <c r="F802" s="7"/>
      <c r="G802" s="7"/>
      <c r="H802" s="1"/>
      <c r="I802" s="1"/>
      <c r="J802" s="1"/>
      <c r="K802" s="1"/>
      <c r="L802" s="12">
        <f t="shared" si="145"/>
        <v>18288.11991</v>
      </c>
      <c r="M802" s="12"/>
      <c r="N802" s="15"/>
      <c r="O802" s="1"/>
      <c r="Q802" s="12"/>
      <c r="R802" s="1"/>
    </row>
    <row r="803" ht="12.75" hidden="1" customHeight="1" outlineLevel="1">
      <c r="A803" s="17">
        <v>42086.0</v>
      </c>
      <c r="B803" s="120">
        <v>665497.32</v>
      </c>
      <c r="C803" s="19">
        <f t="shared" si="144"/>
        <v>-0.01060857853</v>
      </c>
      <c r="D803" s="19">
        <f t="shared" si="143"/>
        <v>0.09439818481</v>
      </c>
      <c r="E803" s="12"/>
      <c r="F803" s="7"/>
      <c r="G803" s="7"/>
      <c r="H803" s="1"/>
      <c r="I803" s="1"/>
      <c r="J803" s="1"/>
      <c r="K803" s="1"/>
      <c r="L803" s="12">
        <f t="shared" si="145"/>
        <v>18094.10896</v>
      </c>
      <c r="M803" s="12"/>
      <c r="N803" s="15"/>
      <c r="O803" s="1"/>
      <c r="Q803" s="12"/>
      <c r="R803" s="1"/>
    </row>
    <row r="804" ht="12.75" hidden="1" customHeight="1" outlineLevel="1">
      <c r="A804" s="17">
        <v>42087.0</v>
      </c>
      <c r="B804" s="120">
        <v>665097.3</v>
      </c>
      <c r="C804" s="19">
        <f t="shared" si="144"/>
        <v>-0.0006010843139</v>
      </c>
      <c r="D804" s="19">
        <f t="shared" si="143"/>
        <v>0.09374035923</v>
      </c>
      <c r="E804" s="12"/>
      <c r="F804" s="7"/>
      <c r="G804" s="7"/>
      <c r="H804" s="1"/>
      <c r="I804" s="1"/>
      <c r="J804" s="1"/>
      <c r="K804" s="1"/>
      <c r="L804" s="12">
        <f t="shared" si="145"/>
        <v>18083.23287</v>
      </c>
      <c r="M804" s="12"/>
      <c r="N804" s="15"/>
      <c r="O804" s="1"/>
      <c r="Q804" s="12"/>
      <c r="R804" s="1"/>
    </row>
    <row r="805" ht="12.75" hidden="1" customHeight="1" outlineLevel="1">
      <c r="A805" s="17">
        <v>42088.0</v>
      </c>
      <c r="B805" s="120">
        <v>649306.0</v>
      </c>
      <c r="C805" s="19">
        <f t="shared" si="144"/>
        <v>-0.02374284184</v>
      </c>
      <c r="D805" s="19">
        <f t="shared" si="143"/>
        <v>0.06777185487</v>
      </c>
      <c r="E805" s="12"/>
      <c r="F805" s="7"/>
      <c r="G805" s="7"/>
      <c r="H805" s="1"/>
      <c r="I805" s="1"/>
      <c r="J805" s="1"/>
      <c r="K805" s="1"/>
      <c r="L805" s="12">
        <f t="shared" si="145"/>
        <v>17653.88553</v>
      </c>
      <c r="M805" s="12"/>
      <c r="N805" s="15"/>
      <c r="O805" s="1"/>
      <c r="Q805" s="12"/>
      <c r="R805" s="1"/>
    </row>
    <row r="806" ht="12.75" hidden="1" customHeight="1" outlineLevel="1">
      <c r="A806" s="17">
        <v>42089.0</v>
      </c>
      <c r="B806" s="120">
        <v>652202.01</v>
      </c>
      <c r="C806" s="19">
        <f t="shared" si="144"/>
        <v>0.004460162081</v>
      </c>
      <c r="D806" s="19">
        <f t="shared" si="143"/>
        <v>0.0725342904</v>
      </c>
      <c r="E806" s="12"/>
      <c r="F806" s="7"/>
      <c r="G806" s="7"/>
      <c r="H806" s="1"/>
      <c r="I806" s="1"/>
      <c r="J806" s="1"/>
      <c r="K806" s="1"/>
      <c r="L806" s="12">
        <f t="shared" si="145"/>
        <v>17732.62472</v>
      </c>
      <c r="M806" s="12"/>
      <c r="N806" s="15"/>
      <c r="O806" s="1"/>
      <c r="Q806" s="12"/>
      <c r="R806" s="1"/>
    </row>
    <row r="807" ht="12.75" hidden="1" customHeight="1" outlineLevel="1">
      <c r="A807" s="17">
        <v>42090.0</v>
      </c>
      <c r="B807" s="120">
        <v>662830.89</v>
      </c>
      <c r="C807" s="19">
        <f t="shared" si="144"/>
        <v>0.0162969139</v>
      </c>
      <c r="D807" s="19">
        <f t="shared" si="143"/>
        <v>0.09001328939</v>
      </c>
      <c r="E807" s="12"/>
      <c r="F807" s="7"/>
      <c r="G807" s="7"/>
      <c r="H807" s="1"/>
      <c r="I807" s="1"/>
      <c r="J807" s="1"/>
      <c r="K807" s="1"/>
      <c r="L807" s="12">
        <f t="shared" si="145"/>
        <v>18021.61178</v>
      </c>
      <c r="M807" s="12"/>
      <c r="N807" s="15"/>
      <c r="O807" s="1"/>
      <c r="Q807" s="12"/>
      <c r="R807" s="1"/>
    </row>
    <row r="808" ht="12.75" hidden="1" customHeight="1" outlineLevel="1">
      <c r="A808" s="17">
        <v>42093.0</v>
      </c>
      <c r="B808" s="120">
        <v>659554.64</v>
      </c>
      <c r="C808" s="19">
        <f t="shared" si="144"/>
        <v>-0.004942814298</v>
      </c>
      <c r="D808" s="19">
        <f t="shared" si="143"/>
        <v>0.08462555611</v>
      </c>
      <c r="E808" s="12"/>
      <c r="F808" s="7"/>
      <c r="G808" s="7"/>
      <c r="H808" s="1"/>
      <c r="I808" s="1"/>
      <c r="J808" s="1"/>
      <c r="K808" s="7" t="s">
        <v>367</v>
      </c>
      <c r="L808" s="12">
        <f t="shared" si="145"/>
        <v>17932.5343</v>
      </c>
      <c r="M808" s="12"/>
      <c r="N808" s="15"/>
      <c r="O808" s="1"/>
      <c r="Q808" s="12"/>
      <c r="R808" s="1"/>
    </row>
    <row r="809" ht="12.75" hidden="1" customHeight="1" outlineLevel="1">
      <c r="A809" s="17">
        <v>42094.0</v>
      </c>
      <c r="B809" s="120">
        <v>654580.95</v>
      </c>
      <c r="C809" s="19">
        <f t="shared" si="144"/>
        <v>-0.007540982503</v>
      </c>
      <c r="D809" s="19">
        <f t="shared" si="143"/>
        <v>0.07644641377</v>
      </c>
      <c r="E809" s="12"/>
      <c r="F809" s="7"/>
      <c r="G809" s="7"/>
      <c r="H809" s="1"/>
      <c r="I809" s="1"/>
      <c r="J809" s="1"/>
      <c r="K809" s="37">
        <f>3805.27/3866.42-1</f>
        <v>-0.0158156641</v>
      </c>
      <c r="L809" s="12">
        <f t="shared" si="145"/>
        <v>17797.30537</v>
      </c>
      <c r="M809" s="12"/>
      <c r="N809" s="15"/>
      <c r="O809" s="1"/>
      <c r="Q809" s="12"/>
      <c r="R809" s="1"/>
    </row>
    <row r="810" ht="12.75" hidden="1" customHeight="1" outlineLevel="1">
      <c r="A810" s="17"/>
      <c r="B810" s="12"/>
      <c r="C810" s="1"/>
      <c r="D810" s="1"/>
      <c r="E810" s="12"/>
      <c r="F810" s="7"/>
      <c r="G810" s="7"/>
      <c r="H810" s="1"/>
      <c r="I810" s="1"/>
      <c r="J810" s="1"/>
      <c r="K810" s="1"/>
      <c r="L810" s="12"/>
      <c r="M810" s="12"/>
      <c r="N810" s="15"/>
      <c r="O810" s="1"/>
      <c r="Q810" s="12"/>
      <c r="R810" s="1"/>
    </row>
    <row r="811" ht="12.75" hidden="1" customHeight="1" outlineLevel="1">
      <c r="A811" s="17"/>
      <c r="B811" s="12">
        <f>B809+P811</f>
        <v>672580.95</v>
      </c>
      <c r="C811" s="19"/>
      <c r="D811" s="19">
        <f t="shared" ref="D811:D833" si="146">(B811/$B$811)-1</f>
        <v>0</v>
      </c>
      <c r="E811" s="12"/>
      <c r="F811" s="7"/>
      <c r="G811" s="7"/>
      <c r="H811" s="1"/>
      <c r="I811" s="1"/>
      <c r="J811" s="1"/>
      <c r="K811" s="1"/>
      <c r="L811" s="12"/>
      <c r="M811" s="12"/>
      <c r="N811" s="15"/>
      <c r="O811" s="1"/>
      <c r="P811" s="12">
        <v>18000.0</v>
      </c>
      <c r="Q811" s="12"/>
      <c r="R811" s="1"/>
    </row>
    <row r="812" ht="12.75" hidden="1" customHeight="1" outlineLevel="1">
      <c r="A812" s="17">
        <v>42095.0</v>
      </c>
      <c r="B812" s="120">
        <f>652696+18000</f>
        <v>670696</v>
      </c>
      <c r="C812" s="19">
        <f t="shared" ref="C812:C833" si="147">(B812/B811)-1</f>
        <v>-0.002802562279</v>
      </c>
      <c r="D812" s="19">
        <f t="shared" si="146"/>
        <v>-0.002802562279</v>
      </c>
      <c r="E812" s="12"/>
      <c r="F812" s="7"/>
      <c r="G812" s="7"/>
      <c r="H812" s="1"/>
      <c r="I812" s="1"/>
      <c r="J812" s="1"/>
      <c r="K812" s="1"/>
      <c r="L812" s="12">
        <f t="shared" ref="L812:L833" si="148">IF(C811="",L809*(1+C812),L811*(1+C812))</f>
        <v>17747.42732</v>
      </c>
      <c r="M812" s="12"/>
      <c r="N812" s="15"/>
      <c r="O812" s="1"/>
      <c r="Q812" s="12"/>
      <c r="R812" s="1"/>
    </row>
    <row r="813" ht="12.75" hidden="1" customHeight="1" outlineLevel="1">
      <c r="A813" s="17">
        <v>42096.0</v>
      </c>
      <c r="B813" s="120">
        <f>644983.98+18000</f>
        <v>662983.98</v>
      </c>
      <c r="C813" s="19">
        <f t="shared" si="147"/>
        <v>-0.01149853287</v>
      </c>
      <c r="D813" s="19">
        <f t="shared" si="146"/>
        <v>-0.01426886979</v>
      </c>
      <c r="E813" s="12"/>
      <c r="F813" s="7"/>
      <c r="G813" s="7"/>
      <c r="H813" s="1"/>
      <c r="I813" s="1"/>
      <c r="J813" s="1"/>
      <c r="K813" s="1"/>
      <c r="L813" s="12">
        <f t="shared" si="148"/>
        <v>17543.35794</v>
      </c>
      <c r="M813" s="12"/>
      <c r="N813" s="15"/>
      <c r="O813" s="1"/>
      <c r="Q813" s="12"/>
      <c r="R813" s="1"/>
    </row>
    <row r="814" ht="12.75" hidden="1" customHeight="1" outlineLevel="1">
      <c r="A814" s="17">
        <v>42097.0</v>
      </c>
      <c r="B814" s="120">
        <f>644982.04+18000</f>
        <v>662982.04</v>
      </c>
      <c r="C814" s="19">
        <f t="shared" si="147"/>
        <v>-0.000002926164219</v>
      </c>
      <c r="D814" s="19">
        <f t="shared" si="146"/>
        <v>-0.0142717542</v>
      </c>
      <c r="E814" s="12"/>
      <c r="F814" s="7"/>
      <c r="G814" s="7"/>
      <c r="H814" s="1"/>
      <c r="I814" s="1"/>
      <c r="J814" s="1"/>
      <c r="K814" s="1"/>
      <c r="L814" s="12">
        <f t="shared" si="148"/>
        <v>17543.30661</v>
      </c>
      <c r="M814" s="12"/>
      <c r="N814" s="15"/>
      <c r="O814" s="1"/>
      <c r="Q814" s="12"/>
      <c r="R814" s="1"/>
    </row>
    <row r="815" ht="12.75" hidden="1" customHeight="1" outlineLevel="1">
      <c r="A815" s="17">
        <v>42100.0</v>
      </c>
      <c r="B815" s="12">
        <f>642521.07+18000</f>
        <v>660521.07</v>
      </c>
      <c r="C815" s="19">
        <f t="shared" si="147"/>
        <v>-0.00371197084</v>
      </c>
      <c r="D815" s="19">
        <f t="shared" si="146"/>
        <v>-0.01793074871</v>
      </c>
      <c r="E815" s="12"/>
      <c r="F815" s="7"/>
      <c r="G815" s="7"/>
      <c r="H815" s="1"/>
      <c r="I815" s="1"/>
      <c r="J815" s="1"/>
      <c r="K815" s="1"/>
      <c r="L815" s="12">
        <f t="shared" si="148"/>
        <v>17478.18636</v>
      </c>
      <c r="M815" s="12"/>
      <c r="N815" s="15"/>
      <c r="O815" s="1"/>
      <c r="Q815" s="12"/>
      <c r="R815" s="1"/>
    </row>
    <row r="816" ht="12.75" hidden="1" customHeight="1" outlineLevel="1">
      <c r="A816" s="17">
        <v>42101.0</v>
      </c>
      <c r="B816" s="120">
        <f>636366.2+18000</f>
        <v>654366.2</v>
      </c>
      <c r="C816" s="19">
        <f t="shared" si="147"/>
        <v>-0.009318203884</v>
      </c>
      <c r="D816" s="19">
        <f t="shared" si="146"/>
        <v>-0.02708187022</v>
      </c>
      <c r="E816" s="12"/>
      <c r="F816" s="7"/>
      <c r="G816" s="7"/>
      <c r="H816" s="1"/>
      <c r="I816" s="1"/>
      <c r="J816" s="1"/>
      <c r="K816" s="1"/>
      <c r="L816" s="12">
        <f t="shared" si="148"/>
        <v>17315.32106</v>
      </c>
      <c r="M816" s="12"/>
      <c r="N816" s="15"/>
      <c r="O816" s="1"/>
      <c r="Q816" s="12"/>
      <c r="R816" s="1"/>
    </row>
    <row r="817" ht="12.75" hidden="1" customHeight="1" outlineLevel="1">
      <c r="A817" s="17">
        <v>42102.0</v>
      </c>
      <c r="B817" s="120">
        <v>664958.31</v>
      </c>
      <c r="C817" s="19">
        <f t="shared" si="147"/>
        <v>0.01618682322</v>
      </c>
      <c r="D817" s="19">
        <f t="shared" si="146"/>
        <v>-0.01133341645</v>
      </c>
      <c r="E817" s="12"/>
      <c r="F817" s="7"/>
      <c r="G817" s="7"/>
      <c r="H817" s="1"/>
      <c r="I817" s="1"/>
      <c r="J817" s="1"/>
      <c r="K817" s="1"/>
      <c r="L817" s="12">
        <f t="shared" si="148"/>
        <v>17595.6011</v>
      </c>
      <c r="M817" s="12"/>
      <c r="N817" s="15"/>
      <c r="O817" s="1"/>
      <c r="Q817" s="12"/>
      <c r="R817" s="1"/>
    </row>
    <row r="818" ht="12.75" hidden="1" customHeight="1" outlineLevel="1">
      <c r="A818" s="17">
        <v>42103.0</v>
      </c>
      <c r="B818" s="120">
        <v>667897.08</v>
      </c>
      <c r="C818" s="19">
        <f t="shared" si="147"/>
        <v>0.004419480072</v>
      </c>
      <c r="D818" s="19">
        <f t="shared" si="146"/>
        <v>-0.006964024182</v>
      </c>
      <c r="E818" s="12"/>
      <c r="F818" s="7"/>
      <c r="G818" s="7"/>
      <c r="H818" s="1"/>
      <c r="I818" s="1"/>
      <c r="J818" s="1"/>
      <c r="K818" s="1"/>
      <c r="L818" s="12">
        <f t="shared" si="148"/>
        <v>17673.36451</v>
      </c>
      <c r="M818" s="12"/>
      <c r="N818" s="15"/>
      <c r="O818" s="1"/>
      <c r="Q818" s="12"/>
      <c r="R818" s="1"/>
    </row>
    <row r="819" ht="12.75" hidden="1" customHeight="1" outlineLevel="1">
      <c r="A819" s="17">
        <v>42104.0</v>
      </c>
      <c r="B819" s="120">
        <v>667965.0</v>
      </c>
      <c r="C819" s="19">
        <f t="shared" si="147"/>
        <v>0.0001016923146</v>
      </c>
      <c r="D819" s="19">
        <f t="shared" si="146"/>
        <v>-0.006863040055</v>
      </c>
      <c r="E819" s="12"/>
      <c r="F819" s="7"/>
      <c r="G819" s="7"/>
      <c r="H819" s="1"/>
      <c r="I819" s="1"/>
      <c r="J819" s="1"/>
      <c r="K819" s="1"/>
      <c r="L819" s="12">
        <f t="shared" si="148"/>
        <v>17675.16176</v>
      </c>
      <c r="M819" s="12"/>
      <c r="N819" s="15"/>
      <c r="O819" s="1"/>
      <c r="Q819" s="12"/>
      <c r="R819" s="1"/>
    </row>
    <row r="820" ht="12.75" hidden="1" customHeight="1" outlineLevel="1">
      <c r="A820" s="17">
        <v>42107.0</v>
      </c>
      <c r="B820" s="120">
        <v>667850.47</v>
      </c>
      <c r="C820" s="19">
        <f t="shared" si="147"/>
        <v>-0.0001714610795</v>
      </c>
      <c r="D820" s="19">
        <f t="shared" si="146"/>
        <v>-0.00703332439</v>
      </c>
      <c r="E820" s="12"/>
      <c r="F820" s="7"/>
      <c r="G820" s="7"/>
      <c r="H820" s="1"/>
      <c r="I820" s="1"/>
      <c r="J820" s="1"/>
      <c r="K820" s="1"/>
      <c r="L820" s="12">
        <f t="shared" si="148"/>
        <v>17672.13115</v>
      </c>
      <c r="M820" s="12"/>
      <c r="N820" s="15"/>
      <c r="O820" s="1"/>
      <c r="Q820" s="12"/>
      <c r="R820" s="1"/>
    </row>
    <row r="821" ht="12.75" hidden="1" customHeight="1" outlineLevel="1">
      <c r="A821" s="17">
        <v>42108.0</v>
      </c>
      <c r="B821" s="120">
        <v>661115.67</v>
      </c>
      <c r="C821" s="19">
        <f t="shared" si="147"/>
        <v>-0.01008429327</v>
      </c>
      <c r="D821" s="19">
        <f t="shared" si="146"/>
        <v>-0.01704669155</v>
      </c>
      <c r="E821" s="12"/>
      <c r="F821" s="7"/>
      <c r="G821" s="7"/>
      <c r="H821" s="1"/>
      <c r="I821" s="1"/>
      <c r="J821" s="1"/>
      <c r="K821" s="1"/>
      <c r="L821" s="12">
        <f t="shared" si="148"/>
        <v>17493.9202</v>
      </c>
      <c r="M821" s="12"/>
      <c r="N821" s="15"/>
      <c r="O821" s="1"/>
      <c r="Q821" s="12"/>
      <c r="R821" s="1"/>
    </row>
    <row r="822" ht="12.75" hidden="1" customHeight="1" outlineLevel="1">
      <c r="A822" s="17">
        <v>42109.0</v>
      </c>
      <c r="B822" s="120">
        <v>661023.81</v>
      </c>
      <c r="C822" s="19">
        <f t="shared" si="147"/>
        <v>-0.000138946941</v>
      </c>
      <c r="D822" s="19">
        <f t="shared" si="146"/>
        <v>-0.01718326991</v>
      </c>
      <c r="E822" s="12"/>
      <c r="F822" s="7"/>
      <c r="G822" s="7"/>
      <c r="H822" s="1"/>
      <c r="I822" s="1"/>
      <c r="J822" s="1"/>
      <c r="K822" s="1"/>
      <c r="L822" s="12">
        <f t="shared" si="148"/>
        <v>17491.48947</v>
      </c>
      <c r="M822" s="12"/>
      <c r="N822" s="15"/>
      <c r="O822" s="1"/>
      <c r="Q822" s="12"/>
      <c r="R822" s="1"/>
    </row>
    <row r="823" ht="12.75" hidden="1" customHeight="1" outlineLevel="1">
      <c r="A823" s="17">
        <v>42110.0</v>
      </c>
      <c r="B823" s="120">
        <v>664211.78</v>
      </c>
      <c r="C823" s="19">
        <f t="shared" si="147"/>
        <v>0.004822776354</v>
      </c>
      <c r="D823" s="19">
        <f t="shared" si="146"/>
        <v>-0.01244336462</v>
      </c>
      <c r="E823" s="12"/>
      <c r="F823" s="7"/>
      <c r="G823" s="7"/>
      <c r="H823" s="1"/>
      <c r="I823" s="1"/>
      <c r="J823" s="1"/>
      <c r="K823" s="1"/>
      <c r="L823" s="12">
        <f t="shared" si="148"/>
        <v>17575.84701</v>
      </c>
      <c r="M823" s="12"/>
      <c r="N823" s="15"/>
      <c r="O823" s="1"/>
      <c r="Q823" s="12"/>
      <c r="R823" s="1"/>
    </row>
    <row r="824" ht="12.75" hidden="1" customHeight="1" outlineLevel="1">
      <c r="A824" s="17">
        <v>42111.0</v>
      </c>
      <c r="B824" s="120">
        <v>655183.96</v>
      </c>
      <c r="C824" s="19">
        <f t="shared" si="147"/>
        <v>-0.01359177942</v>
      </c>
      <c r="D824" s="19">
        <f t="shared" si="146"/>
        <v>-0.02586601657</v>
      </c>
      <c r="E824" s="12"/>
      <c r="F824" s="7"/>
      <c r="G824" s="7"/>
      <c r="H824" s="1"/>
      <c r="I824" s="1"/>
      <c r="J824" s="1"/>
      <c r="K824" s="1"/>
      <c r="L824" s="12">
        <f t="shared" si="148"/>
        <v>17336.95998</v>
      </c>
      <c r="M824" s="12"/>
      <c r="N824" s="15"/>
      <c r="O824" s="1"/>
      <c r="Q824" s="12"/>
      <c r="R824" s="1"/>
    </row>
    <row r="825" ht="12.75" hidden="1" customHeight="1" outlineLevel="1">
      <c r="A825" s="17">
        <v>42114.0</v>
      </c>
      <c r="B825" s="120">
        <v>658635.15</v>
      </c>
      <c r="C825" s="19">
        <f t="shared" si="147"/>
        <v>0.005267512959</v>
      </c>
      <c r="D825" s="19">
        <f t="shared" si="146"/>
        <v>-0.02073475319</v>
      </c>
      <c r="E825" s="12"/>
      <c r="F825" s="7"/>
      <c r="G825" s="7"/>
      <c r="H825" s="1"/>
      <c r="I825" s="1"/>
      <c r="J825" s="1"/>
      <c r="K825" s="1"/>
      <c r="L825" s="12">
        <f t="shared" si="148"/>
        <v>17428.28264</v>
      </c>
      <c r="M825" s="12"/>
      <c r="N825" s="15"/>
      <c r="O825" s="1"/>
      <c r="Q825" s="12"/>
      <c r="R825" s="1"/>
    </row>
    <row r="826" ht="12.75" hidden="1" customHeight="1" outlineLevel="1">
      <c r="A826" s="17">
        <v>42115.0</v>
      </c>
      <c r="B826" s="120">
        <v>663467.0</v>
      </c>
      <c r="C826" s="19">
        <f t="shared" si="147"/>
        <v>0.007336155685</v>
      </c>
      <c r="D826" s="19">
        <f t="shared" si="146"/>
        <v>-0.01355071088</v>
      </c>
      <c r="E826" s="12"/>
      <c r="F826" s="7"/>
      <c r="G826" s="7"/>
      <c r="H826" s="1"/>
      <c r="I826" s="1"/>
      <c r="J826" s="1"/>
      <c r="K826" s="1"/>
      <c r="L826" s="12">
        <f t="shared" si="148"/>
        <v>17556.13924</v>
      </c>
      <c r="M826" s="12"/>
      <c r="N826" s="15"/>
      <c r="O826" s="1"/>
      <c r="Q826" s="12"/>
      <c r="R826" s="1"/>
    </row>
    <row r="827" ht="12.75" hidden="1" customHeight="1" outlineLevel="1">
      <c r="A827" s="17">
        <v>42116.0</v>
      </c>
      <c r="B827" s="120">
        <v>655566.0</v>
      </c>
      <c r="C827" s="19">
        <f t="shared" si="147"/>
        <v>-0.01190865559</v>
      </c>
      <c r="D827" s="19">
        <f t="shared" si="146"/>
        <v>-0.02529799573</v>
      </c>
      <c r="E827" s="12"/>
      <c r="F827" s="7"/>
      <c r="G827" s="7"/>
      <c r="H827" s="1"/>
      <c r="I827" s="1"/>
      <c r="J827" s="1"/>
      <c r="K827" s="1"/>
      <c r="L827" s="12">
        <f t="shared" si="148"/>
        <v>17347.06922</v>
      </c>
      <c r="M827" s="12"/>
      <c r="N827" s="15"/>
      <c r="O827" s="1"/>
      <c r="Q827" s="12"/>
      <c r="R827" s="1"/>
    </row>
    <row r="828" ht="12.75" hidden="1" customHeight="1" outlineLevel="1">
      <c r="A828" s="17">
        <v>42117.0</v>
      </c>
      <c r="B828" s="120">
        <v>657801.0</v>
      </c>
      <c r="C828" s="19">
        <f t="shared" si="147"/>
        <v>0.003409267717</v>
      </c>
      <c r="D828" s="19">
        <f t="shared" si="146"/>
        <v>-0.02197497565</v>
      </c>
      <c r="E828" s="12"/>
      <c r="F828" s="7"/>
      <c r="G828" s="7"/>
      <c r="H828" s="1"/>
      <c r="I828" s="1"/>
      <c r="J828" s="1"/>
      <c r="K828" s="1"/>
      <c r="L828" s="12">
        <f t="shared" si="148"/>
        <v>17406.21002</v>
      </c>
      <c r="M828" s="12"/>
      <c r="N828" s="15"/>
      <c r="O828" s="1"/>
      <c r="Q828" s="12"/>
      <c r="R828" s="1"/>
    </row>
    <row r="829" ht="12.75" hidden="1" customHeight="1" outlineLevel="1">
      <c r="A829" s="17">
        <v>42118.0</v>
      </c>
      <c r="B829" s="120">
        <v>659362.86</v>
      </c>
      <c r="C829" s="19">
        <f t="shared" si="147"/>
        <v>0.0023743655</v>
      </c>
      <c r="D829" s="19">
        <f t="shared" si="146"/>
        <v>-0.01965278678</v>
      </c>
      <c r="E829" s="12"/>
      <c r="F829" s="7"/>
      <c r="G829" s="7"/>
      <c r="H829" s="1"/>
      <c r="I829" s="1"/>
      <c r="J829" s="1"/>
      <c r="K829" s="1"/>
      <c r="L829" s="12">
        <f t="shared" si="148"/>
        <v>17447.53873</v>
      </c>
      <c r="M829" s="12"/>
      <c r="N829" s="15"/>
      <c r="O829" s="1"/>
      <c r="Q829" s="12"/>
      <c r="R829" s="1"/>
    </row>
    <row r="830" ht="12.75" hidden="1" customHeight="1" outlineLevel="1">
      <c r="A830" s="17">
        <v>42121.0</v>
      </c>
      <c r="B830" s="120">
        <v>650353.0</v>
      </c>
      <c r="C830" s="19">
        <f t="shared" si="147"/>
        <v>-0.01366449424</v>
      </c>
      <c r="D830" s="19">
        <f t="shared" si="146"/>
        <v>-0.03304873562</v>
      </c>
      <c r="E830" s="12"/>
      <c r="F830" s="7"/>
      <c r="G830" s="7"/>
      <c r="H830" s="1"/>
      <c r="I830" s="1"/>
      <c r="J830" s="1"/>
      <c r="K830" s="1"/>
      <c r="L830" s="12">
        <f t="shared" si="148"/>
        <v>17209.12693</v>
      </c>
      <c r="M830" s="12"/>
      <c r="N830" s="15"/>
      <c r="O830" s="1"/>
      <c r="Q830" s="12"/>
      <c r="R830" s="1"/>
    </row>
    <row r="831" ht="12.75" hidden="1" customHeight="1" outlineLevel="1">
      <c r="A831" s="17">
        <v>42122.0</v>
      </c>
      <c r="B831" s="120">
        <v>653989.0</v>
      </c>
      <c r="C831" s="19">
        <f t="shared" si="147"/>
        <v>0.005590809914</v>
      </c>
      <c r="D831" s="19">
        <f t="shared" si="146"/>
        <v>-0.02764269491</v>
      </c>
      <c r="E831" s="12"/>
      <c r="F831" s="7"/>
      <c r="G831" s="7"/>
      <c r="H831" s="1"/>
      <c r="I831" s="1"/>
      <c r="J831" s="1"/>
      <c r="K831" s="1"/>
      <c r="L831" s="12">
        <f t="shared" si="148"/>
        <v>17305.33989</v>
      </c>
      <c r="M831" s="12"/>
      <c r="N831" s="15"/>
      <c r="O831" s="1"/>
      <c r="Q831" s="12"/>
      <c r="R831" s="1"/>
    </row>
    <row r="832" ht="12.75" hidden="1" customHeight="1" outlineLevel="1">
      <c r="A832" s="17">
        <v>42123.0</v>
      </c>
      <c r="B832" s="120">
        <v>651700.0</v>
      </c>
      <c r="C832" s="19">
        <f t="shared" si="147"/>
        <v>-0.003500058869</v>
      </c>
      <c r="D832" s="19">
        <f t="shared" si="146"/>
        <v>-0.03104600272</v>
      </c>
      <c r="E832" s="12"/>
      <c r="F832" s="7"/>
      <c r="G832" s="7"/>
      <c r="H832" s="1"/>
      <c r="I832" s="1"/>
      <c r="J832" s="1"/>
      <c r="K832" s="7" t="s">
        <v>367</v>
      </c>
      <c r="L832" s="12">
        <f t="shared" si="148"/>
        <v>17244.77018</v>
      </c>
      <c r="M832" s="12"/>
      <c r="N832" s="15"/>
      <c r="O832" s="1"/>
      <c r="Q832" s="12"/>
      <c r="R832" s="1"/>
    </row>
    <row r="833" ht="12.75" hidden="1" customHeight="1" outlineLevel="1">
      <c r="A833" s="17">
        <v>42124.0</v>
      </c>
      <c r="B833" s="120">
        <v>645330.96</v>
      </c>
      <c r="C833" s="19">
        <f t="shared" si="147"/>
        <v>-0.00977296302</v>
      </c>
      <c r="D833" s="19">
        <f t="shared" si="146"/>
        <v>-0.0405155543</v>
      </c>
      <c r="E833" s="12"/>
      <c r="F833" s="7"/>
      <c r="G833" s="7"/>
      <c r="H833" s="1"/>
      <c r="I833" s="1"/>
      <c r="J833" s="1"/>
      <c r="K833" s="37">
        <f>3841.77/3805.27-1</f>
        <v>0.009591960623</v>
      </c>
      <c r="L833" s="12">
        <f t="shared" si="148"/>
        <v>17076.23768</v>
      </c>
      <c r="M833" s="12"/>
      <c r="N833" s="15"/>
      <c r="O833" s="1"/>
      <c r="Q833" s="12"/>
      <c r="R833" s="1"/>
    </row>
    <row r="834" ht="12.75" hidden="1" customHeight="1" outlineLevel="1">
      <c r="A834" s="17"/>
      <c r="B834" s="12"/>
      <c r="C834" s="1"/>
      <c r="D834" s="1"/>
      <c r="E834" s="12"/>
      <c r="F834" s="7"/>
      <c r="G834" s="7"/>
      <c r="H834" s="1"/>
      <c r="I834" s="1"/>
      <c r="J834" s="1"/>
      <c r="K834" s="1"/>
      <c r="L834" s="12"/>
      <c r="M834" s="12"/>
      <c r="N834" s="15"/>
      <c r="O834" s="1"/>
      <c r="Q834" s="12"/>
      <c r="R834" s="1"/>
    </row>
    <row r="835" ht="12.75" hidden="1" customHeight="1" outlineLevel="1">
      <c r="A835" s="17"/>
      <c r="B835" s="12">
        <f>B833</f>
        <v>645330.96</v>
      </c>
      <c r="C835" s="19"/>
      <c r="D835" s="19">
        <f t="shared" ref="D835:D856" si="149">(B835/$B$835)-1</f>
        <v>0</v>
      </c>
      <c r="E835" s="12"/>
      <c r="F835" s="7"/>
      <c r="G835" s="7"/>
      <c r="H835" s="1"/>
      <c r="I835" s="1"/>
      <c r="J835" s="1"/>
      <c r="K835" s="1"/>
      <c r="L835" s="12"/>
      <c r="M835" s="12"/>
      <c r="N835" s="15"/>
      <c r="O835" s="1"/>
      <c r="Q835" s="12"/>
      <c r="R835" s="1"/>
    </row>
    <row r="836" ht="12.75" hidden="1" customHeight="1" outlineLevel="1">
      <c r="A836" s="17">
        <v>42125.0</v>
      </c>
      <c r="B836" s="120">
        <v>658552.55</v>
      </c>
      <c r="C836" s="19">
        <f t="shared" ref="C836:C856" si="150">(B836/B835)-1</f>
        <v>0.02048807638</v>
      </c>
      <c r="D836" s="19">
        <f t="shared" si="149"/>
        <v>0.02048807638</v>
      </c>
      <c r="E836" s="12"/>
      <c r="F836" s="7"/>
      <c r="G836" s="7"/>
      <c r="H836" s="1"/>
      <c r="I836" s="1"/>
      <c r="J836" s="1"/>
      <c r="K836" s="1"/>
      <c r="L836" s="12">
        <f t="shared" ref="L836:L856" si="151">IF(C835="",L833*(1+C836),L835*(1+C836))</f>
        <v>17426.09694</v>
      </c>
      <c r="M836" s="12"/>
      <c r="N836" s="15"/>
      <c r="O836" s="1"/>
      <c r="Q836" s="12"/>
      <c r="R836" s="1"/>
    </row>
    <row r="837" ht="12.75" hidden="1" customHeight="1" outlineLevel="1">
      <c r="A837" s="17">
        <v>42128.0</v>
      </c>
      <c r="B837" s="120">
        <v>662031.0</v>
      </c>
      <c r="C837" s="19">
        <f t="shared" si="150"/>
        <v>0.005281962692</v>
      </c>
      <c r="D837" s="19">
        <f t="shared" si="149"/>
        <v>0.02587825633</v>
      </c>
      <c r="E837" s="12"/>
      <c r="F837" s="7"/>
      <c r="G837" s="7"/>
      <c r="H837" s="1"/>
      <c r="I837" s="1"/>
      <c r="J837" s="1"/>
      <c r="K837" s="1"/>
      <c r="L837" s="12">
        <f t="shared" si="151"/>
        <v>17518.14094</v>
      </c>
      <c r="M837" s="12"/>
      <c r="N837" s="15"/>
      <c r="O837" s="1"/>
      <c r="Q837" s="12"/>
      <c r="R837" s="1"/>
    </row>
    <row r="838" ht="12.75" hidden="1" customHeight="1" outlineLevel="1">
      <c r="A838" s="17">
        <v>42129.0</v>
      </c>
      <c r="B838" s="120">
        <v>653930.0</v>
      </c>
      <c r="C838" s="19">
        <f t="shared" si="150"/>
        <v>-0.01223658711</v>
      </c>
      <c r="D838" s="19">
        <f t="shared" si="149"/>
        <v>0.01332500768</v>
      </c>
      <c r="E838" s="12"/>
      <c r="F838" s="7"/>
      <c r="G838" s="7"/>
      <c r="H838" s="1"/>
      <c r="I838" s="1"/>
      <c r="J838" s="1"/>
      <c r="K838" s="1"/>
      <c r="L838" s="12">
        <f t="shared" si="151"/>
        <v>17303.77868</v>
      </c>
      <c r="M838" s="12"/>
      <c r="N838" s="15"/>
      <c r="O838" s="1"/>
      <c r="Q838" s="12"/>
      <c r="R838" s="1"/>
    </row>
    <row r="839" ht="12.75" hidden="1" customHeight="1" outlineLevel="1">
      <c r="A839" s="17">
        <v>42130.0</v>
      </c>
      <c r="B839" s="120">
        <v>650193.17</v>
      </c>
      <c r="C839" s="19">
        <f t="shared" si="150"/>
        <v>-0.005714418975</v>
      </c>
      <c r="D839" s="19">
        <f t="shared" si="149"/>
        <v>0.007534444032</v>
      </c>
      <c r="E839" s="12"/>
      <c r="F839" s="7"/>
      <c r="G839" s="7"/>
      <c r="H839" s="1"/>
      <c r="I839" s="1"/>
      <c r="J839" s="1"/>
      <c r="K839" s="1"/>
      <c r="L839" s="12">
        <f t="shared" si="151"/>
        <v>17204.89764</v>
      </c>
      <c r="M839" s="12"/>
      <c r="N839" s="15"/>
      <c r="O839" s="1"/>
      <c r="Q839" s="12"/>
      <c r="R839" s="1"/>
    </row>
    <row r="840" ht="12.75" hidden="1" customHeight="1" outlineLevel="1">
      <c r="A840" s="17">
        <v>42131.0</v>
      </c>
      <c r="B840" s="120">
        <v>656500.0</v>
      </c>
      <c r="C840" s="19">
        <f t="shared" si="150"/>
        <v>0.009699932714</v>
      </c>
      <c r="D840" s="19">
        <f t="shared" si="149"/>
        <v>0.01730746035</v>
      </c>
      <c r="E840" s="12"/>
      <c r="F840" s="7"/>
      <c r="G840" s="7"/>
      <c r="H840" s="1"/>
      <c r="I840" s="1"/>
      <c r="J840" s="1"/>
      <c r="K840" s="1"/>
      <c r="L840" s="12">
        <f t="shared" si="151"/>
        <v>17371.78399</v>
      </c>
      <c r="M840" s="12"/>
      <c r="N840" s="15"/>
      <c r="O840" s="1"/>
      <c r="Q840" s="12"/>
      <c r="R840" s="1"/>
    </row>
    <row r="841" ht="12.75" hidden="1" customHeight="1" outlineLevel="1">
      <c r="A841" s="17">
        <v>42132.0</v>
      </c>
      <c r="B841" s="120">
        <v>665264.99</v>
      </c>
      <c r="C841" s="19">
        <f t="shared" si="150"/>
        <v>0.01335108911</v>
      </c>
      <c r="D841" s="19">
        <f t="shared" si="149"/>
        <v>0.0308896229</v>
      </c>
      <c r="E841" s="12"/>
      <c r="F841" s="7"/>
      <c r="G841" s="7"/>
      <c r="H841" s="1"/>
      <c r="I841" s="1"/>
      <c r="J841" s="1"/>
      <c r="K841" s="1"/>
      <c r="L841" s="12">
        <f t="shared" si="151"/>
        <v>17603.71623</v>
      </c>
      <c r="M841" s="12"/>
      <c r="N841" s="15"/>
      <c r="O841" s="1"/>
      <c r="Q841" s="12"/>
      <c r="R841" s="1"/>
    </row>
    <row r="842" ht="12.75" hidden="1" customHeight="1" outlineLevel="1">
      <c r="A842" s="17">
        <v>42135.0</v>
      </c>
      <c r="B842" s="120">
        <v>662185.0</v>
      </c>
      <c r="C842" s="19">
        <f t="shared" si="150"/>
        <v>-0.004629719054</v>
      </c>
      <c r="D842" s="19">
        <f t="shared" si="149"/>
        <v>0.02611689357</v>
      </c>
      <c r="E842" s="12"/>
      <c r="F842" s="7"/>
      <c r="G842" s="7"/>
      <c r="H842" s="1"/>
      <c r="I842" s="1"/>
      <c r="J842" s="1"/>
      <c r="K842" s="1"/>
      <c r="L842" s="12">
        <f t="shared" si="151"/>
        <v>17522.21596</v>
      </c>
      <c r="M842" s="12"/>
      <c r="N842" s="15"/>
      <c r="O842" s="1"/>
      <c r="Q842" s="12"/>
      <c r="R842" s="1"/>
    </row>
    <row r="843" ht="12.75" hidden="1" customHeight="1" outlineLevel="1">
      <c r="A843" s="17">
        <v>42136.0</v>
      </c>
      <c r="B843" s="120">
        <v>657482.0</v>
      </c>
      <c r="C843" s="19">
        <f t="shared" si="150"/>
        <v>-0.007102244841</v>
      </c>
      <c r="D843" s="19">
        <f t="shared" si="149"/>
        <v>0.01882916016</v>
      </c>
      <c r="E843" s="12"/>
      <c r="F843" s="7"/>
      <c r="G843" s="7"/>
      <c r="H843" s="1"/>
      <c r="I843" s="1"/>
      <c r="J843" s="1"/>
      <c r="K843" s="1"/>
      <c r="L843" s="12">
        <f t="shared" si="151"/>
        <v>17397.7689</v>
      </c>
      <c r="M843" s="12"/>
      <c r="N843" s="15"/>
      <c r="O843" s="1"/>
      <c r="Q843" s="12"/>
      <c r="R843" s="1"/>
    </row>
    <row r="844" ht="12.75" hidden="1" customHeight="1" outlineLevel="1">
      <c r="A844" s="17">
        <v>42137.0</v>
      </c>
      <c r="B844" s="120">
        <v>658000.0</v>
      </c>
      <c r="C844" s="19">
        <f t="shared" si="150"/>
        <v>0.0007878542683</v>
      </c>
      <c r="D844" s="19">
        <f t="shared" si="149"/>
        <v>0.01963184906</v>
      </c>
      <c r="E844" s="12"/>
      <c r="F844" s="7"/>
      <c r="G844" s="7"/>
      <c r="H844" s="1"/>
      <c r="I844" s="1"/>
      <c r="J844" s="1"/>
      <c r="K844" s="1"/>
      <c r="L844" s="12">
        <f t="shared" si="151"/>
        <v>17411.4758</v>
      </c>
      <c r="M844" s="12"/>
      <c r="N844" s="15"/>
      <c r="O844" s="1"/>
      <c r="Q844" s="12"/>
      <c r="R844" s="1"/>
    </row>
    <row r="845" ht="12.75" hidden="1" customHeight="1" outlineLevel="1">
      <c r="A845" s="17">
        <v>42138.0</v>
      </c>
      <c r="B845" s="120">
        <v>668101.0</v>
      </c>
      <c r="C845" s="19">
        <f t="shared" si="150"/>
        <v>0.01535106383</v>
      </c>
      <c r="D845" s="19">
        <f t="shared" si="149"/>
        <v>0.03528428266</v>
      </c>
      <c r="E845" s="12"/>
      <c r="F845" s="7"/>
      <c r="G845" s="7"/>
      <c r="H845" s="1"/>
      <c r="I845" s="1"/>
      <c r="J845" s="1"/>
      <c r="K845" s="1"/>
      <c r="L845" s="12">
        <f t="shared" si="151"/>
        <v>17678.76048</v>
      </c>
      <c r="M845" s="12"/>
      <c r="N845" s="15"/>
      <c r="O845" s="1"/>
      <c r="Q845" s="12"/>
      <c r="R845" s="1"/>
    </row>
    <row r="846" ht="12.75" hidden="1" customHeight="1" outlineLevel="1">
      <c r="A846" s="17">
        <v>42139.0</v>
      </c>
      <c r="B846" s="120">
        <v>667544.011</v>
      </c>
      <c r="C846" s="19">
        <f t="shared" si="150"/>
        <v>-0.0008336898164</v>
      </c>
      <c r="D846" s="19">
        <f t="shared" si="149"/>
        <v>0.03442117669</v>
      </c>
      <c r="E846" s="12"/>
      <c r="F846" s="7"/>
      <c r="G846" s="7"/>
      <c r="H846" s="1"/>
      <c r="I846" s="1"/>
      <c r="J846" s="1"/>
      <c r="K846" s="1"/>
      <c r="L846" s="12">
        <f t="shared" si="151"/>
        <v>17664.02188</v>
      </c>
      <c r="M846" s="12"/>
      <c r="N846" s="15"/>
      <c r="O846" s="1"/>
      <c r="Q846" s="12"/>
      <c r="R846" s="1"/>
    </row>
    <row r="847" ht="12.75" hidden="1" customHeight="1" outlineLevel="1">
      <c r="A847" s="17">
        <v>42142.0</v>
      </c>
      <c r="B847" s="120">
        <v>680649.0</v>
      </c>
      <c r="C847" s="19">
        <f t="shared" si="150"/>
        <v>0.01963164793</v>
      </c>
      <c r="D847" s="19">
        <f t="shared" si="149"/>
        <v>0.05472856904</v>
      </c>
      <c r="E847" s="12"/>
      <c r="F847" s="7"/>
      <c r="G847" s="7"/>
      <c r="H847" s="1"/>
      <c r="I847" s="1"/>
      <c r="J847" s="1"/>
      <c r="K847" s="1"/>
      <c r="L847" s="12">
        <f t="shared" si="151"/>
        <v>18010.79574</v>
      </c>
      <c r="M847" s="12"/>
      <c r="N847" s="15"/>
      <c r="O847" s="1"/>
      <c r="Q847" s="12"/>
      <c r="R847" s="1"/>
    </row>
    <row r="848" ht="12.75" hidden="1" customHeight="1" outlineLevel="1">
      <c r="A848" s="17">
        <v>42143.0</v>
      </c>
      <c r="B848" s="120">
        <v>685845.0</v>
      </c>
      <c r="C848" s="19">
        <f t="shared" si="150"/>
        <v>0.007633890596</v>
      </c>
      <c r="D848" s="19">
        <f t="shared" si="149"/>
        <v>0.06278025155</v>
      </c>
      <c r="E848" s="12"/>
      <c r="F848" s="7"/>
      <c r="G848" s="7"/>
      <c r="H848" s="1"/>
      <c r="I848" s="1"/>
      <c r="J848" s="1"/>
      <c r="K848" s="1"/>
      <c r="L848" s="12">
        <f t="shared" si="151"/>
        <v>18148.28818</v>
      </c>
      <c r="M848" s="12"/>
      <c r="N848" s="15"/>
      <c r="O848" s="1"/>
      <c r="Q848" s="12"/>
      <c r="R848" s="1"/>
    </row>
    <row r="849" ht="12.75" hidden="1" customHeight="1" outlineLevel="1">
      <c r="A849" s="17">
        <v>42144.0</v>
      </c>
      <c r="B849" s="120">
        <v>684121.0</v>
      </c>
      <c r="C849" s="19">
        <f t="shared" si="150"/>
        <v>-0.002513687495</v>
      </c>
      <c r="D849" s="19">
        <f t="shared" si="149"/>
        <v>0.06010875412</v>
      </c>
      <c r="E849" s="12"/>
      <c r="F849" s="7"/>
      <c r="G849" s="7"/>
      <c r="H849" s="1"/>
      <c r="I849" s="1"/>
      <c r="J849" s="1"/>
      <c r="K849" s="1"/>
      <c r="L849" s="12">
        <f t="shared" si="151"/>
        <v>18102.66905</v>
      </c>
      <c r="M849" s="12"/>
      <c r="N849" s="15"/>
      <c r="O849" s="1"/>
      <c r="Q849" s="12"/>
      <c r="R849" s="1"/>
    </row>
    <row r="850" ht="12.75" hidden="1" customHeight="1" outlineLevel="1">
      <c r="A850" s="17">
        <v>42145.0</v>
      </c>
      <c r="B850" s="120">
        <v>682285.0</v>
      </c>
      <c r="C850" s="19">
        <f t="shared" si="150"/>
        <v>-0.002683735772</v>
      </c>
      <c r="D850" s="19">
        <f t="shared" si="149"/>
        <v>0.05726370233</v>
      </c>
      <c r="E850" s="12"/>
      <c r="F850" s="7"/>
      <c r="G850" s="7"/>
      <c r="H850" s="1"/>
      <c r="I850" s="1"/>
      <c r="J850" s="1"/>
      <c r="K850" s="1"/>
      <c r="L850" s="12">
        <f t="shared" si="151"/>
        <v>18054.08627</v>
      </c>
      <c r="M850" s="12"/>
      <c r="N850" s="15"/>
      <c r="O850" s="1"/>
      <c r="Q850" s="12"/>
      <c r="R850" s="1"/>
    </row>
    <row r="851" ht="12.75" hidden="1" customHeight="1" outlineLevel="1">
      <c r="A851" s="17">
        <v>42146.0</v>
      </c>
      <c r="B851" s="120">
        <v>680404.88</v>
      </c>
      <c r="C851" s="19">
        <f t="shared" si="150"/>
        <v>-0.00275562265</v>
      </c>
      <c r="D851" s="19">
        <f t="shared" si="149"/>
        <v>0.05435028253</v>
      </c>
      <c r="E851" s="12"/>
      <c r="F851" s="7"/>
      <c r="G851" s="7"/>
      <c r="H851" s="1"/>
      <c r="I851" s="1"/>
      <c r="J851" s="1"/>
      <c r="K851" s="1"/>
      <c r="L851" s="12">
        <f t="shared" si="151"/>
        <v>18004.33603</v>
      </c>
      <c r="M851" s="12"/>
      <c r="N851" s="15"/>
      <c r="O851" s="1"/>
      <c r="Q851" s="12"/>
      <c r="R851" s="1"/>
    </row>
    <row r="852" ht="12.75" hidden="1" customHeight="1" outlineLevel="1">
      <c r="A852" s="17">
        <v>42149.0</v>
      </c>
      <c r="B852" s="12">
        <f>B851</f>
        <v>680404.88</v>
      </c>
      <c r="C852" s="19">
        <f t="shared" si="150"/>
        <v>0</v>
      </c>
      <c r="D852" s="19">
        <f t="shared" si="149"/>
        <v>0.05435028253</v>
      </c>
      <c r="E852" s="12"/>
      <c r="F852" s="7"/>
      <c r="G852" s="7"/>
      <c r="H852" s="1"/>
      <c r="I852" s="1"/>
      <c r="J852" s="1"/>
      <c r="K852" s="1"/>
      <c r="L852" s="12">
        <f t="shared" si="151"/>
        <v>18004.33603</v>
      </c>
      <c r="M852" s="12"/>
      <c r="N852" s="15"/>
      <c r="O852" s="1"/>
      <c r="Q852" s="12"/>
      <c r="R852" s="1"/>
    </row>
    <row r="853" ht="12.75" hidden="1" customHeight="1" outlineLevel="1">
      <c r="A853" s="17">
        <v>42150.0</v>
      </c>
      <c r="B853" s="120">
        <v>666804.0</v>
      </c>
      <c r="C853" s="19">
        <f t="shared" si="150"/>
        <v>-0.0199893922</v>
      </c>
      <c r="D853" s="19">
        <f t="shared" si="149"/>
        <v>0.03327446122</v>
      </c>
      <c r="E853" s="12"/>
      <c r="F853" s="7"/>
      <c r="G853" s="7"/>
      <c r="H853" s="1"/>
      <c r="I853" s="1"/>
      <c r="J853" s="1"/>
      <c r="K853" s="1"/>
      <c r="L853" s="12">
        <f t="shared" si="151"/>
        <v>17644.44029</v>
      </c>
      <c r="M853" s="12"/>
      <c r="N853" s="15"/>
      <c r="O853" s="1"/>
      <c r="Q853" s="12"/>
      <c r="R853" s="1"/>
    </row>
    <row r="854" ht="12.75" hidden="1" customHeight="1" outlineLevel="1">
      <c r="A854" s="17">
        <v>42151.0</v>
      </c>
      <c r="B854" s="120">
        <v>671482.0</v>
      </c>
      <c r="C854" s="19">
        <f t="shared" si="150"/>
        <v>0.007015554796</v>
      </c>
      <c r="D854" s="19">
        <f t="shared" si="149"/>
        <v>0.04052345482</v>
      </c>
      <c r="E854" s="12"/>
      <c r="F854" s="7"/>
      <c r="G854" s="7"/>
      <c r="H854" s="1"/>
      <c r="I854" s="1"/>
      <c r="J854" s="1"/>
      <c r="K854" s="1"/>
      <c r="L854" s="12">
        <f t="shared" si="151"/>
        <v>17768.22583</v>
      </c>
      <c r="M854" s="12"/>
      <c r="N854" s="15"/>
      <c r="O854" s="1"/>
      <c r="Q854" s="12"/>
      <c r="R854" s="1"/>
    </row>
    <row r="855" ht="12.75" hidden="1" customHeight="1" outlineLevel="1">
      <c r="A855" s="17">
        <v>42152.0</v>
      </c>
      <c r="B855" s="120">
        <v>674567.0</v>
      </c>
      <c r="C855" s="19">
        <f t="shared" si="150"/>
        <v>0.004594315261</v>
      </c>
      <c r="D855" s="19">
        <f t="shared" si="149"/>
        <v>0.04530394761</v>
      </c>
      <c r="E855" s="12"/>
      <c r="F855" s="7"/>
      <c r="G855" s="7"/>
      <c r="H855" s="1"/>
      <c r="I855" s="1"/>
      <c r="J855" s="1"/>
      <c r="K855" s="32" t="s">
        <v>367</v>
      </c>
      <c r="L855" s="12">
        <f t="shared" si="151"/>
        <v>17849.85866</v>
      </c>
      <c r="M855" s="12"/>
      <c r="N855" s="15"/>
      <c r="O855" s="1"/>
      <c r="Q855" s="12"/>
      <c r="R855" s="1"/>
    </row>
    <row r="856" ht="12.75" hidden="1" customHeight="1" outlineLevel="1">
      <c r="A856" s="17">
        <v>42153.0</v>
      </c>
      <c r="B856" s="120">
        <v>671066.35</v>
      </c>
      <c r="C856" s="19">
        <f t="shared" si="150"/>
        <v>-0.005189477102</v>
      </c>
      <c r="D856" s="19">
        <f t="shared" si="149"/>
        <v>0.03987936671</v>
      </c>
      <c r="E856" s="12"/>
      <c r="F856" s="7"/>
      <c r="G856" s="7"/>
      <c r="H856" s="1"/>
      <c r="I856" s="1"/>
      <c r="J856" s="1"/>
      <c r="K856" s="37">
        <f>3891.18/3841.77-1</f>
        <v>0.01286125926</v>
      </c>
      <c r="L856" s="12">
        <f t="shared" si="151"/>
        <v>17757.22723</v>
      </c>
      <c r="M856" s="12"/>
      <c r="N856" s="15"/>
      <c r="O856" s="1"/>
      <c r="Q856" s="12"/>
      <c r="R856" s="1"/>
    </row>
    <row r="857" ht="12.75" hidden="1" customHeight="1" outlineLevel="1">
      <c r="A857" s="17"/>
      <c r="B857" s="12"/>
      <c r="C857" s="1"/>
      <c r="D857" s="1"/>
      <c r="E857" s="12"/>
      <c r="F857" s="7"/>
      <c r="G857" s="7"/>
      <c r="H857" s="1"/>
      <c r="I857" s="1"/>
      <c r="J857" s="1"/>
      <c r="K857" s="1"/>
      <c r="L857" s="12"/>
      <c r="M857" s="12"/>
      <c r="N857" s="15"/>
      <c r="O857" s="1"/>
      <c r="Q857" s="12"/>
      <c r="R857" s="1"/>
    </row>
    <row r="858" ht="12.75" hidden="1" customHeight="1" outlineLevel="1">
      <c r="A858" s="122"/>
      <c r="B858" s="12">
        <f>B856</f>
        <v>671066.35</v>
      </c>
      <c r="C858" s="19"/>
      <c r="D858" s="19">
        <f t="shared" ref="D858:D880" si="152">(B858/$B$858)-1</f>
        <v>0</v>
      </c>
      <c r="E858" s="12"/>
      <c r="F858" s="7"/>
      <c r="G858" s="7"/>
      <c r="H858" s="1"/>
      <c r="I858" s="1"/>
      <c r="J858" s="1"/>
      <c r="K858" s="1"/>
      <c r="L858" s="12"/>
      <c r="M858" s="12"/>
      <c r="N858" s="15"/>
      <c r="O858" s="1"/>
      <c r="Q858" s="12"/>
      <c r="R858" s="1"/>
    </row>
    <row r="859" ht="12.75" hidden="1" customHeight="1" outlineLevel="1">
      <c r="A859" s="17">
        <v>42156.0</v>
      </c>
      <c r="B859" s="120">
        <v>672917.0</v>
      </c>
      <c r="C859" s="19">
        <f t="shared" ref="C859:C880" si="153">(B859/B858)-1</f>
        <v>0.002757774995</v>
      </c>
      <c r="D859" s="19">
        <f t="shared" si="152"/>
        <v>0.002757774995</v>
      </c>
      <c r="E859" s="12"/>
      <c r="F859" s="7"/>
      <c r="G859" s="7"/>
      <c r="H859" s="1"/>
      <c r="I859" s="1"/>
      <c r="J859" s="1"/>
      <c r="K859" s="1"/>
      <c r="L859" s="12">
        <f t="shared" ref="L859:L880" si="154">IF(C858="",L856*(1+C859),L858*(1+C859))</f>
        <v>17806.19766</v>
      </c>
      <c r="M859" s="12"/>
      <c r="N859" s="15"/>
      <c r="O859" s="1"/>
      <c r="Q859" s="12"/>
      <c r="R859" s="1"/>
    </row>
    <row r="860" ht="12.75" hidden="1" customHeight="1" outlineLevel="1">
      <c r="A860" s="17">
        <v>42157.0</v>
      </c>
      <c r="B860" s="120">
        <v>672255.0</v>
      </c>
      <c r="C860" s="19">
        <f t="shared" si="153"/>
        <v>-0.0009837766025</v>
      </c>
      <c r="D860" s="19">
        <f t="shared" si="152"/>
        <v>0.001771285358</v>
      </c>
      <c r="E860" s="12"/>
      <c r="F860" s="7"/>
      <c r="G860" s="7"/>
      <c r="H860" s="1"/>
      <c r="I860" s="1"/>
      <c r="J860" s="1"/>
      <c r="K860" s="1"/>
      <c r="L860" s="12">
        <f t="shared" si="154"/>
        <v>17788.68034</v>
      </c>
      <c r="M860" s="12"/>
      <c r="N860" s="15"/>
      <c r="O860" s="1"/>
      <c r="Q860" s="12"/>
      <c r="R860" s="1"/>
    </row>
    <row r="861" ht="12.75" hidden="1" customHeight="1" outlineLevel="1">
      <c r="A861" s="17">
        <v>42158.0</v>
      </c>
      <c r="B861" s="120">
        <v>679173.0</v>
      </c>
      <c r="C861" s="19">
        <f t="shared" si="153"/>
        <v>0.01029073789</v>
      </c>
      <c r="D861" s="19">
        <f t="shared" si="152"/>
        <v>0.01208025108</v>
      </c>
      <c r="E861" s="12"/>
      <c r="F861" s="7"/>
      <c r="G861" s="7"/>
      <c r="H861" s="1"/>
      <c r="I861" s="1"/>
      <c r="J861" s="1"/>
      <c r="K861" s="1"/>
      <c r="L861" s="12">
        <f t="shared" si="154"/>
        <v>17971.73899</v>
      </c>
      <c r="M861" s="12"/>
      <c r="N861" s="15"/>
      <c r="O861" s="1"/>
      <c r="Q861" s="12"/>
      <c r="R861" s="1"/>
    </row>
    <row r="862" ht="12.75" hidden="1" customHeight="1" outlineLevel="1">
      <c r="A862" s="17">
        <v>42159.0</v>
      </c>
      <c r="B862" s="120">
        <v>672701.0</v>
      </c>
      <c r="C862" s="19">
        <f t="shared" si="153"/>
        <v>-0.009529236292</v>
      </c>
      <c r="D862" s="19">
        <f t="shared" si="152"/>
        <v>0.002435899222</v>
      </c>
      <c r="E862" s="12"/>
      <c r="F862" s="7"/>
      <c r="G862" s="7"/>
      <c r="H862" s="1"/>
      <c r="I862" s="1"/>
      <c r="J862" s="1"/>
      <c r="K862" s="1"/>
      <c r="L862" s="12">
        <f t="shared" si="154"/>
        <v>17800.48204</v>
      </c>
      <c r="M862" s="12"/>
      <c r="N862" s="15"/>
      <c r="O862" s="1"/>
      <c r="Q862" s="12"/>
      <c r="R862" s="1"/>
    </row>
    <row r="863" ht="12.75" hidden="1" customHeight="1" outlineLevel="1">
      <c r="A863" s="17">
        <v>42160.0</v>
      </c>
      <c r="B863" s="120">
        <v>671961.93</v>
      </c>
      <c r="C863" s="19">
        <f t="shared" si="153"/>
        <v>-0.001098660475</v>
      </c>
      <c r="D863" s="19">
        <f t="shared" si="152"/>
        <v>0.001334562521</v>
      </c>
      <c r="E863" s="12"/>
      <c r="F863" s="7"/>
      <c r="G863" s="7"/>
      <c r="H863" s="1"/>
      <c r="I863" s="1"/>
      <c r="J863" s="1"/>
      <c r="K863" s="1"/>
      <c r="L863" s="12">
        <f t="shared" si="154"/>
        <v>17780.92536</v>
      </c>
      <c r="M863" s="12"/>
      <c r="N863" s="15"/>
      <c r="O863" s="1"/>
      <c r="Q863" s="12"/>
      <c r="R863" s="1"/>
    </row>
    <row r="864" ht="12.75" hidden="1" customHeight="1" outlineLevel="1">
      <c r="A864" s="17">
        <v>42163.0</v>
      </c>
      <c r="B864" s="120">
        <v>668416.0</v>
      </c>
      <c r="C864" s="19">
        <f t="shared" si="153"/>
        <v>-0.005276980498</v>
      </c>
      <c r="D864" s="19">
        <f t="shared" si="152"/>
        <v>-0.003949460437</v>
      </c>
      <c r="E864" s="12"/>
      <c r="F864" s="7"/>
      <c r="G864" s="7"/>
      <c r="H864" s="1"/>
      <c r="I864" s="1"/>
      <c r="J864" s="1"/>
      <c r="K864" s="1"/>
      <c r="L864" s="12">
        <f t="shared" si="154"/>
        <v>17687.09576</v>
      </c>
      <c r="M864" s="12"/>
      <c r="N864" s="15"/>
      <c r="O864" s="1"/>
      <c r="Q864" s="12"/>
      <c r="R864" s="1"/>
    </row>
    <row r="865" ht="12.75" hidden="1" customHeight="1" outlineLevel="1">
      <c r="A865" s="17">
        <v>42164.0</v>
      </c>
      <c r="B865" s="120">
        <v>670663.0</v>
      </c>
      <c r="C865" s="19">
        <f t="shared" si="153"/>
        <v>0.003361678954</v>
      </c>
      <c r="D865" s="19">
        <f t="shared" si="152"/>
        <v>-0.0006010583007</v>
      </c>
      <c r="E865" s="12"/>
      <c r="F865" s="7"/>
      <c r="G865" s="7"/>
      <c r="H865" s="1"/>
      <c r="I865" s="1"/>
      <c r="J865" s="1"/>
      <c r="K865" s="1"/>
      <c r="L865" s="12">
        <f t="shared" si="154"/>
        <v>17746.5541</v>
      </c>
      <c r="M865" s="12"/>
      <c r="N865" s="15"/>
      <c r="O865" s="1"/>
      <c r="Q865" s="12"/>
      <c r="R865" s="1"/>
    </row>
    <row r="866" ht="12.75" hidden="1" customHeight="1" outlineLevel="1">
      <c r="A866" s="17">
        <v>42165.0</v>
      </c>
      <c r="B866" s="120">
        <v>666865.76</v>
      </c>
      <c r="C866" s="19">
        <f t="shared" si="153"/>
        <v>-0.005661919623</v>
      </c>
      <c r="D866" s="19">
        <f t="shared" si="152"/>
        <v>-0.00625957478</v>
      </c>
      <c r="E866" s="12"/>
      <c r="F866" s="7"/>
      <c r="G866" s="7"/>
      <c r="H866" s="1"/>
      <c r="I866" s="1"/>
      <c r="J866" s="32" t="s">
        <v>667</v>
      </c>
      <c r="K866" s="1"/>
      <c r="L866" s="12">
        <f t="shared" si="154"/>
        <v>17646.07454</v>
      </c>
      <c r="M866" s="12"/>
      <c r="N866" s="15"/>
      <c r="O866" s="1"/>
      <c r="Q866" s="12"/>
      <c r="R866" s="1"/>
    </row>
    <row r="867" ht="12.75" hidden="1" customHeight="1" outlineLevel="1">
      <c r="A867" s="17">
        <v>42166.0</v>
      </c>
      <c r="B867" s="120">
        <v>663011.0</v>
      </c>
      <c r="C867" s="19">
        <f t="shared" si="153"/>
        <v>-0.005780413737</v>
      </c>
      <c r="D867" s="19">
        <f t="shared" si="152"/>
        <v>-0.01200380558</v>
      </c>
      <c r="E867" s="12"/>
      <c r="F867" s="7"/>
      <c r="G867" s="7"/>
      <c r="H867" s="1"/>
      <c r="I867" s="1"/>
      <c r="J867" s="1"/>
      <c r="K867" s="1"/>
      <c r="L867" s="12">
        <f t="shared" si="154"/>
        <v>17544.07292</v>
      </c>
      <c r="M867" s="12"/>
      <c r="N867" s="15"/>
      <c r="O867" s="1"/>
      <c r="Q867" s="12"/>
      <c r="R867" s="1"/>
    </row>
    <row r="868" ht="12.75" hidden="1" customHeight="1" outlineLevel="1">
      <c r="A868" s="17">
        <v>42167.0</v>
      </c>
      <c r="B868" s="120">
        <v>660120.0</v>
      </c>
      <c r="C868" s="19">
        <f t="shared" si="153"/>
        <v>-0.00436041031</v>
      </c>
      <c r="D868" s="19">
        <f t="shared" si="152"/>
        <v>-0.01631187438</v>
      </c>
      <c r="E868" s="12"/>
      <c r="F868" s="7"/>
      <c r="G868" s="7"/>
      <c r="H868" s="1"/>
      <c r="I868" s="1"/>
      <c r="J868" s="1"/>
      <c r="K868" s="1"/>
      <c r="L868" s="12">
        <f t="shared" si="154"/>
        <v>17467.57357</v>
      </c>
      <c r="M868" s="12"/>
      <c r="N868" s="15"/>
      <c r="O868" s="1"/>
      <c r="Q868" s="12"/>
      <c r="R868" s="1"/>
    </row>
    <row r="869" ht="12.75" hidden="1" customHeight="1" outlineLevel="1">
      <c r="A869" s="17">
        <v>42170.0</v>
      </c>
      <c r="B869" s="120">
        <v>659875.0</v>
      </c>
      <c r="C869" s="19">
        <f t="shared" si="153"/>
        <v>-0.0003711446404</v>
      </c>
      <c r="D869" s="19">
        <f t="shared" si="152"/>
        <v>-0.01667696495</v>
      </c>
      <c r="E869" s="12"/>
      <c r="F869" s="7"/>
      <c r="G869" s="7"/>
      <c r="H869" s="1"/>
      <c r="I869" s="1"/>
      <c r="J869" s="1"/>
      <c r="K869" s="1"/>
      <c r="L869" s="12">
        <f t="shared" si="154"/>
        <v>17461.09057</v>
      </c>
      <c r="M869" s="12"/>
      <c r="N869" s="15"/>
      <c r="O869" s="1"/>
      <c r="Q869" s="12"/>
      <c r="R869" s="1"/>
    </row>
    <row r="870" ht="12.75" hidden="1" customHeight="1" outlineLevel="1">
      <c r="A870" s="17">
        <v>42171.0</v>
      </c>
      <c r="B870" s="120">
        <v>659931.0</v>
      </c>
      <c r="C870" s="19">
        <f t="shared" si="153"/>
        <v>0.00008486455768</v>
      </c>
      <c r="D870" s="19">
        <f t="shared" si="152"/>
        <v>-0.01659351568</v>
      </c>
      <c r="E870" s="12"/>
      <c r="F870" s="7"/>
      <c r="G870" s="7"/>
      <c r="H870" s="1"/>
      <c r="I870" s="1"/>
      <c r="J870" s="1"/>
      <c r="K870" s="1"/>
      <c r="L870" s="12">
        <f t="shared" si="154"/>
        <v>17462.5724</v>
      </c>
      <c r="M870" s="12"/>
      <c r="N870" s="15"/>
      <c r="O870" s="1"/>
      <c r="Q870" s="12"/>
      <c r="R870" s="1"/>
    </row>
    <row r="871" ht="12.75" hidden="1" customHeight="1" outlineLevel="1">
      <c r="A871" s="17">
        <v>42172.0</v>
      </c>
      <c r="B871" s="120">
        <v>660522.0</v>
      </c>
      <c r="C871" s="19">
        <f t="shared" si="153"/>
        <v>0.0008955481709</v>
      </c>
      <c r="D871" s="19">
        <f t="shared" si="152"/>
        <v>-0.0157128278</v>
      </c>
      <c r="E871" s="12"/>
      <c r="F871" s="7"/>
      <c r="G871" s="7"/>
      <c r="H871" s="1"/>
      <c r="I871" s="1"/>
      <c r="J871" s="1"/>
      <c r="K871" s="1"/>
      <c r="L871" s="12">
        <f t="shared" si="154"/>
        <v>17478.21097</v>
      </c>
      <c r="M871" s="12"/>
      <c r="N871" s="15"/>
      <c r="O871" s="1"/>
      <c r="Q871" s="12"/>
      <c r="R871" s="1"/>
    </row>
    <row r="872" ht="12.75" hidden="1" customHeight="1" outlineLevel="1">
      <c r="A872" s="17">
        <v>42173.0</v>
      </c>
      <c r="B872" s="120">
        <v>668318.0</v>
      </c>
      <c r="C872" s="19">
        <f t="shared" si="153"/>
        <v>0.01180278628</v>
      </c>
      <c r="D872" s="19">
        <f t="shared" si="152"/>
        <v>-0.004095496667</v>
      </c>
      <c r="E872" s="12"/>
      <c r="F872" s="7"/>
      <c r="G872" s="7"/>
      <c r="H872" s="1"/>
      <c r="I872" s="1"/>
      <c r="J872" s="1"/>
      <c r="K872" s="1"/>
      <c r="L872" s="12">
        <f t="shared" si="154"/>
        <v>17684.50256</v>
      </c>
      <c r="M872" s="12"/>
      <c r="N872" s="15"/>
      <c r="O872" s="1"/>
      <c r="Q872" s="12"/>
      <c r="R872" s="1"/>
    </row>
    <row r="873" ht="12.75" hidden="1" customHeight="1" outlineLevel="1">
      <c r="A873" s="17">
        <v>42174.0</v>
      </c>
      <c r="B873" s="120">
        <v>666000.0</v>
      </c>
      <c r="C873" s="19">
        <f t="shared" si="153"/>
        <v>-0.003468408752</v>
      </c>
      <c r="D873" s="19">
        <f t="shared" si="152"/>
        <v>-0.007549700562</v>
      </c>
      <c r="E873" s="12"/>
      <c r="F873" s="7"/>
      <c r="G873" s="7"/>
      <c r="H873" s="1"/>
      <c r="I873" s="1"/>
      <c r="J873" s="1"/>
      <c r="K873" s="1"/>
      <c r="L873" s="12">
        <f t="shared" si="154"/>
        <v>17623.16548</v>
      </c>
      <c r="M873" s="12"/>
      <c r="N873" s="15"/>
      <c r="O873" s="1"/>
      <c r="Q873" s="12"/>
      <c r="R873" s="1"/>
    </row>
    <row r="874" ht="12.75" hidden="1" customHeight="1" outlineLevel="1">
      <c r="A874" s="17">
        <v>42177.0</v>
      </c>
      <c r="B874" s="120">
        <v>674088.46</v>
      </c>
      <c r="C874" s="19">
        <f t="shared" si="153"/>
        <v>0.01214483483</v>
      </c>
      <c r="D874" s="19">
        <f t="shared" si="152"/>
        <v>0.004503444406</v>
      </c>
      <c r="E874" s="12"/>
      <c r="F874" s="7"/>
      <c r="G874" s="7"/>
      <c r="H874" s="1"/>
      <c r="I874" s="1"/>
      <c r="J874" s="1"/>
      <c r="K874" s="1"/>
      <c r="L874" s="12">
        <f t="shared" si="154"/>
        <v>17837.19591</v>
      </c>
      <c r="M874" s="12"/>
      <c r="N874" s="15"/>
      <c r="O874" s="1"/>
      <c r="Q874" s="12"/>
      <c r="R874" s="1"/>
    </row>
    <row r="875" ht="12.75" hidden="1" customHeight="1" outlineLevel="1">
      <c r="A875" s="17">
        <v>42178.0</v>
      </c>
      <c r="B875" s="120">
        <v>675150.81</v>
      </c>
      <c r="C875" s="19">
        <f t="shared" si="153"/>
        <v>0.001575980102</v>
      </c>
      <c r="D875" s="19">
        <f t="shared" si="152"/>
        <v>0.006086521847</v>
      </c>
      <c r="E875" s="12"/>
      <c r="F875" s="7"/>
      <c r="G875" s="7"/>
      <c r="H875" s="1"/>
      <c r="I875" s="1"/>
      <c r="J875" s="1"/>
      <c r="K875" s="1"/>
      <c r="L875" s="12">
        <f t="shared" si="154"/>
        <v>17865.30698</v>
      </c>
      <c r="M875" s="12"/>
      <c r="N875" s="15"/>
      <c r="O875" s="1"/>
      <c r="Q875" s="12"/>
      <c r="R875" s="1"/>
    </row>
    <row r="876" ht="12.75" hidden="1" customHeight="1" outlineLevel="1">
      <c r="A876" s="17">
        <v>42179.0</v>
      </c>
      <c r="B876" s="120">
        <v>671129.81</v>
      </c>
      <c r="C876" s="19">
        <f t="shared" si="153"/>
        <v>-0.0059557064</v>
      </c>
      <c r="D876" s="19">
        <f t="shared" si="152"/>
        <v>0.00009456590991</v>
      </c>
      <c r="E876" s="12"/>
      <c r="F876" s="7"/>
      <c r="G876" s="7"/>
      <c r="H876" s="1"/>
      <c r="I876" s="1"/>
      <c r="J876" s="1"/>
      <c r="K876" s="1"/>
      <c r="L876" s="12">
        <f t="shared" si="154"/>
        <v>17758.90646</v>
      </c>
      <c r="M876" s="12"/>
      <c r="N876" s="15"/>
      <c r="O876" s="1"/>
      <c r="Q876" s="12"/>
      <c r="R876" s="1"/>
    </row>
    <row r="877" ht="12.75" hidden="1" customHeight="1" outlineLevel="1">
      <c r="A877" s="17">
        <v>42180.0</v>
      </c>
      <c r="B877" s="120">
        <v>678600.0</v>
      </c>
      <c r="C877" s="19">
        <f t="shared" si="153"/>
        <v>0.01113076768</v>
      </c>
      <c r="D877" s="19">
        <f t="shared" si="152"/>
        <v>0.01122638618</v>
      </c>
      <c r="E877" s="12"/>
      <c r="F877" s="7"/>
      <c r="G877" s="7"/>
      <c r="H877" s="1"/>
      <c r="I877" s="1"/>
      <c r="J877" s="1"/>
      <c r="K877" s="1"/>
      <c r="L877" s="12">
        <f t="shared" si="154"/>
        <v>17956.57672</v>
      </c>
      <c r="M877" s="12"/>
      <c r="N877" s="15"/>
      <c r="O877" s="1"/>
      <c r="Q877" s="12"/>
      <c r="R877" s="1"/>
    </row>
    <row r="878" ht="12.75" hidden="1" customHeight="1" outlineLevel="1">
      <c r="A878" s="17">
        <v>42181.0</v>
      </c>
      <c r="B878" s="120">
        <v>675408.0</v>
      </c>
      <c r="C878" s="19">
        <f t="shared" si="153"/>
        <v>-0.004703801945</v>
      </c>
      <c r="D878" s="19">
        <f t="shared" si="152"/>
        <v>0.006469777541</v>
      </c>
      <c r="E878" s="12"/>
      <c r="F878" s="7"/>
      <c r="G878" s="7"/>
      <c r="H878" s="1"/>
      <c r="I878" s="1"/>
      <c r="J878" s="1"/>
      <c r="K878" s="1"/>
      <c r="L878" s="12">
        <f t="shared" si="154"/>
        <v>17872.11254</v>
      </c>
      <c r="M878" s="12"/>
      <c r="N878" s="15"/>
      <c r="O878" s="1"/>
      <c r="Q878" s="12"/>
      <c r="R878" s="1"/>
    </row>
    <row r="879" ht="12.75" hidden="1" customHeight="1" outlineLevel="1">
      <c r="A879" s="17">
        <v>42184.0</v>
      </c>
      <c r="B879" s="120">
        <v>659175.0</v>
      </c>
      <c r="C879" s="19">
        <f t="shared" si="153"/>
        <v>-0.02403436145</v>
      </c>
      <c r="D879" s="19">
        <f t="shared" si="152"/>
        <v>-0.01772008088</v>
      </c>
      <c r="E879" s="12"/>
      <c r="F879" s="7"/>
      <c r="G879" s="7"/>
      <c r="H879" s="1"/>
      <c r="I879" s="1"/>
      <c r="J879" s="1"/>
      <c r="K879" s="32" t="s">
        <v>367</v>
      </c>
      <c r="L879" s="12">
        <f t="shared" si="154"/>
        <v>17442.56772</v>
      </c>
      <c r="M879" s="12"/>
      <c r="N879" s="15"/>
      <c r="O879" s="1"/>
      <c r="Q879" s="12"/>
      <c r="R879" s="1"/>
    </row>
    <row r="880" ht="12.75" hidden="1" customHeight="1" outlineLevel="1">
      <c r="A880" s="17">
        <v>42185.0</v>
      </c>
      <c r="B880" s="120">
        <v>675410.86</v>
      </c>
      <c r="C880" s="19">
        <f t="shared" si="153"/>
        <v>0.0246305761</v>
      </c>
      <c r="D880" s="19">
        <f t="shared" si="152"/>
        <v>0.006474039415</v>
      </c>
      <c r="E880" s="12"/>
      <c r="F880" s="7"/>
      <c r="G880" s="7"/>
      <c r="H880" s="1"/>
      <c r="I880" s="1"/>
      <c r="J880" s="1"/>
      <c r="K880" s="37">
        <f>3815.85/3891.18-1</f>
        <v>-0.01935916611</v>
      </c>
      <c r="L880" s="12">
        <f t="shared" si="154"/>
        <v>17872.18822</v>
      </c>
      <c r="M880" s="12"/>
      <c r="N880" s="15"/>
      <c r="O880" s="1"/>
      <c r="Q880" s="12"/>
      <c r="R880" s="1"/>
    </row>
    <row r="881" ht="12.75" hidden="1" customHeight="1" outlineLevel="1">
      <c r="A881" s="17"/>
      <c r="B881" s="12"/>
      <c r="C881" s="1"/>
      <c r="D881" s="1"/>
      <c r="E881" s="12"/>
      <c r="F881" s="7"/>
      <c r="G881" s="7"/>
      <c r="H881" s="1"/>
      <c r="I881" s="1"/>
      <c r="J881" s="1"/>
      <c r="K881" s="1"/>
      <c r="L881" s="12"/>
      <c r="M881" s="12"/>
      <c r="N881" s="15"/>
      <c r="O881" s="1"/>
      <c r="Q881" s="12"/>
      <c r="R881" s="1"/>
    </row>
    <row r="882" ht="12.75" hidden="1" customHeight="1" outlineLevel="1">
      <c r="A882" s="17"/>
      <c r="B882" s="12">
        <f>B880+P882</f>
        <v>695410.86</v>
      </c>
      <c r="C882" s="19"/>
      <c r="D882" s="19">
        <f t="shared" ref="D882:D905" si="155">(B882/$B$882)-1</f>
        <v>0</v>
      </c>
      <c r="E882" s="12"/>
      <c r="F882" s="7"/>
      <c r="G882" s="7"/>
      <c r="H882" s="1"/>
      <c r="I882" s="1"/>
      <c r="J882" s="1"/>
      <c r="K882" s="1"/>
      <c r="L882" s="12"/>
      <c r="M882" s="12"/>
      <c r="N882" s="15"/>
      <c r="O882" s="1"/>
      <c r="P882" s="12">
        <v>20000.0</v>
      </c>
      <c r="Q882" s="12"/>
      <c r="R882" s="1"/>
    </row>
    <row r="883" ht="12.75" hidden="1" customHeight="1" outlineLevel="1">
      <c r="A883" s="17">
        <v>42186.0</v>
      </c>
      <c r="B883" s="12">
        <f>690407+20000</f>
        <v>710407</v>
      </c>
      <c r="C883" s="19">
        <f t="shared" ref="C883:C905" si="156">(B883/B882)-1</f>
        <v>0.02156443171</v>
      </c>
      <c r="D883" s="19">
        <f t="shared" si="155"/>
        <v>0.02156443171</v>
      </c>
      <c r="E883" s="12"/>
      <c r="F883" s="7"/>
      <c r="G883" s="7"/>
      <c r="H883" s="1"/>
      <c r="I883" s="1"/>
      <c r="J883" s="1"/>
      <c r="K883" s="1"/>
      <c r="L883" s="12">
        <f t="shared" ref="L883:L905" si="157">IF(C882="",L880*(1+C883),L882*(1+C883))</f>
        <v>18257.5918</v>
      </c>
      <c r="M883" s="12"/>
      <c r="N883" s="15"/>
      <c r="O883" s="1"/>
      <c r="Q883" s="12"/>
      <c r="R883" s="1"/>
    </row>
    <row r="884" ht="12.75" hidden="1" customHeight="1" outlineLevel="1">
      <c r="A884" s="17">
        <v>42187.0</v>
      </c>
      <c r="B884" s="12">
        <f>690931.4+20000</f>
        <v>710931.4</v>
      </c>
      <c r="C884" s="19">
        <f t="shared" si="156"/>
        <v>0.0007381684021</v>
      </c>
      <c r="D884" s="19">
        <f t="shared" si="155"/>
        <v>0.02231851829</v>
      </c>
      <c r="E884" s="12"/>
      <c r="F884" s="7"/>
      <c r="G884" s="7"/>
      <c r="H884" s="1"/>
      <c r="I884" s="1"/>
      <c r="J884" s="1"/>
      <c r="K884" s="1"/>
      <c r="L884" s="12">
        <f t="shared" si="157"/>
        <v>18271.06898</v>
      </c>
      <c r="M884" s="12"/>
      <c r="N884" s="15"/>
      <c r="O884" s="1"/>
      <c r="Q884" s="12"/>
      <c r="R884" s="1"/>
    </row>
    <row r="885" ht="12.75" hidden="1" customHeight="1" outlineLevel="1">
      <c r="A885" s="17">
        <v>42188.0</v>
      </c>
      <c r="B885" s="12">
        <f>B884</f>
        <v>710931.4</v>
      </c>
      <c r="C885" s="19">
        <f t="shared" si="156"/>
        <v>0</v>
      </c>
      <c r="D885" s="19">
        <f t="shared" si="155"/>
        <v>0.02231851829</v>
      </c>
      <c r="E885" s="12"/>
      <c r="F885" s="7"/>
      <c r="G885" s="7"/>
      <c r="H885" s="1"/>
      <c r="I885" s="1"/>
      <c r="J885" s="1"/>
      <c r="K885" s="1"/>
      <c r="L885" s="12">
        <f t="shared" si="157"/>
        <v>18271.06898</v>
      </c>
      <c r="M885" s="12"/>
      <c r="N885" s="15"/>
      <c r="O885" s="1"/>
      <c r="Q885" s="12"/>
      <c r="R885" s="1"/>
    </row>
    <row r="886" ht="12.75" hidden="1" customHeight="1" outlineLevel="1">
      <c r="A886" s="17">
        <v>42191.0</v>
      </c>
      <c r="B886" s="12">
        <f>706070+20000</f>
        <v>726070</v>
      </c>
      <c r="C886" s="19">
        <f t="shared" si="156"/>
        <v>0.02129403765</v>
      </c>
      <c r="D886" s="19">
        <f t="shared" si="155"/>
        <v>0.04408780731</v>
      </c>
      <c r="E886" s="12"/>
      <c r="F886" s="7"/>
      <c r="G886" s="7"/>
      <c r="H886" s="1"/>
      <c r="I886" s="1"/>
      <c r="J886" s="1"/>
      <c r="K886" s="1"/>
      <c r="L886" s="12">
        <f t="shared" si="157"/>
        <v>18660.13381</v>
      </c>
      <c r="M886" s="12"/>
      <c r="N886" s="15"/>
      <c r="O886" s="1"/>
      <c r="Q886" s="12"/>
      <c r="R886" s="1"/>
    </row>
    <row r="887" ht="12.75" hidden="1" customHeight="1" outlineLevel="1">
      <c r="A887" s="17">
        <v>42192.0</v>
      </c>
      <c r="B887" s="12">
        <f>720666</f>
        <v>720666</v>
      </c>
      <c r="C887" s="19">
        <f t="shared" si="156"/>
        <v>-0.007442808545</v>
      </c>
      <c r="D887" s="19">
        <f t="shared" si="155"/>
        <v>0.03631686166</v>
      </c>
      <c r="E887" s="12"/>
      <c r="F887" s="7"/>
      <c r="G887" s="7"/>
      <c r="H887" s="1"/>
      <c r="I887" s="1"/>
      <c r="J887" s="1"/>
      <c r="K887" s="1"/>
      <c r="L887" s="12">
        <f t="shared" si="157"/>
        <v>18521.25</v>
      </c>
      <c r="M887" s="12"/>
      <c r="N887" s="15"/>
      <c r="O887" s="1"/>
      <c r="Q887" s="12"/>
      <c r="R887" s="1"/>
    </row>
    <row r="888" ht="12.75" hidden="1" customHeight="1" outlineLevel="1">
      <c r="A888" s="17">
        <v>42193.0</v>
      </c>
      <c r="B888" s="120">
        <v>717742.0</v>
      </c>
      <c r="C888" s="19">
        <f t="shared" si="156"/>
        <v>-0.004057358055</v>
      </c>
      <c r="D888" s="19">
        <f t="shared" si="155"/>
        <v>0.03211215309</v>
      </c>
      <c r="E888" s="12"/>
      <c r="F888" s="7"/>
      <c r="G888" s="7"/>
      <c r="H888" s="1"/>
      <c r="I888" s="1"/>
      <c r="J888" s="1"/>
      <c r="K888" s="1"/>
      <c r="L888" s="12">
        <f t="shared" si="157"/>
        <v>18446.10266</v>
      </c>
      <c r="M888" s="12"/>
      <c r="N888" s="15"/>
      <c r="O888" s="1"/>
      <c r="Q888" s="12"/>
      <c r="R888" s="1"/>
    </row>
    <row r="889" ht="12.75" hidden="1" customHeight="1" outlineLevel="1">
      <c r="A889" s="17">
        <v>42194.0</v>
      </c>
      <c r="B889" s="120">
        <v>711308.0</v>
      </c>
      <c r="C889" s="19">
        <f t="shared" si="156"/>
        <v>-0.008964223913</v>
      </c>
      <c r="D889" s="19">
        <f t="shared" si="155"/>
        <v>0.02286006865</v>
      </c>
      <c r="E889" s="12"/>
      <c r="F889" s="7"/>
      <c r="G889" s="7"/>
      <c r="H889" s="1"/>
      <c r="I889" s="1"/>
      <c r="J889" s="1"/>
      <c r="K889" s="1"/>
      <c r="L889" s="12">
        <f t="shared" si="157"/>
        <v>18280.74767</v>
      </c>
      <c r="M889" s="12"/>
      <c r="N889" s="15"/>
      <c r="O889" s="1"/>
      <c r="Q889" s="12"/>
      <c r="R889" s="1"/>
    </row>
    <row r="890" ht="12.75" hidden="1" customHeight="1" outlineLevel="1">
      <c r="A890" s="17">
        <v>42195.0</v>
      </c>
      <c r="B890" s="120">
        <v>724103.0</v>
      </c>
      <c r="C890" s="19">
        <f t="shared" si="156"/>
        <v>0.01798798833</v>
      </c>
      <c r="D890" s="19">
        <f t="shared" si="155"/>
        <v>0.04125926362</v>
      </c>
      <c r="E890" s="12"/>
      <c r="F890" s="7"/>
      <c r="G890" s="7"/>
      <c r="H890" s="1"/>
      <c r="I890" s="1"/>
      <c r="J890" s="1"/>
      <c r="K890" s="1"/>
      <c r="L890" s="12">
        <f t="shared" si="157"/>
        <v>18609.58154</v>
      </c>
      <c r="M890" s="12"/>
      <c r="N890" s="15"/>
      <c r="O890" s="1"/>
      <c r="Q890" s="12"/>
      <c r="R890" s="1"/>
    </row>
    <row r="891" ht="12.75" hidden="1" customHeight="1" outlineLevel="1">
      <c r="A891" s="17">
        <v>42198.0</v>
      </c>
      <c r="B891" s="120">
        <v>705887.0</v>
      </c>
      <c r="C891" s="19">
        <f t="shared" si="156"/>
        <v>-0.02515664208</v>
      </c>
      <c r="D891" s="19">
        <f t="shared" si="155"/>
        <v>0.01506467702</v>
      </c>
      <c r="E891" s="12"/>
      <c r="F891" s="7"/>
      <c r="G891" s="7"/>
      <c r="H891" s="1"/>
      <c r="I891" s="1"/>
      <c r="J891" s="32" t="s">
        <v>673</v>
      </c>
      <c r="K891" s="1"/>
      <c r="L891" s="12">
        <f t="shared" si="157"/>
        <v>18141.42696</v>
      </c>
      <c r="M891" s="12"/>
      <c r="N891" s="15"/>
      <c r="O891" s="1"/>
      <c r="Q891" s="12"/>
      <c r="R891" s="1"/>
    </row>
    <row r="892" ht="12.75" hidden="1" customHeight="1" outlineLevel="1">
      <c r="A892" s="17">
        <v>42199.0</v>
      </c>
      <c r="B892" s="120">
        <v>710168.0</v>
      </c>
      <c r="C892" s="19">
        <f t="shared" si="156"/>
        <v>0.006064710074</v>
      </c>
      <c r="D892" s="19">
        <f t="shared" si="155"/>
        <v>0.02122074999</v>
      </c>
      <c r="E892" s="12"/>
      <c r="F892" s="7"/>
      <c r="G892" s="7"/>
      <c r="H892" s="1"/>
      <c r="I892" s="1"/>
      <c r="J892" s="1"/>
      <c r="K892" s="1"/>
      <c r="L892" s="12">
        <f t="shared" si="157"/>
        <v>18251.44945</v>
      </c>
      <c r="M892" s="12"/>
      <c r="N892" s="15"/>
      <c r="O892" s="1"/>
      <c r="Q892" s="12"/>
      <c r="R892" s="1"/>
    </row>
    <row r="893" ht="12.75" hidden="1" customHeight="1" outlineLevel="1">
      <c r="A893" s="17">
        <v>42200.0</v>
      </c>
      <c r="B893" s="120">
        <v>715100.39</v>
      </c>
      <c r="C893" s="19">
        <f t="shared" si="156"/>
        <v>0.006945384754</v>
      </c>
      <c r="D893" s="19">
        <f t="shared" si="155"/>
        <v>0.02831352102</v>
      </c>
      <c r="E893" s="12"/>
      <c r="F893" s="7"/>
      <c r="G893" s="7"/>
      <c r="H893" s="1"/>
      <c r="I893" s="1"/>
      <c r="J893" s="1"/>
      <c r="K893" s="1"/>
      <c r="L893" s="12">
        <f t="shared" si="157"/>
        <v>18378.21279</v>
      </c>
      <c r="M893" s="12"/>
      <c r="N893" s="15"/>
      <c r="O893" s="1"/>
      <c r="Q893" s="12"/>
      <c r="R893" s="1"/>
    </row>
    <row r="894" ht="12.75" hidden="1" customHeight="1" outlineLevel="1">
      <c r="A894" s="17">
        <v>42201.0</v>
      </c>
      <c r="B894" s="120">
        <v>719500.0</v>
      </c>
      <c r="C894" s="19">
        <f t="shared" si="156"/>
        <v>0.006152436863</v>
      </c>
      <c r="D894" s="19">
        <f t="shared" si="155"/>
        <v>0.03464015503</v>
      </c>
      <c r="E894" s="12"/>
      <c r="F894" s="7"/>
      <c r="G894" s="7"/>
      <c r="H894" s="1"/>
      <c r="I894" s="1"/>
      <c r="J894" s="1"/>
      <c r="K894" s="1"/>
      <c r="L894" s="12">
        <f t="shared" si="157"/>
        <v>18491.28359</v>
      </c>
      <c r="M894" s="12"/>
      <c r="N894" s="15"/>
      <c r="O894" s="1"/>
      <c r="Q894" s="12"/>
      <c r="R894" s="1"/>
    </row>
    <row r="895" ht="12.75" hidden="1" customHeight="1" outlineLevel="1">
      <c r="A895" s="17">
        <v>42202.0</v>
      </c>
      <c r="B895" s="120">
        <v>724496.81</v>
      </c>
      <c r="C895" s="19">
        <f t="shared" si="156"/>
        <v>0.006944836692</v>
      </c>
      <c r="D895" s="19">
        <f t="shared" si="155"/>
        <v>0.04182556194</v>
      </c>
      <c r="E895" s="12"/>
      <c r="F895" s="7"/>
      <c r="G895" s="7"/>
      <c r="H895" s="1"/>
      <c r="I895" s="1"/>
      <c r="J895" s="1"/>
      <c r="K895" s="1"/>
      <c r="L895" s="12">
        <f t="shared" si="157"/>
        <v>18619.70253</v>
      </c>
      <c r="M895" s="12"/>
      <c r="N895" s="15"/>
      <c r="O895" s="1"/>
      <c r="Q895" s="12"/>
      <c r="R895" s="1"/>
    </row>
    <row r="896" ht="12.75" hidden="1" customHeight="1" outlineLevel="1">
      <c r="A896" s="17">
        <v>42205.0</v>
      </c>
      <c r="B896" s="120">
        <v>734103.0</v>
      </c>
      <c r="C896" s="19">
        <f t="shared" si="156"/>
        <v>0.0132591198</v>
      </c>
      <c r="D896" s="19">
        <f t="shared" si="155"/>
        <v>0.05563925188</v>
      </c>
      <c r="E896" s="12"/>
      <c r="F896" s="7"/>
      <c r="G896" s="7"/>
      <c r="H896" s="1"/>
      <c r="I896" s="1"/>
      <c r="J896" s="1"/>
      <c r="K896" s="1"/>
      <c r="L896" s="12">
        <f t="shared" si="157"/>
        <v>18866.5834</v>
      </c>
      <c r="M896" s="12"/>
      <c r="N896" s="15"/>
      <c r="O896" s="1"/>
      <c r="Q896" s="12"/>
      <c r="R896" s="1"/>
    </row>
    <row r="897" ht="12.75" hidden="1" customHeight="1" outlineLevel="1">
      <c r="A897" s="17">
        <v>42206.0</v>
      </c>
      <c r="B897" s="120">
        <v>725177.0</v>
      </c>
      <c r="C897" s="19">
        <f t="shared" si="156"/>
        <v>-0.0121590567</v>
      </c>
      <c r="D897" s="19">
        <f t="shared" si="155"/>
        <v>0.04280367436</v>
      </c>
      <c r="E897" s="12"/>
      <c r="F897" s="7"/>
      <c r="G897" s="7"/>
      <c r="H897" s="1"/>
      <c r="I897" s="1"/>
      <c r="J897" s="1"/>
      <c r="K897" s="1"/>
      <c r="L897" s="12">
        <f t="shared" si="157"/>
        <v>18637.18354</v>
      </c>
      <c r="M897" s="12"/>
      <c r="N897" s="15"/>
      <c r="O897" s="1"/>
      <c r="Q897" s="12"/>
      <c r="R897" s="1"/>
    </row>
    <row r="898" ht="12.75" hidden="1" customHeight="1" outlineLevel="1">
      <c r="A898" s="17">
        <v>42207.0</v>
      </c>
      <c r="B898" s="120">
        <v>736355.0</v>
      </c>
      <c r="C898" s="19">
        <f t="shared" si="156"/>
        <v>0.01541416785</v>
      </c>
      <c r="D898" s="19">
        <f t="shared" si="155"/>
        <v>0.05887762524</v>
      </c>
      <c r="E898" s="12"/>
      <c r="F898" s="7"/>
      <c r="G898" s="7"/>
      <c r="H898" s="1"/>
      <c r="I898" s="1"/>
      <c r="J898" s="1"/>
      <c r="K898" s="1"/>
      <c r="L898" s="12">
        <f t="shared" si="157"/>
        <v>18924.46022</v>
      </c>
      <c r="M898" s="12"/>
      <c r="N898" s="15"/>
      <c r="O898" s="1"/>
      <c r="Q898" s="12"/>
      <c r="R898" s="1"/>
    </row>
    <row r="899" ht="12.75" hidden="1" customHeight="1" outlineLevel="1">
      <c r="A899" s="17">
        <v>42208.0</v>
      </c>
      <c r="B899" s="120">
        <v>737683.0</v>
      </c>
      <c r="C899" s="19">
        <f t="shared" si="156"/>
        <v>0.001803477942</v>
      </c>
      <c r="D899" s="19">
        <f t="shared" si="155"/>
        <v>0.06078728768</v>
      </c>
      <c r="E899" s="12"/>
      <c r="F899" s="7"/>
      <c r="G899" s="7"/>
      <c r="H899" s="1"/>
      <c r="I899" s="1"/>
      <c r="J899" s="1"/>
      <c r="K899" s="1"/>
      <c r="L899" s="12">
        <f t="shared" si="157"/>
        <v>18958.59006</v>
      </c>
      <c r="M899" s="12"/>
      <c r="N899" s="15"/>
      <c r="O899" s="1"/>
      <c r="Q899" s="12"/>
      <c r="R899" s="1"/>
    </row>
    <row r="900" ht="12.75" hidden="1" customHeight="1" outlineLevel="1">
      <c r="A900" s="17">
        <v>42209.0</v>
      </c>
      <c r="B900" s="120">
        <v>744414.0</v>
      </c>
      <c r="C900" s="19">
        <f t="shared" si="156"/>
        <v>0.009124515544</v>
      </c>
      <c r="D900" s="19">
        <f t="shared" si="155"/>
        <v>0.07046645777</v>
      </c>
      <c r="E900" s="12"/>
      <c r="F900" s="7"/>
      <c r="G900" s="7"/>
      <c r="H900" s="1"/>
      <c r="I900" s="1"/>
      <c r="J900" s="1"/>
      <c r="K900" s="1"/>
      <c r="L900" s="12">
        <f t="shared" si="157"/>
        <v>19131.57801</v>
      </c>
      <c r="M900" s="12"/>
      <c r="N900" s="15"/>
      <c r="O900" s="1"/>
      <c r="Q900" s="12"/>
      <c r="R900" s="1"/>
    </row>
    <row r="901" ht="12.75" hidden="1" customHeight="1" outlineLevel="1">
      <c r="A901" s="17">
        <v>42212.0</v>
      </c>
      <c r="B901" s="120">
        <v>757886.0</v>
      </c>
      <c r="C901" s="19">
        <f t="shared" si="156"/>
        <v>0.01809745652</v>
      </c>
      <c r="D901" s="19">
        <f t="shared" si="155"/>
        <v>0.08983917795</v>
      </c>
      <c r="E901" s="12"/>
      <c r="F901" s="7"/>
      <c r="G901" s="7"/>
      <c r="H901" s="1"/>
      <c r="I901" s="1"/>
      <c r="J901" s="1"/>
      <c r="K901" s="1"/>
      <c r="L901" s="12">
        <f t="shared" si="157"/>
        <v>19477.81091</v>
      </c>
      <c r="M901" s="12"/>
      <c r="N901" s="15"/>
      <c r="O901" s="1"/>
      <c r="Q901" s="12"/>
      <c r="R901" s="1"/>
    </row>
    <row r="902" ht="12.75" hidden="1" customHeight="1" outlineLevel="1">
      <c r="A902" s="17">
        <v>42213.0</v>
      </c>
      <c r="B902" s="120">
        <v>734781.0</v>
      </c>
      <c r="C902" s="19">
        <f t="shared" si="156"/>
        <v>-0.03048611533</v>
      </c>
      <c r="D902" s="19">
        <f t="shared" si="155"/>
        <v>0.05661421508</v>
      </c>
      <c r="E902" s="12"/>
      <c r="F902" s="7"/>
      <c r="G902" s="7"/>
      <c r="H902" s="1"/>
      <c r="I902" s="1"/>
      <c r="J902" s="1"/>
      <c r="K902" s="1"/>
      <c r="L902" s="12">
        <f t="shared" si="157"/>
        <v>18884.00812</v>
      </c>
      <c r="M902" s="12"/>
      <c r="N902" s="15"/>
      <c r="O902" s="1"/>
      <c r="Q902" s="12"/>
      <c r="R902" s="1"/>
    </row>
    <row r="903" ht="12.75" hidden="1" customHeight="1" outlineLevel="1">
      <c r="A903" s="17">
        <v>42214.0</v>
      </c>
      <c r="B903" s="120">
        <v>720573.0</v>
      </c>
      <c r="C903" s="19">
        <f t="shared" si="156"/>
        <v>-0.0193363737</v>
      </c>
      <c r="D903" s="19">
        <f t="shared" si="155"/>
        <v>0.03618312777</v>
      </c>
      <c r="E903" s="12"/>
      <c r="F903" s="7"/>
      <c r="G903" s="7"/>
      <c r="H903" s="1"/>
      <c r="I903" s="1"/>
      <c r="J903" s="32" t="s">
        <v>677</v>
      </c>
      <c r="K903" s="1"/>
      <c r="L903" s="12">
        <f t="shared" si="157"/>
        <v>18518.85989</v>
      </c>
      <c r="M903" s="12"/>
      <c r="N903" s="15"/>
      <c r="O903" s="1"/>
      <c r="Q903" s="12"/>
      <c r="R903" s="1"/>
    </row>
    <row r="904" ht="12.75" hidden="1" customHeight="1" outlineLevel="1">
      <c r="A904" s="17">
        <v>42215.0</v>
      </c>
      <c r="B904" s="120">
        <v>724460.0</v>
      </c>
      <c r="C904" s="19">
        <f t="shared" si="156"/>
        <v>0.005394318133</v>
      </c>
      <c r="D904" s="19">
        <f t="shared" si="155"/>
        <v>0.04177262921</v>
      </c>
      <c r="E904" s="12"/>
      <c r="F904" s="7"/>
      <c r="G904" s="7"/>
      <c r="H904" s="1"/>
      <c r="I904" s="1"/>
      <c r="J904" s="1"/>
      <c r="K904" s="32" t="s">
        <v>367</v>
      </c>
      <c r="L904" s="12">
        <f t="shared" si="157"/>
        <v>18618.75651</v>
      </c>
      <c r="M904" s="12"/>
      <c r="N904" s="15"/>
      <c r="O904" s="1"/>
      <c r="Q904" s="12"/>
      <c r="R904" s="1"/>
    </row>
    <row r="905" ht="12.75" hidden="1" customHeight="1" outlineLevel="1">
      <c r="A905" s="17">
        <v>42216.0</v>
      </c>
      <c r="B905" s="120">
        <v>730242.28</v>
      </c>
      <c r="C905" s="19">
        <f t="shared" si="156"/>
        <v>0.007981503465</v>
      </c>
      <c r="D905" s="19">
        <f t="shared" si="155"/>
        <v>0.05008754105</v>
      </c>
      <c r="E905" s="12"/>
      <c r="F905" s="7"/>
      <c r="G905" s="7"/>
      <c r="H905" s="1"/>
      <c r="I905" s="1"/>
      <c r="J905" s="1"/>
      <c r="K905" s="37">
        <f>3895.8/3815.85-1</f>
        <v>0.02095208145</v>
      </c>
      <c r="L905" s="12">
        <f t="shared" si="157"/>
        <v>18767.36218</v>
      </c>
      <c r="M905" s="12"/>
      <c r="N905" s="15"/>
      <c r="O905" s="1"/>
      <c r="Q905" s="12"/>
      <c r="R905" s="1"/>
    </row>
    <row r="906" ht="12.75" hidden="1" customHeight="1" outlineLevel="1">
      <c r="A906" s="17"/>
      <c r="B906" s="12"/>
      <c r="C906" s="1"/>
      <c r="D906" s="1"/>
      <c r="E906" s="12"/>
      <c r="F906" s="7"/>
      <c r="G906" s="7"/>
      <c r="H906" s="1"/>
      <c r="I906" s="1"/>
      <c r="J906" s="1"/>
      <c r="K906" s="1"/>
      <c r="L906" s="12"/>
      <c r="M906" s="12"/>
      <c r="N906" s="15"/>
      <c r="O906" s="1"/>
      <c r="Q906" s="12"/>
      <c r="R906" s="1"/>
    </row>
    <row r="907" ht="12.75" hidden="1" customHeight="1" outlineLevel="1">
      <c r="A907" s="17"/>
      <c r="B907" s="12">
        <f>B905</f>
        <v>730242.28</v>
      </c>
      <c r="C907" s="19"/>
      <c r="D907" s="19">
        <f t="shared" ref="D907:D928" si="158">(B907/$B$907)-1</f>
        <v>0</v>
      </c>
      <c r="E907" s="12"/>
      <c r="F907" s="7"/>
      <c r="G907" s="7"/>
      <c r="H907" s="1"/>
      <c r="I907" s="1"/>
      <c r="J907" s="1"/>
      <c r="K907" s="1"/>
      <c r="L907" s="12"/>
      <c r="M907" s="12"/>
      <c r="N907" s="15"/>
      <c r="O907" s="1"/>
      <c r="Q907" s="12"/>
      <c r="R907" s="1"/>
    </row>
    <row r="908" ht="12.75" hidden="1" customHeight="1" outlineLevel="1">
      <c r="A908" s="17">
        <v>42219.0</v>
      </c>
      <c r="B908" s="120">
        <v>739848.42</v>
      </c>
      <c r="C908" s="19">
        <f t="shared" ref="C908:C928" si="159">(B908/B907)-1</f>
        <v>0.01315472996</v>
      </c>
      <c r="D908" s="19">
        <f t="shared" si="158"/>
        <v>0.01315472996</v>
      </c>
      <c r="E908" s="12"/>
      <c r="F908" s="7"/>
      <c r="G908" s="7"/>
      <c r="H908" s="1"/>
      <c r="I908" s="1"/>
      <c r="J908" s="1"/>
      <c r="K908" s="1"/>
      <c r="L908" s="12">
        <f t="shared" ref="L908:L928" si="160">IF(C907="",L905*(1+C908),L907*(1+C908))</f>
        <v>19014.24176</v>
      </c>
      <c r="M908" s="12"/>
      <c r="N908" s="15"/>
      <c r="O908" s="1"/>
      <c r="Q908" s="12"/>
      <c r="R908" s="1"/>
    </row>
    <row r="909" ht="12.75" hidden="1" customHeight="1" outlineLevel="1">
      <c r="A909" s="17">
        <v>42220.0</v>
      </c>
      <c r="B909" s="120">
        <v>736053.0</v>
      </c>
      <c r="C909" s="19">
        <f t="shared" si="159"/>
        <v>-0.005129996763</v>
      </c>
      <c r="D909" s="19">
        <f t="shared" si="158"/>
        <v>0.007957249476</v>
      </c>
      <c r="E909" s="12"/>
      <c r="F909" s="7"/>
      <c r="G909" s="7"/>
      <c r="H909" s="1"/>
      <c r="I909" s="1"/>
      <c r="J909" s="1"/>
      <c r="K909" s="1"/>
      <c r="L909" s="12">
        <f t="shared" si="160"/>
        <v>18916.69876</v>
      </c>
      <c r="M909" s="12"/>
      <c r="N909" s="15"/>
      <c r="O909" s="1"/>
      <c r="Q909" s="12"/>
      <c r="R909" s="1"/>
    </row>
    <row r="910" ht="12.75" hidden="1" customHeight="1" outlineLevel="1">
      <c r="A910" s="17">
        <v>42221.0</v>
      </c>
      <c r="B910" s="120">
        <v>737428.0</v>
      </c>
      <c r="C910" s="19">
        <f t="shared" si="159"/>
        <v>0.001868072</v>
      </c>
      <c r="D910" s="19">
        <f t="shared" si="158"/>
        <v>0.009840186191</v>
      </c>
      <c r="E910" s="12"/>
      <c r="F910" s="7"/>
      <c r="G910" s="7"/>
      <c r="H910" s="1"/>
      <c r="I910" s="1"/>
      <c r="J910" s="1"/>
      <c r="K910" s="1"/>
      <c r="L910" s="12">
        <f t="shared" si="160"/>
        <v>18952.03652</v>
      </c>
      <c r="M910" s="12"/>
      <c r="N910" s="15"/>
      <c r="O910" s="1"/>
      <c r="Q910" s="12"/>
      <c r="R910" s="1"/>
    </row>
    <row r="911" ht="12.75" hidden="1" customHeight="1" outlineLevel="1">
      <c r="A911" s="17">
        <v>42222.0</v>
      </c>
      <c r="B911" s="120">
        <v>707307.0</v>
      </c>
      <c r="C911" s="19">
        <f t="shared" si="159"/>
        <v>-0.04084602158</v>
      </c>
      <c r="D911" s="19">
        <f t="shared" si="158"/>
        <v>-0.03140776784</v>
      </c>
      <c r="E911" s="12"/>
      <c r="F911" s="7"/>
      <c r="G911" s="7"/>
      <c r="H911" s="1"/>
      <c r="I911" s="1"/>
      <c r="J911" s="32" t="s">
        <v>683</v>
      </c>
      <c r="K911" s="1"/>
      <c r="L911" s="12">
        <f t="shared" si="160"/>
        <v>18177.92122</v>
      </c>
      <c r="M911" s="12"/>
      <c r="N911" s="15"/>
      <c r="O911" s="1"/>
      <c r="Q911" s="12"/>
      <c r="R911" s="1"/>
    </row>
    <row r="912" ht="12.75" hidden="1" customHeight="1" outlineLevel="1">
      <c r="A912" s="17">
        <v>42223.0</v>
      </c>
      <c r="B912" s="120">
        <v>710213.66</v>
      </c>
      <c r="C912" s="19">
        <f t="shared" si="159"/>
        <v>0.004109474387</v>
      </c>
      <c r="D912" s="19">
        <f t="shared" si="158"/>
        <v>-0.02742736287</v>
      </c>
      <c r="E912" s="12"/>
      <c r="F912" s="7"/>
      <c r="G912" s="7"/>
      <c r="H912" s="1"/>
      <c r="I912" s="1"/>
      <c r="J912" s="1"/>
      <c r="K912" s="1"/>
      <c r="L912" s="12">
        <f t="shared" si="160"/>
        <v>18252.62292</v>
      </c>
      <c r="M912" s="12"/>
      <c r="N912" s="15"/>
      <c r="O912" s="1"/>
      <c r="Q912" s="12"/>
      <c r="R912" s="1"/>
    </row>
    <row r="913" ht="12.75" hidden="1" customHeight="1" outlineLevel="1">
      <c r="A913" s="17">
        <v>42226.0</v>
      </c>
      <c r="B913" s="120">
        <v>711204.0</v>
      </c>
      <c r="C913" s="19">
        <f t="shared" si="159"/>
        <v>0.001394425447</v>
      </c>
      <c r="D913" s="19">
        <f t="shared" si="158"/>
        <v>-0.02607118284</v>
      </c>
      <c r="E913" s="12"/>
      <c r="F913" s="7"/>
      <c r="G913" s="7"/>
      <c r="H913" s="1"/>
      <c r="I913" s="1"/>
      <c r="J913" s="1"/>
      <c r="K913" s="1"/>
      <c r="L913" s="12">
        <f t="shared" si="160"/>
        <v>18278.07485</v>
      </c>
      <c r="M913" s="12"/>
      <c r="N913" s="15"/>
      <c r="O913" s="1"/>
      <c r="Q913" s="12"/>
      <c r="R913" s="1"/>
    </row>
    <row r="914" ht="12.75" hidden="1" customHeight="1" outlineLevel="1">
      <c r="A914" s="17">
        <v>42227.0</v>
      </c>
      <c r="B914" s="120">
        <v>709265.0</v>
      </c>
      <c r="C914" s="19">
        <f t="shared" si="159"/>
        <v>-0.002726362619</v>
      </c>
      <c r="D914" s="19">
        <f t="shared" si="158"/>
        <v>-0.02872646596</v>
      </c>
      <c r="E914" s="12"/>
      <c r="F914" s="7"/>
      <c r="G914" s="7"/>
      <c r="H914" s="1"/>
      <c r="I914" s="1"/>
      <c r="J914" s="1"/>
      <c r="K914" s="1"/>
      <c r="L914" s="12">
        <f t="shared" si="160"/>
        <v>18228.24219</v>
      </c>
      <c r="M914" s="12"/>
      <c r="N914" s="15"/>
      <c r="O914" s="1"/>
      <c r="Q914" s="12"/>
      <c r="R914" s="1"/>
    </row>
    <row r="915" ht="12.75" hidden="1" customHeight="1" outlineLevel="1">
      <c r="A915" s="17">
        <v>42228.0</v>
      </c>
      <c r="B915" s="120">
        <v>704542.0</v>
      </c>
      <c r="C915" s="19">
        <f t="shared" si="159"/>
        <v>-0.006659006154</v>
      </c>
      <c r="D915" s="19">
        <f t="shared" si="158"/>
        <v>-0.0351941824</v>
      </c>
      <c r="E915" s="12"/>
      <c r="F915" s="7"/>
      <c r="G915" s="7"/>
      <c r="H915" s="1"/>
      <c r="I915" s="1"/>
      <c r="J915" s="1"/>
      <c r="K915" s="1"/>
      <c r="L915" s="12">
        <f t="shared" si="160"/>
        <v>18106.86021</v>
      </c>
      <c r="M915" s="12"/>
      <c r="N915" s="15"/>
      <c r="O915" s="1"/>
      <c r="Q915" s="12"/>
      <c r="R915" s="1"/>
    </row>
    <row r="916" ht="12.75" hidden="1" customHeight="1" outlineLevel="1">
      <c r="A916" s="17">
        <v>42229.0</v>
      </c>
      <c r="B916" s="120">
        <v>715989.0</v>
      </c>
      <c r="C916" s="19">
        <f t="shared" si="159"/>
        <v>0.0162474345</v>
      </c>
      <c r="D916" s="19">
        <f t="shared" si="158"/>
        <v>-0.01951856307</v>
      </c>
      <c r="E916" s="12"/>
      <c r="F916" s="7"/>
      <c r="G916" s="7"/>
      <c r="H916" s="1"/>
      <c r="I916" s="1"/>
      <c r="J916" s="1"/>
      <c r="K916" s="1"/>
      <c r="L916" s="12">
        <f t="shared" si="160"/>
        <v>18401.05023</v>
      </c>
      <c r="M916" s="12"/>
      <c r="N916" s="15"/>
      <c r="O916" s="1"/>
      <c r="Q916" s="12"/>
      <c r="R916" s="1"/>
    </row>
    <row r="917" ht="12.75" hidden="1" customHeight="1" outlineLevel="1">
      <c r="A917" s="17">
        <v>42230.0</v>
      </c>
      <c r="B917" s="120">
        <v>725311.7</v>
      </c>
      <c r="C917" s="19">
        <f t="shared" si="159"/>
        <v>0.01302073077</v>
      </c>
      <c r="D917" s="19">
        <f t="shared" si="158"/>
        <v>-0.006751978261</v>
      </c>
      <c r="E917" s="12"/>
      <c r="F917" s="7"/>
      <c r="G917" s="7"/>
      <c r="H917" s="1"/>
      <c r="I917" s="1"/>
      <c r="J917" s="1"/>
      <c r="K917" s="1"/>
      <c r="L917" s="12">
        <f t="shared" si="160"/>
        <v>18640.64536</v>
      </c>
      <c r="M917" s="12"/>
      <c r="N917" s="15"/>
      <c r="O917" s="1"/>
      <c r="Q917" s="12"/>
      <c r="R917" s="1"/>
    </row>
    <row r="918" ht="12.75" hidden="1" customHeight="1" outlineLevel="1">
      <c r="A918" s="17">
        <v>42233.0</v>
      </c>
      <c r="B918" s="120">
        <v>729359.0</v>
      </c>
      <c r="C918" s="19">
        <f t="shared" si="159"/>
        <v>0.005580083707</v>
      </c>
      <c r="D918" s="19">
        <f t="shared" si="158"/>
        <v>-0.001209571158</v>
      </c>
      <c r="E918" s="12"/>
      <c r="F918" s="7"/>
      <c r="G918" s="7"/>
      <c r="H918" s="1"/>
      <c r="I918" s="1"/>
      <c r="J918" s="1"/>
      <c r="K918" s="1"/>
      <c r="L918" s="12">
        <f t="shared" si="160"/>
        <v>18744.66172</v>
      </c>
      <c r="M918" s="12"/>
      <c r="N918" s="15"/>
      <c r="O918" s="1"/>
      <c r="Q918" s="12"/>
      <c r="R918" s="1"/>
    </row>
    <row r="919" ht="12.75" hidden="1" customHeight="1" outlineLevel="1">
      <c r="A919" s="17">
        <v>42234.0</v>
      </c>
      <c r="B919" s="120">
        <v>738102.0</v>
      </c>
      <c r="C919" s="19">
        <f t="shared" si="159"/>
        <v>0.01198723811</v>
      </c>
      <c r="D919" s="19">
        <f t="shared" si="158"/>
        <v>0.01076316753</v>
      </c>
      <c r="E919" s="12"/>
      <c r="F919" s="7"/>
      <c r="G919" s="7"/>
      <c r="H919" s="1"/>
      <c r="I919" s="1"/>
      <c r="J919" s="1"/>
      <c r="K919" s="1"/>
      <c r="L919" s="12">
        <f t="shared" si="160"/>
        <v>18969.35844</v>
      </c>
      <c r="M919" s="12"/>
      <c r="N919" s="15"/>
      <c r="O919" s="1"/>
      <c r="Q919" s="12"/>
      <c r="R919" s="1"/>
    </row>
    <row r="920" ht="12.75" hidden="1" customHeight="1" outlineLevel="1">
      <c r="A920" s="17">
        <v>42235.0</v>
      </c>
      <c r="B920" s="120">
        <v>742519.0</v>
      </c>
      <c r="C920" s="19">
        <f t="shared" si="159"/>
        <v>0.005984267757</v>
      </c>
      <c r="D920" s="19">
        <f t="shared" si="158"/>
        <v>0.01681184497</v>
      </c>
      <c r="E920" s="12"/>
      <c r="F920" s="7"/>
      <c r="G920" s="7"/>
      <c r="H920" s="1"/>
      <c r="I920" s="1"/>
      <c r="J920" s="1"/>
      <c r="K920" s="1"/>
      <c r="L920" s="12">
        <f t="shared" si="160"/>
        <v>19082.87616</v>
      </c>
      <c r="M920" s="12"/>
      <c r="N920" s="15"/>
      <c r="O920" s="1"/>
      <c r="Q920" s="12"/>
      <c r="R920" s="1"/>
    </row>
    <row r="921" ht="12.75" hidden="1" customHeight="1" outlineLevel="1">
      <c r="A921" s="17">
        <v>42236.0</v>
      </c>
      <c r="B921" s="120">
        <v>716468.0</v>
      </c>
      <c r="C921" s="19">
        <f t="shared" si="159"/>
        <v>-0.0350846241</v>
      </c>
      <c r="D921" s="19">
        <f t="shared" si="158"/>
        <v>-0.01886261639</v>
      </c>
      <c r="E921" s="12"/>
      <c r="F921" s="7"/>
      <c r="G921" s="7"/>
      <c r="H921" s="1"/>
      <c r="I921" s="1"/>
      <c r="J921" s="1"/>
      <c r="K921" s="1"/>
      <c r="L921" s="12">
        <f t="shared" si="160"/>
        <v>18413.36062</v>
      </c>
      <c r="M921" s="12"/>
      <c r="N921" s="15"/>
      <c r="O921" s="1"/>
      <c r="Q921" s="12"/>
      <c r="R921" s="1"/>
    </row>
    <row r="922" ht="12.75" hidden="1" customHeight="1" outlineLevel="1">
      <c r="A922" s="17">
        <v>42237.0</v>
      </c>
      <c r="B922" s="120">
        <v>703924.67</v>
      </c>
      <c r="C922" s="19">
        <f t="shared" si="159"/>
        <v>-0.01750717408</v>
      </c>
      <c r="D922" s="19">
        <f t="shared" si="158"/>
        <v>-0.03603955936</v>
      </c>
      <c r="E922" s="12"/>
      <c r="F922" s="7"/>
      <c r="G922" s="7"/>
      <c r="H922" s="1"/>
      <c r="I922" s="1"/>
      <c r="J922" s="1"/>
      <c r="K922" s="1"/>
      <c r="L922" s="12">
        <f t="shared" si="160"/>
        <v>18090.99471</v>
      </c>
      <c r="M922" s="12"/>
      <c r="N922" s="15"/>
      <c r="O922" s="1"/>
      <c r="Q922" s="12"/>
      <c r="R922" s="1"/>
    </row>
    <row r="923" ht="12.75" hidden="1" customHeight="1" outlineLevel="1">
      <c r="A923" s="17">
        <v>42240.0</v>
      </c>
      <c r="B923" s="120">
        <v>708446.0</v>
      </c>
      <c r="C923" s="19">
        <f t="shared" si="159"/>
        <v>0.006423031033</v>
      </c>
      <c r="D923" s="19">
        <f t="shared" si="158"/>
        <v>-0.02984801154</v>
      </c>
      <c r="E923" s="12"/>
      <c r="F923" s="7"/>
      <c r="G923" s="7"/>
      <c r="H923" s="1"/>
      <c r="I923" s="1"/>
      <c r="J923" s="1"/>
      <c r="K923" s="1"/>
      <c r="L923" s="12">
        <f t="shared" si="160"/>
        <v>18207.19373</v>
      </c>
      <c r="M923" s="12"/>
      <c r="N923" s="15"/>
      <c r="O923" s="1"/>
      <c r="Q923" s="12"/>
      <c r="R923" s="1"/>
    </row>
    <row r="924" ht="12.75" hidden="1" customHeight="1" outlineLevel="1">
      <c r="A924" s="17">
        <v>42241.0</v>
      </c>
      <c r="B924" s="120">
        <v>705371.0</v>
      </c>
      <c r="C924" s="19">
        <f t="shared" si="159"/>
        <v>-0.004340486078</v>
      </c>
      <c r="D924" s="19">
        <f t="shared" si="158"/>
        <v>-0.03405894274</v>
      </c>
      <c r="E924" s="12"/>
      <c r="F924" s="7"/>
      <c r="G924" s="7"/>
      <c r="H924" s="1"/>
      <c r="I924" s="1"/>
      <c r="J924" s="1"/>
      <c r="K924" s="1"/>
      <c r="L924" s="12">
        <f t="shared" si="160"/>
        <v>18128.16566</v>
      </c>
      <c r="M924" s="12"/>
      <c r="N924" s="15"/>
      <c r="O924" s="1"/>
      <c r="Q924" s="12"/>
      <c r="R924" s="1"/>
    </row>
    <row r="925" ht="12.75" hidden="1" customHeight="1" outlineLevel="1">
      <c r="A925" s="17">
        <v>42242.0</v>
      </c>
      <c r="B925" s="120">
        <v>735107.51</v>
      </c>
      <c r="C925" s="19">
        <f t="shared" si="159"/>
        <v>0.04215726192</v>
      </c>
      <c r="D925" s="19">
        <f t="shared" si="158"/>
        <v>0.006662487414</v>
      </c>
      <c r="E925" s="12"/>
      <c r="F925" s="7"/>
      <c r="G925" s="7"/>
      <c r="H925" s="1"/>
      <c r="I925" s="1"/>
      <c r="J925" s="32" t="s">
        <v>685</v>
      </c>
      <c r="K925" s="1"/>
      <c r="L925" s="12">
        <f t="shared" si="160"/>
        <v>18892.39949</v>
      </c>
      <c r="M925" s="12"/>
      <c r="N925" s="15"/>
      <c r="O925" s="1"/>
      <c r="Q925" s="12"/>
      <c r="R925" s="1"/>
    </row>
    <row r="926" ht="12.75" hidden="1" customHeight="1" outlineLevel="1">
      <c r="A926" s="17">
        <v>42243.0</v>
      </c>
      <c r="B926" s="120">
        <v>694849.0</v>
      </c>
      <c r="C926" s="19">
        <f t="shared" si="159"/>
        <v>-0.05476547233</v>
      </c>
      <c r="D926" s="19">
        <f t="shared" si="158"/>
        <v>-0.04846785919</v>
      </c>
      <c r="E926" s="12"/>
      <c r="F926" s="7"/>
      <c r="G926" s="7"/>
      <c r="H926" s="1"/>
      <c r="I926" s="1"/>
      <c r="J926" s="1"/>
      <c r="K926" s="1"/>
      <c r="L926" s="12">
        <f t="shared" si="160"/>
        <v>17857.74831</v>
      </c>
      <c r="M926" s="12"/>
      <c r="N926" s="15"/>
      <c r="O926" s="1"/>
      <c r="Q926" s="12"/>
      <c r="R926" s="1"/>
    </row>
    <row r="927" ht="12.75" hidden="1" customHeight="1" outlineLevel="1">
      <c r="A927" s="17">
        <v>42244.0</v>
      </c>
      <c r="B927" s="120">
        <v>695605.77</v>
      </c>
      <c r="C927" s="19">
        <f t="shared" si="159"/>
        <v>0.001089114326</v>
      </c>
      <c r="D927" s="19">
        <f t="shared" si="158"/>
        <v>-0.0474315319</v>
      </c>
      <c r="E927" s="12"/>
      <c r="F927" s="7"/>
      <c r="G927" s="7"/>
      <c r="H927" s="1"/>
      <c r="I927" s="1"/>
      <c r="J927" s="1"/>
      <c r="K927" s="32" t="s">
        <v>367</v>
      </c>
      <c r="L927" s="12">
        <f t="shared" si="160"/>
        <v>17877.19744</v>
      </c>
      <c r="M927" s="12"/>
      <c r="N927" s="15"/>
      <c r="O927" s="1"/>
      <c r="Q927" s="12"/>
      <c r="R927" s="1"/>
    </row>
    <row r="928" ht="12.75" hidden="1" customHeight="1" outlineLevel="1">
      <c r="A928" s="17">
        <v>42247.0</v>
      </c>
      <c r="B928" s="120">
        <v>687521.74</v>
      </c>
      <c r="C928" s="19">
        <f t="shared" si="159"/>
        <v>-0.01162156835</v>
      </c>
      <c r="D928" s="19">
        <f t="shared" si="158"/>
        <v>-0.05850187146</v>
      </c>
      <c r="E928" s="12"/>
      <c r="F928" s="7"/>
      <c r="G928" s="7"/>
      <c r="H928" s="1"/>
      <c r="I928" s="1"/>
      <c r="J928" s="1"/>
      <c r="K928" s="37">
        <f>3660.76/3895.8-1</f>
        <v>-0.0603316392</v>
      </c>
      <c r="L928" s="12">
        <f t="shared" si="160"/>
        <v>17669.43637</v>
      </c>
      <c r="M928" s="12"/>
      <c r="N928" s="15"/>
      <c r="O928" s="1"/>
      <c r="Q928" s="12"/>
      <c r="R928" s="1"/>
    </row>
    <row r="929" ht="12.75" hidden="1" customHeight="1" outlineLevel="1">
      <c r="A929" s="17"/>
      <c r="B929" s="12"/>
      <c r="C929" s="1"/>
      <c r="D929" s="1"/>
      <c r="E929" s="12"/>
      <c r="F929" s="7"/>
      <c r="G929" s="7"/>
      <c r="H929" s="1"/>
      <c r="I929" s="1"/>
      <c r="J929" s="1"/>
      <c r="K929" s="1"/>
      <c r="L929" s="12"/>
      <c r="M929" s="12"/>
      <c r="N929" s="15"/>
      <c r="O929" s="1"/>
      <c r="Q929" s="12"/>
      <c r="R929" s="1"/>
    </row>
    <row r="930" ht="12.75" hidden="1" customHeight="1" outlineLevel="1">
      <c r="A930" s="17"/>
      <c r="B930" s="12">
        <f>B928</f>
        <v>687521.74</v>
      </c>
      <c r="C930" s="19"/>
      <c r="D930" s="19">
        <f t="shared" ref="D930:D952" si="161">(B930/$B$930)-1</f>
        <v>0</v>
      </c>
      <c r="E930" s="12"/>
      <c r="F930" s="7"/>
      <c r="G930" s="7"/>
      <c r="H930" s="1"/>
      <c r="I930" s="1"/>
      <c r="J930" s="1"/>
      <c r="K930" s="1"/>
      <c r="L930" s="12"/>
      <c r="M930" s="12"/>
      <c r="N930" s="15"/>
      <c r="O930" s="1"/>
      <c r="Q930" s="12"/>
      <c r="R930" s="1"/>
    </row>
    <row r="931" ht="12.75" hidden="1" customHeight="1" outlineLevel="1">
      <c r="A931" s="17">
        <v>42248.0</v>
      </c>
      <c r="B931" s="120">
        <v>678926.0</v>
      </c>
      <c r="C931" s="19">
        <f t="shared" ref="C931:C952" si="162">(B931/B930)-1</f>
        <v>-0.01250249919</v>
      </c>
      <c r="D931" s="19">
        <f t="shared" si="161"/>
        <v>-0.01250249919</v>
      </c>
      <c r="E931" s="12"/>
      <c r="F931" s="7"/>
      <c r="G931" s="7"/>
      <c r="H931" s="1"/>
      <c r="I931" s="1"/>
      <c r="J931" s="1"/>
      <c r="K931" s="1"/>
      <c r="L931" s="12">
        <f t="shared" ref="L931:L952" si="163">IF(C930="",L928*(1+C931),L930*(1+C931))</f>
        <v>17448.52425</v>
      </c>
      <c r="M931" s="12"/>
      <c r="N931" s="15"/>
      <c r="O931" s="1"/>
      <c r="Q931" s="12"/>
      <c r="R931" s="1"/>
    </row>
    <row r="932" ht="12.75" hidden="1" customHeight="1" outlineLevel="1">
      <c r="A932" s="17">
        <v>42249.0</v>
      </c>
      <c r="B932" s="120">
        <v>690499.2</v>
      </c>
      <c r="C932" s="19">
        <f t="shared" si="162"/>
        <v>0.01704633495</v>
      </c>
      <c r="D932" s="19">
        <f t="shared" si="161"/>
        <v>0.004330713964</v>
      </c>
      <c r="E932" s="12"/>
      <c r="F932" s="7"/>
      <c r="G932" s="7"/>
      <c r="H932" s="1"/>
      <c r="I932" s="1"/>
      <c r="J932" s="1"/>
      <c r="K932" s="1"/>
      <c r="L932" s="12">
        <f t="shared" si="163"/>
        <v>17745.95764</v>
      </c>
      <c r="M932" s="12"/>
      <c r="N932" s="15"/>
      <c r="O932" s="1"/>
      <c r="Q932" s="12"/>
      <c r="R932" s="1"/>
    </row>
    <row r="933" ht="12.75" hidden="1" customHeight="1" outlineLevel="1">
      <c r="A933" s="17">
        <v>42250.0</v>
      </c>
      <c r="B933" s="120">
        <v>686855.0</v>
      </c>
      <c r="C933" s="19">
        <f t="shared" si="162"/>
        <v>-0.005277631024</v>
      </c>
      <c r="D933" s="19">
        <f t="shared" si="161"/>
        <v>-0.0009697729704</v>
      </c>
      <c r="E933" s="12"/>
      <c r="F933" s="7"/>
      <c r="G933" s="7"/>
      <c r="H933" s="1"/>
      <c r="I933" s="1"/>
      <c r="J933" s="1"/>
      <c r="K933" s="1"/>
      <c r="L933" s="12">
        <f t="shared" si="163"/>
        <v>17652.30103</v>
      </c>
      <c r="M933" s="12"/>
      <c r="N933" s="15"/>
      <c r="O933" s="1"/>
      <c r="Q933" s="12"/>
      <c r="R933" s="1"/>
    </row>
    <row r="934" ht="12.75" hidden="1" customHeight="1" outlineLevel="1">
      <c r="A934" s="17">
        <v>42251.0</v>
      </c>
      <c r="B934" s="120">
        <v>694808.0</v>
      </c>
      <c r="C934" s="19">
        <f t="shared" si="162"/>
        <v>0.01157886308</v>
      </c>
      <c r="D934" s="19">
        <f t="shared" si="161"/>
        <v>0.01059786124</v>
      </c>
      <c r="E934" s="12"/>
      <c r="F934" s="7"/>
      <c r="G934" s="7"/>
      <c r="H934" s="1"/>
      <c r="I934" s="1"/>
      <c r="J934" s="1"/>
      <c r="K934" s="1"/>
      <c r="L934" s="12">
        <f t="shared" si="163"/>
        <v>17856.6946</v>
      </c>
      <c r="M934" s="12"/>
      <c r="N934" s="15"/>
      <c r="O934" s="1"/>
      <c r="Q934" s="12"/>
      <c r="R934" s="1"/>
    </row>
    <row r="935" ht="12.75" hidden="1" customHeight="1" outlineLevel="1">
      <c r="A935" s="17">
        <v>42254.0</v>
      </c>
      <c r="B935" s="120">
        <v>694808.0</v>
      </c>
      <c r="C935" s="19">
        <f t="shared" si="162"/>
        <v>0</v>
      </c>
      <c r="D935" s="19">
        <f t="shared" si="161"/>
        <v>0.01059786124</v>
      </c>
      <c r="E935" s="12"/>
      <c r="F935" s="7"/>
      <c r="G935" s="7"/>
      <c r="H935" s="1"/>
      <c r="I935" s="1"/>
      <c r="J935" s="32" t="s">
        <v>689</v>
      </c>
      <c r="K935" s="1"/>
      <c r="L935" s="12">
        <f t="shared" si="163"/>
        <v>17856.6946</v>
      </c>
      <c r="M935" s="12"/>
      <c r="N935" s="15"/>
      <c r="O935" s="1"/>
      <c r="Q935" s="12"/>
      <c r="R935" s="1"/>
    </row>
    <row r="936" ht="12.75" hidden="1" customHeight="1" outlineLevel="1">
      <c r="A936" s="17">
        <v>42255.0</v>
      </c>
      <c r="B936" s="120">
        <v>691957.0</v>
      </c>
      <c r="C936" s="19">
        <f t="shared" si="162"/>
        <v>-0.004103291845</v>
      </c>
      <c r="D936" s="19">
        <f t="shared" si="161"/>
        <v>0.006451083278</v>
      </c>
      <c r="E936" s="12"/>
      <c r="F936" s="7"/>
      <c r="G936" s="7"/>
      <c r="H936" s="1"/>
      <c r="I936" s="1"/>
      <c r="J936" s="1"/>
      <c r="K936" s="1"/>
      <c r="L936" s="12">
        <f t="shared" si="163"/>
        <v>17783.42337</v>
      </c>
      <c r="M936" s="12"/>
      <c r="N936" s="15"/>
      <c r="O936" s="1"/>
      <c r="Q936" s="12"/>
      <c r="R936" s="1"/>
    </row>
    <row r="937" ht="12.75" hidden="1" customHeight="1" outlineLevel="1">
      <c r="A937" s="17">
        <v>42256.0</v>
      </c>
      <c r="B937" s="120">
        <v>680448.0</v>
      </c>
      <c r="C937" s="19">
        <f t="shared" si="162"/>
        <v>-0.01663253641</v>
      </c>
      <c r="D937" s="19">
        <f t="shared" si="161"/>
        <v>-0.01028875101</v>
      </c>
      <c r="E937" s="12"/>
      <c r="F937" s="7"/>
      <c r="G937" s="7"/>
      <c r="H937" s="1"/>
      <c r="I937" s="1"/>
      <c r="J937" s="1"/>
      <c r="K937" s="1"/>
      <c r="L937" s="12">
        <f t="shared" si="163"/>
        <v>17487.63994</v>
      </c>
      <c r="M937" s="12"/>
      <c r="N937" s="15"/>
      <c r="O937" s="1"/>
      <c r="Q937" s="12"/>
      <c r="R937" s="1"/>
    </row>
    <row r="938" ht="12.75" hidden="1" customHeight="1" outlineLevel="1">
      <c r="A938" s="17">
        <v>42257.0</v>
      </c>
      <c r="B938" s="120">
        <v>685504.0</v>
      </c>
      <c r="C938" s="19">
        <f t="shared" si="162"/>
        <v>0.007430398796</v>
      </c>
      <c r="D938" s="19">
        <f t="shared" si="161"/>
        <v>-0.002934801742</v>
      </c>
      <c r="E938" s="12"/>
      <c r="F938" s="7"/>
      <c r="G938" s="7"/>
      <c r="H938" s="1"/>
      <c r="I938" s="1"/>
      <c r="J938" s="1"/>
      <c r="K938" s="1"/>
      <c r="L938" s="12">
        <f t="shared" si="163"/>
        <v>17617.58007</v>
      </c>
      <c r="M938" s="12"/>
      <c r="N938" s="15"/>
      <c r="O938" s="1"/>
      <c r="Q938" s="12"/>
      <c r="R938" s="1"/>
    </row>
    <row r="939" ht="12.75" hidden="1" customHeight="1" outlineLevel="1">
      <c r="A939" s="17">
        <v>42258.0</v>
      </c>
      <c r="B939" s="120">
        <v>696906.3</v>
      </c>
      <c r="C939" s="19">
        <f t="shared" si="162"/>
        <v>0.01663345509</v>
      </c>
      <c r="D939" s="19">
        <f t="shared" si="161"/>
        <v>0.01364983746</v>
      </c>
      <c r="E939" s="12"/>
      <c r="F939" s="7"/>
      <c r="G939" s="7"/>
      <c r="H939" s="1"/>
      <c r="I939" s="1"/>
      <c r="J939" s="1"/>
      <c r="K939" s="1"/>
      <c r="L939" s="12">
        <f t="shared" si="163"/>
        <v>17910.6213</v>
      </c>
      <c r="M939" s="12"/>
      <c r="N939" s="15"/>
      <c r="O939" s="1"/>
      <c r="Q939" s="12"/>
      <c r="R939" s="1"/>
    </row>
    <row r="940" ht="12.75" hidden="1" customHeight="1" outlineLevel="1">
      <c r="A940" s="17">
        <v>42261.0</v>
      </c>
      <c r="B940" s="120">
        <v>694053.0</v>
      </c>
      <c r="C940" s="19">
        <f t="shared" si="162"/>
        <v>-0.004094237633</v>
      </c>
      <c r="D940" s="19">
        <f t="shared" si="161"/>
        <v>0.009499714147</v>
      </c>
      <c r="E940" s="12"/>
      <c r="F940" s="7"/>
      <c r="G940" s="7"/>
      <c r="H940" s="1"/>
      <c r="I940" s="1"/>
      <c r="J940" s="1"/>
      <c r="K940" s="1"/>
      <c r="L940" s="12">
        <f t="shared" si="163"/>
        <v>17837.29096</v>
      </c>
      <c r="M940" s="12"/>
      <c r="N940" s="15"/>
      <c r="O940" s="1"/>
      <c r="Q940" s="12"/>
      <c r="R940" s="1"/>
    </row>
    <row r="941" ht="12.75" hidden="1" customHeight="1" outlineLevel="1">
      <c r="A941" s="17">
        <v>42262.0</v>
      </c>
      <c r="B941" s="120">
        <v>701293.0</v>
      </c>
      <c r="C941" s="19">
        <f t="shared" si="162"/>
        <v>0.01043148002</v>
      </c>
      <c r="D941" s="19">
        <f t="shared" si="161"/>
        <v>0.02003029024</v>
      </c>
      <c r="E941" s="12"/>
      <c r="F941" s="7"/>
      <c r="G941" s="7"/>
      <c r="H941" s="1"/>
      <c r="I941" s="1"/>
      <c r="J941" s="1"/>
      <c r="K941" s="1"/>
      <c r="L941" s="12">
        <f t="shared" si="163"/>
        <v>18023.36031</v>
      </c>
      <c r="M941" s="12"/>
      <c r="N941" s="15"/>
      <c r="O941" s="1"/>
      <c r="Q941" s="12"/>
      <c r="R941" s="1"/>
    </row>
    <row r="942" ht="12.75" hidden="1" customHeight="1" outlineLevel="1">
      <c r="A942" s="17">
        <v>42263.0</v>
      </c>
      <c r="B942" s="120">
        <v>686001.0</v>
      </c>
      <c r="C942" s="19">
        <f t="shared" si="162"/>
        <v>-0.02180543653</v>
      </c>
      <c r="D942" s="19">
        <f t="shared" si="161"/>
        <v>-0.00221191551</v>
      </c>
      <c r="E942" s="12"/>
      <c r="F942" s="7"/>
      <c r="G942" s="7"/>
      <c r="H942" s="1"/>
      <c r="I942" s="1"/>
      <c r="J942" s="1"/>
      <c r="K942" s="1"/>
      <c r="L942" s="12">
        <f t="shared" si="163"/>
        <v>17630.35307</v>
      </c>
      <c r="M942" s="12"/>
      <c r="N942" s="15"/>
      <c r="O942" s="1"/>
      <c r="Q942" s="12"/>
      <c r="R942" s="1"/>
    </row>
    <row r="943" ht="12.75" hidden="1" customHeight="1" outlineLevel="1">
      <c r="A943" s="17">
        <v>42264.0</v>
      </c>
      <c r="B943" s="120">
        <v>687887.0</v>
      </c>
      <c r="C943" s="19">
        <f t="shared" si="162"/>
        <v>0.002749267129</v>
      </c>
      <c r="D943" s="19">
        <f t="shared" si="161"/>
        <v>0.000531270473</v>
      </c>
      <c r="E943" s="12"/>
      <c r="F943" s="7"/>
      <c r="G943" s="7"/>
      <c r="H943" s="1"/>
      <c r="I943" s="1"/>
      <c r="J943" s="1"/>
      <c r="K943" s="1"/>
      <c r="L943" s="12">
        <f t="shared" si="163"/>
        <v>17678.82362</v>
      </c>
      <c r="M943" s="12"/>
      <c r="N943" s="15"/>
      <c r="O943" s="1"/>
      <c r="Q943" s="12"/>
      <c r="R943" s="1"/>
    </row>
    <row r="944" ht="12.75" hidden="1" customHeight="1" outlineLevel="1">
      <c r="A944" s="17">
        <v>42265.0</v>
      </c>
      <c r="B944" s="120">
        <v>682074.06</v>
      </c>
      <c r="C944" s="19">
        <f t="shared" si="162"/>
        <v>-0.008450428631</v>
      </c>
      <c r="D944" s="19">
        <f t="shared" si="161"/>
        <v>-0.007923647622</v>
      </c>
      <c r="E944" s="12"/>
      <c r="F944" s="7"/>
      <c r="G944" s="7"/>
      <c r="H944" s="1"/>
      <c r="I944" s="1"/>
      <c r="J944" s="1"/>
      <c r="K944" s="1"/>
      <c r="L944" s="12">
        <f t="shared" si="163"/>
        <v>17529.42998</v>
      </c>
      <c r="M944" s="12"/>
      <c r="N944" s="15"/>
      <c r="O944" s="1"/>
      <c r="Q944" s="12"/>
      <c r="R944" s="1"/>
    </row>
    <row r="945" ht="12.75" hidden="1" customHeight="1" outlineLevel="1">
      <c r="A945" s="17">
        <v>42268.0</v>
      </c>
      <c r="B945" s="120">
        <v>683260.0</v>
      </c>
      <c r="C945" s="19">
        <f t="shared" si="162"/>
        <v>0.001738726144</v>
      </c>
      <c r="D945" s="19">
        <f t="shared" si="161"/>
        <v>-0.006198698531</v>
      </c>
      <c r="E945" s="12"/>
      <c r="F945" s="7"/>
      <c r="G945" s="7"/>
      <c r="H945" s="1"/>
      <c r="I945" s="1"/>
      <c r="J945" s="1"/>
      <c r="K945" s="1"/>
      <c r="L945" s="12">
        <f t="shared" si="163"/>
        <v>17559.90886</v>
      </c>
      <c r="M945" s="12"/>
      <c r="N945" s="15"/>
      <c r="O945" s="1"/>
      <c r="Q945" s="12"/>
      <c r="R945" s="1"/>
    </row>
    <row r="946" ht="12.75" hidden="1" customHeight="1" outlineLevel="1">
      <c r="A946" s="17">
        <v>42269.0</v>
      </c>
      <c r="B946" s="120">
        <v>675277.0</v>
      </c>
      <c r="C946" s="19">
        <f t="shared" si="162"/>
        <v>-0.01168369288</v>
      </c>
      <c r="D946" s="19">
        <f t="shared" si="161"/>
        <v>-0.01780996773</v>
      </c>
      <c r="E946" s="12"/>
      <c r="F946" s="7"/>
      <c r="G946" s="7"/>
      <c r="H946" s="1"/>
      <c r="I946" s="1"/>
      <c r="J946" s="1"/>
      <c r="K946" s="1"/>
      <c r="L946" s="12">
        <f t="shared" si="163"/>
        <v>17354.74428</v>
      </c>
      <c r="M946" s="12"/>
      <c r="N946" s="15"/>
      <c r="O946" s="1"/>
      <c r="Q946" s="12"/>
      <c r="R946" s="1"/>
    </row>
    <row r="947" ht="12.75" hidden="1" customHeight="1" outlineLevel="1">
      <c r="A947" s="17">
        <v>42270.0</v>
      </c>
      <c r="B947" s="120">
        <v>692681.0</v>
      </c>
      <c r="C947" s="19">
        <f t="shared" si="162"/>
        <v>0.02577312718</v>
      </c>
      <c r="D947" s="19">
        <f t="shared" si="161"/>
        <v>0.007504140887</v>
      </c>
      <c r="E947" s="12"/>
      <c r="F947" s="7"/>
      <c r="G947" s="7"/>
      <c r="H947" s="1"/>
      <c r="I947" s="1"/>
      <c r="J947" s="1"/>
      <c r="K947" s="1"/>
      <c r="L947" s="12">
        <f t="shared" si="163"/>
        <v>17802.03031</v>
      </c>
      <c r="M947" s="12"/>
      <c r="N947" s="15"/>
      <c r="O947" s="1"/>
      <c r="Q947" s="12"/>
      <c r="R947" s="1"/>
    </row>
    <row r="948" ht="12.75" hidden="1" customHeight="1" outlineLevel="1">
      <c r="A948" s="17">
        <v>42271.0</v>
      </c>
      <c r="B948" s="120">
        <v>679554.0</v>
      </c>
      <c r="C948" s="19">
        <f t="shared" si="162"/>
        <v>-0.01895100342</v>
      </c>
      <c r="D948" s="19">
        <f t="shared" si="161"/>
        <v>-0.01158907353</v>
      </c>
      <c r="E948" s="12"/>
      <c r="F948" s="7"/>
      <c r="G948" s="7"/>
      <c r="H948" s="1"/>
      <c r="I948" s="1"/>
      <c r="J948" s="1"/>
      <c r="K948" s="1"/>
      <c r="L948" s="12">
        <f t="shared" si="163"/>
        <v>17464.66397</v>
      </c>
      <c r="M948" s="12"/>
      <c r="N948" s="15"/>
      <c r="O948" s="1"/>
      <c r="Q948" s="12"/>
      <c r="R948" s="1"/>
    </row>
    <row r="949" ht="12.75" hidden="1" customHeight="1" outlineLevel="1">
      <c r="A949" s="17">
        <v>42272.0</v>
      </c>
      <c r="B949" s="120">
        <v>679890.0</v>
      </c>
      <c r="C949" s="19">
        <f t="shared" si="162"/>
        <v>0.0004944419428</v>
      </c>
      <c r="D949" s="19">
        <f t="shared" si="161"/>
        <v>-0.01110036171</v>
      </c>
      <c r="E949" s="12"/>
      <c r="F949" s="7"/>
      <c r="G949" s="7"/>
      <c r="H949" s="1"/>
      <c r="I949" s="1"/>
      <c r="J949" s="1"/>
      <c r="K949" s="1"/>
      <c r="L949" s="12">
        <f t="shared" si="163"/>
        <v>17473.29923</v>
      </c>
      <c r="M949" s="12"/>
      <c r="N949" s="15"/>
      <c r="O949" s="1"/>
      <c r="Q949" s="12"/>
      <c r="R949" s="1"/>
    </row>
    <row r="950" ht="12.75" hidden="1" customHeight="1" outlineLevel="1">
      <c r="A950" s="17">
        <v>42275.0</v>
      </c>
      <c r="B950" s="120">
        <v>666426.0</v>
      </c>
      <c r="C950" s="19">
        <f t="shared" si="162"/>
        <v>-0.01980320346</v>
      </c>
      <c r="D950" s="19">
        <f t="shared" si="161"/>
        <v>-0.03068374245</v>
      </c>
      <c r="E950" s="12"/>
      <c r="F950" s="7"/>
      <c r="G950" s="7"/>
      <c r="H950" s="1"/>
      <c r="I950" s="1"/>
      <c r="J950" s="1"/>
      <c r="K950" s="1"/>
      <c r="L950" s="12">
        <f t="shared" si="163"/>
        <v>17127.27193</v>
      </c>
      <c r="M950" s="12"/>
      <c r="N950" s="15"/>
      <c r="O950" s="1"/>
      <c r="Q950" s="12"/>
      <c r="R950" s="1"/>
    </row>
    <row r="951" ht="12.75" hidden="1" customHeight="1" outlineLevel="1">
      <c r="A951" s="17">
        <v>42276.0</v>
      </c>
      <c r="B951" s="120">
        <v>663900.0</v>
      </c>
      <c r="C951" s="19">
        <f t="shared" si="162"/>
        <v>-0.003790368323</v>
      </c>
      <c r="D951" s="19">
        <f t="shared" si="161"/>
        <v>-0.03435780809</v>
      </c>
      <c r="E951" s="12"/>
      <c r="F951" s="7"/>
      <c r="G951" s="7"/>
      <c r="H951" s="1"/>
      <c r="I951" s="1"/>
      <c r="J951" s="1"/>
      <c r="K951" s="32" t="s">
        <v>367</v>
      </c>
      <c r="L951" s="12">
        <f t="shared" si="163"/>
        <v>17062.35326</v>
      </c>
      <c r="M951" s="12"/>
      <c r="N951" s="15"/>
      <c r="O951" s="1"/>
      <c r="Q951" s="12"/>
      <c r="R951" s="1"/>
    </row>
    <row r="952" ht="12.75" hidden="1" customHeight="1" outlineLevel="1">
      <c r="A952" s="17">
        <v>42277.0</v>
      </c>
      <c r="B952" s="120">
        <v>660948.07</v>
      </c>
      <c r="C952" s="19">
        <f t="shared" si="162"/>
        <v>-0.004446347341</v>
      </c>
      <c r="D952" s="19">
        <f t="shared" si="161"/>
        <v>-0.03865138868</v>
      </c>
      <c r="E952" s="12"/>
      <c r="F952" s="7"/>
      <c r="G952" s="7"/>
      <c r="H952" s="1"/>
      <c r="I952" s="1"/>
      <c r="J952" s="1"/>
      <c r="K952" s="37">
        <f>3570.18/3660.76-1</f>
        <v>-0.02474349589</v>
      </c>
      <c r="L952" s="12">
        <f t="shared" si="163"/>
        <v>16986.48811</v>
      </c>
      <c r="M952" s="12"/>
      <c r="N952" s="15"/>
      <c r="O952" s="1"/>
      <c r="Q952" s="12"/>
      <c r="R952" s="1"/>
    </row>
    <row r="953" ht="12.75" hidden="1" customHeight="1" outlineLevel="1">
      <c r="A953" s="17"/>
      <c r="B953" s="12"/>
      <c r="C953" s="1"/>
      <c r="D953" s="1"/>
      <c r="E953" s="12"/>
      <c r="F953" s="7"/>
      <c r="G953" s="7"/>
      <c r="H953" s="1"/>
      <c r="I953" s="1"/>
      <c r="J953" s="1"/>
      <c r="K953" s="1"/>
      <c r="L953" s="12"/>
      <c r="M953" s="12"/>
      <c r="N953" s="15"/>
      <c r="O953" s="1"/>
      <c r="Q953" s="12"/>
      <c r="R953" s="1"/>
    </row>
    <row r="954" ht="12.75" hidden="1" customHeight="1" outlineLevel="1">
      <c r="A954" s="17"/>
      <c r="B954" s="12">
        <f>B952</f>
        <v>660948.07</v>
      </c>
      <c r="C954" s="19"/>
      <c r="D954" s="19">
        <f t="shared" ref="D954:D976" si="164">(B954/$B$954)-1</f>
        <v>0</v>
      </c>
      <c r="E954" s="12"/>
      <c r="F954" s="7"/>
      <c r="G954" s="7"/>
      <c r="H954" s="1"/>
      <c r="I954" s="1"/>
      <c r="J954" s="1"/>
      <c r="K954" s="1"/>
      <c r="L954" s="12"/>
      <c r="M954" s="12"/>
      <c r="N954" s="15"/>
      <c r="O954" s="1"/>
      <c r="Q954" s="12"/>
      <c r="R954" s="1"/>
    </row>
    <row r="955" ht="12.75" hidden="1" customHeight="1" outlineLevel="1">
      <c r="A955" s="17">
        <v>42278.0</v>
      </c>
      <c r="B955" s="120">
        <v>664505.0</v>
      </c>
      <c r="C955" s="19">
        <f t="shared" ref="C955:C976" si="165">(B955/B954)-1</f>
        <v>0.005381557435</v>
      </c>
      <c r="D955" s="19">
        <f t="shared" si="164"/>
        <v>0.005381557435</v>
      </c>
      <c r="E955" s="12"/>
      <c r="F955" s="7"/>
      <c r="G955" s="7"/>
      <c r="H955" s="1"/>
      <c r="I955" s="1"/>
      <c r="J955" s="1"/>
      <c r="K955" s="1"/>
      <c r="L955" s="12">
        <f t="shared" ref="L955:L976" si="166">IF(C954="",L952*(1+C955),L954*(1+C955))</f>
        <v>17077.90188</v>
      </c>
      <c r="M955" s="12"/>
      <c r="N955" s="15"/>
      <c r="O955" s="1"/>
      <c r="Q955" s="12"/>
      <c r="R955" s="1"/>
    </row>
    <row r="956" ht="12.75" hidden="1" customHeight="1" outlineLevel="1">
      <c r="A956" s="17">
        <v>42279.0</v>
      </c>
      <c r="B956" s="120">
        <v>647000.0</v>
      </c>
      <c r="C956" s="19">
        <f t="shared" si="165"/>
        <v>-0.02634291691</v>
      </c>
      <c r="D956" s="19">
        <f t="shared" si="164"/>
        <v>-0.02110312539</v>
      </c>
      <c r="E956" s="12"/>
      <c r="F956" s="7"/>
      <c r="G956" s="7"/>
      <c r="H956" s="1"/>
      <c r="I956" s="1"/>
      <c r="J956" s="1"/>
      <c r="K956" s="1"/>
      <c r="L956" s="12">
        <f t="shared" si="166"/>
        <v>16628.02013</v>
      </c>
      <c r="M956" s="12"/>
      <c r="N956" s="15"/>
      <c r="O956" s="1"/>
      <c r="Q956" s="12"/>
      <c r="R956" s="1"/>
    </row>
    <row r="957" ht="12.75" hidden="1" customHeight="1" outlineLevel="1">
      <c r="A957" s="17">
        <v>42282.0</v>
      </c>
      <c r="B957" s="120">
        <v>646292.0</v>
      </c>
      <c r="C957" s="19">
        <f t="shared" si="165"/>
        <v>-0.001094281298</v>
      </c>
      <c r="D957" s="19">
        <f t="shared" si="164"/>
        <v>-0.02217431394</v>
      </c>
      <c r="E957" s="12"/>
      <c r="F957" s="7"/>
      <c r="G957" s="7"/>
      <c r="H957" s="1"/>
      <c r="I957" s="1"/>
      <c r="J957" s="1"/>
      <c r="K957" s="1"/>
      <c r="L957" s="12">
        <f t="shared" si="166"/>
        <v>16609.82439</v>
      </c>
      <c r="M957" s="12"/>
      <c r="N957" s="15"/>
      <c r="O957" s="1"/>
      <c r="Q957" s="12"/>
      <c r="R957" s="1"/>
    </row>
    <row r="958" ht="12.75" hidden="1" customHeight="1" outlineLevel="1">
      <c r="A958" s="17">
        <v>42283.0</v>
      </c>
      <c r="B958" s="120">
        <v>642033.0</v>
      </c>
      <c r="C958" s="19">
        <f t="shared" si="165"/>
        <v>-0.00658990054</v>
      </c>
      <c r="D958" s="19">
        <f t="shared" si="164"/>
        <v>-0.02861808795</v>
      </c>
      <c r="E958" s="12"/>
      <c r="F958" s="7"/>
      <c r="G958" s="7"/>
      <c r="H958" s="1"/>
      <c r="I958" s="1"/>
      <c r="J958" s="1"/>
      <c r="K958" s="1"/>
      <c r="L958" s="12">
        <f t="shared" si="166"/>
        <v>16500.3673</v>
      </c>
      <c r="M958" s="12"/>
      <c r="N958" s="15"/>
      <c r="O958" s="1"/>
      <c r="Q958" s="12"/>
      <c r="R958" s="1"/>
    </row>
    <row r="959" ht="12.75" hidden="1" customHeight="1" outlineLevel="1">
      <c r="A959" s="17">
        <v>42284.0</v>
      </c>
      <c r="B959" s="120">
        <v>644986.0</v>
      </c>
      <c r="C959" s="19">
        <f t="shared" si="165"/>
        <v>0.004599452053</v>
      </c>
      <c r="D959" s="19">
        <f t="shared" si="164"/>
        <v>-0.02415026342</v>
      </c>
      <c r="E959" s="12"/>
      <c r="F959" s="7"/>
      <c r="G959" s="7"/>
      <c r="H959" s="1"/>
      <c r="I959" s="1"/>
      <c r="J959" s="1"/>
      <c r="K959" s="1"/>
      <c r="L959" s="12">
        <f t="shared" si="166"/>
        <v>16576.25995</v>
      </c>
      <c r="M959" s="12"/>
      <c r="N959" s="15"/>
      <c r="O959" s="1"/>
      <c r="Q959" s="12"/>
      <c r="R959" s="1"/>
    </row>
    <row r="960" ht="12.75" hidden="1" customHeight="1" outlineLevel="1">
      <c r="A960" s="17">
        <v>42285.0</v>
      </c>
      <c r="B960" s="120">
        <v>645093.0</v>
      </c>
      <c r="C960" s="19">
        <f t="shared" si="165"/>
        <v>0.0001658950737</v>
      </c>
      <c r="D960" s="19">
        <f t="shared" si="164"/>
        <v>-0.02398837476</v>
      </c>
      <c r="E960" s="12"/>
      <c r="F960" s="7"/>
      <c r="G960" s="7"/>
      <c r="H960" s="1"/>
      <c r="I960" s="1"/>
      <c r="J960" s="1"/>
      <c r="K960" s="1"/>
      <c r="L960" s="12">
        <f t="shared" si="166"/>
        <v>16579.00987</v>
      </c>
      <c r="M960" s="12"/>
      <c r="N960" s="15"/>
      <c r="O960" s="1"/>
      <c r="Q960" s="12"/>
      <c r="R960" s="1"/>
    </row>
    <row r="961" ht="12.75" hidden="1" customHeight="1" outlineLevel="1">
      <c r="A961" s="17">
        <v>42286.0</v>
      </c>
      <c r="B961" s="120">
        <v>642000.0</v>
      </c>
      <c r="C961" s="19">
        <f t="shared" si="165"/>
        <v>-0.004794657514</v>
      </c>
      <c r="D961" s="19">
        <f t="shared" si="164"/>
        <v>-0.02866801623</v>
      </c>
      <c r="E961" s="12"/>
      <c r="F961" s="7"/>
      <c r="G961" s="7"/>
      <c r="H961" s="1"/>
      <c r="I961" s="1"/>
      <c r="J961" s="1"/>
      <c r="K961" s="1"/>
      <c r="L961" s="12">
        <f t="shared" si="166"/>
        <v>16499.5192</v>
      </c>
      <c r="M961" s="12"/>
      <c r="N961" s="15"/>
      <c r="O961" s="1"/>
      <c r="Q961" s="12"/>
      <c r="R961" s="1"/>
    </row>
    <row r="962" ht="12.75" hidden="1" customHeight="1" outlineLevel="1">
      <c r="A962" s="17">
        <v>42289.0</v>
      </c>
      <c r="B962" s="120">
        <v>658549.0</v>
      </c>
      <c r="C962" s="19">
        <f t="shared" si="165"/>
        <v>0.02577725857</v>
      </c>
      <c r="D962" s="19">
        <f t="shared" si="164"/>
        <v>-0.003629740533</v>
      </c>
      <c r="E962" s="12"/>
      <c r="F962" s="7"/>
      <c r="G962" s="7"/>
      <c r="H962" s="1"/>
      <c r="I962" s="1"/>
      <c r="J962" s="1"/>
      <c r="K962" s="1"/>
      <c r="L962" s="12">
        <f t="shared" si="166"/>
        <v>16924.83157</v>
      </c>
      <c r="M962" s="12"/>
      <c r="N962" s="15"/>
      <c r="O962" s="1"/>
      <c r="Q962" s="12"/>
      <c r="R962" s="1"/>
    </row>
    <row r="963" ht="12.75" hidden="1" customHeight="1" outlineLevel="1">
      <c r="A963" s="17">
        <v>42290.0</v>
      </c>
      <c r="B963" s="120">
        <v>659113.18</v>
      </c>
      <c r="C963" s="19">
        <f t="shared" si="165"/>
        <v>0.0008567016274</v>
      </c>
      <c r="D963" s="19">
        <f t="shared" si="164"/>
        <v>-0.00277614851</v>
      </c>
      <c r="E963" s="12"/>
      <c r="F963" s="7"/>
      <c r="G963" s="7"/>
      <c r="H963" s="1"/>
      <c r="I963" s="1"/>
      <c r="J963" s="1"/>
      <c r="K963" s="1"/>
      <c r="L963" s="12">
        <f t="shared" si="166"/>
        <v>16939.3311</v>
      </c>
      <c r="M963" s="12"/>
      <c r="N963" s="15"/>
      <c r="O963" s="1"/>
      <c r="Q963" s="12"/>
      <c r="R963" s="1"/>
    </row>
    <row r="964" ht="12.75" hidden="1" customHeight="1" outlineLevel="1">
      <c r="A964" s="17">
        <v>42291.0</v>
      </c>
      <c r="B964" s="120">
        <v>643724.0</v>
      </c>
      <c r="C964" s="19">
        <f t="shared" si="165"/>
        <v>-0.02334831174</v>
      </c>
      <c r="D964" s="19">
        <f t="shared" si="164"/>
        <v>-0.02605964187</v>
      </c>
      <c r="E964" s="12"/>
      <c r="F964" s="7"/>
      <c r="G964" s="7"/>
      <c r="H964" s="1"/>
      <c r="I964" s="1"/>
      <c r="J964" s="1"/>
      <c r="K964" s="1"/>
      <c r="L964" s="12">
        <f t="shared" si="166"/>
        <v>16543.82632</v>
      </c>
      <c r="M964" s="12"/>
      <c r="N964" s="15"/>
      <c r="O964" s="1"/>
      <c r="Q964" s="12"/>
      <c r="R964" s="1"/>
    </row>
    <row r="965" ht="12.75" hidden="1" customHeight="1" outlineLevel="1">
      <c r="A965" s="17">
        <v>42292.0</v>
      </c>
      <c r="B965" s="120">
        <v>651262.0</v>
      </c>
      <c r="C965" s="19">
        <f t="shared" si="165"/>
        <v>0.01170998751</v>
      </c>
      <c r="D965" s="19">
        <f t="shared" si="164"/>
        <v>-0.01465481244</v>
      </c>
      <c r="E965" s="12"/>
      <c r="F965" s="7"/>
      <c r="G965" s="7"/>
      <c r="H965" s="1"/>
      <c r="I965" s="1"/>
      <c r="J965" s="1"/>
      <c r="K965" s="1"/>
      <c r="L965" s="12">
        <f t="shared" si="166"/>
        <v>16737.55432</v>
      </c>
      <c r="M965" s="12"/>
      <c r="N965" s="15"/>
      <c r="O965" s="1"/>
      <c r="Q965" s="12"/>
      <c r="R965" s="1"/>
    </row>
    <row r="966" ht="12.75" hidden="1" customHeight="1" outlineLevel="1">
      <c r="A966" s="17">
        <v>42293.0</v>
      </c>
      <c r="B966" s="120">
        <v>652600.0</v>
      </c>
      <c r="C966" s="19">
        <f t="shared" si="165"/>
        <v>0.002054472701</v>
      </c>
      <c r="D966" s="19">
        <f t="shared" si="164"/>
        <v>-0.01263044765</v>
      </c>
      <c r="E966" s="12"/>
      <c r="F966" s="7"/>
      <c r="G966" s="7"/>
      <c r="H966" s="1"/>
      <c r="I966" s="1"/>
      <c r="J966" s="1"/>
      <c r="K966" s="37"/>
      <c r="L966" s="12">
        <f t="shared" si="166"/>
        <v>16771.94117</v>
      </c>
      <c r="M966" s="12"/>
      <c r="N966" s="15"/>
      <c r="O966" s="1"/>
      <c r="Q966" s="12"/>
      <c r="R966" s="1"/>
    </row>
    <row r="967" ht="12.75" hidden="1" customHeight="1" outlineLevel="1">
      <c r="A967" s="17">
        <v>42296.0</v>
      </c>
      <c r="B967" s="120">
        <v>669156.0</v>
      </c>
      <c r="C967" s="19">
        <f t="shared" si="165"/>
        <v>0.02536929206</v>
      </c>
      <c r="D967" s="19">
        <f t="shared" si="164"/>
        <v>0.01241841889</v>
      </c>
      <c r="E967" s="12"/>
      <c r="F967" s="7"/>
      <c r="G967" s="7"/>
      <c r="H967" s="1"/>
      <c r="I967" s="1"/>
      <c r="J967" s="1"/>
      <c r="K967" s="1"/>
      <c r="L967" s="12">
        <f t="shared" si="166"/>
        <v>17197.43344</v>
      </c>
      <c r="M967" s="12"/>
      <c r="N967" s="15"/>
      <c r="O967" s="1"/>
      <c r="Q967" s="12"/>
      <c r="R967" s="1"/>
    </row>
    <row r="968" ht="12.75" hidden="1" customHeight="1" outlineLevel="1">
      <c r="A968" s="17">
        <v>42297.0</v>
      </c>
      <c r="B968" s="120">
        <v>674165.0</v>
      </c>
      <c r="C968" s="19">
        <f t="shared" si="165"/>
        <v>0.00748554896</v>
      </c>
      <c r="D968" s="19">
        <f t="shared" si="164"/>
        <v>0.01999692654</v>
      </c>
      <c r="E968" s="12"/>
      <c r="F968" s="7"/>
      <c r="G968" s="7"/>
      <c r="H968" s="1"/>
      <c r="I968" s="1"/>
      <c r="J968" s="1"/>
      <c r="K968" s="1"/>
      <c r="L968" s="12">
        <f t="shared" si="166"/>
        <v>17326.16567</v>
      </c>
      <c r="M968" s="12"/>
      <c r="N968" s="15"/>
      <c r="O968" s="1"/>
      <c r="Q968" s="12"/>
      <c r="R968" s="1"/>
    </row>
    <row r="969" ht="12.75" hidden="1" customHeight="1" outlineLevel="1">
      <c r="A969" s="17">
        <v>42298.0</v>
      </c>
      <c r="B969" s="120">
        <v>673333.97</v>
      </c>
      <c r="C969" s="19">
        <f t="shared" si="165"/>
        <v>-0.001232680427</v>
      </c>
      <c r="D969" s="19">
        <f t="shared" si="164"/>
        <v>0.01873959629</v>
      </c>
      <c r="E969" s="12"/>
      <c r="F969" s="7"/>
      <c r="G969" s="7"/>
      <c r="H969" s="1"/>
      <c r="I969" s="1"/>
      <c r="J969" s="1"/>
      <c r="K969" s="1"/>
      <c r="L969" s="12">
        <f t="shared" si="166"/>
        <v>17304.80804</v>
      </c>
      <c r="M969" s="12"/>
      <c r="N969" s="15"/>
      <c r="O969" s="1"/>
      <c r="Q969" s="12"/>
      <c r="R969" s="1"/>
    </row>
    <row r="970" ht="12.75" hidden="1" customHeight="1" outlineLevel="1">
      <c r="A970" s="17">
        <v>42299.0</v>
      </c>
      <c r="B970" s="120">
        <v>680000.0</v>
      </c>
      <c r="C970" s="19">
        <f t="shared" si="165"/>
        <v>0.009900035194</v>
      </c>
      <c r="D970" s="19">
        <f t="shared" si="164"/>
        <v>0.02882515415</v>
      </c>
      <c r="E970" s="12"/>
      <c r="F970" s="7"/>
      <c r="G970" s="7"/>
      <c r="H970" s="1"/>
      <c r="I970" s="1"/>
      <c r="J970" s="1"/>
      <c r="K970" s="1"/>
      <c r="L970" s="12">
        <f t="shared" si="166"/>
        <v>17476.12625</v>
      </c>
      <c r="M970" s="12"/>
      <c r="N970" s="15"/>
      <c r="O970" s="1"/>
      <c r="Q970" s="12"/>
      <c r="R970" s="1"/>
    </row>
    <row r="971" ht="12.75" hidden="1" customHeight="1" outlineLevel="1">
      <c r="A971" s="17">
        <v>42300.0</v>
      </c>
      <c r="B971" s="120">
        <v>687800.0</v>
      </c>
      <c r="C971" s="19">
        <f t="shared" si="165"/>
        <v>0.01147058824</v>
      </c>
      <c r="D971" s="19">
        <f t="shared" si="164"/>
        <v>0.04062638385</v>
      </c>
      <c r="E971" s="12"/>
      <c r="F971" s="7"/>
      <c r="G971" s="7"/>
      <c r="H971" s="1"/>
      <c r="I971" s="1"/>
      <c r="J971" s="1"/>
      <c r="K971" s="1"/>
      <c r="L971" s="12">
        <f t="shared" si="166"/>
        <v>17676.5877</v>
      </c>
      <c r="M971" s="12"/>
      <c r="N971" s="15"/>
      <c r="O971" s="1"/>
      <c r="Q971" s="12"/>
      <c r="R971" s="1"/>
    </row>
    <row r="972" ht="12.75" hidden="1" customHeight="1" outlineLevel="1">
      <c r="A972" s="17">
        <v>42303.0</v>
      </c>
      <c r="B972" s="120">
        <v>702800.0</v>
      </c>
      <c r="C972" s="19">
        <f t="shared" si="165"/>
        <v>0.02180866531</v>
      </c>
      <c r="D972" s="19">
        <f t="shared" si="164"/>
        <v>0.06332105637</v>
      </c>
      <c r="E972" s="12"/>
      <c r="F972" s="7"/>
      <c r="G972" s="7"/>
      <c r="H972" s="1"/>
      <c r="I972" s="1"/>
      <c r="J972" s="1"/>
      <c r="K972" s="1"/>
      <c r="L972" s="12">
        <f t="shared" si="166"/>
        <v>18062.09049</v>
      </c>
      <c r="M972" s="12"/>
      <c r="N972" s="15"/>
      <c r="O972" s="1"/>
      <c r="Q972" s="12"/>
      <c r="R972" s="1"/>
    </row>
    <row r="973" ht="12.75" hidden="1" customHeight="1" outlineLevel="1">
      <c r="A973" s="17">
        <v>42304.0</v>
      </c>
      <c r="B973" s="120">
        <v>720632.0</v>
      </c>
      <c r="C973" s="19">
        <f t="shared" si="165"/>
        <v>0.02537279454</v>
      </c>
      <c r="D973" s="19">
        <f t="shared" si="164"/>
        <v>0.09030048306</v>
      </c>
      <c r="E973" s="12"/>
      <c r="F973" s="7"/>
      <c r="G973" s="7"/>
      <c r="H973" s="1"/>
      <c r="I973" s="1"/>
      <c r="J973" s="1"/>
      <c r="K973" s="1"/>
      <c r="L973" s="12">
        <f t="shared" si="166"/>
        <v>18520.3762</v>
      </c>
      <c r="M973" s="12"/>
      <c r="N973" s="15"/>
      <c r="O973" s="1"/>
      <c r="Q973" s="12"/>
      <c r="R973" s="1"/>
    </row>
    <row r="974" ht="12.75" hidden="1" customHeight="1" outlineLevel="1">
      <c r="A974" s="17">
        <v>42305.0</v>
      </c>
      <c r="B974" s="120">
        <v>726678.0</v>
      </c>
      <c r="C974" s="19">
        <f t="shared" si="165"/>
        <v>0.008389857791</v>
      </c>
      <c r="D974" s="19">
        <f t="shared" si="164"/>
        <v>0.09944794907</v>
      </c>
      <c r="E974" s="12"/>
      <c r="F974" s="7"/>
      <c r="G974" s="7"/>
      <c r="H974" s="1"/>
      <c r="I974" s="1"/>
      <c r="J974" s="1"/>
      <c r="K974" s="1"/>
      <c r="L974" s="12">
        <f t="shared" si="166"/>
        <v>18675.75952</v>
      </c>
      <c r="M974" s="12"/>
      <c r="N974" s="15"/>
      <c r="O974" s="1"/>
      <c r="Q974" s="12"/>
      <c r="R974" s="1"/>
    </row>
    <row r="975" ht="12.75" hidden="1" customHeight="1" outlineLevel="1">
      <c r="A975" s="17">
        <v>42306.0</v>
      </c>
      <c r="B975" s="120">
        <v>719400.0</v>
      </c>
      <c r="C975" s="19">
        <f t="shared" si="165"/>
        <v>-0.01001544013</v>
      </c>
      <c r="D975" s="19">
        <f t="shared" si="164"/>
        <v>0.08843649396</v>
      </c>
      <c r="E975" s="12"/>
      <c r="F975" s="7"/>
      <c r="G975" s="7"/>
      <c r="H975" s="1"/>
      <c r="I975" s="1"/>
      <c r="J975" s="1"/>
      <c r="K975" s="32" t="s">
        <v>367</v>
      </c>
      <c r="L975" s="12">
        <f t="shared" si="166"/>
        <v>18488.71357</v>
      </c>
      <c r="M975" s="12"/>
      <c r="N975" s="15"/>
      <c r="O975" s="1"/>
      <c r="Q975" s="12"/>
      <c r="R975" s="1"/>
    </row>
    <row r="976" ht="12.75" hidden="1" customHeight="1" outlineLevel="1">
      <c r="A976" s="17">
        <v>42307.0</v>
      </c>
      <c r="B976" s="120">
        <v>707200.92</v>
      </c>
      <c r="C976" s="19">
        <f t="shared" si="165"/>
        <v>-0.01695729775</v>
      </c>
      <c r="D976" s="19">
        <f t="shared" si="164"/>
        <v>0.06997955225</v>
      </c>
      <c r="E976" s="12"/>
      <c r="F976" s="7"/>
      <c r="G976" s="7"/>
      <c r="H976" s="1"/>
      <c r="I976" s="1"/>
      <c r="J976" s="1"/>
      <c r="K976" s="37">
        <f>3871.33/3570.18-1</f>
        <v>0.08435148928</v>
      </c>
      <c r="L976" s="12">
        <f t="shared" si="166"/>
        <v>18175.19495</v>
      </c>
      <c r="M976" s="12"/>
      <c r="N976" s="15"/>
      <c r="O976" s="1"/>
      <c r="Q976" s="12"/>
      <c r="R976" s="1"/>
    </row>
    <row r="977" ht="12.75" hidden="1" customHeight="1" outlineLevel="1">
      <c r="A977" s="17"/>
      <c r="B977" s="12"/>
      <c r="C977" s="1"/>
      <c r="D977" s="1"/>
      <c r="E977" s="12"/>
      <c r="F977" s="7"/>
      <c r="G977" s="7"/>
      <c r="H977" s="1"/>
      <c r="I977" s="1"/>
      <c r="J977" s="1"/>
      <c r="K977" s="1"/>
      <c r="L977" s="12"/>
      <c r="M977" s="12"/>
      <c r="N977" s="15"/>
      <c r="O977" s="1"/>
      <c r="Q977" s="12"/>
      <c r="R977" s="1"/>
    </row>
    <row r="978" ht="12.75" hidden="1" customHeight="1" outlineLevel="1">
      <c r="A978" s="17"/>
      <c r="B978" s="12">
        <f>B976</f>
        <v>707200.92</v>
      </c>
      <c r="C978" s="19"/>
      <c r="D978" s="19">
        <f t="shared" ref="D978:D999" si="167">(B978/$B$978)-1</f>
        <v>0</v>
      </c>
      <c r="E978" s="12"/>
      <c r="F978" s="7"/>
      <c r="G978" s="7"/>
      <c r="H978" s="1"/>
      <c r="I978" s="1"/>
      <c r="J978" s="1"/>
      <c r="K978" s="1"/>
      <c r="L978" s="12"/>
      <c r="M978" s="12"/>
      <c r="N978" s="15"/>
      <c r="O978" s="1"/>
      <c r="Q978" s="12"/>
      <c r="R978" s="1"/>
    </row>
    <row r="979" ht="12.75" hidden="1" customHeight="1" outlineLevel="1">
      <c r="A979" s="17">
        <v>42310.0</v>
      </c>
      <c r="B979" s="12">
        <f>701366</f>
        <v>701366</v>
      </c>
      <c r="C979" s="19">
        <f t="shared" ref="C979:C999" si="168">(B979/B978)-1</f>
        <v>-0.008250724561</v>
      </c>
      <c r="D979" s="19">
        <f t="shared" si="167"/>
        <v>-0.008250724561</v>
      </c>
      <c r="E979" s="12"/>
      <c r="F979" s="7"/>
      <c r="G979" s="7"/>
      <c r="H979" s="1"/>
      <c r="I979" s="1"/>
      <c r="J979" s="1"/>
      <c r="K979" s="1"/>
      <c r="L979" s="12">
        <f t="shared" ref="L979:L999" si="169">IF(C978="",L976*(1+C979),L978*(1+C979))</f>
        <v>18025.23642</v>
      </c>
      <c r="M979" s="12"/>
      <c r="N979" s="15"/>
      <c r="O979" s="1"/>
      <c r="Q979" s="12"/>
      <c r="R979" s="1"/>
    </row>
    <row r="980" ht="12.75" hidden="1" customHeight="1" outlineLevel="1">
      <c r="A980" s="17">
        <v>42311.0</v>
      </c>
      <c r="B980" s="120">
        <v>678492.0</v>
      </c>
      <c r="C980" s="19">
        <f t="shared" si="168"/>
        <v>-0.03261349994</v>
      </c>
      <c r="D980" s="19">
        <f t="shared" si="167"/>
        <v>-0.0405951395</v>
      </c>
      <c r="E980" s="12"/>
      <c r="F980" s="7"/>
      <c r="G980" s="7"/>
      <c r="H980" s="1"/>
      <c r="I980" s="1"/>
      <c r="J980" s="32" t="s">
        <v>699</v>
      </c>
      <c r="K980" s="1"/>
      <c r="L980" s="12">
        <f t="shared" si="169"/>
        <v>17437.37037</v>
      </c>
      <c r="M980" s="12"/>
      <c r="N980" s="15"/>
      <c r="O980" s="1"/>
      <c r="Q980" s="12"/>
      <c r="R980" s="1"/>
    </row>
    <row r="981" ht="12.75" hidden="1" customHeight="1" outlineLevel="1">
      <c r="A981" s="17">
        <v>42312.0</v>
      </c>
      <c r="B981" s="120">
        <v>680000.0</v>
      </c>
      <c r="C981" s="19">
        <f t="shared" si="168"/>
        <v>0.002222575948</v>
      </c>
      <c r="D981" s="19">
        <f t="shared" si="167"/>
        <v>-0.03846278933</v>
      </c>
      <c r="E981" s="12"/>
      <c r="F981" s="7"/>
      <c r="G981" s="7"/>
      <c r="H981" s="1"/>
      <c r="I981" s="1"/>
      <c r="J981" s="1"/>
      <c r="K981" s="1"/>
      <c r="L981" s="12">
        <f t="shared" si="169"/>
        <v>17476.12625</v>
      </c>
      <c r="M981" s="12"/>
      <c r="N981" s="15"/>
      <c r="O981" s="1"/>
      <c r="Q981" s="12"/>
      <c r="R981" s="1"/>
    </row>
    <row r="982" ht="12.75" hidden="1" customHeight="1" outlineLevel="1">
      <c r="A982" s="17">
        <v>42313.0</v>
      </c>
      <c r="B982" s="120">
        <v>685605.0</v>
      </c>
      <c r="C982" s="19">
        <f t="shared" si="168"/>
        <v>0.008242647059</v>
      </c>
      <c r="D982" s="19">
        <f t="shared" si="167"/>
        <v>-0.03053717747</v>
      </c>
      <c r="E982" s="12"/>
      <c r="F982" s="7"/>
      <c r="G982" s="7"/>
      <c r="H982" s="1"/>
      <c r="I982" s="1"/>
      <c r="J982" s="1"/>
      <c r="K982" s="1"/>
      <c r="L982" s="12">
        <f t="shared" si="169"/>
        <v>17620.17579</v>
      </c>
      <c r="M982" s="12"/>
      <c r="N982" s="15"/>
      <c r="O982" s="1"/>
      <c r="Q982" s="12"/>
      <c r="R982" s="1"/>
    </row>
    <row r="983" ht="12.75" hidden="1" customHeight="1" outlineLevel="1">
      <c r="A983" s="17">
        <v>42314.0</v>
      </c>
      <c r="B983" s="120">
        <v>694875.0</v>
      </c>
      <c r="C983" s="19">
        <f t="shared" si="168"/>
        <v>0.01352090489</v>
      </c>
      <c r="D983" s="19">
        <f t="shared" si="167"/>
        <v>-0.01742916285</v>
      </c>
      <c r="E983" s="12"/>
      <c r="F983" s="7"/>
      <c r="G983" s="7"/>
      <c r="H983" s="1"/>
      <c r="I983" s="1"/>
      <c r="J983" s="1"/>
      <c r="K983" s="1"/>
      <c r="L983" s="12">
        <f t="shared" si="169"/>
        <v>17858.41651</v>
      </c>
      <c r="M983" s="12"/>
      <c r="N983" s="15"/>
      <c r="O983" s="1"/>
      <c r="Q983" s="12"/>
      <c r="R983" s="1"/>
    </row>
    <row r="984" ht="12.75" hidden="1" customHeight="1" outlineLevel="1">
      <c r="A984" s="17">
        <v>42317.0</v>
      </c>
      <c r="B984" s="120">
        <v>691333.0</v>
      </c>
      <c r="C984" s="19">
        <f t="shared" si="168"/>
        <v>-0.005097319662</v>
      </c>
      <c r="D984" s="19">
        <f t="shared" si="167"/>
        <v>-0.02243764049</v>
      </c>
      <c r="E984" s="12"/>
      <c r="F984" s="7"/>
      <c r="G984" s="7"/>
      <c r="H984" s="1"/>
      <c r="I984" s="1"/>
      <c r="J984" s="1"/>
      <c r="K984" s="1"/>
      <c r="L984" s="12">
        <f t="shared" si="169"/>
        <v>17767.38646</v>
      </c>
      <c r="M984" s="12"/>
      <c r="N984" s="15"/>
      <c r="O984" s="1"/>
      <c r="Q984" s="12"/>
      <c r="R984" s="1"/>
    </row>
    <row r="985" ht="12.75" hidden="1" customHeight="1" outlineLevel="1">
      <c r="A985" s="17">
        <v>42318.0</v>
      </c>
      <c r="B985" s="120">
        <v>696044.0</v>
      </c>
      <c r="C985" s="19">
        <f t="shared" si="168"/>
        <v>0.006814371656</v>
      </c>
      <c r="D985" s="19">
        <f t="shared" si="167"/>
        <v>-0.01577616726</v>
      </c>
      <c r="E985" s="12"/>
      <c r="F985" s="7"/>
      <c r="G985" s="7"/>
      <c r="H985" s="1"/>
      <c r="I985" s="1"/>
      <c r="J985" s="1"/>
      <c r="K985" s="1"/>
      <c r="L985" s="12">
        <f t="shared" si="169"/>
        <v>17888.46003</v>
      </c>
      <c r="M985" s="12"/>
      <c r="N985" s="15"/>
      <c r="O985" s="1"/>
      <c r="Q985" s="12"/>
      <c r="R985" s="1"/>
    </row>
    <row r="986" ht="12.75" hidden="1" customHeight="1" outlineLevel="1">
      <c r="A986" s="17">
        <v>42319.0</v>
      </c>
      <c r="B986" s="120">
        <v>699411.0</v>
      </c>
      <c r="C986" s="19">
        <f t="shared" si="168"/>
        <v>0.004837337869</v>
      </c>
      <c r="D986" s="19">
        <f t="shared" si="167"/>
        <v>-0.01101514404</v>
      </c>
      <c r="E986" s="12"/>
      <c r="F986" s="7"/>
      <c r="G986" s="7"/>
      <c r="H986" s="1"/>
      <c r="I986" s="1"/>
      <c r="J986" s="1"/>
      <c r="K986" s="1"/>
      <c r="L986" s="12">
        <f t="shared" si="169"/>
        <v>17974.99256</v>
      </c>
      <c r="M986" s="12"/>
      <c r="N986" s="15"/>
      <c r="O986" s="1"/>
      <c r="Q986" s="12"/>
      <c r="R986" s="1"/>
    </row>
    <row r="987" ht="12.75" hidden="1" customHeight="1" outlineLevel="1">
      <c r="A987" s="17">
        <v>42320.0</v>
      </c>
      <c r="B987" s="120">
        <v>689081.0</v>
      </c>
      <c r="C987" s="19">
        <f t="shared" si="168"/>
        <v>-0.0147695704</v>
      </c>
      <c r="D987" s="19">
        <f t="shared" si="167"/>
        <v>-0.02562202549</v>
      </c>
      <c r="E987" s="12"/>
      <c r="F987" s="7"/>
      <c r="G987" s="7"/>
      <c r="H987" s="1"/>
      <c r="I987" s="1"/>
      <c r="J987" s="1"/>
      <c r="K987" s="1"/>
      <c r="L987" s="12">
        <f t="shared" si="169"/>
        <v>17709.50964</v>
      </c>
      <c r="M987" s="12"/>
      <c r="N987" s="15"/>
      <c r="O987" s="1"/>
      <c r="Q987" s="12"/>
      <c r="R987" s="1"/>
    </row>
    <row r="988" ht="12.75" hidden="1" customHeight="1" outlineLevel="1">
      <c r="A988" s="17">
        <v>42321.0</v>
      </c>
      <c r="B988" s="120">
        <v>687500.0</v>
      </c>
      <c r="C988" s="19">
        <f t="shared" si="168"/>
        <v>-0.00229436017</v>
      </c>
      <c r="D988" s="19">
        <f t="shared" si="167"/>
        <v>-0.02785759951</v>
      </c>
      <c r="E988" s="12"/>
      <c r="F988" s="7"/>
      <c r="G988" s="7"/>
      <c r="H988" s="1"/>
      <c r="I988" s="1"/>
      <c r="J988" s="1"/>
      <c r="K988" s="1"/>
      <c r="L988" s="12">
        <f t="shared" si="169"/>
        <v>17668.87765</v>
      </c>
      <c r="M988" s="12"/>
      <c r="N988" s="15"/>
      <c r="O988" s="1"/>
      <c r="Q988" s="12"/>
      <c r="R988" s="1"/>
    </row>
    <row r="989" ht="12.75" hidden="1" customHeight="1" outlineLevel="1">
      <c r="A989" s="17">
        <v>42324.0</v>
      </c>
      <c r="B989" s="120">
        <v>690510.0</v>
      </c>
      <c r="C989" s="19">
        <f t="shared" si="168"/>
        <v>0.004378181818</v>
      </c>
      <c r="D989" s="19">
        <f t="shared" si="167"/>
        <v>-0.02360138332</v>
      </c>
      <c r="E989" s="12"/>
      <c r="F989" s="7"/>
      <c r="G989" s="7"/>
      <c r="H989" s="1"/>
      <c r="I989" s="1"/>
      <c r="J989" s="1"/>
      <c r="K989" s="1"/>
      <c r="L989" s="12">
        <f t="shared" si="169"/>
        <v>17746.2352</v>
      </c>
      <c r="M989" s="12"/>
      <c r="N989" s="15"/>
      <c r="O989" s="1"/>
      <c r="Q989" s="12"/>
      <c r="R989" s="1"/>
    </row>
    <row r="990" ht="12.75" hidden="1" customHeight="1" outlineLevel="1">
      <c r="A990" s="17">
        <v>42325.0</v>
      </c>
      <c r="B990" s="120">
        <v>702284.0</v>
      </c>
      <c r="C990" s="19">
        <f t="shared" si="168"/>
        <v>0.01705116508</v>
      </c>
      <c r="D990" s="19">
        <f t="shared" si="167"/>
        <v>-0.006952649326</v>
      </c>
      <c r="E990" s="12"/>
      <c r="F990" s="7"/>
      <c r="G990" s="7"/>
      <c r="H990" s="1"/>
      <c r="I990" s="1"/>
      <c r="J990" s="1"/>
      <c r="K990" s="1"/>
      <c r="L990" s="12">
        <f t="shared" si="169"/>
        <v>18048.82919</v>
      </c>
      <c r="M990" s="12"/>
      <c r="N990" s="15"/>
      <c r="O990" s="1"/>
      <c r="Q990" s="12"/>
      <c r="R990" s="1"/>
    </row>
    <row r="991" ht="12.75" hidden="1" customHeight="1" outlineLevel="1">
      <c r="A991" s="17">
        <v>42326.0</v>
      </c>
      <c r="B991" s="120">
        <v>705375.0</v>
      </c>
      <c r="C991" s="19">
        <f t="shared" si="168"/>
        <v>0.004401353299</v>
      </c>
      <c r="D991" s="19">
        <f t="shared" si="167"/>
        <v>-0.002581897094</v>
      </c>
      <c r="E991" s="12"/>
      <c r="F991" s="7"/>
      <c r="G991" s="7"/>
      <c r="H991" s="1"/>
      <c r="I991" s="1"/>
      <c r="J991" s="1"/>
      <c r="K991" s="1"/>
      <c r="L991" s="12">
        <f t="shared" si="169"/>
        <v>18128.26846</v>
      </c>
      <c r="M991" s="12"/>
      <c r="N991" s="15"/>
      <c r="O991" s="1"/>
      <c r="Q991" s="12"/>
      <c r="R991" s="1"/>
    </row>
    <row r="992" ht="12.75" hidden="1" customHeight="1" outlineLevel="1">
      <c r="A992" s="17">
        <v>42327.0</v>
      </c>
      <c r="B992" s="120">
        <v>713165.0</v>
      </c>
      <c r="C992" s="19">
        <f t="shared" si="168"/>
        <v>0.01104377104</v>
      </c>
      <c r="D992" s="19">
        <f t="shared" si="167"/>
        <v>0.00843336007</v>
      </c>
      <c r="E992" s="12"/>
      <c r="F992" s="7"/>
      <c r="G992" s="7"/>
      <c r="H992" s="1"/>
      <c r="I992" s="1"/>
      <c r="J992" s="1"/>
      <c r="K992" s="1"/>
      <c r="L992" s="12">
        <f t="shared" si="169"/>
        <v>18328.47291</v>
      </c>
      <c r="M992" s="12"/>
      <c r="N992" s="15"/>
      <c r="O992" s="1"/>
      <c r="Q992" s="12"/>
      <c r="R992" s="1"/>
    </row>
    <row r="993" ht="12.75" hidden="1" customHeight="1" outlineLevel="1">
      <c r="A993" s="17">
        <v>42328.0</v>
      </c>
      <c r="B993" s="120">
        <v>725570.0</v>
      </c>
      <c r="C993" s="19">
        <f t="shared" si="168"/>
        <v>0.01739429164</v>
      </c>
      <c r="D993" s="19">
        <f t="shared" si="167"/>
        <v>0.02597434404</v>
      </c>
      <c r="E993" s="12"/>
      <c r="F993" s="7"/>
      <c r="G993" s="7"/>
      <c r="H993" s="1"/>
      <c r="I993" s="1"/>
      <c r="J993" s="1"/>
      <c r="K993" s="1"/>
      <c r="L993" s="12">
        <f t="shared" si="169"/>
        <v>18647.28371</v>
      </c>
      <c r="M993" s="12"/>
      <c r="N993" s="15"/>
      <c r="O993" s="1"/>
      <c r="Q993" s="12"/>
      <c r="R993" s="1"/>
    </row>
    <row r="994" ht="12.75" hidden="1" customHeight="1" outlineLevel="1">
      <c r="A994" s="17">
        <v>42331.0</v>
      </c>
      <c r="B994" s="120">
        <v>731268.0</v>
      </c>
      <c r="C994" s="19">
        <f t="shared" si="168"/>
        <v>0.007853136155</v>
      </c>
      <c r="D994" s="19">
        <f t="shared" si="167"/>
        <v>0.03403146025</v>
      </c>
      <c r="E994" s="12"/>
      <c r="F994" s="7"/>
      <c r="G994" s="7"/>
      <c r="H994" s="1"/>
      <c r="I994" s="1"/>
      <c r="J994" s="1"/>
      <c r="K994" s="1"/>
      <c r="L994" s="12">
        <f t="shared" si="169"/>
        <v>18793.72337</v>
      </c>
      <c r="M994" s="12"/>
      <c r="N994" s="15"/>
      <c r="O994" s="1"/>
      <c r="Q994" s="12"/>
      <c r="R994" s="1"/>
    </row>
    <row r="995" ht="12.75" hidden="1" customHeight="1" outlineLevel="1">
      <c r="A995" s="17">
        <v>42332.0</v>
      </c>
      <c r="B995" s="120">
        <v>722200.0</v>
      </c>
      <c r="C995" s="19">
        <f t="shared" si="168"/>
        <v>-0.01240037852</v>
      </c>
      <c r="D995" s="19">
        <f t="shared" si="167"/>
        <v>0.02120907874</v>
      </c>
      <c r="E995" s="12"/>
      <c r="F995" s="7"/>
      <c r="G995" s="7"/>
      <c r="H995" s="1"/>
      <c r="I995" s="1"/>
      <c r="J995" s="1"/>
      <c r="K995" s="1"/>
      <c r="L995" s="12">
        <f t="shared" si="169"/>
        <v>18560.67409</v>
      </c>
      <c r="M995" s="12"/>
      <c r="N995" s="15"/>
      <c r="O995" s="1"/>
      <c r="Q995" s="12"/>
      <c r="R995" s="1"/>
    </row>
    <row r="996" ht="12.75" hidden="1" customHeight="1" outlineLevel="1">
      <c r="A996" s="17">
        <v>42333.0</v>
      </c>
      <c r="B996" s="120">
        <v>725800.0</v>
      </c>
      <c r="C996" s="19">
        <f t="shared" si="168"/>
        <v>0.004984768762</v>
      </c>
      <c r="D996" s="19">
        <f t="shared" si="167"/>
        <v>0.02629956986</v>
      </c>
      <c r="E996" s="12"/>
      <c r="F996" s="7"/>
      <c r="G996" s="7"/>
      <c r="H996" s="1"/>
      <c r="I996" s="1"/>
      <c r="J996" s="1"/>
      <c r="K996" s="1"/>
      <c r="L996" s="12">
        <f t="shared" si="169"/>
        <v>18653.19476</v>
      </c>
      <c r="M996" s="12"/>
      <c r="N996" s="15"/>
      <c r="O996" s="1"/>
      <c r="Q996" s="12"/>
      <c r="R996" s="1"/>
    </row>
    <row r="997" ht="12.75" hidden="1" customHeight="1" outlineLevel="1">
      <c r="A997" s="17">
        <v>42334.0</v>
      </c>
      <c r="B997" s="12">
        <f>B996</f>
        <v>725800</v>
      </c>
      <c r="C997" s="19">
        <f t="shared" si="168"/>
        <v>0</v>
      </c>
      <c r="D997" s="19">
        <f t="shared" si="167"/>
        <v>0.02629956986</v>
      </c>
      <c r="E997" s="12"/>
      <c r="F997" s="7"/>
      <c r="G997" s="7"/>
      <c r="H997" s="1"/>
      <c r="I997" s="1"/>
      <c r="J997" s="1"/>
      <c r="K997" s="1"/>
      <c r="L997" s="12">
        <f t="shared" si="169"/>
        <v>18653.19476</v>
      </c>
      <c r="M997" s="12"/>
      <c r="N997" s="15"/>
      <c r="O997" s="1"/>
      <c r="Q997" s="12"/>
      <c r="R997" s="1"/>
    </row>
    <row r="998" ht="12.75" hidden="1" customHeight="1" outlineLevel="1">
      <c r="A998" s="17">
        <v>42335.0</v>
      </c>
      <c r="B998" s="12">
        <v>747400.0</v>
      </c>
      <c r="C998" s="19">
        <f t="shared" si="168"/>
        <v>0.02976026454</v>
      </c>
      <c r="D998" s="19">
        <f t="shared" si="167"/>
        <v>0.05684251655</v>
      </c>
      <c r="E998" s="12"/>
      <c r="F998" s="7"/>
      <c r="G998" s="7"/>
      <c r="H998" s="1"/>
      <c r="I998" s="1"/>
      <c r="J998" s="1"/>
      <c r="K998" s="1"/>
      <c r="L998" s="12">
        <f t="shared" si="169"/>
        <v>19208.31877</v>
      </c>
      <c r="M998" s="12"/>
      <c r="N998" s="15"/>
      <c r="O998" s="1"/>
      <c r="Q998" s="12"/>
      <c r="R998" s="1"/>
    </row>
    <row r="999" ht="12.75" hidden="1" customHeight="1" outlineLevel="1">
      <c r="A999" s="17">
        <v>42338.0</v>
      </c>
      <c r="B999" s="120">
        <v>734189.24</v>
      </c>
      <c r="C999" s="19">
        <f t="shared" si="168"/>
        <v>-0.01767562216</v>
      </c>
      <c r="D999" s="19">
        <f t="shared" si="167"/>
        <v>0.03816216755</v>
      </c>
      <c r="E999" s="12"/>
      <c r="F999" s="7"/>
      <c r="G999" s="7"/>
      <c r="H999" s="1"/>
      <c r="I999" s="1"/>
      <c r="J999" s="1"/>
      <c r="K999" s="1"/>
      <c r="L999" s="12">
        <f t="shared" si="169"/>
        <v>18868.79978</v>
      </c>
      <c r="M999" s="12"/>
      <c r="N999" s="15"/>
      <c r="O999" s="1"/>
      <c r="Q999" s="12"/>
      <c r="R999" s="1"/>
    </row>
    <row r="1000" ht="12.75" hidden="1" customHeight="1" outlineLevel="1">
      <c r="A1000" s="17"/>
      <c r="B1000" s="12"/>
      <c r="C1000" s="1"/>
      <c r="D1000" s="1"/>
      <c r="E1000" s="12"/>
      <c r="F1000" s="7"/>
      <c r="G1000" s="7"/>
      <c r="H1000" s="1"/>
      <c r="I1000" s="1"/>
      <c r="J1000" s="1"/>
      <c r="K1000" s="1"/>
      <c r="L1000" s="12"/>
      <c r="M1000" s="12"/>
      <c r="N1000" s="15"/>
      <c r="O1000" s="1"/>
      <c r="Q1000" s="12"/>
      <c r="R1000" s="1"/>
    </row>
    <row r="1001" ht="12.75" hidden="1" customHeight="1" outlineLevel="1">
      <c r="A1001" s="17"/>
      <c r="B1001" s="12">
        <f>B999</f>
        <v>734189.24</v>
      </c>
      <c r="C1001" s="19"/>
      <c r="D1001" s="19">
        <f t="shared" ref="D1001:D1024" si="170">(B1001/$B$1001)-1</f>
        <v>0</v>
      </c>
      <c r="E1001" s="12"/>
      <c r="F1001" s="7"/>
      <c r="G1001" s="7"/>
      <c r="H1001" s="1"/>
      <c r="I1001" s="1"/>
      <c r="J1001" s="1"/>
      <c r="K1001" s="1"/>
      <c r="L1001" s="12"/>
      <c r="M1001" s="12"/>
      <c r="N1001" s="15"/>
      <c r="O1001" s="1"/>
      <c r="Q1001" s="12"/>
      <c r="R1001" s="1"/>
    </row>
    <row r="1002" ht="12.75" hidden="1" customHeight="1" outlineLevel="1">
      <c r="A1002" s="17">
        <v>42339.0</v>
      </c>
      <c r="B1002" s="120">
        <v>731843.0</v>
      </c>
      <c r="C1002" s="19">
        <f t="shared" ref="C1002:C1024" si="171">(B1002/B1001)-1</f>
        <v>-0.003195688349</v>
      </c>
      <c r="D1002" s="19">
        <f t="shared" si="170"/>
        <v>-0.003195688349</v>
      </c>
      <c r="E1002" s="12"/>
      <c r="F1002" s="7"/>
      <c r="G1002" s="7"/>
      <c r="H1002" s="1"/>
      <c r="I1002" s="1"/>
      <c r="J1002" s="1"/>
      <c r="K1002" s="1"/>
      <c r="L1002" s="12">
        <f t="shared" ref="L1002:L1024" si="172">IF(C1001="",L999*(1+C1002),L1001*(1+C1002))</f>
        <v>18808.50098</v>
      </c>
      <c r="M1002" s="12"/>
      <c r="N1002" s="15"/>
      <c r="O1002" s="1"/>
      <c r="Q1002" s="12"/>
      <c r="R1002" s="1"/>
    </row>
    <row r="1003" ht="12.75" hidden="1" customHeight="1" outlineLevel="1">
      <c r="A1003" s="17">
        <v>42340.0</v>
      </c>
      <c r="B1003" s="120">
        <v>732276.0</v>
      </c>
      <c r="C1003" s="19">
        <f t="shared" si="171"/>
        <v>0.0005916569537</v>
      </c>
      <c r="D1003" s="19">
        <f t="shared" si="170"/>
        <v>-0.002605922146</v>
      </c>
      <c r="E1003" s="12"/>
      <c r="F1003" s="7"/>
      <c r="G1003" s="7"/>
      <c r="H1003" s="1"/>
      <c r="I1003" s="1"/>
      <c r="J1003" s="1"/>
      <c r="K1003" s="1"/>
      <c r="L1003" s="12">
        <f t="shared" si="172"/>
        <v>18819.62916</v>
      </c>
      <c r="M1003" s="12"/>
      <c r="N1003" s="15"/>
      <c r="O1003" s="1"/>
      <c r="Q1003" s="12"/>
      <c r="R1003" s="1"/>
    </row>
    <row r="1004" ht="12.75" hidden="1" customHeight="1" outlineLevel="1">
      <c r="A1004" s="17">
        <v>42341.0</v>
      </c>
      <c r="B1004" s="120">
        <v>726944.0</v>
      </c>
      <c r="C1004" s="19">
        <f t="shared" si="171"/>
        <v>-0.007281407557</v>
      </c>
      <c r="D1004" s="19">
        <f t="shared" si="170"/>
        <v>-0.009868354922</v>
      </c>
      <c r="E1004" s="12"/>
      <c r="F1004" s="7"/>
      <c r="G1004" s="7"/>
      <c r="H1004" s="1"/>
      <c r="I1004" s="1"/>
      <c r="J1004" s="1"/>
      <c r="K1004" s="1"/>
      <c r="L1004" s="12">
        <f t="shared" si="172"/>
        <v>18682.59577</v>
      </c>
      <c r="M1004" s="12"/>
      <c r="N1004" s="15"/>
      <c r="O1004" s="1"/>
      <c r="Q1004" s="12"/>
      <c r="R1004" s="1"/>
    </row>
    <row r="1005" ht="12.75" hidden="1" customHeight="1" outlineLevel="1">
      <c r="A1005" s="17">
        <v>42342.0</v>
      </c>
      <c r="B1005" s="120">
        <v>756000.0</v>
      </c>
      <c r="C1005" s="19">
        <f t="shared" si="171"/>
        <v>0.03997006647</v>
      </c>
      <c r="D1005" s="19">
        <f t="shared" si="170"/>
        <v>0.02970727275</v>
      </c>
      <c r="E1005" s="12"/>
      <c r="F1005" s="7"/>
      <c r="G1005" s="7"/>
      <c r="H1005" s="1"/>
      <c r="I1005" s="1"/>
      <c r="J1005" s="1"/>
      <c r="K1005" s="1"/>
      <c r="L1005" s="12">
        <f t="shared" si="172"/>
        <v>19429.34036</v>
      </c>
      <c r="M1005" s="12"/>
      <c r="N1005" s="15"/>
      <c r="O1005" s="1"/>
      <c r="Q1005" s="12"/>
      <c r="R1005" s="1"/>
    </row>
    <row r="1006" ht="12.75" hidden="1" customHeight="1" outlineLevel="1">
      <c r="A1006" s="17">
        <v>42345.0</v>
      </c>
      <c r="B1006" s="120">
        <v>780580.0</v>
      </c>
      <c r="C1006" s="19">
        <f t="shared" si="171"/>
        <v>0.03251322751</v>
      </c>
      <c r="D1006" s="19">
        <f t="shared" si="170"/>
        <v>0.06318637958</v>
      </c>
      <c r="E1006" s="12"/>
      <c r="F1006" s="7"/>
      <c r="G1006" s="7"/>
      <c r="H1006" s="1"/>
      <c r="I1006" s="1"/>
      <c r="J1006" s="1"/>
      <c r="K1006" s="1"/>
      <c r="L1006" s="12">
        <f t="shared" si="172"/>
        <v>20061.05093</v>
      </c>
      <c r="M1006" s="12"/>
      <c r="N1006" s="15"/>
      <c r="O1006" s="1"/>
      <c r="Q1006" s="12"/>
      <c r="R1006" s="1"/>
    </row>
    <row r="1007" ht="12.75" hidden="1" customHeight="1" outlineLevel="1">
      <c r="A1007" s="17">
        <v>42346.0</v>
      </c>
      <c r="B1007" s="120">
        <v>778300.0</v>
      </c>
      <c r="C1007" s="19">
        <f t="shared" si="171"/>
        <v>-0.002920904968</v>
      </c>
      <c r="D1007" s="19">
        <f t="shared" si="170"/>
        <v>0.0600809132</v>
      </c>
      <c r="E1007" s="12"/>
      <c r="F1007" s="7"/>
      <c r="G1007" s="7"/>
      <c r="H1007" s="1"/>
      <c r="I1007" s="1"/>
      <c r="J1007" s="1"/>
      <c r="K1007" s="1"/>
      <c r="L1007" s="12">
        <f t="shared" si="172"/>
        <v>20002.4545</v>
      </c>
      <c r="M1007" s="12"/>
      <c r="N1007" s="15"/>
      <c r="O1007" s="1"/>
      <c r="Q1007" s="12"/>
      <c r="R1007" s="1"/>
    </row>
    <row r="1008" ht="12.75" hidden="1" customHeight="1" outlineLevel="1">
      <c r="A1008" s="17">
        <v>42347.0</v>
      </c>
      <c r="B1008" s="120">
        <v>751100.0</v>
      </c>
      <c r="C1008" s="19">
        <f t="shared" si="171"/>
        <v>-0.03494796351</v>
      </c>
      <c r="D1008" s="19">
        <f t="shared" si="170"/>
        <v>0.02303324413</v>
      </c>
      <c r="E1008" s="12"/>
      <c r="F1008" s="7"/>
      <c r="G1008" s="7"/>
      <c r="H1008" s="1"/>
      <c r="I1008" s="1"/>
      <c r="J1008" s="1"/>
      <c r="K1008" s="1"/>
      <c r="L1008" s="12">
        <f t="shared" si="172"/>
        <v>19303.40945</v>
      </c>
      <c r="M1008" s="12"/>
      <c r="N1008" s="15"/>
      <c r="O1008" s="1"/>
      <c r="Q1008" s="12"/>
      <c r="R1008" s="1"/>
    </row>
    <row r="1009" ht="12.75" hidden="1" customHeight="1" outlineLevel="1">
      <c r="A1009" s="17">
        <v>42348.0</v>
      </c>
      <c r="B1009" s="120">
        <v>748747.0</v>
      </c>
      <c r="C1009" s="19">
        <f t="shared" si="171"/>
        <v>-0.00313273865</v>
      </c>
      <c r="D1009" s="19">
        <f t="shared" si="170"/>
        <v>0.01982834834</v>
      </c>
      <c r="E1009" s="12"/>
      <c r="F1009" s="7"/>
      <c r="G1009" s="7"/>
      <c r="H1009" s="1"/>
      <c r="I1009" s="1"/>
      <c r="J1009" s="1"/>
      <c r="K1009" s="1"/>
      <c r="L1009" s="12">
        <f t="shared" si="172"/>
        <v>19242.93692</v>
      </c>
      <c r="M1009" s="12"/>
      <c r="N1009" s="15"/>
      <c r="O1009" s="1"/>
      <c r="Q1009" s="12"/>
      <c r="R1009" s="1"/>
    </row>
    <row r="1010" ht="12.75" hidden="1" customHeight="1" outlineLevel="1">
      <c r="A1010" s="17">
        <v>42349.0</v>
      </c>
      <c r="B1010" s="120">
        <v>752588.0</v>
      </c>
      <c r="C1010" s="19">
        <f t="shared" si="171"/>
        <v>0.005129903692</v>
      </c>
      <c r="D1010" s="19">
        <f t="shared" si="170"/>
        <v>0.02505996955</v>
      </c>
      <c r="E1010" s="12"/>
      <c r="F1010" s="7"/>
      <c r="G1010" s="7"/>
      <c r="H1010" s="1"/>
      <c r="I1010" s="1"/>
      <c r="J1010" s="1"/>
      <c r="K1010" s="1"/>
      <c r="L1010" s="12">
        <f t="shared" si="172"/>
        <v>19341.65133</v>
      </c>
      <c r="M1010" s="12"/>
      <c r="N1010" s="15"/>
      <c r="O1010" s="1"/>
      <c r="Q1010" s="12"/>
      <c r="R1010" s="1"/>
    </row>
    <row r="1011" ht="12.75" hidden="1" customHeight="1" outlineLevel="1">
      <c r="A1011" s="17">
        <v>42352.0</v>
      </c>
      <c r="B1011" s="120">
        <v>761126.0</v>
      </c>
      <c r="C1011" s="19">
        <f t="shared" si="171"/>
        <v>0.01134485269</v>
      </c>
      <c r="D1011" s="19">
        <f t="shared" si="170"/>
        <v>0.03668912391</v>
      </c>
      <c r="E1011" s="12"/>
      <c r="F1011" s="7"/>
      <c r="G1011" s="7"/>
      <c r="H1011" s="1"/>
      <c r="I1011" s="1"/>
      <c r="J1011" s="1"/>
      <c r="K1011" s="1"/>
      <c r="L1011" s="12">
        <f t="shared" si="172"/>
        <v>19561.07951</v>
      </c>
      <c r="M1011" s="12"/>
      <c r="N1011" s="15"/>
      <c r="O1011" s="1"/>
      <c r="Q1011" s="12"/>
      <c r="R1011" s="1"/>
    </row>
    <row r="1012" ht="12.75" hidden="1" customHeight="1" outlineLevel="1">
      <c r="A1012" s="17">
        <v>42353.0</v>
      </c>
      <c r="B1012" s="120">
        <v>760430.0</v>
      </c>
      <c r="C1012" s="19">
        <f t="shared" si="171"/>
        <v>-0.0009144346665</v>
      </c>
      <c r="D1012" s="19">
        <f t="shared" si="170"/>
        <v>0.03574113944</v>
      </c>
      <c r="E1012" s="12"/>
      <c r="F1012" s="7"/>
      <c r="G1012" s="7"/>
      <c r="H1012" s="1"/>
      <c r="I1012" s="1"/>
      <c r="J1012" s="1"/>
      <c r="K1012" s="1"/>
      <c r="L1012" s="12">
        <f t="shared" si="172"/>
        <v>19543.19219</v>
      </c>
      <c r="M1012" s="12"/>
      <c r="N1012" s="15"/>
      <c r="O1012" s="1"/>
      <c r="Q1012" s="12"/>
      <c r="R1012" s="1"/>
    </row>
    <row r="1013" ht="12.75" hidden="1" customHeight="1" outlineLevel="1">
      <c r="A1013" s="17">
        <v>42354.0</v>
      </c>
      <c r="B1013" s="120">
        <v>758688.0</v>
      </c>
      <c r="C1013" s="19">
        <f t="shared" si="171"/>
        <v>-0.002290809147</v>
      </c>
      <c r="D1013" s="19">
        <f t="shared" si="170"/>
        <v>0.03336845416</v>
      </c>
      <c r="E1013" s="12"/>
      <c r="F1013" s="7"/>
      <c r="G1013" s="7"/>
      <c r="H1013" s="1"/>
      <c r="I1013" s="1"/>
      <c r="J1013" s="1"/>
      <c r="K1013" s="1"/>
      <c r="L1013" s="12">
        <f t="shared" si="172"/>
        <v>19498.42246</v>
      </c>
      <c r="M1013" s="12"/>
      <c r="N1013" s="15"/>
      <c r="O1013" s="1"/>
      <c r="Q1013" s="12"/>
      <c r="R1013" s="1"/>
    </row>
    <row r="1014" ht="12.75" hidden="1" customHeight="1" outlineLevel="1">
      <c r="A1014" s="17">
        <v>42355.0</v>
      </c>
      <c r="B1014" s="120">
        <v>773100.0</v>
      </c>
      <c r="C1014" s="19">
        <f t="shared" si="171"/>
        <v>0.0189959509</v>
      </c>
      <c r="D1014" s="19">
        <f t="shared" si="170"/>
        <v>0.05299827058</v>
      </c>
      <c r="E1014" s="12"/>
      <c r="F1014" s="7"/>
      <c r="G1014" s="7"/>
      <c r="H1014" s="1"/>
      <c r="I1014" s="1"/>
      <c r="J1014" s="32" t="s">
        <v>721</v>
      </c>
      <c r="K1014" s="1"/>
      <c r="L1014" s="12">
        <f t="shared" si="172"/>
        <v>19868.81354</v>
      </c>
      <c r="M1014" s="12"/>
      <c r="N1014" s="15"/>
      <c r="O1014" s="1"/>
      <c r="Q1014" s="12"/>
      <c r="R1014" s="1"/>
    </row>
    <row r="1015" ht="12.75" hidden="1" customHeight="1" outlineLevel="1">
      <c r="A1015" s="17">
        <v>42356.0</v>
      </c>
      <c r="B1015" s="120">
        <v>754107.0</v>
      </c>
      <c r="C1015" s="19">
        <f t="shared" si="171"/>
        <v>-0.02456732635</v>
      </c>
      <c r="D1015" s="19">
        <f t="shared" si="170"/>
        <v>0.02712891842</v>
      </c>
      <c r="E1015" s="12"/>
      <c r="F1015" s="7"/>
      <c r="G1015" s="7"/>
      <c r="H1015" s="1"/>
      <c r="I1015" s="1"/>
      <c r="J1015" s="1"/>
      <c r="K1015" s="1"/>
      <c r="L1015" s="12">
        <f t="shared" si="172"/>
        <v>19380.68991</v>
      </c>
      <c r="M1015" s="12"/>
      <c r="N1015" s="15"/>
      <c r="O1015" s="1"/>
      <c r="Q1015" s="12"/>
      <c r="R1015" s="1"/>
    </row>
    <row r="1016" ht="12.75" hidden="1" customHeight="1" outlineLevel="1">
      <c r="A1016" s="17">
        <v>42359.0</v>
      </c>
      <c r="B1016" s="120">
        <v>754949.0</v>
      </c>
      <c r="C1016" s="19">
        <f t="shared" si="171"/>
        <v>0.001116552426</v>
      </c>
      <c r="D1016" s="19">
        <f t="shared" si="170"/>
        <v>0.02827576171</v>
      </c>
      <c r="E1016" s="12"/>
      <c r="F1016" s="7"/>
      <c r="G1016" s="7"/>
      <c r="H1016" s="1"/>
      <c r="I1016" s="1"/>
      <c r="J1016" s="1"/>
      <c r="K1016" s="1"/>
      <c r="L1016" s="12">
        <f t="shared" si="172"/>
        <v>19402.32947</v>
      </c>
      <c r="M1016" s="12"/>
      <c r="N1016" s="15"/>
      <c r="O1016" s="1"/>
      <c r="Q1016" s="12"/>
      <c r="R1016" s="1"/>
    </row>
    <row r="1017" ht="12.75" hidden="1" customHeight="1" outlineLevel="1">
      <c r="A1017" s="17">
        <v>42360.0</v>
      </c>
      <c r="B1017" s="120">
        <v>741649.0</v>
      </c>
      <c r="C1017" s="19">
        <f t="shared" si="171"/>
        <v>-0.01761708407</v>
      </c>
      <c r="D1017" s="19">
        <f t="shared" si="170"/>
        <v>0.01016054117</v>
      </c>
      <c r="E1017" s="12"/>
      <c r="F1017" s="7"/>
      <c r="G1017" s="7"/>
      <c r="H1017" s="1"/>
      <c r="I1017" s="1"/>
      <c r="J1017" s="1"/>
      <c r="K1017" s="1"/>
      <c r="L1017" s="12">
        <f t="shared" si="172"/>
        <v>19060.517</v>
      </c>
      <c r="M1017" s="12"/>
      <c r="N1017" s="15"/>
      <c r="O1017" s="1"/>
      <c r="Q1017" s="12"/>
      <c r="R1017" s="1"/>
    </row>
    <row r="1018" ht="12.75" hidden="1" customHeight="1" outlineLevel="1">
      <c r="A1018" s="17">
        <v>42361.0</v>
      </c>
      <c r="B1018" s="120">
        <v>720700.0</v>
      </c>
      <c r="C1018" s="19">
        <f t="shared" si="171"/>
        <v>-0.02824651553</v>
      </c>
      <c r="D1018" s="19">
        <f t="shared" si="170"/>
        <v>-0.01837297425</v>
      </c>
      <c r="E1018" s="12"/>
      <c r="F1018" s="7"/>
      <c r="G1018" s="7"/>
      <c r="H1018" s="1"/>
      <c r="I1018" s="1"/>
      <c r="J1018" s="1"/>
      <c r="K1018" s="1"/>
      <c r="L1018" s="12">
        <f t="shared" si="172"/>
        <v>18522.12381</v>
      </c>
      <c r="M1018" s="12"/>
      <c r="N1018" s="15"/>
      <c r="O1018" s="1"/>
      <c r="Q1018" s="12"/>
      <c r="R1018" s="1"/>
    </row>
    <row r="1019" ht="12.75" hidden="1" customHeight="1" outlineLevel="1">
      <c r="A1019" s="17">
        <v>42362.0</v>
      </c>
      <c r="B1019" s="120">
        <f>721700</f>
        <v>721700</v>
      </c>
      <c r="C1019" s="19">
        <f t="shared" si="171"/>
        <v>0.001387539892</v>
      </c>
      <c r="D1019" s="19">
        <f t="shared" si="170"/>
        <v>-0.01701092759</v>
      </c>
      <c r="E1019" s="12"/>
      <c r="F1019" s="7"/>
      <c r="G1019" s="7"/>
      <c r="H1019" s="1"/>
      <c r="I1019" s="1"/>
      <c r="J1019" s="1"/>
      <c r="K1019" s="1"/>
      <c r="L1019" s="12">
        <f t="shared" si="172"/>
        <v>18547.82399</v>
      </c>
      <c r="M1019" s="12"/>
      <c r="N1019" s="15"/>
      <c r="O1019" s="1"/>
      <c r="Q1019" s="12"/>
      <c r="R1019" s="1"/>
    </row>
    <row r="1020" ht="12.75" hidden="1" customHeight="1" outlineLevel="1">
      <c r="A1020" s="17">
        <v>42363.0</v>
      </c>
      <c r="B1020" s="120">
        <f>B1019</f>
        <v>721700</v>
      </c>
      <c r="C1020" s="19">
        <f t="shared" si="171"/>
        <v>0</v>
      </c>
      <c r="D1020" s="19">
        <f t="shared" si="170"/>
        <v>-0.01701092759</v>
      </c>
      <c r="E1020" s="12"/>
      <c r="F1020" s="7"/>
      <c r="G1020" s="7"/>
      <c r="H1020" s="1"/>
      <c r="I1020" s="1"/>
      <c r="J1020" s="1"/>
      <c r="K1020" s="1"/>
      <c r="L1020" s="12">
        <f t="shared" si="172"/>
        <v>18547.82399</v>
      </c>
      <c r="M1020" s="12"/>
      <c r="N1020" s="15"/>
      <c r="O1020" s="1"/>
      <c r="Q1020" s="12"/>
      <c r="R1020" s="1"/>
    </row>
    <row r="1021" ht="12.75" hidden="1" customHeight="1" outlineLevel="1">
      <c r="A1021" s="17">
        <v>42366.0</v>
      </c>
      <c r="B1021" s="120">
        <v>724300.0</v>
      </c>
      <c r="C1021" s="19">
        <f t="shared" si="171"/>
        <v>0.003602604961</v>
      </c>
      <c r="D1021" s="19">
        <f t="shared" si="170"/>
        <v>-0.01346960628</v>
      </c>
      <c r="E1021" s="12"/>
      <c r="F1021" s="7"/>
      <c r="G1021" s="7"/>
      <c r="H1021" s="1"/>
      <c r="I1021" s="1"/>
      <c r="J1021" s="1"/>
      <c r="K1021" s="1"/>
      <c r="L1021" s="12">
        <f t="shared" si="172"/>
        <v>18614.64448</v>
      </c>
      <c r="M1021" s="12"/>
      <c r="N1021" s="15"/>
      <c r="O1021" s="1"/>
      <c r="Q1021" s="12"/>
      <c r="R1021" s="1"/>
    </row>
    <row r="1022" ht="12.75" hidden="1" customHeight="1" outlineLevel="1">
      <c r="A1022" s="17">
        <v>42367.0</v>
      </c>
      <c r="B1022" s="120">
        <v>728550.0</v>
      </c>
      <c r="C1022" s="19">
        <f t="shared" si="171"/>
        <v>0.005867734364</v>
      </c>
      <c r="D1022" s="19">
        <f t="shared" si="170"/>
        <v>-0.00768090799</v>
      </c>
      <c r="E1022" s="12"/>
      <c r="F1022" s="7"/>
      <c r="G1022" s="7"/>
      <c r="H1022" s="1"/>
      <c r="I1022" s="1"/>
      <c r="J1022" s="1"/>
      <c r="K1022" s="1"/>
      <c r="L1022" s="12">
        <f t="shared" si="172"/>
        <v>18723.87027</v>
      </c>
      <c r="M1022" s="12"/>
      <c r="N1022" s="15"/>
      <c r="O1022" s="1"/>
      <c r="Q1022" s="12"/>
      <c r="R1022" s="1"/>
    </row>
    <row r="1023" ht="12.75" hidden="1" customHeight="1" outlineLevel="1">
      <c r="A1023" s="17">
        <v>42368.0</v>
      </c>
      <c r="B1023" s="120">
        <v>728950.0</v>
      </c>
      <c r="C1023" s="19">
        <f t="shared" si="171"/>
        <v>0.000549035756</v>
      </c>
      <c r="D1023" s="19">
        <f t="shared" si="170"/>
        <v>-0.007136089328</v>
      </c>
      <c r="E1023" s="12"/>
      <c r="F1023" s="7"/>
      <c r="G1023" s="7"/>
      <c r="H1023" s="1"/>
      <c r="I1023" s="1"/>
      <c r="J1023" s="1"/>
      <c r="K1023" s="1"/>
      <c r="L1023" s="12">
        <f t="shared" si="172"/>
        <v>18734.15034</v>
      </c>
      <c r="M1023" s="12"/>
      <c r="N1023" s="15"/>
      <c r="O1023" s="1"/>
      <c r="Q1023" s="12"/>
      <c r="R1023" s="1"/>
    </row>
    <row r="1024" ht="12.75" hidden="1" customHeight="1" outlineLevel="1">
      <c r="A1024" s="17">
        <v>42369.0</v>
      </c>
      <c r="B1024" s="120">
        <f>719707.48-2500</f>
        <v>717207.48</v>
      </c>
      <c r="C1024" s="19">
        <f t="shared" si="171"/>
        <v>-0.01610881405</v>
      </c>
      <c r="D1024" s="19">
        <f t="shared" si="170"/>
        <v>-0.02312994944</v>
      </c>
      <c r="E1024" s="12"/>
      <c r="F1024" s="7"/>
      <c r="G1024" s="7"/>
      <c r="H1024" s="1"/>
      <c r="I1024" s="1"/>
      <c r="J1024" s="1"/>
      <c r="K1024" s="1"/>
      <c r="L1024" s="12">
        <f t="shared" si="172"/>
        <v>18432.3654</v>
      </c>
      <c r="M1024" s="12"/>
      <c r="N1024" s="15"/>
      <c r="O1024" s="1"/>
      <c r="Q1024" s="12"/>
      <c r="R1024" s="1"/>
    </row>
    <row r="1025" ht="12.75" hidden="1" customHeight="1" outlineLevel="1">
      <c r="A1025" s="17"/>
      <c r="B1025" s="12"/>
      <c r="C1025" s="1"/>
      <c r="D1025" s="1"/>
      <c r="E1025" s="12"/>
      <c r="F1025" s="7"/>
      <c r="G1025" s="7"/>
      <c r="H1025" s="1"/>
      <c r="I1025" s="1"/>
      <c r="J1025" s="1"/>
      <c r="K1025" s="1"/>
      <c r="L1025" s="12"/>
      <c r="M1025" s="12"/>
      <c r="N1025" s="15"/>
      <c r="O1025" s="1"/>
      <c r="Q1025" s="12"/>
      <c r="R1025" s="1"/>
    </row>
    <row r="1026" ht="12.75" hidden="1" customHeight="1" outlineLevel="1">
      <c r="A1026" s="17"/>
      <c r="B1026" s="12">
        <f>B1024+P1026-Q1026</f>
        <v>782069.74</v>
      </c>
      <c r="C1026" s="19"/>
      <c r="D1026" s="19">
        <f t="shared" ref="D1026:D1057" si="173">(B1026/$B$1026)-1</f>
        <v>0</v>
      </c>
      <c r="E1026" s="12"/>
      <c r="F1026" s="7"/>
      <c r="G1026" s="7"/>
      <c r="H1026" s="1"/>
      <c r="I1026" s="1"/>
      <c r="J1026" s="1"/>
      <c r="K1026" s="1"/>
      <c r="L1026" s="12"/>
      <c r="M1026" s="12"/>
      <c r="N1026" s="15"/>
      <c r="O1026" s="1"/>
      <c r="P1026" s="130">
        <v>79985.0</v>
      </c>
      <c r="Q1026" s="120">
        <f>15122.74</f>
        <v>15122.74</v>
      </c>
      <c r="R1026" s="1"/>
    </row>
    <row r="1027" ht="12.75" hidden="1" customHeight="1" outlineLevel="1">
      <c r="A1027" s="17">
        <v>42370.0</v>
      </c>
      <c r="B1027" s="12">
        <f t="shared" ref="B1027:B1029" si="174">B1026</f>
        <v>782069.74</v>
      </c>
      <c r="C1027" s="19">
        <f t="shared" ref="C1027:C1057" si="175">(B1027/B1026)-1</f>
        <v>0</v>
      </c>
      <c r="D1027" s="19">
        <f t="shared" si="173"/>
        <v>0</v>
      </c>
      <c r="E1027" s="12"/>
      <c r="F1027" s="7"/>
      <c r="G1027" s="7"/>
      <c r="H1027" s="1"/>
      <c r="I1027" s="1"/>
      <c r="J1027" s="1"/>
      <c r="K1027" s="1"/>
      <c r="L1027" s="12">
        <f t="shared" ref="L1027:L1057" si="176">IF(C1026="",L1024*(1+C1027),L1026*(1+C1027))</f>
        <v>18432.3654</v>
      </c>
      <c r="M1027" s="12"/>
      <c r="N1027" s="15"/>
      <c r="O1027" s="1"/>
      <c r="Q1027" s="12"/>
      <c r="R1027" s="1"/>
    </row>
    <row r="1028" ht="12.75" hidden="1" customHeight="1" outlineLevel="1">
      <c r="A1028" s="122">
        <f t="shared" ref="A1028:A1057" si="177">A1027+1</f>
        <v>42371</v>
      </c>
      <c r="B1028" s="12">
        <f t="shared" si="174"/>
        <v>782069.74</v>
      </c>
      <c r="C1028" s="19">
        <f t="shared" si="175"/>
        <v>0</v>
      </c>
      <c r="D1028" s="19">
        <f t="shared" si="173"/>
        <v>0</v>
      </c>
      <c r="E1028" s="12"/>
      <c r="F1028" s="7"/>
      <c r="G1028" s="7"/>
      <c r="H1028" s="1"/>
      <c r="I1028" s="1"/>
      <c r="J1028" s="1"/>
      <c r="K1028" s="1"/>
      <c r="L1028" s="12">
        <f t="shared" si="176"/>
        <v>18432.3654</v>
      </c>
      <c r="M1028" s="12"/>
      <c r="N1028" s="15"/>
      <c r="O1028" s="1"/>
      <c r="Q1028" s="12"/>
      <c r="R1028" s="1"/>
    </row>
    <row r="1029" ht="12.75" hidden="1" customHeight="1" outlineLevel="1">
      <c r="A1029" s="122">
        <f t="shared" si="177"/>
        <v>42372</v>
      </c>
      <c r="B1029" s="12">
        <f t="shared" si="174"/>
        <v>782069.74</v>
      </c>
      <c r="C1029" s="19">
        <f t="shared" si="175"/>
        <v>0</v>
      </c>
      <c r="D1029" s="19">
        <f t="shared" si="173"/>
        <v>0</v>
      </c>
      <c r="E1029" s="12"/>
      <c r="F1029" s="7"/>
      <c r="G1029" s="7"/>
      <c r="H1029" s="1"/>
      <c r="I1029" s="1"/>
      <c r="J1029" s="1"/>
      <c r="K1029" s="1"/>
      <c r="L1029" s="12">
        <f t="shared" si="176"/>
        <v>18432.3654</v>
      </c>
      <c r="M1029" s="12"/>
      <c r="N1029" s="15"/>
      <c r="O1029" s="1"/>
      <c r="Q1029" s="12"/>
      <c r="R1029" s="1"/>
    </row>
    <row r="1030" ht="12.75" hidden="1" customHeight="1" outlineLevel="1">
      <c r="A1030" s="122">
        <f t="shared" si="177"/>
        <v>42373</v>
      </c>
      <c r="B1030" s="12">
        <f>698883+P1026-Q1026</f>
        <v>763745.26</v>
      </c>
      <c r="C1030" s="19">
        <f t="shared" si="175"/>
        <v>-0.02343074928</v>
      </c>
      <c r="D1030" s="19">
        <f t="shared" si="173"/>
        <v>-0.02343074928</v>
      </c>
      <c r="E1030" s="12"/>
      <c r="F1030" s="7"/>
      <c r="G1030" s="7"/>
      <c r="H1030" s="1"/>
      <c r="I1030" s="1"/>
      <c r="J1030" s="1"/>
      <c r="K1030" s="1"/>
      <c r="L1030" s="12">
        <f t="shared" si="176"/>
        <v>18000.48126</v>
      </c>
      <c r="M1030" s="12"/>
      <c r="N1030" s="15"/>
      <c r="O1030" s="1"/>
      <c r="Q1030" s="12"/>
      <c r="R1030" s="1"/>
    </row>
    <row r="1031" ht="12.75" hidden="1" customHeight="1" outlineLevel="1">
      <c r="A1031" s="122">
        <f t="shared" si="177"/>
        <v>42374</v>
      </c>
      <c r="B1031" s="120">
        <f>699515+P1026-Q1026</f>
        <v>764377.26</v>
      </c>
      <c r="C1031" s="19">
        <f t="shared" si="175"/>
        <v>0.000827501044</v>
      </c>
      <c r="D1031" s="19">
        <f t="shared" si="173"/>
        <v>-0.02262263721</v>
      </c>
      <c r="E1031" s="12"/>
      <c r="F1031" s="7"/>
      <c r="G1031" s="7"/>
      <c r="H1031" s="1"/>
      <c r="I1031" s="1"/>
      <c r="J1031" s="1"/>
      <c r="K1031" s="1"/>
      <c r="L1031" s="12">
        <f t="shared" si="176"/>
        <v>18015.37668</v>
      </c>
      <c r="M1031" s="12"/>
      <c r="N1031" s="15"/>
      <c r="O1031" s="1"/>
      <c r="Q1031" s="12"/>
      <c r="R1031" s="1"/>
    </row>
    <row r="1032" ht="12.75" hidden="1" customHeight="1" outlineLevel="1">
      <c r="A1032" s="122">
        <f t="shared" si="177"/>
        <v>42375</v>
      </c>
      <c r="B1032" s="120">
        <f>712068+P1026-Q1026</f>
        <v>776930.26</v>
      </c>
      <c r="C1032" s="19">
        <f t="shared" si="175"/>
        <v>0.0164225189</v>
      </c>
      <c r="D1032" s="19">
        <f t="shared" si="173"/>
        <v>-0.006571638995</v>
      </c>
      <c r="E1032" s="12"/>
      <c r="F1032" s="7"/>
      <c r="G1032" s="7"/>
      <c r="H1032" s="1"/>
      <c r="I1032" s="1"/>
      <c r="J1032" s="32" t="s">
        <v>725</v>
      </c>
      <c r="K1032" s="1"/>
      <c r="L1032" s="12">
        <f t="shared" si="176"/>
        <v>18311.23455</v>
      </c>
      <c r="M1032" s="12"/>
      <c r="N1032" s="15"/>
      <c r="O1032" s="1"/>
      <c r="Q1032" s="12"/>
      <c r="R1032" s="1"/>
    </row>
    <row r="1033" ht="12.75" hidden="1" customHeight="1" outlineLevel="1">
      <c r="A1033" s="122">
        <f t="shared" si="177"/>
        <v>42376</v>
      </c>
      <c r="B1033" s="120">
        <f>741697+P1026-Q1026-20000</f>
        <v>786559.26</v>
      </c>
      <c r="C1033" s="19">
        <f t="shared" si="175"/>
        <v>0.01239364779</v>
      </c>
      <c r="D1033" s="19">
        <f t="shared" si="173"/>
        <v>0.005740562216</v>
      </c>
      <c r="E1033" s="12"/>
      <c r="F1033" s="7"/>
      <c r="G1033" s="7"/>
      <c r="H1033" s="1"/>
      <c r="I1033" s="1"/>
      <c r="J1033" s="32" t="s">
        <v>725</v>
      </c>
      <c r="K1033" s="1"/>
      <c r="L1033" s="12">
        <f t="shared" si="176"/>
        <v>18538.17754</v>
      </c>
      <c r="M1033" s="12"/>
      <c r="N1033" s="15"/>
      <c r="O1033" s="1"/>
      <c r="Q1033" s="12"/>
      <c r="R1033" s="1"/>
    </row>
    <row r="1034" ht="12.75" hidden="1" customHeight="1" outlineLevel="1">
      <c r="A1034" s="122">
        <f t="shared" si="177"/>
        <v>42377</v>
      </c>
      <c r="B1034" s="120">
        <f>728182+P1026-Q1026-20000</f>
        <v>773044.26</v>
      </c>
      <c r="C1034" s="19">
        <f t="shared" si="175"/>
        <v>-0.01718243073</v>
      </c>
      <c r="D1034" s="19">
        <f t="shared" si="173"/>
        <v>-0.01154050533</v>
      </c>
      <c r="E1034" s="12"/>
      <c r="F1034" s="7"/>
      <c r="G1034" s="7"/>
      <c r="H1034" s="1"/>
      <c r="I1034" s="1"/>
      <c r="J1034" s="32" t="s">
        <v>727</v>
      </c>
      <c r="K1034" s="1"/>
      <c r="L1034" s="12">
        <f t="shared" si="176"/>
        <v>18219.64659</v>
      </c>
      <c r="M1034" s="12"/>
      <c r="N1034" s="15"/>
      <c r="O1034" s="1"/>
      <c r="Q1034" s="12"/>
      <c r="R1034" s="1"/>
    </row>
    <row r="1035" ht="12.75" hidden="1" customHeight="1" outlineLevel="1">
      <c r="A1035" s="122">
        <f t="shared" si="177"/>
        <v>42378</v>
      </c>
      <c r="B1035" s="12">
        <f t="shared" ref="B1035:B1036" si="178">B1034</f>
        <v>773044.26</v>
      </c>
      <c r="C1035" s="19">
        <f t="shared" si="175"/>
        <v>0</v>
      </c>
      <c r="D1035" s="19">
        <f t="shared" si="173"/>
        <v>-0.01154050533</v>
      </c>
      <c r="E1035" s="12"/>
      <c r="F1035" s="7"/>
      <c r="G1035" s="7"/>
      <c r="H1035" s="1"/>
      <c r="I1035" s="1"/>
      <c r="J1035" s="1"/>
      <c r="K1035" s="1"/>
      <c r="L1035" s="12">
        <f t="shared" si="176"/>
        <v>18219.64659</v>
      </c>
      <c r="M1035" s="12"/>
      <c r="N1035" s="15"/>
      <c r="O1035" s="1"/>
      <c r="Q1035" s="12"/>
      <c r="R1035" s="1"/>
    </row>
    <row r="1036" ht="12.75" hidden="1" customHeight="1" outlineLevel="1">
      <c r="A1036" s="122">
        <f t="shared" si="177"/>
        <v>42379</v>
      </c>
      <c r="B1036" s="12">
        <f t="shared" si="178"/>
        <v>773044.26</v>
      </c>
      <c r="C1036" s="19">
        <f t="shared" si="175"/>
        <v>0</v>
      </c>
      <c r="D1036" s="19">
        <f t="shared" si="173"/>
        <v>-0.01154050533</v>
      </c>
      <c r="E1036" s="12"/>
      <c r="F1036" s="7"/>
      <c r="G1036" s="7"/>
      <c r="H1036" s="1"/>
      <c r="I1036" s="1"/>
      <c r="J1036" s="1"/>
      <c r="K1036" s="1"/>
      <c r="L1036" s="12">
        <f t="shared" si="176"/>
        <v>18219.64659</v>
      </c>
      <c r="M1036" s="12"/>
      <c r="N1036" s="15"/>
      <c r="O1036" s="1"/>
      <c r="Q1036" s="12"/>
      <c r="R1036" s="1"/>
    </row>
    <row r="1037" ht="12.75" hidden="1" customHeight="1" outlineLevel="1">
      <c r="A1037" s="122">
        <f t="shared" si="177"/>
        <v>42380</v>
      </c>
      <c r="B1037" s="12">
        <f>782000+$P$1026-$Q$1026-40000</f>
        <v>806862.26</v>
      </c>
      <c r="C1037" s="19">
        <f t="shared" si="175"/>
        <v>0.04374652494</v>
      </c>
      <c r="D1037" s="19">
        <f t="shared" si="173"/>
        <v>0.03170116261</v>
      </c>
      <c r="E1037" s="12"/>
      <c r="F1037" s="7"/>
      <c r="G1037" s="7"/>
      <c r="H1037" s="1"/>
      <c r="I1037" s="1"/>
      <c r="J1037" s="1"/>
      <c r="K1037" s="1"/>
      <c r="L1037" s="12">
        <f t="shared" si="176"/>
        <v>19016.69281</v>
      </c>
      <c r="M1037" s="12"/>
      <c r="N1037" s="15"/>
      <c r="O1037" s="1"/>
      <c r="Q1037" s="12"/>
      <c r="R1037" s="1"/>
    </row>
    <row r="1038" ht="12.75" hidden="1" customHeight="1" outlineLevel="1">
      <c r="A1038" s="122">
        <f t="shared" si="177"/>
        <v>42381</v>
      </c>
      <c r="B1038" s="120">
        <f>841023+$P$1026-$Q$1026-60000</f>
        <v>845885.26</v>
      </c>
      <c r="C1038" s="19">
        <f t="shared" si="175"/>
        <v>0.04836389299</v>
      </c>
      <c r="D1038" s="19">
        <f t="shared" si="173"/>
        <v>0.08159824724</v>
      </c>
      <c r="E1038" s="12"/>
      <c r="F1038" s="7"/>
      <c r="G1038" s="7"/>
      <c r="H1038" s="1"/>
      <c r="I1038" s="1"/>
      <c r="J1038" s="32" t="s">
        <v>729</v>
      </c>
      <c r="K1038" s="1"/>
      <c r="L1038" s="12">
        <f t="shared" si="176"/>
        <v>19936.41411</v>
      </c>
      <c r="M1038" s="12"/>
      <c r="N1038" s="15"/>
      <c r="O1038" s="1"/>
      <c r="Q1038" s="12"/>
      <c r="R1038" s="1"/>
    </row>
    <row r="1039" ht="12.75" hidden="1" customHeight="1" outlineLevel="1">
      <c r="A1039" s="122">
        <f t="shared" si="177"/>
        <v>42382</v>
      </c>
      <c r="B1039" s="120">
        <f>843286+$P$1026-$Q$1026-60000</f>
        <v>848148.26</v>
      </c>
      <c r="C1039" s="19">
        <f t="shared" si="175"/>
        <v>0.00267530374</v>
      </c>
      <c r="D1039" s="19">
        <f t="shared" si="173"/>
        <v>0.08449185107</v>
      </c>
      <c r="E1039" s="12"/>
      <c r="F1039" s="7"/>
      <c r="G1039" s="7"/>
      <c r="H1039" s="1"/>
      <c r="I1039" s="1"/>
      <c r="J1039" s="1"/>
      <c r="K1039" s="1"/>
      <c r="L1039" s="12">
        <f t="shared" si="176"/>
        <v>19989.75007</v>
      </c>
      <c r="M1039" s="12"/>
      <c r="N1039" s="15"/>
      <c r="O1039" s="1"/>
      <c r="Q1039" s="12"/>
      <c r="R1039" s="1"/>
    </row>
    <row r="1040" ht="12.75" hidden="1" customHeight="1" outlineLevel="1">
      <c r="A1040" s="122">
        <f t="shared" si="177"/>
        <v>42383</v>
      </c>
      <c r="B1040" s="120">
        <f>830900+$P$1026-$Q$1026-60000</f>
        <v>835762.26</v>
      </c>
      <c r="C1040" s="19">
        <f t="shared" si="175"/>
        <v>-0.01460357886</v>
      </c>
      <c r="D1040" s="19">
        <f t="shared" si="173"/>
        <v>0.0686543888</v>
      </c>
      <c r="E1040" s="12"/>
      <c r="F1040" s="7"/>
      <c r="G1040" s="7"/>
      <c r="H1040" s="1"/>
      <c r="I1040" s="1"/>
      <c r="J1040" s="1"/>
      <c r="K1040" s="1"/>
      <c r="L1040" s="12">
        <f t="shared" si="176"/>
        <v>19697.82818</v>
      </c>
      <c r="M1040" s="12"/>
      <c r="N1040" s="15"/>
      <c r="O1040" s="1"/>
      <c r="Q1040" s="12"/>
      <c r="R1040" s="1"/>
    </row>
    <row r="1041" ht="12.75" hidden="1" customHeight="1" outlineLevel="1">
      <c r="A1041" s="122">
        <f t="shared" si="177"/>
        <v>42384</v>
      </c>
      <c r="B1041" s="12">
        <f t="shared" ref="B1041:B1044" si="179">826077+$P$1026-$Q$1026-60000</f>
        <v>830939.26</v>
      </c>
      <c r="C1041" s="19">
        <f t="shared" si="175"/>
        <v>-0.005770779839</v>
      </c>
      <c r="D1041" s="19">
        <f t="shared" si="173"/>
        <v>0.0624874196</v>
      </c>
      <c r="E1041" s="12"/>
      <c r="F1041" s="7"/>
      <c r="G1041" s="7"/>
      <c r="H1041" s="1"/>
      <c r="I1041" s="1"/>
      <c r="J1041" s="1"/>
      <c r="K1041" s="1"/>
      <c r="L1041" s="12">
        <f t="shared" si="176"/>
        <v>19584.15635</v>
      </c>
      <c r="M1041" s="12"/>
      <c r="N1041" s="15"/>
      <c r="O1041" s="1"/>
      <c r="Q1041" s="12"/>
      <c r="R1041" s="1"/>
    </row>
    <row r="1042" ht="12.75" hidden="1" customHeight="1" outlineLevel="1">
      <c r="A1042" s="122">
        <f t="shared" si="177"/>
        <v>42385</v>
      </c>
      <c r="B1042" s="12">
        <f t="shared" si="179"/>
        <v>830939.26</v>
      </c>
      <c r="C1042" s="19">
        <f t="shared" si="175"/>
        <v>0</v>
      </c>
      <c r="D1042" s="19">
        <f t="shared" si="173"/>
        <v>0.0624874196</v>
      </c>
      <c r="E1042" s="12"/>
      <c r="F1042" s="7"/>
      <c r="G1042" s="7"/>
      <c r="H1042" s="1"/>
      <c r="I1042" s="1"/>
      <c r="J1042" s="1"/>
      <c r="K1042" s="1"/>
      <c r="L1042" s="12">
        <f t="shared" si="176"/>
        <v>19584.15635</v>
      </c>
      <c r="M1042" s="12"/>
      <c r="N1042" s="15"/>
      <c r="O1042" s="1"/>
      <c r="Q1042" s="12"/>
      <c r="R1042" s="1"/>
    </row>
    <row r="1043" ht="12.75" hidden="1" customHeight="1" outlineLevel="1">
      <c r="A1043" s="122">
        <f t="shared" si="177"/>
        <v>42386</v>
      </c>
      <c r="B1043" s="12">
        <f t="shared" si="179"/>
        <v>830939.26</v>
      </c>
      <c r="C1043" s="19">
        <f t="shared" si="175"/>
        <v>0</v>
      </c>
      <c r="D1043" s="19">
        <f t="shared" si="173"/>
        <v>0.0624874196</v>
      </c>
      <c r="E1043" s="12"/>
      <c r="F1043" s="7"/>
      <c r="G1043" s="7"/>
      <c r="H1043" s="1"/>
      <c r="I1043" s="1"/>
      <c r="J1043" s="1"/>
      <c r="K1043" s="1"/>
      <c r="L1043" s="12">
        <f t="shared" si="176"/>
        <v>19584.15635</v>
      </c>
      <c r="M1043" s="12"/>
      <c r="N1043" s="15"/>
      <c r="O1043" s="1"/>
      <c r="Q1043" s="12"/>
      <c r="R1043" s="1"/>
    </row>
    <row r="1044" ht="12.75" hidden="1" customHeight="1" outlineLevel="1">
      <c r="A1044" s="122">
        <f t="shared" si="177"/>
        <v>42387</v>
      </c>
      <c r="B1044" s="12">
        <f t="shared" si="179"/>
        <v>830939.26</v>
      </c>
      <c r="C1044" s="19">
        <f t="shared" si="175"/>
        <v>0</v>
      </c>
      <c r="D1044" s="19">
        <f t="shared" si="173"/>
        <v>0.0624874196</v>
      </c>
      <c r="E1044" s="12"/>
      <c r="F1044" s="7"/>
      <c r="G1044" s="7"/>
      <c r="H1044" s="1"/>
      <c r="I1044" s="1"/>
      <c r="J1044" s="1"/>
      <c r="K1044" s="1"/>
      <c r="L1044" s="12">
        <f t="shared" si="176"/>
        <v>19584.15635</v>
      </c>
      <c r="M1044" s="12"/>
      <c r="N1044" s="15"/>
      <c r="O1044" s="1"/>
      <c r="Q1044" s="12"/>
      <c r="R1044" s="1"/>
    </row>
    <row r="1045" ht="12.75" hidden="1" customHeight="1" outlineLevel="1">
      <c r="A1045" s="122">
        <f t="shared" si="177"/>
        <v>42388</v>
      </c>
      <c r="B1045" s="12">
        <f>863003+$P$1026-$Q$1026-60000</f>
        <v>867865.26</v>
      </c>
      <c r="C1045" s="19">
        <f t="shared" si="175"/>
        <v>0.04443886789</v>
      </c>
      <c r="D1045" s="19">
        <f t="shared" si="173"/>
        <v>0.1097031577</v>
      </c>
      <c r="E1045" s="12"/>
      <c r="F1045" s="7"/>
      <c r="G1045" s="7"/>
      <c r="H1045" s="1"/>
      <c r="I1045" s="1"/>
      <c r="J1045" s="1"/>
      <c r="K1045" s="1"/>
      <c r="L1045" s="12">
        <f t="shared" si="176"/>
        <v>20454.45408</v>
      </c>
      <c r="M1045" s="12"/>
      <c r="N1045" s="15"/>
      <c r="O1045" s="1"/>
      <c r="Q1045" s="12"/>
      <c r="R1045" s="1"/>
    </row>
    <row r="1046" ht="12.75" hidden="1" customHeight="1" outlineLevel="1">
      <c r="A1046" s="122">
        <f t="shared" si="177"/>
        <v>42389</v>
      </c>
      <c r="B1046" s="12">
        <f>854000+$P$1026-$Q$1026-60000</f>
        <v>858862.26</v>
      </c>
      <c r="C1046" s="19">
        <f t="shared" si="175"/>
        <v>-0.01037373013</v>
      </c>
      <c r="D1046" s="19">
        <f t="shared" si="173"/>
        <v>0.09819139659</v>
      </c>
      <c r="E1046" s="12"/>
      <c r="F1046" s="7"/>
      <c r="G1046" s="7"/>
      <c r="H1046" s="1"/>
      <c r="I1046" s="1"/>
      <c r="J1046" s="32" t="s">
        <v>732</v>
      </c>
      <c r="K1046" s="1"/>
      <c r="L1046" s="12">
        <f t="shared" si="176"/>
        <v>20242.2651</v>
      </c>
      <c r="M1046" s="12"/>
      <c r="N1046" s="15"/>
      <c r="O1046" s="1"/>
      <c r="Q1046" s="12"/>
      <c r="R1046" s="1"/>
    </row>
    <row r="1047" ht="12.75" hidden="1" customHeight="1" outlineLevel="1">
      <c r="A1047" s="122">
        <f t="shared" si="177"/>
        <v>42390</v>
      </c>
      <c r="B1047" s="12">
        <f>826600+$P$1026-$Q$1026-60000</f>
        <v>831462.26</v>
      </c>
      <c r="C1047" s="19">
        <f t="shared" si="175"/>
        <v>-0.03190267087</v>
      </c>
      <c r="D1047" s="19">
        <f t="shared" si="173"/>
        <v>0.06315615792</v>
      </c>
      <c r="E1047" s="12"/>
      <c r="F1047" s="7"/>
      <c r="G1047" s="7"/>
      <c r="H1047" s="1"/>
      <c r="I1047" s="1"/>
      <c r="J1047" s="1"/>
      <c r="K1047" s="1"/>
      <c r="L1047" s="12">
        <f t="shared" si="176"/>
        <v>19596.48278</v>
      </c>
      <c r="M1047" s="12"/>
      <c r="N1047" s="15"/>
      <c r="O1047" s="1"/>
      <c r="Q1047" s="12"/>
      <c r="R1047" s="1"/>
    </row>
    <row r="1048" ht="12.75" hidden="1" customHeight="1" outlineLevel="1">
      <c r="A1048" s="122">
        <f t="shared" si="177"/>
        <v>42391</v>
      </c>
      <c r="B1048" s="120">
        <v>837800.0</v>
      </c>
      <c r="C1048" s="19">
        <f t="shared" si="175"/>
        <v>0.007622402489</v>
      </c>
      <c r="D1048" s="19">
        <f t="shared" si="173"/>
        <v>0.07125996206</v>
      </c>
      <c r="E1048" s="12"/>
      <c r="F1048" s="7"/>
      <c r="G1048" s="7"/>
      <c r="H1048" s="1"/>
      <c r="I1048" s="1"/>
      <c r="J1048" s="1"/>
      <c r="K1048" s="1"/>
      <c r="L1048" s="12">
        <f t="shared" si="176"/>
        <v>19745.85506</v>
      </c>
      <c r="M1048" s="12"/>
      <c r="N1048" s="15"/>
      <c r="O1048" s="1"/>
      <c r="Q1048" s="12"/>
      <c r="R1048" s="1"/>
    </row>
    <row r="1049" ht="12.75" hidden="1" customHeight="1" outlineLevel="1">
      <c r="A1049" s="122">
        <f t="shared" si="177"/>
        <v>42392</v>
      </c>
      <c r="B1049" s="120">
        <f t="shared" ref="B1049:B1050" si="180">B1048</f>
        <v>837800</v>
      </c>
      <c r="C1049" s="19">
        <f t="shared" si="175"/>
        <v>0</v>
      </c>
      <c r="D1049" s="19">
        <f t="shared" si="173"/>
        <v>0.07125996206</v>
      </c>
      <c r="E1049" s="12"/>
      <c r="F1049" s="7"/>
      <c r="G1049" s="7"/>
      <c r="H1049" s="1"/>
      <c r="I1049" s="1"/>
      <c r="J1049" s="1"/>
      <c r="K1049" s="1"/>
      <c r="L1049" s="12">
        <f t="shared" si="176"/>
        <v>19745.85506</v>
      </c>
      <c r="M1049" s="12"/>
      <c r="N1049" s="15"/>
      <c r="O1049" s="1"/>
      <c r="Q1049" s="12"/>
      <c r="R1049" s="1"/>
    </row>
    <row r="1050" ht="12.75" hidden="1" customHeight="1" outlineLevel="1">
      <c r="A1050" s="122">
        <f t="shared" si="177"/>
        <v>42393</v>
      </c>
      <c r="B1050" s="12">
        <f t="shared" si="180"/>
        <v>837800</v>
      </c>
      <c r="C1050" s="19">
        <f t="shared" si="175"/>
        <v>0</v>
      </c>
      <c r="D1050" s="19">
        <f t="shared" si="173"/>
        <v>0.07125996206</v>
      </c>
      <c r="E1050" s="12"/>
      <c r="F1050" s="7"/>
      <c r="G1050" s="7"/>
      <c r="H1050" s="1"/>
      <c r="I1050" s="1"/>
      <c r="J1050" s="1"/>
      <c r="K1050" s="1"/>
      <c r="L1050" s="12">
        <f t="shared" si="176"/>
        <v>19745.85506</v>
      </c>
      <c r="M1050" s="12"/>
      <c r="N1050" s="15"/>
      <c r="O1050" s="1"/>
      <c r="Q1050" s="12"/>
      <c r="R1050" s="1"/>
    </row>
    <row r="1051" ht="12.75" hidden="1" customHeight="1" outlineLevel="1">
      <c r="A1051" s="122">
        <f t="shared" si="177"/>
        <v>42394</v>
      </c>
      <c r="B1051" s="120">
        <v>852100.0</v>
      </c>
      <c r="C1051" s="19">
        <f t="shared" si="175"/>
        <v>0.01706851277</v>
      </c>
      <c r="D1051" s="19">
        <f t="shared" si="173"/>
        <v>0.0895447764</v>
      </c>
      <c r="E1051" s="12"/>
      <c r="F1051" s="7"/>
      <c r="G1051" s="7"/>
      <c r="H1051" s="1"/>
      <c r="I1051" s="1"/>
      <c r="J1051" s="32" t="s">
        <v>732</v>
      </c>
      <c r="K1051" s="1"/>
      <c r="L1051" s="12">
        <f t="shared" si="176"/>
        <v>20082.88743</v>
      </c>
      <c r="M1051" s="12"/>
      <c r="N1051" s="15"/>
      <c r="O1051" s="1"/>
      <c r="Q1051" s="12"/>
      <c r="R1051" s="1"/>
    </row>
    <row r="1052" ht="12.75" hidden="1" customHeight="1" outlineLevel="1">
      <c r="A1052" s="122">
        <f t="shared" si="177"/>
        <v>42395</v>
      </c>
      <c r="B1052" s="120">
        <v>831212.0</v>
      </c>
      <c r="C1052" s="19">
        <f t="shared" si="175"/>
        <v>-0.02451355475</v>
      </c>
      <c r="D1052" s="19">
        <f t="shared" si="173"/>
        <v>0.06283616088</v>
      </c>
      <c r="E1052" s="12"/>
      <c r="F1052" s="7"/>
      <c r="G1052" s="7"/>
      <c r="H1052" s="1"/>
      <c r="I1052" s="1"/>
      <c r="J1052" s="1"/>
      <c r="K1052" s="1"/>
      <c r="L1052" s="12">
        <f t="shared" si="176"/>
        <v>19590.58447</v>
      </c>
      <c r="M1052" s="12"/>
      <c r="N1052" s="15"/>
      <c r="O1052" s="1"/>
      <c r="Q1052" s="12"/>
      <c r="R1052" s="1"/>
    </row>
    <row r="1053" ht="12.75" hidden="1" customHeight="1" outlineLevel="1">
      <c r="A1053" s="122">
        <f t="shared" si="177"/>
        <v>42396</v>
      </c>
      <c r="B1053" s="120">
        <v>768000.0</v>
      </c>
      <c r="C1053" s="19">
        <f t="shared" si="175"/>
        <v>-0.07604798776</v>
      </c>
      <c r="D1053" s="19">
        <f t="shared" si="173"/>
        <v>-0.01799039047</v>
      </c>
      <c r="E1053" s="12"/>
      <c r="F1053" s="7"/>
      <c r="G1053" s="7"/>
      <c r="H1053" s="1"/>
      <c r="I1053" s="1"/>
      <c r="J1053" s="1"/>
      <c r="K1053" s="1"/>
      <c r="L1053" s="12">
        <f t="shared" si="176"/>
        <v>18100.75995</v>
      </c>
      <c r="M1053" s="12"/>
      <c r="N1053" s="15"/>
      <c r="O1053" s="1"/>
      <c r="Q1053" s="12"/>
      <c r="R1053" s="1"/>
    </row>
    <row r="1054" ht="12.75" hidden="1" customHeight="1" outlineLevel="1">
      <c r="A1054" s="122">
        <f t="shared" si="177"/>
        <v>42397</v>
      </c>
      <c r="B1054" s="120">
        <v>754000.0</v>
      </c>
      <c r="C1054" s="19">
        <f t="shared" si="175"/>
        <v>-0.01822916667</v>
      </c>
      <c r="D1054" s="19">
        <f t="shared" si="173"/>
        <v>-0.03589160731</v>
      </c>
      <c r="E1054" s="12"/>
      <c r="F1054" s="7"/>
      <c r="G1054" s="7"/>
      <c r="H1054" s="1"/>
      <c r="I1054" s="1"/>
      <c r="J1054" s="1"/>
      <c r="K1054" s="1"/>
      <c r="L1054" s="12">
        <f t="shared" si="176"/>
        <v>17770.79818</v>
      </c>
      <c r="M1054" s="12"/>
      <c r="N1054" s="15"/>
      <c r="O1054" s="1"/>
      <c r="Q1054" s="12"/>
      <c r="R1054" s="1"/>
    </row>
    <row r="1055" ht="12.75" hidden="1" customHeight="1" outlineLevel="1">
      <c r="A1055" s="122">
        <f t="shared" si="177"/>
        <v>42398</v>
      </c>
      <c r="B1055" s="120">
        <v>766020.37</v>
      </c>
      <c r="C1055" s="19">
        <f t="shared" si="175"/>
        <v>0.01594213528</v>
      </c>
      <c r="D1055" s="19">
        <f t="shared" si="173"/>
        <v>-0.02052166089</v>
      </c>
      <c r="E1055" s="12"/>
      <c r="F1055" s="7"/>
      <c r="G1055" s="7"/>
      <c r="H1055" s="1"/>
      <c r="I1055" s="1"/>
      <c r="J1055" s="1"/>
      <c r="K1055" s="1"/>
      <c r="L1055" s="12">
        <f t="shared" si="176"/>
        <v>18054.10264</v>
      </c>
      <c r="M1055" s="12"/>
      <c r="N1055" s="15"/>
      <c r="O1055" s="1"/>
      <c r="Q1055" s="12"/>
      <c r="R1055" s="1"/>
    </row>
    <row r="1056" ht="12.75" hidden="1" customHeight="1" outlineLevel="1">
      <c r="A1056" s="122">
        <f t="shared" si="177"/>
        <v>42399</v>
      </c>
      <c r="B1056" s="12">
        <f t="shared" ref="B1056:B1057" si="181">B1055</f>
        <v>766020.37</v>
      </c>
      <c r="C1056" s="19">
        <f t="shared" si="175"/>
        <v>0</v>
      </c>
      <c r="D1056" s="19">
        <f t="shared" si="173"/>
        <v>-0.02052166089</v>
      </c>
      <c r="E1056" s="12"/>
      <c r="F1056" s="7"/>
      <c r="G1056" s="7"/>
      <c r="H1056" s="1"/>
      <c r="I1056" s="1"/>
      <c r="J1056" s="1"/>
      <c r="K1056" s="1"/>
      <c r="L1056" s="12">
        <f t="shared" si="176"/>
        <v>18054.10264</v>
      </c>
      <c r="M1056" s="12"/>
      <c r="N1056" s="15"/>
      <c r="O1056" s="1"/>
      <c r="Q1056" s="12"/>
      <c r="R1056" s="1"/>
    </row>
    <row r="1057" ht="12.75" hidden="1" customHeight="1" outlineLevel="1">
      <c r="A1057" s="122">
        <f t="shared" si="177"/>
        <v>42400</v>
      </c>
      <c r="B1057" s="12">
        <f t="shared" si="181"/>
        <v>766020.37</v>
      </c>
      <c r="C1057" s="19">
        <f t="shared" si="175"/>
        <v>0</v>
      </c>
      <c r="D1057" s="19">
        <f t="shared" si="173"/>
        <v>-0.02052166089</v>
      </c>
      <c r="E1057" s="12"/>
      <c r="F1057" s="7"/>
      <c r="G1057" s="7"/>
      <c r="H1057" s="1"/>
      <c r="I1057" s="1"/>
      <c r="J1057" s="1"/>
      <c r="K1057" s="1"/>
      <c r="L1057" s="12">
        <f t="shared" si="176"/>
        <v>18054.10264</v>
      </c>
      <c r="M1057" s="12"/>
      <c r="N1057" s="15"/>
      <c r="O1057" s="1"/>
      <c r="Q1057" s="12"/>
      <c r="R1057" s="1"/>
    </row>
    <row r="1058" ht="12.75" hidden="1" customHeight="1" outlineLevel="1">
      <c r="A1058" s="122"/>
      <c r="B1058" s="12"/>
      <c r="C1058" s="1"/>
      <c r="D1058" s="1"/>
      <c r="E1058" s="12"/>
      <c r="F1058" s="7"/>
      <c r="G1058" s="7"/>
      <c r="H1058" s="1"/>
      <c r="I1058" s="1"/>
      <c r="J1058" s="1"/>
      <c r="K1058" s="1"/>
      <c r="L1058" s="12"/>
      <c r="M1058" s="12"/>
      <c r="N1058" s="15"/>
      <c r="O1058" s="1"/>
      <c r="Q1058" s="12"/>
      <c r="R1058" s="1"/>
    </row>
    <row r="1059" ht="12.75" hidden="1" customHeight="1" outlineLevel="1">
      <c r="A1059" s="122"/>
      <c r="B1059" s="12">
        <f>B1057+P1059-Q1059</f>
        <v>766020.37</v>
      </c>
      <c r="C1059" s="19"/>
      <c r="D1059" s="19">
        <f t="shared" ref="D1059:D1088" si="182">(B1059/$B$1059)-1</f>
        <v>0</v>
      </c>
      <c r="E1059" s="12"/>
      <c r="F1059" s="7"/>
      <c r="G1059" s="7"/>
      <c r="H1059" s="1"/>
      <c r="I1059" s="1"/>
      <c r="J1059" s="1"/>
      <c r="K1059" s="1"/>
      <c r="L1059" s="12"/>
      <c r="M1059" s="12"/>
      <c r="N1059" s="15"/>
      <c r="O1059" s="1"/>
      <c r="Q1059" s="12"/>
      <c r="R1059" s="1"/>
    </row>
    <row r="1060" ht="12.75" hidden="1" customHeight="1" outlineLevel="1">
      <c r="A1060" s="122">
        <f>A1057+1</f>
        <v>42401</v>
      </c>
      <c r="B1060" s="120">
        <v>767192.0</v>
      </c>
      <c r="C1060" s="19">
        <f t="shared" ref="C1060:C1088" si="183">(B1060/B1059)-1</f>
        <v>0.001529502407</v>
      </c>
      <c r="D1060" s="19">
        <f t="shared" si="182"/>
        <v>0.001529502407</v>
      </c>
      <c r="E1060" s="12"/>
      <c r="F1060" s="7"/>
      <c r="G1060" s="7"/>
      <c r="H1060" s="1"/>
      <c r="I1060" s="1"/>
      <c r="J1060" s="1"/>
      <c r="K1060" s="1"/>
      <c r="L1060" s="12">
        <f t="shared" ref="L1060:L1088" si="184">IF(C1059="",L1057*(1+C1060),L1059*(1+C1060))</f>
        <v>18081.71644</v>
      </c>
      <c r="M1060" s="12"/>
      <c r="N1060" s="15"/>
      <c r="O1060" s="1"/>
      <c r="Q1060" s="12"/>
      <c r="R1060" s="1"/>
    </row>
    <row r="1061" ht="12.75" hidden="1" customHeight="1" outlineLevel="1">
      <c r="A1061" s="122">
        <f t="shared" ref="A1061:A1088" si="185">A1060+1</f>
        <v>42402</v>
      </c>
      <c r="B1061" s="120">
        <v>772841.0</v>
      </c>
      <c r="C1061" s="19">
        <f t="shared" si="183"/>
        <v>0.007363215466</v>
      </c>
      <c r="D1061" s="19">
        <f t="shared" si="182"/>
        <v>0.008903979929</v>
      </c>
      <c r="E1061" s="12"/>
      <c r="F1061" s="7"/>
      <c r="G1061" s="7"/>
      <c r="H1061" s="1"/>
      <c r="I1061" s="1"/>
      <c r="J1061" s="32" t="s">
        <v>732</v>
      </c>
      <c r="K1061" s="1"/>
      <c r="L1061" s="12">
        <f t="shared" si="184"/>
        <v>18214.85601</v>
      </c>
      <c r="M1061" s="12"/>
      <c r="N1061" s="15"/>
      <c r="O1061" s="1"/>
      <c r="Q1061" s="12"/>
      <c r="R1061" s="1"/>
    </row>
    <row r="1062" ht="12.75" hidden="1" customHeight="1" outlineLevel="1">
      <c r="A1062" s="122">
        <f t="shared" si="185"/>
        <v>42403</v>
      </c>
      <c r="B1062" s="120">
        <v>728025.0</v>
      </c>
      <c r="C1062" s="19">
        <f t="shared" si="183"/>
        <v>-0.05798864191</v>
      </c>
      <c r="D1062" s="19">
        <f t="shared" si="182"/>
        <v>-0.04960099168</v>
      </c>
      <c r="E1062" s="12"/>
      <c r="F1062" s="7"/>
      <c r="G1062" s="7"/>
      <c r="H1062" s="1"/>
      <c r="I1062" s="1"/>
      <c r="J1062" s="32" t="s">
        <v>736</v>
      </c>
      <c r="K1062" s="1"/>
      <c r="L1062" s="12">
        <f t="shared" si="184"/>
        <v>17158.60125</v>
      </c>
      <c r="M1062" s="12"/>
      <c r="N1062" s="15"/>
      <c r="O1062" s="1"/>
      <c r="Q1062" s="12"/>
      <c r="R1062" s="1"/>
    </row>
    <row r="1063" ht="12.75" hidden="1" customHeight="1" outlineLevel="1">
      <c r="A1063" s="122">
        <f t="shared" si="185"/>
        <v>42404</v>
      </c>
      <c r="B1063" s="120">
        <v>723556.0</v>
      </c>
      <c r="C1063" s="19">
        <f t="shared" si="183"/>
        <v>-0.006138525463</v>
      </c>
      <c r="D1063" s="19">
        <f t="shared" si="182"/>
        <v>-0.05543504019</v>
      </c>
      <c r="E1063" s="12"/>
      <c r="F1063" s="7"/>
      <c r="G1063" s="7"/>
      <c r="H1063" s="1"/>
      <c r="I1063" s="1"/>
      <c r="J1063" s="1"/>
      <c r="K1063" s="1"/>
      <c r="L1063" s="12">
        <f t="shared" si="184"/>
        <v>17053.27274</v>
      </c>
      <c r="M1063" s="12"/>
      <c r="N1063" s="15"/>
      <c r="O1063" s="1"/>
      <c r="Q1063" s="12"/>
      <c r="R1063" s="1"/>
    </row>
    <row r="1064" ht="12.75" hidden="1" customHeight="1" outlineLevel="1">
      <c r="A1064" s="122">
        <f t="shared" si="185"/>
        <v>42405</v>
      </c>
      <c r="B1064" s="120">
        <v>713620.0</v>
      </c>
      <c r="C1064" s="19">
        <f t="shared" si="183"/>
        <v>-0.0137321783</v>
      </c>
      <c r="D1064" s="19">
        <f t="shared" si="182"/>
        <v>-0.06840597463</v>
      </c>
      <c r="E1064" s="12"/>
      <c r="F1064" s="7"/>
      <c r="G1064" s="7"/>
      <c r="H1064" s="1"/>
      <c r="I1064" s="1"/>
      <c r="J1064" s="1"/>
      <c r="K1064" s="1"/>
      <c r="L1064" s="12">
        <f t="shared" si="184"/>
        <v>16819.09416</v>
      </c>
      <c r="M1064" s="12"/>
      <c r="N1064" s="15"/>
      <c r="O1064" s="1"/>
      <c r="Q1064" s="12"/>
      <c r="R1064" s="1"/>
    </row>
    <row r="1065" ht="12.75" hidden="1" customHeight="1" outlineLevel="1">
      <c r="A1065" s="122">
        <f t="shared" si="185"/>
        <v>42406</v>
      </c>
      <c r="B1065" s="120">
        <v>713620.0</v>
      </c>
      <c r="C1065" s="19">
        <f t="shared" si="183"/>
        <v>0</v>
      </c>
      <c r="D1065" s="19">
        <f t="shared" si="182"/>
        <v>-0.06840597463</v>
      </c>
      <c r="E1065" s="12"/>
      <c r="F1065" s="7"/>
      <c r="G1065" s="7"/>
      <c r="H1065" s="1"/>
      <c r="I1065" s="1"/>
      <c r="J1065" s="1"/>
      <c r="K1065" s="1"/>
      <c r="L1065" s="12">
        <f t="shared" si="184"/>
        <v>16819.09416</v>
      </c>
      <c r="M1065" s="12"/>
      <c r="N1065" s="15"/>
      <c r="O1065" s="1"/>
      <c r="Q1065" s="12"/>
      <c r="R1065" s="1"/>
    </row>
    <row r="1066" ht="12.75" hidden="1" customHeight="1" outlineLevel="1">
      <c r="A1066" s="122">
        <f t="shared" si="185"/>
        <v>42407</v>
      </c>
      <c r="B1066" s="120">
        <f>B1065</f>
        <v>713620</v>
      </c>
      <c r="C1066" s="19">
        <f t="shared" si="183"/>
        <v>0</v>
      </c>
      <c r="D1066" s="19">
        <f t="shared" si="182"/>
        <v>-0.06840597463</v>
      </c>
      <c r="E1066" s="12"/>
      <c r="F1066" s="7"/>
      <c r="G1066" s="7"/>
      <c r="H1066" s="1"/>
      <c r="I1066" s="1"/>
      <c r="J1066" s="1"/>
      <c r="K1066" s="1"/>
      <c r="L1066" s="12">
        <f t="shared" si="184"/>
        <v>16819.09416</v>
      </c>
      <c r="M1066" s="12"/>
      <c r="N1066" s="15"/>
      <c r="O1066" s="1"/>
      <c r="Q1066" s="12"/>
      <c r="R1066" s="1"/>
    </row>
    <row r="1067" ht="12.75" hidden="1" customHeight="1" outlineLevel="1">
      <c r="A1067" s="122">
        <f t="shared" si="185"/>
        <v>42408</v>
      </c>
      <c r="B1067" s="120">
        <v>713620.0</v>
      </c>
      <c r="C1067" s="19">
        <f t="shared" si="183"/>
        <v>0</v>
      </c>
      <c r="D1067" s="19">
        <f t="shared" si="182"/>
        <v>-0.06840597463</v>
      </c>
      <c r="E1067" s="12"/>
      <c r="F1067" s="7"/>
      <c r="G1067" s="7"/>
      <c r="H1067" s="1"/>
      <c r="I1067" s="1"/>
      <c r="J1067" s="1"/>
      <c r="K1067" s="1"/>
      <c r="L1067" s="12">
        <f t="shared" si="184"/>
        <v>16819.09416</v>
      </c>
      <c r="M1067" s="12"/>
      <c r="N1067" s="15"/>
      <c r="O1067" s="1"/>
      <c r="Q1067" s="12"/>
      <c r="R1067" s="1"/>
    </row>
    <row r="1068" ht="12.75" hidden="1" customHeight="1" outlineLevel="1">
      <c r="A1068" s="122">
        <f t="shared" si="185"/>
        <v>42409</v>
      </c>
      <c r="B1068" s="120">
        <v>721413.0</v>
      </c>
      <c r="C1068" s="19">
        <f t="shared" si="183"/>
        <v>0.01092037779</v>
      </c>
      <c r="D1068" s="19">
        <f t="shared" si="182"/>
        <v>-0.05823261593</v>
      </c>
      <c r="E1068" s="12"/>
      <c r="F1068" s="7"/>
      <c r="G1068" s="7"/>
      <c r="H1068" s="1"/>
      <c r="I1068" s="1"/>
      <c r="J1068" s="1"/>
      <c r="K1068" s="1"/>
      <c r="L1068" s="12">
        <f t="shared" si="184"/>
        <v>17002.76502</v>
      </c>
      <c r="M1068" s="12"/>
      <c r="N1068" s="15"/>
      <c r="O1068" s="1"/>
      <c r="Q1068" s="12"/>
      <c r="R1068" s="1"/>
    </row>
    <row r="1069" ht="12.75" hidden="1" customHeight="1" outlineLevel="1">
      <c r="A1069" s="122">
        <f t="shared" si="185"/>
        <v>42410</v>
      </c>
      <c r="B1069" s="120">
        <v>729050.0</v>
      </c>
      <c r="C1069" s="19">
        <f t="shared" si="183"/>
        <v>0.01058616909</v>
      </c>
      <c r="D1069" s="19">
        <f t="shared" si="182"/>
        <v>-0.04826290716</v>
      </c>
      <c r="E1069" s="12"/>
      <c r="F1069" s="7"/>
      <c r="G1069" s="7"/>
      <c r="H1069" s="1"/>
      <c r="I1069" s="1"/>
      <c r="J1069" s="1"/>
      <c r="K1069" s="1"/>
      <c r="L1069" s="12">
        <f t="shared" si="184"/>
        <v>17182.75916</v>
      </c>
      <c r="M1069" s="12"/>
      <c r="N1069" s="15"/>
      <c r="O1069" s="1"/>
      <c r="Q1069" s="12"/>
      <c r="R1069" s="1"/>
    </row>
    <row r="1070" ht="12.75" hidden="1" customHeight="1" outlineLevel="1">
      <c r="A1070" s="122">
        <f t="shared" si="185"/>
        <v>42411</v>
      </c>
      <c r="B1070" s="120">
        <v>733484.0</v>
      </c>
      <c r="C1070" s="19">
        <f t="shared" si="183"/>
        <v>0.006081887388</v>
      </c>
      <c r="D1070" s="19">
        <f t="shared" si="182"/>
        <v>-0.04247454934</v>
      </c>
      <c r="E1070" s="12"/>
      <c r="F1070" s="7"/>
      <c r="G1070" s="7"/>
      <c r="H1070" s="1"/>
      <c r="I1070" s="1"/>
      <c r="J1070" s="32" t="s">
        <v>739</v>
      </c>
      <c r="K1070" s="1"/>
      <c r="L1070" s="12">
        <f t="shared" si="184"/>
        <v>17287.26277</v>
      </c>
      <c r="M1070" s="12"/>
      <c r="N1070" s="15"/>
      <c r="O1070" s="1"/>
      <c r="Q1070" s="12"/>
      <c r="R1070" s="1"/>
    </row>
    <row r="1071" ht="12.75" hidden="1" customHeight="1" outlineLevel="1">
      <c r="A1071" s="122">
        <f t="shared" si="185"/>
        <v>42412</v>
      </c>
      <c r="B1071" s="120">
        <v>681890.0</v>
      </c>
      <c r="C1071" s="19">
        <f t="shared" si="183"/>
        <v>-0.07034100267</v>
      </c>
      <c r="D1071" s="19">
        <f t="shared" si="182"/>
        <v>-0.1098278496</v>
      </c>
      <c r="E1071" s="12"/>
      <c r="F1071" s="7"/>
      <c r="G1071" s="7"/>
      <c r="H1071" s="1"/>
      <c r="I1071" s="1"/>
      <c r="J1071" s="32" t="s">
        <v>740</v>
      </c>
      <c r="K1071" s="1"/>
      <c r="L1071" s="12">
        <f t="shared" si="184"/>
        <v>16071.25937</v>
      </c>
      <c r="M1071" s="12"/>
      <c r="N1071" s="15"/>
      <c r="O1071" s="1"/>
      <c r="Q1071" s="12"/>
      <c r="R1071" s="1"/>
    </row>
    <row r="1072" ht="12.75" hidden="1" customHeight="1" outlineLevel="1">
      <c r="A1072" s="122">
        <f t="shared" si="185"/>
        <v>42413</v>
      </c>
      <c r="B1072" s="120">
        <f t="shared" ref="B1072:B1074" si="186">B1071</f>
        <v>681890</v>
      </c>
      <c r="C1072" s="19">
        <f t="shared" si="183"/>
        <v>0</v>
      </c>
      <c r="D1072" s="19">
        <f t="shared" si="182"/>
        <v>-0.1098278496</v>
      </c>
      <c r="E1072" s="12"/>
      <c r="F1072" s="7"/>
      <c r="G1072" s="7"/>
      <c r="H1072" s="1"/>
      <c r="I1072" s="1"/>
      <c r="J1072" s="1"/>
      <c r="K1072" s="1"/>
      <c r="L1072" s="12">
        <f t="shared" si="184"/>
        <v>16071.25937</v>
      </c>
      <c r="M1072" s="12"/>
      <c r="N1072" s="15"/>
      <c r="O1072" s="1"/>
      <c r="Q1072" s="12"/>
      <c r="R1072" s="1"/>
    </row>
    <row r="1073" ht="12.75" hidden="1" customHeight="1" outlineLevel="1">
      <c r="A1073" s="122">
        <f t="shared" si="185"/>
        <v>42414</v>
      </c>
      <c r="B1073" s="120">
        <f t="shared" si="186"/>
        <v>681890</v>
      </c>
      <c r="C1073" s="19">
        <f t="shared" si="183"/>
        <v>0</v>
      </c>
      <c r="D1073" s="19">
        <f t="shared" si="182"/>
        <v>-0.1098278496</v>
      </c>
      <c r="E1073" s="12"/>
      <c r="F1073" s="7"/>
      <c r="G1073" s="7"/>
      <c r="H1073" s="1"/>
      <c r="I1073" s="1"/>
      <c r="J1073" s="1"/>
      <c r="K1073" s="1"/>
      <c r="L1073" s="12">
        <f t="shared" si="184"/>
        <v>16071.25937</v>
      </c>
      <c r="M1073" s="12"/>
      <c r="N1073" s="15"/>
      <c r="O1073" s="1"/>
      <c r="Q1073" s="12"/>
      <c r="R1073" s="1"/>
    </row>
    <row r="1074" ht="12.75" hidden="1" customHeight="1" outlineLevel="1">
      <c r="A1074" s="122">
        <f t="shared" si="185"/>
        <v>42415</v>
      </c>
      <c r="B1074" s="120">
        <f t="shared" si="186"/>
        <v>681890</v>
      </c>
      <c r="C1074" s="19">
        <f t="shared" si="183"/>
        <v>0</v>
      </c>
      <c r="D1074" s="19">
        <f t="shared" si="182"/>
        <v>-0.1098278496</v>
      </c>
      <c r="E1074" s="12"/>
      <c r="F1074" s="7"/>
      <c r="G1074" s="7"/>
      <c r="H1074" s="1"/>
      <c r="I1074" s="1"/>
      <c r="J1074" s="1"/>
      <c r="K1074" s="1"/>
      <c r="L1074" s="12">
        <f t="shared" si="184"/>
        <v>16071.25937</v>
      </c>
      <c r="M1074" s="12"/>
      <c r="N1074" s="15"/>
      <c r="O1074" s="1"/>
      <c r="Q1074" s="12"/>
      <c r="R1074" s="1"/>
    </row>
    <row r="1075" ht="12.75" hidden="1" customHeight="1" outlineLevel="1">
      <c r="A1075" s="122">
        <f t="shared" si="185"/>
        <v>42416</v>
      </c>
      <c r="B1075" s="120">
        <v>685183.0</v>
      </c>
      <c r="C1075" s="19">
        <f t="shared" si="183"/>
        <v>0.004829224655</v>
      </c>
      <c r="D1075" s="19">
        <f t="shared" si="182"/>
        <v>-0.1055290083</v>
      </c>
      <c r="E1075" s="12"/>
      <c r="F1075" s="7"/>
      <c r="G1075" s="7"/>
      <c r="H1075" s="1"/>
      <c r="I1075" s="1"/>
      <c r="J1075" s="1"/>
      <c r="K1075" s="1"/>
      <c r="L1075" s="12">
        <f t="shared" si="184"/>
        <v>16148.8711</v>
      </c>
      <c r="M1075" s="12"/>
      <c r="N1075" s="15"/>
      <c r="O1075" s="1"/>
      <c r="Q1075" s="12"/>
      <c r="R1075" s="1"/>
    </row>
    <row r="1076" ht="12.75" hidden="1" customHeight="1" outlineLevel="1">
      <c r="A1076" s="122">
        <f t="shared" si="185"/>
        <v>42417</v>
      </c>
      <c r="B1076" s="120">
        <v>676671.6</v>
      </c>
      <c r="C1076" s="19">
        <f t="shared" si="183"/>
        <v>-0.01242208286</v>
      </c>
      <c r="D1076" s="19">
        <f t="shared" si="182"/>
        <v>-0.1166402011</v>
      </c>
      <c r="E1076" s="12"/>
      <c r="F1076" s="7"/>
      <c r="G1076" s="7"/>
      <c r="H1076" s="1"/>
      <c r="I1076" s="1"/>
      <c r="J1076" s="1"/>
      <c r="K1076" s="1"/>
      <c r="L1076" s="12">
        <f t="shared" si="184"/>
        <v>15948.26848</v>
      </c>
      <c r="M1076" s="12"/>
      <c r="N1076" s="15"/>
      <c r="O1076" s="1"/>
      <c r="Q1076" s="12"/>
      <c r="R1076" s="1"/>
    </row>
    <row r="1077" ht="12.75" hidden="1" customHeight="1" outlineLevel="1">
      <c r="A1077" s="122">
        <f t="shared" si="185"/>
        <v>42418</v>
      </c>
      <c r="B1077" s="120">
        <v>670959.0</v>
      </c>
      <c r="C1077" s="19">
        <f t="shared" si="183"/>
        <v>-0.008442204461</v>
      </c>
      <c r="D1077" s="19">
        <f t="shared" si="182"/>
        <v>-0.1240977051</v>
      </c>
      <c r="E1077" s="12"/>
      <c r="F1077" s="7"/>
      <c r="G1077" s="7"/>
      <c r="H1077" s="1"/>
      <c r="I1077" s="1"/>
      <c r="J1077" s="1"/>
      <c r="K1077" s="1"/>
      <c r="L1077" s="12">
        <f t="shared" si="184"/>
        <v>15813.62994</v>
      </c>
      <c r="M1077" s="12"/>
      <c r="N1077" s="15"/>
      <c r="O1077" s="1"/>
      <c r="Q1077" s="12"/>
      <c r="R1077" s="1"/>
    </row>
    <row r="1078" ht="12.75" hidden="1" customHeight="1" outlineLevel="1">
      <c r="A1078" s="122">
        <f t="shared" si="185"/>
        <v>42419</v>
      </c>
      <c r="B1078" s="120">
        <v>677000.0</v>
      </c>
      <c r="C1078" s="19">
        <f t="shared" si="183"/>
        <v>0.009003530767</v>
      </c>
      <c r="D1078" s="19">
        <f t="shared" si="182"/>
        <v>-0.1162114919</v>
      </c>
      <c r="E1078" s="12"/>
      <c r="F1078" s="7"/>
      <c r="G1078" s="7"/>
      <c r="H1078" s="1"/>
      <c r="I1078" s="1"/>
      <c r="J1078" s="1"/>
      <c r="K1078" s="1"/>
      <c r="L1078" s="12">
        <f t="shared" si="184"/>
        <v>15956.00844</v>
      </c>
      <c r="M1078" s="12"/>
      <c r="N1078" s="15"/>
      <c r="O1078" s="1"/>
      <c r="Q1078" s="12"/>
      <c r="R1078" s="1"/>
    </row>
    <row r="1079" ht="12.75" hidden="1" customHeight="1" outlineLevel="1">
      <c r="A1079" s="122">
        <f t="shared" si="185"/>
        <v>42420</v>
      </c>
      <c r="B1079" s="120">
        <v>677000.0</v>
      </c>
      <c r="C1079" s="19">
        <f t="shared" si="183"/>
        <v>0</v>
      </c>
      <c r="D1079" s="19">
        <f t="shared" si="182"/>
        <v>-0.1162114919</v>
      </c>
      <c r="E1079" s="12"/>
      <c r="F1079" s="7"/>
      <c r="G1079" s="7"/>
      <c r="H1079" s="1"/>
      <c r="I1079" s="1"/>
      <c r="J1079" s="1"/>
      <c r="K1079" s="1"/>
      <c r="L1079" s="12">
        <f t="shared" si="184"/>
        <v>15956.00844</v>
      </c>
      <c r="M1079" s="12"/>
      <c r="N1079" s="15"/>
      <c r="O1079" s="1"/>
      <c r="Q1079" s="12"/>
      <c r="R1079" s="1"/>
    </row>
    <row r="1080" ht="12.75" hidden="1" customHeight="1" outlineLevel="1">
      <c r="A1080" s="122">
        <f t="shared" si="185"/>
        <v>42421</v>
      </c>
      <c r="B1080" s="120">
        <v>677000.0</v>
      </c>
      <c r="C1080" s="19">
        <f t="shared" si="183"/>
        <v>0</v>
      </c>
      <c r="D1080" s="19">
        <f t="shared" si="182"/>
        <v>-0.1162114919</v>
      </c>
      <c r="E1080" s="12"/>
      <c r="F1080" s="7"/>
      <c r="G1080" s="7"/>
      <c r="H1080" s="1"/>
      <c r="I1080" s="1"/>
      <c r="J1080" s="1"/>
      <c r="K1080" s="1"/>
      <c r="L1080" s="12">
        <f t="shared" si="184"/>
        <v>15956.00844</v>
      </c>
      <c r="M1080" s="12"/>
      <c r="N1080" s="15"/>
      <c r="O1080" s="1"/>
      <c r="Q1080" s="12"/>
      <c r="R1080" s="1"/>
    </row>
    <row r="1081" ht="12.75" hidden="1" customHeight="1" outlineLevel="1">
      <c r="A1081" s="122">
        <f t="shared" si="185"/>
        <v>42422</v>
      </c>
      <c r="B1081" s="120">
        <v>666000.0</v>
      </c>
      <c r="C1081" s="19">
        <f t="shared" si="183"/>
        <v>-0.01624815362</v>
      </c>
      <c r="D1081" s="19">
        <f t="shared" si="182"/>
        <v>-0.1305714233</v>
      </c>
      <c r="E1081" s="12"/>
      <c r="F1081" s="7"/>
      <c r="G1081" s="7"/>
      <c r="H1081" s="1"/>
      <c r="I1081" s="1"/>
      <c r="J1081" s="1"/>
      <c r="K1081" s="1"/>
      <c r="L1081" s="12">
        <f t="shared" si="184"/>
        <v>15696.75277</v>
      </c>
      <c r="M1081" s="12"/>
      <c r="N1081" s="15"/>
      <c r="O1081" s="1"/>
      <c r="Q1081" s="12"/>
      <c r="R1081" s="1"/>
    </row>
    <row r="1082" ht="12.75" hidden="1" customHeight="1" outlineLevel="1">
      <c r="A1082" s="122">
        <f t="shared" si="185"/>
        <v>42423</v>
      </c>
      <c r="B1082" s="120">
        <v>664708.0</v>
      </c>
      <c r="C1082" s="19">
        <f t="shared" si="183"/>
        <v>-0.00193993994</v>
      </c>
      <c r="D1082" s="19">
        <f t="shared" si="182"/>
        <v>-0.1322580625</v>
      </c>
      <c r="E1082" s="12"/>
      <c r="F1082" s="7"/>
      <c r="G1082" s="7"/>
      <c r="H1082" s="1"/>
      <c r="I1082" s="1"/>
      <c r="J1082" s="1"/>
      <c r="K1082" s="1"/>
      <c r="L1082" s="12">
        <f t="shared" si="184"/>
        <v>15666.30201</v>
      </c>
      <c r="M1082" s="12"/>
      <c r="N1082" s="15"/>
      <c r="O1082" s="1"/>
      <c r="Q1082" s="12"/>
      <c r="R1082" s="1"/>
    </row>
    <row r="1083" ht="12.75" hidden="1" customHeight="1" outlineLevel="1">
      <c r="A1083" s="122">
        <f t="shared" si="185"/>
        <v>42424</v>
      </c>
      <c r="B1083" s="120">
        <v>670952.0</v>
      </c>
      <c r="C1083" s="19">
        <f t="shared" si="183"/>
        <v>0.009393598392</v>
      </c>
      <c r="D1083" s="19">
        <f t="shared" si="182"/>
        <v>-0.1241068433</v>
      </c>
      <c r="E1083" s="12"/>
      <c r="F1083" s="7"/>
      <c r="G1083" s="7"/>
      <c r="H1083" s="1"/>
      <c r="I1083" s="1"/>
      <c r="J1083" s="1"/>
      <c r="K1083" s="1"/>
      <c r="L1083" s="12">
        <f t="shared" si="184"/>
        <v>15813.46496</v>
      </c>
      <c r="M1083" s="12"/>
      <c r="N1083" s="15"/>
      <c r="O1083" s="1"/>
      <c r="Q1083" s="12"/>
      <c r="R1083" s="1"/>
    </row>
    <row r="1084" ht="12.75" hidden="1" customHeight="1" outlineLevel="1">
      <c r="A1084" s="122">
        <f t="shared" si="185"/>
        <v>42425</v>
      </c>
      <c r="B1084" s="120">
        <v>676547.0</v>
      </c>
      <c r="C1084" s="19">
        <f t="shared" si="183"/>
        <v>0.008338897566</v>
      </c>
      <c r="D1084" s="19">
        <f t="shared" si="182"/>
        <v>-0.11680286</v>
      </c>
      <c r="E1084" s="12"/>
      <c r="F1084" s="7"/>
      <c r="G1084" s="7"/>
      <c r="H1084" s="1"/>
      <c r="I1084" s="1"/>
      <c r="J1084" s="1"/>
      <c r="K1084" s="1"/>
      <c r="L1084" s="12">
        <f t="shared" si="184"/>
        <v>15945.33182</v>
      </c>
      <c r="M1084" s="12"/>
      <c r="N1084" s="15"/>
      <c r="O1084" s="1"/>
      <c r="Q1084" s="12"/>
      <c r="R1084" s="1"/>
    </row>
    <row r="1085" ht="12.75" hidden="1" customHeight="1" outlineLevel="1">
      <c r="A1085" s="122">
        <f t="shared" si="185"/>
        <v>42426</v>
      </c>
      <c r="B1085" s="120">
        <v>670600.0</v>
      </c>
      <c r="C1085" s="19">
        <f t="shared" si="183"/>
        <v>-0.008790224478</v>
      </c>
      <c r="D1085" s="19">
        <f t="shared" si="182"/>
        <v>-0.1245663611</v>
      </c>
      <c r="E1085" s="12"/>
      <c r="F1085" s="7"/>
      <c r="G1085" s="7"/>
      <c r="H1085" s="1"/>
      <c r="I1085" s="1"/>
      <c r="J1085" s="1"/>
      <c r="K1085" s="1"/>
      <c r="L1085" s="12">
        <f t="shared" si="184"/>
        <v>15805.16878</v>
      </c>
      <c r="M1085" s="12"/>
      <c r="N1085" s="15"/>
      <c r="O1085" s="1"/>
      <c r="Q1085" s="12"/>
      <c r="R1085" s="1"/>
    </row>
    <row r="1086" ht="12.75" hidden="1" customHeight="1" outlineLevel="1">
      <c r="A1086" s="122">
        <f t="shared" si="185"/>
        <v>42427</v>
      </c>
      <c r="B1086" s="120">
        <v>670600.0</v>
      </c>
      <c r="C1086" s="19">
        <f t="shared" si="183"/>
        <v>0</v>
      </c>
      <c r="D1086" s="19">
        <f t="shared" si="182"/>
        <v>-0.1245663611</v>
      </c>
      <c r="E1086" s="12"/>
      <c r="F1086" s="7"/>
      <c r="G1086" s="7"/>
      <c r="H1086" s="1"/>
      <c r="I1086" s="1"/>
      <c r="J1086" s="1"/>
      <c r="K1086" s="1"/>
      <c r="L1086" s="12">
        <f t="shared" si="184"/>
        <v>15805.16878</v>
      </c>
      <c r="M1086" s="12"/>
      <c r="N1086" s="15"/>
      <c r="O1086" s="1"/>
      <c r="Q1086" s="12"/>
      <c r="R1086" s="1"/>
    </row>
    <row r="1087" ht="12.75" hidden="1" customHeight="1" outlineLevel="1">
      <c r="A1087" s="122">
        <f t="shared" si="185"/>
        <v>42428</v>
      </c>
      <c r="B1087" s="120">
        <v>670600.0</v>
      </c>
      <c r="C1087" s="19">
        <f t="shared" si="183"/>
        <v>0</v>
      </c>
      <c r="D1087" s="19">
        <f t="shared" si="182"/>
        <v>-0.1245663611</v>
      </c>
      <c r="E1087" s="12"/>
      <c r="F1087" s="7"/>
      <c r="G1087" s="7"/>
      <c r="H1087" s="1"/>
      <c r="I1087" s="1"/>
      <c r="J1087" s="1"/>
      <c r="K1087" s="1"/>
      <c r="L1087" s="12">
        <f t="shared" si="184"/>
        <v>15805.16878</v>
      </c>
      <c r="M1087" s="12"/>
      <c r="N1087" s="15"/>
      <c r="O1087" s="1"/>
      <c r="Q1087" s="12"/>
      <c r="R1087" s="1"/>
    </row>
    <row r="1088" ht="12.75" hidden="1" customHeight="1" outlineLevel="1">
      <c r="A1088" s="122">
        <f t="shared" si="185"/>
        <v>42429</v>
      </c>
      <c r="B1088" s="120">
        <v>660384.52</v>
      </c>
      <c r="C1088" s="19">
        <f t="shared" si="183"/>
        <v>-0.01523334327</v>
      </c>
      <c r="D1088" s="19">
        <f t="shared" si="182"/>
        <v>-0.1379021422</v>
      </c>
      <c r="E1088" s="12"/>
      <c r="F1088" s="7"/>
      <c r="G1088" s="7"/>
      <c r="H1088" s="1"/>
      <c r="I1088" s="1"/>
      <c r="J1088" s="1"/>
      <c r="K1088" s="1"/>
      <c r="L1088" s="12">
        <f t="shared" si="184"/>
        <v>15564.40321</v>
      </c>
      <c r="M1088" s="12"/>
      <c r="N1088" s="15"/>
      <c r="O1088" s="1"/>
      <c r="Q1088" s="12"/>
      <c r="R1088" s="1"/>
    </row>
    <row r="1089" ht="12.75" hidden="1" customHeight="1" outlineLevel="1">
      <c r="A1089" s="122"/>
      <c r="B1089" s="12"/>
      <c r="C1089" s="1"/>
      <c r="D1089" s="1"/>
      <c r="E1089" s="12"/>
      <c r="F1089" s="7"/>
      <c r="G1089" s="7"/>
      <c r="H1089" s="1"/>
      <c r="I1089" s="1"/>
      <c r="J1089" s="1"/>
      <c r="K1089" s="1"/>
      <c r="L1089" s="12"/>
      <c r="M1089" s="12"/>
      <c r="N1089" s="15"/>
      <c r="O1089" s="1"/>
      <c r="Q1089" s="12"/>
      <c r="R1089" s="1"/>
    </row>
    <row r="1090" ht="12.75" hidden="1" customHeight="1" outlineLevel="1">
      <c r="A1090" s="122"/>
      <c r="B1090" s="12">
        <f>B1088</f>
        <v>660384.52</v>
      </c>
      <c r="C1090" s="19"/>
      <c r="D1090" s="19">
        <f t="shared" ref="D1090:D1121" si="187">(B1090/$B$1090)-1</f>
        <v>0</v>
      </c>
      <c r="E1090" s="12"/>
      <c r="F1090" s="7"/>
      <c r="G1090" s="7"/>
      <c r="H1090" s="1"/>
      <c r="I1090" s="1"/>
      <c r="J1090" s="1"/>
      <c r="K1090" s="1"/>
      <c r="L1090" s="12"/>
      <c r="M1090" s="12"/>
      <c r="N1090" s="15"/>
      <c r="O1090" s="1"/>
      <c r="Q1090" s="12"/>
      <c r="R1090" s="1"/>
    </row>
    <row r="1091" ht="12.75" hidden="1" customHeight="1" outlineLevel="1">
      <c r="A1091" s="122">
        <f>A1088+1</f>
        <v>42430</v>
      </c>
      <c r="B1091" s="120">
        <v>671800.0</v>
      </c>
      <c r="C1091" s="19">
        <f t="shared" ref="C1091:C1121" si="188">(B1091/B1090)-1</f>
        <v>0.01728611083</v>
      </c>
      <c r="D1091" s="19">
        <f t="shared" si="187"/>
        <v>0.01728611083</v>
      </c>
      <c r="E1091" s="12"/>
      <c r="F1091" s="7"/>
      <c r="G1091" s="7"/>
      <c r="H1091" s="1"/>
      <c r="I1091" s="1"/>
      <c r="J1091" s="1"/>
      <c r="K1091" s="1"/>
      <c r="L1091" s="12">
        <f t="shared" ref="L1091:L1121" si="189">IF(C1090="",L1088*(1+C1091),L1090*(1+C1091))</f>
        <v>15833.45121</v>
      </c>
      <c r="M1091" s="12"/>
      <c r="N1091" s="15"/>
      <c r="O1091" s="1"/>
      <c r="Q1091" s="12"/>
      <c r="R1091" s="1"/>
    </row>
    <row r="1092" ht="12.75" hidden="1" customHeight="1" outlineLevel="1">
      <c r="A1092" s="122">
        <f t="shared" ref="A1092:A1121" si="190">A1091+1</f>
        <v>42431</v>
      </c>
      <c r="B1092" s="120">
        <v>669000.0</v>
      </c>
      <c r="C1092" s="19">
        <f t="shared" si="188"/>
        <v>-0.004167907115</v>
      </c>
      <c r="D1092" s="19">
        <f t="shared" si="187"/>
        <v>0.01304615681</v>
      </c>
      <c r="E1092" s="12"/>
      <c r="F1092" s="7"/>
      <c r="G1092" s="7"/>
      <c r="H1092" s="1"/>
      <c r="I1092" s="1"/>
      <c r="J1092" s="1"/>
      <c r="K1092" s="1"/>
      <c r="L1092" s="12">
        <f t="shared" si="189"/>
        <v>15767.45886</v>
      </c>
      <c r="M1092" s="12"/>
      <c r="N1092" s="15"/>
      <c r="O1092" s="1"/>
      <c r="Q1092" s="12"/>
      <c r="R1092" s="1"/>
    </row>
    <row r="1093" ht="12.75" hidden="1" customHeight="1" outlineLevel="1">
      <c r="A1093" s="122">
        <f t="shared" si="190"/>
        <v>42432</v>
      </c>
      <c r="B1093" s="120">
        <v>670414.0</v>
      </c>
      <c r="C1093" s="19">
        <f t="shared" si="188"/>
        <v>0.002113602392</v>
      </c>
      <c r="D1093" s="19">
        <f t="shared" si="187"/>
        <v>0.01518733359</v>
      </c>
      <c r="E1093" s="12"/>
      <c r="F1093" s="7"/>
      <c r="G1093" s="7"/>
      <c r="H1093" s="1"/>
      <c r="I1093" s="1"/>
      <c r="J1093" s="1"/>
      <c r="K1093" s="1"/>
      <c r="L1093" s="12">
        <f t="shared" si="189"/>
        <v>15800.785</v>
      </c>
      <c r="M1093" s="12"/>
      <c r="N1093" s="15"/>
      <c r="O1093" s="1"/>
      <c r="Q1093" s="12"/>
      <c r="R1093" s="1"/>
    </row>
    <row r="1094" ht="12.75" hidden="1" customHeight="1" outlineLevel="1">
      <c r="A1094" s="122">
        <f t="shared" si="190"/>
        <v>42433</v>
      </c>
      <c r="B1094" s="120">
        <v>671297.0</v>
      </c>
      <c r="C1094" s="19">
        <f t="shared" si="188"/>
        <v>0.0013170966</v>
      </c>
      <c r="D1094" s="19">
        <f t="shared" si="187"/>
        <v>0.01652443337</v>
      </c>
      <c r="E1094" s="12"/>
      <c r="F1094" s="7"/>
      <c r="G1094" s="7"/>
      <c r="H1094" s="1"/>
      <c r="I1094" s="1"/>
      <c r="J1094" s="1"/>
      <c r="K1094" s="1"/>
      <c r="L1094" s="12">
        <f t="shared" si="189"/>
        <v>15821.59616</v>
      </c>
      <c r="M1094" s="12"/>
      <c r="N1094" s="15"/>
      <c r="O1094" s="1"/>
      <c r="Q1094" s="12"/>
      <c r="R1094" s="1"/>
    </row>
    <row r="1095" ht="12.75" hidden="1" customHeight="1" outlineLevel="1">
      <c r="A1095" s="122">
        <f t="shared" si="190"/>
        <v>42434</v>
      </c>
      <c r="B1095" s="120">
        <v>668444.0</v>
      </c>
      <c r="C1095" s="19">
        <f t="shared" si="188"/>
        <v>-0.004249981752</v>
      </c>
      <c r="D1095" s="19">
        <f t="shared" si="187"/>
        <v>0.01220422308</v>
      </c>
      <c r="E1095" s="12"/>
      <c r="F1095" s="7"/>
      <c r="G1095" s="7"/>
      <c r="H1095" s="1"/>
      <c r="I1095" s="1"/>
      <c r="J1095" s="1"/>
      <c r="K1095" s="1"/>
      <c r="L1095" s="12">
        <f t="shared" si="189"/>
        <v>15754.35466</v>
      </c>
      <c r="M1095" s="12"/>
      <c r="N1095" s="15"/>
      <c r="O1095" s="1"/>
      <c r="Q1095" s="12"/>
      <c r="R1095" s="1"/>
    </row>
    <row r="1096" ht="12.75" hidden="1" customHeight="1" outlineLevel="1">
      <c r="A1096" s="122">
        <f t="shared" si="190"/>
        <v>42435</v>
      </c>
      <c r="B1096" s="120">
        <v>668444.0</v>
      </c>
      <c r="C1096" s="19">
        <f t="shared" si="188"/>
        <v>0</v>
      </c>
      <c r="D1096" s="19">
        <f t="shared" si="187"/>
        <v>0.01220422308</v>
      </c>
      <c r="E1096" s="12"/>
      <c r="F1096" s="7"/>
      <c r="G1096" s="7"/>
      <c r="H1096" s="1"/>
      <c r="I1096" s="1"/>
      <c r="J1096" s="1"/>
      <c r="K1096" s="1"/>
      <c r="L1096" s="12">
        <f t="shared" si="189"/>
        <v>15754.35466</v>
      </c>
      <c r="M1096" s="12"/>
      <c r="N1096" s="15"/>
      <c r="O1096" s="1"/>
      <c r="Q1096" s="12"/>
      <c r="R1096" s="1"/>
    </row>
    <row r="1097" ht="12.75" hidden="1" customHeight="1" outlineLevel="1">
      <c r="A1097" s="122">
        <f t="shared" si="190"/>
        <v>42436</v>
      </c>
      <c r="B1097" s="120">
        <v>668444.0</v>
      </c>
      <c r="C1097" s="19">
        <f t="shared" si="188"/>
        <v>0</v>
      </c>
      <c r="D1097" s="19">
        <f t="shared" si="187"/>
        <v>0.01220422308</v>
      </c>
      <c r="E1097" s="12"/>
      <c r="F1097" s="7"/>
      <c r="G1097" s="7"/>
      <c r="H1097" s="1"/>
      <c r="I1097" s="1"/>
      <c r="J1097" s="1"/>
      <c r="K1097" s="1"/>
      <c r="L1097" s="12">
        <f t="shared" si="189"/>
        <v>15754.35466</v>
      </c>
      <c r="M1097" s="12"/>
      <c r="N1097" s="15"/>
      <c r="O1097" s="1"/>
      <c r="Q1097" s="12"/>
      <c r="R1097" s="1"/>
    </row>
    <row r="1098" ht="12.75" hidden="1" customHeight="1" outlineLevel="1">
      <c r="A1098" s="122">
        <f t="shared" si="190"/>
        <v>42437</v>
      </c>
      <c r="B1098" s="120">
        <v>676811.0</v>
      </c>
      <c r="C1098" s="19">
        <f t="shared" si="188"/>
        <v>0.01251712933</v>
      </c>
      <c r="D1098" s="19">
        <f t="shared" si="187"/>
        <v>0.02487411425</v>
      </c>
      <c r="E1098" s="12"/>
      <c r="F1098" s="7"/>
      <c r="G1098" s="7"/>
      <c r="H1098" s="1"/>
      <c r="I1098" s="1"/>
      <c r="J1098" s="1"/>
      <c r="K1098" s="1"/>
      <c r="L1098" s="12">
        <f t="shared" si="189"/>
        <v>15951.55396</v>
      </c>
      <c r="M1098" s="12"/>
      <c r="N1098" s="15"/>
      <c r="O1098" s="1"/>
      <c r="Q1098" s="12"/>
      <c r="R1098" s="1"/>
    </row>
    <row r="1099" ht="12.75" hidden="1" customHeight="1" outlineLevel="1">
      <c r="A1099" s="122">
        <f t="shared" si="190"/>
        <v>42438</v>
      </c>
      <c r="B1099" s="120">
        <v>675386.0</v>
      </c>
      <c r="C1099" s="19">
        <f t="shared" si="188"/>
        <v>-0.002105462234</v>
      </c>
      <c r="D1099" s="19">
        <f t="shared" si="187"/>
        <v>0.02271628051</v>
      </c>
      <c r="E1099" s="12"/>
      <c r="F1099" s="7"/>
      <c r="G1099" s="7"/>
      <c r="H1099" s="1"/>
      <c r="I1099" s="1"/>
      <c r="J1099" s="1"/>
      <c r="K1099" s="1"/>
      <c r="L1099" s="12">
        <f t="shared" si="189"/>
        <v>15917.96856</v>
      </c>
      <c r="M1099" s="12"/>
      <c r="N1099" s="15"/>
      <c r="O1099" s="1"/>
      <c r="Q1099" s="12"/>
      <c r="R1099" s="1"/>
    </row>
    <row r="1100" ht="12.75" hidden="1" customHeight="1" outlineLevel="1">
      <c r="A1100" s="122">
        <f t="shared" si="190"/>
        <v>42439</v>
      </c>
      <c r="B1100" s="120">
        <v>674828.0</v>
      </c>
      <c r="C1100" s="19">
        <f t="shared" si="188"/>
        <v>-0.000826194206</v>
      </c>
      <c r="D1100" s="19">
        <f t="shared" si="187"/>
        <v>0.02187131824</v>
      </c>
      <c r="E1100" s="12"/>
      <c r="F1100" s="7"/>
      <c r="G1100" s="7"/>
      <c r="H1100" s="1"/>
      <c r="I1100" s="1"/>
      <c r="J1100" s="1"/>
      <c r="K1100" s="1"/>
      <c r="L1100" s="12">
        <f t="shared" si="189"/>
        <v>15904.81723</v>
      </c>
      <c r="M1100" s="12"/>
      <c r="N1100" s="15"/>
      <c r="O1100" s="1"/>
      <c r="Q1100" s="12"/>
      <c r="R1100" s="1"/>
    </row>
    <row r="1101" ht="12.75" hidden="1" customHeight="1" outlineLevel="1">
      <c r="A1101" s="122">
        <f t="shared" si="190"/>
        <v>42440</v>
      </c>
      <c r="B1101" s="120">
        <v>680295.0</v>
      </c>
      <c r="C1101" s="19">
        <f t="shared" si="188"/>
        <v>0.008101323597</v>
      </c>
      <c r="D1101" s="19">
        <f t="shared" si="187"/>
        <v>0.03014982847</v>
      </c>
      <c r="E1101" s="12"/>
      <c r="F1101" s="7"/>
      <c r="G1101" s="7"/>
      <c r="H1101" s="1"/>
      <c r="I1101" s="1"/>
      <c r="J1101" s="1"/>
      <c r="K1101" s="1"/>
      <c r="L1101" s="12">
        <f t="shared" si="189"/>
        <v>16033.6673</v>
      </c>
      <c r="M1101" s="12"/>
      <c r="N1101" s="15"/>
      <c r="O1101" s="1"/>
      <c r="Q1101" s="12"/>
      <c r="R1101" s="1"/>
    </row>
    <row r="1102" ht="12.75" hidden="1" customHeight="1" outlineLevel="1">
      <c r="A1102" s="122">
        <f t="shared" si="190"/>
        <v>42441</v>
      </c>
      <c r="B1102" s="120">
        <v>680295.0</v>
      </c>
      <c r="C1102" s="19">
        <f t="shared" si="188"/>
        <v>0</v>
      </c>
      <c r="D1102" s="19">
        <f t="shared" si="187"/>
        <v>0.03014982847</v>
      </c>
      <c r="E1102" s="12"/>
      <c r="F1102" s="7"/>
      <c r="G1102" s="7"/>
      <c r="H1102" s="1"/>
      <c r="I1102" s="1"/>
      <c r="J1102" s="1"/>
      <c r="K1102" s="1"/>
      <c r="L1102" s="12">
        <f t="shared" si="189"/>
        <v>16033.6673</v>
      </c>
      <c r="M1102" s="12"/>
      <c r="N1102" s="15"/>
      <c r="O1102" s="1"/>
      <c r="Q1102" s="12"/>
      <c r="R1102" s="1"/>
    </row>
    <row r="1103" ht="12.75" hidden="1" customHeight="1" outlineLevel="1">
      <c r="A1103" s="122">
        <f t="shared" si="190"/>
        <v>42442</v>
      </c>
      <c r="B1103" s="120">
        <v>680295.0</v>
      </c>
      <c r="C1103" s="19">
        <f t="shared" si="188"/>
        <v>0</v>
      </c>
      <c r="D1103" s="19">
        <f t="shared" si="187"/>
        <v>0.03014982847</v>
      </c>
      <c r="E1103" s="12"/>
      <c r="F1103" s="7"/>
      <c r="G1103" s="7"/>
      <c r="H1103" s="1"/>
      <c r="I1103" s="1"/>
      <c r="J1103" s="1"/>
      <c r="K1103" s="1"/>
      <c r="L1103" s="12">
        <f t="shared" si="189"/>
        <v>16033.6673</v>
      </c>
      <c r="M1103" s="12"/>
      <c r="N1103" s="15"/>
      <c r="O1103" s="1"/>
      <c r="Q1103" s="12"/>
      <c r="R1103" s="1"/>
    </row>
    <row r="1104" ht="12.75" hidden="1" customHeight="1" outlineLevel="1">
      <c r="A1104" s="122">
        <f t="shared" si="190"/>
        <v>42443</v>
      </c>
      <c r="B1104" s="120">
        <v>680593.7</v>
      </c>
      <c r="C1104" s="19">
        <f t="shared" si="188"/>
        <v>0.0004390742252</v>
      </c>
      <c r="D1104" s="19">
        <f t="shared" si="187"/>
        <v>0.0306021407</v>
      </c>
      <c r="E1104" s="12"/>
      <c r="F1104" s="7"/>
      <c r="G1104" s="7"/>
      <c r="H1104" s="1"/>
      <c r="I1104" s="1"/>
      <c r="J1104" s="1"/>
      <c r="K1104" s="1"/>
      <c r="L1104" s="12">
        <f t="shared" si="189"/>
        <v>16040.70727</v>
      </c>
      <c r="M1104" s="12"/>
      <c r="N1104" s="15"/>
      <c r="O1104" s="1"/>
      <c r="Q1104" s="12"/>
      <c r="R1104" s="1"/>
    </row>
    <row r="1105" ht="12.75" hidden="1" customHeight="1" outlineLevel="1">
      <c r="A1105" s="122">
        <f t="shared" si="190"/>
        <v>42444</v>
      </c>
      <c r="B1105" s="120">
        <v>685547.6316</v>
      </c>
      <c r="C1105" s="19">
        <f t="shared" si="188"/>
        <v>0.007278838461</v>
      </c>
      <c r="D1105" s="19">
        <f t="shared" si="187"/>
        <v>0.0381037272</v>
      </c>
      <c r="E1105" s="12"/>
      <c r="F1105" s="7"/>
      <c r="G1105" s="7"/>
      <c r="H1105" s="1"/>
      <c r="I1105" s="1"/>
      <c r="J1105" s="1"/>
      <c r="K1105" s="1"/>
      <c r="L1105" s="12">
        <f t="shared" si="189"/>
        <v>16157.46499</v>
      </c>
      <c r="M1105" s="12"/>
      <c r="N1105" s="15"/>
      <c r="O1105" s="1"/>
      <c r="Q1105" s="12"/>
      <c r="R1105" s="1"/>
    </row>
    <row r="1106" ht="12.75" hidden="1" customHeight="1" outlineLevel="1">
      <c r="A1106" s="122">
        <f t="shared" si="190"/>
        <v>42445</v>
      </c>
      <c r="B1106" s="120">
        <v>678556.8853</v>
      </c>
      <c r="C1106" s="19">
        <f t="shared" si="188"/>
        <v>-0.01019731668</v>
      </c>
      <c r="D1106" s="19">
        <f t="shared" si="187"/>
        <v>0.02751785475</v>
      </c>
      <c r="E1106" s="12"/>
      <c r="F1106" s="7"/>
      <c r="G1106" s="7"/>
      <c r="H1106" s="1"/>
      <c r="I1106" s="1"/>
      <c r="J1106" s="1"/>
      <c r="K1106" s="1"/>
      <c r="L1106" s="12">
        <f t="shared" si="189"/>
        <v>15992.7022</v>
      </c>
      <c r="M1106" s="12"/>
      <c r="N1106" s="15"/>
      <c r="O1106" s="1"/>
      <c r="Q1106" s="12"/>
      <c r="R1106" s="1"/>
    </row>
    <row r="1107" ht="12.75" hidden="1" customHeight="1" outlineLevel="1">
      <c r="A1107" s="122">
        <f t="shared" si="190"/>
        <v>42446</v>
      </c>
      <c r="B1107" s="120">
        <v>668491.3714</v>
      </c>
      <c r="C1107" s="19">
        <f t="shared" si="188"/>
        <v>-0.01483370682</v>
      </c>
      <c r="D1107" s="19">
        <f t="shared" si="187"/>
        <v>0.01227595614</v>
      </c>
      <c r="E1107" s="12"/>
      <c r="F1107" s="7"/>
      <c r="G1107" s="7"/>
      <c r="H1107" s="1"/>
      <c r="I1107" s="1"/>
      <c r="J1107" s="1"/>
      <c r="K1107" s="1"/>
      <c r="L1107" s="12">
        <f t="shared" si="189"/>
        <v>15755.47115</v>
      </c>
      <c r="M1107" s="12"/>
      <c r="N1107" s="15"/>
      <c r="O1107" s="1"/>
      <c r="Q1107" s="12"/>
      <c r="R1107" s="1"/>
    </row>
    <row r="1108" ht="12.75" hidden="1" customHeight="1" outlineLevel="1">
      <c r="A1108" s="122">
        <f t="shared" si="190"/>
        <v>42447</v>
      </c>
      <c r="B1108" s="120">
        <v>669743.114</v>
      </c>
      <c r="C1108" s="19">
        <f t="shared" si="188"/>
        <v>0.001872488791</v>
      </c>
      <c r="D1108" s="19">
        <f t="shared" si="187"/>
        <v>0.01417143152</v>
      </c>
      <c r="E1108" s="12"/>
      <c r="F1108" s="7"/>
      <c r="G1108" s="7"/>
      <c r="H1108" s="1"/>
      <c r="I1108" s="1"/>
      <c r="J1108" s="1"/>
      <c r="K1108" s="1"/>
      <c r="L1108" s="12">
        <f t="shared" si="189"/>
        <v>15784.97309</v>
      </c>
      <c r="M1108" s="12"/>
      <c r="N1108" s="15"/>
      <c r="O1108" s="1"/>
      <c r="Q1108" s="12"/>
      <c r="R1108" s="1"/>
    </row>
    <row r="1109" ht="12.75" hidden="1" customHeight="1" outlineLevel="1">
      <c r="A1109" s="122">
        <f t="shared" si="190"/>
        <v>42448</v>
      </c>
      <c r="B1109" s="120">
        <v>669743.114</v>
      </c>
      <c r="C1109" s="19">
        <f t="shared" si="188"/>
        <v>0</v>
      </c>
      <c r="D1109" s="19">
        <f t="shared" si="187"/>
        <v>0.01417143152</v>
      </c>
      <c r="E1109" s="12"/>
      <c r="F1109" s="7"/>
      <c r="G1109" s="7"/>
      <c r="H1109" s="1"/>
      <c r="I1109" s="1"/>
      <c r="J1109" s="1"/>
      <c r="K1109" s="1"/>
      <c r="L1109" s="12">
        <f t="shared" si="189"/>
        <v>15784.97309</v>
      </c>
      <c r="M1109" s="12"/>
      <c r="N1109" s="15"/>
      <c r="O1109" s="1"/>
      <c r="Q1109" s="12"/>
      <c r="R1109" s="1"/>
    </row>
    <row r="1110" ht="12.75" hidden="1" customHeight="1" outlineLevel="1">
      <c r="A1110" s="122">
        <f t="shared" si="190"/>
        <v>42449</v>
      </c>
      <c r="B1110" s="120">
        <v>669743.114</v>
      </c>
      <c r="C1110" s="19">
        <f t="shared" si="188"/>
        <v>0</v>
      </c>
      <c r="D1110" s="19">
        <f t="shared" si="187"/>
        <v>0.01417143152</v>
      </c>
      <c r="E1110" s="12"/>
      <c r="F1110" s="7"/>
      <c r="G1110" s="7"/>
      <c r="H1110" s="1"/>
      <c r="I1110" s="1"/>
      <c r="J1110" s="1"/>
      <c r="K1110" s="1"/>
      <c r="L1110" s="12">
        <f t="shared" si="189"/>
        <v>15784.97309</v>
      </c>
      <c r="M1110" s="12"/>
      <c r="N1110" s="15"/>
      <c r="O1110" s="1"/>
      <c r="Q1110" s="12"/>
      <c r="R1110" s="1"/>
    </row>
    <row r="1111" ht="12.75" hidden="1" customHeight="1" outlineLevel="1">
      <c r="A1111" s="122">
        <f t="shared" si="190"/>
        <v>42450</v>
      </c>
      <c r="B1111" s="120">
        <v>669834.833</v>
      </c>
      <c r="C1111" s="19">
        <f t="shared" si="188"/>
        <v>0.0001369465368</v>
      </c>
      <c r="D1111" s="19">
        <f t="shared" si="187"/>
        <v>0.01431031878</v>
      </c>
      <c r="E1111" s="12"/>
      <c r="F1111" s="7"/>
      <c r="G1111" s="7"/>
      <c r="H1111" s="1"/>
      <c r="I1111" s="1"/>
      <c r="J1111" s="1"/>
      <c r="K1111" s="1"/>
      <c r="L1111" s="12">
        <f t="shared" si="189"/>
        <v>15787.13479</v>
      </c>
      <c r="M1111" s="12"/>
      <c r="N1111" s="15"/>
      <c r="O1111" s="1"/>
      <c r="Q1111" s="12"/>
      <c r="R1111" s="1"/>
    </row>
    <row r="1112" ht="12.75" hidden="1" customHeight="1" outlineLevel="1">
      <c r="A1112" s="122">
        <f t="shared" si="190"/>
        <v>42451</v>
      </c>
      <c r="B1112" s="120">
        <v>671000.0</v>
      </c>
      <c r="C1112" s="19">
        <f t="shared" si="188"/>
        <v>0.001739484038</v>
      </c>
      <c r="D1112" s="19">
        <f t="shared" si="187"/>
        <v>0.01607469539</v>
      </c>
      <c r="E1112" s="12"/>
      <c r="F1112" s="7"/>
      <c r="G1112" s="7"/>
      <c r="H1112" s="1"/>
      <c r="I1112" s="1"/>
      <c r="J1112" s="1"/>
      <c r="K1112" s="1"/>
      <c r="L1112" s="12">
        <f t="shared" si="189"/>
        <v>15814.59625</v>
      </c>
      <c r="M1112" s="12"/>
      <c r="N1112" s="15"/>
      <c r="O1112" s="1"/>
      <c r="Q1112" s="12"/>
      <c r="R1112" s="1"/>
    </row>
    <row r="1113" ht="12.75" hidden="1" customHeight="1" outlineLevel="1">
      <c r="A1113" s="122">
        <f t="shared" si="190"/>
        <v>42452</v>
      </c>
      <c r="B1113" s="120">
        <v>683000.0</v>
      </c>
      <c r="C1113" s="19">
        <f t="shared" si="188"/>
        <v>0.01788375559</v>
      </c>
      <c r="D1113" s="19">
        <f t="shared" si="187"/>
        <v>0.0342459269</v>
      </c>
      <c r="E1113" s="12"/>
      <c r="F1113" s="7"/>
      <c r="G1113" s="7"/>
      <c r="H1113" s="1"/>
      <c r="I1113" s="1"/>
      <c r="J1113" s="1"/>
      <c r="K1113" s="1"/>
      <c r="L1113" s="12">
        <f t="shared" si="189"/>
        <v>16097.42063</v>
      </c>
      <c r="M1113" s="12"/>
      <c r="N1113" s="15"/>
      <c r="O1113" s="1"/>
      <c r="Q1113" s="12"/>
      <c r="R1113" s="1"/>
    </row>
    <row r="1114" ht="12.75" hidden="1" customHeight="1" outlineLevel="1">
      <c r="A1114" s="122">
        <f t="shared" si="190"/>
        <v>42453</v>
      </c>
      <c r="B1114" s="120">
        <v>676411.0</v>
      </c>
      <c r="C1114" s="19">
        <f t="shared" si="188"/>
        <v>-0.009647144949</v>
      </c>
      <c r="D1114" s="19">
        <f t="shared" si="187"/>
        <v>0.02426840653</v>
      </c>
      <c r="E1114" s="12"/>
      <c r="F1114" s="7"/>
      <c r="G1114" s="7"/>
      <c r="H1114" s="1"/>
      <c r="I1114" s="1"/>
      <c r="J1114" s="1"/>
      <c r="K1114" s="1"/>
      <c r="L1114" s="12">
        <f t="shared" si="189"/>
        <v>15942.12648</v>
      </c>
      <c r="M1114" s="12"/>
      <c r="N1114" s="15"/>
      <c r="O1114" s="1"/>
      <c r="Q1114" s="12"/>
      <c r="R1114" s="1"/>
    </row>
    <row r="1115" ht="12.75" hidden="1" customHeight="1" outlineLevel="1">
      <c r="A1115" s="122">
        <f t="shared" si="190"/>
        <v>42454</v>
      </c>
      <c r="B1115" s="120">
        <v>676411.0</v>
      </c>
      <c r="C1115" s="19">
        <f t="shared" si="188"/>
        <v>0</v>
      </c>
      <c r="D1115" s="19">
        <f t="shared" si="187"/>
        <v>0.02426840653</v>
      </c>
      <c r="E1115" s="12"/>
      <c r="F1115" s="7"/>
      <c r="G1115" s="7"/>
      <c r="H1115" s="1"/>
      <c r="I1115" s="1"/>
      <c r="J1115" s="1"/>
      <c r="K1115" s="1"/>
      <c r="L1115" s="12">
        <f t="shared" si="189"/>
        <v>15942.12648</v>
      </c>
      <c r="M1115" s="12"/>
      <c r="N1115" s="15"/>
      <c r="O1115" s="1"/>
      <c r="Q1115" s="12"/>
      <c r="R1115" s="1"/>
    </row>
    <row r="1116" ht="12.75" hidden="1" customHeight="1" outlineLevel="1">
      <c r="A1116" s="122">
        <f t="shared" si="190"/>
        <v>42455</v>
      </c>
      <c r="B1116" s="120">
        <v>676411.0</v>
      </c>
      <c r="C1116" s="19">
        <f t="shared" si="188"/>
        <v>0</v>
      </c>
      <c r="D1116" s="19">
        <f t="shared" si="187"/>
        <v>0.02426840653</v>
      </c>
      <c r="E1116" s="12"/>
      <c r="F1116" s="7"/>
      <c r="G1116" s="7"/>
      <c r="H1116" s="1"/>
      <c r="I1116" s="1"/>
      <c r="J1116" s="1"/>
      <c r="K1116" s="1"/>
      <c r="L1116" s="12">
        <f t="shared" si="189"/>
        <v>15942.12648</v>
      </c>
      <c r="M1116" s="12"/>
      <c r="N1116" s="15"/>
      <c r="O1116" s="1"/>
      <c r="Q1116" s="12"/>
      <c r="R1116" s="1"/>
    </row>
    <row r="1117" ht="12.75" hidden="1" customHeight="1" outlineLevel="1">
      <c r="A1117" s="122">
        <f t="shared" si="190"/>
        <v>42456</v>
      </c>
      <c r="B1117" s="120">
        <v>676411.0</v>
      </c>
      <c r="C1117" s="19">
        <f t="shared" si="188"/>
        <v>0</v>
      </c>
      <c r="D1117" s="19">
        <f t="shared" si="187"/>
        <v>0.02426840653</v>
      </c>
      <c r="E1117" s="12"/>
      <c r="F1117" s="7"/>
      <c r="G1117" s="7"/>
      <c r="H1117" s="1"/>
      <c r="I1117" s="1"/>
      <c r="J1117" s="1"/>
      <c r="K1117" s="1"/>
      <c r="L1117" s="12">
        <f t="shared" si="189"/>
        <v>15942.12648</v>
      </c>
      <c r="M1117" s="12"/>
      <c r="N1117" s="15"/>
      <c r="O1117" s="1"/>
      <c r="Q1117" s="12"/>
      <c r="R1117" s="1"/>
    </row>
    <row r="1118" ht="12.75" hidden="1" customHeight="1" outlineLevel="1">
      <c r="A1118" s="122">
        <f t="shared" si="190"/>
        <v>42457</v>
      </c>
      <c r="B1118" s="120">
        <v>679574.0</v>
      </c>
      <c r="C1118" s="19">
        <f t="shared" si="188"/>
        <v>0.004676151038</v>
      </c>
      <c r="D1118" s="19">
        <f t="shared" si="187"/>
        <v>0.02905804031</v>
      </c>
      <c r="E1118" s="12"/>
      <c r="F1118" s="7"/>
      <c r="G1118" s="7"/>
      <c r="H1118" s="1"/>
      <c r="I1118" s="1"/>
      <c r="J1118" s="1"/>
      <c r="K1118" s="1"/>
      <c r="L1118" s="12">
        <f t="shared" si="189"/>
        <v>16016.67427</v>
      </c>
      <c r="M1118" s="12"/>
      <c r="N1118" s="15"/>
      <c r="O1118" s="1"/>
      <c r="Q1118" s="12"/>
      <c r="R1118" s="1"/>
    </row>
    <row r="1119" ht="12.75" hidden="1" customHeight="1" outlineLevel="1">
      <c r="A1119" s="122">
        <f t="shared" si="190"/>
        <v>42458</v>
      </c>
      <c r="B1119" s="120">
        <v>685957.0</v>
      </c>
      <c r="C1119" s="19">
        <f t="shared" si="188"/>
        <v>0.009392648924</v>
      </c>
      <c r="D1119" s="19">
        <f t="shared" si="187"/>
        <v>0.0387236212</v>
      </c>
      <c r="E1119" s="12"/>
      <c r="F1119" s="7"/>
      <c r="G1119" s="7"/>
      <c r="H1119" s="1"/>
      <c r="I1119" s="1"/>
      <c r="J1119" s="1"/>
      <c r="K1119" s="1"/>
      <c r="L1119" s="12">
        <f t="shared" si="189"/>
        <v>16167.11327</v>
      </c>
      <c r="M1119" s="12"/>
      <c r="N1119" s="15"/>
      <c r="O1119" s="1"/>
      <c r="Q1119" s="12"/>
      <c r="R1119" s="1"/>
    </row>
    <row r="1120" ht="12.75" hidden="1" customHeight="1" outlineLevel="1">
      <c r="A1120" s="122">
        <f t="shared" si="190"/>
        <v>42459</v>
      </c>
      <c r="B1120" s="120">
        <v>685600.0</v>
      </c>
      <c r="C1120" s="19">
        <f t="shared" si="188"/>
        <v>-0.0005204407856</v>
      </c>
      <c r="D1120" s="19">
        <f t="shared" si="187"/>
        <v>0.03818302706</v>
      </c>
      <c r="E1120" s="12"/>
      <c r="F1120" s="7"/>
      <c r="G1120" s="7"/>
      <c r="H1120" s="1"/>
      <c r="I1120" s="1"/>
      <c r="J1120" s="1"/>
      <c r="K1120" s="1"/>
      <c r="L1120" s="12">
        <f t="shared" si="189"/>
        <v>16158.69924</v>
      </c>
      <c r="M1120" s="12"/>
      <c r="N1120" s="15"/>
      <c r="O1120" s="1"/>
      <c r="Q1120" s="12"/>
      <c r="R1120" s="1"/>
    </row>
    <row r="1121" ht="12.75" hidden="1" customHeight="1" outlineLevel="1">
      <c r="A1121" s="122">
        <f t="shared" si="190"/>
        <v>42460</v>
      </c>
      <c r="B1121" s="120">
        <v>685190.97</v>
      </c>
      <c r="C1121" s="19">
        <f t="shared" si="188"/>
        <v>-0.0005966015169</v>
      </c>
      <c r="D1121" s="19">
        <f t="shared" si="187"/>
        <v>0.0375636455</v>
      </c>
      <c r="E1121" s="12"/>
      <c r="F1121" s="7"/>
      <c r="G1121" s="7"/>
      <c r="H1121" s="1"/>
      <c r="I1121" s="1"/>
      <c r="J1121" s="1"/>
      <c r="K1121" s="1"/>
      <c r="L1121" s="12">
        <f t="shared" si="189"/>
        <v>16149.05894</v>
      </c>
      <c r="M1121" s="12"/>
      <c r="N1121" s="15"/>
      <c r="O1121" s="1"/>
      <c r="Q1121" s="12"/>
      <c r="R1121" s="1"/>
    </row>
    <row r="1122" ht="12.75" hidden="1" customHeight="1" outlineLevel="1">
      <c r="A1122" s="122"/>
      <c r="B1122" s="12"/>
      <c r="C1122" s="1"/>
      <c r="D1122" s="1"/>
      <c r="E1122" s="12"/>
      <c r="F1122" s="7"/>
      <c r="G1122" s="7"/>
      <c r="H1122" s="1"/>
      <c r="I1122" s="1"/>
      <c r="J1122" s="1"/>
      <c r="K1122" s="1"/>
      <c r="L1122" s="12"/>
      <c r="M1122" s="12"/>
      <c r="N1122" s="15"/>
      <c r="O1122" s="1"/>
      <c r="Q1122" s="12"/>
      <c r="R1122" s="1"/>
    </row>
    <row r="1123" ht="12.75" hidden="1" customHeight="1" outlineLevel="1">
      <c r="A1123" s="122"/>
      <c r="B1123" s="12">
        <f>B1121</f>
        <v>685190.97</v>
      </c>
      <c r="C1123" s="19"/>
      <c r="D1123" s="19">
        <f t="shared" ref="D1123:D1153" si="191">(B1123/$B$1123)-1</f>
        <v>0</v>
      </c>
      <c r="E1123" s="12"/>
      <c r="F1123" s="7"/>
      <c r="G1123" s="7"/>
      <c r="H1123" s="1"/>
      <c r="I1123" s="1"/>
      <c r="J1123" s="1"/>
      <c r="K1123" s="1"/>
      <c r="L1123" s="12"/>
      <c r="M1123" s="12"/>
      <c r="N1123" s="15"/>
      <c r="O1123" s="1"/>
      <c r="Q1123" s="12"/>
      <c r="R1123" s="1"/>
    </row>
    <row r="1124" ht="12.75" hidden="1" customHeight="1" outlineLevel="1">
      <c r="A1124" s="122">
        <f>A1121+1</f>
        <v>42461</v>
      </c>
      <c r="B1124" s="120">
        <v>694800.0</v>
      </c>
      <c r="C1124" s="19">
        <f t="shared" ref="C1124:C1153" si="192">(B1124/B1123)-1</f>
        <v>0.01402387133</v>
      </c>
      <c r="D1124" s="19">
        <f t="shared" si="191"/>
        <v>0.01402387133</v>
      </c>
      <c r="E1124" s="12"/>
      <c r="F1124" s="7"/>
      <c r="G1124" s="7"/>
      <c r="H1124" s="1"/>
      <c r="I1124" s="1"/>
      <c r="J1124" s="1"/>
      <c r="K1124" s="1"/>
      <c r="L1124" s="12">
        <f t="shared" ref="L1124:L1153" si="193">IF(C1123="",L1121*(1+C1124),L1123*(1+C1124))</f>
        <v>16375.53126</v>
      </c>
      <c r="M1124" s="12"/>
      <c r="N1124" s="15"/>
      <c r="O1124" s="1"/>
      <c r="Q1124" s="12"/>
      <c r="R1124" s="1"/>
    </row>
    <row r="1125" ht="12.75" hidden="1" customHeight="1" outlineLevel="1">
      <c r="A1125" s="122">
        <f t="shared" ref="A1125:A1153" si="194">A1124+1</f>
        <v>42462</v>
      </c>
      <c r="B1125" s="120">
        <v>694800.0</v>
      </c>
      <c r="C1125" s="19">
        <f t="shared" si="192"/>
        <v>0</v>
      </c>
      <c r="D1125" s="19">
        <f t="shared" si="191"/>
        <v>0.01402387133</v>
      </c>
      <c r="E1125" s="12"/>
      <c r="F1125" s="7"/>
      <c r="G1125" s="7"/>
      <c r="H1125" s="1"/>
      <c r="I1125" s="1"/>
      <c r="J1125" s="1"/>
      <c r="K1125" s="1"/>
      <c r="L1125" s="12">
        <f t="shared" si="193"/>
        <v>16375.53126</v>
      </c>
      <c r="M1125" s="12"/>
      <c r="N1125" s="15"/>
      <c r="O1125" s="1"/>
      <c r="Q1125" s="12"/>
      <c r="R1125" s="1"/>
    </row>
    <row r="1126" ht="12.75" hidden="1" customHeight="1" outlineLevel="1">
      <c r="A1126" s="122">
        <f t="shared" si="194"/>
        <v>42463</v>
      </c>
      <c r="B1126" s="120">
        <v>694800.0</v>
      </c>
      <c r="C1126" s="19">
        <f t="shared" si="192"/>
        <v>0</v>
      </c>
      <c r="D1126" s="19">
        <f t="shared" si="191"/>
        <v>0.01402387133</v>
      </c>
      <c r="E1126" s="12"/>
      <c r="F1126" s="7"/>
      <c r="G1126" s="7"/>
      <c r="H1126" s="1"/>
      <c r="I1126" s="1"/>
      <c r="J1126" s="1"/>
      <c r="K1126" s="1"/>
      <c r="L1126" s="12">
        <f t="shared" si="193"/>
        <v>16375.53126</v>
      </c>
      <c r="M1126" s="12"/>
      <c r="N1126" s="15"/>
      <c r="O1126" s="1"/>
      <c r="Q1126" s="12"/>
      <c r="R1126" s="1"/>
    </row>
    <row r="1127" ht="12.75" hidden="1" customHeight="1" outlineLevel="1">
      <c r="A1127" s="122">
        <f t="shared" si="194"/>
        <v>42464</v>
      </c>
      <c r="B1127" s="120">
        <v>693171.0</v>
      </c>
      <c r="C1127" s="19">
        <f t="shared" si="192"/>
        <v>-0.002344559585</v>
      </c>
      <c r="D1127" s="19">
        <f t="shared" si="191"/>
        <v>0.01164643194</v>
      </c>
      <c r="E1127" s="12"/>
      <c r="F1127" s="7"/>
      <c r="G1127" s="7"/>
      <c r="H1127" s="1"/>
      <c r="I1127" s="1"/>
      <c r="J1127" s="1"/>
      <c r="K1127" s="1"/>
      <c r="L1127" s="12">
        <f t="shared" si="193"/>
        <v>16337.13785</v>
      </c>
      <c r="M1127" s="12"/>
      <c r="N1127" s="15"/>
      <c r="O1127" s="1"/>
      <c r="Q1127" s="12"/>
      <c r="R1127" s="1"/>
    </row>
    <row r="1128" ht="12.75" hidden="1" customHeight="1" outlineLevel="1">
      <c r="A1128" s="122">
        <f t="shared" si="194"/>
        <v>42465</v>
      </c>
      <c r="B1128" s="120">
        <v>684795.55</v>
      </c>
      <c r="C1128" s="19">
        <f t="shared" si="192"/>
        <v>-0.01208280496</v>
      </c>
      <c r="D1128" s="19">
        <f t="shared" si="191"/>
        <v>-0.0005770945872</v>
      </c>
      <c r="E1128" s="12"/>
      <c r="F1128" s="7"/>
      <c r="G1128" s="7"/>
      <c r="H1128" s="1"/>
      <c r="I1128" s="1"/>
      <c r="J1128" s="1"/>
      <c r="K1128" s="1"/>
      <c r="L1128" s="12">
        <f t="shared" si="193"/>
        <v>16139.7394</v>
      </c>
      <c r="M1128" s="12"/>
      <c r="N1128" s="15"/>
      <c r="O1128" s="1"/>
      <c r="Q1128" s="12"/>
      <c r="R1128" s="1"/>
    </row>
    <row r="1129" ht="12.75" hidden="1" customHeight="1" outlineLevel="1">
      <c r="A1129" s="122">
        <f t="shared" si="194"/>
        <v>42466</v>
      </c>
      <c r="B1129" s="120">
        <v>692662.0</v>
      </c>
      <c r="C1129" s="19">
        <f t="shared" si="192"/>
        <v>0.01148729719</v>
      </c>
      <c r="D1129" s="19">
        <f t="shared" si="191"/>
        <v>0.01090357335</v>
      </c>
      <c r="E1129" s="12"/>
      <c r="F1129" s="7"/>
      <c r="G1129" s="7"/>
      <c r="H1129" s="1"/>
      <c r="I1129" s="1"/>
      <c r="J1129" s="1"/>
      <c r="K1129" s="1"/>
      <c r="L1129" s="12">
        <f t="shared" si="193"/>
        <v>16325.14139</v>
      </c>
      <c r="M1129" s="12"/>
      <c r="N1129" s="15"/>
      <c r="O1129" s="1"/>
      <c r="Q1129" s="12"/>
      <c r="R1129" s="1"/>
    </row>
    <row r="1130" ht="12.75" hidden="1" customHeight="1" outlineLevel="1">
      <c r="A1130" s="122">
        <f t="shared" si="194"/>
        <v>42467</v>
      </c>
      <c r="B1130" s="120">
        <v>683800.0</v>
      </c>
      <c r="C1130" s="19">
        <f t="shared" si="192"/>
        <v>-0.01279411892</v>
      </c>
      <c r="D1130" s="19">
        <f t="shared" si="191"/>
        <v>-0.002030047185</v>
      </c>
      <c r="E1130" s="12"/>
      <c r="F1130" s="7"/>
      <c r="G1130" s="7"/>
      <c r="H1130" s="1"/>
      <c r="I1130" s="1"/>
      <c r="J1130" s="1"/>
      <c r="K1130" s="1"/>
      <c r="L1130" s="12">
        <f t="shared" si="193"/>
        <v>16116.27559</v>
      </c>
      <c r="M1130" s="12"/>
      <c r="N1130" s="15"/>
      <c r="O1130" s="1"/>
      <c r="Q1130" s="12"/>
      <c r="R1130" s="1"/>
    </row>
    <row r="1131" ht="12.75" hidden="1" customHeight="1" outlineLevel="1">
      <c r="A1131" s="122">
        <f t="shared" si="194"/>
        <v>42468</v>
      </c>
      <c r="B1131" s="120">
        <v>676518.0</v>
      </c>
      <c r="C1131" s="19">
        <f t="shared" si="192"/>
        <v>-0.01064931266</v>
      </c>
      <c r="D1131" s="19">
        <f t="shared" si="191"/>
        <v>-0.01265774124</v>
      </c>
      <c r="E1131" s="12"/>
      <c r="F1131" s="7"/>
      <c r="G1131" s="7"/>
      <c r="H1131" s="1"/>
      <c r="I1131" s="1"/>
      <c r="J1131" s="1"/>
      <c r="K1131" s="1"/>
      <c r="L1131" s="12">
        <f t="shared" si="193"/>
        <v>15944.64833</v>
      </c>
      <c r="M1131" s="12"/>
      <c r="N1131" s="15"/>
      <c r="O1131" s="1"/>
      <c r="Q1131" s="12"/>
      <c r="R1131" s="1"/>
    </row>
    <row r="1132" ht="12.75" hidden="1" customHeight="1" outlineLevel="1">
      <c r="A1132" s="122">
        <f t="shared" si="194"/>
        <v>42469</v>
      </c>
      <c r="B1132" s="120">
        <v>676518.0</v>
      </c>
      <c r="C1132" s="19">
        <f t="shared" si="192"/>
        <v>0</v>
      </c>
      <c r="D1132" s="19">
        <f t="shared" si="191"/>
        <v>-0.01265774124</v>
      </c>
      <c r="E1132" s="12"/>
      <c r="F1132" s="7"/>
      <c r="G1132" s="7"/>
      <c r="H1132" s="1"/>
      <c r="I1132" s="1"/>
      <c r="J1132" s="1"/>
      <c r="K1132" s="1"/>
      <c r="L1132" s="12">
        <f t="shared" si="193"/>
        <v>15944.64833</v>
      </c>
      <c r="M1132" s="12"/>
      <c r="N1132" s="15"/>
      <c r="O1132" s="1"/>
      <c r="Q1132" s="12"/>
      <c r="R1132" s="1"/>
    </row>
    <row r="1133" ht="12.75" hidden="1" customHeight="1" outlineLevel="1">
      <c r="A1133" s="122">
        <f t="shared" si="194"/>
        <v>42470</v>
      </c>
      <c r="B1133" s="120">
        <v>676518.0</v>
      </c>
      <c r="C1133" s="19">
        <f t="shared" si="192"/>
        <v>0</v>
      </c>
      <c r="D1133" s="19">
        <f t="shared" si="191"/>
        <v>-0.01265774124</v>
      </c>
      <c r="E1133" s="12"/>
      <c r="F1133" s="7"/>
      <c r="G1133" s="7"/>
      <c r="H1133" s="1"/>
      <c r="I1133" s="1"/>
      <c r="J1133" s="1"/>
      <c r="K1133" s="1"/>
      <c r="L1133" s="12">
        <f t="shared" si="193"/>
        <v>15944.64833</v>
      </c>
      <c r="M1133" s="12"/>
      <c r="N1133" s="15"/>
      <c r="O1133" s="1"/>
      <c r="Q1133" s="12"/>
      <c r="R1133" s="1"/>
    </row>
    <row r="1134" ht="12.75" hidden="1" customHeight="1" outlineLevel="1">
      <c r="A1134" s="122">
        <f t="shared" si="194"/>
        <v>42471</v>
      </c>
      <c r="B1134" s="120">
        <v>665000.0</v>
      </c>
      <c r="C1134" s="19">
        <f t="shared" si="192"/>
        <v>-0.01702541544</v>
      </c>
      <c r="D1134" s="19">
        <f t="shared" si="191"/>
        <v>-0.02946765338</v>
      </c>
      <c r="E1134" s="12"/>
      <c r="F1134" s="7"/>
      <c r="G1134" s="7"/>
      <c r="H1134" s="1"/>
      <c r="I1134" s="1"/>
      <c r="J1134" s="1"/>
      <c r="K1134" s="1"/>
      <c r="L1134" s="12">
        <f t="shared" si="193"/>
        <v>15673.18407</v>
      </c>
      <c r="M1134" s="12"/>
      <c r="N1134" s="15"/>
      <c r="O1134" s="1"/>
      <c r="Q1134" s="12"/>
      <c r="R1134" s="1"/>
    </row>
    <row r="1135" ht="12.75" hidden="1" customHeight="1" outlineLevel="1">
      <c r="A1135" s="122">
        <f t="shared" si="194"/>
        <v>42472</v>
      </c>
      <c r="B1135" s="120">
        <v>657495.0</v>
      </c>
      <c r="C1135" s="19">
        <f t="shared" si="192"/>
        <v>-0.01128571429</v>
      </c>
      <c r="D1135" s="19">
        <f t="shared" si="191"/>
        <v>-0.04042080414</v>
      </c>
      <c r="E1135" s="12"/>
      <c r="F1135" s="7"/>
      <c r="G1135" s="7"/>
      <c r="H1135" s="1"/>
      <c r="I1135" s="1"/>
      <c r="J1135" s="1"/>
      <c r="K1135" s="1"/>
      <c r="L1135" s="12">
        <f t="shared" si="193"/>
        <v>15496.30099</v>
      </c>
      <c r="M1135" s="12"/>
      <c r="N1135" s="15"/>
      <c r="O1135" s="1"/>
      <c r="Q1135" s="12"/>
      <c r="R1135" s="1"/>
    </row>
    <row r="1136" ht="12.75" hidden="1" customHeight="1" outlineLevel="1">
      <c r="A1136" s="122">
        <f t="shared" si="194"/>
        <v>42473</v>
      </c>
      <c r="B1136" s="120">
        <v>664900.0</v>
      </c>
      <c r="C1136" s="19">
        <f t="shared" si="192"/>
        <v>0.01126244306</v>
      </c>
      <c r="D1136" s="19">
        <f t="shared" si="191"/>
        <v>-0.02961359809</v>
      </c>
      <c r="E1136" s="12"/>
      <c r="F1136" s="7"/>
      <c r="G1136" s="7"/>
      <c r="H1136" s="1"/>
      <c r="I1136" s="1"/>
      <c r="J1136" s="1"/>
      <c r="K1136" s="1"/>
      <c r="L1136" s="12">
        <f t="shared" si="193"/>
        <v>15670.8272</v>
      </c>
      <c r="M1136" s="12"/>
      <c r="N1136" s="15"/>
      <c r="O1136" s="1"/>
      <c r="Q1136" s="12"/>
      <c r="R1136" s="1"/>
    </row>
    <row r="1137" ht="12.75" hidden="1" customHeight="1" outlineLevel="1">
      <c r="A1137" s="122">
        <f t="shared" si="194"/>
        <v>42474</v>
      </c>
      <c r="B1137" s="120">
        <v>665180.0</v>
      </c>
      <c r="C1137" s="19">
        <f t="shared" si="192"/>
        <v>0.0004211159573</v>
      </c>
      <c r="D1137" s="19">
        <f t="shared" si="191"/>
        <v>-0.02920495289</v>
      </c>
      <c r="E1137" s="12"/>
      <c r="F1137" s="7"/>
      <c r="G1137" s="7"/>
      <c r="H1137" s="1"/>
      <c r="I1137" s="1"/>
      <c r="J1137" s="1"/>
      <c r="K1137" s="1"/>
      <c r="L1137" s="12">
        <f t="shared" si="193"/>
        <v>15677.42643</v>
      </c>
      <c r="M1137" s="12"/>
      <c r="N1137" s="15"/>
      <c r="O1137" s="1"/>
      <c r="Q1137" s="12"/>
      <c r="R1137" s="1"/>
    </row>
    <row r="1138" ht="12.75" hidden="1" customHeight="1" outlineLevel="1">
      <c r="A1138" s="122">
        <f t="shared" si="194"/>
        <v>42475</v>
      </c>
      <c r="B1138" s="120">
        <v>669661.0</v>
      </c>
      <c r="C1138" s="19">
        <f t="shared" si="192"/>
        <v>0.006736522445</v>
      </c>
      <c r="D1138" s="19">
        <f t="shared" si="191"/>
        <v>-0.02266517027</v>
      </c>
      <c r="E1138" s="12"/>
      <c r="F1138" s="7"/>
      <c r="G1138" s="7"/>
      <c r="H1138" s="1"/>
      <c r="I1138" s="1"/>
      <c r="J1138" s="1"/>
      <c r="K1138" s="1"/>
      <c r="L1138" s="12">
        <f t="shared" si="193"/>
        <v>15783.03777</v>
      </c>
      <c r="M1138" s="12"/>
      <c r="N1138" s="15"/>
      <c r="O1138" s="1"/>
      <c r="Q1138" s="12"/>
      <c r="R1138" s="1"/>
    </row>
    <row r="1139" ht="12.75" hidden="1" customHeight="1" outlineLevel="1">
      <c r="A1139" s="122">
        <f t="shared" si="194"/>
        <v>42476</v>
      </c>
      <c r="B1139" s="120">
        <v>669661.0</v>
      </c>
      <c r="C1139" s="19">
        <f t="shared" si="192"/>
        <v>0</v>
      </c>
      <c r="D1139" s="19">
        <f t="shared" si="191"/>
        <v>-0.02266517027</v>
      </c>
      <c r="E1139" s="12"/>
      <c r="F1139" s="7"/>
      <c r="G1139" s="7"/>
      <c r="H1139" s="1"/>
      <c r="I1139" s="1"/>
      <c r="J1139" s="1"/>
      <c r="K1139" s="1"/>
      <c r="L1139" s="12">
        <f t="shared" si="193"/>
        <v>15783.03777</v>
      </c>
      <c r="M1139" s="12"/>
      <c r="N1139" s="15"/>
      <c r="O1139" s="1"/>
      <c r="Q1139" s="12"/>
      <c r="R1139" s="1"/>
    </row>
    <row r="1140" ht="12.75" hidden="1" customHeight="1" outlineLevel="1">
      <c r="A1140" s="122">
        <f t="shared" si="194"/>
        <v>42477</v>
      </c>
      <c r="B1140" s="120">
        <v>669661.0</v>
      </c>
      <c r="C1140" s="19">
        <f t="shared" si="192"/>
        <v>0</v>
      </c>
      <c r="D1140" s="19">
        <f t="shared" si="191"/>
        <v>-0.02266517027</v>
      </c>
      <c r="E1140" s="12"/>
      <c r="F1140" s="7"/>
      <c r="G1140" s="7"/>
      <c r="H1140" s="1"/>
      <c r="I1140" s="1"/>
      <c r="J1140" s="1"/>
      <c r="K1140" s="1"/>
      <c r="L1140" s="12">
        <f t="shared" si="193"/>
        <v>15783.03777</v>
      </c>
      <c r="M1140" s="12"/>
      <c r="N1140" s="15"/>
      <c r="O1140" s="1"/>
      <c r="Q1140" s="12"/>
      <c r="R1140" s="1"/>
    </row>
    <row r="1141" ht="12.75" hidden="1" customHeight="1" outlineLevel="1">
      <c r="A1141" s="122">
        <f t="shared" si="194"/>
        <v>42478</v>
      </c>
      <c r="B1141" s="120">
        <v>669100.0</v>
      </c>
      <c r="C1141" s="19">
        <f t="shared" si="192"/>
        <v>-0.0008377373029</v>
      </c>
      <c r="D1141" s="19">
        <f t="shared" si="191"/>
        <v>-0.02348392011</v>
      </c>
      <c r="E1141" s="12"/>
      <c r="F1141" s="7"/>
      <c r="G1141" s="7"/>
      <c r="H1141" s="1"/>
      <c r="I1141" s="1"/>
      <c r="J1141" s="1"/>
      <c r="K1141" s="1"/>
      <c r="L1141" s="12">
        <f t="shared" si="193"/>
        <v>15769.81573</v>
      </c>
      <c r="M1141" s="12"/>
      <c r="N1141" s="15"/>
      <c r="O1141" s="1"/>
      <c r="Q1141" s="12"/>
      <c r="R1141" s="1"/>
    </row>
    <row r="1142" ht="12.75" hidden="1" customHeight="1" outlineLevel="1">
      <c r="A1142" s="122">
        <f t="shared" si="194"/>
        <v>42479</v>
      </c>
      <c r="B1142" s="120">
        <v>671056.2</v>
      </c>
      <c r="C1142" s="19">
        <f t="shared" si="192"/>
        <v>0.002923628755</v>
      </c>
      <c r="D1142" s="19">
        <f t="shared" si="191"/>
        <v>-0.02062894962</v>
      </c>
      <c r="E1142" s="12"/>
      <c r="F1142" s="7"/>
      <c r="G1142" s="7"/>
      <c r="H1142" s="1"/>
      <c r="I1142" s="1"/>
      <c r="J1142" s="1"/>
      <c r="K1142" s="1"/>
      <c r="L1142" s="12">
        <f t="shared" si="193"/>
        <v>15815.92082</v>
      </c>
      <c r="M1142" s="12"/>
      <c r="N1142" s="15"/>
      <c r="O1142" s="1"/>
      <c r="Q1142" s="12"/>
      <c r="R1142" s="1"/>
    </row>
    <row r="1143" ht="12.75" hidden="1" customHeight="1" outlineLevel="1">
      <c r="A1143" s="122">
        <f t="shared" si="194"/>
        <v>42480</v>
      </c>
      <c r="B1143" s="120">
        <v>670400.0</v>
      </c>
      <c r="C1143" s="19">
        <f t="shared" si="192"/>
        <v>-0.0009778614667</v>
      </c>
      <c r="D1143" s="19">
        <f t="shared" si="191"/>
        <v>-0.02158663883</v>
      </c>
      <c r="E1143" s="12"/>
      <c r="F1143" s="7"/>
      <c r="G1143" s="7"/>
      <c r="H1143" s="1"/>
      <c r="I1143" s="1"/>
      <c r="J1143" s="1"/>
      <c r="K1143" s="1"/>
      <c r="L1143" s="12">
        <f t="shared" si="193"/>
        <v>15800.45504</v>
      </c>
      <c r="M1143" s="12"/>
      <c r="N1143" s="15"/>
      <c r="O1143" s="1"/>
      <c r="Q1143" s="12"/>
      <c r="R1143" s="1"/>
    </row>
    <row r="1144" ht="12.75" hidden="1" customHeight="1" outlineLevel="1">
      <c r="A1144" s="122">
        <f t="shared" si="194"/>
        <v>42481</v>
      </c>
      <c r="B1144" s="120">
        <v>672000.0</v>
      </c>
      <c r="C1144" s="19">
        <f t="shared" si="192"/>
        <v>0.002386634845</v>
      </c>
      <c r="D1144" s="19">
        <f t="shared" si="191"/>
        <v>-0.01925152341</v>
      </c>
      <c r="E1144" s="12"/>
      <c r="F1144" s="7"/>
      <c r="G1144" s="7"/>
      <c r="H1144" s="1"/>
      <c r="I1144" s="1"/>
      <c r="J1144" s="1"/>
      <c r="K1144" s="1"/>
      <c r="L1144" s="12">
        <f t="shared" si="193"/>
        <v>15838.16495</v>
      </c>
      <c r="M1144" s="12"/>
      <c r="N1144" s="15"/>
      <c r="O1144" s="1"/>
      <c r="Q1144" s="12"/>
      <c r="R1144" s="1"/>
    </row>
    <row r="1145" ht="12.75" hidden="1" customHeight="1" outlineLevel="1">
      <c r="A1145" s="122">
        <f t="shared" si="194"/>
        <v>42482</v>
      </c>
      <c r="B1145" s="120">
        <v>664800.0</v>
      </c>
      <c r="C1145" s="19">
        <f t="shared" si="192"/>
        <v>-0.01071428571</v>
      </c>
      <c r="D1145" s="19">
        <f t="shared" si="191"/>
        <v>-0.0297595428</v>
      </c>
      <c r="E1145" s="12"/>
      <c r="F1145" s="7"/>
      <c r="G1145" s="7"/>
      <c r="H1145" s="1"/>
      <c r="I1145" s="1"/>
      <c r="J1145" s="1"/>
      <c r="K1145" s="1"/>
      <c r="L1145" s="12">
        <f t="shared" si="193"/>
        <v>15668.47033</v>
      </c>
      <c r="M1145" s="12"/>
      <c r="N1145" s="15"/>
      <c r="O1145" s="1"/>
      <c r="Q1145" s="12"/>
      <c r="R1145" s="1"/>
    </row>
    <row r="1146" ht="12.75" hidden="1" customHeight="1" outlineLevel="1">
      <c r="A1146" s="122">
        <f t="shared" si="194"/>
        <v>42483</v>
      </c>
      <c r="B1146" s="120">
        <v>664800.0</v>
      </c>
      <c r="C1146" s="19">
        <f t="shared" si="192"/>
        <v>0</v>
      </c>
      <c r="D1146" s="19">
        <f t="shared" si="191"/>
        <v>-0.0297595428</v>
      </c>
      <c r="E1146" s="12"/>
      <c r="F1146" s="7"/>
      <c r="G1146" s="7"/>
      <c r="H1146" s="1"/>
      <c r="I1146" s="1"/>
      <c r="J1146" s="1"/>
      <c r="K1146" s="1"/>
      <c r="L1146" s="12">
        <f t="shared" si="193"/>
        <v>15668.47033</v>
      </c>
      <c r="M1146" s="12"/>
      <c r="N1146" s="15"/>
      <c r="O1146" s="1"/>
      <c r="Q1146" s="12"/>
      <c r="R1146" s="1"/>
    </row>
    <row r="1147" ht="12.75" hidden="1" customHeight="1" outlineLevel="1">
      <c r="A1147" s="122">
        <f t="shared" si="194"/>
        <v>42484</v>
      </c>
      <c r="B1147" s="120">
        <v>664800.0</v>
      </c>
      <c r="C1147" s="19">
        <f t="shared" si="192"/>
        <v>0</v>
      </c>
      <c r="D1147" s="19">
        <f t="shared" si="191"/>
        <v>-0.0297595428</v>
      </c>
      <c r="E1147" s="12"/>
      <c r="F1147" s="7"/>
      <c r="G1147" s="7"/>
      <c r="H1147" s="1"/>
      <c r="I1147" s="1"/>
      <c r="J1147" s="1"/>
      <c r="K1147" s="1"/>
      <c r="L1147" s="12">
        <f t="shared" si="193"/>
        <v>15668.47033</v>
      </c>
      <c r="M1147" s="12"/>
      <c r="N1147" s="15"/>
      <c r="O1147" s="1"/>
      <c r="Q1147" s="12"/>
      <c r="R1147" s="1"/>
    </row>
    <row r="1148" ht="12.75" hidden="1" customHeight="1" outlineLevel="1">
      <c r="A1148" s="122">
        <f t="shared" si="194"/>
        <v>42485</v>
      </c>
      <c r="B1148" s="120">
        <v>666694.0</v>
      </c>
      <c r="C1148" s="19">
        <f t="shared" si="192"/>
        <v>0.002848977136</v>
      </c>
      <c r="D1148" s="19">
        <f t="shared" si="191"/>
        <v>-0.02699534992</v>
      </c>
      <c r="E1148" s="12"/>
      <c r="F1148" s="7"/>
      <c r="G1148" s="7"/>
      <c r="H1148" s="1"/>
      <c r="I1148" s="1"/>
      <c r="J1148" s="1"/>
      <c r="K1148" s="1"/>
      <c r="L1148" s="12">
        <f t="shared" si="193"/>
        <v>15713.10944</v>
      </c>
      <c r="M1148" s="12"/>
      <c r="N1148" s="15"/>
      <c r="O1148" s="1"/>
      <c r="Q1148" s="12"/>
      <c r="R1148" s="1"/>
    </row>
    <row r="1149" ht="12.75" hidden="1" customHeight="1" outlineLevel="1">
      <c r="A1149" s="122">
        <f t="shared" si="194"/>
        <v>42486</v>
      </c>
      <c r="B1149" s="120">
        <v>661800.0</v>
      </c>
      <c r="C1149" s="19">
        <f t="shared" si="192"/>
        <v>-0.007340699031</v>
      </c>
      <c r="D1149" s="19">
        <f t="shared" si="191"/>
        <v>-0.03413788422</v>
      </c>
      <c r="E1149" s="12"/>
      <c r="F1149" s="7"/>
      <c r="G1149" s="7"/>
      <c r="H1149" s="1"/>
      <c r="I1149" s="1"/>
      <c r="J1149" s="1"/>
      <c r="K1149" s="1"/>
      <c r="L1149" s="12">
        <f t="shared" si="193"/>
        <v>15597.76423</v>
      </c>
      <c r="M1149" s="12"/>
      <c r="N1149" s="15"/>
      <c r="O1149" s="1"/>
      <c r="Q1149" s="12"/>
      <c r="R1149" s="1"/>
    </row>
    <row r="1150" ht="12.75" hidden="1" customHeight="1" outlineLevel="1">
      <c r="A1150" s="122">
        <f t="shared" si="194"/>
        <v>42487</v>
      </c>
      <c r="B1150" s="120">
        <v>659790.0</v>
      </c>
      <c r="C1150" s="19">
        <f t="shared" si="192"/>
        <v>-0.003037171351</v>
      </c>
      <c r="D1150" s="19">
        <f t="shared" si="191"/>
        <v>-0.03707137296</v>
      </c>
      <c r="E1150" s="12"/>
      <c r="F1150" s="7"/>
      <c r="G1150" s="7"/>
      <c r="H1150" s="1"/>
      <c r="I1150" s="1"/>
      <c r="J1150" s="1"/>
      <c r="K1150" s="1"/>
      <c r="L1150" s="12">
        <f t="shared" si="193"/>
        <v>15550.39115</v>
      </c>
      <c r="M1150" s="12"/>
      <c r="N1150" s="15"/>
      <c r="O1150" s="1"/>
      <c r="Q1150" s="12"/>
      <c r="R1150" s="1"/>
    </row>
    <row r="1151" ht="12.75" hidden="1" customHeight="1" outlineLevel="1">
      <c r="A1151" s="122">
        <f t="shared" si="194"/>
        <v>42488</v>
      </c>
      <c r="B1151" s="120">
        <v>651500.0</v>
      </c>
      <c r="C1151" s="19">
        <f t="shared" si="192"/>
        <v>-0.01256460389</v>
      </c>
      <c r="D1151" s="19">
        <f t="shared" si="191"/>
        <v>-0.04917018974</v>
      </c>
      <c r="E1151" s="12"/>
      <c r="F1151" s="7"/>
      <c r="G1151" s="7"/>
      <c r="H1151" s="1"/>
      <c r="I1151" s="1"/>
      <c r="J1151" s="1"/>
      <c r="K1151" s="1"/>
      <c r="L1151" s="12">
        <f t="shared" si="193"/>
        <v>15355.00665</v>
      </c>
      <c r="M1151" s="12"/>
      <c r="N1151" s="15"/>
      <c r="O1151" s="1"/>
      <c r="Q1151" s="12"/>
      <c r="R1151" s="1"/>
    </row>
    <row r="1152" ht="12.75" hidden="1" customHeight="1" outlineLevel="1">
      <c r="A1152" s="122">
        <f t="shared" si="194"/>
        <v>42489</v>
      </c>
      <c r="B1152" s="120">
        <v>645168.06</v>
      </c>
      <c r="C1152" s="19">
        <f t="shared" si="192"/>
        <v>-0.009719017652</v>
      </c>
      <c r="D1152" s="19">
        <f t="shared" si="191"/>
        <v>-0.05841132145</v>
      </c>
      <c r="E1152" s="12"/>
      <c r="F1152" s="7"/>
      <c r="G1152" s="7"/>
      <c r="H1152" s="1"/>
      <c r="I1152" s="1"/>
      <c r="J1152" s="1"/>
      <c r="K1152" s="1"/>
      <c r="L1152" s="12">
        <f t="shared" si="193"/>
        <v>15205.77107</v>
      </c>
      <c r="M1152" s="12"/>
      <c r="N1152" s="15"/>
      <c r="O1152" s="1"/>
      <c r="Q1152" s="12"/>
      <c r="R1152" s="1"/>
    </row>
    <row r="1153" ht="12.75" hidden="1" customHeight="1" outlineLevel="1">
      <c r="A1153" s="122">
        <f t="shared" si="194"/>
        <v>42490</v>
      </c>
      <c r="B1153" s="120">
        <v>645168.06</v>
      </c>
      <c r="C1153" s="19">
        <f t="shared" si="192"/>
        <v>0</v>
      </c>
      <c r="D1153" s="19">
        <f t="shared" si="191"/>
        <v>-0.05841132145</v>
      </c>
      <c r="E1153" s="12"/>
      <c r="F1153" s="7"/>
      <c r="G1153" s="7"/>
      <c r="H1153" s="1"/>
      <c r="I1153" s="1"/>
      <c r="J1153" s="1"/>
      <c r="K1153" s="1"/>
      <c r="L1153" s="12">
        <f t="shared" si="193"/>
        <v>15205.77107</v>
      </c>
      <c r="M1153" s="12"/>
      <c r="N1153" s="15"/>
      <c r="O1153" s="1"/>
      <c r="Q1153" s="12"/>
      <c r="R1153" s="1"/>
    </row>
    <row r="1154" ht="12.75" hidden="1" customHeight="1" outlineLevel="1">
      <c r="A1154" s="122"/>
      <c r="B1154" s="12"/>
      <c r="C1154" s="1"/>
      <c r="D1154" s="1"/>
      <c r="E1154" s="12"/>
      <c r="F1154" s="7"/>
      <c r="G1154" s="7"/>
      <c r="H1154" s="1"/>
      <c r="I1154" s="1"/>
      <c r="J1154" s="1"/>
      <c r="K1154" s="1"/>
      <c r="L1154" s="12"/>
      <c r="M1154" s="12"/>
      <c r="N1154" s="15"/>
      <c r="O1154" s="1"/>
      <c r="Q1154" s="12"/>
      <c r="R1154" s="1"/>
    </row>
    <row r="1155" ht="12.75" hidden="1" customHeight="1" outlineLevel="1">
      <c r="A1155" s="122"/>
      <c r="B1155" s="12">
        <f>B1153</f>
        <v>645168.06</v>
      </c>
      <c r="C1155" s="19"/>
      <c r="D1155" s="19">
        <f t="shared" ref="D1155:D1186" si="195">(B1155/$B$1155)-1</f>
        <v>0</v>
      </c>
      <c r="E1155" s="12"/>
      <c r="F1155" s="7"/>
      <c r="G1155" s="7"/>
      <c r="H1155" s="1"/>
      <c r="I1155" s="1"/>
      <c r="J1155" s="1"/>
      <c r="K1155" s="1"/>
      <c r="L1155" s="12"/>
      <c r="M1155" s="12"/>
      <c r="N1155" s="15"/>
      <c r="O1155" s="1"/>
      <c r="Q1155" s="12"/>
      <c r="R1155" s="1"/>
    </row>
    <row r="1156" ht="12.75" hidden="1" customHeight="1" outlineLevel="1">
      <c r="A1156" s="122">
        <f>A1153+1</f>
        <v>42491</v>
      </c>
      <c r="B1156" s="12">
        <v>645168.06</v>
      </c>
      <c r="C1156" s="19">
        <f t="shared" ref="C1156:C1186" si="196">(B1156/B1155)-1</f>
        <v>0</v>
      </c>
      <c r="D1156" s="19">
        <f t="shared" si="195"/>
        <v>0</v>
      </c>
      <c r="E1156" s="12"/>
      <c r="F1156" s="7"/>
      <c r="G1156" s="7"/>
      <c r="H1156" s="1"/>
      <c r="I1156" s="1"/>
      <c r="J1156" s="1"/>
      <c r="K1156" s="1"/>
      <c r="L1156" s="12">
        <f t="shared" ref="L1156:L1186" si="197">IF(C1155="",L1153*(1+C1156),L1155*(1+C1156))</f>
        <v>15205.77107</v>
      </c>
      <c r="M1156" s="12"/>
      <c r="N1156" s="15"/>
      <c r="O1156" s="1"/>
      <c r="Q1156" s="12"/>
      <c r="R1156" s="1"/>
    </row>
    <row r="1157" ht="12.75" hidden="1" customHeight="1" outlineLevel="1">
      <c r="A1157" s="122">
        <f t="shared" ref="A1157:A1186" si="198">A1156+1</f>
        <v>42492</v>
      </c>
      <c r="B1157" s="120">
        <v>652300.0</v>
      </c>
      <c r="C1157" s="19">
        <f t="shared" si="196"/>
        <v>0.01105439101</v>
      </c>
      <c r="D1157" s="19">
        <f t="shared" si="195"/>
        <v>0.01105439101</v>
      </c>
      <c r="E1157" s="12"/>
      <c r="F1157" s="7"/>
      <c r="G1157" s="7"/>
      <c r="H1157" s="1"/>
      <c r="I1157" s="1"/>
      <c r="J1157" s="1"/>
      <c r="K1157" s="1"/>
      <c r="L1157" s="12">
        <f t="shared" si="197"/>
        <v>15373.86161</v>
      </c>
      <c r="M1157" s="12"/>
      <c r="N1157" s="15"/>
      <c r="O1157" s="1"/>
      <c r="Q1157" s="12"/>
      <c r="R1157" s="1"/>
    </row>
    <row r="1158" ht="12.75" hidden="1" customHeight="1" outlineLevel="1">
      <c r="A1158" s="122">
        <f t="shared" si="198"/>
        <v>42493</v>
      </c>
      <c r="B1158" s="120">
        <v>647200.0</v>
      </c>
      <c r="C1158" s="19">
        <f t="shared" si="196"/>
        <v>-0.007818488426</v>
      </c>
      <c r="D1158" s="19">
        <f t="shared" si="195"/>
        <v>0.003149473953</v>
      </c>
      <c r="E1158" s="12"/>
      <c r="F1158" s="7"/>
      <c r="G1158" s="7"/>
      <c r="H1158" s="1"/>
      <c r="I1158" s="1"/>
      <c r="J1158" s="1"/>
      <c r="K1158" s="1"/>
      <c r="L1158" s="12">
        <f t="shared" si="197"/>
        <v>15253.66125</v>
      </c>
      <c r="M1158" s="12"/>
      <c r="N1158" s="15"/>
      <c r="O1158" s="1"/>
      <c r="Q1158" s="12"/>
      <c r="R1158" s="1"/>
    </row>
    <row r="1159" ht="12.75" hidden="1" customHeight="1" outlineLevel="1">
      <c r="A1159" s="122">
        <f t="shared" si="198"/>
        <v>42494</v>
      </c>
      <c r="B1159" s="120">
        <v>645600.0</v>
      </c>
      <c r="C1159" s="19">
        <f t="shared" si="196"/>
        <v>-0.002472187886</v>
      </c>
      <c r="D1159" s="19">
        <f t="shared" si="195"/>
        <v>0.0006694999749</v>
      </c>
      <c r="E1159" s="12"/>
      <c r="F1159" s="7"/>
      <c r="G1159" s="7"/>
      <c r="H1159" s="1"/>
      <c r="I1159" s="1"/>
      <c r="J1159" s="1"/>
      <c r="K1159" s="1"/>
      <c r="L1159" s="12">
        <f t="shared" si="197"/>
        <v>15215.95133</v>
      </c>
      <c r="M1159" s="12"/>
      <c r="N1159" s="15"/>
      <c r="O1159" s="1"/>
      <c r="Q1159" s="12"/>
      <c r="R1159" s="1"/>
    </row>
    <row r="1160" ht="12.75" hidden="1" customHeight="1" outlineLevel="1">
      <c r="A1160" s="122">
        <f t="shared" si="198"/>
        <v>42495</v>
      </c>
      <c r="B1160" s="120">
        <v>643800.0</v>
      </c>
      <c r="C1160" s="19">
        <f t="shared" si="196"/>
        <v>-0.002788104089</v>
      </c>
      <c r="D1160" s="19">
        <f t="shared" si="195"/>
        <v>-0.00212047075</v>
      </c>
      <c r="E1160" s="12"/>
      <c r="F1160" s="7"/>
      <c r="G1160" s="7"/>
      <c r="H1160" s="1"/>
      <c r="I1160" s="1"/>
      <c r="J1160" s="1"/>
      <c r="K1160" s="1"/>
      <c r="L1160" s="12">
        <f t="shared" si="197"/>
        <v>15173.52767</v>
      </c>
      <c r="M1160" s="12"/>
      <c r="N1160" s="15"/>
      <c r="O1160" s="1"/>
      <c r="Q1160" s="12"/>
      <c r="R1160" s="1"/>
    </row>
    <row r="1161" ht="12.75" hidden="1" customHeight="1" outlineLevel="1">
      <c r="A1161" s="122">
        <f t="shared" si="198"/>
        <v>42496</v>
      </c>
      <c r="B1161" s="120">
        <v>643700.0</v>
      </c>
      <c r="C1161" s="19">
        <f t="shared" si="196"/>
        <v>-0.0001553277415</v>
      </c>
      <c r="D1161" s="19">
        <f t="shared" si="195"/>
        <v>-0.002275469124</v>
      </c>
      <c r="E1161" s="12"/>
      <c r="F1161" s="7"/>
      <c r="G1161" s="7"/>
      <c r="H1161" s="1"/>
      <c r="I1161" s="1"/>
      <c r="J1161" s="1"/>
      <c r="K1161" s="1"/>
      <c r="L1161" s="12">
        <f t="shared" si="197"/>
        <v>15171.1708</v>
      </c>
      <c r="M1161" s="12"/>
      <c r="N1161" s="15"/>
      <c r="O1161" s="1"/>
      <c r="Q1161" s="12"/>
      <c r="R1161" s="1"/>
    </row>
    <row r="1162" ht="12.75" hidden="1" customHeight="1" outlineLevel="1">
      <c r="A1162" s="122">
        <f t="shared" si="198"/>
        <v>42497</v>
      </c>
      <c r="B1162" s="120">
        <v>643700.0</v>
      </c>
      <c r="C1162" s="19">
        <f t="shared" si="196"/>
        <v>0</v>
      </c>
      <c r="D1162" s="19">
        <f t="shared" si="195"/>
        <v>-0.002275469124</v>
      </c>
      <c r="E1162" s="12"/>
      <c r="F1162" s="7"/>
      <c r="G1162" s="7"/>
      <c r="H1162" s="1"/>
      <c r="I1162" s="1"/>
      <c r="J1162" s="1"/>
      <c r="K1162" s="1"/>
      <c r="L1162" s="12">
        <f t="shared" si="197"/>
        <v>15171.1708</v>
      </c>
      <c r="M1162" s="12"/>
      <c r="N1162" s="15"/>
      <c r="O1162" s="1"/>
      <c r="Q1162" s="12"/>
      <c r="R1162" s="1"/>
    </row>
    <row r="1163" ht="12.75" hidden="1" customHeight="1" outlineLevel="1">
      <c r="A1163" s="122">
        <f t="shared" si="198"/>
        <v>42498</v>
      </c>
      <c r="B1163" s="120">
        <v>643700.0</v>
      </c>
      <c r="C1163" s="19">
        <f t="shared" si="196"/>
        <v>0</v>
      </c>
      <c r="D1163" s="19">
        <f t="shared" si="195"/>
        <v>-0.002275469124</v>
      </c>
      <c r="E1163" s="12"/>
      <c r="F1163" s="7"/>
      <c r="G1163" s="7"/>
      <c r="H1163" s="1"/>
      <c r="I1163" s="1"/>
      <c r="J1163" s="1"/>
      <c r="K1163" s="1"/>
      <c r="L1163" s="12">
        <f t="shared" si="197"/>
        <v>15171.1708</v>
      </c>
      <c r="M1163" s="12"/>
      <c r="N1163" s="15"/>
      <c r="O1163" s="1"/>
      <c r="Q1163" s="12"/>
      <c r="R1163" s="1"/>
    </row>
    <row r="1164" ht="12.75" hidden="1" customHeight="1" outlineLevel="1">
      <c r="A1164" s="122">
        <f t="shared" si="198"/>
        <v>42499</v>
      </c>
      <c r="B1164" s="120">
        <v>649275.0</v>
      </c>
      <c r="C1164" s="19">
        <f t="shared" si="196"/>
        <v>0.008660866863</v>
      </c>
      <c r="D1164" s="19">
        <f t="shared" si="195"/>
        <v>0.006365690205</v>
      </c>
      <c r="E1164" s="12"/>
      <c r="F1164" s="7"/>
      <c r="G1164" s="7"/>
      <c r="H1164" s="1"/>
      <c r="I1164" s="1"/>
      <c r="J1164" s="1"/>
      <c r="K1164" s="1"/>
      <c r="L1164" s="12">
        <f t="shared" si="197"/>
        <v>15302.56629</v>
      </c>
      <c r="M1164" s="12"/>
      <c r="N1164" s="15"/>
      <c r="O1164" s="1"/>
      <c r="Q1164" s="12"/>
      <c r="R1164" s="1"/>
    </row>
    <row r="1165" ht="12.75" hidden="1" customHeight="1" outlineLevel="1">
      <c r="A1165" s="122">
        <f t="shared" si="198"/>
        <v>42500</v>
      </c>
      <c r="B1165" s="120">
        <v>654892.0</v>
      </c>
      <c r="C1165" s="19">
        <f t="shared" si="196"/>
        <v>0.008651187863</v>
      </c>
      <c r="D1165" s="19">
        <f t="shared" si="195"/>
        <v>0.01507194885</v>
      </c>
      <c r="E1165" s="12"/>
      <c r="F1165" s="7"/>
      <c r="G1165" s="7"/>
      <c r="H1165" s="1"/>
      <c r="I1165" s="1"/>
      <c r="J1165" s="1"/>
      <c r="K1165" s="1"/>
      <c r="L1165" s="12">
        <f t="shared" si="197"/>
        <v>15434.95167</v>
      </c>
      <c r="M1165" s="12"/>
      <c r="N1165" s="15"/>
      <c r="O1165" s="1"/>
      <c r="Q1165" s="12"/>
      <c r="R1165" s="1"/>
    </row>
    <row r="1166" ht="12.75" hidden="1" customHeight="1" outlineLevel="1">
      <c r="A1166" s="122">
        <f t="shared" si="198"/>
        <v>42501</v>
      </c>
      <c r="B1166" s="120">
        <v>648662.0</v>
      </c>
      <c r="C1166" s="19">
        <f t="shared" si="196"/>
        <v>-0.009513018941</v>
      </c>
      <c r="D1166" s="19">
        <f t="shared" si="195"/>
        <v>0.005415550175</v>
      </c>
      <c r="E1166" s="12"/>
      <c r="F1166" s="7"/>
      <c r="G1166" s="7"/>
      <c r="H1166" s="1"/>
      <c r="I1166" s="1"/>
      <c r="J1166" s="1"/>
      <c r="K1166" s="1"/>
      <c r="L1166" s="12">
        <f t="shared" si="197"/>
        <v>15288.11868</v>
      </c>
      <c r="M1166" s="12"/>
      <c r="N1166" s="15"/>
      <c r="O1166" s="1"/>
      <c r="Q1166" s="12"/>
      <c r="R1166" s="1"/>
    </row>
    <row r="1167" ht="12.75" hidden="1" customHeight="1" outlineLevel="1">
      <c r="A1167" s="122">
        <f t="shared" si="198"/>
        <v>42502</v>
      </c>
      <c r="B1167" s="120">
        <v>649309.0</v>
      </c>
      <c r="C1167" s="19">
        <f t="shared" si="196"/>
        <v>0.0009974378027</v>
      </c>
      <c r="D1167" s="19">
        <f t="shared" si="195"/>
        <v>0.006418389652</v>
      </c>
      <c r="E1167" s="12"/>
      <c r="F1167" s="7"/>
      <c r="G1167" s="7"/>
      <c r="H1167" s="1"/>
      <c r="I1167" s="1"/>
      <c r="J1167" s="1"/>
      <c r="K1167" s="1"/>
      <c r="L1167" s="12">
        <f t="shared" si="197"/>
        <v>15303.36763</v>
      </c>
      <c r="M1167" s="12"/>
      <c r="N1167" s="15"/>
      <c r="O1167" s="1"/>
      <c r="Q1167" s="12"/>
      <c r="R1167" s="1"/>
    </row>
    <row r="1168" ht="12.75" hidden="1" customHeight="1" outlineLevel="1">
      <c r="A1168" s="122">
        <f t="shared" si="198"/>
        <v>42503</v>
      </c>
      <c r="B1168" s="120">
        <v>645000.0</v>
      </c>
      <c r="C1168" s="19">
        <f t="shared" si="196"/>
        <v>-0.006636285651</v>
      </c>
      <c r="D1168" s="19">
        <f t="shared" si="195"/>
        <v>-0.0002604902667</v>
      </c>
      <c r="E1168" s="12"/>
      <c r="F1168" s="7"/>
      <c r="G1168" s="7"/>
      <c r="H1168" s="1"/>
      <c r="I1168" s="1"/>
      <c r="J1168" s="1"/>
      <c r="K1168" s="1"/>
      <c r="L1168" s="12">
        <f t="shared" si="197"/>
        <v>15201.81011</v>
      </c>
      <c r="M1168" s="12"/>
      <c r="N1168" s="15"/>
      <c r="O1168" s="1"/>
      <c r="Q1168" s="12"/>
      <c r="R1168" s="1"/>
    </row>
    <row r="1169" ht="12.75" hidden="1" customHeight="1" outlineLevel="1">
      <c r="A1169" s="122">
        <f t="shared" si="198"/>
        <v>42504</v>
      </c>
      <c r="B1169" s="12">
        <f>B1168</f>
        <v>645000</v>
      </c>
      <c r="C1169" s="19">
        <f t="shared" si="196"/>
        <v>0</v>
      </c>
      <c r="D1169" s="19">
        <f t="shared" si="195"/>
        <v>-0.0002604902667</v>
      </c>
      <c r="E1169" s="12"/>
      <c r="F1169" s="7"/>
      <c r="G1169" s="7"/>
      <c r="H1169" s="1"/>
      <c r="I1169" s="1"/>
      <c r="J1169" s="1"/>
      <c r="K1169" s="1"/>
      <c r="L1169" s="12">
        <f t="shared" si="197"/>
        <v>15201.81011</v>
      </c>
      <c r="M1169" s="12"/>
      <c r="N1169" s="15"/>
      <c r="O1169" s="1"/>
      <c r="Q1169" s="12"/>
      <c r="R1169" s="1"/>
    </row>
    <row r="1170" ht="12.75" hidden="1" customHeight="1" outlineLevel="1">
      <c r="A1170" s="122">
        <f t="shared" si="198"/>
        <v>42505</v>
      </c>
      <c r="B1170" s="120">
        <v>645000.0</v>
      </c>
      <c r="C1170" s="19">
        <f t="shared" si="196"/>
        <v>0</v>
      </c>
      <c r="D1170" s="19">
        <f t="shared" si="195"/>
        <v>-0.0002604902667</v>
      </c>
      <c r="E1170" s="12"/>
      <c r="F1170" s="7"/>
      <c r="G1170" s="7"/>
      <c r="H1170" s="1"/>
      <c r="I1170" s="1"/>
      <c r="J1170" s="1"/>
      <c r="K1170" s="1"/>
      <c r="L1170" s="12">
        <f t="shared" si="197"/>
        <v>15201.81011</v>
      </c>
      <c r="M1170" s="12"/>
      <c r="N1170" s="15"/>
      <c r="O1170" s="1"/>
      <c r="Q1170" s="12"/>
      <c r="R1170" s="1"/>
    </row>
    <row r="1171" ht="12.75" hidden="1" customHeight="1" outlineLevel="1">
      <c r="A1171" s="122">
        <f t="shared" si="198"/>
        <v>42506</v>
      </c>
      <c r="B1171" s="120">
        <v>650500.0</v>
      </c>
      <c r="C1171" s="19">
        <f t="shared" si="196"/>
        <v>0.008527131783</v>
      </c>
      <c r="D1171" s="19">
        <f t="shared" si="195"/>
        <v>0.008264420281</v>
      </c>
      <c r="E1171" s="12"/>
      <c r="F1171" s="7"/>
      <c r="G1171" s="7"/>
      <c r="H1171" s="1"/>
      <c r="I1171" s="1"/>
      <c r="J1171" s="1"/>
      <c r="K1171" s="1"/>
      <c r="L1171" s="12">
        <f t="shared" si="197"/>
        <v>15331.43795</v>
      </c>
      <c r="M1171" s="12"/>
      <c r="N1171" s="15"/>
      <c r="O1171" s="1"/>
      <c r="Q1171" s="12"/>
      <c r="R1171" s="1"/>
    </row>
    <row r="1172" ht="12.75" hidden="1" customHeight="1" outlineLevel="1">
      <c r="A1172" s="122">
        <f t="shared" si="198"/>
        <v>42507</v>
      </c>
      <c r="B1172" s="120">
        <v>645900.0</v>
      </c>
      <c r="C1172" s="19">
        <f t="shared" si="196"/>
        <v>-0.007071483474</v>
      </c>
      <c r="D1172" s="19">
        <f t="shared" si="195"/>
        <v>0.001134495096</v>
      </c>
      <c r="E1172" s="12"/>
      <c r="F1172" s="7"/>
      <c r="G1172" s="7"/>
      <c r="H1172" s="1"/>
      <c r="I1172" s="1"/>
      <c r="J1172" s="1"/>
      <c r="K1172" s="1"/>
      <c r="L1172" s="12">
        <f t="shared" si="197"/>
        <v>15223.02194</v>
      </c>
      <c r="M1172" s="12"/>
      <c r="N1172" s="15"/>
      <c r="O1172" s="1"/>
      <c r="Q1172" s="12"/>
      <c r="R1172" s="1"/>
    </row>
    <row r="1173" ht="12.75" hidden="1" customHeight="1" outlineLevel="1">
      <c r="A1173" s="122">
        <f t="shared" si="198"/>
        <v>42508</v>
      </c>
      <c r="B1173" s="120">
        <v>650029.4</v>
      </c>
      <c r="C1173" s="19">
        <f t="shared" si="196"/>
        <v>0.006393249729</v>
      </c>
      <c r="D1173" s="19">
        <f t="shared" si="195"/>
        <v>0.007534997935</v>
      </c>
      <c r="E1173" s="12"/>
      <c r="F1173" s="7"/>
      <c r="G1173" s="7"/>
      <c r="H1173" s="1"/>
      <c r="I1173" s="1"/>
      <c r="J1173" s="1"/>
      <c r="K1173" s="1"/>
      <c r="L1173" s="12">
        <f t="shared" si="197"/>
        <v>15320.34652</v>
      </c>
      <c r="M1173" s="12"/>
      <c r="N1173" s="15"/>
      <c r="O1173" s="1"/>
      <c r="Q1173" s="12"/>
      <c r="R1173" s="1"/>
    </row>
    <row r="1174" ht="12.75" hidden="1" customHeight="1" outlineLevel="1">
      <c r="A1174" s="122">
        <f t="shared" si="198"/>
        <v>42509</v>
      </c>
      <c r="B1174" s="120">
        <v>648400.0</v>
      </c>
      <c r="C1174" s="19">
        <f t="shared" si="196"/>
        <v>-0.002506655853</v>
      </c>
      <c r="D1174" s="19">
        <f t="shared" si="195"/>
        <v>0.005009454436</v>
      </c>
      <c r="E1174" s="12"/>
      <c r="F1174" s="7"/>
      <c r="G1174" s="7"/>
      <c r="H1174" s="1"/>
      <c r="I1174" s="1"/>
      <c r="J1174" s="1"/>
      <c r="K1174" s="1"/>
      <c r="L1174" s="12">
        <f t="shared" si="197"/>
        <v>15281.94368</v>
      </c>
      <c r="M1174" s="12"/>
      <c r="N1174" s="15"/>
      <c r="O1174" s="1"/>
      <c r="Q1174" s="12"/>
      <c r="R1174" s="1"/>
    </row>
    <row r="1175" ht="12.75" hidden="1" customHeight="1" outlineLevel="1">
      <c r="A1175" s="122">
        <f t="shared" si="198"/>
        <v>42510</v>
      </c>
      <c r="B1175" s="120">
        <v>654837.0</v>
      </c>
      <c r="C1175" s="19">
        <f t="shared" si="196"/>
        <v>0.00992751388</v>
      </c>
      <c r="D1175" s="19">
        <f t="shared" si="195"/>
        <v>0.01498669974</v>
      </c>
      <c r="E1175" s="12"/>
      <c r="F1175" s="7"/>
      <c r="G1175" s="7"/>
      <c r="H1175" s="1"/>
      <c r="I1175" s="1"/>
      <c r="J1175" s="1"/>
      <c r="K1175" s="1"/>
      <c r="L1175" s="12">
        <f t="shared" si="197"/>
        <v>15433.65539</v>
      </c>
      <c r="M1175" s="12"/>
      <c r="N1175" s="15"/>
      <c r="O1175" s="1"/>
      <c r="Q1175" s="12"/>
      <c r="R1175" s="1"/>
    </row>
    <row r="1176" ht="12.75" hidden="1" customHeight="1" outlineLevel="1">
      <c r="A1176" s="122">
        <f t="shared" si="198"/>
        <v>42511</v>
      </c>
      <c r="B1176" s="120">
        <v>654837.0</v>
      </c>
      <c r="C1176" s="19">
        <f t="shared" si="196"/>
        <v>0</v>
      </c>
      <c r="D1176" s="19">
        <f t="shared" si="195"/>
        <v>0.01498669974</v>
      </c>
      <c r="E1176" s="12"/>
      <c r="F1176" s="7"/>
      <c r="G1176" s="7"/>
      <c r="H1176" s="1"/>
      <c r="I1176" s="1"/>
      <c r="J1176" s="1"/>
      <c r="K1176" s="1"/>
      <c r="L1176" s="12">
        <f t="shared" si="197"/>
        <v>15433.65539</v>
      </c>
      <c r="M1176" s="12"/>
      <c r="N1176" s="15"/>
      <c r="O1176" s="1"/>
      <c r="Q1176" s="12"/>
      <c r="R1176" s="1"/>
    </row>
    <row r="1177" ht="12.75" hidden="1" customHeight="1" outlineLevel="1">
      <c r="A1177" s="122">
        <f t="shared" si="198"/>
        <v>42512</v>
      </c>
      <c r="B1177" s="120">
        <v>654837.0</v>
      </c>
      <c r="C1177" s="19">
        <f t="shared" si="196"/>
        <v>0</v>
      </c>
      <c r="D1177" s="19">
        <f t="shared" si="195"/>
        <v>0.01498669974</v>
      </c>
      <c r="E1177" s="12"/>
      <c r="F1177" s="7"/>
      <c r="G1177" s="7"/>
      <c r="H1177" s="1"/>
      <c r="I1177" s="1"/>
      <c r="J1177" s="1"/>
      <c r="K1177" s="1"/>
      <c r="L1177" s="12">
        <f t="shared" si="197"/>
        <v>15433.65539</v>
      </c>
      <c r="M1177" s="12"/>
      <c r="N1177" s="15"/>
      <c r="O1177" s="1"/>
      <c r="Q1177" s="12"/>
      <c r="R1177" s="1"/>
    </row>
    <row r="1178" ht="12.75" hidden="1" customHeight="1" outlineLevel="1">
      <c r="A1178" s="122">
        <f t="shared" si="198"/>
        <v>42513</v>
      </c>
      <c r="B1178" s="120">
        <v>651807.0</v>
      </c>
      <c r="C1178" s="19">
        <f t="shared" si="196"/>
        <v>-0.004627105677</v>
      </c>
      <c r="D1178" s="19">
        <f t="shared" si="195"/>
        <v>0.01029024902</v>
      </c>
      <c r="E1178" s="12"/>
      <c r="F1178" s="7"/>
      <c r="G1178" s="7"/>
      <c r="H1178" s="1"/>
      <c r="I1178" s="1"/>
      <c r="J1178" s="1"/>
      <c r="K1178" s="1"/>
      <c r="L1178" s="12">
        <f t="shared" si="197"/>
        <v>15362.24224</v>
      </c>
      <c r="M1178" s="12"/>
      <c r="N1178" s="15"/>
      <c r="O1178" s="1"/>
      <c r="Q1178" s="12"/>
      <c r="R1178" s="1"/>
    </row>
    <row r="1179" ht="12.75" hidden="1" customHeight="1" outlineLevel="1">
      <c r="A1179" s="122">
        <f t="shared" si="198"/>
        <v>42514</v>
      </c>
      <c r="B1179" s="120">
        <v>664348.0</v>
      </c>
      <c r="C1179" s="19">
        <f t="shared" si="196"/>
        <v>0.01924035796</v>
      </c>
      <c r="D1179" s="19">
        <f t="shared" si="195"/>
        <v>0.02972859506</v>
      </c>
      <c r="E1179" s="12"/>
      <c r="F1179" s="7"/>
      <c r="G1179" s="7"/>
      <c r="H1179" s="1"/>
      <c r="I1179" s="1"/>
      <c r="J1179" s="1"/>
      <c r="K1179" s="1"/>
      <c r="L1179" s="12">
        <f t="shared" si="197"/>
        <v>15657.81728</v>
      </c>
      <c r="M1179" s="12"/>
      <c r="N1179" s="15"/>
      <c r="O1179" s="1"/>
      <c r="Q1179" s="12"/>
      <c r="R1179" s="1"/>
    </row>
    <row r="1180" ht="12.75" hidden="1" customHeight="1" outlineLevel="1">
      <c r="A1180" s="122">
        <f t="shared" si="198"/>
        <v>42515</v>
      </c>
      <c r="B1180" s="120">
        <v>665000.0</v>
      </c>
      <c r="C1180" s="19">
        <f t="shared" si="196"/>
        <v>0.0009814133557</v>
      </c>
      <c r="D1180" s="19">
        <f t="shared" si="195"/>
        <v>0.03073918445</v>
      </c>
      <c r="E1180" s="12"/>
      <c r="F1180" s="7"/>
      <c r="G1180" s="7"/>
      <c r="H1180" s="1"/>
      <c r="I1180" s="1"/>
      <c r="J1180" s="1"/>
      <c r="K1180" s="1"/>
      <c r="L1180" s="12">
        <f t="shared" si="197"/>
        <v>15673.18407</v>
      </c>
      <c r="M1180" s="12"/>
      <c r="N1180" s="15"/>
      <c r="O1180" s="1"/>
      <c r="Q1180" s="12"/>
      <c r="R1180" s="1"/>
    </row>
    <row r="1181" ht="12.75" hidden="1" customHeight="1" outlineLevel="1">
      <c r="A1181" s="122">
        <f t="shared" si="198"/>
        <v>42516</v>
      </c>
      <c r="B1181" s="120">
        <v>666500.0</v>
      </c>
      <c r="C1181" s="19">
        <f t="shared" si="196"/>
        <v>0.002255639098</v>
      </c>
      <c r="D1181" s="19">
        <f t="shared" si="195"/>
        <v>0.03306416006</v>
      </c>
      <c r="E1181" s="12"/>
      <c r="F1181" s="7"/>
      <c r="G1181" s="7"/>
      <c r="H1181" s="1"/>
      <c r="I1181" s="1"/>
      <c r="J1181" s="1"/>
      <c r="K1181" s="1"/>
      <c r="L1181" s="12">
        <f t="shared" si="197"/>
        <v>15708.53711</v>
      </c>
      <c r="M1181" s="12"/>
      <c r="N1181" s="15"/>
      <c r="O1181" s="1"/>
      <c r="Q1181" s="12"/>
      <c r="R1181" s="1"/>
    </row>
    <row r="1182" ht="12.75" hidden="1" customHeight="1" outlineLevel="1">
      <c r="A1182" s="122">
        <f t="shared" si="198"/>
        <v>42517</v>
      </c>
      <c r="B1182" s="120">
        <v>669200.0</v>
      </c>
      <c r="C1182" s="19">
        <f t="shared" si="196"/>
        <v>0.004051012753</v>
      </c>
      <c r="D1182" s="19">
        <f t="shared" si="195"/>
        <v>0.03724911615</v>
      </c>
      <c r="E1182" s="12"/>
      <c r="F1182" s="7"/>
      <c r="G1182" s="7"/>
      <c r="H1182" s="1"/>
      <c r="I1182" s="1"/>
      <c r="J1182" s="1"/>
      <c r="K1182" s="1"/>
      <c r="L1182" s="12">
        <f t="shared" si="197"/>
        <v>15772.1726</v>
      </c>
      <c r="M1182" s="12"/>
      <c r="N1182" s="15"/>
      <c r="O1182" s="1"/>
      <c r="Q1182" s="12"/>
      <c r="R1182" s="1"/>
    </row>
    <row r="1183" ht="12.75" hidden="1" customHeight="1" outlineLevel="1">
      <c r="A1183" s="122">
        <f t="shared" si="198"/>
        <v>42518</v>
      </c>
      <c r="B1183" s="120">
        <v>669200.0</v>
      </c>
      <c r="C1183" s="19">
        <f t="shared" si="196"/>
        <v>0</v>
      </c>
      <c r="D1183" s="19">
        <f t="shared" si="195"/>
        <v>0.03724911615</v>
      </c>
      <c r="E1183" s="12"/>
      <c r="F1183" s="7"/>
      <c r="G1183" s="7"/>
      <c r="H1183" s="1"/>
      <c r="I1183" s="1"/>
      <c r="J1183" s="1"/>
      <c r="K1183" s="1"/>
      <c r="L1183" s="12">
        <f t="shared" si="197"/>
        <v>15772.1726</v>
      </c>
      <c r="M1183" s="12"/>
      <c r="N1183" s="15"/>
      <c r="O1183" s="1"/>
      <c r="Q1183" s="12"/>
      <c r="R1183" s="1"/>
    </row>
    <row r="1184" ht="12.75" hidden="1" customHeight="1" outlineLevel="1">
      <c r="A1184" s="122">
        <f t="shared" si="198"/>
        <v>42519</v>
      </c>
      <c r="B1184" s="120">
        <v>669200.0</v>
      </c>
      <c r="C1184" s="19">
        <f t="shared" si="196"/>
        <v>0</v>
      </c>
      <c r="D1184" s="19">
        <f t="shared" si="195"/>
        <v>0.03724911615</v>
      </c>
      <c r="E1184" s="12"/>
      <c r="F1184" s="7"/>
      <c r="G1184" s="7"/>
      <c r="H1184" s="1"/>
      <c r="I1184" s="1"/>
      <c r="J1184" s="1"/>
      <c r="K1184" s="1"/>
      <c r="L1184" s="12">
        <f t="shared" si="197"/>
        <v>15772.1726</v>
      </c>
      <c r="M1184" s="12"/>
      <c r="N1184" s="15"/>
      <c r="O1184" s="1"/>
      <c r="Q1184" s="12"/>
      <c r="R1184" s="1"/>
    </row>
    <row r="1185" ht="12.75" hidden="1" customHeight="1" outlineLevel="1">
      <c r="A1185" s="122">
        <f t="shared" si="198"/>
        <v>42520</v>
      </c>
      <c r="B1185" s="120">
        <v>669200.0</v>
      </c>
      <c r="C1185" s="19">
        <f t="shared" si="196"/>
        <v>0</v>
      </c>
      <c r="D1185" s="19">
        <f t="shared" si="195"/>
        <v>0.03724911615</v>
      </c>
      <c r="E1185" s="12"/>
      <c r="F1185" s="7"/>
      <c r="G1185" s="7"/>
      <c r="H1185" s="1"/>
      <c r="I1185" s="1"/>
      <c r="J1185" s="1"/>
      <c r="K1185" s="1"/>
      <c r="L1185" s="12">
        <f t="shared" si="197"/>
        <v>15772.1726</v>
      </c>
      <c r="M1185" s="12"/>
      <c r="N1185" s="15"/>
      <c r="O1185" s="1"/>
      <c r="Q1185" s="12"/>
      <c r="R1185" s="1"/>
    </row>
    <row r="1186" ht="12.75" hidden="1" customHeight="1" outlineLevel="1">
      <c r="A1186" s="122">
        <f t="shared" si="198"/>
        <v>42521</v>
      </c>
      <c r="B1186" s="120">
        <v>669452.27</v>
      </c>
      <c r="C1186" s="19">
        <f t="shared" si="196"/>
        <v>0.0003769725045</v>
      </c>
      <c r="D1186" s="19">
        <f t="shared" si="195"/>
        <v>0.03764013054</v>
      </c>
      <c r="E1186" s="12"/>
      <c r="F1186" s="7"/>
      <c r="G1186" s="7"/>
      <c r="H1186" s="1"/>
      <c r="I1186" s="1"/>
      <c r="J1186" s="1"/>
      <c r="K1186" s="1"/>
      <c r="L1186" s="12">
        <f t="shared" si="197"/>
        <v>15778.11827</v>
      </c>
      <c r="M1186" s="12"/>
      <c r="N1186" s="15"/>
      <c r="O1186" s="1"/>
      <c r="Q1186" s="12"/>
      <c r="R1186" s="1"/>
    </row>
    <row r="1187" ht="12.75" hidden="1" customHeight="1" outlineLevel="1">
      <c r="A1187" s="122"/>
      <c r="B1187" s="12"/>
      <c r="C1187" s="1"/>
      <c r="D1187" s="1"/>
      <c r="E1187" s="12"/>
      <c r="F1187" s="7"/>
      <c r="G1187" s="7"/>
      <c r="H1187" s="1"/>
      <c r="I1187" s="1"/>
      <c r="J1187" s="1"/>
      <c r="K1187" s="1"/>
      <c r="L1187" s="12"/>
      <c r="M1187" s="12"/>
      <c r="N1187" s="15"/>
      <c r="O1187" s="1"/>
      <c r="Q1187" s="12"/>
      <c r="R1187" s="1"/>
    </row>
    <row r="1188" ht="12.75" hidden="1" customHeight="1" outlineLevel="1">
      <c r="A1188" s="122"/>
      <c r="B1188" s="12">
        <f>B1186</f>
        <v>669452.27</v>
      </c>
      <c r="C1188" s="19"/>
      <c r="D1188" s="19">
        <f t="shared" ref="D1188:D1218" si="199">(B1188/$B$1188)-1</f>
        <v>0</v>
      </c>
      <c r="E1188" s="12"/>
      <c r="F1188" s="7"/>
      <c r="G1188" s="7"/>
      <c r="H1188" s="1"/>
      <c r="I1188" s="1"/>
      <c r="J1188" s="1"/>
      <c r="K1188" s="1"/>
      <c r="L1188" s="12"/>
      <c r="M1188" s="12"/>
      <c r="N1188" s="15"/>
      <c r="O1188" s="1"/>
      <c r="Q1188" s="12"/>
      <c r="R1188" s="1"/>
    </row>
    <row r="1189" ht="12.75" hidden="1" customHeight="1" outlineLevel="1">
      <c r="A1189" s="122">
        <f>A1186+1</f>
        <v>42522</v>
      </c>
      <c r="B1189" s="120">
        <v>670400.0</v>
      </c>
      <c r="C1189" s="19">
        <f t="shared" ref="C1189:C1218" si="200">(B1189/B1188)-1</f>
        <v>0.001415679717</v>
      </c>
      <c r="D1189" s="19">
        <f t="shared" si="199"/>
        <v>0.001415679717</v>
      </c>
      <c r="E1189" s="12"/>
      <c r="F1189" s="7"/>
      <c r="G1189" s="7"/>
      <c r="H1189" s="1"/>
      <c r="I1189" s="1"/>
      <c r="J1189" s="1"/>
      <c r="K1189" s="1"/>
      <c r="L1189" s="12">
        <f t="shared" ref="L1189:L1218" si="201">IF(C1188="",L1186*(1+C1189),L1188*(1+C1189))</f>
        <v>15800.45504</v>
      </c>
      <c r="M1189" s="12"/>
      <c r="N1189" s="15"/>
      <c r="O1189" s="1"/>
      <c r="Q1189" s="12"/>
      <c r="R1189" s="1"/>
    </row>
    <row r="1190" ht="12.75" hidden="1" customHeight="1" outlineLevel="1">
      <c r="A1190" s="122">
        <f t="shared" ref="A1190:A1218" si="202">A1189+1</f>
        <v>42523</v>
      </c>
      <c r="B1190" s="120">
        <v>670819.0</v>
      </c>
      <c r="C1190" s="19">
        <f t="shared" si="200"/>
        <v>0.000625</v>
      </c>
      <c r="D1190" s="19">
        <f t="shared" si="199"/>
        <v>0.002041564517</v>
      </c>
      <c r="E1190" s="12"/>
      <c r="F1190" s="7"/>
      <c r="G1190" s="7"/>
      <c r="H1190" s="1"/>
      <c r="I1190" s="1"/>
      <c r="J1190" s="1"/>
      <c r="K1190" s="1"/>
      <c r="L1190" s="12">
        <f t="shared" si="201"/>
        <v>15810.33032</v>
      </c>
      <c r="M1190" s="12"/>
      <c r="N1190" s="15"/>
      <c r="O1190" s="1"/>
      <c r="Q1190" s="12"/>
      <c r="R1190" s="1"/>
    </row>
    <row r="1191" ht="12.75" hidden="1" customHeight="1" outlineLevel="1">
      <c r="A1191" s="122">
        <f t="shared" si="202"/>
        <v>42524</v>
      </c>
      <c r="B1191" s="120">
        <v>665837.0</v>
      </c>
      <c r="C1191" s="19">
        <f t="shared" si="200"/>
        <v>-0.007426742534</v>
      </c>
      <c r="D1191" s="19">
        <f t="shared" si="199"/>
        <v>-0.005400340192</v>
      </c>
      <c r="E1191" s="12"/>
      <c r="F1191" s="7"/>
      <c r="G1191" s="7"/>
      <c r="H1191" s="1"/>
      <c r="I1191" s="1"/>
      <c r="J1191" s="1"/>
      <c r="K1191" s="1"/>
      <c r="L1191" s="12">
        <f t="shared" si="201"/>
        <v>15692.91107</v>
      </c>
      <c r="M1191" s="12"/>
      <c r="N1191" s="15"/>
      <c r="O1191" s="1"/>
      <c r="Q1191" s="12"/>
      <c r="R1191" s="1"/>
    </row>
    <row r="1192" ht="12.75" hidden="1" customHeight="1" outlineLevel="1">
      <c r="A1192" s="122">
        <f t="shared" si="202"/>
        <v>42525</v>
      </c>
      <c r="B1192" s="120">
        <v>665837.0</v>
      </c>
      <c r="C1192" s="19">
        <f t="shared" si="200"/>
        <v>0</v>
      </c>
      <c r="D1192" s="19">
        <f t="shared" si="199"/>
        <v>-0.005400340192</v>
      </c>
      <c r="E1192" s="12"/>
      <c r="F1192" s="7"/>
      <c r="G1192" s="7"/>
      <c r="H1192" s="1"/>
      <c r="I1192" s="1"/>
      <c r="J1192" s="1"/>
      <c r="K1192" s="1"/>
      <c r="L1192" s="12">
        <f t="shared" si="201"/>
        <v>15692.91107</v>
      </c>
      <c r="M1192" s="12"/>
      <c r="N1192" s="15"/>
      <c r="O1192" s="1"/>
      <c r="Q1192" s="12"/>
      <c r="R1192" s="1"/>
    </row>
    <row r="1193" ht="12.75" hidden="1" customHeight="1" outlineLevel="1">
      <c r="A1193" s="122">
        <f t="shared" si="202"/>
        <v>42526</v>
      </c>
      <c r="B1193" s="120">
        <v>665837.0</v>
      </c>
      <c r="C1193" s="19">
        <f t="shared" si="200"/>
        <v>0</v>
      </c>
      <c r="D1193" s="19">
        <f t="shared" si="199"/>
        <v>-0.005400340192</v>
      </c>
      <c r="E1193" s="12"/>
      <c r="F1193" s="7"/>
      <c r="G1193" s="7"/>
      <c r="H1193" s="1"/>
      <c r="I1193" s="1"/>
      <c r="J1193" s="1"/>
      <c r="K1193" s="1"/>
      <c r="L1193" s="12">
        <f t="shared" si="201"/>
        <v>15692.91107</v>
      </c>
      <c r="M1193" s="12"/>
      <c r="N1193" s="15"/>
      <c r="O1193" s="1"/>
      <c r="Q1193" s="12"/>
      <c r="R1193" s="1"/>
    </row>
    <row r="1194" ht="12.75" hidden="1" customHeight="1" outlineLevel="1">
      <c r="A1194" s="122">
        <f t="shared" si="202"/>
        <v>42527</v>
      </c>
      <c r="B1194" s="120">
        <v>667018.0</v>
      </c>
      <c r="C1194" s="19">
        <f t="shared" si="200"/>
        <v>0.001773707379</v>
      </c>
      <c r="D1194" s="19">
        <f t="shared" si="199"/>
        <v>-0.003636211436</v>
      </c>
      <c r="E1194" s="12"/>
      <c r="F1194" s="7"/>
      <c r="G1194" s="7"/>
      <c r="H1194" s="1"/>
      <c r="I1194" s="1"/>
      <c r="J1194" s="1"/>
      <c r="K1194" s="1"/>
      <c r="L1194" s="12">
        <f t="shared" si="201"/>
        <v>15720.7457</v>
      </c>
      <c r="M1194" s="12"/>
      <c r="N1194" s="15"/>
      <c r="O1194" s="1"/>
      <c r="Q1194" s="12"/>
      <c r="R1194" s="1"/>
    </row>
    <row r="1195" ht="12.75" hidden="1" customHeight="1" outlineLevel="1">
      <c r="A1195" s="122">
        <f t="shared" si="202"/>
        <v>42528</v>
      </c>
      <c r="B1195" s="120">
        <v>665500.0</v>
      </c>
      <c r="C1195" s="19">
        <f t="shared" si="200"/>
        <v>-0.002275800653</v>
      </c>
      <c r="D1195" s="19">
        <f t="shared" si="199"/>
        <v>-0.005903736797</v>
      </c>
      <c r="E1195" s="12"/>
      <c r="F1195" s="7"/>
      <c r="G1195" s="7"/>
      <c r="H1195" s="1"/>
      <c r="I1195" s="1"/>
      <c r="J1195" s="1"/>
      <c r="K1195" s="1"/>
      <c r="L1195" s="12">
        <f t="shared" si="201"/>
        <v>15684.96842</v>
      </c>
      <c r="M1195" s="12"/>
      <c r="N1195" s="15"/>
      <c r="O1195" s="1"/>
      <c r="Q1195" s="12"/>
      <c r="R1195" s="1"/>
    </row>
    <row r="1196" ht="12.75" hidden="1" customHeight="1" outlineLevel="1">
      <c r="A1196" s="122">
        <f t="shared" si="202"/>
        <v>42529</v>
      </c>
      <c r="B1196" s="120">
        <v>667000.0</v>
      </c>
      <c r="C1196" s="19">
        <f t="shared" si="200"/>
        <v>0.002253944403</v>
      </c>
      <c r="D1196" s="19">
        <f t="shared" si="199"/>
        <v>-0.003663099088</v>
      </c>
      <c r="E1196" s="12"/>
      <c r="F1196" s="7"/>
      <c r="G1196" s="7"/>
      <c r="H1196" s="1"/>
      <c r="I1196" s="1"/>
      <c r="J1196" s="1"/>
      <c r="K1196" s="1"/>
      <c r="L1196" s="12">
        <f t="shared" si="201"/>
        <v>15720.32146</v>
      </c>
      <c r="M1196" s="12"/>
      <c r="N1196" s="15"/>
      <c r="O1196" s="1"/>
      <c r="Q1196" s="12"/>
      <c r="R1196" s="1"/>
    </row>
    <row r="1197" ht="12.75" hidden="1" customHeight="1" outlineLevel="1">
      <c r="A1197" s="122">
        <f t="shared" si="202"/>
        <v>42530</v>
      </c>
      <c r="B1197" s="120">
        <v>665700.0</v>
      </c>
      <c r="C1197" s="19">
        <f t="shared" si="200"/>
        <v>-0.001949025487</v>
      </c>
      <c r="D1197" s="19">
        <f t="shared" si="199"/>
        <v>-0.005604985102</v>
      </c>
      <c r="E1197" s="12"/>
      <c r="F1197" s="7"/>
      <c r="G1197" s="7"/>
      <c r="H1197" s="1"/>
      <c r="I1197" s="1"/>
      <c r="J1197" s="1"/>
      <c r="K1197" s="1"/>
      <c r="L1197" s="12">
        <f t="shared" si="201"/>
        <v>15689.68216</v>
      </c>
      <c r="M1197" s="12"/>
      <c r="N1197" s="15"/>
      <c r="O1197" s="1"/>
      <c r="Q1197" s="12"/>
      <c r="R1197" s="1"/>
    </row>
    <row r="1198" ht="12.75" hidden="1" customHeight="1" outlineLevel="1">
      <c r="A1198" s="122">
        <f t="shared" si="202"/>
        <v>42531</v>
      </c>
      <c r="B1198" s="120">
        <v>658949.0</v>
      </c>
      <c r="C1198" s="19">
        <f t="shared" si="200"/>
        <v>-0.01014120475</v>
      </c>
      <c r="D1198" s="19">
        <f t="shared" si="199"/>
        <v>-0.01568934855</v>
      </c>
      <c r="E1198" s="12"/>
      <c r="F1198" s="7"/>
      <c r="G1198" s="7"/>
      <c r="H1198" s="1"/>
      <c r="I1198" s="1"/>
      <c r="J1198" s="1"/>
      <c r="K1198" s="1"/>
      <c r="L1198" s="12">
        <f t="shared" si="201"/>
        <v>15530.56988</v>
      </c>
      <c r="M1198" s="12"/>
      <c r="N1198" s="15"/>
      <c r="O1198" s="1"/>
      <c r="Q1198" s="12"/>
      <c r="R1198" s="1"/>
    </row>
    <row r="1199" ht="12.75" hidden="1" customHeight="1" outlineLevel="1">
      <c r="A1199" s="122">
        <f t="shared" si="202"/>
        <v>42532</v>
      </c>
      <c r="B1199" s="120">
        <v>658949.0</v>
      </c>
      <c r="C1199" s="19">
        <f t="shared" si="200"/>
        <v>0</v>
      </c>
      <c r="D1199" s="19">
        <f t="shared" si="199"/>
        <v>-0.01568934855</v>
      </c>
      <c r="E1199" s="12"/>
      <c r="F1199" s="7"/>
      <c r="G1199" s="7"/>
      <c r="H1199" s="1"/>
      <c r="I1199" s="1"/>
      <c r="J1199" s="1"/>
      <c r="K1199" s="1"/>
      <c r="L1199" s="12">
        <f t="shared" si="201"/>
        <v>15530.56988</v>
      </c>
      <c r="M1199" s="12"/>
      <c r="N1199" s="15"/>
      <c r="O1199" s="1"/>
      <c r="Q1199" s="12"/>
      <c r="R1199" s="1"/>
    </row>
    <row r="1200" ht="12.75" hidden="1" customHeight="1" outlineLevel="1">
      <c r="A1200" s="122">
        <f t="shared" si="202"/>
        <v>42533</v>
      </c>
      <c r="B1200" s="120">
        <v>658949.0</v>
      </c>
      <c r="C1200" s="19">
        <f t="shared" si="200"/>
        <v>0</v>
      </c>
      <c r="D1200" s="19">
        <f t="shared" si="199"/>
        <v>-0.01568934855</v>
      </c>
      <c r="E1200" s="12"/>
      <c r="F1200" s="7"/>
      <c r="G1200" s="7"/>
      <c r="H1200" s="1"/>
      <c r="I1200" s="1"/>
      <c r="J1200" s="1"/>
      <c r="K1200" s="1"/>
      <c r="L1200" s="12">
        <f t="shared" si="201"/>
        <v>15530.56988</v>
      </c>
      <c r="M1200" s="12"/>
      <c r="N1200" s="15"/>
      <c r="O1200" s="1"/>
      <c r="Q1200" s="12"/>
      <c r="R1200" s="1"/>
    </row>
    <row r="1201" ht="12.75" hidden="1" customHeight="1" outlineLevel="1">
      <c r="A1201" s="122">
        <f t="shared" si="202"/>
        <v>42534</v>
      </c>
      <c r="B1201" s="120">
        <v>653505.0</v>
      </c>
      <c r="C1201" s="19">
        <f t="shared" si="200"/>
        <v>-0.008261640886</v>
      </c>
      <c r="D1201" s="19">
        <f t="shared" si="199"/>
        <v>-0.02382136967</v>
      </c>
      <c r="E1201" s="12"/>
      <c r="F1201" s="7"/>
      <c r="G1201" s="7"/>
      <c r="H1201" s="1"/>
      <c r="I1201" s="1"/>
      <c r="J1201" s="1"/>
      <c r="K1201" s="1"/>
      <c r="L1201" s="12">
        <f t="shared" si="201"/>
        <v>15402.26189</v>
      </c>
      <c r="M1201" s="12"/>
      <c r="N1201" s="15"/>
      <c r="O1201" s="1"/>
      <c r="Q1201" s="12"/>
      <c r="R1201" s="1"/>
    </row>
    <row r="1202" ht="12.75" hidden="1" customHeight="1" outlineLevel="1">
      <c r="A1202" s="122">
        <f t="shared" si="202"/>
        <v>42535</v>
      </c>
      <c r="B1202" s="120">
        <v>649243.0</v>
      </c>
      <c r="C1202" s="19">
        <f t="shared" si="200"/>
        <v>-0.006521755763</v>
      </c>
      <c r="D1202" s="19">
        <f t="shared" si="199"/>
        <v>-0.03018776828</v>
      </c>
      <c r="E1202" s="12"/>
      <c r="F1202" s="7"/>
      <c r="G1202" s="7"/>
      <c r="H1202" s="1"/>
      <c r="I1202" s="1"/>
      <c r="J1202" s="1"/>
      <c r="K1202" s="1"/>
      <c r="L1202" s="12">
        <f t="shared" si="201"/>
        <v>15301.8121</v>
      </c>
      <c r="M1202" s="12"/>
      <c r="N1202" s="15"/>
      <c r="O1202" s="1"/>
      <c r="Q1202" s="12"/>
      <c r="R1202" s="1"/>
    </row>
    <row r="1203" ht="12.75" hidden="1" customHeight="1" outlineLevel="1">
      <c r="A1203" s="122">
        <f t="shared" si="202"/>
        <v>42536</v>
      </c>
      <c r="B1203" s="120">
        <v>649500.0</v>
      </c>
      <c r="C1203" s="19">
        <f t="shared" si="200"/>
        <v>0.0003958456233</v>
      </c>
      <c r="D1203" s="19">
        <f t="shared" si="199"/>
        <v>-0.02980387235</v>
      </c>
      <c r="E1203" s="12"/>
      <c r="F1203" s="7"/>
      <c r="G1203" s="7"/>
      <c r="H1203" s="1"/>
      <c r="I1203" s="1"/>
      <c r="J1203" s="1"/>
      <c r="K1203" s="1"/>
      <c r="L1203" s="12">
        <f t="shared" si="201"/>
        <v>15307.86925</v>
      </c>
      <c r="M1203" s="12"/>
      <c r="N1203" s="15"/>
      <c r="O1203" s="1"/>
      <c r="Q1203" s="12"/>
      <c r="R1203" s="1"/>
    </row>
    <row r="1204" ht="12.75" hidden="1" customHeight="1" outlineLevel="1">
      <c r="A1204" s="122">
        <f t="shared" si="202"/>
        <v>42537</v>
      </c>
      <c r="B1204" s="120">
        <v>649461.0</v>
      </c>
      <c r="C1204" s="19">
        <f t="shared" si="200"/>
        <v>-0.00006004618938</v>
      </c>
      <c r="D1204" s="19">
        <f t="shared" si="199"/>
        <v>-0.02986212893</v>
      </c>
      <c r="E1204" s="12"/>
      <c r="F1204" s="7"/>
      <c r="G1204" s="7"/>
      <c r="H1204" s="1"/>
      <c r="I1204" s="1"/>
      <c r="J1204" s="1"/>
      <c r="K1204" s="1"/>
      <c r="L1204" s="12">
        <f t="shared" si="201"/>
        <v>15306.95007</v>
      </c>
      <c r="M1204" s="12"/>
      <c r="N1204" s="15"/>
      <c r="O1204" s="1"/>
      <c r="Q1204" s="12"/>
      <c r="R1204" s="1"/>
    </row>
    <row r="1205" ht="12.75" hidden="1" customHeight="1" outlineLevel="1">
      <c r="A1205" s="122">
        <f t="shared" si="202"/>
        <v>42538</v>
      </c>
      <c r="B1205" s="120">
        <v>643800.0</v>
      </c>
      <c r="C1205" s="19">
        <f t="shared" si="200"/>
        <v>-0.008716458725</v>
      </c>
      <c r="D1205" s="19">
        <f t="shared" si="199"/>
        <v>-0.03831829564</v>
      </c>
      <c r="E1205" s="12"/>
      <c r="F1205" s="7"/>
      <c r="G1205" s="7"/>
      <c r="H1205" s="1"/>
      <c r="I1205" s="1"/>
      <c r="J1205" s="1"/>
      <c r="K1205" s="1"/>
      <c r="L1205" s="12">
        <f t="shared" si="201"/>
        <v>15173.52767</v>
      </c>
      <c r="M1205" s="12"/>
      <c r="N1205" s="15"/>
      <c r="O1205" s="1"/>
      <c r="Q1205" s="12"/>
      <c r="R1205" s="1"/>
    </row>
    <row r="1206" ht="12.75" hidden="1" customHeight="1" outlineLevel="1">
      <c r="A1206" s="122">
        <f t="shared" si="202"/>
        <v>42539</v>
      </c>
      <c r="B1206" s="120">
        <v>643800.0</v>
      </c>
      <c r="C1206" s="19">
        <f t="shared" si="200"/>
        <v>0</v>
      </c>
      <c r="D1206" s="19">
        <f t="shared" si="199"/>
        <v>-0.03831829564</v>
      </c>
      <c r="E1206" s="12"/>
      <c r="F1206" s="7"/>
      <c r="G1206" s="7"/>
      <c r="H1206" s="1"/>
      <c r="I1206" s="1"/>
      <c r="J1206" s="1"/>
      <c r="K1206" s="1"/>
      <c r="L1206" s="12">
        <f t="shared" si="201"/>
        <v>15173.52767</v>
      </c>
      <c r="M1206" s="12"/>
      <c r="N1206" s="15"/>
      <c r="O1206" s="1"/>
      <c r="Q1206" s="12"/>
      <c r="R1206" s="1"/>
    </row>
    <row r="1207" ht="12.75" hidden="1" customHeight="1" outlineLevel="1">
      <c r="A1207" s="122">
        <f t="shared" si="202"/>
        <v>42540</v>
      </c>
      <c r="B1207" s="120">
        <v>643800.0</v>
      </c>
      <c r="C1207" s="19">
        <f t="shared" si="200"/>
        <v>0</v>
      </c>
      <c r="D1207" s="19">
        <f t="shared" si="199"/>
        <v>-0.03831829564</v>
      </c>
      <c r="E1207" s="12"/>
      <c r="F1207" s="7"/>
      <c r="G1207" s="7"/>
      <c r="H1207" s="1"/>
      <c r="I1207" s="1"/>
      <c r="J1207" s="1"/>
      <c r="K1207" s="1"/>
      <c r="L1207" s="12">
        <f t="shared" si="201"/>
        <v>15173.52767</v>
      </c>
      <c r="M1207" s="12"/>
      <c r="N1207" s="15"/>
      <c r="O1207" s="1"/>
      <c r="Q1207" s="12"/>
      <c r="R1207" s="1"/>
    </row>
    <row r="1208" ht="12.75" hidden="1" customHeight="1" outlineLevel="1">
      <c r="A1208" s="122">
        <f t="shared" si="202"/>
        <v>42541</v>
      </c>
      <c r="B1208" s="120">
        <v>651900.4</v>
      </c>
      <c r="C1208" s="19">
        <f t="shared" si="200"/>
        <v>0.01258216838</v>
      </c>
      <c r="D1208" s="19">
        <f t="shared" si="199"/>
        <v>-0.02621825451</v>
      </c>
      <c r="E1208" s="12"/>
      <c r="F1208" s="7"/>
      <c r="G1208" s="7"/>
      <c r="H1208" s="1"/>
      <c r="I1208" s="1"/>
      <c r="J1208" s="1"/>
      <c r="K1208" s="1"/>
      <c r="L1208" s="12">
        <f t="shared" si="201"/>
        <v>15364.44355</v>
      </c>
      <c r="M1208" s="12"/>
      <c r="N1208" s="15"/>
      <c r="O1208" s="1"/>
      <c r="Q1208" s="12"/>
      <c r="R1208" s="1"/>
    </row>
    <row r="1209" ht="12.75" hidden="1" customHeight="1" outlineLevel="1">
      <c r="A1209" s="122">
        <f t="shared" si="202"/>
        <v>42542</v>
      </c>
      <c r="B1209" s="120">
        <v>653800.0</v>
      </c>
      <c r="C1209" s="19">
        <f t="shared" si="200"/>
        <v>0.002913942068</v>
      </c>
      <c r="D1209" s="19">
        <f t="shared" si="199"/>
        <v>-0.02338071092</v>
      </c>
      <c r="E1209" s="12"/>
      <c r="F1209" s="7"/>
      <c r="G1209" s="7"/>
      <c r="H1209" s="1"/>
      <c r="I1209" s="1"/>
      <c r="J1209" s="1"/>
      <c r="K1209" s="1"/>
      <c r="L1209" s="12">
        <f t="shared" si="201"/>
        <v>15409.21465</v>
      </c>
      <c r="M1209" s="12"/>
      <c r="N1209" s="15"/>
      <c r="O1209" s="1"/>
      <c r="Q1209" s="12"/>
      <c r="R1209" s="1"/>
    </row>
    <row r="1210" ht="12.75" hidden="1" customHeight="1" outlineLevel="1">
      <c r="A1210" s="122">
        <f t="shared" si="202"/>
        <v>42543</v>
      </c>
      <c r="B1210" s="120">
        <v>654500.0</v>
      </c>
      <c r="C1210" s="19">
        <f t="shared" si="200"/>
        <v>0.001070663812</v>
      </c>
      <c r="D1210" s="19">
        <f t="shared" si="199"/>
        <v>-0.02233507999</v>
      </c>
      <c r="E1210" s="12"/>
      <c r="F1210" s="7"/>
      <c r="G1210" s="7"/>
      <c r="H1210" s="1"/>
      <c r="I1210" s="1"/>
      <c r="J1210" s="1"/>
      <c r="K1210" s="1"/>
      <c r="L1210" s="12">
        <f t="shared" si="201"/>
        <v>15425.71274</v>
      </c>
      <c r="M1210" s="12"/>
      <c r="N1210" s="15"/>
      <c r="O1210" s="1"/>
      <c r="Q1210" s="12"/>
      <c r="R1210" s="1"/>
    </row>
    <row r="1211" ht="12.75" hidden="1" customHeight="1" outlineLevel="1">
      <c r="A1211" s="122">
        <f t="shared" si="202"/>
        <v>42544</v>
      </c>
      <c r="B1211" s="120">
        <v>664112.0</v>
      </c>
      <c r="C1211" s="19">
        <f t="shared" si="200"/>
        <v>0.01468601986</v>
      </c>
      <c r="D1211" s="19">
        <f t="shared" si="199"/>
        <v>-0.007977073556</v>
      </c>
      <c r="E1211" s="12"/>
      <c r="F1211" s="7"/>
      <c r="G1211" s="7"/>
      <c r="H1211" s="1"/>
      <c r="I1211" s="1"/>
      <c r="J1211" s="1"/>
      <c r="K1211" s="1"/>
      <c r="L1211" s="12">
        <f t="shared" si="201"/>
        <v>15652.25506</v>
      </c>
      <c r="M1211" s="12"/>
      <c r="N1211" s="15"/>
      <c r="O1211" s="1"/>
      <c r="Q1211" s="12"/>
      <c r="R1211" s="1"/>
    </row>
    <row r="1212" ht="12.75" hidden="1" customHeight="1" outlineLevel="1">
      <c r="A1212" s="122">
        <f t="shared" si="202"/>
        <v>42545</v>
      </c>
      <c r="B1212" s="120">
        <v>643700.0</v>
      </c>
      <c r="C1212" s="19">
        <f t="shared" si="200"/>
        <v>-0.03073577951</v>
      </c>
      <c r="D1212" s="19">
        <f t="shared" si="199"/>
        <v>-0.03846767149</v>
      </c>
      <c r="E1212" s="12"/>
      <c r="F1212" s="7"/>
      <c r="G1212" s="7"/>
      <c r="H1212" s="1"/>
      <c r="I1212" s="1"/>
      <c r="J1212" s="1"/>
      <c r="K1212" s="1"/>
      <c r="L1212" s="12">
        <f t="shared" si="201"/>
        <v>15171.1708</v>
      </c>
      <c r="M1212" s="12"/>
      <c r="N1212" s="15"/>
      <c r="O1212" s="1"/>
      <c r="Q1212" s="12"/>
      <c r="R1212" s="1"/>
    </row>
    <row r="1213" ht="12.75" hidden="1" customHeight="1" outlineLevel="1">
      <c r="A1213" s="122">
        <f t="shared" si="202"/>
        <v>42546</v>
      </c>
      <c r="B1213" s="120">
        <v>643700.0</v>
      </c>
      <c r="C1213" s="19">
        <f t="shared" si="200"/>
        <v>0</v>
      </c>
      <c r="D1213" s="19">
        <f t="shared" si="199"/>
        <v>-0.03846767149</v>
      </c>
      <c r="E1213" s="12"/>
      <c r="F1213" s="7"/>
      <c r="G1213" s="7"/>
      <c r="H1213" s="1"/>
      <c r="I1213" s="1"/>
      <c r="J1213" s="1"/>
      <c r="K1213" s="1"/>
      <c r="L1213" s="12">
        <f t="shared" si="201"/>
        <v>15171.1708</v>
      </c>
      <c r="M1213" s="12"/>
      <c r="N1213" s="15"/>
      <c r="O1213" s="1"/>
      <c r="Q1213" s="12"/>
      <c r="R1213" s="1"/>
    </row>
    <row r="1214" ht="12.75" hidden="1" customHeight="1" outlineLevel="1">
      <c r="A1214" s="122">
        <f t="shared" si="202"/>
        <v>42547</v>
      </c>
      <c r="B1214" s="120">
        <v>643700.0</v>
      </c>
      <c r="C1214" s="19">
        <f t="shared" si="200"/>
        <v>0</v>
      </c>
      <c r="D1214" s="19">
        <f t="shared" si="199"/>
        <v>-0.03846767149</v>
      </c>
      <c r="E1214" s="12"/>
      <c r="F1214" s="7"/>
      <c r="G1214" s="7"/>
      <c r="H1214" s="1"/>
      <c r="I1214" s="1"/>
      <c r="J1214" s="1"/>
      <c r="K1214" s="1"/>
      <c r="L1214" s="12">
        <f t="shared" si="201"/>
        <v>15171.1708</v>
      </c>
      <c r="M1214" s="12"/>
      <c r="N1214" s="15"/>
      <c r="O1214" s="1"/>
      <c r="Q1214" s="12"/>
      <c r="R1214" s="1"/>
    </row>
    <row r="1215" ht="12.75" hidden="1" customHeight="1" outlineLevel="1">
      <c r="A1215" s="122">
        <f t="shared" si="202"/>
        <v>42548</v>
      </c>
      <c r="B1215" s="120">
        <v>634000.0</v>
      </c>
      <c r="C1215" s="19">
        <f t="shared" si="200"/>
        <v>-0.01506913158</v>
      </c>
      <c r="D1215" s="19">
        <f t="shared" si="199"/>
        <v>-0.05295712867</v>
      </c>
      <c r="E1215" s="12"/>
      <c r="F1215" s="7"/>
      <c r="G1215" s="7"/>
      <c r="H1215" s="1"/>
      <c r="I1215" s="1"/>
      <c r="J1215" s="1"/>
      <c r="K1215" s="1"/>
      <c r="L1215" s="12">
        <f t="shared" si="201"/>
        <v>14942.55443</v>
      </c>
      <c r="M1215" s="12"/>
      <c r="N1215" s="15"/>
      <c r="O1215" s="1"/>
      <c r="Q1215" s="12"/>
      <c r="R1215" s="1"/>
    </row>
    <row r="1216" ht="12.75" hidden="1" customHeight="1" outlineLevel="1">
      <c r="A1216" s="122">
        <f t="shared" si="202"/>
        <v>42549</v>
      </c>
      <c r="B1216" s="120">
        <v>645500.0</v>
      </c>
      <c r="C1216" s="19">
        <f t="shared" si="200"/>
        <v>0.01813880126</v>
      </c>
      <c r="D1216" s="19">
        <f t="shared" si="199"/>
        <v>-0.03577890624</v>
      </c>
      <c r="E1216" s="12"/>
      <c r="F1216" s="7"/>
      <c r="G1216" s="7"/>
      <c r="H1216" s="1"/>
      <c r="I1216" s="1"/>
      <c r="J1216" s="1"/>
      <c r="K1216" s="1"/>
      <c r="L1216" s="12">
        <f t="shared" si="201"/>
        <v>15213.59446</v>
      </c>
      <c r="M1216" s="12"/>
      <c r="N1216" s="15"/>
      <c r="O1216" s="1"/>
      <c r="Q1216" s="12"/>
      <c r="R1216" s="1"/>
    </row>
    <row r="1217" ht="12.75" hidden="1" customHeight="1" outlineLevel="1">
      <c r="A1217" s="122">
        <f t="shared" si="202"/>
        <v>42550</v>
      </c>
      <c r="B1217" s="120">
        <v>655950.0</v>
      </c>
      <c r="C1217" s="19">
        <f t="shared" si="200"/>
        <v>0.01618900077</v>
      </c>
      <c r="D1217" s="19">
        <f t="shared" si="199"/>
        <v>-0.02016913021</v>
      </c>
      <c r="E1217" s="12"/>
      <c r="F1217" s="7"/>
      <c r="G1217" s="7"/>
      <c r="H1217" s="1"/>
      <c r="I1217" s="1"/>
      <c r="J1217" s="1"/>
      <c r="K1217" s="1"/>
      <c r="L1217" s="12">
        <f t="shared" si="201"/>
        <v>15459.88735</v>
      </c>
      <c r="M1217" s="12"/>
      <c r="N1217" s="15"/>
      <c r="O1217" s="1"/>
      <c r="Q1217" s="12"/>
      <c r="R1217" s="1"/>
    </row>
    <row r="1218" ht="12.75" hidden="1" customHeight="1" outlineLevel="1">
      <c r="A1218" s="122">
        <f t="shared" si="202"/>
        <v>42551</v>
      </c>
      <c r="B1218" s="120">
        <v>663660.81</v>
      </c>
      <c r="C1218" s="19">
        <f t="shared" si="200"/>
        <v>0.01175517951</v>
      </c>
      <c r="D1218" s="19">
        <f t="shared" si="199"/>
        <v>-0.008651042441</v>
      </c>
      <c r="E1218" s="12"/>
      <c r="F1218" s="7"/>
      <c r="G1218" s="7"/>
      <c r="H1218" s="1"/>
      <c r="I1218" s="1"/>
      <c r="J1218" s="1"/>
      <c r="K1218" s="1"/>
      <c r="L1218" s="12">
        <f t="shared" si="201"/>
        <v>15641.6211</v>
      </c>
      <c r="M1218" s="12"/>
      <c r="N1218" s="15"/>
      <c r="O1218" s="1"/>
      <c r="Q1218" s="12"/>
      <c r="R1218" s="1"/>
    </row>
    <row r="1219" ht="12.75" hidden="1" customHeight="1" outlineLevel="1">
      <c r="A1219" s="122"/>
      <c r="B1219" s="12"/>
      <c r="C1219" s="1"/>
      <c r="D1219" s="1"/>
      <c r="E1219" s="12"/>
      <c r="F1219" s="7"/>
      <c r="G1219" s="7"/>
      <c r="H1219" s="1"/>
      <c r="I1219" s="1"/>
      <c r="J1219" s="1"/>
      <c r="K1219" s="1"/>
      <c r="L1219" s="12"/>
      <c r="M1219" s="12"/>
      <c r="N1219" s="15"/>
      <c r="O1219" s="1"/>
      <c r="Q1219" s="12"/>
      <c r="R1219" s="1"/>
    </row>
    <row r="1220" ht="12.75" hidden="1" customHeight="1" outlineLevel="1">
      <c r="A1220" s="122"/>
      <c r="B1220" s="12">
        <f>B1218+P1220-Q1220</f>
        <v>673660.81</v>
      </c>
      <c r="C1220" s="19"/>
      <c r="D1220" s="19">
        <f t="shared" ref="D1220:D1251" si="203">(B1220/$B$1220)-1</f>
        <v>0</v>
      </c>
      <c r="E1220" s="12"/>
      <c r="F1220" s="7"/>
      <c r="G1220" s="7"/>
      <c r="H1220" s="1"/>
      <c r="I1220" s="1"/>
      <c r="J1220" s="1"/>
      <c r="K1220" s="1"/>
      <c r="L1220" s="12"/>
      <c r="M1220" s="12"/>
      <c r="N1220" s="15"/>
      <c r="O1220" s="1"/>
      <c r="P1220" s="94">
        <v>10000.0</v>
      </c>
      <c r="Q1220" s="12"/>
      <c r="R1220" s="1"/>
    </row>
    <row r="1221" ht="12.75" hidden="1" customHeight="1" outlineLevel="1">
      <c r="A1221" s="122">
        <f>A1218+1</f>
        <v>42552</v>
      </c>
      <c r="B1221" s="12">
        <f t="shared" ref="B1221:B1224" si="204">663000+$P$1220</f>
        <v>673000</v>
      </c>
      <c r="C1221" s="19">
        <f t="shared" ref="C1221:C1251" si="205">(B1221/B1220)-1</f>
        <v>-0.0009809239163</v>
      </c>
      <c r="D1221" s="19">
        <f t="shared" si="203"/>
        <v>-0.0009809239163</v>
      </c>
      <c r="E1221" s="12"/>
      <c r="F1221" s="7"/>
      <c r="G1221" s="7"/>
      <c r="H1221" s="1"/>
      <c r="I1221" s="1"/>
      <c r="J1221" s="1"/>
      <c r="K1221" s="1"/>
      <c r="L1221" s="12">
        <f t="shared" ref="L1221:L1251" si="206">IF(C1220="",L1218*(1+C1221),L1220*(1+C1221))</f>
        <v>15626.27786</v>
      </c>
      <c r="M1221" s="12"/>
      <c r="N1221" s="15"/>
      <c r="O1221" s="1"/>
      <c r="Q1221" s="12"/>
      <c r="R1221" s="1"/>
    </row>
    <row r="1222" ht="12.75" hidden="1" customHeight="1" outlineLevel="1">
      <c r="A1222" s="122">
        <f t="shared" ref="A1222:A1251" si="207">A1221+1</f>
        <v>42553</v>
      </c>
      <c r="B1222" s="12">
        <f t="shared" si="204"/>
        <v>673000</v>
      </c>
      <c r="C1222" s="19">
        <f t="shared" si="205"/>
        <v>0</v>
      </c>
      <c r="D1222" s="19">
        <f t="shared" si="203"/>
        <v>-0.0009809239163</v>
      </c>
      <c r="E1222" s="12"/>
      <c r="F1222" s="7"/>
      <c r="G1222" s="7"/>
      <c r="H1222" s="1"/>
      <c r="I1222" s="1"/>
      <c r="J1222" s="1"/>
      <c r="K1222" s="1"/>
      <c r="L1222" s="12">
        <f t="shared" si="206"/>
        <v>15626.27786</v>
      </c>
      <c r="M1222" s="12"/>
      <c r="N1222" s="15"/>
      <c r="O1222" s="1"/>
      <c r="Q1222" s="12"/>
      <c r="R1222" s="1"/>
    </row>
    <row r="1223" ht="12.75" hidden="1" customHeight="1" outlineLevel="1">
      <c r="A1223" s="122">
        <f t="shared" si="207"/>
        <v>42554</v>
      </c>
      <c r="B1223" s="12">
        <f t="shared" si="204"/>
        <v>673000</v>
      </c>
      <c r="C1223" s="19">
        <f t="shared" si="205"/>
        <v>0</v>
      </c>
      <c r="D1223" s="19">
        <f t="shared" si="203"/>
        <v>-0.0009809239163</v>
      </c>
      <c r="E1223" s="12"/>
      <c r="F1223" s="7"/>
      <c r="G1223" s="7"/>
      <c r="H1223" s="1"/>
      <c r="I1223" s="1"/>
      <c r="J1223" s="1"/>
      <c r="K1223" s="1"/>
      <c r="L1223" s="12">
        <f t="shared" si="206"/>
        <v>15626.27786</v>
      </c>
      <c r="M1223" s="12"/>
      <c r="N1223" s="15"/>
      <c r="O1223" s="1"/>
      <c r="Q1223" s="12"/>
      <c r="R1223" s="1"/>
    </row>
    <row r="1224" ht="12.75" hidden="1" customHeight="1" outlineLevel="1">
      <c r="A1224" s="122">
        <f t="shared" si="207"/>
        <v>42555</v>
      </c>
      <c r="B1224" s="12">
        <f t="shared" si="204"/>
        <v>673000</v>
      </c>
      <c r="C1224" s="19">
        <f t="shared" si="205"/>
        <v>0</v>
      </c>
      <c r="D1224" s="19">
        <f t="shared" si="203"/>
        <v>-0.0009809239163</v>
      </c>
      <c r="E1224" s="12"/>
      <c r="F1224" s="7"/>
      <c r="G1224" s="7"/>
      <c r="H1224" s="1"/>
      <c r="I1224" s="1"/>
      <c r="J1224" s="1"/>
      <c r="K1224" s="1"/>
      <c r="L1224" s="12">
        <f t="shared" si="206"/>
        <v>15626.27786</v>
      </c>
      <c r="M1224" s="12"/>
      <c r="N1224" s="15"/>
      <c r="O1224" s="1"/>
      <c r="Q1224" s="12"/>
      <c r="R1224" s="1"/>
    </row>
    <row r="1225" ht="12.75" hidden="1" customHeight="1" outlineLevel="1">
      <c r="A1225" s="122">
        <f t="shared" si="207"/>
        <v>42556</v>
      </c>
      <c r="B1225" s="120">
        <v>667381.85</v>
      </c>
      <c r="C1225" s="19">
        <f t="shared" si="205"/>
        <v>-0.008347919762</v>
      </c>
      <c r="D1225" s="19">
        <f t="shared" si="203"/>
        <v>-0.009320655004</v>
      </c>
      <c r="E1225" s="12"/>
      <c r="F1225" s="7"/>
      <c r="G1225" s="7"/>
      <c r="H1225" s="1"/>
      <c r="I1225" s="1"/>
      <c r="J1225" s="1"/>
      <c r="K1225" s="1"/>
      <c r="L1225" s="12">
        <f t="shared" si="206"/>
        <v>15495.83095</v>
      </c>
      <c r="M1225" s="12"/>
      <c r="N1225" s="15"/>
      <c r="O1225" s="1"/>
      <c r="Q1225" s="12"/>
      <c r="R1225" s="1"/>
    </row>
    <row r="1226" ht="12.75" hidden="1" customHeight="1" outlineLevel="1">
      <c r="A1226" s="122">
        <f t="shared" si="207"/>
        <v>42557</v>
      </c>
      <c r="B1226" s="120">
        <v>670500.0</v>
      </c>
      <c r="C1226" s="19">
        <f t="shared" si="205"/>
        <v>0.004672212767</v>
      </c>
      <c r="D1226" s="19">
        <f t="shared" si="203"/>
        <v>-0.004691990321</v>
      </c>
      <c r="E1226" s="12"/>
      <c r="F1226" s="7"/>
      <c r="G1226" s="7"/>
      <c r="H1226" s="1"/>
      <c r="I1226" s="1"/>
      <c r="J1226" s="1"/>
      <c r="K1226" s="1"/>
      <c r="L1226" s="12">
        <f t="shared" si="206"/>
        <v>15568.23077</v>
      </c>
      <c r="M1226" s="12"/>
      <c r="N1226" s="15"/>
      <c r="O1226" s="1"/>
      <c r="Q1226" s="12"/>
      <c r="R1226" s="1"/>
    </row>
    <row r="1227" ht="12.75" hidden="1" customHeight="1" outlineLevel="1">
      <c r="A1227" s="122">
        <f t="shared" si="207"/>
        <v>42558</v>
      </c>
      <c r="B1227" s="120">
        <v>671916.8499999999</v>
      </c>
      <c r="C1227" s="19">
        <f t="shared" si="205"/>
        <v>0.002113124534</v>
      </c>
      <c r="D1227" s="19">
        <f t="shared" si="203"/>
        <v>-0.002588780547</v>
      </c>
      <c r="E1227" s="12"/>
      <c r="F1227" s="7"/>
      <c r="G1227" s="7"/>
      <c r="H1227" s="1"/>
      <c r="I1227" s="1"/>
      <c r="J1227" s="1"/>
      <c r="K1227" s="1"/>
      <c r="L1227" s="12">
        <f t="shared" si="206"/>
        <v>15601.12838</v>
      </c>
      <c r="M1227" s="12"/>
      <c r="N1227" s="15"/>
      <c r="O1227" s="1"/>
      <c r="Q1227" s="12"/>
      <c r="R1227" s="1"/>
    </row>
    <row r="1228" ht="12.75" hidden="1" customHeight="1" outlineLevel="1">
      <c r="A1228" s="122">
        <f t="shared" si="207"/>
        <v>42559</v>
      </c>
      <c r="B1228" s="120">
        <v>682884.1000000001</v>
      </c>
      <c r="C1228" s="19">
        <f t="shared" si="205"/>
        <v>0.01632233215</v>
      </c>
      <c r="D1228" s="19">
        <f t="shared" si="203"/>
        <v>0.01369129666</v>
      </c>
      <c r="E1228" s="12"/>
      <c r="F1228" s="7"/>
      <c r="G1228" s="7"/>
      <c r="H1228" s="1"/>
      <c r="I1228" s="1"/>
      <c r="J1228" s="1"/>
      <c r="K1228" s="1"/>
      <c r="L1228" s="12">
        <f t="shared" si="206"/>
        <v>15855.77518</v>
      </c>
      <c r="M1228" s="12"/>
      <c r="N1228" s="15"/>
      <c r="O1228" s="1"/>
      <c r="Q1228" s="12"/>
      <c r="R1228" s="1"/>
    </row>
    <row r="1229" ht="12.75" hidden="1" customHeight="1" outlineLevel="1">
      <c r="A1229" s="122">
        <f t="shared" si="207"/>
        <v>42560</v>
      </c>
      <c r="B1229" s="120">
        <v>682884.1000000001</v>
      </c>
      <c r="C1229" s="19">
        <f t="shared" si="205"/>
        <v>0</v>
      </c>
      <c r="D1229" s="19">
        <f t="shared" si="203"/>
        <v>0.01369129666</v>
      </c>
      <c r="E1229" s="12"/>
      <c r="F1229" s="7"/>
      <c r="G1229" s="7"/>
      <c r="H1229" s="1"/>
      <c r="I1229" s="1"/>
      <c r="J1229" s="1"/>
      <c r="K1229" s="1"/>
      <c r="L1229" s="12">
        <f t="shared" si="206"/>
        <v>15855.77518</v>
      </c>
      <c r="M1229" s="12"/>
      <c r="N1229" s="15"/>
      <c r="O1229" s="1"/>
      <c r="Q1229" s="12"/>
      <c r="R1229" s="1"/>
    </row>
    <row r="1230" ht="12.75" hidden="1" customHeight="1" outlineLevel="1">
      <c r="A1230" s="122">
        <f t="shared" si="207"/>
        <v>42561</v>
      </c>
      <c r="B1230" s="120">
        <v>682884.1000000001</v>
      </c>
      <c r="C1230" s="19">
        <f t="shared" si="205"/>
        <v>0</v>
      </c>
      <c r="D1230" s="19">
        <f t="shared" si="203"/>
        <v>0.01369129666</v>
      </c>
      <c r="E1230" s="12"/>
      <c r="F1230" s="7"/>
      <c r="G1230" s="7"/>
      <c r="H1230" s="1"/>
      <c r="I1230" s="1"/>
      <c r="J1230" s="1"/>
      <c r="K1230" s="1"/>
      <c r="L1230" s="12">
        <f t="shared" si="206"/>
        <v>15855.77518</v>
      </c>
      <c r="M1230" s="12"/>
      <c r="N1230" s="15"/>
      <c r="O1230" s="1"/>
      <c r="Q1230" s="12"/>
      <c r="R1230" s="1"/>
    </row>
    <row r="1231" ht="12.75" hidden="1" customHeight="1" outlineLevel="1">
      <c r="A1231" s="122">
        <f t="shared" si="207"/>
        <v>42562</v>
      </c>
      <c r="B1231" s="120">
        <v>686200.0</v>
      </c>
      <c r="C1231" s="19">
        <f t="shared" si="205"/>
        <v>0.004855728813</v>
      </c>
      <c r="D1231" s="19">
        <f t="shared" si="203"/>
        <v>0.0186135067</v>
      </c>
      <c r="E1231" s="12"/>
      <c r="F1231" s="7"/>
      <c r="G1231" s="7"/>
      <c r="H1231" s="1"/>
      <c r="I1231" s="1"/>
      <c r="J1231" s="1"/>
      <c r="K1231" s="1"/>
      <c r="L1231" s="12">
        <f t="shared" si="206"/>
        <v>15932.76652</v>
      </c>
      <c r="M1231" s="12"/>
      <c r="N1231" s="15"/>
      <c r="O1231" s="1"/>
      <c r="Q1231" s="12"/>
      <c r="R1231" s="1"/>
    </row>
    <row r="1232" ht="12.75" hidden="1" customHeight="1" outlineLevel="1">
      <c r="A1232" s="122">
        <f t="shared" si="207"/>
        <v>42563</v>
      </c>
      <c r="B1232" s="120">
        <v>688200.0</v>
      </c>
      <c r="C1232" s="19">
        <f t="shared" si="205"/>
        <v>0.002914602157</v>
      </c>
      <c r="D1232" s="19">
        <f t="shared" si="203"/>
        <v>0.02158235982</v>
      </c>
      <c r="E1232" s="12"/>
      <c r="F1232" s="7"/>
      <c r="G1232" s="7"/>
      <c r="H1232" s="1"/>
      <c r="I1232" s="1"/>
      <c r="J1232" s="1"/>
      <c r="K1232" s="1"/>
      <c r="L1232" s="12">
        <f t="shared" si="206"/>
        <v>15979.2042</v>
      </c>
      <c r="M1232" s="12"/>
      <c r="N1232" s="15"/>
      <c r="O1232" s="1"/>
      <c r="Q1232" s="12"/>
      <c r="R1232" s="1"/>
    </row>
    <row r="1233" ht="12.75" hidden="1" customHeight="1" outlineLevel="1">
      <c r="A1233" s="122">
        <f t="shared" si="207"/>
        <v>42564</v>
      </c>
      <c r="B1233" s="120">
        <v>688200.0</v>
      </c>
      <c r="C1233" s="19">
        <f t="shared" si="205"/>
        <v>0</v>
      </c>
      <c r="D1233" s="19">
        <f t="shared" si="203"/>
        <v>0.02158235982</v>
      </c>
      <c r="E1233" s="12"/>
      <c r="F1233" s="7"/>
      <c r="G1233" s="7"/>
      <c r="H1233" s="1"/>
      <c r="I1233" s="1"/>
      <c r="J1233" s="1"/>
      <c r="K1233" s="1"/>
      <c r="L1233" s="12">
        <f t="shared" si="206"/>
        <v>15979.2042</v>
      </c>
      <c r="M1233" s="12"/>
      <c r="N1233" s="15"/>
      <c r="O1233" s="1"/>
      <c r="Q1233" s="12"/>
      <c r="R1233" s="1"/>
    </row>
    <row r="1234" ht="12.75" hidden="1" customHeight="1" outlineLevel="1">
      <c r="A1234" s="122">
        <f t="shared" si="207"/>
        <v>42565</v>
      </c>
      <c r="B1234" s="120">
        <v>690300.0</v>
      </c>
      <c r="C1234" s="19">
        <f t="shared" si="205"/>
        <v>0.003051438535</v>
      </c>
      <c r="D1234" s="19">
        <f t="shared" si="203"/>
        <v>0.0246996556</v>
      </c>
      <c r="E1234" s="12"/>
      <c r="F1234" s="7"/>
      <c r="G1234" s="7"/>
      <c r="H1234" s="1"/>
      <c r="I1234" s="1"/>
      <c r="J1234" s="1"/>
      <c r="K1234" s="1"/>
      <c r="L1234" s="12">
        <f t="shared" si="206"/>
        <v>16027.96376</v>
      </c>
      <c r="M1234" s="12"/>
      <c r="N1234" s="15"/>
      <c r="O1234" s="1"/>
      <c r="Q1234" s="12"/>
      <c r="R1234" s="1"/>
    </row>
    <row r="1235" ht="12.75" hidden="1" customHeight="1" outlineLevel="1">
      <c r="A1235" s="122">
        <f t="shared" si="207"/>
        <v>42566</v>
      </c>
      <c r="B1235" s="120">
        <v>687000.0</v>
      </c>
      <c r="C1235" s="19">
        <f t="shared" si="205"/>
        <v>-0.004780530204</v>
      </c>
      <c r="D1235" s="19">
        <f t="shared" si="203"/>
        <v>0.01980104795</v>
      </c>
      <c r="E1235" s="12"/>
      <c r="F1235" s="7"/>
      <c r="G1235" s="7"/>
      <c r="H1235" s="1"/>
      <c r="I1235" s="1"/>
      <c r="J1235" s="1"/>
      <c r="K1235" s="1"/>
      <c r="L1235" s="12">
        <f t="shared" si="206"/>
        <v>15951.34159</v>
      </c>
      <c r="M1235" s="12"/>
      <c r="N1235" s="15"/>
      <c r="O1235" s="1"/>
      <c r="Q1235" s="12"/>
      <c r="R1235" s="1"/>
    </row>
    <row r="1236" ht="12.75" hidden="1" customHeight="1" outlineLevel="1">
      <c r="A1236" s="122">
        <f t="shared" si="207"/>
        <v>42567</v>
      </c>
      <c r="B1236" s="120">
        <v>687000.0</v>
      </c>
      <c r="C1236" s="19">
        <f t="shared" si="205"/>
        <v>0</v>
      </c>
      <c r="D1236" s="19">
        <f t="shared" si="203"/>
        <v>0.01980104795</v>
      </c>
      <c r="E1236" s="12"/>
      <c r="F1236" s="7"/>
      <c r="G1236" s="7"/>
      <c r="H1236" s="1"/>
      <c r="I1236" s="1"/>
      <c r="J1236" s="1"/>
      <c r="K1236" s="1"/>
      <c r="L1236" s="12">
        <f t="shared" si="206"/>
        <v>15951.34159</v>
      </c>
      <c r="M1236" s="12"/>
      <c r="N1236" s="15"/>
      <c r="O1236" s="1"/>
      <c r="Q1236" s="12"/>
      <c r="R1236" s="1"/>
    </row>
    <row r="1237" ht="12.75" hidden="1" customHeight="1" outlineLevel="1">
      <c r="A1237" s="122">
        <f t="shared" si="207"/>
        <v>42568</v>
      </c>
      <c r="B1237" s="120">
        <v>687000.0</v>
      </c>
      <c r="C1237" s="19">
        <f t="shared" si="205"/>
        <v>0</v>
      </c>
      <c r="D1237" s="19">
        <f t="shared" si="203"/>
        <v>0.01980104795</v>
      </c>
      <c r="E1237" s="12"/>
      <c r="F1237" s="7"/>
      <c r="G1237" s="7"/>
      <c r="H1237" s="1"/>
      <c r="I1237" s="1"/>
      <c r="J1237" s="1"/>
      <c r="K1237" s="1"/>
      <c r="L1237" s="12">
        <f t="shared" si="206"/>
        <v>15951.34159</v>
      </c>
      <c r="M1237" s="12"/>
      <c r="N1237" s="15"/>
      <c r="O1237" s="1"/>
      <c r="Q1237" s="12"/>
      <c r="R1237" s="1"/>
    </row>
    <row r="1238" ht="12.75" hidden="1" customHeight="1" outlineLevel="1">
      <c r="A1238" s="122">
        <f t="shared" si="207"/>
        <v>42569</v>
      </c>
      <c r="B1238" s="120">
        <v>688400.0</v>
      </c>
      <c r="C1238" s="19">
        <f t="shared" si="205"/>
        <v>0.002037845706</v>
      </c>
      <c r="D1238" s="19">
        <f t="shared" si="203"/>
        <v>0.02187924514</v>
      </c>
      <c r="E1238" s="12"/>
      <c r="F1238" s="7"/>
      <c r="G1238" s="7"/>
      <c r="H1238" s="1"/>
      <c r="I1238" s="1"/>
      <c r="J1238" s="1"/>
      <c r="K1238" s="1"/>
      <c r="L1238" s="12">
        <f t="shared" si="206"/>
        <v>15983.84797</v>
      </c>
      <c r="M1238" s="12"/>
      <c r="N1238" s="15"/>
      <c r="O1238" s="1"/>
      <c r="Q1238" s="12"/>
      <c r="R1238" s="1"/>
    </row>
    <row r="1239" ht="12.75" hidden="1" customHeight="1" outlineLevel="1">
      <c r="A1239" s="122">
        <f t="shared" si="207"/>
        <v>42570</v>
      </c>
      <c r="B1239" s="120">
        <v>687400.0</v>
      </c>
      <c r="C1239" s="19">
        <f t="shared" si="205"/>
        <v>-0.001452643812</v>
      </c>
      <c r="D1239" s="19">
        <f t="shared" si="203"/>
        <v>0.02039481857</v>
      </c>
      <c r="E1239" s="12"/>
      <c r="F1239" s="7"/>
      <c r="G1239" s="7"/>
      <c r="H1239" s="1"/>
      <c r="I1239" s="1"/>
      <c r="J1239" s="1"/>
      <c r="K1239" s="1"/>
      <c r="L1239" s="12">
        <f t="shared" si="206"/>
        <v>15960.62913</v>
      </c>
      <c r="M1239" s="12"/>
      <c r="N1239" s="15"/>
      <c r="O1239" s="1"/>
      <c r="Q1239" s="12"/>
      <c r="R1239" s="1"/>
    </row>
    <row r="1240" ht="12.75" hidden="1" customHeight="1" outlineLevel="1">
      <c r="A1240" s="122">
        <f t="shared" si="207"/>
        <v>42571</v>
      </c>
      <c r="B1240" s="120">
        <v>692400.0</v>
      </c>
      <c r="C1240" s="19">
        <f t="shared" si="205"/>
        <v>0.007273785278</v>
      </c>
      <c r="D1240" s="19">
        <f t="shared" si="203"/>
        <v>0.02781695138</v>
      </c>
      <c r="E1240" s="12"/>
      <c r="F1240" s="7"/>
      <c r="G1240" s="7"/>
      <c r="H1240" s="1"/>
      <c r="I1240" s="1"/>
      <c r="J1240" s="1"/>
      <c r="K1240" s="1"/>
      <c r="L1240" s="12">
        <f t="shared" si="206"/>
        <v>16076.72332</v>
      </c>
      <c r="M1240" s="12"/>
      <c r="N1240" s="15"/>
      <c r="O1240" s="1"/>
      <c r="Q1240" s="12"/>
      <c r="R1240" s="1"/>
    </row>
    <row r="1241" ht="12.75" hidden="1" customHeight="1" outlineLevel="1">
      <c r="A1241" s="122">
        <f t="shared" si="207"/>
        <v>42572</v>
      </c>
      <c r="B1241" s="120">
        <v>687400.0</v>
      </c>
      <c r="C1241" s="19">
        <f t="shared" si="205"/>
        <v>-0.007221259388</v>
      </c>
      <c r="D1241" s="19">
        <f t="shared" si="203"/>
        <v>0.02039481857</v>
      </c>
      <c r="E1241" s="12"/>
      <c r="F1241" s="7"/>
      <c r="G1241" s="7"/>
      <c r="H1241" s="1"/>
      <c r="I1241" s="1"/>
      <c r="J1241" s="1"/>
      <c r="K1241" s="1"/>
      <c r="L1241" s="12">
        <f t="shared" si="206"/>
        <v>15960.62913</v>
      </c>
      <c r="M1241" s="12"/>
      <c r="N1241" s="15"/>
      <c r="O1241" s="1"/>
      <c r="Q1241" s="12"/>
      <c r="R1241" s="1"/>
    </row>
    <row r="1242" ht="12.75" hidden="1" customHeight="1" outlineLevel="1">
      <c r="A1242" s="122">
        <f t="shared" si="207"/>
        <v>42573</v>
      </c>
      <c r="B1242" s="120">
        <v>691400.0</v>
      </c>
      <c r="C1242" s="19">
        <f t="shared" si="205"/>
        <v>0.005819028222</v>
      </c>
      <c r="D1242" s="19">
        <f t="shared" si="203"/>
        <v>0.02633252482</v>
      </c>
      <c r="E1242" s="12"/>
      <c r="F1242" s="7"/>
      <c r="G1242" s="7"/>
      <c r="H1242" s="1"/>
      <c r="I1242" s="1"/>
      <c r="J1242" s="1"/>
      <c r="K1242" s="1"/>
      <c r="L1242" s="12">
        <f t="shared" si="206"/>
        <v>16053.50448</v>
      </c>
      <c r="M1242" s="12"/>
      <c r="N1242" s="15"/>
      <c r="O1242" s="1"/>
      <c r="Q1242" s="12"/>
      <c r="R1242" s="1"/>
    </row>
    <row r="1243" ht="12.75" hidden="1" customHeight="1" outlineLevel="1">
      <c r="A1243" s="122">
        <f t="shared" si="207"/>
        <v>42574</v>
      </c>
      <c r="B1243" s="120">
        <v>691400.0</v>
      </c>
      <c r="C1243" s="19">
        <f t="shared" si="205"/>
        <v>0</v>
      </c>
      <c r="D1243" s="19">
        <f t="shared" si="203"/>
        <v>0.02633252482</v>
      </c>
      <c r="E1243" s="12"/>
      <c r="F1243" s="7"/>
      <c r="G1243" s="7"/>
      <c r="H1243" s="1"/>
      <c r="I1243" s="1"/>
      <c r="J1243" s="1"/>
      <c r="K1243" s="1"/>
      <c r="L1243" s="12">
        <f t="shared" si="206"/>
        <v>16053.50448</v>
      </c>
      <c r="M1243" s="12"/>
      <c r="N1243" s="15"/>
      <c r="O1243" s="1"/>
      <c r="Q1243" s="12"/>
      <c r="R1243" s="1"/>
    </row>
    <row r="1244" ht="12.75" hidden="1" customHeight="1" outlineLevel="1">
      <c r="A1244" s="122">
        <f t="shared" si="207"/>
        <v>42575</v>
      </c>
      <c r="B1244" s="120">
        <v>691400.0</v>
      </c>
      <c r="C1244" s="19">
        <f t="shared" si="205"/>
        <v>0</v>
      </c>
      <c r="D1244" s="19">
        <f t="shared" si="203"/>
        <v>0.02633252482</v>
      </c>
      <c r="E1244" s="12"/>
      <c r="F1244" s="7"/>
      <c r="G1244" s="7"/>
      <c r="H1244" s="1"/>
      <c r="I1244" s="1"/>
      <c r="J1244" s="1"/>
      <c r="K1244" s="1"/>
      <c r="L1244" s="12">
        <f t="shared" si="206"/>
        <v>16053.50448</v>
      </c>
      <c r="M1244" s="12"/>
      <c r="N1244" s="15"/>
      <c r="O1244" s="1"/>
      <c r="Q1244" s="12"/>
      <c r="R1244" s="1"/>
    </row>
    <row r="1245" ht="12.75" hidden="1" customHeight="1" outlineLevel="1">
      <c r="A1245" s="122">
        <f t="shared" si="207"/>
        <v>42576</v>
      </c>
      <c r="B1245" s="120">
        <v>690000.0</v>
      </c>
      <c r="C1245" s="19">
        <f t="shared" si="205"/>
        <v>-0.002024877061</v>
      </c>
      <c r="D1245" s="19">
        <f t="shared" si="203"/>
        <v>0.02425432763</v>
      </c>
      <c r="E1245" s="12"/>
      <c r="F1245" s="7"/>
      <c r="G1245" s="7"/>
      <c r="H1245" s="1"/>
      <c r="I1245" s="1"/>
      <c r="J1245" s="1"/>
      <c r="K1245" s="1"/>
      <c r="L1245" s="12">
        <f t="shared" si="206"/>
        <v>16020.99811</v>
      </c>
      <c r="M1245" s="12"/>
      <c r="N1245" s="15"/>
      <c r="O1245" s="1"/>
      <c r="Q1245" s="12"/>
      <c r="R1245" s="1"/>
    </row>
    <row r="1246" ht="12.75" hidden="1" customHeight="1" outlineLevel="1">
      <c r="A1246" s="122">
        <f t="shared" si="207"/>
        <v>42577</v>
      </c>
      <c r="B1246" s="120">
        <v>691725.0</v>
      </c>
      <c r="C1246" s="19">
        <f t="shared" si="205"/>
        <v>0.0025</v>
      </c>
      <c r="D1246" s="19">
        <f t="shared" si="203"/>
        <v>0.02681496345</v>
      </c>
      <c r="E1246" s="12"/>
      <c r="F1246" s="7"/>
      <c r="G1246" s="7"/>
      <c r="H1246" s="1"/>
      <c r="I1246" s="1"/>
      <c r="J1246" s="1"/>
      <c r="K1246" s="1"/>
      <c r="L1246" s="12">
        <f t="shared" si="206"/>
        <v>16061.0506</v>
      </c>
      <c r="M1246" s="12"/>
      <c r="N1246" s="15"/>
      <c r="O1246" s="1"/>
      <c r="Q1246" s="12"/>
      <c r="R1246" s="1"/>
    </row>
    <row r="1247" ht="12.75" hidden="1" customHeight="1" outlineLevel="1">
      <c r="A1247" s="122">
        <f t="shared" si="207"/>
        <v>42578</v>
      </c>
      <c r="B1247" s="120">
        <v>691200.0</v>
      </c>
      <c r="C1247" s="19">
        <f t="shared" si="205"/>
        <v>-0.0007589721349</v>
      </c>
      <c r="D1247" s="19">
        <f t="shared" si="203"/>
        <v>0.02603563951</v>
      </c>
      <c r="E1247" s="12"/>
      <c r="F1247" s="7"/>
      <c r="G1247" s="7"/>
      <c r="H1247" s="1"/>
      <c r="I1247" s="1"/>
      <c r="J1247" s="1"/>
      <c r="K1247" s="1"/>
      <c r="L1247" s="12">
        <f t="shared" si="206"/>
        <v>16048.86071</v>
      </c>
      <c r="M1247" s="12"/>
      <c r="N1247" s="15"/>
      <c r="O1247" s="1"/>
      <c r="Q1247" s="12"/>
      <c r="R1247" s="1"/>
    </row>
    <row r="1248" ht="12.75" hidden="1" customHeight="1" outlineLevel="1">
      <c r="A1248" s="122">
        <f t="shared" si="207"/>
        <v>42579</v>
      </c>
      <c r="B1248" s="120">
        <v>696900.0</v>
      </c>
      <c r="C1248" s="19">
        <f t="shared" si="205"/>
        <v>0.008246527778</v>
      </c>
      <c r="D1248" s="19">
        <f t="shared" si="203"/>
        <v>0.03449687091</v>
      </c>
      <c r="E1248" s="12"/>
      <c r="F1248" s="7"/>
      <c r="G1248" s="7"/>
      <c r="H1248" s="1"/>
      <c r="I1248" s="1"/>
      <c r="J1248" s="1"/>
      <c r="K1248" s="1"/>
      <c r="L1248" s="12">
        <f t="shared" si="206"/>
        <v>16181.20809</v>
      </c>
      <c r="M1248" s="12"/>
      <c r="N1248" s="15"/>
      <c r="O1248" s="1"/>
      <c r="Q1248" s="12"/>
      <c r="R1248" s="1"/>
    </row>
    <row r="1249" ht="12.75" hidden="1" customHeight="1" outlineLevel="1">
      <c r="A1249" s="122">
        <f t="shared" si="207"/>
        <v>42580</v>
      </c>
      <c r="B1249" s="120">
        <v>696947.43</v>
      </c>
      <c r="C1249" s="19">
        <f t="shared" si="205"/>
        <v>0.00006805854499</v>
      </c>
      <c r="D1249" s="19">
        <f t="shared" si="203"/>
        <v>0.03456727726</v>
      </c>
      <c r="E1249" s="12"/>
      <c r="F1249" s="7"/>
      <c r="G1249" s="7"/>
      <c r="H1249" s="1"/>
      <c r="I1249" s="1"/>
      <c r="J1249" s="1"/>
      <c r="K1249" s="1"/>
      <c r="L1249" s="12">
        <f t="shared" si="206"/>
        <v>16182.30936</v>
      </c>
      <c r="M1249" s="12"/>
      <c r="N1249" s="15"/>
      <c r="O1249" s="1"/>
      <c r="Q1249" s="12"/>
      <c r="R1249" s="1"/>
    </row>
    <row r="1250" ht="12.75" hidden="1" customHeight="1" outlineLevel="1">
      <c r="A1250" s="122">
        <f t="shared" si="207"/>
        <v>42581</v>
      </c>
      <c r="B1250" s="120">
        <v>696947.43</v>
      </c>
      <c r="C1250" s="19">
        <f t="shared" si="205"/>
        <v>0</v>
      </c>
      <c r="D1250" s="19">
        <f t="shared" si="203"/>
        <v>0.03456727726</v>
      </c>
      <c r="E1250" s="12"/>
      <c r="F1250" s="7"/>
      <c r="G1250" s="7"/>
      <c r="H1250" s="1"/>
      <c r="I1250" s="1"/>
      <c r="J1250" s="1"/>
      <c r="K1250" s="1"/>
      <c r="L1250" s="12">
        <f t="shared" si="206"/>
        <v>16182.30936</v>
      </c>
      <c r="M1250" s="12"/>
      <c r="N1250" s="15"/>
      <c r="O1250" s="1"/>
      <c r="Q1250" s="12"/>
      <c r="R1250" s="1"/>
    </row>
    <row r="1251" ht="12.75" hidden="1" customHeight="1" outlineLevel="1">
      <c r="A1251" s="122">
        <f t="shared" si="207"/>
        <v>42582</v>
      </c>
      <c r="B1251" s="120">
        <v>696947.43</v>
      </c>
      <c r="C1251" s="19">
        <f t="shared" si="205"/>
        <v>0</v>
      </c>
      <c r="D1251" s="19">
        <f t="shared" si="203"/>
        <v>0.03456727726</v>
      </c>
      <c r="E1251" s="12"/>
      <c r="F1251" s="7"/>
      <c r="G1251" s="7"/>
      <c r="H1251" s="1"/>
      <c r="I1251" s="1"/>
      <c r="J1251" s="1"/>
      <c r="K1251" s="1"/>
      <c r="L1251" s="12">
        <f t="shared" si="206"/>
        <v>16182.30936</v>
      </c>
      <c r="M1251" s="12"/>
      <c r="N1251" s="15"/>
      <c r="O1251" s="1"/>
      <c r="Q1251" s="12"/>
      <c r="R1251" s="1"/>
    </row>
    <row r="1252" ht="12.75" hidden="1" customHeight="1" outlineLevel="1">
      <c r="A1252" s="122"/>
      <c r="B1252" s="12"/>
      <c r="C1252" s="1"/>
      <c r="D1252" s="1"/>
      <c r="E1252" s="12"/>
      <c r="F1252" s="7"/>
      <c r="G1252" s="7"/>
      <c r="H1252" s="1"/>
      <c r="I1252" s="1"/>
      <c r="J1252" s="1"/>
      <c r="K1252" s="1"/>
      <c r="L1252" s="12"/>
      <c r="M1252" s="12"/>
      <c r="N1252" s="15"/>
      <c r="O1252" s="1"/>
      <c r="Q1252" s="12"/>
      <c r="R1252" s="1"/>
    </row>
    <row r="1253" ht="12.75" hidden="1" customHeight="1" outlineLevel="1">
      <c r="A1253" s="122"/>
      <c r="B1253" s="12">
        <f>B1251+P1253-Q1253</f>
        <v>696947.43</v>
      </c>
      <c r="C1253" s="19"/>
      <c r="D1253" s="19">
        <f t="shared" ref="D1253:D1284" si="208">(B1253/$B$1253)-1</f>
        <v>0</v>
      </c>
      <c r="E1253" s="12"/>
      <c r="F1253" s="7"/>
      <c r="G1253" s="7"/>
      <c r="H1253" s="1"/>
      <c r="I1253" s="1"/>
      <c r="J1253" s="1"/>
      <c r="K1253" s="1"/>
      <c r="L1253" s="12"/>
      <c r="M1253" s="12"/>
      <c r="N1253" s="15"/>
      <c r="O1253" s="1"/>
      <c r="Q1253" s="12"/>
      <c r="R1253" s="1"/>
    </row>
    <row r="1254" ht="12.75" hidden="1" customHeight="1" outlineLevel="1">
      <c r="A1254" s="122">
        <f>A1251+1</f>
        <v>42583</v>
      </c>
      <c r="B1254" s="120">
        <v>696900.0</v>
      </c>
      <c r="C1254" s="19">
        <f t="shared" ref="C1254:C1284" si="209">(B1254/B1253)-1</f>
        <v>-0.00006805391333</v>
      </c>
      <c r="D1254" s="19">
        <f t="shared" si="208"/>
        <v>-0.00006805391333</v>
      </c>
      <c r="E1254" s="12"/>
      <c r="F1254" s="7"/>
      <c r="G1254" s="7"/>
      <c r="H1254" s="1"/>
      <c r="I1254" s="1"/>
      <c r="J1254" s="1"/>
      <c r="K1254" s="1"/>
      <c r="L1254" s="12">
        <f t="shared" ref="L1254:L1284" si="210">IF(C1253="",L1251*(1+C1254),L1253*(1+C1254))</f>
        <v>16181.20809</v>
      </c>
      <c r="M1254" s="12"/>
      <c r="N1254" s="15"/>
      <c r="O1254" s="1"/>
      <c r="Q1254" s="12"/>
      <c r="R1254" s="1"/>
    </row>
    <row r="1255" ht="12.75" hidden="1" customHeight="1" outlineLevel="1">
      <c r="A1255" s="122">
        <f t="shared" ref="A1255:A1284" si="211">A1254+1</f>
        <v>42584</v>
      </c>
      <c r="B1255" s="120">
        <v>690965.8500000001</v>
      </c>
      <c r="C1255" s="19">
        <f t="shared" si="209"/>
        <v>-0.008515066724</v>
      </c>
      <c r="D1255" s="19">
        <f t="shared" si="208"/>
        <v>-0.008582541154</v>
      </c>
      <c r="E1255" s="12"/>
      <c r="F1255" s="7"/>
      <c r="G1255" s="7"/>
      <c r="H1255" s="1"/>
      <c r="I1255" s="1"/>
      <c r="J1255" s="1"/>
      <c r="K1255" s="1"/>
      <c r="L1255" s="12">
        <f t="shared" si="210"/>
        <v>16043.42402</v>
      </c>
      <c r="M1255" s="12"/>
      <c r="N1255" s="15"/>
      <c r="O1255" s="1"/>
      <c r="Q1255" s="12"/>
      <c r="R1255" s="1"/>
    </row>
    <row r="1256" ht="12.75" hidden="1" customHeight="1" outlineLevel="1">
      <c r="A1256" s="122">
        <f t="shared" si="211"/>
        <v>42585</v>
      </c>
      <c r="B1256" s="120">
        <v>693093.1499999999</v>
      </c>
      <c r="C1256" s="19">
        <f t="shared" si="209"/>
        <v>0.00307873392</v>
      </c>
      <c r="D1256" s="19">
        <f t="shared" si="208"/>
        <v>-0.005530230594</v>
      </c>
      <c r="E1256" s="12"/>
      <c r="F1256" s="7"/>
      <c r="G1256" s="7"/>
      <c r="H1256" s="1"/>
      <c r="I1256" s="1"/>
      <c r="J1256" s="1"/>
      <c r="K1256" s="1"/>
      <c r="L1256" s="12">
        <f t="shared" si="210"/>
        <v>16092.81745</v>
      </c>
      <c r="M1256" s="12"/>
      <c r="N1256" s="15"/>
      <c r="O1256" s="1"/>
      <c r="Q1256" s="12"/>
      <c r="R1256" s="1"/>
    </row>
    <row r="1257" ht="12.75" hidden="1" customHeight="1" outlineLevel="1">
      <c r="A1257" s="122">
        <f t="shared" si="211"/>
        <v>42586</v>
      </c>
      <c r="B1257" s="120">
        <v>683470.45</v>
      </c>
      <c r="C1257" s="19">
        <f t="shared" si="209"/>
        <v>-0.0138837038</v>
      </c>
      <c r="D1257" s="19">
        <f t="shared" si="208"/>
        <v>-0.01933715431</v>
      </c>
      <c r="E1257" s="12"/>
      <c r="F1257" s="7"/>
      <c r="G1257" s="7"/>
      <c r="H1257" s="1"/>
      <c r="I1257" s="1"/>
      <c r="J1257" s="1"/>
      <c r="K1257" s="1"/>
      <c r="L1257" s="12">
        <f t="shared" si="210"/>
        <v>15869.38954</v>
      </c>
      <c r="M1257" s="12"/>
      <c r="N1257" s="15"/>
      <c r="O1257" s="1"/>
      <c r="Q1257" s="12"/>
      <c r="R1257" s="1"/>
    </row>
    <row r="1258" ht="12.75" hidden="1" customHeight="1" outlineLevel="1">
      <c r="A1258" s="122">
        <f t="shared" si="211"/>
        <v>42587</v>
      </c>
      <c r="B1258" s="120">
        <v>688200.0</v>
      </c>
      <c r="C1258" s="19">
        <f t="shared" si="209"/>
        <v>0.006919904145</v>
      </c>
      <c r="D1258" s="19">
        <f t="shared" si="208"/>
        <v>-0.01255106142</v>
      </c>
      <c r="E1258" s="12"/>
      <c r="F1258" s="7"/>
      <c r="G1258" s="7"/>
      <c r="H1258" s="1"/>
      <c r="I1258" s="1"/>
      <c r="J1258" s="1"/>
      <c r="K1258" s="1"/>
      <c r="L1258" s="12">
        <f t="shared" si="210"/>
        <v>15979.2042</v>
      </c>
      <c r="M1258" s="12"/>
      <c r="N1258" s="15"/>
      <c r="O1258" s="1"/>
      <c r="Q1258" s="12"/>
      <c r="R1258" s="1"/>
    </row>
    <row r="1259" ht="12.75" hidden="1" customHeight="1" outlineLevel="1">
      <c r="A1259" s="122">
        <f t="shared" si="211"/>
        <v>42588</v>
      </c>
      <c r="B1259" s="120">
        <v>688200.0</v>
      </c>
      <c r="C1259" s="19">
        <f t="shared" si="209"/>
        <v>0</v>
      </c>
      <c r="D1259" s="19">
        <f t="shared" si="208"/>
        <v>-0.01255106142</v>
      </c>
      <c r="E1259" s="12"/>
      <c r="F1259" s="7"/>
      <c r="G1259" s="7"/>
      <c r="H1259" s="1"/>
      <c r="I1259" s="1"/>
      <c r="J1259" s="1"/>
      <c r="K1259" s="1"/>
      <c r="L1259" s="12">
        <f t="shared" si="210"/>
        <v>15979.2042</v>
      </c>
      <c r="M1259" s="12"/>
      <c r="N1259" s="15"/>
      <c r="O1259" s="1"/>
      <c r="Q1259" s="12"/>
      <c r="R1259" s="1"/>
    </row>
    <row r="1260" ht="12.75" hidden="1" customHeight="1" outlineLevel="1">
      <c r="A1260" s="122">
        <f t="shared" si="211"/>
        <v>42589</v>
      </c>
      <c r="B1260" s="120">
        <v>688200.0</v>
      </c>
      <c r="C1260" s="19">
        <f t="shared" si="209"/>
        <v>0</v>
      </c>
      <c r="D1260" s="19">
        <f t="shared" si="208"/>
        <v>-0.01255106142</v>
      </c>
      <c r="E1260" s="12"/>
      <c r="F1260" s="7"/>
      <c r="G1260" s="7"/>
      <c r="H1260" s="1"/>
      <c r="I1260" s="1"/>
      <c r="J1260" s="1"/>
      <c r="K1260" s="1"/>
      <c r="L1260" s="12">
        <f t="shared" si="210"/>
        <v>15979.2042</v>
      </c>
      <c r="M1260" s="12"/>
      <c r="N1260" s="15"/>
      <c r="O1260" s="1"/>
      <c r="Q1260" s="12"/>
      <c r="R1260" s="1"/>
    </row>
    <row r="1261" ht="12.75" hidden="1" customHeight="1" outlineLevel="1">
      <c r="A1261" s="122">
        <f t="shared" si="211"/>
        <v>42590</v>
      </c>
      <c r="B1261" s="120">
        <v>686700.0</v>
      </c>
      <c r="C1261" s="19">
        <f t="shared" si="209"/>
        <v>-0.002179598954</v>
      </c>
      <c r="D1261" s="19">
        <f t="shared" si="208"/>
        <v>-0.01470330409</v>
      </c>
      <c r="E1261" s="12"/>
      <c r="F1261" s="7"/>
      <c r="G1261" s="7"/>
      <c r="H1261" s="1"/>
      <c r="I1261" s="1"/>
      <c r="J1261" s="1"/>
      <c r="K1261" s="1"/>
      <c r="L1261" s="12">
        <f t="shared" si="210"/>
        <v>15944.37594</v>
      </c>
      <c r="M1261" s="12"/>
      <c r="N1261" s="15"/>
      <c r="O1261" s="1"/>
      <c r="Q1261" s="12"/>
      <c r="R1261" s="1"/>
    </row>
    <row r="1262" ht="12.75" hidden="1" customHeight="1" outlineLevel="1">
      <c r="A1262" s="122">
        <f t="shared" si="211"/>
        <v>42591</v>
      </c>
      <c r="B1262" s="120">
        <v>687300.0</v>
      </c>
      <c r="C1262" s="19">
        <f t="shared" si="209"/>
        <v>0.000873743993</v>
      </c>
      <c r="D1262" s="19">
        <f t="shared" si="208"/>
        <v>-0.01384240702</v>
      </c>
      <c r="E1262" s="12"/>
      <c r="F1262" s="7"/>
      <c r="G1262" s="7"/>
      <c r="H1262" s="1"/>
      <c r="I1262" s="1"/>
      <c r="J1262" s="1"/>
      <c r="K1262" s="1"/>
      <c r="L1262" s="12">
        <f t="shared" si="210"/>
        <v>15958.30724</v>
      </c>
      <c r="M1262" s="12"/>
      <c r="N1262" s="15"/>
      <c r="O1262" s="1"/>
      <c r="Q1262" s="12"/>
      <c r="R1262" s="1"/>
    </row>
    <row r="1263" ht="12.75" hidden="1" customHeight="1" outlineLevel="1">
      <c r="A1263" s="122">
        <f t="shared" si="211"/>
        <v>42592</v>
      </c>
      <c r="B1263" s="120">
        <v>684000.0</v>
      </c>
      <c r="C1263" s="19">
        <f t="shared" si="209"/>
        <v>-0.00480139677</v>
      </c>
      <c r="D1263" s="19">
        <f t="shared" si="208"/>
        <v>-0.01857734091</v>
      </c>
      <c r="E1263" s="12"/>
      <c r="F1263" s="7"/>
      <c r="G1263" s="7"/>
      <c r="H1263" s="1"/>
      <c r="I1263" s="1"/>
      <c r="J1263" s="1"/>
      <c r="K1263" s="1"/>
      <c r="L1263" s="12">
        <f t="shared" si="210"/>
        <v>15881.68508</v>
      </c>
      <c r="M1263" s="12"/>
      <c r="N1263" s="15"/>
      <c r="O1263" s="1"/>
      <c r="Q1263" s="12"/>
      <c r="R1263" s="1"/>
    </row>
    <row r="1264" ht="12.75" hidden="1" customHeight="1" outlineLevel="1">
      <c r="A1264" s="122">
        <f t="shared" si="211"/>
        <v>42593</v>
      </c>
      <c r="B1264" s="120">
        <v>681615.9500000001</v>
      </c>
      <c r="C1264" s="19">
        <f t="shared" si="209"/>
        <v>-0.003485453216</v>
      </c>
      <c r="D1264" s="19">
        <f t="shared" si="208"/>
        <v>-0.02199804367</v>
      </c>
      <c r="E1264" s="12"/>
      <c r="F1264" s="7"/>
      <c r="G1264" s="7"/>
      <c r="H1264" s="1"/>
      <c r="I1264" s="1"/>
      <c r="J1264" s="1"/>
      <c r="K1264" s="1"/>
      <c r="L1264" s="12">
        <f t="shared" si="210"/>
        <v>15826.33021</v>
      </c>
      <c r="M1264" s="12"/>
      <c r="N1264" s="15"/>
      <c r="O1264" s="1"/>
      <c r="Q1264" s="12"/>
      <c r="R1264" s="1"/>
    </row>
    <row r="1265" ht="12.75" hidden="1" customHeight="1" outlineLevel="1">
      <c r="A1265" s="122">
        <f t="shared" si="211"/>
        <v>42594</v>
      </c>
      <c r="B1265" s="120">
        <v>678868.8500000001</v>
      </c>
      <c r="C1265" s="19">
        <f t="shared" si="209"/>
        <v>-0.004030275407</v>
      </c>
      <c r="D1265" s="19">
        <f t="shared" si="208"/>
        <v>-0.0259396609</v>
      </c>
      <c r="E1265" s="12"/>
      <c r="F1265" s="7"/>
      <c r="G1265" s="7"/>
      <c r="H1265" s="1"/>
      <c r="I1265" s="1"/>
      <c r="J1265" s="1"/>
      <c r="K1265" s="1"/>
      <c r="L1265" s="12">
        <f t="shared" si="210"/>
        <v>15762.54574</v>
      </c>
      <c r="M1265" s="12"/>
      <c r="N1265" s="15"/>
      <c r="O1265" s="1"/>
      <c r="Q1265" s="12"/>
      <c r="R1265" s="1"/>
    </row>
    <row r="1266" ht="12.75" hidden="1" customHeight="1" outlineLevel="1">
      <c r="A1266" s="122">
        <f t="shared" si="211"/>
        <v>42595</v>
      </c>
      <c r="B1266" s="120">
        <v>678868.8500000001</v>
      </c>
      <c r="C1266" s="19">
        <f t="shared" si="209"/>
        <v>0</v>
      </c>
      <c r="D1266" s="19">
        <f t="shared" si="208"/>
        <v>-0.0259396609</v>
      </c>
      <c r="E1266" s="12"/>
      <c r="F1266" s="7"/>
      <c r="G1266" s="7"/>
      <c r="H1266" s="1"/>
      <c r="I1266" s="1"/>
      <c r="J1266" s="1"/>
      <c r="K1266" s="1"/>
      <c r="L1266" s="12">
        <f t="shared" si="210"/>
        <v>15762.54574</v>
      </c>
      <c r="M1266" s="12"/>
      <c r="N1266" s="15"/>
      <c r="O1266" s="1"/>
      <c r="Q1266" s="12"/>
      <c r="R1266" s="1"/>
    </row>
    <row r="1267" ht="12.75" hidden="1" customHeight="1" outlineLevel="1">
      <c r="A1267" s="122">
        <f t="shared" si="211"/>
        <v>42596</v>
      </c>
      <c r="B1267" s="120">
        <v>678868.8500000001</v>
      </c>
      <c r="C1267" s="19">
        <f t="shared" si="209"/>
        <v>0</v>
      </c>
      <c r="D1267" s="19">
        <f t="shared" si="208"/>
        <v>-0.0259396609</v>
      </c>
      <c r="E1267" s="12"/>
      <c r="F1267" s="7"/>
      <c r="G1267" s="7"/>
      <c r="H1267" s="1"/>
      <c r="I1267" s="1"/>
      <c r="J1267" s="1"/>
      <c r="K1267" s="1"/>
      <c r="L1267" s="12">
        <f t="shared" si="210"/>
        <v>15762.54574</v>
      </c>
      <c r="M1267" s="12"/>
      <c r="N1267" s="15"/>
      <c r="O1267" s="1"/>
      <c r="Q1267" s="12"/>
      <c r="R1267" s="1"/>
    </row>
    <row r="1268" ht="12.75" hidden="1" customHeight="1" outlineLevel="1">
      <c r="A1268" s="122">
        <f t="shared" si="211"/>
        <v>42597</v>
      </c>
      <c r="B1268" s="120">
        <v>683000.0</v>
      </c>
      <c r="C1268" s="19">
        <f t="shared" si="209"/>
        <v>0.006085343288</v>
      </c>
      <c r="D1268" s="19">
        <f t="shared" si="208"/>
        <v>-0.02001216935</v>
      </c>
      <c r="E1268" s="12"/>
      <c r="F1268" s="7"/>
      <c r="G1268" s="7"/>
      <c r="H1268" s="1"/>
      <c r="I1268" s="1"/>
      <c r="J1268" s="1"/>
      <c r="K1268" s="1"/>
      <c r="L1268" s="12">
        <f t="shared" si="210"/>
        <v>15858.46624</v>
      </c>
      <c r="M1268" s="12"/>
      <c r="N1268" s="15"/>
      <c r="O1268" s="1"/>
      <c r="Q1268" s="12"/>
      <c r="R1268" s="1"/>
    </row>
    <row r="1269" ht="12.75" hidden="1" customHeight="1" outlineLevel="1">
      <c r="A1269" s="122">
        <f t="shared" si="211"/>
        <v>42598</v>
      </c>
      <c r="B1269" s="120">
        <v>677326.4500000001</v>
      </c>
      <c r="C1269" s="19">
        <f t="shared" si="209"/>
        <v>-0.008306808199</v>
      </c>
      <c r="D1269" s="19">
        <f t="shared" si="208"/>
        <v>-0.0281527403</v>
      </c>
      <c r="E1269" s="12"/>
      <c r="F1269" s="7"/>
      <c r="G1269" s="7"/>
      <c r="H1269" s="1"/>
      <c r="I1269" s="1"/>
      <c r="J1269" s="1"/>
      <c r="K1269" s="1"/>
      <c r="L1269" s="12">
        <f t="shared" si="210"/>
        <v>15726.733</v>
      </c>
      <c r="M1269" s="12"/>
      <c r="N1269" s="15"/>
      <c r="O1269" s="1"/>
      <c r="Q1269" s="12"/>
      <c r="R1269" s="1"/>
    </row>
    <row r="1270" ht="12.75" hidden="1" customHeight="1" outlineLevel="1">
      <c r="A1270" s="122">
        <f t="shared" si="211"/>
        <v>42599</v>
      </c>
      <c r="B1270" s="120">
        <v>678753.15</v>
      </c>
      <c r="C1270" s="19">
        <f t="shared" si="209"/>
        <v>0.002106369831</v>
      </c>
      <c r="D1270" s="19">
        <f t="shared" si="208"/>
        <v>-0.02610567055</v>
      </c>
      <c r="E1270" s="12"/>
      <c r="F1270" s="7"/>
      <c r="G1270" s="7"/>
      <c r="H1270" s="1"/>
      <c r="I1270" s="1"/>
      <c r="J1270" s="1"/>
      <c r="K1270" s="1"/>
      <c r="L1270" s="12">
        <f t="shared" si="210"/>
        <v>15759.85932</v>
      </c>
      <c r="M1270" s="12"/>
      <c r="N1270" s="15"/>
      <c r="O1270" s="1"/>
      <c r="Q1270" s="12"/>
      <c r="R1270" s="1"/>
    </row>
    <row r="1271" ht="12.75" hidden="1" customHeight="1" outlineLevel="1">
      <c r="A1271" s="122">
        <f t="shared" si="211"/>
        <v>42600</v>
      </c>
      <c r="B1271" s="120">
        <v>681615.0</v>
      </c>
      <c r="C1271" s="19">
        <f t="shared" si="209"/>
        <v>0.004216334024</v>
      </c>
      <c r="D1271" s="19">
        <f t="shared" si="208"/>
        <v>-0.02199940676</v>
      </c>
      <c r="E1271" s="12"/>
      <c r="F1271" s="7"/>
      <c r="G1271" s="7"/>
      <c r="H1271" s="1"/>
      <c r="I1271" s="1"/>
      <c r="J1271" s="1"/>
      <c r="K1271" s="1"/>
      <c r="L1271" s="12">
        <f t="shared" si="210"/>
        <v>15826.30815</v>
      </c>
      <c r="M1271" s="12"/>
      <c r="N1271" s="15"/>
      <c r="O1271" s="1"/>
      <c r="Q1271" s="12"/>
      <c r="R1271" s="1"/>
    </row>
    <row r="1272" ht="12.75" hidden="1" customHeight="1" outlineLevel="1">
      <c r="A1272" s="122">
        <f t="shared" si="211"/>
        <v>42601</v>
      </c>
      <c r="B1272" s="120">
        <v>682000.0</v>
      </c>
      <c r="C1272" s="19">
        <f t="shared" si="209"/>
        <v>0.0005648349875</v>
      </c>
      <c r="D1272" s="19">
        <f t="shared" si="208"/>
        <v>-0.0214469978</v>
      </c>
      <c r="E1272" s="12"/>
      <c r="F1272" s="7"/>
      <c r="G1272" s="7"/>
      <c r="H1272" s="1"/>
      <c r="I1272" s="1"/>
      <c r="J1272" s="1"/>
      <c r="K1272" s="1"/>
      <c r="L1272" s="12">
        <f t="shared" si="210"/>
        <v>15835.2474</v>
      </c>
      <c r="M1272" s="12"/>
      <c r="N1272" s="15"/>
      <c r="O1272" s="1"/>
      <c r="Q1272" s="12"/>
      <c r="R1272" s="1"/>
    </row>
    <row r="1273" ht="12.75" hidden="1" customHeight="1" outlineLevel="1">
      <c r="A1273" s="122">
        <f t="shared" si="211"/>
        <v>42602</v>
      </c>
      <c r="B1273" s="120">
        <v>682000.0</v>
      </c>
      <c r="C1273" s="19">
        <f t="shared" si="209"/>
        <v>0</v>
      </c>
      <c r="D1273" s="19">
        <f t="shared" si="208"/>
        <v>-0.0214469978</v>
      </c>
      <c r="E1273" s="12"/>
      <c r="F1273" s="7"/>
      <c r="G1273" s="7"/>
      <c r="H1273" s="1"/>
      <c r="I1273" s="1"/>
      <c r="J1273" s="1"/>
      <c r="K1273" s="1"/>
      <c r="L1273" s="12">
        <f t="shared" si="210"/>
        <v>15835.2474</v>
      </c>
      <c r="M1273" s="12"/>
      <c r="N1273" s="15"/>
      <c r="O1273" s="1"/>
      <c r="Q1273" s="12"/>
      <c r="R1273" s="1"/>
    </row>
    <row r="1274" ht="12.75" hidden="1" customHeight="1" outlineLevel="1">
      <c r="A1274" s="122">
        <f t="shared" si="211"/>
        <v>42603</v>
      </c>
      <c r="B1274" s="120">
        <v>682000.0</v>
      </c>
      <c r="C1274" s="19">
        <f t="shared" si="209"/>
        <v>0</v>
      </c>
      <c r="D1274" s="19">
        <f t="shared" si="208"/>
        <v>-0.0214469978</v>
      </c>
      <c r="E1274" s="12"/>
      <c r="F1274" s="7"/>
      <c r="G1274" s="7"/>
      <c r="H1274" s="1"/>
      <c r="I1274" s="1"/>
      <c r="J1274" s="1"/>
      <c r="K1274" s="1"/>
      <c r="L1274" s="12">
        <f t="shared" si="210"/>
        <v>15835.2474</v>
      </c>
      <c r="M1274" s="12"/>
      <c r="N1274" s="15"/>
      <c r="O1274" s="1"/>
      <c r="Q1274" s="12"/>
      <c r="R1274" s="1"/>
    </row>
    <row r="1275" ht="12.75" hidden="1" customHeight="1" outlineLevel="1">
      <c r="A1275" s="122">
        <f t="shared" si="211"/>
        <v>42604</v>
      </c>
      <c r="B1275" s="120">
        <v>681341.2000000001</v>
      </c>
      <c r="C1275" s="19">
        <f t="shared" si="209"/>
        <v>-0.0009659824047</v>
      </c>
      <c r="D1275" s="19">
        <f t="shared" si="208"/>
        <v>-0.02239226279</v>
      </c>
      <c r="E1275" s="12"/>
      <c r="F1275" s="7"/>
      <c r="G1275" s="7"/>
      <c r="H1275" s="1"/>
      <c r="I1275" s="1"/>
      <c r="J1275" s="1"/>
      <c r="K1275" s="1"/>
      <c r="L1275" s="12">
        <f t="shared" si="210"/>
        <v>15819.95083</v>
      </c>
      <c r="M1275" s="12"/>
      <c r="N1275" s="15"/>
      <c r="O1275" s="1"/>
      <c r="Q1275" s="12"/>
      <c r="R1275" s="1"/>
    </row>
    <row r="1276" ht="12.75" hidden="1" customHeight="1" outlineLevel="1">
      <c r="A1276" s="122">
        <f t="shared" si="211"/>
        <v>42605</v>
      </c>
      <c r="B1276" s="120">
        <v>682500.0</v>
      </c>
      <c r="C1276" s="19">
        <f t="shared" si="209"/>
        <v>0.001700763142</v>
      </c>
      <c r="D1276" s="19">
        <f t="shared" si="208"/>
        <v>-0.02072958358</v>
      </c>
      <c r="E1276" s="12"/>
      <c r="F1276" s="7"/>
      <c r="G1276" s="7"/>
      <c r="H1276" s="1"/>
      <c r="I1276" s="1"/>
      <c r="J1276" s="1"/>
      <c r="K1276" s="1"/>
      <c r="L1276" s="12">
        <f t="shared" si="210"/>
        <v>15846.85682</v>
      </c>
      <c r="M1276" s="12"/>
      <c r="N1276" s="15"/>
      <c r="O1276" s="1"/>
      <c r="Q1276" s="12"/>
      <c r="R1276" s="1"/>
    </row>
    <row r="1277" ht="12.75" hidden="1" customHeight="1" outlineLevel="1">
      <c r="A1277" s="122">
        <f t="shared" si="211"/>
        <v>42606</v>
      </c>
      <c r="B1277" s="120">
        <v>678913.0</v>
      </c>
      <c r="C1277" s="19">
        <f t="shared" si="209"/>
        <v>-0.005255677656</v>
      </c>
      <c r="D1277" s="19">
        <f t="shared" si="208"/>
        <v>-0.02587631322</v>
      </c>
      <c r="E1277" s="12"/>
      <c r="F1277" s="7"/>
      <c r="G1277" s="7"/>
      <c r="H1277" s="1"/>
      <c r="I1277" s="1"/>
      <c r="J1277" s="1"/>
      <c r="K1277" s="1"/>
      <c r="L1277" s="12">
        <f t="shared" si="210"/>
        <v>15763.57085</v>
      </c>
      <c r="M1277" s="12"/>
      <c r="N1277" s="15"/>
      <c r="O1277" s="1"/>
      <c r="Q1277" s="12"/>
      <c r="R1277" s="1"/>
    </row>
    <row r="1278" ht="12.75" hidden="1" customHeight="1" outlineLevel="1">
      <c r="A1278" s="122">
        <f t="shared" si="211"/>
        <v>42607</v>
      </c>
      <c r="B1278" s="120">
        <v>669800.0</v>
      </c>
      <c r="C1278" s="19">
        <f t="shared" si="209"/>
        <v>-0.01342292753</v>
      </c>
      <c r="D1278" s="19">
        <f t="shared" si="208"/>
        <v>-0.03895190488</v>
      </c>
      <c r="E1278" s="12"/>
      <c r="F1278" s="7"/>
      <c r="G1278" s="7"/>
      <c r="H1278" s="1"/>
      <c r="I1278" s="1"/>
      <c r="J1278" s="1"/>
      <c r="K1278" s="1"/>
      <c r="L1278" s="12">
        <f t="shared" si="210"/>
        <v>15551.97758</v>
      </c>
      <c r="M1278" s="12"/>
      <c r="N1278" s="15"/>
      <c r="O1278" s="1"/>
      <c r="Q1278" s="12"/>
      <c r="R1278" s="1"/>
    </row>
    <row r="1279" ht="12.75" hidden="1" customHeight="1" outlineLevel="1">
      <c r="A1279" s="122">
        <f t="shared" si="211"/>
        <v>42608</v>
      </c>
      <c r="B1279" s="120">
        <v>669800.0</v>
      </c>
      <c r="C1279" s="19">
        <f t="shared" si="209"/>
        <v>0</v>
      </c>
      <c r="D1279" s="19">
        <f t="shared" si="208"/>
        <v>-0.03895190488</v>
      </c>
      <c r="E1279" s="12"/>
      <c r="F1279" s="7"/>
      <c r="G1279" s="7"/>
      <c r="H1279" s="1"/>
      <c r="I1279" s="1"/>
      <c r="J1279" s="1"/>
      <c r="K1279" s="1"/>
      <c r="L1279" s="12">
        <f t="shared" si="210"/>
        <v>15551.97758</v>
      </c>
      <c r="M1279" s="12"/>
      <c r="N1279" s="15"/>
      <c r="O1279" s="1"/>
      <c r="Q1279" s="12"/>
      <c r="R1279" s="1"/>
    </row>
    <row r="1280" ht="12.75" hidden="1" customHeight="1" outlineLevel="1">
      <c r="A1280" s="122">
        <f t="shared" si="211"/>
        <v>42609</v>
      </c>
      <c r="B1280" s="120">
        <v>671800.0</v>
      </c>
      <c r="C1280" s="19">
        <f t="shared" si="209"/>
        <v>0.00298596596</v>
      </c>
      <c r="D1280" s="19">
        <f t="shared" si="208"/>
        <v>-0.03608224798</v>
      </c>
      <c r="E1280" s="12"/>
      <c r="F1280" s="7"/>
      <c r="G1280" s="7"/>
      <c r="H1280" s="1"/>
      <c r="I1280" s="1"/>
      <c r="J1280" s="1"/>
      <c r="K1280" s="1"/>
      <c r="L1280" s="12">
        <f t="shared" si="210"/>
        <v>15598.41526</v>
      </c>
      <c r="M1280" s="12"/>
      <c r="N1280" s="15"/>
      <c r="O1280" s="1"/>
      <c r="Q1280" s="12"/>
      <c r="R1280" s="1"/>
    </row>
    <row r="1281" ht="12.75" hidden="1" customHeight="1" outlineLevel="1">
      <c r="A1281" s="122">
        <f t="shared" si="211"/>
        <v>42610</v>
      </c>
      <c r="B1281" s="120">
        <v>671800.0</v>
      </c>
      <c r="C1281" s="19">
        <f t="shared" si="209"/>
        <v>0</v>
      </c>
      <c r="D1281" s="19">
        <f t="shared" si="208"/>
        <v>-0.03608224798</v>
      </c>
      <c r="E1281" s="12"/>
      <c r="F1281" s="7"/>
      <c r="G1281" s="7"/>
      <c r="H1281" s="1"/>
      <c r="I1281" s="1"/>
      <c r="J1281" s="1"/>
      <c r="K1281" s="1"/>
      <c r="L1281" s="12">
        <f t="shared" si="210"/>
        <v>15598.41526</v>
      </c>
      <c r="M1281" s="12"/>
      <c r="N1281" s="15"/>
      <c r="O1281" s="1"/>
      <c r="Q1281" s="12"/>
      <c r="R1281" s="1"/>
    </row>
    <row r="1282" ht="12.75" hidden="1" customHeight="1" outlineLevel="1">
      <c r="A1282" s="122">
        <f t="shared" si="211"/>
        <v>42611</v>
      </c>
      <c r="B1282" s="120">
        <v>671800.0</v>
      </c>
      <c r="C1282" s="19">
        <f t="shared" si="209"/>
        <v>0</v>
      </c>
      <c r="D1282" s="19">
        <f t="shared" si="208"/>
        <v>-0.03608224798</v>
      </c>
      <c r="E1282" s="12"/>
      <c r="F1282" s="7"/>
      <c r="G1282" s="7"/>
      <c r="H1282" s="1"/>
      <c r="I1282" s="1"/>
      <c r="J1282" s="1"/>
      <c r="K1282" s="1"/>
      <c r="L1282" s="12">
        <f t="shared" si="210"/>
        <v>15598.41526</v>
      </c>
      <c r="M1282" s="12"/>
      <c r="N1282" s="15"/>
      <c r="O1282" s="1"/>
      <c r="Q1282" s="12"/>
      <c r="R1282" s="1"/>
    </row>
    <row r="1283" ht="12.75" hidden="1" customHeight="1" outlineLevel="1">
      <c r="A1283" s="122">
        <f t="shared" si="211"/>
        <v>42612</v>
      </c>
      <c r="B1283" s="120">
        <v>671800.0</v>
      </c>
      <c r="C1283" s="19">
        <f t="shared" si="209"/>
        <v>0</v>
      </c>
      <c r="D1283" s="19">
        <f t="shared" si="208"/>
        <v>-0.03608224798</v>
      </c>
      <c r="E1283" s="12"/>
      <c r="F1283" s="7"/>
      <c r="G1283" s="7"/>
      <c r="H1283" s="1"/>
      <c r="I1283" s="1"/>
      <c r="J1283" s="1"/>
      <c r="K1283" s="1"/>
      <c r="L1283" s="12">
        <f t="shared" si="210"/>
        <v>15598.41526</v>
      </c>
      <c r="M1283" s="12"/>
      <c r="N1283" s="15"/>
      <c r="O1283" s="1"/>
      <c r="Q1283" s="12"/>
      <c r="R1283" s="1"/>
    </row>
    <row r="1284" ht="12.75" hidden="1" customHeight="1" outlineLevel="1">
      <c r="A1284" s="122">
        <f t="shared" si="211"/>
        <v>42613</v>
      </c>
      <c r="B1284" s="120">
        <v>672906.46</v>
      </c>
      <c r="C1284" s="19">
        <f t="shared" si="209"/>
        <v>0.001647008038</v>
      </c>
      <c r="D1284" s="19">
        <f t="shared" si="208"/>
        <v>-0.0344946677</v>
      </c>
      <c r="E1284" s="12"/>
      <c r="F1284" s="7"/>
      <c r="G1284" s="7"/>
      <c r="H1284" s="1"/>
      <c r="I1284" s="1"/>
      <c r="J1284" s="1"/>
      <c r="K1284" s="1"/>
      <c r="L1284" s="12">
        <f t="shared" si="210"/>
        <v>15624.10597</v>
      </c>
      <c r="M1284" s="12"/>
      <c r="N1284" s="15"/>
      <c r="O1284" s="1"/>
      <c r="Q1284" s="12"/>
      <c r="R1284" s="1"/>
    </row>
    <row r="1285" ht="12.75" hidden="1" customHeight="1" outlineLevel="1">
      <c r="A1285" s="122"/>
      <c r="B1285" s="12"/>
      <c r="C1285" s="1"/>
      <c r="D1285" s="1"/>
      <c r="E1285" s="12"/>
      <c r="F1285" s="7"/>
      <c r="G1285" s="7"/>
      <c r="H1285" s="1"/>
      <c r="I1285" s="1"/>
      <c r="J1285" s="1"/>
      <c r="K1285" s="1"/>
      <c r="L1285" s="12"/>
      <c r="M1285" s="12"/>
      <c r="N1285" s="15"/>
      <c r="O1285" s="1"/>
      <c r="Q1285" s="12"/>
      <c r="R1285" s="1"/>
    </row>
    <row r="1286" ht="12.75" hidden="1" customHeight="1" outlineLevel="1">
      <c r="A1286" s="122"/>
      <c r="B1286" s="12">
        <f>B1284+P1286-Q1286</f>
        <v>672906.46</v>
      </c>
      <c r="C1286" s="19"/>
      <c r="D1286" s="19">
        <f t="shared" ref="D1286:D1316" si="212">(B1286/$B$1286)-1</f>
        <v>0</v>
      </c>
      <c r="E1286" s="12"/>
      <c r="F1286" s="7"/>
      <c r="G1286" s="7"/>
      <c r="H1286" s="1"/>
      <c r="I1286" s="1"/>
      <c r="J1286" s="1"/>
      <c r="K1286" s="1"/>
      <c r="L1286" s="12"/>
      <c r="M1286" s="12"/>
      <c r="N1286" s="15"/>
      <c r="O1286" s="1"/>
      <c r="Q1286" s="12"/>
      <c r="R1286" s="1"/>
    </row>
    <row r="1287" ht="12.75" hidden="1" customHeight="1" outlineLevel="1">
      <c r="A1287" s="122">
        <f>A1284+1</f>
        <v>42614</v>
      </c>
      <c r="B1287" s="120">
        <v>673700.0</v>
      </c>
      <c r="C1287" s="19">
        <f t="shared" ref="C1287:C1316" si="213">(B1287/B1286)-1</f>
        <v>0.001179272376</v>
      </c>
      <c r="D1287" s="19">
        <f t="shared" si="212"/>
        <v>0.001179272376</v>
      </c>
      <c r="E1287" s="12"/>
      <c r="F1287" s="7"/>
      <c r="G1287" s="7"/>
      <c r="H1287" s="1"/>
      <c r="I1287" s="1"/>
      <c r="J1287" s="1"/>
      <c r="K1287" s="1"/>
      <c r="L1287" s="12">
        <f t="shared" ref="L1287:L1316" si="214">IF(C1286="",L1284*(1+C1287),L1286*(1+C1287))</f>
        <v>15642.53105</v>
      </c>
      <c r="M1287" s="12"/>
      <c r="N1287" s="15"/>
      <c r="O1287" s="1"/>
      <c r="Q1287" s="12"/>
      <c r="R1287" s="1"/>
    </row>
    <row r="1288" ht="12.75" hidden="1" customHeight="1" outlineLevel="1">
      <c r="A1288" s="122">
        <f t="shared" ref="A1288:A1316" si="215">A1287+1</f>
        <v>42615</v>
      </c>
      <c r="B1288" s="120">
        <v>677700.0</v>
      </c>
      <c r="C1288" s="19">
        <f t="shared" si="213"/>
        <v>0.005937360843</v>
      </c>
      <c r="D1288" s="19">
        <f t="shared" si="212"/>
        <v>0.007123634985</v>
      </c>
      <c r="E1288" s="12"/>
      <c r="F1288" s="7"/>
      <c r="G1288" s="7"/>
      <c r="H1288" s="1"/>
      <c r="I1288" s="1"/>
      <c r="J1288" s="1"/>
      <c r="K1288" s="1"/>
      <c r="L1288" s="12">
        <f t="shared" si="214"/>
        <v>15735.4064</v>
      </c>
      <c r="M1288" s="12"/>
      <c r="N1288" s="15"/>
      <c r="O1288" s="1"/>
      <c r="Q1288" s="12"/>
      <c r="R1288" s="1"/>
    </row>
    <row r="1289" ht="12.75" hidden="1" customHeight="1" outlineLevel="1">
      <c r="A1289" s="122">
        <f t="shared" si="215"/>
        <v>42616</v>
      </c>
      <c r="B1289" s="120">
        <v>677700.0</v>
      </c>
      <c r="C1289" s="19">
        <f t="shared" si="213"/>
        <v>0</v>
      </c>
      <c r="D1289" s="19">
        <f t="shared" si="212"/>
        <v>0.007123634985</v>
      </c>
      <c r="E1289" s="12"/>
      <c r="F1289" s="7"/>
      <c r="G1289" s="7"/>
      <c r="H1289" s="1"/>
      <c r="I1289" s="1"/>
      <c r="J1289" s="1"/>
      <c r="K1289" s="1"/>
      <c r="L1289" s="12">
        <f t="shared" si="214"/>
        <v>15735.4064</v>
      </c>
      <c r="M1289" s="12"/>
      <c r="N1289" s="15"/>
      <c r="O1289" s="1"/>
      <c r="Q1289" s="12"/>
      <c r="R1289" s="1"/>
    </row>
    <row r="1290" ht="12.75" hidden="1" customHeight="1" outlineLevel="1">
      <c r="A1290" s="122">
        <f t="shared" si="215"/>
        <v>42617</v>
      </c>
      <c r="B1290" s="120">
        <v>677700.0</v>
      </c>
      <c r="C1290" s="19">
        <f t="shared" si="213"/>
        <v>0</v>
      </c>
      <c r="D1290" s="19">
        <f t="shared" si="212"/>
        <v>0.007123634985</v>
      </c>
      <c r="E1290" s="12"/>
      <c r="F1290" s="7"/>
      <c r="G1290" s="7"/>
      <c r="H1290" s="1"/>
      <c r="I1290" s="1"/>
      <c r="J1290" s="1"/>
      <c r="K1290" s="1"/>
      <c r="L1290" s="12">
        <f t="shared" si="214"/>
        <v>15735.4064</v>
      </c>
      <c r="M1290" s="12"/>
      <c r="N1290" s="15"/>
      <c r="O1290" s="1"/>
      <c r="Q1290" s="12"/>
      <c r="R1290" s="1"/>
    </row>
    <row r="1291" ht="12.75" hidden="1" customHeight="1" outlineLevel="1">
      <c r="A1291" s="122">
        <f t="shared" si="215"/>
        <v>42618</v>
      </c>
      <c r="B1291" s="120">
        <v>677700.0</v>
      </c>
      <c r="C1291" s="19">
        <f t="shared" si="213"/>
        <v>0</v>
      </c>
      <c r="D1291" s="19">
        <f t="shared" si="212"/>
        <v>0.007123634985</v>
      </c>
      <c r="E1291" s="12"/>
      <c r="F1291" s="7"/>
      <c r="G1291" s="7"/>
      <c r="H1291" s="1"/>
      <c r="I1291" s="1"/>
      <c r="J1291" s="1"/>
      <c r="K1291" s="1"/>
      <c r="L1291" s="12">
        <f t="shared" si="214"/>
        <v>15735.4064</v>
      </c>
      <c r="M1291" s="12"/>
      <c r="N1291" s="15"/>
      <c r="O1291" s="1"/>
      <c r="Q1291" s="12"/>
      <c r="R1291" s="1"/>
    </row>
    <row r="1292" ht="12.75" hidden="1" customHeight="1" outlineLevel="1">
      <c r="A1292" s="122">
        <f t="shared" si="215"/>
        <v>42619</v>
      </c>
      <c r="B1292" s="120">
        <v>676900.0</v>
      </c>
      <c r="C1292" s="19">
        <f t="shared" si="213"/>
        <v>-0.001180463332</v>
      </c>
      <c r="D1292" s="19">
        <f t="shared" si="212"/>
        <v>0.005934762463</v>
      </c>
      <c r="E1292" s="12"/>
      <c r="F1292" s="7"/>
      <c r="G1292" s="7"/>
      <c r="H1292" s="1"/>
      <c r="I1292" s="1"/>
      <c r="J1292" s="1"/>
      <c r="K1292" s="1"/>
      <c r="L1292" s="12">
        <f t="shared" si="214"/>
        <v>15716.83133</v>
      </c>
      <c r="M1292" s="12"/>
      <c r="N1292" s="15"/>
      <c r="O1292" s="1"/>
      <c r="Q1292" s="12"/>
      <c r="R1292" s="1"/>
    </row>
    <row r="1293" ht="12.75" hidden="1" customHeight="1" outlineLevel="1">
      <c r="A1293" s="122">
        <f t="shared" si="215"/>
        <v>42620</v>
      </c>
      <c r="B1293" s="120">
        <v>677200.0</v>
      </c>
      <c r="C1293" s="19">
        <f t="shared" si="213"/>
        <v>0.0004431969272</v>
      </c>
      <c r="D1293" s="19">
        <f t="shared" si="212"/>
        <v>0.006380589659</v>
      </c>
      <c r="E1293" s="12"/>
      <c r="F1293" s="7"/>
      <c r="G1293" s="7"/>
      <c r="H1293" s="1"/>
      <c r="I1293" s="1"/>
      <c r="J1293" s="1"/>
      <c r="K1293" s="1"/>
      <c r="L1293" s="12">
        <f t="shared" si="214"/>
        <v>15723.79698</v>
      </c>
      <c r="M1293" s="12"/>
      <c r="N1293" s="15"/>
      <c r="O1293" s="1"/>
      <c r="Q1293" s="12"/>
      <c r="R1293" s="1"/>
    </row>
    <row r="1294" ht="12.75" hidden="1" customHeight="1" outlineLevel="1">
      <c r="A1294" s="122">
        <f t="shared" si="215"/>
        <v>42621</v>
      </c>
      <c r="B1294" s="120">
        <v>671800.0</v>
      </c>
      <c r="C1294" s="19">
        <f t="shared" si="213"/>
        <v>-0.007974010632</v>
      </c>
      <c r="D1294" s="19">
        <f t="shared" si="212"/>
        <v>-0.001644299863</v>
      </c>
      <c r="E1294" s="12"/>
      <c r="F1294" s="7"/>
      <c r="G1294" s="7"/>
      <c r="H1294" s="1"/>
      <c r="I1294" s="1"/>
      <c r="J1294" s="1"/>
      <c r="K1294" s="1"/>
      <c r="L1294" s="12">
        <f t="shared" si="214"/>
        <v>15598.41526</v>
      </c>
      <c r="M1294" s="12"/>
      <c r="N1294" s="15"/>
      <c r="O1294" s="1"/>
      <c r="Q1294" s="12"/>
      <c r="R1294" s="1"/>
    </row>
    <row r="1295" ht="12.75" hidden="1" customHeight="1" outlineLevel="1">
      <c r="A1295" s="122">
        <f t="shared" si="215"/>
        <v>42622</v>
      </c>
      <c r="B1295" s="120">
        <v>656338.9000000001</v>
      </c>
      <c r="C1295" s="19">
        <f t="shared" si="213"/>
        <v>-0.02301443882</v>
      </c>
      <c r="D1295" s="19">
        <f t="shared" si="212"/>
        <v>-0.02462089605</v>
      </c>
      <c r="E1295" s="12"/>
      <c r="F1295" s="7"/>
      <c r="G1295" s="7"/>
      <c r="H1295" s="1"/>
      <c r="I1295" s="1"/>
      <c r="J1295" s="1"/>
      <c r="K1295" s="1"/>
      <c r="L1295" s="12">
        <f t="shared" si="214"/>
        <v>15239.42648</v>
      </c>
      <c r="M1295" s="12"/>
      <c r="N1295" s="15"/>
      <c r="O1295" s="1"/>
      <c r="Q1295" s="12"/>
      <c r="R1295" s="1"/>
    </row>
    <row r="1296" ht="12.75" hidden="1" customHeight="1" outlineLevel="1">
      <c r="A1296" s="122">
        <f t="shared" si="215"/>
        <v>42623</v>
      </c>
      <c r="B1296" s="120">
        <v>656338.9000000001</v>
      </c>
      <c r="C1296" s="19">
        <f t="shared" si="213"/>
        <v>0</v>
      </c>
      <c r="D1296" s="19">
        <f t="shared" si="212"/>
        <v>-0.02462089605</v>
      </c>
      <c r="E1296" s="12"/>
      <c r="F1296" s="7"/>
      <c r="G1296" s="7"/>
      <c r="H1296" s="1"/>
      <c r="I1296" s="1"/>
      <c r="J1296" s="1"/>
      <c r="K1296" s="1"/>
      <c r="L1296" s="12">
        <f t="shared" si="214"/>
        <v>15239.42648</v>
      </c>
      <c r="M1296" s="12"/>
      <c r="N1296" s="15"/>
      <c r="O1296" s="1"/>
      <c r="Q1296" s="12"/>
      <c r="R1296" s="1"/>
    </row>
    <row r="1297" ht="12.75" hidden="1" customHeight="1" outlineLevel="1">
      <c r="A1297" s="122">
        <f t="shared" si="215"/>
        <v>42624</v>
      </c>
      <c r="B1297" s="120">
        <v>656338.9000000001</v>
      </c>
      <c r="C1297" s="19">
        <f t="shared" si="213"/>
        <v>0</v>
      </c>
      <c r="D1297" s="19">
        <f t="shared" si="212"/>
        <v>-0.02462089605</v>
      </c>
      <c r="E1297" s="12"/>
      <c r="F1297" s="7"/>
      <c r="G1297" s="7"/>
      <c r="H1297" s="1"/>
      <c r="I1297" s="1"/>
      <c r="J1297" s="1"/>
      <c r="K1297" s="1"/>
      <c r="L1297" s="12">
        <f t="shared" si="214"/>
        <v>15239.42648</v>
      </c>
      <c r="M1297" s="12"/>
      <c r="N1297" s="15"/>
      <c r="O1297" s="1"/>
      <c r="Q1297" s="12"/>
      <c r="R1297" s="1"/>
    </row>
    <row r="1298" ht="12.75" hidden="1" customHeight="1" outlineLevel="1">
      <c r="A1298" s="122">
        <f t="shared" si="215"/>
        <v>42625</v>
      </c>
      <c r="B1298" s="120">
        <v>662900.0</v>
      </c>
      <c r="C1298" s="19">
        <f t="shared" si="213"/>
        <v>0.009996512472</v>
      </c>
      <c r="D1298" s="19">
        <f t="shared" si="212"/>
        <v>-0.01487050667</v>
      </c>
      <c r="E1298" s="12"/>
      <c r="F1298" s="7"/>
      <c r="G1298" s="7"/>
      <c r="H1298" s="1"/>
      <c r="I1298" s="1"/>
      <c r="J1298" s="1"/>
      <c r="K1298" s="1"/>
      <c r="L1298" s="12">
        <f t="shared" si="214"/>
        <v>15391.7676</v>
      </c>
      <c r="M1298" s="12"/>
      <c r="N1298" s="15"/>
      <c r="O1298" s="1"/>
      <c r="Q1298" s="12"/>
      <c r="R1298" s="1"/>
    </row>
    <row r="1299" ht="12.75" hidden="1" customHeight="1" outlineLevel="1">
      <c r="A1299" s="122">
        <f t="shared" si="215"/>
        <v>42626</v>
      </c>
      <c r="B1299" s="120">
        <v>653377.0</v>
      </c>
      <c r="C1299" s="19">
        <f t="shared" si="213"/>
        <v>-0.01436566601</v>
      </c>
      <c r="D1299" s="19">
        <f t="shared" si="212"/>
        <v>-0.02902254795</v>
      </c>
      <c r="E1299" s="12"/>
      <c r="F1299" s="7"/>
      <c r="G1299" s="7"/>
      <c r="H1299" s="1"/>
      <c r="I1299" s="1"/>
      <c r="J1299" s="1"/>
      <c r="K1299" s="1"/>
      <c r="L1299" s="12">
        <f t="shared" si="214"/>
        <v>15170.65461</v>
      </c>
      <c r="M1299" s="12"/>
      <c r="N1299" s="15"/>
      <c r="O1299" s="1"/>
      <c r="Q1299" s="12"/>
      <c r="R1299" s="1"/>
    </row>
    <row r="1300" ht="12.75" hidden="1" customHeight="1" outlineLevel="1">
      <c r="A1300" s="122">
        <f t="shared" si="215"/>
        <v>42627</v>
      </c>
      <c r="B1300" s="120">
        <v>652000.0</v>
      </c>
      <c r="C1300" s="19">
        <f t="shared" si="213"/>
        <v>-0.002107512202</v>
      </c>
      <c r="D1300" s="19">
        <f t="shared" si="212"/>
        <v>-0.03106889478</v>
      </c>
      <c r="E1300" s="12"/>
      <c r="F1300" s="7"/>
      <c r="G1300" s="7"/>
      <c r="H1300" s="1"/>
      <c r="I1300" s="1"/>
      <c r="J1300" s="1"/>
      <c r="K1300" s="1"/>
      <c r="L1300" s="12">
        <f t="shared" si="214"/>
        <v>15138.68227</v>
      </c>
      <c r="M1300" s="12"/>
      <c r="N1300" s="15"/>
      <c r="O1300" s="1"/>
      <c r="Q1300" s="12"/>
      <c r="R1300" s="1"/>
    </row>
    <row r="1301" ht="12.75" hidden="1" customHeight="1" outlineLevel="1">
      <c r="A1301" s="122">
        <f t="shared" si="215"/>
        <v>42628</v>
      </c>
      <c r="B1301" s="120">
        <v>656700.0</v>
      </c>
      <c r="C1301" s="19">
        <f t="shared" si="213"/>
        <v>0.007208588957</v>
      </c>
      <c r="D1301" s="19">
        <f t="shared" si="212"/>
        <v>-0.02408426871</v>
      </c>
      <c r="E1301" s="12"/>
      <c r="F1301" s="7"/>
      <c r="G1301" s="7"/>
      <c r="H1301" s="1"/>
      <c r="I1301" s="1"/>
      <c r="J1301" s="1"/>
      <c r="K1301" s="1"/>
      <c r="L1301" s="12">
        <f t="shared" si="214"/>
        <v>15247.81081</v>
      </c>
      <c r="M1301" s="12"/>
      <c r="N1301" s="15"/>
      <c r="O1301" s="1"/>
      <c r="Q1301" s="12"/>
      <c r="R1301" s="1"/>
    </row>
    <row r="1302" ht="12.75" hidden="1" customHeight="1" outlineLevel="1">
      <c r="A1302" s="122">
        <f t="shared" si="215"/>
        <v>42629</v>
      </c>
      <c r="B1302" s="120">
        <v>652700.0</v>
      </c>
      <c r="C1302" s="19">
        <f t="shared" si="213"/>
        <v>-0.006091061367</v>
      </c>
      <c r="D1302" s="19">
        <f t="shared" si="212"/>
        <v>-0.03002863132</v>
      </c>
      <c r="E1302" s="12"/>
      <c r="F1302" s="7"/>
      <c r="G1302" s="7"/>
      <c r="H1302" s="1"/>
      <c r="I1302" s="1"/>
      <c r="J1302" s="1"/>
      <c r="K1302" s="1"/>
      <c r="L1302" s="12">
        <f t="shared" si="214"/>
        <v>15154.93546</v>
      </c>
      <c r="M1302" s="12"/>
      <c r="N1302" s="15"/>
      <c r="O1302" s="1"/>
      <c r="Q1302" s="12"/>
      <c r="R1302" s="1"/>
    </row>
    <row r="1303" ht="12.75" hidden="1" customHeight="1" outlineLevel="1">
      <c r="A1303" s="122">
        <f t="shared" si="215"/>
        <v>42630</v>
      </c>
      <c r="B1303" s="120">
        <v>652700.0</v>
      </c>
      <c r="C1303" s="19">
        <f t="shared" si="213"/>
        <v>0</v>
      </c>
      <c r="D1303" s="19">
        <f t="shared" si="212"/>
        <v>-0.03002863132</v>
      </c>
      <c r="E1303" s="12"/>
      <c r="F1303" s="7"/>
      <c r="G1303" s="7"/>
      <c r="H1303" s="1"/>
      <c r="I1303" s="1"/>
      <c r="J1303" s="1"/>
      <c r="K1303" s="1"/>
      <c r="L1303" s="12">
        <f t="shared" si="214"/>
        <v>15154.93546</v>
      </c>
      <c r="M1303" s="12"/>
      <c r="N1303" s="15"/>
      <c r="O1303" s="1"/>
      <c r="Q1303" s="12"/>
      <c r="R1303" s="1"/>
    </row>
    <row r="1304" ht="12.75" hidden="1" customHeight="1" outlineLevel="1">
      <c r="A1304" s="122">
        <f t="shared" si="215"/>
        <v>42631</v>
      </c>
      <c r="B1304" s="120">
        <v>652700.0</v>
      </c>
      <c r="C1304" s="19">
        <f t="shared" si="213"/>
        <v>0</v>
      </c>
      <c r="D1304" s="19">
        <f t="shared" si="212"/>
        <v>-0.03002863132</v>
      </c>
      <c r="E1304" s="12"/>
      <c r="F1304" s="7"/>
      <c r="G1304" s="7"/>
      <c r="H1304" s="1"/>
      <c r="I1304" s="1"/>
      <c r="J1304" s="1"/>
      <c r="K1304" s="1"/>
      <c r="L1304" s="12">
        <f t="shared" si="214"/>
        <v>15154.93546</v>
      </c>
      <c r="M1304" s="12"/>
      <c r="N1304" s="15"/>
      <c r="O1304" s="1"/>
      <c r="Q1304" s="12"/>
      <c r="R1304" s="1"/>
    </row>
    <row r="1305" ht="12.75" hidden="1" customHeight="1" outlineLevel="1">
      <c r="A1305" s="122">
        <f t="shared" si="215"/>
        <v>42632</v>
      </c>
      <c r="B1305" s="120">
        <v>655900.0</v>
      </c>
      <c r="C1305" s="19">
        <f t="shared" si="213"/>
        <v>0.004902711812</v>
      </c>
      <c r="D1305" s="19">
        <f t="shared" si="212"/>
        <v>-0.02527314123</v>
      </c>
      <c r="E1305" s="12"/>
      <c r="F1305" s="7"/>
      <c r="G1305" s="7"/>
      <c r="H1305" s="1"/>
      <c r="I1305" s="1"/>
      <c r="J1305" s="1"/>
      <c r="K1305" s="1"/>
      <c r="L1305" s="12">
        <f t="shared" si="214"/>
        <v>15229.23574</v>
      </c>
      <c r="M1305" s="12"/>
      <c r="N1305" s="15"/>
      <c r="O1305" s="1"/>
      <c r="Q1305" s="12"/>
      <c r="R1305" s="1"/>
    </row>
    <row r="1306" ht="12.75" hidden="1" customHeight="1" outlineLevel="1">
      <c r="A1306" s="122">
        <f t="shared" si="215"/>
        <v>42633</v>
      </c>
      <c r="B1306" s="120">
        <v>656900.0</v>
      </c>
      <c r="C1306" s="19">
        <f t="shared" si="213"/>
        <v>0.001524622656</v>
      </c>
      <c r="D1306" s="19">
        <f t="shared" si="212"/>
        <v>-0.02378705058</v>
      </c>
      <c r="E1306" s="12"/>
      <c r="F1306" s="7"/>
      <c r="G1306" s="7"/>
      <c r="H1306" s="1"/>
      <c r="I1306" s="1"/>
      <c r="J1306" s="1"/>
      <c r="K1306" s="1"/>
      <c r="L1306" s="12">
        <f t="shared" si="214"/>
        <v>15252.45457</v>
      </c>
      <c r="M1306" s="12"/>
      <c r="N1306" s="15"/>
      <c r="O1306" s="1"/>
      <c r="Q1306" s="12"/>
      <c r="R1306" s="1"/>
    </row>
    <row r="1307" ht="12.75" hidden="1" customHeight="1" outlineLevel="1">
      <c r="A1307" s="122">
        <f t="shared" si="215"/>
        <v>42634</v>
      </c>
      <c r="B1307" s="120">
        <v>663300.0</v>
      </c>
      <c r="C1307" s="19">
        <f t="shared" si="213"/>
        <v>0.009742731009</v>
      </c>
      <c r="D1307" s="19">
        <f t="shared" si="212"/>
        <v>-0.01427607041</v>
      </c>
      <c r="E1307" s="12"/>
      <c r="F1307" s="7"/>
      <c r="G1307" s="7"/>
      <c r="H1307" s="1"/>
      <c r="I1307" s="1"/>
      <c r="J1307" s="1"/>
      <c r="K1307" s="1"/>
      <c r="L1307" s="12">
        <f t="shared" si="214"/>
        <v>15401.05514</v>
      </c>
      <c r="M1307" s="12"/>
      <c r="N1307" s="15"/>
      <c r="O1307" s="1"/>
      <c r="Q1307" s="12"/>
      <c r="R1307" s="1"/>
    </row>
    <row r="1308" ht="12.75" hidden="1" customHeight="1" outlineLevel="1">
      <c r="A1308" s="122">
        <f t="shared" si="215"/>
        <v>42635</v>
      </c>
      <c r="B1308" s="120">
        <v>667600.0</v>
      </c>
      <c r="C1308" s="19">
        <f t="shared" si="213"/>
        <v>0.006482737826</v>
      </c>
      <c r="D1308" s="19">
        <f t="shared" si="212"/>
        <v>-0.007885880602</v>
      </c>
      <c r="E1308" s="12"/>
      <c r="F1308" s="7"/>
      <c r="G1308" s="7"/>
      <c r="H1308" s="1"/>
      <c r="I1308" s="1"/>
      <c r="J1308" s="1"/>
      <c r="K1308" s="1"/>
      <c r="L1308" s="12">
        <f t="shared" si="214"/>
        <v>15500.89614</v>
      </c>
      <c r="M1308" s="12"/>
      <c r="N1308" s="15"/>
      <c r="O1308" s="1"/>
      <c r="Q1308" s="12"/>
      <c r="R1308" s="1"/>
    </row>
    <row r="1309" ht="12.75" hidden="1" customHeight="1" outlineLevel="1">
      <c r="A1309" s="122">
        <f t="shared" si="215"/>
        <v>42636</v>
      </c>
      <c r="B1309" s="120">
        <v>663800.0</v>
      </c>
      <c r="C1309" s="19">
        <f t="shared" si="213"/>
        <v>-0.005692031156</v>
      </c>
      <c r="D1309" s="19">
        <f t="shared" si="212"/>
        <v>-0.01353302508</v>
      </c>
      <c r="E1309" s="12"/>
      <c r="F1309" s="7"/>
      <c r="G1309" s="7"/>
      <c r="H1309" s="1"/>
      <c r="I1309" s="1"/>
      <c r="J1309" s="1"/>
      <c r="K1309" s="1"/>
      <c r="L1309" s="12">
        <f t="shared" si="214"/>
        <v>15412.66456</v>
      </c>
      <c r="M1309" s="12"/>
      <c r="N1309" s="15"/>
      <c r="O1309" s="1"/>
      <c r="Q1309" s="12"/>
      <c r="R1309" s="1"/>
    </row>
    <row r="1310" ht="12.75" hidden="1" customHeight="1" outlineLevel="1">
      <c r="A1310" s="122">
        <f t="shared" si="215"/>
        <v>42637</v>
      </c>
      <c r="B1310" s="120">
        <v>663800.0</v>
      </c>
      <c r="C1310" s="19">
        <f t="shared" si="213"/>
        <v>0</v>
      </c>
      <c r="D1310" s="19">
        <f t="shared" si="212"/>
        <v>-0.01353302508</v>
      </c>
      <c r="E1310" s="12"/>
      <c r="F1310" s="7"/>
      <c r="G1310" s="7"/>
      <c r="H1310" s="1"/>
      <c r="I1310" s="1"/>
      <c r="J1310" s="1"/>
      <c r="K1310" s="1"/>
      <c r="L1310" s="12">
        <f t="shared" si="214"/>
        <v>15412.66456</v>
      </c>
      <c r="M1310" s="12"/>
      <c r="N1310" s="15"/>
      <c r="O1310" s="1"/>
      <c r="Q1310" s="12"/>
      <c r="R1310" s="1"/>
    </row>
    <row r="1311" ht="12.75" hidden="1" customHeight="1" outlineLevel="1">
      <c r="A1311" s="122">
        <f t="shared" si="215"/>
        <v>42638</v>
      </c>
      <c r="B1311" s="120">
        <v>663800.0</v>
      </c>
      <c r="C1311" s="19">
        <f t="shared" si="213"/>
        <v>0</v>
      </c>
      <c r="D1311" s="19">
        <f t="shared" si="212"/>
        <v>-0.01353302508</v>
      </c>
      <c r="E1311" s="12"/>
      <c r="F1311" s="7"/>
      <c r="G1311" s="7"/>
      <c r="H1311" s="1"/>
      <c r="I1311" s="1"/>
      <c r="J1311" s="1"/>
      <c r="K1311" s="1"/>
      <c r="L1311" s="12">
        <f t="shared" si="214"/>
        <v>15412.66456</v>
      </c>
      <c r="M1311" s="12"/>
      <c r="N1311" s="15"/>
      <c r="O1311" s="1"/>
      <c r="Q1311" s="12"/>
      <c r="R1311" s="1"/>
    </row>
    <row r="1312" ht="12.75" hidden="1" customHeight="1" outlineLevel="1">
      <c r="A1312" s="122">
        <f t="shared" si="215"/>
        <v>42639</v>
      </c>
      <c r="B1312" s="120">
        <v>659800.0</v>
      </c>
      <c r="C1312" s="19">
        <f t="shared" si="213"/>
        <v>-0.006025911419</v>
      </c>
      <c r="D1312" s="19">
        <f t="shared" si="212"/>
        <v>-0.01947738769</v>
      </c>
      <c r="E1312" s="12"/>
      <c r="F1312" s="7"/>
      <c r="G1312" s="7"/>
      <c r="H1312" s="1"/>
      <c r="I1312" s="1"/>
      <c r="J1312" s="1"/>
      <c r="K1312" s="1"/>
      <c r="L1312" s="12">
        <f t="shared" si="214"/>
        <v>15319.7892</v>
      </c>
      <c r="M1312" s="12"/>
      <c r="N1312" s="15"/>
      <c r="O1312" s="1"/>
      <c r="Q1312" s="12"/>
      <c r="R1312" s="1"/>
    </row>
    <row r="1313" ht="12.75" hidden="1" customHeight="1" outlineLevel="1">
      <c r="A1313" s="122">
        <f t="shared" si="215"/>
        <v>42640</v>
      </c>
      <c r="B1313" s="120">
        <v>662500.0</v>
      </c>
      <c r="C1313" s="19">
        <f t="shared" si="213"/>
        <v>0.004092149136</v>
      </c>
      <c r="D1313" s="19">
        <f t="shared" si="212"/>
        <v>-0.01546494293</v>
      </c>
      <c r="E1313" s="12"/>
      <c r="F1313" s="7"/>
      <c r="G1313" s="7"/>
      <c r="H1313" s="1"/>
      <c r="I1313" s="1"/>
      <c r="J1313" s="1"/>
      <c r="K1313" s="1"/>
      <c r="L1313" s="12">
        <f t="shared" si="214"/>
        <v>15382.48007</v>
      </c>
      <c r="M1313" s="12"/>
      <c r="N1313" s="15"/>
      <c r="O1313" s="1"/>
      <c r="Q1313" s="12"/>
      <c r="R1313" s="1"/>
    </row>
    <row r="1314" ht="12.75" hidden="1" customHeight="1" outlineLevel="1">
      <c r="A1314" s="122">
        <f t="shared" si="215"/>
        <v>42641</v>
      </c>
      <c r="B1314" s="120">
        <v>665000.0</v>
      </c>
      <c r="C1314" s="19">
        <f t="shared" si="213"/>
        <v>0.003773584906</v>
      </c>
      <c r="D1314" s="19">
        <f t="shared" si="212"/>
        <v>-0.0117497163</v>
      </c>
      <c r="E1314" s="12"/>
      <c r="F1314" s="7"/>
      <c r="G1314" s="7"/>
      <c r="H1314" s="1"/>
      <c r="I1314" s="1"/>
      <c r="J1314" s="1"/>
      <c r="K1314" s="1"/>
      <c r="L1314" s="12">
        <f t="shared" si="214"/>
        <v>15440.52716</v>
      </c>
      <c r="M1314" s="12"/>
      <c r="N1314" s="15"/>
      <c r="O1314" s="1"/>
      <c r="Q1314" s="12"/>
      <c r="R1314" s="1"/>
    </row>
    <row r="1315" ht="12.75" hidden="1" customHeight="1" outlineLevel="1">
      <c r="A1315" s="122">
        <f t="shared" si="215"/>
        <v>42642</v>
      </c>
      <c r="B1315" s="120">
        <v>656900.0</v>
      </c>
      <c r="C1315" s="19">
        <f t="shared" si="213"/>
        <v>-0.01218045113</v>
      </c>
      <c r="D1315" s="19">
        <f t="shared" si="212"/>
        <v>-0.02378705058</v>
      </c>
      <c r="E1315" s="12"/>
      <c r="F1315" s="7"/>
      <c r="G1315" s="7"/>
      <c r="H1315" s="1"/>
      <c r="I1315" s="1"/>
      <c r="J1315" s="1"/>
      <c r="K1315" s="1"/>
      <c r="L1315" s="12">
        <f t="shared" si="214"/>
        <v>15252.45457</v>
      </c>
      <c r="M1315" s="12"/>
      <c r="N1315" s="15"/>
      <c r="O1315" s="1"/>
      <c r="Q1315" s="12"/>
      <c r="R1315" s="1"/>
    </row>
    <row r="1316" ht="12.75" hidden="1" customHeight="1" outlineLevel="1">
      <c r="A1316" s="122">
        <f t="shared" si="215"/>
        <v>42643</v>
      </c>
      <c r="B1316" s="120">
        <v>660801.64</v>
      </c>
      <c r="C1316" s="19">
        <f t="shared" si="213"/>
        <v>0.005939473284</v>
      </c>
      <c r="D1316" s="19">
        <f t="shared" si="212"/>
        <v>-0.01798885985</v>
      </c>
      <c r="E1316" s="12"/>
      <c r="F1316" s="7"/>
      <c r="G1316" s="7"/>
      <c r="H1316" s="1"/>
      <c r="I1316" s="1"/>
      <c r="J1316" s="1"/>
      <c r="K1316" s="1"/>
      <c r="L1316" s="12">
        <f t="shared" si="214"/>
        <v>15343.04612</v>
      </c>
      <c r="M1316" s="12"/>
      <c r="N1316" s="15"/>
      <c r="O1316" s="1"/>
      <c r="Q1316" s="12"/>
      <c r="R1316" s="1"/>
    </row>
    <row r="1317" ht="12.75" hidden="1" customHeight="1" outlineLevel="1">
      <c r="A1317" s="122"/>
      <c r="B1317" s="12"/>
      <c r="C1317" s="1"/>
      <c r="D1317" s="1"/>
      <c r="E1317" s="12"/>
      <c r="F1317" s="7"/>
      <c r="G1317" s="7"/>
      <c r="H1317" s="1"/>
      <c r="I1317" s="1"/>
      <c r="J1317" s="1"/>
      <c r="K1317" s="1"/>
      <c r="L1317" s="12"/>
      <c r="M1317" s="12"/>
      <c r="N1317" s="15"/>
      <c r="O1317" s="1"/>
      <c r="Q1317" s="12"/>
      <c r="R1317" s="1"/>
    </row>
    <row r="1318" ht="12.75" hidden="1" customHeight="1" outlineLevel="1">
      <c r="A1318" s="122"/>
      <c r="B1318" s="12">
        <f>B1316</f>
        <v>660801.64</v>
      </c>
      <c r="C1318" s="19"/>
      <c r="D1318" s="19">
        <f t="shared" ref="D1318:D1349" si="216">(B1318/$B$1318)-1</f>
        <v>0</v>
      </c>
      <c r="E1318" s="12"/>
      <c r="F1318" s="7"/>
      <c r="G1318" s="7"/>
      <c r="H1318" s="1"/>
      <c r="I1318" s="1"/>
      <c r="J1318" s="1"/>
      <c r="K1318" s="1"/>
      <c r="L1318" s="12"/>
      <c r="M1318" s="12"/>
      <c r="N1318" s="15"/>
      <c r="O1318" s="1"/>
      <c r="Q1318" s="12"/>
      <c r="R1318" s="1"/>
    </row>
    <row r="1319" ht="12.75" hidden="1" customHeight="1" outlineLevel="1">
      <c r="A1319" s="122">
        <f>A1316+1</f>
        <v>42644</v>
      </c>
      <c r="B1319" s="120">
        <v>657800.0</v>
      </c>
      <c r="C1319" s="19">
        <f t="shared" ref="C1319:C1349" si="217">(B1319/B1318)-1</f>
        <v>-0.00454242214</v>
      </c>
      <c r="D1319" s="19">
        <f t="shared" si="216"/>
        <v>-0.00454242214</v>
      </c>
      <c r="E1319" s="12"/>
      <c r="F1319" s="7"/>
      <c r="G1319" s="7"/>
      <c r="H1319" s="1"/>
      <c r="I1319" s="1"/>
      <c r="J1319" s="1"/>
      <c r="K1319" s="1"/>
      <c r="L1319" s="12">
        <f t="shared" ref="L1319:L1349" si="218">IF(C1318="",L1316*(1+C1319),L1318*(1+C1319))</f>
        <v>15273.35153</v>
      </c>
      <c r="M1319" s="12"/>
      <c r="N1319" s="15"/>
      <c r="O1319" s="1"/>
      <c r="Q1319" s="12"/>
      <c r="R1319" s="1"/>
    </row>
    <row r="1320" ht="12.75" hidden="1" customHeight="1" outlineLevel="1">
      <c r="A1320" s="122">
        <f t="shared" ref="A1320:A1349" si="219">A1319+1</f>
        <v>42645</v>
      </c>
      <c r="B1320" s="120">
        <v>657800.0</v>
      </c>
      <c r="C1320" s="19">
        <f t="shared" si="217"/>
        <v>0</v>
      </c>
      <c r="D1320" s="19">
        <f t="shared" si="216"/>
        <v>-0.00454242214</v>
      </c>
      <c r="E1320" s="12"/>
      <c r="F1320" s="7"/>
      <c r="G1320" s="7"/>
      <c r="H1320" s="1"/>
      <c r="I1320" s="1"/>
      <c r="J1320" s="1"/>
      <c r="K1320" s="1"/>
      <c r="L1320" s="12">
        <f t="shared" si="218"/>
        <v>15273.35153</v>
      </c>
      <c r="M1320" s="12"/>
      <c r="N1320" s="15"/>
      <c r="O1320" s="1"/>
      <c r="Q1320" s="12"/>
      <c r="R1320" s="1"/>
    </row>
    <row r="1321" ht="12.75" hidden="1" customHeight="1" outlineLevel="1">
      <c r="A1321" s="122">
        <f t="shared" si="219"/>
        <v>42646</v>
      </c>
      <c r="B1321" s="120">
        <v>657800.0</v>
      </c>
      <c r="C1321" s="19">
        <f t="shared" si="217"/>
        <v>0</v>
      </c>
      <c r="D1321" s="19">
        <f t="shared" si="216"/>
        <v>-0.00454242214</v>
      </c>
      <c r="E1321" s="12"/>
      <c r="F1321" s="7"/>
      <c r="G1321" s="7"/>
      <c r="H1321" s="1"/>
      <c r="I1321" s="1"/>
      <c r="J1321" s="1"/>
      <c r="K1321" s="1"/>
      <c r="L1321" s="12">
        <f t="shared" si="218"/>
        <v>15273.35153</v>
      </c>
      <c r="M1321" s="12"/>
      <c r="N1321" s="15"/>
      <c r="O1321" s="1"/>
      <c r="Q1321" s="12"/>
      <c r="R1321" s="1"/>
    </row>
    <row r="1322" ht="12.75" hidden="1" customHeight="1" outlineLevel="1">
      <c r="A1322" s="122">
        <f t="shared" si="219"/>
        <v>42647</v>
      </c>
      <c r="B1322" s="120">
        <v>663702.25</v>
      </c>
      <c r="C1322" s="19">
        <f t="shared" si="217"/>
        <v>0.008972712071</v>
      </c>
      <c r="D1322" s="19">
        <f t="shared" si="216"/>
        <v>0.004389532084</v>
      </c>
      <c r="E1322" s="12"/>
      <c r="F1322" s="7"/>
      <c r="G1322" s="7"/>
      <c r="H1322" s="1"/>
      <c r="I1322" s="1"/>
      <c r="J1322" s="1"/>
      <c r="K1322" s="1"/>
      <c r="L1322" s="12">
        <f t="shared" si="218"/>
        <v>15410.39491</v>
      </c>
      <c r="M1322" s="12"/>
      <c r="N1322" s="15"/>
      <c r="O1322" s="1"/>
      <c r="Q1322" s="12"/>
      <c r="R1322" s="1"/>
    </row>
    <row r="1323" ht="12.75" hidden="1" customHeight="1" outlineLevel="1">
      <c r="A1323" s="122">
        <f t="shared" si="219"/>
        <v>42648</v>
      </c>
      <c r="B1323" s="120">
        <v>670400.0</v>
      </c>
      <c r="C1323" s="19">
        <f t="shared" si="217"/>
        <v>0.01009149811</v>
      </c>
      <c r="D1323" s="19">
        <f t="shared" si="216"/>
        <v>0.01452532715</v>
      </c>
      <c r="E1323" s="12"/>
      <c r="F1323" s="7"/>
      <c r="G1323" s="7"/>
      <c r="H1323" s="1"/>
      <c r="I1323" s="1"/>
      <c r="J1323" s="1"/>
      <c r="K1323" s="1"/>
      <c r="L1323" s="12">
        <f t="shared" si="218"/>
        <v>15565.90888</v>
      </c>
      <c r="M1323" s="12"/>
      <c r="N1323" s="15"/>
      <c r="O1323" s="1"/>
      <c r="Q1323" s="12"/>
      <c r="R1323" s="1"/>
    </row>
    <row r="1324" ht="12.75" hidden="1" customHeight="1" outlineLevel="1">
      <c r="A1324" s="122">
        <f t="shared" si="219"/>
        <v>42649</v>
      </c>
      <c r="B1324" s="120">
        <v>670900.0</v>
      </c>
      <c r="C1324" s="19">
        <f t="shared" si="217"/>
        <v>0.000745823389</v>
      </c>
      <c r="D1324" s="19">
        <f t="shared" si="216"/>
        <v>0.01528198386</v>
      </c>
      <c r="E1324" s="12"/>
      <c r="F1324" s="7"/>
      <c r="G1324" s="7"/>
      <c r="H1324" s="1"/>
      <c r="I1324" s="1"/>
      <c r="J1324" s="1"/>
      <c r="K1324" s="1"/>
      <c r="L1324" s="12">
        <f t="shared" si="218"/>
        <v>15577.5183</v>
      </c>
      <c r="M1324" s="12"/>
      <c r="N1324" s="15"/>
      <c r="O1324" s="1"/>
      <c r="Q1324" s="12"/>
      <c r="R1324" s="1"/>
    </row>
    <row r="1325" ht="12.75" hidden="1" customHeight="1" outlineLevel="1">
      <c r="A1325" s="122">
        <f t="shared" si="219"/>
        <v>42650</v>
      </c>
      <c r="B1325" s="120">
        <v>670300.0</v>
      </c>
      <c r="C1325" s="19">
        <f t="shared" si="217"/>
        <v>-0.0008943210613</v>
      </c>
      <c r="D1325" s="19">
        <f t="shared" si="216"/>
        <v>0.0143739958</v>
      </c>
      <c r="E1325" s="12"/>
      <c r="F1325" s="7"/>
      <c r="G1325" s="7"/>
      <c r="H1325" s="1"/>
      <c r="I1325" s="1"/>
      <c r="J1325" s="1"/>
      <c r="K1325" s="1"/>
      <c r="L1325" s="12">
        <f t="shared" si="218"/>
        <v>15563.587</v>
      </c>
      <c r="M1325" s="12"/>
      <c r="N1325" s="15"/>
      <c r="O1325" s="1"/>
      <c r="Q1325" s="12"/>
      <c r="R1325" s="1"/>
    </row>
    <row r="1326" ht="12.75" hidden="1" customHeight="1" outlineLevel="1">
      <c r="A1326" s="122">
        <f t="shared" si="219"/>
        <v>42651</v>
      </c>
      <c r="B1326" s="120">
        <v>670300.0</v>
      </c>
      <c r="C1326" s="19">
        <f t="shared" si="217"/>
        <v>0</v>
      </c>
      <c r="D1326" s="19">
        <f t="shared" si="216"/>
        <v>0.0143739958</v>
      </c>
      <c r="E1326" s="12"/>
      <c r="F1326" s="7"/>
      <c r="G1326" s="7"/>
      <c r="H1326" s="1"/>
      <c r="I1326" s="1"/>
      <c r="J1326" s="1"/>
      <c r="K1326" s="1"/>
      <c r="L1326" s="12">
        <f t="shared" si="218"/>
        <v>15563.587</v>
      </c>
      <c r="M1326" s="12"/>
      <c r="N1326" s="15"/>
      <c r="O1326" s="1"/>
      <c r="Q1326" s="12"/>
      <c r="R1326" s="1"/>
    </row>
    <row r="1327" ht="12.75" hidden="1" customHeight="1" outlineLevel="1">
      <c r="A1327" s="122">
        <f t="shared" si="219"/>
        <v>42652</v>
      </c>
      <c r="B1327" s="120">
        <v>670300.0</v>
      </c>
      <c r="C1327" s="19">
        <f t="shared" si="217"/>
        <v>0</v>
      </c>
      <c r="D1327" s="19">
        <f t="shared" si="216"/>
        <v>0.0143739958</v>
      </c>
      <c r="E1327" s="12"/>
      <c r="F1327" s="7"/>
      <c r="G1327" s="7"/>
      <c r="H1327" s="1"/>
      <c r="I1327" s="1"/>
      <c r="J1327" s="1"/>
      <c r="K1327" s="1"/>
      <c r="L1327" s="12">
        <f t="shared" si="218"/>
        <v>15563.587</v>
      </c>
      <c r="M1327" s="12"/>
      <c r="N1327" s="15"/>
      <c r="O1327" s="1"/>
      <c r="Q1327" s="12"/>
      <c r="R1327" s="1"/>
    </row>
    <row r="1328" ht="12.75" hidden="1" customHeight="1" outlineLevel="1">
      <c r="A1328" s="122">
        <f t="shared" si="219"/>
        <v>42653</v>
      </c>
      <c r="B1328" s="120">
        <v>673200.0</v>
      </c>
      <c r="C1328" s="19">
        <f t="shared" si="217"/>
        <v>0.004326421006</v>
      </c>
      <c r="D1328" s="19">
        <f t="shared" si="216"/>
        <v>0.01876260477</v>
      </c>
      <c r="E1328" s="12"/>
      <c r="F1328" s="7"/>
      <c r="G1328" s="7"/>
      <c r="H1328" s="1"/>
      <c r="I1328" s="1"/>
      <c r="J1328" s="1"/>
      <c r="K1328" s="1"/>
      <c r="L1328" s="12">
        <f t="shared" si="218"/>
        <v>15630.92163</v>
      </c>
      <c r="M1328" s="12"/>
      <c r="N1328" s="15"/>
      <c r="O1328" s="1"/>
      <c r="Q1328" s="12"/>
      <c r="R1328" s="1"/>
    </row>
    <row r="1329" ht="12.75" hidden="1" customHeight="1" outlineLevel="1">
      <c r="A1329" s="122">
        <f t="shared" si="219"/>
        <v>42654</v>
      </c>
      <c r="B1329" s="120">
        <v>668644.0</v>
      </c>
      <c r="C1329" s="19">
        <f t="shared" si="217"/>
        <v>-0.006767676768</v>
      </c>
      <c r="D1329" s="19">
        <f t="shared" si="216"/>
        <v>0.01186794875</v>
      </c>
      <c r="E1329" s="12"/>
      <c r="F1329" s="7"/>
      <c r="G1329" s="7"/>
      <c r="H1329" s="1"/>
      <c r="I1329" s="1"/>
      <c r="J1329" s="1"/>
      <c r="K1329" s="1"/>
      <c r="L1329" s="12">
        <f t="shared" si="218"/>
        <v>15525.13661</v>
      </c>
      <c r="M1329" s="12"/>
      <c r="N1329" s="15"/>
      <c r="O1329" s="1"/>
      <c r="Q1329" s="12"/>
      <c r="R1329" s="1"/>
    </row>
    <row r="1330" ht="12.75" hidden="1" customHeight="1" outlineLevel="1">
      <c r="A1330" s="122">
        <f t="shared" si="219"/>
        <v>42655</v>
      </c>
      <c r="B1330" s="120">
        <v>670600.0</v>
      </c>
      <c r="C1330" s="19">
        <f t="shared" si="217"/>
        <v>0.002925323491</v>
      </c>
      <c r="D1330" s="19">
        <f t="shared" si="216"/>
        <v>0.01482798983</v>
      </c>
      <c r="E1330" s="12"/>
      <c r="F1330" s="7"/>
      <c r="G1330" s="7"/>
      <c r="H1330" s="1"/>
      <c r="I1330" s="1"/>
      <c r="J1330" s="1"/>
      <c r="K1330" s="1"/>
      <c r="L1330" s="12">
        <f t="shared" si="218"/>
        <v>15570.55265</v>
      </c>
      <c r="M1330" s="12"/>
      <c r="N1330" s="15"/>
      <c r="O1330" s="1"/>
      <c r="Q1330" s="12"/>
      <c r="R1330" s="1"/>
    </row>
    <row r="1331" ht="12.75" hidden="1" customHeight="1" outlineLevel="1">
      <c r="A1331" s="122">
        <f t="shared" si="219"/>
        <v>42656</v>
      </c>
      <c r="B1331" s="120">
        <v>667600.0</v>
      </c>
      <c r="C1331" s="19">
        <f t="shared" si="217"/>
        <v>-0.004473605726</v>
      </c>
      <c r="D1331" s="19">
        <f t="shared" si="216"/>
        <v>0.01028804953</v>
      </c>
      <c r="E1331" s="12"/>
      <c r="F1331" s="7"/>
      <c r="G1331" s="7"/>
      <c r="H1331" s="1"/>
      <c r="I1331" s="1"/>
      <c r="J1331" s="1"/>
      <c r="K1331" s="1"/>
      <c r="L1331" s="12">
        <f t="shared" si="218"/>
        <v>15500.89614</v>
      </c>
      <c r="M1331" s="12"/>
      <c r="N1331" s="15"/>
      <c r="O1331" s="1"/>
      <c r="Q1331" s="12"/>
      <c r="R1331" s="1"/>
    </row>
    <row r="1332" ht="12.75" hidden="1" customHeight="1" outlineLevel="1">
      <c r="A1332" s="122">
        <f t="shared" si="219"/>
        <v>42657</v>
      </c>
      <c r="B1332" s="120">
        <v>668900.0</v>
      </c>
      <c r="C1332" s="19">
        <f t="shared" si="217"/>
        <v>0.001947273817</v>
      </c>
      <c r="D1332" s="19">
        <f t="shared" si="216"/>
        <v>0.01225535699</v>
      </c>
      <c r="E1332" s="12"/>
      <c r="F1332" s="7"/>
      <c r="G1332" s="7"/>
      <c r="H1332" s="1"/>
      <c r="I1332" s="1"/>
      <c r="J1332" s="1"/>
      <c r="K1332" s="1"/>
      <c r="L1332" s="12">
        <f t="shared" si="218"/>
        <v>15531.08063</v>
      </c>
      <c r="M1332" s="12"/>
      <c r="N1332" s="15"/>
      <c r="O1332" s="1"/>
      <c r="Q1332" s="12"/>
      <c r="R1332" s="1"/>
    </row>
    <row r="1333" ht="12.75" hidden="1" customHeight="1" outlineLevel="1">
      <c r="A1333" s="122">
        <f t="shared" si="219"/>
        <v>42658</v>
      </c>
      <c r="B1333" s="120">
        <v>668900.0</v>
      </c>
      <c r="C1333" s="19">
        <f t="shared" si="217"/>
        <v>0</v>
      </c>
      <c r="D1333" s="19">
        <f t="shared" si="216"/>
        <v>0.01225535699</v>
      </c>
      <c r="E1333" s="12"/>
      <c r="F1333" s="7"/>
      <c r="G1333" s="7"/>
      <c r="H1333" s="1"/>
      <c r="I1333" s="1"/>
      <c r="J1333" s="1"/>
      <c r="K1333" s="1"/>
      <c r="L1333" s="12">
        <f t="shared" si="218"/>
        <v>15531.08063</v>
      </c>
      <c r="M1333" s="12"/>
      <c r="N1333" s="15"/>
      <c r="O1333" s="1"/>
      <c r="Q1333" s="12"/>
      <c r="R1333" s="1"/>
    </row>
    <row r="1334" ht="12.75" hidden="1" customHeight="1" outlineLevel="1">
      <c r="A1334" s="122">
        <f t="shared" si="219"/>
        <v>42659</v>
      </c>
      <c r="B1334" s="120">
        <v>668900.0</v>
      </c>
      <c r="C1334" s="19">
        <f t="shared" si="217"/>
        <v>0</v>
      </c>
      <c r="D1334" s="19">
        <f t="shared" si="216"/>
        <v>0.01225535699</v>
      </c>
      <c r="E1334" s="12"/>
      <c r="F1334" s="7"/>
      <c r="G1334" s="7"/>
      <c r="H1334" s="1"/>
      <c r="I1334" s="1"/>
      <c r="J1334" s="1"/>
      <c r="K1334" s="1"/>
      <c r="L1334" s="12">
        <f t="shared" si="218"/>
        <v>15531.08063</v>
      </c>
      <c r="M1334" s="12"/>
      <c r="N1334" s="15"/>
      <c r="O1334" s="1"/>
      <c r="Q1334" s="12"/>
      <c r="R1334" s="1"/>
    </row>
    <row r="1335" ht="12.75" hidden="1" customHeight="1" outlineLevel="1">
      <c r="A1335" s="122">
        <f t="shared" si="219"/>
        <v>42660</v>
      </c>
      <c r="B1335" s="120">
        <v>668000.0</v>
      </c>
      <c r="C1335" s="19">
        <f t="shared" si="217"/>
        <v>-0.0013454926</v>
      </c>
      <c r="D1335" s="19">
        <f t="shared" si="216"/>
        <v>0.0108933749</v>
      </c>
      <c r="E1335" s="12"/>
      <c r="F1335" s="7"/>
      <c r="G1335" s="7"/>
      <c r="H1335" s="1"/>
      <c r="I1335" s="1"/>
      <c r="J1335" s="1"/>
      <c r="K1335" s="1"/>
      <c r="L1335" s="12">
        <f t="shared" si="218"/>
        <v>15510.18367</v>
      </c>
      <c r="M1335" s="12"/>
      <c r="N1335" s="15"/>
      <c r="O1335" s="1"/>
      <c r="Q1335" s="12"/>
      <c r="R1335" s="1"/>
    </row>
    <row r="1336" ht="12.75" hidden="1" customHeight="1" outlineLevel="1">
      <c r="A1336" s="122">
        <f t="shared" si="219"/>
        <v>42661</v>
      </c>
      <c r="B1336" s="120">
        <v>665000.0</v>
      </c>
      <c r="C1336" s="19">
        <f t="shared" si="217"/>
        <v>-0.004491017964</v>
      </c>
      <c r="D1336" s="19">
        <f t="shared" si="216"/>
        <v>0.006353434595</v>
      </c>
      <c r="E1336" s="12"/>
      <c r="F1336" s="7"/>
      <c r="G1336" s="7"/>
      <c r="H1336" s="1"/>
      <c r="I1336" s="1"/>
      <c r="J1336" s="1"/>
      <c r="K1336" s="1"/>
      <c r="L1336" s="12">
        <f t="shared" si="218"/>
        <v>15440.52716</v>
      </c>
      <c r="M1336" s="12"/>
      <c r="N1336" s="15"/>
      <c r="O1336" s="1"/>
      <c r="Q1336" s="12"/>
      <c r="R1336" s="1"/>
    </row>
    <row r="1337" ht="12.75" hidden="1" customHeight="1" outlineLevel="1">
      <c r="A1337" s="122">
        <f t="shared" si="219"/>
        <v>42662</v>
      </c>
      <c r="B1337" s="120">
        <v>665100.0</v>
      </c>
      <c r="C1337" s="19">
        <f t="shared" si="217"/>
        <v>0.0001503759398</v>
      </c>
      <c r="D1337" s="19">
        <f t="shared" si="216"/>
        <v>0.006504765939</v>
      </c>
      <c r="E1337" s="12"/>
      <c r="F1337" s="7"/>
      <c r="G1337" s="7"/>
      <c r="H1337" s="1"/>
      <c r="I1337" s="1"/>
      <c r="J1337" s="1"/>
      <c r="K1337" s="1"/>
      <c r="L1337" s="12">
        <f t="shared" si="218"/>
        <v>15442.84904</v>
      </c>
      <c r="M1337" s="12"/>
      <c r="N1337" s="15"/>
      <c r="O1337" s="1"/>
      <c r="Q1337" s="12"/>
      <c r="R1337" s="1"/>
    </row>
    <row r="1338" ht="12.75" hidden="1" customHeight="1" outlineLevel="1">
      <c r="A1338" s="122">
        <f t="shared" si="219"/>
        <v>42663</v>
      </c>
      <c r="B1338" s="120">
        <v>665100.0</v>
      </c>
      <c r="C1338" s="19">
        <f t="shared" si="217"/>
        <v>0</v>
      </c>
      <c r="D1338" s="19">
        <f t="shared" si="216"/>
        <v>0.006504765939</v>
      </c>
      <c r="E1338" s="12"/>
      <c r="F1338" s="7"/>
      <c r="G1338" s="7"/>
      <c r="H1338" s="1"/>
      <c r="I1338" s="1"/>
      <c r="J1338" s="1"/>
      <c r="K1338" s="1"/>
      <c r="L1338" s="12">
        <f t="shared" si="218"/>
        <v>15442.84904</v>
      </c>
      <c r="M1338" s="12"/>
      <c r="N1338" s="15"/>
      <c r="O1338" s="1"/>
      <c r="Q1338" s="12"/>
      <c r="R1338" s="1"/>
    </row>
    <row r="1339" ht="12.75" hidden="1" customHeight="1" outlineLevel="1">
      <c r="A1339" s="122">
        <f t="shared" si="219"/>
        <v>42664</v>
      </c>
      <c r="B1339" s="120">
        <v>665300.0</v>
      </c>
      <c r="C1339" s="19">
        <f t="shared" si="217"/>
        <v>0.0003007066607</v>
      </c>
      <c r="D1339" s="19">
        <f t="shared" si="216"/>
        <v>0.006807428626</v>
      </c>
      <c r="E1339" s="12"/>
      <c r="F1339" s="7"/>
      <c r="G1339" s="7"/>
      <c r="H1339" s="1"/>
      <c r="I1339" s="1"/>
      <c r="J1339" s="1"/>
      <c r="K1339" s="1"/>
      <c r="L1339" s="12">
        <f t="shared" si="218"/>
        <v>15447.49281</v>
      </c>
      <c r="M1339" s="12"/>
      <c r="N1339" s="15"/>
      <c r="O1339" s="1"/>
      <c r="Q1339" s="12"/>
      <c r="R1339" s="1"/>
    </row>
    <row r="1340" ht="12.75" hidden="1" customHeight="1" outlineLevel="1">
      <c r="A1340" s="122">
        <f t="shared" si="219"/>
        <v>42665</v>
      </c>
      <c r="B1340" s="120">
        <v>665300.0</v>
      </c>
      <c r="C1340" s="19">
        <f t="shared" si="217"/>
        <v>0</v>
      </c>
      <c r="D1340" s="19">
        <f t="shared" si="216"/>
        <v>0.006807428626</v>
      </c>
      <c r="E1340" s="12"/>
      <c r="F1340" s="7"/>
      <c r="G1340" s="7"/>
      <c r="H1340" s="1"/>
      <c r="I1340" s="1"/>
      <c r="J1340" s="1"/>
      <c r="K1340" s="1"/>
      <c r="L1340" s="12">
        <f t="shared" si="218"/>
        <v>15447.49281</v>
      </c>
      <c r="M1340" s="12"/>
      <c r="N1340" s="15"/>
      <c r="O1340" s="1"/>
      <c r="Q1340" s="12"/>
      <c r="R1340" s="1"/>
    </row>
    <row r="1341" ht="12.75" hidden="1" customHeight="1" outlineLevel="1">
      <c r="A1341" s="122">
        <f t="shared" si="219"/>
        <v>42666</v>
      </c>
      <c r="B1341" s="120">
        <v>665300.0</v>
      </c>
      <c r="C1341" s="19">
        <f t="shared" si="217"/>
        <v>0</v>
      </c>
      <c r="D1341" s="19">
        <f t="shared" si="216"/>
        <v>0.006807428626</v>
      </c>
      <c r="E1341" s="12"/>
      <c r="F1341" s="7"/>
      <c r="G1341" s="7"/>
      <c r="H1341" s="1"/>
      <c r="I1341" s="1"/>
      <c r="J1341" s="1"/>
      <c r="K1341" s="1"/>
      <c r="L1341" s="12">
        <f t="shared" si="218"/>
        <v>15447.49281</v>
      </c>
      <c r="M1341" s="12"/>
      <c r="N1341" s="15"/>
      <c r="O1341" s="1"/>
      <c r="Q1341" s="12"/>
      <c r="R1341" s="1"/>
    </row>
    <row r="1342" ht="12.75" hidden="1" customHeight="1" outlineLevel="1">
      <c r="A1342" s="122">
        <f t="shared" si="219"/>
        <v>42667</v>
      </c>
      <c r="B1342" s="120">
        <v>668800.0</v>
      </c>
      <c r="C1342" s="19">
        <f t="shared" si="217"/>
        <v>0.005260784608</v>
      </c>
      <c r="D1342" s="19">
        <f t="shared" si="216"/>
        <v>0.01210402565</v>
      </c>
      <c r="E1342" s="12"/>
      <c r="F1342" s="7"/>
      <c r="G1342" s="7"/>
      <c r="H1342" s="1"/>
      <c r="I1342" s="1"/>
      <c r="J1342" s="1"/>
      <c r="K1342" s="1"/>
      <c r="L1342" s="12">
        <f t="shared" si="218"/>
        <v>15528.75874</v>
      </c>
      <c r="M1342" s="12"/>
      <c r="N1342" s="15"/>
      <c r="O1342" s="1"/>
      <c r="Q1342" s="12"/>
      <c r="R1342" s="1"/>
    </row>
    <row r="1343" ht="12.75" hidden="1" customHeight="1" outlineLevel="1">
      <c r="A1343" s="122">
        <f t="shared" si="219"/>
        <v>42668</v>
      </c>
      <c r="B1343" s="120">
        <v>663700.0</v>
      </c>
      <c r="C1343" s="19">
        <f t="shared" si="217"/>
        <v>-0.007625598086</v>
      </c>
      <c r="D1343" s="19">
        <f t="shared" si="216"/>
        <v>0.004386127129</v>
      </c>
      <c r="E1343" s="12"/>
      <c r="F1343" s="7"/>
      <c r="G1343" s="7"/>
      <c r="H1343" s="1"/>
      <c r="I1343" s="1"/>
      <c r="J1343" s="1"/>
      <c r="K1343" s="1"/>
      <c r="L1343" s="12">
        <f t="shared" si="218"/>
        <v>15410.34267</v>
      </c>
      <c r="M1343" s="12"/>
      <c r="N1343" s="15"/>
      <c r="O1343" s="1"/>
      <c r="Q1343" s="12"/>
      <c r="R1343" s="1"/>
    </row>
    <row r="1344" ht="12.75" hidden="1" customHeight="1" outlineLevel="1">
      <c r="A1344" s="122">
        <f t="shared" si="219"/>
        <v>42669</v>
      </c>
      <c r="B1344" s="120">
        <v>663700.0</v>
      </c>
      <c r="C1344" s="19">
        <f t="shared" si="217"/>
        <v>0</v>
      </c>
      <c r="D1344" s="19">
        <f t="shared" si="216"/>
        <v>0.004386127129</v>
      </c>
      <c r="E1344" s="12"/>
      <c r="F1344" s="7"/>
      <c r="G1344" s="7"/>
      <c r="H1344" s="1"/>
      <c r="I1344" s="1"/>
      <c r="J1344" s="1"/>
      <c r="K1344" s="1"/>
      <c r="L1344" s="12">
        <f t="shared" si="218"/>
        <v>15410.34267</v>
      </c>
      <c r="M1344" s="12"/>
      <c r="N1344" s="15"/>
      <c r="O1344" s="1"/>
      <c r="Q1344" s="12"/>
      <c r="R1344" s="1"/>
    </row>
    <row r="1345" ht="12.75" hidden="1" customHeight="1" outlineLevel="1">
      <c r="A1345" s="122">
        <f t="shared" si="219"/>
        <v>42670</v>
      </c>
      <c r="B1345" s="120">
        <v>650000.0</v>
      </c>
      <c r="C1345" s="19">
        <f t="shared" si="217"/>
        <v>-0.02064185626</v>
      </c>
      <c r="D1345" s="19">
        <f t="shared" si="216"/>
        <v>-0.01634626694</v>
      </c>
      <c r="E1345" s="12"/>
      <c r="F1345" s="7"/>
      <c r="G1345" s="7"/>
      <c r="H1345" s="1"/>
      <c r="I1345" s="1"/>
      <c r="J1345" s="1"/>
      <c r="K1345" s="1"/>
      <c r="L1345" s="12">
        <f t="shared" si="218"/>
        <v>15092.24459</v>
      </c>
      <c r="M1345" s="12"/>
      <c r="N1345" s="15"/>
      <c r="O1345" s="1"/>
      <c r="Q1345" s="12"/>
      <c r="R1345" s="1"/>
    </row>
    <row r="1346" ht="12.75" hidden="1" customHeight="1" outlineLevel="1">
      <c r="A1346" s="122">
        <f t="shared" si="219"/>
        <v>42671</v>
      </c>
      <c r="B1346" s="120">
        <v>648300.0</v>
      </c>
      <c r="C1346" s="19">
        <f t="shared" si="217"/>
        <v>-0.002615384615</v>
      </c>
      <c r="D1346" s="19">
        <f t="shared" si="216"/>
        <v>-0.01891889978</v>
      </c>
      <c r="E1346" s="12"/>
      <c r="F1346" s="7"/>
      <c r="G1346" s="7"/>
      <c r="H1346" s="1"/>
      <c r="I1346" s="1"/>
      <c r="J1346" s="1"/>
      <c r="K1346" s="1"/>
      <c r="L1346" s="12">
        <f t="shared" si="218"/>
        <v>15052.77257</v>
      </c>
      <c r="M1346" s="12"/>
      <c r="N1346" s="15"/>
      <c r="O1346" s="1"/>
      <c r="Q1346" s="12"/>
      <c r="R1346" s="1"/>
    </row>
    <row r="1347" ht="12.75" hidden="1" customHeight="1" outlineLevel="1">
      <c r="A1347" s="122">
        <f t="shared" si="219"/>
        <v>42672</v>
      </c>
      <c r="B1347" s="120">
        <v>648300.0</v>
      </c>
      <c r="C1347" s="19">
        <f t="shared" si="217"/>
        <v>0</v>
      </c>
      <c r="D1347" s="19">
        <f t="shared" si="216"/>
        <v>-0.01891889978</v>
      </c>
      <c r="E1347" s="12"/>
      <c r="F1347" s="7"/>
      <c r="G1347" s="7"/>
      <c r="H1347" s="1"/>
      <c r="I1347" s="1"/>
      <c r="J1347" s="1"/>
      <c r="K1347" s="1"/>
      <c r="L1347" s="12">
        <f t="shared" si="218"/>
        <v>15052.77257</v>
      </c>
      <c r="M1347" s="12"/>
      <c r="N1347" s="15"/>
      <c r="O1347" s="1"/>
      <c r="Q1347" s="12"/>
      <c r="R1347" s="1"/>
    </row>
    <row r="1348" ht="12.75" hidden="1" customHeight="1" outlineLevel="1">
      <c r="A1348" s="122">
        <f t="shared" si="219"/>
        <v>42673</v>
      </c>
      <c r="B1348" s="120">
        <v>648300.0</v>
      </c>
      <c r="C1348" s="19">
        <f t="shared" si="217"/>
        <v>0</v>
      </c>
      <c r="D1348" s="19">
        <f t="shared" si="216"/>
        <v>-0.01891889978</v>
      </c>
      <c r="E1348" s="12"/>
      <c r="F1348" s="7"/>
      <c r="G1348" s="7"/>
      <c r="H1348" s="1"/>
      <c r="I1348" s="1"/>
      <c r="J1348" s="1"/>
      <c r="K1348" s="1"/>
      <c r="L1348" s="12">
        <f t="shared" si="218"/>
        <v>15052.77257</v>
      </c>
      <c r="M1348" s="12"/>
      <c r="N1348" s="15"/>
      <c r="O1348" s="1"/>
      <c r="Q1348" s="12"/>
      <c r="R1348" s="1"/>
    </row>
    <row r="1349" ht="12.75" hidden="1" customHeight="1" outlineLevel="1">
      <c r="A1349" s="122">
        <f t="shared" si="219"/>
        <v>42674</v>
      </c>
      <c r="B1349" s="120">
        <v>650977.29</v>
      </c>
      <c r="C1349" s="19">
        <f t="shared" si="217"/>
        <v>0.004129708468</v>
      </c>
      <c r="D1349" s="19">
        <f t="shared" si="216"/>
        <v>-0.01486732085</v>
      </c>
      <c r="E1349" s="12"/>
      <c r="F1349" s="7"/>
      <c r="G1349" s="7"/>
      <c r="H1349" s="1"/>
      <c r="I1349" s="1"/>
      <c r="J1349" s="1"/>
      <c r="K1349" s="1"/>
      <c r="L1349" s="12">
        <f t="shared" si="218"/>
        <v>15114.93613</v>
      </c>
      <c r="M1349" s="12"/>
      <c r="N1349" s="15"/>
      <c r="O1349" s="1"/>
      <c r="Q1349" s="12"/>
      <c r="R1349" s="1"/>
    </row>
    <row r="1350" ht="12.75" hidden="1" customHeight="1" outlineLevel="1">
      <c r="A1350" s="122"/>
      <c r="B1350" s="12"/>
      <c r="C1350" s="1"/>
      <c r="D1350" s="1"/>
      <c r="E1350" s="12"/>
      <c r="F1350" s="7"/>
      <c r="G1350" s="7"/>
      <c r="H1350" s="1"/>
      <c r="I1350" s="1"/>
      <c r="J1350" s="1"/>
      <c r="K1350" s="1"/>
      <c r="L1350" s="12"/>
      <c r="M1350" s="12"/>
      <c r="N1350" s="15"/>
      <c r="O1350" s="1"/>
      <c r="Q1350" s="12"/>
      <c r="R1350" s="1"/>
    </row>
    <row r="1351" ht="12.75" hidden="1" customHeight="1" outlineLevel="1">
      <c r="A1351" s="122"/>
      <c r="B1351" s="12">
        <f>B1349</f>
        <v>650977.29</v>
      </c>
      <c r="C1351" s="19"/>
      <c r="D1351" s="19">
        <f t="shared" ref="D1351:D1381" si="220">(B1351/$B$1351)-1</f>
        <v>0</v>
      </c>
      <c r="E1351" s="12"/>
      <c r="F1351" s="7"/>
      <c r="G1351" s="7"/>
      <c r="H1351" s="1"/>
      <c r="I1351" s="1"/>
      <c r="J1351" s="1"/>
      <c r="K1351" s="1"/>
      <c r="L1351" s="12"/>
      <c r="M1351" s="12"/>
      <c r="N1351" s="15"/>
      <c r="O1351" s="1"/>
      <c r="Q1351" s="12"/>
      <c r="R1351" s="1"/>
    </row>
    <row r="1352" ht="12.75" hidden="1" customHeight="1" outlineLevel="1">
      <c r="A1352" s="122">
        <f>A1349+1</f>
        <v>42675</v>
      </c>
      <c r="B1352" s="120">
        <v>643000.0</v>
      </c>
      <c r="C1352" s="19">
        <f t="shared" ref="C1352:C1381" si="221">(B1352/B1351)-1</f>
        <v>-0.01225432918</v>
      </c>
      <c r="D1352" s="19">
        <f t="shared" si="220"/>
        <v>-0.01225432918</v>
      </c>
      <c r="E1352" s="12"/>
      <c r="F1352" s="7"/>
      <c r="G1352" s="7"/>
      <c r="H1352" s="1"/>
      <c r="I1352" s="1"/>
      <c r="J1352" s="1"/>
      <c r="K1352" s="1"/>
      <c r="L1352" s="12">
        <f t="shared" ref="L1352:L1381" si="222">IF(C1351="",L1349*(1+C1352),L1351*(1+C1352))</f>
        <v>14929.71273</v>
      </c>
      <c r="M1352" s="12"/>
      <c r="N1352" s="15"/>
      <c r="O1352" s="1"/>
      <c r="Q1352" s="12"/>
      <c r="R1352" s="1"/>
    </row>
    <row r="1353" ht="12.75" hidden="1" customHeight="1" outlineLevel="1">
      <c r="A1353" s="122">
        <f t="shared" ref="A1353:A1381" si="223">A1352+1</f>
        <v>42676</v>
      </c>
      <c r="B1353" s="120">
        <v>641941.7999999999</v>
      </c>
      <c r="C1353" s="19">
        <f t="shared" si="221"/>
        <v>-0.001645723173</v>
      </c>
      <c r="D1353" s="19">
        <f t="shared" si="220"/>
        <v>-0.01387988512</v>
      </c>
      <c r="E1353" s="12"/>
      <c r="F1353" s="7"/>
      <c r="G1353" s="7"/>
      <c r="H1353" s="1"/>
      <c r="I1353" s="1"/>
      <c r="J1353" s="1"/>
      <c r="K1353" s="1"/>
      <c r="L1353" s="12">
        <f t="shared" si="222"/>
        <v>14905.14255</v>
      </c>
      <c r="M1353" s="12"/>
      <c r="N1353" s="15"/>
      <c r="O1353" s="1"/>
      <c r="Q1353" s="12"/>
      <c r="R1353" s="1"/>
    </row>
    <row r="1354" ht="12.75" hidden="1" customHeight="1" outlineLevel="1">
      <c r="A1354" s="122">
        <f t="shared" si="223"/>
        <v>42677</v>
      </c>
      <c r="B1354" s="120">
        <v>638700.0</v>
      </c>
      <c r="C1354" s="19">
        <f t="shared" si="221"/>
        <v>-0.005049990513</v>
      </c>
      <c r="D1354" s="19">
        <f t="shared" si="220"/>
        <v>-0.01885978234</v>
      </c>
      <c r="E1354" s="12"/>
      <c r="F1354" s="7"/>
      <c r="G1354" s="7"/>
      <c r="H1354" s="1"/>
      <c r="I1354" s="1"/>
      <c r="J1354" s="1"/>
      <c r="K1354" s="1"/>
      <c r="L1354" s="12">
        <f t="shared" si="222"/>
        <v>14829.87173</v>
      </c>
      <c r="M1354" s="12"/>
      <c r="N1354" s="15"/>
      <c r="O1354" s="1"/>
      <c r="Q1354" s="12"/>
      <c r="R1354" s="1"/>
    </row>
    <row r="1355" ht="12.75" hidden="1" customHeight="1" outlineLevel="1">
      <c r="A1355" s="122">
        <f t="shared" si="223"/>
        <v>42678</v>
      </c>
      <c r="B1355" s="120">
        <v>638700.0</v>
      </c>
      <c r="C1355" s="19">
        <f t="shared" si="221"/>
        <v>0</v>
      </c>
      <c r="D1355" s="19">
        <f t="shared" si="220"/>
        <v>-0.01885978234</v>
      </c>
      <c r="E1355" s="12"/>
      <c r="F1355" s="7"/>
      <c r="G1355" s="7"/>
      <c r="H1355" s="1"/>
      <c r="I1355" s="1"/>
      <c r="J1355" s="1"/>
      <c r="K1355" s="1"/>
      <c r="L1355" s="12">
        <f t="shared" si="222"/>
        <v>14829.87173</v>
      </c>
      <c r="M1355" s="12"/>
      <c r="N1355" s="15"/>
      <c r="O1355" s="1"/>
      <c r="Q1355" s="12"/>
      <c r="R1355" s="1"/>
    </row>
    <row r="1356" ht="12.75" hidden="1" customHeight="1" outlineLevel="1">
      <c r="A1356" s="122">
        <f t="shared" si="223"/>
        <v>42679</v>
      </c>
      <c r="B1356" s="120">
        <v>638700.0</v>
      </c>
      <c r="C1356" s="19">
        <f t="shared" si="221"/>
        <v>0</v>
      </c>
      <c r="D1356" s="19">
        <f t="shared" si="220"/>
        <v>-0.01885978234</v>
      </c>
      <c r="E1356" s="12"/>
      <c r="F1356" s="7"/>
      <c r="G1356" s="7"/>
      <c r="H1356" s="1"/>
      <c r="I1356" s="1"/>
      <c r="J1356" s="1"/>
      <c r="K1356" s="1"/>
      <c r="L1356" s="12">
        <f t="shared" si="222"/>
        <v>14829.87173</v>
      </c>
      <c r="M1356" s="12"/>
      <c r="N1356" s="15"/>
      <c r="O1356" s="1"/>
      <c r="Q1356" s="12"/>
      <c r="R1356" s="1"/>
    </row>
    <row r="1357" ht="12.75" hidden="1" customHeight="1" outlineLevel="1">
      <c r="A1357" s="122">
        <f t="shared" si="223"/>
        <v>42680</v>
      </c>
      <c r="B1357" s="120">
        <v>638700.0</v>
      </c>
      <c r="C1357" s="19">
        <f t="shared" si="221"/>
        <v>0</v>
      </c>
      <c r="D1357" s="19">
        <f t="shared" si="220"/>
        <v>-0.01885978234</v>
      </c>
      <c r="E1357" s="12"/>
      <c r="F1357" s="7"/>
      <c r="G1357" s="7"/>
      <c r="H1357" s="1"/>
      <c r="I1357" s="1"/>
      <c r="J1357" s="1"/>
      <c r="K1357" s="1"/>
      <c r="L1357" s="12">
        <f t="shared" si="222"/>
        <v>14829.87173</v>
      </c>
      <c r="M1357" s="12"/>
      <c r="N1357" s="15"/>
      <c r="O1357" s="1"/>
      <c r="Q1357" s="12"/>
      <c r="R1357" s="1"/>
    </row>
    <row r="1358" ht="12.75" hidden="1" customHeight="1" outlineLevel="1">
      <c r="A1358" s="122">
        <f t="shared" si="223"/>
        <v>42681</v>
      </c>
      <c r="B1358" s="120">
        <v>647893.9</v>
      </c>
      <c r="C1358" s="19">
        <f t="shared" si="221"/>
        <v>0.014394708</v>
      </c>
      <c r="D1358" s="19">
        <f t="shared" si="220"/>
        <v>-0.004736555403</v>
      </c>
      <c r="E1358" s="12"/>
      <c r="F1358" s="7"/>
      <c r="G1358" s="7"/>
      <c r="H1358" s="1"/>
      <c r="I1358" s="1"/>
      <c r="J1358" s="1"/>
      <c r="K1358" s="1"/>
      <c r="L1358" s="12">
        <f t="shared" si="222"/>
        <v>15043.3434</v>
      </c>
      <c r="M1358" s="12"/>
      <c r="N1358" s="15"/>
      <c r="O1358" s="1"/>
      <c r="Q1358" s="12"/>
      <c r="R1358" s="1"/>
    </row>
    <row r="1359" ht="12.75" hidden="1" customHeight="1" outlineLevel="1">
      <c r="A1359" s="122">
        <f t="shared" si="223"/>
        <v>42682</v>
      </c>
      <c r="B1359" s="120">
        <v>650800.0</v>
      </c>
      <c r="C1359" s="19">
        <f t="shared" si="221"/>
        <v>0.004485456647</v>
      </c>
      <c r="D1359" s="19">
        <f t="shared" si="220"/>
        <v>-0.0002723443701</v>
      </c>
      <c r="E1359" s="12"/>
      <c r="F1359" s="7"/>
      <c r="G1359" s="7"/>
      <c r="H1359" s="1"/>
      <c r="I1359" s="1"/>
      <c r="J1359" s="1"/>
      <c r="K1359" s="1"/>
      <c r="L1359" s="12">
        <f t="shared" si="222"/>
        <v>15110.81966</v>
      </c>
      <c r="M1359" s="12"/>
      <c r="N1359" s="15"/>
      <c r="O1359" s="1"/>
      <c r="Q1359" s="12"/>
      <c r="R1359" s="1"/>
    </row>
    <row r="1360" ht="12.75" hidden="1" customHeight="1" outlineLevel="1">
      <c r="A1360" s="122">
        <f t="shared" si="223"/>
        <v>42683</v>
      </c>
      <c r="B1360" s="120">
        <v>660084.0</v>
      </c>
      <c r="C1360" s="19">
        <f t="shared" si="221"/>
        <v>0.01426551936</v>
      </c>
      <c r="D1360" s="19">
        <f t="shared" si="220"/>
        <v>0.01398928986</v>
      </c>
      <c r="E1360" s="12"/>
      <c r="F1360" s="7"/>
      <c r="G1360" s="7"/>
      <c r="H1360" s="1"/>
      <c r="I1360" s="1"/>
      <c r="J1360" s="1"/>
      <c r="K1360" s="1"/>
      <c r="L1360" s="12">
        <f t="shared" si="222"/>
        <v>15326.38335</v>
      </c>
      <c r="M1360" s="12"/>
      <c r="N1360" s="15"/>
      <c r="O1360" s="1"/>
      <c r="Q1360" s="12"/>
      <c r="R1360" s="1"/>
    </row>
    <row r="1361" ht="12.75" hidden="1" customHeight="1" outlineLevel="1">
      <c r="A1361" s="122">
        <f t="shared" si="223"/>
        <v>42684</v>
      </c>
      <c r="B1361" s="120">
        <v>663876.0</v>
      </c>
      <c r="C1361" s="19">
        <f t="shared" si="221"/>
        <v>0.005744723399</v>
      </c>
      <c r="D1361" s="19">
        <f t="shared" si="220"/>
        <v>0.01981437786</v>
      </c>
      <c r="E1361" s="12"/>
      <c r="F1361" s="7"/>
      <c r="G1361" s="7"/>
      <c r="H1361" s="1"/>
      <c r="I1361" s="1"/>
      <c r="J1361" s="1"/>
      <c r="K1361" s="1"/>
      <c r="L1361" s="12">
        <f t="shared" si="222"/>
        <v>15414.42919</v>
      </c>
      <c r="M1361" s="12"/>
      <c r="N1361" s="15"/>
      <c r="O1361" s="1"/>
      <c r="Q1361" s="12"/>
      <c r="R1361" s="1"/>
    </row>
    <row r="1362" ht="12.75" hidden="1" customHeight="1" outlineLevel="1">
      <c r="A1362" s="122">
        <f t="shared" si="223"/>
        <v>42685</v>
      </c>
      <c r="B1362" s="120">
        <v>671800.0</v>
      </c>
      <c r="C1362" s="19">
        <f t="shared" si="221"/>
        <v>0.01193596395</v>
      </c>
      <c r="D1362" s="19">
        <f t="shared" si="220"/>
        <v>0.0319868455</v>
      </c>
      <c r="E1362" s="12"/>
      <c r="F1362" s="7"/>
      <c r="G1362" s="7"/>
      <c r="H1362" s="1"/>
      <c r="I1362" s="1"/>
      <c r="J1362" s="1"/>
      <c r="K1362" s="1"/>
      <c r="L1362" s="12">
        <f t="shared" si="222"/>
        <v>15598.41526</v>
      </c>
      <c r="M1362" s="12"/>
      <c r="N1362" s="15"/>
      <c r="O1362" s="1"/>
      <c r="Q1362" s="12"/>
      <c r="R1362" s="1"/>
    </row>
    <row r="1363" ht="12.75" hidden="1" customHeight="1" outlineLevel="1">
      <c r="A1363" s="122">
        <f t="shared" si="223"/>
        <v>42686</v>
      </c>
      <c r="B1363" s="120">
        <v>671800.0</v>
      </c>
      <c r="C1363" s="19">
        <f t="shared" si="221"/>
        <v>0</v>
      </c>
      <c r="D1363" s="19">
        <f t="shared" si="220"/>
        <v>0.0319868455</v>
      </c>
      <c r="E1363" s="12"/>
      <c r="F1363" s="7"/>
      <c r="G1363" s="7"/>
      <c r="H1363" s="1"/>
      <c r="I1363" s="1"/>
      <c r="J1363" s="1"/>
      <c r="K1363" s="1"/>
      <c r="L1363" s="12">
        <f t="shared" si="222"/>
        <v>15598.41526</v>
      </c>
      <c r="M1363" s="12"/>
      <c r="N1363" s="15"/>
      <c r="O1363" s="1"/>
      <c r="Q1363" s="12"/>
      <c r="R1363" s="1"/>
    </row>
    <row r="1364" ht="12.75" hidden="1" customHeight="1" outlineLevel="1">
      <c r="A1364" s="122">
        <f t="shared" si="223"/>
        <v>42687</v>
      </c>
      <c r="B1364" s="120">
        <v>671800.0</v>
      </c>
      <c r="C1364" s="19">
        <f t="shared" si="221"/>
        <v>0</v>
      </c>
      <c r="D1364" s="19">
        <f t="shared" si="220"/>
        <v>0.0319868455</v>
      </c>
      <c r="E1364" s="12"/>
      <c r="F1364" s="7"/>
      <c r="G1364" s="7"/>
      <c r="H1364" s="1"/>
      <c r="I1364" s="1"/>
      <c r="J1364" s="1"/>
      <c r="K1364" s="1"/>
      <c r="L1364" s="12">
        <f t="shared" si="222"/>
        <v>15598.41526</v>
      </c>
      <c r="M1364" s="12"/>
      <c r="N1364" s="15"/>
      <c r="O1364" s="1"/>
      <c r="Q1364" s="12"/>
      <c r="R1364" s="1"/>
    </row>
    <row r="1365" ht="12.75" hidden="1" customHeight="1" outlineLevel="1">
      <c r="A1365" s="122">
        <f t="shared" si="223"/>
        <v>42688</v>
      </c>
      <c r="B1365" s="120">
        <v>678000.0</v>
      </c>
      <c r="C1365" s="19">
        <f t="shared" si="221"/>
        <v>0.009228937184</v>
      </c>
      <c r="D1365" s="19">
        <f t="shared" si="220"/>
        <v>0.04151098727</v>
      </c>
      <c r="E1365" s="12"/>
      <c r="F1365" s="7"/>
      <c r="G1365" s="7"/>
      <c r="H1365" s="1"/>
      <c r="I1365" s="1"/>
      <c r="J1365" s="1"/>
      <c r="K1365" s="1"/>
      <c r="L1365" s="12">
        <f t="shared" si="222"/>
        <v>15742.37205</v>
      </c>
      <c r="M1365" s="12"/>
      <c r="N1365" s="15"/>
      <c r="O1365" s="1"/>
      <c r="Q1365" s="12"/>
      <c r="R1365" s="1"/>
    </row>
    <row r="1366" ht="12.75" hidden="1" customHeight="1" outlineLevel="1">
      <c r="A1366" s="122">
        <f t="shared" si="223"/>
        <v>42689</v>
      </c>
      <c r="B1366" s="120">
        <v>682500.0</v>
      </c>
      <c r="C1366" s="19">
        <f t="shared" si="221"/>
        <v>0.006637168142</v>
      </c>
      <c r="D1366" s="19">
        <f t="shared" si="220"/>
        <v>0.04842367082</v>
      </c>
      <c r="E1366" s="12"/>
      <c r="F1366" s="7"/>
      <c r="G1366" s="7"/>
      <c r="H1366" s="1"/>
      <c r="I1366" s="1"/>
      <c r="J1366" s="1"/>
      <c r="K1366" s="1"/>
      <c r="L1366" s="12">
        <f t="shared" si="222"/>
        <v>15846.85682</v>
      </c>
      <c r="M1366" s="12"/>
      <c r="N1366" s="15"/>
      <c r="O1366" s="1"/>
      <c r="Q1366" s="12"/>
      <c r="R1366" s="1"/>
    </row>
    <row r="1367" ht="12.75" hidden="1" customHeight="1" outlineLevel="1">
      <c r="A1367" s="122">
        <f t="shared" si="223"/>
        <v>42690</v>
      </c>
      <c r="B1367" s="120">
        <v>684800.0</v>
      </c>
      <c r="C1367" s="19">
        <f t="shared" si="221"/>
        <v>0.00336996337</v>
      </c>
      <c r="D1367" s="19">
        <f t="shared" si="220"/>
        <v>0.05195682018</v>
      </c>
      <c r="E1367" s="12"/>
      <c r="F1367" s="7"/>
      <c r="G1367" s="7"/>
      <c r="H1367" s="1"/>
      <c r="I1367" s="1"/>
      <c r="J1367" s="1"/>
      <c r="K1367" s="1"/>
      <c r="L1367" s="12">
        <f t="shared" si="222"/>
        <v>15900.26015</v>
      </c>
      <c r="M1367" s="12"/>
      <c r="N1367" s="15"/>
      <c r="O1367" s="1"/>
      <c r="Q1367" s="12"/>
      <c r="R1367" s="1"/>
    </row>
    <row r="1368" ht="12.75" hidden="1" customHeight="1" outlineLevel="1">
      <c r="A1368" s="122">
        <f t="shared" si="223"/>
        <v>42691</v>
      </c>
      <c r="B1368" s="120">
        <v>693156.6999999998</v>
      </c>
      <c r="C1368" s="19">
        <f t="shared" si="221"/>
        <v>0.012203125</v>
      </c>
      <c r="D1368" s="19">
        <f t="shared" si="220"/>
        <v>0.06479398075</v>
      </c>
      <c r="E1368" s="12"/>
      <c r="F1368" s="7"/>
      <c r="G1368" s="7"/>
      <c r="H1368" s="1"/>
      <c r="I1368" s="1"/>
      <c r="J1368" s="1"/>
      <c r="K1368" s="1"/>
      <c r="L1368" s="12">
        <f t="shared" si="222"/>
        <v>16094.29301</v>
      </c>
      <c r="M1368" s="12"/>
      <c r="N1368" s="15"/>
      <c r="O1368" s="1"/>
      <c r="Q1368" s="12"/>
      <c r="R1368" s="1"/>
    </row>
    <row r="1369" ht="12.75" hidden="1" customHeight="1" outlineLevel="1">
      <c r="A1369" s="122">
        <f t="shared" si="223"/>
        <v>42692</v>
      </c>
      <c r="B1369" s="120">
        <v>691794.0</v>
      </c>
      <c r="C1369" s="19">
        <f t="shared" si="221"/>
        <v>-0.001965933533</v>
      </c>
      <c r="D1369" s="19">
        <f t="shared" si="220"/>
        <v>0.06270066656</v>
      </c>
      <c r="E1369" s="12"/>
      <c r="F1369" s="7"/>
      <c r="G1369" s="7"/>
      <c r="H1369" s="1"/>
      <c r="I1369" s="1"/>
      <c r="J1369" s="1"/>
      <c r="K1369" s="1"/>
      <c r="L1369" s="12">
        <f t="shared" si="222"/>
        <v>16062.6527</v>
      </c>
      <c r="M1369" s="12"/>
      <c r="N1369" s="15"/>
      <c r="O1369" s="1"/>
      <c r="Q1369" s="12"/>
      <c r="R1369" s="1"/>
    </row>
    <row r="1370" ht="12.75" hidden="1" customHeight="1" outlineLevel="1">
      <c r="A1370" s="122">
        <f t="shared" si="223"/>
        <v>42693</v>
      </c>
      <c r="B1370" s="120">
        <v>691794.0</v>
      </c>
      <c r="C1370" s="19">
        <f t="shared" si="221"/>
        <v>0</v>
      </c>
      <c r="D1370" s="19">
        <f t="shared" si="220"/>
        <v>0.06270066656</v>
      </c>
      <c r="E1370" s="12"/>
      <c r="F1370" s="7"/>
      <c r="G1370" s="7"/>
      <c r="H1370" s="1"/>
      <c r="I1370" s="1"/>
      <c r="J1370" s="1"/>
      <c r="K1370" s="1"/>
      <c r="L1370" s="12">
        <f t="shared" si="222"/>
        <v>16062.6527</v>
      </c>
      <c r="M1370" s="12"/>
      <c r="N1370" s="15"/>
      <c r="O1370" s="1"/>
      <c r="Q1370" s="12"/>
      <c r="R1370" s="1"/>
    </row>
    <row r="1371" ht="12.75" hidden="1" customHeight="1" outlineLevel="1">
      <c r="A1371" s="122">
        <f t="shared" si="223"/>
        <v>42694</v>
      </c>
      <c r="B1371" s="120">
        <v>691794.0</v>
      </c>
      <c r="C1371" s="19">
        <f t="shared" si="221"/>
        <v>0</v>
      </c>
      <c r="D1371" s="19">
        <f t="shared" si="220"/>
        <v>0.06270066656</v>
      </c>
      <c r="E1371" s="12"/>
      <c r="F1371" s="7"/>
      <c r="G1371" s="7"/>
      <c r="H1371" s="1"/>
      <c r="I1371" s="1"/>
      <c r="J1371" s="1"/>
      <c r="K1371" s="1"/>
      <c r="L1371" s="12">
        <f t="shared" si="222"/>
        <v>16062.6527</v>
      </c>
      <c r="M1371" s="12"/>
      <c r="N1371" s="15"/>
      <c r="O1371" s="1"/>
      <c r="Q1371" s="12"/>
      <c r="R1371" s="1"/>
    </row>
    <row r="1372" ht="12.75" hidden="1" customHeight="1" outlineLevel="1">
      <c r="A1372" s="122">
        <f t="shared" si="223"/>
        <v>42695</v>
      </c>
      <c r="B1372" s="120">
        <v>699467.34</v>
      </c>
      <c r="C1372" s="19">
        <f t="shared" si="221"/>
        <v>0.01109194356</v>
      </c>
      <c r="D1372" s="19">
        <f t="shared" si="220"/>
        <v>0.07448808237</v>
      </c>
      <c r="E1372" s="12"/>
      <c r="F1372" s="7"/>
      <c r="G1372" s="7"/>
      <c r="H1372" s="1"/>
      <c r="I1372" s="1"/>
      <c r="J1372" s="1"/>
      <c r="K1372" s="1"/>
      <c r="L1372" s="12">
        <f t="shared" si="222"/>
        <v>16240.81874</v>
      </c>
      <c r="M1372" s="12"/>
      <c r="N1372" s="15"/>
      <c r="O1372" s="1"/>
      <c r="Q1372" s="12"/>
      <c r="R1372" s="1"/>
    </row>
    <row r="1373" ht="12.75" hidden="1" customHeight="1" outlineLevel="1">
      <c r="A1373" s="122">
        <f t="shared" si="223"/>
        <v>42696</v>
      </c>
      <c r="B1373" s="120">
        <v>702093.34</v>
      </c>
      <c r="C1373" s="19">
        <f t="shared" si="221"/>
        <v>0.003754285368</v>
      </c>
      <c r="D1373" s="19">
        <f t="shared" si="220"/>
        <v>0.07852201726</v>
      </c>
      <c r="E1373" s="12"/>
      <c r="F1373" s="7"/>
      <c r="G1373" s="7"/>
      <c r="H1373" s="1"/>
      <c r="I1373" s="1"/>
      <c r="J1373" s="1"/>
      <c r="K1373" s="1"/>
      <c r="L1373" s="12">
        <f t="shared" si="222"/>
        <v>16301.79141</v>
      </c>
      <c r="M1373" s="12"/>
      <c r="N1373" s="15"/>
      <c r="O1373" s="1"/>
      <c r="Q1373" s="12"/>
      <c r="R1373" s="1"/>
    </row>
    <row r="1374" ht="12.75" hidden="1" customHeight="1" outlineLevel="1">
      <c r="A1374" s="122">
        <f t="shared" si="223"/>
        <v>42697</v>
      </c>
      <c r="B1374" s="120">
        <v>705110.85</v>
      </c>
      <c r="C1374" s="19">
        <f t="shared" si="221"/>
        <v>0.004297875835</v>
      </c>
      <c r="D1374" s="19">
        <f t="shared" si="220"/>
        <v>0.08315737097</v>
      </c>
      <c r="E1374" s="12"/>
      <c r="F1374" s="7"/>
      <c r="G1374" s="7"/>
      <c r="H1374" s="1"/>
      <c r="I1374" s="1"/>
      <c r="J1374" s="1"/>
      <c r="K1374" s="1"/>
      <c r="L1374" s="12">
        <f t="shared" si="222"/>
        <v>16371.85448</v>
      </c>
      <c r="M1374" s="12"/>
      <c r="N1374" s="15"/>
      <c r="O1374" s="1"/>
      <c r="Q1374" s="12"/>
      <c r="R1374" s="1"/>
    </row>
    <row r="1375" ht="12.75" hidden="1" customHeight="1" outlineLevel="1">
      <c r="A1375" s="122">
        <f t="shared" si="223"/>
        <v>42698</v>
      </c>
      <c r="B1375" s="120">
        <v>705110.24</v>
      </c>
      <c r="C1375" s="19">
        <f t="shared" si="221"/>
        <v>-0.0000008651122019</v>
      </c>
      <c r="D1375" s="19">
        <f t="shared" si="220"/>
        <v>0.08315643392</v>
      </c>
      <c r="E1375" s="12"/>
      <c r="F1375" s="7"/>
      <c r="G1375" s="7"/>
      <c r="H1375" s="1"/>
      <c r="I1375" s="1"/>
      <c r="J1375" s="1"/>
      <c r="K1375" s="1"/>
      <c r="L1375" s="12">
        <f t="shared" si="222"/>
        <v>16371.84032</v>
      </c>
      <c r="M1375" s="12"/>
      <c r="N1375" s="15"/>
      <c r="O1375" s="1"/>
      <c r="Q1375" s="12"/>
      <c r="R1375" s="1"/>
    </row>
    <row r="1376" ht="12.75" hidden="1" customHeight="1" outlineLevel="1">
      <c r="A1376" s="122">
        <f t="shared" si="223"/>
        <v>42699</v>
      </c>
      <c r="B1376" s="120">
        <v>709400.0</v>
      </c>
      <c r="C1376" s="19">
        <f t="shared" si="221"/>
        <v>0.006083814639</v>
      </c>
      <c r="D1376" s="19">
        <f t="shared" si="220"/>
        <v>0.08974615689</v>
      </c>
      <c r="E1376" s="12"/>
      <c r="F1376" s="7"/>
      <c r="G1376" s="7"/>
      <c r="H1376" s="1"/>
      <c r="I1376" s="1"/>
      <c r="J1376" s="1"/>
      <c r="K1376" s="1"/>
      <c r="L1376" s="12">
        <f t="shared" si="222"/>
        <v>16471.44356</v>
      </c>
      <c r="M1376" s="12"/>
      <c r="N1376" s="15"/>
      <c r="O1376" s="1"/>
      <c r="Q1376" s="12"/>
      <c r="R1376" s="1"/>
    </row>
    <row r="1377" ht="12.75" hidden="1" customHeight="1" outlineLevel="1">
      <c r="A1377" s="122">
        <f t="shared" si="223"/>
        <v>42700</v>
      </c>
      <c r="B1377" s="120">
        <v>709400.0</v>
      </c>
      <c r="C1377" s="19">
        <f t="shared" si="221"/>
        <v>0</v>
      </c>
      <c r="D1377" s="19">
        <f t="shared" si="220"/>
        <v>0.08974615689</v>
      </c>
      <c r="E1377" s="12"/>
      <c r="F1377" s="7"/>
      <c r="G1377" s="7"/>
      <c r="H1377" s="1"/>
      <c r="I1377" s="1"/>
      <c r="J1377" s="1"/>
      <c r="K1377" s="1"/>
      <c r="L1377" s="12">
        <f t="shared" si="222"/>
        <v>16471.44356</v>
      </c>
      <c r="M1377" s="12"/>
      <c r="N1377" s="15"/>
      <c r="O1377" s="1"/>
      <c r="Q1377" s="12"/>
      <c r="R1377" s="1"/>
    </row>
    <row r="1378" ht="12.75" hidden="1" customHeight="1" outlineLevel="1">
      <c r="A1378" s="122">
        <f t="shared" si="223"/>
        <v>42701</v>
      </c>
      <c r="B1378" s="120">
        <v>709400.0</v>
      </c>
      <c r="C1378" s="19">
        <f t="shared" si="221"/>
        <v>0</v>
      </c>
      <c r="D1378" s="19">
        <f t="shared" si="220"/>
        <v>0.08974615689</v>
      </c>
      <c r="E1378" s="12"/>
      <c r="F1378" s="7"/>
      <c r="G1378" s="7"/>
      <c r="H1378" s="1"/>
      <c r="I1378" s="1"/>
      <c r="J1378" s="1"/>
      <c r="K1378" s="1"/>
      <c r="L1378" s="12">
        <f t="shared" si="222"/>
        <v>16471.44356</v>
      </c>
      <c r="M1378" s="12"/>
      <c r="N1378" s="15"/>
      <c r="O1378" s="1"/>
      <c r="Q1378" s="12"/>
      <c r="R1378" s="1"/>
    </row>
    <row r="1379" ht="12.75" hidden="1" customHeight="1" outlineLevel="1">
      <c r="A1379" s="122">
        <f t="shared" si="223"/>
        <v>42702</v>
      </c>
      <c r="B1379" s="120">
        <v>705800.0</v>
      </c>
      <c r="C1379" s="19">
        <f t="shared" si="221"/>
        <v>-0.005074711023</v>
      </c>
      <c r="D1379" s="19">
        <f t="shared" si="220"/>
        <v>0.08421601005</v>
      </c>
      <c r="E1379" s="12"/>
      <c r="F1379" s="7"/>
      <c r="G1379" s="7"/>
      <c r="H1379" s="1"/>
      <c r="I1379" s="1"/>
      <c r="J1379" s="1"/>
      <c r="K1379" s="1"/>
      <c r="L1379" s="12">
        <f t="shared" si="222"/>
        <v>16387.85574</v>
      </c>
      <c r="M1379" s="12"/>
      <c r="N1379" s="15"/>
      <c r="O1379" s="1"/>
      <c r="Q1379" s="12"/>
      <c r="R1379" s="1"/>
    </row>
    <row r="1380" ht="12.75" hidden="1" customHeight="1" outlineLevel="1">
      <c r="A1380" s="122">
        <f t="shared" si="223"/>
        <v>42703</v>
      </c>
      <c r="B1380" s="120">
        <v>705570.0</v>
      </c>
      <c r="C1380" s="19">
        <f t="shared" si="221"/>
        <v>-0.0003258713517</v>
      </c>
      <c r="D1380" s="19">
        <f t="shared" si="220"/>
        <v>0.08386269512</v>
      </c>
      <c r="E1380" s="12"/>
      <c r="F1380" s="7"/>
      <c r="G1380" s="7"/>
      <c r="H1380" s="1"/>
      <c r="I1380" s="1"/>
      <c r="J1380" s="1"/>
      <c r="K1380" s="1"/>
      <c r="L1380" s="12">
        <f t="shared" si="222"/>
        <v>16382.51541</v>
      </c>
      <c r="M1380" s="12"/>
      <c r="N1380" s="15"/>
      <c r="O1380" s="1"/>
      <c r="Q1380" s="12"/>
      <c r="R1380" s="1"/>
    </row>
    <row r="1381" ht="12.75" hidden="1" customHeight="1" outlineLevel="1">
      <c r="A1381" s="122">
        <f t="shared" si="223"/>
        <v>42704</v>
      </c>
      <c r="B1381" s="120">
        <v>724941.18</v>
      </c>
      <c r="C1381" s="19">
        <f t="shared" si="221"/>
        <v>0.02745465368</v>
      </c>
      <c r="D1381" s="19">
        <f t="shared" si="220"/>
        <v>0.1136197701</v>
      </c>
      <c r="E1381" s="12"/>
      <c r="F1381" s="7"/>
      <c r="G1381" s="7"/>
      <c r="H1381" s="1"/>
      <c r="I1381" s="1"/>
      <c r="J1381" s="1"/>
      <c r="K1381" s="1"/>
      <c r="L1381" s="12">
        <f t="shared" si="222"/>
        <v>16832.2917</v>
      </c>
      <c r="M1381" s="12"/>
      <c r="N1381" s="15"/>
      <c r="O1381" s="1"/>
      <c r="Q1381" s="12"/>
      <c r="R1381" s="1"/>
    </row>
    <row r="1382" ht="12.75" hidden="1" customHeight="1" outlineLevel="1">
      <c r="A1382" s="122"/>
      <c r="B1382" s="12"/>
      <c r="C1382" s="1"/>
      <c r="D1382" s="1"/>
      <c r="E1382" s="12"/>
      <c r="F1382" s="7"/>
      <c r="G1382" s="7"/>
      <c r="H1382" s="1"/>
      <c r="I1382" s="1"/>
      <c r="J1382" s="1"/>
      <c r="K1382" s="1"/>
      <c r="L1382" s="12"/>
      <c r="M1382" s="12"/>
      <c r="N1382" s="15"/>
      <c r="O1382" s="1"/>
      <c r="Q1382" s="12"/>
      <c r="R1382" s="1"/>
    </row>
    <row r="1383" ht="12.75" hidden="1" customHeight="1" outlineLevel="1">
      <c r="A1383" s="122"/>
      <c r="B1383" s="12">
        <f>B1381</f>
        <v>724941.18</v>
      </c>
      <c r="C1383" s="19"/>
      <c r="D1383" s="19">
        <f t="shared" ref="D1383:D1414" si="224">(B1383/$B$1383)-1</f>
        <v>0</v>
      </c>
      <c r="E1383" s="12"/>
      <c r="F1383" s="7"/>
      <c r="G1383" s="7"/>
      <c r="H1383" s="1"/>
      <c r="I1383" s="1"/>
      <c r="J1383" s="1"/>
      <c r="K1383" s="1"/>
      <c r="L1383" s="12"/>
      <c r="M1383" s="12"/>
      <c r="N1383" s="15"/>
      <c r="O1383" s="1"/>
      <c r="Q1383" s="12"/>
      <c r="R1383" s="1"/>
    </row>
    <row r="1384" ht="12.75" hidden="1" customHeight="1" outlineLevel="1">
      <c r="A1384" s="122">
        <f>A1381+1</f>
        <v>42705</v>
      </c>
      <c r="B1384" s="120">
        <v>725600.0</v>
      </c>
      <c r="C1384" s="19">
        <f t="shared" ref="C1384:C1414" si="225">(B1384/B1383)-1</f>
        <v>0.0009087909725</v>
      </c>
      <c r="D1384" s="19">
        <f t="shared" si="224"/>
        <v>0.0009087909725</v>
      </c>
      <c r="E1384" s="12"/>
      <c r="F1384" s="7"/>
      <c r="G1384" s="7"/>
      <c r="H1384" s="1"/>
      <c r="I1384" s="1"/>
      <c r="J1384" s="1"/>
      <c r="K1384" s="1"/>
      <c r="L1384" s="12">
        <f t="shared" ref="L1384:L1414" si="226">IF(C1383="",L1381*(1+C1384),L1383*(1+C1384))</f>
        <v>16847.58873</v>
      </c>
      <c r="M1384" s="12"/>
      <c r="N1384" s="15"/>
      <c r="O1384" s="1"/>
      <c r="Q1384" s="12"/>
      <c r="R1384" s="1"/>
    </row>
    <row r="1385" ht="12.75" hidden="1" customHeight="1" outlineLevel="1">
      <c r="A1385" s="122">
        <f t="shared" ref="A1385:A1414" si="227">A1384+1</f>
        <v>42706</v>
      </c>
      <c r="B1385" s="120">
        <v>720800.0</v>
      </c>
      <c r="C1385" s="19">
        <f t="shared" si="225"/>
        <v>-0.006615214994</v>
      </c>
      <c r="D1385" s="19">
        <f t="shared" si="224"/>
        <v>-0.00571243587</v>
      </c>
      <c r="E1385" s="12"/>
      <c r="F1385" s="7"/>
      <c r="G1385" s="7"/>
      <c r="H1385" s="1"/>
      <c r="I1385" s="1"/>
      <c r="J1385" s="1"/>
      <c r="K1385" s="1"/>
      <c r="L1385" s="12">
        <f t="shared" si="226"/>
        <v>16736.13831</v>
      </c>
      <c r="M1385" s="12"/>
      <c r="N1385" s="15"/>
      <c r="O1385" s="1"/>
      <c r="Q1385" s="12"/>
      <c r="R1385" s="1"/>
    </row>
    <row r="1386" ht="12.75" hidden="1" customHeight="1" outlineLevel="1">
      <c r="A1386" s="122">
        <f t="shared" si="227"/>
        <v>42707</v>
      </c>
      <c r="B1386" s="120">
        <v>720800.0</v>
      </c>
      <c r="C1386" s="19">
        <f t="shared" si="225"/>
        <v>0</v>
      </c>
      <c r="D1386" s="19">
        <f t="shared" si="224"/>
        <v>-0.00571243587</v>
      </c>
      <c r="E1386" s="12"/>
      <c r="F1386" s="7"/>
      <c r="G1386" s="7"/>
      <c r="H1386" s="1"/>
      <c r="I1386" s="1"/>
      <c r="J1386" s="1"/>
      <c r="K1386" s="1"/>
      <c r="L1386" s="12">
        <f t="shared" si="226"/>
        <v>16736.13831</v>
      </c>
      <c r="M1386" s="12"/>
      <c r="N1386" s="15"/>
      <c r="O1386" s="1"/>
      <c r="Q1386" s="12"/>
      <c r="R1386" s="1"/>
    </row>
    <row r="1387" ht="12.75" hidden="1" customHeight="1" outlineLevel="1">
      <c r="A1387" s="122">
        <f t="shared" si="227"/>
        <v>42708</v>
      </c>
      <c r="B1387" s="120">
        <v>720800.0</v>
      </c>
      <c r="C1387" s="19">
        <f t="shared" si="225"/>
        <v>0</v>
      </c>
      <c r="D1387" s="19">
        <f t="shared" si="224"/>
        <v>-0.00571243587</v>
      </c>
      <c r="E1387" s="12"/>
      <c r="F1387" s="7"/>
      <c r="G1387" s="7"/>
      <c r="H1387" s="1"/>
      <c r="I1387" s="1"/>
      <c r="J1387" s="1"/>
      <c r="K1387" s="1"/>
      <c r="L1387" s="12">
        <f t="shared" si="226"/>
        <v>16736.13831</v>
      </c>
      <c r="M1387" s="12"/>
      <c r="N1387" s="15"/>
      <c r="O1387" s="1"/>
      <c r="Q1387" s="12"/>
      <c r="R1387" s="1"/>
    </row>
    <row r="1388" ht="12.75" hidden="1" customHeight="1" outlineLevel="1">
      <c r="A1388" s="122">
        <f t="shared" si="227"/>
        <v>42709</v>
      </c>
      <c r="B1388" s="120">
        <v>722500.0</v>
      </c>
      <c r="C1388" s="19">
        <f t="shared" si="225"/>
        <v>0.002358490566</v>
      </c>
      <c r="D1388" s="19">
        <f t="shared" si="224"/>
        <v>-0.00336741803</v>
      </c>
      <c r="E1388" s="12"/>
      <c r="F1388" s="7"/>
      <c r="G1388" s="7"/>
      <c r="H1388" s="1"/>
      <c r="I1388" s="1"/>
      <c r="J1388" s="1"/>
      <c r="K1388" s="1"/>
      <c r="L1388" s="12">
        <f t="shared" si="226"/>
        <v>16775.61034</v>
      </c>
      <c r="M1388" s="12"/>
      <c r="N1388" s="15"/>
      <c r="O1388" s="1"/>
      <c r="Q1388" s="12"/>
      <c r="R1388" s="1"/>
    </row>
    <row r="1389" ht="12.75" hidden="1" customHeight="1" outlineLevel="1">
      <c r="A1389" s="122">
        <f t="shared" si="227"/>
        <v>42710</v>
      </c>
      <c r="B1389" s="120">
        <v>726300.0</v>
      </c>
      <c r="C1389" s="19">
        <f t="shared" si="225"/>
        <v>0.005259515571</v>
      </c>
      <c r="D1389" s="19">
        <f t="shared" si="224"/>
        <v>0.001874386554</v>
      </c>
      <c r="E1389" s="12"/>
      <c r="F1389" s="7"/>
      <c r="G1389" s="7"/>
      <c r="H1389" s="1"/>
      <c r="I1389" s="1"/>
      <c r="J1389" s="1"/>
      <c r="K1389" s="1"/>
      <c r="L1389" s="12">
        <f t="shared" si="226"/>
        <v>16863.84192</v>
      </c>
      <c r="M1389" s="12"/>
      <c r="N1389" s="15"/>
      <c r="O1389" s="1"/>
      <c r="Q1389" s="12"/>
      <c r="R1389" s="1"/>
    </row>
    <row r="1390" ht="12.75" hidden="1" customHeight="1" outlineLevel="1">
      <c r="A1390" s="122">
        <f t="shared" si="227"/>
        <v>42711</v>
      </c>
      <c r="B1390" s="120">
        <v>744157.0</v>
      </c>
      <c r="C1390" s="19">
        <f t="shared" si="225"/>
        <v>0.02458625912</v>
      </c>
      <c r="D1390" s="19">
        <f t="shared" si="224"/>
        <v>0.02650672983</v>
      </c>
      <c r="E1390" s="12"/>
      <c r="F1390" s="7"/>
      <c r="G1390" s="7"/>
      <c r="H1390" s="1"/>
      <c r="I1390" s="1"/>
      <c r="J1390" s="1"/>
      <c r="K1390" s="1"/>
      <c r="L1390" s="12">
        <f t="shared" si="226"/>
        <v>17278.46071</v>
      </c>
      <c r="M1390" s="12"/>
      <c r="N1390" s="15"/>
      <c r="O1390" s="1"/>
      <c r="Q1390" s="12"/>
      <c r="R1390" s="1"/>
    </row>
    <row r="1391" ht="12.75" hidden="1" customHeight="1" outlineLevel="1">
      <c r="A1391" s="122">
        <f t="shared" si="227"/>
        <v>42712</v>
      </c>
      <c r="B1391" s="120">
        <v>747900.0</v>
      </c>
      <c r="C1391" s="19">
        <f t="shared" si="225"/>
        <v>0.005029852571</v>
      </c>
      <c r="D1391" s="19">
        <f t="shared" si="224"/>
        <v>0.03166990734</v>
      </c>
      <c r="E1391" s="12"/>
      <c r="F1391" s="7"/>
      <c r="G1391" s="7"/>
      <c r="H1391" s="1"/>
      <c r="I1391" s="1"/>
      <c r="J1391" s="1"/>
      <c r="K1391" s="1"/>
      <c r="L1391" s="12">
        <f t="shared" si="226"/>
        <v>17365.36882</v>
      </c>
      <c r="M1391" s="12"/>
      <c r="N1391" s="15"/>
      <c r="O1391" s="1"/>
      <c r="Q1391" s="12"/>
      <c r="R1391" s="1"/>
    </row>
    <row r="1392" ht="12.75" hidden="1" customHeight="1" outlineLevel="1">
      <c r="A1392" s="122">
        <f t="shared" si="227"/>
        <v>42713</v>
      </c>
      <c r="B1392" s="120">
        <v>751100.0</v>
      </c>
      <c r="C1392" s="19">
        <f t="shared" si="225"/>
        <v>0.004278646878</v>
      </c>
      <c r="D1392" s="19">
        <f t="shared" si="224"/>
        <v>0.03608405857</v>
      </c>
      <c r="E1392" s="12"/>
      <c r="F1392" s="7"/>
      <c r="G1392" s="7"/>
      <c r="H1392" s="1"/>
      <c r="I1392" s="1"/>
      <c r="J1392" s="1"/>
      <c r="K1392" s="1"/>
      <c r="L1392" s="12">
        <f t="shared" si="226"/>
        <v>17439.6691</v>
      </c>
      <c r="M1392" s="12"/>
      <c r="N1392" s="15"/>
      <c r="O1392" s="1"/>
      <c r="Q1392" s="12"/>
      <c r="R1392" s="1"/>
    </row>
    <row r="1393" ht="12.75" hidden="1" customHeight="1" outlineLevel="1">
      <c r="A1393" s="122">
        <f t="shared" si="227"/>
        <v>42714</v>
      </c>
      <c r="B1393" s="120">
        <v>751100.0</v>
      </c>
      <c r="C1393" s="19">
        <f t="shared" si="225"/>
        <v>0</v>
      </c>
      <c r="D1393" s="19">
        <f t="shared" si="224"/>
        <v>0.03608405857</v>
      </c>
      <c r="E1393" s="12"/>
      <c r="F1393" s="7"/>
      <c r="G1393" s="7"/>
      <c r="H1393" s="1"/>
      <c r="I1393" s="1"/>
      <c r="J1393" s="1"/>
      <c r="K1393" s="1"/>
      <c r="L1393" s="12">
        <f t="shared" si="226"/>
        <v>17439.6691</v>
      </c>
      <c r="M1393" s="12"/>
      <c r="N1393" s="15"/>
      <c r="O1393" s="1"/>
      <c r="Q1393" s="12"/>
      <c r="R1393" s="1"/>
    </row>
    <row r="1394" ht="12.75" hidden="1" customHeight="1" outlineLevel="1">
      <c r="A1394" s="122">
        <f t="shared" si="227"/>
        <v>42715</v>
      </c>
      <c r="B1394" s="120">
        <v>751100.0</v>
      </c>
      <c r="C1394" s="19">
        <f t="shared" si="225"/>
        <v>0</v>
      </c>
      <c r="D1394" s="19">
        <f t="shared" si="224"/>
        <v>0.03608405857</v>
      </c>
      <c r="E1394" s="12"/>
      <c r="F1394" s="7"/>
      <c r="G1394" s="7"/>
      <c r="H1394" s="1"/>
      <c r="I1394" s="1"/>
      <c r="J1394" s="1"/>
      <c r="K1394" s="1"/>
      <c r="L1394" s="12">
        <f t="shared" si="226"/>
        <v>17439.6691</v>
      </c>
      <c r="M1394" s="12"/>
      <c r="N1394" s="15"/>
      <c r="O1394" s="1"/>
      <c r="Q1394" s="12"/>
      <c r="R1394" s="1"/>
    </row>
    <row r="1395" ht="12.75" hidden="1" customHeight="1" outlineLevel="1">
      <c r="A1395" s="122">
        <f t="shared" si="227"/>
        <v>42716</v>
      </c>
      <c r="B1395" s="120">
        <v>747290.0</v>
      </c>
      <c r="C1395" s="19">
        <f t="shared" si="225"/>
        <v>-0.005072560245</v>
      </c>
      <c r="D1395" s="19">
        <f t="shared" si="224"/>
        <v>0.03082845977</v>
      </c>
      <c r="E1395" s="12"/>
      <c r="F1395" s="7"/>
      <c r="G1395" s="7"/>
      <c r="H1395" s="1"/>
      <c r="I1395" s="1"/>
      <c r="J1395" s="1"/>
      <c r="K1395" s="1"/>
      <c r="L1395" s="12">
        <f t="shared" si="226"/>
        <v>17351.20533</v>
      </c>
      <c r="M1395" s="12"/>
      <c r="N1395" s="15"/>
      <c r="O1395" s="1"/>
      <c r="Q1395" s="12"/>
      <c r="R1395" s="1"/>
    </row>
    <row r="1396" ht="12.75" hidden="1" customHeight="1" outlineLevel="1">
      <c r="A1396" s="122">
        <f t="shared" si="227"/>
        <v>42717</v>
      </c>
      <c r="B1396" s="120">
        <v>750147.0</v>
      </c>
      <c r="C1396" s="19">
        <f t="shared" si="225"/>
        <v>0.00382314764</v>
      </c>
      <c r="D1396" s="19">
        <f t="shared" si="224"/>
        <v>0.03476946916</v>
      </c>
      <c r="E1396" s="12"/>
      <c r="F1396" s="7"/>
      <c r="G1396" s="7"/>
      <c r="H1396" s="1"/>
      <c r="I1396" s="1"/>
      <c r="J1396" s="1"/>
      <c r="K1396" s="1"/>
      <c r="L1396" s="12">
        <f t="shared" si="226"/>
        <v>17417.54155</v>
      </c>
      <c r="M1396" s="12"/>
      <c r="N1396" s="15"/>
      <c r="O1396" s="1"/>
      <c r="Q1396" s="12"/>
      <c r="R1396" s="1"/>
    </row>
    <row r="1397" ht="12.75" hidden="1" customHeight="1" outlineLevel="1">
      <c r="A1397" s="122">
        <f t="shared" si="227"/>
        <v>42718</v>
      </c>
      <c r="B1397" s="120">
        <v>739600.0</v>
      </c>
      <c r="C1397" s="19">
        <f t="shared" si="225"/>
        <v>-0.01405991092</v>
      </c>
      <c r="D1397" s="19">
        <f t="shared" si="224"/>
        <v>0.0202207026</v>
      </c>
      <c r="E1397" s="12"/>
      <c r="F1397" s="7"/>
      <c r="G1397" s="7"/>
      <c r="H1397" s="1"/>
      <c r="I1397" s="1"/>
      <c r="J1397" s="1"/>
      <c r="K1397" s="1"/>
      <c r="L1397" s="12">
        <f t="shared" si="226"/>
        <v>17172.65246</v>
      </c>
      <c r="M1397" s="12"/>
      <c r="N1397" s="15"/>
      <c r="O1397" s="1"/>
      <c r="Q1397" s="12"/>
      <c r="R1397" s="1"/>
    </row>
    <row r="1398" ht="12.75" hidden="1" customHeight="1" outlineLevel="1">
      <c r="A1398" s="122">
        <f t="shared" si="227"/>
        <v>42719</v>
      </c>
      <c r="B1398" s="120">
        <v>741800.0</v>
      </c>
      <c r="C1398" s="19">
        <f t="shared" si="225"/>
        <v>0.002974580855</v>
      </c>
      <c r="D1398" s="19">
        <f t="shared" si="224"/>
        <v>0.02325543156</v>
      </c>
      <c r="E1398" s="12"/>
      <c r="F1398" s="7"/>
      <c r="G1398" s="7"/>
      <c r="H1398" s="1"/>
      <c r="I1398" s="1"/>
      <c r="J1398" s="1"/>
      <c r="K1398" s="1"/>
      <c r="L1398" s="12">
        <f t="shared" si="226"/>
        <v>17223.73391</v>
      </c>
      <c r="M1398" s="12"/>
      <c r="N1398" s="15"/>
      <c r="O1398" s="1"/>
      <c r="Q1398" s="12"/>
      <c r="R1398" s="1"/>
    </row>
    <row r="1399" ht="12.75" hidden="1" customHeight="1" outlineLevel="1">
      <c r="A1399" s="122">
        <f t="shared" si="227"/>
        <v>42720</v>
      </c>
      <c r="B1399" s="120">
        <v>738700.0</v>
      </c>
      <c r="C1399" s="19">
        <f t="shared" si="225"/>
        <v>-0.004179023996</v>
      </c>
      <c r="D1399" s="19">
        <f t="shared" si="224"/>
        <v>0.01897922256</v>
      </c>
      <c r="E1399" s="12"/>
      <c r="F1399" s="7"/>
      <c r="G1399" s="7"/>
      <c r="H1399" s="1"/>
      <c r="I1399" s="1"/>
      <c r="J1399" s="1"/>
      <c r="K1399" s="1"/>
      <c r="L1399" s="12">
        <f t="shared" si="226"/>
        <v>17151.75551</v>
      </c>
      <c r="M1399" s="12"/>
      <c r="N1399" s="15"/>
      <c r="O1399" s="1"/>
      <c r="Q1399" s="12"/>
      <c r="R1399" s="1"/>
    </row>
    <row r="1400" ht="12.75" hidden="1" customHeight="1" outlineLevel="1">
      <c r="A1400" s="122">
        <f t="shared" si="227"/>
        <v>42721</v>
      </c>
      <c r="B1400" s="120">
        <v>746144.35</v>
      </c>
      <c r="C1400" s="19">
        <f t="shared" si="225"/>
        <v>0.01007763639</v>
      </c>
      <c r="D1400" s="19">
        <f t="shared" si="224"/>
        <v>0.02924812465</v>
      </c>
      <c r="E1400" s="12"/>
      <c r="F1400" s="7"/>
      <c r="G1400" s="7"/>
      <c r="H1400" s="1"/>
      <c r="I1400" s="1"/>
      <c r="J1400" s="1"/>
      <c r="K1400" s="1"/>
      <c r="L1400" s="12">
        <f t="shared" si="226"/>
        <v>17324.60466</v>
      </c>
      <c r="M1400" s="12"/>
      <c r="N1400" s="15"/>
      <c r="O1400" s="1"/>
      <c r="Q1400" s="12"/>
      <c r="R1400" s="1"/>
    </row>
    <row r="1401" ht="12.75" hidden="1" customHeight="1" outlineLevel="1">
      <c r="A1401" s="122">
        <f t="shared" si="227"/>
        <v>42722</v>
      </c>
      <c r="B1401" s="120">
        <v>746144.35</v>
      </c>
      <c r="C1401" s="19">
        <f t="shared" si="225"/>
        <v>0</v>
      </c>
      <c r="D1401" s="19">
        <f t="shared" si="224"/>
        <v>0.02924812465</v>
      </c>
      <c r="E1401" s="12"/>
      <c r="F1401" s="7"/>
      <c r="G1401" s="7"/>
      <c r="H1401" s="1"/>
      <c r="I1401" s="1"/>
      <c r="J1401" s="1"/>
      <c r="K1401" s="1"/>
      <c r="L1401" s="12">
        <f t="shared" si="226"/>
        <v>17324.60466</v>
      </c>
      <c r="M1401" s="12"/>
      <c r="N1401" s="15"/>
      <c r="O1401" s="1"/>
      <c r="Q1401" s="12"/>
      <c r="R1401" s="1"/>
    </row>
    <row r="1402" ht="12.75" hidden="1" customHeight="1" outlineLevel="1">
      <c r="A1402" s="122">
        <f t="shared" si="227"/>
        <v>42723</v>
      </c>
      <c r="B1402" s="120">
        <v>746144.35</v>
      </c>
      <c r="C1402" s="19">
        <f t="shared" si="225"/>
        <v>0</v>
      </c>
      <c r="D1402" s="19">
        <f t="shared" si="224"/>
        <v>0.02924812465</v>
      </c>
      <c r="E1402" s="12"/>
      <c r="F1402" s="7"/>
      <c r="G1402" s="7"/>
      <c r="H1402" s="1"/>
      <c r="I1402" s="1"/>
      <c r="J1402" s="1"/>
      <c r="K1402" s="1"/>
      <c r="L1402" s="12">
        <f t="shared" si="226"/>
        <v>17324.60466</v>
      </c>
      <c r="M1402" s="12"/>
      <c r="N1402" s="15"/>
      <c r="O1402" s="1"/>
      <c r="Q1402" s="12"/>
      <c r="R1402" s="1"/>
    </row>
    <row r="1403" ht="12.75" hidden="1" customHeight="1" outlineLevel="1">
      <c r="A1403" s="122">
        <f t="shared" si="227"/>
        <v>42724</v>
      </c>
      <c r="B1403" s="120">
        <v>750100.0</v>
      </c>
      <c r="C1403" s="19">
        <f t="shared" si="225"/>
        <v>0.005301454069</v>
      </c>
      <c r="D1403" s="19">
        <f t="shared" si="224"/>
        <v>0.03470463631</v>
      </c>
      <c r="E1403" s="12"/>
      <c r="F1403" s="7"/>
      <c r="G1403" s="7"/>
      <c r="H1403" s="1"/>
      <c r="I1403" s="1"/>
      <c r="J1403" s="1"/>
      <c r="K1403" s="1"/>
      <c r="L1403" s="12">
        <f t="shared" si="226"/>
        <v>17416.45026</v>
      </c>
      <c r="M1403" s="12"/>
      <c r="N1403" s="15"/>
      <c r="O1403" s="1"/>
      <c r="Q1403" s="12"/>
      <c r="R1403" s="1"/>
    </row>
    <row r="1404" ht="12.75" hidden="1" customHeight="1" outlineLevel="1">
      <c r="A1404" s="122">
        <f t="shared" si="227"/>
        <v>42725</v>
      </c>
      <c r="B1404" s="120">
        <v>750100.0</v>
      </c>
      <c r="C1404" s="19">
        <f t="shared" si="225"/>
        <v>0</v>
      </c>
      <c r="D1404" s="19">
        <f t="shared" si="224"/>
        <v>0.03470463631</v>
      </c>
      <c r="E1404" s="12"/>
      <c r="F1404" s="7"/>
      <c r="G1404" s="7"/>
      <c r="H1404" s="1"/>
      <c r="I1404" s="1"/>
      <c r="J1404" s="1"/>
      <c r="K1404" s="1"/>
      <c r="L1404" s="12">
        <f t="shared" si="226"/>
        <v>17416.45026</v>
      </c>
      <c r="M1404" s="12"/>
      <c r="N1404" s="15"/>
      <c r="O1404" s="1"/>
      <c r="Q1404" s="12"/>
      <c r="R1404" s="1"/>
    </row>
    <row r="1405" ht="12.75" hidden="1" customHeight="1" outlineLevel="1">
      <c r="A1405" s="122">
        <f t="shared" si="227"/>
        <v>42726</v>
      </c>
      <c r="B1405" s="120">
        <v>746400.0</v>
      </c>
      <c r="C1405" s="19">
        <f t="shared" si="225"/>
        <v>-0.004932675643</v>
      </c>
      <c r="D1405" s="19">
        <f t="shared" si="224"/>
        <v>0.02960077396</v>
      </c>
      <c r="E1405" s="12"/>
      <c r="F1405" s="7"/>
      <c r="G1405" s="7"/>
      <c r="H1405" s="1"/>
      <c r="I1405" s="1"/>
      <c r="J1405" s="1"/>
      <c r="K1405" s="1"/>
      <c r="L1405" s="12">
        <f t="shared" si="226"/>
        <v>17330.54056</v>
      </c>
      <c r="M1405" s="12"/>
      <c r="N1405" s="15"/>
      <c r="O1405" s="1"/>
      <c r="Q1405" s="12"/>
      <c r="R1405" s="1"/>
    </row>
    <row r="1406" ht="12.75" hidden="1" customHeight="1" outlineLevel="1">
      <c r="A1406" s="122">
        <f t="shared" si="227"/>
        <v>42727</v>
      </c>
      <c r="B1406" s="120">
        <v>748000.0</v>
      </c>
      <c r="C1406" s="19">
        <f t="shared" si="225"/>
        <v>0.002143622722</v>
      </c>
      <c r="D1406" s="19">
        <f t="shared" si="224"/>
        <v>0.03180784957</v>
      </c>
      <c r="E1406" s="12"/>
      <c r="F1406" s="7"/>
      <c r="G1406" s="7"/>
      <c r="H1406" s="1"/>
      <c r="I1406" s="1"/>
      <c r="J1406" s="1"/>
      <c r="K1406" s="1"/>
      <c r="L1406" s="12">
        <f t="shared" si="226"/>
        <v>17367.6907</v>
      </c>
      <c r="M1406" s="12"/>
      <c r="N1406" s="15"/>
      <c r="O1406" s="1"/>
      <c r="Q1406" s="12"/>
      <c r="R1406" s="1"/>
    </row>
    <row r="1407" ht="12.75" hidden="1" customHeight="1" outlineLevel="1">
      <c r="A1407" s="122">
        <f t="shared" si="227"/>
        <v>42728</v>
      </c>
      <c r="B1407" s="120">
        <v>748000.0</v>
      </c>
      <c r="C1407" s="19">
        <f t="shared" si="225"/>
        <v>0</v>
      </c>
      <c r="D1407" s="19">
        <f t="shared" si="224"/>
        <v>0.03180784957</v>
      </c>
      <c r="E1407" s="12"/>
      <c r="F1407" s="7"/>
      <c r="G1407" s="7"/>
      <c r="H1407" s="1"/>
      <c r="I1407" s="1"/>
      <c r="J1407" s="1"/>
      <c r="K1407" s="1"/>
      <c r="L1407" s="12">
        <f t="shared" si="226"/>
        <v>17367.6907</v>
      </c>
      <c r="M1407" s="12"/>
      <c r="N1407" s="15"/>
      <c r="O1407" s="1"/>
      <c r="Q1407" s="12"/>
      <c r="R1407" s="1"/>
    </row>
    <row r="1408" ht="12.75" hidden="1" customHeight="1" outlineLevel="1">
      <c r="A1408" s="122">
        <f t="shared" si="227"/>
        <v>42729</v>
      </c>
      <c r="B1408" s="120">
        <v>748000.0</v>
      </c>
      <c r="C1408" s="19">
        <f t="shared" si="225"/>
        <v>0</v>
      </c>
      <c r="D1408" s="19">
        <f t="shared" si="224"/>
        <v>0.03180784957</v>
      </c>
      <c r="E1408" s="12"/>
      <c r="F1408" s="7"/>
      <c r="G1408" s="7"/>
      <c r="H1408" s="1"/>
      <c r="I1408" s="1"/>
      <c r="J1408" s="1"/>
      <c r="K1408" s="1"/>
      <c r="L1408" s="12">
        <f t="shared" si="226"/>
        <v>17367.6907</v>
      </c>
      <c r="M1408" s="12"/>
      <c r="N1408" s="15"/>
      <c r="O1408" s="1"/>
      <c r="Q1408" s="12"/>
      <c r="R1408" s="1"/>
    </row>
    <row r="1409" ht="12.75" hidden="1" customHeight="1" outlineLevel="1">
      <c r="A1409" s="122">
        <f t="shared" si="227"/>
        <v>42730</v>
      </c>
      <c r="B1409" s="120">
        <v>748000.0</v>
      </c>
      <c r="C1409" s="19">
        <f t="shared" si="225"/>
        <v>0</v>
      </c>
      <c r="D1409" s="19">
        <f t="shared" si="224"/>
        <v>0.03180784957</v>
      </c>
      <c r="E1409" s="12"/>
      <c r="F1409" s="7"/>
      <c r="G1409" s="7"/>
      <c r="H1409" s="1"/>
      <c r="I1409" s="1"/>
      <c r="J1409" s="1"/>
      <c r="K1409" s="1"/>
      <c r="L1409" s="12">
        <f t="shared" si="226"/>
        <v>17367.6907</v>
      </c>
      <c r="M1409" s="12"/>
      <c r="N1409" s="15"/>
      <c r="O1409" s="1"/>
      <c r="Q1409" s="12"/>
      <c r="R1409" s="1"/>
    </row>
    <row r="1410" ht="12.75" hidden="1" customHeight="1" outlineLevel="1">
      <c r="A1410" s="122">
        <f t="shared" si="227"/>
        <v>42731</v>
      </c>
      <c r="B1410" s="120">
        <v>751700.0</v>
      </c>
      <c r="C1410" s="19">
        <f t="shared" si="225"/>
        <v>0.004946524064</v>
      </c>
      <c r="D1410" s="19">
        <f t="shared" si="224"/>
        <v>0.03691171193</v>
      </c>
      <c r="E1410" s="12"/>
      <c r="F1410" s="7"/>
      <c r="G1410" s="7"/>
      <c r="H1410" s="1"/>
      <c r="I1410" s="1"/>
      <c r="J1410" s="1"/>
      <c r="K1410" s="1"/>
      <c r="L1410" s="12">
        <f t="shared" si="226"/>
        <v>17453.6004</v>
      </c>
      <c r="M1410" s="12"/>
      <c r="N1410" s="15"/>
      <c r="O1410" s="1"/>
      <c r="Q1410" s="12"/>
      <c r="R1410" s="1"/>
    </row>
    <row r="1411" ht="12.75" hidden="1" customHeight="1" outlineLevel="1">
      <c r="A1411" s="122">
        <f t="shared" si="227"/>
        <v>42732</v>
      </c>
      <c r="B1411" s="120">
        <v>747200.0</v>
      </c>
      <c r="C1411" s="19">
        <f t="shared" si="225"/>
        <v>-0.005986430757</v>
      </c>
      <c r="D1411" s="19">
        <f t="shared" si="224"/>
        <v>0.03070431176</v>
      </c>
      <c r="E1411" s="12"/>
      <c r="F1411" s="7"/>
      <c r="G1411" s="7"/>
      <c r="H1411" s="1"/>
      <c r="I1411" s="1"/>
      <c r="J1411" s="1"/>
      <c r="K1411" s="1"/>
      <c r="L1411" s="12">
        <f t="shared" si="226"/>
        <v>17349.11563</v>
      </c>
      <c r="M1411" s="12"/>
      <c r="N1411" s="15"/>
      <c r="O1411" s="1"/>
      <c r="Q1411" s="12"/>
      <c r="R1411" s="1"/>
    </row>
    <row r="1412" ht="12.75" hidden="1" customHeight="1" outlineLevel="1">
      <c r="A1412" s="122">
        <f t="shared" si="227"/>
        <v>42733</v>
      </c>
      <c r="B1412" s="120">
        <v>745300.0</v>
      </c>
      <c r="C1412" s="19">
        <f t="shared" si="225"/>
        <v>-0.002542826552</v>
      </c>
      <c r="D1412" s="19">
        <f t="shared" si="224"/>
        <v>0.02808340947</v>
      </c>
      <c r="E1412" s="12"/>
      <c r="F1412" s="7"/>
      <c r="G1412" s="7"/>
      <c r="H1412" s="1"/>
      <c r="I1412" s="1"/>
      <c r="J1412" s="1"/>
      <c r="K1412" s="1"/>
      <c r="L1412" s="12">
        <f t="shared" si="226"/>
        <v>17304.99984</v>
      </c>
      <c r="M1412" s="12"/>
      <c r="N1412" s="15"/>
      <c r="O1412" s="1"/>
      <c r="Q1412" s="12"/>
      <c r="R1412" s="1"/>
    </row>
    <row r="1413" ht="12.75" hidden="1" customHeight="1" outlineLevel="1">
      <c r="A1413" s="122">
        <f t="shared" si="227"/>
        <v>42734</v>
      </c>
      <c r="B1413" s="120">
        <v>740228.38</v>
      </c>
      <c r="C1413" s="19">
        <f t="shared" si="225"/>
        <v>-0.006804803435</v>
      </c>
      <c r="D1413" s="19">
        <f t="shared" si="224"/>
        <v>0.02108750395</v>
      </c>
      <c r="E1413" s="12"/>
      <c r="F1413" s="7"/>
      <c r="G1413" s="7"/>
      <c r="H1413" s="1"/>
      <c r="I1413" s="1"/>
      <c r="J1413" s="1"/>
      <c r="K1413" s="1"/>
      <c r="L1413" s="12">
        <f t="shared" si="226"/>
        <v>17187.24272</v>
      </c>
      <c r="M1413" s="12"/>
      <c r="N1413" s="15"/>
      <c r="O1413" s="1"/>
      <c r="Q1413" s="12"/>
      <c r="R1413" s="1"/>
    </row>
    <row r="1414" ht="12.75" hidden="1" customHeight="1" outlineLevel="1">
      <c r="A1414" s="122">
        <f t="shared" si="227"/>
        <v>42735</v>
      </c>
      <c r="B1414" s="120">
        <f>B1413</f>
        <v>740228.38</v>
      </c>
      <c r="C1414" s="19">
        <f t="shared" si="225"/>
        <v>0</v>
      </c>
      <c r="D1414" s="19">
        <f t="shared" si="224"/>
        <v>0.02108750395</v>
      </c>
      <c r="E1414" s="12"/>
      <c r="F1414" s="7"/>
      <c r="G1414" s="7"/>
      <c r="H1414" s="1"/>
      <c r="I1414" s="1"/>
      <c r="J1414" s="1"/>
      <c r="K1414" s="1"/>
      <c r="L1414" s="12">
        <f t="shared" si="226"/>
        <v>17187.24272</v>
      </c>
      <c r="M1414" s="12"/>
      <c r="N1414" s="15"/>
      <c r="O1414" s="1"/>
      <c r="Q1414" s="12"/>
      <c r="R1414" s="1"/>
    </row>
    <row r="1415" ht="12.75" hidden="1" customHeight="1" outlineLevel="1">
      <c r="A1415" s="122"/>
      <c r="B1415" s="12"/>
      <c r="C1415" s="1"/>
      <c r="D1415" s="1"/>
      <c r="E1415" s="12"/>
      <c r="F1415" s="7"/>
      <c r="G1415" s="7"/>
      <c r="H1415" s="1"/>
      <c r="I1415" s="1"/>
      <c r="J1415" s="1"/>
      <c r="K1415" s="1"/>
      <c r="L1415" s="12"/>
      <c r="M1415" s="12"/>
      <c r="N1415" s="15"/>
      <c r="O1415" s="1"/>
      <c r="Q1415" s="12"/>
      <c r="R1415" s="1"/>
    </row>
    <row r="1416" ht="12.75" hidden="1" customHeight="1" outlineLevel="1">
      <c r="A1416" s="122"/>
      <c r="B1416" s="12">
        <f>B1414</f>
        <v>740228.38</v>
      </c>
      <c r="C1416" s="19"/>
      <c r="D1416" s="19">
        <f t="shared" ref="D1416:D1447" si="228">(B1416/$B$1416)-1</f>
        <v>0</v>
      </c>
      <c r="E1416" s="12"/>
      <c r="F1416" s="7"/>
      <c r="G1416" s="7"/>
      <c r="H1416" s="1"/>
      <c r="I1416" s="1"/>
      <c r="J1416" s="1"/>
      <c r="K1416" s="1"/>
      <c r="L1416" s="12"/>
      <c r="M1416" s="12"/>
      <c r="N1416" s="15"/>
      <c r="O1416" s="1"/>
      <c r="Q1416" s="12"/>
      <c r="R1416" s="1"/>
    </row>
    <row r="1417" ht="12.75" hidden="1" customHeight="1" outlineLevel="1">
      <c r="A1417" s="122">
        <f>A1414+1</f>
        <v>42736</v>
      </c>
      <c r="B1417" s="12">
        <f t="shared" ref="B1417:B1418" si="229">B1416</f>
        <v>740228.38</v>
      </c>
      <c r="C1417" s="19">
        <f t="shared" ref="C1417:C1447" si="230">(B1417/B1416)-1</f>
        <v>0</v>
      </c>
      <c r="D1417" s="19">
        <f t="shared" si="228"/>
        <v>0</v>
      </c>
      <c r="E1417" s="12"/>
      <c r="F1417" s="7"/>
      <c r="G1417" s="7"/>
      <c r="H1417" s="1"/>
      <c r="I1417" s="1"/>
      <c r="J1417" s="1"/>
      <c r="K1417" s="1"/>
      <c r="L1417" s="12">
        <f t="shared" ref="L1417:L1447" si="231">IF(C1416="",L1414*(1+C1417),L1416*(1+C1417))</f>
        <v>17187.24272</v>
      </c>
      <c r="M1417" s="12"/>
      <c r="N1417" s="15"/>
      <c r="O1417" s="1"/>
      <c r="Q1417" s="12"/>
      <c r="R1417" s="1"/>
    </row>
    <row r="1418" ht="12.75" hidden="1" customHeight="1" outlineLevel="1">
      <c r="A1418" s="122">
        <f t="shared" ref="A1418:A1447" si="232">A1417+1</f>
        <v>42737</v>
      </c>
      <c r="B1418" s="12">
        <f t="shared" si="229"/>
        <v>740228.38</v>
      </c>
      <c r="C1418" s="19">
        <f t="shared" si="230"/>
        <v>0</v>
      </c>
      <c r="D1418" s="19">
        <f t="shared" si="228"/>
        <v>0</v>
      </c>
      <c r="E1418" s="12"/>
      <c r="F1418" s="7"/>
      <c r="G1418" s="7"/>
      <c r="H1418" s="1"/>
      <c r="I1418" s="1"/>
      <c r="J1418" s="1"/>
      <c r="K1418" s="1"/>
      <c r="L1418" s="12">
        <f t="shared" si="231"/>
        <v>17187.24272</v>
      </c>
      <c r="M1418" s="12"/>
      <c r="N1418" s="15"/>
      <c r="O1418" s="1"/>
      <c r="Q1418" s="12"/>
      <c r="R1418" s="1"/>
    </row>
    <row r="1419" ht="12.75" hidden="1" customHeight="1" outlineLevel="1">
      <c r="A1419" s="122">
        <f t="shared" si="232"/>
        <v>42738</v>
      </c>
      <c r="B1419" s="120">
        <v>746800.0</v>
      </c>
      <c r="C1419" s="19">
        <f t="shared" si="230"/>
        <v>0.008877827678</v>
      </c>
      <c r="D1419" s="19">
        <f t="shared" si="228"/>
        <v>0.008877827678</v>
      </c>
      <c r="E1419" s="12"/>
      <c r="F1419" s="7"/>
      <c r="G1419" s="7"/>
      <c r="H1419" s="1"/>
      <c r="I1419" s="1"/>
      <c r="J1419" s="1"/>
      <c r="K1419" s="1"/>
      <c r="L1419" s="12">
        <f t="shared" si="231"/>
        <v>17339.8281</v>
      </c>
      <c r="M1419" s="12"/>
      <c r="N1419" s="15"/>
      <c r="O1419" s="1"/>
      <c r="Q1419" s="12"/>
      <c r="R1419" s="1"/>
    </row>
    <row r="1420" ht="12.75" hidden="1" customHeight="1" outlineLevel="1">
      <c r="A1420" s="122">
        <f t="shared" si="232"/>
        <v>42739</v>
      </c>
      <c r="B1420" s="120">
        <v>753767.05</v>
      </c>
      <c r="C1420" s="19">
        <f t="shared" si="230"/>
        <v>0.009329204606</v>
      </c>
      <c r="D1420" s="19">
        <f t="shared" si="228"/>
        <v>0.01828985536</v>
      </c>
      <c r="E1420" s="12"/>
      <c r="F1420" s="7"/>
      <c r="G1420" s="7"/>
      <c r="H1420" s="1"/>
      <c r="I1420" s="1"/>
      <c r="J1420" s="1"/>
      <c r="K1420" s="1"/>
      <c r="L1420" s="12">
        <f t="shared" si="231"/>
        <v>17501.5949</v>
      </c>
      <c r="M1420" s="12"/>
      <c r="N1420" s="15"/>
      <c r="O1420" s="1"/>
      <c r="Q1420" s="12"/>
      <c r="R1420" s="1"/>
    </row>
    <row r="1421" ht="12.75" hidden="1" customHeight="1" outlineLevel="1">
      <c r="A1421" s="122">
        <f t="shared" si="232"/>
        <v>42740</v>
      </c>
      <c r="B1421" s="120">
        <v>753000.0</v>
      </c>
      <c r="C1421" s="19">
        <f t="shared" si="230"/>
        <v>-0.001017622089</v>
      </c>
      <c r="D1421" s="19">
        <f t="shared" si="228"/>
        <v>0.01725362111</v>
      </c>
      <c r="E1421" s="12"/>
      <c r="F1421" s="7"/>
      <c r="G1421" s="7"/>
      <c r="H1421" s="1"/>
      <c r="I1421" s="1"/>
      <c r="J1421" s="1"/>
      <c r="K1421" s="1"/>
      <c r="L1421" s="12">
        <f t="shared" si="231"/>
        <v>17483.78489</v>
      </c>
      <c r="M1421" s="12"/>
      <c r="N1421" s="15"/>
      <c r="O1421" s="1"/>
      <c r="Q1421" s="12"/>
      <c r="R1421" s="1"/>
    </row>
    <row r="1422" ht="12.75" hidden="1" customHeight="1" outlineLevel="1">
      <c r="A1422" s="122">
        <f t="shared" si="232"/>
        <v>42741</v>
      </c>
      <c r="B1422" s="120">
        <v>755300.0</v>
      </c>
      <c r="C1422" s="19">
        <f t="shared" si="230"/>
        <v>0.003054448871</v>
      </c>
      <c r="D1422" s="19">
        <f t="shared" si="228"/>
        <v>0.02036077028</v>
      </c>
      <c r="E1422" s="12"/>
      <c r="F1422" s="7"/>
      <c r="G1422" s="7"/>
      <c r="H1422" s="1"/>
      <c r="I1422" s="1"/>
      <c r="J1422" s="1"/>
      <c r="K1422" s="1"/>
      <c r="L1422" s="12">
        <f t="shared" si="231"/>
        <v>17537.18822</v>
      </c>
      <c r="M1422" s="12"/>
      <c r="N1422" s="15"/>
      <c r="O1422" s="1"/>
      <c r="Q1422" s="12"/>
      <c r="R1422" s="1"/>
    </row>
    <row r="1423" ht="12.75" hidden="1" customHeight="1" outlineLevel="1">
      <c r="A1423" s="122">
        <f t="shared" si="232"/>
        <v>42742</v>
      </c>
      <c r="B1423" s="120">
        <v>755300.0</v>
      </c>
      <c r="C1423" s="19">
        <f t="shared" si="230"/>
        <v>0</v>
      </c>
      <c r="D1423" s="19">
        <f t="shared" si="228"/>
        <v>0.02036077028</v>
      </c>
      <c r="E1423" s="12"/>
      <c r="F1423" s="7"/>
      <c r="G1423" s="7"/>
      <c r="H1423" s="1"/>
      <c r="I1423" s="1"/>
      <c r="J1423" s="1"/>
      <c r="K1423" s="1"/>
      <c r="L1423" s="12">
        <f t="shared" si="231"/>
        <v>17537.18822</v>
      </c>
      <c r="M1423" s="12"/>
      <c r="N1423" s="15"/>
      <c r="O1423" s="1"/>
      <c r="Q1423" s="12"/>
      <c r="R1423" s="1"/>
    </row>
    <row r="1424" ht="12.75" hidden="1" customHeight="1" outlineLevel="1">
      <c r="A1424" s="122">
        <f t="shared" si="232"/>
        <v>42743</v>
      </c>
      <c r="B1424" s="120">
        <v>755300.0</v>
      </c>
      <c r="C1424" s="19">
        <f t="shared" si="230"/>
        <v>0</v>
      </c>
      <c r="D1424" s="19">
        <f t="shared" si="228"/>
        <v>0.02036077028</v>
      </c>
      <c r="E1424" s="12"/>
      <c r="F1424" s="7"/>
      <c r="G1424" s="7"/>
      <c r="H1424" s="1"/>
      <c r="I1424" s="1"/>
      <c r="J1424" s="1"/>
      <c r="K1424" s="1"/>
      <c r="L1424" s="12">
        <f t="shared" si="231"/>
        <v>17537.18822</v>
      </c>
      <c r="M1424" s="12"/>
      <c r="N1424" s="15"/>
      <c r="O1424" s="1"/>
      <c r="Q1424" s="12"/>
      <c r="R1424" s="1"/>
    </row>
    <row r="1425" ht="12.75" hidden="1" customHeight="1" outlineLevel="1">
      <c r="A1425" s="122">
        <f t="shared" si="232"/>
        <v>42744</v>
      </c>
      <c r="B1425" s="120">
        <v>752300.0</v>
      </c>
      <c r="C1425" s="19">
        <f t="shared" si="230"/>
        <v>-0.003971931683</v>
      </c>
      <c r="D1425" s="19">
        <f t="shared" si="228"/>
        <v>0.01630796701</v>
      </c>
      <c r="E1425" s="12"/>
      <c r="F1425" s="7"/>
      <c r="G1425" s="7"/>
      <c r="H1425" s="1"/>
      <c r="I1425" s="1"/>
      <c r="J1425" s="1"/>
      <c r="K1425" s="1"/>
      <c r="L1425" s="12">
        <f t="shared" si="231"/>
        <v>17467.5317</v>
      </c>
      <c r="M1425" s="12"/>
      <c r="N1425" s="15"/>
      <c r="O1425" s="1"/>
      <c r="Q1425" s="12"/>
      <c r="R1425" s="1"/>
    </row>
    <row r="1426" ht="12.75" hidden="1" customHeight="1" outlineLevel="1">
      <c r="A1426" s="122">
        <f t="shared" si="232"/>
        <v>42745</v>
      </c>
      <c r="B1426" s="120">
        <v>753200.0</v>
      </c>
      <c r="C1426" s="19">
        <f t="shared" si="230"/>
        <v>0.001196331251</v>
      </c>
      <c r="D1426" s="19">
        <f t="shared" si="228"/>
        <v>0.01752380799</v>
      </c>
      <c r="E1426" s="12"/>
      <c r="F1426" s="7"/>
      <c r="G1426" s="7"/>
      <c r="H1426" s="1"/>
      <c r="I1426" s="1"/>
      <c r="J1426" s="1"/>
      <c r="K1426" s="1"/>
      <c r="L1426" s="12">
        <f t="shared" si="231"/>
        <v>17488.42866</v>
      </c>
      <c r="M1426" s="12"/>
      <c r="N1426" s="15"/>
      <c r="O1426" s="1"/>
      <c r="Q1426" s="12"/>
      <c r="R1426" s="1"/>
    </row>
    <row r="1427" ht="12.75" hidden="1" customHeight="1" outlineLevel="1">
      <c r="A1427" s="122">
        <f t="shared" si="232"/>
        <v>42746</v>
      </c>
      <c r="B1427" s="120">
        <v>754700.0</v>
      </c>
      <c r="C1427" s="19">
        <f t="shared" si="230"/>
        <v>0.001991502921</v>
      </c>
      <c r="D1427" s="19">
        <f t="shared" si="228"/>
        <v>0.01955020963</v>
      </c>
      <c r="E1427" s="12"/>
      <c r="F1427" s="7"/>
      <c r="G1427" s="7"/>
      <c r="H1427" s="1"/>
      <c r="I1427" s="1"/>
      <c r="J1427" s="1"/>
      <c r="K1427" s="1"/>
      <c r="L1427" s="12">
        <f t="shared" si="231"/>
        <v>17523.25691</v>
      </c>
      <c r="M1427" s="12"/>
      <c r="N1427" s="15"/>
      <c r="O1427" s="1"/>
      <c r="Q1427" s="12"/>
      <c r="R1427" s="1"/>
    </row>
    <row r="1428" ht="12.75" hidden="1" customHeight="1" outlineLevel="1">
      <c r="A1428" s="122">
        <f t="shared" si="232"/>
        <v>42747</v>
      </c>
      <c r="B1428" s="120">
        <v>751614.6000000001</v>
      </c>
      <c r="C1428" s="19">
        <f t="shared" si="230"/>
        <v>-0.004088246986</v>
      </c>
      <c r="D1428" s="19">
        <f t="shared" si="228"/>
        <v>0.01538203655</v>
      </c>
      <c r="E1428" s="12"/>
      <c r="F1428" s="7"/>
      <c r="G1428" s="7"/>
      <c r="H1428" s="1"/>
      <c r="I1428" s="1"/>
      <c r="J1428" s="1"/>
      <c r="K1428" s="1"/>
      <c r="L1428" s="12">
        <f t="shared" si="231"/>
        <v>17451.61751</v>
      </c>
      <c r="M1428" s="12"/>
      <c r="N1428" s="15"/>
      <c r="O1428" s="1"/>
      <c r="Q1428" s="12"/>
      <c r="R1428" s="1"/>
    </row>
    <row r="1429" ht="12.75" hidden="1" customHeight="1" outlineLevel="1">
      <c r="A1429" s="122">
        <f t="shared" si="232"/>
        <v>42748</v>
      </c>
      <c r="B1429" s="120">
        <v>755600.0</v>
      </c>
      <c r="C1429" s="19">
        <f t="shared" si="230"/>
        <v>0.005302451549</v>
      </c>
      <c r="D1429" s="19">
        <f t="shared" si="228"/>
        <v>0.02076605061</v>
      </c>
      <c r="E1429" s="12"/>
      <c r="F1429" s="7"/>
      <c r="G1429" s="7"/>
      <c r="H1429" s="1"/>
      <c r="I1429" s="1"/>
      <c r="J1429" s="1"/>
      <c r="K1429" s="1"/>
      <c r="L1429" s="12">
        <f t="shared" si="231"/>
        <v>17544.15387</v>
      </c>
      <c r="M1429" s="12"/>
      <c r="N1429" s="15"/>
      <c r="O1429" s="1"/>
      <c r="Q1429" s="12"/>
      <c r="R1429" s="1"/>
    </row>
    <row r="1430" ht="12.75" hidden="1" customHeight="1" outlineLevel="1">
      <c r="A1430" s="122">
        <f t="shared" si="232"/>
        <v>42749</v>
      </c>
      <c r="B1430" s="120">
        <v>755600.0</v>
      </c>
      <c r="C1430" s="19">
        <f t="shared" si="230"/>
        <v>0</v>
      </c>
      <c r="D1430" s="19">
        <f t="shared" si="228"/>
        <v>0.02076605061</v>
      </c>
      <c r="E1430" s="12"/>
      <c r="F1430" s="7"/>
      <c r="G1430" s="7"/>
      <c r="H1430" s="1"/>
      <c r="I1430" s="1"/>
      <c r="J1430" s="1"/>
      <c r="K1430" s="1"/>
      <c r="L1430" s="12">
        <f t="shared" si="231"/>
        <v>17544.15387</v>
      </c>
      <c r="M1430" s="12"/>
      <c r="N1430" s="15"/>
      <c r="O1430" s="1"/>
      <c r="Q1430" s="12"/>
      <c r="R1430" s="1"/>
    </row>
    <row r="1431" ht="12.75" hidden="1" customHeight="1" outlineLevel="1">
      <c r="A1431" s="122">
        <f t="shared" si="232"/>
        <v>42750</v>
      </c>
      <c r="B1431" s="120">
        <v>755600.0</v>
      </c>
      <c r="C1431" s="19">
        <f t="shared" si="230"/>
        <v>0</v>
      </c>
      <c r="D1431" s="19">
        <f t="shared" si="228"/>
        <v>0.02076605061</v>
      </c>
      <c r="E1431" s="12"/>
      <c r="F1431" s="7"/>
      <c r="G1431" s="7"/>
      <c r="H1431" s="1"/>
      <c r="I1431" s="1"/>
      <c r="J1431" s="1"/>
      <c r="K1431" s="1"/>
      <c r="L1431" s="12">
        <f t="shared" si="231"/>
        <v>17544.15387</v>
      </c>
      <c r="M1431" s="12"/>
      <c r="N1431" s="15"/>
      <c r="O1431" s="1"/>
      <c r="Q1431" s="12"/>
      <c r="R1431" s="1"/>
    </row>
    <row r="1432" ht="12.75" hidden="1" customHeight="1" outlineLevel="1">
      <c r="A1432" s="122">
        <f t="shared" si="232"/>
        <v>42751</v>
      </c>
      <c r="B1432" s="120">
        <v>755600.0</v>
      </c>
      <c r="C1432" s="19">
        <f t="shared" si="230"/>
        <v>0</v>
      </c>
      <c r="D1432" s="19">
        <f t="shared" si="228"/>
        <v>0.02076605061</v>
      </c>
      <c r="E1432" s="12"/>
      <c r="F1432" s="7"/>
      <c r="G1432" s="7"/>
      <c r="H1432" s="1"/>
      <c r="I1432" s="1"/>
      <c r="J1432" s="1"/>
      <c r="K1432" s="1"/>
      <c r="L1432" s="12">
        <f t="shared" si="231"/>
        <v>17544.15387</v>
      </c>
      <c r="M1432" s="12"/>
      <c r="N1432" s="15"/>
      <c r="O1432" s="1"/>
      <c r="Q1432" s="12"/>
      <c r="R1432" s="1"/>
    </row>
    <row r="1433" ht="12.75" hidden="1" customHeight="1" outlineLevel="1">
      <c r="A1433" s="122">
        <f t="shared" si="232"/>
        <v>42752</v>
      </c>
      <c r="B1433" s="120">
        <v>750400.0</v>
      </c>
      <c r="C1433" s="19">
        <f t="shared" si="230"/>
        <v>-0.006881948121</v>
      </c>
      <c r="D1433" s="19">
        <f t="shared" si="228"/>
        <v>0.0137411916</v>
      </c>
      <c r="E1433" s="12"/>
      <c r="F1433" s="7"/>
      <c r="G1433" s="7"/>
      <c r="H1433" s="1"/>
      <c r="I1433" s="1"/>
      <c r="J1433" s="1"/>
      <c r="K1433" s="1"/>
      <c r="L1433" s="12">
        <f t="shared" si="231"/>
        <v>17423.41591</v>
      </c>
      <c r="M1433" s="12"/>
      <c r="N1433" s="15"/>
      <c r="O1433" s="1"/>
      <c r="Q1433" s="12"/>
      <c r="R1433" s="1"/>
    </row>
    <row r="1434" ht="12.75" hidden="1" customHeight="1" outlineLevel="1">
      <c r="A1434" s="122">
        <f t="shared" si="232"/>
        <v>42753</v>
      </c>
      <c r="B1434" s="120">
        <v>755000.0</v>
      </c>
      <c r="C1434" s="19">
        <f t="shared" si="230"/>
        <v>0.006130063966</v>
      </c>
      <c r="D1434" s="19">
        <f t="shared" si="228"/>
        <v>0.01995548995</v>
      </c>
      <c r="E1434" s="12"/>
      <c r="F1434" s="7"/>
      <c r="G1434" s="7"/>
      <c r="H1434" s="1"/>
      <c r="I1434" s="1"/>
      <c r="J1434" s="1"/>
      <c r="K1434" s="1"/>
      <c r="L1434" s="12">
        <f t="shared" si="231"/>
        <v>17530.22257</v>
      </c>
      <c r="M1434" s="12"/>
      <c r="N1434" s="15"/>
      <c r="O1434" s="1"/>
      <c r="Q1434" s="12"/>
      <c r="R1434" s="1"/>
    </row>
    <row r="1435" ht="12.75" hidden="1" customHeight="1" outlineLevel="1">
      <c r="A1435" s="122">
        <f t="shared" si="232"/>
        <v>42754</v>
      </c>
      <c r="B1435" s="120">
        <v>746600.0</v>
      </c>
      <c r="C1435" s="19">
        <f t="shared" si="230"/>
        <v>-0.01112582781</v>
      </c>
      <c r="D1435" s="19">
        <f t="shared" si="228"/>
        <v>0.008607640793</v>
      </c>
      <c r="E1435" s="12"/>
      <c r="F1435" s="7"/>
      <c r="G1435" s="7"/>
      <c r="H1435" s="1"/>
      <c r="I1435" s="1"/>
      <c r="J1435" s="1"/>
      <c r="K1435" s="1"/>
      <c r="L1435" s="12">
        <f t="shared" si="231"/>
        <v>17335.18433</v>
      </c>
      <c r="M1435" s="12"/>
      <c r="N1435" s="15"/>
      <c r="O1435" s="1"/>
      <c r="Q1435" s="12"/>
      <c r="R1435" s="1"/>
    </row>
    <row r="1436" ht="12.75" hidden="1" customHeight="1" outlineLevel="1">
      <c r="A1436" s="122">
        <f t="shared" si="232"/>
        <v>42755</v>
      </c>
      <c r="B1436" s="120">
        <v>750200.0</v>
      </c>
      <c r="C1436" s="19">
        <f t="shared" si="230"/>
        <v>0.004821859095</v>
      </c>
      <c r="D1436" s="19">
        <f t="shared" si="228"/>
        <v>0.01347100472</v>
      </c>
      <c r="E1436" s="12"/>
      <c r="F1436" s="7"/>
      <c r="G1436" s="7"/>
      <c r="H1436" s="1"/>
      <c r="I1436" s="1"/>
      <c r="J1436" s="1"/>
      <c r="K1436" s="1"/>
      <c r="L1436" s="12">
        <f t="shared" si="231"/>
        <v>17418.77214</v>
      </c>
      <c r="M1436" s="12"/>
      <c r="N1436" s="15"/>
      <c r="O1436" s="1"/>
      <c r="Q1436" s="12"/>
      <c r="R1436" s="1"/>
    </row>
    <row r="1437" ht="12.75" hidden="1" customHeight="1" outlineLevel="1">
      <c r="A1437" s="122">
        <f t="shared" si="232"/>
        <v>42756</v>
      </c>
      <c r="B1437" s="120">
        <v>750200.0</v>
      </c>
      <c r="C1437" s="19">
        <f t="shared" si="230"/>
        <v>0</v>
      </c>
      <c r="D1437" s="19">
        <f t="shared" si="228"/>
        <v>0.01347100472</v>
      </c>
      <c r="E1437" s="12"/>
      <c r="F1437" s="7"/>
      <c r="G1437" s="7"/>
      <c r="H1437" s="1"/>
      <c r="I1437" s="1"/>
      <c r="J1437" s="1"/>
      <c r="K1437" s="1"/>
      <c r="L1437" s="12">
        <f t="shared" si="231"/>
        <v>17418.77214</v>
      </c>
      <c r="M1437" s="12"/>
      <c r="N1437" s="15"/>
      <c r="O1437" s="1"/>
      <c r="Q1437" s="12"/>
      <c r="R1437" s="1"/>
    </row>
    <row r="1438" ht="12.75" hidden="1" customHeight="1" outlineLevel="1">
      <c r="A1438" s="122">
        <f t="shared" si="232"/>
        <v>42757</v>
      </c>
      <c r="B1438" s="120">
        <v>750200.0</v>
      </c>
      <c r="C1438" s="19">
        <f t="shared" si="230"/>
        <v>0</v>
      </c>
      <c r="D1438" s="19">
        <f t="shared" si="228"/>
        <v>0.01347100472</v>
      </c>
      <c r="E1438" s="12"/>
      <c r="F1438" s="7"/>
      <c r="G1438" s="7"/>
      <c r="H1438" s="1"/>
      <c r="I1438" s="1"/>
      <c r="J1438" s="1"/>
      <c r="K1438" s="1"/>
      <c r="L1438" s="12">
        <f t="shared" si="231"/>
        <v>17418.77214</v>
      </c>
      <c r="M1438" s="12"/>
      <c r="N1438" s="15"/>
      <c r="O1438" s="1"/>
      <c r="Q1438" s="12"/>
      <c r="R1438" s="1"/>
    </row>
    <row r="1439" ht="12.75" hidden="1" customHeight="1" outlineLevel="1">
      <c r="A1439" s="122">
        <f t="shared" si="232"/>
        <v>42758</v>
      </c>
      <c r="B1439" s="120">
        <v>751213.3000000003</v>
      </c>
      <c r="C1439" s="19">
        <f t="shared" si="230"/>
        <v>0.001350706478</v>
      </c>
      <c r="D1439" s="19">
        <f t="shared" si="228"/>
        <v>0.01483990657</v>
      </c>
      <c r="E1439" s="12"/>
      <c r="F1439" s="7"/>
      <c r="G1439" s="7"/>
      <c r="H1439" s="1"/>
      <c r="I1439" s="1"/>
      <c r="J1439" s="1"/>
      <c r="K1439" s="1"/>
      <c r="L1439" s="12">
        <f t="shared" si="231"/>
        <v>17442.29979</v>
      </c>
      <c r="M1439" s="12"/>
      <c r="N1439" s="15"/>
      <c r="O1439" s="1"/>
      <c r="Q1439" s="12"/>
      <c r="R1439" s="1"/>
    </row>
    <row r="1440" ht="12.75" hidden="1" customHeight="1" outlineLevel="1">
      <c r="A1440" s="122">
        <f t="shared" si="232"/>
        <v>42759</v>
      </c>
      <c r="B1440" s="120">
        <v>762000.0</v>
      </c>
      <c r="C1440" s="19">
        <f t="shared" si="230"/>
        <v>0.01435903757</v>
      </c>
      <c r="D1440" s="19">
        <f t="shared" si="228"/>
        <v>0.02941203092</v>
      </c>
      <c r="E1440" s="12"/>
      <c r="F1440" s="7"/>
      <c r="G1440" s="7"/>
      <c r="H1440" s="1"/>
      <c r="I1440" s="1"/>
      <c r="J1440" s="1"/>
      <c r="K1440" s="1"/>
      <c r="L1440" s="12">
        <f t="shared" si="231"/>
        <v>17692.75443</v>
      </c>
      <c r="M1440" s="12"/>
      <c r="N1440" s="15"/>
      <c r="O1440" s="1"/>
      <c r="Q1440" s="12"/>
      <c r="R1440" s="1"/>
    </row>
    <row r="1441" ht="12.75" hidden="1" customHeight="1" outlineLevel="1">
      <c r="A1441" s="122">
        <f t="shared" si="232"/>
        <v>42760</v>
      </c>
      <c r="B1441" s="120">
        <v>773500.0</v>
      </c>
      <c r="C1441" s="19">
        <f t="shared" si="230"/>
        <v>0.01509186352</v>
      </c>
      <c r="D1441" s="19">
        <f t="shared" si="228"/>
        <v>0.04494777679</v>
      </c>
      <c r="E1441" s="12"/>
      <c r="F1441" s="7"/>
      <c r="G1441" s="7"/>
      <c r="H1441" s="1"/>
      <c r="I1441" s="1"/>
      <c r="J1441" s="1"/>
      <c r="K1441" s="1"/>
      <c r="L1441" s="12">
        <f t="shared" si="231"/>
        <v>17959.77107</v>
      </c>
      <c r="M1441" s="12"/>
      <c r="N1441" s="15"/>
      <c r="O1441" s="1"/>
      <c r="Q1441" s="12"/>
      <c r="R1441" s="1"/>
    </row>
    <row r="1442" ht="12.75" hidden="1" customHeight="1" outlineLevel="1">
      <c r="A1442" s="122">
        <f t="shared" si="232"/>
        <v>42761</v>
      </c>
      <c r="B1442" s="120">
        <v>777800.0</v>
      </c>
      <c r="C1442" s="19">
        <f t="shared" si="230"/>
        <v>0.005559146736</v>
      </c>
      <c r="D1442" s="19">
        <f t="shared" si="228"/>
        <v>0.05075679482</v>
      </c>
      <c r="E1442" s="12"/>
      <c r="F1442" s="7"/>
      <c r="G1442" s="7"/>
      <c r="H1442" s="1"/>
      <c r="I1442" s="1"/>
      <c r="J1442" s="1"/>
      <c r="K1442" s="1"/>
      <c r="L1442" s="12">
        <f t="shared" si="231"/>
        <v>18059.61207</v>
      </c>
      <c r="M1442" s="12"/>
      <c r="N1442" s="15"/>
      <c r="O1442" s="1"/>
      <c r="Q1442" s="12"/>
      <c r="R1442" s="1"/>
    </row>
    <row r="1443" ht="12.75" hidden="1" customHeight="1" outlineLevel="1">
      <c r="A1443" s="122">
        <f t="shared" si="232"/>
        <v>42762</v>
      </c>
      <c r="B1443" s="120">
        <v>777000.0</v>
      </c>
      <c r="C1443" s="19">
        <f t="shared" si="230"/>
        <v>-0.001028542042</v>
      </c>
      <c r="D1443" s="19">
        <f t="shared" si="228"/>
        <v>0.04967604728</v>
      </c>
      <c r="E1443" s="12"/>
      <c r="F1443" s="7"/>
      <c r="G1443" s="7"/>
      <c r="H1443" s="1"/>
      <c r="I1443" s="1"/>
      <c r="J1443" s="1"/>
      <c r="K1443" s="1"/>
      <c r="L1443" s="12">
        <f t="shared" si="231"/>
        <v>18041.037</v>
      </c>
      <c r="M1443" s="12"/>
      <c r="N1443" s="15"/>
      <c r="O1443" s="1"/>
      <c r="Q1443" s="12"/>
      <c r="R1443" s="1"/>
    </row>
    <row r="1444" ht="12.75" hidden="1" customHeight="1" outlineLevel="1">
      <c r="A1444" s="122">
        <f t="shared" si="232"/>
        <v>42763</v>
      </c>
      <c r="B1444" s="120">
        <v>777000.0</v>
      </c>
      <c r="C1444" s="19">
        <f t="shared" si="230"/>
        <v>0</v>
      </c>
      <c r="D1444" s="19">
        <f t="shared" si="228"/>
        <v>0.04967604728</v>
      </c>
      <c r="E1444" s="12"/>
      <c r="F1444" s="7"/>
      <c r="G1444" s="7"/>
      <c r="H1444" s="1"/>
      <c r="I1444" s="1"/>
      <c r="J1444" s="1"/>
      <c r="K1444" s="1"/>
      <c r="L1444" s="12">
        <f t="shared" si="231"/>
        <v>18041.037</v>
      </c>
      <c r="M1444" s="12"/>
      <c r="N1444" s="15"/>
      <c r="O1444" s="1"/>
      <c r="Q1444" s="12"/>
      <c r="R1444" s="1"/>
    </row>
    <row r="1445" ht="12.75" hidden="1" customHeight="1" outlineLevel="1">
      <c r="A1445" s="122">
        <f t="shared" si="232"/>
        <v>42764</v>
      </c>
      <c r="B1445" s="120">
        <v>777000.0</v>
      </c>
      <c r="C1445" s="19">
        <f t="shared" si="230"/>
        <v>0</v>
      </c>
      <c r="D1445" s="19">
        <f t="shared" si="228"/>
        <v>0.04967604728</v>
      </c>
      <c r="E1445" s="12"/>
      <c r="F1445" s="7"/>
      <c r="G1445" s="7"/>
      <c r="H1445" s="1"/>
      <c r="I1445" s="1"/>
      <c r="J1445" s="1"/>
      <c r="K1445" s="1"/>
      <c r="L1445" s="12">
        <f t="shared" si="231"/>
        <v>18041.037</v>
      </c>
      <c r="M1445" s="12"/>
      <c r="N1445" s="15"/>
      <c r="O1445" s="1"/>
      <c r="Q1445" s="12"/>
      <c r="R1445" s="1"/>
    </row>
    <row r="1446" ht="12.75" hidden="1" customHeight="1" outlineLevel="1">
      <c r="A1446" s="122">
        <f t="shared" si="232"/>
        <v>42765</v>
      </c>
      <c r="B1446" s="120">
        <v>776900.0</v>
      </c>
      <c r="C1446" s="19">
        <f t="shared" si="230"/>
        <v>-0.0001287001287</v>
      </c>
      <c r="D1446" s="19">
        <f t="shared" si="228"/>
        <v>0.04954095383</v>
      </c>
      <c r="E1446" s="12"/>
      <c r="F1446" s="7"/>
      <c r="G1446" s="7"/>
      <c r="H1446" s="1"/>
      <c r="I1446" s="1"/>
      <c r="J1446" s="1"/>
      <c r="K1446" s="1"/>
      <c r="L1446" s="12">
        <f t="shared" si="231"/>
        <v>18038.71511</v>
      </c>
      <c r="M1446" s="12"/>
      <c r="N1446" s="15"/>
      <c r="O1446" s="1"/>
      <c r="Q1446" s="12"/>
      <c r="R1446" s="1"/>
    </row>
    <row r="1447" ht="12.75" hidden="1" customHeight="1" outlineLevel="1">
      <c r="A1447" s="122">
        <f t="shared" si="232"/>
        <v>42766</v>
      </c>
      <c r="B1447" s="120">
        <v>777278.38</v>
      </c>
      <c r="C1447" s="19">
        <f t="shared" si="230"/>
        <v>0.0004870382289</v>
      </c>
      <c r="D1447" s="19">
        <f t="shared" si="228"/>
        <v>0.0500521204</v>
      </c>
      <c r="E1447" s="12"/>
      <c r="F1447" s="7"/>
      <c r="G1447" s="7"/>
      <c r="H1447" s="1"/>
      <c r="I1447" s="1"/>
      <c r="J1447" s="1"/>
      <c r="K1447" s="1"/>
      <c r="L1447" s="12">
        <f t="shared" si="231"/>
        <v>18047.50066</v>
      </c>
      <c r="M1447" s="12"/>
      <c r="N1447" s="15"/>
      <c r="O1447" s="1"/>
      <c r="Q1447" s="12"/>
      <c r="R1447" s="1"/>
    </row>
    <row r="1448" ht="12.75" hidden="1" customHeight="1" outlineLevel="1">
      <c r="A1448" s="122"/>
      <c r="B1448" s="12"/>
      <c r="C1448" s="1"/>
      <c r="D1448" s="1"/>
      <c r="E1448" s="12"/>
      <c r="F1448" s="7"/>
      <c r="G1448" s="7"/>
      <c r="H1448" s="1"/>
      <c r="I1448" s="1"/>
      <c r="J1448" s="1"/>
      <c r="K1448" s="1"/>
      <c r="L1448" s="12"/>
      <c r="M1448" s="12"/>
      <c r="N1448" s="15"/>
      <c r="O1448" s="1"/>
      <c r="Q1448" s="12"/>
      <c r="R1448" s="1"/>
    </row>
    <row r="1449" ht="12.75" hidden="1" customHeight="1" outlineLevel="1">
      <c r="A1449" s="122"/>
      <c r="B1449" s="12">
        <f>B1447</f>
        <v>777278.38</v>
      </c>
      <c r="C1449" s="19"/>
      <c r="D1449" s="19">
        <f t="shared" ref="D1449:D1477" si="233">(B1449/$B$1449)-1</f>
        <v>0</v>
      </c>
      <c r="E1449" s="12"/>
      <c r="F1449" s="7"/>
      <c r="G1449" s="7"/>
      <c r="H1449" s="1"/>
      <c r="I1449" s="1"/>
      <c r="J1449" s="1"/>
      <c r="K1449" s="1"/>
      <c r="L1449" s="12"/>
      <c r="M1449" s="12"/>
      <c r="N1449" s="15"/>
      <c r="O1449" s="1"/>
      <c r="Q1449" s="12"/>
      <c r="R1449" s="1"/>
    </row>
    <row r="1450" ht="12.75" hidden="1" customHeight="1" outlineLevel="1">
      <c r="A1450" s="122">
        <f>A1447+1</f>
        <v>42767</v>
      </c>
      <c r="B1450" s="120">
        <v>778000.0</v>
      </c>
      <c r="C1450" s="19">
        <f t="shared" ref="C1450:C1477" si="234">(B1450/B1449)-1</f>
        <v>0.0009283932482</v>
      </c>
      <c r="D1450" s="19">
        <f t="shared" si="233"/>
        <v>0.0009283932482</v>
      </c>
      <c r="E1450" s="12"/>
      <c r="F1450" s="7"/>
      <c r="G1450" s="7"/>
      <c r="H1450" s="1"/>
      <c r="I1450" s="1"/>
      <c r="J1450" s="1"/>
      <c r="K1450" s="1"/>
      <c r="L1450" s="12">
        <f t="shared" ref="L1450:L1477" si="235">IF(C1449="",L1447*(1+C1450),L1449*(1+C1450))</f>
        <v>18064.25584</v>
      </c>
      <c r="M1450" s="12"/>
      <c r="N1450" s="15"/>
      <c r="O1450" s="1"/>
      <c r="Q1450" s="12"/>
      <c r="R1450" s="1"/>
    </row>
    <row r="1451" ht="12.75" hidden="1" customHeight="1" outlineLevel="1">
      <c r="A1451" s="122">
        <f t="shared" ref="A1451:A1477" si="236">A1450+1</f>
        <v>42768</v>
      </c>
      <c r="B1451" s="120">
        <v>778000.0</v>
      </c>
      <c r="C1451" s="19">
        <f t="shared" si="234"/>
        <v>0</v>
      </c>
      <c r="D1451" s="19">
        <f t="shared" si="233"/>
        <v>0.0009283932482</v>
      </c>
      <c r="E1451" s="12"/>
      <c r="F1451" s="7"/>
      <c r="G1451" s="7"/>
      <c r="H1451" s="1"/>
      <c r="I1451" s="1"/>
      <c r="J1451" s="1"/>
      <c r="K1451" s="1"/>
      <c r="L1451" s="12">
        <f t="shared" si="235"/>
        <v>18064.25584</v>
      </c>
      <c r="M1451" s="12"/>
      <c r="N1451" s="15"/>
      <c r="O1451" s="1"/>
      <c r="Q1451" s="12"/>
      <c r="R1451" s="1"/>
    </row>
    <row r="1452" ht="12.75" hidden="1" customHeight="1" outlineLevel="1">
      <c r="A1452" s="122">
        <f t="shared" si="236"/>
        <v>42769</v>
      </c>
      <c r="B1452" s="120">
        <v>787000.0</v>
      </c>
      <c r="C1452" s="19">
        <f t="shared" si="234"/>
        <v>0.01156812339</v>
      </c>
      <c r="D1452" s="19">
        <f t="shared" si="233"/>
        <v>0.01250725641</v>
      </c>
      <c r="E1452" s="12"/>
      <c r="F1452" s="7"/>
      <c r="G1452" s="7"/>
      <c r="H1452" s="1"/>
      <c r="I1452" s="1"/>
      <c r="J1452" s="1"/>
      <c r="K1452" s="1"/>
      <c r="L1452" s="12">
        <f t="shared" si="235"/>
        <v>18273.22538</v>
      </c>
      <c r="M1452" s="12"/>
      <c r="N1452" s="15"/>
      <c r="O1452" s="1"/>
      <c r="Q1452" s="12"/>
      <c r="R1452" s="1"/>
    </row>
    <row r="1453" ht="12.75" hidden="1" customHeight="1" outlineLevel="1">
      <c r="A1453" s="122">
        <f t="shared" si="236"/>
        <v>42770</v>
      </c>
      <c r="B1453" s="120">
        <v>787000.0</v>
      </c>
      <c r="C1453" s="19">
        <f t="shared" si="234"/>
        <v>0</v>
      </c>
      <c r="D1453" s="19">
        <f t="shared" si="233"/>
        <v>0.01250725641</v>
      </c>
      <c r="E1453" s="12"/>
      <c r="F1453" s="7"/>
      <c r="G1453" s="7"/>
      <c r="H1453" s="1"/>
      <c r="I1453" s="1"/>
      <c r="J1453" s="1"/>
      <c r="K1453" s="1"/>
      <c r="L1453" s="12">
        <f t="shared" si="235"/>
        <v>18273.22538</v>
      </c>
      <c r="M1453" s="12"/>
      <c r="N1453" s="15"/>
      <c r="O1453" s="1"/>
      <c r="Q1453" s="12"/>
      <c r="R1453" s="1"/>
    </row>
    <row r="1454" ht="12.75" hidden="1" customHeight="1" outlineLevel="1">
      <c r="A1454" s="122">
        <f t="shared" si="236"/>
        <v>42771</v>
      </c>
      <c r="B1454" s="120">
        <v>787000.0</v>
      </c>
      <c r="C1454" s="19">
        <f t="shared" si="234"/>
        <v>0</v>
      </c>
      <c r="D1454" s="19">
        <f t="shared" si="233"/>
        <v>0.01250725641</v>
      </c>
      <c r="E1454" s="12"/>
      <c r="F1454" s="7"/>
      <c r="G1454" s="7"/>
      <c r="H1454" s="1"/>
      <c r="I1454" s="1"/>
      <c r="J1454" s="1"/>
      <c r="K1454" s="1"/>
      <c r="L1454" s="12">
        <f t="shared" si="235"/>
        <v>18273.22538</v>
      </c>
      <c r="M1454" s="12"/>
      <c r="N1454" s="15"/>
      <c r="O1454" s="1"/>
      <c r="Q1454" s="12"/>
      <c r="R1454" s="1"/>
    </row>
    <row r="1455" ht="12.75" hidden="1" customHeight="1" outlineLevel="1">
      <c r="A1455" s="122">
        <f t="shared" si="236"/>
        <v>42772</v>
      </c>
      <c r="B1455" s="120">
        <v>785400.0</v>
      </c>
      <c r="C1455" s="19">
        <f t="shared" si="234"/>
        <v>-0.002033036849</v>
      </c>
      <c r="D1455" s="19">
        <f t="shared" si="233"/>
        <v>0.01044879185</v>
      </c>
      <c r="E1455" s="12"/>
      <c r="F1455" s="7"/>
      <c r="G1455" s="7"/>
      <c r="H1455" s="1"/>
      <c r="I1455" s="1"/>
      <c r="J1455" s="1"/>
      <c r="K1455" s="1"/>
      <c r="L1455" s="12">
        <f t="shared" si="235"/>
        <v>18236.07524</v>
      </c>
      <c r="M1455" s="12"/>
      <c r="N1455" s="15"/>
      <c r="O1455" s="1"/>
      <c r="Q1455" s="12"/>
      <c r="R1455" s="1"/>
    </row>
    <row r="1456" ht="12.75" hidden="1" customHeight="1" outlineLevel="1">
      <c r="A1456" s="122">
        <f t="shared" si="236"/>
        <v>42773</v>
      </c>
      <c r="B1456" s="120">
        <v>782200.0</v>
      </c>
      <c r="C1456" s="19">
        <f t="shared" si="234"/>
        <v>-0.004074357016</v>
      </c>
      <c r="D1456" s="19">
        <f t="shared" si="233"/>
        <v>0.006331862723</v>
      </c>
      <c r="E1456" s="12"/>
      <c r="F1456" s="7"/>
      <c r="G1456" s="7"/>
      <c r="H1456" s="1"/>
      <c r="I1456" s="1"/>
      <c r="J1456" s="1"/>
      <c r="K1456" s="1"/>
      <c r="L1456" s="12">
        <f t="shared" si="235"/>
        <v>18161.77495</v>
      </c>
      <c r="M1456" s="12"/>
      <c r="N1456" s="15"/>
      <c r="O1456" s="1"/>
      <c r="Q1456" s="12"/>
      <c r="R1456" s="1"/>
    </row>
    <row r="1457" ht="12.75" hidden="1" customHeight="1" outlineLevel="1">
      <c r="A1457" s="122">
        <f t="shared" si="236"/>
        <v>42774</v>
      </c>
      <c r="B1457" s="120">
        <v>781700.0</v>
      </c>
      <c r="C1457" s="19">
        <f t="shared" si="234"/>
        <v>-0.0006392227052</v>
      </c>
      <c r="D1457" s="19">
        <f t="shared" si="233"/>
        <v>0.005688592548</v>
      </c>
      <c r="E1457" s="12"/>
      <c r="F1457" s="7"/>
      <c r="G1457" s="7"/>
      <c r="H1457" s="1"/>
      <c r="I1457" s="1"/>
      <c r="J1457" s="1"/>
      <c r="K1457" s="1"/>
      <c r="L1457" s="12">
        <f t="shared" si="235"/>
        <v>18150.16554</v>
      </c>
      <c r="M1457" s="12"/>
      <c r="N1457" s="15"/>
      <c r="O1457" s="1"/>
      <c r="Q1457" s="12"/>
      <c r="R1457" s="1"/>
    </row>
    <row r="1458" ht="12.75" hidden="1" customHeight="1" outlineLevel="1">
      <c r="A1458" s="122">
        <f t="shared" si="236"/>
        <v>42775</v>
      </c>
      <c r="B1458" s="120">
        <v>798500.0</v>
      </c>
      <c r="C1458" s="19">
        <f t="shared" si="234"/>
        <v>0.02149162083</v>
      </c>
      <c r="D1458" s="19">
        <f t="shared" si="233"/>
        <v>0.02730247045</v>
      </c>
      <c r="E1458" s="12"/>
      <c r="F1458" s="7"/>
      <c r="G1458" s="7"/>
      <c r="H1458" s="1"/>
      <c r="I1458" s="1"/>
      <c r="J1458" s="1"/>
      <c r="K1458" s="1"/>
      <c r="L1458" s="12">
        <f t="shared" si="235"/>
        <v>18540.24201</v>
      </c>
      <c r="M1458" s="12"/>
      <c r="N1458" s="15"/>
      <c r="O1458" s="1"/>
      <c r="Q1458" s="12"/>
      <c r="R1458" s="1"/>
    </row>
    <row r="1459" ht="12.75" hidden="1" customHeight="1" outlineLevel="1">
      <c r="A1459" s="122">
        <f t="shared" si="236"/>
        <v>42776</v>
      </c>
      <c r="B1459" s="120">
        <v>800700.0</v>
      </c>
      <c r="C1459" s="19">
        <f t="shared" si="234"/>
        <v>0.002755165936</v>
      </c>
      <c r="D1459" s="19">
        <f t="shared" si="233"/>
        <v>0.03013285922</v>
      </c>
      <c r="E1459" s="12"/>
      <c r="F1459" s="7"/>
      <c r="G1459" s="7"/>
      <c r="H1459" s="1"/>
      <c r="I1459" s="1"/>
      <c r="J1459" s="1"/>
      <c r="K1459" s="1"/>
      <c r="L1459" s="12">
        <f t="shared" si="235"/>
        <v>18591.32345</v>
      </c>
      <c r="M1459" s="12"/>
      <c r="N1459" s="15"/>
      <c r="O1459" s="1"/>
      <c r="Q1459" s="12"/>
      <c r="R1459" s="1"/>
    </row>
    <row r="1460" ht="12.75" hidden="1" customHeight="1" outlineLevel="1">
      <c r="A1460" s="122">
        <f t="shared" si="236"/>
        <v>42777</v>
      </c>
      <c r="B1460" s="120">
        <v>800700.0</v>
      </c>
      <c r="C1460" s="19">
        <f t="shared" si="234"/>
        <v>0</v>
      </c>
      <c r="D1460" s="19">
        <f t="shared" si="233"/>
        <v>0.03013285922</v>
      </c>
      <c r="E1460" s="12"/>
      <c r="F1460" s="7"/>
      <c r="G1460" s="7"/>
      <c r="H1460" s="1"/>
      <c r="I1460" s="1"/>
      <c r="J1460" s="1"/>
      <c r="K1460" s="1"/>
      <c r="L1460" s="12">
        <f t="shared" si="235"/>
        <v>18591.32345</v>
      </c>
      <c r="M1460" s="12"/>
      <c r="N1460" s="15"/>
      <c r="O1460" s="1"/>
      <c r="Q1460" s="12"/>
      <c r="R1460" s="1"/>
    </row>
    <row r="1461" ht="12.75" hidden="1" customHeight="1" outlineLevel="1">
      <c r="A1461" s="122">
        <f t="shared" si="236"/>
        <v>42778</v>
      </c>
      <c r="B1461" s="120">
        <v>800700.0</v>
      </c>
      <c r="C1461" s="19">
        <f t="shared" si="234"/>
        <v>0</v>
      </c>
      <c r="D1461" s="19">
        <f t="shared" si="233"/>
        <v>0.03013285922</v>
      </c>
      <c r="E1461" s="12"/>
      <c r="F1461" s="7"/>
      <c r="G1461" s="7"/>
      <c r="H1461" s="1"/>
      <c r="I1461" s="1"/>
      <c r="J1461" s="1"/>
      <c r="K1461" s="1"/>
      <c r="L1461" s="12">
        <f t="shared" si="235"/>
        <v>18591.32345</v>
      </c>
      <c r="M1461" s="12"/>
      <c r="N1461" s="15"/>
      <c r="O1461" s="1"/>
      <c r="Q1461" s="12"/>
      <c r="R1461" s="1"/>
    </row>
    <row r="1462" ht="12.75" hidden="1" customHeight="1" outlineLevel="1">
      <c r="A1462" s="122">
        <f t="shared" si="236"/>
        <v>42779</v>
      </c>
      <c r="B1462" s="120">
        <v>806100.0</v>
      </c>
      <c r="C1462" s="19">
        <f t="shared" si="234"/>
        <v>0.006744098913</v>
      </c>
      <c r="D1462" s="19">
        <f t="shared" si="233"/>
        <v>0.03708017712</v>
      </c>
      <c r="E1462" s="12"/>
      <c r="F1462" s="7"/>
      <c r="G1462" s="7"/>
      <c r="H1462" s="1"/>
      <c r="I1462" s="1"/>
      <c r="J1462" s="1"/>
      <c r="K1462" s="1"/>
      <c r="L1462" s="12">
        <f t="shared" si="235"/>
        <v>18716.70518</v>
      </c>
      <c r="M1462" s="12"/>
      <c r="N1462" s="15"/>
      <c r="O1462" s="1"/>
      <c r="Q1462" s="12"/>
      <c r="R1462" s="1"/>
    </row>
    <row r="1463" ht="12.75" hidden="1" customHeight="1" outlineLevel="1">
      <c r="A1463" s="122">
        <f t="shared" si="236"/>
        <v>42780</v>
      </c>
      <c r="B1463" s="120">
        <v>811800.0</v>
      </c>
      <c r="C1463" s="19">
        <f t="shared" si="234"/>
        <v>0.007071082992</v>
      </c>
      <c r="D1463" s="19">
        <f t="shared" si="233"/>
        <v>0.04441345712</v>
      </c>
      <c r="E1463" s="12"/>
      <c r="F1463" s="7"/>
      <c r="G1463" s="7"/>
      <c r="H1463" s="1"/>
      <c r="I1463" s="1"/>
      <c r="J1463" s="1"/>
      <c r="K1463" s="1"/>
      <c r="L1463" s="12">
        <f t="shared" si="235"/>
        <v>18849.05255</v>
      </c>
      <c r="M1463" s="12"/>
      <c r="N1463" s="15"/>
      <c r="O1463" s="1"/>
      <c r="Q1463" s="12"/>
      <c r="R1463" s="1"/>
    </row>
    <row r="1464" ht="12.75" hidden="1" customHeight="1" outlineLevel="1">
      <c r="A1464" s="122">
        <f t="shared" si="236"/>
        <v>42781</v>
      </c>
      <c r="B1464" s="120">
        <v>817500.0</v>
      </c>
      <c r="C1464" s="19">
        <f t="shared" si="234"/>
        <v>0.007021433851</v>
      </c>
      <c r="D1464" s="19">
        <f t="shared" si="233"/>
        <v>0.05174673712</v>
      </c>
      <c r="E1464" s="12"/>
      <c r="F1464" s="7"/>
      <c r="G1464" s="7"/>
      <c r="H1464" s="1"/>
      <c r="I1464" s="1"/>
      <c r="J1464" s="1"/>
      <c r="K1464" s="1"/>
      <c r="L1464" s="12">
        <f t="shared" si="235"/>
        <v>18981.39993</v>
      </c>
      <c r="M1464" s="12"/>
      <c r="N1464" s="15"/>
      <c r="O1464" s="1"/>
      <c r="Q1464" s="12"/>
      <c r="R1464" s="1"/>
    </row>
    <row r="1465" ht="12.75" hidden="1" customHeight="1" outlineLevel="1">
      <c r="A1465" s="122">
        <f t="shared" si="236"/>
        <v>42782</v>
      </c>
      <c r="B1465" s="120">
        <v>816100.0</v>
      </c>
      <c r="C1465" s="19">
        <f t="shared" si="234"/>
        <v>-0.001712538226</v>
      </c>
      <c r="D1465" s="19">
        <f t="shared" si="233"/>
        <v>0.04994558063</v>
      </c>
      <c r="E1465" s="12"/>
      <c r="F1465" s="7"/>
      <c r="G1465" s="7"/>
      <c r="H1465" s="1"/>
      <c r="I1465" s="1"/>
      <c r="J1465" s="1"/>
      <c r="K1465" s="1"/>
      <c r="L1465" s="12">
        <f t="shared" si="235"/>
        <v>18948.89356</v>
      </c>
      <c r="M1465" s="12"/>
      <c r="N1465" s="15"/>
      <c r="O1465" s="1"/>
      <c r="Q1465" s="12"/>
      <c r="R1465" s="1"/>
    </row>
    <row r="1466" ht="12.75" hidden="1" customHeight="1" outlineLevel="1">
      <c r="A1466" s="122">
        <f t="shared" si="236"/>
        <v>42783</v>
      </c>
      <c r="B1466" s="120">
        <v>814900.0</v>
      </c>
      <c r="C1466" s="19">
        <f t="shared" si="234"/>
        <v>-0.001470408038</v>
      </c>
      <c r="D1466" s="19">
        <f t="shared" si="233"/>
        <v>0.04840173221</v>
      </c>
      <c r="E1466" s="12"/>
      <c r="F1466" s="7"/>
      <c r="G1466" s="7"/>
      <c r="H1466" s="1"/>
      <c r="I1466" s="1"/>
      <c r="J1466" s="1"/>
      <c r="K1466" s="1"/>
      <c r="L1466" s="12">
        <f t="shared" si="235"/>
        <v>18921.03095</v>
      </c>
      <c r="M1466" s="12"/>
      <c r="N1466" s="15"/>
      <c r="O1466" s="1"/>
      <c r="Q1466" s="12"/>
      <c r="R1466" s="1"/>
    </row>
    <row r="1467" ht="12.75" hidden="1" customHeight="1" outlineLevel="1">
      <c r="A1467" s="122">
        <f t="shared" si="236"/>
        <v>42784</v>
      </c>
      <c r="B1467" s="120">
        <v>814900.0</v>
      </c>
      <c r="C1467" s="19">
        <f t="shared" si="234"/>
        <v>0</v>
      </c>
      <c r="D1467" s="19">
        <f t="shared" si="233"/>
        <v>0.04840173221</v>
      </c>
      <c r="E1467" s="12"/>
      <c r="F1467" s="7"/>
      <c r="G1467" s="7"/>
      <c r="H1467" s="1"/>
      <c r="I1467" s="1"/>
      <c r="J1467" s="1"/>
      <c r="K1467" s="1"/>
      <c r="L1467" s="12">
        <f t="shared" si="235"/>
        <v>18921.03095</v>
      </c>
      <c r="M1467" s="12"/>
      <c r="N1467" s="15"/>
      <c r="O1467" s="1"/>
      <c r="Q1467" s="12"/>
      <c r="R1467" s="1"/>
    </row>
    <row r="1468" ht="12.75" hidden="1" customHeight="1" outlineLevel="1">
      <c r="A1468" s="122">
        <f t="shared" si="236"/>
        <v>42785</v>
      </c>
      <c r="B1468" s="120">
        <v>814900.0</v>
      </c>
      <c r="C1468" s="19">
        <f t="shared" si="234"/>
        <v>0</v>
      </c>
      <c r="D1468" s="19">
        <f t="shared" si="233"/>
        <v>0.04840173221</v>
      </c>
      <c r="E1468" s="12"/>
      <c r="F1468" s="7"/>
      <c r="G1468" s="7"/>
      <c r="H1468" s="1"/>
      <c r="I1468" s="1"/>
      <c r="J1468" s="1"/>
      <c r="K1468" s="1"/>
      <c r="L1468" s="12">
        <f t="shared" si="235"/>
        <v>18921.03095</v>
      </c>
      <c r="M1468" s="12"/>
      <c r="N1468" s="15"/>
      <c r="O1468" s="1"/>
      <c r="Q1468" s="12"/>
      <c r="R1468" s="1"/>
    </row>
    <row r="1469" ht="12.75" hidden="1" customHeight="1" outlineLevel="1">
      <c r="A1469" s="122">
        <f t="shared" si="236"/>
        <v>42786</v>
      </c>
      <c r="B1469" s="120">
        <v>814900.0</v>
      </c>
      <c r="C1469" s="19">
        <f t="shared" si="234"/>
        <v>0</v>
      </c>
      <c r="D1469" s="19">
        <f t="shared" si="233"/>
        <v>0.04840173221</v>
      </c>
      <c r="E1469" s="12"/>
      <c r="F1469" s="7"/>
      <c r="G1469" s="7"/>
      <c r="H1469" s="1"/>
      <c r="I1469" s="1"/>
      <c r="J1469" s="1"/>
      <c r="K1469" s="1"/>
      <c r="L1469" s="12">
        <f t="shared" si="235"/>
        <v>18921.03095</v>
      </c>
      <c r="M1469" s="12"/>
      <c r="N1469" s="15"/>
      <c r="O1469" s="1"/>
      <c r="Q1469" s="12"/>
      <c r="R1469" s="1"/>
    </row>
    <row r="1470" ht="12.75" hidden="1" customHeight="1" outlineLevel="1">
      <c r="A1470" s="122">
        <f t="shared" si="236"/>
        <v>42787</v>
      </c>
      <c r="B1470" s="120">
        <v>785915.0</v>
      </c>
      <c r="C1470" s="19">
        <f t="shared" si="234"/>
        <v>-0.03556878145</v>
      </c>
      <c r="D1470" s="19">
        <f t="shared" si="233"/>
        <v>0.01111136013</v>
      </c>
      <c r="E1470" s="12"/>
      <c r="F1470" s="7"/>
      <c r="G1470" s="7"/>
      <c r="H1470" s="1"/>
      <c r="I1470" s="1"/>
      <c r="J1470" s="1"/>
      <c r="K1470" s="1"/>
      <c r="L1470" s="12">
        <f t="shared" si="235"/>
        <v>18248.03294</v>
      </c>
      <c r="M1470" s="12"/>
      <c r="N1470" s="15"/>
      <c r="O1470" s="1"/>
      <c r="Q1470" s="12"/>
      <c r="R1470" s="1"/>
    </row>
    <row r="1471" ht="12.75" hidden="1" customHeight="1" outlineLevel="1">
      <c r="A1471" s="122">
        <f t="shared" si="236"/>
        <v>42788</v>
      </c>
      <c r="B1471" s="120">
        <v>780000.0</v>
      </c>
      <c r="C1471" s="19">
        <f t="shared" si="234"/>
        <v>-0.007526259201</v>
      </c>
      <c r="D1471" s="19">
        <f t="shared" si="233"/>
        <v>0.003501473951</v>
      </c>
      <c r="E1471" s="12"/>
      <c r="F1471" s="7"/>
      <c r="G1471" s="7"/>
      <c r="H1471" s="1"/>
      <c r="I1471" s="1"/>
      <c r="J1471" s="1"/>
      <c r="K1471" s="1"/>
      <c r="L1471" s="12">
        <f t="shared" si="235"/>
        <v>18110.69351</v>
      </c>
      <c r="M1471" s="12"/>
      <c r="N1471" s="15"/>
      <c r="O1471" s="1"/>
      <c r="Q1471" s="12"/>
      <c r="R1471" s="1"/>
    </row>
    <row r="1472" ht="12.75" hidden="1" customHeight="1" outlineLevel="1">
      <c r="A1472" s="122">
        <f t="shared" si="236"/>
        <v>42789</v>
      </c>
      <c r="B1472" s="120">
        <v>779200.0</v>
      </c>
      <c r="C1472" s="19">
        <f t="shared" si="234"/>
        <v>-0.001025641026</v>
      </c>
      <c r="D1472" s="19">
        <f t="shared" si="233"/>
        <v>0.00247224167</v>
      </c>
      <c r="E1472" s="12"/>
      <c r="F1472" s="7"/>
      <c r="G1472" s="7"/>
      <c r="H1472" s="1"/>
      <c r="I1472" s="1"/>
      <c r="J1472" s="1"/>
      <c r="K1472" s="1"/>
      <c r="L1472" s="12">
        <f t="shared" si="235"/>
        <v>18092.11844</v>
      </c>
      <c r="M1472" s="12"/>
      <c r="N1472" s="15"/>
      <c r="O1472" s="1"/>
      <c r="Q1472" s="12"/>
      <c r="R1472" s="1"/>
    </row>
    <row r="1473" ht="12.75" hidden="1" customHeight="1" outlineLevel="1">
      <c r="A1473" s="122">
        <f t="shared" si="236"/>
        <v>42790</v>
      </c>
      <c r="B1473" s="120">
        <v>778900.0</v>
      </c>
      <c r="C1473" s="19">
        <f t="shared" si="234"/>
        <v>-0.0003850102669</v>
      </c>
      <c r="D1473" s="19">
        <f t="shared" si="233"/>
        <v>0.002086279564</v>
      </c>
      <c r="E1473" s="12"/>
      <c r="F1473" s="7"/>
      <c r="G1473" s="7"/>
      <c r="H1473" s="1"/>
      <c r="I1473" s="1"/>
      <c r="J1473" s="1"/>
      <c r="K1473" s="1"/>
      <c r="L1473" s="12">
        <f t="shared" si="235"/>
        <v>18085.15279</v>
      </c>
      <c r="M1473" s="12"/>
      <c r="N1473" s="15"/>
      <c r="O1473" s="1"/>
      <c r="Q1473" s="12"/>
      <c r="R1473" s="1"/>
    </row>
    <row r="1474" ht="12.75" hidden="1" customHeight="1" outlineLevel="1">
      <c r="A1474" s="122">
        <f t="shared" si="236"/>
        <v>42791</v>
      </c>
      <c r="B1474" s="120">
        <v>778900.0</v>
      </c>
      <c r="C1474" s="19">
        <f t="shared" si="234"/>
        <v>0</v>
      </c>
      <c r="D1474" s="19">
        <f t="shared" si="233"/>
        <v>0.002086279564</v>
      </c>
      <c r="E1474" s="12"/>
      <c r="F1474" s="7"/>
      <c r="G1474" s="7"/>
      <c r="H1474" s="1"/>
      <c r="I1474" s="1"/>
      <c r="J1474" s="1"/>
      <c r="K1474" s="1"/>
      <c r="L1474" s="12">
        <f t="shared" si="235"/>
        <v>18085.15279</v>
      </c>
      <c r="M1474" s="12"/>
      <c r="N1474" s="15"/>
      <c r="O1474" s="1"/>
      <c r="Q1474" s="12"/>
      <c r="R1474" s="1"/>
    </row>
    <row r="1475" ht="12.75" hidden="1" customHeight="1" outlineLevel="1">
      <c r="A1475" s="122">
        <f t="shared" si="236"/>
        <v>42792</v>
      </c>
      <c r="B1475" s="120">
        <v>778900.0</v>
      </c>
      <c r="C1475" s="19">
        <f t="shared" si="234"/>
        <v>0</v>
      </c>
      <c r="D1475" s="19">
        <f t="shared" si="233"/>
        <v>0.002086279564</v>
      </c>
      <c r="E1475" s="12"/>
      <c r="F1475" s="7"/>
      <c r="G1475" s="7"/>
      <c r="H1475" s="1"/>
      <c r="I1475" s="1"/>
      <c r="J1475" s="1"/>
      <c r="K1475" s="1"/>
      <c r="L1475" s="12">
        <f t="shared" si="235"/>
        <v>18085.15279</v>
      </c>
      <c r="M1475" s="12"/>
      <c r="N1475" s="15"/>
      <c r="O1475" s="1"/>
      <c r="Q1475" s="12"/>
      <c r="R1475" s="1"/>
    </row>
    <row r="1476" ht="12.75" hidden="1" customHeight="1" outlineLevel="1">
      <c r="A1476" s="122">
        <f t="shared" si="236"/>
        <v>42793</v>
      </c>
      <c r="B1476" s="120">
        <v>781800.0</v>
      </c>
      <c r="C1476" s="19">
        <f t="shared" si="234"/>
        <v>0.003723199384</v>
      </c>
      <c r="D1476" s="19">
        <f t="shared" si="233"/>
        <v>0.005817246583</v>
      </c>
      <c r="E1476" s="12"/>
      <c r="F1476" s="7"/>
      <c r="G1476" s="7"/>
      <c r="H1476" s="1"/>
      <c r="I1476" s="1"/>
      <c r="J1476" s="1"/>
      <c r="K1476" s="1"/>
      <c r="L1476" s="12">
        <f t="shared" si="235"/>
        <v>18152.48742</v>
      </c>
      <c r="M1476" s="12"/>
      <c r="N1476" s="15"/>
      <c r="O1476" s="1"/>
      <c r="Q1476" s="12"/>
      <c r="R1476" s="1"/>
    </row>
    <row r="1477" ht="12.75" hidden="1" customHeight="1" outlineLevel="1">
      <c r="A1477" s="122">
        <f t="shared" si="236"/>
        <v>42794</v>
      </c>
      <c r="B1477" s="120">
        <v>778861.52</v>
      </c>
      <c r="C1477" s="19">
        <f t="shared" si="234"/>
        <v>-0.00375860834</v>
      </c>
      <c r="D1477" s="19">
        <f t="shared" si="233"/>
        <v>0.002036773492</v>
      </c>
      <c r="E1477" s="12"/>
      <c r="F1477" s="7"/>
      <c r="G1477" s="7"/>
      <c r="H1477" s="1"/>
      <c r="I1477" s="1"/>
      <c r="J1477" s="1"/>
      <c r="K1477" s="1"/>
      <c r="L1477" s="12">
        <f t="shared" si="235"/>
        <v>18084.25933</v>
      </c>
      <c r="M1477" s="12"/>
      <c r="N1477" s="15"/>
      <c r="O1477" s="1"/>
      <c r="Q1477" s="12"/>
      <c r="R1477" s="1"/>
    </row>
    <row r="1478" ht="12.75" hidden="1" customHeight="1" outlineLevel="1">
      <c r="A1478" s="122"/>
      <c r="B1478" s="12"/>
      <c r="C1478" s="1"/>
      <c r="D1478" s="1"/>
      <c r="E1478" s="12"/>
      <c r="F1478" s="7"/>
      <c r="G1478" s="7"/>
      <c r="H1478" s="1"/>
      <c r="I1478" s="1"/>
      <c r="J1478" s="1"/>
      <c r="K1478" s="1"/>
      <c r="L1478" s="12"/>
      <c r="M1478" s="12"/>
      <c r="N1478" s="15"/>
      <c r="O1478" s="1"/>
      <c r="Q1478" s="12"/>
      <c r="R1478" s="1"/>
    </row>
    <row r="1479" ht="12.75" hidden="1" customHeight="1" outlineLevel="1">
      <c r="A1479" s="122"/>
      <c r="B1479" s="12">
        <f>B1477</f>
        <v>778861.52</v>
      </c>
      <c r="C1479" s="19"/>
      <c r="D1479" s="19">
        <f t="shared" ref="D1479:D1510" si="237">(B1479/$B$1479)-1</f>
        <v>0</v>
      </c>
      <c r="E1479" s="12"/>
      <c r="F1479" s="7"/>
      <c r="G1479" s="7"/>
      <c r="H1479" s="1"/>
      <c r="I1479" s="1"/>
      <c r="J1479" s="1"/>
      <c r="K1479" s="1"/>
      <c r="L1479" s="12"/>
      <c r="M1479" s="12"/>
      <c r="N1479" s="15"/>
      <c r="O1479" s="1"/>
      <c r="Q1479" s="12"/>
      <c r="R1479" s="1"/>
    </row>
    <row r="1480" ht="12.75" hidden="1" customHeight="1" outlineLevel="1">
      <c r="A1480" s="122">
        <f>A1477+1</f>
        <v>42795</v>
      </c>
      <c r="B1480" s="120">
        <v>790200.0</v>
      </c>
      <c r="C1480" s="19">
        <f t="shared" ref="C1480:C1510" si="238">(B1480/B1479)-1</f>
        <v>0.01455776118</v>
      </c>
      <c r="D1480" s="19">
        <f t="shared" si="237"/>
        <v>0.01455776118</v>
      </c>
      <c r="E1480" s="12"/>
      <c r="F1480" s="7"/>
      <c r="G1480" s="7"/>
      <c r="H1480" s="1"/>
      <c r="I1480" s="1"/>
      <c r="J1480" s="1"/>
      <c r="K1480" s="1"/>
      <c r="L1480" s="12">
        <f t="shared" ref="L1480:L1510" si="239">IF(C1479="",L1477*(1+C1480),L1479*(1+C1480))</f>
        <v>18347.52566</v>
      </c>
      <c r="M1480" s="12"/>
      <c r="N1480" s="15"/>
      <c r="O1480" s="1"/>
      <c r="Q1480" s="12"/>
      <c r="R1480" s="1"/>
    </row>
    <row r="1481" ht="12.75" hidden="1" customHeight="1" outlineLevel="1">
      <c r="A1481" s="122">
        <f t="shared" ref="A1481:A1510" si="240">A1480+1</f>
        <v>42796</v>
      </c>
      <c r="B1481" s="120">
        <v>783400.0</v>
      </c>
      <c r="C1481" s="19">
        <f t="shared" si="238"/>
        <v>-0.00860541635</v>
      </c>
      <c r="D1481" s="19">
        <f t="shared" si="237"/>
        <v>0.005827069233</v>
      </c>
      <c r="E1481" s="12"/>
      <c r="F1481" s="7"/>
      <c r="G1481" s="7"/>
      <c r="H1481" s="1"/>
      <c r="I1481" s="1"/>
      <c r="J1481" s="1"/>
      <c r="K1481" s="1"/>
      <c r="L1481" s="12">
        <f t="shared" si="239"/>
        <v>18189.63756</v>
      </c>
      <c r="M1481" s="12"/>
      <c r="N1481" s="15"/>
      <c r="O1481" s="1"/>
      <c r="Q1481" s="12"/>
      <c r="R1481" s="1"/>
    </row>
    <row r="1482" ht="12.75" hidden="1" customHeight="1" outlineLevel="1">
      <c r="A1482" s="122">
        <f t="shared" si="240"/>
        <v>42797</v>
      </c>
      <c r="B1482" s="120">
        <v>783400.0</v>
      </c>
      <c r="C1482" s="19">
        <f t="shared" si="238"/>
        <v>0</v>
      </c>
      <c r="D1482" s="19">
        <f t="shared" si="237"/>
        <v>0.005827069233</v>
      </c>
      <c r="E1482" s="12"/>
      <c r="F1482" s="7"/>
      <c r="G1482" s="7"/>
      <c r="H1482" s="1"/>
      <c r="I1482" s="1"/>
      <c r="J1482" s="1"/>
      <c r="K1482" s="1"/>
      <c r="L1482" s="12">
        <f t="shared" si="239"/>
        <v>18189.63756</v>
      </c>
      <c r="M1482" s="12"/>
      <c r="N1482" s="15"/>
      <c r="O1482" s="1"/>
      <c r="Q1482" s="12"/>
      <c r="R1482" s="1"/>
    </row>
    <row r="1483" ht="12.75" hidden="1" customHeight="1" outlineLevel="1">
      <c r="A1483" s="122">
        <f t="shared" si="240"/>
        <v>42798</v>
      </c>
      <c r="B1483" s="120">
        <v>783400.0</v>
      </c>
      <c r="C1483" s="19">
        <f t="shared" si="238"/>
        <v>0</v>
      </c>
      <c r="D1483" s="19">
        <f t="shared" si="237"/>
        <v>0.005827069233</v>
      </c>
      <c r="E1483" s="12"/>
      <c r="F1483" s="7"/>
      <c r="G1483" s="7"/>
      <c r="H1483" s="1"/>
      <c r="I1483" s="1"/>
      <c r="J1483" s="1"/>
      <c r="K1483" s="1"/>
      <c r="L1483" s="12">
        <f t="shared" si="239"/>
        <v>18189.63756</v>
      </c>
      <c r="M1483" s="12"/>
      <c r="N1483" s="15"/>
      <c r="O1483" s="1"/>
      <c r="Q1483" s="12"/>
      <c r="R1483" s="1"/>
    </row>
    <row r="1484" ht="12.75" hidden="1" customHeight="1" outlineLevel="1">
      <c r="A1484" s="122">
        <f t="shared" si="240"/>
        <v>42799</v>
      </c>
      <c r="B1484" s="120">
        <v>780700.0</v>
      </c>
      <c r="C1484" s="19">
        <f t="shared" si="238"/>
        <v>-0.00344651519</v>
      </c>
      <c r="D1484" s="19">
        <f t="shared" si="237"/>
        <v>0.00236047096</v>
      </c>
      <c r="E1484" s="12"/>
      <c r="F1484" s="7"/>
      <c r="G1484" s="7"/>
      <c r="H1484" s="1"/>
      <c r="I1484" s="1"/>
      <c r="J1484" s="1"/>
      <c r="K1484" s="1"/>
      <c r="L1484" s="12">
        <f t="shared" si="239"/>
        <v>18126.9467</v>
      </c>
      <c r="M1484" s="12"/>
      <c r="N1484" s="15"/>
      <c r="O1484" s="1"/>
      <c r="Q1484" s="12"/>
      <c r="R1484" s="1"/>
    </row>
    <row r="1485" ht="12.75" hidden="1" customHeight="1" outlineLevel="1">
      <c r="A1485" s="122">
        <f t="shared" si="240"/>
        <v>42800</v>
      </c>
      <c r="B1485" s="120">
        <v>780700.0</v>
      </c>
      <c r="C1485" s="19">
        <f t="shared" si="238"/>
        <v>0</v>
      </c>
      <c r="D1485" s="19">
        <f t="shared" si="237"/>
        <v>0.00236047096</v>
      </c>
      <c r="E1485" s="12"/>
      <c r="F1485" s="7"/>
      <c r="G1485" s="7"/>
      <c r="H1485" s="1"/>
      <c r="I1485" s="1"/>
      <c r="J1485" s="1"/>
      <c r="K1485" s="1"/>
      <c r="L1485" s="12">
        <f t="shared" si="239"/>
        <v>18126.9467</v>
      </c>
      <c r="M1485" s="12"/>
      <c r="N1485" s="15"/>
      <c r="O1485" s="1"/>
      <c r="Q1485" s="12"/>
      <c r="R1485" s="1"/>
    </row>
    <row r="1486" ht="12.75" hidden="1" customHeight="1" outlineLevel="1">
      <c r="A1486" s="122">
        <f t="shared" si="240"/>
        <v>42801</v>
      </c>
      <c r="B1486" s="120">
        <v>776400.0</v>
      </c>
      <c r="C1486" s="19">
        <f t="shared" si="238"/>
        <v>-0.005507877546</v>
      </c>
      <c r="D1486" s="19">
        <f t="shared" si="237"/>
        <v>-0.003160407771</v>
      </c>
      <c r="E1486" s="12"/>
      <c r="F1486" s="7"/>
      <c r="G1486" s="7"/>
      <c r="H1486" s="1"/>
      <c r="I1486" s="1"/>
      <c r="J1486" s="1"/>
      <c r="K1486" s="1"/>
      <c r="L1486" s="12">
        <f t="shared" si="239"/>
        <v>18027.1057</v>
      </c>
      <c r="M1486" s="12"/>
      <c r="N1486" s="15"/>
      <c r="O1486" s="1"/>
      <c r="Q1486" s="12"/>
      <c r="R1486" s="1"/>
    </row>
    <row r="1487" ht="12.75" hidden="1" customHeight="1" outlineLevel="1">
      <c r="A1487" s="122">
        <f t="shared" si="240"/>
        <v>42802</v>
      </c>
      <c r="B1487" s="120">
        <v>775900.0</v>
      </c>
      <c r="C1487" s="19">
        <f t="shared" si="238"/>
        <v>-0.0006439979392</v>
      </c>
      <c r="D1487" s="19">
        <f t="shared" si="237"/>
        <v>-0.003802370414</v>
      </c>
      <c r="E1487" s="12"/>
      <c r="F1487" s="7"/>
      <c r="G1487" s="7"/>
      <c r="H1487" s="1"/>
      <c r="I1487" s="1"/>
      <c r="J1487" s="1"/>
      <c r="K1487" s="1"/>
      <c r="L1487" s="12">
        <f t="shared" si="239"/>
        <v>18015.49628</v>
      </c>
      <c r="M1487" s="12"/>
      <c r="N1487" s="15"/>
      <c r="O1487" s="1"/>
      <c r="Q1487" s="12"/>
      <c r="R1487" s="1"/>
    </row>
    <row r="1488" ht="12.75" hidden="1" customHeight="1" outlineLevel="1">
      <c r="A1488" s="122">
        <f t="shared" si="240"/>
        <v>42803</v>
      </c>
      <c r="B1488" s="120">
        <v>773300.0</v>
      </c>
      <c r="C1488" s="19">
        <f t="shared" si="238"/>
        <v>-0.003350947287</v>
      </c>
      <c r="D1488" s="19">
        <f t="shared" si="237"/>
        <v>-0.007140576158</v>
      </c>
      <c r="E1488" s="12"/>
      <c r="F1488" s="7"/>
      <c r="G1488" s="7"/>
      <c r="H1488" s="1"/>
      <c r="I1488" s="1"/>
      <c r="J1488" s="1"/>
      <c r="K1488" s="1"/>
      <c r="L1488" s="12">
        <f t="shared" si="239"/>
        <v>17955.1273</v>
      </c>
      <c r="M1488" s="12"/>
      <c r="N1488" s="15"/>
      <c r="O1488" s="1"/>
      <c r="Q1488" s="12"/>
      <c r="R1488" s="1"/>
    </row>
    <row r="1489" ht="12.75" hidden="1" customHeight="1" outlineLevel="1">
      <c r="A1489" s="122">
        <f t="shared" si="240"/>
        <v>42804</v>
      </c>
      <c r="B1489" s="120">
        <v>776800.0</v>
      </c>
      <c r="C1489" s="19">
        <f t="shared" si="238"/>
        <v>0.004526057158</v>
      </c>
      <c r="D1489" s="19">
        <f t="shared" si="237"/>
        <v>-0.002646837656</v>
      </c>
      <c r="E1489" s="12"/>
      <c r="F1489" s="7"/>
      <c r="G1489" s="7"/>
      <c r="H1489" s="1"/>
      <c r="I1489" s="1"/>
      <c r="J1489" s="1"/>
      <c r="K1489" s="1"/>
      <c r="L1489" s="12">
        <f t="shared" si="239"/>
        <v>18036.39323</v>
      </c>
      <c r="M1489" s="12"/>
      <c r="N1489" s="15"/>
      <c r="O1489" s="1"/>
      <c r="Q1489" s="12"/>
      <c r="R1489" s="1"/>
    </row>
    <row r="1490" ht="12.75" hidden="1" customHeight="1" outlineLevel="1">
      <c r="A1490" s="122">
        <f t="shared" si="240"/>
        <v>42805</v>
      </c>
      <c r="B1490" s="120">
        <v>776800.0</v>
      </c>
      <c r="C1490" s="19">
        <f t="shared" si="238"/>
        <v>0</v>
      </c>
      <c r="D1490" s="19">
        <f t="shared" si="237"/>
        <v>-0.002646837656</v>
      </c>
      <c r="E1490" s="12"/>
      <c r="F1490" s="7"/>
      <c r="G1490" s="7"/>
      <c r="H1490" s="1"/>
      <c r="I1490" s="1"/>
      <c r="J1490" s="1"/>
      <c r="K1490" s="1"/>
      <c r="L1490" s="12">
        <f t="shared" si="239"/>
        <v>18036.39323</v>
      </c>
      <c r="M1490" s="12"/>
      <c r="N1490" s="15"/>
      <c r="O1490" s="1"/>
      <c r="Q1490" s="12"/>
      <c r="R1490" s="1"/>
    </row>
    <row r="1491" ht="12.75" hidden="1" customHeight="1" outlineLevel="1">
      <c r="A1491" s="122">
        <f t="shared" si="240"/>
        <v>42806</v>
      </c>
      <c r="B1491" s="120">
        <v>776800.0</v>
      </c>
      <c r="C1491" s="19">
        <f t="shared" si="238"/>
        <v>0</v>
      </c>
      <c r="D1491" s="19">
        <f t="shared" si="237"/>
        <v>-0.002646837656</v>
      </c>
      <c r="E1491" s="12"/>
      <c r="F1491" s="7"/>
      <c r="G1491" s="7"/>
      <c r="H1491" s="1"/>
      <c r="I1491" s="1"/>
      <c r="J1491" s="1"/>
      <c r="K1491" s="1"/>
      <c r="L1491" s="12">
        <f t="shared" si="239"/>
        <v>18036.39323</v>
      </c>
      <c r="M1491" s="12"/>
      <c r="N1491" s="15"/>
      <c r="O1491" s="1"/>
      <c r="Q1491" s="12"/>
      <c r="R1491" s="1"/>
    </row>
    <row r="1492" ht="12.75" hidden="1" customHeight="1" outlineLevel="1">
      <c r="A1492" s="122">
        <f t="shared" si="240"/>
        <v>42807</v>
      </c>
      <c r="B1492" s="120">
        <v>781100.0</v>
      </c>
      <c r="C1492" s="19">
        <f t="shared" si="238"/>
        <v>0.005535530381</v>
      </c>
      <c r="D1492" s="19">
        <f t="shared" si="237"/>
        <v>0.002874041075</v>
      </c>
      <c r="E1492" s="12"/>
      <c r="F1492" s="7"/>
      <c r="G1492" s="7"/>
      <c r="H1492" s="1"/>
      <c r="I1492" s="1"/>
      <c r="J1492" s="1"/>
      <c r="K1492" s="1"/>
      <c r="L1492" s="12">
        <f t="shared" si="239"/>
        <v>18136.23423</v>
      </c>
      <c r="M1492" s="12"/>
      <c r="N1492" s="15"/>
      <c r="O1492" s="1"/>
      <c r="Q1492" s="12"/>
      <c r="R1492" s="1"/>
    </row>
    <row r="1493" ht="12.75" hidden="1" customHeight="1" outlineLevel="1">
      <c r="A1493" s="122">
        <f t="shared" si="240"/>
        <v>42808</v>
      </c>
      <c r="B1493" s="120">
        <v>781100.0</v>
      </c>
      <c r="C1493" s="19">
        <f t="shared" si="238"/>
        <v>0</v>
      </c>
      <c r="D1493" s="19">
        <f t="shared" si="237"/>
        <v>0.002874041075</v>
      </c>
      <c r="E1493" s="12"/>
      <c r="F1493" s="7"/>
      <c r="G1493" s="7"/>
      <c r="H1493" s="1"/>
      <c r="I1493" s="1"/>
      <c r="J1493" s="1"/>
      <c r="K1493" s="1"/>
      <c r="L1493" s="12">
        <f t="shared" si="239"/>
        <v>18136.23423</v>
      </c>
      <c r="M1493" s="12"/>
      <c r="N1493" s="15"/>
      <c r="O1493" s="1"/>
      <c r="Q1493" s="12"/>
      <c r="R1493" s="1"/>
    </row>
    <row r="1494" ht="12.75" hidden="1" customHeight="1" outlineLevel="1">
      <c r="A1494" s="122">
        <f t="shared" si="240"/>
        <v>42809</v>
      </c>
      <c r="B1494" s="120">
        <v>781100.0</v>
      </c>
      <c r="C1494" s="19">
        <f t="shared" si="238"/>
        <v>0</v>
      </c>
      <c r="D1494" s="19">
        <f t="shared" si="237"/>
        <v>0.002874041075</v>
      </c>
      <c r="E1494" s="12"/>
      <c r="F1494" s="7"/>
      <c r="G1494" s="7"/>
      <c r="H1494" s="1"/>
      <c r="I1494" s="1"/>
      <c r="J1494" s="1"/>
      <c r="K1494" s="1"/>
      <c r="L1494" s="12">
        <f t="shared" si="239"/>
        <v>18136.23423</v>
      </c>
      <c r="M1494" s="12"/>
      <c r="N1494" s="15"/>
      <c r="O1494" s="1"/>
      <c r="Q1494" s="12"/>
      <c r="R1494" s="1"/>
    </row>
    <row r="1495" ht="12.75" hidden="1" customHeight="1" outlineLevel="1">
      <c r="A1495" s="122">
        <f t="shared" si="240"/>
        <v>42810</v>
      </c>
      <c r="B1495" s="120">
        <v>780400.0</v>
      </c>
      <c r="C1495" s="19">
        <f t="shared" si="238"/>
        <v>-0.000896172065</v>
      </c>
      <c r="D1495" s="19">
        <f t="shared" si="237"/>
        <v>0.001975293374</v>
      </c>
      <c r="E1495" s="12"/>
      <c r="F1495" s="7"/>
      <c r="G1495" s="7"/>
      <c r="H1495" s="1"/>
      <c r="I1495" s="1"/>
      <c r="J1495" s="1"/>
      <c r="K1495" s="1"/>
      <c r="L1495" s="12">
        <f t="shared" si="239"/>
        <v>18119.98105</v>
      </c>
      <c r="M1495" s="12"/>
      <c r="N1495" s="15"/>
      <c r="O1495" s="1"/>
      <c r="Q1495" s="12"/>
      <c r="R1495" s="1"/>
    </row>
    <row r="1496" ht="12.75" hidden="1" customHeight="1" outlineLevel="1">
      <c r="A1496" s="122">
        <f t="shared" si="240"/>
        <v>42811</v>
      </c>
      <c r="B1496" s="120">
        <v>781400.0</v>
      </c>
      <c r="C1496" s="19">
        <f t="shared" si="238"/>
        <v>0.001281394157</v>
      </c>
      <c r="D1496" s="19">
        <f t="shared" si="237"/>
        <v>0.003259218661</v>
      </c>
      <c r="E1496" s="12"/>
      <c r="F1496" s="7"/>
      <c r="G1496" s="7"/>
      <c r="H1496" s="1"/>
      <c r="I1496" s="1"/>
      <c r="J1496" s="1"/>
      <c r="K1496" s="1"/>
      <c r="L1496" s="12">
        <f t="shared" si="239"/>
        <v>18143.19988</v>
      </c>
      <c r="M1496" s="12"/>
      <c r="N1496" s="15"/>
      <c r="O1496" s="1"/>
      <c r="Q1496" s="12"/>
      <c r="R1496" s="1"/>
    </row>
    <row r="1497" ht="12.75" hidden="1" customHeight="1" outlineLevel="1">
      <c r="A1497" s="122">
        <f t="shared" si="240"/>
        <v>42812</v>
      </c>
      <c r="B1497" s="120">
        <v>781400.0</v>
      </c>
      <c r="C1497" s="19">
        <f t="shared" si="238"/>
        <v>0</v>
      </c>
      <c r="D1497" s="19">
        <f t="shared" si="237"/>
        <v>0.003259218661</v>
      </c>
      <c r="E1497" s="12"/>
      <c r="F1497" s="7"/>
      <c r="G1497" s="7"/>
      <c r="H1497" s="1"/>
      <c r="I1497" s="1"/>
      <c r="J1497" s="1"/>
      <c r="K1497" s="1"/>
      <c r="L1497" s="12">
        <f t="shared" si="239"/>
        <v>18143.19988</v>
      </c>
      <c r="M1497" s="12"/>
      <c r="N1497" s="15"/>
      <c r="O1497" s="1"/>
      <c r="Q1497" s="12"/>
      <c r="R1497" s="1"/>
    </row>
    <row r="1498" ht="12.75" hidden="1" customHeight="1" outlineLevel="1">
      <c r="A1498" s="122">
        <f t="shared" si="240"/>
        <v>42813</v>
      </c>
      <c r="B1498" s="120">
        <v>781400.0</v>
      </c>
      <c r="C1498" s="19">
        <f t="shared" si="238"/>
        <v>0</v>
      </c>
      <c r="D1498" s="19">
        <f t="shared" si="237"/>
        <v>0.003259218661</v>
      </c>
      <c r="E1498" s="12"/>
      <c r="F1498" s="7"/>
      <c r="G1498" s="7"/>
      <c r="H1498" s="1"/>
      <c r="I1498" s="1"/>
      <c r="J1498" s="1"/>
      <c r="K1498" s="1"/>
      <c r="L1498" s="12">
        <f t="shared" si="239"/>
        <v>18143.19988</v>
      </c>
      <c r="M1498" s="12"/>
      <c r="N1498" s="15"/>
      <c r="O1498" s="1"/>
      <c r="Q1498" s="12"/>
      <c r="R1498" s="1"/>
    </row>
    <row r="1499" ht="12.75" hidden="1" customHeight="1" outlineLevel="1">
      <c r="A1499" s="122">
        <f t="shared" si="240"/>
        <v>42814</v>
      </c>
      <c r="B1499" s="120">
        <v>777900.0</v>
      </c>
      <c r="C1499" s="19">
        <f t="shared" si="238"/>
        <v>-0.004479140005</v>
      </c>
      <c r="D1499" s="19">
        <f t="shared" si="237"/>
        <v>-0.001234519841</v>
      </c>
      <c r="E1499" s="12"/>
      <c r="F1499" s="7"/>
      <c r="G1499" s="7"/>
      <c r="H1499" s="1"/>
      <c r="I1499" s="1"/>
      <c r="J1499" s="1"/>
      <c r="K1499" s="1"/>
      <c r="L1499" s="12">
        <f t="shared" si="239"/>
        <v>18061.93395</v>
      </c>
      <c r="M1499" s="12"/>
      <c r="N1499" s="15"/>
      <c r="O1499" s="1"/>
      <c r="Q1499" s="12"/>
      <c r="R1499" s="1"/>
    </row>
    <row r="1500" ht="12.75" hidden="1" customHeight="1" outlineLevel="1">
      <c r="A1500" s="122">
        <f t="shared" si="240"/>
        <v>42815</v>
      </c>
      <c r="B1500" s="120">
        <v>763700.0</v>
      </c>
      <c r="C1500" s="19">
        <f t="shared" si="238"/>
        <v>-0.01825427433</v>
      </c>
      <c r="D1500" s="19">
        <f t="shared" si="237"/>
        <v>-0.01946625891</v>
      </c>
      <c r="E1500" s="12"/>
      <c r="F1500" s="7"/>
      <c r="G1500" s="7"/>
      <c r="H1500" s="1"/>
      <c r="I1500" s="1"/>
      <c r="J1500" s="1"/>
      <c r="K1500" s="1"/>
      <c r="L1500" s="12">
        <f t="shared" si="239"/>
        <v>17732.22645</v>
      </c>
      <c r="M1500" s="12"/>
      <c r="N1500" s="15"/>
      <c r="O1500" s="1"/>
      <c r="Q1500" s="12"/>
      <c r="R1500" s="1"/>
    </row>
    <row r="1501" ht="12.75" hidden="1" customHeight="1" outlineLevel="1">
      <c r="A1501" s="122">
        <f t="shared" si="240"/>
        <v>42816</v>
      </c>
      <c r="B1501" s="120">
        <v>762800.0</v>
      </c>
      <c r="C1501" s="19">
        <f t="shared" si="238"/>
        <v>-0.001178473222</v>
      </c>
      <c r="D1501" s="19">
        <f t="shared" si="237"/>
        <v>-0.02062179166</v>
      </c>
      <c r="E1501" s="12"/>
      <c r="F1501" s="7"/>
      <c r="G1501" s="7"/>
      <c r="H1501" s="1"/>
      <c r="I1501" s="1"/>
      <c r="J1501" s="1"/>
      <c r="K1501" s="1"/>
      <c r="L1501" s="12">
        <f t="shared" si="239"/>
        <v>17711.3295</v>
      </c>
      <c r="M1501" s="12"/>
      <c r="N1501" s="15"/>
      <c r="O1501" s="1"/>
      <c r="Q1501" s="12"/>
      <c r="R1501" s="1"/>
    </row>
    <row r="1502" ht="12.75" hidden="1" customHeight="1" outlineLevel="1">
      <c r="A1502" s="122">
        <f t="shared" si="240"/>
        <v>42817</v>
      </c>
      <c r="B1502" s="120">
        <v>762300.0</v>
      </c>
      <c r="C1502" s="19">
        <f t="shared" si="238"/>
        <v>-0.0006554798112</v>
      </c>
      <c r="D1502" s="19">
        <f t="shared" si="237"/>
        <v>-0.02126375431</v>
      </c>
      <c r="E1502" s="12"/>
      <c r="F1502" s="7"/>
      <c r="G1502" s="7"/>
      <c r="H1502" s="1"/>
      <c r="I1502" s="1"/>
      <c r="J1502" s="1"/>
      <c r="K1502" s="1"/>
      <c r="L1502" s="12">
        <f t="shared" si="239"/>
        <v>17699.72008</v>
      </c>
      <c r="M1502" s="12"/>
      <c r="N1502" s="15"/>
      <c r="O1502" s="1"/>
      <c r="Q1502" s="12"/>
      <c r="R1502" s="1"/>
    </row>
    <row r="1503" ht="12.75" hidden="1" customHeight="1" outlineLevel="1">
      <c r="A1503" s="122">
        <f t="shared" si="240"/>
        <v>42818</v>
      </c>
      <c r="B1503" s="120">
        <v>762300.0</v>
      </c>
      <c r="C1503" s="19">
        <f t="shared" si="238"/>
        <v>0</v>
      </c>
      <c r="D1503" s="19">
        <f t="shared" si="237"/>
        <v>-0.02126375431</v>
      </c>
      <c r="E1503" s="12"/>
      <c r="F1503" s="7"/>
      <c r="G1503" s="7"/>
      <c r="H1503" s="1"/>
      <c r="I1503" s="1"/>
      <c r="J1503" s="1"/>
      <c r="K1503" s="1"/>
      <c r="L1503" s="12">
        <f t="shared" si="239"/>
        <v>17699.72008</v>
      </c>
      <c r="M1503" s="12"/>
      <c r="N1503" s="15"/>
      <c r="O1503" s="1"/>
      <c r="Q1503" s="12"/>
      <c r="R1503" s="1"/>
    </row>
    <row r="1504" ht="12.75" hidden="1" customHeight="1" outlineLevel="1">
      <c r="A1504" s="122">
        <f t="shared" si="240"/>
        <v>42819</v>
      </c>
      <c r="B1504" s="120">
        <v>762300.0</v>
      </c>
      <c r="C1504" s="19">
        <f t="shared" si="238"/>
        <v>0</v>
      </c>
      <c r="D1504" s="19">
        <f t="shared" si="237"/>
        <v>-0.02126375431</v>
      </c>
      <c r="E1504" s="12"/>
      <c r="F1504" s="7"/>
      <c r="G1504" s="7"/>
      <c r="H1504" s="1"/>
      <c r="I1504" s="1"/>
      <c r="J1504" s="1"/>
      <c r="K1504" s="1"/>
      <c r="L1504" s="12">
        <f t="shared" si="239"/>
        <v>17699.72008</v>
      </c>
      <c r="M1504" s="12"/>
      <c r="N1504" s="15"/>
      <c r="O1504" s="1"/>
      <c r="Q1504" s="12"/>
      <c r="R1504" s="1"/>
    </row>
    <row r="1505" ht="12.75" hidden="1" customHeight="1" outlineLevel="1">
      <c r="A1505" s="122">
        <f t="shared" si="240"/>
        <v>42820</v>
      </c>
      <c r="B1505" s="120">
        <v>762300.0</v>
      </c>
      <c r="C1505" s="19">
        <f t="shared" si="238"/>
        <v>0</v>
      </c>
      <c r="D1505" s="19">
        <f t="shared" si="237"/>
        <v>-0.02126375431</v>
      </c>
      <c r="E1505" s="12"/>
      <c r="F1505" s="7"/>
      <c r="G1505" s="7"/>
      <c r="H1505" s="1"/>
      <c r="I1505" s="1"/>
      <c r="J1505" s="1"/>
      <c r="K1505" s="1"/>
      <c r="L1505" s="12">
        <f t="shared" si="239"/>
        <v>17699.72008</v>
      </c>
      <c r="M1505" s="12"/>
      <c r="N1505" s="15"/>
      <c r="O1505" s="1"/>
      <c r="Q1505" s="12"/>
      <c r="R1505" s="1"/>
    </row>
    <row r="1506" ht="12.75" hidden="1" customHeight="1" outlineLevel="1">
      <c r="A1506" s="122">
        <f t="shared" si="240"/>
        <v>42821</v>
      </c>
      <c r="B1506" s="120">
        <v>763000.0</v>
      </c>
      <c r="C1506" s="19">
        <f t="shared" si="238"/>
        <v>0.0009182736455</v>
      </c>
      <c r="D1506" s="19">
        <f t="shared" si="237"/>
        <v>-0.02036500661</v>
      </c>
      <c r="E1506" s="12"/>
      <c r="F1506" s="7"/>
      <c r="G1506" s="7"/>
      <c r="H1506" s="1"/>
      <c r="I1506" s="1"/>
      <c r="J1506" s="1"/>
      <c r="K1506" s="1"/>
      <c r="L1506" s="12">
        <f t="shared" si="239"/>
        <v>17715.97327</v>
      </c>
      <c r="M1506" s="12"/>
      <c r="N1506" s="15"/>
      <c r="O1506" s="1"/>
      <c r="Q1506" s="12"/>
      <c r="R1506" s="1"/>
    </row>
    <row r="1507" ht="12.75" hidden="1" customHeight="1" outlineLevel="1">
      <c r="A1507" s="122">
        <f t="shared" si="240"/>
        <v>42822</v>
      </c>
      <c r="B1507" s="120">
        <v>766600.0</v>
      </c>
      <c r="C1507" s="19">
        <f t="shared" si="238"/>
        <v>0.004718217562</v>
      </c>
      <c r="D1507" s="19">
        <f t="shared" si="237"/>
        <v>-0.01574287558</v>
      </c>
      <c r="E1507" s="12"/>
      <c r="F1507" s="7"/>
      <c r="G1507" s="7"/>
      <c r="H1507" s="1"/>
      <c r="I1507" s="1"/>
      <c r="J1507" s="1"/>
      <c r="K1507" s="1"/>
      <c r="L1507" s="12">
        <f t="shared" si="239"/>
        <v>17799.56108</v>
      </c>
      <c r="M1507" s="12"/>
      <c r="N1507" s="15"/>
      <c r="O1507" s="1"/>
      <c r="Q1507" s="12"/>
      <c r="R1507" s="1"/>
    </row>
    <row r="1508" ht="12.75" hidden="1" customHeight="1" outlineLevel="1">
      <c r="A1508" s="122">
        <f t="shared" si="240"/>
        <v>42823</v>
      </c>
      <c r="B1508" s="120">
        <v>768800.0</v>
      </c>
      <c r="C1508" s="19">
        <f t="shared" si="238"/>
        <v>0.002869814767</v>
      </c>
      <c r="D1508" s="19">
        <f t="shared" si="237"/>
        <v>-0.01291823995</v>
      </c>
      <c r="E1508" s="12"/>
      <c r="F1508" s="7"/>
      <c r="G1508" s="7"/>
      <c r="H1508" s="1"/>
      <c r="I1508" s="1"/>
      <c r="J1508" s="1"/>
      <c r="K1508" s="1"/>
      <c r="L1508" s="12">
        <f t="shared" si="239"/>
        <v>17850.64253</v>
      </c>
      <c r="M1508" s="12"/>
      <c r="N1508" s="15"/>
      <c r="O1508" s="1"/>
      <c r="Q1508" s="12"/>
      <c r="R1508" s="1"/>
    </row>
    <row r="1509" ht="12.75" hidden="1" customHeight="1" outlineLevel="1">
      <c r="A1509" s="122">
        <f t="shared" si="240"/>
        <v>42824</v>
      </c>
      <c r="B1509" s="120">
        <v>771500.0</v>
      </c>
      <c r="C1509" s="19">
        <f t="shared" si="238"/>
        <v>0.003511966701</v>
      </c>
      <c r="D1509" s="19">
        <f t="shared" si="237"/>
        <v>-0.009451641673</v>
      </c>
      <c r="E1509" s="12"/>
      <c r="F1509" s="7"/>
      <c r="G1509" s="7"/>
      <c r="H1509" s="1"/>
      <c r="I1509" s="1"/>
      <c r="J1509" s="1"/>
      <c r="K1509" s="1"/>
      <c r="L1509" s="12">
        <f t="shared" si="239"/>
        <v>17913.33339</v>
      </c>
      <c r="M1509" s="12"/>
      <c r="N1509" s="15"/>
      <c r="O1509" s="1"/>
      <c r="Q1509" s="12"/>
      <c r="R1509" s="1"/>
    </row>
    <row r="1510" ht="12.75" hidden="1" customHeight="1" outlineLevel="1">
      <c r="A1510" s="122">
        <f t="shared" si="240"/>
        <v>42825</v>
      </c>
      <c r="B1510" s="120">
        <v>770686.23</v>
      </c>
      <c r="C1510" s="19">
        <f t="shared" si="238"/>
        <v>-0.001054789371</v>
      </c>
      <c r="D1510" s="19">
        <f t="shared" si="237"/>
        <v>-0.01049646155</v>
      </c>
      <c r="E1510" s="12"/>
      <c r="F1510" s="7"/>
      <c r="G1510" s="7"/>
      <c r="H1510" s="1"/>
      <c r="I1510" s="1"/>
      <c r="J1510" s="1"/>
      <c r="K1510" s="1"/>
      <c r="L1510" s="12">
        <f t="shared" si="239"/>
        <v>17894.4386</v>
      </c>
      <c r="M1510" s="12"/>
      <c r="N1510" s="15"/>
      <c r="O1510" s="1"/>
      <c r="Q1510" s="12"/>
      <c r="R1510" s="1"/>
    </row>
    <row r="1511" ht="12.75" hidden="1" customHeight="1" outlineLevel="1">
      <c r="A1511" s="122"/>
      <c r="B1511" s="12"/>
      <c r="C1511" s="1"/>
      <c r="D1511" s="1"/>
      <c r="E1511" s="12"/>
      <c r="F1511" s="7"/>
      <c r="G1511" s="7"/>
      <c r="H1511" s="1"/>
      <c r="I1511" s="1"/>
      <c r="J1511" s="1"/>
      <c r="K1511" s="1"/>
      <c r="L1511" s="12"/>
      <c r="M1511" s="12"/>
      <c r="N1511" s="15"/>
      <c r="O1511" s="1"/>
      <c r="Q1511" s="12"/>
      <c r="R1511" s="1"/>
    </row>
    <row r="1512" ht="12.75" hidden="1" customHeight="1" outlineLevel="1">
      <c r="A1512" s="122"/>
      <c r="B1512" s="12">
        <f>B1510</f>
        <v>770686.23</v>
      </c>
      <c r="C1512" s="19"/>
      <c r="D1512" s="19">
        <f t="shared" ref="D1512:D1542" si="241">(B1512/$B$1512)-1</f>
        <v>0</v>
      </c>
      <c r="E1512" s="12"/>
      <c r="F1512" s="7"/>
      <c r="G1512" s="7"/>
      <c r="H1512" s="1"/>
      <c r="I1512" s="1"/>
      <c r="J1512" s="1"/>
      <c r="K1512" s="1"/>
      <c r="L1512" s="12"/>
      <c r="M1512" s="12"/>
      <c r="N1512" s="15"/>
      <c r="O1512" s="1"/>
      <c r="Q1512" s="12"/>
      <c r="R1512" s="1"/>
    </row>
    <row r="1513" ht="12.75" hidden="1" customHeight="1" outlineLevel="1">
      <c r="A1513" s="122">
        <f>A1510+1</f>
        <v>42826</v>
      </c>
      <c r="B1513" s="120">
        <v>763000.0</v>
      </c>
      <c r="C1513" s="19">
        <f t="shared" ref="C1513:C1542" si="242">(B1513/B1512)-1</f>
        <v>-0.009973228664</v>
      </c>
      <c r="D1513" s="19">
        <f t="shared" si="241"/>
        <v>-0.009973228664</v>
      </c>
      <c r="E1513" s="12"/>
      <c r="F1513" s="7"/>
      <c r="G1513" s="7"/>
      <c r="H1513" s="1"/>
      <c r="I1513" s="1"/>
      <c r="J1513" s="1"/>
      <c r="K1513" s="1"/>
      <c r="L1513" s="12">
        <f t="shared" ref="L1513:L1542" si="243">IF(C1512="",L1510*(1+C1513),L1512*(1+C1513))</f>
        <v>17715.97327</v>
      </c>
      <c r="M1513" s="12"/>
      <c r="N1513" s="15"/>
      <c r="O1513" s="1"/>
      <c r="Q1513" s="12"/>
      <c r="R1513" s="1"/>
    </row>
    <row r="1514" ht="12.75" hidden="1" customHeight="1" outlineLevel="1">
      <c r="A1514" s="122">
        <f t="shared" ref="A1514:A1542" si="244">A1513+1</f>
        <v>42827</v>
      </c>
      <c r="B1514" s="120">
        <v>763000.0</v>
      </c>
      <c r="C1514" s="19">
        <f t="shared" si="242"/>
        <v>0</v>
      </c>
      <c r="D1514" s="19">
        <f t="shared" si="241"/>
        <v>-0.009973228664</v>
      </c>
      <c r="E1514" s="12"/>
      <c r="F1514" s="7"/>
      <c r="G1514" s="7"/>
      <c r="H1514" s="1"/>
      <c r="I1514" s="1"/>
      <c r="J1514" s="1"/>
      <c r="K1514" s="1"/>
      <c r="L1514" s="12">
        <f t="shared" si="243"/>
        <v>17715.97327</v>
      </c>
      <c r="M1514" s="12"/>
      <c r="N1514" s="15"/>
      <c r="O1514" s="1"/>
      <c r="Q1514" s="12"/>
      <c r="R1514" s="1"/>
    </row>
    <row r="1515" ht="12.75" hidden="1" customHeight="1" outlineLevel="1">
      <c r="A1515" s="122">
        <f t="shared" si="244"/>
        <v>42828</v>
      </c>
      <c r="B1515" s="120">
        <v>763000.0</v>
      </c>
      <c r="C1515" s="19">
        <f t="shared" si="242"/>
        <v>0</v>
      </c>
      <c r="D1515" s="19">
        <f t="shared" si="241"/>
        <v>-0.009973228664</v>
      </c>
      <c r="E1515" s="12"/>
      <c r="F1515" s="7"/>
      <c r="G1515" s="7"/>
      <c r="H1515" s="1"/>
      <c r="I1515" s="1"/>
      <c r="J1515" s="1"/>
      <c r="K1515" s="1"/>
      <c r="L1515" s="12">
        <f t="shared" si="243"/>
        <v>17715.97327</v>
      </c>
      <c r="M1515" s="12"/>
      <c r="N1515" s="15"/>
      <c r="O1515" s="1"/>
      <c r="Q1515" s="12"/>
      <c r="R1515" s="1"/>
    </row>
    <row r="1516" ht="12.75" hidden="1" customHeight="1" outlineLevel="1">
      <c r="A1516" s="122">
        <f t="shared" si="244"/>
        <v>42829</v>
      </c>
      <c r="B1516" s="120">
        <v>758509.5</v>
      </c>
      <c r="C1516" s="19">
        <f t="shared" si="242"/>
        <v>-0.005885321101</v>
      </c>
      <c r="D1516" s="19">
        <f t="shared" si="241"/>
        <v>-0.01579985411</v>
      </c>
      <c r="E1516" s="12"/>
      <c r="F1516" s="7"/>
      <c r="G1516" s="7"/>
      <c r="H1516" s="1"/>
      <c r="I1516" s="1"/>
      <c r="J1516" s="1"/>
      <c r="K1516" s="1"/>
      <c r="L1516" s="12">
        <f t="shared" si="243"/>
        <v>17611.70908</v>
      </c>
      <c r="M1516" s="12"/>
      <c r="N1516" s="15"/>
      <c r="O1516" s="1"/>
      <c r="Q1516" s="12"/>
      <c r="R1516" s="1"/>
    </row>
    <row r="1517" ht="12.75" hidden="1" customHeight="1" outlineLevel="1">
      <c r="A1517" s="122">
        <f t="shared" si="244"/>
        <v>42830</v>
      </c>
      <c r="B1517" s="120">
        <v>754399.75</v>
      </c>
      <c r="C1517" s="19">
        <f t="shared" si="242"/>
        <v>-0.005418191862</v>
      </c>
      <c r="D1517" s="19">
        <f t="shared" si="241"/>
        <v>-0.02113243933</v>
      </c>
      <c r="E1517" s="12"/>
      <c r="F1517" s="7"/>
      <c r="G1517" s="7"/>
      <c r="H1517" s="1"/>
      <c r="I1517" s="1"/>
      <c r="J1517" s="1"/>
      <c r="K1517" s="1"/>
      <c r="L1517" s="12">
        <f t="shared" si="243"/>
        <v>17516.28546</v>
      </c>
      <c r="M1517" s="12"/>
      <c r="N1517" s="15"/>
      <c r="O1517" s="1"/>
      <c r="Q1517" s="12"/>
      <c r="R1517" s="1"/>
    </row>
    <row r="1518" ht="12.75" hidden="1" customHeight="1" outlineLevel="1">
      <c r="A1518" s="122">
        <f t="shared" si="244"/>
        <v>42831</v>
      </c>
      <c r="B1518" s="120">
        <v>754800.0</v>
      </c>
      <c r="C1518" s="19">
        <f t="shared" si="242"/>
        <v>0.0005305542585</v>
      </c>
      <c r="D1518" s="19">
        <f t="shared" si="241"/>
        <v>-0.02061309698</v>
      </c>
      <c r="E1518" s="12"/>
      <c r="F1518" s="7"/>
      <c r="G1518" s="7"/>
      <c r="H1518" s="1"/>
      <c r="I1518" s="1"/>
      <c r="J1518" s="1"/>
      <c r="K1518" s="1"/>
      <c r="L1518" s="12">
        <f t="shared" si="243"/>
        <v>17525.5788</v>
      </c>
      <c r="M1518" s="12"/>
      <c r="N1518" s="15"/>
      <c r="O1518" s="1"/>
      <c r="Q1518" s="12"/>
      <c r="R1518" s="1"/>
    </row>
    <row r="1519" ht="12.75" hidden="1" customHeight="1" outlineLevel="1">
      <c r="A1519" s="122">
        <f t="shared" si="244"/>
        <v>42832</v>
      </c>
      <c r="B1519" s="120">
        <v>754800.0</v>
      </c>
      <c r="C1519" s="19">
        <f t="shared" si="242"/>
        <v>0</v>
      </c>
      <c r="D1519" s="19">
        <f t="shared" si="241"/>
        <v>-0.02061309698</v>
      </c>
      <c r="E1519" s="12"/>
      <c r="F1519" s="7"/>
      <c r="G1519" s="7"/>
      <c r="H1519" s="1"/>
      <c r="I1519" s="1"/>
      <c r="J1519" s="1"/>
      <c r="K1519" s="1"/>
      <c r="L1519" s="12">
        <f t="shared" si="243"/>
        <v>17525.5788</v>
      </c>
      <c r="M1519" s="12"/>
      <c r="N1519" s="15"/>
      <c r="O1519" s="1"/>
      <c r="Q1519" s="12"/>
      <c r="R1519" s="1"/>
    </row>
    <row r="1520" ht="12.75" hidden="1" customHeight="1" outlineLevel="1">
      <c r="A1520" s="122">
        <f t="shared" si="244"/>
        <v>42833</v>
      </c>
      <c r="B1520" s="120">
        <v>754800.0</v>
      </c>
      <c r="C1520" s="19">
        <f t="shared" si="242"/>
        <v>0</v>
      </c>
      <c r="D1520" s="19">
        <f t="shared" si="241"/>
        <v>-0.02061309698</v>
      </c>
      <c r="E1520" s="12"/>
      <c r="F1520" s="7"/>
      <c r="G1520" s="7"/>
      <c r="H1520" s="1"/>
      <c r="I1520" s="1"/>
      <c r="J1520" s="1"/>
      <c r="K1520" s="1"/>
      <c r="L1520" s="12">
        <f t="shared" si="243"/>
        <v>17525.5788</v>
      </c>
      <c r="M1520" s="12"/>
      <c r="N1520" s="15"/>
      <c r="O1520" s="1"/>
      <c r="Q1520" s="12"/>
      <c r="R1520" s="1"/>
    </row>
    <row r="1521" ht="12.75" hidden="1" customHeight="1" outlineLevel="1">
      <c r="A1521" s="122">
        <f t="shared" si="244"/>
        <v>42834</v>
      </c>
      <c r="B1521" s="120">
        <v>754800.0</v>
      </c>
      <c r="C1521" s="19">
        <f t="shared" si="242"/>
        <v>0</v>
      </c>
      <c r="D1521" s="19">
        <f t="shared" si="241"/>
        <v>-0.02061309698</v>
      </c>
      <c r="E1521" s="12"/>
      <c r="F1521" s="7"/>
      <c r="G1521" s="7"/>
      <c r="H1521" s="1"/>
      <c r="I1521" s="1"/>
      <c r="J1521" s="1"/>
      <c r="K1521" s="1"/>
      <c r="L1521" s="12">
        <f t="shared" si="243"/>
        <v>17525.5788</v>
      </c>
      <c r="M1521" s="12"/>
      <c r="N1521" s="15"/>
      <c r="O1521" s="1"/>
      <c r="Q1521" s="12"/>
      <c r="R1521" s="1"/>
    </row>
    <row r="1522" ht="12.75" hidden="1" customHeight="1" outlineLevel="1">
      <c r="A1522" s="122">
        <f t="shared" si="244"/>
        <v>42835</v>
      </c>
      <c r="B1522" s="120">
        <v>755500.0</v>
      </c>
      <c r="C1522" s="19">
        <f t="shared" si="242"/>
        <v>0.0009273979862</v>
      </c>
      <c r="D1522" s="19">
        <f t="shared" si="241"/>
        <v>-0.01970481554</v>
      </c>
      <c r="E1522" s="12"/>
      <c r="F1522" s="7"/>
      <c r="G1522" s="7"/>
      <c r="H1522" s="1"/>
      <c r="I1522" s="1"/>
      <c r="J1522" s="1"/>
      <c r="K1522" s="1"/>
      <c r="L1522" s="12">
        <f t="shared" si="243"/>
        <v>17541.83198</v>
      </c>
      <c r="M1522" s="12"/>
      <c r="N1522" s="15"/>
      <c r="O1522" s="1"/>
      <c r="Q1522" s="12"/>
      <c r="R1522" s="1"/>
    </row>
    <row r="1523" ht="12.75" hidden="1" customHeight="1" outlineLevel="1">
      <c r="A1523" s="122">
        <f t="shared" si="244"/>
        <v>42836</v>
      </c>
      <c r="B1523" s="120">
        <v>758100.0</v>
      </c>
      <c r="C1523" s="19">
        <f t="shared" si="242"/>
        <v>0.003441429517</v>
      </c>
      <c r="D1523" s="19">
        <f t="shared" si="241"/>
        <v>-0.01633119876</v>
      </c>
      <c r="E1523" s="12"/>
      <c r="F1523" s="7"/>
      <c r="G1523" s="7"/>
      <c r="H1523" s="1"/>
      <c r="I1523" s="1"/>
      <c r="J1523" s="1"/>
      <c r="K1523" s="1"/>
      <c r="L1523" s="12">
        <f t="shared" si="243"/>
        <v>17602.20096</v>
      </c>
      <c r="M1523" s="12"/>
      <c r="N1523" s="15"/>
      <c r="O1523" s="1"/>
      <c r="Q1523" s="12"/>
      <c r="R1523" s="1"/>
    </row>
    <row r="1524" ht="12.75" hidden="1" customHeight="1" outlineLevel="1">
      <c r="A1524" s="122">
        <f t="shared" si="244"/>
        <v>42837</v>
      </c>
      <c r="B1524" s="120">
        <v>751800.0</v>
      </c>
      <c r="C1524" s="19">
        <f t="shared" si="242"/>
        <v>-0.008310249307</v>
      </c>
      <c r="D1524" s="19">
        <f t="shared" si="241"/>
        <v>-0.02450573173</v>
      </c>
      <c r="E1524" s="12"/>
      <c r="F1524" s="7"/>
      <c r="G1524" s="7"/>
      <c r="H1524" s="1"/>
      <c r="I1524" s="1"/>
      <c r="J1524" s="1"/>
      <c r="K1524" s="1"/>
      <c r="L1524" s="12">
        <f t="shared" si="243"/>
        <v>17455.92228</v>
      </c>
      <c r="M1524" s="12"/>
      <c r="N1524" s="15"/>
      <c r="O1524" s="1"/>
      <c r="Q1524" s="12"/>
      <c r="R1524" s="1"/>
    </row>
    <row r="1525" ht="12.75" hidden="1" customHeight="1" outlineLevel="1">
      <c r="A1525" s="122">
        <f t="shared" si="244"/>
        <v>42838</v>
      </c>
      <c r="B1525" s="120">
        <v>746800.0</v>
      </c>
      <c r="C1525" s="19">
        <f t="shared" si="242"/>
        <v>-0.006650704975</v>
      </c>
      <c r="D1525" s="19">
        <f t="shared" si="241"/>
        <v>-0.03099345631</v>
      </c>
      <c r="E1525" s="12"/>
      <c r="F1525" s="7"/>
      <c r="G1525" s="7"/>
      <c r="H1525" s="1"/>
      <c r="I1525" s="1"/>
      <c r="J1525" s="1"/>
      <c r="K1525" s="1"/>
      <c r="L1525" s="12">
        <f t="shared" si="243"/>
        <v>17339.8281</v>
      </c>
      <c r="M1525" s="12"/>
      <c r="N1525" s="15"/>
      <c r="O1525" s="1"/>
      <c r="Q1525" s="12"/>
      <c r="R1525" s="1"/>
    </row>
    <row r="1526" ht="12.75" hidden="1" customHeight="1" outlineLevel="1">
      <c r="A1526" s="122">
        <f t="shared" si="244"/>
        <v>42839</v>
      </c>
      <c r="B1526" s="120">
        <v>746800.0</v>
      </c>
      <c r="C1526" s="19">
        <f t="shared" si="242"/>
        <v>0</v>
      </c>
      <c r="D1526" s="19">
        <f t="shared" si="241"/>
        <v>-0.03099345631</v>
      </c>
      <c r="E1526" s="12"/>
      <c r="F1526" s="7"/>
      <c r="G1526" s="7"/>
      <c r="H1526" s="1"/>
      <c r="I1526" s="1"/>
      <c r="J1526" s="1"/>
      <c r="K1526" s="1"/>
      <c r="L1526" s="12">
        <f t="shared" si="243"/>
        <v>17339.8281</v>
      </c>
      <c r="M1526" s="12"/>
      <c r="N1526" s="15"/>
      <c r="O1526" s="1"/>
      <c r="Q1526" s="12"/>
      <c r="R1526" s="1"/>
    </row>
    <row r="1527" ht="12.75" hidden="1" customHeight="1" outlineLevel="1">
      <c r="A1527" s="122">
        <f t="shared" si="244"/>
        <v>42840</v>
      </c>
      <c r="B1527" s="120">
        <v>746800.0</v>
      </c>
      <c r="C1527" s="19">
        <f t="shared" si="242"/>
        <v>0</v>
      </c>
      <c r="D1527" s="19">
        <f t="shared" si="241"/>
        <v>-0.03099345631</v>
      </c>
      <c r="E1527" s="12"/>
      <c r="F1527" s="7"/>
      <c r="G1527" s="7"/>
      <c r="H1527" s="1"/>
      <c r="I1527" s="1"/>
      <c r="J1527" s="1"/>
      <c r="K1527" s="1"/>
      <c r="L1527" s="12">
        <f t="shared" si="243"/>
        <v>17339.8281</v>
      </c>
      <c r="M1527" s="12"/>
      <c r="N1527" s="15"/>
      <c r="O1527" s="1"/>
      <c r="Q1527" s="12"/>
      <c r="R1527" s="1"/>
    </row>
    <row r="1528" ht="12.75" hidden="1" customHeight="1" outlineLevel="1">
      <c r="A1528" s="122">
        <f t="shared" si="244"/>
        <v>42841</v>
      </c>
      <c r="B1528" s="120">
        <v>746800.0</v>
      </c>
      <c r="C1528" s="19">
        <f t="shared" si="242"/>
        <v>0</v>
      </c>
      <c r="D1528" s="19">
        <f t="shared" si="241"/>
        <v>-0.03099345631</v>
      </c>
      <c r="E1528" s="12"/>
      <c r="F1528" s="7"/>
      <c r="G1528" s="7"/>
      <c r="H1528" s="1"/>
      <c r="I1528" s="1"/>
      <c r="J1528" s="1"/>
      <c r="K1528" s="1"/>
      <c r="L1528" s="12">
        <f t="shared" si="243"/>
        <v>17339.8281</v>
      </c>
      <c r="M1528" s="12"/>
      <c r="N1528" s="15"/>
      <c r="O1528" s="1"/>
      <c r="Q1528" s="12"/>
      <c r="R1528" s="1"/>
    </row>
    <row r="1529" ht="12.75" hidden="1" customHeight="1" outlineLevel="1">
      <c r="A1529" s="122">
        <f t="shared" si="244"/>
        <v>42842</v>
      </c>
      <c r="B1529" s="120">
        <v>754400.0</v>
      </c>
      <c r="C1529" s="19">
        <f t="shared" si="242"/>
        <v>0.01017675415</v>
      </c>
      <c r="D1529" s="19">
        <f t="shared" si="241"/>
        <v>-0.02113211495</v>
      </c>
      <c r="E1529" s="12"/>
      <c r="F1529" s="7"/>
      <c r="G1529" s="7"/>
      <c r="H1529" s="1"/>
      <c r="I1529" s="1"/>
      <c r="J1529" s="1"/>
      <c r="K1529" s="1"/>
      <c r="L1529" s="12">
        <f t="shared" si="243"/>
        <v>17516.29126</v>
      </c>
      <c r="M1529" s="12"/>
      <c r="N1529" s="15"/>
      <c r="O1529" s="1"/>
      <c r="Q1529" s="12"/>
      <c r="R1529" s="1"/>
    </row>
    <row r="1530" ht="12.75" hidden="1" customHeight="1" outlineLevel="1">
      <c r="A1530" s="122">
        <f t="shared" si="244"/>
        <v>42843</v>
      </c>
      <c r="B1530" s="120">
        <v>751957.8499999999</v>
      </c>
      <c r="C1530" s="19">
        <f t="shared" si="242"/>
        <v>-0.003237208378</v>
      </c>
      <c r="D1530" s="19">
        <f t="shared" si="241"/>
        <v>-0.02430091426</v>
      </c>
      <c r="E1530" s="12"/>
      <c r="F1530" s="7"/>
      <c r="G1530" s="7"/>
      <c r="H1530" s="1"/>
      <c r="I1530" s="1"/>
      <c r="J1530" s="1"/>
      <c r="K1530" s="1"/>
      <c r="L1530" s="12">
        <f t="shared" si="243"/>
        <v>17459.58738</v>
      </c>
      <c r="M1530" s="12"/>
      <c r="N1530" s="15"/>
      <c r="O1530" s="1"/>
      <c r="Q1530" s="12"/>
      <c r="R1530" s="1"/>
    </row>
    <row r="1531" ht="12.75" hidden="1" customHeight="1" outlineLevel="1">
      <c r="A1531" s="122">
        <f t="shared" si="244"/>
        <v>42844</v>
      </c>
      <c r="B1531" s="120">
        <v>753800.0</v>
      </c>
      <c r="C1531" s="19">
        <f t="shared" si="242"/>
        <v>0.002449804866</v>
      </c>
      <c r="D1531" s="19">
        <f t="shared" si="241"/>
        <v>-0.0219106419</v>
      </c>
      <c r="E1531" s="12"/>
      <c r="F1531" s="7"/>
      <c r="G1531" s="7"/>
      <c r="H1531" s="1"/>
      <c r="I1531" s="1"/>
      <c r="J1531" s="1"/>
      <c r="K1531" s="1"/>
      <c r="L1531" s="12">
        <f t="shared" si="243"/>
        <v>17502.35996</v>
      </c>
      <c r="M1531" s="12"/>
      <c r="N1531" s="15"/>
      <c r="O1531" s="1"/>
      <c r="Q1531" s="12"/>
      <c r="R1531" s="1"/>
    </row>
    <row r="1532" ht="12.75" hidden="1" customHeight="1" outlineLevel="1">
      <c r="A1532" s="122">
        <f t="shared" si="244"/>
        <v>42845</v>
      </c>
      <c r="B1532" s="120">
        <v>762551.25</v>
      </c>
      <c r="C1532" s="19">
        <f t="shared" si="242"/>
        <v>0.01160951181</v>
      </c>
      <c r="D1532" s="19">
        <f t="shared" si="241"/>
        <v>-0.01055550195</v>
      </c>
      <c r="E1532" s="12"/>
      <c r="F1532" s="7"/>
      <c r="G1532" s="7"/>
      <c r="H1532" s="1"/>
      <c r="I1532" s="1"/>
      <c r="J1532" s="1"/>
      <c r="K1532" s="1"/>
      <c r="L1532" s="12">
        <f t="shared" si="243"/>
        <v>17705.55381</v>
      </c>
      <c r="M1532" s="12"/>
      <c r="N1532" s="15"/>
      <c r="O1532" s="1"/>
      <c r="Q1532" s="12"/>
      <c r="R1532" s="1"/>
    </row>
    <row r="1533" ht="12.75" hidden="1" customHeight="1" outlineLevel="1">
      <c r="A1533" s="122">
        <f t="shared" si="244"/>
        <v>42846</v>
      </c>
      <c r="B1533" s="120">
        <v>763000.0</v>
      </c>
      <c r="C1533" s="19">
        <f t="shared" si="242"/>
        <v>0.0005884850363</v>
      </c>
      <c r="D1533" s="19">
        <f t="shared" si="241"/>
        <v>-0.009973228664</v>
      </c>
      <c r="E1533" s="12"/>
      <c r="F1533" s="7"/>
      <c r="G1533" s="7"/>
      <c r="H1533" s="1"/>
      <c r="I1533" s="1"/>
      <c r="J1533" s="1"/>
      <c r="K1533" s="1"/>
      <c r="L1533" s="12">
        <f t="shared" si="243"/>
        <v>17715.97327</v>
      </c>
      <c r="M1533" s="12"/>
      <c r="N1533" s="15"/>
      <c r="O1533" s="1"/>
      <c r="Q1533" s="12"/>
      <c r="R1533" s="1"/>
    </row>
    <row r="1534" ht="12.75" hidden="1" customHeight="1" outlineLevel="1">
      <c r="A1534" s="122">
        <f t="shared" si="244"/>
        <v>42847</v>
      </c>
      <c r="B1534" s="120">
        <v>763000.0</v>
      </c>
      <c r="C1534" s="19">
        <f t="shared" si="242"/>
        <v>0</v>
      </c>
      <c r="D1534" s="19">
        <f t="shared" si="241"/>
        <v>-0.009973228664</v>
      </c>
      <c r="E1534" s="12"/>
      <c r="F1534" s="7"/>
      <c r="G1534" s="7"/>
      <c r="H1534" s="1"/>
      <c r="I1534" s="1"/>
      <c r="J1534" s="1"/>
      <c r="K1534" s="1"/>
      <c r="L1534" s="12">
        <f t="shared" si="243"/>
        <v>17715.97327</v>
      </c>
      <c r="M1534" s="12"/>
      <c r="N1534" s="15"/>
      <c r="O1534" s="1"/>
      <c r="Q1534" s="12"/>
      <c r="R1534" s="1"/>
    </row>
    <row r="1535" ht="12.75" hidden="1" customHeight="1" outlineLevel="1">
      <c r="A1535" s="122">
        <f t="shared" si="244"/>
        <v>42848</v>
      </c>
      <c r="B1535" s="120">
        <v>763000.0</v>
      </c>
      <c r="C1535" s="19">
        <f t="shared" si="242"/>
        <v>0</v>
      </c>
      <c r="D1535" s="19">
        <f t="shared" si="241"/>
        <v>-0.009973228664</v>
      </c>
      <c r="E1535" s="12"/>
      <c r="F1535" s="7"/>
      <c r="G1535" s="7"/>
      <c r="H1535" s="1"/>
      <c r="I1535" s="1"/>
      <c r="J1535" s="1"/>
      <c r="K1535" s="1"/>
      <c r="L1535" s="12">
        <f t="shared" si="243"/>
        <v>17715.97327</v>
      </c>
      <c r="M1535" s="12"/>
      <c r="N1535" s="15"/>
      <c r="O1535" s="1"/>
      <c r="Q1535" s="12"/>
      <c r="R1535" s="1"/>
    </row>
    <row r="1536" ht="12.75" hidden="1" customHeight="1" outlineLevel="1">
      <c r="A1536" s="122">
        <f t="shared" si="244"/>
        <v>42849</v>
      </c>
      <c r="B1536" s="120">
        <v>772730.0</v>
      </c>
      <c r="C1536" s="19">
        <f t="shared" si="242"/>
        <v>0.01275229358</v>
      </c>
      <c r="D1536" s="19">
        <f t="shared" si="241"/>
        <v>0.002651883374</v>
      </c>
      <c r="E1536" s="12"/>
      <c r="F1536" s="7"/>
      <c r="G1536" s="7"/>
      <c r="H1536" s="1"/>
      <c r="I1536" s="1"/>
      <c r="J1536" s="1"/>
      <c r="K1536" s="1"/>
      <c r="L1536" s="12">
        <f t="shared" si="243"/>
        <v>17941.89256</v>
      </c>
      <c r="M1536" s="12"/>
      <c r="N1536" s="15"/>
      <c r="O1536" s="1"/>
      <c r="Q1536" s="12"/>
      <c r="R1536" s="1"/>
    </row>
    <row r="1537" ht="12.75" hidden="1" customHeight="1" outlineLevel="1">
      <c r="A1537" s="122">
        <f t="shared" si="244"/>
        <v>42850</v>
      </c>
      <c r="B1537" s="120">
        <v>778955.7499999999</v>
      </c>
      <c r="C1537" s="19">
        <f t="shared" si="242"/>
        <v>0.008056824505</v>
      </c>
      <c r="D1537" s="19">
        <f t="shared" si="241"/>
        <v>0.01073007364</v>
      </c>
      <c r="E1537" s="12"/>
      <c r="F1537" s="7"/>
      <c r="G1537" s="7"/>
      <c r="H1537" s="1"/>
      <c r="I1537" s="1"/>
      <c r="J1537" s="1"/>
      <c r="K1537" s="1"/>
      <c r="L1537" s="12">
        <f t="shared" si="243"/>
        <v>18086.44724</v>
      </c>
      <c r="M1537" s="12"/>
      <c r="N1537" s="15"/>
      <c r="O1537" s="1"/>
      <c r="Q1537" s="12"/>
      <c r="R1537" s="1"/>
    </row>
    <row r="1538" ht="12.75" hidden="1" customHeight="1" outlineLevel="1">
      <c r="A1538" s="122">
        <f t="shared" si="244"/>
        <v>42851</v>
      </c>
      <c r="B1538" s="120">
        <v>780800.0</v>
      </c>
      <c r="C1538" s="19">
        <f t="shared" si="242"/>
        <v>0.002367592768</v>
      </c>
      <c r="D1538" s="19">
        <f t="shared" si="241"/>
        <v>0.01312307085</v>
      </c>
      <c r="E1538" s="12"/>
      <c r="F1538" s="7"/>
      <c r="G1538" s="7"/>
      <c r="H1538" s="1"/>
      <c r="I1538" s="1"/>
      <c r="J1538" s="1"/>
      <c r="K1538" s="1"/>
      <c r="L1538" s="12">
        <f t="shared" si="243"/>
        <v>18129.26858</v>
      </c>
      <c r="M1538" s="12"/>
      <c r="N1538" s="15"/>
      <c r="O1538" s="1"/>
      <c r="Q1538" s="12"/>
      <c r="R1538" s="1"/>
    </row>
    <row r="1539" ht="12.75" hidden="1" customHeight="1" outlineLevel="1">
      <c r="A1539" s="122">
        <f t="shared" si="244"/>
        <v>42852</v>
      </c>
      <c r="B1539" s="120">
        <v>781700.0</v>
      </c>
      <c r="C1539" s="19">
        <f t="shared" si="242"/>
        <v>0.001152663934</v>
      </c>
      <c r="D1539" s="19">
        <f t="shared" si="241"/>
        <v>0.01429086128</v>
      </c>
      <c r="E1539" s="12"/>
      <c r="F1539" s="7"/>
      <c r="G1539" s="7"/>
      <c r="H1539" s="1"/>
      <c r="I1539" s="1"/>
      <c r="J1539" s="1"/>
      <c r="K1539" s="1"/>
      <c r="L1539" s="12">
        <f t="shared" si="243"/>
        <v>18150.16554</v>
      </c>
      <c r="M1539" s="12"/>
      <c r="N1539" s="15"/>
      <c r="O1539" s="1"/>
      <c r="Q1539" s="12"/>
      <c r="R1539" s="1"/>
    </row>
    <row r="1540" ht="12.75" hidden="1" customHeight="1" outlineLevel="1">
      <c r="A1540" s="122">
        <f t="shared" si="244"/>
        <v>42853</v>
      </c>
      <c r="B1540" s="120">
        <v>778918.82</v>
      </c>
      <c r="C1540" s="19">
        <f t="shared" si="242"/>
        <v>-0.003557861072</v>
      </c>
      <c r="D1540" s="19">
        <f t="shared" si="241"/>
        <v>0.0106821553</v>
      </c>
      <c r="E1540" s="12"/>
      <c r="F1540" s="7"/>
      <c r="G1540" s="7"/>
      <c r="H1540" s="1"/>
      <c r="I1540" s="1"/>
      <c r="J1540" s="1"/>
      <c r="K1540" s="1"/>
      <c r="L1540" s="12">
        <f t="shared" si="243"/>
        <v>18085.58977</v>
      </c>
      <c r="M1540" s="12"/>
      <c r="N1540" s="15"/>
      <c r="O1540" s="1"/>
      <c r="Q1540" s="12"/>
      <c r="R1540" s="1"/>
    </row>
    <row r="1541" ht="12.75" hidden="1" customHeight="1" outlineLevel="1">
      <c r="A1541" s="122">
        <f t="shared" si="244"/>
        <v>42854</v>
      </c>
      <c r="B1541" s="120">
        <v>778918.82</v>
      </c>
      <c r="C1541" s="19">
        <f t="shared" si="242"/>
        <v>0</v>
      </c>
      <c r="D1541" s="19">
        <f t="shared" si="241"/>
        <v>0.0106821553</v>
      </c>
      <c r="E1541" s="12"/>
      <c r="F1541" s="7"/>
      <c r="G1541" s="7"/>
      <c r="H1541" s="1"/>
      <c r="I1541" s="1"/>
      <c r="J1541" s="1"/>
      <c r="K1541" s="1"/>
      <c r="L1541" s="12">
        <f t="shared" si="243"/>
        <v>18085.58977</v>
      </c>
      <c r="M1541" s="12"/>
      <c r="N1541" s="15"/>
      <c r="O1541" s="1"/>
      <c r="Q1541" s="12"/>
      <c r="R1541" s="1"/>
    </row>
    <row r="1542" ht="12.75" hidden="1" customHeight="1" outlineLevel="1">
      <c r="A1542" s="122">
        <f t="shared" si="244"/>
        <v>42855</v>
      </c>
      <c r="B1542" s="120">
        <v>778918.82</v>
      </c>
      <c r="C1542" s="19">
        <f t="shared" si="242"/>
        <v>0</v>
      </c>
      <c r="D1542" s="19">
        <f t="shared" si="241"/>
        <v>0.0106821553</v>
      </c>
      <c r="E1542" s="12"/>
      <c r="F1542" s="7"/>
      <c r="G1542" s="7"/>
      <c r="H1542" s="1"/>
      <c r="I1542" s="1"/>
      <c r="J1542" s="1"/>
      <c r="K1542" s="1"/>
      <c r="L1542" s="12">
        <f t="shared" si="243"/>
        <v>18085.58977</v>
      </c>
      <c r="M1542" s="12"/>
      <c r="N1542" s="15"/>
      <c r="O1542" s="1"/>
      <c r="Q1542" s="12"/>
      <c r="R1542" s="1"/>
    </row>
    <row r="1543" ht="12.75" hidden="1" customHeight="1" outlineLevel="1">
      <c r="A1543" s="122"/>
      <c r="B1543" s="12"/>
      <c r="C1543" s="1"/>
      <c r="D1543" s="1"/>
      <c r="E1543" s="12"/>
      <c r="F1543" s="7"/>
      <c r="G1543" s="7"/>
      <c r="H1543" s="1"/>
      <c r="I1543" s="1"/>
      <c r="J1543" s="1"/>
      <c r="K1543" s="1"/>
      <c r="L1543" s="12"/>
      <c r="M1543" s="12"/>
      <c r="N1543" s="15"/>
      <c r="O1543" s="1"/>
      <c r="Q1543" s="12"/>
      <c r="R1543" s="1"/>
    </row>
    <row r="1544" ht="12.75" hidden="1" customHeight="1" outlineLevel="1">
      <c r="A1544" s="122"/>
      <c r="B1544" s="12">
        <f>B1542</f>
        <v>778918.82</v>
      </c>
      <c r="C1544" s="19"/>
      <c r="D1544" s="19">
        <f t="shared" ref="D1544:D1575" si="245">(B1544/$B$1544)-1</f>
        <v>0</v>
      </c>
      <c r="E1544" s="12"/>
      <c r="F1544" s="7"/>
      <c r="G1544" s="7"/>
      <c r="H1544" s="1"/>
      <c r="I1544" s="1"/>
      <c r="J1544" s="1"/>
      <c r="K1544" s="1"/>
      <c r="L1544" s="12"/>
      <c r="M1544" s="12"/>
      <c r="N1544" s="15"/>
      <c r="O1544" s="1"/>
      <c r="Q1544" s="12"/>
      <c r="R1544" s="1"/>
    </row>
    <row r="1545" ht="12.75" hidden="1" customHeight="1" outlineLevel="1">
      <c r="A1545" s="122">
        <f>A1542+1</f>
        <v>42856</v>
      </c>
      <c r="B1545" s="120">
        <v>782000.0</v>
      </c>
      <c r="C1545" s="19">
        <f t="shared" ref="C1545:C1575" si="246">(B1545/B1544)-1</f>
        <v>0.003955713896</v>
      </c>
      <c r="D1545" s="19">
        <f t="shared" si="245"/>
        <v>0.003955713896</v>
      </c>
      <c r="E1545" s="12"/>
      <c r="F1545" s="7"/>
      <c r="G1545" s="7"/>
      <c r="H1545" s="1"/>
      <c r="I1545" s="1"/>
      <c r="J1545" s="1"/>
      <c r="K1545" s="1"/>
      <c r="L1545" s="12">
        <f t="shared" ref="L1545:L1575" si="247">IF(C1544="",L1542*(1+C1545),L1544*(1+C1545))</f>
        <v>18157.13119</v>
      </c>
      <c r="M1545" s="12"/>
      <c r="N1545" s="15"/>
      <c r="O1545" s="1"/>
      <c r="Q1545" s="12"/>
      <c r="R1545" s="1"/>
    </row>
    <row r="1546" ht="12.75" hidden="1" customHeight="1" outlineLevel="1">
      <c r="A1546" s="122">
        <f t="shared" ref="A1546:A1575" si="248">A1545+1</f>
        <v>42857</v>
      </c>
      <c r="B1546" s="120">
        <v>780100.0</v>
      </c>
      <c r="C1546" s="19">
        <f t="shared" si="246"/>
        <v>-0.002429667519</v>
      </c>
      <c r="D1546" s="19">
        <f t="shared" si="245"/>
        <v>0.001516435307</v>
      </c>
      <c r="E1546" s="12"/>
      <c r="F1546" s="7"/>
      <c r="G1546" s="7"/>
      <c r="H1546" s="1"/>
      <c r="I1546" s="1"/>
      <c r="J1546" s="1"/>
      <c r="K1546" s="1"/>
      <c r="L1546" s="12">
        <f t="shared" si="247"/>
        <v>18113.0154</v>
      </c>
      <c r="M1546" s="12"/>
      <c r="N1546" s="15"/>
      <c r="O1546" s="1"/>
      <c r="Q1546" s="12"/>
      <c r="R1546" s="1"/>
    </row>
    <row r="1547" ht="12.75" hidden="1" customHeight="1" outlineLevel="1">
      <c r="A1547" s="122">
        <f t="shared" si="248"/>
        <v>42858</v>
      </c>
      <c r="B1547" s="120">
        <v>775700.0</v>
      </c>
      <c r="C1547" s="19">
        <f t="shared" si="246"/>
        <v>-0.005640302525</v>
      </c>
      <c r="D1547" s="19">
        <f t="shared" si="245"/>
        <v>-0.004132420372</v>
      </c>
      <c r="E1547" s="12"/>
      <c r="F1547" s="7"/>
      <c r="G1547" s="7"/>
      <c r="H1547" s="1"/>
      <c r="I1547" s="1"/>
      <c r="J1547" s="1"/>
      <c r="K1547" s="1"/>
      <c r="L1547" s="12">
        <f t="shared" si="247"/>
        <v>18010.85251</v>
      </c>
      <c r="M1547" s="12"/>
      <c r="N1547" s="15"/>
      <c r="O1547" s="1"/>
      <c r="Q1547" s="12"/>
      <c r="R1547" s="1"/>
    </row>
    <row r="1548" ht="12.75" hidden="1" customHeight="1" outlineLevel="1">
      <c r="A1548" s="122">
        <f t="shared" si="248"/>
        <v>42859</v>
      </c>
      <c r="B1548" s="120">
        <v>781200.0</v>
      </c>
      <c r="C1548" s="19">
        <f t="shared" si="246"/>
        <v>0.007090369988</v>
      </c>
      <c r="D1548" s="19">
        <f t="shared" si="245"/>
        <v>0.002928649227</v>
      </c>
      <c r="E1548" s="12"/>
      <c r="F1548" s="7"/>
      <c r="G1548" s="7"/>
      <c r="H1548" s="1"/>
      <c r="I1548" s="1"/>
      <c r="J1548" s="1"/>
      <c r="K1548" s="1"/>
      <c r="L1548" s="12">
        <f t="shared" si="247"/>
        <v>18138.55612</v>
      </c>
      <c r="M1548" s="12"/>
      <c r="N1548" s="15"/>
      <c r="O1548" s="1"/>
      <c r="Q1548" s="12"/>
      <c r="R1548" s="1"/>
    </row>
    <row r="1549" ht="12.75" hidden="1" customHeight="1" outlineLevel="1">
      <c r="A1549" s="122">
        <f t="shared" si="248"/>
        <v>42860</v>
      </c>
      <c r="B1549" s="120">
        <v>781343.0</v>
      </c>
      <c r="C1549" s="19">
        <f t="shared" si="246"/>
        <v>0.0001830517153</v>
      </c>
      <c r="D1549" s="19">
        <f t="shared" si="245"/>
        <v>0.003112237036</v>
      </c>
      <c r="E1549" s="12"/>
      <c r="F1549" s="7"/>
      <c r="G1549" s="7"/>
      <c r="H1549" s="1"/>
      <c r="I1549" s="1"/>
      <c r="J1549" s="1"/>
      <c r="K1549" s="1"/>
      <c r="L1549" s="12">
        <f t="shared" si="247"/>
        <v>18141.87641</v>
      </c>
      <c r="M1549" s="12"/>
      <c r="N1549" s="15"/>
      <c r="O1549" s="1"/>
      <c r="Q1549" s="12"/>
      <c r="R1549" s="1"/>
    </row>
    <row r="1550" ht="12.75" hidden="1" customHeight="1" outlineLevel="1">
      <c r="A1550" s="122">
        <f t="shared" si="248"/>
        <v>42861</v>
      </c>
      <c r="B1550" s="120">
        <v>781343.0</v>
      </c>
      <c r="C1550" s="19">
        <f t="shared" si="246"/>
        <v>0</v>
      </c>
      <c r="D1550" s="19">
        <f t="shared" si="245"/>
        <v>0.003112237036</v>
      </c>
      <c r="E1550" s="12"/>
      <c r="F1550" s="7"/>
      <c r="G1550" s="7"/>
      <c r="H1550" s="1"/>
      <c r="I1550" s="1"/>
      <c r="J1550" s="1"/>
      <c r="K1550" s="1"/>
      <c r="L1550" s="12">
        <f t="shared" si="247"/>
        <v>18141.87641</v>
      </c>
      <c r="M1550" s="12"/>
      <c r="N1550" s="15"/>
      <c r="O1550" s="1"/>
      <c r="Q1550" s="12"/>
      <c r="R1550" s="1"/>
    </row>
    <row r="1551" ht="12.75" hidden="1" customHeight="1" outlineLevel="1">
      <c r="A1551" s="122">
        <f t="shared" si="248"/>
        <v>42862</v>
      </c>
      <c r="B1551" s="120">
        <v>781343.0</v>
      </c>
      <c r="C1551" s="19">
        <f t="shared" si="246"/>
        <v>0</v>
      </c>
      <c r="D1551" s="19">
        <f t="shared" si="245"/>
        <v>0.003112237036</v>
      </c>
      <c r="E1551" s="12"/>
      <c r="F1551" s="7"/>
      <c r="G1551" s="7"/>
      <c r="H1551" s="1"/>
      <c r="I1551" s="1"/>
      <c r="J1551" s="1"/>
      <c r="K1551" s="1"/>
      <c r="L1551" s="12">
        <f t="shared" si="247"/>
        <v>18141.87641</v>
      </c>
      <c r="M1551" s="12"/>
      <c r="N1551" s="15"/>
      <c r="O1551" s="1"/>
      <c r="Q1551" s="12"/>
      <c r="R1551" s="1"/>
    </row>
    <row r="1552" ht="12.75" hidden="1" customHeight="1" outlineLevel="1">
      <c r="A1552" s="122">
        <f t="shared" si="248"/>
        <v>42863</v>
      </c>
      <c r="B1552" s="120">
        <v>782100.0</v>
      </c>
      <c r="C1552" s="19">
        <f t="shared" si="246"/>
        <v>0.0009688446687</v>
      </c>
      <c r="D1552" s="19">
        <f t="shared" si="245"/>
        <v>0.004084096979</v>
      </c>
      <c r="E1552" s="12"/>
      <c r="F1552" s="7"/>
      <c r="G1552" s="7"/>
      <c r="H1552" s="1"/>
      <c r="I1552" s="1"/>
      <c r="J1552" s="1"/>
      <c r="K1552" s="1"/>
      <c r="L1552" s="12">
        <f t="shared" si="247"/>
        <v>18159.45307</v>
      </c>
      <c r="M1552" s="12"/>
      <c r="N1552" s="15"/>
      <c r="O1552" s="1"/>
      <c r="Q1552" s="12"/>
      <c r="R1552" s="1"/>
    </row>
    <row r="1553" ht="12.75" hidden="1" customHeight="1" outlineLevel="1">
      <c r="A1553" s="122">
        <f t="shared" si="248"/>
        <v>42864</v>
      </c>
      <c r="B1553" s="120">
        <v>783400.0</v>
      </c>
      <c r="C1553" s="19">
        <f t="shared" si="246"/>
        <v>0.001662191536</v>
      </c>
      <c r="D1553" s="19">
        <f t="shared" si="245"/>
        <v>0.005753077066</v>
      </c>
      <c r="E1553" s="12"/>
      <c r="F1553" s="7"/>
      <c r="G1553" s="7"/>
      <c r="H1553" s="1"/>
      <c r="I1553" s="1"/>
      <c r="J1553" s="1"/>
      <c r="K1553" s="1"/>
      <c r="L1553" s="12">
        <f t="shared" si="247"/>
        <v>18189.63756</v>
      </c>
      <c r="M1553" s="12"/>
      <c r="N1553" s="15"/>
      <c r="O1553" s="1"/>
      <c r="Q1553" s="12"/>
      <c r="R1553" s="1"/>
    </row>
    <row r="1554" ht="12.75" hidden="1" customHeight="1" outlineLevel="1">
      <c r="A1554" s="122">
        <f t="shared" si="248"/>
        <v>42865</v>
      </c>
      <c r="B1554" s="120">
        <v>785400.0</v>
      </c>
      <c r="C1554" s="19">
        <f t="shared" si="246"/>
        <v>0.002552974215</v>
      </c>
      <c r="D1554" s="19">
        <f t="shared" si="245"/>
        <v>0.008320738739</v>
      </c>
      <c r="E1554" s="12"/>
      <c r="F1554" s="7"/>
      <c r="G1554" s="7"/>
      <c r="H1554" s="1"/>
      <c r="I1554" s="1"/>
      <c r="J1554" s="1"/>
      <c r="K1554" s="1"/>
      <c r="L1554" s="12">
        <f t="shared" si="247"/>
        <v>18236.07524</v>
      </c>
      <c r="M1554" s="12"/>
      <c r="N1554" s="15"/>
      <c r="O1554" s="1"/>
      <c r="Q1554" s="12"/>
      <c r="R1554" s="1"/>
    </row>
    <row r="1555" ht="12.75" hidden="1" customHeight="1" outlineLevel="1">
      <c r="A1555" s="122">
        <f t="shared" si="248"/>
        <v>42866</v>
      </c>
      <c r="B1555" s="120">
        <v>787900.0</v>
      </c>
      <c r="C1555" s="19">
        <f t="shared" si="246"/>
        <v>0.003183091418</v>
      </c>
      <c r="D1555" s="19">
        <f t="shared" si="245"/>
        <v>0.01153031583</v>
      </c>
      <c r="E1555" s="12"/>
      <c r="F1555" s="7"/>
      <c r="G1555" s="7"/>
      <c r="H1555" s="1"/>
      <c r="I1555" s="1"/>
      <c r="J1555" s="1"/>
      <c r="K1555" s="1"/>
      <c r="L1555" s="12">
        <f t="shared" si="247"/>
        <v>18294.12233</v>
      </c>
      <c r="M1555" s="12"/>
      <c r="N1555" s="15"/>
      <c r="O1555" s="1"/>
      <c r="Q1555" s="12"/>
      <c r="R1555" s="1"/>
    </row>
    <row r="1556" ht="12.75" hidden="1" customHeight="1" outlineLevel="1">
      <c r="A1556" s="122">
        <f t="shared" si="248"/>
        <v>42867</v>
      </c>
      <c r="B1556" s="120">
        <v>786135.0</v>
      </c>
      <c r="C1556" s="19">
        <f t="shared" si="246"/>
        <v>-0.002240131996</v>
      </c>
      <c r="D1556" s="19">
        <f t="shared" si="245"/>
        <v>0.009264354403</v>
      </c>
      <c r="E1556" s="12"/>
      <c r="F1556" s="7"/>
      <c r="G1556" s="7"/>
      <c r="H1556" s="1"/>
      <c r="I1556" s="1"/>
      <c r="J1556" s="1"/>
      <c r="K1556" s="1"/>
      <c r="L1556" s="12">
        <f t="shared" si="247"/>
        <v>18253.14108</v>
      </c>
      <c r="M1556" s="12"/>
      <c r="N1556" s="15"/>
      <c r="O1556" s="1"/>
      <c r="Q1556" s="12"/>
      <c r="R1556" s="1"/>
    </row>
    <row r="1557" ht="12.75" hidden="1" customHeight="1" outlineLevel="1">
      <c r="A1557" s="122">
        <f t="shared" si="248"/>
        <v>42868</v>
      </c>
      <c r="B1557" s="120">
        <v>786135.0</v>
      </c>
      <c r="C1557" s="19">
        <f t="shared" si="246"/>
        <v>0</v>
      </c>
      <c r="D1557" s="19">
        <f t="shared" si="245"/>
        <v>0.009264354403</v>
      </c>
      <c r="E1557" s="12"/>
      <c r="F1557" s="7"/>
      <c r="G1557" s="7"/>
      <c r="H1557" s="1"/>
      <c r="I1557" s="1"/>
      <c r="J1557" s="1"/>
      <c r="K1557" s="1"/>
      <c r="L1557" s="12">
        <f t="shared" si="247"/>
        <v>18253.14108</v>
      </c>
      <c r="M1557" s="12"/>
      <c r="N1557" s="15"/>
      <c r="O1557" s="1"/>
      <c r="Q1557" s="12"/>
      <c r="R1557" s="1"/>
    </row>
    <row r="1558" ht="12.75" hidden="1" customHeight="1" outlineLevel="1">
      <c r="A1558" s="122">
        <f t="shared" si="248"/>
        <v>42869</v>
      </c>
      <c r="B1558" s="120">
        <v>786135.0</v>
      </c>
      <c r="C1558" s="19">
        <f t="shared" si="246"/>
        <v>0</v>
      </c>
      <c r="D1558" s="19">
        <f t="shared" si="245"/>
        <v>0.009264354403</v>
      </c>
      <c r="E1558" s="12"/>
      <c r="F1558" s="7"/>
      <c r="G1558" s="7"/>
      <c r="H1558" s="1"/>
      <c r="I1558" s="1"/>
      <c r="J1558" s="1"/>
      <c r="K1558" s="1"/>
      <c r="L1558" s="12">
        <f t="shared" si="247"/>
        <v>18253.14108</v>
      </c>
      <c r="M1558" s="12"/>
      <c r="N1558" s="15"/>
      <c r="O1558" s="1"/>
      <c r="Q1558" s="12"/>
      <c r="R1558" s="1"/>
    </row>
    <row r="1559" ht="12.75" hidden="1" customHeight="1" outlineLevel="1">
      <c r="A1559" s="122">
        <f t="shared" si="248"/>
        <v>42870</v>
      </c>
      <c r="B1559" s="120">
        <v>792800.0</v>
      </c>
      <c r="C1559" s="19">
        <f t="shared" si="246"/>
        <v>0.008478187589</v>
      </c>
      <c r="D1559" s="19">
        <f t="shared" si="245"/>
        <v>0.01782108693</v>
      </c>
      <c r="E1559" s="12"/>
      <c r="F1559" s="7"/>
      <c r="G1559" s="7"/>
      <c r="H1559" s="1"/>
      <c r="I1559" s="1"/>
      <c r="J1559" s="1"/>
      <c r="K1559" s="1"/>
      <c r="L1559" s="12">
        <f t="shared" si="247"/>
        <v>18407.89464</v>
      </c>
      <c r="M1559" s="12"/>
      <c r="N1559" s="15"/>
      <c r="O1559" s="1"/>
      <c r="Q1559" s="12"/>
      <c r="R1559" s="1"/>
    </row>
    <row r="1560" ht="12.75" hidden="1" customHeight="1" outlineLevel="1">
      <c r="A1560" s="122">
        <f t="shared" si="248"/>
        <v>42871</v>
      </c>
      <c r="B1560" s="120">
        <v>791349.0</v>
      </c>
      <c r="C1560" s="19">
        <f t="shared" si="246"/>
        <v>-0.001830221998</v>
      </c>
      <c r="D1560" s="19">
        <f t="shared" si="245"/>
        <v>0.01595824838</v>
      </c>
      <c r="E1560" s="12"/>
      <c r="F1560" s="7"/>
      <c r="G1560" s="7"/>
      <c r="H1560" s="1"/>
      <c r="I1560" s="1"/>
      <c r="J1560" s="1"/>
      <c r="K1560" s="1"/>
      <c r="L1560" s="12">
        <f t="shared" si="247"/>
        <v>18374.2041</v>
      </c>
      <c r="M1560" s="12"/>
      <c r="N1560" s="15"/>
      <c r="O1560" s="1"/>
      <c r="Q1560" s="12"/>
      <c r="R1560" s="1"/>
    </row>
    <row r="1561" ht="12.75" hidden="1" customHeight="1" outlineLevel="1">
      <c r="A1561" s="122">
        <f t="shared" si="248"/>
        <v>42872</v>
      </c>
      <c r="B1561" s="120">
        <v>769400.0</v>
      </c>
      <c r="C1561" s="19">
        <f t="shared" si="246"/>
        <v>-0.02773618214</v>
      </c>
      <c r="D1561" s="19">
        <f t="shared" si="245"/>
        <v>-0.01222055464</v>
      </c>
      <c r="E1561" s="12"/>
      <c r="F1561" s="7"/>
      <c r="G1561" s="7"/>
      <c r="H1561" s="1"/>
      <c r="I1561" s="1"/>
      <c r="J1561" s="1"/>
      <c r="K1561" s="1"/>
      <c r="L1561" s="12">
        <f t="shared" si="247"/>
        <v>17864.57383</v>
      </c>
      <c r="M1561" s="12"/>
      <c r="N1561" s="15"/>
      <c r="O1561" s="1"/>
      <c r="Q1561" s="12"/>
      <c r="R1561" s="1"/>
    </row>
    <row r="1562" ht="12.75" hidden="1" customHeight="1" outlineLevel="1">
      <c r="A1562" s="122">
        <f t="shared" si="248"/>
        <v>42873</v>
      </c>
      <c r="B1562" s="120">
        <v>772100.0</v>
      </c>
      <c r="C1562" s="19">
        <f t="shared" si="246"/>
        <v>0.00350922797</v>
      </c>
      <c r="D1562" s="19">
        <f t="shared" si="245"/>
        <v>-0.008754211382</v>
      </c>
      <c r="E1562" s="12"/>
      <c r="F1562" s="7"/>
      <c r="G1562" s="7"/>
      <c r="H1562" s="1"/>
      <c r="I1562" s="1"/>
      <c r="J1562" s="1"/>
      <c r="K1562" s="1"/>
      <c r="L1562" s="12">
        <f t="shared" si="247"/>
        <v>17927.26469</v>
      </c>
      <c r="M1562" s="12"/>
      <c r="N1562" s="15"/>
      <c r="O1562" s="1"/>
      <c r="Q1562" s="12"/>
      <c r="R1562" s="1"/>
    </row>
    <row r="1563" ht="12.75" hidden="1" customHeight="1" outlineLevel="1">
      <c r="A1563" s="122">
        <f t="shared" si="248"/>
        <v>42874</v>
      </c>
      <c r="B1563" s="120">
        <v>777600.0</v>
      </c>
      <c r="C1563" s="19">
        <f t="shared" si="246"/>
        <v>0.007123429608</v>
      </c>
      <c r="D1563" s="19">
        <f t="shared" si="245"/>
        <v>-0.001693141783</v>
      </c>
      <c r="E1563" s="12"/>
      <c r="F1563" s="7"/>
      <c r="G1563" s="7"/>
      <c r="H1563" s="1"/>
      <c r="I1563" s="1"/>
      <c r="J1563" s="1"/>
      <c r="K1563" s="1"/>
      <c r="L1563" s="12">
        <f t="shared" si="247"/>
        <v>18054.9683</v>
      </c>
      <c r="M1563" s="12"/>
      <c r="N1563" s="15"/>
      <c r="O1563" s="1"/>
      <c r="Q1563" s="12"/>
      <c r="R1563" s="1"/>
    </row>
    <row r="1564" ht="12.75" hidden="1" customHeight="1" outlineLevel="1">
      <c r="A1564" s="122">
        <f t="shared" si="248"/>
        <v>42875</v>
      </c>
      <c r="B1564" s="120">
        <v>777600.0</v>
      </c>
      <c r="C1564" s="19">
        <f t="shared" si="246"/>
        <v>0</v>
      </c>
      <c r="D1564" s="19">
        <f t="shared" si="245"/>
        <v>-0.001693141783</v>
      </c>
      <c r="E1564" s="12"/>
      <c r="F1564" s="7"/>
      <c r="G1564" s="7"/>
      <c r="H1564" s="1"/>
      <c r="I1564" s="1"/>
      <c r="J1564" s="1"/>
      <c r="K1564" s="1"/>
      <c r="L1564" s="12">
        <f t="shared" si="247"/>
        <v>18054.9683</v>
      </c>
      <c r="M1564" s="12"/>
      <c r="N1564" s="15"/>
      <c r="O1564" s="1"/>
      <c r="Q1564" s="12"/>
      <c r="R1564" s="1"/>
    </row>
    <row r="1565" ht="12.75" hidden="1" customHeight="1" outlineLevel="1">
      <c r="A1565" s="122">
        <f t="shared" si="248"/>
        <v>42876</v>
      </c>
      <c r="B1565" s="120">
        <v>777600.0</v>
      </c>
      <c r="C1565" s="19">
        <f t="shared" si="246"/>
        <v>0</v>
      </c>
      <c r="D1565" s="19">
        <f t="shared" si="245"/>
        <v>-0.001693141783</v>
      </c>
      <c r="E1565" s="12"/>
      <c r="F1565" s="7"/>
      <c r="G1565" s="7"/>
      <c r="H1565" s="1"/>
      <c r="I1565" s="1"/>
      <c r="J1565" s="1"/>
      <c r="K1565" s="1"/>
      <c r="L1565" s="12">
        <f t="shared" si="247"/>
        <v>18054.9683</v>
      </c>
      <c r="M1565" s="12"/>
      <c r="N1565" s="15"/>
      <c r="O1565" s="1"/>
      <c r="Q1565" s="12"/>
      <c r="R1565" s="1"/>
    </row>
    <row r="1566" ht="12.75" hidden="1" customHeight="1" outlineLevel="1">
      <c r="A1566" s="122">
        <f t="shared" si="248"/>
        <v>42877</v>
      </c>
      <c r="B1566" s="120">
        <v>778000.0</v>
      </c>
      <c r="C1566" s="19">
        <f t="shared" si="246"/>
        <v>0.0005144032922</v>
      </c>
      <c r="D1566" s="19">
        <f t="shared" si="245"/>
        <v>-0.001179609449</v>
      </c>
      <c r="E1566" s="12"/>
      <c r="F1566" s="7"/>
      <c r="G1566" s="7"/>
      <c r="H1566" s="1"/>
      <c r="I1566" s="1"/>
      <c r="J1566" s="1"/>
      <c r="K1566" s="1"/>
      <c r="L1566" s="12">
        <f t="shared" si="247"/>
        <v>18064.25584</v>
      </c>
      <c r="M1566" s="12"/>
      <c r="N1566" s="15"/>
      <c r="O1566" s="1"/>
      <c r="Q1566" s="12"/>
      <c r="R1566" s="1"/>
    </row>
    <row r="1567" ht="12.75" hidden="1" customHeight="1" outlineLevel="1">
      <c r="A1567" s="122">
        <f t="shared" si="248"/>
        <v>42878</v>
      </c>
      <c r="B1567" s="120">
        <v>772000.0</v>
      </c>
      <c r="C1567" s="19">
        <f t="shared" si="246"/>
        <v>-0.007712082262</v>
      </c>
      <c r="D1567" s="19">
        <f t="shared" si="245"/>
        <v>-0.008882594466</v>
      </c>
      <c r="E1567" s="12"/>
      <c r="F1567" s="7"/>
      <c r="G1567" s="7"/>
      <c r="H1567" s="1"/>
      <c r="I1567" s="1"/>
      <c r="J1567" s="1"/>
      <c r="K1567" s="1"/>
      <c r="L1567" s="12">
        <f t="shared" si="247"/>
        <v>17924.94281</v>
      </c>
      <c r="M1567" s="12"/>
      <c r="N1567" s="15"/>
      <c r="O1567" s="1"/>
      <c r="Q1567" s="12"/>
      <c r="R1567" s="1"/>
    </row>
    <row r="1568" ht="12.75" hidden="1" customHeight="1" outlineLevel="1">
      <c r="A1568" s="122">
        <f t="shared" si="248"/>
        <v>42879</v>
      </c>
      <c r="B1568" s="120">
        <v>777600.0</v>
      </c>
      <c r="C1568" s="19">
        <f t="shared" si="246"/>
        <v>0.00725388601</v>
      </c>
      <c r="D1568" s="19">
        <f t="shared" si="245"/>
        <v>-0.001693141783</v>
      </c>
      <c r="E1568" s="12"/>
      <c r="F1568" s="7"/>
      <c r="G1568" s="7"/>
      <c r="H1568" s="1"/>
      <c r="I1568" s="1"/>
      <c r="J1568" s="1"/>
      <c r="K1568" s="1"/>
      <c r="L1568" s="12">
        <f t="shared" si="247"/>
        <v>18054.9683</v>
      </c>
      <c r="M1568" s="12"/>
      <c r="N1568" s="15"/>
      <c r="O1568" s="1"/>
      <c r="Q1568" s="12"/>
      <c r="R1568" s="1"/>
    </row>
    <row r="1569" ht="12.75" hidden="1" customHeight="1" outlineLevel="1">
      <c r="A1569" s="122">
        <f t="shared" si="248"/>
        <v>42880</v>
      </c>
      <c r="B1569" s="120">
        <v>782600.0</v>
      </c>
      <c r="C1569" s="19">
        <f t="shared" si="246"/>
        <v>0.006430041152</v>
      </c>
      <c r="D1569" s="19">
        <f t="shared" si="245"/>
        <v>0.004726012398</v>
      </c>
      <c r="E1569" s="12"/>
      <c r="F1569" s="7"/>
      <c r="G1569" s="7"/>
      <c r="H1569" s="1"/>
      <c r="I1569" s="1"/>
      <c r="J1569" s="1"/>
      <c r="K1569" s="1"/>
      <c r="L1569" s="12">
        <f t="shared" si="247"/>
        <v>18171.06249</v>
      </c>
      <c r="M1569" s="12"/>
      <c r="N1569" s="15"/>
      <c r="O1569" s="1"/>
      <c r="Q1569" s="12"/>
      <c r="R1569" s="1"/>
    </row>
    <row r="1570" ht="12.75" hidden="1" customHeight="1" outlineLevel="1">
      <c r="A1570" s="122">
        <f t="shared" si="248"/>
        <v>42881</v>
      </c>
      <c r="B1570" s="120">
        <v>781481.9000000003</v>
      </c>
      <c r="C1570" s="19">
        <f t="shared" si="246"/>
        <v>-0.001428699208</v>
      </c>
      <c r="D1570" s="19">
        <f t="shared" si="245"/>
        <v>0.00329056114</v>
      </c>
      <c r="E1570" s="12"/>
      <c r="F1570" s="7"/>
      <c r="G1570" s="7"/>
      <c r="H1570" s="1"/>
      <c r="I1570" s="1"/>
      <c r="J1570" s="1"/>
      <c r="K1570" s="1"/>
      <c r="L1570" s="12">
        <f t="shared" si="247"/>
        <v>18145.10151</v>
      </c>
      <c r="M1570" s="12"/>
      <c r="N1570" s="15"/>
      <c r="O1570" s="1"/>
      <c r="Q1570" s="12"/>
      <c r="R1570" s="1"/>
    </row>
    <row r="1571" ht="12.75" hidden="1" customHeight="1" outlineLevel="1">
      <c r="A1571" s="122">
        <f t="shared" si="248"/>
        <v>42882</v>
      </c>
      <c r="B1571" s="120">
        <v>776700.0</v>
      </c>
      <c r="C1571" s="19">
        <f t="shared" si="246"/>
        <v>-0.00611901568</v>
      </c>
      <c r="D1571" s="19">
        <f t="shared" si="245"/>
        <v>-0.002848589536</v>
      </c>
      <c r="E1571" s="12"/>
      <c r="F1571" s="7"/>
      <c r="G1571" s="7"/>
      <c r="H1571" s="1"/>
      <c r="I1571" s="1"/>
      <c r="J1571" s="1"/>
      <c r="K1571" s="1"/>
      <c r="L1571" s="12">
        <f t="shared" si="247"/>
        <v>18034.07135</v>
      </c>
      <c r="M1571" s="12"/>
      <c r="N1571" s="15"/>
      <c r="O1571" s="1"/>
      <c r="Q1571" s="12"/>
      <c r="R1571" s="1"/>
    </row>
    <row r="1572" ht="12.75" hidden="1" customHeight="1" outlineLevel="1">
      <c r="A1572" s="122">
        <f t="shared" si="248"/>
        <v>42883</v>
      </c>
      <c r="B1572" s="120">
        <v>776700.0</v>
      </c>
      <c r="C1572" s="19">
        <f t="shared" si="246"/>
        <v>0</v>
      </c>
      <c r="D1572" s="19">
        <f t="shared" si="245"/>
        <v>-0.002848589536</v>
      </c>
      <c r="E1572" s="12"/>
      <c r="F1572" s="7"/>
      <c r="G1572" s="7"/>
      <c r="H1572" s="1"/>
      <c r="I1572" s="1"/>
      <c r="J1572" s="1"/>
      <c r="K1572" s="1"/>
      <c r="L1572" s="12">
        <f t="shared" si="247"/>
        <v>18034.07135</v>
      </c>
      <c r="M1572" s="12"/>
      <c r="N1572" s="15"/>
      <c r="O1572" s="1"/>
      <c r="Q1572" s="12"/>
      <c r="R1572" s="1"/>
    </row>
    <row r="1573" ht="12.75" hidden="1" customHeight="1" outlineLevel="1">
      <c r="A1573" s="122">
        <f t="shared" si="248"/>
        <v>42884</v>
      </c>
      <c r="B1573" s="120">
        <v>776700.0</v>
      </c>
      <c r="C1573" s="19">
        <f t="shared" si="246"/>
        <v>0</v>
      </c>
      <c r="D1573" s="19">
        <f t="shared" si="245"/>
        <v>-0.002848589536</v>
      </c>
      <c r="E1573" s="12"/>
      <c r="F1573" s="7"/>
      <c r="G1573" s="7"/>
      <c r="H1573" s="1"/>
      <c r="I1573" s="1"/>
      <c r="J1573" s="1"/>
      <c r="K1573" s="1"/>
      <c r="L1573" s="12">
        <f t="shared" si="247"/>
        <v>18034.07135</v>
      </c>
      <c r="M1573" s="12"/>
      <c r="N1573" s="15"/>
      <c r="O1573" s="1"/>
      <c r="Q1573" s="12"/>
      <c r="R1573" s="1"/>
    </row>
    <row r="1574" ht="12.75" hidden="1" customHeight="1" outlineLevel="1">
      <c r="A1574" s="122">
        <f t="shared" si="248"/>
        <v>42885</v>
      </c>
      <c r="B1574" s="120">
        <v>776700.0</v>
      </c>
      <c r="C1574" s="19">
        <f t="shared" si="246"/>
        <v>0</v>
      </c>
      <c r="D1574" s="19">
        <f t="shared" si="245"/>
        <v>-0.002848589536</v>
      </c>
      <c r="E1574" s="12"/>
      <c r="F1574" s="7"/>
      <c r="G1574" s="7"/>
      <c r="H1574" s="1"/>
      <c r="I1574" s="1"/>
      <c r="J1574" s="1"/>
      <c r="K1574" s="1"/>
      <c r="L1574" s="12">
        <f t="shared" si="247"/>
        <v>18034.07135</v>
      </c>
      <c r="M1574" s="12"/>
      <c r="N1574" s="15"/>
      <c r="O1574" s="1"/>
      <c r="Q1574" s="12"/>
      <c r="R1574" s="1"/>
    </row>
    <row r="1575" ht="12.75" hidden="1" customHeight="1" outlineLevel="1">
      <c r="A1575" s="122">
        <f t="shared" si="248"/>
        <v>42886</v>
      </c>
      <c r="B1575" s="120">
        <v>777250.5</v>
      </c>
      <c r="C1575" s="19">
        <f t="shared" si="246"/>
        <v>0.000708767864</v>
      </c>
      <c r="D1575" s="19">
        <f t="shared" si="245"/>
        <v>-0.002141840661</v>
      </c>
      <c r="E1575" s="12"/>
      <c r="F1575" s="7"/>
      <c r="G1575" s="7"/>
      <c r="H1575" s="1"/>
      <c r="I1575" s="1"/>
      <c r="J1575" s="1"/>
      <c r="K1575" s="1"/>
      <c r="L1575" s="12">
        <f t="shared" si="247"/>
        <v>18046.85332</v>
      </c>
      <c r="M1575" s="12"/>
      <c r="N1575" s="15"/>
      <c r="O1575" s="1"/>
      <c r="Q1575" s="12"/>
      <c r="R1575" s="1"/>
    </row>
    <row r="1576" ht="12.75" hidden="1" customHeight="1" outlineLevel="1">
      <c r="A1576" s="122"/>
      <c r="B1576" s="12"/>
      <c r="C1576" s="1"/>
      <c r="D1576" s="1"/>
      <c r="E1576" s="12"/>
      <c r="F1576" s="7"/>
      <c r="G1576" s="7"/>
      <c r="H1576" s="1"/>
      <c r="I1576" s="1"/>
      <c r="J1576" s="1"/>
      <c r="K1576" s="1"/>
      <c r="L1576" s="12"/>
      <c r="M1576" s="12"/>
      <c r="N1576" s="15"/>
      <c r="O1576" s="1"/>
      <c r="Q1576" s="12"/>
      <c r="R1576" s="1"/>
    </row>
    <row r="1577" ht="12.75" hidden="1" customHeight="1" outlineLevel="1">
      <c r="A1577" s="122"/>
      <c r="B1577" s="12">
        <f>B1575</f>
        <v>777250.5</v>
      </c>
      <c r="C1577" s="19"/>
      <c r="D1577" s="19">
        <f t="shared" ref="D1577:D1607" si="249">(B1577/$B$1577)-1</f>
        <v>0</v>
      </c>
      <c r="E1577" s="12"/>
      <c r="F1577" s="7"/>
      <c r="G1577" s="7"/>
      <c r="H1577" s="1"/>
      <c r="I1577" s="1"/>
      <c r="J1577" s="1"/>
      <c r="K1577" s="1"/>
      <c r="L1577" s="12"/>
      <c r="M1577" s="12"/>
      <c r="N1577" s="15"/>
      <c r="O1577" s="1"/>
      <c r="Q1577" s="12"/>
    </row>
    <row r="1578" ht="12.75" hidden="1" customHeight="1" outlineLevel="1">
      <c r="A1578" s="122">
        <f>A1575+1</f>
        <v>42887</v>
      </c>
      <c r="B1578" s="120">
        <v>792100.0</v>
      </c>
      <c r="C1578" s="19">
        <f t="shared" ref="C1578:C1607" si="250">(B1578/B1577)-1</f>
        <v>0.01910516622</v>
      </c>
      <c r="D1578" s="19">
        <f t="shared" si="249"/>
        <v>0.01910516622</v>
      </c>
      <c r="E1578" s="12"/>
      <c r="F1578" s="7"/>
      <c r="G1578" s="7"/>
      <c r="H1578" s="1"/>
      <c r="I1578" s="1"/>
      <c r="J1578" s="1"/>
      <c r="K1578" s="1"/>
      <c r="L1578" s="12">
        <f t="shared" ref="L1578:L1607" si="251">IF(C1577="",L1575*(1+C1578),L1577*(1+C1578))</f>
        <v>18391.64145</v>
      </c>
      <c r="M1578" s="12"/>
      <c r="N1578" s="15"/>
      <c r="O1578" s="1"/>
      <c r="Q1578" s="1"/>
    </row>
    <row r="1579" ht="12.75" hidden="1" customHeight="1" outlineLevel="1">
      <c r="A1579" s="122">
        <f t="shared" ref="A1579:A1607" si="252">A1578+1</f>
        <v>42888</v>
      </c>
      <c r="B1579" s="120">
        <v>794000.0</v>
      </c>
      <c r="C1579" s="19">
        <f t="shared" si="250"/>
        <v>0.002398687034</v>
      </c>
      <c r="D1579" s="19">
        <f t="shared" si="249"/>
        <v>0.02154968057</v>
      </c>
      <c r="E1579" s="12"/>
      <c r="F1579" s="7"/>
      <c r="G1579" s="7"/>
      <c r="H1579" s="1"/>
      <c r="I1579" s="1"/>
      <c r="J1579" s="1"/>
      <c r="K1579" s="1"/>
      <c r="L1579" s="12">
        <f t="shared" si="251"/>
        <v>18435.75724</v>
      </c>
      <c r="M1579" s="12"/>
      <c r="N1579" s="15"/>
      <c r="O1579" s="1"/>
      <c r="Q1579" s="1"/>
      <c r="R1579" s="1"/>
    </row>
    <row r="1580" ht="12.75" hidden="1" customHeight="1" outlineLevel="1">
      <c r="A1580" s="122">
        <f t="shared" si="252"/>
        <v>42889</v>
      </c>
      <c r="B1580" s="120">
        <v>794000.0</v>
      </c>
      <c r="C1580" s="19">
        <f t="shared" si="250"/>
        <v>0</v>
      </c>
      <c r="D1580" s="19">
        <f t="shared" si="249"/>
        <v>0.02154968057</v>
      </c>
      <c r="E1580" s="12"/>
      <c r="F1580" s="7"/>
      <c r="G1580" s="7"/>
      <c r="H1580" s="1"/>
      <c r="I1580" s="1"/>
      <c r="J1580" s="1"/>
      <c r="K1580" s="1"/>
      <c r="L1580" s="12">
        <f t="shared" si="251"/>
        <v>18435.75724</v>
      </c>
      <c r="M1580" s="12"/>
      <c r="N1580" s="15"/>
      <c r="O1580" s="1"/>
      <c r="Q1580" s="12"/>
      <c r="R1580" s="1"/>
    </row>
    <row r="1581" ht="12.75" hidden="1" customHeight="1" outlineLevel="1">
      <c r="A1581" s="122">
        <f t="shared" si="252"/>
        <v>42890</v>
      </c>
      <c r="B1581" s="120">
        <v>794000.0</v>
      </c>
      <c r="C1581" s="19">
        <f t="shared" si="250"/>
        <v>0</v>
      </c>
      <c r="D1581" s="19">
        <f t="shared" si="249"/>
        <v>0.02154968057</v>
      </c>
      <c r="E1581" s="12"/>
      <c r="F1581" s="7"/>
      <c r="G1581" s="7"/>
      <c r="H1581" s="1"/>
      <c r="I1581" s="1"/>
      <c r="J1581" s="1"/>
      <c r="K1581" s="1"/>
      <c r="L1581" s="12">
        <f t="shared" si="251"/>
        <v>18435.75724</v>
      </c>
      <c r="M1581" s="12"/>
      <c r="N1581" s="15"/>
      <c r="O1581" s="1"/>
      <c r="Q1581" s="12"/>
      <c r="R1581" s="1"/>
    </row>
    <row r="1582" ht="12.75" hidden="1" customHeight="1" outlineLevel="1">
      <c r="A1582" s="122">
        <f t="shared" si="252"/>
        <v>42891</v>
      </c>
      <c r="B1582" s="120">
        <v>792000.0</v>
      </c>
      <c r="C1582" s="19">
        <f t="shared" si="250"/>
        <v>-0.002518891688</v>
      </c>
      <c r="D1582" s="19">
        <f t="shared" si="249"/>
        <v>0.01897650757</v>
      </c>
      <c r="E1582" s="12"/>
      <c r="F1582" s="7"/>
      <c r="G1582" s="7"/>
      <c r="H1582" s="1"/>
      <c r="I1582" s="1"/>
      <c r="J1582" s="1"/>
      <c r="K1582" s="1"/>
      <c r="L1582" s="12">
        <f t="shared" si="251"/>
        <v>18389.31957</v>
      </c>
      <c r="M1582" s="12"/>
      <c r="N1582" s="15"/>
      <c r="O1582" s="1"/>
      <c r="Q1582" s="12"/>
      <c r="R1582" s="1"/>
    </row>
    <row r="1583" ht="12.75" hidden="1" customHeight="1" outlineLevel="1">
      <c r="A1583" s="122">
        <f t="shared" si="252"/>
        <v>42892</v>
      </c>
      <c r="B1583" s="120">
        <v>784991.5499999999</v>
      </c>
      <c r="C1583" s="19">
        <f t="shared" si="250"/>
        <v>-0.00884905303</v>
      </c>
      <c r="D1583" s="19">
        <f t="shared" si="249"/>
        <v>0.009959530422</v>
      </c>
      <c r="E1583" s="12"/>
      <c r="F1583" s="7"/>
      <c r="G1583" s="7"/>
      <c r="H1583" s="1"/>
      <c r="I1583" s="1"/>
      <c r="J1583" s="1"/>
      <c r="K1583" s="1"/>
      <c r="L1583" s="12">
        <f t="shared" si="251"/>
        <v>18226.5915</v>
      </c>
      <c r="M1583" s="12"/>
      <c r="N1583" s="15"/>
      <c r="O1583" s="1"/>
      <c r="Q1583" s="12"/>
      <c r="R1583" s="1"/>
    </row>
    <row r="1584" ht="12.75" hidden="1" customHeight="1" outlineLevel="1">
      <c r="A1584" s="122">
        <f t="shared" si="252"/>
        <v>42893</v>
      </c>
      <c r="B1584" s="120">
        <v>788600.0</v>
      </c>
      <c r="C1584" s="19">
        <f t="shared" si="250"/>
        <v>0.004596801074</v>
      </c>
      <c r="D1584" s="19">
        <f t="shared" si="249"/>
        <v>0.01460211348</v>
      </c>
      <c r="E1584" s="12"/>
      <c r="F1584" s="7"/>
      <c r="G1584" s="7"/>
      <c r="H1584" s="1"/>
      <c r="I1584" s="1"/>
      <c r="J1584" s="1"/>
      <c r="K1584" s="1"/>
      <c r="L1584" s="12">
        <f t="shared" si="251"/>
        <v>18310.37552</v>
      </c>
      <c r="M1584" s="12"/>
      <c r="N1584" s="15"/>
      <c r="O1584" s="1"/>
      <c r="Q1584" s="12"/>
      <c r="R1584" s="1"/>
    </row>
    <row r="1585" ht="12.75" hidden="1" customHeight="1" outlineLevel="1">
      <c r="A1585" s="122">
        <f t="shared" si="252"/>
        <v>42894</v>
      </c>
      <c r="B1585" s="120">
        <v>789000.0</v>
      </c>
      <c r="C1585" s="19">
        <f t="shared" si="250"/>
        <v>0.000507227999</v>
      </c>
      <c r="D1585" s="19">
        <f t="shared" si="249"/>
        <v>0.01511674808</v>
      </c>
      <c r="E1585" s="12"/>
      <c r="F1585" s="7"/>
      <c r="G1585" s="7"/>
      <c r="H1585" s="1"/>
      <c r="I1585" s="1"/>
      <c r="J1585" s="1"/>
      <c r="K1585" s="1"/>
      <c r="L1585" s="12">
        <f t="shared" si="251"/>
        <v>18319.66305</v>
      </c>
      <c r="M1585" s="12"/>
      <c r="N1585" s="15"/>
      <c r="O1585" s="1"/>
      <c r="Q1585" s="12"/>
      <c r="R1585" s="1"/>
    </row>
    <row r="1586" ht="12.75" hidden="1" customHeight="1" outlineLevel="1">
      <c r="A1586" s="122">
        <f t="shared" si="252"/>
        <v>42895</v>
      </c>
      <c r="B1586" s="120">
        <v>793200.0</v>
      </c>
      <c r="C1586" s="19">
        <f t="shared" si="250"/>
        <v>0.005323193916</v>
      </c>
      <c r="D1586" s="19">
        <f t="shared" si="249"/>
        <v>0.02052041137</v>
      </c>
      <c r="E1586" s="12"/>
      <c r="F1586" s="7"/>
      <c r="G1586" s="7"/>
      <c r="H1586" s="1"/>
      <c r="I1586" s="1"/>
      <c r="J1586" s="1"/>
      <c r="K1586" s="1"/>
      <c r="L1586" s="12">
        <f t="shared" si="251"/>
        <v>18417.18217</v>
      </c>
      <c r="M1586" s="12"/>
      <c r="N1586" s="15"/>
      <c r="O1586" s="1"/>
      <c r="Q1586" s="12"/>
      <c r="R1586" s="1"/>
    </row>
    <row r="1587" ht="12.75" hidden="1" customHeight="1" outlineLevel="1">
      <c r="A1587" s="122">
        <f t="shared" si="252"/>
        <v>42896</v>
      </c>
      <c r="B1587" s="120">
        <v>793200.0</v>
      </c>
      <c r="C1587" s="19">
        <f t="shared" si="250"/>
        <v>0</v>
      </c>
      <c r="D1587" s="19">
        <f t="shared" si="249"/>
        <v>0.02052041137</v>
      </c>
      <c r="E1587" s="12"/>
      <c r="F1587" s="7"/>
      <c r="G1587" s="7"/>
      <c r="H1587" s="1"/>
      <c r="I1587" s="1"/>
      <c r="J1587" s="1"/>
      <c r="K1587" s="1"/>
      <c r="L1587" s="12">
        <f t="shared" si="251"/>
        <v>18417.18217</v>
      </c>
      <c r="M1587" s="12"/>
      <c r="N1587" s="15"/>
      <c r="O1587" s="1"/>
      <c r="Q1587" s="12"/>
      <c r="R1587" s="1"/>
    </row>
    <row r="1588" ht="12.75" hidden="1" customHeight="1" outlineLevel="1">
      <c r="A1588" s="122">
        <f t="shared" si="252"/>
        <v>42897</v>
      </c>
      <c r="B1588" s="120">
        <v>793200.0</v>
      </c>
      <c r="C1588" s="19">
        <f t="shared" si="250"/>
        <v>0</v>
      </c>
      <c r="D1588" s="19">
        <f t="shared" si="249"/>
        <v>0.02052041137</v>
      </c>
      <c r="E1588" s="12"/>
      <c r="F1588" s="7"/>
      <c r="G1588" s="7"/>
      <c r="H1588" s="1"/>
      <c r="I1588" s="1"/>
      <c r="J1588" s="1"/>
      <c r="K1588" s="1"/>
      <c r="L1588" s="12">
        <f t="shared" si="251"/>
        <v>18417.18217</v>
      </c>
      <c r="M1588" s="12"/>
      <c r="N1588" s="15"/>
      <c r="O1588" s="1"/>
      <c r="Q1588" s="12"/>
      <c r="R1588" s="1"/>
    </row>
    <row r="1589" ht="12.75" hidden="1" customHeight="1" outlineLevel="1">
      <c r="A1589" s="122">
        <f t="shared" si="252"/>
        <v>42898</v>
      </c>
      <c r="B1589" s="120">
        <v>790200.0</v>
      </c>
      <c r="C1589" s="19">
        <f t="shared" si="250"/>
        <v>-0.00378214826</v>
      </c>
      <c r="D1589" s="19">
        <f t="shared" si="249"/>
        <v>0.01666065187</v>
      </c>
      <c r="E1589" s="12"/>
      <c r="F1589" s="7"/>
      <c r="G1589" s="7"/>
      <c r="H1589" s="1"/>
      <c r="I1589" s="1"/>
      <c r="J1589" s="1"/>
      <c r="K1589" s="1"/>
      <c r="L1589" s="12">
        <f t="shared" si="251"/>
        <v>18347.52566</v>
      </c>
      <c r="M1589" s="12"/>
      <c r="N1589" s="15"/>
      <c r="O1589" s="1"/>
      <c r="Q1589" s="12"/>
      <c r="R1589" s="1"/>
    </row>
    <row r="1590" ht="12.75" hidden="1" customHeight="1" outlineLevel="1">
      <c r="A1590" s="122">
        <f t="shared" si="252"/>
        <v>42899</v>
      </c>
      <c r="B1590" s="120">
        <v>793800.0</v>
      </c>
      <c r="C1590" s="19">
        <f t="shared" si="250"/>
        <v>0.004555808656</v>
      </c>
      <c r="D1590" s="19">
        <f t="shared" si="249"/>
        <v>0.02129236327</v>
      </c>
      <c r="E1590" s="12"/>
      <c r="F1590" s="7"/>
      <c r="G1590" s="7"/>
      <c r="H1590" s="1"/>
      <c r="I1590" s="1"/>
      <c r="J1590" s="1"/>
      <c r="K1590" s="1"/>
      <c r="L1590" s="12">
        <f t="shared" si="251"/>
        <v>18431.11347</v>
      </c>
      <c r="M1590" s="12"/>
      <c r="N1590" s="15"/>
      <c r="O1590" s="1"/>
      <c r="Q1590" s="12"/>
      <c r="R1590" s="1"/>
    </row>
    <row r="1591" ht="12.75" hidden="1" customHeight="1" outlineLevel="1">
      <c r="A1591" s="122">
        <f t="shared" si="252"/>
        <v>42900</v>
      </c>
      <c r="B1591" s="120">
        <v>792200.0</v>
      </c>
      <c r="C1591" s="19">
        <f t="shared" si="250"/>
        <v>-0.002015621063</v>
      </c>
      <c r="D1591" s="19">
        <f t="shared" si="249"/>
        <v>0.01923382487</v>
      </c>
      <c r="E1591" s="12"/>
      <c r="F1591" s="7"/>
      <c r="G1591" s="7"/>
      <c r="H1591" s="1"/>
      <c r="I1591" s="1"/>
      <c r="J1591" s="1"/>
      <c r="K1591" s="1"/>
      <c r="L1591" s="12">
        <f t="shared" si="251"/>
        <v>18393.96333</v>
      </c>
      <c r="M1591" s="12"/>
      <c r="N1591" s="15"/>
      <c r="O1591" s="1"/>
      <c r="Q1591" s="12"/>
      <c r="R1591" s="1"/>
    </row>
    <row r="1592" ht="12.75" hidden="1" customHeight="1" outlineLevel="1">
      <c r="A1592" s="122">
        <f t="shared" si="252"/>
        <v>42901</v>
      </c>
      <c r="B1592" s="120">
        <v>789200.0</v>
      </c>
      <c r="C1592" s="19">
        <f t="shared" si="250"/>
        <v>-0.003786922494</v>
      </c>
      <c r="D1592" s="19">
        <f t="shared" si="249"/>
        <v>0.01537406538</v>
      </c>
      <c r="E1592" s="12"/>
      <c r="F1592" s="7"/>
      <c r="G1592" s="7"/>
      <c r="H1592" s="1"/>
      <c r="I1592" s="1"/>
      <c r="J1592" s="1"/>
      <c r="K1592" s="1"/>
      <c r="L1592" s="12">
        <f t="shared" si="251"/>
        <v>18324.30682</v>
      </c>
      <c r="M1592" s="12"/>
      <c r="N1592" s="15"/>
      <c r="O1592" s="1"/>
      <c r="Q1592" s="12"/>
      <c r="R1592" s="1"/>
    </row>
    <row r="1593" ht="12.75" hidden="1" customHeight="1" outlineLevel="1">
      <c r="A1593" s="122">
        <f t="shared" si="252"/>
        <v>42902</v>
      </c>
      <c r="B1593" s="120">
        <v>790531.8999999999</v>
      </c>
      <c r="C1593" s="19">
        <f t="shared" si="250"/>
        <v>0.001687658388</v>
      </c>
      <c r="D1593" s="19">
        <f t="shared" si="249"/>
        <v>0.01708766993</v>
      </c>
      <c r="E1593" s="12"/>
      <c r="F1593" s="7"/>
      <c r="G1593" s="7"/>
      <c r="H1593" s="1"/>
      <c r="I1593" s="1"/>
      <c r="J1593" s="1"/>
      <c r="K1593" s="1"/>
      <c r="L1593" s="12">
        <f t="shared" si="251"/>
        <v>18355.23199</v>
      </c>
      <c r="M1593" s="12"/>
      <c r="N1593" s="15"/>
      <c r="O1593" s="1"/>
      <c r="Q1593" s="12"/>
      <c r="R1593" s="1"/>
    </row>
    <row r="1594" ht="12.75" hidden="1" customHeight="1" outlineLevel="1">
      <c r="A1594" s="122">
        <f t="shared" si="252"/>
        <v>42903</v>
      </c>
      <c r="B1594" s="120">
        <v>790531.8999999999</v>
      </c>
      <c r="C1594" s="19">
        <f t="shared" si="250"/>
        <v>0</v>
      </c>
      <c r="D1594" s="19">
        <f t="shared" si="249"/>
        <v>0.01708766993</v>
      </c>
      <c r="E1594" s="12"/>
      <c r="F1594" s="7"/>
      <c r="G1594" s="7"/>
      <c r="H1594" s="1"/>
      <c r="I1594" s="1"/>
      <c r="J1594" s="1"/>
      <c r="K1594" s="1"/>
      <c r="L1594" s="12">
        <f t="shared" si="251"/>
        <v>18355.23199</v>
      </c>
      <c r="M1594" s="12"/>
      <c r="N1594" s="15"/>
      <c r="O1594" s="1"/>
      <c r="Q1594" s="12"/>
      <c r="R1594" s="1"/>
    </row>
    <row r="1595" ht="12.75" hidden="1" customHeight="1" outlineLevel="1">
      <c r="A1595" s="122">
        <f t="shared" si="252"/>
        <v>42904</v>
      </c>
      <c r="B1595" s="120">
        <v>790531.8999999999</v>
      </c>
      <c r="C1595" s="19">
        <f t="shared" si="250"/>
        <v>0</v>
      </c>
      <c r="D1595" s="19">
        <f t="shared" si="249"/>
        <v>0.01708766993</v>
      </c>
      <c r="E1595" s="12"/>
      <c r="F1595" s="7"/>
      <c r="G1595" s="7"/>
      <c r="H1595" s="1"/>
      <c r="I1595" s="1"/>
      <c r="J1595" s="1"/>
      <c r="K1595" s="1"/>
      <c r="L1595" s="12">
        <f t="shared" si="251"/>
        <v>18355.23199</v>
      </c>
      <c r="M1595" s="12"/>
      <c r="N1595" s="15"/>
      <c r="O1595" s="1"/>
      <c r="Q1595" s="12"/>
      <c r="R1595" s="1"/>
    </row>
    <row r="1596" ht="12.75" hidden="1" customHeight="1" outlineLevel="1">
      <c r="A1596" s="122">
        <f t="shared" si="252"/>
        <v>42905</v>
      </c>
      <c r="B1596" s="120">
        <v>797959.4</v>
      </c>
      <c r="C1596" s="19">
        <f t="shared" si="250"/>
        <v>0.009395572778</v>
      </c>
      <c r="D1596" s="19">
        <f t="shared" si="249"/>
        <v>0.02664379116</v>
      </c>
      <c r="E1596" s="12"/>
      <c r="F1596" s="7"/>
      <c r="G1596" s="7"/>
      <c r="H1596" s="1"/>
      <c r="I1596" s="1"/>
      <c r="J1596" s="1"/>
      <c r="K1596" s="1"/>
      <c r="L1596" s="12">
        <f t="shared" si="251"/>
        <v>18527.68991</v>
      </c>
      <c r="M1596" s="12"/>
      <c r="N1596" s="15"/>
      <c r="O1596" s="1"/>
      <c r="Q1596" s="12"/>
      <c r="R1596" s="1"/>
    </row>
    <row r="1597" ht="12.75" hidden="1" customHeight="1" outlineLevel="1">
      <c r="A1597" s="122">
        <f t="shared" si="252"/>
        <v>42906</v>
      </c>
      <c r="B1597" s="120">
        <v>791000.0</v>
      </c>
      <c r="C1597" s="19">
        <f t="shared" si="250"/>
        <v>-0.008721496357</v>
      </c>
      <c r="D1597" s="19">
        <f t="shared" si="249"/>
        <v>0.01768992107</v>
      </c>
      <c r="E1597" s="12"/>
      <c r="F1597" s="7"/>
      <c r="G1597" s="7"/>
      <c r="H1597" s="1"/>
      <c r="I1597" s="1"/>
      <c r="J1597" s="1"/>
      <c r="K1597" s="1"/>
      <c r="L1597" s="12">
        <f t="shared" si="251"/>
        <v>18366.10073</v>
      </c>
      <c r="M1597" s="12"/>
      <c r="N1597" s="15"/>
      <c r="O1597" s="1"/>
      <c r="Q1597" s="12"/>
      <c r="R1597" s="1"/>
    </row>
    <row r="1598" ht="12.75" hidden="1" customHeight="1" outlineLevel="1">
      <c r="A1598" s="122">
        <f t="shared" si="252"/>
        <v>42907</v>
      </c>
      <c r="B1598" s="120">
        <v>785100.0</v>
      </c>
      <c r="C1598" s="19">
        <f t="shared" si="250"/>
        <v>-0.007458912769</v>
      </c>
      <c r="D1598" s="19">
        <f t="shared" si="249"/>
        <v>0.01009906073</v>
      </c>
      <c r="E1598" s="12"/>
      <c r="F1598" s="7"/>
      <c r="G1598" s="7"/>
      <c r="H1598" s="1"/>
      <c r="I1598" s="1"/>
      <c r="J1598" s="1"/>
      <c r="K1598" s="1"/>
      <c r="L1598" s="12">
        <f t="shared" si="251"/>
        <v>18229.10958</v>
      </c>
      <c r="M1598" s="12"/>
      <c r="N1598" s="15"/>
      <c r="O1598" s="1"/>
      <c r="Q1598" s="12"/>
      <c r="R1598" s="1"/>
    </row>
    <row r="1599" ht="12.75" hidden="1" customHeight="1" outlineLevel="1">
      <c r="A1599" s="122">
        <f t="shared" si="252"/>
        <v>42908</v>
      </c>
      <c r="B1599" s="120">
        <v>783100.0</v>
      </c>
      <c r="C1599" s="19">
        <f t="shared" si="250"/>
        <v>-0.002547446185</v>
      </c>
      <c r="D1599" s="19">
        <f t="shared" si="249"/>
        <v>0.007525887729</v>
      </c>
      <c r="E1599" s="12"/>
      <c r="F1599" s="7"/>
      <c r="G1599" s="7"/>
      <c r="H1599" s="1"/>
      <c r="I1599" s="1"/>
      <c r="J1599" s="1"/>
      <c r="K1599" s="1"/>
      <c r="L1599" s="12">
        <f t="shared" si="251"/>
        <v>18182.67191</v>
      </c>
      <c r="M1599" s="12"/>
      <c r="N1599" s="15"/>
      <c r="O1599" s="1"/>
      <c r="Q1599" s="12"/>
      <c r="R1599" s="1"/>
    </row>
    <row r="1600" ht="12.75" hidden="1" customHeight="1" outlineLevel="1">
      <c r="A1600" s="122">
        <f t="shared" si="252"/>
        <v>42909</v>
      </c>
      <c r="B1600" s="120">
        <v>784600.0</v>
      </c>
      <c r="C1600" s="19">
        <f t="shared" si="250"/>
        <v>0.001915464181</v>
      </c>
      <c r="D1600" s="19">
        <f t="shared" si="249"/>
        <v>0.009455767478</v>
      </c>
      <c r="E1600" s="12"/>
      <c r="F1600" s="7"/>
      <c r="G1600" s="7"/>
      <c r="H1600" s="1"/>
      <c r="I1600" s="1"/>
      <c r="J1600" s="1"/>
      <c r="K1600" s="1"/>
      <c r="L1600" s="12">
        <f t="shared" si="251"/>
        <v>18217.50017</v>
      </c>
      <c r="M1600" s="12"/>
      <c r="N1600" s="15"/>
      <c r="O1600" s="1"/>
      <c r="Q1600" s="12"/>
      <c r="R1600" s="1"/>
    </row>
    <row r="1601" ht="12.75" hidden="1" customHeight="1" outlineLevel="1">
      <c r="A1601" s="122">
        <f t="shared" si="252"/>
        <v>42910</v>
      </c>
      <c r="B1601" s="120">
        <v>784600.0</v>
      </c>
      <c r="C1601" s="19">
        <f t="shared" si="250"/>
        <v>0</v>
      </c>
      <c r="D1601" s="19">
        <f t="shared" si="249"/>
        <v>0.009455767478</v>
      </c>
      <c r="E1601" s="12"/>
      <c r="F1601" s="7"/>
      <c r="G1601" s="7"/>
      <c r="H1601" s="1"/>
      <c r="I1601" s="1"/>
      <c r="J1601" s="1"/>
      <c r="K1601" s="1"/>
      <c r="L1601" s="12">
        <f t="shared" si="251"/>
        <v>18217.50017</v>
      </c>
      <c r="M1601" s="12"/>
      <c r="N1601" s="15"/>
      <c r="O1601" s="1"/>
      <c r="Q1601" s="12"/>
      <c r="R1601" s="1"/>
    </row>
    <row r="1602" ht="12.75" hidden="1" customHeight="1" outlineLevel="1">
      <c r="A1602" s="122">
        <f t="shared" si="252"/>
        <v>42911</v>
      </c>
      <c r="B1602" s="120">
        <v>784600.0</v>
      </c>
      <c r="C1602" s="19">
        <f t="shared" si="250"/>
        <v>0</v>
      </c>
      <c r="D1602" s="19">
        <f t="shared" si="249"/>
        <v>0.009455767478</v>
      </c>
      <c r="E1602" s="12"/>
      <c r="F1602" s="7"/>
      <c r="G1602" s="7"/>
      <c r="H1602" s="1"/>
      <c r="I1602" s="1"/>
      <c r="J1602" s="1"/>
      <c r="K1602" s="1"/>
      <c r="L1602" s="12">
        <f t="shared" si="251"/>
        <v>18217.50017</v>
      </c>
      <c r="M1602" s="12"/>
      <c r="N1602" s="15"/>
      <c r="O1602" s="1"/>
      <c r="Q1602" s="12"/>
      <c r="R1602" s="1"/>
    </row>
    <row r="1603" ht="12.75" hidden="1" customHeight="1" outlineLevel="1">
      <c r="A1603" s="122">
        <f t="shared" si="252"/>
        <v>42912</v>
      </c>
      <c r="B1603" s="120">
        <v>787300.0</v>
      </c>
      <c r="C1603" s="19">
        <f t="shared" si="250"/>
        <v>0.003441243946</v>
      </c>
      <c r="D1603" s="19">
        <f t="shared" si="249"/>
        <v>0.01292955103</v>
      </c>
      <c r="E1603" s="12"/>
      <c r="F1603" s="7"/>
      <c r="G1603" s="7"/>
      <c r="H1603" s="1"/>
      <c r="I1603" s="1"/>
      <c r="J1603" s="1"/>
      <c r="K1603" s="1"/>
      <c r="L1603" s="12">
        <f t="shared" si="251"/>
        <v>18280.19103</v>
      </c>
      <c r="M1603" s="12"/>
      <c r="N1603" s="15"/>
      <c r="O1603" s="1"/>
      <c r="Q1603" s="12"/>
      <c r="R1603" s="1"/>
    </row>
    <row r="1604" ht="12.75" hidden="1" customHeight="1" outlineLevel="1">
      <c r="A1604" s="122">
        <f t="shared" si="252"/>
        <v>42913</v>
      </c>
      <c r="B1604" s="120">
        <v>780700.0</v>
      </c>
      <c r="C1604" s="19">
        <f t="shared" si="250"/>
        <v>-0.008383081418</v>
      </c>
      <c r="D1604" s="19">
        <f t="shared" si="249"/>
        <v>0.00443808013</v>
      </c>
      <c r="E1604" s="12"/>
      <c r="F1604" s="7"/>
      <c r="G1604" s="7"/>
      <c r="H1604" s="1"/>
      <c r="I1604" s="1"/>
      <c r="J1604" s="1"/>
      <c r="K1604" s="1"/>
      <c r="L1604" s="12">
        <f t="shared" si="251"/>
        <v>18126.9467</v>
      </c>
      <c r="M1604" s="12"/>
      <c r="N1604" s="15"/>
      <c r="O1604" s="1"/>
      <c r="Q1604" s="12"/>
      <c r="R1604" s="1"/>
    </row>
    <row r="1605" ht="12.75" hidden="1" customHeight="1" outlineLevel="1">
      <c r="A1605" s="122">
        <f t="shared" si="252"/>
        <v>42914</v>
      </c>
      <c r="B1605" s="120">
        <v>789000.0</v>
      </c>
      <c r="C1605" s="19">
        <f t="shared" si="250"/>
        <v>0.01063148457</v>
      </c>
      <c r="D1605" s="19">
        <f t="shared" si="249"/>
        <v>0.01511674808</v>
      </c>
      <c r="E1605" s="12"/>
      <c r="F1605" s="7"/>
      <c r="G1605" s="7"/>
      <c r="H1605" s="1"/>
      <c r="I1605" s="1"/>
      <c r="J1605" s="1"/>
      <c r="K1605" s="1"/>
      <c r="L1605" s="12">
        <f t="shared" si="251"/>
        <v>18319.66305</v>
      </c>
      <c r="M1605" s="12"/>
      <c r="N1605" s="15"/>
      <c r="O1605" s="1"/>
      <c r="Q1605" s="12"/>
      <c r="R1605" s="1"/>
    </row>
    <row r="1606" ht="12.75" hidden="1" customHeight="1" outlineLevel="1">
      <c r="A1606" s="122">
        <f t="shared" si="252"/>
        <v>42915</v>
      </c>
      <c r="B1606" s="120">
        <v>783728.6000000001</v>
      </c>
      <c r="C1606" s="19">
        <f t="shared" si="250"/>
        <v>-0.006681115336</v>
      </c>
      <c r="D1606" s="19">
        <f t="shared" si="249"/>
        <v>0.008334636002</v>
      </c>
      <c r="E1606" s="12"/>
      <c r="F1606" s="7"/>
      <c r="G1606" s="7"/>
      <c r="H1606" s="1"/>
      <c r="I1606" s="1"/>
      <c r="J1606" s="1"/>
      <c r="K1606" s="1"/>
      <c r="L1606" s="12">
        <f t="shared" si="251"/>
        <v>18197.26727</v>
      </c>
      <c r="M1606" s="12"/>
      <c r="N1606" s="15"/>
      <c r="O1606" s="1"/>
      <c r="Q1606" s="12"/>
      <c r="R1606" s="1"/>
    </row>
    <row r="1607" ht="12.75" hidden="1" customHeight="1" outlineLevel="1">
      <c r="A1607" s="122">
        <f t="shared" si="252"/>
        <v>42916</v>
      </c>
      <c r="B1607" s="120">
        <v>788150.52</v>
      </c>
      <c r="C1607" s="19">
        <f t="shared" si="250"/>
        <v>0.005642157247</v>
      </c>
      <c r="D1607" s="19">
        <f t="shared" si="249"/>
        <v>0.01402381858</v>
      </c>
      <c r="E1607" s="12"/>
      <c r="F1607" s="7"/>
      <c r="G1607" s="7"/>
      <c r="H1607" s="1"/>
      <c r="I1607" s="1"/>
      <c r="J1607" s="1"/>
      <c r="K1607" s="1"/>
      <c r="L1607" s="12">
        <f t="shared" si="251"/>
        <v>18299.93911</v>
      </c>
      <c r="M1607" s="12"/>
      <c r="N1607" s="15"/>
      <c r="O1607" s="1"/>
      <c r="Q1607" s="12"/>
      <c r="R1607" s="1"/>
    </row>
    <row r="1608" ht="12.75" hidden="1" customHeight="1" outlineLevel="1">
      <c r="A1608" s="122"/>
      <c r="B1608" s="12"/>
      <c r="C1608" s="1"/>
      <c r="D1608" s="1"/>
      <c r="E1608" s="12"/>
      <c r="F1608" s="7"/>
      <c r="G1608" s="7"/>
      <c r="H1608" s="1"/>
      <c r="I1608" s="1"/>
      <c r="J1608" s="1"/>
      <c r="K1608" s="1"/>
      <c r="L1608" s="12"/>
      <c r="M1608" s="12"/>
      <c r="N1608" s="15"/>
      <c r="O1608" s="1"/>
      <c r="Q1608" s="12"/>
      <c r="R1608" s="1"/>
    </row>
    <row r="1609" ht="12.75" hidden="1" customHeight="1" outlineLevel="1">
      <c r="A1609" s="122"/>
      <c r="B1609" s="12">
        <f>B1607</f>
        <v>788150.52</v>
      </c>
      <c r="C1609" s="19"/>
      <c r="D1609" s="19">
        <f t="shared" ref="D1609:D1640" si="253">(B1609/$B$1609)-1</f>
        <v>0</v>
      </c>
      <c r="E1609" s="12"/>
      <c r="F1609" s="7"/>
      <c r="G1609" s="7"/>
      <c r="H1609" s="1"/>
      <c r="I1609" s="1"/>
      <c r="J1609" s="1"/>
      <c r="K1609" s="1"/>
      <c r="L1609" s="12"/>
      <c r="M1609" s="12"/>
      <c r="N1609" s="15"/>
      <c r="O1609" s="1"/>
      <c r="Q1609" s="12"/>
      <c r="R1609" s="1"/>
    </row>
    <row r="1610" ht="12.75" hidden="1" customHeight="1" outlineLevel="1">
      <c r="A1610" s="122">
        <f>A1607+1</f>
        <v>42917</v>
      </c>
      <c r="B1610" s="12">
        <v>788150.52</v>
      </c>
      <c r="C1610" s="19">
        <f t="shared" ref="C1610:C1640" si="254">(B1610/B1609)-1</f>
        <v>0</v>
      </c>
      <c r="D1610" s="19">
        <f t="shared" si="253"/>
        <v>0</v>
      </c>
      <c r="E1610" s="12"/>
      <c r="F1610" s="7"/>
      <c r="G1610" s="7"/>
      <c r="H1610" s="1"/>
      <c r="I1610" s="1"/>
      <c r="J1610" s="1"/>
      <c r="K1610" s="1"/>
      <c r="L1610" s="12">
        <f t="shared" ref="L1610:L1640" si="255">IF(C1609="",L1607*(1+C1610),L1609*(1+C1610))</f>
        <v>18299.93911</v>
      </c>
      <c r="M1610" s="12"/>
      <c r="N1610" s="15"/>
      <c r="O1610" s="1"/>
      <c r="Q1610" s="12"/>
      <c r="R1610" s="1"/>
    </row>
    <row r="1611" ht="12.75" hidden="1" customHeight="1" outlineLevel="1">
      <c r="A1611" s="122">
        <f t="shared" ref="A1611:A1640" si="256">A1610+1</f>
        <v>42918</v>
      </c>
      <c r="B1611" s="12">
        <v>788150.52</v>
      </c>
      <c r="C1611" s="19">
        <f t="shared" si="254"/>
        <v>0</v>
      </c>
      <c r="D1611" s="19">
        <f t="shared" si="253"/>
        <v>0</v>
      </c>
      <c r="E1611" s="12"/>
      <c r="F1611" s="7"/>
      <c r="G1611" s="7"/>
      <c r="H1611" s="1"/>
      <c r="I1611" s="1"/>
      <c r="J1611" s="1"/>
      <c r="K1611" s="1"/>
      <c r="L1611" s="12">
        <f t="shared" si="255"/>
        <v>18299.93911</v>
      </c>
      <c r="M1611" s="12"/>
      <c r="N1611" s="15"/>
      <c r="O1611" s="1"/>
      <c r="Q1611" s="12"/>
      <c r="R1611" s="1"/>
    </row>
    <row r="1612" ht="12.75" hidden="1" customHeight="1" outlineLevel="1">
      <c r="A1612" s="122">
        <f t="shared" si="256"/>
        <v>42919</v>
      </c>
      <c r="B1612" s="120">
        <v>791900.0</v>
      </c>
      <c r="C1612" s="19">
        <f t="shared" si="254"/>
        <v>0.004757314631</v>
      </c>
      <c r="D1612" s="19">
        <f t="shared" si="253"/>
        <v>0.004757314631</v>
      </c>
      <c r="E1612" s="12"/>
      <c r="F1612" s="7"/>
      <c r="G1612" s="7"/>
      <c r="H1612" s="1"/>
      <c r="I1612" s="1"/>
      <c r="J1612" s="1"/>
      <c r="K1612" s="1"/>
      <c r="L1612" s="12">
        <f t="shared" si="255"/>
        <v>18386.99768</v>
      </c>
      <c r="M1612" s="12"/>
      <c r="N1612" s="15"/>
      <c r="O1612" s="1"/>
      <c r="Q1612" s="12"/>
      <c r="R1612" s="1"/>
    </row>
    <row r="1613" ht="12.75" hidden="1" customHeight="1" outlineLevel="1">
      <c r="A1613" s="122">
        <f t="shared" si="256"/>
        <v>42920</v>
      </c>
      <c r="B1613" s="120">
        <v>791900.0</v>
      </c>
      <c r="C1613" s="19">
        <f t="shared" si="254"/>
        <v>0</v>
      </c>
      <c r="D1613" s="19">
        <f t="shared" si="253"/>
        <v>0.004757314631</v>
      </c>
      <c r="E1613" s="12"/>
      <c r="F1613" s="7"/>
      <c r="G1613" s="7"/>
      <c r="H1613" s="1"/>
      <c r="I1613" s="1"/>
      <c r="J1613" s="1"/>
      <c r="K1613" s="1"/>
      <c r="L1613" s="12">
        <f t="shared" si="255"/>
        <v>18386.99768</v>
      </c>
      <c r="M1613" s="12"/>
      <c r="N1613" s="15"/>
      <c r="O1613" s="1"/>
      <c r="Q1613" s="12"/>
      <c r="R1613" s="1"/>
    </row>
    <row r="1614" ht="12.75" hidden="1" customHeight="1" outlineLevel="1">
      <c r="A1614" s="122">
        <f t="shared" si="256"/>
        <v>42921</v>
      </c>
      <c r="B1614" s="120">
        <v>785700.0</v>
      </c>
      <c r="C1614" s="19">
        <f t="shared" si="254"/>
        <v>-0.007829271373</v>
      </c>
      <c r="D1614" s="19">
        <f t="shared" si="253"/>
        <v>-0.003109203049</v>
      </c>
      <c r="E1614" s="12"/>
      <c r="F1614" s="7"/>
      <c r="G1614" s="7"/>
      <c r="H1614" s="1"/>
      <c r="I1614" s="1"/>
      <c r="J1614" s="1"/>
      <c r="K1614" s="1"/>
      <c r="L1614" s="12">
        <f t="shared" si="255"/>
        <v>18243.04089</v>
      </c>
      <c r="M1614" s="12"/>
      <c r="N1614" s="15"/>
      <c r="O1614" s="1"/>
      <c r="Q1614" s="12"/>
      <c r="R1614" s="1"/>
    </row>
    <row r="1615" ht="12.75" hidden="1" customHeight="1" outlineLevel="1">
      <c r="A1615" s="122">
        <f t="shared" si="256"/>
        <v>42922</v>
      </c>
      <c r="B1615" s="120">
        <v>778000.0</v>
      </c>
      <c r="C1615" s="19">
        <f t="shared" si="254"/>
        <v>-0.009800178185</v>
      </c>
      <c r="D1615" s="19">
        <f t="shared" si="253"/>
        <v>-0.01287891049</v>
      </c>
      <c r="E1615" s="12"/>
      <c r="F1615" s="7"/>
      <c r="G1615" s="7"/>
      <c r="H1615" s="1"/>
      <c r="I1615" s="1"/>
      <c r="J1615" s="1"/>
      <c r="K1615" s="1"/>
      <c r="L1615" s="12">
        <f t="shared" si="255"/>
        <v>18064.25584</v>
      </c>
      <c r="M1615" s="12"/>
      <c r="N1615" s="15"/>
      <c r="O1615" s="1"/>
      <c r="Q1615" s="12"/>
      <c r="R1615" s="1"/>
    </row>
    <row r="1616" ht="12.75" hidden="1" customHeight="1" outlineLevel="1">
      <c r="A1616" s="122">
        <f t="shared" si="256"/>
        <v>42923</v>
      </c>
      <c r="B1616" s="120">
        <v>784000.0</v>
      </c>
      <c r="C1616" s="19">
        <f t="shared" si="254"/>
        <v>0.007712082262</v>
      </c>
      <c r="D1616" s="19">
        <f t="shared" si="253"/>
        <v>-0.005266151445</v>
      </c>
      <c r="E1616" s="12"/>
      <c r="F1616" s="7"/>
      <c r="G1616" s="7"/>
      <c r="H1616" s="1"/>
      <c r="I1616" s="1"/>
      <c r="J1616" s="1"/>
      <c r="K1616" s="1"/>
      <c r="L1616" s="12">
        <f t="shared" si="255"/>
        <v>18203.56886</v>
      </c>
      <c r="M1616" s="12"/>
      <c r="N1616" s="15"/>
      <c r="O1616" s="1"/>
      <c r="Q1616" s="12"/>
      <c r="R1616" s="1"/>
    </row>
    <row r="1617" ht="12.75" hidden="1" customHeight="1" outlineLevel="1">
      <c r="A1617" s="122">
        <f t="shared" si="256"/>
        <v>42924</v>
      </c>
      <c r="B1617" s="120">
        <v>784000.0</v>
      </c>
      <c r="C1617" s="19">
        <f t="shared" si="254"/>
        <v>0</v>
      </c>
      <c r="D1617" s="19">
        <f t="shared" si="253"/>
        <v>-0.005266151445</v>
      </c>
      <c r="E1617" s="12"/>
      <c r="F1617" s="7"/>
      <c r="G1617" s="7"/>
      <c r="H1617" s="1"/>
      <c r="I1617" s="1"/>
      <c r="J1617" s="1"/>
      <c r="K1617" s="1"/>
      <c r="L1617" s="12">
        <f t="shared" si="255"/>
        <v>18203.56886</v>
      </c>
      <c r="M1617" s="12"/>
      <c r="N1617" s="15"/>
      <c r="O1617" s="1"/>
      <c r="Q1617" s="12"/>
      <c r="R1617" s="1"/>
    </row>
    <row r="1618" ht="12.75" hidden="1" customHeight="1" outlineLevel="1">
      <c r="A1618" s="122">
        <f t="shared" si="256"/>
        <v>42925</v>
      </c>
      <c r="B1618" s="120">
        <v>784000.0</v>
      </c>
      <c r="C1618" s="19">
        <f t="shared" si="254"/>
        <v>0</v>
      </c>
      <c r="D1618" s="19">
        <f t="shared" si="253"/>
        <v>-0.005266151445</v>
      </c>
      <c r="E1618" s="12"/>
      <c r="F1618" s="7"/>
      <c r="G1618" s="7"/>
      <c r="H1618" s="1"/>
      <c r="I1618" s="1"/>
      <c r="J1618" s="1"/>
      <c r="K1618" s="1"/>
      <c r="L1618" s="12">
        <f t="shared" si="255"/>
        <v>18203.56886</v>
      </c>
      <c r="M1618" s="12"/>
      <c r="N1618" s="15"/>
      <c r="O1618" s="1"/>
      <c r="Q1618" s="12"/>
      <c r="R1618" s="1"/>
    </row>
    <row r="1619" ht="12.75" hidden="1" customHeight="1" outlineLevel="1">
      <c r="A1619" s="122">
        <f t="shared" si="256"/>
        <v>42926</v>
      </c>
      <c r="B1619" s="120">
        <v>780000.0</v>
      </c>
      <c r="C1619" s="19">
        <f t="shared" si="254"/>
        <v>-0.005102040816</v>
      </c>
      <c r="D1619" s="19">
        <f t="shared" si="253"/>
        <v>-0.01034132414</v>
      </c>
      <c r="E1619" s="12"/>
      <c r="F1619" s="7"/>
      <c r="G1619" s="7"/>
      <c r="H1619" s="1"/>
      <c r="I1619" s="1"/>
      <c r="J1619" s="1"/>
      <c r="K1619" s="1"/>
      <c r="L1619" s="12">
        <f t="shared" si="255"/>
        <v>18110.69351</v>
      </c>
      <c r="M1619" s="12"/>
      <c r="N1619" s="15"/>
      <c r="O1619" s="1"/>
      <c r="Q1619" s="12"/>
      <c r="R1619" s="1"/>
    </row>
    <row r="1620" ht="12.75" hidden="1" customHeight="1" outlineLevel="1">
      <c r="A1620" s="122">
        <f t="shared" si="256"/>
        <v>42927</v>
      </c>
      <c r="B1620" s="120">
        <v>778800.0</v>
      </c>
      <c r="C1620" s="19">
        <f t="shared" si="254"/>
        <v>-0.001538461538</v>
      </c>
      <c r="D1620" s="19">
        <f t="shared" si="253"/>
        <v>-0.01186387595</v>
      </c>
      <c r="E1620" s="12"/>
      <c r="F1620" s="7"/>
      <c r="G1620" s="7"/>
      <c r="H1620" s="1"/>
      <c r="I1620" s="1"/>
      <c r="J1620" s="1"/>
      <c r="K1620" s="1"/>
      <c r="L1620" s="12">
        <f t="shared" si="255"/>
        <v>18082.83091</v>
      </c>
      <c r="M1620" s="12"/>
      <c r="N1620" s="15"/>
      <c r="O1620" s="1"/>
      <c r="Q1620" s="12"/>
      <c r="R1620" s="1"/>
    </row>
    <row r="1621" ht="12.75" hidden="1" customHeight="1" outlineLevel="1">
      <c r="A1621" s="122">
        <f t="shared" si="256"/>
        <v>42928</v>
      </c>
      <c r="B1621" s="120">
        <v>783360.8999999999</v>
      </c>
      <c r="C1621" s="19">
        <f t="shared" si="254"/>
        <v>0.005856317411</v>
      </c>
      <c r="D1621" s="19">
        <f t="shared" si="253"/>
        <v>-0.006077037163</v>
      </c>
      <c r="E1621" s="12"/>
      <c r="F1621" s="7"/>
      <c r="G1621" s="7"/>
      <c r="H1621" s="1"/>
      <c r="I1621" s="1"/>
      <c r="J1621" s="1"/>
      <c r="K1621" s="1"/>
      <c r="L1621" s="12">
        <f t="shared" si="255"/>
        <v>18188.7297</v>
      </c>
      <c r="M1621" s="12"/>
      <c r="N1621" s="15"/>
      <c r="O1621" s="1"/>
      <c r="Q1621" s="12"/>
      <c r="R1621" s="1"/>
    </row>
    <row r="1622" ht="12.75" hidden="1" customHeight="1" outlineLevel="1">
      <c r="A1622" s="122">
        <f t="shared" si="256"/>
        <v>42929</v>
      </c>
      <c r="B1622" s="120">
        <v>785332.0300000001</v>
      </c>
      <c r="C1622" s="19">
        <f t="shared" si="254"/>
        <v>0.00251624762</v>
      </c>
      <c r="D1622" s="19">
        <f t="shared" si="253"/>
        <v>-0.003576080873</v>
      </c>
      <c r="E1622" s="12"/>
      <c r="F1622" s="7"/>
      <c r="G1622" s="7"/>
      <c r="H1622" s="1"/>
      <c r="I1622" s="1"/>
      <c r="J1622" s="1"/>
      <c r="K1622" s="1"/>
      <c r="L1622" s="12">
        <f t="shared" si="255"/>
        <v>18234.49705</v>
      </c>
      <c r="M1622" s="12"/>
      <c r="N1622" s="15"/>
      <c r="O1622" s="1"/>
      <c r="Q1622" s="12"/>
      <c r="R1622" s="1"/>
    </row>
    <row r="1623" ht="12.75" hidden="1" customHeight="1" outlineLevel="1">
      <c r="A1623" s="122">
        <f t="shared" si="256"/>
        <v>42930</v>
      </c>
      <c r="B1623" s="120">
        <v>785332.0300000001</v>
      </c>
      <c r="C1623" s="19">
        <f t="shared" si="254"/>
        <v>0</v>
      </c>
      <c r="D1623" s="19">
        <f t="shared" si="253"/>
        <v>-0.003576080873</v>
      </c>
      <c r="E1623" s="12"/>
      <c r="F1623" s="7"/>
      <c r="G1623" s="7"/>
      <c r="H1623" s="1"/>
      <c r="I1623" s="1"/>
      <c r="J1623" s="1"/>
      <c r="K1623" s="1"/>
      <c r="L1623" s="12">
        <f t="shared" si="255"/>
        <v>18234.49705</v>
      </c>
      <c r="M1623" s="12"/>
      <c r="N1623" s="15"/>
      <c r="O1623" s="1"/>
      <c r="Q1623" s="12"/>
      <c r="R1623" s="1"/>
    </row>
    <row r="1624" ht="12.75" hidden="1" customHeight="1" outlineLevel="1">
      <c r="A1624" s="122">
        <f t="shared" si="256"/>
        <v>42931</v>
      </c>
      <c r="B1624" s="120">
        <v>785332.0300000001</v>
      </c>
      <c r="C1624" s="19">
        <f t="shared" si="254"/>
        <v>0</v>
      </c>
      <c r="D1624" s="19">
        <f t="shared" si="253"/>
        <v>-0.003576080873</v>
      </c>
      <c r="E1624" s="12"/>
      <c r="F1624" s="7"/>
      <c r="G1624" s="7"/>
      <c r="H1624" s="1"/>
      <c r="I1624" s="1"/>
      <c r="J1624" s="1"/>
      <c r="K1624" s="1"/>
      <c r="L1624" s="12">
        <f t="shared" si="255"/>
        <v>18234.49705</v>
      </c>
      <c r="M1624" s="12"/>
      <c r="N1624" s="15"/>
      <c r="O1624" s="1"/>
      <c r="Q1624" s="12"/>
      <c r="R1624" s="1"/>
    </row>
    <row r="1625" ht="12.75" hidden="1" customHeight="1" outlineLevel="1">
      <c r="A1625" s="122">
        <f t="shared" si="256"/>
        <v>42932</v>
      </c>
      <c r="B1625" s="120">
        <v>785332.0300000001</v>
      </c>
      <c r="C1625" s="19">
        <f t="shared" si="254"/>
        <v>0</v>
      </c>
      <c r="D1625" s="19">
        <f t="shared" si="253"/>
        <v>-0.003576080873</v>
      </c>
      <c r="E1625" s="12"/>
      <c r="F1625" s="7"/>
      <c r="G1625" s="7"/>
      <c r="H1625" s="1"/>
      <c r="I1625" s="1"/>
      <c r="J1625" s="1"/>
      <c r="K1625" s="1"/>
      <c r="L1625" s="12">
        <f t="shared" si="255"/>
        <v>18234.49705</v>
      </c>
      <c r="M1625" s="12"/>
      <c r="N1625" s="15"/>
      <c r="O1625" s="1"/>
      <c r="Q1625" s="12"/>
      <c r="R1625" s="1"/>
    </row>
    <row r="1626" ht="12.75" hidden="1" customHeight="1" outlineLevel="1">
      <c r="A1626" s="122">
        <f t="shared" si="256"/>
        <v>42933</v>
      </c>
      <c r="B1626" s="120">
        <v>791000.0</v>
      </c>
      <c r="C1626" s="19">
        <f t="shared" si="254"/>
        <v>0.007217291265</v>
      </c>
      <c r="D1626" s="19">
        <f t="shared" si="253"/>
        <v>0.003615400774</v>
      </c>
      <c r="E1626" s="12"/>
      <c r="F1626" s="7"/>
      <c r="G1626" s="7"/>
      <c r="H1626" s="1"/>
      <c r="I1626" s="1"/>
      <c r="J1626" s="1"/>
      <c r="K1626" s="1"/>
      <c r="L1626" s="12">
        <f t="shared" si="255"/>
        <v>18366.10073</v>
      </c>
      <c r="M1626" s="12"/>
      <c r="N1626" s="15"/>
      <c r="O1626" s="1"/>
      <c r="Q1626" s="12"/>
      <c r="R1626" s="1"/>
    </row>
    <row r="1627" ht="12.75" hidden="1" customHeight="1" outlineLevel="1">
      <c r="A1627" s="122">
        <f t="shared" si="256"/>
        <v>42934</v>
      </c>
      <c r="B1627" s="120">
        <v>788400.0</v>
      </c>
      <c r="C1627" s="19">
        <f t="shared" si="254"/>
        <v>-0.003286978508</v>
      </c>
      <c r="D1627" s="19">
        <f t="shared" si="253"/>
        <v>0.0003165385211</v>
      </c>
      <c r="E1627" s="12"/>
      <c r="F1627" s="7"/>
      <c r="G1627" s="7"/>
      <c r="H1627" s="1"/>
      <c r="I1627" s="1"/>
      <c r="J1627" s="1"/>
      <c r="K1627" s="1"/>
      <c r="L1627" s="12">
        <f t="shared" si="255"/>
        <v>18305.73175</v>
      </c>
      <c r="M1627" s="12"/>
      <c r="N1627" s="15"/>
      <c r="O1627" s="1"/>
      <c r="Q1627" s="12"/>
      <c r="R1627" s="1"/>
    </row>
    <row r="1628" ht="12.75" hidden="1" customHeight="1" outlineLevel="1">
      <c r="A1628" s="122">
        <f t="shared" si="256"/>
        <v>42935</v>
      </c>
      <c r="B1628" s="120">
        <v>793000.0</v>
      </c>
      <c r="C1628" s="19">
        <f t="shared" si="254"/>
        <v>0.005834601725</v>
      </c>
      <c r="D1628" s="19">
        <f t="shared" si="253"/>
        <v>0.006152987122</v>
      </c>
      <c r="E1628" s="12"/>
      <c r="F1628" s="7"/>
      <c r="G1628" s="7"/>
      <c r="H1628" s="1"/>
      <c r="I1628" s="1"/>
      <c r="J1628" s="1"/>
      <c r="K1628" s="1"/>
      <c r="L1628" s="12">
        <f t="shared" si="255"/>
        <v>18412.5384</v>
      </c>
      <c r="M1628" s="12"/>
      <c r="N1628" s="15"/>
      <c r="O1628" s="1"/>
      <c r="Q1628" s="12"/>
      <c r="R1628" s="1"/>
    </row>
    <row r="1629" ht="12.75" hidden="1" customHeight="1" outlineLevel="1">
      <c r="A1629" s="122">
        <f t="shared" si="256"/>
        <v>42936</v>
      </c>
      <c r="B1629" s="120">
        <v>793000.0</v>
      </c>
      <c r="C1629" s="19">
        <f t="shared" si="254"/>
        <v>0</v>
      </c>
      <c r="D1629" s="19">
        <f t="shared" si="253"/>
        <v>0.006152987122</v>
      </c>
      <c r="E1629" s="12"/>
      <c r="F1629" s="7"/>
      <c r="G1629" s="7"/>
      <c r="H1629" s="1"/>
      <c r="I1629" s="1"/>
      <c r="J1629" s="1"/>
      <c r="K1629" s="1"/>
      <c r="L1629" s="12">
        <f t="shared" si="255"/>
        <v>18412.5384</v>
      </c>
      <c r="M1629" s="12"/>
      <c r="N1629" s="15"/>
      <c r="O1629" s="1"/>
      <c r="Q1629" s="12"/>
      <c r="R1629" s="1"/>
    </row>
    <row r="1630" ht="12.75" hidden="1" customHeight="1" outlineLevel="1">
      <c r="A1630" s="122">
        <f t="shared" si="256"/>
        <v>42937</v>
      </c>
      <c r="B1630" s="120">
        <v>793000.0</v>
      </c>
      <c r="C1630" s="19">
        <f t="shared" si="254"/>
        <v>0</v>
      </c>
      <c r="D1630" s="19">
        <f t="shared" si="253"/>
        <v>0.006152987122</v>
      </c>
      <c r="E1630" s="12"/>
      <c r="F1630" s="7"/>
      <c r="G1630" s="7"/>
      <c r="H1630" s="1"/>
      <c r="I1630" s="1"/>
      <c r="J1630" s="1"/>
      <c r="K1630" s="1"/>
      <c r="L1630" s="12">
        <f t="shared" si="255"/>
        <v>18412.5384</v>
      </c>
      <c r="M1630" s="12"/>
      <c r="N1630" s="15"/>
      <c r="O1630" s="1"/>
      <c r="Q1630" s="12"/>
      <c r="R1630" s="1"/>
    </row>
    <row r="1631" ht="12.75" hidden="1" customHeight="1" outlineLevel="1">
      <c r="A1631" s="122">
        <f t="shared" si="256"/>
        <v>42938</v>
      </c>
      <c r="B1631" s="120">
        <v>793000.0</v>
      </c>
      <c r="C1631" s="19">
        <f t="shared" si="254"/>
        <v>0</v>
      </c>
      <c r="D1631" s="19">
        <f t="shared" si="253"/>
        <v>0.006152987122</v>
      </c>
      <c r="E1631" s="12"/>
      <c r="F1631" s="7"/>
      <c r="G1631" s="7"/>
      <c r="H1631" s="1"/>
      <c r="I1631" s="1"/>
      <c r="J1631" s="1"/>
      <c r="K1631" s="1"/>
      <c r="L1631" s="12">
        <f t="shared" si="255"/>
        <v>18412.5384</v>
      </c>
      <c r="M1631" s="12"/>
      <c r="N1631" s="15"/>
      <c r="O1631" s="1"/>
      <c r="Q1631" s="12"/>
      <c r="R1631" s="1"/>
    </row>
    <row r="1632" ht="12.75" hidden="1" customHeight="1" outlineLevel="1">
      <c r="A1632" s="122">
        <f t="shared" si="256"/>
        <v>42939</v>
      </c>
      <c r="B1632" s="120">
        <v>793000.0</v>
      </c>
      <c r="C1632" s="19">
        <f t="shared" si="254"/>
        <v>0</v>
      </c>
      <c r="D1632" s="19">
        <f t="shared" si="253"/>
        <v>0.006152987122</v>
      </c>
      <c r="E1632" s="12"/>
      <c r="F1632" s="7"/>
      <c r="G1632" s="7"/>
      <c r="H1632" s="1"/>
      <c r="I1632" s="1"/>
      <c r="J1632" s="1"/>
      <c r="K1632" s="1"/>
      <c r="L1632" s="12">
        <f t="shared" si="255"/>
        <v>18412.5384</v>
      </c>
      <c r="M1632" s="12"/>
      <c r="N1632" s="15"/>
      <c r="O1632" s="1"/>
      <c r="Q1632" s="12"/>
      <c r="R1632" s="1"/>
    </row>
    <row r="1633" ht="12.75" hidden="1" customHeight="1" outlineLevel="1">
      <c r="A1633" s="122">
        <f t="shared" si="256"/>
        <v>42940</v>
      </c>
      <c r="B1633" s="120">
        <v>797900.0</v>
      </c>
      <c r="C1633" s="19">
        <f t="shared" si="254"/>
        <v>0.006179066835</v>
      </c>
      <c r="D1633" s="19">
        <f t="shared" si="253"/>
        <v>0.01237007368</v>
      </c>
      <c r="E1633" s="12"/>
      <c r="F1633" s="7"/>
      <c r="G1633" s="7"/>
      <c r="H1633" s="1"/>
      <c r="I1633" s="1"/>
      <c r="J1633" s="1"/>
      <c r="K1633" s="1"/>
      <c r="L1633" s="12">
        <f t="shared" si="255"/>
        <v>18526.31071</v>
      </c>
      <c r="M1633" s="12"/>
      <c r="N1633" s="15"/>
      <c r="O1633" s="1"/>
      <c r="Q1633" s="12"/>
      <c r="R1633" s="1"/>
    </row>
    <row r="1634" ht="12.75" hidden="1" customHeight="1" outlineLevel="1">
      <c r="A1634" s="122">
        <f t="shared" si="256"/>
        <v>42941</v>
      </c>
      <c r="B1634" s="120">
        <v>808400.0</v>
      </c>
      <c r="C1634" s="19">
        <f t="shared" si="254"/>
        <v>0.0131595438</v>
      </c>
      <c r="D1634" s="19">
        <f t="shared" si="253"/>
        <v>0.025692402</v>
      </c>
      <c r="E1634" s="12"/>
      <c r="F1634" s="7"/>
      <c r="G1634" s="7"/>
      <c r="H1634" s="1"/>
      <c r="I1634" s="1"/>
      <c r="J1634" s="1"/>
      <c r="K1634" s="1"/>
      <c r="L1634" s="12">
        <f t="shared" si="255"/>
        <v>18770.10851</v>
      </c>
      <c r="M1634" s="12"/>
      <c r="N1634" s="15"/>
      <c r="O1634" s="1"/>
      <c r="Q1634" s="12"/>
      <c r="R1634" s="1"/>
    </row>
    <row r="1635" ht="12.75" hidden="1" customHeight="1" outlineLevel="1">
      <c r="A1635" s="122">
        <f t="shared" si="256"/>
        <v>42942</v>
      </c>
      <c r="B1635" s="120">
        <v>808100.0</v>
      </c>
      <c r="C1635" s="19">
        <f t="shared" si="254"/>
        <v>-0.0003711034142</v>
      </c>
      <c r="D1635" s="19">
        <f t="shared" si="253"/>
        <v>0.02531176405</v>
      </c>
      <c r="E1635" s="12"/>
      <c r="F1635" s="7"/>
      <c r="G1635" s="7"/>
      <c r="H1635" s="1"/>
      <c r="I1635" s="1"/>
      <c r="J1635" s="1"/>
      <c r="K1635" s="1"/>
      <c r="L1635" s="12">
        <f t="shared" si="255"/>
        <v>18763.14285</v>
      </c>
      <c r="M1635" s="12"/>
      <c r="N1635" s="15"/>
      <c r="O1635" s="1"/>
      <c r="Q1635" s="12"/>
      <c r="R1635" s="1"/>
    </row>
    <row r="1636" ht="12.75" hidden="1" customHeight="1" outlineLevel="1">
      <c r="A1636" s="122">
        <f t="shared" si="256"/>
        <v>42943</v>
      </c>
      <c r="B1636" s="120">
        <v>799600.0</v>
      </c>
      <c r="C1636" s="19">
        <f t="shared" si="254"/>
        <v>-0.01051850019</v>
      </c>
      <c r="D1636" s="19">
        <f t="shared" si="253"/>
        <v>0.01452702207</v>
      </c>
      <c r="E1636" s="12"/>
      <c r="F1636" s="7"/>
      <c r="G1636" s="7"/>
      <c r="H1636" s="1"/>
      <c r="I1636" s="1"/>
      <c r="J1636" s="1"/>
      <c r="K1636" s="1"/>
      <c r="L1636" s="12">
        <f t="shared" si="255"/>
        <v>18565.78273</v>
      </c>
      <c r="M1636" s="12"/>
      <c r="N1636" s="15"/>
      <c r="O1636" s="1"/>
      <c r="Q1636" s="12"/>
      <c r="R1636" s="1"/>
    </row>
    <row r="1637" ht="12.75" hidden="1" customHeight="1" outlineLevel="1">
      <c r="A1637" s="122">
        <f t="shared" si="256"/>
        <v>42944</v>
      </c>
      <c r="B1637" s="120">
        <v>795800.0</v>
      </c>
      <c r="C1637" s="19">
        <f t="shared" si="254"/>
        <v>-0.004752376188</v>
      </c>
      <c r="D1637" s="19">
        <f t="shared" si="253"/>
        <v>0.00970560801</v>
      </c>
      <c r="E1637" s="12"/>
      <c r="F1637" s="7"/>
      <c r="G1637" s="7"/>
      <c r="H1637" s="1"/>
      <c r="I1637" s="1"/>
      <c r="J1637" s="1"/>
      <c r="K1637" s="1"/>
      <c r="L1637" s="12">
        <f t="shared" si="255"/>
        <v>18477.55115</v>
      </c>
      <c r="M1637" s="12"/>
      <c r="N1637" s="15"/>
      <c r="O1637" s="1"/>
      <c r="Q1637" s="12"/>
      <c r="R1637" s="1"/>
    </row>
    <row r="1638" ht="12.75" hidden="1" customHeight="1" outlineLevel="1">
      <c r="A1638" s="122">
        <f t="shared" si="256"/>
        <v>42945</v>
      </c>
      <c r="B1638" s="120">
        <v>795800.0</v>
      </c>
      <c r="C1638" s="19">
        <f t="shared" si="254"/>
        <v>0</v>
      </c>
      <c r="D1638" s="19">
        <f t="shared" si="253"/>
        <v>0.00970560801</v>
      </c>
      <c r="E1638" s="12"/>
      <c r="F1638" s="7"/>
      <c r="G1638" s="7"/>
      <c r="H1638" s="1"/>
      <c r="I1638" s="1"/>
      <c r="J1638" s="1"/>
      <c r="K1638" s="1"/>
      <c r="L1638" s="12">
        <f t="shared" si="255"/>
        <v>18477.55115</v>
      </c>
      <c r="M1638" s="12"/>
      <c r="N1638" s="15"/>
      <c r="O1638" s="1"/>
      <c r="Q1638" s="12"/>
      <c r="R1638" s="1"/>
    </row>
    <row r="1639" ht="12.75" hidden="1" customHeight="1" outlineLevel="1">
      <c r="A1639" s="122">
        <f t="shared" si="256"/>
        <v>42946</v>
      </c>
      <c r="B1639" s="120">
        <v>795800.0</v>
      </c>
      <c r="C1639" s="19">
        <f t="shared" si="254"/>
        <v>0</v>
      </c>
      <c r="D1639" s="19">
        <f t="shared" si="253"/>
        <v>0.00970560801</v>
      </c>
      <c r="E1639" s="12"/>
      <c r="F1639" s="7"/>
      <c r="G1639" s="7"/>
      <c r="H1639" s="1"/>
      <c r="I1639" s="1"/>
      <c r="J1639" s="1"/>
      <c r="K1639" s="1"/>
      <c r="L1639" s="12">
        <f t="shared" si="255"/>
        <v>18477.55115</v>
      </c>
      <c r="M1639" s="12"/>
      <c r="N1639" s="15"/>
      <c r="O1639" s="1"/>
      <c r="Q1639" s="12"/>
      <c r="R1639" s="1"/>
    </row>
    <row r="1640" ht="12.75" hidden="1" customHeight="1" outlineLevel="1">
      <c r="A1640" s="122">
        <f t="shared" si="256"/>
        <v>42947</v>
      </c>
      <c r="B1640" s="120">
        <v>796935.02</v>
      </c>
      <c r="C1640" s="19">
        <f t="shared" si="254"/>
        <v>0.00142626288</v>
      </c>
      <c r="D1640" s="19">
        <f t="shared" si="253"/>
        <v>0.01114571364</v>
      </c>
      <c r="E1640" s="12"/>
      <c r="F1640" s="7"/>
      <c r="G1640" s="7"/>
      <c r="H1640" s="1"/>
      <c r="I1640" s="1"/>
      <c r="J1640" s="1"/>
      <c r="K1640" s="1"/>
      <c r="L1640" s="12">
        <f t="shared" si="255"/>
        <v>18503.90499</v>
      </c>
      <c r="M1640" s="12"/>
      <c r="N1640" s="15"/>
      <c r="O1640" s="1"/>
      <c r="Q1640" s="12"/>
      <c r="R1640" s="1"/>
    </row>
    <row r="1641" ht="12.75" hidden="1" customHeight="1" outlineLevel="1">
      <c r="A1641" s="122"/>
      <c r="B1641" s="12"/>
      <c r="C1641" s="1"/>
      <c r="D1641" s="1"/>
      <c r="E1641" s="12"/>
      <c r="F1641" s="7"/>
      <c r="G1641" s="7"/>
      <c r="H1641" s="1"/>
      <c r="I1641" s="1"/>
      <c r="J1641" s="1"/>
      <c r="K1641" s="1"/>
      <c r="L1641" s="12"/>
      <c r="M1641" s="12"/>
      <c r="N1641" s="15"/>
      <c r="O1641" s="1"/>
      <c r="Q1641" s="12"/>
      <c r="R1641" s="1"/>
    </row>
    <row r="1642" ht="12.75" hidden="1" customHeight="1" outlineLevel="1">
      <c r="A1642" s="122"/>
      <c r="B1642" s="12">
        <f>B1640</f>
        <v>796935.02</v>
      </c>
      <c r="C1642" s="1"/>
      <c r="D1642" s="1"/>
      <c r="E1642" s="12"/>
      <c r="F1642" s="7"/>
      <c r="G1642" s="7"/>
      <c r="H1642" s="1"/>
      <c r="I1642" s="1"/>
      <c r="J1642" s="1"/>
      <c r="K1642" s="1"/>
      <c r="L1642" s="12"/>
      <c r="M1642" s="12"/>
      <c r="N1642" s="15"/>
      <c r="O1642" s="1"/>
      <c r="Q1642" s="12"/>
      <c r="R1642" s="1"/>
    </row>
    <row r="1643" ht="12.75" hidden="1" customHeight="1" outlineLevel="1">
      <c r="A1643" s="122">
        <f>A1640+1</f>
        <v>42948</v>
      </c>
      <c r="B1643" s="12">
        <v>796935.02</v>
      </c>
      <c r="C1643" s="19">
        <f t="shared" ref="C1643:C1673" si="257">(B1643/B1642)-1</f>
        <v>0</v>
      </c>
      <c r="D1643" s="19">
        <f t="shared" ref="D1643:D1673" si="258">(B1643/$B$1642)-1</f>
        <v>0</v>
      </c>
      <c r="E1643" s="12"/>
      <c r="F1643" s="7"/>
      <c r="G1643" s="7"/>
      <c r="H1643" s="1"/>
      <c r="I1643" s="1"/>
      <c r="J1643" s="1"/>
      <c r="K1643" s="1"/>
      <c r="L1643" s="12">
        <f t="shared" ref="L1643:L1673" si="259">IF(C1642="",L1640*(1+C1643),L1642*(1+C1643))</f>
        <v>18503.90499</v>
      </c>
      <c r="M1643" s="12"/>
      <c r="N1643" s="15"/>
      <c r="O1643" s="1"/>
      <c r="Q1643" s="12"/>
      <c r="R1643" s="1"/>
    </row>
    <row r="1644" ht="12.75" hidden="1" customHeight="1" outlineLevel="1">
      <c r="A1644" s="122">
        <f t="shared" ref="A1644:A1673" si="260">A1643+1</f>
        <v>42949</v>
      </c>
      <c r="B1644" s="12">
        <v>796935.02</v>
      </c>
      <c r="C1644" s="19">
        <f t="shared" si="257"/>
        <v>0</v>
      </c>
      <c r="D1644" s="19">
        <f t="shared" si="258"/>
        <v>0</v>
      </c>
      <c r="E1644" s="12"/>
      <c r="F1644" s="7"/>
      <c r="G1644" s="7"/>
      <c r="H1644" s="1"/>
      <c r="I1644" s="1"/>
      <c r="J1644" s="1"/>
      <c r="K1644" s="1"/>
      <c r="L1644" s="12">
        <f t="shared" si="259"/>
        <v>18503.90499</v>
      </c>
      <c r="M1644" s="12"/>
      <c r="N1644" s="15"/>
      <c r="O1644" s="1"/>
      <c r="Q1644" s="12"/>
      <c r="R1644" s="1"/>
    </row>
    <row r="1645" ht="12.75" hidden="1" customHeight="1" outlineLevel="1">
      <c r="A1645" s="122">
        <f t="shared" si="260"/>
        <v>42950</v>
      </c>
      <c r="B1645" s="12">
        <v>796935.02</v>
      </c>
      <c r="C1645" s="19">
        <f t="shared" si="257"/>
        <v>0</v>
      </c>
      <c r="D1645" s="19">
        <f t="shared" si="258"/>
        <v>0</v>
      </c>
      <c r="E1645" s="12"/>
      <c r="F1645" s="7"/>
      <c r="G1645" s="7"/>
      <c r="H1645" s="1"/>
      <c r="I1645" s="1"/>
      <c r="J1645" s="1"/>
      <c r="K1645" s="1"/>
      <c r="L1645" s="12">
        <f t="shared" si="259"/>
        <v>18503.90499</v>
      </c>
      <c r="M1645" s="12"/>
      <c r="N1645" s="15"/>
      <c r="O1645" s="1"/>
      <c r="Q1645" s="12"/>
      <c r="R1645" s="1"/>
    </row>
    <row r="1646" ht="12.75" hidden="1" customHeight="1" outlineLevel="1">
      <c r="A1646" s="122">
        <f t="shared" si="260"/>
        <v>42951</v>
      </c>
      <c r="B1646" s="12">
        <v>796935.02</v>
      </c>
      <c r="C1646" s="19">
        <f t="shared" si="257"/>
        <v>0</v>
      </c>
      <c r="D1646" s="19">
        <f t="shared" si="258"/>
        <v>0</v>
      </c>
      <c r="E1646" s="12"/>
      <c r="F1646" s="7"/>
      <c r="G1646" s="7"/>
      <c r="H1646" s="1"/>
      <c r="I1646" s="1"/>
      <c r="J1646" s="1"/>
      <c r="K1646" s="1"/>
      <c r="L1646" s="12">
        <f t="shared" si="259"/>
        <v>18503.90499</v>
      </c>
      <c r="M1646" s="12"/>
      <c r="N1646" s="15"/>
      <c r="O1646" s="1"/>
      <c r="Q1646" s="12"/>
      <c r="R1646" s="1"/>
    </row>
    <row r="1647" ht="12.75" hidden="1" customHeight="1" outlineLevel="1">
      <c r="A1647" s="122">
        <f t="shared" si="260"/>
        <v>42952</v>
      </c>
      <c r="B1647" s="12">
        <v>796935.02</v>
      </c>
      <c r="C1647" s="19">
        <f t="shared" si="257"/>
        <v>0</v>
      </c>
      <c r="D1647" s="19">
        <f t="shared" si="258"/>
        <v>0</v>
      </c>
      <c r="E1647" s="12"/>
      <c r="F1647" s="7"/>
      <c r="G1647" s="7"/>
      <c r="H1647" s="1"/>
      <c r="I1647" s="1"/>
      <c r="J1647" s="1"/>
      <c r="K1647" s="1"/>
      <c r="L1647" s="12">
        <f t="shared" si="259"/>
        <v>18503.90499</v>
      </c>
      <c r="M1647" s="12"/>
      <c r="N1647" s="15"/>
      <c r="O1647" s="1"/>
      <c r="Q1647" s="12"/>
      <c r="R1647" s="1"/>
    </row>
    <row r="1648" ht="12.75" hidden="1" customHeight="1" outlineLevel="1">
      <c r="A1648" s="122">
        <f t="shared" si="260"/>
        <v>42953</v>
      </c>
      <c r="B1648" s="12">
        <v>796935.02</v>
      </c>
      <c r="C1648" s="19">
        <f t="shared" si="257"/>
        <v>0</v>
      </c>
      <c r="D1648" s="19">
        <f t="shared" si="258"/>
        <v>0</v>
      </c>
      <c r="E1648" s="12"/>
      <c r="F1648" s="7"/>
      <c r="G1648" s="7"/>
      <c r="H1648" s="1"/>
      <c r="I1648" s="1"/>
      <c r="J1648" s="1"/>
      <c r="K1648" s="1"/>
      <c r="L1648" s="12">
        <f t="shared" si="259"/>
        <v>18503.90499</v>
      </c>
      <c r="M1648" s="12"/>
      <c r="N1648" s="15"/>
      <c r="O1648" s="1"/>
      <c r="Q1648" s="12"/>
      <c r="R1648" s="1"/>
    </row>
    <row r="1649" ht="12.75" hidden="1" customHeight="1" outlineLevel="1">
      <c r="A1649" s="122">
        <f t="shared" si="260"/>
        <v>42954</v>
      </c>
      <c r="B1649" s="120">
        <v>798500.0</v>
      </c>
      <c r="C1649" s="19">
        <f t="shared" si="257"/>
        <v>0.001963748563</v>
      </c>
      <c r="D1649" s="19">
        <f t="shared" si="258"/>
        <v>0.001963748563</v>
      </c>
      <c r="E1649" s="12"/>
      <c r="F1649" s="7"/>
      <c r="G1649" s="7"/>
      <c r="H1649" s="1"/>
      <c r="I1649" s="1"/>
      <c r="J1649" s="1"/>
      <c r="K1649" s="1"/>
      <c r="L1649" s="12">
        <f t="shared" si="259"/>
        <v>18540.24201</v>
      </c>
      <c r="M1649" s="12"/>
      <c r="N1649" s="15"/>
      <c r="O1649" s="1"/>
      <c r="Q1649" s="12"/>
      <c r="R1649" s="1"/>
    </row>
    <row r="1650" ht="12.75" hidden="1" customHeight="1" outlineLevel="1">
      <c r="A1650" s="122">
        <f t="shared" si="260"/>
        <v>42955</v>
      </c>
      <c r="B1650" s="120">
        <v>798500.0</v>
      </c>
      <c r="C1650" s="19">
        <f t="shared" si="257"/>
        <v>0</v>
      </c>
      <c r="D1650" s="19">
        <f t="shared" si="258"/>
        <v>0.001963748563</v>
      </c>
      <c r="E1650" s="12"/>
      <c r="F1650" s="7"/>
      <c r="G1650" s="7"/>
      <c r="H1650" s="1"/>
      <c r="I1650" s="1"/>
      <c r="J1650" s="1"/>
      <c r="K1650" s="1"/>
      <c r="L1650" s="12">
        <f t="shared" si="259"/>
        <v>18540.24201</v>
      </c>
      <c r="M1650" s="12"/>
      <c r="N1650" s="15"/>
      <c r="O1650" s="1"/>
      <c r="Q1650" s="12"/>
      <c r="R1650" s="1"/>
    </row>
    <row r="1651" ht="12.75" hidden="1" customHeight="1" outlineLevel="1">
      <c r="A1651" s="122">
        <f t="shared" si="260"/>
        <v>42956</v>
      </c>
      <c r="B1651" s="120">
        <v>798500.0</v>
      </c>
      <c r="C1651" s="19">
        <f t="shared" si="257"/>
        <v>0</v>
      </c>
      <c r="D1651" s="19">
        <f t="shared" si="258"/>
        <v>0.001963748563</v>
      </c>
      <c r="E1651" s="12"/>
      <c r="F1651" s="7"/>
      <c r="G1651" s="7"/>
      <c r="H1651" s="1"/>
      <c r="I1651" s="1"/>
      <c r="J1651" s="1"/>
      <c r="K1651" s="1"/>
      <c r="L1651" s="12">
        <f t="shared" si="259"/>
        <v>18540.24201</v>
      </c>
      <c r="M1651" s="12"/>
      <c r="N1651" s="15"/>
      <c r="O1651" s="1"/>
      <c r="Q1651" s="12"/>
      <c r="R1651" s="1"/>
    </row>
    <row r="1652" ht="12.75" hidden="1" customHeight="1" outlineLevel="1">
      <c r="A1652" s="122">
        <f t="shared" si="260"/>
        <v>42957</v>
      </c>
      <c r="B1652" s="120">
        <v>798500.0</v>
      </c>
      <c r="C1652" s="19">
        <f t="shared" si="257"/>
        <v>0</v>
      </c>
      <c r="D1652" s="19">
        <f t="shared" si="258"/>
        <v>0.001963748563</v>
      </c>
      <c r="E1652" s="12"/>
      <c r="F1652" s="7"/>
      <c r="G1652" s="7"/>
      <c r="H1652" s="1"/>
      <c r="I1652" s="1"/>
      <c r="J1652" s="1"/>
      <c r="K1652" s="1"/>
      <c r="L1652" s="12">
        <f t="shared" si="259"/>
        <v>18540.24201</v>
      </c>
      <c r="M1652" s="12"/>
      <c r="N1652" s="15"/>
      <c r="O1652" s="1"/>
      <c r="Q1652" s="12"/>
      <c r="R1652" s="1"/>
    </row>
    <row r="1653" ht="12.75" hidden="1" customHeight="1" outlineLevel="1">
      <c r="A1653" s="122">
        <f t="shared" si="260"/>
        <v>42958</v>
      </c>
      <c r="B1653" s="120">
        <v>769154.0299999999</v>
      </c>
      <c r="C1653" s="19">
        <f t="shared" si="257"/>
        <v>-0.03675137132</v>
      </c>
      <c r="D1653" s="19">
        <f t="shared" si="258"/>
        <v>-0.03485979321</v>
      </c>
      <c r="E1653" s="12"/>
      <c r="F1653" s="7"/>
      <c r="G1653" s="7"/>
      <c r="H1653" s="1"/>
      <c r="I1653" s="1"/>
      <c r="J1653" s="1"/>
      <c r="K1653" s="1"/>
      <c r="L1653" s="12">
        <f t="shared" si="259"/>
        <v>17858.86269</v>
      </c>
      <c r="M1653" s="12"/>
      <c r="N1653" s="15"/>
      <c r="O1653" s="1"/>
      <c r="Q1653" s="12"/>
      <c r="R1653" s="1"/>
    </row>
    <row r="1654" ht="12.75" hidden="1" customHeight="1" outlineLevel="1">
      <c r="A1654" s="122">
        <f t="shared" si="260"/>
        <v>42959</v>
      </c>
      <c r="B1654" s="120">
        <v>771208.54</v>
      </c>
      <c r="C1654" s="19">
        <f t="shared" si="257"/>
        <v>0.002671129475</v>
      </c>
      <c r="D1654" s="19">
        <f t="shared" si="258"/>
        <v>-0.03228177876</v>
      </c>
      <c r="E1654" s="12"/>
      <c r="F1654" s="7"/>
      <c r="G1654" s="7"/>
      <c r="H1654" s="1"/>
      <c r="I1654" s="1"/>
      <c r="J1654" s="1"/>
      <c r="K1654" s="1"/>
      <c r="L1654" s="12">
        <f t="shared" si="259"/>
        <v>17906.56603</v>
      </c>
      <c r="M1654" s="12"/>
      <c r="N1654" s="15"/>
      <c r="O1654" s="1"/>
      <c r="Q1654" s="12"/>
      <c r="R1654" s="1"/>
    </row>
    <row r="1655" ht="12.75" hidden="1" customHeight="1" outlineLevel="1">
      <c r="A1655" s="122">
        <f t="shared" si="260"/>
        <v>42960</v>
      </c>
      <c r="B1655" s="120">
        <v>771208.54</v>
      </c>
      <c r="C1655" s="19">
        <f t="shared" si="257"/>
        <v>0</v>
      </c>
      <c r="D1655" s="19">
        <f t="shared" si="258"/>
        <v>-0.03228177876</v>
      </c>
      <c r="E1655" s="12"/>
      <c r="F1655" s="7"/>
      <c r="G1655" s="7"/>
      <c r="H1655" s="1"/>
      <c r="I1655" s="1"/>
      <c r="J1655" s="1"/>
      <c r="K1655" s="1"/>
      <c r="L1655" s="12">
        <f t="shared" si="259"/>
        <v>17906.56603</v>
      </c>
      <c r="M1655" s="12"/>
      <c r="N1655" s="15"/>
      <c r="O1655" s="1"/>
      <c r="Q1655" s="12"/>
      <c r="R1655" s="1"/>
    </row>
    <row r="1656" ht="12.75" hidden="1" customHeight="1" outlineLevel="1">
      <c r="A1656" s="122">
        <f t="shared" si="260"/>
        <v>42961</v>
      </c>
      <c r="B1656" s="120">
        <v>776400.0</v>
      </c>
      <c r="C1656" s="19">
        <f t="shared" si="257"/>
        <v>0.006731590394</v>
      </c>
      <c r="D1656" s="19">
        <f t="shared" si="258"/>
        <v>-0.02576749608</v>
      </c>
      <c r="E1656" s="12"/>
      <c r="F1656" s="7"/>
      <c r="G1656" s="7"/>
      <c r="H1656" s="1"/>
      <c r="I1656" s="1"/>
      <c r="J1656" s="1"/>
      <c r="K1656" s="1"/>
      <c r="L1656" s="12">
        <f t="shared" si="259"/>
        <v>18027.1057</v>
      </c>
      <c r="M1656" s="12"/>
      <c r="N1656" s="15"/>
      <c r="O1656" s="1"/>
      <c r="Q1656" s="12"/>
      <c r="R1656" s="1"/>
    </row>
    <row r="1657" ht="12.75" hidden="1" customHeight="1" outlineLevel="1">
      <c r="A1657" s="122">
        <f t="shared" si="260"/>
        <v>42962</v>
      </c>
      <c r="B1657" s="120">
        <v>775700.0</v>
      </c>
      <c r="C1657" s="19">
        <f t="shared" si="257"/>
        <v>-0.0009015971149</v>
      </c>
      <c r="D1657" s="19">
        <f t="shared" si="258"/>
        <v>-0.02664586129</v>
      </c>
      <c r="E1657" s="12"/>
      <c r="F1657" s="7"/>
      <c r="G1657" s="7"/>
      <c r="H1657" s="1"/>
      <c r="I1657" s="1"/>
      <c r="J1657" s="1"/>
      <c r="K1657" s="1"/>
      <c r="L1657" s="12">
        <f t="shared" si="259"/>
        <v>18010.85251</v>
      </c>
      <c r="M1657" s="12"/>
      <c r="N1657" s="15"/>
      <c r="O1657" s="1"/>
      <c r="Q1657" s="12"/>
      <c r="R1657" s="1"/>
    </row>
    <row r="1658" ht="12.75" hidden="1" customHeight="1" outlineLevel="1">
      <c r="A1658" s="122">
        <f t="shared" si="260"/>
        <v>42963</v>
      </c>
      <c r="B1658" s="120">
        <v>775700.0</v>
      </c>
      <c r="C1658" s="19">
        <f t="shared" si="257"/>
        <v>0</v>
      </c>
      <c r="D1658" s="19">
        <f t="shared" si="258"/>
        <v>-0.02664586129</v>
      </c>
      <c r="E1658" s="12"/>
      <c r="F1658" s="7"/>
      <c r="G1658" s="7"/>
      <c r="H1658" s="1"/>
      <c r="I1658" s="1"/>
      <c r="J1658" s="1"/>
      <c r="K1658" s="1"/>
      <c r="L1658" s="12">
        <f t="shared" si="259"/>
        <v>18010.85251</v>
      </c>
      <c r="M1658" s="12"/>
      <c r="N1658" s="15"/>
      <c r="O1658" s="1"/>
      <c r="Q1658" s="12"/>
      <c r="R1658" s="1"/>
    </row>
    <row r="1659" ht="12.75" hidden="1" customHeight="1" outlineLevel="1">
      <c r="A1659" s="122">
        <f t="shared" si="260"/>
        <v>42964</v>
      </c>
      <c r="B1659" s="120">
        <v>765800.0</v>
      </c>
      <c r="C1659" s="19">
        <f t="shared" si="257"/>
        <v>-0.01276266598</v>
      </c>
      <c r="D1659" s="19">
        <f t="shared" si="258"/>
        <v>-0.03906845504</v>
      </c>
      <c r="E1659" s="12"/>
      <c r="F1659" s="7"/>
      <c r="G1659" s="7"/>
      <c r="H1659" s="1"/>
      <c r="I1659" s="1"/>
      <c r="J1659" s="1"/>
      <c r="K1659" s="1"/>
      <c r="L1659" s="12">
        <f t="shared" si="259"/>
        <v>17780.98601</v>
      </c>
      <c r="M1659" s="12"/>
      <c r="N1659" s="15"/>
      <c r="O1659" s="1"/>
      <c r="Q1659" s="12"/>
      <c r="R1659" s="1"/>
    </row>
    <row r="1660" ht="12.75" hidden="1" customHeight="1" outlineLevel="1">
      <c r="A1660" s="122">
        <f t="shared" si="260"/>
        <v>42965</v>
      </c>
      <c r="B1660" s="120">
        <v>765800.0</v>
      </c>
      <c r="C1660" s="19">
        <f t="shared" si="257"/>
        <v>0</v>
      </c>
      <c r="D1660" s="19">
        <f t="shared" si="258"/>
        <v>-0.03906845504</v>
      </c>
      <c r="E1660" s="12"/>
      <c r="F1660" s="7"/>
      <c r="G1660" s="7"/>
      <c r="H1660" s="1"/>
      <c r="I1660" s="1"/>
      <c r="J1660" s="1"/>
      <c r="K1660" s="1"/>
      <c r="L1660" s="12">
        <f t="shared" si="259"/>
        <v>17780.98601</v>
      </c>
      <c r="M1660" s="12"/>
      <c r="N1660" s="15"/>
      <c r="O1660" s="1"/>
      <c r="Q1660" s="12"/>
      <c r="R1660" s="1"/>
    </row>
    <row r="1661" ht="12.75" hidden="1" customHeight="1" outlineLevel="1">
      <c r="A1661" s="122">
        <f t="shared" si="260"/>
        <v>42966</v>
      </c>
      <c r="B1661" s="120">
        <v>765184.39</v>
      </c>
      <c r="C1661" s="19">
        <f t="shared" si="257"/>
        <v>-0.0008038782972</v>
      </c>
      <c r="D1661" s="19">
        <f t="shared" si="258"/>
        <v>-0.03984092706</v>
      </c>
      <c r="E1661" s="12"/>
      <c r="F1661" s="7"/>
      <c r="G1661" s="7"/>
      <c r="H1661" s="1"/>
      <c r="I1661" s="1"/>
      <c r="J1661" s="1"/>
      <c r="K1661" s="1"/>
      <c r="L1661" s="12">
        <f t="shared" si="259"/>
        <v>17766.69227</v>
      </c>
      <c r="M1661" s="12"/>
      <c r="N1661" s="15"/>
      <c r="O1661" s="1"/>
      <c r="Q1661" s="12"/>
      <c r="R1661" s="1"/>
    </row>
    <row r="1662" ht="12.75" hidden="1" customHeight="1" outlineLevel="1">
      <c r="A1662" s="122">
        <f t="shared" si="260"/>
        <v>42967</v>
      </c>
      <c r="B1662" s="120">
        <v>765184.39</v>
      </c>
      <c r="C1662" s="19">
        <f t="shared" si="257"/>
        <v>0</v>
      </c>
      <c r="D1662" s="19">
        <f t="shared" si="258"/>
        <v>-0.03984092706</v>
      </c>
      <c r="E1662" s="12"/>
      <c r="F1662" s="7"/>
      <c r="G1662" s="7"/>
      <c r="H1662" s="1"/>
      <c r="I1662" s="1"/>
      <c r="J1662" s="1"/>
      <c r="K1662" s="1"/>
      <c r="L1662" s="12">
        <f t="shared" si="259"/>
        <v>17766.69227</v>
      </c>
      <c r="M1662" s="12"/>
      <c r="N1662" s="15"/>
      <c r="O1662" s="1"/>
      <c r="Q1662" s="12"/>
      <c r="R1662" s="1"/>
    </row>
    <row r="1663" ht="12.75" hidden="1" customHeight="1" outlineLevel="1">
      <c r="A1663" s="122">
        <f t="shared" si="260"/>
        <v>42968</v>
      </c>
      <c r="B1663" s="120">
        <v>765184.39</v>
      </c>
      <c r="C1663" s="19">
        <f t="shared" si="257"/>
        <v>0</v>
      </c>
      <c r="D1663" s="19">
        <f t="shared" si="258"/>
        <v>-0.03984092706</v>
      </c>
      <c r="E1663" s="12"/>
      <c r="F1663" s="7"/>
      <c r="G1663" s="7"/>
      <c r="H1663" s="1"/>
      <c r="I1663" s="1"/>
      <c r="J1663" s="1"/>
      <c r="K1663" s="1"/>
      <c r="L1663" s="12">
        <f t="shared" si="259"/>
        <v>17766.69227</v>
      </c>
      <c r="M1663" s="12"/>
      <c r="N1663" s="15"/>
      <c r="O1663" s="1"/>
      <c r="Q1663" s="12"/>
      <c r="R1663" s="1"/>
    </row>
    <row r="1664" ht="12.75" hidden="1" customHeight="1" outlineLevel="1">
      <c r="A1664" s="122">
        <f t="shared" si="260"/>
        <v>42969</v>
      </c>
      <c r="B1664" s="120">
        <v>765184.39</v>
      </c>
      <c r="C1664" s="19">
        <f t="shared" si="257"/>
        <v>0</v>
      </c>
      <c r="D1664" s="19">
        <f t="shared" si="258"/>
        <v>-0.03984092706</v>
      </c>
      <c r="E1664" s="12"/>
      <c r="F1664" s="7"/>
      <c r="G1664" s="7"/>
      <c r="H1664" s="1"/>
      <c r="I1664" s="1"/>
      <c r="J1664" s="1"/>
      <c r="K1664" s="1"/>
      <c r="L1664" s="12">
        <f t="shared" si="259"/>
        <v>17766.69227</v>
      </c>
      <c r="M1664" s="12"/>
      <c r="N1664" s="15"/>
      <c r="O1664" s="1"/>
      <c r="Q1664" s="12"/>
      <c r="R1664" s="1"/>
    </row>
    <row r="1665" ht="12.75" hidden="1" customHeight="1" outlineLevel="1">
      <c r="A1665" s="122">
        <f t="shared" si="260"/>
        <v>42970</v>
      </c>
      <c r="B1665" s="120">
        <v>765184.39</v>
      </c>
      <c r="C1665" s="19">
        <f t="shared" si="257"/>
        <v>0</v>
      </c>
      <c r="D1665" s="19">
        <f t="shared" si="258"/>
        <v>-0.03984092706</v>
      </c>
      <c r="E1665" s="12"/>
      <c r="F1665" s="7"/>
      <c r="G1665" s="7"/>
      <c r="H1665" s="1"/>
      <c r="I1665" s="1"/>
      <c r="J1665" s="1"/>
      <c r="K1665" s="1"/>
      <c r="L1665" s="12">
        <f t="shared" si="259"/>
        <v>17766.69227</v>
      </c>
      <c r="M1665" s="12"/>
      <c r="N1665" s="15"/>
      <c r="O1665" s="1"/>
      <c r="Q1665" s="12"/>
      <c r="R1665" s="1"/>
    </row>
    <row r="1666" ht="12.75" hidden="1" customHeight="1" outlineLevel="1">
      <c r="A1666" s="122">
        <f t="shared" si="260"/>
        <v>42971</v>
      </c>
      <c r="B1666" s="120">
        <v>769000.0</v>
      </c>
      <c r="C1666" s="19">
        <f t="shared" si="257"/>
        <v>0.004986523575</v>
      </c>
      <c r="D1666" s="19">
        <f t="shared" si="258"/>
        <v>-0.0350530712</v>
      </c>
      <c r="E1666" s="12"/>
      <c r="F1666" s="7"/>
      <c r="G1666" s="7"/>
      <c r="H1666" s="1"/>
      <c r="I1666" s="1"/>
      <c r="J1666" s="1"/>
      <c r="K1666" s="1"/>
      <c r="L1666" s="12">
        <f t="shared" si="259"/>
        <v>17855.2863</v>
      </c>
      <c r="M1666" s="12"/>
      <c r="N1666" s="15"/>
      <c r="O1666" s="1"/>
      <c r="Q1666" s="12"/>
      <c r="R1666" s="1"/>
    </row>
    <row r="1667" ht="12.75" hidden="1" customHeight="1" outlineLevel="1">
      <c r="A1667" s="122">
        <f t="shared" si="260"/>
        <v>42972</v>
      </c>
      <c r="B1667" s="120">
        <v>770457.41</v>
      </c>
      <c r="C1667" s="19">
        <f t="shared" si="257"/>
        <v>0.00189520156</v>
      </c>
      <c r="D1667" s="19">
        <f t="shared" si="258"/>
        <v>-0.03322430228</v>
      </c>
      <c r="E1667" s="12"/>
      <c r="F1667" s="7"/>
      <c r="G1667" s="7"/>
      <c r="H1667" s="1"/>
      <c r="I1667" s="1"/>
      <c r="J1667" s="1"/>
      <c r="K1667" s="1"/>
      <c r="L1667" s="12">
        <f t="shared" si="259"/>
        <v>17889.12566</v>
      </c>
      <c r="M1667" s="12"/>
      <c r="N1667" s="15"/>
      <c r="O1667" s="1"/>
      <c r="Q1667" s="12"/>
      <c r="R1667" s="1"/>
    </row>
    <row r="1668" ht="12.75" hidden="1" customHeight="1" outlineLevel="1">
      <c r="A1668" s="122">
        <f t="shared" si="260"/>
        <v>42973</v>
      </c>
      <c r="B1668" s="120">
        <v>770457.41</v>
      </c>
      <c r="C1668" s="19">
        <f t="shared" si="257"/>
        <v>0</v>
      </c>
      <c r="D1668" s="19">
        <f t="shared" si="258"/>
        <v>-0.03322430228</v>
      </c>
      <c r="E1668" s="12"/>
      <c r="F1668" s="7"/>
      <c r="G1668" s="7"/>
      <c r="H1668" s="1"/>
      <c r="I1668" s="1"/>
      <c r="J1668" s="1"/>
      <c r="K1668" s="1"/>
      <c r="L1668" s="12">
        <f t="shared" si="259"/>
        <v>17889.12566</v>
      </c>
      <c r="M1668" s="12"/>
      <c r="N1668" s="15"/>
      <c r="O1668" s="1"/>
      <c r="Q1668" s="12"/>
      <c r="R1668" s="1"/>
    </row>
    <row r="1669" ht="12.75" hidden="1" customHeight="1" outlineLevel="1">
      <c r="A1669" s="122">
        <f t="shared" si="260"/>
        <v>42974</v>
      </c>
      <c r="B1669" s="120">
        <v>770457.41</v>
      </c>
      <c r="C1669" s="19">
        <f t="shared" si="257"/>
        <v>0</v>
      </c>
      <c r="D1669" s="19">
        <f t="shared" si="258"/>
        <v>-0.03322430228</v>
      </c>
      <c r="E1669" s="12"/>
      <c r="F1669" s="7"/>
      <c r="G1669" s="7"/>
      <c r="H1669" s="1"/>
      <c r="I1669" s="1"/>
      <c r="J1669" s="1"/>
      <c r="K1669" s="1"/>
      <c r="L1669" s="12">
        <f t="shared" si="259"/>
        <v>17889.12566</v>
      </c>
      <c r="M1669" s="12"/>
      <c r="N1669" s="15"/>
      <c r="O1669" s="1"/>
      <c r="Q1669" s="12"/>
      <c r="R1669" s="1"/>
    </row>
    <row r="1670" ht="12.75" hidden="1" customHeight="1" outlineLevel="1">
      <c r="A1670" s="122">
        <f t="shared" si="260"/>
        <v>42975</v>
      </c>
      <c r="B1670" s="120">
        <v>770457.41</v>
      </c>
      <c r="C1670" s="19">
        <f t="shared" si="257"/>
        <v>0</v>
      </c>
      <c r="D1670" s="19">
        <f t="shared" si="258"/>
        <v>-0.03322430228</v>
      </c>
      <c r="E1670" s="12"/>
      <c r="F1670" s="7"/>
      <c r="G1670" s="7"/>
      <c r="H1670" s="1"/>
      <c r="I1670" s="1"/>
      <c r="J1670" s="1"/>
      <c r="K1670" s="1"/>
      <c r="L1670" s="12">
        <f t="shared" si="259"/>
        <v>17889.12566</v>
      </c>
      <c r="M1670" s="12"/>
      <c r="N1670" s="15"/>
      <c r="O1670" s="1"/>
      <c r="Q1670" s="12"/>
      <c r="R1670" s="1"/>
    </row>
    <row r="1671" ht="12.75" hidden="1" customHeight="1" outlineLevel="1">
      <c r="A1671" s="122">
        <f t="shared" si="260"/>
        <v>42976</v>
      </c>
      <c r="B1671" s="120">
        <v>770457.41</v>
      </c>
      <c r="C1671" s="19">
        <f t="shared" si="257"/>
        <v>0</v>
      </c>
      <c r="D1671" s="19">
        <f t="shared" si="258"/>
        <v>-0.03322430228</v>
      </c>
      <c r="E1671" s="12"/>
      <c r="F1671" s="7"/>
      <c r="G1671" s="7"/>
      <c r="H1671" s="1"/>
      <c r="I1671" s="1"/>
      <c r="J1671" s="1"/>
      <c r="K1671" s="1"/>
      <c r="L1671" s="12">
        <f t="shared" si="259"/>
        <v>17889.12566</v>
      </c>
      <c r="M1671" s="12"/>
      <c r="N1671" s="15"/>
      <c r="O1671" s="1"/>
      <c r="Q1671" s="12"/>
      <c r="R1671" s="1"/>
    </row>
    <row r="1672" ht="12.75" hidden="1" customHeight="1" outlineLevel="1">
      <c r="A1672" s="122">
        <f t="shared" si="260"/>
        <v>42977</v>
      </c>
      <c r="B1672" s="120">
        <v>770457.41</v>
      </c>
      <c r="C1672" s="19">
        <f t="shared" si="257"/>
        <v>0</v>
      </c>
      <c r="D1672" s="19">
        <f t="shared" si="258"/>
        <v>-0.03322430228</v>
      </c>
      <c r="E1672" s="12"/>
      <c r="F1672" s="7"/>
      <c r="G1672" s="7"/>
      <c r="H1672" s="1"/>
      <c r="I1672" s="1"/>
      <c r="J1672" s="1"/>
      <c r="K1672" s="1"/>
      <c r="L1672" s="12">
        <f t="shared" si="259"/>
        <v>17889.12566</v>
      </c>
      <c r="M1672" s="12"/>
      <c r="N1672" s="15"/>
      <c r="O1672" s="1"/>
      <c r="Q1672" s="12"/>
      <c r="R1672" s="1"/>
    </row>
    <row r="1673" ht="12.75" hidden="1" customHeight="1" outlineLevel="1">
      <c r="A1673" s="122">
        <f t="shared" si="260"/>
        <v>42978</v>
      </c>
      <c r="B1673" s="120">
        <v>776166.1</v>
      </c>
      <c r="C1673" s="19">
        <f t="shared" si="257"/>
        <v>0.007409481596</v>
      </c>
      <c r="D1673" s="19">
        <f t="shared" si="258"/>
        <v>-0.02606099554</v>
      </c>
      <c r="E1673" s="12"/>
      <c r="F1673" s="7"/>
      <c r="G1673" s="7"/>
      <c r="H1673" s="1"/>
      <c r="I1673" s="1"/>
      <c r="J1673" s="1"/>
      <c r="K1673" s="1"/>
      <c r="L1673" s="12">
        <f t="shared" si="259"/>
        <v>18021.67481</v>
      </c>
      <c r="M1673" s="12"/>
      <c r="N1673" s="15"/>
      <c r="O1673" s="1"/>
      <c r="Q1673" s="12"/>
      <c r="R1673" s="1"/>
    </row>
    <row r="1674" ht="12.75" hidden="1" customHeight="1" outlineLevel="1">
      <c r="A1674" s="122"/>
      <c r="B1674" s="12"/>
      <c r="C1674" s="1"/>
      <c r="D1674" s="1"/>
      <c r="E1674" s="12"/>
      <c r="F1674" s="7"/>
      <c r="G1674" s="7"/>
      <c r="H1674" s="1"/>
      <c r="I1674" s="1"/>
      <c r="J1674" s="1"/>
      <c r="K1674" s="1"/>
      <c r="L1674" s="12"/>
      <c r="M1674" s="12"/>
      <c r="N1674" s="15"/>
      <c r="O1674" s="1"/>
      <c r="Q1674" s="120"/>
      <c r="R1674" s="1"/>
    </row>
    <row r="1675" ht="12.75" hidden="1" customHeight="1" outlineLevel="1">
      <c r="A1675" s="122"/>
      <c r="B1675" s="12">
        <f>B1673+P1675-Q1675</f>
        <v>791544.78</v>
      </c>
      <c r="C1675" s="1"/>
      <c r="D1675" s="1"/>
      <c r="E1675" s="12"/>
      <c r="F1675" s="7"/>
      <c r="G1675" s="7"/>
      <c r="H1675" s="1"/>
      <c r="I1675" s="1"/>
      <c r="J1675" s="1"/>
      <c r="K1675" s="1"/>
      <c r="L1675" s="12"/>
      <c r="M1675" s="12"/>
      <c r="N1675" s="15"/>
      <c r="O1675" s="1"/>
      <c r="P1675" s="120">
        <v>25000.0</v>
      </c>
      <c r="Q1675" s="120">
        <v>9621.32</v>
      </c>
      <c r="R1675" s="186">
        <f>P1675-Q1675</f>
        <v>15378.68</v>
      </c>
    </row>
    <row r="1676" ht="12.75" hidden="1" customHeight="1" outlineLevel="1">
      <c r="A1676" s="122">
        <f>A1673+1</f>
        <v>42979</v>
      </c>
      <c r="B1676" s="120">
        <f t="shared" ref="B1676:B1679" si="261">777000+$P$1675-$Q$1675</f>
        <v>792378.68</v>
      </c>
      <c r="C1676" s="19">
        <f t="shared" ref="C1676:C1705" si="262">(B1676/B1675)-1</f>
        <v>0.001053509569</v>
      </c>
      <c r="D1676" s="19">
        <f t="shared" ref="D1676:D1705" si="263">(B1676/$B$1675)-1</f>
        <v>0.001053509569</v>
      </c>
      <c r="E1676" s="12"/>
      <c r="F1676" s="7"/>
      <c r="G1676" s="7"/>
      <c r="H1676" s="1"/>
      <c r="I1676" s="1"/>
      <c r="J1676" s="1"/>
      <c r="K1676" s="1"/>
      <c r="L1676" s="12">
        <f t="shared" ref="L1676:L1705" si="264">IF(C1675="",L1673*(1+C1676),L1675*(1+C1676))</f>
        <v>18040.66082</v>
      </c>
      <c r="M1676" s="12"/>
      <c r="N1676" s="15"/>
      <c r="O1676" s="1"/>
      <c r="Q1676" s="12"/>
      <c r="R1676" s="1"/>
    </row>
    <row r="1677" ht="12.75" hidden="1" customHeight="1" outlineLevel="1">
      <c r="A1677" s="122">
        <f t="shared" ref="A1677:A1705" si="265">A1676+1</f>
        <v>42980</v>
      </c>
      <c r="B1677" s="120">
        <f t="shared" si="261"/>
        <v>792378.68</v>
      </c>
      <c r="C1677" s="19">
        <f t="shared" si="262"/>
        <v>0</v>
      </c>
      <c r="D1677" s="19">
        <f t="shared" si="263"/>
        <v>0.001053509569</v>
      </c>
      <c r="E1677" s="12"/>
      <c r="F1677" s="7"/>
      <c r="G1677" s="7"/>
      <c r="H1677" s="1"/>
      <c r="I1677" s="1"/>
      <c r="J1677" s="1"/>
      <c r="K1677" s="1"/>
      <c r="L1677" s="12">
        <f t="shared" si="264"/>
        <v>18040.66082</v>
      </c>
      <c r="M1677" s="12"/>
      <c r="N1677" s="15"/>
      <c r="O1677" s="1"/>
      <c r="Q1677" s="12"/>
      <c r="R1677" s="1"/>
    </row>
    <row r="1678" ht="12.75" hidden="1" customHeight="1" outlineLevel="1">
      <c r="A1678" s="122">
        <f t="shared" si="265"/>
        <v>42981</v>
      </c>
      <c r="B1678" s="120">
        <f t="shared" si="261"/>
        <v>792378.68</v>
      </c>
      <c r="C1678" s="19">
        <f t="shared" si="262"/>
        <v>0</v>
      </c>
      <c r="D1678" s="19">
        <f t="shared" si="263"/>
        <v>0.001053509569</v>
      </c>
      <c r="E1678" s="12"/>
      <c r="F1678" s="7"/>
      <c r="G1678" s="7"/>
      <c r="H1678" s="1"/>
      <c r="I1678" s="1"/>
      <c r="J1678" s="1"/>
      <c r="K1678" s="1"/>
      <c r="L1678" s="12">
        <f t="shared" si="264"/>
        <v>18040.66082</v>
      </c>
      <c r="M1678" s="12"/>
      <c r="N1678" s="15"/>
      <c r="O1678" s="1"/>
      <c r="Q1678" s="12"/>
      <c r="R1678" s="1"/>
    </row>
    <row r="1679" ht="12.75" hidden="1" customHeight="1" outlineLevel="1">
      <c r="A1679" s="122">
        <f t="shared" si="265"/>
        <v>42982</v>
      </c>
      <c r="B1679" s="120">
        <f t="shared" si="261"/>
        <v>792378.68</v>
      </c>
      <c r="C1679" s="19">
        <f t="shared" si="262"/>
        <v>0</v>
      </c>
      <c r="D1679" s="19">
        <f t="shared" si="263"/>
        <v>0.001053509569</v>
      </c>
      <c r="E1679" s="12"/>
      <c r="F1679" s="7"/>
      <c r="G1679" s="7"/>
      <c r="H1679" s="1"/>
      <c r="I1679" s="1"/>
      <c r="J1679" s="1"/>
      <c r="K1679" s="1"/>
      <c r="L1679" s="12">
        <f t="shared" si="264"/>
        <v>18040.66082</v>
      </c>
      <c r="M1679" s="12"/>
      <c r="N1679" s="15"/>
      <c r="O1679" s="1"/>
      <c r="Q1679" s="12"/>
      <c r="R1679" s="1"/>
    </row>
    <row r="1680" ht="12.75" hidden="1" customHeight="1" outlineLevel="1">
      <c r="A1680" s="122">
        <f t="shared" si="265"/>
        <v>42983</v>
      </c>
      <c r="B1680" s="120">
        <f>770200+$P$1675-$Q$1675</f>
        <v>785578.68</v>
      </c>
      <c r="C1680" s="19">
        <f t="shared" si="262"/>
        <v>-0.00858175538</v>
      </c>
      <c r="D1680" s="19">
        <f t="shared" si="263"/>
        <v>-0.007537286772</v>
      </c>
      <c r="E1680" s="12"/>
      <c r="F1680" s="7"/>
      <c r="G1680" s="7"/>
      <c r="H1680" s="1"/>
      <c r="I1680" s="1"/>
      <c r="J1680" s="1"/>
      <c r="K1680" s="1"/>
      <c r="L1680" s="12">
        <f t="shared" si="264"/>
        <v>17885.84028</v>
      </c>
      <c r="M1680" s="12"/>
      <c r="N1680" s="15"/>
      <c r="O1680" s="1"/>
      <c r="Q1680" s="12"/>
      <c r="R1680" s="1"/>
    </row>
    <row r="1681" ht="12.75" hidden="1" customHeight="1" outlineLevel="1">
      <c r="A1681" s="122">
        <f t="shared" si="265"/>
        <v>42984</v>
      </c>
      <c r="B1681" s="120">
        <f t="shared" ref="B1681:B1682" si="266">770800+$P$1675-$Q$1675</f>
        <v>786178.68</v>
      </c>
      <c r="C1681" s="19">
        <f t="shared" si="262"/>
        <v>0.0007637681817</v>
      </c>
      <c r="D1681" s="19">
        <f t="shared" si="263"/>
        <v>-0.00677927533</v>
      </c>
      <c r="E1681" s="12"/>
      <c r="F1681" s="7"/>
      <c r="G1681" s="7"/>
      <c r="H1681" s="1"/>
      <c r="I1681" s="1"/>
      <c r="J1681" s="1"/>
      <c r="K1681" s="1"/>
      <c r="L1681" s="12">
        <f t="shared" si="264"/>
        <v>17899.50091</v>
      </c>
      <c r="M1681" s="12"/>
      <c r="N1681" s="15"/>
      <c r="O1681" s="1"/>
      <c r="Q1681" s="12"/>
      <c r="R1681" s="1"/>
    </row>
    <row r="1682" ht="12.75" hidden="1" customHeight="1" outlineLevel="1">
      <c r="A1682" s="122">
        <f t="shared" si="265"/>
        <v>42985</v>
      </c>
      <c r="B1682" s="120">
        <f t="shared" si="266"/>
        <v>786178.68</v>
      </c>
      <c r="C1682" s="19">
        <f t="shared" si="262"/>
        <v>0</v>
      </c>
      <c r="D1682" s="19">
        <f t="shared" si="263"/>
        <v>-0.00677927533</v>
      </c>
      <c r="E1682" s="12"/>
      <c r="F1682" s="7"/>
      <c r="G1682" s="7"/>
      <c r="H1682" s="1"/>
      <c r="I1682" s="1"/>
      <c r="J1682" s="1"/>
      <c r="K1682" s="1"/>
      <c r="L1682" s="12">
        <f t="shared" si="264"/>
        <v>17899.50091</v>
      </c>
      <c r="M1682" s="12"/>
      <c r="N1682" s="15"/>
      <c r="O1682" s="1"/>
      <c r="Q1682" s="12"/>
      <c r="R1682" s="1"/>
    </row>
    <row r="1683" ht="12.75" hidden="1" customHeight="1" outlineLevel="1">
      <c r="A1683" s="122">
        <f t="shared" si="265"/>
        <v>42986</v>
      </c>
      <c r="B1683" s="120">
        <v>787900.0</v>
      </c>
      <c r="C1683" s="19">
        <f t="shared" si="262"/>
        <v>0.002189476825</v>
      </c>
      <c r="D1683" s="19">
        <f t="shared" si="263"/>
        <v>-0.004604641572</v>
      </c>
      <c r="E1683" s="12"/>
      <c r="F1683" s="7"/>
      <c r="G1683" s="7"/>
      <c r="H1683" s="1"/>
      <c r="I1683" s="1"/>
      <c r="J1683" s="1"/>
      <c r="K1683" s="1"/>
      <c r="L1683" s="12">
        <f t="shared" si="264"/>
        <v>17938.69146</v>
      </c>
      <c r="M1683" s="12"/>
      <c r="N1683" s="15"/>
      <c r="O1683" s="1"/>
      <c r="Q1683" s="12"/>
      <c r="R1683" s="1"/>
    </row>
    <row r="1684" ht="12.75" hidden="1" customHeight="1" outlineLevel="1">
      <c r="A1684" s="122">
        <f t="shared" si="265"/>
        <v>42987</v>
      </c>
      <c r="B1684" s="120">
        <v>787900.0</v>
      </c>
      <c r="C1684" s="19">
        <f t="shared" si="262"/>
        <v>0</v>
      </c>
      <c r="D1684" s="19">
        <f t="shared" si="263"/>
        <v>-0.004604641572</v>
      </c>
      <c r="E1684" s="12"/>
      <c r="F1684" s="7"/>
      <c r="G1684" s="7"/>
      <c r="H1684" s="1"/>
      <c r="I1684" s="1"/>
      <c r="J1684" s="1"/>
      <c r="K1684" s="1"/>
      <c r="L1684" s="12">
        <f t="shared" si="264"/>
        <v>17938.69146</v>
      </c>
      <c r="M1684" s="12"/>
      <c r="N1684" s="15"/>
      <c r="O1684" s="1"/>
      <c r="Q1684" s="12"/>
      <c r="R1684" s="1"/>
    </row>
    <row r="1685" ht="12.75" hidden="1" customHeight="1" outlineLevel="1">
      <c r="A1685" s="122">
        <f t="shared" si="265"/>
        <v>42988</v>
      </c>
      <c r="B1685" s="120">
        <v>787900.0</v>
      </c>
      <c r="C1685" s="19">
        <f t="shared" si="262"/>
        <v>0</v>
      </c>
      <c r="D1685" s="19">
        <f t="shared" si="263"/>
        <v>-0.004604641572</v>
      </c>
      <c r="E1685" s="12"/>
      <c r="F1685" s="7"/>
      <c r="G1685" s="7"/>
      <c r="H1685" s="1"/>
      <c r="I1685" s="1"/>
      <c r="J1685" s="1"/>
      <c r="K1685" s="1"/>
      <c r="L1685" s="12">
        <f t="shared" si="264"/>
        <v>17938.69146</v>
      </c>
      <c r="M1685" s="12"/>
      <c r="N1685" s="15"/>
      <c r="O1685" s="1"/>
      <c r="Q1685" s="12"/>
      <c r="R1685" s="1"/>
    </row>
    <row r="1686" ht="12.75" hidden="1" customHeight="1" outlineLevel="1">
      <c r="A1686" s="122">
        <f t="shared" si="265"/>
        <v>42989</v>
      </c>
      <c r="B1686" s="120">
        <v>794400.0</v>
      </c>
      <c r="C1686" s="19">
        <f t="shared" si="262"/>
        <v>0.008249777891</v>
      </c>
      <c r="D1686" s="19">
        <f t="shared" si="263"/>
        <v>0.003607149048</v>
      </c>
      <c r="E1686" s="12"/>
      <c r="F1686" s="7"/>
      <c r="G1686" s="7"/>
      <c r="H1686" s="1"/>
      <c r="I1686" s="1"/>
      <c r="J1686" s="1"/>
      <c r="K1686" s="1"/>
      <c r="L1686" s="12">
        <f t="shared" si="264"/>
        <v>18086.68168</v>
      </c>
      <c r="M1686" s="12"/>
      <c r="N1686" s="15"/>
      <c r="O1686" s="1"/>
      <c r="Q1686" s="12"/>
      <c r="R1686" s="1"/>
    </row>
    <row r="1687" ht="12.75" hidden="1" customHeight="1" outlineLevel="1">
      <c r="A1687" s="122">
        <f t="shared" si="265"/>
        <v>42990</v>
      </c>
      <c r="B1687" s="120">
        <v>794400.0</v>
      </c>
      <c r="C1687" s="19">
        <f t="shared" si="262"/>
        <v>0</v>
      </c>
      <c r="D1687" s="19">
        <f t="shared" si="263"/>
        <v>0.003607149048</v>
      </c>
      <c r="E1687" s="12"/>
      <c r="F1687" s="7"/>
      <c r="G1687" s="7"/>
      <c r="H1687" s="1"/>
      <c r="I1687" s="1"/>
      <c r="J1687" s="1"/>
      <c r="K1687" s="1"/>
      <c r="L1687" s="12">
        <f t="shared" si="264"/>
        <v>18086.68168</v>
      </c>
      <c r="M1687" s="12"/>
      <c r="N1687" s="15"/>
      <c r="O1687" s="1"/>
      <c r="Q1687" s="12"/>
      <c r="R1687" s="1"/>
    </row>
    <row r="1688" ht="12.75" hidden="1" customHeight="1" outlineLevel="1">
      <c r="A1688" s="122">
        <f t="shared" si="265"/>
        <v>42991</v>
      </c>
      <c r="B1688" s="120">
        <v>800300.0</v>
      </c>
      <c r="C1688" s="19">
        <f t="shared" si="262"/>
        <v>0.007426988922</v>
      </c>
      <c r="D1688" s="19">
        <f t="shared" si="263"/>
        <v>0.01106092823</v>
      </c>
      <c r="E1688" s="12"/>
      <c r="F1688" s="7"/>
      <c r="G1688" s="7"/>
      <c r="H1688" s="1"/>
      <c r="I1688" s="1"/>
      <c r="J1688" s="1"/>
      <c r="K1688" s="1"/>
      <c r="L1688" s="12">
        <f t="shared" si="264"/>
        <v>18221.01126</v>
      </c>
      <c r="M1688" s="12"/>
      <c r="N1688" s="15"/>
      <c r="O1688" s="1"/>
      <c r="Q1688" s="12"/>
      <c r="R1688" s="1"/>
    </row>
    <row r="1689" ht="12.75" hidden="1" customHeight="1" outlineLevel="1">
      <c r="A1689" s="122">
        <f t="shared" si="265"/>
        <v>42992</v>
      </c>
      <c r="B1689" s="120">
        <v>800000.0</v>
      </c>
      <c r="C1689" s="19">
        <f t="shared" si="262"/>
        <v>-0.0003748594277</v>
      </c>
      <c r="D1689" s="19">
        <f t="shared" si="263"/>
        <v>0.01068192251</v>
      </c>
      <c r="E1689" s="12"/>
      <c r="F1689" s="7"/>
      <c r="G1689" s="7"/>
      <c r="H1689" s="1"/>
      <c r="I1689" s="1"/>
      <c r="J1689" s="1"/>
      <c r="K1689" s="1"/>
      <c r="L1689" s="12">
        <f t="shared" si="264"/>
        <v>18214.18094</v>
      </c>
      <c r="M1689" s="12"/>
      <c r="N1689" s="15"/>
      <c r="O1689" s="1"/>
      <c r="Q1689" s="12"/>
      <c r="R1689" s="1"/>
    </row>
    <row r="1690" ht="12.75" hidden="1" customHeight="1" outlineLevel="1">
      <c r="A1690" s="122">
        <f t="shared" si="265"/>
        <v>42993</v>
      </c>
      <c r="B1690" s="120">
        <v>800600.0</v>
      </c>
      <c r="C1690" s="19">
        <f t="shared" si="262"/>
        <v>0.00075</v>
      </c>
      <c r="D1690" s="19">
        <f t="shared" si="263"/>
        <v>0.01143993395</v>
      </c>
      <c r="E1690" s="12"/>
      <c r="F1690" s="7"/>
      <c r="G1690" s="7"/>
      <c r="H1690" s="1"/>
      <c r="I1690" s="1"/>
      <c r="J1690" s="1"/>
      <c r="K1690" s="1"/>
      <c r="L1690" s="12">
        <f t="shared" si="264"/>
        <v>18227.84158</v>
      </c>
      <c r="M1690" s="12"/>
      <c r="N1690" s="15"/>
      <c r="O1690" s="1"/>
      <c r="Q1690" s="12"/>
      <c r="R1690" s="1"/>
    </row>
    <row r="1691" ht="12.75" hidden="1" customHeight="1" outlineLevel="1">
      <c r="A1691" s="122">
        <f t="shared" si="265"/>
        <v>42994</v>
      </c>
      <c r="B1691" s="120">
        <v>800600.0</v>
      </c>
      <c r="C1691" s="19">
        <f t="shared" si="262"/>
        <v>0</v>
      </c>
      <c r="D1691" s="19">
        <f t="shared" si="263"/>
        <v>0.01143993395</v>
      </c>
      <c r="E1691" s="12"/>
      <c r="F1691" s="7"/>
      <c r="G1691" s="7"/>
      <c r="H1691" s="1"/>
      <c r="I1691" s="1"/>
      <c r="J1691" s="1"/>
      <c r="K1691" s="1"/>
      <c r="L1691" s="12">
        <f t="shared" si="264"/>
        <v>18227.84158</v>
      </c>
      <c r="M1691" s="12"/>
      <c r="N1691" s="15"/>
      <c r="O1691" s="1"/>
      <c r="Q1691" s="12"/>
      <c r="R1691" s="1"/>
    </row>
    <row r="1692" ht="12.75" hidden="1" customHeight="1" outlineLevel="1">
      <c r="A1692" s="122">
        <f t="shared" si="265"/>
        <v>42995</v>
      </c>
      <c r="B1692" s="120">
        <v>800600.0</v>
      </c>
      <c r="C1692" s="19">
        <f t="shared" si="262"/>
        <v>0</v>
      </c>
      <c r="D1692" s="19">
        <f t="shared" si="263"/>
        <v>0.01143993395</v>
      </c>
      <c r="E1692" s="12"/>
      <c r="F1692" s="7"/>
      <c r="G1692" s="7"/>
      <c r="H1692" s="1"/>
      <c r="I1692" s="1"/>
      <c r="J1692" s="1"/>
      <c r="K1692" s="1"/>
      <c r="L1692" s="12">
        <f t="shared" si="264"/>
        <v>18227.84158</v>
      </c>
      <c r="M1692" s="12"/>
      <c r="N1692" s="15"/>
      <c r="O1692" s="1"/>
      <c r="Q1692" s="12"/>
      <c r="R1692" s="1"/>
    </row>
    <row r="1693" ht="12.75" hidden="1" customHeight="1" outlineLevel="1">
      <c r="A1693" s="122">
        <f t="shared" si="265"/>
        <v>42996</v>
      </c>
      <c r="B1693" s="120">
        <v>800600.0</v>
      </c>
      <c r="C1693" s="19">
        <f t="shared" si="262"/>
        <v>0</v>
      </c>
      <c r="D1693" s="19">
        <f t="shared" si="263"/>
        <v>0.01143993395</v>
      </c>
      <c r="E1693" s="12"/>
      <c r="F1693" s="7"/>
      <c r="G1693" s="7"/>
      <c r="H1693" s="1"/>
      <c r="I1693" s="1"/>
      <c r="J1693" s="1"/>
      <c r="K1693" s="1"/>
      <c r="L1693" s="12">
        <f t="shared" si="264"/>
        <v>18227.84158</v>
      </c>
      <c r="M1693" s="12"/>
      <c r="N1693" s="15"/>
      <c r="O1693" s="1"/>
      <c r="Q1693" s="12"/>
      <c r="R1693" s="1"/>
    </row>
    <row r="1694" ht="12.75" hidden="1" customHeight="1" outlineLevel="1">
      <c r="A1694" s="122">
        <f t="shared" si="265"/>
        <v>42997</v>
      </c>
      <c r="B1694" s="120">
        <v>798500.0</v>
      </c>
      <c r="C1694" s="19">
        <f t="shared" si="262"/>
        <v>-0.002623032725</v>
      </c>
      <c r="D1694" s="19">
        <f t="shared" si="263"/>
        <v>0.008786893901</v>
      </c>
      <c r="E1694" s="12"/>
      <c r="F1694" s="7"/>
      <c r="G1694" s="7"/>
      <c r="H1694" s="1"/>
      <c r="I1694" s="1"/>
      <c r="J1694" s="1"/>
      <c r="K1694" s="1"/>
      <c r="L1694" s="12">
        <f t="shared" si="264"/>
        <v>18180.02935</v>
      </c>
      <c r="M1694" s="12"/>
      <c r="N1694" s="15"/>
      <c r="O1694" s="1"/>
      <c r="Q1694" s="12"/>
      <c r="R1694" s="1"/>
    </row>
    <row r="1695" ht="12.75" hidden="1" customHeight="1" outlineLevel="1">
      <c r="A1695" s="122">
        <f t="shared" si="265"/>
        <v>42998</v>
      </c>
      <c r="B1695" s="120">
        <v>800300.0</v>
      </c>
      <c r="C1695" s="19">
        <f t="shared" si="262"/>
        <v>0.002254226675</v>
      </c>
      <c r="D1695" s="19">
        <f t="shared" si="263"/>
        <v>0.01106092823</v>
      </c>
      <c r="E1695" s="12"/>
      <c r="F1695" s="7"/>
      <c r="G1695" s="7"/>
      <c r="H1695" s="1"/>
      <c r="I1695" s="1"/>
      <c r="J1695" s="1"/>
      <c r="K1695" s="1"/>
      <c r="L1695" s="12">
        <f t="shared" si="264"/>
        <v>18221.01126</v>
      </c>
      <c r="M1695" s="12"/>
      <c r="N1695" s="15"/>
      <c r="O1695" s="1"/>
      <c r="Q1695" s="12"/>
      <c r="R1695" s="1"/>
    </row>
    <row r="1696" ht="12.75" hidden="1" customHeight="1" outlineLevel="1">
      <c r="A1696" s="122">
        <f t="shared" si="265"/>
        <v>42999</v>
      </c>
      <c r="B1696" s="120">
        <v>800300.0</v>
      </c>
      <c r="C1696" s="19">
        <f t="shared" si="262"/>
        <v>0</v>
      </c>
      <c r="D1696" s="19">
        <f t="shared" si="263"/>
        <v>0.01106092823</v>
      </c>
      <c r="E1696" s="12"/>
      <c r="F1696" s="7"/>
      <c r="G1696" s="7"/>
      <c r="H1696" s="1"/>
      <c r="I1696" s="1"/>
      <c r="J1696" s="1"/>
      <c r="K1696" s="1"/>
      <c r="L1696" s="12">
        <f t="shared" si="264"/>
        <v>18221.01126</v>
      </c>
      <c r="M1696" s="12"/>
      <c r="N1696" s="15"/>
      <c r="O1696" s="1"/>
      <c r="Q1696" s="12"/>
      <c r="R1696" s="1"/>
    </row>
    <row r="1697" ht="12.75" hidden="1" customHeight="1" outlineLevel="1">
      <c r="A1697" s="122">
        <f t="shared" si="265"/>
        <v>43000</v>
      </c>
      <c r="B1697" s="120">
        <v>800300.0</v>
      </c>
      <c r="C1697" s="19">
        <f t="shared" si="262"/>
        <v>0</v>
      </c>
      <c r="D1697" s="19">
        <f t="shared" si="263"/>
        <v>0.01106092823</v>
      </c>
      <c r="E1697" s="12"/>
      <c r="F1697" s="7"/>
      <c r="G1697" s="7"/>
      <c r="H1697" s="1"/>
      <c r="I1697" s="1"/>
      <c r="J1697" s="1"/>
      <c r="K1697" s="1"/>
      <c r="L1697" s="12">
        <f t="shared" si="264"/>
        <v>18221.01126</v>
      </c>
      <c r="M1697" s="12"/>
      <c r="N1697" s="15"/>
      <c r="O1697" s="1"/>
      <c r="Q1697" s="12"/>
      <c r="R1697" s="1"/>
    </row>
    <row r="1698" ht="12.75" hidden="1" customHeight="1" outlineLevel="1">
      <c r="A1698" s="122">
        <f t="shared" si="265"/>
        <v>43001</v>
      </c>
      <c r="B1698" s="120">
        <v>800300.0</v>
      </c>
      <c r="C1698" s="19">
        <f t="shared" si="262"/>
        <v>0</v>
      </c>
      <c r="D1698" s="19">
        <f t="shared" si="263"/>
        <v>0.01106092823</v>
      </c>
      <c r="E1698" s="12"/>
      <c r="F1698" s="7"/>
      <c r="G1698" s="7"/>
      <c r="H1698" s="1"/>
      <c r="I1698" s="1"/>
      <c r="J1698" s="1"/>
      <c r="K1698" s="1"/>
      <c r="L1698" s="12">
        <f t="shared" si="264"/>
        <v>18221.01126</v>
      </c>
      <c r="M1698" s="12"/>
      <c r="N1698" s="15"/>
      <c r="O1698" s="1"/>
      <c r="Q1698" s="12"/>
      <c r="R1698" s="1"/>
    </row>
    <row r="1699" ht="12.75" hidden="1" customHeight="1" outlineLevel="1">
      <c r="A1699" s="122">
        <f t="shared" si="265"/>
        <v>43002</v>
      </c>
      <c r="B1699" s="120">
        <v>800300.0</v>
      </c>
      <c r="C1699" s="19">
        <f t="shared" si="262"/>
        <v>0</v>
      </c>
      <c r="D1699" s="19">
        <f t="shared" si="263"/>
        <v>0.01106092823</v>
      </c>
      <c r="E1699" s="12"/>
      <c r="F1699" s="7"/>
      <c r="G1699" s="7"/>
      <c r="H1699" s="1"/>
      <c r="I1699" s="1"/>
      <c r="J1699" s="1"/>
      <c r="K1699" s="1"/>
      <c r="L1699" s="12">
        <f t="shared" si="264"/>
        <v>18221.01126</v>
      </c>
      <c r="M1699" s="12"/>
      <c r="N1699" s="15"/>
      <c r="O1699" s="1"/>
      <c r="Q1699" s="12"/>
      <c r="R1699" s="1"/>
    </row>
    <row r="1700" ht="12.75" hidden="1" customHeight="1" outlineLevel="1">
      <c r="A1700" s="122">
        <f t="shared" si="265"/>
        <v>43003</v>
      </c>
      <c r="B1700" s="120">
        <v>800300.0</v>
      </c>
      <c r="C1700" s="19">
        <f t="shared" si="262"/>
        <v>0</v>
      </c>
      <c r="D1700" s="19">
        <f t="shared" si="263"/>
        <v>0.01106092823</v>
      </c>
      <c r="E1700" s="12"/>
      <c r="F1700" s="7"/>
      <c r="G1700" s="7"/>
      <c r="H1700" s="1"/>
      <c r="I1700" s="1"/>
      <c r="J1700" s="1"/>
      <c r="K1700" s="1"/>
      <c r="L1700" s="12">
        <f t="shared" si="264"/>
        <v>18221.01126</v>
      </c>
      <c r="M1700" s="12"/>
      <c r="N1700" s="15"/>
      <c r="O1700" s="1"/>
      <c r="Q1700" s="12"/>
      <c r="R1700" s="1"/>
    </row>
    <row r="1701" ht="12.75" hidden="1" customHeight="1" outlineLevel="1">
      <c r="A1701" s="122">
        <f t="shared" si="265"/>
        <v>43004</v>
      </c>
      <c r="B1701" s="120">
        <v>800300.0</v>
      </c>
      <c r="C1701" s="19">
        <f t="shared" si="262"/>
        <v>0</v>
      </c>
      <c r="D1701" s="19">
        <f t="shared" si="263"/>
        <v>0.01106092823</v>
      </c>
      <c r="E1701" s="12"/>
      <c r="F1701" s="7"/>
      <c r="G1701" s="7"/>
      <c r="H1701" s="1"/>
      <c r="I1701" s="1"/>
      <c r="J1701" s="1"/>
      <c r="K1701" s="1"/>
      <c r="L1701" s="12">
        <f t="shared" si="264"/>
        <v>18221.01126</v>
      </c>
      <c r="M1701" s="12"/>
      <c r="N1701" s="15"/>
      <c r="O1701" s="1"/>
      <c r="Q1701" s="12"/>
      <c r="R1701" s="1"/>
    </row>
    <row r="1702" ht="12.75" hidden="1" customHeight="1" outlineLevel="1">
      <c r="A1702" s="122">
        <f t="shared" si="265"/>
        <v>43005</v>
      </c>
      <c r="B1702" s="120">
        <v>810100.0</v>
      </c>
      <c r="C1702" s="19">
        <f t="shared" si="262"/>
        <v>0.01224540797</v>
      </c>
      <c r="D1702" s="19">
        <f t="shared" si="263"/>
        <v>0.02344178178</v>
      </c>
      <c r="E1702" s="12"/>
      <c r="F1702" s="7"/>
      <c r="G1702" s="7"/>
      <c r="H1702" s="1"/>
      <c r="I1702" s="1"/>
      <c r="J1702" s="1"/>
      <c r="K1702" s="1"/>
      <c r="L1702" s="12">
        <f t="shared" si="264"/>
        <v>18444.13498</v>
      </c>
      <c r="M1702" s="12"/>
      <c r="N1702" s="15"/>
      <c r="O1702" s="1"/>
      <c r="Q1702" s="12"/>
      <c r="R1702" s="1"/>
    </row>
    <row r="1703" ht="12.75" hidden="1" customHeight="1" outlineLevel="1">
      <c r="A1703" s="122">
        <f t="shared" si="265"/>
        <v>43006</v>
      </c>
      <c r="B1703" s="120">
        <v>810900.0</v>
      </c>
      <c r="C1703" s="19">
        <f t="shared" si="262"/>
        <v>0.0009875324034</v>
      </c>
      <c r="D1703" s="19">
        <f t="shared" si="263"/>
        <v>0.0244524637</v>
      </c>
      <c r="E1703" s="12"/>
      <c r="F1703" s="7"/>
      <c r="G1703" s="7"/>
      <c r="H1703" s="1"/>
      <c r="I1703" s="1"/>
      <c r="J1703" s="1"/>
      <c r="K1703" s="1"/>
      <c r="L1703" s="12">
        <f t="shared" si="264"/>
        <v>18462.34916</v>
      </c>
      <c r="M1703" s="12"/>
      <c r="N1703" s="15"/>
      <c r="O1703" s="1"/>
      <c r="Q1703" s="12"/>
      <c r="R1703" s="1"/>
    </row>
    <row r="1704" ht="12.75" hidden="1" customHeight="1" outlineLevel="1">
      <c r="A1704" s="122">
        <f t="shared" si="265"/>
        <v>43007</v>
      </c>
      <c r="B1704" s="120">
        <v>815900.0</v>
      </c>
      <c r="C1704" s="19">
        <f t="shared" si="262"/>
        <v>0.006165988408</v>
      </c>
      <c r="D1704" s="19">
        <f t="shared" si="263"/>
        <v>0.03076922572</v>
      </c>
      <c r="E1704" s="12"/>
      <c r="F1704" s="7"/>
      <c r="G1704" s="7"/>
      <c r="H1704" s="1"/>
      <c r="I1704" s="1"/>
      <c r="J1704" s="1"/>
      <c r="K1704" s="1"/>
      <c r="L1704" s="12">
        <f t="shared" si="264"/>
        <v>18576.18779</v>
      </c>
      <c r="M1704" s="12"/>
      <c r="N1704" s="15"/>
      <c r="O1704" s="1"/>
      <c r="Q1704" s="12"/>
      <c r="R1704" s="1"/>
    </row>
    <row r="1705" ht="12.75" hidden="1" customHeight="1" outlineLevel="1">
      <c r="A1705" s="122">
        <f t="shared" si="265"/>
        <v>43008</v>
      </c>
      <c r="B1705" s="120">
        <v>816119.31</v>
      </c>
      <c r="C1705" s="19">
        <f t="shared" si="262"/>
        <v>0.0002687951955</v>
      </c>
      <c r="D1705" s="19">
        <f t="shared" si="263"/>
        <v>0.03104629153</v>
      </c>
      <c r="E1705" s="12"/>
      <c r="F1705" s="7"/>
      <c r="G1705" s="7"/>
      <c r="H1705" s="1"/>
      <c r="I1705" s="1"/>
      <c r="J1705" s="1"/>
      <c r="K1705" s="1"/>
      <c r="L1705" s="12">
        <f t="shared" si="264"/>
        <v>18581.18098</v>
      </c>
      <c r="M1705" s="12"/>
      <c r="N1705" s="15"/>
      <c r="O1705" s="1"/>
      <c r="Q1705" s="12"/>
      <c r="R1705" s="1"/>
    </row>
    <row r="1706" ht="12.75" hidden="1" customHeight="1" outlineLevel="1">
      <c r="A1706" s="122"/>
      <c r="B1706" s="12"/>
      <c r="C1706" s="1"/>
      <c r="D1706" s="1"/>
      <c r="E1706" s="12"/>
      <c r="F1706" s="7"/>
      <c r="G1706" s="7"/>
      <c r="H1706" s="1"/>
      <c r="I1706" s="1"/>
      <c r="J1706" s="1"/>
      <c r="K1706" s="1"/>
      <c r="L1706" s="12"/>
      <c r="M1706" s="12"/>
      <c r="N1706" s="15"/>
      <c r="O1706" s="1"/>
      <c r="Q1706" s="12"/>
      <c r="R1706" s="1"/>
    </row>
    <row r="1707" ht="12.75" hidden="1" customHeight="1" outlineLevel="1">
      <c r="A1707" s="122"/>
      <c r="B1707" s="12">
        <f>B1705+P1707-Q1707</f>
        <v>816119.31</v>
      </c>
      <c r="C1707" s="1"/>
      <c r="D1707" s="1"/>
      <c r="E1707" s="12"/>
      <c r="F1707" s="7"/>
      <c r="G1707" s="7"/>
      <c r="H1707" s="1"/>
      <c r="I1707" s="1"/>
      <c r="J1707" s="1"/>
      <c r="K1707" s="1"/>
      <c r="L1707" s="12"/>
      <c r="M1707" s="12"/>
      <c r="N1707" s="15"/>
      <c r="O1707" s="1"/>
      <c r="Q1707" s="12"/>
      <c r="R1707" s="1"/>
    </row>
    <row r="1708" ht="12.75" hidden="1" customHeight="1" outlineLevel="1">
      <c r="A1708" s="122">
        <f>A1705+1</f>
        <v>43009</v>
      </c>
      <c r="B1708" s="12">
        <v>816119.31</v>
      </c>
      <c r="C1708" s="19">
        <f t="shared" ref="C1708:C1738" si="267">(B1708/B1707)-1</f>
        <v>0</v>
      </c>
      <c r="D1708" s="19">
        <f t="shared" ref="D1708:D1738" si="268">(B1708/$B$1707)-1</f>
        <v>0</v>
      </c>
      <c r="E1708" s="12"/>
      <c r="F1708" s="7"/>
      <c r="G1708" s="7"/>
      <c r="H1708" s="1"/>
      <c r="I1708" s="1"/>
      <c r="J1708" s="1"/>
      <c r="K1708" s="1"/>
      <c r="L1708" s="12">
        <f t="shared" ref="L1708:L1738" si="269">IF(C1707="",L1705*(1+C1708),L1707*(1+C1708))</f>
        <v>18581.18098</v>
      </c>
      <c r="M1708" s="12"/>
      <c r="N1708" s="15"/>
      <c r="O1708" s="1"/>
      <c r="Q1708" s="12"/>
      <c r="R1708" s="1"/>
    </row>
    <row r="1709" ht="12.75" hidden="1" customHeight="1" outlineLevel="1">
      <c r="A1709" s="122">
        <f t="shared" ref="A1709:A1738" si="270">A1708+1</f>
        <v>43010</v>
      </c>
      <c r="B1709" s="120">
        <v>820300.0</v>
      </c>
      <c r="C1709" s="19">
        <f t="shared" si="267"/>
        <v>0.005122645609</v>
      </c>
      <c r="D1709" s="19">
        <f t="shared" si="268"/>
        <v>0.005122645609</v>
      </c>
      <c r="E1709" s="12"/>
      <c r="F1709" s="7"/>
      <c r="G1709" s="7"/>
      <c r="H1709" s="1"/>
      <c r="I1709" s="1"/>
      <c r="J1709" s="1"/>
      <c r="K1709" s="1"/>
      <c r="L1709" s="12">
        <f t="shared" si="269"/>
        <v>18676.36578</v>
      </c>
      <c r="M1709" s="12"/>
      <c r="N1709" s="15"/>
      <c r="O1709" s="1"/>
      <c r="Q1709" s="12"/>
      <c r="R1709" s="1"/>
    </row>
    <row r="1710" ht="12.75" hidden="1" customHeight="1" outlineLevel="1">
      <c r="A1710" s="122">
        <f t="shared" si="270"/>
        <v>43011</v>
      </c>
      <c r="B1710" s="120">
        <v>826300.0</v>
      </c>
      <c r="C1710" s="19">
        <f t="shared" si="267"/>
        <v>0.007314397172</v>
      </c>
      <c r="D1710" s="19">
        <f t="shared" si="268"/>
        <v>0.01247451185</v>
      </c>
      <c r="E1710" s="12"/>
      <c r="F1710" s="7"/>
      <c r="G1710" s="7"/>
      <c r="H1710" s="1"/>
      <c r="I1710" s="1"/>
      <c r="J1710" s="1"/>
      <c r="K1710" s="1"/>
      <c r="L1710" s="12">
        <f t="shared" si="269"/>
        <v>18812.97214</v>
      </c>
      <c r="M1710" s="12"/>
      <c r="N1710" s="15"/>
      <c r="O1710" s="1"/>
      <c r="Q1710" s="12"/>
      <c r="R1710" s="1"/>
    </row>
    <row r="1711" ht="12.75" hidden="1" customHeight="1" outlineLevel="1">
      <c r="A1711" s="122">
        <f t="shared" si="270"/>
        <v>43012</v>
      </c>
      <c r="B1711" s="120">
        <v>823000.0</v>
      </c>
      <c r="C1711" s="19">
        <f t="shared" si="267"/>
        <v>-0.003993706886</v>
      </c>
      <c r="D1711" s="19">
        <f t="shared" si="268"/>
        <v>0.008430985416</v>
      </c>
      <c r="E1711" s="12"/>
      <c r="F1711" s="7"/>
      <c r="G1711" s="7"/>
      <c r="H1711" s="1"/>
      <c r="I1711" s="1"/>
      <c r="J1711" s="1"/>
      <c r="K1711" s="1"/>
      <c r="L1711" s="12">
        <f t="shared" si="269"/>
        <v>18737.83864</v>
      </c>
      <c r="M1711" s="12"/>
      <c r="N1711" s="15"/>
      <c r="O1711" s="1"/>
      <c r="Q1711" s="12"/>
      <c r="R1711" s="1"/>
    </row>
    <row r="1712" ht="12.75" hidden="1" customHeight="1" outlineLevel="1">
      <c r="A1712" s="122">
        <f t="shared" si="270"/>
        <v>43013</v>
      </c>
      <c r="B1712" s="120">
        <v>825400.0</v>
      </c>
      <c r="C1712" s="19">
        <f t="shared" si="267"/>
        <v>0.002916160389</v>
      </c>
      <c r="D1712" s="19">
        <f t="shared" si="268"/>
        <v>0.01137173191</v>
      </c>
      <c r="E1712" s="12"/>
      <c r="F1712" s="7"/>
      <c r="G1712" s="7"/>
      <c r="H1712" s="1"/>
      <c r="I1712" s="1"/>
      <c r="J1712" s="1"/>
      <c r="K1712" s="1"/>
      <c r="L1712" s="12">
        <f t="shared" si="269"/>
        <v>18792.48119</v>
      </c>
      <c r="M1712" s="12"/>
      <c r="N1712" s="15"/>
      <c r="O1712" s="1"/>
      <c r="Q1712" s="12"/>
      <c r="R1712" s="1"/>
    </row>
    <row r="1713" ht="12.75" hidden="1" customHeight="1" outlineLevel="1">
      <c r="A1713" s="122">
        <f t="shared" si="270"/>
        <v>43014</v>
      </c>
      <c r="B1713" s="120">
        <v>825284.28</v>
      </c>
      <c r="C1713" s="19">
        <f t="shared" si="267"/>
        <v>-0.0001401986915</v>
      </c>
      <c r="D1713" s="19">
        <f t="shared" si="268"/>
        <v>0.01122993892</v>
      </c>
      <c r="E1713" s="12"/>
      <c r="F1713" s="7"/>
      <c r="G1713" s="7"/>
      <c r="H1713" s="1"/>
      <c r="I1713" s="1"/>
      <c r="J1713" s="1"/>
      <c r="K1713" s="1"/>
      <c r="L1713" s="12">
        <f t="shared" si="269"/>
        <v>18789.84651</v>
      </c>
      <c r="M1713" s="12"/>
      <c r="N1713" s="15"/>
      <c r="O1713" s="1"/>
      <c r="Q1713" s="12"/>
      <c r="R1713" s="1"/>
    </row>
    <row r="1714" ht="12.75" hidden="1" customHeight="1" outlineLevel="1">
      <c r="A1714" s="122">
        <f t="shared" si="270"/>
        <v>43015</v>
      </c>
      <c r="B1714" s="120">
        <v>825284.28</v>
      </c>
      <c r="C1714" s="19">
        <f t="shared" si="267"/>
        <v>0</v>
      </c>
      <c r="D1714" s="19">
        <f t="shared" si="268"/>
        <v>0.01122993892</v>
      </c>
      <c r="E1714" s="12"/>
      <c r="F1714" s="7"/>
      <c r="G1714" s="7"/>
      <c r="H1714" s="1"/>
      <c r="I1714" s="1"/>
      <c r="J1714" s="1"/>
      <c r="K1714" s="1"/>
      <c r="L1714" s="12">
        <f t="shared" si="269"/>
        <v>18789.84651</v>
      </c>
      <c r="M1714" s="12"/>
      <c r="N1714" s="15"/>
      <c r="O1714" s="1"/>
      <c r="Q1714" s="12"/>
      <c r="R1714" s="1"/>
    </row>
    <row r="1715" ht="12.75" hidden="1" customHeight="1" outlineLevel="1">
      <c r="A1715" s="122">
        <f t="shared" si="270"/>
        <v>43016</v>
      </c>
      <c r="B1715" s="120">
        <v>825284.28</v>
      </c>
      <c r="C1715" s="19">
        <f t="shared" si="267"/>
        <v>0</v>
      </c>
      <c r="D1715" s="19">
        <f t="shared" si="268"/>
        <v>0.01122993892</v>
      </c>
      <c r="E1715" s="12"/>
      <c r="F1715" s="7"/>
      <c r="G1715" s="7"/>
      <c r="H1715" s="1"/>
      <c r="I1715" s="1"/>
      <c r="J1715" s="1"/>
      <c r="K1715" s="1"/>
      <c r="L1715" s="12">
        <f t="shared" si="269"/>
        <v>18789.84651</v>
      </c>
      <c r="M1715" s="12"/>
      <c r="N1715" s="15"/>
      <c r="O1715" s="1"/>
      <c r="Q1715" s="12"/>
      <c r="R1715" s="1"/>
    </row>
    <row r="1716" ht="12.75" hidden="1" customHeight="1" outlineLevel="1">
      <c r="A1716" s="122">
        <f t="shared" si="270"/>
        <v>43017</v>
      </c>
      <c r="B1716" s="120">
        <v>825284.28</v>
      </c>
      <c r="C1716" s="19">
        <f t="shared" si="267"/>
        <v>0</v>
      </c>
      <c r="D1716" s="19">
        <f t="shared" si="268"/>
        <v>0.01122993892</v>
      </c>
      <c r="E1716" s="12"/>
      <c r="F1716" s="7"/>
      <c r="G1716" s="7"/>
      <c r="H1716" s="1"/>
      <c r="I1716" s="1"/>
      <c r="J1716" s="1"/>
      <c r="K1716" s="1"/>
      <c r="L1716" s="12">
        <f t="shared" si="269"/>
        <v>18789.84651</v>
      </c>
      <c r="M1716" s="12"/>
      <c r="N1716" s="15"/>
      <c r="O1716" s="1"/>
      <c r="Q1716" s="12"/>
      <c r="R1716" s="1"/>
    </row>
    <row r="1717" ht="12.75" hidden="1" customHeight="1" outlineLevel="1">
      <c r="A1717" s="122">
        <f t="shared" si="270"/>
        <v>43018</v>
      </c>
      <c r="B1717" s="120">
        <v>823900.0</v>
      </c>
      <c r="C1717" s="19">
        <f t="shared" si="267"/>
        <v>-0.001677337172</v>
      </c>
      <c r="D1717" s="19">
        <f t="shared" si="268"/>
        <v>0.009533765351</v>
      </c>
      <c r="E1717" s="12"/>
      <c r="F1717" s="7"/>
      <c r="G1717" s="7"/>
      <c r="H1717" s="1"/>
      <c r="I1717" s="1"/>
      <c r="J1717" s="1"/>
      <c r="K1717" s="1"/>
      <c r="L1717" s="12">
        <f t="shared" si="269"/>
        <v>18758.3296</v>
      </c>
      <c r="M1717" s="12"/>
      <c r="N1717" s="15"/>
      <c r="O1717" s="1"/>
      <c r="Q1717" s="12"/>
      <c r="R1717" s="1"/>
    </row>
    <row r="1718" ht="12.75" hidden="1" customHeight="1" outlineLevel="1">
      <c r="A1718" s="122">
        <f t="shared" si="270"/>
        <v>43019</v>
      </c>
      <c r="B1718" s="120">
        <v>824200.0</v>
      </c>
      <c r="C1718" s="19">
        <f t="shared" si="267"/>
        <v>0.0003641218594</v>
      </c>
      <c r="D1718" s="19">
        <f t="shared" si="268"/>
        <v>0.009901358663</v>
      </c>
      <c r="E1718" s="12"/>
      <c r="F1718" s="7"/>
      <c r="G1718" s="7"/>
      <c r="H1718" s="1"/>
      <c r="I1718" s="1"/>
      <c r="J1718" s="1"/>
      <c r="K1718" s="1"/>
      <c r="L1718" s="12">
        <f t="shared" si="269"/>
        <v>18765.15992</v>
      </c>
      <c r="M1718" s="12"/>
      <c r="N1718" s="15"/>
      <c r="O1718" s="1"/>
      <c r="Q1718" s="12"/>
      <c r="R1718" s="1"/>
    </row>
    <row r="1719" ht="12.75" hidden="1" customHeight="1" outlineLevel="1">
      <c r="A1719" s="122">
        <f t="shared" si="270"/>
        <v>43020</v>
      </c>
      <c r="B1719" s="120">
        <v>824800.0</v>
      </c>
      <c r="C1719" s="19">
        <f t="shared" si="267"/>
        <v>0.000727978646</v>
      </c>
      <c r="D1719" s="19">
        <f t="shared" si="268"/>
        <v>0.01063654529</v>
      </c>
      <c r="E1719" s="12"/>
      <c r="F1719" s="7"/>
      <c r="G1719" s="7"/>
      <c r="H1719" s="1"/>
      <c r="I1719" s="1"/>
      <c r="J1719" s="1"/>
      <c r="K1719" s="1"/>
      <c r="L1719" s="12">
        <f t="shared" si="269"/>
        <v>18778.82055</v>
      </c>
      <c r="M1719" s="12"/>
      <c r="N1719" s="15"/>
      <c r="O1719" s="1"/>
      <c r="Q1719" s="12"/>
      <c r="R1719" s="1"/>
    </row>
    <row r="1720" ht="12.75" hidden="1" customHeight="1" outlineLevel="1">
      <c r="A1720" s="122">
        <f t="shared" si="270"/>
        <v>43021</v>
      </c>
      <c r="B1720" s="120">
        <v>826700.0</v>
      </c>
      <c r="C1720" s="19">
        <f t="shared" si="267"/>
        <v>0.002303588749</v>
      </c>
      <c r="D1720" s="19">
        <f t="shared" si="268"/>
        <v>0.01296463626</v>
      </c>
      <c r="E1720" s="12"/>
      <c r="F1720" s="7"/>
      <c r="G1720" s="7"/>
      <c r="H1720" s="1"/>
      <c r="I1720" s="1"/>
      <c r="J1720" s="1"/>
      <c r="K1720" s="1"/>
      <c r="L1720" s="12">
        <f t="shared" si="269"/>
        <v>18822.07923</v>
      </c>
      <c r="M1720" s="12"/>
      <c r="N1720" s="15"/>
      <c r="O1720" s="1"/>
      <c r="Q1720" s="12"/>
      <c r="R1720" s="1"/>
    </row>
    <row r="1721" ht="12.75" hidden="1" customHeight="1" outlineLevel="1">
      <c r="A1721" s="122">
        <f t="shared" si="270"/>
        <v>43022</v>
      </c>
      <c r="B1721" s="120">
        <v>826700.0</v>
      </c>
      <c r="C1721" s="19">
        <f t="shared" si="267"/>
        <v>0</v>
      </c>
      <c r="D1721" s="19">
        <f t="shared" si="268"/>
        <v>0.01296463626</v>
      </c>
      <c r="E1721" s="12"/>
      <c r="F1721" s="7"/>
      <c r="G1721" s="7"/>
      <c r="H1721" s="1"/>
      <c r="I1721" s="1"/>
      <c r="J1721" s="1"/>
      <c r="K1721" s="1"/>
      <c r="L1721" s="12">
        <f t="shared" si="269"/>
        <v>18822.07923</v>
      </c>
      <c r="M1721" s="12"/>
      <c r="N1721" s="15"/>
      <c r="O1721" s="1"/>
      <c r="Q1721" s="12"/>
      <c r="R1721" s="1"/>
    </row>
    <row r="1722" ht="12.75" hidden="1" customHeight="1" outlineLevel="1">
      <c r="A1722" s="122">
        <f t="shared" si="270"/>
        <v>43023</v>
      </c>
      <c r="B1722" s="120">
        <v>826700.0</v>
      </c>
      <c r="C1722" s="19">
        <f t="shared" si="267"/>
        <v>0</v>
      </c>
      <c r="D1722" s="19">
        <f t="shared" si="268"/>
        <v>0.01296463626</v>
      </c>
      <c r="E1722" s="12"/>
      <c r="F1722" s="7"/>
      <c r="G1722" s="7"/>
      <c r="H1722" s="1"/>
      <c r="I1722" s="1"/>
      <c r="J1722" s="1"/>
      <c r="K1722" s="1"/>
      <c r="L1722" s="12">
        <f t="shared" si="269"/>
        <v>18822.07923</v>
      </c>
      <c r="M1722" s="12"/>
      <c r="N1722" s="15"/>
      <c r="O1722" s="1"/>
      <c r="Q1722" s="12"/>
      <c r="R1722" s="1"/>
    </row>
    <row r="1723" ht="12.75" hidden="1" customHeight="1" outlineLevel="1">
      <c r="A1723" s="122">
        <f t="shared" si="270"/>
        <v>43024</v>
      </c>
      <c r="B1723" s="120">
        <v>826200.0</v>
      </c>
      <c r="C1723" s="19">
        <f t="shared" si="267"/>
        <v>-0.000604814322</v>
      </c>
      <c r="D1723" s="19">
        <f t="shared" si="268"/>
        <v>0.01235198074</v>
      </c>
      <c r="E1723" s="12"/>
      <c r="F1723" s="7"/>
      <c r="G1723" s="7"/>
      <c r="H1723" s="1"/>
      <c r="I1723" s="1"/>
      <c r="J1723" s="1"/>
      <c r="K1723" s="1"/>
      <c r="L1723" s="12">
        <f t="shared" si="269"/>
        <v>18810.69537</v>
      </c>
      <c r="M1723" s="12"/>
      <c r="N1723" s="15"/>
      <c r="O1723" s="1"/>
      <c r="Q1723" s="12"/>
      <c r="R1723" s="1"/>
    </row>
    <row r="1724" ht="12.75" hidden="1" customHeight="1" outlineLevel="1">
      <c r="A1724" s="122">
        <f t="shared" si="270"/>
        <v>43025</v>
      </c>
      <c r="B1724" s="120">
        <v>823500.0</v>
      </c>
      <c r="C1724" s="19">
        <f t="shared" si="267"/>
        <v>-0.003267973856</v>
      </c>
      <c r="D1724" s="19">
        <f t="shared" si="268"/>
        <v>0.009043640935</v>
      </c>
      <c r="E1724" s="12"/>
      <c r="F1724" s="7"/>
      <c r="G1724" s="7"/>
      <c r="H1724" s="1"/>
      <c r="I1724" s="1"/>
      <c r="J1724" s="1"/>
      <c r="K1724" s="1"/>
      <c r="L1724" s="12">
        <f t="shared" si="269"/>
        <v>18749.22251</v>
      </c>
      <c r="M1724" s="12"/>
      <c r="N1724" s="15"/>
      <c r="O1724" s="1"/>
      <c r="Q1724" s="12"/>
      <c r="R1724" s="1"/>
    </row>
    <row r="1725" ht="12.75" hidden="1" customHeight="1" outlineLevel="1">
      <c r="A1725" s="122">
        <f t="shared" si="270"/>
        <v>43026</v>
      </c>
      <c r="B1725" s="120">
        <v>824172.0299999999</v>
      </c>
      <c r="C1725" s="19">
        <f t="shared" si="267"/>
        <v>0.0008160655738</v>
      </c>
      <c r="D1725" s="19">
        <f t="shared" si="268"/>
        <v>0.009867086713</v>
      </c>
      <c r="E1725" s="12"/>
      <c r="F1725" s="7"/>
      <c r="G1725" s="7"/>
      <c r="H1725" s="1"/>
      <c r="I1725" s="1"/>
      <c r="J1725" s="1"/>
      <c r="K1725" s="1"/>
      <c r="L1725" s="12">
        <f t="shared" si="269"/>
        <v>18764.5231</v>
      </c>
      <c r="M1725" s="12"/>
      <c r="N1725" s="15"/>
      <c r="O1725" s="1"/>
      <c r="Q1725" s="12"/>
      <c r="R1725" s="1"/>
    </row>
    <row r="1726" ht="12.75" hidden="1" customHeight="1" outlineLevel="1">
      <c r="A1726" s="122">
        <f t="shared" si="270"/>
        <v>43027</v>
      </c>
      <c r="B1726" s="120">
        <v>827600.0</v>
      </c>
      <c r="C1726" s="19">
        <f t="shared" si="267"/>
        <v>0.004159289414</v>
      </c>
      <c r="D1726" s="19">
        <f t="shared" si="268"/>
        <v>0.0140674162</v>
      </c>
      <c r="E1726" s="12"/>
      <c r="F1726" s="7"/>
      <c r="G1726" s="7"/>
      <c r="H1726" s="1"/>
      <c r="I1726" s="1"/>
      <c r="J1726" s="1"/>
      <c r="K1726" s="1"/>
      <c r="L1726" s="12">
        <f t="shared" si="269"/>
        <v>18842.57019</v>
      </c>
      <c r="M1726" s="12"/>
      <c r="N1726" s="15"/>
      <c r="O1726" s="1"/>
      <c r="Q1726" s="12"/>
      <c r="R1726" s="1"/>
    </row>
    <row r="1727" ht="12.75" hidden="1" customHeight="1" outlineLevel="1">
      <c r="A1727" s="122">
        <f t="shared" si="270"/>
        <v>43028</v>
      </c>
      <c r="B1727" s="120">
        <v>836700.0</v>
      </c>
      <c r="C1727" s="19">
        <f t="shared" si="267"/>
        <v>0.01099565007</v>
      </c>
      <c r="D1727" s="19">
        <f t="shared" si="268"/>
        <v>0.02521774666</v>
      </c>
      <c r="E1727" s="12"/>
      <c r="F1727" s="7"/>
      <c r="G1727" s="7"/>
      <c r="H1727" s="1"/>
      <c r="I1727" s="1"/>
      <c r="J1727" s="1"/>
      <c r="K1727" s="1"/>
      <c r="L1727" s="12">
        <f t="shared" si="269"/>
        <v>19049.75649</v>
      </c>
      <c r="M1727" s="12"/>
      <c r="N1727" s="15"/>
      <c r="O1727" s="1"/>
      <c r="Q1727" s="12"/>
      <c r="R1727" s="1"/>
    </row>
    <row r="1728" ht="12.75" hidden="1" customHeight="1" outlineLevel="1">
      <c r="A1728" s="122">
        <f t="shared" si="270"/>
        <v>43029</v>
      </c>
      <c r="B1728" s="120">
        <v>836700.0</v>
      </c>
      <c r="C1728" s="19">
        <f t="shared" si="267"/>
        <v>0</v>
      </c>
      <c r="D1728" s="19">
        <f t="shared" si="268"/>
        <v>0.02521774666</v>
      </c>
      <c r="E1728" s="12"/>
      <c r="F1728" s="7"/>
      <c r="G1728" s="7"/>
      <c r="H1728" s="1"/>
      <c r="I1728" s="1"/>
      <c r="J1728" s="1"/>
      <c r="K1728" s="1"/>
      <c r="L1728" s="12">
        <f t="shared" si="269"/>
        <v>19049.75649</v>
      </c>
      <c r="M1728" s="12"/>
      <c r="N1728" s="15"/>
      <c r="O1728" s="1"/>
      <c r="Q1728" s="12"/>
      <c r="R1728" s="1"/>
    </row>
    <row r="1729" ht="12.75" hidden="1" customHeight="1" outlineLevel="1">
      <c r="A1729" s="122">
        <f t="shared" si="270"/>
        <v>43030</v>
      </c>
      <c r="B1729" s="120">
        <v>836700.0</v>
      </c>
      <c r="C1729" s="19">
        <f t="shared" si="267"/>
        <v>0</v>
      </c>
      <c r="D1729" s="19">
        <f t="shared" si="268"/>
        <v>0.02521774666</v>
      </c>
      <c r="E1729" s="12"/>
      <c r="F1729" s="7"/>
      <c r="G1729" s="7"/>
      <c r="H1729" s="1"/>
      <c r="I1729" s="1"/>
      <c r="J1729" s="1"/>
      <c r="K1729" s="1"/>
      <c r="L1729" s="12">
        <f t="shared" si="269"/>
        <v>19049.75649</v>
      </c>
      <c r="M1729" s="12"/>
      <c r="N1729" s="15"/>
      <c r="O1729" s="1"/>
      <c r="Q1729" s="12"/>
      <c r="R1729" s="1"/>
    </row>
    <row r="1730" ht="12.75" hidden="1" customHeight="1" outlineLevel="1">
      <c r="A1730" s="122">
        <f t="shared" si="270"/>
        <v>43031</v>
      </c>
      <c r="B1730" s="120">
        <v>833100.0</v>
      </c>
      <c r="C1730" s="19">
        <f t="shared" si="267"/>
        <v>-0.004302617426</v>
      </c>
      <c r="D1730" s="19">
        <f t="shared" si="268"/>
        <v>0.02080662691</v>
      </c>
      <c r="E1730" s="12"/>
      <c r="F1730" s="7"/>
      <c r="G1730" s="7"/>
      <c r="H1730" s="1"/>
      <c r="I1730" s="1"/>
      <c r="J1730" s="1"/>
      <c r="K1730" s="1"/>
      <c r="L1730" s="12">
        <f t="shared" si="269"/>
        <v>18967.79268</v>
      </c>
      <c r="M1730" s="12"/>
      <c r="N1730" s="15"/>
      <c r="O1730" s="1"/>
      <c r="Q1730" s="12"/>
      <c r="R1730" s="1"/>
    </row>
    <row r="1731" ht="12.75" hidden="1" customHeight="1" outlineLevel="1">
      <c r="A1731" s="122">
        <f t="shared" si="270"/>
        <v>43032</v>
      </c>
      <c r="B1731" s="120">
        <v>833600.0</v>
      </c>
      <c r="C1731" s="19">
        <f t="shared" si="267"/>
        <v>0.0006001680471</v>
      </c>
      <c r="D1731" s="19">
        <f t="shared" si="268"/>
        <v>0.02141928243</v>
      </c>
      <c r="E1731" s="12"/>
      <c r="F1731" s="7"/>
      <c r="G1731" s="7"/>
      <c r="H1731" s="1"/>
      <c r="I1731" s="1"/>
      <c r="J1731" s="1"/>
      <c r="K1731" s="1"/>
      <c r="L1731" s="12">
        <f t="shared" si="269"/>
        <v>18979.17654</v>
      </c>
      <c r="M1731" s="12"/>
      <c r="N1731" s="15"/>
      <c r="O1731" s="1"/>
      <c r="Q1731" s="12"/>
      <c r="R1731" s="1"/>
    </row>
    <row r="1732" ht="12.75" hidden="1" customHeight="1" outlineLevel="1">
      <c r="A1732" s="122">
        <f t="shared" si="270"/>
        <v>43033</v>
      </c>
      <c r="B1732" s="120">
        <v>828000.0</v>
      </c>
      <c r="C1732" s="19">
        <f t="shared" si="267"/>
        <v>-0.006717850288</v>
      </c>
      <c r="D1732" s="19">
        <f t="shared" si="268"/>
        <v>0.01455754061</v>
      </c>
      <c r="E1732" s="12"/>
      <c r="F1732" s="7"/>
      <c r="G1732" s="7"/>
      <c r="H1732" s="1"/>
      <c r="I1732" s="1"/>
      <c r="J1732" s="1"/>
      <c r="K1732" s="1"/>
      <c r="L1732" s="12">
        <f t="shared" si="269"/>
        <v>18851.67728</v>
      </c>
      <c r="M1732" s="12"/>
      <c r="N1732" s="15"/>
      <c r="O1732" s="1"/>
      <c r="Q1732" s="12"/>
      <c r="R1732" s="1"/>
    </row>
    <row r="1733" ht="12.75" hidden="1" customHeight="1" outlineLevel="1">
      <c r="A1733" s="122">
        <f t="shared" si="270"/>
        <v>43034</v>
      </c>
      <c r="B1733" s="120">
        <v>830600.0</v>
      </c>
      <c r="C1733" s="19">
        <f t="shared" si="267"/>
        <v>0.003140096618</v>
      </c>
      <c r="D1733" s="19">
        <f t="shared" si="268"/>
        <v>0.01774334931</v>
      </c>
      <c r="E1733" s="12"/>
      <c r="F1733" s="7"/>
      <c r="G1733" s="7"/>
      <c r="H1733" s="1"/>
      <c r="I1733" s="1"/>
      <c r="J1733" s="1"/>
      <c r="K1733" s="1"/>
      <c r="L1733" s="12">
        <f t="shared" si="269"/>
        <v>18910.87336</v>
      </c>
      <c r="M1733" s="12"/>
      <c r="N1733" s="15"/>
      <c r="O1733" s="1"/>
      <c r="Q1733" s="12"/>
      <c r="R1733" s="1"/>
    </row>
    <row r="1734" ht="12.75" hidden="1" customHeight="1" outlineLevel="1">
      <c r="A1734" s="122">
        <f t="shared" si="270"/>
        <v>43035</v>
      </c>
      <c r="B1734" s="120">
        <v>830579.18</v>
      </c>
      <c r="C1734" s="19">
        <f t="shared" si="267"/>
        <v>-0.00002506621719</v>
      </c>
      <c r="D1734" s="19">
        <f t="shared" si="268"/>
        <v>0.01771783834</v>
      </c>
      <c r="E1734" s="12"/>
      <c r="F1734" s="7"/>
      <c r="G1734" s="7"/>
      <c r="H1734" s="1"/>
      <c r="I1734" s="1"/>
      <c r="J1734" s="1"/>
      <c r="K1734" s="1"/>
      <c r="L1734" s="12">
        <f t="shared" si="269"/>
        <v>18910.39934</v>
      </c>
      <c r="M1734" s="12"/>
      <c r="N1734" s="15"/>
      <c r="O1734" s="1"/>
      <c r="Q1734" s="12"/>
      <c r="R1734" s="1"/>
    </row>
    <row r="1735" ht="12.75" hidden="1" customHeight="1" outlineLevel="1">
      <c r="A1735" s="122">
        <f t="shared" si="270"/>
        <v>43036</v>
      </c>
      <c r="B1735" s="120">
        <v>830579.18</v>
      </c>
      <c r="C1735" s="19">
        <f t="shared" si="267"/>
        <v>0</v>
      </c>
      <c r="D1735" s="19">
        <f t="shared" si="268"/>
        <v>0.01771783834</v>
      </c>
      <c r="E1735" s="12"/>
      <c r="F1735" s="7"/>
      <c r="G1735" s="7"/>
      <c r="H1735" s="1"/>
      <c r="I1735" s="1"/>
      <c r="J1735" s="1"/>
      <c r="K1735" s="1"/>
      <c r="L1735" s="12">
        <f t="shared" si="269"/>
        <v>18910.39934</v>
      </c>
      <c r="M1735" s="12"/>
      <c r="N1735" s="15"/>
      <c r="O1735" s="1"/>
      <c r="Q1735" s="12"/>
      <c r="R1735" s="1"/>
    </row>
    <row r="1736" ht="12.75" hidden="1" customHeight="1" outlineLevel="1">
      <c r="A1736" s="122">
        <f t="shared" si="270"/>
        <v>43037</v>
      </c>
      <c r="B1736" s="120">
        <v>830579.18</v>
      </c>
      <c r="C1736" s="19">
        <f t="shared" si="267"/>
        <v>0</v>
      </c>
      <c r="D1736" s="19">
        <f t="shared" si="268"/>
        <v>0.01771783834</v>
      </c>
      <c r="E1736" s="12"/>
      <c r="F1736" s="7"/>
      <c r="G1736" s="7"/>
      <c r="H1736" s="1"/>
      <c r="I1736" s="1"/>
      <c r="J1736" s="1"/>
      <c r="K1736" s="1"/>
      <c r="L1736" s="12">
        <f t="shared" si="269"/>
        <v>18910.39934</v>
      </c>
      <c r="M1736" s="12"/>
      <c r="N1736" s="15"/>
      <c r="O1736" s="1"/>
      <c r="Q1736" s="12"/>
      <c r="R1736" s="1"/>
    </row>
    <row r="1737" ht="12.75" hidden="1" customHeight="1" outlineLevel="1">
      <c r="A1737" s="122">
        <f t="shared" si="270"/>
        <v>43038</v>
      </c>
      <c r="B1737" s="120">
        <v>828100.0</v>
      </c>
      <c r="C1737" s="19">
        <f t="shared" si="267"/>
        <v>-0.002984880984</v>
      </c>
      <c r="D1737" s="19">
        <f t="shared" si="268"/>
        <v>0.01468007172</v>
      </c>
      <c r="E1737" s="12"/>
      <c r="F1737" s="7"/>
      <c r="G1737" s="7"/>
      <c r="H1737" s="1"/>
      <c r="I1737" s="1"/>
      <c r="J1737" s="1"/>
      <c r="K1737" s="1"/>
      <c r="L1737" s="12">
        <f t="shared" si="269"/>
        <v>18853.95405</v>
      </c>
      <c r="M1737" s="12"/>
      <c r="N1737" s="15"/>
      <c r="O1737" s="1"/>
      <c r="Q1737" s="12"/>
      <c r="R1737" s="1"/>
    </row>
    <row r="1738" ht="12.75" hidden="1" customHeight="1" outlineLevel="1">
      <c r="A1738" s="122">
        <f t="shared" si="270"/>
        <v>43039</v>
      </c>
      <c r="B1738" s="120">
        <v>828940.32</v>
      </c>
      <c r="C1738" s="19">
        <f t="shared" si="267"/>
        <v>0.001014756672</v>
      </c>
      <c r="D1738" s="19">
        <f t="shared" si="268"/>
        <v>0.01570972509</v>
      </c>
      <c r="E1738" s="12"/>
      <c r="F1738" s="7"/>
      <c r="G1738" s="7"/>
      <c r="H1738" s="1"/>
      <c r="I1738" s="1"/>
      <c r="J1738" s="1"/>
      <c r="K1738" s="1"/>
      <c r="L1738" s="12">
        <f t="shared" si="269"/>
        <v>18873.08622</v>
      </c>
      <c r="M1738" s="12"/>
      <c r="N1738" s="15"/>
      <c r="O1738" s="1"/>
      <c r="Q1738" s="12"/>
      <c r="R1738" s="1"/>
    </row>
    <row r="1739" ht="12.75" hidden="1" customHeight="1" outlineLevel="1">
      <c r="A1739" s="122"/>
      <c r="B1739" s="12"/>
      <c r="C1739" s="1"/>
      <c r="D1739" s="1"/>
      <c r="E1739" s="12"/>
      <c r="F1739" s="7"/>
      <c r="G1739" s="7"/>
      <c r="H1739" s="1"/>
      <c r="I1739" s="1"/>
      <c r="J1739" s="1"/>
      <c r="K1739" s="1"/>
      <c r="L1739" s="12"/>
      <c r="M1739" s="12"/>
      <c r="N1739" s="15"/>
      <c r="O1739" s="1"/>
      <c r="Q1739" s="12"/>
      <c r="R1739" s="1"/>
    </row>
    <row r="1740" ht="12.75" hidden="1" customHeight="1" outlineLevel="1">
      <c r="A1740" s="122"/>
      <c r="B1740" s="12">
        <f>B1738+P1740-Q1740</f>
        <v>828940.32</v>
      </c>
      <c r="C1740" s="1"/>
      <c r="D1740" s="1"/>
      <c r="E1740" s="12"/>
      <c r="F1740" s="7"/>
      <c r="G1740" s="7"/>
      <c r="H1740" s="1"/>
      <c r="I1740" s="1"/>
      <c r="J1740" s="1"/>
      <c r="K1740" s="1"/>
      <c r="L1740" s="12"/>
      <c r="M1740" s="12"/>
      <c r="N1740" s="15"/>
      <c r="O1740" s="1"/>
      <c r="Q1740" s="12"/>
      <c r="R1740" s="1"/>
    </row>
    <row r="1741" ht="12.75" hidden="1" customHeight="1" outlineLevel="1">
      <c r="A1741" s="122">
        <f>A1738+1</f>
        <v>43040</v>
      </c>
      <c r="B1741" s="120">
        <v>828865.0</v>
      </c>
      <c r="C1741" s="19">
        <f t="shared" ref="C1741:C1770" si="271">(B1741/B1740)-1</f>
        <v>-0.00009086299482</v>
      </c>
      <c r="D1741" s="19">
        <f t="shared" ref="D1741:D1770" si="272">(B1741/$B$1740)-1</f>
        <v>-0.00009086299482</v>
      </c>
      <c r="E1741" s="12"/>
      <c r="F1741" s="7"/>
      <c r="G1741" s="7"/>
      <c r="H1741" s="1"/>
      <c r="I1741" s="1"/>
      <c r="J1741" s="1"/>
      <c r="K1741" s="1"/>
      <c r="L1741" s="12">
        <f t="shared" ref="L1741:L1770" si="273">IF(C1740="",L1738*(1+C1741),L1740*(1+C1741))</f>
        <v>18871.37136</v>
      </c>
      <c r="M1741" s="12"/>
      <c r="N1741" s="15"/>
      <c r="O1741" s="1"/>
      <c r="Q1741" s="12"/>
      <c r="R1741" s="1"/>
    </row>
    <row r="1742" ht="12.75" hidden="1" customHeight="1" outlineLevel="1">
      <c r="A1742" s="122">
        <f t="shared" ref="A1742:A1770" si="274">A1741+1</f>
        <v>43041</v>
      </c>
      <c r="B1742" s="120">
        <v>829100.0</v>
      </c>
      <c r="C1742" s="19">
        <f t="shared" si="271"/>
        <v>0.0002835202355</v>
      </c>
      <c r="D1742" s="19">
        <f t="shared" si="272"/>
        <v>0.0001926314792</v>
      </c>
      <c r="E1742" s="12"/>
      <c r="F1742" s="7"/>
      <c r="G1742" s="7"/>
      <c r="H1742" s="1"/>
      <c r="I1742" s="1"/>
      <c r="J1742" s="1"/>
      <c r="K1742" s="1"/>
      <c r="L1742" s="12">
        <f t="shared" si="273"/>
        <v>18876.72177</v>
      </c>
      <c r="M1742" s="12"/>
      <c r="N1742" s="15"/>
      <c r="O1742" s="1"/>
      <c r="Q1742" s="12"/>
      <c r="R1742" s="1"/>
    </row>
    <row r="1743" ht="12.75" hidden="1" customHeight="1" outlineLevel="1">
      <c r="A1743" s="122">
        <f t="shared" si="274"/>
        <v>43042</v>
      </c>
      <c r="B1743" s="120">
        <v>824600.0</v>
      </c>
      <c r="C1743" s="19">
        <f t="shared" si="271"/>
        <v>-0.005427572066</v>
      </c>
      <c r="D1743" s="19">
        <f t="shared" si="272"/>
        <v>-0.005235986108</v>
      </c>
      <c r="E1743" s="12"/>
      <c r="F1743" s="7"/>
      <c r="G1743" s="7"/>
      <c r="H1743" s="1"/>
      <c r="I1743" s="1"/>
      <c r="J1743" s="1"/>
      <c r="K1743" s="1"/>
      <c r="L1743" s="12">
        <f t="shared" si="273"/>
        <v>18774.26701</v>
      </c>
      <c r="M1743" s="12"/>
      <c r="N1743" s="15"/>
      <c r="O1743" s="1"/>
      <c r="Q1743" s="12"/>
      <c r="R1743" s="1"/>
    </row>
    <row r="1744" ht="12.75" hidden="1" customHeight="1" outlineLevel="1">
      <c r="A1744" s="122">
        <f t="shared" si="274"/>
        <v>43043</v>
      </c>
      <c r="B1744" s="120">
        <v>824600.0</v>
      </c>
      <c r="C1744" s="19">
        <f t="shared" si="271"/>
        <v>0</v>
      </c>
      <c r="D1744" s="19">
        <f t="shared" si="272"/>
        <v>-0.005235986108</v>
      </c>
      <c r="E1744" s="12"/>
      <c r="F1744" s="7"/>
      <c r="G1744" s="7"/>
      <c r="H1744" s="1"/>
      <c r="I1744" s="1"/>
      <c r="J1744" s="1"/>
      <c r="K1744" s="1"/>
      <c r="L1744" s="12">
        <f t="shared" si="273"/>
        <v>18774.26701</v>
      </c>
      <c r="M1744" s="12"/>
      <c r="N1744" s="15"/>
      <c r="O1744" s="1"/>
      <c r="Q1744" s="12"/>
      <c r="R1744" s="1"/>
    </row>
    <row r="1745" ht="12.75" hidden="1" customHeight="1" outlineLevel="1">
      <c r="A1745" s="122">
        <f t="shared" si="274"/>
        <v>43044</v>
      </c>
      <c r="B1745" s="120">
        <v>824600.0</v>
      </c>
      <c r="C1745" s="19">
        <f t="shared" si="271"/>
        <v>0</v>
      </c>
      <c r="D1745" s="19">
        <f t="shared" si="272"/>
        <v>-0.005235986108</v>
      </c>
      <c r="E1745" s="12"/>
      <c r="F1745" s="7"/>
      <c r="G1745" s="7"/>
      <c r="H1745" s="1"/>
      <c r="I1745" s="1"/>
      <c r="J1745" s="1"/>
      <c r="K1745" s="1"/>
      <c r="L1745" s="12">
        <f t="shared" si="273"/>
        <v>18774.26701</v>
      </c>
      <c r="M1745" s="12"/>
      <c r="N1745" s="15"/>
      <c r="O1745" s="1"/>
      <c r="Q1745" s="12"/>
      <c r="R1745" s="1"/>
    </row>
    <row r="1746" ht="12.75" hidden="1" customHeight="1" outlineLevel="1">
      <c r="A1746" s="122">
        <f t="shared" si="274"/>
        <v>43045</v>
      </c>
      <c r="B1746" s="120">
        <v>826200.0</v>
      </c>
      <c r="C1746" s="19">
        <f t="shared" si="271"/>
        <v>0.001940334708</v>
      </c>
      <c r="D1746" s="19">
        <f t="shared" si="272"/>
        <v>-0.003305810966</v>
      </c>
      <c r="E1746" s="12"/>
      <c r="F1746" s="7"/>
      <c r="G1746" s="7"/>
      <c r="H1746" s="1"/>
      <c r="I1746" s="1"/>
      <c r="J1746" s="1"/>
      <c r="K1746" s="1"/>
      <c r="L1746" s="12">
        <f t="shared" si="273"/>
        <v>18810.69537</v>
      </c>
      <c r="M1746" s="12"/>
      <c r="N1746" s="15"/>
      <c r="O1746" s="1"/>
      <c r="Q1746" s="12"/>
      <c r="R1746" s="1"/>
    </row>
    <row r="1747" ht="12.75" hidden="1" customHeight="1" outlineLevel="1">
      <c r="A1747" s="122">
        <f t="shared" si="274"/>
        <v>43046</v>
      </c>
      <c r="B1747" s="120">
        <v>821500.0</v>
      </c>
      <c r="C1747" s="19">
        <f t="shared" si="271"/>
        <v>-0.005688695231</v>
      </c>
      <c r="D1747" s="19">
        <f t="shared" si="272"/>
        <v>-0.008975700446</v>
      </c>
      <c r="E1747" s="12"/>
      <c r="F1747" s="7"/>
      <c r="G1747" s="7"/>
      <c r="H1747" s="1"/>
      <c r="I1747" s="1"/>
      <c r="J1747" s="1"/>
      <c r="K1747" s="1"/>
      <c r="L1747" s="12">
        <f t="shared" si="273"/>
        <v>18703.68706</v>
      </c>
      <c r="M1747" s="12"/>
      <c r="N1747" s="15"/>
      <c r="O1747" s="1"/>
      <c r="Q1747" s="12"/>
      <c r="R1747" s="1"/>
    </row>
    <row r="1748" ht="12.75" hidden="1" customHeight="1" outlineLevel="1">
      <c r="A1748" s="122">
        <f t="shared" si="274"/>
        <v>43047</v>
      </c>
      <c r="B1748" s="120">
        <v>818300.0</v>
      </c>
      <c r="C1748" s="19">
        <f t="shared" si="271"/>
        <v>-0.003895313451</v>
      </c>
      <c r="D1748" s="19">
        <f t="shared" si="272"/>
        <v>-0.01283605073</v>
      </c>
      <c r="E1748" s="12"/>
      <c r="F1748" s="7"/>
      <c r="G1748" s="7"/>
      <c r="H1748" s="1"/>
      <c r="I1748" s="1"/>
      <c r="J1748" s="1"/>
      <c r="K1748" s="1"/>
      <c r="L1748" s="12">
        <f t="shared" si="273"/>
        <v>18630.83033</v>
      </c>
      <c r="M1748" s="12"/>
      <c r="N1748" s="15"/>
      <c r="O1748" s="1"/>
      <c r="Q1748" s="12"/>
      <c r="R1748" s="1"/>
    </row>
    <row r="1749" ht="12.75" hidden="1" customHeight="1" outlineLevel="1">
      <c r="A1749" s="122">
        <f t="shared" si="274"/>
        <v>43048</v>
      </c>
      <c r="B1749" s="120">
        <v>812600.0</v>
      </c>
      <c r="C1749" s="19">
        <f t="shared" si="271"/>
        <v>-0.006965660516</v>
      </c>
      <c r="D1749" s="19">
        <f t="shared" si="272"/>
        <v>-0.01971229967</v>
      </c>
      <c r="E1749" s="12"/>
      <c r="F1749" s="7"/>
      <c r="G1749" s="7"/>
      <c r="H1749" s="1"/>
      <c r="I1749" s="1"/>
      <c r="J1749" s="1"/>
      <c r="K1749" s="1"/>
      <c r="L1749" s="12">
        <f t="shared" si="273"/>
        <v>18501.05429</v>
      </c>
      <c r="M1749" s="12"/>
      <c r="N1749" s="15"/>
      <c r="O1749" s="1"/>
      <c r="Q1749" s="12"/>
      <c r="R1749" s="1"/>
    </row>
    <row r="1750" ht="12.75" hidden="1" customHeight="1" outlineLevel="1">
      <c r="A1750" s="122">
        <f t="shared" si="274"/>
        <v>43049</v>
      </c>
      <c r="B1750" s="120">
        <v>809300.0</v>
      </c>
      <c r="C1750" s="19">
        <f t="shared" si="271"/>
        <v>-0.004061038641</v>
      </c>
      <c r="D1750" s="19">
        <f t="shared" si="272"/>
        <v>-0.02369328591</v>
      </c>
      <c r="E1750" s="12"/>
      <c r="F1750" s="7"/>
      <c r="G1750" s="7"/>
      <c r="H1750" s="1"/>
      <c r="I1750" s="1"/>
      <c r="J1750" s="1"/>
      <c r="K1750" s="1"/>
      <c r="L1750" s="12">
        <f t="shared" si="273"/>
        <v>18425.9208</v>
      </c>
      <c r="M1750" s="12"/>
      <c r="N1750" s="15"/>
      <c r="O1750" s="1"/>
      <c r="Q1750" s="12"/>
      <c r="R1750" s="1"/>
    </row>
    <row r="1751" ht="12.75" hidden="1" customHeight="1" outlineLevel="1">
      <c r="A1751" s="122">
        <f t="shared" si="274"/>
        <v>43050</v>
      </c>
      <c r="B1751" s="120">
        <v>809300.0</v>
      </c>
      <c r="C1751" s="19">
        <f t="shared" si="271"/>
        <v>0</v>
      </c>
      <c r="D1751" s="19">
        <f t="shared" si="272"/>
        <v>-0.02369328591</v>
      </c>
      <c r="E1751" s="12"/>
      <c r="F1751" s="7"/>
      <c r="G1751" s="7"/>
      <c r="H1751" s="1"/>
      <c r="I1751" s="1"/>
      <c r="J1751" s="1"/>
      <c r="K1751" s="1"/>
      <c r="L1751" s="12">
        <f t="shared" si="273"/>
        <v>18425.9208</v>
      </c>
      <c r="M1751" s="12"/>
      <c r="N1751" s="15"/>
      <c r="O1751" s="1"/>
      <c r="Q1751" s="12"/>
      <c r="R1751" s="1"/>
    </row>
    <row r="1752" ht="12.75" hidden="1" customHeight="1" outlineLevel="1">
      <c r="A1752" s="122">
        <f t="shared" si="274"/>
        <v>43051</v>
      </c>
      <c r="B1752" s="120">
        <v>809300.0</v>
      </c>
      <c r="C1752" s="19">
        <f t="shared" si="271"/>
        <v>0</v>
      </c>
      <c r="D1752" s="19">
        <f t="shared" si="272"/>
        <v>-0.02369328591</v>
      </c>
      <c r="E1752" s="12"/>
      <c r="F1752" s="7"/>
      <c r="G1752" s="7"/>
      <c r="H1752" s="1"/>
      <c r="I1752" s="1"/>
      <c r="J1752" s="1"/>
      <c r="K1752" s="1"/>
      <c r="L1752" s="12">
        <f t="shared" si="273"/>
        <v>18425.9208</v>
      </c>
      <c r="M1752" s="12"/>
      <c r="N1752" s="15"/>
      <c r="O1752" s="1"/>
      <c r="Q1752" s="12"/>
      <c r="R1752" s="1"/>
    </row>
    <row r="1753" ht="12.75" hidden="1" customHeight="1" outlineLevel="1">
      <c r="A1753" s="122">
        <f t="shared" si="274"/>
        <v>43052</v>
      </c>
      <c r="B1753" s="120">
        <v>809300.0</v>
      </c>
      <c r="C1753" s="19">
        <f t="shared" si="271"/>
        <v>0</v>
      </c>
      <c r="D1753" s="19">
        <f t="shared" si="272"/>
        <v>-0.02369328591</v>
      </c>
      <c r="E1753" s="12"/>
      <c r="F1753" s="7"/>
      <c r="G1753" s="7"/>
      <c r="H1753" s="1"/>
      <c r="I1753" s="1"/>
      <c r="J1753" s="1"/>
      <c r="K1753" s="1"/>
      <c r="L1753" s="12">
        <f t="shared" si="273"/>
        <v>18425.9208</v>
      </c>
      <c r="M1753" s="12"/>
      <c r="N1753" s="15"/>
      <c r="O1753" s="1"/>
      <c r="Q1753" s="12"/>
      <c r="R1753" s="1"/>
    </row>
    <row r="1754" ht="12.75" hidden="1" customHeight="1" outlineLevel="1">
      <c r="A1754" s="122">
        <f t="shared" si="274"/>
        <v>43053</v>
      </c>
      <c r="B1754" s="120">
        <v>809200.0</v>
      </c>
      <c r="C1754" s="19">
        <f t="shared" si="271"/>
        <v>-0.0001235635735</v>
      </c>
      <c r="D1754" s="19">
        <f t="shared" si="272"/>
        <v>-0.02381392185</v>
      </c>
      <c r="E1754" s="12"/>
      <c r="F1754" s="7"/>
      <c r="G1754" s="7"/>
      <c r="H1754" s="1"/>
      <c r="I1754" s="1"/>
      <c r="J1754" s="1"/>
      <c r="K1754" s="1"/>
      <c r="L1754" s="12">
        <f t="shared" si="273"/>
        <v>18423.64402</v>
      </c>
      <c r="M1754" s="12"/>
      <c r="N1754" s="15"/>
      <c r="O1754" s="1"/>
      <c r="Q1754" s="12"/>
      <c r="R1754" s="1"/>
    </row>
    <row r="1755" ht="12.75" hidden="1" customHeight="1" outlineLevel="1">
      <c r="A1755" s="122">
        <f t="shared" si="274"/>
        <v>43054</v>
      </c>
      <c r="B1755" s="120">
        <v>809200.0</v>
      </c>
      <c r="C1755" s="19">
        <f t="shared" si="271"/>
        <v>0</v>
      </c>
      <c r="D1755" s="19">
        <f t="shared" si="272"/>
        <v>-0.02381392185</v>
      </c>
      <c r="E1755" s="12"/>
      <c r="F1755" s="7"/>
      <c r="G1755" s="7"/>
      <c r="H1755" s="1"/>
      <c r="I1755" s="1"/>
      <c r="J1755" s="1"/>
      <c r="K1755" s="1"/>
      <c r="L1755" s="12">
        <f t="shared" si="273"/>
        <v>18423.64402</v>
      </c>
      <c r="M1755" s="12"/>
      <c r="N1755" s="15"/>
      <c r="O1755" s="1"/>
      <c r="Q1755" s="12"/>
      <c r="R1755" s="1"/>
    </row>
    <row r="1756" ht="12.75" hidden="1" customHeight="1" outlineLevel="1">
      <c r="A1756" s="122">
        <f t="shared" si="274"/>
        <v>43055</v>
      </c>
      <c r="B1756" s="120">
        <v>809200.0</v>
      </c>
      <c r="C1756" s="19">
        <f t="shared" si="271"/>
        <v>0</v>
      </c>
      <c r="D1756" s="19">
        <f t="shared" si="272"/>
        <v>-0.02381392185</v>
      </c>
      <c r="E1756" s="12"/>
      <c r="F1756" s="7"/>
      <c r="G1756" s="7"/>
      <c r="H1756" s="1"/>
      <c r="I1756" s="1"/>
      <c r="J1756" s="1"/>
      <c r="K1756" s="1"/>
      <c r="L1756" s="12">
        <f t="shared" si="273"/>
        <v>18423.64402</v>
      </c>
      <c r="M1756" s="12"/>
      <c r="N1756" s="15"/>
      <c r="O1756" s="1"/>
      <c r="Q1756" s="12"/>
      <c r="R1756" s="1"/>
    </row>
    <row r="1757" ht="12.75" hidden="1" customHeight="1" outlineLevel="1">
      <c r="A1757" s="122">
        <f t="shared" si="274"/>
        <v>43056</v>
      </c>
      <c r="B1757" s="120">
        <v>809200.0</v>
      </c>
      <c r="C1757" s="19">
        <f t="shared" si="271"/>
        <v>0</v>
      </c>
      <c r="D1757" s="19">
        <f t="shared" si="272"/>
        <v>-0.02381392185</v>
      </c>
      <c r="E1757" s="12"/>
      <c r="F1757" s="7"/>
      <c r="G1757" s="7"/>
      <c r="H1757" s="1"/>
      <c r="I1757" s="1"/>
      <c r="J1757" s="1"/>
      <c r="K1757" s="1"/>
      <c r="L1757" s="12">
        <f t="shared" si="273"/>
        <v>18423.64402</v>
      </c>
      <c r="M1757" s="12"/>
      <c r="N1757" s="15"/>
      <c r="O1757" s="1"/>
      <c r="Q1757" s="12"/>
      <c r="R1757" s="1"/>
    </row>
    <row r="1758" ht="12.75" hidden="1" customHeight="1" outlineLevel="1">
      <c r="A1758" s="122">
        <f t="shared" si="274"/>
        <v>43057</v>
      </c>
      <c r="B1758" s="120">
        <v>809200.0</v>
      </c>
      <c r="C1758" s="19">
        <f t="shared" si="271"/>
        <v>0</v>
      </c>
      <c r="D1758" s="19">
        <f t="shared" si="272"/>
        <v>-0.02381392185</v>
      </c>
      <c r="E1758" s="12"/>
      <c r="F1758" s="7"/>
      <c r="G1758" s="7"/>
      <c r="H1758" s="1"/>
      <c r="I1758" s="1"/>
      <c r="J1758" s="1"/>
      <c r="K1758" s="1"/>
      <c r="L1758" s="12">
        <f t="shared" si="273"/>
        <v>18423.64402</v>
      </c>
      <c r="M1758" s="12"/>
      <c r="N1758" s="15"/>
      <c r="O1758" s="1"/>
      <c r="Q1758" s="12"/>
      <c r="R1758" s="1"/>
    </row>
    <row r="1759" ht="12.75" hidden="1" customHeight="1" outlineLevel="1">
      <c r="A1759" s="122">
        <f t="shared" si="274"/>
        <v>43058</v>
      </c>
      <c r="B1759" s="120">
        <v>809200.0</v>
      </c>
      <c r="C1759" s="19">
        <f t="shared" si="271"/>
        <v>0</v>
      </c>
      <c r="D1759" s="19">
        <f t="shared" si="272"/>
        <v>-0.02381392185</v>
      </c>
      <c r="E1759" s="12"/>
      <c r="F1759" s="7"/>
      <c r="G1759" s="7"/>
      <c r="H1759" s="1"/>
      <c r="I1759" s="1"/>
      <c r="J1759" s="1"/>
      <c r="K1759" s="1"/>
      <c r="L1759" s="12">
        <f t="shared" si="273"/>
        <v>18423.64402</v>
      </c>
      <c r="M1759" s="12"/>
      <c r="N1759" s="15"/>
      <c r="O1759" s="1"/>
      <c r="Q1759" s="12"/>
      <c r="R1759" s="1"/>
    </row>
    <row r="1760" ht="12.75" hidden="1" customHeight="1" outlineLevel="1">
      <c r="A1760" s="122">
        <f t="shared" si="274"/>
        <v>43059</v>
      </c>
      <c r="B1760" s="120">
        <v>814123.9799999997</v>
      </c>
      <c r="C1760" s="19">
        <f t="shared" si="271"/>
        <v>0.006084997528</v>
      </c>
      <c r="D1760" s="19">
        <f t="shared" si="272"/>
        <v>-0.01787383198</v>
      </c>
      <c r="E1760" s="12"/>
      <c r="F1760" s="7"/>
      <c r="G1760" s="7"/>
      <c r="H1760" s="1"/>
      <c r="I1760" s="1"/>
      <c r="J1760" s="1"/>
      <c r="K1760" s="1"/>
      <c r="L1760" s="12">
        <f t="shared" si="273"/>
        <v>18535.75185</v>
      </c>
      <c r="M1760" s="12"/>
      <c r="N1760" s="15"/>
      <c r="O1760" s="1"/>
      <c r="Q1760" s="12"/>
      <c r="R1760" s="1"/>
    </row>
    <row r="1761" ht="12.75" hidden="1" customHeight="1" outlineLevel="1">
      <c r="A1761" s="122">
        <f t="shared" si="274"/>
        <v>43060</v>
      </c>
      <c r="B1761" s="120">
        <v>820506.3300000002</v>
      </c>
      <c r="C1761" s="19">
        <f t="shared" si="271"/>
        <v>0.00783953078</v>
      </c>
      <c r="D1761" s="19">
        <f t="shared" si="272"/>
        <v>-0.01017442365</v>
      </c>
      <c r="E1761" s="12"/>
      <c r="F1761" s="7"/>
      <c r="G1761" s="7"/>
      <c r="H1761" s="1"/>
      <c r="I1761" s="1"/>
      <c r="J1761" s="1"/>
      <c r="K1761" s="1"/>
      <c r="L1761" s="12">
        <f t="shared" si="273"/>
        <v>18681.06345</v>
      </c>
      <c r="M1761" s="12"/>
      <c r="N1761" s="15"/>
      <c r="O1761" s="1"/>
      <c r="Q1761" s="12"/>
      <c r="R1761" s="1"/>
    </row>
    <row r="1762" ht="12.75" hidden="1" customHeight="1" outlineLevel="1">
      <c r="A1762" s="122">
        <f t="shared" si="274"/>
        <v>43061</v>
      </c>
      <c r="B1762" s="120">
        <v>820400.0</v>
      </c>
      <c r="C1762" s="19">
        <f t="shared" si="271"/>
        <v>-0.0001295907126</v>
      </c>
      <c r="D1762" s="19">
        <f t="shared" si="272"/>
        <v>-0.01030269586</v>
      </c>
      <c r="E1762" s="12"/>
      <c r="F1762" s="7"/>
      <c r="G1762" s="7"/>
      <c r="H1762" s="1"/>
      <c r="I1762" s="1"/>
      <c r="J1762" s="1"/>
      <c r="K1762" s="1"/>
      <c r="L1762" s="12">
        <f t="shared" si="273"/>
        <v>18678.64256</v>
      </c>
      <c r="M1762" s="12"/>
      <c r="N1762" s="15"/>
      <c r="O1762" s="1"/>
      <c r="Q1762" s="12"/>
      <c r="R1762" s="1"/>
    </row>
    <row r="1763" ht="12.75" hidden="1" customHeight="1" outlineLevel="1">
      <c r="A1763" s="122">
        <f t="shared" si="274"/>
        <v>43062</v>
      </c>
      <c r="B1763" s="120">
        <v>820400.0</v>
      </c>
      <c r="C1763" s="19">
        <f t="shared" si="271"/>
        <v>0</v>
      </c>
      <c r="D1763" s="19">
        <f t="shared" si="272"/>
        <v>-0.01030269586</v>
      </c>
      <c r="E1763" s="12"/>
      <c r="F1763" s="7"/>
      <c r="G1763" s="7"/>
      <c r="H1763" s="1"/>
      <c r="I1763" s="1"/>
      <c r="J1763" s="1"/>
      <c r="K1763" s="1"/>
      <c r="L1763" s="12">
        <f t="shared" si="273"/>
        <v>18678.64256</v>
      </c>
      <c r="M1763" s="12"/>
      <c r="N1763" s="15"/>
      <c r="O1763" s="1"/>
      <c r="Q1763" s="12"/>
      <c r="R1763" s="1"/>
    </row>
    <row r="1764" ht="12.75" hidden="1" customHeight="1" outlineLevel="1">
      <c r="A1764" s="122">
        <f t="shared" si="274"/>
        <v>43063</v>
      </c>
      <c r="B1764" s="120">
        <v>820400.0</v>
      </c>
      <c r="C1764" s="19">
        <f t="shared" si="271"/>
        <v>0</v>
      </c>
      <c r="D1764" s="19">
        <f t="shared" si="272"/>
        <v>-0.01030269586</v>
      </c>
      <c r="E1764" s="12"/>
      <c r="F1764" s="7"/>
      <c r="G1764" s="7"/>
      <c r="H1764" s="1"/>
      <c r="I1764" s="1"/>
      <c r="J1764" s="1"/>
      <c r="K1764" s="1"/>
      <c r="L1764" s="12">
        <f t="shared" si="273"/>
        <v>18678.64256</v>
      </c>
      <c r="M1764" s="12"/>
      <c r="N1764" s="15"/>
      <c r="O1764" s="1"/>
      <c r="Q1764" s="12"/>
      <c r="R1764" s="1"/>
    </row>
    <row r="1765" ht="12.75" hidden="1" customHeight="1" outlineLevel="1">
      <c r="A1765" s="122">
        <f t="shared" si="274"/>
        <v>43064</v>
      </c>
      <c r="B1765" s="120">
        <v>820400.0</v>
      </c>
      <c r="C1765" s="19">
        <f t="shared" si="271"/>
        <v>0</v>
      </c>
      <c r="D1765" s="19">
        <f t="shared" si="272"/>
        <v>-0.01030269586</v>
      </c>
      <c r="E1765" s="12"/>
      <c r="F1765" s="7"/>
      <c r="G1765" s="7"/>
      <c r="H1765" s="1"/>
      <c r="I1765" s="1"/>
      <c r="J1765" s="1"/>
      <c r="K1765" s="1"/>
      <c r="L1765" s="12">
        <f t="shared" si="273"/>
        <v>18678.64256</v>
      </c>
      <c r="M1765" s="12"/>
      <c r="N1765" s="15"/>
      <c r="O1765" s="1"/>
      <c r="Q1765" s="12"/>
      <c r="R1765" s="1"/>
    </row>
    <row r="1766" ht="12.75" hidden="1" customHeight="1" outlineLevel="1">
      <c r="A1766" s="122">
        <f t="shared" si="274"/>
        <v>43065</v>
      </c>
      <c r="B1766" s="120">
        <v>820400.0</v>
      </c>
      <c r="C1766" s="19">
        <f t="shared" si="271"/>
        <v>0</v>
      </c>
      <c r="D1766" s="19">
        <f t="shared" si="272"/>
        <v>-0.01030269586</v>
      </c>
      <c r="E1766" s="12"/>
      <c r="F1766" s="7"/>
      <c r="G1766" s="7"/>
      <c r="H1766" s="1"/>
      <c r="I1766" s="1"/>
      <c r="J1766" s="1"/>
      <c r="K1766" s="1"/>
      <c r="L1766" s="12">
        <f t="shared" si="273"/>
        <v>18678.64256</v>
      </c>
      <c r="M1766" s="12"/>
      <c r="N1766" s="15"/>
      <c r="O1766" s="1"/>
      <c r="Q1766" s="12"/>
      <c r="R1766" s="1"/>
    </row>
    <row r="1767" ht="12.75" hidden="1" customHeight="1" outlineLevel="1">
      <c r="A1767" s="122">
        <f t="shared" si="274"/>
        <v>43066</v>
      </c>
      <c r="B1767" s="120">
        <v>819300.0</v>
      </c>
      <c r="C1767" s="19">
        <f t="shared" si="271"/>
        <v>-0.001340809361</v>
      </c>
      <c r="D1767" s="19">
        <f t="shared" si="272"/>
        <v>-0.01162969127</v>
      </c>
      <c r="E1767" s="12"/>
      <c r="F1767" s="7"/>
      <c r="G1767" s="7"/>
      <c r="H1767" s="1"/>
      <c r="I1767" s="1"/>
      <c r="J1767" s="1"/>
      <c r="K1767" s="1"/>
      <c r="L1767" s="12">
        <f t="shared" si="273"/>
        <v>18653.59806</v>
      </c>
      <c r="M1767" s="12"/>
      <c r="N1767" s="15"/>
      <c r="O1767" s="1"/>
      <c r="Q1767" s="12"/>
      <c r="R1767" s="1"/>
    </row>
    <row r="1768" ht="12.75" hidden="1" customHeight="1" outlineLevel="1">
      <c r="A1768" s="122">
        <f t="shared" si="274"/>
        <v>43067</v>
      </c>
      <c r="B1768" s="120">
        <v>830600.0</v>
      </c>
      <c r="C1768" s="19">
        <f t="shared" si="271"/>
        <v>0.01379226169</v>
      </c>
      <c r="D1768" s="19">
        <f t="shared" si="272"/>
        <v>0.002002170675</v>
      </c>
      <c r="E1768" s="12"/>
      <c r="F1768" s="7"/>
      <c r="G1768" s="7"/>
      <c r="H1768" s="1"/>
      <c r="I1768" s="1"/>
      <c r="J1768" s="1"/>
      <c r="K1768" s="1"/>
      <c r="L1768" s="12">
        <f t="shared" si="273"/>
        <v>18910.87336</v>
      </c>
      <c r="M1768" s="12"/>
      <c r="N1768" s="15"/>
      <c r="O1768" s="1"/>
      <c r="Q1768" s="12"/>
      <c r="R1768" s="1"/>
    </row>
    <row r="1769" ht="12.75" hidden="1" customHeight="1" outlineLevel="1">
      <c r="A1769" s="122">
        <f t="shared" si="274"/>
        <v>43068</v>
      </c>
      <c r="B1769" s="120">
        <v>837000.0</v>
      </c>
      <c r="C1769" s="19">
        <f t="shared" si="271"/>
        <v>0.007705273296</v>
      </c>
      <c r="D1769" s="19">
        <f t="shared" si="272"/>
        <v>0.009722871244</v>
      </c>
      <c r="E1769" s="12"/>
      <c r="F1769" s="7"/>
      <c r="G1769" s="7"/>
      <c r="H1769" s="1"/>
      <c r="I1769" s="1"/>
      <c r="J1769" s="1"/>
      <c r="K1769" s="1"/>
      <c r="L1769" s="12">
        <f t="shared" si="273"/>
        <v>19056.58681</v>
      </c>
      <c r="M1769" s="12"/>
      <c r="N1769" s="15"/>
      <c r="O1769" s="1"/>
      <c r="Q1769" s="12"/>
      <c r="R1769" s="1"/>
    </row>
    <row r="1770" ht="12.75" hidden="1" customHeight="1" outlineLevel="1">
      <c r="A1770" s="122">
        <f t="shared" si="274"/>
        <v>43069</v>
      </c>
      <c r="B1770" s="120">
        <v>841228.03</v>
      </c>
      <c r="C1770" s="19">
        <f t="shared" si="271"/>
        <v>0.005051409797</v>
      </c>
      <c r="D1770" s="19">
        <f t="shared" si="272"/>
        <v>0.01482339525</v>
      </c>
      <c r="E1770" s="12"/>
      <c r="F1770" s="7"/>
      <c r="G1770" s="7"/>
      <c r="H1770" s="1"/>
      <c r="I1770" s="1"/>
      <c r="J1770" s="1"/>
      <c r="K1770" s="1"/>
      <c r="L1770" s="12">
        <f t="shared" si="273"/>
        <v>19152.84944</v>
      </c>
      <c r="M1770" s="12"/>
      <c r="N1770" s="15"/>
      <c r="O1770" s="1"/>
      <c r="Q1770" s="12"/>
      <c r="R1770" s="1"/>
    </row>
    <row r="1771" ht="12.75" hidden="1" customHeight="1" outlineLevel="1">
      <c r="A1771" s="122"/>
      <c r="B1771" s="12"/>
      <c r="C1771" s="1"/>
      <c r="D1771" s="1"/>
      <c r="E1771" s="12"/>
      <c r="F1771" s="7"/>
      <c r="G1771" s="7"/>
      <c r="H1771" s="1"/>
      <c r="I1771" s="1"/>
      <c r="J1771" s="1"/>
      <c r="K1771" s="1"/>
      <c r="L1771" s="12"/>
      <c r="M1771" s="12"/>
      <c r="N1771" s="15"/>
      <c r="O1771" s="1"/>
      <c r="Q1771" s="12"/>
      <c r="R1771" s="1"/>
    </row>
    <row r="1772" ht="12.75" hidden="1" customHeight="1" outlineLevel="1">
      <c r="A1772" s="122"/>
      <c r="B1772" s="12">
        <f>B1770+P1772-Q1772</f>
        <v>841228.03</v>
      </c>
      <c r="C1772" s="1"/>
      <c r="D1772" s="1"/>
      <c r="E1772" s="12"/>
      <c r="F1772" s="7"/>
      <c r="G1772" s="7"/>
      <c r="H1772" s="1"/>
      <c r="I1772" s="1"/>
      <c r="J1772" s="1"/>
      <c r="K1772" s="1"/>
      <c r="L1772" s="12"/>
      <c r="M1772" s="12"/>
      <c r="N1772" s="15"/>
      <c r="O1772" s="1"/>
      <c r="Q1772" s="12"/>
      <c r="R1772" s="1"/>
    </row>
    <row r="1773" ht="12.75" hidden="1" customHeight="1" outlineLevel="1">
      <c r="A1773" s="122">
        <f>A1770+1</f>
        <v>43070</v>
      </c>
      <c r="B1773" s="120">
        <v>828000.0</v>
      </c>
      <c r="C1773" s="19">
        <f t="shared" ref="C1773:C1803" si="275">(B1773/B1772)-1</f>
        <v>-0.01572466624</v>
      </c>
      <c r="D1773" s="19">
        <f t="shared" ref="D1773:D1803" si="276">(B1773/$B$1772)-1</f>
        <v>-0.01572466624</v>
      </c>
      <c r="E1773" s="12"/>
      <c r="F1773" s="7"/>
      <c r="G1773" s="7"/>
      <c r="H1773" s="1"/>
      <c r="I1773" s="1"/>
      <c r="J1773" s="1"/>
      <c r="K1773" s="1"/>
      <c r="L1773" s="12">
        <f t="shared" ref="L1773:L1803" si="277">IF(C1772="",L1770*(1+C1773),L1772*(1+C1773))</f>
        <v>18851.67728</v>
      </c>
      <c r="M1773" s="12"/>
      <c r="N1773" s="15"/>
      <c r="O1773" s="1"/>
      <c r="Q1773" s="12"/>
      <c r="R1773" s="1"/>
    </row>
    <row r="1774" ht="12.75" hidden="1" customHeight="1" outlineLevel="1">
      <c r="A1774" s="122">
        <f t="shared" ref="A1774:A1803" si="278">A1773+1</f>
        <v>43071</v>
      </c>
      <c r="B1774" s="120">
        <v>828000.0</v>
      </c>
      <c r="C1774" s="19">
        <f t="shared" si="275"/>
        <v>0</v>
      </c>
      <c r="D1774" s="19">
        <f t="shared" si="276"/>
        <v>-0.01572466624</v>
      </c>
      <c r="E1774" s="12"/>
      <c r="F1774" s="7"/>
      <c r="G1774" s="7"/>
      <c r="H1774" s="1"/>
      <c r="I1774" s="1"/>
      <c r="J1774" s="1"/>
      <c r="K1774" s="1"/>
      <c r="L1774" s="12">
        <f t="shared" si="277"/>
        <v>18851.67728</v>
      </c>
      <c r="M1774" s="12"/>
      <c r="N1774" s="15"/>
      <c r="O1774" s="1"/>
      <c r="Q1774" s="12"/>
      <c r="R1774" s="1"/>
    </row>
    <row r="1775" ht="12.75" hidden="1" customHeight="1" outlineLevel="1">
      <c r="A1775" s="122">
        <f t="shared" si="278"/>
        <v>43072</v>
      </c>
      <c r="B1775" s="120">
        <v>828000.0</v>
      </c>
      <c r="C1775" s="19">
        <f t="shared" si="275"/>
        <v>0</v>
      </c>
      <c r="D1775" s="19">
        <f t="shared" si="276"/>
        <v>-0.01572466624</v>
      </c>
      <c r="E1775" s="12"/>
      <c r="F1775" s="7"/>
      <c r="G1775" s="7"/>
      <c r="H1775" s="1"/>
      <c r="I1775" s="1"/>
      <c r="J1775" s="1"/>
      <c r="K1775" s="1"/>
      <c r="L1775" s="12">
        <f t="shared" si="277"/>
        <v>18851.67728</v>
      </c>
      <c r="M1775" s="12"/>
      <c r="N1775" s="15"/>
      <c r="O1775" s="1"/>
      <c r="Q1775" s="12"/>
      <c r="R1775" s="1"/>
    </row>
    <row r="1776" ht="12.75" hidden="1" customHeight="1" outlineLevel="1">
      <c r="A1776" s="122">
        <f t="shared" si="278"/>
        <v>43073</v>
      </c>
      <c r="B1776" s="120">
        <v>830000.0</v>
      </c>
      <c r="C1776" s="19">
        <f t="shared" si="275"/>
        <v>0.002415458937</v>
      </c>
      <c r="D1776" s="19">
        <f t="shared" si="276"/>
        <v>-0.01334718958</v>
      </c>
      <c r="E1776" s="12"/>
      <c r="F1776" s="7"/>
      <c r="G1776" s="7"/>
      <c r="H1776" s="1"/>
      <c r="I1776" s="1"/>
      <c r="J1776" s="1"/>
      <c r="K1776" s="1"/>
      <c r="L1776" s="12">
        <f t="shared" si="277"/>
        <v>18897.21273</v>
      </c>
      <c r="M1776" s="12"/>
      <c r="N1776" s="15"/>
      <c r="O1776" s="1"/>
      <c r="Q1776" s="12"/>
      <c r="R1776" s="1"/>
    </row>
    <row r="1777" ht="12.75" hidden="1" customHeight="1" outlineLevel="1">
      <c r="A1777" s="122">
        <f t="shared" si="278"/>
        <v>43074</v>
      </c>
      <c r="B1777" s="120">
        <v>828400.0</v>
      </c>
      <c r="C1777" s="19">
        <f t="shared" si="275"/>
        <v>-0.001927710843</v>
      </c>
      <c r="D1777" s="19">
        <f t="shared" si="276"/>
        <v>-0.01524917091</v>
      </c>
      <c r="E1777" s="12"/>
      <c r="F1777" s="7"/>
      <c r="G1777" s="7"/>
      <c r="H1777" s="1"/>
      <c r="I1777" s="1"/>
      <c r="J1777" s="1"/>
      <c r="K1777" s="1"/>
      <c r="L1777" s="12">
        <f t="shared" si="277"/>
        <v>18860.78437</v>
      </c>
      <c r="M1777" s="12"/>
      <c r="N1777" s="15"/>
      <c r="O1777" s="1"/>
      <c r="Q1777" s="12"/>
      <c r="R1777" s="1"/>
    </row>
    <row r="1778" ht="12.75" hidden="1" customHeight="1" outlineLevel="1">
      <c r="A1778" s="122">
        <f t="shared" si="278"/>
        <v>43075</v>
      </c>
      <c r="B1778" s="120">
        <v>838000.0</v>
      </c>
      <c r="C1778" s="19">
        <f t="shared" si="275"/>
        <v>0.01158860454</v>
      </c>
      <c r="D1778" s="19">
        <f t="shared" si="276"/>
        <v>-0.003837282978</v>
      </c>
      <c r="E1778" s="12"/>
      <c r="F1778" s="7"/>
      <c r="G1778" s="7"/>
      <c r="H1778" s="1"/>
      <c r="I1778" s="1"/>
      <c r="J1778" s="1"/>
      <c r="K1778" s="1"/>
      <c r="L1778" s="12">
        <f t="shared" si="277"/>
        <v>19079.35454</v>
      </c>
      <c r="M1778" s="12"/>
      <c r="N1778" s="15"/>
      <c r="O1778" s="1"/>
      <c r="Q1778" s="12"/>
      <c r="R1778" s="1"/>
    </row>
    <row r="1779" ht="12.75" hidden="1" customHeight="1" outlineLevel="1">
      <c r="A1779" s="122">
        <f t="shared" si="278"/>
        <v>43076</v>
      </c>
      <c r="B1779" s="120">
        <v>838000.0</v>
      </c>
      <c r="C1779" s="19">
        <f t="shared" si="275"/>
        <v>0</v>
      </c>
      <c r="D1779" s="19">
        <f t="shared" si="276"/>
        <v>-0.003837282978</v>
      </c>
      <c r="E1779" s="12"/>
      <c r="F1779" s="7"/>
      <c r="G1779" s="7"/>
      <c r="H1779" s="1"/>
      <c r="I1779" s="1"/>
      <c r="J1779" s="1"/>
      <c r="K1779" s="1"/>
      <c r="L1779" s="12">
        <f t="shared" si="277"/>
        <v>19079.35454</v>
      </c>
      <c r="M1779" s="12"/>
      <c r="N1779" s="15"/>
      <c r="O1779" s="1"/>
      <c r="Q1779" s="12"/>
      <c r="R1779" s="1"/>
    </row>
    <row r="1780" ht="12.75" hidden="1" customHeight="1" outlineLevel="1">
      <c r="A1780" s="122">
        <f t="shared" si="278"/>
        <v>43077</v>
      </c>
      <c r="B1780" s="120">
        <v>838000.0</v>
      </c>
      <c r="C1780" s="19">
        <f t="shared" si="275"/>
        <v>0</v>
      </c>
      <c r="D1780" s="19">
        <f t="shared" si="276"/>
        <v>-0.003837282978</v>
      </c>
      <c r="E1780" s="12"/>
      <c r="F1780" s="7"/>
      <c r="G1780" s="7"/>
      <c r="H1780" s="1"/>
      <c r="I1780" s="1"/>
      <c r="J1780" s="1"/>
      <c r="K1780" s="1"/>
      <c r="L1780" s="12">
        <f t="shared" si="277"/>
        <v>19079.35454</v>
      </c>
      <c r="M1780" s="12"/>
      <c r="N1780" s="15"/>
      <c r="O1780" s="1"/>
      <c r="Q1780" s="12"/>
      <c r="R1780" s="1"/>
    </row>
    <row r="1781" ht="12.75" hidden="1" customHeight="1" outlineLevel="1">
      <c r="A1781" s="122">
        <f t="shared" si="278"/>
        <v>43078</v>
      </c>
      <c r="B1781" s="120">
        <v>838000.0</v>
      </c>
      <c r="C1781" s="19">
        <f t="shared" si="275"/>
        <v>0</v>
      </c>
      <c r="D1781" s="19">
        <f t="shared" si="276"/>
        <v>-0.003837282978</v>
      </c>
      <c r="E1781" s="12"/>
      <c r="F1781" s="7"/>
      <c r="G1781" s="7"/>
      <c r="H1781" s="1"/>
      <c r="I1781" s="1"/>
      <c r="J1781" s="1"/>
      <c r="K1781" s="1"/>
      <c r="L1781" s="12">
        <f t="shared" si="277"/>
        <v>19079.35454</v>
      </c>
      <c r="M1781" s="12"/>
      <c r="N1781" s="15"/>
      <c r="O1781" s="1"/>
      <c r="Q1781" s="12"/>
      <c r="R1781" s="1"/>
    </row>
    <row r="1782" ht="12.75" hidden="1" customHeight="1" outlineLevel="1">
      <c r="A1782" s="122">
        <f t="shared" si="278"/>
        <v>43079</v>
      </c>
      <c r="B1782" s="120">
        <v>838000.0</v>
      </c>
      <c r="C1782" s="19">
        <f t="shared" si="275"/>
        <v>0</v>
      </c>
      <c r="D1782" s="19">
        <f t="shared" si="276"/>
        <v>-0.003837282978</v>
      </c>
      <c r="E1782" s="12"/>
      <c r="F1782" s="7"/>
      <c r="G1782" s="7"/>
      <c r="H1782" s="1"/>
      <c r="I1782" s="1"/>
      <c r="J1782" s="1"/>
      <c r="K1782" s="1"/>
      <c r="L1782" s="12">
        <f t="shared" si="277"/>
        <v>19079.35454</v>
      </c>
      <c r="M1782" s="12"/>
      <c r="N1782" s="15"/>
      <c r="O1782" s="1"/>
      <c r="Q1782" s="12"/>
      <c r="R1782" s="1"/>
    </row>
    <row r="1783" ht="12.75" hidden="1" customHeight="1" outlineLevel="1">
      <c r="A1783" s="122">
        <f t="shared" si="278"/>
        <v>43080</v>
      </c>
      <c r="B1783" s="120">
        <v>838000.0</v>
      </c>
      <c r="C1783" s="19">
        <f t="shared" si="275"/>
        <v>0</v>
      </c>
      <c r="D1783" s="19">
        <f t="shared" si="276"/>
        <v>-0.003837282978</v>
      </c>
      <c r="E1783" s="12"/>
      <c r="F1783" s="7"/>
      <c r="G1783" s="7"/>
      <c r="H1783" s="1"/>
      <c r="I1783" s="1"/>
      <c r="J1783" s="1"/>
      <c r="K1783" s="1"/>
      <c r="L1783" s="12">
        <f t="shared" si="277"/>
        <v>19079.35454</v>
      </c>
      <c r="M1783" s="12"/>
      <c r="N1783" s="15"/>
      <c r="O1783" s="1"/>
      <c r="Q1783" s="12"/>
      <c r="R1783" s="1"/>
    </row>
    <row r="1784" ht="12.75" hidden="1" customHeight="1" outlineLevel="1">
      <c r="A1784" s="122">
        <f t="shared" si="278"/>
        <v>43081</v>
      </c>
      <c r="B1784" s="120">
        <v>839000.0</v>
      </c>
      <c r="C1784" s="19">
        <f t="shared" si="275"/>
        <v>0.001193317422</v>
      </c>
      <c r="D1784" s="19">
        <f t="shared" si="276"/>
        <v>-0.002648544652</v>
      </c>
      <c r="E1784" s="12"/>
      <c r="F1784" s="7"/>
      <c r="G1784" s="7"/>
      <c r="H1784" s="1"/>
      <c r="I1784" s="1"/>
      <c r="J1784" s="1"/>
      <c r="K1784" s="1"/>
      <c r="L1784" s="12">
        <f t="shared" si="277"/>
        <v>19102.12226</v>
      </c>
      <c r="M1784" s="12"/>
      <c r="N1784" s="15"/>
      <c r="O1784" s="1"/>
      <c r="Q1784" s="12"/>
      <c r="R1784" s="1"/>
    </row>
    <row r="1785" ht="12.75" hidden="1" customHeight="1" outlineLevel="1">
      <c r="A1785" s="122">
        <f t="shared" si="278"/>
        <v>43082</v>
      </c>
      <c r="B1785" s="120">
        <v>839900.0</v>
      </c>
      <c r="C1785" s="19">
        <f t="shared" si="275"/>
        <v>0.001072705602</v>
      </c>
      <c r="D1785" s="19">
        <f t="shared" si="276"/>
        <v>-0.001578680159</v>
      </c>
      <c r="E1785" s="12"/>
      <c r="F1785" s="7"/>
      <c r="G1785" s="7"/>
      <c r="H1785" s="1"/>
      <c r="I1785" s="1"/>
      <c r="J1785" s="1"/>
      <c r="K1785" s="1"/>
      <c r="L1785" s="12">
        <f t="shared" si="277"/>
        <v>19122.61322</v>
      </c>
      <c r="M1785" s="12"/>
      <c r="N1785" s="15"/>
      <c r="O1785" s="1"/>
      <c r="Q1785" s="12"/>
      <c r="R1785" s="1"/>
    </row>
    <row r="1786" ht="12.75" hidden="1" customHeight="1" outlineLevel="1">
      <c r="A1786" s="122">
        <f t="shared" si="278"/>
        <v>43083</v>
      </c>
      <c r="B1786" s="120">
        <v>848400.0</v>
      </c>
      <c r="C1786" s="19">
        <f t="shared" si="275"/>
        <v>0.01012025241</v>
      </c>
      <c r="D1786" s="19">
        <f t="shared" si="276"/>
        <v>0.008525595611</v>
      </c>
      <c r="E1786" s="12"/>
      <c r="F1786" s="7"/>
      <c r="G1786" s="7"/>
      <c r="H1786" s="1"/>
      <c r="I1786" s="1"/>
      <c r="J1786" s="1"/>
      <c r="K1786" s="1"/>
      <c r="L1786" s="12">
        <f t="shared" si="277"/>
        <v>19316.13889</v>
      </c>
      <c r="M1786" s="12"/>
      <c r="N1786" s="15"/>
      <c r="O1786" s="1"/>
      <c r="Q1786" s="12"/>
      <c r="R1786" s="1"/>
    </row>
    <row r="1787" ht="12.75" hidden="1" customHeight="1" outlineLevel="1">
      <c r="A1787" s="122">
        <f t="shared" si="278"/>
        <v>43084</v>
      </c>
      <c r="B1787" s="120">
        <v>848400.0</v>
      </c>
      <c r="C1787" s="19">
        <f t="shared" si="275"/>
        <v>0</v>
      </c>
      <c r="D1787" s="19">
        <f t="shared" si="276"/>
        <v>0.008525595611</v>
      </c>
      <c r="E1787" s="12"/>
      <c r="F1787" s="7"/>
      <c r="G1787" s="7"/>
      <c r="H1787" s="1"/>
      <c r="I1787" s="1"/>
      <c r="J1787" s="1"/>
      <c r="K1787" s="1"/>
      <c r="L1787" s="12">
        <f t="shared" si="277"/>
        <v>19316.13889</v>
      </c>
      <c r="M1787" s="12"/>
      <c r="N1787" s="15"/>
      <c r="O1787" s="1"/>
      <c r="Q1787" s="12"/>
      <c r="R1787" s="1"/>
    </row>
    <row r="1788" ht="12.75" hidden="1" customHeight="1" outlineLevel="1">
      <c r="A1788" s="122">
        <f t="shared" si="278"/>
        <v>43085</v>
      </c>
      <c r="B1788" s="120">
        <v>848400.0</v>
      </c>
      <c r="C1788" s="19">
        <f t="shared" si="275"/>
        <v>0</v>
      </c>
      <c r="D1788" s="19">
        <f t="shared" si="276"/>
        <v>0.008525595611</v>
      </c>
      <c r="E1788" s="12"/>
      <c r="F1788" s="7"/>
      <c r="G1788" s="7"/>
      <c r="H1788" s="1"/>
      <c r="I1788" s="1"/>
      <c r="J1788" s="1"/>
      <c r="K1788" s="1"/>
      <c r="L1788" s="12">
        <f t="shared" si="277"/>
        <v>19316.13889</v>
      </c>
      <c r="M1788" s="12"/>
      <c r="N1788" s="15"/>
      <c r="O1788" s="1"/>
      <c r="Q1788" s="12"/>
      <c r="R1788" s="1"/>
    </row>
    <row r="1789" ht="12.75" hidden="1" customHeight="1" outlineLevel="1">
      <c r="A1789" s="122">
        <f t="shared" si="278"/>
        <v>43086</v>
      </c>
      <c r="B1789" s="120">
        <v>848400.0</v>
      </c>
      <c r="C1789" s="19">
        <f t="shared" si="275"/>
        <v>0</v>
      </c>
      <c r="D1789" s="19">
        <f t="shared" si="276"/>
        <v>0.008525595611</v>
      </c>
      <c r="E1789" s="12"/>
      <c r="F1789" s="7"/>
      <c r="G1789" s="7"/>
      <c r="H1789" s="1"/>
      <c r="I1789" s="1"/>
      <c r="J1789" s="1"/>
      <c r="K1789" s="1"/>
      <c r="L1789" s="12">
        <f t="shared" si="277"/>
        <v>19316.13889</v>
      </c>
      <c r="M1789" s="12"/>
      <c r="N1789" s="15"/>
      <c r="O1789" s="1"/>
      <c r="Q1789" s="12"/>
      <c r="R1789" s="1"/>
    </row>
    <row r="1790" ht="12.75" hidden="1" customHeight="1" outlineLevel="1">
      <c r="A1790" s="122">
        <f t="shared" si="278"/>
        <v>43087</v>
      </c>
      <c r="B1790" s="120">
        <v>858000.0</v>
      </c>
      <c r="C1790" s="19">
        <f t="shared" si="275"/>
        <v>0.01131541726</v>
      </c>
      <c r="D1790" s="19">
        <f t="shared" si="276"/>
        <v>0.01993748354</v>
      </c>
      <c r="E1790" s="12"/>
      <c r="F1790" s="7"/>
      <c r="G1790" s="7"/>
      <c r="H1790" s="1"/>
      <c r="I1790" s="1"/>
      <c r="J1790" s="1"/>
      <c r="K1790" s="1"/>
      <c r="L1790" s="12">
        <f t="shared" si="277"/>
        <v>19534.70906</v>
      </c>
      <c r="M1790" s="12"/>
      <c r="N1790" s="15"/>
      <c r="O1790" s="1"/>
      <c r="Q1790" s="12"/>
      <c r="R1790" s="1"/>
    </row>
    <row r="1791" ht="12.75" hidden="1" customHeight="1" outlineLevel="1">
      <c r="A1791" s="122">
        <f t="shared" si="278"/>
        <v>43088</v>
      </c>
      <c r="B1791" s="120">
        <v>853000.0</v>
      </c>
      <c r="C1791" s="19">
        <f t="shared" si="275"/>
        <v>-0.005827505828</v>
      </c>
      <c r="D1791" s="19">
        <f t="shared" si="276"/>
        <v>0.01399379191</v>
      </c>
      <c r="E1791" s="12"/>
      <c r="F1791" s="7"/>
      <c r="G1791" s="7"/>
      <c r="H1791" s="1"/>
      <c r="I1791" s="1"/>
      <c r="J1791" s="1"/>
      <c r="K1791" s="1"/>
      <c r="L1791" s="12">
        <f t="shared" si="277"/>
        <v>19420.87043</v>
      </c>
      <c r="M1791" s="12"/>
      <c r="N1791" s="15"/>
      <c r="O1791" s="1"/>
      <c r="Q1791" s="12"/>
      <c r="R1791" s="1"/>
    </row>
    <row r="1792" ht="12.75" hidden="1" customHeight="1" outlineLevel="1">
      <c r="A1792" s="122">
        <f t="shared" si="278"/>
        <v>43089</v>
      </c>
      <c r="B1792" s="120">
        <v>853000.0</v>
      </c>
      <c r="C1792" s="19">
        <f t="shared" si="275"/>
        <v>0</v>
      </c>
      <c r="D1792" s="19">
        <f t="shared" si="276"/>
        <v>0.01399379191</v>
      </c>
      <c r="E1792" s="12"/>
      <c r="F1792" s="7"/>
      <c r="G1792" s="7"/>
      <c r="H1792" s="1"/>
      <c r="I1792" s="1"/>
      <c r="J1792" s="1"/>
      <c r="K1792" s="1"/>
      <c r="L1792" s="12">
        <f t="shared" si="277"/>
        <v>19420.87043</v>
      </c>
      <c r="M1792" s="12"/>
      <c r="N1792" s="15"/>
      <c r="O1792" s="1"/>
      <c r="Q1792" s="12"/>
      <c r="R1792" s="1"/>
    </row>
    <row r="1793" ht="12.75" hidden="1" customHeight="1" outlineLevel="1">
      <c r="A1793" s="122">
        <f t="shared" si="278"/>
        <v>43090</v>
      </c>
      <c r="B1793" s="120">
        <v>856300.0</v>
      </c>
      <c r="C1793" s="19">
        <f t="shared" si="275"/>
        <v>0.00386869871</v>
      </c>
      <c r="D1793" s="19">
        <f t="shared" si="276"/>
        <v>0.01791662838</v>
      </c>
      <c r="E1793" s="12"/>
      <c r="F1793" s="7"/>
      <c r="G1793" s="7"/>
      <c r="H1793" s="1"/>
      <c r="I1793" s="1"/>
      <c r="J1793" s="1"/>
      <c r="K1793" s="1"/>
      <c r="L1793" s="12">
        <f t="shared" si="277"/>
        <v>19496.00393</v>
      </c>
      <c r="M1793" s="12"/>
      <c r="N1793" s="15"/>
      <c r="O1793" s="1"/>
      <c r="Q1793" s="12"/>
      <c r="R1793" s="1"/>
    </row>
    <row r="1794" ht="12.75" hidden="1" customHeight="1" outlineLevel="1">
      <c r="A1794" s="122">
        <f t="shared" si="278"/>
        <v>43091</v>
      </c>
      <c r="B1794" s="120">
        <v>856300.0</v>
      </c>
      <c r="C1794" s="19">
        <f t="shared" si="275"/>
        <v>0</v>
      </c>
      <c r="D1794" s="19">
        <f t="shared" si="276"/>
        <v>0.01791662838</v>
      </c>
      <c r="E1794" s="12"/>
      <c r="F1794" s="7"/>
      <c r="G1794" s="7"/>
      <c r="H1794" s="1"/>
      <c r="I1794" s="1"/>
      <c r="J1794" s="1"/>
      <c r="K1794" s="1"/>
      <c r="L1794" s="12">
        <f t="shared" si="277"/>
        <v>19496.00393</v>
      </c>
      <c r="M1794" s="12"/>
      <c r="N1794" s="15"/>
      <c r="O1794" s="1"/>
      <c r="Q1794" s="12"/>
      <c r="R1794" s="1"/>
    </row>
    <row r="1795" ht="12.75" hidden="1" customHeight="1" outlineLevel="1">
      <c r="A1795" s="122">
        <f t="shared" si="278"/>
        <v>43092</v>
      </c>
      <c r="B1795" s="120">
        <v>856300.0</v>
      </c>
      <c r="C1795" s="19">
        <f t="shared" si="275"/>
        <v>0</v>
      </c>
      <c r="D1795" s="19">
        <f t="shared" si="276"/>
        <v>0.01791662838</v>
      </c>
      <c r="E1795" s="12"/>
      <c r="F1795" s="7"/>
      <c r="G1795" s="7"/>
      <c r="H1795" s="1"/>
      <c r="I1795" s="1"/>
      <c r="J1795" s="1"/>
      <c r="K1795" s="1"/>
      <c r="L1795" s="12">
        <f t="shared" si="277"/>
        <v>19496.00393</v>
      </c>
      <c r="M1795" s="12"/>
      <c r="N1795" s="15"/>
      <c r="O1795" s="1"/>
      <c r="Q1795" s="12"/>
      <c r="R1795" s="1"/>
    </row>
    <row r="1796" ht="12.75" hidden="1" customHeight="1" outlineLevel="1">
      <c r="A1796" s="122">
        <f t="shared" si="278"/>
        <v>43093</v>
      </c>
      <c r="B1796" s="120">
        <v>856300.0</v>
      </c>
      <c r="C1796" s="19">
        <f t="shared" si="275"/>
        <v>0</v>
      </c>
      <c r="D1796" s="19">
        <f t="shared" si="276"/>
        <v>0.01791662838</v>
      </c>
      <c r="E1796" s="12"/>
      <c r="F1796" s="7"/>
      <c r="G1796" s="7"/>
      <c r="H1796" s="1"/>
      <c r="I1796" s="1"/>
      <c r="J1796" s="1"/>
      <c r="K1796" s="1"/>
      <c r="L1796" s="12">
        <f t="shared" si="277"/>
        <v>19496.00393</v>
      </c>
      <c r="M1796" s="12"/>
      <c r="N1796" s="15"/>
      <c r="O1796" s="1"/>
      <c r="Q1796" s="12"/>
      <c r="R1796" s="1"/>
    </row>
    <row r="1797" ht="12.75" hidden="1" customHeight="1" outlineLevel="1">
      <c r="A1797" s="122">
        <f t="shared" si="278"/>
        <v>43094</v>
      </c>
      <c r="B1797" s="120">
        <v>856300.0</v>
      </c>
      <c r="C1797" s="19">
        <f t="shared" si="275"/>
        <v>0</v>
      </c>
      <c r="D1797" s="19">
        <f t="shared" si="276"/>
        <v>0.01791662838</v>
      </c>
      <c r="E1797" s="12"/>
      <c r="F1797" s="7"/>
      <c r="G1797" s="7"/>
      <c r="H1797" s="1"/>
      <c r="I1797" s="1"/>
      <c r="J1797" s="1"/>
      <c r="K1797" s="1"/>
      <c r="L1797" s="12">
        <f t="shared" si="277"/>
        <v>19496.00393</v>
      </c>
      <c r="M1797" s="12"/>
      <c r="N1797" s="15"/>
      <c r="O1797" s="1"/>
      <c r="Q1797" s="12"/>
      <c r="R1797" s="1"/>
    </row>
    <row r="1798" ht="12.75" hidden="1" customHeight="1" outlineLevel="1">
      <c r="A1798" s="122">
        <f t="shared" si="278"/>
        <v>43095</v>
      </c>
      <c r="B1798" s="120">
        <v>855000.0</v>
      </c>
      <c r="C1798" s="19">
        <f t="shared" si="275"/>
        <v>-0.001518159524</v>
      </c>
      <c r="D1798" s="19">
        <f t="shared" si="276"/>
        <v>0.01637126856</v>
      </c>
      <c r="E1798" s="12"/>
      <c r="F1798" s="7"/>
      <c r="G1798" s="7"/>
      <c r="H1798" s="1"/>
      <c r="I1798" s="1"/>
      <c r="J1798" s="1"/>
      <c r="K1798" s="1"/>
      <c r="L1798" s="12">
        <f t="shared" si="277"/>
        <v>19466.40588</v>
      </c>
      <c r="M1798" s="12"/>
      <c r="N1798" s="15"/>
      <c r="O1798" s="1"/>
      <c r="Q1798" s="12"/>
      <c r="R1798" s="1"/>
    </row>
    <row r="1799" ht="12.75" hidden="1" customHeight="1" outlineLevel="1">
      <c r="A1799" s="122">
        <f t="shared" si="278"/>
        <v>43096</v>
      </c>
      <c r="B1799" s="120">
        <v>855000.0</v>
      </c>
      <c r="C1799" s="19">
        <f t="shared" si="275"/>
        <v>0</v>
      </c>
      <c r="D1799" s="19">
        <f t="shared" si="276"/>
        <v>0.01637126856</v>
      </c>
      <c r="E1799" s="12"/>
      <c r="F1799" s="7"/>
      <c r="G1799" s="7"/>
      <c r="H1799" s="1"/>
      <c r="I1799" s="1"/>
      <c r="J1799" s="1"/>
      <c r="K1799" s="1"/>
      <c r="L1799" s="12">
        <f t="shared" si="277"/>
        <v>19466.40588</v>
      </c>
      <c r="M1799" s="12"/>
      <c r="N1799" s="15"/>
      <c r="O1799" s="1"/>
      <c r="Q1799" s="12"/>
      <c r="R1799" s="1"/>
    </row>
    <row r="1800" ht="12.75" hidden="1" customHeight="1" outlineLevel="1">
      <c r="A1800" s="122">
        <f t="shared" si="278"/>
        <v>43097</v>
      </c>
      <c r="B1800" s="120">
        <v>855000.0</v>
      </c>
      <c r="C1800" s="19">
        <f t="shared" si="275"/>
        <v>0</v>
      </c>
      <c r="D1800" s="19">
        <f t="shared" si="276"/>
        <v>0.01637126856</v>
      </c>
      <c r="E1800" s="12"/>
      <c r="F1800" s="7"/>
      <c r="G1800" s="7"/>
      <c r="H1800" s="1"/>
      <c r="I1800" s="1"/>
      <c r="J1800" s="1"/>
      <c r="K1800" s="1"/>
      <c r="L1800" s="12">
        <f t="shared" si="277"/>
        <v>19466.40588</v>
      </c>
      <c r="M1800" s="12"/>
      <c r="N1800" s="15"/>
      <c r="O1800" s="1"/>
      <c r="Q1800" s="12"/>
      <c r="R1800" s="1"/>
    </row>
    <row r="1801" ht="12.75" hidden="1" customHeight="1" outlineLevel="1">
      <c r="A1801" s="122">
        <f t="shared" si="278"/>
        <v>43098</v>
      </c>
      <c r="B1801" s="120">
        <v>857900.0</v>
      </c>
      <c r="C1801" s="19">
        <f t="shared" si="275"/>
        <v>0.003391812865</v>
      </c>
      <c r="D1801" s="19">
        <f t="shared" si="276"/>
        <v>0.01981860971</v>
      </c>
      <c r="E1801" s="12"/>
      <c r="F1801" s="7"/>
      <c r="G1801" s="7"/>
      <c r="H1801" s="1"/>
      <c r="I1801" s="1"/>
      <c r="J1801" s="1"/>
      <c r="K1801" s="1"/>
      <c r="L1801" s="12">
        <f t="shared" si="277"/>
        <v>19532.43229</v>
      </c>
      <c r="M1801" s="12"/>
      <c r="N1801" s="15"/>
      <c r="O1801" s="1"/>
      <c r="Q1801" s="12"/>
      <c r="R1801" s="1"/>
    </row>
    <row r="1802" ht="12.75" hidden="1" customHeight="1" outlineLevel="1">
      <c r="A1802" s="122">
        <f t="shared" si="278"/>
        <v>43099</v>
      </c>
      <c r="B1802" s="120">
        <v>853391.78</v>
      </c>
      <c r="C1802" s="19">
        <f t="shared" si="275"/>
        <v>-0.005254948129</v>
      </c>
      <c r="D1802" s="19">
        <f t="shared" si="276"/>
        <v>0.01445951581</v>
      </c>
      <c r="E1802" s="12"/>
      <c r="F1802" s="7"/>
      <c r="G1802" s="7"/>
      <c r="H1802" s="1"/>
      <c r="I1802" s="1"/>
      <c r="J1802" s="1"/>
      <c r="K1802" s="1"/>
      <c r="L1802" s="12">
        <f t="shared" si="277"/>
        <v>19429.79037</v>
      </c>
      <c r="M1802" s="12"/>
      <c r="N1802" s="15"/>
      <c r="O1802" s="1"/>
      <c r="Q1802" s="12"/>
      <c r="R1802" s="1"/>
    </row>
    <row r="1803" ht="12.75" hidden="1" customHeight="1" outlineLevel="1">
      <c r="A1803" s="122">
        <f t="shared" si="278"/>
        <v>43100</v>
      </c>
      <c r="B1803" s="120">
        <v>853391.78</v>
      </c>
      <c r="C1803" s="19">
        <f t="shared" si="275"/>
        <v>0</v>
      </c>
      <c r="D1803" s="19">
        <f t="shared" si="276"/>
        <v>0.01445951581</v>
      </c>
      <c r="E1803" s="12"/>
      <c r="F1803" s="7"/>
      <c r="G1803" s="7"/>
      <c r="H1803" s="1"/>
      <c r="I1803" s="1"/>
      <c r="J1803" s="1"/>
      <c r="K1803" s="1"/>
      <c r="L1803" s="12">
        <f t="shared" si="277"/>
        <v>19429.79037</v>
      </c>
      <c r="M1803" s="12"/>
      <c r="N1803" s="15"/>
      <c r="O1803" s="1"/>
      <c r="Q1803" s="12"/>
      <c r="R1803" s="1"/>
    </row>
    <row r="1804" ht="12.75" hidden="1" customHeight="1" outlineLevel="1">
      <c r="A1804" s="122"/>
      <c r="B1804" s="12"/>
      <c r="C1804" s="1"/>
      <c r="D1804" s="1"/>
      <c r="E1804" s="12"/>
      <c r="F1804" s="7"/>
      <c r="G1804" s="7"/>
      <c r="H1804" s="1"/>
      <c r="I1804" s="1"/>
      <c r="J1804" s="1"/>
      <c r="K1804" s="1"/>
      <c r="L1804" s="12"/>
      <c r="M1804" s="12"/>
      <c r="N1804" s="15"/>
      <c r="O1804" s="1"/>
      <c r="Q1804" s="12"/>
      <c r="R1804" s="1"/>
    </row>
    <row r="1805" ht="12.75" hidden="1" customHeight="1" outlineLevel="1">
      <c r="A1805" s="122"/>
      <c r="B1805" s="12">
        <f>B1803+P1805-Q1805</f>
        <v>838222</v>
      </c>
      <c r="C1805" s="1"/>
      <c r="D1805" s="1"/>
      <c r="E1805" s="12"/>
      <c r="F1805" s="7"/>
      <c r="G1805" s="7"/>
      <c r="H1805" s="1"/>
      <c r="I1805" s="1"/>
      <c r="J1805" s="1"/>
      <c r="K1805" s="1"/>
      <c r="L1805" s="12"/>
      <c r="M1805" s="12"/>
      <c r="N1805" s="15"/>
      <c r="O1805" s="1"/>
      <c r="P1805" s="120">
        <v>10000.0</v>
      </c>
      <c r="Q1805" s="120">
        <v>25169.78</v>
      </c>
      <c r="R1805" s="186">
        <f>P1805-Q1805</f>
        <v>-15169.78</v>
      </c>
    </row>
    <row r="1806" ht="12.75" hidden="1" customHeight="1" outlineLevel="1">
      <c r="A1806" s="122">
        <f>A1803+1</f>
        <v>43101</v>
      </c>
      <c r="B1806" s="12">
        <v>838222.0</v>
      </c>
      <c r="C1806" s="19">
        <f t="shared" ref="C1806:C1836" si="279">(B1806/B1805)-1</f>
        <v>0</v>
      </c>
      <c r="D1806" s="19">
        <f t="shared" ref="D1806:D1836" si="280">(B1806/$B$1772)-1</f>
        <v>-0.00357338307</v>
      </c>
      <c r="E1806" s="12"/>
      <c r="F1806" s="7"/>
      <c r="G1806" s="7"/>
      <c r="H1806" s="1"/>
      <c r="I1806" s="1"/>
      <c r="J1806" s="1"/>
      <c r="K1806" s="1"/>
      <c r="L1806" s="12">
        <f t="shared" ref="L1806:L1836" si="281">IF(C1805="",L1803*(1+C1806),L1805*(1+C1806))</f>
        <v>19429.79037</v>
      </c>
      <c r="M1806" s="12"/>
      <c r="N1806" s="15"/>
      <c r="O1806" s="1"/>
      <c r="Q1806" s="12"/>
      <c r="R1806" s="1"/>
    </row>
    <row r="1807" ht="12.75" hidden="1" customHeight="1" outlineLevel="1">
      <c r="A1807" s="122">
        <f t="shared" ref="A1807:A1836" si="282">A1806+1</f>
        <v>43102</v>
      </c>
      <c r="B1807" s="12">
        <v>838222.0</v>
      </c>
      <c r="C1807" s="19">
        <f t="shared" si="279"/>
        <v>0</v>
      </c>
      <c r="D1807" s="19">
        <f t="shared" si="280"/>
        <v>-0.00357338307</v>
      </c>
      <c r="E1807" s="12"/>
      <c r="F1807" s="7"/>
      <c r="G1807" s="7"/>
      <c r="H1807" s="1"/>
      <c r="I1807" s="1"/>
      <c r="J1807" s="1"/>
      <c r="K1807" s="1"/>
      <c r="L1807" s="12">
        <f t="shared" si="281"/>
        <v>19429.79037</v>
      </c>
      <c r="M1807" s="12"/>
      <c r="N1807" s="15"/>
      <c r="O1807" s="1"/>
      <c r="Q1807" s="12"/>
      <c r="R1807" s="1"/>
    </row>
    <row r="1808" ht="12.75" hidden="1" customHeight="1" outlineLevel="1">
      <c r="A1808" s="122">
        <f t="shared" si="282"/>
        <v>43103</v>
      </c>
      <c r="B1808" s="12">
        <v>838222.0</v>
      </c>
      <c r="C1808" s="19">
        <f t="shared" si="279"/>
        <v>0</v>
      </c>
      <c r="D1808" s="19">
        <f t="shared" si="280"/>
        <v>-0.00357338307</v>
      </c>
      <c r="E1808" s="12"/>
      <c r="F1808" s="7"/>
      <c r="G1808" s="7"/>
      <c r="H1808" s="1"/>
      <c r="I1808" s="1"/>
      <c r="J1808" s="1"/>
      <c r="K1808" s="1"/>
      <c r="L1808" s="12">
        <f t="shared" si="281"/>
        <v>19429.79037</v>
      </c>
      <c r="M1808" s="12"/>
      <c r="N1808" s="15"/>
      <c r="O1808" s="1"/>
      <c r="Q1808" s="12"/>
      <c r="R1808" s="1"/>
    </row>
    <row r="1809" ht="12.75" hidden="1" customHeight="1" outlineLevel="1">
      <c r="A1809" s="122">
        <f t="shared" si="282"/>
        <v>43104</v>
      </c>
      <c r="B1809" s="120">
        <v>849994.4599999998</v>
      </c>
      <c r="C1809" s="19">
        <f t="shared" si="279"/>
        <v>0.01404456099</v>
      </c>
      <c r="D1809" s="19">
        <f t="shared" si="280"/>
        <v>0.01042099132</v>
      </c>
      <c r="E1809" s="12"/>
      <c r="F1809" s="7"/>
      <c r="G1809" s="7"/>
      <c r="H1809" s="1"/>
      <c r="I1809" s="1"/>
      <c r="J1809" s="1"/>
      <c r="K1809" s="1"/>
      <c r="L1809" s="12">
        <f t="shared" si="281"/>
        <v>19702.67325</v>
      </c>
      <c r="M1809" s="12"/>
      <c r="N1809" s="15"/>
      <c r="O1809" s="1"/>
      <c r="Q1809" s="12"/>
      <c r="R1809" s="1"/>
    </row>
    <row r="1810" ht="12.75" hidden="1" customHeight="1" outlineLevel="1">
      <c r="A1810" s="122">
        <f t="shared" si="282"/>
        <v>43105</v>
      </c>
      <c r="B1810" s="120">
        <v>853000.0</v>
      </c>
      <c r="C1810" s="19">
        <f t="shared" si="279"/>
        <v>0.003535952458</v>
      </c>
      <c r="D1810" s="19">
        <f t="shared" si="280"/>
        <v>0.01399379191</v>
      </c>
      <c r="E1810" s="12"/>
      <c r="F1810" s="7"/>
      <c r="G1810" s="7"/>
      <c r="H1810" s="1"/>
      <c r="I1810" s="1"/>
      <c r="J1810" s="1"/>
      <c r="K1810" s="1"/>
      <c r="L1810" s="12">
        <f t="shared" si="281"/>
        <v>19772.34096</v>
      </c>
      <c r="M1810" s="12"/>
      <c r="N1810" s="15"/>
      <c r="O1810" s="1"/>
      <c r="Q1810" s="12"/>
      <c r="R1810" s="1"/>
    </row>
    <row r="1811" ht="12.75" hidden="1" customHeight="1" outlineLevel="1">
      <c r="A1811" s="122">
        <f t="shared" si="282"/>
        <v>43106</v>
      </c>
      <c r="B1811" s="120">
        <v>852340.5700000001</v>
      </c>
      <c r="C1811" s="19">
        <f t="shared" si="279"/>
        <v>-0.0007730715123</v>
      </c>
      <c r="D1811" s="19">
        <f t="shared" si="280"/>
        <v>0.0132099022</v>
      </c>
      <c r="E1811" s="12"/>
      <c r="F1811" s="7"/>
      <c r="G1811" s="7"/>
      <c r="H1811" s="1"/>
      <c r="I1811" s="1"/>
      <c r="J1811" s="1"/>
      <c r="K1811" s="1"/>
      <c r="L1811" s="12">
        <f t="shared" si="281"/>
        <v>19757.05553</v>
      </c>
      <c r="M1811" s="12"/>
      <c r="N1811" s="15"/>
      <c r="O1811" s="1"/>
      <c r="Q1811" s="12"/>
      <c r="R1811" s="1"/>
    </row>
    <row r="1812" ht="12.75" hidden="1" customHeight="1" outlineLevel="1">
      <c r="A1812" s="122">
        <f t="shared" si="282"/>
        <v>43107</v>
      </c>
      <c r="B1812" s="120">
        <v>852340.5700000001</v>
      </c>
      <c r="C1812" s="19">
        <f t="shared" si="279"/>
        <v>0</v>
      </c>
      <c r="D1812" s="19">
        <f t="shared" si="280"/>
        <v>0.0132099022</v>
      </c>
      <c r="E1812" s="12"/>
      <c r="F1812" s="7"/>
      <c r="G1812" s="7"/>
      <c r="H1812" s="1"/>
      <c r="I1812" s="1"/>
      <c r="J1812" s="1"/>
      <c r="K1812" s="1"/>
      <c r="L1812" s="12">
        <f t="shared" si="281"/>
        <v>19757.05553</v>
      </c>
      <c r="M1812" s="12"/>
      <c r="N1812" s="15"/>
      <c r="O1812" s="1"/>
      <c r="Q1812" s="12"/>
      <c r="R1812" s="1"/>
    </row>
    <row r="1813" ht="12.75" hidden="1" customHeight="1" outlineLevel="1">
      <c r="A1813" s="122">
        <f t="shared" si="282"/>
        <v>43108</v>
      </c>
      <c r="B1813" s="120">
        <v>852340.5700000001</v>
      </c>
      <c r="C1813" s="19">
        <f t="shared" si="279"/>
        <v>0</v>
      </c>
      <c r="D1813" s="19">
        <f t="shared" si="280"/>
        <v>0.0132099022</v>
      </c>
      <c r="E1813" s="12"/>
      <c r="F1813" s="7"/>
      <c r="G1813" s="7"/>
      <c r="H1813" s="1"/>
      <c r="I1813" s="1"/>
      <c r="J1813" s="1"/>
      <c r="K1813" s="1"/>
      <c r="L1813" s="12">
        <f t="shared" si="281"/>
        <v>19757.05553</v>
      </c>
      <c r="M1813" s="12"/>
      <c r="N1813" s="15"/>
      <c r="O1813" s="1"/>
      <c r="Q1813" s="12"/>
      <c r="R1813" s="1"/>
    </row>
    <row r="1814" ht="12.75" hidden="1" customHeight="1" outlineLevel="1">
      <c r="A1814" s="122">
        <f t="shared" si="282"/>
        <v>43109</v>
      </c>
      <c r="B1814" s="120">
        <v>852340.5700000001</v>
      </c>
      <c r="C1814" s="19">
        <f t="shared" si="279"/>
        <v>0</v>
      </c>
      <c r="D1814" s="19">
        <f t="shared" si="280"/>
        <v>0.0132099022</v>
      </c>
      <c r="E1814" s="12"/>
      <c r="F1814" s="7"/>
      <c r="G1814" s="7"/>
      <c r="H1814" s="1"/>
      <c r="I1814" s="1"/>
      <c r="J1814" s="1"/>
      <c r="K1814" s="1"/>
      <c r="L1814" s="12">
        <f t="shared" si="281"/>
        <v>19757.05553</v>
      </c>
      <c r="M1814" s="12"/>
      <c r="N1814" s="15"/>
      <c r="O1814" s="1"/>
      <c r="Q1814" s="12"/>
      <c r="R1814" s="1"/>
    </row>
    <row r="1815" ht="12.75" hidden="1" customHeight="1" outlineLevel="1">
      <c r="A1815" s="122">
        <f t="shared" si="282"/>
        <v>43110</v>
      </c>
      <c r="B1815" s="120">
        <v>852340.5700000001</v>
      </c>
      <c r="C1815" s="19">
        <f t="shared" si="279"/>
        <v>0</v>
      </c>
      <c r="D1815" s="19">
        <f t="shared" si="280"/>
        <v>0.0132099022</v>
      </c>
      <c r="E1815" s="12"/>
      <c r="F1815" s="7"/>
      <c r="G1815" s="7"/>
      <c r="H1815" s="1"/>
      <c r="I1815" s="1"/>
      <c r="J1815" s="1"/>
      <c r="K1815" s="1"/>
      <c r="L1815" s="12">
        <f t="shared" si="281"/>
        <v>19757.05553</v>
      </c>
      <c r="M1815" s="12"/>
      <c r="N1815" s="15"/>
      <c r="O1815" s="1"/>
      <c r="Q1815" s="12"/>
      <c r="R1815" s="1"/>
    </row>
    <row r="1816" ht="12.75" hidden="1" customHeight="1" outlineLevel="1">
      <c r="A1816" s="122">
        <f t="shared" si="282"/>
        <v>43111</v>
      </c>
      <c r="B1816" s="120">
        <v>857994.1400000001</v>
      </c>
      <c r="C1816" s="19">
        <f t="shared" si="279"/>
        <v>0.006632994133</v>
      </c>
      <c r="D1816" s="19">
        <f t="shared" si="280"/>
        <v>0.01993051753</v>
      </c>
      <c r="E1816" s="12"/>
      <c r="F1816" s="7"/>
      <c r="G1816" s="7"/>
      <c r="H1816" s="1"/>
      <c r="I1816" s="1"/>
      <c r="J1816" s="1"/>
      <c r="K1816" s="1"/>
      <c r="L1816" s="12">
        <f t="shared" si="281"/>
        <v>19888.10396</v>
      </c>
      <c r="M1816" s="12"/>
      <c r="N1816" s="15"/>
      <c r="O1816" s="1"/>
      <c r="Q1816" s="12"/>
      <c r="R1816" s="1"/>
    </row>
    <row r="1817" ht="12.75" hidden="1" customHeight="1" outlineLevel="1">
      <c r="A1817" s="122">
        <f t="shared" si="282"/>
        <v>43112</v>
      </c>
      <c r="B1817" s="120">
        <v>862000.0</v>
      </c>
      <c r="C1817" s="19">
        <f t="shared" si="279"/>
        <v>0.004668866386</v>
      </c>
      <c r="D1817" s="19">
        <f t="shared" si="280"/>
        <v>0.02469243684</v>
      </c>
      <c r="E1817" s="12"/>
      <c r="F1817" s="7"/>
      <c r="G1817" s="7"/>
      <c r="H1817" s="1"/>
      <c r="I1817" s="1"/>
      <c r="J1817" s="1"/>
      <c r="K1817" s="1"/>
      <c r="L1817" s="12">
        <f t="shared" si="281"/>
        <v>19980.95886</v>
      </c>
      <c r="M1817" s="12"/>
      <c r="N1817" s="15"/>
      <c r="O1817" s="1"/>
      <c r="Q1817" s="12"/>
      <c r="R1817" s="1"/>
    </row>
    <row r="1818" ht="12.75" hidden="1" customHeight="1" outlineLevel="1">
      <c r="A1818" s="122">
        <f t="shared" si="282"/>
        <v>43113</v>
      </c>
      <c r="B1818" s="120">
        <v>862000.0</v>
      </c>
      <c r="C1818" s="19">
        <f t="shared" si="279"/>
        <v>0</v>
      </c>
      <c r="D1818" s="19">
        <f t="shared" si="280"/>
        <v>0.02469243684</v>
      </c>
      <c r="E1818" s="12"/>
      <c r="F1818" s="7"/>
      <c r="G1818" s="7"/>
      <c r="H1818" s="1"/>
      <c r="I1818" s="1"/>
      <c r="J1818" s="1"/>
      <c r="K1818" s="1"/>
      <c r="L1818" s="12">
        <f t="shared" si="281"/>
        <v>19980.95886</v>
      </c>
      <c r="M1818" s="12"/>
      <c r="N1818" s="15"/>
      <c r="O1818" s="1"/>
      <c r="Q1818" s="12"/>
      <c r="R1818" s="1"/>
    </row>
    <row r="1819" ht="12.75" hidden="1" customHeight="1" outlineLevel="1">
      <c r="A1819" s="122">
        <f t="shared" si="282"/>
        <v>43114</v>
      </c>
      <c r="B1819" s="120">
        <v>862000.0</v>
      </c>
      <c r="C1819" s="19">
        <f t="shared" si="279"/>
        <v>0</v>
      </c>
      <c r="D1819" s="19">
        <f t="shared" si="280"/>
        <v>0.02469243684</v>
      </c>
      <c r="E1819" s="12"/>
      <c r="F1819" s="7"/>
      <c r="G1819" s="7"/>
      <c r="H1819" s="1"/>
      <c r="I1819" s="1"/>
      <c r="J1819" s="1"/>
      <c r="K1819" s="1"/>
      <c r="L1819" s="12">
        <f t="shared" si="281"/>
        <v>19980.95886</v>
      </c>
      <c r="M1819" s="12"/>
      <c r="N1819" s="15"/>
      <c r="O1819" s="1"/>
      <c r="Q1819" s="12"/>
      <c r="R1819" s="1"/>
    </row>
    <row r="1820" ht="12.75" hidden="1" customHeight="1" outlineLevel="1">
      <c r="A1820" s="122">
        <f t="shared" si="282"/>
        <v>43115</v>
      </c>
      <c r="B1820" s="120">
        <v>862000.0</v>
      </c>
      <c r="C1820" s="19">
        <f t="shared" si="279"/>
        <v>0</v>
      </c>
      <c r="D1820" s="19">
        <f t="shared" si="280"/>
        <v>0.02469243684</v>
      </c>
      <c r="E1820" s="12"/>
      <c r="F1820" s="7"/>
      <c r="G1820" s="7"/>
      <c r="H1820" s="1"/>
      <c r="I1820" s="1"/>
      <c r="J1820" s="1"/>
      <c r="K1820" s="1"/>
      <c r="L1820" s="12">
        <f t="shared" si="281"/>
        <v>19980.95886</v>
      </c>
      <c r="M1820" s="12"/>
      <c r="N1820" s="15"/>
      <c r="O1820" s="1"/>
      <c r="Q1820" s="12"/>
      <c r="R1820" s="1"/>
    </row>
    <row r="1821" ht="12.75" hidden="1" customHeight="1" outlineLevel="1">
      <c r="A1821" s="122">
        <f t="shared" si="282"/>
        <v>43116</v>
      </c>
      <c r="B1821" s="120">
        <v>858031.7699999999</v>
      </c>
      <c r="C1821" s="19">
        <f t="shared" si="279"/>
        <v>-0.004603515081</v>
      </c>
      <c r="D1821" s="19">
        <f t="shared" si="280"/>
        <v>0.01997524975</v>
      </c>
      <c r="E1821" s="12"/>
      <c r="F1821" s="7"/>
      <c r="G1821" s="7"/>
      <c r="H1821" s="1"/>
      <c r="I1821" s="1"/>
      <c r="J1821" s="1"/>
      <c r="K1821" s="1"/>
      <c r="L1821" s="12">
        <f t="shared" si="281"/>
        <v>19888.97622</v>
      </c>
      <c r="M1821" s="12"/>
      <c r="N1821" s="15"/>
      <c r="O1821" s="1"/>
      <c r="Q1821" s="12"/>
      <c r="R1821" s="1"/>
    </row>
    <row r="1822" ht="12.75" hidden="1" customHeight="1" outlineLevel="1">
      <c r="A1822" s="122">
        <f t="shared" si="282"/>
        <v>43117</v>
      </c>
      <c r="B1822" s="120">
        <v>866556.92</v>
      </c>
      <c r="C1822" s="19">
        <f t="shared" si="279"/>
        <v>0.009935704362</v>
      </c>
      <c r="D1822" s="19">
        <f t="shared" si="280"/>
        <v>0.03010942229</v>
      </c>
      <c r="E1822" s="12"/>
      <c r="F1822" s="7"/>
      <c r="G1822" s="7"/>
      <c r="H1822" s="1"/>
      <c r="I1822" s="1"/>
      <c r="J1822" s="1"/>
      <c r="K1822" s="1"/>
      <c r="L1822" s="12">
        <f t="shared" si="281"/>
        <v>20086.5872</v>
      </c>
      <c r="M1822" s="12"/>
      <c r="N1822" s="15"/>
      <c r="O1822" s="1"/>
      <c r="Q1822" s="12"/>
      <c r="R1822" s="1"/>
    </row>
    <row r="1823" ht="12.75" hidden="1" customHeight="1" outlineLevel="1">
      <c r="A1823" s="122">
        <f t="shared" si="282"/>
        <v>43118</v>
      </c>
      <c r="B1823" s="120">
        <v>864321.7799999998</v>
      </c>
      <c r="C1823" s="19">
        <f t="shared" si="279"/>
        <v>-0.002579334315</v>
      </c>
      <c r="D1823" s="19">
        <f t="shared" si="280"/>
        <v>0.02745242571</v>
      </c>
      <c r="E1823" s="12"/>
      <c r="F1823" s="7"/>
      <c r="G1823" s="7"/>
      <c r="H1823" s="1"/>
      <c r="I1823" s="1"/>
      <c r="J1823" s="1"/>
      <c r="K1823" s="1"/>
      <c r="L1823" s="12">
        <f t="shared" si="281"/>
        <v>20034.77718</v>
      </c>
      <c r="M1823" s="12"/>
      <c r="N1823" s="15"/>
      <c r="O1823" s="1"/>
      <c r="Q1823" s="12"/>
      <c r="R1823" s="1"/>
    </row>
    <row r="1824" ht="12.75" hidden="1" customHeight="1" outlineLevel="1">
      <c r="A1824" s="122">
        <f t="shared" si="282"/>
        <v>43119</v>
      </c>
      <c r="B1824" s="120">
        <v>871813.6599999999</v>
      </c>
      <c r="C1824" s="19">
        <f t="shared" si="279"/>
        <v>0.008667929206</v>
      </c>
      <c r="D1824" s="19">
        <f t="shared" si="280"/>
        <v>0.0363583106</v>
      </c>
      <c r="E1824" s="12"/>
      <c r="F1824" s="7"/>
      <c r="G1824" s="7"/>
      <c r="H1824" s="1"/>
      <c r="I1824" s="1"/>
      <c r="J1824" s="1"/>
      <c r="K1824" s="1"/>
      <c r="L1824" s="12">
        <f t="shared" si="281"/>
        <v>20208.43721</v>
      </c>
      <c r="M1824" s="12"/>
      <c r="N1824" s="15"/>
      <c r="O1824" s="1"/>
      <c r="Q1824" s="12"/>
      <c r="R1824" s="1"/>
    </row>
    <row r="1825" ht="12.75" hidden="1" customHeight="1" outlineLevel="1">
      <c r="A1825" s="122">
        <f t="shared" si="282"/>
        <v>43120</v>
      </c>
      <c r="B1825" s="120">
        <v>871813.6599999999</v>
      </c>
      <c r="C1825" s="19">
        <f t="shared" si="279"/>
        <v>0</v>
      </c>
      <c r="D1825" s="19">
        <f t="shared" si="280"/>
        <v>0.0363583106</v>
      </c>
      <c r="E1825" s="12"/>
      <c r="F1825" s="7"/>
      <c r="G1825" s="7"/>
      <c r="H1825" s="1"/>
      <c r="I1825" s="1"/>
      <c r="J1825" s="1"/>
      <c r="K1825" s="1"/>
      <c r="L1825" s="12">
        <f t="shared" si="281"/>
        <v>20208.43721</v>
      </c>
      <c r="M1825" s="12"/>
      <c r="N1825" s="15"/>
      <c r="O1825" s="1"/>
      <c r="Q1825" s="12"/>
      <c r="R1825" s="1"/>
    </row>
    <row r="1826" ht="12.75" hidden="1" customHeight="1" outlineLevel="1">
      <c r="A1826" s="122">
        <f t="shared" si="282"/>
        <v>43121</v>
      </c>
      <c r="B1826" s="120">
        <v>871813.6599999999</v>
      </c>
      <c r="C1826" s="19">
        <f t="shared" si="279"/>
        <v>0</v>
      </c>
      <c r="D1826" s="19">
        <f t="shared" si="280"/>
        <v>0.0363583106</v>
      </c>
      <c r="E1826" s="12"/>
      <c r="F1826" s="7"/>
      <c r="G1826" s="7"/>
      <c r="H1826" s="1"/>
      <c r="I1826" s="1"/>
      <c r="J1826" s="1"/>
      <c r="K1826" s="1"/>
      <c r="L1826" s="12">
        <f t="shared" si="281"/>
        <v>20208.43721</v>
      </c>
      <c r="M1826" s="12"/>
      <c r="N1826" s="15"/>
      <c r="O1826" s="1"/>
      <c r="Q1826" s="12"/>
      <c r="R1826" s="1"/>
    </row>
    <row r="1827" ht="12.75" hidden="1" customHeight="1" outlineLevel="1">
      <c r="A1827" s="122">
        <f t="shared" si="282"/>
        <v>43122</v>
      </c>
      <c r="B1827" s="120">
        <v>871813.6599999999</v>
      </c>
      <c r="C1827" s="19">
        <f t="shared" si="279"/>
        <v>0</v>
      </c>
      <c r="D1827" s="19">
        <f t="shared" si="280"/>
        <v>0.0363583106</v>
      </c>
      <c r="E1827" s="12"/>
      <c r="F1827" s="7"/>
      <c r="G1827" s="7"/>
      <c r="H1827" s="1"/>
      <c r="I1827" s="1"/>
      <c r="J1827" s="1"/>
      <c r="K1827" s="1"/>
      <c r="L1827" s="12">
        <f t="shared" si="281"/>
        <v>20208.43721</v>
      </c>
      <c r="M1827" s="12"/>
      <c r="N1827" s="15"/>
      <c r="O1827" s="1"/>
      <c r="Q1827" s="12"/>
      <c r="R1827" s="1"/>
    </row>
    <row r="1828" ht="12.75" hidden="1" customHeight="1" outlineLevel="1">
      <c r="A1828" s="122">
        <f t="shared" si="282"/>
        <v>43123</v>
      </c>
      <c r="B1828" s="120">
        <v>871813.6599999999</v>
      </c>
      <c r="C1828" s="19">
        <f t="shared" si="279"/>
        <v>0</v>
      </c>
      <c r="D1828" s="19">
        <f t="shared" si="280"/>
        <v>0.0363583106</v>
      </c>
      <c r="E1828" s="12"/>
      <c r="F1828" s="7"/>
      <c r="G1828" s="7"/>
      <c r="H1828" s="1"/>
      <c r="I1828" s="1"/>
      <c r="J1828" s="1"/>
      <c r="K1828" s="1"/>
      <c r="L1828" s="12">
        <f t="shared" si="281"/>
        <v>20208.43721</v>
      </c>
      <c r="M1828" s="12"/>
      <c r="N1828" s="15"/>
      <c r="O1828" s="1"/>
      <c r="Q1828" s="12"/>
      <c r="R1828" s="1"/>
    </row>
    <row r="1829" ht="12.75" hidden="1" customHeight="1" outlineLevel="1">
      <c r="A1829" s="122">
        <f t="shared" si="282"/>
        <v>43124</v>
      </c>
      <c r="B1829" s="120">
        <v>874000.0</v>
      </c>
      <c r="C1829" s="19">
        <f t="shared" si="279"/>
        <v>0.002507806542</v>
      </c>
      <c r="D1829" s="19">
        <f t="shared" si="280"/>
        <v>0.03895729675</v>
      </c>
      <c r="E1829" s="12"/>
      <c r="F1829" s="7"/>
      <c r="G1829" s="7"/>
      <c r="H1829" s="1"/>
      <c r="I1829" s="1"/>
      <c r="J1829" s="1"/>
      <c r="K1829" s="1"/>
      <c r="L1829" s="12">
        <f t="shared" si="281"/>
        <v>20259.11606</v>
      </c>
      <c r="M1829" s="12"/>
      <c r="N1829" s="15"/>
      <c r="O1829" s="1"/>
      <c r="Q1829" s="12"/>
      <c r="R1829" s="1"/>
    </row>
    <row r="1830" ht="12.75" hidden="1" customHeight="1" outlineLevel="1">
      <c r="A1830" s="122">
        <f t="shared" si="282"/>
        <v>43125</v>
      </c>
      <c r="B1830" s="120">
        <v>868466.4499999998</v>
      </c>
      <c r="C1830" s="19">
        <f t="shared" si="279"/>
        <v>-0.006331292906</v>
      </c>
      <c r="D1830" s="19">
        <f t="shared" si="280"/>
        <v>0.03237935379</v>
      </c>
      <c r="E1830" s="12"/>
      <c r="F1830" s="7"/>
      <c r="G1830" s="7"/>
      <c r="H1830" s="1"/>
      <c r="I1830" s="1"/>
      <c r="J1830" s="1"/>
      <c r="K1830" s="1"/>
      <c r="L1830" s="12">
        <f t="shared" si="281"/>
        <v>20130.84966</v>
      </c>
      <c r="M1830" s="12"/>
      <c r="N1830" s="15"/>
      <c r="O1830" s="1"/>
      <c r="Q1830" s="12"/>
      <c r="R1830" s="1"/>
    </row>
    <row r="1831" ht="12.75" hidden="1" customHeight="1" outlineLevel="1">
      <c r="A1831" s="122">
        <f t="shared" si="282"/>
        <v>43126</v>
      </c>
      <c r="B1831" s="120">
        <v>873722.3300000001</v>
      </c>
      <c r="C1831" s="19">
        <f t="shared" si="279"/>
        <v>0.006051909086</v>
      </c>
      <c r="D1831" s="19">
        <f t="shared" si="280"/>
        <v>0.03862721978</v>
      </c>
      <c r="E1831" s="12"/>
      <c r="F1831" s="7"/>
      <c r="G1831" s="7"/>
      <c r="H1831" s="1"/>
      <c r="I1831" s="1"/>
      <c r="J1831" s="1"/>
      <c r="K1831" s="1"/>
      <c r="L1831" s="12">
        <f t="shared" si="281"/>
        <v>20252.67974</v>
      </c>
      <c r="M1831" s="12"/>
      <c r="N1831" s="15"/>
      <c r="O1831" s="1"/>
      <c r="Q1831" s="12"/>
      <c r="R1831" s="1"/>
    </row>
    <row r="1832" ht="12.75" hidden="1" customHeight="1" outlineLevel="1">
      <c r="A1832" s="122">
        <f t="shared" si="282"/>
        <v>43127</v>
      </c>
      <c r="B1832" s="120">
        <v>873722.3300000001</v>
      </c>
      <c r="C1832" s="19">
        <f t="shared" si="279"/>
        <v>0</v>
      </c>
      <c r="D1832" s="19">
        <f t="shared" si="280"/>
        <v>0.03862721978</v>
      </c>
      <c r="E1832" s="12"/>
      <c r="F1832" s="7"/>
      <c r="G1832" s="7"/>
      <c r="H1832" s="1"/>
      <c r="I1832" s="1"/>
      <c r="J1832" s="1"/>
      <c r="K1832" s="1"/>
      <c r="L1832" s="12">
        <f t="shared" si="281"/>
        <v>20252.67974</v>
      </c>
      <c r="M1832" s="12"/>
      <c r="N1832" s="15"/>
      <c r="O1832" s="1"/>
      <c r="Q1832" s="12"/>
      <c r="R1832" s="1"/>
    </row>
    <row r="1833" ht="12.75" hidden="1" customHeight="1" outlineLevel="1">
      <c r="A1833" s="122">
        <f t="shared" si="282"/>
        <v>43128</v>
      </c>
      <c r="B1833" s="120">
        <v>873722.3300000001</v>
      </c>
      <c r="C1833" s="19">
        <f t="shared" si="279"/>
        <v>0</v>
      </c>
      <c r="D1833" s="19">
        <f t="shared" si="280"/>
        <v>0.03862721978</v>
      </c>
      <c r="E1833" s="12"/>
      <c r="F1833" s="7"/>
      <c r="G1833" s="7"/>
      <c r="H1833" s="1"/>
      <c r="I1833" s="1"/>
      <c r="J1833" s="1"/>
      <c r="K1833" s="1"/>
      <c r="L1833" s="12">
        <f t="shared" si="281"/>
        <v>20252.67974</v>
      </c>
      <c r="M1833" s="12"/>
      <c r="N1833" s="15"/>
      <c r="O1833" s="1"/>
      <c r="Q1833" s="12"/>
      <c r="R1833" s="1"/>
    </row>
    <row r="1834" ht="12.75" hidden="1" customHeight="1" outlineLevel="1">
      <c r="A1834" s="122">
        <f t="shared" si="282"/>
        <v>43129</v>
      </c>
      <c r="B1834" s="120">
        <v>873722.3300000001</v>
      </c>
      <c r="C1834" s="19">
        <f t="shared" si="279"/>
        <v>0</v>
      </c>
      <c r="D1834" s="19">
        <f t="shared" si="280"/>
        <v>0.03862721978</v>
      </c>
      <c r="E1834" s="12"/>
      <c r="F1834" s="7"/>
      <c r="G1834" s="7"/>
      <c r="H1834" s="1"/>
      <c r="I1834" s="1"/>
      <c r="J1834" s="1"/>
      <c r="K1834" s="1"/>
      <c r="L1834" s="12">
        <f t="shared" si="281"/>
        <v>20252.67974</v>
      </c>
      <c r="M1834" s="12"/>
      <c r="N1834" s="15"/>
      <c r="O1834" s="1"/>
      <c r="Q1834" s="12"/>
      <c r="R1834" s="1"/>
    </row>
    <row r="1835" ht="12.75" hidden="1" customHeight="1" outlineLevel="1">
      <c r="A1835" s="122">
        <f t="shared" si="282"/>
        <v>43130</v>
      </c>
      <c r="B1835" s="120">
        <v>867600.0</v>
      </c>
      <c r="C1835" s="19">
        <f t="shared" si="279"/>
        <v>-0.007007180416</v>
      </c>
      <c r="D1835" s="19">
        <f t="shared" si="280"/>
        <v>0.03134937147</v>
      </c>
      <c r="E1835" s="12"/>
      <c r="F1835" s="7"/>
      <c r="G1835" s="7"/>
      <c r="H1835" s="1"/>
      <c r="I1835" s="1"/>
      <c r="J1835" s="1"/>
      <c r="K1835" s="1"/>
      <c r="L1835" s="12">
        <f t="shared" si="281"/>
        <v>20110.76556</v>
      </c>
      <c r="M1835" s="12"/>
      <c r="N1835" s="15"/>
      <c r="O1835" s="1"/>
      <c r="Q1835" s="12"/>
      <c r="R1835" s="1"/>
    </row>
    <row r="1836" ht="12.75" hidden="1" customHeight="1" outlineLevel="1">
      <c r="A1836" s="122">
        <f t="shared" si="282"/>
        <v>43131</v>
      </c>
      <c r="B1836" s="120">
        <v>868281.55</v>
      </c>
      <c r="C1836" s="19">
        <f t="shared" si="279"/>
        <v>0.0007855578608</v>
      </c>
      <c r="D1836" s="19">
        <f t="shared" si="280"/>
        <v>0.03215955607</v>
      </c>
      <c r="E1836" s="12"/>
      <c r="F1836" s="7"/>
      <c r="G1836" s="7"/>
      <c r="H1836" s="1"/>
      <c r="I1836" s="1"/>
      <c r="J1836" s="1"/>
      <c r="K1836" s="1"/>
      <c r="L1836" s="12">
        <f t="shared" si="281"/>
        <v>20126.56372</v>
      </c>
      <c r="M1836" s="12"/>
      <c r="N1836" s="15"/>
      <c r="O1836" s="1"/>
      <c r="Q1836" s="12"/>
      <c r="R1836" s="1"/>
    </row>
    <row r="1837" ht="12.75" hidden="1" customHeight="1" outlineLevel="1">
      <c r="A1837" s="122"/>
      <c r="B1837" s="12"/>
      <c r="C1837" s="1"/>
      <c r="D1837" s="1"/>
      <c r="E1837" s="12"/>
      <c r="F1837" s="7"/>
      <c r="G1837" s="7"/>
      <c r="H1837" s="1"/>
      <c r="I1837" s="1"/>
      <c r="J1837" s="1"/>
      <c r="K1837" s="1"/>
      <c r="L1837" s="12"/>
      <c r="M1837" s="12"/>
      <c r="N1837" s="15"/>
      <c r="O1837" s="1"/>
      <c r="Q1837" s="12"/>
      <c r="R1837" s="1"/>
    </row>
    <row r="1838" ht="12.75" hidden="1" customHeight="1" outlineLevel="1">
      <c r="A1838" s="122"/>
      <c r="B1838" s="12">
        <f>B1836+P1838-Q1838</f>
        <v>868281.55</v>
      </c>
      <c r="C1838" s="1"/>
      <c r="D1838" s="1"/>
      <c r="E1838" s="12"/>
      <c r="F1838" s="7"/>
      <c r="G1838" s="7"/>
      <c r="H1838" s="1"/>
      <c r="I1838" s="1"/>
      <c r="J1838" s="1"/>
      <c r="K1838" s="1"/>
      <c r="L1838" s="12"/>
      <c r="M1838" s="12"/>
      <c r="N1838" s="15"/>
      <c r="O1838" s="1"/>
      <c r="Q1838" s="12"/>
      <c r="R1838" s="1"/>
    </row>
    <row r="1839" ht="12.75" hidden="1" customHeight="1" outlineLevel="1">
      <c r="A1839" s="122">
        <f>A1836+1</f>
        <v>43132</v>
      </c>
      <c r="B1839" s="120">
        <v>868000.0</v>
      </c>
      <c r="C1839" s="19">
        <f t="shared" ref="C1839:C1866" si="283">(B1839/B1838)-1</f>
        <v>-0.00032426118</v>
      </c>
      <c r="D1839" s="19">
        <f t="shared" ref="D1839:D1866" si="284">(B1839/$B$1838)-1</f>
        <v>-0.00032426118</v>
      </c>
      <c r="E1839" s="12"/>
      <c r="F1839" s="7"/>
      <c r="G1839" s="7"/>
      <c r="H1839" s="1"/>
      <c r="I1839" s="1"/>
      <c r="J1839" s="1"/>
      <c r="K1839" s="1"/>
      <c r="L1839" s="12">
        <f t="shared" ref="L1839:L1866" si="285">IF(C1838="",L1836*(1+C1839),L1838*(1+C1839))</f>
        <v>20120.03746</v>
      </c>
      <c r="M1839" s="12"/>
      <c r="N1839" s="15"/>
      <c r="O1839" s="1"/>
      <c r="Q1839" s="12"/>
      <c r="R1839" s="1"/>
    </row>
    <row r="1840" ht="12.75" hidden="1" customHeight="1" outlineLevel="1">
      <c r="A1840" s="122">
        <f t="shared" ref="A1840:A1866" si="286">A1839+1</f>
        <v>43133</v>
      </c>
      <c r="B1840" s="120">
        <v>858000.0</v>
      </c>
      <c r="C1840" s="19">
        <f t="shared" si="283"/>
        <v>-0.01152073733</v>
      </c>
      <c r="D1840" s="19">
        <f t="shared" si="284"/>
        <v>-0.01184126278</v>
      </c>
      <c r="E1840" s="12"/>
      <c r="F1840" s="7"/>
      <c r="G1840" s="7"/>
      <c r="H1840" s="1"/>
      <c r="I1840" s="1"/>
      <c r="J1840" s="1"/>
      <c r="K1840" s="1"/>
      <c r="L1840" s="12">
        <f t="shared" si="285"/>
        <v>19888.2398</v>
      </c>
      <c r="M1840" s="12"/>
      <c r="N1840" s="15"/>
      <c r="O1840" s="1"/>
      <c r="Q1840" s="12"/>
      <c r="R1840" s="1"/>
    </row>
    <row r="1841" ht="12.75" hidden="1" customHeight="1" outlineLevel="1">
      <c r="A1841" s="122">
        <f t="shared" si="286"/>
        <v>43134</v>
      </c>
      <c r="B1841" s="120">
        <v>848600.0</v>
      </c>
      <c r="C1841" s="19">
        <f t="shared" si="283"/>
        <v>-0.01095571096</v>
      </c>
      <c r="D1841" s="19">
        <f t="shared" si="284"/>
        <v>-0.02266724428</v>
      </c>
      <c r="E1841" s="12"/>
      <c r="F1841" s="7"/>
      <c r="G1841" s="7"/>
      <c r="H1841" s="1"/>
      <c r="I1841" s="1"/>
      <c r="J1841" s="1"/>
      <c r="K1841" s="1"/>
      <c r="L1841" s="12">
        <f t="shared" si="285"/>
        <v>19670.34999</v>
      </c>
      <c r="M1841" s="12"/>
      <c r="N1841" s="15"/>
      <c r="O1841" s="1"/>
      <c r="Q1841" s="12"/>
      <c r="R1841" s="1"/>
    </row>
    <row r="1842" ht="12.75" hidden="1" customHeight="1" outlineLevel="1">
      <c r="A1842" s="122">
        <f t="shared" si="286"/>
        <v>43135</v>
      </c>
      <c r="B1842" s="120">
        <v>817000.0</v>
      </c>
      <c r="C1842" s="19">
        <f t="shared" si="283"/>
        <v>-0.03723780344</v>
      </c>
      <c r="D1842" s="19">
        <f t="shared" si="284"/>
        <v>-0.05906096934</v>
      </c>
      <c r="E1842" s="12"/>
      <c r="F1842" s="7"/>
      <c r="G1842" s="7"/>
      <c r="H1842" s="1"/>
      <c r="I1842" s="1"/>
      <c r="J1842" s="1"/>
      <c r="K1842" s="1"/>
      <c r="L1842" s="12">
        <f t="shared" si="285"/>
        <v>18937.86936</v>
      </c>
      <c r="M1842" s="12"/>
      <c r="N1842" s="15"/>
      <c r="O1842" s="1"/>
      <c r="Q1842" s="12"/>
      <c r="R1842" s="1"/>
    </row>
    <row r="1843" ht="12.75" hidden="1" customHeight="1" outlineLevel="1">
      <c r="A1843" s="122">
        <f t="shared" si="286"/>
        <v>43136</v>
      </c>
      <c r="B1843" s="120">
        <v>817000.0</v>
      </c>
      <c r="C1843" s="19">
        <f t="shared" si="283"/>
        <v>0</v>
      </c>
      <c r="D1843" s="19">
        <f t="shared" si="284"/>
        <v>-0.05906096934</v>
      </c>
      <c r="E1843" s="12"/>
      <c r="F1843" s="7"/>
      <c r="G1843" s="7"/>
      <c r="H1843" s="1"/>
      <c r="I1843" s="1"/>
      <c r="J1843" s="1"/>
      <c r="K1843" s="1"/>
      <c r="L1843" s="12">
        <f t="shared" si="285"/>
        <v>18937.86936</v>
      </c>
      <c r="M1843" s="12"/>
      <c r="N1843" s="15"/>
      <c r="O1843" s="1"/>
      <c r="Q1843" s="12"/>
      <c r="R1843" s="1"/>
    </row>
    <row r="1844" ht="12.75" hidden="1" customHeight="1" outlineLevel="1">
      <c r="A1844" s="122">
        <f t="shared" si="286"/>
        <v>43137</v>
      </c>
      <c r="B1844" s="120">
        <v>832304.0400000002</v>
      </c>
      <c r="C1844" s="19">
        <f t="shared" si="283"/>
        <v>0.0187319951</v>
      </c>
      <c r="D1844" s="19">
        <f t="shared" si="284"/>
        <v>-0.04143530402</v>
      </c>
      <c r="E1844" s="12"/>
      <c r="F1844" s="7"/>
      <c r="G1844" s="7"/>
      <c r="H1844" s="1"/>
      <c r="I1844" s="1"/>
      <c r="J1844" s="1"/>
      <c r="K1844" s="1"/>
      <c r="L1844" s="12">
        <f t="shared" si="285"/>
        <v>19292.61344</v>
      </c>
      <c r="M1844" s="12"/>
      <c r="N1844" s="15"/>
      <c r="O1844" s="1"/>
      <c r="Q1844" s="12"/>
      <c r="R1844" s="1"/>
    </row>
    <row r="1845" ht="12.75" hidden="1" customHeight="1" outlineLevel="1">
      <c r="A1845" s="122">
        <f t="shared" si="286"/>
        <v>43138</v>
      </c>
      <c r="B1845" s="120">
        <v>829149.3399999999</v>
      </c>
      <c r="C1845" s="19">
        <f t="shared" si="283"/>
        <v>-0.003790321623</v>
      </c>
      <c r="D1845" s="19">
        <f t="shared" si="284"/>
        <v>-0.04506857252</v>
      </c>
      <c r="E1845" s="12"/>
      <c r="F1845" s="7"/>
      <c r="G1845" s="7"/>
      <c r="H1845" s="1"/>
      <c r="I1845" s="1"/>
      <c r="J1845" s="1"/>
      <c r="K1845" s="1"/>
      <c r="L1845" s="12">
        <f t="shared" si="285"/>
        <v>19219.48823</v>
      </c>
      <c r="M1845" s="12"/>
      <c r="N1845" s="15"/>
      <c r="O1845" s="1"/>
      <c r="Q1845" s="12"/>
      <c r="R1845" s="1"/>
    </row>
    <row r="1846" ht="12.75" hidden="1" customHeight="1" outlineLevel="1">
      <c r="A1846" s="122">
        <f t="shared" si="286"/>
        <v>43139</v>
      </c>
      <c r="B1846" s="120">
        <v>806000.0</v>
      </c>
      <c r="C1846" s="19">
        <f t="shared" si="283"/>
        <v>-0.02791938543</v>
      </c>
      <c r="D1846" s="19">
        <f t="shared" si="284"/>
        <v>-0.0717296711</v>
      </c>
      <c r="E1846" s="12"/>
      <c r="F1846" s="7"/>
      <c r="G1846" s="7"/>
      <c r="H1846" s="1"/>
      <c r="I1846" s="1"/>
      <c r="J1846" s="1"/>
      <c r="K1846" s="1"/>
      <c r="L1846" s="12">
        <f t="shared" si="285"/>
        <v>18682.89193</v>
      </c>
      <c r="M1846" s="12"/>
      <c r="N1846" s="15"/>
      <c r="O1846" s="1"/>
      <c r="Q1846" s="12"/>
      <c r="R1846" s="1"/>
    </row>
    <row r="1847" ht="12.75" hidden="1" customHeight="1" outlineLevel="1">
      <c r="A1847" s="122">
        <f t="shared" si="286"/>
        <v>43140</v>
      </c>
      <c r="B1847" s="120">
        <v>813000.0</v>
      </c>
      <c r="C1847" s="19">
        <f t="shared" si="283"/>
        <v>0.008684863524</v>
      </c>
      <c r="D1847" s="19">
        <f t="shared" si="284"/>
        <v>-0.06366776998</v>
      </c>
      <c r="E1847" s="12"/>
      <c r="F1847" s="7"/>
      <c r="G1847" s="7"/>
      <c r="H1847" s="1"/>
      <c r="I1847" s="1"/>
      <c r="J1847" s="1"/>
      <c r="K1847" s="1"/>
      <c r="L1847" s="12">
        <f t="shared" si="285"/>
        <v>18845.1503</v>
      </c>
      <c r="M1847" s="12"/>
      <c r="N1847" s="15"/>
      <c r="O1847" s="1"/>
      <c r="Q1847" s="12"/>
      <c r="R1847" s="1"/>
    </row>
    <row r="1848" ht="12.75" hidden="1" customHeight="1" outlineLevel="1">
      <c r="A1848" s="122">
        <f t="shared" si="286"/>
        <v>43141</v>
      </c>
      <c r="B1848" s="120">
        <v>813000.0</v>
      </c>
      <c r="C1848" s="19">
        <f t="shared" si="283"/>
        <v>0</v>
      </c>
      <c r="D1848" s="19">
        <f t="shared" si="284"/>
        <v>-0.06366776998</v>
      </c>
      <c r="E1848" s="12"/>
      <c r="F1848" s="7"/>
      <c r="G1848" s="7"/>
      <c r="H1848" s="1"/>
      <c r="I1848" s="1"/>
      <c r="J1848" s="1"/>
      <c r="K1848" s="1"/>
      <c r="L1848" s="12">
        <f t="shared" si="285"/>
        <v>18845.1503</v>
      </c>
      <c r="M1848" s="12"/>
      <c r="N1848" s="15"/>
      <c r="O1848" s="1"/>
      <c r="Q1848" s="12"/>
      <c r="R1848" s="1"/>
    </row>
    <row r="1849" ht="12.75" hidden="1" customHeight="1" outlineLevel="1">
      <c r="A1849" s="122">
        <f t="shared" si="286"/>
        <v>43142</v>
      </c>
      <c r="B1849" s="120">
        <v>813000.0</v>
      </c>
      <c r="C1849" s="19">
        <f t="shared" si="283"/>
        <v>0</v>
      </c>
      <c r="D1849" s="19">
        <f t="shared" si="284"/>
        <v>-0.06366776998</v>
      </c>
      <c r="E1849" s="12"/>
      <c r="F1849" s="7"/>
      <c r="G1849" s="7"/>
      <c r="H1849" s="1"/>
      <c r="I1849" s="1"/>
      <c r="J1849" s="1"/>
      <c r="K1849" s="1"/>
      <c r="L1849" s="12">
        <f t="shared" si="285"/>
        <v>18845.1503</v>
      </c>
      <c r="M1849" s="12"/>
      <c r="N1849" s="15"/>
      <c r="O1849" s="1"/>
      <c r="Q1849" s="12"/>
      <c r="R1849" s="1"/>
    </row>
    <row r="1850" ht="12.75" hidden="1" customHeight="1" outlineLevel="1">
      <c r="A1850" s="122">
        <f t="shared" si="286"/>
        <v>43143</v>
      </c>
      <c r="B1850" s="120">
        <v>823416.9499999998</v>
      </c>
      <c r="C1850" s="19">
        <f t="shared" si="283"/>
        <v>0.01281297663</v>
      </c>
      <c r="D1850" s="19">
        <f t="shared" si="284"/>
        <v>-0.051670567</v>
      </c>
      <c r="E1850" s="12"/>
      <c r="F1850" s="7"/>
      <c r="G1850" s="7"/>
      <c r="H1850" s="1"/>
      <c r="I1850" s="1"/>
      <c r="J1850" s="1"/>
      <c r="K1850" s="1"/>
      <c r="L1850" s="12">
        <f t="shared" si="285"/>
        <v>19086.61277</v>
      </c>
      <c r="M1850" s="12"/>
      <c r="N1850" s="15"/>
      <c r="O1850" s="1"/>
      <c r="Q1850" s="12"/>
      <c r="R1850" s="1"/>
    </row>
    <row r="1851" ht="12.75" hidden="1" customHeight="1" outlineLevel="1">
      <c r="A1851" s="122">
        <f t="shared" si="286"/>
        <v>43144</v>
      </c>
      <c r="B1851" s="120">
        <v>823416.9499999998</v>
      </c>
      <c r="C1851" s="19">
        <f t="shared" si="283"/>
        <v>0</v>
      </c>
      <c r="D1851" s="19">
        <f t="shared" si="284"/>
        <v>-0.051670567</v>
      </c>
      <c r="E1851" s="12"/>
      <c r="F1851" s="7"/>
      <c r="G1851" s="7"/>
      <c r="H1851" s="1"/>
      <c r="I1851" s="1"/>
      <c r="J1851" s="1"/>
      <c r="K1851" s="1"/>
      <c r="L1851" s="12">
        <f t="shared" si="285"/>
        <v>19086.61277</v>
      </c>
      <c r="M1851" s="12"/>
      <c r="N1851" s="15"/>
      <c r="O1851" s="1"/>
      <c r="Q1851" s="12"/>
      <c r="R1851" s="1"/>
    </row>
    <row r="1852" ht="12.75" hidden="1" customHeight="1" outlineLevel="1">
      <c r="A1852" s="122">
        <f t="shared" si="286"/>
        <v>43145</v>
      </c>
      <c r="B1852" s="120">
        <v>834981.87</v>
      </c>
      <c r="C1852" s="19">
        <f t="shared" si="283"/>
        <v>0.01404503514</v>
      </c>
      <c r="D1852" s="19">
        <f t="shared" si="284"/>
        <v>-0.03835124678</v>
      </c>
      <c r="E1852" s="12"/>
      <c r="F1852" s="7"/>
      <c r="G1852" s="7"/>
      <c r="H1852" s="1"/>
      <c r="I1852" s="1"/>
      <c r="J1852" s="1"/>
      <c r="K1852" s="1"/>
      <c r="L1852" s="12">
        <f t="shared" si="285"/>
        <v>19354.68491</v>
      </c>
      <c r="M1852" s="12"/>
      <c r="N1852" s="15"/>
      <c r="O1852" s="1"/>
      <c r="Q1852" s="12"/>
      <c r="R1852" s="1"/>
    </row>
    <row r="1853" ht="12.75" hidden="1" customHeight="1" outlineLevel="1">
      <c r="A1853" s="122">
        <f t="shared" si="286"/>
        <v>43146</v>
      </c>
      <c r="B1853" s="120">
        <v>842627.63</v>
      </c>
      <c r="C1853" s="19">
        <f t="shared" si="283"/>
        <v>0.00915679762</v>
      </c>
      <c r="D1853" s="19">
        <f t="shared" si="284"/>
        <v>-0.02954562377</v>
      </c>
      <c r="E1853" s="12"/>
      <c r="F1853" s="7"/>
      <c r="G1853" s="7"/>
      <c r="H1853" s="1"/>
      <c r="I1853" s="1"/>
      <c r="J1853" s="1"/>
      <c r="K1853" s="1"/>
      <c r="L1853" s="12">
        <f t="shared" si="285"/>
        <v>19531.91185</v>
      </c>
      <c r="M1853" s="12"/>
      <c r="N1853" s="15"/>
      <c r="O1853" s="1"/>
      <c r="Q1853" s="12"/>
      <c r="R1853" s="1"/>
    </row>
    <row r="1854" ht="12.75" hidden="1" customHeight="1" outlineLevel="1">
      <c r="A1854" s="122">
        <f t="shared" si="286"/>
        <v>43147</v>
      </c>
      <c r="B1854" s="120">
        <v>842627.63</v>
      </c>
      <c r="C1854" s="19">
        <f t="shared" si="283"/>
        <v>0</v>
      </c>
      <c r="D1854" s="19">
        <f t="shared" si="284"/>
        <v>-0.02954562377</v>
      </c>
      <c r="E1854" s="12"/>
      <c r="F1854" s="7"/>
      <c r="G1854" s="7"/>
      <c r="H1854" s="1"/>
      <c r="I1854" s="1"/>
      <c r="J1854" s="1"/>
      <c r="K1854" s="1"/>
      <c r="L1854" s="12">
        <f t="shared" si="285"/>
        <v>19531.91185</v>
      </c>
      <c r="M1854" s="12"/>
      <c r="N1854" s="15"/>
      <c r="O1854" s="1"/>
      <c r="Q1854" s="12"/>
      <c r="R1854" s="1"/>
    </row>
    <row r="1855" ht="12.75" hidden="1" customHeight="1" outlineLevel="1">
      <c r="A1855" s="122">
        <f t="shared" si="286"/>
        <v>43148</v>
      </c>
      <c r="B1855" s="120">
        <v>842627.63</v>
      </c>
      <c r="C1855" s="19">
        <f t="shared" si="283"/>
        <v>0</v>
      </c>
      <c r="D1855" s="19">
        <f t="shared" si="284"/>
        <v>-0.02954562377</v>
      </c>
      <c r="E1855" s="12"/>
      <c r="F1855" s="7"/>
      <c r="G1855" s="7"/>
      <c r="H1855" s="1"/>
      <c r="I1855" s="1"/>
      <c r="J1855" s="1"/>
      <c r="K1855" s="1"/>
      <c r="L1855" s="12">
        <f t="shared" si="285"/>
        <v>19531.91185</v>
      </c>
      <c r="M1855" s="12"/>
      <c r="N1855" s="15"/>
      <c r="O1855" s="1"/>
      <c r="Q1855" s="12"/>
      <c r="R1855" s="1"/>
    </row>
    <row r="1856" ht="12.75" hidden="1" customHeight="1" outlineLevel="1">
      <c r="A1856" s="122">
        <f t="shared" si="286"/>
        <v>43149</v>
      </c>
      <c r="B1856" s="120">
        <v>842627.63</v>
      </c>
      <c r="C1856" s="19">
        <f t="shared" si="283"/>
        <v>0</v>
      </c>
      <c r="D1856" s="19">
        <f t="shared" si="284"/>
        <v>-0.02954562377</v>
      </c>
      <c r="E1856" s="12"/>
      <c r="F1856" s="7"/>
      <c r="G1856" s="7"/>
      <c r="H1856" s="1"/>
      <c r="I1856" s="1"/>
      <c r="J1856" s="1"/>
      <c r="K1856" s="1"/>
      <c r="L1856" s="12">
        <f t="shared" si="285"/>
        <v>19531.91185</v>
      </c>
      <c r="M1856" s="12"/>
      <c r="N1856" s="15"/>
      <c r="O1856" s="1"/>
      <c r="Q1856" s="12"/>
      <c r="R1856" s="1"/>
    </row>
    <row r="1857" ht="12.75" hidden="1" customHeight="1" outlineLevel="1">
      <c r="A1857" s="122">
        <f t="shared" si="286"/>
        <v>43150</v>
      </c>
      <c r="B1857" s="120">
        <v>842627.63</v>
      </c>
      <c r="C1857" s="19">
        <f t="shared" si="283"/>
        <v>0</v>
      </c>
      <c r="D1857" s="19">
        <f t="shared" si="284"/>
        <v>-0.02954562377</v>
      </c>
      <c r="E1857" s="12"/>
      <c r="F1857" s="7"/>
      <c r="G1857" s="7"/>
      <c r="H1857" s="1"/>
      <c r="I1857" s="1"/>
      <c r="J1857" s="1"/>
      <c r="K1857" s="1"/>
      <c r="L1857" s="12">
        <f t="shared" si="285"/>
        <v>19531.91185</v>
      </c>
      <c r="M1857" s="12"/>
      <c r="N1857" s="15"/>
      <c r="O1857" s="1"/>
      <c r="Q1857" s="12"/>
      <c r="R1857" s="1"/>
    </row>
    <row r="1858" ht="12.75" hidden="1" customHeight="1" outlineLevel="1">
      <c r="A1858" s="122">
        <f t="shared" si="286"/>
        <v>43151</v>
      </c>
      <c r="B1858" s="120">
        <v>842627.63</v>
      </c>
      <c r="C1858" s="19">
        <f t="shared" si="283"/>
        <v>0</v>
      </c>
      <c r="D1858" s="19">
        <f t="shared" si="284"/>
        <v>-0.02954562377</v>
      </c>
      <c r="E1858" s="12"/>
      <c r="F1858" s="7"/>
      <c r="G1858" s="7"/>
      <c r="H1858" s="1"/>
      <c r="I1858" s="1"/>
      <c r="J1858" s="1"/>
      <c r="K1858" s="1"/>
      <c r="L1858" s="12">
        <f t="shared" si="285"/>
        <v>19531.91185</v>
      </c>
      <c r="M1858" s="12"/>
      <c r="N1858" s="15"/>
      <c r="O1858" s="1"/>
      <c r="Q1858" s="12"/>
      <c r="R1858" s="1"/>
    </row>
    <row r="1859" ht="12.75" hidden="1" customHeight="1" outlineLevel="1">
      <c r="A1859" s="122">
        <f t="shared" si="286"/>
        <v>43152</v>
      </c>
      <c r="B1859" s="120">
        <v>841428.9700000001</v>
      </c>
      <c r="C1859" s="19">
        <f t="shared" si="283"/>
        <v>-0.001422526342</v>
      </c>
      <c r="D1859" s="19">
        <f t="shared" si="284"/>
        <v>-0.03092612068</v>
      </c>
      <c r="E1859" s="12"/>
      <c r="F1859" s="7"/>
      <c r="G1859" s="7"/>
      <c r="H1859" s="1"/>
      <c r="I1859" s="1"/>
      <c r="J1859" s="1"/>
      <c r="K1859" s="1"/>
      <c r="L1859" s="12">
        <f t="shared" si="285"/>
        <v>19504.12719</v>
      </c>
      <c r="M1859" s="12"/>
      <c r="N1859" s="15"/>
      <c r="O1859" s="1"/>
      <c r="Q1859" s="12"/>
      <c r="R1859" s="1"/>
    </row>
    <row r="1860" ht="12.75" hidden="1" customHeight="1" outlineLevel="1">
      <c r="A1860" s="122">
        <f t="shared" si="286"/>
        <v>43153</v>
      </c>
      <c r="B1860" s="120">
        <v>841428.9700000001</v>
      </c>
      <c r="C1860" s="19">
        <f t="shared" si="283"/>
        <v>0</v>
      </c>
      <c r="D1860" s="19">
        <f t="shared" si="284"/>
        <v>-0.03092612068</v>
      </c>
      <c r="E1860" s="12"/>
      <c r="F1860" s="7"/>
      <c r="G1860" s="7"/>
      <c r="H1860" s="1"/>
      <c r="I1860" s="1"/>
      <c r="J1860" s="1"/>
      <c r="K1860" s="1"/>
      <c r="L1860" s="12">
        <f t="shared" si="285"/>
        <v>19504.12719</v>
      </c>
      <c r="M1860" s="12"/>
      <c r="N1860" s="15"/>
      <c r="O1860" s="1"/>
      <c r="Q1860" s="12"/>
      <c r="R1860" s="1"/>
    </row>
    <row r="1861" ht="12.75" hidden="1" customHeight="1" outlineLevel="1">
      <c r="A1861" s="122">
        <f t="shared" si="286"/>
        <v>43154</v>
      </c>
      <c r="B1861" s="120">
        <v>841428.9700000001</v>
      </c>
      <c r="C1861" s="19">
        <f t="shared" si="283"/>
        <v>0</v>
      </c>
      <c r="D1861" s="19">
        <f t="shared" si="284"/>
        <v>-0.03092612068</v>
      </c>
      <c r="E1861" s="12"/>
      <c r="F1861" s="7"/>
      <c r="G1861" s="7"/>
      <c r="H1861" s="1"/>
      <c r="I1861" s="1"/>
      <c r="J1861" s="1"/>
      <c r="K1861" s="1"/>
      <c r="L1861" s="12">
        <f t="shared" si="285"/>
        <v>19504.12719</v>
      </c>
      <c r="M1861" s="12"/>
      <c r="N1861" s="15"/>
      <c r="O1861" s="1"/>
      <c r="Q1861" s="12"/>
      <c r="R1861" s="1"/>
    </row>
    <row r="1862" ht="12.75" hidden="1" customHeight="1" outlineLevel="1">
      <c r="A1862" s="122">
        <f t="shared" si="286"/>
        <v>43155</v>
      </c>
      <c r="B1862" s="120">
        <v>841428.9700000001</v>
      </c>
      <c r="C1862" s="19">
        <f t="shared" si="283"/>
        <v>0</v>
      </c>
      <c r="D1862" s="19">
        <f t="shared" si="284"/>
        <v>-0.03092612068</v>
      </c>
      <c r="E1862" s="12"/>
      <c r="F1862" s="7"/>
      <c r="G1862" s="7"/>
      <c r="H1862" s="1"/>
      <c r="I1862" s="1"/>
      <c r="J1862" s="1"/>
      <c r="K1862" s="1"/>
      <c r="L1862" s="12">
        <f t="shared" si="285"/>
        <v>19504.12719</v>
      </c>
      <c r="M1862" s="12"/>
      <c r="N1862" s="15"/>
      <c r="O1862" s="1"/>
      <c r="Q1862" s="12"/>
      <c r="R1862" s="1"/>
    </row>
    <row r="1863" ht="12.75" hidden="1" customHeight="1" outlineLevel="1">
      <c r="A1863" s="122">
        <f t="shared" si="286"/>
        <v>43156</v>
      </c>
      <c r="B1863" s="120">
        <v>841428.9700000001</v>
      </c>
      <c r="C1863" s="19">
        <f t="shared" si="283"/>
        <v>0</v>
      </c>
      <c r="D1863" s="19">
        <f t="shared" si="284"/>
        <v>-0.03092612068</v>
      </c>
      <c r="E1863" s="12"/>
      <c r="F1863" s="7"/>
      <c r="G1863" s="7"/>
      <c r="H1863" s="1"/>
      <c r="I1863" s="1"/>
      <c r="J1863" s="1"/>
      <c r="K1863" s="1"/>
      <c r="L1863" s="12">
        <f t="shared" si="285"/>
        <v>19504.12719</v>
      </c>
      <c r="M1863" s="12"/>
      <c r="N1863" s="15"/>
      <c r="O1863" s="1"/>
      <c r="Q1863" s="12"/>
      <c r="R1863" s="1"/>
    </row>
    <row r="1864" ht="12.75" hidden="1" customHeight="1" outlineLevel="1">
      <c r="A1864" s="122">
        <f t="shared" si="286"/>
        <v>43157</v>
      </c>
      <c r="B1864" s="120">
        <v>841428.9700000001</v>
      </c>
      <c r="C1864" s="19">
        <f t="shared" si="283"/>
        <v>0</v>
      </c>
      <c r="D1864" s="19">
        <f t="shared" si="284"/>
        <v>-0.03092612068</v>
      </c>
      <c r="E1864" s="12"/>
      <c r="F1864" s="7"/>
      <c r="G1864" s="7"/>
      <c r="H1864" s="1"/>
      <c r="I1864" s="1"/>
      <c r="J1864" s="1"/>
      <c r="K1864" s="1"/>
      <c r="L1864" s="12">
        <f t="shared" si="285"/>
        <v>19504.12719</v>
      </c>
      <c r="M1864" s="12"/>
      <c r="N1864" s="15"/>
      <c r="O1864" s="1"/>
      <c r="Q1864" s="12"/>
      <c r="R1864" s="1"/>
    </row>
    <row r="1865" ht="12.75" hidden="1" customHeight="1" outlineLevel="1">
      <c r="A1865" s="122">
        <f t="shared" si="286"/>
        <v>43158</v>
      </c>
      <c r="B1865" s="120">
        <v>841428.9700000001</v>
      </c>
      <c r="C1865" s="19">
        <f t="shared" si="283"/>
        <v>0</v>
      </c>
      <c r="D1865" s="19">
        <f t="shared" si="284"/>
        <v>-0.03092612068</v>
      </c>
      <c r="E1865" s="12"/>
      <c r="F1865" s="7"/>
      <c r="G1865" s="7"/>
      <c r="H1865" s="1"/>
      <c r="I1865" s="1"/>
      <c r="J1865" s="1"/>
      <c r="K1865" s="1"/>
      <c r="L1865" s="12">
        <f t="shared" si="285"/>
        <v>19504.12719</v>
      </c>
      <c r="M1865" s="12"/>
      <c r="N1865" s="15"/>
      <c r="O1865" s="1"/>
      <c r="Q1865" s="12"/>
      <c r="R1865" s="1"/>
    </row>
    <row r="1866" ht="12.75" hidden="1" customHeight="1" outlineLevel="1">
      <c r="A1866" s="122">
        <f t="shared" si="286"/>
        <v>43159</v>
      </c>
      <c r="B1866" s="120">
        <v>830358.45</v>
      </c>
      <c r="C1866" s="19">
        <f t="shared" si="283"/>
        <v>-0.01315680871</v>
      </c>
      <c r="D1866" s="19">
        <f t="shared" si="284"/>
        <v>-0.04367604034</v>
      </c>
      <c r="E1866" s="12"/>
      <c r="F1866" s="7"/>
      <c r="G1866" s="7"/>
      <c r="H1866" s="1"/>
      <c r="I1866" s="1"/>
      <c r="J1866" s="1"/>
      <c r="K1866" s="1"/>
      <c r="L1866" s="12">
        <f t="shared" si="285"/>
        <v>19247.51512</v>
      </c>
      <c r="M1866" s="12"/>
      <c r="N1866" s="15"/>
      <c r="O1866" s="1"/>
      <c r="Q1866" s="12"/>
      <c r="R1866" s="1"/>
    </row>
    <row r="1867" ht="12.75" hidden="1" customHeight="1" outlineLevel="1">
      <c r="A1867" s="122"/>
      <c r="B1867" s="12"/>
      <c r="C1867" s="1"/>
      <c r="D1867" s="1"/>
      <c r="E1867" s="12"/>
      <c r="F1867" s="7"/>
      <c r="G1867" s="7"/>
      <c r="H1867" s="1"/>
      <c r="I1867" s="1"/>
      <c r="J1867" s="1"/>
      <c r="K1867" s="1"/>
      <c r="L1867" s="12"/>
      <c r="M1867" s="12"/>
      <c r="N1867" s="15"/>
      <c r="O1867" s="1"/>
      <c r="Q1867" s="12"/>
      <c r="R1867" s="1"/>
    </row>
    <row r="1868" ht="12.75" hidden="1" customHeight="1" outlineLevel="1">
      <c r="A1868" s="122"/>
      <c r="B1868" s="12">
        <f>B1866</f>
        <v>830358.45</v>
      </c>
      <c r="C1868" s="1"/>
      <c r="D1868" s="1"/>
      <c r="E1868" s="12"/>
      <c r="F1868" s="7"/>
      <c r="G1868" s="7"/>
      <c r="H1868" s="1"/>
      <c r="I1868" s="1"/>
      <c r="J1868" s="1"/>
      <c r="K1868" s="1"/>
      <c r="L1868" s="12"/>
      <c r="M1868" s="12"/>
      <c r="N1868" s="15"/>
      <c r="O1868" s="1"/>
      <c r="Q1868" s="12"/>
      <c r="R1868" s="1"/>
    </row>
    <row r="1869" ht="12.75" hidden="1" customHeight="1" outlineLevel="1">
      <c r="A1869" s="122">
        <f>A1866+1</f>
        <v>43160</v>
      </c>
      <c r="B1869" s="12">
        <v>832000.0</v>
      </c>
      <c r="C1869" s="19">
        <f t="shared" ref="C1869:C1899" si="287">B1869/B1868-1</f>
        <v>0.001976917318</v>
      </c>
      <c r="D1869" s="19">
        <f t="shared" ref="D1869:D1899" si="288">(B1869/$B$1868)-1</f>
        <v>0.001976917318</v>
      </c>
      <c r="E1869" s="12"/>
      <c r="F1869" s="7"/>
      <c r="G1869" s="7"/>
      <c r="H1869" s="1"/>
      <c r="I1869" s="1"/>
      <c r="J1869" s="1"/>
      <c r="K1869" s="1"/>
      <c r="L1869" s="12">
        <f t="shared" ref="L1869:L1899" si="289">IF(C1868="",L1866*(1+C1869),L1868*(1+C1869))</f>
        <v>19285.56586</v>
      </c>
      <c r="M1869" s="12"/>
      <c r="N1869" s="15"/>
      <c r="O1869" s="1"/>
      <c r="Q1869" s="12"/>
      <c r="R1869" s="1"/>
    </row>
    <row r="1870" ht="12.75" hidden="1" customHeight="1" outlineLevel="1">
      <c r="A1870" s="122">
        <f t="shared" ref="A1870:A1899" si="290">A1869+1</f>
        <v>43161</v>
      </c>
      <c r="B1870" s="12">
        <v>832000.0</v>
      </c>
      <c r="C1870" s="19">
        <f t="shared" si="287"/>
        <v>0</v>
      </c>
      <c r="D1870" s="19">
        <f t="shared" si="288"/>
        <v>0.001976917318</v>
      </c>
      <c r="E1870" s="12"/>
      <c r="F1870" s="7"/>
      <c r="G1870" s="7"/>
      <c r="H1870" s="1"/>
      <c r="I1870" s="1"/>
      <c r="J1870" s="1"/>
      <c r="K1870" s="1"/>
      <c r="L1870" s="12">
        <f t="shared" si="289"/>
        <v>19285.56586</v>
      </c>
      <c r="M1870" s="12"/>
      <c r="N1870" s="15"/>
      <c r="O1870" s="1"/>
      <c r="Q1870" s="12"/>
      <c r="R1870" s="1"/>
    </row>
    <row r="1871" ht="12.75" hidden="1" customHeight="1" outlineLevel="1">
      <c r="A1871" s="122">
        <f t="shared" si="290"/>
        <v>43162</v>
      </c>
      <c r="B1871" s="12">
        <v>832000.0</v>
      </c>
      <c r="C1871" s="19">
        <f t="shared" si="287"/>
        <v>0</v>
      </c>
      <c r="D1871" s="19">
        <f t="shared" si="288"/>
        <v>0.001976917318</v>
      </c>
      <c r="E1871" s="12"/>
      <c r="F1871" s="7"/>
      <c r="G1871" s="7"/>
      <c r="H1871" s="1"/>
      <c r="I1871" s="1"/>
      <c r="J1871" s="1"/>
      <c r="K1871" s="1"/>
      <c r="L1871" s="12">
        <f t="shared" si="289"/>
        <v>19285.56586</v>
      </c>
      <c r="M1871" s="12"/>
      <c r="N1871" s="15"/>
      <c r="O1871" s="1"/>
      <c r="Q1871" s="12"/>
      <c r="R1871" s="1"/>
    </row>
    <row r="1872" ht="12.75" hidden="1" customHeight="1" outlineLevel="1">
      <c r="A1872" s="122">
        <f t="shared" si="290"/>
        <v>43163</v>
      </c>
      <c r="B1872" s="12">
        <v>832000.0</v>
      </c>
      <c r="C1872" s="19">
        <f t="shared" si="287"/>
        <v>0</v>
      </c>
      <c r="D1872" s="19">
        <f t="shared" si="288"/>
        <v>0.001976917318</v>
      </c>
      <c r="E1872" s="12"/>
      <c r="F1872" s="7"/>
      <c r="G1872" s="7"/>
      <c r="H1872" s="1"/>
      <c r="I1872" s="1"/>
      <c r="J1872" s="1"/>
      <c r="K1872" s="1"/>
      <c r="L1872" s="12">
        <f t="shared" si="289"/>
        <v>19285.56586</v>
      </c>
      <c r="M1872" s="12"/>
      <c r="N1872" s="15"/>
      <c r="O1872" s="1"/>
      <c r="Q1872" s="12"/>
      <c r="R1872" s="1"/>
    </row>
    <row r="1873" ht="12.75" hidden="1" customHeight="1" outlineLevel="1">
      <c r="A1873" s="122">
        <f t="shared" si="290"/>
        <v>43164</v>
      </c>
      <c r="B1873" s="12">
        <v>832000.0</v>
      </c>
      <c r="C1873" s="19">
        <f t="shared" si="287"/>
        <v>0</v>
      </c>
      <c r="D1873" s="19">
        <f t="shared" si="288"/>
        <v>0.001976917318</v>
      </c>
      <c r="E1873" s="12"/>
      <c r="F1873" s="7"/>
      <c r="G1873" s="7"/>
      <c r="H1873" s="1"/>
      <c r="I1873" s="1"/>
      <c r="J1873" s="1"/>
      <c r="K1873" s="1"/>
      <c r="L1873" s="12">
        <f t="shared" si="289"/>
        <v>19285.56586</v>
      </c>
      <c r="M1873" s="12"/>
      <c r="N1873" s="15"/>
      <c r="O1873" s="1"/>
      <c r="Q1873" s="12"/>
      <c r="R1873" s="1"/>
    </row>
    <row r="1874" ht="12.75" hidden="1" customHeight="1" outlineLevel="1">
      <c r="A1874" s="122">
        <f t="shared" si="290"/>
        <v>43165</v>
      </c>
      <c r="B1874" s="120">
        <v>836000.0</v>
      </c>
      <c r="C1874" s="19">
        <f t="shared" si="287"/>
        <v>0.004807692308</v>
      </c>
      <c r="D1874" s="19">
        <f t="shared" si="288"/>
        <v>0.006794114036</v>
      </c>
      <c r="E1874" s="12"/>
      <c r="F1874" s="7"/>
      <c r="G1874" s="7"/>
      <c r="H1874" s="1"/>
      <c r="I1874" s="1"/>
      <c r="J1874" s="1"/>
      <c r="K1874" s="1"/>
      <c r="L1874" s="12">
        <f t="shared" si="289"/>
        <v>19378.28493</v>
      </c>
      <c r="M1874" s="12"/>
      <c r="N1874" s="15"/>
      <c r="O1874" s="1"/>
      <c r="Q1874" s="12"/>
      <c r="R1874" s="1"/>
    </row>
    <row r="1875" ht="12.75" hidden="1" customHeight="1" outlineLevel="1">
      <c r="A1875" s="122">
        <f t="shared" si="290"/>
        <v>43166</v>
      </c>
      <c r="B1875" s="120">
        <v>836000.0</v>
      </c>
      <c r="C1875" s="19">
        <f t="shared" si="287"/>
        <v>0</v>
      </c>
      <c r="D1875" s="19">
        <f t="shared" si="288"/>
        <v>0.006794114036</v>
      </c>
      <c r="E1875" s="12"/>
      <c r="F1875" s="7"/>
      <c r="G1875" s="7"/>
      <c r="H1875" s="1"/>
      <c r="I1875" s="1"/>
      <c r="J1875" s="1"/>
      <c r="K1875" s="1"/>
      <c r="L1875" s="12">
        <f t="shared" si="289"/>
        <v>19378.28493</v>
      </c>
      <c r="M1875" s="12"/>
      <c r="N1875" s="15"/>
      <c r="O1875" s="1"/>
      <c r="Q1875" s="12"/>
      <c r="R1875" s="1"/>
    </row>
    <row r="1876" ht="12.75" hidden="1" customHeight="1" outlineLevel="1">
      <c r="A1876" s="122">
        <f t="shared" si="290"/>
        <v>43167</v>
      </c>
      <c r="B1876" s="120">
        <v>836000.0</v>
      </c>
      <c r="C1876" s="19">
        <f t="shared" si="287"/>
        <v>0</v>
      </c>
      <c r="D1876" s="19">
        <f t="shared" si="288"/>
        <v>0.006794114036</v>
      </c>
      <c r="E1876" s="12"/>
      <c r="F1876" s="7"/>
      <c r="G1876" s="7"/>
      <c r="H1876" s="1"/>
      <c r="I1876" s="1"/>
      <c r="J1876" s="1"/>
      <c r="K1876" s="1"/>
      <c r="L1876" s="12">
        <f t="shared" si="289"/>
        <v>19378.28493</v>
      </c>
      <c r="M1876" s="12"/>
      <c r="N1876" s="15"/>
      <c r="O1876" s="1"/>
      <c r="Q1876" s="12"/>
      <c r="R1876" s="1"/>
    </row>
    <row r="1877" ht="12.75" hidden="1" customHeight="1" outlineLevel="1">
      <c r="A1877" s="122">
        <f t="shared" si="290"/>
        <v>43168</v>
      </c>
      <c r="B1877" s="120">
        <v>836000.0</v>
      </c>
      <c r="C1877" s="19">
        <f t="shared" si="287"/>
        <v>0</v>
      </c>
      <c r="D1877" s="19">
        <f t="shared" si="288"/>
        <v>0.006794114036</v>
      </c>
      <c r="E1877" s="12"/>
      <c r="F1877" s="7"/>
      <c r="G1877" s="7"/>
      <c r="H1877" s="1"/>
      <c r="I1877" s="1"/>
      <c r="J1877" s="1"/>
      <c r="K1877" s="1"/>
      <c r="L1877" s="12">
        <f t="shared" si="289"/>
        <v>19378.28493</v>
      </c>
      <c r="M1877" s="12"/>
      <c r="N1877" s="15"/>
      <c r="O1877" s="1"/>
      <c r="Q1877" s="12"/>
      <c r="R1877" s="1"/>
    </row>
    <row r="1878" ht="12.75" hidden="1" customHeight="1" outlineLevel="1">
      <c r="A1878" s="122">
        <f t="shared" si="290"/>
        <v>43169</v>
      </c>
      <c r="B1878" s="120">
        <v>836000.0</v>
      </c>
      <c r="C1878" s="19">
        <f t="shared" si="287"/>
        <v>0</v>
      </c>
      <c r="D1878" s="19">
        <f t="shared" si="288"/>
        <v>0.006794114036</v>
      </c>
      <c r="E1878" s="12"/>
      <c r="F1878" s="7"/>
      <c r="G1878" s="7"/>
      <c r="H1878" s="1"/>
      <c r="I1878" s="1"/>
      <c r="J1878" s="1"/>
      <c r="K1878" s="1"/>
      <c r="L1878" s="12">
        <f t="shared" si="289"/>
        <v>19378.28493</v>
      </c>
      <c r="M1878" s="12"/>
      <c r="N1878" s="15"/>
      <c r="O1878" s="1"/>
      <c r="Q1878" s="12"/>
      <c r="R1878" s="1"/>
    </row>
    <row r="1879" ht="12.75" hidden="1" customHeight="1" outlineLevel="1">
      <c r="A1879" s="122">
        <f t="shared" si="290"/>
        <v>43170</v>
      </c>
      <c r="B1879" s="120">
        <v>836000.0</v>
      </c>
      <c r="C1879" s="19">
        <f t="shared" si="287"/>
        <v>0</v>
      </c>
      <c r="D1879" s="19">
        <f t="shared" si="288"/>
        <v>0.006794114036</v>
      </c>
      <c r="E1879" s="12"/>
      <c r="F1879" s="7"/>
      <c r="G1879" s="7"/>
      <c r="H1879" s="1"/>
      <c r="I1879" s="1"/>
      <c r="J1879" s="1"/>
      <c r="K1879" s="1"/>
      <c r="L1879" s="12">
        <f t="shared" si="289"/>
        <v>19378.28493</v>
      </c>
      <c r="M1879" s="12"/>
      <c r="N1879" s="15"/>
      <c r="O1879" s="1"/>
      <c r="Q1879" s="12"/>
      <c r="R1879" s="1"/>
    </row>
    <row r="1880" ht="12.75" hidden="1" customHeight="1" outlineLevel="1">
      <c r="A1880" s="122">
        <f t="shared" si="290"/>
        <v>43171</v>
      </c>
      <c r="B1880" s="120">
        <v>836000.0</v>
      </c>
      <c r="C1880" s="19">
        <f t="shared" si="287"/>
        <v>0</v>
      </c>
      <c r="D1880" s="19">
        <f t="shared" si="288"/>
        <v>0.006794114036</v>
      </c>
      <c r="E1880" s="12"/>
      <c r="F1880" s="7"/>
      <c r="G1880" s="7"/>
      <c r="H1880" s="1"/>
      <c r="I1880" s="1"/>
      <c r="J1880" s="1"/>
      <c r="K1880" s="1"/>
      <c r="L1880" s="12">
        <f t="shared" si="289"/>
        <v>19378.28493</v>
      </c>
      <c r="M1880" s="12"/>
      <c r="N1880" s="15"/>
      <c r="O1880" s="1"/>
      <c r="Q1880" s="12"/>
      <c r="R1880" s="1"/>
    </row>
    <row r="1881" ht="12.75" hidden="1" customHeight="1" outlineLevel="1">
      <c r="A1881" s="122">
        <f t="shared" si="290"/>
        <v>43172</v>
      </c>
      <c r="B1881" s="120">
        <v>836000.0</v>
      </c>
      <c r="C1881" s="19">
        <f t="shared" si="287"/>
        <v>0</v>
      </c>
      <c r="D1881" s="19">
        <f t="shared" si="288"/>
        <v>0.006794114036</v>
      </c>
      <c r="E1881" s="12"/>
      <c r="F1881" s="7"/>
      <c r="G1881" s="7"/>
      <c r="H1881" s="1"/>
      <c r="I1881" s="1"/>
      <c r="J1881" s="1"/>
      <c r="K1881" s="1"/>
      <c r="L1881" s="12">
        <f t="shared" si="289"/>
        <v>19378.28493</v>
      </c>
      <c r="M1881" s="12"/>
      <c r="N1881" s="15"/>
      <c r="O1881" s="1"/>
      <c r="Q1881" s="12"/>
      <c r="R1881" s="1"/>
    </row>
    <row r="1882" ht="12.75" hidden="1" customHeight="1" outlineLevel="1">
      <c r="A1882" s="122">
        <f t="shared" si="290"/>
        <v>43173</v>
      </c>
      <c r="B1882" s="120">
        <v>836000.0</v>
      </c>
      <c r="C1882" s="19">
        <f t="shared" si="287"/>
        <v>0</v>
      </c>
      <c r="D1882" s="19">
        <f t="shared" si="288"/>
        <v>0.006794114036</v>
      </c>
      <c r="E1882" s="12"/>
      <c r="F1882" s="7"/>
      <c r="G1882" s="7"/>
      <c r="H1882" s="1"/>
      <c r="I1882" s="1"/>
      <c r="J1882" s="1"/>
      <c r="K1882" s="1"/>
      <c r="L1882" s="12">
        <f t="shared" si="289"/>
        <v>19378.28493</v>
      </c>
      <c r="M1882" s="12"/>
      <c r="N1882" s="15"/>
      <c r="O1882" s="1"/>
      <c r="Q1882" s="12"/>
      <c r="R1882" s="1"/>
    </row>
    <row r="1883" ht="12.75" hidden="1" customHeight="1" outlineLevel="1">
      <c r="A1883" s="122">
        <f t="shared" si="290"/>
        <v>43174</v>
      </c>
      <c r="B1883" s="120">
        <v>836000.0</v>
      </c>
      <c r="C1883" s="19">
        <f t="shared" si="287"/>
        <v>0</v>
      </c>
      <c r="D1883" s="19">
        <f t="shared" si="288"/>
        <v>0.006794114036</v>
      </c>
      <c r="E1883" s="12"/>
      <c r="F1883" s="7"/>
      <c r="G1883" s="7"/>
      <c r="H1883" s="1"/>
      <c r="I1883" s="1"/>
      <c r="J1883" s="1"/>
      <c r="K1883" s="1"/>
      <c r="L1883" s="12">
        <f t="shared" si="289"/>
        <v>19378.28493</v>
      </c>
      <c r="M1883" s="12"/>
      <c r="N1883" s="15"/>
      <c r="O1883" s="1"/>
      <c r="Q1883" s="12"/>
      <c r="R1883" s="1"/>
    </row>
    <row r="1884" ht="12.75" hidden="1" customHeight="1" outlineLevel="1">
      <c r="A1884" s="122">
        <f t="shared" si="290"/>
        <v>43175</v>
      </c>
      <c r="B1884" s="120">
        <v>847221.3499999999</v>
      </c>
      <c r="C1884" s="19">
        <f t="shared" si="287"/>
        <v>0.01342266746</v>
      </c>
      <c r="D1884" s="19">
        <f t="shared" si="288"/>
        <v>0.02030797663</v>
      </c>
      <c r="E1884" s="12"/>
      <c r="F1884" s="7"/>
      <c r="G1884" s="7"/>
      <c r="H1884" s="1"/>
      <c r="I1884" s="1"/>
      <c r="J1884" s="1"/>
      <c r="K1884" s="1"/>
      <c r="L1884" s="12">
        <f t="shared" si="289"/>
        <v>19638.3932</v>
      </c>
      <c r="M1884" s="12"/>
      <c r="N1884" s="15"/>
      <c r="O1884" s="1"/>
      <c r="Q1884" s="12"/>
      <c r="R1884" s="1"/>
    </row>
    <row r="1885" ht="12.75" hidden="1" customHeight="1" outlineLevel="1">
      <c r="A1885" s="122">
        <f t="shared" si="290"/>
        <v>43176</v>
      </c>
      <c r="B1885" s="120">
        <v>847221.3499999999</v>
      </c>
      <c r="C1885" s="19">
        <f t="shared" si="287"/>
        <v>0</v>
      </c>
      <c r="D1885" s="19">
        <f t="shared" si="288"/>
        <v>0.02030797663</v>
      </c>
      <c r="E1885" s="12"/>
      <c r="F1885" s="7"/>
      <c r="G1885" s="7"/>
      <c r="H1885" s="1"/>
      <c r="I1885" s="1"/>
      <c r="J1885" s="1"/>
      <c r="K1885" s="1"/>
      <c r="L1885" s="12">
        <f t="shared" si="289"/>
        <v>19638.3932</v>
      </c>
      <c r="M1885" s="12"/>
      <c r="N1885" s="15"/>
      <c r="O1885" s="1"/>
      <c r="Q1885" s="12"/>
      <c r="R1885" s="1"/>
    </row>
    <row r="1886" ht="12.75" hidden="1" customHeight="1" outlineLevel="1">
      <c r="A1886" s="122">
        <f t="shared" si="290"/>
        <v>43177</v>
      </c>
      <c r="B1886" s="120">
        <v>847221.3499999999</v>
      </c>
      <c r="C1886" s="19">
        <f t="shared" si="287"/>
        <v>0</v>
      </c>
      <c r="D1886" s="19">
        <f t="shared" si="288"/>
        <v>0.02030797663</v>
      </c>
      <c r="E1886" s="12"/>
      <c r="F1886" s="7"/>
      <c r="G1886" s="7"/>
      <c r="H1886" s="1"/>
      <c r="I1886" s="1"/>
      <c r="J1886" s="1"/>
      <c r="K1886" s="1"/>
      <c r="L1886" s="12">
        <f t="shared" si="289"/>
        <v>19638.3932</v>
      </c>
      <c r="M1886" s="12"/>
      <c r="N1886" s="15"/>
      <c r="O1886" s="1"/>
      <c r="Q1886" s="12"/>
      <c r="R1886" s="1"/>
    </row>
    <row r="1887" ht="12.75" hidden="1" customHeight="1" outlineLevel="1">
      <c r="A1887" s="122">
        <f t="shared" si="290"/>
        <v>43178</v>
      </c>
      <c r="B1887" s="120">
        <v>844000.0</v>
      </c>
      <c r="C1887" s="19">
        <f t="shared" si="287"/>
        <v>-0.003802253095</v>
      </c>
      <c r="D1887" s="19">
        <f t="shared" si="288"/>
        <v>0.01642850747</v>
      </c>
      <c r="E1887" s="12"/>
      <c r="F1887" s="7"/>
      <c r="G1887" s="7"/>
      <c r="H1887" s="1"/>
      <c r="I1887" s="1"/>
      <c r="J1887" s="1"/>
      <c r="K1887" s="1"/>
      <c r="L1887" s="12">
        <f t="shared" si="289"/>
        <v>19563.72306</v>
      </c>
      <c r="M1887" s="12"/>
      <c r="N1887" s="15"/>
      <c r="O1887" s="1"/>
      <c r="Q1887" s="12"/>
      <c r="R1887" s="1"/>
    </row>
    <row r="1888" ht="12.75" hidden="1" customHeight="1" outlineLevel="1">
      <c r="A1888" s="122">
        <f t="shared" si="290"/>
        <v>43179</v>
      </c>
      <c r="B1888" s="120">
        <v>844000.0</v>
      </c>
      <c r="C1888" s="19">
        <f t="shared" si="287"/>
        <v>0</v>
      </c>
      <c r="D1888" s="19">
        <f t="shared" si="288"/>
        <v>0.01642850747</v>
      </c>
      <c r="E1888" s="12"/>
      <c r="F1888" s="7"/>
      <c r="G1888" s="7"/>
      <c r="H1888" s="1"/>
      <c r="I1888" s="1"/>
      <c r="J1888" s="1"/>
      <c r="K1888" s="1"/>
      <c r="L1888" s="12">
        <f t="shared" si="289"/>
        <v>19563.72306</v>
      </c>
      <c r="M1888" s="12"/>
      <c r="N1888" s="15"/>
      <c r="O1888" s="1"/>
      <c r="Q1888" s="12"/>
      <c r="R1888" s="1"/>
    </row>
    <row r="1889" ht="12.75" hidden="1" customHeight="1" outlineLevel="1">
      <c r="A1889" s="122">
        <f t="shared" si="290"/>
        <v>43180</v>
      </c>
      <c r="B1889" s="120">
        <v>840500.0</v>
      </c>
      <c r="C1889" s="19">
        <f t="shared" si="287"/>
        <v>-0.004146919431</v>
      </c>
      <c r="D1889" s="19">
        <f t="shared" si="288"/>
        <v>0.01221346034</v>
      </c>
      <c r="E1889" s="12"/>
      <c r="F1889" s="7"/>
      <c r="G1889" s="7"/>
      <c r="H1889" s="1"/>
      <c r="I1889" s="1"/>
      <c r="J1889" s="1"/>
      <c r="K1889" s="1"/>
      <c r="L1889" s="12">
        <f t="shared" si="289"/>
        <v>19482.59388</v>
      </c>
      <c r="M1889" s="12"/>
      <c r="N1889" s="15"/>
      <c r="O1889" s="1"/>
      <c r="Q1889" s="12"/>
      <c r="R1889" s="1"/>
    </row>
    <row r="1890" ht="12.75" hidden="1" customHeight="1" outlineLevel="1">
      <c r="A1890" s="122">
        <f t="shared" si="290"/>
        <v>43181</v>
      </c>
      <c r="B1890" s="120">
        <v>840500.0</v>
      </c>
      <c r="C1890" s="19">
        <f t="shared" si="287"/>
        <v>0</v>
      </c>
      <c r="D1890" s="19">
        <f t="shared" si="288"/>
        <v>0.01221346034</v>
      </c>
      <c r="E1890" s="12"/>
      <c r="F1890" s="7"/>
      <c r="G1890" s="7"/>
      <c r="H1890" s="1"/>
      <c r="I1890" s="1"/>
      <c r="J1890" s="1"/>
      <c r="K1890" s="1"/>
      <c r="L1890" s="12">
        <f t="shared" si="289"/>
        <v>19482.59388</v>
      </c>
      <c r="M1890" s="12"/>
      <c r="N1890" s="15"/>
      <c r="O1890" s="1"/>
      <c r="Q1890" s="12"/>
      <c r="R1890" s="1"/>
    </row>
    <row r="1891" ht="12.75" hidden="1" customHeight="1" outlineLevel="1">
      <c r="A1891" s="122">
        <f t="shared" si="290"/>
        <v>43182</v>
      </c>
      <c r="B1891" s="120">
        <v>840500.0</v>
      </c>
      <c r="C1891" s="19">
        <f t="shared" si="287"/>
        <v>0</v>
      </c>
      <c r="D1891" s="19">
        <f t="shared" si="288"/>
        <v>0.01221346034</v>
      </c>
      <c r="E1891" s="12"/>
      <c r="F1891" s="7"/>
      <c r="G1891" s="7"/>
      <c r="H1891" s="1"/>
      <c r="I1891" s="1"/>
      <c r="J1891" s="1"/>
      <c r="K1891" s="1"/>
      <c r="L1891" s="12">
        <f t="shared" si="289"/>
        <v>19482.59388</v>
      </c>
      <c r="M1891" s="12"/>
      <c r="N1891" s="15"/>
      <c r="O1891" s="1"/>
      <c r="Q1891" s="12"/>
      <c r="R1891" s="1"/>
    </row>
    <row r="1892" ht="12.75" hidden="1" customHeight="1" outlineLevel="1">
      <c r="A1892" s="122">
        <f t="shared" si="290"/>
        <v>43183</v>
      </c>
      <c r="B1892" s="120">
        <v>840500.0</v>
      </c>
      <c r="C1892" s="19">
        <f t="shared" si="287"/>
        <v>0</v>
      </c>
      <c r="D1892" s="19">
        <f t="shared" si="288"/>
        <v>0.01221346034</v>
      </c>
      <c r="E1892" s="12"/>
      <c r="F1892" s="7"/>
      <c r="G1892" s="7"/>
      <c r="H1892" s="1"/>
      <c r="I1892" s="1"/>
      <c r="J1892" s="1"/>
      <c r="K1892" s="1"/>
      <c r="L1892" s="12">
        <f t="shared" si="289"/>
        <v>19482.59388</v>
      </c>
      <c r="M1892" s="12"/>
      <c r="N1892" s="15"/>
      <c r="O1892" s="1"/>
      <c r="Q1892" s="12"/>
      <c r="R1892" s="1"/>
    </row>
    <row r="1893" ht="12.75" hidden="1" customHeight="1" outlineLevel="1">
      <c r="A1893" s="122">
        <f t="shared" si="290"/>
        <v>43184</v>
      </c>
      <c r="B1893" s="120">
        <v>802577.2999999999</v>
      </c>
      <c r="C1893" s="19">
        <f t="shared" si="287"/>
        <v>-0.04511921475</v>
      </c>
      <c r="D1893" s="19">
        <f t="shared" si="288"/>
        <v>-0.03345681615</v>
      </c>
      <c r="E1893" s="12"/>
      <c r="F1893" s="7"/>
      <c r="G1893" s="7"/>
      <c r="H1893" s="1"/>
      <c r="I1893" s="1"/>
      <c r="J1893" s="1"/>
      <c r="K1893" s="1"/>
      <c r="L1893" s="12">
        <f t="shared" si="289"/>
        <v>18603.55454</v>
      </c>
      <c r="M1893" s="12"/>
      <c r="N1893" s="15"/>
      <c r="O1893" s="1"/>
      <c r="Q1893" s="12"/>
      <c r="R1893" s="1"/>
    </row>
    <row r="1894" ht="12.75" hidden="1" customHeight="1" outlineLevel="1">
      <c r="A1894" s="122">
        <f t="shared" si="290"/>
        <v>43185</v>
      </c>
      <c r="B1894" s="120">
        <v>821000.0</v>
      </c>
      <c r="C1894" s="19">
        <f t="shared" si="287"/>
        <v>0.02295442445</v>
      </c>
      <c r="D1894" s="19">
        <f t="shared" si="288"/>
        <v>-0.01127037366</v>
      </c>
      <c r="E1894" s="12"/>
      <c r="F1894" s="7"/>
      <c r="G1894" s="7"/>
      <c r="H1894" s="1"/>
      <c r="I1894" s="1"/>
      <c r="J1894" s="1"/>
      <c r="K1894" s="1"/>
      <c r="L1894" s="12">
        <f t="shared" si="289"/>
        <v>19030.58843</v>
      </c>
      <c r="M1894" s="12"/>
      <c r="N1894" s="15"/>
      <c r="O1894" s="1"/>
      <c r="Q1894" s="12"/>
      <c r="R1894" s="1"/>
    </row>
    <row r="1895" ht="12.75" hidden="1" customHeight="1" outlineLevel="1">
      <c r="A1895" s="122">
        <f t="shared" si="290"/>
        <v>43186</v>
      </c>
      <c r="B1895" s="120">
        <v>821000.0</v>
      </c>
      <c r="C1895" s="19">
        <f t="shared" si="287"/>
        <v>0</v>
      </c>
      <c r="D1895" s="19">
        <f t="shared" si="288"/>
        <v>-0.01127037366</v>
      </c>
      <c r="E1895" s="12"/>
      <c r="F1895" s="7"/>
      <c r="G1895" s="7"/>
      <c r="H1895" s="1"/>
      <c r="I1895" s="1"/>
      <c r="J1895" s="1"/>
      <c r="K1895" s="1"/>
      <c r="L1895" s="12">
        <f t="shared" si="289"/>
        <v>19030.58843</v>
      </c>
      <c r="M1895" s="12"/>
      <c r="N1895" s="15"/>
      <c r="O1895" s="1"/>
      <c r="Q1895" s="12"/>
      <c r="R1895" s="1"/>
    </row>
    <row r="1896" ht="12.75" hidden="1" customHeight="1" outlineLevel="1">
      <c r="A1896" s="122">
        <f t="shared" si="290"/>
        <v>43187</v>
      </c>
      <c r="B1896" s="120">
        <v>821000.0</v>
      </c>
      <c r="C1896" s="19">
        <f t="shared" si="287"/>
        <v>0</v>
      </c>
      <c r="D1896" s="19">
        <f t="shared" si="288"/>
        <v>-0.01127037366</v>
      </c>
      <c r="E1896" s="12"/>
      <c r="F1896" s="7"/>
      <c r="G1896" s="7"/>
      <c r="H1896" s="1"/>
      <c r="I1896" s="1"/>
      <c r="J1896" s="1"/>
      <c r="K1896" s="1"/>
      <c r="L1896" s="12">
        <f t="shared" si="289"/>
        <v>19030.58843</v>
      </c>
      <c r="M1896" s="12"/>
      <c r="N1896" s="15"/>
      <c r="O1896" s="1"/>
      <c r="Q1896" s="12"/>
      <c r="R1896" s="1"/>
    </row>
    <row r="1897" ht="12.75" hidden="1" customHeight="1" outlineLevel="1">
      <c r="A1897" s="122">
        <f t="shared" si="290"/>
        <v>43188</v>
      </c>
      <c r="B1897" s="120">
        <v>814000.0</v>
      </c>
      <c r="C1897" s="19">
        <f t="shared" si="287"/>
        <v>-0.008526187576</v>
      </c>
      <c r="D1897" s="19">
        <f t="shared" si="288"/>
        <v>-0.01970046791</v>
      </c>
      <c r="E1897" s="12"/>
      <c r="F1897" s="7"/>
      <c r="G1897" s="7"/>
      <c r="H1897" s="1"/>
      <c r="I1897" s="1"/>
      <c r="J1897" s="1"/>
      <c r="K1897" s="1"/>
      <c r="L1897" s="12">
        <f t="shared" si="289"/>
        <v>18868.33006</v>
      </c>
      <c r="M1897" s="12"/>
      <c r="N1897" s="15"/>
      <c r="O1897" s="1"/>
      <c r="Q1897" s="12"/>
      <c r="R1897" s="1"/>
    </row>
    <row r="1898" ht="12.75" hidden="1" customHeight="1" outlineLevel="1">
      <c r="A1898" s="122">
        <f t="shared" si="290"/>
        <v>43189</v>
      </c>
      <c r="B1898" s="120">
        <v>814000.0</v>
      </c>
      <c r="C1898" s="19">
        <f t="shared" si="287"/>
        <v>0</v>
      </c>
      <c r="D1898" s="19">
        <f t="shared" si="288"/>
        <v>-0.01970046791</v>
      </c>
      <c r="E1898" s="12"/>
      <c r="F1898" s="7"/>
      <c r="G1898" s="7"/>
      <c r="H1898" s="1"/>
      <c r="I1898" s="1"/>
      <c r="J1898" s="1"/>
      <c r="K1898" s="1"/>
      <c r="L1898" s="12">
        <f t="shared" si="289"/>
        <v>18868.33006</v>
      </c>
      <c r="M1898" s="12"/>
      <c r="N1898" s="15"/>
      <c r="O1898" s="1"/>
      <c r="Q1898" s="12"/>
      <c r="R1898" s="1"/>
    </row>
    <row r="1899" ht="12.75" hidden="1" customHeight="1" outlineLevel="1">
      <c r="A1899" s="122">
        <f t="shared" si="290"/>
        <v>43190</v>
      </c>
      <c r="B1899" s="120">
        <v>812196.52</v>
      </c>
      <c r="C1899" s="19">
        <f t="shared" si="287"/>
        <v>-0.002215577396</v>
      </c>
      <c r="D1899" s="19">
        <f t="shared" si="288"/>
        <v>-0.0218723974</v>
      </c>
      <c r="E1899" s="12"/>
      <c r="F1899" s="7"/>
      <c r="G1899" s="7"/>
      <c r="H1899" s="1"/>
      <c r="I1899" s="1"/>
      <c r="J1899" s="1"/>
      <c r="K1899" s="1"/>
      <c r="L1899" s="12">
        <f t="shared" si="289"/>
        <v>18826.52582</v>
      </c>
      <c r="M1899" s="12"/>
      <c r="N1899" s="15"/>
      <c r="O1899" s="1"/>
      <c r="Q1899" s="12"/>
      <c r="R1899" s="1"/>
    </row>
    <row r="1900" ht="12.75" hidden="1" customHeight="1" outlineLevel="1">
      <c r="A1900" s="122"/>
      <c r="B1900" s="12"/>
      <c r="C1900" s="1"/>
      <c r="D1900" s="1"/>
      <c r="E1900" s="12"/>
      <c r="F1900" s="7"/>
      <c r="G1900" s="7"/>
      <c r="H1900" s="1"/>
      <c r="I1900" s="1"/>
      <c r="J1900" s="1"/>
      <c r="K1900" s="1"/>
      <c r="L1900" s="12"/>
      <c r="M1900" s="12"/>
      <c r="N1900" s="15"/>
      <c r="O1900" s="1"/>
      <c r="Q1900" s="12"/>
      <c r="R1900" s="1"/>
    </row>
    <row r="1901" ht="12.75" hidden="1" customHeight="1" outlineLevel="1">
      <c r="A1901" s="122"/>
      <c r="B1901" s="12">
        <f>B1899</f>
        <v>812196.52</v>
      </c>
      <c r="C1901" s="1"/>
      <c r="D1901" s="1"/>
      <c r="E1901" s="12"/>
      <c r="F1901" s="7"/>
      <c r="G1901" s="7"/>
      <c r="H1901" s="1"/>
      <c r="I1901" s="1"/>
      <c r="J1901" s="1"/>
      <c r="K1901" s="1"/>
      <c r="L1901" s="12"/>
      <c r="M1901" s="12"/>
      <c r="N1901" s="15"/>
      <c r="O1901" s="1"/>
      <c r="Q1901" s="12"/>
      <c r="R1901" s="1"/>
    </row>
    <row r="1902" ht="12.75" hidden="1" customHeight="1" outlineLevel="1">
      <c r="A1902" s="122">
        <f>A1899+1</f>
        <v>43191</v>
      </c>
      <c r="B1902" s="12">
        <v>832000.0</v>
      </c>
      <c r="C1902" s="19">
        <f t="shared" ref="C1902:C1931" si="291">B1902/B1901-1</f>
        <v>0.02438262109</v>
      </c>
      <c r="D1902" s="19">
        <f t="shared" ref="D1902:D1931" si="292">(B1902/$B$1901)-1</f>
        <v>0.02438262109</v>
      </c>
      <c r="E1902" s="12"/>
      <c r="F1902" s="7"/>
      <c r="G1902" s="7"/>
      <c r="H1902" s="1"/>
      <c r="I1902" s="1"/>
      <c r="J1902" s="1"/>
      <c r="K1902" s="1"/>
      <c r="L1902" s="12">
        <f t="shared" ref="L1902:L1931" si="293">IF(C1901="",L1899*(1+C1902),L1901*(1+C1902))</f>
        <v>19285.56586</v>
      </c>
      <c r="M1902" s="12"/>
      <c r="N1902" s="15"/>
      <c r="O1902" s="1"/>
      <c r="Q1902" s="12"/>
      <c r="R1902" s="1"/>
    </row>
    <row r="1903" ht="12.75" hidden="1" customHeight="1" outlineLevel="1">
      <c r="A1903" s="122">
        <f t="shared" ref="A1903:A1931" si="294">A1902+1</f>
        <v>43192</v>
      </c>
      <c r="B1903" s="120">
        <v>803943.9799999997</v>
      </c>
      <c r="C1903" s="19">
        <f t="shared" si="291"/>
        <v>-0.03372117788</v>
      </c>
      <c r="D1903" s="19">
        <f t="shared" si="292"/>
        <v>-0.0101607675</v>
      </c>
      <c r="E1903" s="12"/>
      <c r="F1903" s="7"/>
      <c r="G1903" s="7"/>
      <c r="H1903" s="1"/>
      <c r="I1903" s="1"/>
      <c r="J1903" s="1"/>
      <c r="K1903" s="1"/>
      <c r="L1903" s="12">
        <f t="shared" si="293"/>
        <v>18635.23386</v>
      </c>
      <c r="M1903" s="12"/>
      <c r="N1903" s="15"/>
      <c r="O1903" s="1"/>
      <c r="Q1903" s="12"/>
      <c r="R1903" s="1"/>
    </row>
    <row r="1904" ht="12.75" hidden="1" customHeight="1" outlineLevel="1">
      <c r="A1904" s="122">
        <f t="shared" si="294"/>
        <v>43193</v>
      </c>
      <c r="B1904" s="120">
        <v>803943.9799999997</v>
      </c>
      <c r="C1904" s="19">
        <f t="shared" si="291"/>
        <v>0</v>
      </c>
      <c r="D1904" s="19">
        <f t="shared" si="292"/>
        <v>-0.0101607675</v>
      </c>
      <c r="E1904" s="12"/>
      <c r="F1904" s="7"/>
      <c r="G1904" s="7"/>
      <c r="H1904" s="1"/>
      <c r="I1904" s="1"/>
      <c r="J1904" s="1"/>
      <c r="K1904" s="1"/>
      <c r="L1904" s="12">
        <f t="shared" si="293"/>
        <v>18635.23386</v>
      </c>
      <c r="M1904" s="12"/>
      <c r="N1904" s="15"/>
      <c r="O1904" s="1"/>
      <c r="Q1904" s="12"/>
      <c r="R1904" s="1"/>
    </row>
    <row r="1905" ht="12.75" hidden="1" customHeight="1" outlineLevel="1">
      <c r="A1905" s="122">
        <f t="shared" si="294"/>
        <v>43194</v>
      </c>
      <c r="B1905" s="120">
        <v>803943.9799999997</v>
      </c>
      <c r="C1905" s="19">
        <f t="shared" si="291"/>
        <v>0</v>
      </c>
      <c r="D1905" s="19">
        <f t="shared" si="292"/>
        <v>-0.0101607675</v>
      </c>
      <c r="E1905" s="12"/>
      <c r="F1905" s="7"/>
      <c r="G1905" s="7"/>
      <c r="H1905" s="1"/>
      <c r="I1905" s="1"/>
      <c r="J1905" s="1"/>
      <c r="K1905" s="1"/>
      <c r="L1905" s="12">
        <f t="shared" si="293"/>
        <v>18635.23386</v>
      </c>
      <c r="M1905" s="12"/>
      <c r="N1905" s="15"/>
      <c r="O1905" s="1"/>
      <c r="Q1905" s="12"/>
      <c r="R1905" s="1"/>
    </row>
    <row r="1906" ht="12.75" hidden="1" customHeight="1" outlineLevel="1">
      <c r="A1906" s="122">
        <f t="shared" si="294"/>
        <v>43195</v>
      </c>
      <c r="B1906" s="120">
        <v>803943.9799999997</v>
      </c>
      <c r="C1906" s="19">
        <f t="shared" si="291"/>
        <v>0</v>
      </c>
      <c r="D1906" s="19">
        <f t="shared" si="292"/>
        <v>-0.0101607675</v>
      </c>
      <c r="E1906" s="12"/>
      <c r="F1906" s="7"/>
      <c r="G1906" s="7"/>
      <c r="H1906" s="1"/>
      <c r="I1906" s="1"/>
      <c r="J1906" s="1"/>
      <c r="K1906" s="1"/>
      <c r="L1906" s="12">
        <f t="shared" si="293"/>
        <v>18635.23386</v>
      </c>
      <c r="M1906" s="12"/>
      <c r="N1906" s="15"/>
      <c r="O1906" s="1"/>
      <c r="Q1906" s="12"/>
      <c r="R1906" s="1"/>
    </row>
    <row r="1907" ht="12.75" hidden="1" customHeight="1" outlineLevel="1">
      <c r="A1907" s="122">
        <f t="shared" si="294"/>
        <v>43196</v>
      </c>
      <c r="B1907" s="120">
        <v>803943.9799999997</v>
      </c>
      <c r="C1907" s="19">
        <f t="shared" si="291"/>
        <v>0</v>
      </c>
      <c r="D1907" s="19">
        <f t="shared" si="292"/>
        <v>-0.0101607675</v>
      </c>
      <c r="E1907" s="12"/>
      <c r="F1907" s="7"/>
      <c r="G1907" s="7"/>
      <c r="H1907" s="1"/>
      <c r="I1907" s="1"/>
      <c r="J1907" s="1"/>
      <c r="K1907" s="1"/>
      <c r="L1907" s="12">
        <f t="shared" si="293"/>
        <v>18635.23386</v>
      </c>
      <c r="M1907" s="12"/>
      <c r="N1907" s="15"/>
      <c r="O1907" s="1"/>
      <c r="Q1907" s="12"/>
      <c r="R1907" s="1"/>
    </row>
    <row r="1908" ht="12.75" hidden="1" customHeight="1" outlineLevel="1">
      <c r="A1908" s="122">
        <f t="shared" si="294"/>
        <v>43197</v>
      </c>
      <c r="B1908" s="120">
        <v>801762.36</v>
      </c>
      <c r="C1908" s="19">
        <f t="shared" si="291"/>
        <v>-0.002713646789</v>
      </c>
      <c r="D1908" s="19">
        <f t="shared" si="292"/>
        <v>-0.01284684155</v>
      </c>
      <c r="E1908" s="12"/>
      <c r="F1908" s="7"/>
      <c r="G1908" s="7"/>
      <c r="H1908" s="1"/>
      <c r="I1908" s="1"/>
      <c r="J1908" s="1"/>
      <c r="K1908" s="1"/>
      <c r="L1908" s="12">
        <f t="shared" si="293"/>
        <v>18584.66442</v>
      </c>
      <c r="M1908" s="12"/>
      <c r="N1908" s="15"/>
      <c r="O1908" s="1"/>
      <c r="Q1908" s="12"/>
      <c r="R1908" s="1"/>
    </row>
    <row r="1909" ht="12.75" hidden="1" customHeight="1" outlineLevel="1">
      <c r="A1909" s="122">
        <f t="shared" si="294"/>
        <v>43198</v>
      </c>
      <c r="B1909" s="120">
        <v>801762.36</v>
      </c>
      <c r="C1909" s="19">
        <f t="shared" si="291"/>
        <v>0</v>
      </c>
      <c r="D1909" s="19">
        <f t="shared" si="292"/>
        <v>-0.01284684155</v>
      </c>
      <c r="E1909" s="12"/>
      <c r="F1909" s="7"/>
      <c r="G1909" s="7"/>
      <c r="H1909" s="1"/>
      <c r="I1909" s="1"/>
      <c r="J1909" s="1"/>
      <c r="K1909" s="1"/>
      <c r="L1909" s="12">
        <f t="shared" si="293"/>
        <v>18584.66442</v>
      </c>
      <c r="M1909" s="12"/>
      <c r="N1909" s="15"/>
      <c r="O1909" s="1"/>
      <c r="Q1909" s="12"/>
      <c r="R1909" s="1"/>
    </row>
    <row r="1910" ht="12.75" hidden="1" customHeight="1" outlineLevel="1">
      <c r="A1910" s="122">
        <f t="shared" si="294"/>
        <v>43199</v>
      </c>
      <c r="B1910" s="120">
        <v>815000.0</v>
      </c>
      <c r="C1910" s="19">
        <f t="shared" si="291"/>
        <v>0.0165106778</v>
      </c>
      <c r="D1910" s="19">
        <f t="shared" si="292"/>
        <v>0.003451726191</v>
      </c>
      <c r="E1910" s="12"/>
      <c r="F1910" s="7"/>
      <c r="G1910" s="7"/>
      <c r="H1910" s="1"/>
      <c r="I1910" s="1"/>
      <c r="J1910" s="1"/>
      <c r="K1910" s="1"/>
      <c r="L1910" s="12">
        <f t="shared" si="293"/>
        <v>18891.50983</v>
      </c>
      <c r="M1910" s="12"/>
      <c r="N1910" s="15"/>
      <c r="O1910" s="1"/>
      <c r="Q1910" s="12"/>
      <c r="R1910" s="1"/>
    </row>
    <row r="1911" ht="12.75" hidden="1" customHeight="1" outlineLevel="1">
      <c r="A1911" s="122">
        <f t="shared" si="294"/>
        <v>43200</v>
      </c>
      <c r="B1911" s="120">
        <v>815000.0</v>
      </c>
      <c r="C1911" s="19">
        <f t="shared" si="291"/>
        <v>0</v>
      </c>
      <c r="D1911" s="19">
        <f t="shared" si="292"/>
        <v>0.003451726191</v>
      </c>
      <c r="E1911" s="12"/>
      <c r="F1911" s="7"/>
      <c r="G1911" s="7"/>
      <c r="H1911" s="1"/>
      <c r="I1911" s="1"/>
      <c r="J1911" s="1"/>
      <c r="K1911" s="1"/>
      <c r="L1911" s="12">
        <f t="shared" si="293"/>
        <v>18891.50983</v>
      </c>
      <c r="M1911" s="12"/>
      <c r="N1911" s="15"/>
      <c r="O1911" s="1"/>
      <c r="Q1911" s="12"/>
      <c r="R1911" s="1"/>
    </row>
    <row r="1912" ht="12.75" hidden="1" customHeight="1" outlineLevel="1">
      <c r="A1912" s="122">
        <f t="shared" si="294"/>
        <v>43201</v>
      </c>
      <c r="B1912" s="120">
        <v>811000.0</v>
      </c>
      <c r="C1912" s="19">
        <f t="shared" si="291"/>
        <v>-0.00490797546</v>
      </c>
      <c r="D1912" s="19">
        <f t="shared" si="292"/>
        <v>-0.001473190257</v>
      </c>
      <c r="E1912" s="12"/>
      <c r="F1912" s="7"/>
      <c r="G1912" s="7"/>
      <c r="H1912" s="1"/>
      <c r="I1912" s="1"/>
      <c r="J1912" s="1"/>
      <c r="K1912" s="1"/>
      <c r="L1912" s="12">
        <f t="shared" si="293"/>
        <v>18798.79076</v>
      </c>
      <c r="M1912" s="12"/>
      <c r="N1912" s="15"/>
      <c r="O1912" s="1"/>
      <c r="Q1912" s="12"/>
      <c r="R1912" s="1"/>
    </row>
    <row r="1913" ht="12.75" hidden="1" customHeight="1" outlineLevel="1">
      <c r="A1913" s="122">
        <f t="shared" si="294"/>
        <v>43202</v>
      </c>
      <c r="B1913" s="120">
        <v>811000.0</v>
      </c>
      <c r="C1913" s="19">
        <f t="shared" si="291"/>
        <v>0</v>
      </c>
      <c r="D1913" s="19">
        <f t="shared" si="292"/>
        <v>-0.001473190257</v>
      </c>
      <c r="E1913" s="12"/>
      <c r="F1913" s="7"/>
      <c r="G1913" s="7"/>
      <c r="H1913" s="1"/>
      <c r="I1913" s="1"/>
      <c r="J1913" s="1"/>
      <c r="K1913" s="1"/>
      <c r="L1913" s="12">
        <f t="shared" si="293"/>
        <v>18798.79076</v>
      </c>
      <c r="M1913" s="12"/>
      <c r="N1913" s="15"/>
      <c r="O1913" s="1"/>
      <c r="Q1913" s="12"/>
      <c r="R1913" s="1"/>
    </row>
    <row r="1914" ht="12.75" hidden="1" customHeight="1" outlineLevel="1">
      <c r="A1914" s="122">
        <f t="shared" si="294"/>
        <v>43203</v>
      </c>
      <c r="B1914" s="120">
        <v>811000.0</v>
      </c>
      <c r="C1914" s="19">
        <f t="shared" si="291"/>
        <v>0</v>
      </c>
      <c r="D1914" s="19">
        <f t="shared" si="292"/>
        <v>-0.001473190257</v>
      </c>
      <c r="E1914" s="12"/>
      <c r="F1914" s="7"/>
      <c r="G1914" s="7"/>
      <c r="H1914" s="1"/>
      <c r="I1914" s="1"/>
      <c r="J1914" s="1"/>
      <c r="K1914" s="1"/>
      <c r="L1914" s="12">
        <f t="shared" si="293"/>
        <v>18798.79076</v>
      </c>
      <c r="M1914" s="12"/>
      <c r="N1914" s="15"/>
      <c r="O1914" s="1"/>
      <c r="Q1914" s="12"/>
      <c r="R1914" s="1"/>
    </row>
    <row r="1915" ht="12.75" hidden="1" customHeight="1" outlineLevel="1">
      <c r="A1915" s="122">
        <f t="shared" si="294"/>
        <v>43204</v>
      </c>
      <c r="B1915" s="120">
        <v>811000.0</v>
      </c>
      <c r="C1915" s="19">
        <f t="shared" si="291"/>
        <v>0</v>
      </c>
      <c r="D1915" s="19">
        <f t="shared" si="292"/>
        <v>-0.001473190257</v>
      </c>
      <c r="E1915" s="12"/>
      <c r="F1915" s="7"/>
      <c r="G1915" s="7"/>
      <c r="H1915" s="1"/>
      <c r="I1915" s="1"/>
      <c r="J1915" s="1"/>
      <c r="K1915" s="1"/>
      <c r="L1915" s="12">
        <f t="shared" si="293"/>
        <v>18798.79076</v>
      </c>
      <c r="M1915" s="12"/>
      <c r="N1915" s="15"/>
      <c r="O1915" s="1"/>
      <c r="Q1915" s="12"/>
      <c r="R1915" s="1"/>
    </row>
    <row r="1916" ht="12.75" hidden="1" customHeight="1" outlineLevel="1">
      <c r="A1916" s="122">
        <f t="shared" si="294"/>
        <v>43205</v>
      </c>
      <c r="B1916" s="120">
        <v>811000.0</v>
      </c>
      <c r="C1916" s="19">
        <f t="shared" si="291"/>
        <v>0</v>
      </c>
      <c r="D1916" s="19">
        <f t="shared" si="292"/>
        <v>-0.001473190257</v>
      </c>
      <c r="E1916" s="12"/>
      <c r="F1916" s="7"/>
      <c r="G1916" s="7"/>
      <c r="H1916" s="1"/>
      <c r="I1916" s="1"/>
      <c r="J1916" s="1"/>
      <c r="K1916" s="1"/>
      <c r="L1916" s="12">
        <f t="shared" si="293"/>
        <v>18798.79076</v>
      </c>
      <c r="M1916" s="12"/>
      <c r="N1916" s="15"/>
      <c r="O1916" s="1"/>
      <c r="Q1916" s="12"/>
      <c r="R1916" s="1"/>
    </row>
    <row r="1917" ht="12.75" hidden="1" customHeight="1" outlineLevel="1">
      <c r="A1917" s="122">
        <f t="shared" si="294"/>
        <v>43206</v>
      </c>
      <c r="B1917" s="120">
        <v>817150.7399999999</v>
      </c>
      <c r="C1917" s="19">
        <f t="shared" si="291"/>
        <v>0.007584143033</v>
      </c>
      <c r="D1917" s="19">
        <f t="shared" si="292"/>
        <v>0.006099779891</v>
      </c>
      <c r="E1917" s="12"/>
      <c r="F1917" s="7"/>
      <c r="G1917" s="7"/>
      <c r="H1917" s="1"/>
      <c r="I1917" s="1"/>
      <c r="J1917" s="1"/>
      <c r="K1917" s="1"/>
      <c r="L1917" s="12">
        <f t="shared" si="293"/>
        <v>18941.36348</v>
      </c>
      <c r="M1917" s="12"/>
      <c r="N1917" s="15"/>
      <c r="O1917" s="1"/>
      <c r="Q1917" s="12"/>
      <c r="R1917" s="1"/>
    </row>
    <row r="1918" ht="12.75" hidden="1" customHeight="1" outlineLevel="1">
      <c r="A1918" s="122">
        <f t="shared" si="294"/>
        <v>43207</v>
      </c>
      <c r="B1918" s="120">
        <v>825800.0</v>
      </c>
      <c r="C1918" s="19">
        <f t="shared" si="291"/>
        <v>0.01058465663</v>
      </c>
      <c r="D1918" s="19">
        <f t="shared" si="292"/>
        <v>0.0167490006</v>
      </c>
      <c r="E1918" s="12"/>
      <c r="F1918" s="7"/>
      <c r="G1918" s="7"/>
      <c r="H1918" s="1"/>
      <c r="I1918" s="1"/>
      <c r="J1918" s="1"/>
      <c r="K1918" s="1"/>
      <c r="L1918" s="12">
        <f t="shared" si="293"/>
        <v>19141.85131</v>
      </c>
      <c r="M1918" s="12"/>
      <c r="N1918" s="15"/>
      <c r="O1918" s="1"/>
      <c r="Q1918" s="12"/>
      <c r="R1918" s="1"/>
    </row>
    <row r="1919" ht="12.75" hidden="1" customHeight="1" outlineLevel="1">
      <c r="A1919" s="122">
        <f t="shared" si="294"/>
        <v>43208</v>
      </c>
      <c r="B1919" s="120">
        <v>825800.0</v>
      </c>
      <c r="C1919" s="19">
        <f t="shared" si="291"/>
        <v>0</v>
      </c>
      <c r="D1919" s="19">
        <f t="shared" si="292"/>
        <v>0.0167490006</v>
      </c>
      <c r="E1919" s="12"/>
      <c r="F1919" s="7"/>
      <c r="G1919" s="7"/>
      <c r="H1919" s="1"/>
      <c r="I1919" s="1"/>
      <c r="J1919" s="1"/>
      <c r="K1919" s="1"/>
      <c r="L1919" s="12">
        <f t="shared" si="293"/>
        <v>19141.85131</v>
      </c>
      <c r="M1919" s="12"/>
      <c r="N1919" s="15"/>
      <c r="O1919" s="1"/>
      <c r="Q1919" s="12"/>
      <c r="R1919" s="1"/>
    </row>
    <row r="1920" ht="12.75" hidden="1" customHeight="1" outlineLevel="1">
      <c r="A1920" s="122">
        <f t="shared" si="294"/>
        <v>43209</v>
      </c>
      <c r="B1920" s="120">
        <v>825800.0</v>
      </c>
      <c r="C1920" s="19">
        <f t="shared" si="291"/>
        <v>0</v>
      </c>
      <c r="D1920" s="19">
        <f t="shared" si="292"/>
        <v>0.0167490006</v>
      </c>
      <c r="E1920" s="12"/>
      <c r="F1920" s="7"/>
      <c r="G1920" s="7"/>
      <c r="H1920" s="1"/>
      <c r="I1920" s="1"/>
      <c r="J1920" s="1"/>
      <c r="K1920" s="1"/>
      <c r="L1920" s="12">
        <f t="shared" si="293"/>
        <v>19141.85131</v>
      </c>
      <c r="M1920" s="12"/>
      <c r="N1920" s="15"/>
      <c r="O1920" s="1"/>
      <c r="Q1920" s="12"/>
      <c r="R1920" s="1"/>
    </row>
    <row r="1921" ht="12.75" hidden="1" customHeight="1" outlineLevel="1">
      <c r="A1921" s="122">
        <f t="shared" si="294"/>
        <v>43210</v>
      </c>
      <c r="B1921" s="120">
        <v>825800.0</v>
      </c>
      <c r="C1921" s="19">
        <f t="shared" si="291"/>
        <v>0</v>
      </c>
      <c r="D1921" s="19">
        <f t="shared" si="292"/>
        <v>0.0167490006</v>
      </c>
      <c r="E1921" s="12"/>
      <c r="F1921" s="7"/>
      <c r="G1921" s="7"/>
      <c r="H1921" s="1"/>
      <c r="I1921" s="1"/>
      <c r="J1921" s="1"/>
      <c r="K1921" s="1"/>
      <c r="L1921" s="12">
        <f t="shared" si="293"/>
        <v>19141.85131</v>
      </c>
      <c r="M1921" s="12"/>
      <c r="N1921" s="15"/>
      <c r="O1921" s="1"/>
      <c r="Q1921" s="12"/>
      <c r="R1921" s="1"/>
    </row>
    <row r="1922" ht="12.75" hidden="1" customHeight="1" outlineLevel="1">
      <c r="A1922" s="122">
        <f t="shared" si="294"/>
        <v>43211</v>
      </c>
      <c r="B1922" s="120">
        <v>822500.0</v>
      </c>
      <c r="C1922" s="19">
        <f t="shared" si="291"/>
        <v>-0.00399612497</v>
      </c>
      <c r="D1922" s="19">
        <f t="shared" si="292"/>
        <v>0.01268594453</v>
      </c>
      <c r="E1922" s="12"/>
      <c r="F1922" s="7"/>
      <c r="G1922" s="7"/>
      <c r="H1922" s="1"/>
      <c r="I1922" s="1"/>
      <c r="J1922" s="1"/>
      <c r="K1922" s="1"/>
      <c r="L1922" s="12">
        <f t="shared" si="293"/>
        <v>19065.35808</v>
      </c>
      <c r="M1922" s="12"/>
      <c r="N1922" s="15"/>
      <c r="O1922" s="1"/>
      <c r="Q1922" s="12"/>
      <c r="R1922" s="1"/>
    </row>
    <row r="1923" ht="12.75" hidden="1" customHeight="1" outlineLevel="1">
      <c r="A1923" s="122">
        <f t="shared" si="294"/>
        <v>43212</v>
      </c>
      <c r="B1923" s="120">
        <v>822500.0</v>
      </c>
      <c r="C1923" s="19">
        <f t="shared" si="291"/>
        <v>0</v>
      </c>
      <c r="D1923" s="19">
        <f t="shared" si="292"/>
        <v>0.01268594453</v>
      </c>
      <c r="E1923" s="12"/>
      <c r="F1923" s="7"/>
      <c r="G1923" s="7"/>
      <c r="H1923" s="1"/>
      <c r="I1923" s="1"/>
      <c r="J1923" s="1"/>
      <c r="K1923" s="1"/>
      <c r="L1923" s="12">
        <f t="shared" si="293"/>
        <v>19065.35808</v>
      </c>
      <c r="M1923" s="12"/>
      <c r="N1923" s="15"/>
      <c r="O1923" s="1"/>
      <c r="Q1923" s="12"/>
      <c r="R1923" s="1"/>
    </row>
    <row r="1924" ht="12.75" hidden="1" customHeight="1" outlineLevel="1">
      <c r="A1924" s="122">
        <f t="shared" si="294"/>
        <v>43213</v>
      </c>
      <c r="B1924" s="120">
        <v>819999.23</v>
      </c>
      <c r="C1924" s="19">
        <f t="shared" si="291"/>
        <v>-0.003040449848</v>
      </c>
      <c r="D1924" s="19">
        <f t="shared" si="292"/>
        <v>0.009606923704</v>
      </c>
      <c r="E1924" s="12"/>
      <c r="F1924" s="7"/>
      <c r="G1924" s="7"/>
      <c r="H1924" s="1"/>
      <c r="I1924" s="1"/>
      <c r="J1924" s="1"/>
      <c r="K1924" s="1"/>
      <c r="L1924" s="12">
        <f t="shared" si="293"/>
        <v>19007.39081</v>
      </c>
      <c r="M1924" s="12"/>
      <c r="N1924" s="15"/>
      <c r="O1924" s="1"/>
      <c r="Q1924" s="12"/>
      <c r="R1924" s="1"/>
    </row>
    <row r="1925" ht="12.75" hidden="1" customHeight="1" outlineLevel="1">
      <c r="A1925" s="122">
        <f t="shared" si="294"/>
        <v>43214</v>
      </c>
      <c r="B1925" s="120">
        <v>811900.0</v>
      </c>
      <c r="C1925" s="19">
        <f t="shared" si="291"/>
        <v>-0.009877119031</v>
      </c>
      <c r="D1925" s="19">
        <f t="shared" si="292"/>
        <v>-0.0003650840563</v>
      </c>
      <c r="E1925" s="12"/>
      <c r="F1925" s="7"/>
      <c r="G1925" s="7"/>
      <c r="H1925" s="1"/>
      <c r="I1925" s="1"/>
      <c r="J1925" s="1"/>
      <c r="K1925" s="1"/>
      <c r="L1925" s="12">
        <f t="shared" si="293"/>
        <v>18819.65255</v>
      </c>
      <c r="M1925" s="12"/>
      <c r="N1925" s="15"/>
      <c r="O1925" s="1"/>
      <c r="Q1925" s="12"/>
      <c r="R1925" s="1"/>
    </row>
    <row r="1926" ht="12.75" hidden="1" customHeight="1" outlineLevel="1">
      <c r="A1926" s="122">
        <f t="shared" si="294"/>
        <v>43215</v>
      </c>
      <c r="B1926" s="120">
        <v>811900.0</v>
      </c>
      <c r="C1926" s="19">
        <f t="shared" si="291"/>
        <v>0</v>
      </c>
      <c r="D1926" s="19">
        <f t="shared" si="292"/>
        <v>-0.0003650840563</v>
      </c>
      <c r="E1926" s="12"/>
      <c r="F1926" s="7"/>
      <c r="G1926" s="7"/>
      <c r="H1926" s="1"/>
      <c r="I1926" s="1"/>
      <c r="J1926" s="1"/>
      <c r="K1926" s="1"/>
      <c r="L1926" s="12">
        <f t="shared" si="293"/>
        <v>18819.65255</v>
      </c>
      <c r="M1926" s="12"/>
      <c r="N1926" s="15"/>
      <c r="O1926" s="1"/>
      <c r="Q1926" s="12"/>
      <c r="R1926" s="1"/>
    </row>
    <row r="1927" ht="12.75" hidden="1" customHeight="1" outlineLevel="1">
      <c r="A1927" s="122">
        <f t="shared" si="294"/>
        <v>43216</v>
      </c>
      <c r="B1927" s="120">
        <v>811900.0</v>
      </c>
      <c r="C1927" s="19">
        <f t="shared" si="291"/>
        <v>0</v>
      </c>
      <c r="D1927" s="19">
        <f t="shared" si="292"/>
        <v>-0.0003650840563</v>
      </c>
      <c r="E1927" s="12"/>
      <c r="F1927" s="7"/>
      <c r="G1927" s="7"/>
      <c r="H1927" s="1"/>
      <c r="I1927" s="1"/>
      <c r="J1927" s="1"/>
      <c r="K1927" s="1"/>
      <c r="L1927" s="12">
        <f t="shared" si="293"/>
        <v>18819.65255</v>
      </c>
      <c r="M1927" s="12"/>
      <c r="N1927" s="15"/>
      <c r="O1927" s="1"/>
      <c r="Q1927" s="12"/>
      <c r="R1927" s="1"/>
    </row>
    <row r="1928" ht="12.75" hidden="1" customHeight="1" outlineLevel="1">
      <c r="A1928" s="122">
        <f t="shared" si="294"/>
        <v>43217</v>
      </c>
      <c r="B1928" s="120">
        <v>819199.3999999998</v>
      </c>
      <c r="C1928" s="19">
        <f t="shared" si="291"/>
        <v>0.008990516073</v>
      </c>
      <c r="D1928" s="19">
        <f t="shared" si="292"/>
        <v>0.008622149723</v>
      </c>
      <c r="E1928" s="12"/>
      <c r="F1928" s="7"/>
      <c r="G1928" s="7"/>
      <c r="H1928" s="1"/>
      <c r="I1928" s="1"/>
      <c r="J1928" s="1"/>
      <c r="K1928" s="1"/>
      <c r="L1928" s="12">
        <f t="shared" si="293"/>
        <v>18988.85094</v>
      </c>
      <c r="M1928" s="12"/>
      <c r="N1928" s="15"/>
      <c r="O1928" s="1"/>
      <c r="Q1928" s="12"/>
      <c r="R1928" s="1"/>
    </row>
    <row r="1929" ht="12.75" hidden="1" customHeight="1" outlineLevel="1">
      <c r="A1929" s="122">
        <f t="shared" si="294"/>
        <v>43218</v>
      </c>
      <c r="B1929" s="120">
        <v>817700.0</v>
      </c>
      <c r="C1929" s="19">
        <f t="shared" si="291"/>
        <v>-0.001830323606</v>
      </c>
      <c r="D1929" s="19">
        <f t="shared" si="292"/>
        <v>0.006776044793</v>
      </c>
      <c r="E1929" s="12"/>
      <c r="F1929" s="7"/>
      <c r="G1929" s="7"/>
      <c r="H1929" s="1"/>
      <c r="I1929" s="1"/>
      <c r="J1929" s="1"/>
      <c r="K1929" s="1"/>
      <c r="L1929" s="12">
        <f t="shared" si="293"/>
        <v>18954.0952</v>
      </c>
      <c r="M1929" s="12"/>
      <c r="N1929" s="15"/>
      <c r="O1929" s="1"/>
      <c r="Q1929" s="12"/>
      <c r="R1929" s="1"/>
    </row>
    <row r="1930" ht="12.75" hidden="1" customHeight="1" outlineLevel="1">
      <c r="A1930" s="122">
        <f t="shared" si="294"/>
        <v>43219</v>
      </c>
      <c r="B1930" s="120">
        <v>817700.0</v>
      </c>
      <c r="C1930" s="19">
        <f t="shared" si="291"/>
        <v>0</v>
      </c>
      <c r="D1930" s="19">
        <f t="shared" si="292"/>
        <v>0.006776044793</v>
      </c>
      <c r="E1930" s="12"/>
      <c r="F1930" s="7"/>
      <c r="G1930" s="7"/>
      <c r="H1930" s="1"/>
      <c r="I1930" s="1"/>
      <c r="J1930" s="1"/>
      <c r="K1930" s="1"/>
      <c r="L1930" s="12">
        <f t="shared" si="293"/>
        <v>18954.0952</v>
      </c>
      <c r="M1930" s="12"/>
      <c r="N1930" s="15"/>
      <c r="O1930" s="1"/>
      <c r="Q1930" s="12"/>
      <c r="R1930" s="1"/>
    </row>
    <row r="1931" ht="12.75" hidden="1" customHeight="1" outlineLevel="1">
      <c r="A1931" s="122">
        <f t="shared" si="294"/>
        <v>43220</v>
      </c>
      <c r="B1931" s="120">
        <v>808391.48</v>
      </c>
      <c r="C1931" s="19">
        <f t="shared" si="291"/>
        <v>-0.01138378378</v>
      </c>
      <c r="D1931" s="19">
        <f t="shared" si="292"/>
        <v>-0.00468487602</v>
      </c>
      <c r="E1931" s="12"/>
      <c r="F1931" s="7"/>
      <c r="G1931" s="7"/>
      <c r="H1931" s="1"/>
      <c r="I1931" s="1"/>
      <c r="J1931" s="1"/>
      <c r="K1931" s="1"/>
      <c r="L1931" s="12">
        <f t="shared" si="293"/>
        <v>18738.32588</v>
      </c>
      <c r="M1931" s="12"/>
      <c r="N1931" s="15"/>
      <c r="O1931" s="1"/>
      <c r="Q1931" s="12"/>
      <c r="R1931" s="1"/>
    </row>
    <row r="1932" ht="12.75" hidden="1" customHeight="1" outlineLevel="1">
      <c r="A1932" s="122"/>
      <c r="B1932" s="12"/>
      <c r="C1932" s="1"/>
      <c r="D1932" s="1"/>
      <c r="E1932" s="12"/>
      <c r="F1932" s="7"/>
      <c r="G1932" s="7"/>
      <c r="H1932" s="1"/>
      <c r="I1932" s="1"/>
      <c r="J1932" s="1"/>
      <c r="K1932" s="1"/>
      <c r="L1932" s="12"/>
      <c r="M1932" s="12"/>
      <c r="N1932" s="15"/>
      <c r="O1932" s="1"/>
      <c r="Q1932" s="12"/>
      <c r="R1932" s="1"/>
    </row>
    <row r="1933" ht="12.75" hidden="1" customHeight="1" outlineLevel="1">
      <c r="A1933" s="122"/>
      <c r="B1933" s="12">
        <f>B1931</f>
        <v>808391.48</v>
      </c>
      <c r="C1933" s="1"/>
      <c r="D1933" s="1"/>
      <c r="E1933" s="12"/>
      <c r="F1933" s="7"/>
      <c r="G1933" s="7"/>
      <c r="H1933" s="1"/>
      <c r="I1933" s="1"/>
      <c r="J1933" s="1"/>
      <c r="K1933" s="1"/>
      <c r="L1933" s="12"/>
      <c r="M1933" s="12"/>
      <c r="N1933" s="15"/>
      <c r="O1933" s="1"/>
      <c r="Q1933" s="12"/>
      <c r="R1933" s="1"/>
    </row>
    <row r="1934" ht="12.75" hidden="1" customHeight="1" outlineLevel="1">
      <c r="A1934" s="122">
        <f>A1931+1</f>
        <v>43221</v>
      </c>
      <c r="B1934" s="120">
        <v>811478.6500000003</v>
      </c>
      <c r="C1934" s="19">
        <f t="shared" ref="C1934:C1964" si="295">B1934/B1933-1</f>
        <v>0.003818904672</v>
      </c>
      <c r="D1934" s="19">
        <f t="shared" ref="D1934:D1964" si="296">(B1934/$B$1933)-1</f>
        <v>0.003818904672</v>
      </c>
      <c r="E1934" s="12"/>
      <c r="F1934" s="7"/>
      <c r="G1934" s="7"/>
      <c r="H1934" s="1"/>
      <c r="I1934" s="1"/>
      <c r="J1934" s="1"/>
      <c r="K1934" s="1"/>
      <c r="L1934" s="12">
        <f t="shared" ref="L1934:L1964" si="297">IF(C1933="",L1931*(1+C1934),L1933*(1+C1934))</f>
        <v>18809.88576</v>
      </c>
      <c r="M1934" s="12"/>
      <c r="N1934" s="15"/>
      <c r="O1934" s="1"/>
      <c r="Q1934" s="12"/>
      <c r="R1934" s="1"/>
    </row>
    <row r="1935" ht="12.75" hidden="1" customHeight="1" outlineLevel="1">
      <c r="A1935" s="122">
        <f t="shared" ref="A1935:A1964" si="298">A1934+1</f>
        <v>43222</v>
      </c>
      <c r="B1935" s="120">
        <v>811478.6500000003</v>
      </c>
      <c r="C1935" s="19">
        <f t="shared" si="295"/>
        <v>0</v>
      </c>
      <c r="D1935" s="19">
        <f t="shared" si="296"/>
        <v>0.003818904672</v>
      </c>
      <c r="E1935" s="12"/>
      <c r="F1935" s="7"/>
      <c r="G1935" s="7"/>
      <c r="H1935" s="1"/>
      <c r="I1935" s="1"/>
      <c r="J1935" s="1"/>
      <c r="K1935" s="1"/>
      <c r="L1935" s="12">
        <f t="shared" si="297"/>
        <v>18809.88576</v>
      </c>
      <c r="M1935" s="12"/>
      <c r="N1935" s="15"/>
      <c r="O1935" s="1"/>
      <c r="Q1935" s="12"/>
      <c r="R1935" s="1"/>
    </row>
    <row r="1936" ht="12.75" hidden="1" customHeight="1" outlineLevel="1">
      <c r="A1936" s="122">
        <f t="shared" si="298"/>
        <v>43223</v>
      </c>
      <c r="B1936" s="120">
        <v>806562.26</v>
      </c>
      <c r="C1936" s="19">
        <f t="shared" si="295"/>
        <v>-0.006058557425</v>
      </c>
      <c r="D1936" s="19">
        <f t="shared" si="296"/>
        <v>-0.002262789806</v>
      </c>
      <c r="E1936" s="12"/>
      <c r="F1936" s="7"/>
      <c r="G1936" s="7"/>
      <c r="H1936" s="1"/>
      <c r="I1936" s="1"/>
      <c r="J1936" s="1"/>
      <c r="K1936" s="1"/>
      <c r="L1936" s="12">
        <f t="shared" si="297"/>
        <v>18695.92498</v>
      </c>
      <c r="M1936" s="12"/>
      <c r="N1936" s="15"/>
      <c r="O1936" s="1"/>
      <c r="Q1936" s="12"/>
      <c r="R1936" s="1"/>
    </row>
    <row r="1937" ht="12.75" hidden="1" customHeight="1" outlineLevel="1">
      <c r="A1937" s="122">
        <f t="shared" si="298"/>
        <v>43224</v>
      </c>
      <c r="B1937" s="120">
        <v>806562.26</v>
      </c>
      <c r="C1937" s="19">
        <f t="shared" si="295"/>
        <v>0</v>
      </c>
      <c r="D1937" s="19">
        <f t="shared" si="296"/>
        <v>-0.002262789806</v>
      </c>
      <c r="E1937" s="12"/>
      <c r="F1937" s="7"/>
      <c r="G1937" s="7"/>
      <c r="H1937" s="1"/>
      <c r="I1937" s="1"/>
      <c r="J1937" s="1"/>
      <c r="K1937" s="1"/>
      <c r="L1937" s="12">
        <f t="shared" si="297"/>
        <v>18695.92498</v>
      </c>
      <c r="M1937" s="12"/>
      <c r="N1937" s="15"/>
      <c r="O1937" s="1"/>
      <c r="Q1937" s="12"/>
      <c r="R1937" s="1"/>
    </row>
    <row r="1938" ht="12.75" hidden="1" customHeight="1" outlineLevel="1">
      <c r="A1938" s="122">
        <f t="shared" si="298"/>
        <v>43225</v>
      </c>
      <c r="B1938" s="120">
        <v>806562.26</v>
      </c>
      <c r="C1938" s="19">
        <f t="shared" si="295"/>
        <v>0</v>
      </c>
      <c r="D1938" s="19">
        <f t="shared" si="296"/>
        <v>-0.002262789806</v>
      </c>
      <c r="E1938" s="12"/>
      <c r="F1938" s="7"/>
      <c r="G1938" s="7"/>
      <c r="H1938" s="1"/>
      <c r="I1938" s="1"/>
      <c r="J1938" s="1"/>
      <c r="K1938" s="1"/>
      <c r="L1938" s="12">
        <f t="shared" si="297"/>
        <v>18695.92498</v>
      </c>
      <c r="M1938" s="12"/>
      <c r="N1938" s="15"/>
      <c r="O1938" s="1"/>
      <c r="Q1938" s="12"/>
      <c r="R1938" s="1"/>
    </row>
    <row r="1939" ht="12.75" hidden="1" customHeight="1" outlineLevel="1">
      <c r="A1939" s="122">
        <f t="shared" si="298"/>
        <v>43226</v>
      </c>
      <c r="B1939" s="120">
        <v>806562.26</v>
      </c>
      <c r="C1939" s="19">
        <f t="shared" si="295"/>
        <v>0</v>
      </c>
      <c r="D1939" s="19">
        <f t="shared" si="296"/>
        <v>-0.002262789806</v>
      </c>
      <c r="E1939" s="12"/>
      <c r="F1939" s="7"/>
      <c r="G1939" s="7"/>
      <c r="H1939" s="1"/>
      <c r="I1939" s="1"/>
      <c r="J1939" s="1"/>
      <c r="K1939" s="1"/>
      <c r="L1939" s="12">
        <f t="shared" si="297"/>
        <v>18695.92498</v>
      </c>
      <c r="M1939" s="12"/>
      <c r="N1939" s="15"/>
      <c r="O1939" s="1"/>
      <c r="Q1939" s="12"/>
      <c r="R1939" s="1"/>
    </row>
    <row r="1940" ht="12.75" hidden="1" customHeight="1" outlineLevel="1">
      <c r="A1940" s="122">
        <f t="shared" si="298"/>
        <v>43227</v>
      </c>
      <c r="B1940" s="120">
        <v>806562.26</v>
      </c>
      <c r="C1940" s="19">
        <f t="shared" si="295"/>
        <v>0</v>
      </c>
      <c r="D1940" s="19">
        <f t="shared" si="296"/>
        <v>-0.002262789806</v>
      </c>
      <c r="E1940" s="12"/>
      <c r="F1940" s="7"/>
      <c r="G1940" s="7"/>
      <c r="H1940" s="1"/>
      <c r="I1940" s="1"/>
      <c r="J1940" s="1"/>
      <c r="K1940" s="1"/>
      <c r="L1940" s="12">
        <f t="shared" si="297"/>
        <v>18695.92498</v>
      </c>
      <c r="M1940" s="12"/>
      <c r="N1940" s="15"/>
      <c r="O1940" s="1"/>
      <c r="Q1940" s="12"/>
      <c r="R1940" s="1"/>
    </row>
    <row r="1941" ht="12.75" hidden="1" customHeight="1" outlineLevel="1">
      <c r="A1941" s="122">
        <f t="shared" si="298"/>
        <v>43228</v>
      </c>
      <c r="B1941" s="120">
        <v>806562.26</v>
      </c>
      <c r="C1941" s="19">
        <f t="shared" si="295"/>
        <v>0</v>
      </c>
      <c r="D1941" s="19">
        <f t="shared" si="296"/>
        <v>-0.002262789806</v>
      </c>
      <c r="E1941" s="12"/>
      <c r="F1941" s="7"/>
      <c r="G1941" s="7"/>
      <c r="H1941" s="1"/>
      <c r="I1941" s="1"/>
      <c r="J1941" s="1"/>
      <c r="K1941" s="1"/>
      <c r="L1941" s="12">
        <f t="shared" si="297"/>
        <v>18695.92498</v>
      </c>
      <c r="M1941" s="12"/>
      <c r="N1941" s="15"/>
      <c r="O1941" s="1"/>
      <c r="Q1941" s="12"/>
      <c r="R1941" s="1"/>
    </row>
    <row r="1942" ht="12.75" hidden="1" customHeight="1" outlineLevel="1">
      <c r="A1942" s="122">
        <f t="shared" si="298"/>
        <v>43229</v>
      </c>
      <c r="B1942" s="120">
        <v>806562.26</v>
      </c>
      <c r="C1942" s="19">
        <f t="shared" si="295"/>
        <v>0</v>
      </c>
      <c r="D1942" s="19">
        <f t="shared" si="296"/>
        <v>-0.002262789806</v>
      </c>
      <c r="E1942" s="12"/>
      <c r="F1942" s="7"/>
      <c r="G1942" s="7"/>
      <c r="H1942" s="1"/>
      <c r="I1942" s="1"/>
      <c r="J1942" s="1"/>
      <c r="K1942" s="1"/>
      <c r="L1942" s="12">
        <f t="shared" si="297"/>
        <v>18695.92498</v>
      </c>
      <c r="M1942" s="12"/>
      <c r="N1942" s="15"/>
      <c r="O1942" s="1"/>
      <c r="Q1942" s="12"/>
      <c r="R1942" s="1"/>
    </row>
    <row r="1943" ht="12.75" hidden="1" customHeight="1" outlineLevel="1">
      <c r="A1943" s="122">
        <f t="shared" si="298"/>
        <v>43230</v>
      </c>
      <c r="B1943" s="120">
        <v>832600.0</v>
      </c>
      <c r="C1943" s="19">
        <f t="shared" si="295"/>
        <v>0.03228236838</v>
      </c>
      <c r="D1943" s="19">
        <f t="shared" si="296"/>
        <v>0.02994653036</v>
      </c>
      <c r="E1943" s="12"/>
      <c r="F1943" s="7"/>
      <c r="G1943" s="7"/>
      <c r="H1943" s="1"/>
      <c r="I1943" s="1"/>
      <c r="J1943" s="1"/>
      <c r="K1943" s="1"/>
      <c r="L1943" s="12">
        <f t="shared" si="297"/>
        <v>19299.47372</v>
      </c>
      <c r="M1943" s="12"/>
      <c r="N1943" s="15"/>
      <c r="O1943" s="1"/>
      <c r="Q1943" s="12"/>
      <c r="R1943" s="1"/>
    </row>
    <row r="1944" ht="12.75" hidden="1" customHeight="1" outlineLevel="1">
      <c r="A1944" s="122">
        <f t="shared" si="298"/>
        <v>43231</v>
      </c>
      <c r="B1944" s="120">
        <v>833700.0</v>
      </c>
      <c r="C1944" s="19">
        <f t="shared" si="295"/>
        <v>0.001321162623</v>
      </c>
      <c r="D1944" s="19">
        <f t="shared" si="296"/>
        <v>0.03130725722</v>
      </c>
      <c r="E1944" s="12"/>
      <c r="F1944" s="7"/>
      <c r="G1944" s="7"/>
      <c r="H1944" s="1"/>
      <c r="I1944" s="1"/>
      <c r="J1944" s="1"/>
      <c r="K1944" s="1"/>
      <c r="L1944" s="12">
        <f t="shared" si="297"/>
        <v>19324.97147</v>
      </c>
      <c r="M1944" s="12"/>
      <c r="N1944" s="15"/>
      <c r="O1944" s="1"/>
      <c r="Q1944" s="12"/>
      <c r="R1944" s="1"/>
    </row>
    <row r="1945" ht="12.75" hidden="1" customHeight="1" outlineLevel="1">
      <c r="A1945" s="122">
        <f t="shared" si="298"/>
        <v>43232</v>
      </c>
      <c r="B1945" s="120">
        <v>833700.0</v>
      </c>
      <c r="C1945" s="19">
        <f t="shared" si="295"/>
        <v>0</v>
      </c>
      <c r="D1945" s="19">
        <f t="shared" si="296"/>
        <v>0.03130725722</v>
      </c>
      <c r="E1945" s="12"/>
      <c r="F1945" s="7"/>
      <c r="G1945" s="7"/>
      <c r="H1945" s="1"/>
      <c r="I1945" s="1"/>
      <c r="J1945" s="1"/>
      <c r="K1945" s="1"/>
      <c r="L1945" s="12">
        <f t="shared" si="297"/>
        <v>19324.97147</v>
      </c>
      <c r="M1945" s="12"/>
      <c r="N1945" s="15"/>
      <c r="O1945" s="1"/>
      <c r="Q1945" s="12"/>
      <c r="R1945" s="1"/>
    </row>
    <row r="1946" ht="12.75" hidden="1" customHeight="1" outlineLevel="1">
      <c r="A1946" s="122">
        <f t="shared" si="298"/>
        <v>43233</v>
      </c>
      <c r="B1946" s="120">
        <v>833700.0</v>
      </c>
      <c r="C1946" s="19">
        <f t="shared" si="295"/>
        <v>0</v>
      </c>
      <c r="D1946" s="19">
        <f t="shared" si="296"/>
        <v>0.03130725722</v>
      </c>
      <c r="E1946" s="12"/>
      <c r="F1946" s="7"/>
      <c r="G1946" s="7"/>
      <c r="H1946" s="1"/>
      <c r="I1946" s="1"/>
      <c r="J1946" s="1"/>
      <c r="K1946" s="1"/>
      <c r="L1946" s="12">
        <f t="shared" si="297"/>
        <v>19324.97147</v>
      </c>
      <c r="M1946" s="12"/>
      <c r="N1946" s="15"/>
      <c r="O1946" s="1"/>
      <c r="Q1946" s="12"/>
      <c r="R1946" s="1"/>
    </row>
    <row r="1947" ht="12.75" hidden="1" customHeight="1" outlineLevel="1">
      <c r="A1947" s="122">
        <f t="shared" si="298"/>
        <v>43234</v>
      </c>
      <c r="B1947" s="120">
        <v>826383.56</v>
      </c>
      <c r="C1947" s="19">
        <f t="shared" si="295"/>
        <v>-0.008775866619</v>
      </c>
      <c r="D1947" s="19">
        <f t="shared" si="296"/>
        <v>0.02225664229</v>
      </c>
      <c r="E1947" s="12"/>
      <c r="F1947" s="7"/>
      <c r="G1947" s="7"/>
      <c r="H1947" s="1"/>
      <c r="I1947" s="1"/>
      <c r="J1947" s="1"/>
      <c r="K1947" s="1"/>
      <c r="L1947" s="12">
        <f t="shared" si="297"/>
        <v>19155.37809</v>
      </c>
      <c r="M1947" s="12"/>
      <c r="N1947" s="15"/>
      <c r="O1947" s="1"/>
      <c r="Q1947" s="12"/>
      <c r="R1947" s="1"/>
    </row>
    <row r="1948" ht="12.75" hidden="1" customHeight="1" outlineLevel="1">
      <c r="A1948" s="122">
        <f t="shared" si="298"/>
        <v>43235</v>
      </c>
      <c r="B1948" s="120">
        <v>826383.56</v>
      </c>
      <c r="C1948" s="19">
        <f t="shared" si="295"/>
        <v>0</v>
      </c>
      <c r="D1948" s="19">
        <f t="shared" si="296"/>
        <v>0.02225664229</v>
      </c>
      <c r="E1948" s="12"/>
      <c r="F1948" s="7"/>
      <c r="G1948" s="7"/>
      <c r="H1948" s="1"/>
      <c r="I1948" s="1"/>
      <c r="J1948" s="1"/>
      <c r="K1948" s="1"/>
      <c r="L1948" s="12">
        <f t="shared" si="297"/>
        <v>19155.37809</v>
      </c>
      <c r="M1948" s="12"/>
      <c r="N1948" s="15"/>
      <c r="O1948" s="1"/>
      <c r="Q1948" s="12"/>
      <c r="R1948" s="1"/>
    </row>
    <row r="1949" ht="12.75" hidden="1" customHeight="1" outlineLevel="1">
      <c r="A1949" s="122">
        <f t="shared" si="298"/>
        <v>43236</v>
      </c>
      <c r="B1949" s="120">
        <v>831486.5799999998</v>
      </c>
      <c r="C1949" s="19">
        <f t="shared" si="295"/>
        <v>0.006175122845</v>
      </c>
      <c r="D1949" s="19">
        <f t="shared" si="296"/>
        <v>0.02856920263</v>
      </c>
      <c r="E1949" s="12"/>
      <c r="F1949" s="7"/>
      <c r="G1949" s="7"/>
      <c r="H1949" s="1"/>
      <c r="I1949" s="1"/>
      <c r="J1949" s="1"/>
      <c r="K1949" s="1"/>
      <c r="L1949" s="12">
        <f t="shared" si="297"/>
        <v>19273.66491</v>
      </c>
      <c r="M1949" s="12"/>
      <c r="N1949" s="15"/>
      <c r="O1949" s="1"/>
      <c r="Q1949" s="12"/>
      <c r="R1949" s="1"/>
    </row>
    <row r="1950" ht="12.75" hidden="1" customHeight="1" outlineLevel="1">
      <c r="A1950" s="122">
        <f t="shared" si="298"/>
        <v>43237</v>
      </c>
      <c r="B1950" s="120">
        <v>835945.14</v>
      </c>
      <c r="C1950" s="19">
        <f t="shared" si="295"/>
        <v>0.005362155093</v>
      </c>
      <c r="D1950" s="19">
        <f t="shared" si="296"/>
        <v>0.03408455022</v>
      </c>
      <c r="E1950" s="12"/>
      <c r="F1950" s="7"/>
      <c r="G1950" s="7"/>
      <c r="H1950" s="1"/>
      <c r="I1950" s="1"/>
      <c r="J1950" s="1"/>
      <c r="K1950" s="1"/>
      <c r="L1950" s="12">
        <f t="shared" si="297"/>
        <v>19377.01329</v>
      </c>
      <c r="M1950" s="12"/>
      <c r="N1950" s="15"/>
      <c r="O1950" s="1"/>
      <c r="Q1950" s="12"/>
      <c r="R1950" s="1"/>
    </row>
    <row r="1951" ht="12.75" hidden="1" customHeight="1" outlineLevel="1">
      <c r="A1951" s="122">
        <f t="shared" si="298"/>
        <v>43238</v>
      </c>
      <c r="B1951" s="120">
        <v>835945.14</v>
      </c>
      <c r="C1951" s="19">
        <f t="shared" si="295"/>
        <v>0</v>
      </c>
      <c r="D1951" s="19">
        <f t="shared" si="296"/>
        <v>0.03408455022</v>
      </c>
      <c r="E1951" s="12"/>
      <c r="F1951" s="7"/>
      <c r="G1951" s="7"/>
      <c r="H1951" s="1"/>
      <c r="I1951" s="1"/>
      <c r="J1951" s="1"/>
      <c r="K1951" s="1"/>
      <c r="L1951" s="12">
        <f t="shared" si="297"/>
        <v>19377.01329</v>
      </c>
      <c r="M1951" s="12"/>
      <c r="N1951" s="15"/>
      <c r="O1951" s="1"/>
      <c r="Q1951" s="12"/>
      <c r="R1951" s="1"/>
    </row>
    <row r="1952" ht="12.75" hidden="1" customHeight="1" outlineLevel="1">
      <c r="A1952" s="122">
        <f t="shared" si="298"/>
        <v>43239</v>
      </c>
      <c r="B1952" s="120">
        <v>835945.14</v>
      </c>
      <c r="C1952" s="19">
        <f t="shared" si="295"/>
        <v>0</v>
      </c>
      <c r="D1952" s="19">
        <f t="shared" si="296"/>
        <v>0.03408455022</v>
      </c>
      <c r="E1952" s="12"/>
      <c r="F1952" s="7"/>
      <c r="G1952" s="7"/>
      <c r="H1952" s="1"/>
      <c r="I1952" s="1"/>
      <c r="J1952" s="1"/>
      <c r="K1952" s="1"/>
      <c r="L1952" s="12">
        <f t="shared" si="297"/>
        <v>19377.01329</v>
      </c>
      <c r="M1952" s="12"/>
      <c r="N1952" s="15"/>
      <c r="O1952" s="1"/>
      <c r="Q1952" s="12"/>
      <c r="R1952" s="1"/>
    </row>
    <row r="1953" ht="12.75" hidden="1" customHeight="1" outlineLevel="1">
      <c r="A1953" s="122">
        <f t="shared" si="298"/>
        <v>43240</v>
      </c>
      <c r="B1953" s="120">
        <v>835945.14</v>
      </c>
      <c r="C1953" s="19">
        <f t="shared" si="295"/>
        <v>0</v>
      </c>
      <c r="D1953" s="19">
        <f t="shared" si="296"/>
        <v>0.03408455022</v>
      </c>
      <c r="E1953" s="12"/>
      <c r="F1953" s="7"/>
      <c r="G1953" s="7"/>
      <c r="H1953" s="1"/>
      <c r="I1953" s="1"/>
      <c r="J1953" s="1"/>
      <c r="K1953" s="1"/>
      <c r="L1953" s="12">
        <f t="shared" si="297"/>
        <v>19377.01329</v>
      </c>
      <c r="M1953" s="12"/>
      <c r="N1953" s="15"/>
      <c r="O1953" s="1"/>
      <c r="Q1953" s="12"/>
      <c r="R1953" s="1"/>
    </row>
    <row r="1954" ht="12.75" hidden="1" customHeight="1" outlineLevel="1">
      <c r="A1954" s="122">
        <f t="shared" si="298"/>
        <v>43241</v>
      </c>
      <c r="B1954" s="120">
        <v>835945.14</v>
      </c>
      <c r="C1954" s="19">
        <f t="shared" si="295"/>
        <v>0</v>
      </c>
      <c r="D1954" s="19">
        <f t="shared" si="296"/>
        <v>0.03408455022</v>
      </c>
      <c r="E1954" s="12"/>
      <c r="F1954" s="7"/>
      <c r="G1954" s="7"/>
      <c r="H1954" s="1"/>
      <c r="I1954" s="1"/>
      <c r="J1954" s="1"/>
      <c r="K1954" s="1"/>
      <c r="L1954" s="12">
        <f t="shared" si="297"/>
        <v>19377.01329</v>
      </c>
      <c r="M1954" s="12"/>
      <c r="N1954" s="15"/>
      <c r="O1954" s="1"/>
      <c r="Q1954" s="12"/>
      <c r="R1954" s="1"/>
    </row>
    <row r="1955" ht="12.75" hidden="1" customHeight="1" outlineLevel="1">
      <c r="A1955" s="122">
        <f t="shared" si="298"/>
        <v>43242</v>
      </c>
      <c r="B1955" s="120">
        <v>835945.14</v>
      </c>
      <c r="C1955" s="19">
        <f t="shared" si="295"/>
        <v>0</v>
      </c>
      <c r="D1955" s="19">
        <f t="shared" si="296"/>
        <v>0.03408455022</v>
      </c>
      <c r="E1955" s="12"/>
      <c r="F1955" s="7"/>
      <c r="G1955" s="7"/>
      <c r="H1955" s="1"/>
      <c r="I1955" s="1"/>
      <c r="J1955" s="1"/>
      <c r="K1955" s="1"/>
      <c r="L1955" s="12">
        <f t="shared" si="297"/>
        <v>19377.01329</v>
      </c>
      <c r="M1955" s="12"/>
      <c r="N1955" s="15"/>
      <c r="O1955" s="1"/>
      <c r="Q1955" s="12"/>
      <c r="R1955" s="1"/>
    </row>
    <row r="1956" ht="12.75" hidden="1" customHeight="1" outlineLevel="1">
      <c r="A1956" s="122">
        <f t="shared" si="298"/>
        <v>43243</v>
      </c>
      <c r="B1956" s="120">
        <v>836000.0</v>
      </c>
      <c r="C1956" s="19">
        <f t="shared" si="295"/>
        <v>0.0000656263161</v>
      </c>
      <c r="D1956" s="19">
        <f t="shared" si="296"/>
        <v>0.03415241338</v>
      </c>
      <c r="E1956" s="12"/>
      <c r="F1956" s="7"/>
      <c r="G1956" s="7"/>
      <c r="H1956" s="1"/>
      <c r="I1956" s="1"/>
      <c r="J1956" s="1"/>
      <c r="K1956" s="1"/>
      <c r="L1956" s="12">
        <f t="shared" si="297"/>
        <v>19378.28493</v>
      </c>
      <c r="M1956" s="12"/>
      <c r="N1956" s="15"/>
      <c r="O1956" s="1"/>
      <c r="Q1956" s="12"/>
      <c r="R1956" s="1"/>
    </row>
    <row r="1957" ht="12.75" hidden="1" customHeight="1" outlineLevel="1">
      <c r="A1957" s="122">
        <f t="shared" si="298"/>
        <v>43244</v>
      </c>
      <c r="B1957" s="120">
        <v>836800.0</v>
      </c>
      <c r="C1957" s="19">
        <f t="shared" si="295"/>
        <v>0.000956937799</v>
      </c>
      <c r="D1957" s="19">
        <f t="shared" si="296"/>
        <v>0.03514203292</v>
      </c>
      <c r="E1957" s="12"/>
      <c r="F1957" s="7"/>
      <c r="G1957" s="7"/>
      <c r="H1957" s="1"/>
      <c r="I1957" s="1"/>
      <c r="J1957" s="1"/>
      <c r="K1957" s="1"/>
      <c r="L1957" s="12">
        <f t="shared" si="297"/>
        <v>19396.82874</v>
      </c>
      <c r="M1957" s="12"/>
      <c r="N1957" s="15"/>
      <c r="O1957" s="1"/>
      <c r="Q1957" s="12"/>
      <c r="R1957" s="1"/>
    </row>
    <row r="1958" ht="12.75" hidden="1" customHeight="1" outlineLevel="1">
      <c r="A1958" s="122">
        <f t="shared" si="298"/>
        <v>43245</v>
      </c>
      <c r="B1958" s="120">
        <v>836700.0</v>
      </c>
      <c r="C1958" s="19">
        <f t="shared" si="295"/>
        <v>-0.0001195028681</v>
      </c>
      <c r="D1958" s="19">
        <f t="shared" si="296"/>
        <v>0.03501833048</v>
      </c>
      <c r="E1958" s="12"/>
      <c r="F1958" s="7"/>
      <c r="G1958" s="7"/>
      <c r="H1958" s="1"/>
      <c r="I1958" s="1"/>
      <c r="J1958" s="1"/>
      <c r="K1958" s="1"/>
      <c r="L1958" s="12">
        <f t="shared" si="297"/>
        <v>19394.51077</v>
      </c>
      <c r="M1958" s="12"/>
      <c r="N1958" s="15"/>
      <c r="O1958" s="1"/>
      <c r="Q1958" s="12"/>
      <c r="R1958" s="1"/>
    </row>
    <row r="1959" ht="12.75" hidden="1" customHeight="1" outlineLevel="1">
      <c r="A1959" s="122">
        <f t="shared" si="298"/>
        <v>43246</v>
      </c>
      <c r="B1959" s="120">
        <v>836700.0</v>
      </c>
      <c r="C1959" s="19">
        <f t="shared" si="295"/>
        <v>0</v>
      </c>
      <c r="D1959" s="19">
        <f t="shared" si="296"/>
        <v>0.03501833048</v>
      </c>
      <c r="E1959" s="12"/>
      <c r="F1959" s="7"/>
      <c r="G1959" s="7"/>
      <c r="H1959" s="1"/>
      <c r="I1959" s="1"/>
      <c r="J1959" s="1"/>
      <c r="K1959" s="1"/>
      <c r="L1959" s="12">
        <f t="shared" si="297"/>
        <v>19394.51077</v>
      </c>
      <c r="M1959" s="12"/>
      <c r="N1959" s="15"/>
      <c r="O1959" s="1"/>
      <c r="Q1959" s="12"/>
      <c r="R1959" s="1"/>
    </row>
    <row r="1960" ht="12.75" hidden="1" customHeight="1" outlineLevel="1">
      <c r="A1960" s="122">
        <f t="shared" si="298"/>
        <v>43247</v>
      </c>
      <c r="B1960" s="120">
        <v>836700.0</v>
      </c>
      <c r="C1960" s="19">
        <f t="shared" si="295"/>
        <v>0</v>
      </c>
      <c r="D1960" s="19">
        <f t="shared" si="296"/>
        <v>0.03501833048</v>
      </c>
      <c r="E1960" s="12"/>
      <c r="F1960" s="7"/>
      <c r="G1960" s="7"/>
      <c r="H1960" s="1"/>
      <c r="I1960" s="1"/>
      <c r="J1960" s="1"/>
      <c r="K1960" s="1"/>
      <c r="L1960" s="12">
        <f t="shared" si="297"/>
        <v>19394.51077</v>
      </c>
      <c r="M1960" s="12"/>
      <c r="N1960" s="15"/>
      <c r="O1960" s="1"/>
      <c r="Q1960" s="12"/>
      <c r="R1960" s="1"/>
    </row>
    <row r="1961" ht="12.75" hidden="1" customHeight="1" outlineLevel="1">
      <c r="A1961" s="122">
        <f t="shared" si="298"/>
        <v>43248</v>
      </c>
      <c r="B1961" s="120">
        <v>836700.0</v>
      </c>
      <c r="C1961" s="19">
        <f t="shared" si="295"/>
        <v>0</v>
      </c>
      <c r="D1961" s="19">
        <f t="shared" si="296"/>
        <v>0.03501833048</v>
      </c>
      <c r="E1961" s="12"/>
      <c r="F1961" s="7"/>
      <c r="G1961" s="7"/>
      <c r="H1961" s="1"/>
      <c r="I1961" s="1"/>
      <c r="J1961" s="1"/>
      <c r="K1961" s="1"/>
      <c r="L1961" s="12">
        <f t="shared" si="297"/>
        <v>19394.51077</v>
      </c>
      <c r="M1961" s="12"/>
      <c r="N1961" s="15"/>
      <c r="O1961" s="1"/>
      <c r="Q1961" s="12"/>
      <c r="R1961" s="1"/>
    </row>
    <row r="1962" ht="12.75" hidden="1" customHeight="1" outlineLevel="1">
      <c r="A1962" s="122">
        <f t="shared" si="298"/>
        <v>43249</v>
      </c>
      <c r="B1962" s="120">
        <v>828658.99</v>
      </c>
      <c r="C1962" s="19">
        <f t="shared" si="295"/>
        <v>-0.00961038604</v>
      </c>
      <c r="D1962" s="19">
        <f t="shared" si="296"/>
        <v>0.02507140476</v>
      </c>
      <c r="E1962" s="12"/>
      <c r="F1962" s="7"/>
      <c r="G1962" s="7"/>
      <c r="H1962" s="1"/>
      <c r="I1962" s="1"/>
      <c r="J1962" s="1"/>
      <c r="K1962" s="1"/>
      <c r="L1962" s="12">
        <f t="shared" si="297"/>
        <v>19208.12203</v>
      </c>
      <c r="M1962" s="12"/>
      <c r="N1962" s="15"/>
      <c r="O1962" s="1"/>
      <c r="Q1962" s="12"/>
      <c r="R1962" s="1"/>
    </row>
    <row r="1963" ht="12.75" hidden="1" customHeight="1" outlineLevel="1">
      <c r="A1963" s="122">
        <f t="shared" si="298"/>
        <v>43250</v>
      </c>
      <c r="B1963" s="120">
        <v>838010.0100000001</v>
      </c>
      <c r="C1963" s="19">
        <f t="shared" si="295"/>
        <v>0.01128452127</v>
      </c>
      <c r="D1963" s="19">
        <f t="shared" si="296"/>
        <v>0.03663884483</v>
      </c>
      <c r="E1963" s="12"/>
      <c r="F1963" s="7"/>
      <c r="G1963" s="7"/>
      <c r="H1963" s="1"/>
      <c r="I1963" s="1"/>
      <c r="J1963" s="1"/>
      <c r="K1963" s="1"/>
      <c r="L1963" s="12">
        <f t="shared" si="297"/>
        <v>19424.87649</v>
      </c>
      <c r="M1963" s="12"/>
      <c r="N1963" s="15"/>
      <c r="O1963" s="1"/>
      <c r="Q1963" s="12"/>
      <c r="R1963" s="1"/>
    </row>
    <row r="1964" ht="12.75" hidden="1" customHeight="1" outlineLevel="1">
      <c r="A1964" s="122">
        <f t="shared" si="298"/>
        <v>43251</v>
      </c>
      <c r="B1964" s="120">
        <v>833026.18</v>
      </c>
      <c r="C1964" s="19">
        <f t="shared" si="295"/>
        <v>-0.005947220129</v>
      </c>
      <c r="D1964" s="19">
        <f t="shared" si="296"/>
        <v>0.03047372543</v>
      </c>
      <c r="E1964" s="12"/>
      <c r="F1964" s="7"/>
      <c r="G1964" s="7"/>
      <c r="H1964" s="1"/>
      <c r="I1964" s="1"/>
      <c r="J1964" s="1"/>
      <c r="K1964" s="1"/>
      <c r="L1964" s="12">
        <f t="shared" si="297"/>
        <v>19309.35247</v>
      </c>
      <c r="M1964" s="12"/>
      <c r="N1964" s="15"/>
      <c r="O1964" s="1"/>
      <c r="Q1964" s="12"/>
      <c r="R1964" s="1"/>
    </row>
    <row r="1965" ht="12.75" hidden="1" customHeight="1" outlineLevel="1">
      <c r="A1965" s="122"/>
      <c r="B1965" s="12"/>
      <c r="C1965" s="1"/>
      <c r="D1965" s="1"/>
      <c r="E1965" s="12"/>
      <c r="F1965" s="7"/>
      <c r="G1965" s="7"/>
      <c r="H1965" s="1"/>
      <c r="I1965" s="1"/>
      <c r="J1965" s="1"/>
      <c r="K1965" s="1"/>
      <c r="L1965" s="12"/>
      <c r="M1965" s="12"/>
      <c r="N1965" s="15"/>
      <c r="O1965" s="1"/>
      <c r="Q1965" s="12"/>
      <c r="R1965" s="1"/>
    </row>
    <row r="1966" ht="12.75" hidden="1" customHeight="1" outlineLevel="1">
      <c r="A1966" s="122"/>
      <c r="B1966" s="12">
        <f>B1964</f>
        <v>833026.18</v>
      </c>
      <c r="C1966" s="1"/>
      <c r="D1966" s="1"/>
      <c r="E1966" s="12"/>
      <c r="F1966" s="7"/>
      <c r="G1966" s="7"/>
      <c r="H1966" s="1"/>
      <c r="I1966" s="1"/>
      <c r="J1966" s="1"/>
      <c r="K1966" s="1"/>
      <c r="L1966" s="12"/>
      <c r="M1966" s="12"/>
      <c r="N1966" s="15"/>
      <c r="O1966" s="1"/>
      <c r="Q1966" s="12"/>
      <c r="R1966" s="1"/>
    </row>
    <row r="1967" ht="12.75" hidden="1" customHeight="1" outlineLevel="1">
      <c r="A1967" s="122">
        <f>A1964+1</f>
        <v>43252</v>
      </c>
      <c r="B1967" s="120">
        <v>811478.6500000003</v>
      </c>
      <c r="C1967" s="19">
        <f t="shared" ref="C1967:C1996" si="299">B1967/B1966-1</f>
        <v>-0.02586657</v>
      </c>
      <c r="D1967" s="19">
        <f t="shared" ref="D1967:D1996" si="300">(B1967/$B$1966)-1</f>
        <v>-0.02586657</v>
      </c>
      <c r="E1967" s="12"/>
      <c r="F1967" s="7"/>
      <c r="G1967" s="7"/>
      <c r="H1967" s="1"/>
      <c r="I1967" s="1"/>
      <c r="J1967" s="1"/>
      <c r="K1967" s="1"/>
      <c r="L1967" s="12">
        <f t="shared" ref="L1967:L1996" si="301">IF(C1966="",L1964*(1+C1967),L1966*(1+C1967))</f>
        <v>18809.88576</v>
      </c>
      <c r="M1967" s="12"/>
      <c r="N1967" s="15"/>
      <c r="O1967" s="1"/>
      <c r="Q1967" s="12"/>
      <c r="R1967" s="1"/>
    </row>
    <row r="1968" ht="12.75" hidden="1" customHeight="1" outlineLevel="1">
      <c r="A1968" s="122">
        <f t="shared" ref="A1968:A1996" si="302">A1967+1</f>
        <v>43253</v>
      </c>
      <c r="B1968" s="120">
        <v>811478.6500000003</v>
      </c>
      <c r="C1968" s="19">
        <f t="shared" si="299"/>
        <v>0</v>
      </c>
      <c r="D1968" s="19">
        <f t="shared" si="300"/>
        <v>-0.02586657</v>
      </c>
      <c r="E1968" s="12"/>
      <c r="F1968" s="7"/>
      <c r="G1968" s="7"/>
      <c r="H1968" s="1"/>
      <c r="I1968" s="1"/>
      <c r="J1968" s="1"/>
      <c r="K1968" s="1"/>
      <c r="L1968" s="12">
        <f t="shared" si="301"/>
        <v>18809.88576</v>
      </c>
      <c r="M1968" s="12"/>
      <c r="N1968" s="15"/>
      <c r="O1968" s="1"/>
      <c r="Q1968" s="12"/>
      <c r="R1968" s="1"/>
    </row>
    <row r="1969" ht="12.75" hidden="1" customHeight="1" outlineLevel="1">
      <c r="A1969" s="122">
        <f t="shared" si="302"/>
        <v>43254</v>
      </c>
      <c r="B1969" s="120">
        <v>811478.6500000003</v>
      </c>
      <c r="C1969" s="19">
        <f t="shared" si="299"/>
        <v>0</v>
      </c>
      <c r="D1969" s="19">
        <f t="shared" si="300"/>
        <v>-0.02586657</v>
      </c>
      <c r="E1969" s="12"/>
      <c r="F1969" s="7"/>
      <c r="G1969" s="7"/>
      <c r="H1969" s="1"/>
      <c r="I1969" s="1"/>
      <c r="J1969" s="1"/>
      <c r="K1969" s="1"/>
      <c r="L1969" s="12">
        <f t="shared" si="301"/>
        <v>18809.88576</v>
      </c>
      <c r="M1969" s="12"/>
      <c r="N1969" s="15"/>
      <c r="O1969" s="1"/>
      <c r="Q1969" s="12"/>
      <c r="R1969" s="1"/>
    </row>
    <row r="1970" ht="12.75" hidden="1" customHeight="1" outlineLevel="1">
      <c r="A1970" s="122">
        <f t="shared" si="302"/>
        <v>43255</v>
      </c>
      <c r="B1970" s="120">
        <v>811478.6500000003</v>
      </c>
      <c r="C1970" s="19">
        <f t="shared" si="299"/>
        <v>0</v>
      </c>
      <c r="D1970" s="19">
        <f t="shared" si="300"/>
        <v>-0.02586657</v>
      </c>
      <c r="E1970" s="12"/>
      <c r="F1970" s="7"/>
      <c r="G1970" s="7"/>
      <c r="H1970" s="1"/>
      <c r="I1970" s="1"/>
      <c r="J1970" s="1"/>
      <c r="K1970" s="1"/>
      <c r="L1970" s="12">
        <f t="shared" si="301"/>
        <v>18809.88576</v>
      </c>
      <c r="M1970" s="12"/>
      <c r="N1970" s="15"/>
      <c r="O1970" s="1"/>
      <c r="Q1970" s="12"/>
      <c r="R1970" s="1"/>
    </row>
    <row r="1971" ht="12.75" hidden="1" customHeight="1" outlineLevel="1">
      <c r="A1971" s="122">
        <f t="shared" si="302"/>
        <v>43256</v>
      </c>
      <c r="B1971" s="120">
        <v>811478.6500000003</v>
      </c>
      <c r="C1971" s="19">
        <f t="shared" si="299"/>
        <v>0</v>
      </c>
      <c r="D1971" s="19">
        <f t="shared" si="300"/>
        <v>-0.02586657</v>
      </c>
      <c r="E1971" s="12"/>
      <c r="F1971" s="7"/>
      <c r="G1971" s="7"/>
      <c r="H1971" s="1"/>
      <c r="I1971" s="1"/>
      <c r="J1971" s="1"/>
      <c r="K1971" s="1"/>
      <c r="L1971" s="12">
        <f t="shared" si="301"/>
        <v>18809.88576</v>
      </c>
      <c r="M1971" s="12"/>
      <c r="N1971" s="15"/>
      <c r="O1971" s="1"/>
      <c r="Q1971" s="12"/>
      <c r="R1971" s="1"/>
    </row>
    <row r="1972" ht="12.75" hidden="1" customHeight="1" outlineLevel="1">
      <c r="A1972" s="122">
        <f t="shared" si="302"/>
        <v>43257</v>
      </c>
      <c r="B1972" s="120">
        <v>811478.6500000003</v>
      </c>
      <c r="C1972" s="19">
        <f t="shared" si="299"/>
        <v>0</v>
      </c>
      <c r="D1972" s="19">
        <f t="shared" si="300"/>
        <v>-0.02586657</v>
      </c>
      <c r="E1972" s="12"/>
      <c r="F1972" s="7"/>
      <c r="G1972" s="7"/>
      <c r="H1972" s="1"/>
      <c r="I1972" s="1"/>
      <c r="J1972" s="1"/>
      <c r="K1972" s="1"/>
      <c r="L1972" s="12">
        <f t="shared" si="301"/>
        <v>18809.88576</v>
      </c>
      <c r="M1972" s="12"/>
      <c r="N1972" s="15"/>
      <c r="O1972" s="1"/>
      <c r="Q1972" s="12"/>
      <c r="R1972" s="1"/>
    </row>
    <row r="1973" ht="12.75" hidden="1" customHeight="1" outlineLevel="1">
      <c r="A1973" s="122">
        <f t="shared" si="302"/>
        <v>43258</v>
      </c>
      <c r="B1973" s="120">
        <v>852479.6500000003</v>
      </c>
      <c r="C1973" s="19">
        <f t="shared" si="299"/>
        <v>0.0505262831</v>
      </c>
      <c r="D1973" s="19">
        <f t="shared" si="300"/>
        <v>0.02335277146</v>
      </c>
      <c r="E1973" s="12"/>
      <c r="F1973" s="7"/>
      <c r="G1973" s="7"/>
      <c r="H1973" s="1"/>
      <c r="I1973" s="1"/>
      <c r="J1973" s="1"/>
      <c r="K1973" s="1"/>
      <c r="L1973" s="12">
        <f t="shared" si="301"/>
        <v>19760.27937</v>
      </c>
      <c r="M1973" s="12"/>
      <c r="N1973" s="15"/>
      <c r="O1973" s="1"/>
      <c r="Q1973" s="12"/>
      <c r="R1973" s="1"/>
    </row>
    <row r="1974" ht="12.75" hidden="1" customHeight="1" outlineLevel="1">
      <c r="A1974" s="122">
        <f t="shared" si="302"/>
        <v>43259</v>
      </c>
      <c r="B1974" s="120">
        <v>852479.6500000003</v>
      </c>
      <c r="C1974" s="19">
        <f t="shared" si="299"/>
        <v>0</v>
      </c>
      <c r="D1974" s="19">
        <f t="shared" si="300"/>
        <v>0.02335277146</v>
      </c>
      <c r="E1974" s="12"/>
      <c r="F1974" s="7"/>
      <c r="G1974" s="7"/>
      <c r="H1974" s="1"/>
      <c r="I1974" s="1"/>
      <c r="J1974" s="1"/>
      <c r="K1974" s="1"/>
      <c r="L1974" s="12">
        <f t="shared" si="301"/>
        <v>19760.27937</v>
      </c>
      <c r="M1974" s="12"/>
      <c r="N1974" s="15"/>
      <c r="O1974" s="1"/>
      <c r="Q1974" s="12"/>
      <c r="R1974" s="1"/>
    </row>
    <row r="1975" ht="12.75" hidden="1" customHeight="1" outlineLevel="1">
      <c r="A1975" s="122">
        <f t="shared" si="302"/>
        <v>43260</v>
      </c>
      <c r="B1975" s="120">
        <v>852479.6500000003</v>
      </c>
      <c r="C1975" s="19">
        <f t="shared" si="299"/>
        <v>0</v>
      </c>
      <c r="D1975" s="19">
        <f t="shared" si="300"/>
        <v>0.02335277146</v>
      </c>
      <c r="E1975" s="12"/>
      <c r="F1975" s="7"/>
      <c r="G1975" s="7"/>
      <c r="H1975" s="1"/>
      <c r="I1975" s="1"/>
      <c r="J1975" s="1"/>
      <c r="K1975" s="1"/>
      <c r="L1975" s="12">
        <f t="shared" si="301"/>
        <v>19760.27937</v>
      </c>
      <c r="M1975" s="12"/>
      <c r="N1975" s="15"/>
      <c r="O1975" s="1"/>
      <c r="Q1975" s="12"/>
      <c r="R1975" s="1"/>
    </row>
    <row r="1976" ht="12.75" hidden="1" customHeight="1" outlineLevel="1">
      <c r="A1976" s="122">
        <f t="shared" si="302"/>
        <v>43261</v>
      </c>
      <c r="B1976" s="120">
        <v>852479.6500000003</v>
      </c>
      <c r="C1976" s="19">
        <f t="shared" si="299"/>
        <v>0</v>
      </c>
      <c r="D1976" s="19">
        <f t="shared" si="300"/>
        <v>0.02335277146</v>
      </c>
      <c r="E1976" s="12"/>
      <c r="F1976" s="7"/>
      <c r="G1976" s="7"/>
      <c r="H1976" s="1"/>
      <c r="I1976" s="1"/>
      <c r="J1976" s="1"/>
      <c r="K1976" s="1"/>
      <c r="L1976" s="12">
        <f t="shared" si="301"/>
        <v>19760.27937</v>
      </c>
      <c r="M1976" s="12"/>
      <c r="N1976" s="15"/>
      <c r="O1976" s="1"/>
      <c r="Q1976" s="12"/>
      <c r="R1976" s="1"/>
    </row>
    <row r="1977" ht="12.75" hidden="1" customHeight="1" outlineLevel="1">
      <c r="A1977" s="122">
        <f t="shared" si="302"/>
        <v>43262</v>
      </c>
      <c r="B1977" s="120">
        <v>856200.0</v>
      </c>
      <c r="C1977" s="19">
        <f t="shared" si="299"/>
        <v>0.004364151097</v>
      </c>
      <c r="D1977" s="19">
        <f t="shared" si="300"/>
        <v>0.02781883758</v>
      </c>
      <c r="E1977" s="12"/>
      <c r="F1977" s="7"/>
      <c r="G1977" s="7"/>
      <c r="H1977" s="1"/>
      <c r="I1977" s="1"/>
      <c r="J1977" s="1"/>
      <c r="K1977" s="1"/>
      <c r="L1977" s="12">
        <f t="shared" si="301"/>
        <v>19846.51622</v>
      </c>
      <c r="M1977" s="12"/>
      <c r="N1977" s="15"/>
      <c r="O1977" s="1"/>
      <c r="Q1977" s="12"/>
      <c r="R1977" s="1"/>
    </row>
    <row r="1978" ht="12.75" hidden="1" customHeight="1" outlineLevel="1">
      <c r="A1978" s="122">
        <f t="shared" si="302"/>
        <v>43263</v>
      </c>
      <c r="B1978" s="120">
        <v>857800.0</v>
      </c>
      <c r="C1978" s="19">
        <f t="shared" si="299"/>
        <v>0.001868722261</v>
      </c>
      <c r="D1978" s="19">
        <f t="shared" si="300"/>
        <v>0.02973954552</v>
      </c>
      <c r="E1978" s="12"/>
      <c r="F1978" s="7"/>
      <c r="G1978" s="7"/>
      <c r="H1978" s="1"/>
      <c r="I1978" s="1"/>
      <c r="J1978" s="1"/>
      <c r="K1978" s="1"/>
      <c r="L1978" s="12">
        <f t="shared" si="301"/>
        <v>19883.60384</v>
      </c>
      <c r="M1978" s="12"/>
      <c r="N1978" s="15"/>
      <c r="O1978" s="1"/>
      <c r="Q1978" s="12"/>
      <c r="R1978" s="1"/>
    </row>
    <row r="1979" ht="12.75" hidden="1" customHeight="1" outlineLevel="1">
      <c r="A1979" s="122">
        <f t="shared" si="302"/>
        <v>43264</v>
      </c>
      <c r="B1979" s="120">
        <v>855000.0</v>
      </c>
      <c r="C1979" s="19">
        <f t="shared" si="299"/>
        <v>-0.003264164141</v>
      </c>
      <c r="D1979" s="19">
        <f t="shared" si="300"/>
        <v>0.02637830662</v>
      </c>
      <c r="E1979" s="12"/>
      <c r="F1979" s="7"/>
      <c r="G1979" s="7"/>
      <c r="H1979" s="1"/>
      <c r="I1979" s="1"/>
      <c r="J1979" s="1"/>
      <c r="K1979" s="1"/>
      <c r="L1979" s="12">
        <f t="shared" si="301"/>
        <v>19818.7005</v>
      </c>
      <c r="M1979" s="12"/>
      <c r="N1979" s="15"/>
      <c r="O1979" s="1"/>
      <c r="Q1979" s="12"/>
      <c r="R1979" s="1"/>
    </row>
    <row r="1980" ht="12.75" hidden="1" customHeight="1" outlineLevel="1">
      <c r="A1980" s="122">
        <f t="shared" si="302"/>
        <v>43265</v>
      </c>
      <c r="B1980" s="120">
        <v>857300.0</v>
      </c>
      <c r="C1980" s="19">
        <f t="shared" si="299"/>
        <v>0.00269005848</v>
      </c>
      <c r="D1980" s="19">
        <f t="shared" si="300"/>
        <v>0.02913932429</v>
      </c>
      <c r="E1980" s="12"/>
      <c r="F1980" s="7"/>
      <c r="G1980" s="7"/>
      <c r="H1980" s="1"/>
      <c r="I1980" s="1"/>
      <c r="J1980" s="1"/>
      <c r="K1980" s="1"/>
      <c r="L1980" s="12">
        <f t="shared" si="301"/>
        <v>19872.01396</v>
      </c>
      <c r="M1980" s="12"/>
      <c r="N1980" s="15"/>
      <c r="O1980" s="1"/>
      <c r="Q1980" s="12"/>
      <c r="R1980" s="1"/>
    </row>
    <row r="1981" ht="12.75" hidden="1" customHeight="1" outlineLevel="1">
      <c r="A1981" s="122">
        <f t="shared" si="302"/>
        <v>43266</v>
      </c>
      <c r="B1981" s="120">
        <v>858900.0</v>
      </c>
      <c r="C1981" s="19">
        <f t="shared" si="299"/>
        <v>0.001866324507</v>
      </c>
      <c r="D1981" s="19">
        <f t="shared" si="300"/>
        <v>0.03106003223</v>
      </c>
      <c r="E1981" s="12"/>
      <c r="F1981" s="7"/>
      <c r="G1981" s="7"/>
      <c r="H1981" s="1"/>
      <c r="I1981" s="1"/>
      <c r="J1981" s="1"/>
      <c r="K1981" s="1"/>
      <c r="L1981" s="12">
        <f t="shared" si="301"/>
        <v>19909.10159</v>
      </c>
      <c r="M1981" s="12"/>
      <c r="N1981" s="15"/>
      <c r="O1981" s="1"/>
      <c r="Q1981" s="12"/>
      <c r="R1981" s="1"/>
    </row>
    <row r="1982" ht="12.75" hidden="1" customHeight="1" outlineLevel="1">
      <c r="A1982" s="122">
        <f t="shared" si="302"/>
        <v>43267</v>
      </c>
      <c r="B1982" s="120">
        <v>858900.0</v>
      </c>
      <c r="C1982" s="19">
        <f t="shared" si="299"/>
        <v>0</v>
      </c>
      <c r="D1982" s="19">
        <f t="shared" si="300"/>
        <v>0.03106003223</v>
      </c>
      <c r="E1982" s="12"/>
      <c r="F1982" s="7"/>
      <c r="G1982" s="7"/>
      <c r="H1982" s="1"/>
      <c r="I1982" s="1"/>
      <c r="J1982" s="1"/>
      <c r="K1982" s="1"/>
      <c r="L1982" s="12">
        <f t="shared" si="301"/>
        <v>19909.10159</v>
      </c>
      <c r="M1982" s="12"/>
      <c r="N1982" s="15"/>
      <c r="O1982" s="1"/>
      <c r="Q1982" s="12"/>
      <c r="R1982" s="1"/>
    </row>
    <row r="1983" ht="12.75" hidden="1" customHeight="1" outlineLevel="1">
      <c r="A1983" s="122">
        <f t="shared" si="302"/>
        <v>43268</v>
      </c>
      <c r="B1983" s="120">
        <v>858900.0</v>
      </c>
      <c r="C1983" s="19">
        <f t="shared" si="299"/>
        <v>0</v>
      </c>
      <c r="D1983" s="19">
        <f t="shared" si="300"/>
        <v>0.03106003223</v>
      </c>
      <c r="E1983" s="12"/>
      <c r="F1983" s="7"/>
      <c r="G1983" s="7"/>
      <c r="H1983" s="1"/>
      <c r="I1983" s="1"/>
      <c r="J1983" s="1"/>
      <c r="K1983" s="1"/>
      <c r="L1983" s="12">
        <f t="shared" si="301"/>
        <v>19909.10159</v>
      </c>
      <c r="M1983" s="12"/>
      <c r="N1983" s="15"/>
      <c r="O1983" s="1"/>
      <c r="Q1983" s="12"/>
      <c r="R1983" s="1"/>
    </row>
    <row r="1984" ht="12.75" hidden="1" customHeight="1" outlineLevel="1">
      <c r="A1984" s="122">
        <f t="shared" si="302"/>
        <v>43269</v>
      </c>
      <c r="B1984" s="120">
        <v>858900.0</v>
      </c>
      <c r="C1984" s="19">
        <f t="shared" si="299"/>
        <v>0</v>
      </c>
      <c r="D1984" s="19">
        <f t="shared" si="300"/>
        <v>0.03106003223</v>
      </c>
      <c r="E1984" s="12"/>
      <c r="F1984" s="7"/>
      <c r="G1984" s="7"/>
      <c r="H1984" s="1"/>
      <c r="I1984" s="1"/>
      <c r="J1984" s="1"/>
      <c r="K1984" s="1"/>
      <c r="L1984" s="12">
        <f t="shared" si="301"/>
        <v>19909.10159</v>
      </c>
      <c r="M1984" s="12"/>
      <c r="N1984" s="15"/>
      <c r="O1984" s="1"/>
      <c r="Q1984" s="12"/>
      <c r="R1984" s="1"/>
    </row>
    <row r="1985" ht="12.75" hidden="1" customHeight="1" outlineLevel="1">
      <c r="A1985" s="122">
        <f t="shared" si="302"/>
        <v>43270</v>
      </c>
      <c r="B1985" s="120">
        <v>858900.0</v>
      </c>
      <c r="C1985" s="19">
        <f t="shared" si="299"/>
        <v>0</v>
      </c>
      <c r="D1985" s="19">
        <f t="shared" si="300"/>
        <v>0.03106003223</v>
      </c>
      <c r="E1985" s="12"/>
      <c r="F1985" s="7"/>
      <c r="G1985" s="7"/>
      <c r="H1985" s="1"/>
      <c r="I1985" s="1"/>
      <c r="J1985" s="1"/>
      <c r="K1985" s="1"/>
      <c r="L1985" s="12">
        <f t="shared" si="301"/>
        <v>19909.10159</v>
      </c>
      <c r="M1985" s="12"/>
      <c r="N1985" s="15"/>
      <c r="O1985" s="1"/>
      <c r="Q1985" s="12"/>
      <c r="R1985" s="1"/>
    </row>
    <row r="1986" ht="12.75" hidden="1" customHeight="1" outlineLevel="1">
      <c r="A1986" s="122">
        <f t="shared" si="302"/>
        <v>43271</v>
      </c>
      <c r="B1986" s="120">
        <v>858900.0</v>
      </c>
      <c r="C1986" s="19">
        <f t="shared" si="299"/>
        <v>0</v>
      </c>
      <c r="D1986" s="19">
        <f t="shared" si="300"/>
        <v>0.03106003223</v>
      </c>
      <c r="E1986" s="12"/>
      <c r="F1986" s="7"/>
      <c r="G1986" s="7"/>
      <c r="H1986" s="1"/>
      <c r="I1986" s="1"/>
      <c r="J1986" s="1"/>
      <c r="K1986" s="1"/>
      <c r="L1986" s="12">
        <f t="shared" si="301"/>
        <v>19909.10159</v>
      </c>
      <c r="M1986" s="12"/>
      <c r="N1986" s="15"/>
      <c r="O1986" s="1"/>
      <c r="Q1986" s="12"/>
      <c r="R1986" s="1"/>
    </row>
    <row r="1987" ht="12.75" hidden="1" customHeight="1" outlineLevel="1">
      <c r="A1987" s="122">
        <f t="shared" si="302"/>
        <v>43272</v>
      </c>
      <c r="B1987" s="120">
        <v>858900.0</v>
      </c>
      <c r="C1987" s="19">
        <f t="shared" si="299"/>
        <v>0</v>
      </c>
      <c r="D1987" s="19">
        <f t="shared" si="300"/>
        <v>0.03106003223</v>
      </c>
      <c r="E1987" s="12"/>
      <c r="F1987" s="7"/>
      <c r="G1987" s="7"/>
      <c r="H1987" s="1"/>
      <c r="I1987" s="1"/>
      <c r="J1987" s="1"/>
      <c r="K1987" s="1"/>
      <c r="L1987" s="12">
        <f t="shared" si="301"/>
        <v>19909.10159</v>
      </c>
      <c r="M1987" s="12"/>
      <c r="N1987" s="15"/>
      <c r="O1987" s="1"/>
      <c r="Q1987" s="12"/>
      <c r="R1987" s="1"/>
    </row>
    <row r="1988" ht="12.75" hidden="1" customHeight="1" outlineLevel="1">
      <c r="A1988" s="122">
        <f t="shared" si="302"/>
        <v>43273</v>
      </c>
      <c r="B1988" s="120">
        <v>858900.0</v>
      </c>
      <c r="C1988" s="19">
        <f t="shared" si="299"/>
        <v>0</v>
      </c>
      <c r="D1988" s="19">
        <f t="shared" si="300"/>
        <v>0.03106003223</v>
      </c>
      <c r="E1988" s="12"/>
      <c r="F1988" s="7"/>
      <c r="G1988" s="7"/>
      <c r="H1988" s="1"/>
      <c r="I1988" s="1"/>
      <c r="J1988" s="1"/>
      <c r="K1988" s="1"/>
      <c r="L1988" s="12">
        <f t="shared" si="301"/>
        <v>19909.10159</v>
      </c>
      <c r="M1988" s="12"/>
      <c r="N1988" s="15"/>
      <c r="O1988" s="1"/>
      <c r="Q1988" s="12"/>
      <c r="R1988" s="1"/>
    </row>
    <row r="1989" ht="12.75" hidden="1" customHeight="1" outlineLevel="1">
      <c r="A1989" s="122">
        <f t="shared" si="302"/>
        <v>43274</v>
      </c>
      <c r="B1989" s="120">
        <v>858900.0</v>
      </c>
      <c r="C1989" s="19">
        <f t="shared" si="299"/>
        <v>0</v>
      </c>
      <c r="D1989" s="19">
        <f t="shared" si="300"/>
        <v>0.03106003223</v>
      </c>
      <c r="E1989" s="12"/>
      <c r="F1989" s="7"/>
      <c r="G1989" s="7"/>
      <c r="H1989" s="1"/>
      <c r="I1989" s="1"/>
      <c r="J1989" s="1"/>
      <c r="K1989" s="1"/>
      <c r="L1989" s="12">
        <f t="shared" si="301"/>
        <v>19909.10159</v>
      </c>
      <c r="M1989" s="12"/>
      <c r="N1989" s="15"/>
      <c r="O1989" s="1"/>
      <c r="Q1989" s="12"/>
      <c r="R1989" s="1"/>
    </row>
    <row r="1990" ht="12.75" hidden="1" customHeight="1" outlineLevel="1">
      <c r="A1990" s="122">
        <f t="shared" si="302"/>
        <v>43275</v>
      </c>
      <c r="B1990" s="120">
        <v>858900.0</v>
      </c>
      <c r="C1990" s="19">
        <f t="shared" si="299"/>
        <v>0</v>
      </c>
      <c r="D1990" s="19">
        <f t="shared" si="300"/>
        <v>0.03106003223</v>
      </c>
      <c r="E1990" s="12"/>
      <c r="F1990" s="7"/>
      <c r="G1990" s="7"/>
      <c r="H1990" s="1"/>
      <c r="I1990" s="1"/>
      <c r="J1990" s="1"/>
      <c r="K1990" s="1"/>
      <c r="L1990" s="12">
        <f t="shared" si="301"/>
        <v>19909.10159</v>
      </c>
      <c r="M1990" s="12"/>
      <c r="N1990" s="15"/>
      <c r="O1990" s="1"/>
      <c r="Q1990" s="12"/>
      <c r="R1990" s="1"/>
    </row>
    <row r="1991" ht="12.75" hidden="1" customHeight="1" outlineLevel="1">
      <c r="A1991" s="122">
        <f t="shared" si="302"/>
        <v>43276</v>
      </c>
      <c r="B1991" s="120">
        <v>839300.0</v>
      </c>
      <c r="C1991" s="19">
        <f t="shared" si="299"/>
        <v>-0.0228198859</v>
      </c>
      <c r="D1991" s="19">
        <f t="shared" si="300"/>
        <v>0.007531359939</v>
      </c>
      <c r="E1991" s="12"/>
      <c r="F1991" s="7"/>
      <c r="G1991" s="7"/>
      <c r="H1991" s="1"/>
      <c r="I1991" s="1"/>
      <c r="J1991" s="1"/>
      <c r="K1991" s="1"/>
      <c r="L1991" s="12">
        <f t="shared" si="301"/>
        <v>19454.77816</v>
      </c>
      <c r="M1991" s="12"/>
      <c r="N1991" s="15"/>
      <c r="O1991" s="1"/>
      <c r="Q1991" s="12"/>
      <c r="R1991" s="1"/>
    </row>
    <row r="1992" ht="12.75" hidden="1" customHeight="1" outlineLevel="1">
      <c r="A1992" s="122">
        <f t="shared" si="302"/>
        <v>43277</v>
      </c>
      <c r="B1992" s="120">
        <v>840418.3200000001</v>
      </c>
      <c r="C1992" s="19">
        <f t="shared" si="299"/>
        <v>0.001332443703</v>
      </c>
      <c r="D1992" s="19">
        <f t="shared" si="300"/>
        <v>0.008873838755</v>
      </c>
      <c r="E1992" s="12"/>
      <c r="F1992" s="7"/>
      <c r="G1992" s="7"/>
      <c r="H1992" s="1"/>
      <c r="I1992" s="1"/>
      <c r="J1992" s="1"/>
      <c r="K1992" s="1"/>
      <c r="L1992" s="12">
        <f t="shared" si="301"/>
        <v>19480.70056</v>
      </c>
      <c r="M1992" s="12"/>
      <c r="N1992" s="15"/>
      <c r="O1992" s="1"/>
      <c r="Q1992" s="12"/>
      <c r="R1992" s="1"/>
    </row>
    <row r="1993" ht="12.75" hidden="1" customHeight="1" outlineLevel="1">
      <c r="A1993" s="122">
        <f t="shared" si="302"/>
        <v>43278</v>
      </c>
      <c r="B1993" s="120">
        <v>828000.0</v>
      </c>
      <c r="C1993" s="19">
        <f t="shared" si="299"/>
        <v>-0.01477635566</v>
      </c>
      <c r="D1993" s="19">
        <f t="shared" si="300"/>
        <v>-0.006033639903</v>
      </c>
      <c r="E1993" s="12"/>
      <c r="F1993" s="7"/>
      <c r="G1993" s="7"/>
      <c r="H1993" s="1"/>
      <c r="I1993" s="1"/>
      <c r="J1993" s="1"/>
      <c r="K1993" s="1"/>
      <c r="L1993" s="12">
        <f t="shared" si="301"/>
        <v>19192.8468</v>
      </c>
      <c r="M1993" s="12"/>
      <c r="N1993" s="15"/>
      <c r="O1993" s="1"/>
      <c r="Q1993" s="12"/>
      <c r="R1993" s="1"/>
    </row>
    <row r="1994" ht="12.75" hidden="1" customHeight="1" outlineLevel="1">
      <c r="A1994" s="122">
        <f t="shared" si="302"/>
        <v>43279</v>
      </c>
      <c r="B1994" s="120">
        <v>836100.0</v>
      </c>
      <c r="C1994" s="19">
        <f t="shared" si="299"/>
        <v>0.009782608696</v>
      </c>
      <c r="D1994" s="19">
        <f t="shared" si="300"/>
        <v>0.003689944054</v>
      </c>
      <c r="E1994" s="12"/>
      <c r="F1994" s="7"/>
      <c r="G1994" s="7"/>
      <c r="H1994" s="1"/>
      <c r="I1994" s="1"/>
      <c r="J1994" s="1"/>
      <c r="K1994" s="1"/>
      <c r="L1994" s="12">
        <f t="shared" si="301"/>
        <v>19380.60291</v>
      </c>
      <c r="M1994" s="12"/>
      <c r="N1994" s="15"/>
      <c r="O1994" s="1"/>
      <c r="Q1994" s="12"/>
      <c r="R1994" s="1"/>
    </row>
    <row r="1995" ht="12.75" hidden="1" customHeight="1" outlineLevel="1">
      <c r="A1995" s="122">
        <f t="shared" si="302"/>
        <v>43280</v>
      </c>
      <c r="B1995" s="120">
        <v>834326.96</v>
      </c>
      <c r="C1995" s="19">
        <f t="shared" si="299"/>
        <v>-0.002120607583</v>
      </c>
      <c r="D1995" s="19">
        <f t="shared" si="300"/>
        <v>0.001561511548</v>
      </c>
      <c r="E1995" s="12"/>
      <c r="F1995" s="7"/>
      <c r="G1995" s="7"/>
      <c r="H1995" s="1"/>
      <c r="I1995" s="1"/>
      <c r="J1995" s="1"/>
      <c r="K1995" s="1"/>
      <c r="L1995" s="12">
        <f t="shared" si="301"/>
        <v>19339.50425</v>
      </c>
      <c r="M1995" s="12"/>
      <c r="N1995" s="15"/>
      <c r="O1995" s="1"/>
      <c r="Q1995" s="12"/>
      <c r="R1995" s="1"/>
    </row>
    <row r="1996" ht="12.75" hidden="1" customHeight="1" outlineLevel="1">
      <c r="A1996" s="122">
        <f t="shared" si="302"/>
        <v>43281</v>
      </c>
      <c r="B1996" s="120">
        <v>834326.96</v>
      </c>
      <c r="C1996" s="19">
        <f t="shared" si="299"/>
        <v>0</v>
      </c>
      <c r="D1996" s="19">
        <f t="shared" si="300"/>
        <v>0.001561511548</v>
      </c>
      <c r="E1996" s="12"/>
      <c r="F1996" s="7"/>
      <c r="G1996" s="7"/>
      <c r="H1996" s="1"/>
      <c r="I1996" s="1"/>
      <c r="J1996" s="1"/>
      <c r="K1996" s="1"/>
      <c r="L1996" s="12">
        <f t="shared" si="301"/>
        <v>19339.50425</v>
      </c>
      <c r="M1996" s="12"/>
      <c r="N1996" s="15"/>
      <c r="O1996" s="1"/>
      <c r="Q1996" s="12"/>
      <c r="R1996" s="1"/>
    </row>
    <row r="1997" ht="12.75" hidden="1" customHeight="1" outlineLevel="1">
      <c r="A1997" s="122"/>
      <c r="B1997" s="12"/>
      <c r="C1997" s="1"/>
      <c r="D1997" s="1"/>
      <c r="E1997" s="12"/>
      <c r="F1997" s="7"/>
      <c r="G1997" s="7"/>
      <c r="H1997" s="1"/>
      <c r="I1997" s="1"/>
      <c r="J1997" s="1"/>
      <c r="K1997" s="1"/>
      <c r="L1997" s="12"/>
      <c r="M1997" s="12"/>
      <c r="N1997" s="15"/>
      <c r="O1997" s="1"/>
      <c r="Q1997" s="12"/>
      <c r="R1997" s="1"/>
    </row>
    <row r="1998" ht="12.75" hidden="1" customHeight="1" outlineLevel="1">
      <c r="A1998" s="122"/>
      <c r="B1998" s="12">
        <f>B1996+P1998</f>
        <v>844326.96</v>
      </c>
      <c r="C1998" s="32"/>
      <c r="D1998" s="1"/>
      <c r="E1998" s="12"/>
      <c r="F1998" s="7"/>
      <c r="G1998" s="7"/>
      <c r="H1998" s="1"/>
      <c r="I1998" s="1"/>
      <c r="J1998" s="1"/>
      <c r="K1998" s="1"/>
      <c r="L1998" s="12"/>
      <c r="M1998" s="12"/>
      <c r="N1998" s="15"/>
      <c r="O1998" s="1"/>
      <c r="P1998" s="94">
        <v>10000.0</v>
      </c>
      <c r="Q1998" s="12"/>
      <c r="R1998" s="1"/>
    </row>
    <row r="1999" ht="12.75" hidden="1" customHeight="1" outlineLevel="1">
      <c r="A1999" s="122">
        <f>A1996+1</f>
        <v>43282</v>
      </c>
      <c r="B1999" s="120">
        <f t="shared" ref="B1999:B2001" si="303">833800+10000</f>
        <v>843800</v>
      </c>
      <c r="C1999" s="19">
        <f t="shared" ref="C1999:C2029" si="304">B1999/B1998-1</f>
        <v>-0.0006241184102</v>
      </c>
      <c r="D1999" s="19">
        <f t="shared" ref="D1999:D2029" si="305">(B1999/$B$1998)-1</f>
        <v>-0.0006241184102</v>
      </c>
      <c r="E1999" s="12"/>
      <c r="F1999" s="7"/>
      <c r="G1999" s="7"/>
      <c r="H1999" s="1"/>
      <c r="I1999" s="1"/>
      <c r="J1999" s="1"/>
      <c r="K1999" s="1"/>
      <c r="L1999" s="12">
        <f t="shared" ref="L1999:L2029" si="306">IF(C1998="",L1996*(1+C1999),L1998*(1+C1999))</f>
        <v>19327.43411</v>
      </c>
      <c r="M1999" s="12"/>
      <c r="N1999" s="15"/>
      <c r="O1999" s="1"/>
      <c r="Q1999" s="12"/>
      <c r="R1999" s="1"/>
    </row>
    <row r="2000" ht="12.75" hidden="1" customHeight="1" outlineLevel="1">
      <c r="A2000" s="122">
        <f t="shared" ref="A2000:A2029" si="307">A1999+1</f>
        <v>43283</v>
      </c>
      <c r="B2000" s="120">
        <f t="shared" si="303"/>
        <v>843800</v>
      </c>
      <c r="C2000" s="19">
        <f t="shared" si="304"/>
        <v>0</v>
      </c>
      <c r="D2000" s="19">
        <f t="shared" si="305"/>
        <v>-0.0006241184102</v>
      </c>
      <c r="E2000" s="12"/>
      <c r="F2000" s="7"/>
      <c r="G2000" s="7"/>
      <c r="H2000" s="1"/>
      <c r="I2000" s="1"/>
      <c r="J2000" s="1"/>
      <c r="K2000" s="1"/>
      <c r="L2000" s="12">
        <f t="shared" si="306"/>
        <v>19327.43411</v>
      </c>
      <c r="M2000" s="12"/>
      <c r="N2000" s="15"/>
      <c r="O2000" s="1"/>
      <c r="Q2000" s="12"/>
      <c r="R2000" s="1"/>
    </row>
    <row r="2001" ht="12.75" hidden="1" customHeight="1" outlineLevel="1">
      <c r="A2001" s="122">
        <f t="shared" si="307"/>
        <v>43284</v>
      </c>
      <c r="B2001" s="120">
        <f t="shared" si="303"/>
        <v>843800</v>
      </c>
      <c r="C2001" s="19">
        <f t="shared" si="304"/>
        <v>0</v>
      </c>
      <c r="D2001" s="19">
        <f t="shared" si="305"/>
        <v>-0.0006241184102</v>
      </c>
      <c r="E2001" s="12"/>
      <c r="F2001" s="7"/>
      <c r="G2001" s="7"/>
      <c r="H2001" s="1"/>
      <c r="I2001" s="1"/>
      <c r="J2001" s="1"/>
      <c r="K2001" s="1"/>
      <c r="L2001" s="12">
        <f t="shared" si="306"/>
        <v>19327.43411</v>
      </c>
      <c r="M2001" s="12"/>
      <c r="N2001" s="15"/>
      <c r="O2001" s="1"/>
      <c r="Q2001" s="12"/>
      <c r="R2001" s="1"/>
    </row>
    <row r="2002" ht="12.75" hidden="1" customHeight="1" outlineLevel="1">
      <c r="A2002" s="122">
        <f t="shared" si="307"/>
        <v>43285</v>
      </c>
      <c r="B2002" s="120">
        <v>843800.0</v>
      </c>
      <c r="C2002" s="19">
        <f t="shared" si="304"/>
        <v>0</v>
      </c>
      <c r="D2002" s="19">
        <f t="shared" si="305"/>
        <v>-0.0006241184102</v>
      </c>
      <c r="E2002" s="12"/>
      <c r="F2002" s="7"/>
      <c r="G2002" s="7"/>
      <c r="H2002" s="1"/>
      <c r="I2002" s="1"/>
      <c r="J2002" s="1"/>
      <c r="K2002" s="1"/>
      <c r="L2002" s="12">
        <f t="shared" si="306"/>
        <v>19327.43411</v>
      </c>
      <c r="M2002" s="12"/>
      <c r="N2002" s="15"/>
      <c r="O2002" s="1"/>
      <c r="Q2002" s="12"/>
      <c r="R2002" s="1"/>
    </row>
    <row r="2003" ht="12.75" hidden="1" customHeight="1" outlineLevel="1">
      <c r="A2003" s="122">
        <f t="shared" si="307"/>
        <v>43286</v>
      </c>
      <c r="B2003" s="120">
        <v>843800.0</v>
      </c>
      <c r="C2003" s="19">
        <f t="shared" si="304"/>
        <v>0</v>
      </c>
      <c r="D2003" s="19">
        <f t="shared" si="305"/>
        <v>-0.0006241184102</v>
      </c>
      <c r="E2003" s="12"/>
      <c r="F2003" s="7"/>
      <c r="G2003" s="7"/>
      <c r="H2003" s="1"/>
      <c r="I2003" s="1"/>
      <c r="J2003" s="1"/>
      <c r="K2003" s="1"/>
      <c r="L2003" s="12">
        <f t="shared" si="306"/>
        <v>19327.43411</v>
      </c>
      <c r="M2003" s="12"/>
      <c r="N2003" s="15"/>
      <c r="O2003" s="1"/>
      <c r="Q2003" s="12"/>
      <c r="R2003" s="1"/>
    </row>
    <row r="2004" ht="12.75" hidden="1" customHeight="1" outlineLevel="1">
      <c r="A2004" s="122">
        <f t="shared" si="307"/>
        <v>43287</v>
      </c>
      <c r="B2004" s="120">
        <v>843800.0</v>
      </c>
      <c r="C2004" s="19">
        <f t="shared" si="304"/>
        <v>0</v>
      </c>
      <c r="D2004" s="19">
        <f t="shared" si="305"/>
        <v>-0.0006241184102</v>
      </c>
      <c r="E2004" s="12"/>
      <c r="F2004" s="7"/>
      <c r="G2004" s="7"/>
      <c r="H2004" s="1"/>
      <c r="I2004" s="1"/>
      <c r="J2004" s="1"/>
      <c r="K2004" s="1"/>
      <c r="L2004" s="12">
        <f t="shared" si="306"/>
        <v>19327.43411</v>
      </c>
      <c r="M2004" s="12"/>
      <c r="N2004" s="15"/>
      <c r="O2004" s="1"/>
      <c r="Q2004" s="12"/>
      <c r="R2004" s="1"/>
    </row>
    <row r="2005" ht="12.75" hidden="1" customHeight="1" outlineLevel="1">
      <c r="A2005" s="122">
        <f t="shared" si="307"/>
        <v>43288</v>
      </c>
      <c r="B2005" s="120">
        <v>859385.7200000002</v>
      </c>
      <c r="C2005" s="19">
        <f t="shared" si="304"/>
        <v>0.01847086987</v>
      </c>
      <c r="D2005" s="19">
        <f t="shared" si="305"/>
        <v>0.01783522345</v>
      </c>
      <c r="E2005" s="12"/>
      <c r="F2005" s="7"/>
      <c r="G2005" s="7"/>
      <c r="H2005" s="1"/>
      <c r="I2005" s="1"/>
      <c r="J2005" s="1"/>
      <c r="K2005" s="1"/>
      <c r="L2005" s="12">
        <f t="shared" si="306"/>
        <v>19684.42863</v>
      </c>
      <c r="M2005" s="12"/>
      <c r="N2005" s="15"/>
      <c r="O2005" s="1"/>
      <c r="Q2005" s="12"/>
      <c r="R2005" s="1"/>
    </row>
    <row r="2006" ht="12.75" hidden="1" customHeight="1" outlineLevel="1">
      <c r="A2006" s="122">
        <f t="shared" si="307"/>
        <v>43289</v>
      </c>
      <c r="B2006" s="120">
        <v>859385.7200000002</v>
      </c>
      <c r="C2006" s="19">
        <f t="shared" si="304"/>
        <v>0</v>
      </c>
      <c r="D2006" s="19">
        <f t="shared" si="305"/>
        <v>0.01783522345</v>
      </c>
      <c r="E2006" s="12"/>
      <c r="F2006" s="7"/>
      <c r="G2006" s="7"/>
      <c r="H2006" s="1"/>
      <c r="I2006" s="1"/>
      <c r="J2006" s="1"/>
      <c r="K2006" s="1"/>
      <c r="L2006" s="12">
        <f t="shared" si="306"/>
        <v>19684.42863</v>
      </c>
      <c r="M2006" s="12"/>
      <c r="N2006" s="15"/>
      <c r="O2006" s="1"/>
      <c r="Q2006" s="12"/>
      <c r="R2006" s="1"/>
    </row>
    <row r="2007" ht="12.75" hidden="1" customHeight="1" outlineLevel="1">
      <c r="A2007" s="122">
        <f t="shared" si="307"/>
        <v>43290</v>
      </c>
      <c r="B2007" s="120">
        <v>868100.0</v>
      </c>
      <c r="C2007" s="19">
        <f t="shared" si="304"/>
        <v>0.0101401266</v>
      </c>
      <c r="D2007" s="19">
        <f t="shared" si="305"/>
        <v>0.02815620148</v>
      </c>
      <c r="E2007" s="12"/>
      <c r="F2007" s="7"/>
      <c r="G2007" s="7"/>
      <c r="H2007" s="1"/>
      <c r="I2007" s="1"/>
      <c r="J2007" s="1"/>
      <c r="K2007" s="1"/>
      <c r="L2007" s="12">
        <f t="shared" si="306"/>
        <v>19884.03123</v>
      </c>
      <c r="M2007" s="12"/>
      <c r="N2007" s="15"/>
      <c r="O2007" s="1"/>
      <c r="Q2007" s="12"/>
      <c r="R2007" s="1"/>
    </row>
    <row r="2008" ht="12.75" hidden="1" customHeight="1" outlineLevel="1">
      <c r="A2008" s="122">
        <f t="shared" si="307"/>
        <v>43291</v>
      </c>
      <c r="B2008" s="120">
        <v>862100.0</v>
      </c>
      <c r="C2008" s="19">
        <f t="shared" si="304"/>
        <v>-0.006911646124</v>
      </c>
      <c r="D2008" s="19">
        <f t="shared" si="305"/>
        <v>0.02104994965</v>
      </c>
      <c r="E2008" s="12"/>
      <c r="F2008" s="7"/>
      <c r="G2008" s="7"/>
      <c r="H2008" s="1"/>
      <c r="I2008" s="1"/>
      <c r="J2008" s="1"/>
      <c r="K2008" s="1"/>
      <c r="L2008" s="12">
        <f t="shared" si="306"/>
        <v>19746.59984</v>
      </c>
      <c r="M2008" s="12"/>
      <c r="N2008" s="15"/>
      <c r="O2008" s="1"/>
      <c r="Q2008" s="12"/>
      <c r="R2008" s="1"/>
    </row>
    <row r="2009" ht="12.75" hidden="1" customHeight="1" outlineLevel="1">
      <c r="A2009" s="122">
        <f t="shared" si="307"/>
        <v>43292</v>
      </c>
      <c r="B2009" s="120">
        <v>858900.0</v>
      </c>
      <c r="C2009" s="19">
        <f t="shared" si="304"/>
        <v>-0.003711866373</v>
      </c>
      <c r="D2009" s="19">
        <f t="shared" si="305"/>
        <v>0.01725994868</v>
      </c>
      <c r="E2009" s="12"/>
      <c r="F2009" s="7"/>
      <c r="G2009" s="7"/>
      <c r="H2009" s="1"/>
      <c r="I2009" s="1"/>
      <c r="J2009" s="1"/>
      <c r="K2009" s="1"/>
      <c r="L2009" s="12">
        <f t="shared" si="306"/>
        <v>19673.3031</v>
      </c>
      <c r="M2009" s="12"/>
      <c r="N2009" s="15"/>
      <c r="O2009" s="1"/>
      <c r="Q2009" s="12"/>
      <c r="R2009" s="1"/>
    </row>
    <row r="2010" ht="12.75" hidden="1" customHeight="1" outlineLevel="1">
      <c r="A2010" s="122">
        <f t="shared" si="307"/>
        <v>43293</v>
      </c>
      <c r="B2010" s="120">
        <v>865180.3</v>
      </c>
      <c r="C2010" s="19">
        <f t="shared" si="304"/>
        <v>0.007312027011</v>
      </c>
      <c r="D2010" s="19">
        <f t="shared" si="305"/>
        <v>0.0246981809</v>
      </c>
      <c r="E2010" s="12"/>
      <c r="F2010" s="7"/>
      <c r="G2010" s="7"/>
      <c r="H2010" s="1"/>
      <c r="I2010" s="1"/>
      <c r="J2010" s="1"/>
      <c r="K2010" s="1"/>
      <c r="L2010" s="12">
        <f t="shared" si="306"/>
        <v>19817.15483</v>
      </c>
      <c r="M2010" s="12"/>
      <c r="N2010" s="15"/>
      <c r="O2010" s="1"/>
      <c r="Q2010" s="12"/>
      <c r="R2010" s="1"/>
    </row>
    <row r="2011" ht="12.75" hidden="1" customHeight="1" outlineLevel="1">
      <c r="A2011" s="122">
        <f t="shared" si="307"/>
        <v>43294</v>
      </c>
      <c r="B2011" s="120">
        <v>865900.0</v>
      </c>
      <c r="C2011" s="19">
        <f t="shared" si="304"/>
        <v>0.0008318497312</v>
      </c>
      <c r="D2011" s="19">
        <f t="shared" si="305"/>
        <v>0.02555057581</v>
      </c>
      <c r="E2011" s="12"/>
      <c r="F2011" s="7"/>
      <c r="G2011" s="7"/>
      <c r="H2011" s="1"/>
      <c r="I2011" s="1"/>
      <c r="J2011" s="1"/>
      <c r="K2011" s="1"/>
      <c r="L2011" s="12">
        <f t="shared" si="306"/>
        <v>19833.63972</v>
      </c>
      <c r="M2011" s="12"/>
      <c r="N2011" s="15"/>
      <c r="O2011" s="1"/>
      <c r="Q2011" s="12"/>
      <c r="R2011" s="1"/>
    </row>
    <row r="2012" ht="12.75" hidden="1" customHeight="1" outlineLevel="1">
      <c r="A2012" s="122">
        <f t="shared" si="307"/>
        <v>43295</v>
      </c>
      <c r="B2012" s="120">
        <v>865900.0</v>
      </c>
      <c r="C2012" s="19">
        <f t="shared" si="304"/>
        <v>0</v>
      </c>
      <c r="D2012" s="19">
        <f t="shared" si="305"/>
        <v>0.02555057581</v>
      </c>
      <c r="E2012" s="12"/>
      <c r="F2012" s="7"/>
      <c r="G2012" s="7"/>
      <c r="H2012" s="1"/>
      <c r="I2012" s="1"/>
      <c r="J2012" s="1"/>
      <c r="K2012" s="1"/>
      <c r="L2012" s="12">
        <f t="shared" si="306"/>
        <v>19833.63972</v>
      </c>
      <c r="M2012" s="12"/>
      <c r="N2012" s="15"/>
      <c r="O2012" s="1"/>
      <c r="Q2012" s="12"/>
      <c r="R2012" s="1"/>
    </row>
    <row r="2013" ht="12.75" hidden="1" customHeight="1" outlineLevel="1">
      <c r="A2013" s="122">
        <f t="shared" si="307"/>
        <v>43296</v>
      </c>
      <c r="B2013" s="120">
        <v>865900.0</v>
      </c>
      <c r="C2013" s="19">
        <f t="shared" si="304"/>
        <v>0</v>
      </c>
      <c r="D2013" s="19">
        <f t="shared" si="305"/>
        <v>0.02555057581</v>
      </c>
      <c r="E2013" s="12"/>
      <c r="F2013" s="7"/>
      <c r="G2013" s="7"/>
      <c r="H2013" s="1"/>
      <c r="I2013" s="1"/>
      <c r="J2013" s="1"/>
      <c r="K2013" s="1"/>
      <c r="L2013" s="12">
        <f t="shared" si="306"/>
        <v>19833.63972</v>
      </c>
      <c r="M2013" s="12"/>
      <c r="N2013" s="15"/>
      <c r="O2013" s="1"/>
      <c r="Q2013" s="12"/>
      <c r="R2013" s="1"/>
    </row>
    <row r="2014" ht="12.75" hidden="1" customHeight="1" outlineLevel="1">
      <c r="A2014" s="122">
        <f t="shared" si="307"/>
        <v>43297</v>
      </c>
      <c r="B2014" s="120">
        <v>864144.7700000001</v>
      </c>
      <c r="C2014" s="19">
        <f t="shared" si="304"/>
        <v>-0.002027058552</v>
      </c>
      <c r="D2014" s="19">
        <f t="shared" si="305"/>
        <v>0.02347172475</v>
      </c>
      <c r="E2014" s="12"/>
      <c r="F2014" s="7"/>
      <c r="G2014" s="7"/>
      <c r="H2014" s="1"/>
      <c r="I2014" s="1"/>
      <c r="J2014" s="1"/>
      <c r="K2014" s="1"/>
      <c r="L2014" s="12">
        <f t="shared" si="306"/>
        <v>19793.43577</v>
      </c>
      <c r="M2014" s="12"/>
      <c r="N2014" s="15"/>
      <c r="O2014" s="1"/>
      <c r="Q2014" s="12"/>
      <c r="R2014" s="1"/>
    </row>
    <row r="2015" ht="12.75" hidden="1" customHeight="1" outlineLevel="1">
      <c r="A2015" s="122">
        <f t="shared" si="307"/>
        <v>43298</v>
      </c>
      <c r="B2015" s="120">
        <v>870000.0</v>
      </c>
      <c r="C2015" s="19">
        <f t="shared" si="304"/>
        <v>0.006775751244</v>
      </c>
      <c r="D2015" s="19">
        <f t="shared" si="305"/>
        <v>0.03040651456</v>
      </c>
      <c r="E2015" s="12"/>
      <c r="F2015" s="7"/>
      <c r="G2015" s="7"/>
      <c r="H2015" s="1"/>
      <c r="I2015" s="1"/>
      <c r="J2015" s="1"/>
      <c r="K2015" s="1"/>
      <c r="L2015" s="12">
        <f t="shared" si="306"/>
        <v>19927.55117</v>
      </c>
      <c r="M2015" s="12"/>
      <c r="N2015" s="15"/>
      <c r="O2015" s="1"/>
      <c r="Q2015" s="12"/>
      <c r="R2015" s="1"/>
    </row>
    <row r="2016" ht="12.75" hidden="1" customHeight="1" outlineLevel="1">
      <c r="A2016" s="122">
        <f t="shared" si="307"/>
        <v>43299</v>
      </c>
      <c r="B2016" s="120">
        <v>873224.2799999998</v>
      </c>
      <c r="C2016" s="19">
        <f t="shared" si="304"/>
        <v>0.003706068966</v>
      </c>
      <c r="D2016" s="19">
        <f t="shared" si="305"/>
        <v>0.03422527216</v>
      </c>
      <c r="E2016" s="12"/>
      <c r="F2016" s="7"/>
      <c r="G2016" s="7"/>
      <c r="H2016" s="1"/>
      <c r="I2016" s="1"/>
      <c r="J2016" s="32" t="s">
        <v>938</v>
      </c>
      <c r="K2016" s="1"/>
      <c r="L2016" s="12">
        <f t="shared" si="306"/>
        <v>20001.40405</v>
      </c>
      <c r="M2016" s="12"/>
      <c r="N2016" s="15"/>
      <c r="O2016" s="1"/>
      <c r="Q2016" s="12"/>
      <c r="R2016" s="1"/>
    </row>
    <row r="2017" ht="12.75" hidden="1" customHeight="1" outlineLevel="1">
      <c r="A2017" s="122">
        <f t="shared" si="307"/>
        <v>43300</v>
      </c>
      <c r="B2017" s="120">
        <v>877000.0</v>
      </c>
      <c r="C2017" s="19">
        <f t="shared" si="304"/>
        <v>0.004323883436</v>
      </c>
      <c r="D2017" s="19">
        <f t="shared" si="305"/>
        <v>0.03869714169</v>
      </c>
      <c r="E2017" s="12"/>
      <c r="F2017" s="7"/>
      <c r="G2017" s="7"/>
      <c r="H2017" s="1"/>
      <c r="I2017" s="1"/>
      <c r="J2017" s="1"/>
      <c r="K2017" s="1"/>
      <c r="L2017" s="12">
        <f t="shared" si="306"/>
        <v>20087.88779</v>
      </c>
      <c r="M2017" s="12"/>
      <c r="N2017" s="15"/>
      <c r="O2017" s="1"/>
      <c r="Q2017" s="12"/>
      <c r="R2017" s="1"/>
    </row>
    <row r="2018" ht="12.75" hidden="1" customHeight="1" outlineLevel="1">
      <c r="A2018" s="122">
        <f t="shared" si="307"/>
        <v>43301</v>
      </c>
      <c r="B2018" s="120">
        <v>874200.0</v>
      </c>
      <c r="C2018" s="19">
        <f t="shared" si="304"/>
        <v>-0.003192702395</v>
      </c>
      <c r="D2018" s="19">
        <f t="shared" si="305"/>
        <v>0.03538089083</v>
      </c>
      <c r="E2018" s="12"/>
      <c r="F2018" s="7"/>
      <c r="G2018" s="7"/>
      <c r="H2018" s="1"/>
      <c r="I2018" s="1"/>
      <c r="J2018" s="1"/>
      <c r="K2018" s="1"/>
      <c r="L2018" s="12">
        <f t="shared" si="306"/>
        <v>20023.75314</v>
      </c>
      <c r="M2018" s="12"/>
      <c r="N2018" s="15"/>
      <c r="O2018" s="1"/>
      <c r="Q2018" s="12"/>
      <c r="R2018" s="1"/>
    </row>
    <row r="2019" ht="12.75" hidden="1" customHeight="1" outlineLevel="1">
      <c r="A2019" s="122">
        <f t="shared" si="307"/>
        <v>43302</v>
      </c>
      <c r="B2019" s="120">
        <v>874200.0</v>
      </c>
      <c r="C2019" s="19">
        <f t="shared" si="304"/>
        <v>0</v>
      </c>
      <c r="D2019" s="19">
        <f t="shared" si="305"/>
        <v>0.03538089083</v>
      </c>
      <c r="E2019" s="12"/>
      <c r="F2019" s="7"/>
      <c r="G2019" s="7"/>
      <c r="H2019" s="1"/>
      <c r="I2019" s="1"/>
      <c r="J2019" s="1"/>
      <c r="K2019" s="1"/>
      <c r="L2019" s="12">
        <f t="shared" si="306"/>
        <v>20023.75314</v>
      </c>
      <c r="M2019" s="12"/>
      <c r="N2019" s="15"/>
      <c r="O2019" s="1"/>
      <c r="Q2019" s="12"/>
      <c r="R2019" s="1"/>
    </row>
    <row r="2020" ht="12.75" hidden="1" customHeight="1" outlineLevel="1">
      <c r="A2020" s="122">
        <f t="shared" si="307"/>
        <v>43303</v>
      </c>
      <c r="B2020" s="120">
        <v>874200.0</v>
      </c>
      <c r="C2020" s="19">
        <f t="shared" si="304"/>
        <v>0</v>
      </c>
      <c r="D2020" s="19">
        <f t="shared" si="305"/>
        <v>0.03538089083</v>
      </c>
      <c r="E2020" s="12"/>
      <c r="F2020" s="7"/>
      <c r="G2020" s="7"/>
      <c r="H2020" s="1"/>
      <c r="I2020" s="1"/>
      <c r="J2020" s="1"/>
      <c r="K2020" s="1"/>
      <c r="L2020" s="12">
        <f t="shared" si="306"/>
        <v>20023.75314</v>
      </c>
      <c r="M2020" s="12"/>
      <c r="N2020" s="15"/>
      <c r="O2020" s="1"/>
      <c r="Q2020" s="12"/>
      <c r="R2020" s="1"/>
    </row>
    <row r="2021" ht="12.75" hidden="1" customHeight="1" outlineLevel="1">
      <c r="A2021" s="122">
        <f t="shared" si="307"/>
        <v>43304</v>
      </c>
      <c r="B2021" s="120">
        <v>874000.0</v>
      </c>
      <c r="C2021" s="19">
        <f t="shared" si="304"/>
        <v>-0.0002287805994</v>
      </c>
      <c r="D2021" s="19">
        <f t="shared" si="305"/>
        <v>0.03514401577</v>
      </c>
      <c r="E2021" s="12"/>
      <c r="F2021" s="7"/>
      <c r="G2021" s="7"/>
      <c r="H2021" s="1"/>
      <c r="I2021" s="1"/>
      <c r="J2021" s="1"/>
      <c r="K2021" s="1"/>
      <c r="L2021" s="12">
        <f t="shared" si="306"/>
        <v>20019.17209</v>
      </c>
      <c r="M2021" s="12"/>
      <c r="N2021" s="15"/>
      <c r="O2021" s="1"/>
      <c r="Q2021" s="12"/>
      <c r="R2021" s="1"/>
    </row>
    <row r="2022" ht="12.75" hidden="1" customHeight="1" outlineLevel="1">
      <c r="A2022" s="122">
        <f t="shared" si="307"/>
        <v>43305</v>
      </c>
      <c r="B2022" s="120">
        <v>868231.86</v>
      </c>
      <c r="C2022" s="19">
        <f t="shared" si="304"/>
        <v>-0.006599702517</v>
      </c>
      <c r="D2022" s="19">
        <f t="shared" si="305"/>
        <v>0.02831237321</v>
      </c>
      <c r="E2022" s="12"/>
      <c r="F2022" s="7"/>
      <c r="G2022" s="7"/>
      <c r="H2022" s="1"/>
      <c r="I2022" s="1"/>
      <c r="J2022" s="1"/>
      <c r="K2022" s="1"/>
      <c r="L2022" s="12">
        <f t="shared" si="306"/>
        <v>19887.05151</v>
      </c>
      <c r="M2022" s="12"/>
      <c r="N2022" s="15"/>
      <c r="O2022" s="1"/>
      <c r="Q2022" s="12"/>
      <c r="R2022" s="1"/>
    </row>
    <row r="2023" ht="12.75" hidden="1" customHeight="1" outlineLevel="1">
      <c r="A2023" s="122">
        <f t="shared" si="307"/>
        <v>43306</v>
      </c>
      <c r="B2023" s="120">
        <v>873461.3500000001</v>
      </c>
      <c r="C2023" s="19">
        <f t="shared" si="304"/>
        <v>0.006023149162</v>
      </c>
      <c r="D2023" s="19">
        <f t="shared" si="305"/>
        <v>0.03450605202</v>
      </c>
      <c r="E2023" s="12"/>
      <c r="F2023" s="7"/>
      <c r="G2023" s="7"/>
      <c r="H2023" s="1"/>
      <c r="I2023" s="1"/>
      <c r="J2023" s="1"/>
      <c r="K2023" s="1"/>
      <c r="L2023" s="12">
        <f t="shared" si="306"/>
        <v>20006.83419</v>
      </c>
      <c r="M2023" s="12"/>
      <c r="N2023" s="15"/>
      <c r="O2023" s="1"/>
      <c r="Q2023" s="12"/>
      <c r="R2023" s="1"/>
    </row>
    <row r="2024" ht="12.75" hidden="1" customHeight="1" outlineLevel="1">
      <c r="A2024" s="122">
        <f t="shared" si="307"/>
        <v>43307</v>
      </c>
      <c r="B2024" s="120">
        <v>874450.78</v>
      </c>
      <c r="C2024" s="19">
        <f t="shared" si="304"/>
        <v>0.001132769069</v>
      </c>
      <c r="D2024" s="19">
        <f t="shared" si="305"/>
        <v>0.03567790847</v>
      </c>
      <c r="E2024" s="12"/>
      <c r="F2024" s="7"/>
      <c r="G2024" s="7"/>
      <c r="H2024" s="1"/>
      <c r="I2024" s="1"/>
      <c r="J2024" s="1"/>
      <c r="K2024" s="1"/>
      <c r="L2024" s="12">
        <f t="shared" si="306"/>
        <v>20029.49731</v>
      </c>
      <c r="M2024" s="12"/>
      <c r="N2024" s="15"/>
      <c r="O2024" s="1"/>
      <c r="Q2024" s="12"/>
      <c r="R2024" s="1"/>
    </row>
    <row r="2025" ht="12.75" hidden="1" customHeight="1" outlineLevel="1">
      <c r="A2025" s="122">
        <f t="shared" si="307"/>
        <v>43308</v>
      </c>
      <c r="B2025" s="120">
        <v>866700.0</v>
      </c>
      <c r="C2025" s="19">
        <f t="shared" si="304"/>
        <v>-0.008863597789</v>
      </c>
      <c r="D2025" s="19">
        <f t="shared" si="305"/>
        <v>0.02649807605</v>
      </c>
      <c r="E2025" s="12"/>
      <c r="F2025" s="7"/>
      <c r="G2025" s="7"/>
      <c r="H2025" s="1"/>
      <c r="I2025" s="1"/>
      <c r="J2025" s="1"/>
      <c r="K2025" s="1"/>
      <c r="L2025" s="12">
        <f t="shared" si="306"/>
        <v>19851.96391</v>
      </c>
      <c r="M2025" s="12"/>
      <c r="N2025" s="15"/>
      <c r="O2025" s="1"/>
      <c r="Q2025" s="12"/>
      <c r="R2025" s="1"/>
    </row>
    <row r="2026" ht="12.75" hidden="1" customHeight="1" outlineLevel="1">
      <c r="A2026" s="122">
        <f t="shared" si="307"/>
        <v>43309</v>
      </c>
      <c r="B2026" s="120">
        <v>866700.0</v>
      </c>
      <c r="C2026" s="19">
        <f t="shared" si="304"/>
        <v>0</v>
      </c>
      <c r="D2026" s="19">
        <f t="shared" si="305"/>
        <v>0.02649807605</v>
      </c>
      <c r="E2026" s="12"/>
      <c r="F2026" s="7"/>
      <c r="G2026" s="7"/>
      <c r="H2026" s="1"/>
      <c r="I2026" s="1"/>
      <c r="J2026" s="1"/>
      <c r="K2026" s="1"/>
      <c r="L2026" s="12">
        <f t="shared" si="306"/>
        <v>19851.96391</v>
      </c>
      <c r="M2026" s="12"/>
      <c r="N2026" s="15"/>
      <c r="O2026" s="1"/>
      <c r="Q2026" s="12"/>
      <c r="R2026" s="1"/>
    </row>
    <row r="2027" ht="12.75" hidden="1" customHeight="1" outlineLevel="1">
      <c r="A2027" s="122">
        <f t="shared" si="307"/>
        <v>43310</v>
      </c>
      <c r="B2027" s="120">
        <v>866700.0</v>
      </c>
      <c r="C2027" s="19">
        <f t="shared" si="304"/>
        <v>0</v>
      </c>
      <c r="D2027" s="19">
        <f t="shared" si="305"/>
        <v>0.02649807605</v>
      </c>
      <c r="E2027" s="12"/>
      <c r="F2027" s="7"/>
      <c r="G2027" s="7"/>
      <c r="H2027" s="1"/>
      <c r="I2027" s="1"/>
      <c r="J2027" s="1"/>
      <c r="K2027" s="1"/>
      <c r="L2027" s="12">
        <f t="shared" si="306"/>
        <v>19851.96391</v>
      </c>
      <c r="M2027" s="12"/>
      <c r="N2027" s="15"/>
      <c r="O2027" s="1"/>
      <c r="Q2027" s="12"/>
      <c r="R2027" s="1"/>
    </row>
    <row r="2028" ht="12.75" hidden="1" customHeight="1" outlineLevel="1">
      <c r="A2028" s="122">
        <f t="shared" si="307"/>
        <v>43311</v>
      </c>
      <c r="B2028" s="120">
        <v>860100.0</v>
      </c>
      <c r="C2028" s="19">
        <f t="shared" si="304"/>
        <v>-0.007615091727</v>
      </c>
      <c r="D2028" s="19">
        <f t="shared" si="305"/>
        <v>0.01868119905</v>
      </c>
      <c r="E2028" s="12"/>
      <c r="F2028" s="7"/>
      <c r="G2028" s="7"/>
      <c r="H2028" s="1"/>
      <c r="I2028" s="1"/>
      <c r="J2028" s="1"/>
      <c r="K2028" s="1"/>
      <c r="L2028" s="12">
        <f t="shared" si="306"/>
        <v>19700.78938</v>
      </c>
      <c r="M2028" s="12"/>
      <c r="N2028" s="15"/>
      <c r="O2028" s="1"/>
      <c r="Q2028" s="12"/>
      <c r="R2028" s="1"/>
    </row>
    <row r="2029" ht="12.75" hidden="1" customHeight="1" outlineLevel="1">
      <c r="A2029" s="122">
        <f t="shared" si="307"/>
        <v>43312</v>
      </c>
      <c r="B2029" s="120">
        <v>864043.53</v>
      </c>
      <c r="C2029" s="19">
        <f t="shared" si="304"/>
        <v>0.004584966864</v>
      </c>
      <c r="D2029" s="19">
        <f t="shared" si="305"/>
        <v>0.02335181859</v>
      </c>
      <c r="E2029" s="12"/>
      <c r="F2029" s="7"/>
      <c r="G2029" s="7"/>
      <c r="H2029" s="1"/>
      <c r="I2029" s="1"/>
      <c r="J2029" s="1"/>
      <c r="K2029" s="1"/>
      <c r="L2029" s="12">
        <f t="shared" si="306"/>
        <v>19791.11685</v>
      </c>
      <c r="M2029" s="12"/>
      <c r="N2029" s="15"/>
      <c r="O2029" s="1"/>
      <c r="Q2029" s="12"/>
      <c r="R2029" s="1"/>
    </row>
    <row r="2030" ht="12.75" hidden="1" customHeight="1" outlineLevel="1">
      <c r="B2030" s="12"/>
      <c r="C2030" s="1"/>
      <c r="D2030" s="1"/>
      <c r="E2030" s="12"/>
      <c r="F2030" s="7"/>
      <c r="G2030" s="7"/>
      <c r="H2030" s="1"/>
      <c r="I2030" s="1"/>
      <c r="J2030" s="1"/>
      <c r="K2030" s="1"/>
      <c r="L2030" s="12"/>
      <c r="M2030" s="12"/>
      <c r="N2030" s="15"/>
      <c r="O2030" s="1"/>
      <c r="Q2030" s="12"/>
      <c r="R2030" s="1"/>
    </row>
    <row r="2031" ht="12.75" hidden="1" customHeight="1" outlineLevel="1">
      <c r="B2031" s="12">
        <f>B2029+P2031</f>
        <v>864043.53</v>
      </c>
      <c r="C2031" s="32"/>
      <c r="D2031" s="1"/>
      <c r="E2031" s="12"/>
      <c r="F2031" s="7"/>
      <c r="G2031" s="7"/>
      <c r="H2031" s="1"/>
      <c r="I2031" s="1"/>
      <c r="J2031" s="1"/>
      <c r="K2031" s="1"/>
      <c r="L2031" s="12"/>
      <c r="M2031" s="12"/>
      <c r="N2031" s="15"/>
      <c r="O2031" s="1"/>
      <c r="Q2031" s="12"/>
      <c r="R2031" s="1"/>
    </row>
    <row r="2032" ht="12.75" hidden="1" customHeight="1" outlineLevel="1">
      <c r="A2032" s="122">
        <f>A2029+1</f>
        <v>43313</v>
      </c>
      <c r="B2032" s="120">
        <v>862400.0</v>
      </c>
      <c r="C2032" s="19">
        <f t="shared" ref="C2032:C2062" si="308">B2032/B2031-1</f>
        <v>-0.001902137963</v>
      </c>
      <c r="D2032" s="19">
        <f t="shared" ref="D2032:D2062" si="309">(B2032/$B$2031)-1</f>
        <v>-0.001902137963</v>
      </c>
      <c r="E2032" s="12"/>
      <c r="F2032" s="7"/>
      <c r="G2032" s="7"/>
      <c r="H2032" s="1"/>
      <c r="I2032" s="1"/>
      <c r="J2032" s="1"/>
      <c r="K2032" s="1"/>
      <c r="L2032" s="12">
        <f t="shared" ref="L2032:L2062" si="310">IF(C2031="",L2029*(1+C2032),L2031*(1+C2032))</f>
        <v>19753.47141</v>
      </c>
      <c r="M2032" s="12"/>
      <c r="N2032" s="15"/>
      <c r="O2032" s="1"/>
      <c r="Q2032" s="12"/>
      <c r="R2032" s="1"/>
    </row>
    <row r="2033" ht="12.75" hidden="1" customHeight="1" outlineLevel="1">
      <c r="A2033" s="122">
        <f t="shared" ref="A2033:A2062" si="311">A2032+1</f>
        <v>43314</v>
      </c>
      <c r="B2033" s="120">
        <v>876256.77</v>
      </c>
      <c r="C2033" s="19">
        <f t="shared" si="308"/>
        <v>0.01606768321</v>
      </c>
      <c r="D2033" s="19">
        <f t="shared" si="309"/>
        <v>0.0141349823</v>
      </c>
      <c r="E2033" s="12"/>
      <c r="F2033" s="7"/>
      <c r="G2033" s="7"/>
      <c r="H2033" s="1"/>
      <c r="I2033" s="1"/>
      <c r="J2033" s="1"/>
      <c r="K2033" s="1"/>
      <c r="L2033" s="12">
        <f t="shared" si="310"/>
        <v>20070.86393</v>
      </c>
      <c r="M2033" s="12"/>
      <c r="N2033" s="15"/>
      <c r="O2033" s="1"/>
      <c r="Q2033" s="12"/>
      <c r="R2033" s="1"/>
    </row>
    <row r="2034" ht="12.75" hidden="1" customHeight="1" outlineLevel="1">
      <c r="A2034" s="122">
        <f t="shared" si="311"/>
        <v>43315</v>
      </c>
      <c r="B2034" s="120">
        <v>882000.0</v>
      </c>
      <c r="C2034" s="19">
        <f t="shared" si="308"/>
        <v>0.006554277464</v>
      </c>
      <c r="D2034" s="19">
        <f t="shared" si="309"/>
        <v>0.02078190436</v>
      </c>
      <c r="E2034" s="12"/>
      <c r="F2034" s="7"/>
      <c r="G2034" s="7"/>
      <c r="H2034" s="1"/>
      <c r="I2034" s="1"/>
      <c r="J2034" s="1"/>
      <c r="K2034" s="1"/>
      <c r="L2034" s="12">
        <f t="shared" si="310"/>
        <v>20202.41394</v>
      </c>
      <c r="M2034" s="12"/>
      <c r="N2034" s="15"/>
      <c r="O2034" s="1"/>
      <c r="Q2034" s="12"/>
      <c r="R2034" s="1"/>
    </row>
    <row r="2035" ht="12.75" hidden="1" customHeight="1" outlineLevel="1">
      <c r="A2035" s="122">
        <f t="shared" si="311"/>
        <v>43316</v>
      </c>
      <c r="B2035" s="120">
        <v>882000.0</v>
      </c>
      <c r="C2035" s="19">
        <f t="shared" si="308"/>
        <v>0</v>
      </c>
      <c r="D2035" s="19">
        <f t="shared" si="309"/>
        <v>0.02078190436</v>
      </c>
      <c r="E2035" s="12"/>
      <c r="F2035" s="7"/>
      <c r="G2035" s="7"/>
      <c r="H2035" s="1"/>
      <c r="I2035" s="1"/>
      <c r="J2035" s="1"/>
      <c r="K2035" s="1"/>
      <c r="L2035" s="12">
        <f t="shared" si="310"/>
        <v>20202.41394</v>
      </c>
      <c r="M2035" s="12"/>
      <c r="N2035" s="15"/>
      <c r="O2035" s="1"/>
      <c r="Q2035" s="12"/>
      <c r="R2035" s="1"/>
    </row>
    <row r="2036" ht="12.75" hidden="1" customHeight="1" outlineLevel="1">
      <c r="A2036" s="122">
        <f t="shared" si="311"/>
        <v>43317</v>
      </c>
      <c r="B2036" s="120">
        <v>882000.0</v>
      </c>
      <c r="C2036" s="19">
        <f t="shared" si="308"/>
        <v>0</v>
      </c>
      <c r="D2036" s="19">
        <f t="shared" si="309"/>
        <v>0.02078190436</v>
      </c>
      <c r="E2036" s="12"/>
      <c r="F2036" s="7"/>
      <c r="G2036" s="7"/>
      <c r="H2036" s="1"/>
      <c r="I2036" s="1"/>
      <c r="J2036" s="1"/>
      <c r="K2036" s="1"/>
      <c r="L2036" s="12">
        <f t="shared" si="310"/>
        <v>20202.41394</v>
      </c>
      <c r="M2036" s="12"/>
      <c r="N2036" s="15"/>
      <c r="O2036" s="1"/>
      <c r="Q2036" s="12"/>
      <c r="R2036" s="1"/>
    </row>
    <row r="2037" ht="12.75" hidden="1" customHeight="1" outlineLevel="1">
      <c r="A2037" s="122">
        <f t="shared" si="311"/>
        <v>43318</v>
      </c>
      <c r="B2037" s="120">
        <v>883496.4900000001</v>
      </c>
      <c r="C2037" s="19">
        <f t="shared" si="308"/>
        <v>0.00169670068</v>
      </c>
      <c r="D2037" s="19">
        <f t="shared" si="309"/>
        <v>0.02251386571</v>
      </c>
      <c r="E2037" s="12"/>
      <c r="F2037" s="7"/>
      <c r="G2037" s="7"/>
      <c r="H2037" s="1"/>
      <c r="I2037" s="1"/>
      <c r="J2037" s="1"/>
      <c r="K2037" s="1"/>
      <c r="L2037" s="12">
        <f t="shared" si="310"/>
        <v>20236.69139</v>
      </c>
      <c r="M2037" s="12"/>
      <c r="N2037" s="15"/>
      <c r="O2037" s="1"/>
      <c r="Q2037" s="12"/>
      <c r="R2037" s="1"/>
    </row>
    <row r="2038" ht="12.75" hidden="1" customHeight="1" outlineLevel="1">
      <c r="A2038" s="122">
        <f t="shared" si="311"/>
        <v>43319</v>
      </c>
      <c r="B2038" s="120">
        <v>890200.0</v>
      </c>
      <c r="C2038" s="19">
        <f t="shared" si="308"/>
        <v>0.007587477795</v>
      </c>
      <c r="D2038" s="19">
        <f t="shared" si="309"/>
        <v>0.03027216696</v>
      </c>
      <c r="E2038" s="12"/>
      <c r="F2038" s="7"/>
      <c r="G2038" s="7"/>
      <c r="H2038" s="1"/>
      <c r="I2038" s="1"/>
      <c r="J2038" s="1"/>
      <c r="K2038" s="1"/>
      <c r="L2038" s="12">
        <f t="shared" si="310"/>
        <v>20390.23684</v>
      </c>
      <c r="M2038" s="12"/>
      <c r="N2038" s="15"/>
      <c r="O2038" s="1"/>
      <c r="Q2038" s="12"/>
      <c r="R2038" s="1"/>
    </row>
    <row r="2039" ht="12.75" hidden="1" customHeight="1" outlineLevel="1">
      <c r="A2039" s="122">
        <f t="shared" si="311"/>
        <v>43320</v>
      </c>
      <c r="B2039" s="120">
        <v>893740.9499999998</v>
      </c>
      <c r="C2039" s="19">
        <f t="shared" si="308"/>
        <v>0.00397770164</v>
      </c>
      <c r="D2039" s="19">
        <f t="shared" si="309"/>
        <v>0.03437028225</v>
      </c>
      <c r="E2039" s="12"/>
      <c r="F2039" s="7"/>
      <c r="G2039" s="7"/>
      <c r="H2039" s="1"/>
      <c r="I2039" s="1"/>
      <c r="J2039" s="1"/>
      <c r="K2039" s="1"/>
      <c r="L2039" s="12">
        <f t="shared" si="310"/>
        <v>20471.34312</v>
      </c>
      <c r="M2039" s="12"/>
      <c r="N2039" s="15"/>
      <c r="O2039" s="1"/>
      <c r="Q2039" s="12"/>
      <c r="R2039" s="1"/>
    </row>
    <row r="2040" ht="12.75" hidden="1" customHeight="1" outlineLevel="1">
      <c r="A2040" s="122">
        <f t="shared" si="311"/>
        <v>43321</v>
      </c>
      <c r="B2040" s="120">
        <v>894888.1899999998</v>
      </c>
      <c r="C2040" s="19">
        <f t="shared" si="308"/>
        <v>0.001283638173</v>
      </c>
      <c r="D2040" s="19">
        <f t="shared" si="309"/>
        <v>0.03569803943</v>
      </c>
      <c r="E2040" s="12"/>
      <c r="F2040" s="7"/>
      <c r="G2040" s="7"/>
      <c r="H2040" s="1"/>
      <c r="I2040" s="1"/>
      <c r="J2040" s="1"/>
      <c r="K2040" s="1"/>
      <c r="L2040" s="12">
        <f t="shared" si="310"/>
        <v>20497.62092</v>
      </c>
      <c r="M2040" s="12"/>
      <c r="N2040" s="15"/>
      <c r="O2040" s="1"/>
      <c r="Q2040" s="12"/>
      <c r="R2040" s="1"/>
    </row>
    <row r="2041" ht="12.75" hidden="1" customHeight="1" outlineLevel="1">
      <c r="A2041" s="122">
        <f t="shared" si="311"/>
        <v>43322</v>
      </c>
      <c r="B2041" s="120">
        <v>888718.5100000001</v>
      </c>
      <c r="C2041" s="19">
        <f t="shared" si="308"/>
        <v>-0.006894358501</v>
      </c>
      <c r="D2041" s="19">
        <f t="shared" si="309"/>
        <v>0.02855756584</v>
      </c>
      <c r="E2041" s="12"/>
      <c r="F2041" s="7"/>
      <c r="G2041" s="7"/>
      <c r="H2041" s="1"/>
      <c r="I2041" s="1"/>
      <c r="J2041" s="1"/>
      <c r="K2041" s="1"/>
      <c r="L2041" s="12">
        <f t="shared" si="310"/>
        <v>20356.30297</v>
      </c>
      <c r="M2041" s="12"/>
      <c r="N2041" s="15"/>
      <c r="O2041" s="1"/>
      <c r="Q2041" s="12"/>
      <c r="R2041" s="1"/>
    </row>
    <row r="2042" ht="12.75" hidden="1" customHeight="1" outlineLevel="1">
      <c r="A2042" s="122">
        <f t="shared" si="311"/>
        <v>43323</v>
      </c>
      <c r="B2042" s="120">
        <v>888718.5100000001</v>
      </c>
      <c r="C2042" s="19">
        <f t="shared" si="308"/>
        <v>0</v>
      </c>
      <c r="D2042" s="19">
        <f t="shared" si="309"/>
        <v>0.02855756584</v>
      </c>
      <c r="E2042" s="12"/>
      <c r="F2042" s="7"/>
      <c r="G2042" s="7"/>
      <c r="H2042" s="1"/>
      <c r="I2042" s="1"/>
      <c r="J2042" s="1"/>
      <c r="K2042" s="1"/>
      <c r="L2042" s="12">
        <f t="shared" si="310"/>
        <v>20356.30297</v>
      </c>
      <c r="M2042" s="12"/>
      <c r="N2042" s="15"/>
      <c r="O2042" s="1"/>
      <c r="Q2042" s="12"/>
      <c r="R2042" s="1"/>
    </row>
    <row r="2043" ht="12.75" hidden="1" customHeight="1" outlineLevel="1">
      <c r="A2043" s="122">
        <f t="shared" si="311"/>
        <v>43324</v>
      </c>
      <c r="B2043" s="120">
        <v>888718.5100000001</v>
      </c>
      <c r="C2043" s="19">
        <f t="shared" si="308"/>
        <v>0</v>
      </c>
      <c r="D2043" s="19">
        <f t="shared" si="309"/>
        <v>0.02855756584</v>
      </c>
      <c r="E2043" s="12"/>
      <c r="F2043" s="7"/>
      <c r="G2043" s="7"/>
      <c r="H2043" s="1"/>
      <c r="I2043" s="1"/>
      <c r="J2043" s="1"/>
      <c r="K2043" s="1"/>
      <c r="L2043" s="12">
        <f t="shared" si="310"/>
        <v>20356.30297</v>
      </c>
      <c r="M2043" s="12"/>
      <c r="N2043" s="15"/>
      <c r="O2043" s="1"/>
      <c r="Q2043" s="12"/>
      <c r="R2043" s="1"/>
    </row>
    <row r="2044" ht="12.75" hidden="1" customHeight="1" outlineLevel="1">
      <c r="A2044" s="122">
        <f t="shared" si="311"/>
        <v>43325</v>
      </c>
      <c r="B2044" s="120">
        <v>883039.76</v>
      </c>
      <c r="C2044" s="19">
        <f t="shared" si="308"/>
        <v>-0.006389818526</v>
      </c>
      <c r="D2044" s="19">
        <f t="shared" si="309"/>
        <v>0.02198526965</v>
      </c>
      <c r="E2044" s="12"/>
      <c r="F2044" s="7"/>
      <c r="G2044" s="7"/>
      <c r="H2044" s="1"/>
      <c r="I2044" s="1"/>
      <c r="J2044" s="1"/>
      <c r="K2044" s="1"/>
      <c r="L2044" s="12">
        <f t="shared" si="310"/>
        <v>20226.22989</v>
      </c>
      <c r="M2044" s="12"/>
      <c r="N2044" s="15"/>
      <c r="O2044" s="1"/>
      <c r="Q2044" s="12"/>
      <c r="R2044" s="1"/>
    </row>
    <row r="2045" ht="12.75" hidden="1" customHeight="1" outlineLevel="1">
      <c r="A2045" s="122">
        <f t="shared" si="311"/>
        <v>43326</v>
      </c>
      <c r="B2045" s="120">
        <v>887927.0300000003</v>
      </c>
      <c r="C2045" s="19">
        <f t="shared" si="308"/>
        <v>0.005534597899</v>
      </c>
      <c r="D2045" s="19">
        <f t="shared" si="309"/>
        <v>0.02764154718</v>
      </c>
      <c r="E2045" s="12"/>
      <c r="F2045" s="7"/>
      <c r="G2045" s="7"/>
      <c r="H2045" s="1"/>
      <c r="I2045" s="1"/>
      <c r="J2045" s="1"/>
      <c r="K2045" s="1"/>
      <c r="L2045" s="12">
        <f t="shared" si="310"/>
        <v>20338.17394</v>
      </c>
      <c r="M2045" s="12"/>
      <c r="N2045" s="15"/>
      <c r="O2045" s="1"/>
      <c r="Q2045" s="12"/>
      <c r="R2045" s="1"/>
    </row>
    <row r="2046" ht="12.75" hidden="1" customHeight="1" outlineLevel="1">
      <c r="A2046" s="122">
        <f t="shared" si="311"/>
        <v>43327</v>
      </c>
      <c r="B2046" s="120">
        <v>877831.0299999998</v>
      </c>
      <c r="C2046" s="19">
        <f t="shared" si="308"/>
        <v>-0.01137030371</v>
      </c>
      <c r="D2046" s="19">
        <f t="shared" si="309"/>
        <v>0.01595695069</v>
      </c>
      <c r="E2046" s="12"/>
      <c r="F2046" s="7"/>
      <c r="G2046" s="7"/>
      <c r="H2046" s="1"/>
      <c r="I2046" s="1"/>
      <c r="J2046" s="1"/>
      <c r="K2046" s="1"/>
      <c r="L2046" s="12">
        <f t="shared" si="310"/>
        <v>20106.92272</v>
      </c>
      <c r="M2046" s="12"/>
      <c r="N2046" s="15"/>
      <c r="O2046" s="1"/>
      <c r="Q2046" s="12"/>
      <c r="R2046" s="1"/>
    </row>
    <row r="2047" ht="12.75" hidden="1" customHeight="1" outlineLevel="1">
      <c r="A2047" s="122">
        <f t="shared" si="311"/>
        <v>43328</v>
      </c>
      <c r="B2047" s="120">
        <v>884666.4199999999</v>
      </c>
      <c r="C2047" s="19">
        <f t="shared" si="308"/>
        <v>0.007786680769</v>
      </c>
      <c r="D2047" s="19">
        <f t="shared" si="309"/>
        <v>0.02386788314</v>
      </c>
      <c r="E2047" s="12"/>
      <c r="F2047" s="7"/>
      <c r="G2047" s="7"/>
      <c r="H2047" s="1"/>
      <c r="I2047" s="1"/>
      <c r="J2047" s="1"/>
      <c r="K2047" s="1"/>
      <c r="L2047" s="12">
        <f t="shared" si="310"/>
        <v>20263.48891</v>
      </c>
      <c r="M2047" s="12"/>
      <c r="N2047" s="15"/>
      <c r="O2047" s="1"/>
      <c r="Q2047" s="12"/>
      <c r="R2047" s="1"/>
    </row>
    <row r="2048" ht="12.75" hidden="1" customHeight="1" outlineLevel="1">
      <c r="A2048" s="122">
        <f t="shared" si="311"/>
        <v>43329</v>
      </c>
      <c r="B2048" s="120">
        <v>885200.0</v>
      </c>
      <c r="C2048" s="19">
        <f t="shared" si="308"/>
        <v>0.0006031425947</v>
      </c>
      <c r="D2048" s="19">
        <f t="shared" si="309"/>
        <v>0.02448542147</v>
      </c>
      <c r="E2048" s="12"/>
      <c r="F2048" s="7"/>
      <c r="G2048" s="7"/>
      <c r="H2048" s="1"/>
      <c r="I2048" s="1"/>
      <c r="J2048" s="1"/>
      <c r="K2048" s="1"/>
      <c r="L2048" s="12">
        <f t="shared" si="310"/>
        <v>20275.71068</v>
      </c>
      <c r="M2048" s="12"/>
      <c r="N2048" s="15"/>
      <c r="O2048" s="1"/>
      <c r="Q2048" s="12"/>
      <c r="R2048" s="1"/>
    </row>
    <row r="2049" ht="12.75" hidden="1" customHeight="1" outlineLevel="1">
      <c r="A2049" s="122">
        <f t="shared" si="311"/>
        <v>43330</v>
      </c>
      <c r="B2049" s="120">
        <v>885200.0</v>
      </c>
      <c r="C2049" s="19">
        <f t="shared" si="308"/>
        <v>0</v>
      </c>
      <c r="D2049" s="19">
        <f t="shared" si="309"/>
        <v>0.02448542147</v>
      </c>
      <c r="E2049" s="12"/>
      <c r="F2049" s="7"/>
      <c r="G2049" s="7"/>
      <c r="H2049" s="1"/>
      <c r="I2049" s="1"/>
      <c r="J2049" s="1"/>
      <c r="K2049" s="1"/>
      <c r="L2049" s="12">
        <f t="shared" si="310"/>
        <v>20275.71068</v>
      </c>
      <c r="M2049" s="12"/>
      <c r="N2049" s="15"/>
      <c r="O2049" s="1"/>
      <c r="Q2049" s="12"/>
      <c r="R2049" s="1"/>
    </row>
    <row r="2050" ht="12.75" hidden="1" customHeight="1" outlineLevel="1">
      <c r="A2050" s="122">
        <f t="shared" si="311"/>
        <v>43331</v>
      </c>
      <c r="B2050" s="120">
        <v>885200.0</v>
      </c>
      <c r="C2050" s="19">
        <f t="shared" si="308"/>
        <v>0</v>
      </c>
      <c r="D2050" s="19">
        <f t="shared" si="309"/>
        <v>0.02448542147</v>
      </c>
      <c r="E2050" s="12"/>
      <c r="F2050" s="7"/>
      <c r="G2050" s="7"/>
      <c r="H2050" s="1"/>
      <c r="I2050" s="1"/>
      <c r="J2050" s="1"/>
      <c r="K2050" s="1"/>
      <c r="L2050" s="12">
        <f t="shared" si="310"/>
        <v>20275.71068</v>
      </c>
      <c r="M2050" s="12"/>
      <c r="N2050" s="15"/>
      <c r="O2050" s="1"/>
      <c r="Q2050" s="12"/>
      <c r="R2050" s="1"/>
    </row>
    <row r="2051" ht="12.75" hidden="1" customHeight="1" outlineLevel="1">
      <c r="A2051" s="122">
        <f t="shared" si="311"/>
        <v>43332</v>
      </c>
      <c r="B2051" s="120">
        <v>885200.0</v>
      </c>
      <c r="C2051" s="19">
        <f t="shared" si="308"/>
        <v>0</v>
      </c>
      <c r="D2051" s="19">
        <f t="shared" si="309"/>
        <v>0.02448542147</v>
      </c>
      <c r="E2051" s="12"/>
      <c r="F2051" s="7"/>
      <c r="G2051" s="7"/>
      <c r="H2051" s="1"/>
      <c r="I2051" s="1"/>
      <c r="J2051" s="1"/>
      <c r="K2051" s="1"/>
      <c r="L2051" s="12">
        <f t="shared" si="310"/>
        <v>20275.71068</v>
      </c>
      <c r="M2051" s="12"/>
      <c r="N2051" s="15"/>
      <c r="O2051" s="1"/>
      <c r="Q2051" s="12"/>
      <c r="R2051" s="1"/>
    </row>
    <row r="2052" ht="12.75" hidden="1" customHeight="1" outlineLevel="1">
      <c r="A2052" s="122">
        <f t="shared" si="311"/>
        <v>43333</v>
      </c>
      <c r="B2052" s="120">
        <v>887000.0</v>
      </c>
      <c r="C2052" s="19">
        <f t="shared" si="308"/>
        <v>0.002033438771</v>
      </c>
      <c r="D2052" s="19">
        <f t="shared" si="309"/>
        <v>0.02656864985</v>
      </c>
      <c r="E2052" s="12"/>
      <c r="F2052" s="7"/>
      <c r="G2052" s="7"/>
      <c r="H2052" s="1"/>
      <c r="I2052" s="1"/>
      <c r="J2052" s="1"/>
      <c r="K2052" s="1"/>
      <c r="L2052" s="12">
        <f t="shared" si="310"/>
        <v>20316.9401</v>
      </c>
      <c r="M2052" s="12"/>
      <c r="N2052" s="15"/>
      <c r="O2052" s="1"/>
      <c r="Q2052" s="12"/>
      <c r="R2052" s="1"/>
    </row>
    <row r="2053" ht="12.75" hidden="1" customHeight="1" outlineLevel="1">
      <c r="A2053" s="122">
        <f t="shared" si="311"/>
        <v>43334</v>
      </c>
      <c r="B2053" s="120">
        <v>889210.22</v>
      </c>
      <c r="C2053" s="19">
        <f t="shared" si="308"/>
        <v>0.002491792559</v>
      </c>
      <c r="D2053" s="19">
        <f t="shared" si="309"/>
        <v>0.02912664597</v>
      </c>
      <c r="E2053" s="12"/>
      <c r="F2053" s="7"/>
      <c r="G2053" s="7"/>
      <c r="H2053" s="1"/>
      <c r="I2053" s="1"/>
      <c r="J2053" s="1"/>
      <c r="K2053" s="1"/>
      <c r="L2053" s="12">
        <f t="shared" si="310"/>
        <v>20367.5657</v>
      </c>
      <c r="M2053" s="12"/>
      <c r="N2053" s="15"/>
      <c r="O2053" s="1"/>
      <c r="Q2053" s="12"/>
      <c r="R2053" s="1"/>
    </row>
    <row r="2054" ht="12.75" hidden="1" customHeight="1" outlineLevel="1">
      <c r="A2054" s="122">
        <f t="shared" si="311"/>
        <v>43335</v>
      </c>
      <c r="B2054" s="120">
        <v>891453.5700000002</v>
      </c>
      <c r="C2054" s="19">
        <f t="shared" si="308"/>
        <v>0.002522856744</v>
      </c>
      <c r="D2054" s="19">
        <f t="shared" si="309"/>
        <v>0.03172298507</v>
      </c>
      <c r="E2054" s="12"/>
      <c r="F2054" s="7"/>
      <c r="G2054" s="7"/>
      <c r="H2054" s="1"/>
      <c r="I2054" s="1"/>
      <c r="J2054" s="1"/>
      <c r="K2054" s="1"/>
      <c r="L2054" s="12">
        <f t="shared" si="310"/>
        <v>20418.95015</v>
      </c>
      <c r="M2054" s="12"/>
      <c r="N2054" s="15"/>
      <c r="O2054" s="1"/>
      <c r="Q2054" s="12"/>
      <c r="R2054" s="1"/>
    </row>
    <row r="2055" ht="12.75" hidden="1" customHeight="1" outlineLevel="1">
      <c r="A2055" s="122">
        <f t="shared" si="311"/>
        <v>43336</v>
      </c>
      <c r="B2055" s="120">
        <v>891453.5700000002</v>
      </c>
      <c r="C2055" s="19">
        <f t="shared" si="308"/>
        <v>0</v>
      </c>
      <c r="D2055" s="19">
        <f t="shared" si="309"/>
        <v>0.03172298507</v>
      </c>
      <c r="E2055" s="12"/>
      <c r="F2055" s="7"/>
      <c r="G2055" s="7"/>
      <c r="H2055" s="1"/>
      <c r="I2055" s="1"/>
      <c r="J2055" s="1"/>
      <c r="K2055" s="1"/>
      <c r="L2055" s="12">
        <f t="shared" si="310"/>
        <v>20418.95015</v>
      </c>
      <c r="M2055" s="12"/>
      <c r="N2055" s="15"/>
      <c r="O2055" s="1"/>
      <c r="Q2055" s="12"/>
      <c r="R2055" s="1"/>
    </row>
    <row r="2056" ht="12.75" hidden="1" customHeight="1" outlineLevel="1">
      <c r="A2056" s="122">
        <f t="shared" si="311"/>
        <v>43337</v>
      </c>
      <c r="B2056" s="120">
        <v>891453.5700000002</v>
      </c>
      <c r="C2056" s="19">
        <f t="shared" si="308"/>
        <v>0</v>
      </c>
      <c r="D2056" s="19">
        <f t="shared" si="309"/>
        <v>0.03172298507</v>
      </c>
      <c r="E2056" s="12"/>
      <c r="F2056" s="7"/>
      <c r="G2056" s="7"/>
      <c r="H2056" s="1"/>
      <c r="I2056" s="1"/>
      <c r="J2056" s="1"/>
      <c r="K2056" s="1"/>
      <c r="L2056" s="12">
        <f t="shared" si="310"/>
        <v>20418.95015</v>
      </c>
      <c r="M2056" s="12"/>
      <c r="N2056" s="15"/>
      <c r="O2056" s="1"/>
      <c r="Q2056" s="12"/>
      <c r="R2056" s="1"/>
    </row>
    <row r="2057" ht="12.75" hidden="1" customHeight="1" outlineLevel="1">
      <c r="A2057" s="122">
        <f t="shared" si="311"/>
        <v>43338</v>
      </c>
      <c r="B2057" s="120">
        <v>891453.5700000002</v>
      </c>
      <c r="C2057" s="19">
        <f t="shared" si="308"/>
        <v>0</v>
      </c>
      <c r="D2057" s="19">
        <f t="shared" si="309"/>
        <v>0.03172298507</v>
      </c>
      <c r="E2057" s="12"/>
      <c r="F2057" s="7"/>
      <c r="G2057" s="7"/>
      <c r="H2057" s="1"/>
      <c r="I2057" s="1"/>
      <c r="J2057" s="1"/>
      <c r="K2057" s="1"/>
      <c r="L2057" s="12">
        <f t="shared" si="310"/>
        <v>20418.95015</v>
      </c>
      <c r="M2057" s="12"/>
      <c r="N2057" s="15"/>
      <c r="O2057" s="1"/>
      <c r="Q2057" s="12"/>
      <c r="R2057" s="1"/>
    </row>
    <row r="2058" ht="12.75" hidden="1" customHeight="1" outlineLevel="1">
      <c r="A2058" s="122">
        <f t="shared" si="311"/>
        <v>43339</v>
      </c>
      <c r="B2058" s="120">
        <v>899903.19</v>
      </c>
      <c r="C2058" s="19">
        <f t="shared" si="308"/>
        <v>0.009478474577</v>
      </c>
      <c r="D2058" s="19">
        <f t="shared" si="309"/>
        <v>0.04150214515</v>
      </c>
      <c r="E2058" s="12"/>
      <c r="F2058" s="7"/>
      <c r="G2058" s="7"/>
      <c r="H2058" s="1"/>
      <c r="I2058" s="1"/>
      <c r="J2058" s="1"/>
      <c r="K2058" s="1"/>
      <c r="L2058" s="12">
        <f t="shared" si="310"/>
        <v>20612.49065</v>
      </c>
      <c r="M2058" s="12"/>
      <c r="N2058" s="15"/>
      <c r="O2058" s="1"/>
      <c r="Q2058" s="12"/>
      <c r="R2058" s="1"/>
    </row>
    <row r="2059" ht="12.75" hidden="1" customHeight="1" outlineLevel="1">
      <c r="A2059" s="122">
        <f t="shared" si="311"/>
        <v>43340</v>
      </c>
      <c r="B2059" s="120">
        <v>899898.4299999999</v>
      </c>
      <c r="C2059" s="19">
        <f t="shared" si="308"/>
        <v>-0.000005289457858</v>
      </c>
      <c r="D2059" s="19">
        <f t="shared" si="309"/>
        <v>0.04149663617</v>
      </c>
      <c r="E2059" s="12"/>
      <c r="F2059" s="7"/>
      <c r="G2059" s="7"/>
      <c r="H2059" s="1"/>
      <c r="I2059" s="1"/>
      <c r="J2059" s="1"/>
      <c r="K2059" s="1"/>
      <c r="L2059" s="12">
        <f t="shared" si="310"/>
        <v>20612.38162</v>
      </c>
      <c r="M2059" s="12"/>
      <c r="N2059" s="15"/>
      <c r="O2059" s="1"/>
      <c r="Q2059" s="12"/>
      <c r="R2059" s="1"/>
    </row>
    <row r="2060" ht="12.75" hidden="1" customHeight="1" outlineLevel="1">
      <c r="A2060" s="122">
        <f t="shared" si="311"/>
        <v>43341</v>
      </c>
      <c r="B2060" s="120">
        <v>904539.28</v>
      </c>
      <c r="C2060" s="19">
        <f t="shared" si="308"/>
        <v>0.005157082005</v>
      </c>
      <c r="D2060" s="19">
        <f t="shared" si="309"/>
        <v>0.04686771973</v>
      </c>
      <c r="E2060" s="12"/>
      <c r="F2060" s="7"/>
      <c r="G2060" s="7"/>
      <c r="H2060" s="1"/>
      <c r="I2060" s="1"/>
      <c r="J2060" s="1"/>
      <c r="K2060" s="1"/>
      <c r="L2060" s="12">
        <f t="shared" si="310"/>
        <v>20718.68136</v>
      </c>
      <c r="M2060" s="12"/>
      <c r="N2060" s="15"/>
      <c r="O2060" s="1"/>
      <c r="Q2060" s="12"/>
      <c r="R2060" s="1"/>
    </row>
    <row r="2061" ht="12.75" hidden="1" customHeight="1" outlineLevel="1">
      <c r="A2061" s="122">
        <f t="shared" si="311"/>
        <v>43342</v>
      </c>
      <c r="B2061" s="120">
        <v>899208.05</v>
      </c>
      <c r="C2061" s="19">
        <f t="shared" si="308"/>
        <v>-0.005893862343</v>
      </c>
      <c r="D2061" s="19">
        <f t="shared" si="309"/>
        <v>0.0406976255</v>
      </c>
      <c r="E2061" s="12"/>
      <c r="F2061" s="7"/>
      <c r="G2061" s="7"/>
      <c r="H2061" s="1"/>
      <c r="I2061" s="1"/>
      <c r="J2061" s="1"/>
      <c r="K2061" s="1"/>
      <c r="L2061" s="12">
        <f t="shared" si="310"/>
        <v>20596.56831</v>
      </c>
      <c r="M2061" s="12"/>
      <c r="N2061" s="15"/>
      <c r="O2061" s="1"/>
      <c r="Q2061" s="12"/>
      <c r="R2061" s="1"/>
    </row>
    <row r="2062" ht="12.75" hidden="1" customHeight="1" outlineLevel="1">
      <c r="A2062" s="122">
        <f t="shared" si="311"/>
        <v>43343</v>
      </c>
      <c r="B2062" s="120">
        <v>899208.05</v>
      </c>
      <c r="C2062" s="19">
        <f t="shared" si="308"/>
        <v>0</v>
      </c>
      <c r="D2062" s="19">
        <f t="shared" si="309"/>
        <v>0.0406976255</v>
      </c>
      <c r="E2062" s="12"/>
      <c r="F2062" s="7"/>
      <c r="G2062" s="7"/>
      <c r="H2062" s="1"/>
      <c r="I2062" s="1"/>
      <c r="J2062" s="1"/>
      <c r="K2062" s="1"/>
      <c r="L2062" s="12">
        <f t="shared" si="310"/>
        <v>20596.56831</v>
      </c>
      <c r="M2062" s="12"/>
      <c r="N2062" s="15"/>
      <c r="O2062" s="1"/>
      <c r="Q2062" s="12"/>
      <c r="R2062" s="1"/>
    </row>
    <row r="2063" ht="12.75" hidden="1" customHeight="1" outlineLevel="1">
      <c r="B2063" s="12"/>
      <c r="C2063" s="1"/>
      <c r="D2063" s="1"/>
      <c r="E2063" s="12"/>
      <c r="F2063" s="7"/>
      <c r="G2063" s="7"/>
      <c r="H2063" s="1"/>
      <c r="I2063" s="1"/>
      <c r="J2063" s="1"/>
      <c r="K2063" s="1"/>
      <c r="L2063" s="12"/>
      <c r="M2063" s="12"/>
      <c r="N2063" s="15"/>
      <c r="O2063" s="1"/>
      <c r="Q2063" s="12"/>
      <c r="R2063" s="1"/>
    </row>
    <row r="2064" ht="12.75" hidden="1" customHeight="1" outlineLevel="1">
      <c r="B2064" s="120">
        <f>B2062</f>
        <v>899208.05</v>
      </c>
      <c r="C2064" s="32"/>
      <c r="D2064" s="1"/>
      <c r="E2064" s="12"/>
      <c r="F2064" s="7"/>
      <c r="G2064" s="7"/>
      <c r="H2064" s="1"/>
      <c r="I2064" s="1"/>
      <c r="J2064" s="1"/>
      <c r="K2064" s="1"/>
      <c r="L2064" s="12"/>
      <c r="M2064" s="12"/>
      <c r="N2064" s="15"/>
      <c r="O2064" s="1"/>
      <c r="Q2064" s="12"/>
      <c r="R2064" s="1"/>
    </row>
    <row r="2065" ht="12.75" hidden="1" customHeight="1" outlineLevel="1">
      <c r="A2065" s="122">
        <f>A2062+1</f>
        <v>43344</v>
      </c>
      <c r="B2065" s="120">
        <v>899208.05</v>
      </c>
      <c r="C2065" s="19">
        <f t="shared" ref="C2065:C2094" si="312">B2065/B2064-1</f>
        <v>0</v>
      </c>
      <c r="D2065" s="19">
        <f t="shared" ref="D2065:D2094" si="313">(B2065/$B$2064)-1</f>
        <v>0</v>
      </c>
      <c r="E2065" s="12"/>
      <c r="F2065" s="7"/>
      <c r="G2065" s="7"/>
      <c r="H2065" s="1"/>
      <c r="I2065" s="1"/>
      <c r="J2065" s="1"/>
      <c r="K2065" s="1"/>
      <c r="L2065" s="12">
        <f t="shared" ref="L2065:L2094" si="314">IF(C2064="",L2062*(1+C2065),L2064*(1+C2065))</f>
        <v>20596.56831</v>
      </c>
      <c r="M2065" s="12"/>
      <c r="N2065" s="15"/>
      <c r="O2065" s="1"/>
      <c r="Q2065" s="12"/>
      <c r="R2065" s="1"/>
    </row>
    <row r="2066" ht="12.75" hidden="1" customHeight="1" outlineLevel="1">
      <c r="A2066" s="122">
        <f t="shared" ref="A2066:A2094" si="315">A2065+1</f>
        <v>43345</v>
      </c>
      <c r="B2066" s="120">
        <v>899208.05</v>
      </c>
      <c r="C2066" s="19">
        <f t="shared" si="312"/>
        <v>0</v>
      </c>
      <c r="D2066" s="19">
        <f t="shared" si="313"/>
        <v>0</v>
      </c>
      <c r="E2066" s="12"/>
      <c r="F2066" s="7"/>
      <c r="G2066" s="7"/>
      <c r="H2066" s="1"/>
      <c r="I2066" s="1"/>
      <c r="J2066" s="1"/>
      <c r="K2066" s="1"/>
      <c r="L2066" s="12">
        <f t="shared" si="314"/>
        <v>20596.56831</v>
      </c>
      <c r="M2066" s="12"/>
      <c r="N2066" s="15"/>
      <c r="O2066" s="1"/>
      <c r="Q2066" s="12"/>
      <c r="R2066" s="1"/>
    </row>
    <row r="2067" ht="12.75" hidden="1" customHeight="1" outlineLevel="1">
      <c r="A2067" s="122">
        <f t="shared" si="315"/>
        <v>43346</v>
      </c>
      <c r="B2067" s="120">
        <v>899208.05</v>
      </c>
      <c r="C2067" s="19">
        <f t="shared" si="312"/>
        <v>0</v>
      </c>
      <c r="D2067" s="19">
        <f t="shared" si="313"/>
        <v>0</v>
      </c>
      <c r="E2067" s="12"/>
      <c r="F2067" s="7"/>
      <c r="G2067" s="7"/>
      <c r="H2067" s="1"/>
      <c r="I2067" s="1"/>
      <c r="J2067" s="1"/>
      <c r="K2067" s="1"/>
      <c r="L2067" s="12">
        <f t="shared" si="314"/>
        <v>20596.56831</v>
      </c>
      <c r="M2067" s="12"/>
      <c r="N2067" s="15"/>
      <c r="O2067" s="1"/>
      <c r="Q2067" s="12"/>
      <c r="R2067" s="1"/>
    </row>
    <row r="2068" ht="12.75" hidden="1" customHeight="1" outlineLevel="1">
      <c r="A2068" s="122">
        <f t="shared" si="315"/>
        <v>43347</v>
      </c>
      <c r="B2068" s="120">
        <v>895258.4500000001</v>
      </c>
      <c r="C2068" s="19">
        <f t="shared" si="312"/>
        <v>-0.004392309433</v>
      </c>
      <c r="D2068" s="19">
        <f t="shared" si="313"/>
        <v>-0.004392309433</v>
      </c>
      <c r="E2068" s="12"/>
      <c r="F2068" s="7"/>
      <c r="G2068" s="7"/>
      <c r="H2068" s="1"/>
      <c r="I2068" s="1"/>
      <c r="J2068" s="1"/>
      <c r="K2068" s="1"/>
      <c r="L2068" s="12">
        <f t="shared" si="314"/>
        <v>20506.10181</v>
      </c>
      <c r="M2068" s="12"/>
      <c r="N2068" s="15"/>
      <c r="O2068" s="1"/>
      <c r="Q2068" s="12"/>
      <c r="R2068" s="1"/>
    </row>
    <row r="2069" ht="12.75" hidden="1" customHeight="1" outlineLevel="1">
      <c r="A2069" s="122">
        <f t="shared" si="315"/>
        <v>43348</v>
      </c>
      <c r="B2069" s="120">
        <v>888559.4499999997</v>
      </c>
      <c r="C2069" s="19">
        <f t="shared" si="312"/>
        <v>-0.007482755399</v>
      </c>
      <c r="D2069" s="19">
        <f t="shared" si="313"/>
        <v>-0.01184219825</v>
      </c>
      <c r="E2069" s="12"/>
      <c r="F2069" s="7"/>
      <c r="G2069" s="7"/>
      <c r="H2069" s="1"/>
      <c r="I2069" s="1"/>
      <c r="J2069" s="1"/>
      <c r="K2069" s="1"/>
      <c r="L2069" s="12">
        <f t="shared" si="314"/>
        <v>20352.65966</v>
      </c>
      <c r="M2069" s="12"/>
      <c r="N2069" s="15"/>
      <c r="O2069" s="1"/>
      <c r="Q2069" s="12"/>
      <c r="R2069" s="1"/>
    </row>
    <row r="2070" ht="12.75" hidden="1" customHeight="1" outlineLevel="1">
      <c r="A2070" s="122">
        <f t="shared" si="315"/>
        <v>43349</v>
      </c>
      <c r="B2070" s="120">
        <v>885495.97</v>
      </c>
      <c r="C2070" s="19">
        <f t="shared" si="312"/>
        <v>-0.00344769278</v>
      </c>
      <c r="D2070" s="19">
        <f t="shared" si="313"/>
        <v>-0.01524906277</v>
      </c>
      <c r="E2070" s="12"/>
      <c r="F2070" s="7"/>
      <c r="G2070" s="7"/>
      <c r="H2070" s="1"/>
      <c r="I2070" s="1"/>
      <c r="J2070" s="1"/>
      <c r="K2070" s="1"/>
      <c r="L2070" s="12">
        <f t="shared" si="314"/>
        <v>20282.48995</v>
      </c>
      <c r="M2070" s="12"/>
      <c r="N2070" s="15"/>
      <c r="O2070" s="1"/>
      <c r="Q2070" s="12"/>
      <c r="R2070" s="1"/>
    </row>
    <row r="2071" ht="12.75" hidden="1" customHeight="1" outlineLevel="1">
      <c r="A2071" s="122">
        <f t="shared" si="315"/>
        <v>43350</v>
      </c>
      <c r="B2071" s="120">
        <v>885379.3099999999</v>
      </c>
      <c r="C2071" s="19">
        <f t="shared" si="312"/>
        <v>-0.0001317453765</v>
      </c>
      <c r="D2071" s="19">
        <f t="shared" si="313"/>
        <v>-0.01537879916</v>
      </c>
      <c r="E2071" s="12"/>
      <c r="F2071" s="7"/>
      <c r="G2071" s="7"/>
      <c r="H2071" s="1"/>
      <c r="I2071" s="1"/>
      <c r="J2071" s="1"/>
      <c r="K2071" s="1"/>
      <c r="L2071" s="12">
        <f t="shared" si="314"/>
        <v>20279.81782</v>
      </c>
      <c r="M2071" s="12"/>
      <c r="N2071" s="15"/>
      <c r="O2071" s="1"/>
      <c r="Q2071" s="12"/>
      <c r="R2071" s="1"/>
    </row>
    <row r="2072" ht="12.75" hidden="1" customHeight="1" outlineLevel="1">
      <c r="A2072" s="122">
        <f t="shared" si="315"/>
        <v>43351</v>
      </c>
      <c r="B2072" s="120">
        <v>885379.3099999999</v>
      </c>
      <c r="C2072" s="19">
        <f t="shared" si="312"/>
        <v>0</v>
      </c>
      <c r="D2072" s="19">
        <f t="shared" si="313"/>
        <v>-0.01537879916</v>
      </c>
      <c r="E2072" s="12"/>
      <c r="F2072" s="7"/>
      <c r="G2072" s="7"/>
      <c r="H2072" s="1"/>
      <c r="I2072" s="1"/>
      <c r="J2072" s="1"/>
      <c r="K2072" s="1"/>
      <c r="L2072" s="12">
        <f t="shared" si="314"/>
        <v>20279.81782</v>
      </c>
      <c r="M2072" s="12"/>
      <c r="N2072" s="15"/>
      <c r="O2072" s="1"/>
      <c r="Q2072" s="12"/>
      <c r="R2072" s="1"/>
    </row>
    <row r="2073" ht="12.75" hidden="1" customHeight="1" outlineLevel="1">
      <c r="A2073" s="122">
        <f t="shared" si="315"/>
        <v>43352</v>
      </c>
      <c r="B2073" s="120">
        <v>885379.3099999999</v>
      </c>
      <c r="C2073" s="19">
        <f t="shared" si="312"/>
        <v>0</v>
      </c>
      <c r="D2073" s="19">
        <f t="shared" si="313"/>
        <v>-0.01537879916</v>
      </c>
      <c r="E2073" s="12"/>
      <c r="F2073" s="7"/>
      <c r="G2073" s="7"/>
      <c r="H2073" s="1"/>
      <c r="I2073" s="1"/>
      <c r="J2073" s="1"/>
      <c r="K2073" s="1"/>
      <c r="L2073" s="12">
        <f t="shared" si="314"/>
        <v>20279.81782</v>
      </c>
      <c r="M2073" s="12"/>
      <c r="N2073" s="15"/>
      <c r="O2073" s="1"/>
      <c r="Q2073" s="12"/>
      <c r="R2073" s="1"/>
    </row>
    <row r="2074" ht="12.75" hidden="1" customHeight="1" outlineLevel="1">
      <c r="A2074" s="122">
        <f t="shared" si="315"/>
        <v>43353</v>
      </c>
      <c r="B2074" s="120">
        <v>893700.0</v>
      </c>
      <c r="C2074" s="19">
        <f t="shared" si="312"/>
        <v>0.009397881683</v>
      </c>
      <c r="D2074" s="19">
        <f t="shared" si="313"/>
        <v>-0.006125445607</v>
      </c>
      <c r="E2074" s="12"/>
      <c r="F2074" s="7"/>
      <c r="G2074" s="7"/>
      <c r="H2074" s="1"/>
      <c r="I2074" s="1"/>
      <c r="J2074" s="1"/>
      <c r="K2074" s="1"/>
      <c r="L2074" s="12">
        <f t="shared" si="314"/>
        <v>20470.40515</v>
      </c>
      <c r="M2074" s="12"/>
      <c r="N2074" s="15"/>
      <c r="O2074" s="1"/>
      <c r="Q2074" s="12"/>
      <c r="R2074" s="1"/>
    </row>
    <row r="2075" ht="12.75" hidden="1" customHeight="1" outlineLevel="1">
      <c r="A2075" s="122">
        <f t="shared" si="315"/>
        <v>43354</v>
      </c>
      <c r="B2075" s="120">
        <v>893700.0</v>
      </c>
      <c r="C2075" s="19">
        <f t="shared" si="312"/>
        <v>0</v>
      </c>
      <c r="D2075" s="19">
        <f t="shared" si="313"/>
        <v>-0.006125445607</v>
      </c>
      <c r="E2075" s="12"/>
      <c r="F2075" s="7"/>
      <c r="G2075" s="7"/>
      <c r="H2075" s="1"/>
      <c r="I2075" s="1"/>
      <c r="J2075" s="1"/>
      <c r="K2075" s="1"/>
      <c r="L2075" s="12">
        <f t="shared" si="314"/>
        <v>20470.40515</v>
      </c>
      <c r="M2075" s="12"/>
      <c r="N2075" s="15"/>
      <c r="O2075" s="1"/>
      <c r="Q2075" s="12"/>
      <c r="R2075" s="1"/>
    </row>
    <row r="2076" ht="12.75" hidden="1" customHeight="1" outlineLevel="1">
      <c r="A2076" s="122">
        <f t="shared" si="315"/>
        <v>43355</v>
      </c>
      <c r="B2076" s="120">
        <v>888992.73</v>
      </c>
      <c r="C2076" s="19">
        <f t="shared" si="312"/>
        <v>-0.005267170191</v>
      </c>
      <c r="D2076" s="19">
        <f t="shared" si="313"/>
        <v>-0.01136035203</v>
      </c>
      <c r="E2076" s="12"/>
      <c r="F2076" s="7"/>
      <c r="G2076" s="7"/>
      <c r="H2076" s="1"/>
      <c r="I2076" s="1"/>
      <c r="J2076" s="1"/>
      <c r="K2076" s="1"/>
      <c r="L2076" s="12">
        <f t="shared" si="314"/>
        <v>20362.58404</v>
      </c>
      <c r="M2076" s="12"/>
      <c r="N2076" s="15"/>
      <c r="O2076" s="1"/>
      <c r="Q2076" s="12"/>
      <c r="R2076" s="1"/>
    </row>
    <row r="2077" ht="12.75" hidden="1" customHeight="1" outlineLevel="1">
      <c r="A2077" s="122">
        <f t="shared" si="315"/>
        <v>43356</v>
      </c>
      <c r="B2077" s="120">
        <v>896800.0</v>
      </c>
      <c r="C2077" s="19">
        <f t="shared" si="312"/>
        <v>0.008782152808</v>
      </c>
      <c r="D2077" s="19">
        <f t="shared" si="313"/>
        <v>-0.002677967574</v>
      </c>
      <c r="E2077" s="12"/>
      <c r="F2077" s="7"/>
      <c r="G2077" s="7"/>
      <c r="H2077" s="1"/>
      <c r="I2077" s="1"/>
      <c r="J2077" s="1"/>
      <c r="K2077" s="1"/>
      <c r="L2077" s="12">
        <f t="shared" si="314"/>
        <v>20541.41137</v>
      </c>
      <c r="M2077" s="12"/>
      <c r="N2077" s="15"/>
      <c r="O2077" s="1"/>
      <c r="Q2077" s="12"/>
      <c r="R2077" s="1"/>
    </row>
    <row r="2078" ht="12.75" hidden="1" customHeight="1" outlineLevel="1">
      <c r="A2078" s="122">
        <f t="shared" si="315"/>
        <v>43357</v>
      </c>
      <c r="B2078" s="120">
        <v>899400.0</v>
      </c>
      <c r="C2078" s="19">
        <f t="shared" si="312"/>
        <v>0.002899197145</v>
      </c>
      <c r="D2078" s="19">
        <f t="shared" si="313"/>
        <v>0.0002134656157</v>
      </c>
      <c r="E2078" s="12"/>
      <c r="F2078" s="7"/>
      <c r="G2078" s="7"/>
      <c r="H2078" s="1"/>
      <c r="I2078" s="1"/>
      <c r="J2078" s="1"/>
      <c r="K2078" s="1"/>
      <c r="L2078" s="12">
        <f t="shared" si="314"/>
        <v>20600.96497</v>
      </c>
      <c r="M2078" s="12"/>
      <c r="N2078" s="15"/>
      <c r="O2078" s="1"/>
      <c r="Q2078" s="12"/>
      <c r="R2078" s="1"/>
    </row>
    <row r="2079" ht="12.75" hidden="1" customHeight="1" outlineLevel="1">
      <c r="A2079" s="122">
        <f t="shared" si="315"/>
        <v>43358</v>
      </c>
      <c r="B2079" s="120">
        <v>892959.4500000001</v>
      </c>
      <c r="C2079" s="19">
        <f t="shared" si="312"/>
        <v>-0.007160940627</v>
      </c>
      <c r="D2079" s="19">
        <f t="shared" si="313"/>
        <v>-0.006949003626</v>
      </c>
      <c r="E2079" s="12"/>
      <c r="F2079" s="7"/>
      <c r="G2079" s="7"/>
      <c r="H2079" s="1"/>
      <c r="I2079" s="1"/>
      <c r="J2079" s="1"/>
      <c r="K2079" s="1"/>
      <c r="L2079" s="12">
        <f t="shared" si="314"/>
        <v>20453.44268</v>
      </c>
      <c r="M2079" s="12"/>
      <c r="N2079" s="15"/>
      <c r="O2079" s="1"/>
      <c r="Q2079" s="12"/>
      <c r="R2079" s="1"/>
    </row>
    <row r="2080" ht="12.75" hidden="1" customHeight="1" outlineLevel="1">
      <c r="A2080" s="122">
        <f t="shared" si="315"/>
        <v>43359</v>
      </c>
      <c r="B2080" s="120">
        <v>892959.4500000001</v>
      </c>
      <c r="C2080" s="19">
        <f t="shared" si="312"/>
        <v>0</v>
      </c>
      <c r="D2080" s="19">
        <f t="shared" si="313"/>
        <v>-0.006949003626</v>
      </c>
      <c r="E2080" s="12"/>
      <c r="F2080" s="7"/>
      <c r="G2080" s="7"/>
      <c r="H2080" s="1"/>
      <c r="I2080" s="1"/>
      <c r="J2080" s="1"/>
      <c r="K2080" s="1"/>
      <c r="L2080" s="12">
        <f t="shared" si="314"/>
        <v>20453.44268</v>
      </c>
      <c r="M2080" s="12"/>
      <c r="N2080" s="15"/>
      <c r="O2080" s="1"/>
      <c r="Q2080" s="12"/>
      <c r="R2080" s="1"/>
    </row>
    <row r="2081" ht="12.75" hidden="1" customHeight="1" outlineLevel="1">
      <c r="A2081" s="122">
        <f t="shared" si="315"/>
        <v>43360</v>
      </c>
      <c r="B2081" s="120">
        <v>892959.4500000001</v>
      </c>
      <c r="C2081" s="19">
        <f t="shared" si="312"/>
        <v>0</v>
      </c>
      <c r="D2081" s="19">
        <f t="shared" si="313"/>
        <v>-0.006949003626</v>
      </c>
      <c r="E2081" s="12"/>
      <c r="F2081" s="7"/>
      <c r="G2081" s="7"/>
      <c r="H2081" s="1"/>
      <c r="I2081" s="1"/>
      <c r="J2081" s="1"/>
      <c r="K2081" s="1"/>
      <c r="L2081" s="12">
        <f t="shared" si="314"/>
        <v>20453.44268</v>
      </c>
      <c r="M2081" s="12"/>
      <c r="N2081" s="15"/>
      <c r="O2081" s="1"/>
      <c r="Q2081" s="12"/>
      <c r="R2081" s="1"/>
    </row>
    <row r="2082" ht="12.75" hidden="1" customHeight="1" outlineLevel="1">
      <c r="A2082" s="122">
        <f t="shared" si="315"/>
        <v>43361</v>
      </c>
      <c r="B2082" s="120">
        <v>897276.0500000002</v>
      </c>
      <c r="C2082" s="19">
        <f t="shared" si="312"/>
        <v>0.004834038097</v>
      </c>
      <c r="D2082" s="19">
        <f t="shared" si="313"/>
        <v>-0.002148557278</v>
      </c>
      <c r="E2082" s="12"/>
      <c r="F2082" s="7"/>
      <c r="G2082" s="7"/>
      <c r="H2082" s="1"/>
      <c r="I2082" s="1"/>
      <c r="J2082" s="1"/>
      <c r="K2082" s="1"/>
      <c r="L2082" s="12">
        <f t="shared" si="314"/>
        <v>20552.3154</v>
      </c>
      <c r="M2082" s="12"/>
      <c r="N2082" s="15"/>
      <c r="O2082" s="1"/>
      <c r="Q2082" s="12"/>
      <c r="R2082" s="1"/>
    </row>
    <row r="2083" ht="12.75" hidden="1" customHeight="1" outlineLevel="1">
      <c r="A2083" s="122">
        <f t="shared" si="315"/>
        <v>43362</v>
      </c>
      <c r="B2083" s="120">
        <v>897276.0500000002</v>
      </c>
      <c r="C2083" s="19">
        <f t="shared" si="312"/>
        <v>0</v>
      </c>
      <c r="D2083" s="19">
        <f t="shared" si="313"/>
        <v>-0.002148557278</v>
      </c>
      <c r="E2083" s="12"/>
      <c r="F2083" s="7"/>
      <c r="G2083" s="7"/>
      <c r="H2083" s="1"/>
      <c r="I2083" s="1"/>
      <c r="J2083" s="1"/>
      <c r="K2083" s="1"/>
      <c r="L2083" s="12">
        <f t="shared" si="314"/>
        <v>20552.3154</v>
      </c>
      <c r="M2083" s="12"/>
      <c r="N2083" s="15"/>
      <c r="O2083" s="1"/>
      <c r="Q2083" s="12"/>
      <c r="R2083" s="1"/>
    </row>
    <row r="2084" ht="12.75" hidden="1" customHeight="1" outlineLevel="1">
      <c r="A2084" s="122">
        <f t="shared" si="315"/>
        <v>43363</v>
      </c>
      <c r="B2084" s="120">
        <v>900967.3000000002</v>
      </c>
      <c r="C2084" s="19">
        <f t="shared" si="312"/>
        <v>0.004113839882</v>
      </c>
      <c r="D2084" s="19">
        <f t="shared" si="313"/>
        <v>0.001956443784</v>
      </c>
      <c r="E2084" s="12"/>
      <c r="F2084" s="7"/>
      <c r="G2084" s="7"/>
      <c r="H2084" s="1"/>
      <c r="I2084" s="1"/>
      <c r="J2084" s="1"/>
      <c r="K2084" s="1"/>
      <c r="L2084" s="12">
        <f t="shared" si="314"/>
        <v>20636.86434</v>
      </c>
      <c r="M2084" s="12"/>
      <c r="N2084" s="15"/>
      <c r="O2084" s="1"/>
      <c r="Q2084" s="12"/>
      <c r="R2084" s="1"/>
    </row>
    <row r="2085" ht="12.75" hidden="1" customHeight="1" outlineLevel="1">
      <c r="A2085" s="122">
        <f t="shared" si="315"/>
        <v>43364</v>
      </c>
      <c r="B2085" s="120">
        <v>898494.3000000002</v>
      </c>
      <c r="C2085" s="19">
        <f t="shared" si="312"/>
        <v>-0.002744827698</v>
      </c>
      <c r="D2085" s="19">
        <f t="shared" si="313"/>
        <v>-0.000793754015</v>
      </c>
      <c r="E2085" s="12"/>
      <c r="F2085" s="7"/>
      <c r="G2085" s="7"/>
      <c r="H2085" s="1"/>
      <c r="I2085" s="1"/>
      <c r="J2085" s="1"/>
      <c r="K2085" s="1"/>
      <c r="L2085" s="12">
        <f t="shared" si="314"/>
        <v>20580.2197</v>
      </c>
      <c r="M2085" s="12"/>
      <c r="N2085" s="15"/>
      <c r="O2085" s="1"/>
      <c r="Q2085" s="12"/>
      <c r="R2085" s="1"/>
    </row>
    <row r="2086" ht="12.75" hidden="1" customHeight="1" outlineLevel="1">
      <c r="A2086" s="122">
        <f t="shared" si="315"/>
        <v>43365</v>
      </c>
      <c r="B2086" s="120">
        <v>890247.05</v>
      </c>
      <c r="C2086" s="19">
        <f t="shared" si="312"/>
        <v>-0.009178967524</v>
      </c>
      <c r="D2086" s="19">
        <f t="shared" si="313"/>
        <v>-0.009965435696</v>
      </c>
      <c r="E2086" s="12"/>
      <c r="F2086" s="7"/>
      <c r="G2086" s="7"/>
      <c r="H2086" s="1"/>
      <c r="I2086" s="1"/>
      <c r="J2086" s="1"/>
      <c r="K2086" s="1"/>
      <c r="L2086" s="12">
        <f t="shared" si="314"/>
        <v>20391.31453</v>
      </c>
      <c r="M2086" s="12"/>
      <c r="N2086" s="15"/>
      <c r="O2086" s="1"/>
      <c r="Q2086" s="12"/>
      <c r="R2086" s="1"/>
    </row>
    <row r="2087" ht="12.75" hidden="1" customHeight="1" outlineLevel="1">
      <c r="A2087" s="122">
        <f t="shared" si="315"/>
        <v>43366</v>
      </c>
      <c r="B2087" s="120">
        <v>890247.05</v>
      </c>
      <c r="C2087" s="19">
        <f t="shared" si="312"/>
        <v>0</v>
      </c>
      <c r="D2087" s="19">
        <f t="shared" si="313"/>
        <v>-0.009965435696</v>
      </c>
      <c r="E2087" s="12"/>
      <c r="F2087" s="7"/>
      <c r="G2087" s="7"/>
      <c r="H2087" s="1"/>
      <c r="I2087" s="1"/>
      <c r="J2087" s="1"/>
      <c r="K2087" s="1"/>
      <c r="L2087" s="12">
        <f t="shared" si="314"/>
        <v>20391.31453</v>
      </c>
      <c r="M2087" s="12"/>
      <c r="N2087" s="15"/>
      <c r="O2087" s="1"/>
      <c r="Q2087" s="12"/>
      <c r="R2087" s="1"/>
    </row>
    <row r="2088" ht="12.75" hidden="1" customHeight="1" outlineLevel="1">
      <c r="A2088" s="122">
        <f t="shared" si="315"/>
        <v>43367</v>
      </c>
      <c r="B2088" s="120">
        <v>890247.05</v>
      </c>
      <c r="C2088" s="19">
        <f t="shared" si="312"/>
        <v>0</v>
      </c>
      <c r="D2088" s="19">
        <f t="shared" si="313"/>
        <v>-0.009965435696</v>
      </c>
      <c r="E2088" s="12"/>
      <c r="F2088" s="7"/>
      <c r="G2088" s="7"/>
      <c r="H2088" s="1"/>
      <c r="I2088" s="1"/>
      <c r="J2088" s="1"/>
      <c r="K2088" s="1"/>
      <c r="L2088" s="12">
        <f t="shared" si="314"/>
        <v>20391.31453</v>
      </c>
      <c r="M2088" s="12"/>
      <c r="N2088" s="15"/>
      <c r="O2088" s="1"/>
      <c r="Q2088" s="12"/>
      <c r="R2088" s="1"/>
    </row>
    <row r="2089" ht="12.75" hidden="1" customHeight="1" outlineLevel="1">
      <c r="A2089" s="122">
        <f t="shared" si="315"/>
        <v>43368</v>
      </c>
      <c r="B2089" s="120">
        <v>890247.05</v>
      </c>
      <c r="C2089" s="19">
        <f t="shared" si="312"/>
        <v>0</v>
      </c>
      <c r="D2089" s="19">
        <f t="shared" si="313"/>
        <v>-0.009965435696</v>
      </c>
      <c r="E2089" s="12"/>
      <c r="F2089" s="7"/>
      <c r="G2089" s="7"/>
      <c r="H2089" s="1"/>
      <c r="I2089" s="1"/>
      <c r="J2089" s="1"/>
      <c r="K2089" s="1"/>
      <c r="L2089" s="12">
        <f t="shared" si="314"/>
        <v>20391.31453</v>
      </c>
      <c r="M2089" s="12"/>
      <c r="N2089" s="15"/>
      <c r="O2089" s="1"/>
      <c r="Q2089" s="12"/>
      <c r="R2089" s="1"/>
    </row>
    <row r="2090" ht="12.75" hidden="1" customHeight="1" outlineLevel="1">
      <c r="A2090" s="122">
        <f t="shared" si="315"/>
        <v>43369</v>
      </c>
      <c r="B2090" s="120">
        <v>890247.05</v>
      </c>
      <c r="C2090" s="19">
        <f t="shared" si="312"/>
        <v>0</v>
      </c>
      <c r="D2090" s="19">
        <f t="shared" si="313"/>
        <v>-0.009965435696</v>
      </c>
      <c r="E2090" s="12"/>
      <c r="F2090" s="7"/>
      <c r="G2090" s="7"/>
      <c r="H2090" s="1"/>
      <c r="I2090" s="1"/>
      <c r="J2090" s="1"/>
      <c r="K2090" s="1"/>
      <c r="L2090" s="12">
        <f t="shared" si="314"/>
        <v>20391.31453</v>
      </c>
      <c r="M2090" s="12"/>
      <c r="N2090" s="15"/>
      <c r="O2090" s="1"/>
      <c r="Q2090" s="12"/>
      <c r="R2090" s="1"/>
    </row>
    <row r="2091" ht="12.75" hidden="1" customHeight="1" outlineLevel="1">
      <c r="A2091" s="122">
        <f t="shared" si="315"/>
        <v>43370</v>
      </c>
      <c r="B2091" s="120">
        <v>891300.0</v>
      </c>
      <c r="C2091" s="19">
        <f t="shared" si="312"/>
        <v>0.001182761572</v>
      </c>
      <c r="D2091" s="19">
        <f t="shared" si="313"/>
        <v>-0.008794460859</v>
      </c>
      <c r="E2091" s="12"/>
      <c r="F2091" s="7"/>
      <c r="G2091" s="7"/>
      <c r="H2091" s="1"/>
      <c r="I2091" s="1"/>
      <c r="J2091" s="1"/>
      <c r="K2091" s="1"/>
      <c r="L2091" s="12">
        <f t="shared" si="314"/>
        <v>20415.43259</v>
      </c>
      <c r="M2091" s="12"/>
      <c r="N2091" s="15"/>
      <c r="O2091" s="1"/>
      <c r="Q2091" s="12"/>
      <c r="R2091" s="1"/>
    </row>
    <row r="2092" ht="12.75" hidden="1" customHeight="1" outlineLevel="1">
      <c r="A2092" s="122">
        <f t="shared" si="315"/>
        <v>43371</v>
      </c>
      <c r="B2092" s="120">
        <v>886300.0</v>
      </c>
      <c r="C2092" s="19">
        <f t="shared" si="312"/>
        <v>-0.005609783462</v>
      </c>
      <c r="D2092" s="19">
        <f t="shared" si="313"/>
        <v>-0.0143549093</v>
      </c>
      <c r="E2092" s="12"/>
      <c r="F2092" s="7"/>
      <c r="G2092" s="7"/>
      <c r="H2092" s="1"/>
      <c r="I2092" s="1"/>
      <c r="J2092" s="1"/>
      <c r="K2092" s="1"/>
      <c r="L2092" s="12">
        <f t="shared" si="314"/>
        <v>20300.90644</v>
      </c>
      <c r="M2092" s="12"/>
      <c r="N2092" s="15"/>
      <c r="O2092" s="1"/>
      <c r="Q2092" s="12"/>
      <c r="R2092" s="1"/>
    </row>
    <row r="2093" ht="12.75" hidden="1" customHeight="1" outlineLevel="1">
      <c r="A2093" s="122">
        <f t="shared" si="315"/>
        <v>43372</v>
      </c>
      <c r="B2093" s="120">
        <v>886300.0</v>
      </c>
      <c r="C2093" s="19">
        <f t="shared" si="312"/>
        <v>0</v>
      </c>
      <c r="D2093" s="19">
        <f t="shared" si="313"/>
        <v>-0.0143549093</v>
      </c>
      <c r="E2093" s="12"/>
      <c r="F2093" s="7"/>
      <c r="G2093" s="7"/>
      <c r="H2093" s="1"/>
      <c r="I2093" s="1"/>
      <c r="J2093" s="1"/>
      <c r="K2093" s="1"/>
      <c r="L2093" s="12">
        <f t="shared" si="314"/>
        <v>20300.90644</v>
      </c>
      <c r="M2093" s="12"/>
      <c r="N2093" s="15"/>
      <c r="O2093" s="1"/>
      <c r="Q2093" s="12"/>
      <c r="R2093" s="1"/>
    </row>
    <row r="2094" ht="12.75" hidden="1" customHeight="1" outlineLevel="1">
      <c r="A2094" s="122">
        <f t="shared" si="315"/>
        <v>43373</v>
      </c>
      <c r="B2094" s="120">
        <v>886237.36</v>
      </c>
      <c r="C2094" s="19">
        <f t="shared" si="312"/>
        <v>-0.00007067584339</v>
      </c>
      <c r="D2094" s="19">
        <f t="shared" si="313"/>
        <v>-0.0144245706</v>
      </c>
      <c r="E2094" s="12"/>
      <c r="F2094" s="7"/>
      <c r="G2094" s="7"/>
      <c r="H2094" s="1"/>
      <c r="I2094" s="1"/>
      <c r="J2094" s="1"/>
      <c r="K2094" s="1"/>
      <c r="L2094" s="12">
        <f t="shared" si="314"/>
        <v>20299.47165</v>
      </c>
      <c r="M2094" s="12"/>
      <c r="N2094" s="15"/>
      <c r="O2094" s="1"/>
      <c r="Q2094" s="12"/>
      <c r="R2094" s="1"/>
    </row>
    <row r="2095" ht="12.75" hidden="1" customHeight="1" outlineLevel="1">
      <c r="B2095" s="12"/>
      <c r="C2095" s="1"/>
      <c r="D2095" s="1"/>
      <c r="E2095" s="12"/>
      <c r="F2095" s="7"/>
      <c r="G2095" s="7"/>
      <c r="H2095" s="1"/>
      <c r="I2095" s="1"/>
      <c r="J2095" s="1"/>
      <c r="K2095" s="1"/>
      <c r="L2095" s="12"/>
      <c r="M2095" s="12"/>
      <c r="N2095" s="15"/>
      <c r="O2095" s="1"/>
      <c r="Q2095" s="12"/>
      <c r="R2095" s="1"/>
    </row>
    <row r="2096" ht="12.75" hidden="1" customHeight="1" outlineLevel="1">
      <c r="A2096" s="17"/>
      <c r="B2096" s="120">
        <f>B2094</f>
        <v>886237.36</v>
      </c>
      <c r="C2096" s="32"/>
      <c r="D2096" s="1"/>
      <c r="E2096" s="12"/>
      <c r="F2096" s="7"/>
      <c r="G2096" s="7"/>
      <c r="H2096" s="1"/>
      <c r="I2096" s="1"/>
      <c r="J2096" s="1"/>
      <c r="K2096" s="1"/>
      <c r="L2096" s="12"/>
      <c r="M2096" s="12"/>
      <c r="N2096" s="15"/>
      <c r="O2096" s="1"/>
      <c r="Q2096" s="12"/>
      <c r="R2096" s="1"/>
    </row>
    <row r="2097" ht="12.75" hidden="1" customHeight="1" outlineLevel="1">
      <c r="A2097" s="122">
        <f>A2094+1</f>
        <v>43374</v>
      </c>
      <c r="B2097" s="120">
        <v>885900.0</v>
      </c>
      <c r="C2097" s="19">
        <f t="shared" ref="C2097:C2127" si="316">B2097/B2096-1</f>
        <v>-0.0003806655138</v>
      </c>
      <c r="D2097" s="19">
        <f t="shared" ref="D2097:D2127" si="317">(B2097/$B$2096)-1</f>
        <v>-0.0003806655138</v>
      </c>
      <c r="E2097" s="12"/>
      <c r="F2097" s="7"/>
      <c r="G2097" s="7"/>
      <c r="H2097" s="1"/>
      <c r="I2097" s="1"/>
      <c r="J2097" s="1"/>
      <c r="K2097" s="1"/>
      <c r="L2097" s="12">
        <f t="shared" ref="L2097:L2127" si="318">IF(C2096="",L2094*(1+C2097),L2096*(1+C2097))</f>
        <v>20291.74435</v>
      </c>
      <c r="M2097" s="12"/>
      <c r="N2097" s="15"/>
      <c r="O2097" s="1"/>
      <c r="Q2097" s="12"/>
      <c r="R2097" s="1"/>
    </row>
    <row r="2098" ht="12.75" hidden="1" customHeight="1" outlineLevel="1">
      <c r="A2098" s="122">
        <f t="shared" ref="A2098:A2127" si="319">A2097+1</f>
        <v>43375</v>
      </c>
      <c r="B2098" s="120">
        <v>880600.0</v>
      </c>
      <c r="C2098" s="19">
        <f t="shared" si="316"/>
        <v>-0.005982616548</v>
      </c>
      <c r="D2098" s="19">
        <f t="shared" si="317"/>
        <v>-0.006361004686</v>
      </c>
      <c r="E2098" s="12"/>
      <c r="F2098" s="7"/>
      <c r="G2098" s="7"/>
      <c r="H2098" s="1"/>
      <c r="I2098" s="1"/>
      <c r="J2098" s="1"/>
      <c r="K2098" s="1"/>
      <c r="L2098" s="12">
        <f t="shared" si="318"/>
        <v>20170.34662</v>
      </c>
      <c r="M2098" s="12"/>
      <c r="N2098" s="15"/>
      <c r="O2098" s="1"/>
      <c r="Q2098" s="12"/>
      <c r="R2098" s="1"/>
    </row>
    <row r="2099" ht="12.75" hidden="1" customHeight="1" outlineLevel="1">
      <c r="A2099" s="122">
        <f t="shared" si="319"/>
        <v>43376</v>
      </c>
      <c r="B2099" s="120">
        <v>879900.0</v>
      </c>
      <c r="C2099" s="19">
        <f t="shared" si="316"/>
        <v>-0.0007949125596</v>
      </c>
      <c r="D2099" s="19">
        <f t="shared" si="317"/>
        <v>-0.007150860803</v>
      </c>
      <c r="E2099" s="12"/>
      <c r="F2099" s="7"/>
      <c r="G2099" s="7"/>
      <c r="H2099" s="1"/>
      <c r="I2099" s="1"/>
      <c r="J2099" s="1"/>
      <c r="K2099" s="1"/>
      <c r="L2099" s="12">
        <f t="shared" si="318"/>
        <v>20154.31296</v>
      </c>
      <c r="M2099" s="12"/>
      <c r="N2099" s="15"/>
      <c r="O2099" s="1"/>
      <c r="Q2099" s="12"/>
      <c r="R2099" s="1"/>
    </row>
    <row r="2100" ht="12.75" hidden="1" customHeight="1" outlineLevel="1">
      <c r="A2100" s="122">
        <f t="shared" si="319"/>
        <v>43377</v>
      </c>
      <c r="B2100" s="120">
        <v>866462.4000000001</v>
      </c>
      <c r="C2100" s="19">
        <f t="shared" si="316"/>
        <v>-0.01527173542</v>
      </c>
      <c r="D2100" s="19">
        <f t="shared" si="317"/>
        <v>-0.02231339017</v>
      </c>
      <c r="E2100" s="12"/>
      <c r="F2100" s="7"/>
      <c r="G2100" s="7"/>
      <c r="H2100" s="1"/>
      <c r="I2100" s="1"/>
      <c r="J2100" s="1"/>
      <c r="K2100" s="1"/>
      <c r="L2100" s="12">
        <f t="shared" si="318"/>
        <v>19846.52162</v>
      </c>
      <c r="M2100" s="12"/>
      <c r="N2100" s="15"/>
      <c r="O2100" s="1"/>
      <c r="Q2100" s="12"/>
      <c r="R2100" s="1"/>
    </row>
    <row r="2101" ht="12.75" hidden="1" customHeight="1" outlineLevel="1">
      <c r="A2101" s="122">
        <f t="shared" si="319"/>
        <v>43378</v>
      </c>
      <c r="B2101" s="120">
        <v>866462.4000000001</v>
      </c>
      <c r="C2101" s="19">
        <f t="shared" si="316"/>
        <v>0</v>
      </c>
      <c r="D2101" s="19">
        <f t="shared" si="317"/>
        <v>-0.02231339017</v>
      </c>
      <c r="E2101" s="12"/>
      <c r="F2101" s="7"/>
      <c r="G2101" s="7"/>
      <c r="H2101" s="1"/>
      <c r="I2101" s="1"/>
      <c r="J2101" s="1"/>
      <c r="K2101" s="1"/>
      <c r="L2101" s="12">
        <f t="shared" si="318"/>
        <v>19846.52162</v>
      </c>
      <c r="M2101" s="12"/>
      <c r="N2101" s="15"/>
      <c r="O2101" s="1"/>
      <c r="Q2101" s="12"/>
      <c r="R2101" s="1"/>
    </row>
    <row r="2102" ht="12.75" hidden="1" customHeight="1" outlineLevel="1">
      <c r="A2102" s="122">
        <f t="shared" si="319"/>
        <v>43379</v>
      </c>
      <c r="B2102" s="120">
        <v>865195.6</v>
      </c>
      <c r="C2102" s="19">
        <f t="shared" si="316"/>
        <v>-0.001462036899</v>
      </c>
      <c r="D2102" s="19">
        <f t="shared" si="317"/>
        <v>-0.02374280407</v>
      </c>
      <c r="E2102" s="12"/>
      <c r="F2102" s="7"/>
      <c r="G2102" s="7"/>
      <c r="H2102" s="1"/>
      <c r="I2102" s="1"/>
      <c r="J2102" s="1"/>
      <c r="K2102" s="1"/>
      <c r="L2102" s="12">
        <f t="shared" si="318"/>
        <v>19817.50528</v>
      </c>
      <c r="M2102" s="12"/>
      <c r="N2102" s="15"/>
      <c r="O2102" s="1"/>
      <c r="Q2102" s="12"/>
      <c r="R2102" s="1"/>
    </row>
    <row r="2103" ht="12.75" hidden="1" customHeight="1" outlineLevel="1">
      <c r="A2103" s="122">
        <f t="shared" si="319"/>
        <v>43380</v>
      </c>
      <c r="B2103" s="120">
        <v>865195.6</v>
      </c>
      <c r="C2103" s="19">
        <f t="shared" si="316"/>
        <v>0</v>
      </c>
      <c r="D2103" s="19">
        <f t="shared" si="317"/>
        <v>-0.02374280407</v>
      </c>
      <c r="E2103" s="12"/>
      <c r="F2103" s="7"/>
      <c r="G2103" s="7"/>
      <c r="H2103" s="1"/>
      <c r="I2103" s="1"/>
      <c r="J2103" s="1"/>
      <c r="K2103" s="1"/>
      <c r="L2103" s="12">
        <f t="shared" si="318"/>
        <v>19817.50528</v>
      </c>
      <c r="M2103" s="12"/>
      <c r="N2103" s="15"/>
      <c r="O2103" s="1"/>
      <c r="Q2103" s="12"/>
      <c r="R2103" s="1"/>
    </row>
    <row r="2104" ht="12.75" hidden="1" customHeight="1" outlineLevel="1">
      <c r="A2104" s="122">
        <f t="shared" si="319"/>
        <v>43381</v>
      </c>
      <c r="B2104" s="120">
        <v>865195.6</v>
      </c>
      <c r="C2104" s="19">
        <f t="shared" si="316"/>
        <v>0</v>
      </c>
      <c r="D2104" s="19">
        <f t="shared" si="317"/>
        <v>-0.02374280407</v>
      </c>
      <c r="E2104" s="12"/>
      <c r="F2104" s="7"/>
      <c r="G2104" s="7"/>
      <c r="H2104" s="1"/>
      <c r="I2104" s="1"/>
      <c r="J2104" s="1"/>
      <c r="K2104" s="1"/>
      <c r="L2104" s="12">
        <f t="shared" si="318"/>
        <v>19817.50528</v>
      </c>
      <c r="M2104" s="12"/>
      <c r="N2104" s="15"/>
      <c r="O2104" s="1"/>
      <c r="Q2104" s="12"/>
      <c r="R2104" s="1"/>
    </row>
    <row r="2105" ht="12.75" hidden="1" customHeight="1" outlineLevel="1">
      <c r="A2105" s="122">
        <f t="shared" si="319"/>
        <v>43382</v>
      </c>
      <c r="B2105" s="120">
        <v>861565.2</v>
      </c>
      <c r="C2105" s="19">
        <f t="shared" si="316"/>
        <v>-0.00419604538</v>
      </c>
      <c r="D2105" s="19">
        <f t="shared" si="317"/>
        <v>-0.02783922357</v>
      </c>
      <c r="E2105" s="12"/>
      <c r="F2105" s="7"/>
      <c r="G2105" s="7"/>
      <c r="H2105" s="1"/>
      <c r="I2105" s="1"/>
      <c r="J2105" s="1"/>
      <c r="K2105" s="1"/>
      <c r="L2105" s="12">
        <f t="shared" si="318"/>
        <v>19734.35012</v>
      </c>
      <c r="M2105" s="12"/>
      <c r="N2105" s="15"/>
      <c r="O2105" s="1"/>
      <c r="Q2105" s="12"/>
      <c r="R2105" s="1"/>
    </row>
    <row r="2106" ht="12.75" hidden="1" customHeight="1" outlineLevel="1">
      <c r="A2106" s="122">
        <f t="shared" si="319"/>
        <v>43383</v>
      </c>
      <c r="B2106" s="120">
        <v>839510.4999999999</v>
      </c>
      <c r="C2106" s="19">
        <f t="shared" si="316"/>
        <v>-0.02559841089</v>
      </c>
      <c r="D2106" s="19">
        <f t="shared" si="317"/>
        <v>-0.05272499458</v>
      </c>
      <c r="E2106" s="12"/>
      <c r="F2106" s="7"/>
      <c r="G2106" s="7"/>
      <c r="H2106" s="1"/>
      <c r="I2106" s="1"/>
      <c r="J2106" s="1"/>
      <c r="K2106" s="1"/>
      <c r="L2106" s="12">
        <f t="shared" si="318"/>
        <v>19229.18212</v>
      </c>
      <c r="M2106" s="12"/>
      <c r="N2106" s="15"/>
      <c r="O2106" s="1"/>
      <c r="Q2106" s="12"/>
      <c r="R2106" s="1"/>
    </row>
    <row r="2107" ht="12.75" hidden="1" customHeight="1" outlineLevel="1">
      <c r="A2107" s="122">
        <f t="shared" si="319"/>
        <v>43384</v>
      </c>
      <c r="B2107" s="120">
        <v>839510.4999999999</v>
      </c>
      <c r="C2107" s="19">
        <f t="shared" si="316"/>
        <v>0</v>
      </c>
      <c r="D2107" s="19">
        <f t="shared" si="317"/>
        <v>-0.05272499458</v>
      </c>
      <c r="E2107" s="12"/>
      <c r="F2107" s="7"/>
      <c r="G2107" s="7"/>
      <c r="H2107" s="1"/>
      <c r="I2107" s="1"/>
      <c r="J2107" s="1"/>
      <c r="K2107" s="1"/>
      <c r="L2107" s="12">
        <f t="shared" si="318"/>
        <v>19229.18212</v>
      </c>
      <c r="M2107" s="12"/>
      <c r="N2107" s="15"/>
      <c r="O2107" s="1"/>
      <c r="Q2107" s="12"/>
      <c r="R2107" s="1"/>
    </row>
    <row r="2108" ht="12.75" hidden="1" customHeight="1" outlineLevel="1">
      <c r="A2108" s="122">
        <f t="shared" si="319"/>
        <v>43385</v>
      </c>
      <c r="B2108" s="120">
        <v>836586.5</v>
      </c>
      <c r="C2108" s="19">
        <f t="shared" si="316"/>
        <v>-0.003482982047</v>
      </c>
      <c r="D2108" s="19">
        <f t="shared" si="317"/>
        <v>-0.05602433641</v>
      </c>
      <c r="E2108" s="12"/>
      <c r="F2108" s="7"/>
      <c r="G2108" s="7"/>
      <c r="H2108" s="1"/>
      <c r="I2108" s="1"/>
      <c r="J2108" s="1"/>
      <c r="K2108" s="1"/>
      <c r="L2108" s="12">
        <f t="shared" si="318"/>
        <v>19162.20723</v>
      </c>
      <c r="M2108" s="12"/>
      <c r="N2108" s="15"/>
      <c r="O2108" s="1"/>
      <c r="Q2108" s="12"/>
      <c r="R2108" s="1"/>
    </row>
    <row r="2109" ht="12.75" hidden="1" customHeight="1" outlineLevel="1">
      <c r="A2109" s="122">
        <f t="shared" si="319"/>
        <v>43386</v>
      </c>
      <c r="B2109" s="120">
        <v>836586.5</v>
      </c>
      <c r="C2109" s="19">
        <f t="shared" si="316"/>
        <v>0</v>
      </c>
      <c r="D2109" s="19">
        <f t="shared" si="317"/>
        <v>-0.05602433641</v>
      </c>
      <c r="E2109" s="12"/>
      <c r="F2109" s="7"/>
      <c r="G2109" s="7"/>
      <c r="H2109" s="1"/>
      <c r="I2109" s="1"/>
      <c r="J2109" s="1"/>
      <c r="K2109" s="1"/>
      <c r="L2109" s="12">
        <f t="shared" si="318"/>
        <v>19162.20723</v>
      </c>
      <c r="M2109" s="12"/>
      <c r="N2109" s="15"/>
      <c r="O2109" s="1"/>
      <c r="Q2109" s="12"/>
      <c r="R2109" s="1"/>
    </row>
    <row r="2110" ht="12.75" hidden="1" customHeight="1" outlineLevel="1">
      <c r="A2110" s="122">
        <f t="shared" si="319"/>
        <v>43387</v>
      </c>
      <c r="B2110" s="120">
        <v>836586.5</v>
      </c>
      <c r="C2110" s="19">
        <f t="shared" si="316"/>
        <v>0</v>
      </c>
      <c r="D2110" s="19">
        <f t="shared" si="317"/>
        <v>-0.05602433641</v>
      </c>
      <c r="E2110" s="12"/>
      <c r="F2110" s="7"/>
      <c r="G2110" s="7"/>
      <c r="H2110" s="1"/>
      <c r="I2110" s="1"/>
      <c r="J2110" s="1"/>
      <c r="K2110" s="1"/>
      <c r="L2110" s="12">
        <f t="shared" si="318"/>
        <v>19162.20723</v>
      </c>
      <c r="M2110" s="12"/>
      <c r="N2110" s="15"/>
      <c r="O2110" s="1"/>
      <c r="Q2110" s="12"/>
      <c r="R2110" s="1"/>
    </row>
    <row r="2111" ht="12.75" hidden="1" customHeight="1" outlineLevel="1">
      <c r="A2111" s="122">
        <f t="shared" si="319"/>
        <v>43388</v>
      </c>
      <c r="B2111" s="120">
        <v>832624.9999999998</v>
      </c>
      <c r="C2111" s="19">
        <f t="shared" si="316"/>
        <v>-0.00473531428</v>
      </c>
      <c r="D2111" s="19">
        <f t="shared" si="317"/>
        <v>-0.06049435785</v>
      </c>
      <c r="E2111" s="12"/>
      <c r="F2111" s="7"/>
      <c r="G2111" s="7"/>
      <c r="H2111" s="1"/>
      <c r="I2111" s="1"/>
      <c r="J2111" s="1"/>
      <c r="K2111" s="1"/>
      <c r="L2111" s="12">
        <f t="shared" si="318"/>
        <v>19071.46815</v>
      </c>
      <c r="M2111" s="12"/>
      <c r="N2111" s="15"/>
      <c r="O2111" s="1"/>
      <c r="Q2111" s="12"/>
      <c r="R2111" s="1"/>
    </row>
    <row r="2112" ht="12.75" hidden="1" customHeight="1" outlineLevel="1">
      <c r="A2112" s="122">
        <f t="shared" si="319"/>
        <v>43389</v>
      </c>
      <c r="B2112" s="120">
        <v>849592.1500000001</v>
      </c>
      <c r="C2112" s="19">
        <f t="shared" si="316"/>
        <v>0.02037790122</v>
      </c>
      <c r="D2112" s="19">
        <f t="shared" si="317"/>
        <v>-0.04134920469</v>
      </c>
      <c r="E2112" s="12"/>
      <c r="F2112" s="7"/>
      <c r="G2112" s="7"/>
      <c r="H2112" s="1"/>
      <c r="I2112" s="1"/>
      <c r="J2112" s="1"/>
      <c r="K2112" s="1"/>
      <c r="L2112" s="12">
        <f t="shared" si="318"/>
        <v>19460.10465</v>
      </c>
      <c r="M2112" s="12"/>
      <c r="N2112" s="15"/>
      <c r="O2112" s="1"/>
      <c r="Q2112" s="12"/>
      <c r="R2112" s="1"/>
    </row>
    <row r="2113" ht="12.75" hidden="1" customHeight="1" outlineLevel="1">
      <c r="A2113" s="122">
        <f t="shared" si="319"/>
        <v>43390</v>
      </c>
      <c r="B2113" s="120">
        <v>846000.0</v>
      </c>
      <c r="C2113" s="19">
        <f t="shared" si="316"/>
        <v>-0.004228087559</v>
      </c>
      <c r="D2113" s="19">
        <f t="shared" si="317"/>
        <v>-0.04540246419</v>
      </c>
      <c r="E2113" s="12"/>
      <c r="F2113" s="7"/>
      <c r="G2113" s="7"/>
      <c r="H2113" s="1"/>
      <c r="I2113" s="1"/>
      <c r="J2113" s="1"/>
      <c r="K2113" s="1"/>
      <c r="L2113" s="12">
        <f t="shared" si="318"/>
        <v>19377.82562</v>
      </c>
      <c r="M2113" s="12"/>
      <c r="N2113" s="15"/>
      <c r="O2113" s="1"/>
      <c r="Q2113" s="12"/>
      <c r="R2113" s="1"/>
    </row>
    <row r="2114" ht="12.75" hidden="1" customHeight="1" outlineLevel="1">
      <c r="A2114" s="122">
        <f t="shared" si="319"/>
        <v>43391</v>
      </c>
      <c r="B2114" s="120">
        <v>830700.0</v>
      </c>
      <c r="C2114" s="19">
        <f t="shared" si="316"/>
        <v>-0.01808510638</v>
      </c>
      <c r="D2114" s="19">
        <f t="shared" si="317"/>
        <v>-0.06266646218</v>
      </c>
      <c r="E2114" s="12"/>
      <c r="F2114" s="7"/>
      <c r="G2114" s="7"/>
      <c r="H2114" s="1"/>
      <c r="I2114" s="1"/>
      <c r="J2114" s="1"/>
      <c r="K2114" s="1"/>
      <c r="L2114" s="12">
        <f t="shared" si="318"/>
        <v>19027.37558</v>
      </c>
      <c r="M2114" s="12"/>
      <c r="N2114" s="15"/>
      <c r="O2114" s="1"/>
      <c r="Q2114" s="12"/>
      <c r="R2114" s="1"/>
    </row>
    <row r="2115" ht="12.75" hidden="1" customHeight="1" outlineLevel="1">
      <c r="A2115" s="122">
        <f t="shared" si="319"/>
        <v>43392</v>
      </c>
      <c r="B2115" s="120">
        <v>824824.7000000001</v>
      </c>
      <c r="C2115" s="19">
        <f t="shared" si="316"/>
        <v>-0.007072709763</v>
      </c>
      <c r="D2115" s="19">
        <f t="shared" si="317"/>
        <v>-0.06929595024</v>
      </c>
      <c r="E2115" s="12"/>
      <c r="F2115" s="7"/>
      <c r="G2115" s="7"/>
      <c r="H2115" s="1"/>
      <c r="I2115" s="1"/>
      <c r="J2115" s="1"/>
      <c r="K2115" s="1"/>
      <c r="L2115" s="12">
        <f t="shared" si="318"/>
        <v>18892.80048</v>
      </c>
      <c r="M2115" s="12"/>
      <c r="N2115" s="15"/>
      <c r="O2115" s="1"/>
      <c r="Q2115" s="12"/>
      <c r="R2115" s="1"/>
    </row>
    <row r="2116" ht="12.75" hidden="1" customHeight="1" outlineLevel="1">
      <c r="A2116" s="122">
        <f t="shared" si="319"/>
        <v>43393</v>
      </c>
      <c r="B2116" s="120">
        <v>824824.7000000001</v>
      </c>
      <c r="C2116" s="19">
        <f t="shared" si="316"/>
        <v>0</v>
      </c>
      <c r="D2116" s="19">
        <f t="shared" si="317"/>
        <v>-0.06929595024</v>
      </c>
      <c r="E2116" s="12"/>
      <c r="F2116" s="7"/>
      <c r="G2116" s="7"/>
      <c r="H2116" s="1"/>
      <c r="I2116" s="1"/>
      <c r="J2116" s="1"/>
      <c r="K2116" s="1"/>
      <c r="L2116" s="12">
        <f t="shared" si="318"/>
        <v>18892.80048</v>
      </c>
      <c r="M2116" s="12"/>
      <c r="N2116" s="15"/>
      <c r="O2116" s="1"/>
      <c r="Q2116" s="12"/>
      <c r="R2116" s="1"/>
    </row>
    <row r="2117" ht="12.75" hidden="1" customHeight="1" outlineLevel="1">
      <c r="A2117" s="122">
        <f t="shared" si="319"/>
        <v>43394</v>
      </c>
      <c r="B2117" s="120">
        <v>824824.7000000001</v>
      </c>
      <c r="C2117" s="19">
        <f t="shared" si="316"/>
        <v>0</v>
      </c>
      <c r="D2117" s="19">
        <f t="shared" si="317"/>
        <v>-0.06929595024</v>
      </c>
      <c r="E2117" s="12"/>
      <c r="F2117" s="7"/>
      <c r="G2117" s="7"/>
      <c r="H2117" s="1"/>
      <c r="I2117" s="1"/>
      <c r="J2117" s="1"/>
      <c r="K2117" s="1"/>
      <c r="L2117" s="12">
        <f t="shared" si="318"/>
        <v>18892.80048</v>
      </c>
      <c r="M2117" s="12"/>
      <c r="N2117" s="15"/>
      <c r="O2117" s="1"/>
      <c r="Q2117" s="12"/>
      <c r="R2117" s="1"/>
    </row>
    <row r="2118" ht="12.75" hidden="1" customHeight="1" outlineLevel="1">
      <c r="A2118" s="122">
        <f t="shared" si="319"/>
        <v>43395</v>
      </c>
      <c r="B2118" s="120">
        <v>821500.0</v>
      </c>
      <c r="C2118" s="19">
        <f t="shared" si="316"/>
        <v>-0.004030795877</v>
      </c>
      <c r="D2118" s="19">
        <f t="shared" si="317"/>
        <v>-0.07304742829</v>
      </c>
      <c r="E2118" s="12"/>
      <c r="F2118" s="7"/>
      <c r="G2118" s="7"/>
      <c r="H2118" s="1"/>
      <c r="I2118" s="1"/>
      <c r="J2118" s="1"/>
      <c r="K2118" s="1"/>
      <c r="L2118" s="12">
        <f t="shared" si="318"/>
        <v>18816.64745</v>
      </c>
      <c r="M2118" s="12"/>
      <c r="N2118" s="15"/>
      <c r="O2118" s="1"/>
      <c r="Q2118" s="12"/>
      <c r="R2118" s="1"/>
    </row>
    <row r="2119" ht="12.75" hidden="1" customHeight="1" outlineLevel="1">
      <c r="A2119" s="122">
        <f t="shared" si="319"/>
        <v>43396</v>
      </c>
      <c r="B2119" s="120">
        <v>817349.4</v>
      </c>
      <c r="C2119" s="19">
        <f t="shared" si="316"/>
        <v>-0.005052465003</v>
      </c>
      <c r="D2119" s="19">
        <f t="shared" si="317"/>
        <v>-0.07773082372</v>
      </c>
      <c r="E2119" s="12"/>
      <c r="F2119" s="7"/>
      <c r="G2119" s="7"/>
      <c r="H2119" s="1"/>
      <c r="I2119" s="1"/>
      <c r="J2119" s="1"/>
      <c r="K2119" s="1"/>
      <c r="L2119" s="12">
        <f t="shared" si="318"/>
        <v>18721.577</v>
      </c>
      <c r="M2119" s="12"/>
      <c r="N2119" s="15"/>
      <c r="O2119" s="1"/>
      <c r="Q2119" s="12"/>
      <c r="R2119" s="1"/>
    </row>
    <row r="2120" ht="12.75" hidden="1" customHeight="1" outlineLevel="1">
      <c r="A2120" s="122">
        <f t="shared" si="319"/>
        <v>43397</v>
      </c>
      <c r="B2120" s="120">
        <v>791000.0</v>
      </c>
      <c r="C2120" s="19">
        <f t="shared" si="316"/>
        <v>-0.03223762078</v>
      </c>
      <c r="D2120" s="19">
        <f t="shared" si="317"/>
        <v>-0.1074625877</v>
      </c>
      <c r="E2120" s="12"/>
      <c r="F2120" s="7"/>
      <c r="G2120" s="7"/>
      <c r="H2120" s="1"/>
      <c r="I2120" s="1"/>
      <c r="J2120" s="1"/>
      <c r="K2120" s="1"/>
      <c r="L2120" s="12">
        <f t="shared" si="318"/>
        <v>18118.0379</v>
      </c>
      <c r="M2120" s="12"/>
      <c r="N2120" s="15"/>
      <c r="O2120" s="1"/>
      <c r="Q2120" s="12"/>
      <c r="R2120" s="1"/>
    </row>
    <row r="2121" ht="12.75" hidden="1" customHeight="1" outlineLevel="1">
      <c r="A2121" s="122">
        <f t="shared" si="319"/>
        <v>43398</v>
      </c>
      <c r="B2121" s="120">
        <v>791000.0</v>
      </c>
      <c r="C2121" s="19">
        <f t="shared" si="316"/>
        <v>0</v>
      </c>
      <c r="D2121" s="19">
        <f t="shared" si="317"/>
        <v>-0.1074625877</v>
      </c>
      <c r="E2121" s="12"/>
      <c r="F2121" s="7"/>
      <c r="G2121" s="7"/>
      <c r="H2121" s="1"/>
      <c r="I2121" s="1"/>
      <c r="J2121" s="1"/>
      <c r="K2121" s="1"/>
      <c r="L2121" s="12">
        <f t="shared" si="318"/>
        <v>18118.0379</v>
      </c>
      <c r="M2121" s="12"/>
      <c r="N2121" s="15"/>
      <c r="O2121" s="1"/>
      <c r="Q2121" s="12"/>
      <c r="R2121" s="1"/>
    </row>
    <row r="2122" ht="12.75" hidden="1" customHeight="1" outlineLevel="1">
      <c r="A2122" s="122">
        <f t="shared" si="319"/>
        <v>43399</v>
      </c>
      <c r="B2122" s="120">
        <v>792000.0</v>
      </c>
      <c r="C2122" s="19">
        <f t="shared" si="316"/>
        <v>0.001264222503</v>
      </c>
      <c r="D2122" s="19">
        <f t="shared" si="317"/>
        <v>-0.1063342218</v>
      </c>
      <c r="E2122" s="12"/>
      <c r="F2122" s="7"/>
      <c r="G2122" s="7"/>
      <c r="H2122" s="1"/>
      <c r="I2122" s="1"/>
      <c r="J2122" s="1"/>
      <c r="K2122" s="1"/>
      <c r="L2122" s="12">
        <f t="shared" si="318"/>
        <v>18140.94313</v>
      </c>
      <c r="M2122" s="12"/>
      <c r="N2122" s="15"/>
      <c r="O2122" s="1"/>
      <c r="Q2122" s="12"/>
      <c r="R2122" s="1"/>
    </row>
    <row r="2123" ht="12.75" hidden="1" customHeight="1" outlineLevel="1">
      <c r="A2123" s="122">
        <f t="shared" si="319"/>
        <v>43400</v>
      </c>
      <c r="B2123" s="120">
        <v>781300.0</v>
      </c>
      <c r="C2123" s="19">
        <f t="shared" si="316"/>
        <v>-0.01351010101</v>
      </c>
      <c r="D2123" s="19">
        <f t="shared" si="317"/>
        <v>-0.1184077367</v>
      </c>
      <c r="E2123" s="12"/>
      <c r="F2123" s="7"/>
      <c r="G2123" s="7"/>
      <c r="H2123" s="1"/>
      <c r="I2123" s="1"/>
      <c r="J2123" s="1"/>
      <c r="K2123" s="1"/>
      <c r="L2123" s="12">
        <f t="shared" si="318"/>
        <v>17895.85716</v>
      </c>
      <c r="M2123" s="12"/>
      <c r="N2123" s="15"/>
      <c r="O2123" s="1"/>
      <c r="Q2123" s="12"/>
      <c r="R2123" s="1"/>
    </row>
    <row r="2124" ht="12.75" hidden="1" customHeight="1" outlineLevel="1">
      <c r="A2124" s="122">
        <f t="shared" si="319"/>
        <v>43401</v>
      </c>
      <c r="B2124" s="120">
        <v>781300.0</v>
      </c>
      <c r="C2124" s="19">
        <f t="shared" si="316"/>
        <v>0</v>
      </c>
      <c r="D2124" s="19">
        <f t="shared" si="317"/>
        <v>-0.1184077367</v>
      </c>
      <c r="E2124" s="12"/>
      <c r="F2124" s="7"/>
      <c r="G2124" s="7"/>
      <c r="H2124" s="1"/>
      <c r="I2124" s="1"/>
      <c r="J2124" s="1"/>
      <c r="K2124" s="1"/>
      <c r="L2124" s="12">
        <f t="shared" si="318"/>
        <v>17895.85716</v>
      </c>
      <c r="M2124" s="12"/>
      <c r="N2124" s="15"/>
      <c r="O2124" s="1"/>
      <c r="Q2124" s="12"/>
      <c r="R2124" s="1"/>
    </row>
    <row r="2125" ht="12.75" hidden="1" customHeight="1" outlineLevel="1">
      <c r="A2125" s="122">
        <f t="shared" si="319"/>
        <v>43402</v>
      </c>
      <c r="B2125" s="120">
        <v>781300.0</v>
      </c>
      <c r="C2125" s="19">
        <f t="shared" si="316"/>
        <v>0</v>
      </c>
      <c r="D2125" s="19">
        <f t="shared" si="317"/>
        <v>-0.1184077367</v>
      </c>
      <c r="E2125" s="12"/>
      <c r="F2125" s="7"/>
      <c r="G2125" s="7"/>
      <c r="H2125" s="1"/>
      <c r="I2125" s="1"/>
      <c r="J2125" s="1"/>
      <c r="K2125" s="1"/>
      <c r="L2125" s="12">
        <f t="shared" si="318"/>
        <v>17895.85716</v>
      </c>
      <c r="M2125" s="12"/>
      <c r="N2125" s="15"/>
      <c r="O2125" s="1"/>
      <c r="Q2125" s="12"/>
      <c r="R2125" s="1"/>
    </row>
    <row r="2126" ht="12.75" hidden="1" customHeight="1" outlineLevel="1">
      <c r="A2126" s="122">
        <f t="shared" si="319"/>
        <v>43403</v>
      </c>
      <c r="B2126" s="120">
        <v>795663.25</v>
      </c>
      <c r="C2126" s="19">
        <f t="shared" si="316"/>
        <v>0.01838378344</v>
      </c>
      <c r="D2126" s="19">
        <f t="shared" si="317"/>
        <v>-0.1022007355</v>
      </c>
      <c r="E2126" s="12"/>
      <c r="F2126" s="7"/>
      <c r="G2126" s="7"/>
      <c r="H2126" s="1"/>
      <c r="I2126" s="1"/>
      <c r="J2126" s="1"/>
      <c r="K2126" s="1"/>
      <c r="L2126" s="12">
        <f t="shared" si="318"/>
        <v>18224.85072</v>
      </c>
      <c r="M2126" s="12"/>
      <c r="N2126" s="15"/>
      <c r="O2126" s="1"/>
      <c r="Q2126" s="12"/>
      <c r="R2126" s="1"/>
    </row>
    <row r="2127" ht="12.75" hidden="1" customHeight="1" outlineLevel="1">
      <c r="A2127" s="122">
        <f t="shared" si="319"/>
        <v>43404</v>
      </c>
      <c r="B2127" s="120">
        <v>804863.21</v>
      </c>
      <c r="C2127" s="19">
        <f t="shared" si="316"/>
        <v>0.0115626303</v>
      </c>
      <c r="D2127" s="19">
        <f t="shared" si="317"/>
        <v>-0.0918198145</v>
      </c>
      <c r="E2127" s="12"/>
      <c r="F2127" s="7"/>
      <c r="G2127" s="7"/>
      <c r="H2127" s="1"/>
      <c r="I2127" s="1"/>
      <c r="J2127" s="1"/>
      <c r="K2127" s="1"/>
      <c r="L2127" s="12">
        <f t="shared" si="318"/>
        <v>18435.57793</v>
      </c>
      <c r="M2127" s="12"/>
      <c r="N2127" s="15"/>
      <c r="O2127" s="1"/>
      <c r="Q2127" s="12"/>
      <c r="R2127" s="1"/>
    </row>
    <row r="2128" ht="12.75" hidden="1" customHeight="1" outlineLevel="1">
      <c r="B2128" s="12"/>
      <c r="C2128" s="1"/>
      <c r="D2128" s="1"/>
      <c r="E2128" s="12"/>
      <c r="F2128" s="7"/>
      <c r="G2128" s="7"/>
      <c r="H2128" s="1"/>
      <c r="I2128" s="1"/>
      <c r="J2128" s="1"/>
      <c r="K2128" s="1"/>
      <c r="L2128" s="12"/>
      <c r="M2128" s="12"/>
      <c r="N2128" s="15"/>
      <c r="O2128" s="1"/>
      <c r="Q2128" s="12"/>
      <c r="R2128" s="1"/>
    </row>
    <row r="2129" ht="12.75" hidden="1" customHeight="1" outlineLevel="1">
      <c r="A2129" s="122"/>
      <c r="B2129" s="12">
        <f>B2127</f>
        <v>804863.21</v>
      </c>
      <c r="C2129" s="1"/>
      <c r="D2129" s="1"/>
      <c r="E2129" s="12"/>
      <c r="F2129" s="7"/>
      <c r="G2129" s="7"/>
      <c r="H2129" s="1"/>
      <c r="I2129" s="1"/>
      <c r="J2129" s="1"/>
      <c r="K2129" s="1"/>
      <c r="L2129" s="12"/>
      <c r="M2129" s="12"/>
      <c r="N2129" s="15"/>
      <c r="O2129" s="1"/>
      <c r="Q2129" s="12"/>
      <c r="R2129" s="1"/>
    </row>
    <row r="2130" ht="12.75" hidden="1" customHeight="1" outlineLevel="1">
      <c r="A2130" s="122">
        <f>A2127+1</f>
        <v>43405</v>
      </c>
      <c r="B2130" s="120">
        <v>809000.0</v>
      </c>
      <c r="C2130" s="19">
        <f t="shared" ref="C2130:C2159" si="320">B2130/B2129-1</f>
        <v>0.005139742938</v>
      </c>
      <c r="D2130" s="19">
        <f t="shared" ref="D2130:D2159" si="321">(B2130/$B$2129)-1</f>
        <v>0.005139742938</v>
      </c>
      <c r="E2130" s="12"/>
      <c r="F2130" s="7"/>
      <c r="G2130" s="7"/>
      <c r="H2130" s="1"/>
      <c r="I2130" s="1"/>
      <c r="J2130" s="1"/>
      <c r="K2130" s="1"/>
      <c r="L2130" s="12">
        <f t="shared" ref="L2130:L2159" si="322">IF(C2129="",L2127*(1+C2130),L2129*(1+C2130))</f>
        <v>18530.33206</v>
      </c>
      <c r="M2130" s="12"/>
      <c r="N2130" s="15"/>
      <c r="O2130" s="1"/>
      <c r="Q2130" s="12"/>
      <c r="R2130" s="1"/>
    </row>
    <row r="2131" ht="12.75" hidden="1" customHeight="1" outlineLevel="1">
      <c r="A2131" s="122">
        <f t="shared" ref="A2131:A2159" si="323">A2130+1</f>
        <v>43406</v>
      </c>
      <c r="B2131" s="120">
        <v>809000.0</v>
      </c>
      <c r="C2131" s="19">
        <f t="shared" si="320"/>
        <v>0</v>
      </c>
      <c r="D2131" s="19">
        <f t="shared" si="321"/>
        <v>0.005139742938</v>
      </c>
      <c r="E2131" s="12"/>
      <c r="F2131" s="7"/>
      <c r="G2131" s="7"/>
      <c r="H2131" s="1"/>
      <c r="I2131" s="1"/>
      <c r="J2131" s="1"/>
      <c r="K2131" s="1"/>
      <c r="L2131" s="12">
        <f t="shared" si="322"/>
        <v>18530.33206</v>
      </c>
      <c r="M2131" s="12"/>
      <c r="N2131" s="15"/>
      <c r="O2131" s="1"/>
      <c r="Q2131" s="12"/>
      <c r="R2131" s="1"/>
    </row>
    <row r="2132" ht="12.75" hidden="1" customHeight="1" outlineLevel="1">
      <c r="A2132" s="122">
        <f t="shared" si="323"/>
        <v>43407</v>
      </c>
      <c r="B2132" s="120">
        <v>809000.0</v>
      </c>
      <c r="C2132" s="19">
        <f t="shared" si="320"/>
        <v>0</v>
      </c>
      <c r="D2132" s="19">
        <f t="shared" si="321"/>
        <v>0.005139742938</v>
      </c>
      <c r="E2132" s="12"/>
      <c r="F2132" s="7"/>
      <c r="G2132" s="7"/>
      <c r="H2132" s="1"/>
      <c r="I2132" s="1"/>
      <c r="J2132" s="1"/>
      <c r="K2132" s="1"/>
      <c r="L2132" s="12">
        <f t="shared" si="322"/>
        <v>18530.33206</v>
      </c>
      <c r="M2132" s="12"/>
      <c r="N2132" s="15"/>
      <c r="O2132" s="1"/>
      <c r="Q2132" s="12"/>
      <c r="R2132" s="1"/>
    </row>
    <row r="2133" ht="12.75" hidden="1" customHeight="1" outlineLevel="1">
      <c r="A2133" s="122">
        <f t="shared" si="323"/>
        <v>43408</v>
      </c>
      <c r="B2133" s="120">
        <v>809000.0</v>
      </c>
      <c r="C2133" s="19">
        <f t="shared" si="320"/>
        <v>0</v>
      </c>
      <c r="D2133" s="19">
        <f t="shared" si="321"/>
        <v>0.005139742938</v>
      </c>
      <c r="E2133" s="12"/>
      <c r="F2133" s="7"/>
      <c r="G2133" s="7"/>
      <c r="H2133" s="1"/>
      <c r="I2133" s="1"/>
      <c r="J2133" s="1"/>
      <c r="K2133" s="1"/>
      <c r="L2133" s="12">
        <f t="shared" si="322"/>
        <v>18530.33206</v>
      </c>
      <c r="M2133" s="12"/>
      <c r="N2133" s="15"/>
      <c r="O2133" s="1"/>
      <c r="Q2133" s="12"/>
      <c r="R2133" s="1"/>
    </row>
    <row r="2134" ht="12.75" hidden="1" customHeight="1" outlineLevel="1">
      <c r="A2134" s="122">
        <f t="shared" si="323"/>
        <v>43409</v>
      </c>
      <c r="B2134" s="120">
        <v>809000.0</v>
      </c>
      <c r="C2134" s="19">
        <f t="shared" si="320"/>
        <v>0</v>
      </c>
      <c r="D2134" s="19">
        <f t="shared" si="321"/>
        <v>0.005139742938</v>
      </c>
      <c r="E2134" s="12"/>
      <c r="F2134" s="7"/>
      <c r="G2134" s="7"/>
      <c r="H2134" s="1"/>
      <c r="I2134" s="1"/>
      <c r="J2134" s="1"/>
      <c r="K2134" s="1"/>
      <c r="L2134" s="12">
        <f t="shared" si="322"/>
        <v>18530.33206</v>
      </c>
      <c r="M2134" s="12"/>
      <c r="N2134" s="15"/>
      <c r="O2134" s="1"/>
      <c r="Q2134" s="12"/>
      <c r="R2134" s="1"/>
    </row>
    <row r="2135" ht="12.75" hidden="1" customHeight="1" outlineLevel="1">
      <c r="A2135" s="122">
        <f t="shared" si="323"/>
        <v>43410</v>
      </c>
      <c r="B2135" s="120">
        <v>809000.0</v>
      </c>
      <c r="C2135" s="19">
        <f t="shared" si="320"/>
        <v>0</v>
      </c>
      <c r="D2135" s="19">
        <f t="shared" si="321"/>
        <v>0.005139742938</v>
      </c>
      <c r="E2135" s="12"/>
      <c r="F2135" s="7"/>
      <c r="G2135" s="7"/>
      <c r="H2135" s="1"/>
      <c r="I2135" s="1"/>
      <c r="J2135" s="1"/>
      <c r="K2135" s="1"/>
      <c r="L2135" s="12">
        <f t="shared" si="322"/>
        <v>18530.33206</v>
      </c>
      <c r="M2135" s="12"/>
      <c r="N2135" s="15"/>
      <c r="O2135" s="1"/>
      <c r="Q2135" s="12"/>
      <c r="R2135" s="1"/>
    </row>
    <row r="2136" ht="12.75" hidden="1" customHeight="1" outlineLevel="1">
      <c r="A2136" s="122">
        <f t="shared" si="323"/>
        <v>43411</v>
      </c>
      <c r="B2136" s="120">
        <v>826300.0</v>
      </c>
      <c r="C2136" s="19">
        <f t="shared" si="320"/>
        <v>0.02138442522</v>
      </c>
      <c r="D2136" s="19">
        <f t="shared" si="321"/>
        <v>0.0266340786</v>
      </c>
      <c r="E2136" s="12"/>
      <c r="F2136" s="7"/>
      <c r="G2136" s="7"/>
      <c r="H2136" s="1"/>
      <c r="I2136" s="1"/>
      <c r="J2136" s="1"/>
      <c r="K2136" s="1"/>
      <c r="L2136" s="12">
        <f t="shared" si="322"/>
        <v>18926.59256</v>
      </c>
      <c r="M2136" s="12"/>
      <c r="N2136" s="15"/>
      <c r="O2136" s="1"/>
      <c r="Q2136" s="12"/>
      <c r="R2136" s="1"/>
    </row>
    <row r="2137" ht="12.75" hidden="1" customHeight="1" outlineLevel="1">
      <c r="A2137" s="122">
        <f t="shared" si="323"/>
        <v>43412</v>
      </c>
      <c r="B2137" s="120">
        <v>822300.0</v>
      </c>
      <c r="C2137" s="19">
        <f t="shared" si="320"/>
        <v>-0.004840856832</v>
      </c>
      <c r="D2137" s="19">
        <f t="shared" si="321"/>
        <v>0.02166429001</v>
      </c>
      <c r="E2137" s="12"/>
      <c r="F2137" s="7"/>
      <c r="G2137" s="7"/>
      <c r="H2137" s="1"/>
      <c r="I2137" s="1"/>
      <c r="J2137" s="1"/>
      <c r="K2137" s="1"/>
      <c r="L2137" s="12">
        <f t="shared" si="322"/>
        <v>18834.97164</v>
      </c>
      <c r="M2137" s="12"/>
      <c r="N2137" s="15"/>
      <c r="O2137" s="1"/>
      <c r="Q2137" s="12"/>
      <c r="R2137" s="1"/>
    </row>
    <row r="2138" ht="12.75" hidden="1" customHeight="1" outlineLevel="1">
      <c r="A2138" s="122">
        <f t="shared" si="323"/>
        <v>43413</v>
      </c>
      <c r="B2138" s="120">
        <v>816708.2900000003</v>
      </c>
      <c r="C2138" s="19">
        <f t="shared" si="320"/>
        <v>-0.006800085127</v>
      </c>
      <c r="D2138" s="19">
        <f t="shared" si="321"/>
        <v>0.01471688587</v>
      </c>
      <c r="E2138" s="12"/>
      <c r="F2138" s="7"/>
      <c r="G2138" s="7"/>
      <c r="H2138" s="1"/>
      <c r="I2138" s="1"/>
      <c r="J2138" s="1"/>
      <c r="K2138" s="1"/>
      <c r="L2138" s="12">
        <f t="shared" si="322"/>
        <v>18706.89223</v>
      </c>
      <c r="M2138" s="12"/>
      <c r="N2138" s="15"/>
      <c r="O2138" s="1"/>
      <c r="Q2138" s="12"/>
      <c r="R2138" s="1"/>
    </row>
    <row r="2139" ht="12.75" hidden="1" customHeight="1" outlineLevel="1">
      <c r="A2139" s="122">
        <f t="shared" si="323"/>
        <v>43414</v>
      </c>
      <c r="B2139" s="120">
        <v>816708.2900000003</v>
      </c>
      <c r="C2139" s="19">
        <f t="shared" si="320"/>
        <v>0</v>
      </c>
      <c r="D2139" s="19">
        <f t="shared" si="321"/>
        <v>0.01471688587</v>
      </c>
      <c r="E2139" s="12"/>
      <c r="F2139" s="7"/>
      <c r="G2139" s="7"/>
      <c r="H2139" s="1"/>
      <c r="I2139" s="1"/>
      <c r="J2139" s="1"/>
      <c r="K2139" s="1"/>
      <c r="L2139" s="12">
        <f t="shared" si="322"/>
        <v>18706.89223</v>
      </c>
      <c r="M2139" s="12"/>
      <c r="N2139" s="15"/>
      <c r="O2139" s="1"/>
      <c r="Q2139" s="12"/>
      <c r="R2139" s="1"/>
    </row>
    <row r="2140" ht="12.75" hidden="1" customHeight="1" outlineLevel="1">
      <c r="A2140" s="122">
        <f t="shared" si="323"/>
        <v>43415</v>
      </c>
      <c r="B2140" s="120">
        <v>816708.2900000003</v>
      </c>
      <c r="C2140" s="19">
        <f t="shared" si="320"/>
        <v>0</v>
      </c>
      <c r="D2140" s="19">
        <f t="shared" si="321"/>
        <v>0.01471688587</v>
      </c>
      <c r="E2140" s="12"/>
      <c r="F2140" s="7"/>
      <c r="G2140" s="7"/>
      <c r="H2140" s="1"/>
      <c r="I2140" s="1"/>
      <c r="J2140" s="1"/>
      <c r="K2140" s="1"/>
      <c r="L2140" s="12">
        <f t="shared" si="322"/>
        <v>18706.89223</v>
      </c>
      <c r="M2140" s="12"/>
      <c r="N2140" s="15"/>
      <c r="O2140" s="1"/>
      <c r="Q2140" s="12"/>
      <c r="R2140" s="1"/>
    </row>
    <row r="2141" ht="12.75" hidden="1" customHeight="1" outlineLevel="1">
      <c r="A2141" s="122">
        <f t="shared" si="323"/>
        <v>43416</v>
      </c>
      <c r="B2141" s="120">
        <v>803100.0</v>
      </c>
      <c r="C2141" s="19">
        <f t="shared" si="320"/>
        <v>-0.01666236301</v>
      </c>
      <c r="D2141" s="19">
        <f t="shared" si="321"/>
        <v>-0.002190695236</v>
      </c>
      <c r="E2141" s="12"/>
      <c r="F2141" s="7"/>
      <c r="G2141" s="7"/>
      <c r="H2141" s="1"/>
      <c r="I2141" s="1"/>
      <c r="J2141" s="1"/>
      <c r="K2141" s="1"/>
      <c r="L2141" s="12">
        <f t="shared" si="322"/>
        <v>18395.1912</v>
      </c>
      <c r="M2141" s="12"/>
      <c r="N2141" s="15"/>
      <c r="O2141" s="1"/>
      <c r="Q2141" s="12"/>
      <c r="R2141" s="1"/>
    </row>
    <row r="2142" ht="12.75" hidden="1" customHeight="1" outlineLevel="1">
      <c r="A2142" s="122">
        <f t="shared" si="323"/>
        <v>43417</v>
      </c>
      <c r="B2142" s="120">
        <v>804687.26</v>
      </c>
      <c r="C2142" s="19">
        <f t="shared" si="320"/>
        <v>0.001976416387</v>
      </c>
      <c r="D2142" s="19">
        <f t="shared" si="321"/>
        <v>-0.0002186085757</v>
      </c>
      <c r="E2142" s="12"/>
      <c r="F2142" s="7"/>
      <c r="G2142" s="7"/>
      <c r="H2142" s="1"/>
      <c r="I2142" s="1"/>
      <c r="J2142" s="1"/>
      <c r="K2142" s="1"/>
      <c r="L2142" s="12">
        <f t="shared" si="322"/>
        <v>18431.54776</v>
      </c>
      <c r="M2142" s="12"/>
      <c r="N2142" s="15"/>
      <c r="O2142" s="1"/>
      <c r="Q2142" s="12"/>
      <c r="R2142" s="1"/>
    </row>
    <row r="2143" ht="12.75" hidden="1" customHeight="1" outlineLevel="1">
      <c r="A2143" s="122">
        <f t="shared" si="323"/>
        <v>43418</v>
      </c>
      <c r="B2143" s="120">
        <v>802500.0</v>
      </c>
      <c r="C2143" s="19">
        <f t="shared" si="320"/>
        <v>-0.00271814916</v>
      </c>
      <c r="D2143" s="19">
        <f t="shared" si="321"/>
        <v>-0.002936163525</v>
      </c>
      <c r="E2143" s="12"/>
      <c r="F2143" s="7"/>
      <c r="G2143" s="7"/>
      <c r="H2143" s="1"/>
      <c r="I2143" s="1"/>
      <c r="J2143" s="1"/>
      <c r="K2143" s="1"/>
      <c r="L2143" s="12">
        <f t="shared" si="322"/>
        <v>18381.44806</v>
      </c>
      <c r="M2143" s="12"/>
      <c r="N2143" s="15"/>
      <c r="O2143" s="1"/>
      <c r="Q2143" s="12"/>
      <c r="R2143" s="1"/>
    </row>
    <row r="2144" ht="12.75" hidden="1" customHeight="1" outlineLevel="1">
      <c r="A2144" s="122">
        <f t="shared" si="323"/>
        <v>43419</v>
      </c>
      <c r="B2144" s="120">
        <v>804400.0</v>
      </c>
      <c r="C2144" s="19">
        <f t="shared" si="320"/>
        <v>0.002367601246</v>
      </c>
      <c r="D2144" s="19">
        <f t="shared" si="321"/>
        <v>-0.0005755139435</v>
      </c>
      <c r="E2144" s="12"/>
      <c r="F2144" s="7"/>
      <c r="G2144" s="7"/>
      <c r="H2144" s="1"/>
      <c r="I2144" s="1"/>
      <c r="J2144" s="1"/>
      <c r="K2144" s="1"/>
      <c r="L2144" s="12">
        <f t="shared" si="322"/>
        <v>18424.968</v>
      </c>
      <c r="M2144" s="12"/>
      <c r="N2144" s="15"/>
      <c r="O2144" s="1"/>
      <c r="Q2144" s="12"/>
      <c r="R2144" s="1"/>
    </row>
    <row r="2145" ht="12.75" hidden="1" customHeight="1" outlineLevel="1">
      <c r="A2145" s="122">
        <f t="shared" si="323"/>
        <v>43420</v>
      </c>
      <c r="B2145" s="120">
        <v>805900.0</v>
      </c>
      <c r="C2145" s="19">
        <f t="shared" si="320"/>
        <v>0.001864743909</v>
      </c>
      <c r="D2145" s="19">
        <f t="shared" si="321"/>
        <v>0.001288156779</v>
      </c>
      <c r="E2145" s="12"/>
      <c r="F2145" s="7"/>
      <c r="G2145" s="7"/>
      <c r="H2145" s="1"/>
      <c r="I2145" s="1"/>
      <c r="J2145" s="1"/>
      <c r="K2145" s="1"/>
      <c r="L2145" s="12">
        <f t="shared" si="322"/>
        <v>18459.32585</v>
      </c>
      <c r="M2145" s="12"/>
      <c r="N2145" s="15"/>
      <c r="O2145" s="1"/>
      <c r="Q2145" s="12"/>
      <c r="R2145" s="1"/>
    </row>
    <row r="2146" ht="12.75" hidden="1" customHeight="1" outlineLevel="1">
      <c r="A2146" s="122">
        <f t="shared" si="323"/>
        <v>43421</v>
      </c>
      <c r="B2146" s="120">
        <v>792900.0</v>
      </c>
      <c r="C2146" s="19">
        <f t="shared" si="320"/>
        <v>-0.01613103363</v>
      </c>
      <c r="D2146" s="19">
        <f t="shared" si="321"/>
        <v>-0.01486365615</v>
      </c>
      <c r="E2146" s="12"/>
      <c r="F2146" s="7"/>
      <c r="G2146" s="7"/>
      <c r="H2146" s="1"/>
      <c r="I2146" s="1"/>
      <c r="J2146" s="1"/>
      <c r="K2146" s="1"/>
      <c r="L2146" s="12">
        <f t="shared" si="322"/>
        <v>18161.55784</v>
      </c>
      <c r="M2146" s="12"/>
      <c r="N2146" s="15"/>
      <c r="O2146" s="1"/>
      <c r="Q2146" s="12"/>
      <c r="R2146" s="1"/>
    </row>
    <row r="2147" ht="12.75" hidden="1" customHeight="1" outlineLevel="1">
      <c r="A2147" s="122">
        <f t="shared" si="323"/>
        <v>43422</v>
      </c>
      <c r="B2147" s="120">
        <v>782132.0299999999</v>
      </c>
      <c r="C2147" s="19">
        <f t="shared" si="320"/>
        <v>-0.01358048934</v>
      </c>
      <c r="D2147" s="19">
        <f t="shared" si="321"/>
        <v>-0.02824228977</v>
      </c>
      <c r="E2147" s="12"/>
      <c r="F2147" s="7"/>
      <c r="G2147" s="7"/>
      <c r="H2147" s="1"/>
      <c r="I2147" s="1"/>
      <c r="J2147" s="1"/>
      <c r="K2147" s="1"/>
      <c r="L2147" s="12">
        <f t="shared" si="322"/>
        <v>17914.915</v>
      </c>
      <c r="M2147" s="12"/>
      <c r="N2147" s="15"/>
      <c r="O2147" s="1"/>
      <c r="Q2147" s="12"/>
      <c r="R2147" s="1"/>
    </row>
    <row r="2148" ht="12.75" hidden="1" customHeight="1" outlineLevel="1">
      <c r="A2148" s="122">
        <f t="shared" si="323"/>
        <v>43423</v>
      </c>
      <c r="B2148" s="120">
        <v>782132.0299999999</v>
      </c>
      <c r="C2148" s="19">
        <f t="shared" si="320"/>
        <v>0</v>
      </c>
      <c r="D2148" s="19">
        <f t="shared" si="321"/>
        <v>-0.02824228977</v>
      </c>
      <c r="E2148" s="12"/>
      <c r="F2148" s="7"/>
      <c r="G2148" s="7"/>
      <c r="H2148" s="1"/>
      <c r="I2148" s="1"/>
      <c r="J2148" s="1"/>
      <c r="K2148" s="1"/>
      <c r="L2148" s="12">
        <f t="shared" si="322"/>
        <v>17914.915</v>
      </c>
      <c r="M2148" s="12"/>
      <c r="N2148" s="15"/>
      <c r="O2148" s="1"/>
      <c r="Q2148" s="12"/>
      <c r="R2148" s="1"/>
    </row>
    <row r="2149" ht="12.75" hidden="1" customHeight="1" outlineLevel="1">
      <c r="A2149" s="122">
        <f t="shared" si="323"/>
        <v>43424</v>
      </c>
      <c r="B2149" s="120">
        <v>782132.0299999999</v>
      </c>
      <c r="C2149" s="19">
        <f t="shared" si="320"/>
        <v>0</v>
      </c>
      <c r="D2149" s="19">
        <f t="shared" si="321"/>
        <v>-0.02824228977</v>
      </c>
      <c r="E2149" s="12"/>
      <c r="F2149" s="7"/>
      <c r="G2149" s="7"/>
      <c r="H2149" s="1"/>
      <c r="I2149" s="1"/>
      <c r="J2149" s="1"/>
      <c r="K2149" s="1"/>
      <c r="L2149" s="12">
        <f t="shared" si="322"/>
        <v>17914.915</v>
      </c>
      <c r="M2149" s="12"/>
      <c r="N2149" s="15"/>
      <c r="O2149" s="1"/>
      <c r="Q2149" s="12"/>
      <c r="R2149" s="1"/>
    </row>
    <row r="2150" ht="12.75" hidden="1" customHeight="1" outlineLevel="1">
      <c r="A2150" s="122">
        <f t="shared" si="323"/>
        <v>43425</v>
      </c>
      <c r="B2150" s="120">
        <v>788243.2399999999</v>
      </c>
      <c r="C2150" s="19">
        <f t="shared" si="320"/>
        <v>0.00781352734</v>
      </c>
      <c r="D2150" s="19">
        <f t="shared" si="321"/>
        <v>-0.02064943433</v>
      </c>
      <c r="E2150" s="12"/>
      <c r="F2150" s="7"/>
      <c r="G2150" s="7"/>
      <c r="H2150" s="1"/>
      <c r="I2150" s="1"/>
      <c r="J2150" s="1"/>
      <c r="K2150" s="1"/>
      <c r="L2150" s="12">
        <f t="shared" si="322"/>
        <v>18054.89368</v>
      </c>
      <c r="M2150" s="12"/>
      <c r="N2150" s="15"/>
      <c r="O2150" s="1"/>
      <c r="Q2150" s="12"/>
      <c r="R2150" s="1"/>
    </row>
    <row r="2151" ht="12.75" hidden="1" customHeight="1" outlineLevel="1">
      <c r="A2151" s="122">
        <f t="shared" si="323"/>
        <v>43426</v>
      </c>
      <c r="B2151" s="120">
        <v>788243.2399999999</v>
      </c>
      <c r="C2151" s="19">
        <f t="shared" si="320"/>
        <v>0</v>
      </c>
      <c r="D2151" s="19">
        <f t="shared" si="321"/>
        <v>-0.02064943433</v>
      </c>
      <c r="E2151" s="12"/>
      <c r="F2151" s="7"/>
      <c r="G2151" s="7"/>
      <c r="H2151" s="1"/>
      <c r="I2151" s="1"/>
      <c r="J2151" s="1"/>
      <c r="K2151" s="1"/>
      <c r="L2151" s="12">
        <f t="shared" si="322"/>
        <v>18054.89368</v>
      </c>
      <c r="M2151" s="12"/>
      <c r="N2151" s="15"/>
      <c r="O2151" s="1"/>
      <c r="Q2151" s="12"/>
      <c r="R2151" s="1"/>
    </row>
    <row r="2152" ht="12.75" hidden="1" customHeight="1" outlineLevel="1">
      <c r="A2152" s="122">
        <f t="shared" si="323"/>
        <v>43427</v>
      </c>
      <c r="B2152" s="120">
        <v>782700.0</v>
      </c>
      <c r="C2152" s="19">
        <f t="shared" si="320"/>
        <v>-0.007032397766</v>
      </c>
      <c r="D2152" s="19">
        <f t="shared" si="321"/>
        <v>-0.02753661706</v>
      </c>
      <c r="E2152" s="12"/>
      <c r="F2152" s="7"/>
      <c r="G2152" s="7"/>
      <c r="H2152" s="1"/>
      <c r="I2152" s="1"/>
      <c r="J2152" s="1"/>
      <c r="K2152" s="1"/>
      <c r="L2152" s="12">
        <f t="shared" si="322"/>
        <v>17927.92448</v>
      </c>
      <c r="M2152" s="12"/>
      <c r="N2152" s="15"/>
      <c r="O2152" s="1"/>
      <c r="Q2152" s="12"/>
      <c r="R2152" s="1"/>
    </row>
    <row r="2153" ht="12.75" hidden="1" customHeight="1" outlineLevel="1">
      <c r="A2153" s="122">
        <f t="shared" si="323"/>
        <v>43428</v>
      </c>
      <c r="B2153" s="120">
        <v>782700.0</v>
      </c>
      <c r="C2153" s="19">
        <f t="shared" si="320"/>
        <v>0</v>
      </c>
      <c r="D2153" s="19">
        <f t="shared" si="321"/>
        <v>-0.02753661706</v>
      </c>
      <c r="E2153" s="12"/>
      <c r="F2153" s="7"/>
      <c r="G2153" s="7"/>
      <c r="H2153" s="1"/>
      <c r="I2153" s="1"/>
      <c r="J2153" s="1"/>
      <c r="K2153" s="1"/>
      <c r="L2153" s="12">
        <f t="shared" si="322"/>
        <v>17927.92448</v>
      </c>
      <c r="M2153" s="12"/>
      <c r="N2153" s="15"/>
      <c r="O2153" s="1"/>
      <c r="Q2153" s="12"/>
      <c r="R2153" s="1"/>
    </row>
    <row r="2154" ht="12.75" hidden="1" customHeight="1" outlineLevel="1">
      <c r="A2154" s="122">
        <f t="shared" si="323"/>
        <v>43429</v>
      </c>
      <c r="B2154" s="120">
        <v>782700.0</v>
      </c>
      <c r="C2154" s="19">
        <f t="shared" si="320"/>
        <v>0</v>
      </c>
      <c r="D2154" s="19">
        <f t="shared" si="321"/>
        <v>-0.02753661706</v>
      </c>
      <c r="E2154" s="12"/>
      <c r="F2154" s="7"/>
      <c r="G2154" s="7"/>
      <c r="H2154" s="1"/>
      <c r="I2154" s="1"/>
      <c r="J2154" s="1"/>
      <c r="K2154" s="1"/>
      <c r="L2154" s="12">
        <f t="shared" si="322"/>
        <v>17927.92448</v>
      </c>
      <c r="M2154" s="12"/>
      <c r="N2154" s="15"/>
      <c r="O2154" s="1"/>
      <c r="Q2154" s="12"/>
      <c r="R2154" s="1"/>
    </row>
    <row r="2155" ht="12.75" hidden="1" customHeight="1" outlineLevel="1">
      <c r="A2155" s="122">
        <f t="shared" si="323"/>
        <v>43430</v>
      </c>
      <c r="B2155" s="120">
        <v>793850.29</v>
      </c>
      <c r="C2155" s="19">
        <f t="shared" si="320"/>
        <v>0.01424593075</v>
      </c>
      <c r="D2155" s="19">
        <f t="shared" si="321"/>
        <v>-0.01368297105</v>
      </c>
      <c r="E2155" s="12"/>
      <c r="F2155" s="7"/>
      <c r="G2155" s="7"/>
      <c r="H2155" s="1"/>
      <c r="I2155" s="1"/>
      <c r="J2155" s="1"/>
      <c r="K2155" s="1"/>
      <c r="L2155" s="12">
        <f t="shared" si="322"/>
        <v>18183.32445</v>
      </c>
      <c r="M2155" s="12"/>
      <c r="N2155" s="15"/>
      <c r="O2155" s="1"/>
      <c r="Q2155" s="12"/>
      <c r="R2155" s="1"/>
    </row>
    <row r="2156" ht="12.75" hidden="1" customHeight="1" outlineLevel="1">
      <c r="A2156" s="122">
        <f t="shared" si="323"/>
        <v>43431</v>
      </c>
      <c r="B2156" s="120">
        <v>796796.71</v>
      </c>
      <c r="C2156" s="19">
        <f t="shared" si="320"/>
        <v>0.003711556243</v>
      </c>
      <c r="D2156" s="19">
        <f t="shared" si="321"/>
        <v>-0.01002219992</v>
      </c>
      <c r="E2156" s="12"/>
      <c r="F2156" s="7"/>
      <c r="G2156" s="7"/>
      <c r="H2156" s="1"/>
      <c r="I2156" s="1"/>
      <c r="J2156" s="1"/>
      <c r="K2156" s="1"/>
      <c r="L2156" s="12">
        <f t="shared" si="322"/>
        <v>18250.81289</v>
      </c>
      <c r="M2156" s="12"/>
      <c r="N2156" s="15"/>
      <c r="O2156" s="1"/>
      <c r="Q2156" s="12"/>
      <c r="R2156" s="1"/>
    </row>
    <row r="2157" ht="12.75" hidden="1" customHeight="1" outlineLevel="1">
      <c r="A2157" s="122">
        <f t="shared" si="323"/>
        <v>43432</v>
      </c>
      <c r="B2157" s="120">
        <v>814100.0</v>
      </c>
      <c r="C2157" s="19">
        <f t="shared" si="320"/>
        <v>0.02171606607</v>
      </c>
      <c r="D2157" s="19">
        <f t="shared" si="321"/>
        <v>0.01147622339</v>
      </c>
      <c r="E2157" s="12"/>
      <c r="F2157" s="7"/>
      <c r="G2157" s="7"/>
      <c r="H2157" s="1"/>
      <c r="I2157" s="1"/>
      <c r="J2157" s="1"/>
      <c r="K2157" s="1"/>
      <c r="L2157" s="12">
        <f t="shared" si="322"/>
        <v>18647.14874</v>
      </c>
      <c r="M2157" s="12"/>
      <c r="N2157" s="15"/>
      <c r="O2157" s="1"/>
      <c r="Q2157" s="12"/>
      <c r="R2157" s="1"/>
    </row>
    <row r="2158" ht="12.75" hidden="1" customHeight="1" outlineLevel="1">
      <c r="A2158" s="122">
        <f t="shared" si="323"/>
        <v>43433</v>
      </c>
      <c r="B2158" s="120">
        <v>811779.6599999999</v>
      </c>
      <c r="C2158" s="19">
        <f t="shared" si="320"/>
        <v>-0.002850190394</v>
      </c>
      <c r="D2158" s="19">
        <f t="shared" si="321"/>
        <v>0.008593323579</v>
      </c>
      <c r="E2158" s="12"/>
      <c r="F2158" s="7"/>
      <c r="G2158" s="7"/>
      <c r="H2158" s="1"/>
      <c r="I2158" s="1"/>
      <c r="J2158" s="1"/>
      <c r="K2158" s="1"/>
      <c r="L2158" s="12">
        <f t="shared" si="322"/>
        <v>18594.00082</v>
      </c>
      <c r="M2158" s="12"/>
      <c r="N2158" s="15"/>
      <c r="O2158" s="1"/>
      <c r="Q2158" s="12"/>
      <c r="R2158" s="1"/>
    </row>
    <row r="2159" ht="12.75" hidden="1" customHeight="1" outlineLevel="1">
      <c r="A2159" s="122">
        <f t="shared" si="323"/>
        <v>43434</v>
      </c>
      <c r="B2159" s="120">
        <v>817539.26</v>
      </c>
      <c r="C2159" s="19">
        <f t="shared" si="320"/>
        <v>0.007095028718</v>
      </c>
      <c r="D2159" s="19">
        <f t="shared" si="321"/>
        <v>0.01574932217</v>
      </c>
      <c r="E2159" s="12"/>
      <c r="F2159" s="7"/>
      <c r="G2159" s="7"/>
      <c r="H2159" s="1"/>
      <c r="I2159" s="1"/>
      <c r="J2159" s="1"/>
      <c r="K2159" s="1"/>
      <c r="L2159" s="12">
        <f t="shared" si="322"/>
        <v>18725.92579</v>
      </c>
      <c r="M2159" s="12"/>
      <c r="N2159" s="15"/>
      <c r="O2159" s="1"/>
      <c r="Q2159" s="12"/>
      <c r="R2159" s="1"/>
    </row>
    <row r="2160" ht="12.75" hidden="1" customHeight="1" outlineLevel="1">
      <c r="A2160" s="122"/>
      <c r="B2160" s="12"/>
      <c r="C2160" s="1"/>
      <c r="D2160" s="1"/>
      <c r="E2160" s="12"/>
      <c r="F2160" s="7"/>
      <c r="G2160" s="7"/>
      <c r="H2160" s="1"/>
      <c r="I2160" s="1"/>
      <c r="J2160" s="1"/>
      <c r="K2160" s="1"/>
      <c r="L2160" s="12"/>
      <c r="M2160" s="12"/>
      <c r="N2160" s="15"/>
      <c r="O2160" s="1"/>
      <c r="Q2160" s="12"/>
      <c r="R2160" s="1"/>
    </row>
    <row r="2161" ht="12.75" hidden="1" customHeight="1" outlineLevel="1">
      <c r="A2161" s="122"/>
      <c r="B2161" s="12">
        <f>B2159</f>
        <v>817539.26</v>
      </c>
      <c r="C2161" s="1"/>
      <c r="D2161" s="1"/>
      <c r="E2161" s="12"/>
      <c r="F2161" s="7"/>
      <c r="G2161" s="7"/>
      <c r="H2161" s="1"/>
      <c r="I2161" s="1"/>
      <c r="J2161" s="1"/>
      <c r="K2161" s="1"/>
      <c r="L2161" s="12"/>
      <c r="M2161" s="12"/>
      <c r="N2161" s="15"/>
      <c r="O2161" s="1"/>
      <c r="Q2161" s="12"/>
      <c r="R2161" s="1"/>
    </row>
    <row r="2162" ht="12.75" hidden="1" customHeight="1" outlineLevel="1">
      <c r="A2162" s="122">
        <f>A2159+1</f>
        <v>43435</v>
      </c>
      <c r="B2162" s="12">
        <v>817539.26</v>
      </c>
      <c r="C2162" s="19">
        <f t="shared" ref="C2162:C2192" si="324">B2162/B2161-1</f>
        <v>0</v>
      </c>
      <c r="D2162" s="19">
        <f t="shared" ref="D2162:D2192" si="325">(B2162/$B$2161)-1</f>
        <v>0</v>
      </c>
      <c r="E2162" s="12"/>
      <c r="F2162" s="7"/>
      <c r="G2162" s="7"/>
      <c r="H2162" s="1"/>
      <c r="I2162" s="1"/>
      <c r="J2162" s="1"/>
      <c r="K2162" s="1"/>
      <c r="L2162" s="12">
        <f t="shared" ref="L2162:L2192" si="326">IF(C2161="",L2159*(1+C2162),L2161*(1+C2162))</f>
        <v>18725.92579</v>
      </c>
      <c r="M2162" s="12"/>
      <c r="N2162" s="15"/>
      <c r="O2162" s="1"/>
      <c r="Q2162" s="12"/>
      <c r="R2162" s="1"/>
    </row>
    <row r="2163" ht="12.75" hidden="1" customHeight="1" outlineLevel="1">
      <c r="A2163" s="122">
        <f t="shared" ref="A2163:A2192" si="327">A2162+1</f>
        <v>43436</v>
      </c>
      <c r="B2163" s="12">
        <v>817539.26</v>
      </c>
      <c r="C2163" s="19">
        <f t="shared" si="324"/>
        <v>0</v>
      </c>
      <c r="D2163" s="19">
        <f t="shared" si="325"/>
        <v>0</v>
      </c>
      <c r="E2163" s="12"/>
      <c r="F2163" s="7"/>
      <c r="G2163" s="7"/>
      <c r="H2163" s="1"/>
      <c r="I2163" s="1"/>
      <c r="J2163" s="1"/>
      <c r="K2163" s="1"/>
      <c r="L2163" s="12">
        <f t="shared" si="326"/>
        <v>18725.92579</v>
      </c>
      <c r="M2163" s="12"/>
      <c r="N2163" s="15"/>
      <c r="O2163" s="1"/>
      <c r="Q2163" s="12"/>
      <c r="R2163" s="1"/>
    </row>
    <row r="2164" ht="12.75" hidden="1" customHeight="1" outlineLevel="1">
      <c r="A2164" s="122">
        <f t="shared" si="327"/>
        <v>43437</v>
      </c>
      <c r="B2164" s="120">
        <v>823900.0</v>
      </c>
      <c r="C2164" s="19">
        <f t="shared" si="324"/>
        <v>0.007780348065</v>
      </c>
      <c r="D2164" s="19">
        <f t="shared" si="325"/>
        <v>0.007780348065</v>
      </c>
      <c r="E2164" s="12"/>
      <c r="F2164" s="7"/>
      <c r="G2164" s="7"/>
      <c r="H2164" s="1"/>
      <c r="I2164" s="1"/>
      <c r="J2164" s="1"/>
      <c r="K2164" s="1"/>
      <c r="L2164" s="12">
        <f t="shared" si="326"/>
        <v>18871.62001</v>
      </c>
      <c r="M2164" s="12"/>
      <c r="N2164" s="15"/>
      <c r="O2164" s="1"/>
      <c r="Q2164" s="12"/>
      <c r="R2164" s="1"/>
    </row>
    <row r="2165" ht="12.75" hidden="1" customHeight="1" outlineLevel="1">
      <c r="A2165" s="122">
        <f t="shared" si="327"/>
        <v>43438</v>
      </c>
      <c r="B2165" s="120">
        <v>802211.1999999998</v>
      </c>
      <c r="C2165" s="19">
        <f t="shared" si="324"/>
        <v>-0.02632455395</v>
      </c>
      <c r="D2165" s="19">
        <f t="shared" si="325"/>
        <v>-0.01874902008</v>
      </c>
      <c r="E2165" s="12"/>
      <c r="F2165" s="7"/>
      <c r="G2165" s="7"/>
      <c r="H2165" s="1"/>
      <c r="I2165" s="1"/>
      <c r="J2165" s="1"/>
      <c r="K2165" s="1"/>
      <c r="L2165" s="12">
        <f t="shared" si="326"/>
        <v>18374.83303</v>
      </c>
      <c r="M2165" s="12"/>
      <c r="N2165" s="15"/>
      <c r="O2165" s="1"/>
      <c r="Q2165" s="12"/>
      <c r="R2165" s="1"/>
    </row>
    <row r="2166" ht="12.75" hidden="1" customHeight="1" outlineLevel="1">
      <c r="A2166" s="122">
        <f t="shared" si="327"/>
        <v>43439</v>
      </c>
      <c r="B2166" s="120">
        <v>802211.1999999998</v>
      </c>
      <c r="C2166" s="19">
        <f t="shared" si="324"/>
        <v>0</v>
      </c>
      <c r="D2166" s="19">
        <f t="shared" si="325"/>
        <v>-0.01874902008</v>
      </c>
      <c r="E2166" s="12"/>
      <c r="F2166" s="7"/>
      <c r="G2166" s="7"/>
      <c r="H2166" s="1"/>
      <c r="I2166" s="1"/>
      <c r="J2166" s="1"/>
      <c r="K2166" s="1"/>
      <c r="L2166" s="12">
        <f t="shared" si="326"/>
        <v>18374.83303</v>
      </c>
      <c r="M2166" s="12"/>
      <c r="N2166" s="15"/>
      <c r="O2166" s="1"/>
      <c r="Q2166" s="12"/>
      <c r="R2166" s="1"/>
    </row>
    <row r="2167" ht="12.75" hidden="1" customHeight="1" outlineLevel="1">
      <c r="A2167" s="122">
        <f t="shared" si="327"/>
        <v>43440</v>
      </c>
      <c r="B2167" s="120">
        <v>803389.8699999998</v>
      </c>
      <c r="C2167" s="19">
        <f t="shared" si="324"/>
        <v>0.00146927642</v>
      </c>
      <c r="D2167" s="19">
        <f t="shared" si="325"/>
        <v>-0.01730729115</v>
      </c>
      <c r="E2167" s="12"/>
      <c r="F2167" s="7"/>
      <c r="G2167" s="7"/>
      <c r="H2167" s="1"/>
      <c r="I2167" s="1"/>
      <c r="J2167" s="1"/>
      <c r="K2167" s="1"/>
      <c r="L2167" s="12">
        <f t="shared" si="326"/>
        <v>18401.83074</v>
      </c>
      <c r="M2167" s="12"/>
      <c r="N2167" s="15"/>
      <c r="O2167" s="1"/>
      <c r="Q2167" s="12"/>
      <c r="R2167" s="1"/>
    </row>
    <row r="2168" ht="12.75" hidden="1" customHeight="1" outlineLevel="1">
      <c r="A2168" s="122">
        <f t="shared" si="327"/>
        <v>43441</v>
      </c>
      <c r="B2168" s="120">
        <v>781787.14</v>
      </c>
      <c r="C2168" s="19">
        <f t="shared" si="324"/>
        <v>-0.02688947273</v>
      </c>
      <c r="D2168" s="19">
        <f t="shared" si="325"/>
        <v>-0.04373137995</v>
      </c>
      <c r="E2168" s="12"/>
      <c r="F2168" s="7"/>
      <c r="G2168" s="7"/>
      <c r="H2168" s="1"/>
      <c r="I2168" s="1"/>
      <c r="J2168" s="1"/>
      <c r="K2168" s="1"/>
      <c r="L2168" s="12">
        <f t="shared" si="326"/>
        <v>17907.01521</v>
      </c>
      <c r="M2168" s="12"/>
      <c r="N2168" s="15"/>
      <c r="O2168" s="1"/>
      <c r="Q2168" s="12"/>
      <c r="R2168" s="1"/>
    </row>
    <row r="2169" ht="12.75" hidden="1" customHeight="1" outlineLevel="1">
      <c r="A2169" s="122">
        <f t="shared" si="327"/>
        <v>43442</v>
      </c>
      <c r="B2169" s="120">
        <v>781787.14</v>
      </c>
      <c r="C2169" s="19">
        <f t="shared" si="324"/>
        <v>0</v>
      </c>
      <c r="D2169" s="19">
        <f t="shared" si="325"/>
        <v>-0.04373137995</v>
      </c>
      <c r="E2169" s="12"/>
      <c r="F2169" s="7"/>
      <c r="G2169" s="7"/>
      <c r="H2169" s="1"/>
      <c r="I2169" s="1"/>
      <c r="J2169" s="1"/>
      <c r="K2169" s="1"/>
      <c r="L2169" s="12">
        <f t="shared" si="326"/>
        <v>17907.01521</v>
      </c>
      <c r="M2169" s="12"/>
      <c r="N2169" s="15"/>
      <c r="O2169" s="1"/>
      <c r="Q2169" s="12"/>
      <c r="R2169" s="1"/>
    </row>
    <row r="2170" ht="12.75" hidden="1" customHeight="1" outlineLevel="1">
      <c r="A2170" s="122">
        <f t="shared" si="327"/>
        <v>43443</v>
      </c>
      <c r="B2170" s="120">
        <v>781787.14</v>
      </c>
      <c r="C2170" s="19">
        <f t="shared" si="324"/>
        <v>0</v>
      </c>
      <c r="D2170" s="19">
        <f t="shared" si="325"/>
        <v>-0.04373137995</v>
      </c>
      <c r="E2170" s="12"/>
      <c r="F2170" s="7"/>
      <c r="G2170" s="7"/>
      <c r="H2170" s="1"/>
      <c r="I2170" s="1"/>
      <c r="J2170" s="1"/>
      <c r="K2170" s="1"/>
      <c r="L2170" s="12">
        <f t="shared" si="326"/>
        <v>17907.01521</v>
      </c>
      <c r="M2170" s="12"/>
      <c r="N2170" s="15"/>
      <c r="O2170" s="1"/>
      <c r="Q2170" s="12"/>
      <c r="R2170" s="1"/>
    </row>
    <row r="2171" ht="12.75" hidden="1" customHeight="1" outlineLevel="1">
      <c r="A2171" s="122">
        <f t="shared" si="327"/>
        <v>43444</v>
      </c>
      <c r="B2171" s="120">
        <v>782942.14</v>
      </c>
      <c r="C2171" s="19">
        <f t="shared" si="324"/>
        <v>0.00147738424</v>
      </c>
      <c r="D2171" s="19">
        <f t="shared" si="325"/>
        <v>-0.04231860376</v>
      </c>
      <c r="E2171" s="12"/>
      <c r="F2171" s="7"/>
      <c r="G2171" s="7"/>
      <c r="H2171" s="1"/>
      <c r="I2171" s="1"/>
      <c r="J2171" s="1"/>
      <c r="K2171" s="1"/>
      <c r="L2171" s="12">
        <f t="shared" si="326"/>
        <v>17933.47076</v>
      </c>
      <c r="M2171" s="12"/>
      <c r="N2171" s="15"/>
      <c r="O2171" s="1"/>
      <c r="Q2171" s="12"/>
      <c r="R2171" s="1"/>
    </row>
    <row r="2172" ht="12.75" hidden="1" customHeight="1" outlineLevel="1">
      <c r="A2172" s="122">
        <f t="shared" si="327"/>
        <v>43445</v>
      </c>
      <c r="B2172" s="120">
        <v>783261.7200000001</v>
      </c>
      <c r="C2172" s="19">
        <f t="shared" si="324"/>
        <v>0.0004081783106</v>
      </c>
      <c r="D2172" s="19">
        <f t="shared" si="325"/>
        <v>-0.04192769898</v>
      </c>
      <c r="E2172" s="12"/>
      <c r="F2172" s="7"/>
      <c r="G2172" s="7"/>
      <c r="H2172" s="1"/>
      <c r="I2172" s="1"/>
      <c r="J2172" s="1"/>
      <c r="K2172" s="1"/>
      <c r="L2172" s="12">
        <f t="shared" si="326"/>
        <v>17940.79081</v>
      </c>
      <c r="M2172" s="12"/>
      <c r="N2172" s="15"/>
      <c r="O2172" s="1"/>
      <c r="Q2172" s="12"/>
      <c r="R2172" s="1"/>
    </row>
    <row r="2173" ht="12.75" hidden="1" customHeight="1" outlineLevel="1">
      <c r="A2173" s="122">
        <f t="shared" si="327"/>
        <v>43446</v>
      </c>
      <c r="B2173" s="120">
        <v>789565.42</v>
      </c>
      <c r="C2173" s="19">
        <f t="shared" si="324"/>
        <v>0.008048012355</v>
      </c>
      <c r="D2173" s="19">
        <f t="shared" si="325"/>
        <v>-0.03421712127</v>
      </c>
      <c r="E2173" s="12"/>
      <c r="F2173" s="7"/>
      <c r="G2173" s="7"/>
      <c r="H2173" s="1"/>
      <c r="I2173" s="1"/>
      <c r="J2173" s="1"/>
      <c r="K2173" s="1"/>
      <c r="L2173" s="12">
        <f t="shared" si="326"/>
        <v>18085.17852</v>
      </c>
      <c r="M2173" s="12"/>
      <c r="N2173" s="15"/>
      <c r="O2173" s="1"/>
      <c r="Q2173" s="12"/>
      <c r="R2173" s="1"/>
    </row>
    <row r="2174" ht="12.75" hidden="1" customHeight="1" outlineLevel="1">
      <c r="A2174" s="122">
        <f t="shared" si="327"/>
        <v>43447</v>
      </c>
      <c r="B2174" s="120">
        <v>788179.49</v>
      </c>
      <c r="C2174" s="19">
        <f t="shared" si="324"/>
        <v>-0.001755307369</v>
      </c>
      <c r="D2174" s="19">
        <f t="shared" si="325"/>
        <v>-0.03591236707</v>
      </c>
      <c r="E2174" s="12"/>
      <c r="F2174" s="7"/>
      <c r="G2174" s="7"/>
      <c r="H2174" s="1"/>
      <c r="I2174" s="1"/>
      <c r="J2174" s="1"/>
      <c r="K2174" s="1"/>
      <c r="L2174" s="12">
        <f t="shared" si="326"/>
        <v>18053.43347</v>
      </c>
      <c r="M2174" s="12"/>
      <c r="N2174" s="15"/>
      <c r="O2174" s="1"/>
      <c r="Q2174" s="12"/>
      <c r="R2174" s="1"/>
    </row>
    <row r="2175" ht="12.75" hidden="1" customHeight="1" outlineLevel="1">
      <c r="A2175" s="122">
        <f t="shared" si="327"/>
        <v>43448</v>
      </c>
      <c r="B2175" s="120">
        <v>775274.1799999999</v>
      </c>
      <c r="C2175" s="19">
        <f t="shared" si="324"/>
        <v>-0.0163735674</v>
      </c>
      <c r="D2175" s="19">
        <f t="shared" si="325"/>
        <v>-0.0516979209</v>
      </c>
      <c r="E2175" s="12"/>
      <c r="F2175" s="7"/>
      <c r="G2175" s="7"/>
      <c r="H2175" s="1"/>
      <c r="I2175" s="1"/>
      <c r="J2175" s="1"/>
      <c r="K2175" s="1"/>
      <c r="L2175" s="12">
        <f t="shared" si="326"/>
        <v>17757.83436</v>
      </c>
      <c r="M2175" s="12"/>
      <c r="N2175" s="15"/>
      <c r="O2175" s="1"/>
      <c r="Q2175" s="12"/>
      <c r="R2175" s="1"/>
    </row>
    <row r="2176" ht="12.75" hidden="1" customHeight="1" outlineLevel="1">
      <c r="A2176" s="122">
        <f t="shared" si="327"/>
        <v>43449</v>
      </c>
      <c r="B2176" s="120">
        <v>775274.1799999999</v>
      </c>
      <c r="C2176" s="19">
        <f t="shared" si="324"/>
        <v>0</v>
      </c>
      <c r="D2176" s="19">
        <f t="shared" si="325"/>
        <v>-0.0516979209</v>
      </c>
      <c r="E2176" s="12"/>
      <c r="F2176" s="7"/>
      <c r="G2176" s="7"/>
      <c r="H2176" s="1"/>
      <c r="I2176" s="1"/>
      <c r="J2176" s="1"/>
      <c r="K2176" s="1"/>
      <c r="L2176" s="12">
        <f t="shared" si="326"/>
        <v>17757.83436</v>
      </c>
      <c r="M2176" s="12"/>
      <c r="N2176" s="15"/>
      <c r="O2176" s="1"/>
      <c r="Q2176" s="12"/>
      <c r="R2176" s="1"/>
    </row>
    <row r="2177" ht="12.75" hidden="1" customHeight="1" outlineLevel="1">
      <c r="A2177" s="122">
        <f t="shared" si="327"/>
        <v>43450</v>
      </c>
      <c r="B2177" s="120">
        <v>775274.1799999999</v>
      </c>
      <c r="C2177" s="19">
        <f t="shared" si="324"/>
        <v>0</v>
      </c>
      <c r="D2177" s="19">
        <f t="shared" si="325"/>
        <v>-0.0516979209</v>
      </c>
      <c r="E2177" s="12"/>
      <c r="F2177" s="7"/>
      <c r="G2177" s="7"/>
      <c r="H2177" s="1"/>
      <c r="I2177" s="1"/>
      <c r="J2177" s="1"/>
      <c r="K2177" s="1"/>
      <c r="L2177" s="12">
        <f t="shared" si="326"/>
        <v>17757.83436</v>
      </c>
      <c r="M2177" s="12"/>
      <c r="N2177" s="15"/>
      <c r="O2177" s="1"/>
      <c r="Q2177" s="12"/>
      <c r="R2177" s="1"/>
    </row>
    <row r="2178" ht="12.75" hidden="1" customHeight="1" outlineLevel="1">
      <c r="A2178" s="122">
        <f t="shared" si="327"/>
        <v>43451</v>
      </c>
      <c r="B2178" s="120">
        <v>775274.1799999999</v>
      </c>
      <c r="C2178" s="19">
        <f t="shared" si="324"/>
        <v>0</v>
      </c>
      <c r="D2178" s="19">
        <f t="shared" si="325"/>
        <v>-0.0516979209</v>
      </c>
      <c r="E2178" s="12"/>
      <c r="F2178" s="7"/>
      <c r="G2178" s="7"/>
      <c r="H2178" s="1"/>
      <c r="I2178" s="1"/>
      <c r="J2178" s="1"/>
      <c r="K2178" s="1"/>
      <c r="L2178" s="12">
        <f t="shared" si="326"/>
        <v>17757.83436</v>
      </c>
      <c r="M2178" s="12"/>
      <c r="N2178" s="15"/>
      <c r="O2178" s="1"/>
      <c r="Q2178" s="12"/>
      <c r="R2178" s="1"/>
    </row>
    <row r="2179" ht="12.75" hidden="1" customHeight="1" outlineLevel="1">
      <c r="A2179" s="122">
        <f t="shared" si="327"/>
        <v>43452</v>
      </c>
      <c r="B2179" s="120">
        <v>764100.0</v>
      </c>
      <c r="C2179" s="19">
        <f t="shared" si="324"/>
        <v>-0.01441319766</v>
      </c>
      <c r="D2179" s="19">
        <f t="shared" si="325"/>
        <v>-0.06536598622</v>
      </c>
      <c r="E2179" s="12"/>
      <c r="F2179" s="7"/>
      <c r="G2179" s="7"/>
      <c r="H2179" s="1"/>
      <c r="I2179" s="1"/>
      <c r="J2179" s="1"/>
      <c r="K2179" s="1"/>
      <c r="L2179" s="12">
        <f t="shared" si="326"/>
        <v>17501.88718</v>
      </c>
      <c r="M2179" s="12"/>
      <c r="N2179" s="15"/>
      <c r="O2179" s="1"/>
      <c r="Q2179" s="12"/>
      <c r="R2179" s="1"/>
    </row>
    <row r="2180" ht="12.75" hidden="1" customHeight="1" outlineLevel="1">
      <c r="A2180" s="122">
        <f t="shared" si="327"/>
        <v>43453</v>
      </c>
      <c r="B2180" s="120">
        <v>753300.0</v>
      </c>
      <c r="C2180" s="19">
        <f t="shared" si="324"/>
        <v>-0.01413427562</v>
      </c>
      <c r="D2180" s="19">
        <f t="shared" si="325"/>
        <v>-0.07857636097</v>
      </c>
      <c r="E2180" s="12"/>
      <c r="F2180" s="7"/>
      <c r="G2180" s="7"/>
      <c r="H2180" s="1"/>
      <c r="I2180" s="1"/>
      <c r="J2180" s="1"/>
      <c r="K2180" s="1"/>
      <c r="L2180" s="12">
        <f t="shared" si="326"/>
        <v>17254.51068</v>
      </c>
      <c r="M2180" s="12"/>
      <c r="N2180" s="15"/>
      <c r="O2180" s="1"/>
      <c r="Q2180" s="12"/>
      <c r="R2180" s="1"/>
    </row>
    <row r="2181" ht="12.75" hidden="1" customHeight="1" outlineLevel="1">
      <c r="A2181" s="122">
        <f t="shared" si="327"/>
        <v>43454</v>
      </c>
      <c r="B2181" s="120">
        <v>740087.3400000002</v>
      </c>
      <c r="C2181" s="19">
        <f t="shared" si="324"/>
        <v>-0.0175397053</v>
      </c>
      <c r="D2181" s="19">
        <f t="shared" si="325"/>
        <v>-0.09473786005</v>
      </c>
      <c r="E2181" s="12"/>
      <c r="F2181" s="7"/>
      <c r="G2181" s="7"/>
      <c r="H2181" s="1"/>
      <c r="I2181" s="1"/>
      <c r="J2181" s="1"/>
      <c r="K2181" s="1"/>
      <c r="L2181" s="12">
        <f t="shared" si="326"/>
        <v>16951.87165</v>
      </c>
      <c r="M2181" s="12"/>
      <c r="N2181" s="15"/>
      <c r="O2181" s="1"/>
      <c r="Q2181" s="12"/>
      <c r="R2181" s="1"/>
    </row>
    <row r="2182" ht="12.75" hidden="1" customHeight="1" outlineLevel="1">
      <c r="A2182" s="122">
        <f t="shared" si="327"/>
        <v>43455</v>
      </c>
      <c r="B2182" s="120">
        <v>720300.0</v>
      </c>
      <c r="C2182" s="19">
        <f t="shared" si="324"/>
        <v>-0.02673649302</v>
      </c>
      <c r="D2182" s="19">
        <f t="shared" si="325"/>
        <v>-0.1189413949</v>
      </c>
      <c r="E2182" s="12"/>
      <c r="F2182" s="7"/>
      <c r="G2182" s="7"/>
      <c r="H2182" s="1"/>
      <c r="I2182" s="1"/>
      <c r="J2182" s="1"/>
      <c r="K2182" s="1"/>
      <c r="L2182" s="12">
        <f t="shared" si="326"/>
        <v>16498.63805</v>
      </c>
      <c r="M2182" s="12"/>
      <c r="N2182" s="15"/>
      <c r="O2182" s="1"/>
      <c r="Q2182" s="12"/>
      <c r="R2182" s="1"/>
    </row>
    <row r="2183" ht="12.75" hidden="1" customHeight="1" outlineLevel="1">
      <c r="A2183" s="122">
        <f t="shared" si="327"/>
        <v>43456</v>
      </c>
      <c r="B2183" s="120">
        <v>720300.0</v>
      </c>
      <c r="C2183" s="19">
        <f t="shared" si="324"/>
        <v>0</v>
      </c>
      <c r="D2183" s="19">
        <f t="shared" si="325"/>
        <v>-0.1189413949</v>
      </c>
      <c r="E2183" s="12"/>
      <c r="F2183" s="7"/>
      <c r="G2183" s="7"/>
      <c r="H2183" s="1"/>
      <c r="I2183" s="1"/>
      <c r="J2183" s="1"/>
      <c r="K2183" s="1"/>
      <c r="L2183" s="12">
        <f t="shared" si="326"/>
        <v>16498.63805</v>
      </c>
      <c r="M2183" s="12"/>
      <c r="N2183" s="15"/>
      <c r="O2183" s="1"/>
      <c r="Q2183" s="12"/>
      <c r="R2183" s="1"/>
    </row>
    <row r="2184" ht="12.75" hidden="1" customHeight="1" outlineLevel="1">
      <c r="A2184" s="122">
        <f t="shared" si="327"/>
        <v>43457</v>
      </c>
      <c r="B2184" s="120">
        <v>720300.0</v>
      </c>
      <c r="C2184" s="19">
        <f t="shared" si="324"/>
        <v>0</v>
      </c>
      <c r="D2184" s="19">
        <f t="shared" si="325"/>
        <v>-0.1189413949</v>
      </c>
      <c r="E2184" s="12"/>
      <c r="F2184" s="7"/>
      <c r="G2184" s="7"/>
      <c r="H2184" s="1"/>
      <c r="I2184" s="1"/>
      <c r="J2184" s="1"/>
      <c r="K2184" s="1"/>
      <c r="L2184" s="12">
        <f t="shared" si="326"/>
        <v>16498.63805</v>
      </c>
      <c r="M2184" s="12"/>
      <c r="N2184" s="15"/>
      <c r="O2184" s="1"/>
      <c r="Q2184" s="12"/>
      <c r="R2184" s="1"/>
    </row>
    <row r="2185" ht="12.75" hidden="1" customHeight="1" outlineLevel="1">
      <c r="A2185" s="122">
        <f t="shared" si="327"/>
        <v>43458</v>
      </c>
      <c r="B2185" s="120">
        <v>704900.0</v>
      </c>
      <c r="C2185" s="19">
        <f t="shared" si="324"/>
        <v>-0.02137998056</v>
      </c>
      <c r="D2185" s="19">
        <f t="shared" si="325"/>
        <v>-0.1377784108</v>
      </c>
      <c r="E2185" s="12"/>
      <c r="F2185" s="7"/>
      <c r="G2185" s="7"/>
      <c r="H2185" s="1"/>
      <c r="I2185" s="1"/>
      <c r="J2185" s="1"/>
      <c r="K2185" s="1"/>
      <c r="L2185" s="12">
        <f t="shared" si="326"/>
        <v>16145.89749</v>
      </c>
      <c r="M2185" s="12"/>
      <c r="N2185" s="15"/>
      <c r="O2185" s="1"/>
      <c r="Q2185" s="12"/>
      <c r="R2185" s="1"/>
    </row>
    <row r="2186" ht="12.75" hidden="1" customHeight="1" outlineLevel="1">
      <c r="A2186" s="122">
        <f t="shared" si="327"/>
        <v>43459</v>
      </c>
      <c r="B2186" s="120">
        <v>704900.0</v>
      </c>
      <c r="C2186" s="19">
        <f t="shared" si="324"/>
        <v>0</v>
      </c>
      <c r="D2186" s="19">
        <f t="shared" si="325"/>
        <v>-0.1377784108</v>
      </c>
      <c r="E2186" s="12"/>
      <c r="F2186" s="7"/>
      <c r="G2186" s="7"/>
      <c r="H2186" s="1"/>
      <c r="I2186" s="1"/>
      <c r="J2186" s="1"/>
      <c r="K2186" s="1"/>
      <c r="L2186" s="12">
        <f t="shared" si="326"/>
        <v>16145.89749</v>
      </c>
      <c r="M2186" s="12"/>
      <c r="N2186" s="15"/>
      <c r="O2186" s="1"/>
      <c r="Q2186" s="12"/>
      <c r="R2186" s="1"/>
    </row>
    <row r="2187" ht="12.75" hidden="1" customHeight="1" outlineLevel="1">
      <c r="A2187" s="122">
        <f t="shared" si="327"/>
        <v>43460</v>
      </c>
      <c r="B2187" s="120">
        <v>745000.0</v>
      </c>
      <c r="C2187" s="19">
        <f t="shared" si="324"/>
        <v>0.05688750177</v>
      </c>
      <c r="D2187" s="19">
        <f t="shared" si="325"/>
        <v>-0.0887287786</v>
      </c>
      <c r="E2187" s="12"/>
      <c r="F2187" s="7"/>
      <c r="G2187" s="7"/>
      <c r="H2187" s="1"/>
      <c r="I2187" s="1"/>
      <c r="J2187" s="1"/>
      <c r="K2187" s="1"/>
      <c r="L2187" s="12">
        <f t="shared" si="326"/>
        <v>17064.39727</v>
      </c>
      <c r="M2187" s="12"/>
      <c r="N2187" s="15"/>
      <c r="O2187" s="1"/>
      <c r="Q2187" s="12"/>
      <c r="R2187" s="1"/>
    </row>
    <row r="2188" ht="12.75" hidden="1" customHeight="1" outlineLevel="1">
      <c r="A2188" s="122">
        <f t="shared" si="327"/>
        <v>43461</v>
      </c>
      <c r="B2188" s="120">
        <v>749579.77</v>
      </c>
      <c r="C2188" s="19">
        <f t="shared" si="324"/>
        <v>0.006147342282</v>
      </c>
      <c r="D2188" s="19">
        <f t="shared" si="325"/>
        <v>-0.08312688249</v>
      </c>
      <c r="E2188" s="12"/>
      <c r="F2188" s="7"/>
      <c r="G2188" s="7"/>
      <c r="H2188" s="1"/>
      <c r="I2188" s="1"/>
      <c r="J2188" s="1"/>
      <c r="K2188" s="1"/>
      <c r="L2188" s="12">
        <f t="shared" si="326"/>
        <v>17169.29796</v>
      </c>
      <c r="M2188" s="12"/>
      <c r="N2188" s="15"/>
      <c r="O2188" s="1"/>
      <c r="Q2188" s="12"/>
      <c r="R2188" s="1"/>
    </row>
    <row r="2189" ht="12.75" hidden="1" customHeight="1" outlineLevel="1">
      <c r="A2189" s="122">
        <f t="shared" si="327"/>
        <v>43462</v>
      </c>
      <c r="B2189" s="120">
        <v>748600.0</v>
      </c>
      <c r="C2189" s="19">
        <f t="shared" si="324"/>
        <v>-0.001307092373</v>
      </c>
      <c r="D2189" s="19">
        <f t="shared" si="325"/>
        <v>-0.08432532035</v>
      </c>
      <c r="E2189" s="12"/>
      <c r="F2189" s="7"/>
      <c r="G2189" s="7"/>
      <c r="H2189" s="1"/>
      <c r="I2189" s="1"/>
      <c r="J2189" s="1"/>
      <c r="K2189" s="1"/>
      <c r="L2189" s="12">
        <f t="shared" si="326"/>
        <v>17146.8561</v>
      </c>
      <c r="M2189" s="12"/>
      <c r="N2189" s="15"/>
      <c r="O2189" s="1"/>
      <c r="Q2189" s="12"/>
      <c r="R2189" s="1"/>
    </row>
    <row r="2190" ht="12.75" hidden="1" customHeight="1" outlineLevel="1">
      <c r="A2190" s="122">
        <f t="shared" si="327"/>
        <v>43463</v>
      </c>
      <c r="B2190" s="120">
        <v>748600.0</v>
      </c>
      <c r="C2190" s="19">
        <f t="shared" si="324"/>
        <v>0</v>
      </c>
      <c r="D2190" s="19">
        <f t="shared" si="325"/>
        <v>-0.08432532035</v>
      </c>
      <c r="E2190" s="12"/>
      <c r="F2190" s="7"/>
      <c r="G2190" s="7"/>
      <c r="H2190" s="1"/>
      <c r="I2190" s="1"/>
      <c r="J2190" s="1"/>
      <c r="K2190" s="1"/>
      <c r="L2190" s="12">
        <f t="shared" si="326"/>
        <v>17146.8561</v>
      </c>
      <c r="M2190" s="12"/>
      <c r="N2190" s="15"/>
      <c r="O2190" s="1"/>
      <c r="Q2190" s="12"/>
      <c r="R2190" s="1"/>
    </row>
    <row r="2191" ht="12.75" hidden="1" customHeight="1" outlineLevel="1">
      <c r="A2191" s="122">
        <f t="shared" si="327"/>
        <v>43464</v>
      </c>
      <c r="B2191" s="120">
        <v>748600.0</v>
      </c>
      <c r="C2191" s="19">
        <f t="shared" si="324"/>
        <v>0</v>
      </c>
      <c r="D2191" s="19">
        <f t="shared" si="325"/>
        <v>-0.08432532035</v>
      </c>
      <c r="E2191" s="12"/>
      <c r="F2191" s="7"/>
      <c r="G2191" s="7"/>
      <c r="H2191" s="1"/>
      <c r="I2191" s="1"/>
      <c r="J2191" s="1"/>
      <c r="K2191" s="1"/>
      <c r="L2191" s="12">
        <f t="shared" si="326"/>
        <v>17146.8561</v>
      </c>
      <c r="M2191" s="12"/>
      <c r="N2191" s="15"/>
      <c r="O2191" s="1"/>
      <c r="Q2191" s="12"/>
      <c r="R2191" s="1"/>
    </row>
    <row r="2192" ht="12.75" hidden="1" customHeight="1" outlineLevel="1">
      <c r="A2192" s="122">
        <f t="shared" si="327"/>
        <v>43465</v>
      </c>
      <c r="B2192" s="120">
        <v>752984.01</v>
      </c>
      <c r="C2192" s="19">
        <f t="shared" si="324"/>
        <v>0.005856278386</v>
      </c>
      <c r="D2192" s="19">
        <f t="shared" si="325"/>
        <v>-0.07896287452</v>
      </c>
      <c r="E2192" s="12"/>
      <c r="F2192" s="7"/>
      <c r="G2192" s="7"/>
      <c r="H2192" s="1"/>
      <c r="I2192" s="1"/>
      <c r="J2192" s="1"/>
      <c r="K2192" s="1"/>
      <c r="L2192" s="12">
        <f t="shared" si="326"/>
        <v>17247.27286</v>
      </c>
      <c r="M2192" s="12"/>
      <c r="N2192" s="15"/>
      <c r="O2192" s="1"/>
      <c r="Q2192" s="12"/>
      <c r="R2192" s="1"/>
    </row>
    <row r="2193" ht="12.75" hidden="1" customHeight="1" outlineLevel="1">
      <c r="A2193" s="122"/>
      <c r="B2193" s="12"/>
      <c r="C2193" s="1"/>
      <c r="D2193" s="1"/>
      <c r="E2193" s="12"/>
      <c r="F2193" s="7"/>
      <c r="G2193" s="7"/>
      <c r="H2193" s="1"/>
      <c r="I2193" s="1"/>
      <c r="J2193" s="1"/>
      <c r="K2193" s="1"/>
      <c r="L2193" s="12"/>
      <c r="M2193" s="12"/>
      <c r="N2193" s="15"/>
      <c r="O2193" s="1"/>
      <c r="Q2193" s="12"/>
      <c r="R2193" s="1"/>
    </row>
    <row r="2194" ht="12.75" hidden="1" customHeight="1" outlineLevel="1">
      <c r="A2194" s="122"/>
      <c r="B2194" s="12">
        <f>B2192+P2194-Q2194</f>
        <v>772984.01</v>
      </c>
      <c r="C2194" s="1"/>
      <c r="D2194" s="1"/>
      <c r="E2194" s="12"/>
      <c r="F2194" s="7"/>
      <c r="G2194" s="7"/>
      <c r="H2194" s="1"/>
      <c r="I2194" s="1"/>
      <c r="J2194" s="1"/>
      <c r="K2194" s="1"/>
      <c r="L2194" s="12"/>
      <c r="M2194" s="12"/>
      <c r="N2194" s="15"/>
      <c r="O2194" s="1"/>
      <c r="P2194" s="286">
        <v>20000.0</v>
      </c>
      <c r="Q2194" s="12"/>
      <c r="R2194" s="1"/>
    </row>
    <row r="2195" ht="12.75" hidden="1" customHeight="1" outlineLevel="1">
      <c r="A2195" s="122">
        <f>A2192+1</f>
        <v>43466</v>
      </c>
      <c r="B2195" s="12">
        <v>772984.01</v>
      </c>
      <c r="C2195" s="19">
        <f t="shared" ref="C2195:C2225" si="328">B2195/B2194-1</f>
        <v>0</v>
      </c>
      <c r="D2195" s="19">
        <f t="shared" ref="D2195:D2225" si="329">(B2195/$B$2194)-1</f>
        <v>0</v>
      </c>
      <c r="E2195" s="12"/>
      <c r="F2195" s="7"/>
      <c r="G2195" s="7"/>
      <c r="H2195" s="1"/>
      <c r="I2195" s="1"/>
      <c r="J2195" s="1"/>
      <c r="K2195" s="1"/>
      <c r="L2195" s="12">
        <f t="shared" ref="L2195:L2225" si="330">IF(C2194="",L2192*(1+C2195),L2194*(1+C2195))</f>
        <v>17247.27286</v>
      </c>
      <c r="M2195" s="12"/>
      <c r="N2195" s="15"/>
      <c r="O2195" s="1"/>
      <c r="Q2195" s="12"/>
      <c r="R2195" s="1"/>
    </row>
    <row r="2196" ht="12.75" hidden="1" customHeight="1" outlineLevel="1">
      <c r="A2196" s="122">
        <f t="shared" ref="A2196:A2225" si="331">A2195+1</f>
        <v>43467</v>
      </c>
      <c r="B2196" s="120">
        <v>775752.04</v>
      </c>
      <c r="C2196" s="19">
        <f t="shared" si="328"/>
        <v>0.003580966701</v>
      </c>
      <c r="D2196" s="19">
        <f t="shared" si="329"/>
        <v>0.003580966701</v>
      </c>
      <c r="E2196" s="12"/>
      <c r="F2196" s="7"/>
      <c r="G2196" s="7"/>
      <c r="H2196" s="1"/>
      <c r="I2196" s="1"/>
      <c r="J2196" s="1"/>
      <c r="K2196" s="1"/>
      <c r="L2196" s="12">
        <f t="shared" si="330"/>
        <v>17309.03477</v>
      </c>
      <c r="M2196" s="12"/>
      <c r="N2196" s="15"/>
      <c r="O2196" s="1"/>
      <c r="Q2196" s="12"/>
      <c r="R2196" s="1"/>
    </row>
    <row r="2197" ht="12.75" hidden="1" customHeight="1" outlineLevel="1">
      <c r="A2197" s="122">
        <f t="shared" si="331"/>
        <v>43468</v>
      </c>
      <c r="B2197" s="120">
        <v>751900.19</v>
      </c>
      <c r="C2197" s="19">
        <f t="shared" si="328"/>
        <v>-0.0307467448</v>
      </c>
      <c r="D2197" s="19">
        <f t="shared" si="329"/>
        <v>-0.02727588117</v>
      </c>
      <c r="E2197" s="12"/>
      <c r="F2197" s="7"/>
      <c r="G2197" s="7"/>
      <c r="H2197" s="1"/>
      <c r="I2197" s="1"/>
      <c r="J2197" s="1"/>
      <c r="K2197" s="1"/>
      <c r="L2197" s="12">
        <f t="shared" si="330"/>
        <v>16776.8383</v>
      </c>
      <c r="M2197" s="12"/>
      <c r="N2197" s="15"/>
      <c r="O2197" s="1"/>
      <c r="Q2197" s="12"/>
      <c r="R2197" s="1"/>
    </row>
    <row r="2198" ht="12.75" hidden="1" customHeight="1" outlineLevel="1">
      <c r="A2198" s="122">
        <f t="shared" si="331"/>
        <v>43469</v>
      </c>
      <c r="B2198" s="120">
        <v>778164.6700000002</v>
      </c>
      <c r="C2198" s="19">
        <f t="shared" si="328"/>
        <v>0.03493080644</v>
      </c>
      <c r="D2198" s="19">
        <f t="shared" si="329"/>
        <v>0.00670215675</v>
      </c>
      <c r="E2198" s="12"/>
      <c r="F2198" s="7"/>
      <c r="G2198" s="7"/>
      <c r="H2198" s="1"/>
      <c r="I2198" s="1"/>
      <c r="J2198" s="1"/>
      <c r="K2198" s="1"/>
      <c r="L2198" s="12">
        <f t="shared" si="330"/>
        <v>17362.86679</v>
      </c>
      <c r="M2198" s="12"/>
      <c r="N2198" s="15"/>
      <c r="O2198" s="1"/>
      <c r="Q2198" s="12"/>
      <c r="R2198" s="1"/>
    </row>
    <row r="2199" ht="12.75" hidden="1" customHeight="1" outlineLevel="1">
      <c r="A2199" s="122">
        <f t="shared" si="331"/>
        <v>43470</v>
      </c>
      <c r="B2199" s="120">
        <v>778164.6700000002</v>
      </c>
      <c r="C2199" s="19">
        <f t="shared" si="328"/>
        <v>0</v>
      </c>
      <c r="D2199" s="19">
        <f t="shared" si="329"/>
        <v>0.00670215675</v>
      </c>
      <c r="E2199" s="12"/>
      <c r="F2199" s="7"/>
      <c r="G2199" s="7"/>
      <c r="H2199" s="1"/>
      <c r="I2199" s="1"/>
      <c r="J2199" s="1"/>
      <c r="K2199" s="1"/>
      <c r="L2199" s="12">
        <f t="shared" si="330"/>
        <v>17362.86679</v>
      </c>
      <c r="M2199" s="12"/>
      <c r="N2199" s="15"/>
      <c r="O2199" s="1"/>
      <c r="Q2199" s="12"/>
      <c r="R2199" s="1"/>
    </row>
    <row r="2200" ht="12.75" hidden="1" customHeight="1" outlineLevel="1">
      <c r="A2200" s="122">
        <f t="shared" si="331"/>
        <v>43471</v>
      </c>
      <c r="B2200" s="120">
        <v>778164.6700000002</v>
      </c>
      <c r="C2200" s="19">
        <f t="shared" si="328"/>
        <v>0</v>
      </c>
      <c r="D2200" s="19">
        <f t="shared" si="329"/>
        <v>0.00670215675</v>
      </c>
      <c r="E2200" s="12"/>
      <c r="F2200" s="7"/>
      <c r="G2200" s="7"/>
      <c r="H2200" s="1"/>
      <c r="I2200" s="1"/>
      <c r="J2200" s="1"/>
      <c r="K2200" s="1"/>
      <c r="L2200" s="12">
        <f t="shared" si="330"/>
        <v>17362.86679</v>
      </c>
      <c r="M2200" s="12"/>
      <c r="N2200" s="15"/>
      <c r="O2200" s="1"/>
      <c r="Q2200" s="12"/>
      <c r="R2200" s="1"/>
    </row>
    <row r="2201" ht="12.75" hidden="1" customHeight="1" outlineLevel="1">
      <c r="A2201" s="122">
        <f t="shared" si="331"/>
        <v>43472</v>
      </c>
      <c r="B2201" s="120">
        <v>786496.63</v>
      </c>
      <c r="C2201" s="19">
        <f t="shared" si="328"/>
        <v>0.01070719389</v>
      </c>
      <c r="D2201" s="19">
        <f t="shared" si="329"/>
        <v>0.01748111193</v>
      </c>
      <c r="E2201" s="12"/>
      <c r="F2201" s="7"/>
      <c r="G2201" s="7"/>
      <c r="H2201" s="1"/>
      <c r="I2201" s="1"/>
      <c r="J2201" s="1"/>
      <c r="K2201" s="1"/>
      <c r="L2201" s="12">
        <f t="shared" si="330"/>
        <v>17548.77437</v>
      </c>
      <c r="M2201" s="12"/>
      <c r="N2201" s="15"/>
      <c r="O2201" s="1"/>
      <c r="Q2201" s="12"/>
      <c r="R2201" s="1"/>
    </row>
    <row r="2202" ht="12.75" hidden="1" customHeight="1" outlineLevel="1">
      <c r="A2202" s="122">
        <f t="shared" si="331"/>
        <v>43473</v>
      </c>
      <c r="B2202" s="120">
        <v>790499.7400000001</v>
      </c>
      <c r="C2202" s="19">
        <f t="shared" si="328"/>
        <v>0.005089799304</v>
      </c>
      <c r="D2202" s="19">
        <f t="shared" si="329"/>
        <v>0.02265988659</v>
      </c>
      <c r="E2202" s="12"/>
      <c r="F2202" s="7"/>
      <c r="G2202" s="7"/>
      <c r="H2202" s="1"/>
      <c r="I2202" s="1"/>
      <c r="J2202" s="1"/>
      <c r="K2202" s="1"/>
      <c r="L2202" s="12">
        <f t="shared" si="330"/>
        <v>17638.09411</v>
      </c>
      <c r="M2202" s="12"/>
      <c r="N2202" s="15"/>
      <c r="O2202" s="1"/>
      <c r="Q2202" s="12"/>
      <c r="R2202" s="1"/>
    </row>
    <row r="2203" ht="12.75" hidden="1" customHeight="1" outlineLevel="1">
      <c r="A2203" s="122">
        <f t="shared" si="331"/>
        <v>43474</v>
      </c>
      <c r="B2203" s="120">
        <v>797475.36</v>
      </c>
      <c r="C2203" s="19">
        <f t="shared" si="328"/>
        <v>0.008824316628</v>
      </c>
      <c r="D2203" s="19">
        <f t="shared" si="329"/>
        <v>0.03168416123</v>
      </c>
      <c r="E2203" s="12"/>
      <c r="F2203" s="7"/>
      <c r="G2203" s="7"/>
      <c r="H2203" s="1"/>
      <c r="I2203" s="1"/>
      <c r="J2203" s="1"/>
      <c r="K2203" s="1"/>
      <c r="L2203" s="12">
        <f t="shared" si="330"/>
        <v>17793.73823</v>
      </c>
      <c r="M2203" s="12"/>
      <c r="N2203" s="15"/>
      <c r="O2203" s="1"/>
      <c r="Q2203" s="12"/>
      <c r="R2203" s="1"/>
    </row>
    <row r="2204" ht="12.75" hidden="1" customHeight="1" outlineLevel="1">
      <c r="A2204" s="122">
        <f t="shared" si="331"/>
        <v>43475</v>
      </c>
      <c r="B2204" s="120">
        <v>799568.4600000002</v>
      </c>
      <c r="C2204" s="19">
        <f t="shared" si="328"/>
        <v>0.002624657895</v>
      </c>
      <c r="D2204" s="19">
        <f t="shared" si="329"/>
        <v>0.03439197921</v>
      </c>
      <c r="E2204" s="12"/>
      <c r="F2204" s="7"/>
      <c r="G2204" s="7"/>
      <c r="H2204" s="1"/>
      <c r="I2204" s="1"/>
      <c r="J2204" s="1"/>
      <c r="K2204" s="1"/>
      <c r="L2204" s="12">
        <f t="shared" si="330"/>
        <v>17840.44071</v>
      </c>
      <c r="M2204" s="12"/>
      <c r="N2204" s="15"/>
      <c r="O2204" s="1"/>
      <c r="Q2204" s="12"/>
      <c r="R2204" s="1"/>
    </row>
    <row r="2205" ht="12.75" hidden="1" customHeight="1" outlineLevel="1">
      <c r="A2205" s="122">
        <f t="shared" si="331"/>
        <v>43476</v>
      </c>
      <c r="B2205" s="120">
        <v>800422.43</v>
      </c>
      <c r="C2205" s="19">
        <f t="shared" si="328"/>
        <v>0.001068038627</v>
      </c>
      <c r="D2205" s="19">
        <f t="shared" si="329"/>
        <v>0.0354967498</v>
      </c>
      <c r="E2205" s="12"/>
      <c r="F2205" s="7"/>
      <c r="G2205" s="7"/>
      <c r="H2205" s="1"/>
      <c r="I2205" s="1"/>
      <c r="J2205" s="1"/>
      <c r="K2205" s="1"/>
      <c r="L2205" s="12">
        <f t="shared" si="330"/>
        <v>17859.49499</v>
      </c>
      <c r="M2205" s="12"/>
      <c r="N2205" s="15"/>
      <c r="O2205" s="1"/>
      <c r="Q2205" s="12"/>
      <c r="R2205" s="1"/>
    </row>
    <row r="2206" ht="12.75" hidden="1" customHeight="1" outlineLevel="1">
      <c r="A2206" s="122">
        <f t="shared" si="331"/>
        <v>43477</v>
      </c>
      <c r="B2206" s="120">
        <v>800422.43</v>
      </c>
      <c r="C2206" s="19">
        <f t="shared" si="328"/>
        <v>0</v>
      </c>
      <c r="D2206" s="19">
        <f t="shared" si="329"/>
        <v>0.0354967498</v>
      </c>
      <c r="E2206" s="12"/>
      <c r="F2206" s="7"/>
      <c r="G2206" s="7"/>
      <c r="H2206" s="1"/>
      <c r="I2206" s="1"/>
      <c r="J2206" s="1"/>
      <c r="K2206" s="1"/>
      <c r="L2206" s="12">
        <f t="shared" si="330"/>
        <v>17859.49499</v>
      </c>
      <c r="M2206" s="12"/>
      <c r="N2206" s="15"/>
      <c r="O2206" s="1"/>
      <c r="Q2206" s="12"/>
      <c r="R2206" s="1"/>
    </row>
    <row r="2207" ht="12.75" hidden="1" customHeight="1" outlineLevel="1">
      <c r="A2207" s="122">
        <f t="shared" si="331"/>
        <v>43478</v>
      </c>
      <c r="B2207" s="120">
        <v>800422.43</v>
      </c>
      <c r="C2207" s="19">
        <f t="shared" si="328"/>
        <v>0</v>
      </c>
      <c r="D2207" s="19">
        <f t="shared" si="329"/>
        <v>0.0354967498</v>
      </c>
      <c r="E2207" s="12"/>
      <c r="F2207" s="7"/>
      <c r="G2207" s="7"/>
      <c r="H2207" s="1"/>
      <c r="I2207" s="1"/>
      <c r="J2207" s="1"/>
      <c r="K2207" s="1"/>
      <c r="L2207" s="12">
        <f t="shared" si="330"/>
        <v>17859.49499</v>
      </c>
      <c r="M2207" s="12"/>
      <c r="N2207" s="15"/>
      <c r="O2207" s="1"/>
      <c r="Q2207" s="12"/>
      <c r="R2207" s="1"/>
    </row>
    <row r="2208" ht="12.75" hidden="1" customHeight="1" outlineLevel="1">
      <c r="A2208" s="122">
        <f t="shared" si="331"/>
        <v>43479</v>
      </c>
      <c r="B2208" s="120">
        <v>795200.0</v>
      </c>
      <c r="C2208" s="19">
        <f t="shared" si="328"/>
        <v>-0.006524592271</v>
      </c>
      <c r="D2208" s="19">
        <f t="shared" si="329"/>
        <v>0.02874055571</v>
      </c>
      <c r="E2208" s="12"/>
      <c r="F2208" s="7"/>
      <c r="G2208" s="7"/>
      <c r="H2208" s="1"/>
      <c r="I2208" s="1"/>
      <c r="J2208" s="1"/>
      <c r="K2208" s="1"/>
      <c r="L2208" s="12">
        <f t="shared" si="330"/>
        <v>17742.96907</v>
      </c>
      <c r="M2208" s="12"/>
      <c r="N2208" s="15"/>
      <c r="O2208" s="1"/>
      <c r="Q2208" s="12"/>
      <c r="R2208" s="1"/>
    </row>
    <row r="2209" ht="12.75" hidden="1" customHeight="1" outlineLevel="1">
      <c r="A2209" s="122">
        <f t="shared" si="331"/>
        <v>43480</v>
      </c>
      <c r="B2209" s="120">
        <v>805000.0</v>
      </c>
      <c r="C2209" s="19">
        <f t="shared" si="328"/>
        <v>0.01232394366</v>
      </c>
      <c r="D2209" s="19">
        <f t="shared" si="329"/>
        <v>0.04141869636</v>
      </c>
      <c r="E2209" s="12"/>
      <c r="F2209" s="7"/>
      <c r="G2209" s="7"/>
      <c r="H2209" s="1"/>
      <c r="I2209" s="1"/>
      <c r="J2209" s="1"/>
      <c r="K2209" s="1"/>
      <c r="L2209" s="12">
        <f t="shared" si="330"/>
        <v>17961.63242</v>
      </c>
      <c r="M2209" s="12"/>
      <c r="N2209" s="15"/>
      <c r="O2209" s="1"/>
      <c r="Q2209" s="12"/>
      <c r="R2209" s="1"/>
    </row>
    <row r="2210" ht="12.75" hidden="1" customHeight="1" outlineLevel="1">
      <c r="A2210" s="122">
        <f t="shared" si="331"/>
        <v>43481</v>
      </c>
      <c r="B2210" s="120">
        <v>804401.3400000001</v>
      </c>
      <c r="C2210" s="19">
        <f t="shared" si="328"/>
        <v>-0.0007436770186</v>
      </c>
      <c r="D2210" s="19">
        <f t="shared" si="329"/>
        <v>0.04064421721</v>
      </c>
      <c r="E2210" s="12"/>
      <c r="F2210" s="7"/>
      <c r="G2210" s="7"/>
      <c r="H2210" s="1"/>
      <c r="I2210" s="1"/>
      <c r="J2210" s="1"/>
      <c r="K2210" s="1"/>
      <c r="L2210" s="12">
        <f t="shared" si="330"/>
        <v>17948.27477</v>
      </c>
      <c r="M2210" s="12"/>
      <c r="N2210" s="15"/>
      <c r="O2210" s="1"/>
      <c r="Q2210" s="12"/>
      <c r="R2210" s="1"/>
    </row>
    <row r="2211" ht="12.75" hidden="1" customHeight="1" outlineLevel="1">
      <c r="A2211" s="122">
        <f t="shared" si="331"/>
        <v>43482</v>
      </c>
      <c r="B2211" s="120">
        <v>804401.3400000001</v>
      </c>
      <c r="C2211" s="19">
        <f t="shared" si="328"/>
        <v>0</v>
      </c>
      <c r="D2211" s="19">
        <f t="shared" si="329"/>
        <v>0.04064421721</v>
      </c>
      <c r="E2211" s="12"/>
      <c r="F2211" s="7"/>
      <c r="G2211" s="7"/>
      <c r="H2211" s="1"/>
      <c r="I2211" s="1"/>
      <c r="J2211" s="1"/>
      <c r="K2211" s="1"/>
      <c r="L2211" s="12">
        <f t="shared" si="330"/>
        <v>17948.27477</v>
      </c>
      <c r="M2211" s="12"/>
      <c r="N2211" s="15"/>
      <c r="O2211" s="1"/>
      <c r="Q2211" s="12"/>
      <c r="R2211" s="1"/>
    </row>
    <row r="2212" ht="12.75" hidden="1" customHeight="1" outlineLevel="1">
      <c r="A2212" s="122">
        <f t="shared" si="331"/>
        <v>43483</v>
      </c>
      <c r="B2212" s="120">
        <v>815864.5499999999</v>
      </c>
      <c r="C2212" s="19">
        <f t="shared" si="328"/>
        <v>0.01425061027</v>
      </c>
      <c r="D2212" s="19">
        <f t="shared" si="329"/>
        <v>0.05547403238</v>
      </c>
      <c r="E2212" s="12"/>
      <c r="F2212" s="7"/>
      <c r="G2212" s="7"/>
      <c r="H2212" s="1"/>
      <c r="I2212" s="1"/>
      <c r="J2212" s="1"/>
      <c r="K2212" s="1"/>
      <c r="L2212" s="12">
        <f t="shared" si="330"/>
        <v>18204.04863</v>
      </c>
      <c r="M2212" s="12"/>
      <c r="N2212" s="15"/>
      <c r="O2212" s="1"/>
      <c r="Q2212" s="12"/>
      <c r="R2212" s="1"/>
    </row>
    <row r="2213" ht="12.75" hidden="1" customHeight="1" outlineLevel="1">
      <c r="A2213" s="122">
        <f t="shared" si="331"/>
        <v>43484</v>
      </c>
      <c r="B2213" s="120">
        <v>815864.5499999999</v>
      </c>
      <c r="C2213" s="19">
        <f t="shared" si="328"/>
        <v>0</v>
      </c>
      <c r="D2213" s="19">
        <f t="shared" si="329"/>
        <v>0.05547403238</v>
      </c>
      <c r="E2213" s="12"/>
      <c r="F2213" s="7"/>
      <c r="G2213" s="7"/>
      <c r="H2213" s="1"/>
      <c r="I2213" s="1"/>
      <c r="J2213" s="1"/>
      <c r="K2213" s="1"/>
      <c r="L2213" s="12">
        <f t="shared" si="330"/>
        <v>18204.04863</v>
      </c>
      <c r="M2213" s="12"/>
      <c r="N2213" s="15"/>
      <c r="O2213" s="1"/>
      <c r="Q2213" s="12"/>
      <c r="R2213" s="1"/>
    </row>
    <row r="2214" ht="12.75" hidden="1" customHeight="1" outlineLevel="1">
      <c r="A2214" s="122">
        <f t="shared" si="331"/>
        <v>43485</v>
      </c>
      <c r="B2214" s="120">
        <v>815864.5499999999</v>
      </c>
      <c r="C2214" s="19">
        <f t="shared" si="328"/>
        <v>0</v>
      </c>
      <c r="D2214" s="19">
        <f t="shared" si="329"/>
        <v>0.05547403238</v>
      </c>
      <c r="E2214" s="12"/>
      <c r="F2214" s="7"/>
      <c r="G2214" s="7"/>
      <c r="H2214" s="1"/>
      <c r="I2214" s="1"/>
      <c r="J2214" s="1"/>
      <c r="K2214" s="1"/>
      <c r="L2214" s="12">
        <f t="shared" si="330"/>
        <v>18204.04863</v>
      </c>
      <c r="M2214" s="12"/>
      <c r="N2214" s="15"/>
      <c r="O2214" s="1"/>
      <c r="Q2214" s="12"/>
      <c r="R2214" s="1"/>
    </row>
    <row r="2215" ht="12.75" hidden="1" customHeight="1" outlineLevel="1">
      <c r="A2215" s="122">
        <f t="shared" si="331"/>
        <v>43486</v>
      </c>
      <c r="B2215" s="120">
        <v>815864.5499999999</v>
      </c>
      <c r="C2215" s="19">
        <f t="shared" si="328"/>
        <v>0</v>
      </c>
      <c r="D2215" s="19">
        <f t="shared" si="329"/>
        <v>0.05547403238</v>
      </c>
      <c r="E2215" s="12"/>
      <c r="F2215" s="7"/>
      <c r="G2215" s="7"/>
      <c r="H2215" s="1"/>
      <c r="I2215" s="1"/>
      <c r="J2215" s="1"/>
      <c r="K2215" s="1"/>
      <c r="L2215" s="12">
        <f t="shared" si="330"/>
        <v>18204.04863</v>
      </c>
      <c r="M2215" s="12"/>
      <c r="N2215" s="15"/>
      <c r="O2215" s="1"/>
      <c r="Q2215" s="12"/>
      <c r="R2215" s="1"/>
    </row>
    <row r="2216" ht="12.75" hidden="1" customHeight="1" outlineLevel="1">
      <c r="A2216" s="122">
        <f t="shared" si="331"/>
        <v>43487</v>
      </c>
      <c r="B2216" s="120">
        <v>801000.0</v>
      </c>
      <c r="C2216" s="19">
        <f t="shared" si="328"/>
        <v>-0.01821938458</v>
      </c>
      <c r="D2216" s="19">
        <f t="shared" si="329"/>
        <v>0.03624394507</v>
      </c>
      <c r="E2216" s="12"/>
      <c r="F2216" s="7"/>
      <c r="G2216" s="7"/>
      <c r="H2216" s="1"/>
      <c r="I2216" s="1"/>
      <c r="J2216" s="1"/>
      <c r="K2216" s="1"/>
      <c r="L2216" s="12">
        <f t="shared" si="330"/>
        <v>17872.38207</v>
      </c>
      <c r="M2216" s="12"/>
      <c r="N2216" s="15"/>
      <c r="O2216" s="1"/>
      <c r="Q2216" s="12"/>
      <c r="R2216" s="1"/>
    </row>
    <row r="2217" ht="12.75" hidden="1" customHeight="1" outlineLevel="1">
      <c r="A2217" s="122">
        <f t="shared" si="331"/>
        <v>43488</v>
      </c>
      <c r="B2217" s="120">
        <v>802042.1100000001</v>
      </c>
      <c r="C2217" s="19">
        <f t="shared" si="328"/>
        <v>0.001301011236</v>
      </c>
      <c r="D2217" s="19">
        <f t="shared" si="329"/>
        <v>0.03759211009</v>
      </c>
      <c r="E2217" s="12"/>
      <c r="F2217" s="7"/>
      <c r="G2217" s="7"/>
      <c r="H2217" s="1"/>
      <c r="I2217" s="1"/>
      <c r="J2217" s="1"/>
      <c r="K2217" s="1"/>
      <c r="L2217" s="12">
        <f t="shared" si="330"/>
        <v>17895.63424</v>
      </c>
      <c r="M2217" s="12"/>
      <c r="N2217" s="15"/>
      <c r="O2217" s="1"/>
      <c r="Q2217" s="12"/>
      <c r="R2217" s="1"/>
    </row>
    <row r="2218" ht="12.75" hidden="1" customHeight="1" outlineLevel="1">
      <c r="A2218" s="122">
        <f t="shared" si="331"/>
        <v>43489</v>
      </c>
      <c r="B2218" s="120">
        <v>802042.1100000001</v>
      </c>
      <c r="C2218" s="19">
        <f t="shared" si="328"/>
        <v>0</v>
      </c>
      <c r="D2218" s="19">
        <f t="shared" si="329"/>
        <v>0.03759211009</v>
      </c>
      <c r="E2218" s="12"/>
      <c r="F2218" s="7"/>
      <c r="G2218" s="7"/>
      <c r="H2218" s="1"/>
      <c r="I2218" s="1"/>
      <c r="J2218" s="1"/>
      <c r="K2218" s="1"/>
      <c r="L2218" s="12">
        <f t="shared" si="330"/>
        <v>17895.63424</v>
      </c>
      <c r="M2218" s="12"/>
      <c r="N2218" s="15"/>
      <c r="O2218" s="1"/>
      <c r="Q2218" s="12"/>
      <c r="R2218" s="1"/>
    </row>
    <row r="2219" ht="12.75" hidden="1" customHeight="1" outlineLevel="1">
      <c r="A2219" s="122">
        <f t="shared" si="331"/>
        <v>43490</v>
      </c>
      <c r="B2219" s="120">
        <v>812300.0</v>
      </c>
      <c r="C2219" s="19">
        <f t="shared" si="328"/>
        <v>0.01278971499</v>
      </c>
      <c r="D2219" s="19">
        <f t="shared" si="329"/>
        <v>0.05086261746</v>
      </c>
      <c r="E2219" s="12"/>
      <c r="F2219" s="7"/>
      <c r="G2219" s="7"/>
      <c r="H2219" s="1"/>
      <c r="I2219" s="1"/>
      <c r="J2219" s="1"/>
      <c r="K2219" s="1"/>
      <c r="L2219" s="12">
        <f t="shared" si="330"/>
        <v>18124.5143</v>
      </c>
      <c r="M2219" s="12"/>
      <c r="N2219" s="15"/>
      <c r="O2219" s="1"/>
      <c r="Q2219" s="12"/>
      <c r="R2219" s="1"/>
    </row>
    <row r="2220" ht="12.75" hidden="1" customHeight="1" outlineLevel="1">
      <c r="A2220" s="122">
        <f t="shared" si="331"/>
        <v>43491</v>
      </c>
      <c r="B2220" s="120">
        <v>812300.0</v>
      </c>
      <c r="C2220" s="19">
        <f t="shared" si="328"/>
        <v>0</v>
      </c>
      <c r="D2220" s="19">
        <f t="shared" si="329"/>
        <v>0.05086261746</v>
      </c>
      <c r="E2220" s="12"/>
      <c r="F2220" s="7"/>
      <c r="G2220" s="7"/>
      <c r="H2220" s="1"/>
      <c r="I2220" s="1"/>
      <c r="J2220" s="1"/>
      <c r="K2220" s="1"/>
      <c r="L2220" s="12">
        <f t="shared" si="330"/>
        <v>18124.5143</v>
      </c>
      <c r="M2220" s="12"/>
      <c r="N2220" s="15"/>
      <c r="O2220" s="1"/>
      <c r="Q2220" s="12"/>
      <c r="R2220" s="1"/>
    </row>
    <row r="2221" ht="12.75" hidden="1" customHeight="1" outlineLevel="1">
      <c r="A2221" s="122">
        <f t="shared" si="331"/>
        <v>43492</v>
      </c>
      <c r="B2221" s="120">
        <v>812300.0</v>
      </c>
      <c r="C2221" s="19">
        <f t="shared" si="328"/>
        <v>0</v>
      </c>
      <c r="D2221" s="19">
        <f t="shared" si="329"/>
        <v>0.05086261746</v>
      </c>
      <c r="E2221" s="12"/>
      <c r="F2221" s="7"/>
      <c r="G2221" s="7"/>
      <c r="H2221" s="1"/>
      <c r="I2221" s="1"/>
      <c r="J2221" s="1"/>
      <c r="K2221" s="1"/>
      <c r="L2221" s="12">
        <f t="shared" si="330"/>
        <v>18124.5143</v>
      </c>
      <c r="M2221" s="12"/>
      <c r="N2221" s="15"/>
      <c r="O2221" s="1"/>
      <c r="Q2221" s="12"/>
      <c r="R2221" s="1"/>
    </row>
    <row r="2222" ht="12.75" hidden="1" customHeight="1" outlineLevel="1">
      <c r="A2222" s="122">
        <f t="shared" si="331"/>
        <v>43493</v>
      </c>
      <c r="B2222" s="120">
        <v>806883.19</v>
      </c>
      <c r="C2222" s="19">
        <f t="shared" si="328"/>
        <v>-0.00666848455</v>
      </c>
      <c r="D2222" s="19">
        <f t="shared" si="329"/>
        <v>0.04385495633</v>
      </c>
      <c r="E2222" s="12"/>
      <c r="F2222" s="7"/>
      <c r="G2222" s="7"/>
      <c r="H2222" s="1"/>
      <c r="I2222" s="1"/>
      <c r="J2222" s="1"/>
      <c r="K2222" s="1"/>
      <c r="L2222" s="12">
        <f t="shared" si="330"/>
        <v>18003.65126</v>
      </c>
      <c r="M2222" s="12"/>
      <c r="N2222" s="15"/>
      <c r="O2222" s="1"/>
      <c r="Q2222" s="12"/>
      <c r="R2222" s="1"/>
    </row>
    <row r="2223" ht="12.75" hidden="1" customHeight="1" outlineLevel="1">
      <c r="A2223" s="122">
        <f t="shared" si="331"/>
        <v>43494</v>
      </c>
      <c r="B2223" s="120">
        <v>806883.19</v>
      </c>
      <c r="C2223" s="19">
        <f t="shared" si="328"/>
        <v>0</v>
      </c>
      <c r="D2223" s="19">
        <f t="shared" si="329"/>
        <v>0.04385495633</v>
      </c>
      <c r="E2223" s="12"/>
      <c r="F2223" s="7"/>
      <c r="G2223" s="7"/>
      <c r="H2223" s="1"/>
      <c r="I2223" s="1"/>
      <c r="J2223" s="1"/>
      <c r="K2223" s="1"/>
      <c r="L2223" s="12">
        <f t="shared" si="330"/>
        <v>18003.65126</v>
      </c>
      <c r="M2223" s="12"/>
      <c r="N2223" s="15"/>
      <c r="O2223" s="1"/>
      <c r="Q2223" s="12"/>
      <c r="R2223" s="1"/>
    </row>
    <row r="2224" ht="12.75" hidden="1" customHeight="1" outlineLevel="1">
      <c r="A2224" s="122">
        <f t="shared" si="331"/>
        <v>43495</v>
      </c>
      <c r="B2224" s="120">
        <v>823429.3900000001</v>
      </c>
      <c r="C2224" s="19">
        <f t="shared" si="328"/>
        <v>0.02050631393</v>
      </c>
      <c r="D2224" s="19">
        <f t="shared" si="329"/>
        <v>0.06526057376</v>
      </c>
      <c r="E2224" s="12"/>
      <c r="F2224" s="7"/>
      <c r="G2224" s="7"/>
      <c r="H2224" s="1"/>
      <c r="I2224" s="1"/>
      <c r="J2224" s="1"/>
      <c r="K2224" s="1"/>
      <c r="L2224" s="12">
        <f t="shared" si="330"/>
        <v>18372.83978</v>
      </c>
      <c r="M2224" s="12"/>
      <c r="N2224" s="15"/>
      <c r="O2224" s="1"/>
      <c r="Q2224" s="12"/>
      <c r="R2224" s="1"/>
    </row>
    <row r="2225" ht="12.75" hidden="1" customHeight="1" outlineLevel="1">
      <c r="A2225" s="122">
        <f t="shared" si="331"/>
        <v>43496</v>
      </c>
      <c r="B2225" s="120">
        <v>832910.3</v>
      </c>
      <c r="C2225" s="19">
        <f t="shared" si="328"/>
        <v>0.011513932</v>
      </c>
      <c r="D2225" s="19">
        <f t="shared" si="329"/>
        <v>0.07752591156</v>
      </c>
      <c r="E2225" s="12"/>
      <c r="F2225" s="7"/>
      <c r="G2225" s="7"/>
      <c r="H2225" s="1"/>
      <c r="I2225" s="1"/>
      <c r="J2225" s="1"/>
      <c r="K2225" s="1"/>
      <c r="L2225" s="12">
        <f t="shared" si="330"/>
        <v>18584.38341</v>
      </c>
      <c r="M2225" s="12"/>
      <c r="N2225" s="15"/>
      <c r="O2225" s="1"/>
      <c r="Q2225" s="12"/>
      <c r="R2225" s="1"/>
    </row>
    <row r="2226" ht="12.75" hidden="1" customHeight="1" outlineLevel="1">
      <c r="A2226" s="122"/>
      <c r="B2226" s="12"/>
      <c r="C2226" s="1"/>
      <c r="D2226" s="1"/>
      <c r="E2226" s="12"/>
      <c r="F2226" s="7"/>
      <c r="G2226" s="7"/>
      <c r="H2226" s="1"/>
      <c r="I2226" s="1"/>
      <c r="J2226" s="1"/>
      <c r="K2226" s="1"/>
      <c r="L2226" s="12"/>
      <c r="M2226" s="12"/>
      <c r="N2226" s="15"/>
      <c r="O2226" s="1"/>
      <c r="Q2226" s="12"/>
      <c r="R2226" s="1"/>
    </row>
    <row r="2227" ht="12.75" hidden="1" customHeight="1" outlineLevel="1">
      <c r="A2227" s="122"/>
      <c r="B2227" s="12">
        <f>B2225+P2227-Q2227</f>
        <v>823133.87</v>
      </c>
      <c r="C2227" s="1"/>
      <c r="D2227" s="1"/>
      <c r="E2227" s="12"/>
      <c r="F2227" s="7"/>
      <c r="G2227" s="7"/>
      <c r="H2227" s="1"/>
      <c r="I2227" s="1"/>
      <c r="J2227" s="1"/>
      <c r="K2227" s="1"/>
      <c r="L2227" s="12"/>
      <c r="M2227" s="12"/>
      <c r="N2227" s="15"/>
      <c r="O2227" s="1"/>
      <c r="Q2227" s="120">
        <v>9776.43</v>
      </c>
      <c r="R2227" s="1"/>
    </row>
    <row r="2228" ht="12.75" hidden="1" customHeight="1" outlineLevel="1">
      <c r="A2228" s="122">
        <f>A2225+1</f>
        <v>43497</v>
      </c>
      <c r="B2228" s="12">
        <v>823133.87</v>
      </c>
      <c r="C2228" s="19">
        <f t="shared" ref="C2228:C2255" si="332">B2228/B2227-1</f>
        <v>0</v>
      </c>
      <c r="D2228" s="19">
        <f t="shared" ref="D2228:D2255" si="333">(B2228/$B$2227)-1</f>
        <v>0</v>
      </c>
      <c r="E2228" s="12"/>
      <c r="F2228" s="7"/>
      <c r="G2228" s="7"/>
      <c r="H2228" s="1"/>
      <c r="I2228" s="1"/>
      <c r="J2228" s="1"/>
      <c r="K2228" s="1"/>
      <c r="L2228" s="12">
        <f t="shared" ref="L2228:L2255" si="334">IF(C2227="",L2225*(1+C2228),L2227*(1+C2228))</f>
        <v>18584.38341</v>
      </c>
      <c r="M2228" s="12"/>
      <c r="N2228" s="15"/>
      <c r="O2228" s="1"/>
      <c r="Q2228" s="12"/>
      <c r="R2228" s="1"/>
    </row>
    <row r="2229" ht="12.75" hidden="1" customHeight="1" outlineLevel="1">
      <c r="A2229" s="122">
        <f t="shared" ref="A2229:A2255" si="335">A2228+1</f>
        <v>43498</v>
      </c>
      <c r="B2229" s="120">
        <v>819721.14</v>
      </c>
      <c r="C2229" s="19">
        <f t="shared" si="332"/>
        <v>-0.004146020622</v>
      </c>
      <c r="D2229" s="19">
        <f t="shared" si="333"/>
        <v>-0.004146020622</v>
      </c>
      <c r="E2229" s="12"/>
      <c r="F2229" s="7"/>
      <c r="G2229" s="7"/>
      <c r="H2229" s="1"/>
      <c r="I2229" s="1"/>
      <c r="J2229" s="1"/>
      <c r="K2229" s="1"/>
      <c r="L2229" s="12">
        <f t="shared" si="334"/>
        <v>18507.33217</v>
      </c>
      <c r="M2229" s="12"/>
      <c r="N2229" s="15"/>
      <c r="O2229" s="1"/>
      <c r="Q2229" s="12"/>
      <c r="R2229" s="1"/>
    </row>
    <row r="2230" ht="12.75" hidden="1" customHeight="1" outlineLevel="1">
      <c r="A2230" s="122">
        <f t="shared" si="335"/>
        <v>43499</v>
      </c>
      <c r="B2230" s="120">
        <v>819721.14</v>
      </c>
      <c r="C2230" s="19">
        <f t="shared" si="332"/>
        <v>0</v>
      </c>
      <c r="D2230" s="19">
        <f t="shared" si="333"/>
        <v>-0.004146020622</v>
      </c>
      <c r="E2230" s="12"/>
      <c r="F2230" s="7"/>
      <c r="G2230" s="7"/>
      <c r="H2230" s="1"/>
      <c r="I2230" s="1"/>
      <c r="J2230" s="1"/>
      <c r="K2230" s="1"/>
      <c r="L2230" s="12">
        <f t="shared" si="334"/>
        <v>18507.33217</v>
      </c>
      <c r="M2230" s="12"/>
      <c r="N2230" s="15"/>
      <c r="O2230" s="1"/>
      <c r="Q2230" s="12"/>
      <c r="R2230" s="1"/>
    </row>
    <row r="2231" ht="12.75" hidden="1" customHeight="1" outlineLevel="1">
      <c r="A2231" s="122">
        <f t="shared" si="335"/>
        <v>43500</v>
      </c>
      <c r="B2231" s="120">
        <v>825100.0</v>
      </c>
      <c r="C2231" s="19">
        <f t="shared" si="332"/>
        <v>0.006561816864</v>
      </c>
      <c r="D2231" s="19">
        <f t="shared" si="333"/>
        <v>0.002388590813</v>
      </c>
      <c r="E2231" s="12"/>
      <c r="F2231" s="7"/>
      <c r="G2231" s="7"/>
      <c r="H2231" s="1"/>
      <c r="I2231" s="1"/>
      <c r="J2231" s="1"/>
      <c r="K2231" s="1"/>
      <c r="L2231" s="12">
        <f t="shared" si="334"/>
        <v>18628.7739</v>
      </c>
      <c r="M2231" s="12"/>
      <c r="N2231" s="15"/>
      <c r="O2231" s="1"/>
      <c r="Q2231" s="12"/>
      <c r="R2231" s="1"/>
    </row>
    <row r="2232" ht="12.75" hidden="1" customHeight="1" outlineLevel="1">
      <c r="A2232" s="122">
        <f t="shared" si="335"/>
        <v>43501</v>
      </c>
      <c r="B2232" s="120">
        <v>834700.0</v>
      </c>
      <c r="C2232" s="19">
        <f t="shared" si="332"/>
        <v>0.01163495334</v>
      </c>
      <c r="D2232" s="19">
        <f t="shared" si="333"/>
        <v>0.01405133529</v>
      </c>
      <c r="E2232" s="12"/>
      <c r="F2232" s="7"/>
      <c r="G2232" s="7"/>
      <c r="H2232" s="1"/>
      <c r="I2232" s="1"/>
      <c r="J2232" s="1"/>
      <c r="K2232" s="1"/>
      <c r="L2232" s="12">
        <f t="shared" si="334"/>
        <v>18845.51881</v>
      </c>
      <c r="M2232" s="12"/>
      <c r="N2232" s="15"/>
      <c r="O2232" s="1"/>
      <c r="Q2232" s="12"/>
      <c r="R2232" s="1"/>
    </row>
    <row r="2233" ht="12.75" hidden="1" customHeight="1" outlineLevel="1">
      <c r="A2233" s="122">
        <f t="shared" si="335"/>
        <v>43502</v>
      </c>
      <c r="B2233" s="120">
        <v>829040.6</v>
      </c>
      <c r="C2233" s="19">
        <f t="shared" si="332"/>
        <v>-0.006780160537</v>
      </c>
      <c r="D2233" s="19">
        <f t="shared" si="333"/>
        <v>0.007175904449</v>
      </c>
      <c r="E2233" s="12"/>
      <c r="F2233" s="7"/>
      <c r="G2233" s="7"/>
      <c r="H2233" s="1"/>
      <c r="I2233" s="1"/>
      <c r="J2233" s="1"/>
      <c r="K2233" s="1"/>
      <c r="L2233" s="12">
        <f t="shared" si="334"/>
        <v>18717.74317</v>
      </c>
      <c r="M2233" s="12"/>
      <c r="N2233" s="15"/>
      <c r="O2233" s="1"/>
      <c r="Q2233" s="12"/>
      <c r="R2233" s="1"/>
    </row>
    <row r="2234" ht="12.75" hidden="1" customHeight="1" outlineLevel="1">
      <c r="A2234" s="122">
        <f t="shared" si="335"/>
        <v>43503</v>
      </c>
      <c r="B2234" s="120">
        <v>822100.0</v>
      </c>
      <c r="C2234" s="19">
        <f t="shared" si="332"/>
        <v>-0.008371845721</v>
      </c>
      <c r="D2234" s="19">
        <f t="shared" si="333"/>
        <v>-0.001256016837</v>
      </c>
      <c r="E2234" s="12"/>
      <c r="F2234" s="7"/>
      <c r="G2234" s="7"/>
      <c r="H2234" s="1"/>
      <c r="I2234" s="1"/>
      <c r="J2234" s="1"/>
      <c r="K2234" s="1"/>
      <c r="L2234" s="12">
        <f t="shared" si="334"/>
        <v>18561.04111</v>
      </c>
      <c r="M2234" s="12"/>
      <c r="N2234" s="15"/>
      <c r="O2234" s="1"/>
      <c r="Q2234" s="12"/>
      <c r="R2234" s="1"/>
    </row>
    <row r="2235" ht="12.75" hidden="1" customHeight="1" outlineLevel="1">
      <c r="A2235" s="122">
        <f t="shared" si="335"/>
        <v>43504</v>
      </c>
      <c r="B2235" s="120">
        <v>820964.75</v>
      </c>
      <c r="C2235" s="19">
        <f t="shared" si="332"/>
        <v>-0.001380914731</v>
      </c>
      <c r="D2235" s="19">
        <f t="shared" si="333"/>
        <v>-0.002635197116</v>
      </c>
      <c r="E2235" s="12"/>
      <c r="F2235" s="7"/>
      <c r="G2235" s="7"/>
      <c r="H2235" s="1"/>
      <c r="I2235" s="1"/>
      <c r="J2235" s="1"/>
      <c r="K2235" s="1"/>
      <c r="L2235" s="12">
        <f t="shared" si="334"/>
        <v>18535.4099</v>
      </c>
      <c r="M2235" s="12"/>
      <c r="N2235" s="15"/>
      <c r="O2235" s="1"/>
      <c r="Q2235" s="12"/>
      <c r="R2235" s="1"/>
    </row>
    <row r="2236" ht="12.75" hidden="1" customHeight="1" outlineLevel="1">
      <c r="A2236" s="122">
        <f t="shared" si="335"/>
        <v>43505</v>
      </c>
      <c r="B2236" s="120">
        <v>820964.75</v>
      </c>
      <c r="C2236" s="19">
        <f t="shared" si="332"/>
        <v>0</v>
      </c>
      <c r="D2236" s="19">
        <f t="shared" si="333"/>
        <v>-0.002635197116</v>
      </c>
      <c r="E2236" s="12"/>
      <c r="F2236" s="7"/>
      <c r="G2236" s="7"/>
      <c r="H2236" s="1"/>
      <c r="I2236" s="1"/>
      <c r="J2236" s="1"/>
      <c r="K2236" s="1"/>
      <c r="L2236" s="12">
        <f t="shared" si="334"/>
        <v>18535.4099</v>
      </c>
      <c r="M2236" s="12"/>
      <c r="N2236" s="15"/>
      <c r="O2236" s="1"/>
      <c r="Q2236" s="12"/>
      <c r="R2236" s="1"/>
    </row>
    <row r="2237" ht="12.75" hidden="1" customHeight="1" outlineLevel="1">
      <c r="A2237" s="122">
        <f t="shared" si="335"/>
        <v>43506</v>
      </c>
      <c r="B2237" s="120">
        <v>820964.75</v>
      </c>
      <c r="C2237" s="19">
        <f t="shared" si="332"/>
        <v>0</v>
      </c>
      <c r="D2237" s="19">
        <f t="shared" si="333"/>
        <v>-0.002635197116</v>
      </c>
      <c r="E2237" s="12"/>
      <c r="F2237" s="7"/>
      <c r="G2237" s="7"/>
      <c r="H2237" s="1"/>
      <c r="I2237" s="1"/>
      <c r="J2237" s="1"/>
      <c r="K2237" s="1"/>
      <c r="L2237" s="12">
        <f t="shared" si="334"/>
        <v>18535.4099</v>
      </c>
      <c r="M2237" s="12"/>
      <c r="N2237" s="15"/>
      <c r="O2237" s="1"/>
      <c r="Q2237" s="12"/>
      <c r="R2237" s="1"/>
    </row>
    <row r="2238" ht="12.75" hidden="1" customHeight="1" outlineLevel="1">
      <c r="A2238" s="122">
        <f t="shared" si="335"/>
        <v>43507</v>
      </c>
      <c r="B2238" s="120">
        <v>823014.85</v>
      </c>
      <c r="C2238" s="19">
        <f t="shared" si="332"/>
        <v>0.002497183953</v>
      </c>
      <c r="D2238" s="19">
        <f t="shared" si="333"/>
        <v>-0.0001445937342</v>
      </c>
      <c r="E2238" s="12"/>
      <c r="F2238" s="7"/>
      <c r="G2238" s="7"/>
      <c r="H2238" s="1"/>
      <c r="I2238" s="1"/>
      <c r="J2238" s="1"/>
      <c r="K2238" s="1"/>
      <c r="L2238" s="12">
        <f t="shared" si="334"/>
        <v>18581.69623</v>
      </c>
      <c r="M2238" s="12"/>
      <c r="N2238" s="15"/>
      <c r="O2238" s="1"/>
      <c r="Q2238" s="12"/>
      <c r="R2238" s="1"/>
    </row>
    <row r="2239" ht="12.75" hidden="1" customHeight="1" outlineLevel="1">
      <c r="A2239" s="122">
        <f t="shared" si="335"/>
        <v>43508</v>
      </c>
      <c r="B2239" s="120">
        <v>832554.4000000001</v>
      </c>
      <c r="C2239" s="19">
        <f t="shared" si="332"/>
        <v>0.01159098162</v>
      </c>
      <c r="D2239" s="19">
        <f t="shared" si="333"/>
        <v>0.0114447119</v>
      </c>
      <c r="E2239" s="12"/>
      <c r="F2239" s="7"/>
      <c r="G2239" s="7"/>
      <c r="H2239" s="1"/>
      <c r="I2239" s="1"/>
      <c r="J2239" s="1"/>
      <c r="K2239" s="1"/>
      <c r="L2239" s="12">
        <f t="shared" si="334"/>
        <v>18797.07633</v>
      </c>
      <c r="M2239" s="12"/>
      <c r="N2239" s="15"/>
      <c r="O2239" s="1"/>
      <c r="Q2239" s="12"/>
      <c r="R2239" s="1"/>
    </row>
    <row r="2240" ht="12.75" hidden="1" customHeight="1" outlineLevel="1">
      <c r="A2240" s="122">
        <f t="shared" si="335"/>
        <v>43509</v>
      </c>
      <c r="B2240" s="120">
        <v>833443.3000000002</v>
      </c>
      <c r="C2240" s="19">
        <f t="shared" si="332"/>
        <v>0.00106767798</v>
      </c>
      <c r="D2240" s="19">
        <f t="shared" si="333"/>
        <v>0.01252460915</v>
      </c>
      <c r="E2240" s="12"/>
      <c r="F2240" s="7"/>
      <c r="G2240" s="7"/>
      <c r="H2240" s="1"/>
      <c r="I2240" s="1"/>
      <c r="J2240" s="1"/>
      <c r="K2240" s="1"/>
      <c r="L2240" s="12">
        <f t="shared" si="334"/>
        <v>18817.14555</v>
      </c>
      <c r="M2240" s="12"/>
      <c r="N2240" s="15"/>
      <c r="O2240" s="1"/>
      <c r="Q2240" s="12"/>
      <c r="R2240" s="1"/>
    </row>
    <row r="2241" ht="12.75" hidden="1" customHeight="1" outlineLevel="1">
      <c r="A2241" s="122">
        <f t="shared" si="335"/>
        <v>43510</v>
      </c>
      <c r="B2241" s="120">
        <v>836739.1500000001</v>
      </c>
      <c r="C2241" s="19">
        <f t="shared" si="332"/>
        <v>0.003954498164</v>
      </c>
      <c r="D2241" s="19">
        <f t="shared" si="333"/>
        <v>0.01652863586</v>
      </c>
      <c r="E2241" s="12"/>
      <c r="F2241" s="7"/>
      <c r="G2241" s="7"/>
      <c r="H2241" s="1"/>
      <c r="I2241" s="1"/>
      <c r="J2241" s="1"/>
      <c r="K2241" s="1"/>
      <c r="L2241" s="12">
        <f t="shared" si="334"/>
        <v>18891.55792</v>
      </c>
      <c r="M2241" s="12"/>
      <c r="N2241" s="15"/>
      <c r="O2241" s="1"/>
      <c r="Q2241" s="12"/>
      <c r="R2241" s="1"/>
    </row>
    <row r="2242" ht="12.75" hidden="1" customHeight="1" outlineLevel="1">
      <c r="A2242" s="122">
        <f t="shared" si="335"/>
        <v>43511</v>
      </c>
      <c r="B2242" s="120">
        <v>839002.5000000001</v>
      </c>
      <c r="C2242" s="19">
        <f t="shared" si="332"/>
        <v>0.002704964863</v>
      </c>
      <c r="D2242" s="19">
        <f t="shared" si="333"/>
        <v>0.0192783101</v>
      </c>
      <c r="E2242" s="12"/>
      <c r="F2242" s="7"/>
      <c r="G2242" s="7"/>
      <c r="H2242" s="1"/>
      <c r="I2242" s="1"/>
      <c r="J2242" s="1"/>
      <c r="K2242" s="1"/>
      <c r="L2242" s="12">
        <f t="shared" si="334"/>
        <v>18942.65892</v>
      </c>
      <c r="M2242" s="12"/>
      <c r="N2242" s="15"/>
      <c r="O2242" s="1"/>
      <c r="Q2242" s="12"/>
      <c r="R2242" s="1"/>
    </row>
    <row r="2243" ht="12.75" hidden="1" customHeight="1" outlineLevel="1">
      <c r="A2243" s="122">
        <f t="shared" si="335"/>
        <v>43512</v>
      </c>
      <c r="B2243" s="120">
        <v>839002.5000000001</v>
      </c>
      <c r="C2243" s="19">
        <f t="shared" si="332"/>
        <v>0</v>
      </c>
      <c r="D2243" s="19">
        <f t="shared" si="333"/>
        <v>0.0192783101</v>
      </c>
      <c r="E2243" s="12"/>
      <c r="F2243" s="7"/>
      <c r="G2243" s="7"/>
      <c r="H2243" s="1"/>
      <c r="I2243" s="1"/>
      <c r="J2243" s="1"/>
      <c r="K2243" s="1"/>
      <c r="L2243" s="12">
        <f t="shared" si="334"/>
        <v>18942.65892</v>
      </c>
      <c r="M2243" s="12"/>
      <c r="N2243" s="15"/>
      <c r="O2243" s="1"/>
      <c r="Q2243" s="12"/>
      <c r="R2243" s="1"/>
    </row>
    <row r="2244" ht="12.75" hidden="1" customHeight="1" outlineLevel="1">
      <c r="A2244" s="122">
        <f t="shared" si="335"/>
        <v>43513</v>
      </c>
      <c r="B2244" s="120">
        <v>839002.5000000001</v>
      </c>
      <c r="C2244" s="19">
        <f t="shared" si="332"/>
        <v>0</v>
      </c>
      <c r="D2244" s="19">
        <f t="shared" si="333"/>
        <v>0.0192783101</v>
      </c>
      <c r="E2244" s="12"/>
      <c r="F2244" s="7"/>
      <c r="G2244" s="7"/>
      <c r="H2244" s="1"/>
      <c r="I2244" s="1"/>
      <c r="J2244" s="1"/>
      <c r="K2244" s="1"/>
      <c r="L2244" s="12">
        <f t="shared" si="334"/>
        <v>18942.65892</v>
      </c>
      <c r="M2244" s="12"/>
      <c r="N2244" s="15"/>
      <c r="O2244" s="1"/>
      <c r="Q2244" s="12"/>
      <c r="R2244" s="1"/>
    </row>
    <row r="2245" ht="12.75" hidden="1" customHeight="1" outlineLevel="1">
      <c r="A2245" s="122">
        <f t="shared" si="335"/>
        <v>43514</v>
      </c>
      <c r="B2245" s="120">
        <v>839002.5000000001</v>
      </c>
      <c r="C2245" s="19">
        <f t="shared" si="332"/>
        <v>0</v>
      </c>
      <c r="D2245" s="19">
        <f t="shared" si="333"/>
        <v>0.0192783101</v>
      </c>
      <c r="E2245" s="12"/>
      <c r="F2245" s="7"/>
      <c r="G2245" s="7"/>
      <c r="H2245" s="1"/>
      <c r="I2245" s="1"/>
      <c r="J2245" s="1"/>
      <c r="K2245" s="1"/>
      <c r="L2245" s="12">
        <f t="shared" si="334"/>
        <v>18942.65892</v>
      </c>
      <c r="M2245" s="12"/>
      <c r="N2245" s="15"/>
      <c r="O2245" s="1"/>
      <c r="Q2245" s="12"/>
      <c r="R2245" s="1"/>
    </row>
    <row r="2246" ht="12.75" hidden="1" customHeight="1" outlineLevel="1">
      <c r="A2246" s="122">
        <f t="shared" si="335"/>
        <v>43515</v>
      </c>
      <c r="B2246" s="120">
        <v>842800.0</v>
      </c>
      <c r="C2246" s="19">
        <f t="shared" si="332"/>
        <v>0.004526208206</v>
      </c>
      <c r="D2246" s="19">
        <f t="shared" si="333"/>
        <v>0.02389177595</v>
      </c>
      <c r="E2246" s="12"/>
      <c r="F2246" s="7"/>
      <c r="G2246" s="7"/>
      <c r="H2246" s="1"/>
      <c r="I2246" s="1"/>
      <c r="J2246" s="1"/>
      <c r="K2246" s="1"/>
      <c r="L2246" s="12">
        <f t="shared" si="334"/>
        <v>19028.39734</v>
      </c>
      <c r="M2246" s="12"/>
      <c r="N2246" s="15"/>
      <c r="O2246" s="1"/>
      <c r="Q2246" s="12"/>
      <c r="R2246" s="1"/>
    </row>
    <row r="2247" ht="12.75" hidden="1" customHeight="1" outlineLevel="1">
      <c r="A2247" s="122">
        <f t="shared" si="335"/>
        <v>43516</v>
      </c>
      <c r="B2247" s="120">
        <v>842925.1</v>
      </c>
      <c r="C2247" s="19">
        <f t="shared" si="332"/>
        <v>0.0001484337921</v>
      </c>
      <c r="D2247" s="19">
        <f t="shared" si="333"/>
        <v>0.02404375609</v>
      </c>
      <c r="E2247" s="12"/>
      <c r="F2247" s="7"/>
      <c r="G2247" s="7"/>
      <c r="H2247" s="1"/>
      <c r="I2247" s="1"/>
      <c r="J2247" s="1"/>
      <c r="K2247" s="1"/>
      <c r="L2247" s="12">
        <f t="shared" si="334"/>
        <v>19031.22179</v>
      </c>
      <c r="M2247" s="12"/>
      <c r="N2247" s="15"/>
      <c r="O2247" s="1"/>
      <c r="Q2247" s="12"/>
      <c r="R2247" s="1"/>
    </row>
    <row r="2248" ht="12.75" hidden="1" customHeight="1" outlineLevel="1">
      <c r="A2248" s="122">
        <f t="shared" si="335"/>
        <v>43517</v>
      </c>
      <c r="B2248" s="120">
        <v>840225.9000000001</v>
      </c>
      <c r="C2248" s="19">
        <f t="shared" si="332"/>
        <v>-0.003202182495</v>
      </c>
      <c r="D2248" s="19">
        <f t="shared" si="333"/>
        <v>0.0207645811</v>
      </c>
      <c r="E2248" s="12"/>
      <c r="F2248" s="7"/>
      <c r="G2248" s="7"/>
      <c r="H2248" s="1"/>
      <c r="I2248" s="1"/>
      <c r="J2248" s="1"/>
      <c r="K2248" s="1"/>
      <c r="L2248" s="12">
        <f t="shared" si="334"/>
        <v>18970.28035</v>
      </c>
      <c r="M2248" s="12"/>
      <c r="N2248" s="15"/>
      <c r="O2248" s="1"/>
      <c r="Q2248" s="12"/>
      <c r="R2248" s="1"/>
    </row>
    <row r="2249" ht="12.75" hidden="1" customHeight="1" outlineLevel="1">
      <c r="A2249" s="122">
        <f t="shared" si="335"/>
        <v>43518</v>
      </c>
      <c r="B2249" s="120">
        <v>850916.6000000002</v>
      </c>
      <c r="C2249" s="19">
        <f t="shared" si="332"/>
        <v>0.01272360207</v>
      </c>
      <c r="D2249" s="19">
        <f t="shared" si="333"/>
        <v>0.03375238344</v>
      </c>
      <c r="E2249" s="12"/>
      <c r="F2249" s="7"/>
      <c r="G2249" s="7"/>
      <c r="H2249" s="1"/>
      <c r="I2249" s="1"/>
      <c r="J2249" s="1"/>
      <c r="K2249" s="1"/>
      <c r="L2249" s="12">
        <f t="shared" si="334"/>
        <v>19211.65065</v>
      </c>
      <c r="M2249" s="12"/>
      <c r="N2249" s="15"/>
      <c r="O2249" s="1"/>
      <c r="Q2249" s="12"/>
      <c r="R2249" s="1"/>
    </row>
    <row r="2250" ht="12.75" hidden="1" customHeight="1" outlineLevel="1">
      <c r="A2250" s="122">
        <f t="shared" si="335"/>
        <v>43519</v>
      </c>
      <c r="B2250" s="120">
        <v>850916.6000000002</v>
      </c>
      <c r="C2250" s="19">
        <f t="shared" si="332"/>
        <v>0</v>
      </c>
      <c r="D2250" s="19">
        <f t="shared" si="333"/>
        <v>0.03375238344</v>
      </c>
      <c r="E2250" s="12"/>
      <c r="F2250" s="7"/>
      <c r="G2250" s="7"/>
      <c r="H2250" s="1"/>
      <c r="I2250" s="1"/>
      <c r="J2250" s="1"/>
      <c r="K2250" s="1"/>
      <c r="L2250" s="12">
        <f t="shared" si="334"/>
        <v>19211.65065</v>
      </c>
      <c r="M2250" s="12"/>
      <c r="N2250" s="15"/>
      <c r="O2250" s="1"/>
      <c r="Q2250" s="12"/>
      <c r="R2250" s="1"/>
    </row>
    <row r="2251" ht="12.75" hidden="1" customHeight="1" outlineLevel="1">
      <c r="A2251" s="122">
        <f t="shared" si="335"/>
        <v>43520</v>
      </c>
      <c r="B2251" s="120">
        <v>850916.6000000002</v>
      </c>
      <c r="C2251" s="19">
        <f t="shared" si="332"/>
        <v>0</v>
      </c>
      <c r="D2251" s="19">
        <f t="shared" si="333"/>
        <v>0.03375238344</v>
      </c>
      <c r="E2251" s="12"/>
      <c r="F2251" s="7"/>
      <c r="G2251" s="7"/>
      <c r="H2251" s="1"/>
      <c r="I2251" s="1"/>
      <c r="J2251" s="1"/>
      <c r="K2251" s="1"/>
      <c r="L2251" s="12">
        <f t="shared" si="334"/>
        <v>19211.65065</v>
      </c>
      <c r="M2251" s="12"/>
      <c r="N2251" s="15"/>
      <c r="O2251" s="1"/>
      <c r="Q2251" s="12"/>
      <c r="R2251" s="1"/>
    </row>
    <row r="2252" ht="12.75" hidden="1" customHeight="1" outlineLevel="1">
      <c r="A2252" s="122">
        <f t="shared" si="335"/>
        <v>43521</v>
      </c>
      <c r="B2252" s="120">
        <v>850500.0</v>
      </c>
      <c r="C2252" s="19">
        <f t="shared" si="332"/>
        <v>-0.0004895896966</v>
      </c>
      <c r="D2252" s="19">
        <f t="shared" si="333"/>
        <v>0.03324626892</v>
      </c>
      <c r="E2252" s="12"/>
      <c r="F2252" s="7"/>
      <c r="G2252" s="7"/>
      <c r="H2252" s="1"/>
      <c r="I2252" s="1"/>
      <c r="J2252" s="1"/>
      <c r="K2252" s="1"/>
      <c r="L2252" s="12">
        <f t="shared" si="334"/>
        <v>19202.24482</v>
      </c>
      <c r="M2252" s="12"/>
      <c r="N2252" s="15"/>
      <c r="O2252" s="1"/>
      <c r="Q2252" s="12"/>
      <c r="R2252" s="1"/>
    </row>
    <row r="2253" ht="12.75" hidden="1" customHeight="1" outlineLevel="1">
      <c r="A2253" s="122">
        <f t="shared" si="335"/>
        <v>43522</v>
      </c>
      <c r="B2253" s="120">
        <v>850500.0</v>
      </c>
      <c r="C2253" s="19">
        <f t="shared" si="332"/>
        <v>0</v>
      </c>
      <c r="D2253" s="19">
        <f t="shared" si="333"/>
        <v>0.03324626892</v>
      </c>
      <c r="E2253" s="12"/>
      <c r="F2253" s="7"/>
      <c r="G2253" s="7"/>
      <c r="H2253" s="1"/>
      <c r="I2253" s="1"/>
      <c r="J2253" s="1"/>
      <c r="K2253" s="1"/>
      <c r="L2253" s="12">
        <f t="shared" si="334"/>
        <v>19202.24482</v>
      </c>
      <c r="M2253" s="12"/>
      <c r="N2253" s="15"/>
      <c r="O2253" s="1"/>
      <c r="Q2253" s="12"/>
      <c r="R2253" s="1"/>
    </row>
    <row r="2254" ht="12.75" hidden="1" customHeight="1" outlineLevel="1">
      <c r="A2254" s="122">
        <f t="shared" si="335"/>
        <v>43523</v>
      </c>
      <c r="B2254" s="120">
        <v>842500.0</v>
      </c>
      <c r="C2254" s="19">
        <f t="shared" si="332"/>
        <v>-0.009406231628</v>
      </c>
      <c r="D2254" s="19">
        <f t="shared" si="333"/>
        <v>0.02352731519</v>
      </c>
      <c r="E2254" s="12"/>
      <c r="F2254" s="7"/>
      <c r="G2254" s="7"/>
      <c r="H2254" s="1"/>
      <c r="I2254" s="1"/>
      <c r="J2254" s="1"/>
      <c r="K2254" s="1"/>
      <c r="L2254" s="12">
        <f t="shared" si="334"/>
        <v>19021.62406</v>
      </c>
      <c r="M2254" s="12"/>
      <c r="N2254" s="15"/>
      <c r="O2254" s="1"/>
      <c r="Q2254" s="12"/>
      <c r="R2254" s="1"/>
    </row>
    <row r="2255" ht="12.75" hidden="1" customHeight="1" outlineLevel="1">
      <c r="A2255" s="122">
        <f t="shared" si="335"/>
        <v>43524</v>
      </c>
      <c r="B2255" s="120">
        <v>839325.62</v>
      </c>
      <c r="C2255" s="19">
        <f t="shared" si="332"/>
        <v>-0.003767810089</v>
      </c>
      <c r="D2255" s="19">
        <f t="shared" si="333"/>
        <v>0.01967085864</v>
      </c>
      <c r="E2255" s="12"/>
      <c r="F2255" s="7"/>
      <c r="G2255" s="7"/>
      <c r="H2255" s="1"/>
      <c r="I2255" s="1"/>
      <c r="J2255" s="1"/>
      <c r="K2255" s="1"/>
      <c r="L2255" s="12">
        <f t="shared" si="334"/>
        <v>18949.95419</v>
      </c>
      <c r="M2255" s="12"/>
      <c r="N2255" s="15"/>
      <c r="O2255" s="1"/>
      <c r="Q2255" s="12"/>
      <c r="R2255" s="1"/>
    </row>
    <row r="2256" ht="12.75" hidden="1" customHeight="1" outlineLevel="1">
      <c r="A2256" s="122"/>
      <c r="B2256" s="12"/>
      <c r="C2256" s="1"/>
      <c r="D2256" s="1"/>
      <c r="E2256" s="12"/>
      <c r="F2256" s="7"/>
      <c r="G2256" s="7"/>
      <c r="H2256" s="1"/>
      <c r="I2256" s="1"/>
      <c r="J2256" s="1"/>
      <c r="K2256" s="1"/>
      <c r="L2256" s="12"/>
      <c r="M2256" s="12"/>
      <c r="N2256" s="15"/>
      <c r="O2256" s="1"/>
      <c r="Q2256" s="12"/>
      <c r="R2256" s="1"/>
    </row>
    <row r="2257" ht="12.75" hidden="1" customHeight="1" outlineLevel="1">
      <c r="A2257" s="122"/>
      <c r="B2257" s="12">
        <f>B2255+P2257-Q2257</f>
        <v>839325.62</v>
      </c>
      <c r="C2257" s="1"/>
      <c r="D2257" s="1"/>
      <c r="E2257" s="12"/>
      <c r="F2257" s="7"/>
      <c r="G2257" s="7"/>
      <c r="H2257" s="1"/>
      <c r="I2257" s="1"/>
      <c r="J2257" s="1"/>
      <c r="K2257" s="1"/>
      <c r="L2257" s="12"/>
      <c r="M2257" s="12"/>
      <c r="N2257" s="15"/>
      <c r="O2257" s="1"/>
      <c r="Q2257" s="12"/>
      <c r="R2257" s="1"/>
    </row>
    <row r="2258" ht="12.75" hidden="1" customHeight="1" outlineLevel="1">
      <c r="A2258" s="122">
        <f>A2255+1</f>
        <v>43525</v>
      </c>
      <c r="B2258" s="120">
        <v>845000.0</v>
      </c>
      <c r="C2258" s="19">
        <f t="shared" ref="C2258:C2288" si="336">B2258/B2257-1</f>
        <v>0.006760641954</v>
      </c>
      <c r="D2258" s="19">
        <f t="shared" ref="D2258:D2288" si="337">(B2258/$B$2257)-1</f>
        <v>0.006760641954</v>
      </c>
      <c r="E2258" s="12"/>
      <c r="F2258" s="7"/>
      <c r="G2258" s="7"/>
      <c r="H2258" s="1"/>
      <c r="I2258" s="1"/>
      <c r="J2258" s="1"/>
      <c r="K2258" s="1"/>
      <c r="L2258" s="12">
        <f t="shared" ref="L2258:L2288" si="338">IF(C2257="",L2255*(1+C2258),L2257*(1+C2258))</f>
        <v>19078.06805</v>
      </c>
      <c r="M2258" s="12"/>
      <c r="N2258" s="15"/>
      <c r="O2258" s="1"/>
      <c r="Q2258" s="12"/>
      <c r="R2258" s="1"/>
    </row>
    <row r="2259" ht="12.75" hidden="1" customHeight="1" outlineLevel="1">
      <c r="A2259" s="122">
        <f t="shared" ref="A2259:A2288" si="339">A2258+1</f>
        <v>43526</v>
      </c>
      <c r="B2259" s="120">
        <v>845000.0</v>
      </c>
      <c r="C2259" s="19">
        <f t="shared" si="336"/>
        <v>0</v>
      </c>
      <c r="D2259" s="19">
        <f t="shared" si="337"/>
        <v>0.006760641954</v>
      </c>
      <c r="E2259" s="12"/>
      <c r="F2259" s="7"/>
      <c r="G2259" s="7"/>
      <c r="H2259" s="1"/>
      <c r="I2259" s="1"/>
      <c r="J2259" s="1"/>
      <c r="K2259" s="1"/>
      <c r="L2259" s="12">
        <f t="shared" si="338"/>
        <v>19078.06805</v>
      </c>
      <c r="M2259" s="12"/>
      <c r="N2259" s="15"/>
      <c r="O2259" s="1"/>
      <c r="Q2259" s="12"/>
      <c r="R2259" s="1"/>
    </row>
    <row r="2260" ht="12.75" hidden="1" customHeight="1" outlineLevel="1">
      <c r="A2260" s="122">
        <f t="shared" si="339"/>
        <v>43527</v>
      </c>
      <c r="B2260" s="120">
        <v>845000.0</v>
      </c>
      <c r="C2260" s="19">
        <f t="shared" si="336"/>
        <v>0</v>
      </c>
      <c r="D2260" s="19">
        <f t="shared" si="337"/>
        <v>0.006760641954</v>
      </c>
      <c r="E2260" s="12"/>
      <c r="F2260" s="7"/>
      <c r="G2260" s="7"/>
      <c r="H2260" s="1"/>
      <c r="I2260" s="1"/>
      <c r="J2260" s="1"/>
      <c r="K2260" s="1"/>
      <c r="L2260" s="12">
        <f t="shared" si="338"/>
        <v>19078.06805</v>
      </c>
      <c r="M2260" s="12"/>
      <c r="N2260" s="15"/>
      <c r="O2260" s="1"/>
      <c r="Q2260" s="12"/>
      <c r="R2260" s="1"/>
    </row>
    <row r="2261" ht="12.75" hidden="1" customHeight="1" outlineLevel="1">
      <c r="A2261" s="122">
        <f t="shared" si="339"/>
        <v>43528</v>
      </c>
      <c r="B2261" s="120">
        <v>845000.0</v>
      </c>
      <c r="C2261" s="19">
        <f t="shared" si="336"/>
        <v>0</v>
      </c>
      <c r="D2261" s="19">
        <f t="shared" si="337"/>
        <v>0.006760641954</v>
      </c>
      <c r="E2261" s="12"/>
      <c r="F2261" s="7"/>
      <c r="G2261" s="7"/>
      <c r="H2261" s="1"/>
      <c r="I2261" s="1"/>
      <c r="J2261" s="1"/>
      <c r="K2261" s="1"/>
      <c r="L2261" s="12">
        <f t="shared" si="338"/>
        <v>19078.06805</v>
      </c>
      <c r="M2261" s="12"/>
      <c r="N2261" s="15"/>
      <c r="O2261" s="1"/>
      <c r="Q2261" s="12"/>
      <c r="R2261" s="1"/>
    </row>
    <row r="2262" ht="12.75" hidden="1" customHeight="1" outlineLevel="1">
      <c r="A2262" s="122">
        <f t="shared" si="339"/>
        <v>43529</v>
      </c>
      <c r="B2262" s="120">
        <v>848900.0</v>
      </c>
      <c r="C2262" s="19">
        <f t="shared" si="336"/>
        <v>0.004615384615</v>
      </c>
      <c r="D2262" s="19">
        <f t="shared" si="337"/>
        <v>0.01140722953</v>
      </c>
      <c r="E2262" s="12"/>
      <c r="F2262" s="7"/>
      <c r="G2262" s="7"/>
      <c r="H2262" s="1"/>
      <c r="I2262" s="1"/>
      <c r="J2262" s="1"/>
      <c r="K2262" s="1"/>
      <c r="L2262" s="12">
        <f t="shared" si="338"/>
        <v>19166.12067</v>
      </c>
      <c r="M2262" s="12"/>
      <c r="N2262" s="15"/>
      <c r="O2262" s="1"/>
      <c r="Q2262" s="12"/>
      <c r="R2262" s="1"/>
    </row>
    <row r="2263" ht="12.75" hidden="1" customHeight="1" outlineLevel="1">
      <c r="A2263" s="122">
        <f t="shared" si="339"/>
        <v>43530</v>
      </c>
      <c r="B2263" s="120">
        <v>843300.0</v>
      </c>
      <c r="C2263" s="19">
        <f t="shared" si="336"/>
        <v>-0.006596772294</v>
      </c>
      <c r="D2263" s="19">
        <f t="shared" si="337"/>
        <v>0.004735206343</v>
      </c>
      <c r="E2263" s="12"/>
      <c r="F2263" s="7"/>
      <c r="G2263" s="7"/>
      <c r="H2263" s="1"/>
      <c r="I2263" s="1"/>
      <c r="J2263" s="1"/>
      <c r="K2263" s="1"/>
      <c r="L2263" s="12">
        <f t="shared" si="338"/>
        <v>19039.68613</v>
      </c>
      <c r="M2263" s="12"/>
      <c r="N2263" s="15"/>
      <c r="O2263" s="1"/>
      <c r="Q2263" s="12"/>
      <c r="R2263" s="1"/>
    </row>
    <row r="2264" ht="12.75" hidden="1" customHeight="1" outlineLevel="1">
      <c r="A2264" s="122">
        <f t="shared" si="339"/>
        <v>43531</v>
      </c>
      <c r="B2264" s="120">
        <v>834311.4</v>
      </c>
      <c r="C2264" s="19">
        <f t="shared" si="336"/>
        <v>-0.01065884027</v>
      </c>
      <c r="D2264" s="19">
        <f t="shared" si="337"/>
        <v>-0.005974105735</v>
      </c>
      <c r="E2264" s="12"/>
      <c r="F2264" s="7"/>
      <c r="G2264" s="7"/>
      <c r="H2264" s="1"/>
      <c r="I2264" s="1"/>
      <c r="J2264" s="1"/>
      <c r="K2264" s="1"/>
      <c r="L2264" s="12">
        <f t="shared" si="338"/>
        <v>18836.74516</v>
      </c>
      <c r="M2264" s="12"/>
      <c r="N2264" s="15"/>
      <c r="O2264" s="1"/>
      <c r="Q2264" s="12"/>
      <c r="R2264" s="1"/>
    </row>
    <row r="2265" ht="12.75" hidden="1" customHeight="1" outlineLevel="1">
      <c r="A2265" s="122">
        <f t="shared" si="339"/>
        <v>43532</v>
      </c>
      <c r="B2265" s="120">
        <v>830335.25</v>
      </c>
      <c r="C2265" s="19">
        <f t="shared" si="336"/>
        <v>-0.004765786492</v>
      </c>
      <c r="D2265" s="19">
        <f t="shared" si="337"/>
        <v>-0.01071142091</v>
      </c>
      <c r="E2265" s="12"/>
      <c r="F2265" s="7"/>
      <c r="G2265" s="7"/>
      <c r="H2265" s="1"/>
      <c r="I2265" s="1"/>
      <c r="J2265" s="1"/>
      <c r="K2265" s="1"/>
      <c r="L2265" s="12">
        <f t="shared" si="338"/>
        <v>18746.97325</v>
      </c>
      <c r="M2265" s="12"/>
      <c r="N2265" s="15"/>
      <c r="O2265" s="1"/>
      <c r="Q2265" s="12"/>
      <c r="R2265" s="1"/>
    </row>
    <row r="2266" ht="12.75" hidden="1" customHeight="1" outlineLevel="1">
      <c r="A2266" s="122">
        <f t="shared" si="339"/>
        <v>43533</v>
      </c>
      <c r="B2266" s="120">
        <v>830335.25</v>
      </c>
      <c r="C2266" s="19">
        <f t="shared" si="336"/>
        <v>0</v>
      </c>
      <c r="D2266" s="19">
        <f t="shared" si="337"/>
        <v>-0.01071142091</v>
      </c>
      <c r="E2266" s="12"/>
      <c r="F2266" s="7"/>
      <c r="G2266" s="7"/>
      <c r="H2266" s="1"/>
      <c r="I2266" s="1"/>
      <c r="J2266" s="1"/>
      <c r="K2266" s="1"/>
      <c r="L2266" s="12">
        <f t="shared" si="338"/>
        <v>18746.97325</v>
      </c>
      <c r="M2266" s="12"/>
      <c r="N2266" s="15"/>
      <c r="O2266" s="1"/>
      <c r="Q2266" s="12"/>
      <c r="R2266" s="1"/>
    </row>
    <row r="2267" ht="12.75" hidden="1" customHeight="1" outlineLevel="1">
      <c r="A2267" s="122">
        <f t="shared" si="339"/>
        <v>43534</v>
      </c>
      <c r="B2267" s="120">
        <v>830335.25</v>
      </c>
      <c r="C2267" s="19">
        <f t="shared" si="336"/>
        <v>0</v>
      </c>
      <c r="D2267" s="19">
        <f t="shared" si="337"/>
        <v>-0.01071142091</v>
      </c>
      <c r="E2267" s="12"/>
      <c r="F2267" s="7"/>
      <c r="G2267" s="7"/>
      <c r="H2267" s="1"/>
      <c r="I2267" s="1"/>
      <c r="J2267" s="1"/>
      <c r="K2267" s="1"/>
      <c r="L2267" s="12">
        <f t="shared" si="338"/>
        <v>18746.97325</v>
      </c>
      <c r="M2267" s="12"/>
      <c r="N2267" s="15"/>
      <c r="O2267" s="1"/>
      <c r="Q2267" s="12"/>
      <c r="R2267" s="1"/>
    </row>
    <row r="2268" ht="12.75" hidden="1" customHeight="1" outlineLevel="1">
      <c r="A2268" s="122">
        <f t="shared" si="339"/>
        <v>43535</v>
      </c>
      <c r="B2268" s="120">
        <v>843200.0</v>
      </c>
      <c r="C2268" s="19">
        <f t="shared" si="336"/>
        <v>0.01549344075</v>
      </c>
      <c r="D2268" s="19">
        <f t="shared" si="337"/>
        <v>0.004616063072</v>
      </c>
      <c r="E2268" s="12"/>
      <c r="F2268" s="7"/>
      <c r="G2268" s="7"/>
      <c r="H2268" s="1"/>
      <c r="I2268" s="1"/>
      <c r="J2268" s="1"/>
      <c r="K2268" s="1"/>
      <c r="L2268" s="12">
        <f t="shared" si="338"/>
        <v>19037.42837</v>
      </c>
      <c r="M2268" s="12"/>
      <c r="N2268" s="15"/>
      <c r="O2268" s="1"/>
      <c r="Q2268" s="12"/>
      <c r="R2268" s="1"/>
    </row>
    <row r="2269" ht="12.75" hidden="1" customHeight="1" outlineLevel="1">
      <c r="A2269" s="122">
        <f t="shared" si="339"/>
        <v>43536</v>
      </c>
      <c r="B2269" s="120">
        <v>849699.3</v>
      </c>
      <c r="C2269" s="19">
        <f t="shared" si="336"/>
        <v>0.007707898482</v>
      </c>
      <c r="D2269" s="19">
        <f t="shared" si="337"/>
        <v>0.0123595417</v>
      </c>
      <c r="E2269" s="12"/>
      <c r="F2269" s="7"/>
      <c r="G2269" s="7"/>
      <c r="H2269" s="1"/>
      <c r="I2269" s="1"/>
      <c r="J2269" s="1"/>
      <c r="K2269" s="1"/>
      <c r="L2269" s="12">
        <f t="shared" si="338"/>
        <v>19184.16694</v>
      </c>
      <c r="M2269" s="12"/>
      <c r="N2269" s="15"/>
      <c r="O2269" s="1"/>
      <c r="Q2269" s="12"/>
      <c r="R2269" s="1"/>
    </row>
    <row r="2270" ht="12.75" hidden="1" customHeight="1" outlineLevel="1">
      <c r="A2270" s="122">
        <f t="shared" si="339"/>
        <v>43537</v>
      </c>
      <c r="B2270" s="120">
        <v>853000.0</v>
      </c>
      <c r="C2270" s="19">
        <f t="shared" si="336"/>
        <v>0.003884550688</v>
      </c>
      <c r="D2270" s="19">
        <f t="shared" si="337"/>
        <v>0.01629210365</v>
      </c>
      <c r="E2270" s="12"/>
      <c r="F2270" s="7"/>
      <c r="G2270" s="7"/>
      <c r="H2270" s="1"/>
      <c r="I2270" s="1"/>
      <c r="J2270" s="1"/>
      <c r="K2270" s="1"/>
      <c r="L2270" s="12">
        <f t="shared" si="338"/>
        <v>19258.68881</v>
      </c>
      <c r="M2270" s="12"/>
      <c r="N2270" s="15"/>
      <c r="O2270" s="1"/>
      <c r="Q2270" s="12"/>
      <c r="R2270" s="1"/>
    </row>
    <row r="2271" ht="12.75" hidden="1" customHeight="1" outlineLevel="1">
      <c r="A2271" s="122">
        <f t="shared" si="339"/>
        <v>43538</v>
      </c>
      <c r="B2271" s="120">
        <v>853093.5000000001</v>
      </c>
      <c r="C2271" s="19">
        <f t="shared" si="336"/>
        <v>0.0001096131301</v>
      </c>
      <c r="D2271" s="19">
        <f t="shared" si="337"/>
        <v>0.01640350261</v>
      </c>
      <c r="E2271" s="12"/>
      <c r="F2271" s="7"/>
      <c r="G2271" s="7"/>
      <c r="H2271" s="1"/>
      <c r="I2271" s="1"/>
      <c r="J2271" s="1"/>
      <c r="K2271" s="1"/>
      <c r="L2271" s="12">
        <f t="shared" si="338"/>
        <v>19260.79981</v>
      </c>
      <c r="M2271" s="12"/>
      <c r="N2271" s="15"/>
      <c r="O2271" s="1"/>
      <c r="Q2271" s="12"/>
      <c r="R2271" s="1"/>
    </row>
    <row r="2272" ht="12.75" hidden="1" customHeight="1" outlineLevel="1">
      <c r="A2272" s="122">
        <f t="shared" si="339"/>
        <v>43539</v>
      </c>
      <c r="B2272" s="120">
        <v>855300.0</v>
      </c>
      <c r="C2272" s="19">
        <f t="shared" si="336"/>
        <v>0.002586469127</v>
      </c>
      <c r="D2272" s="19">
        <f t="shared" si="337"/>
        <v>0.01903239889</v>
      </c>
      <c r="E2272" s="12"/>
      <c r="F2272" s="7"/>
      <c r="G2272" s="7"/>
      <c r="H2272" s="1"/>
      <c r="I2272" s="1"/>
      <c r="J2272" s="1"/>
      <c r="K2272" s="1"/>
      <c r="L2272" s="12">
        <f t="shared" si="338"/>
        <v>19310.61728</v>
      </c>
      <c r="M2272" s="12"/>
      <c r="N2272" s="15"/>
      <c r="O2272" s="1"/>
      <c r="Q2272" s="12"/>
      <c r="R2272" s="1"/>
    </row>
    <row r="2273" ht="12.75" hidden="1" customHeight="1" outlineLevel="1">
      <c r="A2273" s="122">
        <f t="shared" si="339"/>
        <v>43540</v>
      </c>
      <c r="B2273" s="120">
        <v>855300.0</v>
      </c>
      <c r="C2273" s="19">
        <f t="shared" si="336"/>
        <v>0</v>
      </c>
      <c r="D2273" s="19">
        <f t="shared" si="337"/>
        <v>0.01903239889</v>
      </c>
      <c r="E2273" s="12"/>
      <c r="F2273" s="7"/>
      <c r="G2273" s="7"/>
      <c r="H2273" s="1"/>
      <c r="I2273" s="1"/>
      <c r="J2273" s="1"/>
      <c r="K2273" s="1"/>
      <c r="L2273" s="12">
        <f t="shared" si="338"/>
        <v>19310.61728</v>
      </c>
      <c r="M2273" s="12"/>
      <c r="N2273" s="15"/>
      <c r="O2273" s="1"/>
      <c r="Q2273" s="12"/>
      <c r="R2273" s="1"/>
    </row>
    <row r="2274" ht="12.75" hidden="1" customHeight="1" outlineLevel="1">
      <c r="A2274" s="122">
        <f t="shared" si="339"/>
        <v>43541</v>
      </c>
      <c r="B2274" s="120">
        <v>855300.0</v>
      </c>
      <c r="C2274" s="19">
        <f t="shared" si="336"/>
        <v>0</v>
      </c>
      <c r="D2274" s="19">
        <f t="shared" si="337"/>
        <v>0.01903239889</v>
      </c>
      <c r="E2274" s="12"/>
      <c r="F2274" s="7"/>
      <c r="G2274" s="7"/>
      <c r="H2274" s="1"/>
      <c r="I2274" s="1"/>
      <c r="J2274" s="1"/>
      <c r="K2274" s="1"/>
      <c r="L2274" s="12">
        <f t="shared" si="338"/>
        <v>19310.61728</v>
      </c>
      <c r="M2274" s="12"/>
      <c r="N2274" s="15"/>
      <c r="O2274" s="1"/>
      <c r="Q2274" s="12"/>
      <c r="R2274" s="1"/>
    </row>
    <row r="2275" ht="12.75" hidden="1" customHeight="1" outlineLevel="1">
      <c r="A2275" s="122">
        <f t="shared" si="339"/>
        <v>43542</v>
      </c>
      <c r="B2275" s="120">
        <v>859435.2</v>
      </c>
      <c r="C2275" s="19">
        <f t="shared" si="336"/>
        <v>0.004834794809</v>
      </c>
      <c r="D2275" s="19">
        <f t="shared" si="337"/>
        <v>0.02395921144</v>
      </c>
      <c r="E2275" s="12"/>
      <c r="F2275" s="7"/>
      <c r="G2275" s="7"/>
      <c r="H2275" s="1"/>
      <c r="I2275" s="1"/>
      <c r="J2275" s="1"/>
      <c r="K2275" s="1"/>
      <c r="L2275" s="12">
        <f t="shared" si="338"/>
        <v>19403.98015</v>
      </c>
      <c r="M2275" s="12"/>
      <c r="N2275" s="15"/>
      <c r="O2275" s="1"/>
      <c r="Q2275" s="12"/>
      <c r="R2275" s="1"/>
    </row>
    <row r="2276" ht="12.75" hidden="1" customHeight="1" outlineLevel="1">
      <c r="A2276" s="122">
        <f t="shared" si="339"/>
        <v>43543</v>
      </c>
      <c r="B2276" s="120">
        <v>860000.0</v>
      </c>
      <c r="C2276" s="19">
        <f t="shared" si="336"/>
        <v>0.0006571757824</v>
      </c>
      <c r="D2276" s="19">
        <f t="shared" si="337"/>
        <v>0.02463213264</v>
      </c>
      <c r="E2276" s="12"/>
      <c r="F2276" s="7"/>
      <c r="G2276" s="7"/>
      <c r="H2276" s="1"/>
      <c r="I2276" s="1"/>
      <c r="J2276" s="1"/>
      <c r="K2276" s="1"/>
      <c r="L2276" s="12">
        <f t="shared" si="338"/>
        <v>19416.73198</v>
      </c>
      <c r="M2276" s="12"/>
      <c r="N2276" s="15"/>
      <c r="O2276" s="1"/>
      <c r="Q2276" s="12"/>
      <c r="R2276" s="1"/>
    </row>
    <row r="2277" ht="12.75" hidden="1" customHeight="1" outlineLevel="1">
      <c r="A2277" s="122">
        <f t="shared" si="339"/>
        <v>43544</v>
      </c>
      <c r="B2277" s="120">
        <v>859621.7999999998</v>
      </c>
      <c r="C2277" s="19">
        <f t="shared" si="336"/>
        <v>-0.0004397674419</v>
      </c>
      <c r="D2277" s="19">
        <f t="shared" si="337"/>
        <v>0.02418153279</v>
      </c>
      <c r="E2277" s="12"/>
      <c r="F2277" s="7"/>
      <c r="G2277" s="7"/>
      <c r="H2277" s="1"/>
      <c r="I2277" s="1"/>
      <c r="J2277" s="1"/>
      <c r="K2277" s="1"/>
      <c r="L2277" s="12">
        <f t="shared" si="338"/>
        <v>19408.19313</v>
      </c>
      <c r="M2277" s="12"/>
      <c r="N2277" s="15"/>
      <c r="O2277" s="1"/>
      <c r="Q2277" s="12"/>
      <c r="R2277" s="1"/>
    </row>
    <row r="2278" ht="12.75" hidden="1" customHeight="1" outlineLevel="1">
      <c r="A2278" s="122">
        <f t="shared" si="339"/>
        <v>43545</v>
      </c>
      <c r="B2278" s="120">
        <v>873000.0</v>
      </c>
      <c r="C2278" s="19">
        <f t="shared" si="336"/>
        <v>0.01556289056</v>
      </c>
      <c r="D2278" s="19">
        <f t="shared" si="337"/>
        <v>0.0401207579</v>
      </c>
      <c r="E2278" s="12"/>
      <c r="F2278" s="7"/>
      <c r="G2278" s="7"/>
      <c r="H2278" s="1"/>
      <c r="I2278" s="1"/>
      <c r="J2278" s="1"/>
      <c r="K2278" s="1"/>
      <c r="L2278" s="12">
        <f t="shared" si="338"/>
        <v>19710.24071</v>
      </c>
      <c r="M2278" s="12"/>
      <c r="N2278" s="15"/>
      <c r="O2278" s="1"/>
      <c r="Q2278" s="12"/>
      <c r="R2278" s="1"/>
    </row>
    <row r="2279" ht="12.75" hidden="1" customHeight="1" outlineLevel="1">
      <c r="A2279" s="122">
        <f t="shared" si="339"/>
        <v>43546</v>
      </c>
      <c r="B2279" s="120">
        <v>854100.0</v>
      </c>
      <c r="C2279" s="19">
        <f t="shared" si="336"/>
        <v>-0.02164948454</v>
      </c>
      <c r="D2279" s="19">
        <f t="shared" si="337"/>
        <v>0.01760267964</v>
      </c>
      <c r="E2279" s="12"/>
      <c r="F2279" s="7"/>
      <c r="G2279" s="7"/>
      <c r="H2279" s="1"/>
      <c r="I2279" s="1"/>
      <c r="J2279" s="1"/>
      <c r="K2279" s="1"/>
      <c r="L2279" s="12">
        <f t="shared" si="338"/>
        <v>19283.52416</v>
      </c>
      <c r="M2279" s="12"/>
      <c r="N2279" s="15"/>
      <c r="O2279" s="1"/>
      <c r="Q2279" s="12"/>
      <c r="R2279" s="1"/>
    </row>
    <row r="2280" ht="12.75" hidden="1" customHeight="1" outlineLevel="1">
      <c r="A2280" s="122">
        <f t="shared" si="339"/>
        <v>43547</v>
      </c>
      <c r="B2280" s="120">
        <v>857400.25</v>
      </c>
      <c r="C2280" s="19">
        <f t="shared" si="336"/>
        <v>0.003864008898</v>
      </c>
      <c r="D2280" s="19">
        <f t="shared" si="337"/>
        <v>0.02153470545</v>
      </c>
      <c r="E2280" s="12"/>
      <c r="F2280" s="7"/>
      <c r="G2280" s="7"/>
      <c r="H2280" s="1"/>
      <c r="I2280" s="1"/>
      <c r="J2280" s="1"/>
      <c r="K2280" s="1"/>
      <c r="L2280" s="12">
        <f t="shared" si="338"/>
        <v>19358.03587</v>
      </c>
      <c r="M2280" s="12"/>
      <c r="N2280" s="15"/>
      <c r="O2280" s="1"/>
      <c r="Q2280" s="12"/>
      <c r="R2280" s="1"/>
    </row>
    <row r="2281" ht="12.75" hidden="1" customHeight="1" outlineLevel="1">
      <c r="A2281" s="122">
        <f t="shared" si="339"/>
        <v>43548</v>
      </c>
      <c r="B2281" s="120">
        <v>860100.0</v>
      </c>
      <c r="C2281" s="19">
        <f t="shared" si="336"/>
        <v>0.003148762786</v>
      </c>
      <c r="D2281" s="19">
        <f t="shared" si="337"/>
        <v>0.02475127591</v>
      </c>
      <c r="E2281" s="12"/>
      <c r="F2281" s="7"/>
      <c r="G2281" s="7"/>
      <c r="H2281" s="1"/>
      <c r="I2281" s="1"/>
      <c r="J2281" s="1"/>
      <c r="K2281" s="1"/>
      <c r="L2281" s="12">
        <f t="shared" si="338"/>
        <v>19418.98974</v>
      </c>
      <c r="M2281" s="12"/>
      <c r="N2281" s="15"/>
      <c r="O2281" s="1"/>
      <c r="Q2281" s="12"/>
      <c r="R2281" s="1"/>
    </row>
    <row r="2282" ht="12.75" hidden="1" customHeight="1" outlineLevel="1">
      <c r="A2282" s="122">
        <f t="shared" si="339"/>
        <v>43549</v>
      </c>
      <c r="B2282" s="120">
        <v>860100.0</v>
      </c>
      <c r="C2282" s="19">
        <f t="shared" si="336"/>
        <v>0</v>
      </c>
      <c r="D2282" s="19">
        <f t="shared" si="337"/>
        <v>0.02475127591</v>
      </c>
      <c r="E2282" s="12"/>
      <c r="F2282" s="7"/>
      <c r="G2282" s="7"/>
      <c r="H2282" s="1"/>
      <c r="I2282" s="1"/>
      <c r="J2282" s="1"/>
      <c r="K2282" s="1"/>
      <c r="L2282" s="12">
        <f t="shared" si="338"/>
        <v>19418.98974</v>
      </c>
      <c r="M2282" s="12"/>
      <c r="N2282" s="15"/>
      <c r="O2282" s="1"/>
      <c r="Q2282" s="12"/>
      <c r="R2282" s="1"/>
    </row>
    <row r="2283" ht="12.75" hidden="1" customHeight="1" outlineLevel="1">
      <c r="A2283" s="122">
        <f t="shared" si="339"/>
        <v>43550</v>
      </c>
      <c r="B2283" s="120">
        <v>860100.0</v>
      </c>
      <c r="C2283" s="19">
        <f t="shared" si="336"/>
        <v>0</v>
      </c>
      <c r="D2283" s="19">
        <f t="shared" si="337"/>
        <v>0.02475127591</v>
      </c>
      <c r="E2283" s="12"/>
      <c r="F2283" s="7"/>
      <c r="G2283" s="7"/>
      <c r="H2283" s="1"/>
      <c r="I2283" s="1"/>
      <c r="J2283" s="1"/>
      <c r="K2283" s="1"/>
      <c r="L2283" s="12">
        <f t="shared" si="338"/>
        <v>19418.98974</v>
      </c>
      <c r="M2283" s="12"/>
      <c r="N2283" s="15"/>
      <c r="O2283" s="1"/>
      <c r="Q2283" s="12"/>
      <c r="R2283" s="1"/>
    </row>
    <row r="2284" ht="12.75" hidden="1" customHeight="1" outlineLevel="1">
      <c r="A2284" s="122">
        <f t="shared" si="339"/>
        <v>43551</v>
      </c>
      <c r="B2284" s="120">
        <v>860100.0</v>
      </c>
      <c r="C2284" s="19">
        <f t="shared" si="336"/>
        <v>0</v>
      </c>
      <c r="D2284" s="19">
        <f t="shared" si="337"/>
        <v>0.02475127591</v>
      </c>
      <c r="E2284" s="12"/>
      <c r="F2284" s="7"/>
      <c r="G2284" s="7"/>
      <c r="H2284" s="1"/>
      <c r="I2284" s="1"/>
      <c r="J2284" s="1"/>
      <c r="K2284" s="1"/>
      <c r="L2284" s="12">
        <f t="shared" si="338"/>
        <v>19418.98974</v>
      </c>
      <c r="M2284" s="12"/>
      <c r="N2284" s="15"/>
      <c r="O2284" s="1"/>
      <c r="Q2284" s="12"/>
      <c r="R2284" s="1"/>
    </row>
    <row r="2285" ht="12.75" hidden="1" customHeight="1" outlineLevel="1">
      <c r="A2285" s="122">
        <f t="shared" si="339"/>
        <v>43552</v>
      </c>
      <c r="B2285" s="120">
        <v>859890.7500000002</v>
      </c>
      <c r="C2285" s="19">
        <f t="shared" si="336"/>
        <v>-0.0002432856645</v>
      </c>
      <c r="D2285" s="19">
        <f t="shared" si="337"/>
        <v>0.02450196862</v>
      </c>
      <c r="E2285" s="12"/>
      <c r="F2285" s="7"/>
      <c r="G2285" s="7"/>
      <c r="H2285" s="1"/>
      <c r="I2285" s="1"/>
      <c r="J2285" s="1"/>
      <c r="K2285" s="1"/>
      <c r="L2285" s="12">
        <f t="shared" si="338"/>
        <v>19414.26537</v>
      </c>
      <c r="M2285" s="12"/>
      <c r="N2285" s="15"/>
      <c r="O2285" s="1"/>
      <c r="Q2285" s="12"/>
      <c r="R2285" s="1"/>
    </row>
    <row r="2286" ht="12.75" hidden="1" customHeight="1" outlineLevel="1">
      <c r="A2286" s="122">
        <f t="shared" si="339"/>
        <v>43553</v>
      </c>
      <c r="B2286" s="120">
        <v>868500.0</v>
      </c>
      <c r="C2286" s="19">
        <f t="shared" si="336"/>
        <v>0.01001202769</v>
      </c>
      <c r="D2286" s="19">
        <f t="shared" si="337"/>
        <v>0.0347593107</v>
      </c>
      <c r="E2286" s="12"/>
      <c r="F2286" s="7"/>
      <c r="G2286" s="7"/>
      <c r="H2286" s="1"/>
      <c r="I2286" s="1"/>
      <c r="J2286" s="1"/>
      <c r="K2286" s="1"/>
      <c r="L2286" s="12">
        <f t="shared" si="338"/>
        <v>19608.64154</v>
      </c>
      <c r="M2286" s="12"/>
      <c r="N2286" s="15"/>
      <c r="O2286" s="1"/>
      <c r="Q2286" s="12"/>
      <c r="R2286" s="1"/>
    </row>
    <row r="2287" ht="12.75" hidden="1" customHeight="1" outlineLevel="1">
      <c r="A2287" s="122">
        <f t="shared" si="339"/>
        <v>43554</v>
      </c>
      <c r="B2287" s="120">
        <v>868500.0</v>
      </c>
      <c r="C2287" s="19">
        <f t="shared" si="336"/>
        <v>0</v>
      </c>
      <c r="D2287" s="19">
        <f t="shared" si="337"/>
        <v>0.0347593107</v>
      </c>
      <c r="E2287" s="12"/>
      <c r="F2287" s="7"/>
      <c r="G2287" s="7"/>
      <c r="H2287" s="1"/>
      <c r="I2287" s="1"/>
      <c r="J2287" s="1"/>
      <c r="K2287" s="1"/>
      <c r="L2287" s="12">
        <f t="shared" si="338"/>
        <v>19608.64154</v>
      </c>
      <c r="M2287" s="12"/>
      <c r="N2287" s="15"/>
      <c r="O2287" s="1"/>
      <c r="Q2287" s="12"/>
      <c r="R2287" s="1"/>
    </row>
    <row r="2288" ht="12.75" hidden="1" customHeight="1" outlineLevel="1">
      <c r="A2288" s="122">
        <f t="shared" si="339"/>
        <v>43555</v>
      </c>
      <c r="B2288" s="120">
        <v>868377.34</v>
      </c>
      <c r="C2288" s="19">
        <f t="shared" si="336"/>
        <v>-0.0001412320092</v>
      </c>
      <c r="D2288" s="19">
        <f t="shared" si="337"/>
        <v>0.03461316956</v>
      </c>
      <c r="E2288" s="12"/>
      <c r="F2288" s="7"/>
      <c r="G2288" s="7"/>
      <c r="H2288" s="1"/>
      <c r="I2288" s="1"/>
      <c r="J2288" s="1"/>
      <c r="K2288" s="1"/>
      <c r="L2288" s="12">
        <f t="shared" si="338"/>
        <v>19605.87217</v>
      </c>
      <c r="M2288" s="12"/>
      <c r="N2288" s="15"/>
      <c r="O2288" s="1"/>
      <c r="Q2288" s="12"/>
      <c r="R2288" s="1"/>
    </row>
    <row r="2289" ht="12.75" hidden="1" customHeight="1" outlineLevel="1">
      <c r="A2289" s="122"/>
      <c r="B2289" s="12"/>
      <c r="C2289" s="1"/>
      <c r="D2289" s="1"/>
      <c r="E2289" s="12"/>
      <c r="F2289" s="7"/>
      <c r="G2289" s="7"/>
      <c r="H2289" s="1"/>
      <c r="I2289" s="1"/>
      <c r="J2289" s="1"/>
      <c r="K2289" s="1"/>
      <c r="L2289" s="12"/>
      <c r="M2289" s="12"/>
      <c r="N2289" s="15"/>
      <c r="O2289" s="1"/>
      <c r="Q2289" s="12"/>
      <c r="R2289" s="1"/>
    </row>
    <row r="2290" ht="12.75" hidden="1" customHeight="1" outlineLevel="1">
      <c r="A2290" s="122"/>
      <c r="B2290" s="12">
        <f>B2288+P2290-Q2290</f>
        <v>868377.34</v>
      </c>
      <c r="C2290" s="1"/>
      <c r="D2290" s="1"/>
      <c r="E2290" s="12"/>
      <c r="F2290" s="7"/>
      <c r="G2290" s="7"/>
      <c r="H2290" s="1"/>
      <c r="I2290" s="1"/>
      <c r="J2290" s="1"/>
      <c r="K2290" s="1"/>
      <c r="L2290" s="12"/>
      <c r="M2290" s="12"/>
      <c r="N2290" s="15"/>
      <c r="O2290" s="1"/>
      <c r="Q2290" s="12"/>
      <c r="R2290" s="1"/>
    </row>
    <row r="2291" ht="12.75" hidden="1" customHeight="1" outlineLevel="1">
      <c r="A2291" s="122">
        <f>A2288+1</f>
        <v>43556</v>
      </c>
      <c r="B2291" s="120">
        <v>881000.0</v>
      </c>
      <c r="C2291" s="19">
        <f t="shared" ref="C2291:C2320" si="340">B2291/B2290-1</f>
        <v>0.01453591592</v>
      </c>
      <c r="D2291" s="19">
        <f t="shared" ref="D2291:D2320" si="341">(B2291/$B$2290)-1</f>
        <v>0.01453591592</v>
      </c>
      <c r="E2291" s="12"/>
      <c r="F2291" s="7"/>
      <c r="G2291" s="7"/>
      <c r="H2291" s="1"/>
      <c r="I2291" s="1"/>
      <c r="J2291" s="1"/>
      <c r="K2291" s="1"/>
      <c r="L2291" s="12">
        <f t="shared" ref="L2291:L2320" si="342">IF(C2290="",L2288*(1+C2291),L2290*(1+C2291))</f>
        <v>19890.86148</v>
      </c>
      <c r="M2291" s="12"/>
      <c r="N2291" s="15"/>
      <c r="O2291" s="1"/>
      <c r="Q2291" s="12"/>
      <c r="R2291" s="1"/>
    </row>
    <row r="2292" ht="12.75" hidden="1" customHeight="1" outlineLevel="1">
      <c r="A2292" s="122">
        <f t="shared" ref="A2292:A2320" si="343">A2291+1</f>
        <v>43557</v>
      </c>
      <c r="B2292" s="120">
        <v>885800.0</v>
      </c>
      <c r="C2292" s="19">
        <f t="shared" si="340"/>
        <v>0.005448354143</v>
      </c>
      <c r="D2292" s="19">
        <f t="shared" si="341"/>
        <v>0.02006346688</v>
      </c>
      <c r="E2292" s="12"/>
      <c r="F2292" s="7"/>
      <c r="G2292" s="7"/>
      <c r="H2292" s="1"/>
      <c r="I2292" s="1"/>
      <c r="J2292" s="1"/>
      <c r="K2292" s="1"/>
      <c r="L2292" s="12">
        <f t="shared" si="342"/>
        <v>19999.23393</v>
      </c>
      <c r="M2292" s="12"/>
      <c r="N2292" s="15"/>
      <c r="O2292" s="1"/>
      <c r="Q2292" s="12"/>
      <c r="R2292" s="1"/>
    </row>
    <row r="2293" ht="12.75" hidden="1" customHeight="1" outlineLevel="1">
      <c r="A2293" s="122">
        <f t="shared" si="343"/>
        <v>43558</v>
      </c>
      <c r="B2293" s="120">
        <v>894212.95</v>
      </c>
      <c r="C2293" s="19">
        <f t="shared" si="340"/>
        <v>0.009497572816</v>
      </c>
      <c r="D2293" s="19">
        <f t="shared" si="341"/>
        <v>0.02975159393</v>
      </c>
      <c r="E2293" s="12"/>
      <c r="F2293" s="7"/>
      <c r="G2293" s="7"/>
      <c r="H2293" s="1"/>
      <c r="I2293" s="1"/>
      <c r="J2293" s="1"/>
      <c r="K2293" s="1"/>
      <c r="L2293" s="12">
        <f t="shared" si="342"/>
        <v>20189.17812</v>
      </c>
      <c r="M2293" s="12"/>
      <c r="N2293" s="15"/>
      <c r="O2293" s="1"/>
      <c r="Q2293" s="12"/>
      <c r="R2293" s="1"/>
    </row>
    <row r="2294" ht="12.75" hidden="1" customHeight="1" outlineLevel="1">
      <c r="A2294" s="122">
        <f t="shared" si="343"/>
        <v>43559</v>
      </c>
      <c r="B2294" s="120">
        <v>899400.0</v>
      </c>
      <c r="C2294" s="19">
        <f t="shared" si="340"/>
        <v>0.005800687633</v>
      </c>
      <c r="D2294" s="19">
        <f t="shared" si="341"/>
        <v>0.03572486127</v>
      </c>
      <c r="E2294" s="12"/>
      <c r="F2294" s="7"/>
      <c r="G2294" s="7"/>
      <c r="H2294" s="1"/>
      <c r="I2294" s="1"/>
      <c r="J2294" s="1"/>
      <c r="K2294" s="1"/>
      <c r="L2294" s="12">
        <f t="shared" si="342"/>
        <v>20306.28923</v>
      </c>
      <c r="M2294" s="12"/>
      <c r="N2294" s="15"/>
      <c r="O2294" s="1"/>
      <c r="Q2294" s="12"/>
      <c r="R2294" s="1"/>
    </row>
    <row r="2295" ht="12.75" hidden="1" customHeight="1" outlineLevel="1">
      <c r="A2295" s="122">
        <f t="shared" si="343"/>
        <v>43560</v>
      </c>
      <c r="B2295" s="120">
        <v>905000.0</v>
      </c>
      <c r="C2295" s="19">
        <f t="shared" si="340"/>
        <v>0.006226373138</v>
      </c>
      <c r="D2295" s="19">
        <f t="shared" si="341"/>
        <v>0.04217367072</v>
      </c>
      <c r="E2295" s="12"/>
      <c r="F2295" s="7"/>
      <c r="G2295" s="7"/>
      <c r="H2295" s="1"/>
      <c r="I2295" s="1"/>
      <c r="J2295" s="1"/>
      <c r="K2295" s="1"/>
      <c r="L2295" s="12">
        <f t="shared" si="342"/>
        <v>20432.72376</v>
      </c>
      <c r="M2295" s="12"/>
      <c r="N2295" s="15"/>
      <c r="O2295" s="1"/>
      <c r="Q2295" s="12"/>
      <c r="R2295" s="1"/>
    </row>
    <row r="2296" ht="12.75" hidden="1" customHeight="1" outlineLevel="1">
      <c r="A2296" s="122">
        <f t="shared" si="343"/>
        <v>43561</v>
      </c>
      <c r="B2296" s="120">
        <v>905000.0</v>
      </c>
      <c r="C2296" s="19">
        <f t="shared" si="340"/>
        <v>0</v>
      </c>
      <c r="D2296" s="19">
        <f t="shared" si="341"/>
        <v>0.04217367072</v>
      </c>
      <c r="E2296" s="12"/>
      <c r="F2296" s="7"/>
      <c r="G2296" s="7"/>
      <c r="H2296" s="1"/>
      <c r="I2296" s="1"/>
      <c r="J2296" s="1"/>
      <c r="K2296" s="1"/>
      <c r="L2296" s="12">
        <f t="shared" si="342"/>
        <v>20432.72376</v>
      </c>
      <c r="M2296" s="12"/>
      <c r="N2296" s="15"/>
      <c r="O2296" s="1"/>
      <c r="Q2296" s="12"/>
      <c r="R2296" s="1"/>
    </row>
    <row r="2297" ht="12.75" hidden="1" customHeight="1" outlineLevel="1">
      <c r="A2297" s="122">
        <f t="shared" si="343"/>
        <v>43562</v>
      </c>
      <c r="B2297" s="120">
        <v>905000.0</v>
      </c>
      <c r="C2297" s="19">
        <f t="shared" si="340"/>
        <v>0</v>
      </c>
      <c r="D2297" s="19">
        <f t="shared" si="341"/>
        <v>0.04217367072</v>
      </c>
      <c r="E2297" s="12"/>
      <c r="F2297" s="7"/>
      <c r="G2297" s="7"/>
      <c r="H2297" s="1"/>
      <c r="I2297" s="1"/>
      <c r="J2297" s="1"/>
      <c r="K2297" s="1"/>
      <c r="L2297" s="12">
        <f t="shared" si="342"/>
        <v>20432.72376</v>
      </c>
      <c r="M2297" s="12"/>
      <c r="N2297" s="15"/>
      <c r="O2297" s="1"/>
      <c r="Q2297" s="12"/>
      <c r="R2297" s="1"/>
    </row>
    <row r="2298" ht="12.75" hidden="1" customHeight="1" outlineLevel="1">
      <c r="A2298" s="122">
        <f t="shared" si="343"/>
        <v>43563</v>
      </c>
      <c r="B2298" s="120">
        <v>905300.0</v>
      </c>
      <c r="C2298" s="19">
        <f t="shared" si="340"/>
        <v>0.0003314917127</v>
      </c>
      <c r="D2298" s="19">
        <f t="shared" si="341"/>
        <v>0.04251914266</v>
      </c>
      <c r="E2298" s="12"/>
      <c r="F2298" s="7"/>
      <c r="G2298" s="7"/>
      <c r="H2298" s="1"/>
      <c r="I2298" s="1"/>
      <c r="J2298" s="1"/>
      <c r="K2298" s="1"/>
      <c r="L2298" s="12">
        <f t="shared" si="342"/>
        <v>20439.49704</v>
      </c>
      <c r="M2298" s="12"/>
      <c r="N2298" s="15"/>
      <c r="O2298" s="1"/>
      <c r="Q2298" s="12"/>
      <c r="R2298" s="1"/>
    </row>
    <row r="2299" ht="12.75" hidden="1" customHeight="1" outlineLevel="1">
      <c r="A2299" s="122">
        <f t="shared" si="343"/>
        <v>43564</v>
      </c>
      <c r="B2299" s="120">
        <v>899918.7999999998</v>
      </c>
      <c r="C2299" s="19">
        <f t="shared" si="340"/>
        <v>-0.005944106926</v>
      </c>
      <c r="D2299" s="19">
        <f t="shared" si="341"/>
        <v>0.0363222974</v>
      </c>
      <c r="E2299" s="12"/>
      <c r="F2299" s="7"/>
      <c r="G2299" s="7"/>
      <c r="H2299" s="1"/>
      <c r="I2299" s="1"/>
      <c r="J2299" s="1"/>
      <c r="K2299" s="1"/>
      <c r="L2299" s="12">
        <f t="shared" si="342"/>
        <v>20318.00249</v>
      </c>
      <c r="M2299" s="12"/>
      <c r="N2299" s="15"/>
      <c r="O2299" s="1"/>
      <c r="Q2299" s="12"/>
      <c r="R2299" s="1"/>
    </row>
    <row r="2300" ht="12.75" hidden="1" customHeight="1" outlineLevel="1">
      <c r="A2300" s="122">
        <f t="shared" si="343"/>
        <v>43565</v>
      </c>
      <c r="B2300" s="120">
        <v>905000.0</v>
      </c>
      <c r="C2300" s="19">
        <f t="shared" si="340"/>
        <v>0.005646287198</v>
      </c>
      <c r="D2300" s="19">
        <f t="shared" si="341"/>
        <v>0.04217367072</v>
      </c>
      <c r="E2300" s="12"/>
      <c r="F2300" s="7"/>
      <c r="G2300" s="7"/>
      <c r="H2300" s="1"/>
      <c r="I2300" s="1"/>
      <c r="J2300" s="1"/>
      <c r="K2300" s="1"/>
      <c r="L2300" s="12">
        <f t="shared" si="342"/>
        <v>20432.72376</v>
      </c>
      <c r="M2300" s="12"/>
      <c r="N2300" s="15"/>
      <c r="O2300" s="1"/>
      <c r="Q2300" s="12"/>
      <c r="R2300" s="1"/>
    </row>
    <row r="2301" ht="12.75" hidden="1" customHeight="1" outlineLevel="1">
      <c r="A2301" s="122">
        <f t="shared" si="343"/>
        <v>43566</v>
      </c>
      <c r="B2301" s="120">
        <v>906800.0</v>
      </c>
      <c r="C2301" s="19">
        <f t="shared" si="340"/>
        <v>0.001988950276</v>
      </c>
      <c r="D2301" s="19">
        <f t="shared" si="341"/>
        <v>0.04424650233</v>
      </c>
      <c r="E2301" s="12"/>
      <c r="F2301" s="7"/>
      <c r="G2301" s="7"/>
      <c r="H2301" s="1"/>
      <c r="I2301" s="1"/>
      <c r="J2301" s="1"/>
      <c r="K2301" s="1"/>
      <c r="L2301" s="12">
        <f t="shared" si="342"/>
        <v>20473.36344</v>
      </c>
      <c r="M2301" s="12"/>
      <c r="N2301" s="15"/>
      <c r="O2301" s="1"/>
      <c r="Q2301" s="12"/>
      <c r="R2301" s="1"/>
    </row>
    <row r="2302" ht="12.75" hidden="1" customHeight="1" outlineLevel="1">
      <c r="A2302" s="122">
        <f t="shared" si="343"/>
        <v>43567</v>
      </c>
      <c r="B2302" s="120">
        <v>913500.0</v>
      </c>
      <c r="C2302" s="19">
        <f t="shared" si="340"/>
        <v>0.007388619321</v>
      </c>
      <c r="D2302" s="19">
        <f t="shared" si="341"/>
        <v>0.05196204222</v>
      </c>
      <c r="E2302" s="12"/>
      <c r="F2302" s="7"/>
      <c r="G2302" s="7"/>
      <c r="H2302" s="1"/>
      <c r="I2302" s="1"/>
      <c r="J2302" s="1"/>
      <c r="K2302" s="1"/>
      <c r="L2302" s="12">
        <f t="shared" si="342"/>
        <v>20624.63333</v>
      </c>
      <c r="M2302" s="12"/>
      <c r="N2302" s="15"/>
      <c r="O2302" s="1"/>
      <c r="Q2302" s="12"/>
      <c r="R2302" s="1"/>
    </row>
    <row r="2303" ht="12.75" hidden="1" customHeight="1" outlineLevel="1">
      <c r="A2303" s="122">
        <f t="shared" si="343"/>
        <v>43568</v>
      </c>
      <c r="B2303" s="120">
        <v>913500.0</v>
      </c>
      <c r="C2303" s="19">
        <f t="shared" si="340"/>
        <v>0</v>
      </c>
      <c r="D2303" s="19">
        <f t="shared" si="341"/>
        <v>0.05196204222</v>
      </c>
      <c r="E2303" s="12"/>
      <c r="F2303" s="7"/>
      <c r="G2303" s="7"/>
      <c r="H2303" s="1"/>
      <c r="I2303" s="1"/>
      <c r="J2303" s="1"/>
      <c r="K2303" s="1"/>
      <c r="L2303" s="12">
        <f t="shared" si="342"/>
        <v>20624.63333</v>
      </c>
      <c r="M2303" s="12"/>
      <c r="N2303" s="15"/>
      <c r="O2303" s="1"/>
      <c r="Q2303" s="12"/>
      <c r="R2303" s="1"/>
    </row>
    <row r="2304" ht="12.75" hidden="1" customHeight="1" outlineLevel="1">
      <c r="A2304" s="122">
        <f t="shared" si="343"/>
        <v>43569</v>
      </c>
      <c r="B2304" s="120">
        <v>913500.0</v>
      </c>
      <c r="C2304" s="19">
        <f t="shared" si="340"/>
        <v>0</v>
      </c>
      <c r="D2304" s="19">
        <f t="shared" si="341"/>
        <v>0.05196204222</v>
      </c>
      <c r="E2304" s="12"/>
      <c r="F2304" s="7"/>
      <c r="G2304" s="7"/>
      <c r="H2304" s="1"/>
      <c r="I2304" s="1"/>
      <c r="J2304" s="1"/>
      <c r="K2304" s="1"/>
      <c r="L2304" s="12">
        <f t="shared" si="342"/>
        <v>20624.63333</v>
      </c>
      <c r="M2304" s="12"/>
      <c r="N2304" s="15"/>
      <c r="O2304" s="1"/>
      <c r="Q2304" s="12"/>
      <c r="R2304" s="1"/>
    </row>
    <row r="2305" ht="12.75" hidden="1" customHeight="1" outlineLevel="1">
      <c r="A2305" s="122">
        <f t="shared" si="343"/>
        <v>43570</v>
      </c>
      <c r="B2305" s="120">
        <v>915000.0</v>
      </c>
      <c r="C2305" s="19">
        <f t="shared" si="340"/>
        <v>0.001642036125</v>
      </c>
      <c r="D2305" s="19">
        <f t="shared" si="341"/>
        <v>0.05368940189</v>
      </c>
      <c r="E2305" s="12"/>
      <c r="F2305" s="7"/>
      <c r="G2305" s="7"/>
      <c r="H2305" s="1"/>
      <c r="I2305" s="1"/>
      <c r="J2305" s="1"/>
      <c r="K2305" s="1"/>
      <c r="L2305" s="12">
        <f t="shared" si="342"/>
        <v>20658.49972</v>
      </c>
      <c r="M2305" s="12"/>
      <c r="N2305" s="15"/>
      <c r="O2305" s="1"/>
      <c r="Q2305" s="12"/>
      <c r="R2305" s="1"/>
    </row>
    <row r="2306" ht="12.75" hidden="1" customHeight="1" outlineLevel="1">
      <c r="A2306" s="122">
        <f t="shared" si="343"/>
        <v>43571</v>
      </c>
      <c r="B2306" s="120">
        <v>916700.0</v>
      </c>
      <c r="C2306" s="19">
        <f t="shared" si="340"/>
        <v>0.001857923497</v>
      </c>
      <c r="D2306" s="19">
        <f t="shared" si="341"/>
        <v>0.05564707619</v>
      </c>
      <c r="E2306" s="12"/>
      <c r="F2306" s="7"/>
      <c r="G2306" s="7"/>
      <c r="H2306" s="1"/>
      <c r="I2306" s="1"/>
      <c r="J2306" s="1"/>
      <c r="K2306" s="1"/>
      <c r="L2306" s="12">
        <f t="shared" si="342"/>
        <v>20696.88163</v>
      </c>
      <c r="M2306" s="12"/>
      <c r="N2306" s="15"/>
      <c r="O2306" s="1"/>
      <c r="Q2306" s="12"/>
      <c r="R2306" s="1"/>
    </row>
    <row r="2307" ht="12.75" hidden="1" customHeight="1" outlineLevel="1">
      <c r="A2307" s="122">
        <f t="shared" si="343"/>
        <v>43572</v>
      </c>
      <c r="B2307" s="120">
        <v>918900.0</v>
      </c>
      <c r="C2307" s="19">
        <f t="shared" si="340"/>
        <v>0.00239991273</v>
      </c>
      <c r="D2307" s="19">
        <f t="shared" si="341"/>
        <v>0.05818053705</v>
      </c>
      <c r="E2307" s="12"/>
      <c r="F2307" s="7"/>
      <c r="G2307" s="7"/>
      <c r="H2307" s="1"/>
      <c r="I2307" s="1"/>
      <c r="J2307" s="1"/>
      <c r="K2307" s="1"/>
      <c r="L2307" s="12">
        <f t="shared" si="342"/>
        <v>20746.55234</v>
      </c>
      <c r="M2307" s="12"/>
      <c r="N2307" s="15"/>
      <c r="O2307" s="1"/>
      <c r="Q2307" s="12"/>
      <c r="R2307" s="1"/>
    </row>
    <row r="2308" ht="12.75" hidden="1" customHeight="1" outlineLevel="1">
      <c r="A2308" s="122">
        <f t="shared" si="343"/>
        <v>43573</v>
      </c>
      <c r="B2308" s="120">
        <v>921000.0</v>
      </c>
      <c r="C2308" s="19">
        <f t="shared" si="340"/>
        <v>0.002285341169</v>
      </c>
      <c r="D2308" s="19">
        <f t="shared" si="341"/>
        <v>0.06059884059</v>
      </c>
      <c r="E2308" s="12"/>
      <c r="F2308" s="7"/>
      <c r="G2308" s="7"/>
      <c r="H2308" s="1"/>
      <c r="I2308" s="1"/>
      <c r="J2308" s="1"/>
      <c r="K2308" s="1"/>
      <c r="L2308" s="12">
        <f t="shared" si="342"/>
        <v>20793.96529</v>
      </c>
      <c r="M2308" s="12"/>
      <c r="N2308" s="15"/>
      <c r="O2308" s="1"/>
      <c r="Q2308" s="12"/>
      <c r="R2308" s="1"/>
    </row>
    <row r="2309" ht="12.75" hidden="1" customHeight="1" outlineLevel="1">
      <c r="A2309" s="122">
        <f t="shared" si="343"/>
        <v>43574</v>
      </c>
      <c r="B2309" s="120">
        <v>921000.0</v>
      </c>
      <c r="C2309" s="19">
        <f t="shared" si="340"/>
        <v>0</v>
      </c>
      <c r="D2309" s="19">
        <f t="shared" si="341"/>
        <v>0.06059884059</v>
      </c>
      <c r="E2309" s="12"/>
      <c r="F2309" s="7"/>
      <c r="G2309" s="7"/>
      <c r="H2309" s="1"/>
      <c r="I2309" s="1"/>
      <c r="J2309" s="1"/>
      <c r="K2309" s="1"/>
      <c r="L2309" s="12">
        <f t="shared" si="342"/>
        <v>20793.96529</v>
      </c>
      <c r="M2309" s="12"/>
      <c r="N2309" s="15"/>
      <c r="O2309" s="1"/>
      <c r="Q2309" s="12"/>
      <c r="R2309" s="1"/>
    </row>
    <row r="2310" ht="12.75" hidden="1" customHeight="1" outlineLevel="1">
      <c r="A2310" s="122">
        <f t="shared" si="343"/>
        <v>43575</v>
      </c>
      <c r="B2310" s="120">
        <v>921000.0</v>
      </c>
      <c r="C2310" s="19">
        <f t="shared" si="340"/>
        <v>0</v>
      </c>
      <c r="D2310" s="19">
        <f t="shared" si="341"/>
        <v>0.06059884059</v>
      </c>
      <c r="E2310" s="12"/>
      <c r="F2310" s="7"/>
      <c r="G2310" s="7"/>
      <c r="H2310" s="1"/>
      <c r="I2310" s="1"/>
      <c r="J2310" s="1"/>
      <c r="K2310" s="1"/>
      <c r="L2310" s="12">
        <f t="shared" si="342"/>
        <v>20793.96529</v>
      </c>
      <c r="M2310" s="12"/>
      <c r="N2310" s="15"/>
      <c r="O2310" s="1"/>
      <c r="Q2310" s="12"/>
      <c r="R2310" s="1"/>
    </row>
    <row r="2311" ht="12.75" hidden="1" customHeight="1" outlineLevel="1">
      <c r="A2311" s="122">
        <f t="shared" si="343"/>
        <v>43576</v>
      </c>
      <c r="B2311" s="120">
        <v>921000.0</v>
      </c>
      <c r="C2311" s="19">
        <f t="shared" si="340"/>
        <v>0</v>
      </c>
      <c r="D2311" s="19">
        <f t="shared" si="341"/>
        <v>0.06059884059</v>
      </c>
      <c r="E2311" s="12"/>
      <c r="F2311" s="7"/>
      <c r="G2311" s="7"/>
      <c r="H2311" s="1"/>
      <c r="I2311" s="1"/>
      <c r="J2311" s="1"/>
      <c r="K2311" s="1"/>
      <c r="L2311" s="12">
        <f t="shared" si="342"/>
        <v>20793.96529</v>
      </c>
      <c r="M2311" s="12"/>
      <c r="N2311" s="15"/>
      <c r="O2311" s="1"/>
      <c r="Q2311" s="12"/>
      <c r="R2311" s="1"/>
    </row>
    <row r="2312" ht="12.75" hidden="1" customHeight="1" outlineLevel="1">
      <c r="A2312" s="122">
        <f t="shared" si="343"/>
        <v>43577</v>
      </c>
      <c r="B2312" s="120">
        <v>921000.0</v>
      </c>
      <c r="C2312" s="19">
        <f t="shared" si="340"/>
        <v>0</v>
      </c>
      <c r="D2312" s="19">
        <f t="shared" si="341"/>
        <v>0.06059884059</v>
      </c>
      <c r="E2312" s="12"/>
      <c r="F2312" s="7"/>
      <c r="G2312" s="7"/>
      <c r="H2312" s="1"/>
      <c r="I2312" s="1"/>
      <c r="J2312" s="1"/>
      <c r="K2312" s="1"/>
      <c r="L2312" s="12">
        <f t="shared" si="342"/>
        <v>20793.96529</v>
      </c>
      <c r="M2312" s="12"/>
      <c r="N2312" s="15"/>
      <c r="O2312" s="1"/>
      <c r="Q2312" s="12"/>
      <c r="R2312" s="1"/>
    </row>
    <row r="2313" ht="12.75" hidden="1" customHeight="1" outlineLevel="1">
      <c r="A2313" s="122">
        <f t="shared" si="343"/>
        <v>43578</v>
      </c>
      <c r="B2313" s="120">
        <v>936002.3500000001</v>
      </c>
      <c r="C2313" s="19">
        <f t="shared" si="340"/>
        <v>0.01628919653</v>
      </c>
      <c r="D2313" s="19">
        <f t="shared" si="341"/>
        <v>0.07787514354</v>
      </c>
      <c r="E2313" s="12"/>
      <c r="F2313" s="7"/>
      <c r="G2313" s="7"/>
      <c r="H2313" s="1"/>
      <c r="I2313" s="1"/>
      <c r="J2313" s="1"/>
      <c r="K2313" s="1"/>
      <c r="L2313" s="12">
        <f t="shared" si="342"/>
        <v>21132.68228</v>
      </c>
      <c r="M2313" s="12"/>
      <c r="N2313" s="15"/>
      <c r="O2313" s="1"/>
      <c r="Q2313" s="12"/>
      <c r="R2313" s="1"/>
    </row>
    <row r="2314" ht="12.75" hidden="1" customHeight="1" outlineLevel="1">
      <c r="A2314" s="122">
        <f t="shared" si="343"/>
        <v>43579</v>
      </c>
      <c r="B2314" s="120">
        <v>933000.0</v>
      </c>
      <c r="C2314" s="19">
        <f t="shared" si="340"/>
        <v>-0.003207630836</v>
      </c>
      <c r="D2314" s="19">
        <f t="shared" si="341"/>
        <v>0.07441771799</v>
      </c>
      <c r="E2314" s="12"/>
      <c r="F2314" s="7"/>
      <c r="G2314" s="7"/>
      <c r="H2314" s="1"/>
      <c r="I2314" s="1"/>
      <c r="J2314" s="1"/>
      <c r="K2314" s="1"/>
      <c r="L2314" s="12">
        <f t="shared" si="342"/>
        <v>21064.89643</v>
      </c>
      <c r="M2314" s="12"/>
      <c r="N2314" s="15"/>
      <c r="O2314" s="1"/>
      <c r="Q2314" s="12"/>
      <c r="R2314" s="1"/>
    </row>
    <row r="2315" ht="12.75" hidden="1" customHeight="1" outlineLevel="1">
      <c r="A2315" s="122">
        <f t="shared" si="343"/>
        <v>43580</v>
      </c>
      <c r="B2315" s="120">
        <v>937680.6499999999</v>
      </c>
      <c r="C2315" s="19">
        <f t="shared" si="340"/>
        <v>0.005016773848</v>
      </c>
      <c r="D2315" s="19">
        <f t="shared" si="341"/>
        <v>0.0798078287</v>
      </c>
      <c r="E2315" s="12"/>
      <c r="F2315" s="7"/>
      <c r="G2315" s="7"/>
      <c r="H2315" s="1"/>
      <c r="I2315" s="1"/>
      <c r="J2315" s="1"/>
      <c r="K2315" s="1"/>
      <c r="L2315" s="12">
        <f t="shared" si="342"/>
        <v>21170.57426</v>
      </c>
      <c r="M2315" s="12"/>
      <c r="N2315" s="15"/>
      <c r="O2315" s="1"/>
      <c r="Q2315" s="12"/>
      <c r="R2315" s="1"/>
    </row>
    <row r="2316" ht="12.75" hidden="1" customHeight="1" outlineLevel="1">
      <c r="A2316" s="122">
        <f t="shared" si="343"/>
        <v>43581</v>
      </c>
      <c r="B2316" s="120">
        <v>937137.0</v>
      </c>
      <c r="C2316" s="19">
        <f t="shared" si="340"/>
        <v>-0.0005797816133</v>
      </c>
      <c r="D2316" s="19">
        <f t="shared" si="341"/>
        <v>0.07918177598</v>
      </c>
      <c r="E2316" s="12"/>
      <c r="F2316" s="7"/>
      <c r="G2316" s="7"/>
      <c r="H2316" s="1"/>
      <c r="I2316" s="1"/>
      <c r="J2316" s="1"/>
      <c r="K2316" s="1"/>
      <c r="L2316" s="12">
        <f t="shared" si="342"/>
        <v>21158.29995</v>
      </c>
      <c r="M2316" s="12"/>
      <c r="N2316" s="15"/>
      <c r="O2316" s="1"/>
      <c r="Q2316" s="12"/>
      <c r="R2316" s="1"/>
    </row>
    <row r="2317" ht="12.75" hidden="1" customHeight="1" outlineLevel="1">
      <c r="A2317" s="122">
        <f t="shared" si="343"/>
        <v>43582</v>
      </c>
      <c r="B2317" s="120">
        <v>937137.0</v>
      </c>
      <c r="C2317" s="19">
        <f t="shared" si="340"/>
        <v>0</v>
      </c>
      <c r="D2317" s="19">
        <f t="shared" si="341"/>
        <v>0.07918177598</v>
      </c>
      <c r="E2317" s="12"/>
      <c r="F2317" s="7"/>
      <c r="G2317" s="7"/>
      <c r="H2317" s="1"/>
      <c r="I2317" s="1"/>
      <c r="J2317" s="1"/>
      <c r="K2317" s="1"/>
      <c r="L2317" s="12">
        <f t="shared" si="342"/>
        <v>21158.29995</v>
      </c>
      <c r="M2317" s="12"/>
      <c r="N2317" s="15"/>
      <c r="O2317" s="1"/>
      <c r="Q2317" s="12"/>
      <c r="R2317" s="1"/>
    </row>
    <row r="2318" ht="12.75" hidden="1" customHeight="1" outlineLevel="1">
      <c r="A2318" s="122">
        <f t="shared" si="343"/>
        <v>43583</v>
      </c>
      <c r="B2318" s="120">
        <v>937137.0</v>
      </c>
      <c r="C2318" s="19">
        <f t="shared" si="340"/>
        <v>0</v>
      </c>
      <c r="D2318" s="19">
        <f t="shared" si="341"/>
        <v>0.07918177598</v>
      </c>
      <c r="E2318" s="12"/>
      <c r="F2318" s="7"/>
      <c r="G2318" s="7"/>
      <c r="H2318" s="1"/>
      <c r="I2318" s="1"/>
      <c r="J2318" s="1"/>
      <c r="K2318" s="1"/>
      <c r="L2318" s="12">
        <f t="shared" si="342"/>
        <v>21158.29995</v>
      </c>
      <c r="M2318" s="12"/>
      <c r="N2318" s="15"/>
      <c r="O2318" s="1"/>
      <c r="Q2318" s="12"/>
      <c r="R2318" s="1"/>
    </row>
    <row r="2319" ht="12.75" hidden="1" customHeight="1" outlineLevel="1">
      <c r="A2319" s="122">
        <f t="shared" si="343"/>
        <v>43584</v>
      </c>
      <c r="B2319" s="120">
        <v>934000.0</v>
      </c>
      <c r="C2319" s="19">
        <f t="shared" si="340"/>
        <v>-0.003347429458</v>
      </c>
      <c r="D2319" s="19">
        <f t="shared" si="341"/>
        <v>0.07556929111</v>
      </c>
      <c r="E2319" s="12"/>
      <c r="F2319" s="7"/>
      <c r="G2319" s="7"/>
      <c r="H2319" s="1"/>
      <c r="I2319" s="1"/>
      <c r="J2319" s="1"/>
      <c r="K2319" s="1"/>
      <c r="L2319" s="12">
        <f t="shared" si="342"/>
        <v>21087.47403</v>
      </c>
      <c r="M2319" s="12"/>
      <c r="N2319" s="15"/>
      <c r="O2319" s="1"/>
      <c r="Q2319" s="12"/>
      <c r="R2319" s="1"/>
    </row>
    <row r="2320" ht="12.75" hidden="1" customHeight="1" outlineLevel="1">
      <c r="A2320" s="122">
        <f t="shared" si="343"/>
        <v>43585</v>
      </c>
      <c r="B2320" s="120">
        <v>938993.4</v>
      </c>
      <c r="C2320" s="19">
        <f t="shared" si="340"/>
        <v>0.005346252677</v>
      </c>
      <c r="D2320" s="19">
        <f t="shared" si="341"/>
        <v>0.08131955631</v>
      </c>
      <c r="E2320" s="12"/>
      <c r="F2320" s="7"/>
      <c r="G2320" s="7"/>
      <c r="H2320" s="1"/>
      <c r="I2320" s="1"/>
      <c r="J2320" s="1"/>
      <c r="K2320" s="1"/>
      <c r="L2320" s="12">
        <f t="shared" si="342"/>
        <v>21200.21299</v>
      </c>
      <c r="M2320" s="12"/>
      <c r="N2320" s="15"/>
      <c r="O2320" s="1"/>
      <c r="Q2320" s="12"/>
      <c r="R2320" s="1"/>
    </row>
    <row r="2321" ht="12.75" hidden="1" customHeight="1" outlineLevel="1">
      <c r="A2321" s="122"/>
      <c r="B2321" s="12"/>
      <c r="C2321" s="1"/>
      <c r="D2321" s="1"/>
      <c r="E2321" s="12"/>
      <c r="F2321" s="7"/>
      <c r="G2321" s="7"/>
      <c r="H2321" s="1"/>
      <c r="I2321" s="1"/>
      <c r="J2321" s="1"/>
      <c r="K2321" s="1"/>
      <c r="L2321" s="12"/>
      <c r="M2321" s="12"/>
      <c r="N2321" s="15"/>
      <c r="O2321" s="1"/>
      <c r="Q2321" s="12"/>
      <c r="R2321" s="1"/>
    </row>
    <row r="2322" ht="12.75" hidden="1" customHeight="1" outlineLevel="1">
      <c r="A2322" s="122"/>
      <c r="B2322" s="12">
        <f>B2320</f>
        <v>938993.4</v>
      </c>
      <c r="C2322" s="1"/>
      <c r="D2322" s="1"/>
      <c r="E2322" s="12"/>
      <c r="F2322" s="7"/>
      <c r="G2322" s="7"/>
      <c r="H2322" s="1"/>
      <c r="I2322" s="1"/>
      <c r="J2322" s="1"/>
      <c r="K2322" s="1"/>
      <c r="L2322" s="12"/>
      <c r="M2322" s="12"/>
      <c r="N2322" s="15"/>
      <c r="O2322" s="1"/>
      <c r="Q2322" s="12"/>
      <c r="R2322" s="1"/>
    </row>
    <row r="2323" ht="12.75" hidden="1" customHeight="1" outlineLevel="1">
      <c r="A2323" s="122">
        <f>A2320+1</f>
        <v>43586</v>
      </c>
      <c r="B2323" s="120">
        <v>933000.0</v>
      </c>
      <c r="C2323" s="19">
        <f t="shared" ref="C2323:C2353" si="344">B2323/B2322-1</f>
        <v>-0.006382792467</v>
      </c>
      <c r="D2323" s="19">
        <f t="shared" ref="D2323:D2353" si="345">(B2323/$B$2322)-1</f>
        <v>-0.006382792467</v>
      </c>
      <c r="E2323" s="12"/>
      <c r="F2323" s="7"/>
      <c r="G2323" s="7"/>
      <c r="H2323" s="1"/>
      <c r="I2323" s="1"/>
      <c r="J2323" s="1"/>
      <c r="K2323" s="1"/>
      <c r="L2323" s="12">
        <f t="shared" ref="L2323:L2353" si="346">IF(C2322="",L2320*(1+C2323),L2322*(1+C2323))</f>
        <v>21064.89643</v>
      </c>
      <c r="M2323" s="12"/>
      <c r="N2323" s="15"/>
      <c r="O2323" s="1"/>
      <c r="Q2323" s="12"/>
      <c r="R2323" s="1"/>
    </row>
    <row r="2324" ht="12.75" hidden="1" customHeight="1" outlineLevel="1">
      <c r="A2324" s="122">
        <f t="shared" ref="A2324:A2353" si="347">A2323+1</f>
        <v>43587</v>
      </c>
      <c r="B2324" s="120">
        <v>928562.3499999999</v>
      </c>
      <c r="C2324" s="19">
        <f t="shared" si="344"/>
        <v>-0.004756323687</v>
      </c>
      <c r="D2324" s="19">
        <f t="shared" si="345"/>
        <v>-0.01110875753</v>
      </c>
      <c r="E2324" s="12"/>
      <c r="F2324" s="7"/>
      <c r="G2324" s="7"/>
      <c r="H2324" s="1"/>
      <c r="I2324" s="1"/>
      <c r="J2324" s="1"/>
      <c r="K2324" s="1"/>
      <c r="L2324" s="12">
        <f t="shared" si="346"/>
        <v>20964.70497</v>
      </c>
      <c r="M2324" s="12"/>
      <c r="N2324" s="15"/>
      <c r="O2324" s="1"/>
      <c r="Q2324" s="12"/>
      <c r="R2324" s="1"/>
    </row>
    <row r="2325" ht="12.75" hidden="1" customHeight="1" outlineLevel="1">
      <c r="A2325" s="122">
        <f t="shared" si="347"/>
        <v>43588</v>
      </c>
      <c r="B2325" s="120">
        <v>931700.0</v>
      </c>
      <c r="C2325" s="19">
        <f t="shared" si="344"/>
        <v>0.003379040729</v>
      </c>
      <c r="D2325" s="19">
        <f t="shared" si="345"/>
        <v>-0.007767253742</v>
      </c>
      <c r="E2325" s="12"/>
      <c r="F2325" s="7"/>
      <c r="G2325" s="7"/>
      <c r="H2325" s="1"/>
      <c r="I2325" s="1"/>
      <c r="J2325" s="1"/>
      <c r="K2325" s="1"/>
      <c r="L2325" s="12">
        <f t="shared" si="346"/>
        <v>21035.54556</v>
      </c>
      <c r="M2325" s="12"/>
      <c r="N2325" s="15"/>
      <c r="O2325" s="1"/>
      <c r="Q2325" s="12"/>
      <c r="R2325" s="1"/>
    </row>
    <row r="2326" ht="12.75" hidden="1" customHeight="1" outlineLevel="1">
      <c r="A2326" s="122">
        <f t="shared" si="347"/>
        <v>43589</v>
      </c>
      <c r="B2326" s="120">
        <v>931700.0</v>
      </c>
      <c r="C2326" s="19">
        <f t="shared" si="344"/>
        <v>0</v>
      </c>
      <c r="D2326" s="19">
        <f t="shared" si="345"/>
        <v>-0.007767253742</v>
      </c>
      <c r="E2326" s="12"/>
      <c r="F2326" s="7"/>
      <c r="G2326" s="7"/>
      <c r="H2326" s="1"/>
      <c r="I2326" s="1"/>
      <c r="J2326" s="1"/>
      <c r="K2326" s="1"/>
      <c r="L2326" s="12">
        <f t="shared" si="346"/>
        <v>21035.54556</v>
      </c>
      <c r="M2326" s="12"/>
      <c r="N2326" s="15"/>
      <c r="O2326" s="1"/>
      <c r="Q2326" s="12"/>
      <c r="R2326" s="1"/>
    </row>
    <row r="2327" ht="12.75" hidden="1" customHeight="1" outlineLevel="1">
      <c r="A2327" s="122">
        <f t="shared" si="347"/>
        <v>43590</v>
      </c>
      <c r="B2327" s="120">
        <v>931700.0</v>
      </c>
      <c r="C2327" s="19">
        <f t="shared" si="344"/>
        <v>0</v>
      </c>
      <c r="D2327" s="19">
        <f t="shared" si="345"/>
        <v>-0.007767253742</v>
      </c>
      <c r="E2327" s="12"/>
      <c r="F2327" s="7"/>
      <c r="G2327" s="7"/>
      <c r="H2327" s="1"/>
      <c r="I2327" s="1"/>
      <c r="J2327" s="1"/>
      <c r="K2327" s="1"/>
      <c r="L2327" s="12">
        <f t="shared" si="346"/>
        <v>21035.54556</v>
      </c>
      <c r="M2327" s="12"/>
      <c r="N2327" s="15"/>
      <c r="O2327" s="1"/>
      <c r="Q2327" s="12"/>
      <c r="R2327" s="1"/>
    </row>
    <row r="2328" ht="12.75" hidden="1" customHeight="1" outlineLevel="1">
      <c r="A2328" s="122">
        <f t="shared" si="347"/>
        <v>43591</v>
      </c>
      <c r="B2328" s="120">
        <v>927547.55</v>
      </c>
      <c r="C2328" s="19">
        <f t="shared" si="344"/>
        <v>-0.004456853064</v>
      </c>
      <c r="D2328" s="19">
        <f t="shared" si="345"/>
        <v>-0.0121894893</v>
      </c>
      <c r="E2328" s="12"/>
      <c r="F2328" s="7"/>
      <c r="G2328" s="7"/>
      <c r="H2328" s="1"/>
      <c r="I2328" s="1"/>
      <c r="J2328" s="1"/>
      <c r="K2328" s="1"/>
      <c r="L2328" s="12">
        <f t="shared" si="346"/>
        <v>20941.79322</v>
      </c>
      <c r="M2328" s="12"/>
      <c r="N2328" s="15"/>
      <c r="O2328" s="1"/>
      <c r="Q2328" s="12"/>
      <c r="R2328" s="1"/>
    </row>
    <row r="2329" ht="12.75" hidden="1" customHeight="1" outlineLevel="1">
      <c r="A2329" s="122">
        <f t="shared" si="347"/>
        <v>43592</v>
      </c>
      <c r="B2329" s="120">
        <v>908000.0</v>
      </c>
      <c r="C2329" s="19">
        <f t="shared" si="344"/>
        <v>-0.02107444519</v>
      </c>
      <c r="D2329" s="19">
        <f t="shared" si="345"/>
        <v>-0.03300704776</v>
      </c>
      <c r="E2329" s="12"/>
      <c r="F2329" s="7"/>
      <c r="G2329" s="7"/>
      <c r="H2329" s="1"/>
      <c r="I2329" s="1"/>
      <c r="J2329" s="1"/>
      <c r="K2329" s="1"/>
      <c r="L2329" s="12">
        <f t="shared" si="346"/>
        <v>20500.45655</v>
      </c>
      <c r="M2329" s="12"/>
      <c r="N2329" s="15"/>
      <c r="O2329" s="1"/>
      <c r="Q2329" s="12"/>
      <c r="R2329" s="1"/>
    </row>
    <row r="2330" ht="12.75" hidden="1" customHeight="1" outlineLevel="1">
      <c r="A2330" s="122">
        <f t="shared" si="347"/>
        <v>43593</v>
      </c>
      <c r="B2330" s="120">
        <v>909840.4</v>
      </c>
      <c r="C2330" s="19">
        <f t="shared" si="344"/>
        <v>0.002026872247</v>
      </c>
      <c r="D2330" s="19">
        <f t="shared" si="345"/>
        <v>-0.03104707658</v>
      </c>
      <c r="E2330" s="12"/>
      <c r="F2330" s="7"/>
      <c r="G2330" s="7"/>
      <c r="H2330" s="1"/>
      <c r="I2330" s="1"/>
      <c r="J2330" s="1"/>
      <c r="K2330" s="1"/>
      <c r="L2330" s="12">
        <f t="shared" si="346"/>
        <v>20542.00836</v>
      </c>
      <c r="M2330" s="12"/>
      <c r="N2330" s="15"/>
      <c r="O2330" s="1"/>
      <c r="Q2330" s="12"/>
      <c r="R2330" s="1"/>
    </row>
    <row r="2331" ht="12.75" hidden="1" customHeight="1" outlineLevel="1">
      <c r="A2331" s="122">
        <f t="shared" si="347"/>
        <v>43594</v>
      </c>
      <c r="B2331" s="120">
        <v>909840.4</v>
      </c>
      <c r="C2331" s="19">
        <f t="shared" si="344"/>
        <v>0</v>
      </c>
      <c r="D2331" s="19">
        <f t="shared" si="345"/>
        <v>-0.03104707658</v>
      </c>
      <c r="E2331" s="12"/>
      <c r="F2331" s="7"/>
      <c r="G2331" s="7"/>
      <c r="H2331" s="1"/>
      <c r="I2331" s="1"/>
      <c r="J2331" s="1"/>
      <c r="K2331" s="1"/>
      <c r="L2331" s="12">
        <f t="shared" si="346"/>
        <v>20542.00836</v>
      </c>
      <c r="M2331" s="12"/>
      <c r="N2331" s="15"/>
      <c r="O2331" s="1"/>
      <c r="Q2331" s="12"/>
      <c r="R2331" s="1"/>
    </row>
    <row r="2332" ht="12.75" hidden="1" customHeight="1" outlineLevel="1">
      <c r="A2332" s="122">
        <f t="shared" si="347"/>
        <v>43595</v>
      </c>
      <c r="B2332" s="120">
        <v>911200.0</v>
      </c>
      <c r="C2332" s="19">
        <f t="shared" si="344"/>
        <v>0.001494328016</v>
      </c>
      <c r="D2332" s="19">
        <f t="shared" si="345"/>
        <v>-0.02959914308</v>
      </c>
      <c r="E2332" s="12"/>
      <c r="F2332" s="7"/>
      <c r="G2332" s="7"/>
      <c r="H2332" s="1"/>
      <c r="I2332" s="1"/>
      <c r="J2332" s="1"/>
      <c r="K2332" s="1"/>
      <c r="L2332" s="12">
        <f t="shared" si="346"/>
        <v>20572.70486</v>
      </c>
      <c r="M2332" s="12"/>
      <c r="N2332" s="15"/>
      <c r="O2332" s="1"/>
      <c r="Q2332" s="12"/>
      <c r="R2332" s="1"/>
    </row>
    <row r="2333" ht="12.75" hidden="1" customHeight="1" outlineLevel="1">
      <c r="A2333" s="122">
        <f t="shared" si="347"/>
        <v>43596</v>
      </c>
      <c r="B2333" s="120">
        <v>911200.0</v>
      </c>
      <c r="C2333" s="19">
        <f t="shared" si="344"/>
        <v>0</v>
      </c>
      <c r="D2333" s="19">
        <f t="shared" si="345"/>
        <v>-0.02959914308</v>
      </c>
      <c r="E2333" s="12"/>
      <c r="F2333" s="7"/>
      <c r="G2333" s="7"/>
      <c r="H2333" s="1"/>
      <c r="I2333" s="1"/>
      <c r="J2333" s="1"/>
      <c r="K2333" s="1"/>
      <c r="L2333" s="12">
        <f t="shared" si="346"/>
        <v>20572.70486</v>
      </c>
      <c r="M2333" s="12"/>
      <c r="N2333" s="15"/>
      <c r="O2333" s="1"/>
      <c r="Q2333" s="12"/>
      <c r="R2333" s="1"/>
    </row>
    <row r="2334" ht="12.75" hidden="1" customHeight="1" outlineLevel="1">
      <c r="A2334" s="122">
        <f t="shared" si="347"/>
        <v>43597</v>
      </c>
      <c r="B2334" s="120">
        <v>911200.0</v>
      </c>
      <c r="C2334" s="19">
        <f t="shared" si="344"/>
        <v>0</v>
      </c>
      <c r="D2334" s="19">
        <f t="shared" si="345"/>
        <v>-0.02959914308</v>
      </c>
      <c r="E2334" s="12"/>
      <c r="F2334" s="7"/>
      <c r="G2334" s="7"/>
      <c r="H2334" s="1"/>
      <c r="I2334" s="1"/>
      <c r="J2334" s="1"/>
      <c r="K2334" s="1"/>
      <c r="L2334" s="12">
        <f t="shared" si="346"/>
        <v>20572.70486</v>
      </c>
      <c r="M2334" s="12"/>
      <c r="N2334" s="15"/>
      <c r="O2334" s="1"/>
      <c r="Q2334" s="12"/>
      <c r="R2334" s="1"/>
    </row>
    <row r="2335" ht="12.75" hidden="1" customHeight="1" outlineLevel="1">
      <c r="A2335" s="122">
        <f t="shared" si="347"/>
        <v>43598</v>
      </c>
      <c r="B2335" s="120">
        <v>889356.5300000001</v>
      </c>
      <c r="C2335" s="19">
        <f t="shared" si="344"/>
        <v>-0.02397220149</v>
      </c>
      <c r="D2335" s="19">
        <f t="shared" si="345"/>
        <v>-0.05286178795</v>
      </c>
      <c r="E2335" s="12"/>
      <c r="F2335" s="7"/>
      <c r="G2335" s="7"/>
      <c r="H2335" s="1"/>
      <c r="I2335" s="1"/>
      <c r="J2335" s="1"/>
      <c r="K2335" s="1"/>
      <c r="L2335" s="12">
        <f t="shared" si="346"/>
        <v>20079.53183</v>
      </c>
      <c r="M2335" s="12"/>
      <c r="N2335" s="15"/>
      <c r="O2335" s="1"/>
      <c r="Q2335" s="12"/>
      <c r="R2335" s="1"/>
    </row>
    <row r="2336" ht="12.75" hidden="1" customHeight="1" outlineLevel="1">
      <c r="A2336" s="122">
        <f t="shared" si="347"/>
        <v>43599</v>
      </c>
      <c r="B2336" s="120">
        <v>893040.17</v>
      </c>
      <c r="C2336" s="19">
        <f t="shared" si="344"/>
        <v>0.004141915954</v>
      </c>
      <c r="D2336" s="19">
        <f t="shared" si="345"/>
        <v>-0.04893882108</v>
      </c>
      <c r="E2336" s="12"/>
      <c r="F2336" s="7"/>
      <c r="G2336" s="7"/>
      <c r="H2336" s="1"/>
      <c r="I2336" s="1"/>
      <c r="J2336" s="1"/>
      <c r="K2336" s="1"/>
      <c r="L2336" s="12">
        <f t="shared" si="346"/>
        <v>20162.69956</v>
      </c>
      <c r="M2336" s="12"/>
      <c r="N2336" s="15"/>
      <c r="O2336" s="1"/>
      <c r="Q2336" s="12"/>
      <c r="R2336" s="1"/>
    </row>
    <row r="2337" ht="12.75" hidden="1" customHeight="1" outlineLevel="1">
      <c r="A2337" s="122">
        <f t="shared" si="347"/>
        <v>43600</v>
      </c>
      <c r="B2337" s="120">
        <v>902494.02</v>
      </c>
      <c r="C2337" s="19">
        <f t="shared" si="344"/>
        <v>0.01058614194</v>
      </c>
      <c r="D2337" s="19">
        <f t="shared" si="345"/>
        <v>-0.03887075245</v>
      </c>
      <c r="E2337" s="12"/>
      <c r="F2337" s="7"/>
      <c r="G2337" s="7"/>
      <c r="H2337" s="1"/>
      <c r="I2337" s="1"/>
      <c r="J2337" s="1"/>
      <c r="K2337" s="1"/>
      <c r="L2337" s="12">
        <f t="shared" si="346"/>
        <v>20376.14476</v>
      </c>
      <c r="M2337" s="12"/>
      <c r="N2337" s="15"/>
      <c r="O2337" s="1"/>
      <c r="Q2337" s="12"/>
      <c r="R2337" s="1"/>
    </row>
    <row r="2338" ht="12.75" hidden="1" customHeight="1" outlineLevel="1">
      <c r="A2338" s="122">
        <f t="shared" si="347"/>
        <v>43601</v>
      </c>
      <c r="B2338" s="120">
        <v>912360.37</v>
      </c>
      <c r="C2338" s="19">
        <f t="shared" si="344"/>
        <v>0.01093231621</v>
      </c>
      <c r="D2338" s="19">
        <f t="shared" si="345"/>
        <v>-0.0283633836</v>
      </c>
      <c r="E2338" s="12"/>
      <c r="F2338" s="7"/>
      <c r="G2338" s="7"/>
      <c r="H2338" s="1"/>
      <c r="I2338" s="1"/>
      <c r="J2338" s="1"/>
      <c r="K2338" s="1"/>
      <c r="L2338" s="12">
        <f t="shared" si="346"/>
        <v>20598.90322</v>
      </c>
      <c r="M2338" s="12"/>
      <c r="N2338" s="15"/>
      <c r="O2338" s="1"/>
      <c r="Q2338" s="12"/>
      <c r="R2338" s="1"/>
    </row>
    <row r="2339" ht="12.75" hidden="1" customHeight="1" outlineLevel="1">
      <c r="A2339" s="122">
        <f t="shared" si="347"/>
        <v>43602</v>
      </c>
      <c r="B2339" s="120">
        <v>908775.52</v>
      </c>
      <c r="C2339" s="19">
        <f t="shared" si="344"/>
        <v>-0.003929203983</v>
      </c>
      <c r="D2339" s="19">
        <f t="shared" si="345"/>
        <v>-0.03218114206</v>
      </c>
      <c r="E2339" s="12"/>
      <c r="F2339" s="7"/>
      <c r="G2339" s="7"/>
      <c r="H2339" s="1"/>
      <c r="I2339" s="1"/>
      <c r="J2339" s="1"/>
      <c r="K2339" s="1"/>
      <c r="L2339" s="12">
        <f t="shared" si="346"/>
        <v>20517.96593</v>
      </c>
      <c r="M2339" s="12"/>
      <c r="N2339" s="15"/>
      <c r="O2339" s="1"/>
      <c r="Q2339" s="12"/>
      <c r="R2339" s="1"/>
    </row>
    <row r="2340" ht="12.75" hidden="1" customHeight="1" outlineLevel="1">
      <c r="A2340" s="122">
        <f t="shared" si="347"/>
        <v>43603</v>
      </c>
      <c r="B2340" s="120">
        <v>908775.52</v>
      </c>
      <c r="C2340" s="19">
        <f t="shared" si="344"/>
        <v>0</v>
      </c>
      <c r="D2340" s="19">
        <f t="shared" si="345"/>
        <v>-0.03218114206</v>
      </c>
      <c r="E2340" s="12"/>
      <c r="F2340" s="7"/>
      <c r="G2340" s="7"/>
      <c r="H2340" s="1"/>
      <c r="I2340" s="1"/>
      <c r="J2340" s="1"/>
      <c r="K2340" s="1"/>
      <c r="L2340" s="12">
        <f t="shared" si="346"/>
        <v>20517.96593</v>
      </c>
      <c r="M2340" s="12"/>
      <c r="N2340" s="15"/>
      <c r="O2340" s="1"/>
      <c r="Q2340" s="12"/>
      <c r="R2340" s="1"/>
    </row>
    <row r="2341" ht="12.75" hidden="1" customHeight="1" outlineLevel="1">
      <c r="A2341" s="122">
        <f t="shared" si="347"/>
        <v>43604</v>
      </c>
      <c r="B2341" s="120">
        <v>908775.52</v>
      </c>
      <c r="C2341" s="19">
        <f t="shared" si="344"/>
        <v>0</v>
      </c>
      <c r="D2341" s="19">
        <f t="shared" si="345"/>
        <v>-0.03218114206</v>
      </c>
      <c r="E2341" s="12"/>
      <c r="F2341" s="7"/>
      <c r="G2341" s="7"/>
      <c r="H2341" s="1"/>
      <c r="I2341" s="1"/>
      <c r="J2341" s="1"/>
      <c r="K2341" s="1"/>
      <c r="L2341" s="12">
        <f t="shared" si="346"/>
        <v>20517.96593</v>
      </c>
      <c r="M2341" s="12"/>
      <c r="N2341" s="15"/>
      <c r="O2341" s="1"/>
      <c r="Q2341" s="12"/>
      <c r="R2341" s="1"/>
    </row>
    <row r="2342" ht="12.75" hidden="1" customHeight="1" outlineLevel="1">
      <c r="A2342" s="122">
        <f t="shared" si="347"/>
        <v>43605</v>
      </c>
      <c r="B2342" s="120">
        <v>901480.9800000001</v>
      </c>
      <c r="C2342" s="19">
        <f t="shared" si="344"/>
        <v>-0.008026778714</v>
      </c>
      <c r="D2342" s="19">
        <f t="shared" si="345"/>
        <v>-0.03994960987</v>
      </c>
      <c r="E2342" s="12"/>
      <c r="F2342" s="7"/>
      <c r="G2342" s="7"/>
      <c r="H2342" s="1"/>
      <c r="I2342" s="1"/>
      <c r="J2342" s="1"/>
      <c r="K2342" s="1"/>
      <c r="L2342" s="12">
        <f t="shared" si="346"/>
        <v>20353.27276</v>
      </c>
      <c r="M2342" s="12"/>
      <c r="N2342" s="15"/>
      <c r="O2342" s="1"/>
      <c r="Q2342" s="12"/>
      <c r="R2342" s="1"/>
    </row>
    <row r="2343" ht="12.75" hidden="1" customHeight="1" outlineLevel="1">
      <c r="A2343" s="122">
        <f t="shared" si="347"/>
        <v>43606</v>
      </c>
      <c r="B2343" s="120">
        <v>912489.4600000001</v>
      </c>
      <c r="C2343" s="19">
        <f t="shared" si="344"/>
        <v>0.01221154993</v>
      </c>
      <c r="D2343" s="19">
        <f t="shared" si="345"/>
        <v>-0.02822590659</v>
      </c>
      <c r="E2343" s="12"/>
      <c r="F2343" s="7"/>
      <c r="G2343" s="7"/>
      <c r="H2343" s="1"/>
      <c r="I2343" s="1"/>
      <c r="J2343" s="1"/>
      <c r="K2343" s="1"/>
      <c r="L2343" s="12">
        <f t="shared" si="346"/>
        <v>20601.81776</v>
      </c>
      <c r="M2343" s="12"/>
      <c r="N2343" s="15"/>
      <c r="O2343" s="1"/>
      <c r="Q2343" s="12"/>
      <c r="R2343" s="1"/>
    </row>
    <row r="2344" ht="12.75" hidden="1" customHeight="1" outlineLevel="1">
      <c r="A2344" s="122">
        <f t="shared" si="347"/>
        <v>43607</v>
      </c>
      <c r="B2344" s="120">
        <v>914000.0</v>
      </c>
      <c r="C2344" s="19">
        <f t="shared" si="344"/>
        <v>0.001655405422</v>
      </c>
      <c r="D2344" s="19">
        <f t="shared" si="345"/>
        <v>-0.02661722649</v>
      </c>
      <c r="E2344" s="12"/>
      <c r="F2344" s="7"/>
      <c r="G2344" s="7"/>
      <c r="H2344" s="1"/>
      <c r="I2344" s="1"/>
      <c r="J2344" s="1"/>
      <c r="K2344" s="1"/>
      <c r="L2344" s="12">
        <f t="shared" si="346"/>
        <v>20635.92212</v>
      </c>
      <c r="M2344" s="12"/>
      <c r="N2344" s="15"/>
      <c r="O2344" s="1"/>
      <c r="Q2344" s="12"/>
      <c r="R2344" s="1"/>
    </row>
    <row r="2345" ht="12.75" hidden="1" customHeight="1" outlineLevel="1">
      <c r="A2345" s="122">
        <f t="shared" si="347"/>
        <v>43608</v>
      </c>
      <c r="B2345" s="120">
        <v>901476.1</v>
      </c>
      <c r="C2345" s="19">
        <f t="shared" si="344"/>
        <v>-0.01370229759</v>
      </c>
      <c r="D2345" s="19">
        <f t="shared" si="345"/>
        <v>-0.03995480692</v>
      </c>
      <c r="E2345" s="12"/>
      <c r="F2345" s="7"/>
      <c r="G2345" s="7"/>
      <c r="H2345" s="1"/>
      <c r="I2345" s="1"/>
      <c r="J2345" s="1"/>
      <c r="K2345" s="1"/>
      <c r="L2345" s="12">
        <f t="shared" si="346"/>
        <v>20353.16258</v>
      </c>
      <c r="M2345" s="12"/>
      <c r="N2345" s="15"/>
      <c r="O2345" s="1"/>
      <c r="Q2345" s="12"/>
      <c r="R2345" s="1"/>
    </row>
    <row r="2346" ht="12.75" hidden="1" customHeight="1" outlineLevel="1">
      <c r="A2346" s="122">
        <f t="shared" si="347"/>
        <v>43609</v>
      </c>
      <c r="B2346" s="120">
        <v>902556.88</v>
      </c>
      <c r="C2346" s="19">
        <f t="shared" si="344"/>
        <v>0.001198900337</v>
      </c>
      <c r="D2346" s="19">
        <f t="shared" si="345"/>
        <v>-0.03880380842</v>
      </c>
      <c r="E2346" s="12"/>
      <c r="F2346" s="7"/>
      <c r="G2346" s="7"/>
      <c r="H2346" s="1"/>
      <c r="I2346" s="1"/>
      <c r="J2346" s="1"/>
      <c r="K2346" s="1"/>
      <c r="L2346" s="12">
        <f t="shared" si="346"/>
        <v>20377.56399</v>
      </c>
      <c r="M2346" s="12"/>
      <c r="N2346" s="15"/>
      <c r="O2346" s="1"/>
      <c r="Q2346" s="12"/>
      <c r="R2346" s="1"/>
    </row>
    <row r="2347" ht="12.75" hidden="1" customHeight="1" outlineLevel="1">
      <c r="A2347" s="122">
        <f t="shared" si="347"/>
        <v>43610</v>
      </c>
      <c r="B2347" s="120">
        <v>902556.88</v>
      </c>
      <c r="C2347" s="19">
        <f t="shared" si="344"/>
        <v>0</v>
      </c>
      <c r="D2347" s="19">
        <f t="shared" si="345"/>
        <v>-0.03880380842</v>
      </c>
      <c r="E2347" s="12"/>
      <c r="F2347" s="7"/>
      <c r="G2347" s="7"/>
      <c r="H2347" s="1"/>
      <c r="I2347" s="1"/>
      <c r="J2347" s="1"/>
      <c r="K2347" s="1"/>
      <c r="L2347" s="12">
        <f t="shared" si="346"/>
        <v>20377.56399</v>
      </c>
      <c r="M2347" s="12"/>
      <c r="N2347" s="15"/>
      <c r="O2347" s="1"/>
      <c r="Q2347" s="12"/>
      <c r="R2347" s="1"/>
    </row>
    <row r="2348" ht="12.75" hidden="1" customHeight="1" outlineLevel="1">
      <c r="A2348" s="122">
        <f t="shared" si="347"/>
        <v>43611</v>
      </c>
      <c r="B2348" s="120">
        <v>902556.88</v>
      </c>
      <c r="C2348" s="19">
        <f t="shared" si="344"/>
        <v>0</v>
      </c>
      <c r="D2348" s="19">
        <f t="shared" si="345"/>
        <v>-0.03880380842</v>
      </c>
      <c r="E2348" s="12"/>
      <c r="F2348" s="7"/>
      <c r="G2348" s="7"/>
      <c r="H2348" s="1"/>
      <c r="I2348" s="1"/>
      <c r="J2348" s="1"/>
      <c r="K2348" s="1"/>
      <c r="L2348" s="12">
        <f t="shared" si="346"/>
        <v>20377.56399</v>
      </c>
      <c r="M2348" s="12"/>
      <c r="N2348" s="15"/>
      <c r="O2348" s="1"/>
      <c r="Q2348" s="12"/>
      <c r="R2348" s="1"/>
    </row>
    <row r="2349" ht="12.75" hidden="1" customHeight="1" outlineLevel="1">
      <c r="A2349" s="122">
        <f t="shared" si="347"/>
        <v>43612</v>
      </c>
      <c r="B2349" s="120">
        <v>902556.88</v>
      </c>
      <c r="C2349" s="19">
        <f t="shared" si="344"/>
        <v>0</v>
      </c>
      <c r="D2349" s="19">
        <f t="shared" si="345"/>
        <v>-0.03880380842</v>
      </c>
      <c r="E2349" s="12"/>
      <c r="F2349" s="7"/>
      <c r="G2349" s="7"/>
      <c r="H2349" s="1"/>
      <c r="I2349" s="1"/>
      <c r="J2349" s="1"/>
      <c r="K2349" s="1"/>
      <c r="L2349" s="12">
        <f t="shared" si="346"/>
        <v>20377.56399</v>
      </c>
      <c r="M2349" s="12"/>
      <c r="N2349" s="15"/>
      <c r="O2349" s="1"/>
      <c r="Q2349" s="12"/>
      <c r="R2349" s="1"/>
    </row>
    <row r="2350" ht="12.75" hidden="1" customHeight="1" outlineLevel="1">
      <c r="A2350" s="122">
        <f t="shared" si="347"/>
        <v>43613</v>
      </c>
      <c r="B2350" s="120">
        <v>900898.9799999999</v>
      </c>
      <c r="C2350" s="19">
        <f t="shared" si="344"/>
        <v>-0.00183689254</v>
      </c>
      <c r="D2350" s="19">
        <f t="shared" si="345"/>
        <v>-0.04056942253</v>
      </c>
      <c r="E2350" s="12"/>
      <c r="F2350" s="7"/>
      <c r="G2350" s="7"/>
      <c r="H2350" s="1"/>
      <c r="I2350" s="1"/>
      <c r="J2350" s="1"/>
      <c r="K2350" s="1"/>
      <c r="L2350" s="12">
        <f t="shared" si="346"/>
        <v>20340.13259</v>
      </c>
      <c r="M2350" s="12"/>
      <c r="N2350" s="15"/>
      <c r="O2350" s="1"/>
      <c r="Q2350" s="12"/>
      <c r="R2350" s="1"/>
    </row>
    <row r="2351" ht="12.75" hidden="1" customHeight="1" outlineLevel="1">
      <c r="A2351" s="122">
        <f t="shared" si="347"/>
        <v>43614</v>
      </c>
      <c r="B2351" s="120">
        <v>896614.2999999999</v>
      </c>
      <c r="C2351" s="19">
        <f t="shared" si="344"/>
        <v>-0.004756004941</v>
      </c>
      <c r="D2351" s="19">
        <f t="shared" si="345"/>
        <v>-0.0451324791</v>
      </c>
      <c r="E2351" s="12"/>
      <c r="F2351" s="7"/>
      <c r="G2351" s="7"/>
      <c r="H2351" s="1"/>
      <c r="I2351" s="1"/>
      <c r="J2351" s="1"/>
      <c r="K2351" s="1"/>
      <c r="L2351" s="12">
        <f t="shared" si="346"/>
        <v>20243.39482</v>
      </c>
      <c r="M2351" s="12"/>
      <c r="N2351" s="15"/>
      <c r="O2351" s="1"/>
      <c r="Q2351" s="12"/>
      <c r="R2351" s="1"/>
    </row>
    <row r="2352" ht="12.75" hidden="1" customHeight="1" outlineLevel="1">
      <c r="A2352" s="122">
        <f t="shared" si="347"/>
        <v>43615</v>
      </c>
      <c r="B2352" s="120">
        <v>899022.4600000001</v>
      </c>
      <c r="C2352" s="19">
        <f t="shared" si="344"/>
        <v>0.002685837154</v>
      </c>
      <c r="D2352" s="19">
        <f t="shared" si="345"/>
        <v>-0.04256786043</v>
      </c>
      <c r="E2352" s="12"/>
      <c r="F2352" s="7"/>
      <c r="G2352" s="7"/>
      <c r="H2352" s="1"/>
      <c r="I2352" s="1"/>
      <c r="J2352" s="1"/>
      <c r="K2352" s="1"/>
      <c r="L2352" s="12">
        <f t="shared" si="346"/>
        <v>20297.76529</v>
      </c>
      <c r="M2352" s="12"/>
      <c r="N2352" s="15"/>
      <c r="O2352" s="1"/>
      <c r="Q2352" s="12"/>
      <c r="R2352" s="1"/>
    </row>
    <row r="2353" ht="12.75" hidden="1" customHeight="1" outlineLevel="1">
      <c r="A2353" s="122">
        <f t="shared" si="347"/>
        <v>43616</v>
      </c>
      <c r="B2353" s="120">
        <v>889999.75</v>
      </c>
      <c r="C2353" s="19">
        <f t="shared" si="344"/>
        <v>-0.01003613414</v>
      </c>
      <c r="D2353" s="19">
        <f t="shared" si="345"/>
        <v>-0.05217677781</v>
      </c>
      <c r="E2353" s="12"/>
      <c r="F2353" s="7"/>
      <c r="G2353" s="7"/>
      <c r="H2353" s="1"/>
      <c r="I2353" s="1"/>
      <c r="J2353" s="1"/>
      <c r="K2353" s="1"/>
      <c r="L2353" s="12">
        <f t="shared" si="346"/>
        <v>20094.05419</v>
      </c>
      <c r="M2353" s="12"/>
      <c r="N2353" s="15"/>
      <c r="O2353" s="1"/>
      <c r="Q2353" s="12"/>
      <c r="R2353" s="1"/>
    </row>
    <row r="2354" ht="12.75" hidden="1" customHeight="1" outlineLevel="1">
      <c r="A2354" s="122"/>
      <c r="B2354" s="12"/>
      <c r="C2354" s="1"/>
      <c r="D2354" s="1"/>
      <c r="E2354" s="12"/>
      <c r="F2354" s="7"/>
      <c r="G2354" s="7"/>
      <c r="H2354" s="1"/>
      <c r="I2354" s="1"/>
      <c r="J2354" s="1"/>
      <c r="K2354" s="1"/>
      <c r="L2354" s="12"/>
      <c r="M2354" s="12"/>
      <c r="N2354" s="15"/>
      <c r="O2354" s="1"/>
      <c r="Q2354" s="12"/>
      <c r="R2354" s="1"/>
    </row>
    <row r="2355" ht="12.75" hidden="1" customHeight="1" outlineLevel="1">
      <c r="A2355" s="122"/>
      <c r="B2355" s="12">
        <v>889999.75</v>
      </c>
      <c r="C2355" s="1"/>
      <c r="D2355" s="1"/>
      <c r="E2355" s="12"/>
      <c r="F2355" s="7"/>
      <c r="G2355" s="7"/>
      <c r="H2355" s="1"/>
      <c r="I2355" s="1"/>
      <c r="J2355" s="1"/>
      <c r="K2355" s="1"/>
      <c r="L2355" s="12"/>
      <c r="M2355" s="12"/>
      <c r="N2355" s="15"/>
      <c r="O2355" s="1"/>
      <c r="Q2355" s="12"/>
      <c r="R2355" s="1"/>
    </row>
    <row r="2356" ht="12.75" hidden="1" customHeight="1" outlineLevel="1">
      <c r="A2356" s="122">
        <f>A2353+1</f>
        <v>43617</v>
      </c>
      <c r="B2356" s="12">
        <v>889999.75</v>
      </c>
      <c r="C2356" s="19">
        <f t="shared" ref="C2356:C2385" si="348">B2356/B2355-1</f>
        <v>0</v>
      </c>
      <c r="D2356" s="19">
        <f t="shared" ref="D2356:D2385" si="349">(B2356/$B$2355)-1</f>
        <v>0</v>
      </c>
      <c r="E2356" s="12"/>
      <c r="F2356" s="7"/>
      <c r="G2356" s="7"/>
      <c r="H2356" s="1"/>
      <c r="I2356" s="1"/>
      <c r="J2356" s="1"/>
      <c r="K2356" s="1"/>
      <c r="L2356" s="12">
        <f t="shared" ref="L2356:L2385" si="350">IF(C2355="",L2353*(1+C2356),L2355*(1+C2356))</f>
        <v>20094.05419</v>
      </c>
      <c r="M2356" s="12"/>
      <c r="N2356" s="15"/>
      <c r="O2356" s="1"/>
      <c r="Q2356" s="12"/>
      <c r="R2356" s="1"/>
    </row>
    <row r="2357" ht="12.75" hidden="1" customHeight="1" outlineLevel="1">
      <c r="A2357" s="122">
        <f t="shared" ref="A2357:A2385" si="351">A2356+1</f>
        <v>43618</v>
      </c>
      <c r="B2357" s="12">
        <v>889999.75</v>
      </c>
      <c r="C2357" s="19">
        <f t="shared" si="348"/>
        <v>0</v>
      </c>
      <c r="D2357" s="19">
        <f t="shared" si="349"/>
        <v>0</v>
      </c>
      <c r="E2357" s="12"/>
      <c r="F2357" s="7"/>
      <c r="G2357" s="7"/>
      <c r="H2357" s="1"/>
      <c r="I2357" s="1"/>
      <c r="J2357" s="1"/>
      <c r="K2357" s="1"/>
      <c r="L2357" s="12">
        <f t="shared" si="350"/>
        <v>20094.05419</v>
      </c>
      <c r="M2357" s="12"/>
      <c r="N2357" s="15"/>
      <c r="O2357" s="1"/>
      <c r="Q2357" s="12"/>
      <c r="R2357" s="1"/>
    </row>
    <row r="2358" ht="12.75" hidden="1" customHeight="1" outlineLevel="1">
      <c r="A2358" s="122">
        <f t="shared" si="351"/>
        <v>43619</v>
      </c>
      <c r="B2358" s="120">
        <v>876705.0999999999</v>
      </c>
      <c r="C2358" s="19">
        <f t="shared" si="348"/>
        <v>-0.01493781318</v>
      </c>
      <c r="D2358" s="19">
        <f t="shared" si="349"/>
        <v>-0.01493781318</v>
      </c>
      <c r="E2358" s="12"/>
      <c r="F2358" s="7"/>
      <c r="G2358" s="7"/>
      <c r="H2358" s="1"/>
      <c r="I2358" s="1"/>
      <c r="J2358" s="1"/>
      <c r="K2358" s="1"/>
      <c r="L2358" s="12">
        <f t="shared" si="350"/>
        <v>19793.89296</v>
      </c>
      <c r="M2358" s="12"/>
      <c r="N2358" s="15"/>
      <c r="O2358" s="1"/>
      <c r="Q2358" s="12"/>
      <c r="R2358" s="1"/>
    </row>
    <row r="2359" ht="12.75" hidden="1" customHeight="1" outlineLevel="1">
      <c r="A2359" s="122">
        <f t="shared" si="351"/>
        <v>43620</v>
      </c>
      <c r="B2359" s="120">
        <v>894365.2599999999</v>
      </c>
      <c r="C2359" s="19">
        <f t="shared" si="348"/>
        <v>0.02014378609</v>
      </c>
      <c r="D2359" s="19">
        <f t="shared" si="349"/>
        <v>0.004905068794</v>
      </c>
      <c r="E2359" s="12"/>
      <c r="F2359" s="7"/>
      <c r="G2359" s="7"/>
      <c r="H2359" s="1"/>
      <c r="I2359" s="1"/>
      <c r="J2359" s="1"/>
      <c r="K2359" s="1"/>
      <c r="L2359" s="12">
        <f t="shared" si="350"/>
        <v>20192.61691</v>
      </c>
      <c r="M2359" s="12"/>
      <c r="N2359" s="15"/>
      <c r="O2359" s="1"/>
      <c r="Q2359" s="12"/>
      <c r="R2359" s="1"/>
    </row>
    <row r="2360" ht="12.75" hidden="1" customHeight="1" outlineLevel="1">
      <c r="A2360" s="122">
        <f t="shared" si="351"/>
        <v>43621</v>
      </c>
      <c r="B2360" s="120">
        <v>901760.3399999999</v>
      </c>
      <c r="C2360" s="19">
        <f t="shared" si="348"/>
        <v>0.00826852331</v>
      </c>
      <c r="D2360" s="19">
        <f t="shared" si="349"/>
        <v>0.01321414978</v>
      </c>
      <c r="E2360" s="12"/>
      <c r="F2360" s="7"/>
      <c r="G2360" s="7"/>
      <c r="H2360" s="1"/>
      <c r="I2360" s="1"/>
      <c r="J2360" s="1"/>
      <c r="K2360" s="1"/>
      <c r="L2360" s="12">
        <f t="shared" si="350"/>
        <v>20359.58003</v>
      </c>
      <c r="M2360" s="12"/>
      <c r="N2360" s="15"/>
      <c r="O2360" s="1"/>
      <c r="Q2360" s="12"/>
      <c r="R2360" s="1"/>
    </row>
    <row r="2361" ht="12.75" hidden="1" customHeight="1" outlineLevel="1">
      <c r="A2361" s="122">
        <f t="shared" si="351"/>
        <v>43622</v>
      </c>
      <c r="B2361" s="120">
        <v>919050.62</v>
      </c>
      <c r="C2361" s="19">
        <f t="shared" si="348"/>
        <v>0.01917391931</v>
      </c>
      <c r="D2361" s="19">
        <f t="shared" si="349"/>
        <v>0.03264143614</v>
      </c>
      <c r="E2361" s="12"/>
      <c r="F2361" s="7"/>
      <c r="G2361" s="7"/>
      <c r="H2361" s="1"/>
      <c r="I2361" s="1"/>
      <c r="J2361" s="1"/>
      <c r="K2361" s="1"/>
      <c r="L2361" s="12">
        <f t="shared" si="350"/>
        <v>20749.95298</v>
      </c>
      <c r="M2361" s="12"/>
      <c r="N2361" s="15"/>
      <c r="O2361" s="1"/>
      <c r="Q2361" s="12"/>
      <c r="R2361" s="1"/>
    </row>
    <row r="2362" ht="12.75" hidden="1" customHeight="1" outlineLevel="1">
      <c r="A2362" s="122">
        <f t="shared" si="351"/>
        <v>43623</v>
      </c>
      <c r="B2362" s="120">
        <v>919050.62</v>
      </c>
      <c r="C2362" s="19">
        <f t="shared" si="348"/>
        <v>0</v>
      </c>
      <c r="D2362" s="19">
        <f t="shared" si="349"/>
        <v>0.03264143614</v>
      </c>
      <c r="E2362" s="12"/>
      <c r="F2362" s="7"/>
      <c r="G2362" s="7"/>
      <c r="H2362" s="1"/>
      <c r="I2362" s="1"/>
      <c r="J2362" s="1"/>
      <c r="K2362" s="1"/>
      <c r="L2362" s="12">
        <f t="shared" si="350"/>
        <v>20749.95298</v>
      </c>
      <c r="M2362" s="12"/>
      <c r="N2362" s="15"/>
      <c r="O2362" s="1"/>
      <c r="Q2362" s="12"/>
      <c r="R2362" s="1"/>
    </row>
    <row r="2363" ht="12.75" hidden="1" customHeight="1" outlineLevel="1">
      <c r="A2363" s="122">
        <f t="shared" si="351"/>
        <v>43624</v>
      </c>
      <c r="B2363" s="120">
        <v>919050.62</v>
      </c>
      <c r="C2363" s="19">
        <f t="shared" si="348"/>
        <v>0</v>
      </c>
      <c r="D2363" s="19">
        <f t="shared" si="349"/>
        <v>0.03264143614</v>
      </c>
      <c r="E2363" s="12"/>
      <c r="F2363" s="7"/>
      <c r="G2363" s="7"/>
      <c r="H2363" s="1"/>
      <c r="I2363" s="1"/>
      <c r="J2363" s="1"/>
      <c r="K2363" s="1"/>
      <c r="L2363" s="12">
        <f t="shared" si="350"/>
        <v>20749.95298</v>
      </c>
      <c r="M2363" s="12"/>
      <c r="N2363" s="15"/>
      <c r="O2363" s="1"/>
      <c r="Q2363" s="12"/>
      <c r="R2363" s="1"/>
    </row>
    <row r="2364" ht="12.75" hidden="1" customHeight="1" outlineLevel="1">
      <c r="A2364" s="122">
        <f t="shared" si="351"/>
        <v>43625</v>
      </c>
      <c r="B2364" s="120">
        <v>919050.62</v>
      </c>
      <c r="C2364" s="19">
        <f t="shared" si="348"/>
        <v>0</v>
      </c>
      <c r="D2364" s="19">
        <f t="shared" si="349"/>
        <v>0.03264143614</v>
      </c>
      <c r="E2364" s="12"/>
      <c r="F2364" s="7"/>
      <c r="G2364" s="7"/>
      <c r="H2364" s="1"/>
      <c r="I2364" s="1"/>
      <c r="J2364" s="1"/>
      <c r="K2364" s="1"/>
      <c r="L2364" s="12">
        <f t="shared" si="350"/>
        <v>20749.95298</v>
      </c>
      <c r="M2364" s="12"/>
      <c r="N2364" s="15"/>
      <c r="O2364" s="1"/>
      <c r="Q2364" s="12"/>
      <c r="R2364" s="1"/>
    </row>
    <row r="2365" ht="12.75" hidden="1" customHeight="1" outlineLevel="1">
      <c r="A2365" s="122">
        <f t="shared" si="351"/>
        <v>43626</v>
      </c>
      <c r="B2365" s="120">
        <v>923675.6900000001</v>
      </c>
      <c r="C2365" s="19">
        <f t="shared" si="348"/>
        <v>0.005032443153</v>
      </c>
      <c r="D2365" s="19">
        <f t="shared" si="349"/>
        <v>0.03783814546</v>
      </c>
      <c r="E2365" s="12"/>
      <c r="F2365" s="7"/>
      <c r="G2365" s="7"/>
      <c r="H2365" s="1"/>
      <c r="I2365" s="1"/>
      <c r="J2365" s="1"/>
      <c r="K2365" s="1"/>
      <c r="L2365" s="12">
        <f t="shared" si="350"/>
        <v>20854.37594</v>
      </c>
      <c r="M2365" s="12"/>
      <c r="N2365" s="15"/>
      <c r="O2365" s="1"/>
      <c r="Q2365" s="12"/>
      <c r="R2365" s="1"/>
    </row>
    <row r="2366" ht="12.75" hidden="1" customHeight="1" outlineLevel="1">
      <c r="A2366" s="122">
        <f t="shared" si="351"/>
        <v>43627</v>
      </c>
      <c r="B2366" s="120">
        <v>922872.6</v>
      </c>
      <c r="C2366" s="19">
        <f t="shared" si="348"/>
        <v>-0.0008694501855</v>
      </c>
      <c r="D2366" s="19">
        <f t="shared" si="349"/>
        <v>0.03693579689</v>
      </c>
      <c r="E2366" s="12"/>
      <c r="F2366" s="7"/>
      <c r="G2366" s="7"/>
      <c r="H2366" s="1"/>
      <c r="I2366" s="1"/>
      <c r="J2366" s="1"/>
      <c r="K2366" s="1"/>
      <c r="L2366" s="12">
        <f t="shared" si="350"/>
        <v>20836.2441</v>
      </c>
      <c r="M2366" s="12"/>
      <c r="N2366" s="15"/>
      <c r="O2366" s="1"/>
      <c r="Q2366" s="12"/>
      <c r="R2366" s="1"/>
    </row>
    <row r="2367" ht="12.75" hidden="1" customHeight="1" outlineLevel="1">
      <c r="A2367" s="122">
        <f t="shared" si="351"/>
        <v>43628</v>
      </c>
      <c r="B2367" s="120">
        <v>922872.6</v>
      </c>
      <c r="C2367" s="19">
        <f t="shared" si="348"/>
        <v>0</v>
      </c>
      <c r="D2367" s="19">
        <f t="shared" si="349"/>
        <v>0.03693579689</v>
      </c>
      <c r="E2367" s="12"/>
      <c r="F2367" s="7"/>
      <c r="G2367" s="7"/>
      <c r="H2367" s="1"/>
      <c r="I2367" s="1"/>
      <c r="J2367" s="1"/>
      <c r="K2367" s="1"/>
      <c r="L2367" s="12">
        <f t="shared" si="350"/>
        <v>20836.2441</v>
      </c>
      <c r="M2367" s="12"/>
      <c r="N2367" s="15"/>
      <c r="O2367" s="1"/>
      <c r="Q2367" s="12"/>
      <c r="R2367" s="1"/>
    </row>
    <row r="2368" ht="12.75" hidden="1" customHeight="1" outlineLevel="1">
      <c r="A2368" s="122">
        <f t="shared" si="351"/>
        <v>43629</v>
      </c>
      <c r="B2368" s="120">
        <v>926648.3899999999</v>
      </c>
      <c r="C2368" s="19">
        <f t="shared" si="348"/>
        <v>0.004091344786</v>
      </c>
      <c r="D2368" s="19">
        <f t="shared" si="349"/>
        <v>0.04117825876</v>
      </c>
      <c r="E2368" s="12"/>
      <c r="F2368" s="7"/>
      <c r="G2368" s="7"/>
      <c r="H2368" s="1"/>
      <c r="I2368" s="1"/>
      <c r="J2368" s="1"/>
      <c r="K2368" s="1"/>
      <c r="L2368" s="12">
        <f t="shared" si="350"/>
        <v>20921.49235</v>
      </c>
      <c r="M2368" s="12"/>
      <c r="N2368" s="15"/>
      <c r="O2368" s="1"/>
      <c r="Q2368" s="12"/>
      <c r="R2368" s="1"/>
    </row>
    <row r="2369" ht="12.75" hidden="1" customHeight="1" outlineLevel="1">
      <c r="A2369" s="122">
        <f t="shared" si="351"/>
        <v>43630</v>
      </c>
      <c r="B2369" s="120">
        <v>929605.7399999998</v>
      </c>
      <c r="C2369" s="19">
        <f t="shared" si="348"/>
        <v>0.003191447837</v>
      </c>
      <c r="D2369" s="19">
        <f t="shared" si="349"/>
        <v>0.04450112486</v>
      </c>
      <c r="E2369" s="12"/>
      <c r="F2369" s="7"/>
      <c r="G2369" s="7"/>
      <c r="H2369" s="1"/>
      <c r="I2369" s="1"/>
      <c r="J2369" s="1"/>
      <c r="K2369" s="1"/>
      <c r="L2369" s="12">
        <f t="shared" si="350"/>
        <v>20988.26221</v>
      </c>
      <c r="M2369" s="12"/>
      <c r="N2369" s="15"/>
      <c r="O2369" s="1"/>
      <c r="Q2369" s="12"/>
      <c r="R2369" s="1"/>
    </row>
    <row r="2370" ht="12.75" hidden="1" customHeight="1" outlineLevel="1">
      <c r="A2370" s="122">
        <f t="shared" si="351"/>
        <v>43631</v>
      </c>
      <c r="B2370" s="120">
        <v>929605.7399999998</v>
      </c>
      <c r="C2370" s="19">
        <f t="shared" si="348"/>
        <v>0</v>
      </c>
      <c r="D2370" s="19">
        <f t="shared" si="349"/>
        <v>0.04450112486</v>
      </c>
      <c r="E2370" s="12"/>
      <c r="F2370" s="7"/>
      <c r="G2370" s="7"/>
      <c r="H2370" s="1"/>
      <c r="I2370" s="1"/>
      <c r="J2370" s="1"/>
      <c r="K2370" s="1"/>
      <c r="L2370" s="12">
        <f t="shared" si="350"/>
        <v>20988.26221</v>
      </c>
      <c r="M2370" s="12"/>
      <c r="N2370" s="15"/>
      <c r="O2370" s="1"/>
      <c r="Q2370" s="12"/>
      <c r="R2370" s="1"/>
    </row>
    <row r="2371" ht="12.75" hidden="1" customHeight="1" outlineLevel="1">
      <c r="A2371" s="122">
        <f t="shared" si="351"/>
        <v>43632</v>
      </c>
      <c r="B2371" s="120">
        <v>929605.7399999998</v>
      </c>
      <c r="C2371" s="19">
        <f t="shared" si="348"/>
        <v>0</v>
      </c>
      <c r="D2371" s="19">
        <f t="shared" si="349"/>
        <v>0.04450112486</v>
      </c>
      <c r="E2371" s="12"/>
      <c r="F2371" s="7"/>
      <c r="G2371" s="7"/>
      <c r="H2371" s="1"/>
      <c r="I2371" s="1"/>
      <c r="J2371" s="1"/>
      <c r="K2371" s="1"/>
      <c r="L2371" s="12">
        <f t="shared" si="350"/>
        <v>20988.26221</v>
      </c>
      <c r="M2371" s="12"/>
      <c r="N2371" s="15"/>
      <c r="O2371" s="1"/>
      <c r="Q2371" s="12"/>
      <c r="R2371" s="1"/>
    </row>
    <row r="2372" ht="12.75" hidden="1" customHeight="1" outlineLevel="1">
      <c r="A2372" s="122">
        <f t="shared" si="351"/>
        <v>43633</v>
      </c>
      <c r="B2372" s="120">
        <v>933047.6300000001</v>
      </c>
      <c r="C2372" s="19">
        <f t="shared" si="348"/>
        <v>0.003702526622</v>
      </c>
      <c r="D2372" s="19">
        <f t="shared" si="349"/>
        <v>0.04836841808</v>
      </c>
      <c r="E2372" s="12"/>
      <c r="F2372" s="7"/>
      <c r="G2372" s="7"/>
      <c r="H2372" s="1"/>
      <c r="I2372" s="1"/>
      <c r="J2372" s="1"/>
      <c r="K2372" s="1"/>
      <c r="L2372" s="12">
        <f t="shared" si="350"/>
        <v>21065.9718</v>
      </c>
      <c r="M2372" s="12"/>
      <c r="N2372" s="15"/>
      <c r="O2372" s="1"/>
      <c r="Q2372" s="12"/>
      <c r="R2372" s="1"/>
    </row>
    <row r="2373" ht="12.75" hidden="1" customHeight="1" outlineLevel="1">
      <c r="A2373" s="122">
        <f t="shared" si="351"/>
        <v>43634</v>
      </c>
      <c r="B2373" s="120">
        <v>940300.8000000003</v>
      </c>
      <c r="C2373" s="19">
        <f t="shared" si="348"/>
        <v>0.007773633164</v>
      </c>
      <c r="D2373" s="19">
        <f t="shared" si="349"/>
        <v>0.05651804958</v>
      </c>
      <c r="E2373" s="12"/>
      <c r="F2373" s="7"/>
      <c r="G2373" s="7"/>
      <c r="H2373" s="1"/>
      <c r="I2373" s="1"/>
      <c r="J2373" s="1"/>
      <c r="K2373" s="1"/>
      <c r="L2373" s="12">
        <f t="shared" si="350"/>
        <v>21229.73094</v>
      </c>
      <c r="M2373" s="12"/>
      <c r="N2373" s="15"/>
      <c r="O2373" s="1"/>
      <c r="Q2373" s="12"/>
      <c r="R2373" s="1"/>
    </row>
    <row r="2374" ht="12.75" hidden="1" customHeight="1" outlineLevel="1">
      <c r="A2374" s="122">
        <f t="shared" si="351"/>
        <v>43635</v>
      </c>
      <c r="B2374" s="120">
        <v>942366.53</v>
      </c>
      <c r="C2374" s="19">
        <f t="shared" si="348"/>
        <v>0.002196882104</v>
      </c>
      <c r="D2374" s="19">
        <f t="shared" si="349"/>
        <v>0.05883909518</v>
      </c>
      <c r="E2374" s="12"/>
      <c r="F2374" s="7"/>
      <c r="G2374" s="7"/>
      <c r="H2374" s="1"/>
      <c r="I2374" s="1"/>
      <c r="J2374" s="1"/>
      <c r="K2374" s="1"/>
      <c r="L2374" s="12">
        <f t="shared" si="350"/>
        <v>21276.37016</v>
      </c>
      <c r="M2374" s="12"/>
      <c r="N2374" s="15"/>
      <c r="O2374" s="1"/>
      <c r="Q2374" s="12"/>
      <c r="R2374" s="1"/>
    </row>
    <row r="2375" ht="12.75" hidden="1" customHeight="1" outlineLevel="1">
      <c r="A2375" s="122">
        <f t="shared" si="351"/>
        <v>43636</v>
      </c>
      <c r="B2375" s="120">
        <v>950300.0</v>
      </c>
      <c r="C2375" s="19">
        <f t="shared" si="348"/>
        <v>0.008418666991</v>
      </c>
      <c r="D2375" s="19">
        <f t="shared" si="349"/>
        <v>0.06775310892</v>
      </c>
      <c r="E2375" s="12"/>
      <c r="F2375" s="7"/>
      <c r="G2375" s="7"/>
      <c r="H2375" s="1"/>
      <c r="I2375" s="1"/>
      <c r="J2375" s="1"/>
      <c r="K2375" s="1"/>
      <c r="L2375" s="12">
        <f t="shared" si="350"/>
        <v>21455.48883</v>
      </c>
      <c r="M2375" s="12"/>
      <c r="N2375" s="15"/>
      <c r="O2375" s="1"/>
      <c r="Q2375" s="12"/>
      <c r="R2375" s="1"/>
    </row>
    <row r="2376" ht="12.75" hidden="1" customHeight="1" outlineLevel="1">
      <c r="A2376" s="122">
        <f t="shared" si="351"/>
        <v>43637</v>
      </c>
      <c r="B2376" s="120">
        <v>947000.0</v>
      </c>
      <c r="C2376" s="19">
        <f t="shared" si="348"/>
        <v>-0.003472587604</v>
      </c>
      <c r="D2376" s="19">
        <f t="shared" si="349"/>
        <v>0.06404524271</v>
      </c>
      <c r="E2376" s="12"/>
      <c r="F2376" s="7"/>
      <c r="G2376" s="7"/>
      <c r="H2376" s="1"/>
      <c r="I2376" s="1"/>
      <c r="J2376" s="1"/>
      <c r="K2376" s="1"/>
      <c r="L2376" s="12">
        <f t="shared" si="350"/>
        <v>21380.98277</v>
      </c>
      <c r="M2376" s="12"/>
      <c r="N2376" s="15"/>
      <c r="O2376" s="1"/>
      <c r="Q2376" s="12"/>
      <c r="R2376" s="1"/>
    </row>
    <row r="2377" ht="12.75" hidden="1" customHeight="1" outlineLevel="1">
      <c r="A2377" s="122">
        <f t="shared" si="351"/>
        <v>43638</v>
      </c>
      <c r="B2377" s="120">
        <v>947000.0</v>
      </c>
      <c r="C2377" s="19">
        <f t="shared" si="348"/>
        <v>0</v>
      </c>
      <c r="D2377" s="19">
        <f t="shared" si="349"/>
        <v>0.06404524271</v>
      </c>
      <c r="E2377" s="12"/>
      <c r="F2377" s="7"/>
      <c r="G2377" s="7"/>
      <c r="H2377" s="1"/>
      <c r="I2377" s="1"/>
      <c r="J2377" s="1"/>
      <c r="K2377" s="1"/>
      <c r="L2377" s="12">
        <f t="shared" si="350"/>
        <v>21380.98277</v>
      </c>
      <c r="M2377" s="12"/>
      <c r="N2377" s="15"/>
      <c r="O2377" s="1"/>
      <c r="Q2377" s="12"/>
      <c r="R2377" s="1"/>
    </row>
    <row r="2378" ht="12.75" hidden="1" customHeight="1" outlineLevel="1">
      <c r="A2378" s="122">
        <f t="shared" si="351"/>
        <v>43639</v>
      </c>
      <c r="B2378" s="120">
        <v>947000.0</v>
      </c>
      <c r="C2378" s="19">
        <f t="shared" si="348"/>
        <v>0</v>
      </c>
      <c r="D2378" s="19">
        <f t="shared" si="349"/>
        <v>0.06404524271</v>
      </c>
      <c r="E2378" s="12"/>
      <c r="F2378" s="7"/>
      <c r="G2378" s="7"/>
      <c r="H2378" s="1"/>
      <c r="I2378" s="1"/>
      <c r="J2378" s="1"/>
      <c r="K2378" s="1"/>
      <c r="L2378" s="12">
        <f t="shared" si="350"/>
        <v>21380.98277</v>
      </c>
      <c r="M2378" s="12"/>
      <c r="N2378" s="15"/>
      <c r="O2378" s="1"/>
      <c r="Q2378" s="12"/>
      <c r="R2378" s="1"/>
    </row>
    <row r="2379" ht="12.75" hidden="1" customHeight="1" outlineLevel="1">
      <c r="A2379" s="122">
        <f t="shared" si="351"/>
        <v>43640</v>
      </c>
      <c r="B2379" s="120">
        <v>945000.0</v>
      </c>
      <c r="C2379" s="19">
        <f t="shared" si="348"/>
        <v>-0.002111932418</v>
      </c>
      <c r="D2379" s="19">
        <f t="shared" si="349"/>
        <v>0.06179805107</v>
      </c>
      <c r="E2379" s="12"/>
      <c r="F2379" s="7"/>
      <c r="G2379" s="7"/>
      <c r="H2379" s="1"/>
      <c r="I2379" s="1"/>
      <c r="J2379" s="1"/>
      <c r="K2379" s="1"/>
      <c r="L2379" s="12">
        <f t="shared" si="350"/>
        <v>21335.82758</v>
      </c>
      <c r="M2379" s="12"/>
      <c r="N2379" s="15"/>
      <c r="O2379" s="1"/>
      <c r="Q2379" s="12"/>
      <c r="R2379" s="1"/>
    </row>
    <row r="2380" ht="12.75" hidden="1" customHeight="1" outlineLevel="1">
      <c r="A2380" s="122">
        <f t="shared" si="351"/>
        <v>43641</v>
      </c>
      <c r="B2380" s="120">
        <v>938000.0</v>
      </c>
      <c r="C2380" s="19">
        <f t="shared" si="348"/>
        <v>-0.007407407407</v>
      </c>
      <c r="D2380" s="19">
        <f t="shared" si="349"/>
        <v>0.05393288032</v>
      </c>
      <c r="E2380" s="12"/>
      <c r="F2380" s="7"/>
      <c r="G2380" s="7"/>
      <c r="H2380" s="1"/>
      <c r="I2380" s="1"/>
      <c r="J2380" s="1"/>
      <c r="K2380" s="1"/>
      <c r="L2380" s="12">
        <f t="shared" si="350"/>
        <v>21177.78441</v>
      </c>
      <c r="M2380" s="12"/>
      <c r="N2380" s="15"/>
      <c r="O2380" s="1"/>
      <c r="Q2380" s="12"/>
      <c r="R2380" s="1"/>
    </row>
    <row r="2381" ht="12.75" hidden="1" customHeight="1" outlineLevel="1">
      <c r="A2381" s="122">
        <f t="shared" si="351"/>
        <v>43642</v>
      </c>
      <c r="B2381" s="120">
        <v>937998.5599999999</v>
      </c>
      <c r="C2381" s="19">
        <f t="shared" si="348"/>
        <v>-0.000001535181237</v>
      </c>
      <c r="D2381" s="19">
        <f t="shared" si="349"/>
        <v>0.05393126234</v>
      </c>
      <c r="E2381" s="12"/>
      <c r="F2381" s="7"/>
      <c r="G2381" s="7"/>
      <c r="H2381" s="1"/>
      <c r="I2381" s="1"/>
      <c r="J2381" s="1"/>
      <c r="K2381" s="1"/>
      <c r="L2381" s="12">
        <f t="shared" si="350"/>
        <v>21177.7519</v>
      </c>
      <c r="M2381" s="12"/>
      <c r="N2381" s="15"/>
      <c r="O2381" s="1"/>
      <c r="Q2381" s="12"/>
      <c r="R2381" s="1"/>
    </row>
    <row r="2382" ht="12.75" hidden="1" customHeight="1" outlineLevel="1">
      <c r="A2382" s="122">
        <f t="shared" si="351"/>
        <v>43643</v>
      </c>
      <c r="B2382" s="120">
        <v>942500.0</v>
      </c>
      <c r="C2382" s="19">
        <f t="shared" si="348"/>
        <v>0.004798983913</v>
      </c>
      <c r="D2382" s="19">
        <f t="shared" si="349"/>
        <v>0.05898906151</v>
      </c>
      <c r="E2382" s="12"/>
      <c r="F2382" s="7"/>
      <c r="G2382" s="7"/>
      <c r="H2382" s="1"/>
      <c r="I2382" s="1"/>
      <c r="J2382" s="1"/>
      <c r="K2382" s="1"/>
      <c r="L2382" s="12">
        <f t="shared" si="350"/>
        <v>21279.38359</v>
      </c>
      <c r="M2382" s="12"/>
      <c r="N2382" s="15"/>
      <c r="O2382" s="1"/>
      <c r="Q2382" s="12"/>
      <c r="R2382" s="1"/>
    </row>
    <row r="2383" ht="12.75" hidden="1" customHeight="1" outlineLevel="1">
      <c r="A2383" s="122">
        <f t="shared" si="351"/>
        <v>43644</v>
      </c>
      <c r="B2383" s="120">
        <v>947638.88</v>
      </c>
      <c r="C2383" s="19">
        <f t="shared" si="348"/>
        <v>0.005452392573</v>
      </c>
      <c r="D2383" s="19">
        <f t="shared" si="349"/>
        <v>0.06476308561</v>
      </c>
      <c r="E2383" s="12"/>
      <c r="F2383" s="7"/>
      <c r="G2383" s="7"/>
      <c r="H2383" s="1"/>
      <c r="I2383" s="1"/>
      <c r="J2383" s="1"/>
      <c r="K2383" s="1"/>
      <c r="L2383" s="12">
        <f t="shared" si="350"/>
        <v>21395.40714</v>
      </c>
      <c r="M2383" s="12"/>
      <c r="N2383" s="15"/>
      <c r="O2383" s="1"/>
      <c r="Q2383" s="12"/>
      <c r="R2383" s="1"/>
    </row>
    <row r="2384" ht="12.75" hidden="1" customHeight="1" outlineLevel="1">
      <c r="A2384" s="122">
        <f t="shared" si="351"/>
        <v>43645</v>
      </c>
      <c r="B2384" s="120">
        <v>947638.88</v>
      </c>
      <c r="C2384" s="19">
        <f t="shared" si="348"/>
        <v>0</v>
      </c>
      <c r="D2384" s="19">
        <f t="shared" si="349"/>
        <v>0.06476308561</v>
      </c>
      <c r="E2384" s="12"/>
      <c r="F2384" s="7"/>
      <c r="G2384" s="7"/>
      <c r="H2384" s="1"/>
      <c r="I2384" s="1"/>
      <c r="J2384" s="1"/>
      <c r="K2384" s="1"/>
      <c r="L2384" s="12">
        <f t="shared" si="350"/>
        <v>21395.40714</v>
      </c>
      <c r="M2384" s="12"/>
      <c r="N2384" s="15"/>
      <c r="O2384" s="1"/>
      <c r="Q2384" s="12"/>
      <c r="R2384" s="1"/>
    </row>
    <row r="2385" ht="12.75" hidden="1" customHeight="1" outlineLevel="1">
      <c r="A2385" s="122">
        <f t="shared" si="351"/>
        <v>43646</v>
      </c>
      <c r="B2385" s="120">
        <v>947638.88</v>
      </c>
      <c r="C2385" s="19">
        <f t="shared" si="348"/>
        <v>0</v>
      </c>
      <c r="D2385" s="19">
        <f t="shared" si="349"/>
        <v>0.06476308561</v>
      </c>
      <c r="E2385" s="12"/>
      <c r="F2385" s="7"/>
      <c r="G2385" s="7"/>
      <c r="H2385" s="1"/>
      <c r="I2385" s="1"/>
      <c r="J2385" s="1"/>
      <c r="K2385" s="1"/>
      <c r="L2385" s="12">
        <f t="shared" si="350"/>
        <v>21395.40714</v>
      </c>
      <c r="M2385" s="12"/>
      <c r="N2385" s="15"/>
      <c r="O2385" s="1"/>
      <c r="Q2385" s="12"/>
      <c r="R2385" s="1"/>
    </row>
    <row r="2386" ht="12.75" hidden="1" customHeight="1" outlineLevel="1">
      <c r="A2386" s="122"/>
      <c r="B2386" s="12"/>
      <c r="C2386" s="1"/>
      <c r="D2386" s="1"/>
      <c r="E2386" s="12"/>
      <c r="F2386" s="7"/>
      <c r="G2386" s="7"/>
      <c r="H2386" s="1"/>
      <c r="I2386" s="1"/>
      <c r="J2386" s="1"/>
      <c r="K2386" s="1"/>
      <c r="L2386" s="12"/>
      <c r="M2386" s="12"/>
      <c r="N2386" s="15"/>
      <c r="O2386" s="1"/>
      <c r="Q2386" s="12"/>
      <c r="R2386" s="1"/>
    </row>
    <row r="2387" ht="12.75" hidden="1" customHeight="1" outlineLevel="1">
      <c r="A2387" s="122"/>
      <c r="B2387" s="12">
        <f>B2385</f>
        <v>947638.88</v>
      </c>
      <c r="C2387" s="1"/>
      <c r="D2387" s="1"/>
      <c r="E2387" s="12"/>
      <c r="F2387" s="7"/>
      <c r="G2387" s="7"/>
      <c r="H2387" s="1"/>
      <c r="I2387" s="1"/>
      <c r="J2387" s="1"/>
      <c r="K2387" s="1"/>
      <c r="L2387" s="12"/>
      <c r="M2387" s="12"/>
      <c r="N2387" s="15"/>
      <c r="O2387" s="1"/>
      <c r="Q2387" s="12"/>
      <c r="R2387" s="1"/>
    </row>
    <row r="2388" ht="12.75" hidden="1" customHeight="1" outlineLevel="1">
      <c r="A2388" s="122">
        <f>A2385+1</f>
        <v>43647</v>
      </c>
      <c r="B2388" s="120">
        <v>954588.8700000001</v>
      </c>
      <c r="C2388" s="19">
        <f t="shared" ref="C2388:C2418" si="352">B2388/B2387-1</f>
        <v>0.007334006811</v>
      </c>
      <c r="D2388" s="19">
        <f t="shared" ref="D2388:D2418" si="353">(B2388/$B$2387)-1</f>
        <v>0.007334006811</v>
      </c>
      <c r="E2388" s="12"/>
      <c r="F2388" s="7"/>
      <c r="G2388" s="7"/>
      <c r="H2388" s="1"/>
      <c r="I2388" s="1"/>
      <c r="J2388" s="1"/>
      <c r="K2388" s="1"/>
      <c r="L2388" s="12">
        <f t="shared" ref="L2388:L2418" si="354">IF(C2387="",L2385*(1+C2388),L2387*(1+C2388))</f>
        <v>21552.3212</v>
      </c>
      <c r="M2388" s="12"/>
      <c r="N2388" s="15"/>
      <c r="O2388" s="1"/>
      <c r="Q2388" s="12"/>
      <c r="R2388" s="1"/>
    </row>
    <row r="2389" ht="12.75" hidden="1" customHeight="1" outlineLevel="1">
      <c r="A2389" s="122">
        <f t="shared" ref="A2389:A2418" si="355">A2388+1</f>
        <v>43648</v>
      </c>
      <c r="B2389" s="120">
        <v>961978.8800000002</v>
      </c>
      <c r="C2389" s="19">
        <f t="shared" si="352"/>
        <v>0.00774156313</v>
      </c>
      <c r="D2389" s="19">
        <f t="shared" si="353"/>
        <v>0.01513234662</v>
      </c>
      <c r="E2389" s="12"/>
      <c r="F2389" s="7"/>
      <c r="G2389" s="7"/>
      <c r="H2389" s="1"/>
      <c r="I2389" s="1"/>
      <c r="J2389" s="1"/>
      <c r="K2389" s="1"/>
      <c r="L2389" s="12">
        <f t="shared" si="354"/>
        <v>21719.16986</v>
      </c>
      <c r="M2389" s="12"/>
      <c r="N2389" s="15"/>
      <c r="O2389" s="1"/>
      <c r="Q2389" s="12"/>
      <c r="R2389" s="1"/>
    </row>
    <row r="2390" ht="12.75" hidden="1" customHeight="1" outlineLevel="1">
      <c r="A2390" s="122">
        <f t="shared" si="355"/>
        <v>43649</v>
      </c>
      <c r="B2390" s="120">
        <v>968714.0700000001</v>
      </c>
      <c r="C2390" s="19">
        <f t="shared" si="352"/>
        <v>0.007001390717</v>
      </c>
      <c r="D2390" s="19">
        <f t="shared" si="353"/>
        <v>0.0222396848</v>
      </c>
      <c r="E2390" s="12"/>
      <c r="F2390" s="7"/>
      <c r="G2390" s="7"/>
      <c r="H2390" s="1"/>
      <c r="I2390" s="1"/>
      <c r="J2390" s="1"/>
      <c r="K2390" s="1"/>
      <c r="L2390" s="12">
        <f t="shared" si="354"/>
        <v>21871.23425</v>
      </c>
      <c r="M2390" s="12"/>
      <c r="N2390" s="15"/>
      <c r="O2390" s="1"/>
      <c r="Q2390" s="12"/>
      <c r="R2390" s="1"/>
    </row>
    <row r="2391" ht="12.75" hidden="1" customHeight="1" outlineLevel="1">
      <c r="A2391" s="122">
        <f t="shared" si="355"/>
        <v>43650</v>
      </c>
      <c r="B2391" s="120">
        <v>968714.0700000001</v>
      </c>
      <c r="C2391" s="19">
        <f t="shared" si="352"/>
        <v>0</v>
      </c>
      <c r="D2391" s="19">
        <f t="shared" si="353"/>
        <v>0.0222396848</v>
      </c>
      <c r="E2391" s="12"/>
      <c r="F2391" s="7"/>
      <c r="G2391" s="7"/>
      <c r="H2391" s="1"/>
      <c r="I2391" s="1"/>
      <c r="J2391" s="1"/>
      <c r="K2391" s="1"/>
      <c r="L2391" s="12">
        <f t="shared" si="354"/>
        <v>21871.23425</v>
      </c>
      <c r="M2391" s="12"/>
      <c r="N2391" s="15"/>
      <c r="O2391" s="1"/>
      <c r="Q2391" s="12"/>
      <c r="R2391" s="1"/>
    </row>
    <row r="2392" ht="12.75" hidden="1" customHeight="1" outlineLevel="1">
      <c r="A2392" s="122">
        <f t="shared" si="355"/>
        <v>43651</v>
      </c>
      <c r="B2392" s="120">
        <v>968259.38</v>
      </c>
      <c r="C2392" s="19">
        <f t="shared" si="352"/>
        <v>-0.000469374828</v>
      </c>
      <c r="D2392" s="19">
        <f t="shared" si="353"/>
        <v>0.02175987123</v>
      </c>
      <c r="E2392" s="12"/>
      <c r="F2392" s="7"/>
      <c r="G2392" s="7"/>
      <c r="H2392" s="1"/>
      <c r="I2392" s="1"/>
      <c r="J2392" s="1"/>
      <c r="K2392" s="1"/>
      <c r="L2392" s="12">
        <f t="shared" si="354"/>
        <v>21860.96845</v>
      </c>
      <c r="M2392" s="12"/>
      <c r="N2392" s="15"/>
      <c r="O2392" s="1"/>
      <c r="Q2392" s="12"/>
      <c r="R2392" s="1"/>
    </row>
    <row r="2393" ht="12.75" hidden="1" customHeight="1" outlineLevel="1">
      <c r="A2393" s="122">
        <f t="shared" si="355"/>
        <v>43652</v>
      </c>
      <c r="B2393" s="120">
        <v>968259.38</v>
      </c>
      <c r="C2393" s="19">
        <f t="shared" si="352"/>
        <v>0</v>
      </c>
      <c r="D2393" s="19">
        <f t="shared" si="353"/>
        <v>0.02175987123</v>
      </c>
      <c r="E2393" s="12"/>
      <c r="F2393" s="7"/>
      <c r="G2393" s="7"/>
      <c r="H2393" s="1"/>
      <c r="I2393" s="1"/>
      <c r="J2393" s="1"/>
      <c r="K2393" s="1"/>
      <c r="L2393" s="12">
        <f t="shared" si="354"/>
        <v>21860.96845</v>
      </c>
      <c r="M2393" s="12"/>
      <c r="N2393" s="15"/>
      <c r="O2393" s="1"/>
      <c r="Q2393" s="12"/>
      <c r="R2393" s="1"/>
    </row>
    <row r="2394" ht="12.75" hidden="1" customHeight="1" outlineLevel="1">
      <c r="A2394" s="122">
        <f t="shared" si="355"/>
        <v>43653</v>
      </c>
      <c r="B2394" s="120">
        <v>968259.38</v>
      </c>
      <c r="C2394" s="19">
        <f t="shared" si="352"/>
        <v>0</v>
      </c>
      <c r="D2394" s="19">
        <f t="shared" si="353"/>
        <v>0.02175987123</v>
      </c>
      <c r="E2394" s="12"/>
      <c r="F2394" s="7"/>
      <c r="G2394" s="7"/>
      <c r="H2394" s="1"/>
      <c r="I2394" s="1"/>
      <c r="J2394" s="1"/>
      <c r="K2394" s="1"/>
      <c r="L2394" s="12">
        <f t="shared" si="354"/>
        <v>21860.96845</v>
      </c>
      <c r="M2394" s="12"/>
      <c r="N2394" s="15"/>
      <c r="O2394" s="1"/>
      <c r="Q2394" s="12"/>
      <c r="R2394" s="1"/>
    </row>
    <row r="2395" ht="12.75" hidden="1" customHeight="1" outlineLevel="1">
      <c r="A2395" s="122">
        <f t="shared" si="355"/>
        <v>43654</v>
      </c>
      <c r="B2395" s="120">
        <v>968259.38</v>
      </c>
      <c r="C2395" s="19">
        <f t="shared" si="352"/>
        <v>0</v>
      </c>
      <c r="D2395" s="19">
        <f t="shared" si="353"/>
        <v>0.02175987123</v>
      </c>
      <c r="E2395" s="12"/>
      <c r="F2395" s="7"/>
      <c r="G2395" s="7"/>
      <c r="H2395" s="1"/>
      <c r="I2395" s="1"/>
      <c r="J2395" s="1"/>
      <c r="K2395" s="1"/>
      <c r="L2395" s="12">
        <f t="shared" si="354"/>
        <v>21860.96845</v>
      </c>
      <c r="M2395" s="12"/>
      <c r="N2395" s="15"/>
      <c r="O2395" s="1"/>
      <c r="Q2395" s="12"/>
      <c r="R2395" s="1"/>
    </row>
    <row r="2396" ht="12.75" hidden="1" customHeight="1" outlineLevel="1">
      <c r="A2396" s="122">
        <f t="shared" si="355"/>
        <v>43655</v>
      </c>
      <c r="B2396" s="120">
        <v>969121.7899999999</v>
      </c>
      <c r="C2396" s="19">
        <f t="shared" si="352"/>
        <v>0.0008906807595</v>
      </c>
      <c r="D2396" s="19">
        <f t="shared" si="353"/>
        <v>0.02266993309</v>
      </c>
      <c r="E2396" s="12"/>
      <c r="F2396" s="7"/>
      <c r="G2396" s="7"/>
      <c r="H2396" s="1"/>
      <c r="I2396" s="1"/>
      <c r="J2396" s="1"/>
      <c r="K2396" s="1"/>
      <c r="L2396" s="12">
        <f t="shared" si="354"/>
        <v>21880.43959</v>
      </c>
      <c r="M2396" s="12"/>
      <c r="N2396" s="15"/>
      <c r="O2396" s="1"/>
      <c r="Q2396" s="12"/>
      <c r="R2396" s="1"/>
    </row>
    <row r="2397" ht="12.75" hidden="1" customHeight="1" outlineLevel="1">
      <c r="A2397" s="122">
        <f t="shared" si="355"/>
        <v>43656</v>
      </c>
      <c r="B2397" s="120">
        <v>974201.46</v>
      </c>
      <c r="C2397" s="19">
        <f t="shared" si="352"/>
        <v>0.005241518716</v>
      </c>
      <c r="D2397" s="19">
        <f t="shared" si="353"/>
        <v>0.02803027668</v>
      </c>
      <c r="E2397" s="12"/>
      <c r="F2397" s="7"/>
      <c r="G2397" s="7"/>
      <c r="H2397" s="1"/>
      <c r="I2397" s="1"/>
      <c r="J2397" s="1"/>
      <c r="K2397" s="1"/>
      <c r="L2397" s="12">
        <f t="shared" si="354"/>
        <v>21995.12632</v>
      </c>
      <c r="M2397" s="12"/>
      <c r="N2397" s="15"/>
      <c r="O2397" s="1"/>
      <c r="Q2397" s="12"/>
      <c r="R2397" s="1"/>
    </row>
    <row r="2398" ht="12.75" hidden="1" customHeight="1" outlineLevel="1">
      <c r="A2398" s="122">
        <f t="shared" si="355"/>
        <v>43657</v>
      </c>
      <c r="B2398" s="120">
        <v>980735.9199999998</v>
      </c>
      <c r="C2398" s="19">
        <f t="shared" si="352"/>
        <v>0.006707503805</v>
      </c>
      <c r="D2398" s="19">
        <f t="shared" si="353"/>
        <v>0.03492579367</v>
      </c>
      <c r="E2398" s="12"/>
      <c r="F2398" s="7"/>
      <c r="G2398" s="7"/>
      <c r="H2398" s="1"/>
      <c r="I2398" s="1"/>
      <c r="J2398" s="1"/>
      <c r="K2398" s="1"/>
      <c r="L2398" s="12">
        <f t="shared" si="354"/>
        <v>22142.65872</v>
      </c>
      <c r="M2398" s="12"/>
      <c r="N2398" s="15"/>
      <c r="O2398" s="1"/>
      <c r="Q2398" s="12"/>
      <c r="R2398" s="1"/>
    </row>
    <row r="2399" ht="12.75" hidden="1" customHeight="1" outlineLevel="1">
      <c r="A2399" s="122">
        <f t="shared" si="355"/>
        <v>43658</v>
      </c>
      <c r="B2399" s="120">
        <v>988790.87</v>
      </c>
      <c r="C2399" s="19">
        <f t="shared" si="352"/>
        <v>0.008213169148</v>
      </c>
      <c r="D2399" s="19">
        <f t="shared" si="353"/>
        <v>0.04342581427</v>
      </c>
      <c r="E2399" s="12"/>
      <c r="F2399" s="7"/>
      <c r="G2399" s="7"/>
      <c r="H2399" s="1"/>
      <c r="I2399" s="1"/>
      <c r="J2399" s="1"/>
      <c r="K2399" s="1"/>
      <c r="L2399" s="12">
        <f t="shared" si="354"/>
        <v>22324.52012</v>
      </c>
      <c r="M2399" s="12"/>
      <c r="N2399" s="15"/>
      <c r="O2399" s="1"/>
      <c r="Q2399" s="12"/>
      <c r="R2399" s="1"/>
    </row>
    <row r="2400" ht="12.75" hidden="1" customHeight="1" outlineLevel="1">
      <c r="A2400" s="122">
        <f t="shared" si="355"/>
        <v>43659</v>
      </c>
      <c r="B2400" s="120">
        <v>988790.87</v>
      </c>
      <c r="C2400" s="19">
        <f t="shared" si="352"/>
        <v>0</v>
      </c>
      <c r="D2400" s="19">
        <f t="shared" si="353"/>
        <v>0.04342581427</v>
      </c>
      <c r="E2400" s="12"/>
      <c r="F2400" s="7"/>
      <c r="G2400" s="7"/>
      <c r="H2400" s="1"/>
      <c r="I2400" s="1"/>
      <c r="J2400" s="1"/>
      <c r="K2400" s="1"/>
      <c r="L2400" s="12">
        <f t="shared" si="354"/>
        <v>22324.52012</v>
      </c>
      <c r="M2400" s="12"/>
      <c r="N2400" s="15"/>
      <c r="O2400" s="1"/>
      <c r="Q2400" s="12"/>
      <c r="R2400" s="1"/>
    </row>
    <row r="2401" ht="12.75" hidden="1" customHeight="1" outlineLevel="1">
      <c r="A2401" s="122">
        <f t="shared" si="355"/>
        <v>43660</v>
      </c>
      <c r="B2401" s="120">
        <v>988790.87</v>
      </c>
      <c r="C2401" s="19">
        <f t="shared" si="352"/>
        <v>0</v>
      </c>
      <c r="D2401" s="19">
        <f t="shared" si="353"/>
        <v>0.04342581427</v>
      </c>
      <c r="E2401" s="12"/>
      <c r="F2401" s="7"/>
      <c r="G2401" s="7"/>
      <c r="H2401" s="1"/>
      <c r="I2401" s="1"/>
      <c r="J2401" s="1"/>
      <c r="K2401" s="1"/>
      <c r="L2401" s="12">
        <f t="shared" si="354"/>
        <v>22324.52012</v>
      </c>
      <c r="M2401" s="12"/>
      <c r="N2401" s="15"/>
      <c r="O2401" s="1"/>
      <c r="Q2401" s="12"/>
      <c r="R2401" s="1"/>
    </row>
    <row r="2402" ht="12.75" hidden="1" customHeight="1" outlineLevel="1">
      <c r="A2402" s="122">
        <f t="shared" si="355"/>
        <v>43661</v>
      </c>
      <c r="B2402" s="120">
        <v>988388.34</v>
      </c>
      <c r="C2402" s="19">
        <f t="shared" si="352"/>
        <v>-0.0004070931602</v>
      </c>
      <c r="D2402" s="19">
        <f t="shared" si="353"/>
        <v>0.04300104276</v>
      </c>
      <c r="E2402" s="12"/>
      <c r="F2402" s="7"/>
      <c r="G2402" s="7"/>
      <c r="H2402" s="1"/>
      <c r="I2402" s="1"/>
      <c r="J2402" s="1"/>
      <c r="K2402" s="1"/>
      <c r="L2402" s="12">
        <f t="shared" si="354"/>
        <v>22315.43196</v>
      </c>
      <c r="M2402" s="12"/>
      <c r="N2402" s="15"/>
      <c r="O2402" s="1"/>
      <c r="Q2402" s="12"/>
      <c r="R2402" s="1"/>
    </row>
    <row r="2403" ht="12.75" hidden="1" customHeight="1" outlineLevel="1">
      <c r="A2403" s="122">
        <f t="shared" si="355"/>
        <v>43662</v>
      </c>
      <c r="B2403" s="120">
        <v>985695.6000000001</v>
      </c>
      <c r="C2403" s="19">
        <f t="shared" si="352"/>
        <v>-0.002724374511</v>
      </c>
      <c r="D2403" s="19">
        <f t="shared" si="353"/>
        <v>0.0401595173</v>
      </c>
      <c r="E2403" s="12"/>
      <c r="F2403" s="7"/>
      <c r="G2403" s="7"/>
      <c r="H2403" s="1"/>
      <c r="I2403" s="1"/>
      <c r="J2403" s="1"/>
      <c r="K2403" s="1"/>
      <c r="L2403" s="12">
        <f t="shared" si="354"/>
        <v>22254.63637</v>
      </c>
      <c r="M2403" s="12"/>
      <c r="N2403" s="15"/>
      <c r="O2403" s="1"/>
      <c r="Q2403" s="12"/>
      <c r="R2403" s="1"/>
    </row>
    <row r="2404" ht="12.75" hidden="1" customHeight="1" outlineLevel="1">
      <c r="A2404" s="122">
        <f t="shared" si="355"/>
        <v>43663</v>
      </c>
      <c r="B2404" s="120">
        <v>976391.2200000001</v>
      </c>
      <c r="C2404" s="19">
        <f t="shared" si="352"/>
        <v>-0.009439405025</v>
      </c>
      <c r="D2404" s="19">
        <f t="shared" si="353"/>
        <v>0.03034103033</v>
      </c>
      <c r="E2404" s="12"/>
      <c r="F2404" s="7"/>
      <c r="G2404" s="7"/>
      <c r="H2404" s="1"/>
      <c r="I2404" s="1"/>
      <c r="J2404" s="1"/>
      <c r="K2404" s="1"/>
      <c r="L2404" s="12">
        <f t="shared" si="354"/>
        <v>22044.56584</v>
      </c>
      <c r="M2404" s="12"/>
      <c r="N2404" s="15"/>
      <c r="O2404" s="1"/>
      <c r="Q2404" s="12"/>
      <c r="R2404" s="1"/>
    </row>
    <row r="2405" ht="12.75" hidden="1" customHeight="1" outlineLevel="1">
      <c r="A2405" s="122">
        <f t="shared" si="355"/>
        <v>43664</v>
      </c>
      <c r="B2405" s="120">
        <v>976391.2200000001</v>
      </c>
      <c r="C2405" s="19">
        <f t="shared" si="352"/>
        <v>0</v>
      </c>
      <c r="D2405" s="19">
        <f t="shared" si="353"/>
        <v>0.03034103033</v>
      </c>
      <c r="E2405" s="12"/>
      <c r="F2405" s="7"/>
      <c r="G2405" s="7"/>
      <c r="H2405" s="1"/>
      <c r="I2405" s="1"/>
      <c r="J2405" s="1"/>
      <c r="K2405" s="1"/>
      <c r="L2405" s="12">
        <f t="shared" si="354"/>
        <v>22044.56584</v>
      </c>
      <c r="M2405" s="12"/>
      <c r="N2405" s="15"/>
      <c r="O2405" s="1"/>
      <c r="Q2405" s="12"/>
      <c r="R2405" s="1"/>
    </row>
    <row r="2406" ht="12.75" hidden="1" customHeight="1" outlineLevel="1">
      <c r="A2406" s="122">
        <f t="shared" si="355"/>
        <v>43665</v>
      </c>
      <c r="B2406" s="120">
        <v>969654.9299999999</v>
      </c>
      <c r="C2406" s="19">
        <f t="shared" si="352"/>
        <v>-0.006899171011</v>
      </c>
      <c r="D2406" s="19">
        <f t="shared" si="353"/>
        <v>0.02323253136</v>
      </c>
      <c r="E2406" s="12"/>
      <c r="F2406" s="7"/>
      <c r="G2406" s="7"/>
      <c r="H2406" s="1"/>
      <c r="I2406" s="1"/>
      <c r="J2406" s="1"/>
      <c r="K2406" s="1"/>
      <c r="L2406" s="12">
        <f t="shared" si="354"/>
        <v>21892.47661</v>
      </c>
      <c r="M2406" s="12"/>
      <c r="N2406" s="15"/>
      <c r="O2406" s="1"/>
      <c r="Q2406" s="12"/>
      <c r="R2406" s="1"/>
    </row>
    <row r="2407" ht="12.75" hidden="1" customHeight="1" outlineLevel="1">
      <c r="A2407" s="122">
        <f t="shared" si="355"/>
        <v>43666</v>
      </c>
      <c r="B2407" s="120">
        <v>969654.9299999999</v>
      </c>
      <c r="C2407" s="19">
        <f t="shared" si="352"/>
        <v>0</v>
      </c>
      <c r="D2407" s="19">
        <f t="shared" si="353"/>
        <v>0.02323253136</v>
      </c>
      <c r="E2407" s="12"/>
      <c r="F2407" s="7"/>
      <c r="G2407" s="7"/>
      <c r="H2407" s="1"/>
      <c r="I2407" s="1"/>
      <c r="J2407" s="1"/>
      <c r="K2407" s="1"/>
      <c r="L2407" s="12">
        <f t="shared" si="354"/>
        <v>21892.47661</v>
      </c>
      <c r="M2407" s="12"/>
      <c r="N2407" s="15"/>
      <c r="O2407" s="1"/>
      <c r="Q2407" s="12"/>
      <c r="R2407" s="1"/>
    </row>
    <row r="2408" ht="12.75" hidden="1" customHeight="1" outlineLevel="1">
      <c r="A2408" s="122">
        <f t="shared" si="355"/>
        <v>43667</v>
      </c>
      <c r="B2408" s="120">
        <v>969654.9299999999</v>
      </c>
      <c r="C2408" s="19">
        <f t="shared" si="352"/>
        <v>0</v>
      </c>
      <c r="D2408" s="19">
        <f t="shared" si="353"/>
        <v>0.02323253136</v>
      </c>
      <c r="E2408" s="12"/>
      <c r="F2408" s="7"/>
      <c r="G2408" s="7"/>
      <c r="H2408" s="1"/>
      <c r="I2408" s="1"/>
      <c r="J2408" s="1"/>
      <c r="K2408" s="1"/>
      <c r="L2408" s="12">
        <f t="shared" si="354"/>
        <v>21892.47661</v>
      </c>
      <c r="M2408" s="12"/>
      <c r="N2408" s="15"/>
      <c r="O2408" s="1"/>
      <c r="Q2408" s="12"/>
      <c r="R2408" s="1"/>
    </row>
    <row r="2409" ht="12.75" hidden="1" customHeight="1" outlineLevel="1">
      <c r="A2409" s="122">
        <f t="shared" si="355"/>
        <v>43668</v>
      </c>
      <c r="B2409" s="120">
        <v>972789.4800000001</v>
      </c>
      <c r="C2409" s="19">
        <f t="shared" si="352"/>
        <v>0.003232644834</v>
      </c>
      <c r="D2409" s="19">
        <f t="shared" si="353"/>
        <v>0.02654027872</v>
      </c>
      <c r="E2409" s="12"/>
      <c r="F2409" s="7"/>
      <c r="G2409" s="7"/>
      <c r="H2409" s="1"/>
      <c r="I2409" s="1"/>
      <c r="J2409" s="1"/>
      <c r="K2409" s="1"/>
      <c r="L2409" s="12">
        <f t="shared" si="354"/>
        <v>21963.24721</v>
      </c>
      <c r="M2409" s="12"/>
      <c r="N2409" s="15"/>
      <c r="O2409" s="1"/>
      <c r="Q2409" s="12"/>
      <c r="R2409" s="1"/>
    </row>
    <row r="2410" ht="12.75" hidden="1" customHeight="1" outlineLevel="1">
      <c r="A2410" s="122">
        <f t="shared" si="355"/>
        <v>43669</v>
      </c>
      <c r="B2410" s="120">
        <v>974000.0</v>
      </c>
      <c r="C2410" s="19">
        <f t="shared" si="352"/>
        <v>0.001244380233</v>
      </c>
      <c r="D2410" s="19">
        <f t="shared" si="353"/>
        <v>0.02781768515</v>
      </c>
      <c r="E2410" s="12"/>
      <c r="F2410" s="7"/>
      <c r="G2410" s="7"/>
      <c r="H2410" s="1"/>
      <c r="I2410" s="1"/>
      <c r="J2410" s="1"/>
      <c r="K2410" s="1"/>
      <c r="L2410" s="12">
        <f t="shared" si="354"/>
        <v>21990.57784</v>
      </c>
      <c r="M2410" s="12"/>
      <c r="N2410" s="15"/>
      <c r="O2410" s="1"/>
      <c r="Q2410" s="12"/>
      <c r="R2410" s="1"/>
    </row>
    <row r="2411" ht="12.75" hidden="1" customHeight="1" outlineLevel="1">
      <c r="A2411" s="122">
        <f t="shared" si="355"/>
        <v>43670</v>
      </c>
      <c r="B2411" s="120">
        <v>981982.9999999999</v>
      </c>
      <c r="C2411" s="19">
        <f t="shared" si="352"/>
        <v>0.008196098563</v>
      </c>
      <c r="D2411" s="19">
        <f t="shared" si="353"/>
        <v>0.0362417802</v>
      </c>
      <c r="E2411" s="12"/>
      <c r="F2411" s="7"/>
      <c r="G2411" s="7"/>
      <c r="H2411" s="1"/>
      <c r="I2411" s="1"/>
      <c r="J2411" s="1"/>
      <c r="K2411" s="1"/>
      <c r="L2411" s="12">
        <f t="shared" si="354"/>
        <v>22170.81479</v>
      </c>
      <c r="M2411" s="12"/>
      <c r="N2411" s="15"/>
      <c r="O2411" s="1"/>
      <c r="Q2411" s="12"/>
      <c r="R2411" s="1"/>
    </row>
    <row r="2412" ht="12.75" hidden="1" customHeight="1" outlineLevel="1">
      <c r="A2412" s="122">
        <f t="shared" si="355"/>
        <v>43671</v>
      </c>
      <c r="B2412" s="120">
        <v>981314.1199999999</v>
      </c>
      <c r="C2412" s="19">
        <f t="shared" si="352"/>
        <v>-0.0006811523214</v>
      </c>
      <c r="D2412" s="19">
        <f t="shared" si="353"/>
        <v>0.03553594171</v>
      </c>
      <c r="E2412" s="12"/>
      <c r="F2412" s="7"/>
      <c r="G2412" s="7"/>
      <c r="H2412" s="1"/>
      <c r="I2412" s="1"/>
      <c r="J2412" s="1"/>
      <c r="K2412" s="1"/>
      <c r="L2412" s="12">
        <f t="shared" si="354"/>
        <v>22155.71308</v>
      </c>
      <c r="M2412" s="12"/>
      <c r="N2412" s="15"/>
      <c r="O2412" s="1"/>
      <c r="Q2412" s="12"/>
      <c r="R2412" s="1"/>
    </row>
    <row r="2413" ht="12.75" hidden="1" customHeight="1" outlineLevel="1">
      <c r="A2413" s="122">
        <f t="shared" si="355"/>
        <v>43672</v>
      </c>
      <c r="B2413" s="120">
        <v>987714.52</v>
      </c>
      <c r="C2413" s="19">
        <f t="shared" si="352"/>
        <v>0.006522274437</v>
      </c>
      <c r="D2413" s="19">
        <f t="shared" si="353"/>
        <v>0.04228999131</v>
      </c>
      <c r="E2413" s="12"/>
      <c r="F2413" s="7"/>
      <c r="G2413" s="7"/>
      <c r="H2413" s="1"/>
      <c r="I2413" s="1"/>
      <c r="J2413" s="1"/>
      <c r="K2413" s="1"/>
      <c r="L2413" s="12">
        <f t="shared" si="354"/>
        <v>22300.21872</v>
      </c>
      <c r="M2413" s="12"/>
      <c r="N2413" s="15"/>
      <c r="O2413" s="1"/>
      <c r="Q2413" s="12"/>
      <c r="R2413" s="1"/>
    </row>
    <row r="2414" ht="12.75" hidden="1" customHeight="1" outlineLevel="1">
      <c r="A2414" s="122">
        <f t="shared" si="355"/>
        <v>43673</v>
      </c>
      <c r="B2414" s="120">
        <v>987714.52</v>
      </c>
      <c r="C2414" s="19">
        <f t="shared" si="352"/>
        <v>0</v>
      </c>
      <c r="D2414" s="19">
        <f t="shared" si="353"/>
        <v>0.04228999131</v>
      </c>
      <c r="E2414" s="12"/>
      <c r="F2414" s="7"/>
      <c r="G2414" s="7"/>
      <c r="H2414" s="1"/>
      <c r="I2414" s="1"/>
      <c r="J2414" s="1"/>
      <c r="K2414" s="1"/>
      <c r="L2414" s="12">
        <f t="shared" si="354"/>
        <v>22300.21872</v>
      </c>
      <c r="M2414" s="12"/>
      <c r="N2414" s="15"/>
      <c r="O2414" s="1"/>
      <c r="Q2414" s="12"/>
      <c r="R2414" s="1"/>
    </row>
    <row r="2415" ht="12.75" hidden="1" customHeight="1" outlineLevel="1">
      <c r="A2415" s="122">
        <f t="shared" si="355"/>
        <v>43674</v>
      </c>
      <c r="B2415" s="120">
        <v>987714.52</v>
      </c>
      <c r="C2415" s="19">
        <f t="shared" si="352"/>
        <v>0</v>
      </c>
      <c r="D2415" s="19">
        <f t="shared" si="353"/>
        <v>0.04228999131</v>
      </c>
      <c r="E2415" s="12"/>
      <c r="F2415" s="7"/>
      <c r="G2415" s="7"/>
      <c r="H2415" s="1"/>
      <c r="I2415" s="1"/>
      <c r="J2415" s="1"/>
      <c r="K2415" s="1"/>
      <c r="L2415" s="12">
        <f t="shared" si="354"/>
        <v>22300.21872</v>
      </c>
      <c r="M2415" s="12"/>
      <c r="N2415" s="15"/>
      <c r="O2415" s="1"/>
      <c r="Q2415" s="12"/>
      <c r="R2415" s="1"/>
    </row>
    <row r="2416" ht="12.75" hidden="1" customHeight="1" outlineLevel="1">
      <c r="A2416" s="122">
        <f t="shared" si="355"/>
        <v>43675</v>
      </c>
      <c r="B2416" s="120">
        <v>984652.3600000001</v>
      </c>
      <c r="C2416" s="19">
        <f t="shared" si="352"/>
        <v>-0.003100248035</v>
      </c>
      <c r="D2416" s="19">
        <f t="shared" si="353"/>
        <v>0.03905863381</v>
      </c>
      <c r="E2416" s="12"/>
      <c r="F2416" s="7"/>
      <c r="G2416" s="7"/>
      <c r="H2416" s="1"/>
      <c r="I2416" s="1"/>
      <c r="J2416" s="1"/>
      <c r="K2416" s="1"/>
      <c r="L2416" s="12">
        <f t="shared" si="354"/>
        <v>22231.08252</v>
      </c>
      <c r="M2416" s="12"/>
      <c r="N2416" s="15"/>
      <c r="O2416" s="1"/>
      <c r="Q2416" s="12"/>
      <c r="R2416" s="1"/>
    </row>
    <row r="2417" ht="12.75" hidden="1" customHeight="1" outlineLevel="1">
      <c r="A2417" s="122">
        <f t="shared" si="355"/>
        <v>43676</v>
      </c>
      <c r="B2417" s="120">
        <v>980456.27</v>
      </c>
      <c r="C2417" s="19">
        <f t="shared" si="352"/>
        <v>-0.004261493874</v>
      </c>
      <c r="D2417" s="19">
        <f t="shared" si="353"/>
        <v>0.03463069181</v>
      </c>
      <c r="E2417" s="12"/>
      <c r="F2417" s="7"/>
      <c r="G2417" s="7"/>
      <c r="H2417" s="1"/>
      <c r="I2417" s="1"/>
      <c r="J2417" s="1"/>
      <c r="K2417" s="1"/>
      <c r="L2417" s="12">
        <f t="shared" si="354"/>
        <v>22136.34489</v>
      </c>
      <c r="M2417" s="12"/>
      <c r="N2417" s="15"/>
      <c r="O2417" s="1"/>
      <c r="Q2417" s="12"/>
      <c r="R2417" s="1"/>
    </row>
    <row r="2418" ht="12.75" hidden="1" customHeight="1" outlineLevel="1">
      <c r="A2418" s="122">
        <f t="shared" si="355"/>
        <v>43677</v>
      </c>
      <c r="B2418" s="120">
        <v>974577.98</v>
      </c>
      <c r="C2418" s="19">
        <f t="shared" si="352"/>
        <v>-0.005995463724</v>
      </c>
      <c r="D2418" s="19">
        <f t="shared" si="353"/>
        <v>0.02842760103</v>
      </c>
      <c r="E2418" s="12"/>
      <c r="F2418" s="7"/>
      <c r="G2418" s="7"/>
      <c r="H2418" s="1"/>
      <c r="I2418" s="1"/>
      <c r="J2418" s="1"/>
      <c r="K2418" s="1"/>
      <c r="L2418" s="12">
        <f t="shared" si="354"/>
        <v>22003.62724</v>
      </c>
      <c r="M2418" s="12"/>
      <c r="N2418" s="15"/>
      <c r="O2418" s="1"/>
      <c r="Q2418" s="12"/>
      <c r="R2418" s="1"/>
    </row>
    <row r="2419" ht="12.75" hidden="1" customHeight="1" outlineLevel="1">
      <c r="A2419" s="122"/>
      <c r="B2419" s="12"/>
      <c r="C2419" s="1"/>
      <c r="D2419" s="1"/>
      <c r="E2419" s="12"/>
      <c r="F2419" s="7"/>
      <c r="G2419" s="7"/>
      <c r="H2419" s="1"/>
      <c r="I2419" s="1"/>
      <c r="J2419" s="1"/>
      <c r="K2419" s="1"/>
      <c r="L2419" s="12"/>
      <c r="M2419" s="12"/>
      <c r="N2419" s="15"/>
      <c r="O2419" s="1"/>
      <c r="Q2419" s="12"/>
      <c r="R2419" s="1"/>
    </row>
    <row r="2420" ht="12.75" hidden="1" customHeight="1" outlineLevel="1">
      <c r="A2420" s="122"/>
      <c r="B2420" s="12">
        <f>B2418</f>
        <v>974577.98</v>
      </c>
      <c r="C2420" s="1"/>
      <c r="D2420" s="1"/>
      <c r="E2420" s="12"/>
      <c r="F2420" s="7"/>
      <c r="G2420" s="7"/>
      <c r="H2420" s="1"/>
      <c r="I2420" s="1"/>
      <c r="J2420" s="1"/>
      <c r="K2420" s="1"/>
      <c r="L2420" s="12"/>
      <c r="M2420" s="12"/>
      <c r="N2420" s="15"/>
      <c r="O2420" s="1"/>
      <c r="Q2420" s="12"/>
      <c r="R2420" s="1"/>
    </row>
    <row r="2421" ht="12.75" hidden="1" customHeight="1" outlineLevel="1">
      <c r="A2421" s="122">
        <f>A2418+1</f>
        <v>43678</v>
      </c>
      <c r="B2421" s="120">
        <v>973272.26</v>
      </c>
      <c r="C2421" s="19">
        <f t="shared" ref="C2421:C2451" si="356">B2421/B2420-1</f>
        <v>-0.001339779912</v>
      </c>
      <c r="D2421" s="19">
        <f t="shared" ref="D2421:D2451" si="357">(B2421/$B$2420)-1</f>
        <v>-0.001339779912</v>
      </c>
      <c r="E2421" s="12"/>
      <c r="F2421" s="7"/>
      <c r="G2421" s="7"/>
      <c r="H2421" s="1"/>
      <c r="I2421" s="1"/>
      <c r="J2421" s="1"/>
      <c r="K2421" s="1"/>
      <c r="L2421" s="12">
        <f t="shared" ref="L2421:L2451" si="358">IF(C2420="",L2418*(1+C2421),L2420*(1+C2421))</f>
        <v>21974.14722</v>
      </c>
      <c r="M2421" s="12"/>
      <c r="N2421" s="15"/>
      <c r="O2421" s="1"/>
      <c r="Q2421" s="12"/>
      <c r="R2421" s="1"/>
    </row>
    <row r="2422" ht="12.75" hidden="1" customHeight="1" outlineLevel="1">
      <c r="A2422" s="122">
        <f t="shared" ref="A2422:A2451" si="359">A2421+1</f>
        <v>43679</v>
      </c>
      <c r="B2422" s="120">
        <v>962570.6599999999</v>
      </c>
      <c r="C2422" s="19">
        <f t="shared" si="356"/>
        <v>-0.01099548445</v>
      </c>
      <c r="D2422" s="19">
        <f t="shared" si="357"/>
        <v>-0.01232053283</v>
      </c>
      <c r="E2422" s="12"/>
      <c r="F2422" s="7"/>
      <c r="G2422" s="7"/>
      <c r="H2422" s="1"/>
      <c r="I2422" s="1"/>
      <c r="J2422" s="1"/>
      <c r="K2422" s="1"/>
      <c r="L2422" s="12">
        <f t="shared" si="358"/>
        <v>21732.53083</v>
      </c>
      <c r="M2422" s="12"/>
      <c r="N2422" s="15"/>
      <c r="O2422" s="1"/>
      <c r="Q2422" s="12"/>
      <c r="R2422" s="1"/>
    </row>
    <row r="2423" ht="12.75" hidden="1" customHeight="1" outlineLevel="1">
      <c r="A2423" s="122">
        <f t="shared" si="359"/>
        <v>43680</v>
      </c>
      <c r="B2423" s="120">
        <v>962570.6599999999</v>
      </c>
      <c r="C2423" s="19">
        <f t="shared" si="356"/>
        <v>0</v>
      </c>
      <c r="D2423" s="19">
        <f t="shared" si="357"/>
        <v>-0.01232053283</v>
      </c>
      <c r="E2423" s="12"/>
      <c r="F2423" s="7"/>
      <c r="G2423" s="7"/>
      <c r="H2423" s="1"/>
      <c r="I2423" s="1"/>
      <c r="J2423" s="1"/>
      <c r="K2423" s="1"/>
      <c r="L2423" s="12">
        <f t="shared" si="358"/>
        <v>21732.53083</v>
      </c>
      <c r="M2423" s="12"/>
      <c r="N2423" s="15"/>
      <c r="O2423" s="1"/>
      <c r="Q2423" s="12"/>
      <c r="R2423" s="1"/>
    </row>
    <row r="2424" ht="12.75" hidden="1" customHeight="1" outlineLevel="1">
      <c r="A2424" s="122">
        <f t="shared" si="359"/>
        <v>43681</v>
      </c>
      <c r="B2424" s="120">
        <v>962570.6599999999</v>
      </c>
      <c r="C2424" s="19">
        <f t="shared" si="356"/>
        <v>0</v>
      </c>
      <c r="D2424" s="19">
        <f t="shared" si="357"/>
        <v>-0.01232053283</v>
      </c>
      <c r="E2424" s="12"/>
      <c r="F2424" s="7"/>
      <c r="G2424" s="7"/>
      <c r="H2424" s="1"/>
      <c r="I2424" s="1"/>
      <c r="J2424" s="1"/>
      <c r="K2424" s="1"/>
      <c r="L2424" s="12">
        <f t="shared" si="358"/>
        <v>21732.53083</v>
      </c>
      <c r="M2424" s="12"/>
      <c r="N2424" s="15"/>
      <c r="O2424" s="1"/>
      <c r="Q2424" s="12"/>
      <c r="R2424" s="1"/>
    </row>
    <row r="2425" ht="12.75" hidden="1" customHeight="1" outlineLevel="1">
      <c r="A2425" s="122">
        <f t="shared" si="359"/>
        <v>43682</v>
      </c>
      <c r="B2425" s="120">
        <v>930415.8599999999</v>
      </c>
      <c r="C2425" s="19">
        <f t="shared" si="356"/>
        <v>-0.03340513205</v>
      </c>
      <c r="D2425" s="19">
        <f t="shared" si="357"/>
        <v>-0.04531409585</v>
      </c>
      <c r="E2425" s="12"/>
      <c r="F2425" s="7"/>
      <c r="G2425" s="7"/>
      <c r="H2425" s="1"/>
      <c r="I2425" s="1"/>
      <c r="J2425" s="1"/>
      <c r="K2425" s="1"/>
      <c r="L2425" s="12">
        <f t="shared" si="358"/>
        <v>21006.55277</v>
      </c>
      <c r="M2425" s="12"/>
      <c r="N2425" s="15"/>
      <c r="O2425" s="1"/>
      <c r="Q2425" s="12"/>
      <c r="R2425" s="1"/>
    </row>
    <row r="2426" ht="12.75" hidden="1" customHeight="1" outlineLevel="1">
      <c r="A2426" s="122">
        <f t="shared" si="359"/>
        <v>43683</v>
      </c>
      <c r="B2426" s="120">
        <v>947039.23</v>
      </c>
      <c r="C2426" s="19">
        <f t="shared" si="356"/>
        <v>0.01786660214</v>
      </c>
      <c r="D2426" s="19">
        <f t="shared" si="357"/>
        <v>-0.02825710263</v>
      </c>
      <c r="E2426" s="12"/>
      <c r="F2426" s="7"/>
      <c r="G2426" s="7"/>
      <c r="H2426" s="1"/>
      <c r="I2426" s="1"/>
      <c r="J2426" s="1"/>
      <c r="K2426" s="1"/>
      <c r="L2426" s="12">
        <f t="shared" si="358"/>
        <v>21381.86849</v>
      </c>
      <c r="M2426" s="12"/>
      <c r="N2426" s="15"/>
      <c r="O2426" s="1"/>
      <c r="Q2426" s="12"/>
      <c r="R2426" s="1"/>
    </row>
    <row r="2427" ht="12.75" hidden="1" customHeight="1" outlineLevel="1">
      <c r="A2427" s="122">
        <f t="shared" si="359"/>
        <v>43684</v>
      </c>
      <c r="B2427" s="120">
        <v>952627.01</v>
      </c>
      <c r="C2427" s="19">
        <f t="shared" si="356"/>
        <v>0.005900262442</v>
      </c>
      <c r="D2427" s="19">
        <f t="shared" si="357"/>
        <v>-0.02252356451</v>
      </c>
      <c r="E2427" s="12"/>
      <c r="F2427" s="7"/>
      <c r="G2427" s="7"/>
      <c r="H2427" s="1"/>
      <c r="I2427" s="1"/>
      <c r="J2427" s="1"/>
      <c r="K2427" s="1"/>
      <c r="L2427" s="12">
        <f t="shared" si="358"/>
        <v>21508.02712</v>
      </c>
      <c r="M2427" s="12"/>
      <c r="N2427" s="15"/>
      <c r="O2427" s="1"/>
      <c r="Q2427" s="12"/>
      <c r="R2427" s="1"/>
    </row>
    <row r="2428" ht="12.75" hidden="1" customHeight="1" outlineLevel="1">
      <c r="A2428" s="122">
        <f t="shared" si="359"/>
        <v>43685</v>
      </c>
      <c r="B2428" s="120">
        <v>971504.71</v>
      </c>
      <c r="C2428" s="19">
        <f t="shared" si="356"/>
        <v>0.01981646521</v>
      </c>
      <c r="D2428" s="19">
        <f t="shared" si="357"/>
        <v>-0.003153436732</v>
      </c>
      <c r="E2428" s="12"/>
      <c r="F2428" s="7"/>
      <c r="G2428" s="7"/>
      <c r="H2428" s="1"/>
      <c r="I2428" s="1"/>
      <c r="J2428" s="1"/>
      <c r="K2428" s="1"/>
      <c r="L2428" s="12">
        <f t="shared" si="358"/>
        <v>21934.24019</v>
      </c>
      <c r="M2428" s="12"/>
      <c r="N2428" s="15"/>
      <c r="O2428" s="1"/>
      <c r="Q2428" s="12"/>
      <c r="R2428" s="1"/>
    </row>
    <row r="2429" ht="12.75" hidden="1" customHeight="1" outlineLevel="1">
      <c r="A2429" s="122">
        <f t="shared" si="359"/>
        <v>43686</v>
      </c>
      <c r="B2429" s="120">
        <v>965066.7299999999</v>
      </c>
      <c r="C2429" s="19">
        <f t="shared" si="356"/>
        <v>-0.006626812957</v>
      </c>
      <c r="D2429" s="19">
        <f t="shared" si="357"/>
        <v>-0.009759352453</v>
      </c>
      <c r="E2429" s="12"/>
      <c r="F2429" s="7"/>
      <c r="G2429" s="7"/>
      <c r="H2429" s="1"/>
      <c r="I2429" s="1"/>
      <c r="J2429" s="1"/>
      <c r="K2429" s="1"/>
      <c r="L2429" s="12">
        <f t="shared" si="358"/>
        <v>21788.88609</v>
      </c>
      <c r="M2429" s="12"/>
      <c r="N2429" s="15"/>
      <c r="O2429" s="1"/>
      <c r="Q2429" s="12"/>
      <c r="R2429" s="1"/>
    </row>
    <row r="2430" ht="12.75" hidden="1" customHeight="1" outlineLevel="1">
      <c r="A2430" s="122">
        <f t="shared" si="359"/>
        <v>43687</v>
      </c>
      <c r="B2430" s="120">
        <v>965066.7299999999</v>
      </c>
      <c r="C2430" s="19">
        <f t="shared" si="356"/>
        <v>0</v>
      </c>
      <c r="D2430" s="19">
        <f t="shared" si="357"/>
        <v>-0.009759352453</v>
      </c>
      <c r="E2430" s="12"/>
      <c r="F2430" s="7"/>
      <c r="G2430" s="7"/>
      <c r="H2430" s="1"/>
      <c r="I2430" s="1"/>
      <c r="J2430" s="1"/>
      <c r="K2430" s="1"/>
      <c r="L2430" s="12">
        <f t="shared" si="358"/>
        <v>21788.88609</v>
      </c>
      <c r="M2430" s="12"/>
      <c r="N2430" s="15"/>
      <c r="O2430" s="1"/>
      <c r="Q2430" s="12"/>
      <c r="R2430" s="1"/>
    </row>
    <row r="2431" ht="12.75" hidden="1" customHeight="1" outlineLevel="1">
      <c r="A2431" s="122">
        <f t="shared" si="359"/>
        <v>43688</v>
      </c>
      <c r="B2431" s="120">
        <v>965066.7299999999</v>
      </c>
      <c r="C2431" s="19">
        <f t="shared" si="356"/>
        <v>0</v>
      </c>
      <c r="D2431" s="19">
        <f t="shared" si="357"/>
        <v>-0.009759352453</v>
      </c>
      <c r="E2431" s="12"/>
      <c r="F2431" s="7"/>
      <c r="G2431" s="7"/>
      <c r="H2431" s="1"/>
      <c r="I2431" s="1"/>
      <c r="J2431" s="1"/>
      <c r="K2431" s="1"/>
      <c r="L2431" s="12">
        <f t="shared" si="358"/>
        <v>21788.88609</v>
      </c>
      <c r="M2431" s="12"/>
      <c r="N2431" s="15"/>
      <c r="O2431" s="1"/>
      <c r="Q2431" s="12"/>
      <c r="R2431" s="1"/>
    </row>
    <row r="2432" ht="12.75" hidden="1" customHeight="1" outlineLevel="1">
      <c r="A2432" s="122">
        <f t="shared" si="359"/>
        <v>43689</v>
      </c>
      <c r="B2432" s="120">
        <v>952337.43</v>
      </c>
      <c r="C2432" s="19">
        <f t="shared" si="356"/>
        <v>-0.01319007236</v>
      </c>
      <c r="D2432" s="19">
        <f t="shared" si="357"/>
        <v>-0.02282069825</v>
      </c>
      <c r="E2432" s="12"/>
      <c r="F2432" s="7"/>
      <c r="G2432" s="7"/>
      <c r="H2432" s="1"/>
      <c r="I2432" s="1"/>
      <c r="J2432" s="1"/>
      <c r="K2432" s="1"/>
      <c r="L2432" s="12">
        <f t="shared" si="358"/>
        <v>21501.4891</v>
      </c>
      <c r="M2432" s="12"/>
      <c r="N2432" s="15"/>
      <c r="O2432" s="1"/>
      <c r="Q2432" s="12"/>
      <c r="R2432" s="1"/>
    </row>
    <row r="2433" ht="12.75" hidden="1" customHeight="1" outlineLevel="1">
      <c r="A2433" s="122">
        <f t="shared" si="359"/>
        <v>43690</v>
      </c>
      <c r="B2433" s="120">
        <v>967000.0</v>
      </c>
      <c r="C2433" s="19">
        <f t="shared" si="356"/>
        <v>0.01539640209</v>
      </c>
      <c r="D2433" s="19">
        <f t="shared" si="357"/>
        <v>-0.007775652801</v>
      </c>
      <c r="E2433" s="12"/>
      <c r="F2433" s="7"/>
      <c r="G2433" s="7"/>
      <c r="H2433" s="1"/>
      <c r="I2433" s="1"/>
      <c r="J2433" s="1"/>
      <c r="K2433" s="1"/>
      <c r="L2433" s="12">
        <f t="shared" si="358"/>
        <v>21832.53467</v>
      </c>
      <c r="M2433" s="12"/>
      <c r="N2433" s="15"/>
      <c r="O2433" s="1"/>
      <c r="Q2433" s="12"/>
      <c r="R2433" s="1"/>
    </row>
    <row r="2434" ht="12.75" hidden="1" customHeight="1" outlineLevel="1">
      <c r="A2434" s="122">
        <f t="shared" si="359"/>
        <v>43691</v>
      </c>
      <c r="B2434" s="120">
        <v>937743.4400000001</v>
      </c>
      <c r="C2434" s="19">
        <f t="shared" si="356"/>
        <v>-0.03025497415</v>
      </c>
      <c r="D2434" s="19">
        <f t="shared" si="357"/>
        <v>-0.03779537477</v>
      </c>
      <c r="E2434" s="12"/>
      <c r="F2434" s="7"/>
      <c r="G2434" s="7"/>
      <c r="H2434" s="1"/>
      <c r="I2434" s="1"/>
      <c r="J2434" s="1"/>
      <c r="K2434" s="1"/>
      <c r="L2434" s="12">
        <f t="shared" si="358"/>
        <v>21171.9919</v>
      </c>
      <c r="M2434" s="12"/>
      <c r="N2434" s="15"/>
      <c r="O2434" s="1"/>
      <c r="Q2434" s="12"/>
      <c r="R2434" s="1"/>
    </row>
    <row r="2435" ht="12.75" hidden="1" customHeight="1" outlineLevel="1">
      <c r="A2435" s="122">
        <f t="shared" si="359"/>
        <v>43692</v>
      </c>
      <c r="B2435" s="120">
        <v>944146.7199999999</v>
      </c>
      <c r="C2435" s="19">
        <f t="shared" si="356"/>
        <v>0.006828392209</v>
      </c>
      <c r="D2435" s="19">
        <f t="shared" si="357"/>
        <v>-0.03122506421</v>
      </c>
      <c r="E2435" s="12"/>
      <c r="F2435" s="7"/>
      <c r="G2435" s="7"/>
      <c r="H2435" s="1"/>
      <c r="I2435" s="1"/>
      <c r="J2435" s="1"/>
      <c r="K2435" s="1"/>
      <c r="L2435" s="12">
        <f t="shared" si="358"/>
        <v>21316.56257</v>
      </c>
      <c r="M2435" s="12"/>
      <c r="N2435" s="15"/>
      <c r="O2435" s="1"/>
      <c r="Q2435" s="12"/>
      <c r="R2435" s="1"/>
    </row>
    <row r="2436" ht="12.75" hidden="1" customHeight="1" outlineLevel="1">
      <c r="A2436" s="122">
        <f t="shared" si="359"/>
        <v>43693</v>
      </c>
      <c r="B2436" s="120">
        <v>956192.2599999999</v>
      </c>
      <c r="C2436" s="19">
        <f t="shared" si="356"/>
        <v>0.01275812302</v>
      </c>
      <c r="D2436" s="19">
        <f t="shared" si="357"/>
        <v>-0.0188653144</v>
      </c>
      <c r="E2436" s="12"/>
      <c r="F2436" s="7"/>
      <c r="G2436" s="7"/>
      <c r="H2436" s="1"/>
      <c r="I2436" s="1"/>
      <c r="J2436" s="1"/>
      <c r="K2436" s="1"/>
      <c r="L2436" s="12">
        <f t="shared" si="358"/>
        <v>21588.52189</v>
      </c>
      <c r="M2436" s="12"/>
      <c r="N2436" s="15"/>
      <c r="O2436" s="1"/>
      <c r="Q2436" s="12"/>
      <c r="R2436" s="1"/>
    </row>
    <row r="2437" ht="12.75" hidden="1" customHeight="1" outlineLevel="1">
      <c r="A2437" s="122">
        <f t="shared" si="359"/>
        <v>43694</v>
      </c>
      <c r="B2437" s="120">
        <v>956192.2599999999</v>
      </c>
      <c r="C2437" s="19">
        <f t="shared" si="356"/>
        <v>0</v>
      </c>
      <c r="D2437" s="19">
        <f t="shared" si="357"/>
        <v>-0.0188653144</v>
      </c>
      <c r="E2437" s="12"/>
      <c r="F2437" s="7"/>
      <c r="G2437" s="7"/>
      <c r="H2437" s="1"/>
      <c r="I2437" s="1"/>
      <c r="J2437" s="1"/>
      <c r="K2437" s="1"/>
      <c r="L2437" s="12">
        <f t="shared" si="358"/>
        <v>21588.52189</v>
      </c>
      <c r="M2437" s="12"/>
      <c r="N2437" s="15"/>
      <c r="O2437" s="1"/>
      <c r="Q2437" s="12"/>
      <c r="R2437" s="1"/>
    </row>
    <row r="2438" ht="12.75" hidden="1" customHeight="1" outlineLevel="1">
      <c r="A2438" s="122">
        <f t="shared" si="359"/>
        <v>43695</v>
      </c>
      <c r="B2438" s="120">
        <v>956192.2599999999</v>
      </c>
      <c r="C2438" s="19">
        <f t="shared" si="356"/>
        <v>0</v>
      </c>
      <c r="D2438" s="19">
        <f t="shared" si="357"/>
        <v>-0.0188653144</v>
      </c>
      <c r="E2438" s="12"/>
      <c r="F2438" s="7"/>
      <c r="G2438" s="7"/>
      <c r="H2438" s="1"/>
      <c r="I2438" s="1"/>
      <c r="J2438" s="1"/>
      <c r="K2438" s="1"/>
      <c r="L2438" s="12">
        <f t="shared" si="358"/>
        <v>21588.52189</v>
      </c>
      <c r="M2438" s="12"/>
      <c r="N2438" s="15"/>
      <c r="O2438" s="1"/>
      <c r="Q2438" s="12"/>
      <c r="R2438" s="1"/>
    </row>
    <row r="2439" ht="12.75" hidden="1" customHeight="1" outlineLevel="1">
      <c r="A2439" s="122">
        <f t="shared" si="359"/>
        <v>43696</v>
      </c>
      <c r="B2439" s="120">
        <v>964520.4500000001</v>
      </c>
      <c r="C2439" s="19">
        <f t="shared" si="356"/>
        <v>0.00870974421</v>
      </c>
      <c r="D2439" s="19">
        <f t="shared" si="357"/>
        <v>-0.01031988225</v>
      </c>
      <c r="E2439" s="12"/>
      <c r="F2439" s="7"/>
      <c r="G2439" s="7"/>
      <c r="H2439" s="1"/>
      <c r="I2439" s="1"/>
      <c r="J2439" s="1"/>
      <c r="K2439" s="1"/>
      <c r="L2439" s="12">
        <f t="shared" si="358"/>
        <v>21776.5524</v>
      </c>
      <c r="M2439" s="12"/>
      <c r="N2439" s="15"/>
      <c r="O2439" s="1"/>
      <c r="Q2439" s="12"/>
      <c r="R2439" s="1"/>
    </row>
    <row r="2440" ht="12.75" hidden="1" customHeight="1" outlineLevel="1">
      <c r="A2440" s="122">
        <f t="shared" si="359"/>
        <v>43697</v>
      </c>
      <c r="B2440" s="120">
        <v>961367.2300000001</v>
      </c>
      <c r="C2440" s="19">
        <f t="shared" si="356"/>
        <v>-0.003269210103</v>
      </c>
      <c r="D2440" s="19">
        <f t="shared" si="357"/>
        <v>-0.01355535449</v>
      </c>
      <c r="E2440" s="12"/>
      <c r="F2440" s="7"/>
      <c r="G2440" s="7"/>
      <c r="H2440" s="1"/>
      <c r="I2440" s="1"/>
      <c r="J2440" s="1"/>
      <c r="K2440" s="1"/>
      <c r="L2440" s="12">
        <f t="shared" si="358"/>
        <v>21705.36027</v>
      </c>
      <c r="M2440" s="12"/>
      <c r="N2440" s="15"/>
      <c r="O2440" s="1"/>
      <c r="Q2440" s="12"/>
      <c r="R2440" s="1"/>
    </row>
    <row r="2441" ht="12.75" hidden="1" customHeight="1" outlineLevel="1">
      <c r="A2441" s="122">
        <f t="shared" si="359"/>
        <v>43698</v>
      </c>
      <c r="B2441" s="120">
        <v>968729.3099999999</v>
      </c>
      <c r="C2441" s="19">
        <f t="shared" si="356"/>
        <v>0.00765792693</v>
      </c>
      <c r="D2441" s="19">
        <f t="shared" si="357"/>
        <v>-0.006001233477</v>
      </c>
      <c r="E2441" s="12"/>
      <c r="F2441" s="7"/>
      <c r="G2441" s="7"/>
      <c r="H2441" s="1"/>
      <c r="I2441" s="1"/>
      <c r="J2441" s="1"/>
      <c r="K2441" s="1"/>
      <c r="L2441" s="12">
        <f t="shared" si="358"/>
        <v>21871.57834</v>
      </c>
      <c r="M2441" s="12"/>
      <c r="N2441" s="15"/>
      <c r="O2441" s="1"/>
      <c r="Q2441" s="12"/>
      <c r="R2441" s="1"/>
    </row>
    <row r="2442" ht="12.75" hidden="1" customHeight="1" outlineLevel="1">
      <c r="A2442" s="122">
        <f t="shared" si="359"/>
        <v>43699</v>
      </c>
      <c r="B2442" s="120">
        <v>967042.7</v>
      </c>
      <c r="C2442" s="19">
        <f t="shared" si="356"/>
        <v>-0.001741053959</v>
      </c>
      <c r="D2442" s="19">
        <f t="shared" si="357"/>
        <v>-0.007731838965</v>
      </c>
      <c r="E2442" s="12"/>
      <c r="F2442" s="7"/>
      <c r="G2442" s="7"/>
      <c r="H2442" s="1"/>
      <c r="I2442" s="1"/>
      <c r="J2442" s="1"/>
      <c r="K2442" s="1"/>
      <c r="L2442" s="12">
        <f t="shared" si="358"/>
        <v>21833.49874</v>
      </c>
      <c r="M2442" s="12"/>
      <c r="N2442" s="15"/>
      <c r="O2442" s="1"/>
      <c r="Q2442" s="12"/>
      <c r="R2442" s="1"/>
    </row>
    <row r="2443" ht="12.75" hidden="1" customHeight="1" outlineLevel="1">
      <c r="A2443" s="122">
        <f t="shared" si="359"/>
        <v>43700</v>
      </c>
      <c r="B2443" s="120">
        <v>943748.84</v>
      </c>
      <c r="C2443" s="19">
        <f t="shared" si="356"/>
        <v>-0.02408772643</v>
      </c>
      <c r="D2443" s="19">
        <f t="shared" si="357"/>
        <v>-0.03163332297</v>
      </c>
      <c r="E2443" s="12"/>
      <c r="F2443" s="7"/>
      <c r="G2443" s="7"/>
      <c r="H2443" s="1"/>
      <c r="I2443" s="1"/>
      <c r="J2443" s="1"/>
      <c r="K2443" s="1"/>
      <c r="L2443" s="12">
        <f t="shared" si="358"/>
        <v>21307.57939</v>
      </c>
      <c r="M2443" s="12"/>
      <c r="N2443" s="15"/>
      <c r="O2443" s="1"/>
      <c r="Q2443" s="12"/>
      <c r="R2443" s="1"/>
    </row>
    <row r="2444" ht="12.75" hidden="1" customHeight="1" outlineLevel="1">
      <c r="A2444" s="122">
        <f t="shared" si="359"/>
        <v>43701</v>
      </c>
      <c r="B2444" s="120">
        <v>943748.84</v>
      </c>
      <c r="C2444" s="19">
        <f t="shared" si="356"/>
        <v>0</v>
      </c>
      <c r="D2444" s="19">
        <f t="shared" si="357"/>
        <v>-0.03163332297</v>
      </c>
      <c r="E2444" s="12"/>
      <c r="F2444" s="7"/>
      <c r="G2444" s="7"/>
      <c r="H2444" s="1"/>
      <c r="I2444" s="1"/>
      <c r="J2444" s="1"/>
      <c r="K2444" s="1"/>
      <c r="L2444" s="12">
        <f t="shared" si="358"/>
        <v>21307.57939</v>
      </c>
      <c r="M2444" s="12"/>
      <c r="N2444" s="15"/>
      <c r="O2444" s="1"/>
      <c r="Q2444" s="12"/>
      <c r="R2444" s="1"/>
    </row>
    <row r="2445" ht="12.75" hidden="1" customHeight="1" outlineLevel="1">
      <c r="A2445" s="122">
        <f t="shared" si="359"/>
        <v>43702</v>
      </c>
      <c r="B2445" s="120">
        <v>943748.84</v>
      </c>
      <c r="C2445" s="19">
        <f t="shared" si="356"/>
        <v>0</v>
      </c>
      <c r="D2445" s="19">
        <f t="shared" si="357"/>
        <v>-0.03163332297</v>
      </c>
      <c r="E2445" s="12"/>
      <c r="F2445" s="7"/>
      <c r="G2445" s="7"/>
      <c r="H2445" s="1"/>
      <c r="I2445" s="1"/>
      <c r="J2445" s="1"/>
      <c r="K2445" s="1"/>
      <c r="L2445" s="12">
        <f t="shared" si="358"/>
        <v>21307.57939</v>
      </c>
      <c r="M2445" s="12"/>
      <c r="N2445" s="15"/>
      <c r="O2445" s="1"/>
      <c r="Q2445" s="12"/>
      <c r="R2445" s="1"/>
    </row>
    <row r="2446" ht="12.75" hidden="1" customHeight="1" outlineLevel="1">
      <c r="A2446" s="122">
        <f t="shared" si="359"/>
        <v>43703</v>
      </c>
      <c r="B2446" s="120">
        <v>953058.1299999999</v>
      </c>
      <c r="C2446" s="19">
        <f t="shared" si="356"/>
        <v>0.009864160469</v>
      </c>
      <c r="D2446" s="19">
        <f t="shared" si="357"/>
        <v>-0.02208119867</v>
      </c>
      <c r="E2446" s="12"/>
      <c r="F2446" s="7"/>
      <c r="G2446" s="7"/>
      <c r="H2446" s="1"/>
      <c r="I2446" s="1"/>
      <c r="J2446" s="1"/>
      <c r="K2446" s="1"/>
      <c r="L2446" s="12">
        <f t="shared" si="358"/>
        <v>21517.76078</v>
      </c>
      <c r="M2446" s="12"/>
      <c r="N2446" s="15"/>
      <c r="O2446" s="1"/>
      <c r="Q2446" s="12"/>
      <c r="R2446" s="1"/>
    </row>
    <row r="2447" ht="12.75" hidden="1" customHeight="1" outlineLevel="1">
      <c r="A2447" s="122">
        <f t="shared" si="359"/>
        <v>43704</v>
      </c>
      <c r="B2447" s="120">
        <v>950777.77</v>
      </c>
      <c r="C2447" s="19">
        <f t="shared" si="356"/>
        <v>-0.00239267672</v>
      </c>
      <c r="D2447" s="19">
        <f t="shared" si="357"/>
        <v>-0.02442104222</v>
      </c>
      <c r="E2447" s="12"/>
      <c r="F2447" s="7"/>
      <c r="G2447" s="7"/>
      <c r="H2447" s="1"/>
      <c r="I2447" s="1"/>
      <c r="J2447" s="1"/>
      <c r="K2447" s="1"/>
      <c r="L2447" s="12">
        <f t="shared" si="358"/>
        <v>21466.27573</v>
      </c>
      <c r="M2447" s="12"/>
      <c r="N2447" s="15"/>
      <c r="O2447" s="1"/>
      <c r="Q2447" s="12"/>
      <c r="R2447" s="1"/>
    </row>
    <row r="2448" ht="12.75" hidden="1" customHeight="1" outlineLevel="1">
      <c r="A2448" s="122">
        <f t="shared" si="359"/>
        <v>43705</v>
      </c>
      <c r="B2448" s="120">
        <v>956108.1699999999</v>
      </c>
      <c r="C2448" s="19">
        <f t="shared" si="356"/>
        <v>0.005606357414</v>
      </c>
      <c r="D2448" s="19">
        <f t="shared" si="357"/>
        <v>-0.0189515979</v>
      </c>
      <c r="E2448" s="12"/>
      <c r="F2448" s="7"/>
      <c r="G2448" s="7"/>
      <c r="H2448" s="1"/>
      <c r="I2448" s="1"/>
      <c r="J2448" s="1"/>
      <c r="K2448" s="1"/>
      <c r="L2448" s="12">
        <f t="shared" si="358"/>
        <v>21586.62334</v>
      </c>
      <c r="M2448" s="12"/>
      <c r="N2448" s="15"/>
      <c r="O2448" s="1"/>
      <c r="Q2448" s="12"/>
      <c r="R2448" s="1"/>
    </row>
    <row r="2449" ht="12.75" hidden="1" customHeight="1" outlineLevel="1">
      <c r="A2449" s="122">
        <f t="shared" si="359"/>
        <v>43706</v>
      </c>
      <c r="B2449" s="120">
        <v>969060.78</v>
      </c>
      <c r="C2449" s="19">
        <f t="shared" si="356"/>
        <v>0.01354722238</v>
      </c>
      <c r="D2449" s="19">
        <f t="shared" si="357"/>
        <v>-0.00566111703</v>
      </c>
      <c r="E2449" s="12"/>
      <c r="F2449" s="7"/>
      <c r="G2449" s="7"/>
      <c r="H2449" s="1"/>
      <c r="I2449" s="1"/>
      <c r="J2449" s="1"/>
      <c r="K2449" s="1"/>
      <c r="L2449" s="12">
        <f t="shared" si="358"/>
        <v>21879.06213</v>
      </c>
      <c r="M2449" s="12"/>
      <c r="N2449" s="15"/>
      <c r="O2449" s="1"/>
      <c r="Q2449" s="12"/>
      <c r="R2449" s="1"/>
    </row>
    <row r="2450" ht="12.75" hidden="1" customHeight="1" outlineLevel="1">
      <c r="A2450" s="122">
        <f t="shared" si="359"/>
        <v>43707</v>
      </c>
      <c r="B2450" s="120">
        <v>963930.14</v>
      </c>
      <c r="C2450" s="19">
        <f t="shared" si="356"/>
        <v>-0.005294446031</v>
      </c>
      <c r="D2450" s="19">
        <f t="shared" si="357"/>
        <v>-0.01092559058</v>
      </c>
      <c r="E2450" s="12"/>
      <c r="F2450" s="7"/>
      <c r="G2450" s="7"/>
      <c r="H2450" s="1"/>
      <c r="I2450" s="1"/>
      <c r="J2450" s="1"/>
      <c r="K2450" s="1"/>
      <c r="L2450" s="12">
        <f t="shared" si="358"/>
        <v>21763.22462</v>
      </c>
      <c r="M2450" s="12"/>
      <c r="N2450" s="15"/>
      <c r="O2450" s="1"/>
      <c r="Q2450" s="12"/>
      <c r="R2450" s="1"/>
    </row>
    <row r="2451" ht="12.75" hidden="1" customHeight="1" outlineLevel="1">
      <c r="A2451" s="122">
        <f t="shared" si="359"/>
        <v>43708</v>
      </c>
      <c r="B2451" s="12">
        <f>B2450</f>
        <v>963930.14</v>
      </c>
      <c r="C2451" s="19">
        <f t="shared" si="356"/>
        <v>0</v>
      </c>
      <c r="D2451" s="19">
        <f t="shared" si="357"/>
        <v>-0.01092559058</v>
      </c>
      <c r="E2451" s="12"/>
      <c r="F2451" s="7"/>
      <c r="G2451" s="7"/>
      <c r="H2451" s="1"/>
      <c r="I2451" s="1"/>
      <c r="J2451" s="1"/>
      <c r="K2451" s="1"/>
      <c r="L2451" s="12">
        <f t="shared" si="358"/>
        <v>21763.22462</v>
      </c>
      <c r="M2451" s="12"/>
      <c r="N2451" s="15"/>
      <c r="O2451" s="1"/>
      <c r="Q2451" s="12"/>
      <c r="R2451" s="1"/>
    </row>
    <row r="2452" ht="12.75" customHeight="1">
      <c r="A2452" s="122"/>
      <c r="B2452" s="12"/>
      <c r="C2452" s="1"/>
      <c r="D2452" s="1"/>
      <c r="E2452" s="12"/>
      <c r="F2452" s="7"/>
      <c r="G2452" s="7"/>
      <c r="H2452" s="1"/>
      <c r="I2452" s="1"/>
      <c r="J2452" s="1"/>
      <c r="K2452" s="1"/>
      <c r="L2452" s="12"/>
      <c r="M2452" s="12"/>
      <c r="N2452" s="15"/>
      <c r="O2452" s="1"/>
      <c r="Q2452" s="12"/>
      <c r="R2452" s="1"/>
    </row>
    <row r="2453" ht="12.75" customHeight="1">
      <c r="A2453" s="122"/>
      <c r="B2453" s="12">
        <v>963930.14</v>
      </c>
      <c r="C2453" s="1"/>
      <c r="D2453" s="1"/>
      <c r="E2453" s="12"/>
      <c r="F2453" s="7"/>
      <c r="G2453" s="7"/>
      <c r="H2453" s="1"/>
      <c r="I2453" s="1"/>
      <c r="J2453" s="1"/>
      <c r="K2453" s="1"/>
      <c r="L2453" s="12"/>
      <c r="M2453" s="12"/>
      <c r="N2453" s="15"/>
      <c r="O2453" s="1"/>
      <c r="Q2453" s="12"/>
      <c r="R2453" s="1"/>
    </row>
    <row r="2454" ht="12.75" customHeight="1">
      <c r="A2454" s="122">
        <f>A2451+1</f>
        <v>43709</v>
      </c>
      <c r="B2454" s="12">
        <v>963930.14</v>
      </c>
      <c r="C2454" s="19">
        <f t="shared" ref="C2454:C2483" si="360">B2454/B2453-1</f>
        <v>0</v>
      </c>
      <c r="D2454" s="19">
        <f t="shared" ref="D2454:D2483" si="361">(B2454/$B$2453)-1</f>
        <v>0</v>
      </c>
      <c r="E2454" s="12"/>
      <c r="F2454" s="7"/>
      <c r="G2454" s="7"/>
      <c r="H2454" s="1"/>
      <c r="I2454" s="1"/>
      <c r="J2454" s="1"/>
      <c r="K2454" s="1"/>
      <c r="L2454" s="12">
        <f t="shared" ref="L2454:L2483" si="362">IF(C2453="",L2451*(1+C2454),L2453*(1+C2454))</f>
        <v>21763.22462</v>
      </c>
      <c r="M2454" s="12"/>
      <c r="N2454" s="15"/>
      <c r="O2454" s="1"/>
      <c r="Q2454" s="12"/>
      <c r="R2454" s="1"/>
    </row>
    <row r="2455" ht="12.75" customHeight="1">
      <c r="A2455" s="122">
        <f t="shared" ref="A2455:A2483" si="363">A2454+1</f>
        <v>43710</v>
      </c>
      <c r="B2455" s="12">
        <v>963930.14</v>
      </c>
      <c r="C2455" s="19">
        <f t="shared" si="360"/>
        <v>0</v>
      </c>
      <c r="D2455" s="19">
        <f t="shared" si="361"/>
        <v>0</v>
      </c>
      <c r="E2455" s="12"/>
      <c r="F2455" s="7"/>
      <c r="G2455" s="7"/>
      <c r="H2455" s="1"/>
      <c r="I2455" s="1"/>
      <c r="J2455" s="1"/>
      <c r="K2455" s="1"/>
      <c r="L2455" s="12">
        <f t="shared" si="362"/>
        <v>21763.22462</v>
      </c>
      <c r="M2455" s="12"/>
      <c r="N2455" s="15"/>
      <c r="O2455" s="1"/>
      <c r="Q2455" s="12"/>
      <c r="R2455" s="1"/>
    </row>
    <row r="2456" ht="12.75" customHeight="1">
      <c r="A2456" s="122">
        <f t="shared" si="363"/>
        <v>43711</v>
      </c>
      <c r="B2456" s="120">
        <v>957986.6</v>
      </c>
      <c r="C2456" s="19">
        <f t="shared" si="360"/>
        <v>-0.006165944764</v>
      </c>
      <c r="D2456" s="19">
        <f t="shared" si="361"/>
        <v>-0.006165944764</v>
      </c>
      <c r="E2456" s="12"/>
      <c r="F2456" s="7"/>
      <c r="G2456" s="7"/>
      <c r="H2456" s="1"/>
      <c r="I2456" s="1"/>
      <c r="J2456" s="1"/>
      <c r="K2456" s="1"/>
      <c r="L2456" s="12">
        <f t="shared" si="362"/>
        <v>21629.03378</v>
      </c>
      <c r="M2456" s="12"/>
      <c r="N2456" s="15"/>
      <c r="O2456" s="1"/>
      <c r="Q2456" s="12"/>
      <c r="R2456" s="1"/>
    </row>
    <row r="2457" ht="12.75" customHeight="1">
      <c r="A2457" s="122">
        <f t="shared" si="363"/>
        <v>43712</v>
      </c>
      <c r="B2457" s="120">
        <v>966555.8099999999</v>
      </c>
      <c r="C2457" s="19">
        <f t="shared" si="360"/>
        <v>0.008945020734</v>
      </c>
      <c r="D2457" s="19">
        <f t="shared" si="361"/>
        <v>0.002723921466</v>
      </c>
      <c r="E2457" s="12"/>
      <c r="F2457" s="7"/>
      <c r="G2457" s="7"/>
      <c r="H2457" s="1"/>
      <c r="I2457" s="1"/>
      <c r="J2457" s="1"/>
      <c r="K2457" s="1"/>
      <c r="L2457" s="12">
        <f t="shared" si="362"/>
        <v>21822.50593</v>
      </c>
      <c r="M2457" s="12"/>
      <c r="N2457" s="15"/>
      <c r="O2457" s="1"/>
      <c r="Q2457" s="12"/>
      <c r="R2457" s="1"/>
    </row>
    <row r="2458" ht="12.75" customHeight="1">
      <c r="A2458" s="122">
        <f t="shared" si="363"/>
        <v>43713</v>
      </c>
      <c r="B2458" s="120">
        <v>978877.7699999999</v>
      </c>
      <c r="C2458" s="19">
        <f t="shared" si="360"/>
        <v>0.01274831714</v>
      </c>
      <c r="D2458" s="19">
        <f t="shared" si="361"/>
        <v>0.01550696402</v>
      </c>
      <c r="E2458" s="12"/>
      <c r="F2458" s="7"/>
      <c r="G2458" s="7"/>
      <c r="H2458" s="1"/>
      <c r="I2458" s="1"/>
      <c r="J2458" s="1"/>
      <c r="K2458" s="1"/>
      <c r="L2458" s="12">
        <f t="shared" si="362"/>
        <v>22100.70616</v>
      </c>
      <c r="M2458" s="12"/>
      <c r="N2458" s="15"/>
      <c r="O2458" s="1"/>
      <c r="Q2458" s="12"/>
      <c r="R2458" s="1"/>
    </row>
    <row r="2459" ht="12.75" customHeight="1">
      <c r="A2459" s="122">
        <f t="shared" si="363"/>
        <v>43714</v>
      </c>
      <c r="B2459" s="120">
        <v>977703.4199999999</v>
      </c>
      <c r="C2459" s="19">
        <f t="shared" si="360"/>
        <v>-0.001199690131</v>
      </c>
      <c r="D2459" s="19">
        <f t="shared" si="361"/>
        <v>0.01428867034</v>
      </c>
      <c r="E2459" s="12"/>
      <c r="F2459" s="7"/>
      <c r="G2459" s="7"/>
      <c r="H2459" s="1"/>
      <c r="I2459" s="1"/>
      <c r="J2459" s="1"/>
      <c r="K2459" s="1"/>
      <c r="L2459" s="12">
        <f t="shared" si="362"/>
        <v>22074.19216</v>
      </c>
      <c r="M2459" s="12"/>
      <c r="N2459" s="15"/>
      <c r="O2459" s="1"/>
      <c r="Q2459" s="12"/>
      <c r="R2459" s="1"/>
    </row>
    <row r="2460" ht="12.75" customHeight="1">
      <c r="A2460" s="122">
        <f t="shared" si="363"/>
        <v>43715</v>
      </c>
      <c r="B2460" s="120">
        <v>972312.9500000001</v>
      </c>
      <c r="C2460" s="19">
        <f t="shared" si="360"/>
        <v>-0.005513399963</v>
      </c>
      <c r="D2460" s="19">
        <f t="shared" si="361"/>
        <v>0.008696491221</v>
      </c>
      <c r="E2460" s="12"/>
      <c r="F2460" s="7"/>
      <c r="G2460" s="7"/>
      <c r="H2460" s="1"/>
      <c r="I2460" s="1"/>
      <c r="J2460" s="1"/>
      <c r="K2460" s="1"/>
      <c r="L2460" s="12">
        <f t="shared" si="362"/>
        <v>21952.48831</v>
      </c>
      <c r="M2460" s="12"/>
      <c r="N2460" s="15"/>
      <c r="O2460" s="1"/>
      <c r="Q2460" s="12"/>
      <c r="R2460" s="1"/>
    </row>
    <row r="2461" ht="12.75" customHeight="1">
      <c r="A2461" s="122">
        <f t="shared" si="363"/>
        <v>43716</v>
      </c>
      <c r="B2461" s="120">
        <v>972312.9500000001</v>
      </c>
      <c r="C2461" s="19">
        <f t="shared" si="360"/>
        <v>0</v>
      </c>
      <c r="D2461" s="19">
        <f t="shared" si="361"/>
        <v>0.008696491221</v>
      </c>
      <c r="E2461" s="12"/>
      <c r="F2461" s="7"/>
      <c r="G2461" s="7"/>
      <c r="H2461" s="1"/>
      <c r="I2461" s="1"/>
      <c r="J2461" s="1"/>
      <c r="K2461" s="1"/>
      <c r="L2461" s="12">
        <f t="shared" si="362"/>
        <v>21952.48831</v>
      </c>
      <c r="M2461" s="12"/>
      <c r="N2461" s="15"/>
      <c r="O2461" s="1"/>
      <c r="Q2461" s="12"/>
      <c r="R2461" s="1"/>
    </row>
    <row r="2462" ht="12.75" customHeight="1">
      <c r="A2462" s="122">
        <f t="shared" si="363"/>
        <v>43717</v>
      </c>
      <c r="B2462" s="120">
        <v>972312.9500000001</v>
      </c>
      <c r="C2462" s="19">
        <f t="shared" si="360"/>
        <v>0</v>
      </c>
      <c r="D2462" s="19">
        <f t="shared" si="361"/>
        <v>0.008696491221</v>
      </c>
      <c r="E2462" s="12"/>
      <c r="F2462" s="7"/>
      <c r="G2462" s="7"/>
      <c r="H2462" s="1"/>
      <c r="I2462" s="1"/>
      <c r="J2462" s="1"/>
      <c r="K2462" s="1"/>
      <c r="L2462" s="12">
        <f t="shared" si="362"/>
        <v>21952.48831</v>
      </c>
      <c r="M2462" s="12"/>
      <c r="N2462" s="15"/>
      <c r="O2462" s="1"/>
      <c r="Q2462" s="12"/>
      <c r="R2462" s="1"/>
    </row>
    <row r="2463" ht="12.75" customHeight="1">
      <c r="A2463" s="122">
        <f t="shared" si="363"/>
        <v>43718</v>
      </c>
      <c r="B2463" s="120">
        <v>972312.9500000001</v>
      </c>
      <c r="C2463" s="19">
        <f t="shared" si="360"/>
        <v>0</v>
      </c>
      <c r="D2463" s="19">
        <f t="shared" si="361"/>
        <v>0.008696491221</v>
      </c>
      <c r="E2463" s="12"/>
      <c r="F2463" s="7"/>
      <c r="G2463" s="7"/>
      <c r="H2463" s="1"/>
      <c r="I2463" s="1"/>
      <c r="J2463" s="1"/>
      <c r="K2463" s="1"/>
      <c r="L2463" s="12">
        <f t="shared" si="362"/>
        <v>21952.48831</v>
      </c>
      <c r="M2463" s="12"/>
      <c r="N2463" s="15"/>
      <c r="O2463" s="1"/>
      <c r="Q2463" s="12"/>
      <c r="R2463" s="1"/>
    </row>
    <row r="2464" ht="12.75" customHeight="1">
      <c r="A2464" s="122">
        <f t="shared" si="363"/>
        <v>43719</v>
      </c>
      <c r="B2464" s="120">
        <v>974789.01</v>
      </c>
      <c r="C2464" s="19">
        <f t="shared" si="360"/>
        <v>0.002546566926</v>
      </c>
      <c r="D2464" s="19">
        <f t="shared" si="361"/>
        <v>0.01126520434</v>
      </c>
      <c r="E2464" s="12"/>
      <c r="F2464" s="7"/>
      <c r="G2464" s="7"/>
      <c r="H2464" s="1"/>
      <c r="I2464" s="1"/>
      <c r="J2464" s="1"/>
      <c r="K2464" s="1"/>
      <c r="L2464" s="12">
        <f t="shared" si="362"/>
        <v>22008.39179</v>
      </c>
      <c r="M2464" s="12"/>
      <c r="N2464" s="15"/>
      <c r="O2464" s="1"/>
      <c r="Q2464" s="12"/>
      <c r="R2464" s="1"/>
    </row>
    <row r="2465" ht="12.75" customHeight="1">
      <c r="A2465" s="122">
        <f t="shared" si="363"/>
        <v>43720</v>
      </c>
      <c r="B2465" s="120">
        <v>974789.01</v>
      </c>
      <c r="C2465" s="19">
        <f t="shared" si="360"/>
        <v>0</v>
      </c>
      <c r="D2465" s="19">
        <f t="shared" si="361"/>
        <v>0.01126520434</v>
      </c>
      <c r="E2465" s="12"/>
      <c r="F2465" s="7"/>
      <c r="G2465" s="7"/>
      <c r="H2465" s="1"/>
      <c r="I2465" s="1"/>
      <c r="J2465" s="1"/>
      <c r="K2465" s="1"/>
      <c r="L2465" s="12">
        <f t="shared" si="362"/>
        <v>22008.39179</v>
      </c>
      <c r="M2465" s="12"/>
      <c r="N2465" s="15"/>
      <c r="O2465" s="1"/>
      <c r="Q2465" s="12"/>
      <c r="R2465" s="1"/>
    </row>
    <row r="2466" ht="12.75" customHeight="1">
      <c r="A2466" s="122">
        <f t="shared" si="363"/>
        <v>43721</v>
      </c>
      <c r="B2466" s="120">
        <v>974789.01</v>
      </c>
      <c r="C2466" s="19">
        <f t="shared" si="360"/>
        <v>0</v>
      </c>
      <c r="D2466" s="19">
        <f t="shared" si="361"/>
        <v>0.01126520434</v>
      </c>
      <c r="E2466" s="12"/>
      <c r="F2466" s="7"/>
      <c r="G2466" s="7"/>
      <c r="H2466" s="1"/>
      <c r="I2466" s="1"/>
      <c r="J2466" s="1"/>
      <c r="K2466" s="1"/>
      <c r="L2466" s="12">
        <f t="shared" si="362"/>
        <v>22008.39179</v>
      </c>
      <c r="M2466" s="12"/>
      <c r="N2466" s="15"/>
      <c r="O2466" s="1"/>
      <c r="Q2466" s="12"/>
      <c r="R2466" s="1"/>
    </row>
    <row r="2467" ht="12.75" customHeight="1">
      <c r="A2467" s="122">
        <f t="shared" si="363"/>
        <v>43722</v>
      </c>
      <c r="B2467" s="120">
        <v>977600.0</v>
      </c>
      <c r="C2467" s="19">
        <f t="shared" si="360"/>
        <v>0.002883690697</v>
      </c>
      <c r="D2467" s="19">
        <f t="shared" si="361"/>
        <v>0.01418138041</v>
      </c>
      <c r="E2467" s="12"/>
      <c r="F2467" s="7"/>
      <c r="G2467" s="7"/>
      <c r="H2467" s="1"/>
      <c r="I2467" s="1"/>
      <c r="J2467" s="1"/>
      <c r="K2467" s="1"/>
      <c r="L2467" s="12">
        <f t="shared" si="362"/>
        <v>22071.85719</v>
      </c>
      <c r="M2467" s="12"/>
      <c r="N2467" s="15"/>
      <c r="O2467" s="1"/>
      <c r="Q2467" s="12"/>
      <c r="R2467" s="1"/>
    </row>
    <row r="2468" ht="12.75" customHeight="1">
      <c r="A2468" s="122">
        <f t="shared" si="363"/>
        <v>43723</v>
      </c>
      <c r="B2468" s="120">
        <v>977600.0</v>
      </c>
      <c r="C2468" s="19">
        <f t="shared" si="360"/>
        <v>0</v>
      </c>
      <c r="D2468" s="19">
        <f t="shared" si="361"/>
        <v>0.01418138041</v>
      </c>
      <c r="E2468" s="12"/>
      <c r="F2468" s="7"/>
      <c r="G2468" s="7"/>
      <c r="H2468" s="1"/>
      <c r="I2468" s="1"/>
      <c r="J2468" s="1"/>
      <c r="K2468" s="1"/>
      <c r="L2468" s="12">
        <f t="shared" si="362"/>
        <v>22071.85719</v>
      </c>
      <c r="M2468" s="12"/>
      <c r="N2468" s="15"/>
      <c r="O2468" s="1"/>
      <c r="Q2468" s="12"/>
      <c r="R2468" s="1"/>
    </row>
    <row r="2469" ht="12.75" customHeight="1">
      <c r="A2469" s="122">
        <f t="shared" si="363"/>
        <v>43724</v>
      </c>
      <c r="B2469" s="120">
        <v>970600.0</v>
      </c>
      <c r="C2469" s="19">
        <f t="shared" si="360"/>
        <v>-0.007160392799</v>
      </c>
      <c r="D2469" s="19">
        <f t="shared" si="361"/>
        <v>0.006919443353</v>
      </c>
      <c r="E2469" s="12"/>
      <c r="F2469" s="7"/>
      <c r="G2469" s="7"/>
      <c r="H2469" s="1"/>
      <c r="I2469" s="1"/>
      <c r="J2469" s="1"/>
      <c r="K2469" s="1"/>
      <c r="L2469" s="12">
        <f t="shared" si="362"/>
        <v>21913.81402</v>
      </c>
      <c r="M2469" s="12"/>
      <c r="N2469" s="15"/>
      <c r="O2469" s="1"/>
      <c r="Q2469" s="12"/>
      <c r="R2469" s="1"/>
    </row>
    <row r="2470" ht="12.75" customHeight="1">
      <c r="A2470" s="122">
        <f t="shared" si="363"/>
        <v>43725</v>
      </c>
      <c r="B2470" s="120">
        <v>977353.1300000001</v>
      </c>
      <c r="C2470" s="19">
        <f t="shared" si="360"/>
        <v>0.006957685967</v>
      </c>
      <c r="D2470" s="19">
        <f t="shared" si="361"/>
        <v>0.01392527263</v>
      </c>
      <c r="E2470" s="12"/>
      <c r="F2470" s="7"/>
      <c r="G2470" s="7"/>
      <c r="H2470" s="1"/>
      <c r="I2470" s="1"/>
      <c r="J2470" s="1"/>
      <c r="K2470" s="1"/>
      <c r="L2470" s="12">
        <f t="shared" si="362"/>
        <v>22066.28345</v>
      </c>
      <c r="M2470" s="12"/>
      <c r="N2470" s="15"/>
      <c r="O2470" s="1"/>
      <c r="Q2470" s="12"/>
      <c r="R2470" s="1"/>
    </row>
    <row r="2471" ht="12.75" customHeight="1">
      <c r="A2471" s="122">
        <f t="shared" si="363"/>
        <v>43726</v>
      </c>
      <c r="B2471" s="120">
        <v>983729.5699999996</v>
      </c>
      <c r="C2471" s="19">
        <f t="shared" si="360"/>
        <v>0.00652419254</v>
      </c>
      <c r="D2471" s="19">
        <f t="shared" si="361"/>
        <v>0.02054031633</v>
      </c>
      <c r="E2471" s="12"/>
      <c r="F2471" s="7"/>
      <c r="G2471" s="7"/>
      <c r="H2471" s="1"/>
      <c r="I2471" s="1"/>
      <c r="J2471" s="1"/>
      <c r="K2471" s="1"/>
      <c r="L2471" s="12">
        <f t="shared" si="362"/>
        <v>22210.24814</v>
      </c>
      <c r="M2471" s="12"/>
      <c r="N2471" s="15"/>
      <c r="O2471" s="1"/>
      <c r="Q2471" s="12"/>
      <c r="R2471" s="1"/>
    </row>
    <row r="2472" ht="12.75" customHeight="1">
      <c r="A2472" s="122">
        <f t="shared" si="363"/>
        <v>43727</v>
      </c>
      <c r="B2472" s="120">
        <v>989183.3599999999</v>
      </c>
      <c r="C2472" s="19">
        <f t="shared" si="360"/>
        <v>0.005543993153</v>
      </c>
      <c r="D2472" s="19">
        <f t="shared" si="361"/>
        <v>0.02619818486</v>
      </c>
      <c r="E2472" s="12"/>
      <c r="F2472" s="7"/>
      <c r="G2472" s="7"/>
      <c r="H2472" s="1"/>
      <c r="I2472" s="1"/>
      <c r="J2472" s="1"/>
      <c r="K2472" s="1"/>
      <c r="L2472" s="12">
        <f t="shared" si="362"/>
        <v>22333.3816</v>
      </c>
      <c r="M2472" s="12"/>
      <c r="N2472" s="15"/>
      <c r="O2472" s="1"/>
      <c r="Q2472" s="12"/>
      <c r="R2472" s="1"/>
    </row>
    <row r="2473" ht="12.75" customHeight="1">
      <c r="A2473" s="122">
        <f t="shared" si="363"/>
        <v>43728</v>
      </c>
      <c r="B2473" s="120">
        <v>989183.3599999999</v>
      </c>
      <c r="C2473" s="19">
        <f t="shared" si="360"/>
        <v>0</v>
      </c>
      <c r="D2473" s="19">
        <f t="shared" si="361"/>
        <v>0.02619818486</v>
      </c>
      <c r="E2473" s="12"/>
      <c r="F2473" s="7"/>
      <c r="G2473" s="7"/>
      <c r="H2473" s="1"/>
      <c r="I2473" s="1"/>
      <c r="J2473" s="1"/>
      <c r="K2473" s="1"/>
      <c r="L2473" s="12">
        <f t="shared" si="362"/>
        <v>22333.3816</v>
      </c>
      <c r="M2473" s="12"/>
      <c r="N2473" s="15"/>
      <c r="O2473" s="1"/>
      <c r="Q2473" s="12"/>
      <c r="R2473" s="1"/>
    </row>
    <row r="2474" ht="12.75" customHeight="1">
      <c r="A2474" s="122">
        <f t="shared" si="363"/>
        <v>43729</v>
      </c>
      <c r="B2474" s="120">
        <v>989183.3599999999</v>
      </c>
      <c r="C2474" s="19">
        <f t="shared" si="360"/>
        <v>0</v>
      </c>
      <c r="D2474" s="19">
        <f t="shared" si="361"/>
        <v>0.02619818486</v>
      </c>
      <c r="E2474" s="12"/>
      <c r="F2474" s="7"/>
      <c r="G2474" s="7"/>
      <c r="H2474" s="1"/>
      <c r="I2474" s="1"/>
      <c r="J2474" s="1"/>
      <c r="K2474" s="1"/>
      <c r="L2474" s="12">
        <f t="shared" si="362"/>
        <v>22333.3816</v>
      </c>
      <c r="M2474" s="12"/>
      <c r="N2474" s="15"/>
      <c r="O2474" s="1"/>
      <c r="Q2474" s="12"/>
      <c r="R2474" s="1"/>
    </row>
    <row r="2475" ht="12.75" customHeight="1">
      <c r="A2475" s="122">
        <f t="shared" si="363"/>
        <v>43730</v>
      </c>
      <c r="B2475" s="120">
        <v>989183.3599999999</v>
      </c>
      <c r="C2475" s="19">
        <f t="shared" si="360"/>
        <v>0</v>
      </c>
      <c r="D2475" s="19">
        <f t="shared" si="361"/>
        <v>0.02619818486</v>
      </c>
      <c r="E2475" s="12"/>
      <c r="F2475" s="7"/>
      <c r="G2475" s="7"/>
      <c r="H2475" s="1"/>
      <c r="I2475" s="1"/>
      <c r="J2475" s="1"/>
      <c r="K2475" s="1"/>
      <c r="L2475" s="12">
        <f t="shared" si="362"/>
        <v>22333.3816</v>
      </c>
      <c r="M2475" s="12"/>
      <c r="N2475" s="15"/>
      <c r="O2475" s="1"/>
      <c r="Q2475" s="12"/>
      <c r="R2475" s="1"/>
    </row>
    <row r="2476" ht="12.75" customHeight="1">
      <c r="A2476" s="122">
        <f t="shared" si="363"/>
        <v>43731</v>
      </c>
      <c r="B2476" s="120">
        <v>986189.51</v>
      </c>
      <c r="C2476" s="19">
        <f t="shared" si="360"/>
        <v>-0.003026587507</v>
      </c>
      <c r="D2476" s="19">
        <f t="shared" si="361"/>
        <v>0.02309230625</v>
      </c>
      <c r="E2476" s="12"/>
      <c r="F2476" s="7"/>
      <c r="G2476" s="7"/>
      <c r="H2476" s="1"/>
      <c r="I2476" s="1"/>
      <c r="J2476" s="1"/>
      <c r="K2476" s="1"/>
      <c r="L2476" s="12">
        <f t="shared" si="362"/>
        <v>22265.78767</v>
      </c>
      <c r="M2476" s="12"/>
      <c r="N2476" s="15"/>
      <c r="O2476" s="1"/>
      <c r="Q2476" s="12"/>
      <c r="R2476" s="1"/>
    </row>
    <row r="2477" ht="12.75" customHeight="1">
      <c r="A2477" s="122">
        <f t="shared" si="363"/>
        <v>43732</v>
      </c>
      <c r="B2477" s="120">
        <v>983021.0900000003</v>
      </c>
      <c r="C2477" s="19">
        <f t="shared" si="360"/>
        <v>-0.003212790207</v>
      </c>
      <c r="D2477" s="19">
        <f t="shared" si="361"/>
        <v>0.01980532531</v>
      </c>
      <c r="E2477" s="12"/>
      <c r="F2477" s="7"/>
      <c r="G2477" s="7"/>
      <c r="H2477" s="1"/>
      <c r="I2477" s="1"/>
      <c r="J2477" s="1"/>
      <c r="K2477" s="1"/>
      <c r="L2477" s="12">
        <f t="shared" si="362"/>
        <v>22194.25236</v>
      </c>
      <c r="M2477" s="12"/>
      <c r="N2477" s="15"/>
      <c r="O2477" s="1"/>
      <c r="Q2477" s="12"/>
      <c r="R2477" s="1"/>
    </row>
    <row r="2478" ht="12.75" customHeight="1">
      <c r="A2478" s="122">
        <f t="shared" si="363"/>
        <v>43733</v>
      </c>
      <c r="B2478" s="120">
        <v>986550.0800000001</v>
      </c>
      <c r="C2478" s="19">
        <f t="shared" si="360"/>
        <v>0.003589943325</v>
      </c>
      <c r="D2478" s="19">
        <f t="shared" si="361"/>
        <v>0.02346636863</v>
      </c>
      <c r="E2478" s="12"/>
      <c r="F2478" s="7"/>
      <c r="G2478" s="7"/>
      <c r="H2478" s="1"/>
      <c r="I2478" s="1"/>
      <c r="J2478" s="1"/>
      <c r="K2478" s="1"/>
      <c r="L2478" s="12">
        <f t="shared" si="362"/>
        <v>22273.92847</v>
      </c>
      <c r="M2478" s="12"/>
      <c r="N2478" s="15"/>
      <c r="O2478" s="1"/>
      <c r="Q2478" s="12"/>
      <c r="R2478" s="1"/>
    </row>
    <row r="2479" ht="12.75" customHeight="1">
      <c r="A2479" s="122">
        <f t="shared" si="363"/>
        <v>43734</v>
      </c>
      <c r="B2479" s="120">
        <v>976759.6099999999</v>
      </c>
      <c r="C2479" s="19">
        <f t="shared" si="360"/>
        <v>-0.009923946284</v>
      </c>
      <c r="D2479" s="19">
        <f t="shared" si="361"/>
        <v>0.01330954337</v>
      </c>
      <c r="E2479" s="12"/>
      <c r="F2479" s="7"/>
      <c r="G2479" s="7"/>
      <c r="H2479" s="1"/>
      <c r="I2479" s="1"/>
      <c r="J2479" s="1"/>
      <c r="K2479" s="1"/>
      <c r="L2479" s="12">
        <f t="shared" si="362"/>
        <v>22052.8832</v>
      </c>
      <c r="M2479" s="12"/>
      <c r="N2479" s="15"/>
      <c r="O2479" s="1"/>
      <c r="Q2479" s="12"/>
      <c r="R2479" s="1"/>
    </row>
    <row r="2480" ht="12.75" customHeight="1">
      <c r="A2480" s="122">
        <f t="shared" si="363"/>
        <v>43735</v>
      </c>
      <c r="B2480" s="120">
        <v>971767.78</v>
      </c>
      <c r="C2480" s="19">
        <f t="shared" si="360"/>
        <v>-0.005110602393</v>
      </c>
      <c r="D2480" s="19">
        <f t="shared" si="361"/>
        <v>0.008130921189</v>
      </c>
      <c r="E2480" s="12"/>
      <c r="F2480" s="7"/>
      <c r="G2480" s="7"/>
      <c r="H2480" s="1"/>
      <c r="I2480" s="1"/>
      <c r="J2480" s="1"/>
      <c r="K2480" s="1"/>
      <c r="L2480" s="12">
        <f t="shared" si="362"/>
        <v>21940.17968</v>
      </c>
      <c r="M2480" s="12"/>
      <c r="N2480" s="15"/>
      <c r="O2480" s="1"/>
      <c r="Q2480" s="12"/>
      <c r="R2480" s="1"/>
    </row>
    <row r="2481" ht="12.75" customHeight="1">
      <c r="A2481" s="122">
        <f t="shared" si="363"/>
        <v>43736</v>
      </c>
      <c r="B2481" s="120">
        <v>971767.78</v>
      </c>
      <c r="C2481" s="19">
        <f t="shared" si="360"/>
        <v>0</v>
      </c>
      <c r="D2481" s="19">
        <f t="shared" si="361"/>
        <v>0.008130921189</v>
      </c>
      <c r="E2481" s="12"/>
      <c r="F2481" s="7"/>
      <c r="G2481" s="7"/>
      <c r="H2481" s="1"/>
      <c r="I2481" s="1"/>
      <c r="J2481" s="1"/>
      <c r="K2481" s="1"/>
      <c r="L2481" s="12">
        <f t="shared" si="362"/>
        <v>21940.17968</v>
      </c>
      <c r="M2481" s="12"/>
      <c r="N2481" s="15"/>
      <c r="O2481" s="1"/>
      <c r="Q2481" s="12"/>
      <c r="R2481" s="1"/>
    </row>
    <row r="2482" ht="12.75" customHeight="1">
      <c r="A2482" s="122">
        <f t="shared" si="363"/>
        <v>43737</v>
      </c>
      <c r="B2482" s="120">
        <v>971767.78</v>
      </c>
      <c r="C2482" s="19">
        <f t="shared" si="360"/>
        <v>0</v>
      </c>
      <c r="D2482" s="19">
        <f t="shared" si="361"/>
        <v>0.008130921189</v>
      </c>
      <c r="E2482" s="12"/>
      <c r="F2482" s="7"/>
      <c r="G2482" s="7"/>
      <c r="H2482" s="1"/>
      <c r="I2482" s="1"/>
      <c r="J2482" s="1"/>
      <c r="K2482" s="1"/>
      <c r="L2482" s="12">
        <f t="shared" si="362"/>
        <v>21940.17968</v>
      </c>
      <c r="M2482" s="12"/>
      <c r="N2482" s="15"/>
      <c r="O2482" s="1"/>
      <c r="Q2482" s="12"/>
      <c r="R2482" s="1"/>
    </row>
    <row r="2483" ht="12.75" customHeight="1">
      <c r="A2483" s="122">
        <f t="shared" si="363"/>
        <v>43738</v>
      </c>
      <c r="B2483" s="120">
        <v>980225.1</v>
      </c>
      <c r="C2483" s="19">
        <f t="shared" si="360"/>
        <v>0.008703025737</v>
      </c>
      <c r="D2483" s="19">
        <f t="shared" si="361"/>
        <v>0.01690471054</v>
      </c>
      <c r="E2483" s="12"/>
      <c r="F2483" s="7"/>
      <c r="G2483" s="7"/>
      <c r="H2483" s="1"/>
      <c r="I2483" s="1"/>
      <c r="J2483" s="1"/>
      <c r="K2483" s="1"/>
      <c r="L2483" s="12">
        <f t="shared" si="362"/>
        <v>22131.12563</v>
      </c>
      <c r="M2483" s="12"/>
      <c r="N2483" s="15"/>
      <c r="O2483" s="1"/>
      <c r="Q2483" s="12"/>
      <c r="R2483" s="1"/>
    </row>
    <row r="2484" ht="12.75" customHeight="1">
      <c r="A2484" s="122"/>
      <c r="B2484" s="12"/>
      <c r="C2484" s="1"/>
      <c r="D2484" s="1"/>
      <c r="E2484" s="12"/>
      <c r="F2484" s="7"/>
      <c r="G2484" s="7"/>
      <c r="H2484" s="1"/>
      <c r="I2484" s="1"/>
      <c r="J2484" s="1"/>
      <c r="K2484" s="1"/>
      <c r="L2484" s="12"/>
      <c r="M2484" s="12"/>
      <c r="N2484" s="15"/>
      <c r="O2484" s="1"/>
      <c r="Q2484" s="12"/>
      <c r="R2484" s="1"/>
    </row>
    <row r="2485" ht="12.75" customHeight="1">
      <c r="A2485" s="122"/>
      <c r="B2485" s="12">
        <f>B2483</f>
        <v>980225.1</v>
      </c>
      <c r="C2485" s="1"/>
      <c r="D2485" s="1"/>
      <c r="E2485" s="12"/>
      <c r="F2485" s="7"/>
      <c r="G2485" s="7"/>
      <c r="H2485" s="1"/>
      <c r="I2485" s="1"/>
      <c r="J2485" s="1"/>
      <c r="K2485" s="1"/>
      <c r="L2485" s="12"/>
      <c r="M2485" s="12"/>
      <c r="N2485" s="15"/>
      <c r="O2485" s="1"/>
      <c r="Q2485" s="12"/>
      <c r="R2485" s="1"/>
    </row>
    <row r="2486" ht="12.75" customHeight="1">
      <c r="A2486" s="122">
        <f>A2483+1</f>
        <v>43739</v>
      </c>
      <c r="B2486" s="120">
        <v>976172.73</v>
      </c>
      <c r="C2486" s="19">
        <f t="shared" ref="C2486:C2516" si="364">B2486/B2485-1</f>
        <v>-0.004134121846</v>
      </c>
      <c r="D2486" s="19">
        <f t="shared" ref="D2486:D2516" si="365">(B2486/$B$2485)-1</f>
        <v>-0.004134121846</v>
      </c>
      <c r="E2486" s="12"/>
      <c r="F2486" s="7"/>
      <c r="G2486" s="7"/>
      <c r="H2486" s="1"/>
      <c r="I2486" s="1"/>
      <c r="J2486" s="1"/>
      <c r="K2486" s="1"/>
      <c r="L2486" s="12">
        <f t="shared" ref="L2486:L2516" si="366">IF(C2485="",L2483*(1+C2486),L2485*(1+C2486))</f>
        <v>22039.63286</v>
      </c>
      <c r="M2486" s="12"/>
      <c r="N2486" s="15"/>
      <c r="O2486" s="1"/>
      <c r="Q2486" s="12"/>
      <c r="R2486" s="1"/>
    </row>
    <row r="2487" ht="12.75" customHeight="1">
      <c r="A2487" s="122">
        <f t="shared" ref="A2487:A2516" si="367">A2486+1</f>
        <v>43740</v>
      </c>
      <c r="B2487" s="120">
        <v>957125.8899999999</v>
      </c>
      <c r="C2487" s="19">
        <f t="shared" si="364"/>
        <v>-0.01951175178</v>
      </c>
      <c r="D2487" s="19">
        <f t="shared" si="365"/>
        <v>-0.02356520966</v>
      </c>
      <c r="E2487" s="12"/>
      <c r="F2487" s="7"/>
      <c r="G2487" s="7"/>
      <c r="H2487" s="1"/>
      <c r="I2487" s="1"/>
      <c r="J2487" s="1"/>
      <c r="K2487" s="1"/>
      <c r="L2487" s="12">
        <f t="shared" si="366"/>
        <v>21609.60102</v>
      </c>
      <c r="M2487" s="12"/>
      <c r="N2487" s="15"/>
      <c r="O2487" s="1"/>
      <c r="Q2487" s="12"/>
      <c r="R2487" s="1"/>
    </row>
    <row r="2488" ht="12.75" customHeight="1">
      <c r="A2488" s="122">
        <f t="shared" si="367"/>
        <v>43741</v>
      </c>
      <c r="B2488" s="120">
        <v>966000.0</v>
      </c>
      <c r="C2488" s="19">
        <f t="shared" si="364"/>
        <v>0.009271622566</v>
      </c>
      <c r="D2488" s="19">
        <f t="shared" si="365"/>
        <v>-0.01451207483</v>
      </c>
      <c r="E2488" s="12"/>
      <c r="F2488" s="7"/>
      <c r="G2488" s="7"/>
      <c r="H2488" s="1"/>
      <c r="I2488" s="1"/>
      <c r="J2488" s="1"/>
      <c r="K2488" s="1"/>
      <c r="L2488" s="12">
        <f t="shared" si="366"/>
        <v>21809.95708</v>
      </c>
      <c r="M2488" s="12"/>
      <c r="N2488" s="15"/>
      <c r="O2488" s="1"/>
      <c r="Q2488" s="12"/>
      <c r="R2488" s="1"/>
    </row>
    <row r="2489" ht="12.75" customHeight="1">
      <c r="A2489" s="122">
        <f t="shared" si="367"/>
        <v>43742</v>
      </c>
      <c r="B2489" s="120">
        <v>983708.27</v>
      </c>
      <c r="C2489" s="19">
        <f t="shared" si="364"/>
        <v>0.01833154244</v>
      </c>
      <c r="D2489" s="19">
        <f t="shared" si="365"/>
        <v>0.003553438899</v>
      </c>
      <c r="E2489" s="12"/>
      <c r="F2489" s="7"/>
      <c r="G2489" s="7"/>
      <c r="H2489" s="1"/>
      <c r="I2489" s="1"/>
      <c r="J2489" s="1"/>
      <c r="K2489" s="1"/>
      <c r="L2489" s="12">
        <f t="shared" si="366"/>
        <v>22209.76723</v>
      </c>
      <c r="M2489" s="12"/>
      <c r="N2489" s="15"/>
      <c r="O2489" s="1"/>
      <c r="Q2489" s="12"/>
      <c r="R2489" s="1"/>
    </row>
    <row r="2490" ht="12.75" customHeight="1">
      <c r="A2490" s="122">
        <f t="shared" si="367"/>
        <v>43743</v>
      </c>
      <c r="B2490" s="120">
        <v>983708.27</v>
      </c>
      <c r="C2490" s="19">
        <f t="shared" si="364"/>
        <v>0</v>
      </c>
      <c r="D2490" s="19">
        <f t="shared" si="365"/>
        <v>0.003553438899</v>
      </c>
      <c r="E2490" s="12"/>
      <c r="F2490" s="7"/>
      <c r="G2490" s="7"/>
      <c r="H2490" s="1"/>
      <c r="I2490" s="1"/>
      <c r="J2490" s="1"/>
      <c r="K2490" s="1"/>
      <c r="L2490" s="12">
        <f t="shared" si="366"/>
        <v>22209.76723</v>
      </c>
      <c r="M2490" s="12"/>
      <c r="N2490" s="15"/>
      <c r="O2490" s="1"/>
      <c r="Q2490" s="12"/>
      <c r="R2490" s="1"/>
    </row>
    <row r="2491" ht="12.75" customHeight="1">
      <c r="A2491" s="122">
        <f t="shared" si="367"/>
        <v>43744</v>
      </c>
      <c r="B2491" s="120">
        <v>983708.27</v>
      </c>
      <c r="C2491" s="19">
        <f t="shared" si="364"/>
        <v>0</v>
      </c>
      <c r="D2491" s="19">
        <f t="shared" si="365"/>
        <v>0.003553438899</v>
      </c>
      <c r="E2491" s="12"/>
      <c r="F2491" s="7"/>
      <c r="G2491" s="7"/>
      <c r="H2491" s="1"/>
      <c r="I2491" s="1"/>
      <c r="J2491" s="1"/>
      <c r="K2491" s="1"/>
      <c r="L2491" s="12">
        <f t="shared" si="366"/>
        <v>22209.76723</v>
      </c>
      <c r="M2491" s="12"/>
      <c r="N2491" s="15"/>
      <c r="O2491" s="1"/>
      <c r="Q2491" s="12"/>
      <c r="R2491" s="1"/>
    </row>
    <row r="2492" ht="12.75" customHeight="1">
      <c r="A2492" s="122">
        <f t="shared" si="367"/>
        <v>43745</v>
      </c>
      <c r="B2492" s="120">
        <v>983708.27</v>
      </c>
      <c r="C2492" s="19">
        <f t="shared" si="364"/>
        <v>0</v>
      </c>
      <c r="D2492" s="19">
        <f t="shared" si="365"/>
        <v>0.003553438899</v>
      </c>
      <c r="E2492" s="12"/>
      <c r="F2492" s="7"/>
      <c r="G2492" s="7"/>
      <c r="H2492" s="1"/>
      <c r="I2492" s="1"/>
      <c r="J2492" s="1"/>
      <c r="K2492" s="1"/>
      <c r="L2492" s="12">
        <f t="shared" si="366"/>
        <v>22209.76723</v>
      </c>
      <c r="M2492" s="12"/>
      <c r="N2492" s="15"/>
      <c r="O2492" s="1"/>
      <c r="Q2492" s="12"/>
      <c r="R2492" s="1"/>
    </row>
    <row r="2493" ht="12.75" customHeight="1">
      <c r="A2493" s="122">
        <f t="shared" si="367"/>
        <v>43746</v>
      </c>
      <c r="B2493" s="120">
        <v>962099.9200000002</v>
      </c>
      <c r="C2493" s="19">
        <f t="shared" si="364"/>
        <v>-0.02196621769</v>
      </c>
      <c r="D2493" s="19">
        <f t="shared" si="365"/>
        <v>-0.0184908344</v>
      </c>
      <c r="E2493" s="12"/>
      <c r="F2493" s="7"/>
      <c r="G2493" s="7"/>
      <c r="H2493" s="1"/>
      <c r="I2493" s="1"/>
      <c r="J2493" s="1"/>
      <c r="K2493" s="1"/>
      <c r="L2493" s="12">
        <f t="shared" si="366"/>
        <v>21721.90265</v>
      </c>
      <c r="M2493" s="12"/>
      <c r="N2493" s="15"/>
      <c r="O2493" s="1"/>
      <c r="Q2493" s="12"/>
      <c r="R2493" s="1"/>
    </row>
    <row r="2494" ht="12.75" customHeight="1">
      <c r="A2494" s="122">
        <f t="shared" si="367"/>
        <v>43747</v>
      </c>
      <c r="B2494" s="120">
        <v>974388.4400000002</v>
      </c>
      <c r="C2494" s="19">
        <f t="shared" si="364"/>
        <v>0.01277260266</v>
      </c>
      <c r="D2494" s="19">
        <f t="shared" si="365"/>
        <v>-0.005954407819</v>
      </c>
      <c r="E2494" s="12"/>
      <c r="F2494" s="7"/>
      <c r="G2494" s="7"/>
      <c r="H2494" s="1"/>
      <c r="I2494" s="1"/>
      <c r="J2494" s="1"/>
      <c r="K2494" s="1"/>
      <c r="L2494" s="12">
        <f t="shared" si="366"/>
        <v>21999.34788</v>
      </c>
      <c r="M2494" s="12"/>
      <c r="N2494" s="15"/>
      <c r="O2494" s="1"/>
      <c r="Q2494" s="12"/>
      <c r="R2494" s="1"/>
    </row>
    <row r="2495" ht="12.75" customHeight="1">
      <c r="A2495" s="122">
        <f t="shared" si="367"/>
        <v>43748</v>
      </c>
      <c r="B2495" s="120">
        <v>979281.04</v>
      </c>
      <c r="C2495" s="19">
        <f t="shared" si="364"/>
        <v>0.005021200785</v>
      </c>
      <c r="D2495" s="19">
        <f t="shared" si="365"/>
        <v>-0.0009631053112</v>
      </c>
      <c r="E2495" s="12"/>
      <c r="F2495" s="7"/>
      <c r="G2495" s="7"/>
      <c r="H2495" s="1"/>
      <c r="I2495" s="1"/>
      <c r="J2495" s="1"/>
      <c r="K2495" s="1"/>
      <c r="L2495" s="12">
        <f t="shared" si="366"/>
        <v>22109.81103</v>
      </c>
      <c r="M2495" s="12"/>
      <c r="N2495" s="15"/>
      <c r="O2495" s="1"/>
      <c r="Q2495" s="12"/>
      <c r="R2495" s="1"/>
    </row>
    <row r="2496" ht="12.75" customHeight="1">
      <c r="A2496" s="122">
        <f t="shared" si="367"/>
        <v>43749</v>
      </c>
      <c r="B2496" s="120">
        <v>988719.29</v>
      </c>
      <c r="C2496" s="19">
        <f t="shared" si="364"/>
        <v>0.009637938053</v>
      </c>
      <c r="D2496" s="19">
        <f t="shared" si="365"/>
        <v>0.008665550392</v>
      </c>
      <c r="E2496" s="12"/>
      <c r="F2496" s="7"/>
      <c r="G2496" s="7"/>
      <c r="H2496" s="1"/>
      <c r="I2496" s="1"/>
      <c r="J2496" s="1"/>
      <c r="K2496" s="1"/>
      <c r="L2496" s="12">
        <f t="shared" si="366"/>
        <v>22322.90402</v>
      </c>
      <c r="M2496" s="12"/>
      <c r="N2496" s="15"/>
      <c r="O2496" s="1"/>
      <c r="Q2496" s="12"/>
      <c r="R2496" s="1"/>
    </row>
    <row r="2497" ht="12.75" customHeight="1">
      <c r="A2497" s="122">
        <f t="shared" si="367"/>
        <v>43750</v>
      </c>
      <c r="B2497" s="120">
        <v>988719.29</v>
      </c>
      <c r="C2497" s="19">
        <f t="shared" si="364"/>
        <v>0</v>
      </c>
      <c r="D2497" s="19">
        <f t="shared" si="365"/>
        <v>0.008665550392</v>
      </c>
      <c r="E2497" s="12"/>
      <c r="F2497" s="7"/>
      <c r="G2497" s="7"/>
      <c r="H2497" s="1"/>
      <c r="I2497" s="1"/>
      <c r="J2497" s="1"/>
      <c r="K2497" s="1"/>
      <c r="L2497" s="12">
        <f t="shared" si="366"/>
        <v>22322.90402</v>
      </c>
      <c r="M2497" s="12"/>
      <c r="N2497" s="15"/>
      <c r="O2497" s="1"/>
      <c r="Q2497" s="12"/>
      <c r="R2497" s="1"/>
    </row>
    <row r="2498" ht="12.75" customHeight="1">
      <c r="A2498" s="122">
        <f t="shared" si="367"/>
        <v>43751</v>
      </c>
      <c r="B2498" s="120">
        <v>988719.29</v>
      </c>
      <c r="C2498" s="19">
        <f t="shared" si="364"/>
        <v>0</v>
      </c>
      <c r="D2498" s="19">
        <f t="shared" si="365"/>
        <v>0.008665550392</v>
      </c>
      <c r="E2498" s="12"/>
      <c r="F2498" s="7"/>
      <c r="G2498" s="7"/>
      <c r="H2498" s="1"/>
      <c r="I2498" s="1"/>
      <c r="J2498" s="1"/>
      <c r="K2498" s="1"/>
      <c r="L2498" s="12">
        <f t="shared" si="366"/>
        <v>22322.90402</v>
      </c>
      <c r="M2498" s="12"/>
      <c r="N2498" s="15"/>
      <c r="O2498" s="1"/>
      <c r="Q2498" s="12"/>
      <c r="R2498" s="1"/>
    </row>
    <row r="2499" ht="12.75" customHeight="1">
      <c r="A2499" s="122">
        <f t="shared" si="367"/>
        <v>43752</v>
      </c>
      <c r="B2499" s="120">
        <v>986822.1600000001</v>
      </c>
      <c r="C2499" s="19">
        <f t="shared" si="364"/>
        <v>-0.001918775146</v>
      </c>
      <c r="D2499" s="19">
        <f t="shared" si="365"/>
        <v>0.006730148004</v>
      </c>
      <c r="E2499" s="12"/>
      <c r="F2499" s="7"/>
      <c r="G2499" s="7"/>
      <c r="H2499" s="1"/>
      <c r="I2499" s="1"/>
      <c r="J2499" s="1"/>
      <c r="K2499" s="1"/>
      <c r="L2499" s="12">
        <f t="shared" si="366"/>
        <v>22280.07138</v>
      </c>
      <c r="M2499" s="12"/>
      <c r="N2499" s="15"/>
      <c r="O2499" s="1"/>
      <c r="Q2499" s="12"/>
      <c r="R2499" s="1"/>
    </row>
    <row r="2500" ht="12.75" customHeight="1">
      <c r="A2500" s="122">
        <f t="shared" si="367"/>
        <v>43753</v>
      </c>
      <c r="B2500" s="120">
        <v>1002279.9299999999</v>
      </c>
      <c r="C2500" s="19">
        <f t="shared" si="364"/>
        <v>0.01566419019</v>
      </c>
      <c r="D2500" s="19">
        <f t="shared" si="365"/>
        <v>0.02249976051</v>
      </c>
      <c r="E2500" s="12"/>
      <c r="F2500" s="7"/>
      <c r="G2500" s="7"/>
      <c r="H2500" s="1"/>
      <c r="I2500" s="1"/>
      <c r="J2500" s="1"/>
      <c r="K2500" s="1"/>
      <c r="L2500" s="12">
        <f t="shared" si="366"/>
        <v>22629.07066</v>
      </c>
      <c r="M2500" s="12"/>
      <c r="N2500" s="15"/>
      <c r="O2500" s="1"/>
      <c r="Q2500" s="12"/>
      <c r="R2500" s="1"/>
    </row>
    <row r="2501" ht="12.75" customHeight="1">
      <c r="A2501" s="122">
        <f t="shared" si="367"/>
        <v>43754</v>
      </c>
      <c r="B2501" s="120">
        <v>1004382.3200000001</v>
      </c>
      <c r="C2501" s="19">
        <f t="shared" si="364"/>
        <v>0.002097607602</v>
      </c>
      <c r="D2501" s="19">
        <f t="shared" si="365"/>
        <v>0.02464456378</v>
      </c>
      <c r="E2501" s="12"/>
      <c r="F2501" s="7"/>
      <c r="G2501" s="7"/>
      <c r="H2501" s="1"/>
      <c r="I2501" s="1"/>
      <c r="J2501" s="1"/>
      <c r="K2501" s="1"/>
      <c r="L2501" s="12">
        <f t="shared" si="366"/>
        <v>22676.53757</v>
      </c>
      <c r="M2501" s="12"/>
      <c r="N2501" s="15"/>
      <c r="O2501" s="1"/>
      <c r="Q2501" s="12"/>
      <c r="R2501" s="1"/>
    </row>
    <row r="2502" ht="12.75" customHeight="1">
      <c r="A2502" s="122">
        <f t="shared" si="367"/>
        <v>43755</v>
      </c>
      <c r="B2502" s="120">
        <v>1004382.3200000001</v>
      </c>
      <c r="C2502" s="19">
        <f t="shared" si="364"/>
        <v>0</v>
      </c>
      <c r="D2502" s="19">
        <f t="shared" si="365"/>
        <v>0.02464456378</v>
      </c>
      <c r="E2502" s="12"/>
      <c r="F2502" s="7"/>
      <c r="G2502" s="7"/>
      <c r="H2502" s="1"/>
      <c r="I2502" s="1"/>
      <c r="J2502" s="1"/>
      <c r="K2502" s="1"/>
      <c r="L2502" s="12">
        <f t="shared" si="366"/>
        <v>22676.53757</v>
      </c>
      <c r="M2502" s="12"/>
      <c r="N2502" s="15"/>
      <c r="O2502" s="1"/>
      <c r="Q2502" s="12"/>
      <c r="R2502" s="1"/>
    </row>
    <row r="2503" ht="12.75" customHeight="1">
      <c r="A2503" s="122">
        <f t="shared" si="367"/>
        <v>43756</v>
      </c>
      <c r="B2503" s="120">
        <v>998220.3799999999</v>
      </c>
      <c r="C2503" s="19">
        <f t="shared" si="364"/>
        <v>-0.006135054229</v>
      </c>
      <c r="D2503" s="19">
        <f t="shared" si="365"/>
        <v>0.01835831382</v>
      </c>
      <c r="E2503" s="12"/>
      <c r="F2503" s="7"/>
      <c r="G2503" s="7"/>
      <c r="H2503" s="1"/>
      <c r="I2503" s="1"/>
      <c r="J2503" s="1"/>
      <c r="K2503" s="1"/>
      <c r="L2503" s="12">
        <f t="shared" si="366"/>
        <v>22537.41578</v>
      </c>
      <c r="M2503" s="12"/>
      <c r="N2503" s="15"/>
      <c r="O2503" s="1"/>
      <c r="Q2503" s="12"/>
      <c r="R2503" s="1"/>
    </row>
    <row r="2504" ht="12.75" customHeight="1">
      <c r="A2504" s="122">
        <f t="shared" si="367"/>
        <v>43757</v>
      </c>
      <c r="B2504" s="120">
        <v>998220.3799999999</v>
      </c>
      <c r="C2504" s="19">
        <f t="shared" si="364"/>
        <v>0</v>
      </c>
      <c r="D2504" s="19">
        <f t="shared" si="365"/>
        <v>0.01835831382</v>
      </c>
      <c r="E2504" s="12"/>
      <c r="F2504" s="7"/>
      <c r="G2504" s="7"/>
      <c r="H2504" s="1"/>
      <c r="I2504" s="1"/>
      <c r="J2504" s="1"/>
      <c r="K2504" s="1"/>
      <c r="L2504" s="12">
        <f t="shared" si="366"/>
        <v>22537.41578</v>
      </c>
      <c r="M2504" s="12"/>
      <c r="N2504" s="15"/>
      <c r="O2504" s="1"/>
      <c r="Q2504" s="12"/>
      <c r="R2504" s="1"/>
    </row>
    <row r="2505" ht="12.75" customHeight="1">
      <c r="A2505" s="122">
        <f t="shared" si="367"/>
        <v>43758</v>
      </c>
      <c r="B2505" s="120">
        <v>998220.3799999999</v>
      </c>
      <c r="C2505" s="19">
        <f t="shared" si="364"/>
        <v>0</v>
      </c>
      <c r="D2505" s="19">
        <f t="shared" si="365"/>
        <v>0.01835831382</v>
      </c>
      <c r="E2505" s="12"/>
      <c r="F2505" s="7"/>
      <c r="G2505" s="7"/>
      <c r="H2505" s="1"/>
      <c r="I2505" s="1"/>
      <c r="J2505" s="1"/>
      <c r="K2505" s="1"/>
      <c r="L2505" s="12">
        <f t="shared" si="366"/>
        <v>22537.41578</v>
      </c>
      <c r="M2505" s="12"/>
      <c r="N2505" s="15"/>
      <c r="O2505" s="1"/>
      <c r="Q2505" s="12"/>
      <c r="R2505" s="1"/>
    </row>
    <row r="2506" ht="12.75" customHeight="1">
      <c r="A2506" s="122">
        <f t="shared" si="367"/>
        <v>43759</v>
      </c>
      <c r="B2506" s="120">
        <v>1004074.8500000003</v>
      </c>
      <c r="C2506" s="19">
        <f t="shared" si="364"/>
        <v>0.005864907306</v>
      </c>
      <c r="D2506" s="19">
        <f t="shared" si="365"/>
        <v>0.02433089094</v>
      </c>
      <c r="E2506" s="12"/>
      <c r="F2506" s="7"/>
      <c r="G2506" s="7"/>
      <c r="H2506" s="1"/>
      <c r="I2506" s="1"/>
      <c r="J2506" s="1"/>
      <c r="K2506" s="1"/>
      <c r="L2506" s="12">
        <f t="shared" si="366"/>
        <v>22669.59563</v>
      </c>
      <c r="M2506" s="12"/>
      <c r="N2506" s="15"/>
      <c r="O2506" s="1"/>
      <c r="Q2506" s="12"/>
      <c r="R2506" s="1"/>
    </row>
    <row r="2507" ht="12.75" customHeight="1">
      <c r="A2507" s="122">
        <f t="shared" si="367"/>
        <v>43760</v>
      </c>
      <c r="B2507" s="120">
        <v>992344.9000000001</v>
      </c>
      <c r="C2507" s="19">
        <f t="shared" si="364"/>
        <v>-0.01168234619</v>
      </c>
      <c r="D2507" s="19">
        <f t="shared" si="365"/>
        <v>0.01236430285</v>
      </c>
      <c r="E2507" s="12"/>
      <c r="F2507" s="7"/>
      <c r="G2507" s="7"/>
      <c r="H2507" s="1"/>
      <c r="I2507" s="1"/>
      <c r="J2507" s="1"/>
      <c r="K2507" s="1"/>
      <c r="L2507" s="12">
        <f t="shared" si="366"/>
        <v>22404.76157</v>
      </c>
      <c r="M2507" s="12"/>
      <c r="N2507" s="15"/>
      <c r="O2507" s="1"/>
      <c r="Q2507" s="12"/>
      <c r="R2507" s="1"/>
    </row>
    <row r="2508" ht="12.75" customHeight="1">
      <c r="A2508" s="122">
        <f t="shared" si="367"/>
        <v>43761</v>
      </c>
      <c r="B2508" s="120">
        <v>994901.4200000002</v>
      </c>
      <c r="C2508" s="19">
        <f t="shared" si="364"/>
        <v>0.002576241385</v>
      </c>
      <c r="D2508" s="19">
        <f t="shared" si="365"/>
        <v>0.01497239767</v>
      </c>
      <c r="E2508" s="12"/>
      <c r="F2508" s="7"/>
      <c r="G2508" s="7"/>
      <c r="H2508" s="1"/>
      <c r="I2508" s="1"/>
      <c r="J2508" s="1"/>
      <c r="K2508" s="1"/>
      <c r="L2508" s="12">
        <f t="shared" si="366"/>
        <v>22462.48164</v>
      </c>
      <c r="M2508" s="12"/>
      <c r="N2508" s="15"/>
      <c r="O2508" s="1"/>
      <c r="Q2508" s="12"/>
      <c r="R2508" s="1"/>
    </row>
    <row r="2509" ht="12.75" customHeight="1">
      <c r="A2509" s="122">
        <f t="shared" si="367"/>
        <v>43762</v>
      </c>
      <c r="B2509" s="120">
        <v>1002000.0</v>
      </c>
      <c r="C2509" s="19">
        <f t="shared" si="364"/>
        <v>0.007134958155</v>
      </c>
      <c r="D2509" s="19">
        <f t="shared" si="365"/>
        <v>0.02221418325</v>
      </c>
      <c r="E2509" s="12"/>
      <c r="F2509" s="7"/>
      <c r="G2509" s="7"/>
      <c r="H2509" s="1"/>
      <c r="I2509" s="1"/>
      <c r="J2509" s="1"/>
      <c r="K2509" s="1"/>
      <c r="L2509" s="12">
        <f t="shared" si="366"/>
        <v>22622.75051</v>
      </c>
      <c r="M2509" s="12"/>
      <c r="N2509" s="15"/>
      <c r="O2509" s="1"/>
      <c r="Q2509" s="12"/>
      <c r="R2509" s="1"/>
    </row>
    <row r="2510" ht="12.75" customHeight="1">
      <c r="A2510" s="122">
        <f t="shared" si="367"/>
        <v>43763</v>
      </c>
      <c r="B2510" s="120">
        <v>1006637.0500000002</v>
      </c>
      <c r="C2510" s="19">
        <f t="shared" si="364"/>
        <v>0.004627794411</v>
      </c>
      <c r="D2510" s="19">
        <f t="shared" si="365"/>
        <v>0.02694478034</v>
      </c>
      <c r="E2510" s="12"/>
      <c r="F2510" s="7"/>
      <c r="G2510" s="7"/>
      <c r="H2510" s="1"/>
      <c r="I2510" s="1"/>
      <c r="J2510" s="1"/>
      <c r="K2510" s="1"/>
      <c r="L2510" s="12">
        <f t="shared" si="366"/>
        <v>22727.44395</v>
      </c>
      <c r="M2510" s="12"/>
      <c r="N2510" s="15"/>
      <c r="O2510" s="1"/>
      <c r="Q2510" s="12"/>
      <c r="R2510" s="1"/>
    </row>
    <row r="2511" ht="12.75" customHeight="1">
      <c r="A2511" s="122">
        <f t="shared" si="367"/>
        <v>43764</v>
      </c>
      <c r="B2511" s="12"/>
      <c r="C2511" s="19">
        <f t="shared" si="364"/>
        <v>-1</v>
      </c>
      <c r="D2511" s="19">
        <f t="shared" si="365"/>
        <v>-1</v>
      </c>
      <c r="E2511" s="12"/>
      <c r="F2511" s="7"/>
      <c r="G2511" s="7"/>
      <c r="H2511" s="1"/>
      <c r="I2511" s="1"/>
      <c r="J2511" s="1"/>
      <c r="K2511" s="1"/>
      <c r="L2511" s="12">
        <f t="shared" si="366"/>
        <v>0</v>
      </c>
      <c r="M2511" s="12"/>
      <c r="N2511" s="15"/>
      <c r="O2511" s="1"/>
      <c r="Q2511" s="12"/>
      <c r="R2511" s="1"/>
    </row>
    <row r="2512" ht="12.75" customHeight="1">
      <c r="A2512" s="122">
        <f t="shared" si="367"/>
        <v>43765</v>
      </c>
      <c r="B2512" s="12"/>
      <c r="C2512" s="19" t="str">
        <f t="shared" si="364"/>
        <v>#DIV/0!</v>
      </c>
      <c r="D2512" s="19">
        <f t="shared" si="365"/>
        <v>-1</v>
      </c>
      <c r="E2512" s="12"/>
      <c r="F2512" s="7"/>
      <c r="G2512" s="7"/>
      <c r="H2512" s="1"/>
      <c r="I2512" s="1"/>
      <c r="J2512" s="1"/>
      <c r="K2512" s="1"/>
      <c r="L2512" s="12" t="str">
        <f t="shared" si="366"/>
        <v>#DIV/0!</v>
      </c>
      <c r="M2512" s="12"/>
      <c r="N2512" s="15"/>
      <c r="O2512" s="1"/>
      <c r="Q2512" s="12"/>
      <c r="R2512" s="1"/>
    </row>
    <row r="2513" ht="12.75" customHeight="1">
      <c r="A2513" s="122">
        <f t="shared" si="367"/>
        <v>43766</v>
      </c>
      <c r="B2513" s="12"/>
      <c r="C2513" s="19" t="str">
        <f t="shared" si="364"/>
        <v>#DIV/0!</v>
      </c>
      <c r="D2513" s="19">
        <f t="shared" si="365"/>
        <v>-1</v>
      </c>
      <c r="E2513" s="12"/>
      <c r="F2513" s="7"/>
      <c r="G2513" s="7"/>
      <c r="H2513" s="1"/>
      <c r="I2513" s="1"/>
      <c r="J2513" s="1"/>
      <c r="K2513" s="1"/>
      <c r="L2513" s="12" t="str">
        <f t="shared" si="366"/>
        <v>#DIV/0!</v>
      </c>
      <c r="M2513" s="12"/>
      <c r="N2513" s="15"/>
      <c r="O2513" s="1"/>
      <c r="Q2513" s="12"/>
      <c r="R2513" s="1"/>
    </row>
    <row r="2514" ht="12.75" customHeight="1">
      <c r="A2514" s="122">
        <f t="shared" si="367"/>
        <v>43767</v>
      </c>
      <c r="B2514" s="12"/>
      <c r="C2514" s="19" t="str">
        <f t="shared" si="364"/>
        <v>#DIV/0!</v>
      </c>
      <c r="D2514" s="19">
        <f t="shared" si="365"/>
        <v>-1</v>
      </c>
      <c r="E2514" s="12"/>
      <c r="F2514" s="7"/>
      <c r="G2514" s="7"/>
      <c r="H2514" s="1"/>
      <c r="I2514" s="1"/>
      <c r="J2514" s="1"/>
      <c r="K2514" s="1"/>
      <c r="L2514" s="12" t="str">
        <f t="shared" si="366"/>
        <v>#DIV/0!</v>
      </c>
      <c r="M2514" s="12"/>
      <c r="N2514" s="15"/>
      <c r="O2514" s="1"/>
      <c r="Q2514" s="12"/>
      <c r="R2514" s="1"/>
    </row>
    <row r="2515" ht="12.75" customHeight="1">
      <c r="A2515" s="122">
        <f t="shared" si="367"/>
        <v>43768</v>
      </c>
      <c r="B2515" s="12"/>
      <c r="C2515" s="19" t="str">
        <f t="shared" si="364"/>
        <v>#DIV/0!</v>
      </c>
      <c r="D2515" s="19">
        <f t="shared" si="365"/>
        <v>-1</v>
      </c>
      <c r="E2515" s="12"/>
      <c r="F2515" s="7"/>
      <c r="G2515" s="7"/>
      <c r="H2515" s="1"/>
      <c r="I2515" s="1"/>
      <c r="J2515" s="1"/>
      <c r="K2515" s="1"/>
      <c r="L2515" s="12" t="str">
        <f t="shared" si="366"/>
        <v>#DIV/0!</v>
      </c>
      <c r="M2515" s="12"/>
      <c r="N2515" s="15"/>
      <c r="O2515" s="1"/>
      <c r="Q2515" s="12"/>
      <c r="R2515" s="1"/>
    </row>
    <row r="2516" ht="12.75" customHeight="1">
      <c r="A2516" s="122">
        <f t="shared" si="367"/>
        <v>43769</v>
      </c>
      <c r="B2516" s="12"/>
      <c r="C2516" s="19" t="str">
        <f t="shared" si="364"/>
        <v>#DIV/0!</v>
      </c>
      <c r="D2516" s="19">
        <f t="shared" si="365"/>
        <v>-1</v>
      </c>
      <c r="E2516" s="12"/>
      <c r="F2516" s="7"/>
      <c r="G2516" s="7"/>
      <c r="H2516" s="1"/>
      <c r="I2516" s="1"/>
      <c r="J2516" s="1"/>
      <c r="K2516" s="1"/>
      <c r="L2516" s="12" t="str">
        <f t="shared" si="366"/>
        <v>#DIV/0!</v>
      </c>
      <c r="M2516" s="12"/>
      <c r="N2516" s="15"/>
      <c r="O2516" s="1"/>
      <c r="Q2516" s="12"/>
      <c r="R2516" s="1"/>
    </row>
    <row r="2517" ht="12.75" customHeight="1">
      <c r="A2517" s="122"/>
      <c r="B2517" s="12"/>
      <c r="C2517" s="1"/>
      <c r="D2517" s="1"/>
      <c r="E2517" s="12"/>
      <c r="F2517" s="7"/>
      <c r="G2517" s="7"/>
      <c r="H2517" s="1"/>
      <c r="I2517" s="1"/>
      <c r="J2517" s="1"/>
      <c r="K2517" s="1"/>
      <c r="L2517" s="12"/>
      <c r="M2517" s="12"/>
      <c r="N2517" s="15"/>
      <c r="O2517" s="1"/>
      <c r="Q2517" s="12"/>
      <c r="R2517" s="1"/>
    </row>
    <row r="2518" ht="12.75" customHeight="1">
      <c r="A2518" s="122"/>
      <c r="B2518" s="12" t="str">
        <f>B2516</f>
        <v/>
      </c>
      <c r="C2518" s="1"/>
      <c r="D2518" s="1"/>
      <c r="E2518" s="12"/>
      <c r="F2518" s="7"/>
      <c r="G2518" s="7"/>
      <c r="H2518" s="1"/>
      <c r="I2518" s="1"/>
      <c r="J2518" s="1"/>
      <c r="K2518" s="1"/>
      <c r="L2518" s="12"/>
      <c r="M2518" s="12"/>
      <c r="N2518" s="15"/>
      <c r="O2518" s="1"/>
      <c r="Q2518" s="12"/>
      <c r="R2518" s="1"/>
    </row>
    <row r="2519" ht="12.75" customHeight="1">
      <c r="A2519" s="122">
        <f>A2516+1</f>
        <v>43770</v>
      </c>
      <c r="B2519" s="120"/>
      <c r="C2519" s="19" t="str">
        <f t="shared" ref="C2519:C2548" si="368">B2519/B2518-1</f>
        <v>#DIV/0!</v>
      </c>
      <c r="D2519" s="19" t="str">
        <f t="shared" ref="D2519:D2548" si="369">(B2519/$B$2518)-1</f>
        <v>#DIV/0!</v>
      </c>
      <c r="E2519" s="12"/>
      <c r="F2519" s="7"/>
      <c r="G2519" s="7"/>
      <c r="H2519" s="1"/>
      <c r="I2519" s="1"/>
      <c r="J2519" s="1"/>
      <c r="K2519" s="1"/>
      <c r="L2519" s="12" t="str">
        <f t="shared" ref="L2519:L2548" si="370">IF(C2518="",L2516*(1+C2519),L2518*(1+C2519))</f>
        <v>#DIV/0!</v>
      </c>
      <c r="M2519" s="12"/>
      <c r="N2519" s="15"/>
      <c r="O2519" s="1"/>
      <c r="Q2519" s="12"/>
      <c r="R2519" s="1"/>
    </row>
    <row r="2520" ht="12.75" customHeight="1">
      <c r="A2520" s="122">
        <f t="shared" ref="A2520:A2548" si="371">A2519+1</f>
        <v>43771</v>
      </c>
      <c r="B2520" s="12"/>
      <c r="C2520" s="19" t="str">
        <f t="shared" si="368"/>
        <v>#DIV/0!</v>
      </c>
      <c r="D2520" s="19" t="str">
        <f t="shared" si="369"/>
        <v>#DIV/0!</v>
      </c>
      <c r="E2520" s="12"/>
      <c r="F2520" s="7"/>
      <c r="G2520" s="7"/>
      <c r="H2520" s="1"/>
      <c r="I2520" s="1"/>
      <c r="J2520" s="1"/>
      <c r="K2520" s="1"/>
      <c r="L2520" s="12" t="str">
        <f t="shared" si="370"/>
        <v>#DIV/0!</v>
      </c>
      <c r="M2520" s="12"/>
      <c r="N2520" s="15"/>
      <c r="O2520" s="1"/>
      <c r="Q2520" s="12"/>
      <c r="R2520" s="1"/>
    </row>
    <row r="2521" ht="12.75" customHeight="1">
      <c r="A2521" s="122">
        <f t="shared" si="371"/>
        <v>43772</v>
      </c>
      <c r="B2521" s="12"/>
      <c r="C2521" s="19" t="str">
        <f t="shared" si="368"/>
        <v>#DIV/0!</v>
      </c>
      <c r="D2521" s="19" t="str">
        <f t="shared" si="369"/>
        <v>#DIV/0!</v>
      </c>
      <c r="E2521" s="12"/>
      <c r="F2521" s="7"/>
      <c r="G2521" s="7"/>
      <c r="H2521" s="1"/>
      <c r="I2521" s="1"/>
      <c r="J2521" s="1"/>
      <c r="K2521" s="1"/>
      <c r="L2521" s="12" t="str">
        <f t="shared" si="370"/>
        <v>#DIV/0!</v>
      </c>
      <c r="M2521" s="12"/>
      <c r="N2521" s="15"/>
      <c r="O2521" s="1"/>
      <c r="Q2521" s="12"/>
      <c r="R2521" s="1"/>
    </row>
    <row r="2522" ht="12.75" customHeight="1">
      <c r="A2522" s="122">
        <f t="shared" si="371"/>
        <v>43773</v>
      </c>
      <c r="B2522" s="12"/>
      <c r="C2522" s="19" t="str">
        <f t="shared" si="368"/>
        <v>#DIV/0!</v>
      </c>
      <c r="D2522" s="19" t="str">
        <f t="shared" si="369"/>
        <v>#DIV/0!</v>
      </c>
      <c r="E2522" s="12"/>
      <c r="F2522" s="7"/>
      <c r="G2522" s="7"/>
      <c r="H2522" s="1"/>
      <c r="I2522" s="1"/>
      <c r="J2522" s="1"/>
      <c r="K2522" s="1"/>
      <c r="L2522" s="12" t="str">
        <f t="shared" si="370"/>
        <v>#DIV/0!</v>
      </c>
      <c r="M2522" s="12"/>
      <c r="N2522" s="15"/>
      <c r="O2522" s="1"/>
      <c r="Q2522" s="12"/>
      <c r="R2522" s="1"/>
    </row>
    <row r="2523" ht="12.75" customHeight="1">
      <c r="A2523" s="122">
        <f t="shared" si="371"/>
        <v>43774</v>
      </c>
      <c r="B2523" s="12"/>
      <c r="C2523" s="19" t="str">
        <f t="shared" si="368"/>
        <v>#DIV/0!</v>
      </c>
      <c r="D2523" s="19" t="str">
        <f t="shared" si="369"/>
        <v>#DIV/0!</v>
      </c>
      <c r="E2523" s="12"/>
      <c r="F2523" s="7"/>
      <c r="G2523" s="7"/>
      <c r="H2523" s="1"/>
      <c r="I2523" s="1"/>
      <c r="J2523" s="1"/>
      <c r="K2523" s="1"/>
      <c r="L2523" s="12" t="str">
        <f t="shared" si="370"/>
        <v>#DIV/0!</v>
      </c>
      <c r="M2523" s="12"/>
      <c r="N2523" s="15"/>
      <c r="O2523" s="1"/>
      <c r="Q2523" s="12"/>
      <c r="R2523" s="1"/>
    </row>
    <row r="2524" ht="12.75" customHeight="1">
      <c r="A2524" s="122">
        <f t="shared" si="371"/>
        <v>43775</v>
      </c>
      <c r="B2524" s="12"/>
      <c r="C2524" s="19" t="str">
        <f t="shared" si="368"/>
        <v>#DIV/0!</v>
      </c>
      <c r="D2524" s="19" t="str">
        <f t="shared" si="369"/>
        <v>#DIV/0!</v>
      </c>
      <c r="E2524" s="12"/>
      <c r="F2524" s="7"/>
      <c r="G2524" s="7"/>
      <c r="H2524" s="1"/>
      <c r="I2524" s="1"/>
      <c r="J2524" s="1"/>
      <c r="K2524" s="1"/>
      <c r="L2524" s="12" t="str">
        <f t="shared" si="370"/>
        <v>#DIV/0!</v>
      </c>
      <c r="M2524" s="12"/>
      <c r="N2524" s="15"/>
      <c r="O2524" s="1"/>
      <c r="Q2524" s="12"/>
      <c r="R2524" s="1"/>
    </row>
    <row r="2525" ht="12.75" customHeight="1">
      <c r="A2525" s="122">
        <f t="shared" si="371"/>
        <v>43776</v>
      </c>
      <c r="B2525" s="12"/>
      <c r="C2525" s="19" t="str">
        <f t="shared" si="368"/>
        <v>#DIV/0!</v>
      </c>
      <c r="D2525" s="19" t="str">
        <f t="shared" si="369"/>
        <v>#DIV/0!</v>
      </c>
      <c r="E2525" s="12"/>
      <c r="F2525" s="7"/>
      <c r="G2525" s="7"/>
      <c r="H2525" s="1"/>
      <c r="I2525" s="1"/>
      <c r="J2525" s="1"/>
      <c r="K2525" s="1"/>
      <c r="L2525" s="12" t="str">
        <f t="shared" si="370"/>
        <v>#DIV/0!</v>
      </c>
      <c r="M2525" s="12"/>
      <c r="N2525" s="15"/>
      <c r="O2525" s="1"/>
      <c r="Q2525" s="12"/>
      <c r="R2525" s="1"/>
    </row>
    <row r="2526" ht="12.75" customHeight="1">
      <c r="A2526" s="122">
        <f t="shared" si="371"/>
        <v>43777</v>
      </c>
      <c r="B2526" s="12"/>
      <c r="C2526" s="19" t="str">
        <f t="shared" si="368"/>
        <v>#DIV/0!</v>
      </c>
      <c r="D2526" s="19" t="str">
        <f t="shared" si="369"/>
        <v>#DIV/0!</v>
      </c>
      <c r="E2526" s="12"/>
      <c r="F2526" s="7"/>
      <c r="G2526" s="7"/>
      <c r="H2526" s="1"/>
      <c r="I2526" s="1"/>
      <c r="J2526" s="1"/>
      <c r="K2526" s="1"/>
      <c r="L2526" s="12" t="str">
        <f t="shared" si="370"/>
        <v>#DIV/0!</v>
      </c>
      <c r="M2526" s="12"/>
      <c r="N2526" s="15"/>
      <c r="O2526" s="1"/>
      <c r="Q2526" s="12"/>
      <c r="R2526" s="1"/>
    </row>
    <row r="2527" ht="12.75" customHeight="1">
      <c r="A2527" s="122">
        <f t="shared" si="371"/>
        <v>43778</v>
      </c>
      <c r="B2527" s="12"/>
      <c r="C2527" s="19" t="str">
        <f t="shared" si="368"/>
        <v>#DIV/0!</v>
      </c>
      <c r="D2527" s="19" t="str">
        <f t="shared" si="369"/>
        <v>#DIV/0!</v>
      </c>
      <c r="E2527" s="12"/>
      <c r="F2527" s="7"/>
      <c r="G2527" s="7"/>
      <c r="H2527" s="1"/>
      <c r="I2527" s="1"/>
      <c r="J2527" s="1"/>
      <c r="K2527" s="1"/>
      <c r="L2527" s="12" t="str">
        <f t="shared" si="370"/>
        <v>#DIV/0!</v>
      </c>
      <c r="M2527" s="12"/>
      <c r="N2527" s="15"/>
      <c r="O2527" s="1"/>
      <c r="Q2527" s="12"/>
      <c r="R2527" s="1"/>
    </row>
    <row r="2528" ht="12.75" customHeight="1">
      <c r="A2528" s="122">
        <f t="shared" si="371"/>
        <v>43779</v>
      </c>
      <c r="B2528" s="12"/>
      <c r="C2528" s="19" t="str">
        <f t="shared" si="368"/>
        <v>#DIV/0!</v>
      </c>
      <c r="D2528" s="19" t="str">
        <f t="shared" si="369"/>
        <v>#DIV/0!</v>
      </c>
      <c r="E2528" s="12"/>
      <c r="F2528" s="7"/>
      <c r="G2528" s="7"/>
      <c r="H2528" s="1"/>
      <c r="I2528" s="1"/>
      <c r="J2528" s="1"/>
      <c r="K2528" s="1"/>
      <c r="L2528" s="12" t="str">
        <f t="shared" si="370"/>
        <v>#DIV/0!</v>
      </c>
      <c r="M2528" s="12"/>
      <c r="N2528" s="15"/>
      <c r="O2528" s="1"/>
      <c r="Q2528" s="12"/>
      <c r="R2528" s="1"/>
    </row>
    <row r="2529" ht="12.75" customHeight="1">
      <c r="A2529" s="122">
        <f t="shared" si="371"/>
        <v>43780</v>
      </c>
      <c r="B2529" s="12"/>
      <c r="C2529" s="19" t="str">
        <f t="shared" si="368"/>
        <v>#DIV/0!</v>
      </c>
      <c r="D2529" s="19" t="str">
        <f t="shared" si="369"/>
        <v>#DIV/0!</v>
      </c>
      <c r="E2529" s="12"/>
      <c r="F2529" s="7"/>
      <c r="G2529" s="7"/>
      <c r="H2529" s="1"/>
      <c r="I2529" s="1"/>
      <c r="J2529" s="1"/>
      <c r="K2529" s="1"/>
      <c r="L2529" s="12" t="str">
        <f t="shared" si="370"/>
        <v>#DIV/0!</v>
      </c>
      <c r="M2529" s="12"/>
      <c r="N2529" s="15"/>
      <c r="O2529" s="1"/>
      <c r="Q2529" s="12"/>
      <c r="R2529" s="1"/>
    </row>
    <row r="2530" ht="12.75" customHeight="1">
      <c r="A2530" s="122">
        <f t="shared" si="371"/>
        <v>43781</v>
      </c>
      <c r="B2530" s="12"/>
      <c r="C2530" s="19" t="str">
        <f t="shared" si="368"/>
        <v>#DIV/0!</v>
      </c>
      <c r="D2530" s="19" t="str">
        <f t="shared" si="369"/>
        <v>#DIV/0!</v>
      </c>
      <c r="E2530" s="12"/>
      <c r="F2530" s="7"/>
      <c r="G2530" s="7"/>
      <c r="H2530" s="1"/>
      <c r="I2530" s="1"/>
      <c r="J2530" s="1"/>
      <c r="K2530" s="1"/>
      <c r="L2530" s="12" t="str">
        <f t="shared" si="370"/>
        <v>#DIV/0!</v>
      </c>
      <c r="M2530" s="12"/>
      <c r="N2530" s="15"/>
      <c r="O2530" s="1"/>
      <c r="Q2530" s="12"/>
      <c r="R2530" s="1"/>
    </row>
    <row r="2531" ht="12.75" customHeight="1">
      <c r="A2531" s="122">
        <f t="shared" si="371"/>
        <v>43782</v>
      </c>
      <c r="B2531" s="12"/>
      <c r="C2531" s="19" t="str">
        <f t="shared" si="368"/>
        <v>#DIV/0!</v>
      </c>
      <c r="D2531" s="19" t="str">
        <f t="shared" si="369"/>
        <v>#DIV/0!</v>
      </c>
      <c r="E2531" s="12"/>
      <c r="F2531" s="7"/>
      <c r="G2531" s="7"/>
      <c r="H2531" s="1"/>
      <c r="I2531" s="1"/>
      <c r="J2531" s="1"/>
      <c r="K2531" s="1"/>
      <c r="L2531" s="12" t="str">
        <f t="shared" si="370"/>
        <v>#DIV/0!</v>
      </c>
      <c r="M2531" s="12"/>
      <c r="N2531" s="15"/>
      <c r="O2531" s="1"/>
      <c r="Q2531" s="12"/>
      <c r="R2531" s="1"/>
    </row>
    <row r="2532" ht="12.75" customHeight="1">
      <c r="A2532" s="122">
        <f t="shared" si="371"/>
        <v>43783</v>
      </c>
      <c r="B2532" s="12"/>
      <c r="C2532" s="19" t="str">
        <f t="shared" si="368"/>
        <v>#DIV/0!</v>
      </c>
      <c r="D2532" s="19" t="str">
        <f t="shared" si="369"/>
        <v>#DIV/0!</v>
      </c>
      <c r="E2532" s="12"/>
      <c r="F2532" s="7"/>
      <c r="G2532" s="7"/>
      <c r="H2532" s="1"/>
      <c r="I2532" s="1"/>
      <c r="J2532" s="1"/>
      <c r="K2532" s="1"/>
      <c r="L2532" s="12" t="str">
        <f t="shared" si="370"/>
        <v>#DIV/0!</v>
      </c>
      <c r="M2532" s="12"/>
      <c r="N2532" s="15"/>
      <c r="O2532" s="1"/>
      <c r="Q2532" s="12"/>
      <c r="R2532" s="1"/>
    </row>
    <row r="2533" ht="12.75" customHeight="1">
      <c r="A2533" s="122">
        <f t="shared" si="371"/>
        <v>43784</v>
      </c>
      <c r="B2533" s="12"/>
      <c r="C2533" s="19" t="str">
        <f t="shared" si="368"/>
        <v>#DIV/0!</v>
      </c>
      <c r="D2533" s="19" t="str">
        <f t="shared" si="369"/>
        <v>#DIV/0!</v>
      </c>
      <c r="E2533" s="12"/>
      <c r="F2533" s="7"/>
      <c r="G2533" s="7"/>
      <c r="H2533" s="1"/>
      <c r="I2533" s="1"/>
      <c r="J2533" s="1"/>
      <c r="K2533" s="1"/>
      <c r="L2533" s="12" t="str">
        <f t="shared" si="370"/>
        <v>#DIV/0!</v>
      </c>
      <c r="M2533" s="12"/>
      <c r="N2533" s="15"/>
      <c r="O2533" s="1"/>
      <c r="Q2533" s="12"/>
      <c r="R2533" s="1"/>
    </row>
    <row r="2534" ht="12.75" customHeight="1">
      <c r="A2534" s="122">
        <f t="shared" si="371"/>
        <v>43785</v>
      </c>
      <c r="B2534" s="12"/>
      <c r="C2534" s="19" t="str">
        <f t="shared" si="368"/>
        <v>#DIV/0!</v>
      </c>
      <c r="D2534" s="19" t="str">
        <f t="shared" si="369"/>
        <v>#DIV/0!</v>
      </c>
      <c r="E2534" s="12"/>
      <c r="F2534" s="7"/>
      <c r="G2534" s="7"/>
      <c r="H2534" s="1"/>
      <c r="I2534" s="1"/>
      <c r="J2534" s="1"/>
      <c r="K2534" s="1"/>
      <c r="L2534" s="12" t="str">
        <f t="shared" si="370"/>
        <v>#DIV/0!</v>
      </c>
      <c r="M2534" s="12"/>
      <c r="N2534" s="15"/>
      <c r="O2534" s="1"/>
      <c r="Q2534" s="12"/>
      <c r="R2534" s="1"/>
    </row>
    <row r="2535" ht="12.75" customHeight="1">
      <c r="A2535" s="122">
        <f t="shared" si="371"/>
        <v>43786</v>
      </c>
      <c r="B2535" s="12"/>
      <c r="C2535" s="19" t="str">
        <f t="shared" si="368"/>
        <v>#DIV/0!</v>
      </c>
      <c r="D2535" s="19" t="str">
        <f t="shared" si="369"/>
        <v>#DIV/0!</v>
      </c>
      <c r="E2535" s="12"/>
      <c r="F2535" s="7"/>
      <c r="G2535" s="7"/>
      <c r="H2535" s="1"/>
      <c r="I2535" s="1"/>
      <c r="J2535" s="1"/>
      <c r="K2535" s="1"/>
      <c r="L2535" s="12" t="str">
        <f t="shared" si="370"/>
        <v>#DIV/0!</v>
      </c>
      <c r="M2535" s="12"/>
      <c r="N2535" s="15"/>
      <c r="O2535" s="1"/>
      <c r="Q2535" s="12"/>
      <c r="R2535" s="1"/>
    </row>
    <row r="2536" ht="12.75" customHeight="1">
      <c r="A2536" s="122">
        <f t="shared" si="371"/>
        <v>43787</v>
      </c>
      <c r="B2536" s="12"/>
      <c r="C2536" s="19" t="str">
        <f t="shared" si="368"/>
        <v>#DIV/0!</v>
      </c>
      <c r="D2536" s="19" t="str">
        <f t="shared" si="369"/>
        <v>#DIV/0!</v>
      </c>
      <c r="E2536" s="12"/>
      <c r="F2536" s="7"/>
      <c r="G2536" s="7"/>
      <c r="H2536" s="1"/>
      <c r="I2536" s="1"/>
      <c r="J2536" s="1"/>
      <c r="K2536" s="1"/>
      <c r="L2536" s="12" t="str">
        <f t="shared" si="370"/>
        <v>#DIV/0!</v>
      </c>
      <c r="M2536" s="12"/>
      <c r="N2536" s="15"/>
      <c r="O2536" s="1"/>
      <c r="Q2536" s="12"/>
      <c r="R2536" s="1"/>
    </row>
    <row r="2537" ht="12.75" customHeight="1">
      <c r="A2537" s="122">
        <f t="shared" si="371"/>
        <v>43788</v>
      </c>
      <c r="B2537" s="12"/>
      <c r="C2537" s="19" t="str">
        <f t="shared" si="368"/>
        <v>#DIV/0!</v>
      </c>
      <c r="D2537" s="19" t="str">
        <f t="shared" si="369"/>
        <v>#DIV/0!</v>
      </c>
      <c r="E2537" s="12"/>
      <c r="F2537" s="7"/>
      <c r="G2537" s="7"/>
      <c r="H2537" s="1"/>
      <c r="I2537" s="1"/>
      <c r="J2537" s="1"/>
      <c r="K2537" s="1"/>
      <c r="L2537" s="12" t="str">
        <f t="shared" si="370"/>
        <v>#DIV/0!</v>
      </c>
      <c r="M2537" s="12"/>
      <c r="N2537" s="15"/>
      <c r="O2537" s="1"/>
      <c r="Q2537" s="12"/>
      <c r="R2537" s="1"/>
    </row>
    <row r="2538" ht="12.75" customHeight="1">
      <c r="A2538" s="122">
        <f t="shared" si="371"/>
        <v>43789</v>
      </c>
      <c r="B2538" s="12"/>
      <c r="C2538" s="19" t="str">
        <f t="shared" si="368"/>
        <v>#DIV/0!</v>
      </c>
      <c r="D2538" s="19" t="str">
        <f t="shared" si="369"/>
        <v>#DIV/0!</v>
      </c>
      <c r="E2538" s="12"/>
      <c r="F2538" s="7"/>
      <c r="G2538" s="7"/>
      <c r="H2538" s="1"/>
      <c r="I2538" s="1"/>
      <c r="J2538" s="1"/>
      <c r="K2538" s="1"/>
      <c r="L2538" s="12" t="str">
        <f t="shared" si="370"/>
        <v>#DIV/0!</v>
      </c>
      <c r="M2538" s="12"/>
      <c r="N2538" s="15"/>
      <c r="O2538" s="1"/>
      <c r="Q2538" s="12"/>
      <c r="R2538" s="1"/>
    </row>
    <row r="2539" ht="12.75" customHeight="1">
      <c r="A2539" s="122">
        <f t="shared" si="371"/>
        <v>43790</v>
      </c>
      <c r="B2539" s="12"/>
      <c r="C2539" s="19" t="str">
        <f t="shared" si="368"/>
        <v>#DIV/0!</v>
      </c>
      <c r="D2539" s="19" t="str">
        <f t="shared" si="369"/>
        <v>#DIV/0!</v>
      </c>
      <c r="E2539" s="12"/>
      <c r="F2539" s="7"/>
      <c r="G2539" s="7"/>
      <c r="H2539" s="1"/>
      <c r="I2539" s="1"/>
      <c r="J2539" s="1"/>
      <c r="K2539" s="1"/>
      <c r="L2539" s="12" t="str">
        <f t="shared" si="370"/>
        <v>#DIV/0!</v>
      </c>
      <c r="M2539" s="12"/>
      <c r="N2539" s="15"/>
      <c r="O2539" s="1"/>
      <c r="Q2539" s="12"/>
      <c r="R2539" s="1"/>
    </row>
    <row r="2540" ht="12.75" customHeight="1">
      <c r="A2540" s="122">
        <f t="shared" si="371"/>
        <v>43791</v>
      </c>
      <c r="B2540" s="12"/>
      <c r="C2540" s="19" t="str">
        <f t="shared" si="368"/>
        <v>#DIV/0!</v>
      </c>
      <c r="D2540" s="19" t="str">
        <f t="shared" si="369"/>
        <v>#DIV/0!</v>
      </c>
      <c r="E2540" s="12"/>
      <c r="F2540" s="7"/>
      <c r="G2540" s="7"/>
      <c r="H2540" s="1"/>
      <c r="I2540" s="1"/>
      <c r="J2540" s="1"/>
      <c r="K2540" s="1"/>
      <c r="L2540" s="12" t="str">
        <f t="shared" si="370"/>
        <v>#DIV/0!</v>
      </c>
      <c r="M2540" s="12"/>
      <c r="N2540" s="15"/>
      <c r="O2540" s="1"/>
      <c r="Q2540" s="12"/>
      <c r="R2540" s="1"/>
    </row>
    <row r="2541" ht="12.75" customHeight="1">
      <c r="A2541" s="122">
        <f t="shared" si="371"/>
        <v>43792</v>
      </c>
      <c r="B2541" s="12"/>
      <c r="C2541" s="19" t="str">
        <f t="shared" si="368"/>
        <v>#DIV/0!</v>
      </c>
      <c r="D2541" s="19" t="str">
        <f t="shared" si="369"/>
        <v>#DIV/0!</v>
      </c>
      <c r="E2541" s="12"/>
      <c r="F2541" s="7"/>
      <c r="G2541" s="7"/>
      <c r="H2541" s="1"/>
      <c r="I2541" s="1"/>
      <c r="J2541" s="1"/>
      <c r="K2541" s="1"/>
      <c r="L2541" s="12" t="str">
        <f t="shared" si="370"/>
        <v>#DIV/0!</v>
      </c>
      <c r="M2541" s="12"/>
      <c r="N2541" s="15"/>
      <c r="O2541" s="1"/>
      <c r="Q2541" s="12"/>
      <c r="R2541" s="1"/>
    </row>
    <row r="2542" ht="12.75" customHeight="1">
      <c r="A2542" s="122">
        <f t="shared" si="371"/>
        <v>43793</v>
      </c>
      <c r="B2542" s="12"/>
      <c r="C2542" s="19" t="str">
        <f t="shared" si="368"/>
        <v>#DIV/0!</v>
      </c>
      <c r="D2542" s="19" t="str">
        <f t="shared" si="369"/>
        <v>#DIV/0!</v>
      </c>
      <c r="E2542" s="12"/>
      <c r="F2542" s="7"/>
      <c r="G2542" s="7"/>
      <c r="H2542" s="1"/>
      <c r="I2542" s="1"/>
      <c r="J2542" s="1"/>
      <c r="K2542" s="1"/>
      <c r="L2542" s="12" t="str">
        <f t="shared" si="370"/>
        <v>#DIV/0!</v>
      </c>
      <c r="M2542" s="12"/>
      <c r="N2542" s="15"/>
      <c r="O2542" s="1"/>
      <c r="Q2542" s="12"/>
      <c r="R2542" s="1"/>
    </row>
    <row r="2543" ht="12.75" customHeight="1">
      <c r="A2543" s="122">
        <f t="shared" si="371"/>
        <v>43794</v>
      </c>
      <c r="B2543" s="12"/>
      <c r="C2543" s="19" t="str">
        <f t="shared" si="368"/>
        <v>#DIV/0!</v>
      </c>
      <c r="D2543" s="19" t="str">
        <f t="shared" si="369"/>
        <v>#DIV/0!</v>
      </c>
      <c r="E2543" s="12"/>
      <c r="F2543" s="7"/>
      <c r="G2543" s="7"/>
      <c r="H2543" s="1"/>
      <c r="I2543" s="1"/>
      <c r="J2543" s="1"/>
      <c r="K2543" s="1"/>
      <c r="L2543" s="12" t="str">
        <f t="shared" si="370"/>
        <v>#DIV/0!</v>
      </c>
      <c r="M2543" s="12"/>
      <c r="N2543" s="15"/>
      <c r="O2543" s="1"/>
      <c r="Q2543" s="12"/>
      <c r="R2543" s="1"/>
    </row>
    <row r="2544" ht="12.75" customHeight="1">
      <c r="A2544" s="122">
        <f t="shared" si="371"/>
        <v>43795</v>
      </c>
      <c r="B2544" s="12"/>
      <c r="C2544" s="19" t="str">
        <f t="shared" si="368"/>
        <v>#DIV/0!</v>
      </c>
      <c r="D2544" s="19" t="str">
        <f t="shared" si="369"/>
        <v>#DIV/0!</v>
      </c>
      <c r="E2544" s="12"/>
      <c r="F2544" s="7"/>
      <c r="G2544" s="7"/>
      <c r="H2544" s="1"/>
      <c r="I2544" s="1"/>
      <c r="J2544" s="1"/>
      <c r="K2544" s="1"/>
      <c r="L2544" s="12" t="str">
        <f t="shared" si="370"/>
        <v>#DIV/0!</v>
      </c>
      <c r="M2544" s="12"/>
      <c r="N2544" s="15"/>
      <c r="O2544" s="1"/>
      <c r="Q2544" s="12"/>
      <c r="R2544" s="1"/>
    </row>
    <row r="2545" ht="12.75" customHeight="1">
      <c r="A2545" s="122">
        <f t="shared" si="371"/>
        <v>43796</v>
      </c>
      <c r="B2545" s="12"/>
      <c r="C2545" s="19" t="str">
        <f t="shared" si="368"/>
        <v>#DIV/0!</v>
      </c>
      <c r="D2545" s="19" t="str">
        <f t="shared" si="369"/>
        <v>#DIV/0!</v>
      </c>
      <c r="E2545" s="12"/>
      <c r="F2545" s="7"/>
      <c r="G2545" s="7"/>
      <c r="H2545" s="1"/>
      <c r="I2545" s="1"/>
      <c r="J2545" s="1"/>
      <c r="K2545" s="1"/>
      <c r="L2545" s="12" t="str">
        <f t="shared" si="370"/>
        <v>#DIV/0!</v>
      </c>
      <c r="M2545" s="12"/>
      <c r="N2545" s="15"/>
      <c r="O2545" s="1"/>
      <c r="Q2545" s="12"/>
      <c r="R2545" s="1"/>
    </row>
    <row r="2546" ht="12.75" customHeight="1">
      <c r="A2546" s="122">
        <f t="shared" si="371"/>
        <v>43797</v>
      </c>
      <c r="B2546" s="12"/>
      <c r="C2546" s="19" t="str">
        <f t="shared" si="368"/>
        <v>#DIV/0!</v>
      </c>
      <c r="D2546" s="19" t="str">
        <f t="shared" si="369"/>
        <v>#DIV/0!</v>
      </c>
      <c r="E2546" s="12"/>
      <c r="F2546" s="7"/>
      <c r="G2546" s="7"/>
      <c r="H2546" s="1"/>
      <c r="I2546" s="1"/>
      <c r="J2546" s="1"/>
      <c r="K2546" s="1"/>
      <c r="L2546" s="12" t="str">
        <f t="shared" si="370"/>
        <v>#DIV/0!</v>
      </c>
      <c r="M2546" s="12"/>
      <c r="N2546" s="15"/>
      <c r="O2546" s="1"/>
      <c r="Q2546" s="12"/>
      <c r="R2546" s="1"/>
    </row>
    <row r="2547" ht="12.75" customHeight="1">
      <c r="A2547" s="122">
        <f t="shared" si="371"/>
        <v>43798</v>
      </c>
      <c r="B2547" s="12"/>
      <c r="C2547" s="19" t="str">
        <f t="shared" si="368"/>
        <v>#DIV/0!</v>
      </c>
      <c r="D2547" s="19" t="str">
        <f t="shared" si="369"/>
        <v>#DIV/0!</v>
      </c>
      <c r="E2547" s="12"/>
      <c r="F2547" s="7"/>
      <c r="G2547" s="7"/>
      <c r="H2547" s="1"/>
      <c r="I2547" s="1"/>
      <c r="J2547" s="1"/>
      <c r="K2547" s="1"/>
      <c r="L2547" s="12" t="str">
        <f t="shared" si="370"/>
        <v>#DIV/0!</v>
      </c>
      <c r="M2547" s="12"/>
      <c r="N2547" s="15"/>
      <c r="O2547" s="1"/>
      <c r="Q2547" s="12"/>
      <c r="R2547" s="1"/>
    </row>
    <row r="2548" ht="12.75" customHeight="1">
      <c r="A2548" s="122">
        <f t="shared" si="371"/>
        <v>43799</v>
      </c>
      <c r="B2548" s="12"/>
      <c r="C2548" s="19" t="str">
        <f t="shared" si="368"/>
        <v>#DIV/0!</v>
      </c>
      <c r="D2548" s="19" t="str">
        <f t="shared" si="369"/>
        <v>#DIV/0!</v>
      </c>
      <c r="E2548" s="12"/>
      <c r="F2548" s="7"/>
      <c r="G2548" s="7"/>
      <c r="H2548" s="1"/>
      <c r="I2548" s="1"/>
      <c r="J2548" s="1"/>
      <c r="K2548" s="1"/>
      <c r="L2548" s="12" t="str">
        <f t="shared" si="370"/>
        <v>#DIV/0!</v>
      </c>
      <c r="M2548" s="12"/>
      <c r="N2548" s="15"/>
      <c r="O2548" s="1"/>
      <c r="Q2548" s="12"/>
      <c r="R2548" s="1"/>
    </row>
    <row r="2549" ht="12.75" customHeight="1">
      <c r="A2549" s="122"/>
      <c r="B2549" s="12"/>
      <c r="C2549" s="1"/>
      <c r="D2549" s="1"/>
      <c r="E2549" s="12"/>
      <c r="F2549" s="7"/>
      <c r="G2549" s="7"/>
      <c r="H2549" s="1"/>
      <c r="I2549" s="1"/>
      <c r="J2549" s="1"/>
      <c r="K2549" s="1"/>
      <c r="L2549" s="12"/>
      <c r="M2549" s="12"/>
      <c r="N2549" s="15"/>
      <c r="O2549" s="1"/>
      <c r="Q2549" s="12"/>
      <c r="R2549" s="1"/>
    </row>
    <row r="2550" ht="12.75" customHeight="1">
      <c r="A2550" s="122"/>
      <c r="B2550" s="12"/>
      <c r="C2550" s="1"/>
      <c r="D2550" s="1"/>
      <c r="E2550" s="12"/>
      <c r="F2550" s="7"/>
      <c r="G2550" s="7"/>
      <c r="H2550" s="1"/>
      <c r="I2550" s="1"/>
      <c r="J2550" s="1"/>
      <c r="K2550" s="1"/>
      <c r="L2550" s="12"/>
      <c r="M2550" s="12"/>
      <c r="N2550" s="15"/>
      <c r="O2550" s="1"/>
      <c r="Q2550" s="12"/>
      <c r="R2550" s="1"/>
    </row>
    <row r="2551" ht="12.75" customHeight="1">
      <c r="A2551" s="122">
        <f>A2548+1</f>
        <v>43800</v>
      </c>
      <c r="B2551" s="12"/>
      <c r="C2551" s="1"/>
      <c r="D2551" s="1"/>
      <c r="E2551" s="12"/>
      <c r="F2551" s="7"/>
      <c r="G2551" s="7"/>
      <c r="H2551" s="1"/>
      <c r="I2551" s="1"/>
      <c r="J2551" s="1"/>
      <c r="K2551" s="1"/>
      <c r="L2551" s="12"/>
      <c r="M2551" s="12"/>
      <c r="N2551" s="15"/>
      <c r="O2551" s="1"/>
      <c r="Q2551" s="12"/>
      <c r="R2551" s="1"/>
    </row>
    <row r="2552" ht="12.75" customHeight="1">
      <c r="A2552" s="122">
        <f t="shared" ref="A2552:A2658" si="372">A2551+1</f>
        <v>43801</v>
      </c>
      <c r="B2552" s="12"/>
      <c r="C2552" s="1"/>
      <c r="D2552" s="1"/>
      <c r="E2552" s="12"/>
      <c r="F2552" s="7"/>
      <c r="G2552" s="7"/>
      <c r="H2552" s="1"/>
      <c r="I2552" s="1"/>
      <c r="J2552" s="1"/>
      <c r="K2552" s="1"/>
      <c r="L2552" s="12"/>
      <c r="M2552" s="12"/>
      <c r="N2552" s="15"/>
      <c r="O2552" s="1"/>
      <c r="Q2552" s="12"/>
      <c r="R2552" s="1"/>
    </row>
    <row r="2553" ht="12.75" customHeight="1">
      <c r="A2553" s="122">
        <f t="shared" si="372"/>
        <v>43802</v>
      </c>
      <c r="B2553" s="12"/>
      <c r="C2553" s="1"/>
      <c r="D2553" s="1"/>
      <c r="E2553" s="12"/>
      <c r="F2553" s="7"/>
      <c r="G2553" s="7"/>
      <c r="H2553" s="1"/>
      <c r="I2553" s="1"/>
      <c r="J2553" s="1"/>
      <c r="K2553" s="1"/>
      <c r="L2553" s="12"/>
      <c r="M2553" s="12"/>
      <c r="N2553" s="15"/>
      <c r="O2553" s="1"/>
      <c r="Q2553" s="12"/>
      <c r="R2553" s="1"/>
    </row>
    <row r="2554" ht="12.75" customHeight="1">
      <c r="A2554" s="122">
        <f t="shared" si="372"/>
        <v>43803</v>
      </c>
      <c r="B2554" s="12"/>
      <c r="C2554" s="1"/>
      <c r="D2554" s="1"/>
      <c r="E2554" s="12"/>
      <c r="F2554" s="7"/>
      <c r="G2554" s="7"/>
      <c r="H2554" s="1"/>
      <c r="I2554" s="1"/>
      <c r="J2554" s="1"/>
      <c r="K2554" s="1"/>
      <c r="L2554" s="12"/>
      <c r="M2554" s="12"/>
      <c r="N2554" s="15"/>
      <c r="O2554" s="1"/>
      <c r="Q2554" s="12"/>
      <c r="R2554" s="1"/>
    </row>
    <row r="2555" ht="12.75" customHeight="1">
      <c r="A2555" s="122">
        <f t="shared" si="372"/>
        <v>43804</v>
      </c>
      <c r="B2555" s="12"/>
      <c r="C2555" s="1"/>
      <c r="D2555" s="1"/>
      <c r="E2555" s="12"/>
      <c r="F2555" s="7"/>
      <c r="G2555" s="7"/>
      <c r="H2555" s="1"/>
      <c r="I2555" s="1"/>
      <c r="J2555" s="1"/>
      <c r="K2555" s="1"/>
      <c r="L2555" s="12"/>
      <c r="M2555" s="12"/>
      <c r="N2555" s="15"/>
      <c r="O2555" s="1"/>
      <c r="Q2555" s="12"/>
      <c r="R2555" s="1"/>
    </row>
    <row r="2556" ht="12.75" customHeight="1">
      <c r="A2556" s="122">
        <f t="shared" si="372"/>
        <v>43805</v>
      </c>
      <c r="B2556" s="12"/>
      <c r="C2556" s="1"/>
      <c r="D2556" s="1"/>
      <c r="E2556" s="12"/>
      <c r="F2556" s="7"/>
      <c r="G2556" s="7"/>
      <c r="H2556" s="1"/>
      <c r="I2556" s="1"/>
      <c r="J2556" s="1"/>
      <c r="K2556" s="1"/>
      <c r="L2556" s="12"/>
      <c r="M2556" s="12"/>
      <c r="N2556" s="15"/>
      <c r="O2556" s="1"/>
      <c r="Q2556" s="12"/>
      <c r="R2556" s="1"/>
    </row>
    <row r="2557" ht="12.75" customHeight="1">
      <c r="A2557" s="122">
        <f t="shared" si="372"/>
        <v>43806</v>
      </c>
      <c r="B2557" s="12"/>
      <c r="C2557" s="1"/>
      <c r="D2557" s="1"/>
      <c r="E2557" s="12"/>
      <c r="F2557" s="7"/>
      <c r="G2557" s="7"/>
      <c r="H2557" s="1"/>
      <c r="I2557" s="1"/>
      <c r="J2557" s="1"/>
      <c r="K2557" s="1"/>
      <c r="L2557" s="12"/>
      <c r="M2557" s="12"/>
      <c r="N2557" s="15"/>
      <c r="O2557" s="1"/>
      <c r="Q2557" s="12"/>
      <c r="R2557" s="1"/>
    </row>
    <row r="2558" ht="12.75" customHeight="1">
      <c r="A2558" s="122">
        <f t="shared" si="372"/>
        <v>43807</v>
      </c>
      <c r="B2558" s="12"/>
      <c r="C2558" s="1"/>
      <c r="D2558" s="1"/>
      <c r="E2558" s="12"/>
      <c r="F2558" s="7"/>
      <c r="G2558" s="7"/>
      <c r="H2558" s="1"/>
      <c r="I2558" s="1"/>
      <c r="J2558" s="1"/>
      <c r="K2558" s="1"/>
      <c r="L2558" s="12"/>
      <c r="M2558" s="12"/>
      <c r="N2558" s="15"/>
      <c r="O2558" s="1"/>
      <c r="Q2558" s="12"/>
      <c r="R2558" s="1"/>
    </row>
    <row r="2559" ht="12.75" customHeight="1">
      <c r="A2559" s="122">
        <f t="shared" si="372"/>
        <v>43808</v>
      </c>
      <c r="B2559" s="12"/>
      <c r="C2559" s="1"/>
      <c r="D2559" s="1"/>
      <c r="E2559" s="12"/>
      <c r="F2559" s="7"/>
      <c r="G2559" s="7"/>
      <c r="H2559" s="1"/>
      <c r="I2559" s="1"/>
      <c r="J2559" s="1"/>
      <c r="K2559" s="1"/>
      <c r="L2559" s="12"/>
      <c r="M2559" s="12"/>
      <c r="N2559" s="15"/>
      <c r="O2559" s="1"/>
      <c r="Q2559" s="12"/>
      <c r="R2559" s="1"/>
    </row>
    <row r="2560" ht="12.75" customHeight="1">
      <c r="A2560" s="122">
        <f t="shared" si="372"/>
        <v>43809</v>
      </c>
      <c r="B2560" s="12"/>
      <c r="C2560" s="1"/>
      <c r="D2560" s="1"/>
      <c r="E2560" s="12"/>
      <c r="F2560" s="7"/>
      <c r="G2560" s="7"/>
      <c r="H2560" s="1"/>
      <c r="I2560" s="1"/>
      <c r="J2560" s="1"/>
      <c r="K2560" s="1"/>
      <c r="L2560" s="12"/>
      <c r="M2560" s="12"/>
      <c r="N2560" s="15"/>
      <c r="O2560" s="1"/>
      <c r="Q2560" s="12"/>
      <c r="R2560" s="1"/>
    </row>
    <row r="2561" ht="12.75" customHeight="1">
      <c r="A2561" s="122">
        <f t="shared" si="372"/>
        <v>43810</v>
      </c>
      <c r="B2561" s="12"/>
      <c r="C2561" s="1"/>
      <c r="D2561" s="1"/>
      <c r="E2561" s="12"/>
      <c r="F2561" s="7"/>
      <c r="G2561" s="7"/>
      <c r="H2561" s="1"/>
      <c r="I2561" s="1"/>
      <c r="J2561" s="1"/>
      <c r="K2561" s="1"/>
      <c r="L2561" s="12"/>
      <c r="M2561" s="12"/>
      <c r="N2561" s="15"/>
      <c r="O2561" s="1"/>
      <c r="Q2561" s="12"/>
      <c r="R2561" s="1"/>
    </row>
    <row r="2562" ht="12.75" customHeight="1">
      <c r="A2562" s="122">
        <f t="shared" si="372"/>
        <v>43811</v>
      </c>
      <c r="B2562" s="12"/>
      <c r="C2562" s="1"/>
      <c r="D2562" s="1"/>
      <c r="E2562" s="12"/>
      <c r="F2562" s="7"/>
      <c r="G2562" s="7"/>
      <c r="H2562" s="1"/>
      <c r="I2562" s="1"/>
      <c r="J2562" s="1"/>
      <c r="K2562" s="1"/>
      <c r="L2562" s="12"/>
      <c r="M2562" s="12"/>
      <c r="N2562" s="15"/>
      <c r="O2562" s="1"/>
      <c r="Q2562" s="12"/>
      <c r="R2562" s="1"/>
    </row>
    <row r="2563" ht="12.75" customHeight="1">
      <c r="A2563" s="122">
        <f t="shared" si="372"/>
        <v>43812</v>
      </c>
      <c r="B2563" s="12"/>
      <c r="C2563" s="1"/>
      <c r="D2563" s="1"/>
      <c r="E2563" s="12"/>
      <c r="F2563" s="7"/>
      <c r="G2563" s="7"/>
      <c r="H2563" s="1"/>
      <c r="I2563" s="1"/>
      <c r="J2563" s="1"/>
      <c r="K2563" s="1"/>
      <c r="L2563" s="12"/>
      <c r="M2563" s="12"/>
      <c r="N2563" s="15"/>
      <c r="O2563" s="1"/>
      <c r="Q2563" s="12"/>
      <c r="R2563" s="1"/>
    </row>
    <row r="2564" ht="12.75" customHeight="1">
      <c r="A2564" s="122">
        <f t="shared" si="372"/>
        <v>43813</v>
      </c>
      <c r="B2564" s="12"/>
      <c r="C2564" s="1"/>
      <c r="D2564" s="1"/>
      <c r="E2564" s="12"/>
      <c r="F2564" s="7"/>
      <c r="G2564" s="7"/>
      <c r="H2564" s="1"/>
      <c r="I2564" s="1"/>
      <c r="J2564" s="1"/>
      <c r="K2564" s="1"/>
      <c r="L2564" s="12"/>
      <c r="M2564" s="12"/>
      <c r="N2564" s="15"/>
      <c r="O2564" s="1"/>
      <c r="Q2564" s="12"/>
      <c r="R2564" s="1"/>
    </row>
    <row r="2565" ht="12.75" customHeight="1">
      <c r="A2565" s="122">
        <f t="shared" si="372"/>
        <v>43814</v>
      </c>
      <c r="B2565" s="12"/>
      <c r="C2565" s="1"/>
      <c r="D2565" s="1"/>
      <c r="E2565" s="12"/>
      <c r="F2565" s="7"/>
      <c r="G2565" s="7"/>
      <c r="H2565" s="1"/>
      <c r="I2565" s="1"/>
      <c r="J2565" s="1"/>
      <c r="K2565" s="1"/>
      <c r="L2565" s="12"/>
      <c r="M2565" s="12"/>
      <c r="N2565" s="15"/>
      <c r="O2565" s="1"/>
      <c r="Q2565" s="12"/>
      <c r="R2565" s="1"/>
    </row>
    <row r="2566" ht="12.75" customHeight="1">
      <c r="A2566" s="122">
        <f t="shared" si="372"/>
        <v>43815</v>
      </c>
      <c r="B2566" s="12"/>
      <c r="C2566" s="1"/>
      <c r="D2566" s="1"/>
      <c r="E2566" s="12"/>
      <c r="F2566" s="7"/>
      <c r="G2566" s="7"/>
      <c r="H2566" s="1"/>
      <c r="I2566" s="1"/>
      <c r="J2566" s="1"/>
      <c r="K2566" s="1"/>
      <c r="L2566" s="12"/>
      <c r="M2566" s="12"/>
      <c r="N2566" s="15"/>
      <c r="O2566" s="1"/>
      <c r="Q2566" s="12"/>
      <c r="R2566" s="1"/>
    </row>
    <row r="2567" ht="12.75" customHeight="1">
      <c r="A2567" s="122">
        <f t="shared" si="372"/>
        <v>43816</v>
      </c>
      <c r="B2567" s="12"/>
      <c r="C2567" s="1"/>
      <c r="D2567" s="1"/>
      <c r="E2567" s="12"/>
      <c r="F2567" s="7"/>
      <c r="G2567" s="7"/>
      <c r="H2567" s="1"/>
      <c r="I2567" s="1"/>
      <c r="J2567" s="1"/>
      <c r="K2567" s="1"/>
      <c r="L2567" s="12"/>
      <c r="M2567" s="12"/>
      <c r="N2567" s="15"/>
      <c r="O2567" s="1"/>
      <c r="Q2567" s="12"/>
      <c r="R2567" s="1"/>
    </row>
    <row r="2568" ht="12.75" customHeight="1">
      <c r="A2568" s="122">
        <f t="shared" si="372"/>
        <v>43817</v>
      </c>
      <c r="B2568" s="12"/>
      <c r="C2568" s="1"/>
      <c r="D2568" s="1"/>
      <c r="E2568" s="12"/>
      <c r="F2568" s="7"/>
      <c r="G2568" s="7"/>
      <c r="H2568" s="1"/>
      <c r="I2568" s="1"/>
      <c r="J2568" s="1"/>
      <c r="K2568" s="1"/>
      <c r="L2568" s="12"/>
      <c r="M2568" s="12"/>
      <c r="N2568" s="15"/>
      <c r="O2568" s="1"/>
      <c r="Q2568" s="12"/>
      <c r="R2568" s="1"/>
    </row>
    <row r="2569" ht="12.75" customHeight="1">
      <c r="A2569" s="122">
        <f t="shared" si="372"/>
        <v>43818</v>
      </c>
      <c r="B2569" s="12"/>
      <c r="C2569" s="1"/>
      <c r="D2569" s="1"/>
      <c r="E2569" s="12"/>
      <c r="F2569" s="7"/>
      <c r="G2569" s="7"/>
      <c r="H2569" s="1"/>
      <c r="I2569" s="1"/>
      <c r="J2569" s="1"/>
      <c r="K2569" s="1"/>
      <c r="L2569" s="12"/>
      <c r="M2569" s="12"/>
      <c r="N2569" s="15"/>
      <c r="O2569" s="1"/>
      <c r="Q2569" s="12"/>
      <c r="R2569" s="1"/>
    </row>
    <row r="2570" ht="12.75" customHeight="1">
      <c r="A2570" s="122">
        <f t="shared" si="372"/>
        <v>43819</v>
      </c>
      <c r="B2570" s="12"/>
      <c r="C2570" s="1"/>
      <c r="D2570" s="1"/>
      <c r="E2570" s="12"/>
      <c r="F2570" s="7"/>
      <c r="G2570" s="7"/>
      <c r="H2570" s="1"/>
      <c r="I2570" s="1"/>
      <c r="J2570" s="1"/>
      <c r="K2570" s="1"/>
      <c r="L2570" s="12"/>
      <c r="M2570" s="12"/>
      <c r="N2570" s="15"/>
      <c r="O2570" s="1"/>
      <c r="Q2570" s="12"/>
      <c r="R2570" s="1"/>
    </row>
    <row r="2571" ht="12.75" customHeight="1">
      <c r="A2571" s="122">
        <f t="shared" si="372"/>
        <v>43820</v>
      </c>
      <c r="B2571" s="12"/>
      <c r="C2571" s="1"/>
      <c r="D2571" s="1"/>
      <c r="E2571" s="12"/>
      <c r="F2571" s="7"/>
      <c r="G2571" s="7"/>
      <c r="H2571" s="1"/>
      <c r="I2571" s="1"/>
      <c r="J2571" s="1"/>
      <c r="K2571" s="1"/>
      <c r="L2571" s="12"/>
      <c r="M2571" s="12"/>
      <c r="N2571" s="15"/>
      <c r="O2571" s="1"/>
      <c r="Q2571" s="12"/>
      <c r="R2571" s="1"/>
    </row>
    <row r="2572" ht="12.75" customHeight="1">
      <c r="A2572" s="122">
        <f t="shared" si="372"/>
        <v>43821</v>
      </c>
      <c r="B2572" s="12"/>
      <c r="C2572" s="1"/>
      <c r="D2572" s="1"/>
      <c r="E2572" s="12"/>
      <c r="F2572" s="7"/>
      <c r="G2572" s="7"/>
      <c r="H2572" s="1"/>
      <c r="I2572" s="1"/>
      <c r="J2572" s="1"/>
      <c r="K2572" s="1"/>
      <c r="L2572" s="12"/>
      <c r="M2572" s="12"/>
      <c r="N2572" s="15"/>
      <c r="O2572" s="1"/>
      <c r="Q2572" s="12"/>
      <c r="R2572" s="1"/>
    </row>
    <row r="2573" ht="12.75" customHeight="1">
      <c r="A2573" s="122">
        <f t="shared" si="372"/>
        <v>43822</v>
      </c>
      <c r="B2573" s="12"/>
      <c r="C2573" s="1"/>
      <c r="D2573" s="1"/>
      <c r="E2573" s="12"/>
      <c r="F2573" s="7"/>
      <c r="G2573" s="7"/>
      <c r="H2573" s="1"/>
      <c r="I2573" s="1"/>
      <c r="J2573" s="1"/>
      <c r="K2573" s="1"/>
      <c r="L2573" s="12"/>
      <c r="M2573" s="12"/>
      <c r="N2573" s="15"/>
      <c r="O2573" s="1"/>
      <c r="Q2573" s="12"/>
      <c r="R2573" s="1"/>
    </row>
    <row r="2574" ht="12.75" customHeight="1">
      <c r="A2574" s="122">
        <f t="shared" si="372"/>
        <v>43823</v>
      </c>
      <c r="B2574" s="12"/>
      <c r="C2574" s="1"/>
      <c r="D2574" s="1"/>
      <c r="E2574" s="12"/>
      <c r="F2574" s="7"/>
      <c r="G2574" s="7"/>
      <c r="H2574" s="1"/>
      <c r="I2574" s="1"/>
      <c r="J2574" s="1"/>
      <c r="K2574" s="1"/>
      <c r="L2574" s="12"/>
      <c r="M2574" s="12"/>
      <c r="N2574" s="15"/>
      <c r="O2574" s="1"/>
      <c r="Q2574" s="12"/>
      <c r="R2574" s="1"/>
    </row>
    <row r="2575" ht="12.75" customHeight="1">
      <c r="A2575" s="122">
        <f t="shared" si="372"/>
        <v>43824</v>
      </c>
      <c r="B2575" s="12"/>
      <c r="C2575" s="1"/>
      <c r="D2575" s="1"/>
      <c r="E2575" s="12"/>
      <c r="F2575" s="7"/>
      <c r="G2575" s="7"/>
      <c r="H2575" s="1"/>
      <c r="I2575" s="1"/>
      <c r="J2575" s="1"/>
      <c r="K2575" s="1"/>
      <c r="L2575" s="12"/>
      <c r="M2575" s="12"/>
      <c r="N2575" s="15"/>
      <c r="O2575" s="1"/>
      <c r="Q2575" s="12"/>
      <c r="R2575" s="1"/>
    </row>
    <row r="2576" ht="12.75" customHeight="1">
      <c r="A2576" s="122">
        <f t="shared" si="372"/>
        <v>43825</v>
      </c>
      <c r="B2576" s="12"/>
      <c r="C2576" s="1"/>
      <c r="D2576" s="1"/>
      <c r="E2576" s="12"/>
      <c r="F2576" s="7"/>
      <c r="G2576" s="7"/>
      <c r="H2576" s="1"/>
      <c r="I2576" s="1"/>
      <c r="J2576" s="1"/>
      <c r="K2576" s="1"/>
      <c r="L2576" s="12"/>
      <c r="M2576" s="12"/>
      <c r="N2576" s="15"/>
      <c r="O2576" s="1"/>
      <c r="Q2576" s="12"/>
      <c r="R2576" s="1"/>
    </row>
    <row r="2577" ht="12.75" customHeight="1">
      <c r="A2577" s="122">
        <f t="shared" si="372"/>
        <v>43826</v>
      </c>
      <c r="B2577" s="12"/>
      <c r="C2577" s="1"/>
      <c r="D2577" s="1"/>
      <c r="E2577" s="12"/>
      <c r="F2577" s="7"/>
      <c r="G2577" s="7"/>
      <c r="H2577" s="1"/>
      <c r="I2577" s="1"/>
      <c r="J2577" s="1"/>
      <c r="K2577" s="1"/>
      <c r="L2577" s="12"/>
      <c r="M2577" s="12"/>
      <c r="N2577" s="15"/>
      <c r="O2577" s="1"/>
      <c r="Q2577" s="12"/>
      <c r="R2577" s="1"/>
    </row>
    <row r="2578" ht="12.75" customHeight="1">
      <c r="A2578" s="122">
        <f t="shared" si="372"/>
        <v>43827</v>
      </c>
      <c r="B2578" s="12"/>
      <c r="C2578" s="1"/>
      <c r="D2578" s="1"/>
      <c r="E2578" s="12"/>
      <c r="F2578" s="7"/>
      <c r="G2578" s="7"/>
      <c r="H2578" s="1"/>
      <c r="I2578" s="1"/>
      <c r="J2578" s="1"/>
      <c r="K2578" s="1"/>
      <c r="L2578" s="12"/>
      <c r="M2578" s="12"/>
      <c r="N2578" s="15"/>
      <c r="O2578" s="1"/>
      <c r="Q2578" s="12"/>
      <c r="R2578" s="1"/>
    </row>
    <row r="2579" ht="12.75" customHeight="1">
      <c r="A2579" s="122">
        <f t="shared" si="372"/>
        <v>43828</v>
      </c>
      <c r="B2579" s="12"/>
      <c r="C2579" s="1"/>
      <c r="D2579" s="1"/>
      <c r="E2579" s="12"/>
      <c r="F2579" s="7"/>
      <c r="G2579" s="7"/>
      <c r="H2579" s="1"/>
      <c r="I2579" s="1"/>
      <c r="J2579" s="1"/>
      <c r="K2579" s="1"/>
      <c r="L2579" s="12"/>
      <c r="M2579" s="12"/>
      <c r="N2579" s="15"/>
      <c r="O2579" s="1"/>
      <c r="Q2579" s="12"/>
      <c r="R2579" s="1"/>
    </row>
    <row r="2580" ht="12.75" customHeight="1">
      <c r="A2580" s="122">
        <f t="shared" si="372"/>
        <v>43829</v>
      </c>
      <c r="B2580" s="12"/>
      <c r="C2580" s="1"/>
      <c r="D2580" s="1"/>
      <c r="E2580" s="12"/>
      <c r="F2580" s="7"/>
      <c r="G2580" s="7"/>
      <c r="H2580" s="1"/>
      <c r="I2580" s="1"/>
      <c r="J2580" s="1"/>
      <c r="K2580" s="1"/>
      <c r="L2580" s="12"/>
      <c r="M2580" s="12"/>
      <c r="N2580" s="15"/>
      <c r="O2580" s="1"/>
      <c r="Q2580" s="12"/>
      <c r="R2580" s="1"/>
    </row>
    <row r="2581" ht="12.75" customHeight="1">
      <c r="A2581" s="122">
        <f t="shared" si="372"/>
        <v>43830</v>
      </c>
      <c r="B2581" s="12"/>
      <c r="C2581" s="1"/>
      <c r="D2581" s="1"/>
      <c r="E2581" s="12"/>
      <c r="F2581" s="7"/>
      <c r="G2581" s="7"/>
      <c r="H2581" s="1"/>
      <c r="I2581" s="1"/>
      <c r="J2581" s="1"/>
      <c r="K2581" s="1"/>
      <c r="L2581" s="12"/>
      <c r="M2581" s="12"/>
      <c r="N2581" s="15"/>
      <c r="O2581" s="1"/>
      <c r="Q2581" s="12"/>
      <c r="R2581" s="1"/>
    </row>
    <row r="2582" ht="12.75" customHeight="1">
      <c r="A2582" s="122">
        <f t="shared" si="372"/>
        <v>43831</v>
      </c>
      <c r="B2582" s="12"/>
      <c r="C2582" s="1"/>
      <c r="D2582" s="1"/>
      <c r="E2582" s="12"/>
      <c r="F2582" s="7"/>
      <c r="G2582" s="7"/>
      <c r="H2582" s="1"/>
      <c r="I2582" s="1"/>
      <c r="J2582" s="1"/>
      <c r="K2582" s="1"/>
      <c r="L2582" s="12"/>
      <c r="M2582" s="12"/>
      <c r="N2582" s="15"/>
      <c r="O2582" s="1"/>
      <c r="Q2582" s="12"/>
      <c r="R2582" s="1"/>
    </row>
    <row r="2583" ht="12.75" customHeight="1">
      <c r="A2583" s="122">
        <f t="shared" si="372"/>
        <v>43832</v>
      </c>
      <c r="B2583" s="12"/>
      <c r="C2583" s="1"/>
      <c r="D2583" s="1"/>
      <c r="E2583" s="12"/>
      <c r="F2583" s="7"/>
      <c r="G2583" s="7"/>
      <c r="H2583" s="1"/>
      <c r="I2583" s="1"/>
      <c r="J2583" s="1"/>
      <c r="K2583" s="1"/>
      <c r="L2583" s="12"/>
      <c r="M2583" s="12"/>
      <c r="N2583" s="15"/>
      <c r="O2583" s="1"/>
      <c r="Q2583" s="12"/>
      <c r="R2583" s="1"/>
    </row>
    <row r="2584" ht="12.75" customHeight="1">
      <c r="A2584" s="122">
        <f t="shared" si="372"/>
        <v>43833</v>
      </c>
      <c r="B2584" s="12"/>
      <c r="C2584" s="1"/>
      <c r="D2584" s="1"/>
      <c r="E2584" s="12"/>
      <c r="F2584" s="7"/>
      <c r="G2584" s="7"/>
      <c r="H2584" s="1"/>
      <c r="I2584" s="1"/>
      <c r="J2584" s="1"/>
      <c r="K2584" s="1"/>
      <c r="L2584" s="12"/>
      <c r="M2584" s="12"/>
      <c r="N2584" s="15"/>
      <c r="O2584" s="1"/>
      <c r="Q2584" s="12"/>
      <c r="R2584" s="1"/>
    </row>
    <row r="2585" ht="12.75" customHeight="1">
      <c r="A2585" s="122">
        <f t="shared" si="372"/>
        <v>43834</v>
      </c>
      <c r="B2585" s="12"/>
      <c r="C2585" s="1"/>
      <c r="D2585" s="1"/>
      <c r="E2585" s="12"/>
      <c r="F2585" s="7"/>
      <c r="G2585" s="7"/>
      <c r="H2585" s="1"/>
      <c r="I2585" s="1"/>
      <c r="J2585" s="1"/>
      <c r="K2585" s="1"/>
      <c r="L2585" s="12"/>
      <c r="M2585" s="12"/>
      <c r="N2585" s="15"/>
      <c r="O2585" s="1"/>
      <c r="Q2585" s="12"/>
      <c r="R2585" s="1"/>
    </row>
    <row r="2586" ht="12.75" customHeight="1">
      <c r="A2586" s="122">
        <f t="shared" si="372"/>
        <v>43835</v>
      </c>
      <c r="B2586" s="12"/>
      <c r="C2586" s="1"/>
      <c r="D2586" s="1"/>
      <c r="E2586" s="12"/>
      <c r="F2586" s="7"/>
      <c r="G2586" s="7"/>
      <c r="H2586" s="1"/>
      <c r="I2586" s="1"/>
      <c r="J2586" s="1"/>
      <c r="K2586" s="1"/>
      <c r="L2586" s="12"/>
      <c r="M2586" s="12"/>
      <c r="N2586" s="15"/>
      <c r="O2586" s="1"/>
      <c r="Q2586" s="12"/>
      <c r="R2586" s="1"/>
    </row>
    <row r="2587" ht="12.75" customHeight="1">
      <c r="A2587" s="122">
        <f t="shared" si="372"/>
        <v>43836</v>
      </c>
      <c r="B2587" s="12"/>
      <c r="C2587" s="1"/>
      <c r="D2587" s="1"/>
      <c r="E2587" s="12"/>
      <c r="F2587" s="7"/>
      <c r="G2587" s="7"/>
      <c r="H2587" s="1"/>
      <c r="I2587" s="1"/>
      <c r="J2587" s="1"/>
      <c r="K2587" s="1"/>
      <c r="L2587" s="12"/>
      <c r="M2587" s="12"/>
      <c r="N2587" s="15"/>
      <c r="O2587" s="1"/>
      <c r="Q2587" s="12"/>
      <c r="R2587" s="1"/>
    </row>
    <row r="2588" ht="12.75" customHeight="1">
      <c r="A2588" s="122">
        <f t="shared" si="372"/>
        <v>43837</v>
      </c>
      <c r="B2588" s="12"/>
      <c r="C2588" s="1"/>
      <c r="D2588" s="1"/>
      <c r="E2588" s="12"/>
      <c r="F2588" s="7"/>
      <c r="G2588" s="7"/>
      <c r="H2588" s="1"/>
      <c r="I2588" s="1"/>
      <c r="J2588" s="1"/>
      <c r="K2588" s="1"/>
      <c r="L2588" s="12"/>
      <c r="M2588" s="12"/>
      <c r="N2588" s="15"/>
      <c r="O2588" s="1"/>
      <c r="Q2588" s="12"/>
      <c r="R2588" s="1"/>
    </row>
    <row r="2589" ht="12.75" customHeight="1">
      <c r="A2589" s="122">
        <f t="shared" si="372"/>
        <v>43838</v>
      </c>
      <c r="B2589" s="12"/>
      <c r="C2589" s="1"/>
      <c r="D2589" s="1"/>
      <c r="E2589" s="12"/>
      <c r="F2589" s="7"/>
      <c r="G2589" s="7"/>
      <c r="H2589" s="1"/>
      <c r="I2589" s="1"/>
      <c r="J2589" s="1"/>
      <c r="K2589" s="1"/>
      <c r="L2589" s="12"/>
      <c r="M2589" s="12"/>
      <c r="N2589" s="15"/>
      <c r="O2589" s="1"/>
      <c r="Q2589" s="12"/>
      <c r="R2589" s="1"/>
    </row>
    <row r="2590" ht="12.75" customHeight="1">
      <c r="A2590" s="122">
        <f t="shared" si="372"/>
        <v>43839</v>
      </c>
      <c r="B2590" s="12"/>
      <c r="C2590" s="1"/>
      <c r="D2590" s="1"/>
      <c r="E2590" s="12"/>
      <c r="F2590" s="7"/>
      <c r="G2590" s="7"/>
      <c r="H2590" s="1"/>
      <c r="I2590" s="1"/>
      <c r="J2590" s="1"/>
      <c r="K2590" s="1"/>
      <c r="L2590" s="12"/>
      <c r="M2590" s="12"/>
      <c r="N2590" s="15"/>
      <c r="O2590" s="1"/>
      <c r="Q2590" s="12"/>
      <c r="R2590" s="1"/>
    </row>
    <row r="2591" ht="12.75" customHeight="1">
      <c r="A2591" s="122">
        <f t="shared" si="372"/>
        <v>43840</v>
      </c>
      <c r="B2591" s="12"/>
      <c r="C2591" s="1"/>
      <c r="D2591" s="1"/>
      <c r="E2591" s="12"/>
      <c r="F2591" s="7"/>
      <c r="G2591" s="7"/>
      <c r="H2591" s="1"/>
      <c r="I2591" s="1"/>
      <c r="J2591" s="1"/>
      <c r="K2591" s="1"/>
      <c r="L2591" s="12"/>
      <c r="M2591" s="12"/>
      <c r="N2591" s="15"/>
      <c r="O2591" s="1"/>
      <c r="Q2591" s="12"/>
      <c r="R2591" s="1"/>
    </row>
    <row r="2592" ht="12.75" customHeight="1">
      <c r="A2592" s="122">
        <f t="shared" si="372"/>
        <v>43841</v>
      </c>
      <c r="B2592" s="12"/>
      <c r="C2592" s="1"/>
      <c r="D2592" s="1"/>
      <c r="E2592" s="12"/>
      <c r="F2592" s="7"/>
      <c r="G2592" s="7"/>
      <c r="H2592" s="1"/>
      <c r="I2592" s="1"/>
      <c r="J2592" s="1"/>
      <c r="K2592" s="1"/>
      <c r="L2592" s="12"/>
      <c r="M2592" s="12"/>
      <c r="N2592" s="15"/>
      <c r="O2592" s="1"/>
      <c r="Q2592" s="12"/>
      <c r="R2592" s="1"/>
    </row>
    <row r="2593" ht="12.75" customHeight="1">
      <c r="A2593" s="122">
        <f t="shared" si="372"/>
        <v>43842</v>
      </c>
      <c r="B2593" s="12"/>
      <c r="C2593" s="1"/>
      <c r="D2593" s="1"/>
      <c r="E2593" s="12"/>
      <c r="F2593" s="7"/>
      <c r="G2593" s="7"/>
      <c r="H2593" s="1"/>
      <c r="I2593" s="1"/>
      <c r="J2593" s="1"/>
      <c r="K2593" s="1"/>
      <c r="L2593" s="12"/>
      <c r="M2593" s="12"/>
      <c r="N2593" s="15"/>
      <c r="O2593" s="1"/>
      <c r="Q2593" s="12"/>
      <c r="R2593" s="1"/>
    </row>
    <row r="2594" ht="12.75" customHeight="1">
      <c r="A2594" s="122">
        <f t="shared" si="372"/>
        <v>43843</v>
      </c>
      <c r="B2594" s="12"/>
      <c r="C2594" s="1"/>
      <c r="D2594" s="1"/>
      <c r="E2594" s="12"/>
      <c r="F2594" s="7"/>
      <c r="G2594" s="7"/>
      <c r="H2594" s="1"/>
      <c r="I2594" s="1"/>
      <c r="J2594" s="1"/>
      <c r="K2594" s="1"/>
      <c r="L2594" s="12"/>
      <c r="M2594" s="12"/>
      <c r="N2594" s="15"/>
      <c r="O2594" s="1"/>
      <c r="Q2594" s="12"/>
      <c r="R2594" s="1"/>
    </row>
    <row r="2595" ht="12.75" customHeight="1">
      <c r="A2595" s="122">
        <f t="shared" si="372"/>
        <v>43844</v>
      </c>
      <c r="B2595" s="12"/>
      <c r="C2595" s="1"/>
      <c r="D2595" s="1"/>
      <c r="E2595" s="12"/>
      <c r="F2595" s="7"/>
      <c r="G2595" s="7"/>
      <c r="H2595" s="1"/>
      <c r="I2595" s="1"/>
      <c r="J2595" s="1"/>
      <c r="K2595" s="1"/>
      <c r="L2595" s="12"/>
      <c r="M2595" s="12"/>
      <c r="N2595" s="15"/>
      <c r="O2595" s="1"/>
      <c r="Q2595" s="12"/>
      <c r="R2595" s="1"/>
    </row>
    <row r="2596" ht="12.75" customHeight="1">
      <c r="A2596" s="122">
        <f t="shared" si="372"/>
        <v>43845</v>
      </c>
      <c r="B2596" s="12"/>
      <c r="C2596" s="1"/>
      <c r="D2596" s="1"/>
      <c r="E2596" s="12"/>
      <c r="F2596" s="7"/>
      <c r="G2596" s="7"/>
      <c r="H2596" s="1"/>
      <c r="I2596" s="1"/>
      <c r="J2596" s="1"/>
      <c r="K2596" s="1"/>
      <c r="L2596" s="12"/>
      <c r="M2596" s="12"/>
      <c r="N2596" s="15"/>
      <c r="O2596" s="1"/>
      <c r="Q2596" s="12"/>
      <c r="R2596" s="1"/>
    </row>
    <row r="2597" ht="12.75" customHeight="1">
      <c r="A2597" s="122">
        <f t="shared" si="372"/>
        <v>43846</v>
      </c>
      <c r="B2597" s="12"/>
      <c r="C2597" s="1"/>
      <c r="D2597" s="1"/>
      <c r="E2597" s="12"/>
      <c r="F2597" s="7"/>
      <c r="G2597" s="7"/>
      <c r="H2597" s="1"/>
      <c r="I2597" s="1"/>
      <c r="J2597" s="1"/>
      <c r="K2597" s="1"/>
      <c r="L2597" s="12"/>
      <c r="M2597" s="12"/>
      <c r="N2597" s="15"/>
      <c r="O2597" s="1"/>
      <c r="Q2597" s="12"/>
      <c r="R2597" s="1"/>
    </row>
    <row r="2598" ht="12.75" customHeight="1">
      <c r="A2598" s="122">
        <f t="shared" si="372"/>
        <v>43847</v>
      </c>
      <c r="B2598" s="12"/>
      <c r="C2598" s="1"/>
      <c r="D2598" s="1"/>
      <c r="E2598" s="12"/>
      <c r="F2598" s="7"/>
      <c r="G2598" s="7"/>
      <c r="H2598" s="1"/>
      <c r="I2598" s="1"/>
      <c r="J2598" s="1"/>
      <c r="K2598" s="1"/>
      <c r="L2598" s="12"/>
      <c r="M2598" s="12"/>
      <c r="N2598" s="15"/>
      <c r="O2598" s="1"/>
      <c r="Q2598" s="12"/>
      <c r="R2598" s="1"/>
    </row>
    <row r="2599" ht="12.75" customHeight="1">
      <c r="A2599" s="122">
        <f t="shared" si="372"/>
        <v>43848</v>
      </c>
      <c r="B2599" s="12"/>
      <c r="C2599" s="1"/>
      <c r="D2599" s="1"/>
      <c r="E2599" s="12"/>
      <c r="F2599" s="7"/>
      <c r="G2599" s="7"/>
      <c r="H2599" s="1"/>
      <c r="I2599" s="1"/>
      <c r="J2599" s="1"/>
      <c r="K2599" s="1"/>
      <c r="L2599" s="12"/>
      <c r="M2599" s="12"/>
      <c r="N2599" s="15"/>
      <c r="O2599" s="1"/>
      <c r="Q2599" s="12"/>
      <c r="R2599" s="1"/>
    </row>
    <row r="2600" ht="12.75" customHeight="1">
      <c r="A2600" s="122">
        <f t="shared" si="372"/>
        <v>43849</v>
      </c>
      <c r="B2600" s="12"/>
      <c r="C2600" s="1"/>
      <c r="D2600" s="1"/>
      <c r="E2600" s="12"/>
      <c r="F2600" s="7"/>
      <c r="G2600" s="7"/>
      <c r="H2600" s="1"/>
      <c r="I2600" s="1"/>
      <c r="J2600" s="1"/>
      <c r="K2600" s="1"/>
      <c r="L2600" s="12"/>
      <c r="M2600" s="12"/>
      <c r="N2600" s="15"/>
      <c r="O2600" s="1"/>
      <c r="Q2600" s="12"/>
      <c r="R2600" s="1"/>
    </row>
    <row r="2601" ht="12.75" customHeight="1">
      <c r="A2601" s="122">
        <f t="shared" si="372"/>
        <v>43850</v>
      </c>
      <c r="B2601" s="12"/>
      <c r="C2601" s="1"/>
      <c r="D2601" s="1"/>
      <c r="E2601" s="12"/>
      <c r="F2601" s="7"/>
      <c r="G2601" s="7"/>
      <c r="H2601" s="1"/>
      <c r="I2601" s="1"/>
      <c r="J2601" s="1"/>
      <c r="K2601" s="1"/>
      <c r="L2601" s="12"/>
      <c r="M2601" s="12"/>
      <c r="N2601" s="15"/>
      <c r="O2601" s="1"/>
      <c r="Q2601" s="12"/>
      <c r="R2601" s="1"/>
    </row>
    <row r="2602" ht="12.75" customHeight="1">
      <c r="A2602" s="122">
        <f t="shared" si="372"/>
        <v>43851</v>
      </c>
      <c r="B2602" s="12"/>
      <c r="C2602" s="1"/>
      <c r="D2602" s="1"/>
      <c r="E2602" s="12"/>
      <c r="F2602" s="7"/>
      <c r="G2602" s="7"/>
      <c r="H2602" s="1"/>
      <c r="I2602" s="1"/>
      <c r="J2602" s="1"/>
      <c r="K2602" s="1"/>
      <c r="L2602" s="12"/>
      <c r="M2602" s="12"/>
      <c r="N2602" s="15"/>
      <c r="O2602" s="1"/>
      <c r="Q2602" s="12"/>
      <c r="R2602" s="1"/>
    </row>
    <row r="2603" ht="12.75" customHeight="1">
      <c r="A2603" s="122">
        <f t="shared" si="372"/>
        <v>43852</v>
      </c>
      <c r="B2603" s="12"/>
      <c r="C2603" s="1"/>
      <c r="D2603" s="1"/>
      <c r="E2603" s="12"/>
      <c r="F2603" s="7"/>
      <c r="G2603" s="7"/>
      <c r="H2603" s="1"/>
      <c r="I2603" s="1"/>
      <c r="J2603" s="1"/>
      <c r="K2603" s="1"/>
      <c r="L2603" s="12"/>
      <c r="M2603" s="12"/>
      <c r="N2603" s="15"/>
      <c r="O2603" s="1"/>
      <c r="Q2603" s="12"/>
      <c r="R2603" s="1"/>
    </row>
    <row r="2604" ht="12.75" customHeight="1">
      <c r="A2604" s="122">
        <f t="shared" si="372"/>
        <v>43853</v>
      </c>
      <c r="B2604" s="12"/>
      <c r="C2604" s="1"/>
      <c r="D2604" s="1"/>
      <c r="E2604" s="12"/>
      <c r="F2604" s="7"/>
      <c r="G2604" s="7"/>
      <c r="H2604" s="1"/>
      <c r="I2604" s="1"/>
      <c r="J2604" s="1"/>
      <c r="K2604" s="1"/>
      <c r="L2604" s="12"/>
      <c r="M2604" s="12"/>
      <c r="N2604" s="15"/>
      <c r="O2604" s="1"/>
      <c r="Q2604" s="12"/>
      <c r="R2604" s="1"/>
    </row>
    <row r="2605" ht="12.75" customHeight="1">
      <c r="A2605" s="122">
        <f t="shared" si="372"/>
        <v>43854</v>
      </c>
      <c r="B2605" s="12"/>
      <c r="C2605" s="1"/>
      <c r="D2605" s="1"/>
      <c r="E2605" s="12"/>
      <c r="F2605" s="7"/>
      <c r="G2605" s="7"/>
      <c r="H2605" s="1"/>
      <c r="I2605" s="1"/>
      <c r="J2605" s="1"/>
      <c r="K2605" s="1"/>
      <c r="L2605" s="12"/>
      <c r="M2605" s="12"/>
      <c r="N2605" s="15"/>
      <c r="O2605" s="1"/>
      <c r="Q2605" s="12"/>
      <c r="R2605" s="1"/>
    </row>
    <row r="2606" ht="12.75" customHeight="1">
      <c r="A2606" s="122">
        <f t="shared" si="372"/>
        <v>43855</v>
      </c>
      <c r="B2606" s="12"/>
      <c r="C2606" s="1"/>
      <c r="D2606" s="1"/>
      <c r="E2606" s="12"/>
      <c r="F2606" s="7"/>
      <c r="G2606" s="7"/>
      <c r="H2606" s="1"/>
      <c r="I2606" s="1"/>
      <c r="J2606" s="1"/>
      <c r="K2606" s="1"/>
      <c r="L2606" s="12"/>
      <c r="M2606" s="12"/>
      <c r="N2606" s="15"/>
      <c r="O2606" s="1"/>
      <c r="Q2606" s="12"/>
      <c r="R2606" s="1"/>
    </row>
    <row r="2607" ht="12.75" customHeight="1">
      <c r="A2607" s="122">
        <f t="shared" si="372"/>
        <v>43856</v>
      </c>
      <c r="B2607" s="12"/>
      <c r="C2607" s="1"/>
      <c r="D2607" s="1"/>
      <c r="E2607" s="12"/>
      <c r="F2607" s="7"/>
      <c r="G2607" s="7"/>
      <c r="H2607" s="1"/>
      <c r="I2607" s="1"/>
      <c r="J2607" s="1"/>
      <c r="K2607" s="1"/>
      <c r="L2607" s="12"/>
      <c r="M2607" s="12"/>
      <c r="N2607" s="15"/>
      <c r="O2607" s="1"/>
      <c r="Q2607" s="12"/>
      <c r="R2607" s="1"/>
    </row>
    <row r="2608" ht="12.75" customHeight="1">
      <c r="A2608" s="122">
        <f t="shared" si="372"/>
        <v>43857</v>
      </c>
      <c r="B2608" s="12"/>
      <c r="C2608" s="1"/>
      <c r="D2608" s="1"/>
      <c r="E2608" s="12"/>
      <c r="F2608" s="7"/>
      <c r="G2608" s="7"/>
      <c r="H2608" s="1"/>
      <c r="I2608" s="1"/>
      <c r="J2608" s="1"/>
      <c r="K2608" s="1"/>
      <c r="L2608" s="12"/>
      <c r="M2608" s="12"/>
      <c r="N2608" s="15"/>
      <c r="O2608" s="1"/>
      <c r="Q2608" s="12"/>
      <c r="R2608" s="1"/>
    </row>
    <row r="2609" ht="12.75" customHeight="1">
      <c r="A2609" s="122">
        <f t="shared" si="372"/>
        <v>43858</v>
      </c>
      <c r="B2609" s="12"/>
      <c r="C2609" s="1"/>
      <c r="D2609" s="1"/>
      <c r="E2609" s="12"/>
      <c r="F2609" s="7"/>
      <c r="G2609" s="7"/>
      <c r="H2609" s="1"/>
      <c r="I2609" s="1"/>
      <c r="J2609" s="1"/>
      <c r="K2609" s="1"/>
      <c r="L2609" s="12"/>
      <c r="M2609" s="12"/>
      <c r="N2609" s="15"/>
      <c r="O2609" s="1"/>
      <c r="Q2609" s="12"/>
      <c r="R2609" s="1"/>
    </row>
    <row r="2610" ht="12.75" customHeight="1">
      <c r="A2610" s="122">
        <f t="shared" si="372"/>
        <v>43859</v>
      </c>
      <c r="B2610" s="12"/>
      <c r="C2610" s="1"/>
      <c r="D2610" s="1"/>
      <c r="E2610" s="12"/>
      <c r="F2610" s="7"/>
      <c r="G2610" s="7"/>
      <c r="H2610" s="1"/>
      <c r="I2610" s="1"/>
      <c r="J2610" s="1"/>
      <c r="K2610" s="1"/>
      <c r="L2610" s="12"/>
      <c r="M2610" s="12"/>
      <c r="N2610" s="15"/>
      <c r="O2610" s="1"/>
      <c r="Q2610" s="12"/>
      <c r="R2610" s="1"/>
    </row>
    <row r="2611" ht="12.75" customHeight="1">
      <c r="A2611" s="122">
        <f t="shared" si="372"/>
        <v>43860</v>
      </c>
      <c r="B2611" s="12"/>
      <c r="C2611" s="1"/>
      <c r="D2611" s="1"/>
      <c r="E2611" s="12"/>
      <c r="F2611" s="7"/>
      <c r="G2611" s="7"/>
      <c r="H2611" s="1"/>
      <c r="I2611" s="1"/>
      <c r="J2611" s="1"/>
      <c r="K2611" s="1"/>
      <c r="L2611" s="12"/>
      <c r="M2611" s="12"/>
      <c r="N2611" s="15"/>
      <c r="O2611" s="1"/>
      <c r="Q2611" s="12"/>
      <c r="R2611" s="1"/>
    </row>
    <row r="2612" ht="12.75" customHeight="1">
      <c r="A2612" s="122">
        <f t="shared" si="372"/>
        <v>43861</v>
      </c>
      <c r="B2612" s="12"/>
      <c r="C2612" s="1"/>
      <c r="D2612" s="1"/>
      <c r="E2612" s="12"/>
      <c r="F2612" s="7"/>
      <c r="G2612" s="7"/>
      <c r="H2612" s="1"/>
      <c r="I2612" s="1"/>
      <c r="J2612" s="1"/>
      <c r="K2612" s="1"/>
      <c r="L2612" s="12"/>
      <c r="M2612" s="12"/>
      <c r="N2612" s="15"/>
      <c r="O2612" s="1"/>
      <c r="Q2612" s="12"/>
      <c r="R2612" s="1"/>
    </row>
    <row r="2613" ht="12.75" customHeight="1">
      <c r="A2613" s="122">
        <f t="shared" si="372"/>
        <v>43862</v>
      </c>
      <c r="B2613" s="12"/>
      <c r="C2613" s="1"/>
      <c r="D2613" s="1"/>
      <c r="E2613" s="12"/>
      <c r="F2613" s="7"/>
      <c r="G2613" s="7"/>
      <c r="H2613" s="1"/>
      <c r="I2613" s="1"/>
      <c r="J2613" s="1"/>
      <c r="K2613" s="1"/>
      <c r="L2613" s="12"/>
      <c r="M2613" s="12"/>
      <c r="N2613" s="15"/>
      <c r="O2613" s="1"/>
      <c r="Q2613" s="12"/>
      <c r="R2613" s="1"/>
    </row>
    <row r="2614" ht="12.75" customHeight="1">
      <c r="A2614" s="122">
        <f t="shared" si="372"/>
        <v>43863</v>
      </c>
      <c r="B2614" s="12"/>
      <c r="C2614" s="1"/>
      <c r="D2614" s="1"/>
      <c r="E2614" s="12"/>
      <c r="F2614" s="7"/>
      <c r="G2614" s="7"/>
      <c r="H2614" s="1"/>
      <c r="I2614" s="1"/>
      <c r="J2614" s="1"/>
      <c r="K2614" s="1"/>
      <c r="L2614" s="12"/>
      <c r="M2614" s="12"/>
      <c r="N2614" s="15"/>
      <c r="O2614" s="1"/>
      <c r="Q2614" s="12"/>
      <c r="R2614" s="1"/>
    </row>
    <row r="2615" ht="12.75" customHeight="1">
      <c r="A2615" s="122">
        <f t="shared" si="372"/>
        <v>43864</v>
      </c>
      <c r="B2615" s="12"/>
      <c r="C2615" s="1"/>
      <c r="D2615" s="1"/>
      <c r="E2615" s="12"/>
      <c r="F2615" s="7"/>
      <c r="G2615" s="7"/>
      <c r="H2615" s="1"/>
      <c r="I2615" s="1"/>
      <c r="J2615" s="1"/>
      <c r="K2615" s="1"/>
      <c r="L2615" s="12"/>
      <c r="M2615" s="12"/>
      <c r="N2615" s="15"/>
      <c r="O2615" s="1"/>
      <c r="Q2615" s="12"/>
      <c r="R2615" s="1"/>
    </row>
    <row r="2616" ht="12.75" customHeight="1">
      <c r="A2616" s="122">
        <f t="shared" si="372"/>
        <v>43865</v>
      </c>
      <c r="B2616" s="12"/>
      <c r="C2616" s="1"/>
      <c r="D2616" s="1"/>
      <c r="E2616" s="12"/>
      <c r="F2616" s="7"/>
      <c r="G2616" s="7"/>
      <c r="H2616" s="1"/>
      <c r="I2616" s="1"/>
      <c r="J2616" s="1"/>
      <c r="K2616" s="1"/>
      <c r="L2616" s="12"/>
      <c r="M2616" s="12"/>
      <c r="N2616" s="15"/>
      <c r="O2616" s="1"/>
      <c r="Q2616" s="12"/>
      <c r="R2616" s="1"/>
    </row>
    <row r="2617" ht="12.75" customHeight="1">
      <c r="A2617" s="122">
        <f t="shared" si="372"/>
        <v>43866</v>
      </c>
      <c r="B2617" s="12"/>
      <c r="C2617" s="1"/>
      <c r="D2617" s="1"/>
      <c r="E2617" s="12"/>
      <c r="F2617" s="7"/>
      <c r="G2617" s="7"/>
      <c r="H2617" s="1"/>
      <c r="I2617" s="1"/>
      <c r="J2617" s="1"/>
      <c r="K2617" s="1"/>
      <c r="L2617" s="12"/>
      <c r="M2617" s="12"/>
      <c r="N2617" s="15"/>
      <c r="O2617" s="1"/>
      <c r="Q2617" s="12"/>
      <c r="R2617" s="1"/>
    </row>
    <row r="2618" ht="12.75" customHeight="1">
      <c r="A2618" s="122">
        <f t="shared" si="372"/>
        <v>43867</v>
      </c>
      <c r="B2618" s="12"/>
      <c r="C2618" s="1"/>
      <c r="D2618" s="1"/>
      <c r="E2618" s="12"/>
      <c r="F2618" s="7"/>
      <c r="G2618" s="7"/>
      <c r="H2618" s="1"/>
      <c r="I2618" s="1"/>
      <c r="J2618" s="1"/>
      <c r="K2618" s="1"/>
      <c r="L2618" s="12"/>
      <c r="M2618" s="12"/>
      <c r="N2618" s="15"/>
      <c r="O2618" s="1"/>
      <c r="Q2618" s="12"/>
      <c r="R2618" s="1"/>
    </row>
    <row r="2619" ht="12.75" customHeight="1">
      <c r="A2619" s="122">
        <f t="shared" si="372"/>
        <v>43868</v>
      </c>
      <c r="B2619" s="12"/>
      <c r="C2619" s="1"/>
      <c r="D2619" s="1"/>
      <c r="E2619" s="12"/>
      <c r="F2619" s="7"/>
      <c r="G2619" s="7"/>
      <c r="H2619" s="1"/>
      <c r="I2619" s="1"/>
      <c r="J2619" s="1"/>
      <c r="K2619" s="1"/>
      <c r="L2619" s="12"/>
      <c r="M2619" s="12"/>
      <c r="N2619" s="15"/>
      <c r="O2619" s="1"/>
      <c r="Q2619" s="12"/>
      <c r="R2619" s="1"/>
    </row>
    <row r="2620" ht="12.75" customHeight="1">
      <c r="A2620" s="122">
        <f t="shared" si="372"/>
        <v>43869</v>
      </c>
      <c r="B2620" s="12"/>
      <c r="C2620" s="1"/>
      <c r="D2620" s="1"/>
      <c r="E2620" s="12"/>
      <c r="F2620" s="7"/>
      <c r="G2620" s="7"/>
      <c r="H2620" s="1"/>
      <c r="I2620" s="1"/>
      <c r="J2620" s="1"/>
      <c r="K2620" s="1"/>
      <c r="L2620" s="12"/>
      <c r="M2620" s="12"/>
      <c r="N2620" s="15"/>
      <c r="O2620" s="1"/>
      <c r="Q2620" s="12"/>
      <c r="R2620" s="1"/>
    </row>
    <row r="2621" ht="12.75" customHeight="1">
      <c r="A2621" s="122">
        <f t="shared" si="372"/>
        <v>43870</v>
      </c>
      <c r="B2621" s="12"/>
      <c r="C2621" s="1"/>
      <c r="D2621" s="1"/>
      <c r="E2621" s="12"/>
      <c r="F2621" s="7"/>
      <c r="G2621" s="7"/>
      <c r="H2621" s="1"/>
      <c r="I2621" s="1"/>
      <c r="J2621" s="1"/>
      <c r="K2621" s="1"/>
      <c r="L2621" s="12"/>
      <c r="M2621" s="12"/>
      <c r="N2621" s="15"/>
      <c r="O2621" s="1"/>
      <c r="Q2621" s="12"/>
      <c r="R2621" s="1"/>
    </row>
    <row r="2622" ht="12.75" customHeight="1">
      <c r="A2622" s="122">
        <f t="shared" si="372"/>
        <v>43871</v>
      </c>
      <c r="B2622" s="12"/>
      <c r="C2622" s="1"/>
      <c r="D2622" s="1"/>
      <c r="E2622" s="12"/>
      <c r="F2622" s="7"/>
      <c r="G2622" s="7"/>
      <c r="H2622" s="1"/>
      <c r="I2622" s="1"/>
      <c r="J2622" s="1"/>
      <c r="K2622" s="1"/>
      <c r="L2622" s="12"/>
      <c r="M2622" s="12"/>
      <c r="N2622" s="15"/>
      <c r="O2622" s="1"/>
      <c r="Q2622" s="12"/>
      <c r="R2622" s="1"/>
    </row>
    <row r="2623" ht="12.75" customHeight="1">
      <c r="A2623" s="122">
        <f t="shared" si="372"/>
        <v>43872</v>
      </c>
      <c r="B2623" s="12"/>
      <c r="C2623" s="1"/>
      <c r="D2623" s="1"/>
      <c r="E2623" s="12"/>
      <c r="F2623" s="7"/>
      <c r="G2623" s="7"/>
      <c r="H2623" s="1"/>
      <c r="I2623" s="1"/>
      <c r="J2623" s="1"/>
      <c r="K2623" s="1"/>
      <c r="L2623" s="12"/>
      <c r="M2623" s="12"/>
      <c r="N2623" s="15"/>
      <c r="O2623" s="1"/>
      <c r="Q2623" s="12"/>
      <c r="R2623" s="1"/>
    </row>
    <row r="2624" ht="12.75" customHeight="1">
      <c r="A2624" s="122">
        <f t="shared" si="372"/>
        <v>43873</v>
      </c>
      <c r="B2624" s="12"/>
      <c r="C2624" s="1"/>
      <c r="D2624" s="1"/>
      <c r="E2624" s="12"/>
      <c r="F2624" s="7"/>
      <c r="G2624" s="7"/>
      <c r="H2624" s="1"/>
      <c r="I2624" s="1"/>
      <c r="J2624" s="1"/>
      <c r="K2624" s="1"/>
      <c r="L2624" s="12"/>
      <c r="M2624" s="12"/>
      <c r="N2624" s="15"/>
      <c r="O2624" s="1"/>
      <c r="Q2624" s="12"/>
      <c r="R2624" s="1"/>
    </row>
    <row r="2625" ht="12.75" customHeight="1">
      <c r="A2625" s="122">
        <f t="shared" si="372"/>
        <v>43874</v>
      </c>
      <c r="B2625" s="12"/>
      <c r="C2625" s="1"/>
      <c r="D2625" s="1"/>
      <c r="E2625" s="12"/>
      <c r="F2625" s="7"/>
      <c r="G2625" s="7"/>
      <c r="H2625" s="1"/>
      <c r="I2625" s="1"/>
      <c r="J2625" s="1"/>
      <c r="K2625" s="1"/>
      <c r="L2625" s="12"/>
      <c r="M2625" s="12"/>
      <c r="N2625" s="15"/>
      <c r="O2625" s="1"/>
      <c r="Q2625" s="12"/>
      <c r="R2625" s="1"/>
    </row>
    <row r="2626" ht="12.75" customHeight="1">
      <c r="A2626" s="122">
        <f t="shared" si="372"/>
        <v>43875</v>
      </c>
      <c r="B2626" s="12"/>
      <c r="C2626" s="1"/>
      <c r="D2626" s="1"/>
      <c r="E2626" s="12"/>
      <c r="F2626" s="7"/>
      <c r="G2626" s="7"/>
      <c r="H2626" s="1"/>
      <c r="I2626" s="1"/>
      <c r="J2626" s="1"/>
      <c r="K2626" s="1"/>
      <c r="L2626" s="12"/>
      <c r="M2626" s="12"/>
      <c r="N2626" s="15"/>
      <c r="O2626" s="1"/>
      <c r="Q2626" s="12"/>
      <c r="R2626" s="1"/>
    </row>
    <row r="2627" ht="12.75" customHeight="1">
      <c r="A2627" s="122">
        <f t="shared" si="372"/>
        <v>43876</v>
      </c>
      <c r="B2627" s="12"/>
      <c r="C2627" s="1"/>
      <c r="D2627" s="1"/>
      <c r="E2627" s="12"/>
      <c r="F2627" s="7"/>
      <c r="G2627" s="7"/>
      <c r="H2627" s="1"/>
      <c r="I2627" s="1"/>
      <c r="J2627" s="1"/>
      <c r="K2627" s="1"/>
      <c r="L2627" s="12"/>
      <c r="M2627" s="12"/>
      <c r="N2627" s="15"/>
      <c r="O2627" s="1"/>
      <c r="Q2627" s="12"/>
      <c r="R2627" s="1"/>
    </row>
    <row r="2628" ht="12.75" customHeight="1">
      <c r="A2628" s="122">
        <f t="shared" si="372"/>
        <v>43877</v>
      </c>
      <c r="B2628" s="12"/>
      <c r="C2628" s="1"/>
      <c r="D2628" s="1"/>
      <c r="E2628" s="12"/>
      <c r="F2628" s="7"/>
      <c r="G2628" s="7"/>
      <c r="H2628" s="1"/>
      <c r="I2628" s="1"/>
      <c r="J2628" s="1"/>
      <c r="K2628" s="1"/>
      <c r="L2628" s="12"/>
      <c r="M2628" s="12"/>
      <c r="N2628" s="15"/>
      <c r="O2628" s="1"/>
      <c r="Q2628" s="12"/>
      <c r="R2628" s="1"/>
    </row>
    <row r="2629" ht="12.75" customHeight="1">
      <c r="A2629" s="122">
        <f t="shared" si="372"/>
        <v>43878</v>
      </c>
      <c r="B2629" s="12"/>
      <c r="C2629" s="1"/>
      <c r="D2629" s="1"/>
      <c r="E2629" s="12"/>
      <c r="F2629" s="7"/>
      <c r="G2629" s="7"/>
      <c r="H2629" s="1"/>
      <c r="I2629" s="1"/>
      <c r="J2629" s="1"/>
      <c r="K2629" s="1"/>
      <c r="L2629" s="12"/>
      <c r="M2629" s="12"/>
      <c r="N2629" s="15"/>
      <c r="O2629" s="1"/>
      <c r="Q2629" s="12"/>
      <c r="R2629" s="1"/>
    </row>
    <row r="2630" ht="12.75" customHeight="1">
      <c r="A2630" s="122">
        <f t="shared" si="372"/>
        <v>43879</v>
      </c>
      <c r="B2630" s="12"/>
      <c r="C2630" s="1"/>
      <c r="D2630" s="1"/>
      <c r="E2630" s="12"/>
      <c r="F2630" s="7"/>
      <c r="G2630" s="7"/>
      <c r="H2630" s="1"/>
      <c r="I2630" s="1"/>
      <c r="J2630" s="1"/>
      <c r="K2630" s="1"/>
      <c r="L2630" s="12"/>
      <c r="M2630" s="12"/>
      <c r="N2630" s="15"/>
      <c r="O2630" s="1"/>
      <c r="Q2630" s="12"/>
      <c r="R2630" s="1"/>
    </row>
    <row r="2631" ht="12.75" customHeight="1">
      <c r="A2631" s="122">
        <f t="shared" si="372"/>
        <v>43880</v>
      </c>
      <c r="B2631" s="12"/>
      <c r="C2631" s="1"/>
      <c r="D2631" s="1"/>
      <c r="E2631" s="12"/>
      <c r="F2631" s="7"/>
      <c r="G2631" s="7"/>
      <c r="H2631" s="1"/>
      <c r="I2631" s="1"/>
      <c r="J2631" s="1"/>
      <c r="K2631" s="1"/>
      <c r="L2631" s="12"/>
      <c r="M2631" s="12"/>
      <c r="N2631" s="15"/>
      <c r="O2631" s="1"/>
      <c r="Q2631" s="12"/>
      <c r="R2631" s="1"/>
    </row>
    <row r="2632" ht="12.75" customHeight="1">
      <c r="A2632" s="122">
        <f t="shared" si="372"/>
        <v>43881</v>
      </c>
      <c r="B2632" s="12"/>
      <c r="C2632" s="1"/>
      <c r="D2632" s="1"/>
      <c r="E2632" s="12"/>
      <c r="F2632" s="7"/>
      <c r="G2632" s="7"/>
      <c r="H2632" s="1"/>
      <c r="I2632" s="1"/>
      <c r="J2632" s="1"/>
      <c r="K2632" s="1"/>
      <c r="L2632" s="12"/>
      <c r="M2632" s="12"/>
      <c r="N2632" s="15"/>
      <c r="O2632" s="1"/>
      <c r="Q2632" s="12"/>
      <c r="R2632" s="1"/>
    </row>
    <row r="2633" ht="12.75" customHeight="1">
      <c r="A2633" s="122">
        <f t="shared" si="372"/>
        <v>43882</v>
      </c>
      <c r="B2633" s="12"/>
      <c r="C2633" s="1"/>
      <c r="D2633" s="1"/>
      <c r="E2633" s="12"/>
      <c r="F2633" s="7"/>
      <c r="G2633" s="7"/>
      <c r="H2633" s="1"/>
      <c r="I2633" s="1"/>
      <c r="J2633" s="1"/>
      <c r="K2633" s="1"/>
      <c r="L2633" s="12"/>
      <c r="M2633" s="12"/>
      <c r="N2633" s="15"/>
      <c r="O2633" s="1"/>
      <c r="Q2633" s="12"/>
      <c r="R2633" s="1"/>
    </row>
    <row r="2634" ht="12.75" customHeight="1">
      <c r="A2634" s="122">
        <f t="shared" si="372"/>
        <v>43883</v>
      </c>
      <c r="B2634" s="12"/>
      <c r="C2634" s="1"/>
      <c r="D2634" s="1"/>
      <c r="E2634" s="12"/>
      <c r="F2634" s="7"/>
      <c r="G2634" s="7"/>
      <c r="H2634" s="1"/>
      <c r="I2634" s="1"/>
      <c r="J2634" s="1"/>
      <c r="K2634" s="1"/>
      <c r="L2634" s="12"/>
      <c r="M2634" s="12"/>
      <c r="N2634" s="15"/>
      <c r="O2634" s="1"/>
      <c r="Q2634" s="12"/>
      <c r="R2634" s="1"/>
    </row>
    <row r="2635" ht="12.75" customHeight="1">
      <c r="A2635" s="122">
        <f t="shared" si="372"/>
        <v>43884</v>
      </c>
      <c r="B2635" s="12"/>
      <c r="C2635" s="1"/>
      <c r="D2635" s="1"/>
      <c r="E2635" s="12"/>
      <c r="F2635" s="7"/>
      <c r="G2635" s="7"/>
      <c r="H2635" s="1"/>
      <c r="I2635" s="1"/>
      <c r="J2635" s="1"/>
      <c r="K2635" s="1"/>
      <c r="L2635" s="12"/>
      <c r="M2635" s="12"/>
      <c r="N2635" s="15"/>
      <c r="O2635" s="1"/>
      <c r="Q2635" s="12"/>
      <c r="R2635" s="1"/>
    </row>
    <row r="2636" ht="12.75" customHeight="1">
      <c r="A2636" s="122">
        <f t="shared" si="372"/>
        <v>43885</v>
      </c>
      <c r="B2636" s="12"/>
      <c r="C2636" s="1"/>
      <c r="D2636" s="1"/>
      <c r="E2636" s="12"/>
      <c r="F2636" s="7"/>
      <c r="G2636" s="7"/>
      <c r="H2636" s="1"/>
      <c r="I2636" s="1"/>
      <c r="J2636" s="1"/>
      <c r="K2636" s="1"/>
      <c r="L2636" s="12"/>
      <c r="M2636" s="12"/>
      <c r="N2636" s="15"/>
      <c r="O2636" s="1"/>
      <c r="Q2636" s="12"/>
      <c r="R2636" s="1"/>
    </row>
    <row r="2637" ht="12.75" customHeight="1">
      <c r="A2637" s="122">
        <f t="shared" si="372"/>
        <v>43886</v>
      </c>
      <c r="B2637" s="12"/>
      <c r="C2637" s="1"/>
      <c r="D2637" s="1"/>
      <c r="E2637" s="12"/>
      <c r="F2637" s="7"/>
      <c r="G2637" s="7"/>
      <c r="H2637" s="1"/>
      <c r="I2637" s="1"/>
      <c r="J2637" s="1"/>
      <c r="K2637" s="1"/>
      <c r="L2637" s="12"/>
      <c r="M2637" s="12"/>
      <c r="N2637" s="15"/>
      <c r="O2637" s="1"/>
      <c r="Q2637" s="12"/>
      <c r="R2637" s="1"/>
    </row>
    <row r="2638" ht="12.75" customHeight="1">
      <c r="A2638" s="122">
        <f t="shared" si="372"/>
        <v>43887</v>
      </c>
      <c r="B2638" s="12"/>
      <c r="C2638" s="1"/>
      <c r="D2638" s="1"/>
      <c r="E2638" s="12"/>
      <c r="F2638" s="7"/>
      <c r="G2638" s="7"/>
      <c r="H2638" s="1"/>
      <c r="I2638" s="1"/>
      <c r="J2638" s="1"/>
      <c r="K2638" s="1"/>
      <c r="L2638" s="12"/>
      <c r="M2638" s="12"/>
      <c r="N2638" s="15"/>
      <c r="O2638" s="1"/>
      <c r="Q2638" s="12"/>
      <c r="R2638" s="1"/>
    </row>
    <row r="2639" ht="12.75" customHeight="1">
      <c r="A2639" s="122">
        <f t="shared" si="372"/>
        <v>43888</v>
      </c>
      <c r="B2639" s="12"/>
      <c r="C2639" s="1"/>
      <c r="D2639" s="1"/>
      <c r="E2639" s="12"/>
      <c r="F2639" s="7"/>
      <c r="G2639" s="7"/>
      <c r="H2639" s="1"/>
      <c r="I2639" s="1"/>
      <c r="J2639" s="1"/>
      <c r="K2639" s="1"/>
      <c r="L2639" s="12"/>
      <c r="M2639" s="12"/>
      <c r="N2639" s="15"/>
      <c r="O2639" s="1"/>
      <c r="Q2639" s="12"/>
      <c r="R2639" s="1"/>
    </row>
    <row r="2640" ht="12.75" customHeight="1">
      <c r="A2640" s="122">
        <f t="shared" si="372"/>
        <v>43889</v>
      </c>
      <c r="B2640" s="12"/>
      <c r="C2640" s="1"/>
      <c r="D2640" s="1"/>
      <c r="E2640" s="12"/>
      <c r="F2640" s="7"/>
      <c r="G2640" s="7"/>
      <c r="H2640" s="1"/>
      <c r="I2640" s="1"/>
      <c r="J2640" s="1"/>
      <c r="K2640" s="1"/>
      <c r="L2640" s="12"/>
      <c r="M2640" s="12"/>
      <c r="N2640" s="15"/>
      <c r="O2640" s="1"/>
      <c r="Q2640" s="12"/>
      <c r="R2640" s="1"/>
    </row>
    <row r="2641" ht="12.75" customHeight="1">
      <c r="A2641" s="122">
        <f t="shared" si="372"/>
        <v>43890</v>
      </c>
      <c r="B2641" s="12"/>
      <c r="C2641" s="1"/>
      <c r="D2641" s="1"/>
      <c r="E2641" s="12"/>
      <c r="F2641" s="7"/>
      <c r="G2641" s="7"/>
      <c r="H2641" s="1"/>
      <c r="I2641" s="1"/>
      <c r="J2641" s="1"/>
      <c r="K2641" s="1"/>
      <c r="L2641" s="12"/>
      <c r="M2641" s="12"/>
      <c r="N2641" s="15"/>
      <c r="O2641" s="1"/>
      <c r="Q2641" s="12"/>
      <c r="R2641" s="1"/>
    </row>
    <row r="2642" ht="12.75" customHeight="1">
      <c r="A2642" s="122">
        <f t="shared" si="372"/>
        <v>43891</v>
      </c>
      <c r="B2642" s="12"/>
      <c r="C2642" s="1"/>
      <c r="D2642" s="1"/>
      <c r="E2642" s="12"/>
      <c r="F2642" s="7"/>
      <c r="G2642" s="7"/>
      <c r="H2642" s="1"/>
      <c r="I2642" s="1"/>
      <c r="J2642" s="1"/>
      <c r="K2642" s="1"/>
      <c r="L2642" s="12"/>
      <c r="M2642" s="12"/>
      <c r="N2642" s="15"/>
      <c r="O2642" s="1"/>
      <c r="Q2642" s="12"/>
      <c r="R2642" s="1"/>
    </row>
    <row r="2643" ht="12.75" customHeight="1">
      <c r="A2643" s="122">
        <f t="shared" si="372"/>
        <v>43892</v>
      </c>
      <c r="B2643" s="12"/>
      <c r="C2643" s="1"/>
      <c r="D2643" s="1"/>
      <c r="E2643" s="12"/>
      <c r="F2643" s="7"/>
      <c r="G2643" s="7"/>
      <c r="H2643" s="1"/>
      <c r="I2643" s="1"/>
      <c r="J2643" s="1"/>
      <c r="K2643" s="1"/>
      <c r="L2643" s="12"/>
      <c r="M2643" s="12"/>
      <c r="N2643" s="15"/>
      <c r="O2643" s="1"/>
      <c r="Q2643" s="12"/>
      <c r="R2643" s="1"/>
    </row>
    <row r="2644" ht="12.75" customHeight="1">
      <c r="A2644" s="122">
        <f t="shared" si="372"/>
        <v>43893</v>
      </c>
      <c r="B2644" s="12"/>
      <c r="C2644" s="1"/>
      <c r="D2644" s="1"/>
      <c r="E2644" s="12"/>
      <c r="F2644" s="7"/>
      <c r="G2644" s="7"/>
      <c r="H2644" s="1"/>
      <c r="I2644" s="1"/>
      <c r="J2644" s="1"/>
      <c r="K2644" s="1"/>
      <c r="L2644" s="12"/>
      <c r="M2644" s="12"/>
      <c r="N2644" s="15"/>
      <c r="O2644" s="1"/>
      <c r="Q2644" s="12"/>
      <c r="R2644" s="1"/>
    </row>
    <row r="2645" ht="12.75" customHeight="1">
      <c r="A2645" s="122">
        <f t="shared" si="372"/>
        <v>43894</v>
      </c>
      <c r="B2645" s="12"/>
      <c r="C2645" s="1"/>
      <c r="D2645" s="1"/>
      <c r="E2645" s="12"/>
      <c r="F2645" s="7"/>
      <c r="G2645" s="7"/>
      <c r="H2645" s="1"/>
      <c r="I2645" s="1"/>
      <c r="J2645" s="1"/>
      <c r="K2645" s="1"/>
      <c r="L2645" s="12"/>
      <c r="M2645" s="12"/>
      <c r="N2645" s="15"/>
      <c r="O2645" s="1"/>
      <c r="Q2645" s="12"/>
      <c r="R2645" s="1"/>
    </row>
    <row r="2646" ht="12.75" customHeight="1">
      <c r="A2646" s="122">
        <f t="shared" si="372"/>
        <v>43895</v>
      </c>
      <c r="B2646" s="12"/>
      <c r="C2646" s="1"/>
      <c r="D2646" s="1"/>
      <c r="E2646" s="12"/>
      <c r="F2646" s="7"/>
      <c r="G2646" s="7"/>
      <c r="H2646" s="1"/>
      <c r="I2646" s="1"/>
      <c r="J2646" s="1"/>
      <c r="K2646" s="1"/>
      <c r="L2646" s="12"/>
      <c r="M2646" s="12"/>
      <c r="N2646" s="15"/>
      <c r="O2646" s="1"/>
      <c r="Q2646" s="12"/>
      <c r="R2646" s="1"/>
    </row>
    <row r="2647" ht="12.75" customHeight="1">
      <c r="A2647" s="122">
        <f t="shared" si="372"/>
        <v>43896</v>
      </c>
      <c r="B2647" s="12"/>
      <c r="C2647" s="1"/>
      <c r="D2647" s="1"/>
      <c r="E2647" s="12"/>
      <c r="F2647" s="7"/>
      <c r="G2647" s="7"/>
      <c r="H2647" s="1"/>
      <c r="I2647" s="1"/>
      <c r="J2647" s="1"/>
      <c r="K2647" s="1"/>
      <c r="L2647" s="12"/>
      <c r="M2647" s="12"/>
      <c r="N2647" s="15"/>
      <c r="O2647" s="1"/>
      <c r="Q2647" s="12"/>
      <c r="R2647" s="1"/>
    </row>
    <row r="2648" ht="12.75" customHeight="1">
      <c r="A2648" s="122">
        <f t="shared" si="372"/>
        <v>43897</v>
      </c>
      <c r="B2648" s="12"/>
      <c r="C2648" s="1"/>
      <c r="D2648" s="1"/>
      <c r="E2648" s="12"/>
      <c r="F2648" s="7"/>
      <c r="G2648" s="7"/>
      <c r="H2648" s="1"/>
      <c r="I2648" s="1"/>
      <c r="J2648" s="1"/>
      <c r="K2648" s="1"/>
      <c r="L2648" s="12"/>
      <c r="M2648" s="12"/>
      <c r="N2648" s="15"/>
      <c r="O2648" s="1"/>
      <c r="Q2648" s="12"/>
      <c r="R2648" s="1"/>
    </row>
    <row r="2649" ht="12.75" customHeight="1">
      <c r="A2649" s="122">
        <f t="shared" si="372"/>
        <v>43898</v>
      </c>
      <c r="B2649" s="12"/>
      <c r="C2649" s="1"/>
      <c r="D2649" s="1"/>
      <c r="E2649" s="12"/>
      <c r="F2649" s="7"/>
      <c r="G2649" s="7"/>
      <c r="H2649" s="1"/>
      <c r="I2649" s="1"/>
      <c r="J2649" s="1"/>
      <c r="K2649" s="1"/>
      <c r="L2649" s="12"/>
      <c r="M2649" s="12"/>
      <c r="N2649" s="15"/>
      <c r="O2649" s="1"/>
      <c r="Q2649" s="12"/>
      <c r="R2649" s="1"/>
    </row>
    <row r="2650" ht="12.75" customHeight="1">
      <c r="A2650" s="122">
        <f t="shared" si="372"/>
        <v>43899</v>
      </c>
      <c r="B2650" s="12"/>
      <c r="C2650" s="1"/>
      <c r="D2650" s="1"/>
      <c r="E2650" s="12"/>
      <c r="F2650" s="7"/>
      <c r="G2650" s="7"/>
      <c r="H2650" s="1"/>
      <c r="I2650" s="1"/>
      <c r="J2650" s="1"/>
      <c r="K2650" s="1"/>
      <c r="L2650" s="12"/>
      <c r="M2650" s="12"/>
      <c r="N2650" s="15"/>
      <c r="O2650" s="1"/>
      <c r="Q2650" s="12"/>
      <c r="R2650" s="1"/>
    </row>
    <row r="2651" ht="12.75" customHeight="1">
      <c r="A2651" s="122">
        <f t="shared" si="372"/>
        <v>43900</v>
      </c>
      <c r="B2651" s="12"/>
      <c r="C2651" s="1"/>
      <c r="D2651" s="1"/>
      <c r="E2651" s="12"/>
      <c r="F2651" s="7"/>
      <c r="G2651" s="7"/>
      <c r="H2651" s="1"/>
      <c r="I2651" s="1"/>
      <c r="J2651" s="1"/>
      <c r="K2651" s="1"/>
      <c r="L2651" s="12"/>
      <c r="M2651" s="12"/>
      <c r="N2651" s="15"/>
      <c r="O2651" s="1"/>
      <c r="Q2651" s="12"/>
      <c r="R2651" s="1"/>
    </row>
    <row r="2652" ht="12.75" customHeight="1">
      <c r="A2652" s="122">
        <f t="shared" si="372"/>
        <v>43901</v>
      </c>
      <c r="B2652" s="12"/>
      <c r="C2652" s="1"/>
      <c r="D2652" s="1"/>
      <c r="E2652" s="12"/>
      <c r="F2652" s="7"/>
      <c r="G2652" s="7"/>
      <c r="H2652" s="1"/>
      <c r="I2652" s="1"/>
      <c r="J2652" s="1"/>
      <c r="K2652" s="1"/>
      <c r="L2652" s="12"/>
      <c r="M2652" s="12"/>
      <c r="N2652" s="15"/>
      <c r="O2652" s="1"/>
      <c r="Q2652" s="12"/>
      <c r="R2652" s="1"/>
    </row>
    <row r="2653" ht="12.75" customHeight="1">
      <c r="A2653" s="122">
        <f t="shared" si="372"/>
        <v>43902</v>
      </c>
      <c r="B2653" s="12"/>
      <c r="C2653" s="1"/>
      <c r="D2653" s="1"/>
      <c r="E2653" s="12"/>
      <c r="F2653" s="7"/>
      <c r="G2653" s="7"/>
      <c r="H2653" s="1"/>
      <c r="I2653" s="1"/>
      <c r="J2653" s="1"/>
      <c r="K2653" s="1"/>
      <c r="L2653" s="12"/>
      <c r="M2653" s="12"/>
      <c r="N2653" s="15"/>
      <c r="O2653" s="1"/>
      <c r="Q2653" s="12"/>
      <c r="R2653" s="1"/>
    </row>
    <row r="2654" ht="12.75" customHeight="1">
      <c r="A2654" s="122">
        <f t="shared" si="372"/>
        <v>43903</v>
      </c>
      <c r="B2654" s="12"/>
      <c r="C2654" s="1"/>
      <c r="D2654" s="1"/>
      <c r="E2654" s="12"/>
      <c r="F2654" s="7"/>
      <c r="G2654" s="7"/>
      <c r="H2654" s="1"/>
      <c r="I2654" s="1"/>
      <c r="J2654" s="1"/>
      <c r="K2654" s="1"/>
      <c r="L2654" s="12"/>
      <c r="M2654" s="12"/>
      <c r="N2654" s="15"/>
      <c r="O2654" s="1"/>
      <c r="Q2654" s="12"/>
      <c r="R2654" s="1"/>
    </row>
    <row r="2655" ht="12.75" customHeight="1">
      <c r="A2655" s="122">
        <f t="shared" si="372"/>
        <v>43904</v>
      </c>
      <c r="B2655" s="12"/>
      <c r="C2655" s="1"/>
      <c r="D2655" s="1"/>
      <c r="E2655" s="12"/>
      <c r="F2655" s="7"/>
      <c r="G2655" s="7"/>
      <c r="H2655" s="1"/>
      <c r="I2655" s="1"/>
      <c r="J2655" s="1"/>
      <c r="K2655" s="1"/>
      <c r="L2655" s="12"/>
      <c r="M2655" s="12"/>
      <c r="N2655" s="15"/>
      <c r="O2655" s="1"/>
      <c r="Q2655" s="12"/>
      <c r="R2655" s="1"/>
    </row>
    <row r="2656" ht="12.75" customHeight="1">
      <c r="A2656" s="122">
        <f t="shared" si="372"/>
        <v>43905</v>
      </c>
      <c r="B2656" s="12"/>
      <c r="C2656" s="1"/>
      <c r="D2656" s="1"/>
      <c r="E2656" s="12"/>
      <c r="F2656" s="7"/>
      <c r="G2656" s="7"/>
      <c r="H2656" s="1"/>
      <c r="I2656" s="1"/>
      <c r="J2656" s="1"/>
      <c r="K2656" s="1"/>
      <c r="L2656" s="12"/>
      <c r="M2656" s="12"/>
      <c r="N2656" s="15"/>
      <c r="O2656" s="1"/>
      <c r="Q2656" s="12"/>
      <c r="R2656" s="1"/>
    </row>
    <row r="2657" ht="12.75" customHeight="1">
      <c r="A2657" s="122">
        <f t="shared" si="372"/>
        <v>43906</v>
      </c>
      <c r="B2657" s="12"/>
      <c r="C2657" s="1"/>
      <c r="D2657" s="1"/>
      <c r="E2657" s="12"/>
      <c r="F2657" s="7"/>
      <c r="G2657" s="7"/>
      <c r="H2657" s="1"/>
      <c r="I2657" s="1"/>
      <c r="J2657" s="1"/>
      <c r="K2657" s="1"/>
      <c r="L2657" s="12"/>
      <c r="M2657" s="12"/>
      <c r="N2657" s="15"/>
      <c r="O2657" s="1"/>
      <c r="Q2657" s="12"/>
      <c r="R2657" s="1"/>
    </row>
    <row r="2658" ht="12.75" customHeight="1">
      <c r="A2658" s="122">
        <f t="shared" si="372"/>
        <v>43907</v>
      </c>
      <c r="B2658" s="12"/>
      <c r="C2658" s="1"/>
      <c r="D2658" s="1"/>
      <c r="E2658" s="12"/>
      <c r="F2658" s="7"/>
      <c r="G2658" s="7"/>
      <c r="H2658" s="1"/>
      <c r="I2658" s="1"/>
      <c r="J2658" s="1"/>
      <c r="K2658" s="1"/>
      <c r="L2658" s="12"/>
      <c r="M2658" s="12"/>
      <c r="N2658" s="15"/>
      <c r="O2658" s="1"/>
      <c r="Q2658" s="12"/>
      <c r="R2658" s="1"/>
    </row>
    <row r="2659" ht="12.75" customHeight="1">
      <c r="A2659" s="17"/>
      <c r="B2659" s="12"/>
      <c r="C2659" s="1"/>
      <c r="D2659" s="1"/>
      <c r="E2659" s="12"/>
      <c r="F2659" s="7"/>
      <c r="G2659" s="7"/>
      <c r="H2659" s="1"/>
      <c r="I2659" s="1"/>
      <c r="J2659" s="1"/>
      <c r="K2659" s="1"/>
      <c r="L2659" s="12"/>
      <c r="M2659" s="12"/>
      <c r="N2659" s="15"/>
      <c r="O2659" s="1"/>
      <c r="Q2659" s="12"/>
      <c r="R2659" s="1"/>
    </row>
    <row r="2660" ht="12.75" customHeight="1">
      <c r="A2660" s="17"/>
      <c r="B2660" s="12"/>
      <c r="C2660" s="1"/>
      <c r="D2660" s="1"/>
      <c r="E2660" s="12"/>
      <c r="F2660" s="7"/>
      <c r="G2660" s="7"/>
      <c r="H2660" s="1"/>
      <c r="I2660" s="1"/>
      <c r="J2660" s="1"/>
      <c r="K2660" s="1"/>
      <c r="L2660" s="12"/>
      <c r="M2660" s="12"/>
      <c r="N2660" s="15"/>
      <c r="O2660" s="1"/>
      <c r="Q2660" s="12"/>
      <c r="R2660" s="1"/>
    </row>
    <row r="2661" ht="12.75" customHeight="1">
      <c r="A2661" s="17"/>
      <c r="B2661" s="12"/>
      <c r="C2661" s="1"/>
      <c r="D2661" s="1"/>
      <c r="E2661" s="12"/>
      <c r="F2661" s="7"/>
      <c r="G2661" s="7"/>
      <c r="H2661" s="1"/>
      <c r="I2661" s="1"/>
      <c r="J2661" s="1"/>
      <c r="K2661" s="1"/>
      <c r="L2661" s="12"/>
      <c r="M2661" s="12"/>
      <c r="N2661" s="15"/>
      <c r="O2661" s="1"/>
      <c r="Q2661" s="12"/>
      <c r="R2661" s="1"/>
    </row>
    <row r="2662" ht="12.75" customHeight="1">
      <c r="A2662" s="17"/>
      <c r="B2662" s="12"/>
      <c r="C2662" s="1"/>
      <c r="D2662" s="1"/>
      <c r="E2662" s="12"/>
      <c r="F2662" s="7"/>
      <c r="G2662" s="7"/>
      <c r="H2662" s="1"/>
      <c r="I2662" s="1"/>
      <c r="J2662" s="1"/>
      <c r="K2662" s="1"/>
      <c r="L2662" s="12"/>
      <c r="M2662" s="12"/>
      <c r="N2662" s="15"/>
      <c r="O2662" s="1"/>
      <c r="Q2662" s="12"/>
      <c r="R2662" s="1"/>
    </row>
    <row r="2663" ht="12.75" customHeight="1">
      <c r="A2663" s="17"/>
      <c r="B2663" s="12"/>
      <c r="C2663" s="1"/>
      <c r="D2663" s="1"/>
      <c r="E2663" s="12"/>
      <c r="F2663" s="7"/>
      <c r="G2663" s="7"/>
      <c r="H2663" s="1"/>
      <c r="I2663" s="1"/>
      <c r="J2663" s="1"/>
      <c r="K2663" s="1"/>
      <c r="L2663" s="12"/>
      <c r="M2663" s="12"/>
      <c r="N2663" s="15"/>
      <c r="O2663" s="1"/>
      <c r="Q2663" s="12"/>
      <c r="R2663" s="1"/>
    </row>
    <row r="2664" ht="12.75" customHeight="1">
      <c r="A2664" s="17"/>
      <c r="B2664" s="12"/>
      <c r="C2664" s="1"/>
      <c r="D2664" s="1"/>
      <c r="E2664" s="12"/>
      <c r="F2664" s="7"/>
      <c r="G2664" s="7"/>
      <c r="H2664" s="1"/>
      <c r="I2664" s="1"/>
      <c r="J2664" s="1"/>
      <c r="K2664" s="1"/>
      <c r="L2664" s="12"/>
      <c r="M2664" s="12"/>
      <c r="N2664" s="15"/>
      <c r="O2664" s="1"/>
      <c r="Q2664" s="12"/>
      <c r="R2664" s="1"/>
    </row>
    <row r="2665" ht="12.75" customHeight="1">
      <c r="A2665" s="17"/>
      <c r="B2665" s="12"/>
      <c r="C2665" s="1"/>
      <c r="D2665" s="1"/>
      <c r="E2665" s="12"/>
      <c r="F2665" s="7"/>
      <c r="G2665" s="7"/>
      <c r="H2665" s="1"/>
      <c r="I2665" s="1"/>
      <c r="J2665" s="1"/>
      <c r="K2665" s="1"/>
      <c r="L2665" s="12"/>
      <c r="M2665" s="12"/>
      <c r="N2665" s="15"/>
      <c r="O2665" s="1"/>
      <c r="Q2665" s="12"/>
      <c r="R2665" s="1"/>
    </row>
    <row r="2666" ht="12.75" customHeight="1">
      <c r="A2666" s="17"/>
      <c r="B2666" s="12"/>
      <c r="C2666" s="1"/>
      <c r="D2666" s="1"/>
      <c r="E2666" s="12"/>
      <c r="F2666" s="7"/>
      <c r="G2666" s="7"/>
      <c r="H2666" s="1"/>
      <c r="I2666" s="1"/>
      <c r="J2666" s="1"/>
      <c r="K2666" s="1"/>
      <c r="L2666" s="12"/>
      <c r="M2666" s="12"/>
      <c r="N2666" s="15"/>
      <c r="O2666" s="1"/>
      <c r="Q2666" s="12"/>
      <c r="R2666" s="1"/>
    </row>
    <row r="2667" ht="12.75" customHeight="1">
      <c r="A2667" s="17"/>
      <c r="B2667" s="12"/>
      <c r="C2667" s="1"/>
      <c r="D2667" s="1"/>
      <c r="E2667" s="12"/>
      <c r="F2667" s="7"/>
      <c r="G2667" s="7"/>
      <c r="H2667" s="1"/>
      <c r="I2667" s="1"/>
      <c r="J2667" s="1"/>
      <c r="K2667" s="1"/>
      <c r="L2667" s="12"/>
      <c r="M2667" s="12"/>
      <c r="N2667" s="15"/>
      <c r="O2667" s="1"/>
      <c r="Q2667" s="12"/>
      <c r="R2667" s="1"/>
    </row>
    <row r="2668" ht="12.75" customHeight="1">
      <c r="A2668" s="17"/>
      <c r="B2668" s="12"/>
      <c r="C2668" s="1"/>
      <c r="D2668" s="1"/>
      <c r="E2668" s="12"/>
      <c r="F2668" s="7"/>
      <c r="G2668" s="7"/>
      <c r="H2668" s="1"/>
      <c r="I2668" s="1"/>
      <c r="J2668" s="1"/>
      <c r="K2668" s="1"/>
      <c r="L2668" s="12"/>
      <c r="M2668" s="12"/>
      <c r="N2668" s="15"/>
      <c r="O2668" s="1"/>
      <c r="Q2668" s="12"/>
      <c r="R2668" s="1"/>
    </row>
    <row r="2669" ht="12.75" customHeight="1">
      <c r="A2669" s="17"/>
      <c r="B2669" s="12"/>
      <c r="C2669" s="1"/>
      <c r="D2669" s="1"/>
      <c r="E2669" s="12"/>
      <c r="F2669" s="7"/>
      <c r="G2669" s="7"/>
      <c r="H2669" s="1"/>
      <c r="I2669" s="1"/>
      <c r="J2669" s="1"/>
      <c r="K2669" s="1"/>
      <c r="L2669" s="12"/>
      <c r="M2669" s="12"/>
      <c r="N2669" s="15"/>
      <c r="O2669" s="1"/>
      <c r="Q2669" s="12"/>
      <c r="R2669" s="1"/>
    </row>
    <row r="2670" ht="12.75" customHeight="1">
      <c r="A2670" s="17"/>
      <c r="B2670" s="12"/>
      <c r="C2670" s="1"/>
      <c r="D2670" s="1"/>
      <c r="E2670" s="12"/>
      <c r="F2670" s="7"/>
      <c r="G2670" s="7"/>
      <c r="H2670" s="1"/>
      <c r="I2670" s="1"/>
      <c r="J2670" s="1"/>
      <c r="K2670" s="1"/>
      <c r="L2670" s="12"/>
      <c r="M2670" s="12"/>
      <c r="N2670" s="15"/>
      <c r="O2670" s="1"/>
      <c r="Q2670" s="12"/>
      <c r="R2670" s="1"/>
    </row>
    <row r="2671" ht="12.75" customHeight="1">
      <c r="A2671" s="17"/>
      <c r="B2671" s="12"/>
      <c r="C2671" s="1"/>
      <c r="D2671" s="1"/>
      <c r="E2671" s="12"/>
      <c r="F2671" s="7"/>
      <c r="G2671" s="7"/>
      <c r="H2671" s="1"/>
      <c r="I2671" s="1"/>
      <c r="J2671" s="1"/>
      <c r="K2671" s="1"/>
      <c r="L2671" s="12"/>
      <c r="M2671" s="12"/>
      <c r="N2671" s="15"/>
      <c r="O2671" s="1"/>
      <c r="Q2671" s="12"/>
      <c r="R2671" s="1"/>
    </row>
    <row r="2672" ht="12.75" customHeight="1">
      <c r="A2672" s="17"/>
      <c r="B2672" s="12"/>
      <c r="C2672" s="1"/>
      <c r="D2672" s="1"/>
      <c r="E2672" s="12"/>
      <c r="F2672" s="7"/>
      <c r="G2672" s="7"/>
      <c r="H2672" s="1"/>
      <c r="I2672" s="1"/>
      <c r="J2672" s="1"/>
      <c r="K2672" s="1"/>
      <c r="L2672" s="12"/>
      <c r="M2672" s="12"/>
      <c r="N2672" s="15"/>
      <c r="O2672" s="1"/>
      <c r="Q2672" s="12"/>
      <c r="R2672" s="1"/>
    </row>
    <row r="2673" ht="12.75" customHeight="1">
      <c r="A2673" s="17"/>
      <c r="B2673" s="12"/>
      <c r="C2673" s="1"/>
      <c r="D2673" s="1"/>
      <c r="E2673" s="12"/>
      <c r="F2673" s="7"/>
      <c r="G2673" s="7"/>
      <c r="H2673" s="1"/>
      <c r="I2673" s="1"/>
      <c r="J2673" s="1"/>
      <c r="K2673" s="1"/>
      <c r="L2673" s="12"/>
      <c r="M2673" s="12"/>
      <c r="N2673" s="15"/>
      <c r="O2673" s="1"/>
      <c r="Q2673" s="12"/>
      <c r="R2673" s="1"/>
    </row>
    <row r="2674" ht="12.75" customHeight="1">
      <c r="A2674" s="17"/>
      <c r="B2674" s="12"/>
      <c r="C2674" s="1"/>
      <c r="D2674" s="1"/>
      <c r="E2674" s="12"/>
      <c r="F2674" s="7"/>
      <c r="G2674" s="7"/>
      <c r="H2674" s="1"/>
      <c r="I2674" s="1"/>
      <c r="J2674" s="1"/>
      <c r="K2674" s="1"/>
      <c r="L2674" s="12"/>
      <c r="M2674" s="12"/>
      <c r="N2674" s="15"/>
      <c r="O2674" s="1"/>
      <c r="Q2674" s="12"/>
      <c r="R2674" s="1"/>
    </row>
    <row r="2675" ht="12.75" customHeight="1">
      <c r="A2675" s="17"/>
      <c r="B2675" s="12"/>
      <c r="C2675" s="1"/>
      <c r="D2675" s="1"/>
      <c r="E2675" s="12"/>
      <c r="F2675" s="7"/>
      <c r="G2675" s="7"/>
      <c r="H2675" s="1"/>
      <c r="I2675" s="1"/>
      <c r="J2675" s="1"/>
      <c r="K2675" s="1"/>
      <c r="L2675" s="12"/>
      <c r="M2675" s="12"/>
      <c r="N2675" s="15"/>
      <c r="O2675" s="1"/>
      <c r="Q2675" s="12"/>
      <c r="R2675" s="1"/>
    </row>
    <row r="2676" ht="12.75" customHeight="1">
      <c r="A2676" s="17"/>
      <c r="B2676" s="12"/>
      <c r="C2676" s="1"/>
      <c r="D2676" s="1"/>
      <c r="E2676" s="12"/>
      <c r="F2676" s="7"/>
      <c r="G2676" s="7"/>
      <c r="H2676" s="1"/>
      <c r="I2676" s="1"/>
      <c r="J2676" s="1"/>
      <c r="K2676" s="1"/>
      <c r="L2676" s="12"/>
      <c r="M2676" s="12"/>
      <c r="N2676" s="15"/>
      <c r="O2676" s="1"/>
      <c r="Q2676" s="12"/>
      <c r="R2676" s="1"/>
    </row>
    <row r="2677" ht="12.75" customHeight="1">
      <c r="A2677" s="17"/>
      <c r="B2677" s="12"/>
      <c r="C2677" s="1"/>
      <c r="D2677" s="1"/>
      <c r="E2677" s="12"/>
      <c r="F2677" s="7"/>
      <c r="G2677" s="7"/>
      <c r="H2677" s="1"/>
      <c r="I2677" s="1"/>
      <c r="J2677" s="1"/>
      <c r="K2677" s="1"/>
      <c r="L2677" s="12"/>
      <c r="M2677" s="12"/>
      <c r="N2677" s="15"/>
      <c r="O2677" s="1"/>
      <c r="Q2677" s="12"/>
      <c r="R2677" s="1"/>
    </row>
    <row r="2678" ht="12.75" customHeight="1">
      <c r="A2678" s="17"/>
      <c r="B2678" s="12"/>
      <c r="C2678" s="1"/>
      <c r="D2678" s="1"/>
      <c r="E2678" s="12"/>
      <c r="F2678" s="7"/>
      <c r="G2678" s="7"/>
      <c r="H2678" s="1"/>
      <c r="I2678" s="1"/>
      <c r="J2678" s="1"/>
      <c r="K2678" s="1"/>
      <c r="L2678" s="12"/>
      <c r="M2678" s="12"/>
      <c r="N2678" s="15"/>
      <c r="O2678" s="1"/>
      <c r="Q2678" s="12"/>
      <c r="R2678" s="1"/>
    </row>
    <row r="2679" ht="12.75" customHeight="1">
      <c r="A2679" s="17"/>
      <c r="B2679" s="12"/>
      <c r="C2679" s="1"/>
      <c r="D2679" s="1"/>
      <c r="E2679" s="12"/>
      <c r="F2679" s="7"/>
      <c r="G2679" s="7"/>
      <c r="H2679" s="1"/>
      <c r="I2679" s="1"/>
      <c r="J2679" s="1"/>
      <c r="K2679" s="1"/>
      <c r="L2679" s="12"/>
      <c r="M2679" s="12"/>
      <c r="N2679" s="15"/>
      <c r="O2679" s="1"/>
      <c r="Q2679" s="12"/>
      <c r="R2679" s="1"/>
    </row>
    <row r="2680" ht="12.75" customHeight="1">
      <c r="A2680" s="17"/>
      <c r="B2680" s="12"/>
      <c r="C2680" s="1"/>
      <c r="D2680" s="1"/>
      <c r="E2680" s="12"/>
      <c r="F2680" s="7"/>
      <c r="G2680" s="7"/>
      <c r="H2680" s="1"/>
      <c r="I2680" s="1"/>
      <c r="J2680" s="1"/>
      <c r="K2680" s="1"/>
      <c r="L2680" s="12"/>
      <c r="M2680" s="12"/>
      <c r="N2680" s="15"/>
      <c r="O2680" s="1"/>
      <c r="Q2680" s="12"/>
      <c r="R2680" s="1"/>
    </row>
    <row r="2681" ht="12.75" customHeight="1">
      <c r="A2681" s="17"/>
      <c r="B2681" s="12"/>
      <c r="C2681" s="1"/>
      <c r="D2681" s="1"/>
      <c r="E2681" s="12"/>
      <c r="F2681" s="7"/>
      <c r="G2681" s="7"/>
      <c r="H2681" s="1"/>
      <c r="I2681" s="1"/>
      <c r="J2681" s="1"/>
      <c r="K2681" s="1"/>
      <c r="L2681" s="12"/>
      <c r="M2681" s="12"/>
      <c r="N2681" s="15"/>
      <c r="O2681" s="1"/>
      <c r="Q2681" s="12"/>
      <c r="R2681" s="1"/>
    </row>
    <row r="2682" ht="12.75" customHeight="1">
      <c r="A2682" s="17"/>
      <c r="B2682" s="12"/>
      <c r="C2682" s="1"/>
      <c r="D2682" s="1"/>
      <c r="E2682" s="12"/>
      <c r="F2682" s="7"/>
      <c r="G2682" s="7"/>
      <c r="H2682" s="1"/>
      <c r="I2682" s="1"/>
      <c r="J2682" s="1"/>
      <c r="K2682" s="1"/>
      <c r="L2682" s="12"/>
      <c r="M2682" s="12"/>
      <c r="N2682" s="15"/>
      <c r="O2682" s="1"/>
      <c r="Q2682" s="12"/>
      <c r="R2682" s="1"/>
    </row>
    <row r="2683" ht="12.75" customHeight="1">
      <c r="A2683" s="17"/>
      <c r="B2683" s="12"/>
      <c r="C2683" s="1"/>
      <c r="D2683" s="1"/>
      <c r="E2683" s="12"/>
      <c r="F2683" s="7"/>
      <c r="G2683" s="7"/>
      <c r="H2683" s="1"/>
      <c r="I2683" s="1"/>
      <c r="J2683" s="1"/>
      <c r="K2683" s="1"/>
      <c r="L2683" s="12"/>
      <c r="M2683" s="12"/>
      <c r="N2683" s="15"/>
      <c r="O2683" s="1"/>
      <c r="Q2683" s="12"/>
      <c r="R2683" s="1"/>
    </row>
    <row r="2684" ht="12.75" customHeight="1">
      <c r="A2684" s="17"/>
      <c r="B2684" s="12"/>
      <c r="C2684" s="1"/>
      <c r="D2684" s="1"/>
      <c r="E2684" s="12"/>
      <c r="F2684" s="7"/>
      <c r="G2684" s="7"/>
      <c r="H2684" s="1"/>
      <c r="I2684" s="1"/>
      <c r="J2684" s="1"/>
      <c r="K2684" s="1"/>
      <c r="L2684" s="12"/>
      <c r="M2684" s="12"/>
      <c r="N2684" s="15"/>
      <c r="O2684" s="1"/>
      <c r="Q2684" s="12"/>
      <c r="R2684" s="1"/>
    </row>
    <row r="2685" ht="12.75" customHeight="1">
      <c r="A2685" s="17"/>
      <c r="B2685" s="12"/>
      <c r="C2685" s="1"/>
      <c r="D2685" s="1"/>
      <c r="E2685" s="12"/>
      <c r="F2685" s="7"/>
      <c r="G2685" s="7"/>
      <c r="H2685" s="1"/>
      <c r="I2685" s="1"/>
      <c r="J2685" s="1"/>
      <c r="K2685" s="1"/>
      <c r="L2685" s="12"/>
      <c r="M2685" s="12"/>
      <c r="N2685" s="15"/>
      <c r="O2685" s="1"/>
      <c r="Q2685" s="12"/>
      <c r="R2685" s="1"/>
    </row>
    <row r="2686" ht="12.75" customHeight="1">
      <c r="A2686" s="17"/>
      <c r="B2686" s="12"/>
      <c r="C2686" s="1"/>
      <c r="D2686" s="1"/>
      <c r="E2686" s="12"/>
      <c r="F2686" s="7"/>
      <c r="G2686" s="7"/>
      <c r="H2686" s="1"/>
      <c r="I2686" s="1"/>
      <c r="J2686" s="1"/>
      <c r="K2686" s="1"/>
      <c r="L2686" s="12"/>
      <c r="M2686" s="12"/>
      <c r="N2686" s="15"/>
      <c r="O2686" s="1"/>
      <c r="Q2686" s="12"/>
      <c r="R2686" s="1"/>
    </row>
    <row r="2687" ht="12.75" customHeight="1">
      <c r="A2687" s="17"/>
      <c r="B2687" s="12"/>
      <c r="C2687" s="1"/>
      <c r="D2687" s="1"/>
      <c r="E2687" s="12"/>
      <c r="F2687" s="7"/>
      <c r="G2687" s="7"/>
      <c r="H2687" s="1"/>
      <c r="I2687" s="1"/>
      <c r="J2687" s="1"/>
      <c r="K2687" s="1"/>
      <c r="L2687" s="12"/>
      <c r="M2687" s="12"/>
      <c r="N2687" s="15"/>
      <c r="O2687" s="1"/>
      <c r="Q2687" s="12"/>
      <c r="R2687" s="1"/>
    </row>
    <row r="2688" ht="12.75" customHeight="1">
      <c r="A2688" s="17"/>
      <c r="B2688" s="12"/>
      <c r="C2688" s="1"/>
      <c r="D2688" s="1"/>
      <c r="E2688" s="12"/>
      <c r="F2688" s="7"/>
      <c r="G2688" s="7"/>
      <c r="H2688" s="1"/>
      <c r="I2688" s="1"/>
      <c r="J2688" s="1"/>
      <c r="K2688" s="1"/>
      <c r="L2688" s="12"/>
      <c r="M2688" s="12"/>
      <c r="N2688" s="15"/>
      <c r="O2688" s="1"/>
      <c r="Q2688" s="12"/>
      <c r="R2688" s="1"/>
    </row>
    <row r="2689" ht="12.75" customHeight="1">
      <c r="A2689" s="17"/>
      <c r="B2689" s="12"/>
      <c r="C2689" s="1"/>
      <c r="D2689" s="1"/>
      <c r="E2689" s="12"/>
      <c r="F2689" s="7"/>
      <c r="G2689" s="7"/>
      <c r="H2689" s="1"/>
      <c r="I2689" s="1"/>
      <c r="J2689" s="1"/>
      <c r="K2689" s="1"/>
      <c r="L2689" s="12"/>
      <c r="M2689" s="12"/>
      <c r="N2689" s="15"/>
      <c r="O2689" s="1"/>
      <c r="Q2689" s="12"/>
      <c r="R2689" s="1"/>
    </row>
    <row r="2690" ht="12.75" customHeight="1">
      <c r="A2690" s="17"/>
      <c r="B2690" s="12"/>
      <c r="C2690" s="1"/>
      <c r="D2690" s="1"/>
      <c r="E2690" s="12"/>
      <c r="F2690" s="7"/>
      <c r="G2690" s="7"/>
      <c r="H2690" s="1"/>
      <c r="I2690" s="1"/>
      <c r="J2690" s="1"/>
      <c r="K2690" s="1"/>
      <c r="L2690" s="12"/>
      <c r="M2690" s="12"/>
      <c r="N2690" s="15"/>
      <c r="O2690" s="1"/>
      <c r="Q2690" s="12"/>
      <c r="R2690" s="1"/>
    </row>
    <row r="2691" ht="12.75" customHeight="1">
      <c r="A2691" s="17"/>
      <c r="B2691" s="12"/>
      <c r="C2691" s="1"/>
      <c r="D2691" s="1"/>
      <c r="E2691" s="12"/>
      <c r="F2691" s="7"/>
      <c r="G2691" s="7"/>
      <c r="H2691" s="1"/>
      <c r="I2691" s="1"/>
      <c r="J2691" s="1"/>
      <c r="K2691" s="1"/>
      <c r="L2691" s="12"/>
      <c r="M2691" s="12"/>
      <c r="N2691" s="15"/>
      <c r="O2691" s="1"/>
      <c r="Q2691" s="12"/>
      <c r="R2691" s="1"/>
    </row>
    <row r="2692" ht="12.75" customHeight="1">
      <c r="A2692" s="17"/>
      <c r="B2692" s="12"/>
      <c r="C2692" s="1"/>
      <c r="D2692" s="1"/>
      <c r="E2692" s="12"/>
      <c r="F2692" s="7"/>
      <c r="G2692" s="7"/>
      <c r="H2692" s="1"/>
      <c r="I2692" s="1"/>
      <c r="J2692" s="1"/>
      <c r="K2692" s="1"/>
      <c r="L2692" s="12"/>
      <c r="M2692" s="12"/>
      <c r="N2692" s="15"/>
      <c r="O2692" s="1"/>
      <c r="Q2692" s="12"/>
      <c r="R2692" s="1"/>
    </row>
    <row r="2693" ht="12.75" customHeight="1">
      <c r="A2693" s="17"/>
      <c r="B2693" s="12"/>
      <c r="C2693" s="1"/>
      <c r="D2693" s="1"/>
      <c r="E2693" s="12"/>
      <c r="F2693" s="7"/>
      <c r="G2693" s="7"/>
      <c r="H2693" s="1"/>
      <c r="I2693" s="1"/>
      <c r="J2693" s="1"/>
      <c r="K2693" s="1"/>
      <c r="L2693" s="12"/>
      <c r="M2693" s="12"/>
      <c r="N2693" s="15"/>
      <c r="O2693" s="1"/>
      <c r="Q2693" s="12"/>
      <c r="R2693" s="1"/>
    </row>
    <row r="2694" ht="12.75" customHeight="1">
      <c r="A2694" s="17"/>
      <c r="B2694" s="12"/>
      <c r="C2694" s="1"/>
      <c r="D2694" s="1"/>
      <c r="E2694" s="12"/>
      <c r="F2694" s="7"/>
      <c r="G2694" s="7"/>
      <c r="H2694" s="1"/>
      <c r="I2694" s="1"/>
      <c r="J2694" s="1"/>
      <c r="K2694" s="1"/>
      <c r="L2694" s="12"/>
      <c r="M2694" s="12"/>
      <c r="N2694" s="15"/>
      <c r="O2694" s="1"/>
      <c r="Q2694" s="12"/>
      <c r="R2694" s="1"/>
    </row>
    <row r="2695" ht="12.75" customHeight="1">
      <c r="A2695" s="17"/>
      <c r="B2695" s="12"/>
      <c r="C2695" s="1"/>
      <c r="D2695" s="1"/>
      <c r="E2695" s="12"/>
      <c r="F2695" s="7"/>
      <c r="G2695" s="7"/>
      <c r="H2695" s="1"/>
      <c r="I2695" s="1"/>
      <c r="J2695" s="1"/>
      <c r="K2695" s="1"/>
      <c r="L2695" s="12"/>
      <c r="M2695" s="12"/>
      <c r="N2695" s="15"/>
      <c r="O2695" s="1"/>
      <c r="Q2695" s="12"/>
      <c r="R2695" s="1"/>
    </row>
    <row r="2696" ht="12.75" customHeight="1">
      <c r="A2696" s="17"/>
      <c r="B2696" s="12"/>
      <c r="C2696" s="1"/>
      <c r="D2696" s="1"/>
      <c r="E2696" s="12"/>
      <c r="F2696" s="7"/>
      <c r="G2696" s="7"/>
      <c r="H2696" s="1"/>
      <c r="I2696" s="1"/>
      <c r="J2696" s="1"/>
      <c r="K2696" s="1"/>
      <c r="L2696" s="12"/>
      <c r="M2696" s="12"/>
      <c r="N2696" s="15"/>
      <c r="O2696" s="1"/>
      <c r="Q2696" s="12"/>
      <c r="R2696" s="1"/>
    </row>
    <row r="2697" ht="12.75" customHeight="1">
      <c r="A2697" s="17"/>
      <c r="B2697" s="12"/>
      <c r="C2697" s="1"/>
      <c r="D2697" s="1"/>
      <c r="E2697" s="12"/>
      <c r="F2697" s="7"/>
      <c r="G2697" s="7"/>
      <c r="H2697" s="1"/>
      <c r="I2697" s="1"/>
      <c r="J2697" s="1"/>
      <c r="K2697" s="1"/>
      <c r="L2697" s="12"/>
      <c r="M2697" s="12"/>
      <c r="N2697" s="15"/>
      <c r="O2697" s="1"/>
      <c r="Q2697" s="12"/>
      <c r="R2697" s="1"/>
    </row>
    <row r="2698" ht="12.75" customHeight="1">
      <c r="A2698" s="17"/>
      <c r="B2698" s="12"/>
      <c r="C2698" s="1"/>
      <c r="D2698" s="1"/>
      <c r="E2698" s="12"/>
      <c r="F2698" s="7"/>
      <c r="G2698" s="7"/>
      <c r="H2698" s="1"/>
      <c r="I2698" s="1"/>
      <c r="J2698" s="1"/>
      <c r="K2698" s="1"/>
      <c r="L2698" s="12"/>
      <c r="M2698" s="12"/>
      <c r="N2698" s="15"/>
      <c r="O2698" s="1"/>
      <c r="Q2698" s="12"/>
      <c r="R2698" s="1"/>
    </row>
    <row r="2699" ht="12.75" customHeight="1">
      <c r="A2699" s="17"/>
      <c r="B2699" s="12"/>
      <c r="C2699" s="1"/>
      <c r="D2699" s="1"/>
      <c r="E2699" s="12"/>
      <c r="F2699" s="7"/>
      <c r="G2699" s="7"/>
      <c r="H2699" s="1"/>
      <c r="I2699" s="1"/>
      <c r="J2699" s="1"/>
      <c r="K2699" s="1"/>
      <c r="L2699" s="12"/>
      <c r="M2699" s="12"/>
      <c r="N2699" s="15"/>
      <c r="O2699" s="1"/>
      <c r="Q2699" s="12"/>
      <c r="R2699" s="1"/>
    </row>
    <row r="2700" ht="12.75" customHeight="1">
      <c r="A2700" s="17"/>
      <c r="B2700" s="12"/>
      <c r="C2700" s="1"/>
      <c r="D2700" s="1"/>
      <c r="E2700" s="12"/>
      <c r="F2700" s="7"/>
      <c r="G2700" s="7"/>
      <c r="H2700" s="1"/>
      <c r="I2700" s="1"/>
      <c r="J2700" s="1"/>
      <c r="K2700" s="1"/>
      <c r="L2700" s="12"/>
      <c r="M2700" s="12"/>
      <c r="N2700" s="15"/>
      <c r="O2700" s="1"/>
      <c r="Q2700" s="12"/>
      <c r="R2700" s="1"/>
    </row>
    <row r="2701" ht="12.75" customHeight="1">
      <c r="A2701" s="17"/>
      <c r="B2701" s="12"/>
      <c r="C2701" s="1"/>
      <c r="D2701" s="1"/>
      <c r="E2701" s="12"/>
      <c r="F2701" s="7"/>
      <c r="G2701" s="7"/>
      <c r="H2701" s="1"/>
      <c r="I2701" s="1"/>
      <c r="J2701" s="1"/>
      <c r="K2701" s="1"/>
      <c r="L2701" s="12"/>
      <c r="M2701" s="12"/>
      <c r="N2701" s="15"/>
      <c r="O2701" s="1"/>
      <c r="Q2701" s="12"/>
      <c r="R2701" s="1"/>
    </row>
    <row r="2702" ht="12.75" customHeight="1">
      <c r="A2702" s="17"/>
      <c r="B2702" s="12"/>
      <c r="C2702" s="1"/>
      <c r="D2702" s="1"/>
      <c r="E2702" s="12"/>
      <c r="F2702" s="7"/>
      <c r="G2702" s="7"/>
      <c r="H2702" s="1"/>
      <c r="I2702" s="1"/>
      <c r="J2702" s="1"/>
      <c r="K2702" s="1"/>
      <c r="L2702" s="12"/>
      <c r="M2702" s="12"/>
      <c r="N2702" s="15"/>
      <c r="O2702" s="1"/>
      <c r="Q2702" s="12"/>
      <c r="R2702" s="1"/>
    </row>
    <row r="2703" ht="12.75" customHeight="1">
      <c r="A2703" s="17"/>
      <c r="B2703" s="12"/>
      <c r="C2703" s="1"/>
      <c r="D2703" s="1"/>
      <c r="E2703" s="12"/>
      <c r="F2703" s="7"/>
      <c r="G2703" s="7"/>
      <c r="H2703" s="1"/>
      <c r="I2703" s="1"/>
      <c r="J2703" s="1"/>
      <c r="K2703" s="1"/>
      <c r="L2703" s="12"/>
      <c r="M2703" s="12"/>
      <c r="N2703" s="15"/>
      <c r="O2703" s="1"/>
      <c r="Q2703" s="12"/>
      <c r="R2703" s="1"/>
    </row>
    <row r="2704" ht="12.75" customHeight="1">
      <c r="A2704" s="17"/>
      <c r="B2704" s="12"/>
      <c r="C2704" s="1"/>
      <c r="D2704" s="1"/>
      <c r="E2704" s="12"/>
      <c r="F2704" s="7"/>
      <c r="G2704" s="7"/>
      <c r="H2704" s="1"/>
      <c r="I2704" s="1"/>
      <c r="J2704" s="1"/>
      <c r="K2704" s="1"/>
      <c r="L2704" s="12"/>
      <c r="M2704" s="12"/>
      <c r="N2704" s="15"/>
      <c r="O2704" s="1"/>
      <c r="Q2704" s="12"/>
      <c r="R2704" s="1"/>
    </row>
    <row r="2705" ht="12.75" customHeight="1">
      <c r="A2705" s="17"/>
      <c r="B2705" s="12"/>
      <c r="C2705" s="1"/>
      <c r="D2705" s="1"/>
      <c r="E2705" s="12"/>
      <c r="F2705" s="7"/>
      <c r="G2705" s="7"/>
      <c r="H2705" s="1"/>
      <c r="I2705" s="1"/>
      <c r="J2705" s="1"/>
      <c r="K2705" s="1"/>
      <c r="L2705" s="12"/>
      <c r="M2705" s="12"/>
      <c r="N2705" s="15"/>
      <c r="O2705" s="1"/>
      <c r="Q2705" s="12"/>
      <c r="R2705" s="1"/>
    </row>
    <row r="2706" ht="12.75" customHeight="1">
      <c r="A2706" s="17"/>
      <c r="B2706" s="12"/>
      <c r="C2706" s="1"/>
      <c r="D2706" s="1"/>
      <c r="E2706" s="12"/>
      <c r="F2706" s="7"/>
      <c r="G2706" s="7"/>
      <c r="H2706" s="1"/>
      <c r="I2706" s="1"/>
      <c r="J2706" s="1"/>
      <c r="K2706" s="1"/>
      <c r="L2706" s="12"/>
      <c r="M2706" s="12"/>
      <c r="N2706" s="15"/>
      <c r="O2706" s="1"/>
      <c r="Q2706" s="12"/>
      <c r="R2706" s="1"/>
    </row>
    <row r="2707" ht="12.75" customHeight="1">
      <c r="A2707" s="17"/>
      <c r="B2707" s="12"/>
      <c r="C2707" s="1"/>
      <c r="D2707" s="1"/>
      <c r="E2707" s="12"/>
      <c r="F2707" s="7"/>
      <c r="G2707" s="7"/>
      <c r="H2707" s="1"/>
      <c r="I2707" s="1"/>
      <c r="J2707" s="1"/>
      <c r="K2707" s="1"/>
      <c r="L2707" s="12"/>
      <c r="M2707" s="12"/>
      <c r="N2707" s="15"/>
      <c r="O2707" s="1"/>
      <c r="Q2707" s="12"/>
      <c r="R2707" s="1"/>
    </row>
    <row r="2708" ht="12.75" customHeight="1">
      <c r="A2708" s="17"/>
      <c r="B2708" s="12"/>
      <c r="C2708" s="1"/>
      <c r="D2708" s="1"/>
      <c r="E2708" s="12"/>
      <c r="F2708" s="7"/>
      <c r="G2708" s="7"/>
      <c r="H2708" s="1"/>
      <c r="I2708" s="1"/>
      <c r="J2708" s="1"/>
      <c r="K2708" s="1"/>
      <c r="L2708" s="12"/>
      <c r="M2708" s="12"/>
      <c r="N2708" s="15"/>
      <c r="O2708" s="1"/>
      <c r="Q2708" s="12"/>
      <c r="R2708" s="1"/>
    </row>
    <row r="2709" ht="12.75" customHeight="1">
      <c r="A2709" s="17"/>
      <c r="B2709" s="12"/>
      <c r="C2709" s="1"/>
      <c r="D2709" s="1"/>
      <c r="E2709" s="12"/>
      <c r="F2709" s="7"/>
      <c r="G2709" s="7"/>
      <c r="H2709" s="1"/>
      <c r="I2709" s="1"/>
      <c r="J2709" s="1"/>
      <c r="K2709" s="1"/>
      <c r="L2709" s="12"/>
      <c r="M2709" s="12"/>
      <c r="N2709" s="15"/>
      <c r="O2709" s="1"/>
      <c r="Q2709" s="12"/>
      <c r="R2709" s="1"/>
    </row>
    <row r="2710" ht="12.75" customHeight="1">
      <c r="A2710" s="17"/>
      <c r="B2710" s="12"/>
      <c r="C2710" s="1"/>
      <c r="D2710" s="1"/>
      <c r="E2710" s="12"/>
      <c r="F2710" s="7"/>
      <c r="G2710" s="7"/>
      <c r="H2710" s="1"/>
      <c r="I2710" s="1"/>
      <c r="J2710" s="1"/>
      <c r="K2710" s="1"/>
      <c r="L2710" s="12"/>
      <c r="M2710" s="12"/>
      <c r="N2710" s="15"/>
      <c r="O2710" s="1"/>
      <c r="Q2710" s="12"/>
      <c r="R2710" s="1"/>
    </row>
    <row r="2711" ht="12.75" customHeight="1">
      <c r="A2711" s="17"/>
      <c r="B2711" s="12"/>
      <c r="C2711" s="1"/>
      <c r="D2711" s="1"/>
      <c r="E2711" s="12"/>
      <c r="F2711" s="7"/>
      <c r="G2711" s="7"/>
      <c r="H2711" s="1"/>
      <c r="I2711" s="1"/>
      <c r="J2711" s="1"/>
      <c r="K2711" s="1"/>
      <c r="L2711" s="12"/>
      <c r="M2711" s="12"/>
      <c r="N2711" s="15"/>
      <c r="O2711" s="1"/>
      <c r="Q2711" s="12"/>
      <c r="R2711" s="1"/>
    </row>
    <row r="2712" ht="12.75" customHeight="1">
      <c r="A2712" s="17"/>
      <c r="B2712" s="12"/>
      <c r="C2712" s="1"/>
      <c r="D2712" s="1"/>
      <c r="E2712" s="12"/>
      <c r="F2712" s="7"/>
      <c r="G2712" s="7"/>
      <c r="H2712" s="1"/>
      <c r="I2712" s="1"/>
      <c r="J2712" s="1"/>
      <c r="K2712" s="1"/>
      <c r="L2712" s="12"/>
      <c r="M2712" s="12"/>
      <c r="N2712" s="15"/>
      <c r="O2712" s="1"/>
      <c r="Q2712" s="12"/>
      <c r="R2712" s="1"/>
    </row>
    <row r="2713" ht="12.75" customHeight="1">
      <c r="A2713" s="17"/>
      <c r="B2713" s="12"/>
      <c r="C2713" s="1"/>
      <c r="D2713" s="1"/>
      <c r="E2713" s="12"/>
      <c r="F2713" s="7"/>
      <c r="G2713" s="7"/>
      <c r="H2713" s="1"/>
      <c r="I2713" s="1"/>
      <c r="J2713" s="1"/>
      <c r="K2713" s="1"/>
      <c r="L2713" s="12"/>
      <c r="M2713" s="12"/>
      <c r="N2713" s="15"/>
      <c r="O2713" s="1"/>
      <c r="Q2713" s="12"/>
      <c r="R2713" s="1"/>
    </row>
    <row r="2714" ht="12.75" customHeight="1">
      <c r="A2714" s="17"/>
      <c r="B2714" s="12"/>
      <c r="C2714" s="1"/>
      <c r="D2714" s="1"/>
      <c r="E2714" s="12"/>
      <c r="F2714" s="7"/>
      <c r="G2714" s="7"/>
      <c r="H2714" s="1"/>
      <c r="I2714" s="1"/>
      <c r="J2714" s="1"/>
      <c r="K2714" s="1"/>
      <c r="L2714" s="12"/>
      <c r="M2714" s="12"/>
      <c r="N2714" s="15"/>
      <c r="O2714" s="1"/>
      <c r="Q2714" s="12"/>
      <c r="R2714" s="1"/>
    </row>
    <row r="2715" ht="12.75" customHeight="1">
      <c r="A2715" s="17"/>
      <c r="B2715" s="12"/>
      <c r="C2715" s="1"/>
      <c r="D2715" s="1"/>
      <c r="E2715" s="12"/>
      <c r="F2715" s="7"/>
      <c r="G2715" s="7"/>
      <c r="H2715" s="1"/>
      <c r="I2715" s="1"/>
      <c r="J2715" s="1"/>
      <c r="K2715" s="1"/>
      <c r="L2715" s="12"/>
      <c r="M2715" s="12"/>
      <c r="N2715" s="15"/>
      <c r="O2715" s="1"/>
      <c r="Q2715" s="12"/>
      <c r="R2715" s="1"/>
    </row>
    <row r="2716" ht="12.75" customHeight="1">
      <c r="A2716" s="17"/>
      <c r="B2716" s="12"/>
      <c r="C2716" s="1"/>
      <c r="D2716" s="1"/>
      <c r="E2716" s="12"/>
      <c r="F2716" s="7"/>
      <c r="G2716" s="7"/>
      <c r="H2716" s="1"/>
      <c r="I2716" s="1"/>
      <c r="J2716" s="1"/>
      <c r="K2716" s="1"/>
      <c r="L2716" s="12"/>
      <c r="M2716" s="12"/>
      <c r="N2716" s="15"/>
      <c r="O2716" s="1"/>
      <c r="Q2716" s="12"/>
      <c r="R2716" s="1"/>
    </row>
    <row r="2717" ht="12.75" customHeight="1">
      <c r="A2717" s="17"/>
      <c r="B2717" s="12"/>
      <c r="C2717" s="1"/>
      <c r="D2717" s="1"/>
      <c r="E2717" s="12"/>
      <c r="F2717" s="7"/>
      <c r="G2717" s="7"/>
      <c r="H2717" s="1"/>
      <c r="I2717" s="1"/>
      <c r="J2717" s="1"/>
      <c r="K2717" s="1"/>
      <c r="L2717" s="12"/>
      <c r="M2717" s="12"/>
      <c r="N2717" s="15"/>
      <c r="O2717" s="1"/>
      <c r="Q2717" s="12"/>
      <c r="R2717" s="1"/>
    </row>
    <row r="2718" ht="12.75" customHeight="1">
      <c r="A2718" s="17"/>
      <c r="B2718" s="12"/>
      <c r="C2718" s="1"/>
      <c r="D2718" s="1"/>
      <c r="E2718" s="12"/>
      <c r="F2718" s="7"/>
      <c r="G2718" s="7"/>
      <c r="H2718" s="1"/>
      <c r="I2718" s="1"/>
      <c r="J2718" s="1"/>
      <c r="K2718" s="1"/>
      <c r="L2718" s="12"/>
      <c r="M2718" s="12"/>
      <c r="N2718" s="15"/>
      <c r="O2718" s="1"/>
      <c r="Q2718" s="12"/>
      <c r="R2718" s="1"/>
    </row>
    <row r="2719" ht="12.75" customHeight="1">
      <c r="A2719" s="17"/>
      <c r="B2719" s="12"/>
      <c r="C2719" s="1"/>
      <c r="D2719" s="1"/>
      <c r="E2719" s="12"/>
      <c r="F2719" s="7"/>
      <c r="G2719" s="7"/>
      <c r="H2719" s="1"/>
      <c r="I2719" s="1"/>
      <c r="J2719" s="1"/>
      <c r="K2719" s="1"/>
      <c r="L2719" s="12"/>
      <c r="M2719" s="12"/>
      <c r="N2719" s="15"/>
      <c r="O2719" s="1"/>
      <c r="Q2719" s="12"/>
      <c r="R2719" s="1"/>
    </row>
    <row r="2720" ht="12.75" customHeight="1">
      <c r="A2720" s="17"/>
      <c r="B2720" s="12"/>
      <c r="C2720" s="1"/>
      <c r="D2720" s="1"/>
      <c r="E2720" s="12"/>
      <c r="F2720" s="7"/>
      <c r="G2720" s="7"/>
      <c r="H2720" s="1"/>
      <c r="I2720" s="1"/>
      <c r="J2720" s="1"/>
      <c r="K2720" s="1"/>
      <c r="L2720" s="12"/>
      <c r="M2720" s="12"/>
      <c r="N2720" s="15"/>
      <c r="O2720" s="1"/>
      <c r="Q2720" s="12"/>
      <c r="R2720" s="1"/>
    </row>
    <row r="2721" ht="12.75" customHeight="1">
      <c r="A2721" s="17"/>
      <c r="B2721" s="12"/>
      <c r="C2721" s="1"/>
      <c r="D2721" s="1"/>
      <c r="E2721" s="12"/>
      <c r="F2721" s="7"/>
      <c r="G2721" s="7"/>
      <c r="H2721" s="1"/>
      <c r="I2721" s="1"/>
      <c r="J2721" s="1"/>
      <c r="K2721" s="1"/>
      <c r="L2721" s="12"/>
      <c r="M2721" s="12"/>
      <c r="N2721" s="15"/>
      <c r="O2721" s="1"/>
      <c r="Q2721" s="12"/>
      <c r="R2721" s="1"/>
    </row>
    <row r="2722" ht="12.75" customHeight="1">
      <c r="A2722" s="17"/>
      <c r="B2722" s="12"/>
      <c r="C2722" s="1"/>
      <c r="D2722" s="1"/>
      <c r="E2722" s="12"/>
      <c r="F2722" s="7"/>
      <c r="G2722" s="7"/>
      <c r="H2722" s="1"/>
      <c r="I2722" s="1"/>
      <c r="J2722" s="1"/>
      <c r="K2722" s="1"/>
      <c r="L2722" s="12"/>
      <c r="M2722" s="12"/>
      <c r="N2722" s="15"/>
      <c r="O2722" s="1"/>
      <c r="Q2722" s="12"/>
      <c r="R2722" s="1"/>
    </row>
    <row r="2723" ht="12.75" customHeight="1">
      <c r="A2723" s="17"/>
      <c r="B2723" s="12"/>
      <c r="C2723" s="1"/>
      <c r="D2723" s="1"/>
      <c r="E2723" s="12"/>
      <c r="F2723" s="7"/>
      <c r="G2723" s="7"/>
      <c r="H2723" s="1"/>
      <c r="I2723" s="1"/>
      <c r="J2723" s="1"/>
      <c r="K2723" s="1"/>
      <c r="L2723" s="12"/>
      <c r="M2723" s="12"/>
      <c r="N2723" s="15"/>
      <c r="O2723" s="1"/>
      <c r="Q2723" s="12"/>
      <c r="R2723" s="1"/>
    </row>
    <row r="2724" ht="12.75" customHeight="1">
      <c r="A2724" s="17"/>
      <c r="B2724" s="12"/>
      <c r="C2724" s="1"/>
      <c r="D2724" s="1"/>
      <c r="E2724" s="12"/>
      <c r="F2724" s="7"/>
      <c r="G2724" s="7"/>
      <c r="H2724" s="1"/>
      <c r="I2724" s="1"/>
      <c r="J2724" s="1"/>
      <c r="K2724" s="1"/>
      <c r="L2724" s="12"/>
      <c r="M2724" s="12"/>
      <c r="N2724" s="15"/>
      <c r="O2724" s="1"/>
      <c r="Q2724" s="12"/>
      <c r="R2724" s="1"/>
    </row>
    <row r="2725" ht="12.75" customHeight="1">
      <c r="A2725" s="17"/>
      <c r="B2725" s="12"/>
      <c r="C2725" s="1"/>
      <c r="D2725" s="1"/>
      <c r="E2725" s="12"/>
      <c r="F2725" s="7"/>
      <c r="G2725" s="7"/>
      <c r="H2725" s="1"/>
      <c r="I2725" s="1"/>
      <c r="J2725" s="1"/>
      <c r="K2725" s="1"/>
      <c r="L2725" s="12"/>
      <c r="M2725" s="12"/>
      <c r="N2725" s="15"/>
      <c r="O2725" s="1"/>
      <c r="Q2725" s="12"/>
      <c r="R2725" s="1"/>
    </row>
    <row r="2726" ht="12.75" customHeight="1">
      <c r="A2726" s="17"/>
      <c r="B2726" s="12"/>
      <c r="C2726" s="1"/>
      <c r="D2726" s="1"/>
      <c r="E2726" s="12"/>
      <c r="F2726" s="7"/>
      <c r="G2726" s="7"/>
      <c r="H2726" s="1"/>
      <c r="I2726" s="1"/>
      <c r="J2726" s="1"/>
      <c r="K2726" s="1"/>
      <c r="L2726" s="12"/>
      <c r="M2726" s="12"/>
      <c r="N2726" s="15"/>
      <c r="O2726" s="1"/>
      <c r="Q2726" s="12"/>
      <c r="R2726" s="1"/>
    </row>
    <row r="2727" ht="12.75" customHeight="1">
      <c r="A2727" s="17"/>
      <c r="B2727" s="12"/>
      <c r="C2727" s="1"/>
      <c r="D2727" s="1"/>
      <c r="E2727" s="12"/>
      <c r="F2727" s="7"/>
      <c r="G2727" s="7"/>
      <c r="H2727" s="1"/>
      <c r="I2727" s="1"/>
      <c r="J2727" s="1"/>
      <c r="K2727" s="1"/>
      <c r="L2727" s="12"/>
      <c r="M2727" s="12"/>
      <c r="N2727" s="15"/>
      <c r="O2727" s="1"/>
      <c r="Q2727" s="12"/>
      <c r="R2727" s="1"/>
    </row>
    <row r="2728" ht="12.75" customHeight="1">
      <c r="A2728" s="17"/>
      <c r="B2728" s="12"/>
      <c r="C2728" s="1"/>
      <c r="D2728" s="1"/>
      <c r="E2728" s="12"/>
      <c r="F2728" s="7"/>
      <c r="G2728" s="7"/>
      <c r="H2728" s="1"/>
      <c r="I2728" s="1"/>
      <c r="J2728" s="1"/>
      <c r="K2728" s="1"/>
      <c r="L2728" s="12"/>
      <c r="M2728" s="12"/>
      <c r="N2728" s="15"/>
      <c r="O2728" s="1"/>
      <c r="Q2728" s="12"/>
      <c r="R2728" s="1"/>
    </row>
    <row r="2729" ht="12.75" customHeight="1">
      <c r="A2729" s="17"/>
      <c r="B2729" s="12"/>
      <c r="C2729" s="1"/>
      <c r="D2729" s="1"/>
      <c r="E2729" s="12"/>
      <c r="F2729" s="7"/>
      <c r="G2729" s="7"/>
      <c r="H2729" s="1"/>
      <c r="I2729" s="1"/>
      <c r="J2729" s="1"/>
      <c r="K2729" s="1"/>
      <c r="L2729" s="12"/>
      <c r="M2729" s="12"/>
      <c r="N2729" s="15"/>
      <c r="O2729" s="1"/>
      <c r="Q2729" s="12"/>
      <c r="R2729" s="1"/>
    </row>
    <row r="2730" ht="12.75" customHeight="1">
      <c r="A2730" s="17"/>
      <c r="B2730" s="12"/>
      <c r="C2730" s="1"/>
      <c r="D2730" s="1"/>
      <c r="E2730" s="12"/>
      <c r="F2730" s="7"/>
      <c r="G2730" s="7"/>
      <c r="H2730" s="1"/>
      <c r="I2730" s="1"/>
      <c r="J2730" s="1"/>
      <c r="K2730" s="1"/>
      <c r="L2730" s="12"/>
      <c r="M2730" s="12"/>
      <c r="N2730" s="15"/>
      <c r="O2730" s="1"/>
      <c r="Q2730" s="12"/>
      <c r="R2730" s="1"/>
    </row>
    <row r="2731" ht="12.75" customHeight="1">
      <c r="A2731" s="17"/>
      <c r="B2731" s="12"/>
      <c r="C2731" s="1"/>
      <c r="D2731" s="1"/>
      <c r="E2731" s="12"/>
      <c r="F2731" s="7"/>
      <c r="G2731" s="7"/>
      <c r="H2731" s="1"/>
      <c r="I2731" s="1"/>
      <c r="J2731" s="1"/>
      <c r="K2731" s="1"/>
      <c r="L2731" s="12"/>
      <c r="M2731" s="12"/>
      <c r="N2731" s="15"/>
      <c r="O2731" s="1"/>
      <c r="Q2731" s="12"/>
      <c r="R2731" s="1"/>
    </row>
    <row r="2732" ht="12.75" customHeight="1">
      <c r="A2732" s="17"/>
      <c r="B2732" s="12"/>
      <c r="C2732" s="1"/>
      <c r="D2732" s="1"/>
      <c r="E2732" s="12"/>
      <c r="F2732" s="7"/>
      <c r="G2732" s="7"/>
      <c r="H2732" s="1"/>
      <c r="I2732" s="1"/>
      <c r="J2732" s="1"/>
      <c r="K2732" s="1"/>
      <c r="L2732" s="12"/>
      <c r="M2732" s="12"/>
      <c r="N2732" s="15"/>
      <c r="O2732" s="1"/>
      <c r="Q2732" s="12"/>
      <c r="R2732" s="1"/>
    </row>
    <row r="2733" ht="12.75" customHeight="1">
      <c r="A2733" s="17"/>
      <c r="B2733" s="12"/>
      <c r="C2733" s="1"/>
      <c r="D2733" s="1"/>
      <c r="E2733" s="12"/>
      <c r="F2733" s="7"/>
      <c r="G2733" s="7"/>
      <c r="H2733" s="1"/>
      <c r="I2733" s="1"/>
      <c r="J2733" s="1"/>
      <c r="K2733" s="1"/>
      <c r="L2733" s="12"/>
      <c r="M2733" s="12"/>
      <c r="N2733" s="15"/>
      <c r="O2733" s="1"/>
      <c r="Q2733" s="12"/>
      <c r="R2733" s="1"/>
    </row>
    <row r="2734" ht="12.75" customHeight="1">
      <c r="A2734" s="17"/>
      <c r="B2734" s="12"/>
      <c r="C2734" s="1"/>
      <c r="D2734" s="1"/>
      <c r="E2734" s="12"/>
      <c r="F2734" s="7"/>
      <c r="G2734" s="7"/>
      <c r="H2734" s="1"/>
      <c r="I2734" s="1"/>
      <c r="J2734" s="1"/>
      <c r="K2734" s="1"/>
      <c r="L2734" s="12"/>
      <c r="M2734" s="12"/>
      <c r="N2734" s="15"/>
      <c r="O2734" s="1"/>
      <c r="Q2734" s="12"/>
      <c r="R2734" s="1"/>
    </row>
    <row r="2735" ht="12.75" customHeight="1">
      <c r="A2735" s="17"/>
      <c r="B2735" s="12"/>
      <c r="C2735" s="1"/>
      <c r="D2735" s="1"/>
      <c r="E2735" s="12"/>
      <c r="F2735" s="7"/>
      <c r="G2735" s="7"/>
      <c r="H2735" s="1"/>
      <c r="I2735" s="1"/>
      <c r="J2735" s="1"/>
      <c r="K2735" s="1"/>
      <c r="L2735" s="12"/>
      <c r="M2735" s="12"/>
      <c r="N2735" s="15"/>
      <c r="O2735" s="1"/>
      <c r="Q2735" s="12"/>
      <c r="R2735" s="1"/>
    </row>
    <row r="2736" ht="12.75" customHeight="1">
      <c r="A2736" s="17"/>
      <c r="B2736" s="12"/>
      <c r="C2736" s="1"/>
      <c r="D2736" s="1"/>
      <c r="E2736" s="12"/>
      <c r="F2736" s="7"/>
      <c r="G2736" s="7"/>
      <c r="H2736" s="1"/>
      <c r="I2736" s="1"/>
      <c r="J2736" s="1"/>
      <c r="K2736" s="1"/>
      <c r="L2736" s="12"/>
      <c r="M2736" s="12"/>
      <c r="N2736" s="15"/>
      <c r="O2736" s="1"/>
      <c r="Q2736" s="12"/>
      <c r="R2736" s="1"/>
    </row>
    <row r="2737" ht="12.75" customHeight="1">
      <c r="A2737" s="17"/>
      <c r="B2737" s="12"/>
      <c r="C2737" s="1"/>
      <c r="D2737" s="1"/>
      <c r="E2737" s="12"/>
      <c r="F2737" s="7"/>
      <c r="G2737" s="7"/>
      <c r="H2737" s="1"/>
      <c r="I2737" s="1"/>
      <c r="J2737" s="1"/>
      <c r="K2737" s="1"/>
      <c r="L2737" s="12"/>
      <c r="M2737" s="12"/>
      <c r="N2737" s="15"/>
      <c r="O2737" s="1"/>
      <c r="Q2737" s="12"/>
      <c r="R2737" s="1"/>
    </row>
    <row r="2738" ht="12.75" customHeight="1">
      <c r="A2738" s="17"/>
      <c r="B2738" s="12"/>
      <c r="C2738" s="1"/>
      <c r="D2738" s="1"/>
      <c r="E2738" s="12"/>
      <c r="F2738" s="7"/>
      <c r="G2738" s="7"/>
      <c r="H2738" s="1"/>
      <c r="I2738" s="1"/>
      <c r="J2738" s="1"/>
      <c r="K2738" s="1"/>
      <c r="L2738" s="12"/>
      <c r="M2738" s="12"/>
      <c r="N2738" s="15"/>
      <c r="O2738" s="1"/>
      <c r="Q2738" s="12"/>
      <c r="R2738" s="1"/>
    </row>
    <row r="2739" ht="12.75" customHeight="1">
      <c r="A2739" s="17"/>
      <c r="B2739" s="12"/>
      <c r="C2739" s="1"/>
      <c r="D2739" s="1"/>
      <c r="E2739" s="12"/>
      <c r="F2739" s="7"/>
      <c r="G2739" s="7"/>
      <c r="H2739" s="1"/>
      <c r="I2739" s="1"/>
      <c r="J2739" s="1"/>
      <c r="K2739" s="1"/>
      <c r="L2739" s="12"/>
      <c r="M2739" s="12"/>
      <c r="N2739" s="15"/>
      <c r="O2739" s="1"/>
      <c r="Q2739" s="12"/>
      <c r="R2739" s="1"/>
    </row>
    <row r="2740" ht="12.75" customHeight="1">
      <c r="A2740" s="17"/>
      <c r="B2740" s="12"/>
      <c r="C2740" s="1"/>
      <c r="D2740" s="1"/>
      <c r="E2740" s="12"/>
      <c r="F2740" s="7"/>
      <c r="G2740" s="7"/>
      <c r="H2740" s="1"/>
      <c r="I2740" s="1"/>
      <c r="J2740" s="1"/>
      <c r="K2740" s="1"/>
      <c r="L2740" s="12"/>
      <c r="M2740" s="12"/>
      <c r="N2740" s="15"/>
      <c r="O2740" s="1"/>
      <c r="Q2740" s="12"/>
      <c r="R2740" s="1"/>
    </row>
    <row r="2741" ht="12.75" customHeight="1">
      <c r="A2741" s="17"/>
      <c r="B2741" s="12"/>
      <c r="C2741" s="1"/>
      <c r="D2741" s="1"/>
      <c r="E2741" s="12"/>
      <c r="F2741" s="7"/>
      <c r="G2741" s="7"/>
      <c r="H2741" s="1"/>
      <c r="I2741" s="1"/>
      <c r="J2741" s="1"/>
      <c r="K2741" s="1"/>
      <c r="L2741" s="12"/>
      <c r="M2741" s="12"/>
      <c r="N2741" s="15"/>
      <c r="O2741" s="1"/>
      <c r="Q2741" s="12"/>
      <c r="R2741" s="1"/>
    </row>
    <row r="2742" ht="12.75" customHeight="1">
      <c r="A2742" s="17"/>
      <c r="B2742" s="12"/>
      <c r="C2742" s="1"/>
      <c r="D2742" s="1"/>
      <c r="E2742" s="12"/>
      <c r="F2742" s="7"/>
      <c r="G2742" s="7"/>
      <c r="H2742" s="1"/>
      <c r="I2742" s="1"/>
      <c r="J2742" s="1"/>
      <c r="K2742" s="1"/>
      <c r="L2742" s="12"/>
      <c r="M2742" s="12"/>
      <c r="N2742" s="15"/>
      <c r="O2742" s="1"/>
      <c r="Q2742" s="12"/>
      <c r="R2742" s="1"/>
    </row>
    <row r="2743" ht="12.75" customHeight="1">
      <c r="A2743" s="17"/>
      <c r="B2743" s="12"/>
      <c r="C2743" s="1"/>
      <c r="D2743" s="1"/>
      <c r="E2743" s="12"/>
      <c r="F2743" s="7"/>
      <c r="G2743" s="7"/>
      <c r="H2743" s="1"/>
      <c r="I2743" s="1"/>
      <c r="J2743" s="1"/>
      <c r="K2743" s="1"/>
      <c r="L2743" s="12"/>
      <c r="M2743" s="12"/>
      <c r="N2743" s="15"/>
      <c r="O2743" s="1"/>
      <c r="Q2743" s="12"/>
      <c r="R2743" s="1"/>
    </row>
    <row r="2744" ht="12.75" customHeight="1">
      <c r="A2744" s="17"/>
      <c r="B2744" s="12"/>
      <c r="C2744" s="1"/>
      <c r="D2744" s="1"/>
      <c r="E2744" s="12"/>
      <c r="F2744" s="7"/>
      <c r="G2744" s="7"/>
      <c r="H2744" s="1"/>
      <c r="I2744" s="1"/>
      <c r="J2744" s="1"/>
      <c r="K2744" s="1"/>
      <c r="L2744" s="12"/>
      <c r="M2744" s="12"/>
      <c r="N2744" s="15"/>
      <c r="O2744" s="1"/>
      <c r="Q2744" s="12"/>
      <c r="R2744" s="1"/>
    </row>
    <row r="2745" ht="12.75" customHeight="1">
      <c r="A2745" s="17"/>
      <c r="B2745" s="12"/>
      <c r="C2745" s="1"/>
      <c r="D2745" s="1"/>
      <c r="E2745" s="12"/>
      <c r="F2745" s="7"/>
      <c r="G2745" s="7"/>
      <c r="H2745" s="1"/>
      <c r="I2745" s="1"/>
      <c r="J2745" s="1"/>
      <c r="K2745" s="1"/>
      <c r="L2745" s="12"/>
      <c r="M2745" s="12"/>
      <c r="N2745" s="15"/>
      <c r="O2745" s="1"/>
      <c r="Q2745" s="12"/>
      <c r="R2745" s="1"/>
    </row>
    <row r="2746" ht="12.75" customHeight="1">
      <c r="A2746" s="17"/>
      <c r="B2746" s="12"/>
      <c r="C2746" s="1"/>
      <c r="D2746" s="1"/>
      <c r="E2746" s="12"/>
      <c r="F2746" s="7"/>
      <c r="G2746" s="7"/>
      <c r="H2746" s="1"/>
      <c r="I2746" s="1"/>
      <c r="J2746" s="1"/>
      <c r="K2746" s="1"/>
      <c r="L2746" s="12"/>
      <c r="M2746" s="12"/>
      <c r="N2746" s="15"/>
      <c r="O2746" s="1"/>
      <c r="Q2746" s="12"/>
      <c r="R2746" s="1"/>
    </row>
    <row r="2747" ht="12.75" customHeight="1">
      <c r="A2747" s="17"/>
      <c r="B2747" s="12"/>
      <c r="C2747" s="1"/>
      <c r="D2747" s="1"/>
      <c r="E2747" s="12"/>
      <c r="F2747" s="7"/>
      <c r="G2747" s="7"/>
      <c r="H2747" s="1"/>
      <c r="I2747" s="1"/>
      <c r="J2747" s="1"/>
      <c r="K2747" s="1"/>
      <c r="L2747" s="12"/>
      <c r="M2747" s="12"/>
      <c r="N2747" s="15"/>
      <c r="O2747" s="1"/>
      <c r="Q2747" s="12"/>
      <c r="R2747" s="1"/>
    </row>
    <row r="2748" ht="12.75" customHeight="1">
      <c r="A2748" s="17"/>
      <c r="B2748" s="12"/>
      <c r="C2748" s="1"/>
      <c r="D2748" s="1"/>
      <c r="E2748" s="12"/>
      <c r="F2748" s="7"/>
      <c r="G2748" s="7"/>
      <c r="H2748" s="1"/>
      <c r="I2748" s="1"/>
      <c r="J2748" s="1"/>
      <c r="K2748" s="1"/>
      <c r="L2748" s="12"/>
      <c r="M2748" s="12"/>
      <c r="N2748" s="15"/>
      <c r="O2748" s="1"/>
      <c r="Q2748" s="12"/>
      <c r="R2748" s="1"/>
    </row>
    <row r="2749" ht="12.75" customHeight="1">
      <c r="A2749" s="17"/>
      <c r="B2749" s="12"/>
      <c r="C2749" s="1"/>
      <c r="D2749" s="1"/>
      <c r="E2749" s="12"/>
      <c r="F2749" s="7"/>
      <c r="G2749" s="7"/>
      <c r="H2749" s="1"/>
      <c r="I2749" s="1"/>
      <c r="J2749" s="1"/>
      <c r="K2749" s="1"/>
      <c r="L2749" s="12"/>
      <c r="M2749" s="12"/>
      <c r="N2749" s="15"/>
      <c r="O2749" s="1"/>
      <c r="Q2749" s="12"/>
      <c r="R2749" s="1"/>
    </row>
    <row r="2750" ht="12.75" customHeight="1">
      <c r="A2750" s="17"/>
      <c r="B2750" s="12"/>
      <c r="C2750" s="1"/>
      <c r="D2750" s="1"/>
      <c r="E2750" s="12"/>
      <c r="F2750" s="7"/>
      <c r="G2750" s="7"/>
      <c r="H2750" s="1"/>
      <c r="I2750" s="1"/>
      <c r="J2750" s="1"/>
      <c r="K2750" s="1"/>
      <c r="L2750" s="12"/>
      <c r="M2750" s="12"/>
      <c r="N2750" s="15"/>
      <c r="O2750" s="1"/>
      <c r="Q2750" s="12"/>
      <c r="R2750" s="1"/>
    </row>
    <row r="2751" ht="12.75" customHeight="1">
      <c r="A2751" s="17"/>
      <c r="B2751" s="12"/>
      <c r="C2751" s="1"/>
      <c r="D2751" s="1"/>
      <c r="E2751" s="12"/>
      <c r="F2751" s="7"/>
      <c r="G2751" s="7"/>
      <c r="H2751" s="1"/>
      <c r="I2751" s="1"/>
      <c r="J2751" s="1"/>
      <c r="K2751" s="1"/>
      <c r="L2751" s="12"/>
      <c r="M2751" s="12"/>
      <c r="N2751" s="15"/>
      <c r="O2751" s="1"/>
      <c r="Q2751" s="12"/>
      <c r="R2751" s="1"/>
    </row>
    <row r="2752" ht="12.75" customHeight="1">
      <c r="A2752" s="17"/>
      <c r="B2752" s="12"/>
      <c r="C2752" s="1"/>
      <c r="D2752" s="1"/>
      <c r="E2752" s="12"/>
      <c r="F2752" s="7"/>
      <c r="G2752" s="7"/>
      <c r="H2752" s="1"/>
      <c r="I2752" s="1"/>
      <c r="J2752" s="1"/>
      <c r="K2752" s="1"/>
      <c r="L2752" s="12"/>
      <c r="M2752" s="12"/>
      <c r="N2752" s="15"/>
      <c r="O2752" s="1"/>
      <c r="Q2752" s="12"/>
      <c r="R2752" s="1"/>
    </row>
    <row r="2753" ht="12.75" customHeight="1">
      <c r="A2753" s="17"/>
      <c r="B2753" s="12"/>
      <c r="C2753" s="1"/>
      <c r="D2753" s="1"/>
      <c r="E2753" s="12"/>
      <c r="F2753" s="7"/>
      <c r="G2753" s="7"/>
      <c r="H2753" s="1"/>
      <c r="I2753" s="1"/>
      <c r="J2753" s="1"/>
      <c r="K2753" s="1"/>
      <c r="L2753" s="12"/>
      <c r="M2753" s="12"/>
      <c r="N2753" s="15"/>
      <c r="O2753" s="1"/>
      <c r="Q2753" s="12"/>
      <c r="R2753" s="1"/>
    </row>
    <row r="2754" ht="12.75" customHeight="1">
      <c r="A2754" s="17"/>
      <c r="B2754" s="12"/>
      <c r="C2754" s="1"/>
      <c r="D2754" s="1"/>
      <c r="E2754" s="12"/>
      <c r="F2754" s="7"/>
      <c r="G2754" s="7"/>
      <c r="H2754" s="1"/>
      <c r="I2754" s="1"/>
      <c r="J2754" s="1"/>
      <c r="K2754" s="1"/>
      <c r="L2754" s="12"/>
      <c r="M2754" s="12"/>
      <c r="N2754" s="15"/>
      <c r="O2754" s="1"/>
      <c r="Q2754" s="12"/>
      <c r="R2754" s="1"/>
    </row>
    <row r="2755" ht="12.75" customHeight="1">
      <c r="A2755" s="17"/>
      <c r="B2755" s="12"/>
      <c r="C2755" s="1"/>
      <c r="D2755" s="1"/>
      <c r="E2755" s="12"/>
      <c r="F2755" s="7"/>
      <c r="G2755" s="7"/>
      <c r="H2755" s="1"/>
      <c r="I2755" s="1"/>
      <c r="J2755" s="1"/>
      <c r="K2755" s="1"/>
      <c r="L2755" s="12"/>
      <c r="M2755" s="12"/>
      <c r="N2755" s="15"/>
      <c r="O2755" s="1"/>
      <c r="Q2755" s="12"/>
      <c r="R2755" s="1"/>
    </row>
    <row r="2756" ht="12.75" customHeight="1">
      <c r="A2756" s="17"/>
      <c r="B2756" s="12"/>
      <c r="C2756" s="1"/>
      <c r="D2756" s="1"/>
      <c r="E2756" s="12"/>
      <c r="F2756" s="7"/>
      <c r="G2756" s="7"/>
      <c r="H2756" s="1"/>
      <c r="I2756" s="1"/>
      <c r="J2756" s="1"/>
      <c r="K2756" s="1"/>
      <c r="L2756" s="12"/>
      <c r="M2756" s="12"/>
      <c r="N2756" s="15"/>
      <c r="O2756" s="1"/>
      <c r="Q2756" s="12"/>
      <c r="R2756" s="1"/>
    </row>
    <row r="2757" ht="12.75" customHeight="1">
      <c r="A2757" s="17"/>
      <c r="B2757" s="12"/>
      <c r="C2757" s="1"/>
      <c r="D2757" s="1"/>
      <c r="E2757" s="12"/>
      <c r="F2757" s="7"/>
      <c r="G2757" s="7"/>
      <c r="H2757" s="1"/>
      <c r="I2757" s="1"/>
      <c r="J2757" s="1"/>
      <c r="K2757" s="1"/>
      <c r="L2757" s="12"/>
      <c r="M2757" s="12"/>
      <c r="N2757" s="15"/>
      <c r="O2757" s="1"/>
      <c r="Q2757" s="12"/>
      <c r="R2757" s="1"/>
    </row>
    <row r="2758" ht="12.75" customHeight="1">
      <c r="A2758" s="17"/>
      <c r="B2758" s="12"/>
      <c r="C2758" s="1"/>
      <c r="D2758" s="1"/>
      <c r="E2758" s="12"/>
      <c r="F2758" s="7"/>
      <c r="G2758" s="7"/>
      <c r="H2758" s="1"/>
      <c r="I2758" s="1"/>
      <c r="J2758" s="1"/>
      <c r="K2758" s="1"/>
      <c r="L2758" s="12"/>
      <c r="M2758" s="12"/>
      <c r="N2758" s="15"/>
      <c r="O2758" s="1"/>
      <c r="Q2758" s="12"/>
      <c r="R2758" s="1"/>
    </row>
    <row r="2759" ht="12.75" customHeight="1">
      <c r="A2759" s="17"/>
      <c r="B2759" s="12"/>
      <c r="C2759" s="1"/>
      <c r="D2759" s="1"/>
      <c r="E2759" s="12"/>
      <c r="F2759" s="7"/>
      <c r="G2759" s="7"/>
      <c r="H2759" s="1"/>
      <c r="I2759" s="1"/>
      <c r="J2759" s="1"/>
      <c r="K2759" s="1"/>
      <c r="L2759" s="12"/>
      <c r="M2759" s="12"/>
      <c r="N2759" s="15"/>
      <c r="O2759" s="1"/>
      <c r="Q2759" s="12"/>
      <c r="R2759" s="1"/>
    </row>
    <row r="2760" ht="12.75" customHeight="1">
      <c r="A2760" s="17"/>
      <c r="B2760" s="12"/>
      <c r="C2760" s="1"/>
      <c r="D2760" s="1"/>
      <c r="E2760" s="12"/>
      <c r="F2760" s="7"/>
      <c r="G2760" s="7"/>
      <c r="H2760" s="1"/>
      <c r="I2760" s="1"/>
      <c r="J2760" s="1"/>
      <c r="K2760" s="1"/>
      <c r="L2760" s="12"/>
      <c r="M2760" s="12"/>
      <c r="N2760" s="15"/>
      <c r="O2760" s="1"/>
      <c r="Q2760" s="12"/>
      <c r="R2760" s="1"/>
    </row>
    <row r="2761" ht="12.75" customHeight="1">
      <c r="A2761" s="17"/>
      <c r="B2761" s="12"/>
      <c r="C2761" s="1"/>
      <c r="D2761" s="1"/>
      <c r="E2761" s="12"/>
      <c r="F2761" s="7"/>
      <c r="G2761" s="7"/>
      <c r="H2761" s="1"/>
      <c r="I2761" s="1"/>
      <c r="J2761" s="1"/>
      <c r="K2761" s="1"/>
      <c r="L2761" s="12"/>
      <c r="M2761" s="12"/>
      <c r="N2761" s="15"/>
      <c r="O2761" s="1"/>
      <c r="Q2761" s="12"/>
      <c r="R2761" s="1"/>
    </row>
    <row r="2762" ht="12.75" customHeight="1">
      <c r="A2762" s="17"/>
      <c r="B2762" s="12"/>
      <c r="C2762" s="1"/>
      <c r="D2762" s="1"/>
      <c r="E2762" s="12"/>
      <c r="F2762" s="7"/>
      <c r="G2762" s="7"/>
      <c r="H2762" s="1"/>
      <c r="I2762" s="1"/>
      <c r="J2762" s="1"/>
      <c r="K2762" s="1"/>
      <c r="L2762" s="12"/>
      <c r="M2762" s="12"/>
      <c r="N2762" s="15"/>
      <c r="O2762" s="1"/>
      <c r="Q2762" s="12"/>
      <c r="R2762" s="1"/>
    </row>
    <row r="2763" ht="12.75" customHeight="1">
      <c r="A2763" s="17"/>
      <c r="B2763" s="12"/>
      <c r="C2763" s="1"/>
      <c r="D2763" s="1"/>
      <c r="E2763" s="12"/>
      <c r="F2763" s="7"/>
      <c r="G2763" s="7"/>
      <c r="H2763" s="1"/>
      <c r="I2763" s="1"/>
      <c r="J2763" s="1"/>
      <c r="K2763" s="1"/>
      <c r="L2763" s="12"/>
      <c r="M2763" s="12"/>
      <c r="N2763" s="15"/>
      <c r="O2763" s="1"/>
      <c r="Q2763" s="12"/>
      <c r="R2763" s="1"/>
    </row>
    <row r="2764" ht="12.75" customHeight="1">
      <c r="A2764" s="17"/>
      <c r="B2764" s="12"/>
      <c r="C2764" s="1"/>
      <c r="D2764" s="1"/>
      <c r="E2764" s="12"/>
      <c r="F2764" s="7"/>
      <c r="G2764" s="7"/>
      <c r="H2764" s="1"/>
      <c r="I2764" s="1"/>
      <c r="J2764" s="1"/>
      <c r="K2764" s="1"/>
      <c r="L2764" s="12"/>
      <c r="M2764" s="12"/>
      <c r="N2764" s="15"/>
      <c r="O2764" s="1"/>
      <c r="Q2764" s="12"/>
      <c r="R2764" s="1"/>
    </row>
    <row r="2765" ht="12.75" customHeight="1">
      <c r="A2765" s="17"/>
      <c r="B2765" s="12"/>
      <c r="C2765" s="1"/>
      <c r="D2765" s="1"/>
      <c r="E2765" s="12"/>
      <c r="F2765" s="7"/>
      <c r="G2765" s="7"/>
      <c r="H2765" s="1"/>
      <c r="I2765" s="1"/>
      <c r="J2765" s="1"/>
      <c r="K2765" s="1"/>
      <c r="L2765" s="12"/>
      <c r="M2765" s="12"/>
      <c r="N2765" s="15"/>
      <c r="O2765" s="1"/>
      <c r="Q2765" s="12"/>
      <c r="R2765" s="1"/>
    </row>
    <row r="2766" ht="12.75" customHeight="1">
      <c r="A2766" s="17"/>
      <c r="B2766" s="12"/>
      <c r="C2766" s="1"/>
      <c r="D2766" s="1"/>
      <c r="E2766" s="12"/>
      <c r="F2766" s="7"/>
      <c r="G2766" s="7"/>
      <c r="H2766" s="1"/>
      <c r="I2766" s="1"/>
      <c r="J2766" s="1"/>
      <c r="K2766" s="1"/>
      <c r="L2766" s="12"/>
      <c r="M2766" s="12"/>
      <c r="N2766" s="15"/>
      <c r="O2766" s="1"/>
      <c r="Q2766" s="12"/>
      <c r="R2766" s="1"/>
    </row>
    <row r="2767" ht="12.75" customHeight="1">
      <c r="A2767" s="17"/>
      <c r="B2767" s="12"/>
      <c r="C2767" s="1"/>
      <c r="D2767" s="1"/>
      <c r="E2767" s="12"/>
      <c r="F2767" s="7"/>
      <c r="G2767" s="7"/>
      <c r="H2767" s="1"/>
      <c r="I2767" s="1"/>
      <c r="J2767" s="1"/>
      <c r="K2767" s="1"/>
      <c r="L2767" s="12"/>
      <c r="M2767" s="12"/>
      <c r="N2767" s="15"/>
      <c r="O2767" s="1"/>
      <c r="Q2767" s="12"/>
      <c r="R2767" s="1"/>
    </row>
    <row r="2768" ht="12.75" customHeight="1">
      <c r="A2768" s="17"/>
      <c r="B2768" s="12"/>
      <c r="C2768" s="1"/>
      <c r="D2768" s="1"/>
      <c r="E2768" s="12"/>
      <c r="F2768" s="7"/>
      <c r="G2768" s="7"/>
      <c r="H2768" s="1"/>
      <c r="I2768" s="1"/>
      <c r="J2768" s="1"/>
      <c r="K2768" s="1"/>
      <c r="L2768" s="12"/>
      <c r="M2768" s="12"/>
      <c r="N2768" s="15"/>
      <c r="O2768" s="1"/>
      <c r="Q2768" s="12"/>
      <c r="R2768" s="1"/>
    </row>
    <row r="2769" ht="12.75" customHeight="1">
      <c r="A2769" s="17"/>
      <c r="B2769" s="12"/>
      <c r="C2769" s="1"/>
      <c r="D2769" s="1"/>
      <c r="E2769" s="12"/>
      <c r="F2769" s="7"/>
      <c r="G2769" s="7"/>
      <c r="H2769" s="1"/>
      <c r="I2769" s="1"/>
      <c r="J2769" s="1"/>
      <c r="K2769" s="1"/>
      <c r="L2769" s="12"/>
      <c r="M2769" s="12"/>
      <c r="N2769" s="15"/>
      <c r="O2769" s="1"/>
      <c r="Q2769" s="12"/>
      <c r="R2769" s="1"/>
    </row>
    <row r="2770" ht="12.75" customHeight="1">
      <c r="A2770" s="17"/>
      <c r="B2770" s="12"/>
      <c r="C2770" s="1"/>
      <c r="D2770" s="1"/>
      <c r="E2770" s="12"/>
      <c r="F2770" s="7"/>
      <c r="G2770" s="7"/>
      <c r="H2770" s="1"/>
      <c r="I2770" s="1"/>
      <c r="J2770" s="1"/>
      <c r="K2770" s="1"/>
      <c r="L2770" s="12"/>
      <c r="M2770" s="12"/>
      <c r="N2770" s="15"/>
      <c r="O2770" s="1"/>
      <c r="Q2770" s="12"/>
      <c r="R2770" s="1"/>
    </row>
    <row r="2771" ht="12.75" customHeight="1">
      <c r="A2771" s="17"/>
      <c r="B2771" s="12"/>
      <c r="C2771" s="1"/>
      <c r="D2771" s="1"/>
      <c r="E2771" s="12"/>
      <c r="F2771" s="7"/>
      <c r="G2771" s="7"/>
      <c r="H2771" s="1"/>
      <c r="I2771" s="1"/>
      <c r="J2771" s="1"/>
      <c r="K2771" s="1"/>
      <c r="L2771" s="12"/>
      <c r="M2771" s="12"/>
      <c r="N2771" s="15"/>
      <c r="O2771" s="1"/>
      <c r="Q2771" s="12"/>
      <c r="R2771" s="1"/>
    </row>
    <row r="2772" ht="12.75" customHeight="1">
      <c r="A2772" s="17"/>
      <c r="B2772" s="12"/>
      <c r="C2772" s="1"/>
      <c r="D2772" s="1"/>
      <c r="E2772" s="12"/>
      <c r="F2772" s="7"/>
      <c r="G2772" s="7"/>
      <c r="H2772" s="1"/>
      <c r="I2772" s="1"/>
      <c r="J2772" s="1"/>
      <c r="K2772" s="1"/>
      <c r="L2772" s="12"/>
      <c r="M2772" s="12"/>
      <c r="N2772" s="15"/>
      <c r="O2772" s="1"/>
      <c r="Q2772" s="12"/>
      <c r="R2772" s="1"/>
    </row>
    <row r="2773" ht="12.75" customHeight="1">
      <c r="A2773" s="17"/>
      <c r="B2773" s="12"/>
      <c r="C2773" s="1"/>
      <c r="D2773" s="1"/>
      <c r="E2773" s="12"/>
      <c r="F2773" s="7"/>
      <c r="G2773" s="7"/>
      <c r="H2773" s="1"/>
      <c r="I2773" s="1"/>
      <c r="J2773" s="1"/>
      <c r="K2773" s="1"/>
      <c r="L2773" s="12"/>
      <c r="M2773" s="12"/>
      <c r="N2773" s="15"/>
      <c r="O2773" s="1"/>
      <c r="Q2773" s="12"/>
      <c r="R2773" s="1"/>
    </row>
    <row r="2774" ht="12.75" customHeight="1">
      <c r="A2774" s="17"/>
      <c r="B2774" s="12"/>
      <c r="C2774" s="1"/>
      <c r="D2774" s="1"/>
      <c r="E2774" s="12"/>
      <c r="F2774" s="7"/>
      <c r="G2774" s="7"/>
      <c r="H2774" s="1"/>
      <c r="I2774" s="1"/>
      <c r="J2774" s="1"/>
      <c r="K2774" s="1"/>
      <c r="L2774" s="12"/>
      <c r="M2774" s="12"/>
      <c r="N2774" s="15"/>
      <c r="O2774" s="1"/>
      <c r="Q2774" s="12"/>
      <c r="R2774" s="1"/>
    </row>
    <row r="2775" ht="12.75" customHeight="1">
      <c r="A2775" s="17"/>
      <c r="B2775" s="12"/>
      <c r="C2775" s="1"/>
      <c r="D2775" s="1"/>
      <c r="E2775" s="12"/>
      <c r="F2775" s="7"/>
      <c r="G2775" s="7"/>
      <c r="H2775" s="1"/>
      <c r="I2775" s="1"/>
      <c r="J2775" s="1"/>
      <c r="K2775" s="1"/>
      <c r="L2775" s="12"/>
      <c r="M2775" s="12"/>
      <c r="N2775" s="15"/>
      <c r="O2775" s="1"/>
      <c r="Q2775" s="12"/>
      <c r="R2775" s="1"/>
    </row>
    <row r="2776" ht="12.75" customHeight="1">
      <c r="A2776" s="17"/>
      <c r="B2776" s="12"/>
      <c r="C2776" s="1"/>
      <c r="D2776" s="1"/>
      <c r="E2776" s="12"/>
      <c r="F2776" s="7"/>
      <c r="G2776" s="7"/>
      <c r="H2776" s="1"/>
      <c r="I2776" s="1"/>
      <c r="J2776" s="1"/>
      <c r="K2776" s="1"/>
      <c r="L2776" s="12"/>
      <c r="M2776" s="12"/>
      <c r="N2776" s="15"/>
      <c r="O2776" s="1"/>
      <c r="Q2776" s="12"/>
      <c r="R2776" s="1"/>
    </row>
    <row r="2777" ht="12.75" customHeight="1">
      <c r="A2777" s="17"/>
      <c r="B2777" s="12"/>
      <c r="C2777" s="1"/>
      <c r="D2777" s="1"/>
      <c r="E2777" s="12"/>
      <c r="F2777" s="7"/>
      <c r="G2777" s="7"/>
      <c r="H2777" s="1"/>
      <c r="I2777" s="1"/>
      <c r="J2777" s="1"/>
      <c r="K2777" s="1"/>
      <c r="L2777" s="12"/>
      <c r="M2777" s="12"/>
      <c r="N2777" s="15"/>
      <c r="O2777" s="1"/>
      <c r="Q2777" s="12"/>
      <c r="R2777" s="1"/>
    </row>
    <row r="2778" ht="12.75" customHeight="1">
      <c r="A2778" s="17"/>
      <c r="B2778" s="12"/>
      <c r="C2778" s="1"/>
      <c r="D2778" s="1"/>
      <c r="E2778" s="12"/>
      <c r="F2778" s="7"/>
      <c r="G2778" s="7"/>
      <c r="H2778" s="1"/>
      <c r="I2778" s="1"/>
      <c r="J2778" s="1"/>
      <c r="K2778" s="1"/>
      <c r="L2778" s="12"/>
      <c r="M2778" s="12"/>
      <c r="N2778" s="15"/>
      <c r="O2778" s="1"/>
      <c r="Q2778" s="12"/>
      <c r="R2778" s="1"/>
    </row>
    <row r="2779" ht="12.75" customHeight="1">
      <c r="A2779" s="17"/>
      <c r="B2779" s="12"/>
      <c r="C2779" s="1"/>
      <c r="D2779" s="1"/>
      <c r="E2779" s="12"/>
      <c r="F2779" s="7"/>
      <c r="G2779" s="7"/>
      <c r="H2779" s="1"/>
      <c r="I2779" s="1"/>
      <c r="J2779" s="1"/>
      <c r="K2779" s="1"/>
      <c r="L2779" s="12"/>
      <c r="M2779" s="12"/>
      <c r="N2779" s="15"/>
      <c r="O2779" s="1"/>
      <c r="Q2779" s="12"/>
      <c r="R2779" s="1"/>
    </row>
    <row r="2780" ht="12.75" customHeight="1">
      <c r="A2780" s="17"/>
      <c r="B2780" s="12"/>
      <c r="C2780" s="1"/>
      <c r="D2780" s="1"/>
      <c r="E2780" s="12"/>
      <c r="F2780" s="7"/>
      <c r="G2780" s="7"/>
      <c r="H2780" s="1"/>
      <c r="I2780" s="1"/>
      <c r="J2780" s="1"/>
      <c r="K2780" s="1"/>
      <c r="L2780" s="12"/>
      <c r="M2780" s="12"/>
      <c r="N2780" s="15"/>
      <c r="O2780" s="1"/>
      <c r="Q2780" s="12"/>
      <c r="R2780" s="1"/>
    </row>
    <row r="2781" ht="12.75" customHeight="1">
      <c r="A2781" s="17"/>
      <c r="B2781" s="12"/>
      <c r="C2781" s="1"/>
      <c r="D2781" s="1"/>
      <c r="E2781" s="12"/>
      <c r="F2781" s="7"/>
      <c r="G2781" s="7"/>
      <c r="H2781" s="1"/>
      <c r="I2781" s="1"/>
      <c r="J2781" s="1"/>
      <c r="K2781" s="1"/>
      <c r="L2781" s="12"/>
      <c r="M2781" s="12"/>
      <c r="N2781" s="15"/>
      <c r="O2781" s="1"/>
      <c r="Q2781" s="12"/>
      <c r="R2781" s="1"/>
    </row>
    <row r="2782" ht="12.75" customHeight="1">
      <c r="A2782" s="17"/>
      <c r="B2782" s="12"/>
      <c r="C2782" s="1"/>
      <c r="D2782" s="1"/>
      <c r="E2782" s="12"/>
      <c r="F2782" s="7"/>
      <c r="G2782" s="7"/>
      <c r="H2782" s="1"/>
      <c r="I2782" s="1"/>
      <c r="J2782" s="1"/>
      <c r="K2782" s="1"/>
      <c r="L2782" s="12"/>
      <c r="M2782" s="12"/>
      <c r="N2782" s="15"/>
      <c r="O2782" s="1"/>
      <c r="Q2782" s="12"/>
      <c r="R2782" s="1"/>
    </row>
    <row r="2783" ht="12.75" customHeight="1">
      <c r="A2783" s="17"/>
      <c r="B2783" s="12"/>
      <c r="C2783" s="1"/>
      <c r="D2783" s="1"/>
      <c r="E2783" s="12"/>
      <c r="F2783" s="7"/>
      <c r="G2783" s="7"/>
      <c r="H2783" s="1"/>
      <c r="I2783" s="1"/>
      <c r="J2783" s="1"/>
      <c r="K2783" s="1"/>
      <c r="L2783" s="12"/>
      <c r="M2783" s="12"/>
      <c r="N2783" s="15"/>
      <c r="O2783" s="1"/>
      <c r="Q2783" s="12"/>
      <c r="R2783" s="1"/>
    </row>
    <row r="2784" ht="12.75" customHeight="1">
      <c r="A2784" s="17"/>
      <c r="B2784" s="12"/>
      <c r="C2784" s="1"/>
      <c r="D2784" s="1"/>
      <c r="E2784" s="12"/>
      <c r="F2784" s="7"/>
      <c r="G2784" s="7"/>
      <c r="H2784" s="1"/>
      <c r="I2784" s="1"/>
      <c r="J2784" s="1"/>
      <c r="K2784" s="1"/>
      <c r="L2784" s="12"/>
      <c r="M2784" s="12"/>
      <c r="N2784" s="15"/>
      <c r="O2784" s="1"/>
      <c r="Q2784" s="12"/>
      <c r="R2784" s="1"/>
    </row>
    <row r="2785" ht="12.75" customHeight="1">
      <c r="A2785" s="17"/>
      <c r="B2785" s="12"/>
      <c r="C2785" s="1"/>
      <c r="D2785" s="1"/>
      <c r="E2785" s="12"/>
      <c r="F2785" s="7"/>
      <c r="G2785" s="7"/>
      <c r="H2785" s="1"/>
      <c r="I2785" s="1"/>
      <c r="J2785" s="1"/>
      <c r="K2785" s="1"/>
      <c r="L2785" s="12"/>
      <c r="M2785" s="12"/>
      <c r="N2785" s="15"/>
      <c r="O2785" s="1"/>
      <c r="Q2785" s="12"/>
      <c r="R2785" s="1"/>
    </row>
    <row r="2786" ht="12.75" customHeight="1">
      <c r="A2786" s="17"/>
      <c r="B2786" s="12"/>
      <c r="C2786" s="1"/>
      <c r="D2786" s="1"/>
      <c r="E2786" s="12"/>
      <c r="F2786" s="7"/>
      <c r="G2786" s="7"/>
      <c r="H2786" s="1"/>
      <c r="I2786" s="1"/>
      <c r="J2786" s="1"/>
      <c r="K2786" s="1"/>
      <c r="L2786" s="12"/>
      <c r="M2786" s="12"/>
      <c r="N2786" s="15"/>
      <c r="O2786" s="1"/>
      <c r="Q2786" s="12"/>
      <c r="R2786" s="1"/>
    </row>
    <row r="2787" ht="12.75" customHeight="1">
      <c r="A2787" s="17"/>
      <c r="B2787" s="12"/>
      <c r="C2787" s="1"/>
      <c r="D2787" s="1"/>
      <c r="E2787" s="12"/>
      <c r="F2787" s="7"/>
      <c r="G2787" s="7"/>
      <c r="H2787" s="1"/>
      <c r="I2787" s="1"/>
      <c r="J2787" s="1"/>
      <c r="K2787" s="1"/>
      <c r="L2787" s="12"/>
      <c r="M2787" s="12"/>
      <c r="N2787" s="15"/>
      <c r="O2787" s="1"/>
      <c r="Q2787" s="12"/>
      <c r="R2787" s="1"/>
    </row>
    <row r="2788" ht="12.75" customHeight="1">
      <c r="A2788" s="17"/>
      <c r="B2788" s="12"/>
      <c r="C2788" s="1"/>
      <c r="D2788" s="1"/>
      <c r="E2788" s="12"/>
      <c r="F2788" s="7"/>
      <c r="G2788" s="7"/>
      <c r="H2788" s="1"/>
      <c r="I2788" s="1"/>
      <c r="J2788" s="1"/>
      <c r="K2788" s="1"/>
      <c r="L2788" s="12"/>
      <c r="M2788" s="12"/>
      <c r="N2788" s="15"/>
      <c r="O2788" s="1"/>
      <c r="Q2788" s="12"/>
      <c r="R2788" s="1"/>
    </row>
    <row r="2789" ht="12.75" customHeight="1">
      <c r="A2789" s="17"/>
      <c r="B2789" s="12"/>
      <c r="C2789" s="1"/>
      <c r="D2789" s="1"/>
      <c r="E2789" s="12"/>
      <c r="F2789" s="7"/>
      <c r="G2789" s="7"/>
      <c r="H2789" s="1"/>
      <c r="I2789" s="1"/>
      <c r="J2789" s="1"/>
      <c r="K2789" s="1"/>
      <c r="L2789" s="12"/>
      <c r="M2789" s="12"/>
      <c r="N2789" s="15"/>
      <c r="O2789" s="1"/>
      <c r="Q2789" s="12"/>
      <c r="R2789" s="1"/>
    </row>
    <row r="2790" ht="12.75" customHeight="1">
      <c r="A2790" s="17"/>
      <c r="B2790" s="12"/>
      <c r="C2790" s="1"/>
      <c r="D2790" s="1"/>
      <c r="E2790" s="12"/>
      <c r="F2790" s="7"/>
      <c r="G2790" s="7"/>
      <c r="H2790" s="1"/>
      <c r="I2790" s="1"/>
      <c r="J2790" s="1"/>
      <c r="K2790" s="1"/>
      <c r="L2790" s="12"/>
      <c r="M2790" s="12"/>
      <c r="N2790" s="15"/>
      <c r="O2790" s="1"/>
      <c r="Q2790" s="12"/>
      <c r="R2790" s="1"/>
    </row>
    <row r="2791" ht="12.75" customHeight="1">
      <c r="A2791" s="17"/>
      <c r="B2791" s="12"/>
      <c r="C2791" s="1"/>
      <c r="D2791" s="1"/>
      <c r="E2791" s="12"/>
      <c r="F2791" s="7"/>
      <c r="G2791" s="7"/>
      <c r="H2791" s="1"/>
      <c r="I2791" s="1"/>
      <c r="J2791" s="1"/>
      <c r="K2791" s="1"/>
      <c r="L2791" s="12"/>
      <c r="M2791" s="12"/>
      <c r="N2791" s="15"/>
      <c r="O2791" s="1"/>
      <c r="Q2791" s="12"/>
      <c r="R2791" s="1"/>
    </row>
    <row r="2792" ht="12.75" customHeight="1">
      <c r="A2792" s="17"/>
      <c r="B2792" s="12"/>
      <c r="C2792" s="1"/>
      <c r="D2792" s="1"/>
      <c r="E2792" s="12"/>
      <c r="F2792" s="7"/>
      <c r="G2792" s="7"/>
      <c r="H2792" s="1"/>
      <c r="I2792" s="1"/>
      <c r="J2792" s="1"/>
      <c r="K2792" s="1"/>
      <c r="L2792" s="12"/>
      <c r="M2792" s="12"/>
      <c r="N2792" s="15"/>
      <c r="O2792" s="1"/>
      <c r="Q2792" s="12"/>
      <c r="R2792" s="1"/>
    </row>
    <row r="2793" ht="12.75" customHeight="1">
      <c r="A2793" s="17"/>
      <c r="B2793" s="12"/>
      <c r="C2793" s="1"/>
      <c r="D2793" s="1"/>
      <c r="E2793" s="12"/>
      <c r="F2793" s="7"/>
      <c r="G2793" s="7"/>
      <c r="H2793" s="1"/>
      <c r="I2793" s="1"/>
      <c r="J2793" s="1"/>
      <c r="K2793" s="1"/>
      <c r="L2793" s="12"/>
      <c r="M2793" s="12"/>
      <c r="N2793" s="15"/>
      <c r="O2793" s="1"/>
      <c r="Q2793" s="12"/>
      <c r="R2793" s="1"/>
    </row>
    <row r="2794" ht="12.75" customHeight="1">
      <c r="A2794" s="17"/>
      <c r="B2794" s="12"/>
      <c r="C2794" s="1"/>
      <c r="D2794" s="1"/>
      <c r="E2794" s="12"/>
      <c r="F2794" s="7"/>
      <c r="G2794" s="7"/>
      <c r="H2794" s="1"/>
      <c r="I2794" s="1"/>
      <c r="J2794" s="1"/>
      <c r="K2794" s="1"/>
      <c r="L2794" s="12"/>
      <c r="M2794" s="12"/>
      <c r="N2794" s="15"/>
      <c r="O2794" s="1"/>
      <c r="Q2794" s="12"/>
      <c r="R2794" s="1"/>
    </row>
    <row r="2795" ht="12.75" customHeight="1">
      <c r="A2795" s="17"/>
      <c r="B2795" s="12"/>
      <c r="C2795" s="1"/>
      <c r="D2795" s="1"/>
      <c r="E2795" s="12"/>
      <c r="F2795" s="7"/>
      <c r="G2795" s="7"/>
      <c r="H2795" s="1"/>
      <c r="I2795" s="1"/>
      <c r="J2795" s="1"/>
      <c r="K2795" s="1"/>
      <c r="L2795" s="12"/>
      <c r="M2795" s="12"/>
      <c r="N2795" s="15"/>
      <c r="O2795" s="1"/>
      <c r="Q2795" s="12"/>
      <c r="R2795" s="1"/>
    </row>
    <row r="2796" ht="12.75" customHeight="1">
      <c r="A2796" s="17"/>
      <c r="B2796" s="12"/>
      <c r="C2796" s="1"/>
      <c r="D2796" s="1"/>
      <c r="E2796" s="12"/>
      <c r="F2796" s="7"/>
      <c r="G2796" s="7"/>
      <c r="H2796" s="1"/>
      <c r="I2796" s="1"/>
      <c r="J2796" s="1"/>
      <c r="K2796" s="1"/>
      <c r="L2796" s="12"/>
      <c r="M2796" s="12"/>
      <c r="N2796" s="15"/>
      <c r="O2796" s="1"/>
      <c r="Q2796" s="12"/>
      <c r="R2796" s="1"/>
    </row>
    <row r="2797" ht="12.75" customHeight="1">
      <c r="A2797" s="17"/>
      <c r="B2797" s="12"/>
      <c r="C2797" s="1"/>
      <c r="D2797" s="1"/>
      <c r="E2797" s="12"/>
      <c r="F2797" s="7"/>
      <c r="G2797" s="7"/>
      <c r="H2797" s="1"/>
      <c r="I2797" s="1"/>
      <c r="J2797" s="1"/>
      <c r="K2797" s="1"/>
      <c r="L2797" s="12"/>
      <c r="M2797" s="12"/>
      <c r="N2797" s="15"/>
      <c r="O2797" s="1"/>
      <c r="Q2797" s="12"/>
      <c r="R2797" s="1"/>
    </row>
    <row r="2798" ht="12.75" customHeight="1">
      <c r="A2798" s="17"/>
      <c r="B2798" s="12"/>
      <c r="C2798" s="1"/>
      <c r="D2798" s="1"/>
      <c r="E2798" s="12"/>
      <c r="F2798" s="7"/>
      <c r="G2798" s="7"/>
      <c r="H2798" s="1"/>
      <c r="I2798" s="1"/>
      <c r="J2798" s="1"/>
      <c r="K2798" s="1"/>
      <c r="L2798" s="12"/>
      <c r="M2798" s="12"/>
      <c r="N2798" s="15"/>
      <c r="O2798" s="1"/>
      <c r="Q2798" s="12"/>
      <c r="R2798" s="1"/>
    </row>
    <row r="2799" ht="12.75" customHeight="1">
      <c r="A2799" s="17"/>
      <c r="B2799" s="12"/>
      <c r="C2799" s="1"/>
      <c r="D2799" s="1"/>
      <c r="E2799" s="12"/>
      <c r="F2799" s="7"/>
      <c r="G2799" s="7"/>
      <c r="H2799" s="1"/>
      <c r="I2799" s="1"/>
      <c r="J2799" s="1"/>
      <c r="K2799" s="1"/>
      <c r="L2799" s="12"/>
      <c r="M2799" s="12"/>
      <c r="N2799" s="15"/>
      <c r="O2799" s="1"/>
      <c r="Q2799" s="12"/>
      <c r="R2799" s="1"/>
    </row>
    <row r="2800" ht="12.75" customHeight="1">
      <c r="A2800" s="17"/>
      <c r="B2800" s="12"/>
      <c r="C2800" s="1"/>
      <c r="D2800" s="1"/>
      <c r="E2800" s="12"/>
      <c r="F2800" s="7"/>
      <c r="G2800" s="7"/>
      <c r="H2800" s="1"/>
      <c r="I2800" s="1"/>
      <c r="J2800" s="1"/>
      <c r="K2800" s="1"/>
      <c r="L2800" s="12"/>
      <c r="M2800" s="12"/>
      <c r="N2800" s="15"/>
      <c r="O2800" s="1"/>
      <c r="Q2800" s="12"/>
      <c r="R2800" s="1"/>
    </row>
    <row r="2801" ht="12.75" customHeight="1">
      <c r="A2801" s="17"/>
      <c r="B2801" s="12"/>
      <c r="C2801" s="1"/>
      <c r="D2801" s="1"/>
      <c r="E2801" s="12"/>
      <c r="F2801" s="7"/>
      <c r="G2801" s="7"/>
      <c r="H2801" s="1"/>
      <c r="I2801" s="1"/>
      <c r="J2801" s="1"/>
      <c r="K2801" s="1"/>
      <c r="L2801" s="12"/>
      <c r="M2801" s="12"/>
      <c r="N2801" s="15"/>
      <c r="O2801" s="1"/>
      <c r="Q2801" s="12"/>
      <c r="R2801" s="1"/>
    </row>
    <row r="2802" ht="12.75" customHeight="1">
      <c r="A2802" s="17"/>
      <c r="B2802" s="12"/>
      <c r="C2802" s="1"/>
      <c r="D2802" s="1"/>
      <c r="E2802" s="12"/>
      <c r="F2802" s="7"/>
      <c r="G2802" s="7"/>
      <c r="H2802" s="1"/>
      <c r="I2802" s="1"/>
      <c r="J2802" s="1"/>
      <c r="K2802" s="1"/>
      <c r="L2802" s="12"/>
      <c r="M2802" s="12"/>
      <c r="N2802" s="15"/>
      <c r="O2802" s="1"/>
      <c r="Q2802" s="12"/>
      <c r="R2802" s="1"/>
    </row>
    <row r="2803" ht="12.75" customHeight="1">
      <c r="A2803" s="17"/>
      <c r="B2803" s="12"/>
      <c r="C2803" s="1"/>
      <c r="D2803" s="1"/>
      <c r="E2803" s="12"/>
      <c r="F2803" s="7"/>
      <c r="G2803" s="7"/>
      <c r="H2803" s="1"/>
      <c r="I2803" s="1"/>
      <c r="J2803" s="1"/>
      <c r="K2803" s="1"/>
      <c r="L2803" s="12"/>
      <c r="M2803" s="12"/>
      <c r="N2803" s="15"/>
      <c r="O2803" s="1"/>
      <c r="Q2803" s="12"/>
      <c r="R2803" s="1"/>
    </row>
    <row r="2804" ht="12.75" customHeight="1">
      <c r="A2804" s="17"/>
      <c r="B2804" s="12"/>
      <c r="C2804" s="1"/>
      <c r="D2804" s="1"/>
      <c r="E2804" s="12"/>
      <c r="F2804" s="7"/>
      <c r="G2804" s="7"/>
      <c r="H2804" s="1"/>
      <c r="I2804" s="1"/>
      <c r="J2804" s="1"/>
      <c r="K2804" s="1"/>
      <c r="L2804" s="12"/>
      <c r="M2804" s="12"/>
      <c r="N2804" s="15"/>
      <c r="O2804" s="1"/>
      <c r="Q2804" s="12"/>
      <c r="R2804" s="1"/>
    </row>
    <row r="2805" ht="12.75" customHeight="1">
      <c r="A2805" s="17"/>
      <c r="B2805" s="12"/>
      <c r="C2805" s="1"/>
      <c r="D2805" s="1"/>
      <c r="E2805" s="12"/>
      <c r="F2805" s="7"/>
      <c r="G2805" s="7"/>
      <c r="H2805" s="1"/>
      <c r="I2805" s="1"/>
      <c r="J2805" s="1"/>
      <c r="K2805" s="1"/>
      <c r="L2805" s="12"/>
      <c r="M2805" s="12"/>
      <c r="N2805" s="15"/>
      <c r="O2805" s="1"/>
      <c r="Q2805" s="12"/>
      <c r="R2805" s="1"/>
    </row>
    <row r="2806" ht="12.75" customHeight="1">
      <c r="A2806" s="17"/>
      <c r="B2806" s="12"/>
      <c r="C2806" s="1"/>
      <c r="D2806" s="1"/>
      <c r="E2806" s="12"/>
      <c r="F2806" s="7"/>
      <c r="G2806" s="7"/>
      <c r="H2806" s="1"/>
      <c r="I2806" s="1"/>
      <c r="J2806" s="1"/>
      <c r="K2806" s="1"/>
      <c r="L2806" s="12"/>
      <c r="M2806" s="12"/>
      <c r="N2806" s="15"/>
      <c r="O2806" s="1"/>
      <c r="Q2806" s="12"/>
      <c r="R2806" s="1"/>
    </row>
    <row r="2807" ht="12.75" customHeight="1">
      <c r="A2807" s="17"/>
      <c r="B2807" s="12"/>
      <c r="C2807" s="1"/>
      <c r="D2807" s="1"/>
      <c r="E2807" s="12"/>
      <c r="F2807" s="7"/>
      <c r="G2807" s="7"/>
      <c r="H2807" s="1"/>
      <c r="I2807" s="1"/>
      <c r="J2807" s="1"/>
      <c r="K2807" s="1"/>
      <c r="L2807" s="12"/>
      <c r="M2807" s="12"/>
      <c r="N2807" s="15"/>
      <c r="O2807" s="1"/>
      <c r="Q2807" s="12"/>
      <c r="R2807" s="1"/>
    </row>
    <row r="2808" ht="12.75" customHeight="1">
      <c r="A2808" s="17"/>
      <c r="B2808" s="12"/>
      <c r="C2808" s="1"/>
      <c r="D2808" s="1"/>
      <c r="E2808" s="12"/>
      <c r="F2808" s="7"/>
      <c r="G2808" s="7"/>
      <c r="H2808" s="1"/>
      <c r="I2808" s="1"/>
      <c r="J2808" s="1"/>
      <c r="K2808" s="1"/>
      <c r="L2808" s="12"/>
      <c r="M2808" s="12"/>
      <c r="N2808" s="15"/>
      <c r="O2808" s="1"/>
      <c r="Q2808" s="12"/>
      <c r="R2808" s="1"/>
    </row>
    <row r="2809" ht="12.75" customHeight="1">
      <c r="A2809" s="17"/>
      <c r="B2809" s="12"/>
      <c r="C2809" s="1"/>
      <c r="D2809" s="1"/>
      <c r="E2809" s="12"/>
      <c r="F2809" s="7"/>
      <c r="G2809" s="7"/>
      <c r="H2809" s="1"/>
      <c r="I2809" s="1"/>
      <c r="J2809" s="1"/>
      <c r="K2809" s="1"/>
      <c r="L2809" s="12"/>
      <c r="M2809" s="12"/>
      <c r="N2809" s="15"/>
      <c r="O2809" s="1"/>
      <c r="Q2809" s="12"/>
      <c r="R2809" s="1"/>
    </row>
    <row r="2810" ht="12.75" customHeight="1">
      <c r="A2810" s="17"/>
      <c r="B2810" s="12"/>
      <c r="C2810" s="1"/>
      <c r="D2810" s="1"/>
      <c r="E2810" s="12"/>
      <c r="F2810" s="7"/>
      <c r="G2810" s="7"/>
      <c r="H2810" s="1"/>
      <c r="I2810" s="1"/>
      <c r="J2810" s="1"/>
      <c r="K2810" s="1"/>
      <c r="L2810" s="12"/>
      <c r="M2810" s="12"/>
      <c r="N2810" s="15"/>
      <c r="O2810" s="1"/>
      <c r="Q2810" s="12"/>
      <c r="R2810" s="1"/>
    </row>
    <row r="2811" ht="12.75" customHeight="1">
      <c r="A2811" s="17"/>
      <c r="B2811" s="12"/>
      <c r="C2811" s="1"/>
      <c r="D2811" s="1"/>
      <c r="E2811" s="12"/>
      <c r="F2811" s="7"/>
      <c r="G2811" s="7"/>
      <c r="H2811" s="1"/>
      <c r="I2811" s="1"/>
      <c r="J2811" s="1"/>
      <c r="K2811" s="1"/>
      <c r="L2811" s="12"/>
      <c r="M2811" s="12"/>
      <c r="N2811" s="15"/>
      <c r="O2811" s="1"/>
      <c r="Q2811" s="12"/>
      <c r="R2811" s="1"/>
    </row>
    <row r="2812" ht="12.75" customHeight="1">
      <c r="A2812" s="17"/>
      <c r="B2812" s="12"/>
      <c r="C2812" s="1"/>
      <c r="D2812" s="1"/>
      <c r="E2812" s="12"/>
      <c r="F2812" s="7"/>
      <c r="G2812" s="7"/>
      <c r="H2812" s="1"/>
      <c r="I2812" s="1"/>
      <c r="J2812" s="1"/>
      <c r="K2812" s="1"/>
      <c r="L2812" s="12"/>
      <c r="M2812" s="12"/>
      <c r="N2812" s="15"/>
      <c r="O2812" s="1"/>
      <c r="Q2812" s="12"/>
      <c r="R2812" s="1"/>
    </row>
    <row r="2813" ht="12.75" customHeight="1">
      <c r="A2813" s="17"/>
      <c r="B2813" s="12"/>
      <c r="C2813" s="1"/>
      <c r="D2813" s="1"/>
      <c r="E2813" s="12"/>
      <c r="F2813" s="7"/>
      <c r="G2813" s="7"/>
      <c r="H2813" s="1"/>
      <c r="I2813" s="1"/>
      <c r="J2813" s="1"/>
      <c r="K2813" s="1"/>
      <c r="L2813" s="12"/>
      <c r="M2813" s="12"/>
      <c r="N2813" s="15"/>
      <c r="O2813" s="1"/>
      <c r="Q2813" s="12"/>
      <c r="R2813" s="1"/>
    </row>
    <row r="2814" ht="12.75" customHeight="1">
      <c r="A2814" s="17"/>
      <c r="B2814" s="12"/>
      <c r="C2814" s="1"/>
      <c r="D2814" s="1"/>
      <c r="E2814" s="12"/>
      <c r="F2814" s="7"/>
      <c r="G2814" s="7"/>
      <c r="H2814" s="1"/>
      <c r="I2814" s="1"/>
      <c r="J2814" s="1"/>
      <c r="K2814" s="1"/>
      <c r="L2814" s="12"/>
      <c r="M2814" s="12"/>
      <c r="N2814" s="15"/>
      <c r="O2814" s="1"/>
      <c r="Q2814" s="12"/>
      <c r="R2814" s="1"/>
    </row>
    <row r="2815" ht="12.75" customHeight="1">
      <c r="A2815" s="17"/>
      <c r="B2815" s="12"/>
      <c r="C2815" s="1"/>
      <c r="D2815" s="1"/>
      <c r="E2815" s="12"/>
      <c r="F2815" s="7"/>
      <c r="G2815" s="7"/>
      <c r="H2815" s="1"/>
      <c r="I2815" s="1"/>
      <c r="J2815" s="1"/>
      <c r="K2815" s="1"/>
      <c r="L2815" s="12"/>
      <c r="M2815" s="12"/>
      <c r="N2815" s="15"/>
      <c r="O2815" s="1"/>
      <c r="Q2815" s="12"/>
      <c r="R2815" s="1"/>
    </row>
    <row r="2816" ht="12.75" customHeight="1">
      <c r="A2816" s="17"/>
      <c r="B2816" s="12"/>
      <c r="C2816" s="1"/>
      <c r="D2816" s="1"/>
      <c r="E2816" s="12"/>
      <c r="F2816" s="7"/>
      <c r="G2816" s="7"/>
      <c r="H2816" s="1"/>
      <c r="I2816" s="1"/>
      <c r="J2816" s="1"/>
      <c r="K2816" s="1"/>
      <c r="L2816" s="12"/>
      <c r="M2816" s="12"/>
      <c r="N2816" s="15"/>
      <c r="O2816" s="1"/>
      <c r="Q2816" s="12"/>
      <c r="R2816" s="1"/>
    </row>
    <row r="2817" ht="12.75" customHeight="1">
      <c r="A2817" s="17"/>
      <c r="B2817" s="12"/>
      <c r="C2817" s="1"/>
      <c r="D2817" s="1"/>
      <c r="E2817" s="12"/>
      <c r="F2817" s="7"/>
      <c r="G2817" s="7"/>
      <c r="H2817" s="1"/>
      <c r="I2817" s="1"/>
      <c r="J2817" s="1"/>
      <c r="K2817" s="1"/>
      <c r="L2817" s="12"/>
      <c r="M2817" s="12"/>
      <c r="N2817" s="15"/>
      <c r="O2817" s="1"/>
      <c r="Q2817" s="12"/>
      <c r="R2817" s="1"/>
    </row>
    <row r="2818" ht="12.75" customHeight="1">
      <c r="A2818" s="17"/>
      <c r="B2818" s="12"/>
      <c r="C2818" s="1"/>
      <c r="D2818" s="1"/>
      <c r="E2818" s="12"/>
      <c r="F2818" s="7"/>
      <c r="G2818" s="7"/>
      <c r="H2818" s="1"/>
      <c r="I2818" s="1"/>
      <c r="J2818" s="1"/>
      <c r="K2818" s="1"/>
      <c r="L2818" s="12"/>
      <c r="M2818" s="12"/>
      <c r="N2818" s="15"/>
      <c r="O2818" s="1"/>
      <c r="Q2818" s="12"/>
      <c r="R2818" s="1"/>
    </row>
    <row r="2819" ht="12.75" customHeight="1">
      <c r="A2819" s="17"/>
      <c r="B2819" s="12"/>
      <c r="C2819" s="1"/>
      <c r="D2819" s="1"/>
      <c r="E2819" s="12"/>
      <c r="F2819" s="7"/>
      <c r="G2819" s="7"/>
      <c r="H2819" s="1"/>
      <c r="I2819" s="1"/>
      <c r="J2819" s="1"/>
      <c r="K2819" s="1"/>
      <c r="L2819" s="12"/>
      <c r="M2819" s="12"/>
      <c r="N2819" s="15"/>
      <c r="O2819" s="1"/>
      <c r="Q2819" s="12"/>
      <c r="R2819" s="1"/>
    </row>
    <row r="2820" ht="12.75" customHeight="1">
      <c r="A2820" s="17"/>
      <c r="B2820" s="12"/>
      <c r="C2820" s="1"/>
      <c r="D2820" s="1"/>
      <c r="E2820" s="12"/>
      <c r="F2820" s="7"/>
      <c r="G2820" s="7"/>
      <c r="H2820" s="1"/>
      <c r="I2820" s="1"/>
      <c r="J2820" s="1"/>
      <c r="K2820" s="1"/>
      <c r="L2820" s="12"/>
      <c r="M2820" s="12"/>
      <c r="N2820" s="15"/>
      <c r="O2820" s="1"/>
      <c r="Q2820" s="12"/>
      <c r="R2820" s="1"/>
    </row>
    <row r="2821" ht="12.75" customHeight="1">
      <c r="A2821" s="17"/>
      <c r="B2821" s="12"/>
      <c r="C2821" s="1"/>
      <c r="D2821" s="1"/>
      <c r="E2821" s="12"/>
      <c r="F2821" s="7"/>
      <c r="G2821" s="7"/>
      <c r="H2821" s="1"/>
      <c r="I2821" s="1"/>
      <c r="J2821" s="1"/>
      <c r="K2821" s="1"/>
      <c r="L2821" s="12"/>
      <c r="M2821" s="12"/>
      <c r="N2821" s="15"/>
      <c r="O2821" s="1"/>
      <c r="Q2821" s="12"/>
      <c r="R2821" s="1"/>
    </row>
    <row r="2822" ht="12.75" customHeight="1">
      <c r="A2822" s="17"/>
      <c r="B2822" s="12"/>
      <c r="C2822" s="1"/>
      <c r="D2822" s="1"/>
      <c r="E2822" s="12"/>
      <c r="F2822" s="7"/>
      <c r="G2822" s="7"/>
      <c r="H2822" s="1"/>
      <c r="I2822" s="1"/>
      <c r="J2822" s="1"/>
      <c r="K2822" s="1"/>
      <c r="L2822" s="12"/>
      <c r="M2822" s="12"/>
      <c r="N2822" s="15"/>
      <c r="O2822" s="1"/>
      <c r="Q2822" s="12"/>
      <c r="R2822" s="1"/>
    </row>
    <row r="2823" ht="12.75" customHeight="1">
      <c r="A2823" s="17"/>
      <c r="B2823" s="12"/>
      <c r="C2823" s="1"/>
      <c r="D2823" s="1"/>
      <c r="E2823" s="12"/>
      <c r="F2823" s="7"/>
      <c r="G2823" s="7"/>
      <c r="H2823" s="1"/>
      <c r="I2823" s="1"/>
      <c r="J2823" s="1"/>
      <c r="K2823" s="1"/>
      <c r="L2823" s="12"/>
      <c r="M2823" s="12"/>
      <c r="N2823" s="15"/>
      <c r="O2823" s="1"/>
      <c r="Q2823" s="12"/>
      <c r="R2823" s="1"/>
    </row>
    <row r="2824" ht="12.75" customHeight="1">
      <c r="A2824" s="17"/>
      <c r="B2824" s="12"/>
      <c r="C2824" s="1"/>
      <c r="D2824" s="1"/>
      <c r="E2824" s="12"/>
      <c r="F2824" s="7"/>
      <c r="G2824" s="7"/>
      <c r="H2824" s="1"/>
      <c r="I2824" s="1"/>
      <c r="J2824" s="1"/>
      <c r="K2824" s="1"/>
      <c r="L2824" s="12"/>
      <c r="M2824" s="12"/>
      <c r="N2824" s="15"/>
      <c r="O2824" s="1"/>
      <c r="Q2824" s="12"/>
      <c r="R2824" s="1"/>
    </row>
    <row r="2825" ht="12.75" customHeight="1">
      <c r="A2825" s="17"/>
      <c r="B2825" s="12"/>
      <c r="C2825" s="1"/>
      <c r="D2825" s="1"/>
      <c r="E2825" s="12"/>
      <c r="F2825" s="7"/>
      <c r="G2825" s="7"/>
      <c r="H2825" s="1"/>
      <c r="I2825" s="1"/>
      <c r="J2825" s="1"/>
      <c r="K2825" s="1"/>
      <c r="L2825" s="12"/>
      <c r="M2825" s="12"/>
      <c r="N2825" s="15"/>
      <c r="O2825" s="1"/>
      <c r="Q2825" s="12"/>
      <c r="R2825" s="1"/>
    </row>
    <row r="2826" ht="12.75" customHeight="1">
      <c r="A2826" s="17"/>
      <c r="B2826" s="12"/>
      <c r="C2826" s="1"/>
      <c r="D2826" s="1"/>
      <c r="E2826" s="12"/>
      <c r="F2826" s="7"/>
      <c r="G2826" s="7"/>
      <c r="H2826" s="1"/>
      <c r="I2826" s="1"/>
      <c r="J2826" s="1"/>
      <c r="K2826" s="1"/>
      <c r="L2826" s="12"/>
      <c r="M2826" s="12"/>
      <c r="N2826" s="15"/>
      <c r="O2826" s="1"/>
      <c r="Q2826" s="12"/>
      <c r="R2826" s="1"/>
    </row>
    <row r="2827" ht="12.75" customHeight="1">
      <c r="A2827" s="17"/>
      <c r="B2827" s="12"/>
      <c r="C2827" s="1"/>
      <c r="D2827" s="1"/>
      <c r="E2827" s="12"/>
      <c r="F2827" s="7"/>
      <c r="G2827" s="7"/>
      <c r="H2827" s="1"/>
      <c r="I2827" s="1"/>
      <c r="J2827" s="1"/>
      <c r="K2827" s="1"/>
      <c r="L2827" s="12"/>
      <c r="M2827" s="12"/>
      <c r="N2827" s="15"/>
      <c r="O2827" s="1"/>
      <c r="Q2827" s="12"/>
      <c r="R2827" s="1"/>
    </row>
    <row r="2828" ht="12.75" customHeight="1">
      <c r="A2828" s="17"/>
      <c r="B2828" s="12"/>
      <c r="C2828" s="1"/>
      <c r="D2828" s="1"/>
      <c r="E2828" s="12"/>
      <c r="F2828" s="7"/>
      <c r="G2828" s="7"/>
      <c r="H2828" s="1"/>
      <c r="I2828" s="1"/>
      <c r="J2828" s="1"/>
      <c r="K2828" s="1"/>
      <c r="L2828" s="12"/>
      <c r="M2828" s="12"/>
      <c r="N2828" s="15"/>
      <c r="O2828" s="1"/>
      <c r="Q2828" s="12"/>
      <c r="R2828" s="1"/>
    </row>
    <row r="2829" ht="12.75" customHeight="1">
      <c r="A2829" s="17"/>
      <c r="B2829" s="12"/>
      <c r="C2829" s="1"/>
      <c r="D2829" s="1"/>
      <c r="E2829" s="12"/>
      <c r="F2829" s="7"/>
      <c r="G2829" s="7"/>
      <c r="H2829" s="1"/>
      <c r="I2829" s="1"/>
      <c r="J2829" s="1"/>
      <c r="K2829" s="1"/>
      <c r="L2829" s="12"/>
      <c r="M2829" s="12"/>
      <c r="N2829" s="15"/>
      <c r="O2829" s="1"/>
      <c r="Q2829" s="12"/>
      <c r="R2829" s="1"/>
    </row>
    <row r="2830" ht="12.75" customHeight="1">
      <c r="A2830" s="17"/>
      <c r="B2830" s="12"/>
      <c r="C2830" s="1"/>
      <c r="D2830" s="1"/>
      <c r="E2830" s="12"/>
      <c r="F2830" s="7"/>
      <c r="G2830" s="7"/>
      <c r="H2830" s="1"/>
      <c r="I2830" s="1"/>
      <c r="J2830" s="1"/>
      <c r="K2830" s="1"/>
      <c r="L2830" s="12"/>
      <c r="M2830" s="12"/>
      <c r="N2830" s="15"/>
      <c r="O2830" s="1"/>
      <c r="Q2830" s="12"/>
      <c r="R2830" s="1"/>
    </row>
    <row r="2831" ht="12.75" customHeight="1">
      <c r="A2831" s="17"/>
      <c r="B2831" s="12"/>
      <c r="C2831" s="1"/>
      <c r="D2831" s="1"/>
      <c r="E2831" s="12"/>
      <c r="F2831" s="7"/>
      <c r="G2831" s="7"/>
      <c r="H2831" s="1"/>
      <c r="I2831" s="1"/>
      <c r="J2831" s="1"/>
      <c r="K2831" s="1"/>
      <c r="L2831" s="12"/>
      <c r="M2831" s="12"/>
      <c r="N2831" s="15"/>
      <c r="O2831" s="1"/>
      <c r="Q2831" s="12"/>
      <c r="R2831" s="1"/>
    </row>
    <row r="2832" ht="12.75" customHeight="1">
      <c r="A2832" s="17"/>
      <c r="B2832" s="12"/>
      <c r="C2832" s="1"/>
      <c r="D2832" s="1"/>
      <c r="E2832" s="12"/>
      <c r="F2832" s="7"/>
      <c r="G2832" s="7"/>
      <c r="H2832" s="1"/>
      <c r="I2832" s="1"/>
      <c r="J2832" s="1"/>
      <c r="K2832" s="1"/>
      <c r="L2832" s="12"/>
      <c r="M2832" s="12"/>
      <c r="N2832" s="15"/>
      <c r="O2832" s="1"/>
      <c r="Q2832" s="12"/>
      <c r="R2832" s="1"/>
    </row>
    <row r="2833" ht="12.75" customHeight="1">
      <c r="A2833" s="17"/>
      <c r="B2833" s="12"/>
      <c r="C2833" s="1"/>
      <c r="D2833" s="1"/>
      <c r="E2833" s="12"/>
      <c r="F2833" s="7"/>
      <c r="G2833" s="7"/>
      <c r="H2833" s="1"/>
      <c r="I2833" s="1"/>
      <c r="J2833" s="1"/>
      <c r="K2833" s="1"/>
      <c r="L2833" s="12"/>
      <c r="M2833" s="12"/>
      <c r="N2833" s="15"/>
      <c r="O2833" s="1"/>
      <c r="Q2833" s="12"/>
      <c r="R2833" s="1"/>
    </row>
    <row r="2834" ht="12.75" customHeight="1">
      <c r="A2834" s="17"/>
      <c r="B2834" s="12"/>
      <c r="C2834" s="1"/>
      <c r="D2834" s="1"/>
      <c r="E2834" s="12"/>
      <c r="F2834" s="7"/>
      <c r="G2834" s="7"/>
      <c r="H2834" s="1"/>
      <c r="I2834" s="1"/>
      <c r="J2834" s="1"/>
      <c r="K2834" s="1"/>
      <c r="L2834" s="12"/>
      <c r="M2834" s="12"/>
      <c r="N2834" s="15"/>
      <c r="O2834" s="1"/>
      <c r="Q2834" s="12"/>
      <c r="R2834" s="1"/>
    </row>
    <row r="2835" ht="12.75" customHeight="1">
      <c r="A2835" s="17"/>
      <c r="B2835" s="12"/>
      <c r="C2835" s="1"/>
      <c r="D2835" s="1"/>
      <c r="E2835" s="12"/>
      <c r="F2835" s="7"/>
      <c r="G2835" s="7"/>
      <c r="H2835" s="1"/>
      <c r="I2835" s="1"/>
      <c r="J2835" s="1"/>
      <c r="K2835" s="1"/>
      <c r="L2835" s="12"/>
      <c r="M2835" s="12"/>
      <c r="N2835" s="15"/>
      <c r="O2835" s="1"/>
      <c r="Q2835" s="12"/>
      <c r="R2835" s="1"/>
    </row>
    <row r="2836" ht="12.75" customHeight="1">
      <c r="A2836" s="17"/>
      <c r="B2836" s="12"/>
      <c r="C2836" s="1"/>
      <c r="D2836" s="1"/>
      <c r="E2836" s="12"/>
      <c r="F2836" s="7"/>
      <c r="G2836" s="7"/>
      <c r="H2836" s="1"/>
      <c r="I2836" s="1"/>
      <c r="J2836" s="1"/>
      <c r="K2836" s="1"/>
      <c r="L2836" s="12"/>
      <c r="M2836" s="12"/>
      <c r="N2836" s="15"/>
      <c r="O2836" s="1"/>
      <c r="Q2836" s="12"/>
      <c r="R2836" s="1"/>
    </row>
    <row r="2837" ht="12.75" customHeight="1">
      <c r="A2837" s="17"/>
      <c r="B2837" s="12"/>
      <c r="C2837" s="1"/>
      <c r="D2837" s="1"/>
      <c r="E2837" s="12"/>
      <c r="F2837" s="7"/>
      <c r="G2837" s="7"/>
      <c r="H2837" s="1"/>
      <c r="I2837" s="1"/>
      <c r="J2837" s="1"/>
      <c r="K2837" s="1"/>
      <c r="L2837" s="12"/>
      <c r="M2837" s="12"/>
      <c r="N2837" s="15"/>
      <c r="O2837" s="1"/>
      <c r="Q2837" s="12"/>
      <c r="R2837" s="1"/>
    </row>
    <row r="2838" ht="12.75" customHeight="1">
      <c r="A2838" s="17"/>
      <c r="B2838" s="12"/>
      <c r="C2838" s="1"/>
      <c r="D2838" s="1"/>
      <c r="E2838" s="12"/>
      <c r="F2838" s="7"/>
      <c r="G2838" s="7"/>
      <c r="H2838" s="1"/>
      <c r="I2838" s="1"/>
      <c r="J2838" s="1"/>
      <c r="K2838" s="1"/>
      <c r="L2838" s="12"/>
      <c r="M2838" s="12"/>
      <c r="N2838" s="15"/>
      <c r="O2838" s="1"/>
      <c r="Q2838" s="12"/>
      <c r="R2838" s="1"/>
    </row>
    <row r="2839" ht="12.75" customHeight="1">
      <c r="A2839" s="17"/>
      <c r="B2839" s="12"/>
      <c r="C2839" s="1"/>
      <c r="D2839" s="1"/>
      <c r="E2839" s="12"/>
      <c r="F2839" s="7"/>
      <c r="G2839" s="7"/>
      <c r="H2839" s="1"/>
      <c r="I2839" s="1"/>
      <c r="J2839" s="1"/>
      <c r="K2839" s="1"/>
      <c r="L2839" s="12"/>
      <c r="M2839" s="12"/>
      <c r="N2839" s="15"/>
      <c r="O2839" s="1"/>
      <c r="Q2839" s="12"/>
      <c r="R2839" s="1"/>
    </row>
    <row r="2840" ht="12.75" customHeight="1">
      <c r="A2840" s="17"/>
      <c r="B2840" s="12"/>
      <c r="C2840" s="1"/>
      <c r="D2840" s="1"/>
      <c r="E2840" s="12"/>
      <c r="F2840" s="7"/>
      <c r="G2840" s="7"/>
      <c r="H2840" s="1"/>
      <c r="I2840" s="1"/>
      <c r="J2840" s="1"/>
      <c r="K2840" s="1"/>
      <c r="L2840" s="12"/>
      <c r="M2840" s="12"/>
      <c r="N2840" s="15"/>
      <c r="O2840" s="1"/>
      <c r="Q2840" s="12"/>
      <c r="R2840" s="1"/>
    </row>
    <row r="2841" ht="12.75" customHeight="1">
      <c r="A2841" s="17"/>
      <c r="B2841" s="12"/>
      <c r="C2841" s="1"/>
      <c r="D2841" s="1"/>
      <c r="E2841" s="12"/>
      <c r="F2841" s="7"/>
      <c r="G2841" s="7"/>
      <c r="H2841" s="1"/>
      <c r="I2841" s="1"/>
      <c r="J2841" s="1"/>
      <c r="K2841" s="1"/>
      <c r="L2841" s="12"/>
      <c r="M2841" s="12"/>
      <c r="N2841" s="15"/>
      <c r="O2841" s="1"/>
      <c r="Q2841" s="12"/>
      <c r="R2841" s="1"/>
    </row>
    <row r="2842" ht="12.75" customHeight="1">
      <c r="A2842" s="17"/>
      <c r="B2842" s="12"/>
      <c r="C2842" s="1"/>
      <c r="D2842" s="1"/>
      <c r="E2842" s="12"/>
      <c r="F2842" s="7"/>
      <c r="G2842" s="7"/>
      <c r="H2842" s="1"/>
      <c r="I2842" s="1"/>
      <c r="J2842" s="1"/>
      <c r="K2842" s="1"/>
      <c r="L2842" s="12"/>
      <c r="M2842" s="12"/>
      <c r="N2842" s="15"/>
      <c r="O2842" s="1"/>
      <c r="Q2842" s="12"/>
      <c r="R2842" s="1"/>
    </row>
    <row r="2843" ht="12.75" customHeight="1">
      <c r="A2843" s="17"/>
      <c r="B2843" s="12"/>
      <c r="C2843" s="1"/>
      <c r="D2843" s="1"/>
      <c r="E2843" s="12"/>
      <c r="F2843" s="7"/>
      <c r="G2843" s="7"/>
      <c r="H2843" s="1"/>
      <c r="I2843" s="1"/>
      <c r="J2843" s="1"/>
      <c r="K2843" s="1"/>
      <c r="L2843" s="12"/>
      <c r="M2843" s="12"/>
      <c r="N2843" s="15"/>
      <c r="O2843" s="1"/>
      <c r="Q2843" s="12"/>
      <c r="R2843" s="1"/>
    </row>
    <row r="2844" ht="12.75" customHeight="1">
      <c r="A2844" s="17"/>
      <c r="B2844" s="12"/>
      <c r="C2844" s="1"/>
      <c r="D2844" s="1"/>
      <c r="E2844" s="12"/>
      <c r="F2844" s="7"/>
      <c r="G2844" s="7"/>
      <c r="H2844" s="1"/>
      <c r="I2844" s="1"/>
      <c r="J2844" s="1"/>
      <c r="K2844" s="1"/>
      <c r="L2844" s="12"/>
      <c r="M2844" s="12"/>
      <c r="N2844" s="15"/>
      <c r="O2844" s="1"/>
      <c r="Q2844" s="12"/>
      <c r="R2844" s="1"/>
    </row>
    <row r="2845" ht="12.75" customHeight="1">
      <c r="A2845" s="17"/>
      <c r="B2845" s="12"/>
      <c r="C2845" s="1"/>
      <c r="D2845" s="1"/>
      <c r="E2845" s="12"/>
      <c r="F2845" s="7"/>
      <c r="G2845" s="7"/>
      <c r="H2845" s="1"/>
      <c r="I2845" s="1"/>
      <c r="J2845" s="1"/>
      <c r="K2845" s="1"/>
      <c r="L2845" s="12"/>
      <c r="M2845" s="12"/>
      <c r="N2845" s="15"/>
      <c r="O2845" s="1"/>
      <c r="Q2845" s="12"/>
      <c r="R2845" s="1"/>
    </row>
    <row r="2846" ht="12.75" customHeight="1">
      <c r="A2846" s="17"/>
      <c r="B2846" s="12"/>
      <c r="C2846" s="1"/>
      <c r="D2846" s="1"/>
      <c r="E2846" s="12"/>
      <c r="F2846" s="7"/>
      <c r="G2846" s="7"/>
      <c r="H2846" s="1"/>
      <c r="I2846" s="1"/>
      <c r="J2846" s="1"/>
      <c r="K2846" s="1"/>
      <c r="L2846" s="12"/>
      <c r="M2846" s="12"/>
      <c r="N2846" s="15"/>
      <c r="O2846" s="1"/>
      <c r="Q2846" s="12"/>
      <c r="R2846" s="1"/>
    </row>
    <row r="2847" ht="12.75" customHeight="1">
      <c r="A2847" s="17"/>
      <c r="B2847" s="12"/>
      <c r="C2847" s="1"/>
      <c r="D2847" s="1"/>
      <c r="E2847" s="12"/>
      <c r="F2847" s="7"/>
      <c r="G2847" s="7"/>
      <c r="H2847" s="1"/>
      <c r="I2847" s="1"/>
      <c r="J2847" s="1"/>
      <c r="K2847" s="1"/>
      <c r="L2847" s="12"/>
      <c r="M2847" s="12"/>
      <c r="N2847" s="15"/>
      <c r="O2847" s="1"/>
      <c r="Q2847" s="12"/>
      <c r="R2847" s="1"/>
    </row>
    <row r="2848" ht="12.75" customHeight="1">
      <c r="A2848" s="17"/>
      <c r="B2848" s="12"/>
      <c r="C2848" s="1"/>
      <c r="D2848" s="1"/>
      <c r="E2848" s="12"/>
      <c r="F2848" s="7"/>
      <c r="G2848" s="7"/>
      <c r="H2848" s="1"/>
      <c r="I2848" s="1"/>
      <c r="J2848" s="1"/>
      <c r="K2848" s="1"/>
      <c r="L2848" s="12"/>
      <c r="M2848" s="12"/>
      <c r="N2848" s="15"/>
      <c r="O2848" s="1"/>
      <c r="Q2848" s="12"/>
      <c r="R2848" s="1"/>
    </row>
    <row r="2849" ht="12.75" customHeight="1">
      <c r="A2849" s="17"/>
      <c r="B2849" s="12"/>
      <c r="C2849" s="1"/>
      <c r="D2849" s="1"/>
      <c r="E2849" s="12"/>
      <c r="F2849" s="7"/>
      <c r="G2849" s="7"/>
      <c r="H2849" s="1"/>
      <c r="I2849" s="1"/>
      <c r="J2849" s="1"/>
      <c r="K2849" s="1"/>
      <c r="L2849" s="12"/>
      <c r="M2849" s="12"/>
      <c r="N2849" s="15"/>
      <c r="O2849" s="1"/>
      <c r="Q2849" s="12"/>
      <c r="R2849" s="1"/>
    </row>
    <row r="2850" ht="12.75" customHeight="1">
      <c r="A2850" s="17"/>
      <c r="B2850" s="12"/>
      <c r="C2850" s="1"/>
      <c r="D2850" s="1"/>
      <c r="E2850" s="12"/>
      <c r="F2850" s="7"/>
      <c r="G2850" s="7"/>
      <c r="H2850" s="1"/>
      <c r="I2850" s="1"/>
      <c r="J2850" s="1"/>
      <c r="K2850" s="1"/>
      <c r="L2850" s="12"/>
      <c r="M2850" s="12"/>
      <c r="N2850" s="15"/>
      <c r="O2850" s="1"/>
      <c r="Q2850" s="12"/>
      <c r="R2850" s="1"/>
    </row>
    <row r="2851" ht="12.75" customHeight="1">
      <c r="A2851" s="17"/>
      <c r="B2851" s="12"/>
      <c r="C2851" s="1"/>
      <c r="D2851" s="1"/>
      <c r="E2851" s="12"/>
      <c r="F2851" s="7"/>
      <c r="G2851" s="7"/>
      <c r="H2851" s="1"/>
      <c r="I2851" s="1"/>
      <c r="J2851" s="1"/>
      <c r="K2851" s="1"/>
      <c r="L2851" s="12"/>
      <c r="M2851" s="12"/>
      <c r="N2851" s="15"/>
      <c r="O2851" s="1"/>
      <c r="Q2851" s="12"/>
      <c r="R2851" s="1"/>
    </row>
    <row r="2852" ht="12.75" customHeight="1">
      <c r="A2852" s="17"/>
      <c r="B2852" s="12"/>
      <c r="C2852" s="1"/>
      <c r="D2852" s="1"/>
      <c r="E2852" s="12"/>
      <c r="F2852" s="7"/>
      <c r="G2852" s="7"/>
      <c r="H2852" s="1"/>
      <c r="I2852" s="1"/>
      <c r="J2852" s="1"/>
      <c r="K2852" s="1"/>
      <c r="L2852" s="12"/>
      <c r="M2852" s="12"/>
      <c r="N2852" s="15"/>
      <c r="O2852" s="1"/>
      <c r="Q2852" s="12"/>
      <c r="R2852" s="1"/>
    </row>
    <row r="2853" ht="12.75" customHeight="1">
      <c r="A2853" s="17"/>
      <c r="B2853" s="12"/>
      <c r="C2853" s="1"/>
      <c r="D2853" s="1"/>
      <c r="E2853" s="12"/>
      <c r="F2853" s="7"/>
      <c r="G2853" s="7"/>
      <c r="H2853" s="1"/>
      <c r="I2853" s="1"/>
      <c r="J2853" s="1"/>
      <c r="K2853" s="1"/>
      <c r="L2853" s="12"/>
      <c r="M2853" s="12"/>
      <c r="N2853" s="15"/>
      <c r="O2853" s="1"/>
      <c r="Q2853" s="12"/>
      <c r="R2853" s="1"/>
    </row>
    <row r="2854" ht="12.75" customHeight="1">
      <c r="A2854" s="17"/>
      <c r="B2854" s="12"/>
      <c r="C2854" s="1"/>
      <c r="D2854" s="1"/>
      <c r="E2854" s="12"/>
      <c r="F2854" s="7"/>
      <c r="G2854" s="7"/>
      <c r="H2854" s="1"/>
      <c r="I2854" s="1"/>
      <c r="J2854" s="1"/>
      <c r="K2854" s="1"/>
      <c r="L2854" s="12"/>
      <c r="M2854" s="12"/>
      <c r="N2854" s="15"/>
      <c r="O2854" s="1"/>
      <c r="Q2854" s="12"/>
      <c r="R2854" s="1"/>
    </row>
    <row r="2855" ht="12.75" customHeight="1">
      <c r="A2855" s="17"/>
      <c r="B2855" s="12"/>
      <c r="C2855" s="1"/>
      <c r="D2855" s="1"/>
      <c r="E2855" s="12"/>
      <c r="F2855" s="7"/>
      <c r="G2855" s="7"/>
      <c r="H2855" s="1"/>
      <c r="I2855" s="1"/>
      <c r="J2855" s="1"/>
      <c r="K2855" s="1"/>
      <c r="L2855" s="12"/>
      <c r="M2855" s="12"/>
      <c r="N2855" s="15"/>
      <c r="O2855" s="1"/>
      <c r="Q2855" s="12"/>
      <c r="R2855" s="1"/>
    </row>
    <row r="2856" ht="12.75" customHeight="1">
      <c r="A2856" s="17"/>
      <c r="B2856" s="12"/>
      <c r="C2856" s="1"/>
      <c r="D2856" s="1"/>
      <c r="E2856" s="12"/>
      <c r="F2856" s="7"/>
      <c r="G2856" s="7"/>
      <c r="H2856" s="1"/>
      <c r="I2856" s="1"/>
      <c r="J2856" s="1"/>
      <c r="K2856" s="1"/>
      <c r="L2856" s="12"/>
      <c r="M2856" s="12"/>
      <c r="N2856" s="15"/>
      <c r="O2856" s="1"/>
      <c r="Q2856" s="12"/>
      <c r="R2856" s="1"/>
    </row>
    <row r="2857" ht="12.75" customHeight="1">
      <c r="A2857" s="17"/>
      <c r="B2857" s="12"/>
      <c r="C2857" s="1"/>
      <c r="D2857" s="1"/>
      <c r="E2857" s="12"/>
      <c r="F2857" s="7"/>
      <c r="G2857" s="7"/>
      <c r="H2857" s="1"/>
      <c r="I2857" s="1"/>
      <c r="J2857" s="1"/>
      <c r="K2857" s="1"/>
      <c r="L2857" s="12"/>
      <c r="M2857" s="12"/>
      <c r="N2857" s="15"/>
      <c r="O2857" s="1"/>
      <c r="Q2857" s="12"/>
      <c r="R2857" s="1"/>
    </row>
    <row r="2858" ht="12.75" customHeight="1">
      <c r="A2858" s="17"/>
      <c r="B2858" s="12"/>
      <c r="C2858" s="1"/>
      <c r="D2858" s="1"/>
      <c r="E2858" s="12"/>
      <c r="F2858" s="7"/>
      <c r="G2858" s="7"/>
      <c r="H2858" s="1"/>
      <c r="I2858" s="1"/>
      <c r="J2858" s="1"/>
      <c r="K2858" s="1"/>
      <c r="L2858" s="12"/>
      <c r="M2858" s="12"/>
      <c r="N2858" s="15"/>
      <c r="O2858" s="1"/>
      <c r="Q2858" s="12"/>
      <c r="R2858" s="1"/>
    </row>
    <row r="2859" ht="12.75" customHeight="1">
      <c r="A2859" s="17"/>
      <c r="B2859" s="12"/>
      <c r="C2859" s="1"/>
      <c r="D2859" s="1"/>
      <c r="E2859" s="12"/>
      <c r="F2859" s="7"/>
      <c r="G2859" s="7"/>
      <c r="H2859" s="1"/>
      <c r="I2859" s="1"/>
      <c r="J2859" s="1"/>
      <c r="K2859" s="1"/>
      <c r="L2859" s="12"/>
      <c r="M2859" s="12"/>
      <c r="N2859" s="15"/>
      <c r="O2859" s="1"/>
      <c r="Q2859" s="12"/>
      <c r="R2859" s="1"/>
    </row>
    <row r="2860" ht="12.75" customHeight="1">
      <c r="A2860" s="17"/>
      <c r="B2860" s="12"/>
      <c r="C2860" s="1"/>
      <c r="D2860" s="1"/>
      <c r="E2860" s="12"/>
      <c r="F2860" s="7"/>
      <c r="G2860" s="7"/>
      <c r="H2860" s="1"/>
      <c r="I2860" s="1"/>
      <c r="J2860" s="1"/>
      <c r="K2860" s="1"/>
      <c r="L2860" s="12"/>
      <c r="M2860" s="12"/>
      <c r="N2860" s="15"/>
      <c r="O2860" s="1"/>
      <c r="Q2860" s="12"/>
      <c r="R2860" s="1"/>
    </row>
    <row r="2861" ht="12.75" customHeight="1">
      <c r="A2861" s="17"/>
      <c r="B2861" s="12"/>
      <c r="C2861" s="1"/>
      <c r="D2861" s="1"/>
      <c r="E2861" s="12"/>
      <c r="F2861" s="7"/>
      <c r="G2861" s="7"/>
      <c r="H2861" s="1"/>
      <c r="I2861" s="1"/>
      <c r="J2861" s="1"/>
      <c r="K2861" s="1"/>
      <c r="L2861" s="12"/>
      <c r="M2861" s="12"/>
      <c r="N2861" s="15"/>
      <c r="O2861" s="1"/>
      <c r="Q2861" s="12"/>
      <c r="R2861" s="1"/>
    </row>
    <row r="2862" ht="12.75" customHeight="1">
      <c r="A2862" s="17"/>
      <c r="B2862" s="12"/>
      <c r="C2862" s="1"/>
      <c r="D2862" s="1"/>
      <c r="E2862" s="12"/>
      <c r="F2862" s="7"/>
      <c r="G2862" s="7"/>
      <c r="H2862" s="1"/>
      <c r="I2862" s="1"/>
      <c r="J2862" s="1"/>
      <c r="K2862" s="1"/>
      <c r="L2862" s="12"/>
      <c r="M2862" s="12"/>
      <c r="N2862" s="15"/>
      <c r="O2862" s="1"/>
      <c r="Q2862" s="12"/>
      <c r="R2862" s="1"/>
    </row>
    <row r="2863" ht="12.75" customHeight="1">
      <c r="A2863" s="17"/>
      <c r="B2863" s="12"/>
      <c r="C2863" s="1"/>
      <c r="D2863" s="1"/>
      <c r="E2863" s="12"/>
      <c r="F2863" s="7"/>
      <c r="G2863" s="7"/>
      <c r="H2863" s="1"/>
      <c r="I2863" s="1"/>
      <c r="J2863" s="1"/>
      <c r="K2863" s="1"/>
      <c r="L2863" s="12"/>
      <c r="M2863" s="12"/>
      <c r="N2863" s="15"/>
      <c r="O2863" s="1"/>
      <c r="Q2863" s="12"/>
      <c r="R2863" s="1"/>
    </row>
    <row r="2864" ht="12.75" customHeight="1">
      <c r="A2864" s="17"/>
      <c r="B2864" s="12"/>
      <c r="C2864" s="1"/>
      <c r="D2864" s="1"/>
      <c r="E2864" s="12"/>
      <c r="F2864" s="7"/>
      <c r="G2864" s="7"/>
      <c r="H2864" s="1"/>
      <c r="I2864" s="1"/>
      <c r="J2864" s="1"/>
      <c r="K2864" s="1"/>
      <c r="L2864" s="12"/>
      <c r="M2864" s="12"/>
      <c r="N2864" s="15"/>
      <c r="O2864" s="1"/>
      <c r="Q2864" s="12"/>
      <c r="R2864" s="1"/>
    </row>
    <row r="2865" ht="12.75" customHeight="1">
      <c r="A2865" s="17"/>
      <c r="B2865" s="12"/>
      <c r="C2865" s="1"/>
      <c r="D2865" s="1"/>
      <c r="E2865" s="12"/>
      <c r="F2865" s="7"/>
      <c r="G2865" s="7"/>
      <c r="H2865" s="1"/>
      <c r="I2865" s="1"/>
      <c r="J2865" s="1"/>
      <c r="K2865" s="1"/>
      <c r="L2865" s="12"/>
      <c r="M2865" s="12"/>
      <c r="N2865" s="15"/>
      <c r="O2865" s="1"/>
      <c r="Q2865" s="12"/>
      <c r="R2865" s="1"/>
    </row>
    <row r="2866" ht="12.75" customHeight="1">
      <c r="A2866" s="17"/>
      <c r="B2866" s="12"/>
      <c r="C2866" s="1"/>
      <c r="D2866" s="1"/>
      <c r="E2866" s="12"/>
      <c r="F2866" s="7"/>
      <c r="G2866" s="7"/>
      <c r="H2866" s="1"/>
      <c r="I2866" s="1"/>
      <c r="J2866" s="1"/>
      <c r="K2866" s="1"/>
      <c r="L2866" s="12"/>
      <c r="M2866" s="12"/>
      <c r="N2866" s="15"/>
      <c r="O2866" s="1"/>
      <c r="Q2866" s="12"/>
      <c r="R2866" s="1"/>
    </row>
    <row r="2867" ht="12.75" customHeight="1">
      <c r="A2867" s="17"/>
      <c r="B2867" s="12"/>
      <c r="C2867" s="1"/>
      <c r="D2867" s="1"/>
      <c r="E2867" s="12"/>
      <c r="F2867" s="7"/>
      <c r="G2867" s="7"/>
      <c r="H2867" s="1"/>
      <c r="I2867" s="1"/>
      <c r="J2867" s="1"/>
      <c r="K2867" s="1"/>
      <c r="L2867" s="12"/>
      <c r="M2867" s="12"/>
      <c r="N2867" s="15"/>
      <c r="O2867" s="1"/>
      <c r="Q2867" s="12"/>
      <c r="R2867" s="1"/>
    </row>
    <row r="2868" ht="12.75" customHeight="1">
      <c r="A2868" s="17"/>
      <c r="B2868" s="12"/>
      <c r="C2868" s="1"/>
      <c r="D2868" s="1"/>
      <c r="E2868" s="12"/>
      <c r="F2868" s="7"/>
      <c r="G2868" s="7"/>
      <c r="H2868" s="1"/>
      <c r="I2868" s="1"/>
      <c r="J2868" s="1"/>
      <c r="K2868" s="1"/>
      <c r="L2868" s="12"/>
      <c r="M2868" s="12"/>
      <c r="N2868" s="15"/>
      <c r="O2868" s="1"/>
      <c r="Q2868" s="12"/>
      <c r="R2868" s="1"/>
    </row>
    <row r="2869" ht="12.75" customHeight="1">
      <c r="A2869" s="17"/>
      <c r="B2869" s="12"/>
      <c r="C2869" s="1"/>
      <c r="D2869" s="1"/>
      <c r="E2869" s="12"/>
      <c r="F2869" s="7"/>
      <c r="G2869" s="7"/>
      <c r="H2869" s="1"/>
      <c r="I2869" s="1"/>
      <c r="J2869" s="1"/>
      <c r="K2869" s="1"/>
      <c r="L2869" s="12"/>
      <c r="M2869" s="12"/>
      <c r="N2869" s="15"/>
      <c r="O2869" s="1"/>
      <c r="Q2869" s="12"/>
      <c r="R2869" s="1"/>
    </row>
    <row r="2870" ht="12.75" customHeight="1">
      <c r="A2870" s="17"/>
      <c r="B2870" s="12"/>
      <c r="C2870" s="1"/>
      <c r="D2870" s="1"/>
      <c r="E2870" s="12"/>
      <c r="F2870" s="7"/>
      <c r="G2870" s="7"/>
      <c r="H2870" s="1"/>
      <c r="I2870" s="1"/>
      <c r="J2870" s="1"/>
      <c r="K2870" s="1"/>
      <c r="L2870" s="12"/>
      <c r="M2870" s="12"/>
      <c r="N2870" s="15"/>
      <c r="O2870" s="1"/>
      <c r="Q2870" s="12"/>
      <c r="R2870" s="1"/>
    </row>
    <row r="2871" ht="12.75" customHeight="1">
      <c r="A2871" s="17"/>
      <c r="B2871" s="12"/>
      <c r="C2871" s="1"/>
      <c r="D2871" s="1"/>
      <c r="E2871" s="12"/>
      <c r="F2871" s="7"/>
      <c r="G2871" s="7"/>
      <c r="H2871" s="1"/>
      <c r="I2871" s="1"/>
      <c r="J2871" s="1"/>
      <c r="K2871" s="1"/>
      <c r="L2871" s="12"/>
      <c r="M2871" s="12"/>
      <c r="N2871" s="15"/>
      <c r="O2871" s="1"/>
      <c r="Q2871" s="12"/>
      <c r="R2871" s="1"/>
    </row>
    <row r="2872" ht="12.75" customHeight="1">
      <c r="A2872" s="17"/>
      <c r="B2872" s="12"/>
      <c r="C2872" s="1"/>
      <c r="D2872" s="1"/>
      <c r="E2872" s="12"/>
      <c r="F2872" s="7"/>
      <c r="G2872" s="7"/>
      <c r="H2872" s="1"/>
      <c r="I2872" s="1"/>
      <c r="J2872" s="1"/>
      <c r="K2872" s="1"/>
      <c r="L2872" s="12"/>
      <c r="M2872" s="12"/>
      <c r="N2872" s="15"/>
      <c r="O2872" s="1"/>
      <c r="Q2872" s="12"/>
      <c r="R2872" s="1"/>
    </row>
    <row r="2873" ht="12.75" customHeight="1">
      <c r="A2873" s="17"/>
      <c r="B2873" s="12"/>
      <c r="C2873" s="1"/>
      <c r="D2873" s="1"/>
      <c r="E2873" s="12"/>
      <c r="F2873" s="7"/>
      <c r="G2873" s="7"/>
      <c r="H2873" s="1"/>
      <c r="I2873" s="1"/>
      <c r="J2873" s="1"/>
      <c r="K2873" s="1"/>
      <c r="L2873" s="12"/>
      <c r="M2873" s="12"/>
      <c r="N2873" s="15"/>
      <c r="O2873" s="1"/>
      <c r="Q2873" s="12"/>
      <c r="R2873" s="1"/>
    </row>
    <row r="2874" ht="12.75" customHeight="1">
      <c r="A2874" s="17"/>
      <c r="B2874" s="12"/>
      <c r="C2874" s="1"/>
      <c r="D2874" s="1"/>
      <c r="E2874" s="12"/>
      <c r="F2874" s="7"/>
      <c r="G2874" s="7"/>
      <c r="H2874" s="1"/>
      <c r="I2874" s="1"/>
      <c r="J2874" s="1"/>
      <c r="K2874" s="1"/>
      <c r="L2874" s="12"/>
      <c r="M2874" s="12"/>
      <c r="N2874" s="15"/>
      <c r="O2874" s="1"/>
      <c r="Q2874" s="12"/>
      <c r="R2874" s="1"/>
    </row>
    <row r="2875" ht="12.75" customHeight="1">
      <c r="A2875" s="17"/>
      <c r="B2875" s="12"/>
      <c r="C2875" s="1"/>
      <c r="D2875" s="1"/>
      <c r="E2875" s="12"/>
      <c r="F2875" s="7"/>
      <c r="G2875" s="7"/>
      <c r="H2875" s="1"/>
      <c r="I2875" s="1"/>
      <c r="J2875" s="1"/>
      <c r="K2875" s="1"/>
      <c r="L2875" s="12"/>
      <c r="M2875" s="12"/>
      <c r="N2875" s="15"/>
      <c r="O2875" s="1"/>
      <c r="Q2875" s="12"/>
      <c r="R2875" s="1"/>
    </row>
    <row r="2876" ht="12.75" customHeight="1">
      <c r="A2876" s="17"/>
      <c r="B2876" s="12"/>
      <c r="C2876" s="1"/>
      <c r="D2876" s="1"/>
      <c r="E2876" s="12"/>
      <c r="F2876" s="7"/>
      <c r="G2876" s="7"/>
      <c r="H2876" s="1"/>
      <c r="I2876" s="1"/>
      <c r="J2876" s="1"/>
      <c r="K2876" s="1"/>
      <c r="L2876" s="12"/>
      <c r="M2876" s="12"/>
      <c r="N2876" s="15"/>
      <c r="O2876" s="1"/>
      <c r="Q2876" s="12"/>
      <c r="R2876" s="1"/>
    </row>
    <row r="2877" ht="12.75" customHeight="1">
      <c r="A2877" s="17"/>
      <c r="B2877" s="12"/>
      <c r="C2877" s="1"/>
      <c r="D2877" s="1"/>
      <c r="E2877" s="12"/>
      <c r="F2877" s="7"/>
      <c r="G2877" s="7"/>
      <c r="H2877" s="1"/>
      <c r="I2877" s="1"/>
      <c r="J2877" s="1"/>
      <c r="K2877" s="1"/>
      <c r="L2877" s="12"/>
      <c r="M2877" s="12"/>
      <c r="N2877" s="15"/>
      <c r="O2877" s="1"/>
      <c r="Q2877" s="12"/>
      <c r="R2877" s="1"/>
    </row>
    <row r="2878" ht="12.75" customHeight="1">
      <c r="A2878" s="17"/>
      <c r="B2878" s="12"/>
      <c r="C2878" s="1"/>
      <c r="D2878" s="1"/>
      <c r="E2878" s="12"/>
      <c r="F2878" s="7"/>
      <c r="G2878" s="7"/>
      <c r="H2878" s="1"/>
      <c r="I2878" s="1"/>
      <c r="J2878" s="1"/>
      <c r="K2878" s="1"/>
      <c r="L2878" s="12"/>
      <c r="M2878" s="12"/>
      <c r="N2878" s="15"/>
      <c r="O2878" s="1"/>
      <c r="Q2878" s="12"/>
      <c r="R2878" s="1"/>
    </row>
    <row r="2879" ht="12.75" customHeight="1">
      <c r="A2879" s="17"/>
      <c r="B2879" s="12"/>
      <c r="C2879" s="1"/>
      <c r="D2879" s="1"/>
      <c r="E2879" s="12"/>
      <c r="F2879" s="7"/>
      <c r="G2879" s="7"/>
      <c r="H2879" s="1"/>
      <c r="I2879" s="1"/>
      <c r="J2879" s="1"/>
      <c r="K2879" s="1"/>
      <c r="L2879" s="12"/>
      <c r="M2879" s="12"/>
      <c r="N2879" s="15"/>
      <c r="O2879" s="1"/>
      <c r="Q2879" s="12"/>
      <c r="R2879" s="1"/>
    </row>
    <row r="2880" ht="12.75" customHeight="1">
      <c r="A2880" s="17"/>
      <c r="B2880" s="12"/>
      <c r="C2880" s="1"/>
      <c r="D2880" s="1"/>
      <c r="E2880" s="12"/>
      <c r="F2880" s="7"/>
      <c r="G2880" s="7"/>
      <c r="H2880" s="1"/>
      <c r="I2880" s="1"/>
      <c r="J2880" s="1"/>
      <c r="K2880" s="1"/>
      <c r="L2880" s="12"/>
      <c r="M2880" s="12"/>
      <c r="N2880" s="15"/>
      <c r="O2880" s="1"/>
      <c r="Q2880" s="12"/>
      <c r="R2880" s="1"/>
    </row>
    <row r="2881" ht="12.75" customHeight="1">
      <c r="A2881" s="17"/>
      <c r="B2881" s="12"/>
      <c r="C2881" s="1"/>
      <c r="D2881" s="1"/>
      <c r="E2881" s="12"/>
      <c r="F2881" s="7"/>
      <c r="G2881" s="7"/>
      <c r="H2881" s="1"/>
      <c r="I2881" s="1"/>
      <c r="J2881" s="1"/>
      <c r="K2881" s="1"/>
      <c r="L2881" s="12"/>
      <c r="M2881" s="12"/>
      <c r="N2881" s="15"/>
      <c r="O2881" s="1"/>
      <c r="Q2881" s="12"/>
      <c r="R2881" s="1"/>
    </row>
    <row r="2882" ht="12.75" customHeight="1">
      <c r="A2882" s="17"/>
      <c r="B2882" s="12"/>
      <c r="C2882" s="1"/>
      <c r="D2882" s="1"/>
      <c r="E2882" s="12"/>
      <c r="F2882" s="7"/>
      <c r="G2882" s="7"/>
      <c r="H2882" s="1"/>
      <c r="I2882" s="1"/>
      <c r="J2882" s="1"/>
      <c r="K2882" s="1"/>
      <c r="L2882" s="12"/>
      <c r="M2882" s="12"/>
      <c r="N2882" s="15"/>
      <c r="O2882" s="1"/>
      <c r="Q2882" s="12"/>
      <c r="R2882" s="1"/>
    </row>
    <row r="2883" ht="12.75" customHeight="1">
      <c r="A2883" s="17"/>
      <c r="B2883" s="12"/>
      <c r="C2883" s="1"/>
      <c r="D2883" s="1"/>
      <c r="E2883" s="12"/>
      <c r="F2883" s="7"/>
      <c r="G2883" s="7"/>
      <c r="H2883" s="1"/>
      <c r="I2883" s="1"/>
      <c r="J2883" s="1"/>
      <c r="K2883" s="1"/>
      <c r="L2883" s="12"/>
      <c r="M2883" s="12"/>
      <c r="N2883" s="15"/>
      <c r="O2883" s="1"/>
      <c r="Q2883" s="12"/>
      <c r="R2883" s="1"/>
    </row>
    <row r="2884" ht="12.75" customHeight="1">
      <c r="A2884" s="17"/>
      <c r="B2884" s="12"/>
      <c r="C2884" s="1"/>
      <c r="D2884" s="1"/>
      <c r="E2884" s="12"/>
      <c r="F2884" s="7"/>
      <c r="G2884" s="7"/>
      <c r="H2884" s="1"/>
      <c r="I2884" s="1"/>
      <c r="J2884" s="1"/>
      <c r="K2884" s="1"/>
      <c r="L2884" s="12"/>
      <c r="M2884" s="12"/>
      <c r="N2884" s="15"/>
      <c r="O2884" s="1"/>
      <c r="Q2884" s="12"/>
      <c r="R2884" s="1"/>
    </row>
    <row r="2885" ht="12.75" customHeight="1">
      <c r="A2885" s="17"/>
      <c r="B2885" s="12"/>
      <c r="C2885" s="1"/>
      <c r="D2885" s="1"/>
      <c r="E2885" s="12"/>
      <c r="F2885" s="7"/>
      <c r="G2885" s="7"/>
      <c r="H2885" s="1"/>
      <c r="I2885" s="1"/>
      <c r="J2885" s="1"/>
      <c r="K2885" s="1"/>
      <c r="L2885" s="12"/>
      <c r="M2885" s="12"/>
      <c r="N2885" s="15"/>
      <c r="O2885" s="1"/>
      <c r="Q2885" s="12"/>
      <c r="R2885" s="1"/>
    </row>
    <row r="2886" ht="12.75" customHeight="1">
      <c r="A2886" s="17"/>
      <c r="B2886" s="12"/>
      <c r="C2886" s="1"/>
      <c r="D2886" s="1"/>
      <c r="E2886" s="12"/>
      <c r="F2886" s="7"/>
      <c r="G2886" s="7"/>
      <c r="H2886" s="1"/>
      <c r="I2886" s="1"/>
      <c r="J2886" s="1"/>
      <c r="K2886" s="1"/>
      <c r="L2886" s="12"/>
      <c r="M2886" s="12"/>
      <c r="N2886" s="15"/>
      <c r="O2886" s="1"/>
      <c r="Q2886" s="12"/>
      <c r="R2886" s="1"/>
    </row>
    <row r="2887" ht="12.75" customHeight="1">
      <c r="A2887" s="17"/>
      <c r="B2887" s="12"/>
      <c r="C2887" s="1"/>
      <c r="D2887" s="1"/>
      <c r="E2887" s="12"/>
      <c r="F2887" s="7"/>
      <c r="G2887" s="7"/>
      <c r="H2887" s="1"/>
      <c r="I2887" s="1"/>
      <c r="J2887" s="1"/>
      <c r="K2887" s="1"/>
      <c r="L2887" s="12"/>
      <c r="M2887" s="12"/>
      <c r="N2887" s="15"/>
      <c r="O2887" s="1"/>
      <c r="Q2887" s="12"/>
      <c r="R2887" s="1"/>
    </row>
    <row r="2888" ht="12.75" customHeight="1">
      <c r="A2888" s="17"/>
      <c r="B2888" s="12"/>
      <c r="C2888" s="1"/>
      <c r="D2888" s="1"/>
      <c r="E2888" s="12"/>
      <c r="F2888" s="7"/>
      <c r="G2888" s="7"/>
      <c r="H2888" s="1"/>
      <c r="I2888" s="1"/>
      <c r="J2888" s="1"/>
      <c r="K2888" s="1"/>
      <c r="L2888" s="12"/>
      <c r="M2888" s="12"/>
      <c r="N2888" s="15"/>
      <c r="O2888" s="1"/>
      <c r="Q2888" s="12"/>
      <c r="R2888" s="1"/>
    </row>
    <row r="2889" ht="12.75" customHeight="1">
      <c r="A2889" s="17"/>
      <c r="B2889" s="12"/>
      <c r="C2889" s="1"/>
      <c r="D2889" s="1"/>
      <c r="E2889" s="12"/>
      <c r="F2889" s="7"/>
      <c r="G2889" s="7"/>
      <c r="H2889" s="1"/>
      <c r="I2889" s="1"/>
      <c r="J2889" s="1"/>
      <c r="K2889" s="1"/>
      <c r="L2889" s="12"/>
      <c r="M2889" s="12"/>
      <c r="N2889" s="15"/>
      <c r="O2889" s="1"/>
      <c r="Q2889" s="12"/>
      <c r="R2889" s="1"/>
    </row>
    <row r="2890" ht="12.75" customHeight="1">
      <c r="A2890" s="17"/>
      <c r="B2890" s="12"/>
      <c r="C2890" s="1"/>
      <c r="D2890" s="1"/>
      <c r="E2890" s="12"/>
      <c r="F2890" s="7"/>
      <c r="G2890" s="7"/>
      <c r="H2890" s="1"/>
      <c r="I2890" s="1"/>
      <c r="J2890" s="1"/>
      <c r="K2890" s="1"/>
      <c r="L2890" s="12"/>
      <c r="M2890" s="12"/>
      <c r="N2890" s="15"/>
      <c r="O2890" s="1"/>
      <c r="Q2890" s="12"/>
      <c r="R2890" s="1"/>
    </row>
    <row r="2891" ht="12.75" customHeight="1">
      <c r="A2891" s="17"/>
      <c r="B2891" s="12"/>
      <c r="C2891" s="1"/>
      <c r="D2891" s="1"/>
      <c r="E2891" s="12"/>
      <c r="F2891" s="7"/>
      <c r="G2891" s="7"/>
      <c r="H2891" s="1"/>
      <c r="I2891" s="1"/>
      <c r="J2891" s="1"/>
      <c r="K2891" s="1"/>
      <c r="L2891" s="12"/>
      <c r="M2891" s="12"/>
      <c r="N2891" s="15"/>
      <c r="O2891" s="1"/>
      <c r="Q2891" s="12"/>
      <c r="R2891" s="1"/>
    </row>
    <row r="2892" ht="12.75" customHeight="1">
      <c r="A2892" s="17"/>
      <c r="B2892" s="12"/>
      <c r="C2892" s="1"/>
      <c r="D2892" s="1"/>
      <c r="E2892" s="12"/>
      <c r="F2892" s="7"/>
      <c r="G2892" s="7"/>
      <c r="H2892" s="1"/>
      <c r="I2892" s="1"/>
      <c r="J2892" s="1"/>
      <c r="K2892" s="1"/>
      <c r="L2892" s="12"/>
      <c r="M2892" s="12"/>
      <c r="N2892" s="15"/>
      <c r="O2892" s="1"/>
      <c r="Q2892" s="12"/>
      <c r="R2892" s="1"/>
    </row>
    <row r="2893" ht="12.75" customHeight="1">
      <c r="A2893" s="17"/>
      <c r="B2893" s="12"/>
      <c r="C2893" s="1"/>
      <c r="D2893" s="1"/>
      <c r="E2893" s="12"/>
      <c r="F2893" s="7"/>
      <c r="G2893" s="7"/>
      <c r="H2893" s="1"/>
      <c r="I2893" s="1"/>
      <c r="J2893" s="1"/>
      <c r="K2893" s="1"/>
      <c r="L2893" s="12"/>
      <c r="M2893" s="12"/>
      <c r="N2893" s="15"/>
      <c r="O2893" s="1"/>
      <c r="Q2893" s="12"/>
      <c r="R2893" s="1"/>
    </row>
    <row r="2894" ht="12.75" customHeight="1">
      <c r="A2894" s="17"/>
      <c r="B2894" s="12"/>
      <c r="C2894" s="1"/>
      <c r="D2894" s="1"/>
      <c r="E2894" s="12"/>
      <c r="F2894" s="7"/>
      <c r="G2894" s="7"/>
      <c r="H2894" s="1"/>
      <c r="I2894" s="1"/>
      <c r="J2894" s="1"/>
      <c r="K2894" s="1"/>
      <c r="L2894" s="12"/>
      <c r="M2894" s="12"/>
      <c r="N2894" s="15"/>
      <c r="O2894" s="1"/>
      <c r="Q2894" s="12"/>
      <c r="R2894" s="1"/>
    </row>
    <row r="2895" ht="12.75" customHeight="1">
      <c r="A2895" s="17"/>
      <c r="B2895" s="12"/>
      <c r="C2895" s="1"/>
      <c r="D2895" s="1"/>
      <c r="E2895" s="12"/>
      <c r="F2895" s="7"/>
      <c r="G2895" s="7"/>
      <c r="H2895" s="1"/>
      <c r="I2895" s="1"/>
      <c r="J2895" s="1"/>
      <c r="K2895" s="1"/>
      <c r="L2895" s="12"/>
      <c r="M2895" s="12"/>
      <c r="N2895" s="15"/>
      <c r="O2895" s="1"/>
      <c r="Q2895" s="12"/>
      <c r="R2895" s="1"/>
    </row>
    <row r="2896" ht="12.75" customHeight="1">
      <c r="A2896" s="17"/>
      <c r="B2896" s="12"/>
      <c r="C2896" s="1"/>
      <c r="D2896" s="1"/>
      <c r="E2896" s="12"/>
      <c r="F2896" s="7"/>
      <c r="G2896" s="7"/>
      <c r="H2896" s="1"/>
      <c r="I2896" s="1"/>
      <c r="J2896" s="1"/>
      <c r="K2896" s="1"/>
      <c r="L2896" s="12"/>
      <c r="M2896" s="12"/>
      <c r="N2896" s="15"/>
      <c r="O2896" s="1"/>
      <c r="Q2896" s="12"/>
      <c r="R2896" s="1"/>
    </row>
    <row r="2897" ht="12.75" customHeight="1">
      <c r="A2897" s="17"/>
      <c r="B2897" s="12"/>
      <c r="C2897" s="1"/>
      <c r="D2897" s="1"/>
      <c r="E2897" s="12"/>
      <c r="F2897" s="7"/>
      <c r="G2897" s="7"/>
      <c r="H2897" s="1"/>
      <c r="I2897" s="1"/>
      <c r="J2897" s="1"/>
      <c r="K2897" s="1"/>
      <c r="L2897" s="12"/>
      <c r="M2897" s="12"/>
      <c r="N2897" s="15"/>
      <c r="O2897" s="1"/>
      <c r="Q2897" s="12"/>
      <c r="R2897" s="1"/>
    </row>
    <row r="2898" ht="12.75" customHeight="1">
      <c r="A2898" s="17"/>
      <c r="B2898" s="12"/>
      <c r="C2898" s="1"/>
      <c r="D2898" s="1"/>
      <c r="E2898" s="12"/>
      <c r="F2898" s="7"/>
      <c r="G2898" s="7"/>
      <c r="H2898" s="1"/>
      <c r="I2898" s="1"/>
      <c r="J2898" s="1"/>
      <c r="K2898" s="1"/>
      <c r="L2898" s="12"/>
      <c r="M2898" s="12"/>
      <c r="N2898" s="15"/>
      <c r="O2898" s="1"/>
      <c r="Q2898" s="12"/>
      <c r="R2898" s="1"/>
    </row>
    <row r="2899" ht="12.75" customHeight="1">
      <c r="A2899" s="17"/>
      <c r="B2899" s="12"/>
      <c r="C2899" s="1"/>
      <c r="D2899" s="1"/>
      <c r="E2899" s="12"/>
      <c r="F2899" s="7"/>
      <c r="G2899" s="7"/>
      <c r="H2899" s="1"/>
      <c r="I2899" s="1"/>
      <c r="J2899" s="1"/>
      <c r="K2899" s="1"/>
      <c r="L2899" s="12"/>
      <c r="M2899" s="12"/>
      <c r="N2899" s="15"/>
      <c r="O2899" s="1"/>
      <c r="Q2899" s="12"/>
      <c r="R2899" s="1"/>
    </row>
    <row r="2900" ht="12.75" customHeight="1">
      <c r="A2900" s="17"/>
      <c r="B2900" s="12"/>
      <c r="C2900" s="1"/>
      <c r="D2900" s="1"/>
      <c r="E2900" s="12"/>
      <c r="F2900" s="7"/>
      <c r="G2900" s="7"/>
      <c r="H2900" s="1"/>
      <c r="I2900" s="1"/>
      <c r="J2900" s="1"/>
      <c r="K2900" s="1"/>
      <c r="L2900" s="12"/>
      <c r="M2900" s="12"/>
      <c r="N2900" s="15"/>
      <c r="O2900" s="1"/>
      <c r="Q2900" s="12"/>
      <c r="R2900" s="1"/>
    </row>
    <row r="2901" ht="12.75" customHeight="1">
      <c r="A2901" s="17"/>
      <c r="B2901" s="12"/>
      <c r="C2901" s="1"/>
      <c r="D2901" s="1"/>
      <c r="E2901" s="12"/>
      <c r="F2901" s="7"/>
      <c r="G2901" s="7"/>
      <c r="H2901" s="1"/>
      <c r="I2901" s="1"/>
      <c r="J2901" s="1"/>
      <c r="K2901" s="1"/>
      <c r="L2901" s="12"/>
      <c r="M2901" s="12"/>
      <c r="N2901" s="15"/>
      <c r="O2901" s="1"/>
      <c r="Q2901" s="12"/>
      <c r="R2901" s="1"/>
    </row>
    <row r="2902" ht="12.75" customHeight="1">
      <c r="A2902" s="17"/>
      <c r="B2902" s="12"/>
      <c r="C2902" s="1"/>
      <c r="D2902" s="1"/>
      <c r="E2902" s="12"/>
      <c r="F2902" s="7"/>
      <c r="G2902" s="7"/>
      <c r="H2902" s="1"/>
      <c r="I2902" s="1"/>
      <c r="J2902" s="1"/>
      <c r="K2902" s="1"/>
      <c r="L2902" s="12"/>
      <c r="M2902" s="12"/>
      <c r="N2902" s="15"/>
      <c r="O2902" s="1"/>
      <c r="Q2902" s="12"/>
      <c r="R2902" s="1"/>
    </row>
    <row r="2903" ht="12.75" customHeight="1">
      <c r="A2903" s="17"/>
      <c r="B2903" s="12"/>
      <c r="C2903" s="1"/>
      <c r="D2903" s="1"/>
      <c r="E2903" s="12"/>
      <c r="F2903" s="7"/>
      <c r="G2903" s="7"/>
      <c r="H2903" s="1"/>
      <c r="I2903" s="1"/>
      <c r="J2903" s="1"/>
      <c r="K2903" s="1"/>
      <c r="L2903" s="12"/>
      <c r="M2903" s="12"/>
      <c r="N2903" s="15"/>
      <c r="O2903" s="1"/>
      <c r="Q2903" s="12"/>
      <c r="R2903" s="1"/>
    </row>
    <row r="2904" ht="12.75" customHeight="1">
      <c r="A2904" s="17"/>
      <c r="B2904" s="12"/>
      <c r="C2904" s="1"/>
      <c r="D2904" s="1"/>
      <c r="E2904" s="12"/>
      <c r="F2904" s="7"/>
      <c r="G2904" s="7"/>
      <c r="H2904" s="1"/>
      <c r="I2904" s="1"/>
      <c r="J2904" s="1"/>
      <c r="K2904" s="1"/>
      <c r="L2904" s="12"/>
      <c r="M2904" s="12"/>
      <c r="N2904" s="15"/>
      <c r="O2904" s="1"/>
      <c r="Q2904" s="12"/>
      <c r="R2904" s="1"/>
    </row>
    <row r="2905" ht="12.75" customHeight="1">
      <c r="A2905" s="17"/>
      <c r="B2905" s="12"/>
      <c r="C2905" s="1"/>
      <c r="D2905" s="1"/>
      <c r="E2905" s="12"/>
      <c r="F2905" s="7"/>
      <c r="G2905" s="7"/>
      <c r="H2905" s="1"/>
      <c r="I2905" s="1"/>
      <c r="J2905" s="1"/>
      <c r="K2905" s="1"/>
      <c r="L2905" s="12"/>
      <c r="M2905" s="12"/>
      <c r="N2905" s="15"/>
      <c r="O2905" s="1"/>
      <c r="Q2905" s="12"/>
      <c r="R2905" s="1"/>
    </row>
    <row r="2906" ht="12.75" customHeight="1">
      <c r="A2906" s="17"/>
      <c r="B2906" s="12"/>
      <c r="C2906" s="1"/>
      <c r="D2906" s="1"/>
      <c r="E2906" s="12"/>
      <c r="F2906" s="7"/>
      <c r="G2906" s="7"/>
      <c r="H2906" s="1"/>
      <c r="I2906" s="1"/>
      <c r="J2906" s="1"/>
      <c r="K2906" s="1"/>
      <c r="L2906" s="12"/>
      <c r="M2906" s="12"/>
      <c r="N2906" s="15"/>
      <c r="O2906" s="1"/>
      <c r="Q2906" s="12"/>
      <c r="R2906" s="1"/>
    </row>
    <row r="2907" ht="12.75" customHeight="1">
      <c r="A2907" s="17"/>
      <c r="B2907" s="12"/>
      <c r="C2907" s="1"/>
      <c r="D2907" s="1"/>
      <c r="E2907" s="12"/>
      <c r="F2907" s="7"/>
      <c r="G2907" s="7"/>
      <c r="H2907" s="1"/>
      <c r="I2907" s="1"/>
      <c r="J2907" s="1"/>
      <c r="K2907" s="1"/>
      <c r="L2907" s="12"/>
      <c r="M2907" s="12"/>
      <c r="N2907" s="15"/>
      <c r="O2907" s="1"/>
      <c r="Q2907" s="12"/>
      <c r="R2907" s="1"/>
    </row>
    <row r="2908" ht="12.75" customHeight="1">
      <c r="A2908" s="17"/>
      <c r="B2908" s="12"/>
      <c r="C2908" s="1"/>
      <c r="D2908" s="1"/>
      <c r="E2908" s="12"/>
      <c r="F2908" s="7"/>
      <c r="G2908" s="7"/>
      <c r="H2908" s="1"/>
      <c r="I2908" s="1"/>
      <c r="J2908" s="1"/>
      <c r="K2908" s="1"/>
      <c r="L2908" s="12"/>
      <c r="M2908" s="12"/>
      <c r="N2908" s="15"/>
      <c r="O2908" s="1"/>
      <c r="Q2908" s="12"/>
      <c r="R2908" s="1"/>
    </row>
    <row r="2909" ht="12.75" customHeight="1">
      <c r="A2909" s="17"/>
      <c r="B2909" s="12"/>
      <c r="C2909" s="1"/>
      <c r="D2909" s="1"/>
      <c r="E2909" s="12"/>
      <c r="F2909" s="7"/>
      <c r="G2909" s="7"/>
      <c r="H2909" s="1"/>
      <c r="I2909" s="1"/>
      <c r="J2909" s="1"/>
      <c r="K2909" s="1"/>
      <c r="L2909" s="12"/>
      <c r="M2909" s="12"/>
      <c r="N2909" s="15"/>
      <c r="O2909" s="1"/>
      <c r="Q2909" s="12"/>
      <c r="R2909" s="1"/>
    </row>
    <row r="2910" ht="12.75" customHeight="1">
      <c r="A2910" s="17"/>
      <c r="B2910" s="12"/>
      <c r="C2910" s="1"/>
      <c r="D2910" s="1"/>
      <c r="E2910" s="12"/>
      <c r="F2910" s="7"/>
      <c r="G2910" s="7"/>
      <c r="H2910" s="1"/>
      <c r="I2910" s="1"/>
      <c r="J2910" s="1"/>
      <c r="K2910" s="1"/>
      <c r="L2910" s="12"/>
      <c r="M2910" s="12"/>
      <c r="N2910" s="15"/>
      <c r="O2910" s="1"/>
      <c r="Q2910" s="12"/>
      <c r="R2910" s="1"/>
    </row>
    <row r="2911" ht="12.75" customHeight="1">
      <c r="A2911" s="17"/>
      <c r="B2911" s="12"/>
      <c r="C2911" s="1"/>
      <c r="D2911" s="1"/>
      <c r="E2911" s="12"/>
      <c r="F2911" s="7"/>
      <c r="G2911" s="7"/>
      <c r="H2911" s="1"/>
      <c r="I2911" s="1"/>
      <c r="J2911" s="1"/>
      <c r="K2911" s="1"/>
      <c r="L2911" s="12"/>
      <c r="M2911" s="12"/>
      <c r="N2911" s="15"/>
      <c r="O2911" s="1"/>
      <c r="Q2911" s="12"/>
      <c r="R2911" s="1"/>
    </row>
    <row r="2912" ht="12.75" customHeight="1">
      <c r="A2912" s="17"/>
      <c r="B2912" s="12"/>
      <c r="C2912" s="1"/>
      <c r="D2912" s="1"/>
      <c r="E2912" s="12"/>
      <c r="F2912" s="7"/>
      <c r="G2912" s="7"/>
      <c r="H2912" s="1"/>
      <c r="I2912" s="1"/>
      <c r="J2912" s="1"/>
      <c r="K2912" s="1"/>
      <c r="L2912" s="12"/>
      <c r="M2912" s="12"/>
      <c r="N2912" s="15"/>
      <c r="O2912" s="1"/>
      <c r="Q2912" s="12"/>
      <c r="R2912" s="1"/>
    </row>
    <row r="2913" ht="12.75" customHeight="1">
      <c r="A2913" s="17"/>
      <c r="B2913" s="12"/>
      <c r="C2913" s="1"/>
      <c r="D2913" s="1"/>
      <c r="E2913" s="12"/>
      <c r="F2913" s="7"/>
      <c r="G2913" s="7"/>
      <c r="H2913" s="1"/>
      <c r="I2913" s="1"/>
      <c r="J2913" s="1"/>
      <c r="K2913" s="1"/>
      <c r="L2913" s="12"/>
      <c r="M2913" s="12"/>
      <c r="N2913" s="15"/>
      <c r="O2913" s="1"/>
      <c r="Q2913" s="12"/>
      <c r="R2913" s="1"/>
    </row>
    <row r="2914" ht="12.75" customHeight="1">
      <c r="A2914" s="17"/>
      <c r="B2914" s="12"/>
      <c r="C2914" s="1"/>
      <c r="D2914" s="1"/>
      <c r="E2914" s="12"/>
      <c r="F2914" s="7"/>
      <c r="G2914" s="7"/>
      <c r="H2914" s="1"/>
      <c r="I2914" s="1"/>
      <c r="J2914" s="1"/>
      <c r="K2914" s="1"/>
      <c r="L2914" s="12"/>
      <c r="M2914" s="12"/>
      <c r="N2914" s="15"/>
      <c r="O2914" s="1"/>
      <c r="Q2914" s="12"/>
      <c r="R2914" s="1"/>
    </row>
    <row r="2915" ht="12.75" customHeight="1">
      <c r="A2915" s="17"/>
      <c r="B2915" s="12"/>
      <c r="C2915" s="1"/>
      <c r="D2915" s="1"/>
      <c r="E2915" s="12"/>
      <c r="F2915" s="7"/>
      <c r="G2915" s="7"/>
      <c r="H2915" s="1"/>
      <c r="I2915" s="1"/>
      <c r="J2915" s="1"/>
      <c r="K2915" s="1"/>
      <c r="L2915" s="12"/>
      <c r="M2915" s="12"/>
      <c r="N2915" s="15"/>
      <c r="O2915" s="1"/>
      <c r="Q2915" s="12"/>
      <c r="R2915" s="1"/>
    </row>
    <row r="2916" ht="12.75" customHeight="1">
      <c r="A2916" s="17"/>
      <c r="B2916" s="12"/>
      <c r="C2916" s="1"/>
      <c r="D2916" s="1"/>
      <c r="E2916" s="12"/>
      <c r="F2916" s="7"/>
      <c r="G2916" s="7"/>
      <c r="H2916" s="1"/>
      <c r="I2916" s="1"/>
      <c r="J2916" s="1"/>
      <c r="K2916" s="1"/>
      <c r="L2916" s="12"/>
      <c r="M2916" s="12"/>
      <c r="N2916" s="15"/>
      <c r="O2916" s="1"/>
      <c r="Q2916" s="12"/>
      <c r="R2916" s="1"/>
    </row>
    <row r="2917" ht="12.75" customHeight="1">
      <c r="A2917" s="17"/>
      <c r="B2917" s="12"/>
      <c r="C2917" s="1"/>
      <c r="D2917" s="1"/>
      <c r="E2917" s="12"/>
      <c r="F2917" s="7"/>
      <c r="G2917" s="7"/>
      <c r="H2917" s="1"/>
      <c r="I2917" s="1"/>
      <c r="J2917" s="1"/>
      <c r="K2917" s="1"/>
      <c r="L2917" s="12"/>
      <c r="M2917" s="12"/>
      <c r="N2917" s="15"/>
      <c r="O2917" s="1"/>
      <c r="Q2917" s="12"/>
      <c r="R2917" s="1"/>
    </row>
    <row r="2918" ht="12.75" customHeight="1">
      <c r="A2918" s="17"/>
      <c r="B2918" s="12"/>
      <c r="C2918" s="1"/>
      <c r="D2918" s="1"/>
      <c r="E2918" s="12"/>
      <c r="F2918" s="7"/>
      <c r="G2918" s="7"/>
      <c r="H2918" s="1"/>
      <c r="I2918" s="1"/>
      <c r="J2918" s="1"/>
      <c r="K2918" s="1"/>
      <c r="L2918" s="12"/>
      <c r="M2918" s="12"/>
      <c r="N2918" s="15"/>
      <c r="O2918" s="1"/>
      <c r="Q2918" s="12"/>
      <c r="R2918" s="1"/>
    </row>
    <row r="2919" ht="12.75" customHeight="1">
      <c r="A2919" s="17"/>
      <c r="B2919" s="12"/>
      <c r="C2919" s="1"/>
      <c r="D2919" s="1"/>
      <c r="E2919" s="12"/>
      <c r="F2919" s="7"/>
      <c r="G2919" s="7"/>
      <c r="H2919" s="1"/>
      <c r="I2919" s="1"/>
      <c r="J2919" s="1"/>
      <c r="K2919" s="1"/>
      <c r="L2919" s="12"/>
      <c r="M2919" s="12"/>
      <c r="N2919" s="15"/>
      <c r="O2919" s="1"/>
      <c r="Q2919" s="12"/>
      <c r="R2919" s="1"/>
    </row>
    <row r="2920" ht="12.75" customHeight="1">
      <c r="A2920" s="17"/>
      <c r="B2920" s="12"/>
      <c r="C2920" s="1"/>
      <c r="D2920" s="1"/>
      <c r="E2920" s="12"/>
      <c r="F2920" s="7"/>
      <c r="G2920" s="7"/>
      <c r="H2920" s="1"/>
      <c r="I2920" s="1"/>
      <c r="J2920" s="1"/>
      <c r="K2920" s="1"/>
      <c r="L2920" s="12"/>
      <c r="M2920" s="12"/>
      <c r="N2920" s="15"/>
      <c r="O2920" s="1"/>
      <c r="Q2920" s="12"/>
      <c r="R2920" s="1"/>
    </row>
    <row r="2921" ht="12.75" customHeight="1">
      <c r="A2921" s="17"/>
      <c r="B2921" s="12"/>
      <c r="C2921" s="1"/>
      <c r="D2921" s="1"/>
      <c r="E2921" s="12"/>
      <c r="F2921" s="7"/>
      <c r="G2921" s="7"/>
      <c r="H2921" s="1"/>
      <c r="I2921" s="1"/>
      <c r="J2921" s="1"/>
      <c r="K2921" s="1"/>
      <c r="L2921" s="12"/>
      <c r="M2921" s="12"/>
      <c r="N2921" s="15"/>
      <c r="O2921" s="1"/>
      <c r="Q2921" s="12"/>
      <c r="R2921" s="1"/>
    </row>
    <row r="2922" ht="12.75" customHeight="1">
      <c r="A2922" s="17"/>
      <c r="B2922" s="12"/>
      <c r="C2922" s="1"/>
      <c r="D2922" s="1"/>
      <c r="E2922" s="12"/>
      <c r="F2922" s="7"/>
      <c r="G2922" s="7"/>
      <c r="H2922" s="1"/>
      <c r="I2922" s="1"/>
      <c r="J2922" s="1"/>
      <c r="K2922" s="1"/>
      <c r="L2922" s="12"/>
      <c r="M2922" s="12"/>
      <c r="N2922" s="15"/>
      <c r="O2922" s="1"/>
      <c r="Q2922" s="12"/>
      <c r="R2922" s="1"/>
    </row>
    <row r="2923" ht="12.75" customHeight="1">
      <c r="A2923" s="17"/>
      <c r="B2923" s="12"/>
      <c r="C2923" s="1"/>
      <c r="D2923" s="1"/>
      <c r="E2923" s="12"/>
      <c r="F2923" s="7"/>
      <c r="G2923" s="7"/>
      <c r="H2923" s="1"/>
      <c r="I2923" s="1"/>
      <c r="J2923" s="1"/>
      <c r="K2923" s="1"/>
      <c r="L2923" s="12"/>
      <c r="M2923" s="12"/>
      <c r="N2923" s="15"/>
      <c r="O2923" s="1"/>
      <c r="Q2923" s="12"/>
      <c r="R2923" s="1"/>
    </row>
    <row r="2924" ht="12.75" customHeight="1">
      <c r="A2924" s="17"/>
      <c r="B2924" s="12"/>
      <c r="C2924" s="1"/>
      <c r="D2924" s="1"/>
      <c r="E2924" s="12"/>
      <c r="F2924" s="7"/>
      <c r="G2924" s="7"/>
      <c r="H2924" s="1"/>
      <c r="I2924" s="1"/>
      <c r="J2924" s="1"/>
      <c r="K2924" s="1"/>
      <c r="L2924" s="12"/>
      <c r="M2924" s="12"/>
      <c r="N2924" s="15"/>
      <c r="O2924" s="1"/>
      <c r="Q2924" s="12"/>
      <c r="R2924" s="1"/>
    </row>
    <row r="2925" ht="12.75" customHeight="1">
      <c r="A2925" s="17"/>
      <c r="B2925" s="12"/>
      <c r="C2925" s="1"/>
      <c r="D2925" s="1"/>
      <c r="E2925" s="12"/>
      <c r="F2925" s="7"/>
      <c r="G2925" s="7"/>
      <c r="H2925" s="1"/>
      <c r="I2925" s="1"/>
      <c r="J2925" s="1"/>
      <c r="K2925" s="1"/>
      <c r="L2925" s="12"/>
      <c r="M2925" s="12"/>
      <c r="N2925" s="15"/>
      <c r="O2925" s="1"/>
      <c r="Q2925" s="12"/>
      <c r="R2925" s="1"/>
    </row>
    <row r="2926" ht="12.75" customHeight="1">
      <c r="A2926" s="17"/>
      <c r="B2926" s="12"/>
      <c r="C2926" s="1"/>
      <c r="D2926" s="1"/>
      <c r="E2926" s="12"/>
      <c r="F2926" s="7"/>
      <c r="G2926" s="7"/>
      <c r="H2926" s="1"/>
      <c r="I2926" s="1"/>
      <c r="J2926" s="1"/>
      <c r="K2926" s="1"/>
      <c r="L2926" s="12"/>
      <c r="M2926" s="12"/>
      <c r="N2926" s="15"/>
      <c r="O2926" s="1"/>
      <c r="Q2926" s="12"/>
      <c r="R2926" s="1"/>
    </row>
    <row r="2927" ht="12.75" customHeight="1">
      <c r="A2927" s="17"/>
      <c r="B2927" s="12"/>
      <c r="C2927" s="1"/>
      <c r="D2927" s="1"/>
      <c r="E2927" s="12"/>
      <c r="F2927" s="7"/>
      <c r="G2927" s="7"/>
      <c r="H2927" s="1"/>
      <c r="I2927" s="1"/>
      <c r="J2927" s="1"/>
      <c r="K2927" s="1"/>
      <c r="L2927" s="12"/>
      <c r="M2927" s="12"/>
      <c r="N2927" s="15"/>
      <c r="O2927" s="1"/>
      <c r="Q2927" s="12"/>
      <c r="R2927" s="1"/>
    </row>
    <row r="2928" ht="12.75" customHeight="1">
      <c r="A2928" s="17"/>
      <c r="B2928" s="12"/>
      <c r="C2928" s="1"/>
      <c r="D2928" s="1"/>
      <c r="E2928" s="12"/>
      <c r="F2928" s="7"/>
      <c r="G2928" s="7"/>
      <c r="H2928" s="1"/>
      <c r="I2928" s="1"/>
      <c r="J2928" s="1"/>
      <c r="K2928" s="1"/>
      <c r="L2928" s="12"/>
      <c r="M2928" s="12"/>
      <c r="N2928" s="15"/>
      <c r="O2928" s="1"/>
      <c r="Q2928" s="12"/>
      <c r="R2928" s="1"/>
    </row>
    <row r="2929" ht="12.75" customHeight="1">
      <c r="A2929" s="17"/>
      <c r="B2929" s="12"/>
      <c r="C2929" s="1"/>
      <c r="D2929" s="1"/>
      <c r="E2929" s="12"/>
      <c r="F2929" s="7"/>
      <c r="G2929" s="7"/>
      <c r="H2929" s="1"/>
      <c r="I2929" s="1"/>
      <c r="J2929" s="1"/>
      <c r="K2929" s="1"/>
      <c r="L2929" s="12"/>
      <c r="M2929" s="12"/>
      <c r="N2929" s="15"/>
      <c r="O2929" s="1"/>
      <c r="Q2929" s="12"/>
      <c r="R2929" s="1"/>
    </row>
    <row r="2930" ht="12.75" customHeight="1">
      <c r="A2930" s="17"/>
      <c r="B2930" s="12"/>
      <c r="C2930" s="1"/>
      <c r="D2930" s="1"/>
      <c r="E2930" s="12"/>
      <c r="F2930" s="7"/>
      <c r="G2930" s="7"/>
      <c r="H2930" s="1"/>
      <c r="I2930" s="1"/>
      <c r="J2930" s="1"/>
      <c r="K2930" s="1"/>
      <c r="L2930" s="12"/>
      <c r="M2930" s="12"/>
      <c r="N2930" s="15"/>
      <c r="O2930" s="1"/>
      <c r="Q2930" s="12"/>
      <c r="R2930" s="1"/>
    </row>
    <row r="2931" ht="12.75" customHeight="1">
      <c r="A2931" s="17"/>
      <c r="B2931" s="12"/>
      <c r="C2931" s="1"/>
      <c r="D2931" s="1"/>
      <c r="E2931" s="12"/>
      <c r="F2931" s="7"/>
      <c r="G2931" s="7"/>
      <c r="H2931" s="1"/>
      <c r="I2931" s="1"/>
      <c r="J2931" s="1"/>
      <c r="K2931" s="1"/>
      <c r="L2931" s="12"/>
      <c r="M2931" s="12"/>
      <c r="N2931" s="15"/>
      <c r="O2931" s="1"/>
      <c r="Q2931" s="12"/>
      <c r="R2931" s="1"/>
    </row>
    <row r="2932" ht="12.75" customHeight="1">
      <c r="A2932" s="17"/>
      <c r="B2932" s="12"/>
      <c r="C2932" s="1"/>
      <c r="D2932" s="1"/>
      <c r="E2932" s="12"/>
      <c r="F2932" s="7"/>
      <c r="G2932" s="7"/>
      <c r="H2932" s="1"/>
      <c r="I2932" s="1"/>
      <c r="J2932" s="1"/>
      <c r="K2932" s="1"/>
      <c r="L2932" s="12"/>
      <c r="M2932" s="12"/>
      <c r="N2932" s="15"/>
      <c r="O2932" s="1"/>
      <c r="Q2932" s="12"/>
      <c r="R2932" s="1"/>
    </row>
    <row r="2933" ht="12.75" customHeight="1">
      <c r="A2933" s="17"/>
      <c r="B2933" s="12"/>
      <c r="C2933" s="1"/>
      <c r="D2933" s="1"/>
      <c r="E2933" s="12"/>
      <c r="F2933" s="7"/>
      <c r="G2933" s="7"/>
      <c r="H2933" s="1"/>
      <c r="I2933" s="1"/>
      <c r="J2933" s="1"/>
      <c r="K2933" s="1"/>
      <c r="L2933" s="12"/>
      <c r="M2933" s="12"/>
      <c r="N2933" s="15"/>
      <c r="O2933" s="1"/>
      <c r="Q2933" s="12"/>
      <c r="R2933" s="1"/>
    </row>
    <row r="2934" ht="12.75" customHeight="1">
      <c r="A2934" s="17"/>
      <c r="B2934" s="12"/>
      <c r="C2934" s="1"/>
      <c r="D2934" s="1"/>
      <c r="E2934" s="12"/>
      <c r="F2934" s="7"/>
      <c r="G2934" s="7"/>
      <c r="H2934" s="1"/>
      <c r="I2934" s="1"/>
      <c r="J2934" s="1"/>
      <c r="K2934" s="1"/>
      <c r="L2934" s="12"/>
      <c r="M2934" s="12"/>
      <c r="N2934" s="15"/>
      <c r="O2934" s="1"/>
      <c r="Q2934" s="12"/>
      <c r="R2934" s="1"/>
    </row>
    <row r="2935" ht="12.75" customHeight="1">
      <c r="A2935" s="17"/>
      <c r="B2935" s="12"/>
      <c r="C2935" s="1"/>
      <c r="D2935" s="1"/>
      <c r="E2935" s="12"/>
      <c r="F2935" s="7"/>
      <c r="G2935" s="7"/>
      <c r="H2935" s="1"/>
      <c r="I2935" s="1"/>
      <c r="J2935" s="1"/>
      <c r="K2935" s="1"/>
      <c r="L2935" s="12"/>
      <c r="M2935" s="12"/>
      <c r="N2935" s="15"/>
      <c r="O2935" s="1"/>
      <c r="Q2935" s="12"/>
      <c r="R2935" s="1"/>
    </row>
    <row r="2936" ht="12.75" customHeight="1">
      <c r="A2936" s="17"/>
      <c r="B2936" s="12"/>
      <c r="C2936" s="1"/>
      <c r="D2936" s="1"/>
      <c r="E2936" s="12"/>
      <c r="F2936" s="7"/>
      <c r="G2936" s="7"/>
      <c r="H2936" s="1"/>
      <c r="I2936" s="1"/>
      <c r="J2936" s="1"/>
      <c r="K2936" s="1"/>
      <c r="L2936" s="12"/>
      <c r="M2936" s="12"/>
      <c r="N2936" s="15"/>
      <c r="O2936" s="1"/>
      <c r="Q2936" s="12"/>
      <c r="R2936" s="1"/>
    </row>
    <row r="2937" ht="12.75" customHeight="1">
      <c r="A2937" s="17"/>
      <c r="B2937" s="12"/>
      <c r="C2937" s="1"/>
      <c r="D2937" s="1"/>
      <c r="E2937" s="12"/>
      <c r="F2937" s="7"/>
      <c r="G2937" s="7"/>
      <c r="H2937" s="1"/>
      <c r="I2937" s="1"/>
      <c r="J2937" s="1"/>
      <c r="K2937" s="1"/>
      <c r="L2937" s="12"/>
      <c r="M2937" s="12"/>
      <c r="N2937" s="15"/>
      <c r="O2937" s="1"/>
      <c r="Q2937" s="12"/>
      <c r="R2937" s="1"/>
    </row>
    <row r="2938" ht="12.75" customHeight="1">
      <c r="A2938" s="17"/>
      <c r="B2938" s="12"/>
      <c r="C2938" s="1"/>
      <c r="D2938" s="1"/>
      <c r="E2938" s="12"/>
      <c r="F2938" s="7"/>
      <c r="G2938" s="7"/>
      <c r="H2938" s="1"/>
      <c r="I2938" s="1"/>
      <c r="J2938" s="1"/>
      <c r="K2938" s="1"/>
      <c r="L2938" s="12"/>
      <c r="M2938" s="12"/>
      <c r="N2938" s="15"/>
      <c r="O2938" s="1"/>
      <c r="Q2938" s="12"/>
      <c r="R2938" s="1"/>
    </row>
    <row r="2939" ht="12.75" customHeight="1">
      <c r="A2939" s="17"/>
      <c r="B2939" s="12"/>
      <c r="C2939" s="1"/>
      <c r="D2939" s="1"/>
      <c r="E2939" s="12"/>
      <c r="F2939" s="7"/>
      <c r="G2939" s="7"/>
      <c r="H2939" s="1"/>
      <c r="I2939" s="1"/>
      <c r="J2939" s="1"/>
      <c r="K2939" s="1"/>
      <c r="L2939" s="12"/>
      <c r="M2939" s="12"/>
      <c r="N2939" s="15"/>
      <c r="O2939" s="1"/>
      <c r="Q2939" s="12"/>
      <c r="R2939" s="1"/>
    </row>
    <row r="2940" ht="12.75" customHeight="1">
      <c r="A2940" s="17"/>
      <c r="B2940" s="12"/>
      <c r="C2940" s="1"/>
      <c r="D2940" s="1"/>
      <c r="E2940" s="12"/>
      <c r="F2940" s="7"/>
      <c r="G2940" s="7"/>
      <c r="H2940" s="1"/>
      <c r="I2940" s="1"/>
      <c r="J2940" s="1"/>
      <c r="K2940" s="1"/>
      <c r="L2940" s="12"/>
      <c r="M2940" s="12"/>
      <c r="N2940" s="15"/>
      <c r="O2940" s="1"/>
      <c r="Q2940" s="12"/>
      <c r="R2940" s="1"/>
    </row>
    <row r="2941" ht="12.75" customHeight="1">
      <c r="A2941" s="17"/>
      <c r="B2941" s="12"/>
      <c r="C2941" s="1"/>
      <c r="D2941" s="1"/>
      <c r="E2941" s="12"/>
      <c r="F2941" s="7"/>
      <c r="G2941" s="7"/>
      <c r="H2941" s="1"/>
      <c r="I2941" s="1"/>
      <c r="J2941" s="1"/>
      <c r="K2941" s="1"/>
      <c r="L2941" s="12"/>
      <c r="M2941" s="12"/>
      <c r="N2941" s="15"/>
      <c r="O2941" s="1"/>
      <c r="Q2941" s="12"/>
      <c r="R2941" s="1"/>
    </row>
    <row r="2942" ht="12.75" customHeight="1">
      <c r="A2942" s="17"/>
      <c r="B2942" s="12"/>
      <c r="C2942" s="1"/>
      <c r="D2942" s="1"/>
      <c r="E2942" s="12"/>
      <c r="F2942" s="7"/>
      <c r="G2942" s="7"/>
      <c r="H2942" s="1"/>
      <c r="I2942" s="1"/>
      <c r="J2942" s="1"/>
      <c r="K2942" s="1"/>
      <c r="L2942" s="12"/>
      <c r="M2942" s="12"/>
      <c r="N2942" s="15"/>
      <c r="O2942" s="1"/>
      <c r="Q2942" s="12"/>
      <c r="R2942" s="1"/>
    </row>
    <row r="2943" ht="12.75" customHeight="1">
      <c r="A2943" s="17"/>
      <c r="B2943" s="12"/>
      <c r="C2943" s="1"/>
      <c r="D2943" s="1"/>
      <c r="E2943" s="12"/>
      <c r="F2943" s="7"/>
      <c r="G2943" s="7"/>
      <c r="H2943" s="1"/>
      <c r="I2943" s="1"/>
      <c r="J2943" s="1"/>
      <c r="K2943" s="1"/>
      <c r="L2943" s="12"/>
      <c r="M2943" s="12"/>
      <c r="N2943" s="15"/>
      <c r="O2943" s="1"/>
      <c r="Q2943" s="12"/>
      <c r="R2943" s="1"/>
    </row>
    <row r="2944" ht="12.75" customHeight="1">
      <c r="A2944" s="17"/>
      <c r="B2944" s="12"/>
      <c r="C2944" s="1"/>
      <c r="D2944" s="1"/>
      <c r="E2944" s="12"/>
      <c r="F2944" s="7"/>
      <c r="G2944" s="7"/>
      <c r="H2944" s="1"/>
      <c r="I2944" s="1"/>
      <c r="J2944" s="1"/>
      <c r="K2944" s="1"/>
      <c r="L2944" s="12"/>
      <c r="M2944" s="12"/>
      <c r="N2944" s="15"/>
      <c r="O2944" s="1"/>
      <c r="Q2944" s="12"/>
      <c r="R2944" s="1"/>
    </row>
    <row r="2945" ht="12.75" customHeight="1">
      <c r="A2945" s="17"/>
      <c r="B2945" s="12"/>
      <c r="C2945" s="1"/>
      <c r="D2945" s="1"/>
      <c r="E2945" s="12"/>
      <c r="F2945" s="7"/>
      <c r="G2945" s="7"/>
      <c r="H2945" s="1"/>
      <c r="I2945" s="1"/>
      <c r="J2945" s="1"/>
      <c r="K2945" s="1"/>
      <c r="L2945" s="12"/>
      <c r="M2945" s="12"/>
      <c r="N2945" s="15"/>
      <c r="O2945" s="1"/>
      <c r="Q2945" s="12"/>
      <c r="R2945" s="1"/>
    </row>
    <row r="2946" ht="12.75" customHeight="1">
      <c r="A2946" s="17"/>
      <c r="B2946" s="12"/>
      <c r="C2946" s="1"/>
      <c r="D2946" s="1"/>
      <c r="E2946" s="12"/>
      <c r="F2946" s="7"/>
      <c r="G2946" s="7"/>
      <c r="H2946" s="1"/>
      <c r="I2946" s="1"/>
      <c r="J2946" s="1"/>
      <c r="K2946" s="1"/>
      <c r="L2946" s="12"/>
      <c r="M2946" s="12"/>
      <c r="N2946" s="15"/>
      <c r="O2946" s="1"/>
      <c r="Q2946" s="12"/>
      <c r="R2946" s="1"/>
    </row>
    <row r="2947" ht="12.75" customHeight="1">
      <c r="A2947" s="17"/>
      <c r="B2947" s="12"/>
      <c r="C2947" s="1"/>
      <c r="D2947" s="1"/>
      <c r="E2947" s="12"/>
      <c r="F2947" s="7"/>
      <c r="G2947" s="7"/>
      <c r="H2947" s="1"/>
      <c r="I2947" s="1"/>
      <c r="J2947" s="1"/>
      <c r="K2947" s="1"/>
      <c r="L2947" s="12"/>
      <c r="M2947" s="12"/>
      <c r="N2947" s="15"/>
      <c r="O2947" s="1"/>
      <c r="Q2947" s="12"/>
      <c r="R2947" s="1"/>
    </row>
    <row r="2948" ht="12.75" customHeight="1">
      <c r="A2948" s="17"/>
      <c r="B2948" s="12"/>
      <c r="C2948" s="1"/>
      <c r="D2948" s="1"/>
      <c r="E2948" s="12"/>
      <c r="F2948" s="7"/>
      <c r="G2948" s="7"/>
      <c r="H2948" s="1"/>
      <c r="I2948" s="1"/>
      <c r="J2948" s="1"/>
      <c r="K2948" s="1"/>
      <c r="L2948" s="12"/>
      <c r="M2948" s="12"/>
      <c r="N2948" s="15"/>
      <c r="O2948" s="1"/>
      <c r="Q2948" s="12"/>
      <c r="R2948" s="1"/>
    </row>
    <row r="2949" ht="12.75" customHeight="1">
      <c r="A2949" s="17"/>
      <c r="B2949" s="12"/>
      <c r="C2949" s="1"/>
      <c r="D2949" s="1"/>
      <c r="E2949" s="12"/>
      <c r="F2949" s="7"/>
      <c r="G2949" s="7"/>
      <c r="H2949" s="1"/>
      <c r="I2949" s="1"/>
      <c r="J2949" s="1"/>
      <c r="K2949" s="1"/>
      <c r="L2949" s="12"/>
      <c r="M2949" s="12"/>
      <c r="N2949" s="15"/>
      <c r="O2949" s="1"/>
      <c r="Q2949" s="12"/>
      <c r="R2949" s="1"/>
    </row>
    <row r="2950" ht="12.75" customHeight="1">
      <c r="A2950" s="17"/>
      <c r="B2950" s="12"/>
      <c r="C2950" s="1"/>
      <c r="D2950" s="1"/>
      <c r="E2950" s="12"/>
      <c r="F2950" s="7"/>
      <c r="G2950" s="7"/>
      <c r="H2950" s="1"/>
      <c r="I2950" s="1"/>
      <c r="J2950" s="1"/>
      <c r="K2950" s="1"/>
      <c r="L2950" s="12"/>
      <c r="M2950" s="12"/>
      <c r="N2950" s="15"/>
      <c r="O2950" s="1"/>
      <c r="Q2950" s="12"/>
      <c r="R2950" s="1"/>
    </row>
    <row r="2951" ht="12.75" customHeight="1">
      <c r="A2951" s="17"/>
      <c r="B2951" s="12"/>
      <c r="C2951" s="1"/>
      <c r="D2951" s="1"/>
      <c r="E2951" s="12"/>
      <c r="F2951" s="7"/>
      <c r="G2951" s="7"/>
      <c r="H2951" s="1"/>
      <c r="I2951" s="1"/>
      <c r="J2951" s="1"/>
      <c r="K2951" s="1"/>
      <c r="L2951" s="12"/>
      <c r="M2951" s="12"/>
      <c r="N2951" s="15"/>
      <c r="O2951" s="1"/>
      <c r="Q2951" s="12"/>
      <c r="R2951" s="1"/>
    </row>
    <row r="2952" ht="12.75" customHeight="1">
      <c r="A2952" s="17"/>
      <c r="B2952" s="12"/>
      <c r="C2952" s="1"/>
      <c r="D2952" s="1"/>
      <c r="E2952" s="12"/>
      <c r="F2952" s="7"/>
      <c r="G2952" s="7"/>
      <c r="H2952" s="1"/>
      <c r="I2952" s="1"/>
      <c r="J2952" s="1"/>
      <c r="K2952" s="1"/>
      <c r="L2952" s="12"/>
      <c r="M2952" s="12"/>
      <c r="N2952" s="15"/>
      <c r="O2952" s="1"/>
      <c r="Q2952" s="12"/>
      <c r="R2952" s="1"/>
    </row>
    <row r="2953" ht="12.75" customHeight="1">
      <c r="A2953" s="17"/>
      <c r="B2953" s="12"/>
      <c r="C2953" s="1"/>
      <c r="D2953" s="1"/>
      <c r="E2953" s="12"/>
      <c r="F2953" s="7"/>
      <c r="G2953" s="7"/>
      <c r="H2953" s="1"/>
      <c r="I2953" s="1"/>
      <c r="J2953" s="1"/>
      <c r="K2953" s="1"/>
      <c r="L2953" s="12"/>
      <c r="M2953" s="12"/>
      <c r="N2953" s="15"/>
      <c r="O2953" s="1"/>
      <c r="Q2953" s="12"/>
      <c r="R2953" s="1"/>
    </row>
    <row r="2954" ht="12.75" customHeight="1">
      <c r="A2954" s="17"/>
      <c r="B2954" s="12"/>
      <c r="C2954" s="1"/>
      <c r="D2954" s="1"/>
      <c r="E2954" s="12"/>
      <c r="F2954" s="7"/>
      <c r="G2954" s="7"/>
      <c r="H2954" s="1"/>
      <c r="I2954" s="1"/>
      <c r="J2954" s="1"/>
      <c r="K2954" s="1"/>
      <c r="L2954" s="12"/>
      <c r="M2954" s="12"/>
      <c r="N2954" s="15"/>
      <c r="O2954" s="1"/>
      <c r="Q2954" s="12"/>
      <c r="R2954" s="1"/>
    </row>
    <row r="2955" ht="12.75" customHeight="1">
      <c r="A2955" s="17"/>
      <c r="B2955" s="12"/>
      <c r="C2955" s="1"/>
      <c r="D2955" s="1"/>
      <c r="E2955" s="12"/>
      <c r="F2955" s="7"/>
      <c r="G2955" s="7"/>
      <c r="H2955" s="1"/>
      <c r="I2955" s="1"/>
      <c r="J2955" s="1"/>
      <c r="K2955" s="1"/>
      <c r="L2955" s="12"/>
      <c r="M2955" s="12"/>
      <c r="N2955" s="15"/>
      <c r="O2955" s="1"/>
      <c r="Q2955" s="12"/>
      <c r="R2955" s="1"/>
    </row>
    <row r="2956" ht="12.75" customHeight="1">
      <c r="A2956" s="17"/>
      <c r="B2956" s="12"/>
      <c r="C2956" s="1"/>
      <c r="D2956" s="1"/>
      <c r="E2956" s="12"/>
      <c r="F2956" s="7"/>
      <c r="G2956" s="7"/>
      <c r="H2956" s="1"/>
      <c r="I2956" s="1"/>
      <c r="J2956" s="1"/>
      <c r="K2956" s="1"/>
      <c r="L2956" s="12"/>
      <c r="M2956" s="12"/>
      <c r="N2956" s="15"/>
      <c r="O2956" s="1"/>
      <c r="Q2956" s="12"/>
      <c r="R2956" s="1"/>
    </row>
    <row r="2957" ht="12.75" customHeight="1">
      <c r="A2957" s="17"/>
      <c r="B2957" s="12"/>
      <c r="C2957" s="1"/>
      <c r="D2957" s="1"/>
      <c r="E2957" s="12"/>
      <c r="F2957" s="7"/>
      <c r="G2957" s="7"/>
      <c r="H2957" s="1"/>
      <c r="I2957" s="1"/>
      <c r="J2957" s="1"/>
      <c r="K2957" s="1"/>
      <c r="L2957" s="12"/>
      <c r="M2957" s="12"/>
      <c r="N2957" s="15"/>
      <c r="O2957" s="1"/>
      <c r="Q2957" s="12"/>
      <c r="R2957" s="1"/>
    </row>
    <row r="2958" ht="12.75" customHeight="1">
      <c r="A2958" s="17"/>
      <c r="B2958" s="12"/>
      <c r="C2958" s="1"/>
      <c r="D2958" s="1"/>
      <c r="E2958" s="12"/>
      <c r="F2958" s="7"/>
      <c r="G2958" s="7"/>
      <c r="H2958" s="1"/>
      <c r="I2958" s="1"/>
      <c r="J2958" s="1"/>
      <c r="K2958" s="1"/>
      <c r="L2958" s="12"/>
      <c r="M2958" s="12"/>
      <c r="N2958" s="15"/>
      <c r="O2958" s="1"/>
      <c r="Q2958" s="12"/>
      <c r="R2958" s="1"/>
    </row>
    <row r="2959" ht="12.75" customHeight="1">
      <c r="A2959" s="17"/>
      <c r="B2959" s="12"/>
      <c r="C2959" s="1"/>
      <c r="D2959" s="1"/>
      <c r="E2959" s="12"/>
      <c r="F2959" s="7"/>
      <c r="G2959" s="7"/>
      <c r="H2959" s="1"/>
      <c r="I2959" s="1"/>
      <c r="J2959" s="1"/>
      <c r="K2959" s="1"/>
      <c r="L2959" s="12"/>
      <c r="M2959" s="12"/>
      <c r="N2959" s="15"/>
      <c r="O2959" s="1"/>
      <c r="Q2959" s="12"/>
      <c r="R2959" s="1"/>
    </row>
    <row r="2960" ht="12.75" customHeight="1">
      <c r="A2960" s="17"/>
      <c r="B2960" s="12"/>
      <c r="C2960" s="1"/>
      <c r="D2960" s="1"/>
      <c r="E2960" s="12"/>
      <c r="F2960" s="7"/>
      <c r="G2960" s="7"/>
      <c r="H2960" s="1"/>
      <c r="I2960" s="1"/>
      <c r="J2960" s="1"/>
      <c r="K2960" s="1"/>
      <c r="L2960" s="12"/>
      <c r="M2960" s="12"/>
      <c r="N2960" s="15"/>
      <c r="O2960" s="1"/>
      <c r="Q2960" s="12"/>
      <c r="R2960" s="1"/>
    </row>
    <row r="2961" ht="12.75" customHeight="1">
      <c r="A2961" s="17"/>
      <c r="B2961" s="12"/>
      <c r="C2961" s="1"/>
      <c r="D2961" s="1"/>
      <c r="E2961" s="12"/>
      <c r="F2961" s="7"/>
      <c r="G2961" s="7"/>
      <c r="H2961" s="1"/>
      <c r="I2961" s="1"/>
      <c r="J2961" s="1"/>
      <c r="K2961" s="1"/>
      <c r="L2961" s="12"/>
      <c r="M2961" s="12"/>
      <c r="N2961" s="15"/>
      <c r="O2961" s="1"/>
      <c r="Q2961" s="12"/>
      <c r="R2961" s="1"/>
    </row>
    <row r="2962" ht="12.75" customHeight="1">
      <c r="A2962" s="17"/>
      <c r="B2962" s="12"/>
      <c r="C2962" s="1"/>
      <c r="D2962" s="1"/>
      <c r="E2962" s="12"/>
      <c r="F2962" s="7"/>
      <c r="G2962" s="7"/>
      <c r="H2962" s="1"/>
      <c r="I2962" s="1"/>
      <c r="J2962" s="1"/>
      <c r="K2962" s="1"/>
      <c r="L2962" s="12"/>
      <c r="M2962" s="12"/>
      <c r="N2962" s="15"/>
      <c r="O2962" s="1"/>
      <c r="Q2962" s="12"/>
      <c r="R2962" s="1"/>
    </row>
    <row r="2963" ht="12.75" customHeight="1">
      <c r="A2963" s="17"/>
      <c r="B2963" s="12"/>
      <c r="C2963" s="1"/>
      <c r="D2963" s="1"/>
      <c r="E2963" s="12"/>
      <c r="F2963" s="7"/>
      <c r="G2963" s="7"/>
      <c r="H2963" s="1"/>
      <c r="I2963" s="1"/>
      <c r="J2963" s="1"/>
      <c r="K2963" s="1"/>
      <c r="L2963" s="12"/>
      <c r="M2963" s="12"/>
      <c r="N2963" s="15"/>
      <c r="O2963" s="1"/>
      <c r="Q2963" s="12"/>
      <c r="R2963" s="1"/>
    </row>
    <row r="2964" ht="12.75" customHeight="1">
      <c r="A2964" s="17"/>
      <c r="B2964" s="12"/>
      <c r="C2964" s="1"/>
      <c r="D2964" s="1"/>
      <c r="E2964" s="12"/>
      <c r="F2964" s="7"/>
      <c r="G2964" s="7"/>
      <c r="H2964" s="1"/>
      <c r="I2964" s="1"/>
      <c r="J2964" s="1"/>
      <c r="K2964" s="1"/>
      <c r="L2964" s="12"/>
      <c r="M2964" s="12"/>
      <c r="N2964" s="15"/>
      <c r="O2964" s="1"/>
      <c r="Q2964" s="12"/>
      <c r="R2964" s="1"/>
    </row>
    <row r="2965" ht="12.75" customHeight="1">
      <c r="A2965" s="17"/>
      <c r="B2965" s="12"/>
      <c r="C2965" s="1"/>
      <c r="D2965" s="1"/>
      <c r="E2965" s="12"/>
      <c r="F2965" s="7"/>
      <c r="G2965" s="7"/>
      <c r="H2965" s="1"/>
      <c r="I2965" s="1"/>
      <c r="J2965" s="1"/>
      <c r="K2965" s="1"/>
      <c r="L2965" s="12"/>
      <c r="M2965" s="12"/>
      <c r="N2965" s="15"/>
      <c r="O2965" s="1"/>
      <c r="Q2965" s="12"/>
      <c r="R2965" s="1"/>
    </row>
    <row r="2966" ht="12.75" customHeight="1">
      <c r="A2966" s="17"/>
      <c r="B2966" s="12"/>
      <c r="C2966" s="1"/>
      <c r="D2966" s="1"/>
      <c r="E2966" s="12"/>
      <c r="F2966" s="7"/>
      <c r="G2966" s="7"/>
      <c r="H2966" s="1"/>
      <c r="I2966" s="1"/>
      <c r="J2966" s="1"/>
      <c r="K2966" s="1"/>
      <c r="L2966" s="12"/>
      <c r="M2966" s="12"/>
      <c r="N2966" s="15"/>
      <c r="O2966" s="1"/>
      <c r="Q2966" s="12"/>
      <c r="R2966" s="1"/>
    </row>
    <row r="2967" ht="12.75" customHeight="1">
      <c r="A2967" s="17"/>
      <c r="B2967" s="12"/>
      <c r="C2967" s="1"/>
      <c r="D2967" s="1"/>
      <c r="E2967" s="12"/>
      <c r="F2967" s="7"/>
      <c r="G2967" s="7"/>
      <c r="H2967" s="1"/>
      <c r="I2967" s="1"/>
      <c r="J2967" s="1"/>
      <c r="K2967" s="1"/>
      <c r="L2967" s="12"/>
      <c r="M2967" s="12"/>
      <c r="N2967" s="15"/>
      <c r="O2967" s="1"/>
      <c r="Q2967" s="12"/>
      <c r="R2967" s="1"/>
    </row>
    <row r="2968" ht="12.75" customHeight="1">
      <c r="A2968" s="17"/>
      <c r="B2968" s="12"/>
      <c r="C2968" s="1"/>
      <c r="D2968" s="1"/>
      <c r="E2968" s="12"/>
      <c r="F2968" s="7"/>
      <c r="G2968" s="7"/>
      <c r="H2968" s="1"/>
      <c r="I2968" s="1"/>
      <c r="J2968" s="1"/>
      <c r="K2968" s="1"/>
      <c r="L2968" s="12"/>
      <c r="M2968" s="12"/>
      <c r="N2968" s="15"/>
      <c r="O2968" s="1"/>
      <c r="Q2968" s="12"/>
      <c r="R2968" s="1"/>
    </row>
    <row r="2969" ht="12.75" customHeight="1">
      <c r="A2969" s="17"/>
      <c r="B2969" s="12"/>
      <c r="C2969" s="1"/>
      <c r="D2969" s="1"/>
      <c r="E2969" s="12"/>
      <c r="F2969" s="7"/>
      <c r="G2969" s="7"/>
      <c r="H2969" s="1"/>
      <c r="I2969" s="1"/>
      <c r="J2969" s="1"/>
      <c r="K2969" s="1"/>
      <c r="L2969" s="12"/>
      <c r="M2969" s="12"/>
      <c r="N2969" s="15"/>
      <c r="O2969" s="1"/>
      <c r="Q2969" s="12"/>
      <c r="R2969" s="1"/>
    </row>
    <row r="2970" ht="12.75" customHeight="1">
      <c r="A2970" s="17"/>
      <c r="B2970" s="12"/>
      <c r="C2970" s="1"/>
      <c r="D2970" s="1"/>
      <c r="E2970" s="12"/>
      <c r="F2970" s="7"/>
      <c r="G2970" s="7"/>
      <c r="H2970" s="1"/>
      <c r="I2970" s="1"/>
      <c r="J2970" s="1"/>
      <c r="K2970" s="1"/>
      <c r="L2970" s="12"/>
      <c r="M2970" s="12"/>
      <c r="N2970" s="15"/>
      <c r="O2970" s="1"/>
      <c r="Q2970" s="12"/>
      <c r="R2970" s="1"/>
    </row>
    <row r="2971" ht="12.75" customHeight="1">
      <c r="A2971" s="17"/>
      <c r="B2971" s="12"/>
      <c r="C2971" s="1"/>
      <c r="D2971" s="1"/>
      <c r="E2971" s="12"/>
      <c r="F2971" s="7"/>
      <c r="G2971" s="7"/>
      <c r="H2971" s="1"/>
      <c r="I2971" s="1"/>
      <c r="J2971" s="1"/>
      <c r="K2971" s="1"/>
      <c r="L2971" s="12"/>
      <c r="M2971" s="12"/>
      <c r="N2971" s="15"/>
      <c r="O2971" s="1"/>
      <c r="Q2971" s="12"/>
      <c r="R2971" s="1"/>
    </row>
    <row r="2972" ht="12.75" customHeight="1">
      <c r="A2972" s="17"/>
      <c r="B2972" s="12"/>
      <c r="C2972" s="1"/>
      <c r="D2972" s="1"/>
      <c r="E2972" s="12"/>
      <c r="F2972" s="7"/>
      <c r="G2972" s="7"/>
      <c r="H2972" s="1"/>
      <c r="I2972" s="1"/>
      <c r="J2972" s="1"/>
      <c r="K2972" s="1"/>
      <c r="L2972" s="12"/>
      <c r="M2972" s="12"/>
      <c r="N2972" s="15"/>
      <c r="O2972" s="1"/>
      <c r="Q2972" s="12"/>
      <c r="R2972" s="1"/>
    </row>
    <row r="2973" ht="12.75" customHeight="1">
      <c r="A2973" s="17"/>
      <c r="B2973" s="12"/>
      <c r="C2973" s="1"/>
      <c r="D2973" s="1"/>
      <c r="E2973" s="12"/>
      <c r="F2973" s="7"/>
      <c r="G2973" s="7"/>
      <c r="H2973" s="1"/>
      <c r="I2973" s="1"/>
      <c r="J2973" s="1"/>
      <c r="K2973" s="1"/>
      <c r="L2973" s="12"/>
      <c r="M2973" s="12"/>
      <c r="N2973" s="15"/>
      <c r="O2973" s="1"/>
      <c r="Q2973" s="12"/>
      <c r="R2973" s="1"/>
    </row>
    <row r="2974" ht="12.75" customHeight="1">
      <c r="A2974" s="17"/>
      <c r="B2974" s="12"/>
      <c r="C2974" s="1"/>
      <c r="D2974" s="1"/>
      <c r="E2974" s="12"/>
      <c r="F2974" s="7"/>
      <c r="G2974" s="7"/>
      <c r="H2974" s="1"/>
      <c r="I2974" s="1"/>
      <c r="J2974" s="1"/>
      <c r="K2974" s="1"/>
      <c r="L2974" s="12"/>
      <c r="M2974" s="12"/>
      <c r="N2974" s="15"/>
      <c r="O2974" s="1"/>
      <c r="Q2974" s="12"/>
      <c r="R2974" s="1"/>
    </row>
    <row r="2975" ht="12.75" customHeight="1">
      <c r="A2975" s="17"/>
      <c r="B2975" s="12"/>
      <c r="C2975" s="1"/>
      <c r="D2975" s="1"/>
      <c r="E2975" s="12"/>
      <c r="F2975" s="7"/>
      <c r="G2975" s="7"/>
      <c r="H2975" s="1"/>
      <c r="I2975" s="1"/>
      <c r="J2975" s="1"/>
      <c r="K2975" s="1"/>
      <c r="L2975" s="12"/>
      <c r="M2975" s="12"/>
      <c r="N2975" s="15"/>
      <c r="O2975" s="1"/>
      <c r="Q2975" s="12"/>
      <c r="R2975" s="1"/>
    </row>
    <row r="2976" ht="12.75" customHeight="1">
      <c r="A2976" s="17"/>
      <c r="B2976" s="12"/>
      <c r="C2976" s="1"/>
      <c r="D2976" s="1"/>
      <c r="E2976" s="12"/>
      <c r="F2976" s="7"/>
      <c r="G2976" s="7"/>
      <c r="H2976" s="1"/>
      <c r="I2976" s="1"/>
      <c r="J2976" s="1"/>
      <c r="K2976" s="1"/>
      <c r="L2976" s="12"/>
      <c r="M2976" s="12"/>
      <c r="N2976" s="15"/>
      <c r="O2976" s="1"/>
      <c r="Q2976" s="12"/>
      <c r="R2976" s="1"/>
    </row>
    <row r="2977" ht="12.75" customHeight="1">
      <c r="A2977" s="17"/>
      <c r="B2977" s="12"/>
      <c r="C2977" s="1"/>
      <c r="D2977" s="1"/>
      <c r="E2977" s="12"/>
      <c r="F2977" s="7"/>
      <c r="G2977" s="7"/>
      <c r="H2977" s="1"/>
      <c r="I2977" s="1"/>
      <c r="J2977" s="1"/>
      <c r="K2977" s="1"/>
      <c r="L2977" s="12"/>
      <c r="M2977" s="12"/>
      <c r="N2977" s="15"/>
      <c r="O2977" s="1"/>
      <c r="Q2977" s="12"/>
      <c r="R2977" s="1"/>
    </row>
    <row r="2978" ht="12.75" customHeight="1">
      <c r="A2978" s="17"/>
      <c r="B2978" s="12"/>
      <c r="C2978" s="1"/>
      <c r="D2978" s="1"/>
      <c r="E2978" s="12"/>
      <c r="F2978" s="7"/>
      <c r="G2978" s="7"/>
      <c r="H2978" s="1"/>
      <c r="I2978" s="1"/>
      <c r="J2978" s="1"/>
      <c r="K2978" s="1"/>
      <c r="L2978" s="12"/>
      <c r="M2978" s="12"/>
      <c r="N2978" s="15"/>
      <c r="O2978" s="1"/>
      <c r="Q2978" s="12"/>
      <c r="R2978" s="1"/>
    </row>
    <row r="2979" ht="12.75" customHeight="1">
      <c r="A2979" s="17"/>
      <c r="B2979" s="12"/>
      <c r="C2979" s="1"/>
      <c r="D2979" s="1"/>
      <c r="E2979" s="12"/>
      <c r="F2979" s="7"/>
      <c r="G2979" s="7"/>
      <c r="H2979" s="1"/>
      <c r="I2979" s="1"/>
      <c r="J2979" s="1"/>
      <c r="K2979" s="1"/>
      <c r="L2979" s="12"/>
      <c r="M2979" s="12"/>
      <c r="N2979" s="15"/>
      <c r="O2979" s="1"/>
      <c r="Q2979" s="12"/>
      <c r="R2979" s="1"/>
    </row>
    <row r="2980" ht="12.75" customHeight="1">
      <c r="A2980" s="17"/>
      <c r="B2980" s="12"/>
      <c r="C2980" s="1"/>
      <c r="D2980" s="1"/>
      <c r="E2980" s="12"/>
      <c r="F2980" s="7"/>
      <c r="G2980" s="7"/>
      <c r="H2980" s="1"/>
      <c r="I2980" s="1"/>
      <c r="J2980" s="1"/>
      <c r="K2980" s="1"/>
      <c r="L2980" s="12"/>
      <c r="M2980" s="12"/>
      <c r="N2980" s="15"/>
      <c r="O2980" s="1"/>
      <c r="Q2980" s="12"/>
      <c r="R2980" s="1"/>
    </row>
    <row r="2981" ht="12.75" customHeight="1">
      <c r="A2981" s="17"/>
      <c r="B2981" s="12"/>
      <c r="C2981" s="1"/>
      <c r="D2981" s="1"/>
      <c r="E2981" s="12"/>
      <c r="F2981" s="7"/>
      <c r="G2981" s="7"/>
      <c r="H2981" s="1"/>
      <c r="I2981" s="1"/>
      <c r="J2981" s="1"/>
      <c r="K2981" s="1"/>
      <c r="L2981" s="12"/>
      <c r="M2981" s="12"/>
      <c r="N2981" s="15"/>
      <c r="O2981" s="1"/>
      <c r="Q2981" s="12"/>
      <c r="R2981" s="1"/>
    </row>
    <row r="2982" ht="12.75" customHeight="1">
      <c r="A2982" s="17"/>
      <c r="B2982" s="12"/>
      <c r="C2982" s="1"/>
      <c r="D2982" s="1"/>
      <c r="E2982" s="12"/>
      <c r="F2982" s="7"/>
      <c r="G2982" s="7"/>
      <c r="H2982" s="1"/>
      <c r="I2982" s="1"/>
      <c r="J2982" s="1"/>
      <c r="K2982" s="1"/>
      <c r="L2982" s="12"/>
      <c r="M2982" s="12"/>
      <c r="N2982" s="15"/>
      <c r="O2982" s="1"/>
      <c r="Q2982" s="12"/>
      <c r="R2982" s="1"/>
    </row>
    <row r="2983" ht="12.75" customHeight="1">
      <c r="A2983" s="17"/>
      <c r="B2983" s="12"/>
      <c r="C2983" s="1"/>
      <c r="D2983" s="1"/>
      <c r="E2983" s="12"/>
      <c r="F2983" s="7"/>
      <c r="G2983" s="7"/>
      <c r="H2983" s="1"/>
      <c r="I2983" s="1"/>
      <c r="J2983" s="1"/>
      <c r="K2983" s="1"/>
      <c r="L2983" s="12"/>
      <c r="M2983" s="12"/>
      <c r="N2983" s="15"/>
      <c r="O2983" s="1"/>
      <c r="Q2983" s="12"/>
      <c r="R2983" s="1"/>
    </row>
    <row r="2984" ht="12.75" customHeight="1">
      <c r="A2984" s="17"/>
      <c r="B2984" s="12"/>
      <c r="C2984" s="1"/>
      <c r="D2984" s="1"/>
      <c r="E2984" s="12"/>
      <c r="F2984" s="7"/>
      <c r="G2984" s="7"/>
      <c r="H2984" s="1"/>
      <c r="I2984" s="1"/>
      <c r="J2984" s="1"/>
      <c r="K2984" s="1"/>
      <c r="L2984" s="12"/>
      <c r="M2984" s="12"/>
      <c r="N2984" s="15"/>
      <c r="O2984" s="1"/>
      <c r="Q2984" s="12"/>
      <c r="R2984" s="1"/>
    </row>
    <row r="2985" ht="12.75" customHeight="1">
      <c r="A2985" s="17"/>
      <c r="B2985" s="12"/>
      <c r="C2985" s="1"/>
      <c r="D2985" s="1"/>
      <c r="E2985" s="12"/>
      <c r="F2985" s="7"/>
      <c r="G2985" s="7"/>
      <c r="H2985" s="1"/>
      <c r="I2985" s="1"/>
      <c r="J2985" s="1"/>
      <c r="K2985" s="1"/>
      <c r="L2985" s="12"/>
      <c r="M2985" s="12"/>
      <c r="N2985" s="15"/>
      <c r="O2985" s="1"/>
      <c r="Q2985" s="12"/>
      <c r="R2985" s="1"/>
    </row>
    <row r="2986" ht="12.75" customHeight="1">
      <c r="A2986" s="17"/>
      <c r="B2986" s="12"/>
      <c r="C2986" s="1"/>
      <c r="D2986" s="1"/>
      <c r="E2986" s="12"/>
      <c r="F2986" s="7"/>
      <c r="G2986" s="7"/>
      <c r="H2986" s="1"/>
      <c r="I2986" s="1"/>
      <c r="J2986" s="1"/>
      <c r="K2986" s="1"/>
      <c r="L2986" s="12"/>
      <c r="M2986" s="12"/>
      <c r="N2986" s="15"/>
      <c r="O2986" s="1"/>
      <c r="Q2986" s="12"/>
      <c r="R2986" s="1"/>
    </row>
    <row r="2987" ht="12.75" customHeight="1">
      <c r="A2987" s="17"/>
      <c r="B2987" s="12"/>
      <c r="C2987" s="1"/>
      <c r="D2987" s="1"/>
      <c r="E2987" s="12"/>
      <c r="F2987" s="7"/>
      <c r="G2987" s="7"/>
      <c r="H2987" s="1"/>
      <c r="I2987" s="1"/>
      <c r="J2987" s="1"/>
      <c r="K2987" s="1"/>
      <c r="L2987" s="12"/>
      <c r="M2987" s="12"/>
      <c r="N2987" s="15"/>
      <c r="O2987" s="1"/>
      <c r="Q2987" s="12"/>
      <c r="R2987" s="1"/>
    </row>
    <row r="2988" ht="12.75" customHeight="1">
      <c r="A2988" s="17"/>
      <c r="B2988" s="12"/>
      <c r="C2988" s="1"/>
      <c r="D2988" s="1"/>
      <c r="E2988" s="12"/>
      <c r="F2988" s="7"/>
      <c r="G2988" s="7"/>
      <c r="H2988" s="1"/>
      <c r="I2988" s="1"/>
      <c r="J2988" s="1"/>
      <c r="K2988" s="1"/>
      <c r="L2988" s="12"/>
      <c r="M2988" s="12"/>
      <c r="N2988" s="15"/>
      <c r="O2988" s="1"/>
      <c r="Q2988" s="12"/>
      <c r="R2988" s="1"/>
    </row>
    <row r="2989" ht="12.75" customHeight="1">
      <c r="A2989" s="17"/>
      <c r="B2989" s="12"/>
      <c r="C2989" s="1"/>
      <c r="D2989" s="1"/>
      <c r="E2989" s="12"/>
      <c r="F2989" s="7"/>
      <c r="G2989" s="7"/>
      <c r="H2989" s="1"/>
      <c r="I2989" s="1"/>
      <c r="J2989" s="1"/>
      <c r="K2989" s="1"/>
      <c r="L2989" s="12"/>
      <c r="M2989" s="12"/>
      <c r="N2989" s="15"/>
      <c r="O2989" s="1"/>
      <c r="Q2989" s="12"/>
      <c r="R2989" s="1"/>
    </row>
    <row r="2990" ht="12.75" customHeight="1">
      <c r="A2990" s="17"/>
      <c r="B2990" s="12"/>
      <c r="C2990" s="1"/>
      <c r="D2990" s="1"/>
      <c r="E2990" s="12"/>
      <c r="F2990" s="7"/>
      <c r="G2990" s="7"/>
      <c r="H2990" s="1"/>
      <c r="I2990" s="1"/>
      <c r="J2990" s="1"/>
      <c r="K2990" s="1"/>
      <c r="L2990" s="12"/>
      <c r="M2990" s="12"/>
      <c r="N2990" s="15"/>
      <c r="O2990" s="1"/>
      <c r="Q2990" s="12"/>
      <c r="R2990" s="1"/>
    </row>
    <row r="2991" ht="12.75" customHeight="1">
      <c r="A2991" s="17"/>
      <c r="B2991" s="12"/>
      <c r="C2991" s="1"/>
      <c r="D2991" s="1"/>
      <c r="E2991" s="12"/>
      <c r="F2991" s="7"/>
      <c r="G2991" s="7"/>
      <c r="H2991" s="1"/>
      <c r="I2991" s="1"/>
      <c r="J2991" s="1"/>
      <c r="K2991" s="1"/>
      <c r="L2991" s="12"/>
      <c r="M2991" s="12"/>
      <c r="N2991" s="15"/>
      <c r="O2991" s="1"/>
      <c r="Q2991" s="12"/>
      <c r="R2991" s="1"/>
    </row>
    <row r="2992" ht="12.75" customHeight="1">
      <c r="A2992" s="17"/>
      <c r="B2992" s="12"/>
      <c r="C2992" s="1"/>
      <c r="D2992" s="1"/>
      <c r="E2992" s="12"/>
      <c r="F2992" s="7"/>
      <c r="G2992" s="7"/>
      <c r="H2992" s="1"/>
      <c r="I2992" s="1"/>
      <c r="J2992" s="1"/>
      <c r="K2992" s="1"/>
      <c r="L2992" s="12"/>
      <c r="M2992" s="12"/>
      <c r="N2992" s="15"/>
      <c r="O2992" s="1"/>
      <c r="Q2992" s="12"/>
      <c r="R2992" s="1"/>
    </row>
    <row r="2993" ht="12.75" customHeight="1">
      <c r="A2993" s="17"/>
      <c r="B2993" s="12"/>
      <c r="C2993" s="1"/>
      <c r="D2993" s="1"/>
      <c r="E2993" s="12"/>
      <c r="F2993" s="7"/>
      <c r="G2993" s="7"/>
      <c r="H2993" s="1"/>
      <c r="I2993" s="1"/>
      <c r="J2993" s="1"/>
      <c r="K2993" s="1"/>
      <c r="L2993" s="12"/>
      <c r="M2993" s="12"/>
      <c r="N2993" s="15"/>
      <c r="O2993" s="1"/>
      <c r="Q2993" s="12"/>
      <c r="R2993" s="1"/>
    </row>
    <row r="2994" ht="12.75" customHeight="1">
      <c r="A2994" s="17"/>
      <c r="B2994" s="12"/>
      <c r="C2994" s="1"/>
      <c r="D2994" s="1"/>
      <c r="E2994" s="12"/>
      <c r="F2994" s="7"/>
      <c r="G2994" s="7"/>
      <c r="H2994" s="1"/>
      <c r="I2994" s="1"/>
      <c r="J2994" s="1"/>
      <c r="K2994" s="1"/>
      <c r="L2994" s="12"/>
      <c r="M2994" s="12"/>
      <c r="N2994" s="15"/>
      <c r="O2994" s="1"/>
      <c r="Q2994" s="12"/>
      <c r="R2994" s="1"/>
    </row>
    <row r="2995" ht="12.75" customHeight="1">
      <c r="A2995" s="17"/>
      <c r="B2995" s="12"/>
      <c r="C2995" s="1"/>
      <c r="D2995" s="1"/>
      <c r="E2995" s="12"/>
      <c r="F2995" s="7"/>
      <c r="G2995" s="7"/>
      <c r="H2995" s="1"/>
      <c r="I2995" s="1"/>
      <c r="J2995" s="1"/>
      <c r="K2995" s="1"/>
      <c r="L2995" s="12"/>
      <c r="M2995" s="12"/>
      <c r="N2995" s="15"/>
      <c r="O2995" s="1"/>
      <c r="Q2995" s="12"/>
      <c r="R2995" s="1"/>
    </row>
    <row r="2996" ht="12.75" customHeight="1">
      <c r="A2996" s="17"/>
      <c r="B2996" s="12"/>
      <c r="C2996" s="1"/>
      <c r="D2996" s="1"/>
      <c r="E2996" s="12"/>
      <c r="F2996" s="7"/>
      <c r="G2996" s="7"/>
      <c r="H2996" s="1"/>
      <c r="I2996" s="1"/>
      <c r="J2996" s="1"/>
      <c r="K2996" s="1"/>
      <c r="L2996" s="12"/>
      <c r="M2996" s="12"/>
      <c r="N2996" s="15"/>
      <c r="O2996" s="1"/>
      <c r="Q2996" s="12"/>
      <c r="R2996" s="1"/>
    </row>
    <row r="2997" ht="12.75" customHeight="1">
      <c r="A2997" s="17"/>
      <c r="B2997" s="12"/>
      <c r="C2997" s="1"/>
      <c r="D2997" s="1"/>
      <c r="E2997" s="12"/>
      <c r="F2997" s="7"/>
      <c r="G2997" s="7"/>
      <c r="H2997" s="1"/>
      <c r="I2997" s="1"/>
      <c r="J2997" s="1"/>
      <c r="K2997" s="1"/>
      <c r="L2997" s="12"/>
      <c r="M2997" s="12"/>
      <c r="N2997" s="15"/>
      <c r="O2997" s="1"/>
      <c r="Q2997" s="12"/>
      <c r="R2997" s="1"/>
    </row>
    <row r="2998" ht="12.75" customHeight="1">
      <c r="A2998" s="17"/>
      <c r="B2998" s="12"/>
      <c r="C2998" s="1"/>
      <c r="D2998" s="1"/>
      <c r="E2998" s="12"/>
      <c r="F2998" s="7"/>
      <c r="G2998" s="7"/>
      <c r="H2998" s="1"/>
      <c r="I2998" s="1"/>
      <c r="J2998" s="1"/>
      <c r="K2998" s="1"/>
      <c r="L2998" s="12"/>
      <c r="M2998" s="12"/>
      <c r="N2998" s="15"/>
      <c r="O2998" s="1"/>
      <c r="Q2998" s="12"/>
      <c r="R2998" s="1"/>
    </row>
    <row r="2999" ht="12.75" customHeight="1">
      <c r="A2999" s="17"/>
      <c r="B2999" s="12"/>
      <c r="C2999" s="1"/>
      <c r="D2999" s="1"/>
      <c r="E2999" s="12"/>
      <c r="F2999" s="7"/>
      <c r="G2999" s="7"/>
      <c r="H2999" s="1"/>
      <c r="I2999" s="1"/>
      <c r="J2999" s="1"/>
      <c r="K2999" s="1"/>
      <c r="L2999" s="12"/>
      <c r="M2999" s="12"/>
      <c r="N2999" s="15"/>
      <c r="O2999" s="1"/>
      <c r="Q2999" s="12"/>
      <c r="R2999" s="1"/>
    </row>
    <row r="3000" ht="12.75" customHeight="1">
      <c r="A3000" s="17"/>
      <c r="B3000" s="12"/>
      <c r="C3000" s="1"/>
      <c r="D3000" s="1"/>
      <c r="E3000" s="12"/>
      <c r="F3000" s="7"/>
      <c r="G3000" s="7"/>
      <c r="H3000" s="1"/>
      <c r="I3000" s="1"/>
      <c r="J3000" s="1"/>
      <c r="K3000" s="1"/>
      <c r="L3000" s="12"/>
      <c r="M3000" s="12"/>
      <c r="N3000" s="15"/>
      <c r="O3000" s="1"/>
      <c r="Q3000" s="12"/>
      <c r="R3000" s="1"/>
    </row>
    <row r="3001" ht="12.75" customHeight="1">
      <c r="A3001" s="17"/>
      <c r="B3001" s="12"/>
      <c r="C3001" s="1"/>
      <c r="D3001" s="1"/>
      <c r="E3001" s="12"/>
      <c r="F3001" s="7"/>
      <c r="G3001" s="7"/>
      <c r="H3001" s="1"/>
      <c r="I3001" s="1"/>
      <c r="J3001" s="1"/>
      <c r="K3001" s="1"/>
      <c r="L3001" s="12"/>
      <c r="M3001" s="12"/>
      <c r="N3001" s="15"/>
      <c r="O3001" s="1"/>
      <c r="Q3001" s="12"/>
      <c r="R3001" s="1"/>
    </row>
    <row r="3002" ht="12.75" customHeight="1">
      <c r="A3002" s="17"/>
      <c r="B3002" s="12"/>
      <c r="C3002" s="1"/>
      <c r="D3002" s="1"/>
      <c r="E3002" s="12"/>
      <c r="F3002" s="7"/>
      <c r="G3002" s="7"/>
      <c r="H3002" s="1"/>
      <c r="I3002" s="1"/>
      <c r="J3002" s="1"/>
      <c r="K3002" s="1"/>
      <c r="L3002" s="12"/>
      <c r="M3002" s="12"/>
      <c r="N3002" s="15"/>
      <c r="O3002" s="1"/>
      <c r="Q3002" s="12"/>
      <c r="R3002" s="1"/>
    </row>
    <row r="3003" ht="12.75" customHeight="1">
      <c r="A3003" s="17"/>
      <c r="B3003" s="12"/>
      <c r="C3003" s="1"/>
      <c r="D3003" s="1"/>
      <c r="E3003" s="12"/>
      <c r="F3003" s="7"/>
      <c r="G3003" s="7"/>
      <c r="H3003" s="1"/>
      <c r="I3003" s="1"/>
      <c r="J3003" s="1"/>
      <c r="K3003" s="1"/>
      <c r="L3003" s="12"/>
      <c r="M3003" s="12"/>
      <c r="N3003" s="15"/>
      <c r="O3003" s="1"/>
      <c r="Q3003" s="12"/>
      <c r="R3003" s="1"/>
    </row>
    <row r="3004" ht="12.75" customHeight="1">
      <c r="A3004" s="17"/>
      <c r="B3004" s="12"/>
      <c r="C3004" s="1"/>
      <c r="D3004" s="1"/>
      <c r="E3004" s="12"/>
      <c r="F3004" s="7"/>
      <c r="G3004" s="7"/>
      <c r="H3004" s="1"/>
      <c r="I3004" s="1"/>
      <c r="J3004" s="1"/>
      <c r="K3004" s="1"/>
      <c r="L3004" s="12"/>
      <c r="M3004" s="12"/>
      <c r="N3004" s="15"/>
      <c r="O3004" s="1"/>
      <c r="Q3004" s="12"/>
      <c r="R3004" s="1"/>
    </row>
    <row r="3005" ht="12.75" customHeight="1">
      <c r="A3005" s="17"/>
      <c r="B3005" s="12"/>
      <c r="C3005" s="1"/>
      <c r="D3005" s="1"/>
      <c r="E3005" s="12"/>
      <c r="F3005" s="7"/>
      <c r="G3005" s="7"/>
      <c r="H3005" s="1"/>
      <c r="I3005" s="1"/>
      <c r="J3005" s="1"/>
      <c r="K3005" s="1"/>
      <c r="L3005" s="12"/>
      <c r="M3005" s="12"/>
      <c r="N3005" s="15"/>
      <c r="O3005" s="1"/>
      <c r="Q3005" s="12"/>
      <c r="R3005" s="1"/>
    </row>
    <row r="3006" ht="12.75" customHeight="1">
      <c r="A3006" s="17"/>
      <c r="B3006" s="12"/>
      <c r="C3006" s="1"/>
      <c r="D3006" s="1"/>
      <c r="E3006" s="12"/>
      <c r="F3006" s="7"/>
      <c r="G3006" s="7"/>
      <c r="H3006" s="1"/>
      <c r="I3006" s="1"/>
      <c r="J3006" s="1"/>
      <c r="K3006" s="1"/>
      <c r="L3006" s="12"/>
      <c r="M3006" s="12"/>
      <c r="N3006" s="15"/>
      <c r="O3006" s="1"/>
      <c r="Q3006" s="12"/>
      <c r="R3006" s="1"/>
    </row>
    <row r="3007" ht="12.75" customHeight="1">
      <c r="A3007" s="17"/>
      <c r="B3007" s="12"/>
      <c r="C3007" s="1"/>
      <c r="D3007" s="1"/>
      <c r="E3007" s="12"/>
      <c r="F3007" s="7"/>
      <c r="G3007" s="7"/>
      <c r="H3007" s="1"/>
      <c r="I3007" s="1"/>
      <c r="J3007" s="1"/>
      <c r="K3007" s="1"/>
      <c r="L3007" s="12"/>
      <c r="M3007" s="12"/>
      <c r="N3007" s="15"/>
      <c r="O3007" s="1"/>
      <c r="Q3007" s="12"/>
      <c r="R3007" s="1"/>
    </row>
    <row r="3008" ht="12.75" customHeight="1">
      <c r="A3008" s="17"/>
      <c r="B3008" s="12"/>
      <c r="C3008" s="1"/>
      <c r="D3008" s="1"/>
      <c r="E3008" s="12"/>
      <c r="F3008" s="7"/>
      <c r="G3008" s="7"/>
      <c r="H3008" s="1"/>
      <c r="I3008" s="1"/>
      <c r="J3008" s="1"/>
      <c r="K3008" s="1"/>
      <c r="L3008" s="12"/>
      <c r="M3008" s="12"/>
      <c r="N3008" s="15"/>
      <c r="O3008" s="1"/>
      <c r="Q3008" s="12"/>
      <c r="R3008" s="1"/>
    </row>
    <row r="3009" ht="12.75" customHeight="1">
      <c r="A3009" s="17"/>
      <c r="B3009" s="12"/>
      <c r="C3009" s="1"/>
      <c r="D3009" s="1"/>
      <c r="E3009" s="12"/>
      <c r="F3009" s="7"/>
      <c r="G3009" s="7"/>
      <c r="H3009" s="1"/>
      <c r="I3009" s="1"/>
      <c r="J3009" s="1"/>
      <c r="K3009" s="1"/>
      <c r="L3009" s="12"/>
      <c r="M3009" s="12"/>
      <c r="N3009" s="15"/>
      <c r="O3009" s="1"/>
      <c r="Q3009" s="12"/>
      <c r="R3009" s="1"/>
    </row>
    <row r="3010" ht="12.75" customHeight="1">
      <c r="A3010" s="17"/>
      <c r="B3010" s="12"/>
      <c r="C3010" s="1"/>
      <c r="D3010" s="1"/>
      <c r="E3010" s="12"/>
      <c r="F3010" s="7"/>
      <c r="G3010" s="7"/>
      <c r="H3010" s="1"/>
      <c r="I3010" s="1"/>
      <c r="J3010" s="1"/>
      <c r="K3010" s="1"/>
      <c r="L3010" s="12"/>
      <c r="M3010" s="12"/>
      <c r="N3010" s="15"/>
      <c r="O3010" s="1"/>
      <c r="Q3010" s="12"/>
      <c r="R3010" s="1"/>
    </row>
    <row r="3011" ht="12.75" customHeight="1">
      <c r="A3011" s="17"/>
      <c r="B3011" s="12"/>
      <c r="C3011" s="1"/>
      <c r="D3011" s="1"/>
      <c r="E3011" s="12"/>
      <c r="F3011" s="7"/>
      <c r="G3011" s="7"/>
      <c r="H3011" s="1"/>
      <c r="I3011" s="1"/>
      <c r="J3011" s="1"/>
      <c r="K3011" s="1"/>
      <c r="L3011" s="12"/>
      <c r="M3011" s="12"/>
      <c r="N3011" s="15"/>
      <c r="O3011" s="1"/>
      <c r="Q3011" s="12"/>
      <c r="R3011" s="1"/>
    </row>
    <row r="3012" ht="12.75" customHeight="1">
      <c r="A3012" s="17"/>
      <c r="B3012" s="12"/>
      <c r="C3012" s="1"/>
      <c r="D3012" s="1"/>
      <c r="E3012" s="12"/>
      <c r="F3012" s="7"/>
      <c r="G3012" s="7"/>
      <c r="H3012" s="1"/>
      <c r="I3012" s="1"/>
      <c r="J3012" s="1"/>
      <c r="K3012" s="1"/>
      <c r="L3012" s="12"/>
      <c r="M3012" s="12"/>
      <c r="N3012" s="15"/>
      <c r="O3012" s="1"/>
      <c r="Q3012" s="12"/>
      <c r="R3012" s="1"/>
    </row>
    <row r="3013" ht="12.75" customHeight="1">
      <c r="A3013" s="17"/>
      <c r="B3013" s="12"/>
      <c r="C3013" s="1"/>
      <c r="D3013" s="1"/>
      <c r="E3013" s="12"/>
      <c r="F3013" s="7"/>
      <c r="G3013" s="7"/>
      <c r="H3013" s="1"/>
      <c r="I3013" s="1"/>
      <c r="J3013" s="1"/>
      <c r="K3013" s="1"/>
      <c r="L3013" s="12"/>
      <c r="M3013" s="12"/>
      <c r="N3013" s="15"/>
      <c r="O3013" s="1"/>
      <c r="Q3013" s="12"/>
      <c r="R3013" s="1"/>
    </row>
    <row r="3014" ht="12.75" customHeight="1">
      <c r="A3014" s="17"/>
      <c r="B3014" s="12"/>
      <c r="C3014" s="1"/>
      <c r="D3014" s="1"/>
      <c r="E3014" s="12"/>
      <c r="F3014" s="7"/>
      <c r="G3014" s="7"/>
      <c r="H3014" s="1"/>
      <c r="I3014" s="1"/>
      <c r="J3014" s="1"/>
      <c r="K3014" s="1"/>
      <c r="L3014" s="12"/>
      <c r="M3014" s="12"/>
      <c r="N3014" s="15"/>
      <c r="O3014" s="1"/>
      <c r="Q3014" s="12"/>
      <c r="R3014" s="1"/>
    </row>
    <row r="3015" ht="12.75" customHeight="1">
      <c r="A3015" s="17"/>
      <c r="B3015" s="12"/>
      <c r="C3015" s="1"/>
      <c r="D3015" s="1"/>
      <c r="E3015" s="12"/>
      <c r="F3015" s="7"/>
      <c r="G3015" s="7"/>
      <c r="H3015" s="1"/>
      <c r="I3015" s="1"/>
      <c r="J3015" s="1"/>
      <c r="K3015" s="1"/>
      <c r="L3015" s="12"/>
      <c r="M3015" s="12"/>
      <c r="N3015" s="15"/>
      <c r="O3015" s="1"/>
      <c r="Q3015" s="12"/>
      <c r="R3015" s="1"/>
    </row>
    <row r="3016" ht="12.75" customHeight="1">
      <c r="A3016" s="17"/>
      <c r="B3016" s="12"/>
      <c r="C3016" s="1"/>
      <c r="D3016" s="1"/>
      <c r="E3016" s="12"/>
      <c r="F3016" s="7"/>
      <c r="G3016" s="7"/>
      <c r="H3016" s="1"/>
      <c r="I3016" s="1"/>
      <c r="J3016" s="1"/>
      <c r="K3016" s="1"/>
      <c r="L3016" s="12"/>
      <c r="M3016" s="12"/>
      <c r="N3016" s="15"/>
      <c r="O3016" s="1"/>
      <c r="Q3016" s="12"/>
      <c r="R3016" s="1"/>
    </row>
    <row r="3017" ht="12.75" customHeight="1">
      <c r="A3017" s="17"/>
      <c r="B3017" s="12"/>
      <c r="C3017" s="1"/>
      <c r="D3017" s="1"/>
      <c r="E3017" s="12"/>
      <c r="F3017" s="7"/>
      <c r="G3017" s="7"/>
      <c r="H3017" s="1"/>
      <c r="I3017" s="1"/>
      <c r="J3017" s="1"/>
      <c r="K3017" s="1"/>
      <c r="L3017" s="12"/>
      <c r="M3017" s="12"/>
      <c r="N3017" s="15"/>
      <c r="O3017" s="1"/>
      <c r="Q3017" s="12"/>
      <c r="R3017" s="1"/>
    </row>
    <row r="3018" ht="12.75" customHeight="1">
      <c r="A3018" s="17"/>
      <c r="B3018" s="12"/>
      <c r="C3018" s="1"/>
      <c r="D3018" s="1"/>
      <c r="E3018" s="12"/>
      <c r="F3018" s="7"/>
      <c r="G3018" s="7"/>
      <c r="H3018" s="1"/>
      <c r="I3018" s="1"/>
      <c r="J3018" s="1"/>
      <c r="K3018" s="1"/>
      <c r="L3018" s="12"/>
      <c r="M3018" s="12"/>
      <c r="N3018" s="15"/>
      <c r="O3018" s="1"/>
      <c r="Q3018" s="12"/>
      <c r="R3018" s="1"/>
    </row>
    <row r="3019" ht="12.75" customHeight="1">
      <c r="A3019" s="17"/>
      <c r="B3019" s="12"/>
      <c r="C3019" s="1"/>
      <c r="D3019" s="1"/>
      <c r="E3019" s="12"/>
      <c r="F3019" s="7"/>
      <c r="G3019" s="7"/>
      <c r="H3019" s="1"/>
      <c r="I3019" s="1"/>
      <c r="J3019" s="1"/>
      <c r="K3019" s="1"/>
      <c r="L3019" s="12"/>
      <c r="M3019" s="12"/>
      <c r="N3019" s="15"/>
      <c r="O3019" s="1"/>
      <c r="Q3019" s="12"/>
      <c r="R3019" s="1"/>
    </row>
    <row r="3020" ht="12.75" customHeight="1">
      <c r="A3020" s="17"/>
      <c r="B3020" s="12"/>
      <c r="C3020" s="1"/>
      <c r="D3020" s="1"/>
      <c r="E3020" s="12"/>
      <c r="F3020" s="7"/>
      <c r="G3020" s="7"/>
      <c r="H3020" s="1"/>
      <c r="I3020" s="1"/>
      <c r="J3020" s="1"/>
      <c r="K3020" s="1"/>
      <c r="L3020" s="12"/>
      <c r="M3020" s="12"/>
      <c r="N3020" s="15"/>
      <c r="O3020" s="1"/>
      <c r="Q3020" s="12"/>
      <c r="R3020" s="1"/>
    </row>
    <row r="3021" ht="12.75" customHeight="1">
      <c r="A3021" s="17"/>
      <c r="B3021" s="12"/>
      <c r="C3021" s="1"/>
      <c r="D3021" s="1"/>
      <c r="E3021" s="12"/>
      <c r="F3021" s="7"/>
      <c r="G3021" s="7"/>
      <c r="H3021" s="1"/>
      <c r="I3021" s="1"/>
      <c r="J3021" s="1"/>
      <c r="K3021" s="1"/>
      <c r="L3021" s="12"/>
      <c r="M3021" s="12"/>
      <c r="N3021" s="15"/>
      <c r="O3021" s="1"/>
      <c r="Q3021" s="12"/>
      <c r="R3021" s="1"/>
    </row>
    <row r="3022" ht="12.75" customHeight="1">
      <c r="A3022" s="17"/>
      <c r="B3022" s="12"/>
      <c r="C3022" s="1"/>
      <c r="D3022" s="1"/>
      <c r="E3022" s="12"/>
      <c r="F3022" s="7"/>
      <c r="G3022" s="7"/>
      <c r="H3022" s="1"/>
      <c r="I3022" s="1"/>
      <c r="J3022" s="1"/>
      <c r="K3022" s="1"/>
      <c r="L3022" s="12"/>
      <c r="M3022" s="12"/>
      <c r="N3022" s="15"/>
      <c r="O3022" s="1"/>
      <c r="Q3022" s="12"/>
      <c r="R3022" s="1"/>
    </row>
    <row r="3023" ht="12.75" customHeight="1">
      <c r="A3023" s="17"/>
      <c r="B3023" s="12"/>
      <c r="C3023" s="1"/>
      <c r="D3023" s="1"/>
      <c r="E3023" s="12"/>
      <c r="F3023" s="7"/>
      <c r="G3023" s="7"/>
      <c r="H3023" s="1"/>
      <c r="I3023" s="1"/>
      <c r="J3023" s="1"/>
      <c r="K3023" s="1"/>
      <c r="L3023" s="12"/>
      <c r="M3023" s="12"/>
      <c r="N3023" s="15"/>
      <c r="O3023" s="1"/>
      <c r="Q3023" s="12"/>
      <c r="R3023" s="1"/>
    </row>
    <row r="3024" ht="12.75" customHeight="1">
      <c r="A3024" s="17"/>
      <c r="B3024" s="12"/>
      <c r="C3024" s="1"/>
      <c r="D3024" s="1"/>
      <c r="E3024" s="12"/>
      <c r="F3024" s="7"/>
      <c r="G3024" s="7"/>
      <c r="H3024" s="1"/>
      <c r="I3024" s="1"/>
      <c r="J3024" s="1"/>
      <c r="K3024" s="1"/>
      <c r="L3024" s="12"/>
      <c r="M3024" s="12"/>
      <c r="N3024" s="15"/>
      <c r="O3024" s="1"/>
      <c r="Q3024" s="12"/>
      <c r="R3024" s="1"/>
    </row>
    <row r="3025" ht="12.75" customHeight="1">
      <c r="A3025" s="17"/>
      <c r="B3025" s="12"/>
      <c r="C3025" s="1"/>
      <c r="D3025" s="1"/>
      <c r="E3025" s="12"/>
      <c r="F3025" s="7"/>
      <c r="G3025" s="7"/>
      <c r="H3025" s="1"/>
      <c r="I3025" s="1"/>
      <c r="J3025" s="1"/>
      <c r="K3025" s="1"/>
      <c r="L3025" s="12"/>
      <c r="M3025" s="12"/>
      <c r="N3025" s="15"/>
      <c r="O3025" s="1"/>
      <c r="Q3025" s="12"/>
      <c r="R3025" s="1"/>
    </row>
    <row r="3026" ht="12.75" customHeight="1">
      <c r="A3026" s="17"/>
      <c r="B3026" s="12"/>
      <c r="C3026" s="1"/>
      <c r="D3026" s="1"/>
      <c r="E3026" s="12"/>
      <c r="F3026" s="7"/>
      <c r="G3026" s="7"/>
      <c r="H3026" s="1"/>
      <c r="I3026" s="1"/>
      <c r="J3026" s="1"/>
      <c r="K3026" s="1"/>
      <c r="L3026" s="12"/>
      <c r="M3026" s="12"/>
      <c r="N3026" s="15"/>
      <c r="O3026" s="1"/>
      <c r="Q3026" s="12"/>
      <c r="R3026" s="1"/>
    </row>
    <row r="3027" ht="12.75" customHeight="1">
      <c r="A3027" s="17"/>
      <c r="B3027" s="12"/>
      <c r="C3027" s="1"/>
      <c r="D3027" s="1"/>
      <c r="E3027" s="12"/>
      <c r="F3027" s="7"/>
      <c r="G3027" s="7"/>
      <c r="H3027" s="1"/>
      <c r="I3027" s="1"/>
      <c r="J3027" s="1"/>
      <c r="K3027" s="1"/>
      <c r="L3027" s="12"/>
      <c r="M3027" s="12"/>
      <c r="N3027" s="15"/>
      <c r="O3027" s="1"/>
      <c r="Q3027" s="12"/>
      <c r="R3027" s="1"/>
    </row>
    <row r="3028" ht="12.75" customHeight="1">
      <c r="A3028" s="17"/>
      <c r="B3028" s="12"/>
      <c r="C3028" s="1"/>
      <c r="D3028" s="1"/>
      <c r="E3028" s="12"/>
      <c r="F3028" s="7"/>
      <c r="G3028" s="7"/>
      <c r="H3028" s="1"/>
      <c r="I3028" s="1"/>
      <c r="J3028" s="1"/>
      <c r="K3028" s="1"/>
      <c r="L3028" s="12"/>
      <c r="M3028" s="12"/>
      <c r="N3028" s="15"/>
      <c r="O3028" s="1"/>
      <c r="Q3028" s="12"/>
      <c r="R3028" s="1"/>
    </row>
    <row r="3029" ht="12.75" customHeight="1">
      <c r="A3029" s="17"/>
      <c r="B3029" s="12"/>
      <c r="C3029" s="1"/>
      <c r="D3029" s="1"/>
      <c r="E3029" s="12"/>
      <c r="F3029" s="7"/>
      <c r="G3029" s="7"/>
      <c r="H3029" s="1"/>
      <c r="I3029" s="1"/>
      <c r="J3029" s="1"/>
      <c r="K3029" s="1"/>
      <c r="L3029" s="12"/>
      <c r="M3029" s="12"/>
      <c r="N3029" s="15"/>
      <c r="O3029" s="1"/>
      <c r="Q3029" s="12"/>
      <c r="R3029" s="1"/>
    </row>
    <row r="3030" ht="12.75" customHeight="1">
      <c r="A3030" s="17"/>
      <c r="B3030" s="12"/>
      <c r="C3030" s="1"/>
      <c r="D3030" s="1"/>
      <c r="E3030" s="12"/>
      <c r="F3030" s="7"/>
      <c r="G3030" s="7"/>
      <c r="H3030" s="1"/>
      <c r="I3030" s="1"/>
      <c r="J3030" s="1"/>
      <c r="K3030" s="1"/>
      <c r="L3030" s="12"/>
      <c r="M3030" s="12"/>
      <c r="N3030" s="15"/>
      <c r="O3030" s="1"/>
      <c r="Q3030" s="12"/>
      <c r="R3030" s="1"/>
    </row>
    <row r="3031" ht="12.75" customHeight="1">
      <c r="A3031" s="17"/>
      <c r="B3031" s="12"/>
      <c r="C3031" s="1"/>
      <c r="D3031" s="1"/>
      <c r="E3031" s="12"/>
      <c r="F3031" s="7"/>
      <c r="G3031" s="7"/>
      <c r="H3031" s="1"/>
      <c r="I3031" s="1"/>
      <c r="J3031" s="1"/>
      <c r="K3031" s="1"/>
      <c r="L3031" s="12"/>
      <c r="M3031" s="12"/>
      <c r="N3031" s="15"/>
      <c r="O3031" s="1"/>
      <c r="Q3031" s="12"/>
      <c r="R3031" s="1"/>
    </row>
    <row r="3032" ht="12.75" customHeight="1">
      <c r="A3032" s="17"/>
      <c r="B3032" s="12"/>
      <c r="C3032" s="1"/>
      <c r="D3032" s="1"/>
      <c r="E3032" s="12"/>
      <c r="F3032" s="7"/>
      <c r="G3032" s="7"/>
      <c r="H3032" s="1"/>
      <c r="I3032" s="1"/>
      <c r="J3032" s="1"/>
      <c r="K3032" s="1"/>
      <c r="L3032" s="12"/>
      <c r="M3032" s="12"/>
      <c r="N3032" s="15"/>
      <c r="O3032" s="1"/>
      <c r="Q3032" s="12"/>
      <c r="R3032" s="1"/>
    </row>
    <row r="3033" ht="12.75" customHeight="1">
      <c r="A3033" s="17"/>
      <c r="B3033" s="12"/>
      <c r="C3033" s="1"/>
      <c r="D3033" s="1"/>
      <c r="E3033" s="12"/>
      <c r="F3033" s="7"/>
      <c r="G3033" s="7"/>
      <c r="H3033" s="1"/>
      <c r="I3033" s="1"/>
      <c r="J3033" s="1"/>
      <c r="K3033" s="1"/>
      <c r="L3033" s="12"/>
      <c r="M3033" s="12"/>
      <c r="N3033" s="15"/>
      <c r="O3033" s="1"/>
      <c r="Q3033" s="12"/>
      <c r="R3033" s="1"/>
    </row>
    <row r="3034" ht="12.75" customHeight="1">
      <c r="A3034" s="17"/>
      <c r="B3034" s="12"/>
      <c r="C3034" s="1"/>
      <c r="D3034" s="1"/>
      <c r="E3034" s="12"/>
      <c r="F3034" s="7"/>
      <c r="G3034" s="7"/>
      <c r="H3034" s="1"/>
      <c r="I3034" s="1"/>
      <c r="J3034" s="1"/>
      <c r="K3034" s="1"/>
      <c r="L3034" s="12"/>
      <c r="M3034" s="12"/>
      <c r="N3034" s="15"/>
      <c r="O3034" s="1"/>
      <c r="Q3034" s="12"/>
      <c r="R3034" s="1"/>
    </row>
    <row r="3035" ht="12.75" customHeight="1">
      <c r="A3035" s="17"/>
      <c r="B3035" s="12"/>
      <c r="C3035" s="1"/>
      <c r="D3035" s="1"/>
      <c r="E3035" s="12"/>
      <c r="F3035" s="7"/>
      <c r="G3035" s="7"/>
      <c r="H3035" s="1"/>
      <c r="I3035" s="1"/>
      <c r="J3035" s="1"/>
      <c r="K3035" s="1"/>
      <c r="L3035" s="12"/>
      <c r="M3035" s="12"/>
      <c r="N3035" s="15"/>
      <c r="O3035" s="1"/>
      <c r="Q3035" s="12"/>
      <c r="R3035" s="1"/>
    </row>
    <row r="3036" ht="12.75" customHeight="1">
      <c r="A3036" s="17"/>
      <c r="B3036" s="12"/>
      <c r="C3036" s="1"/>
      <c r="D3036" s="1"/>
      <c r="E3036" s="12"/>
      <c r="F3036" s="7"/>
      <c r="G3036" s="7"/>
      <c r="H3036" s="1"/>
      <c r="I3036" s="1"/>
      <c r="J3036" s="1"/>
      <c r="K3036" s="1"/>
      <c r="L3036" s="12"/>
      <c r="M3036" s="12"/>
      <c r="N3036" s="15"/>
      <c r="O3036" s="1"/>
      <c r="Q3036" s="12"/>
      <c r="R3036" s="1"/>
    </row>
    <row r="3037" ht="12.75" customHeight="1">
      <c r="A3037" s="17"/>
      <c r="B3037" s="12"/>
      <c r="C3037" s="1"/>
      <c r="D3037" s="1"/>
      <c r="E3037" s="12"/>
      <c r="F3037" s="7"/>
      <c r="G3037" s="7"/>
      <c r="H3037" s="1"/>
      <c r="I3037" s="1"/>
      <c r="J3037" s="1"/>
      <c r="K3037" s="1"/>
      <c r="L3037" s="12"/>
      <c r="M3037" s="12"/>
      <c r="N3037" s="15"/>
      <c r="O3037" s="1"/>
      <c r="Q3037" s="12"/>
      <c r="R3037" s="1"/>
    </row>
    <row r="3038" ht="12.75" customHeight="1">
      <c r="A3038" s="17"/>
      <c r="B3038" s="12"/>
      <c r="C3038" s="1"/>
      <c r="D3038" s="1"/>
      <c r="E3038" s="12"/>
      <c r="F3038" s="7"/>
      <c r="G3038" s="7"/>
      <c r="H3038" s="1"/>
      <c r="I3038" s="1"/>
      <c r="J3038" s="1"/>
      <c r="K3038" s="1"/>
      <c r="L3038" s="12"/>
      <c r="M3038" s="12"/>
      <c r="N3038" s="15"/>
      <c r="O3038" s="1"/>
      <c r="Q3038" s="12"/>
      <c r="R3038" s="1"/>
    </row>
    <row r="3039" ht="12.75" customHeight="1">
      <c r="A3039" s="17"/>
      <c r="B3039" s="12"/>
      <c r="C3039" s="1"/>
      <c r="D3039" s="1"/>
      <c r="E3039" s="12"/>
      <c r="F3039" s="7"/>
      <c r="G3039" s="7"/>
      <c r="H3039" s="1"/>
      <c r="I3039" s="1"/>
      <c r="J3039" s="1"/>
      <c r="K3039" s="1"/>
      <c r="L3039" s="12"/>
      <c r="M3039" s="12"/>
      <c r="N3039" s="15"/>
      <c r="O3039" s="1"/>
      <c r="Q3039" s="12"/>
      <c r="R3039" s="1"/>
    </row>
    <row r="3040" ht="12.75" customHeight="1">
      <c r="A3040" s="17"/>
      <c r="B3040" s="12"/>
      <c r="C3040" s="1"/>
      <c r="D3040" s="1"/>
      <c r="E3040" s="12"/>
      <c r="F3040" s="7"/>
      <c r="G3040" s="7"/>
      <c r="H3040" s="1"/>
      <c r="I3040" s="1"/>
      <c r="J3040" s="1"/>
      <c r="K3040" s="1"/>
      <c r="L3040" s="12"/>
      <c r="M3040" s="12"/>
      <c r="N3040" s="15"/>
      <c r="O3040" s="1"/>
      <c r="Q3040" s="12"/>
      <c r="R3040" s="1"/>
    </row>
    <row r="3041" ht="12.75" customHeight="1">
      <c r="A3041" s="17"/>
      <c r="B3041" s="12"/>
      <c r="C3041" s="1"/>
      <c r="D3041" s="1"/>
      <c r="E3041" s="12"/>
      <c r="F3041" s="7"/>
      <c r="G3041" s="7"/>
      <c r="H3041" s="1"/>
      <c r="I3041" s="1"/>
      <c r="J3041" s="1"/>
      <c r="K3041" s="1"/>
      <c r="L3041" s="12"/>
      <c r="M3041" s="12"/>
      <c r="N3041" s="15"/>
      <c r="O3041" s="1"/>
      <c r="Q3041" s="12"/>
      <c r="R3041" s="1"/>
    </row>
    <row r="3042" ht="12.75" customHeight="1">
      <c r="A3042" s="17"/>
      <c r="B3042" s="12"/>
      <c r="C3042" s="1"/>
      <c r="D3042" s="1"/>
      <c r="E3042" s="12"/>
      <c r="F3042" s="7"/>
      <c r="G3042" s="7"/>
      <c r="H3042" s="1"/>
      <c r="I3042" s="1"/>
      <c r="J3042" s="1"/>
      <c r="K3042" s="1"/>
      <c r="L3042" s="12"/>
      <c r="M3042" s="12"/>
      <c r="N3042" s="15"/>
      <c r="O3042" s="1"/>
      <c r="Q3042" s="12"/>
      <c r="R3042" s="1"/>
    </row>
    <row r="3043" ht="12.75" customHeight="1">
      <c r="A3043" s="17"/>
      <c r="B3043" s="12"/>
      <c r="C3043" s="1"/>
      <c r="D3043" s="1"/>
      <c r="E3043" s="12"/>
      <c r="F3043" s="7"/>
      <c r="G3043" s="7"/>
      <c r="H3043" s="1"/>
      <c r="I3043" s="1"/>
      <c r="J3043" s="1"/>
      <c r="K3043" s="1"/>
      <c r="L3043" s="12"/>
      <c r="M3043" s="12"/>
      <c r="N3043" s="15"/>
      <c r="O3043" s="1"/>
      <c r="Q3043" s="12"/>
      <c r="R3043" s="1"/>
    </row>
    <row r="3044" ht="12.75" customHeight="1">
      <c r="A3044" s="17"/>
      <c r="B3044" s="12"/>
      <c r="C3044" s="1"/>
      <c r="D3044" s="1"/>
      <c r="E3044" s="12"/>
      <c r="F3044" s="7"/>
      <c r="G3044" s="7"/>
      <c r="H3044" s="1"/>
      <c r="I3044" s="1"/>
      <c r="J3044" s="1"/>
      <c r="K3044" s="1"/>
      <c r="L3044" s="12"/>
      <c r="M3044" s="12"/>
      <c r="N3044" s="15"/>
      <c r="O3044" s="1"/>
      <c r="Q3044" s="12"/>
      <c r="R3044" s="1"/>
    </row>
    <row r="3045" ht="12.75" customHeight="1">
      <c r="A3045" s="17"/>
      <c r="B3045" s="12"/>
      <c r="C3045" s="1"/>
      <c r="D3045" s="1"/>
      <c r="E3045" s="12"/>
      <c r="F3045" s="7"/>
      <c r="G3045" s="7"/>
      <c r="H3045" s="1"/>
      <c r="I3045" s="1"/>
      <c r="J3045" s="1"/>
      <c r="K3045" s="1"/>
      <c r="L3045" s="12"/>
      <c r="M3045" s="12"/>
      <c r="N3045" s="15"/>
      <c r="O3045" s="1"/>
      <c r="Q3045" s="12"/>
      <c r="R3045" s="1"/>
    </row>
    <row r="3046" ht="12.75" customHeight="1">
      <c r="A3046" s="17"/>
      <c r="B3046" s="12"/>
      <c r="C3046" s="1"/>
      <c r="D3046" s="1"/>
      <c r="E3046" s="12"/>
      <c r="F3046" s="7"/>
      <c r="G3046" s="7"/>
      <c r="H3046" s="1"/>
      <c r="I3046" s="1"/>
      <c r="J3046" s="1"/>
      <c r="K3046" s="1"/>
      <c r="L3046" s="12"/>
      <c r="M3046" s="12"/>
      <c r="N3046" s="15"/>
      <c r="O3046" s="1"/>
      <c r="Q3046" s="12"/>
      <c r="R3046" s="1"/>
    </row>
    <row r="3047" ht="12.75" customHeight="1">
      <c r="A3047" s="17"/>
      <c r="B3047" s="12"/>
      <c r="C3047" s="1"/>
      <c r="D3047" s="1"/>
      <c r="E3047" s="12"/>
      <c r="F3047" s="7"/>
      <c r="G3047" s="7"/>
      <c r="H3047" s="1"/>
      <c r="I3047" s="1"/>
      <c r="J3047" s="1"/>
      <c r="K3047" s="1"/>
      <c r="L3047" s="12"/>
      <c r="M3047" s="12"/>
      <c r="N3047" s="15"/>
      <c r="O3047" s="1"/>
      <c r="Q3047" s="12"/>
      <c r="R3047" s="1"/>
    </row>
    <row r="3048" ht="12.75" customHeight="1">
      <c r="A3048" s="17"/>
      <c r="B3048" s="12"/>
      <c r="C3048" s="1"/>
      <c r="D3048" s="1"/>
      <c r="E3048" s="12"/>
      <c r="F3048" s="7"/>
      <c r="G3048" s="7"/>
      <c r="H3048" s="1"/>
      <c r="I3048" s="1"/>
      <c r="J3048" s="1"/>
      <c r="K3048" s="1"/>
      <c r="L3048" s="12"/>
      <c r="M3048" s="12"/>
      <c r="N3048" s="15"/>
      <c r="O3048" s="1"/>
      <c r="Q3048" s="12"/>
      <c r="R3048" s="1"/>
    </row>
    <row r="3049" ht="12.75" customHeight="1">
      <c r="A3049" s="17"/>
      <c r="B3049" s="12"/>
      <c r="C3049" s="1"/>
      <c r="D3049" s="1"/>
      <c r="E3049" s="12"/>
      <c r="F3049" s="7"/>
      <c r="G3049" s="7"/>
      <c r="H3049" s="1"/>
      <c r="I3049" s="1"/>
      <c r="J3049" s="1"/>
      <c r="K3049" s="1"/>
      <c r="L3049" s="12"/>
      <c r="M3049" s="12"/>
      <c r="N3049" s="15"/>
      <c r="O3049" s="1"/>
      <c r="Q3049" s="12"/>
      <c r="R3049" s="1"/>
    </row>
    <row r="3050" ht="12.75" customHeight="1">
      <c r="A3050" s="17"/>
      <c r="B3050" s="12"/>
      <c r="C3050" s="1"/>
      <c r="D3050" s="1"/>
      <c r="E3050" s="12"/>
      <c r="F3050" s="7"/>
      <c r="G3050" s="7"/>
      <c r="H3050" s="1"/>
      <c r="I3050" s="1"/>
      <c r="J3050" s="1"/>
      <c r="K3050" s="1"/>
      <c r="L3050" s="12"/>
      <c r="M3050" s="12"/>
      <c r="N3050" s="15"/>
      <c r="O3050" s="1"/>
      <c r="Q3050" s="12"/>
      <c r="R3050" s="1"/>
    </row>
    <row r="3051" ht="12.75" customHeight="1">
      <c r="A3051" s="17"/>
      <c r="B3051" s="12"/>
      <c r="C3051" s="1"/>
      <c r="D3051" s="1"/>
      <c r="E3051" s="12"/>
      <c r="F3051" s="7"/>
      <c r="G3051" s="7"/>
      <c r="H3051" s="1"/>
      <c r="I3051" s="1"/>
      <c r="J3051" s="1"/>
      <c r="K3051" s="1"/>
      <c r="L3051" s="12"/>
      <c r="M3051" s="12"/>
      <c r="N3051" s="15"/>
      <c r="O3051" s="1"/>
      <c r="Q3051" s="12"/>
      <c r="R3051" s="1"/>
    </row>
    <row r="3052" ht="12.75" customHeight="1">
      <c r="A3052" s="17"/>
      <c r="B3052" s="12"/>
      <c r="C3052" s="1"/>
      <c r="D3052" s="1"/>
      <c r="E3052" s="12"/>
      <c r="F3052" s="7"/>
      <c r="G3052" s="7"/>
      <c r="H3052" s="1"/>
      <c r="I3052" s="1"/>
      <c r="J3052" s="1"/>
      <c r="K3052" s="1"/>
      <c r="L3052" s="12"/>
      <c r="M3052" s="12"/>
      <c r="N3052" s="15"/>
      <c r="O3052" s="1"/>
      <c r="Q3052" s="12"/>
      <c r="R3052" s="1"/>
    </row>
    <row r="3053" ht="12.75" customHeight="1">
      <c r="A3053" s="17"/>
      <c r="B3053" s="12"/>
      <c r="C3053" s="1"/>
      <c r="D3053" s="1"/>
      <c r="E3053" s="12"/>
      <c r="F3053" s="7"/>
      <c r="G3053" s="7"/>
      <c r="H3053" s="1"/>
      <c r="I3053" s="1"/>
      <c r="J3053" s="1"/>
      <c r="K3053" s="1"/>
      <c r="L3053" s="12"/>
      <c r="M3053" s="12"/>
      <c r="N3053" s="15"/>
      <c r="O3053" s="1"/>
      <c r="Q3053" s="12"/>
      <c r="R3053" s="1"/>
    </row>
    <row r="3054" ht="12.75" customHeight="1">
      <c r="A3054" s="17"/>
      <c r="B3054" s="12"/>
      <c r="C3054" s="1"/>
      <c r="D3054" s="1"/>
      <c r="E3054" s="12"/>
      <c r="F3054" s="7"/>
      <c r="G3054" s="7"/>
      <c r="H3054" s="1"/>
      <c r="I3054" s="1"/>
      <c r="J3054" s="1"/>
      <c r="K3054" s="1"/>
      <c r="L3054" s="12"/>
      <c r="M3054" s="12"/>
      <c r="N3054" s="15"/>
      <c r="O3054" s="1"/>
      <c r="Q3054" s="12"/>
      <c r="R3054" s="1"/>
    </row>
    <row r="3055" ht="12.75" customHeight="1">
      <c r="A3055" s="17"/>
      <c r="B3055" s="12"/>
      <c r="C3055" s="1"/>
      <c r="D3055" s="1"/>
      <c r="E3055" s="12"/>
      <c r="F3055" s="7"/>
      <c r="G3055" s="7"/>
      <c r="H3055" s="1"/>
      <c r="I3055" s="1"/>
      <c r="J3055" s="1"/>
      <c r="K3055" s="1"/>
      <c r="L3055" s="12"/>
      <c r="M3055" s="12"/>
      <c r="N3055" s="15"/>
      <c r="O3055" s="1"/>
      <c r="Q3055" s="12"/>
      <c r="R3055" s="1"/>
    </row>
    <row r="3056" ht="12.75" customHeight="1">
      <c r="A3056" s="17"/>
      <c r="B3056" s="12"/>
      <c r="C3056" s="1"/>
      <c r="D3056" s="1"/>
      <c r="E3056" s="12"/>
      <c r="F3056" s="7"/>
      <c r="G3056" s="7"/>
      <c r="H3056" s="1"/>
      <c r="I3056" s="1"/>
      <c r="J3056" s="1"/>
      <c r="K3056" s="1"/>
      <c r="L3056" s="12"/>
      <c r="M3056" s="12"/>
      <c r="N3056" s="15"/>
      <c r="O3056" s="1"/>
      <c r="Q3056" s="12"/>
      <c r="R3056" s="1"/>
    </row>
    <row r="3057" ht="12.75" customHeight="1">
      <c r="A3057" s="17"/>
      <c r="B3057" s="12"/>
      <c r="C3057" s="1"/>
      <c r="D3057" s="1"/>
      <c r="E3057" s="12"/>
      <c r="F3057" s="7"/>
      <c r="G3057" s="7"/>
      <c r="H3057" s="1"/>
      <c r="I3057" s="1"/>
      <c r="J3057" s="1"/>
      <c r="K3057" s="1"/>
      <c r="L3057" s="12"/>
      <c r="M3057" s="12"/>
      <c r="N3057" s="15"/>
      <c r="O3057" s="1"/>
      <c r="Q3057" s="12"/>
      <c r="R3057" s="1"/>
    </row>
    <row r="3058" ht="12.75" customHeight="1">
      <c r="A3058" s="17"/>
      <c r="B3058" s="12"/>
      <c r="C3058" s="1"/>
      <c r="D3058" s="1"/>
      <c r="E3058" s="12"/>
      <c r="F3058" s="7"/>
      <c r="G3058" s="7"/>
      <c r="H3058" s="1"/>
      <c r="I3058" s="1"/>
      <c r="J3058" s="1"/>
      <c r="K3058" s="1"/>
      <c r="L3058" s="12"/>
      <c r="M3058" s="12"/>
      <c r="N3058" s="15"/>
      <c r="O3058" s="1"/>
      <c r="Q3058" s="12"/>
      <c r="R3058" s="1"/>
    </row>
    <row r="3059" ht="12.75" customHeight="1">
      <c r="A3059" s="17"/>
      <c r="B3059" s="12"/>
      <c r="C3059" s="1"/>
      <c r="D3059" s="1"/>
      <c r="E3059" s="12"/>
      <c r="F3059" s="7"/>
      <c r="G3059" s="7"/>
      <c r="H3059" s="1"/>
      <c r="I3059" s="1"/>
      <c r="J3059" s="1"/>
      <c r="K3059" s="1"/>
      <c r="L3059" s="12"/>
      <c r="M3059" s="12"/>
      <c r="N3059" s="15"/>
      <c r="O3059" s="1"/>
      <c r="Q3059" s="12"/>
      <c r="R3059" s="1"/>
    </row>
    <row r="3060" ht="12.75" customHeight="1">
      <c r="A3060" s="17"/>
      <c r="B3060" s="12"/>
      <c r="C3060" s="1"/>
      <c r="D3060" s="1"/>
      <c r="E3060" s="12"/>
      <c r="F3060" s="7"/>
      <c r="G3060" s="7"/>
      <c r="H3060" s="1"/>
      <c r="I3060" s="1"/>
      <c r="J3060" s="1"/>
      <c r="K3060" s="1"/>
      <c r="L3060" s="12"/>
      <c r="M3060" s="12"/>
      <c r="N3060" s="15"/>
      <c r="O3060" s="1"/>
      <c r="Q3060" s="12"/>
      <c r="R3060" s="1"/>
    </row>
    <row r="3061" ht="12.75" customHeight="1">
      <c r="A3061" s="17"/>
      <c r="B3061" s="12"/>
      <c r="C3061" s="1"/>
      <c r="D3061" s="1"/>
      <c r="E3061" s="12"/>
      <c r="F3061" s="7"/>
      <c r="G3061" s="7"/>
      <c r="H3061" s="1"/>
      <c r="I3061" s="1"/>
      <c r="J3061" s="1"/>
      <c r="K3061" s="1"/>
      <c r="L3061" s="12"/>
      <c r="M3061" s="12"/>
      <c r="N3061" s="15"/>
      <c r="O3061" s="1"/>
      <c r="Q3061" s="12"/>
      <c r="R3061" s="1"/>
    </row>
    <row r="3062" ht="12.75" customHeight="1">
      <c r="A3062" s="17"/>
      <c r="B3062" s="12"/>
      <c r="C3062" s="1"/>
      <c r="D3062" s="1"/>
      <c r="E3062" s="12"/>
      <c r="F3062" s="7"/>
      <c r="G3062" s="7"/>
      <c r="H3062" s="1"/>
      <c r="I3062" s="1"/>
      <c r="J3062" s="1"/>
      <c r="K3062" s="1"/>
      <c r="L3062" s="12"/>
      <c r="M3062" s="12"/>
      <c r="N3062" s="15"/>
      <c r="O3062" s="1"/>
      <c r="Q3062" s="12"/>
      <c r="R3062" s="1"/>
    </row>
    <row r="3063" ht="12.75" customHeight="1">
      <c r="A3063" s="17"/>
      <c r="B3063" s="12"/>
      <c r="C3063" s="1"/>
      <c r="D3063" s="1"/>
      <c r="E3063" s="12"/>
      <c r="F3063" s="7"/>
      <c r="G3063" s="7"/>
      <c r="H3063" s="1"/>
      <c r="I3063" s="1"/>
      <c r="J3063" s="1"/>
      <c r="K3063" s="1"/>
      <c r="L3063" s="12"/>
      <c r="M3063" s="12"/>
      <c r="N3063" s="15"/>
      <c r="O3063" s="1"/>
      <c r="Q3063" s="12"/>
      <c r="R3063" s="1"/>
    </row>
    <row r="3064" ht="12.75" customHeight="1">
      <c r="A3064" s="17"/>
      <c r="B3064" s="12"/>
      <c r="C3064" s="1"/>
      <c r="D3064" s="1"/>
      <c r="E3064" s="12"/>
      <c r="F3064" s="7"/>
      <c r="G3064" s="7"/>
      <c r="H3064" s="1"/>
      <c r="I3064" s="1"/>
      <c r="J3064" s="1"/>
      <c r="K3064" s="1"/>
      <c r="L3064" s="12"/>
      <c r="M3064" s="12"/>
      <c r="N3064" s="15"/>
      <c r="O3064" s="1"/>
      <c r="Q3064" s="12"/>
      <c r="R3064" s="1"/>
    </row>
    <row r="3065" ht="12.75" customHeight="1">
      <c r="A3065" s="17"/>
      <c r="B3065" s="12"/>
      <c r="C3065" s="1"/>
      <c r="D3065" s="1"/>
      <c r="E3065" s="12"/>
      <c r="F3065" s="7"/>
      <c r="G3065" s="7"/>
      <c r="H3065" s="1"/>
      <c r="I3065" s="1"/>
      <c r="J3065" s="1"/>
      <c r="K3065" s="1"/>
      <c r="L3065" s="12"/>
      <c r="M3065" s="12"/>
      <c r="N3065" s="15"/>
      <c r="O3065" s="1"/>
      <c r="Q3065" s="12"/>
      <c r="R3065" s="1"/>
    </row>
    <row r="3066" ht="12.75" customHeight="1">
      <c r="A3066" s="17"/>
      <c r="B3066" s="12"/>
      <c r="C3066" s="1"/>
      <c r="D3066" s="1"/>
      <c r="E3066" s="12"/>
      <c r="F3066" s="7"/>
      <c r="G3066" s="7"/>
      <c r="H3066" s="1"/>
      <c r="I3066" s="1"/>
      <c r="J3066" s="1"/>
      <c r="K3066" s="1"/>
      <c r="L3066" s="12"/>
      <c r="M3066" s="12"/>
      <c r="N3066" s="15"/>
      <c r="O3066" s="1"/>
      <c r="Q3066" s="12"/>
      <c r="R3066" s="1"/>
    </row>
    <row r="3067" ht="12.75" customHeight="1">
      <c r="A3067" s="17"/>
      <c r="B3067" s="12"/>
      <c r="C3067" s="1"/>
      <c r="D3067" s="1"/>
      <c r="E3067" s="12"/>
      <c r="F3067" s="7"/>
      <c r="G3067" s="7"/>
      <c r="H3067" s="1"/>
      <c r="I3067" s="1"/>
      <c r="J3067" s="1"/>
      <c r="K3067" s="1"/>
      <c r="L3067" s="12"/>
      <c r="M3067" s="12"/>
      <c r="N3067" s="15"/>
      <c r="O3067" s="1"/>
      <c r="Q3067" s="12"/>
      <c r="R3067" s="1"/>
    </row>
    <row r="3068" ht="12.75" customHeight="1">
      <c r="A3068" s="17"/>
      <c r="B3068" s="12"/>
      <c r="C3068" s="1"/>
      <c r="D3068" s="1"/>
      <c r="E3068" s="12"/>
      <c r="F3068" s="7"/>
      <c r="G3068" s="7"/>
      <c r="H3068" s="1"/>
      <c r="I3068" s="1"/>
      <c r="J3068" s="1"/>
      <c r="K3068" s="1"/>
      <c r="L3068" s="12"/>
      <c r="M3068" s="12"/>
      <c r="N3068" s="15"/>
      <c r="O3068" s="1"/>
      <c r="Q3068" s="12"/>
      <c r="R3068" s="1"/>
    </row>
    <row r="3069" ht="12.75" customHeight="1">
      <c r="A3069" s="17"/>
      <c r="B3069" s="12"/>
      <c r="C3069" s="1"/>
      <c r="D3069" s="1"/>
      <c r="E3069" s="12"/>
      <c r="F3069" s="7"/>
      <c r="G3069" s="7"/>
      <c r="H3069" s="1"/>
      <c r="I3069" s="1"/>
      <c r="J3069" s="1"/>
      <c r="K3069" s="1"/>
      <c r="L3069" s="12"/>
      <c r="M3069" s="12"/>
      <c r="N3069" s="15"/>
      <c r="O3069" s="1"/>
      <c r="Q3069" s="12"/>
      <c r="R3069" s="1"/>
    </row>
    <row r="3070" ht="12.75" customHeight="1">
      <c r="A3070" s="17"/>
      <c r="B3070" s="12"/>
      <c r="C3070" s="1"/>
      <c r="D3070" s="1"/>
      <c r="E3070" s="12"/>
      <c r="F3070" s="7"/>
      <c r="G3070" s="7"/>
      <c r="H3070" s="1"/>
      <c r="I3070" s="1"/>
      <c r="J3070" s="1"/>
      <c r="K3070" s="1"/>
      <c r="L3070" s="12"/>
      <c r="M3070" s="12"/>
      <c r="N3070" s="15"/>
      <c r="O3070" s="1"/>
      <c r="Q3070" s="12"/>
      <c r="R3070" s="1"/>
    </row>
    <row r="3071" ht="12.75" customHeight="1">
      <c r="A3071" s="17"/>
      <c r="B3071" s="12"/>
      <c r="C3071" s="1"/>
      <c r="D3071" s="1"/>
      <c r="E3071" s="12"/>
      <c r="F3071" s="7"/>
      <c r="G3071" s="7"/>
      <c r="H3071" s="1"/>
      <c r="I3071" s="1"/>
      <c r="J3071" s="1"/>
      <c r="K3071" s="1"/>
      <c r="L3071" s="12"/>
      <c r="M3071" s="12"/>
      <c r="N3071" s="15"/>
      <c r="O3071" s="1"/>
      <c r="Q3071" s="12"/>
      <c r="R3071" s="1"/>
    </row>
    <row r="3072" ht="12.75" customHeight="1">
      <c r="A3072" s="17"/>
      <c r="B3072" s="12"/>
      <c r="C3072" s="1"/>
      <c r="D3072" s="1"/>
      <c r="E3072" s="12"/>
      <c r="F3072" s="7"/>
      <c r="G3072" s="7"/>
      <c r="H3072" s="1"/>
      <c r="I3072" s="1"/>
      <c r="J3072" s="1"/>
      <c r="K3072" s="1"/>
      <c r="L3072" s="12"/>
      <c r="M3072" s="12"/>
      <c r="N3072" s="15"/>
      <c r="O3072" s="1"/>
      <c r="Q3072" s="12"/>
      <c r="R3072" s="1"/>
    </row>
    <row r="3073" ht="12.75" customHeight="1">
      <c r="A3073" s="17"/>
      <c r="B3073" s="12"/>
      <c r="C3073" s="1"/>
      <c r="D3073" s="1"/>
      <c r="E3073" s="12"/>
      <c r="F3073" s="7"/>
      <c r="G3073" s="7"/>
      <c r="H3073" s="1"/>
      <c r="I3073" s="1"/>
      <c r="J3073" s="1"/>
      <c r="K3073" s="1"/>
      <c r="L3073" s="12"/>
      <c r="M3073" s="12"/>
      <c r="N3073" s="15"/>
      <c r="O3073" s="1"/>
      <c r="Q3073" s="12"/>
      <c r="R3073" s="1"/>
    </row>
    <row r="3074" ht="12.75" customHeight="1">
      <c r="A3074" s="17"/>
      <c r="B3074" s="12"/>
      <c r="C3074" s="1"/>
      <c r="D3074" s="1"/>
      <c r="E3074" s="12"/>
      <c r="F3074" s="7"/>
      <c r="G3074" s="7"/>
      <c r="H3074" s="1"/>
      <c r="I3074" s="1"/>
      <c r="J3074" s="1"/>
      <c r="K3074" s="1"/>
      <c r="L3074" s="12"/>
      <c r="M3074" s="12"/>
      <c r="N3074" s="15"/>
      <c r="O3074" s="1"/>
      <c r="Q3074" s="12"/>
      <c r="R3074" s="1"/>
    </row>
    <row r="3075" ht="12.75" customHeight="1">
      <c r="A3075" s="17"/>
      <c r="B3075" s="12"/>
      <c r="C3075" s="1"/>
      <c r="D3075" s="1"/>
      <c r="E3075" s="12"/>
      <c r="F3075" s="7"/>
      <c r="G3075" s="7"/>
      <c r="H3075" s="1"/>
      <c r="I3075" s="1"/>
      <c r="J3075" s="1"/>
      <c r="K3075" s="1"/>
      <c r="L3075" s="12"/>
      <c r="M3075" s="12"/>
      <c r="N3075" s="15"/>
      <c r="O3075" s="1"/>
      <c r="Q3075" s="12"/>
      <c r="R3075" s="1"/>
    </row>
    <row r="3076" ht="12.75" customHeight="1">
      <c r="A3076" s="17"/>
      <c r="B3076" s="12"/>
      <c r="C3076" s="1"/>
      <c r="D3076" s="1"/>
      <c r="E3076" s="12"/>
      <c r="F3076" s="7"/>
      <c r="G3076" s="7"/>
      <c r="H3076" s="1"/>
      <c r="I3076" s="1"/>
      <c r="J3076" s="1"/>
      <c r="K3076" s="1"/>
      <c r="L3076" s="12"/>
      <c r="M3076" s="12"/>
      <c r="N3076" s="15"/>
      <c r="O3076" s="1"/>
      <c r="Q3076" s="12"/>
      <c r="R3076" s="1"/>
    </row>
    <row r="3077" ht="12.75" customHeight="1">
      <c r="A3077" s="17"/>
      <c r="B3077" s="12"/>
      <c r="C3077" s="1"/>
      <c r="D3077" s="1"/>
      <c r="E3077" s="12"/>
      <c r="F3077" s="7"/>
      <c r="G3077" s="7"/>
      <c r="H3077" s="1"/>
      <c r="I3077" s="1"/>
      <c r="J3077" s="1"/>
      <c r="K3077" s="1"/>
      <c r="L3077" s="12"/>
      <c r="M3077" s="12"/>
      <c r="N3077" s="15"/>
      <c r="O3077" s="1"/>
      <c r="Q3077" s="12"/>
      <c r="R3077" s="1"/>
    </row>
    <row r="3078" ht="12.75" customHeight="1">
      <c r="A3078" s="17"/>
      <c r="B3078" s="12"/>
      <c r="C3078" s="1"/>
      <c r="D3078" s="1"/>
      <c r="E3078" s="12"/>
      <c r="F3078" s="7"/>
      <c r="G3078" s="7"/>
      <c r="H3078" s="1"/>
      <c r="I3078" s="1"/>
      <c r="J3078" s="1"/>
      <c r="K3078" s="1"/>
      <c r="L3078" s="12"/>
      <c r="M3078" s="12"/>
      <c r="N3078" s="15"/>
      <c r="O3078" s="1"/>
      <c r="Q3078" s="12"/>
      <c r="R3078" s="1"/>
    </row>
    <row r="3079" ht="12.75" customHeight="1">
      <c r="A3079" s="17"/>
      <c r="B3079" s="12"/>
      <c r="C3079" s="1"/>
      <c r="D3079" s="1"/>
      <c r="E3079" s="12"/>
      <c r="F3079" s="7"/>
      <c r="G3079" s="7"/>
      <c r="H3079" s="1"/>
      <c r="I3079" s="1"/>
      <c r="J3079" s="1"/>
      <c r="K3079" s="1"/>
      <c r="L3079" s="12"/>
      <c r="M3079" s="12"/>
      <c r="N3079" s="15"/>
      <c r="O3079" s="1"/>
      <c r="Q3079" s="12"/>
      <c r="R3079" s="1"/>
    </row>
    <row r="3080" ht="12.75" customHeight="1">
      <c r="A3080" s="17"/>
      <c r="B3080" s="12"/>
      <c r="C3080" s="1"/>
      <c r="D3080" s="1"/>
      <c r="E3080" s="12"/>
      <c r="F3080" s="7"/>
      <c r="G3080" s="7"/>
      <c r="H3080" s="1"/>
      <c r="I3080" s="1"/>
      <c r="J3080" s="1"/>
      <c r="K3080" s="1"/>
      <c r="L3080" s="12"/>
      <c r="M3080" s="12"/>
      <c r="N3080" s="15"/>
      <c r="O3080" s="1"/>
      <c r="Q3080" s="12"/>
      <c r="R3080" s="1"/>
    </row>
    <row r="3081" ht="12.75" customHeight="1">
      <c r="A3081" s="17"/>
      <c r="B3081" s="12"/>
      <c r="C3081" s="1"/>
      <c r="D3081" s="1"/>
      <c r="E3081" s="12"/>
      <c r="F3081" s="7"/>
      <c r="G3081" s="7"/>
      <c r="H3081" s="1"/>
      <c r="I3081" s="1"/>
      <c r="J3081" s="1"/>
      <c r="K3081" s="1"/>
      <c r="L3081" s="12"/>
      <c r="M3081" s="12"/>
      <c r="N3081" s="15"/>
      <c r="O3081" s="1"/>
      <c r="Q3081" s="12"/>
      <c r="R3081" s="1"/>
    </row>
    <row r="3082" ht="12.75" customHeight="1">
      <c r="A3082" s="17"/>
      <c r="B3082" s="12"/>
      <c r="C3082" s="1"/>
      <c r="D3082" s="1"/>
      <c r="E3082" s="12"/>
      <c r="F3082" s="7"/>
      <c r="G3082" s="7"/>
      <c r="H3082" s="1"/>
      <c r="I3082" s="1"/>
      <c r="J3082" s="1"/>
      <c r="K3082" s="1"/>
      <c r="L3082" s="12"/>
      <c r="M3082" s="12"/>
      <c r="N3082" s="15"/>
      <c r="O3082" s="1"/>
      <c r="Q3082" s="12"/>
      <c r="R3082" s="1"/>
    </row>
    <row r="3083" ht="12.75" customHeight="1">
      <c r="A3083" s="17"/>
      <c r="B3083" s="12"/>
      <c r="C3083" s="1"/>
      <c r="D3083" s="1"/>
      <c r="E3083" s="12"/>
      <c r="F3083" s="7"/>
      <c r="G3083" s="7"/>
      <c r="H3083" s="1"/>
      <c r="I3083" s="1"/>
      <c r="J3083" s="1"/>
      <c r="K3083" s="1"/>
      <c r="L3083" s="12"/>
      <c r="M3083" s="12"/>
      <c r="N3083" s="15"/>
      <c r="O3083" s="1"/>
      <c r="Q3083" s="12"/>
      <c r="R3083" s="1"/>
    </row>
    <row r="3084" ht="12.75" customHeight="1">
      <c r="A3084" s="17"/>
      <c r="B3084" s="12"/>
      <c r="C3084" s="1"/>
      <c r="D3084" s="1"/>
      <c r="E3084" s="12"/>
      <c r="F3084" s="7"/>
      <c r="G3084" s="7"/>
      <c r="H3084" s="1"/>
      <c r="I3084" s="1"/>
      <c r="J3084" s="1"/>
      <c r="K3084" s="1"/>
      <c r="L3084" s="12"/>
      <c r="M3084" s="12"/>
      <c r="N3084" s="15"/>
      <c r="O3084" s="1"/>
      <c r="Q3084" s="12"/>
      <c r="R3084" s="1"/>
    </row>
    <row r="3085" ht="12.75" customHeight="1">
      <c r="A3085" s="17"/>
      <c r="B3085" s="12"/>
      <c r="C3085" s="1"/>
      <c r="D3085" s="1"/>
      <c r="E3085" s="12"/>
      <c r="F3085" s="7"/>
      <c r="G3085" s="7"/>
      <c r="H3085" s="1"/>
      <c r="I3085" s="1"/>
      <c r="J3085" s="1"/>
      <c r="K3085" s="1"/>
      <c r="L3085" s="12"/>
      <c r="M3085" s="12"/>
      <c r="N3085" s="15"/>
      <c r="O3085" s="1"/>
      <c r="Q3085" s="12"/>
      <c r="R3085" s="1"/>
    </row>
    <row r="3086" ht="12.75" customHeight="1">
      <c r="A3086" s="17"/>
      <c r="B3086" s="12"/>
      <c r="C3086" s="1"/>
      <c r="D3086" s="1"/>
      <c r="E3086" s="12"/>
      <c r="F3086" s="7"/>
      <c r="G3086" s="7"/>
      <c r="H3086" s="1"/>
      <c r="I3086" s="1"/>
      <c r="J3086" s="1"/>
      <c r="K3086" s="1"/>
      <c r="L3086" s="12"/>
      <c r="M3086" s="12"/>
      <c r="N3086" s="15"/>
      <c r="O3086" s="1"/>
      <c r="Q3086" s="12"/>
      <c r="R3086" s="1"/>
    </row>
    <row r="3087" ht="12.75" customHeight="1">
      <c r="A3087" s="17"/>
      <c r="B3087" s="12"/>
      <c r="C3087" s="1"/>
      <c r="D3087" s="1"/>
      <c r="E3087" s="12"/>
      <c r="F3087" s="7"/>
      <c r="G3087" s="7"/>
      <c r="H3087" s="1"/>
      <c r="I3087" s="1"/>
      <c r="J3087" s="1"/>
      <c r="K3087" s="1"/>
      <c r="L3087" s="12"/>
      <c r="M3087" s="12"/>
      <c r="N3087" s="15"/>
      <c r="O3087" s="1"/>
      <c r="Q3087" s="12"/>
      <c r="R3087" s="1"/>
    </row>
    <row r="3088" ht="12.75" customHeight="1">
      <c r="A3088" s="17"/>
      <c r="B3088" s="12"/>
      <c r="C3088" s="1"/>
      <c r="D3088" s="1"/>
      <c r="E3088" s="12"/>
      <c r="F3088" s="7"/>
      <c r="G3088" s="7"/>
      <c r="H3088" s="1"/>
      <c r="I3088" s="1"/>
      <c r="J3088" s="1"/>
      <c r="K3088" s="1"/>
      <c r="L3088" s="12"/>
      <c r="M3088" s="12"/>
      <c r="N3088" s="15"/>
      <c r="O3088" s="1"/>
      <c r="Q3088" s="12"/>
      <c r="R3088" s="1"/>
    </row>
    <row r="3089" ht="12.75" customHeight="1">
      <c r="A3089" s="17"/>
      <c r="B3089" s="12"/>
      <c r="C3089" s="1"/>
      <c r="D3089" s="1"/>
      <c r="E3089" s="12"/>
      <c r="F3089" s="7"/>
      <c r="G3089" s="7"/>
      <c r="H3089" s="1"/>
      <c r="I3089" s="1"/>
      <c r="J3089" s="1"/>
      <c r="K3089" s="1"/>
      <c r="L3089" s="12"/>
      <c r="M3089" s="12"/>
      <c r="N3089" s="15"/>
      <c r="O3089" s="1"/>
      <c r="Q3089" s="12"/>
      <c r="R3089" s="1"/>
    </row>
    <row r="3090" ht="12.75" customHeight="1">
      <c r="A3090" s="17"/>
      <c r="B3090" s="12"/>
      <c r="C3090" s="1"/>
      <c r="D3090" s="1"/>
      <c r="E3090" s="12"/>
      <c r="F3090" s="7"/>
      <c r="G3090" s="7"/>
      <c r="H3090" s="1"/>
      <c r="I3090" s="1"/>
      <c r="J3090" s="1"/>
      <c r="K3090" s="1"/>
      <c r="L3090" s="12"/>
      <c r="M3090" s="12"/>
      <c r="N3090" s="15"/>
      <c r="O3090" s="1"/>
      <c r="Q3090" s="12"/>
      <c r="R3090" s="1"/>
    </row>
    <row r="3091" ht="12.75" customHeight="1">
      <c r="A3091" s="17"/>
      <c r="B3091" s="12"/>
      <c r="C3091" s="1"/>
      <c r="D3091" s="1"/>
      <c r="E3091" s="12"/>
      <c r="F3091" s="7"/>
      <c r="G3091" s="7"/>
      <c r="H3091" s="1"/>
      <c r="I3091" s="1"/>
      <c r="J3091" s="1"/>
      <c r="K3091" s="1"/>
      <c r="L3091" s="12"/>
      <c r="M3091" s="12"/>
      <c r="N3091" s="15"/>
      <c r="O3091" s="1"/>
      <c r="Q3091" s="12"/>
      <c r="R3091" s="1"/>
    </row>
    <row r="3092" ht="12.75" customHeight="1">
      <c r="A3092" s="17"/>
      <c r="B3092" s="12"/>
      <c r="C3092" s="1"/>
      <c r="D3092" s="1"/>
      <c r="E3092" s="12"/>
      <c r="F3092" s="7"/>
      <c r="G3092" s="7"/>
      <c r="H3092" s="1"/>
      <c r="I3092" s="1"/>
      <c r="J3092" s="1"/>
      <c r="K3092" s="1"/>
      <c r="L3092" s="12"/>
      <c r="M3092" s="12"/>
      <c r="N3092" s="15"/>
      <c r="O3092" s="1"/>
      <c r="Q3092" s="12"/>
      <c r="R3092" s="1"/>
    </row>
    <row r="3093" ht="12.75" customHeight="1">
      <c r="A3093" s="17"/>
      <c r="B3093" s="12"/>
      <c r="C3093" s="1"/>
      <c r="D3093" s="1"/>
      <c r="E3093" s="12"/>
      <c r="F3093" s="7"/>
      <c r="G3093" s="7"/>
      <c r="H3093" s="1"/>
      <c r="I3093" s="1"/>
      <c r="J3093" s="1"/>
      <c r="K3093" s="1"/>
      <c r="L3093" s="12"/>
      <c r="M3093" s="12"/>
      <c r="N3093" s="15"/>
      <c r="O3093" s="1"/>
      <c r="Q3093" s="12"/>
      <c r="R3093" s="1"/>
    </row>
    <row r="3094" ht="12.75" customHeight="1">
      <c r="A3094" s="17"/>
      <c r="B3094" s="12"/>
      <c r="C3094" s="1"/>
      <c r="D3094" s="1"/>
      <c r="E3094" s="12"/>
      <c r="F3094" s="7"/>
      <c r="G3094" s="7"/>
      <c r="H3094" s="1"/>
      <c r="I3094" s="1"/>
      <c r="J3094" s="1"/>
      <c r="K3094" s="1"/>
      <c r="L3094" s="12"/>
      <c r="M3094" s="12"/>
      <c r="N3094" s="15"/>
      <c r="O3094" s="1"/>
      <c r="Q3094" s="12"/>
      <c r="R3094" s="1"/>
    </row>
    <row r="3095" ht="12.75" customHeight="1">
      <c r="A3095" s="17"/>
      <c r="B3095" s="12"/>
      <c r="C3095" s="1"/>
      <c r="D3095" s="1"/>
      <c r="E3095" s="12"/>
      <c r="F3095" s="7"/>
      <c r="G3095" s="7"/>
      <c r="H3095" s="1"/>
      <c r="I3095" s="1"/>
      <c r="J3095" s="1"/>
      <c r="K3095" s="1"/>
      <c r="L3095" s="12"/>
      <c r="M3095" s="12"/>
      <c r="N3095" s="15"/>
      <c r="O3095" s="1"/>
      <c r="Q3095" s="12"/>
      <c r="R3095" s="1"/>
    </row>
    <row r="3096" ht="12.75" customHeight="1">
      <c r="A3096" s="17"/>
      <c r="B3096" s="12"/>
      <c r="C3096" s="1"/>
      <c r="D3096" s="1"/>
      <c r="E3096" s="12"/>
      <c r="F3096" s="7"/>
      <c r="G3096" s="7"/>
      <c r="H3096" s="1"/>
      <c r="I3096" s="1"/>
      <c r="J3096" s="1"/>
      <c r="K3096" s="1"/>
      <c r="L3096" s="12"/>
      <c r="M3096" s="12"/>
      <c r="N3096" s="15"/>
      <c r="O3096" s="1"/>
      <c r="Q3096" s="12"/>
      <c r="R3096" s="1"/>
    </row>
    <row r="3097" ht="12.75" customHeight="1">
      <c r="A3097" s="17"/>
      <c r="B3097" s="12"/>
      <c r="C3097" s="1"/>
      <c r="D3097" s="1"/>
      <c r="E3097" s="12"/>
      <c r="F3097" s="7"/>
      <c r="G3097" s="7"/>
      <c r="H3097" s="1"/>
      <c r="I3097" s="1"/>
      <c r="J3097" s="1"/>
      <c r="K3097" s="1"/>
      <c r="L3097" s="12"/>
      <c r="M3097" s="12"/>
      <c r="N3097" s="15"/>
      <c r="O3097" s="1"/>
      <c r="Q3097" s="12"/>
      <c r="R3097" s="1"/>
    </row>
    <row r="3098" ht="12.75" customHeight="1">
      <c r="A3098" s="17"/>
      <c r="B3098" s="12"/>
      <c r="C3098" s="1"/>
      <c r="D3098" s="1"/>
      <c r="E3098" s="12"/>
      <c r="F3098" s="7"/>
      <c r="G3098" s="7"/>
      <c r="H3098" s="1"/>
      <c r="I3098" s="1"/>
      <c r="J3098" s="1"/>
      <c r="K3098" s="1"/>
      <c r="L3098" s="12"/>
      <c r="M3098" s="12"/>
      <c r="N3098" s="15"/>
      <c r="O3098" s="1"/>
      <c r="Q3098" s="12"/>
      <c r="R3098" s="1"/>
    </row>
    <row r="3099" ht="12.75" customHeight="1">
      <c r="A3099" s="17"/>
      <c r="B3099" s="12"/>
      <c r="C3099" s="1"/>
      <c r="D3099" s="1"/>
      <c r="E3099" s="12"/>
      <c r="F3099" s="7"/>
      <c r="G3099" s="7"/>
      <c r="H3099" s="1"/>
      <c r="I3099" s="1"/>
      <c r="J3099" s="1"/>
      <c r="K3099" s="1"/>
      <c r="L3099" s="12"/>
      <c r="M3099" s="12"/>
      <c r="N3099" s="15"/>
      <c r="O3099" s="1"/>
      <c r="Q3099" s="12"/>
      <c r="R3099" s="1"/>
    </row>
    <row r="3100" ht="12.75" customHeight="1">
      <c r="A3100" s="17"/>
      <c r="B3100" s="12"/>
      <c r="C3100" s="1"/>
      <c r="D3100" s="1"/>
      <c r="E3100" s="12"/>
      <c r="F3100" s="7"/>
      <c r="G3100" s="7"/>
      <c r="H3100" s="1"/>
      <c r="I3100" s="1"/>
      <c r="J3100" s="1"/>
      <c r="K3100" s="1"/>
      <c r="L3100" s="12"/>
      <c r="M3100" s="12"/>
      <c r="N3100" s="15"/>
      <c r="O3100" s="1"/>
      <c r="Q3100" s="12"/>
      <c r="R3100" s="1"/>
    </row>
    <row r="3101" ht="12.75" customHeight="1">
      <c r="A3101" s="17"/>
      <c r="B3101" s="12"/>
      <c r="C3101" s="1"/>
      <c r="D3101" s="1"/>
      <c r="E3101" s="12"/>
      <c r="F3101" s="7"/>
      <c r="G3101" s="7"/>
      <c r="H3101" s="1"/>
      <c r="I3101" s="1"/>
      <c r="J3101" s="1"/>
      <c r="K3101" s="1"/>
      <c r="L3101" s="12"/>
      <c r="M3101" s="12"/>
      <c r="N3101" s="15"/>
      <c r="O3101" s="1"/>
      <c r="Q3101" s="12"/>
      <c r="R3101" s="1"/>
    </row>
    <row r="3102" ht="12.75" customHeight="1">
      <c r="A3102" s="17"/>
      <c r="B3102" s="12"/>
      <c r="C3102" s="1"/>
      <c r="D3102" s="1"/>
      <c r="E3102" s="12"/>
      <c r="F3102" s="7"/>
      <c r="G3102" s="7"/>
      <c r="H3102" s="1"/>
      <c r="I3102" s="1"/>
      <c r="J3102" s="1"/>
      <c r="K3102" s="1"/>
      <c r="L3102" s="12"/>
      <c r="M3102" s="12"/>
      <c r="N3102" s="15"/>
      <c r="O3102" s="1"/>
      <c r="Q3102" s="12"/>
      <c r="R3102" s="1"/>
    </row>
    <row r="3103" ht="12.75" customHeight="1">
      <c r="A3103" s="17"/>
      <c r="B3103" s="12"/>
      <c r="C3103" s="1"/>
      <c r="D3103" s="1"/>
      <c r="E3103" s="12"/>
      <c r="F3103" s="7"/>
      <c r="G3103" s="7"/>
      <c r="H3103" s="1"/>
      <c r="I3103" s="1"/>
      <c r="J3103" s="1"/>
      <c r="K3103" s="1"/>
      <c r="L3103" s="12"/>
      <c r="M3103" s="12"/>
      <c r="N3103" s="15"/>
      <c r="O3103" s="1"/>
      <c r="Q3103" s="12"/>
      <c r="R3103" s="1"/>
    </row>
    <row r="3104" ht="12.75" customHeight="1">
      <c r="A3104" s="17"/>
      <c r="B3104" s="12"/>
      <c r="C3104" s="1"/>
      <c r="D3104" s="1"/>
      <c r="E3104" s="12"/>
      <c r="F3104" s="7"/>
      <c r="G3104" s="7"/>
      <c r="H3104" s="1"/>
      <c r="I3104" s="1"/>
      <c r="J3104" s="1"/>
      <c r="K3104" s="1"/>
      <c r="L3104" s="12"/>
      <c r="M3104" s="12"/>
      <c r="N3104" s="15"/>
      <c r="O3104" s="1"/>
      <c r="Q3104" s="12"/>
      <c r="R3104" s="1"/>
    </row>
    <row r="3105" ht="12.75" customHeight="1">
      <c r="A3105" s="17"/>
      <c r="B3105" s="12"/>
      <c r="C3105" s="1"/>
      <c r="D3105" s="1"/>
      <c r="E3105" s="12"/>
      <c r="F3105" s="7"/>
      <c r="G3105" s="7"/>
      <c r="H3105" s="1"/>
      <c r="I3105" s="1"/>
      <c r="J3105" s="1"/>
      <c r="K3105" s="1"/>
      <c r="L3105" s="12"/>
      <c r="M3105" s="12"/>
      <c r="N3105" s="15"/>
      <c r="O3105" s="1"/>
      <c r="Q3105" s="12"/>
      <c r="R3105" s="1"/>
    </row>
    <row r="3106" ht="12.75" customHeight="1">
      <c r="A3106" s="17"/>
      <c r="B3106" s="12"/>
      <c r="C3106" s="1"/>
      <c r="D3106" s="1"/>
      <c r="E3106" s="12"/>
      <c r="F3106" s="7"/>
      <c r="G3106" s="7"/>
      <c r="H3106" s="1"/>
      <c r="I3106" s="1"/>
      <c r="J3106" s="1"/>
      <c r="K3106" s="1"/>
      <c r="L3106" s="12"/>
      <c r="M3106" s="12"/>
      <c r="N3106" s="15"/>
      <c r="O3106" s="1"/>
      <c r="Q3106" s="12"/>
      <c r="R3106" s="1"/>
    </row>
    <row r="3107" ht="12.75" customHeight="1">
      <c r="A3107" s="17"/>
      <c r="B3107" s="12"/>
      <c r="C3107" s="1"/>
      <c r="D3107" s="1"/>
      <c r="E3107" s="12"/>
      <c r="F3107" s="7"/>
      <c r="G3107" s="7"/>
      <c r="H3107" s="1"/>
      <c r="I3107" s="1"/>
      <c r="J3107" s="1"/>
      <c r="K3107" s="1"/>
      <c r="L3107" s="12"/>
      <c r="M3107" s="12"/>
      <c r="N3107" s="15"/>
      <c r="O3107" s="1"/>
      <c r="Q3107" s="12"/>
      <c r="R3107" s="1"/>
    </row>
    <row r="3108" ht="12.75" customHeight="1">
      <c r="A3108" s="17"/>
      <c r="B3108" s="12"/>
      <c r="C3108" s="1"/>
      <c r="D3108" s="1"/>
      <c r="E3108" s="12"/>
      <c r="F3108" s="7"/>
      <c r="G3108" s="7"/>
      <c r="H3108" s="1"/>
      <c r="I3108" s="1"/>
      <c r="J3108" s="1"/>
      <c r="K3108" s="1"/>
      <c r="L3108" s="12"/>
      <c r="M3108" s="12"/>
      <c r="N3108" s="15"/>
      <c r="O3108" s="1"/>
      <c r="Q3108" s="12"/>
      <c r="R3108" s="1"/>
    </row>
    <row r="3109" ht="12.75" customHeight="1">
      <c r="A3109" s="17"/>
      <c r="B3109" s="12"/>
      <c r="C3109" s="1"/>
      <c r="D3109" s="1"/>
      <c r="E3109" s="12"/>
      <c r="F3109" s="7"/>
      <c r="G3109" s="7"/>
      <c r="H3109" s="1"/>
      <c r="I3109" s="1"/>
      <c r="J3109" s="1"/>
      <c r="K3109" s="1"/>
      <c r="L3109" s="12"/>
      <c r="M3109" s="12"/>
      <c r="N3109" s="15"/>
      <c r="O3109" s="1"/>
      <c r="Q3109" s="12"/>
      <c r="R3109" s="1"/>
    </row>
    <row r="3110" ht="12.75" customHeight="1">
      <c r="A3110" s="17"/>
      <c r="B3110" s="12"/>
      <c r="C3110" s="1"/>
      <c r="D3110" s="1"/>
      <c r="E3110" s="12"/>
      <c r="F3110" s="7"/>
      <c r="G3110" s="7"/>
      <c r="H3110" s="1"/>
      <c r="I3110" s="1"/>
      <c r="J3110" s="1"/>
      <c r="K3110" s="1"/>
      <c r="L3110" s="12"/>
      <c r="M3110" s="12"/>
      <c r="N3110" s="15"/>
      <c r="O3110" s="1"/>
      <c r="Q3110" s="12"/>
      <c r="R3110" s="1"/>
    </row>
    <row r="3111" ht="12.75" customHeight="1">
      <c r="A3111" s="17"/>
      <c r="B3111" s="12"/>
      <c r="C3111" s="1"/>
      <c r="D3111" s="1"/>
      <c r="E3111" s="12"/>
      <c r="F3111" s="7"/>
      <c r="G3111" s="7"/>
      <c r="H3111" s="1"/>
      <c r="I3111" s="1"/>
      <c r="J3111" s="1"/>
      <c r="K3111" s="1"/>
      <c r="L3111" s="12"/>
      <c r="M3111" s="12"/>
      <c r="N3111" s="15"/>
      <c r="O3111" s="1"/>
      <c r="Q3111" s="12"/>
      <c r="R3111" s="1"/>
    </row>
    <row r="3112" ht="12.75" customHeight="1">
      <c r="A3112" s="17"/>
      <c r="B3112" s="12"/>
      <c r="C3112" s="1"/>
      <c r="D3112" s="1"/>
      <c r="E3112" s="12"/>
      <c r="F3112" s="7"/>
      <c r="G3112" s="7"/>
      <c r="H3112" s="1"/>
      <c r="I3112" s="1"/>
      <c r="J3112" s="1"/>
      <c r="K3112" s="1"/>
      <c r="L3112" s="12"/>
      <c r="M3112" s="12"/>
      <c r="N3112" s="15"/>
      <c r="O3112" s="1"/>
      <c r="Q3112" s="12"/>
      <c r="R3112" s="1"/>
    </row>
    <row r="3113" ht="12.75" customHeight="1">
      <c r="A3113" s="17"/>
      <c r="B3113" s="12"/>
      <c r="C3113" s="1"/>
      <c r="D3113" s="1"/>
      <c r="E3113" s="12"/>
      <c r="F3113" s="7"/>
      <c r="G3113" s="7"/>
      <c r="H3113" s="1"/>
      <c r="I3113" s="1"/>
      <c r="J3113" s="1"/>
      <c r="K3113" s="1"/>
      <c r="L3113" s="12"/>
      <c r="M3113" s="12"/>
      <c r="N3113" s="15"/>
      <c r="O3113" s="1"/>
      <c r="Q3113" s="12"/>
      <c r="R3113" s="1"/>
    </row>
    <row r="3114" ht="12.75" customHeight="1">
      <c r="A3114" s="17"/>
      <c r="B3114" s="12"/>
      <c r="C3114" s="1"/>
      <c r="D3114" s="1"/>
      <c r="E3114" s="12"/>
      <c r="F3114" s="7"/>
      <c r="G3114" s="7"/>
      <c r="H3114" s="1"/>
      <c r="I3114" s="1"/>
      <c r="J3114" s="1"/>
      <c r="K3114" s="1"/>
      <c r="L3114" s="12"/>
      <c r="M3114" s="12"/>
      <c r="N3114" s="15"/>
      <c r="O3114" s="1"/>
      <c r="Q3114" s="12"/>
      <c r="R3114" s="1"/>
    </row>
    <row r="3115" ht="12.75" customHeight="1">
      <c r="A3115" s="17"/>
      <c r="B3115" s="12"/>
      <c r="C3115" s="1"/>
      <c r="D3115" s="1"/>
      <c r="E3115" s="12"/>
      <c r="F3115" s="7"/>
      <c r="G3115" s="7"/>
      <c r="H3115" s="1"/>
      <c r="I3115" s="1"/>
      <c r="J3115" s="1"/>
      <c r="K3115" s="1"/>
      <c r="L3115" s="12"/>
      <c r="M3115" s="12"/>
      <c r="N3115" s="15"/>
      <c r="O3115" s="1"/>
      <c r="Q3115" s="12"/>
      <c r="R3115" s="1"/>
    </row>
    <row r="3116" ht="12.75" customHeight="1">
      <c r="A3116" s="17"/>
      <c r="B3116" s="12"/>
      <c r="C3116" s="1"/>
      <c r="D3116" s="1"/>
      <c r="E3116" s="12"/>
      <c r="F3116" s="7"/>
      <c r="G3116" s="7"/>
      <c r="H3116" s="1"/>
      <c r="I3116" s="1"/>
      <c r="J3116" s="1"/>
      <c r="K3116" s="1"/>
      <c r="L3116" s="12"/>
      <c r="M3116" s="12"/>
      <c r="N3116" s="15"/>
      <c r="O3116" s="1"/>
      <c r="Q3116" s="12"/>
      <c r="R3116" s="1"/>
    </row>
    <row r="3117" ht="12.75" customHeight="1">
      <c r="A3117" s="17"/>
      <c r="B3117" s="12"/>
      <c r="C3117" s="1"/>
      <c r="D3117" s="1"/>
      <c r="E3117" s="12"/>
      <c r="F3117" s="7"/>
      <c r="G3117" s="7"/>
      <c r="H3117" s="1"/>
      <c r="I3117" s="1"/>
      <c r="J3117" s="1"/>
      <c r="K3117" s="1"/>
      <c r="L3117" s="12"/>
      <c r="M3117" s="12"/>
      <c r="N3117" s="15"/>
      <c r="O3117" s="1"/>
      <c r="Q3117" s="12"/>
      <c r="R3117" s="1"/>
    </row>
    <row r="3118" ht="12.75" customHeight="1">
      <c r="A3118" s="17"/>
      <c r="B3118" s="12"/>
      <c r="C3118" s="1"/>
      <c r="D3118" s="1"/>
      <c r="E3118" s="12"/>
      <c r="F3118" s="7"/>
      <c r="G3118" s="7"/>
      <c r="H3118" s="1"/>
      <c r="I3118" s="1"/>
      <c r="J3118" s="1"/>
      <c r="K3118" s="1"/>
      <c r="L3118" s="12"/>
      <c r="M3118" s="12"/>
      <c r="N3118" s="15"/>
      <c r="O3118" s="1"/>
      <c r="Q3118" s="12"/>
      <c r="R3118" s="1"/>
    </row>
    <row r="3119" ht="12.75" customHeight="1">
      <c r="A3119" s="17"/>
      <c r="B3119" s="12"/>
      <c r="C3119" s="1"/>
      <c r="D3119" s="1"/>
      <c r="E3119" s="12"/>
      <c r="F3119" s="7"/>
      <c r="G3119" s="7"/>
      <c r="H3119" s="1"/>
      <c r="I3119" s="1"/>
      <c r="J3119" s="1"/>
      <c r="K3119" s="1"/>
      <c r="L3119" s="12"/>
      <c r="M3119" s="12"/>
      <c r="N3119" s="15"/>
      <c r="O3119" s="1"/>
      <c r="Q3119" s="12"/>
      <c r="R3119" s="1"/>
    </row>
    <row r="3120" ht="12.75" customHeight="1">
      <c r="A3120" s="17"/>
      <c r="B3120" s="12"/>
      <c r="C3120" s="1"/>
      <c r="D3120" s="1"/>
      <c r="E3120" s="12"/>
      <c r="F3120" s="7"/>
      <c r="G3120" s="7"/>
      <c r="H3120" s="1"/>
      <c r="I3120" s="1"/>
      <c r="J3120" s="1"/>
      <c r="K3120" s="1"/>
      <c r="L3120" s="12"/>
      <c r="M3120" s="12"/>
      <c r="N3120" s="15"/>
      <c r="O3120" s="1"/>
      <c r="Q3120" s="12"/>
      <c r="R3120" s="1"/>
    </row>
    <row r="3121" ht="12.75" customHeight="1">
      <c r="A3121" s="17"/>
      <c r="B3121" s="12"/>
      <c r="C3121" s="1"/>
      <c r="D3121" s="1"/>
      <c r="E3121" s="12"/>
      <c r="F3121" s="7"/>
      <c r="G3121" s="7"/>
      <c r="H3121" s="1"/>
      <c r="I3121" s="1"/>
      <c r="J3121" s="1"/>
      <c r="K3121" s="1"/>
      <c r="L3121" s="12"/>
      <c r="M3121" s="12"/>
      <c r="N3121" s="15"/>
      <c r="O3121" s="1"/>
      <c r="Q3121" s="12"/>
      <c r="R3121" s="1"/>
    </row>
    <row r="3122" ht="12.75" customHeight="1">
      <c r="A3122" s="17"/>
      <c r="B3122" s="12"/>
      <c r="C3122" s="1"/>
      <c r="D3122" s="1"/>
      <c r="E3122" s="12"/>
      <c r="F3122" s="7"/>
      <c r="G3122" s="7"/>
      <c r="H3122" s="1"/>
      <c r="I3122" s="1"/>
      <c r="J3122" s="1"/>
      <c r="K3122" s="1"/>
      <c r="L3122" s="12"/>
      <c r="M3122" s="12"/>
      <c r="N3122" s="15"/>
      <c r="O3122" s="1"/>
      <c r="Q3122" s="12"/>
      <c r="R3122" s="1"/>
    </row>
    <row r="3123" ht="12.75" customHeight="1">
      <c r="A3123" s="17"/>
      <c r="B3123" s="12"/>
      <c r="C3123" s="1"/>
      <c r="D3123" s="1"/>
      <c r="E3123" s="12"/>
      <c r="F3123" s="7"/>
      <c r="G3123" s="7"/>
      <c r="H3123" s="1"/>
      <c r="I3123" s="1"/>
      <c r="J3123" s="1"/>
      <c r="K3123" s="1"/>
      <c r="L3123" s="12"/>
      <c r="M3123" s="12"/>
      <c r="N3123" s="15"/>
      <c r="O3123" s="1"/>
      <c r="Q3123" s="12"/>
      <c r="R3123" s="1"/>
    </row>
  </sheetData>
  <conditionalFormatting sqref="C2:D11 F2:G14 I2:I14 F17:G32 I17:I32 D36:D55 G36:G54 I36:I55 C37:C55 F37:F54 I58:I101 F126:G168 I126:I168 C129:D149 C152:D168 F170:G217 I170:I217 C173:D217 F240:G240 I240 F267:G289 I267:I289 F292:G311 I292:I311 F314:G336 I314:I336 F339:G360 I339:I360 F363:G383 I363:I383 F386:G408 I386:I408 F411:G431 I411:I431 F434:G455 I434:I455 F458:G480 I458:I480 F483:G502 I483:I502 F505:G525 I505:I525 F528:G549 I528:I549 F552:G573 I552:I573 F576:G596 I576:I596 F599:G621 I599:I621 C623:D644 F623:G644 I623:I644 F647:G668 I647:I668 F671:G693 I671:I693 F696:G67696 I696:I67696">
    <cfRule type="cellIs" dxfId="0" priority="1" stopIfTrue="1" operator="lessThan">
      <formula>0</formula>
    </cfRule>
  </conditionalFormatting>
  <conditionalFormatting sqref="C2:D11 F2:G14 I2:I14 F17:G32 I17:I32 D36:D55 G36:G54 I36:I55 C37:C55 F37:F54 I58:I101 F126:G168 I126:I168 C129:D149 C152:D168 F170:G217 I170:I217 C173:D217 F240:G240 I240 F267:G289 I267:I289 F292:G311 I292:I311 F314:G336 I314:I336 F339:G360 I339:I360 F363:G383 I363:I383 F386:G408 I386:I408 F411:G431 I411:I431 F434:G455 I434:I455 F458:G480 I458:I480 F483:G502 I483:I502 F505:G525 I505:I525 F528:G549 I528:I549 F552:G573 I552:I573 F576:G596 I576:I596 F599:G621 I599:I621 C623:D644 F623:G644 I623:I644 F647:G668 I647:I668 F671:G693 I671:I693 F696:G67696 I696:I67696">
    <cfRule type="cellIs" dxfId="1" priority="2" stopIfTrue="1" operator="greaterThan">
      <formula>0</formula>
    </cfRule>
  </conditionalFormatting>
  <conditionalFormatting sqref="I33:I34">
    <cfRule type="cellIs" dxfId="0" priority="3" stopIfTrue="1" operator="lessThan">
      <formula>0</formula>
    </cfRule>
  </conditionalFormatting>
  <conditionalFormatting sqref="I33:I34">
    <cfRule type="cellIs" dxfId="1" priority="4" stopIfTrue="1" operator="greaterThan">
      <formula>0</formula>
    </cfRule>
  </conditionalFormatting>
  <conditionalFormatting sqref="C33:C34 C80 C126">
    <cfRule type="cellIs" dxfId="0" priority="5" stopIfTrue="1" operator="lessThan">
      <formula>0</formula>
    </cfRule>
  </conditionalFormatting>
  <conditionalFormatting sqref="C33:C34 C80 C126">
    <cfRule type="cellIs" dxfId="1" priority="6" stopIfTrue="1" operator="greaterThan">
      <formula>0</formula>
    </cfRule>
  </conditionalFormatting>
  <conditionalFormatting sqref="D33:D34 D80 D126">
    <cfRule type="cellIs" dxfId="0" priority="7" stopIfTrue="1" operator="lessThan">
      <formula>0</formula>
    </cfRule>
  </conditionalFormatting>
  <conditionalFormatting sqref="D33:D34 D80 D126">
    <cfRule type="cellIs" dxfId="1" priority="8" stopIfTrue="1" operator="greaterThan">
      <formula>0</formula>
    </cfRule>
  </conditionalFormatting>
  <conditionalFormatting sqref="F33:F34">
    <cfRule type="cellIs" dxfId="0" priority="9" stopIfTrue="1" operator="lessThan">
      <formula>0</formula>
    </cfRule>
  </conditionalFormatting>
  <conditionalFormatting sqref="F33:F34">
    <cfRule type="cellIs" dxfId="1" priority="10" stopIfTrue="1" operator="greaterThan">
      <formula>0</formula>
    </cfRule>
  </conditionalFormatting>
  <conditionalFormatting sqref="G33:G34">
    <cfRule type="cellIs" dxfId="0" priority="11" stopIfTrue="1" operator="lessThan">
      <formula>0</formula>
    </cfRule>
  </conditionalFormatting>
  <conditionalFormatting sqref="G33:G34">
    <cfRule type="cellIs" dxfId="1" priority="12" stopIfTrue="1" operator="greaterThan">
      <formula>0</formula>
    </cfRule>
  </conditionalFormatting>
  <conditionalFormatting sqref="I35">
    <cfRule type="cellIs" dxfId="0" priority="13" stopIfTrue="1" operator="lessThan">
      <formula>0</formula>
    </cfRule>
  </conditionalFormatting>
  <conditionalFormatting sqref="I35">
    <cfRule type="cellIs" dxfId="1" priority="14" stopIfTrue="1" operator="greaterThan">
      <formula>0</formula>
    </cfRule>
  </conditionalFormatting>
  <conditionalFormatting sqref="C35">
    <cfRule type="cellIs" dxfId="0" priority="15" stopIfTrue="1" operator="lessThan">
      <formula>0</formula>
    </cfRule>
  </conditionalFormatting>
  <conditionalFormatting sqref="C35">
    <cfRule type="cellIs" dxfId="1" priority="16" stopIfTrue="1" operator="greaterThan">
      <formula>0</formula>
    </cfRule>
  </conditionalFormatting>
  <conditionalFormatting sqref="D35">
    <cfRule type="cellIs" dxfId="0" priority="17" stopIfTrue="1" operator="lessThan">
      <formula>0</formula>
    </cfRule>
  </conditionalFormatting>
  <conditionalFormatting sqref="D35">
    <cfRule type="cellIs" dxfId="1" priority="18" stopIfTrue="1" operator="greaterThan">
      <formula>0</formula>
    </cfRule>
  </conditionalFormatting>
  <conditionalFormatting sqref="F35">
    <cfRule type="cellIs" dxfId="0" priority="19" stopIfTrue="1" operator="lessThan">
      <formula>0</formula>
    </cfRule>
  </conditionalFormatting>
  <conditionalFormatting sqref="F35">
    <cfRule type="cellIs" dxfId="1" priority="20" stopIfTrue="1" operator="greaterThan">
      <formula>0</formula>
    </cfRule>
  </conditionalFormatting>
  <conditionalFormatting sqref="G35">
    <cfRule type="cellIs" dxfId="0" priority="21" stopIfTrue="1" operator="lessThan">
      <formula>0</formula>
    </cfRule>
  </conditionalFormatting>
  <conditionalFormatting sqref="G35">
    <cfRule type="cellIs" dxfId="1" priority="22" stopIfTrue="1" operator="greaterThan">
      <formula>0</formula>
    </cfRule>
  </conditionalFormatting>
  <conditionalFormatting sqref="F55:G55 F58:G80">
    <cfRule type="cellIs" dxfId="0" priority="23" stopIfTrue="1" operator="lessThan">
      <formula>0</formula>
    </cfRule>
  </conditionalFormatting>
  <conditionalFormatting sqref="F55:G55 F58:G80">
    <cfRule type="cellIs" dxfId="1" priority="24" stopIfTrue="1" operator="greaterThan">
      <formula>0</formula>
    </cfRule>
  </conditionalFormatting>
  <conditionalFormatting sqref="I15:I16 F15:G16">
    <cfRule type="cellIs" dxfId="0" priority="25" stopIfTrue="1" operator="lessThan">
      <formula>0</formula>
    </cfRule>
  </conditionalFormatting>
  <conditionalFormatting sqref="I15:I16 F15:G16">
    <cfRule type="cellIs" dxfId="1" priority="26" stopIfTrue="1" operator="greaterThan">
      <formula>0</formula>
    </cfRule>
  </conditionalFormatting>
  <conditionalFormatting sqref="I56">
    <cfRule type="cellIs" dxfId="0" priority="27" stopIfTrue="1" operator="lessThan">
      <formula>0</formula>
    </cfRule>
  </conditionalFormatting>
  <conditionalFormatting sqref="I56">
    <cfRule type="cellIs" dxfId="1" priority="28" stopIfTrue="1" operator="greaterThan">
      <formula>0</formula>
    </cfRule>
  </conditionalFormatting>
  <conditionalFormatting sqref="F56">
    <cfRule type="cellIs" dxfId="0" priority="29" stopIfTrue="1" operator="lessThan">
      <formula>0</formula>
    </cfRule>
  </conditionalFormatting>
  <conditionalFormatting sqref="F56">
    <cfRule type="cellIs" dxfId="1" priority="30" stopIfTrue="1" operator="greaterThan">
      <formula>0</formula>
    </cfRule>
  </conditionalFormatting>
  <conditionalFormatting sqref="G56">
    <cfRule type="cellIs" dxfId="0" priority="31" stopIfTrue="1" operator="lessThan">
      <formula>0</formula>
    </cfRule>
  </conditionalFormatting>
  <conditionalFormatting sqref="G56">
    <cfRule type="cellIs" dxfId="1" priority="32" stopIfTrue="1" operator="greaterThan">
      <formula>0</formula>
    </cfRule>
  </conditionalFormatting>
  <conditionalFormatting sqref="I57">
    <cfRule type="cellIs" dxfId="0" priority="33" stopIfTrue="1" operator="lessThan">
      <formula>0</formula>
    </cfRule>
  </conditionalFormatting>
  <conditionalFormatting sqref="I57">
    <cfRule type="cellIs" dxfId="1" priority="34" stopIfTrue="1" operator="greaterThan">
      <formula>0</formula>
    </cfRule>
  </conditionalFormatting>
  <conditionalFormatting sqref="F57">
    <cfRule type="cellIs" dxfId="0" priority="35" stopIfTrue="1" operator="lessThan">
      <formula>0</formula>
    </cfRule>
  </conditionalFormatting>
  <conditionalFormatting sqref="F57">
    <cfRule type="cellIs" dxfId="1" priority="36" stopIfTrue="1" operator="greaterThan">
      <formula>0</formula>
    </cfRule>
  </conditionalFormatting>
  <conditionalFormatting sqref="G57">
    <cfRule type="cellIs" dxfId="0" priority="37" stopIfTrue="1" operator="lessThan">
      <formula>0</formula>
    </cfRule>
  </conditionalFormatting>
  <conditionalFormatting sqref="G57">
    <cfRule type="cellIs" dxfId="1" priority="38" stopIfTrue="1" operator="greaterThan">
      <formula>0</formula>
    </cfRule>
  </conditionalFormatting>
  <conditionalFormatting sqref="C12:D31">
    <cfRule type="cellIs" dxfId="0" priority="39" stopIfTrue="1" operator="lessThan">
      <formula>0</formula>
    </cfRule>
  </conditionalFormatting>
  <conditionalFormatting sqref="C12:D31">
    <cfRule type="cellIs" dxfId="1" priority="40" stopIfTrue="1" operator="greaterThan">
      <formula>0</formula>
    </cfRule>
  </conditionalFormatting>
  <conditionalFormatting sqref="C36">
    <cfRule type="cellIs" dxfId="0" priority="41" stopIfTrue="1" operator="lessThan">
      <formula>0</formula>
    </cfRule>
  </conditionalFormatting>
  <conditionalFormatting sqref="C36">
    <cfRule type="cellIs" dxfId="1" priority="42" stopIfTrue="1" operator="greaterThan">
      <formula>0</formula>
    </cfRule>
  </conditionalFormatting>
  <conditionalFormatting sqref="F36">
    <cfRule type="cellIs" dxfId="0" priority="43" stopIfTrue="1" operator="lessThan">
      <formula>0</formula>
    </cfRule>
  </conditionalFormatting>
  <conditionalFormatting sqref="F36">
    <cfRule type="cellIs" dxfId="1" priority="44" stopIfTrue="1" operator="greaterThan">
      <formula>0</formula>
    </cfRule>
  </conditionalFormatting>
  <conditionalFormatting sqref="C81">
    <cfRule type="cellIs" dxfId="0" priority="45" stopIfTrue="1" operator="lessThan">
      <formula>0</formula>
    </cfRule>
  </conditionalFormatting>
  <conditionalFormatting sqref="C81">
    <cfRule type="cellIs" dxfId="1" priority="46" stopIfTrue="1" operator="greaterThan">
      <formula>0</formula>
    </cfRule>
  </conditionalFormatting>
  <conditionalFormatting sqref="D81">
    <cfRule type="cellIs" dxfId="0" priority="47" stopIfTrue="1" operator="lessThan">
      <formula>0</formula>
    </cfRule>
  </conditionalFormatting>
  <conditionalFormatting sqref="D81">
    <cfRule type="cellIs" dxfId="1" priority="48" stopIfTrue="1" operator="greaterThan">
      <formula>0</formula>
    </cfRule>
  </conditionalFormatting>
  <conditionalFormatting sqref="F81">
    <cfRule type="cellIs" dxfId="0" priority="49" stopIfTrue="1" operator="lessThan">
      <formula>0</formula>
    </cfRule>
  </conditionalFormatting>
  <conditionalFormatting sqref="F81">
    <cfRule type="cellIs" dxfId="1" priority="50" stopIfTrue="1" operator="greaterThan">
      <formula>0</formula>
    </cfRule>
  </conditionalFormatting>
  <conditionalFormatting sqref="G81">
    <cfRule type="cellIs" dxfId="0" priority="51" stopIfTrue="1" operator="lessThan">
      <formula>0</formula>
    </cfRule>
  </conditionalFormatting>
  <conditionalFormatting sqref="G81">
    <cfRule type="cellIs" dxfId="1" priority="52" stopIfTrue="1" operator="greaterThan">
      <formula>0</formula>
    </cfRule>
  </conditionalFormatting>
  <conditionalFormatting sqref="C82">
    <cfRule type="cellIs" dxfId="0" priority="53" stopIfTrue="1" operator="lessThan">
      <formula>0</formula>
    </cfRule>
  </conditionalFormatting>
  <conditionalFormatting sqref="C82">
    <cfRule type="cellIs" dxfId="1" priority="54" stopIfTrue="1" operator="greaterThan">
      <formula>0</formula>
    </cfRule>
  </conditionalFormatting>
  <conditionalFormatting sqref="C83:C101">
    <cfRule type="cellIs" dxfId="0" priority="55" stopIfTrue="1" operator="lessThan">
      <formula>0</formula>
    </cfRule>
  </conditionalFormatting>
  <conditionalFormatting sqref="C83:C101">
    <cfRule type="cellIs" dxfId="1" priority="56" stopIfTrue="1" operator="greaterThan">
      <formula>0</formula>
    </cfRule>
  </conditionalFormatting>
  <conditionalFormatting sqref="F82">
    <cfRule type="cellIs" dxfId="0" priority="57" stopIfTrue="1" operator="lessThan">
      <formula>0</formula>
    </cfRule>
  </conditionalFormatting>
  <conditionalFormatting sqref="F82">
    <cfRule type="cellIs" dxfId="1" priority="58" stopIfTrue="1" operator="greaterThan">
      <formula>0</formula>
    </cfRule>
  </conditionalFormatting>
  <conditionalFormatting sqref="D83:D101">
    <cfRule type="cellIs" dxfId="0" priority="59" stopIfTrue="1" operator="lessThan">
      <formula>0</formula>
    </cfRule>
  </conditionalFormatting>
  <conditionalFormatting sqref="D83:D101">
    <cfRule type="cellIs" dxfId="1" priority="60" stopIfTrue="1" operator="greaterThan">
      <formula>0</formula>
    </cfRule>
  </conditionalFormatting>
  <conditionalFormatting sqref="G82">
    <cfRule type="cellIs" dxfId="0" priority="61" stopIfTrue="1" operator="lessThan">
      <formula>0</formula>
    </cfRule>
  </conditionalFormatting>
  <conditionalFormatting sqref="G82">
    <cfRule type="cellIs" dxfId="1" priority="62" stopIfTrue="1" operator="greaterThan">
      <formula>0</formula>
    </cfRule>
  </conditionalFormatting>
  <conditionalFormatting sqref="D82">
    <cfRule type="cellIs" dxfId="0" priority="63" stopIfTrue="1" operator="lessThan">
      <formula>0</formula>
    </cfRule>
  </conditionalFormatting>
  <conditionalFormatting sqref="D82">
    <cfRule type="cellIs" dxfId="1" priority="64" stopIfTrue="1" operator="greaterThan">
      <formula>0</formula>
    </cfRule>
  </conditionalFormatting>
  <conditionalFormatting sqref="F83:F101">
    <cfRule type="cellIs" dxfId="0" priority="65" stopIfTrue="1" operator="lessThan">
      <formula>0</formula>
    </cfRule>
  </conditionalFormatting>
  <conditionalFormatting sqref="F83:F101">
    <cfRule type="cellIs" dxfId="1" priority="66" stopIfTrue="1" operator="greaterThan">
      <formula>0</formula>
    </cfRule>
  </conditionalFormatting>
  <conditionalFormatting sqref="G83:G101">
    <cfRule type="cellIs" dxfId="0" priority="67" stopIfTrue="1" operator="lessThan">
      <formula>0</formula>
    </cfRule>
  </conditionalFormatting>
  <conditionalFormatting sqref="G83:G101">
    <cfRule type="cellIs" dxfId="1" priority="68" stopIfTrue="1" operator="greaterThan">
      <formula>0</formula>
    </cfRule>
  </conditionalFormatting>
  <conditionalFormatting sqref="C56:D79">
    <cfRule type="cellIs" dxfId="0" priority="69" stopIfTrue="1" operator="lessThan">
      <formula>0</formula>
    </cfRule>
  </conditionalFormatting>
  <conditionalFormatting sqref="C56:D79">
    <cfRule type="cellIs" dxfId="1" priority="70" stopIfTrue="1" operator="greaterThan">
      <formula>0</formula>
    </cfRule>
  </conditionalFormatting>
  <conditionalFormatting sqref="I102:I103">
    <cfRule type="cellIs" dxfId="0" priority="71" stopIfTrue="1" operator="lessThan">
      <formula>0</formula>
    </cfRule>
  </conditionalFormatting>
  <conditionalFormatting sqref="I102:I103">
    <cfRule type="cellIs" dxfId="1" priority="72" stopIfTrue="1" operator="greaterThan">
      <formula>0</formula>
    </cfRule>
  </conditionalFormatting>
  <conditionalFormatting sqref="C102">
    <cfRule type="cellIs" dxfId="0" priority="73" stopIfTrue="1" operator="lessThan">
      <formula>0</formula>
    </cfRule>
  </conditionalFormatting>
  <conditionalFormatting sqref="C102">
    <cfRule type="cellIs" dxfId="1" priority="74" stopIfTrue="1" operator="greaterThan">
      <formula>0</formula>
    </cfRule>
  </conditionalFormatting>
  <conditionalFormatting sqref="D102">
    <cfRule type="cellIs" dxfId="0" priority="75" stopIfTrue="1" operator="lessThan">
      <formula>0</formula>
    </cfRule>
  </conditionalFormatting>
  <conditionalFormatting sqref="D102">
    <cfRule type="cellIs" dxfId="1" priority="76" stopIfTrue="1" operator="greaterThan">
      <formula>0</formula>
    </cfRule>
  </conditionalFormatting>
  <conditionalFormatting sqref="F102">
    <cfRule type="cellIs" dxfId="0" priority="77" stopIfTrue="1" operator="lessThan">
      <formula>0</formula>
    </cfRule>
  </conditionalFormatting>
  <conditionalFormatting sqref="F102">
    <cfRule type="cellIs" dxfId="1" priority="78" stopIfTrue="1" operator="greaterThan">
      <formula>0</formula>
    </cfRule>
  </conditionalFormatting>
  <conditionalFormatting sqref="G102">
    <cfRule type="cellIs" dxfId="0" priority="79" stopIfTrue="1" operator="lessThan">
      <formula>0</formula>
    </cfRule>
  </conditionalFormatting>
  <conditionalFormatting sqref="G102">
    <cfRule type="cellIs" dxfId="1" priority="80" stopIfTrue="1" operator="greaterThan">
      <formula>0</formula>
    </cfRule>
  </conditionalFormatting>
  <conditionalFormatting sqref="C103">
    <cfRule type="cellIs" dxfId="0" priority="81" stopIfTrue="1" operator="lessThan">
      <formula>0</formula>
    </cfRule>
  </conditionalFormatting>
  <conditionalFormatting sqref="C103">
    <cfRule type="cellIs" dxfId="1" priority="82" stopIfTrue="1" operator="greaterThan">
      <formula>0</formula>
    </cfRule>
  </conditionalFormatting>
  <conditionalFormatting sqref="F103">
    <cfRule type="cellIs" dxfId="0" priority="83" stopIfTrue="1" operator="lessThan">
      <formula>0</formula>
    </cfRule>
  </conditionalFormatting>
  <conditionalFormatting sqref="F103">
    <cfRule type="cellIs" dxfId="1" priority="84" stopIfTrue="1" operator="greaterThan">
      <formula>0</formula>
    </cfRule>
  </conditionalFormatting>
  <conditionalFormatting sqref="G103">
    <cfRule type="cellIs" dxfId="0" priority="85" stopIfTrue="1" operator="lessThan">
      <formula>0</formula>
    </cfRule>
  </conditionalFormatting>
  <conditionalFormatting sqref="G103">
    <cfRule type="cellIs" dxfId="1" priority="86" stopIfTrue="1" operator="greaterThan">
      <formula>0</formula>
    </cfRule>
  </conditionalFormatting>
  <conditionalFormatting sqref="D103">
    <cfRule type="cellIs" dxfId="0" priority="87" stopIfTrue="1" operator="lessThan">
      <formula>0</formula>
    </cfRule>
  </conditionalFormatting>
  <conditionalFormatting sqref="D103">
    <cfRule type="cellIs" dxfId="1" priority="88" stopIfTrue="1" operator="greaterThan">
      <formula>0</formula>
    </cfRule>
  </conditionalFormatting>
  <conditionalFormatting sqref="I104:I125">
    <cfRule type="cellIs" dxfId="0" priority="89" stopIfTrue="1" operator="lessThan">
      <formula>0</formula>
    </cfRule>
  </conditionalFormatting>
  <conditionalFormatting sqref="I104:I125">
    <cfRule type="cellIs" dxfId="1" priority="90" stopIfTrue="1" operator="greaterThan">
      <formula>0</formula>
    </cfRule>
  </conditionalFormatting>
  <conditionalFormatting sqref="C104:C125">
    <cfRule type="cellIs" dxfId="0" priority="91" stopIfTrue="1" operator="lessThan">
      <formula>0</formula>
    </cfRule>
  </conditionalFormatting>
  <conditionalFormatting sqref="C104:C125">
    <cfRule type="cellIs" dxfId="1" priority="92" stopIfTrue="1" operator="greaterThan">
      <formula>0</formula>
    </cfRule>
  </conditionalFormatting>
  <conditionalFormatting sqref="F104:F125">
    <cfRule type="cellIs" dxfId="0" priority="93" stopIfTrue="1" operator="lessThan">
      <formula>0</formula>
    </cfRule>
  </conditionalFormatting>
  <conditionalFormatting sqref="F104:F125">
    <cfRule type="cellIs" dxfId="1" priority="94" stopIfTrue="1" operator="greaterThan">
      <formula>0</formula>
    </cfRule>
  </conditionalFormatting>
  <conditionalFormatting sqref="G104:G125">
    <cfRule type="cellIs" dxfId="0" priority="95" stopIfTrue="1" operator="lessThan">
      <formula>0</formula>
    </cfRule>
  </conditionalFormatting>
  <conditionalFormatting sqref="G104:G125">
    <cfRule type="cellIs" dxfId="1" priority="96" stopIfTrue="1" operator="greaterThan">
      <formula>0</formula>
    </cfRule>
  </conditionalFormatting>
  <conditionalFormatting sqref="D104:D125">
    <cfRule type="cellIs" dxfId="0" priority="97" stopIfTrue="1" operator="lessThan">
      <formula>0</formula>
    </cfRule>
  </conditionalFormatting>
  <conditionalFormatting sqref="D104:D125">
    <cfRule type="cellIs" dxfId="1" priority="98" stopIfTrue="1" operator="greaterThan">
      <formula>0</formula>
    </cfRule>
  </conditionalFormatting>
  <conditionalFormatting sqref="C127">
    <cfRule type="cellIs" dxfId="0" priority="99" stopIfTrue="1" operator="lessThan">
      <formula>0</formula>
    </cfRule>
  </conditionalFormatting>
  <conditionalFormatting sqref="C127">
    <cfRule type="cellIs" dxfId="1" priority="100" stopIfTrue="1" operator="greaterThan">
      <formula>0</formula>
    </cfRule>
  </conditionalFormatting>
  <conditionalFormatting sqref="D127">
    <cfRule type="cellIs" dxfId="0" priority="101" stopIfTrue="1" operator="lessThan">
      <formula>0</formula>
    </cfRule>
  </conditionalFormatting>
  <conditionalFormatting sqref="D127">
    <cfRule type="cellIs" dxfId="1" priority="102" stopIfTrue="1" operator="greaterThan">
      <formula>0</formula>
    </cfRule>
  </conditionalFormatting>
  <conditionalFormatting sqref="C128">
    <cfRule type="cellIs" dxfId="0" priority="103" stopIfTrue="1" operator="lessThan">
      <formula>0</formula>
    </cfRule>
  </conditionalFormatting>
  <conditionalFormatting sqref="C128">
    <cfRule type="cellIs" dxfId="1" priority="104" stopIfTrue="1" operator="greaterThan">
      <formula>0</formula>
    </cfRule>
  </conditionalFormatting>
  <conditionalFormatting sqref="D128">
    <cfRule type="cellIs" dxfId="0" priority="105" stopIfTrue="1" operator="lessThan">
      <formula>0</formula>
    </cfRule>
  </conditionalFormatting>
  <conditionalFormatting sqref="D128">
    <cfRule type="cellIs" dxfId="1" priority="106" stopIfTrue="1" operator="greaterThan">
      <formula>0</formula>
    </cfRule>
  </conditionalFormatting>
  <conditionalFormatting sqref="C170:D171">
    <cfRule type="cellIs" dxfId="0" priority="107" stopIfTrue="1" operator="lessThan">
      <formula>0</formula>
    </cfRule>
  </conditionalFormatting>
  <conditionalFormatting sqref="C170:D171">
    <cfRule type="cellIs" dxfId="1" priority="108" stopIfTrue="1" operator="greaterThan">
      <formula>0</formula>
    </cfRule>
  </conditionalFormatting>
  <conditionalFormatting sqref="C150">
    <cfRule type="cellIs" dxfId="0" priority="109" stopIfTrue="1" operator="lessThan">
      <formula>0</formula>
    </cfRule>
  </conditionalFormatting>
  <conditionalFormatting sqref="C150">
    <cfRule type="cellIs" dxfId="1" priority="110" stopIfTrue="1" operator="greaterThan">
      <formula>0</formula>
    </cfRule>
  </conditionalFormatting>
  <conditionalFormatting sqref="D150">
    <cfRule type="cellIs" dxfId="0" priority="111" stopIfTrue="1" operator="lessThan">
      <formula>0</formula>
    </cfRule>
  </conditionalFormatting>
  <conditionalFormatting sqref="D150">
    <cfRule type="cellIs" dxfId="1" priority="112" stopIfTrue="1" operator="greaterThan">
      <formula>0</formula>
    </cfRule>
  </conditionalFormatting>
  <conditionalFormatting sqref="C151">
    <cfRule type="cellIs" dxfId="0" priority="113" stopIfTrue="1" operator="lessThan">
      <formula>0</formula>
    </cfRule>
  </conditionalFormatting>
  <conditionalFormatting sqref="C151">
    <cfRule type="cellIs" dxfId="1" priority="114" stopIfTrue="1" operator="greaterThan">
      <formula>0</formula>
    </cfRule>
  </conditionalFormatting>
  <conditionalFormatting sqref="D151">
    <cfRule type="cellIs" dxfId="0" priority="115" stopIfTrue="1" operator="lessThan">
      <formula>0</formula>
    </cfRule>
  </conditionalFormatting>
  <conditionalFormatting sqref="D151">
    <cfRule type="cellIs" dxfId="1" priority="116" stopIfTrue="1" operator="greaterThan">
      <formula>0</formula>
    </cfRule>
  </conditionalFormatting>
  <conditionalFormatting sqref="I169 F169:G169">
    <cfRule type="cellIs" dxfId="0" priority="117" stopIfTrue="1" operator="lessThan">
      <formula>0</formula>
    </cfRule>
  </conditionalFormatting>
  <conditionalFormatting sqref="I169 F169:G169">
    <cfRule type="cellIs" dxfId="1" priority="118" stopIfTrue="1" operator="greaterThan">
      <formula>0</formula>
    </cfRule>
  </conditionalFormatting>
  <conditionalFormatting sqref="C169:D169">
    <cfRule type="cellIs" dxfId="0" priority="119" stopIfTrue="1" operator="lessThan">
      <formula>0</formula>
    </cfRule>
  </conditionalFormatting>
  <conditionalFormatting sqref="C169:D169">
    <cfRule type="cellIs" dxfId="1" priority="120" stopIfTrue="1" operator="greaterThan">
      <formula>0</formula>
    </cfRule>
  </conditionalFormatting>
  <conditionalFormatting sqref="C172">
    <cfRule type="cellIs" dxfId="0" priority="121" stopIfTrue="1" operator="lessThan">
      <formula>0</formula>
    </cfRule>
  </conditionalFormatting>
  <conditionalFormatting sqref="C172">
    <cfRule type="cellIs" dxfId="1" priority="122" stopIfTrue="1" operator="greaterThan">
      <formula>0</formula>
    </cfRule>
  </conditionalFormatting>
  <conditionalFormatting sqref="D172">
    <cfRule type="cellIs" dxfId="0" priority="123" stopIfTrue="1" operator="lessThan">
      <formula>0</formula>
    </cfRule>
  </conditionalFormatting>
  <conditionalFormatting sqref="D172">
    <cfRule type="cellIs" dxfId="1" priority="124" stopIfTrue="1" operator="greaterThan">
      <formula>0</formula>
    </cfRule>
  </conditionalFormatting>
  <conditionalFormatting sqref="I218:I219 F218:G219 C218:D219">
    <cfRule type="cellIs" dxfId="0" priority="125" stopIfTrue="1" operator="lessThan">
      <formula>0</formula>
    </cfRule>
  </conditionalFormatting>
  <conditionalFormatting sqref="I218:I219 F218:G219 C218:D219">
    <cfRule type="cellIs" dxfId="1" priority="126" stopIfTrue="1" operator="greaterThan">
      <formula>0</formula>
    </cfRule>
  </conditionalFormatting>
  <conditionalFormatting sqref="I220:I239 F220:G239 C220:D239">
    <cfRule type="cellIs" dxfId="0" priority="127" stopIfTrue="1" operator="lessThan">
      <formula>0</formula>
    </cfRule>
  </conditionalFormatting>
  <conditionalFormatting sqref="I220:I239 F220:G239 C220:D239">
    <cfRule type="cellIs" dxfId="1" priority="128" stopIfTrue="1" operator="greaterThan">
      <formula>0</formula>
    </cfRule>
  </conditionalFormatting>
  <conditionalFormatting sqref="I241 F241:G241 C241:D241">
    <cfRule type="cellIs" dxfId="0" priority="129" stopIfTrue="1" operator="lessThan">
      <formula>0</formula>
    </cfRule>
  </conditionalFormatting>
  <conditionalFormatting sqref="I241 F241:G241 C241:D241">
    <cfRule type="cellIs" dxfId="1" priority="130" stopIfTrue="1" operator="greaterThan">
      <formula>0</formula>
    </cfRule>
  </conditionalFormatting>
  <conditionalFormatting sqref="I242 F242:G242 C242:D242">
    <cfRule type="cellIs" dxfId="0" priority="131" stopIfTrue="1" operator="lessThan">
      <formula>0</formula>
    </cfRule>
  </conditionalFormatting>
  <conditionalFormatting sqref="I242 F242:G242 C242:D242">
    <cfRule type="cellIs" dxfId="1" priority="132" stopIfTrue="1" operator="greaterThan">
      <formula>0</formula>
    </cfRule>
  </conditionalFormatting>
  <conditionalFormatting sqref="I243:I264 F243:G264 C243:D264">
    <cfRule type="cellIs" dxfId="0" priority="133" stopIfTrue="1" operator="lessThan">
      <formula>0</formula>
    </cfRule>
  </conditionalFormatting>
  <conditionalFormatting sqref="I243:I264 F243:G264 C243:D264">
    <cfRule type="cellIs" dxfId="1" priority="134" stopIfTrue="1" operator="greaterThan">
      <formula>0</formula>
    </cfRule>
  </conditionalFormatting>
  <conditionalFormatting sqref="I265 F265:G265 C265:D265">
    <cfRule type="cellIs" dxfId="0" priority="135" stopIfTrue="1" operator="lessThan">
      <formula>0</formula>
    </cfRule>
  </conditionalFormatting>
  <conditionalFormatting sqref="I265 F265:G265 C265:D265">
    <cfRule type="cellIs" dxfId="1" priority="136" stopIfTrue="1" operator="greaterThan">
      <formula>0</formula>
    </cfRule>
  </conditionalFormatting>
  <conditionalFormatting sqref="I266:I288 F266:G288 C266:D288">
    <cfRule type="cellIs" dxfId="0" priority="137" stopIfTrue="1" operator="lessThan">
      <formula>0</formula>
    </cfRule>
  </conditionalFormatting>
  <conditionalFormatting sqref="I266:I288 F266:G288 C266:D288">
    <cfRule type="cellIs" dxfId="1" priority="138" stopIfTrue="1" operator="greaterThan">
      <formula>0</formula>
    </cfRule>
  </conditionalFormatting>
  <conditionalFormatting sqref="I290 F290:G290 C290:D290">
    <cfRule type="cellIs" dxfId="0" priority="139" stopIfTrue="1" operator="lessThan">
      <formula>0</formula>
    </cfRule>
  </conditionalFormatting>
  <conditionalFormatting sqref="I290 F290:G290 C290:D290">
    <cfRule type="cellIs" dxfId="1" priority="140" stopIfTrue="1" operator="greaterThan">
      <formula>0</formula>
    </cfRule>
  </conditionalFormatting>
  <conditionalFormatting sqref="I291:I310 F291:G310 C291:D310">
    <cfRule type="cellIs" dxfId="0" priority="141" stopIfTrue="1" operator="lessThan">
      <formula>0</formula>
    </cfRule>
  </conditionalFormatting>
  <conditionalFormatting sqref="I291:I310 F291:G310 C291:D310">
    <cfRule type="cellIs" dxfId="1" priority="142" stopIfTrue="1" operator="greaterThan">
      <formula>0</formula>
    </cfRule>
  </conditionalFormatting>
  <conditionalFormatting sqref="I312 F312:G312 C312:D312">
    <cfRule type="cellIs" dxfId="0" priority="143" stopIfTrue="1" operator="lessThan">
      <formula>0</formula>
    </cfRule>
  </conditionalFormatting>
  <conditionalFormatting sqref="I312 F312:G312 C312:D312">
    <cfRule type="cellIs" dxfId="1" priority="144" stopIfTrue="1" operator="greaterThan">
      <formula>0</formula>
    </cfRule>
  </conditionalFormatting>
  <conditionalFormatting sqref="I313:I335 F313:G335 C313:D335">
    <cfRule type="cellIs" dxfId="0" priority="145" stopIfTrue="1" operator="lessThan">
      <formula>0</formula>
    </cfRule>
  </conditionalFormatting>
  <conditionalFormatting sqref="I313:I335 F313:G335 C313:D335">
    <cfRule type="cellIs" dxfId="1" priority="146" stopIfTrue="1" operator="greaterThan">
      <formula>0</formula>
    </cfRule>
  </conditionalFormatting>
  <conditionalFormatting sqref="I337 F337:G337 C337:D337">
    <cfRule type="cellIs" dxfId="0" priority="147" stopIfTrue="1" operator="lessThan">
      <formula>0</formula>
    </cfRule>
  </conditionalFormatting>
  <conditionalFormatting sqref="I337 F337:G337 C337:D337">
    <cfRule type="cellIs" dxfId="1" priority="148" stopIfTrue="1" operator="greaterThan">
      <formula>0</formula>
    </cfRule>
  </conditionalFormatting>
  <conditionalFormatting sqref="I338:I359 F338:G359 C338:D359">
    <cfRule type="cellIs" dxfId="0" priority="149" stopIfTrue="1" operator="lessThan">
      <formula>0</formula>
    </cfRule>
  </conditionalFormatting>
  <conditionalFormatting sqref="I338:I359 F338:G359 C338:D359">
    <cfRule type="cellIs" dxfId="1" priority="150" stopIfTrue="1" operator="greaterThan">
      <formula>0</formula>
    </cfRule>
  </conditionalFormatting>
  <conditionalFormatting sqref="I361 F361:G361 C361:D361">
    <cfRule type="cellIs" dxfId="0" priority="151" stopIfTrue="1" operator="lessThan">
      <formula>0</formula>
    </cfRule>
  </conditionalFormatting>
  <conditionalFormatting sqref="I361 F361:G361 C361:D361">
    <cfRule type="cellIs" dxfId="1" priority="152" stopIfTrue="1" operator="greaterThan">
      <formula>0</formula>
    </cfRule>
  </conditionalFormatting>
  <conditionalFormatting sqref="I362:I382 F362:G382 C362:D382">
    <cfRule type="cellIs" dxfId="0" priority="153" stopIfTrue="1" operator="lessThan">
      <formula>0</formula>
    </cfRule>
  </conditionalFormatting>
  <conditionalFormatting sqref="I362:I382 F362:G382 C362:D382">
    <cfRule type="cellIs" dxfId="1" priority="154" stopIfTrue="1" operator="greaterThan">
      <formula>0</formula>
    </cfRule>
  </conditionalFormatting>
  <conditionalFormatting sqref="I384 F384:G384 C384:D384">
    <cfRule type="cellIs" dxfId="0" priority="155" stopIfTrue="1" operator="lessThan">
      <formula>0</formula>
    </cfRule>
  </conditionalFormatting>
  <conditionalFormatting sqref="I384 F384:G384 C384:D384">
    <cfRule type="cellIs" dxfId="1" priority="156" stopIfTrue="1" operator="greaterThan">
      <formula>0</formula>
    </cfRule>
  </conditionalFormatting>
  <conditionalFormatting sqref="I385:I407 F385:G407 C385:D407">
    <cfRule type="cellIs" dxfId="0" priority="157" stopIfTrue="1" operator="lessThan">
      <formula>0</formula>
    </cfRule>
  </conditionalFormatting>
  <conditionalFormatting sqref="I385:I407 F385:G407 C385:D407">
    <cfRule type="cellIs" dxfId="1" priority="158" stopIfTrue="1" operator="greaterThan">
      <formula>0</formula>
    </cfRule>
  </conditionalFormatting>
  <conditionalFormatting sqref="I409 F409:G409 C409:D409">
    <cfRule type="cellIs" dxfId="0" priority="159" stopIfTrue="1" operator="lessThan">
      <formula>0</formula>
    </cfRule>
  </conditionalFormatting>
  <conditionalFormatting sqref="I409 F409:G409 C409:D409">
    <cfRule type="cellIs" dxfId="1" priority="160" stopIfTrue="1" operator="greaterThan">
      <formula>0</formula>
    </cfRule>
  </conditionalFormatting>
  <conditionalFormatting sqref="I410:I430 F410:G430 C410:D430">
    <cfRule type="cellIs" dxfId="0" priority="161" stopIfTrue="1" operator="lessThan">
      <formula>0</formula>
    </cfRule>
  </conditionalFormatting>
  <conditionalFormatting sqref="I410:I430 F410:G430 C410:D430">
    <cfRule type="cellIs" dxfId="1" priority="162" stopIfTrue="1" operator="greaterThan">
      <formula>0</formula>
    </cfRule>
  </conditionalFormatting>
  <conditionalFormatting sqref="I432 F432:G432 C432:D432">
    <cfRule type="cellIs" dxfId="0" priority="163" stopIfTrue="1" operator="lessThan">
      <formula>0</formula>
    </cfRule>
  </conditionalFormatting>
  <conditionalFormatting sqref="I432 F432:G432 C432:D432">
    <cfRule type="cellIs" dxfId="1" priority="164" stopIfTrue="1" operator="greaterThan">
      <formula>0</formula>
    </cfRule>
  </conditionalFormatting>
  <conditionalFormatting sqref="I433:I454 F433:G454 C433:D454">
    <cfRule type="cellIs" dxfId="0" priority="165" stopIfTrue="1" operator="lessThan">
      <formula>0</formula>
    </cfRule>
  </conditionalFormatting>
  <conditionalFormatting sqref="I433:I454 F433:G454 C433:D454">
    <cfRule type="cellIs" dxfId="1" priority="166" stopIfTrue="1" operator="greaterThan">
      <formula>0</formula>
    </cfRule>
  </conditionalFormatting>
  <conditionalFormatting sqref="I457:I479 F457:G479 C457:D479">
    <cfRule type="cellIs" dxfId="0" priority="167" stopIfTrue="1" operator="lessThan">
      <formula>0</formula>
    </cfRule>
  </conditionalFormatting>
  <conditionalFormatting sqref="I457:I479 F457:G479 C457:D479">
    <cfRule type="cellIs" dxfId="1" priority="168" stopIfTrue="1" operator="greaterThan">
      <formula>0</formula>
    </cfRule>
  </conditionalFormatting>
  <conditionalFormatting sqref="I456 F456:G456 C456:D456">
    <cfRule type="cellIs" dxfId="0" priority="169" stopIfTrue="1" operator="lessThan">
      <formula>0</formula>
    </cfRule>
  </conditionalFormatting>
  <conditionalFormatting sqref="I456 F456:G456 C456:D456">
    <cfRule type="cellIs" dxfId="1" priority="170" stopIfTrue="1" operator="greaterThan">
      <formula>0</formula>
    </cfRule>
  </conditionalFormatting>
  <conditionalFormatting sqref="I481 F481:G481 C481:D481">
    <cfRule type="cellIs" dxfId="0" priority="171" stopIfTrue="1" operator="lessThan">
      <formula>0</formula>
    </cfRule>
  </conditionalFormatting>
  <conditionalFormatting sqref="I481 F481:G481 C481:D481">
    <cfRule type="cellIs" dxfId="1" priority="172" stopIfTrue="1" operator="greaterThan">
      <formula>0</formula>
    </cfRule>
  </conditionalFormatting>
  <conditionalFormatting sqref="I482:I501 F482:G501 C482:D501">
    <cfRule type="cellIs" dxfId="0" priority="173" stopIfTrue="1" operator="lessThan">
      <formula>0</formula>
    </cfRule>
  </conditionalFormatting>
  <conditionalFormatting sqref="I482:I501 F482:G501 C482:D501">
    <cfRule type="cellIs" dxfId="1" priority="174" stopIfTrue="1" operator="greaterThan">
      <formula>0</formula>
    </cfRule>
  </conditionalFormatting>
  <conditionalFormatting sqref="I503 F503:G503 C503:D503">
    <cfRule type="cellIs" dxfId="0" priority="175" stopIfTrue="1" operator="lessThan">
      <formula>0</formula>
    </cfRule>
  </conditionalFormatting>
  <conditionalFormatting sqref="I503 F503:G503 C503:D503">
    <cfRule type="cellIs" dxfId="1" priority="176" stopIfTrue="1" operator="greaterThan">
      <formula>0</formula>
    </cfRule>
  </conditionalFormatting>
  <conditionalFormatting sqref="I504:I524 F504:G524 C504:D524">
    <cfRule type="cellIs" dxfId="0" priority="177" stopIfTrue="1" operator="lessThan">
      <formula>0</formula>
    </cfRule>
  </conditionalFormatting>
  <conditionalFormatting sqref="I504:I524 F504:G524 C504:D524">
    <cfRule type="cellIs" dxfId="1" priority="178" stopIfTrue="1" operator="greaterThan">
      <formula>0</formula>
    </cfRule>
  </conditionalFormatting>
  <conditionalFormatting sqref="I526 F526:G526 C526:D526">
    <cfRule type="cellIs" dxfId="0" priority="179" stopIfTrue="1" operator="lessThan">
      <formula>0</formula>
    </cfRule>
  </conditionalFormatting>
  <conditionalFormatting sqref="I526 F526:G526 C526:D526">
    <cfRule type="cellIs" dxfId="1" priority="180" stopIfTrue="1" operator="greaterThan">
      <formula>0</formula>
    </cfRule>
  </conditionalFormatting>
  <conditionalFormatting sqref="I527:I549 F527:G549 C527:D549">
    <cfRule type="cellIs" dxfId="0" priority="181" stopIfTrue="1" operator="lessThan">
      <formula>0</formula>
    </cfRule>
  </conditionalFormatting>
  <conditionalFormatting sqref="I527:I549 F527:G549 C527:D549">
    <cfRule type="cellIs" dxfId="1" priority="182" stopIfTrue="1" operator="greaterThan">
      <formula>0</formula>
    </cfRule>
  </conditionalFormatting>
  <conditionalFormatting sqref="I550 F550:G550 C550:D550">
    <cfRule type="cellIs" dxfId="0" priority="183" stopIfTrue="1" operator="lessThan">
      <formula>0</formula>
    </cfRule>
  </conditionalFormatting>
  <conditionalFormatting sqref="I550 F550:G550 C550:D550">
    <cfRule type="cellIs" dxfId="1" priority="184" stopIfTrue="1" operator="greaterThan">
      <formula>0</formula>
    </cfRule>
  </conditionalFormatting>
  <conditionalFormatting sqref="I551:I573 F551:G573 C551:D573">
    <cfRule type="cellIs" dxfId="0" priority="185" stopIfTrue="1" operator="lessThan">
      <formula>0</formula>
    </cfRule>
  </conditionalFormatting>
  <conditionalFormatting sqref="I551:I573 F551:G573 C551:D573">
    <cfRule type="cellIs" dxfId="1" priority="186" stopIfTrue="1" operator="greaterThan">
      <formula>0</formula>
    </cfRule>
  </conditionalFormatting>
  <conditionalFormatting sqref="I574 F574:G574 C574:D574">
    <cfRule type="cellIs" dxfId="0" priority="187" stopIfTrue="1" operator="lessThan">
      <formula>0</formula>
    </cfRule>
  </conditionalFormatting>
  <conditionalFormatting sqref="I574 F574:G574 C574:D574">
    <cfRule type="cellIs" dxfId="1" priority="188" stopIfTrue="1" operator="greaterThan">
      <formula>0</formula>
    </cfRule>
  </conditionalFormatting>
  <conditionalFormatting sqref="I575:I596 F575:G596 C575:D596">
    <cfRule type="cellIs" dxfId="0" priority="189" stopIfTrue="1" operator="lessThan">
      <formula>0</formula>
    </cfRule>
  </conditionalFormatting>
  <conditionalFormatting sqref="I575:I596 F575:G596 C575:D596">
    <cfRule type="cellIs" dxfId="1" priority="190" stopIfTrue="1" operator="greaterThan">
      <formula>0</formula>
    </cfRule>
  </conditionalFormatting>
  <conditionalFormatting sqref="I597 F597:G597 C597:D597">
    <cfRule type="cellIs" dxfId="0" priority="191" stopIfTrue="1" operator="lessThan">
      <formula>0</formula>
    </cfRule>
  </conditionalFormatting>
  <conditionalFormatting sqref="I597 F597:G597 C597:D597">
    <cfRule type="cellIs" dxfId="1" priority="192" stopIfTrue="1" operator="greaterThan">
      <formula>0</formula>
    </cfRule>
  </conditionalFormatting>
  <conditionalFormatting sqref="I598:I621 F598:G621 C598:C621">
    <cfRule type="cellIs" dxfId="0" priority="193" stopIfTrue="1" operator="lessThan">
      <formula>0</formula>
    </cfRule>
  </conditionalFormatting>
  <conditionalFormatting sqref="I598:I621 F598:G621 C598:C621">
    <cfRule type="cellIs" dxfId="1" priority="194" stopIfTrue="1" operator="greaterThan">
      <formula>0</formula>
    </cfRule>
  </conditionalFormatting>
  <conditionalFormatting sqref="D598:D621">
    <cfRule type="cellIs" dxfId="0" priority="195" stopIfTrue="1" operator="lessThan">
      <formula>0</formula>
    </cfRule>
  </conditionalFormatting>
  <conditionalFormatting sqref="D598:D621">
    <cfRule type="cellIs" dxfId="1" priority="196" stopIfTrue="1" operator="greaterThan">
      <formula>0</formula>
    </cfRule>
  </conditionalFormatting>
  <conditionalFormatting sqref="I622 F622:G622 C622:D622">
    <cfRule type="cellIs" dxfId="0" priority="197" stopIfTrue="1" operator="lessThan">
      <formula>0</formula>
    </cfRule>
  </conditionalFormatting>
  <conditionalFormatting sqref="I622 F622:G622 C622:D622">
    <cfRule type="cellIs" dxfId="1" priority="198" stopIfTrue="1" operator="greaterThan">
      <formula>0</formula>
    </cfRule>
  </conditionalFormatting>
  <conditionalFormatting sqref="I646:I667 F646:G667 C646:C667">
    <cfRule type="cellIs" dxfId="0" priority="199" stopIfTrue="1" operator="lessThan">
      <formula>0</formula>
    </cfRule>
  </conditionalFormatting>
  <conditionalFormatting sqref="I646:I667 F646:G667 C646:C667">
    <cfRule type="cellIs" dxfId="1" priority="200" stopIfTrue="1" operator="greaterThan">
      <formula>0</formula>
    </cfRule>
  </conditionalFormatting>
  <conditionalFormatting sqref="I645 F645:G645 C645:D645">
    <cfRule type="cellIs" dxfId="0" priority="201" stopIfTrue="1" operator="lessThan">
      <formula>0</formula>
    </cfRule>
  </conditionalFormatting>
  <conditionalFormatting sqref="I645 F645:G645 C645:D645">
    <cfRule type="cellIs" dxfId="1" priority="202" stopIfTrue="1" operator="greaterThan">
      <formula>0</formula>
    </cfRule>
  </conditionalFormatting>
  <conditionalFormatting sqref="D646:D667">
    <cfRule type="cellIs" dxfId="0" priority="203" stopIfTrue="1" operator="lessThan">
      <formula>0</formula>
    </cfRule>
  </conditionalFormatting>
  <conditionalFormatting sqref="D646:D667">
    <cfRule type="cellIs" dxfId="1" priority="204" stopIfTrue="1" operator="greaterThan">
      <formula>0</formula>
    </cfRule>
  </conditionalFormatting>
  <conditionalFormatting sqref="I670:I692 F670:G692 C670:C692">
    <cfRule type="cellIs" dxfId="0" priority="205" stopIfTrue="1" operator="lessThan">
      <formula>0</formula>
    </cfRule>
  </conditionalFormatting>
  <conditionalFormatting sqref="I670:I692 F670:G692 C670:C692">
    <cfRule type="cellIs" dxfId="1" priority="206" stopIfTrue="1" operator="greaterThan">
      <formula>0</formula>
    </cfRule>
  </conditionalFormatting>
  <conditionalFormatting sqref="I669 F669:G669 C669:D669">
    <cfRule type="cellIs" dxfId="0" priority="207" stopIfTrue="1" operator="lessThan">
      <formula>0</formula>
    </cfRule>
  </conditionalFormatting>
  <conditionalFormatting sqref="I669 F669:G669 C669:D669">
    <cfRule type="cellIs" dxfId="1" priority="208" stopIfTrue="1" operator="greaterThan">
      <formula>0</formula>
    </cfRule>
  </conditionalFormatting>
  <conditionalFormatting sqref="D670:D692">
    <cfRule type="cellIs" dxfId="0" priority="209" stopIfTrue="1" operator="lessThan">
      <formula>0</formula>
    </cfRule>
  </conditionalFormatting>
  <conditionalFormatting sqref="D670:D692">
    <cfRule type="cellIs" dxfId="1" priority="210" stopIfTrue="1" operator="greaterThan">
      <formula>0</formula>
    </cfRule>
  </conditionalFormatting>
  <conditionalFormatting sqref="C695:C739 F695:G739 I695:I739 C741:C763 F741:G763 I741:I763 C765:C785 F765:G785 I765:I785 C787:C809 F787:G809 I787:I809 C811:C833 F811:G833 I811:I833 C835:C856 F835:G856 I835:I856 C858:C880 F858:G880 I858:I880 C882:C905 F882:G905 I882:I905 C907:C928 F907:G928 I907:I928 C930:C952 F930:G952 I930:I952 C954:C976 F954:G976 I954:I976 C978:C999 F978:G999 I978:I999 C1001:C1024 F1001:G1024 I1001:I1024 C1026:C1057 F1026:G1057 I1026:I1057 C1059:C1088 F1059:G1088 I1059:I1088 C1090:C1121 F1090:G1121 I1090:I1121 C1123:C1153 F1123:G1153 I1123:I1153 C1155:C1186 F1155:G1186 I1155:I1186 C1188:C1218 F1188:G1218 I1188:I1218 C1220:C1251 F1220:G1251 I1220:I1251 C1253:C1284 F1253:G1284 I1253:I1284 C1286:C1316 F1286:G1316 I1286:I1316 C1318:C1349 F1318:G1349 I1318:I1349 C1351:C1381 F1351:G1381 I1351:I1381 C1383:C1414 F1383:G1414 I1383:I1414 C1416:C1447 F1416:G1447 I1416:I1447 C1449:C1477 F1449:G1477 I1449:I1477 C1479:C1510 F1479:G1510 I1479:I1510 C1512:C1542 F1512:G1542 I1512:I1542 C1544:C1575 F1544:G1545 I1544:I1545 C1577:C1607 F1577:G1607 I1577:I1607 C1609:C1640 F1609:G1640 I1609:I1640 C1643:C1673 F1643:G1673 I1643:I1673 C1676:C1705 F1676:G1705 I1676:I1705 C1708:C1738 F1708:G1738 I1708:I1738 C1741:C1770 F1741:G1770 I1741:I1770 C1773:C1803 F1773:G1803 I1773:I1803 C1806:C1836 F1806:G1836 I1806:I1836 C1839:C1866 F1839:G1866 I1839:I1866 C1869:C1899 C1902:C1931 C1934:C1964 C1967:C1996 C1999:C2029 C2032:C2062 C2065:C2094 C2097:C2127 C2130:C2159 C2162:C2192 C2195:C2225 C2228:C2255 C2258:C2288 C2291:C2320 C2323:C2353 C2356:C2385 C2388:C2418 C2421:C2451 C2454:C2483 C2486:C2516 C2519:C2548">
    <cfRule type="cellIs" dxfId="0" priority="211" stopIfTrue="1" operator="lessThan">
      <formula>0</formula>
    </cfRule>
  </conditionalFormatting>
  <conditionalFormatting sqref="C695:C739 F695:G739 I695:I739 C741:C763 F741:G763 I741:I763 C765:C785 F765:G785 I765:I785 C787:C809 F787:G809 I787:I809 C811:C833 F811:G833 I811:I833 C835:C856 F835:G856 I835:I856 C858:C880 F858:G880 I858:I880 C882:C905 F882:G905 I882:I905 C907:C928 F907:G928 I907:I928 C930:C952 F930:G952 I930:I952 C954:C976 F954:G976 I954:I976 C978:C999 F978:G999 I978:I999 C1001:C1024 F1001:G1024 I1001:I1024 C1026:C1057 F1026:G1057 I1026:I1057 C1059:C1088 F1059:G1088 I1059:I1088 C1090:C1121 F1090:G1121 I1090:I1121 C1123:C1153 F1123:G1153 I1123:I1153 C1155:C1186 F1155:G1186 I1155:I1186 C1188:C1218 F1188:G1218 I1188:I1218 C1220:C1251 F1220:G1251 I1220:I1251 C1253:C1284 F1253:G1284 I1253:I1284 C1286:C1316 F1286:G1316 I1286:I1316 C1318:C1349 F1318:G1349 I1318:I1349 C1351:C1381 F1351:G1381 I1351:I1381 C1383:C1414 F1383:G1414 I1383:I1414 C1416:C1447 F1416:G1447 I1416:I1447 C1449:C1477 F1449:G1477 I1449:I1477 C1479:C1510 F1479:G1510 I1479:I1510 C1512:C1542 F1512:G1542 I1512:I1542 C1544:C1575 F1544:G1545 I1544:I1545 C1577:C1607 F1577:G1607 I1577:I1607 C1609:C1640 F1609:G1640 I1609:I1640 C1643:C1673 F1643:G1673 I1643:I1673 C1676:C1705 F1676:G1705 I1676:I1705 C1708:C1738 F1708:G1738 I1708:I1738 C1741:C1770 F1741:G1770 I1741:I1770 C1773:C1803 F1773:G1803 I1773:I1803 C1806:C1836 F1806:G1836 I1806:I1836 C1839:C1866 F1839:G1866 I1839:I1866 C1869:C1899 C1902:C1931 C1934:C1964 C1967:C1996 C1999:C2029 C2032:C2062 C2065:C2094 C2097:C2127 C2130:C2159 C2162:C2192 C2195:C2225 C2228:C2255 C2258:C2288 C2291:C2320 C2323:C2353 C2356:C2385 C2388:C2418 C2421:C2451 C2454:C2483 C2486:C2516 C2519:C2548">
    <cfRule type="cellIs" dxfId="1" priority="212" stopIfTrue="1" operator="greaterThan">
      <formula>0</formula>
    </cfRule>
  </conditionalFormatting>
  <conditionalFormatting sqref="C694 F694:G694 I694 C716 F716:G716 I716 C741 F741:G741 I741 C765 F765:G765 I765 C787 F787:G787 I787 C811 F811:G811 I811 C835 F835:G835 I835 C858 F858:G858 I858 C882 F882:G882 I882 C907 F907:G907 I907 C930 F930:G930 I930 C954 F954:G954 I954 C978 F978:G978 I978 C1001 F1001:G1001 I1001 C1026 F1026:G1026 I1026 C1059 F1059:G1059 I1059 C1090 F1090:G1090 I1090 C1123 F1123:G1123 I1123 C1155 F1155:G1155 I1155 C1188 F1188:G1188 I1188 C1220 F1220:G1220 I1220 C1253 F1253:G1253 I1253 C1286 F1286:G1286 I1286 C1318 F1318:G1318 I1318 C1351 F1351:G1351 I1351 C1383 F1383:G1383 I1383 C1416 F1416:G1416 I1416 C1449 F1449:G1449 I1449 C1479 F1479:G1479 I1479 C1512 F1512:G1512 I1512 C1544 F1544:G1544 I1544 C1577 F1577:G1577 I1577 C1609 F1609:G1609 I1609">
    <cfRule type="cellIs" dxfId="0" priority="213" stopIfTrue="1" operator="lessThan">
      <formula>0</formula>
    </cfRule>
  </conditionalFormatting>
  <conditionalFormatting sqref="C694 F694:G694 I694 C716 F716:G716 I716 C741 F741:G741 I741 C765 F765:G765 I765 C787 F787:G787 I787 C811 F811:G811 I811 C835 F835:G835 I835 C858 F858:G858 I858 C882 F882:G882 I882 C907 F907:G907 I907 C930 F930:G930 I930 C954 F954:G954 I954 C978 F978:G978 I978 C1001 F1001:G1001 I1001 C1026 F1026:G1026 I1026 C1059 F1059:G1059 I1059 C1090 F1090:G1090 I1090 C1123 F1123:G1123 I1123 C1155 F1155:G1155 I1155 C1188 F1188:G1188 I1188 C1220 F1220:G1220 I1220 C1253 F1253:G1253 I1253 C1286 F1286:G1286 I1286 C1318 F1318:G1318 I1318 C1351 F1351:G1351 I1351 C1383 F1383:G1383 I1383 C1416 F1416:G1416 I1416 C1449 F1449:G1449 I1449 C1479 F1479:G1479 I1479 C1512 F1512:G1512 I1512 C1544 F1544:G1544 I1544 C1577 F1577:G1577 I1577 C1609 F1609:G1609 I1609">
    <cfRule type="cellIs" dxfId="1" priority="214" stopIfTrue="1" operator="greaterThan">
      <formula>0</formula>
    </cfRule>
  </conditionalFormatting>
  <conditionalFormatting sqref="D695:D739 D741:D763 D765:D785 D787:D809 D811:D833 D835:D856 D858:D880 D882:D905 D907:D928 D930:D952 D954:D976 D978:D999 D1001:D1024 D1026:D1057 D1059:D1088 D1090:D1121 D1123:D1153 D1155:D1186 D1188:D1218 D1220:D1251 D1253:D1284 D1286:D1316 D1318:D1349 D1351:D1381 D1383:D1414 D1416:D1447 D1449:D1477 D1479:D1510 D1512:D1542 D1544:D1575 D1577:D1607 D1609:D1640 D1643:D1673 D1676:D1705 C1708:D1738 C1741:D1770 C1773:D1803 C1806:D1836 C1839:D1866 C1869:D1899 C1902:D1931 C1934:D1964 C1967:D1996 C1999:D2029 C2032:D2062 C2065:D2094 C2097:D2127 C2130:D2159 C2162:D2192 C2195:D2225 C2228:D2255 C2258:D2288 C2291:D2320 C2323:D2353 C2356:D2385 C2388:D2418 C2421:D2451 C2454:D2483 C2486:D2516 C2519:D2548">
    <cfRule type="cellIs" dxfId="0" priority="215" stopIfTrue="1" operator="lessThan">
      <formula>0</formula>
    </cfRule>
  </conditionalFormatting>
  <conditionalFormatting sqref="D695:D739 D741:D763 D765:D785 D787:D809 D811:D833 D835:D856 D858:D880 D882:D905 D907:D928 D930:D952 D954:D976 D978:D999 D1001:D1024 D1026:D1057 D1059:D1088 D1090:D1121 D1123:D1153 D1155:D1186 D1188:D1218 D1220:D1251 D1253:D1284 D1286:D1316 D1318:D1349 D1351:D1381 D1383:D1414 D1416:D1447 D1449:D1477 D1479:D1510 D1512:D1542 D1544:D1575 D1577:D1607 D1609:D1640 D1643:D1673 D1676:D1705 C1708:D1738 C1741:D1770 C1773:D1803 C1806:D1836 C1839:D1866 C1869:D1899 C1902:D1931 C1934:D1964 C1967:D1996 C1999:D2029 C2032:D2062 C2065:D2094 C2097:D2127 C2130:D2159 C2162:D2192 C2195:D2225 C2228:D2255 C2258:D2288 C2291:D2320 C2323:D2353 C2356:D2385 C2388:D2418 C2421:D2451 C2454:D2483 C2486:D2516 C2519:D2548">
    <cfRule type="cellIs" dxfId="1" priority="216" stopIfTrue="1" operator="greaterThan">
      <formula>0</formula>
    </cfRule>
  </conditionalFormatting>
  <conditionalFormatting sqref="D694 D716:D739 D741:D763 D765:D785 D787:D809 D811:D833 D835:D856 D858:D880 D882:D905 D907:D928 D930:D952 D954:D976 D978:D999 D1001:D1024 D1026:D1057 D1059:D1088 D1090:D1121 D1123:D1153 D1155:D1186 D1188:D1218 D1220:D1251 D1253:D1284 D1286:D1316 D1318:D1349 D1351:D1381 D1383:D1414 D1416:D1447 D1449:D1477 D1479:D1510 D1512:D1542 D1544:D1575 D1577:D1607 D1609:D1640 D1643:D1673 D1676:D1705 C1708:D1738 C1741:D1770 C1773:D1803 C1806:D1836 C1839:D1866 C1869:D1899 C1902:D1931 C1934:D1964 C1967:D1996 C1999:D2029 C2032:D2062 C2065:D2094 C2097:D2127 C2130:D2159 C2162:D2192 C2195:D2225 C2228:D2255 C2258:D2288 C2291:D2320 C2323:D2353 C2356:D2385 C2388:D2418 C2421:D2451 C2454:D2483 C2486:D2516 C2519:D2548">
    <cfRule type="cellIs" dxfId="0" priority="217" stopIfTrue="1" operator="lessThan">
      <formula>0</formula>
    </cfRule>
  </conditionalFormatting>
  <conditionalFormatting sqref="D694 D716:D739 D741:D763 D765:D785 D787:D809 D811:D833 D835:D856 D858:D880 D882:D905 D907:D928 D930:D952 D954:D976 D978:D999 D1001:D1024 D1026:D1057 D1059:D1088 D1090:D1121 D1123:D1153 D1155:D1186 D1188:D1218 D1220:D1251 D1253:D1284 D1286:D1316 D1318:D1349 D1351:D1381 D1383:D1414 D1416:D1447 D1449:D1477 D1479:D1510 D1512:D1542 D1544:D1575 D1577:D1607 D1609:D1640 D1643:D1673 D1676:D1705 C1708:D1738 C1741:D1770 C1773:D1803 C1806:D1836 C1839:D1866 C1869:D1899 C1902:D1931 C1934:D1964 C1967:D1996 C1999:D2029 C2032:D2062 C2065:D2094 C2097:D2127 C2130:D2159 C2162:D2192 C2195:D2225 C2228:D2255 C2258:D2288 C2291:D2320 C2323:D2353 C2356:D2385 C2388:D2418 C2421:D2451 C2454:D2483 C2486:D2516 C2519:D2548">
    <cfRule type="cellIs" dxfId="1" priority="218" stopIfTrue="1" operator="greaterThan">
      <formula>0</formula>
    </cfRule>
  </conditionalFormatting>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7.29" defaultRowHeight="15.75" outlineLevelRow="1"/>
  <cols>
    <col customWidth="1" min="1" max="2" width="10.71"/>
    <col customWidth="1" min="3" max="3" width="17.86"/>
    <col customWidth="1" min="4" max="4" width="10.14"/>
    <col customWidth="1" min="5" max="5" width="14.86"/>
    <col customWidth="1" min="6" max="6" width="11.57"/>
    <col customWidth="1" min="7" max="7" width="10.0"/>
    <col customWidth="1" min="8" max="8" width="11.86"/>
    <col customWidth="1" min="9" max="9" width="12.57"/>
    <col customWidth="1" min="10" max="10" width="12.0"/>
    <col customWidth="1" min="11" max="11" width="33.71"/>
    <col customWidth="1" min="12" max="12" width="13.29"/>
    <col customWidth="1" min="13" max="13" width="23.14"/>
    <col customWidth="1" min="14" max="33" width="10.71"/>
    <col customWidth="1" min="34" max="34" width="101.0"/>
  </cols>
  <sheetData>
    <row r="1" ht="12.75" customHeight="1" collapsed="1">
      <c r="A1" s="17" t="s">
        <v>3</v>
      </c>
      <c r="B1" s="63" t="s">
        <v>306</v>
      </c>
      <c r="C1" s="10" t="s">
        <v>307</v>
      </c>
      <c r="D1" s="64" t="s">
        <v>308</v>
      </c>
      <c r="E1" s="65" t="s">
        <v>309</v>
      </c>
      <c r="F1" s="66" t="s">
        <v>310</v>
      </c>
      <c r="G1" s="67"/>
      <c r="H1" s="68" t="s">
        <v>312</v>
      </c>
      <c r="I1" s="69"/>
      <c r="J1" s="65" t="s">
        <v>313</v>
      </c>
      <c r="K1" s="10" t="s">
        <v>314</v>
      </c>
      <c r="L1" s="70" t="s">
        <v>315</v>
      </c>
      <c r="M1" s="71" t="s">
        <v>316</v>
      </c>
      <c r="N1" s="72" t="s">
        <v>317</v>
      </c>
      <c r="O1" s="33" t="s">
        <v>318</v>
      </c>
      <c r="P1" s="33" t="s">
        <v>319</v>
      </c>
      <c r="Q1" s="73" t="s">
        <v>320</v>
      </c>
      <c r="R1" s="73" t="s">
        <v>321</v>
      </c>
      <c r="S1" s="73" t="s">
        <v>322</v>
      </c>
      <c r="T1" s="73" t="s">
        <v>323</v>
      </c>
      <c r="U1" s="33" t="s">
        <v>324</v>
      </c>
      <c r="V1" s="33" t="s">
        <v>325</v>
      </c>
      <c r="W1" s="73" t="s">
        <v>326</v>
      </c>
      <c r="X1" s="73" t="s">
        <v>327</v>
      </c>
      <c r="Y1" s="73" t="s">
        <v>328</v>
      </c>
      <c r="Z1" s="73" t="s">
        <v>329</v>
      </c>
      <c r="AA1" s="73" t="s">
        <v>330</v>
      </c>
      <c r="AB1" s="73" t="s">
        <v>331</v>
      </c>
      <c r="AC1" s="73" t="s">
        <v>332</v>
      </c>
      <c r="AD1" s="73" t="s">
        <v>333</v>
      </c>
      <c r="AE1" s="73" t="s">
        <v>334</v>
      </c>
      <c r="AF1" s="73" t="s">
        <v>335</v>
      </c>
      <c r="AG1" s="73" t="s">
        <v>336</v>
      </c>
      <c r="AH1" s="33" t="s">
        <v>314</v>
      </c>
    </row>
    <row r="2" ht="12.75" hidden="1" customHeight="1" outlineLevel="1">
      <c r="A2" s="17">
        <v>41053.0</v>
      </c>
      <c r="B2" s="7"/>
      <c r="C2" s="7" t="s">
        <v>337</v>
      </c>
      <c r="D2" s="74"/>
      <c r="E2" s="67"/>
      <c r="F2" s="75"/>
      <c r="G2" s="67"/>
      <c r="H2" s="68"/>
      <c r="I2" s="76"/>
      <c r="J2" s="67">
        <v>140000.0</v>
      </c>
      <c r="K2" s="7"/>
      <c r="L2" s="77" t="str">
        <f t="shared" ref="L2:L4" si="1">B2 </f>
        <v/>
      </c>
      <c r="M2" s="78"/>
      <c r="N2" s="7"/>
      <c r="O2" s="7"/>
      <c r="P2" s="7"/>
      <c r="Q2" s="7"/>
      <c r="R2" s="7"/>
      <c r="S2" s="7"/>
      <c r="T2" s="7"/>
      <c r="U2" s="7"/>
      <c r="V2" s="7"/>
      <c r="W2" s="7"/>
      <c r="X2" s="7"/>
      <c r="Y2" s="7"/>
      <c r="Z2" s="7"/>
      <c r="AA2" s="7"/>
      <c r="AB2" s="7"/>
      <c r="AC2" s="7"/>
      <c r="AD2" s="7"/>
      <c r="AE2" s="7"/>
      <c r="AF2" s="7"/>
      <c r="AG2" s="7"/>
      <c r="AH2" s="7"/>
    </row>
    <row r="3" ht="12.75" hidden="1" customHeight="1" outlineLevel="1">
      <c r="A3" s="17">
        <v>41053.0</v>
      </c>
      <c r="B3" s="1"/>
      <c r="C3" s="1" t="s">
        <v>339</v>
      </c>
      <c r="D3" s="74"/>
      <c r="E3" s="67"/>
      <c r="F3" s="75"/>
      <c r="G3" s="67"/>
      <c r="H3" s="68"/>
      <c r="I3" s="76"/>
      <c r="J3" s="67"/>
      <c r="K3" s="7" t="s">
        <v>340</v>
      </c>
      <c r="L3" s="77" t="str">
        <f t="shared" si="1"/>
        <v/>
      </c>
      <c r="M3" s="79"/>
      <c r="N3" s="1"/>
      <c r="O3" s="1"/>
      <c r="P3" s="1"/>
      <c r="Q3" s="1"/>
      <c r="R3" s="1"/>
      <c r="S3" s="1"/>
      <c r="T3" s="1"/>
      <c r="U3" s="1"/>
      <c r="V3" s="1"/>
      <c r="W3" s="1"/>
      <c r="X3" s="1"/>
      <c r="Y3" s="1"/>
      <c r="Z3" s="1"/>
      <c r="AA3" s="1"/>
      <c r="AB3" s="1"/>
      <c r="AC3" s="1"/>
      <c r="AD3" s="1"/>
      <c r="AE3" s="1"/>
      <c r="AF3" s="1"/>
      <c r="AG3" s="1"/>
      <c r="AH3" s="1"/>
    </row>
    <row r="4" ht="12.75" hidden="1" customHeight="1" outlineLevel="1">
      <c r="A4" s="17">
        <v>41057.0</v>
      </c>
      <c r="B4" s="1"/>
      <c r="C4" s="1" t="s">
        <v>339</v>
      </c>
      <c r="D4" s="74"/>
      <c r="E4" s="67"/>
      <c r="F4" s="75"/>
      <c r="G4" s="67"/>
      <c r="H4" s="68"/>
      <c r="I4" s="76"/>
      <c r="J4" s="67"/>
      <c r="K4" s="7" t="s">
        <v>341</v>
      </c>
      <c r="L4" s="77" t="str">
        <f t="shared" si="1"/>
        <v/>
      </c>
      <c r="M4" s="79"/>
      <c r="N4" s="1"/>
      <c r="O4" s="1"/>
      <c r="P4" s="1"/>
      <c r="Q4" s="1"/>
      <c r="R4" s="1"/>
      <c r="S4" s="1"/>
      <c r="T4" s="1"/>
      <c r="U4" s="1"/>
      <c r="V4" s="1"/>
      <c r="W4" s="1"/>
      <c r="X4" s="1"/>
      <c r="Y4" s="1"/>
      <c r="Z4" s="1"/>
      <c r="AA4" s="1"/>
      <c r="AB4" s="1"/>
      <c r="AC4" s="1"/>
      <c r="AD4" s="1"/>
      <c r="AE4" s="1"/>
      <c r="AF4" s="1"/>
      <c r="AG4" s="1"/>
      <c r="AH4" s="1"/>
    </row>
    <row r="5" ht="12.75" hidden="1" customHeight="1" outlineLevel="1">
      <c r="A5" s="17">
        <v>41058.0</v>
      </c>
      <c r="B5" s="1"/>
      <c r="C5" s="1" t="s">
        <v>339</v>
      </c>
      <c r="D5" s="74"/>
      <c r="E5" s="67"/>
      <c r="F5" s="75"/>
      <c r="G5" s="67"/>
      <c r="H5" s="68"/>
      <c r="I5" s="76"/>
      <c r="J5" s="67"/>
      <c r="K5" s="7" t="s">
        <v>342</v>
      </c>
      <c r="L5" s="77"/>
      <c r="M5" s="79"/>
      <c r="N5" s="1"/>
      <c r="O5" s="1"/>
      <c r="P5" s="1"/>
      <c r="Q5" s="1"/>
      <c r="R5" s="1"/>
      <c r="S5" s="1"/>
      <c r="T5" s="1"/>
      <c r="U5" s="1"/>
      <c r="V5" s="1"/>
      <c r="W5" s="1"/>
      <c r="X5" s="1"/>
      <c r="Y5" s="1"/>
      <c r="Z5" s="1"/>
      <c r="AA5" s="1"/>
      <c r="AB5" s="1"/>
      <c r="AC5" s="1"/>
      <c r="AD5" s="1"/>
      <c r="AE5" s="1"/>
      <c r="AF5" s="1"/>
      <c r="AG5" s="1"/>
      <c r="AH5" s="1"/>
    </row>
    <row r="6" ht="12.75" hidden="1" customHeight="1" outlineLevel="1">
      <c r="A6" s="17">
        <v>41059.0</v>
      </c>
      <c r="B6" s="1" t="s">
        <v>343</v>
      </c>
      <c r="C6" s="7" t="s">
        <v>344</v>
      </c>
      <c r="D6" s="74">
        <v>500.0</v>
      </c>
      <c r="E6" s="67">
        <v>29.7</v>
      </c>
      <c r="F6" s="75">
        <v>0.5627199074074074</v>
      </c>
      <c r="G6" s="67"/>
      <c r="H6" s="68">
        <v>2.5</v>
      </c>
      <c r="I6" s="76"/>
      <c r="J6" s="67">
        <f t="shared" ref="J6:J19" si="2">IF(B6="SLD",D6*E6,-D6*E6)-H6</f>
        <v>-14852.5</v>
      </c>
      <c r="K6" s="7"/>
      <c r="L6" s="70"/>
      <c r="M6" s="79"/>
      <c r="N6" s="1"/>
      <c r="O6" s="1"/>
      <c r="P6" s="1"/>
      <c r="Q6" s="1"/>
      <c r="R6" s="1"/>
      <c r="S6" s="1"/>
      <c r="T6" s="1"/>
      <c r="U6" s="1"/>
      <c r="V6" s="1"/>
      <c r="W6" s="1"/>
      <c r="X6" s="1"/>
      <c r="Y6" s="1"/>
      <c r="Z6" s="1"/>
      <c r="AA6" s="1"/>
      <c r="AB6" s="1"/>
      <c r="AC6" s="1"/>
      <c r="AD6" s="1"/>
      <c r="AE6" s="1"/>
      <c r="AF6" s="1"/>
      <c r="AG6" s="1"/>
      <c r="AH6" s="1"/>
    </row>
    <row r="7" ht="12.75" hidden="1" customHeight="1" outlineLevel="1">
      <c r="A7" s="17">
        <v>41059.0</v>
      </c>
      <c r="B7" s="1" t="s">
        <v>343</v>
      </c>
      <c r="C7" s="1" t="s">
        <v>346</v>
      </c>
      <c r="D7" s="74">
        <v>12.0</v>
      </c>
      <c r="E7" s="67">
        <v>569.32</v>
      </c>
      <c r="F7" s="75">
        <v>0.567025462962963</v>
      </c>
      <c r="G7" s="67"/>
      <c r="H7" s="68">
        <v>1.0</v>
      </c>
      <c r="I7" s="76"/>
      <c r="J7" s="67">
        <f t="shared" si="2"/>
        <v>-6832.84</v>
      </c>
      <c r="K7" s="1"/>
      <c r="L7" s="70"/>
      <c r="M7" s="79"/>
      <c r="N7" s="1"/>
      <c r="O7" s="1"/>
      <c r="P7" s="1"/>
      <c r="Q7" s="1"/>
      <c r="R7" s="1"/>
      <c r="S7" s="1"/>
      <c r="T7" s="1"/>
      <c r="U7" s="1"/>
      <c r="V7" s="1"/>
      <c r="W7" s="1"/>
      <c r="X7" s="1"/>
      <c r="Y7" s="1"/>
      <c r="Z7" s="1"/>
      <c r="AA7" s="1"/>
      <c r="AB7" s="1"/>
      <c r="AC7" s="1"/>
      <c r="AD7" s="1"/>
      <c r="AE7" s="1"/>
      <c r="AF7" s="1"/>
      <c r="AG7" s="1"/>
      <c r="AH7" s="1"/>
    </row>
    <row r="8" ht="12.75" hidden="1" customHeight="1" outlineLevel="1">
      <c r="A8" s="17">
        <v>41059.0</v>
      </c>
      <c r="B8" s="1" t="s">
        <v>347</v>
      </c>
      <c r="C8" s="1" t="s">
        <v>348</v>
      </c>
      <c r="D8" s="74">
        <v>76.0</v>
      </c>
      <c r="E8" s="67">
        <v>7.87</v>
      </c>
      <c r="F8" s="75">
        <v>0.5805671296296296</v>
      </c>
      <c r="G8" s="67"/>
      <c r="H8" s="68">
        <v>1.0</v>
      </c>
      <c r="I8" s="76"/>
      <c r="J8" s="67">
        <f t="shared" si="2"/>
        <v>597.12</v>
      </c>
      <c r="K8" s="1"/>
      <c r="L8" s="70"/>
      <c r="M8" s="79"/>
      <c r="N8" s="1"/>
      <c r="O8" s="1"/>
      <c r="P8" s="1"/>
      <c r="Q8" s="1"/>
      <c r="R8" s="1"/>
      <c r="S8" s="1"/>
      <c r="T8" s="1"/>
      <c r="U8" s="1"/>
      <c r="V8" s="1"/>
      <c r="W8" s="1"/>
      <c r="X8" s="1"/>
      <c r="Y8" s="1"/>
      <c r="Z8" s="1"/>
      <c r="AA8" s="1"/>
      <c r="AB8" s="1"/>
      <c r="AC8" s="1"/>
      <c r="AD8" s="1"/>
      <c r="AE8" s="1"/>
      <c r="AF8" s="1"/>
      <c r="AG8" s="1"/>
      <c r="AH8" s="1"/>
    </row>
    <row r="9" ht="12.75" hidden="1" customHeight="1" outlineLevel="1">
      <c r="A9" s="17">
        <v>41059.0</v>
      </c>
      <c r="B9" s="1" t="s">
        <v>347</v>
      </c>
      <c r="C9" s="1" t="s">
        <v>348</v>
      </c>
      <c r="D9" s="74">
        <v>100.0</v>
      </c>
      <c r="E9" s="67">
        <v>7.87</v>
      </c>
      <c r="F9" s="75">
        <v>0.5805671296296296</v>
      </c>
      <c r="G9" s="67"/>
      <c r="H9" s="68">
        <v>0.0</v>
      </c>
      <c r="I9" s="76"/>
      <c r="J9" s="67">
        <f t="shared" si="2"/>
        <v>787</v>
      </c>
      <c r="K9" s="1"/>
      <c r="L9" s="70"/>
      <c r="M9" s="79"/>
      <c r="N9" s="1"/>
      <c r="O9" s="1"/>
      <c r="P9" s="1"/>
      <c r="Q9" s="1"/>
      <c r="R9" s="1"/>
      <c r="S9" s="1"/>
      <c r="T9" s="1"/>
      <c r="U9" s="1"/>
      <c r="V9" s="1"/>
      <c r="W9" s="1"/>
      <c r="X9" s="1"/>
      <c r="Y9" s="1"/>
      <c r="Z9" s="1"/>
      <c r="AA9" s="1"/>
      <c r="AB9" s="1"/>
      <c r="AC9" s="1"/>
      <c r="AD9" s="1"/>
      <c r="AE9" s="1"/>
      <c r="AF9" s="1"/>
      <c r="AG9" s="1"/>
      <c r="AH9" s="1"/>
    </row>
    <row r="10" ht="12.75" hidden="1" customHeight="1" outlineLevel="1">
      <c r="A10" s="17">
        <v>41059.0</v>
      </c>
      <c r="B10" s="1" t="s">
        <v>347</v>
      </c>
      <c r="C10" s="1" t="s">
        <v>348</v>
      </c>
      <c r="D10" s="74">
        <v>224.0</v>
      </c>
      <c r="E10" s="67">
        <v>7.87</v>
      </c>
      <c r="F10" s="75">
        <v>0.5805671296296296</v>
      </c>
      <c r="G10" s="67"/>
      <c r="H10" s="68">
        <v>1.0</v>
      </c>
      <c r="I10" s="76"/>
      <c r="J10" s="67">
        <f t="shared" si="2"/>
        <v>1761.88</v>
      </c>
      <c r="K10" s="1"/>
      <c r="L10" s="70"/>
      <c r="M10" s="79"/>
      <c r="N10" s="1"/>
      <c r="O10" s="1"/>
      <c r="P10" s="1"/>
      <c r="Q10" s="1"/>
      <c r="R10" s="1"/>
      <c r="S10" s="1"/>
      <c r="T10" s="1"/>
      <c r="U10" s="1"/>
      <c r="V10" s="1"/>
      <c r="W10" s="1"/>
      <c r="X10" s="1"/>
      <c r="Y10" s="1"/>
      <c r="Z10" s="1"/>
      <c r="AA10" s="1"/>
      <c r="AB10" s="1"/>
      <c r="AC10" s="1"/>
      <c r="AD10" s="1"/>
      <c r="AE10" s="1"/>
      <c r="AF10" s="1"/>
      <c r="AG10" s="1"/>
      <c r="AH10" s="1"/>
    </row>
    <row r="11" ht="12.75" hidden="1" customHeight="1" outlineLevel="1">
      <c r="A11" s="17">
        <v>41059.0</v>
      </c>
      <c r="B11" s="1" t="s">
        <v>347</v>
      </c>
      <c r="C11" s="32" t="s">
        <v>349</v>
      </c>
      <c r="D11" s="74">
        <v>70.0</v>
      </c>
      <c r="E11" s="67">
        <v>45.21</v>
      </c>
      <c r="F11" s="75">
        <v>0.5852314814814815</v>
      </c>
      <c r="G11" s="67"/>
      <c r="H11" s="68">
        <v>1.0</v>
      </c>
      <c r="I11" s="76"/>
      <c r="J11" s="67">
        <f t="shared" si="2"/>
        <v>3163.7</v>
      </c>
      <c r="K11" s="1"/>
      <c r="L11" s="70"/>
      <c r="M11" s="79"/>
      <c r="N11" s="1"/>
      <c r="O11" s="1"/>
      <c r="P11" s="1"/>
      <c r="Q11" s="1"/>
      <c r="R11" s="1"/>
      <c r="S11" s="1"/>
      <c r="T11" s="1"/>
      <c r="U11" s="1"/>
      <c r="V11" s="1"/>
      <c r="W11" s="1"/>
      <c r="X11" s="1"/>
      <c r="Y11" s="1"/>
      <c r="Z11" s="1"/>
      <c r="AA11" s="1"/>
      <c r="AB11" s="1"/>
      <c r="AC11" s="1"/>
      <c r="AD11" s="1"/>
      <c r="AE11" s="1"/>
      <c r="AF11" s="1"/>
      <c r="AG11" s="1"/>
      <c r="AH11" s="1"/>
    </row>
    <row r="12" ht="12.75" hidden="1" customHeight="1" outlineLevel="1">
      <c r="A12" s="17">
        <v>41059.0</v>
      </c>
      <c r="B12" s="1" t="s">
        <v>347</v>
      </c>
      <c r="C12" s="1" t="s">
        <v>350</v>
      </c>
      <c r="D12" s="74">
        <v>50.0</v>
      </c>
      <c r="E12" s="67">
        <v>67.84</v>
      </c>
      <c r="F12" s="75">
        <v>0.5930208333333333</v>
      </c>
      <c r="G12" s="67"/>
      <c r="H12" s="68">
        <v>1.0</v>
      </c>
      <c r="I12" s="76"/>
      <c r="J12" s="67">
        <f t="shared" si="2"/>
        <v>3391</v>
      </c>
      <c r="K12" s="1"/>
      <c r="L12" s="70"/>
      <c r="M12" s="79"/>
      <c r="N12" s="1"/>
      <c r="O12" s="1"/>
      <c r="P12" s="1"/>
      <c r="Q12" s="1"/>
      <c r="R12" s="1"/>
      <c r="S12" s="1"/>
      <c r="T12" s="1"/>
      <c r="U12" s="1"/>
      <c r="V12" s="1"/>
      <c r="W12" s="1"/>
      <c r="X12" s="1"/>
      <c r="Y12" s="1"/>
      <c r="Z12" s="1"/>
      <c r="AA12" s="1"/>
      <c r="AB12" s="1"/>
      <c r="AC12" s="1"/>
      <c r="AD12" s="1"/>
      <c r="AE12" s="1"/>
      <c r="AF12" s="1"/>
      <c r="AG12" s="1"/>
      <c r="AH12" s="1"/>
    </row>
    <row r="13" ht="12.75" hidden="1" customHeight="1" outlineLevel="1">
      <c r="A13" s="17">
        <v>41059.0</v>
      </c>
      <c r="B13" s="1" t="s">
        <v>347</v>
      </c>
      <c r="C13" s="1" t="s">
        <v>351</v>
      </c>
      <c r="D13" s="74">
        <v>45.0</v>
      </c>
      <c r="E13" s="67">
        <v>149.79</v>
      </c>
      <c r="F13" s="75">
        <v>0.594201388888889</v>
      </c>
      <c r="G13" s="67"/>
      <c r="H13" s="68">
        <v>1.0</v>
      </c>
      <c r="I13" s="76"/>
      <c r="J13" s="67">
        <f t="shared" si="2"/>
        <v>6739.55</v>
      </c>
      <c r="K13" s="1"/>
      <c r="L13" s="70"/>
      <c r="M13" s="79"/>
      <c r="N13" s="1"/>
      <c r="O13" s="1"/>
      <c r="P13" s="1"/>
      <c r="Q13" s="1"/>
      <c r="R13" s="1"/>
      <c r="S13" s="1"/>
      <c r="T13" s="1"/>
      <c r="U13" s="1"/>
      <c r="V13" s="1"/>
      <c r="W13" s="1"/>
      <c r="X13" s="1"/>
      <c r="Y13" s="1"/>
      <c r="Z13" s="1"/>
      <c r="AA13" s="1"/>
      <c r="AB13" s="1"/>
      <c r="AC13" s="1"/>
      <c r="AD13" s="1"/>
      <c r="AE13" s="1"/>
      <c r="AF13" s="1"/>
      <c r="AG13" s="1"/>
      <c r="AH13" s="1"/>
    </row>
    <row r="14" ht="12.75" hidden="1" customHeight="1" outlineLevel="1">
      <c r="A14" s="17">
        <v>41059.0</v>
      </c>
      <c r="B14" s="1" t="s">
        <v>343</v>
      </c>
      <c r="C14" s="1" t="s">
        <v>352</v>
      </c>
      <c r="D14" s="74">
        <v>125.0</v>
      </c>
      <c r="E14" s="67">
        <v>31.79</v>
      </c>
      <c r="F14" s="75">
        <v>0.5962500000000001</v>
      </c>
      <c r="G14" s="67"/>
      <c r="H14" s="68">
        <v>1.0</v>
      </c>
      <c r="I14" s="76"/>
      <c r="J14" s="67">
        <f t="shared" si="2"/>
        <v>-3974.75</v>
      </c>
      <c r="K14" s="1"/>
      <c r="L14" s="70"/>
      <c r="M14" s="79"/>
      <c r="N14" s="1"/>
      <c r="O14" s="1"/>
      <c r="P14" s="1"/>
      <c r="Q14" s="1"/>
      <c r="R14" s="1"/>
      <c r="S14" s="1"/>
      <c r="T14" s="1"/>
      <c r="U14" s="1"/>
      <c r="V14" s="1"/>
      <c r="W14" s="1"/>
      <c r="X14" s="1"/>
      <c r="Y14" s="1"/>
      <c r="Z14" s="1"/>
      <c r="AA14" s="1"/>
      <c r="AB14" s="1"/>
      <c r="AC14" s="1"/>
      <c r="AD14" s="1"/>
      <c r="AE14" s="1"/>
      <c r="AF14" s="1"/>
      <c r="AG14" s="1"/>
      <c r="AH14" s="1"/>
    </row>
    <row r="15" ht="12.75" hidden="1" customHeight="1" outlineLevel="1">
      <c r="A15" s="17">
        <v>41059.0</v>
      </c>
      <c r="B15" s="1" t="s">
        <v>343</v>
      </c>
      <c r="C15" s="1" t="s">
        <v>352</v>
      </c>
      <c r="D15" s="74">
        <v>100.0</v>
      </c>
      <c r="E15" s="67">
        <v>31.79</v>
      </c>
      <c r="F15" s="75">
        <v>0.5962500000000001</v>
      </c>
      <c r="G15" s="67"/>
      <c r="H15" s="68">
        <v>0.12</v>
      </c>
      <c r="I15" s="76"/>
      <c r="J15" s="67">
        <f t="shared" si="2"/>
        <v>-3179.12</v>
      </c>
      <c r="K15" s="1"/>
      <c r="L15" s="70"/>
      <c r="M15" s="79"/>
      <c r="N15" s="1"/>
      <c r="O15" s="1"/>
      <c r="P15" s="1"/>
      <c r="Q15" s="1"/>
      <c r="R15" s="1"/>
      <c r="S15" s="1"/>
      <c r="T15" s="1"/>
      <c r="U15" s="1"/>
      <c r="V15" s="1"/>
      <c r="W15" s="1"/>
      <c r="X15" s="1"/>
      <c r="Y15" s="1"/>
      <c r="Z15" s="1"/>
      <c r="AA15" s="1"/>
      <c r="AB15" s="1"/>
      <c r="AC15" s="1"/>
      <c r="AD15" s="1"/>
      <c r="AE15" s="1"/>
      <c r="AF15" s="1"/>
      <c r="AG15" s="1"/>
      <c r="AH15" s="1"/>
    </row>
    <row r="16" ht="12.75" hidden="1" customHeight="1" outlineLevel="1">
      <c r="A16" s="17">
        <v>41059.0</v>
      </c>
      <c r="B16" s="1" t="s">
        <v>343</v>
      </c>
      <c r="C16" s="1" t="s">
        <v>354</v>
      </c>
      <c r="D16" s="74">
        <v>125.0</v>
      </c>
      <c r="E16" s="67">
        <v>57.19</v>
      </c>
      <c r="F16" s="75">
        <v>0.6102314814814814</v>
      </c>
      <c r="G16" s="67"/>
      <c r="H16" s="68">
        <v>1.0</v>
      </c>
      <c r="I16" s="76"/>
      <c r="J16" s="67">
        <f t="shared" si="2"/>
        <v>-7149.75</v>
      </c>
      <c r="K16" s="1"/>
      <c r="L16" s="70"/>
      <c r="M16" s="79"/>
      <c r="N16" s="1"/>
      <c r="O16" s="1"/>
      <c r="P16" s="1"/>
      <c r="Q16" s="1"/>
      <c r="R16" s="1"/>
      <c r="S16" s="1"/>
      <c r="T16" s="1"/>
      <c r="U16" s="1"/>
      <c r="V16" s="1"/>
      <c r="W16" s="1"/>
      <c r="X16" s="1"/>
      <c r="Y16" s="1"/>
      <c r="Z16" s="1"/>
      <c r="AA16" s="1"/>
      <c r="AB16" s="1"/>
      <c r="AC16" s="1"/>
      <c r="AD16" s="1"/>
      <c r="AE16" s="1"/>
      <c r="AF16" s="1"/>
      <c r="AG16" s="1"/>
      <c r="AH16" s="1"/>
    </row>
    <row r="17" ht="12.75" hidden="1" customHeight="1" outlineLevel="1">
      <c r="A17" s="17">
        <v>41059.0</v>
      </c>
      <c r="B17" s="1" t="s">
        <v>347</v>
      </c>
      <c r="C17" s="1" t="s">
        <v>355</v>
      </c>
      <c r="D17" s="74">
        <v>70.0</v>
      </c>
      <c r="E17" s="67">
        <v>48.68</v>
      </c>
      <c r="F17" s="75">
        <v>0.6982060185185185</v>
      </c>
      <c r="G17" s="67"/>
      <c r="H17" s="68">
        <v>1.0</v>
      </c>
      <c r="I17" s="76"/>
      <c r="J17" s="67">
        <f t="shared" si="2"/>
        <v>3406.6</v>
      </c>
      <c r="K17" s="1"/>
      <c r="L17" s="70"/>
      <c r="M17" s="79"/>
      <c r="N17" s="1"/>
      <c r="O17" s="1"/>
      <c r="P17" s="1"/>
      <c r="Q17" s="1"/>
      <c r="R17" s="1"/>
      <c r="S17" s="1"/>
      <c r="T17" s="1"/>
      <c r="U17" s="1"/>
      <c r="V17" s="1"/>
      <c r="W17" s="1"/>
      <c r="X17" s="1"/>
      <c r="Y17" s="1"/>
      <c r="Z17" s="1"/>
      <c r="AA17" s="1"/>
      <c r="AB17" s="1"/>
      <c r="AC17" s="1"/>
      <c r="AD17" s="1"/>
      <c r="AE17" s="1"/>
      <c r="AF17" s="1"/>
      <c r="AG17" s="1"/>
      <c r="AH17" s="1"/>
    </row>
    <row r="18" ht="12.75" hidden="1" customHeight="1" outlineLevel="1">
      <c r="A18" s="17">
        <v>41059.0</v>
      </c>
      <c r="B18" s="1" t="s">
        <v>343</v>
      </c>
      <c r="C18" s="1" t="s">
        <v>356</v>
      </c>
      <c r="D18" s="74">
        <v>30.0</v>
      </c>
      <c r="E18" s="67">
        <v>216.0</v>
      </c>
      <c r="F18" s="75">
        <v>0.7341782407407407</v>
      </c>
      <c r="G18" s="67"/>
      <c r="H18" s="68">
        <v>1.0</v>
      </c>
      <c r="I18" s="76"/>
      <c r="J18" s="67">
        <f t="shared" si="2"/>
        <v>-6481</v>
      </c>
      <c r="K18" s="1"/>
      <c r="L18" s="70"/>
      <c r="M18" s="79"/>
      <c r="N18" s="1"/>
      <c r="O18" s="1"/>
      <c r="P18" s="1"/>
      <c r="Q18" s="1"/>
      <c r="R18" s="1"/>
      <c r="S18" s="1"/>
      <c r="T18" s="1"/>
      <c r="U18" s="1"/>
      <c r="V18" s="1"/>
      <c r="W18" s="1"/>
      <c r="X18" s="1"/>
      <c r="Y18" s="1"/>
      <c r="Z18" s="1"/>
      <c r="AA18" s="1"/>
      <c r="AB18" s="1"/>
      <c r="AC18" s="1"/>
      <c r="AD18" s="1"/>
      <c r="AE18" s="1"/>
      <c r="AF18" s="1"/>
      <c r="AG18" s="1"/>
      <c r="AH18" s="1"/>
    </row>
    <row r="19" ht="12.75" hidden="1" customHeight="1" outlineLevel="1">
      <c r="A19" s="17">
        <v>41059.0</v>
      </c>
      <c r="B19" s="1" t="s">
        <v>343</v>
      </c>
      <c r="C19" s="1" t="s">
        <v>346</v>
      </c>
      <c r="D19" s="74">
        <v>12.0</v>
      </c>
      <c r="E19" s="67">
        <v>575.9</v>
      </c>
      <c r="F19" s="75">
        <v>0.8053356481481481</v>
      </c>
      <c r="G19" s="67"/>
      <c r="H19" s="68">
        <v>1.0</v>
      </c>
      <c r="I19" s="76"/>
      <c r="J19" s="67">
        <f t="shared" si="2"/>
        <v>-6911.8</v>
      </c>
      <c r="K19" s="1"/>
      <c r="L19" s="70"/>
      <c r="M19" s="79"/>
      <c r="N19" s="1"/>
      <c r="O19" s="1"/>
      <c r="P19" s="1"/>
      <c r="Q19" s="1"/>
      <c r="R19" s="1"/>
      <c r="S19" s="1"/>
      <c r="T19" s="1"/>
      <c r="U19" s="1"/>
      <c r="V19" s="1"/>
      <c r="W19" s="1"/>
      <c r="X19" s="1"/>
      <c r="Y19" s="1"/>
      <c r="Z19" s="1"/>
      <c r="AA19" s="1"/>
      <c r="AB19" s="1"/>
      <c r="AC19" s="1"/>
      <c r="AD19" s="1"/>
      <c r="AE19" s="1"/>
      <c r="AF19" s="1"/>
      <c r="AG19" s="1"/>
      <c r="AH19" s="1"/>
    </row>
    <row r="20" ht="12.75" hidden="1" customHeight="1" outlineLevel="1">
      <c r="A20" s="17">
        <v>41059.0</v>
      </c>
      <c r="B20" s="1"/>
      <c r="C20" s="1" t="s">
        <v>339</v>
      </c>
      <c r="D20" s="74"/>
      <c r="E20" s="67"/>
      <c r="F20" s="75"/>
      <c r="G20" s="67"/>
      <c r="H20" s="68"/>
      <c r="I20" s="76"/>
      <c r="J20" s="67"/>
      <c r="K20" s="7" t="s">
        <v>358</v>
      </c>
      <c r="L20" s="77"/>
      <c r="M20" s="79"/>
      <c r="N20" s="1"/>
      <c r="O20" s="1"/>
      <c r="P20" s="1"/>
      <c r="Q20" s="1"/>
      <c r="R20" s="1"/>
      <c r="S20" s="1"/>
      <c r="T20" s="1"/>
      <c r="U20" s="1"/>
      <c r="V20" s="1"/>
      <c r="W20" s="1"/>
      <c r="X20" s="1"/>
      <c r="Y20" s="1"/>
      <c r="Z20" s="1"/>
      <c r="AA20" s="1"/>
      <c r="AB20" s="1"/>
      <c r="AC20" s="1"/>
      <c r="AD20" s="1"/>
      <c r="AE20" s="1"/>
      <c r="AF20" s="1"/>
      <c r="AG20" s="1"/>
      <c r="AH20" s="1"/>
    </row>
    <row r="21" ht="12.75" hidden="1" customHeight="1" outlineLevel="1">
      <c r="A21" s="17">
        <v>41060.0</v>
      </c>
      <c r="B21" s="1"/>
      <c r="C21" s="1" t="s">
        <v>339</v>
      </c>
      <c r="D21" s="74"/>
      <c r="E21" s="67"/>
      <c r="F21" s="75"/>
      <c r="G21" s="67"/>
      <c r="H21" s="68"/>
      <c r="I21" s="76"/>
      <c r="J21" s="67"/>
      <c r="K21" s="7" t="s">
        <v>359</v>
      </c>
      <c r="L21" s="77"/>
      <c r="M21" s="79"/>
      <c r="N21" s="1"/>
      <c r="O21" s="1"/>
      <c r="P21" s="1"/>
      <c r="Q21" s="1"/>
      <c r="R21" s="1"/>
      <c r="S21" s="1"/>
      <c r="T21" s="1"/>
      <c r="U21" s="1"/>
      <c r="V21" s="1"/>
      <c r="W21" s="1"/>
      <c r="X21" s="1"/>
      <c r="Y21" s="1"/>
      <c r="Z21" s="1"/>
      <c r="AA21" s="1"/>
      <c r="AB21" s="1"/>
      <c r="AC21" s="1"/>
      <c r="AD21" s="1"/>
      <c r="AE21" s="1"/>
      <c r="AF21" s="1"/>
      <c r="AG21" s="1"/>
      <c r="AH21" s="1"/>
    </row>
    <row r="22" ht="12.75" hidden="1" customHeight="1" outlineLevel="1">
      <c r="A22" s="17">
        <v>41060.0</v>
      </c>
      <c r="B22" s="1" t="s">
        <v>343</v>
      </c>
      <c r="C22" s="1" t="s">
        <v>360</v>
      </c>
      <c r="D22" s="74">
        <v>50.0</v>
      </c>
      <c r="E22" s="67">
        <v>25.08</v>
      </c>
      <c r="F22" s="75">
        <v>0.631087962962963</v>
      </c>
      <c r="G22" s="67"/>
      <c r="H22" s="68">
        <v>1.0</v>
      </c>
      <c r="I22" s="76"/>
      <c r="J22" s="67">
        <f t="shared" ref="J22:J38" si="3">IF(B22="SLD",D22*E22,-D22*E22)-H22</f>
        <v>-1255</v>
      </c>
      <c r="K22" s="7"/>
      <c r="L22" s="70"/>
      <c r="M22" s="79"/>
      <c r="N22" s="1"/>
      <c r="O22" s="1"/>
      <c r="P22" s="1"/>
      <c r="Q22" s="1"/>
      <c r="R22" s="1"/>
      <c r="S22" s="1"/>
      <c r="T22" s="1"/>
      <c r="U22" s="1"/>
      <c r="V22" s="1"/>
      <c r="W22" s="1"/>
      <c r="X22" s="1"/>
      <c r="Y22" s="1"/>
      <c r="Z22" s="1"/>
      <c r="AA22" s="1"/>
      <c r="AB22" s="1"/>
      <c r="AC22" s="1"/>
      <c r="AD22" s="1"/>
      <c r="AE22" s="1"/>
      <c r="AF22" s="1"/>
      <c r="AG22" s="1"/>
      <c r="AH22" s="1"/>
    </row>
    <row r="23" ht="12.75" hidden="1" customHeight="1" outlineLevel="1">
      <c r="A23" s="17">
        <v>41060.0</v>
      </c>
      <c r="B23" s="1" t="s">
        <v>343</v>
      </c>
      <c r="C23" s="1" t="s">
        <v>360</v>
      </c>
      <c r="D23" s="74">
        <v>100.0</v>
      </c>
      <c r="E23" s="67">
        <v>25.0798</v>
      </c>
      <c r="F23" s="75">
        <v>0.631087962962963</v>
      </c>
      <c r="G23" s="67"/>
      <c r="H23" s="68">
        <v>0.0</v>
      </c>
      <c r="I23" s="76"/>
      <c r="J23" s="67">
        <f t="shared" si="3"/>
        <v>-2507.98</v>
      </c>
      <c r="K23" s="7"/>
      <c r="L23" s="70"/>
      <c r="M23" s="79"/>
      <c r="N23" s="1"/>
      <c r="O23" s="1"/>
      <c r="P23" s="1"/>
      <c r="Q23" s="1"/>
      <c r="R23" s="1"/>
      <c r="S23" s="1"/>
      <c r="T23" s="1"/>
      <c r="U23" s="1"/>
      <c r="V23" s="1"/>
      <c r="W23" s="1"/>
      <c r="X23" s="1"/>
      <c r="Y23" s="1"/>
      <c r="Z23" s="1"/>
      <c r="AA23" s="1"/>
      <c r="AB23" s="1"/>
      <c r="AC23" s="1"/>
      <c r="AD23" s="1"/>
      <c r="AE23" s="1"/>
      <c r="AF23" s="1"/>
      <c r="AG23" s="1"/>
      <c r="AH23" s="1"/>
    </row>
    <row r="24" ht="12.75" hidden="1" customHeight="1" outlineLevel="1">
      <c r="A24" s="17">
        <v>41060.0</v>
      </c>
      <c r="B24" s="1" t="s">
        <v>343</v>
      </c>
      <c r="C24" s="1" t="s">
        <v>360</v>
      </c>
      <c r="D24" s="74">
        <v>100.0</v>
      </c>
      <c r="E24" s="67">
        <v>25.08</v>
      </c>
      <c r="F24" s="75">
        <v>0.631087962962963</v>
      </c>
      <c r="G24" s="67"/>
      <c r="H24" s="68">
        <v>0.05</v>
      </c>
      <c r="I24" s="76"/>
      <c r="J24" s="67">
        <f t="shared" si="3"/>
        <v>-2508.05</v>
      </c>
      <c r="K24" s="7"/>
      <c r="L24" s="70"/>
      <c r="M24" s="79"/>
      <c r="N24" s="1"/>
      <c r="O24" s="1"/>
      <c r="P24" s="1"/>
      <c r="Q24" s="1"/>
      <c r="R24" s="1"/>
      <c r="S24" s="1"/>
      <c r="T24" s="1"/>
      <c r="U24" s="1"/>
      <c r="V24" s="1"/>
      <c r="W24" s="1"/>
      <c r="X24" s="1"/>
      <c r="Y24" s="1"/>
      <c r="Z24" s="1"/>
      <c r="AA24" s="1"/>
      <c r="AB24" s="1"/>
      <c r="AC24" s="1"/>
      <c r="AD24" s="1"/>
      <c r="AE24" s="1"/>
      <c r="AF24" s="1"/>
      <c r="AG24" s="1"/>
      <c r="AH24" s="1"/>
    </row>
    <row r="25" ht="12.75" hidden="1" customHeight="1" outlineLevel="1">
      <c r="A25" s="17">
        <v>41060.0</v>
      </c>
      <c r="B25" s="1" t="s">
        <v>343</v>
      </c>
      <c r="C25" s="1" t="s">
        <v>362</v>
      </c>
      <c r="D25" s="74">
        <v>100.0</v>
      </c>
      <c r="E25" s="67">
        <v>61.618</v>
      </c>
      <c r="F25" s="75">
        <v>0.6366087962962963</v>
      </c>
      <c r="G25" s="67"/>
      <c r="H25" s="68">
        <v>1.0</v>
      </c>
      <c r="I25" s="76"/>
      <c r="J25" s="67">
        <f t="shared" si="3"/>
        <v>-6162.8</v>
      </c>
      <c r="K25" s="7"/>
      <c r="L25" s="70"/>
      <c r="M25" s="79"/>
      <c r="N25" s="1"/>
      <c r="O25" s="1"/>
      <c r="P25" s="1"/>
      <c r="Q25" s="1"/>
      <c r="R25" s="1"/>
      <c r="S25" s="1"/>
      <c r="T25" s="1"/>
      <c r="U25" s="1"/>
      <c r="V25" s="1"/>
      <c r="W25" s="1"/>
      <c r="X25" s="1"/>
      <c r="Y25" s="1"/>
      <c r="Z25" s="1"/>
      <c r="AA25" s="1"/>
      <c r="AB25" s="1"/>
      <c r="AC25" s="1"/>
      <c r="AD25" s="1"/>
      <c r="AE25" s="1"/>
      <c r="AF25" s="1"/>
      <c r="AG25" s="1"/>
      <c r="AH25" s="1"/>
    </row>
    <row r="26" ht="12.75" hidden="1" customHeight="1" outlineLevel="1">
      <c r="A26" s="17">
        <v>41060.0</v>
      </c>
      <c r="B26" s="1" t="s">
        <v>343</v>
      </c>
      <c r="C26" s="1" t="s">
        <v>364</v>
      </c>
      <c r="D26" s="74">
        <v>100.0</v>
      </c>
      <c r="E26" s="67">
        <v>59.3</v>
      </c>
      <c r="F26" s="75">
        <v>0.6464004629629629</v>
      </c>
      <c r="G26" s="67"/>
      <c r="H26" s="68">
        <v>1.0</v>
      </c>
      <c r="I26" s="76"/>
      <c r="J26" s="67">
        <f t="shared" si="3"/>
        <v>-5931</v>
      </c>
      <c r="K26" s="7"/>
      <c r="L26" s="70"/>
      <c r="M26" s="79"/>
      <c r="N26" s="1"/>
      <c r="O26" s="1"/>
      <c r="P26" s="1"/>
      <c r="Q26" s="1"/>
      <c r="R26" s="1"/>
      <c r="S26" s="1"/>
      <c r="T26" s="1"/>
      <c r="U26" s="1"/>
      <c r="V26" s="1"/>
      <c r="W26" s="1"/>
      <c r="X26" s="1"/>
      <c r="Y26" s="1"/>
      <c r="Z26" s="1"/>
      <c r="AA26" s="1"/>
      <c r="AB26" s="1"/>
      <c r="AC26" s="1"/>
      <c r="AD26" s="1"/>
      <c r="AE26" s="1"/>
      <c r="AF26" s="1"/>
      <c r="AG26" s="1"/>
      <c r="AH26" s="1"/>
    </row>
    <row r="27" ht="12.75" hidden="1" customHeight="1" outlineLevel="1">
      <c r="A27" s="17">
        <v>41060.0</v>
      </c>
      <c r="B27" s="1" t="s">
        <v>343</v>
      </c>
      <c r="C27" s="1" t="s">
        <v>366</v>
      </c>
      <c r="D27" s="74">
        <v>100.0</v>
      </c>
      <c r="E27" s="67">
        <v>55.6</v>
      </c>
      <c r="F27" s="75">
        <v>0.678611111111111</v>
      </c>
      <c r="G27" s="67"/>
      <c r="H27" s="68">
        <v>1.0</v>
      </c>
      <c r="I27" s="76"/>
      <c r="J27" s="67">
        <f t="shared" si="3"/>
        <v>-5561</v>
      </c>
      <c r="K27" s="7"/>
      <c r="L27" s="70"/>
      <c r="M27" s="79"/>
      <c r="N27" s="1"/>
      <c r="O27" s="1"/>
      <c r="P27" s="1"/>
      <c r="Q27" s="1"/>
      <c r="R27" s="1"/>
      <c r="S27" s="1"/>
      <c r="T27" s="1"/>
      <c r="U27" s="1"/>
      <c r="V27" s="1"/>
      <c r="W27" s="1"/>
      <c r="X27" s="1"/>
      <c r="Y27" s="1"/>
      <c r="Z27" s="1"/>
      <c r="AA27" s="1"/>
      <c r="AB27" s="1"/>
      <c r="AC27" s="1"/>
      <c r="AD27" s="1"/>
      <c r="AE27" s="1"/>
      <c r="AF27" s="1"/>
      <c r="AG27" s="1"/>
      <c r="AH27" s="1"/>
    </row>
    <row r="28" ht="12.75" hidden="1" customHeight="1" outlineLevel="1">
      <c r="A28" s="17">
        <v>41060.0</v>
      </c>
      <c r="B28" s="1" t="s">
        <v>343</v>
      </c>
      <c r="C28" s="1" t="s">
        <v>366</v>
      </c>
      <c r="D28" s="74">
        <v>25.0</v>
      </c>
      <c r="E28" s="67">
        <v>55.6</v>
      </c>
      <c r="F28" s="75">
        <v>0.678611111111111</v>
      </c>
      <c r="G28" s="67"/>
      <c r="H28" s="68">
        <v>0.0</v>
      </c>
      <c r="I28" s="76"/>
      <c r="J28" s="67">
        <f t="shared" si="3"/>
        <v>-1390</v>
      </c>
      <c r="K28" s="7"/>
      <c r="L28" s="70"/>
      <c r="M28" s="79"/>
      <c r="N28" s="1"/>
      <c r="O28" s="1"/>
      <c r="P28" s="1"/>
      <c r="Q28" s="1"/>
      <c r="R28" s="1"/>
      <c r="S28" s="1"/>
      <c r="T28" s="1"/>
      <c r="U28" s="1"/>
      <c r="V28" s="1"/>
      <c r="W28" s="1"/>
      <c r="X28" s="1"/>
      <c r="Y28" s="1"/>
      <c r="Z28" s="1"/>
      <c r="AA28" s="1"/>
      <c r="AB28" s="1"/>
      <c r="AC28" s="1"/>
      <c r="AD28" s="1"/>
      <c r="AE28" s="1"/>
      <c r="AF28" s="1"/>
      <c r="AG28" s="1"/>
      <c r="AH28" s="1"/>
    </row>
    <row r="29" ht="12.75" hidden="1" customHeight="1" outlineLevel="1">
      <c r="A29" s="17">
        <v>41060.0</v>
      </c>
      <c r="B29" s="1" t="s">
        <v>343</v>
      </c>
      <c r="C29" s="1" t="s">
        <v>368</v>
      </c>
      <c r="D29" s="74">
        <v>75.0</v>
      </c>
      <c r="E29" s="67">
        <v>38.87</v>
      </c>
      <c r="F29" s="75">
        <v>0.6793171296296295</v>
      </c>
      <c r="G29" s="67"/>
      <c r="H29" s="68">
        <v>1.0</v>
      </c>
      <c r="I29" s="76"/>
      <c r="J29" s="67">
        <f t="shared" si="3"/>
        <v>-2916.25</v>
      </c>
      <c r="K29" s="7"/>
      <c r="L29" s="70"/>
      <c r="M29" s="79"/>
      <c r="N29" s="1"/>
      <c r="O29" s="1"/>
      <c r="P29" s="1"/>
      <c r="Q29" s="1"/>
      <c r="R29" s="1"/>
      <c r="S29" s="1"/>
      <c r="T29" s="1"/>
      <c r="U29" s="1"/>
      <c r="V29" s="1"/>
      <c r="W29" s="1"/>
      <c r="X29" s="1"/>
      <c r="Y29" s="1"/>
      <c r="Z29" s="1"/>
      <c r="AA29" s="1"/>
      <c r="AB29" s="1"/>
      <c r="AC29" s="1"/>
      <c r="AD29" s="1"/>
      <c r="AE29" s="1"/>
      <c r="AF29" s="1"/>
      <c r="AG29" s="1"/>
      <c r="AH29" s="1"/>
    </row>
    <row r="30" ht="12.75" hidden="1" customHeight="1" outlineLevel="1">
      <c r="A30" s="17">
        <v>41060.0</v>
      </c>
      <c r="B30" s="1" t="s">
        <v>343</v>
      </c>
      <c r="C30" s="1" t="s">
        <v>368</v>
      </c>
      <c r="D30" s="74">
        <v>100.0</v>
      </c>
      <c r="E30" s="67">
        <v>38.87</v>
      </c>
      <c r="F30" s="75">
        <v>0.6793171296296295</v>
      </c>
      <c r="G30" s="67"/>
      <c r="H30" s="68">
        <v>0.0</v>
      </c>
      <c r="I30" s="76"/>
      <c r="J30" s="67">
        <f t="shared" si="3"/>
        <v>-3887</v>
      </c>
      <c r="K30" s="7"/>
      <c r="L30" s="70"/>
      <c r="M30" s="79"/>
      <c r="N30" s="1"/>
      <c r="O30" s="1"/>
      <c r="P30" s="1"/>
      <c r="Q30" s="1"/>
      <c r="R30" s="1"/>
      <c r="S30" s="1"/>
      <c r="T30" s="1"/>
      <c r="U30" s="1"/>
      <c r="V30" s="1"/>
      <c r="W30" s="1"/>
      <c r="X30" s="1"/>
      <c r="Y30" s="1"/>
      <c r="Z30" s="1"/>
      <c r="AA30" s="1"/>
      <c r="AB30" s="1"/>
      <c r="AC30" s="1"/>
      <c r="AD30" s="1"/>
      <c r="AE30" s="1"/>
      <c r="AF30" s="1"/>
      <c r="AG30" s="1"/>
      <c r="AH30" s="1"/>
    </row>
    <row r="31" ht="12.75" hidden="1" customHeight="1" outlineLevel="1">
      <c r="A31" s="17">
        <v>41060.0</v>
      </c>
      <c r="B31" s="1" t="s">
        <v>347</v>
      </c>
      <c r="C31" s="1" t="s">
        <v>349</v>
      </c>
      <c r="D31" s="74">
        <v>80.0</v>
      </c>
      <c r="E31" s="67">
        <v>44.74</v>
      </c>
      <c r="F31" s="75">
        <v>0.7039351851851853</v>
      </c>
      <c r="G31" s="67"/>
      <c r="H31" s="68">
        <v>1.0</v>
      </c>
      <c r="I31" s="76"/>
      <c r="J31" s="67">
        <f t="shared" si="3"/>
        <v>3578.2</v>
      </c>
      <c r="K31" s="7"/>
      <c r="L31" s="70"/>
      <c r="M31" s="79"/>
      <c r="N31" s="1"/>
      <c r="O31" s="1"/>
      <c r="P31" s="1"/>
      <c r="Q31" s="1"/>
      <c r="R31" s="1"/>
      <c r="S31" s="1"/>
      <c r="T31" s="1"/>
      <c r="U31" s="1"/>
      <c r="V31" s="1"/>
      <c r="W31" s="1"/>
      <c r="X31" s="1"/>
      <c r="Y31" s="1"/>
      <c r="Z31" s="1"/>
      <c r="AA31" s="1"/>
      <c r="AB31" s="1"/>
      <c r="AC31" s="1"/>
      <c r="AD31" s="1"/>
      <c r="AE31" s="1"/>
      <c r="AF31" s="1"/>
      <c r="AG31" s="1"/>
      <c r="AH31" s="1"/>
    </row>
    <row r="32" ht="12.75" hidden="1" customHeight="1" outlineLevel="1">
      <c r="A32" s="17">
        <v>41060.0</v>
      </c>
      <c r="B32" s="1" t="s">
        <v>347</v>
      </c>
      <c r="C32" s="1" t="s">
        <v>350</v>
      </c>
      <c r="D32" s="74">
        <v>50.0</v>
      </c>
      <c r="E32" s="67">
        <v>67.14</v>
      </c>
      <c r="F32" s="75">
        <v>0.7046064814814814</v>
      </c>
      <c r="G32" s="67"/>
      <c r="H32" s="68">
        <v>1.0</v>
      </c>
      <c r="I32" s="76"/>
      <c r="J32" s="67">
        <f t="shared" si="3"/>
        <v>3356</v>
      </c>
      <c r="K32" s="7"/>
      <c r="L32" s="70"/>
      <c r="M32" s="79"/>
      <c r="N32" s="1"/>
      <c r="O32" s="1"/>
      <c r="P32" s="1"/>
      <c r="Q32" s="1"/>
      <c r="R32" s="1"/>
      <c r="S32" s="1"/>
      <c r="T32" s="1"/>
      <c r="U32" s="1"/>
      <c r="V32" s="1"/>
      <c r="W32" s="1"/>
      <c r="X32" s="1"/>
      <c r="Y32" s="1"/>
      <c r="Z32" s="1"/>
      <c r="AA32" s="1"/>
      <c r="AB32" s="1"/>
      <c r="AC32" s="1"/>
      <c r="AD32" s="1"/>
      <c r="AE32" s="1"/>
      <c r="AF32" s="1"/>
      <c r="AG32" s="1"/>
      <c r="AH32" s="1"/>
    </row>
    <row r="33" ht="12.75" hidden="1" customHeight="1" outlineLevel="1">
      <c r="A33" s="17">
        <v>41060.0</v>
      </c>
      <c r="B33" s="1" t="s">
        <v>347</v>
      </c>
      <c r="C33" s="1" t="s">
        <v>355</v>
      </c>
      <c r="D33" s="74">
        <v>80.0</v>
      </c>
      <c r="E33" s="67">
        <v>48.11</v>
      </c>
      <c r="F33" s="75">
        <v>0.7086342592592593</v>
      </c>
      <c r="G33" s="67"/>
      <c r="H33" s="68">
        <v>1.0</v>
      </c>
      <c r="I33" s="76"/>
      <c r="J33" s="67">
        <f t="shared" si="3"/>
        <v>3847.8</v>
      </c>
      <c r="K33" s="7"/>
      <c r="L33" s="70"/>
      <c r="M33" s="79"/>
      <c r="N33" s="1"/>
      <c r="O33" s="1"/>
      <c r="P33" s="1"/>
      <c r="Q33" s="1"/>
      <c r="R33" s="1"/>
      <c r="S33" s="1"/>
      <c r="T33" s="1"/>
      <c r="U33" s="1"/>
      <c r="V33" s="1"/>
      <c r="W33" s="1"/>
      <c r="X33" s="1"/>
      <c r="Y33" s="1"/>
      <c r="Z33" s="1"/>
      <c r="AA33" s="1"/>
      <c r="AB33" s="1"/>
      <c r="AC33" s="1"/>
      <c r="AD33" s="1"/>
      <c r="AE33" s="1"/>
      <c r="AF33" s="1"/>
      <c r="AG33" s="1"/>
      <c r="AH33" s="1"/>
    </row>
    <row r="34" ht="12.75" hidden="1" customHeight="1" outlineLevel="1">
      <c r="A34" s="17">
        <v>41060.0</v>
      </c>
      <c r="B34" s="1" t="s">
        <v>343</v>
      </c>
      <c r="C34" s="1" t="s">
        <v>346</v>
      </c>
      <c r="D34" s="74">
        <v>12.0</v>
      </c>
      <c r="E34" s="67">
        <v>579.61</v>
      </c>
      <c r="F34" s="75">
        <v>0.7105439814814815</v>
      </c>
      <c r="G34" s="67"/>
      <c r="H34" s="68">
        <v>1.0</v>
      </c>
      <c r="I34" s="76"/>
      <c r="J34" s="67">
        <f t="shared" si="3"/>
        <v>-6956.32</v>
      </c>
      <c r="K34" s="7"/>
      <c r="L34" s="70"/>
      <c r="M34" s="79"/>
      <c r="N34" s="1"/>
      <c r="O34" s="1"/>
      <c r="P34" s="1"/>
      <c r="Q34" s="1"/>
      <c r="R34" s="1"/>
      <c r="S34" s="1"/>
      <c r="T34" s="1"/>
      <c r="U34" s="1"/>
      <c r="V34" s="1"/>
      <c r="W34" s="1"/>
      <c r="X34" s="1"/>
      <c r="Y34" s="1"/>
      <c r="Z34" s="1"/>
      <c r="AA34" s="1"/>
      <c r="AB34" s="1"/>
      <c r="AC34" s="1"/>
      <c r="AD34" s="1"/>
      <c r="AE34" s="1"/>
      <c r="AF34" s="1"/>
      <c r="AG34" s="1"/>
      <c r="AH34" s="1"/>
    </row>
    <row r="35" ht="12.75" hidden="1" customHeight="1" outlineLevel="1">
      <c r="A35" s="17">
        <v>41060.0</v>
      </c>
      <c r="B35" s="1" t="s">
        <v>343</v>
      </c>
      <c r="C35" s="1" t="s">
        <v>344</v>
      </c>
      <c r="D35" s="74">
        <v>150.0</v>
      </c>
      <c r="E35" s="67">
        <v>29.1</v>
      </c>
      <c r="F35" s="75">
        <v>0.7109259259259259</v>
      </c>
      <c r="G35" s="67"/>
      <c r="H35" s="68">
        <v>1.0</v>
      </c>
      <c r="I35" s="76"/>
      <c r="J35" s="67">
        <f t="shared" si="3"/>
        <v>-4366</v>
      </c>
      <c r="K35" s="7"/>
      <c r="L35" s="70"/>
      <c r="M35" s="79"/>
      <c r="N35" s="1"/>
      <c r="O35" s="1"/>
      <c r="P35" s="1"/>
      <c r="Q35" s="1"/>
      <c r="R35" s="1"/>
      <c r="S35" s="1"/>
      <c r="T35" s="1"/>
      <c r="U35" s="1"/>
      <c r="V35" s="1"/>
      <c r="W35" s="1"/>
      <c r="X35" s="1"/>
      <c r="Y35" s="1"/>
      <c r="Z35" s="1"/>
      <c r="AA35" s="1"/>
      <c r="AB35" s="1"/>
      <c r="AC35" s="1"/>
      <c r="AD35" s="1"/>
      <c r="AE35" s="1"/>
      <c r="AF35" s="1"/>
      <c r="AG35" s="1"/>
      <c r="AH35" s="1"/>
    </row>
    <row r="36" ht="12.75" hidden="1" customHeight="1" outlineLevel="1">
      <c r="A36" s="17">
        <v>41060.0</v>
      </c>
      <c r="B36" s="1" t="s">
        <v>343</v>
      </c>
      <c r="C36" s="1" t="s">
        <v>344</v>
      </c>
      <c r="D36" s="74">
        <v>100.0</v>
      </c>
      <c r="E36" s="67">
        <v>29.1</v>
      </c>
      <c r="F36" s="75">
        <v>0.7109259259259259</v>
      </c>
      <c r="G36" s="67"/>
      <c r="H36" s="68">
        <v>0.0</v>
      </c>
      <c r="I36" s="76"/>
      <c r="J36" s="67">
        <f t="shared" si="3"/>
        <v>-2910</v>
      </c>
      <c r="K36" s="7"/>
      <c r="L36" s="70"/>
      <c r="M36" s="79"/>
      <c r="N36" s="1"/>
      <c r="O36" s="1"/>
      <c r="P36" s="1"/>
      <c r="Q36" s="1"/>
      <c r="R36" s="1"/>
      <c r="S36" s="1"/>
      <c r="T36" s="1"/>
      <c r="U36" s="1"/>
      <c r="V36" s="1"/>
      <c r="W36" s="1"/>
      <c r="X36" s="1"/>
      <c r="Y36" s="1"/>
      <c r="Z36" s="1"/>
      <c r="AA36" s="1"/>
      <c r="AB36" s="1"/>
      <c r="AC36" s="1"/>
      <c r="AD36" s="1"/>
      <c r="AE36" s="1"/>
      <c r="AF36" s="1"/>
      <c r="AG36" s="1"/>
      <c r="AH36" s="1"/>
    </row>
    <row r="37" ht="12.75" hidden="1" customHeight="1" outlineLevel="1">
      <c r="A37" s="17">
        <v>41060.0</v>
      </c>
      <c r="B37" s="1" t="s">
        <v>347</v>
      </c>
      <c r="C37" s="1" t="s">
        <v>369</v>
      </c>
      <c r="D37" s="74">
        <v>50.0</v>
      </c>
      <c r="E37" s="67">
        <v>47.84</v>
      </c>
      <c r="F37" s="75">
        <v>0.7143171296296296</v>
      </c>
      <c r="G37" s="67"/>
      <c r="H37" s="68">
        <v>1.0</v>
      </c>
      <c r="I37" s="76"/>
      <c r="J37" s="67">
        <f t="shared" si="3"/>
        <v>2391</v>
      </c>
      <c r="K37" s="7"/>
      <c r="L37" s="70"/>
      <c r="M37" s="79"/>
      <c r="N37" s="1"/>
      <c r="O37" s="1"/>
      <c r="P37" s="1"/>
      <c r="Q37" s="1"/>
      <c r="R37" s="1"/>
      <c r="S37" s="1"/>
      <c r="T37" s="1"/>
      <c r="U37" s="1"/>
      <c r="V37" s="1"/>
      <c r="W37" s="1"/>
      <c r="X37" s="1"/>
      <c r="Y37" s="1"/>
      <c r="Z37" s="1"/>
      <c r="AA37" s="1"/>
      <c r="AB37" s="1"/>
      <c r="AC37" s="1"/>
      <c r="AD37" s="1"/>
      <c r="AE37" s="1"/>
      <c r="AF37" s="1"/>
      <c r="AG37" s="1"/>
      <c r="AH37" s="1"/>
    </row>
    <row r="38" ht="12.75" hidden="1" customHeight="1" outlineLevel="1">
      <c r="A38" s="17">
        <v>41060.0</v>
      </c>
      <c r="B38" s="1" t="s">
        <v>347</v>
      </c>
      <c r="C38" s="1" t="s">
        <v>369</v>
      </c>
      <c r="D38" s="74">
        <v>100.0</v>
      </c>
      <c r="E38" s="67">
        <v>47.84</v>
      </c>
      <c r="F38" s="75">
        <v>0.7143171296296296</v>
      </c>
      <c r="G38" s="67"/>
      <c r="H38" s="68">
        <v>0.0</v>
      </c>
      <c r="I38" s="76"/>
      <c r="J38" s="67">
        <f t="shared" si="3"/>
        <v>4784</v>
      </c>
      <c r="K38" s="1"/>
      <c r="L38" s="70"/>
      <c r="M38" s="79"/>
      <c r="N38" s="1"/>
      <c r="O38" s="1"/>
      <c r="P38" s="1"/>
      <c r="Q38" s="1"/>
      <c r="R38" s="1"/>
      <c r="S38" s="1"/>
      <c r="T38" s="1"/>
      <c r="U38" s="1"/>
      <c r="V38" s="1"/>
      <c r="W38" s="1"/>
      <c r="X38" s="1"/>
      <c r="Y38" s="1"/>
      <c r="Z38" s="1"/>
      <c r="AA38" s="1"/>
      <c r="AB38" s="1"/>
      <c r="AC38" s="1"/>
      <c r="AD38" s="1"/>
      <c r="AE38" s="1"/>
      <c r="AF38" s="1"/>
      <c r="AG38" s="1"/>
      <c r="AH38" s="1"/>
    </row>
    <row r="39" ht="12.75" hidden="1" customHeight="1" outlineLevel="1">
      <c r="A39" s="17">
        <v>41060.0</v>
      </c>
      <c r="B39" s="1"/>
      <c r="C39" s="1" t="s">
        <v>339</v>
      </c>
      <c r="D39" s="74"/>
      <c r="E39" s="67"/>
      <c r="F39" s="75"/>
      <c r="G39" s="67"/>
      <c r="H39" s="68"/>
      <c r="I39" s="76"/>
      <c r="J39" s="67"/>
      <c r="K39" s="7" t="s">
        <v>370</v>
      </c>
      <c r="L39" s="77"/>
      <c r="M39" s="79"/>
      <c r="N39" s="1"/>
      <c r="O39" s="1"/>
      <c r="P39" s="1"/>
      <c r="Q39" s="1"/>
      <c r="R39" s="1"/>
      <c r="S39" s="1"/>
      <c r="T39" s="1"/>
      <c r="U39" s="1"/>
      <c r="V39" s="1"/>
      <c r="W39" s="1"/>
      <c r="X39" s="1"/>
      <c r="Y39" s="1"/>
      <c r="Z39" s="1"/>
      <c r="AA39" s="1"/>
      <c r="AB39" s="1"/>
      <c r="AC39" s="1"/>
      <c r="AD39" s="1"/>
      <c r="AE39" s="1"/>
      <c r="AF39" s="1"/>
      <c r="AG39" s="1"/>
      <c r="AH39" s="1"/>
    </row>
    <row r="40" ht="12.75" hidden="1" customHeight="1" outlineLevel="1">
      <c r="A40" s="17">
        <v>41061.0</v>
      </c>
      <c r="B40" s="1" t="s">
        <v>347</v>
      </c>
      <c r="C40" s="1" t="s">
        <v>348</v>
      </c>
      <c r="D40" s="74">
        <v>400.0</v>
      </c>
      <c r="E40" s="67">
        <v>8.31</v>
      </c>
      <c r="F40" s="75">
        <v>0.42053240740740744</v>
      </c>
      <c r="G40" s="67"/>
      <c r="H40" s="68">
        <v>2.0</v>
      </c>
      <c r="I40" s="76"/>
      <c r="J40" s="67">
        <f t="shared" ref="J40:J41" si="4">IF(B40="SLD",D40*E40,-D40*E40)-H40</f>
        <v>3322</v>
      </c>
      <c r="K40" s="1"/>
      <c r="L40" s="70"/>
      <c r="M40" s="79"/>
      <c r="N40" s="1"/>
      <c r="O40" s="1"/>
      <c r="P40" s="1"/>
      <c r="Q40" s="1"/>
      <c r="R40" s="1"/>
      <c r="S40" s="1"/>
      <c r="T40" s="1"/>
      <c r="U40" s="1"/>
      <c r="V40" s="1"/>
      <c r="W40" s="1"/>
      <c r="X40" s="1"/>
      <c r="Y40" s="1"/>
      <c r="Z40" s="1"/>
      <c r="AA40" s="1"/>
      <c r="AB40" s="1"/>
      <c r="AC40" s="1"/>
      <c r="AD40" s="1"/>
      <c r="AE40" s="1"/>
      <c r="AF40" s="1"/>
      <c r="AG40" s="1"/>
      <c r="AH40" s="1"/>
    </row>
    <row r="41" ht="12.75" hidden="1" customHeight="1" outlineLevel="1">
      <c r="A41" s="17">
        <v>41061.0</v>
      </c>
      <c r="B41" s="1" t="s">
        <v>347</v>
      </c>
      <c r="C41" s="1" t="s">
        <v>371</v>
      </c>
      <c r="D41" s="74">
        <v>150.0</v>
      </c>
      <c r="E41" s="67">
        <v>22.8</v>
      </c>
      <c r="F41" s="75">
        <v>0.5249421296296296</v>
      </c>
      <c r="G41" s="67"/>
      <c r="H41" s="68">
        <v>1.0</v>
      </c>
      <c r="I41" s="76"/>
      <c r="J41" s="67">
        <f t="shared" si="4"/>
        <v>3419</v>
      </c>
      <c r="K41" s="1"/>
      <c r="L41" s="70"/>
      <c r="M41" s="79"/>
      <c r="N41" s="1"/>
      <c r="O41" s="1"/>
      <c r="P41" s="1"/>
      <c r="Q41" s="1"/>
      <c r="R41" s="1"/>
      <c r="S41" s="1"/>
      <c r="T41" s="1"/>
      <c r="U41" s="1"/>
      <c r="V41" s="1"/>
      <c r="W41" s="1"/>
      <c r="X41" s="1"/>
      <c r="Y41" s="1"/>
      <c r="Z41" s="1"/>
      <c r="AA41" s="1"/>
      <c r="AB41" s="1"/>
      <c r="AC41" s="1"/>
      <c r="AD41" s="1"/>
      <c r="AE41" s="1"/>
      <c r="AF41" s="1"/>
      <c r="AG41" s="1"/>
      <c r="AH41" s="1"/>
    </row>
    <row r="42" ht="12.75" hidden="1" customHeight="1" outlineLevel="1">
      <c r="A42" s="17">
        <v>41061.0</v>
      </c>
      <c r="B42" s="1"/>
      <c r="C42" s="1" t="s">
        <v>339</v>
      </c>
      <c r="D42" s="74"/>
      <c r="E42" s="67"/>
      <c r="F42" s="75"/>
      <c r="G42" s="67"/>
      <c r="H42" s="68"/>
      <c r="I42" s="76"/>
      <c r="J42" s="67"/>
      <c r="K42" s="7" t="s">
        <v>372</v>
      </c>
      <c r="L42" s="77"/>
      <c r="M42" s="79"/>
      <c r="N42" s="1"/>
      <c r="O42" s="1"/>
      <c r="P42" s="1"/>
      <c r="Q42" s="1"/>
      <c r="R42" s="1"/>
      <c r="S42" s="1"/>
      <c r="T42" s="1"/>
      <c r="U42" s="1"/>
      <c r="V42" s="1"/>
      <c r="W42" s="1"/>
      <c r="X42" s="1"/>
      <c r="Y42" s="1"/>
      <c r="Z42" s="1"/>
      <c r="AA42" s="1"/>
      <c r="AB42" s="1"/>
      <c r="AC42" s="1"/>
      <c r="AD42" s="1"/>
      <c r="AE42" s="1"/>
      <c r="AF42" s="1"/>
      <c r="AG42" s="1"/>
      <c r="AH42" s="1"/>
    </row>
    <row r="43" ht="12.75" hidden="1" customHeight="1" outlineLevel="1">
      <c r="A43" s="17">
        <v>41061.0</v>
      </c>
      <c r="B43" s="1"/>
      <c r="C43" s="1" t="s">
        <v>339</v>
      </c>
      <c r="D43" s="74"/>
      <c r="E43" s="67"/>
      <c r="F43" s="75"/>
      <c r="G43" s="67"/>
      <c r="H43" s="68"/>
      <c r="I43" s="76"/>
      <c r="J43" s="67"/>
      <c r="K43" s="7" t="s">
        <v>373</v>
      </c>
      <c r="L43" s="77"/>
      <c r="M43" s="79"/>
      <c r="N43" s="1"/>
      <c r="O43" s="1"/>
      <c r="P43" s="1"/>
      <c r="Q43" s="1"/>
      <c r="R43" s="1"/>
      <c r="S43" s="1"/>
      <c r="T43" s="1"/>
      <c r="U43" s="1"/>
      <c r="V43" s="1"/>
      <c r="W43" s="1"/>
      <c r="X43" s="1"/>
      <c r="Y43" s="1"/>
      <c r="Z43" s="1"/>
      <c r="AA43" s="1"/>
      <c r="AB43" s="1"/>
      <c r="AC43" s="1"/>
      <c r="AD43" s="1"/>
      <c r="AE43" s="1"/>
      <c r="AF43" s="1"/>
      <c r="AG43" s="1"/>
      <c r="AH43" s="1"/>
    </row>
    <row r="44" ht="12.75" hidden="1" customHeight="1" outlineLevel="1">
      <c r="A44" s="17">
        <v>41062.0</v>
      </c>
      <c r="B44" s="1"/>
      <c r="C44" s="1" t="s">
        <v>339</v>
      </c>
      <c r="D44" s="74"/>
      <c r="E44" s="67"/>
      <c r="F44" s="75"/>
      <c r="G44" s="67"/>
      <c r="H44" s="68"/>
      <c r="I44" s="76"/>
      <c r="J44" s="67"/>
      <c r="K44" s="7" t="s">
        <v>374</v>
      </c>
      <c r="L44" s="77"/>
      <c r="M44" s="79"/>
      <c r="N44" s="1"/>
      <c r="O44" s="1"/>
      <c r="P44" s="1"/>
      <c r="Q44" s="1"/>
      <c r="R44" s="1"/>
      <c r="S44" s="1"/>
      <c r="T44" s="1"/>
      <c r="U44" s="1"/>
      <c r="V44" s="1"/>
      <c r="W44" s="1"/>
      <c r="X44" s="1"/>
      <c r="Y44" s="1"/>
      <c r="Z44" s="1"/>
      <c r="AA44" s="1"/>
      <c r="AB44" s="1"/>
      <c r="AC44" s="1"/>
      <c r="AD44" s="1"/>
      <c r="AE44" s="1"/>
      <c r="AF44" s="1"/>
      <c r="AG44" s="1"/>
      <c r="AH44" s="1"/>
    </row>
    <row r="45" ht="12.75" hidden="1" customHeight="1" outlineLevel="1">
      <c r="A45" s="17">
        <v>41063.0</v>
      </c>
      <c r="B45" s="1"/>
      <c r="C45" s="1" t="s">
        <v>339</v>
      </c>
      <c r="D45" s="74"/>
      <c r="E45" s="67"/>
      <c r="F45" s="75"/>
      <c r="G45" s="67"/>
      <c r="H45" s="68"/>
      <c r="I45" s="76"/>
      <c r="J45" s="67"/>
      <c r="K45" s="7" t="s">
        <v>376</v>
      </c>
      <c r="L45" s="77"/>
      <c r="M45" s="79"/>
      <c r="N45" s="1"/>
      <c r="O45" s="1"/>
      <c r="P45" s="1"/>
      <c r="Q45" s="1"/>
      <c r="R45" s="1"/>
      <c r="S45" s="1"/>
      <c r="T45" s="1"/>
      <c r="U45" s="1"/>
      <c r="V45" s="1"/>
      <c r="W45" s="1"/>
      <c r="X45" s="1"/>
      <c r="Y45" s="1"/>
      <c r="Z45" s="1"/>
      <c r="AA45" s="1"/>
      <c r="AB45" s="1"/>
      <c r="AC45" s="1"/>
      <c r="AD45" s="1"/>
      <c r="AE45" s="1"/>
      <c r="AF45" s="1"/>
      <c r="AG45" s="1"/>
      <c r="AH45" s="1"/>
    </row>
    <row r="46" ht="12.75" hidden="1" customHeight="1" outlineLevel="1">
      <c r="A46" s="17">
        <v>41064.0</v>
      </c>
      <c r="B46" s="1" t="s">
        <v>347</v>
      </c>
      <c r="C46" s="1" t="s">
        <v>368</v>
      </c>
      <c r="D46" s="74">
        <v>75.0</v>
      </c>
      <c r="E46" s="67">
        <v>35.77</v>
      </c>
      <c r="F46" s="75">
        <v>0.583738425925926</v>
      </c>
      <c r="G46" s="67"/>
      <c r="H46" s="68">
        <v>1.0</v>
      </c>
      <c r="I46" s="76"/>
      <c r="J46" s="67">
        <f t="shared" ref="J46:J59" si="5">IF(B46="SLD",D46*E46,-D46*E46)-H46</f>
        <v>2681.75</v>
      </c>
      <c r="K46" s="1"/>
      <c r="L46" s="70"/>
      <c r="M46" s="79"/>
      <c r="N46" s="1"/>
      <c r="O46" s="1"/>
      <c r="P46" s="1"/>
      <c r="Q46" s="1"/>
      <c r="R46" s="1"/>
      <c r="S46" s="1"/>
      <c r="T46" s="1"/>
      <c r="U46" s="1"/>
      <c r="V46" s="1"/>
      <c r="W46" s="1"/>
      <c r="X46" s="1"/>
      <c r="Y46" s="1"/>
      <c r="Z46" s="1"/>
      <c r="AA46" s="1"/>
      <c r="AB46" s="1"/>
      <c r="AC46" s="1"/>
      <c r="AD46" s="1"/>
      <c r="AE46" s="1"/>
      <c r="AF46" s="1"/>
      <c r="AG46" s="1"/>
      <c r="AH46" s="1"/>
    </row>
    <row r="47" ht="12.75" hidden="1" customHeight="1" outlineLevel="1">
      <c r="A47" s="17">
        <v>41064.0</v>
      </c>
      <c r="B47" s="1" t="s">
        <v>347</v>
      </c>
      <c r="C47" s="1" t="s">
        <v>368</v>
      </c>
      <c r="D47" s="74">
        <v>100.0</v>
      </c>
      <c r="E47" s="67">
        <v>35.73</v>
      </c>
      <c r="F47" s="75">
        <v>0.583738425925926</v>
      </c>
      <c r="G47" s="67"/>
      <c r="H47" s="68">
        <v>0.0</v>
      </c>
      <c r="I47" s="76"/>
      <c r="J47" s="67">
        <f t="shared" si="5"/>
        <v>3573</v>
      </c>
      <c r="K47" s="1"/>
      <c r="L47" s="70"/>
      <c r="M47" s="79"/>
      <c r="N47" s="1"/>
      <c r="O47" s="1"/>
      <c r="P47" s="1"/>
      <c r="Q47" s="1"/>
      <c r="R47" s="1"/>
      <c r="S47" s="1"/>
      <c r="T47" s="1"/>
      <c r="U47" s="1"/>
      <c r="V47" s="1"/>
      <c r="W47" s="1"/>
      <c r="X47" s="1"/>
      <c r="Y47" s="1"/>
      <c r="Z47" s="1"/>
      <c r="AA47" s="1"/>
      <c r="AB47" s="1"/>
      <c r="AC47" s="1"/>
      <c r="AD47" s="1"/>
      <c r="AE47" s="1"/>
      <c r="AF47" s="1"/>
      <c r="AG47" s="1"/>
      <c r="AH47" s="1"/>
    </row>
    <row r="48" ht="12.75" hidden="1" customHeight="1" outlineLevel="1">
      <c r="A48" s="17">
        <v>41064.0</v>
      </c>
      <c r="B48" s="1" t="s">
        <v>343</v>
      </c>
      <c r="C48" s="1" t="s">
        <v>348</v>
      </c>
      <c r="D48" s="74">
        <v>200.0</v>
      </c>
      <c r="E48" s="67">
        <v>8.55</v>
      </c>
      <c r="F48" s="75">
        <v>0.5856481481481481</v>
      </c>
      <c r="G48" s="67"/>
      <c r="H48" s="68">
        <v>1.0</v>
      </c>
      <c r="I48" s="76"/>
      <c r="J48" s="67">
        <f t="shared" si="5"/>
        <v>-1711</v>
      </c>
      <c r="K48" s="1"/>
      <c r="L48" s="70"/>
      <c r="M48" s="79"/>
      <c r="N48" s="1"/>
      <c r="O48" s="1"/>
      <c r="P48" s="1"/>
      <c r="Q48" s="1"/>
      <c r="R48" s="1"/>
      <c r="S48" s="1"/>
      <c r="T48" s="1"/>
      <c r="U48" s="1"/>
      <c r="V48" s="1"/>
      <c r="W48" s="1"/>
      <c r="X48" s="1"/>
      <c r="Y48" s="1"/>
      <c r="Z48" s="1"/>
      <c r="AA48" s="1"/>
      <c r="AB48" s="1"/>
      <c r="AC48" s="1"/>
      <c r="AD48" s="1"/>
      <c r="AE48" s="1"/>
      <c r="AF48" s="1"/>
      <c r="AG48" s="1"/>
      <c r="AH48" s="1"/>
    </row>
    <row r="49" ht="12.75" hidden="1" customHeight="1" outlineLevel="1">
      <c r="A49" s="17">
        <v>41064.0</v>
      </c>
      <c r="B49" s="1" t="s">
        <v>343</v>
      </c>
      <c r="C49" s="1" t="s">
        <v>348</v>
      </c>
      <c r="D49" s="74">
        <v>100.0</v>
      </c>
      <c r="E49" s="67">
        <v>8.55</v>
      </c>
      <c r="F49" s="75">
        <v>0.5856481481481481</v>
      </c>
      <c r="G49" s="67"/>
      <c r="H49" s="68">
        <v>0.5</v>
      </c>
      <c r="I49" s="76"/>
      <c r="J49" s="67">
        <f t="shared" si="5"/>
        <v>-855.5</v>
      </c>
      <c r="K49" s="1"/>
      <c r="L49" s="70"/>
      <c r="M49" s="79"/>
      <c r="N49" s="1"/>
      <c r="O49" s="1"/>
      <c r="P49" s="1"/>
      <c r="Q49" s="1"/>
      <c r="R49" s="1"/>
      <c r="S49" s="1"/>
      <c r="T49" s="1"/>
      <c r="U49" s="1"/>
      <c r="V49" s="1"/>
      <c r="W49" s="1"/>
      <c r="X49" s="1"/>
      <c r="Y49" s="1"/>
      <c r="Z49" s="1"/>
      <c r="AA49" s="1"/>
      <c r="AB49" s="1"/>
      <c r="AC49" s="1"/>
      <c r="AD49" s="1"/>
      <c r="AE49" s="1"/>
      <c r="AF49" s="1"/>
      <c r="AG49" s="1"/>
      <c r="AH49" s="1"/>
    </row>
    <row r="50" ht="12.75" hidden="1" customHeight="1" outlineLevel="1">
      <c r="A50" s="17">
        <v>41064.0</v>
      </c>
      <c r="B50" s="1" t="s">
        <v>343</v>
      </c>
      <c r="C50" s="1" t="s">
        <v>348</v>
      </c>
      <c r="D50" s="74">
        <v>200.0</v>
      </c>
      <c r="E50" s="67">
        <v>8.55</v>
      </c>
      <c r="F50" s="75">
        <v>0.5856481481481481</v>
      </c>
      <c r="G50" s="67"/>
      <c r="H50" s="68">
        <v>1.0</v>
      </c>
      <c r="I50" s="76"/>
      <c r="J50" s="67">
        <f t="shared" si="5"/>
        <v>-1711</v>
      </c>
      <c r="K50" s="1"/>
      <c r="L50" s="70"/>
      <c r="M50" s="79"/>
      <c r="N50" s="1"/>
      <c r="O50" s="1"/>
      <c r="P50" s="1"/>
      <c r="Q50" s="1"/>
      <c r="R50" s="1"/>
      <c r="S50" s="1"/>
      <c r="T50" s="1"/>
      <c r="U50" s="1"/>
      <c r="V50" s="1"/>
      <c r="W50" s="1"/>
      <c r="X50" s="1"/>
      <c r="Y50" s="1"/>
      <c r="Z50" s="1"/>
      <c r="AA50" s="1"/>
      <c r="AB50" s="1"/>
      <c r="AC50" s="1"/>
      <c r="AD50" s="1"/>
      <c r="AE50" s="1"/>
      <c r="AF50" s="1"/>
      <c r="AG50" s="1"/>
      <c r="AH50" s="1"/>
    </row>
    <row r="51" ht="12.75" hidden="1" customHeight="1" outlineLevel="1">
      <c r="A51" s="17">
        <v>41064.0</v>
      </c>
      <c r="B51" s="1" t="s">
        <v>343</v>
      </c>
      <c r="C51" s="1" t="s">
        <v>348</v>
      </c>
      <c r="D51" s="74">
        <v>200.0</v>
      </c>
      <c r="E51" s="67">
        <v>8.55</v>
      </c>
      <c r="F51" s="75">
        <v>0.5856481481481481</v>
      </c>
      <c r="G51" s="67"/>
      <c r="H51" s="68">
        <v>1.0</v>
      </c>
      <c r="I51" s="76"/>
      <c r="J51" s="67">
        <f t="shared" si="5"/>
        <v>-1711</v>
      </c>
      <c r="K51" s="1"/>
      <c r="L51" s="70"/>
      <c r="M51" s="79"/>
      <c r="N51" s="1"/>
      <c r="O51" s="1"/>
      <c r="P51" s="1"/>
      <c r="Q51" s="1"/>
      <c r="R51" s="1"/>
      <c r="S51" s="1"/>
      <c r="T51" s="1"/>
      <c r="U51" s="1"/>
      <c r="V51" s="1"/>
      <c r="W51" s="1"/>
      <c r="X51" s="1"/>
      <c r="Y51" s="1"/>
      <c r="Z51" s="1"/>
      <c r="AA51" s="1"/>
      <c r="AB51" s="1"/>
      <c r="AC51" s="1"/>
      <c r="AD51" s="1"/>
      <c r="AE51" s="1"/>
      <c r="AF51" s="1"/>
      <c r="AG51" s="1"/>
      <c r="AH51" s="1"/>
    </row>
    <row r="52" ht="12.75" hidden="1" customHeight="1" outlineLevel="1">
      <c r="A52" s="17">
        <v>41064.0</v>
      </c>
      <c r="B52" s="1" t="s">
        <v>343</v>
      </c>
      <c r="C52" s="1" t="s">
        <v>348</v>
      </c>
      <c r="D52" s="74">
        <v>100.0</v>
      </c>
      <c r="E52" s="67">
        <v>8.55</v>
      </c>
      <c r="F52" s="75">
        <v>0.5856481481481481</v>
      </c>
      <c r="G52" s="67"/>
      <c r="H52" s="68">
        <v>0.4</v>
      </c>
      <c r="I52" s="76"/>
      <c r="J52" s="67">
        <f t="shared" si="5"/>
        <v>-855.4</v>
      </c>
      <c r="K52" s="1"/>
      <c r="L52" s="70"/>
      <c r="M52" s="79"/>
      <c r="N52" s="1"/>
      <c r="O52" s="1"/>
      <c r="P52" s="1"/>
      <c r="Q52" s="1"/>
      <c r="R52" s="1"/>
      <c r="S52" s="1"/>
      <c r="T52" s="1"/>
      <c r="U52" s="1"/>
      <c r="V52" s="1"/>
      <c r="W52" s="1"/>
      <c r="X52" s="1"/>
      <c r="Y52" s="1"/>
      <c r="Z52" s="1"/>
      <c r="AA52" s="1"/>
      <c r="AB52" s="1"/>
      <c r="AC52" s="1"/>
      <c r="AD52" s="1"/>
      <c r="AE52" s="1"/>
      <c r="AF52" s="1"/>
      <c r="AG52" s="1"/>
      <c r="AH52" s="1"/>
    </row>
    <row r="53" ht="12.75" hidden="1" customHeight="1" outlineLevel="1">
      <c r="A53" s="17">
        <v>41064.0</v>
      </c>
      <c r="B53" s="1" t="s">
        <v>343</v>
      </c>
      <c r="C53" s="1" t="s">
        <v>351</v>
      </c>
      <c r="D53" s="74">
        <v>45.0</v>
      </c>
      <c r="E53" s="67">
        <v>157.4</v>
      </c>
      <c r="F53" s="75">
        <v>0.5859143518518518</v>
      </c>
      <c r="G53" s="67"/>
      <c r="H53" s="68">
        <v>1.0</v>
      </c>
      <c r="I53" s="76"/>
      <c r="J53" s="67">
        <f t="shared" si="5"/>
        <v>-7084</v>
      </c>
      <c r="K53" s="1"/>
      <c r="L53" s="70"/>
      <c r="M53" s="79"/>
      <c r="N53" s="1"/>
      <c r="O53" s="1"/>
      <c r="P53" s="1"/>
      <c r="Q53" s="1"/>
      <c r="R53" s="1"/>
      <c r="S53" s="1"/>
      <c r="T53" s="1"/>
      <c r="U53" s="1"/>
      <c r="V53" s="1"/>
      <c r="W53" s="1"/>
      <c r="X53" s="1"/>
      <c r="Y53" s="1"/>
      <c r="Z53" s="1"/>
      <c r="AA53" s="1"/>
      <c r="AB53" s="1"/>
      <c r="AC53" s="1"/>
      <c r="AD53" s="1"/>
      <c r="AE53" s="1"/>
      <c r="AF53" s="1"/>
      <c r="AG53" s="1"/>
      <c r="AH53" s="1"/>
    </row>
    <row r="54" ht="12.75" hidden="1" customHeight="1" outlineLevel="1">
      <c r="A54" s="17">
        <v>41064.0</v>
      </c>
      <c r="B54" s="1" t="s">
        <v>347</v>
      </c>
      <c r="C54" s="1" t="s">
        <v>352</v>
      </c>
      <c r="D54" s="74">
        <v>225.0</v>
      </c>
      <c r="E54" s="67">
        <v>29.87</v>
      </c>
      <c r="F54" s="75">
        <v>0.5915162037037037</v>
      </c>
      <c r="G54" s="67"/>
      <c r="H54" s="68">
        <v>1.12</v>
      </c>
      <c r="I54" s="76"/>
      <c r="J54" s="67">
        <f t="shared" si="5"/>
        <v>6719.63</v>
      </c>
      <c r="K54" s="1"/>
      <c r="L54" s="70"/>
      <c r="M54" s="79"/>
      <c r="N54" s="1"/>
      <c r="O54" s="1"/>
      <c r="P54" s="1"/>
      <c r="Q54" s="1"/>
      <c r="R54" s="1"/>
      <c r="S54" s="1"/>
      <c r="T54" s="1"/>
      <c r="U54" s="1"/>
      <c r="V54" s="1"/>
      <c r="W54" s="1"/>
      <c r="X54" s="1"/>
      <c r="Y54" s="1"/>
      <c r="Z54" s="1"/>
      <c r="AA54" s="1"/>
      <c r="AB54" s="1"/>
      <c r="AC54" s="1"/>
      <c r="AD54" s="1"/>
      <c r="AE54" s="1"/>
      <c r="AF54" s="1"/>
      <c r="AG54" s="1"/>
      <c r="AH54" s="1"/>
    </row>
    <row r="55" ht="12.75" hidden="1" customHeight="1" outlineLevel="1">
      <c r="A55" s="17">
        <v>41064.0</v>
      </c>
      <c r="B55" s="1" t="s">
        <v>347</v>
      </c>
      <c r="C55" s="1" t="s">
        <v>381</v>
      </c>
      <c r="D55" s="74">
        <v>50.0</v>
      </c>
      <c r="E55" s="67">
        <v>27.29</v>
      </c>
      <c r="F55" s="75">
        <v>0.6134953703703704</v>
      </c>
      <c r="G55" s="67"/>
      <c r="H55" s="68">
        <v>1.0</v>
      </c>
      <c r="I55" s="76"/>
      <c r="J55" s="67">
        <f t="shared" si="5"/>
        <v>1363.5</v>
      </c>
      <c r="K55" s="1"/>
      <c r="L55" s="70"/>
      <c r="M55" s="79"/>
      <c r="N55" s="1"/>
      <c r="O55" s="1"/>
      <c r="P55" s="1"/>
      <c r="Q55" s="1"/>
      <c r="R55" s="1"/>
      <c r="S55" s="1"/>
      <c r="T55" s="1"/>
      <c r="U55" s="1"/>
      <c r="V55" s="1"/>
      <c r="W55" s="1"/>
      <c r="X55" s="1"/>
      <c r="Y55" s="1"/>
      <c r="Z55" s="1"/>
      <c r="AA55" s="1"/>
      <c r="AB55" s="1"/>
      <c r="AC55" s="1"/>
      <c r="AD55" s="1"/>
      <c r="AE55" s="1"/>
      <c r="AF55" s="1"/>
      <c r="AG55" s="1"/>
      <c r="AH55" s="1"/>
    </row>
    <row r="56" ht="12.75" hidden="1" customHeight="1" outlineLevel="1">
      <c r="A56" s="17">
        <v>41064.0</v>
      </c>
      <c r="B56" s="1" t="s">
        <v>347</v>
      </c>
      <c r="C56" s="1" t="s">
        <v>381</v>
      </c>
      <c r="D56" s="74">
        <v>100.0</v>
      </c>
      <c r="E56" s="67">
        <v>27.29</v>
      </c>
      <c r="F56" s="75">
        <v>0.6134953703703704</v>
      </c>
      <c r="G56" s="67"/>
      <c r="H56" s="68">
        <v>0.0</v>
      </c>
      <c r="I56" s="76"/>
      <c r="J56" s="67">
        <f t="shared" si="5"/>
        <v>2729</v>
      </c>
      <c r="K56" s="1"/>
      <c r="L56" s="70"/>
      <c r="M56" s="79"/>
      <c r="N56" s="1"/>
      <c r="O56" s="1"/>
      <c r="P56" s="1"/>
      <c r="Q56" s="1"/>
      <c r="R56" s="1"/>
      <c r="S56" s="1"/>
      <c r="T56" s="1"/>
      <c r="U56" s="1"/>
      <c r="V56" s="1"/>
      <c r="W56" s="1"/>
      <c r="X56" s="1"/>
      <c r="Y56" s="1"/>
      <c r="Z56" s="1"/>
      <c r="AA56" s="1"/>
      <c r="AB56" s="1"/>
      <c r="AC56" s="1"/>
      <c r="AD56" s="1"/>
      <c r="AE56" s="1"/>
      <c r="AF56" s="1"/>
      <c r="AG56" s="1"/>
      <c r="AH56" s="1"/>
    </row>
    <row r="57" ht="12.75" hidden="1" customHeight="1" outlineLevel="1">
      <c r="A57" s="17">
        <v>41064.0</v>
      </c>
      <c r="B57" s="1" t="s">
        <v>343</v>
      </c>
      <c r="C57" s="1" t="s">
        <v>354</v>
      </c>
      <c r="D57" s="74">
        <v>100.0</v>
      </c>
      <c r="E57" s="67">
        <v>59.49</v>
      </c>
      <c r="F57" s="75">
        <v>0.7956365740740741</v>
      </c>
      <c r="G57" s="67"/>
      <c r="H57" s="68">
        <v>1.0</v>
      </c>
      <c r="I57" s="76"/>
      <c r="J57" s="67">
        <f t="shared" si="5"/>
        <v>-5950</v>
      </c>
      <c r="K57" s="1"/>
      <c r="L57" s="70"/>
      <c r="M57" s="79"/>
      <c r="N57" s="1"/>
      <c r="O57" s="1"/>
      <c r="P57" s="1"/>
      <c r="Q57" s="1"/>
      <c r="R57" s="1"/>
      <c r="S57" s="1"/>
      <c r="T57" s="1"/>
      <c r="U57" s="1"/>
      <c r="V57" s="1"/>
      <c r="W57" s="1"/>
      <c r="X57" s="1"/>
      <c r="Y57" s="1"/>
      <c r="Z57" s="1"/>
      <c r="AA57" s="1"/>
      <c r="AB57" s="1"/>
      <c r="AC57" s="1"/>
      <c r="AD57" s="1"/>
      <c r="AE57" s="1"/>
      <c r="AF57" s="1"/>
      <c r="AG57" s="1"/>
      <c r="AH57" s="1"/>
    </row>
    <row r="58" ht="12.75" hidden="1" customHeight="1" outlineLevel="1">
      <c r="A58" s="17">
        <v>41064.0</v>
      </c>
      <c r="B58" s="1" t="s">
        <v>343</v>
      </c>
      <c r="C58" s="1" t="s">
        <v>354</v>
      </c>
      <c r="D58" s="74">
        <v>25.0</v>
      </c>
      <c r="E58" s="67">
        <v>59.49</v>
      </c>
      <c r="F58" s="75">
        <v>0.7956365740740741</v>
      </c>
      <c r="G58" s="67"/>
      <c r="H58" s="68">
        <v>0.0</v>
      </c>
      <c r="I58" s="76"/>
      <c r="J58" s="67">
        <f t="shared" si="5"/>
        <v>-1487.25</v>
      </c>
      <c r="K58" s="1"/>
      <c r="L58" s="70"/>
      <c r="M58" s="79"/>
      <c r="N58" s="1"/>
      <c r="O58" s="1"/>
      <c r="P58" s="1"/>
      <c r="Q58" s="1"/>
      <c r="R58" s="1"/>
      <c r="S58" s="1"/>
      <c r="T58" s="1"/>
      <c r="U58" s="1"/>
      <c r="V58" s="1"/>
      <c r="W58" s="1"/>
      <c r="X58" s="1"/>
      <c r="Y58" s="1"/>
      <c r="Z58" s="1"/>
      <c r="AA58" s="1"/>
      <c r="AB58" s="1"/>
      <c r="AC58" s="1"/>
      <c r="AD58" s="1"/>
      <c r="AE58" s="1"/>
      <c r="AF58" s="1"/>
      <c r="AG58" s="1"/>
      <c r="AH58" s="1"/>
    </row>
    <row r="59" ht="12.75" hidden="1" customHeight="1" outlineLevel="1">
      <c r="A59" s="17">
        <v>41064.0</v>
      </c>
      <c r="B59" s="1" t="s">
        <v>347</v>
      </c>
      <c r="C59" s="1" t="s">
        <v>364</v>
      </c>
      <c r="D59" s="74">
        <v>100.0</v>
      </c>
      <c r="E59" s="67">
        <v>56.73</v>
      </c>
      <c r="F59" s="75">
        <v>0.8115625</v>
      </c>
      <c r="G59" s="67"/>
      <c r="H59" s="68">
        <v>1.0</v>
      </c>
      <c r="I59" s="76"/>
      <c r="J59" s="67">
        <f t="shared" si="5"/>
        <v>5672</v>
      </c>
      <c r="K59" s="1"/>
      <c r="L59" s="70"/>
      <c r="M59" s="79"/>
      <c r="N59" s="1"/>
      <c r="O59" s="1"/>
      <c r="P59" s="1"/>
      <c r="Q59" s="1"/>
      <c r="R59" s="1"/>
      <c r="S59" s="1"/>
      <c r="T59" s="1"/>
      <c r="U59" s="1"/>
      <c r="V59" s="1"/>
      <c r="W59" s="1"/>
      <c r="X59" s="1"/>
      <c r="Y59" s="1"/>
      <c r="Z59" s="1"/>
      <c r="AA59" s="1"/>
      <c r="AB59" s="1"/>
      <c r="AC59" s="1"/>
      <c r="AD59" s="1"/>
      <c r="AE59" s="1"/>
      <c r="AF59" s="1"/>
      <c r="AG59" s="1"/>
      <c r="AH59" s="1"/>
    </row>
    <row r="60" ht="12.75" hidden="1" customHeight="1" outlineLevel="1">
      <c r="A60" s="17">
        <v>41064.0</v>
      </c>
      <c r="B60" s="1"/>
      <c r="C60" s="1" t="s">
        <v>339</v>
      </c>
      <c r="D60" s="74"/>
      <c r="E60" s="67"/>
      <c r="F60" s="75"/>
      <c r="G60" s="67"/>
      <c r="H60" s="68"/>
      <c r="I60" s="76"/>
      <c r="J60" s="67"/>
      <c r="K60" s="7" t="s">
        <v>384</v>
      </c>
      <c r="L60" s="77"/>
      <c r="M60" s="79"/>
      <c r="N60" s="1"/>
      <c r="O60" s="1"/>
      <c r="P60" s="1"/>
      <c r="Q60" s="1"/>
      <c r="R60" s="1"/>
      <c r="S60" s="1"/>
      <c r="T60" s="1"/>
      <c r="U60" s="1"/>
      <c r="V60" s="1"/>
      <c r="W60" s="1"/>
      <c r="X60" s="1"/>
      <c r="Y60" s="1"/>
      <c r="Z60" s="1"/>
      <c r="AA60" s="1"/>
      <c r="AB60" s="1"/>
      <c r="AC60" s="1"/>
      <c r="AD60" s="1"/>
      <c r="AE60" s="1"/>
      <c r="AF60" s="1"/>
      <c r="AG60" s="1"/>
      <c r="AH60" s="1"/>
    </row>
    <row r="61" ht="12.75" hidden="1" customHeight="1" outlineLevel="1">
      <c r="A61" s="17">
        <v>41065.0</v>
      </c>
      <c r="B61" s="1" t="s">
        <v>347</v>
      </c>
      <c r="C61" s="1" t="s">
        <v>385</v>
      </c>
      <c r="D61" s="74">
        <v>200.0</v>
      </c>
      <c r="E61" s="67">
        <v>5.6001</v>
      </c>
      <c r="F61" s="75">
        <v>0.5643634259259259</v>
      </c>
      <c r="G61" s="67"/>
      <c r="H61" s="68">
        <v>1.0</v>
      </c>
      <c r="I61" s="76"/>
      <c r="J61" s="67">
        <f t="shared" ref="J61:J74" si="6">IF(B61="SLD",D61*E61,-D61*E61)-H61</f>
        <v>1119.02</v>
      </c>
      <c r="K61" s="1"/>
      <c r="L61" s="70"/>
      <c r="M61" s="79"/>
      <c r="N61" s="1"/>
      <c r="O61" s="1"/>
      <c r="P61" s="1"/>
      <c r="Q61" s="1"/>
      <c r="R61" s="1"/>
      <c r="S61" s="1"/>
      <c r="T61" s="1"/>
      <c r="U61" s="1"/>
      <c r="V61" s="1"/>
      <c r="W61" s="1"/>
      <c r="X61" s="1"/>
      <c r="Y61" s="1"/>
      <c r="Z61" s="1"/>
      <c r="AA61" s="1"/>
      <c r="AB61" s="1"/>
      <c r="AC61" s="1"/>
      <c r="AD61" s="1"/>
      <c r="AE61" s="1"/>
      <c r="AF61" s="1"/>
      <c r="AG61" s="1"/>
      <c r="AH61" s="1"/>
    </row>
    <row r="62" ht="12.75" hidden="1" customHeight="1" outlineLevel="1">
      <c r="A62" s="17">
        <v>41065.0</v>
      </c>
      <c r="B62" s="1" t="s">
        <v>347</v>
      </c>
      <c r="C62" s="1" t="s">
        <v>385</v>
      </c>
      <c r="D62" s="74">
        <v>100.0</v>
      </c>
      <c r="E62" s="67">
        <v>5.6</v>
      </c>
      <c r="F62" s="75">
        <v>0.564375</v>
      </c>
      <c r="G62" s="67"/>
      <c r="H62" s="68">
        <v>0.3</v>
      </c>
      <c r="I62" s="76"/>
      <c r="J62" s="67">
        <f t="shared" si="6"/>
        <v>559.7</v>
      </c>
      <c r="K62" s="1"/>
      <c r="L62" s="70"/>
      <c r="M62" s="79"/>
      <c r="N62" s="1"/>
      <c r="O62" s="1"/>
      <c r="P62" s="1"/>
      <c r="Q62" s="1"/>
      <c r="R62" s="1"/>
      <c r="S62" s="1"/>
      <c r="T62" s="1"/>
      <c r="U62" s="1"/>
      <c r="V62" s="1"/>
      <c r="W62" s="1"/>
      <c r="X62" s="1"/>
      <c r="Y62" s="1"/>
      <c r="Z62" s="1"/>
      <c r="AA62" s="1"/>
      <c r="AB62" s="1"/>
      <c r="AC62" s="1"/>
      <c r="AD62" s="1"/>
      <c r="AE62" s="1"/>
      <c r="AF62" s="1"/>
      <c r="AG62" s="1"/>
      <c r="AH62" s="1"/>
    </row>
    <row r="63" ht="12.75" hidden="1" customHeight="1" outlineLevel="1">
      <c r="A63" s="17">
        <v>41065.0</v>
      </c>
      <c r="B63" s="1" t="s">
        <v>347</v>
      </c>
      <c r="C63" s="1" t="s">
        <v>385</v>
      </c>
      <c r="D63" s="74">
        <v>200.0</v>
      </c>
      <c r="E63" s="67">
        <v>5.6</v>
      </c>
      <c r="F63" s="75">
        <v>0.564375</v>
      </c>
      <c r="G63" s="67"/>
      <c r="H63" s="68">
        <v>1.0</v>
      </c>
      <c r="I63" s="76"/>
      <c r="J63" s="67">
        <f t="shared" si="6"/>
        <v>1119</v>
      </c>
      <c r="K63" s="1"/>
      <c r="L63" s="70"/>
      <c r="M63" s="79"/>
      <c r="N63" s="1"/>
      <c r="O63" s="1"/>
      <c r="P63" s="1"/>
      <c r="Q63" s="1"/>
      <c r="R63" s="1"/>
      <c r="S63" s="1"/>
      <c r="T63" s="1"/>
      <c r="U63" s="1"/>
      <c r="V63" s="1"/>
      <c r="W63" s="1"/>
      <c r="X63" s="1"/>
      <c r="Y63" s="1"/>
      <c r="Z63" s="1"/>
      <c r="AA63" s="1"/>
      <c r="AB63" s="1"/>
      <c r="AC63" s="1"/>
      <c r="AD63" s="1"/>
      <c r="AE63" s="1"/>
      <c r="AF63" s="1"/>
      <c r="AG63" s="1"/>
      <c r="AH63" s="1"/>
    </row>
    <row r="64" ht="12.75" hidden="1" customHeight="1" outlineLevel="1">
      <c r="A64" s="17">
        <v>41065.0</v>
      </c>
      <c r="B64" s="1" t="s">
        <v>347</v>
      </c>
      <c r="C64" s="1" t="s">
        <v>385</v>
      </c>
      <c r="D64" s="74">
        <v>200.0</v>
      </c>
      <c r="E64" s="67">
        <v>5.6</v>
      </c>
      <c r="F64" s="75">
        <v>0.564375</v>
      </c>
      <c r="G64" s="67"/>
      <c r="H64" s="68">
        <v>1.0</v>
      </c>
      <c r="I64" s="76"/>
      <c r="J64" s="67">
        <f t="shared" si="6"/>
        <v>1119</v>
      </c>
      <c r="K64" s="1"/>
      <c r="L64" s="70"/>
      <c r="M64" s="79"/>
      <c r="N64" s="1"/>
      <c r="O64" s="1"/>
      <c r="P64" s="1"/>
      <c r="Q64" s="1"/>
      <c r="R64" s="1"/>
      <c r="S64" s="1"/>
      <c r="T64" s="1"/>
      <c r="U64" s="1"/>
      <c r="V64" s="1"/>
      <c r="W64" s="1"/>
      <c r="X64" s="1"/>
      <c r="Y64" s="1"/>
      <c r="Z64" s="1"/>
      <c r="AA64" s="1"/>
      <c r="AB64" s="1"/>
      <c r="AC64" s="1"/>
      <c r="AD64" s="1"/>
      <c r="AE64" s="1"/>
      <c r="AF64" s="1"/>
      <c r="AG64" s="1"/>
      <c r="AH64" s="1"/>
    </row>
    <row r="65" ht="12.75" hidden="1" customHeight="1" outlineLevel="1">
      <c r="A65" s="17">
        <v>41065.0</v>
      </c>
      <c r="B65" s="1" t="s">
        <v>347</v>
      </c>
      <c r="C65" s="1" t="s">
        <v>371</v>
      </c>
      <c r="D65" s="74">
        <v>50.0</v>
      </c>
      <c r="E65" s="67">
        <v>22.46</v>
      </c>
      <c r="F65" s="75">
        <v>0.5656134259259259</v>
      </c>
      <c r="G65" s="67"/>
      <c r="H65" s="68">
        <v>1.0</v>
      </c>
      <c r="I65" s="76"/>
      <c r="J65" s="67">
        <f t="shared" si="6"/>
        <v>1122</v>
      </c>
      <c r="K65" s="1"/>
      <c r="L65" s="70"/>
      <c r="M65" s="79"/>
      <c r="N65" s="1"/>
      <c r="O65" s="1"/>
      <c r="P65" s="1"/>
      <c r="Q65" s="1"/>
      <c r="R65" s="1"/>
      <c r="S65" s="1"/>
      <c r="T65" s="1"/>
      <c r="U65" s="1"/>
      <c r="V65" s="1"/>
      <c r="W65" s="1"/>
      <c r="X65" s="1"/>
      <c r="Y65" s="1"/>
      <c r="Z65" s="1"/>
      <c r="AA65" s="1"/>
      <c r="AB65" s="1"/>
      <c r="AC65" s="1"/>
      <c r="AD65" s="1"/>
      <c r="AE65" s="1"/>
      <c r="AF65" s="1"/>
      <c r="AG65" s="1"/>
      <c r="AH65" s="1"/>
    </row>
    <row r="66" ht="12.75" hidden="1" customHeight="1" outlineLevel="1">
      <c r="A66" s="17">
        <v>41065.0</v>
      </c>
      <c r="B66" s="1" t="s">
        <v>347</v>
      </c>
      <c r="C66" s="1" t="s">
        <v>371</v>
      </c>
      <c r="D66" s="74">
        <v>100.0</v>
      </c>
      <c r="E66" s="67">
        <v>22.46</v>
      </c>
      <c r="F66" s="75">
        <v>0.5656134259259259</v>
      </c>
      <c r="G66" s="67"/>
      <c r="H66" s="68">
        <v>0.0</v>
      </c>
      <c r="I66" s="76"/>
      <c r="J66" s="67">
        <f t="shared" si="6"/>
        <v>2246</v>
      </c>
      <c r="K66" s="1"/>
      <c r="L66" s="70"/>
      <c r="M66" s="79"/>
      <c r="N66" s="1"/>
      <c r="O66" s="1"/>
      <c r="P66" s="1"/>
      <c r="Q66" s="1"/>
      <c r="R66" s="1"/>
      <c r="S66" s="1"/>
      <c r="T66" s="1"/>
      <c r="U66" s="1"/>
      <c r="V66" s="1"/>
      <c r="W66" s="1"/>
      <c r="X66" s="1"/>
      <c r="Y66" s="1"/>
      <c r="Z66" s="1"/>
      <c r="AA66" s="1"/>
      <c r="AB66" s="1"/>
      <c r="AC66" s="1"/>
      <c r="AD66" s="1"/>
      <c r="AE66" s="1"/>
      <c r="AF66" s="1"/>
      <c r="AG66" s="1"/>
      <c r="AH66" s="1"/>
    </row>
    <row r="67" ht="12.75" hidden="1" customHeight="1" outlineLevel="1">
      <c r="A67" s="17">
        <v>41065.0</v>
      </c>
      <c r="B67" s="1" t="s">
        <v>347</v>
      </c>
      <c r="C67" s="1" t="s">
        <v>350</v>
      </c>
      <c r="D67" s="74">
        <v>100.0</v>
      </c>
      <c r="E67" s="67">
        <v>65.17</v>
      </c>
      <c r="F67" s="75">
        <v>0.5673842592592593</v>
      </c>
      <c r="G67" s="67"/>
      <c r="H67" s="68">
        <v>1.0</v>
      </c>
      <c r="I67" s="76"/>
      <c r="J67" s="67">
        <f t="shared" si="6"/>
        <v>6516</v>
      </c>
      <c r="K67" s="1"/>
      <c r="L67" s="70"/>
      <c r="M67" s="79"/>
      <c r="N67" s="1"/>
      <c r="O67" s="1"/>
      <c r="P67" s="1"/>
      <c r="Q67" s="1"/>
      <c r="R67" s="1"/>
      <c r="S67" s="1"/>
      <c r="T67" s="1"/>
      <c r="U67" s="1"/>
      <c r="V67" s="1"/>
      <c r="W67" s="1"/>
      <c r="X67" s="1"/>
      <c r="Y67" s="1"/>
      <c r="Z67" s="1"/>
      <c r="AA67" s="1"/>
      <c r="AB67" s="1"/>
      <c r="AC67" s="1"/>
      <c r="AD67" s="1"/>
      <c r="AE67" s="1"/>
      <c r="AF67" s="1"/>
      <c r="AG67" s="1"/>
      <c r="AH67" s="1"/>
    </row>
    <row r="68" ht="12.75" hidden="1" customHeight="1" outlineLevel="1">
      <c r="A68" s="17">
        <v>41065.0</v>
      </c>
      <c r="B68" s="1" t="s">
        <v>347</v>
      </c>
      <c r="C68" s="1" t="s">
        <v>386</v>
      </c>
      <c r="D68" s="74">
        <v>175.0</v>
      </c>
      <c r="E68" s="67">
        <v>18.88</v>
      </c>
      <c r="F68" s="75">
        <v>0.5746296296296296</v>
      </c>
      <c r="G68" s="67"/>
      <c r="H68" s="68">
        <v>1.0</v>
      </c>
      <c r="I68" s="76"/>
      <c r="J68" s="67">
        <f t="shared" si="6"/>
        <v>3303</v>
      </c>
      <c r="K68" s="1"/>
      <c r="L68" s="70"/>
      <c r="M68" s="79"/>
      <c r="N68" s="1"/>
      <c r="O68" s="1"/>
      <c r="P68" s="1"/>
      <c r="Q68" s="1"/>
      <c r="R68" s="1"/>
      <c r="S68" s="1"/>
      <c r="T68" s="1"/>
      <c r="U68" s="1"/>
      <c r="V68" s="1"/>
      <c r="W68" s="1"/>
      <c r="X68" s="1"/>
      <c r="Y68" s="1"/>
      <c r="Z68" s="1"/>
      <c r="AA68" s="1"/>
      <c r="AB68" s="1"/>
      <c r="AC68" s="1"/>
      <c r="AD68" s="1"/>
      <c r="AE68" s="1"/>
      <c r="AF68" s="1"/>
      <c r="AG68" s="1"/>
      <c r="AH68" s="1"/>
    </row>
    <row r="69" ht="12.75" hidden="1" customHeight="1" outlineLevel="1">
      <c r="A69" s="17">
        <v>41065.0</v>
      </c>
      <c r="B69" s="1" t="s">
        <v>343</v>
      </c>
      <c r="C69" s="1" t="s">
        <v>354</v>
      </c>
      <c r="D69" s="74">
        <v>125.0</v>
      </c>
      <c r="E69" s="67">
        <v>60.45</v>
      </c>
      <c r="F69" s="75">
        <v>0.5923263888888889</v>
      </c>
      <c r="G69" s="67"/>
      <c r="H69" s="68">
        <v>1.0</v>
      </c>
      <c r="I69" s="76"/>
      <c r="J69" s="67">
        <f t="shared" si="6"/>
        <v>-7557.25</v>
      </c>
      <c r="K69" s="1"/>
      <c r="L69" s="70"/>
      <c r="M69" s="79"/>
      <c r="N69" s="1"/>
      <c r="O69" s="1"/>
      <c r="P69" s="1"/>
      <c r="Q69" s="1"/>
      <c r="R69" s="1"/>
      <c r="S69" s="1"/>
      <c r="T69" s="1"/>
      <c r="U69" s="1"/>
      <c r="V69" s="1"/>
      <c r="W69" s="1"/>
      <c r="X69" s="1"/>
      <c r="Y69" s="1"/>
      <c r="Z69" s="1"/>
      <c r="AA69" s="1"/>
      <c r="AB69" s="1"/>
      <c r="AC69" s="1"/>
      <c r="AD69" s="1"/>
      <c r="AE69" s="1"/>
      <c r="AF69" s="1"/>
      <c r="AG69" s="1"/>
      <c r="AH69" s="1"/>
    </row>
    <row r="70" ht="12.75" hidden="1" customHeight="1" outlineLevel="1">
      <c r="A70" s="17">
        <v>41065.0</v>
      </c>
      <c r="B70" s="1" t="s">
        <v>343</v>
      </c>
      <c r="C70" s="1" t="s">
        <v>364</v>
      </c>
      <c r="D70" s="74">
        <v>100.0</v>
      </c>
      <c r="E70" s="67">
        <v>57.8</v>
      </c>
      <c r="F70" s="75">
        <v>0.6082986111111112</v>
      </c>
      <c r="G70" s="67"/>
      <c r="H70" s="68">
        <v>1.0</v>
      </c>
      <c r="I70" s="76"/>
      <c r="J70" s="67">
        <f t="shared" si="6"/>
        <v>-5781</v>
      </c>
      <c r="K70" s="1"/>
      <c r="L70" s="70"/>
      <c r="M70" s="79"/>
      <c r="N70" s="1"/>
      <c r="O70" s="1"/>
      <c r="P70" s="1"/>
      <c r="Q70" s="1"/>
      <c r="R70" s="1"/>
      <c r="S70" s="1"/>
      <c r="T70" s="1"/>
      <c r="U70" s="1"/>
      <c r="V70" s="1"/>
      <c r="W70" s="1"/>
      <c r="X70" s="1"/>
      <c r="Y70" s="1"/>
      <c r="Z70" s="1"/>
      <c r="AA70" s="1"/>
      <c r="AB70" s="1"/>
      <c r="AC70" s="1"/>
      <c r="AD70" s="1"/>
      <c r="AE70" s="1"/>
      <c r="AF70" s="1"/>
      <c r="AG70" s="1"/>
      <c r="AH70" s="1"/>
    </row>
    <row r="71" ht="12.75" hidden="1" customHeight="1" outlineLevel="1">
      <c r="A71" s="17">
        <v>41065.0</v>
      </c>
      <c r="B71" s="1" t="s">
        <v>343</v>
      </c>
      <c r="C71" s="1" t="s">
        <v>364</v>
      </c>
      <c r="D71" s="74">
        <v>25.0</v>
      </c>
      <c r="E71" s="67">
        <v>57.8</v>
      </c>
      <c r="F71" s="75">
        <v>0.6082986111111112</v>
      </c>
      <c r="G71" s="67"/>
      <c r="H71" s="68">
        <v>0.0</v>
      </c>
      <c r="I71" s="76"/>
      <c r="J71" s="67">
        <f t="shared" si="6"/>
        <v>-1445</v>
      </c>
      <c r="K71" s="1"/>
      <c r="L71" s="70"/>
      <c r="M71" s="79"/>
      <c r="N71" s="1"/>
      <c r="O71" s="1"/>
      <c r="P71" s="1"/>
      <c r="Q71" s="1"/>
      <c r="R71" s="1"/>
      <c r="S71" s="1"/>
      <c r="T71" s="1"/>
      <c r="U71" s="1"/>
      <c r="V71" s="1"/>
      <c r="W71" s="1"/>
      <c r="X71" s="1"/>
      <c r="Y71" s="1"/>
      <c r="Z71" s="1"/>
      <c r="AA71" s="1"/>
      <c r="AB71" s="1"/>
      <c r="AC71" s="1"/>
      <c r="AD71" s="1"/>
      <c r="AE71" s="1"/>
      <c r="AF71" s="1"/>
      <c r="AG71" s="1"/>
      <c r="AH71" s="1"/>
    </row>
    <row r="72" ht="12.75" hidden="1" customHeight="1" outlineLevel="1">
      <c r="A72" s="17">
        <v>41065.0</v>
      </c>
      <c r="B72" s="1" t="s">
        <v>343</v>
      </c>
      <c r="C72" s="1" t="s">
        <v>387</v>
      </c>
      <c r="D72" s="74">
        <v>100.0</v>
      </c>
      <c r="E72" s="67">
        <v>65.32</v>
      </c>
      <c r="F72" s="75">
        <v>0.7559143518518519</v>
      </c>
      <c r="G72" s="67"/>
      <c r="H72" s="68">
        <v>1.0</v>
      </c>
      <c r="I72" s="76"/>
      <c r="J72" s="67">
        <f t="shared" si="6"/>
        <v>-6533</v>
      </c>
      <c r="K72" s="1"/>
      <c r="L72" s="70"/>
      <c r="M72" s="79"/>
      <c r="N72" s="1"/>
      <c r="O72" s="1"/>
      <c r="P72" s="1"/>
      <c r="Q72" s="1"/>
      <c r="R72" s="1"/>
      <c r="S72" s="1"/>
      <c r="T72" s="1"/>
      <c r="U72" s="1"/>
      <c r="V72" s="1"/>
      <c r="W72" s="1"/>
      <c r="X72" s="1"/>
      <c r="Y72" s="1"/>
      <c r="Z72" s="1"/>
      <c r="AA72" s="1"/>
      <c r="AB72" s="1"/>
      <c r="AC72" s="1"/>
      <c r="AD72" s="1"/>
      <c r="AE72" s="1"/>
      <c r="AF72" s="1"/>
      <c r="AG72" s="1"/>
      <c r="AH72" s="1"/>
    </row>
    <row r="73" ht="12.75" hidden="1" customHeight="1" outlineLevel="1">
      <c r="A73" s="17">
        <v>41065.0</v>
      </c>
      <c r="B73" s="1" t="s">
        <v>343</v>
      </c>
      <c r="C73" s="1" t="s">
        <v>388</v>
      </c>
      <c r="D73" s="74">
        <v>13.0</v>
      </c>
      <c r="E73" s="67">
        <v>408.83</v>
      </c>
      <c r="F73" s="75">
        <v>0.7616203703703704</v>
      </c>
      <c r="G73" s="67"/>
      <c r="H73" s="68">
        <v>1.0</v>
      </c>
      <c r="I73" s="76"/>
      <c r="J73" s="67">
        <f t="shared" si="6"/>
        <v>-5315.79</v>
      </c>
      <c r="K73" s="1"/>
      <c r="L73" s="70"/>
      <c r="M73" s="79"/>
      <c r="N73" s="1"/>
      <c r="O73" s="1"/>
      <c r="P73" s="1"/>
      <c r="Q73" s="1"/>
      <c r="R73" s="1"/>
      <c r="S73" s="1"/>
      <c r="T73" s="1"/>
      <c r="U73" s="1"/>
      <c r="V73" s="1"/>
      <c r="W73" s="1"/>
      <c r="X73" s="1"/>
      <c r="Y73" s="1"/>
      <c r="Z73" s="1"/>
      <c r="AA73" s="1"/>
      <c r="AB73" s="1"/>
      <c r="AC73" s="1"/>
      <c r="AD73" s="1"/>
      <c r="AE73" s="1"/>
      <c r="AF73" s="1"/>
      <c r="AG73" s="1"/>
      <c r="AH73" s="1"/>
    </row>
    <row r="74" ht="12.75" hidden="1" customHeight="1" outlineLevel="1">
      <c r="A74" s="17">
        <v>41065.0</v>
      </c>
      <c r="B74" s="1" t="s">
        <v>343</v>
      </c>
      <c r="C74" s="1" t="s">
        <v>388</v>
      </c>
      <c r="D74" s="74">
        <v>4.0</v>
      </c>
      <c r="E74" s="67">
        <v>408.83</v>
      </c>
      <c r="F74" s="75">
        <v>0.7616203703703704</v>
      </c>
      <c r="G74" s="67"/>
      <c r="H74" s="68">
        <v>0.0</v>
      </c>
      <c r="I74" s="76"/>
      <c r="J74" s="67">
        <f t="shared" si="6"/>
        <v>-1635.32</v>
      </c>
      <c r="K74" s="1"/>
      <c r="L74" s="70"/>
      <c r="M74" s="79"/>
      <c r="N74" s="1"/>
      <c r="O74" s="1"/>
      <c r="P74" s="1"/>
      <c r="Q74" s="1"/>
      <c r="R74" s="1"/>
      <c r="S74" s="1"/>
      <c r="T74" s="1"/>
      <c r="U74" s="1"/>
      <c r="V74" s="1"/>
      <c r="W74" s="1"/>
      <c r="X74" s="1"/>
      <c r="Y74" s="1"/>
      <c r="Z74" s="1"/>
      <c r="AA74" s="1"/>
      <c r="AB74" s="1"/>
      <c r="AC74" s="1"/>
      <c r="AD74" s="1"/>
      <c r="AE74" s="1"/>
      <c r="AF74" s="1"/>
      <c r="AG74" s="1"/>
      <c r="AH74" s="1"/>
    </row>
    <row r="75" ht="12.75" hidden="1" customHeight="1" outlineLevel="1">
      <c r="A75" s="17">
        <v>41065.0</v>
      </c>
      <c r="B75" s="1"/>
      <c r="C75" s="1" t="s">
        <v>339</v>
      </c>
      <c r="D75" s="74"/>
      <c r="E75" s="67"/>
      <c r="F75" s="75"/>
      <c r="G75" s="67"/>
      <c r="H75" s="68"/>
      <c r="I75" s="76"/>
      <c r="J75" s="67"/>
      <c r="K75" s="7" t="s">
        <v>389</v>
      </c>
      <c r="L75" s="77"/>
      <c r="M75" s="79"/>
      <c r="N75" s="1"/>
      <c r="O75" s="1"/>
      <c r="P75" s="1"/>
      <c r="Q75" s="1"/>
      <c r="R75" s="1"/>
      <c r="S75" s="1"/>
      <c r="T75" s="1"/>
      <c r="U75" s="1"/>
      <c r="V75" s="1"/>
      <c r="W75" s="1"/>
      <c r="X75" s="1"/>
      <c r="Y75" s="1"/>
      <c r="Z75" s="1"/>
      <c r="AA75" s="1"/>
      <c r="AB75" s="1"/>
      <c r="AC75" s="1"/>
      <c r="AD75" s="1"/>
      <c r="AE75" s="1"/>
      <c r="AF75" s="1"/>
      <c r="AG75" s="1"/>
      <c r="AH75" s="1"/>
    </row>
    <row r="76" ht="12.75" hidden="1" customHeight="1" outlineLevel="1">
      <c r="A76" s="17">
        <v>41066.0</v>
      </c>
      <c r="B76" s="1" t="s">
        <v>343</v>
      </c>
      <c r="C76" s="1" t="s">
        <v>390</v>
      </c>
      <c r="D76" s="74">
        <v>200.0</v>
      </c>
      <c r="E76" s="67">
        <v>13.52</v>
      </c>
      <c r="F76" s="75">
        <v>0.7322800925925925</v>
      </c>
      <c r="G76" s="67"/>
      <c r="H76" s="68">
        <v>1.0</v>
      </c>
      <c r="I76" s="76"/>
      <c r="J76" s="67">
        <f t="shared" ref="J76:J78" si="7">IF(B76="SLD",D76*E76,-D76*E76)-H76</f>
        <v>-2705</v>
      </c>
      <c r="K76" s="1"/>
      <c r="L76" s="70"/>
      <c r="M76" s="79"/>
      <c r="N76" s="1"/>
      <c r="O76" s="1"/>
      <c r="P76" s="1"/>
      <c r="Q76" s="1"/>
      <c r="R76" s="1"/>
      <c r="S76" s="1"/>
      <c r="T76" s="1"/>
      <c r="U76" s="1"/>
      <c r="V76" s="1"/>
      <c r="W76" s="1"/>
      <c r="X76" s="1"/>
      <c r="Y76" s="1"/>
      <c r="Z76" s="1"/>
      <c r="AA76" s="1"/>
      <c r="AB76" s="1"/>
      <c r="AC76" s="1"/>
      <c r="AD76" s="1"/>
      <c r="AE76" s="1"/>
      <c r="AF76" s="1"/>
      <c r="AG76" s="1"/>
      <c r="AH76" s="1"/>
    </row>
    <row r="77" ht="12.75" hidden="1" customHeight="1" outlineLevel="1">
      <c r="A77" s="17">
        <v>41066.0</v>
      </c>
      <c r="B77" s="1" t="s">
        <v>343</v>
      </c>
      <c r="C77" s="1" t="s">
        <v>390</v>
      </c>
      <c r="D77" s="74">
        <v>100.0</v>
      </c>
      <c r="E77" s="67">
        <v>13.52</v>
      </c>
      <c r="F77" s="75">
        <v>0.7322800925925925</v>
      </c>
      <c r="G77" s="67"/>
      <c r="H77" s="68">
        <v>0.2</v>
      </c>
      <c r="I77" s="76"/>
      <c r="J77" s="67">
        <f t="shared" si="7"/>
        <v>-1352.2</v>
      </c>
      <c r="K77" s="1"/>
      <c r="L77" s="70"/>
      <c r="M77" s="79"/>
      <c r="N77" s="1"/>
      <c r="O77" s="1"/>
      <c r="P77" s="1"/>
      <c r="Q77" s="1"/>
      <c r="R77" s="1"/>
      <c r="S77" s="1"/>
      <c r="T77" s="1"/>
      <c r="U77" s="1"/>
      <c r="V77" s="1"/>
      <c r="W77" s="1"/>
      <c r="X77" s="1"/>
      <c r="Y77" s="1"/>
      <c r="Z77" s="1"/>
      <c r="AA77" s="1"/>
      <c r="AB77" s="1"/>
      <c r="AC77" s="1"/>
      <c r="AD77" s="1"/>
      <c r="AE77" s="1"/>
      <c r="AF77" s="1"/>
      <c r="AG77" s="1"/>
      <c r="AH77" s="1"/>
    </row>
    <row r="78" ht="12.75" hidden="1" customHeight="1" outlineLevel="1">
      <c r="A78" s="17">
        <v>41066.0</v>
      </c>
      <c r="B78" s="1" t="s">
        <v>343</v>
      </c>
      <c r="C78" s="1" t="s">
        <v>390</v>
      </c>
      <c r="D78" s="74">
        <v>200.0</v>
      </c>
      <c r="E78" s="67">
        <v>13.52</v>
      </c>
      <c r="F78" s="75">
        <v>0.7322800925925925</v>
      </c>
      <c r="G78" s="67"/>
      <c r="H78" s="68">
        <v>0.8</v>
      </c>
      <c r="I78" s="76"/>
      <c r="J78" s="67">
        <f t="shared" si="7"/>
        <v>-2704.8</v>
      </c>
      <c r="K78" s="1"/>
      <c r="L78" s="70"/>
      <c r="M78" s="79"/>
      <c r="N78" s="1"/>
      <c r="O78" s="1"/>
      <c r="P78" s="1"/>
      <c r="Q78" s="1"/>
      <c r="R78" s="1"/>
      <c r="S78" s="1"/>
      <c r="T78" s="1"/>
      <c r="U78" s="1"/>
      <c r="V78" s="1"/>
      <c r="W78" s="1"/>
      <c r="X78" s="1"/>
      <c r="Y78" s="1"/>
      <c r="Z78" s="1"/>
      <c r="AA78" s="1"/>
      <c r="AB78" s="1"/>
      <c r="AC78" s="1"/>
      <c r="AD78" s="1"/>
      <c r="AE78" s="1"/>
      <c r="AF78" s="1"/>
      <c r="AG78" s="1"/>
      <c r="AH78" s="1"/>
    </row>
    <row r="79" ht="12.75" hidden="1" customHeight="1" outlineLevel="1">
      <c r="A79" s="17">
        <v>41066.0</v>
      </c>
      <c r="B79" s="1"/>
      <c r="C79" s="1" t="s">
        <v>339</v>
      </c>
      <c r="D79" s="74"/>
      <c r="E79" s="67"/>
      <c r="F79" s="75"/>
      <c r="G79" s="67"/>
      <c r="H79" s="68"/>
      <c r="I79" s="76"/>
      <c r="J79" s="67"/>
      <c r="K79" s="7" t="s">
        <v>391</v>
      </c>
      <c r="L79" s="77"/>
      <c r="M79" s="79"/>
      <c r="N79" s="1"/>
      <c r="O79" s="1"/>
      <c r="P79" s="1"/>
      <c r="Q79" s="1"/>
      <c r="R79" s="1"/>
      <c r="S79" s="1"/>
      <c r="T79" s="1"/>
      <c r="U79" s="1"/>
      <c r="V79" s="1"/>
      <c r="W79" s="1"/>
      <c r="X79" s="1"/>
      <c r="Y79" s="1"/>
      <c r="Z79" s="1"/>
      <c r="AA79" s="1"/>
      <c r="AB79" s="1"/>
      <c r="AC79" s="1"/>
      <c r="AD79" s="1"/>
      <c r="AE79" s="1"/>
      <c r="AF79" s="1"/>
      <c r="AG79" s="1"/>
      <c r="AH79" s="1"/>
    </row>
    <row r="80" ht="12.75" hidden="1" customHeight="1" outlineLevel="1">
      <c r="A80" s="17">
        <v>41067.0</v>
      </c>
      <c r="B80" s="1" t="s">
        <v>343</v>
      </c>
      <c r="C80" s="1" t="s">
        <v>362</v>
      </c>
      <c r="D80" s="1">
        <v>100.0</v>
      </c>
      <c r="E80" s="1">
        <v>65.2</v>
      </c>
      <c r="F80" s="75">
        <v>0.5639583333333333</v>
      </c>
      <c r="G80" s="1"/>
      <c r="H80" s="1">
        <v>1.0</v>
      </c>
      <c r="I80" s="76"/>
      <c r="J80" s="67">
        <f t="shared" ref="J80:J103" si="8">IF(B80="SLD",D80*E80,-D80*E80)-H80</f>
        <v>-6521</v>
      </c>
      <c r="K80" s="1"/>
      <c r="L80" s="70"/>
      <c r="M80" s="79"/>
      <c r="N80" s="1"/>
      <c r="O80" s="1"/>
      <c r="P80" s="1"/>
      <c r="Q80" s="1"/>
      <c r="R80" s="1"/>
      <c r="S80" s="1"/>
      <c r="T80" s="1"/>
      <c r="U80" s="1"/>
      <c r="V80" s="1"/>
      <c r="W80" s="1"/>
      <c r="X80" s="1"/>
      <c r="Y80" s="1"/>
      <c r="Z80" s="1"/>
      <c r="AA80" s="1"/>
      <c r="AB80" s="1"/>
      <c r="AC80" s="1"/>
      <c r="AD80" s="1"/>
      <c r="AE80" s="1"/>
      <c r="AF80" s="1"/>
      <c r="AG80" s="1"/>
      <c r="AH80" s="1"/>
    </row>
    <row r="81" ht="12.75" hidden="1" customHeight="1" outlineLevel="1">
      <c r="A81" s="17">
        <v>41067.0</v>
      </c>
      <c r="B81" s="1" t="s">
        <v>343</v>
      </c>
      <c r="C81" s="1" t="s">
        <v>350</v>
      </c>
      <c r="D81" s="1">
        <v>50.0</v>
      </c>
      <c r="E81" s="1">
        <v>67.99</v>
      </c>
      <c r="F81" s="75">
        <v>0.5688657407407408</v>
      </c>
      <c r="G81" s="1"/>
      <c r="H81" s="1">
        <v>1.0</v>
      </c>
      <c r="I81" s="76"/>
      <c r="J81" s="67">
        <f t="shared" si="8"/>
        <v>-3400.5</v>
      </c>
      <c r="K81" s="1"/>
      <c r="L81" s="70"/>
      <c r="M81" s="79"/>
      <c r="N81" s="1"/>
      <c r="O81" s="1"/>
      <c r="P81" s="1"/>
      <c r="Q81" s="1"/>
      <c r="R81" s="1"/>
      <c r="S81" s="1"/>
      <c r="T81" s="1"/>
      <c r="U81" s="1"/>
      <c r="V81" s="1"/>
      <c r="W81" s="1"/>
      <c r="X81" s="1"/>
      <c r="Y81" s="1"/>
      <c r="Z81" s="1"/>
      <c r="AA81" s="1"/>
      <c r="AB81" s="1"/>
      <c r="AC81" s="1"/>
      <c r="AD81" s="1"/>
      <c r="AE81" s="1"/>
      <c r="AF81" s="1"/>
      <c r="AG81" s="1"/>
      <c r="AH81" s="1"/>
    </row>
    <row r="82" ht="12.75" hidden="1" customHeight="1" outlineLevel="1">
      <c r="A82" s="17">
        <v>41067.0</v>
      </c>
      <c r="B82" s="1" t="s">
        <v>343</v>
      </c>
      <c r="C82" s="1" t="s">
        <v>350</v>
      </c>
      <c r="D82" s="1">
        <v>100.0</v>
      </c>
      <c r="E82" s="1">
        <v>68.0</v>
      </c>
      <c r="F82" s="75">
        <v>0.5688657407407408</v>
      </c>
      <c r="G82" s="1"/>
      <c r="H82" s="1">
        <v>0.0</v>
      </c>
      <c r="I82" s="76"/>
      <c r="J82" s="67">
        <f t="shared" si="8"/>
        <v>-6800</v>
      </c>
      <c r="K82" s="1"/>
      <c r="L82" s="70"/>
      <c r="M82" s="79"/>
      <c r="N82" s="1"/>
      <c r="O82" s="1"/>
      <c r="P82" s="1"/>
      <c r="Q82" s="1"/>
      <c r="R82" s="1"/>
      <c r="S82" s="1"/>
      <c r="T82" s="1"/>
      <c r="U82" s="1"/>
      <c r="V82" s="1"/>
      <c r="W82" s="1"/>
      <c r="X82" s="1"/>
      <c r="Y82" s="1"/>
      <c r="Z82" s="1"/>
      <c r="AA82" s="1"/>
      <c r="AB82" s="1"/>
      <c r="AC82" s="1"/>
      <c r="AD82" s="1"/>
      <c r="AE82" s="1"/>
      <c r="AF82" s="1"/>
      <c r="AG82" s="1"/>
      <c r="AH82" s="1"/>
    </row>
    <row r="83" ht="12.75" hidden="1" customHeight="1" outlineLevel="1">
      <c r="A83" s="17">
        <v>41067.0</v>
      </c>
      <c r="B83" s="1" t="s">
        <v>343</v>
      </c>
      <c r="C83" s="1" t="s">
        <v>369</v>
      </c>
      <c r="D83" s="1">
        <v>75.0</v>
      </c>
      <c r="E83" s="1">
        <v>50.72</v>
      </c>
      <c r="F83" s="75">
        <v>0.5694444444444444</v>
      </c>
      <c r="G83" s="1"/>
      <c r="H83" s="1">
        <v>1.0</v>
      </c>
      <c r="I83" s="76"/>
      <c r="J83" s="67">
        <f t="shared" si="8"/>
        <v>-3805</v>
      </c>
      <c r="K83" s="1"/>
      <c r="L83" s="70"/>
      <c r="M83" s="79"/>
      <c r="N83" s="1"/>
      <c r="O83" s="1"/>
      <c r="P83" s="1"/>
      <c r="Q83" s="1"/>
      <c r="R83" s="1"/>
      <c r="S83" s="1"/>
      <c r="T83" s="1"/>
      <c r="U83" s="1"/>
      <c r="V83" s="1"/>
      <c r="W83" s="1"/>
      <c r="X83" s="1"/>
      <c r="Y83" s="1"/>
      <c r="Z83" s="1"/>
      <c r="AA83" s="1"/>
      <c r="AB83" s="1"/>
      <c r="AC83" s="1"/>
      <c r="AD83" s="1"/>
      <c r="AE83" s="1"/>
      <c r="AF83" s="1"/>
      <c r="AG83" s="1"/>
      <c r="AH83" s="1"/>
    </row>
    <row r="84" ht="12.75" hidden="1" customHeight="1" outlineLevel="1">
      <c r="A84" s="17">
        <v>41067.0</v>
      </c>
      <c r="B84" s="1" t="s">
        <v>343</v>
      </c>
      <c r="C84" s="1" t="s">
        <v>355</v>
      </c>
      <c r="D84" s="1">
        <v>75.0</v>
      </c>
      <c r="E84" s="1">
        <v>50.35</v>
      </c>
      <c r="F84" s="75">
        <v>0.5696064814814815</v>
      </c>
      <c r="G84" s="1"/>
      <c r="H84" s="1">
        <v>1.0</v>
      </c>
      <c r="I84" s="76"/>
      <c r="J84" s="67">
        <f t="shared" si="8"/>
        <v>-3777.25</v>
      </c>
      <c r="K84" s="1"/>
      <c r="L84" s="70"/>
      <c r="M84" s="79"/>
      <c r="N84" s="1"/>
      <c r="O84" s="1"/>
      <c r="P84" s="1"/>
      <c r="Q84" s="1"/>
      <c r="R84" s="1"/>
      <c r="S84" s="1"/>
      <c r="T84" s="1"/>
      <c r="U84" s="1"/>
      <c r="V84" s="1"/>
      <c r="W84" s="1"/>
      <c r="X84" s="1"/>
      <c r="Y84" s="1"/>
      <c r="Z84" s="1"/>
      <c r="AA84" s="1"/>
      <c r="AB84" s="1"/>
      <c r="AC84" s="1"/>
      <c r="AD84" s="1"/>
      <c r="AE84" s="1"/>
      <c r="AF84" s="1"/>
      <c r="AG84" s="1"/>
      <c r="AH84" s="1"/>
    </row>
    <row r="85" ht="12.75" hidden="1" customHeight="1" outlineLevel="1">
      <c r="A85" s="17">
        <v>41067.0</v>
      </c>
      <c r="B85" s="1" t="s">
        <v>343</v>
      </c>
      <c r="C85" s="1" t="s">
        <v>346</v>
      </c>
      <c r="D85" s="1">
        <v>12.0</v>
      </c>
      <c r="E85" s="1">
        <v>576.3</v>
      </c>
      <c r="F85" s="75">
        <v>0.5774537037037036</v>
      </c>
      <c r="G85" s="1"/>
      <c r="H85" s="1">
        <v>1.0</v>
      </c>
      <c r="I85" s="76"/>
      <c r="J85" s="67">
        <f t="shared" si="8"/>
        <v>-6916.6</v>
      </c>
      <c r="K85" s="1"/>
      <c r="L85" s="70"/>
      <c r="M85" s="79"/>
      <c r="N85" s="1"/>
      <c r="O85" s="1"/>
      <c r="P85" s="1"/>
      <c r="Q85" s="1"/>
      <c r="R85" s="1"/>
      <c r="S85" s="1"/>
      <c r="T85" s="1"/>
      <c r="U85" s="1"/>
      <c r="V85" s="1"/>
      <c r="W85" s="1"/>
      <c r="X85" s="1"/>
      <c r="Y85" s="1"/>
      <c r="Z85" s="1"/>
      <c r="AA85" s="1"/>
      <c r="AB85" s="1"/>
      <c r="AC85" s="1"/>
      <c r="AD85" s="1"/>
      <c r="AE85" s="1"/>
      <c r="AF85" s="1"/>
      <c r="AG85" s="1"/>
      <c r="AH85" s="1"/>
    </row>
    <row r="86" ht="12.75" hidden="1" customHeight="1" outlineLevel="1">
      <c r="A86" s="17">
        <v>41067.0</v>
      </c>
      <c r="B86" s="1" t="s">
        <v>347</v>
      </c>
      <c r="C86" s="1" t="s">
        <v>349</v>
      </c>
      <c r="D86" s="1">
        <v>15.0</v>
      </c>
      <c r="E86" s="1">
        <v>44.7</v>
      </c>
      <c r="F86" s="75">
        <v>0.6015046296296297</v>
      </c>
      <c r="G86" s="1"/>
      <c r="H86" s="1">
        <v>1.0</v>
      </c>
      <c r="I86" s="76"/>
      <c r="J86" s="67">
        <f t="shared" si="8"/>
        <v>669.5</v>
      </c>
      <c r="K86" s="1"/>
      <c r="L86" s="70"/>
      <c r="M86" s="79"/>
      <c r="N86" s="1"/>
      <c r="O86" s="1"/>
      <c r="P86" s="1"/>
      <c r="Q86" s="1"/>
      <c r="R86" s="1"/>
      <c r="S86" s="1"/>
      <c r="T86" s="1"/>
      <c r="U86" s="1"/>
      <c r="V86" s="1"/>
      <c r="W86" s="1"/>
      <c r="X86" s="1"/>
      <c r="Y86" s="1"/>
      <c r="Z86" s="1"/>
      <c r="AA86" s="1"/>
      <c r="AB86" s="1"/>
      <c r="AC86" s="1"/>
      <c r="AD86" s="1"/>
      <c r="AE86" s="1"/>
      <c r="AF86" s="1"/>
      <c r="AG86" s="1"/>
      <c r="AH86" s="1"/>
    </row>
    <row r="87" ht="12.75" hidden="1" customHeight="1" outlineLevel="1">
      <c r="A87" s="17">
        <v>41067.0</v>
      </c>
      <c r="B87" s="1" t="s">
        <v>347</v>
      </c>
      <c r="C87" s="1" t="s">
        <v>349</v>
      </c>
      <c r="D87" s="1">
        <v>85.0</v>
      </c>
      <c r="E87" s="1">
        <v>44.7</v>
      </c>
      <c r="F87" s="75">
        <v>0.6016898148148148</v>
      </c>
      <c r="G87" s="1"/>
      <c r="H87" s="1">
        <v>1.0</v>
      </c>
      <c r="I87" s="76"/>
      <c r="J87" s="67">
        <f t="shared" si="8"/>
        <v>3798.5</v>
      </c>
      <c r="K87" s="1"/>
      <c r="L87" s="70"/>
      <c r="M87" s="79"/>
      <c r="N87" s="1"/>
      <c r="O87" s="1"/>
      <c r="P87" s="1"/>
      <c r="Q87" s="1"/>
      <c r="R87" s="1"/>
      <c r="S87" s="1"/>
      <c r="T87" s="1"/>
      <c r="U87" s="1"/>
      <c r="V87" s="1"/>
      <c r="W87" s="1"/>
      <c r="X87" s="1"/>
      <c r="Y87" s="1"/>
      <c r="Z87" s="1"/>
      <c r="AA87" s="1"/>
      <c r="AB87" s="1"/>
      <c r="AC87" s="1"/>
      <c r="AD87" s="1"/>
      <c r="AE87" s="1"/>
      <c r="AF87" s="1"/>
      <c r="AG87" s="1"/>
      <c r="AH87" s="1"/>
    </row>
    <row r="88" ht="12.75" hidden="1" customHeight="1" outlineLevel="1">
      <c r="A88" s="17">
        <v>41067.0</v>
      </c>
      <c r="B88" s="1" t="s">
        <v>347</v>
      </c>
      <c r="C88" s="1" t="s">
        <v>349</v>
      </c>
      <c r="D88" s="1">
        <v>50.0</v>
      </c>
      <c r="E88" s="1">
        <v>44.86</v>
      </c>
      <c r="F88" s="75">
        <v>0.6025578703703703</v>
      </c>
      <c r="G88" s="1"/>
      <c r="H88" s="1">
        <v>1.0</v>
      </c>
      <c r="I88" s="76"/>
      <c r="J88" s="67">
        <f t="shared" si="8"/>
        <v>2242</v>
      </c>
      <c r="K88" s="1"/>
      <c r="L88" s="70"/>
      <c r="M88" s="79"/>
      <c r="N88" s="1"/>
      <c r="O88" s="1"/>
      <c r="P88" s="1"/>
      <c r="Q88" s="1"/>
      <c r="R88" s="1"/>
      <c r="S88" s="1"/>
      <c r="T88" s="1"/>
      <c r="U88" s="1"/>
      <c r="V88" s="1"/>
      <c r="W88" s="1"/>
      <c r="X88" s="1"/>
      <c r="Y88" s="1"/>
      <c r="Z88" s="1"/>
      <c r="AA88" s="1"/>
      <c r="AB88" s="1"/>
      <c r="AC88" s="1"/>
      <c r="AD88" s="1"/>
      <c r="AE88" s="1"/>
      <c r="AF88" s="1"/>
      <c r="AG88" s="1"/>
      <c r="AH88" s="1"/>
    </row>
    <row r="89" ht="12.75" hidden="1" customHeight="1" outlineLevel="1">
      <c r="A89" s="17">
        <v>41067.0</v>
      </c>
      <c r="B89" s="1" t="s">
        <v>347</v>
      </c>
      <c r="C89" s="1" t="s">
        <v>355</v>
      </c>
      <c r="D89" s="1">
        <v>75.0</v>
      </c>
      <c r="E89" s="1">
        <v>46.92</v>
      </c>
      <c r="F89" s="75">
        <v>0.6202777777777778</v>
      </c>
      <c r="G89" s="1"/>
      <c r="H89" s="1">
        <v>1.0</v>
      </c>
      <c r="I89" s="76"/>
      <c r="J89" s="67">
        <f t="shared" si="8"/>
        <v>3518</v>
      </c>
      <c r="K89" s="1"/>
      <c r="L89" s="70"/>
      <c r="M89" s="79"/>
      <c r="N89" s="1"/>
      <c r="O89" s="1"/>
      <c r="P89" s="1"/>
      <c r="Q89" s="1"/>
      <c r="R89" s="1"/>
      <c r="S89" s="1"/>
      <c r="T89" s="1"/>
      <c r="U89" s="1"/>
      <c r="V89" s="1"/>
      <c r="W89" s="1"/>
      <c r="X89" s="1"/>
      <c r="Y89" s="1"/>
      <c r="Z89" s="1"/>
      <c r="AA89" s="1"/>
      <c r="AB89" s="1"/>
      <c r="AC89" s="1"/>
      <c r="AD89" s="1"/>
      <c r="AE89" s="1"/>
      <c r="AF89" s="1"/>
      <c r="AG89" s="1"/>
      <c r="AH89" s="1"/>
    </row>
    <row r="90" ht="12.75" hidden="1" customHeight="1" outlineLevel="1">
      <c r="A90" s="17">
        <v>41067.0</v>
      </c>
      <c r="B90" s="1" t="s">
        <v>347</v>
      </c>
      <c r="C90" s="1" t="s">
        <v>354</v>
      </c>
      <c r="D90" s="1">
        <v>250.0</v>
      </c>
      <c r="E90" s="1">
        <v>63.92</v>
      </c>
      <c r="F90" s="75">
        <v>0.6265740740740741</v>
      </c>
      <c r="G90" s="1"/>
      <c r="H90" s="1">
        <v>1.25</v>
      </c>
      <c r="I90" s="76"/>
      <c r="J90" s="67">
        <f t="shared" si="8"/>
        <v>15978.75</v>
      </c>
      <c r="K90" s="1"/>
      <c r="L90" s="70"/>
      <c r="M90" s="79"/>
      <c r="N90" s="1"/>
      <c r="O90" s="1"/>
      <c r="P90" s="1"/>
      <c r="Q90" s="1"/>
      <c r="R90" s="1"/>
      <c r="S90" s="1"/>
      <c r="T90" s="1"/>
      <c r="U90" s="1"/>
      <c r="V90" s="1"/>
      <c r="W90" s="1"/>
      <c r="X90" s="1"/>
      <c r="Y90" s="1"/>
      <c r="Z90" s="1"/>
      <c r="AA90" s="1"/>
      <c r="AB90" s="1"/>
      <c r="AC90" s="1"/>
      <c r="AD90" s="1"/>
      <c r="AE90" s="1"/>
      <c r="AF90" s="1"/>
      <c r="AG90" s="1"/>
      <c r="AH90" s="1"/>
    </row>
    <row r="91" ht="12.75" hidden="1" customHeight="1" outlineLevel="1">
      <c r="A91" s="17">
        <v>41067.0</v>
      </c>
      <c r="B91" s="1" t="s">
        <v>343</v>
      </c>
      <c r="C91" s="1" t="s">
        <v>344</v>
      </c>
      <c r="D91" s="1">
        <v>100.0</v>
      </c>
      <c r="E91" s="1">
        <v>30.38</v>
      </c>
      <c r="F91" s="75">
        <v>0.6823032407407408</v>
      </c>
      <c r="G91" s="1"/>
      <c r="H91" s="1">
        <v>1.0</v>
      </c>
      <c r="I91" s="76"/>
      <c r="J91" s="67">
        <f t="shared" si="8"/>
        <v>-3039</v>
      </c>
      <c r="K91" s="1"/>
      <c r="L91" s="70"/>
      <c r="M91" s="79"/>
      <c r="N91" s="1"/>
      <c r="O91" s="1"/>
      <c r="P91" s="1"/>
      <c r="Q91" s="1"/>
      <c r="R91" s="1"/>
      <c r="S91" s="1"/>
      <c r="T91" s="1"/>
      <c r="U91" s="1"/>
      <c r="V91" s="1"/>
      <c r="W91" s="1"/>
      <c r="X91" s="1"/>
      <c r="Y91" s="1"/>
      <c r="Z91" s="1"/>
      <c r="AA91" s="1"/>
      <c r="AB91" s="1"/>
      <c r="AC91" s="1"/>
      <c r="AD91" s="1"/>
      <c r="AE91" s="1"/>
      <c r="AF91" s="1"/>
      <c r="AG91" s="1"/>
      <c r="AH91" s="1"/>
    </row>
    <row r="92" ht="12.75" hidden="1" customHeight="1" outlineLevel="1">
      <c r="A92" s="17">
        <v>41067.0</v>
      </c>
      <c r="B92" s="1" t="s">
        <v>343</v>
      </c>
      <c r="C92" s="1" t="s">
        <v>344</v>
      </c>
      <c r="D92" s="1">
        <v>150.0</v>
      </c>
      <c r="E92" s="1">
        <v>30.38</v>
      </c>
      <c r="F92" s="75">
        <v>0.6823032407407408</v>
      </c>
      <c r="G92" s="1"/>
      <c r="H92" s="1">
        <v>0.25</v>
      </c>
      <c r="I92" s="76"/>
      <c r="J92" s="67">
        <f t="shared" si="8"/>
        <v>-4557.25</v>
      </c>
      <c r="K92" s="1"/>
      <c r="L92" s="70"/>
      <c r="M92" s="79"/>
      <c r="N92" s="1"/>
      <c r="O92" s="1"/>
      <c r="P92" s="1"/>
      <c r="Q92" s="1"/>
      <c r="R92" s="1"/>
      <c r="S92" s="1"/>
      <c r="T92" s="1"/>
      <c r="U92" s="1"/>
      <c r="V92" s="1"/>
      <c r="W92" s="1"/>
      <c r="X92" s="1"/>
      <c r="Y92" s="1"/>
      <c r="Z92" s="1"/>
      <c r="AA92" s="1"/>
      <c r="AB92" s="1"/>
      <c r="AC92" s="1"/>
      <c r="AD92" s="1"/>
      <c r="AE92" s="1"/>
      <c r="AF92" s="1"/>
      <c r="AG92" s="1"/>
      <c r="AH92" s="1"/>
    </row>
    <row r="93" ht="12.75" hidden="1" customHeight="1" outlineLevel="1">
      <c r="A93" s="17">
        <v>41067.0</v>
      </c>
      <c r="B93" s="1" t="s">
        <v>343</v>
      </c>
      <c r="C93" s="1" t="s">
        <v>371</v>
      </c>
      <c r="D93" s="1">
        <v>150.0</v>
      </c>
      <c r="E93" s="1">
        <v>24.73</v>
      </c>
      <c r="F93" s="75">
        <v>0.7844328703703703</v>
      </c>
      <c r="G93" s="1"/>
      <c r="H93" s="1">
        <v>1.0</v>
      </c>
      <c r="I93" s="76"/>
      <c r="J93" s="67">
        <f t="shared" si="8"/>
        <v>-3710.5</v>
      </c>
      <c r="K93" s="1"/>
      <c r="L93" s="70"/>
      <c r="M93" s="79"/>
      <c r="N93" s="1"/>
      <c r="O93" s="1"/>
      <c r="P93" s="1"/>
      <c r="Q93" s="1"/>
      <c r="R93" s="1"/>
      <c r="S93" s="1"/>
      <c r="T93" s="1"/>
      <c r="U93" s="1"/>
      <c r="V93" s="1"/>
      <c r="W93" s="1"/>
      <c r="X93" s="1"/>
      <c r="Y93" s="1"/>
      <c r="Z93" s="1"/>
      <c r="AA93" s="1"/>
      <c r="AB93" s="1"/>
      <c r="AC93" s="1"/>
      <c r="AD93" s="1"/>
      <c r="AE93" s="1"/>
      <c r="AF93" s="1"/>
      <c r="AG93" s="1"/>
      <c r="AH93" s="1"/>
    </row>
    <row r="94" ht="12.75" hidden="1" customHeight="1" outlineLevel="1">
      <c r="A94" s="17">
        <v>41067.0</v>
      </c>
      <c r="B94" s="1" t="s">
        <v>347</v>
      </c>
      <c r="C94" s="1" t="s">
        <v>390</v>
      </c>
      <c r="D94" s="1">
        <v>175.0</v>
      </c>
      <c r="E94" s="1">
        <v>13.59</v>
      </c>
      <c r="F94" s="75">
        <v>0.7969444444444443</v>
      </c>
      <c r="G94" s="1"/>
      <c r="H94" s="1">
        <v>1.0</v>
      </c>
      <c r="I94" s="76"/>
      <c r="J94" s="67">
        <f t="shared" si="8"/>
        <v>2377.25</v>
      </c>
      <c r="K94" s="1"/>
      <c r="L94" s="70"/>
      <c r="M94" s="79"/>
      <c r="N94" s="1"/>
      <c r="O94" s="1"/>
      <c r="P94" s="1"/>
      <c r="Q94" s="1"/>
      <c r="R94" s="1"/>
      <c r="S94" s="1"/>
      <c r="T94" s="1"/>
      <c r="U94" s="1"/>
      <c r="V94" s="1"/>
      <c r="W94" s="1"/>
      <c r="X94" s="1"/>
      <c r="Y94" s="1"/>
      <c r="Z94" s="1"/>
      <c r="AA94" s="1"/>
      <c r="AB94" s="1"/>
      <c r="AC94" s="1"/>
      <c r="AD94" s="1"/>
      <c r="AE94" s="1"/>
      <c r="AF94" s="1"/>
      <c r="AG94" s="1"/>
      <c r="AH94" s="1"/>
    </row>
    <row r="95" ht="12.75" hidden="1" customHeight="1" outlineLevel="1">
      <c r="A95" s="17">
        <v>41067.0</v>
      </c>
      <c r="B95" s="1" t="s">
        <v>347</v>
      </c>
      <c r="C95" s="1" t="s">
        <v>390</v>
      </c>
      <c r="D95" s="1">
        <v>125.0</v>
      </c>
      <c r="E95" s="1">
        <v>13.59</v>
      </c>
      <c r="F95" s="75">
        <v>0.7969444444444443</v>
      </c>
      <c r="G95" s="1"/>
      <c r="H95" s="1">
        <v>0.5</v>
      </c>
      <c r="I95" s="76"/>
      <c r="J95" s="67">
        <f t="shared" si="8"/>
        <v>1698.25</v>
      </c>
      <c r="K95" s="1"/>
      <c r="L95" s="70"/>
      <c r="M95" s="79"/>
      <c r="N95" s="1"/>
      <c r="O95" s="1"/>
      <c r="P95" s="1"/>
      <c r="Q95" s="1"/>
      <c r="R95" s="1"/>
      <c r="S95" s="1"/>
      <c r="T95" s="1"/>
      <c r="U95" s="1"/>
      <c r="V95" s="1"/>
      <c r="W95" s="1"/>
      <c r="X95" s="1"/>
      <c r="Y95" s="1"/>
      <c r="Z95" s="1"/>
      <c r="AA95" s="1"/>
      <c r="AB95" s="1"/>
      <c r="AC95" s="1"/>
      <c r="AD95" s="1"/>
      <c r="AE95" s="1"/>
      <c r="AF95" s="1"/>
      <c r="AG95" s="1"/>
      <c r="AH95" s="1"/>
    </row>
    <row r="96" ht="12.75" hidden="1" customHeight="1" outlineLevel="1">
      <c r="A96" s="17">
        <v>41067.0</v>
      </c>
      <c r="B96" s="1" t="s">
        <v>347</v>
      </c>
      <c r="C96" s="1" t="s">
        <v>390</v>
      </c>
      <c r="D96" s="1">
        <v>100.0</v>
      </c>
      <c r="E96" s="1">
        <v>13.59</v>
      </c>
      <c r="F96" s="75">
        <v>0.7969444444444443</v>
      </c>
      <c r="G96" s="1"/>
      <c r="H96" s="1">
        <v>0.5</v>
      </c>
      <c r="I96" s="76"/>
      <c r="J96" s="67">
        <f t="shared" si="8"/>
        <v>1358.5</v>
      </c>
      <c r="K96" s="1"/>
      <c r="L96" s="70"/>
      <c r="M96" s="79"/>
      <c r="N96" s="1"/>
      <c r="O96" s="1"/>
      <c r="P96" s="1"/>
      <c r="Q96" s="1"/>
      <c r="R96" s="1"/>
      <c r="S96" s="1"/>
      <c r="T96" s="1"/>
      <c r="U96" s="1"/>
      <c r="V96" s="1"/>
      <c r="W96" s="1"/>
      <c r="X96" s="1"/>
      <c r="Y96" s="1"/>
      <c r="Z96" s="1"/>
      <c r="AA96" s="1"/>
      <c r="AB96" s="1"/>
      <c r="AC96" s="1"/>
      <c r="AD96" s="1"/>
      <c r="AE96" s="1"/>
      <c r="AF96" s="1"/>
      <c r="AG96" s="1"/>
      <c r="AH96" s="1"/>
    </row>
    <row r="97" ht="12.75" hidden="1" customHeight="1" outlineLevel="1">
      <c r="A97" s="17">
        <v>41067.0</v>
      </c>
      <c r="B97" s="1" t="s">
        <v>347</v>
      </c>
      <c r="C97" s="1" t="s">
        <v>390</v>
      </c>
      <c r="D97" s="1">
        <v>100.0</v>
      </c>
      <c r="E97" s="1">
        <v>13.59</v>
      </c>
      <c r="F97" s="75">
        <v>0.7969444444444443</v>
      </c>
      <c r="G97" s="1"/>
      <c r="H97" s="1">
        <v>0.5</v>
      </c>
      <c r="I97" s="76"/>
      <c r="J97" s="67">
        <f t="shared" si="8"/>
        <v>1358.5</v>
      </c>
      <c r="K97" s="1"/>
      <c r="L97" s="70"/>
      <c r="M97" s="79"/>
      <c r="N97" s="1"/>
      <c r="O97" s="1"/>
      <c r="P97" s="1"/>
      <c r="Q97" s="1"/>
      <c r="R97" s="1"/>
      <c r="S97" s="1"/>
      <c r="T97" s="1"/>
      <c r="U97" s="1"/>
      <c r="V97" s="1"/>
      <c r="W97" s="1"/>
      <c r="X97" s="1"/>
      <c r="Y97" s="1"/>
      <c r="Z97" s="1"/>
      <c r="AA97" s="1"/>
      <c r="AB97" s="1"/>
      <c r="AC97" s="1"/>
      <c r="AD97" s="1"/>
      <c r="AE97" s="1"/>
      <c r="AF97" s="1"/>
      <c r="AG97" s="1"/>
      <c r="AH97" s="1"/>
    </row>
    <row r="98" ht="12.75" hidden="1" customHeight="1" outlineLevel="1">
      <c r="A98" s="17">
        <v>41067.0</v>
      </c>
      <c r="B98" s="1" t="s">
        <v>343</v>
      </c>
      <c r="C98" s="1" t="s">
        <v>355</v>
      </c>
      <c r="D98" s="1">
        <v>75.0</v>
      </c>
      <c r="E98" s="1">
        <v>47.82</v>
      </c>
      <c r="F98" s="75">
        <v>0.8008333333333333</v>
      </c>
      <c r="G98" s="1"/>
      <c r="H98" s="1">
        <v>1.0</v>
      </c>
      <c r="I98" s="76"/>
      <c r="J98" s="67">
        <f t="shared" si="8"/>
        <v>-3587.5</v>
      </c>
      <c r="K98" s="1"/>
      <c r="L98" s="70"/>
      <c r="M98" s="79"/>
      <c r="N98" s="1"/>
      <c r="O98" s="1"/>
      <c r="P98" s="1"/>
      <c r="Q98" s="1"/>
      <c r="R98" s="1"/>
      <c r="S98" s="1"/>
      <c r="T98" s="1"/>
      <c r="U98" s="1"/>
      <c r="V98" s="1"/>
      <c r="W98" s="1"/>
      <c r="X98" s="1"/>
      <c r="Y98" s="1"/>
      <c r="Z98" s="1"/>
      <c r="AA98" s="1"/>
      <c r="AB98" s="1"/>
      <c r="AC98" s="1"/>
      <c r="AD98" s="1"/>
      <c r="AE98" s="1"/>
      <c r="AF98" s="1"/>
      <c r="AG98" s="1"/>
      <c r="AH98" s="1"/>
    </row>
    <row r="99" ht="12.75" hidden="1" customHeight="1" outlineLevel="1">
      <c r="A99" s="17">
        <v>41067.0</v>
      </c>
      <c r="B99" s="1" t="s">
        <v>347</v>
      </c>
      <c r="C99" s="1" t="s">
        <v>387</v>
      </c>
      <c r="D99" s="1">
        <v>100.0</v>
      </c>
      <c r="E99" s="1">
        <v>68.16</v>
      </c>
      <c r="F99" s="75">
        <v>0.8055555555555555</v>
      </c>
      <c r="G99" s="1"/>
      <c r="H99" s="1">
        <v>1.0</v>
      </c>
      <c r="I99" s="76"/>
      <c r="J99" s="67">
        <f t="shared" si="8"/>
        <v>6815</v>
      </c>
      <c r="K99" s="1"/>
      <c r="L99" s="70"/>
      <c r="M99" s="79"/>
      <c r="N99" s="1"/>
      <c r="O99" s="1"/>
      <c r="P99" s="1"/>
      <c r="Q99" s="1"/>
      <c r="R99" s="1"/>
      <c r="S99" s="1"/>
      <c r="T99" s="1"/>
      <c r="U99" s="1"/>
      <c r="V99" s="1"/>
      <c r="W99" s="1"/>
      <c r="X99" s="1"/>
      <c r="Y99" s="1"/>
      <c r="Z99" s="1"/>
      <c r="AA99" s="1"/>
      <c r="AB99" s="1"/>
      <c r="AC99" s="1"/>
      <c r="AD99" s="1"/>
      <c r="AE99" s="1"/>
      <c r="AF99" s="1"/>
      <c r="AG99" s="1"/>
      <c r="AH99" s="1"/>
    </row>
    <row r="100" ht="12.75" hidden="1" customHeight="1" outlineLevel="1">
      <c r="A100" s="17">
        <v>41067.0</v>
      </c>
      <c r="B100" s="1" t="s">
        <v>347</v>
      </c>
      <c r="C100" s="1" t="s">
        <v>388</v>
      </c>
      <c r="D100" s="1">
        <v>17.0</v>
      </c>
      <c r="E100" s="1">
        <v>416.6</v>
      </c>
      <c r="F100" s="75">
        <v>0.8065509259259259</v>
      </c>
      <c r="G100" s="1"/>
      <c r="H100" s="1">
        <v>1.0</v>
      </c>
      <c r="I100" s="76"/>
      <c r="J100" s="67">
        <f t="shared" si="8"/>
        <v>7081.2</v>
      </c>
      <c r="K100" s="1"/>
      <c r="L100" s="70"/>
      <c r="M100" s="79"/>
      <c r="N100" s="1"/>
      <c r="O100" s="1"/>
      <c r="P100" s="1"/>
      <c r="Q100" s="1"/>
      <c r="R100" s="1"/>
      <c r="S100" s="1"/>
      <c r="T100" s="1"/>
      <c r="U100" s="1"/>
      <c r="V100" s="1"/>
      <c r="W100" s="1"/>
      <c r="X100" s="1"/>
      <c r="Y100" s="1"/>
      <c r="Z100" s="1"/>
      <c r="AA100" s="1"/>
      <c r="AB100" s="1"/>
      <c r="AC100" s="1"/>
      <c r="AD100" s="1"/>
      <c r="AE100" s="1"/>
      <c r="AF100" s="1"/>
      <c r="AG100" s="1"/>
      <c r="AH100" s="1"/>
    </row>
    <row r="101" ht="12.75" hidden="1" customHeight="1" outlineLevel="1">
      <c r="A101" s="17">
        <v>41067.0</v>
      </c>
      <c r="B101" s="1" t="s">
        <v>347</v>
      </c>
      <c r="C101" s="1" t="s">
        <v>394</v>
      </c>
      <c r="D101" s="1">
        <v>50.0</v>
      </c>
      <c r="E101" s="1">
        <v>1309.0</v>
      </c>
      <c r="F101" s="75">
        <v>0.819212962962963</v>
      </c>
      <c r="G101" s="1"/>
      <c r="H101" s="1">
        <v>2.01</v>
      </c>
      <c r="I101" s="76"/>
      <c r="J101" s="67">
        <f t="shared" si="8"/>
        <v>65447.99</v>
      </c>
      <c r="K101" s="1" t="s">
        <v>395</v>
      </c>
      <c r="L101" s="70"/>
      <c r="M101" s="79"/>
      <c r="N101" s="1"/>
      <c r="O101" s="1"/>
      <c r="P101" s="1"/>
      <c r="Q101" s="1"/>
      <c r="R101" s="1"/>
      <c r="S101" s="1"/>
      <c r="T101" s="1"/>
      <c r="U101" s="1"/>
      <c r="V101" s="1"/>
      <c r="W101" s="1"/>
      <c r="X101" s="1"/>
      <c r="Y101" s="1"/>
      <c r="Z101" s="1"/>
      <c r="AA101" s="1"/>
      <c r="AB101" s="1"/>
      <c r="AC101" s="1"/>
      <c r="AD101" s="1"/>
      <c r="AE101" s="1"/>
      <c r="AF101" s="1"/>
      <c r="AG101" s="1"/>
      <c r="AH101" s="1"/>
    </row>
    <row r="102" ht="12.75" hidden="1" customHeight="1" outlineLevel="1">
      <c r="A102" s="17">
        <v>41067.0</v>
      </c>
      <c r="B102" s="1" t="s">
        <v>347</v>
      </c>
      <c r="C102" s="1" t="s">
        <v>355</v>
      </c>
      <c r="D102" s="1">
        <v>75.0</v>
      </c>
      <c r="E102" s="1">
        <v>47.29</v>
      </c>
      <c r="F102" s="75">
        <v>0.8326736111111112</v>
      </c>
      <c r="G102" s="1"/>
      <c r="H102" s="1">
        <v>1.0</v>
      </c>
      <c r="I102" s="76"/>
      <c r="J102" s="67">
        <f t="shared" si="8"/>
        <v>3545.75</v>
      </c>
      <c r="K102" s="1"/>
      <c r="L102" s="70"/>
      <c r="M102" s="79"/>
      <c r="N102" s="1"/>
      <c r="O102" s="1"/>
      <c r="P102" s="1"/>
      <c r="Q102" s="1"/>
      <c r="R102" s="1"/>
      <c r="S102" s="1"/>
      <c r="T102" s="1"/>
      <c r="U102" s="1"/>
      <c r="V102" s="1"/>
      <c r="W102" s="1"/>
      <c r="X102" s="1"/>
      <c r="Y102" s="1"/>
      <c r="Z102" s="1"/>
      <c r="AA102" s="1"/>
      <c r="AB102" s="1"/>
      <c r="AC102" s="1"/>
      <c r="AD102" s="1"/>
      <c r="AE102" s="1"/>
      <c r="AF102" s="1"/>
      <c r="AG102" s="1"/>
      <c r="AH102" s="1"/>
    </row>
    <row r="103" ht="12.75" hidden="1" customHeight="1" outlineLevel="1">
      <c r="A103" s="17">
        <v>41067.0</v>
      </c>
      <c r="B103" s="1" t="s">
        <v>343</v>
      </c>
      <c r="C103" s="1" t="s">
        <v>394</v>
      </c>
      <c r="D103" s="1">
        <v>50.0</v>
      </c>
      <c r="E103" s="1">
        <v>1304.25</v>
      </c>
      <c r="F103" s="75">
        <v>0.913611111111111</v>
      </c>
      <c r="G103" s="1"/>
      <c r="H103" s="1">
        <v>2.01</v>
      </c>
      <c r="I103" s="76"/>
      <c r="J103" s="67">
        <f t="shared" si="8"/>
        <v>-65214.51</v>
      </c>
      <c r="K103" s="1" t="s">
        <v>395</v>
      </c>
      <c r="L103" s="70"/>
      <c r="M103" s="79"/>
      <c r="N103" s="1"/>
      <c r="O103" s="1"/>
      <c r="P103" s="1"/>
      <c r="Q103" s="1"/>
      <c r="R103" s="1"/>
      <c r="S103" s="1"/>
      <c r="T103" s="1"/>
      <c r="U103" s="1"/>
      <c r="V103" s="1"/>
      <c r="W103" s="1"/>
      <c r="X103" s="1"/>
      <c r="Y103" s="1"/>
      <c r="Z103" s="1"/>
      <c r="AA103" s="1"/>
      <c r="AB103" s="1"/>
      <c r="AC103" s="1"/>
      <c r="AD103" s="1"/>
      <c r="AE103" s="1"/>
      <c r="AF103" s="1"/>
      <c r="AG103" s="1"/>
      <c r="AH103" s="1"/>
    </row>
    <row r="104" ht="12.75" hidden="1" customHeight="1" outlineLevel="1">
      <c r="A104" s="17">
        <v>41067.0</v>
      </c>
      <c r="B104" s="1"/>
      <c r="C104" s="1" t="s">
        <v>339</v>
      </c>
      <c r="D104" s="74"/>
      <c r="E104" s="67"/>
      <c r="F104" s="75"/>
      <c r="G104" s="67"/>
      <c r="H104" s="68"/>
      <c r="I104" s="76"/>
      <c r="J104" s="67"/>
      <c r="K104" s="7" t="s">
        <v>396</v>
      </c>
      <c r="L104" s="77"/>
      <c r="M104" s="79"/>
      <c r="N104" s="1"/>
      <c r="O104" s="1"/>
      <c r="P104" s="1"/>
      <c r="Q104" s="1"/>
      <c r="R104" s="1"/>
      <c r="S104" s="1"/>
      <c r="T104" s="1"/>
      <c r="U104" s="1"/>
      <c r="V104" s="1"/>
      <c r="W104" s="1"/>
      <c r="X104" s="1"/>
      <c r="Y104" s="1"/>
      <c r="Z104" s="1"/>
      <c r="AA104" s="1"/>
      <c r="AB104" s="1"/>
      <c r="AC104" s="1"/>
      <c r="AD104" s="1"/>
      <c r="AE104" s="1"/>
      <c r="AF104" s="1"/>
      <c r="AG104" s="1"/>
      <c r="AH104" s="1"/>
    </row>
    <row r="105" ht="12.75" hidden="1" customHeight="1" outlineLevel="1">
      <c r="A105" s="17">
        <v>41068.0</v>
      </c>
      <c r="B105" s="1"/>
      <c r="C105" s="1" t="s">
        <v>339</v>
      </c>
      <c r="D105" s="74"/>
      <c r="E105" s="67"/>
      <c r="F105" s="75"/>
      <c r="G105" s="67"/>
      <c r="H105" s="68"/>
      <c r="I105" s="76"/>
      <c r="J105" s="67"/>
      <c r="K105" s="7" t="s">
        <v>397</v>
      </c>
      <c r="L105" s="77"/>
      <c r="M105" s="79"/>
      <c r="N105" s="1"/>
      <c r="O105" s="1"/>
      <c r="P105" s="1"/>
      <c r="Q105" s="1"/>
      <c r="R105" s="1"/>
      <c r="S105" s="1"/>
      <c r="T105" s="1"/>
      <c r="U105" s="1"/>
      <c r="V105" s="1"/>
      <c r="W105" s="1"/>
      <c r="X105" s="1"/>
      <c r="Y105" s="1"/>
      <c r="Z105" s="1"/>
      <c r="AA105" s="1"/>
      <c r="AB105" s="1"/>
      <c r="AC105" s="1"/>
      <c r="AD105" s="1"/>
      <c r="AE105" s="1"/>
      <c r="AF105" s="1"/>
      <c r="AG105" s="1"/>
      <c r="AH105" s="1"/>
    </row>
    <row r="106" ht="12.75" hidden="1" customHeight="1" outlineLevel="1">
      <c r="A106" s="17">
        <v>41069.0</v>
      </c>
      <c r="B106" s="1"/>
      <c r="C106" s="1" t="s">
        <v>339</v>
      </c>
      <c r="D106" s="74"/>
      <c r="E106" s="67"/>
      <c r="F106" s="75"/>
      <c r="G106" s="67"/>
      <c r="H106" s="68"/>
      <c r="I106" s="76"/>
      <c r="J106" s="67"/>
      <c r="K106" s="7" t="s">
        <v>398</v>
      </c>
      <c r="L106" s="77"/>
      <c r="M106" s="79"/>
      <c r="N106" s="1"/>
      <c r="O106" s="1"/>
      <c r="P106" s="1"/>
      <c r="Q106" s="1"/>
      <c r="R106" s="1"/>
      <c r="S106" s="1"/>
      <c r="T106" s="1"/>
      <c r="U106" s="1"/>
      <c r="V106" s="1"/>
      <c r="W106" s="1"/>
      <c r="X106" s="1"/>
      <c r="Y106" s="1"/>
      <c r="Z106" s="1"/>
      <c r="AA106" s="1"/>
      <c r="AB106" s="1"/>
      <c r="AC106" s="1"/>
      <c r="AD106" s="1"/>
      <c r="AE106" s="1"/>
      <c r="AF106" s="1"/>
      <c r="AG106" s="1"/>
      <c r="AH106" s="1"/>
    </row>
    <row r="107" ht="12.75" hidden="1" customHeight="1" outlineLevel="1">
      <c r="A107" s="17">
        <v>41071.0</v>
      </c>
      <c r="B107" s="1" t="s">
        <v>347</v>
      </c>
      <c r="C107" s="1" t="s">
        <v>399</v>
      </c>
      <c r="D107" s="74">
        <v>50.0</v>
      </c>
      <c r="E107" s="67">
        <v>10.36</v>
      </c>
      <c r="F107" s="75">
        <v>0.757349537037037</v>
      </c>
      <c r="G107" s="67"/>
      <c r="H107" s="68">
        <v>1.0</v>
      </c>
      <c r="I107" s="76"/>
      <c r="J107" s="67">
        <f t="shared" ref="J107:J116" si="9">IF(B107="SLD",D107*E107,-D107*E107)-H107</f>
        <v>517</v>
      </c>
      <c r="K107" s="1"/>
      <c r="L107" s="70"/>
      <c r="M107" s="79"/>
      <c r="N107" s="1"/>
      <c r="O107" s="1"/>
      <c r="P107" s="1"/>
      <c r="Q107" s="1"/>
      <c r="R107" s="1"/>
      <c r="S107" s="1"/>
      <c r="T107" s="1"/>
      <c r="U107" s="1"/>
      <c r="V107" s="1"/>
      <c r="W107" s="1"/>
      <c r="X107" s="1"/>
      <c r="Y107" s="1"/>
      <c r="Z107" s="1"/>
      <c r="AA107" s="1"/>
      <c r="AB107" s="1"/>
      <c r="AC107" s="1"/>
      <c r="AD107" s="1"/>
      <c r="AE107" s="1"/>
      <c r="AF107" s="1"/>
      <c r="AG107" s="1"/>
      <c r="AH107" s="1"/>
    </row>
    <row r="108" ht="12.75" hidden="1" customHeight="1" outlineLevel="1">
      <c r="A108" s="17">
        <v>41071.0</v>
      </c>
      <c r="B108" s="1" t="s">
        <v>347</v>
      </c>
      <c r="C108" s="1" t="s">
        <v>399</v>
      </c>
      <c r="D108" s="74">
        <v>200.0</v>
      </c>
      <c r="E108" s="67">
        <v>10.36</v>
      </c>
      <c r="F108" s="75">
        <v>0.757349537037037</v>
      </c>
      <c r="G108" s="67"/>
      <c r="H108" s="68">
        <v>0.05</v>
      </c>
      <c r="I108" s="76"/>
      <c r="J108" s="67">
        <f t="shared" si="9"/>
        <v>2071.95</v>
      </c>
      <c r="K108" s="1"/>
      <c r="L108" s="70"/>
      <c r="M108" s="79"/>
      <c r="N108" s="1"/>
      <c r="O108" s="1"/>
      <c r="P108" s="1"/>
      <c r="Q108" s="1"/>
      <c r="R108" s="1"/>
      <c r="S108" s="1"/>
      <c r="T108" s="1"/>
      <c r="U108" s="1"/>
      <c r="V108" s="1"/>
      <c r="W108" s="1"/>
      <c r="X108" s="1"/>
      <c r="Y108" s="1"/>
      <c r="Z108" s="1"/>
      <c r="AA108" s="1"/>
      <c r="AB108" s="1"/>
      <c r="AC108" s="1"/>
      <c r="AD108" s="1"/>
      <c r="AE108" s="1"/>
      <c r="AF108" s="1"/>
      <c r="AG108" s="1"/>
      <c r="AH108" s="1"/>
    </row>
    <row r="109" ht="12.75" hidden="1" customHeight="1" outlineLevel="1">
      <c r="A109" s="17">
        <v>41071.0</v>
      </c>
      <c r="B109" s="1" t="s">
        <v>347</v>
      </c>
      <c r="C109" s="1" t="s">
        <v>399</v>
      </c>
      <c r="D109" s="74">
        <v>100.0</v>
      </c>
      <c r="E109" s="67">
        <v>10.36</v>
      </c>
      <c r="F109" s="75">
        <v>0.757349537037037</v>
      </c>
      <c r="G109" s="67"/>
      <c r="H109" s="68">
        <v>0.4</v>
      </c>
      <c r="I109" s="76"/>
      <c r="J109" s="67">
        <f t="shared" si="9"/>
        <v>1035.6</v>
      </c>
      <c r="K109" s="1"/>
      <c r="L109" s="70"/>
      <c r="M109" s="79"/>
      <c r="N109" s="1"/>
      <c r="O109" s="1"/>
      <c r="P109" s="1"/>
      <c r="Q109" s="1"/>
      <c r="R109" s="1"/>
      <c r="S109" s="1"/>
      <c r="T109" s="1"/>
      <c r="U109" s="1"/>
      <c r="V109" s="1"/>
      <c r="W109" s="1"/>
      <c r="X109" s="1"/>
      <c r="Y109" s="1"/>
      <c r="Z109" s="1"/>
      <c r="AA109" s="1"/>
      <c r="AB109" s="1"/>
      <c r="AC109" s="1"/>
      <c r="AD109" s="1"/>
      <c r="AE109" s="1"/>
      <c r="AF109" s="1"/>
      <c r="AG109" s="1"/>
      <c r="AH109" s="1"/>
    </row>
    <row r="110" ht="12.75" hidden="1" customHeight="1" outlineLevel="1">
      <c r="A110" s="17">
        <v>41071.0</v>
      </c>
      <c r="B110" s="1" t="s">
        <v>347</v>
      </c>
      <c r="C110" s="1" t="s">
        <v>344</v>
      </c>
      <c r="D110" s="74">
        <v>200.0</v>
      </c>
      <c r="E110" s="67">
        <v>29.83</v>
      </c>
      <c r="F110" s="75">
        <v>0.7946875000000001</v>
      </c>
      <c r="G110" s="67"/>
      <c r="H110" s="68">
        <v>1.0</v>
      </c>
      <c r="I110" s="76"/>
      <c r="J110" s="67">
        <f t="shared" si="9"/>
        <v>5965</v>
      </c>
      <c r="K110" s="1"/>
      <c r="L110" s="70"/>
      <c r="M110" s="79"/>
      <c r="N110" s="1"/>
      <c r="O110" s="1"/>
      <c r="P110" s="1"/>
      <c r="Q110" s="1"/>
      <c r="R110" s="1"/>
      <c r="S110" s="1"/>
      <c r="T110" s="1"/>
      <c r="U110" s="1"/>
      <c r="V110" s="1"/>
      <c r="W110" s="1"/>
      <c r="X110" s="1"/>
      <c r="Y110" s="1"/>
      <c r="Z110" s="1"/>
      <c r="AA110" s="1"/>
      <c r="AB110" s="1"/>
      <c r="AC110" s="1"/>
      <c r="AD110" s="1"/>
      <c r="AE110" s="1"/>
      <c r="AF110" s="1"/>
      <c r="AG110" s="1"/>
      <c r="AH110" s="1"/>
    </row>
    <row r="111" ht="12.75" hidden="1" customHeight="1" outlineLevel="1">
      <c r="A111" s="17">
        <v>41071.0</v>
      </c>
      <c r="B111" s="1" t="s">
        <v>347</v>
      </c>
      <c r="C111" s="1" t="s">
        <v>344</v>
      </c>
      <c r="D111" s="74">
        <v>50.0</v>
      </c>
      <c r="E111" s="67">
        <v>29.83</v>
      </c>
      <c r="F111" s="75">
        <v>0.7946875000000001</v>
      </c>
      <c r="G111" s="67"/>
      <c r="H111" s="68">
        <v>0.25</v>
      </c>
      <c r="I111" s="76"/>
      <c r="J111" s="67">
        <f t="shared" si="9"/>
        <v>1491.25</v>
      </c>
      <c r="K111" s="1"/>
      <c r="L111" s="70"/>
      <c r="M111" s="79"/>
      <c r="N111" s="1"/>
      <c r="O111" s="1"/>
      <c r="P111" s="1"/>
      <c r="Q111" s="1"/>
      <c r="R111" s="1"/>
      <c r="S111" s="1"/>
      <c r="T111" s="1"/>
      <c r="U111" s="1"/>
      <c r="V111" s="1"/>
      <c r="W111" s="1"/>
      <c r="X111" s="1"/>
      <c r="Y111" s="1"/>
      <c r="Z111" s="1"/>
      <c r="AA111" s="1"/>
      <c r="AB111" s="1"/>
      <c r="AC111" s="1"/>
      <c r="AD111" s="1"/>
      <c r="AE111" s="1"/>
      <c r="AF111" s="1"/>
      <c r="AG111" s="1"/>
      <c r="AH111" s="1"/>
    </row>
    <row r="112" ht="12.75" hidden="1" customHeight="1" outlineLevel="1">
      <c r="A112" s="17">
        <v>41071.0</v>
      </c>
      <c r="B112" s="1" t="s">
        <v>347</v>
      </c>
      <c r="C112" s="1" t="s">
        <v>344</v>
      </c>
      <c r="D112" s="74">
        <v>100.0</v>
      </c>
      <c r="E112" s="67">
        <v>29.66</v>
      </c>
      <c r="F112" s="75">
        <v>0.8167708333333333</v>
      </c>
      <c r="G112" s="67"/>
      <c r="H112" s="68">
        <v>1.0</v>
      </c>
      <c r="I112" s="76"/>
      <c r="J112" s="67">
        <f t="shared" si="9"/>
        <v>2965</v>
      </c>
      <c r="K112" s="1"/>
      <c r="L112" s="70"/>
      <c r="M112" s="79"/>
      <c r="N112" s="1"/>
      <c r="O112" s="1"/>
      <c r="P112" s="1"/>
      <c r="Q112" s="1"/>
      <c r="R112" s="1"/>
      <c r="S112" s="1"/>
      <c r="T112" s="1"/>
      <c r="U112" s="1"/>
      <c r="V112" s="1"/>
      <c r="W112" s="1"/>
      <c r="X112" s="1"/>
      <c r="Y112" s="1"/>
      <c r="Z112" s="1"/>
      <c r="AA112" s="1"/>
      <c r="AB112" s="1"/>
      <c r="AC112" s="1"/>
      <c r="AD112" s="1"/>
      <c r="AE112" s="1"/>
      <c r="AF112" s="1"/>
      <c r="AG112" s="1"/>
      <c r="AH112" s="1"/>
    </row>
    <row r="113" ht="12.75" hidden="1" customHeight="1" outlineLevel="1">
      <c r="A113" s="17">
        <v>41071.0</v>
      </c>
      <c r="B113" s="1" t="s">
        <v>347</v>
      </c>
      <c r="C113" s="1" t="s">
        <v>344</v>
      </c>
      <c r="D113" s="74">
        <v>100.0</v>
      </c>
      <c r="E113" s="67">
        <v>29.66</v>
      </c>
      <c r="F113" s="75">
        <v>0.8167708333333333</v>
      </c>
      <c r="G113" s="67"/>
      <c r="H113" s="68">
        <v>0.0</v>
      </c>
      <c r="I113" s="76"/>
      <c r="J113" s="67">
        <f t="shared" si="9"/>
        <v>2966</v>
      </c>
      <c r="K113" s="1"/>
      <c r="L113" s="70"/>
      <c r="M113" s="79"/>
      <c r="N113" s="1"/>
      <c r="O113" s="1"/>
      <c r="P113" s="1"/>
      <c r="Q113" s="1"/>
      <c r="R113" s="1"/>
      <c r="S113" s="1"/>
      <c r="T113" s="1"/>
      <c r="U113" s="1"/>
      <c r="V113" s="1"/>
      <c r="W113" s="1"/>
      <c r="X113" s="1"/>
      <c r="Y113" s="1"/>
      <c r="Z113" s="1"/>
      <c r="AA113" s="1"/>
      <c r="AB113" s="1"/>
      <c r="AC113" s="1"/>
      <c r="AD113" s="1"/>
      <c r="AE113" s="1"/>
      <c r="AF113" s="1"/>
      <c r="AG113" s="1"/>
      <c r="AH113" s="1"/>
    </row>
    <row r="114" ht="12.75" hidden="1" customHeight="1" outlineLevel="1">
      <c r="A114" s="17">
        <v>41071.0</v>
      </c>
      <c r="B114" s="1" t="s">
        <v>347</v>
      </c>
      <c r="C114" s="1" t="s">
        <v>344</v>
      </c>
      <c r="D114" s="74">
        <v>200.0</v>
      </c>
      <c r="E114" s="67">
        <v>29.66</v>
      </c>
      <c r="F114" s="75">
        <v>0.8167708333333333</v>
      </c>
      <c r="G114" s="67"/>
      <c r="H114" s="68">
        <v>1.0</v>
      </c>
      <c r="I114" s="76"/>
      <c r="J114" s="67">
        <f t="shared" si="9"/>
        <v>5931</v>
      </c>
      <c r="K114" s="1"/>
      <c r="L114" s="70"/>
      <c r="M114" s="79"/>
      <c r="N114" s="1"/>
      <c r="O114" s="1"/>
      <c r="P114" s="1"/>
      <c r="Q114" s="1"/>
      <c r="R114" s="1"/>
      <c r="S114" s="1"/>
      <c r="T114" s="1"/>
      <c r="U114" s="1"/>
      <c r="V114" s="1"/>
      <c r="W114" s="1"/>
      <c r="X114" s="1"/>
      <c r="Y114" s="1"/>
      <c r="Z114" s="1"/>
      <c r="AA114" s="1"/>
      <c r="AB114" s="1"/>
      <c r="AC114" s="1"/>
      <c r="AD114" s="1"/>
      <c r="AE114" s="1"/>
      <c r="AF114" s="1"/>
      <c r="AG114" s="1"/>
      <c r="AH114" s="1"/>
    </row>
    <row r="115" ht="12.75" hidden="1" customHeight="1" outlineLevel="1">
      <c r="A115" s="17">
        <v>41071.0</v>
      </c>
      <c r="B115" s="1" t="s">
        <v>347</v>
      </c>
      <c r="C115" s="1" t="s">
        <v>344</v>
      </c>
      <c r="D115" s="74">
        <v>100.0</v>
      </c>
      <c r="E115" s="67">
        <v>29.66</v>
      </c>
      <c r="F115" s="75">
        <v>0.8167708333333333</v>
      </c>
      <c r="G115" s="67"/>
      <c r="H115" s="68">
        <v>0.5</v>
      </c>
      <c r="I115" s="76"/>
      <c r="J115" s="67">
        <f t="shared" si="9"/>
        <v>2965.5</v>
      </c>
      <c r="K115" s="1"/>
      <c r="L115" s="70"/>
      <c r="M115" s="79"/>
      <c r="N115" s="1"/>
      <c r="O115" s="1"/>
      <c r="P115" s="1"/>
      <c r="Q115" s="1"/>
      <c r="R115" s="1"/>
      <c r="S115" s="1"/>
      <c r="T115" s="1"/>
      <c r="U115" s="1"/>
      <c r="V115" s="1"/>
      <c r="W115" s="1"/>
      <c r="X115" s="1"/>
      <c r="Y115" s="1"/>
      <c r="Z115" s="1"/>
      <c r="AA115" s="1"/>
      <c r="AB115" s="1"/>
      <c r="AC115" s="1"/>
      <c r="AD115" s="1"/>
      <c r="AE115" s="1"/>
      <c r="AF115" s="1"/>
      <c r="AG115" s="1"/>
      <c r="AH115" s="1"/>
    </row>
    <row r="116" ht="12.75" hidden="1" customHeight="1" outlineLevel="1">
      <c r="A116" s="17">
        <v>41071.0</v>
      </c>
      <c r="B116" s="1" t="s">
        <v>347</v>
      </c>
      <c r="C116" s="1" t="s">
        <v>355</v>
      </c>
      <c r="D116" s="74">
        <v>75.0</v>
      </c>
      <c r="E116" s="67">
        <v>44.54</v>
      </c>
      <c r="F116" s="75">
        <v>0.8202430555555557</v>
      </c>
      <c r="G116" s="67"/>
      <c r="H116" s="68">
        <v>1.0</v>
      </c>
      <c r="I116" s="76"/>
      <c r="J116" s="67">
        <f t="shared" si="9"/>
        <v>3339.5</v>
      </c>
      <c r="K116" s="1"/>
      <c r="L116" s="70"/>
      <c r="M116" s="79"/>
      <c r="N116" s="1"/>
      <c r="O116" s="1"/>
      <c r="P116" s="1"/>
      <c r="Q116" s="1"/>
      <c r="R116" s="1"/>
      <c r="S116" s="1"/>
      <c r="T116" s="1"/>
      <c r="U116" s="1"/>
      <c r="V116" s="1"/>
      <c r="W116" s="1"/>
      <c r="X116" s="1"/>
      <c r="Y116" s="1"/>
      <c r="Z116" s="1"/>
      <c r="AA116" s="1"/>
      <c r="AB116" s="1"/>
      <c r="AC116" s="1"/>
      <c r="AD116" s="1"/>
      <c r="AE116" s="1"/>
      <c r="AF116" s="1"/>
      <c r="AG116" s="1"/>
      <c r="AH116" s="1"/>
    </row>
    <row r="117" ht="12.75" hidden="1" customHeight="1" outlineLevel="1">
      <c r="A117" s="17">
        <v>41071.0</v>
      </c>
      <c r="B117" s="1"/>
      <c r="C117" s="1" t="s">
        <v>339</v>
      </c>
      <c r="D117" s="74"/>
      <c r="E117" s="67"/>
      <c r="F117" s="75"/>
      <c r="G117" s="67"/>
      <c r="H117" s="68"/>
      <c r="I117" s="76"/>
      <c r="J117" s="67"/>
      <c r="K117" s="7" t="s">
        <v>401</v>
      </c>
      <c r="L117" s="77"/>
      <c r="M117" s="79"/>
      <c r="N117" s="1"/>
      <c r="O117" s="1"/>
      <c r="P117" s="1"/>
      <c r="Q117" s="1"/>
      <c r="R117" s="1"/>
      <c r="S117" s="1"/>
      <c r="T117" s="1"/>
      <c r="U117" s="1"/>
      <c r="V117" s="1"/>
      <c r="W117" s="1"/>
      <c r="X117" s="1"/>
      <c r="Y117" s="1"/>
      <c r="Z117" s="1"/>
      <c r="AA117" s="1"/>
      <c r="AB117" s="1"/>
      <c r="AC117" s="1"/>
      <c r="AD117" s="1"/>
      <c r="AE117" s="1"/>
      <c r="AF117" s="1"/>
      <c r="AG117" s="1"/>
      <c r="AH117" s="1"/>
    </row>
    <row r="118" ht="12.75" hidden="1" customHeight="1" outlineLevel="1">
      <c r="A118" s="17">
        <v>41072.0</v>
      </c>
      <c r="B118" s="1" t="s">
        <v>343</v>
      </c>
      <c r="C118" s="1" t="s">
        <v>344</v>
      </c>
      <c r="D118" s="1">
        <v>500.0</v>
      </c>
      <c r="E118" s="1">
        <v>29.62</v>
      </c>
      <c r="F118" s="75">
        <v>0.5684143518518519</v>
      </c>
      <c r="G118" s="1"/>
      <c r="H118" s="1">
        <v>2.5</v>
      </c>
      <c r="I118" s="76"/>
      <c r="J118" s="67">
        <f t="shared" ref="J118:J130" si="10">IF(B118="SLD",D118*E118,-D118*E118)-H118</f>
        <v>-14812.5</v>
      </c>
      <c r="K118" s="1"/>
      <c r="L118" s="70"/>
      <c r="M118" s="79"/>
      <c r="N118" s="1"/>
      <c r="O118" s="1"/>
      <c r="P118" s="1"/>
      <c r="Q118" s="1"/>
      <c r="R118" s="1"/>
      <c r="S118" s="1"/>
      <c r="T118" s="1"/>
      <c r="U118" s="1"/>
      <c r="V118" s="1"/>
      <c r="W118" s="1"/>
      <c r="X118" s="1"/>
      <c r="Y118" s="1"/>
      <c r="Z118" s="1"/>
      <c r="AA118" s="1"/>
      <c r="AB118" s="1"/>
      <c r="AC118" s="1"/>
      <c r="AD118" s="1"/>
      <c r="AE118" s="1"/>
      <c r="AF118" s="1"/>
      <c r="AG118" s="1"/>
      <c r="AH118" s="1"/>
    </row>
    <row r="119" ht="12.75" hidden="1" customHeight="1" outlineLevel="1">
      <c r="A119" s="17">
        <v>41072.0</v>
      </c>
      <c r="B119" s="1" t="s">
        <v>343</v>
      </c>
      <c r="C119" s="1" t="s">
        <v>344</v>
      </c>
      <c r="D119" s="1">
        <v>50.0</v>
      </c>
      <c r="E119" s="1">
        <v>29.77</v>
      </c>
      <c r="F119" s="75">
        <v>0.5735416666666667</v>
      </c>
      <c r="G119" s="1"/>
      <c r="H119" s="1">
        <v>1.0</v>
      </c>
      <c r="I119" s="76"/>
      <c r="J119" s="67">
        <f t="shared" si="10"/>
        <v>-1489.5</v>
      </c>
      <c r="K119" s="1"/>
      <c r="L119" s="70"/>
      <c r="M119" s="79"/>
      <c r="N119" s="1"/>
      <c r="O119" s="1"/>
      <c r="P119" s="1"/>
      <c r="Q119" s="1"/>
      <c r="R119" s="1"/>
      <c r="S119" s="1"/>
      <c r="T119" s="1"/>
      <c r="U119" s="1"/>
      <c r="V119" s="1"/>
      <c r="W119" s="1"/>
      <c r="X119" s="1"/>
      <c r="Y119" s="1"/>
      <c r="Z119" s="1"/>
      <c r="AA119" s="1"/>
      <c r="AB119" s="1"/>
      <c r="AC119" s="1"/>
      <c r="AD119" s="1"/>
      <c r="AE119" s="1"/>
      <c r="AF119" s="1"/>
      <c r="AG119" s="1"/>
      <c r="AH119" s="1"/>
    </row>
    <row r="120" ht="12.75" hidden="1" customHeight="1" outlineLevel="1">
      <c r="A120" s="17">
        <v>41072.0</v>
      </c>
      <c r="B120" s="1" t="s">
        <v>343</v>
      </c>
      <c r="C120" s="1" t="s">
        <v>344</v>
      </c>
      <c r="D120" s="1">
        <v>100.0</v>
      </c>
      <c r="E120" s="1">
        <v>29.77</v>
      </c>
      <c r="F120" s="75">
        <v>0.5735416666666667</v>
      </c>
      <c r="G120" s="1"/>
      <c r="H120" s="1">
        <v>0.0</v>
      </c>
      <c r="I120" s="76"/>
      <c r="J120" s="67">
        <f t="shared" si="10"/>
        <v>-2977</v>
      </c>
      <c r="K120" s="1"/>
      <c r="L120" s="70"/>
      <c r="M120" s="79"/>
      <c r="N120" s="1"/>
      <c r="O120" s="1"/>
      <c r="P120" s="1"/>
      <c r="Q120" s="1"/>
      <c r="R120" s="1"/>
      <c r="S120" s="1"/>
      <c r="T120" s="1"/>
      <c r="U120" s="1"/>
      <c r="V120" s="1"/>
      <c r="W120" s="1"/>
      <c r="X120" s="1"/>
      <c r="Y120" s="1"/>
      <c r="Z120" s="1"/>
      <c r="AA120" s="1"/>
      <c r="AB120" s="1"/>
      <c r="AC120" s="1"/>
      <c r="AD120" s="1"/>
      <c r="AE120" s="1"/>
      <c r="AF120" s="1"/>
      <c r="AG120" s="1"/>
      <c r="AH120" s="1"/>
    </row>
    <row r="121" ht="12.75" hidden="1" customHeight="1" outlineLevel="1">
      <c r="A121" s="17">
        <v>41072.0</v>
      </c>
      <c r="B121" s="1" t="s">
        <v>343</v>
      </c>
      <c r="C121" s="1" t="s">
        <v>344</v>
      </c>
      <c r="D121" s="1">
        <v>100.0</v>
      </c>
      <c r="E121" s="1">
        <v>29.77</v>
      </c>
      <c r="F121" s="75">
        <v>0.5735416666666667</v>
      </c>
      <c r="G121" s="1"/>
      <c r="H121" s="1">
        <v>0.1</v>
      </c>
      <c r="I121" s="76"/>
      <c r="J121" s="67">
        <f t="shared" si="10"/>
        <v>-2977.1</v>
      </c>
      <c r="K121" s="1"/>
      <c r="L121" s="70"/>
      <c r="M121" s="79"/>
      <c r="N121" s="1"/>
      <c r="O121" s="1"/>
      <c r="P121" s="1"/>
      <c r="Q121" s="1"/>
      <c r="R121" s="1"/>
      <c r="S121" s="1"/>
      <c r="T121" s="1"/>
      <c r="U121" s="1"/>
      <c r="V121" s="1"/>
      <c r="W121" s="1"/>
      <c r="X121" s="1"/>
      <c r="Y121" s="1"/>
      <c r="Z121" s="1"/>
      <c r="AA121" s="1"/>
      <c r="AB121" s="1"/>
      <c r="AC121" s="1"/>
      <c r="AD121" s="1"/>
      <c r="AE121" s="1"/>
      <c r="AF121" s="1"/>
      <c r="AG121" s="1"/>
      <c r="AH121" s="1"/>
    </row>
    <row r="122" ht="12.75" hidden="1" customHeight="1" outlineLevel="1">
      <c r="A122" s="17">
        <v>41072.0</v>
      </c>
      <c r="B122" s="1" t="s">
        <v>347</v>
      </c>
      <c r="C122" s="1" t="s">
        <v>371</v>
      </c>
      <c r="D122" s="1">
        <v>150.0</v>
      </c>
      <c r="E122" s="1">
        <v>20.93</v>
      </c>
      <c r="F122" s="75">
        <v>0.5798958333333334</v>
      </c>
      <c r="G122" s="1"/>
      <c r="H122" s="1">
        <v>1.0</v>
      </c>
      <c r="I122" s="76"/>
      <c r="J122" s="67">
        <f t="shared" si="10"/>
        <v>3138.5</v>
      </c>
      <c r="K122" s="1"/>
      <c r="L122" s="70"/>
      <c r="M122" s="79"/>
      <c r="N122" s="1"/>
      <c r="O122" s="1"/>
      <c r="P122" s="1"/>
      <c r="Q122" s="1"/>
      <c r="R122" s="1"/>
      <c r="S122" s="1"/>
      <c r="T122" s="1"/>
      <c r="U122" s="1"/>
      <c r="V122" s="1"/>
      <c r="W122" s="1"/>
      <c r="X122" s="1"/>
      <c r="Y122" s="1"/>
      <c r="Z122" s="1"/>
      <c r="AA122" s="1"/>
      <c r="AB122" s="1"/>
      <c r="AC122" s="1"/>
      <c r="AD122" s="1"/>
      <c r="AE122" s="1"/>
      <c r="AF122" s="1"/>
      <c r="AG122" s="1"/>
      <c r="AH122" s="1"/>
    </row>
    <row r="123" ht="12.75" hidden="1" customHeight="1" outlineLevel="1">
      <c r="A123" s="17">
        <v>41072.0</v>
      </c>
      <c r="B123" s="1" t="s">
        <v>347</v>
      </c>
      <c r="C123" s="1" t="s">
        <v>355</v>
      </c>
      <c r="D123" s="1">
        <v>75.0</v>
      </c>
      <c r="E123" s="1">
        <v>44.75</v>
      </c>
      <c r="F123" s="75">
        <v>0.5993981481481482</v>
      </c>
      <c r="G123" s="1"/>
      <c r="H123" s="1">
        <v>1.0</v>
      </c>
      <c r="I123" s="76"/>
      <c r="J123" s="67">
        <f t="shared" si="10"/>
        <v>3355.25</v>
      </c>
      <c r="K123" s="1"/>
      <c r="L123" s="70"/>
      <c r="M123" s="79"/>
      <c r="N123" s="1"/>
      <c r="O123" s="1"/>
      <c r="P123" s="1"/>
      <c r="Q123" s="1"/>
      <c r="R123" s="1"/>
      <c r="S123" s="1"/>
      <c r="T123" s="1"/>
      <c r="U123" s="1"/>
      <c r="V123" s="1"/>
      <c r="W123" s="1"/>
      <c r="X123" s="1"/>
      <c r="Y123" s="1"/>
      <c r="Z123" s="1"/>
      <c r="AA123" s="1"/>
      <c r="AB123" s="1"/>
      <c r="AC123" s="1"/>
      <c r="AD123" s="1"/>
      <c r="AE123" s="1"/>
      <c r="AF123" s="1"/>
      <c r="AG123" s="1"/>
      <c r="AH123" s="1"/>
    </row>
    <row r="124" ht="12.75" hidden="1" customHeight="1" outlineLevel="1">
      <c r="A124" s="17">
        <v>41072.0</v>
      </c>
      <c r="B124" s="1" t="s">
        <v>347</v>
      </c>
      <c r="C124" s="1" t="s">
        <v>355</v>
      </c>
      <c r="D124" s="1">
        <v>100.0</v>
      </c>
      <c r="E124" s="1">
        <v>44.36</v>
      </c>
      <c r="F124" s="75">
        <v>0.6034027777777778</v>
      </c>
      <c r="G124" s="1"/>
      <c r="H124" s="1">
        <v>1.0</v>
      </c>
      <c r="I124" s="76"/>
      <c r="J124" s="67">
        <f t="shared" si="10"/>
        <v>4435</v>
      </c>
      <c r="K124" s="1"/>
      <c r="L124" s="70"/>
      <c r="M124" s="79"/>
      <c r="N124" s="1"/>
      <c r="O124" s="1"/>
      <c r="P124" s="1"/>
      <c r="Q124" s="1"/>
      <c r="R124" s="1"/>
      <c r="S124" s="1"/>
      <c r="T124" s="1"/>
      <c r="U124" s="1"/>
      <c r="V124" s="1"/>
      <c r="W124" s="1"/>
      <c r="X124" s="1"/>
      <c r="Y124" s="1"/>
      <c r="Z124" s="1"/>
      <c r="AA124" s="1"/>
      <c r="AB124" s="1"/>
      <c r="AC124" s="1"/>
      <c r="AD124" s="1"/>
      <c r="AE124" s="1"/>
      <c r="AF124" s="1"/>
      <c r="AG124" s="1"/>
      <c r="AH124" s="1"/>
    </row>
    <row r="125" ht="12.75" hidden="1" customHeight="1" outlineLevel="1">
      <c r="A125" s="17">
        <v>41072.0</v>
      </c>
      <c r="B125" s="1" t="s">
        <v>347</v>
      </c>
      <c r="C125" s="1" t="s">
        <v>355</v>
      </c>
      <c r="D125" s="1">
        <v>50.0</v>
      </c>
      <c r="E125" s="1">
        <v>44.37</v>
      </c>
      <c r="F125" s="75">
        <v>0.6034027777777778</v>
      </c>
      <c r="G125" s="1"/>
      <c r="H125" s="1">
        <v>0.0</v>
      </c>
      <c r="I125" s="76"/>
      <c r="J125" s="67">
        <f t="shared" si="10"/>
        <v>2218.5</v>
      </c>
      <c r="K125" s="1"/>
      <c r="L125" s="70"/>
      <c r="M125" s="79"/>
      <c r="N125" s="1"/>
      <c r="O125" s="1"/>
      <c r="P125" s="1"/>
      <c r="Q125" s="1"/>
      <c r="R125" s="1"/>
      <c r="S125" s="1"/>
      <c r="T125" s="1"/>
      <c r="U125" s="1"/>
      <c r="V125" s="1"/>
      <c r="W125" s="1"/>
      <c r="X125" s="1"/>
      <c r="Y125" s="1"/>
      <c r="Z125" s="1"/>
      <c r="AA125" s="1"/>
      <c r="AB125" s="1"/>
      <c r="AC125" s="1"/>
      <c r="AD125" s="1"/>
      <c r="AE125" s="1"/>
      <c r="AF125" s="1"/>
      <c r="AG125" s="1"/>
      <c r="AH125" s="1"/>
    </row>
    <row r="126" ht="12.75" hidden="1" customHeight="1" outlineLevel="1">
      <c r="A126" s="17">
        <v>41072.0</v>
      </c>
      <c r="B126" s="1" t="s">
        <v>343</v>
      </c>
      <c r="C126" s="1" t="s">
        <v>355</v>
      </c>
      <c r="D126" s="1">
        <v>75.0</v>
      </c>
      <c r="E126" s="1">
        <v>44.95</v>
      </c>
      <c r="F126" s="75">
        <v>0.8135532407407408</v>
      </c>
      <c r="G126" s="1"/>
      <c r="H126" s="1">
        <v>1.0</v>
      </c>
      <c r="I126" s="76"/>
      <c r="J126" s="67">
        <f t="shared" si="10"/>
        <v>-3372.25</v>
      </c>
      <c r="K126" s="1"/>
      <c r="L126" s="70"/>
      <c r="M126" s="79"/>
      <c r="N126" s="1"/>
      <c r="O126" s="1"/>
      <c r="P126" s="1"/>
      <c r="Q126" s="1"/>
      <c r="R126" s="1"/>
      <c r="S126" s="1"/>
      <c r="T126" s="1"/>
      <c r="U126" s="1"/>
      <c r="V126" s="1"/>
      <c r="W126" s="1"/>
      <c r="X126" s="1"/>
      <c r="Y126" s="1"/>
      <c r="Z126" s="1"/>
      <c r="AA126" s="1"/>
      <c r="AB126" s="1"/>
      <c r="AC126" s="1"/>
      <c r="AD126" s="1"/>
      <c r="AE126" s="1"/>
      <c r="AF126" s="1"/>
      <c r="AG126" s="1"/>
      <c r="AH126" s="1"/>
    </row>
    <row r="127" ht="12.75" hidden="1" customHeight="1" outlineLevel="1">
      <c r="A127" s="17">
        <v>41072.0</v>
      </c>
      <c r="B127" s="1" t="s">
        <v>343</v>
      </c>
      <c r="C127" s="1" t="s">
        <v>355</v>
      </c>
      <c r="D127" s="1">
        <v>100.0</v>
      </c>
      <c r="E127" s="1">
        <v>44.9599</v>
      </c>
      <c r="F127" s="75">
        <v>0.8135648148148148</v>
      </c>
      <c r="G127" s="1"/>
      <c r="H127" s="1">
        <v>0.0</v>
      </c>
      <c r="I127" s="76"/>
      <c r="J127" s="67">
        <f t="shared" si="10"/>
        <v>-4495.99</v>
      </c>
      <c r="K127" s="1"/>
      <c r="L127" s="70"/>
      <c r="M127" s="79"/>
      <c r="N127" s="1"/>
      <c r="O127" s="1"/>
      <c r="P127" s="1"/>
      <c r="Q127" s="1"/>
      <c r="R127" s="1"/>
      <c r="S127" s="1"/>
      <c r="T127" s="1"/>
      <c r="U127" s="1"/>
      <c r="V127" s="1"/>
      <c r="W127" s="1"/>
      <c r="X127" s="1"/>
      <c r="Y127" s="1"/>
      <c r="Z127" s="1"/>
      <c r="AA127" s="1"/>
      <c r="AB127" s="1"/>
      <c r="AC127" s="1"/>
      <c r="AD127" s="1"/>
      <c r="AE127" s="1"/>
      <c r="AF127" s="1"/>
      <c r="AG127" s="1"/>
      <c r="AH127" s="1"/>
    </row>
    <row r="128" ht="12.75" hidden="1" customHeight="1" outlineLevel="1">
      <c r="A128" s="17">
        <v>41072.0</v>
      </c>
      <c r="B128" s="1" t="s">
        <v>343</v>
      </c>
      <c r="C128" s="1" t="s">
        <v>355</v>
      </c>
      <c r="D128" s="1">
        <v>100.0</v>
      </c>
      <c r="E128" s="1">
        <v>44.96</v>
      </c>
      <c r="F128" s="75">
        <v>0.8135648148148148</v>
      </c>
      <c r="G128" s="1"/>
      <c r="H128" s="1">
        <v>0.28</v>
      </c>
      <c r="I128" s="76"/>
      <c r="J128" s="67">
        <f t="shared" si="10"/>
        <v>-4496.28</v>
      </c>
      <c r="K128" s="1"/>
      <c r="L128" s="70"/>
      <c r="M128" s="79"/>
      <c r="N128" s="1"/>
      <c r="O128" s="1"/>
      <c r="P128" s="1"/>
      <c r="Q128" s="1"/>
      <c r="R128" s="1"/>
      <c r="S128" s="1"/>
      <c r="T128" s="1"/>
      <c r="U128" s="1"/>
      <c r="V128" s="1"/>
      <c r="W128" s="1"/>
      <c r="X128" s="1"/>
      <c r="Y128" s="1"/>
      <c r="Z128" s="1"/>
      <c r="AA128" s="1"/>
      <c r="AB128" s="1"/>
      <c r="AC128" s="1"/>
      <c r="AD128" s="1"/>
      <c r="AE128" s="1"/>
      <c r="AF128" s="1"/>
      <c r="AG128" s="1"/>
      <c r="AH128" s="1"/>
    </row>
    <row r="129" ht="12.75" hidden="1" customHeight="1" outlineLevel="1">
      <c r="A129" s="17">
        <v>41072.0</v>
      </c>
      <c r="B129" s="1" t="s">
        <v>343</v>
      </c>
      <c r="C129" s="1" t="s">
        <v>355</v>
      </c>
      <c r="D129" s="1">
        <v>100.0</v>
      </c>
      <c r="E129" s="1">
        <v>44.96</v>
      </c>
      <c r="F129" s="75">
        <v>0.8135648148148148</v>
      </c>
      <c r="G129" s="1"/>
      <c r="H129" s="1">
        <v>0.5</v>
      </c>
      <c r="I129" s="76"/>
      <c r="J129" s="67">
        <f t="shared" si="10"/>
        <v>-4496.5</v>
      </c>
      <c r="K129" s="1"/>
      <c r="L129" s="70"/>
      <c r="M129" s="79"/>
      <c r="N129" s="1"/>
      <c r="O129" s="1"/>
      <c r="P129" s="1"/>
      <c r="Q129" s="1"/>
      <c r="R129" s="1"/>
      <c r="S129" s="1"/>
      <c r="T129" s="1"/>
      <c r="U129" s="1"/>
      <c r="V129" s="1"/>
      <c r="W129" s="1"/>
      <c r="X129" s="1"/>
      <c r="Y129" s="1"/>
      <c r="Z129" s="1"/>
      <c r="AA129" s="1"/>
      <c r="AB129" s="1"/>
      <c r="AC129" s="1"/>
      <c r="AD129" s="1"/>
      <c r="AE129" s="1"/>
      <c r="AF129" s="1"/>
      <c r="AG129" s="1"/>
      <c r="AH129" s="1"/>
    </row>
    <row r="130" ht="12.75" hidden="1" customHeight="1" outlineLevel="1">
      <c r="A130" s="17">
        <v>41072.0</v>
      </c>
      <c r="B130" s="1" t="s">
        <v>343</v>
      </c>
      <c r="C130" s="1" t="s">
        <v>369</v>
      </c>
      <c r="D130" s="1">
        <v>75.0</v>
      </c>
      <c r="E130" s="1">
        <v>47.95</v>
      </c>
      <c r="F130" s="75">
        <v>0.8140740740740741</v>
      </c>
      <c r="G130" s="1"/>
      <c r="H130" s="1">
        <v>1.0</v>
      </c>
      <c r="I130" s="76"/>
      <c r="J130" s="67">
        <f t="shared" si="10"/>
        <v>-3597.25</v>
      </c>
      <c r="K130" s="1"/>
      <c r="L130" s="70"/>
      <c r="M130" s="79"/>
      <c r="N130" s="1"/>
      <c r="O130" s="1"/>
      <c r="P130" s="1"/>
      <c r="Q130" s="1"/>
      <c r="R130" s="1"/>
      <c r="S130" s="1"/>
      <c r="T130" s="1"/>
      <c r="U130" s="1"/>
      <c r="V130" s="1"/>
      <c r="W130" s="1"/>
      <c r="X130" s="1"/>
      <c r="Y130" s="1"/>
      <c r="Z130" s="1"/>
      <c r="AA130" s="1"/>
      <c r="AB130" s="1"/>
      <c r="AC130" s="1"/>
      <c r="AD130" s="1"/>
      <c r="AE130" s="1"/>
      <c r="AF130" s="1"/>
      <c r="AG130" s="1"/>
      <c r="AH130" s="1"/>
    </row>
    <row r="131" ht="12.75" hidden="1" customHeight="1" outlineLevel="1">
      <c r="A131" s="17">
        <v>41072.0</v>
      </c>
      <c r="B131" s="1"/>
      <c r="C131" s="1" t="s">
        <v>339</v>
      </c>
      <c r="D131" s="74"/>
      <c r="E131" s="67"/>
      <c r="F131" s="75"/>
      <c r="G131" s="67"/>
      <c r="H131" s="68"/>
      <c r="I131" s="76"/>
      <c r="J131" s="67"/>
      <c r="K131" s="7" t="s">
        <v>403</v>
      </c>
      <c r="L131" s="77"/>
      <c r="M131" s="79"/>
      <c r="N131" s="1"/>
      <c r="O131" s="1"/>
      <c r="P131" s="1"/>
      <c r="Q131" s="1"/>
      <c r="R131" s="1"/>
      <c r="S131" s="1"/>
      <c r="T131" s="1"/>
      <c r="U131" s="1"/>
      <c r="V131" s="1"/>
      <c r="W131" s="1"/>
      <c r="X131" s="1"/>
      <c r="Y131" s="1"/>
      <c r="Z131" s="1"/>
      <c r="AA131" s="1"/>
      <c r="AB131" s="1"/>
      <c r="AC131" s="1"/>
      <c r="AD131" s="1"/>
      <c r="AE131" s="1"/>
      <c r="AF131" s="1"/>
      <c r="AG131" s="1"/>
      <c r="AH131" s="1"/>
    </row>
    <row r="132" ht="12.75" hidden="1" customHeight="1" outlineLevel="1">
      <c r="A132" s="17">
        <v>41073.0</v>
      </c>
      <c r="B132" s="1" t="s">
        <v>343</v>
      </c>
      <c r="C132" s="1" t="s">
        <v>354</v>
      </c>
      <c r="D132" s="1">
        <v>200.0</v>
      </c>
      <c r="E132" s="1">
        <v>66.14</v>
      </c>
      <c r="F132" s="75">
        <v>0.569675925925926</v>
      </c>
      <c r="G132" s="1"/>
      <c r="H132" s="1">
        <v>1.0</v>
      </c>
      <c r="I132" s="76"/>
      <c r="J132" s="67">
        <f t="shared" ref="J132:J140" si="11">IF(B132="SLD",D132*E132,-D132*E132)-H132</f>
        <v>-13229</v>
      </c>
      <c r="K132" s="1"/>
      <c r="L132" s="70"/>
      <c r="M132" s="79"/>
      <c r="N132" s="1"/>
      <c r="O132" s="1"/>
      <c r="P132" s="1"/>
      <c r="Q132" s="1"/>
      <c r="R132" s="1"/>
      <c r="S132" s="1"/>
      <c r="T132" s="1"/>
      <c r="U132" s="1"/>
      <c r="V132" s="1"/>
      <c r="W132" s="1"/>
      <c r="X132" s="1"/>
      <c r="Y132" s="1"/>
      <c r="Z132" s="1"/>
      <c r="AA132" s="1"/>
      <c r="AB132" s="1"/>
      <c r="AC132" s="1"/>
      <c r="AD132" s="1"/>
      <c r="AE132" s="1"/>
      <c r="AF132" s="1"/>
      <c r="AG132" s="1"/>
      <c r="AH132" s="1"/>
    </row>
    <row r="133" ht="12.75" hidden="1" customHeight="1" outlineLevel="1">
      <c r="A133" s="17">
        <v>41073.0</v>
      </c>
      <c r="B133" s="1" t="s">
        <v>343</v>
      </c>
      <c r="C133" s="1" t="s">
        <v>354</v>
      </c>
      <c r="D133" s="1">
        <v>50.0</v>
      </c>
      <c r="E133" s="1">
        <v>66.14</v>
      </c>
      <c r="F133" s="75">
        <v>0.5698032407407407</v>
      </c>
      <c r="G133" s="1"/>
      <c r="H133" s="1">
        <v>0.25</v>
      </c>
      <c r="I133" s="76"/>
      <c r="J133" s="67">
        <f t="shared" si="11"/>
        <v>-3307.25</v>
      </c>
      <c r="K133" s="1"/>
      <c r="L133" s="70"/>
      <c r="M133" s="79"/>
      <c r="N133" s="1"/>
      <c r="O133" s="1"/>
      <c r="P133" s="1"/>
      <c r="Q133" s="1"/>
      <c r="R133" s="1"/>
      <c r="S133" s="1"/>
      <c r="T133" s="1"/>
      <c r="U133" s="1"/>
      <c r="V133" s="1"/>
      <c r="W133" s="1"/>
      <c r="X133" s="1"/>
      <c r="Y133" s="1"/>
      <c r="Z133" s="1"/>
      <c r="AA133" s="1"/>
      <c r="AB133" s="1"/>
      <c r="AC133" s="1"/>
      <c r="AD133" s="1"/>
      <c r="AE133" s="1"/>
      <c r="AF133" s="1"/>
      <c r="AG133" s="1"/>
      <c r="AH133" s="1"/>
    </row>
    <row r="134" ht="12.75" hidden="1" customHeight="1" outlineLevel="1">
      <c r="A134" s="17">
        <v>41073.0</v>
      </c>
      <c r="B134" s="1" t="s">
        <v>343</v>
      </c>
      <c r="C134" s="1" t="s">
        <v>354</v>
      </c>
      <c r="D134" s="1">
        <v>100.0</v>
      </c>
      <c r="E134" s="1">
        <v>66.2</v>
      </c>
      <c r="F134" s="75">
        <v>0.7115393518518518</v>
      </c>
      <c r="G134" s="1"/>
      <c r="H134" s="1">
        <v>1.0</v>
      </c>
      <c r="I134" s="76"/>
      <c r="J134" s="67">
        <f t="shared" si="11"/>
        <v>-6621</v>
      </c>
      <c r="K134" s="1"/>
      <c r="L134" s="70"/>
      <c r="M134" s="79"/>
      <c r="N134" s="1"/>
      <c r="O134" s="1"/>
      <c r="P134" s="1"/>
      <c r="Q134" s="1"/>
      <c r="R134" s="1"/>
      <c r="S134" s="1"/>
      <c r="T134" s="1"/>
      <c r="U134" s="1"/>
      <c r="V134" s="1"/>
      <c r="W134" s="1"/>
      <c r="X134" s="1"/>
      <c r="Y134" s="1"/>
      <c r="Z134" s="1"/>
      <c r="AA134" s="1"/>
      <c r="AB134" s="1"/>
      <c r="AC134" s="1"/>
      <c r="AD134" s="1"/>
      <c r="AE134" s="1"/>
      <c r="AF134" s="1"/>
      <c r="AG134" s="1"/>
      <c r="AH134" s="1"/>
    </row>
    <row r="135" ht="12.75" hidden="1" customHeight="1" outlineLevel="1">
      <c r="A135" s="17">
        <v>41073.0</v>
      </c>
      <c r="B135" s="1" t="s">
        <v>343</v>
      </c>
      <c r="C135" s="1" t="s">
        <v>354</v>
      </c>
      <c r="D135" s="1">
        <v>150.0</v>
      </c>
      <c r="E135" s="1">
        <v>66.2</v>
      </c>
      <c r="F135" s="75">
        <v>0.7115740740740741</v>
      </c>
      <c r="G135" s="1"/>
      <c r="H135" s="1">
        <v>0.25</v>
      </c>
      <c r="I135" s="76"/>
      <c r="J135" s="67">
        <f t="shared" si="11"/>
        <v>-9930.25</v>
      </c>
      <c r="K135" s="1"/>
      <c r="L135" s="70"/>
      <c r="M135" s="79"/>
      <c r="N135" s="1"/>
      <c r="O135" s="1"/>
      <c r="P135" s="1"/>
      <c r="Q135" s="1"/>
      <c r="R135" s="1"/>
      <c r="S135" s="1"/>
      <c r="T135" s="1"/>
      <c r="U135" s="1"/>
      <c r="V135" s="1"/>
      <c r="W135" s="1"/>
      <c r="X135" s="1"/>
      <c r="Y135" s="1"/>
      <c r="Z135" s="1"/>
      <c r="AA135" s="1"/>
      <c r="AB135" s="1"/>
      <c r="AC135" s="1"/>
      <c r="AD135" s="1"/>
      <c r="AE135" s="1"/>
      <c r="AF135" s="1"/>
      <c r="AG135" s="1"/>
      <c r="AH135" s="1"/>
    </row>
    <row r="136" ht="12.75" hidden="1" customHeight="1" outlineLevel="1">
      <c r="A136" s="17">
        <v>41073.0</v>
      </c>
      <c r="B136" s="1" t="s">
        <v>343</v>
      </c>
      <c r="C136" s="1" t="s">
        <v>344</v>
      </c>
      <c r="D136" s="1">
        <v>300.0</v>
      </c>
      <c r="E136" s="1">
        <v>30.73</v>
      </c>
      <c r="F136" s="75">
        <v>0.7363078703703704</v>
      </c>
      <c r="G136" s="1"/>
      <c r="H136" s="1">
        <v>1.5</v>
      </c>
      <c r="I136" s="76"/>
      <c r="J136" s="67">
        <f t="shared" si="11"/>
        <v>-9220.5</v>
      </c>
      <c r="K136" s="1"/>
      <c r="L136" s="70"/>
      <c r="M136" s="79"/>
      <c r="N136" s="1"/>
      <c r="O136" s="1"/>
      <c r="P136" s="1"/>
      <c r="Q136" s="1"/>
      <c r="R136" s="1"/>
      <c r="S136" s="1"/>
      <c r="T136" s="1"/>
      <c r="U136" s="1"/>
      <c r="V136" s="1"/>
      <c r="W136" s="1"/>
      <c r="X136" s="1"/>
      <c r="Y136" s="1"/>
      <c r="Z136" s="1"/>
      <c r="AA136" s="1"/>
      <c r="AB136" s="1"/>
      <c r="AC136" s="1"/>
      <c r="AD136" s="1"/>
      <c r="AE136" s="1"/>
      <c r="AF136" s="1"/>
      <c r="AG136" s="1"/>
      <c r="AH136" s="1"/>
    </row>
    <row r="137" ht="12.75" hidden="1" customHeight="1" outlineLevel="1">
      <c r="A137" s="17">
        <v>41073.0</v>
      </c>
      <c r="B137" s="1" t="s">
        <v>343</v>
      </c>
      <c r="C137" s="1" t="s">
        <v>344</v>
      </c>
      <c r="D137" s="1">
        <v>100.0</v>
      </c>
      <c r="E137" s="1">
        <v>30.73</v>
      </c>
      <c r="F137" s="75">
        <v>0.7363078703703704</v>
      </c>
      <c r="G137" s="1"/>
      <c r="H137" s="1">
        <v>0.4</v>
      </c>
      <c r="I137" s="76"/>
      <c r="J137" s="67">
        <f t="shared" si="11"/>
        <v>-3073.4</v>
      </c>
      <c r="K137" s="1"/>
      <c r="L137" s="70"/>
      <c r="M137" s="79"/>
      <c r="N137" s="1"/>
      <c r="O137" s="1"/>
      <c r="P137" s="1"/>
      <c r="Q137" s="1"/>
      <c r="R137" s="1"/>
      <c r="S137" s="1"/>
      <c r="T137" s="1"/>
      <c r="U137" s="1"/>
      <c r="V137" s="1"/>
      <c r="W137" s="1"/>
      <c r="X137" s="1"/>
      <c r="Y137" s="1"/>
      <c r="Z137" s="1"/>
      <c r="AA137" s="1"/>
      <c r="AB137" s="1"/>
      <c r="AC137" s="1"/>
      <c r="AD137" s="1"/>
      <c r="AE137" s="1"/>
      <c r="AF137" s="1"/>
      <c r="AG137" s="1"/>
      <c r="AH137" s="1"/>
    </row>
    <row r="138" ht="12.75" hidden="1" customHeight="1" outlineLevel="1">
      <c r="A138" s="17">
        <v>41073.0</v>
      </c>
      <c r="B138" s="1" t="s">
        <v>343</v>
      </c>
      <c r="C138" s="1" t="s">
        <v>344</v>
      </c>
      <c r="D138" s="1">
        <v>100.0</v>
      </c>
      <c r="E138" s="1">
        <v>30.73</v>
      </c>
      <c r="F138" s="75">
        <v>0.7363078703703704</v>
      </c>
      <c r="G138" s="1"/>
      <c r="H138" s="1">
        <v>0.4</v>
      </c>
      <c r="I138" s="76"/>
      <c r="J138" s="67">
        <f t="shared" si="11"/>
        <v>-3073.4</v>
      </c>
      <c r="K138" s="1"/>
      <c r="L138" s="70"/>
      <c r="M138" s="79"/>
      <c r="N138" s="1"/>
      <c r="O138" s="1"/>
      <c r="P138" s="1"/>
      <c r="Q138" s="1"/>
      <c r="R138" s="1"/>
      <c r="S138" s="1"/>
      <c r="T138" s="1"/>
      <c r="U138" s="1"/>
      <c r="V138" s="1"/>
      <c r="W138" s="1"/>
      <c r="X138" s="1"/>
      <c r="Y138" s="1"/>
      <c r="Z138" s="1"/>
      <c r="AA138" s="1"/>
      <c r="AB138" s="1"/>
      <c r="AC138" s="1"/>
      <c r="AD138" s="1"/>
      <c r="AE138" s="1"/>
      <c r="AF138" s="1"/>
      <c r="AG138" s="1"/>
      <c r="AH138" s="1"/>
    </row>
    <row r="139" ht="12.75" hidden="1" customHeight="1" outlineLevel="1">
      <c r="A139" s="17">
        <v>41073.0</v>
      </c>
      <c r="B139" s="1" t="s">
        <v>347</v>
      </c>
      <c r="C139" s="1" t="s">
        <v>362</v>
      </c>
      <c r="D139" s="1">
        <v>100.0</v>
      </c>
      <c r="E139" s="1">
        <v>59.57</v>
      </c>
      <c r="F139" s="75">
        <v>0.8184374999999999</v>
      </c>
      <c r="G139" s="1"/>
      <c r="H139" s="1">
        <v>1.0</v>
      </c>
      <c r="I139" s="76"/>
      <c r="J139" s="67">
        <f t="shared" si="11"/>
        <v>5956</v>
      </c>
      <c r="K139" s="1"/>
      <c r="L139" s="70"/>
      <c r="M139" s="79"/>
      <c r="N139" s="1"/>
      <c r="O139" s="1"/>
      <c r="P139" s="1"/>
      <c r="Q139" s="1"/>
      <c r="R139" s="1"/>
      <c r="S139" s="1"/>
      <c r="T139" s="1"/>
      <c r="U139" s="1"/>
      <c r="V139" s="1"/>
      <c r="W139" s="1"/>
      <c r="X139" s="1"/>
      <c r="Y139" s="1"/>
      <c r="Z139" s="1"/>
      <c r="AA139" s="1"/>
      <c r="AB139" s="1"/>
      <c r="AC139" s="1"/>
      <c r="AD139" s="1"/>
      <c r="AE139" s="1"/>
      <c r="AF139" s="1"/>
      <c r="AG139" s="1"/>
      <c r="AH139" s="1"/>
    </row>
    <row r="140" ht="12.75" hidden="1" customHeight="1" outlineLevel="1">
      <c r="A140" s="17">
        <v>41073.0</v>
      </c>
      <c r="B140" s="1" t="s">
        <v>347</v>
      </c>
      <c r="C140" s="1" t="s">
        <v>362</v>
      </c>
      <c r="D140" s="1">
        <v>100.0</v>
      </c>
      <c r="E140" s="1">
        <v>59.57</v>
      </c>
      <c r="F140" s="75">
        <v>0.8184374999999999</v>
      </c>
      <c r="G140" s="1"/>
      <c r="H140" s="1">
        <v>0.0</v>
      </c>
      <c r="I140" s="76"/>
      <c r="J140" s="67">
        <f t="shared" si="11"/>
        <v>5957</v>
      </c>
      <c r="K140" s="1"/>
      <c r="L140" s="70"/>
      <c r="M140" s="79"/>
      <c r="N140" s="1"/>
      <c r="O140" s="1"/>
      <c r="P140" s="1"/>
      <c r="Q140" s="1"/>
      <c r="R140" s="1"/>
      <c r="S140" s="1"/>
      <c r="T140" s="1"/>
      <c r="U140" s="1"/>
      <c r="V140" s="1"/>
      <c r="W140" s="1"/>
      <c r="X140" s="1"/>
      <c r="Y140" s="1"/>
      <c r="Z140" s="1"/>
      <c r="AA140" s="1"/>
      <c r="AB140" s="1"/>
      <c r="AC140" s="1"/>
      <c r="AD140" s="1"/>
      <c r="AE140" s="1"/>
      <c r="AF140" s="1"/>
      <c r="AG140" s="1"/>
      <c r="AH140" s="1"/>
    </row>
    <row r="141" ht="12.75" hidden="1" customHeight="1" outlineLevel="1">
      <c r="A141" s="17">
        <v>41073.0</v>
      </c>
      <c r="B141" s="1"/>
      <c r="C141" s="1" t="s">
        <v>339</v>
      </c>
      <c r="D141" s="74"/>
      <c r="E141" s="67"/>
      <c r="F141" s="75"/>
      <c r="G141" s="67"/>
      <c r="H141" s="68"/>
      <c r="I141" s="76"/>
      <c r="J141" s="67"/>
      <c r="K141" s="7" t="s">
        <v>405</v>
      </c>
      <c r="L141" s="77"/>
      <c r="M141" s="79"/>
      <c r="N141" s="1"/>
      <c r="O141" s="1"/>
      <c r="P141" s="1"/>
      <c r="Q141" s="1"/>
      <c r="R141" s="1"/>
      <c r="S141" s="1"/>
      <c r="T141" s="1"/>
      <c r="U141" s="1"/>
      <c r="V141" s="1"/>
      <c r="W141" s="1"/>
      <c r="X141" s="1"/>
      <c r="Y141" s="1"/>
      <c r="Z141" s="1"/>
      <c r="AA141" s="1"/>
      <c r="AB141" s="1"/>
      <c r="AC141" s="1"/>
      <c r="AD141" s="1"/>
      <c r="AE141" s="1"/>
      <c r="AF141" s="1"/>
      <c r="AG141" s="1"/>
      <c r="AH141" s="1"/>
    </row>
    <row r="142" ht="12.75" hidden="1" customHeight="1" outlineLevel="1">
      <c r="A142" s="17">
        <v>41074.0</v>
      </c>
      <c r="B142" s="1" t="s">
        <v>343</v>
      </c>
      <c r="C142" s="1" t="s">
        <v>348</v>
      </c>
      <c r="D142" s="1">
        <v>300.0</v>
      </c>
      <c r="E142" s="1">
        <v>8.31</v>
      </c>
      <c r="F142" s="75">
        <v>0.5815509259259259</v>
      </c>
      <c r="G142" s="1"/>
      <c r="H142" s="1">
        <v>1.5</v>
      </c>
      <c r="I142" s="76"/>
      <c r="J142" s="67">
        <f t="shared" ref="J142:J155" si="12">IF(B142="SLD",D142*E142,-D142*E142)-H142</f>
        <v>-2494.5</v>
      </c>
      <c r="K142" s="1" t="s">
        <v>407</v>
      </c>
      <c r="L142" s="70"/>
      <c r="M142" s="79"/>
      <c r="N142" s="1"/>
      <c r="O142" s="1"/>
      <c r="P142" s="1"/>
      <c r="Q142" s="1"/>
      <c r="R142" s="1"/>
      <c r="S142" s="1"/>
      <c r="T142" s="1"/>
      <c r="U142" s="1"/>
      <c r="V142" s="1"/>
      <c r="W142" s="1"/>
      <c r="X142" s="1"/>
      <c r="Y142" s="1"/>
      <c r="Z142" s="1"/>
      <c r="AA142" s="1"/>
      <c r="AB142" s="1"/>
      <c r="AC142" s="1"/>
      <c r="AD142" s="1"/>
      <c r="AE142" s="1"/>
      <c r="AF142" s="1"/>
      <c r="AG142" s="1"/>
      <c r="AH142" s="1"/>
    </row>
    <row r="143" ht="12.75" hidden="1" customHeight="1" outlineLevel="1">
      <c r="A143" s="17">
        <v>41074.0</v>
      </c>
      <c r="B143" s="1" t="s">
        <v>343</v>
      </c>
      <c r="C143" s="1" t="s">
        <v>348</v>
      </c>
      <c r="D143" s="1">
        <v>100.0</v>
      </c>
      <c r="E143" s="1">
        <v>8.31</v>
      </c>
      <c r="F143" s="75">
        <v>0.5815509259259259</v>
      </c>
      <c r="G143" s="1"/>
      <c r="H143" s="1">
        <v>0.4</v>
      </c>
      <c r="I143" s="76"/>
      <c r="J143" s="67">
        <f t="shared" si="12"/>
        <v>-831.4</v>
      </c>
      <c r="K143" s="1"/>
      <c r="L143" s="70"/>
      <c r="M143" s="79"/>
      <c r="N143" s="1"/>
      <c r="O143" s="1"/>
      <c r="P143" s="1"/>
      <c r="Q143" s="1"/>
      <c r="R143" s="1"/>
      <c r="S143" s="1"/>
      <c r="T143" s="1"/>
      <c r="U143" s="1"/>
      <c r="V143" s="1"/>
      <c r="W143" s="1"/>
      <c r="X143" s="1"/>
      <c r="Y143" s="1"/>
      <c r="Z143" s="1"/>
      <c r="AA143" s="1"/>
      <c r="AB143" s="1"/>
      <c r="AC143" s="1"/>
      <c r="AD143" s="1"/>
      <c r="AE143" s="1"/>
      <c r="AF143" s="1"/>
      <c r="AG143" s="1"/>
      <c r="AH143" s="1"/>
    </row>
    <row r="144" ht="12.75" hidden="1" customHeight="1" outlineLevel="1">
      <c r="A144" s="17">
        <v>41074.0</v>
      </c>
      <c r="B144" s="1" t="s">
        <v>347</v>
      </c>
      <c r="C144" s="1" t="s">
        <v>348</v>
      </c>
      <c r="D144" s="1">
        <v>100.0</v>
      </c>
      <c r="E144" s="1">
        <v>8.3</v>
      </c>
      <c r="F144" s="75">
        <v>0.5823263888888889</v>
      </c>
      <c r="G144" s="1"/>
      <c r="H144" s="1">
        <v>1.0</v>
      </c>
      <c r="I144" s="76"/>
      <c r="J144" s="67">
        <f t="shared" si="12"/>
        <v>829</v>
      </c>
      <c r="K144" s="1" t="s">
        <v>408</v>
      </c>
      <c r="L144" s="70"/>
      <c r="M144" s="79"/>
      <c r="N144" s="1"/>
      <c r="O144" s="1"/>
      <c r="P144" s="1"/>
      <c r="Q144" s="1"/>
      <c r="R144" s="1"/>
      <c r="S144" s="1"/>
      <c r="T144" s="1"/>
      <c r="U144" s="1"/>
      <c r="V144" s="1"/>
      <c r="W144" s="1"/>
      <c r="X144" s="1"/>
      <c r="Y144" s="1"/>
      <c r="Z144" s="1"/>
      <c r="AA144" s="1"/>
      <c r="AB144" s="1"/>
      <c r="AC144" s="1"/>
      <c r="AD144" s="1"/>
      <c r="AE144" s="1"/>
      <c r="AF144" s="1"/>
      <c r="AG144" s="1"/>
      <c r="AH144" s="1"/>
    </row>
    <row r="145" ht="12.75" hidden="1" customHeight="1" outlineLevel="1">
      <c r="A145" s="17">
        <v>41074.0</v>
      </c>
      <c r="B145" s="1" t="s">
        <v>347</v>
      </c>
      <c r="C145" s="1" t="s">
        <v>348</v>
      </c>
      <c r="D145" s="1">
        <v>100.0</v>
      </c>
      <c r="E145" s="1">
        <v>8.3</v>
      </c>
      <c r="F145" s="75">
        <v>0.5823263888888889</v>
      </c>
      <c r="G145" s="1"/>
      <c r="H145" s="1">
        <v>0.0</v>
      </c>
      <c r="I145" s="76"/>
      <c r="J145" s="67">
        <f t="shared" si="12"/>
        <v>830</v>
      </c>
      <c r="K145" s="1"/>
      <c r="L145" s="70"/>
      <c r="M145" s="79"/>
      <c r="N145" s="1"/>
      <c r="O145" s="1"/>
      <c r="P145" s="1"/>
      <c r="Q145" s="1"/>
      <c r="R145" s="1"/>
      <c r="S145" s="1"/>
      <c r="T145" s="1"/>
      <c r="U145" s="1"/>
      <c r="V145" s="1"/>
      <c r="W145" s="1"/>
      <c r="X145" s="1"/>
      <c r="Y145" s="1"/>
      <c r="Z145" s="1"/>
      <c r="AA145" s="1"/>
      <c r="AB145" s="1"/>
      <c r="AC145" s="1"/>
      <c r="AD145" s="1"/>
      <c r="AE145" s="1"/>
      <c r="AF145" s="1"/>
      <c r="AG145" s="1"/>
      <c r="AH145" s="1"/>
    </row>
    <row r="146" ht="12.75" hidden="1" customHeight="1" outlineLevel="1">
      <c r="A146" s="17">
        <v>41074.0</v>
      </c>
      <c r="B146" s="1" t="s">
        <v>347</v>
      </c>
      <c r="C146" s="1" t="s">
        <v>348</v>
      </c>
      <c r="D146" s="1">
        <v>100.0</v>
      </c>
      <c r="E146" s="1">
        <v>8.3</v>
      </c>
      <c r="F146" s="75">
        <v>0.5823263888888889</v>
      </c>
      <c r="G146" s="1"/>
      <c r="H146" s="1">
        <v>0.3</v>
      </c>
      <c r="I146" s="76"/>
      <c r="J146" s="67">
        <f t="shared" si="12"/>
        <v>829.7</v>
      </c>
      <c r="K146" s="1"/>
      <c r="L146" s="70"/>
      <c r="M146" s="79"/>
      <c r="N146" s="1"/>
      <c r="O146" s="1"/>
      <c r="P146" s="1"/>
      <c r="Q146" s="1"/>
      <c r="R146" s="1"/>
      <c r="S146" s="1"/>
      <c r="T146" s="1"/>
      <c r="U146" s="1"/>
      <c r="V146" s="1"/>
      <c r="W146" s="1"/>
      <c r="X146" s="1"/>
      <c r="Y146" s="1"/>
      <c r="Z146" s="1"/>
      <c r="AA146" s="1"/>
      <c r="AB146" s="1"/>
      <c r="AC146" s="1"/>
      <c r="AD146" s="1"/>
      <c r="AE146" s="1"/>
      <c r="AF146" s="1"/>
      <c r="AG146" s="1"/>
      <c r="AH146" s="1"/>
    </row>
    <row r="147" ht="12.75" hidden="1" customHeight="1" outlineLevel="1">
      <c r="A147" s="17">
        <v>41074.0</v>
      </c>
      <c r="B147" s="1" t="s">
        <v>347</v>
      </c>
      <c r="C147" s="1" t="s">
        <v>348</v>
      </c>
      <c r="D147" s="1">
        <v>100.0</v>
      </c>
      <c r="E147" s="1">
        <v>8.3001</v>
      </c>
      <c r="F147" s="75">
        <v>0.5823263888888889</v>
      </c>
      <c r="G147" s="1"/>
      <c r="H147" s="1">
        <v>0.4</v>
      </c>
      <c r="I147" s="76"/>
      <c r="J147" s="67">
        <f t="shared" si="12"/>
        <v>829.61</v>
      </c>
      <c r="K147" s="1"/>
      <c r="L147" s="70"/>
      <c r="M147" s="79"/>
      <c r="N147" s="1"/>
      <c r="O147" s="1"/>
      <c r="P147" s="1"/>
      <c r="Q147" s="1"/>
      <c r="R147" s="1"/>
      <c r="S147" s="1"/>
      <c r="T147" s="1"/>
      <c r="U147" s="1"/>
      <c r="V147" s="1"/>
      <c r="W147" s="1"/>
      <c r="X147" s="1"/>
      <c r="Y147" s="1"/>
      <c r="Z147" s="1"/>
      <c r="AA147" s="1"/>
      <c r="AB147" s="1"/>
      <c r="AC147" s="1"/>
      <c r="AD147" s="1"/>
      <c r="AE147" s="1"/>
      <c r="AF147" s="1"/>
      <c r="AG147" s="1"/>
      <c r="AH147" s="1"/>
    </row>
    <row r="148" ht="12.75" hidden="1" customHeight="1" outlineLevel="1">
      <c r="A148" s="17">
        <v>41074.0</v>
      </c>
      <c r="B148" s="1" t="s">
        <v>347</v>
      </c>
      <c r="C148" s="1" t="s">
        <v>348</v>
      </c>
      <c r="D148" s="1">
        <v>100.0</v>
      </c>
      <c r="E148" s="1">
        <v>8.3</v>
      </c>
      <c r="F148" s="75">
        <v>0.5823263888888889</v>
      </c>
      <c r="G148" s="1"/>
      <c r="H148" s="1">
        <v>0.4</v>
      </c>
      <c r="I148" s="76"/>
      <c r="J148" s="67">
        <f t="shared" si="12"/>
        <v>829.6</v>
      </c>
      <c r="K148" s="1"/>
      <c r="L148" s="70"/>
      <c r="M148" s="79"/>
      <c r="N148" s="1"/>
      <c r="O148" s="1"/>
      <c r="P148" s="1"/>
      <c r="Q148" s="1"/>
      <c r="R148" s="1"/>
      <c r="S148" s="1"/>
      <c r="T148" s="1"/>
      <c r="U148" s="1"/>
      <c r="V148" s="1"/>
      <c r="W148" s="1"/>
      <c r="X148" s="1"/>
      <c r="Y148" s="1"/>
      <c r="Z148" s="1"/>
      <c r="AA148" s="1"/>
      <c r="AB148" s="1"/>
      <c r="AC148" s="1"/>
      <c r="AD148" s="1"/>
      <c r="AE148" s="1"/>
      <c r="AF148" s="1"/>
      <c r="AG148" s="1"/>
      <c r="AH148" s="1"/>
    </row>
    <row r="149" ht="12.75" hidden="1" customHeight="1" outlineLevel="1">
      <c r="A149" s="17">
        <v>41074.0</v>
      </c>
      <c r="B149" s="1" t="s">
        <v>347</v>
      </c>
      <c r="C149" s="1" t="s">
        <v>348</v>
      </c>
      <c r="D149" s="1">
        <v>200.0</v>
      </c>
      <c r="E149" s="1">
        <v>8.3</v>
      </c>
      <c r="F149" s="75">
        <v>0.5823263888888889</v>
      </c>
      <c r="G149" s="1"/>
      <c r="H149" s="1">
        <v>0.8</v>
      </c>
      <c r="I149" s="76"/>
      <c r="J149" s="67">
        <f t="shared" si="12"/>
        <v>1659.2</v>
      </c>
      <c r="K149" s="1"/>
      <c r="L149" s="70"/>
      <c r="M149" s="79"/>
      <c r="N149" s="1"/>
      <c r="O149" s="1"/>
      <c r="P149" s="1"/>
      <c r="Q149" s="1"/>
      <c r="R149" s="1"/>
      <c r="S149" s="1"/>
      <c r="T149" s="1"/>
      <c r="U149" s="1"/>
      <c r="V149" s="1"/>
      <c r="W149" s="1"/>
      <c r="X149" s="1"/>
      <c r="Y149" s="1"/>
      <c r="Z149" s="1"/>
      <c r="AA149" s="1"/>
      <c r="AB149" s="1"/>
      <c r="AC149" s="1"/>
      <c r="AD149" s="1"/>
      <c r="AE149" s="1"/>
      <c r="AF149" s="1"/>
      <c r="AG149" s="1"/>
      <c r="AH149" s="1"/>
    </row>
    <row r="150" ht="12.75" hidden="1" customHeight="1" outlineLevel="1">
      <c r="A150" s="17">
        <v>41074.0</v>
      </c>
      <c r="B150" s="1" t="s">
        <v>347</v>
      </c>
      <c r="C150" s="1" t="s">
        <v>348</v>
      </c>
      <c r="D150" s="1">
        <v>100.0</v>
      </c>
      <c r="E150" s="1">
        <v>8.3</v>
      </c>
      <c r="F150" s="75">
        <v>0.5823263888888889</v>
      </c>
      <c r="G150" s="1"/>
      <c r="H150" s="1">
        <v>0.4</v>
      </c>
      <c r="I150" s="76"/>
      <c r="J150" s="67">
        <f t="shared" si="12"/>
        <v>829.6</v>
      </c>
      <c r="K150" s="1"/>
      <c r="L150" s="70"/>
      <c r="M150" s="79"/>
      <c r="N150" s="1"/>
      <c r="O150" s="1"/>
      <c r="P150" s="1"/>
      <c r="Q150" s="1"/>
      <c r="R150" s="1"/>
      <c r="S150" s="1"/>
      <c r="T150" s="1"/>
      <c r="U150" s="1"/>
      <c r="V150" s="1"/>
      <c r="W150" s="1"/>
      <c r="X150" s="1"/>
      <c r="Y150" s="1"/>
      <c r="Z150" s="1"/>
      <c r="AA150" s="1"/>
      <c r="AB150" s="1"/>
      <c r="AC150" s="1"/>
      <c r="AD150" s="1"/>
      <c r="AE150" s="1"/>
      <c r="AF150" s="1"/>
      <c r="AG150" s="1"/>
      <c r="AH150" s="1"/>
    </row>
    <row r="151" ht="12.75" hidden="1" customHeight="1" outlineLevel="1">
      <c r="A151" s="17">
        <v>41074.0</v>
      </c>
      <c r="B151" s="1" t="s">
        <v>347</v>
      </c>
      <c r="C151" s="1" t="s">
        <v>409</v>
      </c>
      <c r="D151" s="1">
        <v>25.0</v>
      </c>
      <c r="E151" s="1">
        <v>128.8</v>
      </c>
      <c r="F151" s="75">
        <v>0.8057175925925927</v>
      </c>
      <c r="G151" s="1"/>
      <c r="H151" s="1">
        <v>1.0</v>
      </c>
      <c r="I151" s="76"/>
      <c r="J151" s="67">
        <f t="shared" si="12"/>
        <v>3219</v>
      </c>
      <c r="K151" s="1"/>
      <c r="L151" s="70"/>
      <c r="M151" s="79"/>
      <c r="N151" s="1"/>
      <c r="O151" s="1"/>
      <c r="P151" s="1"/>
      <c r="Q151" s="1"/>
      <c r="R151" s="1"/>
      <c r="S151" s="1"/>
      <c r="T151" s="1"/>
      <c r="U151" s="1"/>
      <c r="V151" s="1"/>
      <c r="W151" s="1"/>
      <c r="X151" s="1"/>
      <c r="Y151" s="1"/>
      <c r="Z151" s="1"/>
      <c r="AA151" s="1"/>
      <c r="AB151" s="1"/>
      <c r="AC151" s="1"/>
      <c r="AD151" s="1"/>
      <c r="AE151" s="1"/>
      <c r="AF151" s="1"/>
      <c r="AG151" s="1"/>
      <c r="AH151" s="1"/>
    </row>
    <row r="152" ht="12.75" hidden="1" customHeight="1" outlineLevel="1">
      <c r="A152" s="17">
        <v>41074.0</v>
      </c>
      <c r="B152" s="1" t="s">
        <v>347</v>
      </c>
      <c r="C152" s="1" t="s">
        <v>354</v>
      </c>
      <c r="D152" s="1">
        <v>100.0</v>
      </c>
      <c r="E152" s="1">
        <v>65.65</v>
      </c>
      <c r="F152" s="75">
        <v>0.8280439814814815</v>
      </c>
      <c r="G152" s="1"/>
      <c r="H152" s="1">
        <v>1.0</v>
      </c>
      <c r="I152" s="76"/>
      <c r="J152" s="67">
        <f t="shared" si="12"/>
        <v>6564</v>
      </c>
      <c r="K152" s="1" t="s">
        <v>410</v>
      </c>
      <c r="L152" s="70"/>
      <c r="M152" s="79"/>
      <c r="N152" s="1"/>
      <c r="O152" s="1"/>
      <c r="P152" s="1"/>
      <c r="Q152" s="1"/>
      <c r="R152" s="1"/>
      <c r="S152" s="1"/>
      <c r="T152" s="1"/>
      <c r="U152" s="1"/>
      <c r="V152" s="1"/>
      <c r="W152" s="1"/>
      <c r="X152" s="1"/>
      <c r="Y152" s="1"/>
      <c r="Z152" s="1"/>
      <c r="AA152" s="1"/>
      <c r="AB152" s="1"/>
      <c r="AC152" s="1"/>
      <c r="AD152" s="1"/>
      <c r="AE152" s="1"/>
      <c r="AF152" s="1"/>
      <c r="AG152" s="1"/>
      <c r="AH152" s="1"/>
    </row>
    <row r="153" ht="12.75" hidden="1" customHeight="1" outlineLevel="1">
      <c r="A153" s="17">
        <v>41074.0</v>
      </c>
      <c r="B153" s="1" t="s">
        <v>347</v>
      </c>
      <c r="C153" s="1" t="s">
        <v>354</v>
      </c>
      <c r="D153" s="1">
        <v>100.0</v>
      </c>
      <c r="E153" s="1">
        <v>65.65</v>
      </c>
      <c r="F153" s="75">
        <v>0.8280555555555557</v>
      </c>
      <c r="G153" s="1"/>
      <c r="H153" s="1">
        <v>0.0</v>
      </c>
      <c r="I153" s="76"/>
      <c r="J153" s="67">
        <f t="shared" si="12"/>
        <v>6565</v>
      </c>
      <c r="K153" s="1"/>
      <c r="L153" s="70"/>
      <c r="M153" s="79"/>
      <c r="N153" s="1"/>
      <c r="O153" s="1"/>
      <c r="P153" s="1"/>
      <c r="Q153" s="1"/>
      <c r="R153" s="1"/>
      <c r="S153" s="1"/>
      <c r="T153" s="1"/>
      <c r="U153" s="1"/>
      <c r="V153" s="1"/>
      <c r="W153" s="1"/>
      <c r="X153" s="1"/>
      <c r="Y153" s="1"/>
      <c r="Z153" s="1"/>
      <c r="AA153" s="1"/>
      <c r="AB153" s="1"/>
      <c r="AC153" s="1"/>
      <c r="AD153" s="1"/>
      <c r="AE153" s="1"/>
      <c r="AF153" s="1"/>
      <c r="AG153" s="1"/>
      <c r="AH153" s="1"/>
    </row>
    <row r="154" ht="12.75" hidden="1" customHeight="1" outlineLevel="1">
      <c r="A154" s="17">
        <v>41074.0</v>
      </c>
      <c r="B154" s="1" t="s">
        <v>347</v>
      </c>
      <c r="C154" s="1" t="s">
        <v>354</v>
      </c>
      <c r="D154" s="1">
        <v>117.0</v>
      </c>
      <c r="E154" s="1">
        <v>65.68</v>
      </c>
      <c r="F154" s="75">
        <v>0.8283564814814816</v>
      </c>
      <c r="G154" s="1"/>
      <c r="H154" s="1">
        <v>1.0</v>
      </c>
      <c r="I154" s="76"/>
      <c r="J154" s="67">
        <f t="shared" si="12"/>
        <v>7683.56</v>
      </c>
      <c r="K154" s="1"/>
      <c r="L154" s="70"/>
      <c r="M154" s="79"/>
      <c r="N154" s="1"/>
      <c r="O154" s="1"/>
      <c r="P154" s="1"/>
      <c r="Q154" s="1"/>
      <c r="R154" s="1"/>
      <c r="S154" s="1"/>
      <c r="T154" s="1"/>
      <c r="U154" s="1"/>
      <c r="V154" s="1"/>
      <c r="W154" s="1"/>
      <c r="X154" s="1"/>
      <c r="Y154" s="1"/>
      <c r="Z154" s="1"/>
      <c r="AA154" s="1"/>
      <c r="AB154" s="1"/>
      <c r="AC154" s="1"/>
      <c r="AD154" s="1"/>
      <c r="AE154" s="1"/>
      <c r="AF154" s="1"/>
      <c r="AG154" s="1"/>
      <c r="AH154" s="1"/>
    </row>
    <row r="155" ht="12.75" hidden="1" customHeight="1" outlineLevel="1">
      <c r="A155" s="17">
        <v>41074.0</v>
      </c>
      <c r="B155" s="1" t="s">
        <v>347</v>
      </c>
      <c r="C155" s="1" t="s">
        <v>354</v>
      </c>
      <c r="D155" s="1">
        <v>183.0</v>
      </c>
      <c r="E155" s="1">
        <v>65.68</v>
      </c>
      <c r="F155" s="75">
        <v>0.8283564814814816</v>
      </c>
      <c r="G155" s="1"/>
      <c r="H155" s="1">
        <v>0.5</v>
      </c>
      <c r="I155" s="76"/>
      <c r="J155" s="67">
        <f t="shared" si="12"/>
        <v>12018.94</v>
      </c>
      <c r="K155" s="1"/>
      <c r="L155" s="70"/>
      <c r="M155" s="79"/>
      <c r="N155" s="1"/>
      <c r="O155" s="1"/>
      <c r="P155" s="1"/>
      <c r="Q155" s="1"/>
      <c r="R155" s="1"/>
      <c r="S155" s="1"/>
      <c r="T155" s="1"/>
      <c r="U155" s="1"/>
      <c r="V155" s="1"/>
      <c r="W155" s="1"/>
      <c r="X155" s="1"/>
      <c r="Y155" s="1"/>
      <c r="Z155" s="1"/>
      <c r="AA155" s="1"/>
      <c r="AB155" s="1"/>
      <c r="AC155" s="1"/>
      <c r="AD155" s="1"/>
      <c r="AE155" s="1"/>
      <c r="AF155" s="1"/>
      <c r="AG155" s="1"/>
      <c r="AH155" s="1"/>
    </row>
    <row r="156" ht="12.75" hidden="1" customHeight="1" outlineLevel="1">
      <c r="A156" s="17">
        <v>41074.0</v>
      </c>
      <c r="B156" s="1"/>
      <c r="C156" s="1" t="s">
        <v>339</v>
      </c>
      <c r="D156" s="74"/>
      <c r="E156" s="67"/>
      <c r="F156" s="75"/>
      <c r="G156" s="67"/>
      <c r="H156" s="68"/>
      <c r="I156" s="76"/>
      <c r="J156" s="67"/>
      <c r="K156" s="7" t="s">
        <v>412</v>
      </c>
      <c r="L156" s="77"/>
      <c r="M156" s="79"/>
      <c r="N156" s="1"/>
      <c r="O156" s="1"/>
      <c r="P156" s="1"/>
      <c r="Q156" s="1"/>
      <c r="R156" s="1"/>
      <c r="S156" s="1"/>
      <c r="T156" s="1"/>
      <c r="U156" s="1"/>
      <c r="V156" s="1"/>
      <c r="W156" s="1"/>
      <c r="X156" s="1"/>
      <c r="Y156" s="1"/>
      <c r="Z156" s="1"/>
      <c r="AA156" s="1"/>
      <c r="AB156" s="1"/>
      <c r="AC156" s="1"/>
      <c r="AD156" s="1"/>
      <c r="AE156" s="1"/>
      <c r="AF156" s="1"/>
      <c r="AG156" s="1"/>
      <c r="AH156" s="1"/>
    </row>
    <row r="157" ht="12.75" hidden="1" customHeight="1" outlineLevel="1">
      <c r="A157" s="17">
        <v>41075.0</v>
      </c>
      <c r="B157" s="1" t="s">
        <v>343</v>
      </c>
      <c r="C157" s="1" t="s">
        <v>371</v>
      </c>
      <c r="D157" s="1">
        <v>50.0</v>
      </c>
      <c r="E157" s="1">
        <v>20.07</v>
      </c>
      <c r="F157" s="75">
        <v>0.6729166666666666</v>
      </c>
      <c r="G157" s="1"/>
      <c r="H157" s="1">
        <v>1.0</v>
      </c>
      <c r="I157" s="76"/>
      <c r="J157" s="67">
        <f t="shared" ref="J157:J163" si="13">IF(B157="SLD",D157*E157,-D157*E157)-H157</f>
        <v>-1004.5</v>
      </c>
      <c r="K157" s="1"/>
      <c r="L157" s="70"/>
      <c r="M157" s="79"/>
      <c r="N157" s="1"/>
      <c r="O157" s="1"/>
      <c r="P157" s="1"/>
      <c r="Q157" s="1"/>
      <c r="R157" s="1"/>
      <c r="S157" s="1"/>
      <c r="T157" s="1"/>
      <c r="U157" s="1"/>
      <c r="V157" s="1"/>
      <c r="W157" s="1"/>
      <c r="X157" s="1"/>
      <c r="Y157" s="1"/>
      <c r="Z157" s="1"/>
      <c r="AA157" s="1"/>
      <c r="AB157" s="1"/>
      <c r="AC157" s="1"/>
      <c r="AD157" s="1"/>
      <c r="AE157" s="1"/>
      <c r="AF157" s="1"/>
      <c r="AG157" s="1"/>
      <c r="AH157" s="1"/>
    </row>
    <row r="158" ht="12.75" hidden="1" customHeight="1" outlineLevel="1">
      <c r="A158" s="17">
        <v>41075.0</v>
      </c>
      <c r="B158" s="1" t="s">
        <v>343</v>
      </c>
      <c r="C158" s="1" t="s">
        <v>371</v>
      </c>
      <c r="D158" s="1">
        <v>100.0</v>
      </c>
      <c r="E158" s="1">
        <v>20.07</v>
      </c>
      <c r="F158" s="75">
        <v>0.6729166666666666</v>
      </c>
      <c r="G158" s="1"/>
      <c r="H158" s="1">
        <v>0.0</v>
      </c>
      <c r="I158" s="76"/>
      <c r="J158" s="67">
        <f t="shared" si="13"/>
        <v>-2007</v>
      </c>
      <c r="K158" s="1"/>
      <c r="L158" s="70"/>
      <c r="M158" s="79"/>
      <c r="N158" s="1"/>
      <c r="O158" s="1"/>
      <c r="P158" s="1"/>
      <c r="Q158" s="1"/>
      <c r="R158" s="1"/>
      <c r="S158" s="1"/>
      <c r="T158" s="1"/>
      <c r="U158" s="1"/>
      <c r="V158" s="1"/>
      <c r="W158" s="1"/>
      <c r="X158" s="1"/>
      <c r="Y158" s="1"/>
      <c r="Z158" s="1"/>
      <c r="AA158" s="1"/>
      <c r="AB158" s="1"/>
      <c r="AC158" s="1"/>
      <c r="AD158" s="1"/>
      <c r="AE158" s="1"/>
      <c r="AF158" s="1"/>
      <c r="AG158" s="1"/>
      <c r="AH158" s="1"/>
    </row>
    <row r="159" ht="12.75" hidden="1" customHeight="1" outlineLevel="1">
      <c r="A159" s="17">
        <v>41075.0</v>
      </c>
      <c r="B159" s="1" t="s">
        <v>343</v>
      </c>
      <c r="C159" s="1" t="s">
        <v>413</v>
      </c>
      <c r="D159" s="1">
        <v>25.0</v>
      </c>
      <c r="E159" s="1">
        <v>54.47</v>
      </c>
      <c r="F159" s="75">
        <v>0.6745601851851851</v>
      </c>
      <c r="G159" s="1"/>
      <c r="H159" s="1">
        <v>1.0</v>
      </c>
      <c r="I159" s="76"/>
      <c r="J159" s="67">
        <f t="shared" si="13"/>
        <v>-1362.75</v>
      </c>
      <c r="K159" s="1"/>
      <c r="L159" s="70"/>
      <c r="M159" s="79"/>
      <c r="N159" s="1"/>
      <c r="O159" s="1"/>
      <c r="P159" s="1"/>
      <c r="Q159" s="1"/>
      <c r="R159" s="1"/>
      <c r="S159" s="1"/>
      <c r="T159" s="1"/>
      <c r="U159" s="1"/>
      <c r="V159" s="1"/>
      <c r="W159" s="1"/>
      <c r="X159" s="1"/>
      <c r="Y159" s="1"/>
      <c r="Z159" s="1"/>
      <c r="AA159" s="1"/>
      <c r="AB159" s="1"/>
      <c r="AC159" s="1"/>
      <c r="AD159" s="1"/>
      <c r="AE159" s="1"/>
      <c r="AF159" s="1"/>
      <c r="AG159" s="1"/>
      <c r="AH159" s="1"/>
    </row>
    <row r="160" ht="12.75" hidden="1" customHeight="1" outlineLevel="1">
      <c r="A160" s="17">
        <v>41075.0</v>
      </c>
      <c r="B160" s="1" t="s">
        <v>343</v>
      </c>
      <c r="C160" s="1" t="s">
        <v>413</v>
      </c>
      <c r="D160" s="1">
        <v>100.0</v>
      </c>
      <c r="E160" s="1">
        <v>54.4699</v>
      </c>
      <c r="F160" s="75">
        <v>0.6745601851851851</v>
      </c>
      <c r="G160" s="1"/>
      <c r="H160" s="1">
        <v>0.0</v>
      </c>
      <c r="I160" s="76"/>
      <c r="J160" s="67">
        <f t="shared" si="13"/>
        <v>-5446.99</v>
      </c>
      <c r="K160" s="1"/>
      <c r="L160" s="70"/>
      <c r="M160" s="79"/>
      <c r="N160" s="1"/>
      <c r="O160" s="1"/>
      <c r="P160" s="1"/>
      <c r="Q160" s="1"/>
      <c r="R160" s="1"/>
      <c r="S160" s="1"/>
      <c r="T160" s="1"/>
      <c r="U160" s="1"/>
      <c r="V160" s="1"/>
      <c r="W160" s="1"/>
      <c r="X160" s="1"/>
      <c r="Y160" s="1"/>
      <c r="Z160" s="1"/>
      <c r="AA160" s="1"/>
      <c r="AB160" s="1"/>
      <c r="AC160" s="1"/>
      <c r="AD160" s="1"/>
      <c r="AE160" s="1"/>
      <c r="AF160" s="1"/>
      <c r="AG160" s="1"/>
      <c r="AH160" s="1"/>
    </row>
    <row r="161" ht="12.75" hidden="1" customHeight="1" outlineLevel="1">
      <c r="A161" s="17">
        <v>41075.0</v>
      </c>
      <c r="B161" s="1" t="s">
        <v>343</v>
      </c>
      <c r="C161" s="1" t="s">
        <v>388</v>
      </c>
      <c r="D161" s="1">
        <v>15.0</v>
      </c>
      <c r="E161" s="1">
        <v>423.1</v>
      </c>
      <c r="F161" s="75">
        <v>0.6756365740740741</v>
      </c>
      <c r="G161" s="1"/>
      <c r="H161" s="1">
        <v>1.0</v>
      </c>
      <c r="I161" s="76"/>
      <c r="J161" s="67">
        <f t="shared" si="13"/>
        <v>-6347.5</v>
      </c>
      <c r="K161" s="1"/>
      <c r="L161" s="70"/>
      <c r="M161" s="79"/>
      <c r="N161" s="1"/>
      <c r="O161" s="1"/>
      <c r="P161" s="1"/>
      <c r="Q161" s="1"/>
      <c r="R161" s="1"/>
      <c r="S161" s="1"/>
      <c r="T161" s="1"/>
      <c r="U161" s="1"/>
      <c r="V161" s="1"/>
      <c r="W161" s="1"/>
      <c r="X161" s="1"/>
      <c r="Y161" s="1"/>
      <c r="Z161" s="1"/>
      <c r="AA161" s="1"/>
      <c r="AB161" s="1"/>
      <c r="AC161" s="1"/>
      <c r="AD161" s="1"/>
      <c r="AE161" s="1"/>
      <c r="AF161" s="1"/>
      <c r="AG161" s="1"/>
      <c r="AH161" s="1"/>
    </row>
    <row r="162" ht="12.75" hidden="1" customHeight="1" outlineLevel="1">
      <c r="A162" s="17">
        <v>41075.0</v>
      </c>
      <c r="B162" s="1" t="s">
        <v>343</v>
      </c>
      <c r="C162" s="1" t="s">
        <v>387</v>
      </c>
      <c r="D162" s="1">
        <v>100.0</v>
      </c>
      <c r="E162" s="1">
        <v>66.66</v>
      </c>
      <c r="F162" s="75">
        <v>0.6759143518518518</v>
      </c>
      <c r="G162" s="1"/>
      <c r="H162" s="1">
        <v>1.0</v>
      </c>
      <c r="I162" s="76"/>
      <c r="J162" s="67">
        <f t="shared" si="13"/>
        <v>-6667</v>
      </c>
      <c r="K162" s="1"/>
      <c r="L162" s="70"/>
      <c r="M162" s="79"/>
      <c r="N162" s="1"/>
      <c r="O162" s="1"/>
      <c r="P162" s="1"/>
      <c r="Q162" s="1"/>
      <c r="R162" s="1"/>
      <c r="S162" s="1"/>
      <c r="T162" s="1"/>
      <c r="U162" s="1"/>
      <c r="V162" s="1"/>
      <c r="W162" s="1"/>
      <c r="X162" s="1"/>
      <c r="Y162" s="1"/>
      <c r="Z162" s="1"/>
      <c r="AA162" s="1"/>
      <c r="AB162" s="1"/>
      <c r="AC162" s="1"/>
      <c r="AD162" s="1"/>
      <c r="AE162" s="1"/>
      <c r="AF162" s="1"/>
      <c r="AG162" s="1"/>
      <c r="AH162" s="1"/>
    </row>
    <row r="163" ht="12.75" hidden="1" customHeight="1" outlineLevel="1">
      <c r="A163" s="17">
        <v>41075.0</v>
      </c>
      <c r="B163" s="1" t="s">
        <v>343</v>
      </c>
      <c r="C163" s="1" t="s">
        <v>346</v>
      </c>
      <c r="D163" s="1">
        <v>12.0</v>
      </c>
      <c r="E163" s="1">
        <v>574.48</v>
      </c>
      <c r="F163" s="75">
        <v>0.8307175925925926</v>
      </c>
      <c r="G163" s="1"/>
      <c r="H163" s="1">
        <v>1.0</v>
      </c>
      <c r="I163" s="76"/>
      <c r="J163" s="67">
        <f t="shared" si="13"/>
        <v>-6894.76</v>
      </c>
      <c r="K163" s="1"/>
      <c r="L163" s="70"/>
      <c r="M163" s="79"/>
      <c r="N163" s="1"/>
      <c r="O163" s="1"/>
      <c r="P163" s="1"/>
      <c r="Q163" s="1"/>
      <c r="R163" s="1"/>
      <c r="S163" s="1"/>
      <c r="T163" s="1"/>
      <c r="U163" s="1"/>
      <c r="V163" s="1"/>
      <c r="W163" s="1"/>
      <c r="X163" s="1"/>
      <c r="Y163" s="1"/>
      <c r="Z163" s="1"/>
      <c r="AA163" s="1"/>
      <c r="AB163" s="1"/>
      <c r="AC163" s="1"/>
      <c r="AD163" s="1"/>
      <c r="AE163" s="1"/>
      <c r="AF163" s="1"/>
      <c r="AG163" s="1"/>
      <c r="AH163" s="1"/>
    </row>
    <row r="164" ht="12.75" hidden="1" customHeight="1" outlineLevel="1">
      <c r="A164" s="17">
        <v>41075.0</v>
      </c>
      <c r="B164" s="1"/>
      <c r="C164" s="1" t="s">
        <v>339</v>
      </c>
      <c r="D164" s="74"/>
      <c r="E164" s="67"/>
      <c r="F164" s="75"/>
      <c r="G164" s="67"/>
      <c r="H164" s="68"/>
      <c r="I164" s="76"/>
      <c r="J164" s="67"/>
      <c r="K164" s="7" t="s">
        <v>414</v>
      </c>
      <c r="L164" s="77"/>
      <c r="M164" s="79"/>
      <c r="N164" s="1"/>
      <c r="O164" s="1"/>
      <c r="P164" s="1"/>
      <c r="Q164" s="1"/>
      <c r="R164" s="1"/>
      <c r="S164" s="1"/>
      <c r="T164" s="1"/>
      <c r="U164" s="1"/>
      <c r="V164" s="1"/>
      <c r="W164" s="1"/>
      <c r="X164" s="1"/>
      <c r="Y164" s="1"/>
      <c r="Z164" s="1"/>
      <c r="AA164" s="1"/>
      <c r="AB164" s="1"/>
      <c r="AC164" s="1"/>
      <c r="AD164" s="1"/>
      <c r="AE164" s="1"/>
      <c r="AF164" s="1"/>
      <c r="AG164" s="1"/>
      <c r="AH164" s="1"/>
    </row>
    <row r="165" ht="12.75" hidden="1" customHeight="1" outlineLevel="1">
      <c r="A165" s="17">
        <v>41076.0</v>
      </c>
      <c r="B165" s="1"/>
      <c r="C165" s="1" t="s">
        <v>339</v>
      </c>
      <c r="D165" s="74"/>
      <c r="E165" s="67"/>
      <c r="F165" s="75"/>
      <c r="G165" s="67"/>
      <c r="H165" s="68"/>
      <c r="I165" s="76"/>
      <c r="J165" s="67"/>
      <c r="K165" s="7" t="s">
        <v>415</v>
      </c>
      <c r="L165" s="77"/>
      <c r="M165" s="79"/>
      <c r="N165" s="1"/>
      <c r="O165" s="1"/>
      <c r="P165" s="1"/>
      <c r="Q165" s="1"/>
      <c r="R165" s="1"/>
      <c r="S165" s="1"/>
      <c r="T165" s="1"/>
      <c r="U165" s="1"/>
      <c r="V165" s="1"/>
      <c r="W165" s="1"/>
      <c r="X165" s="1"/>
      <c r="Y165" s="1"/>
      <c r="Z165" s="1"/>
      <c r="AA165" s="1"/>
      <c r="AB165" s="1"/>
      <c r="AC165" s="1"/>
      <c r="AD165" s="1"/>
      <c r="AE165" s="1"/>
      <c r="AF165" s="1"/>
      <c r="AG165" s="1"/>
      <c r="AH165" s="1"/>
    </row>
    <row r="166" ht="12.75" hidden="1" customHeight="1" outlineLevel="1">
      <c r="A166" s="17">
        <v>41077.0</v>
      </c>
      <c r="B166" s="1"/>
      <c r="C166" s="1" t="s">
        <v>339</v>
      </c>
      <c r="D166" s="74"/>
      <c r="E166" s="67"/>
      <c r="F166" s="75"/>
      <c r="G166" s="67"/>
      <c r="H166" s="68"/>
      <c r="I166" s="76"/>
      <c r="J166" s="67"/>
      <c r="K166" s="7" t="s">
        <v>416</v>
      </c>
      <c r="L166" s="77"/>
      <c r="M166" s="79"/>
      <c r="N166" s="1"/>
      <c r="O166" s="1"/>
      <c r="P166" s="1"/>
      <c r="Q166" s="1"/>
      <c r="R166" s="1"/>
      <c r="S166" s="1"/>
      <c r="T166" s="1"/>
      <c r="U166" s="1"/>
      <c r="V166" s="1"/>
      <c r="W166" s="1"/>
      <c r="X166" s="1"/>
      <c r="Y166" s="1"/>
      <c r="Z166" s="1"/>
      <c r="AA166" s="1"/>
      <c r="AB166" s="1"/>
      <c r="AC166" s="1"/>
      <c r="AD166" s="1"/>
      <c r="AE166" s="1"/>
      <c r="AF166" s="1"/>
      <c r="AG166" s="1"/>
      <c r="AH166" s="1"/>
    </row>
    <row r="167" ht="12.75" hidden="1" customHeight="1" outlineLevel="1">
      <c r="A167" s="17">
        <v>41078.0</v>
      </c>
      <c r="B167" s="1" t="s">
        <v>343</v>
      </c>
      <c r="C167" s="1" t="s">
        <v>381</v>
      </c>
      <c r="D167" s="74">
        <v>100.0</v>
      </c>
      <c r="E167" s="67">
        <v>30.83</v>
      </c>
      <c r="F167" s="75">
        <v>0.587025462962963</v>
      </c>
      <c r="G167" s="67"/>
      <c r="H167" s="68">
        <v>1.0</v>
      </c>
      <c r="I167" s="76"/>
      <c r="J167" s="67">
        <f t="shared" ref="J167:J184" si="14">IF(B167="SLD",D167*E167,-D167*E167)-H167</f>
        <v>-3084</v>
      </c>
      <c r="K167" s="1"/>
      <c r="L167" s="70"/>
      <c r="M167" s="79"/>
      <c r="N167" s="1"/>
      <c r="O167" s="1"/>
      <c r="P167" s="1"/>
      <c r="Q167" s="1"/>
      <c r="R167" s="1"/>
      <c r="S167" s="1"/>
      <c r="T167" s="1"/>
      <c r="U167" s="1"/>
      <c r="V167" s="1"/>
      <c r="W167" s="1"/>
      <c r="X167" s="1"/>
      <c r="Y167" s="1"/>
      <c r="Z167" s="1"/>
      <c r="AA167" s="1"/>
      <c r="AB167" s="1"/>
      <c r="AC167" s="1"/>
      <c r="AD167" s="1"/>
      <c r="AE167" s="1"/>
      <c r="AF167" s="1"/>
      <c r="AG167" s="1"/>
      <c r="AH167" s="1"/>
    </row>
    <row r="168" ht="12.75" hidden="1" customHeight="1" outlineLevel="1">
      <c r="A168" s="17">
        <v>41078.0</v>
      </c>
      <c r="B168" s="1" t="s">
        <v>343</v>
      </c>
      <c r="C168" s="1" t="s">
        <v>381</v>
      </c>
      <c r="D168" s="74">
        <v>50.0</v>
      </c>
      <c r="E168" s="67">
        <v>30.83</v>
      </c>
      <c r="F168" s="75">
        <v>0.587025462962963</v>
      </c>
      <c r="G168" s="67"/>
      <c r="H168" s="68">
        <v>0.0</v>
      </c>
      <c r="I168" s="76"/>
      <c r="J168" s="67">
        <f t="shared" si="14"/>
        <v>-1541.5</v>
      </c>
      <c r="K168" s="1"/>
      <c r="L168" s="70"/>
      <c r="M168" s="79"/>
      <c r="N168" s="1"/>
      <c r="O168" s="1"/>
      <c r="P168" s="1"/>
      <c r="Q168" s="1"/>
      <c r="R168" s="1"/>
      <c r="S168" s="1"/>
      <c r="T168" s="1"/>
      <c r="U168" s="1"/>
      <c r="V168" s="1"/>
      <c r="W168" s="1"/>
      <c r="X168" s="1"/>
      <c r="Y168" s="1"/>
      <c r="Z168" s="1"/>
      <c r="AA168" s="1"/>
      <c r="AB168" s="1"/>
      <c r="AC168" s="1"/>
      <c r="AD168" s="1"/>
      <c r="AE168" s="1"/>
      <c r="AF168" s="1"/>
      <c r="AG168" s="1"/>
      <c r="AH168" s="1"/>
    </row>
    <row r="169" ht="12.75" hidden="1" customHeight="1" outlineLevel="1">
      <c r="A169" s="17">
        <v>41078.0</v>
      </c>
      <c r="B169" s="1" t="s">
        <v>343</v>
      </c>
      <c r="C169" s="1" t="s">
        <v>349</v>
      </c>
      <c r="D169" s="74">
        <v>25.0</v>
      </c>
      <c r="E169" s="67">
        <v>46.45</v>
      </c>
      <c r="F169" s="75">
        <v>0.5988310185185185</v>
      </c>
      <c r="G169" s="67"/>
      <c r="H169" s="68">
        <v>1.0</v>
      </c>
      <c r="I169" s="76"/>
      <c r="J169" s="67">
        <f t="shared" si="14"/>
        <v>-1162.25</v>
      </c>
      <c r="K169" s="1"/>
      <c r="L169" s="70"/>
      <c r="M169" s="79"/>
      <c r="N169" s="1"/>
      <c r="O169" s="1"/>
      <c r="P169" s="1"/>
      <c r="Q169" s="1"/>
      <c r="R169" s="1"/>
      <c r="S169" s="1"/>
      <c r="T169" s="1"/>
      <c r="U169" s="1"/>
      <c r="V169" s="1"/>
      <c r="W169" s="1"/>
      <c r="X169" s="1"/>
      <c r="Y169" s="1"/>
      <c r="Z169" s="1"/>
      <c r="AA169" s="1"/>
      <c r="AB169" s="1"/>
      <c r="AC169" s="1"/>
      <c r="AD169" s="1"/>
      <c r="AE169" s="1"/>
      <c r="AF169" s="1"/>
      <c r="AG169" s="1"/>
      <c r="AH169" s="1"/>
    </row>
    <row r="170" ht="12.75" hidden="1" customHeight="1" outlineLevel="1">
      <c r="A170" s="17">
        <v>41078.0</v>
      </c>
      <c r="B170" s="1" t="s">
        <v>343</v>
      </c>
      <c r="C170" s="1" t="s">
        <v>349</v>
      </c>
      <c r="D170" s="74">
        <v>100.0</v>
      </c>
      <c r="E170" s="67">
        <v>46.45</v>
      </c>
      <c r="F170" s="75">
        <v>0.5988310185185185</v>
      </c>
      <c r="G170" s="67"/>
      <c r="H170" s="68">
        <v>0.0</v>
      </c>
      <c r="I170" s="76"/>
      <c r="J170" s="67">
        <f t="shared" si="14"/>
        <v>-4645</v>
      </c>
      <c r="K170" s="1"/>
      <c r="L170" s="70"/>
      <c r="M170" s="79"/>
      <c r="N170" s="1"/>
      <c r="O170" s="1"/>
      <c r="P170" s="1"/>
      <c r="Q170" s="1"/>
      <c r="R170" s="1"/>
      <c r="S170" s="1"/>
      <c r="T170" s="1"/>
      <c r="U170" s="1"/>
      <c r="V170" s="1"/>
      <c r="W170" s="1"/>
      <c r="X170" s="1"/>
      <c r="Y170" s="1"/>
      <c r="Z170" s="1"/>
      <c r="AA170" s="1"/>
      <c r="AB170" s="1"/>
      <c r="AC170" s="1"/>
      <c r="AD170" s="1"/>
      <c r="AE170" s="1"/>
      <c r="AF170" s="1"/>
      <c r="AG170" s="1"/>
      <c r="AH170" s="1"/>
    </row>
    <row r="171" ht="12.75" hidden="1" customHeight="1" outlineLevel="1">
      <c r="A171" s="17">
        <v>41078.0</v>
      </c>
      <c r="B171" s="1" t="s">
        <v>343</v>
      </c>
      <c r="C171" s="1" t="s">
        <v>349</v>
      </c>
      <c r="D171" s="74">
        <v>100.0</v>
      </c>
      <c r="E171" s="67">
        <v>46.45</v>
      </c>
      <c r="F171" s="75">
        <v>0.5988425925925925</v>
      </c>
      <c r="G171" s="67"/>
      <c r="H171" s="68">
        <v>0.0</v>
      </c>
      <c r="I171" s="76"/>
      <c r="J171" s="67">
        <f t="shared" si="14"/>
        <v>-4645</v>
      </c>
      <c r="K171" s="1"/>
      <c r="L171" s="70"/>
      <c r="M171" s="79"/>
      <c r="N171" s="1"/>
      <c r="O171" s="1"/>
      <c r="P171" s="1"/>
      <c r="Q171" s="1"/>
      <c r="R171" s="1"/>
      <c r="S171" s="1"/>
      <c r="T171" s="1"/>
      <c r="U171" s="1"/>
      <c r="V171" s="1"/>
      <c r="W171" s="1"/>
      <c r="X171" s="1"/>
      <c r="Y171" s="1"/>
      <c r="Z171" s="1"/>
      <c r="AA171" s="1"/>
      <c r="AB171" s="1"/>
      <c r="AC171" s="1"/>
      <c r="AD171" s="1"/>
      <c r="AE171" s="1"/>
      <c r="AF171" s="1"/>
      <c r="AG171" s="1"/>
      <c r="AH171" s="1"/>
    </row>
    <row r="172" ht="12.75" hidden="1" customHeight="1" outlineLevel="1">
      <c r="A172" s="17">
        <v>41078.0</v>
      </c>
      <c r="B172" s="1" t="s">
        <v>343</v>
      </c>
      <c r="C172" s="1" t="s">
        <v>354</v>
      </c>
      <c r="D172" s="74">
        <v>100.0</v>
      </c>
      <c r="E172" s="67">
        <v>68.23</v>
      </c>
      <c r="F172" s="75">
        <v>0.6050578703703704</v>
      </c>
      <c r="G172" s="67"/>
      <c r="H172" s="68">
        <v>1.0</v>
      </c>
      <c r="I172" s="76"/>
      <c r="J172" s="67">
        <f t="shared" si="14"/>
        <v>-6824</v>
      </c>
      <c r="K172" s="1"/>
      <c r="L172" s="70"/>
      <c r="M172" s="79"/>
      <c r="N172" s="1"/>
      <c r="O172" s="1"/>
      <c r="P172" s="1"/>
      <c r="Q172" s="1"/>
      <c r="R172" s="1"/>
      <c r="S172" s="1"/>
      <c r="T172" s="1"/>
      <c r="U172" s="1"/>
      <c r="V172" s="1"/>
      <c r="W172" s="1"/>
      <c r="X172" s="1"/>
      <c r="Y172" s="1"/>
      <c r="Z172" s="1"/>
      <c r="AA172" s="1"/>
      <c r="AB172" s="1"/>
      <c r="AC172" s="1"/>
      <c r="AD172" s="1"/>
      <c r="AE172" s="1"/>
      <c r="AF172" s="1"/>
      <c r="AG172" s="1"/>
      <c r="AH172" s="1"/>
    </row>
    <row r="173" ht="12.75" hidden="1" customHeight="1" outlineLevel="1">
      <c r="A173" s="17">
        <v>41078.0</v>
      </c>
      <c r="B173" s="1" t="s">
        <v>343</v>
      </c>
      <c r="C173" s="1" t="s">
        <v>354</v>
      </c>
      <c r="D173" s="74">
        <v>25.0</v>
      </c>
      <c r="E173" s="67">
        <v>68.23</v>
      </c>
      <c r="F173" s="75">
        <v>0.6060532407407407</v>
      </c>
      <c r="G173" s="67"/>
      <c r="H173" s="68">
        <v>0.0</v>
      </c>
      <c r="I173" s="76"/>
      <c r="J173" s="67">
        <f t="shared" si="14"/>
        <v>-1705.75</v>
      </c>
      <c r="K173" s="1"/>
      <c r="L173" s="70"/>
      <c r="M173" s="79"/>
      <c r="N173" s="1"/>
      <c r="O173" s="1"/>
      <c r="P173" s="1"/>
      <c r="Q173" s="1"/>
      <c r="R173" s="1"/>
      <c r="S173" s="1"/>
      <c r="T173" s="1"/>
      <c r="U173" s="1"/>
      <c r="V173" s="1"/>
      <c r="W173" s="1"/>
      <c r="X173" s="1"/>
      <c r="Y173" s="1"/>
      <c r="Z173" s="1"/>
      <c r="AA173" s="1"/>
      <c r="AB173" s="1"/>
      <c r="AC173" s="1"/>
      <c r="AD173" s="1"/>
      <c r="AE173" s="1"/>
      <c r="AF173" s="1"/>
      <c r="AG173" s="1"/>
      <c r="AH173" s="1"/>
    </row>
    <row r="174" ht="12.75" hidden="1" customHeight="1" outlineLevel="1">
      <c r="A174" s="17">
        <v>41078.0</v>
      </c>
      <c r="B174" s="1" t="s">
        <v>343</v>
      </c>
      <c r="C174" s="1" t="s">
        <v>354</v>
      </c>
      <c r="D174" s="74">
        <v>65.0</v>
      </c>
      <c r="E174" s="67">
        <v>68.02</v>
      </c>
      <c r="F174" s="75">
        <v>0.633263888888889</v>
      </c>
      <c r="G174" s="67"/>
      <c r="H174" s="68">
        <v>1.0</v>
      </c>
      <c r="I174" s="76"/>
      <c r="J174" s="67">
        <f t="shared" si="14"/>
        <v>-4422.3</v>
      </c>
      <c r="K174" s="1"/>
      <c r="L174" s="70"/>
      <c r="M174" s="79"/>
      <c r="N174" s="1"/>
      <c r="O174" s="1"/>
      <c r="P174" s="1"/>
      <c r="Q174" s="1"/>
      <c r="R174" s="1"/>
      <c r="S174" s="1"/>
      <c r="T174" s="1"/>
      <c r="U174" s="1"/>
      <c r="V174" s="1"/>
      <c r="W174" s="1"/>
      <c r="X174" s="1"/>
      <c r="Y174" s="1"/>
      <c r="Z174" s="1"/>
      <c r="AA174" s="1"/>
      <c r="AB174" s="1"/>
      <c r="AC174" s="1"/>
      <c r="AD174" s="1"/>
      <c r="AE174" s="1"/>
      <c r="AF174" s="1"/>
      <c r="AG174" s="1"/>
      <c r="AH174" s="1"/>
    </row>
    <row r="175" ht="12.75" hidden="1" customHeight="1" outlineLevel="1">
      <c r="A175" s="17">
        <v>41078.0</v>
      </c>
      <c r="B175" s="1" t="s">
        <v>343</v>
      </c>
      <c r="C175" s="1" t="s">
        <v>354</v>
      </c>
      <c r="D175" s="74">
        <v>60.0</v>
      </c>
      <c r="E175" s="67">
        <v>68.02</v>
      </c>
      <c r="F175" s="75">
        <v>0.633263888888889</v>
      </c>
      <c r="G175" s="67"/>
      <c r="H175" s="68">
        <v>0.0</v>
      </c>
      <c r="I175" s="76"/>
      <c r="J175" s="67">
        <f t="shared" si="14"/>
        <v>-4081.2</v>
      </c>
      <c r="K175" s="1"/>
      <c r="L175" s="70"/>
      <c r="M175" s="79"/>
      <c r="N175" s="1"/>
      <c r="O175" s="1"/>
      <c r="P175" s="1"/>
      <c r="Q175" s="1"/>
      <c r="R175" s="1"/>
      <c r="S175" s="1"/>
      <c r="T175" s="1"/>
      <c r="U175" s="1"/>
      <c r="V175" s="1"/>
      <c r="W175" s="1"/>
      <c r="X175" s="1"/>
      <c r="Y175" s="1"/>
      <c r="Z175" s="1"/>
      <c r="AA175" s="1"/>
      <c r="AB175" s="1"/>
      <c r="AC175" s="1"/>
      <c r="AD175" s="1"/>
      <c r="AE175" s="1"/>
      <c r="AF175" s="1"/>
      <c r="AG175" s="1"/>
      <c r="AH175" s="1"/>
    </row>
    <row r="176" ht="12.75" hidden="1" customHeight="1" outlineLevel="1">
      <c r="A176" s="17">
        <v>41078.0</v>
      </c>
      <c r="B176" s="1" t="s">
        <v>347</v>
      </c>
      <c r="C176" s="1" t="s">
        <v>381</v>
      </c>
      <c r="D176" s="74">
        <v>100.0</v>
      </c>
      <c r="E176" s="67">
        <v>30.95</v>
      </c>
      <c r="F176" s="75">
        <v>0.6488541666666666</v>
      </c>
      <c r="G176" s="67"/>
      <c r="H176" s="68">
        <v>1.0</v>
      </c>
      <c r="I176" s="76"/>
      <c r="J176" s="67">
        <f t="shared" si="14"/>
        <v>3094</v>
      </c>
      <c r="K176" s="1"/>
      <c r="L176" s="70"/>
      <c r="M176" s="79"/>
      <c r="N176" s="1"/>
      <c r="O176" s="1"/>
      <c r="P176" s="1"/>
      <c r="Q176" s="1"/>
      <c r="R176" s="1"/>
      <c r="S176" s="1"/>
      <c r="T176" s="1"/>
      <c r="U176" s="1"/>
      <c r="V176" s="1"/>
      <c r="W176" s="1"/>
      <c r="X176" s="1"/>
      <c r="Y176" s="1"/>
      <c r="Z176" s="1"/>
      <c r="AA176" s="1"/>
      <c r="AB176" s="1"/>
      <c r="AC176" s="1"/>
      <c r="AD176" s="1"/>
      <c r="AE176" s="1"/>
      <c r="AF176" s="1"/>
      <c r="AG176" s="1"/>
      <c r="AH176" s="1"/>
    </row>
    <row r="177" ht="12.75" hidden="1" customHeight="1" outlineLevel="1">
      <c r="A177" s="17">
        <v>41078.0</v>
      </c>
      <c r="B177" s="1" t="s">
        <v>343</v>
      </c>
      <c r="C177" s="1" t="s">
        <v>348</v>
      </c>
      <c r="D177" s="74">
        <v>400.0</v>
      </c>
      <c r="E177" s="67">
        <v>9.25</v>
      </c>
      <c r="F177" s="75">
        <v>0.7401388888888888</v>
      </c>
      <c r="G177" s="67"/>
      <c r="H177" s="68">
        <v>2.0</v>
      </c>
      <c r="I177" s="76"/>
      <c r="J177" s="67">
        <f t="shared" si="14"/>
        <v>-3702</v>
      </c>
      <c r="K177" s="1"/>
      <c r="L177" s="70"/>
      <c r="M177" s="79"/>
      <c r="N177" s="1"/>
      <c r="O177" s="1"/>
      <c r="P177" s="1"/>
      <c r="Q177" s="1"/>
      <c r="R177" s="1"/>
      <c r="S177" s="1"/>
      <c r="T177" s="1"/>
      <c r="U177" s="1"/>
      <c r="V177" s="1"/>
      <c r="W177" s="1"/>
      <c r="X177" s="1"/>
      <c r="Y177" s="1"/>
      <c r="Z177" s="1"/>
      <c r="AA177" s="1"/>
      <c r="AB177" s="1"/>
      <c r="AC177" s="1"/>
      <c r="AD177" s="1"/>
      <c r="AE177" s="1"/>
      <c r="AF177" s="1"/>
      <c r="AG177" s="1"/>
      <c r="AH177" s="1"/>
    </row>
    <row r="178" ht="12.75" hidden="1" customHeight="1" outlineLevel="1">
      <c r="A178" s="17">
        <v>41078.0</v>
      </c>
      <c r="B178" s="1" t="s">
        <v>343</v>
      </c>
      <c r="C178" s="1" t="s">
        <v>355</v>
      </c>
      <c r="D178" s="74">
        <v>75.0</v>
      </c>
      <c r="E178" s="67">
        <v>45.72</v>
      </c>
      <c r="F178" s="75">
        <v>0.7520370370370371</v>
      </c>
      <c r="G178" s="67"/>
      <c r="H178" s="68">
        <v>1.0</v>
      </c>
      <c r="I178" s="76"/>
      <c r="J178" s="67">
        <f t="shared" si="14"/>
        <v>-3430</v>
      </c>
      <c r="K178" s="1"/>
      <c r="L178" s="70"/>
      <c r="M178" s="79"/>
      <c r="N178" s="1"/>
      <c r="O178" s="1"/>
      <c r="P178" s="1"/>
      <c r="Q178" s="1"/>
      <c r="R178" s="1"/>
      <c r="S178" s="1"/>
      <c r="T178" s="1"/>
      <c r="U178" s="1"/>
      <c r="V178" s="1"/>
      <c r="W178" s="1"/>
      <c r="X178" s="1"/>
      <c r="Y178" s="1"/>
      <c r="Z178" s="1"/>
      <c r="AA178" s="1"/>
      <c r="AB178" s="1"/>
      <c r="AC178" s="1"/>
      <c r="AD178" s="1"/>
      <c r="AE178" s="1"/>
      <c r="AF178" s="1"/>
      <c r="AG178" s="1"/>
      <c r="AH178" s="1"/>
    </row>
    <row r="179" ht="12.75" hidden="1" customHeight="1" outlineLevel="1">
      <c r="A179" s="17">
        <v>41078.0</v>
      </c>
      <c r="B179" s="1" t="s">
        <v>343</v>
      </c>
      <c r="C179" s="1" t="s">
        <v>346</v>
      </c>
      <c r="D179" s="74">
        <v>12.0</v>
      </c>
      <c r="E179" s="67">
        <v>585.67</v>
      </c>
      <c r="F179" s="75">
        <v>0.755474537037037</v>
      </c>
      <c r="G179" s="67"/>
      <c r="H179" s="68">
        <v>1.0</v>
      </c>
      <c r="I179" s="76"/>
      <c r="J179" s="67">
        <f t="shared" si="14"/>
        <v>-7029.04</v>
      </c>
      <c r="K179" s="1"/>
      <c r="L179" s="70"/>
      <c r="M179" s="79"/>
      <c r="N179" s="1"/>
      <c r="O179" s="1"/>
      <c r="P179" s="1"/>
      <c r="Q179" s="1"/>
      <c r="R179" s="1"/>
      <c r="S179" s="1"/>
      <c r="T179" s="1"/>
      <c r="U179" s="1"/>
      <c r="V179" s="1"/>
      <c r="W179" s="1"/>
      <c r="X179" s="1"/>
      <c r="Y179" s="1"/>
      <c r="Z179" s="1"/>
      <c r="AA179" s="1"/>
      <c r="AB179" s="1"/>
      <c r="AC179" s="1"/>
      <c r="AD179" s="1"/>
      <c r="AE179" s="1"/>
      <c r="AF179" s="1"/>
      <c r="AG179" s="1"/>
      <c r="AH179" s="1"/>
    </row>
    <row r="180" ht="12.75" hidden="1" customHeight="1" outlineLevel="1">
      <c r="A180" s="17">
        <v>41078.0</v>
      </c>
      <c r="B180" s="1" t="s">
        <v>343</v>
      </c>
      <c r="C180" s="1" t="s">
        <v>354</v>
      </c>
      <c r="D180" s="74">
        <v>100.0</v>
      </c>
      <c r="E180" s="67">
        <v>70.0</v>
      </c>
      <c r="F180" s="75">
        <v>0.7756712962962963</v>
      </c>
      <c r="G180" s="67"/>
      <c r="H180" s="68">
        <v>1.0</v>
      </c>
      <c r="I180" s="76"/>
      <c r="J180" s="67">
        <f t="shared" si="14"/>
        <v>-7001</v>
      </c>
      <c r="K180" s="1"/>
      <c r="L180" s="70"/>
      <c r="M180" s="79"/>
      <c r="N180" s="1"/>
      <c r="O180" s="1"/>
      <c r="P180" s="1"/>
      <c r="Q180" s="1"/>
      <c r="R180" s="1"/>
      <c r="S180" s="1"/>
      <c r="T180" s="1"/>
      <c r="U180" s="1"/>
      <c r="V180" s="1"/>
      <c r="W180" s="1"/>
      <c r="X180" s="1"/>
      <c r="Y180" s="1"/>
      <c r="Z180" s="1"/>
      <c r="AA180" s="1"/>
      <c r="AB180" s="1"/>
      <c r="AC180" s="1"/>
      <c r="AD180" s="1"/>
      <c r="AE180" s="1"/>
      <c r="AF180" s="1"/>
      <c r="AG180" s="1"/>
      <c r="AH180" s="1"/>
    </row>
    <row r="181" ht="12.75" hidden="1" customHeight="1" outlineLevel="1">
      <c r="A181" s="17">
        <v>41078.0</v>
      </c>
      <c r="B181" s="1" t="s">
        <v>343</v>
      </c>
      <c r="C181" s="1" t="s">
        <v>354</v>
      </c>
      <c r="D181" s="74">
        <v>52.0</v>
      </c>
      <c r="E181" s="67">
        <v>70.0</v>
      </c>
      <c r="F181" s="75">
        <v>0.7756712962962963</v>
      </c>
      <c r="G181" s="67"/>
      <c r="H181" s="68">
        <v>0.0</v>
      </c>
      <c r="I181" s="76"/>
      <c r="J181" s="67">
        <f t="shared" si="14"/>
        <v>-3640</v>
      </c>
      <c r="K181" s="1"/>
      <c r="L181" s="70"/>
      <c r="M181" s="79"/>
      <c r="N181" s="1"/>
      <c r="O181" s="1"/>
      <c r="P181" s="1"/>
      <c r="Q181" s="1"/>
      <c r="R181" s="1"/>
      <c r="S181" s="1"/>
      <c r="T181" s="1"/>
      <c r="U181" s="1"/>
      <c r="V181" s="1"/>
      <c r="W181" s="1"/>
      <c r="X181" s="1"/>
      <c r="Y181" s="1"/>
      <c r="Z181" s="1"/>
      <c r="AA181" s="1"/>
      <c r="AB181" s="1"/>
      <c r="AC181" s="1"/>
      <c r="AD181" s="1"/>
      <c r="AE181" s="1"/>
      <c r="AF181" s="1"/>
      <c r="AG181" s="1"/>
      <c r="AH181" s="1"/>
    </row>
    <row r="182" ht="12.75" hidden="1" customHeight="1" outlineLevel="1">
      <c r="A182" s="17">
        <v>41078.0</v>
      </c>
      <c r="B182" s="1" t="s">
        <v>343</v>
      </c>
      <c r="C182" s="1" t="s">
        <v>354</v>
      </c>
      <c r="D182" s="74">
        <v>98.0</v>
      </c>
      <c r="E182" s="67">
        <v>70.0</v>
      </c>
      <c r="F182" s="75">
        <v>0.7756712962962963</v>
      </c>
      <c r="G182" s="67"/>
      <c r="H182" s="68">
        <v>0.25</v>
      </c>
      <c r="I182" s="76"/>
      <c r="J182" s="67">
        <f t="shared" si="14"/>
        <v>-6860.25</v>
      </c>
      <c r="K182" s="1"/>
      <c r="L182" s="70"/>
      <c r="M182" s="79"/>
      <c r="N182" s="1"/>
      <c r="O182" s="1"/>
      <c r="P182" s="1"/>
      <c r="Q182" s="1"/>
      <c r="R182" s="1"/>
      <c r="S182" s="1"/>
      <c r="T182" s="1"/>
      <c r="U182" s="1"/>
      <c r="V182" s="1"/>
      <c r="W182" s="1"/>
      <c r="X182" s="1"/>
      <c r="Y182" s="1"/>
      <c r="Z182" s="1"/>
      <c r="AA182" s="1"/>
      <c r="AB182" s="1"/>
      <c r="AC182" s="1"/>
      <c r="AD182" s="1"/>
      <c r="AE182" s="1"/>
      <c r="AF182" s="1"/>
      <c r="AG182" s="1"/>
      <c r="AH182" s="1"/>
    </row>
    <row r="183" ht="12.75" hidden="1" customHeight="1" outlineLevel="1">
      <c r="A183" s="17">
        <v>41078.0</v>
      </c>
      <c r="B183" s="1" t="s">
        <v>343</v>
      </c>
      <c r="C183" s="1" t="s">
        <v>417</v>
      </c>
      <c r="D183" s="74">
        <v>10.0</v>
      </c>
      <c r="E183" s="67">
        <v>673.9</v>
      </c>
      <c r="F183" s="75">
        <v>0.7956365740740741</v>
      </c>
      <c r="G183" s="67"/>
      <c r="H183" s="68">
        <v>1.0</v>
      </c>
      <c r="I183" s="76"/>
      <c r="J183" s="67">
        <f t="shared" si="14"/>
        <v>-6740</v>
      </c>
      <c r="K183" s="1"/>
      <c r="L183" s="70"/>
      <c r="M183" s="79"/>
      <c r="N183" s="1"/>
      <c r="O183" s="1"/>
      <c r="P183" s="1"/>
      <c r="Q183" s="1"/>
      <c r="R183" s="1"/>
      <c r="S183" s="1"/>
      <c r="T183" s="1"/>
      <c r="U183" s="1"/>
      <c r="V183" s="1"/>
      <c r="W183" s="1"/>
      <c r="X183" s="1"/>
      <c r="Y183" s="1"/>
      <c r="Z183" s="1"/>
      <c r="AA183" s="1"/>
      <c r="AB183" s="1"/>
      <c r="AC183" s="1"/>
      <c r="AD183" s="1"/>
      <c r="AE183" s="1"/>
      <c r="AF183" s="1"/>
      <c r="AG183" s="1"/>
      <c r="AH183" s="1"/>
    </row>
    <row r="184" ht="12.75" hidden="1" customHeight="1" outlineLevel="1">
      <c r="A184" s="17">
        <v>41078.0</v>
      </c>
      <c r="B184" s="1" t="s">
        <v>343</v>
      </c>
      <c r="C184" s="1" t="s">
        <v>418</v>
      </c>
      <c r="D184" s="74">
        <v>150.0</v>
      </c>
      <c r="E184" s="67">
        <v>43.05</v>
      </c>
      <c r="F184" s="75">
        <v>0.8006828703703704</v>
      </c>
      <c r="G184" s="67"/>
      <c r="H184" s="68">
        <v>1.0</v>
      </c>
      <c r="I184" s="76"/>
      <c r="J184" s="67">
        <f t="shared" si="14"/>
        <v>-6458.5</v>
      </c>
      <c r="K184" s="1"/>
      <c r="L184" s="70"/>
      <c r="M184" s="79"/>
      <c r="N184" s="1"/>
      <c r="O184" s="1"/>
      <c r="P184" s="1"/>
      <c r="Q184" s="1"/>
      <c r="R184" s="1"/>
      <c r="S184" s="1"/>
      <c r="T184" s="1"/>
      <c r="U184" s="1"/>
      <c r="V184" s="1"/>
      <c r="W184" s="1"/>
      <c r="X184" s="1"/>
      <c r="Y184" s="1"/>
      <c r="Z184" s="1"/>
      <c r="AA184" s="1"/>
      <c r="AB184" s="1"/>
      <c r="AC184" s="1"/>
      <c r="AD184" s="1"/>
      <c r="AE184" s="1"/>
      <c r="AF184" s="1"/>
      <c r="AG184" s="1"/>
      <c r="AH184" s="1"/>
    </row>
    <row r="185" ht="12.75" hidden="1" customHeight="1" outlineLevel="1">
      <c r="A185" s="17">
        <v>41078.0</v>
      </c>
      <c r="B185" s="1"/>
      <c r="C185" s="1" t="s">
        <v>339</v>
      </c>
      <c r="D185" s="74"/>
      <c r="E185" s="67"/>
      <c r="F185" s="75"/>
      <c r="G185" s="67"/>
      <c r="H185" s="68"/>
      <c r="I185" s="76"/>
      <c r="J185" s="67"/>
      <c r="K185" s="7" t="s">
        <v>419</v>
      </c>
      <c r="L185" s="77"/>
      <c r="M185" s="79"/>
      <c r="N185" s="1"/>
      <c r="O185" s="1"/>
      <c r="P185" s="1"/>
      <c r="Q185" s="1"/>
      <c r="R185" s="1"/>
      <c r="S185" s="1"/>
      <c r="T185" s="1"/>
      <c r="U185" s="1"/>
      <c r="V185" s="1"/>
      <c r="W185" s="1"/>
      <c r="X185" s="1"/>
      <c r="Y185" s="1"/>
      <c r="Z185" s="1"/>
      <c r="AA185" s="1"/>
      <c r="AB185" s="1"/>
      <c r="AC185" s="1"/>
      <c r="AD185" s="1"/>
      <c r="AE185" s="1"/>
      <c r="AF185" s="1"/>
      <c r="AG185" s="1"/>
      <c r="AH185" s="1"/>
    </row>
    <row r="186" ht="12.75" hidden="1" customHeight="1" outlineLevel="1">
      <c r="A186" s="17">
        <v>41079.0</v>
      </c>
      <c r="B186" s="1" t="s">
        <v>343</v>
      </c>
      <c r="C186" s="1" t="s">
        <v>409</v>
      </c>
      <c r="D186" s="1">
        <v>1.0</v>
      </c>
      <c r="E186" s="1">
        <v>139.45</v>
      </c>
      <c r="F186" s="75">
        <v>0.564699074074074</v>
      </c>
      <c r="G186" s="1"/>
      <c r="H186" s="1">
        <v>1.0</v>
      </c>
      <c r="I186" s="76"/>
      <c r="J186" s="67">
        <f t="shared" ref="J186:J204" si="15">IF(B186="SLD",D186*E186,-D186*E186)-H186</f>
        <v>-140.45</v>
      </c>
      <c r="K186" s="1"/>
      <c r="L186" s="70"/>
      <c r="M186" s="79"/>
      <c r="N186" s="1"/>
      <c r="O186" s="1"/>
      <c r="P186" s="1"/>
      <c r="Q186" s="1"/>
      <c r="R186" s="1"/>
      <c r="S186" s="1"/>
      <c r="T186" s="1"/>
      <c r="U186" s="1"/>
      <c r="V186" s="1"/>
      <c r="W186" s="1"/>
      <c r="X186" s="1"/>
      <c r="Y186" s="1"/>
      <c r="Z186" s="1"/>
      <c r="AA186" s="1"/>
      <c r="AB186" s="1"/>
      <c r="AC186" s="1"/>
      <c r="AD186" s="1"/>
      <c r="AE186" s="1"/>
      <c r="AF186" s="1"/>
      <c r="AG186" s="1"/>
      <c r="AH186" s="1"/>
    </row>
    <row r="187" ht="12.75" hidden="1" customHeight="1" outlineLevel="1">
      <c r="A187" s="17">
        <v>41079.0</v>
      </c>
      <c r="B187" s="1" t="s">
        <v>343</v>
      </c>
      <c r="C187" s="1" t="s">
        <v>409</v>
      </c>
      <c r="D187" s="1">
        <v>24.0</v>
      </c>
      <c r="E187" s="1">
        <v>139.45</v>
      </c>
      <c r="F187" s="75">
        <v>0.564699074074074</v>
      </c>
      <c r="G187" s="1"/>
      <c r="H187" s="1">
        <v>0.0</v>
      </c>
      <c r="I187" s="76"/>
      <c r="J187" s="67">
        <f t="shared" si="15"/>
        <v>-3346.8</v>
      </c>
      <c r="K187" s="1"/>
      <c r="L187" s="70"/>
      <c r="M187" s="79"/>
      <c r="N187" s="1"/>
      <c r="O187" s="1"/>
      <c r="P187" s="1"/>
      <c r="Q187" s="1"/>
      <c r="R187" s="1"/>
      <c r="S187" s="1"/>
      <c r="T187" s="1"/>
      <c r="U187" s="1"/>
      <c r="V187" s="1"/>
      <c r="W187" s="1"/>
      <c r="X187" s="1"/>
      <c r="Y187" s="1"/>
      <c r="Z187" s="1"/>
      <c r="AA187" s="1"/>
      <c r="AB187" s="1"/>
      <c r="AC187" s="1"/>
      <c r="AD187" s="1"/>
      <c r="AE187" s="1"/>
      <c r="AF187" s="1"/>
      <c r="AG187" s="1"/>
      <c r="AH187" s="1"/>
    </row>
    <row r="188" ht="12.75" hidden="1" customHeight="1" outlineLevel="1">
      <c r="A188" s="17">
        <v>41079.0</v>
      </c>
      <c r="B188" s="1" t="s">
        <v>343</v>
      </c>
      <c r="C188" s="1" t="s">
        <v>349</v>
      </c>
      <c r="D188" s="1">
        <v>75.0</v>
      </c>
      <c r="E188" s="1">
        <v>47.42</v>
      </c>
      <c r="F188" s="75">
        <v>0.568912037037037</v>
      </c>
      <c r="G188" s="1"/>
      <c r="H188" s="1">
        <v>1.0</v>
      </c>
      <c r="I188" s="76"/>
      <c r="J188" s="67">
        <f t="shared" si="15"/>
        <v>-3557.5</v>
      </c>
      <c r="K188" s="1"/>
      <c r="L188" s="70"/>
      <c r="M188" s="79"/>
      <c r="N188" s="1"/>
      <c r="O188" s="1"/>
      <c r="P188" s="1"/>
      <c r="Q188" s="1"/>
      <c r="R188" s="1"/>
      <c r="S188" s="1"/>
      <c r="T188" s="1"/>
      <c r="U188" s="1"/>
      <c r="V188" s="1"/>
      <c r="W188" s="1"/>
      <c r="X188" s="1"/>
      <c r="Y188" s="1"/>
      <c r="Z188" s="1"/>
      <c r="AA188" s="1"/>
      <c r="AB188" s="1"/>
      <c r="AC188" s="1"/>
      <c r="AD188" s="1"/>
      <c r="AE188" s="1"/>
      <c r="AF188" s="1"/>
      <c r="AG188" s="1"/>
      <c r="AH188" s="1"/>
    </row>
    <row r="189" ht="12.75" hidden="1" customHeight="1" outlineLevel="1">
      <c r="A189" s="17">
        <v>41079.0</v>
      </c>
      <c r="B189" s="1" t="s">
        <v>343</v>
      </c>
      <c r="C189" s="1" t="s">
        <v>381</v>
      </c>
      <c r="D189" s="1">
        <v>100.0</v>
      </c>
      <c r="E189" s="1">
        <v>31.24</v>
      </c>
      <c r="F189" s="75">
        <v>0.5696875</v>
      </c>
      <c r="G189" s="1"/>
      <c r="H189" s="1">
        <v>1.0</v>
      </c>
      <c r="I189" s="76"/>
      <c r="J189" s="67">
        <f t="shared" si="15"/>
        <v>-3125</v>
      </c>
      <c r="K189" s="1"/>
      <c r="L189" s="70"/>
      <c r="M189" s="79"/>
      <c r="N189" s="1"/>
      <c r="O189" s="1"/>
      <c r="P189" s="1"/>
      <c r="Q189" s="1"/>
      <c r="R189" s="1"/>
      <c r="S189" s="1"/>
      <c r="T189" s="1"/>
      <c r="U189" s="1"/>
      <c r="V189" s="1"/>
      <c r="W189" s="1"/>
      <c r="X189" s="1"/>
      <c r="Y189" s="1"/>
      <c r="Z189" s="1"/>
      <c r="AA189" s="1"/>
      <c r="AB189" s="1"/>
      <c r="AC189" s="1"/>
      <c r="AD189" s="1"/>
      <c r="AE189" s="1"/>
      <c r="AF189" s="1"/>
      <c r="AG189" s="1"/>
      <c r="AH189" s="1"/>
    </row>
    <row r="190" ht="12.75" hidden="1" customHeight="1" outlineLevel="1">
      <c r="A190" s="17">
        <v>41079.0</v>
      </c>
      <c r="B190" s="1" t="s">
        <v>343</v>
      </c>
      <c r="C190" s="1" t="s">
        <v>385</v>
      </c>
      <c r="D190" s="1">
        <v>500.0</v>
      </c>
      <c r="E190" s="1">
        <v>5.88</v>
      </c>
      <c r="F190" s="75">
        <v>0.5717592592592592</v>
      </c>
      <c r="G190" s="1"/>
      <c r="H190" s="1">
        <v>2.5</v>
      </c>
      <c r="I190" s="76"/>
      <c r="J190" s="67">
        <f t="shared" si="15"/>
        <v>-2942.5</v>
      </c>
      <c r="K190" s="1"/>
      <c r="L190" s="70"/>
      <c r="M190" s="79"/>
      <c r="N190" s="1"/>
      <c r="O190" s="1"/>
      <c r="P190" s="1"/>
      <c r="Q190" s="1"/>
      <c r="R190" s="1"/>
      <c r="S190" s="1"/>
      <c r="T190" s="1"/>
      <c r="U190" s="1"/>
      <c r="V190" s="1"/>
      <c r="W190" s="1"/>
      <c r="X190" s="1"/>
      <c r="Y190" s="1"/>
      <c r="Z190" s="1"/>
      <c r="AA190" s="1"/>
      <c r="AB190" s="1"/>
      <c r="AC190" s="1"/>
      <c r="AD190" s="1"/>
      <c r="AE190" s="1"/>
      <c r="AF190" s="1"/>
      <c r="AG190" s="1"/>
      <c r="AH190" s="1"/>
    </row>
    <row r="191" ht="12.75" hidden="1" customHeight="1" outlineLevel="1">
      <c r="A191" s="17">
        <v>41079.0</v>
      </c>
      <c r="B191" s="1" t="s">
        <v>343</v>
      </c>
      <c r="C191" s="1" t="s">
        <v>385</v>
      </c>
      <c r="D191" s="1">
        <v>200.0</v>
      </c>
      <c r="E191" s="1">
        <v>5.88</v>
      </c>
      <c r="F191" s="75">
        <v>0.5717592592592592</v>
      </c>
      <c r="G191" s="1"/>
      <c r="H191" s="1">
        <v>1.0</v>
      </c>
      <c r="I191" s="76"/>
      <c r="J191" s="67">
        <f t="shared" si="15"/>
        <v>-1177</v>
      </c>
      <c r="K191" s="1"/>
      <c r="L191" s="70"/>
      <c r="M191" s="79"/>
      <c r="N191" s="1"/>
      <c r="O191" s="1"/>
      <c r="P191" s="1"/>
      <c r="Q191" s="1"/>
      <c r="R191" s="1"/>
      <c r="S191" s="1"/>
      <c r="T191" s="1"/>
      <c r="U191" s="1"/>
      <c r="V191" s="1"/>
      <c r="W191" s="1"/>
      <c r="X191" s="1"/>
      <c r="Y191" s="1"/>
      <c r="Z191" s="1"/>
      <c r="AA191" s="1"/>
      <c r="AB191" s="1"/>
      <c r="AC191" s="1"/>
      <c r="AD191" s="1"/>
      <c r="AE191" s="1"/>
      <c r="AF191" s="1"/>
      <c r="AG191" s="1"/>
      <c r="AH191" s="1"/>
    </row>
    <row r="192" ht="12.75" hidden="1" customHeight="1" outlineLevel="1">
      <c r="A192" s="17">
        <v>41079.0</v>
      </c>
      <c r="B192" s="1" t="s">
        <v>343</v>
      </c>
      <c r="C192" s="1" t="s">
        <v>399</v>
      </c>
      <c r="D192" s="1">
        <v>100.0</v>
      </c>
      <c r="E192" s="1">
        <v>10.75</v>
      </c>
      <c r="F192" s="75">
        <v>0.5719791666666666</v>
      </c>
      <c r="G192" s="1"/>
      <c r="H192" s="1">
        <v>1.0</v>
      </c>
      <c r="I192" s="76"/>
      <c r="J192" s="67">
        <f t="shared" si="15"/>
        <v>-1076</v>
      </c>
      <c r="K192" s="1"/>
      <c r="L192" s="70"/>
      <c r="M192" s="79"/>
      <c r="N192" s="1"/>
      <c r="O192" s="1"/>
      <c r="P192" s="1"/>
      <c r="Q192" s="1"/>
      <c r="R192" s="1"/>
      <c r="S192" s="1"/>
      <c r="T192" s="1"/>
      <c r="U192" s="1"/>
      <c r="V192" s="1"/>
      <c r="W192" s="1"/>
      <c r="X192" s="1"/>
      <c r="Y192" s="1"/>
      <c r="Z192" s="1"/>
      <c r="AA192" s="1"/>
      <c r="AB192" s="1"/>
      <c r="AC192" s="1"/>
      <c r="AD192" s="1"/>
      <c r="AE192" s="1"/>
      <c r="AF192" s="1"/>
      <c r="AG192" s="1"/>
      <c r="AH192" s="1"/>
    </row>
    <row r="193" ht="12.75" hidden="1" customHeight="1" outlineLevel="1">
      <c r="A193" s="17">
        <v>41079.0</v>
      </c>
      <c r="B193" s="1" t="s">
        <v>343</v>
      </c>
      <c r="C193" s="1" t="s">
        <v>399</v>
      </c>
      <c r="D193" s="1">
        <v>50.0</v>
      </c>
      <c r="E193" s="1">
        <v>10.75</v>
      </c>
      <c r="F193" s="75">
        <v>0.5719791666666666</v>
      </c>
      <c r="G193" s="1"/>
      <c r="H193" s="1">
        <v>0.0</v>
      </c>
      <c r="I193" s="76"/>
      <c r="J193" s="67">
        <f t="shared" si="15"/>
        <v>-537.5</v>
      </c>
      <c r="K193" s="1"/>
      <c r="L193" s="70"/>
      <c r="M193" s="79"/>
      <c r="N193" s="1"/>
      <c r="O193" s="1"/>
      <c r="P193" s="1"/>
      <c r="Q193" s="1"/>
      <c r="R193" s="1"/>
      <c r="S193" s="1"/>
      <c r="T193" s="1"/>
      <c r="U193" s="1"/>
      <c r="V193" s="1"/>
      <c r="W193" s="1"/>
      <c r="X193" s="1"/>
      <c r="Y193" s="1"/>
      <c r="Z193" s="1"/>
      <c r="AA193" s="1"/>
      <c r="AB193" s="1"/>
      <c r="AC193" s="1"/>
      <c r="AD193" s="1"/>
      <c r="AE193" s="1"/>
      <c r="AF193" s="1"/>
      <c r="AG193" s="1"/>
      <c r="AH193" s="1"/>
    </row>
    <row r="194" ht="12.75" hidden="1" customHeight="1" outlineLevel="1">
      <c r="A194" s="17">
        <v>41079.0</v>
      </c>
      <c r="B194" s="1" t="s">
        <v>343</v>
      </c>
      <c r="C194" s="1" t="s">
        <v>399</v>
      </c>
      <c r="D194" s="1">
        <v>100.0</v>
      </c>
      <c r="E194" s="1">
        <v>10.75</v>
      </c>
      <c r="F194" s="75">
        <v>0.5719791666666666</v>
      </c>
      <c r="G194" s="1"/>
      <c r="H194" s="1">
        <v>0.25</v>
      </c>
      <c r="I194" s="76"/>
      <c r="J194" s="67">
        <f t="shared" si="15"/>
        <v>-1075.25</v>
      </c>
      <c r="K194" s="1"/>
      <c r="L194" s="70"/>
      <c r="M194" s="79"/>
      <c r="N194" s="1"/>
      <c r="O194" s="1"/>
      <c r="P194" s="1"/>
      <c r="Q194" s="1"/>
      <c r="R194" s="1"/>
      <c r="S194" s="1"/>
      <c r="T194" s="1"/>
      <c r="U194" s="1"/>
      <c r="V194" s="1"/>
      <c r="W194" s="1"/>
      <c r="X194" s="1"/>
      <c r="Y194" s="1"/>
      <c r="Z194" s="1"/>
      <c r="AA194" s="1"/>
      <c r="AB194" s="1"/>
      <c r="AC194" s="1"/>
      <c r="AD194" s="1"/>
      <c r="AE194" s="1"/>
      <c r="AF194" s="1"/>
      <c r="AG194" s="1"/>
      <c r="AH194" s="1"/>
    </row>
    <row r="195" ht="12.75" hidden="1" customHeight="1" outlineLevel="1">
      <c r="A195" s="17">
        <v>41079.0</v>
      </c>
      <c r="B195" s="1" t="s">
        <v>343</v>
      </c>
      <c r="C195" s="1" t="s">
        <v>399</v>
      </c>
      <c r="D195" s="1">
        <v>100.0</v>
      </c>
      <c r="E195" s="1">
        <v>10.74</v>
      </c>
      <c r="F195" s="75">
        <v>0.5719791666666666</v>
      </c>
      <c r="G195" s="1"/>
      <c r="H195" s="1">
        <v>0.5</v>
      </c>
      <c r="I195" s="76"/>
      <c r="J195" s="67">
        <f t="shared" si="15"/>
        <v>-1074.5</v>
      </c>
      <c r="K195" s="1"/>
      <c r="L195" s="70"/>
      <c r="M195" s="79"/>
      <c r="N195" s="1"/>
      <c r="O195" s="1"/>
      <c r="P195" s="1"/>
      <c r="Q195" s="1"/>
      <c r="R195" s="1"/>
      <c r="S195" s="1"/>
      <c r="T195" s="1"/>
      <c r="U195" s="1"/>
      <c r="V195" s="1"/>
      <c r="W195" s="1"/>
      <c r="X195" s="1"/>
      <c r="Y195" s="1"/>
      <c r="Z195" s="1"/>
      <c r="AA195" s="1"/>
      <c r="AB195" s="1"/>
      <c r="AC195" s="1"/>
      <c r="AD195" s="1"/>
      <c r="AE195" s="1"/>
      <c r="AF195" s="1"/>
      <c r="AG195" s="1"/>
      <c r="AH195" s="1"/>
    </row>
    <row r="196" ht="12.75" hidden="1" customHeight="1" outlineLevel="1">
      <c r="A196" s="17">
        <v>41079.0</v>
      </c>
      <c r="B196" s="1" t="s">
        <v>343</v>
      </c>
      <c r="C196" s="1" t="s">
        <v>350</v>
      </c>
      <c r="D196" s="1">
        <v>50.0</v>
      </c>
      <c r="E196" s="1">
        <v>69.0</v>
      </c>
      <c r="F196" s="75">
        <v>0.5758333333333333</v>
      </c>
      <c r="G196" s="1"/>
      <c r="H196" s="1">
        <v>1.0</v>
      </c>
      <c r="I196" s="76"/>
      <c r="J196" s="67">
        <f t="shared" si="15"/>
        <v>-3451</v>
      </c>
      <c r="K196" s="1"/>
      <c r="L196" s="70"/>
      <c r="M196" s="79"/>
      <c r="N196" s="1"/>
      <c r="O196" s="1"/>
      <c r="P196" s="1"/>
      <c r="Q196" s="1"/>
      <c r="R196" s="1"/>
      <c r="S196" s="1"/>
      <c r="T196" s="1"/>
      <c r="U196" s="1"/>
      <c r="V196" s="1"/>
      <c r="W196" s="1"/>
      <c r="X196" s="1"/>
      <c r="Y196" s="1"/>
      <c r="Z196" s="1"/>
      <c r="AA196" s="1"/>
      <c r="AB196" s="1"/>
      <c r="AC196" s="1"/>
      <c r="AD196" s="1"/>
      <c r="AE196" s="1"/>
      <c r="AF196" s="1"/>
      <c r="AG196" s="1"/>
      <c r="AH196" s="1"/>
    </row>
    <row r="197" ht="12.75" hidden="1" customHeight="1" outlineLevel="1">
      <c r="A197" s="17">
        <v>41079.0</v>
      </c>
      <c r="B197" s="1" t="s">
        <v>343</v>
      </c>
      <c r="C197" s="1" t="s">
        <v>371</v>
      </c>
      <c r="D197" s="1">
        <v>100.0</v>
      </c>
      <c r="E197" s="1">
        <v>21.02</v>
      </c>
      <c r="F197" s="75">
        <v>0.5802314814814815</v>
      </c>
      <c r="G197" s="1"/>
      <c r="H197" s="1">
        <v>1.0</v>
      </c>
      <c r="I197" s="76"/>
      <c r="J197" s="67">
        <f t="shared" si="15"/>
        <v>-2103</v>
      </c>
      <c r="K197" s="1"/>
      <c r="L197" s="70"/>
      <c r="M197" s="79"/>
      <c r="N197" s="1"/>
      <c r="O197" s="1"/>
      <c r="P197" s="1"/>
      <c r="Q197" s="1"/>
      <c r="R197" s="1"/>
      <c r="S197" s="1"/>
      <c r="T197" s="1"/>
      <c r="U197" s="1"/>
      <c r="V197" s="1"/>
      <c r="W197" s="1"/>
      <c r="X197" s="1"/>
      <c r="Y197" s="1"/>
      <c r="Z197" s="1"/>
      <c r="AA197" s="1"/>
      <c r="AB197" s="1"/>
      <c r="AC197" s="1"/>
      <c r="AD197" s="1"/>
      <c r="AE197" s="1"/>
      <c r="AF197" s="1"/>
      <c r="AG197" s="1"/>
      <c r="AH197" s="1"/>
    </row>
    <row r="198" ht="12.75" hidden="1" customHeight="1" outlineLevel="1">
      <c r="A198" s="17">
        <v>41079.0</v>
      </c>
      <c r="B198" s="1" t="s">
        <v>343</v>
      </c>
      <c r="C198" s="1" t="s">
        <v>371</v>
      </c>
      <c r="D198" s="1">
        <v>50.0</v>
      </c>
      <c r="E198" s="1">
        <v>21.02</v>
      </c>
      <c r="F198" s="75">
        <v>0.5802314814814815</v>
      </c>
      <c r="G198" s="1"/>
      <c r="H198" s="1">
        <v>0.0</v>
      </c>
      <c r="I198" s="76"/>
      <c r="J198" s="67">
        <f t="shared" si="15"/>
        <v>-1051</v>
      </c>
      <c r="K198" s="1"/>
      <c r="L198" s="70"/>
      <c r="M198" s="79"/>
      <c r="N198" s="1"/>
      <c r="O198" s="1"/>
      <c r="P198" s="1"/>
      <c r="Q198" s="1"/>
      <c r="R198" s="1"/>
      <c r="S198" s="1"/>
      <c r="T198" s="1"/>
      <c r="U198" s="1"/>
      <c r="V198" s="1"/>
      <c r="W198" s="1"/>
      <c r="X198" s="1"/>
      <c r="Y198" s="1"/>
      <c r="Z198" s="1"/>
      <c r="AA198" s="1"/>
      <c r="AB198" s="1"/>
      <c r="AC198" s="1"/>
      <c r="AD198" s="1"/>
      <c r="AE198" s="1"/>
      <c r="AF198" s="1"/>
      <c r="AG198" s="1"/>
      <c r="AH198" s="1"/>
    </row>
    <row r="199" ht="12.75" hidden="1" customHeight="1" outlineLevel="1">
      <c r="A199" s="17">
        <v>41079.0</v>
      </c>
      <c r="B199" s="1" t="s">
        <v>343</v>
      </c>
      <c r="C199" s="1" t="s">
        <v>386</v>
      </c>
      <c r="D199" s="1">
        <v>100.0</v>
      </c>
      <c r="E199" s="1">
        <v>18.86</v>
      </c>
      <c r="F199" s="75">
        <v>0.6147685185185185</v>
      </c>
      <c r="G199" s="1"/>
      <c r="H199" s="1">
        <v>1.0</v>
      </c>
      <c r="I199" s="76"/>
      <c r="J199" s="67">
        <f t="shared" si="15"/>
        <v>-1887</v>
      </c>
      <c r="K199" s="1"/>
      <c r="L199" s="70"/>
      <c r="M199" s="79"/>
      <c r="N199" s="1"/>
      <c r="O199" s="1"/>
      <c r="P199" s="1"/>
      <c r="Q199" s="1"/>
      <c r="R199" s="1"/>
      <c r="S199" s="1"/>
      <c r="T199" s="1"/>
      <c r="U199" s="1"/>
      <c r="V199" s="1"/>
      <c r="W199" s="1"/>
      <c r="X199" s="1"/>
      <c r="Y199" s="1"/>
      <c r="Z199" s="1"/>
      <c r="AA199" s="1"/>
      <c r="AB199" s="1"/>
      <c r="AC199" s="1"/>
      <c r="AD199" s="1"/>
      <c r="AE199" s="1"/>
      <c r="AF199" s="1"/>
      <c r="AG199" s="1"/>
      <c r="AH199" s="1"/>
    </row>
    <row r="200" ht="12.75" hidden="1" customHeight="1" outlineLevel="1">
      <c r="A200" s="17">
        <v>41079.0</v>
      </c>
      <c r="B200" s="1" t="s">
        <v>343</v>
      </c>
      <c r="C200" s="1" t="s">
        <v>386</v>
      </c>
      <c r="D200" s="1">
        <v>75.0</v>
      </c>
      <c r="E200" s="1">
        <v>18.86</v>
      </c>
      <c r="F200" s="75">
        <v>0.6147685185185185</v>
      </c>
      <c r="G200" s="1"/>
      <c r="H200" s="1">
        <v>0.0</v>
      </c>
      <c r="I200" s="76"/>
      <c r="J200" s="67">
        <f t="shared" si="15"/>
        <v>-1414.5</v>
      </c>
      <c r="K200" s="1"/>
      <c r="L200" s="70"/>
      <c r="M200" s="79"/>
      <c r="N200" s="1"/>
      <c r="O200" s="1"/>
      <c r="P200" s="1"/>
      <c r="Q200" s="1"/>
      <c r="R200" s="1"/>
      <c r="S200" s="1"/>
      <c r="T200" s="1"/>
      <c r="U200" s="1"/>
      <c r="V200" s="1"/>
      <c r="W200" s="1"/>
      <c r="X200" s="1"/>
      <c r="Y200" s="1"/>
      <c r="Z200" s="1"/>
      <c r="AA200" s="1"/>
      <c r="AB200" s="1"/>
      <c r="AC200" s="1"/>
      <c r="AD200" s="1"/>
      <c r="AE200" s="1"/>
      <c r="AF200" s="1"/>
      <c r="AG200" s="1"/>
      <c r="AH200" s="1"/>
    </row>
    <row r="201" ht="12.75" hidden="1" customHeight="1" outlineLevel="1">
      <c r="A201" s="17">
        <v>41079.0</v>
      </c>
      <c r="B201" s="1" t="s">
        <v>347</v>
      </c>
      <c r="C201" s="1" t="s">
        <v>387</v>
      </c>
      <c r="D201" s="1">
        <v>100.0</v>
      </c>
      <c r="E201" s="1">
        <v>66.51</v>
      </c>
      <c r="F201" s="75">
        <v>0.6544560185185185</v>
      </c>
      <c r="G201" s="1"/>
      <c r="H201" s="1">
        <v>1.0</v>
      </c>
      <c r="I201" s="76"/>
      <c r="J201" s="67">
        <f t="shared" si="15"/>
        <v>6650</v>
      </c>
      <c r="K201" s="1"/>
      <c r="L201" s="70"/>
      <c r="M201" s="79"/>
      <c r="N201" s="1"/>
      <c r="O201" s="1"/>
      <c r="P201" s="1"/>
      <c r="Q201" s="1"/>
      <c r="R201" s="1"/>
      <c r="S201" s="1"/>
      <c r="T201" s="1"/>
      <c r="U201" s="1"/>
      <c r="V201" s="1"/>
      <c r="W201" s="1"/>
      <c r="X201" s="1"/>
      <c r="Y201" s="1"/>
      <c r="Z201" s="1"/>
      <c r="AA201" s="1"/>
      <c r="AB201" s="1"/>
      <c r="AC201" s="1"/>
      <c r="AD201" s="1"/>
      <c r="AE201" s="1"/>
      <c r="AF201" s="1"/>
      <c r="AG201" s="1"/>
      <c r="AH201" s="1"/>
    </row>
    <row r="202" ht="12.75" hidden="1" customHeight="1" outlineLevel="1">
      <c r="A202" s="17">
        <v>41079.0</v>
      </c>
      <c r="B202" s="1" t="s">
        <v>347</v>
      </c>
      <c r="C202" s="1" t="s">
        <v>413</v>
      </c>
      <c r="D202" s="1">
        <v>100.0</v>
      </c>
      <c r="E202" s="1">
        <v>53.89</v>
      </c>
      <c r="F202" s="75">
        <v>0.6555671296296296</v>
      </c>
      <c r="G202" s="1"/>
      <c r="H202" s="1">
        <v>1.0</v>
      </c>
      <c r="I202" s="76"/>
      <c r="J202" s="67">
        <f t="shared" si="15"/>
        <v>5388</v>
      </c>
      <c r="K202" s="1"/>
      <c r="L202" s="70"/>
      <c r="M202" s="79"/>
      <c r="N202" s="1"/>
      <c r="O202" s="1"/>
      <c r="P202" s="1"/>
      <c r="Q202" s="1"/>
      <c r="R202" s="1"/>
      <c r="S202" s="1"/>
      <c r="T202" s="1"/>
      <c r="U202" s="1"/>
      <c r="V202" s="1"/>
      <c r="W202" s="1"/>
      <c r="X202" s="1"/>
      <c r="Y202" s="1"/>
      <c r="Z202" s="1"/>
      <c r="AA202" s="1"/>
      <c r="AB202" s="1"/>
      <c r="AC202" s="1"/>
      <c r="AD202" s="1"/>
      <c r="AE202" s="1"/>
      <c r="AF202" s="1"/>
      <c r="AG202" s="1"/>
      <c r="AH202" s="1"/>
    </row>
    <row r="203" ht="12.75" hidden="1" customHeight="1" outlineLevel="1">
      <c r="A203" s="17">
        <v>41079.0</v>
      </c>
      <c r="B203" s="1" t="s">
        <v>347</v>
      </c>
      <c r="C203" s="1" t="s">
        <v>413</v>
      </c>
      <c r="D203" s="1">
        <v>25.0</v>
      </c>
      <c r="E203" s="1">
        <v>53.89</v>
      </c>
      <c r="F203" s="75">
        <v>0.6555671296296296</v>
      </c>
      <c r="G203" s="1"/>
      <c r="H203" s="1">
        <v>0.0</v>
      </c>
      <c r="I203" s="76"/>
      <c r="J203" s="67">
        <f t="shared" si="15"/>
        <v>1347.25</v>
      </c>
      <c r="K203" s="1"/>
      <c r="L203" s="70"/>
      <c r="M203" s="79"/>
      <c r="N203" s="1"/>
      <c r="O203" s="1"/>
      <c r="P203" s="1"/>
      <c r="Q203" s="1"/>
      <c r="R203" s="1"/>
      <c r="S203" s="1"/>
      <c r="T203" s="1"/>
      <c r="U203" s="1"/>
      <c r="V203" s="1"/>
      <c r="W203" s="1"/>
      <c r="X203" s="1"/>
      <c r="Y203" s="1"/>
      <c r="Z203" s="1"/>
      <c r="AA203" s="1"/>
      <c r="AB203" s="1"/>
      <c r="AC203" s="1"/>
      <c r="AD203" s="1"/>
      <c r="AE203" s="1"/>
      <c r="AF203" s="1"/>
      <c r="AG203" s="1"/>
      <c r="AH203" s="1"/>
    </row>
    <row r="204" ht="12.75" hidden="1" customHeight="1" outlineLevel="1">
      <c r="A204" s="17">
        <v>41079.0</v>
      </c>
      <c r="B204" s="7" t="s">
        <v>343</v>
      </c>
      <c r="C204" s="7" t="s">
        <v>394</v>
      </c>
      <c r="D204" s="1">
        <v>50.0</v>
      </c>
      <c r="E204" s="1">
        <v>1346.25</v>
      </c>
      <c r="F204" s="75">
        <v>0.8645833333333334</v>
      </c>
      <c r="G204" s="1"/>
      <c r="H204" s="1">
        <v>1.0</v>
      </c>
      <c r="I204" s="76"/>
      <c r="J204" s="67">
        <f t="shared" si="15"/>
        <v>-67313.5</v>
      </c>
      <c r="K204" s="1" t="s">
        <v>395</v>
      </c>
      <c r="L204" s="70"/>
      <c r="M204" s="79"/>
      <c r="N204" s="1"/>
      <c r="O204" s="1"/>
      <c r="P204" s="1"/>
      <c r="Q204" s="1"/>
      <c r="R204" s="1"/>
      <c r="S204" s="1"/>
      <c r="T204" s="1"/>
      <c r="U204" s="1"/>
      <c r="V204" s="1"/>
      <c r="W204" s="1"/>
      <c r="X204" s="1"/>
      <c r="Y204" s="1"/>
      <c r="Z204" s="1"/>
      <c r="AA204" s="1"/>
      <c r="AB204" s="1"/>
      <c r="AC204" s="1"/>
      <c r="AD204" s="1"/>
      <c r="AE204" s="1"/>
      <c r="AF204" s="1"/>
      <c r="AG204" s="1"/>
      <c r="AH204" s="1"/>
    </row>
    <row r="205" ht="12.75" hidden="1" customHeight="1" outlineLevel="1">
      <c r="A205" s="17">
        <v>41079.0</v>
      </c>
      <c r="B205" s="1"/>
      <c r="C205" s="1" t="s">
        <v>339</v>
      </c>
      <c r="D205" s="74"/>
      <c r="E205" s="67"/>
      <c r="F205" s="75"/>
      <c r="G205" s="67"/>
      <c r="H205" s="68"/>
      <c r="I205" s="76"/>
      <c r="J205" s="67"/>
      <c r="K205" s="7" t="s">
        <v>421</v>
      </c>
      <c r="L205" s="77"/>
      <c r="M205" s="79"/>
      <c r="N205" s="1"/>
      <c r="O205" s="1"/>
      <c r="P205" s="1"/>
      <c r="Q205" s="1"/>
      <c r="R205" s="1"/>
      <c r="S205" s="1"/>
      <c r="T205" s="1"/>
      <c r="U205" s="1"/>
      <c r="V205" s="1"/>
      <c r="W205" s="1"/>
      <c r="X205" s="1"/>
      <c r="Y205" s="1"/>
      <c r="Z205" s="1"/>
      <c r="AA205" s="1"/>
      <c r="AB205" s="1"/>
      <c r="AC205" s="1"/>
      <c r="AD205" s="1"/>
      <c r="AE205" s="1"/>
      <c r="AF205" s="1"/>
      <c r="AG205" s="1"/>
      <c r="AH205" s="1"/>
    </row>
    <row r="206" ht="12.75" hidden="1" customHeight="1" outlineLevel="1">
      <c r="A206" s="17">
        <v>41080.0</v>
      </c>
      <c r="B206" s="1" t="s">
        <v>347</v>
      </c>
      <c r="C206" s="1" t="s">
        <v>394</v>
      </c>
      <c r="D206" s="1">
        <v>50.0</v>
      </c>
      <c r="E206" s="1">
        <v>1347.25</v>
      </c>
      <c r="F206" s="75">
        <v>0.6695717592592593</v>
      </c>
      <c r="G206" s="1"/>
      <c r="H206" s="1">
        <v>2.01</v>
      </c>
      <c r="I206" s="76"/>
      <c r="J206" s="67">
        <f t="shared" ref="J206:J210" si="16">IF(B206="SLD",D206*E206,-D206*E206)-H206</f>
        <v>67360.49</v>
      </c>
      <c r="K206" s="1" t="s">
        <v>395</v>
      </c>
      <c r="L206" s="70"/>
      <c r="M206" s="79"/>
      <c r="N206" s="1"/>
      <c r="O206" s="1"/>
      <c r="P206" s="1"/>
      <c r="Q206" s="1"/>
      <c r="R206" s="1"/>
      <c r="S206" s="1"/>
      <c r="T206" s="1"/>
      <c r="U206" s="1"/>
      <c r="V206" s="1"/>
      <c r="W206" s="1"/>
      <c r="X206" s="1"/>
      <c r="Y206" s="1"/>
      <c r="Z206" s="1"/>
      <c r="AA206" s="1"/>
      <c r="AB206" s="1"/>
      <c r="AC206" s="1"/>
      <c r="AD206" s="1"/>
      <c r="AE206" s="1"/>
      <c r="AF206" s="1"/>
      <c r="AG206" s="1"/>
      <c r="AH206" s="1"/>
    </row>
    <row r="207" ht="12.75" hidden="1" customHeight="1" outlineLevel="1">
      <c r="A207" s="17">
        <v>41080.0</v>
      </c>
      <c r="B207" s="1" t="s">
        <v>343</v>
      </c>
      <c r="C207" s="1" t="s">
        <v>423</v>
      </c>
      <c r="D207" s="1">
        <v>100.0</v>
      </c>
      <c r="E207" s="1">
        <v>32.4</v>
      </c>
      <c r="F207" s="75">
        <v>0.7340162037037037</v>
      </c>
      <c r="G207" s="1"/>
      <c r="H207" s="1">
        <v>1.0</v>
      </c>
      <c r="I207" s="76"/>
      <c r="J207" s="67">
        <f t="shared" si="16"/>
        <v>-3241</v>
      </c>
      <c r="K207" s="1"/>
      <c r="L207" s="70"/>
      <c r="M207" s="79"/>
      <c r="N207" s="1"/>
      <c r="O207" s="1"/>
      <c r="P207" s="1"/>
      <c r="Q207" s="1"/>
      <c r="R207" s="1"/>
      <c r="S207" s="1"/>
      <c r="T207" s="1"/>
      <c r="U207" s="1"/>
      <c r="V207" s="1"/>
      <c r="W207" s="1"/>
      <c r="X207" s="1"/>
      <c r="Y207" s="1"/>
      <c r="Z207" s="1"/>
      <c r="AA207" s="1"/>
      <c r="AB207" s="1"/>
      <c r="AC207" s="1"/>
      <c r="AD207" s="1"/>
      <c r="AE207" s="1"/>
      <c r="AF207" s="1"/>
      <c r="AG207" s="1"/>
      <c r="AH207" s="1"/>
    </row>
    <row r="208" ht="12.75" hidden="1" customHeight="1" outlineLevel="1">
      <c r="A208" s="17">
        <v>41080.0</v>
      </c>
      <c r="B208" s="1" t="s">
        <v>343</v>
      </c>
      <c r="C208" s="1" t="s">
        <v>423</v>
      </c>
      <c r="D208" s="1">
        <v>100.0</v>
      </c>
      <c r="E208" s="1">
        <v>32.4</v>
      </c>
      <c r="F208" s="75">
        <v>0.7340162037037037</v>
      </c>
      <c r="G208" s="1"/>
      <c r="H208" s="1">
        <v>0.0</v>
      </c>
      <c r="I208" s="76"/>
      <c r="J208" s="67">
        <f t="shared" si="16"/>
        <v>-3240</v>
      </c>
      <c r="K208" s="1"/>
      <c r="L208" s="70"/>
      <c r="M208" s="79"/>
      <c r="N208" s="1"/>
      <c r="O208" s="1"/>
      <c r="P208" s="1"/>
      <c r="Q208" s="1"/>
      <c r="R208" s="1"/>
      <c r="S208" s="1"/>
      <c r="T208" s="1"/>
      <c r="U208" s="1"/>
      <c r="V208" s="1"/>
      <c r="W208" s="1"/>
      <c r="X208" s="1"/>
      <c r="Y208" s="1"/>
      <c r="Z208" s="1"/>
      <c r="AA208" s="1"/>
      <c r="AB208" s="1"/>
      <c r="AC208" s="1"/>
      <c r="AD208" s="1"/>
      <c r="AE208" s="1"/>
      <c r="AF208" s="1"/>
      <c r="AG208" s="1"/>
      <c r="AH208" s="1"/>
    </row>
    <row r="209" ht="12.75" hidden="1" customHeight="1" outlineLevel="1">
      <c r="A209" s="17">
        <v>41080.0</v>
      </c>
      <c r="B209" s="1" t="s">
        <v>343</v>
      </c>
      <c r="C209" s="1" t="s">
        <v>394</v>
      </c>
      <c r="D209" s="1">
        <v>50.0</v>
      </c>
      <c r="E209" s="1">
        <v>1346.25</v>
      </c>
      <c r="F209" s="75">
        <v>0.7676504629629629</v>
      </c>
      <c r="G209" s="1"/>
      <c r="H209" s="1">
        <v>2.01</v>
      </c>
      <c r="I209" s="76"/>
      <c r="J209" s="67">
        <f t="shared" si="16"/>
        <v>-67314.51</v>
      </c>
      <c r="K209" s="1" t="s">
        <v>395</v>
      </c>
      <c r="L209" s="70"/>
      <c r="M209" s="79"/>
      <c r="N209" s="1"/>
      <c r="O209" s="1"/>
      <c r="P209" s="1"/>
      <c r="Q209" s="1"/>
      <c r="R209" s="1"/>
      <c r="S209" s="1"/>
      <c r="T209" s="1"/>
      <c r="U209" s="1"/>
      <c r="V209" s="1"/>
      <c r="W209" s="1"/>
      <c r="X209" s="1"/>
      <c r="Y209" s="1"/>
      <c r="Z209" s="1"/>
      <c r="AA209" s="1"/>
      <c r="AB209" s="1"/>
      <c r="AC209" s="1"/>
      <c r="AD209" s="1"/>
      <c r="AE209" s="1"/>
      <c r="AF209" s="1"/>
      <c r="AG209" s="1"/>
      <c r="AH209" s="1"/>
    </row>
    <row r="210" ht="12.75" hidden="1" customHeight="1" outlineLevel="1">
      <c r="A210" s="17">
        <v>41080.0</v>
      </c>
      <c r="B210" s="1" t="s">
        <v>347</v>
      </c>
      <c r="C210" s="1" t="s">
        <v>394</v>
      </c>
      <c r="D210" s="1">
        <v>50.0</v>
      </c>
      <c r="E210" s="1">
        <v>1351.5</v>
      </c>
      <c r="F210" s="75">
        <v>0.8365162037037037</v>
      </c>
      <c r="G210" s="1"/>
      <c r="H210" s="1">
        <v>2.01</v>
      </c>
      <c r="I210" s="76"/>
      <c r="J210" s="67">
        <f t="shared" si="16"/>
        <v>67572.99</v>
      </c>
      <c r="K210" s="1" t="s">
        <v>395</v>
      </c>
      <c r="L210" s="70"/>
      <c r="M210" s="79"/>
      <c r="N210" s="1"/>
      <c r="O210" s="1"/>
      <c r="P210" s="1"/>
      <c r="Q210" s="1"/>
      <c r="R210" s="1"/>
      <c r="S210" s="1"/>
      <c r="T210" s="1"/>
      <c r="U210" s="1"/>
      <c r="V210" s="1"/>
      <c r="W210" s="1"/>
      <c r="X210" s="1"/>
      <c r="Y210" s="1"/>
      <c r="Z210" s="1"/>
      <c r="AA210" s="1"/>
      <c r="AB210" s="1"/>
      <c r="AC210" s="1"/>
      <c r="AD210" s="1"/>
      <c r="AE210" s="1"/>
      <c r="AF210" s="1"/>
      <c r="AG210" s="1"/>
      <c r="AH210" s="1"/>
    </row>
    <row r="211" ht="12.75" hidden="1" customHeight="1" outlineLevel="1">
      <c r="A211" s="17">
        <v>41080.0</v>
      </c>
      <c r="B211" s="1"/>
      <c r="C211" s="1" t="s">
        <v>339</v>
      </c>
      <c r="D211" s="74"/>
      <c r="E211" s="67"/>
      <c r="F211" s="75"/>
      <c r="G211" s="67"/>
      <c r="H211" s="68"/>
      <c r="I211" s="76"/>
      <c r="J211" s="67"/>
      <c r="K211" s="7" t="s">
        <v>424</v>
      </c>
      <c r="L211" s="77"/>
      <c r="M211" s="79"/>
      <c r="N211" s="1"/>
      <c r="O211" s="1"/>
      <c r="P211" s="1"/>
      <c r="Q211" s="1"/>
      <c r="R211" s="1"/>
      <c r="S211" s="1"/>
      <c r="T211" s="1"/>
      <c r="U211" s="1"/>
      <c r="V211" s="1"/>
      <c r="W211" s="1"/>
      <c r="X211" s="1"/>
      <c r="Y211" s="1"/>
      <c r="Z211" s="1"/>
      <c r="AA211" s="1"/>
      <c r="AB211" s="1"/>
      <c r="AC211" s="1"/>
      <c r="AD211" s="1"/>
      <c r="AE211" s="1"/>
      <c r="AF211" s="1"/>
      <c r="AG211" s="1"/>
      <c r="AH211" s="1"/>
    </row>
    <row r="212" ht="12.75" hidden="1" customHeight="1" outlineLevel="1">
      <c r="A212" s="17">
        <v>41081.0</v>
      </c>
      <c r="B212" s="1" t="s">
        <v>347</v>
      </c>
      <c r="C212" s="1" t="s">
        <v>385</v>
      </c>
      <c r="D212" s="74">
        <v>500.0</v>
      </c>
      <c r="E212" s="67">
        <v>5.97</v>
      </c>
      <c r="F212" s="75">
        <v>0.5859606481481482</v>
      </c>
      <c r="G212" s="67"/>
      <c r="H212" s="68">
        <v>2.5</v>
      </c>
      <c r="I212" s="76"/>
      <c r="J212" s="67">
        <f t="shared" ref="J212:J221" si="17">IF(B212="SLD",D212*E212,-D212*E212)-H212</f>
        <v>2982.5</v>
      </c>
      <c r="K212" s="1"/>
      <c r="L212" s="70"/>
      <c r="M212" s="79"/>
      <c r="N212" s="1"/>
      <c r="O212" s="1"/>
      <c r="P212" s="1"/>
      <c r="Q212" s="1"/>
      <c r="R212" s="1"/>
      <c r="S212" s="1"/>
      <c r="T212" s="1"/>
      <c r="U212" s="1"/>
      <c r="V212" s="1"/>
      <c r="W212" s="1"/>
      <c r="X212" s="1"/>
      <c r="Y212" s="1"/>
      <c r="Z212" s="1"/>
      <c r="AA212" s="1"/>
      <c r="AB212" s="1"/>
      <c r="AC212" s="1"/>
      <c r="AD212" s="1"/>
      <c r="AE212" s="1"/>
      <c r="AF212" s="1"/>
      <c r="AG212" s="1"/>
      <c r="AH212" s="1"/>
    </row>
    <row r="213" ht="12.75" hidden="1" customHeight="1" outlineLevel="1">
      <c r="A213" s="17">
        <v>41081.0</v>
      </c>
      <c r="B213" s="1" t="s">
        <v>347</v>
      </c>
      <c r="C213" s="1" t="s">
        <v>386</v>
      </c>
      <c r="D213" s="74">
        <v>100.0</v>
      </c>
      <c r="E213" s="67">
        <v>18.4</v>
      </c>
      <c r="F213" s="75">
        <v>0.6104050925925926</v>
      </c>
      <c r="G213" s="67"/>
      <c r="H213" s="68">
        <v>1.0</v>
      </c>
      <c r="I213" s="76"/>
      <c r="J213" s="67">
        <f t="shared" si="17"/>
        <v>1839</v>
      </c>
      <c r="K213" s="1"/>
      <c r="L213" s="70"/>
      <c r="M213" s="79"/>
      <c r="N213" s="1"/>
      <c r="O213" s="1"/>
      <c r="P213" s="1"/>
      <c r="Q213" s="1"/>
      <c r="R213" s="1"/>
      <c r="S213" s="1"/>
      <c r="T213" s="1"/>
      <c r="U213" s="1"/>
      <c r="V213" s="1"/>
      <c r="W213" s="1"/>
      <c r="X213" s="1"/>
      <c r="Y213" s="1"/>
      <c r="Z213" s="1"/>
      <c r="AA213" s="1"/>
      <c r="AB213" s="1"/>
      <c r="AC213" s="1"/>
      <c r="AD213" s="1"/>
      <c r="AE213" s="1"/>
      <c r="AF213" s="1"/>
      <c r="AG213" s="1"/>
      <c r="AH213" s="1"/>
    </row>
    <row r="214" ht="12.75" hidden="1" customHeight="1" outlineLevel="1">
      <c r="A214" s="17">
        <v>41081.0</v>
      </c>
      <c r="B214" s="1" t="s">
        <v>347</v>
      </c>
      <c r="C214" s="1" t="s">
        <v>399</v>
      </c>
      <c r="D214" s="74">
        <v>175.0</v>
      </c>
      <c r="E214" s="67">
        <v>10.57</v>
      </c>
      <c r="F214" s="75">
        <v>0.6111805555555555</v>
      </c>
      <c r="G214" s="67"/>
      <c r="H214" s="68">
        <v>1.0</v>
      </c>
      <c r="I214" s="76"/>
      <c r="J214" s="67">
        <f t="shared" si="17"/>
        <v>1848.75</v>
      </c>
      <c r="K214" s="1"/>
      <c r="L214" s="70"/>
      <c r="M214" s="79"/>
      <c r="N214" s="1"/>
      <c r="O214" s="1"/>
      <c r="P214" s="1"/>
      <c r="Q214" s="1"/>
      <c r="R214" s="1"/>
      <c r="S214" s="1"/>
      <c r="T214" s="1"/>
      <c r="U214" s="1"/>
      <c r="V214" s="1"/>
      <c r="W214" s="1"/>
      <c r="X214" s="1"/>
      <c r="Y214" s="1"/>
      <c r="Z214" s="1"/>
      <c r="AA214" s="1"/>
      <c r="AB214" s="1"/>
      <c r="AC214" s="1"/>
      <c r="AD214" s="1"/>
      <c r="AE214" s="1"/>
      <c r="AF214" s="1"/>
      <c r="AG214" s="1"/>
      <c r="AH214" s="1"/>
    </row>
    <row r="215" ht="12.75" hidden="1" customHeight="1" outlineLevel="1">
      <c r="A215" s="17">
        <v>41081.0</v>
      </c>
      <c r="B215" s="1" t="s">
        <v>347</v>
      </c>
      <c r="C215" s="1" t="s">
        <v>399</v>
      </c>
      <c r="D215" s="74">
        <v>100.0</v>
      </c>
      <c r="E215" s="67">
        <v>10.5701</v>
      </c>
      <c r="F215" s="75">
        <v>0.6111805555555555</v>
      </c>
      <c r="G215" s="67"/>
      <c r="H215" s="68">
        <v>0.1</v>
      </c>
      <c r="I215" s="76"/>
      <c r="J215" s="67">
        <f t="shared" si="17"/>
        <v>1056.91</v>
      </c>
      <c r="K215" s="1"/>
      <c r="L215" s="70"/>
      <c r="M215" s="79"/>
      <c r="N215" s="1"/>
      <c r="O215" s="1"/>
      <c r="P215" s="1"/>
      <c r="Q215" s="1"/>
      <c r="R215" s="1"/>
      <c r="S215" s="1"/>
      <c r="T215" s="1"/>
      <c r="U215" s="1"/>
      <c r="V215" s="1"/>
      <c r="W215" s="1"/>
      <c r="X215" s="1"/>
      <c r="Y215" s="1"/>
      <c r="Z215" s="1"/>
      <c r="AA215" s="1"/>
      <c r="AB215" s="1"/>
      <c r="AC215" s="1"/>
      <c r="AD215" s="1"/>
      <c r="AE215" s="1"/>
      <c r="AF215" s="1"/>
      <c r="AG215" s="1"/>
      <c r="AH215" s="1"/>
    </row>
    <row r="216" ht="12.75" hidden="1" customHeight="1" outlineLevel="1">
      <c r="A216" s="17">
        <v>41081.0</v>
      </c>
      <c r="B216" s="1" t="s">
        <v>347</v>
      </c>
      <c r="C216" s="1" t="s">
        <v>386</v>
      </c>
      <c r="D216" s="74">
        <v>75.0</v>
      </c>
      <c r="E216" s="67">
        <v>18.4</v>
      </c>
      <c r="F216" s="75">
        <v>0.6121180555555555</v>
      </c>
      <c r="G216" s="67"/>
      <c r="H216" s="68">
        <v>0.0</v>
      </c>
      <c r="I216" s="76"/>
      <c r="J216" s="67">
        <f t="shared" si="17"/>
        <v>1380</v>
      </c>
      <c r="K216" s="1"/>
      <c r="L216" s="70"/>
      <c r="M216" s="79"/>
      <c r="N216" s="1"/>
      <c r="O216" s="1"/>
      <c r="P216" s="1"/>
      <c r="Q216" s="1"/>
      <c r="R216" s="1"/>
      <c r="S216" s="1"/>
      <c r="T216" s="1"/>
      <c r="U216" s="1"/>
      <c r="V216" s="1"/>
      <c r="W216" s="1"/>
      <c r="X216" s="1"/>
      <c r="Y216" s="1"/>
      <c r="Z216" s="1"/>
      <c r="AA216" s="1"/>
      <c r="AB216" s="1"/>
      <c r="AC216" s="1"/>
      <c r="AD216" s="1"/>
      <c r="AE216" s="1"/>
      <c r="AF216" s="1"/>
      <c r="AG216" s="1"/>
      <c r="AH216" s="1"/>
    </row>
    <row r="217" ht="12.75" hidden="1" customHeight="1" outlineLevel="1">
      <c r="A217" s="17">
        <v>41081.0</v>
      </c>
      <c r="B217" s="1" t="s">
        <v>347</v>
      </c>
      <c r="C217" s="1" t="s">
        <v>426</v>
      </c>
      <c r="D217" s="74">
        <v>100.0</v>
      </c>
      <c r="E217" s="67">
        <v>26.71</v>
      </c>
      <c r="F217" s="75">
        <v>0.6128356481481482</v>
      </c>
      <c r="G217" s="67"/>
      <c r="H217" s="68">
        <v>1.0</v>
      </c>
      <c r="I217" s="76"/>
      <c r="J217" s="67">
        <f t="shared" si="17"/>
        <v>2670</v>
      </c>
      <c r="K217" s="1"/>
      <c r="L217" s="70"/>
      <c r="M217" s="79"/>
      <c r="N217" s="1"/>
      <c r="O217" s="1"/>
      <c r="P217" s="1"/>
      <c r="Q217" s="1"/>
      <c r="R217" s="1"/>
      <c r="S217" s="1"/>
      <c r="T217" s="1"/>
      <c r="U217" s="1"/>
      <c r="V217" s="1"/>
      <c r="W217" s="1"/>
      <c r="X217" s="1"/>
      <c r="Y217" s="1"/>
      <c r="Z217" s="1"/>
      <c r="AA217" s="1"/>
      <c r="AB217" s="1"/>
      <c r="AC217" s="1"/>
      <c r="AD217" s="1"/>
      <c r="AE217" s="1"/>
      <c r="AF217" s="1"/>
      <c r="AG217" s="1"/>
      <c r="AH217" s="1"/>
    </row>
    <row r="218" ht="12.75" hidden="1" customHeight="1" outlineLevel="1">
      <c r="A218" s="17">
        <v>41081.0</v>
      </c>
      <c r="B218" s="1" t="s">
        <v>347</v>
      </c>
      <c r="C218" s="1" t="s">
        <v>371</v>
      </c>
      <c r="D218" s="74">
        <v>100.0</v>
      </c>
      <c r="E218" s="67">
        <v>20.71</v>
      </c>
      <c r="F218" s="75">
        <v>0.6328819444444445</v>
      </c>
      <c r="G218" s="67"/>
      <c r="H218" s="68">
        <v>1.0</v>
      </c>
      <c r="I218" s="76"/>
      <c r="J218" s="67">
        <f t="shared" si="17"/>
        <v>2070</v>
      </c>
      <c r="K218" s="1"/>
      <c r="L218" s="70"/>
      <c r="M218" s="79"/>
      <c r="N218" s="1"/>
      <c r="O218" s="1"/>
      <c r="P218" s="1"/>
      <c r="Q218" s="1"/>
      <c r="R218" s="1"/>
      <c r="S218" s="1"/>
      <c r="T218" s="1"/>
      <c r="U218" s="1"/>
      <c r="V218" s="1"/>
      <c r="W218" s="1"/>
      <c r="X218" s="1"/>
      <c r="Y218" s="1"/>
      <c r="Z218" s="1"/>
      <c r="AA218" s="1"/>
      <c r="AB218" s="1"/>
      <c r="AC218" s="1"/>
      <c r="AD218" s="1"/>
      <c r="AE218" s="1"/>
      <c r="AF218" s="1"/>
      <c r="AG218" s="1"/>
      <c r="AH218" s="1"/>
    </row>
    <row r="219" ht="12.75" hidden="1" customHeight="1" outlineLevel="1">
      <c r="A219" s="17">
        <v>41081.0</v>
      </c>
      <c r="B219" s="1" t="s">
        <v>347</v>
      </c>
      <c r="C219" s="1" t="s">
        <v>371</v>
      </c>
      <c r="D219" s="74">
        <v>25.0</v>
      </c>
      <c r="E219" s="67">
        <v>20.71</v>
      </c>
      <c r="F219" s="75">
        <v>0.6328819444444445</v>
      </c>
      <c r="G219" s="67"/>
      <c r="H219" s="68">
        <v>0.0</v>
      </c>
      <c r="I219" s="76"/>
      <c r="J219" s="67">
        <f t="shared" si="17"/>
        <v>517.75</v>
      </c>
      <c r="K219" s="1"/>
      <c r="L219" s="70"/>
      <c r="M219" s="79"/>
      <c r="N219" s="1"/>
      <c r="O219" s="1"/>
      <c r="P219" s="1"/>
      <c r="Q219" s="1"/>
      <c r="R219" s="1"/>
      <c r="S219" s="1"/>
      <c r="T219" s="1"/>
      <c r="U219" s="1"/>
      <c r="V219" s="1"/>
      <c r="W219" s="1"/>
      <c r="X219" s="1"/>
      <c r="Y219" s="1"/>
      <c r="Z219" s="1"/>
      <c r="AA219" s="1"/>
      <c r="AB219" s="1"/>
      <c r="AC219" s="1"/>
      <c r="AD219" s="1"/>
      <c r="AE219" s="1"/>
      <c r="AF219" s="1"/>
      <c r="AG219" s="1"/>
      <c r="AH219" s="1"/>
    </row>
    <row r="220" ht="12.75" hidden="1" customHeight="1" outlineLevel="1">
      <c r="A220" s="17">
        <v>41081.0</v>
      </c>
      <c r="B220" s="1" t="s">
        <v>343</v>
      </c>
      <c r="C220" s="1" t="s">
        <v>394</v>
      </c>
      <c r="D220" s="74">
        <v>50.0</v>
      </c>
      <c r="E220" s="67">
        <v>1318.5</v>
      </c>
      <c r="F220" s="75">
        <v>0.8282986111111111</v>
      </c>
      <c r="G220" s="67"/>
      <c r="H220" s="68">
        <v>2.01</v>
      </c>
      <c r="I220" s="76"/>
      <c r="J220" s="67">
        <f t="shared" si="17"/>
        <v>-65927.01</v>
      </c>
      <c r="K220" s="1" t="s">
        <v>395</v>
      </c>
      <c r="L220" s="70"/>
      <c r="M220" s="79"/>
      <c r="N220" s="1"/>
      <c r="O220" s="1"/>
      <c r="P220" s="1"/>
      <c r="Q220" s="1"/>
      <c r="R220" s="1"/>
      <c r="S220" s="1"/>
      <c r="T220" s="1"/>
      <c r="U220" s="1"/>
      <c r="V220" s="1"/>
      <c r="W220" s="1"/>
      <c r="X220" s="1"/>
      <c r="Y220" s="1"/>
      <c r="Z220" s="1"/>
      <c r="AA220" s="1"/>
      <c r="AB220" s="1"/>
      <c r="AC220" s="1"/>
      <c r="AD220" s="1"/>
      <c r="AE220" s="1"/>
      <c r="AF220" s="1"/>
      <c r="AG220" s="1"/>
      <c r="AH220" s="1"/>
    </row>
    <row r="221" ht="12.75" hidden="1" customHeight="1" outlineLevel="1">
      <c r="A221" s="17">
        <v>41081.0</v>
      </c>
      <c r="B221" s="1" t="s">
        <v>347</v>
      </c>
      <c r="C221" s="1" t="s">
        <v>394</v>
      </c>
      <c r="D221" s="74">
        <v>50.0</v>
      </c>
      <c r="E221" s="67">
        <v>1319.5</v>
      </c>
      <c r="F221" s="75">
        <v>0.8308912037037036</v>
      </c>
      <c r="G221" s="67"/>
      <c r="H221" s="68">
        <v>2.01</v>
      </c>
      <c r="I221" s="76"/>
      <c r="J221" s="67">
        <f t="shared" si="17"/>
        <v>65972.99</v>
      </c>
      <c r="K221" s="1" t="s">
        <v>395</v>
      </c>
      <c r="L221" s="70"/>
      <c r="M221" s="79"/>
      <c r="N221" s="1"/>
      <c r="O221" s="1"/>
      <c r="P221" s="1"/>
      <c r="Q221" s="1"/>
      <c r="R221" s="1"/>
      <c r="S221" s="1"/>
      <c r="T221" s="1"/>
      <c r="U221" s="1"/>
      <c r="V221" s="1"/>
      <c r="W221" s="1"/>
      <c r="X221" s="1"/>
      <c r="Y221" s="1"/>
      <c r="Z221" s="1"/>
      <c r="AA221" s="1"/>
      <c r="AB221" s="1"/>
      <c r="AC221" s="1"/>
      <c r="AD221" s="1"/>
      <c r="AE221" s="1"/>
      <c r="AF221" s="1"/>
      <c r="AG221" s="1"/>
      <c r="AH221" s="1"/>
    </row>
    <row r="222" ht="12.75" hidden="1" customHeight="1" outlineLevel="1">
      <c r="A222" s="17">
        <v>41081.0</v>
      </c>
      <c r="B222" s="1"/>
      <c r="C222" s="1" t="s">
        <v>339</v>
      </c>
      <c r="D222" s="74"/>
      <c r="E222" s="67"/>
      <c r="F222" s="75"/>
      <c r="G222" s="67"/>
      <c r="H222" s="68"/>
      <c r="I222" s="76"/>
      <c r="J222" s="67"/>
      <c r="K222" s="7" t="s">
        <v>428</v>
      </c>
      <c r="L222" s="77"/>
      <c r="M222" s="79"/>
      <c r="N222" s="1"/>
      <c r="O222" s="1"/>
      <c r="P222" s="1"/>
      <c r="Q222" s="1"/>
      <c r="R222" s="1"/>
      <c r="S222" s="1"/>
      <c r="T222" s="1"/>
      <c r="U222" s="1"/>
      <c r="V222" s="1"/>
      <c r="W222" s="1"/>
      <c r="X222" s="1"/>
      <c r="Y222" s="1"/>
      <c r="Z222" s="1"/>
      <c r="AA222" s="1"/>
      <c r="AB222" s="1"/>
      <c r="AC222" s="1"/>
      <c r="AD222" s="1"/>
      <c r="AE222" s="1"/>
      <c r="AF222" s="1"/>
      <c r="AG222" s="1"/>
      <c r="AH222" s="1"/>
    </row>
    <row r="223" ht="12.75" hidden="1" customHeight="1" outlineLevel="1">
      <c r="A223" s="17">
        <v>41081.0</v>
      </c>
      <c r="B223" s="1"/>
      <c r="C223" s="1" t="s">
        <v>429</v>
      </c>
      <c r="D223" s="74"/>
      <c r="E223" s="67"/>
      <c r="F223" s="75"/>
      <c r="G223" s="67"/>
      <c r="H223" s="68"/>
      <c r="I223" s="76"/>
      <c r="J223" s="67"/>
      <c r="K223" s="1" t="s">
        <v>430</v>
      </c>
      <c r="L223" s="77"/>
      <c r="M223" s="79"/>
      <c r="N223" s="1"/>
      <c r="O223" s="1"/>
      <c r="P223" s="1"/>
      <c r="Q223" s="1"/>
      <c r="R223" s="1"/>
      <c r="S223" s="1"/>
      <c r="T223" s="1"/>
      <c r="U223" s="1"/>
      <c r="V223" s="1"/>
      <c r="W223" s="1"/>
      <c r="X223" s="1"/>
      <c r="Y223" s="1"/>
      <c r="Z223" s="1"/>
      <c r="AA223" s="1"/>
      <c r="AB223" s="1"/>
      <c r="AC223" s="1"/>
      <c r="AD223" s="1"/>
      <c r="AE223" s="1"/>
      <c r="AF223" s="1"/>
      <c r="AG223" s="1"/>
      <c r="AH223" s="1"/>
    </row>
    <row r="224" ht="12.75" hidden="1" customHeight="1" outlineLevel="1">
      <c r="A224" s="17">
        <v>41081.0</v>
      </c>
      <c r="B224" s="1"/>
      <c r="C224" s="1" t="s">
        <v>431</v>
      </c>
      <c r="D224" s="74"/>
      <c r="E224" s="67"/>
      <c r="F224" s="75"/>
      <c r="G224" s="67"/>
      <c r="H224" s="68"/>
      <c r="I224" s="76"/>
      <c r="J224" s="67"/>
      <c r="K224" s="1" t="s">
        <v>432</v>
      </c>
      <c r="L224" s="77"/>
      <c r="M224" s="79"/>
      <c r="N224" s="1"/>
      <c r="O224" s="1"/>
      <c r="P224" s="1"/>
      <c r="Q224" s="1"/>
      <c r="R224" s="1"/>
      <c r="S224" s="1"/>
      <c r="T224" s="1"/>
      <c r="U224" s="1"/>
      <c r="V224" s="1"/>
      <c r="W224" s="1"/>
      <c r="X224" s="1"/>
      <c r="Y224" s="1"/>
      <c r="Z224" s="1"/>
      <c r="AA224" s="1"/>
      <c r="AB224" s="1"/>
      <c r="AC224" s="1"/>
      <c r="AD224" s="1"/>
      <c r="AE224" s="1"/>
      <c r="AF224" s="1"/>
      <c r="AG224" s="1"/>
      <c r="AH224" s="1"/>
    </row>
    <row r="225" ht="12.75" hidden="1" customHeight="1" outlineLevel="1">
      <c r="A225" s="17">
        <v>41081.0</v>
      </c>
      <c r="B225" s="1"/>
      <c r="C225" s="1" t="s">
        <v>433</v>
      </c>
      <c r="D225" s="74"/>
      <c r="E225" s="67"/>
      <c r="F225" s="75"/>
      <c r="G225" s="67"/>
      <c r="H225" s="68"/>
      <c r="I225" s="76"/>
      <c r="J225" s="67"/>
      <c r="K225" s="1" t="s">
        <v>434</v>
      </c>
      <c r="L225" s="77"/>
      <c r="M225" s="79"/>
      <c r="N225" s="1"/>
      <c r="O225" s="1"/>
      <c r="P225" s="1"/>
      <c r="Q225" s="1"/>
      <c r="R225" s="1"/>
      <c r="S225" s="1"/>
      <c r="T225" s="1"/>
      <c r="U225" s="1"/>
      <c r="V225" s="1"/>
      <c r="W225" s="1"/>
      <c r="X225" s="1"/>
      <c r="Y225" s="1"/>
      <c r="Z225" s="1"/>
      <c r="AA225" s="1"/>
      <c r="AB225" s="1"/>
      <c r="AC225" s="1"/>
      <c r="AD225" s="1"/>
      <c r="AE225" s="1"/>
      <c r="AF225" s="1"/>
      <c r="AG225" s="1"/>
      <c r="AH225" s="1"/>
    </row>
    <row r="226" ht="12.75" hidden="1" customHeight="1" outlineLevel="1">
      <c r="A226" s="17">
        <v>41081.0</v>
      </c>
      <c r="B226" s="1"/>
      <c r="C226" s="1" t="s">
        <v>435</v>
      </c>
      <c r="D226" s="74"/>
      <c r="E226" s="67"/>
      <c r="F226" s="75"/>
      <c r="G226" s="67"/>
      <c r="H226" s="68"/>
      <c r="I226" s="76"/>
      <c r="J226" s="67"/>
      <c r="K226" s="1"/>
      <c r="L226" s="77"/>
      <c r="M226" s="79"/>
      <c r="N226" s="1"/>
      <c r="O226" s="1"/>
      <c r="P226" s="1"/>
      <c r="Q226" s="1"/>
      <c r="R226" s="1"/>
      <c r="S226" s="1"/>
      <c r="T226" s="1"/>
      <c r="U226" s="1"/>
      <c r="V226" s="1"/>
      <c r="W226" s="1"/>
      <c r="X226" s="1"/>
      <c r="Y226" s="1"/>
      <c r="Z226" s="1"/>
      <c r="AA226" s="1"/>
      <c r="AB226" s="1"/>
      <c r="AC226" s="1"/>
      <c r="AD226" s="1"/>
      <c r="AE226" s="1"/>
      <c r="AF226" s="1"/>
      <c r="AG226" s="1"/>
      <c r="AH226" s="1"/>
    </row>
    <row r="227" ht="12.75" hidden="1" customHeight="1" outlineLevel="1">
      <c r="A227" s="17">
        <v>41082.0</v>
      </c>
      <c r="B227" s="1" t="s">
        <v>347</v>
      </c>
      <c r="C227" s="1" t="s">
        <v>354</v>
      </c>
      <c r="D227" s="74">
        <v>20.0</v>
      </c>
      <c r="E227" s="67">
        <v>70.98</v>
      </c>
      <c r="F227" s="75">
        <v>0.8167476851851853</v>
      </c>
      <c r="G227" s="67"/>
      <c r="H227" s="68">
        <v>1.0</v>
      </c>
      <c r="I227" s="76"/>
      <c r="J227" s="67">
        <f t="shared" ref="J227:J237" si="18">IF(B227="SLD",D227*E227,-D227*E227)-H227</f>
        <v>1418.6</v>
      </c>
      <c r="K227" s="1"/>
      <c r="L227" s="70"/>
      <c r="M227" s="79"/>
      <c r="N227" s="1"/>
      <c r="O227" s="1"/>
      <c r="P227" s="1"/>
      <c r="Q227" s="1"/>
      <c r="R227" s="1"/>
      <c r="S227" s="1"/>
      <c r="T227" s="1"/>
      <c r="U227" s="1"/>
      <c r="V227" s="1"/>
      <c r="W227" s="1"/>
      <c r="X227" s="1"/>
      <c r="Y227" s="1"/>
      <c r="Z227" s="1"/>
      <c r="AA227" s="1"/>
      <c r="AB227" s="1"/>
      <c r="AC227" s="1"/>
      <c r="AD227" s="1"/>
      <c r="AE227" s="1"/>
      <c r="AF227" s="1"/>
      <c r="AG227" s="1"/>
      <c r="AH227" s="1"/>
    </row>
    <row r="228" ht="12.75" hidden="1" customHeight="1" outlineLevel="1">
      <c r="A228" s="17">
        <v>41082.0</v>
      </c>
      <c r="B228" s="1" t="s">
        <v>347</v>
      </c>
      <c r="C228" s="1" t="s">
        <v>354</v>
      </c>
      <c r="D228" s="74">
        <v>29.0</v>
      </c>
      <c r="E228" s="67">
        <v>70.98</v>
      </c>
      <c r="F228" s="75">
        <v>0.8167476851851853</v>
      </c>
      <c r="G228" s="67"/>
      <c r="H228" s="68">
        <v>0.0</v>
      </c>
      <c r="I228" s="76"/>
      <c r="J228" s="67">
        <f t="shared" si="18"/>
        <v>2058.42</v>
      </c>
      <c r="K228" s="1"/>
      <c r="L228" s="70"/>
      <c r="M228" s="79"/>
      <c r="N228" s="1"/>
      <c r="O228" s="1"/>
      <c r="P228" s="1"/>
      <c r="Q228" s="1"/>
      <c r="R228" s="1"/>
      <c r="S228" s="1"/>
      <c r="T228" s="1"/>
      <c r="U228" s="1"/>
      <c r="V228" s="1"/>
      <c r="W228" s="1"/>
      <c r="X228" s="1"/>
      <c r="Y228" s="1"/>
      <c r="Z228" s="1"/>
      <c r="AA228" s="1"/>
      <c r="AB228" s="1"/>
      <c r="AC228" s="1"/>
      <c r="AD228" s="1"/>
      <c r="AE228" s="1"/>
      <c r="AF228" s="1"/>
      <c r="AG228" s="1"/>
      <c r="AH228" s="1"/>
    </row>
    <row r="229" ht="12.75" hidden="1" customHeight="1" outlineLevel="1">
      <c r="A229" s="17">
        <v>41082.0</v>
      </c>
      <c r="B229" s="1" t="s">
        <v>347</v>
      </c>
      <c r="C229" s="1" t="s">
        <v>354</v>
      </c>
      <c r="D229" s="74">
        <v>120.0</v>
      </c>
      <c r="E229" s="67">
        <v>70.98</v>
      </c>
      <c r="F229" s="75">
        <v>0.8167592592592593</v>
      </c>
      <c r="G229" s="67"/>
      <c r="H229" s="68">
        <v>0.0</v>
      </c>
      <c r="I229" s="76"/>
      <c r="J229" s="67">
        <f t="shared" si="18"/>
        <v>8517.6</v>
      </c>
      <c r="K229" s="1"/>
      <c r="L229" s="70"/>
      <c r="M229" s="79"/>
      <c r="N229" s="1"/>
      <c r="O229" s="1"/>
      <c r="P229" s="1"/>
      <c r="Q229" s="1"/>
      <c r="R229" s="1"/>
      <c r="S229" s="1"/>
      <c r="T229" s="1"/>
      <c r="U229" s="1"/>
      <c r="V229" s="1"/>
      <c r="W229" s="1"/>
      <c r="X229" s="1"/>
      <c r="Y229" s="1"/>
      <c r="Z229" s="1"/>
      <c r="AA229" s="1"/>
      <c r="AB229" s="1"/>
      <c r="AC229" s="1"/>
      <c r="AD229" s="1"/>
      <c r="AE229" s="1"/>
      <c r="AF229" s="1"/>
      <c r="AG229" s="1"/>
      <c r="AH229" s="1"/>
    </row>
    <row r="230" ht="12.75" hidden="1" customHeight="1" outlineLevel="1">
      <c r="A230" s="17">
        <v>41082.0</v>
      </c>
      <c r="B230" s="1" t="s">
        <v>347</v>
      </c>
      <c r="C230" s="1" t="s">
        <v>354</v>
      </c>
      <c r="D230" s="74">
        <v>100.0</v>
      </c>
      <c r="E230" s="67">
        <v>70.98</v>
      </c>
      <c r="F230" s="75">
        <v>0.8167592592592593</v>
      </c>
      <c r="G230" s="67"/>
      <c r="H230" s="68">
        <v>0.34</v>
      </c>
      <c r="I230" s="76"/>
      <c r="J230" s="67">
        <f t="shared" si="18"/>
        <v>7097.66</v>
      </c>
      <c r="K230" s="1"/>
      <c r="L230" s="70"/>
      <c r="M230" s="79"/>
      <c r="N230" s="1"/>
      <c r="O230" s="1"/>
      <c r="P230" s="1"/>
      <c r="Q230" s="1"/>
      <c r="R230" s="1"/>
      <c r="S230" s="1"/>
      <c r="T230" s="1"/>
      <c r="U230" s="1"/>
      <c r="V230" s="1"/>
      <c r="W230" s="1"/>
      <c r="X230" s="1"/>
      <c r="Y230" s="1"/>
      <c r="Z230" s="1"/>
      <c r="AA230" s="1"/>
      <c r="AB230" s="1"/>
      <c r="AC230" s="1"/>
      <c r="AD230" s="1"/>
      <c r="AE230" s="1"/>
      <c r="AF230" s="1"/>
      <c r="AG230" s="1"/>
      <c r="AH230" s="1"/>
    </row>
    <row r="231" ht="12.75" hidden="1" customHeight="1" outlineLevel="1">
      <c r="A231" s="17">
        <v>41082.0</v>
      </c>
      <c r="B231" s="1" t="s">
        <v>347</v>
      </c>
      <c r="C231" s="1" t="s">
        <v>354</v>
      </c>
      <c r="D231" s="74">
        <v>56.0</v>
      </c>
      <c r="E231" s="67">
        <v>70.98</v>
      </c>
      <c r="F231" s="75">
        <v>0.8167592592592593</v>
      </c>
      <c r="G231" s="67"/>
      <c r="H231" s="68">
        <v>0.28</v>
      </c>
      <c r="I231" s="76"/>
      <c r="J231" s="67">
        <f t="shared" si="18"/>
        <v>3974.6</v>
      </c>
      <c r="K231" s="1"/>
      <c r="L231" s="70"/>
      <c r="M231" s="79"/>
      <c r="N231" s="1"/>
      <c r="O231" s="1"/>
      <c r="P231" s="1"/>
      <c r="Q231" s="1"/>
      <c r="R231" s="1"/>
      <c r="S231" s="1"/>
      <c r="T231" s="1"/>
      <c r="U231" s="1"/>
      <c r="V231" s="1"/>
      <c r="W231" s="1"/>
      <c r="X231" s="1"/>
      <c r="Y231" s="1"/>
      <c r="Z231" s="1"/>
      <c r="AA231" s="1"/>
      <c r="AB231" s="1"/>
      <c r="AC231" s="1"/>
      <c r="AD231" s="1"/>
      <c r="AE231" s="1"/>
      <c r="AF231" s="1"/>
      <c r="AG231" s="1"/>
      <c r="AH231" s="1"/>
    </row>
    <row r="232" ht="12.75" hidden="1" customHeight="1" outlineLevel="1">
      <c r="A232" s="17">
        <v>41082.0</v>
      </c>
      <c r="B232" s="1" t="s">
        <v>347</v>
      </c>
      <c r="C232" s="1" t="s">
        <v>346</v>
      </c>
      <c r="D232" s="74">
        <v>36.0</v>
      </c>
      <c r="E232" s="67">
        <v>579.7</v>
      </c>
      <c r="F232" s="75">
        <v>0.8177199074074074</v>
      </c>
      <c r="G232" s="67"/>
      <c r="H232" s="68">
        <v>1.0</v>
      </c>
      <c r="I232" s="76"/>
      <c r="J232" s="67">
        <f t="shared" si="18"/>
        <v>20868.2</v>
      </c>
      <c r="K232" s="1"/>
      <c r="L232" s="70"/>
      <c r="M232" s="79"/>
      <c r="N232" s="1"/>
      <c r="O232" s="1"/>
      <c r="P232" s="1"/>
      <c r="Q232" s="1"/>
      <c r="R232" s="1"/>
      <c r="S232" s="1"/>
      <c r="T232" s="1"/>
      <c r="U232" s="1"/>
      <c r="V232" s="1"/>
      <c r="W232" s="1"/>
      <c r="X232" s="1"/>
      <c r="Y232" s="1"/>
      <c r="Z232" s="1"/>
      <c r="AA232" s="1"/>
      <c r="AB232" s="1"/>
      <c r="AC232" s="1"/>
      <c r="AD232" s="1"/>
      <c r="AE232" s="1"/>
      <c r="AF232" s="1"/>
      <c r="AG232" s="1"/>
      <c r="AH232" s="1"/>
    </row>
    <row r="233" ht="12.75" hidden="1" customHeight="1" outlineLevel="1">
      <c r="A233" s="17">
        <v>41082.0</v>
      </c>
      <c r="B233" s="1" t="s">
        <v>347</v>
      </c>
      <c r="C233" s="1" t="s">
        <v>344</v>
      </c>
      <c r="D233" s="74">
        <v>400.0</v>
      </c>
      <c r="E233" s="67">
        <v>31.29</v>
      </c>
      <c r="F233" s="75">
        <v>0.8194444444444445</v>
      </c>
      <c r="G233" s="67"/>
      <c r="H233" s="68">
        <v>2.0</v>
      </c>
      <c r="I233" s="76"/>
      <c r="J233" s="67">
        <f t="shared" si="18"/>
        <v>12514</v>
      </c>
      <c r="K233" s="1"/>
      <c r="L233" s="70"/>
      <c r="M233" s="79"/>
      <c r="N233" s="1"/>
      <c r="O233" s="1"/>
      <c r="P233" s="1"/>
      <c r="Q233" s="1"/>
      <c r="R233" s="1"/>
      <c r="S233" s="1"/>
      <c r="T233" s="1"/>
      <c r="U233" s="1"/>
      <c r="V233" s="1"/>
      <c r="W233" s="1"/>
      <c r="X233" s="1"/>
      <c r="Y233" s="1"/>
      <c r="Z233" s="1"/>
      <c r="AA233" s="1"/>
      <c r="AB233" s="1"/>
      <c r="AC233" s="1"/>
      <c r="AD233" s="1"/>
      <c r="AE233" s="1"/>
      <c r="AF233" s="1"/>
      <c r="AG233" s="1"/>
      <c r="AH233" s="1"/>
    </row>
    <row r="234" ht="12.75" hidden="1" customHeight="1" outlineLevel="1">
      <c r="A234" s="17">
        <v>41082.0</v>
      </c>
      <c r="B234" s="1" t="s">
        <v>347</v>
      </c>
      <c r="C234" s="1" t="s">
        <v>344</v>
      </c>
      <c r="D234" s="74">
        <v>100.0</v>
      </c>
      <c r="E234" s="67">
        <v>31.32</v>
      </c>
      <c r="F234" s="75">
        <v>0.8197106481481482</v>
      </c>
      <c r="G234" s="67"/>
      <c r="H234" s="68">
        <v>1.0</v>
      </c>
      <c r="I234" s="76"/>
      <c r="J234" s="67">
        <f t="shared" si="18"/>
        <v>3131</v>
      </c>
      <c r="K234" s="1"/>
      <c r="L234" s="70"/>
      <c r="M234" s="79"/>
      <c r="N234" s="1"/>
      <c r="O234" s="1"/>
      <c r="P234" s="1"/>
      <c r="Q234" s="1"/>
      <c r="R234" s="1"/>
      <c r="S234" s="1"/>
      <c r="T234" s="1"/>
      <c r="U234" s="1"/>
      <c r="V234" s="1"/>
      <c r="W234" s="1"/>
      <c r="X234" s="1"/>
      <c r="Y234" s="1"/>
      <c r="Z234" s="1"/>
      <c r="AA234" s="1"/>
      <c r="AB234" s="1"/>
      <c r="AC234" s="1"/>
      <c r="AD234" s="1"/>
      <c r="AE234" s="1"/>
      <c r="AF234" s="1"/>
      <c r="AG234" s="1"/>
      <c r="AH234" s="1"/>
    </row>
    <row r="235" ht="12.75" hidden="1" customHeight="1" outlineLevel="1">
      <c r="A235" s="17">
        <v>41082.0</v>
      </c>
      <c r="B235" s="1" t="s">
        <v>347</v>
      </c>
      <c r="C235" s="1" t="s">
        <v>344</v>
      </c>
      <c r="D235" s="74">
        <v>100.0</v>
      </c>
      <c r="E235" s="67">
        <v>31.32</v>
      </c>
      <c r="F235" s="75">
        <v>0.8197106481481482</v>
      </c>
      <c r="G235" s="67"/>
      <c r="H235" s="68">
        <v>0.0</v>
      </c>
      <c r="I235" s="76"/>
      <c r="J235" s="67">
        <f t="shared" si="18"/>
        <v>3132</v>
      </c>
      <c r="K235" s="1"/>
      <c r="L235" s="70"/>
      <c r="M235" s="79"/>
      <c r="N235" s="1"/>
      <c r="O235" s="1"/>
      <c r="P235" s="1"/>
      <c r="Q235" s="1"/>
      <c r="R235" s="1"/>
      <c r="S235" s="1"/>
      <c r="T235" s="1"/>
      <c r="U235" s="1"/>
      <c r="V235" s="1"/>
      <c r="W235" s="1"/>
      <c r="X235" s="1"/>
      <c r="Y235" s="1"/>
      <c r="Z235" s="1"/>
      <c r="AA235" s="1"/>
      <c r="AB235" s="1"/>
      <c r="AC235" s="1"/>
      <c r="AD235" s="1"/>
      <c r="AE235" s="1"/>
      <c r="AF235" s="1"/>
      <c r="AG235" s="1"/>
      <c r="AH235" s="1"/>
    </row>
    <row r="236" ht="12.75" hidden="1" customHeight="1" outlineLevel="1">
      <c r="A236" s="17">
        <v>41082.0</v>
      </c>
      <c r="B236" s="1" t="s">
        <v>347</v>
      </c>
      <c r="C236" s="1" t="s">
        <v>344</v>
      </c>
      <c r="D236" s="74">
        <v>100.0</v>
      </c>
      <c r="E236" s="67">
        <v>31.32</v>
      </c>
      <c r="F236" s="75">
        <v>0.8197106481481482</v>
      </c>
      <c r="G236" s="67"/>
      <c r="H236" s="68">
        <v>0.4</v>
      </c>
      <c r="I236" s="76"/>
      <c r="J236" s="67">
        <f t="shared" si="18"/>
        <v>3131.6</v>
      </c>
      <c r="K236" s="1"/>
      <c r="L236" s="70"/>
      <c r="M236" s="79"/>
      <c r="N236" s="1"/>
      <c r="O236" s="1"/>
      <c r="P236" s="1"/>
      <c r="Q236" s="1"/>
      <c r="R236" s="1"/>
      <c r="S236" s="1"/>
      <c r="T236" s="1"/>
      <c r="U236" s="1"/>
      <c r="V236" s="1"/>
      <c r="W236" s="1"/>
      <c r="X236" s="1"/>
      <c r="Y236" s="1"/>
      <c r="Z236" s="1"/>
      <c r="AA236" s="1"/>
      <c r="AB236" s="1"/>
      <c r="AC236" s="1"/>
      <c r="AD236" s="1"/>
      <c r="AE236" s="1"/>
      <c r="AF236" s="1"/>
      <c r="AG236" s="1"/>
      <c r="AH236" s="1"/>
    </row>
    <row r="237" ht="12.75" hidden="1" customHeight="1" outlineLevel="1">
      <c r="A237" s="17">
        <v>41082.0</v>
      </c>
      <c r="B237" s="1" t="s">
        <v>347</v>
      </c>
      <c r="C237" s="1" t="s">
        <v>344</v>
      </c>
      <c r="D237" s="74">
        <v>100.0</v>
      </c>
      <c r="E237" s="67">
        <v>31.32</v>
      </c>
      <c r="F237" s="75">
        <v>0.8197106481481482</v>
      </c>
      <c r="G237" s="67"/>
      <c r="H237" s="68">
        <v>0.4</v>
      </c>
      <c r="I237" s="76"/>
      <c r="J237" s="67">
        <f t="shared" si="18"/>
        <v>3131.6</v>
      </c>
      <c r="K237" s="1"/>
      <c r="L237" s="70"/>
      <c r="M237" s="79"/>
      <c r="N237" s="1"/>
      <c r="O237" s="1"/>
      <c r="P237" s="1"/>
      <c r="Q237" s="1"/>
      <c r="R237" s="1"/>
      <c r="S237" s="1"/>
      <c r="T237" s="1"/>
      <c r="U237" s="1"/>
      <c r="V237" s="1"/>
      <c r="W237" s="1"/>
      <c r="X237" s="1"/>
      <c r="Y237" s="1"/>
      <c r="Z237" s="1"/>
      <c r="AA237" s="1"/>
      <c r="AB237" s="1"/>
      <c r="AC237" s="1"/>
      <c r="AD237" s="1"/>
      <c r="AE237" s="1"/>
      <c r="AF237" s="1"/>
      <c r="AG237" s="1"/>
      <c r="AH237" s="1"/>
    </row>
    <row r="238" ht="12.75" hidden="1" customHeight="1" outlineLevel="1">
      <c r="A238" s="17">
        <v>41082.0</v>
      </c>
      <c r="B238" s="1"/>
      <c r="C238" s="1" t="s">
        <v>339</v>
      </c>
      <c r="D238" s="74"/>
      <c r="E238" s="67"/>
      <c r="F238" s="75"/>
      <c r="G238" s="67"/>
      <c r="H238" s="68"/>
      <c r="I238" s="76"/>
      <c r="J238" s="67"/>
      <c r="K238" s="7" t="s">
        <v>439</v>
      </c>
      <c r="L238" s="77"/>
      <c r="M238" s="79"/>
      <c r="N238" s="1"/>
      <c r="O238" s="1"/>
      <c r="P238" s="1"/>
      <c r="Q238" s="1"/>
      <c r="R238" s="1"/>
      <c r="S238" s="1"/>
      <c r="T238" s="1"/>
      <c r="U238" s="1"/>
      <c r="V238" s="1"/>
      <c r="W238" s="1"/>
      <c r="X238" s="1"/>
      <c r="Y238" s="1"/>
      <c r="Z238" s="1"/>
      <c r="AA238" s="1"/>
      <c r="AB238" s="1"/>
      <c r="AC238" s="1"/>
      <c r="AD238" s="1"/>
      <c r="AE238" s="1"/>
      <c r="AF238" s="1"/>
      <c r="AG238" s="1"/>
      <c r="AH238" s="1"/>
    </row>
    <row r="239" ht="12.75" hidden="1" customHeight="1" outlineLevel="1">
      <c r="A239" s="17">
        <v>41082.0</v>
      </c>
      <c r="B239" s="1"/>
      <c r="C239" s="1" t="s">
        <v>429</v>
      </c>
      <c r="D239" s="74"/>
      <c r="E239" s="67"/>
      <c r="F239" s="75"/>
      <c r="G239" s="67"/>
      <c r="H239" s="68"/>
      <c r="I239" s="76"/>
      <c r="J239" s="67"/>
      <c r="K239" s="1" t="s">
        <v>430</v>
      </c>
      <c r="L239" s="77"/>
      <c r="M239" s="79"/>
      <c r="N239" s="1"/>
      <c r="O239" s="1"/>
      <c r="P239" s="1"/>
      <c r="Q239" s="1"/>
      <c r="R239" s="1"/>
      <c r="S239" s="1"/>
      <c r="T239" s="1"/>
      <c r="U239" s="1"/>
      <c r="V239" s="1"/>
      <c r="W239" s="1"/>
      <c r="X239" s="1"/>
      <c r="Y239" s="1"/>
      <c r="Z239" s="1"/>
      <c r="AA239" s="1"/>
      <c r="AB239" s="1"/>
      <c r="AC239" s="1"/>
      <c r="AD239" s="1"/>
      <c r="AE239" s="1"/>
      <c r="AF239" s="1"/>
      <c r="AG239" s="1"/>
      <c r="AH239" s="1"/>
    </row>
    <row r="240" ht="12.75" hidden="1" customHeight="1" outlineLevel="1">
      <c r="A240" s="17">
        <v>41082.0</v>
      </c>
      <c r="B240" s="1"/>
      <c r="C240" s="1" t="s">
        <v>431</v>
      </c>
      <c r="D240" s="74"/>
      <c r="E240" s="67"/>
      <c r="F240" s="75"/>
      <c r="G240" s="67"/>
      <c r="H240" s="68"/>
      <c r="I240" s="76"/>
      <c r="J240" s="67"/>
      <c r="K240" s="1" t="s">
        <v>432</v>
      </c>
      <c r="L240" s="77"/>
      <c r="M240" s="79"/>
      <c r="N240" s="1"/>
      <c r="O240" s="1"/>
      <c r="P240" s="1"/>
      <c r="Q240" s="1"/>
      <c r="R240" s="1"/>
      <c r="S240" s="1"/>
      <c r="T240" s="1"/>
      <c r="U240" s="1"/>
      <c r="V240" s="1"/>
      <c r="W240" s="1"/>
      <c r="X240" s="1"/>
      <c r="Y240" s="1"/>
      <c r="Z240" s="1"/>
      <c r="AA240" s="1"/>
      <c r="AB240" s="1"/>
      <c r="AC240" s="1"/>
      <c r="AD240" s="1"/>
      <c r="AE240" s="1"/>
      <c r="AF240" s="1"/>
      <c r="AG240" s="1"/>
      <c r="AH240" s="1"/>
    </row>
    <row r="241" ht="12.75" hidden="1" customHeight="1" outlineLevel="1">
      <c r="A241" s="17">
        <v>41082.0</v>
      </c>
      <c r="B241" s="1"/>
      <c r="C241" s="1" t="s">
        <v>433</v>
      </c>
      <c r="D241" s="74"/>
      <c r="E241" s="67"/>
      <c r="F241" s="75"/>
      <c r="G241" s="67"/>
      <c r="H241" s="68"/>
      <c r="I241" s="76"/>
      <c r="J241" s="67"/>
      <c r="K241" s="1" t="s">
        <v>434</v>
      </c>
      <c r="L241" s="77"/>
      <c r="M241" s="79"/>
      <c r="N241" s="1"/>
      <c r="O241" s="1"/>
      <c r="P241" s="1"/>
      <c r="Q241" s="1"/>
      <c r="R241" s="1"/>
      <c r="S241" s="1"/>
      <c r="T241" s="1"/>
      <c r="U241" s="1"/>
      <c r="V241" s="1"/>
      <c r="W241" s="1"/>
      <c r="X241" s="1"/>
      <c r="Y241" s="1"/>
      <c r="Z241" s="1"/>
      <c r="AA241" s="1"/>
      <c r="AB241" s="1"/>
      <c r="AC241" s="1"/>
      <c r="AD241" s="1"/>
      <c r="AE241" s="1"/>
      <c r="AF241" s="1"/>
      <c r="AG241" s="1"/>
      <c r="AH241" s="1"/>
    </row>
    <row r="242" ht="12.75" hidden="1" customHeight="1" outlineLevel="1">
      <c r="A242" s="17">
        <v>41082.0</v>
      </c>
      <c r="B242" s="1"/>
      <c r="C242" s="1" t="s">
        <v>435</v>
      </c>
      <c r="D242" s="74"/>
      <c r="E242" s="67"/>
      <c r="F242" s="75"/>
      <c r="G242" s="67"/>
      <c r="H242" s="68"/>
      <c r="I242" s="76"/>
      <c r="J242" s="67"/>
      <c r="K242" s="1"/>
      <c r="L242" s="77"/>
      <c r="M242" s="79"/>
      <c r="N242" s="1"/>
      <c r="O242" s="1"/>
      <c r="P242" s="1"/>
      <c r="Q242" s="1"/>
      <c r="R242" s="1"/>
      <c r="S242" s="1"/>
      <c r="T242" s="1"/>
      <c r="U242" s="1"/>
      <c r="V242" s="1"/>
      <c r="W242" s="1"/>
      <c r="X242" s="1"/>
      <c r="Y242" s="1"/>
      <c r="Z242" s="1"/>
      <c r="AA242" s="1"/>
      <c r="AB242" s="1"/>
      <c r="AC242" s="1"/>
      <c r="AD242" s="1"/>
      <c r="AE242" s="1"/>
      <c r="AF242" s="1"/>
      <c r="AG242" s="1"/>
      <c r="AH242" s="1"/>
    </row>
    <row r="243" ht="12.75" hidden="1" customHeight="1" outlineLevel="1">
      <c r="A243" s="17">
        <v>41085.0</v>
      </c>
      <c r="B243" s="1" t="s">
        <v>347</v>
      </c>
      <c r="C243" s="1" t="s">
        <v>441</v>
      </c>
      <c r="D243" s="1">
        <v>100.0</v>
      </c>
      <c r="E243" s="1">
        <v>7.95</v>
      </c>
      <c r="F243" s="75">
        <v>0.6463194444444444</v>
      </c>
      <c r="G243" s="1"/>
      <c r="H243" s="1">
        <v>1.0</v>
      </c>
      <c r="I243" s="76"/>
      <c r="J243" s="67">
        <f t="shared" ref="J243:J246" si="19">IF(B243="SLD",D243*E243,-D243*E243)-H243</f>
        <v>794</v>
      </c>
      <c r="K243" s="1"/>
      <c r="L243" s="70"/>
      <c r="M243" s="79"/>
      <c r="N243" s="1"/>
      <c r="O243" s="1"/>
      <c r="P243" s="1"/>
      <c r="Q243" s="1"/>
      <c r="R243" s="1"/>
      <c r="S243" s="1"/>
      <c r="T243" s="1"/>
      <c r="U243" s="1"/>
      <c r="V243" s="1"/>
      <c r="W243" s="1"/>
      <c r="X243" s="1"/>
      <c r="Y243" s="1"/>
      <c r="Z243" s="1"/>
      <c r="AA243" s="1"/>
      <c r="AB243" s="1"/>
      <c r="AC243" s="1"/>
      <c r="AD243" s="1"/>
      <c r="AE243" s="1"/>
      <c r="AF243" s="1"/>
      <c r="AG243" s="1"/>
      <c r="AH243" s="1"/>
    </row>
    <row r="244" ht="12.75" hidden="1" customHeight="1" outlineLevel="1">
      <c r="A244" s="17">
        <v>41085.0</v>
      </c>
      <c r="B244" s="1" t="s">
        <v>347</v>
      </c>
      <c r="C244" s="1" t="s">
        <v>441</v>
      </c>
      <c r="D244" s="1">
        <v>200.0</v>
      </c>
      <c r="E244" s="1">
        <v>7.95</v>
      </c>
      <c r="F244" s="75">
        <v>0.6463194444444444</v>
      </c>
      <c r="G244" s="1"/>
      <c r="H244" s="1">
        <v>0.4</v>
      </c>
      <c r="I244" s="76"/>
      <c r="J244" s="67">
        <f t="shared" si="19"/>
        <v>1589.6</v>
      </c>
      <c r="K244" s="1"/>
      <c r="L244" s="70"/>
      <c r="M244" s="79"/>
      <c r="N244" s="1"/>
      <c r="O244" s="1"/>
      <c r="P244" s="1"/>
      <c r="Q244" s="1"/>
      <c r="R244" s="1"/>
      <c r="S244" s="1"/>
      <c r="T244" s="1"/>
      <c r="U244" s="1"/>
      <c r="V244" s="1"/>
      <c r="W244" s="1"/>
      <c r="X244" s="1"/>
      <c r="Y244" s="1"/>
      <c r="Z244" s="1"/>
      <c r="AA244" s="1"/>
      <c r="AB244" s="1"/>
      <c r="AC244" s="1"/>
      <c r="AD244" s="1"/>
      <c r="AE244" s="1"/>
      <c r="AF244" s="1"/>
      <c r="AG244" s="1"/>
      <c r="AH244" s="1"/>
    </row>
    <row r="245" ht="12.75" hidden="1" customHeight="1" outlineLevel="1">
      <c r="A245" s="17">
        <v>41085.0</v>
      </c>
      <c r="B245" s="1" t="s">
        <v>343</v>
      </c>
      <c r="C245" s="1" t="s">
        <v>442</v>
      </c>
      <c r="D245" s="1">
        <v>20.0</v>
      </c>
      <c r="E245" s="1">
        <v>82.76</v>
      </c>
      <c r="F245" s="75">
        <v>0.8307523148148147</v>
      </c>
      <c r="G245" s="1"/>
      <c r="H245" s="1">
        <v>1.0</v>
      </c>
      <c r="I245" s="76"/>
      <c r="J245" s="67">
        <f t="shared" si="19"/>
        <v>-1656.2</v>
      </c>
      <c r="K245" s="1"/>
      <c r="L245" s="70"/>
      <c r="M245" s="79"/>
      <c r="N245" s="1"/>
      <c r="O245" s="1"/>
      <c r="P245" s="1"/>
      <c r="Q245" s="1"/>
      <c r="R245" s="1"/>
      <c r="S245" s="1"/>
      <c r="T245" s="1"/>
      <c r="U245" s="1"/>
      <c r="V245" s="1"/>
      <c r="W245" s="1"/>
      <c r="X245" s="1"/>
      <c r="Y245" s="1"/>
      <c r="Z245" s="1"/>
      <c r="AA245" s="1"/>
      <c r="AB245" s="1"/>
      <c r="AC245" s="1"/>
      <c r="AD245" s="1"/>
      <c r="AE245" s="1"/>
      <c r="AF245" s="1"/>
      <c r="AG245" s="1"/>
      <c r="AH245" s="1"/>
    </row>
    <row r="246" ht="12.75" hidden="1" customHeight="1" outlineLevel="1">
      <c r="A246" s="17">
        <v>41085.0</v>
      </c>
      <c r="B246" s="1" t="s">
        <v>343</v>
      </c>
      <c r="C246" s="1" t="s">
        <v>442</v>
      </c>
      <c r="D246" s="1">
        <v>55.0</v>
      </c>
      <c r="E246" s="1">
        <v>82.76</v>
      </c>
      <c r="F246" s="75">
        <v>0.8307523148148147</v>
      </c>
      <c r="G246" s="1"/>
      <c r="H246" s="1">
        <v>0.0</v>
      </c>
      <c r="I246" s="76"/>
      <c r="J246" s="67">
        <f t="shared" si="19"/>
        <v>-4551.8</v>
      </c>
      <c r="K246" s="1"/>
      <c r="L246" s="70"/>
      <c r="M246" s="79"/>
      <c r="N246" s="1"/>
      <c r="O246" s="1"/>
      <c r="P246" s="1"/>
      <c r="Q246" s="1"/>
      <c r="R246" s="1"/>
      <c r="S246" s="1"/>
      <c r="T246" s="1"/>
      <c r="U246" s="1"/>
      <c r="V246" s="1"/>
      <c r="W246" s="1"/>
      <c r="X246" s="1"/>
      <c r="Y246" s="1"/>
      <c r="Z246" s="1"/>
      <c r="AA246" s="1"/>
      <c r="AB246" s="1"/>
      <c r="AC246" s="1"/>
      <c r="AD246" s="1"/>
      <c r="AE246" s="1"/>
      <c r="AF246" s="1"/>
      <c r="AG246" s="1"/>
      <c r="AH246" s="1"/>
    </row>
    <row r="247" ht="12.75" hidden="1" customHeight="1" outlineLevel="1">
      <c r="A247" s="17">
        <v>41085.0</v>
      </c>
      <c r="B247" s="1"/>
      <c r="C247" s="1" t="s">
        <v>339</v>
      </c>
      <c r="D247" s="74"/>
      <c r="E247" s="67"/>
      <c r="F247" s="75"/>
      <c r="G247" s="67"/>
      <c r="H247" s="68"/>
      <c r="I247" s="76"/>
      <c r="J247" s="67"/>
      <c r="K247" s="7" t="s">
        <v>443</v>
      </c>
      <c r="L247" s="77"/>
      <c r="M247" s="79"/>
      <c r="N247" s="1"/>
      <c r="O247" s="1"/>
      <c r="P247" s="1"/>
      <c r="Q247" s="1"/>
      <c r="R247" s="1"/>
      <c r="S247" s="1"/>
      <c r="T247" s="1"/>
      <c r="U247" s="1"/>
      <c r="V247" s="1"/>
      <c r="W247" s="1"/>
      <c r="X247" s="1"/>
      <c r="Y247" s="1"/>
      <c r="Z247" s="1"/>
      <c r="AA247" s="1"/>
      <c r="AB247" s="1"/>
      <c r="AC247" s="1"/>
      <c r="AD247" s="1"/>
      <c r="AE247" s="1"/>
      <c r="AF247" s="1"/>
      <c r="AG247" s="1"/>
      <c r="AH247" s="1"/>
    </row>
    <row r="248" ht="12.75" hidden="1" customHeight="1" outlineLevel="1">
      <c r="A248" s="17">
        <v>41085.0</v>
      </c>
      <c r="B248" s="1"/>
      <c r="C248" s="1" t="s">
        <v>429</v>
      </c>
      <c r="D248" s="74"/>
      <c r="E248" s="67"/>
      <c r="F248" s="75"/>
      <c r="G248" s="67"/>
      <c r="H248" s="68"/>
      <c r="I248" s="76"/>
      <c r="J248" s="67"/>
      <c r="K248" s="1" t="s">
        <v>430</v>
      </c>
      <c r="L248" s="77"/>
      <c r="M248" s="79"/>
      <c r="N248" s="1"/>
      <c r="O248" s="1"/>
      <c r="P248" s="1"/>
      <c r="Q248" s="1"/>
      <c r="R248" s="1"/>
      <c r="S248" s="1"/>
      <c r="T248" s="1"/>
      <c r="U248" s="1"/>
      <c r="V248" s="1"/>
      <c r="W248" s="1"/>
      <c r="X248" s="1"/>
      <c r="Y248" s="1"/>
      <c r="Z248" s="1"/>
      <c r="AA248" s="1"/>
      <c r="AB248" s="1"/>
      <c r="AC248" s="1"/>
      <c r="AD248" s="1"/>
      <c r="AE248" s="1"/>
      <c r="AF248" s="1"/>
      <c r="AG248" s="1"/>
      <c r="AH248" s="1"/>
    </row>
    <row r="249" ht="12.75" hidden="1" customHeight="1" outlineLevel="1">
      <c r="A249" s="17">
        <v>41085.0</v>
      </c>
      <c r="B249" s="1"/>
      <c r="C249" s="1" t="s">
        <v>431</v>
      </c>
      <c r="D249" s="74"/>
      <c r="E249" s="67"/>
      <c r="F249" s="75"/>
      <c r="G249" s="67"/>
      <c r="H249" s="68"/>
      <c r="I249" s="76"/>
      <c r="J249" s="67"/>
      <c r="K249" s="1" t="s">
        <v>432</v>
      </c>
      <c r="L249" s="77"/>
      <c r="M249" s="79"/>
      <c r="N249" s="1"/>
      <c r="O249" s="1"/>
      <c r="P249" s="1"/>
      <c r="Q249" s="1"/>
      <c r="R249" s="1"/>
      <c r="S249" s="1"/>
      <c r="T249" s="1"/>
      <c r="U249" s="1"/>
      <c r="V249" s="1"/>
      <c r="W249" s="1"/>
      <c r="X249" s="1"/>
      <c r="Y249" s="1"/>
      <c r="Z249" s="1"/>
      <c r="AA249" s="1"/>
      <c r="AB249" s="1"/>
      <c r="AC249" s="1"/>
      <c r="AD249" s="1"/>
      <c r="AE249" s="1"/>
      <c r="AF249" s="1"/>
      <c r="AG249" s="1"/>
      <c r="AH249" s="1"/>
    </row>
    <row r="250" ht="12.75" hidden="1" customHeight="1" outlineLevel="1">
      <c r="A250" s="17">
        <v>41085.0</v>
      </c>
      <c r="B250" s="1"/>
      <c r="C250" s="1" t="s">
        <v>433</v>
      </c>
      <c r="D250" s="74"/>
      <c r="E250" s="67"/>
      <c r="F250" s="75"/>
      <c r="G250" s="67"/>
      <c r="H250" s="68"/>
      <c r="I250" s="76"/>
      <c r="J250" s="67"/>
      <c r="K250" s="1" t="s">
        <v>434</v>
      </c>
      <c r="L250" s="77"/>
      <c r="M250" s="79"/>
      <c r="N250" s="1"/>
      <c r="O250" s="1"/>
      <c r="P250" s="1"/>
      <c r="Q250" s="1"/>
      <c r="R250" s="1"/>
      <c r="S250" s="1"/>
      <c r="T250" s="1"/>
      <c r="U250" s="1"/>
      <c r="V250" s="1"/>
      <c r="W250" s="1"/>
      <c r="X250" s="1"/>
      <c r="Y250" s="1"/>
      <c r="Z250" s="1"/>
      <c r="AA250" s="1"/>
      <c r="AB250" s="1"/>
      <c r="AC250" s="1"/>
      <c r="AD250" s="1"/>
      <c r="AE250" s="1"/>
      <c r="AF250" s="1"/>
      <c r="AG250" s="1"/>
      <c r="AH250" s="1"/>
    </row>
    <row r="251" ht="12.75" hidden="1" customHeight="1" outlineLevel="1">
      <c r="A251" s="17">
        <v>41085.0</v>
      </c>
      <c r="B251" s="1"/>
      <c r="C251" s="1" t="s">
        <v>435</v>
      </c>
      <c r="D251" s="74"/>
      <c r="E251" s="67"/>
      <c r="F251" s="75"/>
      <c r="G251" s="67"/>
      <c r="H251" s="68"/>
      <c r="I251" s="76"/>
      <c r="J251" s="67"/>
      <c r="K251" s="1"/>
      <c r="L251" s="77"/>
      <c r="M251" s="79"/>
      <c r="N251" s="1"/>
      <c r="O251" s="1"/>
      <c r="P251" s="1"/>
      <c r="Q251" s="1"/>
      <c r="R251" s="1"/>
      <c r="S251" s="1"/>
      <c r="T251" s="1"/>
      <c r="U251" s="1"/>
      <c r="V251" s="1"/>
      <c r="W251" s="1"/>
      <c r="X251" s="1"/>
      <c r="Y251" s="1"/>
      <c r="Z251" s="1"/>
      <c r="AA251" s="1"/>
      <c r="AB251" s="1"/>
      <c r="AC251" s="1"/>
      <c r="AD251" s="1"/>
      <c r="AE251" s="1"/>
      <c r="AF251" s="1"/>
      <c r="AG251" s="1"/>
      <c r="AH251" s="1"/>
    </row>
    <row r="252" ht="12.75" hidden="1" customHeight="1" outlineLevel="1">
      <c r="A252" s="17">
        <v>41086.0</v>
      </c>
      <c r="B252" s="1" t="s">
        <v>347</v>
      </c>
      <c r="C252" s="1" t="s">
        <v>360</v>
      </c>
      <c r="D252" s="74">
        <v>50.0</v>
      </c>
      <c r="E252" s="67">
        <v>23.55</v>
      </c>
      <c r="F252" s="75">
        <v>0.6192129629629629</v>
      </c>
      <c r="G252" s="67"/>
      <c r="H252" s="68">
        <v>1.0</v>
      </c>
      <c r="I252" s="76"/>
      <c r="J252" s="67">
        <f t="shared" ref="J252:J255" si="20">IF(B252="SLD",D252*E252,-D252*E252)-H252</f>
        <v>1176.5</v>
      </c>
      <c r="K252" s="1"/>
      <c r="L252" s="70"/>
      <c r="M252" s="79"/>
      <c r="N252" s="1"/>
      <c r="O252" s="1"/>
      <c r="P252" s="1"/>
      <c r="Q252" s="1"/>
      <c r="R252" s="1"/>
      <c r="S252" s="1"/>
      <c r="T252" s="1"/>
      <c r="U252" s="1"/>
      <c r="V252" s="1"/>
      <c r="W252" s="1"/>
      <c r="X252" s="1"/>
      <c r="Y252" s="1"/>
      <c r="Z252" s="1"/>
      <c r="AA252" s="1"/>
      <c r="AB252" s="1"/>
      <c r="AC252" s="1"/>
      <c r="AD252" s="1"/>
      <c r="AE252" s="1"/>
      <c r="AF252" s="1"/>
      <c r="AG252" s="1"/>
      <c r="AH252" s="1"/>
    </row>
    <row r="253" ht="12.75" hidden="1" customHeight="1" outlineLevel="1">
      <c r="A253" s="17">
        <v>41086.0</v>
      </c>
      <c r="B253" s="1" t="s">
        <v>347</v>
      </c>
      <c r="C253" s="1" t="s">
        <v>360</v>
      </c>
      <c r="D253" s="74">
        <v>100.0</v>
      </c>
      <c r="E253" s="67">
        <v>23.55</v>
      </c>
      <c r="F253" s="75">
        <v>0.6192129629629629</v>
      </c>
      <c r="G253" s="67"/>
      <c r="H253" s="68">
        <v>0.0</v>
      </c>
      <c r="I253" s="76"/>
      <c r="J253" s="67">
        <f t="shared" si="20"/>
        <v>2355</v>
      </c>
      <c r="K253" s="1"/>
      <c r="L253" s="70"/>
      <c r="M253" s="79"/>
      <c r="N253" s="1"/>
      <c r="O253" s="1"/>
      <c r="P253" s="1"/>
      <c r="Q253" s="1"/>
      <c r="R253" s="1"/>
      <c r="S253" s="1"/>
      <c r="T253" s="1"/>
      <c r="U253" s="1"/>
      <c r="V253" s="1"/>
      <c r="W253" s="1"/>
      <c r="X253" s="1"/>
      <c r="Y253" s="1"/>
      <c r="Z253" s="1"/>
      <c r="AA253" s="1"/>
      <c r="AB253" s="1"/>
      <c r="AC253" s="1"/>
      <c r="AD253" s="1"/>
      <c r="AE253" s="1"/>
      <c r="AF253" s="1"/>
      <c r="AG253" s="1"/>
      <c r="AH253" s="1"/>
    </row>
    <row r="254" ht="12.75" hidden="1" customHeight="1" outlineLevel="1">
      <c r="A254" s="17">
        <v>41086.0</v>
      </c>
      <c r="B254" s="1" t="s">
        <v>347</v>
      </c>
      <c r="C254" s="1" t="s">
        <v>360</v>
      </c>
      <c r="D254" s="74">
        <v>100.0</v>
      </c>
      <c r="E254" s="67">
        <v>23.54</v>
      </c>
      <c r="F254" s="75">
        <v>0.6192129629629629</v>
      </c>
      <c r="G254" s="67"/>
      <c r="H254" s="68">
        <v>0.15</v>
      </c>
      <c r="I254" s="76"/>
      <c r="J254" s="67">
        <f t="shared" si="20"/>
        <v>2353.85</v>
      </c>
      <c r="K254" s="1" t="s">
        <v>444</v>
      </c>
      <c r="L254" s="70"/>
      <c r="M254" s="79"/>
      <c r="N254" s="1"/>
      <c r="O254" s="1"/>
      <c r="P254" s="1"/>
      <c r="Q254" s="1"/>
      <c r="R254" s="1"/>
      <c r="S254" s="1"/>
      <c r="T254" s="1"/>
      <c r="U254" s="1"/>
      <c r="V254" s="1"/>
      <c r="W254" s="1"/>
      <c r="X254" s="1"/>
      <c r="Y254" s="1"/>
      <c r="Z254" s="1"/>
      <c r="AA254" s="1"/>
      <c r="AB254" s="1"/>
      <c r="AC254" s="1"/>
      <c r="AD254" s="1"/>
      <c r="AE254" s="1"/>
      <c r="AF254" s="1"/>
      <c r="AG254" s="1"/>
      <c r="AH254" s="1"/>
    </row>
    <row r="255" ht="12.75" hidden="1" customHeight="1" outlineLevel="1">
      <c r="A255" s="17">
        <v>41086.0</v>
      </c>
      <c r="B255" s="1" t="s">
        <v>347</v>
      </c>
      <c r="C255" s="1" t="s">
        <v>385</v>
      </c>
      <c r="D255" s="74">
        <v>1000.0</v>
      </c>
      <c r="E255" s="67">
        <v>5.76</v>
      </c>
      <c r="F255" s="75">
        <v>0.8142476851851851</v>
      </c>
      <c r="G255" s="67"/>
      <c r="H255" s="68">
        <v>5.0</v>
      </c>
      <c r="I255" s="76"/>
      <c r="J255" s="67">
        <f t="shared" si="20"/>
        <v>5755</v>
      </c>
      <c r="K255" s="1" t="s">
        <v>395</v>
      </c>
      <c r="L255" s="70"/>
      <c r="M255" s="79"/>
      <c r="N255" s="1"/>
      <c r="O255" s="1"/>
      <c r="P255" s="1"/>
      <c r="Q255" s="1"/>
      <c r="R255" s="1"/>
      <c r="S255" s="1"/>
      <c r="T255" s="1"/>
      <c r="U255" s="1"/>
      <c r="V255" s="1"/>
      <c r="W255" s="1"/>
      <c r="X255" s="1"/>
      <c r="Y255" s="1"/>
      <c r="Z255" s="1"/>
      <c r="AA255" s="1"/>
      <c r="AB255" s="1"/>
      <c r="AC255" s="1"/>
      <c r="AD255" s="1"/>
      <c r="AE255" s="1"/>
      <c r="AF255" s="1"/>
      <c r="AG255" s="1"/>
      <c r="AH255" s="1"/>
    </row>
    <row r="256" ht="12.75" hidden="1" customHeight="1" outlineLevel="1">
      <c r="A256" s="17">
        <v>41086.0</v>
      </c>
      <c r="B256" s="1"/>
      <c r="C256" s="1" t="s">
        <v>339</v>
      </c>
      <c r="D256" s="74"/>
      <c r="E256" s="67"/>
      <c r="F256" s="75"/>
      <c r="G256" s="67"/>
      <c r="H256" s="68"/>
      <c r="I256" s="76"/>
      <c r="J256" s="67"/>
      <c r="K256" s="7" t="s">
        <v>445</v>
      </c>
      <c r="L256" s="77"/>
      <c r="M256" s="79"/>
      <c r="N256" s="1"/>
      <c r="O256" s="1"/>
      <c r="P256" s="1"/>
      <c r="Q256" s="1"/>
      <c r="R256" s="1"/>
      <c r="S256" s="1"/>
      <c r="T256" s="1"/>
      <c r="U256" s="1"/>
      <c r="V256" s="1"/>
      <c r="W256" s="1"/>
      <c r="X256" s="1"/>
      <c r="Y256" s="1"/>
      <c r="Z256" s="1"/>
      <c r="AA256" s="1"/>
      <c r="AB256" s="1"/>
      <c r="AC256" s="1"/>
      <c r="AD256" s="1"/>
      <c r="AE256" s="1"/>
      <c r="AF256" s="1"/>
      <c r="AG256" s="1"/>
      <c r="AH256" s="1"/>
    </row>
    <row r="257" ht="12.75" hidden="1" customHeight="1" outlineLevel="1">
      <c r="A257" s="17">
        <v>41086.0</v>
      </c>
      <c r="B257" s="1"/>
      <c r="C257" s="1" t="s">
        <v>429</v>
      </c>
      <c r="D257" s="74"/>
      <c r="E257" s="67"/>
      <c r="F257" s="75"/>
      <c r="G257" s="67"/>
      <c r="H257" s="68"/>
      <c r="I257" s="76"/>
      <c r="J257" s="67"/>
      <c r="K257" s="1" t="s">
        <v>446</v>
      </c>
      <c r="L257" s="77"/>
      <c r="M257" s="79"/>
      <c r="N257" s="1"/>
      <c r="O257" s="1"/>
      <c r="P257" s="1"/>
      <c r="Q257" s="1"/>
      <c r="R257" s="1"/>
      <c r="S257" s="1"/>
      <c r="T257" s="1"/>
      <c r="U257" s="1"/>
      <c r="V257" s="1"/>
      <c r="W257" s="1"/>
      <c r="X257" s="1"/>
      <c r="Y257" s="1"/>
      <c r="Z257" s="1"/>
      <c r="AA257" s="1"/>
      <c r="AB257" s="1"/>
      <c r="AC257" s="1"/>
      <c r="AD257" s="1"/>
      <c r="AE257" s="1"/>
      <c r="AF257" s="1"/>
      <c r="AG257" s="1"/>
      <c r="AH257" s="1"/>
    </row>
    <row r="258" ht="12.75" hidden="1" customHeight="1" outlineLevel="1">
      <c r="A258" s="17">
        <v>41086.0</v>
      </c>
      <c r="B258" s="1"/>
      <c r="C258" s="1" t="s">
        <v>431</v>
      </c>
      <c r="D258" s="74"/>
      <c r="E258" s="67"/>
      <c r="F258" s="75"/>
      <c r="G258" s="67"/>
      <c r="H258" s="68"/>
      <c r="I258" s="76"/>
      <c r="J258" s="67"/>
      <c r="K258" s="1" t="s">
        <v>432</v>
      </c>
      <c r="L258" s="77"/>
      <c r="M258" s="79"/>
      <c r="N258" s="1"/>
      <c r="O258" s="1"/>
      <c r="P258" s="1"/>
      <c r="Q258" s="1"/>
      <c r="R258" s="1"/>
      <c r="S258" s="1"/>
      <c r="T258" s="1"/>
      <c r="U258" s="1"/>
      <c r="V258" s="1"/>
      <c r="W258" s="1"/>
      <c r="X258" s="1"/>
      <c r="Y258" s="1"/>
      <c r="Z258" s="1"/>
      <c r="AA258" s="1"/>
      <c r="AB258" s="1"/>
      <c r="AC258" s="1"/>
      <c r="AD258" s="1"/>
      <c r="AE258" s="1"/>
      <c r="AF258" s="1"/>
      <c r="AG258" s="1"/>
      <c r="AH258" s="1"/>
    </row>
    <row r="259" ht="12.75" hidden="1" customHeight="1" outlineLevel="1">
      <c r="A259" s="17">
        <v>41086.0</v>
      </c>
      <c r="B259" s="1"/>
      <c r="C259" s="1" t="s">
        <v>433</v>
      </c>
      <c r="D259" s="74"/>
      <c r="E259" s="67"/>
      <c r="F259" s="75"/>
      <c r="G259" s="67"/>
      <c r="H259" s="68"/>
      <c r="I259" s="76"/>
      <c r="J259" s="67"/>
      <c r="K259" s="1" t="s">
        <v>434</v>
      </c>
      <c r="L259" s="77"/>
      <c r="M259" s="79"/>
      <c r="N259" s="1"/>
      <c r="O259" s="1"/>
      <c r="P259" s="1"/>
      <c r="Q259" s="1"/>
      <c r="R259" s="1"/>
      <c r="S259" s="1"/>
      <c r="T259" s="1"/>
      <c r="U259" s="1"/>
      <c r="V259" s="1"/>
      <c r="W259" s="1"/>
      <c r="X259" s="1"/>
      <c r="Y259" s="1"/>
      <c r="Z259" s="1"/>
      <c r="AA259" s="1"/>
      <c r="AB259" s="1"/>
      <c r="AC259" s="1"/>
      <c r="AD259" s="1"/>
      <c r="AE259" s="1"/>
      <c r="AF259" s="1"/>
      <c r="AG259" s="1"/>
      <c r="AH259" s="1"/>
    </row>
    <row r="260" ht="12.75" hidden="1" customHeight="1" outlineLevel="1">
      <c r="A260" s="17">
        <v>41086.0</v>
      </c>
      <c r="B260" s="1"/>
      <c r="C260" s="1" t="s">
        <v>435</v>
      </c>
      <c r="D260" s="74"/>
      <c r="E260" s="67"/>
      <c r="F260" s="75"/>
      <c r="G260" s="67"/>
      <c r="H260" s="68"/>
      <c r="I260" s="76"/>
      <c r="J260" s="67"/>
      <c r="K260" s="1"/>
      <c r="L260" s="77"/>
      <c r="M260" s="79"/>
      <c r="N260" s="1"/>
      <c r="O260" s="1"/>
      <c r="P260" s="1"/>
      <c r="Q260" s="1"/>
      <c r="R260" s="1"/>
      <c r="S260" s="1"/>
      <c r="T260" s="1"/>
      <c r="U260" s="1"/>
      <c r="V260" s="1"/>
      <c r="W260" s="1"/>
      <c r="X260" s="1"/>
      <c r="Y260" s="1"/>
      <c r="Z260" s="1"/>
      <c r="AA260" s="1"/>
      <c r="AB260" s="1"/>
      <c r="AC260" s="1"/>
      <c r="AD260" s="1"/>
      <c r="AE260" s="1"/>
      <c r="AF260" s="1"/>
      <c r="AG260" s="1"/>
      <c r="AH260" s="1"/>
    </row>
    <row r="261" ht="12.75" hidden="1" customHeight="1" outlineLevel="1">
      <c r="A261" s="17">
        <v>41087.0</v>
      </c>
      <c r="B261" s="1" t="s">
        <v>343</v>
      </c>
      <c r="C261" s="1" t="s">
        <v>354</v>
      </c>
      <c r="D261" s="74">
        <v>33.0</v>
      </c>
      <c r="E261" s="67">
        <v>71.94</v>
      </c>
      <c r="F261" s="75">
        <v>0.5829513888888889</v>
      </c>
      <c r="G261" s="67"/>
      <c r="H261" s="68">
        <v>1.0</v>
      </c>
      <c r="I261" s="76"/>
      <c r="J261" s="67">
        <f t="shared" ref="J261:J266" si="21">IF(B261="SLD",D261*E261,-D261*E261)-H261</f>
        <v>-2375.02</v>
      </c>
      <c r="K261" s="1"/>
      <c r="L261" s="70"/>
      <c r="M261" s="79"/>
      <c r="N261" s="1"/>
      <c r="O261" s="1"/>
      <c r="P261" s="1"/>
      <c r="Q261" s="1"/>
      <c r="R261" s="1"/>
      <c r="S261" s="1"/>
      <c r="T261" s="1"/>
      <c r="U261" s="1"/>
      <c r="V261" s="1"/>
      <c r="W261" s="1"/>
      <c r="X261" s="1"/>
      <c r="Y261" s="1"/>
      <c r="Z261" s="1"/>
      <c r="AA261" s="1"/>
      <c r="AB261" s="1"/>
      <c r="AC261" s="1"/>
      <c r="AD261" s="1"/>
      <c r="AE261" s="1"/>
      <c r="AF261" s="1"/>
      <c r="AG261" s="1"/>
      <c r="AH261" s="1"/>
    </row>
    <row r="262" ht="12.75" hidden="1" customHeight="1" outlineLevel="1">
      <c r="A262" s="17">
        <v>41087.0</v>
      </c>
      <c r="B262" s="1" t="s">
        <v>343</v>
      </c>
      <c r="C262" s="1" t="s">
        <v>354</v>
      </c>
      <c r="D262" s="74">
        <v>267.0</v>
      </c>
      <c r="E262" s="67">
        <v>71.94</v>
      </c>
      <c r="F262" s="75">
        <v>0.5829513888888889</v>
      </c>
      <c r="G262" s="67"/>
      <c r="H262" s="68">
        <v>0.5</v>
      </c>
      <c r="I262" s="76"/>
      <c r="J262" s="67">
        <f t="shared" si="21"/>
        <v>-19208.48</v>
      </c>
      <c r="K262" s="7" t="s">
        <v>395</v>
      </c>
      <c r="L262" s="70"/>
      <c r="M262" s="79"/>
      <c r="N262" s="1"/>
      <c r="O262" s="1"/>
      <c r="P262" s="1"/>
      <c r="Q262" s="1"/>
      <c r="R262" s="1"/>
      <c r="S262" s="1"/>
      <c r="T262" s="1"/>
      <c r="U262" s="1"/>
      <c r="V262" s="1"/>
      <c r="W262" s="1"/>
      <c r="X262" s="1"/>
      <c r="Y262" s="1"/>
      <c r="Z262" s="1"/>
      <c r="AA262" s="1"/>
      <c r="AB262" s="1"/>
      <c r="AC262" s="1"/>
      <c r="AD262" s="1"/>
      <c r="AE262" s="1"/>
      <c r="AF262" s="1"/>
      <c r="AG262" s="1"/>
      <c r="AH262" s="1"/>
    </row>
    <row r="263" ht="12.75" hidden="1" customHeight="1" outlineLevel="1">
      <c r="A263" s="17">
        <v>41087.0</v>
      </c>
      <c r="B263" s="1" t="s">
        <v>347</v>
      </c>
      <c r="C263" s="1" t="s">
        <v>399</v>
      </c>
      <c r="D263" s="74">
        <v>200.0</v>
      </c>
      <c r="E263" s="67">
        <v>10.16</v>
      </c>
      <c r="F263" s="75">
        <v>0.8209027777777779</v>
      </c>
      <c r="G263" s="67"/>
      <c r="H263" s="68">
        <v>1.0</v>
      </c>
      <c r="I263" s="76"/>
      <c r="J263" s="67">
        <f t="shared" si="21"/>
        <v>2031</v>
      </c>
      <c r="K263" s="1"/>
      <c r="L263" s="70"/>
      <c r="M263" s="79"/>
      <c r="N263" s="1"/>
      <c r="O263" s="1"/>
      <c r="P263" s="1"/>
      <c r="Q263" s="1"/>
      <c r="R263" s="1"/>
      <c r="S263" s="1"/>
      <c r="T263" s="1"/>
      <c r="U263" s="1"/>
      <c r="V263" s="1"/>
      <c r="W263" s="1"/>
      <c r="X263" s="1"/>
      <c r="Y263" s="1"/>
      <c r="Z263" s="1"/>
      <c r="AA263" s="1"/>
      <c r="AB263" s="1"/>
      <c r="AC263" s="1"/>
      <c r="AD263" s="1"/>
      <c r="AE263" s="1"/>
      <c r="AF263" s="1"/>
      <c r="AG263" s="1"/>
      <c r="AH263" s="1"/>
    </row>
    <row r="264" ht="12.75" hidden="1" customHeight="1" outlineLevel="1">
      <c r="A264" s="17">
        <v>41087.0</v>
      </c>
      <c r="B264" s="1" t="s">
        <v>347</v>
      </c>
      <c r="C264" s="1" t="s">
        <v>399</v>
      </c>
      <c r="D264" s="74">
        <v>100.0</v>
      </c>
      <c r="E264" s="67">
        <v>10.16</v>
      </c>
      <c r="F264" s="75">
        <v>0.8209027777777779</v>
      </c>
      <c r="G264" s="67"/>
      <c r="H264" s="68">
        <v>0.5</v>
      </c>
      <c r="I264" s="76"/>
      <c r="J264" s="67">
        <f t="shared" si="21"/>
        <v>1015.5</v>
      </c>
      <c r="K264" s="1"/>
      <c r="L264" s="70"/>
      <c r="M264" s="79"/>
      <c r="N264" s="1"/>
      <c r="O264" s="1"/>
      <c r="P264" s="1"/>
      <c r="Q264" s="1"/>
      <c r="R264" s="1"/>
      <c r="S264" s="1"/>
      <c r="T264" s="1"/>
      <c r="U264" s="1"/>
      <c r="V264" s="1"/>
      <c r="W264" s="1"/>
      <c r="X264" s="1"/>
      <c r="Y264" s="1"/>
      <c r="Z264" s="1"/>
      <c r="AA264" s="1"/>
      <c r="AB264" s="1"/>
      <c r="AC264" s="1"/>
      <c r="AD264" s="1"/>
      <c r="AE264" s="1"/>
      <c r="AF264" s="1"/>
      <c r="AG264" s="1"/>
      <c r="AH264" s="1"/>
    </row>
    <row r="265" ht="12.75" hidden="1" customHeight="1" outlineLevel="1">
      <c r="A265" s="17">
        <v>41087.0</v>
      </c>
      <c r="B265" s="1" t="s">
        <v>347</v>
      </c>
      <c r="C265" s="1" t="s">
        <v>399</v>
      </c>
      <c r="D265" s="74">
        <v>100.0</v>
      </c>
      <c r="E265" s="67">
        <v>10.16</v>
      </c>
      <c r="F265" s="75">
        <v>0.8209027777777779</v>
      </c>
      <c r="G265" s="67"/>
      <c r="H265" s="68">
        <v>0.5</v>
      </c>
      <c r="I265" s="76"/>
      <c r="J265" s="67">
        <f t="shared" si="21"/>
        <v>1015.5</v>
      </c>
      <c r="K265" s="1"/>
      <c r="L265" s="70"/>
      <c r="M265" s="79"/>
      <c r="N265" s="1"/>
      <c r="O265" s="1"/>
      <c r="P265" s="1"/>
      <c r="Q265" s="1"/>
      <c r="R265" s="1"/>
      <c r="S265" s="1"/>
      <c r="T265" s="1"/>
      <c r="U265" s="1"/>
      <c r="V265" s="1"/>
      <c r="W265" s="1"/>
      <c r="X265" s="1"/>
      <c r="Y265" s="1"/>
      <c r="Z265" s="1"/>
      <c r="AA265" s="1"/>
      <c r="AB265" s="1"/>
      <c r="AC265" s="1"/>
      <c r="AD265" s="1"/>
      <c r="AE265" s="1"/>
      <c r="AF265" s="1"/>
      <c r="AG265" s="1"/>
      <c r="AH265" s="1"/>
    </row>
    <row r="266" ht="12.75" hidden="1" customHeight="1" outlineLevel="1">
      <c r="A266" s="17">
        <v>41087.0</v>
      </c>
      <c r="B266" s="1" t="s">
        <v>347</v>
      </c>
      <c r="C266" s="1" t="s">
        <v>399</v>
      </c>
      <c r="D266" s="74">
        <v>400.0</v>
      </c>
      <c r="E266" s="67">
        <v>10.16</v>
      </c>
      <c r="F266" s="75">
        <v>0.8209027777777779</v>
      </c>
      <c r="G266" s="67"/>
      <c r="H266" s="68">
        <v>2.0</v>
      </c>
      <c r="I266" s="76"/>
      <c r="J266" s="67">
        <f t="shared" si="21"/>
        <v>4062</v>
      </c>
      <c r="K266" s="7" t="s">
        <v>395</v>
      </c>
      <c r="L266" s="70"/>
      <c r="M266" s="79"/>
      <c r="N266" s="1"/>
      <c r="O266" s="1"/>
      <c r="P266" s="1"/>
      <c r="Q266" s="1"/>
      <c r="R266" s="1"/>
      <c r="S266" s="1"/>
      <c r="T266" s="1"/>
      <c r="U266" s="1"/>
      <c r="V266" s="1"/>
      <c r="W266" s="1"/>
      <c r="X266" s="1"/>
      <c r="Y266" s="1"/>
      <c r="Z266" s="1"/>
      <c r="AA266" s="1"/>
      <c r="AB266" s="1"/>
      <c r="AC266" s="1"/>
      <c r="AD266" s="1"/>
      <c r="AE266" s="1"/>
      <c r="AF266" s="1"/>
      <c r="AG266" s="1"/>
      <c r="AH266" s="1"/>
    </row>
    <row r="267" ht="12.75" hidden="1" customHeight="1" outlineLevel="1">
      <c r="A267" s="17">
        <v>41087.0</v>
      </c>
      <c r="B267" s="1"/>
      <c r="C267" s="1" t="s">
        <v>339</v>
      </c>
      <c r="D267" s="74"/>
      <c r="E267" s="67"/>
      <c r="F267" s="75"/>
      <c r="G267" s="67"/>
      <c r="H267" s="68"/>
      <c r="I267" s="76"/>
      <c r="J267" s="67"/>
      <c r="K267" s="7" t="s">
        <v>452</v>
      </c>
      <c r="L267" s="77"/>
      <c r="M267" s="79"/>
      <c r="N267" s="1"/>
      <c r="O267" s="1"/>
      <c r="P267" s="1"/>
      <c r="Q267" s="1"/>
      <c r="R267" s="1"/>
      <c r="S267" s="1"/>
      <c r="T267" s="1"/>
      <c r="U267" s="1"/>
      <c r="V267" s="1"/>
      <c r="W267" s="1"/>
      <c r="X267" s="1"/>
      <c r="Y267" s="1"/>
      <c r="Z267" s="1"/>
      <c r="AA267" s="1"/>
      <c r="AB267" s="1"/>
      <c r="AC267" s="1"/>
      <c r="AD267" s="1"/>
      <c r="AE267" s="1"/>
      <c r="AF267" s="1"/>
      <c r="AG267" s="1"/>
      <c r="AH267" s="1"/>
    </row>
    <row r="268" ht="12.75" hidden="1" customHeight="1" outlineLevel="1">
      <c r="A268" s="17">
        <v>41087.0</v>
      </c>
      <c r="B268" s="1"/>
      <c r="C268" s="1" t="s">
        <v>429</v>
      </c>
      <c r="D268" s="74"/>
      <c r="E268" s="67"/>
      <c r="F268" s="75"/>
      <c r="G268" s="67"/>
      <c r="H268" s="68"/>
      <c r="I268" s="76"/>
      <c r="J268" s="67"/>
      <c r="K268" s="1" t="s">
        <v>446</v>
      </c>
      <c r="L268" s="77"/>
      <c r="M268" s="79"/>
      <c r="N268" s="1"/>
      <c r="O268" s="1"/>
      <c r="P268" s="1"/>
      <c r="Q268" s="1"/>
      <c r="R268" s="1"/>
      <c r="S268" s="1"/>
      <c r="T268" s="1"/>
      <c r="U268" s="1"/>
      <c r="V268" s="1"/>
      <c r="W268" s="1"/>
      <c r="X268" s="1"/>
      <c r="Y268" s="1"/>
      <c r="Z268" s="1"/>
      <c r="AA268" s="1"/>
      <c r="AB268" s="1"/>
      <c r="AC268" s="1"/>
      <c r="AD268" s="1"/>
      <c r="AE268" s="1"/>
      <c r="AF268" s="1"/>
      <c r="AG268" s="1"/>
      <c r="AH268" s="1"/>
    </row>
    <row r="269" ht="12.75" hidden="1" customHeight="1" outlineLevel="1">
      <c r="A269" s="17">
        <v>41087.0</v>
      </c>
      <c r="B269" s="1"/>
      <c r="C269" s="1" t="s">
        <v>431</v>
      </c>
      <c r="D269" s="74"/>
      <c r="E269" s="67"/>
      <c r="F269" s="75"/>
      <c r="G269" s="67"/>
      <c r="H269" s="68"/>
      <c r="I269" s="76"/>
      <c r="J269" s="67"/>
      <c r="K269" s="1" t="s">
        <v>432</v>
      </c>
      <c r="L269" s="77"/>
      <c r="M269" s="79"/>
      <c r="N269" s="1"/>
      <c r="O269" s="1"/>
      <c r="P269" s="1"/>
      <c r="Q269" s="1"/>
      <c r="R269" s="1"/>
      <c r="S269" s="1"/>
      <c r="T269" s="1"/>
      <c r="U269" s="1"/>
      <c r="V269" s="1"/>
      <c r="W269" s="1"/>
      <c r="X269" s="1"/>
      <c r="Y269" s="1"/>
      <c r="Z269" s="1"/>
      <c r="AA269" s="1"/>
      <c r="AB269" s="1"/>
      <c r="AC269" s="1"/>
      <c r="AD269" s="1"/>
      <c r="AE269" s="1"/>
      <c r="AF269" s="1"/>
      <c r="AG269" s="1"/>
      <c r="AH269" s="1"/>
    </row>
    <row r="270" ht="12.75" hidden="1" customHeight="1" outlineLevel="1">
      <c r="A270" s="17">
        <v>41087.0</v>
      </c>
      <c r="B270" s="1"/>
      <c r="C270" s="1" t="s">
        <v>433</v>
      </c>
      <c r="D270" s="74"/>
      <c r="E270" s="67"/>
      <c r="F270" s="75"/>
      <c r="G270" s="67"/>
      <c r="H270" s="68"/>
      <c r="I270" s="76"/>
      <c r="J270" s="67"/>
      <c r="K270" s="1" t="s">
        <v>434</v>
      </c>
      <c r="L270" s="77"/>
      <c r="M270" s="79"/>
      <c r="N270" s="1"/>
      <c r="O270" s="1"/>
      <c r="P270" s="1"/>
      <c r="Q270" s="1"/>
      <c r="R270" s="1"/>
      <c r="S270" s="1"/>
      <c r="T270" s="1"/>
      <c r="U270" s="1"/>
      <c r="V270" s="1"/>
      <c r="W270" s="1"/>
      <c r="X270" s="1"/>
      <c r="Y270" s="1"/>
      <c r="Z270" s="1"/>
      <c r="AA270" s="1"/>
      <c r="AB270" s="1"/>
      <c r="AC270" s="1"/>
      <c r="AD270" s="1"/>
      <c r="AE270" s="1"/>
      <c r="AF270" s="1"/>
      <c r="AG270" s="1"/>
      <c r="AH270" s="1"/>
    </row>
    <row r="271" ht="12.75" hidden="1" customHeight="1" outlineLevel="1">
      <c r="A271" s="17">
        <v>41087.0</v>
      </c>
      <c r="B271" s="1"/>
      <c r="C271" s="1" t="s">
        <v>435</v>
      </c>
      <c r="D271" s="74"/>
      <c r="E271" s="67"/>
      <c r="F271" s="75"/>
      <c r="G271" s="67"/>
      <c r="H271" s="68"/>
      <c r="I271" s="76"/>
      <c r="J271" s="67"/>
      <c r="K271" s="1"/>
      <c r="L271" s="77"/>
      <c r="M271" s="79"/>
      <c r="N271" s="1"/>
      <c r="O271" s="1"/>
      <c r="P271" s="1"/>
      <c r="Q271" s="1"/>
      <c r="R271" s="1"/>
      <c r="S271" s="1"/>
      <c r="T271" s="1"/>
      <c r="U271" s="1"/>
      <c r="V271" s="1"/>
      <c r="W271" s="1"/>
      <c r="X271" s="1"/>
      <c r="Y271" s="1"/>
      <c r="Z271" s="1"/>
      <c r="AA271" s="1"/>
      <c r="AB271" s="1"/>
      <c r="AC271" s="1"/>
      <c r="AD271" s="1"/>
      <c r="AE271" s="1"/>
      <c r="AF271" s="1"/>
      <c r="AG271" s="1"/>
      <c r="AH271" s="1"/>
    </row>
    <row r="272" ht="12.75" hidden="1" customHeight="1" outlineLevel="1">
      <c r="A272" s="17">
        <v>41087.0</v>
      </c>
      <c r="B272" s="1" t="s">
        <v>347</v>
      </c>
      <c r="C272" s="1">
        <v>3333.0</v>
      </c>
      <c r="D272" s="74">
        <v>6000.0</v>
      </c>
      <c r="E272" s="67">
        <f>3.97/7.76</f>
        <v>0.5115979381</v>
      </c>
      <c r="F272" s="75">
        <v>41087.95230324074</v>
      </c>
      <c r="G272" s="67"/>
      <c r="H272" s="68">
        <v>2.7010309278350517</v>
      </c>
      <c r="I272" s="76"/>
      <c r="J272" s="67">
        <f>IF(B272="SLD",D272*E272,-D272*E272)-H272</f>
        <v>3066.886598</v>
      </c>
      <c r="K272" s="1"/>
      <c r="L272" s="70"/>
      <c r="M272" s="79"/>
      <c r="N272" s="1"/>
      <c r="O272" s="1"/>
      <c r="P272" s="1"/>
      <c r="Q272" s="1"/>
      <c r="R272" s="1"/>
      <c r="S272" s="1"/>
      <c r="T272" s="1"/>
      <c r="U272" s="1"/>
      <c r="V272" s="1"/>
      <c r="W272" s="1"/>
      <c r="X272" s="1"/>
      <c r="Y272" s="1"/>
      <c r="Z272" s="1"/>
      <c r="AA272" s="1"/>
      <c r="AB272" s="1"/>
      <c r="AC272" s="1"/>
      <c r="AD272" s="1"/>
      <c r="AE272" s="1"/>
      <c r="AF272" s="1"/>
      <c r="AG272" s="1"/>
      <c r="AH272" s="1"/>
    </row>
    <row r="273" ht="12.75" hidden="1" customHeight="1" outlineLevel="1">
      <c r="A273" s="17">
        <v>41088.0</v>
      </c>
      <c r="B273" s="1" t="s">
        <v>343</v>
      </c>
      <c r="C273" s="1" t="s">
        <v>453</v>
      </c>
      <c r="D273" s="74">
        <v>3064.0</v>
      </c>
      <c r="E273" s="67">
        <f>7.7584/7.76</f>
        <v>0.9997938144</v>
      </c>
      <c r="F273" s="75">
        <v>0.29202546296296295</v>
      </c>
      <c r="G273" s="67"/>
      <c r="H273" s="68">
        <v>19.4</v>
      </c>
      <c r="I273" s="76"/>
      <c r="J273" s="67"/>
      <c r="K273" s="7"/>
      <c r="L273" s="70"/>
      <c r="M273" s="79"/>
      <c r="N273" s="1"/>
      <c r="O273" s="1"/>
      <c r="P273" s="1"/>
      <c r="Q273" s="1"/>
      <c r="R273" s="1"/>
      <c r="S273" s="1"/>
      <c r="T273" s="1"/>
      <c r="U273" s="1"/>
      <c r="V273" s="1"/>
      <c r="W273" s="1"/>
      <c r="X273" s="1"/>
      <c r="Y273" s="1"/>
      <c r="Z273" s="1"/>
      <c r="AA273" s="1"/>
      <c r="AB273" s="1"/>
      <c r="AC273" s="1"/>
      <c r="AD273" s="1"/>
      <c r="AE273" s="1"/>
      <c r="AF273" s="1"/>
      <c r="AG273" s="1"/>
      <c r="AH273" s="1"/>
    </row>
    <row r="274" ht="12.75" hidden="1" customHeight="1" outlineLevel="1">
      <c r="A274" s="17">
        <v>41089.0</v>
      </c>
      <c r="B274" s="1" t="s">
        <v>343</v>
      </c>
      <c r="C274" s="1" t="s">
        <v>346</v>
      </c>
      <c r="D274" s="74">
        <v>36.0</v>
      </c>
      <c r="E274" s="67">
        <v>575.1</v>
      </c>
      <c r="F274" s="75">
        <v>0.5729282407407407</v>
      </c>
      <c r="G274" s="67"/>
      <c r="H274" s="68">
        <v>1.0</v>
      </c>
      <c r="I274" s="76"/>
      <c r="J274" s="67">
        <f t="shared" ref="J274:J278" si="22">IF(B274="SLD",D274*E274,-D274*E274)-H274</f>
        <v>-20704.6</v>
      </c>
      <c r="K274" s="7" t="s">
        <v>395</v>
      </c>
      <c r="L274" s="70"/>
      <c r="M274" s="79"/>
      <c r="N274" s="1"/>
      <c r="O274" s="1"/>
      <c r="P274" s="1"/>
      <c r="Q274" s="1"/>
      <c r="R274" s="1"/>
      <c r="S274" s="1"/>
      <c r="T274" s="1"/>
      <c r="U274" s="1"/>
      <c r="V274" s="1"/>
      <c r="W274" s="1"/>
      <c r="X274" s="1"/>
      <c r="Y274" s="1"/>
      <c r="Z274" s="1"/>
      <c r="AA274" s="1"/>
      <c r="AB274" s="1"/>
      <c r="AC274" s="1"/>
      <c r="AD274" s="1"/>
      <c r="AE274" s="1"/>
      <c r="AF274" s="1"/>
      <c r="AG274" s="1"/>
      <c r="AH274" s="1"/>
    </row>
    <row r="275" ht="12.75" hidden="1" customHeight="1" outlineLevel="1">
      <c r="A275" s="17">
        <v>41089.0</v>
      </c>
      <c r="B275" s="1" t="s">
        <v>343</v>
      </c>
      <c r="C275" s="1" t="s">
        <v>344</v>
      </c>
      <c r="D275" s="74">
        <v>421.0</v>
      </c>
      <c r="E275" s="67">
        <v>31.13</v>
      </c>
      <c r="F275" s="75">
        <v>0.5761226851851852</v>
      </c>
      <c r="G275" s="67"/>
      <c r="H275" s="68">
        <v>2.1</v>
      </c>
      <c r="I275" s="76"/>
      <c r="J275" s="67">
        <f t="shared" si="22"/>
        <v>-13107.83</v>
      </c>
      <c r="K275" s="7" t="s">
        <v>395</v>
      </c>
      <c r="L275" s="70"/>
      <c r="M275" s="79"/>
      <c r="N275" s="1"/>
      <c r="O275" s="1"/>
      <c r="P275" s="1"/>
      <c r="Q275" s="1"/>
      <c r="R275" s="1"/>
      <c r="S275" s="1"/>
      <c r="T275" s="1"/>
      <c r="U275" s="1"/>
      <c r="V275" s="1"/>
      <c r="W275" s="1"/>
      <c r="X275" s="1"/>
      <c r="Y275" s="1"/>
      <c r="Z275" s="1"/>
      <c r="AA275" s="1"/>
      <c r="AB275" s="1"/>
      <c r="AC275" s="1"/>
      <c r="AD275" s="1"/>
      <c r="AE275" s="1"/>
      <c r="AF275" s="1"/>
      <c r="AG275" s="1"/>
      <c r="AH275" s="1"/>
    </row>
    <row r="276" ht="12.75" hidden="1" customHeight="1" outlineLevel="1">
      <c r="A276" s="17">
        <v>41089.0</v>
      </c>
      <c r="B276" s="1" t="s">
        <v>343</v>
      </c>
      <c r="C276" s="1" t="s">
        <v>344</v>
      </c>
      <c r="D276" s="74">
        <v>379.0</v>
      </c>
      <c r="E276" s="67">
        <v>31.13</v>
      </c>
      <c r="F276" s="75">
        <v>0.5761342592592592</v>
      </c>
      <c r="G276" s="67"/>
      <c r="H276" s="68">
        <v>1.9</v>
      </c>
      <c r="I276" s="76"/>
      <c r="J276" s="67">
        <f t="shared" si="22"/>
        <v>-11800.17</v>
      </c>
      <c r="K276" s="7" t="s">
        <v>395</v>
      </c>
      <c r="L276" s="70"/>
      <c r="M276" s="79"/>
      <c r="N276" s="1"/>
      <c r="O276" s="1"/>
      <c r="P276" s="1"/>
      <c r="Q276" s="1"/>
      <c r="R276" s="1"/>
      <c r="S276" s="1"/>
      <c r="T276" s="1"/>
      <c r="U276" s="1"/>
      <c r="V276" s="1"/>
      <c r="W276" s="1"/>
      <c r="X276" s="1"/>
      <c r="Y276" s="1"/>
      <c r="Z276" s="1"/>
      <c r="AA276" s="1"/>
      <c r="AB276" s="1"/>
      <c r="AC276" s="1"/>
      <c r="AD276" s="1"/>
      <c r="AE276" s="1"/>
      <c r="AF276" s="1"/>
      <c r="AG276" s="1"/>
      <c r="AH276" s="1"/>
    </row>
    <row r="277" ht="12.75" hidden="1" customHeight="1" outlineLevel="1">
      <c r="A277" s="17">
        <v>41089.0</v>
      </c>
      <c r="B277" s="1" t="s">
        <v>347</v>
      </c>
      <c r="C277" s="1" t="s">
        <v>454</v>
      </c>
      <c r="D277" s="74">
        <v>100.0</v>
      </c>
      <c r="E277" s="67">
        <v>15.04</v>
      </c>
      <c r="F277" s="75">
        <v>0.8130092592592592</v>
      </c>
      <c r="G277" s="67"/>
      <c r="H277" s="68">
        <v>1.0</v>
      </c>
      <c r="I277" s="76"/>
      <c r="J277" s="67">
        <f t="shared" si="22"/>
        <v>1503</v>
      </c>
      <c r="K277" s="1"/>
      <c r="L277" s="70"/>
      <c r="M277" s="79"/>
      <c r="N277" s="1"/>
      <c r="O277" s="1"/>
      <c r="P277" s="1"/>
      <c r="Q277" s="1"/>
      <c r="R277" s="1"/>
      <c r="S277" s="1"/>
      <c r="T277" s="1"/>
      <c r="U277" s="1"/>
      <c r="V277" s="1"/>
      <c r="W277" s="1"/>
      <c r="X277" s="1"/>
      <c r="Y277" s="1"/>
      <c r="Z277" s="1"/>
      <c r="AA277" s="1"/>
      <c r="AB277" s="1"/>
      <c r="AC277" s="1"/>
      <c r="AD277" s="1"/>
      <c r="AE277" s="1"/>
      <c r="AF277" s="1"/>
      <c r="AG277" s="1"/>
      <c r="AH277" s="1"/>
    </row>
    <row r="278" ht="12.75" hidden="1" customHeight="1" outlineLevel="1">
      <c r="A278" s="17">
        <v>41089.0</v>
      </c>
      <c r="B278" s="1" t="s">
        <v>347</v>
      </c>
      <c r="C278" s="1" t="s">
        <v>454</v>
      </c>
      <c r="D278" s="74">
        <v>100.0</v>
      </c>
      <c r="E278" s="67">
        <v>15.04</v>
      </c>
      <c r="F278" s="75">
        <v>0.8130092592592592</v>
      </c>
      <c r="G278" s="67"/>
      <c r="H278" s="68">
        <v>0.0</v>
      </c>
      <c r="I278" s="76"/>
      <c r="J278" s="67">
        <f t="shared" si="22"/>
        <v>1504</v>
      </c>
      <c r="K278" s="1"/>
      <c r="L278" s="70"/>
      <c r="M278" s="79"/>
      <c r="N278" s="1"/>
      <c r="O278" s="1"/>
      <c r="P278" s="1"/>
      <c r="Q278" s="1"/>
      <c r="R278" s="1"/>
      <c r="S278" s="1"/>
      <c r="T278" s="1"/>
      <c r="U278" s="1"/>
      <c r="V278" s="1"/>
      <c r="W278" s="1"/>
      <c r="X278" s="1"/>
      <c r="Y278" s="1"/>
      <c r="Z278" s="1"/>
      <c r="AA278" s="1"/>
      <c r="AB278" s="1"/>
      <c r="AC278" s="1"/>
      <c r="AD278" s="1"/>
      <c r="AE278" s="1"/>
      <c r="AF278" s="1"/>
      <c r="AG278" s="1"/>
      <c r="AH278" s="1"/>
    </row>
    <row r="279" ht="12.75" hidden="1" customHeight="1" outlineLevel="1">
      <c r="A279" s="17">
        <v>41089.0</v>
      </c>
      <c r="B279" s="1"/>
      <c r="C279" s="1" t="s">
        <v>339</v>
      </c>
      <c r="D279" s="74"/>
      <c r="E279" s="67"/>
      <c r="F279" s="75"/>
      <c r="G279" s="67"/>
      <c r="H279" s="68"/>
      <c r="I279" s="76"/>
      <c r="J279" s="67"/>
      <c r="K279" s="7" t="s">
        <v>455</v>
      </c>
      <c r="L279" s="79"/>
      <c r="M279" s="79"/>
      <c r="N279" s="1"/>
      <c r="O279" s="1"/>
      <c r="P279" s="1"/>
      <c r="Q279" s="1"/>
      <c r="R279" s="1"/>
      <c r="S279" s="1"/>
      <c r="T279" s="1"/>
      <c r="U279" s="1"/>
      <c r="V279" s="1"/>
      <c r="W279" s="1"/>
      <c r="X279" s="1"/>
      <c r="Y279" s="1"/>
      <c r="Z279" s="1"/>
      <c r="AA279" s="1"/>
      <c r="AB279" s="1"/>
      <c r="AC279" s="1"/>
      <c r="AD279" s="1"/>
      <c r="AE279" s="1"/>
      <c r="AF279" s="1"/>
      <c r="AG279" s="1"/>
      <c r="AH279" s="1"/>
    </row>
    <row r="280" ht="12.75" hidden="1" customHeight="1" outlineLevel="1">
      <c r="A280" s="17">
        <v>41089.0</v>
      </c>
      <c r="B280" s="1"/>
      <c r="C280" s="1" t="s">
        <v>429</v>
      </c>
      <c r="D280" s="74"/>
      <c r="E280" s="67"/>
      <c r="F280" s="75"/>
      <c r="G280" s="67"/>
      <c r="H280" s="68"/>
      <c r="I280" s="76"/>
      <c r="J280" s="67"/>
      <c r="K280" s="1" t="s">
        <v>446</v>
      </c>
      <c r="L280" s="79"/>
      <c r="M280" s="79"/>
      <c r="N280" s="1"/>
      <c r="O280" s="1"/>
      <c r="P280" s="1"/>
      <c r="Q280" s="1"/>
      <c r="R280" s="1"/>
      <c r="S280" s="1"/>
      <c r="T280" s="1"/>
      <c r="U280" s="1"/>
      <c r="V280" s="1"/>
      <c r="W280" s="1"/>
      <c r="X280" s="1"/>
      <c r="Y280" s="1"/>
      <c r="Z280" s="1"/>
      <c r="AA280" s="1"/>
      <c r="AB280" s="1"/>
      <c r="AC280" s="1"/>
      <c r="AD280" s="1"/>
      <c r="AE280" s="1"/>
      <c r="AF280" s="1"/>
      <c r="AG280" s="1"/>
      <c r="AH280" s="1"/>
    </row>
    <row r="281" ht="12.75" hidden="1" customHeight="1" outlineLevel="1">
      <c r="A281" s="17">
        <v>41089.0</v>
      </c>
      <c r="B281" s="1"/>
      <c r="C281" s="1" t="s">
        <v>431</v>
      </c>
      <c r="D281" s="74"/>
      <c r="E281" s="67"/>
      <c r="F281" s="75"/>
      <c r="G281" s="67"/>
      <c r="H281" s="68"/>
      <c r="I281" s="76"/>
      <c r="J281" s="67"/>
      <c r="K281" s="1" t="s">
        <v>432</v>
      </c>
      <c r="L281" s="79"/>
      <c r="M281" s="79"/>
      <c r="N281" s="1"/>
      <c r="O281" s="1"/>
      <c r="P281" s="1"/>
      <c r="Q281" s="1"/>
      <c r="R281" s="1"/>
      <c r="S281" s="1"/>
      <c r="T281" s="1"/>
      <c r="U281" s="1"/>
      <c r="V281" s="1"/>
      <c r="W281" s="1"/>
      <c r="X281" s="1"/>
      <c r="Y281" s="1"/>
      <c r="Z281" s="1"/>
      <c r="AA281" s="1"/>
      <c r="AB281" s="1"/>
      <c r="AC281" s="1"/>
      <c r="AD281" s="1"/>
      <c r="AE281" s="1"/>
      <c r="AF281" s="1"/>
      <c r="AG281" s="1"/>
      <c r="AH281" s="1"/>
    </row>
    <row r="282" ht="12.75" hidden="1" customHeight="1" outlineLevel="1">
      <c r="A282" s="17">
        <v>41089.0</v>
      </c>
      <c r="B282" s="1"/>
      <c r="C282" s="1" t="s">
        <v>433</v>
      </c>
      <c r="D282" s="74"/>
      <c r="E282" s="67"/>
      <c r="F282" s="75"/>
      <c r="G282" s="67"/>
      <c r="H282" s="68"/>
      <c r="I282" s="76"/>
      <c r="J282" s="67"/>
      <c r="K282" s="1" t="s">
        <v>434</v>
      </c>
      <c r="L282" s="79"/>
      <c r="M282" s="79"/>
      <c r="N282" s="1"/>
      <c r="O282" s="1"/>
      <c r="P282" s="1"/>
      <c r="Q282" s="1"/>
      <c r="R282" s="1"/>
      <c r="S282" s="1"/>
      <c r="T282" s="1"/>
      <c r="U282" s="1"/>
      <c r="V282" s="1"/>
      <c r="W282" s="1"/>
      <c r="X282" s="1"/>
      <c r="Y282" s="1"/>
      <c r="Z282" s="1"/>
      <c r="AA282" s="1"/>
      <c r="AB282" s="1"/>
      <c r="AC282" s="1"/>
      <c r="AD282" s="1"/>
      <c r="AE282" s="1"/>
      <c r="AF282" s="1"/>
      <c r="AG282" s="1"/>
      <c r="AH282" s="1"/>
    </row>
    <row r="283" ht="12.75" hidden="1" customHeight="1" outlineLevel="1">
      <c r="A283" s="17">
        <v>41089.0</v>
      </c>
      <c r="B283" s="1"/>
      <c r="C283" s="1" t="s">
        <v>435</v>
      </c>
      <c r="D283" s="74"/>
      <c r="E283" s="67"/>
      <c r="F283" s="75"/>
      <c r="G283" s="67"/>
      <c r="H283" s="68"/>
      <c r="I283" s="76"/>
      <c r="J283" s="67"/>
      <c r="K283" s="1" t="s">
        <v>456</v>
      </c>
      <c r="L283" s="79"/>
      <c r="M283" s="79"/>
      <c r="N283" s="1"/>
      <c r="O283" s="1"/>
      <c r="P283" s="1"/>
      <c r="Q283" s="1"/>
      <c r="R283" s="1"/>
      <c r="S283" s="1"/>
      <c r="T283" s="1"/>
      <c r="U283" s="1"/>
      <c r="V283" s="1"/>
      <c r="W283" s="1"/>
      <c r="X283" s="1"/>
      <c r="Y283" s="1"/>
      <c r="Z283" s="1"/>
      <c r="AA283" s="1"/>
      <c r="AB283" s="1"/>
      <c r="AC283" s="1"/>
      <c r="AD283" s="1"/>
      <c r="AE283" s="1"/>
      <c r="AF283" s="1"/>
      <c r="AG283" s="1"/>
      <c r="AH283" s="1"/>
    </row>
    <row r="284" ht="12.75" hidden="1" customHeight="1" outlineLevel="1">
      <c r="A284" s="17">
        <v>41090.0</v>
      </c>
      <c r="B284" s="1"/>
      <c r="C284" s="1" t="s">
        <v>339</v>
      </c>
      <c r="D284" s="74"/>
      <c r="E284" s="67"/>
      <c r="F284" s="75"/>
      <c r="G284" s="67"/>
      <c r="H284" s="68"/>
      <c r="I284" s="76"/>
      <c r="J284" s="67"/>
      <c r="K284" s="7" t="s">
        <v>457</v>
      </c>
      <c r="L284" s="77"/>
      <c r="M284" s="79"/>
      <c r="N284" s="1"/>
      <c r="O284" s="1"/>
      <c r="P284" s="1"/>
      <c r="Q284" s="1"/>
      <c r="R284" s="1"/>
      <c r="S284" s="1"/>
      <c r="T284" s="1"/>
      <c r="U284" s="1"/>
      <c r="V284" s="1"/>
      <c r="W284" s="1"/>
      <c r="X284" s="1"/>
      <c r="Y284" s="1"/>
      <c r="Z284" s="1"/>
      <c r="AA284" s="1"/>
      <c r="AB284" s="1"/>
      <c r="AC284" s="1"/>
      <c r="AD284" s="1"/>
      <c r="AE284" s="1"/>
      <c r="AF284" s="1"/>
      <c r="AG284" s="1"/>
      <c r="AH284" s="1"/>
    </row>
    <row r="285" ht="12.75" hidden="1" customHeight="1" outlineLevel="1">
      <c r="A285" s="17">
        <v>41090.0</v>
      </c>
      <c r="B285" s="1"/>
      <c r="C285" s="1" t="s">
        <v>429</v>
      </c>
      <c r="D285" s="74"/>
      <c r="E285" s="67"/>
      <c r="F285" s="75"/>
      <c r="G285" s="67"/>
      <c r="H285" s="68"/>
      <c r="I285" s="76"/>
      <c r="J285" s="67"/>
      <c r="K285" s="1" t="s">
        <v>446</v>
      </c>
      <c r="L285" s="77"/>
      <c r="M285" s="79"/>
      <c r="N285" s="1"/>
      <c r="O285" s="1"/>
      <c r="P285" s="1"/>
      <c r="Q285" s="1"/>
      <c r="R285" s="1"/>
      <c r="S285" s="1"/>
      <c r="T285" s="1"/>
      <c r="U285" s="1"/>
      <c r="V285" s="1"/>
      <c r="W285" s="1"/>
      <c r="X285" s="1"/>
      <c r="Y285" s="1"/>
      <c r="Z285" s="1"/>
      <c r="AA285" s="1"/>
      <c r="AB285" s="1"/>
      <c r="AC285" s="1"/>
      <c r="AD285" s="1"/>
      <c r="AE285" s="1"/>
      <c r="AF285" s="1"/>
      <c r="AG285" s="1"/>
      <c r="AH285" s="1"/>
    </row>
    <row r="286" ht="12.75" hidden="1" customHeight="1" outlineLevel="1">
      <c r="A286" s="17">
        <v>41090.0</v>
      </c>
      <c r="B286" s="1"/>
      <c r="C286" s="1" t="s">
        <v>431</v>
      </c>
      <c r="D286" s="74"/>
      <c r="E286" s="67"/>
      <c r="F286" s="75"/>
      <c r="G286" s="67"/>
      <c r="H286" s="68"/>
      <c r="I286" s="76"/>
      <c r="J286" s="67"/>
      <c r="K286" s="1" t="s">
        <v>432</v>
      </c>
      <c r="L286" s="77"/>
      <c r="M286" s="79"/>
      <c r="N286" s="1"/>
      <c r="O286" s="1"/>
      <c r="P286" s="1"/>
      <c r="Q286" s="1"/>
      <c r="R286" s="1"/>
      <c r="S286" s="1"/>
      <c r="T286" s="1"/>
      <c r="U286" s="1"/>
      <c r="V286" s="1"/>
      <c r="W286" s="1"/>
      <c r="X286" s="1"/>
      <c r="Y286" s="1"/>
      <c r="Z286" s="1"/>
      <c r="AA286" s="1"/>
      <c r="AB286" s="1"/>
      <c r="AC286" s="1"/>
      <c r="AD286" s="1"/>
      <c r="AE286" s="1"/>
      <c r="AF286" s="1"/>
      <c r="AG286" s="1"/>
      <c r="AH286" s="1"/>
    </row>
    <row r="287" ht="12.75" hidden="1" customHeight="1" outlineLevel="1">
      <c r="A287" s="17">
        <v>41090.0</v>
      </c>
      <c r="B287" s="1"/>
      <c r="C287" s="1" t="s">
        <v>433</v>
      </c>
      <c r="D287" s="74"/>
      <c r="E287" s="67"/>
      <c r="F287" s="75"/>
      <c r="G287" s="67"/>
      <c r="H287" s="68"/>
      <c r="I287" s="76"/>
      <c r="J287" s="67"/>
      <c r="K287" s="1" t="s">
        <v>434</v>
      </c>
      <c r="L287" s="77"/>
      <c r="M287" s="79"/>
      <c r="N287" s="1"/>
      <c r="O287" s="1"/>
      <c r="P287" s="1"/>
      <c r="Q287" s="1"/>
      <c r="R287" s="1"/>
      <c r="S287" s="1"/>
      <c r="T287" s="1"/>
      <c r="U287" s="1"/>
      <c r="V287" s="1"/>
      <c r="W287" s="1"/>
      <c r="X287" s="1"/>
      <c r="Y287" s="1"/>
      <c r="Z287" s="1"/>
      <c r="AA287" s="1"/>
      <c r="AB287" s="1"/>
      <c r="AC287" s="1"/>
      <c r="AD287" s="1"/>
      <c r="AE287" s="1"/>
      <c r="AF287" s="1"/>
      <c r="AG287" s="1"/>
      <c r="AH287" s="1"/>
    </row>
    <row r="288" ht="12.75" hidden="1" customHeight="1" outlineLevel="1">
      <c r="A288" s="17">
        <v>41090.0</v>
      </c>
      <c r="B288" s="1"/>
      <c r="C288" s="1" t="s">
        <v>435</v>
      </c>
      <c r="D288" s="74"/>
      <c r="E288" s="67"/>
      <c r="F288" s="75"/>
      <c r="G288" s="67"/>
      <c r="H288" s="68"/>
      <c r="I288" s="76"/>
      <c r="J288" s="67"/>
      <c r="K288" s="1" t="s">
        <v>456</v>
      </c>
      <c r="L288" s="77"/>
      <c r="M288" s="79"/>
      <c r="N288" s="1"/>
      <c r="O288" s="1"/>
      <c r="P288" s="1"/>
      <c r="Q288" s="1"/>
      <c r="R288" s="1"/>
      <c r="S288" s="1"/>
      <c r="T288" s="1"/>
      <c r="U288" s="1"/>
      <c r="V288" s="1"/>
      <c r="W288" s="1"/>
      <c r="X288" s="1"/>
      <c r="Y288" s="1"/>
      <c r="Z288" s="1"/>
      <c r="AA288" s="1"/>
      <c r="AB288" s="1"/>
      <c r="AC288" s="1"/>
      <c r="AD288" s="1"/>
      <c r="AE288" s="1"/>
      <c r="AF288" s="1"/>
      <c r="AG288" s="1"/>
      <c r="AH288" s="1"/>
    </row>
    <row r="289" ht="12.75" hidden="1" customHeight="1" outlineLevel="1">
      <c r="A289" s="17">
        <v>41092.0</v>
      </c>
      <c r="B289" s="1" t="s">
        <v>343</v>
      </c>
      <c r="C289" s="1" t="s">
        <v>458</v>
      </c>
      <c r="D289" s="1">
        <v>125.0</v>
      </c>
      <c r="E289" s="1">
        <v>53.21</v>
      </c>
      <c r="F289" s="75">
        <v>0.40814814814814815</v>
      </c>
      <c r="G289" s="1"/>
      <c r="H289" s="1">
        <v>1.0</v>
      </c>
      <c r="I289" s="76"/>
      <c r="J289" s="67">
        <f>IF(B289="SLD",D289*E289,-D289*E289)-H289</f>
        <v>-6652.25</v>
      </c>
      <c r="K289" s="1"/>
      <c r="L289" s="70"/>
      <c r="M289" s="79"/>
      <c r="N289" s="1"/>
      <c r="O289" s="1"/>
      <c r="P289" s="1"/>
      <c r="Q289" s="1"/>
      <c r="R289" s="1"/>
      <c r="S289" s="1"/>
      <c r="T289" s="1"/>
      <c r="U289" s="1"/>
      <c r="V289" s="1"/>
      <c r="W289" s="1"/>
      <c r="X289" s="1"/>
      <c r="Y289" s="1"/>
      <c r="Z289" s="1"/>
      <c r="AA289" s="1"/>
      <c r="AB289" s="1"/>
      <c r="AC289" s="1"/>
      <c r="AD289" s="1"/>
      <c r="AE289" s="1"/>
      <c r="AF289" s="1"/>
      <c r="AG289" s="1"/>
      <c r="AH289" s="1"/>
    </row>
    <row r="290" ht="12.75" hidden="1" customHeight="1" outlineLevel="1">
      <c r="A290" s="17">
        <v>41092.0</v>
      </c>
      <c r="B290" s="1"/>
      <c r="C290" s="1" t="s">
        <v>339</v>
      </c>
      <c r="D290" s="74"/>
      <c r="E290" s="67"/>
      <c r="F290" s="75"/>
      <c r="G290" s="67"/>
      <c r="H290" s="68"/>
      <c r="I290" s="76"/>
      <c r="J290" s="67"/>
      <c r="K290" s="7" t="s">
        <v>459</v>
      </c>
      <c r="L290" s="77"/>
      <c r="M290" s="79"/>
      <c r="N290" s="1"/>
      <c r="O290" s="1"/>
      <c r="P290" s="1"/>
      <c r="Q290" s="1"/>
      <c r="R290" s="1"/>
      <c r="S290" s="1"/>
      <c r="T290" s="1"/>
      <c r="U290" s="1"/>
      <c r="V290" s="1"/>
      <c r="W290" s="1"/>
      <c r="X290" s="1"/>
      <c r="Y290" s="1"/>
      <c r="Z290" s="1"/>
      <c r="AA290" s="1"/>
      <c r="AB290" s="1"/>
      <c r="AC290" s="1"/>
      <c r="AD290" s="1"/>
      <c r="AE290" s="1"/>
      <c r="AF290" s="1"/>
      <c r="AG290" s="1"/>
      <c r="AH290" s="1"/>
    </row>
    <row r="291" ht="12.75" hidden="1" customHeight="1" outlineLevel="1">
      <c r="A291" s="17">
        <v>41092.0</v>
      </c>
      <c r="B291" s="1"/>
      <c r="C291" s="1" t="s">
        <v>429</v>
      </c>
      <c r="D291" s="74"/>
      <c r="E291" s="67"/>
      <c r="F291" s="75"/>
      <c r="G291" s="67"/>
      <c r="H291" s="68"/>
      <c r="I291" s="76"/>
      <c r="J291" s="67"/>
      <c r="K291" s="1" t="s">
        <v>446</v>
      </c>
      <c r="L291" s="77"/>
      <c r="M291" s="79"/>
      <c r="N291" s="1"/>
      <c r="O291" s="1"/>
      <c r="P291" s="1"/>
      <c r="Q291" s="1"/>
      <c r="R291" s="1"/>
      <c r="S291" s="1"/>
      <c r="T291" s="1"/>
      <c r="U291" s="1"/>
      <c r="V291" s="1"/>
      <c r="W291" s="1"/>
      <c r="X291" s="1"/>
      <c r="Y291" s="1"/>
      <c r="Z291" s="1"/>
      <c r="AA291" s="1"/>
      <c r="AB291" s="1"/>
      <c r="AC291" s="1"/>
      <c r="AD291" s="1"/>
      <c r="AE291" s="1"/>
      <c r="AF291" s="1"/>
      <c r="AG291" s="1"/>
      <c r="AH291" s="1"/>
    </row>
    <row r="292" ht="12.75" hidden="1" customHeight="1" outlineLevel="1">
      <c r="A292" s="17">
        <v>41092.0</v>
      </c>
      <c r="B292" s="1"/>
      <c r="C292" s="1" t="s">
        <v>431</v>
      </c>
      <c r="D292" s="74"/>
      <c r="E292" s="67"/>
      <c r="F292" s="75"/>
      <c r="G292" s="67"/>
      <c r="H292" s="68"/>
      <c r="I292" s="76"/>
      <c r="J292" s="67"/>
      <c r="K292" s="1" t="s">
        <v>432</v>
      </c>
      <c r="L292" s="77"/>
      <c r="M292" s="79"/>
      <c r="N292" s="1"/>
      <c r="O292" s="1"/>
      <c r="P292" s="1"/>
      <c r="Q292" s="1"/>
      <c r="R292" s="1"/>
      <c r="S292" s="1"/>
      <c r="T292" s="1"/>
      <c r="U292" s="1"/>
      <c r="V292" s="1"/>
      <c r="W292" s="1"/>
      <c r="X292" s="1"/>
      <c r="Y292" s="1"/>
      <c r="Z292" s="1"/>
      <c r="AA292" s="1"/>
      <c r="AB292" s="1"/>
      <c r="AC292" s="1"/>
      <c r="AD292" s="1"/>
      <c r="AE292" s="1"/>
      <c r="AF292" s="1"/>
      <c r="AG292" s="1"/>
      <c r="AH292" s="1"/>
    </row>
    <row r="293" ht="12.75" hidden="1" customHeight="1" outlineLevel="1">
      <c r="A293" s="17">
        <v>41092.0</v>
      </c>
      <c r="B293" s="1"/>
      <c r="C293" s="1" t="s">
        <v>433</v>
      </c>
      <c r="D293" s="74"/>
      <c r="E293" s="67"/>
      <c r="F293" s="75"/>
      <c r="G293" s="67"/>
      <c r="H293" s="68"/>
      <c r="I293" s="76"/>
      <c r="J293" s="67"/>
      <c r="K293" s="1" t="s">
        <v>434</v>
      </c>
      <c r="L293" s="77"/>
      <c r="M293" s="79"/>
      <c r="N293" s="1"/>
      <c r="O293" s="1"/>
      <c r="P293" s="1"/>
      <c r="Q293" s="1"/>
      <c r="R293" s="1"/>
      <c r="S293" s="1"/>
      <c r="T293" s="1"/>
      <c r="U293" s="1"/>
      <c r="V293" s="1"/>
      <c r="W293" s="1"/>
      <c r="X293" s="1"/>
      <c r="Y293" s="1"/>
      <c r="Z293" s="1"/>
      <c r="AA293" s="1"/>
      <c r="AB293" s="1"/>
      <c r="AC293" s="1"/>
      <c r="AD293" s="1"/>
      <c r="AE293" s="1"/>
      <c r="AF293" s="1"/>
      <c r="AG293" s="1"/>
      <c r="AH293" s="1"/>
    </row>
    <row r="294" ht="12.75" hidden="1" customHeight="1" outlineLevel="1">
      <c r="A294" s="17">
        <v>41092.0</v>
      </c>
      <c r="B294" s="1"/>
      <c r="C294" s="1" t="s">
        <v>435</v>
      </c>
      <c r="D294" s="74"/>
      <c r="E294" s="67"/>
      <c r="F294" s="75"/>
      <c r="G294" s="67"/>
      <c r="H294" s="68"/>
      <c r="I294" s="76"/>
      <c r="J294" s="67"/>
      <c r="K294" s="1"/>
      <c r="L294" s="77"/>
      <c r="M294" s="79"/>
      <c r="N294" s="1"/>
      <c r="O294" s="1"/>
      <c r="P294" s="1"/>
      <c r="Q294" s="1"/>
      <c r="R294" s="1"/>
      <c r="S294" s="1"/>
      <c r="T294" s="1"/>
      <c r="U294" s="1"/>
      <c r="V294" s="1"/>
      <c r="W294" s="1"/>
      <c r="X294" s="1"/>
      <c r="Y294" s="1"/>
      <c r="Z294" s="1"/>
      <c r="AA294" s="1"/>
      <c r="AB294" s="1"/>
      <c r="AC294" s="1"/>
      <c r="AD294" s="1"/>
      <c r="AE294" s="1"/>
      <c r="AF294" s="1"/>
      <c r="AG294" s="1"/>
      <c r="AH294" s="1"/>
    </row>
    <row r="295" ht="12.75" hidden="1" customHeight="1" outlineLevel="1">
      <c r="A295" s="17">
        <v>41093.0</v>
      </c>
      <c r="B295" s="1"/>
      <c r="C295" s="1" t="s">
        <v>339</v>
      </c>
      <c r="D295" s="74"/>
      <c r="E295" s="67"/>
      <c r="F295" s="75"/>
      <c r="G295" s="67"/>
      <c r="H295" s="68"/>
      <c r="I295" s="76"/>
      <c r="J295" s="67"/>
      <c r="K295" s="7" t="s">
        <v>460</v>
      </c>
      <c r="L295" s="77"/>
      <c r="M295" s="79"/>
      <c r="N295" s="1"/>
      <c r="O295" s="1"/>
      <c r="P295" s="1"/>
      <c r="Q295" s="1"/>
      <c r="R295" s="1"/>
      <c r="S295" s="1"/>
      <c r="T295" s="1"/>
      <c r="U295" s="1"/>
      <c r="V295" s="1"/>
      <c r="W295" s="1"/>
      <c r="X295" s="1"/>
      <c r="Y295" s="1"/>
      <c r="Z295" s="1"/>
      <c r="AA295" s="1"/>
      <c r="AB295" s="1"/>
      <c r="AC295" s="1"/>
      <c r="AD295" s="1"/>
      <c r="AE295" s="1"/>
      <c r="AF295" s="1"/>
      <c r="AG295" s="1"/>
      <c r="AH295" s="1"/>
    </row>
    <row r="296" ht="12.75" hidden="1" customHeight="1" outlineLevel="1">
      <c r="A296" s="17">
        <v>41093.0</v>
      </c>
      <c r="B296" s="1"/>
      <c r="C296" s="1" t="s">
        <v>429</v>
      </c>
      <c r="D296" s="74"/>
      <c r="E296" s="67"/>
      <c r="F296" s="75"/>
      <c r="G296" s="67"/>
      <c r="H296" s="68"/>
      <c r="I296" s="76"/>
      <c r="J296" s="67"/>
      <c r="K296" s="1" t="s">
        <v>446</v>
      </c>
      <c r="L296" s="77"/>
      <c r="M296" s="79"/>
      <c r="N296" s="1"/>
      <c r="O296" s="1"/>
      <c r="P296" s="1"/>
      <c r="Q296" s="1"/>
      <c r="R296" s="1"/>
      <c r="S296" s="1"/>
      <c r="T296" s="1"/>
      <c r="U296" s="1"/>
      <c r="V296" s="1"/>
      <c r="W296" s="1"/>
      <c r="X296" s="1"/>
      <c r="Y296" s="1"/>
      <c r="Z296" s="1"/>
      <c r="AA296" s="1"/>
      <c r="AB296" s="1"/>
      <c r="AC296" s="1"/>
      <c r="AD296" s="1"/>
      <c r="AE296" s="1"/>
      <c r="AF296" s="1"/>
      <c r="AG296" s="1"/>
      <c r="AH296" s="1"/>
    </row>
    <row r="297" ht="12.75" hidden="1" customHeight="1" outlineLevel="1">
      <c r="A297" s="17">
        <v>41093.0</v>
      </c>
      <c r="B297" s="1"/>
      <c r="C297" s="1" t="s">
        <v>431</v>
      </c>
      <c r="D297" s="74"/>
      <c r="E297" s="67"/>
      <c r="F297" s="75"/>
      <c r="G297" s="67"/>
      <c r="H297" s="68"/>
      <c r="I297" s="76"/>
      <c r="J297" s="67"/>
      <c r="K297" s="1" t="s">
        <v>432</v>
      </c>
      <c r="L297" s="77"/>
      <c r="M297" s="79"/>
      <c r="N297" s="1"/>
      <c r="O297" s="1"/>
      <c r="P297" s="1"/>
      <c r="Q297" s="1"/>
      <c r="R297" s="1"/>
      <c r="S297" s="1"/>
      <c r="T297" s="1"/>
      <c r="U297" s="1"/>
      <c r="V297" s="1"/>
      <c r="W297" s="1"/>
      <c r="X297" s="1"/>
      <c r="Y297" s="1"/>
      <c r="Z297" s="1"/>
      <c r="AA297" s="1"/>
      <c r="AB297" s="1"/>
      <c r="AC297" s="1"/>
      <c r="AD297" s="1"/>
      <c r="AE297" s="1"/>
      <c r="AF297" s="1"/>
      <c r="AG297" s="1"/>
      <c r="AH297" s="1"/>
    </row>
    <row r="298" ht="12.75" hidden="1" customHeight="1" outlineLevel="1">
      <c r="A298" s="17">
        <v>41093.0</v>
      </c>
      <c r="B298" s="1"/>
      <c r="C298" s="1" t="s">
        <v>433</v>
      </c>
      <c r="D298" s="74"/>
      <c r="E298" s="67"/>
      <c r="F298" s="75"/>
      <c r="G298" s="67"/>
      <c r="H298" s="68"/>
      <c r="I298" s="76"/>
      <c r="J298" s="67"/>
      <c r="K298" s="1" t="s">
        <v>434</v>
      </c>
      <c r="L298" s="77"/>
      <c r="M298" s="79"/>
      <c r="N298" s="1"/>
      <c r="O298" s="1"/>
      <c r="P298" s="1"/>
      <c r="Q298" s="1"/>
      <c r="R298" s="1"/>
      <c r="S298" s="1"/>
      <c r="T298" s="1"/>
      <c r="U298" s="1"/>
      <c r="V298" s="1"/>
      <c r="W298" s="1"/>
      <c r="X298" s="1"/>
      <c r="Y298" s="1"/>
      <c r="Z298" s="1"/>
      <c r="AA298" s="1"/>
      <c r="AB298" s="1"/>
      <c r="AC298" s="1"/>
      <c r="AD298" s="1"/>
      <c r="AE298" s="1"/>
      <c r="AF298" s="1"/>
      <c r="AG298" s="1"/>
      <c r="AH298" s="1"/>
    </row>
    <row r="299" ht="12.75" hidden="1" customHeight="1" outlineLevel="1">
      <c r="A299" s="17">
        <v>41093.0</v>
      </c>
      <c r="B299" s="1"/>
      <c r="C299" s="1" t="s">
        <v>435</v>
      </c>
      <c r="D299" s="74"/>
      <c r="E299" s="67"/>
      <c r="F299" s="75"/>
      <c r="G299" s="67"/>
      <c r="H299" s="68"/>
      <c r="I299" s="76"/>
      <c r="J299" s="67"/>
      <c r="K299" s="1"/>
      <c r="L299" s="77"/>
      <c r="M299" s="79"/>
      <c r="N299" s="1"/>
      <c r="O299" s="1"/>
      <c r="P299" s="1"/>
      <c r="Q299" s="1"/>
      <c r="R299" s="1"/>
      <c r="S299" s="1"/>
      <c r="T299" s="1"/>
      <c r="U299" s="1"/>
      <c r="V299" s="1"/>
      <c r="W299" s="1"/>
      <c r="X299" s="1"/>
      <c r="Y299" s="1"/>
      <c r="Z299" s="1"/>
      <c r="AA299" s="1"/>
      <c r="AB299" s="1"/>
      <c r="AC299" s="1"/>
      <c r="AD299" s="1"/>
      <c r="AE299" s="1"/>
      <c r="AF299" s="1"/>
      <c r="AG299" s="1"/>
      <c r="AH299" s="1"/>
    </row>
    <row r="300" ht="12.75" hidden="1" customHeight="1" outlineLevel="1">
      <c r="A300" s="17">
        <v>41095.0</v>
      </c>
      <c r="B300" s="1" t="s">
        <v>343</v>
      </c>
      <c r="C300" s="1" t="s">
        <v>441</v>
      </c>
      <c r="D300" s="74">
        <v>300.0</v>
      </c>
      <c r="E300" s="67">
        <v>9.53</v>
      </c>
      <c r="F300" s="75">
        <v>0.5715856481481482</v>
      </c>
      <c r="G300" s="67"/>
      <c r="H300" s="68">
        <v>1.5</v>
      </c>
      <c r="I300" s="76"/>
      <c r="J300" s="67">
        <f t="shared" ref="J300:J303" si="23">IF(B300="SLD",D300*E300,-D300*E300)-H300</f>
        <v>-2860.5</v>
      </c>
      <c r="K300" s="1"/>
      <c r="L300" s="70"/>
      <c r="M300" s="79"/>
      <c r="N300" s="1"/>
      <c r="O300" s="1"/>
      <c r="P300" s="1"/>
      <c r="Q300" s="1"/>
      <c r="R300" s="1"/>
      <c r="S300" s="1"/>
      <c r="T300" s="1"/>
      <c r="U300" s="1"/>
      <c r="V300" s="1"/>
      <c r="W300" s="1"/>
      <c r="X300" s="1"/>
      <c r="Y300" s="1"/>
      <c r="Z300" s="1"/>
      <c r="AA300" s="1"/>
      <c r="AB300" s="1"/>
      <c r="AC300" s="1"/>
      <c r="AD300" s="1"/>
      <c r="AE300" s="1"/>
      <c r="AF300" s="1"/>
      <c r="AG300" s="1"/>
      <c r="AH300" s="1"/>
    </row>
    <row r="301" ht="12.75" hidden="1" customHeight="1" outlineLevel="1">
      <c r="A301" s="17">
        <v>41095.0</v>
      </c>
      <c r="B301" s="1" t="s">
        <v>347</v>
      </c>
      <c r="C301" s="1" t="s">
        <v>441</v>
      </c>
      <c r="D301" s="74">
        <v>100.0</v>
      </c>
      <c r="E301" s="67">
        <v>9.5</v>
      </c>
      <c r="F301" s="75">
        <v>0.572650462962963</v>
      </c>
      <c r="G301" s="67"/>
      <c r="H301" s="68">
        <v>1.0</v>
      </c>
      <c r="I301" s="76"/>
      <c r="J301" s="67">
        <f t="shared" si="23"/>
        <v>949</v>
      </c>
      <c r="K301" s="1"/>
      <c r="L301" s="70"/>
      <c r="M301" s="79"/>
      <c r="N301" s="1"/>
      <c r="O301" s="1"/>
      <c r="P301" s="1"/>
      <c r="Q301" s="1"/>
      <c r="R301" s="1"/>
      <c r="S301" s="1"/>
      <c r="T301" s="1"/>
      <c r="U301" s="1"/>
      <c r="V301" s="1"/>
      <c r="W301" s="1"/>
      <c r="X301" s="1"/>
      <c r="Y301" s="1"/>
      <c r="Z301" s="1"/>
      <c r="AA301" s="1"/>
      <c r="AB301" s="1"/>
      <c r="AC301" s="1"/>
      <c r="AD301" s="1"/>
      <c r="AE301" s="1"/>
      <c r="AF301" s="1"/>
      <c r="AG301" s="1"/>
      <c r="AH301" s="1"/>
    </row>
    <row r="302" ht="12.75" hidden="1" customHeight="1" outlineLevel="1">
      <c r="A302" s="17">
        <v>41095.0</v>
      </c>
      <c r="B302" s="1" t="s">
        <v>347</v>
      </c>
      <c r="C302" s="1" t="s">
        <v>441</v>
      </c>
      <c r="D302" s="74">
        <v>200.0</v>
      </c>
      <c r="E302" s="67">
        <v>9.5</v>
      </c>
      <c r="F302" s="75">
        <v>0.572650462962963</v>
      </c>
      <c r="G302" s="67"/>
      <c r="H302" s="68">
        <v>0.5</v>
      </c>
      <c r="I302" s="76"/>
      <c r="J302" s="67">
        <f t="shared" si="23"/>
        <v>1899.5</v>
      </c>
      <c r="K302" s="1" t="s">
        <v>462</v>
      </c>
      <c r="L302" s="70"/>
      <c r="M302" s="79"/>
      <c r="N302" s="1"/>
      <c r="O302" s="1"/>
      <c r="P302" s="1"/>
      <c r="Q302" s="1"/>
      <c r="R302" s="1"/>
      <c r="S302" s="1"/>
      <c r="T302" s="1"/>
      <c r="U302" s="1"/>
      <c r="V302" s="1"/>
      <c r="W302" s="1"/>
      <c r="X302" s="1"/>
      <c r="Y302" s="1"/>
      <c r="Z302" s="1"/>
      <c r="AA302" s="1"/>
      <c r="AB302" s="1"/>
      <c r="AC302" s="1"/>
      <c r="AD302" s="1"/>
      <c r="AE302" s="1"/>
      <c r="AF302" s="1"/>
      <c r="AG302" s="1"/>
      <c r="AH302" s="1"/>
    </row>
    <row r="303" ht="12.75" hidden="1" customHeight="1" outlineLevel="1">
      <c r="A303" s="17">
        <v>41095.0</v>
      </c>
      <c r="B303" s="1" t="s">
        <v>347</v>
      </c>
      <c r="C303" s="1" t="s">
        <v>386</v>
      </c>
      <c r="D303" s="74">
        <v>175.0</v>
      </c>
      <c r="E303" s="67">
        <v>16.76</v>
      </c>
      <c r="F303" s="75">
        <v>0.6661226851851852</v>
      </c>
      <c r="G303" s="67"/>
      <c r="H303" s="68">
        <v>1.0</v>
      </c>
      <c r="I303" s="76"/>
      <c r="J303" s="67">
        <f t="shared" si="23"/>
        <v>2932</v>
      </c>
      <c r="K303" s="1" t="s">
        <v>463</v>
      </c>
      <c r="L303" s="70"/>
      <c r="M303" s="79"/>
      <c r="N303" s="1"/>
      <c r="O303" s="1"/>
      <c r="P303" s="1"/>
      <c r="Q303" s="1"/>
      <c r="R303" s="1"/>
      <c r="S303" s="1"/>
      <c r="T303" s="1"/>
      <c r="U303" s="1"/>
      <c r="V303" s="1"/>
      <c r="W303" s="1"/>
      <c r="X303" s="1"/>
      <c r="Y303" s="1"/>
      <c r="Z303" s="1"/>
      <c r="AA303" s="1"/>
      <c r="AB303" s="1"/>
      <c r="AC303" s="1"/>
      <c r="AD303" s="1"/>
      <c r="AE303" s="1"/>
      <c r="AF303" s="1"/>
      <c r="AG303" s="1"/>
      <c r="AH303" s="1"/>
    </row>
    <row r="304" ht="12.75" hidden="1" customHeight="1" outlineLevel="1">
      <c r="A304" s="17">
        <v>41096.0</v>
      </c>
      <c r="B304" s="1"/>
      <c r="C304" s="1" t="s">
        <v>339</v>
      </c>
      <c r="D304" s="74"/>
      <c r="E304" s="67"/>
      <c r="F304" s="75"/>
      <c r="G304" s="67"/>
      <c r="H304" s="68"/>
      <c r="I304" s="76"/>
      <c r="J304" s="67"/>
      <c r="K304" s="7" t="s">
        <v>464</v>
      </c>
      <c r="L304" s="77"/>
      <c r="M304" s="79"/>
      <c r="N304" s="1"/>
      <c r="O304" s="1"/>
      <c r="P304" s="1"/>
      <c r="Q304" s="1"/>
      <c r="R304" s="1"/>
      <c r="S304" s="1"/>
      <c r="T304" s="1"/>
      <c r="U304" s="1"/>
      <c r="V304" s="1"/>
      <c r="W304" s="1"/>
      <c r="X304" s="1"/>
      <c r="Y304" s="1"/>
      <c r="Z304" s="1"/>
      <c r="AA304" s="1"/>
      <c r="AB304" s="1"/>
      <c r="AC304" s="1"/>
      <c r="AD304" s="1"/>
      <c r="AE304" s="1"/>
      <c r="AF304" s="1"/>
      <c r="AG304" s="1"/>
      <c r="AH304" s="1"/>
    </row>
    <row r="305" ht="12.75" hidden="1" customHeight="1" outlineLevel="1">
      <c r="A305" s="17">
        <v>41096.0</v>
      </c>
      <c r="B305" s="1"/>
      <c r="C305" s="1" t="s">
        <v>429</v>
      </c>
      <c r="D305" s="74"/>
      <c r="E305" s="67"/>
      <c r="F305" s="75"/>
      <c r="G305" s="67"/>
      <c r="H305" s="68"/>
      <c r="I305" s="76"/>
      <c r="J305" s="67"/>
      <c r="K305" s="7" t="s">
        <v>432</v>
      </c>
      <c r="L305" s="77"/>
      <c r="M305" s="79"/>
      <c r="N305" s="1"/>
      <c r="O305" s="1"/>
      <c r="P305" s="1"/>
      <c r="Q305" s="1"/>
      <c r="R305" s="1"/>
      <c r="S305" s="1"/>
      <c r="T305" s="1"/>
      <c r="U305" s="1"/>
      <c r="V305" s="1"/>
      <c r="W305" s="1"/>
      <c r="X305" s="1"/>
      <c r="Y305" s="1"/>
      <c r="Z305" s="1"/>
      <c r="AA305" s="1"/>
      <c r="AB305" s="1"/>
      <c r="AC305" s="1"/>
      <c r="AD305" s="1"/>
      <c r="AE305" s="1"/>
      <c r="AF305" s="1"/>
      <c r="AG305" s="1"/>
      <c r="AH305" s="1"/>
    </row>
    <row r="306" ht="12.75" hidden="1" customHeight="1" outlineLevel="1">
      <c r="A306" s="17">
        <v>41096.0</v>
      </c>
      <c r="B306" s="1"/>
      <c r="C306" s="1" t="s">
        <v>431</v>
      </c>
      <c r="D306" s="74"/>
      <c r="E306" s="67"/>
      <c r="F306" s="75"/>
      <c r="G306" s="67"/>
      <c r="H306" s="68"/>
      <c r="I306" s="76"/>
      <c r="J306" s="67"/>
      <c r="K306" s="1" t="s">
        <v>432</v>
      </c>
      <c r="L306" s="77"/>
      <c r="M306" s="79"/>
      <c r="N306" s="1"/>
      <c r="O306" s="1"/>
      <c r="P306" s="1"/>
      <c r="Q306" s="1"/>
      <c r="R306" s="1"/>
      <c r="S306" s="1"/>
      <c r="T306" s="1"/>
      <c r="U306" s="1"/>
      <c r="V306" s="1"/>
      <c r="W306" s="1"/>
      <c r="X306" s="1"/>
      <c r="Y306" s="1"/>
      <c r="Z306" s="1"/>
      <c r="AA306" s="1"/>
      <c r="AB306" s="1"/>
      <c r="AC306" s="1"/>
      <c r="AD306" s="1"/>
      <c r="AE306" s="1"/>
      <c r="AF306" s="1"/>
      <c r="AG306" s="1"/>
      <c r="AH306" s="1"/>
    </row>
    <row r="307" ht="12.75" hidden="1" customHeight="1" outlineLevel="1">
      <c r="A307" s="17">
        <v>41096.0</v>
      </c>
      <c r="B307" s="1"/>
      <c r="C307" s="1" t="s">
        <v>433</v>
      </c>
      <c r="D307" s="74"/>
      <c r="E307" s="67"/>
      <c r="F307" s="75"/>
      <c r="G307" s="67"/>
      <c r="H307" s="68"/>
      <c r="I307" s="76"/>
      <c r="J307" s="67"/>
      <c r="K307" s="1" t="s">
        <v>434</v>
      </c>
      <c r="L307" s="77"/>
      <c r="M307" s="79"/>
      <c r="N307" s="1"/>
      <c r="O307" s="1"/>
      <c r="P307" s="1"/>
      <c r="Q307" s="1"/>
      <c r="R307" s="1"/>
      <c r="S307" s="1"/>
      <c r="T307" s="1"/>
      <c r="U307" s="1"/>
      <c r="V307" s="1"/>
      <c r="W307" s="1"/>
      <c r="X307" s="1"/>
      <c r="Y307" s="1"/>
      <c r="Z307" s="1"/>
      <c r="AA307" s="1"/>
      <c r="AB307" s="1"/>
      <c r="AC307" s="1"/>
      <c r="AD307" s="1"/>
      <c r="AE307" s="1"/>
      <c r="AF307" s="1"/>
      <c r="AG307" s="1"/>
      <c r="AH307" s="1"/>
    </row>
    <row r="308" ht="12.75" hidden="1" customHeight="1" outlineLevel="1">
      <c r="A308" s="17">
        <v>41096.0</v>
      </c>
      <c r="B308" s="1"/>
      <c r="C308" s="1" t="s">
        <v>435</v>
      </c>
      <c r="D308" s="74"/>
      <c r="E308" s="67"/>
      <c r="F308" s="75"/>
      <c r="G308" s="67"/>
      <c r="H308" s="68"/>
      <c r="I308" s="76"/>
      <c r="J308" s="67"/>
      <c r="K308" s="1"/>
      <c r="L308" s="77"/>
      <c r="M308" s="79"/>
      <c r="N308" s="1"/>
      <c r="O308" s="1"/>
      <c r="P308" s="1"/>
      <c r="Q308" s="1"/>
      <c r="R308" s="1"/>
      <c r="S308" s="1"/>
      <c r="T308" s="1"/>
      <c r="U308" s="1"/>
      <c r="V308" s="1"/>
      <c r="W308" s="1"/>
      <c r="X308" s="1"/>
      <c r="Y308" s="1"/>
      <c r="Z308" s="1"/>
      <c r="AA308" s="1"/>
      <c r="AB308" s="1"/>
      <c r="AC308" s="1"/>
      <c r="AD308" s="1"/>
      <c r="AE308" s="1"/>
      <c r="AF308" s="1"/>
      <c r="AG308" s="1"/>
      <c r="AH308" s="1"/>
    </row>
    <row r="309" ht="12.75" hidden="1" customHeight="1" outlineLevel="1">
      <c r="A309" s="17">
        <v>41096.0</v>
      </c>
      <c r="B309" s="1" t="s">
        <v>347</v>
      </c>
      <c r="C309" s="1" t="s">
        <v>344</v>
      </c>
      <c r="D309" s="1">
        <v>100.0</v>
      </c>
      <c r="E309" s="1">
        <v>31.36</v>
      </c>
      <c r="F309" s="75">
        <v>0.7397569444444444</v>
      </c>
      <c r="G309" s="1"/>
      <c r="H309" s="1">
        <v>1.0</v>
      </c>
      <c r="I309" s="76"/>
      <c r="J309" s="67">
        <f t="shared" ref="J309:J315" si="24">IF(B309="SLD",D309*E309,-D309*E309)-H309</f>
        <v>3135</v>
      </c>
      <c r="K309" s="7" t="s">
        <v>395</v>
      </c>
      <c r="L309" s="70"/>
      <c r="M309" s="79"/>
      <c r="N309" s="1"/>
      <c r="O309" s="1"/>
      <c r="P309" s="1"/>
      <c r="Q309" s="1"/>
      <c r="R309" s="1"/>
      <c r="S309" s="1"/>
      <c r="T309" s="1"/>
      <c r="U309" s="1"/>
      <c r="V309" s="1"/>
      <c r="W309" s="1"/>
      <c r="X309" s="1"/>
      <c r="Y309" s="1"/>
      <c r="Z309" s="1"/>
      <c r="AA309" s="1"/>
      <c r="AB309" s="1"/>
      <c r="AC309" s="1"/>
      <c r="AD309" s="1"/>
      <c r="AE309" s="1"/>
      <c r="AF309" s="1"/>
      <c r="AG309" s="1"/>
      <c r="AH309" s="1"/>
    </row>
    <row r="310" ht="12.75" hidden="1" customHeight="1" outlineLevel="1">
      <c r="A310" s="17">
        <v>41096.0</v>
      </c>
      <c r="B310" s="1" t="s">
        <v>347</v>
      </c>
      <c r="C310" s="1" t="s">
        <v>344</v>
      </c>
      <c r="D310" s="1">
        <v>100.0</v>
      </c>
      <c r="E310" s="1">
        <v>31.36</v>
      </c>
      <c r="F310" s="75">
        <v>0.7397569444444444</v>
      </c>
      <c r="G310" s="1"/>
      <c r="H310" s="1">
        <v>0.0</v>
      </c>
      <c r="I310" s="76"/>
      <c r="J310" s="67">
        <f t="shared" si="24"/>
        <v>3136</v>
      </c>
      <c r="K310" s="7" t="s">
        <v>395</v>
      </c>
      <c r="L310" s="70"/>
      <c r="M310" s="79"/>
      <c r="N310" s="1"/>
      <c r="O310" s="1"/>
      <c r="P310" s="1"/>
      <c r="Q310" s="1"/>
      <c r="R310" s="1"/>
      <c r="S310" s="1"/>
      <c r="T310" s="1"/>
      <c r="U310" s="1"/>
      <c r="V310" s="1"/>
      <c r="W310" s="1"/>
      <c r="X310" s="1"/>
      <c r="Y310" s="1"/>
      <c r="Z310" s="1"/>
      <c r="AA310" s="1"/>
      <c r="AB310" s="1"/>
      <c r="AC310" s="1"/>
      <c r="AD310" s="1"/>
      <c r="AE310" s="1"/>
      <c r="AF310" s="1"/>
      <c r="AG310" s="1"/>
      <c r="AH310" s="1"/>
    </row>
    <row r="311" ht="12.75" hidden="1" customHeight="1" outlineLevel="1">
      <c r="A311" s="17">
        <v>41096.0</v>
      </c>
      <c r="B311" s="1" t="s">
        <v>347</v>
      </c>
      <c r="C311" s="1" t="s">
        <v>344</v>
      </c>
      <c r="D311" s="1">
        <v>200.0</v>
      </c>
      <c r="E311" s="1">
        <v>31.36</v>
      </c>
      <c r="F311" s="75">
        <v>0.7397569444444444</v>
      </c>
      <c r="G311" s="1"/>
      <c r="H311" s="1">
        <v>1.0</v>
      </c>
      <c r="I311" s="76"/>
      <c r="J311" s="67">
        <f t="shared" si="24"/>
        <v>6271</v>
      </c>
      <c r="K311" s="7" t="s">
        <v>395</v>
      </c>
      <c r="L311" s="70"/>
      <c r="M311" s="79"/>
      <c r="N311" s="1"/>
      <c r="O311" s="1"/>
      <c r="P311" s="1"/>
      <c r="Q311" s="1"/>
      <c r="R311" s="1"/>
      <c r="S311" s="1"/>
      <c r="T311" s="1"/>
      <c r="U311" s="1"/>
      <c r="V311" s="1"/>
      <c r="W311" s="1"/>
      <c r="X311" s="1"/>
      <c r="Y311" s="1"/>
      <c r="Z311" s="1"/>
      <c r="AA311" s="1"/>
      <c r="AB311" s="1"/>
      <c r="AC311" s="1"/>
      <c r="AD311" s="1"/>
      <c r="AE311" s="1"/>
      <c r="AF311" s="1"/>
      <c r="AG311" s="1"/>
      <c r="AH311" s="1"/>
    </row>
    <row r="312" ht="12.75" hidden="1" customHeight="1" outlineLevel="1">
      <c r="A312" s="17">
        <v>41096.0</v>
      </c>
      <c r="B312" s="1" t="s">
        <v>347</v>
      </c>
      <c r="C312" s="1" t="s">
        <v>344</v>
      </c>
      <c r="D312" s="1">
        <v>100.0</v>
      </c>
      <c r="E312" s="1">
        <v>31.36</v>
      </c>
      <c r="F312" s="75">
        <v>0.7397569444444444</v>
      </c>
      <c r="G312" s="1"/>
      <c r="H312" s="1">
        <v>0.5</v>
      </c>
      <c r="I312" s="76"/>
      <c r="J312" s="67">
        <f t="shared" si="24"/>
        <v>3135.5</v>
      </c>
      <c r="K312" s="7" t="s">
        <v>395</v>
      </c>
      <c r="L312" s="70"/>
      <c r="M312" s="79"/>
      <c r="N312" s="1"/>
      <c r="O312" s="1"/>
      <c r="P312" s="1"/>
      <c r="Q312" s="1"/>
      <c r="R312" s="1"/>
      <c r="S312" s="1"/>
      <c r="T312" s="1"/>
      <c r="U312" s="1"/>
      <c r="V312" s="1"/>
      <c r="W312" s="1"/>
      <c r="X312" s="1"/>
      <c r="Y312" s="1"/>
      <c r="Z312" s="1"/>
      <c r="AA312" s="1"/>
      <c r="AB312" s="1"/>
      <c r="AC312" s="1"/>
      <c r="AD312" s="1"/>
      <c r="AE312" s="1"/>
      <c r="AF312" s="1"/>
      <c r="AG312" s="1"/>
      <c r="AH312" s="1"/>
    </row>
    <row r="313" ht="12.75" hidden="1" customHeight="1" outlineLevel="1">
      <c r="A313" s="17">
        <v>41096.0</v>
      </c>
      <c r="B313" s="1" t="s">
        <v>347</v>
      </c>
      <c r="C313" s="1" t="s">
        <v>344</v>
      </c>
      <c r="D313" s="1">
        <v>100.0</v>
      </c>
      <c r="E313" s="1">
        <v>31.36</v>
      </c>
      <c r="F313" s="75">
        <v>0.7397569444444444</v>
      </c>
      <c r="G313" s="1"/>
      <c r="H313" s="1">
        <v>0.5</v>
      </c>
      <c r="I313" s="76"/>
      <c r="J313" s="67">
        <f t="shared" si="24"/>
        <v>3135.5</v>
      </c>
      <c r="K313" s="7" t="s">
        <v>395</v>
      </c>
      <c r="L313" s="70"/>
      <c r="M313" s="79"/>
      <c r="N313" s="1"/>
      <c r="O313" s="1"/>
      <c r="P313" s="1"/>
      <c r="Q313" s="1"/>
      <c r="R313" s="1"/>
      <c r="S313" s="1"/>
      <c r="T313" s="1"/>
      <c r="U313" s="1"/>
      <c r="V313" s="1"/>
      <c r="W313" s="1"/>
      <c r="X313" s="1"/>
      <c r="Y313" s="1"/>
      <c r="Z313" s="1"/>
      <c r="AA313" s="1"/>
      <c r="AB313" s="1"/>
      <c r="AC313" s="1"/>
      <c r="AD313" s="1"/>
      <c r="AE313" s="1"/>
      <c r="AF313" s="1"/>
      <c r="AG313" s="1"/>
      <c r="AH313" s="1"/>
    </row>
    <row r="314" ht="12.75" hidden="1" customHeight="1" outlineLevel="1">
      <c r="A314" s="17">
        <v>41096.0</v>
      </c>
      <c r="B314" s="1" t="s">
        <v>347</v>
      </c>
      <c r="C314" s="1" t="s">
        <v>344</v>
      </c>
      <c r="D314" s="1">
        <v>200.0</v>
      </c>
      <c r="E314" s="1">
        <v>31.36</v>
      </c>
      <c r="F314" s="75">
        <v>0.7397569444444444</v>
      </c>
      <c r="G314" s="1"/>
      <c r="H314" s="1">
        <v>1.0</v>
      </c>
      <c r="I314" s="76"/>
      <c r="J314" s="67">
        <f t="shared" si="24"/>
        <v>6271</v>
      </c>
      <c r="K314" s="7" t="s">
        <v>395</v>
      </c>
      <c r="L314" s="70"/>
      <c r="M314" s="79"/>
      <c r="N314" s="1"/>
      <c r="O314" s="1"/>
      <c r="P314" s="1"/>
      <c r="Q314" s="1"/>
      <c r="R314" s="1"/>
      <c r="S314" s="1"/>
      <c r="T314" s="1"/>
      <c r="U314" s="1"/>
      <c r="V314" s="1"/>
      <c r="W314" s="1"/>
      <c r="X314" s="1"/>
      <c r="Y314" s="1"/>
      <c r="Z314" s="1"/>
      <c r="AA314" s="1"/>
      <c r="AB314" s="1"/>
      <c r="AC314" s="1"/>
      <c r="AD314" s="1"/>
      <c r="AE314" s="1"/>
      <c r="AF314" s="1"/>
      <c r="AG314" s="1"/>
      <c r="AH314" s="1"/>
    </row>
    <row r="315" ht="12.75" hidden="1" customHeight="1" outlineLevel="1">
      <c r="A315" s="17">
        <v>41096.0</v>
      </c>
      <c r="B315" s="1" t="s">
        <v>347</v>
      </c>
      <c r="C315" s="1" t="s">
        <v>354</v>
      </c>
      <c r="D315" s="1">
        <v>300.0</v>
      </c>
      <c r="E315" s="1">
        <v>74.02</v>
      </c>
      <c r="F315" s="75">
        <v>0.7462268518518519</v>
      </c>
      <c r="G315" s="1"/>
      <c r="H315" s="1">
        <v>1.5</v>
      </c>
      <c r="I315" s="76"/>
      <c r="J315" s="67">
        <f t="shared" si="24"/>
        <v>22204.5</v>
      </c>
      <c r="K315" s="7" t="s">
        <v>395</v>
      </c>
      <c r="L315" s="70"/>
      <c r="M315" s="79"/>
      <c r="N315" s="1"/>
      <c r="O315" s="1"/>
      <c r="P315" s="1"/>
      <c r="Q315" s="1"/>
      <c r="R315" s="1"/>
      <c r="S315" s="1"/>
      <c r="T315" s="1"/>
      <c r="U315" s="1"/>
      <c r="V315" s="1"/>
      <c r="W315" s="1"/>
      <c r="X315" s="1"/>
      <c r="Y315" s="1"/>
      <c r="Z315" s="1"/>
      <c r="AA315" s="1"/>
      <c r="AB315" s="1"/>
      <c r="AC315" s="1"/>
      <c r="AD315" s="1"/>
      <c r="AE315" s="1"/>
      <c r="AF315" s="1"/>
      <c r="AG315" s="1"/>
      <c r="AH315" s="1"/>
    </row>
    <row r="316" ht="12.75" hidden="1" customHeight="1" outlineLevel="1">
      <c r="A316" s="17">
        <v>41097.0</v>
      </c>
      <c r="B316" s="1"/>
      <c r="C316" s="1" t="s">
        <v>339</v>
      </c>
      <c r="D316" s="74"/>
      <c r="E316" s="67"/>
      <c r="F316" s="75"/>
      <c r="G316" s="67"/>
      <c r="H316" s="68"/>
      <c r="I316" s="76"/>
      <c r="J316" s="67"/>
      <c r="K316" s="7" t="s">
        <v>465</v>
      </c>
      <c r="L316" s="77"/>
      <c r="M316" s="79"/>
      <c r="N316" s="1"/>
      <c r="O316" s="1"/>
      <c r="P316" s="1"/>
      <c r="Q316" s="1"/>
      <c r="R316" s="1"/>
      <c r="S316" s="1"/>
      <c r="T316" s="1"/>
      <c r="U316" s="1"/>
      <c r="V316" s="1"/>
      <c r="W316" s="1"/>
      <c r="X316" s="1"/>
      <c r="Y316" s="1"/>
      <c r="Z316" s="1"/>
      <c r="AA316" s="1"/>
      <c r="AB316" s="1"/>
      <c r="AC316" s="1"/>
      <c r="AD316" s="1"/>
      <c r="AE316" s="1"/>
      <c r="AF316" s="1"/>
      <c r="AG316" s="1"/>
      <c r="AH316" s="1"/>
    </row>
    <row r="317" ht="12.75" hidden="1" customHeight="1" outlineLevel="1">
      <c r="A317" s="17">
        <v>41097.0</v>
      </c>
      <c r="B317" s="1"/>
      <c r="C317" s="1" t="s">
        <v>429</v>
      </c>
      <c r="D317" s="74"/>
      <c r="E317" s="67"/>
      <c r="F317" s="75"/>
      <c r="G317" s="67"/>
      <c r="H317" s="68"/>
      <c r="I317" s="76"/>
      <c r="J317" s="67"/>
      <c r="K317" s="7" t="s">
        <v>432</v>
      </c>
      <c r="L317" s="77"/>
      <c r="M317" s="79"/>
      <c r="N317" s="1"/>
      <c r="O317" s="1"/>
      <c r="P317" s="1"/>
      <c r="Q317" s="1"/>
      <c r="R317" s="1"/>
      <c r="S317" s="1"/>
      <c r="T317" s="1"/>
      <c r="U317" s="1"/>
      <c r="V317" s="1"/>
      <c r="W317" s="1"/>
      <c r="X317" s="1"/>
      <c r="Y317" s="1"/>
      <c r="Z317" s="1"/>
      <c r="AA317" s="1"/>
      <c r="AB317" s="1"/>
      <c r="AC317" s="1"/>
      <c r="AD317" s="1"/>
      <c r="AE317" s="1"/>
      <c r="AF317" s="1"/>
      <c r="AG317" s="1"/>
      <c r="AH317" s="1"/>
    </row>
    <row r="318" ht="12.75" hidden="1" customHeight="1" outlineLevel="1">
      <c r="A318" s="17">
        <v>41097.0</v>
      </c>
      <c r="B318" s="1"/>
      <c r="C318" s="1" t="s">
        <v>431</v>
      </c>
      <c r="D318" s="74"/>
      <c r="E318" s="67"/>
      <c r="F318" s="75"/>
      <c r="G318" s="67"/>
      <c r="H318" s="68"/>
      <c r="I318" s="76"/>
      <c r="J318" s="67"/>
      <c r="K318" s="1" t="s">
        <v>432</v>
      </c>
      <c r="L318" s="77"/>
      <c r="M318" s="79"/>
      <c r="N318" s="1"/>
      <c r="O318" s="1"/>
      <c r="P318" s="1"/>
      <c r="Q318" s="1"/>
      <c r="R318" s="1"/>
      <c r="S318" s="1"/>
      <c r="T318" s="1"/>
      <c r="U318" s="1"/>
      <c r="V318" s="1"/>
      <c r="W318" s="1"/>
      <c r="X318" s="1"/>
      <c r="Y318" s="1"/>
      <c r="Z318" s="1"/>
      <c r="AA318" s="1"/>
      <c r="AB318" s="1"/>
      <c r="AC318" s="1"/>
      <c r="AD318" s="1"/>
      <c r="AE318" s="1"/>
      <c r="AF318" s="1"/>
      <c r="AG318" s="1"/>
      <c r="AH318" s="1"/>
    </row>
    <row r="319" ht="12.75" hidden="1" customHeight="1" outlineLevel="1">
      <c r="A319" s="17">
        <v>41097.0</v>
      </c>
      <c r="B319" s="1"/>
      <c r="C319" s="1" t="s">
        <v>433</v>
      </c>
      <c r="D319" s="74"/>
      <c r="E319" s="67"/>
      <c r="F319" s="75"/>
      <c r="G319" s="67"/>
      <c r="H319" s="68"/>
      <c r="I319" s="76"/>
      <c r="J319" s="67"/>
      <c r="K319" s="1" t="s">
        <v>434</v>
      </c>
      <c r="L319" s="77"/>
      <c r="M319" s="79"/>
      <c r="N319" s="1"/>
      <c r="O319" s="1"/>
      <c r="P319" s="1"/>
      <c r="Q319" s="1"/>
      <c r="R319" s="1"/>
      <c r="S319" s="1"/>
      <c r="T319" s="1"/>
      <c r="U319" s="1"/>
      <c r="V319" s="1"/>
      <c r="W319" s="1"/>
      <c r="X319" s="1"/>
      <c r="Y319" s="1"/>
      <c r="Z319" s="1"/>
      <c r="AA319" s="1"/>
      <c r="AB319" s="1"/>
      <c r="AC319" s="1"/>
      <c r="AD319" s="1"/>
      <c r="AE319" s="1"/>
      <c r="AF319" s="1"/>
      <c r="AG319" s="1"/>
      <c r="AH319" s="1"/>
    </row>
    <row r="320" ht="12.75" hidden="1" customHeight="1" outlineLevel="1">
      <c r="A320" s="17">
        <v>41097.0</v>
      </c>
      <c r="B320" s="1"/>
      <c r="C320" s="1" t="s">
        <v>435</v>
      </c>
      <c r="D320" s="74"/>
      <c r="E320" s="67"/>
      <c r="F320" s="75"/>
      <c r="G320" s="67"/>
      <c r="H320" s="68"/>
      <c r="I320" s="76"/>
      <c r="J320" s="67"/>
      <c r="K320" s="1"/>
      <c r="L320" s="77"/>
      <c r="M320" s="79"/>
      <c r="N320" s="1"/>
      <c r="O320" s="1"/>
      <c r="P320" s="1"/>
      <c r="Q320" s="1"/>
      <c r="R320" s="1"/>
      <c r="S320" s="1"/>
      <c r="T320" s="1"/>
      <c r="U320" s="1"/>
      <c r="V320" s="1"/>
      <c r="W320" s="1"/>
      <c r="X320" s="1"/>
      <c r="Y320" s="1"/>
      <c r="Z320" s="1"/>
      <c r="AA320" s="1"/>
      <c r="AB320" s="1"/>
      <c r="AC320" s="1"/>
      <c r="AD320" s="1"/>
      <c r="AE320" s="1"/>
      <c r="AF320" s="1"/>
      <c r="AG320" s="1"/>
      <c r="AH320" s="1"/>
    </row>
    <row r="321" ht="12.75" hidden="1" customHeight="1" outlineLevel="1">
      <c r="A321" s="17">
        <v>41098.0</v>
      </c>
      <c r="B321" s="1"/>
      <c r="C321" s="1" t="s">
        <v>339</v>
      </c>
      <c r="D321" s="74"/>
      <c r="E321" s="67"/>
      <c r="F321" s="75"/>
      <c r="G321" s="67"/>
      <c r="H321" s="68"/>
      <c r="I321" s="76"/>
      <c r="J321" s="67"/>
      <c r="K321" s="7" t="s">
        <v>466</v>
      </c>
      <c r="L321" s="77"/>
      <c r="M321" s="79"/>
      <c r="N321" s="1"/>
      <c r="O321" s="1"/>
      <c r="P321" s="1"/>
      <c r="Q321" s="1"/>
      <c r="R321" s="1"/>
      <c r="S321" s="1"/>
      <c r="T321" s="1"/>
      <c r="U321" s="1"/>
      <c r="V321" s="1"/>
      <c r="W321" s="1"/>
      <c r="X321" s="1"/>
      <c r="Y321" s="1"/>
      <c r="Z321" s="1"/>
      <c r="AA321" s="1"/>
      <c r="AB321" s="1"/>
      <c r="AC321" s="1"/>
      <c r="AD321" s="1"/>
      <c r="AE321" s="1"/>
      <c r="AF321" s="1"/>
      <c r="AG321" s="1"/>
      <c r="AH321" s="1"/>
    </row>
    <row r="322" ht="12.75" hidden="1" customHeight="1" outlineLevel="1">
      <c r="A322" s="17">
        <v>41098.0</v>
      </c>
      <c r="B322" s="1"/>
      <c r="C322" s="1" t="s">
        <v>429</v>
      </c>
      <c r="D322" s="74"/>
      <c r="E322" s="67"/>
      <c r="F322" s="75"/>
      <c r="G322" s="67"/>
      <c r="H322" s="68"/>
      <c r="I322" s="76"/>
      <c r="J322" s="67"/>
      <c r="K322" s="7" t="s">
        <v>432</v>
      </c>
      <c r="L322" s="77"/>
      <c r="M322" s="79"/>
      <c r="N322" s="1"/>
      <c r="O322" s="1"/>
      <c r="P322" s="1"/>
      <c r="Q322" s="1"/>
      <c r="R322" s="1"/>
      <c r="S322" s="1"/>
      <c r="T322" s="1"/>
      <c r="U322" s="1"/>
      <c r="V322" s="1"/>
      <c r="W322" s="1"/>
      <c r="X322" s="1"/>
      <c r="Y322" s="1"/>
      <c r="Z322" s="1"/>
      <c r="AA322" s="1"/>
      <c r="AB322" s="1"/>
      <c r="AC322" s="1"/>
      <c r="AD322" s="1"/>
      <c r="AE322" s="1"/>
      <c r="AF322" s="1"/>
      <c r="AG322" s="1"/>
      <c r="AH322" s="1"/>
    </row>
    <row r="323" ht="12.75" hidden="1" customHeight="1" outlineLevel="1">
      <c r="A323" s="17">
        <v>41098.0</v>
      </c>
      <c r="B323" s="1"/>
      <c r="C323" s="1" t="s">
        <v>431</v>
      </c>
      <c r="D323" s="74"/>
      <c r="E323" s="67"/>
      <c r="F323" s="75"/>
      <c r="G323" s="67"/>
      <c r="H323" s="68"/>
      <c r="I323" s="76"/>
      <c r="J323" s="67"/>
      <c r="K323" s="1" t="s">
        <v>432</v>
      </c>
      <c r="L323" s="77"/>
      <c r="M323" s="79"/>
      <c r="N323" s="1"/>
      <c r="O323" s="1"/>
      <c r="P323" s="1"/>
      <c r="Q323" s="1"/>
      <c r="R323" s="1"/>
      <c r="S323" s="1"/>
      <c r="T323" s="1"/>
      <c r="U323" s="1"/>
      <c r="V323" s="1"/>
      <c r="W323" s="1"/>
      <c r="X323" s="1"/>
      <c r="Y323" s="1"/>
      <c r="Z323" s="1"/>
      <c r="AA323" s="1"/>
      <c r="AB323" s="1"/>
      <c r="AC323" s="1"/>
      <c r="AD323" s="1"/>
      <c r="AE323" s="1"/>
      <c r="AF323" s="1"/>
      <c r="AG323" s="1"/>
      <c r="AH323" s="1"/>
    </row>
    <row r="324" ht="12.75" hidden="1" customHeight="1" outlineLevel="1">
      <c r="A324" s="17">
        <v>41098.0</v>
      </c>
      <c r="B324" s="1"/>
      <c r="C324" s="1" t="s">
        <v>433</v>
      </c>
      <c r="D324" s="74"/>
      <c r="E324" s="67"/>
      <c r="F324" s="75"/>
      <c r="G324" s="67"/>
      <c r="H324" s="68"/>
      <c r="I324" s="76"/>
      <c r="J324" s="67"/>
      <c r="K324" s="1" t="s">
        <v>434</v>
      </c>
      <c r="L324" s="77"/>
      <c r="M324" s="79"/>
      <c r="N324" s="1"/>
      <c r="O324" s="1"/>
      <c r="P324" s="1"/>
      <c r="Q324" s="1"/>
      <c r="R324" s="1"/>
      <c r="S324" s="1"/>
      <c r="T324" s="1"/>
      <c r="U324" s="1"/>
      <c r="V324" s="1"/>
      <c r="W324" s="1"/>
      <c r="X324" s="1"/>
      <c r="Y324" s="1"/>
      <c r="Z324" s="1"/>
      <c r="AA324" s="1"/>
      <c r="AB324" s="1"/>
      <c r="AC324" s="1"/>
      <c r="AD324" s="1"/>
      <c r="AE324" s="1"/>
      <c r="AF324" s="1"/>
      <c r="AG324" s="1"/>
      <c r="AH324" s="1"/>
    </row>
    <row r="325" ht="12.75" hidden="1" customHeight="1" outlineLevel="1">
      <c r="A325" s="17">
        <v>41098.0</v>
      </c>
      <c r="B325" s="1"/>
      <c r="C325" s="1" t="s">
        <v>435</v>
      </c>
      <c r="D325" s="74"/>
      <c r="E325" s="67"/>
      <c r="F325" s="75"/>
      <c r="G325" s="67"/>
      <c r="H325" s="68"/>
      <c r="I325" s="76"/>
      <c r="J325" s="67"/>
      <c r="K325" s="1"/>
      <c r="L325" s="77"/>
      <c r="M325" s="79"/>
      <c r="N325" s="1"/>
      <c r="O325" s="1"/>
      <c r="P325" s="1"/>
      <c r="Q325" s="1"/>
      <c r="R325" s="1"/>
      <c r="S325" s="1"/>
      <c r="T325" s="1"/>
      <c r="U325" s="1"/>
      <c r="V325" s="1"/>
      <c r="W325" s="1"/>
      <c r="X325" s="1"/>
      <c r="Y325" s="1"/>
      <c r="Z325" s="1"/>
      <c r="AA325" s="1"/>
      <c r="AB325" s="1"/>
      <c r="AC325" s="1"/>
      <c r="AD325" s="1"/>
      <c r="AE325" s="1"/>
      <c r="AF325" s="1"/>
      <c r="AG325" s="1"/>
      <c r="AH325" s="1"/>
    </row>
    <row r="326" ht="12.75" hidden="1" customHeight="1" outlineLevel="1">
      <c r="A326" s="17">
        <v>41099.0</v>
      </c>
      <c r="B326" s="1"/>
      <c r="C326" s="1" t="s">
        <v>339</v>
      </c>
      <c r="D326" s="74"/>
      <c r="E326" s="67"/>
      <c r="F326" s="75"/>
      <c r="G326" s="67"/>
      <c r="H326" s="68"/>
      <c r="I326" s="76"/>
      <c r="J326" s="67"/>
      <c r="K326" s="7" t="s">
        <v>467</v>
      </c>
      <c r="L326" s="77"/>
      <c r="M326" s="79"/>
      <c r="N326" s="1"/>
      <c r="O326" s="1"/>
      <c r="P326" s="1"/>
      <c r="Q326" s="1"/>
      <c r="R326" s="1"/>
      <c r="S326" s="1"/>
      <c r="T326" s="1"/>
      <c r="U326" s="1"/>
      <c r="V326" s="1"/>
      <c r="W326" s="1"/>
      <c r="X326" s="1"/>
      <c r="Y326" s="1"/>
      <c r="Z326" s="1"/>
      <c r="AA326" s="1"/>
      <c r="AB326" s="1"/>
      <c r="AC326" s="1"/>
      <c r="AD326" s="1"/>
      <c r="AE326" s="1"/>
      <c r="AF326" s="1"/>
      <c r="AG326" s="1"/>
      <c r="AH326" s="1"/>
    </row>
    <row r="327" ht="12.75" hidden="1" customHeight="1" outlineLevel="1">
      <c r="A327" s="17">
        <v>41099.0</v>
      </c>
      <c r="B327" s="1"/>
      <c r="C327" s="1" t="s">
        <v>429</v>
      </c>
      <c r="D327" s="74"/>
      <c r="E327" s="67"/>
      <c r="F327" s="75"/>
      <c r="G327" s="67"/>
      <c r="H327" s="68"/>
      <c r="I327" s="76"/>
      <c r="J327" s="67"/>
      <c r="K327" s="7" t="s">
        <v>432</v>
      </c>
      <c r="L327" s="77"/>
      <c r="M327" s="79"/>
      <c r="N327" s="1"/>
      <c r="O327" s="1"/>
      <c r="P327" s="1"/>
      <c r="Q327" s="1"/>
      <c r="R327" s="1"/>
      <c r="S327" s="1"/>
      <c r="T327" s="1"/>
      <c r="U327" s="1"/>
      <c r="V327" s="1"/>
      <c r="W327" s="1"/>
      <c r="X327" s="1"/>
      <c r="Y327" s="1"/>
      <c r="Z327" s="1"/>
      <c r="AA327" s="1"/>
      <c r="AB327" s="1"/>
      <c r="AC327" s="1"/>
      <c r="AD327" s="1"/>
      <c r="AE327" s="1"/>
      <c r="AF327" s="1"/>
      <c r="AG327" s="1"/>
      <c r="AH327" s="1"/>
    </row>
    <row r="328" ht="12.75" hidden="1" customHeight="1" outlineLevel="1">
      <c r="A328" s="17">
        <v>41099.0</v>
      </c>
      <c r="B328" s="1"/>
      <c r="C328" s="1" t="s">
        <v>431</v>
      </c>
      <c r="D328" s="74"/>
      <c r="E328" s="67"/>
      <c r="F328" s="75"/>
      <c r="G328" s="67"/>
      <c r="H328" s="68"/>
      <c r="I328" s="76"/>
      <c r="J328" s="67"/>
      <c r="K328" s="1" t="s">
        <v>432</v>
      </c>
      <c r="L328" s="77"/>
      <c r="M328" s="79"/>
      <c r="N328" s="1"/>
      <c r="O328" s="1"/>
      <c r="P328" s="1"/>
      <c r="Q328" s="1"/>
      <c r="R328" s="1"/>
      <c r="S328" s="1"/>
      <c r="T328" s="1"/>
      <c r="U328" s="1"/>
      <c r="V328" s="1"/>
      <c r="W328" s="1"/>
      <c r="X328" s="1"/>
      <c r="Y328" s="1"/>
      <c r="Z328" s="1"/>
      <c r="AA328" s="1"/>
      <c r="AB328" s="1"/>
      <c r="AC328" s="1"/>
      <c r="AD328" s="1"/>
      <c r="AE328" s="1"/>
      <c r="AF328" s="1"/>
      <c r="AG328" s="1"/>
      <c r="AH328" s="1"/>
    </row>
    <row r="329" ht="12.75" hidden="1" customHeight="1" outlineLevel="1">
      <c r="A329" s="17">
        <v>41099.0</v>
      </c>
      <c r="B329" s="1"/>
      <c r="C329" s="1" t="s">
        <v>433</v>
      </c>
      <c r="D329" s="74"/>
      <c r="E329" s="67"/>
      <c r="F329" s="75"/>
      <c r="G329" s="67"/>
      <c r="H329" s="68"/>
      <c r="I329" s="76"/>
      <c r="J329" s="67"/>
      <c r="K329" s="1" t="s">
        <v>434</v>
      </c>
      <c r="L329" s="77"/>
      <c r="M329" s="79"/>
      <c r="N329" s="1"/>
      <c r="O329" s="1"/>
      <c r="P329" s="1"/>
      <c r="Q329" s="1"/>
      <c r="R329" s="1"/>
      <c r="S329" s="1"/>
      <c r="T329" s="1"/>
      <c r="U329" s="1"/>
      <c r="V329" s="1"/>
      <c r="W329" s="1"/>
      <c r="X329" s="1"/>
      <c r="Y329" s="1"/>
      <c r="Z329" s="1"/>
      <c r="AA329" s="1"/>
      <c r="AB329" s="1"/>
      <c r="AC329" s="1"/>
      <c r="AD329" s="1"/>
      <c r="AE329" s="1"/>
      <c r="AF329" s="1"/>
      <c r="AG329" s="1"/>
      <c r="AH329" s="1"/>
    </row>
    <row r="330" ht="12.75" hidden="1" customHeight="1" outlineLevel="1">
      <c r="A330" s="17">
        <v>41099.0</v>
      </c>
      <c r="B330" s="1"/>
      <c r="C330" s="1" t="s">
        <v>435</v>
      </c>
      <c r="D330" s="74"/>
      <c r="E330" s="67"/>
      <c r="F330" s="75"/>
      <c r="G330" s="67"/>
      <c r="H330" s="68"/>
      <c r="I330" s="76"/>
      <c r="J330" s="67"/>
      <c r="K330" s="1"/>
      <c r="L330" s="77"/>
      <c r="M330" s="79"/>
      <c r="N330" s="1"/>
      <c r="O330" s="1"/>
      <c r="P330" s="1"/>
      <c r="Q330" s="1"/>
      <c r="R330" s="1"/>
      <c r="S330" s="1"/>
      <c r="T330" s="1"/>
      <c r="U330" s="1"/>
      <c r="V330" s="1"/>
      <c r="W330" s="1"/>
      <c r="X330" s="1"/>
      <c r="Y330" s="1"/>
      <c r="Z330" s="1"/>
      <c r="AA330" s="1"/>
      <c r="AB330" s="1"/>
      <c r="AC330" s="1"/>
      <c r="AD330" s="1"/>
      <c r="AE330" s="1"/>
      <c r="AF330" s="1"/>
      <c r="AG330" s="1"/>
      <c r="AH330" s="1"/>
    </row>
    <row r="331" ht="12.75" hidden="1" customHeight="1" outlineLevel="1">
      <c r="A331" s="17">
        <v>41099.0</v>
      </c>
      <c r="B331" s="1" t="s">
        <v>343</v>
      </c>
      <c r="C331" s="1" t="s">
        <v>344</v>
      </c>
      <c r="D331" s="1">
        <v>300.0</v>
      </c>
      <c r="E331" s="1">
        <v>30.97</v>
      </c>
      <c r="F331" s="75">
        <v>0.745011574074074</v>
      </c>
      <c r="G331" s="1"/>
      <c r="H331" s="1">
        <v>1.5</v>
      </c>
      <c r="I331" s="76"/>
      <c r="J331" s="67">
        <f t="shared" ref="J331:J335" si="25">IF(B331="SLD",D331*E331,-D331*E331)-H331</f>
        <v>-9292.5</v>
      </c>
      <c r="K331" s="1" t="s">
        <v>395</v>
      </c>
      <c r="L331" s="70"/>
      <c r="M331" s="79"/>
      <c r="N331" s="1"/>
      <c r="O331" s="1"/>
      <c r="P331" s="1"/>
      <c r="Q331" s="1"/>
      <c r="R331" s="1"/>
      <c r="S331" s="1"/>
      <c r="T331" s="1"/>
      <c r="U331" s="1"/>
      <c r="V331" s="1"/>
      <c r="W331" s="1"/>
      <c r="X331" s="1"/>
      <c r="Y331" s="1"/>
      <c r="Z331" s="1"/>
      <c r="AA331" s="1"/>
      <c r="AB331" s="1"/>
      <c r="AC331" s="1"/>
      <c r="AD331" s="1"/>
      <c r="AE331" s="1"/>
      <c r="AF331" s="1"/>
      <c r="AG331" s="1"/>
      <c r="AH331" s="1"/>
    </row>
    <row r="332" ht="12.75" hidden="1" customHeight="1" outlineLevel="1">
      <c r="A332" s="17">
        <v>41099.0</v>
      </c>
      <c r="B332" s="1" t="s">
        <v>343</v>
      </c>
      <c r="C332" s="1" t="s">
        <v>344</v>
      </c>
      <c r="D332" s="1">
        <v>100.0</v>
      </c>
      <c r="E332" s="1">
        <v>30.97</v>
      </c>
      <c r="F332" s="75">
        <v>0.745011574074074</v>
      </c>
      <c r="G332" s="1"/>
      <c r="H332" s="1">
        <v>0.4</v>
      </c>
      <c r="I332" s="76"/>
      <c r="J332" s="67">
        <f t="shared" si="25"/>
        <v>-3097.4</v>
      </c>
      <c r="K332" s="1" t="s">
        <v>395</v>
      </c>
      <c r="L332" s="70"/>
      <c r="M332" s="79"/>
      <c r="N332" s="1"/>
      <c r="O332" s="1"/>
      <c r="P332" s="1"/>
      <c r="Q332" s="1"/>
      <c r="R332" s="1"/>
      <c r="S332" s="1"/>
      <c r="T332" s="1"/>
      <c r="U332" s="1"/>
      <c r="V332" s="1"/>
      <c r="W332" s="1"/>
      <c r="X332" s="1"/>
      <c r="Y332" s="1"/>
      <c r="Z332" s="1"/>
      <c r="AA332" s="1"/>
      <c r="AB332" s="1"/>
      <c r="AC332" s="1"/>
      <c r="AD332" s="1"/>
      <c r="AE332" s="1"/>
      <c r="AF332" s="1"/>
      <c r="AG332" s="1"/>
      <c r="AH332" s="1"/>
    </row>
    <row r="333" ht="12.75" hidden="1" customHeight="1" outlineLevel="1">
      <c r="A333" s="17">
        <v>41099.0</v>
      </c>
      <c r="B333" s="1" t="s">
        <v>343</v>
      </c>
      <c r="C333" s="1" t="s">
        <v>344</v>
      </c>
      <c r="D333" s="1">
        <v>300.0</v>
      </c>
      <c r="E333" s="1">
        <v>30.97</v>
      </c>
      <c r="F333" s="75">
        <v>0.745011574074074</v>
      </c>
      <c r="G333" s="1"/>
      <c r="H333" s="1">
        <v>1.2</v>
      </c>
      <c r="I333" s="76"/>
      <c r="J333" s="67">
        <f t="shared" si="25"/>
        <v>-9292.2</v>
      </c>
      <c r="K333" s="1" t="s">
        <v>395</v>
      </c>
      <c r="L333" s="70"/>
      <c r="M333" s="79"/>
      <c r="N333" s="1"/>
      <c r="O333" s="1"/>
      <c r="P333" s="1"/>
      <c r="Q333" s="1"/>
      <c r="R333" s="1"/>
      <c r="S333" s="1"/>
      <c r="T333" s="1"/>
      <c r="U333" s="1"/>
      <c r="V333" s="1"/>
      <c r="W333" s="1"/>
      <c r="X333" s="1"/>
      <c r="Y333" s="1"/>
      <c r="Z333" s="1"/>
      <c r="AA333" s="1"/>
      <c r="AB333" s="1"/>
      <c r="AC333" s="1"/>
      <c r="AD333" s="1"/>
      <c r="AE333" s="1"/>
      <c r="AF333" s="1"/>
      <c r="AG333" s="1"/>
      <c r="AH333" s="1"/>
    </row>
    <row r="334" ht="12.75" hidden="1" customHeight="1" outlineLevel="1">
      <c r="A334" s="17">
        <v>41099.0</v>
      </c>
      <c r="B334" s="1" t="s">
        <v>343</v>
      </c>
      <c r="C334" s="1" t="s">
        <v>344</v>
      </c>
      <c r="D334" s="1">
        <v>100.0</v>
      </c>
      <c r="E334" s="1">
        <v>30.97</v>
      </c>
      <c r="F334" s="75">
        <v>0.745011574074074</v>
      </c>
      <c r="G334" s="1"/>
      <c r="H334" s="1">
        <v>0.4</v>
      </c>
      <c r="I334" s="76"/>
      <c r="J334" s="67">
        <f t="shared" si="25"/>
        <v>-3097.4</v>
      </c>
      <c r="K334" s="1" t="s">
        <v>395</v>
      </c>
      <c r="L334" s="70"/>
      <c r="M334" s="79"/>
      <c r="N334" s="1"/>
      <c r="O334" s="1"/>
      <c r="P334" s="1"/>
      <c r="Q334" s="1"/>
      <c r="R334" s="1"/>
      <c r="S334" s="1"/>
      <c r="T334" s="1"/>
      <c r="U334" s="1"/>
      <c r="V334" s="1"/>
      <c r="W334" s="1"/>
      <c r="X334" s="1"/>
      <c r="Y334" s="1"/>
      <c r="Z334" s="1"/>
      <c r="AA334" s="1"/>
      <c r="AB334" s="1"/>
      <c r="AC334" s="1"/>
      <c r="AD334" s="1"/>
      <c r="AE334" s="1"/>
      <c r="AF334" s="1"/>
      <c r="AG334" s="1"/>
      <c r="AH334" s="1"/>
    </row>
    <row r="335" ht="12.75" hidden="1" customHeight="1" outlineLevel="1">
      <c r="A335" s="17">
        <v>41099.0</v>
      </c>
      <c r="B335" s="1" t="s">
        <v>343</v>
      </c>
      <c r="C335" s="1" t="s">
        <v>354</v>
      </c>
      <c r="D335" s="1">
        <v>300.0</v>
      </c>
      <c r="E335" s="1">
        <v>73.93</v>
      </c>
      <c r="F335" s="75">
        <v>0.7523032407407407</v>
      </c>
      <c r="G335" s="1"/>
      <c r="H335" s="1">
        <v>1.5</v>
      </c>
      <c r="I335" s="76"/>
      <c r="J335" s="67">
        <f t="shared" si="25"/>
        <v>-22180.5</v>
      </c>
      <c r="K335" s="1" t="s">
        <v>395</v>
      </c>
      <c r="L335" s="70"/>
      <c r="M335" s="79"/>
      <c r="N335" s="1"/>
      <c r="O335" s="1"/>
      <c r="P335" s="1"/>
      <c r="Q335" s="1"/>
      <c r="R335" s="1"/>
      <c r="S335" s="1"/>
      <c r="T335" s="1"/>
      <c r="U335" s="1"/>
      <c r="V335" s="1"/>
      <c r="W335" s="1"/>
      <c r="X335" s="1"/>
      <c r="Y335" s="1"/>
      <c r="Z335" s="1"/>
      <c r="AA335" s="1"/>
      <c r="AB335" s="1"/>
      <c r="AC335" s="1"/>
      <c r="AD335" s="1"/>
      <c r="AE335" s="1"/>
      <c r="AF335" s="1"/>
      <c r="AG335" s="1"/>
      <c r="AH335" s="1"/>
    </row>
    <row r="336" ht="12.75" hidden="1" customHeight="1" outlineLevel="1">
      <c r="A336" s="17">
        <v>41100.0</v>
      </c>
      <c r="B336" s="1"/>
      <c r="C336" s="1" t="s">
        <v>339</v>
      </c>
      <c r="D336" s="74"/>
      <c r="E336" s="67"/>
      <c r="F336" s="75"/>
      <c r="G336" s="67"/>
      <c r="H336" s="68"/>
      <c r="I336" s="76"/>
      <c r="J336" s="67"/>
      <c r="K336" s="7" t="s">
        <v>472</v>
      </c>
      <c r="L336" s="77"/>
      <c r="M336" s="79"/>
      <c r="N336" s="1"/>
      <c r="O336" s="1"/>
      <c r="P336" s="1"/>
      <c r="Q336" s="1"/>
      <c r="R336" s="1"/>
      <c r="S336" s="1"/>
      <c r="T336" s="1"/>
      <c r="U336" s="1"/>
      <c r="V336" s="1"/>
      <c r="W336" s="1"/>
      <c r="X336" s="1"/>
      <c r="Y336" s="1"/>
      <c r="Z336" s="1"/>
      <c r="AA336" s="1"/>
      <c r="AB336" s="1"/>
      <c r="AC336" s="1"/>
      <c r="AD336" s="1"/>
      <c r="AE336" s="1"/>
      <c r="AF336" s="1"/>
      <c r="AG336" s="1"/>
      <c r="AH336" s="1"/>
    </row>
    <row r="337" ht="12.75" hidden="1" customHeight="1" outlineLevel="1">
      <c r="A337" s="17">
        <v>41100.0</v>
      </c>
      <c r="B337" s="1"/>
      <c r="C337" s="1" t="s">
        <v>429</v>
      </c>
      <c r="D337" s="74"/>
      <c r="E337" s="67"/>
      <c r="F337" s="75"/>
      <c r="G337" s="67"/>
      <c r="H337" s="68"/>
      <c r="I337" s="76"/>
      <c r="J337" s="67"/>
      <c r="K337" s="7" t="s">
        <v>432</v>
      </c>
      <c r="L337" s="77"/>
      <c r="M337" s="79"/>
      <c r="N337" s="1"/>
      <c r="O337" s="1"/>
      <c r="P337" s="1"/>
      <c r="Q337" s="1"/>
      <c r="R337" s="1"/>
      <c r="S337" s="1"/>
      <c r="T337" s="1"/>
      <c r="U337" s="1"/>
      <c r="V337" s="1"/>
      <c r="W337" s="1"/>
      <c r="X337" s="1"/>
      <c r="Y337" s="1"/>
      <c r="Z337" s="1"/>
      <c r="AA337" s="1"/>
      <c r="AB337" s="1"/>
      <c r="AC337" s="1"/>
      <c r="AD337" s="1"/>
      <c r="AE337" s="1"/>
      <c r="AF337" s="1"/>
      <c r="AG337" s="1"/>
      <c r="AH337" s="1"/>
    </row>
    <row r="338" ht="12.75" hidden="1" customHeight="1" outlineLevel="1">
      <c r="A338" s="17">
        <v>41100.0</v>
      </c>
      <c r="B338" s="1"/>
      <c r="C338" s="1" t="s">
        <v>431</v>
      </c>
      <c r="D338" s="74"/>
      <c r="E338" s="67"/>
      <c r="F338" s="75"/>
      <c r="G338" s="67"/>
      <c r="H338" s="68"/>
      <c r="I338" s="76"/>
      <c r="J338" s="67"/>
      <c r="K338" s="1" t="s">
        <v>432</v>
      </c>
      <c r="L338" s="77"/>
      <c r="M338" s="79"/>
      <c r="N338" s="1"/>
      <c r="O338" s="1"/>
      <c r="P338" s="1"/>
      <c r="Q338" s="1"/>
      <c r="R338" s="1"/>
      <c r="S338" s="1"/>
      <c r="T338" s="1"/>
      <c r="U338" s="1"/>
      <c r="V338" s="1"/>
      <c r="W338" s="1"/>
      <c r="X338" s="1"/>
      <c r="Y338" s="1"/>
      <c r="Z338" s="1"/>
      <c r="AA338" s="1"/>
      <c r="AB338" s="1"/>
      <c r="AC338" s="1"/>
      <c r="AD338" s="1"/>
      <c r="AE338" s="1"/>
      <c r="AF338" s="1"/>
      <c r="AG338" s="1"/>
      <c r="AH338" s="1"/>
    </row>
    <row r="339" ht="12.75" hidden="1" customHeight="1" outlineLevel="1">
      <c r="A339" s="17">
        <v>41100.0</v>
      </c>
      <c r="B339" s="1"/>
      <c r="C339" s="1" t="s">
        <v>433</v>
      </c>
      <c r="D339" s="74"/>
      <c r="E339" s="67"/>
      <c r="F339" s="75"/>
      <c r="G339" s="67"/>
      <c r="H339" s="68"/>
      <c r="I339" s="76"/>
      <c r="J339" s="67"/>
      <c r="K339" s="1" t="s">
        <v>434</v>
      </c>
      <c r="L339" s="77"/>
      <c r="M339" s="79"/>
      <c r="N339" s="1"/>
      <c r="O339" s="1"/>
      <c r="P339" s="1"/>
      <c r="Q339" s="1"/>
      <c r="R339" s="1"/>
      <c r="S339" s="1"/>
      <c r="T339" s="1"/>
      <c r="U339" s="1"/>
      <c r="V339" s="1"/>
      <c r="W339" s="1"/>
      <c r="X339" s="1"/>
      <c r="Y339" s="1"/>
      <c r="Z339" s="1"/>
      <c r="AA339" s="1"/>
      <c r="AB339" s="1"/>
      <c r="AC339" s="1"/>
      <c r="AD339" s="1"/>
      <c r="AE339" s="1"/>
      <c r="AF339" s="1"/>
      <c r="AG339" s="1"/>
      <c r="AH339" s="1"/>
    </row>
    <row r="340" ht="12.75" hidden="1" customHeight="1" outlineLevel="1">
      <c r="A340" s="17">
        <v>41100.0</v>
      </c>
      <c r="B340" s="1"/>
      <c r="C340" s="1" t="s">
        <v>435</v>
      </c>
      <c r="D340" s="74"/>
      <c r="E340" s="67"/>
      <c r="F340" s="75"/>
      <c r="G340" s="67"/>
      <c r="H340" s="68"/>
      <c r="I340" s="76"/>
      <c r="J340" s="67"/>
      <c r="K340" s="1"/>
      <c r="L340" s="77"/>
      <c r="M340" s="79"/>
      <c r="N340" s="1"/>
      <c r="O340" s="1"/>
      <c r="P340" s="1"/>
      <c r="Q340" s="1"/>
      <c r="R340" s="1"/>
      <c r="S340" s="1"/>
      <c r="T340" s="1"/>
      <c r="U340" s="1"/>
      <c r="V340" s="1"/>
      <c r="W340" s="1"/>
      <c r="X340" s="1"/>
      <c r="Y340" s="1"/>
      <c r="Z340" s="1"/>
      <c r="AA340" s="1"/>
      <c r="AB340" s="1"/>
      <c r="AC340" s="1"/>
      <c r="AD340" s="1"/>
      <c r="AE340" s="1"/>
      <c r="AF340" s="1"/>
      <c r="AG340" s="1"/>
      <c r="AH340" s="1"/>
    </row>
    <row r="341" ht="12.75" hidden="1" customHeight="1" outlineLevel="1">
      <c r="A341" s="17">
        <v>41100.0</v>
      </c>
      <c r="B341" s="1" t="s">
        <v>343</v>
      </c>
      <c r="C341" s="1" t="s">
        <v>394</v>
      </c>
      <c r="D341" s="1">
        <v>50.0</v>
      </c>
      <c r="E341" s="1">
        <v>1336.0</v>
      </c>
      <c r="F341" s="75">
        <v>0.7696759259259259</v>
      </c>
      <c r="G341" s="1"/>
      <c r="H341" s="1">
        <v>2.01</v>
      </c>
      <c r="I341" s="76"/>
      <c r="J341" s="67">
        <f>IF(B341="SLD",D341*E341,-D341*E341)-H341</f>
        <v>-66802.01</v>
      </c>
      <c r="K341" s="1" t="s">
        <v>395</v>
      </c>
      <c r="L341" s="70"/>
      <c r="M341" s="79"/>
      <c r="N341" s="1"/>
      <c r="O341" s="1"/>
      <c r="P341" s="1"/>
      <c r="Q341" s="1"/>
      <c r="R341" s="1"/>
      <c r="S341" s="1"/>
      <c r="T341" s="1"/>
      <c r="U341" s="1"/>
      <c r="V341" s="1"/>
      <c r="W341" s="1"/>
      <c r="X341" s="1"/>
      <c r="Y341" s="1"/>
      <c r="Z341" s="1"/>
      <c r="AA341" s="1"/>
      <c r="AB341" s="1"/>
      <c r="AC341" s="1"/>
      <c r="AD341" s="1"/>
      <c r="AE341" s="1"/>
      <c r="AF341" s="1"/>
      <c r="AG341" s="1"/>
      <c r="AH341" s="1"/>
    </row>
    <row r="342" ht="12.75" hidden="1" customHeight="1" outlineLevel="1">
      <c r="A342" s="17">
        <v>41100.0</v>
      </c>
      <c r="B342" s="1"/>
      <c r="C342" s="1" t="s">
        <v>339</v>
      </c>
      <c r="D342" s="74"/>
      <c r="E342" s="67"/>
      <c r="F342" s="75"/>
      <c r="G342" s="67"/>
      <c r="H342" s="68"/>
      <c r="I342" s="76"/>
      <c r="J342" s="67"/>
      <c r="K342" s="7" t="s">
        <v>474</v>
      </c>
      <c r="L342" s="77"/>
      <c r="M342" s="79"/>
      <c r="N342" s="1"/>
      <c r="O342" s="1"/>
      <c r="P342" s="1"/>
      <c r="Q342" s="1"/>
      <c r="R342" s="1"/>
      <c r="S342" s="1"/>
      <c r="T342" s="1"/>
      <c r="U342" s="1"/>
      <c r="V342" s="1"/>
      <c r="W342" s="1"/>
      <c r="X342" s="1"/>
      <c r="Y342" s="1"/>
      <c r="Z342" s="1"/>
      <c r="AA342" s="1"/>
      <c r="AB342" s="1"/>
      <c r="AC342" s="1"/>
      <c r="AD342" s="1"/>
      <c r="AE342" s="1"/>
      <c r="AF342" s="1"/>
      <c r="AG342" s="1"/>
      <c r="AH342" s="1"/>
    </row>
    <row r="343" ht="12.75" hidden="1" customHeight="1" outlineLevel="1">
      <c r="A343" s="17">
        <v>41100.0</v>
      </c>
      <c r="B343" s="1"/>
      <c r="C343" s="1" t="s">
        <v>429</v>
      </c>
      <c r="D343" s="74"/>
      <c r="E343" s="67"/>
      <c r="F343" s="75"/>
      <c r="G343" s="67"/>
      <c r="H343" s="68"/>
      <c r="I343" s="76"/>
      <c r="J343" s="67"/>
      <c r="K343" s="7" t="s">
        <v>432</v>
      </c>
      <c r="L343" s="77"/>
      <c r="M343" s="79"/>
      <c r="N343" s="1"/>
      <c r="O343" s="1"/>
      <c r="P343" s="1"/>
      <c r="Q343" s="1"/>
      <c r="R343" s="1"/>
      <c r="S343" s="1"/>
      <c r="T343" s="1"/>
      <c r="U343" s="1"/>
      <c r="V343" s="1"/>
      <c r="W343" s="1"/>
      <c r="X343" s="1"/>
      <c r="Y343" s="1"/>
      <c r="Z343" s="1"/>
      <c r="AA343" s="1"/>
      <c r="AB343" s="1"/>
      <c r="AC343" s="1"/>
      <c r="AD343" s="1"/>
      <c r="AE343" s="1"/>
      <c r="AF343" s="1"/>
      <c r="AG343" s="1"/>
      <c r="AH343" s="1"/>
    </row>
    <row r="344" ht="12.75" hidden="1" customHeight="1" outlineLevel="1">
      <c r="A344" s="17">
        <v>41100.0</v>
      </c>
      <c r="B344" s="1"/>
      <c r="C344" s="1" t="s">
        <v>431</v>
      </c>
      <c r="D344" s="74"/>
      <c r="E344" s="67"/>
      <c r="F344" s="75"/>
      <c r="G344" s="67"/>
      <c r="H344" s="68"/>
      <c r="I344" s="76"/>
      <c r="J344" s="67"/>
      <c r="K344" s="1" t="s">
        <v>432</v>
      </c>
      <c r="L344" s="77"/>
      <c r="M344" s="79"/>
      <c r="N344" s="1"/>
      <c r="O344" s="1"/>
      <c r="P344" s="1"/>
      <c r="Q344" s="1"/>
      <c r="R344" s="1"/>
      <c r="S344" s="1"/>
      <c r="T344" s="1"/>
      <c r="U344" s="1"/>
      <c r="V344" s="1"/>
      <c r="W344" s="1"/>
      <c r="X344" s="1"/>
      <c r="Y344" s="1"/>
      <c r="Z344" s="1"/>
      <c r="AA344" s="1"/>
      <c r="AB344" s="1"/>
      <c r="AC344" s="1"/>
      <c r="AD344" s="1"/>
      <c r="AE344" s="1"/>
      <c r="AF344" s="1"/>
      <c r="AG344" s="1"/>
      <c r="AH344" s="1"/>
    </row>
    <row r="345" ht="12.75" hidden="1" customHeight="1" outlineLevel="1">
      <c r="A345" s="17">
        <v>41100.0</v>
      </c>
      <c r="B345" s="1"/>
      <c r="C345" s="1" t="s">
        <v>433</v>
      </c>
      <c r="D345" s="74"/>
      <c r="E345" s="67"/>
      <c r="F345" s="75"/>
      <c r="G345" s="67"/>
      <c r="H345" s="68"/>
      <c r="I345" s="76"/>
      <c r="J345" s="67"/>
      <c r="K345" s="1" t="s">
        <v>434</v>
      </c>
      <c r="L345" s="77"/>
      <c r="M345" s="79"/>
      <c r="N345" s="1"/>
      <c r="O345" s="1"/>
      <c r="P345" s="1"/>
      <c r="Q345" s="1"/>
      <c r="R345" s="1"/>
      <c r="S345" s="1"/>
      <c r="T345" s="1"/>
      <c r="U345" s="1"/>
      <c r="V345" s="1"/>
      <c r="W345" s="1"/>
      <c r="X345" s="1"/>
      <c r="Y345" s="1"/>
      <c r="Z345" s="1"/>
      <c r="AA345" s="1"/>
      <c r="AB345" s="1"/>
      <c r="AC345" s="1"/>
      <c r="AD345" s="1"/>
      <c r="AE345" s="1"/>
      <c r="AF345" s="1"/>
      <c r="AG345" s="1"/>
      <c r="AH345" s="1"/>
    </row>
    <row r="346" ht="12.75" hidden="1" customHeight="1" outlineLevel="1">
      <c r="A346" s="17">
        <v>41100.0</v>
      </c>
      <c r="B346" s="1"/>
      <c r="C346" s="1" t="s">
        <v>435</v>
      </c>
      <c r="D346" s="74"/>
      <c r="E346" s="67"/>
      <c r="F346" s="75"/>
      <c r="G346" s="67"/>
      <c r="H346" s="68"/>
      <c r="I346" s="76"/>
      <c r="J346" s="67"/>
      <c r="K346" s="1"/>
      <c r="L346" s="77"/>
      <c r="M346" s="79"/>
      <c r="N346" s="1"/>
      <c r="O346" s="1"/>
      <c r="P346" s="1"/>
      <c r="Q346" s="1"/>
      <c r="R346" s="1"/>
      <c r="S346" s="1"/>
      <c r="T346" s="1"/>
      <c r="U346" s="1"/>
      <c r="V346" s="1"/>
      <c r="W346" s="1"/>
      <c r="X346" s="1"/>
      <c r="Y346" s="1"/>
      <c r="Z346" s="1"/>
      <c r="AA346" s="1"/>
      <c r="AB346" s="1"/>
      <c r="AC346" s="1"/>
      <c r="AD346" s="1"/>
      <c r="AE346" s="1"/>
      <c r="AF346" s="1"/>
      <c r="AG346" s="1"/>
      <c r="AH346" s="1"/>
    </row>
    <row r="347" ht="12.75" hidden="1" customHeight="1" outlineLevel="1">
      <c r="A347" s="17">
        <v>41101.0</v>
      </c>
      <c r="B347" s="1" t="s">
        <v>347</v>
      </c>
      <c r="C347" s="1" t="s">
        <v>394</v>
      </c>
      <c r="D347" s="1">
        <v>50.0</v>
      </c>
      <c r="E347" s="1">
        <v>1337.0</v>
      </c>
      <c r="F347" s="75">
        <v>0.5478125</v>
      </c>
      <c r="G347" s="1"/>
      <c r="H347" s="1">
        <v>2.01</v>
      </c>
      <c r="I347" s="76"/>
      <c r="J347" s="67">
        <f t="shared" ref="J347:J354" si="26">IF(B347="SLD",D347*E347,-D347*E347)-H347</f>
        <v>66847.99</v>
      </c>
      <c r="K347" s="1" t="s">
        <v>395</v>
      </c>
      <c r="L347" s="70"/>
      <c r="M347" s="79"/>
      <c r="N347" s="1"/>
      <c r="O347" s="1"/>
      <c r="P347" s="1"/>
      <c r="Q347" s="1"/>
      <c r="R347" s="1"/>
      <c r="S347" s="1"/>
      <c r="T347" s="1"/>
      <c r="U347" s="1"/>
      <c r="V347" s="1"/>
      <c r="W347" s="1"/>
      <c r="X347" s="1"/>
      <c r="Y347" s="1"/>
      <c r="Z347" s="1"/>
      <c r="AA347" s="1"/>
      <c r="AB347" s="1"/>
      <c r="AC347" s="1"/>
      <c r="AD347" s="1"/>
      <c r="AE347" s="1"/>
      <c r="AF347" s="1"/>
      <c r="AG347" s="1"/>
      <c r="AH347" s="1"/>
    </row>
    <row r="348" ht="12.75" hidden="1" customHeight="1" outlineLevel="1">
      <c r="A348" s="17">
        <v>41101.0</v>
      </c>
      <c r="B348" s="1" t="s">
        <v>343</v>
      </c>
      <c r="C348" s="1" t="s">
        <v>394</v>
      </c>
      <c r="D348" s="1">
        <v>50.0</v>
      </c>
      <c r="E348" s="1">
        <v>1335.0</v>
      </c>
      <c r="F348" s="75">
        <v>0.607175925925926</v>
      </c>
      <c r="G348" s="1"/>
      <c r="H348" s="1">
        <v>2.01</v>
      </c>
      <c r="I348" s="76"/>
      <c r="J348" s="67">
        <f t="shared" si="26"/>
        <v>-66752.01</v>
      </c>
      <c r="K348" s="1" t="s">
        <v>395</v>
      </c>
      <c r="L348" s="70"/>
      <c r="M348" s="79"/>
      <c r="N348" s="1"/>
      <c r="O348" s="1"/>
      <c r="P348" s="1"/>
      <c r="Q348" s="1"/>
      <c r="R348" s="1"/>
      <c r="S348" s="1"/>
      <c r="T348" s="1"/>
      <c r="U348" s="1"/>
      <c r="V348" s="1"/>
      <c r="W348" s="1"/>
      <c r="X348" s="1"/>
      <c r="Y348" s="1"/>
      <c r="Z348" s="1"/>
      <c r="AA348" s="1"/>
      <c r="AB348" s="1"/>
      <c r="AC348" s="1"/>
      <c r="AD348" s="1"/>
      <c r="AE348" s="1"/>
      <c r="AF348" s="1"/>
      <c r="AG348" s="1"/>
      <c r="AH348" s="1"/>
    </row>
    <row r="349" ht="12.75" hidden="1" customHeight="1" outlineLevel="1">
      <c r="A349" s="17">
        <v>41101.0</v>
      </c>
      <c r="B349" s="1" t="s">
        <v>343</v>
      </c>
      <c r="C349" s="1" t="s">
        <v>399</v>
      </c>
      <c r="D349" s="1">
        <v>200.0</v>
      </c>
      <c r="E349" s="1">
        <v>7.82</v>
      </c>
      <c r="F349" s="75">
        <v>0.7942013888888889</v>
      </c>
      <c r="G349" s="1"/>
      <c r="H349" s="1">
        <v>1.0</v>
      </c>
      <c r="I349" s="76"/>
      <c r="J349" s="67">
        <f t="shared" si="26"/>
        <v>-1565</v>
      </c>
      <c r="K349" s="1" t="s">
        <v>395</v>
      </c>
      <c r="L349" s="70"/>
      <c r="M349" s="79"/>
      <c r="N349" s="1"/>
      <c r="O349" s="1"/>
      <c r="P349" s="1"/>
      <c r="Q349" s="1"/>
      <c r="R349" s="1"/>
      <c r="S349" s="1"/>
      <c r="T349" s="1"/>
      <c r="U349" s="1"/>
      <c r="V349" s="1"/>
      <c r="W349" s="1"/>
      <c r="X349" s="1"/>
      <c r="Y349" s="1"/>
      <c r="Z349" s="1"/>
      <c r="AA349" s="1"/>
      <c r="AB349" s="1"/>
      <c r="AC349" s="1"/>
      <c r="AD349" s="1"/>
      <c r="AE349" s="1"/>
      <c r="AF349" s="1"/>
      <c r="AG349" s="1"/>
      <c r="AH349" s="1"/>
    </row>
    <row r="350" ht="12.75" hidden="1" customHeight="1" outlineLevel="1">
      <c r="A350" s="17">
        <v>41101.0</v>
      </c>
      <c r="B350" s="1" t="s">
        <v>343</v>
      </c>
      <c r="C350" s="1" t="s">
        <v>399</v>
      </c>
      <c r="D350" s="1">
        <v>25.0</v>
      </c>
      <c r="E350" s="1">
        <v>7.82</v>
      </c>
      <c r="F350" s="75">
        <v>0.7942013888888889</v>
      </c>
      <c r="G350" s="1"/>
      <c r="H350" s="1">
        <v>0.0</v>
      </c>
      <c r="I350" s="76"/>
      <c r="J350" s="67">
        <f t="shared" si="26"/>
        <v>-195.5</v>
      </c>
      <c r="K350" s="1" t="s">
        <v>395</v>
      </c>
      <c r="L350" s="70"/>
      <c r="M350" s="79"/>
      <c r="N350" s="1"/>
      <c r="O350" s="1"/>
      <c r="P350" s="1"/>
      <c r="Q350" s="1"/>
      <c r="R350" s="1"/>
      <c r="S350" s="1"/>
      <c r="T350" s="1"/>
      <c r="U350" s="1"/>
      <c r="V350" s="1"/>
      <c r="W350" s="1"/>
      <c r="X350" s="1"/>
      <c r="Y350" s="1"/>
      <c r="Z350" s="1"/>
      <c r="AA350" s="1"/>
      <c r="AB350" s="1"/>
      <c r="AC350" s="1"/>
      <c r="AD350" s="1"/>
      <c r="AE350" s="1"/>
      <c r="AF350" s="1"/>
      <c r="AG350" s="1"/>
      <c r="AH350" s="1"/>
    </row>
    <row r="351" ht="12.75" hidden="1" customHeight="1" outlineLevel="1">
      <c r="A351" s="17">
        <v>41101.0</v>
      </c>
      <c r="B351" s="1" t="s">
        <v>343</v>
      </c>
      <c r="C351" s="1" t="s">
        <v>399</v>
      </c>
      <c r="D351" s="1">
        <v>200.0</v>
      </c>
      <c r="E351" s="1">
        <v>7.82</v>
      </c>
      <c r="F351" s="75">
        <v>0.7942013888888889</v>
      </c>
      <c r="G351" s="1"/>
      <c r="H351" s="1">
        <v>0.72</v>
      </c>
      <c r="I351" s="76"/>
      <c r="J351" s="67">
        <f t="shared" si="26"/>
        <v>-1564.72</v>
      </c>
      <c r="K351" s="1" t="s">
        <v>395</v>
      </c>
      <c r="L351" s="70"/>
      <c r="M351" s="79"/>
      <c r="N351" s="1"/>
      <c r="O351" s="1"/>
      <c r="P351" s="1"/>
      <c r="Q351" s="1"/>
      <c r="R351" s="1"/>
      <c r="S351" s="1"/>
      <c r="T351" s="1"/>
      <c r="U351" s="1"/>
      <c r="V351" s="1"/>
      <c r="W351" s="1"/>
      <c r="X351" s="1"/>
      <c r="Y351" s="1"/>
      <c r="Z351" s="1"/>
      <c r="AA351" s="1"/>
      <c r="AB351" s="1"/>
      <c r="AC351" s="1"/>
      <c r="AD351" s="1"/>
      <c r="AE351" s="1"/>
      <c r="AF351" s="1"/>
      <c r="AG351" s="1"/>
      <c r="AH351" s="1"/>
    </row>
    <row r="352" ht="12.75" hidden="1" customHeight="1" outlineLevel="1">
      <c r="A352" s="17">
        <v>41101.0</v>
      </c>
      <c r="B352" s="1" t="s">
        <v>343</v>
      </c>
      <c r="C352" s="1" t="s">
        <v>399</v>
      </c>
      <c r="D352" s="1">
        <v>100.0</v>
      </c>
      <c r="E352" s="1">
        <v>7.82</v>
      </c>
      <c r="F352" s="75">
        <v>0.7942013888888889</v>
      </c>
      <c r="G352" s="1"/>
      <c r="H352" s="1">
        <v>0.4</v>
      </c>
      <c r="I352" s="76"/>
      <c r="J352" s="67">
        <f t="shared" si="26"/>
        <v>-782.4</v>
      </c>
      <c r="K352" s="1" t="s">
        <v>395</v>
      </c>
      <c r="L352" s="70"/>
      <c r="M352" s="79"/>
      <c r="N352" s="1"/>
      <c r="O352" s="1"/>
      <c r="P352" s="1"/>
      <c r="Q352" s="1"/>
      <c r="R352" s="1"/>
      <c r="S352" s="1"/>
      <c r="T352" s="1"/>
      <c r="U352" s="1"/>
      <c r="V352" s="1"/>
      <c r="W352" s="1"/>
      <c r="X352" s="1"/>
      <c r="Y352" s="1"/>
      <c r="Z352" s="1"/>
      <c r="AA352" s="1"/>
      <c r="AB352" s="1"/>
      <c r="AC352" s="1"/>
      <c r="AD352" s="1"/>
      <c r="AE352" s="1"/>
      <c r="AF352" s="1"/>
      <c r="AG352" s="1"/>
      <c r="AH352" s="1"/>
    </row>
    <row r="353" ht="12.75" hidden="1" customHeight="1" outlineLevel="1">
      <c r="A353" s="17">
        <v>41101.0</v>
      </c>
      <c r="B353" s="1" t="s">
        <v>343</v>
      </c>
      <c r="C353" s="1" t="s">
        <v>399</v>
      </c>
      <c r="D353" s="1">
        <v>100.0</v>
      </c>
      <c r="E353" s="1">
        <v>7.82</v>
      </c>
      <c r="F353" s="75">
        <v>0.7942013888888889</v>
      </c>
      <c r="G353" s="1"/>
      <c r="H353" s="1">
        <v>0.4</v>
      </c>
      <c r="I353" s="76"/>
      <c r="J353" s="67">
        <f t="shared" si="26"/>
        <v>-782.4</v>
      </c>
      <c r="K353" s="1" t="s">
        <v>395</v>
      </c>
      <c r="L353" s="70"/>
      <c r="M353" s="79"/>
      <c r="N353" s="1"/>
      <c r="O353" s="1"/>
      <c r="P353" s="1"/>
      <c r="Q353" s="1"/>
      <c r="R353" s="1"/>
      <c r="S353" s="1"/>
      <c r="T353" s="1"/>
      <c r="U353" s="1"/>
      <c r="V353" s="1"/>
      <c r="W353" s="1"/>
      <c r="X353" s="1"/>
      <c r="Y353" s="1"/>
      <c r="Z353" s="1"/>
      <c r="AA353" s="1"/>
      <c r="AB353" s="1"/>
      <c r="AC353" s="1"/>
      <c r="AD353" s="1"/>
      <c r="AE353" s="1"/>
      <c r="AF353" s="1"/>
      <c r="AG353" s="1"/>
      <c r="AH353" s="1"/>
    </row>
    <row r="354" ht="12.75" hidden="1" customHeight="1" outlineLevel="1">
      <c r="A354" s="17">
        <v>41101.0</v>
      </c>
      <c r="B354" s="1" t="s">
        <v>343</v>
      </c>
      <c r="C354" s="1" t="s">
        <v>399</v>
      </c>
      <c r="D354" s="1">
        <v>100.0</v>
      </c>
      <c r="E354" s="1">
        <v>7.82</v>
      </c>
      <c r="F354" s="75">
        <v>0.7942013888888889</v>
      </c>
      <c r="G354" s="1"/>
      <c r="H354" s="1">
        <v>0.4</v>
      </c>
      <c r="I354" s="76"/>
      <c r="J354" s="67">
        <f t="shared" si="26"/>
        <v>-782.4</v>
      </c>
      <c r="K354" s="1" t="s">
        <v>395</v>
      </c>
      <c r="L354" s="70"/>
      <c r="M354" s="79"/>
      <c r="N354" s="1"/>
      <c r="O354" s="1"/>
      <c r="P354" s="1"/>
      <c r="Q354" s="1"/>
      <c r="R354" s="1"/>
      <c r="S354" s="1"/>
      <c r="T354" s="1"/>
      <c r="U354" s="1"/>
      <c r="V354" s="1"/>
      <c r="W354" s="1"/>
      <c r="X354" s="1"/>
      <c r="Y354" s="1"/>
      <c r="Z354" s="1"/>
      <c r="AA354" s="1"/>
      <c r="AB354" s="1"/>
      <c r="AC354" s="1"/>
      <c r="AD354" s="1"/>
      <c r="AE354" s="1"/>
      <c r="AF354" s="1"/>
      <c r="AG354" s="1"/>
      <c r="AH354" s="1"/>
    </row>
    <row r="355" ht="12.75" hidden="1" customHeight="1" outlineLevel="1">
      <c r="A355" s="17">
        <v>41101.0</v>
      </c>
      <c r="B355" s="1"/>
      <c r="C355" s="1" t="s">
        <v>339</v>
      </c>
      <c r="D355" s="74"/>
      <c r="E355" s="67"/>
      <c r="F355" s="75"/>
      <c r="G355" s="67"/>
      <c r="H355" s="68"/>
      <c r="I355" s="76"/>
      <c r="J355" s="67"/>
      <c r="K355" s="7" t="s">
        <v>476</v>
      </c>
      <c r="L355" s="77"/>
      <c r="M355" s="79"/>
      <c r="N355" s="1"/>
      <c r="O355" s="1"/>
      <c r="P355" s="1"/>
      <c r="Q355" s="1"/>
      <c r="R355" s="1"/>
      <c r="S355" s="1"/>
      <c r="T355" s="1"/>
      <c r="U355" s="1"/>
      <c r="V355" s="1"/>
      <c r="W355" s="1"/>
      <c r="X355" s="1"/>
      <c r="Y355" s="1"/>
      <c r="Z355" s="1"/>
      <c r="AA355" s="1"/>
      <c r="AB355" s="1"/>
      <c r="AC355" s="1"/>
      <c r="AD355" s="1"/>
      <c r="AE355" s="1"/>
      <c r="AF355" s="1"/>
      <c r="AG355" s="1"/>
      <c r="AH355" s="1"/>
    </row>
    <row r="356" ht="12.75" hidden="1" customHeight="1" outlineLevel="1">
      <c r="A356" s="17">
        <v>41101.0</v>
      </c>
      <c r="B356" s="1"/>
      <c r="C356" s="1" t="s">
        <v>429</v>
      </c>
      <c r="D356" s="74"/>
      <c r="E356" s="67"/>
      <c r="F356" s="75"/>
      <c r="G356" s="67"/>
      <c r="H356" s="68"/>
      <c r="I356" s="76"/>
      <c r="J356" s="67"/>
      <c r="K356" s="7" t="s">
        <v>432</v>
      </c>
      <c r="L356" s="77"/>
      <c r="M356" s="79"/>
      <c r="N356" s="1"/>
      <c r="O356" s="1"/>
      <c r="P356" s="1"/>
      <c r="Q356" s="1"/>
      <c r="R356" s="1"/>
      <c r="S356" s="1"/>
      <c r="T356" s="1"/>
      <c r="U356" s="1"/>
      <c r="V356" s="1"/>
      <c r="W356" s="1"/>
      <c r="X356" s="1"/>
      <c r="Y356" s="1"/>
      <c r="Z356" s="1"/>
      <c r="AA356" s="1"/>
      <c r="AB356" s="1"/>
      <c r="AC356" s="1"/>
      <c r="AD356" s="1"/>
      <c r="AE356" s="1"/>
      <c r="AF356" s="1"/>
      <c r="AG356" s="1"/>
      <c r="AH356" s="1"/>
    </row>
    <row r="357" ht="12.75" hidden="1" customHeight="1" outlineLevel="1">
      <c r="A357" s="17">
        <v>41101.0</v>
      </c>
      <c r="B357" s="1"/>
      <c r="C357" s="1" t="s">
        <v>431</v>
      </c>
      <c r="D357" s="74"/>
      <c r="E357" s="67"/>
      <c r="F357" s="75"/>
      <c r="G357" s="67"/>
      <c r="H357" s="68"/>
      <c r="I357" s="76"/>
      <c r="J357" s="67"/>
      <c r="K357" s="1" t="s">
        <v>432</v>
      </c>
      <c r="L357" s="77"/>
      <c r="M357" s="79"/>
      <c r="N357" s="1"/>
      <c r="O357" s="1"/>
      <c r="P357" s="1"/>
      <c r="Q357" s="1"/>
      <c r="R357" s="1"/>
      <c r="S357" s="1"/>
      <c r="T357" s="1"/>
      <c r="U357" s="1"/>
      <c r="V357" s="1"/>
      <c r="W357" s="1"/>
      <c r="X357" s="1"/>
      <c r="Y357" s="1"/>
      <c r="Z357" s="1"/>
      <c r="AA357" s="1"/>
      <c r="AB357" s="1"/>
      <c r="AC357" s="1"/>
      <c r="AD357" s="1"/>
      <c r="AE357" s="1"/>
      <c r="AF357" s="1"/>
      <c r="AG357" s="1"/>
      <c r="AH357" s="1"/>
    </row>
    <row r="358" ht="12.75" hidden="1" customHeight="1" outlineLevel="1">
      <c r="A358" s="17">
        <v>41101.0</v>
      </c>
      <c r="B358" s="1"/>
      <c r="C358" s="1" t="s">
        <v>433</v>
      </c>
      <c r="D358" s="74"/>
      <c r="E358" s="67"/>
      <c r="F358" s="75"/>
      <c r="G358" s="67"/>
      <c r="H358" s="68"/>
      <c r="I358" s="76"/>
      <c r="J358" s="67"/>
      <c r="K358" s="1" t="s">
        <v>434</v>
      </c>
      <c r="L358" s="77"/>
      <c r="M358" s="79"/>
      <c r="N358" s="1"/>
      <c r="O358" s="1"/>
      <c r="P358" s="1"/>
      <c r="Q358" s="1"/>
      <c r="R358" s="1"/>
      <c r="S358" s="1"/>
      <c r="T358" s="1"/>
      <c r="U358" s="1"/>
      <c r="V358" s="1"/>
      <c r="W358" s="1"/>
      <c r="X358" s="1"/>
      <c r="Y358" s="1"/>
      <c r="Z358" s="1"/>
      <c r="AA358" s="1"/>
      <c r="AB358" s="1"/>
      <c r="AC358" s="1"/>
      <c r="AD358" s="1"/>
      <c r="AE358" s="1"/>
      <c r="AF358" s="1"/>
      <c r="AG358" s="1"/>
      <c r="AH358" s="1"/>
    </row>
    <row r="359" ht="12.75" hidden="1" customHeight="1" outlineLevel="1">
      <c r="A359" s="17">
        <v>41101.0</v>
      </c>
      <c r="B359" s="1"/>
      <c r="C359" s="1" t="s">
        <v>435</v>
      </c>
      <c r="D359" s="74"/>
      <c r="E359" s="67"/>
      <c r="F359" s="75"/>
      <c r="G359" s="67"/>
      <c r="H359" s="68"/>
      <c r="I359" s="76"/>
      <c r="J359" s="67"/>
      <c r="K359" s="1"/>
      <c r="L359" s="77"/>
      <c r="M359" s="79"/>
      <c r="N359" s="1"/>
      <c r="O359" s="1"/>
      <c r="P359" s="1"/>
      <c r="Q359" s="1"/>
      <c r="R359" s="1"/>
      <c r="S359" s="1"/>
      <c r="T359" s="1"/>
      <c r="U359" s="1"/>
      <c r="V359" s="1"/>
      <c r="W359" s="1"/>
      <c r="X359" s="1"/>
      <c r="Y359" s="1"/>
      <c r="Z359" s="1"/>
      <c r="AA359" s="1"/>
      <c r="AB359" s="1"/>
      <c r="AC359" s="1"/>
      <c r="AD359" s="1"/>
      <c r="AE359" s="1"/>
      <c r="AF359" s="1"/>
      <c r="AG359" s="1"/>
      <c r="AH359" s="1"/>
    </row>
    <row r="360" ht="12.75" hidden="1" customHeight="1" outlineLevel="1">
      <c r="A360" s="17">
        <v>41102.0</v>
      </c>
      <c r="B360" s="1" t="s">
        <v>347</v>
      </c>
      <c r="C360" s="1" t="s">
        <v>394</v>
      </c>
      <c r="D360" s="1">
        <v>50.0</v>
      </c>
      <c r="E360" s="1">
        <v>1330.25</v>
      </c>
      <c r="F360" s="75">
        <v>0.25375</v>
      </c>
      <c r="G360" s="1"/>
      <c r="H360" s="1">
        <v>2.01</v>
      </c>
      <c r="I360" s="76"/>
      <c r="J360" s="67">
        <f t="shared" ref="J360:J375" si="27">IF(B360="SLD",D360*E360,-D360*E360)-H360</f>
        <v>66510.49</v>
      </c>
      <c r="K360" s="7" t="s">
        <v>395</v>
      </c>
      <c r="L360" s="70"/>
      <c r="M360" s="79"/>
      <c r="N360" s="1"/>
      <c r="O360" s="1"/>
      <c r="P360" s="1"/>
      <c r="Q360" s="1"/>
      <c r="R360" s="1"/>
      <c r="S360" s="1"/>
      <c r="T360" s="1"/>
      <c r="U360" s="1"/>
      <c r="V360" s="1"/>
      <c r="W360" s="1"/>
      <c r="X360" s="1"/>
      <c r="Y360" s="1"/>
      <c r="Z360" s="1"/>
      <c r="AA360" s="1"/>
      <c r="AB360" s="1"/>
      <c r="AC360" s="1"/>
      <c r="AD360" s="1"/>
      <c r="AE360" s="1"/>
      <c r="AF360" s="1"/>
      <c r="AG360" s="1"/>
      <c r="AH360" s="1"/>
    </row>
    <row r="361" ht="12.75" hidden="1" customHeight="1" outlineLevel="1">
      <c r="A361" s="17">
        <v>41102.0</v>
      </c>
      <c r="B361" s="1" t="s">
        <v>343</v>
      </c>
      <c r="C361" s="1" t="s">
        <v>394</v>
      </c>
      <c r="D361" s="1">
        <v>50.0</v>
      </c>
      <c r="E361" s="1">
        <v>1329.5</v>
      </c>
      <c r="F361" s="75">
        <v>0.5208449074074074</v>
      </c>
      <c r="G361" s="1"/>
      <c r="H361" s="1">
        <v>2.01</v>
      </c>
      <c r="I361" s="76"/>
      <c r="J361" s="67">
        <f t="shared" si="27"/>
        <v>-66477.01</v>
      </c>
      <c r="K361" s="7" t="s">
        <v>395</v>
      </c>
      <c r="L361" s="70"/>
      <c r="M361" s="79"/>
      <c r="N361" s="1"/>
      <c r="O361" s="1"/>
      <c r="P361" s="1"/>
      <c r="Q361" s="1"/>
      <c r="R361" s="1"/>
      <c r="S361" s="1"/>
      <c r="T361" s="1"/>
      <c r="U361" s="1"/>
      <c r="V361" s="1"/>
      <c r="W361" s="1"/>
      <c r="X361" s="1"/>
      <c r="Y361" s="1"/>
      <c r="Z361" s="1"/>
      <c r="AA361" s="1"/>
      <c r="AB361" s="1"/>
      <c r="AC361" s="1"/>
      <c r="AD361" s="1"/>
      <c r="AE361" s="1"/>
      <c r="AF361" s="1"/>
      <c r="AG361" s="1"/>
      <c r="AH361" s="1"/>
    </row>
    <row r="362" ht="12.75" hidden="1" customHeight="1" outlineLevel="1">
      <c r="A362" s="17">
        <v>41102.0</v>
      </c>
      <c r="B362" s="1" t="s">
        <v>347</v>
      </c>
      <c r="C362" s="1" t="s">
        <v>394</v>
      </c>
      <c r="D362" s="1">
        <v>50.0</v>
      </c>
      <c r="E362" s="1">
        <v>1324.5</v>
      </c>
      <c r="F362" s="75">
        <v>0.5669097222222222</v>
      </c>
      <c r="G362" s="1"/>
      <c r="H362" s="1">
        <v>2.01</v>
      </c>
      <c r="I362" s="76"/>
      <c r="J362" s="67">
        <f t="shared" si="27"/>
        <v>66222.99</v>
      </c>
      <c r="K362" s="7" t="s">
        <v>395</v>
      </c>
      <c r="L362" s="70"/>
      <c r="M362" s="79"/>
      <c r="N362" s="1"/>
      <c r="O362" s="1"/>
      <c r="P362" s="1"/>
      <c r="Q362" s="1"/>
      <c r="R362" s="1"/>
      <c r="S362" s="1"/>
      <c r="T362" s="1"/>
      <c r="U362" s="1"/>
      <c r="V362" s="1"/>
      <c r="W362" s="1"/>
      <c r="X362" s="1"/>
      <c r="Y362" s="1"/>
      <c r="Z362" s="1"/>
      <c r="AA362" s="1"/>
      <c r="AB362" s="1"/>
      <c r="AC362" s="1"/>
      <c r="AD362" s="1"/>
      <c r="AE362" s="1"/>
      <c r="AF362" s="1"/>
      <c r="AG362" s="1"/>
      <c r="AH362" s="1"/>
    </row>
    <row r="363" ht="12.75" hidden="1" customHeight="1" outlineLevel="1">
      <c r="A363" s="17">
        <v>41102.0</v>
      </c>
      <c r="B363" s="1" t="s">
        <v>347</v>
      </c>
      <c r="C363" s="1" t="s">
        <v>394</v>
      </c>
      <c r="D363" s="1">
        <v>50.0</v>
      </c>
      <c r="E363" s="1">
        <v>1324.5</v>
      </c>
      <c r="F363" s="75">
        <v>0.5669097222222222</v>
      </c>
      <c r="G363" s="1"/>
      <c r="H363" s="1">
        <v>2.01</v>
      </c>
      <c r="I363" s="76"/>
      <c r="J363" s="67">
        <f t="shared" si="27"/>
        <v>66222.99</v>
      </c>
      <c r="K363" s="7" t="s">
        <v>395</v>
      </c>
      <c r="L363" s="70"/>
      <c r="M363" s="79"/>
      <c r="N363" s="1"/>
      <c r="O363" s="1"/>
      <c r="P363" s="1"/>
      <c r="Q363" s="1"/>
      <c r="R363" s="1"/>
      <c r="S363" s="1"/>
      <c r="T363" s="1"/>
      <c r="U363" s="1"/>
      <c r="V363" s="1"/>
      <c r="W363" s="1"/>
      <c r="X363" s="1"/>
      <c r="Y363" s="1"/>
      <c r="Z363" s="1"/>
      <c r="AA363" s="1"/>
      <c r="AB363" s="1"/>
      <c r="AC363" s="1"/>
      <c r="AD363" s="1"/>
      <c r="AE363" s="1"/>
      <c r="AF363" s="1"/>
      <c r="AG363" s="1"/>
      <c r="AH363" s="1"/>
    </row>
    <row r="364" ht="12.75" hidden="1" customHeight="1" outlineLevel="1">
      <c r="A364" s="17">
        <v>41102.0</v>
      </c>
      <c r="B364" s="1" t="s">
        <v>347</v>
      </c>
      <c r="C364" s="1" t="s">
        <v>458</v>
      </c>
      <c r="D364" s="1">
        <v>25.0</v>
      </c>
      <c r="E364" s="1">
        <v>51.31</v>
      </c>
      <c r="F364" s="75">
        <v>0.5843171296296296</v>
      </c>
      <c r="G364" s="1"/>
      <c r="H364" s="1">
        <v>1.0</v>
      </c>
      <c r="I364" s="76"/>
      <c r="J364" s="67">
        <f t="shared" si="27"/>
        <v>1281.75</v>
      </c>
      <c r="K364" s="7"/>
      <c r="L364" s="70"/>
      <c r="M364" s="79"/>
      <c r="N364" s="1"/>
      <c r="O364" s="1"/>
      <c r="P364" s="1"/>
      <c r="Q364" s="1"/>
      <c r="R364" s="1"/>
      <c r="S364" s="1"/>
      <c r="T364" s="1"/>
      <c r="U364" s="1"/>
      <c r="V364" s="1"/>
      <c r="W364" s="1"/>
      <c r="X364" s="1"/>
      <c r="Y364" s="1"/>
      <c r="Z364" s="1"/>
      <c r="AA364" s="1"/>
      <c r="AB364" s="1"/>
      <c r="AC364" s="1"/>
      <c r="AD364" s="1"/>
      <c r="AE364" s="1"/>
      <c r="AF364" s="1"/>
      <c r="AG364" s="1"/>
      <c r="AH364" s="1"/>
    </row>
    <row r="365" ht="12.75" hidden="1" customHeight="1" outlineLevel="1">
      <c r="A365" s="17">
        <v>41102.0</v>
      </c>
      <c r="B365" s="1" t="s">
        <v>347</v>
      </c>
      <c r="C365" s="1" t="s">
        <v>458</v>
      </c>
      <c r="D365" s="1">
        <v>100.0</v>
      </c>
      <c r="E365" s="1">
        <v>51.31</v>
      </c>
      <c r="F365" s="75">
        <v>0.5843171296296296</v>
      </c>
      <c r="G365" s="1"/>
      <c r="H365" s="1">
        <v>0.0</v>
      </c>
      <c r="I365" s="76"/>
      <c r="J365" s="67">
        <f t="shared" si="27"/>
        <v>5131</v>
      </c>
      <c r="K365" s="7"/>
      <c r="L365" s="70"/>
      <c r="M365" s="79"/>
      <c r="N365" s="1"/>
      <c r="O365" s="1"/>
      <c r="P365" s="1"/>
      <c r="Q365" s="1"/>
      <c r="R365" s="1"/>
      <c r="S365" s="1"/>
      <c r="T365" s="1"/>
      <c r="U365" s="1"/>
      <c r="V365" s="1"/>
      <c r="W365" s="1"/>
      <c r="X365" s="1"/>
      <c r="Y365" s="1"/>
      <c r="Z365" s="1"/>
      <c r="AA365" s="1"/>
      <c r="AB365" s="1"/>
      <c r="AC365" s="1"/>
      <c r="AD365" s="1"/>
      <c r="AE365" s="1"/>
      <c r="AF365" s="1"/>
      <c r="AG365" s="1"/>
      <c r="AH365" s="1"/>
    </row>
    <row r="366" ht="12.75" hidden="1" customHeight="1" outlineLevel="1">
      <c r="A366" s="17">
        <v>41102.0</v>
      </c>
      <c r="B366" s="1" t="s">
        <v>347</v>
      </c>
      <c r="C366" s="1" t="s">
        <v>346</v>
      </c>
      <c r="D366" s="1">
        <v>36.0</v>
      </c>
      <c r="E366" s="1">
        <v>597.58</v>
      </c>
      <c r="F366" s="75">
        <v>0.5890509259259259</v>
      </c>
      <c r="G366" s="1"/>
      <c r="H366" s="1">
        <v>1.0</v>
      </c>
      <c r="I366" s="76"/>
      <c r="J366" s="67">
        <f t="shared" si="27"/>
        <v>21511.88</v>
      </c>
      <c r="K366" s="7" t="s">
        <v>395</v>
      </c>
      <c r="L366" s="70"/>
      <c r="M366" s="79"/>
      <c r="N366" s="1"/>
      <c r="O366" s="1"/>
      <c r="P366" s="1"/>
      <c r="Q366" s="1"/>
      <c r="R366" s="1"/>
      <c r="S366" s="1"/>
      <c r="T366" s="1"/>
      <c r="U366" s="1"/>
      <c r="V366" s="1"/>
      <c r="W366" s="1"/>
      <c r="X366" s="1"/>
      <c r="Y366" s="1"/>
      <c r="Z366" s="1"/>
      <c r="AA366" s="1"/>
      <c r="AB366" s="1"/>
      <c r="AC366" s="1"/>
      <c r="AD366" s="1"/>
      <c r="AE366" s="1"/>
      <c r="AF366" s="1"/>
      <c r="AG366" s="1"/>
      <c r="AH366" s="1"/>
    </row>
    <row r="367" ht="12.75" hidden="1" customHeight="1" outlineLevel="1">
      <c r="A367" s="17">
        <v>41102.0</v>
      </c>
      <c r="B367" s="1" t="s">
        <v>347</v>
      </c>
      <c r="C367" s="1" t="s">
        <v>354</v>
      </c>
      <c r="D367" s="1">
        <v>180.0</v>
      </c>
      <c r="E367" s="1">
        <v>72.3</v>
      </c>
      <c r="F367" s="75">
        <v>0.5897453703703703</v>
      </c>
      <c r="G367" s="1"/>
      <c r="H367" s="1">
        <v>1.0</v>
      </c>
      <c r="I367" s="76"/>
      <c r="J367" s="67">
        <f t="shared" si="27"/>
        <v>13013</v>
      </c>
      <c r="K367" s="7" t="s">
        <v>395</v>
      </c>
      <c r="L367" s="70"/>
      <c r="M367" s="79"/>
      <c r="N367" s="1"/>
      <c r="O367" s="1"/>
      <c r="P367" s="1"/>
      <c r="Q367" s="1"/>
      <c r="R367" s="1"/>
      <c r="S367" s="1"/>
      <c r="T367" s="1"/>
      <c r="U367" s="1"/>
      <c r="V367" s="1"/>
      <c r="W367" s="1"/>
      <c r="X367" s="1"/>
      <c r="Y367" s="1"/>
      <c r="Z367" s="1"/>
      <c r="AA367" s="1"/>
      <c r="AB367" s="1"/>
      <c r="AC367" s="1"/>
      <c r="AD367" s="1"/>
      <c r="AE367" s="1"/>
      <c r="AF367" s="1"/>
      <c r="AG367" s="1"/>
      <c r="AH367" s="1"/>
    </row>
    <row r="368" ht="12.75" hidden="1" customHeight="1" outlineLevel="1">
      <c r="A368" s="17">
        <v>41102.0</v>
      </c>
      <c r="B368" s="1" t="s">
        <v>347</v>
      </c>
      <c r="C368" s="1" t="s">
        <v>354</v>
      </c>
      <c r="D368" s="1">
        <v>120.0</v>
      </c>
      <c r="E368" s="1">
        <v>72.3</v>
      </c>
      <c r="F368" s="75">
        <v>0.5897453703703703</v>
      </c>
      <c r="G368" s="1"/>
      <c r="H368" s="1">
        <v>0.5</v>
      </c>
      <c r="I368" s="76"/>
      <c r="J368" s="67">
        <f t="shared" si="27"/>
        <v>8675.5</v>
      </c>
      <c r="K368" s="7" t="s">
        <v>395</v>
      </c>
      <c r="L368" s="70"/>
      <c r="M368" s="79"/>
      <c r="N368" s="1"/>
      <c r="O368" s="1"/>
      <c r="P368" s="1"/>
      <c r="Q368" s="1"/>
      <c r="R368" s="1"/>
      <c r="S368" s="1"/>
      <c r="T368" s="1"/>
      <c r="U368" s="1"/>
      <c r="V368" s="1"/>
      <c r="W368" s="1"/>
      <c r="X368" s="1"/>
      <c r="Y368" s="1"/>
      <c r="Z368" s="1"/>
      <c r="AA368" s="1"/>
      <c r="AB368" s="1"/>
      <c r="AC368" s="1"/>
      <c r="AD368" s="1"/>
      <c r="AE368" s="1"/>
      <c r="AF368" s="1"/>
      <c r="AG368" s="1"/>
      <c r="AH368" s="1"/>
    </row>
    <row r="369" ht="12.75" hidden="1" customHeight="1" outlineLevel="1">
      <c r="A369" s="17">
        <v>41102.0</v>
      </c>
      <c r="B369" s="1" t="s">
        <v>347</v>
      </c>
      <c r="C369" s="1" t="s">
        <v>344</v>
      </c>
      <c r="D369" s="1">
        <v>100.0</v>
      </c>
      <c r="E369" s="1">
        <v>30.14</v>
      </c>
      <c r="F369" s="75">
        <v>0.5919212962962963</v>
      </c>
      <c r="G369" s="1"/>
      <c r="H369" s="1">
        <v>1.0</v>
      </c>
      <c r="I369" s="76"/>
      <c r="J369" s="67">
        <f t="shared" si="27"/>
        <v>3013</v>
      </c>
      <c r="K369" s="7" t="s">
        <v>395</v>
      </c>
      <c r="L369" s="70"/>
      <c r="M369" s="79"/>
      <c r="N369" s="1"/>
      <c r="O369" s="1"/>
      <c r="P369" s="1"/>
      <c r="Q369" s="1"/>
      <c r="R369" s="1"/>
      <c r="S369" s="1"/>
      <c r="T369" s="1"/>
      <c r="U369" s="1"/>
      <c r="V369" s="1"/>
      <c r="W369" s="1"/>
      <c r="X369" s="1"/>
      <c r="Y369" s="1"/>
      <c r="Z369" s="1"/>
      <c r="AA369" s="1"/>
      <c r="AB369" s="1"/>
      <c r="AC369" s="1"/>
      <c r="AD369" s="1"/>
      <c r="AE369" s="1"/>
      <c r="AF369" s="1"/>
      <c r="AG369" s="1"/>
      <c r="AH369" s="1"/>
    </row>
    <row r="370" ht="12.75" hidden="1" customHeight="1" outlineLevel="1">
      <c r="A370" s="17">
        <v>41102.0</v>
      </c>
      <c r="B370" s="1" t="s">
        <v>347</v>
      </c>
      <c r="C370" s="1" t="s">
        <v>344</v>
      </c>
      <c r="D370" s="1">
        <v>200.0</v>
      </c>
      <c r="E370" s="1">
        <v>30.14</v>
      </c>
      <c r="F370" s="75">
        <v>0.5919212962962963</v>
      </c>
      <c r="G370" s="1"/>
      <c r="H370" s="1">
        <v>0.5</v>
      </c>
      <c r="I370" s="76"/>
      <c r="J370" s="67">
        <f t="shared" si="27"/>
        <v>6027.5</v>
      </c>
      <c r="K370" s="7" t="s">
        <v>395</v>
      </c>
      <c r="L370" s="70"/>
      <c r="M370" s="79"/>
      <c r="N370" s="1"/>
      <c r="O370" s="1"/>
      <c r="P370" s="1"/>
      <c r="Q370" s="1"/>
      <c r="R370" s="1"/>
      <c r="S370" s="1"/>
      <c r="T370" s="1"/>
      <c r="U370" s="1"/>
      <c r="V370" s="1"/>
      <c r="W370" s="1"/>
      <c r="X370" s="1"/>
      <c r="Y370" s="1"/>
      <c r="Z370" s="1"/>
      <c r="AA370" s="1"/>
      <c r="AB370" s="1"/>
      <c r="AC370" s="1"/>
      <c r="AD370" s="1"/>
      <c r="AE370" s="1"/>
      <c r="AF370" s="1"/>
      <c r="AG370" s="1"/>
      <c r="AH370" s="1"/>
    </row>
    <row r="371" ht="12.75" hidden="1" customHeight="1" outlineLevel="1">
      <c r="A371" s="17">
        <v>41102.0</v>
      </c>
      <c r="B371" s="1" t="s">
        <v>347</v>
      </c>
      <c r="C371" s="1" t="s">
        <v>344</v>
      </c>
      <c r="D371" s="1">
        <v>300.0</v>
      </c>
      <c r="E371" s="1">
        <v>30.14</v>
      </c>
      <c r="F371" s="75">
        <v>0.5919212962962963</v>
      </c>
      <c r="G371" s="1"/>
      <c r="H371" s="1">
        <v>1.5</v>
      </c>
      <c r="I371" s="76"/>
      <c r="J371" s="67">
        <f t="shared" si="27"/>
        <v>9040.5</v>
      </c>
      <c r="K371" s="7" t="s">
        <v>395</v>
      </c>
      <c r="L371" s="70"/>
      <c r="M371" s="79"/>
      <c r="N371" s="1"/>
      <c r="O371" s="1"/>
      <c r="P371" s="1"/>
      <c r="Q371" s="1"/>
      <c r="R371" s="1"/>
      <c r="S371" s="1"/>
      <c r="T371" s="1"/>
      <c r="U371" s="1"/>
      <c r="V371" s="1"/>
      <c r="W371" s="1"/>
      <c r="X371" s="1"/>
      <c r="Y371" s="1"/>
      <c r="Z371" s="1"/>
      <c r="AA371" s="1"/>
      <c r="AB371" s="1"/>
      <c r="AC371" s="1"/>
      <c r="AD371" s="1"/>
      <c r="AE371" s="1"/>
      <c r="AF371" s="1"/>
      <c r="AG371" s="1"/>
      <c r="AH371" s="1"/>
    </row>
    <row r="372" ht="12.75" hidden="1" customHeight="1" outlineLevel="1">
      <c r="A372" s="17">
        <v>41102.0</v>
      </c>
      <c r="B372" s="1" t="s">
        <v>347</v>
      </c>
      <c r="C372" s="1" t="s">
        <v>344</v>
      </c>
      <c r="D372" s="1">
        <v>100.0</v>
      </c>
      <c r="E372" s="1">
        <v>30.14</v>
      </c>
      <c r="F372" s="75">
        <v>0.5919212962962963</v>
      </c>
      <c r="G372" s="1"/>
      <c r="H372" s="1">
        <v>0.5</v>
      </c>
      <c r="I372" s="76"/>
      <c r="J372" s="67">
        <f t="shared" si="27"/>
        <v>3013.5</v>
      </c>
      <c r="K372" s="7" t="s">
        <v>395</v>
      </c>
      <c r="L372" s="70"/>
      <c r="M372" s="79"/>
      <c r="N372" s="1"/>
      <c r="O372" s="1"/>
      <c r="P372" s="1"/>
      <c r="Q372" s="1"/>
      <c r="R372" s="1"/>
      <c r="S372" s="1"/>
      <c r="T372" s="1"/>
      <c r="U372" s="1"/>
      <c r="V372" s="1"/>
      <c r="W372" s="1"/>
      <c r="X372" s="1"/>
      <c r="Y372" s="1"/>
      <c r="Z372" s="1"/>
      <c r="AA372" s="1"/>
      <c r="AB372" s="1"/>
      <c r="AC372" s="1"/>
      <c r="AD372" s="1"/>
      <c r="AE372" s="1"/>
      <c r="AF372" s="1"/>
      <c r="AG372" s="1"/>
      <c r="AH372" s="1"/>
    </row>
    <row r="373" ht="12.75" hidden="1" customHeight="1" outlineLevel="1">
      <c r="A373" s="17">
        <v>41102.0</v>
      </c>
      <c r="B373" s="1" t="s">
        <v>347</v>
      </c>
      <c r="C373" s="1" t="s">
        <v>344</v>
      </c>
      <c r="D373" s="1">
        <v>100.0</v>
      </c>
      <c r="E373" s="1">
        <v>30.14</v>
      </c>
      <c r="F373" s="75">
        <v>0.5919212962962963</v>
      </c>
      <c r="G373" s="1"/>
      <c r="H373" s="1">
        <v>0.5</v>
      </c>
      <c r="I373" s="76"/>
      <c r="J373" s="67">
        <f t="shared" si="27"/>
        <v>3013.5</v>
      </c>
      <c r="K373" s="7" t="s">
        <v>395</v>
      </c>
      <c r="L373" s="70"/>
      <c r="M373" s="79"/>
      <c r="N373" s="1"/>
      <c r="O373" s="1"/>
      <c r="P373" s="1"/>
      <c r="Q373" s="1"/>
      <c r="R373" s="1"/>
      <c r="S373" s="1"/>
      <c r="T373" s="1"/>
      <c r="U373" s="1"/>
      <c r="V373" s="1"/>
      <c r="W373" s="1"/>
      <c r="X373" s="1"/>
      <c r="Y373" s="1"/>
      <c r="Z373" s="1"/>
      <c r="AA373" s="1"/>
      <c r="AB373" s="1"/>
      <c r="AC373" s="1"/>
      <c r="AD373" s="1"/>
      <c r="AE373" s="1"/>
      <c r="AF373" s="1"/>
      <c r="AG373" s="1"/>
      <c r="AH373" s="1"/>
    </row>
    <row r="374" ht="12.75" hidden="1" customHeight="1" outlineLevel="1">
      <c r="A374" s="17">
        <v>41102.0</v>
      </c>
      <c r="B374" s="1" t="s">
        <v>347</v>
      </c>
      <c r="C374" s="1" t="s">
        <v>394</v>
      </c>
      <c r="D374" s="1">
        <v>50.0</v>
      </c>
      <c r="E374" s="1">
        <v>1322.25</v>
      </c>
      <c r="F374" s="75">
        <v>0.593113425925926</v>
      </c>
      <c r="G374" s="1"/>
      <c r="H374" s="1">
        <v>2.01</v>
      </c>
      <c r="I374" s="76"/>
      <c r="J374" s="67">
        <f t="shared" si="27"/>
        <v>66110.49</v>
      </c>
      <c r="K374" s="7" t="s">
        <v>395</v>
      </c>
      <c r="L374" s="70"/>
      <c r="M374" s="79"/>
      <c r="N374" s="1"/>
      <c r="O374" s="1"/>
      <c r="P374" s="1"/>
      <c r="Q374" s="1"/>
      <c r="R374" s="1"/>
      <c r="S374" s="1"/>
      <c r="T374" s="1"/>
      <c r="U374" s="1"/>
      <c r="V374" s="1"/>
      <c r="W374" s="1"/>
      <c r="X374" s="1"/>
      <c r="Y374" s="1"/>
      <c r="Z374" s="1"/>
      <c r="AA374" s="1"/>
      <c r="AB374" s="1"/>
      <c r="AC374" s="1"/>
      <c r="AD374" s="1"/>
      <c r="AE374" s="1"/>
      <c r="AF374" s="1"/>
      <c r="AG374" s="1"/>
      <c r="AH374" s="1"/>
    </row>
    <row r="375" ht="12.75" hidden="1" customHeight="1" outlineLevel="1">
      <c r="A375" s="17">
        <v>41102.0</v>
      </c>
      <c r="B375" s="1" t="s">
        <v>343</v>
      </c>
      <c r="C375" s="1" t="s">
        <v>394</v>
      </c>
      <c r="D375" s="1">
        <v>100.0</v>
      </c>
      <c r="E375" s="1">
        <v>1322.25</v>
      </c>
      <c r="F375" s="75">
        <v>0.5977199074074074</v>
      </c>
      <c r="G375" s="1"/>
      <c r="H375" s="1">
        <v>4.02</v>
      </c>
      <c r="I375" s="76"/>
      <c r="J375" s="67">
        <f t="shared" si="27"/>
        <v>-132229.02</v>
      </c>
      <c r="K375" s="7" t="s">
        <v>395</v>
      </c>
      <c r="L375" s="70"/>
      <c r="M375" s="79"/>
      <c r="N375" s="1"/>
      <c r="O375" s="1"/>
      <c r="P375" s="1"/>
      <c r="Q375" s="1"/>
      <c r="R375" s="1"/>
      <c r="S375" s="1"/>
      <c r="T375" s="1"/>
      <c r="U375" s="1"/>
      <c r="V375" s="1"/>
      <c r="W375" s="1"/>
      <c r="X375" s="1"/>
      <c r="Y375" s="1"/>
      <c r="Z375" s="1"/>
      <c r="AA375" s="1"/>
      <c r="AB375" s="1"/>
      <c r="AC375" s="1"/>
      <c r="AD375" s="1"/>
      <c r="AE375" s="1"/>
      <c r="AF375" s="1"/>
      <c r="AG375" s="1"/>
      <c r="AH375" s="1"/>
    </row>
    <row r="376" ht="12.75" hidden="1" customHeight="1" outlineLevel="1">
      <c r="A376" s="17">
        <v>41102.0</v>
      </c>
      <c r="B376" s="1"/>
      <c r="C376" s="1" t="s">
        <v>339</v>
      </c>
      <c r="D376" s="74"/>
      <c r="E376" s="67"/>
      <c r="F376" s="75"/>
      <c r="G376" s="67"/>
      <c r="H376" s="68"/>
      <c r="I376" s="76"/>
      <c r="J376" s="67"/>
      <c r="K376" s="7" t="s">
        <v>487</v>
      </c>
      <c r="L376" s="77"/>
      <c r="M376" s="79"/>
      <c r="N376" s="1"/>
      <c r="O376" s="1"/>
      <c r="P376" s="1"/>
      <c r="Q376" s="1"/>
      <c r="R376" s="1"/>
      <c r="S376" s="1"/>
      <c r="T376" s="1"/>
      <c r="U376" s="1"/>
      <c r="V376" s="1"/>
      <c r="W376" s="1"/>
      <c r="X376" s="1"/>
      <c r="Y376" s="1"/>
      <c r="Z376" s="1"/>
      <c r="AA376" s="1"/>
      <c r="AB376" s="1"/>
      <c r="AC376" s="1"/>
      <c r="AD376" s="1"/>
      <c r="AE376" s="1"/>
      <c r="AF376" s="1"/>
      <c r="AG376" s="1"/>
      <c r="AH376" s="1"/>
    </row>
    <row r="377" ht="12.75" hidden="1" customHeight="1" outlineLevel="1">
      <c r="A377" s="17">
        <v>41102.0</v>
      </c>
      <c r="B377" s="1"/>
      <c r="C377" s="1" t="s">
        <v>429</v>
      </c>
      <c r="D377" s="74"/>
      <c r="E377" s="67"/>
      <c r="F377" s="75"/>
      <c r="G377" s="67"/>
      <c r="H377" s="68"/>
      <c r="I377" s="76"/>
      <c r="J377" s="67"/>
      <c r="K377" s="7" t="s">
        <v>432</v>
      </c>
      <c r="L377" s="77"/>
      <c r="M377" s="79"/>
      <c r="N377" s="1"/>
      <c r="O377" s="1"/>
      <c r="P377" s="1"/>
      <c r="Q377" s="1"/>
      <c r="R377" s="1"/>
      <c r="S377" s="1"/>
      <c r="T377" s="1"/>
      <c r="U377" s="1"/>
      <c r="V377" s="1"/>
      <c r="W377" s="1"/>
      <c r="X377" s="1"/>
      <c r="Y377" s="1"/>
      <c r="Z377" s="1"/>
      <c r="AA377" s="1"/>
      <c r="AB377" s="1"/>
      <c r="AC377" s="1"/>
      <c r="AD377" s="1"/>
      <c r="AE377" s="1"/>
      <c r="AF377" s="1"/>
      <c r="AG377" s="1"/>
      <c r="AH377" s="1"/>
    </row>
    <row r="378" ht="12.75" hidden="1" customHeight="1" outlineLevel="1">
      <c r="A378" s="17">
        <v>41102.0</v>
      </c>
      <c r="B378" s="1"/>
      <c r="C378" s="1" t="s">
        <v>431</v>
      </c>
      <c r="D378" s="74"/>
      <c r="E378" s="67"/>
      <c r="F378" s="75"/>
      <c r="G378" s="67"/>
      <c r="H378" s="68"/>
      <c r="I378" s="76"/>
      <c r="J378" s="67"/>
      <c r="K378" s="1" t="s">
        <v>432</v>
      </c>
      <c r="L378" s="77"/>
      <c r="M378" s="79"/>
      <c r="N378" s="1"/>
      <c r="O378" s="1"/>
      <c r="P378" s="1"/>
      <c r="Q378" s="1"/>
      <c r="R378" s="1"/>
      <c r="S378" s="1"/>
      <c r="T378" s="1"/>
      <c r="U378" s="1"/>
      <c r="V378" s="1"/>
      <c r="W378" s="1"/>
      <c r="X378" s="1"/>
      <c r="Y378" s="1"/>
      <c r="Z378" s="1"/>
      <c r="AA378" s="1"/>
      <c r="AB378" s="1"/>
      <c r="AC378" s="1"/>
      <c r="AD378" s="1"/>
      <c r="AE378" s="1"/>
      <c r="AF378" s="1"/>
      <c r="AG378" s="1"/>
      <c r="AH378" s="1"/>
    </row>
    <row r="379" ht="12.75" hidden="1" customHeight="1" outlineLevel="1">
      <c r="A379" s="17">
        <v>41102.0</v>
      </c>
      <c r="B379" s="1"/>
      <c r="C379" s="1" t="s">
        <v>433</v>
      </c>
      <c r="D379" s="74"/>
      <c r="E379" s="67"/>
      <c r="F379" s="75"/>
      <c r="G379" s="67"/>
      <c r="H379" s="68"/>
      <c r="I379" s="76"/>
      <c r="J379" s="67"/>
      <c r="K379" s="1" t="s">
        <v>434</v>
      </c>
      <c r="L379" s="77"/>
      <c r="M379" s="79"/>
      <c r="N379" s="1"/>
      <c r="O379" s="1"/>
      <c r="P379" s="1"/>
      <c r="Q379" s="1"/>
      <c r="R379" s="1"/>
      <c r="S379" s="1"/>
      <c r="T379" s="1"/>
      <c r="U379" s="1"/>
      <c r="V379" s="1"/>
      <c r="W379" s="1"/>
      <c r="X379" s="1"/>
      <c r="Y379" s="1"/>
      <c r="Z379" s="1"/>
      <c r="AA379" s="1"/>
      <c r="AB379" s="1"/>
      <c r="AC379" s="1"/>
      <c r="AD379" s="1"/>
      <c r="AE379" s="1"/>
      <c r="AF379" s="1"/>
      <c r="AG379" s="1"/>
      <c r="AH379" s="1"/>
    </row>
    <row r="380" ht="12.75" hidden="1" customHeight="1" outlineLevel="1">
      <c r="A380" s="17">
        <v>41102.0</v>
      </c>
      <c r="B380" s="1"/>
      <c r="C380" s="1" t="s">
        <v>435</v>
      </c>
      <c r="D380" s="74"/>
      <c r="E380" s="67"/>
      <c r="F380" s="75"/>
      <c r="G380" s="67"/>
      <c r="H380" s="68"/>
      <c r="I380" s="76"/>
      <c r="J380" s="67"/>
      <c r="K380" s="1"/>
      <c r="L380" s="77"/>
      <c r="M380" s="79"/>
      <c r="N380" s="1"/>
      <c r="O380" s="1"/>
      <c r="P380" s="1"/>
      <c r="Q380" s="1"/>
      <c r="R380" s="1"/>
      <c r="S380" s="1"/>
      <c r="T380" s="1"/>
      <c r="U380" s="1"/>
      <c r="V380" s="1"/>
      <c r="W380" s="1"/>
      <c r="X380" s="1"/>
      <c r="Y380" s="1"/>
      <c r="Z380" s="1"/>
      <c r="AA380" s="1"/>
      <c r="AB380" s="1"/>
      <c r="AC380" s="1"/>
      <c r="AD380" s="1"/>
      <c r="AE380" s="1"/>
      <c r="AF380" s="1"/>
      <c r="AG380" s="1"/>
      <c r="AH380" s="1"/>
    </row>
    <row r="381" ht="12.75" hidden="1" customHeight="1" outlineLevel="1">
      <c r="A381" s="17">
        <v>41103.0</v>
      </c>
      <c r="B381" s="1" t="s">
        <v>347</v>
      </c>
      <c r="C381" s="1" t="s">
        <v>417</v>
      </c>
      <c r="D381" s="1">
        <v>10.0</v>
      </c>
      <c r="E381" s="1">
        <v>639.37</v>
      </c>
      <c r="F381" s="75">
        <v>0.5718171296296296</v>
      </c>
      <c r="G381" s="1"/>
      <c r="H381" s="1">
        <v>1.0</v>
      </c>
      <c r="I381" s="76"/>
      <c r="J381" s="67">
        <f>IF(B381="SLD",D381*E381,-D381*E381)-H381</f>
        <v>6392.7</v>
      </c>
      <c r="K381" s="1"/>
      <c r="L381" s="70"/>
      <c r="M381" s="79"/>
      <c r="N381" s="1"/>
      <c r="O381" s="1"/>
      <c r="P381" s="1"/>
      <c r="Q381" s="1"/>
      <c r="R381" s="1"/>
      <c r="S381" s="1"/>
      <c r="T381" s="1"/>
      <c r="U381" s="1"/>
      <c r="V381" s="1"/>
      <c r="W381" s="1"/>
      <c r="X381" s="1"/>
      <c r="Y381" s="1"/>
      <c r="Z381" s="1"/>
      <c r="AA381" s="1"/>
      <c r="AB381" s="1"/>
      <c r="AC381" s="1"/>
      <c r="AD381" s="1"/>
      <c r="AE381" s="1"/>
      <c r="AF381" s="1"/>
      <c r="AG381" s="1"/>
      <c r="AH381" s="1"/>
    </row>
    <row r="382" ht="12.75" hidden="1" customHeight="1" outlineLevel="1">
      <c r="A382" s="17">
        <v>41103.0</v>
      </c>
      <c r="B382" s="1"/>
      <c r="C382" s="1" t="s">
        <v>339</v>
      </c>
      <c r="D382" s="74"/>
      <c r="E382" s="67"/>
      <c r="F382" s="75"/>
      <c r="G382" s="67"/>
      <c r="H382" s="68"/>
      <c r="I382" s="76"/>
      <c r="J382" s="67"/>
      <c r="K382" s="7" t="s">
        <v>490</v>
      </c>
      <c r="L382" s="77"/>
      <c r="M382" s="79"/>
      <c r="N382" s="1"/>
      <c r="O382" s="1"/>
      <c r="P382" s="1"/>
      <c r="Q382" s="1"/>
      <c r="R382" s="1"/>
      <c r="S382" s="1"/>
      <c r="T382" s="1"/>
      <c r="U382" s="1"/>
      <c r="V382" s="1"/>
      <c r="W382" s="1"/>
      <c r="X382" s="1"/>
      <c r="Y382" s="1"/>
      <c r="Z382" s="1"/>
      <c r="AA382" s="1"/>
      <c r="AB382" s="1"/>
      <c r="AC382" s="1"/>
      <c r="AD382" s="1"/>
      <c r="AE382" s="1"/>
      <c r="AF382" s="1"/>
      <c r="AG382" s="1"/>
      <c r="AH382" s="1"/>
    </row>
    <row r="383" ht="12.75" hidden="1" customHeight="1" outlineLevel="1">
      <c r="A383" s="17">
        <v>41103.0</v>
      </c>
      <c r="B383" s="1"/>
      <c r="C383" s="1" t="s">
        <v>429</v>
      </c>
      <c r="D383" s="74"/>
      <c r="E383" s="67"/>
      <c r="F383" s="75"/>
      <c r="G383" s="67"/>
      <c r="H383" s="68"/>
      <c r="I383" s="76"/>
      <c r="J383" s="67"/>
      <c r="K383" s="7" t="s">
        <v>432</v>
      </c>
      <c r="L383" s="77"/>
      <c r="M383" s="79"/>
      <c r="N383" s="1"/>
      <c r="O383" s="1"/>
      <c r="P383" s="1"/>
      <c r="Q383" s="1"/>
      <c r="R383" s="1"/>
      <c r="S383" s="1"/>
      <c r="T383" s="1"/>
      <c r="U383" s="1"/>
      <c r="V383" s="1"/>
      <c r="W383" s="1"/>
      <c r="X383" s="1"/>
      <c r="Y383" s="1"/>
      <c r="Z383" s="1"/>
      <c r="AA383" s="1"/>
      <c r="AB383" s="1"/>
      <c r="AC383" s="1"/>
      <c r="AD383" s="1"/>
      <c r="AE383" s="1"/>
      <c r="AF383" s="1"/>
      <c r="AG383" s="1"/>
      <c r="AH383" s="1"/>
    </row>
    <row r="384" ht="12.75" hidden="1" customHeight="1" outlineLevel="1">
      <c r="A384" s="17">
        <v>41103.0</v>
      </c>
      <c r="B384" s="1"/>
      <c r="C384" s="1" t="s">
        <v>431</v>
      </c>
      <c r="D384" s="74"/>
      <c r="E384" s="67"/>
      <c r="F384" s="75"/>
      <c r="G384" s="67"/>
      <c r="H384" s="68"/>
      <c r="I384" s="76"/>
      <c r="J384" s="67"/>
      <c r="K384" s="7" t="s">
        <v>492</v>
      </c>
      <c r="L384" s="77"/>
      <c r="M384" s="79"/>
      <c r="N384" s="1"/>
      <c r="O384" s="1"/>
      <c r="P384" s="1"/>
      <c r="Q384" s="1"/>
      <c r="R384" s="1"/>
      <c r="S384" s="1"/>
      <c r="T384" s="1"/>
      <c r="U384" s="1"/>
      <c r="V384" s="1"/>
      <c r="W384" s="1"/>
      <c r="X384" s="1"/>
      <c r="Y384" s="1"/>
      <c r="Z384" s="1"/>
      <c r="AA384" s="1"/>
      <c r="AB384" s="1"/>
      <c r="AC384" s="1"/>
      <c r="AD384" s="1"/>
      <c r="AE384" s="1"/>
      <c r="AF384" s="1"/>
      <c r="AG384" s="1"/>
      <c r="AH384" s="1"/>
    </row>
    <row r="385" ht="12.75" hidden="1" customHeight="1" outlineLevel="1">
      <c r="A385" s="17">
        <v>41103.0</v>
      </c>
      <c r="B385" s="1"/>
      <c r="C385" s="1" t="s">
        <v>433</v>
      </c>
      <c r="D385" s="74"/>
      <c r="E385" s="67"/>
      <c r="F385" s="75"/>
      <c r="G385" s="67"/>
      <c r="H385" s="68"/>
      <c r="I385" s="76"/>
      <c r="J385" s="67"/>
      <c r="K385" s="1" t="s">
        <v>434</v>
      </c>
      <c r="L385" s="77"/>
      <c r="M385" s="79"/>
      <c r="N385" s="1"/>
      <c r="O385" s="1"/>
      <c r="P385" s="1"/>
      <c r="Q385" s="1"/>
      <c r="R385" s="1"/>
      <c r="S385" s="1"/>
      <c r="T385" s="1"/>
      <c r="U385" s="1"/>
      <c r="V385" s="1"/>
      <c r="W385" s="1"/>
      <c r="X385" s="1"/>
      <c r="Y385" s="1"/>
      <c r="Z385" s="1"/>
      <c r="AA385" s="1"/>
      <c r="AB385" s="1"/>
      <c r="AC385" s="1"/>
      <c r="AD385" s="1"/>
      <c r="AE385" s="1"/>
      <c r="AF385" s="1"/>
      <c r="AG385" s="1"/>
      <c r="AH385" s="1"/>
    </row>
    <row r="386" ht="12.75" hidden="1" customHeight="1" outlineLevel="1">
      <c r="A386" s="17">
        <v>41103.0</v>
      </c>
      <c r="B386" s="1"/>
      <c r="C386" s="1" t="s">
        <v>435</v>
      </c>
      <c r="D386" s="74"/>
      <c r="E386" s="67"/>
      <c r="F386" s="75"/>
      <c r="G386" s="67"/>
      <c r="H386" s="68"/>
      <c r="I386" s="76"/>
      <c r="J386" s="67"/>
      <c r="K386" s="1"/>
      <c r="L386" s="77"/>
      <c r="M386" s="79"/>
      <c r="N386" s="1"/>
      <c r="O386" s="1"/>
      <c r="P386" s="1"/>
      <c r="Q386" s="1"/>
      <c r="R386" s="1"/>
      <c r="S386" s="1"/>
      <c r="T386" s="1"/>
      <c r="U386" s="1"/>
      <c r="V386" s="1"/>
      <c r="W386" s="1"/>
      <c r="X386" s="1"/>
      <c r="Y386" s="1"/>
      <c r="Z386" s="1"/>
      <c r="AA386" s="1"/>
      <c r="AB386" s="1"/>
      <c r="AC386" s="1"/>
      <c r="AD386" s="1"/>
      <c r="AE386" s="1"/>
      <c r="AF386" s="1"/>
      <c r="AG386" s="1"/>
      <c r="AH386" s="1"/>
    </row>
    <row r="387" ht="12.75" hidden="1" customHeight="1" outlineLevel="1">
      <c r="A387" s="17">
        <v>41106.0</v>
      </c>
      <c r="B387" s="1" t="s">
        <v>343</v>
      </c>
      <c r="C387" s="1" t="s">
        <v>344</v>
      </c>
      <c r="D387" s="1">
        <v>100.0</v>
      </c>
      <c r="E387" s="1">
        <v>31.14</v>
      </c>
      <c r="F387" s="75">
        <v>0.7093634259259259</v>
      </c>
      <c r="G387" s="1"/>
      <c r="H387" s="1">
        <v>1.0</v>
      </c>
      <c r="I387" s="76"/>
      <c r="J387" s="67">
        <f t="shared" ref="J387:J392" si="28">IF(B387="SLD",D387*E387,-D387*E387)-H387</f>
        <v>-3115</v>
      </c>
      <c r="K387" s="1" t="s">
        <v>395</v>
      </c>
      <c r="L387" s="70"/>
      <c r="M387" s="79"/>
      <c r="N387" s="1"/>
      <c r="O387" s="1"/>
      <c r="P387" s="1"/>
      <c r="Q387" s="1"/>
      <c r="R387" s="1"/>
      <c r="S387" s="1"/>
      <c r="T387" s="1"/>
      <c r="U387" s="1"/>
      <c r="V387" s="1"/>
      <c r="W387" s="1"/>
      <c r="X387" s="1"/>
      <c r="Y387" s="1"/>
      <c r="Z387" s="1"/>
      <c r="AA387" s="1"/>
      <c r="AB387" s="1"/>
      <c r="AC387" s="1"/>
      <c r="AD387" s="1"/>
      <c r="AE387" s="1"/>
      <c r="AF387" s="1"/>
      <c r="AG387" s="1"/>
      <c r="AH387" s="1"/>
    </row>
    <row r="388" ht="12.75" hidden="1" customHeight="1" outlineLevel="1">
      <c r="A388" s="17">
        <v>41106.0</v>
      </c>
      <c r="B388" s="1" t="s">
        <v>343</v>
      </c>
      <c r="C388" s="1" t="s">
        <v>344</v>
      </c>
      <c r="D388" s="1">
        <v>100.0</v>
      </c>
      <c r="E388" s="1">
        <v>31.14</v>
      </c>
      <c r="F388" s="75">
        <v>0.7093634259259259</v>
      </c>
      <c r="G388" s="1"/>
      <c r="H388" s="1">
        <v>0.0</v>
      </c>
      <c r="I388" s="76"/>
      <c r="J388" s="67">
        <f t="shared" si="28"/>
        <v>-3114</v>
      </c>
      <c r="K388" s="1" t="s">
        <v>395</v>
      </c>
      <c r="L388" s="70"/>
      <c r="M388" s="79"/>
      <c r="N388" s="1"/>
      <c r="O388" s="1"/>
      <c r="P388" s="1"/>
      <c r="Q388" s="1"/>
      <c r="R388" s="1"/>
      <c r="S388" s="1"/>
      <c r="T388" s="1"/>
      <c r="U388" s="1"/>
      <c r="V388" s="1"/>
      <c r="W388" s="1"/>
      <c r="X388" s="1"/>
      <c r="Y388" s="1"/>
      <c r="Z388" s="1"/>
      <c r="AA388" s="1"/>
      <c r="AB388" s="1"/>
      <c r="AC388" s="1"/>
      <c r="AD388" s="1"/>
      <c r="AE388" s="1"/>
      <c r="AF388" s="1"/>
      <c r="AG388" s="1"/>
      <c r="AH388" s="1"/>
    </row>
    <row r="389" ht="12.75" hidden="1" customHeight="1" outlineLevel="1">
      <c r="A389" s="17">
        <v>41106.0</v>
      </c>
      <c r="B389" s="1" t="s">
        <v>343</v>
      </c>
      <c r="C389" s="1" t="s">
        <v>344</v>
      </c>
      <c r="D389" s="1">
        <v>100.0</v>
      </c>
      <c r="E389" s="1">
        <v>31.14</v>
      </c>
      <c r="F389" s="75">
        <v>0.7093634259259259</v>
      </c>
      <c r="G389" s="1"/>
      <c r="H389" s="1">
        <v>0.2</v>
      </c>
      <c r="I389" s="76"/>
      <c r="J389" s="67">
        <f t="shared" si="28"/>
        <v>-3114.2</v>
      </c>
      <c r="K389" s="1" t="s">
        <v>395</v>
      </c>
      <c r="L389" s="70"/>
      <c r="M389" s="79"/>
      <c r="N389" s="1"/>
      <c r="O389" s="1"/>
      <c r="P389" s="1"/>
      <c r="Q389" s="1"/>
      <c r="R389" s="1"/>
      <c r="S389" s="1"/>
      <c r="T389" s="1"/>
      <c r="U389" s="1"/>
      <c r="V389" s="1"/>
      <c r="W389" s="1"/>
      <c r="X389" s="1"/>
      <c r="Y389" s="1"/>
      <c r="Z389" s="1"/>
      <c r="AA389" s="1"/>
      <c r="AB389" s="1"/>
      <c r="AC389" s="1"/>
      <c r="AD389" s="1"/>
      <c r="AE389" s="1"/>
      <c r="AF389" s="1"/>
      <c r="AG389" s="1"/>
      <c r="AH389" s="1"/>
    </row>
    <row r="390" ht="12.75" hidden="1" customHeight="1" outlineLevel="1">
      <c r="A390" s="17">
        <v>41106.0</v>
      </c>
      <c r="B390" s="1" t="s">
        <v>343</v>
      </c>
      <c r="C390" s="1" t="s">
        <v>344</v>
      </c>
      <c r="D390" s="1">
        <v>100.0</v>
      </c>
      <c r="E390" s="1">
        <v>31.14</v>
      </c>
      <c r="F390" s="75">
        <v>0.7093634259259259</v>
      </c>
      <c r="G390" s="1"/>
      <c r="H390" s="1">
        <v>0.4</v>
      </c>
      <c r="I390" s="76"/>
      <c r="J390" s="67">
        <f t="shared" si="28"/>
        <v>-3114.4</v>
      </c>
      <c r="K390" s="1" t="s">
        <v>395</v>
      </c>
      <c r="L390" s="70"/>
      <c r="M390" s="79"/>
      <c r="N390" s="1"/>
      <c r="O390" s="1"/>
      <c r="P390" s="1"/>
      <c r="Q390" s="1"/>
      <c r="R390" s="1"/>
      <c r="S390" s="1"/>
      <c r="T390" s="1"/>
      <c r="U390" s="1"/>
      <c r="V390" s="1"/>
      <c r="W390" s="1"/>
      <c r="X390" s="1"/>
      <c r="Y390" s="1"/>
      <c r="Z390" s="1"/>
      <c r="AA390" s="1"/>
      <c r="AB390" s="1"/>
      <c r="AC390" s="1"/>
      <c r="AD390" s="1"/>
      <c r="AE390" s="1"/>
      <c r="AF390" s="1"/>
      <c r="AG390" s="1"/>
      <c r="AH390" s="1"/>
    </row>
    <row r="391" ht="12.75" hidden="1" customHeight="1" outlineLevel="1">
      <c r="A391" s="17">
        <v>41106.0</v>
      </c>
      <c r="B391" s="1" t="s">
        <v>343</v>
      </c>
      <c r="C391" s="1" t="s">
        <v>344</v>
      </c>
      <c r="D391" s="1">
        <v>100.0</v>
      </c>
      <c r="E391" s="1">
        <v>31.14</v>
      </c>
      <c r="F391" s="75">
        <v>0.7093634259259259</v>
      </c>
      <c r="G391" s="1"/>
      <c r="H391" s="1">
        <v>0.4</v>
      </c>
      <c r="I391" s="76"/>
      <c r="J391" s="67">
        <f t="shared" si="28"/>
        <v>-3114.4</v>
      </c>
      <c r="K391" s="1" t="s">
        <v>395</v>
      </c>
      <c r="L391" s="70"/>
      <c r="M391" s="79"/>
      <c r="N391" s="1"/>
      <c r="O391" s="1"/>
      <c r="P391" s="1"/>
      <c r="Q391" s="1"/>
      <c r="R391" s="1"/>
      <c r="S391" s="1"/>
      <c r="T391" s="1"/>
      <c r="U391" s="1"/>
      <c r="V391" s="1"/>
      <c r="W391" s="1"/>
      <c r="X391" s="1"/>
      <c r="Y391" s="1"/>
      <c r="Z391" s="1"/>
      <c r="AA391" s="1"/>
      <c r="AB391" s="1"/>
      <c r="AC391" s="1"/>
      <c r="AD391" s="1"/>
      <c r="AE391" s="1"/>
      <c r="AF391" s="1"/>
      <c r="AG391" s="1"/>
      <c r="AH391" s="1"/>
    </row>
    <row r="392" ht="12.75" hidden="1" customHeight="1" outlineLevel="1">
      <c r="A392" s="17">
        <v>41106.0</v>
      </c>
      <c r="B392" s="1" t="s">
        <v>343</v>
      </c>
      <c r="C392" s="1" t="s">
        <v>344</v>
      </c>
      <c r="D392" s="1">
        <v>300.0</v>
      </c>
      <c r="E392" s="1">
        <v>31.14</v>
      </c>
      <c r="F392" s="75">
        <v>0.7093634259259259</v>
      </c>
      <c r="G392" s="1"/>
      <c r="H392" s="1">
        <v>1.5</v>
      </c>
      <c r="I392" s="76"/>
      <c r="J392" s="67">
        <f t="shared" si="28"/>
        <v>-9343.5</v>
      </c>
      <c r="K392" s="1" t="s">
        <v>395</v>
      </c>
      <c r="L392" s="70"/>
      <c r="M392" s="79"/>
      <c r="N392" s="1"/>
      <c r="O392" s="1"/>
      <c r="P392" s="1"/>
      <c r="Q392" s="1"/>
      <c r="R392" s="1"/>
      <c r="S392" s="1"/>
      <c r="T392" s="1"/>
      <c r="U392" s="1"/>
      <c r="V392" s="1"/>
      <c r="W392" s="1"/>
      <c r="X392" s="1"/>
      <c r="Y392" s="1"/>
      <c r="Z392" s="1"/>
      <c r="AA392" s="1"/>
      <c r="AB392" s="1"/>
      <c r="AC392" s="1"/>
      <c r="AD392" s="1"/>
      <c r="AE392" s="1"/>
      <c r="AF392" s="1"/>
      <c r="AG392" s="1"/>
      <c r="AH392" s="1"/>
    </row>
    <row r="393" ht="12.75" hidden="1" customHeight="1" outlineLevel="1">
      <c r="A393" s="17">
        <v>41106.0</v>
      </c>
      <c r="B393" s="1"/>
      <c r="C393" s="1" t="s">
        <v>339</v>
      </c>
      <c r="D393" s="74"/>
      <c r="E393" s="67"/>
      <c r="F393" s="75"/>
      <c r="G393" s="67"/>
      <c r="H393" s="68"/>
      <c r="I393" s="76"/>
      <c r="J393" s="67"/>
      <c r="K393" s="7" t="s">
        <v>500</v>
      </c>
      <c r="L393" s="77"/>
      <c r="M393" s="79"/>
      <c r="N393" s="1"/>
      <c r="O393" s="1"/>
      <c r="P393" s="1"/>
      <c r="Q393" s="1"/>
      <c r="R393" s="1"/>
      <c r="S393" s="1"/>
      <c r="T393" s="1"/>
      <c r="U393" s="1"/>
      <c r="V393" s="1"/>
      <c r="W393" s="1"/>
      <c r="X393" s="1"/>
      <c r="Y393" s="1"/>
      <c r="Z393" s="1"/>
      <c r="AA393" s="1"/>
      <c r="AB393" s="1"/>
      <c r="AC393" s="1"/>
      <c r="AD393" s="1"/>
      <c r="AE393" s="1"/>
      <c r="AF393" s="1"/>
      <c r="AG393" s="1"/>
      <c r="AH393" s="1"/>
    </row>
    <row r="394" ht="12.75" hidden="1" customHeight="1" outlineLevel="1">
      <c r="A394" s="17">
        <v>41106.0</v>
      </c>
      <c r="B394" s="1"/>
      <c r="C394" s="1" t="s">
        <v>429</v>
      </c>
      <c r="D394" s="74"/>
      <c r="E394" s="67"/>
      <c r="F394" s="75"/>
      <c r="G394" s="67"/>
      <c r="H394" s="68"/>
      <c r="I394" s="76"/>
      <c r="J394" s="67"/>
      <c r="K394" s="7" t="s">
        <v>501</v>
      </c>
      <c r="L394" s="77"/>
      <c r="M394" s="79"/>
      <c r="N394" s="1"/>
      <c r="O394" s="1"/>
      <c r="P394" s="1"/>
      <c r="Q394" s="1"/>
      <c r="R394" s="1"/>
      <c r="S394" s="1"/>
      <c r="T394" s="1"/>
      <c r="U394" s="1"/>
      <c r="V394" s="1"/>
      <c r="W394" s="1"/>
      <c r="X394" s="1"/>
      <c r="Y394" s="1"/>
      <c r="Z394" s="1"/>
      <c r="AA394" s="1"/>
      <c r="AB394" s="1"/>
      <c r="AC394" s="1"/>
      <c r="AD394" s="1"/>
      <c r="AE394" s="1"/>
      <c r="AF394" s="1"/>
      <c r="AG394" s="1"/>
      <c r="AH394" s="1"/>
    </row>
    <row r="395" ht="12.75" hidden="1" customHeight="1" outlineLevel="1">
      <c r="A395" s="17">
        <v>41106.0</v>
      </c>
      <c r="B395" s="1"/>
      <c r="C395" s="1" t="s">
        <v>431</v>
      </c>
      <c r="D395" s="74"/>
      <c r="E395" s="67"/>
      <c r="F395" s="75"/>
      <c r="G395" s="67"/>
      <c r="H395" s="68"/>
      <c r="I395" s="76"/>
      <c r="J395" s="67"/>
      <c r="K395" s="7" t="s">
        <v>502</v>
      </c>
      <c r="L395" s="77"/>
      <c r="M395" s="79"/>
      <c r="N395" s="1"/>
      <c r="O395" s="1"/>
      <c r="P395" s="1"/>
      <c r="Q395" s="1"/>
      <c r="R395" s="1"/>
      <c r="S395" s="1"/>
      <c r="T395" s="1"/>
      <c r="U395" s="1"/>
      <c r="V395" s="1"/>
      <c r="W395" s="1"/>
      <c r="X395" s="1"/>
      <c r="Y395" s="1"/>
      <c r="Z395" s="1"/>
      <c r="AA395" s="1"/>
      <c r="AB395" s="1"/>
      <c r="AC395" s="1"/>
      <c r="AD395" s="1"/>
      <c r="AE395" s="1"/>
      <c r="AF395" s="1"/>
      <c r="AG395" s="1"/>
      <c r="AH395" s="1"/>
    </row>
    <row r="396" ht="12.75" hidden="1" customHeight="1" outlineLevel="1">
      <c r="A396" s="17">
        <v>41106.0</v>
      </c>
      <c r="B396" s="1"/>
      <c r="C396" s="1" t="s">
        <v>433</v>
      </c>
      <c r="D396" s="74"/>
      <c r="E396" s="67"/>
      <c r="F396" s="75"/>
      <c r="G396" s="67"/>
      <c r="H396" s="68"/>
      <c r="I396" s="76"/>
      <c r="J396" s="67"/>
      <c r="K396" s="1" t="s">
        <v>434</v>
      </c>
      <c r="L396" s="77"/>
      <c r="M396" s="79"/>
      <c r="N396" s="1"/>
      <c r="O396" s="1"/>
      <c r="P396" s="1"/>
      <c r="Q396" s="1"/>
      <c r="R396" s="1"/>
      <c r="S396" s="1"/>
      <c r="T396" s="1"/>
      <c r="U396" s="1"/>
      <c r="V396" s="1"/>
      <c r="W396" s="1"/>
      <c r="X396" s="1"/>
      <c r="Y396" s="1"/>
      <c r="Z396" s="1"/>
      <c r="AA396" s="1"/>
      <c r="AB396" s="1"/>
      <c r="AC396" s="1"/>
      <c r="AD396" s="1"/>
      <c r="AE396" s="1"/>
      <c r="AF396" s="1"/>
      <c r="AG396" s="1"/>
      <c r="AH396" s="1"/>
    </row>
    <row r="397" ht="12.75" hidden="1" customHeight="1" outlineLevel="1">
      <c r="A397" s="17">
        <v>41106.0</v>
      </c>
      <c r="B397" s="1"/>
      <c r="C397" s="1" t="s">
        <v>435</v>
      </c>
      <c r="D397" s="74"/>
      <c r="E397" s="67"/>
      <c r="F397" s="75"/>
      <c r="G397" s="67"/>
      <c r="H397" s="68"/>
      <c r="I397" s="76"/>
      <c r="J397" s="67"/>
      <c r="K397" s="1"/>
      <c r="L397" s="77"/>
      <c r="M397" s="79"/>
      <c r="N397" s="1"/>
      <c r="O397" s="1"/>
      <c r="P397" s="1"/>
      <c r="Q397" s="1"/>
      <c r="R397" s="1"/>
      <c r="S397" s="1"/>
      <c r="T397" s="1"/>
      <c r="U397" s="1"/>
      <c r="V397" s="1"/>
      <c r="W397" s="1"/>
      <c r="X397" s="1"/>
      <c r="Y397" s="1"/>
      <c r="Z397" s="1"/>
      <c r="AA397" s="1"/>
      <c r="AB397" s="1"/>
      <c r="AC397" s="1"/>
      <c r="AD397" s="1"/>
      <c r="AE397" s="1"/>
      <c r="AF397" s="1"/>
      <c r="AG397" s="1"/>
      <c r="AH397" s="1"/>
    </row>
    <row r="398" ht="12.75" hidden="1" customHeight="1" outlineLevel="1">
      <c r="A398" s="17">
        <v>41107.0</v>
      </c>
      <c r="B398" s="1"/>
      <c r="C398" s="1" t="s">
        <v>339</v>
      </c>
      <c r="D398" s="74"/>
      <c r="E398" s="67"/>
      <c r="F398" s="75"/>
      <c r="G398" s="67"/>
      <c r="H398" s="68"/>
      <c r="I398" s="76"/>
      <c r="J398" s="67"/>
      <c r="K398" s="7" t="s">
        <v>503</v>
      </c>
      <c r="L398" s="77"/>
      <c r="M398" s="79"/>
      <c r="N398" s="1"/>
      <c r="O398" s="1"/>
      <c r="P398" s="1"/>
      <c r="Q398" s="1"/>
      <c r="R398" s="1"/>
      <c r="S398" s="1"/>
      <c r="T398" s="1"/>
      <c r="U398" s="1"/>
      <c r="V398" s="1"/>
      <c r="W398" s="1"/>
      <c r="X398" s="1"/>
      <c r="Y398" s="1"/>
      <c r="Z398" s="1"/>
      <c r="AA398" s="1"/>
      <c r="AB398" s="1"/>
      <c r="AC398" s="1"/>
      <c r="AD398" s="1"/>
      <c r="AE398" s="1"/>
      <c r="AF398" s="1"/>
      <c r="AG398" s="1"/>
      <c r="AH398" s="1"/>
    </row>
    <row r="399" ht="12.75" hidden="1" customHeight="1" outlineLevel="1">
      <c r="A399" s="17">
        <v>41107.0</v>
      </c>
      <c r="B399" s="1"/>
      <c r="C399" s="1" t="s">
        <v>429</v>
      </c>
      <c r="D399" s="74"/>
      <c r="E399" s="67"/>
      <c r="F399" s="75"/>
      <c r="G399" s="67"/>
      <c r="H399" s="68"/>
      <c r="I399" s="76"/>
      <c r="J399" s="67"/>
      <c r="K399" s="7" t="s">
        <v>501</v>
      </c>
      <c r="L399" s="77"/>
      <c r="M399" s="79"/>
      <c r="N399" s="1"/>
      <c r="O399" s="1"/>
      <c r="P399" s="1"/>
      <c r="Q399" s="1"/>
      <c r="R399" s="1"/>
      <c r="S399" s="1"/>
      <c r="T399" s="1"/>
      <c r="U399" s="1"/>
      <c r="V399" s="1"/>
      <c r="W399" s="1"/>
      <c r="X399" s="1"/>
      <c r="Y399" s="1"/>
      <c r="Z399" s="1"/>
      <c r="AA399" s="1"/>
      <c r="AB399" s="1"/>
      <c r="AC399" s="1"/>
      <c r="AD399" s="1"/>
      <c r="AE399" s="1"/>
      <c r="AF399" s="1"/>
      <c r="AG399" s="1"/>
      <c r="AH399" s="1"/>
    </row>
    <row r="400" ht="12.75" hidden="1" customHeight="1" outlineLevel="1">
      <c r="A400" s="17">
        <v>41107.0</v>
      </c>
      <c r="B400" s="1"/>
      <c r="C400" s="1" t="s">
        <v>431</v>
      </c>
      <c r="D400" s="74"/>
      <c r="E400" s="67"/>
      <c r="F400" s="75"/>
      <c r="G400" s="67"/>
      <c r="H400" s="68"/>
      <c r="I400" s="76"/>
      <c r="J400" s="67"/>
      <c r="K400" s="7" t="s">
        <v>502</v>
      </c>
      <c r="L400" s="77"/>
      <c r="M400" s="79"/>
      <c r="N400" s="1"/>
      <c r="O400" s="1"/>
      <c r="P400" s="1"/>
      <c r="Q400" s="1"/>
      <c r="R400" s="1"/>
      <c r="S400" s="1"/>
      <c r="T400" s="1"/>
      <c r="U400" s="1"/>
      <c r="V400" s="1"/>
      <c r="W400" s="1"/>
      <c r="X400" s="1"/>
      <c r="Y400" s="1"/>
      <c r="Z400" s="1"/>
      <c r="AA400" s="1"/>
      <c r="AB400" s="1"/>
      <c r="AC400" s="1"/>
      <c r="AD400" s="1"/>
      <c r="AE400" s="1"/>
      <c r="AF400" s="1"/>
      <c r="AG400" s="1"/>
      <c r="AH400" s="1"/>
    </row>
    <row r="401" ht="12.75" hidden="1" customHeight="1" outlineLevel="1">
      <c r="A401" s="17">
        <v>41107.0</v>
      </c>
      <c r="B401" s="1"/>
      <c r="C401" s="1" t="s">
        <v>433</v>
      </c>
      <c r="D401" s="74"/>
      <c r="E401" s="67"/>
      <c r="F401" s="75"/>
      <c r="G401" s="67"/>
      <c r="H401" s="68"/>
      <c r="I401" s="76"/>
      <c r="J401" s="67"/>
      <c r="K401" s="1" t="s">
        <v>434</v>
      </c>
      <c r="L401" s="77"/>
      <c r="M401" s="79"/>
      <c r="N401" s="1"/>
      <c r="O401" s="1"/>
      <c r="P401" s="1"/>
      <c r="Q401" s="1"/>
      <c r="R401" s="1"/>
      <c r="S401" s="1"/>
      <c r="T401" s="1"/>
      <c r="U401" s="1"/>
      <c r="V401" s="1"/>
      <c r="W401" s="1"/>
      <c r="X401" s="1"/>
      <c r="Y401" s="1"/>
      <c r="Z401" s="1"/>
      <c r="AA401" s="1"/>
      <c r="AB401" s="1"/>
      <c r="AC401" s="1"/>
      <c r="AD401" s="1"/>
      <c r="AE401" s="1"/>
      <c r="AF401" s="1"/>
      <c r="AG401" s="1"/>
      <c r="AH401" s="1"/>
    </row>
    <row r="402" ht="12.75" hidden="1" customHeight="1" outlineLevel="1">
      <c r="A402" s="17">
        <v>41107.0</v>
      </c>
      <c r="B402" s="1"/>
      <c r="C402" s="1" t="s">
        <v>435</v>
      </c>
      <c r="D402" s="74"/>
      <c r="E402" s="67"/>
      <c r="F402" s="75"/>
      <c r="G402" s="67"/>
      <c r="H402" s="68"/>
      <c r="I402" s="76"/>
      <c r="J402" s="67"/>
      <c r="K402" s="1"/>
      <c r="L402" s="77"/>
      <c r="M402" s="79"/>
      <c r="N402" s="1"/>
      <c r="O402" s="1"/>
      <c r="P402" s="1"/>
      <c r="Q402" s="1"/>
      <c r="R402" s="1"/>
      <c r="S402" s="1"/>
      <c r="T402" s="1"/>
      <c r="U402" s="1"/>
      <c r="V402" s="1"/>
      <c r="W402" s="1"/>
      <c r="X402" s="1"/>
      <c r="Y402" s="1"/>
      <c r="Z402" s="1"/>
      <c r="AA402" s="1"/>
      <c r="AB402" s="1"/>
      <c r="AC402" s="1"/>
      <c r="AD402" s="1"/>
      <c r="AE402" s="1"/>
      <c r="AF402" s="1"/>
      <c r="AG402" s="1"/>
      <c r="AH402" s="1"/>
    </row>
    <row r="403" ht="12.75" hidden="1" customHeight="1" outlineLevel="1">
      <c r="A403" s="17">
        <v>41108.0</v>
      </c>
      <c r="B403" s="1" t="s">
        <v>347</v>
      </c>
      <c r="C403" s="1" t="s">
        <v>385</v>
      </c>
      <c r="D403" s="1">
        <v>300.0</v>
      </c>
      <c r="E403" s="1">
        <v>4.66</v>
      </c>
      <c r="F403" s="75">
        <v>0.627199074074074</v>
      </c>
      <c r="G403" s="1"/>
      <c r="H403" s="1">
        <v>1.5</v>
      </c>
      <c r="I403" s="76"/>
      <c r="J403" s="67">
        <f t="shared" ref="J403:J408" si="29">IF(B403="SLD",D403*E403,-D403*E403)-H403</f>
        <v>1396.5</v>
      </c>
      <c r="K403" s="1" t="s">
        <v>395</v>
      </c>
      <c r="L403" s="70"/>
      <c r="M403" s="79"/>
      <c r="N403" s="1"/>
      <c r="O403" s="1"/>
      <c r="P403" s="1"/>
      <c r="Q403" s="1"/>
      <c r="R403" s="1"/>
      <c r="S403" s="1"/>
      <c r="T403" s="1"/>
      <c r="U403" s="1"/>
      <c r="V403" s="1"/>
      <c r="W403" s="1"/>
      <c r="X403" s="1"/>
      <c r="Y403" s="1"/>
      <c r="Z403" s="1"/>
      <c r="AA403" s="1"/>
      <c r="AB403" s="1"/>
      <c r="AC403" s="1"/>
      <c r="AD403" s="1"/>
      <c r="AE403" s="1"/>
      <c r="AF403" s="1"/>
      <c r="AG403" s="1"/>
      <c r="AH403" s="1"/>
    </row>
    <row r="404" ht="12.75" hidden="1" customHeight="1" outlineLevel="1">
      <c r="A404" s="17">
        <v>41108.0</v>
      </c>
      <c r="B404" s="1" t="s">
        <v>347</v>
      </c>
      <c r="C404" s="1" t="s">
        <v>385</v>
      </c>
      <c r="D404" s="1">
        <v>300.0</v>
      </c>
      <c r="E404" s="1">
        <v>4.66</v>
      </c>
      <c r="F404" s="75">
        <v>0.627199074074074</v>
      </c>
      <c r="G404" s="1"/>
      <c r="H404" s="1">
        <v>1.5</v>
      </c>
      <c r="I404" s="76"/>
      <c r="J404" s="67">
        <f t="shared" si="29"/>
        <v>1396.5</v>
      </c>
      <c r="K404" s="1" t="s">
        <v>395</v>
      </c>
      <c r="L404" s="70"/>
      <c r="M404" s="79"/>
      <c r="N404" s="1"/>
      <c r="O404" s="1"/>
      <c r="P404" s="1"/>
      <c r="Q404" s="1"/>
      <c r="R404" s="1"/>
      <c r="S404" s="1"/>
      <c r="T404" s="1"/>
      <c r="U404" s="1"/>
      <c r="V404" s="1"/>
      <c r="W404" s="1"/>
      <c r="X404" s="1"/>
      <c r="Y404" s="1"/>
      <c r="Z404" s="1"/>
      <c r="AA404" s="1"/>
      <c r="AB404" s="1"/>
      <c r="AC404" s="1"/>
      <c r="AD404" s="1"/>
      <c r="AE404" s="1"/>
      <c r="AF404" s="1"/>
      <c r="AG404" s="1"/>
      <c r="AH404" s="1"/>
    </row>
    <row r="405" ht="12.75" hidden="1" customHeight="1" outlineLevel="1">
      <c r="A405" s="17">
        <v>41108.0</v>
      </c>
      <c r="B405" s="1" t="s">
        <v>347</v>
      </c>
      <c r="C405" s="1" t="s">
        <v>385</v>
      </c>
      <c r="D405" s="1">
        <v>100.0</v>
      </c>
      <c r="E405" s="1">
        <v>4.66</v>
      </c>
      <c r="F405" s="75">
        <v>0.627199074074074</v>
      </c>
      <c r="G405" s="1"/>
      <c r="H405" s="1">
        <v>0.5</v>
      </c>
      <c r="I405" s="76"/>
      <c r="J405" s="67">
        <f t="shared" si="29"/>
        <v>465.5</v>
      </c>
      <c r="K405" s="1" t="s">
        <v>395</v>
      </c>
      <c r="L405" s="70"/>
      <c r="M405" s="79"/>
      <c r="N405" s="1"/>
      <c r="O405" s="1"/>
      <c r="P405" s="1"/>
      <c r="Q405" s="1"/>
      <c r="R405" s="1"/>
      <c r="S405" s="1"/>
      <c r="T405" s="1"/>
      <c r="U405" s="1"/>
      <c r="V405" s="1"/>
      <c r="W405" s="1"/>
      <c r="X405" s="1"/>
      <c r="Y405" s="1"/>
      <c r="Z405" s="1"/>
      <c r="AA405" s="1"/>
      <c r="AB405" s="1"/>
      <c r="AC405" s="1"/>
      <c r="AD405" s="1"/>
      <c r="AE405" s="1"/>
      <c r="AF405" s="1"/>
      <c r="AG405" s="1"/>
      <c r="AH405" s="1"/>
    </row>
    <row r="406" ht="12.75" hidden="1" customHeight="1" outlineLevel="1">
      <c r="A406" s="17">
        <v>41108.0</v>
      </c>
      <c r="B406" s="1" t="s">
        <v>347</v>
      </c>
      <c r="C406" s="1" t="s">
        <v>385</v>
      </c>
      <c r="D406" s="1">
        <v>100.0</v>
      </c>
      <c r="E406" s="1">
        <v>4.66</v>
      </c>
      <c r="F406" s="75">
        <v>0.627199074074074</v>
      </c>
      <c r="G406" s="1"/>
      <c r="H406" s="1">
        <v>0.5</v>
      </c>
      <c r="I406" s="76"/>
      <c r="J406" s="67">
        <f t="shared" si="29"/>
        <v>465.5</v>
      </c>
      <c r="K406" s="1" t="s">
        <v>395</v>
      </c>
      <c r="L406" s="70"/>
      <c r="M406" s="79"/>
      <c r="N406" s="1"/>
      <c r="O406" s="1"/>
      <c r="P406" s="1"/>
      <c r="Q406" s="1"/>
      <c r="R406" s="1"/>
      <c r="S406" s="1"/>
      <c r="T406" s="1"/>
      <c r="U406" s="1"/>
      <c r="V406" s="1"/>
      <c r="W406" s="1"/>
      <c r="X406" s="1"/>
      <c r="Y406" s="1"/>
      <c r="Z406" s="1"/>
      <c r="AA406" s="1"/>
      <c r="AB406" s="1"/>
      <c r="AC406" s="1"/>
      <c r="AD406" s="1"/>
      <c r="AE406" s="1"/>
      <c r="AF406" s="1"/>
      <c r="AG406" s="1"/>
      <c r="AH406" s="1"/>
    </row>
    <row r="407" ht="12.75" hidden="1" customHeight="1" outlineLevel="1">
      <c r="A407" s="17">
        <v>41108.0</v>
      </c>
      <c r="B407" s="1" t="s">
        <v>347</v>
      </c>
      <c r="C407" s="1" t="s">
        <v>511</v>
      </c>
      <c r="D407" s="1">
        <v>100.0</v>
      </c>
      <c r="E407" s="1">
        <v>13.77</v>
      </c>
      <c r="F407" s="75">
        <v>0.6293518518518518</v>
      </c>
      <c r="G407" s="1"/>
      <c r="H407" s="1">
        <v>1.0</v>
      </c>
      <c r="I407" s="76"/>
      <c r="J407" s="67">
        <f t="shared" si="29"/>
        <v>1376</v>
      </c>
      <c r="K407" s="1" t="s">
        <v>395</v>
      </c>
      <c r="L407" s="70"/>
      <c r="M407" s="79"/>
      <c r="N407" s="1"/>
      <c r="O407" s="1"/>
      <c r="P407" s="1"/>
      <c r="Q407" s="1"/>
      <c r="R407" s="1"/>
      <c r="S407" s="1"/>
      <c r="T407" s="1"/>
      <c r="U407" s="1"/>
      <c r="V407" s="1"/>
      <c r="W407" s="1"/>
      <c r="X407" s="1"/>
      <c r="Y407" s="1"/>
      <c r="Z407" s="1"/>
      <c r="AA407" s="1"/>
      <c r="AB407" s="1"/>
      <c r="AC407" s="1"/>
      <c r="AD407" s="1"/>
      <c r="AE407" s="1"/>
      <c r="AF407" s="1"/>
      <c r="AG407" s="1"/>
      <c r="AH407" s="1"/>
    </row>
    <row r="408" ht="12.75" hidden="1" customHeight="1" outlineLevel="1">
      <c r="A408" s="17">
        <v>41108.0</v>
      </c>
      <c r="B408" s="1" t="s">
        <v>347</v>
      </c>
      <c r="C408" s="1" t="s">
        <v>511</v>
      </c>
      <c r="D408" s="1">
        <v>100.0</v>
      </c>
      <c r="E408" s="1">
        <v>13.73</v>
      </c>
      <c r="F408" s="75">
        <v>0.629375</v>
      </c>
      <c r="G408" s="1"/>
      <c r="H408" s="1">
        <v>0.0</v>
      </c>
      <c r="I408" s="76"/>
      <c r="J408" s="67">
        <f t="shared" si="29"/>
        <v>1373</v>
      </c>
      <c r="K408" s="1" t="s">
        <v>395</v>
      </c>
      <c r="L408" s="70"/>
      <c r="M408" s="79"/>
      <c r="N408" s="1"/>
      <c r="O408" s="1"/>
      <c r="P408" s="1"/>
      <c r="Q408" s="1"/>
      <c r="R408" s="1"/>
      <c r="S408" s="1"/>
      <c r="T408" s="1"/>
      <c r="U408" s="1"/>
      <c r="V408" s="1"/>
      <c r="W408" s="1"/>
      <c r="X408" s="1"/>
      <c r="Y408" s="1"/>
      <c r="Z408" s="1"/>
      <c r="AA408" s="1"/>
      <c r="AB408" s="1"/>
      <c r="AC408" s="1"/>
      <c r="AD408" s="1"/>
      <c r="AE408" s="1"/>
      <c r="AF408" s="1"/>
      <c r="AG408" s="1"/>
      <c r="AH408" s="1"/>
    </row>
    <row r="409" ht="12.75" hidden="1" customHeight="1" outlineLevel="1">
      <c r="A409" s="17">
        <v>41108.0</v>
      </c>
      <c r="B409" s="1"/>
      <c r="C409" s="1" t="s">
        <v>339</v>
      </c>
      <c r="D409" s="74"/>
      <c r="E409" s="67"/>
      <c r="F409" s="75"/>
      <c r="G409" s="67"/>
      <c r="H409" s="68"/>
      <c r="I409" s="76"/>
      <c r="J409" s="67"/>
      <c r="K409" s="7" t="s">
        <v>512</v>
      </c>
      <c r="L409" s="77"/>
      <c r="M409" s="79"/>
      <c r="N409" s="1"/>
      <c r="O409" s="1"/>
      <c r="P409" s="1"/>
      <c r="Q409" s="1"/>
      <c r="R409" s="1"/>
      <c r="S409" s="1"/>
      <c r="T409" s="1"/>
      <c r="U409" s="1"/>
      <c r="V409" s="1"/>
      <c r="W409" s="1"/>
      <c r="X409" s="1"/>
      <c r="Y409" s="1"/>
      <c r="Z409" s="1"/>
      <c r="AA409" s="1"/>
      <c r="AB409" s="1"/>
      <c r="AC409" s="1"/>
      <c r="AD409" s="1"/>
      <c r="AE409" s="1"/>
      <c r="AF409" s="1"/>
      <c r="AG409" s="1"/>
      <c r="AH409" s="1"/>
    </row>
    <row r="410" ht="12.75" hidden="1" customHeight="1" outlineLevel="1">
      <c r="A410" s="17">
        <v>41108.0</v>
      </c>
      <c r="B410" s="1"/>
      <c r="C410" s="1" t="s">
        <v>429</v>
      </c>
      <c r="D410" s="74"/>
      <c r="E410" s="67"/>
      <c r="F410" s="75"/>
      <c r="G410" s="67"/>
      <c r="H410" s="68"/>
      <c r="I410" s="76"/>
      <c r="J410" s="67"/>
      <c r="K410" s="7" t="s">
        <v>513</v>
      </c>
      <c r="L410" s="77"/>
      <c r="M410" s="79"/>
      <c r="N410" s="1"/>
      <c r="O410" s="1"/>
      <c r="P410" s="1"/>
      <c r="Q410" s="1"/>
      <c r="R410" s="1"/>
      <c r="S410" s="1"/>
      <c r="T410" s="1"/>
      <c r="U410" s="1"/>
      <c r="V410" s="1"/>
      <c r="W410" s="1"/>
      <c r="X410" s="1"/>
      <c r="Y410" s="1"/>
      <c r="Z410" s="1"/>
      <c r="AA410" s="1"/>
      <c r="AB410" s="1"/>
      <c r="AC410" s="1"/>
      <c r="AD410" s="1"/>
      <c r="AE410" s="1"/>
      <c r="AF410" s="1"/>
      <c r="AG410" s="1"/>
      <c r="AH410" s="1"/>
    </row>
    <row r="411" ht="12.75" hidden="1" customHeight="1" outlineLevel="1">
      <c r="A411" s="17">
        <v>41108.0</v>
      </c>
      <c r="B411" s="1"/>
      <c r="C411" s="1" t="s">
        <v>431</v>
      </c>
      <c r="D411" s="74"/>
      <c r="E411" s="67"/>
      <c r="F411" s="75"/>
      <c r="G411" s="67"/>
      <c r="H411" s="68"/>
      <c r="I411" s="76"/>
      <c r="J411" s="67"/>
      <c r="K411" s="7" t="s">
        <v>502</v>
      </c>
      <c r="L411" s="77"/>
      <c r="M411" s="79"/>
      <c r="N411" s="1"/>
      <c r="O411" s="1"/>
      <c r="P411" s="1"/>
      <c r="Q411" s="1"/>
      <c r="R411" s="1"/>
      <c r="S411" s="1"/>
      <c r="T411" s="1"/>
      <c r="U411" s="1"/>
      <c r="V411" s="1"/>
      <c r="W411" s="1"/>
      <c r="X411" s="1"/>
      <c r="Y411" s="1"/>
      <c r="Z411" s="1"/>
      <c r="AA411" s="1"/>
      <c r="AB411" s="1"/>
      <c r="AC411" s="1"/>
      <c r="AD411" s="1"/>
      <c r="AE411" s="1"/>
      <c r="AF411" s="1"/>
      <c r="AG411" s="1"/>
      <c r="AH411" s="1"/>
    </row>
    <row r="412" ht="12.75" hidden="1" customHeight="1" outlineLevel="1">
      <c r="A412" s="17">
        <v>41108.0</v>
      </c>
      <c r="B412" s="1"/>
      <c r="C412" s="1" t="s">
        <v>433</v>
      </c>
      <c r="D412" s="74"/>
      <c r="E412" s="67"/>
      <c r="F412" s="75"/>
      <c r="G412" s="67"/>
      <c r="H412" s="68"/>
      <c r="I412" s="76"/>
      <c r="J412" s="67"/>
      <c r="K412" s="1" t="s">
        <v>434</v>
      </c>
      <c r="L412" s="77"/>
      <c r="M412" s="79"/>
      <c r="N412" s="1"/>
      <c r="O412" s="1"/>
      <c r="P412" s="1"/>
      <c r="Q412" s="1"/>
      <c r="R412" s="1"/>
      <c r="S412" s="1"/>
      <c r="T412" s="1"/>
      <c r="U412" s="1"/>
      <c r="V412" s="1"/>
      <c r="W412" s="1"/>
      <c r="X412" s="1"/>
      <c r="Y412" s="1"/>
      <c r="Z412" s="1"/>
      <c r="AA412" s="1"/>
      <c r="AB412" s="1"/>
      <c r="AC412" s="1"/>
      <c r="AD412" s="1"/>
      <c r="AE412" s="1"/>
      <c r="AF412" s="1"/>
      <c r="AG412" s="1"/>
      <c r="AH412" s="1"/>
    </row>
    <row r="413" ht="12.75" hidden="1" customHeight="1" outlineLevel="1">
      <c r="A413" s="17">
        <v>41108.0</v>
      </c>
      <c r="B413" s="1"/>
      <c r="C413" s="1" t="s">
        <v>435</v>
      </c>
      <c r="D413" s="74"/>
      <c r="E413" s="67"/>
      <c r="F413" s="75"/>
      <c r="G413" s="67"/>
      <c r="H413" s="68"/>
      <c r="I413" s="76"/>
      <c r="J413" s="67"/>
      <c r="K413" s="1"/>
      <c r="L413" s="77"/>
      <c r="M413" s="79"/>
      <c r="N413" s="1"/>
      <c r="O413" s="1"/>
      <c r="P413" s="1"/>
      <c r="Q413" s="1"/>
      <c r="R413" s="1"/>
      <c r="S413" s="1"/>
      <c r="T413" s="1"/>
      <c r="U413" s="1"/>
      <c r="V413" s="1"/>
      <c r="W413" s="1"/>
      <c r="X413" s="1"/>
      <c r="Y413" s="1"/>
      <c r="Z413" s="1"/>
      <c r="AA413" s="1"/>
      <c r="AB413" s="1"/>
      <c r="AC413" s="1"/>
      <c r="AD413" s="1"/>
      <c r="AE413" s="1"/>
      <c r="AF413" s="1"/>
      <c r="AG413" s="1"/>
      <c r="AH413" s="1"/>
    </row>
    <row r="414" ht="12.75" hidden="1" customHeight="1" outlineLevel="1">
      <c r="A414" s="17">
        <v>41109.0</v>
      </c>
      <c r="B414" s="1" t="s">
        <v>347</v>
      </c>
      <c r="C414" s="1" t="s">
        <v>344</v>
      </c>
      <c r="D414" s="1">
        <v>800.0</v>
      </c>
      <c r="E414" s="1">
        <v>31.46</v>
      </c>
      <c r="F414" s="75">
        <v>0.6102314814814814</v>
      </c>
      <c r="G414" s="1"/>
      <c r="H414" s="1">
        <v>4.0</v>
      </c>
      <c r="I414" s="76"/>
      <c r="J414" s="67">
        <f t="shared" ref="J414:J422" si="30">IF(B414="SLD",D414*E414,-D414*E414)-H414</f>
        <v>25164</v>
      </c>
      <c r="K414" s="7" t="s">
        <v>395</v>
      </c>
      <c r="L414" s="70"/>
      <c r="M414" s="79"/>
      <c r="N414" s="1"/>
      <c r="O414" s="1"/>
      <c r="P414" s="1"/>
      <c r="Q414" s="1"/>
      <c r="R414" s="1"/>
      <c r="S414" s="1"/>
      <c r="T414" s="1"/>
      <c r="U414" s="1"/>
      <c r="V414" s="1"/>
      <c r="W414" s="1"/>
      <c r="X414" s="1"/>
      <c r="Y414" s="1"/>
      <c r="Z414" s="1"/>
      <c r="AA414" s="1"/>
      <c r="AB414" s="1"/>
      <c r="AC414" s="1"/>
      <c r="AD414" s="1"/>
      <c r="AE414" s="1"/>
      <c r="AF414" s="1"/>
      <c r="AG414" s="1"/>
      <c r="AH414" s="1"/>
    </row>
    <row r="415" ht="12.75" hidden="1" customHeight="1" outlineLevel="1">
      <c r="A415" s="17">
        <v>41109.0</v>
      </c>
      <c r="B415" s="1" t="s">
        <v>343</v>
      </c>
      <c r="C415" s="1" t="s">
        <v>346</v>
      </c>
      <c r="D415" s="1">
        <v>36.0</v>
      </c>
      <c r="E415" s="1">
        <v>611.99</v>
      </c>
      <c r="F415" s="75">
        <v>0.6693402777777777</v>
      </c>
      <c r="G415" s="1"/>
      <c r="H415" s="1">
        <v>1.0</v>
      </c>
      <c r="I415" s="76"/>
      <c r="J415" s="67">
        <f t="shared" si="30"/>
        <v>-22032.64</v>
      </c>
      <c r="K415" s="7" t="s">
        <v>395</v>
      </c>
      <c r="L415" s="70"/>
      <c r="M415" s="79"/>
      <c r="N415" s="1"/>
      <c r="O415" s="1"/>
      <c r="P415" s="1"/>
      <c r="Q415" s="1"/>
      <c r="R415" s="1"/>
      <c r="S415" s="1"/>
      <c r="T415" s="1"/>
      <c r="U415" s="1"/>
      <c r="V415" s="1"/>
      <c r="W415" s="1"/>
      <c r="X415" s="1"/>
      <c r="Y415" s="1"/>
      <c r="Z415" s="1"/>
      <c r="AA415" s="1"/>
      <c r="AB415" s="1"/>
      <c r="AC415" s="1"/>
      <c r="AD415" s="1"/>
      <c r="AE415" s="1"/>
      <c r="AF415" s="1"/>
      <c r="AG415" s="1"/>
      <c r="AH415" s="1"/>
    </row>
    <row r="416" ht="12.75" hidden="1" customHeight="1" outlineLevel="1">
      <c r="A416" s="17">
        <v>41109.0</v>
      </c>
      <c r="B416" s="1" t="s">
        <v>343</v>
      </c>
      <c r="C416" s="1" t="s">
        <v>344</v>
      </c>
      <c r="D416" s="1">
        <v>100.0</v>
      </c>
      <c r="E416" s="1">
        <v>31.9</v>
      </c>
      <c r="F416" s="75">
        <v>0.6784837962962963</v>
      </c>
      <c r="G416" s="1"/>
      <c r="H416" s="1">
        <v>1.0</v>
      </c>
      <c r="I416" s="76"/>
      <c r="J416" s="67">
        <f t="shared" si="30"/>
        <v>-3191</v>
      </c>
      <c r="K416" s="7" t="s">
        <v>395</v>
      </c>
      <c r="L416" s="70"/>
      <c r="M416" s="79"/>
      <c r="N416" s="1"/>
      <c r="O416" s="1"/>
      <c r="P416" s="1"/>
      <c r="Q416" s="1"/>
      <c r="R416" s="1"/>
      <c r="S416" s="1"/>
      <c r="T416" s="1"/>
      <c r="U416" s="1"/>
      <c r="V416" s="1"/>
      <c r="W416" s="1"/>
      <c r="X416" s="1"/>
      <c r="Y416" s="1"/>
      <c r="Z416" s="1"/>
      <c r="AA416" s="1"/>
      <c r="AB416" s="1"/>
      <c r="AC416" s="1"/>
      <c r="AD416" s="1"/>
      <c r="AE416" s="1"/>
      <c r="AF416" s="1"/>
      <c r="AG416" s="1"/>
      <c r="AH416" s="1"/>
    </row>
    <row r="417" ht="12.75" hidden="1" customHeight="1" outlineLevel="1">
      <c r="A417" s="17">
        <v>41109.0</v>
      </c>
      <c r="B417" s="1" t="s">
        <v>343</v>
      </c>
      <c r="C417" s="1" t="s">
        <v>344</v>
      </c>
      <c r="D417" s="1">
        <v>100.0</v>
      </c>
      <c r="E417" s="1">
        <v>31.9</v>
      </c>
      <c r="F417" s="75">
        <v>0.6784837962962963</v>
      </c>
      <c r="G417" s="1"/>
      <c r="H417" s="1">
        <v>0.0</v>
      </c>
      <c r="I417" s="76"/>
      <c r="J417" s="67">
        <f t="shared" si="30"/>
        <v>-3190</v>
      </c>
      <c r="K417" s="7" t="s">
        <v>395</v>
      </c>
      <c r="L417" s="70"/>
      <c r="M417" s="79"/>
      <c r="N417" s="1"/>
      <c r="O417" s="1"/>
      <c r="P417" s="1"/>
      <c r="Q417" s="1"/>
      <c r="R417" s="1"/>
      <c r="S417" s="1"/>
      <c r="T417" s="1"/>
      <c r="U417" s="1"/>
      <c r="V417" s="1"/>
      <c r="W417" s="1"/>
      <c r="X417" s="1"/>
      <c r="Y417" s="1"/>
      <c r="Z417" s="1"/>
      <c r="AA417" s="1"/>
      <c r="AB417" s="1"/>
      <c r="AC417" s="1"/>
      <c r="AD417" s="1"/>
      <c r="AE417" s="1"/>
      <c r="AF417" s="1"/>
      <c r="AG417" s="1"/>
      <c r="AH417" s="1"/>
    </row>
    <row r="418" ht="12.75" hidden="1" customHeight="1" outlineLevel="1">
      <c r="A418" s="17">
        <v>41109.0</v>
      </c>
      <c r="B418" s="1" t="s">
        <v>343</v>
      </c>
      <c r="C418" s="1" t="s">
        <v>344</v>
      </c>
      <c r="D418" s="1">
        <v>100.0</v>
      </c>
      <c r="E418" s="1">
        <v>31.9</v>
      </c>
      <c r="F418" s="75">
        <v>0.6784837962962963</v>
      </c>
      <c r="G418" s="1"/>
      <c r="H418" s="1">
        <v>0.3</v>
      </c>
      <c r="I418" s="76"/>
      <c r="J418" s="67">
        <f t="shared" si="30"/>
        <v>-3190.3</v>
      </c>
      <c r="K418" s="7" t="s">
        <v>395</v>
      </c>
      <c r="L418" s="70"/>
      <c r="M418" s="79"/>
      <c r="N418" s="1"/>
      <c r="O418" s="1"/>
      <c r="P418" s="1"/>
      <c r="Q418" s="1"/>
      <c r="R418" s="1"/>
      <c r="S418" s="1"/>
      <c r="T418" s="1"/>
      <c r="U418" s="1"/>
      <c r="V418" s="1"/>
      <c r="W418" s="1"/>
      <c r="X418" s="1"/>
      <c r="Y418" s="1"/>
      <c r="Z418" s="1"/>
      <c r="AA418" s="1"/>
      <c r="AB418" s="1"/>
      <c r="AC418" s="1"/>
      <c r="AD418" s="1"/>
      <c r="AE418" s="1"/>
      <c r="AF418" s="1"/>
      <c r="AG418" s="1"/>
      <c r="AH418" s="1"/>
    </row>
    <row r="419" ht="12.75" hidden="1" customHeight="1" outlineLevel="1">
      <c r="A419" s="17">
        <v>41109.0</v>
      </c>
      <c r="B419" s="1" t="s">
        <v>343</v>
      </c>
      <c r="C419" s="1" t="s">
        <v>344</v>
      </c>
      <c r="D419" s="1">
        <v>100.0</v>
      </c>
      <c r="E419" s="1">
        <v>31.9</v>
      </c>
      <c r="F419" s="75">
        <v>0.6784837962962963</v>
      </c>
      <c r="G419" s="1"/>
      <c r="H419" s="1">
        <v>0.4</v>
      </c>
      <c r="I419" s="76"/>
      <c r="J419" s="67">
        <f t="shared" si="30"/>
        <v>-3190.4</v>
      </c>
      <c r="K419" s="7" t="s">
        <v>395</v>
      </c>
      <c r="L419" s="70"/>
      <c r="M419" s="79"/>
      <c r="N419" s="1"/>
      <c r="O419" s="1"/>
      <c r="P419" s="1"/>
      <c r="Q419" s="1"/>
      <c r="R419" s="1"/>
      <c r="S419" s="1"/>
      <c r="T419" s="1"/>
      <c r="U419" s="1"/>
      <c r="V419" s="1"/>
      <c r="W419" s="1"/>
      <c r="X419" s="1"/>
      <c r="Y419" s="1"/>
      <c r="Z419" s="1"/>
      <c r="AA419" s="1"/>
      <c r="AB419" s="1"/>
      <c r="AC419" s="1"/>
      <c r="AD419" s="1"/>
      <c r="AE419" s="1"/>
      <c r="AF419" s="1"/>
      <c r="AG419" s="1"/>
      <c r="AH419" s="1"/>
    </row>
    <row r="420" ht="12.75" hidden="1" customHeight="1" outlineLevel="1">
      <c r="A420" s="17">
        <v>41109.0</v>
      </c>
      <c r="B420" s="1" t="s">
        <v>343</v>
      </c>
      <c r="C420" s="1" t="s">
        <v>344</v>
      </c>
      <c r="D420" s="1">
        <v>100.0</v>
      </c>
      <c r="E420" s="1">
        <v>31.9</v>
      </c>
      <c r="F420" s="75">
        <v>0.6784837962962963</v>
      </c>
      <c r="G420" s="1"/>
      <c r="H420" s="1">
        <v>0.4</v>
      </c>
      <c r="I420" s="76"/>
      <c r="J420" s="67">
        <f t="shared" si="30"/>
        <v>-3190.4</v>
      </c>
      <c r="K420" s="7" t="s">
        <v>395</v>
      </c>
      <c r="L420" s="70"/>
      <c r="M420" s="79"/>
      <c r="N420" s="1"/>
      <c r="O420" s="1"/>
      <c r="P420" s="1"/>
      <c r="Q420" s="1"/>
      <c r="R420" s="1"/>
      <c r="S420" s="1"/>
      <c r="T420" s="1"/>
      <c r="U420" s="1"/>
      <c r="V420" s="1"/>
      <c r="W420" s="1"/>
      <c r="X420" s="1"/>
      <c r="Y420" s="1"/>
      <c r="Z420" s="1"/>
      <c r="AA420" s="1"/>
      <c r="AB420" s="1"/>
      <c r="AC420" s="1"/>
      <c r="AD420" s="1"/>
      <c r="AE420" s="1"/>
      <c r="AF420" s="1"/>
      <c r="AG420" s="1"/>
      <c r="AH420" s="1"/>
    </row>
    <row r="421" ht="12.75" hidden="1" customHeight="1" outlineLevel="1">
      <c r="A421" s="17">
        <v>41109.0</v>
      </c>
      <c r="B421" s="1" t="s">
        <v>343</v>
      </c>
      <c r="C421" s="1" t="s">
        <v>344</v>
      </c>
      <c r="D421" s="1">
        <v>100.0</v>
      </c>
      <c r="E421" s="1">
        <v>31.8999</v>
      </c>
      <c r="F421" s="75">
        <v>0.6784837962962963</v>
      </c>
      <c r="G421" s="1"/>
      <c r="H421" s="1">
        <v>0.4</v>
      </c>
      <c r="I421" s="76"/>
      <c r="J421" s="67">
        <f t="shared" si="30"/>
        <v>-3190.39</v>
      </c>
      <c r="K421" s="7" t="s">
        <v>395</v>
      </c>
      <c r="L421" s="70"/>
      <c r="M421" s="79"/>
      <c r="N421" s="1"/>
      <c r="O421" s="1"/>
      <c r="P421" s="1"/>
      <c r="Q421" s="1"/>
      <c r="R421" s="1"/>
      <c r="S421" s="1"/>
      <c r="T421" s="1"/>
      <c r="U421" s="1"/>
      <c r="V421" s="1"/>
      <c r="W421" s="1"/>
      <c r="X421" s="1"/>
      <c r="Y421" s="1"/>
      <c r="Z421" s="1"/>
      <c r="AA421" s="1"/>
      <c r="AB421" s="1"/>
      <c r="AC421" s="1"/>
      <c r="AD421" s="1"/>
      <c r="AE421" s="1"/>
      <c r="AF421" s="1"/>
      <c r="AG421" s="1"/>
      <c r="AH421" s="1"/>
    </row>
    <row r="422" ht="12.75" hidden="1" customHeight="1" outlineLevel="1">
      <c r="A422" s="17">
        <v>41109.0</v>
      </c>
      <c r="B422" s="1" t="s">
        <v>343</v>
      </c>
      <c r="C422" s="1" t="s">
        <v>344</v>
      </c>
      <c r="D422" s="1">
        <v>200.0</v>
      </c>
      <c r="E422" s="1">
        <v>31.9</v>
      </c>
      <c r="F422" s="75">
        <v>0.6784837962962963</v>
      </c>
      <c r="G422" s="1"/>
      <c r="H422" s="1">
        <v>0.8</v>
      </c>
      <c r="I422" s="76"/>
      <c r="J422" s="67">
        <f t="shared" si="30"/>
        <v>-6380.8</v>
      </c>
      <c r="K422" s="7" t="s">
        <v>395</v>
      </c>
      <c r="L422" s="70"/>
      <c r="M422" s="79"/>
      <c r="N422" s="1"/>
      <c r="O422" s="1"/>
      <c r="P422" s="1"/>
      <c r="Q422" s="1"/>
      <c r="R422" s="1"/>
      <c r="S422" s="1"/>
      <c r="T422" s="1"/>
      <c r="U422" s="1"/>
      <c r="V422" s="1"/>
      <c r="W422" s="1"/>
      <c r="X422" s="1"/>
      <c r="Y422" s="1"/>
      <c r="Z422" s="1"/>
      <c r="AA422" s="1"/>
      <c r="AB422" s="1"/>
      <c r="AC422" s="1"/>
      <c r="AD422" s="1"/>
      <c r="AE422" s="1"/>
      <c r="AF422" s="1"/>
      <c r="AG422" s="1"/>
      <c r="AH422" s="1"/>
    </row>
    <row r="423" ht="12.75" hidden="1" customHeight="1" outlineLevel="1">
      <c r="A423" s="17">
        <v>41109.0</v>
      </c>
      <c r="B423" s="1"/>
      <c r="C423" s="1" t="s">
        <v>339</v>
      </c>
      <c r="D423" s="74"/>
      <c r="E423" s="67"/>
      <c r="F423" s="75"/>
      <c r="G423" s="67"/>
      <c r="H423" s="68"/>
      <c r="I423" s="76"/>
      <c r="J423" s="67"/>
      <c r="K423" s="7" t="s">
        <v>517</v>
      </c>
      <c r="L423" s="77"/>
      <c r="M423" s="79"/>
      <c r="N423" s="1"/>
      <c r="O423" s="1"/>
      <c r="P423" s="1"/>
      <c r="Q423" s="1"/>
      <c r="R423" s="1"/>
      <c r="S423" s="1"/>
      <c r="T423" s="1"/>
      <c r="U423" s="1"/>
      <c r="V423" s="1"/>
      <c r="W423" s="1"/>
      <c r="X423" s="1"/>
      <c r="Y423" s="1"/>
      <c r="Z423" s="1"/>
      <c r="AA423" s="1"/>
      <c r="AB423" s="1"/>
      <c r="AC423" s="1"/>
      <c r="AD423" s="1"/>
      <c r="AE423" s="1"/>
      <c r="AF423" s="1"/>
      <c r="AG423" s="1"/>
      <c r="AH423" s="1"/>
    </row>
    <row r="424" ht="12.75" hidden="1" customHeight="1" outlineLevel="1">
      <c r="A424" s="17">
        <v>41109.0</v>
      </c>
      <c r="B424" s="1"/>
      <c r="C424" s="1" t="s">
        <v>429</v>
      </c>
      <c r="D424" s="74"/>
      <c r="E424" s="67"/>
      <c r="F424" s="75"/>
      <c r="G424" s="67"/>
      <c r="H424" s="68"/>
      <c r="I424" s="76"/>
      <c r="J424" s="67"/>
      <c r="K424" s="7" t="s">
        <v>513</v>
      </c>
      <c r="L424" s="77"/>
      <c r="M424" s="79"/>
      <c r="N424" s="1"/>
      <c r="O424" s="1"/>
      <c r="P424" s="1"/>
      <c r="Q424" s="1"/>
      <c r="R424" s="1"/>
      <c r="S424" s="1"/>
      <c r="T424" s="1"/>
      <c r="U424" s="1"/>
      <c r="V424" s="1"/>
      <c r="W424" s="1"/>
      <c r="X424" s="1"/>
      <c r="Y424" s="1"/>
      <c r="Z424" s="1"/>
      <c r="AA424" s="1"/>
      <c r="AB424" s="1"/>
      <c r="AC424" s="1"/>
      <c r="AD424" s="1"/>
      <c r="AE424" s="1"/>
      <c r="AF424" s="1"/>
      <c r="AG424" s="1"/>
      <c r="AH424" s="1"/>
    </row>
    <row r="425" ht="12.75" hidden="1" customHeight="1" outlineLevel="1">
      <c r="A425" s="17">
        <v>41109.0</v>
      </c>
      <c r="B425" s="1"/>
      <c r="C425" s="1" t="s">
        <v>431</v>
      </c>
      <c r="D425" s="74"/>
      <c r="E425" s="67"/>
      <c r="F425" s="75"/>
      <c r="G425" s="67"/>
      <c r="H425" s="68"/>
      <c r="I425" s="76"/>
      <c r="J425" s="67"/>
      <c r="K425" s="7" t="s">
        <v>502</v>
      </c>
      <c r="L425" s="77"/>
      <c r="M425" s="79"/>
      <c r="N425" s="1"/>
      <c r="O425" s="1"/>
      <c r="P425" s="1"/>
      <c r="Q425" s="1"/>
      <c r="R425" s="1"/>
      <c r="S425" s="1"/>
      <c r="T425" s="1"/>
      <c r="U425" s="1"/>
      <c r="V425" s="1"/>
      <c r="W425" s="1"/>
      <c r="X425" s="1"/>
      <c r="Y425" s="1"/>
      <c r="Z425" s="1"/>
      <c r="AA425" s="1"/>
      <c r="AB425" s="1"/>
      <c r="AC425" s="1"/>
      <c r="AD425" s="1"/>
      <c r="AE425" s="1"/>
      <c r="AF425" s="1"/>
      <c r="AG425" s="1"/>
      <c r="AH425" s="1"/>
    </row>
    <row r="426" ht="12.75" hidden="1" customHeight="1" outlineLevel="1">
      <c r="A426" s="17">
        <v>41109.0</v>
      </c>
      <c r="B426" s="1"/>
      <c r="C426" s="1" t="s">
        <v>433</v>
      </c>
      <c r="D426" s="74"/>
      <c r="E426" s="67"/>
      <c r="F426" s="75"/>
      <c r="G426" s="67"/>
      <c r="H426" s="68"/>
      <c r="I426" s="76"/>
      <c r="J426" s="67"/>
      <c r="K426" s="1" t="s">
        <v>434</v>
      </c>
      <c r="L426" s="77"/>
      <c r="M426" s="79"/>
      <c r="N426" s="1"/>
      <c r="O426" s="1"/>
      <c r="P426" s="1"/>
      <c r="Q426" s="1"/>
      <c r="R426" s="1"/>
      <c r="S426" s="1"/>
      <c r="T426" s="1"/>
      <c r="U426" s="1"/>
      <c r="V426" s="1"/>
      <c r="W426" s="1"/>
      <c r="X426" s="1"/>
      <c r="Y426" s="1"/>
      <c r="Z426" s="1"/>
      <c r="AA426" s="1"/>
      <c r="AB426" s="1"/>
      <c r="AC426" s="1"/>
      <c r="AD426" s="1"/>
      <c r="AE426" s="1"/>
      <c r="AF426" s="1"/>
      <c r="AG426" s="1"/>
      <c r="AH426" s="1"/>
    </row>
    <row r="427" ht="12.75" hidden="1" customHeight="1" outlineLevel="1">
      <c r="A427" s="17">
        <v>41109.0</v>
      </c>
      <c r="B427" s="1"/>
      <c r="C427" s="1" t="s">
        <v>435</v>
      </c>
      <c r="D427" s="74"/>
      <c r="E427" s="67"/>
      <c r="F427" s="75"/>
      <c r="G427" s="67"/>
      <c r="H427" s="68"/>
      <c r="I427" s="76"/>
      <c r="J427" s="67"/>
      <c r="K427" s="1"/>
      <c r="L427" s="77"/>
      <c r="M427" s="79"/>
      <c r="N427" s="1"/>
      <c r="O427" s="1"/>
      <c r="P427" s="1"/>
      <c r="Q427" s="1"/>
      <c r="R427" s="1"/>
      <c r="S427" s="1"/>
      <c r="T427" s="1"/>
      <c r="U427" s="1"/>
      <c r="V427" s="1"/>
      <c r="W427" s="1"/>
      <c r="X427" s="1"/>
      <c r="Y427" s="1"/>
      <c r="Z427" s="1"/>
      <c r="AA427" s="1"/>
      <c r="AB427" s="1"/>
      <c r="AC427" s="1"/>
      <c r="AD427" s="1"/>
      <c r="AE427" s="1"/>
      <c r="AF427" s="1"/>
      <c r="AG427" s="1"/>
      <c r="AH427" s="1"/>
    </row>
    <row r="428" ht="12.75" hidden="1" customHeight="1" outlineLevel="1">
      <c r="A428" s="17">
        <v>41110.0</v>
      </c>
      <c r="B428" s="1" t="s">
        <v>343</v>
      </c>
      <c r="C428" s="1" t="s">
        <v>394</v>
      </c>
      <c r="D428" s="1">
        <v>50.0</v>
      </c>
      <c r="E428" s="1">
        <v>1364.5</v>
      </c>
      <c r="F428" s="75">
        <v>0.5648032407407407</v>
      </c>
      <c r="G428" s="1"/>
      <c r="H428" s="1">
        <v>2.01</v>
      </c>
      <c r="I428" s="76"/>
      <c r="J428" s="67">
        <f t="shared" ref="J428:J435" si="31">IF(B428="SLD",D428*E428,-D428*E428)-H428</f>
        <v>-68227.01</v>
      </c>
      <c r="K428" s="7" t="s">
        <v>395</v>
      </c>
      <c r="L428" s="70"/>
      <c r="M428" s="79"/>
      <c r="N428" s="1"/>
      <c r="O428" s="1"/>
      <c r="P428" s="1"/>
      <c r="Q428" s="1"/>
      <c r="R428" s="1"/>
      <c r="S428" s="1"/>
      <c r="T428" s="1"/>
      <c r="U428" s="1"/>
      <c r="V428" s="1"/>
      <c r="W428" s="1"/>
      <c r="X428" s="1"/>
      <c r="Y428" s="1"/>
      <c r="Z428" s="1"/>
      <c r="AA428" s="1"/>
      <c r="AB428" s="1"/>
      <c r="AC428" s="1"/>
      <c r="AD428" s="1"/>
      <c r="AE428" s="1"/>
      <c r="AF428" s="1"/>
      <c r="AG428" s="1"/>
      <c r="AH428" s="1"/>
    </row>
    <row r="429" ht="12.75" hidden="1" customHeight="1" outlineLevel="1">
      <c r="A429" s="17">
        <v>41110.0</v>
      </c>
      <c r="B429" s="1" t="s">
        <v>343</v>
      </c>
      <c r="C429" s="1" t="s">
        <v>385</v>
      </c>
      <c r="D429" s="1">
        <v>500.0</v>
      </c>
      <c r="E429" s="1">
        <v>4.72</v>
      </c>
      <c r="F429" s="75">
        <v>0.6398958333333333</v>
      </c>
      <c r="G429" s="1"/>
      <c r="H429" s="1">
        <v>2.5</v>
      </c>
      <c r="I429" s="76"/>
      <c r="J429" s="67">
        <f t="shared" si="31"/>
        <v>-2362.5</v>
      </c>
      <c r="K429" s="7" t="s">
        <v>395</v>
      </c>
      <c r="L429" s="70"/>
      <c r="M429" s="79"/>
      <c r="N429" s="1"/>
      <c r="O429" s="1"/>
      <c r="P429" s="1"/>
      <c r="Q429" s="1"/>
      <c r="R429" s="1"/>
      <c r="S429" s="1"/>
      <c r="T429" s="1"/>
      <c r="U429" s="1"/>
      <c r="V429" s="1"/>
      <c r="W429" s="1"/>
      <c r="X429" s="1"/>
      <c r="Y429" s="1"/>
      <c r="Z429" s="1"/>
      <c r="AA429" s="1"/>
      <c r="AB429" s="1"/>
      <c r="AC429" s="1"/>
      <c r="AD429" s="1"/>
      <c r="AE429" s="1"/>
      <c r="AF429" s="1"/>
      <c r="AG429" s="1"/>
      <c r="AH429" s="1"/>
    </row>
    <row r="430" ht="12.75" hidden="1" customHeight="1" outlineLevel="1">
      <c r="A430" s="17">
        <v>41110.0</v>
      </c>
      <c r="B430" s="1" t="s">
        <v>343</v>
      </c>
      <c r="C430" s="1" t="s">
        <v>385</v>
      </c>
      <c r="D430" s="1">
        <v>200.0</v>
      </c>
      <c r="E430" s="1">
        <v>4.72</v>
      </c>
      <c r="F430" s="75">
        <v>0.6398958333333333</v>
      </c>
      <c r="G430" s="1"/>
      <c r="H430" s="1">
        <v>1.0</v>
      </c>
      <c r="I430" s="76"/>
      <c r="J430" s="67">
        <f t="shared" si="31"/>
        <v>-945</v>
      </c>
      <c r="K430" s="7" t="s">
        <v>395</v>
      </c>
      <c r="L430" s="70"/>
      <c r="M430" s="79"/>
      <c r="N430" s="1"/>
      <c r="O430" s="1"/>
      <c r="P430" s="1"/>
      <c r="Q430" s="1"/>
      <c r="R430" s="1"/>
      <c r="S430" s="1"/>
      <c r="T430" s="1"/>
      <c r="U430" s="1"/>
      <c r="V430" s="1"/>
      <c r="W430" s="1"/>
      <c r="X430" s="1"/>
      <c r="Y430" s="1"/>
      <c r="Z430" s="1"/>
      <c r="AA430" s="1"/>
      <c r="AB430" s="1"/>
      <c r="AC430" s="1"/>
      <c r="AD430" s="1"/>
      <c r="AE430" s="1"/>
      <c r="AF430" s="1"/>
      <c r="AG430" s="1"/>
      <c r="AH430" s="1"/>
    </row>
    <row r="431" ht="12.75" hidden="1" customHeight="1" outlineLevel="1">
      <c r="A431" s="17">
        <v>41110.0</v>
      </c>
      <c r="B431" s="1" t="s">
        <v>343</v>
      </c>
      <c r="C431" s="1" t="s">
        <v>385</v>
      </c>
      <c r="D431" s="1">
        <v>600.0</v>
      </c>
      <c r="E431" s="1">
        <v>4.72</v>
      </c>
      <c r="F431" s="75">
        <v>0.6398958333333333</v>
      </c>
      <c r="G431" s="1"/>
      <c r="H431" s="1">
        <v>3.0</v>
      </c>
      <c r="I431" s="76"/>
      <c r="J431" s="67">
        <f t="shared" si="31"/>
        <v>-2835</v>
      </c>
      <c r="K431" s="7" t="s">
        <v>395</v>
      </c>
      <c r="L431" s="70"/>
      <c r="M431" s="79"/>
      <c r="N431" s="1"/>
      <c r="O431" s="1"/>
      <c r="P431" s="1"/>
      <c r="Q431" s="1"/>
      <c r="R431" s="1"/>
      <c r="S431" s="1"/>
      <c r="T431" s="1"/>
      <c r="U431" s="1"/>
      <c r="V431" s="1"/>
      <c r="W431" s="1"/>
      <c r="X431" s="1"/>
      <c r="Y431" s="1"/>
      <c r="Z431" s="1"/>
      <c r="AA431" s="1"/>
      <c r="AB431" s="1"/>
      <c r="AC431" s="1"/>
      <c r="AD431" s="1"/>
      <c r="AE431" s="1"/>
      <c r="AF431" s="1"/>
      <c r="AG431" s="1"/>
      <c r="AH431" s="1"/>
    </row>
    <row r="432" ht="12.75" hidden="1" customHeight="1" outlineLevel="1">
      <c r="A432" s="17">
        <v>41110.0</v>
      </c>
      <c r="B432" s="1" t="s">
        <v>343</v>
      </c>
      <c r="C432" s="1" t="s">
        <v>385</v>
      </c>
      <c r="D432" s="1">
        <v>200.0</v>
      </c>
      <c r="E432" s="1">
        <v>4.72</v>
      </c>
      <c r="F432" s="75">
        <v>0.6398958333333333</v>
      </c>
      <c r="G432" s="1"/>
      <c r="H432" s="1">
        <v>0.8</v>
      </c>
      <c r="I432" s="76"/>
      <c r="J432" s="67">
        <f t="shared" si="31"/>
        <v>-944.8</v>
      </c>
      <c r="K432" s="7" t="s">
        <v>395</v>
      </c>
      <c r="L432" s="70"/>
      <c r="M432" s="79"/>
      <c r="N432" s="1"/>
      <c r="O432" s="1"/>
      <c r="P432" s="1"/>
      <c r="Q432" s="1"/>
      <c r="R432" s="1"/>
      <c r="S432" s="1"/>
      <c r="T432" s="1"/>
      <c r="U432" s="1"/>
      <c r="V432" s="1"/>
      <c r="W432" s="1"/>
      <c r="X432" s="1"/>
      <c r="Y432" s="1"/>
      <c r="Z432" s="1"/>
      <c r="AA432" s="1"/>
      <c r="AB432" s="1"/>
      <c r="AC432" s="1"/>
      <c r="AD432" s="1"/>
      <c r="AE432" s="1"/>
      <c r="AF432" s="1"/>
      <c r="AG432" s="1"/>
      <c r="AH432" s="1"/>
    </row>
    <row r="433" ht="12.75" hidden="1" customHeight="1" outlineLevel="1">
      <c r="A433" s="17">
        <v>41110.0</v>
      </c>
      <c r="B433" s="1" t="s">
        <v>343</v>
      </c>
      <c r="C433" s="1" t="s">
        <v>385</v>
      </c>
      <c r="D433" s="1">
        <v>100.0</v>
      </c>
      <c r="E433" s="1">
        <v>4.72</v>
      </c>
      <c r="F433" s="75">
        <v>0.6398958333333333</v>
      </c>
      <c r="G433" s="1"/>
      <c r="H433" s="1">
        <v>0.4</v>
      </c>
      <c r="I433" s="76"/>
      <c r="J433" s="67">
        <f t="shared" si="31"/>
        <v>-472.4</v>
      </c>
      <c r="K433" s="7" t="s">
        <v>395</v>
      </c>
      <c r="L433" s="70"/>
      <c r="M433" s="79"/>
      <c r="N433" s="1"/>
      <c r="O433" s="1"/>
      <c r="P433" s="1"/>
      <c r="Q433" s="1"/>
      <c r="R433" s="1"/>
      <c r="S433" s="1"/>
      <c r="T433" s="1"/>
      <c r="U433" s="1"/>
      <c r="V433" s="1"/>
      <c r="W433" s="1"/>
      <c r="X433" s="1"/>
      <c r="Y433" s="1"/>
      <c r="Z433" s="1"/>
      <c r="AA433" s="1"/>
      <c r="AB433" s="1"/>
      <c r="AC433" s="1"/>
      <c r="AD433" s="1"/>
      <c r="AE433" s="1"/>
      <c r="AF433" s="1"/>
      <c r="AG433" s="1"/>
      <c r="AH433" s="1"/>
    </row>
    <row r="434" ht="12.75" hidden="1" customHeight="1" outlineLevel="1">
      <c r="A434" s="17">
        <v>41110.0</v>
      </c>
      <c r="B434" s="1" t="s">
        <v>343</v>
      </c>
      <c r="C434" s="1" t="s">
        <v>385</v>
      </c>
      <c r="D434" s="1">
        <v>100.0</v>
      </c>
      <c r="E434" s="1">
        <v>4.72</v>
      </c>
      <c r="F434" s="75">
        <v>0.6398958333333333</v>
      </c>
      <c r="G434" s="1"/>
      <c r="H434" s="1">
        <v>0.5</v>
      </c>
      <c r="I434" s="76"/>
      <c r="J434" s="67">
        <f t="shared" si="31"/>
        <v>-472.5</v>
      </c>
      <c r="K434" s="7" t="s">
        <v>395</v>
      </c>
      <c r="L434" s="70"/>
      <c r="M434" s="79"/>
      <c r="N434" s="1"/>
      <c r="O434" s="1"/>
      <c r="P434" s="1"/>
      <c r="Q434" s="1"/>
      <c r="R434" s="1"/>
      <c r="S434" s="1"/>
      <c r="T434" s="1"/>
      <c r="U434" s="1"/>
      <c r="V434" s="1"/>
      <c r="W434" s="1"/>
      <c r="X434" s="1"/>
      <c r="Y434" s="1"/>
      <c r="Z434" s="1"/>
      <c r="AA434" s="1"/>
      <c r="AB434" s="1"/>
      <c r="AC434" s="1"/>
      <c r="AD434" s="1"/>
      <c r="AE434" s="1"/>
      <c r="AF434" s="1"/>
      <c r="AG434" s="1"/>
      <c r="AH434" s="1"/>
    </row>
    <row r="435" ht="12.75" hidden="1" customHeight="1" outlineLevel="1">
      <c r="A435" s="17">
        <v>41110.0</v>
      </c>
      <c r="B435" s="1" t="s">
        <v>347</v>
      </c>
      <c r="C435" s="1" t="s">
        <v>394</v>
      </c>
      <c r="D435" s="1">
        <v>50.0</v>
      </c>
      <c r="E435" s="1">
        <v>1357.75</v>
      </c>
      <c r="F435" s="75">
        <v>0.6911226851851852</v>
      </c>
      <c r="G435" s="1"/>
      <c r="H435" s="1">
        <v>2.01</v>
      </c>
      <c r="I435" s="76"/>
      <c r="J435" s="67">
        <f t="shared" si="31"/>
        <v>67885.49</v>
      </c>
      <c r="K435" s="7" t="s">
        <v>395</v>
      </c>
      <c r="L435" s="70"/>
      <c r="M435" s="79"/>
      <c r="N435" s="1"/>
      <c r="O435" s="1"/>
      <c r="P435" s="1"/>
      <c r="Q435" s="1"/>
      <c r="R435" s="1"/>
      <c r="S435" s="1"/>
      <c r="T435" s="1"/>
      <c r="U435" s="1"/>
      <c r="V435" s="1"/>
      <c r="W435" s="1"/>
      <c r="X435" s="1"/>
      <c r="Y435" s="1"/>
      <c r="Z435" s="1"/>
      <c r="AA435" s="1"/>
      <c r="AB435" s="1"/>
      <c r="AC435" s="1"/>
      <c r="AD435" s="1"/>
      <c r="AE435" s="1"/>
      <c r="AF435" s="1"/>
      <c r="AG435" s="1"/>
      <c r="AH435" s="1"/>
    </row>
    <row r="436" ht="12.75" hidden="1" customHeight="1" outlineLevel="1">
      <c r="A436" s="17">
        <v>41110.0</v>
      </c>
      <c r="B436" s="1"/>
      <c r="C436" s="1" t="s">
        <v>339</v>
      </c>
      <c r="D436" s="74"/>
      <c r="E436" s="67"/>
      <c r="F436" s="75"/>
      <c r="G436" s="67"/>
      <c r="H436" s="68"/>
      <c r="I436" s="76"/>
      <c r="J436" s="67"/>
      <c r="K436" s="7" t="s">
        <v>523</v>
      </c>
      <c r="L436" s="77"/>
      <c r="M436" s="79"/>
      <c r="N436" s="1"/>
      <c r="O436" s="1"/>
      <c r="P436" s="1"/>
      <c r="Q436" s="1"/>
      <c r="R436" s="1"/>
      <c r="S436" s="1"/>
      <c r="T436" s="1"/>
      <c r="U436" s="1"/>
      <c r="V436" s="1"/>
      <c r="W436" s="1"/>
      <c r="X436" s="1"/>
      <c r="Y436" s="1"/>
      <c r="Z436" s="1"/>
      <c r="AA436" s="1"/>
      <c r="AB436" s="1"/>
      <c r="AC436" s="1"/>
      <c r="AD436" s="1"/>
      <c r="AE436" s="1"/>
      <c r="AF436" s="1"/>
      <c r="AG436" s="1"/>
      <c r="AH436" s="1"/>
    </row>
    <row r="437" ht="12.75" hidden="1" customHeight="1" outlineLevel="1">
      <c r="A437" s="17">
        <v>41110.0</v>
      </c>
      <c r="B437" s="1"/>
      <c r="C437" s="1" t="s">
        <v>429</v>
      </c>
      <c r="D437" s="74"/>
      <c r="E437" s="67"/>
      <c r="F437" s="75"/>
      <c r="G437" s="67"/>
      <c r="H437" s="68"/>
      <c r="I437" s="76"/>
      <c r="J437" s="67"/>
      <c r="K437" s="7" t="s">
        <v>524</v>
      </c>
      <c r="L437" s="77"/>
      <c r="M437" s="79"/>
      <c r="N437" s="1"/>
      <c r="O437" s="1"/>
      <c r="P437" s="1"/>
      <c r="Q437" s="1"/>
      <c r="R437" s="1"/>
      <c r="S437" s="1"/>
      <c r="T437" s="1"/>
      <c r="U437" s="1"/>
      <c r="V437" s="1"/>
      <c r="W437" s="1"/>
      <c r="X437" s="1"/>
      <c r="Y437" s="1"/>
      <c r="Z437" s="1"/>
      <c r="AA437" s="1"/>
      <c r="AB437" s="1"/>
      <c r="AC437" s="1"/>
      <c r="AD437" s="1"/>
      <c r="AE437" s="1"/>
      <c r="AF437" s="1"/>
      <c r="AG437" s="1"/>
      <c r="AH437" s="1"/>
    </row>
    <row r="438" ht="12.75" hidden="1" customHeight="1" outlineLevel="1">
      <c r="A438" s="17">
        <v>41110.0</v>
      </c>
      <c r="B438" s="1"/>
      <c r="C438" s="1" t="s">
        <v>431</v>
      </c>
      <c r="D438" s="74"/>
      <c r="E438" s="67"/>
      <c r="F438" s="75"/>
      <c r="G438" s="67"/>
      <c r="H438" s="68"/>
      <c r="I438" s="76"/>
      <c r="J438" s="67"/>
      <c r="K438" s="7" t="s">
        <v>502</v>
      </c>
      <c r="L438" s="77"/>
      <c r="M438" s="79"/>
      <c r="N438" s="1"/>
      <c r="O438" s="1"/>
      <c r="P438" s="1"/>
      <c r="Q438" s="1"/>
      <c r="R438" s="1"/>
      <c r="S438" s="1"/>
      <c r="T438" s="1"/>
      <c r="U438" s="1"/>
      <c r="V438" s="1"/>
      <c r="W438" s="1"/>
      <c r="X438" s="1"/>
      <c r="Y438" s="1"/>
      <c r="Z438" s="1"/>
      <c r="AA438" s="1"/>
      <c r="AB438" s="1"/>
      <c r="AC438" s="1"/>
      <c r="AD438" s="1"/>
      <c r="AE438" s="1"/>
      <c r="AF438" s="1"/>
      <c r="AG438" s="1"/>
      <c r="AH438" s="1"/>
    </row>
    <row r="439" ht="12.75" hidden="1" customHeight="1" outlineLevel="1">
      <c r="A439" s="17">
        <v>41110.0</v>
      </c>
      <c r="B439" s="1"/>
      <c r="C439" s="1" t="s">
        <v>433</v>
      </c>
      <c r="D439" s="74"/>
      <c r="E439" s="67"/>
      <c r="F439" s="75"/>
      <c r="G439" s="67"/>
      <c r="H439" s="68"/>
      <c r="I439" s="76"/>
      <c r="J439" s="67"/>
      <c r="K439" s="1" t="s">
        <v>434</v>
      </c>
      <c r="L439" s="77"/>
      <c r="M439" s="79"/>
      <c r="N439" s="1"/>
      <c r="O439" s="1"/>
      <c r="P439" s="1"/>
      <c r="Q439" s="1"/>
      <c r="R439" s="1"/>
      <c r="S439" s="1"/>
      <c r="T439" s="1"/>
      <c r="U439" s="1"/>
      <c r="V439" s="1"/>
      <c r="W439" s="1"/>
      <c r="X439" s="1"/>
      <c r="Y439" s="1"/>
      <c r="Z439" s="1"/>
      <c r="AA439" s="1"/>
      <c r="AB439" s="1"/>
      <c r="AC439" s="1"/>
      <c r="AD439" s="1"/>
      <c r="AE439" s="1"/>
      <c r="AF439" s="1"/>
      <c r="AG439" s="1"/>
      <c r="AH439" s="1"/>
    </row>
    <row r="440" ht="12.75" hidden="1" customHeight="1" outlineLevel="1">
      <c r="A440" s="17">
        <v>41110.0</v>
      </c>
      <c r="B440" s="1"/>
      <c r="C440" s="1" t="s">
        <v>435</v>
      </c>
      <c r="D440" s="74"/>
      <c r="E440" s="67"/>
      <c r="F440" s="75"/>
      <c r="G440" s="67"/>
      <c r="H440" s="68"/>
      <c r="I440" s="76"/>
      <c r="J440" s="67"/>
      <c r="K440" s="7" t="s">
        <v>525</v>
      </c>
      <c r="L440" s="77"/>
      <c r="M440" s="79"/>
      <c r="N440" s="1"/>
      <c r="O440" s="1"/>
      <c r="P440" s="1"/>
      <c r="Q440" s="1"/>
      <c r="R440" s="1"/>
      <c r="S440" s="1"/>
      <c r="T440" s="1"/>
      <c r="U440" s="1"/>
      <c r="V440" s="1"/>
      <c r="W440" s="1"/>
      <c r="X440" s="1"/>
      <c r="Y440" s="1"/>
      <c r="Z440" s="1"/>
      <c r="AA440" s="1"/>
      <c r="AB440" s="1"/>
      <c r="AC440" s="1"/>
      <c r="AD440" s="1"/>
      <c r="AE440" s="1"/>
      <c r="AF440" s="1"/>
      <c r="AG440" s="1"/>
      <c r="AH440" s="1"/>
    </row>
    <row r="441" ht="12.75" hidden="1" customHeight="1" outlineLevel="1">
      <c r="A441" s="17">
        <v>41110.0</v>
      </c>
      <c r="B441" s="1"/>
      <c r="C441" s="7" t="s">
        <v>526</v>
      </c>
      <c r="D441" s="74"/>
      <c r="E441" s="67"/>
      <c r="F441" s="75"/>
      <c r="G441" s="67"/>
      <c r="H441" s="68"/>
      <c r="I441" s="76"/>
      <c r="J441" s="67"/>
      <c r="K441" s="7" t="s">
        <v>527</v>
      </c>
      <c r="L441" s="77"/>
      <c r="M441" s="79"/>
      <c r="N441" s="1"/>
      <c r="O441" s="1"/>
      <c r="P441" s="1"/>
      <c r="Q441" s="1"/>
      <c r="R441" s="1"/>
      <c r="S441" s="1"/>
      <c r="T441" s="1"/>
      <c r="U441" s="1"/>
      <c r="V441" s="1"/>
      <c r="W441" s="1"/>
      <c r="X441" s="1"/>
      <c r="Y441" s="1"/>
      <c r="Z441" s="1"/>
      <c r="AA441" s="1"/>
      <c r="AB441" s="1"/>
      <c r="AC441" s="1"/>
      <c r="AD441" s="1"/>
      <c r="AE441" s="1"/>
      <c r="AF441" s="1"/>
      <c r="AG441" s="1"/>
      <c r="AH441" s="1"/>
    </row>
    <row r="442" ht="12.75" hidden="1" customHeight="1" outlineLevel="1">
      <c r="A442" s="17">
        <v>41113.0</v>
      </c>
      <c r="B442" s="1"/>
      <c r="C442" s="1" t="s">
        <v>339</v>
      </c>
      <c r="D442" s="74"/>
      <c r="E442" s="67"/>
      <c r="F442" s="75"/>
      <c r="G442" s="67"/>
      <c r="H442" s="68"/>
      <c r="I442" s="76"/>
      <c r="J442" s="67"/>
      <c r="K442" s="7" t="s">
        <v>528</v>
      </c>
      <c r="L442" s="77"/>
      <c r="M442" s="79"/>
      <c r="N442" s="1"/>
      <c r="O442" s="1"/>
      <c r="P442" s="1"/>
      <c r="Q442" s="1"/>
      <c r="R442" s="1"/>
      <c r="S442" s="1"/>
      <c r="T442" s="1"/>
      <c r="U442" s="1"/>
      <c r="V442" s="1"/>
      <c r="W442" s="1"/>
      <c r="X442" s="1"/>
      <c r="Y442" s="1"/>
      <c r="Z442" s="1"/>
      <c r="AA442" s="1"/>
      <c r="AB442" s="1"/>
      <c r="AC442" s="1"/>
      <c r="AD442" s="1"/>
      <c r="AE442" s="1"/>
      <c r="AF442" s="1"/>
      <c r="AG442" s="1"/>
      <c r="AH442" s="1"/>
    </row>
    <row r="443" ht="12.75" hidden="1" customHeight="1" outlineLevel="1">
      <c r="A443" s="17">
        <v>41113.0</v>
      </c>
      <c r="B443" s="1"/>
      <c r="C443" s="1" t="s">
        <v>429</v>
      </c>
      <c r="D443" s="74"/>
      <c r="E443" s="67"/>
      <c r="F443" s="75"/>
      <c r="G443" s="67"/>
      <c r="H443" s="68"/>
      <c r="I443" s="76"/>
      <c r="J443" s="67"/>
      <c r="K443" s="7" t="s">
        <v>529</v>
      </c>
      <c r="L443" s="77"/>
      <c r="M443" s="79"/>
      <c r="N443" s="1"/>
      <c r="O443" s="1"/>
      <c r="P443" s="1"/>
      <c r="Q443" s="1"/>
      <c r="R443" s="1"/>
      <c r="S443" s="1"/>
      <c r="T443" s="1"/>
      <c r="U443" s="1"/>
      <c r="V443" s="1"/>
      <c r="W443" s="1"/>
      <c r="X443" s="1"/>
      <c r="Y443" s="1"/>
      <c r="Z443" s="1"/>
      <c r="AA443" s="1"/>
      <c r="AB443" s="1"/>
      <c r="AC443" s="1"/>
      <c r="AD443" s="1"/>
      <c r="AE443" s="1"/>
      <c r="AF443" s="1"/>
      <c r="AG443" s="1"/>
      <c r="AH443" s="1"/>
    </row>
    <row r="444" ht="12.75" hidden="1" customHeight="1" outlineLevel="1">
      <c r="A444" s="17">
        <v>41113.0</v>
      </c>
      <c r="B444" s="1"/>
      <c r="C444" s="1" t="s">
        <v>431</v>
      </c>
      <c r="D444" s="74"/>
      <c r="E444" s="67"/>
      <c r="F444" s="75"/>
      <c r="G444" s="67"/>
      <c r="H444" s="68"/>
      <c r="I444" s="76"/>
      <c r="J444" s="67"/>
      <c r="K444" s="7" t="s">
        <v>502</v>
      </c>
      <c r="L444" s="77"/>
      <c r="M444" s="79"/>
      <c r="N444" s="1"/>
      <c r="O444" s="1"/>
      <c r="P444" s="1"/>
      <c r="Q444" s="1"/>
      <c r="R444" s="1"/>
      <c r="S444" s="1"/>
      <c r="T444" s="1"/>
      <c r="U444" s="1"/>
      <c r="V444" s="1"/>
      <c r="W444" s="1"/>
      <c r="X444" s="1"/>
      <c r="Y444" s="1"/>
      <c r="Z444" s="1"/>
      <c r="AA444" s="1"/>
      <c r="AB444" s="1"/>
      <c r="AC444" s="1"/>
      <c r="AD444" s="1"/>
      <c r="AE444" s="1"/>
      <c r="AF444" s="1"/>
      <c r="AG444" s="1"/>
      <c r="AH444" s="1"/>
    </row>
    <row r="445" ht="12.75" hidden="1" customHeight="1" outlineLevel="1">
      <c r="A445" s="17">
        <v>41113.0</v>
      </c>
      <c r="B445" s="1"/>
      <c r="C445" s="1" t="s">
        <v>433</v>
      </c>
      <c r="D445" s="74"/>
      <c r="E445" s="67"/>
      <c r="F445" s="75"/>
      <c r="G445" s="67"/>
      <c r="H445" s="68"/>
      <c r="I445" s="76"/>
      <c r="J445" s="67"/>
      <c r="K445" s="1" t="s">
        <v>434</v>
      </c>
      <c r="L445" s="77"/>
      <c r="M445" s="79"/>
      <c r="N445" s="1"/>
      <c r="O445" s="1"/>
      <c r="P445" s="1"/>
      <c r="Q445" s="1"/>
      <c r="R445" s="1"/>
      <c r="S445" s="1"/>
      <c r="T445" s="1"/>
      <c r="U445" s="1"/>
      <c r="V445" s="1"/>
      <c r="W445" s="1"/>
      <c r="X445" s="1"/>
      <c r="Y445" s="1"/>
      <c r="Z445" s="1"/>
      <c r="AA445" s="1"/>
      <c r="AB445" s="1"/>
      <c r="AC445" s="1"/>
      <c r="AD445" s="1"/>
      <c r="AE445" s="1"/>
      <c r="AF445" s="1"/>
      <c r="AG445" s="1"/>
      <c r="AH445" s="1"/>
    </row>
    <row r="446" ht="12.75" hidden="1" customHeight="1" outlineLevel="1">
      <c r="A446" s="17">
        <v>41113.0</v>
      </c>
      <c r="B446" s="1"/>
      <c r="C446" s="1" t="s">
        <v>435</v>
      </c>
      <c r="D446" s="74"/>
      <c r="E446" s="67"/>
      <c r="F446" s="75"/>
      <c r="G446" s="67"/>
      <c r="H446" s="68"/>
      <c r="I446" s="76"/>
      <c r="J446" s="67"/>
      <c r="K446" s="7" t="s">
        <v>525</v>
      </c>
      <c r="L446" s="77"/>
      <c r="M446" s="79"/>
      <c r="N446" s="1"/>
      <c r="O446" s="1"/>
      <c r="P446" s="1"/>
      <c r="Q446" s="1"/>
      <c r="R446" s="1"/>
      <c r="S446" s="1"/>
      <c r="T446" s="1"/>
      <c r="U446" s="1"/>
      <c r="V446" s="1"/>
      <c r="W446" s="1"/>
      <c r="X446" s="1"/>
      <c r="Y446" s="1"/>
      <c r="Z446" s="1"/>
      <c r="AA446" s="1"/>
      <c r="AB446" s="1"/>
      <c r="AC446" s="1"/>
      <c r="AD446" s="1"/>
      <c r="AE446" s="1"/>
      <c r="AF446" s="1"/>
      <c r="AG446" s="1"/>
      <c r="AH446" s="1"/>
    </row>
    <row r="447" ht="12.75" hidden="1" customHeight="1" outlineLevel="1">
      <c r="A447" s="17">
        <v>41113.0</v>
      </c>
      <c r="B447" s="1"/>
      <c r="C447" s="7" t="s">
        <v>526</v>
      </c>
      <c r="D447" s="74"/>
      <c r="E447" s="67"/>
      <c r="F447" s="75"/>
      <c r="G447" s="67"/>
      <c r="H447" s="68"/>
      <c r="I447" s="76"/>
      <c r="J447" s="67"/>
      <c r="K447" s="7" t="s">
        <v>527</v>
      </c>
      <c r="L447" s="77"/>
      <c r="M447" s="79"/>
      <c r="N447" s="1"/>
      <c r="O447" s="1"/>
      <c r="P447" s="1"/>
      <c r="Q447" s="1"/>
      <c r="R447" s="1"/>
      <c r="S447" s="1"/>
      <c r="T447" s="1"/>
      <c r="U447" s="1"/>
      <c r="V447" s="1"/>
      <c r="W447" s="1"/>
      <c r="X447" s="1"/>
      <c r="Y447" s="1"/>
      <c r="Z447" s="1"/>
      <c r="AA447" s="1"/>
      <c r="AB447" s="1"/>
      <c r="AC447" s="1"/>
      <c r="AD447" s="1"/>
      <c r="AE447" s="1"/>
      <c r="AF447" s="1"/>
      <c r="AG447" s="1"/>
      <c r="AH447" s="1"/>
    </row>
    <row r="448" ht="12.75" hidden="1" customHeight="1" outlineLevel="1">
      <c r="A448" s="17">
        <v>41113.0</v>
      </c>
      <c r="B448" s="1"/>
      <c r="C448" s="1" t="s">
        <v>339</v>
      </c>
      <c r="D448" s="74"/>
      <c r="E448" s="67"/>
      <c r="F448" s="75"/>
      <c r="G448" s="67"/>
      <c r="H448" s="68"/>
      <c r="I448" s="76"/>
      <c r="J448" s="67"/>
      <c r="K448" s="7" t="s">
        <v>531</v>
      </c>
      <c r="L448" s="77"/>
      <c r="M448" s="79"/>
      <c r="N448" s="1"/>
      <c r="O448" s="1"/>
      <c r="P448" s="1"/>
      <c r="Q448" s="1"/>
      <c r="R448" s="1"/>
      <c r="S448" s="1"/>
      <c r="T448" s="1"/>
      <c r="U448" s="1"/>
      <c r="V448" s="1"/>
      <c r="W448" s="1"/>
      <c r="X448" s="1"/>
      <c r="Y448" s="1"/>
      <c r="Z448" s="1"/>
      <c r="AA448" s="1"/>
      <c r="AB448" s="1"/>
      <c r="AC448" s="1"/>
      <c r="AD448" s="1"/>
      <c r="AE448" s="1"/>
      <c r="AF448" s="1"/>
      <c r="AG448" s="1"/>
      <c r="AH448" s="1"/>
    </row>
    <row r="449" ht="12.75" hidden="1" customHeight="1" outlineLevel="1">
      <c r="A449" s="17">
        <v>41113.0</v>
      </c>
      <c r="B449" s="1"/>
      <c r="C449" s="1" t="s">
        <v>429</v>
      </c>
      <c r="D449" s="74"/>
      <c r="E449" s="67"/>
      <c r="F449" s="75"/>
      <c r="G449" s="67"/>
      <c r="H449" s="68"/>
      <c r="I449" s="76"/>
      <c r="J449" s="67"/>
      <c r="K449" s="7" t="s">
        <v>529</v>
      </c>
      <c r="L449" s="77"/>
      <c r="M449" s="79"/>
      <c r="N449" s="1"/>
      <c r="O449" s="1"/>
      <c r="P449" s="1"/>
      <c r="Q449" s="1"/>
      <c r="R449" s="1"/>
      <c r="S449" s="1"/>
      <c r="T449" s="1"/>
      <c r="U449" s="1"/>
      <c r="V449" s="1"/>
      <c r="W449" s="1"/>
      <c r="X449" s="1"/>
      <c r="Y449" s="1"/>
      <c r="Z449" s="1"/>
      <c r="AA449" s="1"/>
      <c r="AB449" s="1"/>
      <c r="AC449" s="1"/>
      <c r="AD449" s="1"/>
      <c r="AE449" s="1"/>
      <c r="AF449" s="1"/>
      <c r="AG449" s="1"/>
      <c r="AH449" s="1"/>
    </row>
    <row r="450" ht="12.75" hidden="1" customHeight="1" outlineLevel="1">
      <c r="A450" s="17">
        <v>41113.0</v>
      </c>
      <c r="B450" s="1"/>
      <c r="C450" s="1" t="s">
        <v>431</v>
      </c>
      <c r="D450" s="74"/>
      <c r="E450" s="67"/>
      <c r="F450" s="75"/>
      <c r="G450" s="67"/>
      <c r="H450" s="68"/>
      <c r="I450" s="76"/>
      <c r="J450" s="67"/>
      <c r="K450" s="7" t="s">
        <v>502</v>
      </c>
      <c r="L450" s="77"/>
      <c r="M450" s="79"/>
      <c r="N450" s="1"/>
      <c r="O450" s="1"/>
      <c r="P450" s="1"/>
      <c r="Q450" s="1"/>
      <c r="R450" s="1"/>
      <c r="S450" s="1"/>
      <c r="T450" s="1"/>
      <c r="U450" s="1"/>
      <c r="V450" s="1"/>
      <c r="W450" s="1"/>
      <c r="X450" s="1"/>
      <c r="Y450" s="1"/>
      <c r="Z450" s="1"/>
      <c r="AA450" s="1"/>
      <c r="AB450" s="1"/>
      <c r="AC450" s="1"/>
      <c r="AD450" s="1"/>
      <c r="AE450" s="1"/>
      <c r="AF450" s="1"/>
      <c r="AG450" s="1"/>
      <c r="AH450" s="1"/>
    </row>
    <row r="451" ht="12.75" hidden="1" customHeight="1" outlineLevel="1">
      <c r="A451" s="17">
        <v>41113.0</v>
      </c>
      <c r="B451" s="1"/>
      <c r="C451" s="1" t="s">
        <v>433</v>
      </c>
      <c r="D451" s="74"/>
      <c r="E451" s="67"/>
      <c r="F451" s="75"/>
      <c r="G451" s="67"/>
      <c r="H451" s="68"/>
      <c r="I451" s="76"/>
      <c r="J451" s="67"/>
      <c r="K451" s="1" t="s">
        <v>434</v>
      </c>
      <c r="L451" s="77"/>
      <c r="M451" s="79"/>
      <c r="N451" s="1"/>
      <c r="O451" s="1"/>
      <c r="P451" s="1"/>
      <c r="Q451" s="1"/>
      <c r="R451" s="1"/>
      <c r="S451" s="1"/>
      <c r="T451" s="1"/>
      <c r="U451" s="1"/>
      <c r="V451" s="1"/>
      <c r="W451" s="1"/>
      <c r="X451" s="1"/>
      <c r="Y451" s="1"/>
      <c r="Z451" s="1"/>
      <c r="AA451" s="1"/>
      <c r="AB451" s="1"/>
      <c r="AC451" s="1"/>
      <c r="AD451" s="1"/>
      <c r="AE451" s="1"/>
      <c r="AF451" s="1"/>
      <c r="AG451" s="1"/>
      <c r="AH451" s="1"/>
    </row>
    <row r="452" ht="12.75" hidden="1" customHeight="1" outlineLevel="1">
      <c r="A452" s="17">
        <v>41113.0</v>
      </c>
      <c r="B452" s="1"/>
      <c r="C452" s="1" t="s">
        <v>435</v>
      </c>
      <c r="D452" s="74"/>
      <c r="E452" s="67"/>
      <c r="F452" s="75"/>
      <c r="G452" s="67"/>
      <c r="H452" s="68"/>
      <c r="I452" s="76"/>
      <c r="J452" s="67"/>
      <c r="K452" s="7" t="s">
        <v>525</v>
      </c>
      <c r="L452" s="77"/>
      <c r="M452" s="79"/>
      <c r="N452" s="1"/>
      <c r="O452" s="1"/>
      <c r="P452" s="1"/>
      <c r="Q452" s="1"/>
      <c r="R452" s="1"/>
      <c r="S452" s="1"/>
      <c r="T452" s="1"/>
      <c r="U452" s="1"/>
      <c r="V452" s="1"/>
      <c r="W452" s="1"/>
      <c r="X452" s="1"/>
      <c r="Y452" s="1"/>
      <c r="Z452" s="1"/>
      <c r="AA452" s="1"/>
      <c r="AB452" s="1"/>
      <c r="AC452" s="1"/>
      <c r="AD452" s="1"/>
      <c r="AE452" s="1"/>
      <c r="AF452" s="1"/>
      <c r="AG452" s="1"/>
      <c r="AH452" s="1"/>
    </row>
    <row r="453" ht="12.75" hidden="1" customHeight="1" outlineLevel="1">
      <c r="A453" s="17">
        <v>41114.0</v>
      </c>
      <c r="B453" s="1" t="s">
        <v>347</v>
      </c>
      <c r="C453" s="1" t="s">
        <v>536</v>
      </c>
      <c r="D453" s="1">
        <v>100.0</v>
      </c>
      <c r="E453" s="1">
        <v>17.93</v>
      </c>
      <c r="F453" s="75">
        <v>0.6035416666666666</v>
      </c>
      <c r="G453" s="1"/>
      <c r="H453" s="1">
        <v>1.0</v>
      </c>
      <c r="I453" s="76"/>
      <c r="J453" s="67">
        <f t="shared" ref="J453:J463" si="32">IF(B453="SLD",D453*E453,-D453*E453)-H453</f>
        <v>1792</v>
      </c>
      <c r="K453" s="7"/>
      <c r="L453" s="70"/>
      <c r="M453" s="79"/>
      <c r="N453" s="1"/>
      <c r="O453" s="1"/>
      <c r="P453" s="1"/>
      <c r="Q453" s="1"/>
      <c r="R453" s="1"/>
      <c r="S453" s="1"/>
      <c r="T453" s="1"/>
      <c r="U453" s="1"/>
      <c r="V453" s="1"/>
      <c r="W453" s="1"/>
      <c r="X453" s="1"/>
      <c r="Y453" s="1"/>
      <c r="Z453" s="1"/>
      <c r="AA453" s="1"/>
      <c r="AB453" s="1"/>
      <c r="AC453" s="1"/>
      <c r="AD453" s="1"/>
      <c r="AE453" s="1"/>
      <c r="AF453" s="1"/>
      <c r="AG453" s="1"/>
      <c r="AH453" s="1"/>
    </row>
    <row r="454" ht="12.75" hidden="1" customHeight="1" outlineLevel="1">
      <c r="A454" s="17">
        <v>41114.0</v>
      </c>
      <c r="B454" s="1" t="s">
        <v>347</v>
      </c>
      <c r="C454" s="1" t="s">
        <v>536</v>
      </c>
      <c r="D454" s="1">
        <v>300.0</v>
      </c>
      <c r="E454" s="1">
        <v>17.93</v>
      </c>
      <c r="F454" s="75">
        <v>0.6035416666666666</v>
      </c>
      <c r="G454" s="1"/>
      <c r="H454" s="1">
        <v>1.0</v>
      </c>
      <c r="I454" s="76"/>
      <c r="J454" s="67">
        <f t="shared" si="32"/>
        <v>5378</v>
      </c>
      <c r="K454" s="7"/>
      <c r="L454" s="70"/>
      <c r="M454" s="79"/>
      <c r="N454" s="1"/>
      <c r="O454" s="1"/>
      <c r="P454" s="1"/>
      <c r="Q454" s="1"/>
      <c r="R454" s="1"/>
      <c r="S454" s="1"/>
      <c r="T454" s="1"/>
      <c r="U454" s="1"/>
      <c r="V454" s="1"/>
      <c r="W454" s="1"/>
      <c r="X454" s="1"/>
      <c r="Y454" s="1"/>
      <c r="Z454" s="1"/>
      <c r="AA454" s="1"/>
      <c r="AB454" s="1"/>
      <c r="AC454" s="1"/>
      <c r="AD454" s="1"/>
      <c r="AE454" s="1"/>
      <c r="AF454" s="1"/>
      <c r="AG454" s="1"/>
      <c r="AH454" s="1"/>
    </row>
    <row r="455" ht="12.75" hidden="1" customHeight="1" outlineLevel="1">
      <c r="A455" s="17">
        <v>41114.0</v>
      </c>
      <c r="B455" s="1" t="s">
        <v>347</v>
      </c>
      <c r="C455" s="1" t="s">
        <v>545</v>
      </c>
      <c r="D455" s="1">
        <v>500.0</v>
      </c>
      <c r="E455" s="1">
        <v>6.11</v>
      </c>
      <c r="F455" s="75">
        <v>0.6068518518518519</v>
      </c>
      <c r="G455" s="1"/>
      <c r="H455" s="1">
        <v>2.5</v>
      </c>
      <c r="I455" s="76"/>
      <c r="J455" s="67">
        <f t="shared" si="32"/>
        <v>3052.5</v>
      </c>
      <c r="K455" s="7"/>
      <c r="L455" s="70"/>
      <c r="M455" s="79"/>
      <c r="N455" s="1"/>
      <c r="O455" s="1"/>
      <c r="P455" s="1"/>
      <c r="Q455" s="1"/>
      <c r="R455" s="1"/>
      <c r="S455" s="1"/>
      <c r="T455" s="1"/>
      <c r="U455" s="1"/>
      <c r="V455" s="1"/>
      <c r="W455" s="1"/>
      <c r="X455" s="1"/>
      <c r="Y455" s="1"/>
      <c r="Z455" s="1"/>
      <c r="AA455" s="1"/>
      <c r="AB455" s="1"/>
      <c r="AC455" s="1"/>
      <c r="AD455" s="1"/>
      <c r="AE455" s="1"/>
      <c r="AF455" s="1"/>
      <c r="AG455" s="1"/>
      <c r="AH455" s="1"/>
    </row>
    <row r="456" ht="12.75" hidden="1" customHeight="1" outlineLevel="1">
      <c r="A456" s="17">
        <v>41114.0</v>
      </c>
      <c r="B456" s="1" t="s">
        <v>347</v>
      </c>
      <c r="C456" s="1" t="s">
        <v>545</v>
      </c>
      <c r="D456" s="1">
        <v>100.0</v>
      </c>
      <c r="E456" s="1">
        <v>6.11</v>
      </c>
      <c r="F456" s="75">
        <v>0.6068749999999999</v>
      </c>
      <c r="G456" s="1"/>
      <c r="H456" s="1">
        <v>0.5</v>
      </c>
      <c r="I456" s="76"/>
      <c r="J456" s="67">
        <f t="shared" si="32"/>
        <v>610.5</v>
      </c>
      <c r="K456" s="7"/>
      <c r="L456" s="70"/>
      <c r="M456" s="79"/>
      <c r="N456" s="1"/>
      <c r="O456" s="1"/>
      <c r="P456" s="1"/>
      <c r="Q456" s="1"/>
      <c r="R456" s="1"/>
      <c r="S456" s="1"/>
      <c r="T456" s="1"/>
      <c r="U456" s="1"/>
      <c r="V456" s="1"/>
      <c r="W456" s="1"/>
      <c r="X456" s="1"/>
      <c r="Y456" s="1"/>
      <c r="Z456" s="1"/>
      <c r="AA456" s="1"/>
      <c r="AB456" s="1"/>
      <c r="AC456" s="1"/>
      <c r="AD456" s="1"/>
      <c r="AE456" s="1"/>
      <c r="AF456" s="1"/>
      <c r="AG456" s="1"/>
      <c r="AH456" s="1"/>
    </row>
    <row r="457" ht="12.75" hidden="1" customHeight="1" outlineLevel="1">
      <c r="A457" s="17">
        <v>41114.0</v>
      </c>
      <c r="B457" s="1" t="s">
        <v>347</v>
      </c>
      <c r="C457" s="1" t="s">
        <v>442</v>
      </c>
      <c r="D457" s="1">
        <v>75.0</v>
      </c>
      <c r="E457" s="1">
        <v>79.92</v>
      </c>
      <c r="F457" s="75">
        <v>0.6751736111111111</v>
      </c>
      <c r="G457" s="1"/>
      <c r="H457" s="1">
        <v>1.0</v>
      </c>
      <c r="I457" s="76"/>
      <c r="J457" s="67">
        <f t="shared" si="32"/>
        <v>5993</v>
      </c>
      <c r="K457" s="7"/>
      <c r="L457" s="70"/>
      <c r="M457" s="79"/>
      <c r="N457" s="1"/>
      <c r="O457" s="1"/>
      <c r="P457" s="1"/>
      <c r="Q457" s="1"/>
      <c r="R457" s="1"/>
      <c r="S457" s="1"/>
      <c r="T457" s="1"/>
      <c r="U457" s="1"/>
      <c r="V457" s="1"/>
      <c r="W457" s="1"/>
      <c r="X457" s="1"/>
      <c r="Y457" s="1"/>
      <c r="Z457" s="1"/>
      <c r="AA457" s="1"/>
      <c r="AB457" s="1"/>
      <c r="AC457" s="1"/>
      <c r="AD457" s="1"/>
      <c r="AE457" s="1"/>
      <c r="AF457" s="1"/>
      <c r="AG457" s="1"/>
      <c r="AH457" s="1"/>
    </row>
    <row r="458" ht="12.75" hidden="1" customHeight="1" outlineLevel="1">
      <c r="A458" s="17">
        <v>41114.0</v>
      </c>
      <c r="B458" s="1" t="s">
        <v>347</v>
      </c>
      <c r="C458" s="1" t="s">
        <v>388</v>
      </c>
      <c r="D458" s="1">
        <v>15.0</v>
      </c>
      <c r="E458" s="1">
        <v>407.0</v>
      </c>
      <c r="F458" s="75">
        <v>0.6754050925925926</v>
      </c>
      <c r="G458" s="1"/>
      <c r="H458" s="1">
        <v>1.0</v>
      </c>
      <c r="I458" s="76"/>
      <c r="J458" s="67">
        <f t="shared" si="32"/>
        <v>6104</v>
      </c>
      <c r="K458" s="7"/>
      <c r="L458" s="70"/>
      <c r="M458" s="79"/>
      <c r="N458" s="1"/>
      <c r="O458" s="1"/>
      <c r="P458" s="1"/>
      <c r="Q458" s="1"/>
      <c r="R458" s="1"/>
      <c r="S458" s="1"/>
      <c r="T458" s="1"/>
      <c r="U458" s="1"/>
      <c r="V458" s="1"/>
      <c r="W458" s="1"/>
      <c r="X458" s="1"/>
      <c r="Y458" s="1"/>
      <c r="Z458" s="1"/>
      <c r="AA458" s="1"/>
      <c r="AB458" s="1"/>
      <c r="AC458" s="1"/>
      <c r="AD458" s="1"/>
      <c r="AE458" s="1"/>
      <c r="AF458" s="1"/>
      <c r="AG458" s="1"/>
      <c r="AH458" s="1"/>
    </row>
    <row r="459" ht="12.75" hidden="1" customHeight="1" outlineLevel="1">
      <c r="A459" s="17">
        <v>41114.0</v>
      </c>
      <c r="B459" s="1" t="s">
        <v>347</v>
      </c>
      <c r="C459" s="1" t="s">
        <v>344</v>
      </c>
      <c r="D459" s="1">
        <v>400.0</v>
      </c>
      <c r="E459" s="1">
        <v>30.2</v>
      </c>
      <c r="F459" s="75">
        <v>0.800625</v>
      </c>
      <c r="G459" s="1"/>
      <c r="H459" s="1">
        <v>1.6</v>
      </c>
      <c r="I459" s="76"/>
      <c r="J459" s="67">
        <f t="shared" si="32"/>
        <v>12078.4</v>
      </c>
      <c r="K459" s="7"/>
      <c r="L459" s="70"/>
      <c r="M459" s="79"/>
      <c r="N459" s="1"/>
      <c r="O459" s="1"/>
      <c r="P459" s="1"/>
      <c r="Q459" s="1"/>
      <c r="R459" s="1"/>
      <c r="S459" s="1"/>
      <c r="T459" s="1"/>
      <c r="U459" s="1"/>
      <c r="V459" s="1"/>
      <c r="W459" s="1"/>
      <c r="X459" s="1"/>
      <c r="Y459" s="1"/>
      <c r="Z459" s="1"/>
      <c r="AA459" s="1"/>
      <c r="AB459" s="1"/>
      <c r="AC459" s="1"/>
      <c r="AD459" s="1"/>
      <c r="AE459" s="1"/>
      <c r="AF459" s="1"/>
      <c r="AG459" s="1"/>
      <c r="AH459" s="1"/>
    </row>
    <row r="460" ht="12.75" hidden="1" customHeight="1" outlineLevel="1">
      <c r="A460" s="17">
        <v>41114.0</v>
      </c>
      <c r="B460" s="1" t="s">
        <v>347</v>
      </c>
      <c r="C460" s="1" t="s">
        <v>344</v>
      </c>
      <c r="D460" s="1">
        <v>200.0</v>
      </c>
      <c r="E460" s="1">
        <v>30.2</v>
      </c>
      <c r="F460" s="75">
        <v>0.800625</v>
      </c>
      <c r="G460" s="1"/>
      <c r="H460" s="1">
        <v>0.8</v>
      </c>
      <c r="I460" s="76"/>
      <c r="J460" s="67">
        <f t="shared" si="32"/>
        <v>6039.2</v>
      </c>
      <c r="K460" s="7"/>
      <c r="L460" s="70"/>
      <c r="M460" s="79"/>
      <c r="N460" s="1"/>
      <c r="O460" s="1"/>
      <c r="P460" s="1"/>
      <c r="Q460" s="1"/>
      <c r="R460" s="1"/>
      <c r="S460" s="1"/>
      <c r="T460" s="1"/>
      <c r="U460" s="1"/>
      <c r="V460" s="1"/>
      <c r="W460" s="1"/>
      <c r="X460" s="1"/>
      <c r="Y460" s="1"/>
      <c r="Z460" s="1"/>
      <c r="AA460" s="1"/>
      <c r="AB460" s="1"/>
      <c r="AC460" s="1"/>
      <c r="AD460" s="1"/>
      <c r="AE460" s="1"/>
      <c r="AF460" s="1"/>
      <c r="AG460" s="1"/>
      <c r="AH460" s="1"/>
    </row>
    <row r="461" ht="12.75" hidden="1" customHeight="1" outlineLevel="1">
      <c r="A461" s="17">
        <v>41114.0</v>
      </c>
      <c r="B461" s="1" t="s">
        <v>347</v>
      </c>
      <c r="C461" s="1" t="s">
        <v>344</v>
      </c>
      <c r="D461" s="1">
        <v>100.0</v>
      </c>
      <c r="E461" s="1">
        <v>30.2</v>
      </c>
      <c r="F461" s="75">
        <v>0.800625</v>
      </c>
      <c r="G461" s="1"/>
      <c r="H461" s="1">
        <v>0.4</v>
      </c>
      <c r="I461" s="76"/>
      <c r="J461" s="67">
        <f t="shared" si="32"/>
        <v>3019.6</v>
      </c>
      <c r="K461" s="7"/>
      <c r="L461" s="70"/>
      <c r="M461" s="79"/>
      <c r="N461" s="1"/>
      <c r="O461" s="1"/>
      <c r="P461" s="1"/>
      <c r="Q461" s="1"/>
      <c r="R461" s="1"/>
      <c r="S461" s="1"/>
      <c r="T461" s="1"/>
      <c r="U461" s="1"/>
      <c r="V461" s="1"/>
      <c r="W461" s="1"/>
      <c r="X461" s="1"/>
      <c r="Y461" s="1"/>
      <c r="Z461" s="1"/>
      <c r="AA461" s="1"/>
      <c r="AB461" s="1"/>
      <c r="AC461" s="1"/>
      <c r="AD461" s="1"/>
      <c r="AE461" s="1"/>
      <c r="AF461" s="1"/>
      <c r="AG461" s="1"/>
      <c r="AH461" s="1"/>
    </row>
    <row r="462" ht="12.75" hidden="1" customHeight="1" outlineLevel="1">
      <c r="A462" s="17">
        <v>41114.0</v>
      </c>
      <c r="B462" s="1" t="s">
        <v>347</v>
      </c>
      <c r="C462" s="1" t="s">
        <v>344</v>
      </c>
      <c r="D462" s="1">
        <v>100.0</v>
      </c>
      <c r="E462" s="1">
        <v>30.2</v>
      </c>
      <c r="F462" s="75">
        <v>0.800625</v>
      </c>
      <c r="G462" s="1"/>
      <c r="H462" s="1">
        <v>0.4</v>
      </c>
      <c r="I462" s="76"/>
      <c r="J462" s="67">
        <f t="shared" si="32"/>
        <v>3019.6</v>
      </c>
      <c r="K462" s="7"/>
      <c r="L462" s="70"/>
      <c r="M462" s="79"/>
      <c r="N462" s="1"/>
      <c r="O462" s="1"/>
      <c r="P462" s="1"/>
      <c r="Q462" s="1"/>
      <c r="R462" s="1"/>
      <c r="S462" s="1"/>
      <c r="T462" s="1"/>
      <c r="U462" s="1"/>
      <c r="V462" s="1"/>
      <c r="W462" s="1"/>
      <c r="X462" s="1"/>
      <c r="Y462" s="1"/>
      <c r="Z462" s="1"/>
      <c r="AA462" s="1"/>
      <c r="AB462" s="1"/>
      <c r="AC462" s="1"/>
      <c r="AD462" s="1"/>
      <c r="AE462" s="1"/>
      <c r="AF462" s="1"/>
      <c r="AG462" s="1"/>
      <c r="AH462" s="1"/>
    </row>
    <row r="463" ht="12.75" hidden="1" customHeight="1" outlineLevel="1">
      <c r="A463" s="17">
        <v>41114.0</v>
      </c>
      <c r="B463" s="1" t="s">
        <v>347</v>
      </c>
      <c r="C463" s="1" t="s">
        <v>346</v>
      </c>
      <c r="D463" s="1">
        <v>36.0</v>
      </c>
      <c r="E463" s="1">
        <v>599.322</v>
      </c>
      <c r="F463" s="75">
        <v>0.8019328703703703</v>
      </c>
      <c r="G463" s="1"/>
      <c r="H463" s="1">
        <v>1.0</v>
      </c>
      <c r="I463" s="76"/>
      <c r="J463" s="67">
        <f t="shared" si="32"/>
        <v>21574.592</v>
      </c>
      <c r="K463" s="7"/>
      <c r="L463" s="70"/>
      <c r="M463" s="79"/>
      <c r="N463" s="1"/>
      <c r="O463" s="1"/>
      <c r="P463" s="1"/>
      <c r="Q463" s="1"/>
      <c r="R463" s="1"/>
      <c r="S463" s="1"/>
      <c r="T463" s="1"/>
      <c r="U463" s="1"/>
      <c r="V463" s="1"/>
      <c r="W463" s="1"/>
      <c r="X463" s="1"/>
      <c r="Y463" s="1"/>
      <c r="Z463" s="1"/>
      <c r="AA463" s="1"/>
      <c r="AB463" s="1"/>
      <c r="AC463" s="1"/>
      <c r="AD463" s="1"/>
      <c r="AE463" s="1"/>
      <c r="AF463" s="1"/>
      <c r="AG463" s="1"/>
      <c r="AH463" s="1"/>
    </row>
    <row r="464" ht="12.75" hidden="1" customHeight="1" outlineLevel="1">
      <c r="A464" s="17">
        <v>41114.0</v>
      </c>
      <c r="B464" s="1"/>
      <c r="C464" s="1" t="s">
        <v>339</v>
      </c>
      <c r="D464" s="74"/>
      <c r="E464" s="67"/>
      <c r="F464" s="75"/>
      <c r="G464" s="67"/>
      <c r="H464" s="68"/>
      <c r="I464" s="76"/>
      <c r="J464" s="67"/>
      <c r="K464" s="7" t="s">
        <v>579</v>
      </c>
      <c r="L464" s="77"/>
      <c r="M464" s="79"/>
      <c r="N464" s="1"/>
      <c r="O464" s="1"/>
      <c r="P464" s="1"/>
      <c r="Q464" s="1"/>
      <c r="R464" s="1"/>
      <c r="S464" s="1"/>
      <c r="T464" s="1"/>
      <c r="U464" s="1"/>
      <c r="V464" s="1"/>
      <c r="W464" s="1"/>
      <c r="X464" s="1"/>
      <c r="Y464" s="1"/>
      <c r="Z464" s="1"/>
      <c r="AA464" s="1"/>
      <c r="AB464" s="1"/>
      <c r="AC464" s="1"/>
      <c r="AD464" s="1"/>
      <c r="AE464" s="1"/>
      <c r="AF464" s="1"/>
      <c r="AG464" s="1"/>
      <c r="AH464" s="1"/>
    </row>
    <row r="465" ht="12.75" hidden="1" customHeight="1" outlineLevel="1">
      <c r="A465" s="17">
        <v>41114.0</v>
      </c>
      <c r="B465" s="1"/>
      <c r="C465" s="1" t="s">
        <v>429</v>
      </c>
      <c r="D465" s="74"/>
      <c r="E465" s="67"/>
      <c r="F465" s="75"/>
      <c r="G465" s="67"/>
      <c r="H465" s="68"/>
      <c r="I465" s="76"/>
      <c r="J465" s="67"/>
      <c r="K465" s="7" t="s">
        <v>581</v>
      </c>
      <c r="L465" s="77"/>
      <c r="M465" s="79"/>
      <c r="N465" s="1"/>
      <c r="O465" s="1"/>
      <c r="P465" s="1"/>
      <c r="Q465" s="1"/>
      <c r="R465" s="1"/>
      <c r="S465" s="1"/>
      <c r="T465" s="1"/>
      <c r="U465" s="1"/>
      <c r="V465" s="1"/>
      <c r="W465" s="1"/>
      <c r="X465" s="1"/>
      <c r="Y465" s="1"/>
      <c r="Z465" s="1"/>
      <c r="AA465" s="1"/>
      <c r="AB465" s="1"/>
      <c r="AC465" s="1"/>
      <c r="AD465" s="1"/>
      <c r="AE465" s="1"/>
      <c r="AF465" s="1"/>
      <c r="AG465" s="1"/>
      <c r="AH465" s="1"/>
    </row>
    <row r="466" ht="12.75" hidden="1" customHeight="1" outlineLevel="1">
      <c r="A466" s="17">
        <v>41114.0</v>
      </c>
      <c r="B466" s="1"/>
      <c r="C466" s="1" t="s">
        <v>431</v>
      </c>
      <c r="D466" s="74"/>
      <c r="E466" s="67"/>
      <c r="F466" s="75"/>
      <c r="G466" s="67"/>
      <c r="H466" s="68"/>
      <c r="I466" s="76"/>
      <c r="J466" s="67"/>
      <c r="K466" s="7" t="s">
        <v>502</v>
      </c>
      <c r="L466" s="77"/>
      <c r="M466" s="79"/>
      <c r="N466" s="1"/>
      <c r="O466" s="1"/>
      <c r="P466" s="1"/>
      <c r="Q466" s="1"/>
      <c r="R466" s="1"/>
      <c r="S466" s="1"/>
      <c r="T466" s="1"/>
      <c r="U466" s="1"/>
      <c r="V466" s="1"/>
      <c r="W466" s="1"/>
      <c r="X466" s="1"/>
      <c r="Y466" s="1"/>
      <c r="Z466" s="1"/>
      <c r="AA466" s="1"/>
      <c r="AB466" s="1"/>
      <c r="AC466" s="1"/>
      <c r="AD466" s="1"/>
      <c r="AE466" s="1"/>
      <c r="AF466" s="1"/>
      <c r="AG466" s="1"/>
      <c r="AH466" s="1"/>
    </row>
    <row r="467" ht="12.75" hidden="1" customHeight="1" outlineLevel="1">
      <c r="A467" s="17">
        <v>41114.0</v>
      </c>
      <c r="B467" s="1"/>
      <c r="C467" s="1" t="s">
        <v>433</v>
      </c>
      <c r="D467" s="74"/>
      <c r="E467" s="67"/>
      <c r="F467" s="75"/>
      <c r="G467" s="67"/>
      <c r="H467" s="68"/>
      <c r="I467" s="76"/>
      <c r="J467" s="67"/>
      <c r="K467" s="1" t="s">
        <v>434</v>
      </c>
      <c r="L467" s="77"/>
      <c r="M467" s="79"/>
      <c r="N467" s="1"/>
      <c r="O467" s="1"/>
      <c r="P467" s="1"/>
      <c r="Q467" s="1"/>
      <c r="R467" s="1"/>
      <c r="S467" s="1"/>
      <c r="T467" s="1"/>
      <c r="U467" s="1"/>
      <c r="V467" s="1"/>
      <c r="W467" s="1"/>
      <c r="X467" s="1"/>
      <c r="Y467" s="1"/>
      <c r="Z467" s="1"/>
      <c r="AA467" s="1"/>
      <c r="AB467" s="1"/>
      <c r="AC467" s="1"/>
      <c r="AD467" s="1"/>
      <c r="AE467" s="1"/>
      <c r="AF467" s="1"/>
      <c r="AG467" s="1"/>
      <c r="AH467" s="1"/>
    </row>
    <row r="468" ht="12.75" hidden="1" customHeight="1" outlineLevel="1">
      <c r="A468" s="17">
        <v>41114.0</v>
      </c>
      <c r="B468" s="1"/>
      <c r="C468" s="1" t="s">
        <v>435</v>
      </c>
      <c r="D468" s="74"/>
      <c r="E468" s="67"/>
      <c r="F468" s="75"/>
      <c r="G468" s="67"/>
      <c r="H468" s="68"/>
      <c r="I468" s="76"/>
      <c r="J468" s="67"/>
      <c r="K468" s="7" t="s">
        <v>525</v>
      </c>
      <c r="L468" s="77"/>
      <c r="M468" s="79"/>
      <c r="N468" s="1"/>
      <c r="O468" s="1"/>
      <c r="P468" s="1"/>
      <c r="Q468" s="1"/>
      <c r="R468" s="1"/>
      <c r="S468" s="1"/>
      <c r="T468" s="1"/>
      <c r="U468" s="1"/>
      <c r="V468" s="1"/>
      <c r="W468" s="1"/>
      <c r="X468" s="1"/>
      <c r="Y468" s="1"/>
      <c r="Z468" s="1"/>
      <c r="AA468" s="1"/>
      <c r="AB468" s="1"/>
      <c r="AC468" s="1"/>
      <c r="AD468" s="1"/>
      <c r="AE468" s="1"/>
      <c r="AF468" s="1"/>
      <c r="AG468" s="1"/>
      <c r="AH468" s="1"/>
    </row>
    <row r="469" ht="12.75" hidden="1" customHeight="1" outlineLevel="1">
      <c r="A469" s="17">
        <v>41115.0</v>
      </c>
      <c r="B469" s="1"/>
      <c r="C469" s="1" t="s">
        <v>339</v>
      </c>
      <c r="D469" s="74"/>
      <c r="E469" s="67"/>
      <c r="F469" s="75"/>
      <c r="G469" s="67"/>
      <c r="H469" s="68"/>
      <c r="I469" s="76"/>
      <c r="J469" s="67"/>
      <c r="K469" s="7" t="s">
        <v>579</v>
      </c>
      <c r="L469" s="77"/>
      <c r="M469" s="79"/>
      <c r="N469" s="1"/>
      <c r="O469" s="1"/>
      <c r="P469" s="1"/>
      <c r="Q469" s="1"/>
      <c r="R469" s="1"/>
      <c r="S469" s="1"/>
      <c r="T469" s="1"/>
      <c r="U469" s="1"/>
      <c r="V469" s="1"/>
      <c r="W469" s="1"/>
      <c r="X469" s="1"/>
      <c r="Y469" s="1"/>
      <c r="Z469" s="1"/>
      <c r="AA469" s="1"/>
      <c r="AB469" s="1"/>
      <c r="AC469" s="1"/>
      <c r="AD469" s="1"/>
      <c r="AE469" s="1"/>
      <c r="AF469" s="1"/>
      <c r="AG469" s="1"/>
      <c r="AH469" s="1"/>
    </row>
    <row r="470" ht="12.75" hidden="1" customHeight="1" outlineLevel="1">
      <c r="A470" s="17">
        <v>41115.0</v>
      </c>
      <c r="B470" s="1"/>
      <c r="C470" s="1" t="s">
        <v>429</v>
      </c>
      <c r="D470" s="74"/>
      <c r="E470" s="67"/>
      <c r="F470" s="75"/>
      <c r="G470" s="67"/>
      <c r="H470" s="68"/>
      <c r="I470" s="76"/>
      <c r="J470" s="67"/>
      <c r="K470" s="7" t="s">
        <v>584</v>
      </c>
      <c r="L470" s="77"/>
      <c r="M470" s="79"/>
      <c r="N470" s="1"/>
      <c r="O470" s="1"/>
      <c r="P470" s="1"/>
      <c r="Q470" s="1"/>
      <c r="R470" s="1"/>
      <c r="S470" s="1"/>
      <c r="T470" s="1"/>
      <c r="U470" s="1"/>
      <c r="V470" s="1"/>
      <c r="W470" s="1"/>
      <c r="X470" s="1"/>
      <c r="Y470" s="1"/>
      <c r="Z470" s="1"/>
      <c r="AA470" s="1"/>
      <c r="AB470" s="1"/>
      <c r="AC470" s="1"/>
      <c r="AD470" s="1"/>
      <c r="AE470" s="1"/>
      <c r="AF470" s="1"/>
      <c r="AG470" s="1"/>
      <c r="AH470" s="1"/>
    </row>
    <row r="471" ht="12.75" hidden="1" customHeight="1" outlineLevel="1">
      <c r="A471" s="17">
        <v>41115.0</v>
      </c>
      <c r="B471" s="1"/>
      <c r="C471" s="1" t="s">
        <v>431</v>
      </c>
      <c r="D471" s="74"/>
      <c r="E471" s="67"/>
      <c r="F471" s="75"/>
      <c r="G471" s="67"/>
      <c r="H471" s="68"/>
      <c r="I471" s="76"/>
      <c r="J471" s="67"/>
      <c r="K471" s="7" t="s">
        <v>502</v>
      </c>
      <c r="L471" s="77"/>
      <c r="M471" s="79"/>
      <c r="N471" s="1"/>
      <c r="O471" s="1"/>
      <c r="P471" s="1"/>
      <c r="Q471" s="1"/>
      <c r="R471" s="1"/>
      <c r="S471" s="1"/>
      <c r="T471" s="1"/>
      <c r="U471" s="1"/>
      <c r="V471" s="1"/>
      <c r="W471" s="1"/>
      <c r="X471" s="1"/>
      <c r="Y471" s="1"/>
      <c r="Z471" s="1"/>
      <c r="AA471" s="1"/>
      <c r="AB471" s="1"/>
      <c r="AC471" s="1"/>
      <c r="AD471" s="1"/>
      <c r="AE471" s="1"/>
      <c r="AF471" s="1"/>
      <c r="AG471" s="1"/>
      <c r="AH471" s="1"/>
    </row>
    <row r="472" ht="12.75" hidden="1" customHeight="1" outlineLevel="1">
      <c r="A472" s="17">
        <v>41115.0</v>
      </c>
      <c r="B472" s="1"/>
      <c r="C472" s="1" t="s">
        <v>433</v>
      </c>
      <c r="D472" s="74"/>
      <c r="E472" s="67"/>
      <c r="F472" s="75"/>
      <c r="G472" s="67"/>
      <c r="H472" s="68"/>
      <c r="I472" s="76"/>
      <c r="J472" s="67"/>
      <c r="K472" s="1" t="s">
        <v>434</v>
      </c>
      <c r="L472" s="77"/>
      <c r="M472" s="79"/>
      <c r="N472" s="1"/>
      <c r="O472" s="1"/>
      <c r="P472" s="1"/>
      <c r="Q472" s="1"/>
      <c r="R472" s="1"/>
      <c r="S472" s="1"/>
      <c r="T472" s="1"/>
      <c r="U472" s="1"/>
      <c r="V472" s="1"/>
      <c r="W472" s="1"/>
      <c r="X472" s="1"/>
      <c r="Y472" s="1"/>
      <c r="Z472" s="1"/>
      <c r="AA472" s="1"/>
      <c r="AB472" s="1"/>
      <c r="AC472" s="1"/>
      <c r="AD472" s="1"/>
      <c r="AE472" s="1"/>
      <c r="AF472" s="1"/>
      <c r="AG472" s="1"/>
      <c r="AH472" s="1"/>
    </row>
    <row r="473" ht="12.75" hidden="1" customHeight="1" outlineLevel="1">
      <c r="A473" s="17">
        <v>41115.0</v>
      </c>
      <c r="B473" s="1"/>
      <c r="C473" s="1" t="s">
        <v>435</v>
      </c>
      <c r="D473" s="74"/>
      <c r="E473" s="67"/>
      <c r="F473" s="75"/>
      <c r="G473" s="67"/>
      <c r="H473" s="68"/>
      <c r="I473" s="76"/>
      <c r="J473" s="67"/>
      <c r="K473" s="7" t="s">
        <v>525</v>
      </c>
      <c r="L473" s="77"/>
      <c r="M473" s="79"/>
      <c r="N473" s="1"/>
      <c r="O473" s="1"/>
      <c r="P473" s="1"/>
      <c r="Q473" s="1"/>
      <c r="R473" s="1"/>
      <c r="S473" s="1"/>
      <c r="T473" s="1"/>
      <c r="U473" s="1"/>
      <c r="V473" s="1"/>
      <c r="W473" s="1"/>
      <c r="X473" s="1"/>
      <c r="Y473" s="1"/>
      <c r="Z473" s="1"/>
      <c r="AA473" s="1"/>
      <c r="AB473" s="1"/>
      <c r="AC473" s="1"/>
      <c r="AD473" s="1"/>
      <c r="AE473" s="1"/>
      <c r="AF473" s="1"/>
      <c r="AG473" s="1"/>
      <c r="AH473" s="1"/>
    </row>
    <row r="474" ht="12.75" hidden="1" customHeight="1" outlineLevel="1">
      <c r="A474" s="17">
        <v>41116.0</v>
      </c>
      <c r="B474" s="1"/>
      <c r="C474" s="1" t="s">
        <v>339</v>
      </c>
      <c r="D474" s="74"/>
      <c r="E474" s="67"/>
      <c r="F474" s="75"/>
      <c r="G474" s="67"/>
      <c r="H474" s="68"/>
      <c r="I474" s="76"/>
      <c r="J474" s="67"/>
      <c r="K474" s="7" t="s">
        <v>585</v>
      </c>
      <c r="L474" s="77"/>
      <c r="M474" s="79"/>
      <c r="N474" s="1"/>
      <c r="O474" s="1"/>
      <c r="P474" s="1"/>
      <c r="Q474" s="1"/>
      <c r="R474" s="1"/>
      <c r="S474" s="1"/>
      <c r="T474" s="1"/>
      <c r="U474" s="1"/>
      <c r="V474" s="1"/>
      <c r="W474" s="1"/>
      <c r="X474" s="1"/>
      <c r="Y474" s="1"/>
      <c r="Z474" s="1"/>
      <c r="AA474" s="1"/>
      <c r="AB474" s="1"/>
      <c r="AC474" s="1"/>
      <c r="AD474" s="1"/>
      <c r="AE474" s="1"/>
      <c r="AF474" s="1"/>
      <c r="AG474" s="1"/>
      <c r="AH474" s="1"/>
    </row>
    <row r="475" ht="12.75" hidden="1" customHeight="1" outlineLevel="1">
      <c r="A475" s="17">
        <v>41116.0</v>
      </c>
      <c r="B475" s="1"/>
      <c r="C475" s="1" t="s">
        <v>429</v>
      </c>
      <c r="D475" s="74"/>
      <c r="E475" s="67"/>
      <c r="F475" s="75"/>
      <c r="G475" s="67"/>
      <c r="H475" s="68"/>
      <c r="I475" s="76"/>
      <c r="J475" s="67"/>
      <c r="K475" s="7" t="s">
        <v>586</v>
      </c>
      <c r="L475" s="77"/>
      <c r="M475" s="79"/>
      <c r="N475" s="1"/>
      <c r="O475" s="1"/>
      <c r="P475" s="1"/>
      <c r="Q475" s="1"/>
      <c r="R475" s="1"/>
      <c r="S475" s="1"/>
      <c r="T475" s="1"/>
      <c r="U475" s="1"/>
      <c r="V475" s="1"/>
      <c r="W475" s="1"/>
      <c r="X475" s="1"/>
      <c r="Y475" s="1"/>
      <c r="Z475" s="1"/>
      <c r="AA475" s="1"/>
      <c r="AB475" s="1"/>
      <c r="AC475" s="1"/>
      <c r="AD475" s="1"/>
      <c r="AE475" s="1"/>
      <c r="AF475" s="1"/>
      <c r="AG475" s="1"/>
      <c r="AH475" s="1"/>
    </row>
    <row r="476" ht="12.75" hidden="1" customHeight="1" outlineLevel="1">
      <c r="A476" s="17">
        <v>41116.0</v>
      </c>
      <c r="B476" s="1"/>
      <c r="C476" s="1" t="s">
        <v>431</v>
      </c>
      <c r="D476" s="74"/>
      <c r="E476" s="67"/>
      <c r="F476" s="75"/>
      <c r="G476" s="67"/>
      <c r="H476" s="68"/>
      <c r="I476" s="76"/>
      <c r="J476" s="67"/>
      <c r="K476" s="7" t="s">
        <v>502</v>
      </c>
      <c r="L476" s="77"/>
      <c r="M476" s="79"/>
      <c r="N476" s="1"/>
      <c r="O476" s="1"/>
      <c r="P476" s="1"/>
      <c r="Q476" s="1"/>
      <c r="R476" s="1"/>
      <c r="S476" s="1"/>
      <c r="T476" s="1"/>
      <c r="U476" s="1"/>
      <c r="V476" s="1"/>
      <c r="W476" s="1"/>
      <c r="X476" s="1"/>
      <c r="Y476" s="1"/>
      <c r="Z476" s="1"/>
      <c r="AA476" s="1"/>
      <c r="AB476" s="1"/>
      <c r="AC476" s="1"/>
      <c r="AD476" s="1"/>
      <c r="AE476" s="1"/>
      <c r="AF476" s="1"/>
      <c r="AG476" s="1"/>
      <c r="AH476" s="1"/>
    </row>
    <row r="477" ht="12.75" hidden="1" customHeight="1" outlineLevel="1">
      <c r="A477" s="17">
        <v>41116.0</v>
      </c>
      <c r="B477" s="1"/>
      <c r="C477" s="1" t="s">
        <v>433</v>
      </c>
      <c r="D477" s="74"/>
      <c r="E477" s="67"/>
      <c r="F477" s="75"/>
      <c r="G477" s="67"/>
      <c r="H477" s="68"/>
      <c r="I477" s="76"/>
      <c r="J477" s="67"/>
      <c r="K477" s="1" t="s">
        <v>434</v>
      </c>
      <c r="L477" s="77"/>
      <c r="M477" s="79"/>
      <c r="N477" s="1"/>
      <c r="O477" s="1"/>
      <c r="P477" s="1"/>
      <c r="Q477" s="1"/>
      <c r="R477" s="1"/>
      <c r="S477" s="1"/>
      <c r="T477" s="1"/>
      <c r="U477" s="1"/>
      <c r="V477" s="1"/>
      <c r="W477" s="1"/>
      <c r="X477" s="1"/>
      <c r="Y477" s="1"/>
      <c r="Z477" s="1"/>
      <c r="AA477" s="1"/>
      <c r="AB477" s="1"/>
      <c r="AC477" s="1"/>
      <c r="AD477" s="1"/>
      <c r="AE477" s="1"/>
      <c r="AF477" s="1"/>
      <c r="AG477" s="1"/>
      <c r="AH477" s="1"/>
    </row>
    <row r="478" ht="12.75" hidden="1" customHeight="1" outlineLevel="1">
      <c r="A478" s="17">
        <v>41116.0</v>
      </c>
      <c r="B478" s="1"/>
      <c r="C478" s="1" t="s">
        <v>435</v>
      </c>
      <c r="D478" s="74"/>
      <c r="E478" s="67"/>
      <c r="F478" s="75"/>
      <c r="G478" s="67"/>
      <c r="H478" s="68"/>
      <c r="I478" s="76"/>
      <c r="J478" s="67"/>
      <c r="K478" s="7" t="s">
        <v>525</v>
      </c>
      <c r="L478" s="77"/>
      <c r="M478" s="79"/>
      <c r="N478" s="1"/>
      <c r="O478" s="1"/>
      <c r="P478" s="1"/>
      <c r="Q478" s="1"/>
      <c r="R478" s="1"/>
      <c r="S478" s="1"/>
      <c r="T478" s="1"/>
      <c r="U478" s="1"/>
      <c r="V478" s="1"/>
      <c r="W478" s="1"/>
      <c r="X478" s="1"/>
      <c r="Y478" s="1"/>
      <c r="Z478" s="1"/>
      <c r="AA478" s="1"/>
      <c r="AB478" s="1"/>
      <c r="AC478" s="1"/>
      <c r="AD478" s="1"/>
      <c r="AE478" s="1"/>
      <c r="AF478" s="1"/>
      <c r="AG478" s="1"/>
      <c r="AH478" s="1"/>
    </row>
    <row r="479" ht="12.75" hidden="1" customHeight="1" outlineLevel="1">
      <c r="A479" s="17">
        <v>41116.0</v>
      </c>
      <c r="B479" s="1"/>
      <c r="C479" s="1" t="s">
        <v>339</v>
      </c>
      <c r="D479" s="74"/>
      <c r="E479" s="67"/>
      <c r="F479" s="75"/>
      <c r="G479" s="67"/>
      <c r="H479" s="68"/>
      <c r="I479" s="76"/>
      <c r="J479" s="67"/>
      <c r="K479" s="7" t="s">
        <v>587</v>
      </c>
      <c r="L479" s="77"/>
      <c r="M479" s="79"/>
      <c r="N479" s="1"/>
      <c r="O479" s="1"/>
      <c r="P479" s="1"/>
      <c r="Q479" s="1"/>
      <c r="R479" s="1"/>
      <c r="S479" s="1"/>
      <c r="T479" s="1"/>
      <c r="U479" s="1"/>
      <c r="V479" s="1"/>
      <c r="W479" s="1"/>
      <c r="X479" s="1"/>
      <c r="Y479" s="1"/>
      <c r="Z479" s="1"/>
      <c r="AA479" s="1"/>
      <c r="AB479" s="1"/>
      <c r="AC479" s="1"/>
      <c r="AD479" s="1"/>
      <c r="AE479" s="1"/>
      <c r="AF479" s="1"/>
      <c r="AG479" s="1"/>
      <c r="AH479" s="1"/>
    </row>
    <row r="480" ht="12.75" hidden="1" customHeight="1" outlineLevel="1">
      <c r="A480" s="17">
        <v>41116.0</v>
      </c>
      <c r="B480" s="1"/>
      <c r="C480" s="1" t="s">
        <v>429</v>
      </c>
      <c r="D480" s="74"/>
      <c r="E480" s="67"/>
      <c r="F480" s="75"/>
      <c r="G480" s="67"/>
      <c r="H480" s="68"/>
      <c r="I480" s="76"/>
      <c r="J480" s="67"/>
      <c r="K480" s="7" t="s">
        <v>586</v>
      </c>
      <c r="L480" s="77"/>
      <c r="M480" s="79"/>
      <c r="N480" s="1"/>
      <c r="O480" s="1"/>
      <c r="P480" s="1"/>
      <c r="Q480" s="1"/>
      <c r="R480" s="1"/>
      <c r="S480" s="1"/>
      <c r="T480" s="1"/>
      <c r="U480" s="1"/>
      <c r="V480" s="1"/>
      <c r="W480" s="1"/>
      <c r="X480" s="1"/>
      <c r="Y480" s="1"/>
      <c r="Z480" s="1"/>
      <c r="AA480" s="1"/>
      <c r="AB480" s="1"/>
      <c r="AC480" s="1"/>
      <c r="AD480" s="1"/>
      <c r="AE480" s="1"/>
      <c r="AF480" s="1"/>
      <c r="AG480" s="1"/>
      <c r="AH480" s="1"/>
    </row>
    <row r="481" ht="12.75" hidden="1" customHeight="1" outlineLevel="1">
      <c r="A481" s="17">
        <v>41116.0</v>
      </c>
      <c r="B481" s="1"/>
      <c r="C481" s="1" t="s">
        <v>431</v>
      </c>
      <c r="D481" s="74"/>
      <c r="E481" s="67"/>
      <c r="F481" s="75"/>
      <c r="G481" s="67"/>
      <c r="H481" s="68"/>
      <c r="I481" s="76"/>
      <c r="J481" s="67"/>
      <c r="K481" s="7" t="s">
        <v>502</v>
      </c>
      <c r="L481" s="77"/>
      <c r="M481" s="79"/>
      <c r="N481" s="1"/>
      <c r="O481" s="1"/>
      <c r="P481" s="1"/>
      <c r="Q481" s="1"/>
      <c r="R481" s="1"/>
      <c r="S481" s="1"/>
      <c r="T481" s="1"/>
      <c r="U481" s="1"/>
      <c r="V481" s="1"/>
      <c r="W481" s="1"/>
      <c r="X481" s="1"/>
      <c r="Y481" s="1"/>
      <c r="Z481" s="1"/>
      <c r="AA481" s="1"/>
      <c r="AB481" s="1"/>
      <c r="AC481" s="1"/>
      <c r="AD481" s="1"/>
      <c r="AE481" s="1"/>
      <c r="AF481" s="1"/>
      <c r="AG481" s="1"/>
      <c r="AH481" s="1"/>
    </row>
    <row r="482" ht="12.75" hidden="1" customHeight="1" outlineLevel="1">
      <c r="A482" s="17">
        <v>41116.0</v>
      </c>
      <c r="B482" s="1"/>
      <c r="C482" s="1" t="s">
        <v>433</v>
      </c>
      <c r="D482" s="74"/>
      <c r="E482" s="67"/>
      <c r="F482" s="75"/>
      <c r="G482" s="67"/>
      <c r="H482" s="68"/>
      <c r="I482" s="76"/>
      <c r="J482" s="67"/>
      <c r="K482" s="1" t="s">
        <v>434</v>
      </c>
      <c r="L482" s="77"/>
      <c r="M482" s="79"/>
      <c r="N482" s="1"/>
      <c r="O482" s="1"/>
      <c r="P482" s="1"/>
      <c r="Q482" s="1"/>
      <c r="R482" s="1"/>
      <c r="S482" s="1"/>
      <c r="T482" s="1"/>
      <c r="U482" s="1"/>
      <c r="V482" s="1"/>
      <c r="W482" s="1"/>
      <c r="X482" s="1"/>
      <c r="Y482" s="1"/>
      <c r="Z482" s="1"/>
      <c r="AA482" s="1"/>
      <c r="AB482" s="1"/>
      <c r="AC482" s="1"/>
      <c r="AD482" s="1"/>
      <c r="AE482" s="1"/>
      <c r="AF482" s="1"/>
      <c r="AG482" s="1"/>
      <c r="AH482" s="1"/>
    </row>
    <row r="483" ht="12.75" hidden="1" customHeight="1" outlineLevel="1">
      <c r="A483" s="17">
        <v>41116.0</v>
      </c>
      <c r="B483" s="1"/>
      <c r="C483" s="1" t="s">
        <v>435</v>
      </c>
      <c r="D483" s="74"/>
      <c r="E483" s="67"/>
      <c r="F483" s="75"/>
      <c r="G483" s="67"/>
      <c r="H483" s="68"/>
      <c r="I483" s="76"/>
      <c r="J483" s="67"/>
      <c r="K483" s="7" t="s">
        <v>525</v>
      </c>
      <c r="L483" s="77"/>
      <c r="M483" s="79"/>
      <c r="N483" s="1"/>
      <c r="O483" s="1"/>
      <c r="P483" s="1"/>
      <c r="Q483" s="1"/>
      <c r="R483" s="1"/>
      <c r="S483" s="1"/>
      <c r="T483" s="1"/>
      <c r="U483" s="1"/>
      <c r="V483" s="1"/>
      <c r="W483" s="1"/>
      <c r="X483" s="1"/>
      <c r="Y483" s="1"/>
      <c r="Z483" s="1"/>
      <c r="AA483" s="1"/>
      <c r="AB483" s="1"/>
      <c r="AC483" s="1"/>
      <c r="AD483" s="1"/>
      <c r="AE483" s="1"/>
      <c r="AF483" s="1"/>
      <c r="AG483" s="1"/>
      <c r="AH483" s="1"/>
    </row>
    <row r="484" ht="12.75" hidden="1" customHeight="1" outlineLevel="1">
      <c r="A484" s="17">
        <v>41117.0</v>
      </c>
      <c r="B484" s="1"/>
      <c r="C484" s="1" t="s">
        <v>339</v>
      </c>
      <c r="D484" s="74"/>
      <c r="E484" s="67"/>
      <c r="F484" s="75"/>
      <c r="G484" s="67"/>
      <c r="H484" s="68"/>
      <c r="I484" s="76"/>
      <c r="J484" s="67"/>
      <c r="K484" s="7" t="s">
        <v>589</v>
      </c>
      <c r="L484" s="77"/>
      <c r="M484" s="79"/>
      <c r="N484" s="1"/>
      <c r="O484" s="1"/>
      <c r="P484" s="1"/>
      <c r="Q484" s="1"/>
      <c r="R484" s="1"/>
      <c r="S484" s="1"/>
      <c r="T484" s="1"/>
      <c r="U484" s="1"/>
      <c r="V484" s="1"/>
      <c r="W484" s="1"/>
      <c r="X484" s="1"/>
      <c r="Y484" s="1"/>
      <c r="Z484" s="1"/>
      <c r="AA484" s="1"/>
      <c r="AB484" s="1"/>
      <c r="AC484" s="1"/>
      <c r="AD484" s="1"/>
      <c r="AE484" s="1"/>
      <c r="AF484" s="1"/>
      <c r="AG484" s="1"/>
      <c r="AH484" s="1"/>
    </row>
    <row r="485" ht="12.75" hidden="1" customHeight="1" outlineLevel="1">
      <c r="A485" s="17">
        <v>41117.0</v>
      </c>
      <c r="B485" s="1"/>
      <c r="C485" s="1" t="s">
        <v>429</v>
      </c>
      <c r="D485" s="74"/>
      <c r="E485" s="67"/>
      <c r="F485" s="75"/>
      <c r="G485" s="67"/>
      <c r="H485" s="68"/>
      <c r="I485" s="76"/>
      <c r="J485" s="67"/>
      <c r="K485" s="7" t="s">
        <v>586</v>
      </c>
      <c r="L485" s="77"/>
      <c r="M485" s="79"/>
      <c r="N485" s="1"/>
      <c r="O485" s="1"/>
      <c r="P485" s="1"/>
      <c r="Q485" s="1"/>
      <c r="R485" s="1"/>
      <c r="S485" s="1"/>
      <c r="T485" s="1"/>
      <c r="U485" s="1"/>
      <c r="V485" s="1"/>
      <c r="W485" s="1"/>
      <c r="X485" s="1"/>
      <c r="Y485" s="1"/>
      <c r="Z485" s="1"/>
      <c r="AA485" s="1"/>
      <c r="AB485" s="1"/>
      <c r="AC485" s="1"/>
      <c r="AD485" s="1"/>
      <c r="AE485" s="1"/>
      <c r="AF485" s="1"/>
      <c r="AG485" s="1"/>
      <c r="AH485" s="1"/>
    </row>
    <row r="486" ht="12.75" hidden="1" customHeight="1" outlineLevel="1">
      <c r="A486" s="17">
        <v>41117.0</v>
      </c>
      <c r="B486" s="1"/>
      <c r="C486" s="1" t="s">
        <v>431</v>
      </c>
      <c r="D486" s="74"/>
      <c r="E486" s="67"/>
      <c r="F486" s="75"/>
      <c r="G486" s="67"/>
      <c r="H486" s="68"/>
      <c r="I486" s="76"/>
      <c r="J486" s="67"/>
      <c r="K486" s="7" t="s">
        <v>502</v>
      </c>
      <c r="L486" s="77"/>
      <c r="M486" s="79"/>
      <c r="N486" s="1"/>
      <c r="O486" s="1"/>
      <c r="P486" s="1"/>
      <c r="Q486" s="1"/>
      <c r="R486" s="1"/>
      <c r="S486" s="1"/>
      <c r="T486" s="1"/>
      <c r="U486" s="1"/>
      <c r="V486" s="1"/>
      <c r="W486" s="1"/>
      <c r="X486" s="1"/>
      <c r="Y486" s="1"/>
      <c r="Z486" s="1"/>
      <c r="AA486" s="1"/>
      <c r="AB486" s="1"/>
      <c r="AC486" s="1"/>
      <c r="AD486" s="1"/>
      <c r="AE486" s="1"/>
      <c r="AF486" s="1"/>
      <c r="AG486" s="1"/>
      <c r="AH486" s="1"/>
    </row>
    <row r="487" ht="12.75" hidden="1" customHeight="1" outlineLevel="1">
      <c r="A487" s="17">
        <v>41117.0</v>
      </c>
      <c r="B487" s="1"/>
      <c r="C487" s="1" t="s">
        <v>433</v>
      </c>
      <c r="D487" s="74"/>
      <c r="E487" s="67"/>
      <c r="F487" s="75"/>
      <c r="G487" s="67"/>
      <c r="H487" s="68"/>
      <c r="I487" s="76"/>
      <c r="J487" s="67"/>
      <c r="K487" s="1" t="s">
        <v>434</v>
      </c>
      <c r="L487" s="77"/>
      <c r="M487" s="79"/>
      <c r="N487" s="1"/>
      <c r="O487" s="1"/>
      <c r="P487" s="1"/>
      <c r="Q487" s="1"/>
      <c r="R487" s="1"/>
      <c r="S487" s="1"/>
      <c r="T487" s="1"/>
      <c r="U487" s="1"/>
      <c r="V487" s="1"/>
      <c r="W487" s="1"/>
      <c r="X487" s="1"/>
      <c r="Y487" s="1"/>
      <c r="Z487" s="1"/>
      <c r="AA487" s="1"/>
      <c r="AB487" s="1"/>
      <c r="AC487" s="1"/>
      <c r="AD487" s="1"/>
      <c r="AE487" s="1"/>
      <c r="AF487" s="1"/>
      <c r="AG487" s="1"/>
      <c r="AH487" s="1"/>
    </row>
    <row r="488" ht="12.75" hidden="1" customHeight="1" outlineLevel="1">
      <c r="A488" s="17">
        <v>41117.0</v>
      </c>
      <c r="B488" s="1"/>
      <c r="C488" s="1" t="s">
        <v>435</v>
      </c>
      <c r="D488" s="74"/>
      <c r="E488" s="67"/>
      <c r="F488" s="75"/>
      <c r="G488" s="67"/>
      <c r="H488" s="68"/>
      <c r="I488" s="76"/>
      <c r="J488" s="67"/>
      <c r="K488" s="7" t="s">
        <v>525</v>
      </c>
      <c r="L488" s="77"/>
      <c r="M488" s="79"/>
      <c r="N488" s="1"/>
      <c r="O488" s="1"/>
      <c r="P488" s="1"/>
      <c r="Q488" s="1"/>
      <c r="R488" s="1"/>
      <c r="S488" s="1"/>
      <c r="T488" s="1"/>
      <c r="U488" s="1"/>
      <c r="V488" s="1"/>
      <c r="W488" s="1"/>
      <c r="X488" s="1"/>
      <c r="Y488" s="1"/>
      <c r="Z488" s="1"/>
      <c r="AA488" s="1"/>
      <c r="AB488" s="1"/>
      <c r="AC488" s="1"/>
      <c r="AD488" s="1"/>
      <c r="AE488" s="1"/>
      <c r="AF488" s="1"/>
      <c r="AG488" s="1"/>
      <c r="AH488" s="1"/>
    </row>
    <row r="489" ht="12.75" hidden="1" customHeight="1" outlineLevel="1">
      <c r="A489" s="17">
        <v>41117.0</v>
      </c>
      <c r="B489" s="1" t="s">
        <v>343</v>
      </c>
      <c r="C489" s="1" t="s">
        <v>346</v>
      </c>
      <c r="D489" s="1">
        <v>12.0</v>
      </c>
      <c r="E489" s="1">
        <v>585.0</v>
      </c>
      <c r="F489" s="75">
        <v>0.6380902777777778</v>
      </c>
      <c r="G489" s="1"/>
      <c r="H489" s="1">
        <v>1.0</v>
      </c>
      <c r="I489" s="76"/>
      <c r="J489" s="67">
        <f t="shared" ref="J489:J492" si="33">IF(B489="SLD",D489*E489,-D489*E489)-H489</f>
        <v>-7021</v>
      </c>
      <c r="K489" s="7"/>
      <c r="L489" s="70"/>
      <c r="M489" s="79"/>
      <c r="N489" s="1"/>
      <c r="O489" s="1"/>
      <c r="P489" s="1"/>
      <c r="Q489" s="1"/>
      <c r="R489" s="1"/>
      <c r="S489" s="1"/>
      <c r="T489" s="1"/>
      <c r="U489" s="1"/>
      <c r="V489" s="1"/>
      <c r="W489" s="1"/>
      <c r="X489" s="1"/>
      <c r="Y489" s="1"/>
      <c r="Z489" s="1"/>
      <c r="AA489" s="1"/>
      <c r="AB489" s="1"/>
      <c r="AC489" s="1"/>
      <c r="AD489" s="1"/>
      <c r="AE489" s="1"/>
      <c r="AF489" s="1"/>
      <c r="AG489" s="1"/>
      <c r="AH489" s="1"/>
    </row>
    <row r="490" ht="12.75" hidden="1" customHeight="1" outlineLevel="1">
      <c r="A490" s="17">
        <v>41117.0</v>
      </c>
      <c r="B490" s="1" t="s">
        <v>343</v>
      </c>
      <c r="C490" s="1" t="s">
        <v>344</v>
      </c>
      <c r="D490" s="1">
        <v>100.0</v>
      </c>
      <c r="E490" s="1">
        <v>31.79</v>
      </c>
      <c r="F490" s="75">
        <v>0.6434722222222222</v>
      </c>
      <c r="G490" s="1"/>
      <c r="H490" s="1">
        <v>1.0</v>
      </c>
      <c r="I490" s="76"/>
      <c r="J490" s="67">
        <f t="shared" si="33"/>
        <v>-3180</v>
      </c>
      <c r="K490" s="7"/>
      <c r="L490" s="70"/>
      <c r="M490" s="79"/>
      <c r="N490" s="1"/>
      <c r="O490" s="1"/>
      <c r="P490" s="1"/>
      <c r="Q490" s="1"/>
      <c r="R490" s="1"/>
      <c r="S490" s="1"/>
      <c r="T490" s="1"/>
      <c r="U490" s="1"/>
      <c r="V490" s="1"/>
      <c r="W490" s="1"/>
      <c r="X490" s="1"/>
      <c r="Y490" s="1"/>
      <c r="Z490" s="1"/>
      <c r="AA490" s="1"/>
      <c r="AB490" s="1"/>
      <c r="AC490" s="1"/>
      <c r="AD490" s="1"/>
      <c r="AE490" s="1"/>
      <c r="AF490" s="1"/>
      <c r="AG490" s="1"/>
      <c r="AH490" s="1"/>
    </row>
    <row r="491" ht="12.75" hidden="1" customHeight="1" outlineLevel="1">
      <c r="A491" s="17">
        <v>41117.0</v>
      </c>
      <c r="B491" s="1" t="s">
        <v>343</v>
      </c>
      <c r="C491" s="1" t="s">
        <v>344</v>
      </c>
      <c r="D491" s="1">
        <v>100.0</v>
      </c>
      <c r="E491" s="1">
        <v>31.79</v>
      </c>
      <c r="F491" s="75">
        <v>0.6434722222222222</v>
      </c>
      <c r="G491" s="1"/>
      <c r="H491" s="1">
        <v>0.0</v>
      </c>
      <c r="I491" s="76"/>
      <c r="J491" s="67">
        <f t="shared" si="33"/>
        <v>-3179</v>
      </c>
      <c r="K491" s="7"/>
      <c r="L491" s="70"/>
      <c r="M491" s="79"/>
      <c r="N491" s="1"/>
      <c r="O491" s="1"/>
      <c r="P491" s="1"/>
      <c r="Q491" s="1"/>
      <c r="R491" s="1"/>
      <c r="S491" s="1"/>
      <c r="T491" s="1"/>
      <c r="U491" s="1"/>
      <c r="V491" s="1"/>
      <c r="W491" s="1"/>
      <c r="X491" s="1"/>
      <c r="Y491" s="1"/>
      <c r="Z491" s="1"/>
      <c r="AA491" s="1"/>
      <c r="AB491" s="1"/>
      <c r="AC491" s="1"/>
      <c r="AD491" s="1"/>
      <c r="AE491" s="1"/>
      <c r="AF491" s="1"/>
      <c r="AG491" s="1"/>
      <c r="AH491" s="1"/>
    </row>
    <row r="492" ht="12.75" hidden="1" customHeight="1" outlineLevel="1">
      <c r="A492" s="17">
        <v>41117.0</v>
      </c>
      <c r="B492" s="1" t="s">
        <v>343</v>
      </c>
      <c r="C492" s="1" t="s">
        <v>354</v>
      </c>
      <c r="D492" s="1">
        <v>100.0</v>
      </c>
      <c r="E492" s="1">
        <v>73.55</v>
      </c>
      <c r="F492" s="75">
        <v>0.6436574074074074</v>
      </c>
      <c r="G492" s="1"/>
      <c r="H492" s="1">
        <v>1.0</v>
      </c>
      <c r="I492" s="76"/>
      <c r="J492" s="67">
        <f t="shared" si="33"/>
        <v>-7356</v>
      </c>
      <c r="K492" s="7"/>
      <c r="L492" s="70"/>
      <c r="M492" s="79"/>
      <c r="N492" s="1"/>
      <c r="O492" s="1"/>
      <c r="P492" s="1"/>
      <c r="Q492" s="1"/>
      <c r="R492" s="1"/>
      <c r="S492" s="1"/>
      <c r="T492" s="1"/>
      <c r="U492" s="1"/>
      <c r="V492" s="1"/>
      <c r="W492" s="1"/>
      <c r="X492" s="1"/>
      <c r="Y492" s="1"/>
      <c r="Z492" s="1"/>
      <c r="AA492" s="1"/>
      <c r="AB492" s="1"/>
      <c r="AC492" s="1"/>
      <c r="AD492" s="1"/>
      <c r="AE492" s="1"/>
      <c r="AF492" s="1"/>
      <c r="AG492" s="1"/>
      <c r="AH492" s="1"/>
    </row>
    <row r="493" ht="12.75" hidden="1" customHeight="1" outlineLevel="1">
      <c r="A493" s="17">
        <v>41117.0</v>
      </c>
      <c r="B493" s="1"/>
      <c r="C493" s="1" t="s">
        <v>339</v>
      </c>
      <c r="D493" s="74"/>
      <c r="E493" s="67"/>
      <c r="F493" s="75"/>
      <c r="G493" s="67"/>
      <c r="H493" s="68"/>
      <c r="I493" s="76"/>
      <c r="J493" s="67"/>
      <c r="K493" s="7" t="s">
        <v>593</v>
      </c>
      <c r="L493" s="77"/>
      <c r="M493" s="79"/>
      <c r="N493" s="1"/>
      <c r="O493" s="1"/>
      <c r="P493" s="1"/>
      <c r="Q493" s="1"/>
      <c r="R493" s="1"/>
      <c r="S493" s="1"/>
      <c r="T493" s="1"/>
      <c r="U493" s="1"/>
      <c r="V493" s="1"/>
      <c r="W493" s="1"/>
      <c r="X493" s="1"/>
      <c r="Y493" s="1"/>
      <c r="Z493" s="1"/>
      <c r="AA493" s="1"/>
      <c r="AB493" s="1"/>
      <c r="AC493" s="1"/>
      <c r="AD493" s="1"/>
      <c r="AE493" s="1"/>
      <c r="AF493" s="1"/>
      <c r="AG493" s="1"/>
      <c r="AH493" s="1"/>
    </row>
    <row r="494" ht="12.75" hidden="1" customHeight="1" outlineLevel="1">
      <c r="A494" s="17">
        <v>41117.0</v>
      </c>
      <c r="B494" s="1"/>
      <c r="C494" s="1" t="s">
        <v>429</v>
      </c>
      <c r="D494" s="74"/>
      <c r="E494" s="67"/>
      <c r="F494" s="75"/>
      <c r="G494" s="67"/>
      <c r="H494" s="68"/>
      <c r="I494" s="76"/>
      <c r="J494" s="67"/>
      <c r="K494" s="7" t="s">
        <v>595</v>
      </c>
      <c r="L494" s="77"/>
      <c r="M494" s="79"/>
      <c r="N494" s="1"/>
      <c r="O494" s="1"/>
      <c r="P494" s="1"/>
      <c r="Q494" s="1"/>
      <c r="R494" s="1"/>
      <c r="S494" s="1"/>
      <c r="T494" s="1"/>
      <c r="U494" s="1"/>
      <c r="V494" s="1"/>
      <c r="W494" s="1"/>
      <c r="X494" s="1"/>
      <c r="Y494" s="1"/>
      <c r="Z494" s="1"/>
      <c r="AA494" s="1"/>
      <c r="AB494" s="1"/>
      <c r="AC494" s="1"/>
      <c r="AD494" s="1"/>
      <c r="AE494" s="1"/>
      <c r="AF494" s="1"/>
      <c r="AG494" s="1"/>
      <c r="AH494" s="1"/>
    </row>
    <row r="495" ht="12.75" hidden="1" customHeight="1" outlineLevel="1">
      <c r="A495" s="17">
        <v>41117.0</v>
      </c>
      <c r="B495" s="1"/>
      <c r="C495" s="1" t="s">
        <v>431</v>
      </c>
      <c r="D495" s="74"/>
      <c r="E495" s="67"/>
      <c r="F495" s="75"/>
      <c r="G495" s="67"/>
      <c r="H495" s="68"/>
      <c r="I495" s="76"/>
      <c r="J495" s="67"/>
      <c r="K495" s="7" t="s">
        <v>502</v>
      </c>
      <c r="L495" s="77"/>
      <c r="M495" s="79"/>
      <c r="N495" s="1"/>
      <c r="O495" s="1"/>
      <c r="P495" s="1"/>
      <c r="Q495" s="1"/>
      <c r="R495" s="1"/>
      <c r="S495" s="1"/>
      <c r="T495" s="1"/>
      <c r="U495" s="1"/>
      <c r="V495" s="1"/>
      <c r="W495" s="1"/>
      <c r="X495" s="1"/>
      <c r="Y495" s="1"/>
      <c r="Z495" s="1"/>
      <c r="AA495" s="1"/>
      <c r="AB495" s="1"/>
      <c r="AC495" s="1"/>
      <c r="AD495" s="1"/>
      <c r="AE495" s="1"/>
      <c r="AF495" s="1"/>
      <c r="AG495" s="1"/>
      <c r="AH495" s="1"/>
    </row>
    <row r="496" ht="12.75" hidden="1" customHeight="1" outlineLevel="1">
      <c r="A496" s="17">
        <v>41117.0</v>
      </c>
      <c r="B496" s="1"/>
      <c r="C496" s="1" t="s">
        <v>433</v>
      </c>
      <c r="D496" s="74"/>
      <c r="E496" s="67"/>
      <c r="F496" s="75"/>
      <c r="G496" s="67"/>
      <c r="H496" s="68"/>
      <c r="I496" s="76"/>
      <c r="J496" s="67"/>
      <c r="K496" s="1" t="s">
        <v>434</v>
      </c>
      <c r="L496" s="77"/>
      <c r="M496" s="79"/>
      <c r="N496" s="1"/>
      <c r="O496" s="1"/>
      <c r="P496" s="1"/>
      <c r="Q496" s="1"/>
      <c r="R496" s="1"/>
      <c r="S496" s="1"/>
      <c r="T496" s="1"/>
      <c r="U496" s="1"/>
      <c r="V496" s="1"/>
      <c r="W496" s="1"/>
      <c r="X496" s="1"/>
      <c r="Y496" s="1"/>
      <c r="Z496" s="1"/>
      <c r="AA496" s="1"/>
      <c r="AB496" s="1"/>
      <c r="AC496" s="1"/>
      <c r="AD496" s="1"/>
      <c r="AE496" s="1"/>
      <c r="AF496" s="1"/>
      <c r="AG496" s="1"/>
      <c r="AH496" s="1"/>
    </row>
    <row r="497" ht="12.75" hidden="1" customHeight="1" outlineLevel="1">
      <c r="A497" s="17">
        <v>41117.0</v>
      </c>
      <c r="B497" s="1"/>
      <c r="C497" s="1" t="s">
        <v>435</v>
      </c>
      <c r="D497" s="74"/>
      <c r="E497" s="67"/>
      <c r="F497" s="75"/>
      <c r="G497" s="67"/>
      <c r="H497" s="68"/>
      <c r="I497" s="76"/>
      <c r="J497" s="67"/>
      <c r="K497" s="7" t="s">
        <v>525</v>
      </c>
      <c r="L497" s="77"/>
      <c r="M497" s="79"/>
      <c r="N497" s="1"/>
      <c r="O497" s="1"/>
      <c r="P497" s="1"/>
      <c r="Q497" s="1"/>
      <c r="R497" s="1"/>
      <c r="S497" s="1"/>
      <c r="T497" s="1"/>
      <c r="U497" s="1"/>
      <c r="V497" s="1"/>
      <c r="W497" s="1"/>
      <c r="X497" s="1"/>
      <c r="Y497" s="1"/>
      <c r="Z497" s="1"/>
      <c r="AA497" s="1"/>
      <c r="AB497" s="1"/>
      <c r="AC497" s="1"/>
      <c r="AD497" s="1"/>
      <c r="AE497" s="1"/>
      <c r="AF497" s="1"/>
      <c r="AG497" s="1"/>
      <c r="AH497" s="1"/>
    </row>
    <row r="498" ht="12.75" hidden="1" customHeight="1" outlineLevel="1">
      <c r="A498" s="17">
        <v>41120.0</v>
      </c>
      <c r="B498" s="1" t="s">
        <v>343</v>
      </c>
      <c r="C498" s="1" t="s">
        <v>536</v>
      </c>
      <c r="D498" s="74">
        <v>200.0</v>
      </c>
      <c r="E498" s="67">
        <v>19.61</v>
      </c>
      <c r="F498" s="75">
        <v>0.40304398148148146</v>
      </c>
      <c r="G498" s="67">
        <v>2.012073E7</v>
      </c>
      <c r="H498" s="68">
        <v>1.0</v>
      </c>
      <c r="I498" s="76"/>
      <c r="J498" s="67">
        <f t="shared" ref="J498:J507" si="34">IF(B498="SLD",D498*E498,-D498*E498)-H498</f>
        <v>-3923</v>
      </c>
      <c r="K498" s="7"/>
      <c r="L498" s="70"/>
      <c r="M498" s="79"/>
      <c r="N498" s="1"/>
      <c r="O498" s="1"/>
      <c r="P498" s="1"/>
      <c r="Q498" s="1"/>
      <c r="R498" s="1"/>
      <c r="S498" s="1"/>
      <c r="T498" s="1"/>
      <c r="U498" s="1"/>
      <c r="V498" s="1"/>
      <c r="W498" s="1"/>
      <c r="X498" s="1"/>
      <c r="Y498" s="1"/>
      <c r="Z498" s="1"/>
      <c r="AA498" s="1"/>
      <c r="AB498" s="1"/>
      <c r="AC498" s="1"/>
      <c r="AD498" s="1"/>
      <c r="AE498" s="1"/>
      <c r="AF498" s="1"/>
      <c r="AG498" s="1"/>
      <c r="AH498" s="1"/>
    </row>
    <row r="499" ht="12.75" hidden="1" customHeight="1" outlineLevel="1">
      <c r="A499" s="17">
        <v>41120.0</v>
      </c>
      <c r="B499" s="1" t="s">
        <v>343</v>
      </c>
      <c r="C499" s="1" t="s">
        <v>536</v>
      </c>
      <c r="D499" s="74">
        <v>200.0</v>
      </c>
      <c r="E499" s="67">
        <v>19.61</v>
      </c>
      <c r="F499" s="75">
        <v>0.40304398148148146</v>
      </c>
      <c r="G499" s="67">
        <v>2.012073E7</v>
      </c>
      <c r="H499" s="68">
        <v>1.0</v>
      </c>
      <c r="I499" s="76"/>
      <c r="J499" s="67">
        <f t="shared" si="34"/>
        <v>-3923</v>
      </c>
      <c r="K499" s="7"/>
      <c r="L499" s="70"/>
      <c r="M499" s="79"/>
      <c r="N499" s="1"/>
      <c r="O499" s="1"/>
      <c r="P499" s="1"/>
      <c r="Q499" s="1"/>
      <c r="R499" s="1"/>
      <c r="S499" s="1"/>
      <c r="T499" s="1"/>
      <c r="U499" s="1"/>
      <c r="V499" s="1"/>
      <c r="W499" s="1"/>
      <c r="X499" s="1"/>
      <c r="Y499" s="1"/>
      <c r="Z499" s="1"/>
      <c r="AA499" s="1"/>
      <c r="AB499" s="1"/>
      <c r="AC499" s="1"/>
      <c r="AD499" s="1"/>
      <c r="AE499" s="1"/>
      <c r="AF499" s="1"/>
      <c r="AG499" s="1"/>
      <c r="AH499" s="1"/>
    </row>
    <row r="500" ht="12.75" hidden="1" customHeight="1" outlineLevel="1">
      <c r="A500" s="17">
        <v>41120.0</v>
      </c>
      <c r="B500" s="1" t="s">
        <v>343</v>
      </c>
      <c r="C500" s="1" t="s">
        <v>545</v>
      </c>
      <c r="D500" s="74">
        <v>100.0</v>
      </c>
      <c r="E500" s="67">
        <v>6.91</v>
      </c>
      <c r="F500" s="75">
        <v>0.4040972222222223</v>
      </c>
      <c r="G500" s="67">
        <v>2.012073E7</v>
      </c>
      <c r="H500" s="68">
        <v>1.0</v>
      </c>
      <c r="I500" s="76"/>
      <c r="J500" s="67">
        <f t="shared" si="34"/>
        <v>-692</v>
      </c>
      <c r="K500" s="7"/>
      <c r="L500" s="70"/>
      <c r="M500" s="79"/>
      <c r="N500" s="1"/>
      <c r="O500" s="1"/>
      <c r="P500" s="1"/>
      <c r="Q500" s="1"/>
      <c r="R500" s="1"/>
      <c r="S500" s="1"/>
      <c r="T500" s="1"/>
      <c r="U500" s="1"/>
      <c r="V500" s="1"/>
      <c r="W500" s="1"/>
      <c r="X500" s="1"/>
      <c r="Y500" s="1"/>
      <c r="Z500" s="1"/>
      <c r="AA500" s="1"/>
      <c r="AB500" s="1"/>
      <c r="AC500" s="1"/>
      <c r="AD500" s="1"/>
      <c r="AE500" s="1"/>
      <c r="AF500" s="1"/>
      <c r="AG500" s="1"/>
      <c r="AH500" s="1"/>
    </row>
    <row r="501" ht="12.75" hidden="1" customHeight="1" outlineLevel="1">
      <c r="A501" s="17">
        <v>41120.0</v>
      </c>
      <c r="B501" s="1" t="s">
        <v>343</v>
      </c>
      <c r="C501" s="1" t="s">
        <v>545</v>
      </c>
      <c r="D501" s="74">
        <v>500.0</v>
      </c>
      <c r="E501" s="67">
        <v>6.91</v>
      </c>
      <c r="F501" s="75">
        <v>0.4041087962962963</v>
      </c>
      <c r="G501" s="67">
        <v>2.012073E7</v>
      </c>
      <c r="H501" s="68">
        <v>2.0</v>
      </c>
      <c r="I501" s="76"/>
      <c r="J501" s="67">
        <f t="shared" si="34"/>
        <v>-3457</v>
      </c>
      <c r="K501" s="7"/>
      <c r="L501" s="70"/>
      <c r="M501" s="79"/>
      <c r="N501" s="1"/>
      <c r="O501" s="1"/>
      <c r="P501" s="1"/>
      <c r="Q501" s="1"/>
      <c r="R501" s="1"/>
      <c r="S501" s="1"/>
      <c r="T501" s="1"/>
      <c r="U501" s="1"/>
      <c r="V501" s="1"/>
      <c r="W501" s="1"/>
      <c r="X501" s="1"/>
      <c r="Y501" s="1"/>
      <c r="Z501" s="1"/>
      <c r="AA501" s="1"/>
      <c r="AB501" s="1"/>
      <c r="AC501" s="1"/>
      <c r="AD501" s="1"/>
      <c r="AE501" s="1"/>
      <c r="AF501" s="1"/>
      <c r="AG501" s="1"/>
      <c r="AH501" s="1"/>
    </row>
    <row r="502" ht="12.75" hidden="1" customHeight="1" outlineLevel="1">
      <c r="A502" s="17">
        <v>41120.0</v>
      </c>
      <c r="B502" s="1" t="s">
        <v>343</v>
      </c>
      <c r="C502" s="1" t="s">
        <v>426</v>
      </c>
      <c r="D502" s="74">
        <v>100.0</v>
      </c>
      <c r="E502" s="67">
        <v>26.9999</v>
      </c>
      <c r="F502" s="75">
        <v>0.4044212962962963</v>
      </c>
      <c r="G502" s="67">
        <v>2.012073E7</v>
      </c>
      <c r="H502" s="68">
        <v>1.0</v>
      </c>
      <c r="I502" s="76"/>
      <c r="J502" s="67">
        <f t="shared" si="34"/>
        <v>-2700.99</v>
      </c>
      <c r="K502" s="7"/>
      <c r="L502" s="70"/>
      <c r="M502" s="79"/>
      <c r="N502" s="1"/>
      <c r="O502" s="1"/>
      <c r="P502" s="1"/>
      <c r="Q502" s="1"/>
      <c r="R502" s="1"/>
      <c r="S502" s="1"/>
      <c r="T502" s="1"/>
      <c r="U502" s="1"/>
      <c r="V502" s="1"/>
      <c r="W502" s="1"/>
      <c r="X502" s="1"/>
      <c r="Y502" s="1"/>
      <c r="Z502" s="1"/>
      <c r="AA502" s="1"/>
      <c r="AB502" s="1"/>
      <c r="AC502" s="1"/>
      <c r="AD502" s="1"/>
      <c r="AE502" s="1"/>
      <c r="AF502" s="1"/>
      <c r="AG502" s="1"/>
      <c r="AH502" s="1"/>
    </row>
    <row r="503" ht="12.75" hidden="1" customHeight="1" outlineLevel="1">
      <c r="A503" s="17">
        <v>41120.0</v>
      </c>
      <c r="B503" s="1" t="s">
        <v>343</v>
      </c>
      <c r="C503" s="1" t="s">
        <v>413</v>
      </c>
      <c r="D503" s="74">
        <v>98.0</v>
      </c>
      <c r="E503" s="67">
        <v>58.01</v>
      </c>
      <c r="F503" s="75">
        <v>0.4217013888888889</v>
      </c>
      <c r="G503" s="67">
        <v>2.012073E7</v>
      </c>
      <c r="H503" s="68">
        <v>1.0</v>
      </c>
      <c r="I503" s="76"/>
      <c r="J503" s="67">
        <f t="shared" si="34"/>
        <v>-5685.98</v>
      </c>
      <c r="K503" s="7"/>
      <c r="L503" s="70"/>
      <c r="M503" s="79"/>
      <c r="N503" s="1"/>
      <c r="O503" s="1"/>
      <c r="P503" s="1"/>
      <c r="Q503" s="1"/>
      <c r="R503" s="1"/>
      <c r="S503" s="1"/>
      <c r="T503" s="1"/>
      <c r="U503" s="1"/>
      <c r="V503" s="1"/>
      <c r="W503" s="1"/>
      <c r="X503" s="1"/>
      <c r="Y503" s="1"/>
      <c r="Z503" s="1"/>
      <c r="AA503" s="1"/>
      <c r="AB503" s="1"/>
      <c r="AC503" s="1"/>
      <c r="AD503" s="1"/>
      <c r="AE503" s="1"/>
      <c r="AF503" s="1"/>
      <c r="AG503" s="1"/>
      <c r="AH503" s="1"/>
    </row>
    <row r="504" ht="12.75" hidden="1" customHeight="1" outlineLevel="1">
      <c r="A504" s="17">
        <v>41120.0</v>
      </c>
      <c r="B504" s="1" t="s">
        <v>343</v>
      </c>
      <c r="C504" s="1" t="s">
        <v>413</v>
      </c>
      <c r="D504" s="74">
        <v>12.0</v>
      </c>
      <c r="E504" s="67">
        <v>58.01</v>
      </c>
      <c r="F504" s="75">
        <v>0.4217013888888889</v>
      </c>
      <c r="G504" s="67">
        <v>2.012073E7</v>
      </c>
      <c r="H504" s="68">
        <v>0.0</v>
      </c>
      <c r="I504" s="76"/>
      <c r="J504" s="67">
        <f t="shared" si="34"/>
        <v>-696.12</v>
      </c>
      <c r="K504" s="7"/>
      <c r="L504" s="70"/>
      <c r="M504" s="79"/>
      <c r="N504" s="1"/>
      <c r="O504" s="1"/>
      <c r="P504" s="1"/>
      <c r="Q504" s="1"/>
      <c r="R504" s="1"/>
      <c r="S504" s="1"/>
      <c r="T504" s="1"/>
      <c r="U504" s="1"/>
      <c r="V504" s="1"/>
      <c r="W504" s="1"/>
      <c r="X504" s="1"/>
      <c r="Y504" s="1"/>
      <c r="Z504" s="1"/>
      <c r="AA504" s="1"/>
      <c r="AB504" s="1"/>
      <c r="AC504" s="1"/>
      <c r="AD504" s="1"/>
      <c r="AE504" s="1"/>
      <c r="AF504" s="1"/>
      <c r="AG504" s="1"/>
      <c r="AH504" s="1"/>
    </row>
    <row r="505" ht="12.75" hidden="1" customHeight="1" outlineLevel="1">
      <c r="A505" s="17">
        <v>41120.0</v>
      </c>
      <c r="B505" s="1" t="s">
        <v>343</v>
      </c>
      <c r="C505" s="1" t="s">
        <v>602</v>
      </c>
      <c r="D505" s="74">
        <v>100.0</v>
      </c>
      <c r="E505" s="67">
        <v>35.59</v>
      </c>
      <c r="F505" s="75">
        <v>0.49134259259259255</v>
      </c>
      <c r="G505" s="67">
        <v>2.012073E7</v>
      </c>
      <c r="H505" s="68">
        <v>1.0</v>
      </c>
      <c r="I505" s="76"/>
      <c r="J505" s="67">
        <f t="shared" si="34"/>
        <v>-3560</v>
      </c>
      <c r="K505" s="7"/>
      <c r="L505" s="70"/>
      <c r="M505" s="79"/>
      <c r="N505" s="1"/>
      <c r="O505" s="1"/>
      <c r="P505" s="1"/>
      <c r="Q505" s="1"/>
      <c r="R505" s="1"/>
      <c r="S505" s="1"/>
      <c r="T505" s="1"/>
      <c r="U505" s="1"/>
      <c r="V505" s="1"/>
      <c r="W505" s="1"/>
      <c r="X505" s="1"/>
      <c r="Y505" s="1"/>
      <c r="Z505" s="1"/>
      <c r="AA505" s="1"/>
      <c r="AB505" s="1"/>
      <c r="AC505" s="1"/>
      <c r="AD505" s="1"/>
      <c r="AE505" s="1"/>
      <c r="AF505" s="1"/>
      <c r="AG505" s="1"/>
      <c r="AH505" s="1"/>
    </row>
    <row r="506" ht="12.75" hidden="1" customHeight="1" outlineLevel="1">
      <c r="A506" s="17">
        <v>41120.0</v>
      </c>
      <c r="B506" s="1" t="s">
        <v>343</v>
      </c>
      <c r="C506" s="1" t="s">
        <v>602</v>
      </c>
      <c r="D506" s="74">
        <v>100.0</v>
      </c>
      <c r="E506" s="67">
        <v>35.59</v>
      </c>
      <c r="F506" s="75">
        <v>0.49134259259259255</v>
      </c>
      <c r="G506" s="67">
        <v>2.012073E7</v>
      </c>
      <c r="H506" s="68">
        <v>0.0</v>
      </c>
      <c r="I506" s="76"/>
      <c r="J506" s="67">
        <f t="shared" si="34"/>
        <v>-3559</v>
      </c>
      <c r="K506" s="7"/>
      <c r="L506" s="70"/>
      <c r="M506" s="79"/>
      <c r="N506" s="1"/>
      <c r="O506" s="1"/>
      <c r="P506" s="1"/>
      <c r="Q506" s="1"/>
      <c r="R506" s="1"/>
      <c r="S506" s="1"/>
      <c r="T506" s="1"/>
      <c r="U506" s="1"/>
      <c r="V506" s="1"/>
      <c r="W506" s="1"/>
      <c r="X506" s="1"/>
      <c r="Y506" s="1"/>
      <c r="Z506" s="1"/>
      <c r="AA506" s="1"/>
      <c r="AB506" s="1"/>
      <c r="AC506" s="1"/>
      <c r="AD506" s="1"/>
      <c r="AE506" s="1"/>
      <c r="AF506" s="1"/>
      <c r="AG506" s="1"/>
      <c r="AH506" s="1"/>
    </row>
    <row r="507" ht="12.75" hidden="1" customHeight="1" outlineLevel="1">
      <c r="A507" s="17">
        <v>41120.0</v>
      </c>
      <c r="B507" s="1" t="s">
        <v>347</v>
      </c>
      <c r="C507" s="1" t="s">
        <v>409</v>
      </c>
      <c r="D507" s="74">
        <v>25.0</v>
      </c>
      <c r="E507" s="67">
        <v>127.15</v>
      </c>
      <c r="F507" s="75">
        <v>0.49216435185185187</v>
      </c>
      <c r="G507" s="67">
        <v>2.012073E7</v>
      </c>
      <c r="H507" s="68">
        <v>1.0</v>
      </c>
      <c r="I507" s="76"/>
      <c r="J507" s="67">
        <f t="shared" si="34"/>
        <v>3177.75</v>
      </c>
      <c r="K507" s="7"/>
      <c r="L507" s="70"/>
      <c r="M507" s="79"/>
      <c r="N507" s="1"/>
      <c r="O507" s="1"/>
      <c r="P507" s="1"/>
      <c r="Q507" s="1"/>
      <c r="R507" s="1"/>
      <c r="S507" s="1"/>
      <c r="T507" s="1"/>
      <c r="U507" s="1"/>
      <c r="V507" s="1"/>
      <c r="W507" s="1"/>
      <c r="X507" s="1"/>
      <c r="Y507" s="1"/>
      <c r="Z507" s="1"/>
      <c r="AA507" s="1"/>
      <c r="AB507" s="1"/>
      <c r="AC507" s="1"/>
      <c r="AD507" s="1"/>
      <c r="AE507" s="1"/>
      <c r="AF507" s="1"/>
      <c r="AG507" s="1"/>
      <c r="AH507" s="1"/>
    </row>
    <row r="508" ht="12.75" hidden="1" customHeight="1" outlineLevel="1">
      <c r="A508" s="17">
        <v>41120.0</v>
      </c>
      <c r="B508" s="1"/>
      <c r="C508" s="1" t="s">
        <v>339</v>
      </c>
      <c r="D508" s="74"/>
      <c r="E508" s="67"/>
      <c r="F508" s="75"/>
      <c r="G508" s="67"/>
      <c r="H508" s="68"/>
      <c r="I508" s="76"/>
      <c r="J508" s="67"/>
      <c r="K508" s="7" t="s">
        <v>603</v>
      </c>
      <c r="L508" s="77"/>
      <c r="M508" s="79"/>
      <c r="N508" s="1"/>
      <c r="O508" s="1"/>
      <c r="P508" s="1"/>
      <c r="Q508" s="1"/>
      <c r="R508" s="1"/>
      <c r="S508" s="1"/>
      <c r="T508" s="1"/>
      <c r="U508" s="1"/>
      <c r="V508" s="1"/>
      <c r="W508" s="1"/>
      <c r="X508" s="1"/>
      <c r="Y508" s="1"/>
      <c r="Z508" s="1"/>
      <c r="AA508" s="1"/>
      <c r="AB508" s="1"/>
      <c r="AC508" s="1"/>
      <c r="AD508" s="1"/>
      <c r="AE508" s="1"/>
      <c r="AF508" s="1"/>
      <c r="AG508" s="1"/>
      <c r="AH508" s="1"/>
    </row>
    <row r="509" ht="12.75" hidden="1" customHeight="1" outlineLevel="1">
      <c r="A509" s="17">
        <v>41120.0</v>
      </c>
      <c r="B509" s="1"/>
      <c r="C509" s="1" t="s">
        <v>429</v>
      </c>
      <c r="D509" s="74"/>
      <c r="E509" s="67"/>
      <c r="F509" s="75"/>
      <c r="G509" s="67"/>
      <c r="H509" s="68"/>
      <c r="I509" s="76"/>
      <c r="J509" s="67"/>
      <c r="K509" s="7" t="s">
        <v>595</v>
      </c>
      <c r="L509" s="77"/>
      <c r="M509" s="79"/>
      <c r="N509" s="1"/>
      <c r="O509" s="1"/>
      <c r="P509" s="1"/>
      <c r="Q509" s="1"/>
      <c r="R509" s="1"/>
      <c r="S509" s="1"/>
      <c r="T509" s="1"/>
      <c r="U509" s="1"/>
      <c r="V509" s="1"/>
      <c r="W509" s="1"/>
      <c r="X509" s="1"/>
      <c r="Y509" s="1"/>
      <c r="Z509" s="1"/>
      <c r="AA509" s="1"/>
      <c r="AB509" s="1"/>
      <c r="AC509" s="1"/>
      <c r="AD509" s="1"/>
      <c r="AE509" s="1"/>
      <c r="AF509" s="1"/>
      <c r="AG509" s="1"/>
      <c r="AH509" s="1"/>
    </row>
    <row r="510" ht="12.75" hidden="1" customHeight="1" outlineLevel="1">
      <c r="A510" s="17">
        <v>41120.0</v>
      </c>
      <c r="B510" s="1"/>
      <c r="C510" s="1" t="s">
        <v>431</v>
      </c>
      <c r="D510" s="74"/>
      <c r="E510" s="67"/>
      <c r="F510" s="75"/>
      <c r="G510" s="67"/>
      <c r="H510" s="68"/>
      <c r="I510" s="76"/>
      <c r="J510" s="67"/>
      <c r="K510" s="7" t="s">
        <v>502</v>
      </c>
      <c r="L510" s="77"/>
      <c r="M510" s="79"/>
      <c r="N510" s="1"/>
      <c r="O510" s="1"/>
      <c r="P510" s="1"/>
      <c r="Q510" s="1"/>
      <c r="R510" s="1"/>
      <c r="S510" s="1"/>
      <c r="T510" s="1"/>
      <c r="U510" s="1"/>
      <c r="V510" s="1"/>
      <c r="W510" s="1"/>
      <c r="X510" s="1"/>
      <c r="Y510" s="1"/>
      <c r="Z510" s="1"/>
      <c r="AA510" s="1"/>
      <c r="AB510" s="1"/>
      <c r="AC510" s="1"/>
      <c r="AD510" s="1"/>
      <c r="AE510" s="1"/>
      <c r="AF510" s="1"/>
      <c r="AG510" s="1"/>
      <c r="AH510" s="1"/>
    </row>
    <row r="511" ht="12.75" hidden="1" customHeight="1" outlineLevel="1">
      <c r="A511" s="17">
        <v>41120.0</v>
      </c>
      <c r="B511" s="1"/>
      <c r="C511" s="1" t="s">
        <v>433</v>
      </c>
      <c r="D511" s="74"/>
      <c r="E511" s="67"/>
      <c r="F511" s="75"/>
      <c r="G511" s="67"/>
      <c r="H511" s="68"/>
      <c r="I511" s="76"/>
      <c r="J511" s="67"/>
      <c r="K511" s="1" t="s">
        <v>434</v>
      </c>
      <c r="L511" s="77"/>
      <c r="M511" s="79"/>
      <c r="N511" s="1"/>
      <c r="O511" s="1"/>
      <c r="P511" s="1"/>
      <c r="Q511" s="1"/>
      <c r="R511" s="1"/>
      <c r="S511" s="1"/>
      <c r="T511" s="1"/>
      <c r="U511" s="1"/>
      <c r="V511" s="1"/>
      <c r="W511" s="1"/>
      <c r="X511" s="1"/>
      <c r="Y511" s="1"/>
      <c r="Z511" s="1"/>
      <c r="AA511" s="1"/>
      <c r="AB511" s="1"/>
      <c r="AC511" s="1"/>
      <c r="AD511" s="1"/>
      <c r="AE511" s="1"/>
      <c r="AF511" s="1"/>
      <c r="AG511" s="1"/>
      <c r="AH511" s="1"/>
    </row>
    <row r="512" ht="12.75" hidden="1" customHeight="1" outlineLevel="1">
      <c r="A512" s="17">
        <v>41120.0</v>
      </c>
      <c r="B512" s="1"/>
      <c r="C512" s="1" t="s">
        <v>435</v>
      </c>
      <c r="D512" s="74"/>
      <c r="E512" s="67"/>
      <c r="F512" s="75"/>
      <c r="G512" s="67"/>
      <c r="H512" s="68"/>
      <c r="I512" s="76"/>
      <c r="J512" s="67"/>
      <c r="K512" s="7" t="s">
        <v>525</v>
      </c>
      <c r="L512" s="77"/>
      <c r="M512" s="79"/>
      <c r="N512" s="1"/>
      <c r="O512" s="1"/>
      <c r="P512" s="1"/>
      <c r="Q512" s="1"/>
      <c r="R512" s="1"/>
      <c r="S512" s="1"/>
      <c r="T512" s="1"/>
      <c r="U512" s="1"/>
      <c r="V512" s="1"/>
      <c r="W512" s="1"/>
      <c r="X512" s="1"/>
      <c r="Y512" s="1"/>
      <c r="Z512" s="1"/>
      <c r="AA512" s="1"/>
      <c r="AB512" s="1"/>
      <c r="AC512" s="1"/>
      <c r="AD512" s="1"/>
      <c r="AE512" s="1"/>
      <c r="AF512" s="1"/>
      <c r="AG512" s="1"/>
      <c r="AH512" s="1"/>
    </row>
    <row r="513" ht="12.75" hidden="1" customHeight="1" outlineLevel="1">
      <c r="A513" s="17">
        <v>41121.0</v>
      </c>
      <c r="B513" s="1" t="s">
        <v>343</v>
      </c>
      <c r="C513" s="1" t="s">
        <v>605</v>
      </c>
      <c r="D513" s="1">
        <v>100.0</v>
      </c>
      <c r="E513" s="1">
        <v>37.82</v>
      </c>
      <c r="F513" s="75">
        <v>0.4237037037037037</v>
      </c>
      <c r="G513" s="1">
        <v>2.0120731E7</v>
      </c>
      <c r="H513" s="1">
        <v>1.0</v>
      </c>
      <c r="I513" s="76"/>
      <c r="J513" s="67">
        <f t="shared" ref="J513:J517" si="35">IF(B513="SLD",D513*E513,-D513*E513)-H513</f>
        <v>-3783</v>
      </c>
      <c r="K513" s="7"/>
      <c r="L513" s="70"/>
      <c r="M513" s="79"/>
      <c r="N513" s="1"/>
      <c r="O513" s="1"/>
      <c r="P513" s="1"/>
      <c r="Q513" s="1"/>
      <c r="R513" s="1"/>
      <c r="S513" s="1"/>
      <c r="T513" s="1"/>
      <c r="U513" s="1"/>
      <c r="V513" s="1"/>
      <c r="W513" s="1"/>
      <c r="X513" s="1"/>
      <c r="Y513" s="1"/>
      <c r="Z513" s="1"/>
      <c r="AA513" s="1"/>
      <c r="AB513" s="1"/>
      <c r="AC513" s="1"/>
      <c r="AD513" s="1"/>
      <c r="AE513" s="1"/>
      <c r="AF513" s="1"/>
      <c r="AG513" s="1"/>
      <c r="AH513" s="1"/>
    </row>
    <row r="514" ht="12.75" hidden="1" customHeight="1" outlineLevel="1">
      <c r="A514" s="17">
        <v>41121.0</v>
      </c>
      <c r="B514" s="1" t="s">
        <v>343</v>
      </c>
      <c r="C514" s="1" t="s">
        <v>605</v>
      </c>
      <c r="D514" s="1">
        <v>75.0</v>
      </c>
      <c r="E514" s="1">
        <v>37.84</v>
      </c>
      <c r="F514" s="75">
        <v>0.4237268518518518</v>
      </c>
      <c r="G514" s="1">
        <v>2.0120731E7</v>
      </c>
      <c r="H514" s="1">
        <v>0.0</v>
      </c>
      <c r="I514" s="76"/>
      <c r="J514" s="67">
        <f t="shared" si="35"/>
        <v>-2838</v>
      </c>
      <c r="K514" s="7"/>
      <c r="L514" s="70"/>
      <c r="M514" s="79"/>
      <c r="N514" s="1"/>
      <c r="O514" s="1"/>
      <c r="P514" s="1"/>
      <c r="Q514" s="1"/>
      <c r="R514" s="1"/>
      <c r="S514" s="1"/>
      <c r="T514" s="1"/>
      <c r="U514" s="1"/>
      <c r="V514" s="1"/>
      <c r="W514" s="1"/>
      <c r="X514" s="1"/>
      <c r="Y514" s="1"/>
      <c r="Z514" s="1"/>
      <c r="AA514" s="1"/>
      <c r="AB514" s="1"/>
      <c r="AC514" s="1"/>
      <c r="AD514" s="1"/>
      <c r="AE514" s="1"/>
      <c r="AF514" s="1"/>
      <c r="AG514" s="1"/>
      <c r="AH514" s="1"/>
    </row>
    <row r="515" ht="12.75" hidden="1" customHeight="1" outlineLevel="1">
      <c r="A515" s="17">
        <v>41121.0</v>
      </c>
      <c r="B515" s="1" t="s">
        <v>347</v>
      </c>
      <c r="C515" s="1" t="s">
        <v>381</v>
      </c>
      <c r="D515" s="1">
        <v>35.0</v>
      </c>
      <c r="E515" s="1">
        <v>22.07</v>
      </c>
      <c r="F515" s="75">
        <v>0.4640393518518518</v>
      </c>
      <c r="G515" s="1">
        <v>2.0120731E7</v>
      </c>
      <c r="H515" s="1">
        <v>1.0</v>
      </c>
      <c r="I515" s="76"/>
      <c r="J515" s="67">
        <f t="shared" si="35"/>
        <v>771.45</v>
      </c>
      <c r="K515" s="7"/>
      <c r="L515" s="70"/>
      <c r="M515" s="79"/>
      <c r="N515" s="1"/>
      <c r="O515" s="1"/>
      <c r="P515" s="1"/>
      <c r="Q515" s="1"/>
      <c r="R515" s="1"/>
      <c r="S515" s="1"/>
      <c r="T515" s="1"/>
      <c r="U515" s="1"/>
      <c r="V515" s="1"/>
      <c r="W515" s="1"/>
      <c r="X515" s="1"/>
      <c r="Y515" s="1"/>
      <c r="Z515" s="1"/>
      <c r="AA515" s="1"/>
      <c r="AB515" s="1"/>
      <c r="AC515" s="1"/>
      <c r="AD515" s="1"/>
      <c r="AE515" s="1"/>
      <c r="AF515" s="1"/>
      <c r="AG515" s="1"/>
      <c r="AH515" s="1"/>
    </row>
    <row r="516" ht="12.75" hidden="1" customHeight="1" outlineLevel="1">
      <c r="A516" s="17">
        <v>41121.0</v>
      </c>
      <c r="B516" s="1" t="s">
        <v>347</v>
      </c>
      <c r="C516" s="1" t="s">
        <v>381</v>
      </c>
      <c r="D516" s="1">
        <v>15.0</v>
      </c>
      <c r="E516" s="1">
        <v>22.07</v>
      </c>
      <c r="F516" s="75">
        <v>0.4640393518518518</v>
      </c>
      <c r="G516" s="1">
        <v>2.0120731E7</v>
      </c>
      <c r="H516" s="1">
        <v>0.0</v>
      </c>
      <c r="I516" s="76"/>
      <c r="J516" s="67">
        <f t="shared" si="35"/>
        <v>331.05</v>
      </c>
      <c r="K516" s="7"/>
      <c r="L516" s="70"/>
      <c r="M516" s="79"/>
      <c r="N516" s="1"/>
      <c r="O516" s="1"/>
      <c r="P516" s="1"/>
      <c r="Q516" s="1"/>
      <c r="R516" s="1"/>
      <c r="S516" s="1"/>
      <c r="T516" s="1"/>
      <c r="U516" s="1"/>
      <c r="V516" s="1"/>
      <c r="W516" s="1"/>
      <c r="X516" s="1"/>
      <c r="Y516" s="1"/>
      <c r="Z516" s="1"/>
      <c r="AA516" s="1"/>
      <c r="AB516" s="1"/>
      <c r="AC516" s="1"/>
      <c r="AD516" s="1"/>
      <c r="AE516" s="1"/>
      <c r="AF516" s="1"/>
      <c r="AG516" s="1"/>
      <c r="AH516" s="1"/>
    </row>
    <row r="517" ht="12.75" hidden="1" customHeight="1" outlineLevel="1">
      <c r="A517" s="17">
        <v>41121.0</v>
      </c>
      <c r="B517" s="1" t="s">
        <v>347</v>
      </c>
      <c r="C517" s="1" t="s">
        <v>381</v>
      </c>
      <c r="D517" s="1">
        <v>100.0</v>
      </c>
      <c r="E517" s="1">
        <v>22.07</v>
      </c>
      <c r="F517" s="75">
        <v>0.4640393518518518</v>
      </c>
      <c r="G517" s="1">
        <v>2.0120731E7</v>
      </c>
      <c r="H517" s="1">
        <v>0.0</v>
      </c>
      <c r="I517" s="76"/>
      <c r="J517" s="67">
        <f t="shared" si="35"/>
        <v>2207</v>
      </c>
      <c r="K517" s="7"/>
      <c r="L517" s="70"/>
      <c r="M517" s="79"/>
      <c r="N517" s="1"/>
      <c r="O517" s="1"/>
      <c r="P517" s="1"/>
      <c r="Q517" s="1"/>
      <c r="R517" s="1"/>
      <c r="S517" s="1"/>
      <c r="T517" s="1"/>
      <c r="U517" s="1"/>
      <c r="V517" s="1"/>
      <c r="W517" s="1"/>
      <c r="X517" s="1"/>
      <c r="Y517" s="1"/>
      <c r="Z517" s="1"/>
      <c r="AA517" s="1"/>
      <c r="AB517" s="1"/>
      <c r="AC517" s="1"/>
      <c r="AD517" s="1"/>
      <c r="AE517" s="1"/>
      <c r="AF517" s="1"/>
      <c r="AG517" s="1"/>
      <c r="AH517" s="1"/>
    </row>
    <row r="518" ht="12.75" hidden="1" customHeight="1" outlineLevel="1">
      <c r="A518" s="17">
        <v>41121.0</v>
      </c>
      <c r="B518" s="1"/>
      <c r="C518" s="1" t="s">
        <v>339</v>
      </c>
      <c r="D518" s="74"/>
      <c r="E518" s="67"/>
      <c r="F518" s="75"/>
      <c r="G518" s="67"/>
      <c r="H518" s="68"/>
      <c r="I518" s="76"/>
      <c r="J518" s="67"/>
      <c r="K518" s="7" t="s">
        <v>606</v>
      </c>
      <c r="L518" s="77"/>
      <c r="M518" s="79"/>
      <c r="N518" s="1"/>
      <c r="O518" s="1"/>
      <c r="P518" s="1"/>
      <c r="Q518" s="1"/>
      <c r="R518" s="1"/>
      <c r="S518" s="1"/>
      <c r="T518" s="1"/>
      <c r="U518" s="1"/>
      <c r="V518" s="1"/>
      <c r="W518" s="1"/>
      <c r="X518" s="1"/>
      <c r="Y518" s="1"/>
      <c r="Z518" s="1"/>
      <c r="AA518" s="1"/>
      <c r="AB518" s="1"/>
      <c r="AC518" s="1"/>
      <c r="AD518" s="1"/>
      <c r="AE518" s="1"/>
      <c r="AF518" s="1"/>
      <c r="AG518" s="1"/>
      <c r="AH518" s="1"/>
    </row>
    <row r="519" ht="12.75" hidden="1" customHeight="1" outlineLevel="1">
      <c r="A519" s="17">
        <v>41121.0</v>
      </c>
      <c r="B519" s="1"/>
      <c r="C519" s="1" t="s">
        <v>429</v>
      </c>
      <c r="D519" s="74"/>
      <c r="E519" s="67"/>
      <c r="F519" s="75"/>
      <c r="G519" s="67"/>
      <c r="H519" s="68"/>
      <c r="I519" s="76"/>
      <c r="J519" s="67"/>
      <c r="K519" s="7" t="s">
        <v>595</v>
      </c>
      <c r="L519" s="77"/>
      <c r="M519" s="79"/>
      <c r="N519" s="1"/>
      <c r="O519" s="1"/>
      <c r="P519" s="1"/>
      <c r="Q519" s="1"/>
      <c r="R519" s="1"/>
      <c r="S519" s="1"/>
      <c r="T519" s="1"/>
      <c r="U519" s="1"/>
      <c r="V519" s="1"/>
      <c r="W519" s="1"/>
      <c r="X519" s="1"/>
      <c r="Y519" s="1"/>
      <c r="Z519" s="1"/>
      <c r="AA519" s="1"/>
      <c r="AB519" s="1"/>
      <c r="AC519" s="1"/>
      <c r="AD519" s="1"/>
      <c r="AE519" s="1"/>
      <c r="AF519" s="1"/>
      <c r="AG519" s="1"/>
      <c r="AH519" s="1"/>
    </row>
    <row r="520" ht="12.75" hidden="1" customHeight="1" outlineLevel="1">
      <c r="A520" s="17">
        <v>41121.0</v>
      </c>
      <c r="B520" s="1"/>
      <c r="C520" s="1" t="s">
        <v>431</v>
      </c>
      <c r="D520" s="74"/>
      <c r="E520" s="67"/>
      <c r="F520" s="75"/>
      <c r="G520" s="67"/>
      <c r="H520" s="68"/>
      <c r="I520" s="76"/>
      <c r="J520" s="67"/>
      <c r="K520" s="7" t="s">
        <v>502</v>
      </c>
      <c r="L520" s="77"/>
      <c r="M520" s="79"/>
      <c r="N520" s="1"/>
      <c r="O520" s="1"/>
      <c r="P520" s="1"/>
      <c r="Q520" s="1"/>
      <c r="R520" s="1"/>
      <c r="S520" s="1"/>
      <c r="T520" s="1"/>
      <c r="U520" s="1"/>
      <c r="V520" s="1"/>
      <c r="W520" s="1"/>
      <c r="X520" s="1"/>
      <c r="Y520" s="1"/>
      <c r="Z520" s="1"/>
      <c r="AA520" s="1"/>
      <c r="AB520" s="1"/>
      <c r="AC520" s="1"/>
      <c r="AD520" s="1"/>
      <c r="AE520" s="1"/>
      <c r="AF520" s="1"/>
      <c r="AG520" s="1"/>
      <c r="AH520" s="1"/>
    </row>
    <row r="521" ht="12.75" hidden="1" customHeight="1" outlineLevel="1">
      <c r="A521" s="17">
        <v>41121.0</v>
      </c>
      <c r="B521" s="1"/>
      <c r="C521" s="1" t="s">
        <v>433</v>
      </c>
      <c r="D521" s="74"/>
      <c r="E521" s="67"/>
      <c r="F521" s="75"/>
      <c r="G521" s="67"/>
      <c r="H521" s="68"/>
      <c r="I521" s="76"/>
      <c r="J521" s="67"/>
      <c r="K521" s="1" t="s">
        <v>434</v>
      </c>
      <c r="L521" s="77"/>
      <c r="M521" s="79"/>
      <c r="N521" s="1"/>
      <c r="O521" s="1"/>
      <c r="P521" s="1"/>
      <c r="Q521" s="1"/>
      <c r="R521" s="1"/>
      <c r="S521" s="1"/>
      <c r="T521" s="1"/>
      <c r="U521" s="1"/>
      <c r="V521" s="1"/>
      <c r="W521" s="1"/>
      <c r="X521" s="1"/>
      <c r="Y521" s="1"/>
      <c r="Z521" s="1"/>
      <c r="AA521" s="1"/>
      <c r="AB521" s="1"/>
      <c r="AC521" s="1"/>
      <c r="AD521" s="1"/>
      <c r="AE521" s="1"/>
      <c r="AF521" s="1"/>
      <c r="AG521" s="1"/>
      <c r="AH521" s="1"/>
    </row>
    <row r="522" ht="12.75" hidden="1" customHeight="1" outlineLevel="1">
      <c r="A522" s="17">
        <v>41121.0</v>
      </c>
      <c r="B522" s="1"/>
      <c r="C522" s="1" t="s">
        <v>435</v>
      </c>
      <c r="D522" s="74"/>
      <c r="E522" s="67"/>
      <c r="F522" s="75"/>
      <c r="G522" s="67"/>
      <c r="H522" s="68"/>
      <c r="I522" s="76"/>
      <c r="J522" s="67"/>
      <c r="K522" s="7" t="s">
        <v>525</v>
      </c>
      <c r="L522" s="77"/>
      <c r="M522" s="79"/>
      <c r="N522" s="1"/>
      <c r="O522" s="1"/>
      <c r="P522" s="1"/>
      <c r="Q522" s="1"/>
      <c r="R522" s="1"/>
      <c r="S522" s="1"/>
      <c r="T522" s="1"/>
      <c r="U522" s="1"/>
      <c r="V522" s="1"/>
      <c r="W522" s="1"/>
      <c r="X522" s="1"/>
      <c r="Y522" s="1"/>
      <c r="Z522" s="1"/>
      <c r="AA522" s="1"/>
      <c r="AB522" s="1"/>
      <c r="AC522" s="1"/>
      <c r="AD522" s="1"/>
      <c r="AE522" s="1"/>
      <c r="AF522" s="1"/>
      <c r="AG522" s="1"/>
      <c r="AH522" s="1"/>
    </row>
    <row r="523" ht="12.75" hidden="1" customHeight="1" outlineLevel="1">
      <c r="A523" s="17">
        <v>41122.0</v>
      </c>
      <c r="B523" s="1" t="s">
        <v>343</v>
      </c>
      <c r="C523" s="1" t="s">
        <v>346</v>
      </c>
      <c r="D523" s="1">
        <v>25.0</v>
      </c>
      <c r="E523" s="1">
        <v>614.2</v>
      </c>
      <c r="F523" s="115">
        <v>0.40375</v>
      </c>
      <c r="G523" s="1">
        <v>2.0120801E7</v>
      </c>
      <c r="H523" s="1">
        <v>1.0</v>
      </c>
      <c r="I523" s="76"/>
      <c r="J523" s="67">
        <f t="shared" ref="J523:J525" si="36">IF(B523="SLD",D523*E523,-D523*E523)-H523</f>
        <v>-15356</v>
      </c>
      <c r="K523" s="7" t="s">
        <v>395</v>
      </c>
      <c r="L523" s="70"/>
      <c r="M523" s="79"/>
      <c r="N523" s="1"/>
      <c r="O523" s="1"/>
      <c r="P523" s="1"/>
      <c r="Q523" s="1"/>
      <c r="R523" s="1"/>
      <c r="S523" s="1"/>
      <c r="T523" s="1"/>
      <c r="U523" s="1"/>
      <c r="V523" s="1"/>
      <c r="W523" s="1"/>
      <c r="X523" s="1"/>
      <c r="Y523" s="1"/>
      <c r="Z523" s="1"/>
      <c r="AA523" s="1"/>
      <c r="AB523" s="1"/>
      <c r="AC523" s="1"/>
      <c r="AD523" s="1"/>
      <c r="AE523" s="1"/>
      <c r="AF523" s="1"/>
      <c r="AG523" s="1"/>
      <c r="AH523" s="1"/>
    </row>
    <row r="524" ht="12.75" hidden="1" customHeight="1" outlineLevel="1">
      <c r="A524" s="17">
        <v>41122.0</v>
      </c>
      <c r="B524" s="1" t="s">
        <v>347</v>
      </c>
      <c r="C524" s="1" t="s">
        <v>366</v>
      </c>
      <c r="D524" s="1">
        <v>125.0</v>
      </c>
      <c r="E524" s="1">
        <v>59.7</v>
      </c>
      <c r="F524" s="115">
        <v>0.4043287037037037</v>
      </c>
      <c r="G524" s="1">
        <v>2.0120801E7</v>
      </c>
      <c r="H524" s="1">
        <v>1.0</v>
      </c>
      <c r="I524" s="76"/>
      <c r="J524" s="67">
        <f t="shared" si="36"/>
        <v>7461.5</v>
      </c>
      <c r="K524" s="7" t="s">
        <v>607</v>
      </c>
      <c r="L524" s="70"/>
      <c r="M524" s="79"/>
      <c r="N524" s="1"/>
      <c r="O524" s="1"/>
      <c r="P524" s="1"/>
      <c r="Q524" s="1"/>
      <c r="R524" s="1"/>
      <c r="S524" s="1"/>
      <c r="T524" s="1"/>
      <c r="U524" s="1"/>
      <c r="V524" s="1"/>
      <c r="W524" s="1"/>
      <c r="X524" s="1"/>
      <c r="Y524" s="1"/>
      <c r="Z524" s="1"/>
      <c r="AA524" s="1"/>
      <c r="AB524" s="1"/>
      <c r="AC524" s="1"/>
      <c r="AD524" s="1"/>
      <c r="AE524" s="1"/>
      <c r="AF524" s="1"/>
      <c r="AG524" s="1"/>
      <c r="AH524" s="1"/>
    </row>
    <row r="525" ht="12.75" hidden="1" customHeight="1" outlineLevel="1">
      <c r="A525" s="17">
        <v>41122.0</v>
      </c>
      <c r="B525" s="1" t="s">
        <v>347</v>
      </c>
      <c r="C525" s="1" t="s">
        <v>346</v>
      </c>
      <c r="D525" s="1">
        <v>25.0</v>
      </c>
      <c r="E525" s="1">
        <v>607.5</v>
      </c>
      <c r="F525" s="115">
        <v>0.6598842592592592</v>
      </c>
      <c r="G525" s="1">
        <v>2.0120801E7</v>
      </c>
      <c r="H525" s="1">
        <v>1.0</v>
      </c>
      <c r="I525" s="76"/>
      <c r="J525" s="67">
        <f t="shared" si="36"/>
        <v>15186.5</v>
      </c>
      <c r="K525" s="7" t="s">
        <v>395</v>
      </c>
      <c r="L525" s="70"/>
      <c r="M525" s="79"/>
      <c r="N525" s="1"/>
      <c r="O525" s="1"/>
      <c r="P525" s="1"/>
      <c r="Q525" s="1"/>
      <c r="R525" s="1"/>
      <c r="S525" s="1"/>
      <c r="T525" s="1"/>
      <c r="U525" s="1"/>
      <c r="V525" s="1"/>
      <c r="W525" s="1"/>
      <c r="X525" s="1"/>
      <c r="Y525" s="1"/>
      <c r="Z525" s="1"/>
      <c r="AA525" s="1"/>
      <c r="AB525" s="1"/>
      <c r="AC525" s="1"/>
      <c r="AD525" s="1"/>
      <c r="AE525" s="1"/>
      <c r="AF525" s="1"/>
      <c r="AG525" s="1"/>
      <c r="AH525" s="1"/>
    </row>
    <row r="526" ht="12.75" hidden="1" customHeight="1" outlineLevel="1">
      <c r="A526" s="17">
        <v>41122.0</v>
      </c>
      <c r="B526" s="1"/>
      <c r="C526" s="1" t="s">
        <v>339</v>
      </c>
      <c r="D526" s="74"/>
      <c r="E526" s="67"/>
      <c r="F526" s="75"/>
      <c r="G526" s="67"/>
      <c r="H526" s="68"/>
      <c r="I526" s="76"/>
      <c r="J526" s="67"/>
      <c r="K526" s="7" t="s">
        <v>608</v>
      </c>
      <c r="L526" s="77"/>
      <c r="M526" s="79"/>
      <c r="N526" s="1"/>
      <c r="O526" s="1"/>
      <c r="P526" s="1"/>
      <c r="Q526" s="1"/>
      <c r="R526" s="1"/>
      <c r="S526" s="1"/>
      <c r="T526" s="1"/>
      <c r="U526" s="1"/>
      <c r="V526" s="1"/>
      <c r="W526" s="1"/>
      <c r="X526" s="1"/>
      <c r="Y526" s="1"/>
      <c r="Z526" s="1"/>
      <c r="AA526" s="1"/>
      <c r="AB526" s="1"/>
      <c r="AC526" s="1"/>
      <c r="AD526" s="1"/>
      <c r="AE526" s="1"/>
      <c r="AF526" s="1"/>
      <c r="AG526" s="1"/>
      <c r="AH526" s="1"/>
    </row>
    <row r="527" ht="12.75" hidden="1" customHeight="1" outlineLevel="1">
      <c r="A527" s="17">
        <v>41122.0</v>
      </c>
      <c r="B527" s="1"/>
      <c r="C527" s="1" t="s">
        <v>429</v>
      </c>
      <c r="D527" s="74"/>
      <c r="E527" s="67"/>
      <c r="F527" s="75"/>
      <c r="G527" s="67"/>
      <c r="H527" s="68"/>
      <c r="I527" s="76"/>
      <c r="J527" s="67"/>
      <c r="K527" s="7" t="s">
        <v>595</v>
      </c>
      <c r="L527" s="77"/>
      <c r="M527" s="79"/>
      <c r="N527" s="1"/>
      <c r="O527" s="1"/>
      <c r="P527" s="1"/>
      <c r="Q527" s="1"/>
      <c r="R527" s="1"/>
      <c r="S527" s="1"/>
      <c r="T527" s="1"/>
      <c r="U527" s="1"/>
      <c r="V527" s="1"/>
      <c r="W527" s="1"/>
      <c r="X527" s="1"/>
      <c r="Y527" s="1"/>
      <c r="Z527" s="1"/>
      <c r="AA527" s="1"/>
      <c r="AB527" s="1"/>
      <c r="AC527" s="1"/>
      <c r="AD527" s="1"/>
      <c r="AE527" s="1"/>
      <c r="AF527" s="1"/>
      <c r="AG527" s="1"/>
      <c r="AH527" s="1"/>
    </row>
    <row r="528" ht="12.75" hidden="1" customHeight="1" outlineLevel="1">
      <c r="A528" s="17">
        <v>41122.0</v>
      </c>
      <c r="B528" s="1"/>
      <c r="C528" s="1" t="s">
        <v>431</v>
      </c>
      <c r="D528" s="74"/>
      <c r="E528" s="67"/>
      <c r="F528" s="75"/>
      <c r="G528" s="67"/>
      <c r="H528" s="68"/>
      <c r="I528" s="76"/>
      <c r="J528" s="67"/>
      <c r="K528" s="7" t="s">
        <v>502</v>
      </c>
      <c r="L528" s="77"/>
      <c r="M528" s="79"/>
      <c r="N528" s="1"/>
      <c r="O528" s="1"/>
      <c r="P528" s="1"/>
      <c r="Q528" s="1"/>
      <c r="R528" s="1"/>
      <c r="S528" s="1"/>
      <c r="T528" s="1"/>
      <c r="U528" s="1"/>
      <c r="V528" s="1"/>
      <c r="W528" s="1"/>
      <c r="X528" s="1"/>
      <c r="Y528" s="1"/>
      <c r="Z528" s="1"/>
      <c r="AA528" s="1"/>
      <c r="AB528" s="1"/>
      <c r="AC528" s="1"/>
      <c r="AD528" s="1"/>
      <c r="AE528" s="1"/>
      <c r="AF528" s="1"/>
      <c r="AG528" s="1"/>
      <c r="AH528" s="1"/>
    </row>
    <row r="529" ht="12.75" hidden="1" customHeight="1" outlineLevel="1">
      <c r="A529" s="17">
        <v>41122.0</v>
      </c>
      <c r="B529" s="1"/>
      <c r="C529" s="1" t="s">
        <v>433</v>
      </c>
      <c r="D529" s="74"/>
      <c r="E529" s="67"/>
      <c r="F529" s="75"/>
      <c r="G529" s="67"/>
      <c r="H529" s="68"/>
      <c r="I529" s="76"/>
      <c r="J529" s="67"/>
      <c r="K529" s="1" t="s">
        <v>434</v>
      </c>
      <c r="L529" s="77"/>
      <c r="M529" s="79"/>
      <c r="N529" s="1"/>
      <c r="O529" s="1"/>
      <c r="P529" s="1"/>
      <c r="Q529" s="1"/>
      <c r="R529" s="1"/>
      <c r="S529" s="1"/>
      <c r="T529" s="1"/>
      <c r="U529" s="1"/>
      <c r="V529" s="1"/>
      <c r="W529" s="1"/>
      <c r="X529" s="1"/>
      <c r="Y529" s="1"/>
      <c r="Z529" s="1"/>
      <c r="AA529" s="1"/>
      <c r="AB529" s="1"/>
      <c r="AC529" s="1"/>
      <c r="AD529" s="1"/>
      <c r="AE529" s="1"/>
      <c r="AF529" s="1"/>
      <c r="AG529" s="1"/>
      <c r="AH529" s="1"/>
    </row>
    <row r="530" ht="12.75" hidden="1" customHeight="1" outlineLevel="1">
      <c r="A530" s="17">
        <v>41122.0</v>
      </c>
      <c r="B530" s="1"/>
      <c r="C530" s="1" t="s">
        <v>435</v>
      </c>
      <c r="D530" s="74"/>
      <c r="E530" s="67"/>
      <c r="F530" s="75"/>
      <c r="G530" s="67"/>
      <c r="H530" s="68"/>
      <c r="I530" s="76"/>
      <c r="J530" s="67"/>
      <c r="K530" s="7" t="s">
        <v>525</v>
      </c>
      <c r="L530" s="77"/>
      <c r="M530" s="79"/>
      <c r="N530" s="1"/>
      <c r="O530" s="1"/>
      <c r="P530" s="1"/>
      <c r="Q530" s="1"/>
      <c r="R530" s="1"/>
      <c r="S530" s="1"/>
      <c r="T530" s="1"/>
      <c r="U530" s="1"/>
      <c r="V530" s="1"/>
      <c r="W530" s="1"/>
      <c r="X530" s="1"/>
      <c r="Y530" s="1"/>
      <c r="Z530" s="1"/>
      <c r="AA530" s="1"/>
      <c r="AB530" s="1"/>
      <c r="AC530" s="1"/>
      <c r="AD530" s="1"/>
      <c r="AE530" s="1"/>
      <c r="AF530" s="1"/>
      <c r="AG530" s="1"/>
      <c r="AH530" s="1"/>
    </row>
    <row r="531" ht="12.75" hidden="1" customHeight="1" outlineLevel="1">
      <c r="A531" s="17">
        <v>41123.0</v>
      </c>
      <c r="B531" s="1" t="s">
        <v>343</v>
      </c>
      <c r="C531" s="1" t="s">
        <v>441</v>
      </c>
      <c r="D531" s="1">
        <v>100.0</v>
      </c>
      <c r="E531" s="1">
        <v>7.14</v>
      </c>
      <c r="F531" s="115">
        <v>0.412650462962963</v>
      </c>
      <c r="G531" s="1">
        <v>2.0120802E7</v>
      </c>
      <c r="H531" s="1">
        <v>1.0</v>
      </c>
      <c r="I531" s="76"/>
      <c r="J531" s="67">
        <f t="shared" ref="J531:J544" si="37">IF(B531="SLD",D531*E531,-D531*E531)-H531</f>
        <v>-715</v>
      </c>
      <c r="K531" s="7"/>
      <c r="L531" s="70"/>
      <c r="M531" s="79"/>
      <c r="N531" s="1"/>
      <c r="O531" s="1"/>
      <c r="P531" s="1"/>
      <c r="Q531" s="1"/>
      <c r="R531" s="1"/>
      <c r="S531" s="1"/>
      <c r="T531" s="1"/>
      <c r="U531" s="1"/>
      <c r="V531" s="1"/>
      <c r="W531" s="1"/>
      <c r="X531" s="1"/>
      <c r="Y531" s="1"/>
      <c r="Z531" s="1"/>
      <c r="AA531" s="1"/>
      <c r="AB531" s="1"/>
      <c r="AC531" s="1"/>
      <c r="AD531" s="1"/>
      <c r="AE531" s="1"/>
      <c r="AF531" s="1"/>
      <c r="AG531" s="1"/>
      <c r="AH531" s="1"/>
    </row>
    <row r="532" ht="12.75" hidden="1" customHeight="1" outlineLevel="1">
      <c r="A532" s="17">
        <v>41123.0</v>
      </c>
      <c r="B532" s="1" t="s">
        <v>343</v>
      </c>
      <c r="C532" s="1" t="s">
        <v>441</v>
      </c>
      <c r="D532" s="1">
        <v>200.0</v>
      </c>
      <c r="E532" s="1">
        <v>7.14</v>
      </c>
      <c r="F532" s="115">
        <v>0.412650462962963</v>
      </c>
      <c r="G532" s="1">
        <v>2.0120802E7</v>
      </c>
      <c r="H532" s="1">
        <v>0.5</v>
      </c>
      <c r="I532" s="76"/>
      <c r="J532" s="67">
        <f t="shared" si="37"/>
        <v>-1428.5</v>
      </c>
      <c r="K532" s="7"/>
      <c r="L532" s="70"/>
      <c r="M532" s="79"/>
      <c r="N532" s="1"/>
      <c r="O532" s="1"/>
      <c r="P532" s="1"/>
      <c r="Q532" s="1"/>
      <c r="R532" s="1"/>
      <c r="S532" s="1"/>
      <c r="T532" s="1"/>
      <c r="U532" s="1"/>
      <c r="V532" s="1"/>
      <c r="W532" s="1"/>
      <c r="X532" s="1"/>
      <c r="Y532" s="1"/>
      <c r="Z532" s="1"/>
      <c r="AA532" s="1"/>
      <c r="AB532" s="1"/>
      <c r="AC532" s="1"/>
      <c r="AD532" s="1"/>
      <c r="AE532" s="1"/>
      <c r="AF532" s="1"/>
      <c r="AG532" s="1"/>
      <c r="AH532" s="1"/>
    </row>
    <row r="533" ht="12.75" hidden="1" customHeight="1" outlineLevel="1">
      <c r="A533" s="17">
        <v>41123.0</v>
      </c>
      <c r="B533" s="1" t="s">
        <v>343</v>
      </c>
      <c r="C533" s="1" t="s">
        <v>454</v>
      </c>
      <c r="D533" s="1">
        <v>200.0</v>
      </c>
      <c r="E533" s="1">
        <v>17.8</v>
      </c>
      <c r="F533" s="115">
        <v>0.4132291666666667</v>
      </c>
      <c r="G533" s="1">
        <v>2.0120802E7</v>
      </c>
      <c r="H533" s="1">
        <v>1.0</v>
      </c>
      <c r="I533" s="76"/>
      <c r="J533" s="67">
        <f t="shared" si="37"/>
        <v>-3561</v>
      </c>
      <c r="K533" s="7"/>
      <c r="L533" s="70"/>
      <c r="M533" s="79"/>
      <c r="N533" s="1"/>
      <c r="O533" s="1"/>
      <c r="P533" s="1"/>
      <c r="Q533" s="1"/>
      <c r="R533" s="1"/>
      <c r="S533" s="1"/>
      <c r="T533" s="1"/>
      <c r="U533" s="1"/>
      <c r="V533" s="1"/>
      <c r="W533" s="1"/>
      <c r="X533" s="1"/>
      <c r="Y533" s="1"/>
      <c r="Z533" s="1"/>
      <c r="AA533" s="1"/>
      <c r="AB533" s="1"/>
      <c r="AC533" s="1"/>
      <c r="AD533" s="1"/>
      <c r="AE533" s="1"/>
      <c r="AF533" s="1"/>
      <c r="AG533" s="1"/>
      <c r="AH533" s="1"/>
    </row>
    <row r="534" ht="12.75" hidden="1" customHeight="1" outlineLevel="1">
      <c r="A534" s="17">
        <v>41123.0</v>
      </c>
      <c r="B534" s="1" t="s">
        <v>343</v>
      </c>
      <c r="C534" s="1" t="s">
        <v>442</v>
      </c>
      <c r="D534" s="1">
        <v>100.0</v>
      </c>
      <c r="E534" s="1">
        <v>71.99</v>
      </c>
      <c r="F534" s="115">
        <v>0.4395486111111111</v>
      </c>
      <c r="G534" s="1">
        <v>2.0120802E7</v>
      </c>
      <c r="H534" s="1">
        <v>1.0</v>
      </c>
      <c r="I534" s="76"/>
      <c r="J534" s="67">
        <f t="shared" si="37"/>
        <v>-7200</v>
      </c>
      <c r="K534" s="7"/>
      <c r="L534" s="70"/>
      <c r="M534" s="79"/>
      <c r="N534" s="1"/>
      <c r="O534" s="1"/>
      <c r="P534" s="1"/>
      <c r="Q534" s="1"/>
      <c r="R534" s="1"/>
      <c r="S534" s="1"/>
      <c r="T534" s="1"/>
      <c r="U534" s="1"/>
      <c r="V534" s="1"/>
      <c r="W534" s="1"/>
      <c r="X534" s="1"/>
      <c r="Y534" s="1"/>
      <c r="Z534" s="1"/>
      <c r="AA534" s="1"/>
      <c r="AB534" s="1"/>
      <c r="AC534" s="1"/>
      <c r="AD534" s="1"/>
      <c r="AE534" s="1"/>
      <c r="AF534" s="1"/>
      <c r="AG534" s="1"/>
      <c r="AH534" s="1"/>
    </row>
    <row r="535" ht="12.75" hidden="1" customHeight="1" outlineLevel="1">
      <c r="A535" s="17">
        <v>41123.0</v>
      </c>
      <c r="B535" s="1" t="s">
        <v>343</v>
      </c>
      <c r="C535" s="1" t="s">
        <v>368</v>
      </c>
      <c r="D535" s="1">
        <v>175.0</v>
      </c>
      <c r="E535" s="1">
        <v>39.08</v>
      </c>
      <c r="F535" s="115">
        <v>0.4550925925925926</v>
      </c>
      <c r="G535" s="1">
        <v>2.0120802E7</v>
      </c>
      <c r="H535" s="1">
        <v>1.0</v>
      </c>
      <c r="I535" s="76"/>
      <c r="J535" s="67">
        <f t="shared" si="37"/>
        <v>-6840</v>
      </c>
      <c r="K535" s="7"/>
      <c r="L535" s="70"/>
      <c r="M535" s="79"/>
      <c r="N535" s="1"/>
      <c r="O535" s="1"/>
      <c r="P535" s="1"/>
      <c r="Q535" s="1"/>
      <c r="R535" s="1"/>
      <c r="S535" s="1"/>
      <c r="T535" s="1"/>
      <c r="U535" s="1"/>
      <c r="V535" s="1"/>
      <c r="W535" s="1"/>
      <c r="X535" s="1"/>
      <c r="Y535" s="1"/>
      <c r="Z535" s="1"/>
      <c r="AA535" s="1"/>
      <c r="AB535" s="1"/>
      <c r="AC535" s="1"/>
      <c r="AD535" s="1"/>
      <c r="AE535" s="1"/>
      <c r="AF535" s="1"/>
      <c r="AG535" s="1"/>
      <c r="AH535" s="1"/>
    </row>
    <row r="536" ht="12.75" hidden="1" customHeight="1" outlineLevel="1">
      <c r="A536" s="17">
        <v>41123.0</v>
      </c>
      <c r="B536" s="1" t="s">
        <v>343</v>
      </c>
      <c r="C536" s="1" t="s">
        <v>344</v>
      </c>
      <c r="D536" s="1">
        <v>100.0</v>
      </c>
      <c r="E536" s="1">
        <v>30.7</v>
      </c>
      <c r="F536" s="115">
        <v>0.4781944444444444</v>
      </c>
      <c r="G536" s="1">
        <v>2.0120802E7</v>
      </c>
      <c r="H536" s="1">
        <v>1.0</v>
      </c>
      <c r="I536" s="76"/>
      <c r="J536" s="67">
        <f t="shared" si="37"/>
        <v>-3071</v>
      </c>
      <c r="K536" s="7"/>
      <c r="L536" s="70"/>
      <c r="M536" s="79"/>
      <c r="N536" s="1"/>
      <c r="O536" s="1"/>
      <c r="P536" s="1"/>
      <c r="Q536" s="1"/>
      <c r="R536" s="1"/>
      <c r="S536" s="1"/>
      <c r="T536" s="1"/>
      <c r="U536" s="1"/>
      <c r="V536" s="1"/>
      <c r="W536" s="1"/>
      <c r="X536" s="1"/>
      <c r="Y536" s="1"/>
      <c r="Z536" s="1"/>
      <c r="AA536" s="1"/>
      <c r="AB536" s="1"/>
      <c r="AC536" s="1"/>
      <c r="AD536" s="1"/>
      <c r="AE536" s="1"/>
      <c r="AF536" s="1"/>
      <c r="AG536" s="1"/>
      <c r="AH536" s="1"/>
    </row>
    <row r="537" ht="12.75" hidden="1" customHeight="1" outlineLevel="1">
      <c r="A537" s="17">
        <v>41123.0</v>
      </c>
      <c r="B537" s="1" t="s">
        <v>343</v>
      </c>
      <c r="C537" s="1" t="s">
        <v>344</v>
      </c>
      <c r="D537" s="1">
        <v>100.0</v>
      </c>
      <c r="E537" s="1">
        <v>30.699</v>
      </c>
      <c r="F537" s="115">
        <v>0.4781944444444444</v>
      </c>
      <c r="G537" s="1">
        <v>2.0120802E7</v>
      </c>
      <c r="H537" s="1">
        <v>0.0</v>
      </c>
      <c r="I537" s="76"/>
      <c r="J537" s="67">
        <f t="shared" si="37"/>
        <v>-3069.9</v>
      </c>
      <c r="K537" s="7"/>
      <c r="L537" s="70"/>
      <c r="M537" s="79"/>
      <c r="N537" s="1"/>
      <c r="O537" s="1"/>
      <c r="P537" s="1"/>
      <c r="Q537" s="1"/>
      <c r="R537" s="1"/>
      <c r="S537" s="1"/>
      <c r="T537" s="1"/>
      <c r="U537" s="1"/>
      <c r="V537" s="1"/>
      <c r="W537" s="1"/>
      <c r="X537" s="1"/>
      <c r="Y537" s="1"/>
      <c r="Z537" s="1"/>
      <c r="AA537" s="1"/>
      <c r="AB537" s="1"/>
      <c r="AC537" s="1"/>
      <c r="AD537" s="1"/>
      <c r="AE537" s="1"/>
      <c r="AF537" s="1"/>
      <c r="AG537" s="1"/>
      <c r="AH537" s="1"/>
    </row>
    <row r="538" ht="12.75" hidden="1" customHeight="1" outlineLevel="1">
      <c r="A538" s="17">
        <v>41123.0</v>
      </c>
      <c r="B538" s="1" t="s">
        <v>343</v>
      </c>
      <c r="C538" s="1" t="s">
        <v>344</v>
      </c>
      <c r="D538" s="1">
        <v>200.0</v>
      </c>
      <c r="E538" s="1">
        <v>30.7</v>
      </c>
      <c r="F538" s="115">
        <v>0.4781944444444444</v>
      </c>
      <c r="G538" s="1">
        <v>2.0120802E7</v>
      </c>
      <c r="H538" s="1">
        <v>0.6</v>
      </c>
      <c r="I538" s="76"/>
      <c r="J538" s="67">
        <f t="shared" si="37"/>
        <v>-6140.6</v>
      </c>
      <c r="K538" s="7"/>
      <c r="L538" s="70"/>
      <c r="M538" s="79"/>
      <c r="N538" s="1"/>
      <c r="O538" s="1"/>
      <c r="P538" s="1"/>
      <c r="Q538" s="1"/>
      <c r="R538" s="1"/>
      <c r="S538" s="1"/>
      <c r="T538" s="1"/>
      <c r="U538" s="1"/>
      <c r="V538" s="1"/>
      <c r="W538" s="1"/>
      <c r="X538" s="1"/>
      <c r="Y538" s="1"/>
      <c r="Z538" s="1"/>
      <c r="AA538" s="1"/>
      <c r="AB538" s="1"/>
      <c r="AC538" s="1"/>
      <c r="AD538" s="1"/>
      <c r="AE538" s="1"/>
      <c r="AF538" s="1"/>
      <c r="AG538" s="1"/>
      <c r="AH538" s="1"/>
    </row>
    <row r="539" ht="12.75" hidden="1" customHeight="1" outlineLevel="1">
      <c r="A539" s="17">
        <v>41123.0</v>
      </c>
      <c r="B539" s="1" t="s">
        <v>343</v>
      </c>
      <c r="C539" s="1" t="s">
        <v>344</v>
      </c>
      <c r="D539" s="1">
        <v>100.0</v>
      </c>
      <c r="E539" s="1">
        <v>30.699</v>
      </c>
      <c r="F539" s="115">
        <v>0.4781944444444444</v>
      </c>
      <c r="G539" s="1">
        <v>2.0120802E7</v>
      </c>
      <c r="H539" s="1">
        <v>0.4</v>
      </c>
      <c r="I539" s="76"/>
      <c r="J539" s="67">
        <f t="shared" si="37"/>
        <v>-3070.3</v>
      </c>
      <c r="K539" s="7"/>
      <c r="L539" s="70"/>
      <c r="M539" s="79"/>
      <c r="N539" s="1"/>
      <c r="O539" s="1"/>
      <c r="P539" s="1"/>
      <c r="Q539" s="1"/>
      <c r="R539" s="1"/>
      <c r="S539" s="1"/>
      <c r="T539" s="1"/>
      <c r="U539" s="1"/>
      <c r="V539" s="1"/>
      <c r="W539" s="1"/>
      <c r="X539" s="1"/>
      <c r="Y539" s="1"/>
      <c r="Z539" s="1"/>
      <c r="AA539" s="1"/>
      <c r="AB539" s="1"/>
      <c r="AC539" s="1"/>
      <c r="AD539" s="1"/>
      <c r="AE539" s="1"/>
      <c r="AF539" s="1"/>
      <c r="AG539" s="1"/>
      <c r="AH539" s="1"/>
    </row>
    <row r="540" ht="12.75" hidden="1" customHeight="1" outlineLevel="1">
      <c r="A540" s="17">
        <v>41123.0</v>
      </c>
      <c r="B540" s="1" t="s">
        <v>343</v>
      </c>
      <c r="C540" s="1" t="s">
        <v>344</v>
      </c>
      <c r="D540" s="1">
        <v>100.0</v>
      </c>
      <c r="E540" s="1">
        <v>30.7</v>
      </c>
      <c r="F540" s="115">
        <v>0.4781944444444444</v>
      </c>
      <c r="G540" s="1">
        <v>2.0120802E7</v>
      </c>
      <c r="H540" s="1">
        <v>0.4</v>
      </c>
      <c r="I540" s="76"/>
      <c r="J540" s="67">
        <f t="shared" si="37"/>
        <v>-3070.4</v>
      </c>
      <c r="K540" s="7"/>
      <c r="L540" s="70"/>
      <c r="M540" s="79"/>
      <c r="N540" s="1"/>
      <c r="O540" s="1"/>
      <c r="P540" s="1"/>
      <c r="Q540" s="1"/>
      <c r="R540" s="1"/>
      <c r="S540" s="1"/>
      <c r="T540" s="1"/>
      <c r="U540" s="1"/>
      <c r="V540" s="1"/>
      <c r="W540" s="1"/>
      <c r="X540" s="1"/>
      <c r="Y540" s="1"/>
      <c r="Z540" s="1"/>
      <c r="AA540" s="1"/>
      <c r="AB540" s="1"/>
      <c r="AC540" s="1"/>
      <c r="AD540" s="1"/>
      <c r="AE540" s="1"/>
      <c r="AF540" s="1"/>
      <c r="AG540" s="1"/>
      <c r="AH540" s="1"/>
    </row>
    <row r="541" ht="12.75" hidden="1" customHeight="1" outlineLevel="1">
      <c r="A541" s="17">
        <v>41123.0</v>
      </c>
      <c r="B541" s="1" t="s">
        <v>343</v>
      </c>
      <c r="C541" s="1" t="s">
        <v>344</v>
      </c>
      <c r="D541" s="1">
        <v>100.0</v>
      </c>
      <c r="E541" s="1">
        <v>30.7</v>
      </c>
      <c r="F541" s="115">
        <v>0.4781944444444444</v>
      </c>
      <c r="G541" s="1">
        <v>2.0120802E7</v>
      </c>
      <c r="H541" s="1">
        <v>0.4</v>
      </c>
      <c r="I541" s="76"/>
      <c r="J541" s="67">
        <f t="shared" si="37"/>
        <v>-3070.4</v>
      </c>
      <c r="K541" s="7"/>
      <c r="L541" s="70"/>
      <c r="M541" s="79"/>
      <c r="N541" s="1"/>
      <c r="O541" s="1"/>
      <c r="P541" s="1"/>
      <c r="Q541" s="1"/>
      <c r="R541" s="1"/>
      <c r="S541" s="1"/>
      <c r="T541" s="1"/>
      <c r="U541" s="1"/>
      <c r="V541" s="1"/>
      <c r="W541" s="1"/>
      <c r="X541" s="1"/>
      <c r="Y541" s="1"/>
      <c r="Z541" s="1"/>
      <c r="AA541" s="1"/>
      <c r="AB541" s="1"/>
      <c r="AC541" s="1"/>
      <c r="AD541" s="1"/>
      <c r="AE541" s="1"/>
      <c r="AF541" s="1"/>
      <c r="AG541" s="1"/>
      <c r="AH541" s="1"/>
    </row>
    <row r="542" ht="12.75" hidden="1" customHeight="1" outlineLevel="1">
      <c r="A542" s="17">
        <v>41123.0</v>
      </c>
      <c r="B542" s="1" t="s">
        <v>343</v>
      </c>
      <c r="C542" s="1" t="s">
        <v>344</v>
      </c>
      <c r="D542" s="1">
        <v>100.0</v>
      </c>
      <c r="E542" s="1">
        <v>30.7</v>
      </c>
      <c r="F542" s="115">
        <v>0.4781944444444444</v>
      </c>
      <c r="G542" s="1">
        <v>2.0120802E7</v>
      </c>
      <c r="H542" s="1">
        <v>0.5</v>
      </c>
      <c r="I542" s="76"/>
      <c r="J542" s="67">
        <f t="shared" si="37"/>
        <v>-3070.5</v>
      </c>
      <c r="K542" s="7"/>
      <c r="L542" s="70"/>
      <c r="M542" s="79"/>
      <c r="N542" s="1"/>
      <c r="O542" s="1"/>
      <c r="P542" s="1"/>
      <c r="Q542" s="1"/>
      <c r="R542" s="1"/>
      <c r="S542" s="1"/>
      <c r="T542" s="1"/>
      <c r="U542" s="1"/>
      <c r="V542" s="1"/>
      <c r="W542" s="1"/>
      <c r="X542" s="1"/>
      <c r="Y542" s="1"/>
      <c r="Z542" s="1"/>
      <c r="AA542" s="1"/>
      <c r="AB542" s="1"/>
      <c r="AC542" s="1"/>
      <c r="AD542" s="1"/>
      <c r="AE542" s="1"/>
      <c r="AF542" s="1"/>
      <c r="AG542" s="1"/>
      <c r="AH542" s="1"/>
    </row>
    <row r="543" ht="12.75" hidden="1" customHeight="1" outlineLevel="1">
      <c r="A543" s="17">
        <v>41123.0</v>
      </c>
      <c r="B543" s="1" t="s">
        <v>343</v>
      </c>
      <c r="C543" s="1" t="s">
        <v>366</v>
      </c>
      <c r="D543" s="1">
        <v>90.0</v>
      </c>
      <c r="E543" s="1">
        <v>60.08</v>
      </c>
      <c r="F543" s="115">
        <v>0.6181018518518518</v>
      </c>
      <c r="G543" s="1">
        <v>2.0120802E7</v>
      </c>
      <c r="H543" s="1">
        <v>1.0</v>
      </c>
      <c r="I543" s="76"/>
      <c r="J543" s="67">
        <f t="shared" si="37"/>
        <v>-5408.2</v>
      </c>
      <c r="K543" s="7"/>
      <c r="L543" s="70"/>
      <c r="M543" s="79"/>
      <c r="N543" s="1"/>
      <c r="O543" s="1"/>
      <c r="P543" s="1"/>
      <c r="Q543" s="1"/>
      <c r="R543" s="1"/>
      <c r="S543" s="1"/>
      <c r="T543" s="1"/>
      <c r="U543" s="1"/>
      <c r="V543" s="1"/>
      <c r="W543" s="1"/>
      <c r="X543" s="1"/>
      <c r="Y543" s="1"/>
      <c r="Z543" s="1"/>
      <c r="AA543" s="1"/>
      <c r="AB543" s="1"/>
      <c r="AC543" s="1"/>
      <c r="AD543" s="1"/>
      <c r="AE543" s="1"/>
      <c r="AF543" s="1"/>
      <c r="AG543" s="1"/>
      <c r="AH543" s="1"/>
    </row>
    <row r="544" ht="12.75" hidden="1" customHeight="1" outlineLevel="1">
      <c r="A544" s="17">
        <v>41123.0</v>
      </c>
      <c r="B544" s="1" t="s">
        <v>343</v>
      </c>
      <c r="C544" s="1" t="s">
        <v>366</v>
      </c>
      <c r="D544" s="1">
        <v>35.0</v>
      </c>
      <c r="E544" s="1">
        <v>60.08</v>
      </c>
      <c r="F544" s="115">
        <v>0.6181018518518518</v>
      </c>
      <c r="G544" s="1">
        <v>2.0120802E7</v>
      </c>
      <c r="H544" s="1">
        <v>0.0</v>
      </c>
      <c r="I544" s="76"/>
      <c r="J544" s="67">
        <f t="shared" si="37"/>
        <v>-2102.8</v>
      </c>
      <c r="K544" s="7"/>
      <c r="L544" s="70"/>
      <c r="M544" s="79"/>
      <c r="N544" s="1"/>
      <c r="O544" s="1"/>
      <c r="P544" s="1"/>
      <c r="Q544" s="1"/>
      <c r="R544" s="1"/>
      <c r="S544" s="1"/>
      <c r="T544" s="1"/>
      <c r="U544" s="1"/>
      <c r="V544" s="1"/>
      <c r="W544" s="1"/>
      <c r="X544" s="1"/>
      <c r="Y544" s="1"/>
      <c r="Z544" s="1"/>
      <c r="AA544" s="1"/>
      <c r="AB544" s="1"/>
      <c r="AC544" s="1"/>
      <c r="AD544" s="1"/>
      <c r="AE544" s="1"/>
      <c r="AF544" s="1"/>
      <c r="AG544" s="1"/>
      <c r="AH544" s="1"/>
    </row>
    <row r="545" ht="12.75" hidden="1" customHeight="1" outlineLevel="1">
      <c r="A545" s="17">
        <v>41123.0</v>
      </c>
      <c r="B545" s="1"/>
      <c r="C545" s="1" t="s">
        <v>339</v>
      </c>
      <c r="D545" s="74"/>
      <c r="E545" s="67"/>
      <c r="F545" s="75"/>
      <c r="G545" s="67"/>
      <c r="H545" s="68"/>
      <c r="I545" s="76"/>
      <c r="J545" s="67"/>
      <c r="K545" s="7" t="s">
        <v>613</v>
      </c>
      <c r="L545" s="77"/>
      <c r="M545" s="79"/>
      <c r="N545" s="1"/>
      <c r="O545" s="1"/>
      <c r="P545" s="1"/>
      <c r="Q545" s="1"/>
      <c r="R545" s="1"/>
      <c r="S545" s="1"/>
      <c r="T545" s="1"/>
      <c r="U545" s="1"/>
      <c r="V545" s="1"/>
      <c r="W545" s="1"/>
      <c r="X545" s="1"/>
      <c r="Y545" s="1"/>
      <c r="Z545" s="1"/>
      <c r="AA545" s="1"/>
      <c r="AB545" s="1"/>
      <c r="AC545" s="1"/>
      <c r="AD545" s="1"/>
      <c r="AE545" s="1"/>
      <c r="AF545" s="1"/>
      <c r="AG545" s="1"/>
      <c r="AH545" s="1"/>
    </row>
    <row r="546" ht="12.75" hidden="1" customHeight="1" outlineLevel="1">
      <c r="A546" s="17">
        <v>41123.0</v>
      </c>
      <c r="B546" s="1"/>
      <c r="C546" s="1" t="s">
        <v>429</v>
      </c>
      <c r="D546" s="74"/>
      <c r="E546" s="67"/>
      <c r="F546" s="75"/>
      <c r="G546" s="67"/>
      <c r="H546" s="68"/>
      <c r="I546" s="76"/>
      <c r="J546" s="67"/>
      <c r="K546" s="7" t="s">
        <v>595</v>
      </c>
      <c r="L546" s="77"/>
      <c r="M546" s="79"/>
      <c r="N546" s="1"/>
      <c r="O546" s="1"/>
      <c r="P546" s="1"/>
      <c r="Q546" s="1"/>
      <c r="R546" s="1"/>
      <c r="S546" s="1"/>
      <c r="T546" s="1"/>
      <c r="U546" s="1"/>
      <c r="V546" s="1"/>
      <c r="W546" s="1"/>
      <c r="X546" s="1"/>
      <c r="Y546" s="1"/>
      <c r="Z546" s="1"/>
      <c r="AA546" s="1"/>
      <c r="AB546" s="1"/>
      <c r="AC546" s="1"/>
      <c r="AD546" s="1"/>
      <c r="AE546" s="1"/>
      <c r="AF546" s="1"/>
      <c r="AG546" s="1"/>
      <c r="AH546" s="1"/>
    </row>
    <row r="547" ht="12.75" hidden="1" customHeight="1" outlineLevel="1">
      <c r="A547" s="17">
        <v>41123.0</v>
      </c>
      <c r="B547" s="1"/>
      <c r="C547" s="1" t="s">
        <v>431</v>
      </c>
      <c r="D547" s="74"/>
      <c r="E547" s="67"/>
      <c r="F547" s="75"/>
      <c r="G547" s="67"/>
      <c r="H547" s="68"/>
      <c r="I547" s="76"/>
      <c r="J547" s="67"/>
      <c r="K547" s="7" t="s">
        <v>502</v>
      </c>
      <c r="L547" s="77"/>
      <c r="M547" s="79"/>
      <c r="N547" s="1"/>
      <c r="O547" s="1"/>
      <c r="P547" s="1"/>
      <c r="Q547" s="1"/>
      <c r="R547" s="1"/>
      <c r="S547" s="1"/>
      <c r="T547" s="1"/>
      <c r="U547" s="1"/>
      <c r="V547" s="1"/>
      <c r="W547" s="1"/>
      <c r="X547" s="1"/>
      <c r="Y547" s="1"/>
      <c r="Z547" s="1"/>
      <c r="AA547" s="1"/>
      <c r="AB547" s="1"/>
      <c r="AC547" s="1"/>
      <c r="AD547" s="1"/>
      <c r="AE547" s="1"/>
      <c r="AF547" s="1"/>
      <c r="AG547" s="1"/>
      <c r="AH547" s="1"/>
    </row>
    <row r="548" ht="12.75" hidden="1" customHeight="1" outlineLevel="1">
      <c r="A548" s="17">
        <v>41123.0</v>
      </c>
      <c r="B548" s="1"/>
      <c r="C548" s="1" t="s">
        <v>433</v>
      </c>
      <c r="D548" s="74"/>
      <c r="E548" s="67"/>
      <c r="F548" s="75"/>
      <c r="G548" s="67"/>
      <c r="H548" s="68"/>
      <c r="I548" s="76"/>
      <c r="J548" s="67"/>
      <c r="K548" s="1" t="s">
        <v>434</v>
      </c>
      <c r="L548" s="77"/>
      <c r="M548" s="79"/>
      <c r="N548" s="1"/>
      <c r="O548" s="1"/>
      <c r="P548" s="1"/>
      <c r="Q548" s="1"/>
      <c r="R548" s="1"/>
      <c r="S548" s="1"/>
      <c r="T548" s="1"/>
      <c r="U548" s="1"/>
      <c r="V548" s="1"/>
      <c r="W548" s="1"/>
      <c r="X548" s="1"/>
      <c r="Y548" s="1"/>
      <c r="Z548" s="1"/>
      <c r="AA548" s="1"/>
      <c r="AB548" s="1"/>
      <c r="AC548" s="1"/>
      <c r="AD548" s="1"/>
      <c r="AE548" s="1"/>
      <c r="AF548" s="1"/>
      <c r="AG548" s="1"/>
      <c r="AH548" s="1"/>
    </row>
    <row r="549" ht="12.75" hidden="1" customHeight="1" outlineLevel="1">
      <c r="A549" s="17">
        <v>41123.0</v>
      </c>
      <c r="B549" s="1"/>
      <c r="C549" s="1" t="s">
        <v>435</v>
      </c>
      <c r="D549" s="74"/>
      <c r="E549" s="67"/>
      <c r="F549" s="75"/>
      <c r="G549" s="67"/>
      <c r="H549" s="68"/>
      <c r="I549" s="76"/>
      <c r="J549" s="67"/>
      <c r="K549" s="7" t="s">
        <v>525</v>
      </c>
      <c r="L549" s="77"/>
      <c r="M549" s="79"/>
      <c r="N549" s="1"/>
      <c r="O549" s="1"/>
      <c r="P549" s="1"/>
      <c r="Q549" s="1"/>
      <c r="R549" s="1"/>
      <c r="S549" s="1"/>
      <c r="T549" s="1"/>
      <c r="U549" s="1"/>
      <c r="V549" s="1"/>
      <c r="W549" s="1"/>
      <c r="X549" s="1"/>
      <c r="Y549" s="1"/>
      <c r="Z549" s="1"/>
      <c r="AA549" s="1"/>
      <c r="AB549" s="1"/>
      <c r="AC549" s="1"/>
      <c r="AD549" s="1"/>
      <c r="AE549" s="1"/>
      <c r="AF549" s="1"/>
      <c r="AG549" s="1"/>
      <c r="AH549" s="1"/>
    </row>
    <row r="550" ht="12.75" hidden="1" customHeight="1" outlineLevel="1">
      <c r="A550" s="17">
        <v>41124.0</v>
      </c>
      <c r="B550" s="1" t="s">
        <v>347</v>
      </c>
      <c r="C550" s="1" t="s">
        <v>441</v>
      </c>
      <c r="D550" s="1">
        <v>44.0</v>
      </c>
      <c r="E550" s="1">
        <v>6.8</v>
      </c>
      <c r="F550" s="115">
        <v>0.39947916666666666</v>
      </c>
      <c r="G550" s="1">
        <v>2.0120803E7</v>
      </c>
      <c r="H550" s="1">
        <v>1.0</v>
      </c>
      <c r="I550" s="76"/>
      <c r="J550" s="67">
        <f t="shared" ref="J550:J554" si="38">IF(B550="SLD",D550*E550,-D550*E550)-H550</f>
        <v>298.2</v>
      </c>
      <c r="K550" s="7"/>
      <c r="L550" s="70"/>
      <c r="M550" s="79"/>
      <c r="N550" s="1"/>
      <c r="O550" s="1"/>
      <c r="P550" s="1"/>
      <c r="Q550" s="1"/>
      <c r="R550" s="1"/>
      <c r="S550" s="1"/>
      <c r="T550" s="1"/>
      <c r="U550" s="1"/>
      <c r="V550" s="1"/>
      <c r="W550" s="1"/>
      <c r="X550" s="1"/>
      <c r="Y550" s="1"/>
      <c r="Z550" s="1"/>
      <c r="AA550" s="1"/>
      <c r="AB550" s="1"/>
      <c r="AC550" s="1"/>
      <c r="AD550" s="1"/>
      <c r="AE550" s="1"/>
      <c r="AF550" s="1"/>
      <c r="AG550" s="1"/>
      <c r="AH550" s="1"/>
    </row>
    <row r="551" ht="12.75" hidden="1" customHeight="1" outlineLevel="1">
      <c r="A551" s="17">
        <v>41124.0</v>
      </c>
      <c r="B551" s="1" t="s">
        <v>347</v>
      </c>
      <c r="C551" s="1" t="s">
        <v>441</v>
      </c>
      <c r="D551" s="1">
        <v>56.0</v>
      </c>
      <c r="E551" s="1">
        <v>6.8</v>
      </c>
      <c r="F551" s="115">
        <v>0.39947916666666666</v>
      </c>
      <c r="G551" s="1">
        <v>2.0120803E7</v>
      </c>
      <c r="H551" s="1">
        <v>0.0</v>
      </c>
      <c r="I551" s="76"/>
      <c r="J551" s="67">
        <f t="shared" si="38"/>
        <v>380.8</v>
      </c>
      <c r="K551" s="7"/>
      <c r="L551" s="70"/>
      <c r="M551" s="79"/>
      <c r="N551" s="1"/>
      <c r="O551" s="1"/>
      <c r="P551" s="1"/>
      <c r="Q551" s="1"/>
      <c r="R551" s="1"/>
      <c r="S551" s="1"/>
      <c r="T551" s="1"/>
      <c r="U551" s="1"/>
      <c r="V551" s="1"/>
      <c r="W551" s="1"/>
      <c r="X551" s="1"/>
      <c r="Y551" s="1"/>
      <c r="Z551" s="1"/>
      <c r="AA551" s="1"/>
      <c r="AB551" s="1"/>
      <c r="AC551" s="1"/>
      <c r="AD551" s="1"/>
      <c r="AE551" s="1"/>
      <c r="AF551" s="1"/>
      <c r="AG551" s="1"/>
      <c r="AH551" s="1"/>
    </row>
    <row r="552" ht="12.75" hidden="1" customHeight="1" outlineLevel="1">
      <c r="A552" s="17">
        <v>41124.0</v>
      </c>
      <c r="B552" s="1" t="s">
        <v>347</v>
      </c>
      <c r="C552" s="1" t="s">
        <v>441</v>
      </c>
      <c r="D552" s="1">
        <v>300.0</v>
      </c>
      <c r="E552" s="1">
        <v>6.8</v>
      </c>
      <c r="F552" s="115">
        <v>0.39947916666666666</v>
      </c>
      <c r="G552" s="1">
        <v>2.0120803E7</v>
      </c>
      <c r="H552" s="1">
        <v>1.0</v>
      </c>
      <c r="I552" s="76"/>
      <c r="J552" s="67">
        <f t="shared" si="38"/>
        <v>2039</v>
      </c>
      <c r="K552" s="7"/>
      <c r="L552" s="70"/>
      <c r="M552" s="79"/>
      <c r="N552" s="1"/>
      <c r="O552" s="1"/>
      <c r="P552" s="1"/>
      <c r="Q552" s="1"/>
      <c r="R552" s="1"/>
      <c r="S552" s="1"/>
      <c r="T552" s="1"/>
      <c r="U552" s="1"/>
      <c r="V552" s="1"/>
      <c r="W552" s="1"/>
      <c r="X552" s="1"/>
      <c r="Y552" s="1"/>
      <c r="Z552" s="1"/>
      <c r="AA552" s="1"/>
      <c r="AB552" s="1"/>
      <c r="AC552" s="1"/>
      <c r="AD552" s="1"/>
      <c r="AE552" s="1"/>
      <c r="AF552" s="1"/>
      <c r="AG552" s="1"/>
      <c r="AH552" s="1"/>
    </row>
    <row r="553" ht="12.75" hidden="1" customHeight="1" outlineLevel="1">
      <c r="A553" s="17">
        <v>41124.0</v>
      </c>
      <c r="B553" s="1" t="s">
        <v>347</v>
      </c>
      <c r="C553" s="1" t="s">
        <v>614</v>
      </c>
      <c r="D553" s="1">
        <v>500.0</v>
      </c>
      <c r="E553" s="1">
        <v>5.96</v>
      </c>
      <c r="F553" s="115">
        <v>0.40002314814814816</v>
      </c>
      <c r="G553" s="1">
        <v>2.0120803E7</v>
      </c>
      <c r="H553" s="1">
        <v>2.5</v>
      </c>
      <c r="I553" s="76"/>
      <c r="J553" s="67">
        <f t="shared" si="38"/>
        <v>2977.5</v>
      </c>
      <c r="K553" s="7"/>
      <c r="L553" s="70"/>
      <c r="M553" s="79"/>
      <c r="N553" s="1"/>
      <c r="O553" s="1"/>
      <c r="P553" s="1"/>
      <c r="Q553" s="1"/>
      <c r="R553" s="1"/>
      <c r="S553" s="1"/>
      <c r="T553" s="1"/>
      <c r="U553" s="1"/>
      <c r="V553" s="1"/>
      <c r="W553" s="1"/>
      <c r="X553" s="1"/>
      <c r="Y553" s="1"/>
      <c r="Z553" s="1"/>
      <c r="AA553" s="1"/>
      <c r="AB553" s="1"/>
      <c r="AC553" s="1"/>
      <c r="AD553" s="1"/>
      <c r="AE553" s="1"/>
      <c r="AF553" s="1"/>
      <c r="AG553" s="1"/>
      <c r="AH553" s="1"/>
    </row>
    <row r="554" ht="12.75" hidden="1" customHeight="1" outlineLevel="1">
      <c r="A554" s="17">
        <v>41124.0</v>
      </c>
      <c r="B554" s="1" t="s">
        <v>343</v>
      </c>
      <c r="C554" s="1" t="s">
        <v>346</v>
      </c>
      <c r="D554" s="1">
        <v>25.0</v>
      </c>
      <c r="E554" s="1">
        <v>615.77</v>
      </c>
      <c r="F554" s="115">
        <v>0.43766203703703704</v>
      </c>
      <c r="G554" s="1">
        <v>2.0120803E7</v>
      </c>
      <c r="H554" s="1">
        <v>1.0</v>
      </c>
      <c r="I554" s="76"/>
      <c r="J554" s="67">
        <f t="shared" si="38"/>
        <v>-15395.25</v>
      </c>
      <c r="K554" s="7"/>
      <c r="L554" s="70"/>
      <c r="M554" s="79"/>
      <c r="N554" s="1"/>
      <c r="O554" s="1"/>
      <c r="P554" s="1"/>
      <c r="Q554" s="1"/>
      <c r="R554" s="1"/>
      <c r="S554" s="1"/>
      <c r="T554" s="1"/>
      <c r="U554" s="1"/>
      <c r="V554" s="1"/>
      <c r="W554" s="1"/>
      <c r="X554" s="1"/>
      <c r="Y554" s="1"/>
      <c r="Z554" s="1"/>
      <c r="AA554" s="1"/>
      <c r="AB554" s="1"/>
      <c r="AC554" s="1"/>
      <c r="AD554" s="1"/>
      <c r="AE554" s="1"/>
      <c r="AF554" s="1"/>
      <c r="AG554" s="1"/>
      <c r="AH554" s="1"/>
    </row>
    <row r="555" ht="12.75" hidden="1" customHeight="1" outlineLevel="1">
      <c r="A555" s="17">
        <v>41124.0</v>
      </c>
      <c r="B555" s="1"/>
      <c r="C555" s="1" t="s">
        <v>339</v>
      </c>
      <c r="D555" s="74"/>
      <c r="E555" s="67"/>
      <c r="F555" s="75"/>
      <c r="G555" s="67"/>
      <c r="H555" s="68"/>
      <c r="I555" s="76"/>
      <c r="J555" s="67"/>
      <c r="K555" s="7" t="s">
        <v>615</v>
      </c>
      <c r="L555" s="77"/>
      <c r="M555" s="79"/>
      <c r="N555" s="1"/>
      <c r="O555" s="1"/>
      <c r="P555" s="1"/>
      <c r="Q555" s="1"/>
      <c r="R555" s="1"/>
      <c r="S555" s="1"/>
      <c r="T555" s="1"/>
      <c r="U555" s="1"/>
      <c r="V555" s="1"/>
      <c r="W555" s="1"/>
      <c r="X555" s="1"/>
      <c r="Y555" s="1"/>
      <c r="Z555" s="1"/>
      <c r="AA555" s="1"/>
      <c r="AB555" s="1"/>
      <c r="AC555" s="1"/>
      <c r="AD555" s="1"/>
      <c r="AE555" s="1"/>
      <c r="AF555" s="1"/>
      <c r="AG555" s="1"/>
      <c r="AH555" s="1"/>
    </row>
    <row r="556" ht="12.75" hidden="1" customHeight="1" outlineLevel="1">
      <c r="A556" s="17">
        <v>41124.0</v>
      </c>
      <c r="B556" s="1"/>
      <c r="C556" s="1" t="s">
        <v>429</v>
      </c>
      <c r="D556" s="74"/>
      <c r="E556" s="67"/>
      <c r="F556" s="75"/>
      <c r="G556" s="67"/>
      <c r="H556" s="68"/>
      <c r="I556" s="76"/>
      <c r="J556" s="67"/>
      <c r="K556" s="7" t="s">
        <v>595</v>
      </c>
      <c r="L556" s="77"/>
      <c r="M556" s="79"/>
      <c r="N556" s="1"/>
      <c r="O556" s="1"/>
      <c r="P556" s="1"/>
      <c r="Q556" s="1"/>
      <c r="R556" s="1"/>
      <c r="S556" s="1"/>
      <c r="T556" s="1"/>
      <c r="U556" s="1"/>
      <c r="V556" s="1"/>
      <c r="W556" s="1"/>
      <c r="X556" s="1"/>
      <c r="Y556" s="1"/>
      <c r="Z556" s="1"/>
      <c r="AA556" s="1"/>
      <c r="AB556" s="1"/>
      <c r="AC556" s="1"/>
      <c r="AD556" s="1"/>
      <c r="AE556" s="1"/>
      <c r="AF556" s="1"/>
      <c r="AG556" s="1"/>
      <c r="AH556" s="1"/>
    </row>
    <row r="557" ht="12.75" hidden="1" customHeight="1" outlineLevel="1">
      <c r="A557" s="17">
        <v>41124.0</v>
      </c>
      <c r="B557" s="1"/>
      <c r="C557" s="1" t="s">
        <v>431</v>
      </c>
      <c r="D557" s="74"/>
      <c r="E557" s="67"/>
      <c r="F557" s="75"/>
      <c r="G557" s="67"/>
      <c r="H557" s="68"/>
      <c r="I557" s="76"/>
      <c r="J557" s="67"/>
      <c r="K557" s="7" t="s">
        <v>502</v>
      </c>
      <c r="L557" s="77"/>
      <c r="M557" s="79"/>
      <c r="N557" s="1"/>
      <c r="O557" s="1"/>
      <c r="P557" s="1"/>
      <c r="Q557" s="1"/>
      <c r="R557" s="1"/>
      <c r="S557" s="1"/>
      <c r="T557" s="1"/>
      <c r="U557" s="1"/>
      <c r="V557" s="1"/>
      <c r="W557" s="1"/>
      <c r="X557" s="1"/>
      <c r="Y557" s="1"/>
      <c r="Z557" s="1"/>
      <c r="AA557" s="1"/>
      <c r="AB557" s="1"/>
      <c r="AC557" s="1"/>
      <c r="AD557" s="1"/>
      <c r="AE557" s="1"/>
      <c r="AF557" s="1"/>
      <c r="AG557" s="1"/>
      <c r="AH557" s="1"/>
    </row>
    <row r="558" ht="12.75" hidden="1" customHeight="1" outlineLevel="1">
      <c r="A558" s="17">
        <v>41124.0</v>
      </c>
      <c r="B558" s="1"/>
      <c r="C558" s="1" t="s">
        <v>433</v>
      </c>
      <c r="D558" s="74"/>
      <c r="E558" s="67"/>
      <c r="F558" s="75"/>
      <c r="G558" s="67"/>
      <c r="H558" s="68"/>
      <c r="I558" s="76"/>
      <c r="J558" s="67"/>
      <c r="K558" s="1" t="s">
        <v>434</v>
      </c>
      <c r="L558" s="77"/>
      <c r="M558" s="79"/>
      <c r="N558" s="1"/>
      <c r="O558" s="1"/>
      <c r="P558" s="1"/>
      <c r="Q558" s="1"/>
      <c r="R558" s="1"/>
      <c r="S558" s="1"/>
      <c r="T558" s="1"/>
      <c r="U558" s="1"/>
      <c r="V558" s="1"/>
      <c r="W558" s="1"/>
      <c r="X558" s="1"/>
      <c r="Y558" s="1"/>
      <c r="Z558" s="1"/>
      <c r="AA558" s="1"/>
      <c r="AB558" s="1"/>
      <c r="AC558" s="1"/>
      <c r="AD558" s="1"/>
      <c r="AE558" s="1"/>
      <c r="AF558" s="1"/>
      <c r="AG558" s="1"/>
      <c r="AH558" s="1"/>
    </row>
    <row r="559" ht="12.75" hidden="1" customHeight="1" outlineLevel="1">
      <c r="A559" s="17">
        <v>41124.0</v>
      </c>
      <c r="B559" s="1"/>
      <c r="C559" s="1" t="s">
        <v>435</v>
      </c>
      <c r="D559" s="74"/>
      <c r="E559" s="67"/>
      <c r="F559" s="75"/>
      <c r="G559" s="67"/>
      <c r="H559" s="68"/>
      <c r="I559" s="76"/>
      <c r="J559" s="67"/>
      <c r="K559" s="7" t="s">
        <v>525</v>
      </c>
      <c r="L559" s="77"/>
      <c r="M559" s="79"/>
      <c r="N559" s="1"/>
      <c r="O559" s="1"/>
      <c r="P559" s="1"/>
      <c r="Q559" s="1"/>
      <c r="R559" s="1"/>
      <c r="S559" s="1"/>
      <c r="T559" s="1"/>
      <c r="U559" s="1"/>
      <c r="V559" s="1"/>
      <c r="W559" s="1"/>
      <c r="X559" s="1"/>
      <c r="Y559" s="1"/>
      <c r="Z559" s="1"/>
      <c r="AA559" s="1"/>
      <c r="AB559" s="1"/>
      <c r="AC559" s="1"/>
      <c r="AD559" s="1"/>
      <c r="AE559" s="1"/>
      <c r="AF559" s="1"/>
      <c r="AG559" s="1"/>
      <c r="AH559" s="1"/>
    </row>
    <row r="560" ht="12.75" hidden="1" customHeight="1" outlineLevel="1">
      <c r="A560" s="17">
        <v>41125.0</v>
      </c>
      <c r="B560" s="1"/>
      <c r="C560" s="1" t="s">
        <v>339</v>
      </c>
      <c r="D560" s="74"/>
      <c r="E560" s="67"/>
      <c r="F560" s="75"/>
      <c r="G560" s="67"/>
      <c r="H560" s="68"/>
      <c r="I560" s="76"/>
      <c r="J560" s="67"/>
      <c r="K560" s="7" t="s">
        <v>616</v>
      </c>
      <c r="L560" s="77"/>
      <c r="M560" s="79"/>
      <c r="N560" s="1"/>
      <c r="O560" s="1"/>
      <c r="P560" s="1"/>
      <c r="Q560" s="1"/>
      <c r="R560" s="1"/>
      <c r="S560" s="1"/>
      <c r="T560" s="1"/>
      <c r="U560" s="1"/>
      <c r="V560" s="1"/>
      <c r="W560" s="1"/>
      <c r="X560" s="1"/>
      <c r="Y560" s="1"/>
      <c r="Z560" s="1"/>
      <c r="AA560" s="1"/>
      <c r="AB560" s="1"/>
      <c r="AC560" s="1"/>
      <c r="AD560" s="1"/>
      <c r="AE560" s="1"/>
      <c r="AF560" s="1"/>
      <c r="AG560" s="1"/>
      <c r="AH560" s="1"/>
    </row>
    <row r="561" ht="12.75" hidden="1" customHeight="1" outlineLevel="1">
      <c r="A561" s="17">
        <v>41125.0</v>
      </c>
      <c r="B561" s="1"/>
      <c r="C561" s="1" t="s">
        <v>429</v>
      </c>
      <c r="D561" s="74"/>
      <c r="E561" s="67"/>
      <c r="F561" s="75"/>
      <c r="G561" s="67"/>
      <c r="H561" s="68"/>
      <c r="I561" s="76"/>
      <c r="J561" s="67"/>
      <c r="K561" s="7" t="s">
        <v>595</v>
      </c>
      <c r="L561" s="77"/>
      <c r="M561" s="79"/>
      <c r="N561" s="1"/>
      <c r="O561" s="1"/>
      <c r="P561" s="1"/>
      <c r="Q561" s="1"/>
      <c r="R561" s="1"/>
      <c r="S561" s="1"/>
      <c r="T561" s="1"/>
      <c r="U561" s="1"/>
      <c r="V561" s="1"/>
      <c r="W561" s="1"/>
      <c r="X561" s="1"/>
      <c r="Y561" s="1"/>
      <c r="Z561" s="1"/>
      <c r="AA561" s="1"/>
      <c r="AB561" s="1"/>
      <c r="AC561" s="1"/>
      <c r="AD561" s="1"/>
      <c r="AE561" s="1"/>
      <c r="AF561" s="1"/>
      <c r="AG561" s="1"/>
      <c r="AH561" s="1"/>
    </row>
    <row r="562" ht="12.75" hidden="1" customHeight="1" outlineLevel="1">
      <c r="A562" s="17">
        <v>41125.0</v>
      </c>
      <c r="B562" s="1"/>
      <c r="C562" s="1" t="s">
        <v>431</v>
      </c>
      <c r="D562" s="74"/>
      <c r="E562" s="67"/>
      <c r="F562" s="75"/>
      <c r="G562" s="67"/>
      <c r="H562" s="68"/>
      <c r="I562" s="76"/>
      <c r="J562" s="67"/>
      <c r="K562" s="7" t="s">
        <v>502</v>
      </c>
      <c r="L562" s="77"/>
      <c r="M562" s="79"/>
      <c r="N562" s="1"/>
      <c r="O562" s="1"/>
      <c r="P562" s="1"/>
      <c r="Q562" s="1"/>
      <c r="R562" s="1"/>
      <c r="S562" s="1"/>
      <c r="T562" s="1"/>
      <c r="U562" s="1"/>
      <c r="V562" s="1"/>
      <c r="W562" s="1"/>
      <c r="X562" s="1"/>
      <c r="Y562" s="1"/>
      <c r="Z562" s="1"/>
      <c r="AA562" s="1"/>
      <c r="AB562" s="1"/>
      <c r="AC562" s="1"/>
      <c r="AD562" s="1"/>
      <c r="AE562" s="1"/>
      <c r="AF562" s="1"/>
      <c r="AG562" s="1"/>
      <c r="AH562" s="1"/>
    </row>
    <row r="563" ht="12.75" hidden="1" customHeight="1" outlineLevel="1">
      <c r="A563" s="17">
        <v>41125.0</v>
      </c>
      <c r="B563" s="1"/>
      <c r="C563" s="1" t="s">
        <v>433</v>
      </c>
      <c r="D563" s="74"/>
      <c r="E563" s="67"/>
      <c r="F563" s="75"/>
      <c r="G563" s="67"/>
      <c r="H563" s="68"/>
      <c r="I563" s="76"/>
      <c r="J563" s="67"/>
      <c r="K563" s="1" t="s">
        <v>434</v>
      </c>
      <c r="L563" s="77"/>
      <c r="M563" s="79"/>
      <c r="N563" s="1"/>
      <c r="O563" s="1"/>
      <c r="P563" s="1"/>
      <c r="Q563" s="1"/>
      <c r="R563" s="1"/>
      <c r="S563" s="1"/>
      <c r="T563" s="1"/>
      <c r="U563" s="1"/>
      <c r="V563" s="1"/>
      <c r="W563" s="1"/>
      <c r="X563" s="1"/>
      <c r="Y563" s="1"/>
      <c r="Z563" s="1"/>
      <c r="AA563" s="1"/>
      <c r="AB563" s="1"/>
      <c r="AC563" s="1"/>
      <c r="AD563" s="1"/>
      <c r="AE563" s="1"/>
      <c r="AF563" s="1"/>
      <c r="AG563" s="1"/>
      <c r="AH563" s="1"/>
    </row>
    <row r="564" ht="12.75" hidden="1" customHeight="1" outlineLevel="1">
      <c r="A564" s="17">
        <v>41125.0</v>
      </c>
      <c r="B564" s="1"/>
      <c r="C564" s="1" t="s">
        <v>435</v>
      </c>
      <c r="D564" s="74"/>
      <c r="E564" s="67"/>
      <c r="F564" s="75"/>
      <c r="G564" s="67"/>
      <c r="H564" s="68"/>
      <c r="I564" s="76"/>
      <c r="J564" s="67"/>
      <c r="K564" s="7" t="s">
        <v>525</v>
      </c>
      <c r="L564" s="77"/>
      <c r="M564" s="79"/>
      <c r="N564" s="1"/>
      <c r="O564" s="1"/>
      <c r="P564" s="1"/>
      <c r="Q564" s="1"/>
      <c r="R564" s="1"/>
      <c r="S564" s="1"/>
      <c r="T564" s="1"/>
      <c r="U564" s="1"/>
      <c r="V564" s="1"/>
      <c r="W564" s="1"/>
      <c r="X564" s="1"/>
      <c r="Y564" s="1"/>
      <c r="Z564" s="1"/>
      <c r="AA564" s="1"/>
      <c r="AB564" s="1"/>
      <c r="AC564" s="1"/>
      <c r="AD564" s="1"/>
      <c r="AE564" s="1"/>
      <c r="AF564" s="1"/>
      <c r="AG564" s="1"/>
      <c r="AH564" s="1"/>
    </row>
    <row r="565" ht="12.75" hidden="1" customHeight="1" outlineLevel="1">
      <c r="A565" s="17">
        <v>41127.0</v>
      </c>
      <c r="B565" s="1" t="s">
        <v>347</v>
      </c>
      <c r="C565" s="1" t="s">
        <v>617</v>
      </c>
      <c r="D565" s="1">
        <v>100.0</v>
      </c>
      <c r="E565" s="1">
        <v>18.35</v>
      </c>
      <c r="F565" s="115">
        <v>0.39937500000000004</v>
      </c>
      <c r="G565" s="1">
        <v>2.0120806E7</v>
      </c>
      <c r="H565" s="1">
        <v>1.0</v>
      </c>
      <c r="I565" s="76"/>
      <c r="J565" s="67">
        <f t="shared" ref="J565:J567" si="39">IF(B565="SLD",D565*E565,-D565*E565)-H565</f>
        <v>1834</v>
      </c>
      <c r="K565" s="7" t="s">
        <v>607</v>
      </c>
      <c r="L565" s="70"/>
      <c r="M565" s="79"/>
      <c r="N565" s="1"/>
      <c r="O565" s="1"/>
      <c r="P565" s="1"/>
      <c r="Q565" s="1"/>
      <c r="R565" s="1"/>
      <c r="S565" s="1"/>
      <c r="T565" s="1"/>
      <c r="U565" s="1"/>
      <c r="V565" s="1"/>
      <c r="W565" s="1"/>
      <c r="X565" s="1"/>
      <c r="Y565" s="1"/>
      <c r="Z565" s="1"/>
      <c r="AA565" s="1"/>
      <c r="AB565" s="1"/>
      <c r="AC565" s="1"/>
      <c r="AD565" s="1"/>
      <c r="AE565" s="1"/>
      <c r="AF565" s="1"/>
      <c r="AG565" s="1"/>
      <c r="AH565" s="1"/>
    </row>
    <row r="566" ht="12.75" hidden="1" customHeight="1" outlineLevel="1">
      <c r="A566" s="17">
        <v>41127.0</v>
      </c>
      <c r="B566" s="1" t="s">
        <v>347</v>
      </c>
      <c r="C566" s="1" t="s">
        <v>617</v>
      </c>
      <c r="D566" s="1">
        <v>75.0</v>
      </c>
      <c r="E566" s="1">
        <v>18.35</v>
      </c>
      <c r="F566" s="115">
        <v>0.39944444444444444</v>
      </c>
      <c r="G566" s="1">
        <v>2.0120806E7</v>
      </c>
      <c r="H566" s="1">
        <v>0.0</v>
      </c>
      <c r="I566" s="76"/>
      <c r="J566" s="67">
        <f t="shared" si="39"/>
        <v>1376.25</v>
      </c>
      <c r="K566" s="7" t="s">
        <v>607</v>
      </c>
      <c r="L566" s="70"/>
      <c r="M566" s="79"/>
      <c r="N566" s="1"/>
      <c r="O566" s="1"/>
      <c r="P566" s="1"/>
      <c r="Q566" s="1"/>
      <c r="R566" s="1"/>
      <c r="S566" s="1"/>
      <c r="T566" s="1"/>
      <c r="U566" s="1"/>
      <c r="V566" s="1"/>
      <c r="W566" s="1"/>
      <c r="X566" s="1"/>
      <c r="Y566" s="1"/>
      <c r="Z566" s="1"/>
      <c r="AA566" s="1"/>
      <c r="AB566" s="1"/>
      <c r="AC566" s="1"/>
      <c r="AD566" s="1"/>
      <c r="AE566" s="1"/>
      <c r="AF566" s="1"/>
      <c r="AG566" s="1"/>
      <c r="AH566" s="1"/>
    </row>
    <row r="567" ht="12.75" hidden="1" customHeight="1" outlineLevel="1">
      <c r="A567" s="17">
        <v>41127.0</v>
      </c>
      <c r="B567" s="1" t="s">
        <v>343</v>
      </c>
      <c r="C567" s="1" t="s">
        <v>387</v>
      </c>
      <c r="D567" s="1">
        <v>90.0</v>
      </c>
      <c r="E567" s="1">
        <v>75.8898</v>
      </c>
      <c r="F567" s="115">
        <v>0.570787037037037</v>
      </c>
      <c r="G567" s="1">
        <v>2.0120806E7</v>
      </c>
      <c r="H567" s="1">
        <v>1.0</v>
      </c>
      <c r="I567" s="76"/>
      <c r="J567" s="67">
        <f t="shared" si="39"/>
        <v>-6831.082</v>
      </c>
      <c r="K567" s="7" t="s">
        <v>607</v>
      </c>
      <c r="L567" s="70"/>
      <c r="M567" s="79"/>
      <c r="N567" s="1"/>
      <c r="O567" s="1"/>
      <c r="P567" s="1"/>
      <c r="Q567" s="1"/>
      <c r="R567" s="1"/>
      <c r="S567" s="1"/>
      <c r="T567" s="1"/>
      <c r="U567" s="1"/>
      <c r="V567" s="1"/>
      <c r="W567" s="1"/>
      <c r="X567" s="1"/>
      <c r="Y567" s="1"/>
      <c r="Z567" s="1"/>
      <c r="AA567" s="1"/>
      <c r="AB567" s="1"/>
      <c r="AC567" s="1"/>
      <c r="AD567" s="1"/>
      <c r="AE567" s="1"/>
      <c r="AF567" s="1"/>
      <c r="AG567" s="1"/>
      <c r="AH567" s="1"/>
    </row>
    <row r="568" ht="12.75" hidden="1" customHeight="1" outlineLevel="1">
      <c r="A568" s="17">
        <v>41127.0</v>
      </c>
      <c r="B568" s="1"/>
      <c r="C568" s="1" t="s">
        <v>339</v>
      </c>
      <c r="D568" s="74"/>
      <c r="E568" s="67"/>
      <c r="F568" s="75"/>
      <c r="G568" s="67"/>
      <c r="H568" s="68"/>
      <c r="I568" s="76"/>
      <c r="J568" s="67"/>
      <c r="K568" s="7" t="s">
        <v>618</v>
      </c>
      <c r="L568" s="77"/>
      <c r="M568" s="79"/>
      <c r="N568" s="1"/>
      <c r="O568" s="1"/>
      <c r="P568" s="1"/>
      <c r="Q568" s="1"/>
      <c r="R568" s="1"/>
      <c r="S568" s="1"/>
      <c r="T568" s="1"/>
      <c r="U568" s="1"/>
      <c r="V568" s="1"/>
      <c r="W568" s="1"/>
      <c r="X568" s="1"/>
      <c r="Y568" s="1"/>
      <c r="Z568" s="1"/>
      <c r="AA568" s="1"/>
      <c r="AB568" s="1"/>
      <c r="AC568" s="1"/>
      <c r="AD568" s="1"/>
      <c r="AE568" s="1"/>
      <c r="AF568" s="1"/>
      <c r="AG568" s="1"/>
      <c r="AH568" s="1"/>
    </row>
    <row r="569" ht="12.75" hidden="1" customHeight="1" outlineLevel="1">
      <c r="A569" s="17">
        <v>41127.0</v>
      </c>
      <c r="B569" s="1"/>
      <c r="C569" s="1" t="s">
        <v>429</v>
      </c>
      <c r="D569" s="74"/>
      <c r="E569" s="67"/>
      <c r="F569" s="75"/>
      <c r="G569" s="67"/>
      <c r="H569" s="68"/>
      <c r="I569" s="76"/>
      <c r="J569" s="67"/>
      <c r="K569" s="7" t="s">
        <v>595</v>
      </c>
      <c r="L569" s="77"/>
      <c r="M569" s="79"/>
      <c r="N569" s="1"/>
      <c r="O569" s="1"/>
      <c r="P569" s="1"/>
      <c r="Q569" s="1"/>
      <c r="R569" s="1"/>
      <c r="S569" s="1"/>
      <c r="T569" s="1"/>
      <c r="U569" s="1"/>
      <c r="V569" s="1"/>
      <c r="W569" s="1"/>
      <c r="X569" s="1"/>
      <c r="Y569" s="1"/>
      <c r="Z569" s="1"/>
      <c r="AA569" s="1"/>
      <c r="AB569" s="1"/>
      <c r="AC569" s="1"/>
      <c r="AD569" s="1"/>
      <c r="AE569" s="1"/>
      <c r="AF569" s="1"/>
      <c r="AG569" s="1"/>
      <c r="AH569" s="1"/>
    </row>
    <row r="570" ht="12.75" hidden="1" customHeight="1" outlineLevel="1">
      <c r="A570" s="17">
        <v>41127.0</v>
      </c>
      <c r="B570" s="1"/>
      <c r="C570" s="1" t="s">
        <v>431</v>
      </c>
      <c r="D570" s="74"/>
      <c r="E570" s="67"/>
      <c r="F570" s="75"/>
      <c r="G570" s="67"/>
      <c r="H570" s="68"/>
      <c r="I570" s="76"/>
      <c r="J570" s="67"/>
      <c r="K570" s="7" t="s">
        <v>502</v>
      </c>
      <c r="L570" s="77"/>
      <c r="M570" s="79"/>
      <c r="N570" s="1"/>
      <c r="O570" s="1"/>
      <c r="P570" s="1"/>
      <c r="Q570" s="1"/>
      <c r="R570" s="1"/>
      <c r="S570" s="1"/>
      <c r="T570" s="1"/>
      <c r="U570" s="1"/>
      <c r="V570" s="1"/>
      <c r="W570" s="1"/>
      <c r="X570" s="1"/>
      <c r="Y570" s="1"/>
      <c r="Z570" s="1"/>
      <c r="AA570" s="1"/>
      <c r="AB570" s="1"/>
      <c r="AC570" s="1"/>
      <c r="AD570" s="1"/>
      <c r="AE570" s="1"/>
      <c r="AF570" s="1"/>
      <c r="AG570" s="1"/>
      <c r="AH570" s="1"/>
    </row>
    <row r="571" ht="12.75" hidden="1" customHeight="1" outlineLevel="1">
      <c r="A571" s="17">
        <v>41127.0</v>
      </c>
      <c r="B571" s="1"/>
      <c r="C571" s="1" t="s">
        <v>433</v>
      </c>
      <c r="D571" s="74"/>
      <c r="E571" s="67"/>
      <c r="F571" s="75"/>
      <c r="G571" s="67"/>
      <c r="H571" s="68"/>
      <c r="I571" s="76"/>
      <c r="J571" s="67"/>
      <c r="K571" s="1" t="s">
        <v>434</v>
      </c>
      <c r="L571" s="77"/>
      <c r="M571" s="79"/>
      <c r="N571" s="1"/>
      <c r="O571" s="1"/>
      <c r="P571" s="1"/>
      <c r="Q571" s="1"/>
      <c r="R571" s="1"/>
      <c r="S571" s="1"/>
      <c r="T571" s="1"/>
      <c r="U571" s="1"/>
      <c r="V571" s="1"/>
      <c r="W571" s="1"/>
      <c r="X571" s="1"/>
      <c r="Y571" s="1"/>
      <c r="Z571" s="1"/>
      <c r="AA571" s="1"/>
      <c r="AB571" s="1"/>
      <c r="AC571" s="1"/>
      <c r="AD571" s="1"/>
      <c r="AE571" s="1"/>
      <c r="AF571" s="1"/>
      <c r="AG571" s="1"/>
      <c r="AH571" s="1"/>
    </row>
    <row r="572" ht="12.75" hidden="1" customHeight="1" outlineLevel="1">
      <c r="A572" s="17">
        <v>41127.0</v>
      </c>
      <c r="B572" s="1"/>
      <c r="C572" s="1" t="s">
        <v>435</v>
      </c>
      <c r="D572" s="74"/>
      <c r="E572" s="67"/>
      <c r="F572" s="75"/>
      <c r="G572" s="67"/>
      <c r="H572" s="68"/>
      <c r="I572" s="76"/>
      <c r="J572" s="67"/>
      <c r="K572" s="7" t="s">
        <v>525</v>
      </c>
      <c r="L572" s="77"/>
      <c r="M572" s="79"/>
      <c r="N572" s="1"/>
      <c r="O572" s="1"/>
      <c r="P572" s="1"/>
      <c r="Q572" s="1"/>
      <c r="R572" s="1"/>
      <c r="S572" s="1"/>
      <c r="T572" s="1"/>
      <c r="U572" s="1"/>
      <c r="V572" s="1"/>
      <c r="W572" s="1"/>
      <c r="X572" s="1"/>
      <c r="Y572" s="1"/>
      <c r="Z572" s="1"/>
      <c r="AA572" s="1"/>
      <c r="AB572" s="1"/>
      <c r="AC572" s="1"/>
      <c r="AD572" s="1"/>
      <c r="AE572" s="1"/>
      <c r="AF572" s="1"/>
      <c r="AG572" s="1"/>
      <c r="AH572" s="1"/>
    </row>
    <row r="573" ht="12.75" hidden="1" customHeight="1" outlineLevel="1">
      <c r="A573" s="17">
        <v>41128.0</v>
      </c>
      <c r="B573" s="1" t="s">
        <v>347</v>
      </c>
      <c r="C573" s="1" t="s">
        <v>619</v>
      </c>
      <c r="D573" s="1">
        <v>70.0</v>
      </c>
      <c r="E573" s="1">
        <v>44.38</v>
      </c>
      <c r="F573" s="115">
        <v>0.4702662037037037</v>
      </c>
      <c r="G573" s="1">
        <v>2.0120807E7</v>
      </c>
      <c r="H573" s="1">
        <v>1.0</v>
      </c>
      <c r="I573" s="76"/>
      <c r="J573" s="67">
        <f t="shared" ref="J573:J575" si="40">IF(B573="SLD",D573*E573,-D573*E573)-H573</f>
        <v>3105.6</v>
      </c>
      <c r="K573" s="7" t="s">
        <v>620</v>
      </c>
      <c r="L573" s="70"/>
      <c r="M573" s="79"/>
      <c r="N573" s="1"/>
      <c r="O573" s="1"/>
      <c r="P573" s="1"/>
      <c r="Q573" s="1"/>
      <c r="R573" s="1"/>
      <c r="S573" s="1"/>
      <c r="T573" s="1"/>
      <c r="U573" s="1"/>
      <c r="V573" s="1"/>
      <c r="W573" s="1"/>
      <c r="X573" s="1"/>
      <c r="Y573" s="1"/>
      <c r="Z573" s="1"/>
      <c r="AA573" s="1"/>
      <c r="AB573" s="1"/>
      <c r="AC573" s="1"/>
      <c r="AD573" s="1"/>
      <c r="AE573" s="1"/>
      <c r="AF573" s="1"/>
      <c r="AG573" s="1"/>
      <c r="AH573" s="1"/>
    </row>
    <row r="574" ht="12.75" hidden="1" customHeight="1" outlineLevel="1">
      <c r="A574" s="17">
        <v>41128.0</v>
      </c>
      <c r="B574" s="1" t="s">
        <v>347</v>
      </c>
      <c r="C574" s="1">
        <v>2233.0</v>
      </c>
      <c r="D574" s="1">
        <v>20000.0</v>
      </c>
      <c r="E574" s="1">
        <f>1.31/7.75465</f>
        <v>0.1689308995</v>
      </c>
      <c r="F574" s="115">
        <v>0.9215277777777778</v>
      </c>
      <c r="G574" s="1">
        <v>2.0120807E7</v>
      </c>
      <c r="H574" s="1">
        <v>23.06</v>
      </c>
      <c r="I574" s="76"/>
      <c r="J574" s="67">
        <f t="shared" si="40"/>
        <v>3355.55799</v>
      </c>
      <c r="K574" s="7"/>
      <c r="L574" s="70"/>
      <c r="M574" s="79"/>
      <c r="N574" s="1"/>
      <c r="O574" s="1"/>
      <c r="P574" s="1"/>
      <c r="Q574" s="1"/>
      <c r="R574" s="1"/>
      <c r="S574" s="1"/>
      <c r="T574" s="1"/>
      <c r="U574" s="1"/>
      <c r="V574" s="1"/>
      <c r="W574" s="1"/>
      <c r="X574" s="1"/>
      <c r="Y574" s="1"/>
      <c r="Z574" s="1"/>
      <c r="AA574" s="1"/>
      <c r="AB574" s="1"/>
      <c r="AC574" s="1"/>
      <c r="AD574" s="1"/>
      <c r="AE574" s="1"/>
      <c r="AF574" s="1"/>
      <c r="AG574" s="1"/>
      <c r="AH574" s="1"/>
    </row>
    <row r="575" ht="12.75" hidden="1" customHeight="1" outlineLevel="1">
      <c r="A575" s="17">
        <v>41128.0</v>
      </c>
      <c r="B575" s="1" t="s">
        <v>343</v>
      </c>
      <c r="C575" s="1">
        <v>2233.0</v>
      </c>
      <c r="D575" s="1">
        <v>4000.0</v>
      </c>
      <c r="E575" s="1">
        <f>1.3/7.75465</f>
        <v>0.1676413507</v>
      </c>
      <c r="F575" s="115">
        <v>0.9355092592592592</v>
      </c>
      <c r="G575" s="1">
        <v>2.0120807E7</v>
      </c>
      <c r="H575" s="1">
        <v>18.0</v>
      </c>
      <c r="I575" s="76"/>
      <c r="J575" s="67">
        <f t="shared" si="40"/>
        <v>-688.5654027</v>
      </c>
      <c r="K575" s="7"/>
      <c r="L575" s="70"/>
      <c r="M575" s="79"/>
      <c r="N575" s="1"/>
      <c r="O575" s="1"/>
      <c r="P575" s="1"/>
      <c r="Q575" s="1"/>
      <c r="R575" s="1"/>
      <c r="S575" s="1"/>
      <c r="T575" s="1"/>
      <c r="U575" s="1"/>
      <c r="V575" s="1"/>
      <c r="W575" s="1"/>
      <c r="X575" s="1"/>
      <c r="Y575" s="1"/>
      <c r="Z575" s="1"/>
      <c r="AA575" s="1"/>
      <c r="AB575" s="1"/>
      <c r="AC575" s="1"/>
      <c r="AD575" s="1"/>
      <c r="AE575" s="1"/>
      <c r="AF575" s="1"/>
      <c r="AG575" s="1"/>
      <c r="AH575" s="1"/>
    </row>
    <row r="576" ht="12.75" hidden="1" customHeight="1" outlineLevel="1">
      <c r="A576" s="17">
        <v>41128.0</v>
      </c>
      <c r="B576" s="1" t="s">
        <v>343</v>
      </c>
      <c r="C576" s="1" t="s">
        <v>453</v>
      </c>
      <c r="D576" s="1">
        <v>2670.0</v>
      </c>
      <c r="E576" s="1">
        <f>7.75465/7.75465</f>
        <v>1</v>
      </c>
      <c r="F576" s="115">
        <v>0.9456597222222222</v>
      </c>
      <c r="G576" s="1">
        <v>2.0120807E7</v>
      </c>
      <c r="H576" s="1">
        <v>2.5</v>
      </c>
      <c r="I576" s="76"/>
      <c r="J576" s="67"/>
      <c r="K576" s="7"/>
      <c r="L576" s="70"/>
      <c r="M576" s="79"/>
      <c r="N576" s="1"/>
      <c r="O576" s="1"/>
      <c r="P576" s="1"/>
      <c r="Q576" s="1"/>
      <c r="R576" s="1"/>
      <c r="S576" s="1"/>
      <c r="T576" s="1"/>
      <c r="U576" s="1"/>
      <c r="V576" s="1"/>
      <c r="W576" s="1"/>
      <c r="X576" s="1"/>
      <c r="Y576" s="1"/>
      <c r="Z576" s="1"/>
      <c r="AA576" s="1"/>
      <c r="AB576" s="1"/>
      <c r="AC576" s="1"/>
      <c r="AD576" s="1"/>
      <c r="AE576" s="1"/>
      <c r="AF576" s="1"/>
      <c r="AG576" s="1"/>
      <c r="AH576" s="1"/>
    </row>
    <row r="577" ht="12.75" hidden="1" customHeight="1" outlineLevel="1">
      <c r="A577" s="17">
        <v>41128.0</v>
      </c>
      <c r="B577" s="1"/>
      <c r="C577" s="1" t="s">
        <v>339</v>
      </c>
      <c r="D577" s="74"/>
      <c r="E577" s="67"/>
      <c r="F577" s="75"/>
      <c r="G577" s="67"/>
      <c r="H577" s="68"/>
      <c r="I577" s="76"/>
      <c r="J577" s="67"/>
      <c r="K577" s="7" t="s">
        <v>621</v>
      </c>
      <c r="L577" s="77"/>
      <c r="M577" s="79"/>
      <c r="N577" s="1"/>
      <c r="O577" s="1"/>
      <c r="P577" s="1"/>
      <c r="Q577" s="1"/>
      <c r="R577" s="1"/>
      <c r="S577" s="1"/>
      <c r="T577" s="1"/>
      <c r="U577" s="1"/>
      <c r="V577" s="1"/>
      <c r="W577" s="1"/>
      <c r="X577" s="1"/>
      <c r="Y577" s="1"/>
      <c r="Z577" s="1"/>
      <c r="AA577" s="1"/>
      <c r="AB577" s="1"/>
      <c r="AC577" s="1"/>
      <c r="AD577" s="1"/>
      <c r="AE577" s="1"/>
      <c r="AF577" s="1"/>
      <c r="AG577" s="1"/>
      <c r="AH577" s="1"/>
    </row>
    <row r="578" ht="12.75" hidden="1" customHeight="1" outlineLevel="1">
      <c r="A578" s="17">
        <v>41128.0</v>
      </c>
      <c r="B578" s="1"/>
      <c r="C578" s="1" t="s">
        <v>429</v>
      </c>
      <c r="D578" s="74"/>
      <c r="E578" s="67"/>
      <c r="F578" s="75"/>
      <c r="G578" s="67"/>
      <c r="H578" s="68"/>
      <c r="I578" s="76"/>
      <c r="J578" s="67"/>
      <c r="K578" s="7" t="s">
        <v>595</v>
      </c>
      <c r="L578" s="77"/>
      <c r="M578" s="79"/>
      <c r="N578" s="1"/>
      <c r="O578" s="1"/>
      <c r="P578" s="1"/>
      <c r="Q578" s="1"/>
      <c r="R578" s="1"/>
      <c r="S578" s="1"/>
      <c r="T578" s="1"/>
      <c r="U578" s="1"/>
      <c r="V578" s="1"/>
      <c r="W578" s="1"/>
      <c r="X578" s="1"/>
      <c r="Y578" s="1"/>
      <c r="Z578" s="1"/>
      <c r="AA578" s="1"/>
      <c r="AB578" s="1"/>
      <c r="AC578" s="1"/>
      <c r="AD578" s="1"/>
      <c r="AE578" s="1"/>
      <c r="AF578" s="1"/>
      <c r="AG578" s="1"/>
      <c r="AH578" s="1"/>
    </row>
    <row r="579" ht="12.75" hidden="1" customHeight="1" outlineLevel="1">
      <c r="A579" s="17">
        <v>41128.0</v>
      </c>
      <c r="B579" s="1"/>
      <c r="C579" s="1" t="s">
        <v>431</v>
      </c>
      <c r="D579" s="74"/>
      <c r="E579" s="67"/>
      <c r="F579" s="75"/>
      <c r="G579" s="67"/>
      <c r="H579" s="68"/>
      <c r="I579" s="76"/>
      <c r="J579" s="67"/>
      <c r="K579" s="7" t="s">
        <v>502</v>
      </c>
      <c r="L579" s="77"/>
      <c r="M579" s="79"/>
      <c r="N579" s="1"/>
      <c r="O579" s="1"/>
      <c r="P579" s="1"/>
      <c r="Q579" s="1"/>
      <c r="R579" s="1"/>
      <c r="S579" s="1"/>
      <c r="T579" s="1"/>
      <c r="U579" s="1"/>
      <c r="V579" s="1"/>
      <c r="W579" s="1"/>
      <c r="X579" s="1"/>
      <c r="Y579" s="1"/>
      <c r="Z579" s="1"/>
      <c r="AA579" s="1"/>
      <c r="AB579" s="1"/>
      <c r="AC579" s="1"/>
      <c r="AD579" s="1"/>
      <c r="AE579" s="1"/>
      <c r="AF579" s="1"/>
      <c r="AG579" s="1"/>
      <c r="AH579" s="1"/>
    </row>
    <row r="580" ht="12.75" hidden="1" customHeight="1" outlineLevel="1">
      <c r="A580" s="17">
        <v>41128.0</v>
      </c>
      <c r="B580" s="1"/>
      <c r="C580" s="1" t="s">
        <v>433</v>
      </c>
      <c r="D580" s="74"/>
      <c r="E580" s="67"/>
      <c r="F580" s="75"/>
      <c r="G580" s="67"/>
      <c r="H580" s="68"/>
      <c r="I580" s="76"/>
      <c r="J580" s="67"/>
      <c r="K580" s="1" t="s">
        <v>434</v>
      </c>
      <c r="L580" s="77"/>
      <c r="M580" s="79"/>
      <c r="N580" s="1"/>
      <c r="O580" s="1"/>
      <c r="P580" s="1"/>
      <c r="Q580" s="1"/>
      <c r="R580" s="1"/>
      <c r="S580" s="1"/>
      <c r="T580" s="1"/>
      <c r="U580" s="1"/>
      <c r="V580" s="1"/>
      <c r="W580" s="1"/>
      <c r="X580" s="1"/>
      <c r="Y580" s="1"/>
      <c r="Z580" s="1"/>
      <c r="AA580" s="1"/>
      <c r="AB580" s="1"/>
      <c r="AC580" s="1"/>
      <c r="AD580" s="1"/>
      <c r="AE580" s="1"/>
      <c r="AF580" s="1"/>
      <c r="AG580" s="1"/>
      <c r="AH580" s="1"/>
    </row>
    <row r="581" ht="12.75" hidden="1" customHeight="1" outlineLevel="1">
      <c r="A581" s="17">
        <v>41128.0</v>
      </c>
      <c r="B581" s="1"/>
      <c r="C581" s="1" t="s">
        <v>435</v>
      </c>
      <c r="D581" s="74"/>
      <c r="E581" s="67"/>
      <c r="F581" s="75"/>
      <c r="G581" s="67"/>
      <c r="H581" s="68"/>
      <c r="I581" s="76"/>
      <c r="J581" s="67"/>
      <c r="K581" s="7" t="s">
        <v>525</v>
      </c>
      <c r="L581" s="77"/>
      <c r="M581" s="79"/>
      <c r="N581" s="1"/>
      <c r="O581" s="1"/>
      <c r="P581" s="1"/>
      <c r="Q581" s="1"/>
      <c r="R581" s="1"/>
      <c r="S581" s="1"/>
      <c r="T581" s="1"/>
      <c r="U581" s="1"/>
      <c r="V581" s="1"/>
      <c r="W581" s="1"/>
      <c r="X581" s="1"/>
      <c r="Y581" s="1"/>
      <c r="Z581" s="1"/>
      <c r="AA581" s="1"/>
      <c r="AB581" s="1"/>
      <c r="AC581" s="1"/>
      <c r="AD581" s="1"/>
      <c r="AE581" s="1"/>
      <c r="AF581" s="1"/>
      <c r="AG581" s="1"/>
      <c r="AH581" s="1"/>
    </row>
    <row r="582" ht="12.75" hidden="1" customHeight="1" outlineLevel="1">
      <c r="A582" s="17">
        <v>41129.0</v>
      </c>
      <c r="B582" s="1" t="s">
        <v>347</v>
      </c>
      <c r="C582" s="1" t="s">
        <v>602</v>
      </c>
      <c r="D582" s="1">
        <v>100.0</v>
      </c>
      <c r="E582" s="1">
        <v>36.72</v>
      </c>
      <c r="F582" s="115">
        <v>0.4083912037037037</v>
      </c>
      <c r="G582" s="1">
        <v>2.0120808E7</v>
      </c>
      <c r="H582" s="1">
        <v>1.0</v>
      </c>
      <c r="I582" s="76"/>
      <c r="J582" s="67">
        <f t="shared" ref="J582:J588" si="41">IF(B582="SLD",D582*E582,-D582*E582)-H582</f>
        <v>3671</v>
      </c>
      <c r="K582" s="7"/>
      <c r="L582" s="70"/>
      <c r="M582" s="79"/>
      <c r="N582" s="1"/>
      <c r="O582" s="1"/>
      <c r="P582" s="1"/>
      <c r="Q582" s="1"/>
      <c r="R582" s="1"/>
      <c r="S582" s="1"/>
      <c r="T582" s="1"/>
      <c r="U582" s="1"/>
      <c r="V582" s="1"/>
      <c r="W582" s="1"/>
      <c r="X582" s="1"/>
      <c r="Y582" s="1"/>
      <c r="Z582" s="1"/>
      <c r="AA582" s="1"/>
      <c r="AB582" s="1"/>
      <c r="AC582" s="1"/>
      <c r="AD582" s="1"/>
      <c r="AE582" s="1"/>
      <c r="AF582" s="1"/>
      <c r="AG582" s="1"/>
      <c r="AH582" s="1"/>
    </row>
    <row r="583" ht="12.75" hidden="1" customHeight="1" outlineLevel="1">
      <c r="A583" s="17">
        <v>41129.0</v>
      </c>
      <c r="B583" s="1" t="s">
        <v>347</v>
      </c>
      <c r="C583" s="1" t="s">
        <v>602</v>
      </c>
      <c r="D583" s="1">
        <v>100.0</v>
      </c>
      <c r="E583" s="1">
        <v>36.72</v>
      </c>
      <c r="F583" s="115">
        <v>0.4083912037037037</v>
      </c>
      <c r="G583" s="1">
        <v>2.0120808E7</v>
      </c>
      <c r="H583" s="1">
        <v>0.0</v>
      </c>
      <c r="I583" s="76"/>
      <c r="J583" s="67">
        <f t="shared" si="41"/>
        <v>3672</v>
      </c>
      <c r="K583" s="7"/>
      <c r="L583" s="70"/>
      <c r="M583" s="79"/>
      <c r="N583" s="1"/>
      <c r="O583" s="1"/>
      <c r="P583" s="1"/>
      <c r="Q583" s="1"/>
      <c r="R583" s="1"/>
      <c r="S583" s="1"/>
      <c r="T583" s="1"/>
      <c r="U583" s="1"/>
      <c r="V583" s="1"/>
      <c r="W583" s="1"/>
      <c r="X583" s="1"/>
      <c r="Y583" s="1"/>
      <c r="Z583" s="1"/>
      <c r="AA583" s="1"/>
      <c r="AB583" s="1"/>
      <c r="AC583" s="1"/>
      <c r="AD583" s="1"/>
      <c r="AE583" s="1"/>
      <c r="AF583" s="1"/>
      <c r="AG583" s="1"/>
      <c r="AH583" s="1"/>
    </row>
    <row r="584" ht="12.75" hidden="1" customHeight="1" outlineLevel="1">
      <c r="A584" s="17">
        <v>41129.0</v>
      </c>
      <c r="B584" s="1" t="s">
        <v>343</v>
      </c>
      <c r="C584" s="1" t="s">
        <v>617</v>
      </c>
      <c r="D584" s="1">
        <v>100.0</v>
      </c>
      <c r="E584" s="1">
        <v>20.0</v>
      </c>
      <c r="F584" s="115">
        <v>0.5179513888888889</v>
      </c>
      <c r="G584" s="1">
        <v>2.0120808E7</v>
      </c>
      <c r="H584" s="1">
        <v>1.0</v>
      </c>
      <c r="I584" s="76"/>
      <c r="J584" s="67">
        <f t="shared" si="41"/>
        <v>-2001</v>
      </c>
      <c r="K584" s="7"/>
      <c r="L584" s="70"/>
      <c r="M584" s="79"/>
      <c r="N584" s="1"/>
      <c r="O584" s="1"/>
      <c r="P584" s="1"/>
      <c r="Q584" s="1"/>
      <c r="R584" s="1"/>
      <c r="S584" s="1"/>
      <c r="T584" s="1"/>
      <c r="U584" s="1"/>
      <c r="V584" s="1"/>
      <c r="W584" s="1"/>
      <c r="X584" s="1"/>
      <c r="Y584" s="1"/>
      <c r="Z584" s="1"/>
      <c r="AA584" s="1"/>
      <c r="AB584" s="1"/>
      <c r="AC584" s="1"/>
      <c r="AD584" s="1"/>
      <c r="AE584" s="1"/>
      <c r="AF584" s="1"/>
      <c r="AG584" s="1"/>
      <c r="AH584" s="1"/>
    </row>
    <row r="585" ht="12.75" hidden="1" customHeight="1" outlineLevel="1">
      <c r="A585" s="17">
        <v>41129.0</v>
      </c>
      <c r="B585" s="1" t="s">
        <v>343</v>
      </c>
      <c r="C585" s="1" t="s">
        <v>617</v>
      </c>
      <c r="D585" s="1">
        <v>75.0</v>
      </c>
      <c r="E585" s="1">
        <v>20.0</v>
      </c>
      <c r="F585" s="115">
        <v>0.5179513888888889</v>
      </c>
      <c r="G585" s="1">
        <v>2.0120808E7</v>
      </c>
      <c r="H585" s="1">
        <v>0.0</v>
      </c>
      <c r="I585" s="76"/>
      <c r="J585" s="67">
        <f t="shared" si="41"/>
        <v>-1500</v>
      </c>
      <c r="K585" s="7"/>
      <c r="L585" s="70"/>
      <c r="M585" s="79"/>
      <c r="N585" s="1"/>
      <c r="O585" s="1"/>
      <c r="P585" s="1"/>
      <c r="Q585" s="1"/>
      <c r="R585" s="1"/>
      <c r="S585" s="1"/>
      <c r="T585" s="1"/>
      <c r="U585" s="1"/>
      <c r="V585" s="1"/>
      <c r="W585" s="1"/>
      <c r="X585" s="1"/>
      <c r="Y585" s="1"/>
      <c r="Z585" s="1"/>
      <c r="AA585" s="1"/>
      <c r="AB585" s="1"/>
      <c r="AC585" s="1"/>
      <c r="AD585" s="1"/>
      <c r="AE585" s="1"/>
      <c r="AF585" s="1"/>
      <c r="AG585" s="1"/>
      <c r="AH585" s="1"/>
    </row>
    <row r="586" ht="12.75" hidden="1" customHeight="1" outlineLevel="1">
      <c r="A586" s="17">
        <v>41129.0</v>
      </c>
      <c r="B586" s="1" t="s">
        <v>347</v>
      </c>
      <c r="C586" s="1" t="s">
        <v>442</v>
      </c>
      <c r="D586" s="1">
        <v>14.0</v>
      </c>
      <c r="E586" s="1">
        <v>73.24</v>
      </c>
      <c r="F586" s="115">
        <v>0.5223148148148148</v>
      </c>
      <c r="G586" s="1">
        <v>2.0120808E7</v>
      </c>
      <c r="H586" s="1">
        <v>1.0</v>
      </c>
      <c r="I586" s="76"/>
      <c r="J586" s="67">
        <f t="shared" si="41"/>
        <v>1024.36</v>
      </c>
      <c r="K586" s="7"/>
      <c r="L586" s="70"/>
      <c r="M586" s="79"/>
      <c r="N586" s="1"/>
      <c r="O586" s="1"/>
      <c r="P586" s="1"/>
      <c r="Q586" s="1"/>
      <c r="R586" s="1"/>
      <c r="S586" s="1"/>
      <c r="T586" s="1"/>
      <c r="U586" s="1"/>
      <c r="V586" s="1"/>
      <c r="W586" s="1"/>
      <c r="X586" s="1"/>
      <c r="Y586" s="1"/>
      <c r="Z586" s="1"/>
      <c r="AA586" s="1"/>
      <c r="AB586" s="1"/>
      <c r="AC586" s="1"/>
      <c r="AD586" s="1"/>
      <c r="AE586" s="1"/>
      <c r="AF586" s="1"/>
      <c r="AG586" s="1"/>
      <c r="AH586" s="1"/>
    </row>
    <row r="587" ht="12.75" hidden="1" customHeight="1" outlineLevel="1">
      <c r="A587" s="17">
        <v>41129.0</v>
      </c>
      <c r="B587" s="1" t="s">
        <v>347</v>
      </c>
      <c r="C587" s="1" t="s">
        <v>442</v>
      </c>
      <c r="D587" s="1">
        <v>86.0</v>
      </c>
      <c r="E587" s="1">
        <v>73.2</v>
      </c>
      <c r="F587" s="115">
        <v>0.5223148148148148</v>
      </c>
      <c r="G587" s="1">
        <v>2.0120808E7</v>
      </c>
      <c r="H587" s="1">
        <v>0.0</v>
      </c>
      <c r="I587" s="76"/>
      <c r="J587" s="67">
        <f t="shared" si="41"/>
        <v>6295.2</v>
      </c>
      <c r="K587" s="7"/>
      <c r="L587" s="70"/>
      <c r="M587" s="79"/>
      <c r="N587" s="1"/>
      <c r="O587" s="1"/>
      <c r="P587" s="1"/>
      <c r="Q587" s="1"/>
      <c r="R587" s="1"/>
      <c r="S587" s="1"/>
      <c r="T587" s="1"/>
      <c r="U587" s="1"/>
      <c r="V587" s="1"/>
      <c r="W587" s="1"/>
      <c r="X587" s="1"/>
      <c r="Y587" s="1"/>
      <c r="Z587" s="1"/>
      <c r="AA587" s="1"/>
      <c r="AB587" s="1"/>
      <c r="AC587" s="1"/>
      <c r="AD587" s="1"/>
      <c r="AE587" s="1"/>
      <c r="AF587" s="1"/>
      <c r="AG587" s="1"/>
      <c r="AH587" s="1"/>
    </row>
    <row r="588" ht="12.75" hidden="1" customHeight="1" outlineLevel="1">
      <c r="A588" s="17">
        <v>41129.0</v>
      </c>
      <c r="B588" s="1" t="s">
        <v>347</v>
      </c>
      <c r="C588" s="1" t="s">
        <v>441</v>
      </c>
      <c r="D588" s="1">
        <v>700.0</v>
      </c>
      <c r="E588" s="1">
        <v>6.63</v>
      </c>
      <c r="F588" s="115">
        <v>0.5261458333333333</v>
      </c>
      <c r="G588" s="1">
        <v>2.0120808E7</v>
      </c>
      <c r="H588" s="1">
        <v>3.5</v>
      </c>
      <c r="I588" s="76"/>
      <c r="J588" s="67">
        <f t="shared" si="41"/>
        <v>4637.5</v>
      </c>
      <c r="K588" s="7" t="s">
        <v>395</v>
      </c>
      <c r="L588" s="70"/>
      <c r="M588" s="79"/>
      <c r="N588" s="1"/>
      <c r="O588" s="1"/>
      <c r="P588" s="1"/>
      <c r="Q588" s="1"/>
      <c r="R588" s="1"/>
      <c r="S588" s="1"/>
      <c r="T588" s="1"/>
      <c r="U588" s="1"/>
      <c r="V588" s="1"/>
      <c r="W588" s="1"/>
      <c r="X588" s="1"/>
      <c r="Y588" s="1"/>
      <c r="Z588" s="1"/>
      <c r="AA588" s="1"/>
      <c r="AB588" s="1"/>
      <c r="AC588" s="1"/>
      <c r="AD588" s="1"/>
      <c r="AE588" s="1"/>
      <c r="AF588" s="1"/>
      <c r="AG588" s="1"/>
      <c r="AH588" s="1"/>
    </row>
    <row r="589" ht="12.75" hidden="1" customHeight="1" outlineLevel="1">
      <c r="A589" s="17">
        <v>41129.0</v>
      </c>
      <c r="B589" s="1"/>
      <c r="C589" s="1" t="s">
        <v>339</v>
      </c>
      <c r="D589" s="74"/>
      <c r="E589" s="67"/>
      <c r="F589" s="75"/>
      <c r="G589" s="67"/>
      <c r="H589" s="68"/>
      <c r="I589" s="76"/>
      <c r="J589" s="67"/>
      <c r="K589" s="7" t="s">
        <v>623</v>
      </c>
      <c r="L589" s="77"/>
      <c r="M589" s="79"/>
      <c r="N589" s="1"/>
      <c r="O589" s="1"/>
      <c r="P589" s="1"/>
      <c r="Q589" s="1"/>
      <c r="R589" s="1"/>
      <c r="S589" s="1"/>
      <c r="T589" s="1"/>
      <c r="U589" s="1"/>
      <c r="V589" s="1"/>
      <c r="W589" s="1"/>
      <c r="X589" s="1"/>
      <c r="Y589" s="1"/>
      <c r="Z589" s="1"/>
      <c r="AA589" s="1"/>
      <c r="AB589" s="1"/>
      <c r="AC589" s="1"/>
      <c r="AD589" s="1"/>
      <c r="AE589" s="1"/>
      <c r="AF589" s="1"/>
      <c r="AG589" s="1"/>
      <c r="AH589" s="1"/>
    </row>
    <row r="590" ht="12.75" hidden="1" customHeight="1" outlineLevel="1">
      <c r="A590" s="17">
        <v>41129.0</v>
      </c>
      <c r="B590" s="1"/>
      <c r="C590" s="1" t="s">
        <v>429</v>
      </c>
      <c r="D590" s="74"/>
      <c r="E590" s="67"/>
      <c r="F590" s="75"/>
      <c r="G590" s="67"/>
      <c r="H590" s="68"/>
      <c r="I590" s="76"/>
      <c r="J590" s="67"/>
      <c r="K590" s="7" t="s">
        <v>595</v>
      </c>
      <c r="L590" s="77"/>
      <c r="M590" s="79"/>
      <c r="N590" s="1"/>
      <c r="O590" s="1"/>
      <c r="P590" s="1"/>
      <c r="Q590" s="1"/>
      <c r="R590" s="1"/>
      <c r="S590" s="1"/>
      <c r="T590" s="1"/>
      <c r="U590" s="1"/>
      <c r="V590" s="1"/>
      <c r="W590" s="1"/>
      <c r="X590" s="1"/>
      <c r="Y590" s="1"/>
      <c r="Z590" s="1"/>
      <c r="AA590" s="1"/>
      <c r="AB590" s="1"/>
      <c r="AC590" s="1"/>
      <c r="AD590" s="1"/>
      <c r="AE590" s="1"/>
      <c r="AF590" s="1"/>
      <c r="AG590" s="1"/>
      <c r="AH590" s="1"/>
    </row>
    <row r="591" ht="12.75" hidden="1" customHeight="1" outlineLevel="1">
      <c r="A591" s="17">
        <v>41129.0</v>
      </c>
      <c r="B591" s="1"/>
      <c r="C591" s="1" t="s">
        <v>431</v>
      </c>
      <c r="D591" s="74"/>
      <c r="E591" s="67"/>
      <c r="F591" s="75"/>
      <c r="G591" s="67"/>
      <c r="H591" s="68"/>
      <c r="I591" s="76"/>
      <c r="J591" s="67"/>
      <c r="K591" s="7" t="s">
        <v>502</v>
      </c>
      <c r="L591" s="77"/>
      <c r="M591" s="79"/>
      <c r="N591" s="1"/>
      <c r="O591" s="1"/>
      <c r="P591" s="1"/>
      <c r="Q591" s="1"/>
      <c r="R591" s="1"/>
      <c r="S591" s="1"/>
      <c r="T591" s="1"/>
      <c r="U591" s="1"/>
      <c r="V591" s="1"/>
      <c r="W591" s="1"/>
      <c r="X591" s="1"/>
      <c r="Y591" s="1"/>
      <c r="Z591" s="1"/>
      <c r="AA591" s="1"/>
      <c r="AB591" s="1"/>
      <c r="AC591" s="1"/>
      <c r="AD591" s="1"/>
      <c r="AE591" s="1"/>
      <c r="AF591" s="1"/>
      <c r="AG591" s="1"/>
      <c r="AH591" s="1"/>
    </row>
    <row r="592" ht="12.75" hidden="1" customHeight="1" outlineLevel="1">
      <c r="A592" s="17">
        <v>41129.0</v>
      </c>
      <c r="B592" s="1"/>
      <c r="C592" s="1" t="s">
        <v>433</v>
      </c>
      <c r="D592" s="74"/>
      <c r="E592" s="67"/>
      <c r="F592" s="75"/>
      <c r="G592" s="67"/>
      <c r="H592" s="68"/>
      <c r="I592" s="76"/>
      <c r="J592" s="67"/>
      <c r="K592" s="1" t="s">
        <v>434</v>
      </c>
      <c r="L592" s="77"/>
      <c r="M592" s="79"/>
      <c r="N592" s="1"/>
      <c r="O592" s="1"/>
      <c r="P592" s="1"/>
      <c r="Q592" s="1"/>
      <c r="R592" s="1"/>
      <c r="S592" s="1"/>
      <c r="T592" s="1"/>
      <c r="U592" s="1"/>
      <c r="V592" s="1"/>
      <c r="W592" s="1"/>
      <c r="X592" s="1"/>
      <c r="Y592" s="1"/>
      <c r="Z592" s="1"/>
      <c r="AA592" s="1"/>
      <c r="AB592" s="1"/>
      <c r="AC592" s="1"/>
      <c r="AD592" s="1"/>
      <c r="AE592" s="1"/>
      <c r="AF592" s="1"/>
      <c r="AG592" s="1"/>
      <c r="AH592" s="1"/>
    </row>
    <row r="593" ht="12.75" hidden="1" customHeight="1" outlineLevel="1">
      <c r="A593" s="17">
        <v>41129.0</v>
      </c>
      <c r="B593" s="1"/>
      <c r="C593" s="1" t="s">
        <v>435</v>
      </c>
      <c r="D593" s="74"/>
      <c r="E593" s="67"/>
      <c r="F593" s="75"/>
      <c r="G593" s="67"/>
      <c r="H593" s="68"/>
      <c r="I593" s="76"/>
      <c r="J593" s="67"/>
      <c r="K593" s="7" t="s">
        <v>525</v>
      </c>
      <c r="L593" s="77"/>
      <c r="M593" s="79"/>
      <c r="N593" s="1"/>
      <c r="O593" s="1"/>
      <c r="P593" s="1"/>
      <c r="Q593" s="1"/>
      <c r="R593" s="1"/>
      <c r="S593" s="1"/>
      <c r="T593" s="1"/>
      <c r="U593" s="1"/>
      <c r="V593" s="1"/>
      <c r="W593" s="1"/>
      <c r="X593" s="1"/>
      <c r="Y593" s="1"/>
      <c r="Z593" s="1"/>
      <c r="AA593" s="1"/>
      <c r="AB593" s="1"/>
      <c r="AC593" s="1"/>
      <c r="AD593" s="1"/>
      <c r="AE593" s="1"/>
      <c r="AF593" s="1"/>
      <c r="AG593" s="1"/>
      <c r="AH593" s="1"/>
    </row>
    <row r="594" ht="12.75" hidden="1" customHeight="1" outlineLevel="1">
      <c r="A594" s="17">
        <v>41130.0</v>
      </c>
      <c r="B594" s="1" t="s">
        <v>347</v>
      </c>
      <c r="C594" s="1" t="s">
        <v>371</v>
      </c>
      <c r="D594" s="1">
        <v>50.0</v>
      </c>
      <c r="E594" s="1">
        <v>23.99</v>
      </c>
      <c r="F594" s="115">
        <v>0.4613310185185185</v>
      </c>
      <c r="G594" s="1">
        <v>2.0120809E7</v>
      </c>
      <c r="H594" s="1">
        <v>1.0</v>
      </c>
      <c r="I594" s="76"/>
      <c r="J594" s="67">
        <f>IF(B594="SLD",D594*E594,-D594*E594)-H594</f>
        <v>1198.5</v>
      </c>
      <c r="K594" s="7"/>
      <c r="L594" s="70"/>
      <c r="M594" s="79"/>
      <c r="N594" s="1"/>
      <c r="O594" s="1"/>
      <c r="P594" s="1"/>
      <c r="Q594" s="1"/>
      <c r="R594" s="1"/>
      <c r="S594" s="1"/>
      <c r="T594" s="1"/>
      <c r="U594" s="1"/>
      <c r="V594" s="1"/>
      <c r="W594" s="1"/>
      <c r="X594" s="1"/>
      <c r="Y594" s="1"/>
      <c r="Z594" s="1"/>
      <c r="AA594" s="1"/>
      <c r="AB594" s="1"/>
      <c r="AC594" s="1"/>
      <c r="AD594" s="1"/>
      <c r="AE594" s="1"/>
      <c r="AF594" s="1"/>
      <c r="AG594" s="1"/>
      <c r="AH594" s="1"/>
    </row>
    <row r="595" ht="12.75" hidden="1" customHeight="1" outlineLevel="1">
      <c r="A595" s="17">
        <v>41130.0</v>
      </c>
      <c r="B595" s="1"/>
      <c r="C595" s="1" t="s">
        <v>339</v>
      </c>
      <c r="D595" s="74"/>
      <c r="E595" s="67"/>
      <c r="F595" s="75"/>
      <c r="G595" s="67"/>
      <c r="H595" s="68"/>
      <c r="I595" s="76"/>
      <c r="J595" s="67"/>
      <c r="K595" s="7" t="s">
        <v>624</v>
      </c>
      <c r="L595" s="77"/>
      <c r="M595" s="79"/>
      <c r="N595" s="1"/>
      <c r="O595" s="1"/>
      <c r="P595" s="1"/>
      <c r="Q595" s="1"/>
      <c r="R595" s="1"/>
      <c r="S595" s="1"/>
      <c r="T595" s="1"/>
      <c r="U595" s="1"/>
      <c r="V595" s="1"/>
      <c r="W595" s="1"/>
      <c r="X595" s="1"/>
      <c r="Y595" s="1"/>
      <c r="Z595" s="1"/>
      <c r="AA595" s="1"/>
      <c r="AB595" s="1"/>
      <c r="AC595" s="1"/>
      <c r="AD595" s="1"/>
      <c r="AE595" s="1"/>
      <c r="AF595" s="1"/>
      <c r="AG595" s="1"/>
      <c r="AH595" s="1"/>
    </row>
    <row r="596" ht="12.75" hidden="1" customHeight="1" outlineLevel="1">
      <c r="A596" s="17">
        <v>41130.0</v>
      </c>
      <c r="B596" s="1"/>
      <c r="C596" s="1" t="s">
        <v>429</v>
      </c>
      <c r="D596" s="74"/>
      <c r="E596" s="67"/>
      <c r="F596" s="75"/>
      <c r="G596" s="67"/>
      <c r="H596" s="68"/>
      <c r="I596" s="76"/>
      <c r="J596" s="67"/>
      <c r="K596" s="7" t="s">
        <v>595</v>
      </c>
      <c r="L596" s="77"/>
      <c r="M596" s="79"/>
      <c r="N596" s="1"/>
      <c r="O596" s="1"/>
      <c r="P596" s="1"/>
      <c r="Q596" s="1"/>
      <c r="R596" s="1"/>
      <c r="S596" s="1"/>
      <c r="T596" s="1"/>
      <c r="U596" s="1"/>
      <c r="V596" s="1"/>
      <c r="W596" s="1"/>
      <c r="X596" s="1"/>
      <c r="Y596" s="1"/>
      <c r="Z596" s="1"/>
      <c r="AA596" s="1"/>
      <c r="AB596" s="1"/>
      <c r="AC596" s="1"/>
      <c r="AD596" s="1"/>
      <c r="AE596" s="1"/>
      <c r="AF596" s="1"/>
      <c r="AG596" s="1"/>
      <c r="AH596" s="1"/>
    </row>
    <row r="597" ht="12.75" hidden="1" customHeight="1" outlineLevel="1">
      <c r="A597" s="17">
        <v>41130.0</v>
      </c>
      <c r="B597" s="1"/>
      <c r="C597" s="1" t="s">
        <v>431</v>
      </c>
      <c r="D597" s="74"/>
      <c r="E597" s="67"/>
      <c r="F597" s="75"/>
      <c r="G597" s="67"/>
      <c r="H597" s="68"/>
      <c r="I597" s="76"/>
      <c r="J597" s="67"/>
      <c r="K597" s="7" t="s">
        <v>502</v>
      </c>
      <c r="L597" s="77"/>
      <c r="M597" s="79"/>
      <c r="N597" s="1"/>
      <c r="O597" s="1"/>
      <c r="P597" s="1"/>
      <c r="Q597" s="1"/>
      <c r="R597" s="1"/>
      <c r="S597" s="1"/>
      <c r="T597" s="1"/>
      <c r="U597" s="1"/>
      <c r="V597" s="1"/>
      <c r="W597" s="1"/>
      <c r="X597" s="1"/>
      <c r="Y597" s="1"/>
      <c r="Z597" s="1"/>
      <c r="AA597" s="1"/>
      <c r="AB597" s="1"/>
      <c r="AC597" s="1"/>
      <c r="AD597" s="1"/>
      <c r="AE597" s="1"/>
      <c r="AF597" s="1"/>
      <c r="AG597" s="1"/>
      <c r="AH597" s="1"/>
    </row>
    <row r="598" ht="12.75" hidden="1" customHeight="1" outlineLevel="1">
      <c r="A598" s="17">
        <v>41130.0</v>
      </c>
      <c r="B598" s="1"/>
      <c r="C598" s="1" t="s">
        <v>433</v>
      </c>
      <c r="D598" s="74"/>
      <c r="E598" s="67"/>
      <c r="F598" s="75"/>
      <c r="G598" s="67"/>
      <c r="H598" s="68"/>
      <c r="I598" s="76"/>
      <c r="J598" s="67"/>
      <c r="K598" s="1" t="s">
        <v>434</v>
      </c>
      <c r="L598" s="77"/>
      <c r="M598" s="79"/>
      <c r="N598" s="1"/>
      <c r="O598" s="1"/>
      <c r="P598" s="1"/>
      <c r="Q598" s="1"/>
      <c r="R598" s="1"/>
      <c r="S598" s="1"/>
      <c r="T598" s="1"/>
      <c r="U598" s="1"/>
      <c r="V598" s="1"/>
      <c r="W598" s="1"/>
      <c r="X598" s="1"/>
      <c r="Y598" s="1"/>
      <c r="Z598" s="1"/>
      <c r="AA598" s="1"/>
      <c r="AB598" s="1"/>
      <c r="AC598" s="1"/>
      <c r="AD598" s="1"/>
      <c r="AE598" s="1"/>
      <c r="AF598" s="1"/>
      <c r="AG598" s="1"/>
      <c r="AH598" s="1"/>
    </row>
    <row r="599" ht="12.75" hidden="1" customHeight="1" outlineLevel="1">
      <c r="A599" s="17">
        <v>41130.0</v>
      </c>
      <c r="B599" s="1"/>
      <c r="C599" s="1" t="s">
        <v>435</v>
      </c>
      <c r="D599" s="74"/>
      <c r="E599" s="67"/>
      <c r="F599" s="75"/>
      <c r="G599" s="67"/>
      <c r="H599" s="68"/>
      <c r="I599" s="76"/>
      <c r="J599" s="67"/>
      <c r="K599" s="7" t="s">
        <v>525</v>
      </c>
      <c r="L599" s="77"/>
      <c r="M599" s="79"/>
      <c r="N599" s="1"/>
      <c r="O599" s="1"/>
      <c r="P599" s="1"/>
      <c r="Q599" s="1"/>
      <c r="R599" s="1"/>
      <c r="S599" s="1"/>
      <c r="T599" s="1"/>
      <c r="U599" s="1"/>
      <c r="V599" s="1"/>
      <c r="W599" s="1"/>
      <c r="X599" s="1"/>
      <c r="Y599" s="1"/>
      <c r="Z599" s="1"/>
      <c r="AA599" s="1"/>
      <c r="AB599" s="1"/>
      <c r="AC599" s="1"/>
      <c r="AD599" s="1"/>
      <c r="AE599" s="1"/>
      <c r="AF599" s="1"/>
      <c r="AG599" s="1"/>
      <c r="AH599" s="1"/>
    </row>
    <row r="600" ht="12.75" hidden="1" customHeight="1" outlineLevel="1">
      <c r="A600" s="17">
        <v>41131.0</v>
      </c>
      <c r="B600" s="1"/>
      <c r="C600" s="1" t="s">
        <v>339</v>
      </c>
      <c r="D600" s="74"/>
      <c r="E600" s="67"/>
      <c r="F600" s="75"/>
      <c r="G600" s="67"/>
      <c r="H600" s="68"/>
      <c r="I600" s="76"/>
      <c r="J600" s="67"/>
      <c r="K600" s="7" t="s">
        <v>625</v>
      </c>
      <c r="L600" s="77"/>
      <c r="M600" s="79"/>
      <c r="N600" s="1"/>
      <c r="O600" s="1"/>
      <c r="P600" s="1"/>
      <c r="Q600" s="1"/>
      <c r="R600" s="1"/>
      <c r="S600" s="1"/>
      <c r="T600" s="1"/>
      <c r="U600" s="1"/>
      <c r="V600" s="1"/>
      <c r="W600" s="1"/>
      <c r="X600" s="1"/>
      <c r="Y600" s="1"/>
      <c r="Z600" s="1"/>
      <c r="AA600" s="1"/>
      <c r="AB600" s="1"/>
      <c r="AC600" s="1"/>
      <c r="AD600" s="1"/>
      <c r="AE600" s="1"/>
      <c r="AF600" s="1"/>
      <c r="AG600" s="1"/>
      <c r="AH600" s="1"/>
    </row>
    <row r="601" ht="12.75" hidden="1" customHeight="1" outlineLevel="1">
      <c r="A601" s="17">
        <v>41131.0</v>
      </c>
      <c r="B601" s="1"/>
      <c r="C601" s="1" t="s">
        <v>429</v>
      </c>
      <c r="D601" s="74"/>
      <c r="E601" s="67"/>
      <c r="F601" s="75"/>
      <c r="G601" s="67"/>
      <c r="H601" s="68"/>
      <c r="I601" s="76"/>
      <c r="J601" s="67"/>
      <c r="K601" s="7" t="s">
        <v>595</v>
      </c>
      <c r="L601" s="77"/>
      <c r="M601" s="79"/>
      <c r="N601" s="1"/>
      <c r="O601" s="1"/>
      <c r="P601" s="1"/>
      <c r="Q601" s="1"/>
      <c r="R601" s="1"/>
      <c r="S601" s="1"/>
      <c r="T601" s="1"/>
      <c r="U601" s="1"/>
      <c r="V601" s="1"/>
      <c r="W601" s="1"/>
      <c r="X601" s="1"/>
      <c r="Y601" s="1"/>
      <c r="Z601" s="1"/>
      <c r="AA601" s="1"/>
      <c r="AB601" s="1"/>
      <c r="AC601" s="1"/>
      <c r="AD601" s="1"/>
      <c r="AE601" s="1"/>
      <c r="AF601" s="1"/>
      <c r="AG601" s="1"/>
      <c r="AH601" s="1"/>
    </row>
    <row r="602" ht="12.75" hidden="1" customHeight="1" outlineLevel="1">
      <c r="A602" s="17">
        <v>41131.0</v>
      </c>
      <c r="B602" s="1"/>
      <c r="C602" s="1" t="s">
        <v>431</v>
      </c>
      <c r="D602" s="74"/>
      <c r="E602" s="67"/>
      <c r="F602" s="75"/>
      <c r="G602" s="67"/>
      <c r="H602" s="68"/>
      <c r="I602" s="76"/>
      <c r="J602" s="67"/>
      <c r="K602" s="7" t="s">
        <v>502</v>
      </c>
      <c r="L602" s="77"/>
      <c r="M602" s="79"/>
      <c r="N602" s="1"/>
      <c r="O602" s="1"/>
      <c r="P602" s="1"/>
      <c r="Q602" s="1"/>
      <c r="R602" s="1"/>
      <c r="S602" s="1"/>
      <c r="T602" s="1"/>
      <c r="U602" s="1"/>
      <c r="V602" s="1"/>
      <c r="W602" s="1"/>
      <c r="X602" s="1"/>
      <c r="Y602" s="1"/>
      <c r="Z602" s="1"/>
      <c r="AA602" s="1"/>
      <c r="AB602" s="1"/>
      <c r="AC602" s="1"/>
      <c r="AD602" s="1"/>
      <c r="AE602" s="1"/>
      <c r="AF602" s="1"/>
      <c r="AG602" s="1"/>
      <c r="AH602" s="1"/>
    </row>
    <row r="603" ht="12.75" hidden="1" customHeight="1" outlineLevel="1">
      <c r="A603" s="17">
        <v>41131.0</v>
      </c>
      <c r="B603" s="1"/>
      <c r="C603" s="1" t="s">
        <v>433</v>
      </c>
      <c r="D603" s="74"/>
      <c r="E603" s="67"/>
      <c r="F603" s="75"/>
      <c r="G603" s="67"/>
      <c r="H603" s="68"/>
      <c r="I603" s="76"/>
      <c r="J603" s="67"/>
      <c r="K603" s="1" t="s">
        <v>434</v>
      </c>
      <c r="L603" s="77"/>
      <c r="M603" s="79"/>
      <c r="N603" s="1"/>
      <c r="O603" s="1"/>
      <c r="P603" s="1"/>
      <c r="Q603" s="1"/>
      <c r="R603" s="1"/>
      <c r="S603" s="1"/>
      <c r="T603" s="1"/>
      <c r="U603" s="1"/>
      <c r="V603" s="1"/>
      <c r="W603" s="1"/>
      <c r="X603" s="1"/>
      <c r="Y603" s="1"/>
      <c r="Z603" s="1"/>
      <c r="AA603" s="1"/>
      <c r="AB603" s="1"/>
      <c r="AC603" s="1"/>
      <c r="AD603" s="1"/>
      <c r="AE603" s="1"/>
      <c r="AF603" s="1"/>
      <c r="AG603" s="1"/>
      <c r="AH603" s="1"/>
    </row>
    <row r="604" ht="12.75" hidden="1" customHeight="1" outlineLevel="1">
      <c r="A604" s="17">
        <v>41131.0</v>
      </c>
      <c r="B604" s="1"/>
      <c r="C604" s="1" t="s">
        <v>435</v>
      </c>
      <c r="D604" s="74"/>
      <c r="E604" s="67"/>
      <c r="F604" s="75"/>
      <c r="G604" s="67"/>
      <c r="H604" s="68"/>
      <c r="I604" s="76"/>
      <c r="J604" s="67"/>
      <c r="K604" s="7" t="s">
        <v>525</v>
      </c>
      <c r="L604" s="77"/>
      <c r="M604" s="79"/>
      <c r="N604" s="1"/>
      <c r="O604" s="1"/>
      <c r="P604" s="1"/>
      <c r="Q604" s="1"/>
      <c r="R604" s="1"/>
      <c r="S604" s="1"/>
      <c r="T604" s="1"/>
      <c r="U604" s="1"/>
      <c r="V604" s="1"/>
      <c r="W604" s="1"/>
      <c r="X604" s="1"/>
      <c r="Y604" s="1"/>
      <c r="Z604" s="1"/>
      <c r="AA604" s="1"/>
      <c r="AB604" s="1"/>
      <c r="AC604" s="1"/>
      <c r="AD604" s="1"/>
      <c r="AE604" s="1"/>
      <c r="AF604" s="1"/>
      <c r="AG604" s="1"/>
      <c r="AH604" s="1"/>
    </row>
    <row r="605" ht="12.75" hidden="1" customHeight="1" outlineLevel="1">
      <c r="A605" s="17">
        <v>41132.0</v>
      </c>
      <c r="B605" s="1"/>
      <c r="C605" s="1" t="s">
        <v>339</v>
      </c>
      <c r="D605" s="74"/>
      <c r="E605" s="67"/>
      <c r="F605" s="75"/>
      <c r="G605" s="67"/>
      <c r="H605" s="68"/>
      <c r="I605" s="76"/>
      <c r="J605" s="67"/>
      <c r="K605" s="7" t="s">
        <v>626</v>
      </c>
      <c r="L605" s="77"/>
      <c r="M605" s="79"/>
      <c r="N605" s="1"/>
      <c r="O605" s="1"/>
      <c r="P605" s="1"/>
      <c r="Q605" s="1"/>
      <c r="R605" s="1"/>
      <c r="S605" s="1"/>
      <c r="T605" s="1"/>
      <c r="U605" s="1"/>
      <c r="V605" s="1"/>
      <c r="W605" s="1"/>
      <c r="X605" s="1"/>
      <c r="Y605" s="1"/>
      <c r="Z605" s="1"/>
      <c r="AA605" s="1"/>
      <c r="AB605" s="1"/>
      <c r="AC605" s="1"/>
      <c r="AD605" s="1"/>
      <c r="AE605" s="1"/>
      <c r="AF605" s="1"/>
      <c r="AG605" s="1"/>
      <c r="AH605" s="1"/>
    </row>
    <row r="606" ht="12.75" hidden="1" customHeight="1" outlineLevel="1">
      <c r="A606" s="17">
        <v>41132.0</v>
      </c>
      <c r="B606" s="1"/>
      <c r="C606" s="1" t="s">
        <v>429</v>
      </c>
      <c r="D606" s="74"/>
      <c r="E606" s="67"/>
      <c r="F606" s="75"/>
      <c r="G606" s="67"/>
      <c r="H606" s="68"/>
      <c r="I606" s="76"/>
      <c r="J606" s="67"/>
      <c r="K606" s="7" t="s">
        <v>595</v>
      </c>
      <c r="L606" s="77"/>
      <c r="M606" s="79"/>
      <c r="N606" s="1"/>
      <c r="O606" s="1"/>
      <c r="P606" s="1"/>
      <c r="Q606" s="1"/>
      <c r="R606" s="1"/>
      <c r="S606" s="1"/>
      <c r="T606" s="1"/>
      <c r="U606" s="1"/>
      <c r="V606" s="1"/>
      <c r="W606" s="1"/>
      <c r="X606" s="1"/>
      <c r="Y606" s="1"/>
      <c r="Z606" s="1"/>
      <c r="AA606" s="1"/>
      <c r="AB606" s="1"/>
      <c r="AC606" s="1"/>
      <c r="AD606" s="1"/>
      <c r="AE606" s="1"/>
      <c r="AF606" s="1"/>
      <c r="AG606" s="1"/>
      <c r="AH606" s="1"/>
    </row>
    <row r="607" ht="12.75" hidden="1" customHeight="1" outlineLevel="1">
      <c r="A607" s="17">
        <v>41132.0</v>
      </c>
      <c r="B607" s="1"/>
      <c r="C607" s="1" t="s">
        <v>431</v>
      </c>
      <c r="D607" s="74"/>
      <c r="E607" s="67"/>
      <c r="F607" s="75"/>
      <c r="G607" s="67"/>
      <c r="H607" s="68"/>
      <c r="I607" s="76"/>
      <c r="J607" s="67"/>
      <c r="K607" s="7" t="s">
        <v>502</v>
      </c>
      <c r="L607" s="77"/>
      <c r="M607" s="79"/>
      <c r="N607" s="1"/>
      <c r="O607" s="1"/>
      <c r="P607" s="1"/>
      <c r="Q607" s="1"/>
      <c r="R607" s="1"/>
      <c r="S607" s="1"/>
      <c r="T607" s="1"/>
      <c r="U607" s="1"/>
      <c r="V607" s="1"/>
      <c r="W607" s="1"/>
      <c r="X607" s="1"/>
      <c r="Y607" s="1"/>
      <c r="Z607" s="1"/>
      <c r="AA607" s="1"/>
      <c r="AB607" s="1"/>
      <c r="AC607" s="1"/>
      <c r="AD607" s="1"/>
      <c r="AE607" s="1"/>
      <c r="AF607" s="1"/>
      <c r="AG607" s="1"/>
      <c r="AH607" s="1"/>
    </row>
    <row r="608" ht="12.75" hidden="1" customHeight="1" outlineLevel="1">
      <c r="A608" s="17">
        <v>41132.0</v>
      </c>
      <c r="B608" s="1"/>
      <c r="C608" s="1" t="s">
        <v>433</v>
      </c>
      <c r="D608" s="74"/>
      <c r="E608" s="67"/>
      <c r="F608" s="75"/>
      <c r="G608" s="67"/>
      <c r="H608" s="68"/>
      <c r="I608" s="76"/>
      <c r="J608" s="67"/>
      <c r="K608" s="1" t="s">
        <v>434</v>
      </c>
      <c r="L608" s="77"/>
      <c r="M608" s="79"/>
      <c r="N608" s="1"/>
      <c r="O608" s="1"/>
      <c r="P608" s="1"/>
      <c r="Q608" s="1"/>
      <c r="R608" s="1"/>
      <c r="S608" s="1"/>
      <c r="T608" s="1"/>
      <c r="U608" s="1"/>
      <c r="V608" s="1"/>
      <c r="W608" s="1"/>
      <c r="X608" s="1"/>
      <c r="Y608" s="1"/>
      <c r="Z608" s="1"/>
      <c r="AA608" s="1"/>
      <c r="AB608" s="1"/>
      <c r="AC608" s="1"/>
      <c r="AD608" s="1"/>
      <c r="AE608" s="1"/>
      <c r="AF608" s="1"/>
      <c r="AG608" s="1"/>
      <c r="AH608" s="1"/>
    </row>
    <row r="609" ht="12.75" hidden="1" customHeight="1" outlineLevel="1">
      <c r="A609" s="17">
        <v>41132.0</v>
      </c>
      <c r="B609" s="1"/>
      <c r="C609" s="1" t="s">
        <v>435</v>
      </c>
      <c r="D609" s="74"/>
      <c r="E609" s="67"/>
      <c r="F609" s="75"/>
      <c r="G609" s="67"/>
      <c r="H609" s="68"/>
      <c r="I609" s="76"/>
      <c r="J609" s="67"/>
      <c r="K609" s="7" t="s">
        <v>525</v>
      </c>
      <c r="L609" s="77"/>
      <c r="M609" s="79"/>
      <c r="N609" s="1"/>
      <c r="O609" s="1"/>
      <c r="P609" s="1"/>
      <c r="Q609" s="1"/>
      <c r="R609" s="1"/>
      <c r="S609" s="1"/>
      <c r="T609" s="1"/>
      <c r="U609" s="1"/>
      <c r="V609" s="1"/>
      <c r="W609" s="1"/>
      <c r="X609" s="1"/>
      <c r="Y609" s="1"/>
      <c r="Z609" s="1"/>
      <c r="AA609" s="1"/>
      <c r="AB609" s="1"/>
      <c r="AC609" s="1"/>
      <c r="AD609" s="1"/>
      <c r="AE609" s="1"/>
      <c r="AF609" s="1"/>
      <c r="AG609" s="1"/>
      <c r="AH609" s="1"/>
    </row>
    <row r="610" ht="12.75" hidden="1" customHeight="1" outlineLevel="1">
      <c r="A610" s="17">
        <v>41134.0</v>
      </c>
      <c r="B610" s="1" t="s">
        <v>347</v>
      </c>
      <c r="C610" s="1" t="s">
        <v>366</v>
      </c>
      <c r="D610" s="74">
        <v>125.0</v>
      </c>
      <c r="E610" s="67">
        <v>62.5</v>
      </c>
      <c r="F610" s="75">
        <v>0.4386342592592593</v>
      </c>
      <c r="G610" s="67"/>
      <c r="H610" s="68">
        <v>1.0</v>
      </c>
      <c r="I610" s="76"/>
      <c r="J610" s="67">
        <f t="shared" ref="J610:J614" si="42">IF(B610="SLD",D610*E610,-D610*E610)-H610</f>
        <v>7811.5</v>
      </c>
      <c r="K610" s="7"/>
      <c r="L610" s="70"/>
      <c r="M610" s="79"/>
      <c r="N610" s="1"/>
      <c r="O610" s="1"/>
      <c r="P610" s="1"/>
      <c r="Q610" s="1"/>
      <c r="R610" s="1"/>
      <c r="S610" s="1"/>
      <c r="T610" s="1"/>
      <c r="U610" s="1"/>
      <c r="V610" s="1"/>
      <c r="W610" s="1"/>
      <c r="X610" s="1"/>
      <c r="Y610" s="1"/>
      <c r="Z610" s="1"/>
      <c r="AA610" s="1"/>
      <c r="AB610" s="1"/>
      <c r="AC610" s="1"/>
      <c r="AD610" s="1"/>
      <c r="AE610" s="1"/>
      <c r="AF610" s="1"/>
      <c r="AG610" s="1"/>
      <c r="AH610" s="1"/>
    </row>
    <row r="611" ht="12.75" hidden="1" customHeight="1" outlineLevel="1">
      <c r="A611" s="17">
        <v>41134.0</v>
      </c>
      <c r="B611" s="1" t="s">
        <v>343</v>
      </c>
      <c r="C611" s="1" t="s">
        <v>619</v>
      </c>
      <c r="D611" s="74">
        <v>70.0</v>
      </c>
      <c r="E611" s="67">
        <v>44.49</v>
      </c>
      <c r="F611" s="75">
        <v>0.4458912037037037</v>
      </c>
      <c r="G611" s="67"/>
      <c r="H611" s="68">
        <v>1.0</v>
      </c>
      <c r="I611" s="76"/>
      <c r="J611" s="67">
        <f t="shared" si="42"/>
        <v>-3115.3</v>
      </c>
      <c r="K611" s="7"/>
      <c r="L611" s="70"/>
      <c r="M611" s="79"/>
      <c r="N611" s="1"/>
      <c r="O611" s="1"/>
      <c r="P611" s="1"/>
      <c r="Q611" s="1"/>
      <c r="R611" s="1"/>
      <c r="S611" s="1"/>
      <c r="T611" s="1"/>
      <c r="U611" s="1"/>
      <c r="V611" s="1"/>
      <c r="W611" s="1"/>
      <c r="X611" s="1"/>
      <c r="Y611" s="1"/>
      <c r="Z611" s="1"/>
      <c r="AA611" s="1"/>
      <c r="AB611" s="1"/>
      <c r="AC611" s="1"/>
      <c r="AD611" s="1"/>
      <c r="AE611" s="1"/>
      <c r="AF611" s="1"/>
      <c r="AG611" s="1"/>
      <c r="AH611" s="1"/>
    </row>
    <row r="612" ht="12.75" hidden="1" customHeight="1" outlineLevel="1">
      <c r="A612" s="17">
        <v>41134.0</v>
      </c>
      <c r="B612" s="1" t="s">
        <v>343</v>
      </c>
      <c r="C612" s="1" t="s">
        <v>409</v>
      </c>
      <c r="D612" s="74">
        <v>25.0</v>
      </c>
      <c r="E612" s="67">
        <v>146.02</v>
      </c>
      <c r="F612" s="75">
        <v>0.5070023148148148</v>
      </c>
      <c r="G612" s="67"/>
      <c r="H612" s="68">
        <v>1.0</v>
      </c>
      <c r="I612" s="76"/>
      <c r="J612" s="67">
        <f t="shared" si="42"/>
        <v>-3651.5</v>
      </c>
      <c r="K612" s="7"/>
      <c r="L612" s="70"/>
      <c r="M612" s="79"/>
      <c r="N612" s="1"/>
      <c r="O612" s="1"/>
      <c r="P612" s="1"/>
      <c r="Q612" s="1"/>
      <c r="R612" s="1"/>
      <c r="S612" s="1"/>
      <c r="T612" s="1"/>
      <c r="U612" s="1"/>
      <c r="V612" s="1"/>
      <c r="W612" s="1"/>
      <c r="X612" s="1"/>
      <c r="Y612" s="1"/>
      <c r="Z612" s="1"/>
      <c r="AA612" s="1"/>
      <c r="AB612" s="1"/>
      <c r="AC612" s="1"/>
      <c r="AD612" s="1"/>
      <c r="AE612" s="1"/>
      <c r="AF612" s="1"/>
      <c r="AG612" s="1"/>
      <c r="AH612" s="1"/>
    </row>
    <row r="613" ht="12.75" hidden="1" customHeight="1" outlineLevel="1">
      <c r="A613" s="17">
        <v>41134.0</v>
      </c>
      <c r="B613" s="1" t="s">
        <v>347</v>
      </c>
      <c r="C613" s="1" t="s">
        <v>409</v>
      </c>
      <c r="D613" s="74">
        <v>25.0</v>
      </c>
      <c r="E613" s="67">
        <v>146.13</v>
      </c>
      <c r="F613" s="75">
        <v>0.5146296296296297</v>
      </c>
      <c r="G613" s="67"/>
      <c r="H613" s="68">
        <v>1.0</v>
      </c>
      <c r="I613" s="76"/>
      <c r="J613" s="67">
        <f t="shared" si="42"/>
        <v>3652.25</v>
      </c>
      <c r="K613" s="7"/>
      <c r="L613" s="70"/>
      <c r="M613" s="79"/>
      <c r="N613" s="1"/>
      <c r="O613" s="1"/>
      <c r="P613" s="1"/>
      <c r="Q613" s="1"/>
      <c r="R613" s="1"/>
      <c r="S613" s="1"/>
      <c r="T613" s="1"/>
      <c r="U613" s="1"/>
      <c r="V613" s="1"/>
      <c r="W613" s="1"/>
      <c r="X613" s="1"/>
      <c r="Y613" s="1"/>
      <c r="Z613" s="1"/>
      <c r="AA613" s="1"/>
      <c r="AB613" s="1"/>
      <c r="AC613" s="1"/>
      <c r="AD613" s="1"/>
      <c r="AE613" s="1"/>
      <c r="AF613" s="1"/>
      <c r="AG613" s="1"/>
      <c r="AH613" s="1"/>
    </row>
    <row r="614" ht="12.75" hidden="1" customHeight="1" outlineLevel="1">
      <c r="A614" s="17">
        <v>41134.0</v>
      </c>
      <c r="B614" s="1" t="s">
        <v>347</v>
      </c>
      <c r="C614" s="1" t="s">
        <v>385</v>
      </c>
      <c r="D614" s="74">
        <v>200.0</v>
      </c>
      <c r="E614" s="67">
        <v>2.93</v>
      </c>
      <c r="F614" s="75">
        <v>0.6650231481481481</v>
      </c>
      <c r="G614" s="67"/>
      <c r="H614" s="68">
        <v>1.0</v>
      </c>
      <c r="I614" s="76"/>
      <c r="J614" s="67">
        <f t="shared" si="42"/>
        <v>585</v>
      </c>
      <c r="K614" s="7"/>
      <c r="L614" s="70"/>
      <c r="M614" s="79"/>
      <c r="N614" s="1"/>
      <c r="O614" s="1"/>
      <c r="P614" s="1"/>
      <c r="Q614" s="1"/>
      <c r="R614" s="1"/>
      <c r="S614" s="1"/>
      <c r="T614" s="1"/>
      <c r="U614" s="1"/>
      <c r="V614" s="1"/>
      <c r="W614" s="1"/>
      <c r="X614" s="1"/>
      <c r="Y614" s="1"/>
      <c r="Z614" s="1"/>
      <c r="AA614" s="1"/>
      <c r="AB614" s="1"/>
      <c r="AC614" s="1"/>
      <c r="AD614" s="1"/>
      <c r="AE614" s="1"/>
      <c r="AF614" s="1"/>
      <c r="AG614" s="1"/>
      <c r="AH614" s="1"/>
    </row>
    <row r="615" ht="12.75" hidden="1" customHeight="1" outlineLevel="1">
      <c r="A615" s="17">
        <v>41134.0</v>
      </c>
      <c r="B615" s="1"/>
      <c r="C615" s="1" t="s">
        <v>339</v>
      </c>
      <c r="D615" s="74"/>
      <c r="E615" s="67"/>
      <c r="F615" s="75"/>
      <c r="G615" s="67"/>
      <c r="H615" s="68"/>
      <c r="I615" s="76"/>
      <c r="J615" s="67"/>
      <c r="K615" s="7" t="s">
        <v>627</v>
      </c>
      <c r="L615" s="77"/>
      <c r="M615" s="79"/>
      <c r="N615" s="1"/>
      <c r="O615" s="1"/>
      <c r="P615" s="1"/>
      <c r="Q615" s="1"/>
      <c r="R615" s="1"/>
      <c r="S615" s="1"/>
      <c r="T615" s="1"/>
      <c r="U615" s="1"/>
      <c r="V615" s="1"/>
      <c r="W615" s="1"/>
      <c r="X615" s="1"/>
      <c r="Y615" s="1"/>
      <c r="Z615" s="1"/>
      <c r="AA615" s="1"/>
      <c r="AB615" s="1"/>
      <c r="AC615" s="1"/>
      <c r="AD615" s="1"/>
      <c r="AE615" s="1"/>
      <c r="AF615" s="1"/>
      <c r="AG615" s="1"/>
      <c r="AH615" s="1"/>
    </row>
    <row r="616" ht="12.75" hidden="1" customHeight="1" outlineLevel="1">
      <c r="A616" s="17">
        <v>41134.0</v>
      </c>
      <c r="B616" s="1"/>
      <c r="C616" s="1" t="s">
        <v>429</v>
      </c>
      <c r="D616" s="74"/>
      <c r="E616" s="67"/>
      <c r="F616" s="75"/>
      <c r="G616" s="67"/>
      <c r="H616" s="68"/>
      <c r="I616" s="76"/>
      <c r="J616" s="67"/>
      <c r="K616" s="7" t="s">
        <v>595</v>
      </c>
      <c r="L616" s="77"/>
      <c r="M616" s="79"/>
      <c r="N616" s="1"/>
      <c r="O616" s="1"/>
      <c r="P616" s="1"/>
      <c r="Q616" s="1"/>
      <c r="R616" s="1"/>
      <c r="S616" s="1"/>
      <c r="T616" s="1"/>
      <c r="U616" s="1"/>
      <c r="V616" s="1"/>
      <c r="W616" s="1"/>
      <c r="X616" s="1"/>
      <c r="Y616" s="1"/>
      <c r="Z616" s="1"/>
      <c r="AA616" s="1"/>
      <c r="AB616" s="1"/>
      <c r="AC616" s="1"/>
      <c r="AD616" s="1"/>
      <c r="AE616" s="1"/>
      <c r="AF616" s="1"/>
      <c r="AG616" s="1"/>
      <c r="AH616" s="1"/>
    </row>
    <row r="617" ht="12.75" hidden="1" customHeight="1" outlineLevel="1">
      <c r="A617" s="17">
        <v>41134.0</v>
      </c>
      <c r="B617" s="1"/>
      <c r="C617" s="1" t="s">
        <v>431</v>
      </c>
      <c r="D617" s="74"/>
      <c r="E617" s="67"/>
      <c r="F617" s="75"/>
      <c r="G617" s="67"/>
      <c r="H617" s="68"/>
      <c r="I617" s="76"/>
      <c r="J617" s="67"/>
      <c r="K617" s="7" t="s">
        <v>502</v>
      </c>
      <c r="L617" s="77"/>
      <c r="M617" s="79"/>
      <c r="N617" s="1"/>
      <c r="O617" s="1"/>
      <c r="P617" s="1"/>
      <c r="Q617" s="1"/>
      <c r="R617" s="1"/>
      <c r="S617" s="1"/>
      <c r="T617" s="1"/>
      <c r="U617" s="1"/>
      <c r="V617" s="1"/>
      <c r="W617" s="1"/>
      <c r="X617" s="1"/>
      <c r="Y617" s="1"/>
      <c r="Z617" s="1"/>
      <c r="AA617" s="1"/>
      <c r="AB617" s="1"/>
      <c r="AC617" s="1"/>
      <c r="AD617" s="1"/>
      <c r="AE617" s="1"/>
      <c r="AF617" s="1"/>
      <c r="AG617" s="1"/>
      <c r="AH617" s="1"/>
    </row>
    <row r="618" ht="12.75" hidden="1" customHeight="1" outlineLevel="1">
      <c r="A618" s="17">
        <v>41134.0</v>
      </c>
      <c r="B618" s="1"/>
      <c r="C618" s="1" t="s">
        <v>433</v>
      </c>
      <c r="D618" s="74"/>
      <c r="E618" s="67"/>
      <c r="F618" s="75"/>
      <c r="G618" s="67"/>
      <c r="H618" s="68"/>
      <c r="I618" s="76"/>
      <c r="J618" s="67"/>
      <c r="K618" s="1" t="s">
        <v>434</v>
      </c>
      <c r="L618" s="77"/>
      <c r="M618" s="79"/>
      <c r="N618" s="1"/>
      <c r="O618" s="1"/>
      <c r="P618" s="1"/>
      <c r="Q618" s="1"/>
      <c r="R618" s="1"/>
      <c r="S618" s="1"/>
      <c r="T618" s="1"/>
      <c r="U618" s="1"/>
      <c r="V618" s="1"/>
      <c r="W618" s="1"/>
      <c r="X618" s="1"/>
      <c r="Y618" s="1"/>
      <c r="Z618" s="1"/>
      <c r="AA618" s="1"/>
      <c r="AB618" s="1"/>
      <c r="AC618" s="1"/>
      <c r="AD618" s="1"/>
      <c r="AE618" s="1"/>
      <c r="AF618" s="1"/>
      <c r="AG618" s="1"/>
      <c r="AH618" s="1"/>
    </row>
    <row r="619" ht="12.75" hidden="1" customHeight="1" outlineLevel="1">
      <c r="A619" s="17">
        <v>41134.0</v>
      </c>
      <c r="B619" s="1"/>
      <c r="C619" s="1" t="s">
        <v>435</v>
      </c>
      <c r="D619" s="74"/>
      <c r="E619" s="67"/>
      <c r="F619" s="75"/>
      <c r="G619" s="67"/>
      <c r="H619" s="68"/>
      <c r="I619" s="76"/>
      <c r="J619" s="67"/>
      <c r="K619" s="7" t="s">
        <v>525</v>
      </c>
      <c r="L619" s="77"/>
      <c r="M619" s="79"/>
      <c r="N619" s="1"/>
      <c r="O619" s="1"/>
      <c r="P619" s="1"/>
      <c r="Q619" s="1"/>
      <c r="R619" s="1"/>
      <c r="S619" s="1"/>
      <c r="T619" s="1"/>
      <c r="U619" s="1"/>
      <c r="V619" s="1"/>
      <c r="W619" s="1"/>
      <c r="X619" s="1"/>
      <c r="Y619" s="1"/>
      <c r="Z619" s="1"/>
      <c r="AA619" s="1"/>
      <c r="AB619" s="1"/>
      <c r="AC619" s="1"/>
      <c r="AD619" s="1"/>
      <c r="AE619" s="1"/>
      <c r="AF619" s="1"/>
      <c r="AG619" s="1"/>
      <c r="AH619" s="1"/>
    </row>
    <row r="620" ht="12.75" hidden="1" customHeight="1" outlineLevel="1">
      <c r="A620" s="17">
        <v>41135.0</v>
      </c>
      <c r="B620" s="1" t="s">
        <v>343</v>
      </c>
      <c r="C620" s="1" t="s">
        <v>346</v>
      </c>
      <c r="D620" s="74">
        <v>17.0</v>
      </c>
      <c r="E620" s="67">
        <v>634.68</v>
      </c>
      <c r="F620" s="75">
        <v>0.41974537037037035</v>
      </c>
      <c r="G620" s="67">
        <v>2.0120814E7</v>
      </c>
      <c r="H620" s="68">
        <v>1.0</v>
      </c>
      <c r="I620" s="76"/>
      <c r="J620" s="67">
        <f>IF(B620="SLD",D620*E620,-D620*E620)-H620</f>
        <v>-10790.56</v>
      </c>
      <c r="K620" s="7" t="s">
        <v>395</v>
      </c>
      <c r="L620" s="70"/>
      <c r="M620" s="79"/>
      <c r="N620" s="1"/>
      <c r="O620" s="1"/>
      <c r="P620" s="1"/>
      <c r="Q620" s="1"/>
      <c r="R620" s="1"/>
      <c r="S620" s="1"/>
      <c r="T620" s="1"/>
      <c r="U620" s="1"/>
      <c r="V620" s="1"/>
      <c r="W620" s="1"/>
      <c r="X620" s="1"/>
      <c r="Y620" s="1"/>
      <c r="Z620" s="1"/>
      <c r="AA620" s="1"/>
      <c r="AB620" s="1"/>
      <c r="AC620" s="1"/>
      <c r="AD620" s="1"/>
      <c r="AE620" s="1"/>
      <c r="AF620" s="1"/>
      <c r="AG620" s="1"/>
      <c r="AH620" s="1"/>
    </row>
    <row r="621" ht="12.75" hidden="1" customHeight="1" outlineLevel="1">
      <c r="A621" s="17">
        <v>41135.0</v>
      </c>
      <c r="B621" s="1"/>
      <c r="C621" s="1" t="s">
        <v>339</v>
      </c>
      <c r="D621" s="74"/>
      <c r="E621" s="67"/>
      <c r="F621" s="75"/>
      <c r="G621" s="67"/>
      <c r="H621" s="68"/>
      <c r="I621" s="76"/>
      <c r="J621" s="67"/>
      <c r="K621" s="7" t="s">
        <v>628</v>
      </c>
      <c r="L621" s="77"/>
      <c r="M621" s="79"/>
      <c r="N621" s="1"/>
      <c r="O621" s="1"/>
      <c r="P621" s="1"/>
      <c r="Q621" s="1"/>
      <c r="R621" s="1"/>
      <c r="S621" s="1"/>
      <c r="T621" s="1"/>
      <c r="U621" s="1"/>
      <c r="V621" s="1"/>
      <c r="W621" s="1"/>
      <c r="X621" s="1"/>
      <c r="Y621" s="1"/>
      <c r="Z621" s="1"/>
      <c r="AA621" s="1"/>
      <c r="AB621" s="1"/>
      <c r="AC621" s="1"/>
      <c r="AD621" s="1"/>
      <c r="AE621" s="1"/>
      <c r="AF621" s="1"/>
      <c r="AG621" s="1"/>
      <c r="AH621" s="1"/>
    </row>
    <row r="622" ht="12.75" hidden="1" customHeight="1" outlineLevel="1">
      <c r="A622" s="17">
        <v>41135.0</v>
      </c>
      <c r="B622" s="1"/>
      <c r="C622" s="1" t="s">
        <v>429</v>
      </c>
      <c r="D622" s="74"/>
      <c r="E622" s="67"/>
      <c r="F622" s="75"/>
      <c r="G622" s="67"/>
      <c r="H622" s="68"/>
      <c r="I622" s="76"/>
      <c r="J622" s="67"/>
      <c r="K622" s="7" t="s">
        <v>595</v>
      </c>
      <c r="L622" s="77"/>
      <c r="M622" s="79"/>
      <c r="N622" s="1"/>
      <c r="O622" s="1"/>
      <c r="P622" s="1"/>
      <c r="Q622" s="1"/>
      <c r="R622" s="1"/>
      <c r="S622" s="1"/>
      <c r="T622" s="1"/>
      <c r="U622" s="1"/>
      <c r="V622" s="1"/>
      <c r="W622" s="1"/>
      <c r="X622" s="1"/>
      <c r="Y622" s="1"/>
      <c r="Z622" s="1"/>
      <c r="AA622" s="1"/>
      <c r="AB622" s="1"/>
      <c r="AC622" s="1"/>
      <c r="AD622" s="1"/>
      <c r="AE622" s="1"/>
      <c r="AF622" s="1"/>
      <c r="AG622" s="1"/>
      <c r="AH622" s="1"/>
    </row>
    <row r="623" ht="12.75" hidden="1" customHeight="1" outlineLevel="1">
      <c r="A623" s="17">
        <v>41135.0</v>
      </c>
      <c r="B623" s="1"/>
      <c r="C623" s="1" t="s">
        <v>431</v>
      </c>
      <c r="D623" s="74"/>
      <c r="E623" s="67"/>
      <c r="F623" s="75"/>
      <c r="G623" s="67"/>
      <c r="H623" s="68"/>
      <c r="I623" s="76"/>
      <c r="J623" s="67"/>
      <c r="K623" s="7" t="s">
        <v>502</v>
      </c>
      <c r="L623" s="77"/>
      <c r="M623" s="79"/>
      <c r="N623" s="1"/>
      <c r="O623" s="1"/>
      <c r="P623" s="1"/>
      <c r="Q623" s="1"/>
      <c r="R623" s="1"/>
      <c r="S623" s="1"/>
      <c r="T623" s="1"/>
      <c r="U623" s="1"/>
      <c r="V623" s="1"/>
      <c r="W623" s="1"/>
      <c r="X623" s="1"/>
      <c r="Y623" s="1"/>
      <c r="Z623" s="1"/>
      <c r="AA623" s="1"/>
      <c r="AB623" s="1"/>
      <c r="AC623" s="1"/>
      <c r="AD623" s="1"/>
      <c r="AE623" s="1"/>
      <c r="AF623" s="1"/>
      <c r="AG623" s="1"/>
      <c r="AH623" s="1"/>
    </row>
    <row r="624" ht="12.75" hidden="1" customHeight="1" outlineLevel="1">
      <c r="A624" s="17">
        <v>41135.0</v>
      </c>
      <c r="B624" s="1"/>
      <c r="C624" s="1" t="s">
        <v>433</v>
      </c>
      <c r="D624" s="74"/>
      <c r="E624" s="67"/>
      <c r="F624" s="75"/>
      <c r="G624" s="67"/>
      <c r="H624" s="68"/>
      <c r="I624" s="76"/>
      <c r="J624" s="67"/>
      <c r="K624" s="1" t="s">
        <v>434</v>
      </c>
      <c r="L624" s="77"/>
      <c r="M624" s="79"/>
      <c r="N624" s="1"/>
      <c r="O624" s="1"/>
      <c r="P624" s="1"/>
      <c r="Q624" s="1"/>
      <c r="R624" s="1"/>
      <c r="S624" s="1"/>
      <c r="T624" s="1"/>
      <c r="U624" s="1"/>
      <c r="V624" s="1"/>
      <c r="W624" s="1"/>
      <c r="X624" s="1"/>
      <c r="Y624" s="1"/>
      <c r="Z624" s="1"/>
      <c r="AA624" s="1"/>
      <c r="AB624" s="1"/>
      <c r="AC624" s="1"/>
      <c r="AD624" s="1"/>
      <c r="AE624" s="1"/>
      <c r="AF624" s="1"/>
      <c r="AG624" s="1"/>
      <c r="AH624" s="1"/>
    </row>
    <row r="625" ht="12.75" hidden="1" customHeight="1" outlineLevel="1">
      <c r="A625" s="17">
        <v>41135.0</v>
      </c>
      <c r="B625" s="1"/>
      <c r="C625" s="1" t="s">
        <v>435</v>
      </c>
      <c r="D625" s="74"/>
      <c r="E625" s="67"/>
      <c r="F625" s="75"/>
      <c r="G625" s="67"/>
      <c r="H625" s="68"/>
      <c r="I625" s="76"/>
      <c r="J625" s="67"/>
      <c r="K625" s="7" t="s">
        <v>629</v>
      </c>
      <c r="L625" s="77"/>
      <c r="M625" s="79"/>
      <c r="N625" s="1"/>
      <c r="O625" s="1"/>
      <c r="P625" s="1"/>
      <c r="Q625" s="1"/>
      <c r="R625" s="1"/>
      <c r="S625" s="1"/>
      <c r="T625" s="1"/>
      <c r="U625" s="1"/>
      <c r="V625" s="1"/>
      <c r="W625" s="1"/>
      <c r="X625" s="1"/>
      <c r="Y625" s="1"/>
      <c r="Z625" s="1"/>
      <c r="AA625" s="1"/>
      <c r="AB625" s="1"/>
      <c r="AC625" s="1"/>
      <c r="AD625" s="1"/>
      <c r="AE625" s="1"/>
      <c r="AF625" s="1"/>
      <c r="AG625" s="1"/>
      <c r="AH625" s="1"/>
    </row>
    <row r="626" ht="12.75" hidden="1" customHeight="1" outlineLevel="1">
      <c r="A626" s="17">
        <v>41136.0</v>
      </c>
      <c r="B626" s="1" t="s">
        <v>347</v>
      </c>
      <c r="C626" s="1" t="s">
        <v>368</v>
      </c>
      <c r="D626" s="1">
        <v>175.0</v>
      </c>
      <c r="E626" s="1">
        <v>37.4</v>
      </c>
      <c r="F626" s="115">
        <v>0.5117939814814815</v>
      </c>
      <c r="G626" s="1">
        <v>2.0120815E7</v>
      </c>
      <c r="H626" s="1">
        <v>1.0</v>
      </c>
      <c r="I626" s="76"/>
      <c r="J626" s="67">
        <f t="shared" ref="J626:J627" si="43">IF(B626="SLD",D626*E626,-D626*E626)-H626</f>
        <v>6544</v>
      </c>
      <c r="K626" s="7"/>
      <c r="L626" s="70"/>
      <c r="M626" s="79"/>
      <c r="N626" s="1"/>
      <c r="O626" s="1"/>
      <c r="P626" s="1"/>
      <c r="Q626" s="1"/>
      <c r="R626" s="1"/>
      <c r="S626" s="1"/>
      <c r="T626" s="1"/>
      <c r="U626" s="1"/>
      <c r="V626" s="1"/>
      <c r="W626" s="1"/>
      <c r="X626" s="1"/>
      <c r="Y626" s="1"/>
      <c r="Z626" s="1"/>
      <c r="AA626" s="1"/>
      <c r="AB626" s="1"/>
      <c r="AC626" s="1"/>
      <c r="AD626" s="1"/>
      <c r="AE626" s="1"/>
      <c r="AF626" s="1"/>
      <c r="AG626" s="1"/>
      <c r="AH626" s="1"/>
    </row>
    <row r="627" ht="12.75" hidden="1" customHeight="1" outlineLevel="1">
      <c r="A627" s="17">
        <v>41136.0</v>
      </c>
      <c r="B627" s="1" t="s">
        <v>347</v>
      </c>
      <c r="C627" s="1" t="s">
        <v>630</v>
      </c>
      <c r="D627" s="1">
        <v>700.0</v>
      </c>
      <c r="E627" s="1">
        <f>4.12*1.0505</f>
        <v>4.32806</v>
      </c>
      <c r="F627" s="115">
        <v>0.8839814814814816</v>
      </c>
      <c r="G627" s="1" t="s">
        <v>631</v>
      </c>
      <c r="H627" s="1">
        <v>6.0</v>
      </c>
      <c r="I627" s="76"/>
      <c r="J627" s="67">
        <f t="shared" si="43"/>
        <v>3023.642</v>
      </c>
      <c r="K627" s="7"/>
      <c r="L627" s="70"/>
      <c r="M627" s="79"/>
      <c r="N627" s="1"/>
      <c r="O627" s="1"/>
      <c r="P627" s="1"/>
      <c r="Q627" s="1"/>
      <c r="R627" s="1"/>
      <c r="S627" s="1"/>
      <c r="T627" s="1"/>
      <c r="U627" s="1"/>
      <c r="V627" s="1"/>
      <c r="W627" s="1"/>
      <c r="X627" s="1"/>
      <c r="Y627" s="1"/>
      <c r="Z627" s="1"/>
      <c r="AA627" s="1"/>
      <c r="AB627" s="1"/>
      <c r="AC627" s="1"/>
      <c r="AD627" s="1"/>
      <c r="AE627" s="1"/>
      <c r="AF627" s="1"/>
      <c r="AG627" s="1"/>
      <c r="AH627" s="1"/>
    </row>
    <row r="628" ht="12.75" hidden="1" customHeight="1" outlineLevel="1">
      <c r="A628" s="17">
        <v>41136.0</v>
      </c>
      <c r="B628" s="7" t="s">
        <v>347</v>
      </c>
      <c r="C628" s="7" t="s">
        <v>631</v>
      </c>
      <c r="D628" s="74">
        <f>2898</f>
        <v>2898</v>
      </c>
      <c r="E628" s="1">
        <f>1.0505</f>
        <v>1.0505</v>
      </c>
      <c r="F628" s="115">
        <v>0.8850810185185186</v>
      </c>
      <c r="G628" s="1" t="s">
        <v>453</v>
      </c>
      <c r="H628" s="1">
        <v>2.5</v>
      </c>
      <c r="I628" s="76"/>
      <c r="J628" s="67"/>
      <c r="K628" s="7"/>
      <c r="L628" s="70"/>
      <c r="M628" s="79"/>
      <c r="N628" s="1"/>
      <c r="O628" s="1"/>
      <c r="P628" s="1"/>
      <c r="Q628" s="1"/>
      <c r="R628" s="1"/>
      <c r="S628" s="1"/>
      <c r="T628" s="1"/>
      <c r="U628" s="1"/>
      <c r="V628" s="1"/>
      <c r="W628" s="1"/>
      <c r="X628" s="1"/>
      <c r="Y628" s="1"/>
      <c r="Z628" s="1"/>
      <c r="AA628" s="1"/>
      <c r="AB628" s="1"/>
      <c r="AC628" s="1"/>
      <c r="AD628" s="1"/>
      <c r="AE628" s="1"/>
      <c r="AF628" s="1"/>
      <c r="AG628" s="1"/>
      <c r="AH628" s="1"/>
    </row>
    <row r="629" ht="12.75" hidden="1" customHeight="1" outlineLevel="1">
      <c r="A629" s="17">
        <v>41136.0</v>
      </c>
      <c r="B629" s="1"/>
      <c r="C629" s="1" t="s">
        <v>339</v>
      </c>
      <c r="D629" s="74"/>
      <c r="E629" s="67"/>
      <c r="F629" s="75"/>
      <c r="G629" s="67"/>
      <c r="H629" s="68"/>
      <c r="I629" s="76"/>
      <c r="J629" s="67"/>
      <c r="K629" s="7" t="s">
        <v>632</v>
      </c>
      <c r="L629" s="77"/>
      <c r="M629" s="79"/>
      <c r="N629" s="1"/>
      <c r="O629" s="1"/>
      <c r="P629" s="1"/>
      <c r="Q629" s="1"/>
      <c r="R629" s="1"/>
      <c r="S629" s="1"/>
      <c r="T629" s="1"/>
      <c r="U629" s="1"/>
      <c r="V629" s="1"/>
      <c r="W629" s="1"/>
      <c r="X629" s="1"/>
      <c r="Y629" s="1"/>
      <c r="Z629" s="1"/>
      <c r="AA629" s="1"/>
      <c r="AB629" s="1"/>
      <c r="AC629" s="1"/>
      <c r="AD629" s="1"/>
      <c r="AE629" s="1"/>
      <c r="AF629" s="1"/>
      <c r="AG629" s="1"/>
      <c r="AH629" s="1"/>
    </row>
    <row r="630" ht="12.75" hidden="1" customHeight="1" outlineLevel="1">
      <c r="A630" s="17">
        <v>41136.0</v>
      </c>
      <c r="B630" s="1"/>
      <c r="C630" s="1" t="s">
        <v>429</v>
      </c>
      <c r="D630" s="74"/>
      <c r="E630" s="67"/>
      <c r="F630" s="75"/>
      <c r="G630" s="67"/>
      <c r="H630" s="68"/>
      <c r="I630" s="76"/>
      <c r="J630" s="67"/>
      <c r="K630" s="7" t="s">
        <v>595</v>
      </c>
      <c r="L630" s="77"/>
      <c r="M630" s="79"/>
      <c r="N630" s="1"/>
      <c r="O630" s="1"/>
      <c r="P630" s="1"/>
      <c r="Q630" s="1"/>
      <c r="R630" s="1"/>
      <c r="S630" s="1"/>
      <c r="T630" s="1"/>
      <c r="U630" s="1"/>
      <c r="V630" s="1"/>
      <c r="W630" s="1"/>
      <c r="X630" s="1"/>
      <c r="Y630" s="1"/>
      <c r="Z630" s="1"/>
      <c r="AA630" s="1"/>
      <c r="AB630" s="1"/>
      <c r="AC630" s="1"/>
      <c r="AD630" s="1"/>
      <c r="AE630" s="1"/>
      <c r="AF630" s="1"/>
      <c r="AG630" s="1"/>
      <c r="AH630" s="1"/>
    </row>
    <row r="631" ht="12.75" hidden="1" customHeight="1" outlineLevel="1">
      <c r="A631" s="17">
        <v>41136.0</v>
      </c>
      <c r="B631" s="1"/>
      <c r="C631" s="1" t="s">
        <v>431</v>
      </c>
      <c r="D631" s="74"/>
      <c r="E631" s="67"/>
      <c r="F631" s="75"/>
      <c r="G631" s="67"/>
      <c r="H631" s="68"/>
      <c r="I631" s="76"/>
      <c r="J631" s="67"/>
      <c r="K631" s="7" t="s">
        <v>502</v>
      </c>
      <c r="L631" s="77"/>
      <c r="M631" s="79"/>
      <c r="N631" s="1"/>
      <c r="O631" s="1"/>
      <c r="P631" s="1"/>
      <c r="Q631" s="1"/>
      <c r="R631" s="1"/>
      <c r="S631" s="1"/>
      <c r="T631" s="1"/>
      <c r="U631" s="1"/>
      <c r="V631" s="1"/>
      <c r="W631" s="1"/>
      <c r="X631" s="1"/>
      <c r="Y631" s="1"/>
      <c r="Z631" s="1"/>
      <c r="AA631" s="1"/>
      <c r="AB631" s="1"/>
      <c r="AC631" s="1"/>
      <c r="AD631" s="1"/>
      <c r="AE631" s="1"/>
      <c r="AF631" s="1"/>
      <c r="AG631" s="1"/>
      <c r="AH631" s="1"/>
    </row>
    <row r="632" ht="12.75" hidden="1" customHeight="1" outlineLevel="1">
      <c r="A632" s="17">
        <v>41136.0</v>
      </c>
      <c r="B632" s="1"/>
      <c r="C632" s="1" t="s">
        <v>433</v>
      </c>
      <c r="D632" s="74"/>
      <c r="E632" s="67"/>
      <c r="F632" s="75"/>
      <c r="G632" s="67"/>
      <c r="H632" s="68"/>
      <c r="I632" s="76"/>
      <c r="J632" s="67"/>
      <c r="K632" s="1" t="s">
        <v>434</v>
      </c>
      <c r="L632" s="77"/>
      <c r="M632" s="79"/>
      <c r="N632" s="1"/>
      <c r="O632" s="1"/>
      <c r="P632" s="1"/>
      <c r="Q632" s="1"/>
      <c r="R632" s="1"/>
      <c r="S632" s="1"/>
      <c r="T632" s="1"/>
      <c r="U632" s="1"/>
      <c r="V632" s="1"/>
      <c r="W632" s="1"/>
      <c r="X632" s="1"/>
      <c r="Y632" s="1"/>
      <c r="Z632" s="1"/>
      <c r="AA632" s="1"/>
      <c r="AB632" s="1"/>
      <c r="AC632" s="1"/>
      <c r="AD632" s="1"/>
      <c r="AE632" s="1"/>
      <c r="AF632" s="1"/>
      <c r="AG632" s="1"/>
      <c r="AH632" s="1"/>
    </row>
    <row r="633" ht="12.75" hidden="1" customHeight="1" outlineLevel="1">
      <c r="A633" s="17">
        <v>41136.0</v>
      </c>
      <c r="B633" s="1"/>
      <c r="C633" s="1" t="s">
        <v>435</v>
      </c>
      <c r="D633" s="74"/>
      <c r="E633" s="67"/>
      <c r="F633" s="75"/>
      <c r="G633" s="67"/>
      <c r="H633" s="68"/>
      <c r="I633" s="76"/>
      <c r="J633" s="67"/>
      <c r="K633" s="7" t="s">
        <v>629</v>
      </c>
      <c r="L633" s="77"/>
      <c r="M633" s="79"/>
      <c r="N633" s="1"/>
      <c r="O633" s="1"/>
      <c r="P633" s="1"/>
      <c r="Q633" s="1"/>
      <c r="R633" s="1"/>
      <c r="S633" s="1"/>
      <c r="T633" s="1"/>
      <c r="U633" s="1"/>
      <c r="V633" s="1"/>
      <c r="W633" s="1"/>
      <c r="X633" s="1"/>
      <c r="Y633" s="1"/>
      <c r="Z633" s="1"/>
      <c r="AA633" s="1"/>
      <c r="AB633" s="1"/>
      <c r="AC633" s="1"/>
      <c r="AD633" s="1"/>
      <c r="AE633" s="1"/>
      <c r="AF633" s="1"/>
      <c r="AG633" s="1"/>
      <c r="AH633" s="1"/>
    </row>
    <row r="634" ht="12.75" hidden="1" customHeight="1" outlineLevel="1">
      <c r="A634" s="17">
        <v>41137.0</v>
      </c>
      <c r="B634" s="1" t="s">
        <v>347</v>
      </c>
      <c r="C634" s="1" t="s">
        <v>381</v>
      </c>
      <c r="D634" s="74">
        <v>200.0</v>
      </c>
      <c r="E634" s="67">
        <v>20.2</v>
      </c>
      <c r="F634" s="75">
        <v>0.3964699074074074</v>
      </c>
      <c r="G634" s="67">
        <v>2.0120816E7</v>
      </c>
      <c r="H634" s="68">
        <v>1.0</v>
      </c>
      <c r="I634" s="76"/>
      <c r="J634" s="67">
        <f t="shared" ref="J634:J652" si="44">IF(B634="SLD",D634*E634,-D634*E634)-H634</f>
        <v>4039</v>
      </c>
      <c r="K634" s="7" t="s">
        <v>395</v>
      </c>
      <c r="L634" s="70"/>
      <c r="M634" s="79"/>
      <c r="N634" s="1"/>
      <c r="O634" s="1"/>
      <c r="P634" s="1"/>
      <c r="Q634" s="1"/>
      <c r="R634" s="1"/>
      <c r="S634" s="1"/>
      <c r="T634" s="1"/>
      <c r="U634" s="1"/>
      <c r="V634" s="1"/>
      <c r="W634" s="1"/>
      <c r="X634" s="1"/>
      <c r="Y634" s="1"/>
      <c r="Z634" s="1"/>
      <c r="AA634" s="1"/>
      <c r="AB634" s="1"/>
      <c r="AC634" s="1"/>
      <c r="AD634" s="1"/>
      <c r="AE634" s="1"/>
      <c r="AF634" s="1"/>
      <c r="AG634" s="1"/>
      <c r="AH634" s="1"/>
    </row>
    <row r="635" ht="12.75" hidden="1" customHeight="1" outlineLevel="1">
      <c r="A635" s="17">
        <v>41137.0</v>
      </c>
      <c r="B635" s="1" t="s">
        <v>347</v>
      </c>
      <c r="C635" s="1" t="s">
        <v>441</v>
      </c>
      <c r="D635" s="74">
        <v>100.0</v>
      </c>
      <c r="E635" s="67">
        <v>6.4701</v>
      </c>
      <c r="F635" s="75">
        <v>0.40662037037037035</v>
      </c>
      <c r="G635" s="67">
        <v>2.0120816E7</v>
      </c>
      <c r="H635" s="68">
        <v>1.0</v>
      </c>
      <c r="I635" s="76"/>
      <c r="J635" s="67">
        <f t="shared" si="44"/>
        <v>646.01</v>
      </c>
      <c r="K635" s="7" t="s">
        <v>395</v>
      </c>
      <c r="L635" s="70"/>
      <c r="M635" s="79"/>
      <c r="N635" s="1"/>
      <c r="O635" s="1"/>
      <c r="P635" s="1"/>
      <c r="Q635" s="1"/>
      <c r="R635" s="1"/>
      <c r="S635" s="1"/>
      <c r="T635" s="1"/>
      <c r="U635" s="1"/>
      <c r="V635" s="1"/>
      <c r="W635" s="1"/>
      <c r="X635" s="1"/>
      <c r="Y635" s="1"/>
      <c r="Z635" s="1"/>
      <c r="AA635" s="1"/>
      <c r="AB635" s="1"/>
      <c r="AC635" s="1"/>
      <c r="AD635" s="1"/>
      <c r="AE635" s="1"/>
      <c r="AF635" s="1"/>
      <c r="AG635" s="1"/>
      <c r="AH635" s="1"/>
    </row>
    <row r="636" ht="12.75" hidden="1" customHeight="1" outlineLevel="1">
      <c r="A636" s="17">
        <v>41137.0</v>
      </c>
      <c r="B636" s="1" t="s">
        <v>347</v>
      </c>
      <c r="C636" s="1" t="s">
        <v>441</v>
      </c>
      <c r="D636" s="74">
        <v>100.0</v>
      </c>
      <c r="E636" s="67">
        <v>6.47</v>
      </c>
      <c r="F636" s="75">
        <v>0.40662037037037035</v>
      </c>
      <c r="G636" s="67">
        <v>2.0120816E7</v>
      </c>
      <c r="H636" s="68">
        <v>0.0</v>
      </c>
      <c r="I636" s="76"/>
      <c r="J636" s="67">
        <f t="shared" si="44"/>
        <v>647</v>
      </c>
      <c r="K636" s="7" t="s">
        <v>395</v>
      </c>
      <c r="L636" s="70"/>
      <c r="M636" s="79"/>
      <c r="N636" s="1"/>
      <c r="O636" s="1"/>
      <c r="P636" s="1"/>
      <c r="Q636" s="1"/>
      <c r="R636" s="1"/>
      <c r="S636" s="1"/>
      <c r="T636" s="1"/>
      <c r="U636" s="1"/>
      <c r="V636" s="1"/>
      <c r="W636" s="1"/>
      <c r="X636" s="1"/>
      <c r="Y636" s="1"/>
      <c r="Z636" s="1"/>
      <c r="AA636" s="1"/>
      <c r="AB636" s="1"/>
      <c r="AC636" s="1"/>
      <c r="AD636" s="1"/>
      <c r="AE636" s="1"/>
      <c r="AF636" s="1"/>
      <c r="AG636" s="1"/>
      <c r="AH636" s="1"/>
    </row>
    <row r="637" ht="12.75" hidden="1" customHeight="1" outlineLevel="1">
      <c r="A637" s="17">
        <v>41137.0</v>
      </c>
      <c r="B637" s="1" t="s">
        <v>347</v>
      </c>
      <c r="C637" s="1" t="s">
        <v>441</v>
      </c>
      <c r="D637" s="74">
        <v>100.0</v>
      </c>
      <c r="E637" s="67">
        <v>6.47</v>
      </c>
      <c r="F637" s="75">
        <v>0.40662037037037035</v>
      </c>
      <c r="G637" s="67">
        <v>2.0120816E7</v>
      </c>
      <c r="H637" s="68">
        <v>0.2</v>
      </c>
      <c r="I637" s="76"/>
      <c r="J637" s="67">
        <f t="shared" si="44"/>
        <v>646.8</v>
      </c>
      <c r="K637" s="7" t="s">
        <v>395</v>
      </c>
      <c r="L637" s="70"/>
      <c r="M637" s="79"/>
      <c r="N637" s="1"/>
      <c r="O637" s="1"/>
      <c r="P637" s="1"/>
      <c r="Q637" s="1"/>
      <c r="R637" s="1"/>
      <c r="S637" s="1"/>
      <c r="T637" s="1"/>
      <c r="U637" s="1"/>
      <c r="V637" s="1"/>
      <c r="W637" s="1"/>
      <c r="X637" s="1"/>
      <c r="Y637" s="1"/>
      <c r="Z637" s="1"/>
      <c r="AA637" s="1"/>
      <c r="AB637" s="1"/>
      <c r="AC637" s="1"/>
      <c r="AD637" s="1"/>
      <c r="AE637" s="1"/>
      <c r="AF637" s="1"/>
      <c r="AG637" s="1"/>
      <c r="AH637" s="1"/>
    </row>
    <row r="638" ht="12.75" hidden="1" customHeight="1" outlineLevel="1">
      <c r="A638" s="17">
        <v>41137.0</v>
      </c>
      <c r="B638" s="1" t="s">
        <v>343</v>
      </c>
      <c r="C638" s="1" t="s">
        <v>386</v>
      </c>
      <c r="D638" s="74">
        <v>350.0</v>
      </c>
      <c r="E638" s="67">
        <v>18.35</v>
      </c>
      <c r="F638" s="75">
        <v>0.41282407407407407</v>
      </c>
      <c r="G638" s="67">
        <v>2.0120816E7</v>
      </c>
      <c r="H638" s="68">
        <v>1.75</v>
      </c>
      <c r="I638" s="76"/>
      <c r="J638" s="67">
        <f t="shared" si="44"/>
        <v>-6424.25</v>
      </c>
      <c r="K638" s="7"/>
      <c r="L638" s="70"/>
      <c r="M638" s="79"/>
      <c r="N638" s="1"/>
      <c r="O638" s="1"/>
      <c r="P638" s="1"/>
      <c r="Q638" s="1"/>
      <c r="R638" s="1"/>
      <c r="S638" s="1"/>
      <c r="T638" s="1"/>
      <c r="U638" s="1"/>
      <c r="V638" s="1"/>
      <c r="W638" s="1"/>
      <c r="X638" s="1"/>
      <c r="Y638" s="1"/>
      <c r="Z638" s="1"/>
      <c r="AA638" s="1"/>
      <c r="AB638" s="1"/>
      <c r="AC638" s="1"/>
      <c r="AD638" s="1"/>
      <c r="AE638" s="1"/>
      <c r="AF638" s="1"/>
      <c r="AG638" s="1"/>
      <c r="AH638" s="1"/>
    </row>
    <row r="639" ht="12.75" hidden="1" customHeight="1" outlineLevel="1">
      <c r="A639" s="17">
        <v>41137.0</v>
      </c>
      <c r="B639" s="1" t="s">
        <v>347</v>
      </c>
      <c r="C639" s="1" t="s">
        <v>386</v>
      </c>
      <c r="D639" s="74">
        <v>100.0</v>
      </c>
      <c r="E639" s="67">
        <v>18.25</v>
      </c>
      <c r="F639" s="75">
        <v>0.4663657407407407</v>
      </c>
      <c r="G639" s="67">
        <v>2.0120816E7</v>
      </c>
      <c r="H639" s="68">
        <v>1.0</v>
      </c>
      <c r="I639" s="76"/>
      <c r="J639" s="67">
        <f t="shared" si="44"/>
        <v>1824</v>
      </c>
      <c r="K639" s="7"/>
      <c r="L639" s="70"/>
      <c r="M639" s="79"/>
      <c r="N639" s="1"/>
      <c r="O639" s="1"/>
      <c r="P639" s="1"/>
      <c r="Q639" s="1"/>
      <c r="R639" s="1"/>
      <c r="S639" s="1"/>
      <c r="T639" s="1"/>
      <c r="U639" s="1"/>
      <c r="V639" s="1"/>
      <c r="W639" s="1"/>
      <c r="X639" s="1"/>
      <c r="Y639" s="1"/>
      <c r="Z639" s="1"/>
      <c r="AA639" s="1"/>
      <c r="AB639" s="1"/>
      <c r="AC639" s="1"/>
      <c r="AD639" s="1"/>
      <c r="AE639" s="1"/>
      <c r="AF639" s="1"/>
      <c r="AG639" s="1"/>
      <c r="AH639" s="1"/>
    </row>
    <row r="640" ht="12.75" hidden="1" customHeight="1" outlineLevel="1">
      <c r="A640" s="17">
        <v>41137.0</v>
      </c>
      <c r="B640" s="1" t="s">
        <v>347</v>
      </c>
      <c r="C640" s="1" t="s">
        <v>386</v>
      </c>
      <c r="D640" s="74">
        <v>100.0</v>
      </c>
      <c r="E640" s="67">
        <v>18.25</v>
      </c>
      <c r="F640" s="75">
        <v>0.4663657407407407</v>
      </c>
      <c r="G640" s="67">
        <v>2.0120816E7</v>
      </c>
      <c r="H640" s="68">
        <v>0.0</v>
      </c>
      <c r="I640" s="76"/>
      <c r="J640" s="67">
        <f t="shared" si="44"/>
        <v>1825</v>
      </c>
      <c r="K640" s="7"/>
      <c r="L640" s="70"/>
      <c r="M640" s="79"/>
      <c r="N640" s="1"/>
      <c r="O640" s="1"/>
      <c r="P640" s="1"/>
      <c r="Q640" s="1"/>
      <c r="R640" s="1"/>
      <c r="S640" s="1"/>
      <c r="T640" s="1"/>
      <c r="U640" s="1"/>
      <c r="V640" s="1"/>
      <c r="W640" s="1"/>
      <c r="X640" s="1"/>
      <c r="Y640" s="1"/>
      <c r="Z640" s="1"/>
      <c r="AA640" s="1"/>
      <c r="AB640" s="1"/>
      <c r="AC640" s="1"/>
      <c r="AD640" s="1"/>
      <c r="AE640" s="1"/>
      <c r="AF640" s="1"/>
      <c r="AG640" s="1"/>
      <c r="AH640" s="1"/>
    </row>
    <row r="641" ht="12.75" hidden="1" customHeight="1" outlineLevel="1">
      <c r="A641" s="17">
        <v>41137.0</v>
      </c>
      <c r="B641" s="1" t="s">
        <v>347</v>
      </c>
      <c r="C641" s="1" t="s">
        <v>386</v>
      </c>
      <c r="D641" s="74">
        <v>100.0</v>
      </c>
      <c r="E641" s="67">
        <v>18.26</v>
      </c>
      <c r="F641" s="75">
        <v>0.46641203703703704</v>
      </c>
      <c r="G641" s="67">
        <v>2.0120816E7</v>
      </c>
      <c r="H641" s="68">
        <v>1.0</v>
      </c>
      <c r="I641" s="76"/>
      <c r="J641" s="67">
        <f t="shared" si="44"/>
        <v>1825</v>
      </c>
      <c r="K641" s="7"/>
      <c r="L641" s="70"/>
      <c r="M641" s="79"/>
      <c r="N641" s="1"/>
      <c r="O641" s="1"/>
      <c r="P641" s="1"/>
      <c r="Q641" s="1"/>
      <c r="R641" s="1"/>
      <c r="S641" s="1"/>
      <c r="T641" s="1"/>
      <c r="U641" s="1"/>
      <c r="V641" s="1"/>
      <c r="W641" s="1"/>
      <c r="X641" s="1"/>
      <c r="Y641" s="1"/>
      <c r="Z641" s="1"/>
      <c r="AA641" s="1"/>
      <c r="AB641" s="1"/>
      <c r="AC641" s="1"/>
      <c r="AD641" s="1"/>
      <c r="AE641" s="1"/>
      <c r="AF641" s="1"/>
      <c r="AG641" s="1"/>
      <c r="AH641" s="1"/>
    </row>
    <row r="642" ht="12.75" hidden="1" customHeight="1" outlineLevel="1">
      <c r="A642" s="17">
        <v>41137.0</v>
      </c>
      <c r="B642" s="1" t="s">
        <v>347</v>
      </c>
      <c r="C642" s="1" t="s">
        <v>386</v>
      </c>
      <c r="D642" s="74">
        <v>150.0</v>
      </c>
      <c r="E642" s="67">
        <v>18.26</v>
      </c>
      <c r="F642" s="75">
        <v>0.46641203703703704</v>
      </c>
      <c r="G642" s="67">
        <v>2.0120816E7</v>
      </c>
      <c r="H642" s="68">
        <v>0.25</v>
      </c>
      <c r="I642" s="76"/>
      <c r="J642" s="67">
        <f t="shared" si="44"/>
        <v>2738.75</v>
      </c>
      <c r="K642" s="7"/>
      <c r="L642" s="70"/>
      <c r="M642" s="79"/>
      <c r="N642" s="1"/>
      <c r="O642" s="1"/>
      <c r="P642" s="1"/>
      <c r="Q642" s="1"/>
      <c r="R642" s="1"/>
      <c r="S642" s="1"/>
      <c r="T642" s="1"/>
      <c r="U642" s="1"/>
      <c r="V642" s="1"/>
      <c r="W642" s="1"/>
      <c r="X642" s="1"/>
      <c r="Y642" s="1"/>
      <c r="Z642" s="1"/>
      <c r="AA642" s="1"/>
      <c r="AB642" s="1"/>
      <c r="AC642" s="1"/>
      <c r="AD642" s="1"/>
      <c r="AE642" s="1"/>
      <c r="AF642" s="1"/>
      <c r="AG642" s="1"/>
      <c r="AH642" s="1"/>
    </row>
    <row r="643" ht="12.75" hidden="1" customHeight="1" outlineLevel="1">
      <c r="A643" s="17">
        <v>41137.0</v>
      </c>
      <c r="B643" s="1" t="s">
        <v>343</v>
      </c>
      <c r="C643" s="1" t="s">
        <v>386</v>
      </c>
      <c r="D643" s="74">
        <v>100.0</v>
      </c>
      <c r="E643" s="67">
        <v>18.6</v>
      </c>
      <c r="F643" s="75">
        <v>0.5146643518518519</v>
      </c>
      <c r="G643" s="67">
        <v>2.0120816E7</v>
      </c>
      <c r="H643" s="68">
        <v>1.0</v>
      </c>
      <c r="I643" s="76"/>
      <c r="J643" s="67">
        <f t="shared" si="44"/>
        <v>-1861</v>
      </c>
      <c r="K643" s="7"/>
      <c r="L643" s="70"/>
      <c r="M643" s="79"/>
      <c r="N643" s="1"/>
      <c r="O643" s="1"/>
      <c r="P643" s="1"/>
      <c r="Q643" s="1"/>
      <c r="R643" s="1"/>
      <c r="S643" s="1"/>
      <c r="T643" s="1"/>
      <c r="U643" s="1"/>
      <c r="V643" s="1"/>
      <c r="W643" s="1"/>
      <c r="X643" s="1"/>
      <c r="Y643" s="1"/>
      <c r="Z643" s="1"/>
      <c r="AA643" s="1"/>
      <c r="AB643" s="1"/>
      <c r="AC643" s="1"/>
      <c r="AD643" s="1"/>
      <c r="AE643" s="1"/>
      <c r="AF643" s="1"/>
      <c r="AG643" s="1"/>
      <c r="AH643" s="1"/>
    </row>
    <row r="644" ht="12.75" hidden="1" customHeight="1" outlineLevel="1">
      <c r="A644" s="17">
        <v>41137.0</v>
      </c>
      <c r="B644" s="1" t="s">
        <v>343</v>
      </c>
      <c r="C644" s="1" t="s">
        <v>386</v>
      </c>
      <c r="D644" s="74">
        <v>100.0</v>
      </c>
      <c r="E644" s="67">
        <v>18.6</v>
      </c>
      <c r="F644" s="75">
        <v>0.5147453703703704</v>
      </c>
      <c r="G644" s="67">
        <v>2.0120816E7</v>
      </c>
      <c r="H644" s="68">
        <v>0.0</v>
      </c>
      <c r="I644" s="76"/>
      <c r="J644" s="67">
        <f t="shared" si="44"/>
        <v>-1860</v>
      </c>
      <c r="K644" s="7"/>
      <c r="L644" s="70"/>
      <c r="M644" s="79"/>
      <c r="N644" s="1"/>
      <c r="O644" s="1"/>
      <c r="P644" s="1"/>
      <c r="Q644" s="1"/>
      <c r="R644" s="1"/>
      <c r="S644" s="1"/>
      <c r="T644" s="1"/>
      <c r="U644" s="1"/>
      <c r="V644" s="1"/>
      <c r="W644" s="1"/>
      <c r="X644" s="1"/>
      <c r="Y644" s="1"/>
      <c r="Z644" s="1"/>
      <c r="AA644" s="1"/>
      <c r="AB644" s="1"/>
      <c r="AC644" s="1"/>
      <c r="AD644" s="1"/>
      <c r="AE644" s="1"/>
      <c r="AF644" s="1"/>
      <c r="AG644" s="1"/>
      <c r="AH644" s="1"/>
    </row>
    <row r="645" ht="12.75" hidden="1" customHeight="1" outlineLevel="1">
      <c r="A645" s="17">
        <v>41137.0</v>
      </c>
      <c r="B645" s="1" t="s">
        <v>343</v>
      </c>
      <c r="C645" s="1" t="s">
        <v>386</v>
      </c>
      <c r="D645" s="74">
        <v>100.0</v>
      </c>
      <c r="E645" s="67">
        <v>18.6</v>
      </c>
      <c r="F645" s="75">
        <v>0.5171180555555556</v>
      </c>
      <c r="G645" s="67">
        <v>2.0120816E7</v>
      </c>
      <c r="H645" s="68">
        <v>0.5</v>
      </c>
      <c r="I645" s="76"/>
      <c r="J645" s="67">
        <f t="shared" si="44"/>
        <v>-1860.5</v>
      </c>
      <c r="K645" s="7"/>
      <c r="L645" s="70"/>
      <c r="M645" s="79"/>
      <c r="N645" s="1"/>
      <c r="O645" s="1"/>
      <c r="P645" s="1"/>
      <c r="Q645" s="1"/>
      <c r="R645" s="1"/>
      <c r="S645" s="1"/>
      <c r="T645" s="1"/>
      <c r="U645" s="1"/>
      <c r="V645" s="1"/>
      <c r="W645" s="1"/>
      <c r="X645" s="1"/>
      <c r="Y645" s="1"/>
      <c r="Z645" s="1"/>
      <c r="AA645" s="1"/>
      <c r="AB645" s="1"/>
      <c r="AC645" s="1"/>
      <c r="AD645" s="1"/>
      <c r="AE645" s="1"/>
      <c r="AF645" s="1"/>
      <c r="AG645" s="1"/>
      <c r="AH645" s="1"/>
    </row>
    <row r="646" ht="12.75" hidden="1" customHeight="1" outlineLevel="1">
      <c r="A646" s="17">
        <v>41137.0</v>
      </c>
      <c r="B646" s="1" t="s">
        <v>343</v>
      </c>
      <c r="C646" s="7" t="s">
        <v>386</v>
      </c>
      <c r="D646" s="74">
        <v>100.0</v>
      </c>
      <c r="E646" s="67">
        <v>18.6</v>
      </c>
      <c r="F646" s="75">
        <v>0.5171180555555556</v>
      </c>
      <c r="G646" s="67">
        <v>2.0120816E7</v>
      </c>
      <c r="H646" s="68">
        <v>0.5</v>
      </c>
      <c r="I646" s="76"/>
      <c r="J646" s="67">
        <f t="shared" si="44"/>
        <v>-1860.5</v>
      </c>
      <c r="K646" s="7"/>
      <c r="L646" s="70"/>
      <c r="M646" s="79"/>
      <c r="N646" s="1"/>
      <c r="O646" s="1"/>
      <c r="P646" s="1"/>
      <c r="Q646" s="1"/>
      <c r="R646" s="1"/>
      <c r="S646" s="1"/>
      <c r="T646" s="1"/>
      <c r="U646" s="1"/>
      <c r="V646" s="1"/>
      <c r="W646" s="1"/>
      <c r="X646" s="1"/>
      <c r="Y646" s="1"/>
      <c r="Z646" s="1"/>
      <c r="AA646" s="1"/>
      <c r="AB646" s="1"/>
      <c r="AC646" s="1"/>
      <c r="AD646" s="1"/>
      <c r="AE646" s="1"/>
      <c r="AF646" s="1"/>
      <c r="AG646" s="1"/>
      <c r="AH646" s="1"/>
    </row>
    <row r="647" ht="12.75" hidden="1" customHeight="1" outlineLevel="1">
      <c r="A647" s="17">
        <v>41137.0</v>
      </c>
      <c r="B647" s="1" t="s">
        <v>343</v>
      </c>
      <c r="C647" s="7" t="s">
        <v>386</v>
      </c>
      <c r="D647" s="74">
        <v>50.0</v>
      </c>
      <c r="E647" s="67">
        <v>18.6</v>
      </c>
      <c r="F647" s="75">
        <v>0.5217476851851852</v>
      </c>
      <c r="G647" s="67">
        <v>2.0120816E7</v>
      </c>
      <c r="H647" s="68">
        <v>0.25</v>
      </c>
      <c r="I647" s="76"/>
      <c r="J647" s="67">
        <f t="shared" si="44"/>
        <v>-930.25</v>
      </c>
      <c r="K647" s="7"/>
      <c r="L647" s="70"/>
      <c r="M647" s="79"/>
      <c r="N647" s="1"/>
      <c r="O647" s="1"/>
      <c r="P647" s="1"/>
      <c r="Q647" s="1"/>
      <c r="R647" s="1"/>
      <c r="S647" s="1"/>
      <c r="T647" s="1"/>
      <c r="U647" s="1"/>
      <c r="V647" s="1"/>
      <c r="W647" s="1"/>
      <c r="X647" s="1"/>
      <c r="Y647" s="1"/>
      <c r="Z647" s="1"/>
      <c r="AA647" s="1"/>
      <c r="AB647" s="1"/>
      <c r="AC647" s="1"/>
      <c r="AD647" s="1"/>
      <c r="AE647" s="1"/>
      <c r="AF647" s="1"/>
      <c r="AG647" s="1"/>
      <c r="AH647" s="1"/>
    </row>
    <row r="648" ht="12.75" hidden="1" customHeight="1" outlineLevel="1">
      <c r="A648" s="17">
        <v>41137.0</v>
      </c>
      <c r="B648" s="1" t="s">
        <v>347</v>
      </c>
      <c r="C648" s="7" t="s">
        <v>386</v>
      </c>
      <c r="D648" s="74">
        <v>100.0</v>
      </c>
      <c r="E648" s="67">
        <v>18.86</v>
      </c>
      <c r="F648" s="75">
        <v>0.5648495370370371</v>
      </c>
      <c r="G648" s="67">
        <v>2.0120816E7</v>
      </c>
      <c r="H648" s="68">
        <v>1.0</v>
      </c>
      <c r="I648" s="76"/>
      <c r="J648" s="67">
        <f t="shared" si="44"/>
        <v>1885</v>
      </c>
      <c r="K648" s="7"/>
      <c r="L648" s="70"/>
      <c r="M648" s="79"/>
      <c r="N648" s="1"/>
      <c r="O648" s="1"/>
      <c r="P648" s="1"/>
      <c r="Q648" s="1"/>
      <c r="R648" s="1"/>
      <c r="S648" s="1"/>
      <c r="T648" s="1"/>
      <c r="U648" s="1"/>
      <c r="V648" s="1"/>
      <c r="W648" s="1"/>
      <c r="X648" s="1"/>
      <c r="Y648" s="1"/>
      <c r="Z648" s="1"/>
      <c r="AA648" s="1"/>
      <c r="AB648" s="1"/>
      <c r="AC648" s="1"/>
      <c r="AD648" s="1"/>
      <c r="AE648" s="1"/>
      <c r="AF648" s="1"/>
      <c r="AG648" s="1"/>
      <c r="AH648" s="1"/>
    </row>
    <row r="649" ht="12.75" hidden="1" customHeight="1" outlineLevel="1">
      <c r="A649" s="17">
        <v>41137.0</v>
      </c>
      <c r="B649" s="1" t="s">
        <v>347</v>
      </c>
      <c r="C649" s="7" t="s">
        <v>386</v>
      </c>
      <c r="D649" s="74">
        <v>157.0</v>
      </c>
      <c r="E649" s="67">
        <v>18.86</v>
      </c>
      <c r="F649" s="75">
        <v>0.5648495370370371</v>
      </c>
      <c r="G649" s="67">
        <v>2.0120816E7</v>
      </c>
      <c r="H649" s="68">
        <v>0.28</v>
      </c>
      <c r="I649" s="76"/>
      <c r="J649" s="67">
        <f t="shared" si="44"/>
        <v>2960.74</v>
      </c>
      <c r="K649" s="7"/>
      <c r="L649" s="70"/>
      <c r="M649" s="79"/>
      <c r="N649" s="1"/>
      <c r="O649" s="1"/>
      <c r="P649" s="1"/>
      <c r="Q649" s="1"/>
      <c r="R649" s="1"/>
      <c r="S649" s="1"/>
      <c r="T649" s="1"/>
      <c r="U649" s="1"/>
      <c r="V649" s="1"/>
      <c r="W649" s="1"/>
      <c r="X649" s="1"/>
      <c r="Y649" s="1"/>
      <c r="Z649" s="1"/>
      <c r="AA649" s="1"/>
      <c r="AB649" s="1"/>
      <c r="AC649" s="1"/>
      <c r="AD649" s="1"/>
      <c r="AE649" s="1"/>
      <c r="AF649" s="1"/>
      <c r="AG649" s="1"/>
      <c r="AH649" s="1"/>
    </row>
    <row r="650" ht="12.75" hidden="1" customHeight="1" outlineLevel="1">
      <c r="A650" s="17">
        <v>41137.0</v>
      </c>
      <c r="B650" s="1" t="s">
        <v>347</v>
      </c>
      <c r="C650" s="7" t="s">
        <v>386</v>
      </c>
      <c r="D650" s="74">
        <v>193.0</v>
      </c>
      <c r="E650" s="67">
        <v>18.86</v>
      </c>
      <c r="F650" s="75">
        <v>0.5648495370370371</v>
      </c>
      <c r="G650" s="67">
        <v>2.0120816E7</v>
      </c>
      <c r="H650" s="68">
        <v>0.96</v>
      </c>
      <c r="I650" s="76"/>
      <c r="J650" s="67">
        <f t="shared" si="44"/>
        <v>3639.02</v>
      </c>
      <c r="K650" s="7"/>
      <c r="L650" s="70"/>
      <c r="M650" s="79"/>
      <c r="N650" s="1"/>
      <c r="O650" s="1"/>
      <c r="P650" s="1"/>
      <c r="Q650" s="1"/>
      <c r="R650" s="1"/>
      <c r="S650" s="1"/>
      <c r="T650" s="1"/>
      <c r="U650" s="1"/>
      <c r="V650" s="1"/>
      <c r="W650" s="1"/>
      <c r="X650" s="1"/>
      <c r="Y650" s="1"/>
      <c r="Z650" s="1"/>
      <c r="AA650" s="1"/>
      <c r="AB650" s="1"/>
      <c r="AC650" s="1"/>
      <c r="AD650" s="1"/>
      <c r="AE650" s="1"/>
      <c r="AF650" s="1"/>
      <c r="AG650" s="1"/>
      <c r="AH650" s="1"/>
    </row>
    <row r="651" ht="12.75" hidden="1" customHeight="1" outlineLevel="1">
      <c r="A651" s="17">
        <v>41137.0</v>
      </c>
      <c r="B651" s="1" t="s">
        <v>343</v>
      </c>
      <c r="C651" s="7" t="s">
        <v>409</v>
      </c>
      <c r="D651" s="74">
        <v>25.0</v>
      </c>
      <c r="E651" s="67">
        <v>146.99</v>
      </c>
      <c r="F651" s="75">
        <v>0.5890972222222223</v>
      </c>
      <c r="G651" s="67">
        <v>2.0120816E7</v>
      </c>
      <c r="H651" s="68">
        <v>1.0</v>
      </c>
      <c r="I651" s="76"/>
      <c r="J651" s="67">
        <f t="shared" si="44"/>
        <v>-3675.75</v>
      </c>
      <c r="K651" s="7"/>
      <c r="L651" s="70"/>
      <c r="M651" s="79"/>
      <c r="N651" s="1"/>
      <c r="O651" s="1"/>
      <c r="P651" s="1"/>
      <c r="Q651" s="1"/>
      <c r="R651" s="1"/>
      <c r="S651" s="1"/>
      <c r="T651" s="1"/>
      <c r="U651" s="1"/>
      <c r="V651" s="1"/>
      <c r="W651" s="1"/>
      <c r="X651" s="1"/>
      <c r="Y651" s="1"/>
      <c r="Z651" s="1"/>
      <c r="AA651" s="1"/>
      <c r="AB651" s="1"/>
      <c r="AC651" s="1"/>
      <c r="AD651" s="1"/>
      <c r="AE651" s="1"/>
      <c r="AF651" s="1"/>
      <c r="AG651" s="1"/>
      <c r="AH651" s="1"/>
    </row>
    <row r="652" ht="12.75" hidden="1" customHeight="1" outlineLevel="1">
      <c r="A652" s="17">
        <v>41137.0</v>
      </c>
      <c r="B652" s="1" t="s">
        <v>347</v>
      </c>
      <c r="C652" s="7" t="s">
        <v>409</v>
      </c>
      <c r="D652" s="74">
        <v>25.0</v>
      </c>
      <c r="E652" s="67">
        <v>147.3</v>
      </c>
      <c r="F652" s="75">
        <v>0.6475810185185186</v>
      </c>
      <c r="G652" s="67">
        <v>2.0120816E7</v>
      </c>
      <c r="H652" s="68">
        <v>1.0</v>
      </c>
      <c r="I652" s="76"/>
      <c r="J652" s="67">
        <f t="shared" si="44"/>
        <v>3681.5</v>
      </c>
      <c r="K652" s="7"/>
      <c r="L652" s="70"/>
      <c r="M652" s="79"/>
      <c r="N652" s="1"/>
      <c r="O652" s="1"/>
      <c r="P652" s="1"/>
      <c r="Q652" s="1"/>
      <c r="R652" s="1"/>
      <c r="S652" s="1"/>
      <c r="T652" s="1"/>
      <c r="U652" s="1"/>
      <c r="V652" s="1"/>
      <c r="W652" s="1"/>
      <c r="X652" s="1"/>
      <c r="Y652" s="1"/>
      <c r="Z652" s="1"/>
      <c r="AA652" s="1"/>
      <c r="AB652" s="1"/>
      <c r="AC652" s="1"/>
      <c r="AD652" s="1"/>
      <c r="AE652" s="1"/>
      <c r="AF652" s="1"/>
      <c r="AG652" s="1"/>
      <c r="AH652" s="1"/>
    </row>
    <row r="653" ht="12.75" hidden="1" customHeight="1" outlineLevel="1">
      <c r="A653" s="17">
        <v>41137.0</v>
      </c>
      <c r="B653" s="1"/>
      <c r="C653" s="1" t="s">
        <v>339</v>
      </c>
      <c r="D653" s="74"/>
      <c r="E653" s="67"/>
      <c r="F653" s="75"/>
      <c r="G653" s="67"/>
      <c r="H653" s="68"/>
      <c r="I653" s="76"/>
      <c r="J653" s="67"/>
      <c r="K653" s="7" t="s">
        <v>633</v>
      </c>
      <c r="L653" s="77"/>
      <c r="M653" s="79"/>
      <c r="N653" s="1"/>
      <c r="O653" s="1"/>
      <c r="P653" s="1"/>
      <c r="Q653" s="1"/>
      <c r="R653" s="1"/>
      <c r="S653" s="1"/>
      <c r="T653" s="1"/>
      <c r="U653" s="1"/>
      <c r="V653" s="1"/>
      <c r="W653" s="1"/>
      <c r="X653" s="1"/>
      <c r="Y653" s="1"/>
      <c r="Z653" s="1"/>
      <c r="AA653" s="1"/>
      <c r="AB653" s="1"/>
      <c r="AC653" s="1"/>
      <c r="AD653" s="1"/>
      <c r="AE653" s="1"/>
      <c r="AF653" s="1"/>
      <c r="AG653" s="1"/>
      <c r="AH653" s="1"/>
    </row>
    <row r="654" ht="12.75" hidden="1" customHeight="1" outlineLevel="1">
      <c r="A654" s="17">
        <v>41137.0</v>
      </c>
      <c r="B654" s="1"/>
      <c r="C654" s="1" t="s">
        <v>429</v>
      </c>
      <c r="D654" s="74"/>
      <c r="E654" s="67"/>
      <c r="F654" s="75"/>
      <c r="G654" s="67"/>
      <c r="H654" s="68"/>
      <c r="I654" s="76"/>
      <c r="J654" s="67"/>
      <c r="K654" s="7" t="s">
        <v>595</v>
      </c>
      <c r="L654" s="77"/>
      <c r="M654" s="79"/>
      <c r="N654" s="1"/>
      <c r="O654" s="1"/>
      <c r="P654" s="1"/>
      <c r="Q654" s="1"/>
      <c r="R654" s="1"/>
      <c r="S654" s="1"/>
      <c r="T654" s="1"/>
      <c r="U654" s="1"/>
      <c r="V654" s="1"/>
      <c r="W654" s="1"/>
      <c r="X654" s="1"/>
      <c r="Y654" s="1"/>
      <c r="Z654" s="1"/>
      <c r="AA654" s="1"/>
      <c r="AB654" s="1"/>
      <c r="AC654" s="1"/>
      <c r="AD654" s="1"/>
      <c r="AE654" s="1"/>
      <c r="AF654" s="1"/>
      <c r="AG654" s="1"/>
      <c r="AH654" s="1"/>
    </row>
    <row r="655" ht="12.75" hidden="1" customHeight="1" outlineLevel="1">
      <c r="A655" s="17">
        <v>41137.0</v>
      </c>
      <c r="B655" s="1"/>
      <c r="C655" s="1" t="s">
        <v>431</v>
      </c>
      <c r="D655" s="74"/>
      <c r="E655" s="67"/>
      <c r="F655" s="75"/>
      <c r="G655" s="67"/>
      <c r="H655" s="68"/>
      <c r="I655" s="76"/>
      <c r="J655" s="67"/>
      <c r="K655" s="7" t="s">
        <v>502</v>
      </c>
      <c r="L655" s="77"/>
      <c r="M655" s="79"/>
      <c r="N655" s="1"/>
      <c r="O655" s="1"/>
      <c r="P655" s="1"/>
      <c r="Q655" s="1"/>
      <c r="R655" s="1"/>
      <c r="S655" s="1"/>
      <c r="T655" s="1"/>
      <c r="U655" s="1"/>
      <c r="V655" s="1"/>
      <c r="W655" s="1"/>
      <c r="X655" s="1"/>
      <c r="Y655" s="1"/>
      <c r="Z655" s="1"/>
      <c r="AA655" s="1"/>
      <c r="AB655" s="1"/>
      <c r="AC655" s="1"/>
      <c r="AD655" s="1"/>
      <c r="AE655" s="1"/>
      <c r="AF655" s="1"/>
      <c r="AG655" s="1"/>
      <c r="AH655" s="1"/>
    </row>
    <row r="656" ht="12.75" hidden="1" customHeight="1" outlineLevel="1">
      <c r="A656" s="17">
        <v>41137.0</v>
      </c>
      <c r="B656" s="1"/>
      <c r="C656" s="1" t="s">
        <v>433</v>
      </c>
      <c r="D656" s="74"/>
      <c r="E656" s="67"/>
      <c r="F656" s="75"/>
      <c r="G656" s="67"/>
      <c r="H656" s="68"/>
      <c r="I656" s="76"/>
      <c r="J656" s="67"/>
      <c r="K656" s="1" t="s">
        <v>434</v>
      </c>
      <c r="L656" s="77"/>
      <c r="M656" s="79"/>
      <c r="N656" s="1"/>
      <c r="O656" s="1"/>
      <c r="P656" s="1"/>
      <c r="Q656" s="1"/>
      <c r="R656" s="1"/>
      <c r="S656" s="1"/>
      <c r="T656" s="1"/>
      <c r="U656" s="1"/>
      <c r="V656" s="1"/>
      <c r="W656" s="1"/>
      <c r="X656" s="1"/>
      <c r="Y656" s="1"/>
      <c r="Z656" s="1"/>
      <c r="AA656" s="1"/>
      <c r="AB656" s="1"/>
      <c r="AC656" s="1"/>
      <c r="AD656" s="1"/>
      <c r="AE656" s="1"/>
      <c r="AF656" s="1"/>
      <c r="AG656" s="1"/>
      <c r="AH656" s="1"/>
    </row>
    <row r="657" ht="12.75" hidden="1" customHeight="1" outlineLevel="1">
      <c r="A657" s="17">
        <v>41137.0</v>
      </c>
      <c r="B657" s="1"/>
      <c r="C657" s="1" t="s">
        <v>435</v>
      </c>
      <c r="D657" s="74"/>
      <c r="E657" s="67"/>
      <c r="F657" s="75"/>
      <c r="G657" s="67"/>
      <c r="H657" s="68"/>
      <c r="I657" s="76"/>
      <c r="J657" s="67"/>
      <c r="K657" s="7" t="s">
        <v>629</v>
      </c>
      <c r="L657" s="77"/>
      <c r="M657" s="79"/>
      <c r="N657" s="1"/>
      <c r="O657" s="1"/>
      <c r="P657" s="1"/>
      <c r="Q657" s="1"/>
      <c r="R657" s="1"/>
      <c r="S657" s="1"/>
      <c r="T657" s="1"/>
      <c r="U657" s="1"/>
      <c r="V657" s="1"/>
      <c r="W657" s="1"/>
      <c r="X657" s="1"/>
      <c r="Y657" s="1"/>
      <c r="Z657" s="1"/>
      <c r="AA657" s="1"/>
      <c r="AB657" s="1"/>
      <c r="AC657" s="1"/>
      <c r="AD657" s="1"/>
      <c r="AE657" s="1"/>
      <c r="AF657" s="1"/>
      <c r="AG657" s="1"/>
      <c r="AH657" s="1"/>
    </row>
    <row r="658" ht="12.75" hidden="1" customHeight="1" outlineLevel="1">
      <c r="A658" s="17">
        <v>41138.0</v>
      </c>
      <c r="B658" s="1" t="s">
        <v>343</v>
      </c>
      <c r="C658" s="1" t="s">
        <v>614</v>
      </c>
      <c r="D658" s="1">
        <v>500.0</v>
      </c>
      <c r="E658" s="1">
        <v>7.01</v>
      </c>
      <c r="F658" s="115">
        <v>0.4864236111111111</v>
      </c>
      <c r="G658" s="1">
        <v>2.0120817E7</v>
      </c>
      <c r="H658" s="1">
        <v>2.5</v>
      </c>
      <c r="I658" s="76"/>
      <c r="J658" s="67">
        <f t="shared" ref="J658:J659" si="45">IF(B658="SLD",D658*E658,-D658*E658)-H658</f>
        <v>-3507.5</v>
      </c>
      <c r="K658" s="7"/>
      <c r="L658" s="70"/>
      <c r="M658" s="79"/>
      <c r="N658" s="1"/>
      <c r="O658" s="1"/>
      <c r="P658" s="1"/>
      <c r="Q658" s="1"/>
      <c r="R658" s="1"/>
      <c r="S658" s="1"/>
      <c r="T658" s="1"/>
      <c r="U658" s="1"/>
      <c r="V658" s="1"/>
      <c r="W658" s="1"/>
      <c r="X658" s="1"/>
      <c r="Y658" s="1"/>
      <c r="Z658" s="1"/>
      <c r="AA658" s="1"/>
      <c r="AB658" s="1"/>
      <c r="AC658" s="1"/>
      <c r="AD658" s="1"/>
      <c r="AE658" s="1"/>
      <c r="AF658" s="1"/>
      <c r="AG658" s="1"/>
      <c r="AH658" s="1"/>
    </row>
    <row r="659" ht="12.75" hidden="1" customHeight="1" outlineLevel="1">
      <c r="A659" s="17">
        <v>41138.0</v>
      </c>
      <c r="B659" s="1" t="s">
        <v>347</v>
      </c>
      <c r="C659" s="1" t="s">
        <v>381</v>
      </c>
      <c r="D659" s="1">
        <v>100.0</v>
      </c>
      <c r="E659" s="1">
        <v>19.07</v>
      </c>
      <c r="F659" s="115">
        <v>0.7727083333333334</v>
      </c>
      <c r="G659" s="1" t="s">
        <v>453</v>
      </c>
      <c r="H659" s="1">
        <v>1.0</v>
      </c>
      <c r="I659" s="76"/>
      <c r="J659" s="67">
        <f t="shared" si="45"/>
        <v>1906</v>
      </c>
      <c r="K659" s="7"/>
      <c r="L659" s="70"/>
      <c r="M659" s="79"/>
      <c r="N659" s="1"/>
      <c r="O659" s="1"/>
      <c r="P659" s="1"/>
      <c r="Q659" s="1"/>
      <c r="R659" s="1"/>
      <c r="S659" s="1"/>
      <c r="T659" s="1"/>
      <c r="U659" s="1"/>
      <c r="V659" s="1"/>
      <c r="W659" s="1"/>
      <c r="X659" s="1"/>
      <c r="Y659" s="1"/>
      <c r="Z659" s="1"/>
      <c r="AA659" s="1"/>
      <c r="AB659" s="1"/>
      <c r="AC659" s="1"/>
      <c r="AD659" s="1"/>
      <c r="AE659" s="1"/>
      <c r="AF659" s="1"/>
      <c r="AG659" s="1"/>
      <c r="AH659" s="1"/>
    </row>
    <row r="660" ht="12.75" hidden="1" customHeight="1" outlineLevel="1">
      <c r="A660" s="17">
        <v>41138.0</v>
      </c>
      <c r="B660" s="1"/>
      <c r="C660" s="1" t="s">
        <v>339</v>
      </c>
      <c r="D660" s="74"/>
      <c r="E660" s="67"/>
      <c r="F660" s="75"/>
      <c r="G660" s="67"/>
      <c r="H660" s="68"/>
      <c r="I660" s="76"/>
      <c r="J660" s="67"/>
      <c r="K660" s="7" t="s">
        <v>634</v>
      </c>
      <c r="L660" s="77"/>
      <c r="M660" s="79"/>
      <c r="N660" s="1"/>
      <c r="O660" s="1"/>
      <c r="P660" s="1"/>
      <c r="Q660" s="1"/>
      <c r="R660" s="1"/>
      <c r="S660" s="1"/>
      <c r="T660" s="1"/>
      <c r="U660" s="1"/>
      <c r="V660" s="1"/>
      <c r="W660" s="1"/>
      <c r="X660" s="1"/>
      <c r="Y660" s="1"/>
      <c r="Z660" s="1"/>
      <c r="AA660" s="1"/>
      <c r="AB660" s="1"/>
      <c r="AC660" s="1"/>
      <c r="AD660" s="1"/>
      <c r="AE660" s="1"/>
      <c r="AF660" s="1"/>
      <c r="AG660" s="1"/>
      <c r="AH660" s="1"/>
    </row>
    <row r="661" ht="12.75" hidden="1" customHeight="1" outlineLevel="1">
      <c r="A661" s="17">
        <v>41138.0</v>
      </c>
      <c r="B661" s="1"/>
      <c r="C661" s="1" t="s">
        <v>429</v>
      </c>
      <c r="D661" s="74"/>
      <c r="E661" s="67"/>
      <c r="F661" s="75"/>
      <c r="G661" s="67"/>
      <c r="H661" s="68"/>
      <c r="I661" s="76"/>
      <c r="J661" s="67"/>
      <c r="K661" s="7" t="s">
        <v>595</v>
      </c>
      <c r="L661" s="77"/>
      <c r="M661" s="79"/>
      <c r="N661" s="1"/>
      <c r="O661" s="1"/>
      <c r="P661" s="1"/>
      <c r="Q661" s="1"/>
      <c r="R661" s="1"/>
      <c r="S661" s="1"/>
      <c r="T661" s="1"/>
      <c r="U661" s="1"/>
      <c r="V661" s="1"/>
      <c r="W661" s="1"/>
      <c r="X661" s="1"/>
      <c r="Y661" s="1"/>
      <c r="Z661" s="1"/>
      <c r="AA661" s="1"/>
      <c r="AB661" s="1"/>
      <c r="AC661" s="1"/>
      <c r="AD661" s="1"/>
      <c r="AE661" s="1"/>
      <c r="AF661" s="1"/>
      <c r="AG661" s="1"/>
      <c r="AH661" s="1"/>
    </row>
    <row r="662" ht="12.75" hidden="1" customHeight="1" outlineLevel="1">
      <c r="A662" s="17">
        <v>41138.0</v>
      </c>
      <c r="B662" s="1"/>
      <c r="C662" s="1" t="s">
        <v>431</v>
      </c>
      <c r="D662" s="74"/>
      <c r="E662" s="67"/>
      <c r="F662" s="75"/>
      <c r="G662" s="67"/>
      <c r="H662" s="68"/>
      <c r="I662" s="76"/>
      <c r="J662" s="67"/>
      <c r="K662" s="7" t="s">
        <v>502</v>
      </c>
      <c r="L662" s="77"/>
      <c r="M662" s="79"/>
      <c r="N662" s="1"/>
      <c r="O662" s="1"/>
      <c r="P662" s="1"/>
      <c r="Q662" s="1"/>
      <c r="R662" s="1"/>
      <c r="S662" s="1"/>
      <c r="T662" s="1"/>
      <c r="U662" s="1"/>
      <c r="V662" s="1"/>
      <c r="W662" s="1"/>
      <c r="X662" s="1"/>
      <c r="Y662" s="1"/>
      <c r="Z662" s="1"/>
      <c r="AA662" s="1"/>
      <c r="AB662" s="1"/>
      <c r="AC662" s="1"/>
      <c r="AD662" s="1"/>
      <c r="AE662" s="1"/>
      <c r="AF662" s="1"/>
      <c r="AG662" s="1"/>
      <c r="AH662" s="1"/>
    </row>
    <row r="663" ht="12.75" hidden="1" customHeight="1" outlineLevel="1">
      <c r="A663" s="17">
        <v>41138.0</v>
      </c>
      <c r="B663" s="1"/>
      <c r="C663" s="1" t="s">
        <v>433</v>
      </c>
      <c r="D663" s="74"/>
      <c r="E663" s="67"/>
      <c r="F663" s="75"/>
      <c r="G663" s="67"/>
      <c r="H663" s="68"/>
      <c r="I663" s="76"/>
      <c r="J663" s="67"/>
      <c r="K663" s="1" t="s">
        <v>434</v>
      </c>
      <c r="L663" s="77"/>
      <c r="M663" s="79"/>
      <c r="N663" s="1"/>
      <c r="O663" s="1"/>
      <c r="P663" s="1"/>
      <c r="Q663" s="1"/>
      <c r="R663" s="1"/>
      <c r="S663" s="1"/>
      <c r="T663" s="1"/>
      <c r="U663" s="1"/>
      <c r="V663" s="1"/>
      <c r="W663" s="1"/>
      <c r="X663" s="1"/>
      <c r="Y663" s="1"/>
      <c r="Z663" s="1"/>
      <c r="AA663" s="1"/>
      <c r="AB663" s="1"/>
      <c r="AC663" s="1"/>
      <c r="AD663" s="1"/>
      <c r="AE663" s="1"/>
      <c r="AF663" s="1"/>
      <c r="AG663" s="1"/>
      <c r="AH663" s="1"/>
    </row>
    <row r="664" ht="12.75" hidden="1" customHeight="1" outlineLevel="1">
      <c r="A664" s="17">
        <v>41138.0</v>
      </c>
      <c r="B664" s="1"/>
      <c r="C664" s="1" t="s">
        <v>435</v>
      </c>
      <c r="D664" s="74"/>
      <c r="E664" s="67"/>
      <c r="F664" s="75"/>
      <c r="G664" s="67"/>
      <c r="H664" s="68"/>
      <c r="I664" s="76"/>
      <c r="J664" s="67"/>
      <c r="K664" s="7" t="s">
        <v>629</v>
      </c>
      <c r="L664" s="77"/>
      <c r="M664" s="79"/>
      <c r="N664" s="1"/>
      <c r="O664" s="1"/>
      <c r="P664" s="1"/>
      <c r="Q664" s="1"/>
      <c r="R664" s="1"/>
      <c r="S664" s="1"/>
      <c r="T664" s="1"/>
      <c r="U664" s="1"/>
      <c r="V664" s="1"/>
      <c r="W664" s="1"/>
      <c r="X664" s="1"/>
      <c r="Y664" s="1"/>
      <c r="Z664" s="1"/>
      <c r="AA664" s="1"/>
      <c r="AB664" s="1"/>
      <c r="AC664" s="1"/>
      <c r="AD664" s="1"/>
      <c r="AE664" s="1"/>
      <c r="AF664" s="1"/>
      <c r="AG664" s="1"/>
      <c r="AH664" s="1"/>
    </row>
    <row r="665" ht="12.75" hidden="1" customHeight="1" outlineLevel="1">
      <c r="A665" s="17">
        <v>41140.0</v>
      </c>
      <c r="B665" s="1"/>
      <c r="C665" s="1" t="s">
        <v>339</v>
      </c>
      <c r="D665" s="74"/>
      <c r="E665" s="67"/>
      <c r="F665" s="75"/>
      <c r="G665" s="67"/>
      <c r="H665" s="68"/>
      <c r="I665" s="76"/>
      <c r="J665" s="67"/>
      <c r="K665" s="7" t="s">
        <v>635</v>
      </c>
      <c r="L665" s="77"/>
      <c r="M665" s="79"/>
      <c r="N665" s="1"/>
      <c r="O665" s="1"/>
      <c r="P665" s="1"/>
      <c r="Q665" s="1"/>
      <c r="R665" s="1"/>
      <c r="S665" s="1"/>
      <c r="T665" s="1"/>
      <c r="U665" s="1"/>
      <c r="V665" s="1"/>
      <c r="W665" s="1"/>
      <c r="X665" s="1"/>
      <c r="Y665" s="1"/>
      <c r="Z665" s="1"/>
      <c r="AA665" s="1"/>
      <c r="AB665" s="1"/>
      <c r="AC665" s="1"/>
      <c r="AD665" s="1"/>
      <c r="AE665" s="1"/>
      <c r="AF665" s="1"/>
      <c r="AG665" s="1"/>
      <c r="AH665" s="1"/>
    </row>
    <row r="666" ht="12.75" hidden="1" customHeight="1" outlineLevel="1">
      <c r="A666" s="17">
        <v>41140.0</v>
      </c>
      <c r="B666" s="1"/>
      <c r="C666" s="1" t="s">
        <v>429</v>
      </c>
      <c r="D666" s="74"/>
      <c r="E666" s="67"/>
      <c r="F666" s="75"/>
      <c r="G666" s="67"/>
      <c r="H666" s="68"/>
      <c r="I666" s="76"/>
      <c r="J666" s="67"/>
      <c r="K666" s="7" t="s">
        <v>636</v>
      </c>
      <c r="L666" s="77"/>
      <c r="M666" s="79"/>
      <c r="N666" s="1"/>
      <c r="O666" s="1"/>
      <c r="P666" s="1"/>
      <c r="Q666" s="1"/>
      <c r="R666" s="1"/>
      <c r="S666" s="1"/>
      <c r="T666" s="1"/>
      <c r="U666" s="1"/>
      <c r="V666" s="1"/>
      <c r="W666" s="1"/>
      <c r="X666" s="1"/>
      <c r="Y666" s="1"/>
      <c r="Z666" s="1"/>
      <c r="AA666" s="1"/>
      <c r="AB666" s="1"/>
      <c r="AC666" s="1"/>
      <c r="AD666" s="1"/>
      <c r="AE666" s="1"/>
      <c r="AF666" s="1"/>
      <c r="AG666" s="1"/>
      <c r="AH666" s="1"/>
    </row>
    <row r="667" ht="12.75" hidden="1" customHeight="1" outlineLevel="1">
      <c r="A667" s="17">
        <v>41140.0</v>
      </c>
      <c r="B667" s="1"/>
      <c r="C667" s="1" t="s">
        <v>431</v>
      </c>
      <c r="D667" s="74"/>
      <c r="E667" s="67"/>
      <c r="F667" s="75"/>
      <c r="G667" s="67"/>
      <c r="H667" s="68"/>
      <c r="I667" s="76"/>
      <c r="J667" s="67"/>
      <c r="K667" s="7" t="s">
        <v>502</v>
      </c>
      <c r="L667" s="77"/>
      <c r="M667" s="79"/>
      <c r="N667" s="1"/>
      <c r="O667" s="1"/>
      <c r="P667" s="1"/>
      <c r="Q667" s="1"/>
      <c r="R667" s="1"/>
      <c r="S667" s="1"/>
      <c r="T667" s="1"/>
      <c r="U667" s="1"/>
      <c r="V667" s="1"/>
      <c r="W667" s="1"/>
      <c r="X667" s="1"/>
      <c r="Y667" s="1"/>
      <c r="Z667" s="1"/>
      <c r="AA667" s="1"/>
      <c r="AB667" s="1"/>
      <c r="AC667" s="1"/>
      <c r="AD667" s="1"/>
      <c r="AE667" s="1"/>
      <c r="AF667" s="1"/>
      <c r="AG667" s="1"/>
      <c r="AH667" s="1"/>
    </row>
    <row r="668" ht="12.75" hidden="1" customHeight="1" outlineLevel="1">
      <c r="A668" s="17">
        <v>41140.0</v>
      </c>
      <c r="B668" s="1"/>
      <c r="C668" s="1" t="s">
        <v>433</v>
      </c>
      <c r="D668" s="74"/>
      <c r="E668" s="67"/>
      <c r="F668" s="75"/>
      <c r="G668" s="67"/>
      <c r="H668" s="68"/>
      <c r="I668" s="76"/>
      <c r="J668" s="67"/>
      <c r="K668" s="1" t="s">
        <v>434</v>
      </c>
      <c r="L668" s="77"/>
      <c r="M668" s="79"/>
      <c r="N668" s="1"/>
      <c r="O668" s="1"/>
      <c r="P668" s="1"/>
      <c r="Q668" s="1"/>
      <c r="R668" s="1"/>
      <c r="S668" s="1"/>
      <c r="T668" s="1"/>
      <c r="U668" s="1"/>
      <c r="V668" s="1"/>
      <c r="W668" s="1"/>
      <c r="X668" s="1"/>
      <c r="Y668" s="1"/>
      <c r="Z668" s="1"/>
      <c r="AA668" s="1"/>
      <c r="AB668" s="1"/>
      <c r="AC668" s="1"/>
      <c r="AD668" s="1"/>
      <c r="AE668" s="1"/>
      <c r="AF668" s="1"/>
      <c r="AG668" s="1"/>
      <c r="AH668" s="1"/>
    </row>
    <row r="669" ht="12.75" hidden="1" customHeight="1" outlineLevel="1">
      <c r="A669" s="17">
        <v>41140.0</v>
      </c>
      <c r="B669" s="1"/>
      <c r="C669" s="1" t="s">
        <v>435</v>
      </c>
      <c r="D669" s="74"/>
      <c r="E669" s="67"/>
      <c r="F669" s="75"/>
      <c r="G669" s="67"/>
      <c r="H669" s="68"/>
      <c r="I669" s="76"/>
      <c r="J669" s="67"/>
      <c r="K669" s="7" t="s">
        <v>629</v>
      </c>
      <c r="L669" s="77"/>
      <c r="M669" s="79"/>
      <c r="N669" s="1"/>
      <c r="O669" s="1"/>
      <c r="P669" s="1"/>
      <c r="Q669" s="1"/>
      <c r="R669" s="1"/>
      <c r="S669" s="1"/>
      <c r="T669" s="1"/>
      <c r="U669" s="1"/>
      <c r="V669" s="1"/>
      <c r="W669" s="1"/>
      <c r="X669" s="1"/>
      <c r="Y669" s="1"/>
      <c r="Z669" s="1"/>
      <c r="AA669" s="1"/>
      <c r="AB669" s="1"/>
      <c r="AC669" s="1"/>
      <c r="AD669" s="1"/>
      <c r="AE669" s="1"/>
      <c r="AF669" s="1"/>
      <c r="AG669" s="1"/>
      <c r="AH669" s="1"/>
    </row>
    <row r="670" ht="12.75" hidden="1" customHeight="1" outlineLevel="1">
      <c r="A670" s="17">
        <v>41141.0</v>
      </c>
      <c r="B670" s="1" t="s">
        <v>347</v>
      </c>
      <c r="C670" s="1" t="s">
        <v>381</v>
      </c>
      <c r="D670" s="1">
        <v>50.0</v>
      </c>
      <c r="E670" s="1">
        <v>18.99</v>
      </c>
      <c r="F670" s="115">
        <v>0.4179629629629629</v>
      </c>
      <c r="G670" s="1">
        <v>2.012082E7</v>
      </c>
      <c r="H670" s="1">
        <v>1.0</v>
      </c>
      <c r="I670" s="76"/>
      <c r="J670" s="67">
        <f t="shared" ref="J670:J673" si="46">IF(B670="SLD",D670*E670,-D670*E670)-H670</f>
        <v>948.5</v>
      </c>
      <c r="K670" s="7"/>
      <c r="L670" s="70"/>
      <c r="M670" s="79"/>
      <c r="N670" s="1"/>
      <c r="O670" s="1"/>
      <c r="P670" s="1"/>
      <c r="Q670" s="1"/>
      <c r="R670" s="1"/>
      <c r="S670" s="1"/>
      <c r="T670" s="1"/>
      <c r="U670" s="1"/>
      <c r="V670" s="1"/>
      <c r="W670" s="1"/>
      <c r="X670" s="1"/>
      <c r="Y670" s="1"/>
      <c r="Z670" s="1"/>
      <c r="AA670" s="1"/>
      <c r="AB670" s="1"/>
      <c r="AC670" s="1"/>
      <c r="AD670" s="1"/>
      <c r="AE670" s="1"/>
      <c r="AF670" s="1"/>
      <c r="AG670" s="1"/>
      <c r="AH670" s="1"/>
    </row>
    <row r="671" ht="12.75" hidden="1" customHeight="1" outlineLevel="1">
      <c r="A671" s="17">
        <v>41141.0</v>
      </c>
      <c r="B671" s="1" t="s">
        <v>347</v>
      </c>
      <c r="C671" s="1" t="s">
        <v>381</v>
      </c>
      <c r="D671" s="1">
        <v>100.0</v>
      </c>
      <c r="E671" s="1">
        <v>18.99</v>
      </c>
      <c r="F671" s="115">
        <v>0.4179629629629629</v>
      </c>
      <c r="G671" s="1">
        <v>2.012082E7</v>
      </c>
      <c r="H671" s="1">
        <v>0.0</v>
      </c>
      <c r="I671" s="76"/>
      <c r="J671" s="67">
        <f t="shared" si="46"/>
        <v>1899</v>
      </c>
      <c r="K671" s="7"/>
      <c r="L671" s="70"/>
      <c r="M671" s="79"/>
      <c r="N671" s="1"/>
      <c r="O671" s="1"/>
      <c r="P671" s="1"/>
      <c r="Q671" s="1"/>
      <c r="R671" s="1"/>
      <c r="S671" s="1"/>
      <c r="T671" s="1"/>
      <c r="U671" s="1"/>
      <c r="V671" s="1"/>
      <c r="W671" s="1"/>
      <c r="X671" s="1"/>
      <c r="Y671" s="1"/>
      <c r="Z671" s="1"/>
      <c r="AA671" s="1"/>
      <c r="AB671" s="1"/>
      <c r="AC671" s="1"/>
      <c r="AD671" s="1"/>
      <c r="AE671" s="1"/>
      <c r="AF671" s="1"/>
      <c r="AG671" s="1"/>
      <c r="AH671" s="1"/>
    </row>
    <row r="672" ht="12.75" hidden="1" customHeight="1" outlineLevel="1">
      <c r="A672" s="17">
        <v>41141.0</v>
      </c>
      <c r="B672" s="1" t="s">
        <v>343</v>
      </c>
      <c r="C672" s="1" t="s">
        <v>346</v>
      </c>
      <c r="D672" s="1">
        <v>1.0</v>
      </c>
      <c r="E672" s="1">
        <v>660.08</v>
      </c>
      <c r="F672" s="115">
        <v>0.470625</v>
      </c>
      <c r="G672" s="1">
        <v>2.012082E7</v>
      </c>
      <c r="H672" s="1">
        <v>1.0</v>
      </c>
      <c r="I672" s="76"/>
      <c r="J672" s="67">
        <f t="shared" si="46"/>
        <v>-661.08</v>
      </c>
      <c r="K672" s="7"/>
      <c r="L672" s="70"/>
      <c r="M672" s="79"/>
      <c r="N672" s="1"/>
      <c r="O672" s="1"/>
      <c r="P672" s="1"/>
      <c r="Q672" s="1"/>
      <c r="R672" s="1"/>
      <c r="S672" s="1"/>
      <c r="T672" s="1"/>
      <c r="U672" s="1"/>
      <c r="V672" s="1"/>
      <c r="W672" s="1"/>
      <c r="X672" s="1"/>
      <c r="Y672" s="1"/>
      <c r="Z672" s="1"/>
      <c r="AA672" s="1"/>
      <c r="AB672" s="1"/>
      <c r="AC672" s="1"/>
      <c r="AD672" s="1"/>
      <c r="AE672" s="1"/>
      <c r="AF672" s="1"/>
      <c r="AG672" s="1"/>
      <c r="AH672" s="1"/>
    </row>
    <row r="673" ht="12.75" hidden="1" customHeight="1" outlineLevel="1">
      <c r="A673" s="17">
        <v>41141.0</v>
      </c>
      <c r="B673" s="1" t="s">
        <v>343</v>
      </c>
      <c r="C673" s="1" t="s">
        <v>346</v>
      </c>
      <c r="D673" s="1">
        <v>14.0</v>
      </c>
      <c r="E673" s="1">
        <v>660.1</v>
      </c>
      <c r="F673" s="115">
        <v>0.470625</v>
      </c>
      <c r="G673" s="1">
        <v>2.012082E7</v>
      </c>
      <c r="H673" s="1">
        <v>0.0</v>
      </c>
      <c r="I673" s="76"/>
      <c r="J673" s="67">
        <f t="shared" si="46"/>
        <v>-9241.4</v>
      </c>
      <c r="K673" s="7"/>
      <c r="L673" s="70"/>
      <c r="M673" s="79"/>
      <c r="N673" s="1"/>
      <c r="O673" s="1"/>
      <c r="P673" s="1"/>
      <c r="Q673" s="1"/>
      <c r="R673" s="1"/>
      <c r="S673" s="1"/>
      <c r="T673" s="1"/>
      <c r="U673" s="1"/>
      <c r="V673" s="1"/>
      <c r="W673" s="1"/>
      <c r="X673" s="1"/>
      <c r="Y673" s="1"/>
      <c r="Z673" s="1"/>
      <c r="AA673" s="1"/>
      <c r="AB673" s="1"/>
      <c r="AC673" s="1"/>
      <c r="AD673" s="1"/>
      <c r="AE673" s="1"/>
      <c r="AF673" s="1"/>
      <c r="AG673" s="1"/>
      <c r="AH673" s="1"/>
    </row>
    <row r="674" ht="12.75" hidden="1" customHeight="1" outlineLevel="1">
      <c r="A674" s="17">
        <v>41141.0</v>
      </c>
      <c r="B674" s="1"/>
      <c r="C674" s="1" t="s">
        <v>339</v>
      </c>
      <c r="D674" s="74"/>
      <c r="E674" s="67"/>
      <c r="F674" s="75"/>
      <c r="G674" s="67"/>
      <c r="H674" s="68"/>
      <c r="I674" s="76"/>
      <c r="J674" s="67"/>
      <c r="K674" s="7" t="s">
        <v>637</v>
      </c>
      <c r="L674" s="77"/>
      <c r="M674" s="79"/>
      <c r="N674" s="1"/>
      <c r="O674" s="1"/>
      <c r="P674" s="1"/>
      <c r="Q674" s="1"/>
      <c r="R674" s="1"/>
      <c r="S674" s="1"/>
      <c r="T674" s="1"/>
      <c r="U674" s="1"/>
      <c r="V674" s="1"/>
      <c r="W674" s="1"/>
      <c r="X674" s="1"/>
      <c r="Y674" s="1"/>
      <c r="Z674" s="1"/>
      <c r="AA674" s="1"/>
      <c r="AB674" s="1"/>
      <c r="AC674" s="1"/>
      <c r="AD674" s="1"/>
      <c r="AE674" s="1"/>
      <c r="AF674" s="1"/>
      <c r="AG674" s="1"/>
      <c r="AH674" s="1"/>
    </row>
    <row r="675" ht="12.75" hidden="1" customHeight="1" outlineLevel="1">
      <c r="A675" s="17">
        <v>41141.0</v>
      </c>
      <c r="B675" s="1"/>
      <c r="C675" s="1" t="s">
        <v>429</v>
      </c>
      <c r="D675" s="74"/>
      <c r="E675" s="67"/>
      <c r="F675" s="75"/>
      <c r="G675" s="67"/>
      <c r="H675" s="68"/>
      <c r="I675" s="76"/>
      <c r="J675" s="67"/>
      <c r="K675" s="7" t="s">
        <v>636</v>
      </c>
      <c r="L675" s="77"/>
      <c r="M675" s="79"/>
      <c r="N675" s="1"/>
      <c r="O675" s="1"/>
      <c r="P675" s="1"/>
      <c r="Q675" s="1"/>
      <c r="R675" s="1"/>
      <c r="S675" s="1"/>
      <c r="T675" s="1"/>
      <c r="U675" s="1"/>
      <c r="V675" s="1"/>
      <c r="W675" s="1"/>
      <c r="X675" s="1"/>
      <c r="Y675" s="1"/>
      <c r="Z675" s="1"/>
      <c r="AA675" s="1"/>
      <c r="AB675" s="1"/>
      <c r="AC675" s="1"/>
      <c r="AD675" s="1"/>
      <c r="AE675" s="1"/>
      <c r="AF675" s="1"/>
      <c r="AG675" s="1"/>
      <c r="AH675" s="1"/>
    </row>
    <row r="676" ht="12.75" hidden="1" customHeight="1" outlineLevel="1">
      <c r="A676" s="17">
        <v>41141.0</v>
      </c>
      <c r="B676" s="1"/>
      <c r="C676" s="1" t="s">
        <v>431</v>
      </c>
      <c r="D676" s="74"/>
      <c r="E676" s="67"/>
      <c r="F676" s="75"/>
      <c r="G676" s="67"/>
      <c r="H676" s="68"/>
      <c r="I676" s="76"/>
      <c r="J676" s="67"/>
      <c r="K676" s="7" t="s">
        <v>502</v>
      </c>
      <c r="L676" s="77"/>
      <c r="M676" s="79"/>
      <c r="N676" s="1"/>
      <c r="O676" s="1"/>
      <c r="P676" s="1"/>
      <c r="Q676" s="1"/>
      <c r="R676" s="1"/>
      <c r="S676" s="1"/>
      <c r="T676" s="1"/>
      <c r="U676" s="1"/>
      <c r="V676" s="1"/>
      <c r="W676" s="1"/>
      <c r="X676" s="1"/>
      <c r="Y676" s="1"/>
      <c r="Z676" s="1"/>
      <c r="AA676" s="1"/>
      <c r="AB676" s="1"/>
      <c r="AC676" s="1"/>
      <c r="AD676" s="1"/>
      <c r="AE676" s="1"/>
      <c r="AF676" s="1"/>
      <c r="AG676" s="1"/>
      <c r="AH676" s="1"/>
    </row>
    <row r="677" ht="12.75" hidden="1" customHeight="1" outlineLevel="1">
      <c r="A677" s="17">
        <v>41141.0</v>
      </c>
      <c r="B677" s="1"/>
      <c r="C677" s="1" t="s">
        <v>433</v>
      </c>
      <c r="D677" s="74"/>
      <c r="E677" s="67"/>
      <c r="F677" s="75"/>
      <c r="G677" s="67"/>
      <c r="H677" s="68"/>
      <c r="I677" s="76"/>
      <c r="J677" s="67"/>
      <c r="K677" s="1" t="s">
        <v>434</v>
      </c>
      <c r="L677" s="77"/>
      <c r="M677" s="79"/>
      <c r="N677" s="1"/>
      <c r="O677" s="1"/>
      <c r="P677" s="1"/>
      <c r="Q677" s="1"/>
      <c r="R677" s="1"/>
      <c r="S677" s="1"/>
      <c r="T677" s="1"/>
      <c r="U677" s="1"/>
      <c r="V677" s="1"/>
      <c r="W677" s="1"/>
      <c r="X677" s="1"/>
      <c r="Y677" s="1"/>
      <c r="Z677" s="1"/>
      <c r="AA677" s="1"/>
      <c r="AB677" s="1"/>
      <c r="AC677" s="1"/>
      <c r="AD677" s="1"/>
      <c r="AE677" s="1"/>
      <c r="AF677" s="1"/>
      <c r="AG677" s="1"/>
      <c r="AH677" s="1"/>
    </row>
    <row r="678" ht="12.75" hidden="1" customHeight="1" outlineLevel="1">
      <c r="A678" s="17">
        <v>41141.0</v>
      </c>
      <c r="B678" s="1"/>
      <c r="C678" s="1" t="s">
        <v>435</v>
      </c>
      <c r="D678" s="74"/>
      <c r="E678" s="67"/>
      <c r="F678" s="75"/>
      <c r="G678" s="67"/>
      <c r="H678" s="68"/>
      <c r="I678" s="76"/>
      <c r="J678" s="67"/>
      <c r="K678" s="7" t="s">
        <v>629</v>
      </c>
      <c r="L678" s="77"/>
      <c r="M678" s="79"/>
      <c r="N678" s="1"/>
      <c r="O678" s="1"/>
      <c r="P678" s="1"/>
      <c r="Q678" s="1"/>
      <c r="R678" s="1"/>
      <c r="S678" s="1"/>
      <c r="T678" s="1"/>
      <c r="U678" s="1"/>
      <c r="V678" s="1"/>
      <c r="W678" s="1"/>
      <c r="X678" s="1"/>
      <c r="Y678" s="1"/>
      <c r="Z678" s="1"/>
      <c r="AA678" s="1"/>
      <c r="AB678" s="1"/>
      <c r="AC678" s="1"/>
      <c r="AD678" s="1"/>
      <c r="AE678" s="1"/>
      <c r="AF678" s="1"/>
      <c r="AG678" s="1"/>
      <c r="AH678" s="1"/>
    </row>
    <row r="679" ht="12.75" hidden="1" customHeight="1" outlineLevel="1">
      <c r="A679" s="17">
        <v>41142.0</v>
      </c>
      <c r="B679" s="1" t="s">
        <v>343</v>
      </c>
      <c r="C679" s="1" t="s">
        <v>441</v>
      </c>
      <c r="D679" s="74">
        <v>1000.0</v>
      </c>
      <c r="E679" s="67">
        <v>6.921</v>
      </c>
      <c r="F679" s="75">
        <v>0.42984953703703704</v>
      </c>
      <c r="G679" s="67" t="s">
        <v>453</v>
      </c>
      <c r="H679" s="68">
        <v>5.0</v>
      </c>
      <c r="I679" s="76"/>
      <c r="J679" s="67">
        <f t="shared" ref="J679:J684" si="47">IF(B679="SLD",D679*E679,-D679*E679)-H679</f>
        <v>-6926</v>
      </c>
      <c r="K679" s="7" t="s">
        <v>395</v>
      </c>
      <c r="L679" s="70"/>
      <c r="M679" s="79"/>
      <c r="N679" s="1"/>
      <c r="O679" s="1"/>
      <c r="P679" s="1"/>
      <c r="Q679" s="1"/>
      <c r="R679" s="1"/>
      <c r="S679" s="1"/>
      <c r="T679" s="1"/>
      <c r="U679" s="1"/>
      <c r="V679" s="1"/>
      <c r="W679" s="1"/>
      <c r="X679" s="1"/>
      <c r="Y679" s="1"/>
      <c r="Z679" s="1"/>
      <c r="AA679" s="1"/>
      <c r="AB679" s="1"/>
      <c r="AC679" s="1"/>
      <c r="AD679" s="1"/>
      <c r="AE679" s="1"/>
      <c r="AF679" s="1"/>
      <c r="AG679" s="1"/>
      <c r="AH679" s="1"/>
    </row>
    <row r="680" ht="12.75" hidden="1" customHeight="1" outlineLevel="1">
      <c r="A680" s="17">
        <v>41142.0</v>
      </c>
      <c r="B680" s="1" t="s">
        <v>343</v>
      </c>
      <c r="C680" s="1" t="s">
        <v>441</v>
      </c>
      <c r="D680" s="74">
        <v>400.0</v>
      </c>
      <c r="E680" s="67">
        <v>6.9</v>
      </c>
      <c r="F680" s="75">
        <v>0.43106481481481485</v>
      </c>
      <c r="G680" s="67" t="s">
        <v>453</v>
      </c>
      <c r="H680" s="68">
        <v>2.0</v>
      </c>
      <c r="I680" s="76"/>
      <c r="J680" s="67">
        <f t="shared" si="47"/>
        <v>-2762</v>
      </c>
      <c r="K680" s="7" t="s">
        <v>395</v>
      </c>
      <c r="L680" s="70"/>
      <c r="M680" s="79"/>
      <c r="N680" s="1"/>
      <c r="O680" s="1"/>
      <c r="P680" s="1"/>
      <c r="Q680" s="1"/>
      <c r="R680" s="1"/>
      <c r="S680" s="1"/>
      <c r="T680" s="1"/>
      <c r="U680" s="1"/>
      <c r="V680" s="1"/>
      <c r="W680" s="1"/>
      <c r="X680" s="1"/>
      <c r="Y680" s="1"/>
      <c r="Z680" s="1"/>
      <c r="AA680" s="1"/>
      <c r="AB680" s="1"/>
      <c r="AC680" s="1"/>
      <c r="AD680" s="1"/>
      <c r="AE680" s="1"/>
      <c r="AF680" s="1"/>
      <c r="AG680" s="1"/>
      <c r="AH680" s="1"/>
    </row>
    <row r="681" ht="12.75" hidden="1" customHeight="1" outlineLevel="1">
      <c r="A681" s="17">
        <v>41142.0</v>
      </c>
      <c r="B681" s="1" t="s">
        <v>343</v>
      </c>
      <c r="C681" s="1" t="s">
        <v>409</v>
      </c>
      <c r="D681" s="74">
        <v>25.0</v>
      </c>
      <c r="E681" s="67">
        <v>150.77</v>
      </c>
      <c r="F681" s="75">
        <v>0.4407175925925926</v>
      </c>
      <c r="G681" s="67" t="s">
        <v>453</v>
      </c>
      <c r="H681" s="68">
        <v>1.0</v>
      </c>
      <c r="I681" s="76"/>
      <c r="J681" s="67">
        <f t="shared" si="47"/>
        <v>-3770.25</v>
      </c>
      <c r="K681" s="7"/>
      <c r="L681" s="70"/>
      <c r="M681" s="79"/>
      <c r="N681" s="1"/>
      <c r="O681" s="1"/>
      <c r="P681" s="1"/>
      <c r="Q681" s="1"/>
      <c r="R681" s="1"/>
      <c r="S681" s="1"/>
      <c r="T681" s="1"/>
      <c r="U681" s="1"/>
      <c r="V681" s="1"/>
      <c r="W681" s="1"/>
      <c r="X681" s="1"/>
      <c r="Y681" s="1"/>
      <c r="Z681" s="1"/>
      <c r="AA681" s="1"/>
      <c r="AB681" s="1"/>
      <c r="AC681" s="1"/>
      <c r="AD681" s="1"/>
      <c r="AE681" s="1"/>
      <c r="AF681" s="1"/>
      <c r="AG681" s="1"/>
      <c r="AH681" s="1"/>
    </row>
    <row r="682" ht="12.75" hidden="1" customHeight="1" outlineLevel="1">
      <c r="A682" s="17">
        <v>41142.0</v>
      </c>
      <c r="B682" s="1" t="s">
        <v>343</v>
      </c>
      <c r="C682" s="1" t="s">
        <v>386</v>
      </c>
      <c r="D682" s="74">
        <v>450.0</v>
      </c>
      <c r="E682" s="67">
        <v>22.06</v>
      </c>
      <c r="F682" s="75">
        <v>0.4447337962962963</v>
      </c>
      <c r="G682" s="67" t="s">
        <v>453</v>
      </c>
      <c r="H682" s="68">
        <v>1.8</v>
      </c>
      <c r="I682" s="76"/>
      <c r="J682" s="67">
        <f t="shared" si="47"/>
        <v>-9928.8</v>
      </c>
      <c r="K682" s="7"/>
      <c r="L682" s="70"/>
      <c r="M682" s="79"/>
      <c r="N682" s="1"/>
      <c r="O682" s="1"/>
      <c r="P682" s="1"/>
      <c r="Q682" s="1"/>
      <c r="R682" s="1"/>
      <c r="S682" s="1"/>
      <c r="T682" s="1"/>
      <c r="U682" s="1"/>
      <c r="V682" s="1"/>
      <c r="W682" s="1"/>
      <c r="X682" s="1"/>
      <c r="Y682" s="1"/>
      <c r="Z682" s="1"/>
      <c r="AA682" s="1"/>
      <c r="AB682" s="1"/>
      <c r="AC682" s="1"/>
      <c r="AD682" s="1"/>
      <c r="AE682" s="1"/>
      <c r="AF682" s="1"/>
      <c r="AG682" s="1"/>
      <c r="AH682" s="1"/>
    </row>
    <row r="683" ht="12.75" hidden="1" customHeight="1" outlineLevel="1">
      <c r="A683" s="17">
        <v>41142.0</v>
      </c>
      <c r="B683" s="1" t="s">
        <v>347</v>
      </c>
      <c r="C683" s="1" t="s">
        <v>386</v>
      </c>
      <c r="D683" s="74">
        <v>150.0</v>
      </c>
      <c r="E683" s="67">
        <v>21.35</v>
      </c>
      <c r="F683" s="75">
        <v>0.6374884259259259</v>
      </c>
      <c r="G683" s="67" t="s">
        <v>453</v>
      </c>
      <c r="H683" s="68">
        <v>1.0</v>
      </c>
      <c r="I683" s="76"/>
      <c r="J683" s="67">
        <f t="shared" si="47"/>
        <v>3201.5</v>
      </c>
      <c r="K683" s="7"/>
      <c r="L683" s="70"/>
      <c r="M683" s="79"/>
      <c r="N683" s="1"/>
      <c r="O683" s="1"/>
      <c r="P683" s="1"/>
      <c r="Q683" s="1"/>
      <c r="R683" s="1"/>
      <c r="S683" s="1"/>
      <c r="T683" s="1"/>
      <c r="U683" s="1"/>
      <c r="V683" s="1"/>
      <c r="W683" s="1"/>
      <c r="X683" s="1"/>
      <c r="Y683" s="1"/>
      <c r="Z683" s="1"/>
      <c r="AA683" s="1"/>
      <c r="AB683" s="1"/>
      <c r="AC683" s="1"/>
      <c r="AD683" s="1"/>
      <c r="AE683" s="1"/>
      <c r="AF683" s="1"/>
      <c r="AG683" s="1"/>
      <c r="AH683" s="1"/>
    </row>
    <row r="684" ht="12.75" hidden="1" customHeight="1" outlineLevel="1">
      <c r="A684" s="17">
        <v>41142.0</v>
      </c>
      <c r="B684" s="1" t="s">
        <v>347</v>
      </c>
      <c r="C684" s="1" t="s">
        <v>344</v>
      </c>
      <c r="D684" s="74">
        <v>800.0</v>
      </c>
      <c r="E684" s="67">
        <v>33.94</v>
      </c>
      <c r="F684" s="75">
        <v>0.639375</v>
      </c>
      <c r="G684" s="67" t="s">
        <v>453</v>
      </c>
      <c r="H684" s="68">
        <v>4.0</v>
      </c>
      <c r="I684" s="76"/>
      <c r="J684" s="67">
        <f t="shared" si="47"/>
        <v>27148</v>
      </c>
      <c r="K684" s="7" t="s">
        <v>395</v>
      </c>
      <c r="L684" s="70"/>
      <c r="M684" s="79"/>
      <c r="N684" s="1"/>
      <c r="O684" s="1"/>
      <c r="P684" s="1"/>
      <c r="Q684" s="1"/>
      <c r="R684" s="1"/>
      <c r="S684" s="1"/>
      <c r="T684" s="1"/>
      <c r="U684" s="1"/>
      <c r="V684" s="1"/>
      <c r="W684" s="1"/>
      <c r="X684" s="1"/>
      <c r="Y684" s="1"/>
      <c r="Z684" s="1"/>
      <c r="AA684" s="1"/>
      <c r="AB684" s="1"/>
      <c r="AC684" s="1"/>
      <c r="AD684" s="1"/>
      <c r="AE684" s="1"/>
      <c r="AF684" s="1"/>
      <c r="AG684" s="1"/>
      <c r="AH684" s="1"/>
    </row>
    <row r="685" ht="12.75" hidden="1" customHeight="1" outlineLevel="1">
      <c r="A685" s="17">
        <v>41142.0</v>
      </c>
      <c r="B685" s="1"/>
      <c r="C685" s="1" t="s">
        <v>339</v>
      </c>
      <c r="D685" s="74"/>
      <c r="E685" s="67"/>
      <c r="F685" s="75"/>
      <c r="G685" s="67"/>
      <c r="H685" s="68"/>
      <c r="I685" s="76"/>
      <c r="J685" s="67"/>
      <c r="K685" s="7" t="s">
        <v>638</v>
      </c>
      <c r="L685" s="77"/>
      <c r="M685" s="79"/>
      <c r="N685" s="1"/>
      <c r="O685" s="1"/>
      <c r="P685" s="1"/>
      <c r="Q685" s="1"/>
      <c r="R685" s="1"/>
      <c r="S685" s="1"/>
      <c r="T685" s="1"/>
      <c r="U685" s="1"/>
      <c r="V685" s="1"/>
      <c r="W685" s="1"/>
      <c r="X685" s="1"/>
      <c r="Y685" s="1"/>
      <c r="Z685" s="1"/>
      <c r="AA685" s="1"/>
      <c r="AB685" s="1"/>
      <c r="AC685" s="1"/>
      <c r="AD685" s="1"/>
      <c r="AE685" s="1"/>
      <c r="AF685" s="1"/>
      <c r="AG685" s="1"/>
      <c r="AH685" s="1"/>
    </row>
    <row r="686" ht="12.75" hidden="1" customHeight="1" outlineLevel="1">
      <c r="A686" s="17">
        <v>41142.0</v>
      </c>
      <c r="B686" s="1"/>
      <c r="C686" s="1" t="s">
        <v>429</v>
      </c>
      <c r="D686" s="74"/>
      <c r="E686" s="67"/>
      <c r="F686" s="75"/>
      <c r="G686" s="67"/>
      <c r="H686" s="68"/>
      <c r="I686" s="76"/>
      <c r="J686" s="67"/>
      <c r="K686" s="7" t="s">
        <v>636</v>
      </c>
      <c r="L686" s="77"/>
      <c r="M686" s="79"/>
      <c r="N686" s="1"/>
      <c r="O686" s="1"/>
      <c r="P686" s="1"/>
      <c r="Q686" s="1"/>
      <c r="R686" s="1"/>
      <c r="S686" s="1"/>
      <c r="T686" s="1"/>
      <c r="U686" s="1"/>
      <c r="V686" s="1"/>
      <c r="W686" s="1"/>
      <c r="X686" s="1"/>
      <c r="Y686" s="1"/>
      <c r="Z686" s="1"/>
      <c r="AA686" s="1"/>
      <c r="AB686" s="1"/>
      <c r="AC686" s="1"/>
      <c r="AD686" s="1"/>
      <c r="AE686" s="1"/>
      <c r="AF686" s="1"/>
      <c r="AG686" s="1"/>
      <c r="AH686" s="1"/>
    </row>
    <row r="687" ht="12.75" hidden="1" customHeight="1" outlineLevel="1">
      <c r="A687" s="17">
        <v>41142.0</v>
      </c>
      <c r="B687" s="1"/>
      <c r="C687" s="1" t="s">
        <v>431</v>
      </c>
      <c r="D687" s="74"/>
      <c r="E687" s="67"/>
      <c r="F687" s="75"/>
      <c r="G687" s="67"/>
      <c r="H687" s="68"/>
      <c r="I687" s="76"/>
      <c r="J687" s="67"/>
      <c r="K687" s="7" t="s">
        <v>502</v>
      </c>
      <c r="L687" s="77"/>
      <c r="M687" s="79"/>
      <c r="N687" s="1"/>
      <c r="O687" s="1"/>
      <c r="P687" s="1"/>
      <c r="Q687" s="1"/>
      <c r="R687" s="1"/>
      <c r="S687" s="1"/>
      <c r="T687" s="1"/>
      <c r="U687" s="1"/>
      <c r="V687" s="1"/>
      <c r="W687" s="1"/>
      <c r="X687" s="1"/>
      <c r="Y687" s="1"/>
      <c r="Z687" s="1"/>
      <c r="AA687" s="1"/>
      <c r="AB687" s="1"/>
      <c r="AC687" s="1"/>
      <c r="AD687" s="1"/>
      <c r="AE687" s="1"/>
      <c r="AF687" s="1"/>
      <c r="AG687" s="1"/>
      <c r="AH687" s="1"/>
    </row>
    <row r="688" ht="12.75" hidden="1" customHeight="1" outlineLevel="1">
      <c r="A688" s="17">
        <v>41142.0</v>
      </c>
      <c r="B688" s="1"/>
      <c r="C688" s="1" t="s">
        <v>433</v>
      </c>
      <c r="D688" s="74"/>
      <c r="E688" s="67"/>
      <c r="F688" s="75"/>
      <c r="G688" s="67"/>
      <c r="H688" s="68"/>
      <c r="I688" s="76"/>
      <c r="J688" s="67"/>
      <c r="K688" s="1" t="s">
        <v>434</v>
      </c>
      <c r="L688" s="77"/>
      <c r="M688" s="79"/>
      <c r="N688" s="1"/>
      <c r="O688" s="1"/>
      <c r="P688" s="1"/>
      <c r="Q688" s="1"/>
      <c r="R688" s="1"/>
      <c r="S688" s="1"/>
      <c r="T688" s="1"/>
      <c r="U688" s="1"/>
      <c r="V688" s="1"/>
      <c r="W688" s="1"/>
      <c r="X688" s="1"/>
      <c r="Y688" s="1"/>
      <c r="Z688" s="1"/>
      <c r="AA688" s="1"/>
      <c r="AB688" s="1"/>
      <c r="AC688" s="1"/>
      <c r="AD688" s="1"/>
      <c r="AE688" s="1"/>
      <c r="AF688" s="1"/>
      <c r="AG688" s="1"/>
      <c r="AH688" s="1"/>
    </row>
    <row r="689" ht="12.75" hidden="1" customHeight="1" outlineLevel="1">
      <c r="A689" s="17">
        <v>41142.0</v>
      </c>
      <c r="B689" s="1"/>
      <c r="C689" s="1" t="s">
        <v>435</v>
      </c>
      <c r="D689" s="74"/>
      <c r="E689" s="67"/>
      <c r="F689" s="75"/>
      <c r="G689" s="67"/>
      <c r="H689" s="68"/>
      <c r="I689" s="76"/>
      <c r="J689" s="67"/>
      <c r="K689" s="7" t="s">
        <v>629</v>
      </c>
      <c r="L689" s="77"/>
      <c r="M689" s="79"/>
      <c r="N689" s="1"/>
      <c r="O689" s="1"/>
      <c r="P689" s="1"/>
      <c r="Q689" s="1"/>
      <c r="R689" s="1"/>
      <c r="S689" s="1"/>
      <c r="T689" s="1"/>
      <c r="U689" s="1"/>
      <c r="V689" s="1"/>
      <c r="W689" s="1"/>
      <c r="X689" s="1"/>
      <c r="Y689" s="1"/>
      <c r="Z689" s="1"/>
      <c r="AA689" s="1"/>
      <c r="AB689" s="1"/>
      <c r="AC689" s="1"/>
      <c r="AD689" s="1"/>
      <c r="AE689" s="1"/>
      <c r="AF689" s="1"/>
      <c r="AG689" s="1"/>
      <c r="AH689" s="1"/>
    </row>
    <row r="690" ht="12.75" hidden="1" customHeight="1" outlineLevel="1">
      <c r="A690" s="17">
        <v>41143.0</v>
      </c>
      <c r="B690" s="1" t="s">
        <v>347</v>
      </c>
      <c r="C690" s="1" t="s">
        <v>441</v>
      </c>
      <c r="D690" s="1">
        <v>100.0</v>
      </c>
      <c r="E690" s="1">
        <v>6.92</v>
      </c>
      <c r="F690" s="115">
        <v>0.39828703703703705</v>
      </c>
      <c r="G690" s="1">
        <v>2.0120822E7</v>
      </c>
      <c r="H690" s="1">
        <v>1.0</v>
      </c>
      <c r="I690" s="76"/>
      <c r="J690" s="67">
        <f t="shared" ref="J690:J700" si="48">IF(B690="SLD",D690*E690,-D690*E690)-H690</f>
        <v>691</v>
      </c>
      <c r="K690" s="7"/>
      <c r="L690" s="70"/>
      <c r="M690" s="79"/>
      <c r="N690" s="1"/>
      <c r="O690" s="1"/>
      <c r="P690" s="1"/>
      <c r="Q690" s="1"/>
      <c r="R690" s="1"/>
      <c r="S690" s="1"/>
      <c r="T690" s="1"/>
      <c r="U690" s="1"/>
      <c r="V690" s="1"/>
      <c r="W690" s="1"/>
      <c r="X690" s="1"/>
      <c r="Y690" s="1"/>
      <c r="Z690" s="1"/>
      <c r="AA690" s="1"/>
      <c r="AB690" s="1"/>
      <c r="AC690" s="1"/>
      <c r="AD690" s="1"/>
      <c r="AE690" s="1"/>
      <c r="AF690" s="1"/>
      <c r="AG690" s="1"/>
      <c r="AH690" s="1"/>
    </row>
    <row r="691" ht="12.75" hidden="1" customHeight="1" outlineLevel="1">
      <c r="A691" s="17">
        <v>41143.0</v>
      </c>
      <c r="B691" s="1" t="s">
        <v>347</v>
      </c>
      <c r="C691" s="1" t="s">
        <v>441</v>
      </c>
      <c r="D691" s="1">
        <v>100.0</v>
      </c>
      <c r="E691" s="1">
        <v>6.92</v>
      </c>
      <c r="F691" s="115">
        <v>0.3982986111111111</v>
      </c>
      <c r="G691" s="1">
        <v>2.0120822E7</v>
      </c>
      <c r="H691" s="1">
        <v>0.0</v>
      </c>
      <c r="I691" s="76"/>
      <c r="J691" s="67">
        <f t="shared" si="48"/>
        <v>692</v>
      </c>
      <c r="K691" s="7"/>
      <c r="L691" s="70"/>
      <c r="M691" s="79"/>
      <c r="N691" s="1"/>
      <c r="O691" s="1"/>
      <c r="P691" s="1"/>
      <c r="Q691" s="1"/>
      <c r="R691" s="1"/>
      <c r="S691" s="1"/>
      <c r="T691" s="1"/>
      <c r="U691" s="1"/>
      <c r="V691" s="1"/>
      <c r="W691" s="1"/>
      <c r="X691" s="1"/>
      <c r="Y691" s="1"/>
      <c r="Z691" s="1"/>
      <c r="AA691" s="1"/>
      <c r="AB691" s="1"/>
      <c r="AC691" s="1"/>
      <c r="AD691" s="1"/>
      <c r="AE691" s="1"/>
      <c r="AF691" s="1"/>
      <c r="AG691" s="1"/>
      <c r="AH691" s="1"/>
    </row>
    <row r="692" ht="12.75" hidden="1" customHeight="1" outlineLevel="1">
      <c r="A692" s="17">
        <v>41143.0</v>
      </c>
      <c r="B692" s="1" t="s">
        <v>347</v>
      </c>
      <c r="C692" s="1" t="s">
        <v>441</v>
      </c>
      <c r="D692" s="1">
        <v>100.0</v>
      </c>
      <c r="E692" s="1">
        <v>6.92</v>
      </c>
      <c r="F692" s="115">
        <v>0.3982986111111111</v>
      </c>
      <c r="G692" s="1">
        <v>2.0120822E7</v>
      </c>
      <c r="H692" s="1">
        <v>0.4</v>
      </c>
      <c r="I692" s="76"/>
      <c r="J692" s="67">
        <f t="shared" si="48"/>
        <v>691.6</v>
      </c>
      <c r="K692" s="7"/>
      <c r="L692" s="70"/>
      <c r="M692" s="79"/>
      <c r="N692" s="1"/>
      <c r="O692" s="1"/>
      <c r="P692" s="1"/>
      <c r="Q692" s="1"/>
      <c r="R692" s="1"/>
      <c r="S692" s="1"/>
      <c r="T692" s="1"/>
      <c r="U692" s="1"/>
      <c r="V692" s="1"/>
      <c r="W692" s="1"/>
      <c r="X692" s="1"/>
      <c r="Y692" s="1"/>
      <c r="Z692" s="1"/>
      <c r="AA692" s="1"/>
      <c r="AB692" s="1"/>
      <c r="AC692" s="1"/>
      <c r="AD692" s="1"/>
      <c r="AE692" s="1"/>
      <c r="AF692" s="1"/>
      <c r="AG692" s="1"/>
      <c r="AH692" s="1"/>
    </row>
    <row r="693" ht="12.75" hidden="1" customHeight="1" outlineLevel="1">
      <c r="A693" s="17">
        <v>41143.0</v>
      </c>
      <c r="B693" s="1" t="s">
        <v>347</v>
      </c>
      <c r="C693" s="1" t="s">
        <v>441</v>
      </c>
      <c r="D693" s="1">
        <v>100.0</v>
      </c>
      <c r="E693" s="1">
        <v>6.92</v>
      </c>
      <c r="F693" s="115">
        <v>0.3982986111111111</v>
      </c>
      <c r="G693" s="1">
        <v>2.0120822E7</v>
      </c>
      <c r="H693" s="1">
        <v>0.4</v>
      </c>
      <c r="I693" s="76"/>
      <c r="J693" s="67">
        <f t="shared" si="48"/>
        <v>691.6</v>
      </c>
      <c r="K693" s="7"/>
      <c r="L693" s="70"/>
      <c r="M693" s="79"/>
      <c r="N693" s="1"/>
      <c r="O693" s="1"/>
      <c r="P693" s="1"/>
      <c r="Q693" s="1"/>
      <c r="R693" s="1"/>
      <c r="S693" s="1"/>
      <c r="T693" s="1"/>
      <c r="U693" s="1"/>
      <c r="V693" s="1"/>
      <c r="W693" s="1"/>
      <c r="X693" s="1"/>
      <c r="Y693" s="1"/>
      <c r="Z693" s="1"/>
      <c r="AA693" s="1"/>
      <c r="AB693" s="1"/>
      <c r="AC693" s="1"/>
      <c r="AD693" s="1"/>
      <c r="AE693" s="1"/>
      <c r="AF693" s="1"/>
      <c r="AG693" s="1"/>
      <c r="AH693" s="1"/>
    </row>
    <row r="694" ht="12.75" hidden="1" customHeight="1" outlineLevel="1">
      <c r="A694" s="17">
        <v>41143.0</v>
      </c>
      <c r="B694" s="1" t="s">
        <v>343</v>
      </c>
      <c r="C694" s="1" t="s">
        <v>441</v>
      </c>
      <c r="D694" s="1">
        <v>100.0</v>
      </c>
      <c r="E694" s="1">
        <v>7.0499</v>
      </c>
      <c r="F694" s="115">
        <v>0.41020833333333334</v>
      </c>
      <c r="G694" s="1">
        <v>2.0120822E7</v>
      </c>
      <c r="H694" s="1">
        <v>1.0</v>
      </c>
      <c r="I694" s="76"/>
      <c r="J694" s="67">
        <f t="shared" si="48"/>
        <v>-705.99</v>
      </c>
      <c r="K694" s="7"/>
      <c r="L694" s="70"/>
      <c r="M694" s="79"/>
      <c r="N694" s="1"/>
      <c r="O694" s="1"/>
      <c r="P694" s="1"/>
      <c r="Q694" s="1"/>
      <c r="R694" s="1"/>
      <c r="S694" s="1"/>
      <c r="T694" s="1"/>
      <c r="U694" s="1"/>
      <c r="V694" s="1"/>
      <c r="W694" s="1"/>
      <c r="X694" s="1"/>
      <c r="Y694" s="1"/>
      <c r="Z694" s="1"/>
      <c r="AA694" s="1"/>
      <c r="AB694" s="1"/>
      <c r="AC694" s="1"/>
      <c r="AD694" s="1"/>
      <c r="AE694" s="1"/>
      <c r="AF694" s="1"/>
      <c r="AG694" s="1"/>
      <c r="AH694" s="1"/>
    </row>
    <row r="695" ht="12.75" hidden="1" customHeight="1" outlineLevel="1">
      <c r="A695" s="17">
        <v>41143.0</v>
      </c>
      <c r="B695" s="1" t="s">
        <v>343</v>
      </c>
      <c r="C695" s="1" t="s">
        <v>441</v>
      </c>
      <c r="D695" s="1">
        <v>100.0</v>
      </c>
      <c r="E695" s="1">
        <v>7.05</v>
      </c>
      <c r="F695" s="115">
        <v>0.41020833333333334</v>
      </c>
      <c r="G695" s="1">
        <v>2.0120822E7</v>
      </c>
      <c r="H695" s="1">
        <v>0.0</v>
      </c>
      <c r="I695" s="76"/>
      <c r="J695" s="67">
        <f t="shared" si="48"/>
        <v>-705</v>
      </c>
      <c r="K695" s="7"/>
      <c r="L695" s="70"/>
      <c r="M695" s="79"/>
      <c r="N695" s="1"/>
      <c r="O695" s="1"/>
      <c r="P695" s="1"/>
      <c r="Q695" s="1"/>
      <c r="R695" s="1"/>
      <c r="S695" s="1"/>
      <c r="T695" s="1"/>
      <c r="U695" s="1"/>
      <c r="V695" s="1"/>
      <c r="W695" s="1"/>
      <c r="X695" s="1"/>
      <c r="Y695" s="1"/>
      <c r="Z695" s="1"/>
      <c r="AA695" s="1"/>
      <c r="AB695" s="1"/>
      <c r="AC695" s="1"/>
      <c r="AD695" s="1"/>
      <c r="AE695" s="1"/>
      <c r="AF695" s="1"/>
      <c r="AG695" s="1"/>
      <c r="AH695" s="1"/>
    </row>
    <row r="696" ht="12.75" hidden="1" customHeight="1" outlineLevel="1">
      <c r="A696" s="17">
        <v>41143.0</v>
      </c>
      <c r="B696" s="1" t="s">
        <v>343</v>
      </c>
      <c r="C696" s="1" t="s">
        <v>441</v>
      </c>
      <c r="D696" s="1">
        <v>200.0</v>
      </c>
      <c r="E696" s="1">
        <v>7.05</v>
      </c>
      <c r="F696" s="115">
        <v>0.4102199074074074</v>
      </c>
      <c r="G696" s="1">
        <v>2.0120822E7</v>
      </c>
      <c r="H696" s="1">
        <v>0.8</v>
      </c>
      <c r="I696" s="76"/>
      <c r="J696" s="67">
        <f t="shared" si="48"/>
        <v>-1410.8</v>
      </c>
      <c r="K696" s="7"/>
      <c r="L696" s="70"/>
      <c r="M696" s="79"/>
      <c r="N696" s="1"/>
      <c r="O696" s="1"/>
      <c r="P696" s="1"/>
      <c r="Q696" s="1"/>
      <c r="R696" s="1"/>
      <c r="S696" s="1"/>
      <c r="T696" s="1"/>
      <c r="U696" s="1"/>
      <c r="V696" s="1"/>
      <c r="W696" s="1"/>
      <c r="X696" s="1"/>
      <c r="Y696" s="1"/>
      <c r="Z696" s="1"/>
      <c r="AA696" s="1"/>
      <c r="AB696" s="1"/>
      <c r="AC696" s="1"/>
      <c r="AD696" s="1"/>
      <c r="AE696" s="1"/>
      <c r="AF696" s="1"/>
      <c r="AG696" s="1"/>
      <c r="AH696" s="1"/>
    </row>
    <row r="697" ht="12.75" hidden="1" customHeight="1" outlineLevel="1">
      <c r="A697" s="17">
        <v>41143.0</v>
      </c>
      <c r="B697" s="1" t="s">
        <v>343</v>
      </c>
      <c r="C697" s="1" t="s">
        <v>371</v>
      </c>
      <c r="D697" s="1">
        <v>175.0</v>
      </c>
      <c r="E697" s="1">
        <v>26.64</v>
      </c>
      <c r="F697" s="115">
        <v>0.4113773148148148</v>
      </c>
      <c r="G697" s="1">
        <v>2.0120822E7</v>
      </c>
      <c r="H697" s="1">
        <v>1.0</v>
      </c>
      <c r="I697" s="76"/>
      <c r="J697" s="67">
        <f t="shared" si="48"/>
        <v>-4663</v>
      </c>
      <c r="K697" s="7" t="s">
        <v>639</v>
      </c>
      <c r="L697" s="70"/>
      <c r="M697" s="79"/>
      <c r="N697" s="1"/>
      <c r="O697" s="1"/>
      <c r="P697" s="1"/>
      <c r="Q697" s="1"/>
      <c r="R697" s="1"/>
      <c r="S697" s="1"/>
      <c r="T697" s="1"/>
      <c r="U697" s="1"/>
      <c r="V697" s="1"/>
      <c r="W697" s="1"/>
      <c r="X697" s="1"/>
      <c r="Y697" s="1"/>
      <c r="Z697" s="1"/>
      <c r="AA697" s="1"/>
      <c r="AB697" s="1"/>
      <c r="AC697" s="1"/>
      <c r="AD697" s="1"/>
      <c r="AE697" s="1"/>
      <c r="AF697" s="1"/>
      <c r="AG697" s="1"/>
      <c r="AH697" s="1"/>
    </row>
    <row r="698" ht="12.75" hidden="1" customHeight="1" outlineLevel="1">
      <c r="A698" s="17">
        <v>41143.0</v>
      </c>
      <c r="B698" s="1" t="s">
        <v>343</v>
      </c>
      <c r="C698" s="1" t="s">
        <v>385</v>
      </c>
      <c r="D698" s="1">
        <v>100.0</v>
      </c>
      <c r="E698" s="1">
        <v>3.25</v>
      </c>
      <c r="F698" s="115">
        <v>0.4416550925925926</v>
      </c>
      <c r="G698" s="1">
        <v>2.0120822E7</v>
      </c>
      <c r="H698" s="1">
        <v>1.0</v>
      </c>
      <c r="I698" s="76"/>
      <c r="J698" s="67">
        <f t="shared" si="48"/>
        <v>-326</v>
      </c>
      <c r="K698" s="7"/>
      <c r="L698" s="70"/>
      <c r="M698" s="79"/>
      <c r="N698" s="1"/>
      <c r="O698" s="1"/>
      <c r="P698" s="1"/>
      <c r="Q698" s="1"/>
      <c r="R698" s="1"/>
      <c r="S698" s="1"/>
      <c r="T698" s="1"/>
      <c r="U698" s="1"/>
      <c r="V698" s="1"/>
      <c r="W698" s="1"/>
      <c r="X698" s="1"/>
      <c r="Y698" s="1"/>
      <c r="Z698" s="1"/>
      <c r="AA698" s="1"/>
      <c r="AB698" s="1"/>
      <c r="AC698" s="1"/>
      <c r="AD698" s="1"/>
      <c r="AE698" s="1"/>
      <c r="AF698" s="1"/>
      <c r="AG698" s="1"/>
      <c r="AH698" s="1"/>
    </row>
    <row r="699" ht="12.75" hidden="1" customHeight="1" outlineLevel="1">
      <c r="A699" s="17">
        <v>41143.0</v>
      </c>
      <c r="B699" s="1" t="s">
        <v>343</v>
      </c>
      <c r="C699" s="1" t="s">
        <v>385</v>
      </c>
      <c r="D699" s="1">
        <v>200.0</v>
      </c>
      <c r="E699" s="1">
        <v>3.25</v>
      </c>
      <c r="F699" s="115">
        <v>0.4416550925925926</v>
      </c>
      <c r="G699" s="1">
        <v>2.0120822E7</v>
      </c>
      <c r="H699" s="1">
        <v>0.2</v>
      </c>
      <c r="I699" s="76"/>
      <c r="J699" s="67">
        <f t="shared" si="48"/>
        <v>-650.2</v>
      </c>
      <c r="K699" s="7"/>
      <c r="L699" s="70"/>
      <c r="M699" s="79"/>
      <c r="N699" s="1"/>
      <c r="O699" s="1"/>
      <c r="P699" s="1"/>
      <c r="Q699" s="1"/>
      <c r="R699" s="1"/>
      <c r="S699" s="1"/>
      <c r="T699" s="1"/>
      <c r="U699" s="1"/>
      <c r="V699" s="1"/>
      <c r="W699" s="1"/>
      <c r="X699" s="1"/>
      <c r="Y699" s="1"/>
      <c r="Z699" s="1"/>
      <c r="AA699" s="1"/>
      <c r="AB699" s="1"/>
      <c r="AC699" s="1"/>
      <c r="AD699" s="1"/>
      <c r="AE699" s="1"/>
      <c r="AF699" s="1"/>
      <c r="AG699" s="1"/>
      <c r="AH699" s="1"/>
    </row>
    <row r="700" ht="12.75" hidden="1" customHeight="1" outlineLevel="1">
      <c r="A700" s="17">
        <v>41143.0</v>
      </c>
      <c r="B700" s="1" t="s">
        <v>343</v>
      </c>
      <c r="C700" s="1" t="s">
        <v>385</v>
      </c>
      <c r="D700" s="1">
        <v>500.0</v>
      </c>
      <c r="E700" s="1">
        <v>3.25</v>
      </c>
      <c r="F700" s="115">
        <v>0.4416550925925926</v>
      </c>
      <c r="G700" s="1">
        <v>2.0120822E7</v>
      </c>
      <c r="H700" s="1">
        <v>2.5</v>
      </c>
      <c r="I700" s="76"/>
      <c r="J700" s="67">
        <f t="shared" si="48"/>
        <v>-1627.5</v>
      </c>
      <c r="K700" s="7"/>
      <c r="L700" s="70"/>
      <c r="M700" s="79"/>
      <c r="N700" s="1"/>
      <c r="O700" s="1"/>
      <c r="P700" s="1"/>
      <c r="Q700" s="1"/>
      <c r="R700" s="1"/>
      <c r="S700" s="1"/>
      <c r="T700" s="1"/>
      <c r="U700" s="1"/>
      <c r="V700" s="1"/>
      <c r="W700" s="1"/>
      <c r="X700" s="1"/>
      <c r="Y700" s="1"/>
      <c r="Z700" s="1"/>
      <c r="AA700" s="1"/>
      <c r="AB700" s="1"/>
      <c r="AC700" s="1"/>
      <c r="AD700" s="1"/>
      <c r="AE700" s="1"/>
      <c r="AF700" s="1"/>
      <c r="AG700" s="1"/>
      <c r="AH700" s="1"/>
    </row>
    <row r="701" ht="12.75" hidden="1" customHeight="1" outlineLevel="1">
      <c r="A701" s="17">
        <v>41143.0</v>
      </c>
      <c r="B701" s="1"/>
      <c r="C701" s="1" t="s">
        <v>339</v>
      </c>
      <c r="D701" s="74"/>
      <c r="E701" s="67"/>
      <c r="F701" s="75"/>
      <c r="G701" s="67"/>
      <c r="H701" s="68"/>
      <c r="I701" s="76"/>
      <c r="J701" s="67"/>
      <c r="K701" s="7" t="s">
        <v>640</v>
      </c>
      <c r="L701" s="77"/>
      <c r="M701" s="79"/>
      <c r="N701" s="1"/>
      <c r="O701" s="1"/>
      <c r="P701" s="1"/>
      <c r="Q701" s="1"/>
      <c r="R701" s="1"/>
      <c r="S701" s="1"/>
      <c r="T701" s="1"/>
      <c r="U701" s="1"/>
      <c r="V701" s="1"/>
      <c r="W701" s="1"/>
      <c r="X701" s="1"/>
      <c r="Y701" s="1"/>
      <c r="Z701" s="1"/>
      <c r="AA701" s="1"/>
      <c r="AB701" s="1"/>
      <c r="AC701" s="1"/>
      <c r="AD701" s="1"/>
      <c r="AE701" s="1"/>
      <c r="AF701" s="1"/>
      <c r="AG701" s="1"/>
      <c r="AH701" s="1"/>
    </row>
    <row r="702" ht="12.75" hidden="1" customHeight="1" outlineLevel="1">
      <c r="A702" s="17">
        <v>41143.0</v>
      </c>
      <c r="B702" s="1"/>
      <c r="C702" s="1" t="s">
        <v>429</v>
      </c>
      <c r="D702" s="74"/>
      <c r="E702" s="67"/>
      <c r="F702" s="75"/>
      <c r="G702" s="67"/>
      <c r="H702" s="68"/>
      <c r="I702" s="76"/>
      <c r="J702" s="67"/>
      <c r="K702" s="7" t="s">
        <v>636</v>
      </c>
      <c r="L702" s="77"/>
      <c r="M702" s="79"/>
      <c r="N702" s="1"/>
      <c r="O702" s="1"/>
      <c r="P702" s="1"/>
      <c r="Q702" s="1"/>
      <c r="R702" s="1"/>
      <c r="S702" s="1"/>
      <c r="T702" s="1"/>
      <c r="U702" s="1"/>
      <c r="V702" s="1"/>
      <c r="W702" s="1"/>
      <c r="X702" s="1"/>
      <c r="Y702" s="1"/>
      <c r="Z702" s="1"/>
      <c r="AA702" s="1"/>
      <c r="AB702" s="1"/>
      <c r="AC702" s="1"/>
      <c r="AD702" s="1"/>
      <c r="AE702" s="1"/>
      <c r="AF702" s="1"/>
      <c r="AG702" s="1"/>
      <c r="AH702" s="1"/>
    </row>
    <row r="703" ht="12.75" hidden="1" customHeight="1" outlineLevel="1">
      <c r="A703" s="17">
        <v>41143.0</v>
      </c>
      <c r="B703" s="1"/>
      <c r="C703" s="1" t="s">
        <v>431</v>
      </c>
      <c r="D703" s="74"/>
      <c r="E703" s="67"/>
      <c r="F703" s="75"/>
      <c r="G703" s="67"/>
      <c r="H703" s="68"/>
      <c r="I703" s="76"/>
      <c r="J703" s="67"/>
      <c r="K703" s="7" t="s">
        <v>502</v>
      </c>
      <c r="L703" s="77"/>
      <c r="M703" s="79"/>
      <c r="N703" s="1"/>
      <c r="O703" s="1"/>
      <c r="P703" s="1"/>
      <c r="Q703" s="1"/>
      <c r="R703" s="1"/>
      <c r="S703" s="1"/>
      <c r="T703" s="1"/>
      <c r="U703" s="1"/>
      <c r="V703" s="1"/>
      <c r="W703" s="1"/>
      <c r="X703" s="1"/>
      <c r="Y703" s="1"/>
      <c r="Z703" s="1"/>
      <c r="AA703" s="1"/>
      <c r="AB703" s="1"/>
      <c r="AC703" s="1"/>
      <c r="AD703" s="1"/>
      <c r="AE703" s="1"/>
      <c r="AF703" s="1"/>
      <c r="AG703" s="1"/>
      <c r="AH703" s="1"/>
    </row>
    <row r="704" ht="12.75" hidden="1" customHeight="1" outlineLevel="1">
      <c r="A704" s="17">
        <v>41143.0</v>
      </c>
      <c r="B704" s="1"/>
      <c r="C704" s="1" t="s">
        <v>433</v>
      </c>
      <c r="D704" s="74"/>
      <c r="E704" s="67"/>
      <c r="F704" s="75"/>
      <c r="G704" s="67"/>
      <c r="H704" s="68"/>
      <c r="I704" s="76"/>
      <c r="J704" s="67"/>
      <c r="K704" s="1" t="s">
        <v>434</v>
      </c>
      <c r="L704" s="77"/>
      <c r="M704" s="79"/>
      <c r="N704" s="1"/>
      <c r="O704" s="1"/>
      <c r="P704" s="1"/>
      <c r="Q704" s="1"/>
      <c r="R704" s="1"/>
      <c r="S704" s="1"/>
      <c r="T704" s="1"/>
      <c r="U704" s="1"/>
      <c r="V704" s="1"/>
      <c r="W704" s="1"/>
      <c r="X704" s="1"/>
      <c r="Y704" s="1"/>
      <c r="Z704" s="1"/>
      <c r="AA704" s="1"/>
      <c r="AB704" s="1"/>
      <c r="AC704" s="1"/>
      <c r="AD704" s="1"/>
      <c r="AE704" s="1"/>
      <c r="AF704" s="1"/>
      <c r="AG704" s="1"/>
      <c r="AH704" s="1"/>
    </row>
    <row r="705" ht="12.75" hidden="1" customHeight="1" outlineLevel="1">
      <c r="A705" s="17">
        <v>41143.0</v>
      </c>
      <c r="B705" s="1"/>
      <c r="C705" s="1" t="s">
        <v>435</v>
      </c>
      <c r="D705" s="74"/>
      <c r="E705" s="67"/>
      <c r="F705" s="75"/>
      <c r="G705" s="67"/>
      <c r="H705" s="68"/>
      <c r="I705" s="76"/>
      <c r="J705" s="67"/>
      <c r="K705" s="7" t="s">
        <v>629</v>
      </c>
      <c r="L705" s="77"/>
      <c r="M705" s="79"/>
      <c r="N705" s="1"/>
      <c r="O705" s="1"/>
      <c r="P705" s="1"/>
      <c r="Q705" s="1"/>
      <c r="R705" s="1"/>
      <c r="S705" s="1"/>
      <c r="T705" s="1"/>
      <c r="U705" s="1"/>
      <c r="V705" s="1"/>
      <c r="W705" s="1"/>
      <c r="X705" s="1"/>
      <c r="Y705" s="1"/>
      <c r="Z705" s="1"/>
      <c r="AA705" s="1"/>
      <c r="AB705" s="1"/>
      <c r="AC705" s="1"/>
      <c r="AD705" s="1"/>
      <c r="AE705" s="1"/>
      <c r="AF705" s="1"/>
      <c r="AG705" s="1"/>
      <c r="AH705" s="1"/>
    </row>
    <row r="706" ht="12.75" hidden="1" customHeight="1" outlineLevel="1">
      <c r="A706" s="17">
        <v>41144.0</v>
      </c>
      <c r="B706" s="1" t="s">
        <v>343</v>
      </c>
      <c r="C706" s="1" t="s">
        <v>344</v>
      </c>
      <c r="D706" s="1">
        <v>200.0</v>
      </c>
      <c r="E706" s="1">
        <v>33.6699</v>
      </c>
      <c r="F706" s="115">
        <v>0.41381944444444446</v>
      </c>
      <c r="G706" s="1">
        <v>2.0120823E7</v>
      </c>
      <c r="H706" s="1">
        <v>1.0</v>
      </c>
      <c r="I706" s="76"/>
      <c r="J706" s="67">
        <f t="shared" ref="J706:J714" si="49">IF(B706="SLD",D706*E706,-D706*E706)-H706</f>
        <v>-6734.98</v>
      </c>
      <c r="K706" s="7" t="s">
        <v>395</v>
      </c>
      <c r="L706" s="70"/>
      <c r="M706" s="79"/>
      <c r="N706" s="1"/>
      <c r="O706" s="1"/>
      <c r="P706" s="1"/>
      <c r="Q706" s="1"/>
      <c r="R706" s="1"/>
      <c r="S706" s="1"/>
      <c r="T706" s="1"/>
      <c r="U706" s="1"/>
      <c r="V706" s="1"/>
      <c r="W706" s="1"/>
      <c r="X706" s="1"/>
      <c r="Y706" s="1"/>
      <c r="Z706" s="1"/>
      <c r="AA706" s="1"/>
      <c r="AB706" s="1"/>
      <c r="AC706" s="1"/>
      <c r="AD706" s="1"/>
      <c r="AE706" s="1"/>
      <c r="AF706" s="1"/>
      <c r="AG706" s="1"/>
      <c r="AH706" s="1"/>
    </row>
    <row r="707" ht="12.75" hidden="1" customHeight="1" outlineLevel="1">
      <c r="A707" s="17">
        <v>41144.0</v>
      </c>
      <c r="B707" s="1" t="s">
        <v>343</v>
      </c>
      <c r="C707" s="1" t="s">
        <v>344</v>
      </c>
      <c r="D707" s="1">
        <v>100.0</v>
      </c>
      <c r="E707" s="1">
        <v>33.67</v>
      </c>
      <c r="F707" s="115">
        <v>0.41381944444444446</v>
      </c>
      <c r="G707" s="1">
        <v>2.0120823E7</v>
      </c>
      <c r="H707" s="1">
        <v>0.3</v>
      </c>
      <c r="I707" s="76"/>
      <c r="J707" s="67">
        <f t="shared" si="49"/>
        <v>-3367.3</v>
      </c>
      <c r="K707" s="7" t="s">
        <v>395</v>
      </c>
      <c r="L707" s="70"/>
      <c r="M707" s="79"/>
      <c r="N707" s="1"/>
      <c r="O707" s="1"/>
      <c r="P707" s="1"/>
      <c r="Q707" s="1"/>
      <c r="R707" s="1"/>
      <c r="S707" s="1"/>
      <c r="T707" s="1"/>
      <c r="U707" s="1"/>
      <c r="V707" s="1"/>
      <c r="W707" s="1"/>
      <c r="X707" s="1"/>
      <c r="Y707" s="1"/>
      <c r="Z707" s="1"/>
      <c r="AA707" s="1"/>
      <c r="AB707" s="1"/>
      <c r="AC707" s="1"/>
      <c r="AD707" s="1"/>
      <c r="AE707" s="1"/>
      <c r="AF707" s="1"/>
      <c r="AG707" s="1"/>
      <c r="AH707" s="1"/>
    </row>
    <row r="708" ht="12.75" hidden="1" customHeight="1" outlineLevel="1">
      <c r="A708" s="17">
        <v>41144.0</v>
      </c>
      <c r="B708" s="1" t="s">
        <v>343</v>
      </c>
      <c r="C708" s="1" t="s">
        <v>344</v>
      </c>
      <c r="D708" s="1">
        <v>300.0</v>
      </c>
      <c r="E708" s="1">
        <v>33.67</v>
      </c>
      <c r="F708" s="115">
        <v>0.41381944444444446</v>
      </c>
      <c r="G708" s="1">
        <v>2.0120823E7</v>
      </c>
      <c r="H708" s="1">
        <v>1.5</v>
      </c>
      <c r="I708" s="76"/>
      <c r="J708" s="67">
        <f t="shared" si="49"/>
        <v>-10102.5</v>
      </c>
      <c r="K708" s="7" t="s">
        <v>395</v>
      </c>
      <c r="L708" s="70"/>
      <c r="M708" s="79"/>
      <c r="N708" s="1"/>
      <c r="O708" s="1"/>
      <c r="P708" s="1"/>
      <c r="Q708" s="1"/>
      <c r="R708" s="1"/>
      <c r="S708" s="1"/>
      <c r="T708" s="1"/>
      <c r="U708" s="1"/>
      <c r="V708" s="1"/>
      <c r="W708" s="1"/>
      <c r="X708" s="1"/>
      <c r="Y708" s="1"/>
      <c r="Z708" s="1"/>
      <c r="AA708" s="1"/>
      <c r="AB708" s="1"/>
      <c r="AC708" s="1"/>
      <c r="AD708" s="1"/>
      <c r="AE708" s="1"/>
      <c r="AF708" s="1"/>
      <c r="AG708" s="1"/>
      <c r="AH708" s="1"/>
    </row>
    <row r="709" ht="12.75" hidden="1" customHeight="1" outlineLevel="1">
      <c r="A709" s="17">
        <v>41144.0</v>
      </c>
      <c r="B709" s="1" t="s">
        <v>343</v>
      </c>
      <c r="C709" s="1" t="s">
        <v>344</v>
      </c>
      <c r="D709" s="1">
        <v>300.0</v>
      </c>
      <c r="E709" s="1">
        <v>33.67</v>
      </c>
      <c r="F709" s="115">
        <v>0.41381944444444446</v>
      </c>
      <c r="G709" s="1">
        <v>2.0120823E7</v>
      </c>
      <c r="H709" s="1">
        <v>1.5</v>
      </c>
      <c r="I709" s="76"/>
      <c r="J709" s="67">
        <f t="shared" si="49"/>
        <v>-10102.5</v>
      </c>
      <c r="K709" s="7" t="s">
        <v>395</v>
      </c>
      <c r="L709" s="70"/>
      <c r="M709" s="79"/>
      <c r="N709" s="1"/>
      <c r="O709" s="1"/>
      <c r="P709" s="1"/>
      <c r="Q709" s="1"/>
      <c r="R709" s="1"/>
      <c r="S709" s="1"/>
      <c r="T709" s="1"/>
      <c r="U709" s="1"/>
      <c r="V709" s="1"/>
      <c r="W709" s="1"/>
      <c r="X709" s="1"/>
      <c r="Y709" s="1"/>
      <c r="Z709" s="1"/>
      <c r="AA709" s="1"/>
      <c r="AB709" s="1"/>
      <c r="AC709" s="1"/>
      <c r="AD709" s="1"/>
      <c r="AE709" s="1"/>
      <c r="AF709" s="1"/>
      <c r="AG709" s="1"/>
      <c r="AH709" s="1"/>
    </row>
    <row r="710" ht="12.75" hidden="1" customHeight="1" outlineLevel="1">
      <c r="A710" s="17">
        <v>41144.0</v>
      </c>
      <c r="B710" s="1" t="s">
        <v>343</v>
      </c>
      <c r="C710" s="1" t="s">
        <v>354</v>
      </c>
      <c r="D710" s="1">
        <v>300.0</v>
      </c>
      <c r="E710" s="1">
        <v>84.8</v>
      </c>
      <c r="F710" s="115">
        <v>0.48052083333333334</v>
      </c>
      <c r="G710" s="1">
        <v>2.0120823E7</v>
      </c>
      <c r="H710" s="1">
        <v>1.5</v>
      </c>
      <c r="I710" s="76"/>
      <c r="J710" s="67">
        <f t="shared" si="49"/>
        <v>-25441.5</v>
      </c>
      <c r="K710" s="7" t="s">
        <v>395</v>
      </c>
      <c r="L710" s="70"/>
      <c r="M710" s="79"/>
      <c r="N710" s="1"/>
      <c r="O710" s="1"/>
      <c r="P710" s="1"/>
      <c r="Q710" s="1"/>
      <c r="R710" s="1"/>
      <c r="S710" s="1"/>
      <c r="T710" s="1"/>
      <c r="U710" s="1"/>
      <c r="V710" s="1"/>
      <c r="W710" s="1"/>
      <c r="X710" s="1"/>
      <c r="Y710" s="1"/>
      <c r="Z710" s="1"/>
      <c r="AA710" s="1"/>
      <c r="AB710" s="1"/>
      <c r="AC710" s="1"/>
      <c r="AD710" s="1"/>
      <c r="AE710" s="1"/>
      <c r="AF710" s="1"/>
      <c r="AG710" s="1"/>
      <c r="AH710" s="1"/>
    </row>
    <row r="711" ht="12.75" hidden="1" customHeight="1" outlineLevel="1">
      <c r="A711" s="17">
        <v>41144.0</v>
      </c>
      <c r="B711" s="1" t="s">
        <v>343</v>
      </c>
      <c r="C711" s="1" t="s">
        <v>354</v>
      </c>
      <c r="D711" s="1">
        <v>100.0</v>
      </c>
      <c r="E711" s="1">
        <v>84.8</v>
      </c>
      <c r="F711" s="115">
        <v>0.48052083333333334</v>
      </c>
      <c r="G711" s="1">
        <v>2.0120823E7</v>
      </c>
      <c r="H711" s="1">
        <v>0.5</v>
      </c>
      <c r="I711" s="76"/>
      <c r="J711" s="67">
        <f t="shared" si="49"/>
        <v>-8480.5</v>
      </c>
      <c r="K711" s="7" t="s">
        <v>395</v>
      </c>
      <c r="L711" s="70"/>
      <c r="M711" s="79"/>
      <c r="N711" s="1"/>
      <c r="O711" s="1"/>
      <c r="P711" s="1"/>
      <c r="Q711" s="1"/>
      <c r="R711" s="1"/>
      <c r="S711" s="1"/>
      <c r="T711" s="1"/>
      <c r="U711" s="1"/>
      <c r="V711" s="1"/>
      <c r="W711" s="1"/>
      <c r="X711" s="1"/>
      <c r="Y711" s="1"/>
      <c r="Z711" s="1"/>
      <c r="AA711" s="1"/>
      <c r="AB711" s="1"/>
      <c r="AC711" s="1"/>
      <c r="AD711" s="1"/>
      <c r="AE711" s="1"/>
      <c r="AF711" s="1"/>
      <c r="AG711" s="1"/>
      <c r="AH711" s="1"/>
    </row>
    <row r="712" ht="12.75" hidden="1" customHeight="1" outlineLevel="1">
      <c r="A712" s="17">
        <v>41144.0</v>
      </c>
      <c r="B712" s="1" t="s">
        <v>347</v>
      </c>
      <c r="C712" s="1" t="s">
        <v>441</v>
      </c>
      <c r="D712" s="1">
        <v>400.0</v>
      </c>
      <c r="E712" s="1">
        <v>6.76</v>
      </c>
      <c r="F712" s="115">
        <v>0.48712962962962963</v>
      </c>
      <c r="G712" s="1">
        <v>2.0120823E7</v>
      </c>
      <c r="H712" s="1">
        <v>1.2</v>
      </c>
      <c r="I712" s="76"/>
      <c r="J712" s="67">
        <f t="shared" si="49"/>
        <v>2702.8</v>
      </c>
      <c r="K712" s="7"/>
      <c r="L712" s="70"/>
      <c r="M712" s="79"/>
      <c r="N712" s="1"/>
      <c r="O712" s="1"/>
      <c r="P712" s="1"/>
      <c r="Q712" s="1"/>
      <c r="R712" s="1"/>
      <c r="S712" s="1"/>
      <c r="T712" s="1"/>
      <c r="U712" s="1"/>
      <c r="V712" s="1"/>
      <c r="W712" s="1"/>
      <c r="X712" s="1"/>
      <c r="Y712" s="1"/>
      <c r="Z712" s="1"/>
      <c r="AA712" s="1"/>
      <c r="AB712" s="1"/>
      <c r="AC712" s="1"/>
      <c r="AD712" s="1"/>
      <c r="AE712" s="1"/>
      <c r="AF712" s="1"/>
      <c r="AG712" s="1"/>
      <c r="AH712" s="1"/>
    </row>
    <row r="713" ht="12.75" hidden="1" customHeight="1" outlineLevel="1">
      <c r="A713" s="17">
        <v>41144.0</v>
      </c>
      <c r="B713" s="1" t="s">
        <v>347</v>
      </c>
      <c r="C713" s="1" t="s">
        <v>441</v>
      </c>
      <c r="D713" s="1">
        <v>1000.0</v>
      </c>
      <c r="E713" s="1">
        <v>6.7601</v>
      </c>
      <c r="F713" s="115">
        <v>0.48712962962962963</v>
      </c>
      <c r="G713" s="1">
        <v>2.0120823E7</v>
      </c>
      <c r="H713" s="1">
        <v>4.4</v>
      </c>
      <c r="I713" s="76"/>
      <c r="J713" s="67">
        <f t="shared" si="49"/>
        <v>6755.7</v>
      </c>
      <c r="K713" s="7" t="s">
        <v>395</v>
      </c>
      <c r="L713" s="70"/>
      <c r="M713" s="79"/>
      <c r="N713" s="1"/>
      <c r="O713" s="1"/>
      <c r="P713" s="1"/>
      <c r="Q713" s="1"/>
      <c r="R713" s="1"/>
      <c r="S713" s="1"/>
      <c r="T713" s="1"/>
      <c r="U713" s="1"/>
      <c r="V713" s="1"/>
      <c r="W713" s="1"/>
      <c r="X713" s="1"/>
      <c r="Y713" s="1"/>
      <c r="Z713" s="1"/>
      <c r="AA713" s="1"/>
      <c r="AB713" s="1"/>
      <c r="AC713" s="1"/>
      <c r="AD713" s="1"/>
      <c r="AE713" s="1"/>
      <c r="AF713" s="1"/>
      <c r="AG713" s="1"/>
      <c r="AH713" s="1"/>
    </row>
    <row r="714" ht="12.75" hidden="1" customHeight="1" outlineLevel="1">
      <c r="A714" s="17">
        <v>41144.0</v>
      </c>
      <c r="B714" s="1" t="s">
        <v>347</v>
      </c>
      <c r="C714" s="1" t="s">
        <v>409</v>
      </c>
      <c r="D714" s="1">
        <v>20.0</v>
      </c>
      <c r="E714" s="1">
        <v>147.9</v>
      </c>
      <c r="F714" s="115">
        <v>0.5261111111111111</v>
      </c>
      <c r="G714" s="1">
        <v>2.0120823E7</v>
      </c>
      <c r="H714" s="1">
        <v>1.0</v>
      </c>
      <c r="I714" s="76"/>
      <c r="J714" s="67">
        <f t="shared" si="49"/>
        <v>2957</v>
      </c>
      <c r="K714" s="7"/>
      <c r="L714" s="70"/>
      <c r="M714" s="79"/>
      <c r="N714" s="1"/>
      <c r="O714" s="1"/>
      <c r="P714" s="1"/>
      <c r="Q714" s="1"/>
      <c r="R714" s="1"/>
      <c r="S714" s="1"/>
      <c r="T714" s="1"/>
      <c r="U714" s="1"/>
      <c r="V714" s="1"/>
      <c r="W714" s="1"/>
      <c r="X714" s="1"/>
      <c r="Y714" s="1"/>
      <c r="Z714" s="1"/>
      <c r="AA714" s="1"/>
      <c r="AB714" s="1"/>
      <c r="AC714" s="1"/>
      <c r="AD714" s="1"/>
      <c r="AE714" s="1"/>
      <c r="AF714" s="1"/>
      <c r="AG714" s="1"/>
      <c r="AH714" s="1"/>
    </row>
    <row r="715" ht="12.75" hidden="1" customHeight="1" outlineLevel="1">
      <c r="A715" s="17">
        <v>41144.0</v>
      </c>
      <c r="B715" s="1"/>
      <c r="C715" s="1" t="s">
        <v>339</v>
      </c>
      <c r="D715" s="74"/>
      <c r="E715" s="67"/>
      <c r="F715" s="75"/>
      <c r="G715" s="67"/>
      <c r="H715" s="68"/>
      <c r="I715" s="76"/>
      <c r="J715" s="67"/>
      <c r="K715" s="7" t="s">
        <v>641</v>
      </c>
      <c r="L715" s="77"/>
      <c r="M715" s="79"/>
      <c r="N715" s="1"/>
      <c r="O715" s="1"/>
      <c r="P715" s="1"/>
      <c r="Q715" s="1"/>
      <c r="R715" s="1"/>
      <c r="S715" s="1"/>
      <c r="T715" s="1"/>
      <c r="U715" s="1"/>
      <c r="V715" s="1"/>
      <c r="W715" s="1"/>
      <c r="X715" s="1"/>
      <c r="Y715" s="1"/>
      <c r="Z715" s="1"/>
      <c r="AA715" s="1"/>
      <c r="AB715" s="1"/>
      <c r="AC715" s="1"/>
      <c r="AD715" s="1"/>
      <c r="AE715" s="1"/>
      <c r="AF715" s="1"/>
      <c r="AG715" s="1"/>
      <c r="AH715" s="1"/>
    </row>
    <row r="716" ht="12.75" hidden="1" customHeight="1" outlineLevel="1">
      <c r="A716" s="17">
        <v>41144.0</v>
      </c>
      <c r="B716" s="1"/>
      <c r="C716" s="1" t="s">
        <v>429</v>
      </c>
      <c r="D716" s="74"/>
      <c r="E716" s="67"/>
      <c r="F716" s="75"/>
      <c r="G716" s="67"/>
      <c r="H716" s="68"/>
      <c r="I716" s="76"/>
      <c r="J716" s="67"/>
      <c r="K716" s="7" t="s">
        <v>636</v>
      </c>
      <c r="L716" s="77"/>
      <c r="M716" s="79"/>
      <c r="N716" s="1"/>
      <c r="O716" s="1"/>
      <c r="P716" s="1"/>
      <c r="Q716" s="1"/>
      <c r="R716" s="1"/>
      <c r="S716" s="1"/>
      <c r="T716" s="1"/>
      <c r="U716" s="1"/>
      <c r="V716" s="1"/>
      <c r="W716" s="1"/>
      <c r="X716" s="1"/>
      <c r="Y716" s="1"/>
      <c r="Z716" s="1"/>
      <c r="AA716" s="1"/>
      <c r="AB716" s="1"/>
      <c r="AC716" s="1"/>
      <c r="AD716" s="1"/>
      <c r="AE716" s="1"/>
      <c r="AF716" s="1"/>
      <c r="AG716" s="1"/>
      <c r="AH716" s="1"/>
    </row>
    <row r="717" ht="12.75" hidden="1" customHeight="1" outlineLevel="1">
      <c r="A717" s="17">
        <v>41144.0</v>
      </c>
      <c r="B717" s="1"/>
      <c r="C717" s="1" t="s">
        <v>431</v>
      </c>
      <c r="D717" s="74"/>
      <c r="E717" s="67"/>
      <c r="F717" s="75"/>
      <c r="G717" s="67"/>
      <c r="H717" s="68"/>
      <c r="I717" s="76"/>
      <c r="J717" s="67"/>
      <c r="K717" s="7" t="s">
        <v>502</v>
      </c>
      <c r="L717" s="77"/>
      <c r="M717" s="79"/>
      <c r="N717" s="1"/>
      <c r="O717" s="1"/>
      <c r="P717" s="1"/>
      <c r="Q717" s="1"/>
      <c r="R717" s="1"/>
      <c r="S717" s="1"/>
      <c r="T717" s="1"/>
      <c r="U717" s="1"/>
      <c r="V717" s="1"/>
      <c r="W717" s="1"/>
      <c r="X717" s="1"/>
      <c r="Y717" s="1"/>
      <c r="Z717" s="1"/>
      <c r="AA717" s="1"/>
      <c r="AB717" s="1"/>
      <c r="AC717" s="1"/>
      <c r="AD717" s="1"/>
      <c r="AE717" s="1"/>
      <c r="AF717" s="1"/>
      <c r="AG717" s="1"/>
      <c r="AH717" s="1"/>
    </row>
    <row r="718" ht="12.75" hidden="1" customHeight="1" outlineLevel="1">
      <c r="A718" s="17">
        <v>41144.0</v>
      </c>
      <c r="B718" s="1"/>
      <c r="C718" s="1" t="s">
        <v>433</v>
      </c>
      <c r="D718" s="74"/>
      <c r="E718" s="67"/>
      <c r="F718" s="75"/>
      <c r="G718" s="67"/>
      <c r="H718" s="68"/>
      <c r="I718" s="76"/>
      <c r="J718" s="67"/>
      <c r="K718" s="1" t="s">
        <v>434</v>
      </c>
      <c r="L718" s="77"/>
      <c r="M718" s="79"/>
      <c r="N718" s="1"/>
      <c r="O718" s="1"/>
      <c r="P718" s="1"/>
      <c r="Q718" s="1"/>
      <c r="R718" s="1"/>
      <c r="S718" s="1"/>
      <c r="T718" s="1"/>
      <c r="U718" s="1"/>
      <c r="V718" s="1"/>
      <c r="W718" s="1"/>
      <c r="X718" s="1"/>
      <c r="Y718" s="1"/>
      <c r="Z718" s="1"/>
      <c r="AA718" s="1"/>
      <c r="AB718" s="1"/>
      <c r="AC718" s="1"/>
      <c r="AD718" s="1"/>
      <c r="AE718" s="1"/>
      <c r="AF718" s="1"/>
      <c r="AG718" s="1"/>
      <c r="AH718" s="1"/>
    </row>
    <row r="719" ht="12.75" hidden="1" customHeight="1" outlineLevel="1">
      <c r="A719" s="17">
        <v>41144.0</v>
      </c>
      <c r="B719" s="1"/>
      <c r="C719" s="1" t="s">
        <v>435</v>
      </c>
      <c r="D719" s="74"/>
      <c r="E719" s="67"/>
      <c r="F719" s="75"/>
      <c r="G719" s="67"/>
      <c r="H719" s="68"/>
      <c r="I719" s="76"/>
      <c r="J719" s="67"/>
      <c r="K719" s="7" t="s">
        <v>629</v>
      </c>
      <c r="L719" s="77"/>
      <c r="M719" s="79"/>
      <c r="N719" s="1"/>
      <c r="O719" s="1"/>
      <c r="P719" s="1"/>
      <c r="Q719" s="1"/>
      <c r="R719" s="1"/>
      <c r="S719" s="1"/>
      <c r="T719" s="1"/>
      <c r="U719" s="1"/>
      <c r="V719" s="1"/>
      <c r="W719" s="1"/>
      <c r="X719" s="1"/>
      <c r="Y719" s="1"/>
      <c r="Z719" s="1"/>
      <c r="AA719" s="1"/>
      <c r="AB719" s="1"/>
      <c r="AC719" s="1"/>
      <c r="AD719" s="1"/>
      <c r="AE719" s="1"/>
      <c r="AF719" s="1"/>
      <c r="AG719" s="1"/>
      <c r="AH719" s="1"/>
    </row>
    <row r="720" ht="12.75" hidden="1" customHeight="1" outlineLevel="1">
      <c r="A720" s="17">
        <v>41145.0</v>
      </c>
      <c r="B720" s="1" t="s">
        <v>347</v>
      </c>
      <c r="C720" s="1" t="s">
        <v>385</v>
      </c>
      <c r="D720" s="1">
        <v>718.0</v>
      </c>
      <c r="E720" s="1">
        <v>3.18</v>
      </c>
      <c r="F720" s="115">
        <v>0.46989583333333335</v>
      </c>
      <c r="G720" s="1">
        <v>2.0120824E7</v>
      </c>
      <c r="H720" s="1">
        <v>3.59</v>
      </c>
      <c r="I720" s="76"/>
      <c r="J720" s="67">
        <f t="shared" ref="J720:J725" si="50">IF(B720="SLD",D720*E720,-D720*E720)-H720</f>
        <v>2279.65</v>
      </c>
      <c r="K720" s="7"/>
      <c r="L720" s="70"/>
      <c r="M720" s="79"/>
      <c r="N720" s="1"/>
      <c r="O720" s="1"/>
      <c r="P720" s="1"/>
      <c r="Q720" s="1"/>
      <c r="R720" s="1"/>
      <c r="S720" s="1"/>
      <c r="T720" s="1"/>
      <c r="U720" s="1"/>
      <c r="V720" s="1"/>
      <c r="W720" s="1"/>
      <c r="X720" s="1"/>
      <c r="Y720" s="1"/>
      <c r="Z720" s="1"/>
      <c r="AA720" s="1"/>
      <c r="AB720" s="1"/>
      <c r="AC720" s="1"/>
      <c r="AD720" s="1"/>
      <c r="AE720" s="1"/>
      <c r="AF720" s="1"/>
      <c r="AG720" s="1"/>
      <c r="AH720" s="1"/>
    </row>
    <row r="721" ht="12.75" hidden="1" customHeight="1" outlineLevel="1">
      <c r="A721" s="17">
        <v>41145.0</v>
      </c>
      <c r="B721" s="1" t="s">
        <v>347</v>
      </c>
      <c r="C721" s="1" t="s">
        <v>385</v>
      </c>
      <c r="D721" s="1">
        <v>182.0</v>
      </c>
      <c r="E721" s="1">
        <v>3.18</v>
      </c>
      <c r="F721" s="115">
        <v>0.46989583333333335</v>
      </c>
      <c r="G721" s="1">
        <v>2.0120824E7</v>
      </c>
      <c r="H721" s="1">
        <v>0.91</v>
      </c>
      <c r="I721" s="76"/>
      <c r="J721" s="67">
        <f t="shared" si="50"/>
        <v>577.85</v>
      </c>
      <c r="K721" s="7"/>
      <c r="L721" s="70"/>
      <c r="M721" s="79"/>
      <c r="N721" s="1"/>
      <c r="O721" s="1"/>
      <c r="P721" s="1"/>
      <c r="Q721" s="1"/>
      <c r="R721" s="1"/>
      <c r="S721" s="1"/>
      <c r="T721" s="1"/>
      <c r="U721" s="1"/>
      <c r="V721" s="1"/>
      <c r="W721" s="1"/>
      <c r="X721" s="1"/>
      <c r="Y721" s="1"/>
      <c r="Z721" s="1"/>
      <c r="AA721" s="1"/>
      <c r="AB721" s="1"/>
      <c r="AC721" s="1"/>
      <c r="AD721" s="1"/>
      <c r="AE721" s="1"/>
      <c r="AF721" s="1"/>
      <c r="AG721" s="1"/>
      <c r="AH721" s="1"/>
    </row>
    <row r="722" ht="12.75" hidden="1" customHeight="1" outlineLevel="1">
      <c r="A722" s="17">
        <v>41145.0</v>
      </c>
      <c r="B722" s="1" t="s">
        <v>347</v>
      </c>
      <c r="C722" s="1" t="s">
        <v>399</v>
      </c>
      <c r="D722" s="1">
        <v>200.0</v>
      </c>
      <c r="E722" s="1">
        <v>4.47</v>
      </c>
      <c r="F722" s="115">
        <v>0.47170138888888885</v>
      </c>
      <c r="G722" s="1">
        <v>2.0120824E7</v>
      </c>
      <c r="H722" s="1">
        <v>1.0</v>
      </c>
      <c r="I722" s="76"/>
      <c r="J722" s="67">
        <f t="shared" si="50"/>
        <v>893</v>
      </c>
      <c r="K722" s="7"/>
      <c r="L722" s="70"/>
      <c r="M722" s="79"/>
      <c r="N722" s="1"/>
      <c r="O722" s="1"/>
      <c r="P722" s="1"/>
      <c r="Q722" s="1"/>
      <c r="R722" s="1"/>
      <c r="S722" s="1"/>
      <c r="T722" s="1"/>
      <c r="U722" s="1"/>
      <c r="V722" s="1"/>
      <c r="W722" s="1"/>
      <c r="X722" s="1"/>
      <c r="Y722" s="1"/>
      <c r="Z722" s="1"/>
      <c r="AA722" s="1"/>
      <c r="AB722" s="1"/>
      <c r="AC722" s="1"/>
      <c r="AD722" s="1"/>
      <c r="AE722" s="1"/>
      <c r="AF722" s="1"/>
      <c r="AG722" s="1"/>
      <c r="AH722" s="1"/>
    </row>
    <row r="723" ht="12.75" hidden="1" customHeight="1" outlineLevel="1">
      <c r="A723" s="17">
        <v>41145.0</v>
      </c>
      <c r="B723" s="1" t="s">
        <v>343</v>
      </c>
      <c r="C723" s="1" t="s">
        <v>409</v>
      </c>
      <c r="D723" s="1">
        <v>20.0</v>
      </c>
      <c r="E723" s="1">
        <v>149.08</v>
      </c>
      <c r="F723" s="115">
        <v>0.5892476851851852</v>
      </c>
      <c r="G723" s="1">
        <v>2.0120824E7</v>
      </c>
      <c r="H723" s="1">
        <v>1.0</v>
      </c>
      <c r="I723" s="76"/>
      <c r="J723" s="67">
        <f t="shared" si="50"/>
        <v>-2982.6</v>
      </c>
      <c r="K723" s="7"/>
      <c r="L723" s="70"/>
      <c r="M723" s="79"/>
      <c r="N723" s="1"/>
      <c r="O723" s="1"/>
      <c r="P723" s="1"/>
      <c r="Q723" s="1"/>
      <c r="R723" s="1"/>
      <c r="S723" s="1"/>
      <c r="T723" s="1"/>
      <c r="U723" s="1"/>
      <c r="V723" s="1"/>
      <c r="W723" s="1"/>
      <c r="X723" s="1"/>
      <c r="Y723" s="1"/>
      <c r="Z723" s="1"/>
      <c r="AA723" s="1"/>
      <c r="AB723" s="1"/>
      <c r="AC723" s="1"/>
      <c r="AD723" s="1"/>
      <c r="AE723" s="1"/>
      <c r="AF723" s="1"/>
      <c r="AG723" s="1"/>
      <c r="AH723" s="1"/>
    </row>
    <row r="724" ht="12.75" hidden="1" customHeight="1" outlineLevel="1">
      <c r="A724" s="17">
        <v>41145.0</v>
      </c>
      <c r="B724" s="1" t="s">
        <v>347</v>
      </c>
      <c r="C724" s="1" t="s">
        <v>354</v>
      </c>
      <c r="D724" s="1">
        <v>200.0</v>
      </c>
      <c r="E724" s="1">
        <v>84.14</v>
      </c>
      <c r="F724" s="115">
        <v>0.6564699074074074</v>
      </c>
      <c r="G724" s="1">
        <v>2.0120824E7</v>
      </c>
      <c r="H724" s="1">
        <v>1.0</v>
      </c>
      <c r="I724" s="76"/>
      <c r="J724" s="67">
        <f t="shared" si="50"/>
        <v>16827</v>
      </c>
      <c r="K724" s="7"/>
      <c r="L724" s="70"/>
      <c r="M724" s="79"/>
      <c r="N724" s="1"/>
      <c r="O724" s="1"/>
      <c r="P724" s="1"/>
      <c r="Q724" s="1"/>
      <c r="R724" s="1"/>
      <c r="S724" s="1"/>
      <c r="T724" s="1"/>
      <c r="U724" s="1"/>
      <c r="V724" s="1"/>
      <c r="W724" s="1"/>
      <c r="X724" s="1"/>
      <c r="Y724" s="1"/>
      <c r="Z724" s="1"/>
      <c r="AA724" s="1"/>
      <c r="AB724" s="1"/>
      <c r="AC724" s="1"/>
      <c r="AD724" s="1"/>
      <c r="AE724" s="1"/>
      <c r="AF724" s="1"/>
      <c r="AG724" s="1"/>
      <c r="AH724" s="1"/>
    </row>
    <row r="725" ht="12.75" hidden="1" customHeight="1" outlineLevel="1">
      <c r="A725" s="17">
        <v>41145.0</v>
      </c>
      <c r="B725" s="1" t="s">
        <v>347</v>
      </c>
      <c r="C725" s="1" t="s">
        <v>346</v>
      </c>
      <c r="D725" s="1">
        <v>15.0</v>
      </c>
      <c r="E725" s="1">
        <v>662.5</v>
      </c>
      <c r="F725" s="115">
        <v>0.6633449074074075</v>
      </c>
      <c r="G725" s="1">
        <v>2.0120824E7</v>
      </c>
      <c r="H725" s="1">
        <v>1.0</v>
      </c>
      <c r="I725" s="76"/>
      <c r="J725" s="67">
        <f t="shared" si="50"/>
        <v>9936.5</v>
      </c>
      <c r="K725" s="7"/>
      <c r="L725" s="70"/>
      <c r="M725" s="79"/>
      <c r="N725" s="1"/>
      <c r="O725" s="1"/>
      <c r="P725" s="1"/>
      <c r="Q725" s="1"/>
      <c r="R725" s="1"/>
      <c r="S725" s="1"/>
      <c r="T725" s="1"/>
      <c r="U725" s="1"/>
      <c r="V725" s="1"/>
      <c r="W725" s="1"/>
      <c r="X725" s="1"/>
      <c r="Y725" s="1"/>
      <c r="Z725" s="1"/>
      <c r="AA725" s="1"/>
      <c r="AB725" s="1"/>
      <c r="AC725" s="1"/>
      <c r="AD725" s="1"/>
      <c r="AE725" s="1"/>
      <c r="AF725" s="1"/>
      <c r="AG725" s="1"/>
      <c r="AH725" s="1"/>
    </row>
    <row r="726" ht="12.75" hidden="1" customHeight="1" outlineLevel="1">
      <c r="A726" s="17">
        <v>41145.0</v>
      </c>
      <c r="B726" s="1"/>
      <c r="C726" s="1" t="s">
        <v>339</v>
      </c>
      <c r="D726" s="74"/>
      <c r="E726" s="67"/>
      <c r="F726" s="75"/>
      <c r="G726" s="67"/>
      <c r="H726" s="68"/>
      <c r="I726" s="76"/>
      <c r="J726" s="67"/>
      <c r="K726" s="7" t="s">
        <v>642</v>
      </c>
      <c r="L726" s="77"/>
      <c r="M726" s="79"/>
      <c r="N726" s="1"/>
      <c r="O726" s="1"/>
      <c r="P726" s="1"/>
      <c r="Q726" s="1"/>
      <c r="R726" s="1"/>
      <c r="S726" s="1"/>
      <c r="T726" s="1"/>
      <c r="U726" s="1"/>
      <c r="V726" s="1"/>
      <c r="W726" s="1"/>
      <c r="X726" s="1"/>
      <c r="Y726" s="1"/>
      <c r="Z726" s="1"/>
      <c r="AA726" s="1"/>
      <c r="AB726" s="1"/>
      <c r="AC726" s="1"/>
      <c r="AD726" s="1"/>
      <c r="AE726" s="1"/>
      <c r="AF726" s="1"/>
      <c r="AG726" s="1"/>
      <c r="AH726" s="1"/>
    </row>
    <row r="727" ht="12.75" hidden="1" customHeight="1" outlineLevel="1">
      <c r="A727" s="17">
        <v>41145.0</v>
      </c>
      <c r="B727" s="1"/>
      <c r="C727" s="1" t="s">
        <v>429</v>
      </c>
      <c r="D727" s="74"/>
      <c r="E727" s="67"/>
      <c r="F727" s="75"/>
      <c r="G727" s="67"/>
      <c r="H727" s="68"/>
      <c r="I727" s="76"/>
      <c r="J727" s="67"/>
      <c r="K727" s="7" t="s">
        <v>636</v>
      </c>
      <c r="L727" s="77"/>
      <c r="M727" s="79"/>
      <c r="N727" s="1"/>
      <c r="O727" s="1"/>
      <c r="P727" s="1"/>
      <c r="Q727" s="1"/>
      <c r="R727" s="1"/>
      <c r="S727" s="1"/>
      <c r="T727" s="1"/>
      <c r="U727" s="1"/>
      <c r="V727" s="1"/>
      <c r="W727" s="1"/>
      <c r="X727" s="1"/>
      <c r="Y727" s="1"/>
      <c r="Z727" s="1"/>
      <c r="AA727" s="1"/>
      <c r="AB727" s="1"/>
      <c r="AC727" s="1"/>
      <c r="AD727" s="1"/>
      <c r="AE727" s="1"/>
      <c r="AF727" s="1"/>
      <c r="AG727" s="1"/>
      <c r="AH727" s="1"/>
    </row>
    <row r="728" ht="12.75" hidden="1" customHeight="1" outlineLevel="1">
      <c r="A728" s="17">
        <v>41145.0</v>
      </c>
      <c r="B728" s="1"/>
      <c r="C728" s="1" t="s">
        <v>431</v>
      </c>
      <c r="D728" s="74"/>
      <c r="E728" s="67"/>
      <c r="F728" s="75"/>
      <c r="G728" s="67"/>
      <c r="H728" s="68"/>
      <c r="I728" s="76"/>
      <c r="J728" s="67"/>
      <c r="K728" s="7" t="s">
        <v>502</v>
      </c>
      <c r="L728" s="77"/>
      <c r="M728" s="79"/>
      <c r="N728" s="1"/>
      <c r="O728" s="1"/>
      <c r="P728" s="1"/>
      <c r="Q728" s="1"/>
      <c r="R728" s="1"/>
      <c r="S728" s="1"/>
      <c r="T728" s="1"/>
      <c r="U728" s="1"/>
      <c r="V728" s="1"/>
      <c r="W728" s="1"/>
      <c r="X728" s="1"/>
      <c r="Y728" s="1"/>
      <c r="Z728" s="1"/>
      <c r="AA728" s="1"/>
      <c r="AB728" s="1"/>
      <c r="AC728" s="1"/>
      <c r="AD728" s="1"/>
      <c r="AE728" s="1"/>
      <c r="AF728" s="1"/>
      <c r="AG728" s="1"/>
      <c r="AH728" s="1"/>
    </row>
    <row r="729" ht="12.75" hidden="1" customHeight="1" outlineLevel="1">
      <c r="A729" s="17">
        <v>41145.0</v>
      </c>
      <c r="B729" s="1"/>
      <c r="C729" s="1" t="s">
        <v>433</v>
      </c>
      <c r="D729" s="74"/>
      <c r="E729" s="67"/>
      <c r="F729" s="75"/>
      <c r="G729" s="67"/>
      <c r="H729" s="68"/>
      <c r="I729" s="76"/>
      <c r="J729" s="67"/>
      <c r="K729" s="1" t="s">
        <v>434</v>
      </c>
      <c r="L729" s="77"/>
      <c r="M729" s="79"/>
      <c r="N729" s="1"/>
      <c r="O729" s="1"/>
      <c r="P729" s="1"/>
      <c r="Q729" s="1"/>
      <c r="R729" s="1"/>
      <c r="S729" s="1"/>
      <c r="T729" s="1"/>
      <c r="U729" s="1"/>
      <c r="V729" s="1"/>
      <c r="W729" s="1"/>
      <c r="X729" s="1"/>
      <c r="Y729" s="1"/>
      <c r="Z729" s="1"/>
      <c r="AA729" s="1"/>
      <c r="AB729" s="1"/>
      <c r="AC729" s="1"/>
      <c r="AD729" s="1"/>
      <c r="AE729" s="1"/>
      <c r="AF729" s="1"/>
      <c r="AG729" s="1"/>
      <c r="AH729" s="1"/>
    </row>
    <row r="730" ht="12.75" hidden="1" customHeight="1" outlineLevel="1">
      <c r="A730" s="17">
        <v>41145.0</v>
      </c>
      <c r="B730" s="1"/>
      <c r="C730" s="1" t="s">
        <v>435</v>
      </c>
      <c r="D730" s="74"/>
      <c r="E730" s="67"/>
      <c r="F730" s="75"/>
      <c r="G730" s="67"/>
      <c r="H730" s="68"/>
      <c r="I730" s="76"/>
      <c r="J730" s="67"/>
      <c r="K730" s="7" t="s">
        <v>629</v>
      </c>
      <c r="L730" s="77"/>
      <c r="M730" s="79"/>
      <c r="N730" s="1"/>
      <c r="O730" s="1"/>
      <c r="P730" s="1"/>
      <c r="Q730" s="1"/>
      <c r="R730" s="1"/>
      <c r="S730" s="1"/>
      <c r="T730" s="1"/>
      <c r="U730" s="1"/>
      <c r="V730" s="1"/>
      <c r="W730" s="1"/>
      <c r="X730" s="1"/>
      <c r="Y730" s="1"/>
      <c r="Z730" s="1"/>
      <c r="AA730" s="1"/>
      <c r="AB730" s="1"/>
      <c r="AC730" s="1"/>
      <c r="AD730" s="1"/>
      <c r="AE730" s="1"/>
      <c r="AF730" s="1"/>
      <c r="AG730" s="1"/>
      <c r="AH730" s="1"/>
    </row>
    <row r="731" ht="12.75" hidden="1" customHeight="1" outlineLevel="1">
      <c r="A731" s="17">
        <v>41148.0</v>
      </c>
      <c r="B731" s="1" t="s">
        <v>343</v>
      </c>
      <c r="C731" s="1" t="s">
        <v>346</v>
      </c>
      <c r="D731" s="1">
        <v>20.0</v>
      </c>
      <c r="E731" s="1">
        <v>680.0</v>
      </c>
      <c r="F731" s="115">
        <v>0.4021180555555555</v>
      </c>
      <c r="G731" s="1">
        <v>2.0120827E7</v>
      </c>
      <c r="H731" s="1">
        <v>1.0</v>
      </c>
      <c r="I731" s="76"/>
      <c r="J731" s="67">
        <f t="shared" ref="J731:J732" si="51">IF(B731="SLD",D731*E731,-D731*E731)-H731</f>
        <v>-13601</v>
      </c>
      <c r="K731" s="7" t="s">
        <v>395</v>
      </c>
      <c r="L731" s="70"/>
      <c r="M731" s="79"/>
      <c r="N731" s="1"/>
      <c r="O731" s="1"/>
      <c r="P731" s="1"/>
      <c r="Q731" s="1"/>
      <c r="R731" s="1"/>
      <c r="S731" s="1"/>
      <c r="T731" s="1"/>
      <c r="U731" s="1"/>
      <c r="V731" s="1"/>
      <c r="W731" s="1"/>
      <c r="X731" s="1"/>
      <c r="Y731" s="1"/>
      <c r="Z731" s="1"/>
      <c r="AA731" s="1"/>
      <c r="AB731" s="1"/>
      <c r="AC731" s="1"/>
      <c r="AD731" s="1"/>
      <c r="AE731" s="1"/>
      <c r="AF731" s="1"/>
      <c r="AG731" s="1"/>
      <c r="AH731" s="1"/>
    </row>
    <row r="732" ht="12.75" hidden="1" customHeight="1" outlineLevel="1">
      <c r="A732" s="17">
        <v>41148.0</v>
      </c>
      <c r="B732" s="1" t="s">
        <v>343</v>
      </c>
      <c r="C732" s="1" t="s">
        <v>386</v>
      </c>
      <c r="D732" s="1">
        <v>150.0</v>
      </c>
      <c r="E732" s="1">
        <v>23.39</v>
      </c>
      <c r="F732" s="115"/>
      <c r="G732" s="1"/>
      <c r="H732" s="1">
        <v>1.0</v>
      </c>
      <c r="I732" s="76"/>
      <c r="J732" s="67">
        <f t="shared" si="51"/>
        <v>-3509.5</v>
      </c>
      <c r="K732" s="7" t="s">
        <v>643</v>
      </c>
      <c r="L732" s="70"/>
      <c r="M732" s="79"/>
      <c r="N732" s="1"/>
      <c r="O732" s="1"/>
      <c r="P732" s="1"/>
      <c r="Q732" s="1"/>
      <c r="R732" s="1"/>
      <c r="S732" s="1"/>
      <c r="T732" s="1"/>
      <c r="U732" s="1"/>
      <c r="V732" s="1"/>
      <c r="W732" s="1"/>
      <c r="X732" s="1"/>
      <c r="Y732" s="1"/>
      <c r="Z732" s="1"/>
      <c r="AA732" s="1"/>
      <c r="AB732" s="1"/>
      <c r="AC732" s="1"/>
      <c r="AD732" s="1"/>
      <c r="AE732" s="1"/>
      <c r="AF732" s="1"/>
      <c r="AG732" s="1"/>
      <c r="AH732" s="1"/>
    </row>
    <row r="733" ht="12.75" hidden="1" customHeight="1" outlineLevel="1">
      <c r="A733" s="17">
        <v>41148.0</v>
      </c>
      <c r="B733" s="1"/>
      <c r="C733" s="1" t="s">
        <v>339</v>
      </c>
      <c r="D733" s="74"/>
      <c r="E733" s="67"/>
      <c r="F733" s="75"/>
      <c r="G733" s="67"/>
      <c r="H733" s="68"/>
      <c r="I733" s="76"/>
      <c r="J733" s="67"/>
      <c r="K733" s="7" t="s">
        <v>644</v>
      </c>
      <c r="L733" s="77"/>
      <c r="M733" s="79"/>
      <c r="N733" s="1"/>
      <c r="O733" s="1"/>
      <c r="P733" s="1"/>
      <c r="Q733" s="1"/>
      <c r="R733" s="1"/>
      <c r="S733" s="1"/>
      <c r="T733" s="1"/>
      <c r="U733" s="1"/>
      <c r="V733" s="1"/>
      <c r="W733" s="1"/>
      <c r="X733" s="1"/>
      <c r="Y733" s="1"/>
      <c r="Z733" s="1"/>
      <c r="AA733" s="1"/>
      <c r="AB733" s="1"/>
      <c r="AC733" s="1"/>
      <c r="AD733" s="1"/>
      <c r="AE733" s="1"/>
      <c r="AF733" s="1"/>
      <c r="AG733" s="1"/>
      <c r="AH733" s="1"/>
    </row>
    <row r="734" ht="12.75" hidden="1" customHeight="1" outlineLevel="1">
      <c r="A734" s="17">
        <v>41148.0</v>
      </c>
      <c r="B734" s="1"/>
      <c r="C734" s="1" t="s">
        <v>429</v>
      </c>
      <c r="D734" s="74"/>
      <c r="E734" s="67"/>
      <c r="F734" s="75"/>
      <c r="G734" s="67"/>
      <c r="H734" s="68"/>
      <c r="I734" s="76"/>
      <c r="J734" s="67"/>
      <c r="K734" s="7" t="s">
        <v>636</v>
      </c>
      <c r="L734" s="77"/>
      <c r="M734" s="79"/>
      <c r="N734" s="1"/>
      <c r="O734" s="1"/>
      <c r="P734" s="1"/>
      <c r="Q734" s="1"/>
      <c r="R734" s="1"/>
      <c r="S734" s="1"/>
      <c r="T734" s="1"/>
      <c r="U734" s="1"/>
      <c r="V734" s="1"/>
      <c r="W734" s="1"/>
      <c r="X734" s="1"/>
      <c r="Y734" s="1"/>
      <c r="Z734" s="1"/>
      <c r="AA734" s="1"/>
      <c r="AB734" s="1"/>
      <c r="AC734" s="1"/>
      <c r="AD734" s="1"/>
      <c r="AE734" s="1"/>
      <c r="AF734" s="1"/>
      <c r="AG734" s="1"/>
      <c r="AH734" s="1"/>
    </row>
    <row r="735" ht="12.75" hidden="1" customHeight="1" outlineLevel="1">
      <c r="A735" s="17">
        <v>41148.0</v>
      </c>
      <c r="B735" s="1"/>
      <c r="C735" s="1" t="s">
        <v>431</v>
      </c>
      <c r="D735" s="74"/>
      <c r="E735" s="67"/>
      <c r="F735" s="75"/>
      <c r="G735" s="67"/>
      <c r="H735" s="68"/>
      <c r="I735" s="76"/>
      <c r="J735" s="67"/>
      <c r="K735" s="7" t="s">
        <v>502</v>
      </c>
      <c r="L735" s="77"/>
      <c r="M735" s="79"/>
      <c r="N735" s="1"/>
      <c r="O735" s="1"/>
      <c r="P735" s="1"/>
      <c r="Q735" s="1"/>
      <c r="R735" s="1"/>
      <c r="S735" s="1"/>
      <c r="T735" s="1"/>
      <c r="U735" s="1"/>
      <c r="V735" s="1"/>
      <c r="W735" s="1"/>
      <c r="X735" s="1"/>
      <c r="Y735" s="1"/>
      <c r="Z735" s="1"/>
      <c r="AA735" s="1"/>
      <c r="AB735" s="1"/>
      <c r="AC735" s="1"/>
      <c r="AD735" s="1"/>
      <c r="AE735" s="1"/>
      <c r="AF735" s="1"/>
      <c r="AG735" s="1"/>
      <c r="AH735" s="1"/>
    </row>
    <row r="736" ht="12.75" hidden="1" customHeight="1" outlineLevel="1">
      <c r="A736" s="17">
        <v>41148.0</v>
      </c>
      <c r="B736" s="1"/>
      <c r="C736" s="1" t="s">
        <v>433</v>
      </c>
      <c r="D736" s="74"/>
      <c r="E736" s="67"/>
      <c r="F736" s="75"/>
      <c r="G736" s="67"/>
      <c r="H736" s="68"/>
      <c r="I736" s="76"/>
      <c r="J736" s="67"/>
      <c r="K736" s="1" t="s">
        <v>434</v>
      </c>
      <c r="L736" s="77"/>
      <c r="M736" s="79"/>
      <c r="N736" s="1"/>
      <c r="O736" s="1"/>
      <c r="P736" s="1"/>
      <c r="Q736" s="1"/>
      <c r="R736" s="1"/>
      <c r="S736" s="1"/>
      <c r="T736" s="1"/>
      <c r="U736" s="1"/>
      <c r="V736" s="1"/>
      <c r="W736" s="1"/>
      <c r="X736" s="1"/>
      <c r="Y736" s="1"/>
      <c r="Z736" s="1"/>
      <c r="AA736" s="1"/>
      <c r="AB736" s="1"/>
      <c r="AC736" s="1"/>
      <c r="AD736" s="1"/>
      <c r="AE736" s="1"/>
      <c r="AF736" s="1"/>
      <c r="AG736" s="1"/>
      <c r="AH736" s="1"/>
    </row>
    <row r="737" ht="12.75" hidden="1" customHeight="1" outlineLevel="1">
      <c r="A737" s="17">
        <v>41148.0</v>
      </c>
      <c r="B737" s="1"/>
      <c r="C737" s="1" t="s">
        <v>435</v>
      </c>
      <c r="D737" s="74"/>
      <c r="E737" s="67"/>
      <c r="F737" s="75"/>
      <c r="G737" s="67"/>
      <c r="H737" s="68"/>
      <c r="I737" s="76"/>
      <c r="J737" s="67"/>
      <c r="K737" s="7" t="s">
        <v>629</v>
      </c>
      <c r="L737" s="77"/>
      <c r="M737" s="79"/>
      <c r="N737" s="1"/>
      <c r="O737" s="1"/>
      <c r="P737" s="1"/>
      <c r="Q737" s="1"/>
      <c r="R737" s="1"/>
      <c r="S737" s="1"/>
      <c r="T737" s="1"/>
      <c r="U737" s="1"/>
      <c r="V737" s="1"/>
      <c r="W737" s="1"/>
      <c r="X737" s="1"/>
      <c r="Y737" s="1"/>
      <c r="Z737" s="1"/>
      <c r="AA737" s="1"/>
      <c r="AB737" s="1"/>
      <c r="AC737" s="1"/>
      <c r="AD737" s="1"/>
      <c r="AE737" s="1"/>
      <c r="AF737" s="1"/>
      <c r="AG737" s="1"/>
      <c r="AH737" s="1"/>
    </row>
    <row r="738" ht="12.75" hidden="1" customHeight="1" outlineLevel="1">
      <c r="A738" s="17">
        <v>41149.0</v>
      </c>
      <c r="B738" s="1" t="s">
        <v>347</v>
      </c>
      <c r="C738" s="1" t="s">
        <v>386</v>
      </c>
      <c r="D738" s="74">
        <v>150.0</v>
      </c>
      <c r="E738" s="67">
        <v>22.289</v>
      </c>
      <c r="F738" s="75">
        <v>0.3980787037037037</v>
      </c>
      <c r="G738" s="67" t="s">
        <v>453</v>
      </c>
      <c r="H738" s="68">
        <v>2.0</v>
      </c>
      <c r="I738" s="76"/>
      <c r="J738" s="67">
        <f>IF(B738="SLD",D738*E738,-D738*E738)-H738</f>
        <v>3341.35</v>
      </c>
      <c r="K738" s="7"/>
      <c r="L738" s="70"/>
      <c r="M738" s="79"/>
      <c r="N738" s="1"/>
      <c r="O738" s="1"/>
      <c r="P738" s="1"/>
      <c r="Q738" s="1"/>
      <c r="R738" s="1"/>
      <c r="S738" s="1"/>
      <c r="T738" s="1"/>
      <c r="U738" s="1"/>
      <c r="V738" s="1"/>
      <c r="W738" s="1"/>
      <c r="X738" s="1"/>
      <c r="Y738" s="1"/>
      <c r="Z738" s="1"/>
      <c r="AA738" s="1"/>
      <c r="AB738" s="1"/>
      <c r="AC738" s="1"/>
      <c r="AD738" s="1"/>
      <c r="AE738" s="1"/>
      <c r="AF738" s="1"/>
      <c r="AG738" s="1"/>
      <c r="AH738" s="1"/>
    </row>
    <row r="739" ht="12.75" hidden="1" customHeight="1" outlineLevel="1">
      <c r="A739" s="17">
        <v>41149.0</v>
      </c>
      <c r="B739" s="1"/>
      <c r="C739" s="1" t="s">
        <v>339</v>
      </c>
      <c r="D739" s="74"/>
      <c r="E739" s="67"/>
      <c r="F739" s="75"/>
      <c r="G739" s="67"/>
      <c r="H739" s="68"/>
      <c r="I739" s="76"/>
      <c r="J739" s="67"/>
      <c r="K739" s="7" t="s">
        <v>645</v>
      </c>
      <c r="L739" s="77"/>
      <c r="M739" s="79"/>
      <c r="N739" s="1"/>
      <c r="O739" s="1"/>
      <c r="P739" s="1"/>
      <c r="Q739" s="1"/>
      <c r="R739" s="1"/>
      <c r="S739" s="1"/>
      <c r="T739" s="1"/>
      <c r="U739" s="1"/>
      <c r="V739" s="1"/>
      <c r="W739" s="1"/>
      <c r="X739" s="1"/>
      <c r="Y739" s="1"/>
      <c r="Z739" s="1"/>
      <c r="AA739" s="1"/>
      <c r="AB739" s="1"/>
      <c r="AC739" s="1"/>
      <c r="AD739" s="1"/>
      <c r="AE739" s="1"/>
      <c r="AF739" s="1"/>
      <c r="AG739" s="1"/>
      <c r="AH739" s="1"/>
    </row>
    <row r="740" ht="12.75" hidden="1" customHeight="1" outlineLevel="1">
      <c r="A740" s="17">
        <v>41149.0</v>
      </c>
      <c r="B740" s="1"/>
      <c r="C740" s="1" t="s">
        <v>429</v>
      </c>
      <c r="D740" s="74"/>
      <c r="E740" s="67"/>
      <c r="F740" s="75"/>
      <c r="G740" s="67"/>
      <c r="H740" s="68"/>
      <c r="I740" s="76"/>
      <c r="J740" s="67"/>
      <c r="K740" s="7" t="s">
        <v>636</v>
      </c>
      <c r="L740" s="77"/>
      <c r="M740" s="79"/>
      <c r="N740" s="1"/>
      <c r="O740" s="1"/>
      <c r="P740" s="1"/>
      <c r="Q740" s="1"/>
      <c r="R740" s="1"/>
      <c r="S740" s="1"/>
      <c r="T740" s="1"/>
      <c r="U740" s="1"/>
      <c r="V740" s="1"/>
      <c r="W740" s="1"/>
      <c r="X740" s="1"/>
      <c r="Y740" s="1"/>
      <c r="Z740" s="1"/>
      <c r="AA740" s="1"/>
      <c r="AB740" s="1"/>
      <c r="AC740" s="1"/>
      <c r="AD740" s="1"/>
      <c r="AE740" s="1"/>
      <c r="AF740" s="1"/>
      <c r="AG740" s="1"/>
      <c r="AH740" s="1"/>
    </row>
    <row r="741" ht="12.75" hidden="1" customHeight="1" outlineLevel="1">
      <c r="A741" s="17">
        <v>41149.0</v>
      </c>
      <c r="B741" s="1"/>
      <c r="C741" s="1" t="s">
        <v>431</v>
      </c>
      <c r="D741" s="74"/>
      <c r="E741" s="67"/>
      <c r="F741" s="75"/>
      <c r="G741" s="67"/>
      <c r="H741" s="68"/>
      <c r="I741" s="76"/>
      <c r="J741" s="67"/>
      <c r="K741" s="7" t="s">
        <v>502</v>
      </c>
      <c r="L741" s="77"/>
      <c r="M741" s="79"/>
      <c r="N741" s="1"/>
      <c r="O741" s="1"/>
      <c r="P741" s="1"/>
      <c r="Q741" s="1"/>
      <c r="R741" s="1"/>
      <c r="S741" s="1"/>
      <c r="T741" s="1"/>
      <c r="U741" s="1"/>
      <c r="V741" s="1"/>
      <c r="W741" s="1"/>
      <c r="X741" s="1"/>
      <c r="Y741" s="1"/>
      <c r="Z741" s="1"/>
      <c r="AA741" s="1"/>
      <c r="AB741" s="1"/>
      <c r="AC741" s="1"/>
      <c r="AD741" s="1"/>
      <c r="AE741" s="1"/>
      <c r="AF741" s="1"/>
      <c r="AG741" s="1"/>
      <c r="AH741" s="1"/>
    </row>
    <row r="742" ht="12.75" hidden="1" customHeight="1" outlineLevel="1">
      <c r="A742" s="17">
        <v>41149.0</v>
      </c>
      <c r="B742" s="1"/>
      <c r="C742" s="1" t="s">
        <v>433</v>
      </c>
      <c r="D742" s="74"/>
      <c r="E742" s="67"/>
      <c r="F742" s="75"/>
      <c r="G742" s="67"/>
      <c r="H742" s="68"/>
      <c r="I742" s="76"/>
      <c r="J742" s="67"/>
      <c r="K742" s="1" t="s">
        <v>434</v>
      </c>
      <c r="L742" s="77"/>
      <c r="M742" s="79"/>
      <c r="N742" s="1"/>
      <c r="O742" s="1"/>
      <c r="P742" s="1"/>
      <c r="Q742" s="1"/>
      <c r="R742" s="1"/>
      <c r="S742" s="1"/>
      <c r="T742" s="1"/>
      <c r="U742" s="1"/>
      <c r="V742" s="1"/>
      <c r="W742" s="1"/>
      <c r="X742" s="1"/>
      <c r="Y742" s="1"/>
      <c r="Z742" s="1"/>
      <c r="AA742" s="1"/>
      <c r="AB742" s="1"/>
      <c r="AC742" s="1"/>
      <c r="AD742" s="1"/>
      <c r="AE742" s="1"/>
      <c r="AF742" s="1"/>
      <c r="AG742" s="1"/>
      <c r="AH742" s="1"/>
    </row>
    <row r="743" ht="12.75" hidden="1" customHeight="1" outlineLevel="1">
      <c r="A743" s="17">
        <v>41149.0</v>
      </c>
      <c r="B743" s="1"/>
      <c r="C743" s="1" t="s">
        <v>435</v>
      </c>
      <c r="D743" s="74"/>
      <c r="E743" s="67"/>
      <c r="F743" s="75"/>
      <c r="G743" s="67"/>
      <c r="H743" s="68"/>
      <c r="I743" s="76"/>
      <c r="J743" s="67"/>
      <c r="K743" s="7" t="s">
        <v>629</v>
      </c>
      <c r="L743" s="77"/>
      <c r="M743" s="79"/>
      <c r="N743" s="1"/>
      <c r="O743" s="1"/>
      <c r="P743" s="1"/>
      <c r="Q743" s="1"/>
      <c r="R743" s="1"/>
      <c r="S743" s="1"/>
      <c r="T743" s="1"/>
      <c r="U743" s="1"/>
      <c r="V743" s="1"/>
      <c r="W743" s="1"/>
      <c r="X743" s="1"/>
      <c r="Y743" s="1"/>
      <c r="Z743" s="1"/>
      <c r="AA743" s="1"/>
      <c r="AB743" s="1"/>
      <c r="AC743" s="1"/>
      <c r="AD743" s="1"/>
      <c r="AE743" s="1"/>
      <c r="AF743" s="1"/>
      <c r="AG743" s="1"/>
      <c r="AH743" s="1"/>
    </row>
    <row r="744" ht="12.75" hidden="1" customHeight="1" outlineLevel="1">
      <c r="A744" s="17">
        <v>41150.0</v>
      </c>
      <c r="B744" s="1" t="s">
        <v>347</v>
      </c>
      <c r="C744" s="1" t="s">
        <v>385</v>
      </c>
      <c r="D744" s="74">
        <v>1500.0</v>
      </c>
      <c r="E744" s="67">
        <v>2.98</v>
      </c>
      <c r="F744" s="75">
        <v>0.553136574074074</v>
      </c>
      <c r="G744" s="67" t="s">
        <v>453</v>
      </c>
      <c r="H744" s="68">
        <v>7.3</v>
      </c>
      <c r="I744" s="76"/>
      <c r="J744" s="67">
        <f>IF(B744="SLD",D744*E744,-D744*E744)-H744</f>
        <v>4462.7</v>
      </c>
      <c r="K744" s="7" t="s">
        <v>395</v>
      </c>
      <c r="L744" s="70"/>
      <c r="M744" s="79"/>
      <c r="N744" s="1"/>
      <c r="O744" s="1"/>
      <c r="P744" s="1"/>
      <c r="Q744" s="1"/>
      <c r="R744" s="1"/>
      <c r="S744" s="1"/>
      <c r="T744" s="1"/>
      <c r="U744" s="1"/>
      <c r="V744" s="1"/>
      <c r="W744" s="1"/>
      <c r="X744" s="1"/>
      <c r="Y744" s="1"/>
      <c r="Z744" s="1"/>
      <c r="AA744" s="1"/>
      <c r="AB744" s="1"/>
      <c r="AC744" s="1"/>
      <c r="AD744" s="1"/>
      <c r="AE744" s="1"/>
      <c r="AF744" s="1"/>
      <c r="AG744" s="1"/>
      <c r="AH744" s="1"/>
    </row>
    <row r="745" ht="12.75" hidden="1" customHeight="1" outlineLevel="1">
      <c r="A745" s="17">
        <v>41150.0</v>
      </c>
      <c r="B745" s="1"/>
      <c r="C745" s="1" t="s">
        <v>339</v>
      </c>
      <c r="D745" s="74"/>
      <c r="E745" s="67"/>
      <c r="F745" s="75"/>
      <c r="G745" s="67"/>
      <c r="H745" s="68"/>
      <c r="I745" s="76"/>
      <c r="J745" s="67"/>
      <c r="K745" s="7" t="s">
        <v>646</v>
      </c>
      <c r="L745" s="77"/>
      <c r="M745" s="79"/>
      <c r="N745" s="1"/>
      <c r="O745" s="1"/>
      <c r="P745" s="1"/>
      <c r="Q745" s="1"/>
      <c r="R745" s="1"/>
      <c r="S745" s="1"/>
      <c r="T745" s="1"/>
      <c r="U745" s="1"/>
      <c r="V745" s="1"/>
      <c r="W745" s="1"/>
      <c r="X745" s="1"/>
      <c r="Y745" s="1"/>
      <c r="Z745" s="1"/>
      <c r="AA745" s="1"/>
      <c r="AB745" s="1"/>
      <c r="AC745" s="1"/>
      <c r="AD745" s="1"/>
      <c r="AE745" s="1"/>
      <c r="AF745" s="1"/>
      <c r="AG745" s="1"/>
      <c r="AH745" s="1"/>
    </row>
    <row r="746" ht="12.75" hidden="1" customHeight="1" outlineLevel="1">
      <c r="A746" s="17">
        <v>41150.0</v>
      </c>
      <c r="B746" s="1"/>
      <c r="C746" s="1" t="s">
        <v>429</v>
      </c>
      <c r="D746" s="74"/>
      <c r="E746" s="67"/>
      <c r="F746" s="75"/>
      <c r="G746" s="67"/>
      <c r="H746" s="68"/>
      <c r="I746" s="76"/>
      <c r="J746" s="67"/>
      <c r="K746" s="7" t="s">
        <v>636</v>
      </c>
      <c r="L746" s="77"/>
      <c r="M746" s="79"/>
      <c r="N746" s="1"/>
      <c r="O746" s="1"/>
      <c r="P746" s="1"/>
      <c r="Q746" s="1"/>
      <c r="R746" s="1"/>
      <c r="S746" s="1"/>
      <c r="T746" s="1"/>
      <c r="U746" s="1"/>
      <c r="V746" s="1"/>
      <c r="W746" s="1"/>
      <c r="X746" s="1"/>
      <c r="Y746" s="1"/>
      <c r="Z746" s="1"/>
      <c r="AA746" s="1"/>
      <c r="AB746" s="1"/>
      <c r="AC746" s="1"/>
      <c r="AD746" s="1"/>
      <c r="AE746" s="1"/>
      <c r="AF746" s="1"/>
      <c r="AG746" s="1"/>
      <c r="AH746" s="1"/>
    </row>
    <row r="747" ht="12.75" hidden="1" customHeight="1" outlineLevel="1">
      <c r="A747" s="17">
        <v>41150.0</v>
      </c>
      <c r="B747" s="1"/>
      <c r="C747" s="1" t="s">
        <v>431</v>
      </c>
      <c r="D747" s="74"/>
      <c r="E747" s="67"/>
      <c r="F747" s="75"/>
      <c r="G747" s="67"/>
      <c r="H747" s="68"/>
      <c r="I747" s="76"/>
      <c r="J747" s="67"/>
      <c r="K747" s="7" t="s">
        <v>502</v>
      </c>
      <c r="L747" s="77"/>
      <c r="M747" s="79"/>
      <c r="N747" s="1"/>
      <c r="O747" s="1"/>
      <c r="P747" s="1"/>
      <c r="Q747" s="1"/>
      <c r="R747" s="1"/>
      <c r="S747" s="1"/>
      <c r="T747" s="1"/>
      <c r="U747" s="1"/>
      <c r="V747" s="1"/>
      <c r="W747" s="1"/>
      <c r="X747" s="1"/>
      <c r="Y747" s="1"/>
      <c r="Z747" s="1"/>
      <c r="AA747" s="1"/>
      <c r="AB747" s="1"/>
      <c r="AC747" s="1"/>
      <c r="AD747" s="1"/>
      <c r="AE747" s="1"/>
      <c r="AF747" s="1"/>
      <c r="AG747" s="1"/>
      <c r="AH747" s="1"/>
    </row>
    <row r="748" ht="12.75" hidden="1" customHeight="1" outlineLevel="1">
      <c r="A748" s="17">
        <v>41150.0</v>
      </c>
      <c r="B748" s="1"/>
      <c r="C748" s="1" t="s">
        <v>433</v>
      </c>
      <c r="D748" s="74"/>
      <c r="E748" s="67"/>
      <c r="F748" s="75"/>
      <c r="G748" s="67"/>
      <c r="H748" s="68"/>
      <c r="I748" s="76"/>
      <c r="J748" s="67"/>
      <c r="K748" s="1" t="s">
        <v>434</v>
      </c>
      <c r="L748" s="77"/>
      <c r="M748" s="79"/>
      <c r="N748" s="1"/>
      <c r="O748" s="1"/>
      <c r="P748" s="1"/>
      <c r="Q748" s="1"/>
      <c r="R748" s="1"/>
      <c r="S748" s="1"/>
      <c r="T748" s="1"/>
      <c r="U748" s="1"/>
      <c r="V748" s="1"/>
      <c r="W748" s="1"/>
      <c r="X748" s="1"/>
      <c r="Y748" s="1"/>
      <c r="Z748" s="1"/>
      <c r="AA748" s="1"/>
      <c r="AB748" s="1"/>
      <c r="AC748" s="1"/>
      <c r="AD748" s="1"/>
      <c r="AE748" s="1"/>
      <c r="AF748" s="1"/>
      <c r="AG748" s="1"/>
      <c r="AH748" s="1"/>
    </row>
    <row r="749" ht="12.75" hidden="1" customHeight="1" outlineLevel="1">
      <c r="A749" s="17">
        <v>41150.0</v>
      </c>
      <c r="B749" s="1"/>
      <c r="C749" s="1" t="s">
        <v>435</v>
      </c>
      <c r="D749" s="74"/>
      <c r="E749" s="67"/>
      <c r="F749" s="75"/>
      <c r="G749" s="67"/>
      <c r="H749" s="68"/>
      <c r="I749" s="76"/>
      <c r="J749" s="67"/>
      <c r="K749" s="7" t="s">
        <v>629</v>
      </c>
      <c r="L749" s="77"/>
      <c r="M749" s="79"/>
      <c r="N749" s="1"/>
      <c r="O749" s="1"/>
      <c r="P749" s="1"/>
      <c r="Q749" s="1"/>
      <c r="R749" s="1"/>
      <c r="S749" s="1"/>
      <c r="T749" s="1"/>
      <c r="U749" s="1"/>
      <c r="V749" s="1"/>
      <c r="W749" s="1"/>
      <c r="X749" s="1"/>
      <c r="Y749" s="1"/>
      <c r="Z749" s="1"/>
      <c r="AA749" s="1"/>
      <c r="AB749" s="1"/>
      <c r="AC749" s="1"/>
      <c r="AD749" s="1"/>
      <c r="AE749" s="1"/>
      <c r="AF749" s="1"/>
      <c r="AG749" s="1"/>
      <c r="AH749" s="1"/>
    </row>
    <row r="750" ht="12.75" hidden="1" customHeight="1" outlineLevel="1">
      <c r="A750" s="17">
        <v>41151.0</v>
      </c>
      <c r="B750" s="1" t="s">
        <v>347</v>
      </c>
      <c r="C750" s="1" t="s">
        <v>511</v>
      </c>
      <c r="D750" s="74">
        <v>300.0</v>
      </c>
      <c r="E750" s="67">
        <v>13.46</v>
      </c>
      <c r="F750" s="75">
        <v>0.42375</v>
      </c>
      <c r="G750" s="67" t="s">
        <v>453</v>
      </c>
      <c r="H750" s="68">
        <v>1.5</v>
      </c>
      <c r="I750" s="76"/>
      <c r="J750" s="67">
        <f t="shared" ref="J750:J753" si="52">IF(B750="SLD",D750*E750,-D750*E750)-H750</f>
        <v>4036.5</v>
      </c>
      <c r="K750" s="7"/>
      <c r="L750" s="70"/>
      <c r="M750" s="79"/>
      <c r="N750" s="1"/>
      <c r="O750" s="1"/>
      <c r="P750" s="1"/>
      <c r="Q750" s="1"/>
      <c r="R750" s="1"/>
      <c r="S750" s="1"/>
      <c r="T750" s="1"/>
      <c r="U750" s="1"/>
      <c r="V750" s="1"/>
      <c r="W750" s="1"/>
      <c r="X750" s="1"/>
      <c r="Y750" s="1"/>
      <c r="Z750" s="1"/>
      <c r="AA750" s="1"/>
      <c r="AB750" s="1"/>
      <c r="AC750" s="1"/>
      <c r="AD750" s="1"/>
      <c r="AE750" s="1"/>
      <c r="AF750" s="1"/>
      <c r="AG750" s="1"/>
      <c r="AH750" s="1"/>
    </row>
    <row r="751" ht="12.75" hidden="1" customHeight="1" outlineLevel="1">
      <c r="A751" s="17">
        <v>41151.0</v>
      </c>
      <c r="B751" s="1" t="s">
        <v>347</v>
      </c>
      <c r="C751" s="1" t="s">
        <v>355</v>
      </c>
      <c r="D751" s="74">
        <v>100.0</v>
      </c>
      <c r="E751" s="67">
        <v>32.95</v>
      </c>
      <c r="F751" s="75">
        <v>0.4401041666666667</v>
      </c>
      <c r="G751" s="67" t="s">
        <v>453</v>
      </c>
      <c r="H751" s="68">
        <v>1.0</v>
      </c>
      <c r="I751" s="76"/>
      <c r="J751" s="67">
        <f t="shared" si="52"/>
        <v>3294</v>
      </c>
      <c r="K751" s="7"/>
      <c r="L751" s="70"/>
      <c r="M751" s="79"/>
      <c r="N751" s="1"/>
      <c r="O751" s="1"/>
      <c r="P751" s="1"/>
      <c r="Q751" s="1"/>
      <c r="R751" s="1"/>
      <c r="S751" s="1"/>
      <c r="T751" s="1"/>
      <c r="U751" s="1"/>
      <c r="V751" s="1"/>
      <c r="W751" s="1"/>
      <c r="X751" s="1"/>
      <c r="Y751" s="1"/>
      <c r="Z751" s="1"/>
      <c r="AA751" s="1"/>
      <c r="AB751" s="1"/>
      <c r="AC751" s="1"/>
      <c r="AD751" s="1"/>
      <c r="AE751" s="1"/>
      <c r="AF751" s="1"/>
      <c r="AG751" s="1"/>
      <c r="AH751" s="1"/>
    </row>
    <row r="752" ht="12.75" hidden="1" customHeight="1" outlineLevel="1">
      <c r="A752" s="17">
        <v>41151.0</v>
      </c>
      <c r="B752" s="1" t="s">
        <v>347</v>
      </c>
      <c r="C752" s="1" t="s">
        <v>371</v>
      </c>
      <c r="D752" s="74">
        <v>125.0</v>
      </c>
      <c r="E752" s="67">
        <v>23.96</v>
      </c>
      <c r="F752" s="75">
        <v>0.4407175925925926</v>
      </c>
      <c r="G752" s="67" t="s">
        <v>453</v>
      </c>
      <c r="H752" s="68">
        <v>1.0</v>
      </c>
      <c r="I752" s="76"/>
      <c r="J752" s="67">
        <f t="shared" si="52"/>
        <v>2994</v>
      </c>
      <c r="K752" s="7"/>
      <c r="L752" s="70"/>
      <c r="M752" s="79"/>
      <c r="N752" s="1"/>
      <c r="O752" s="1"/>
      <c r="P752" s="1"/>
      <c r="Q752" s="1"/>
      <c r="R752" s="1"/>
      <c r="S752" s="1"/>
      <c r="T752" s="1"/>
      <c r="U752" s="1"/>
      <c r="V752" s="1"/>
      <c r="W752" s="1"/>
      <c r="X752" s="1"/>
      <c r="Y752" s="1"/>
      <c r="Z752" s="1"/>
      <c r="AA752" s="1"/>
      <c r="AB752" s="1"/>
      <c r="AC752" s="1"/>
      <c r="AD752" s="1"/>
      <c r="AE752" s="1"/>
      <c r="AF752" s="1"/>
      <c r="AG752" s="1"/>
      <c r="AH752" s="1"/>
    </row>
    <row r="753" ht="12.75" hidden="1" customHeight="1" outlineLevel="1">
      <c r="A753" s="17">
        <v>41151.0</v>
      </c>
      <c r="B753" s="1" t="s">
        <v>347</v>
      </c>
      <c r="C753" s="1" t="s">
        <v>614</v>
      </c>
      <c r="D753" s="74">
        <v>500.0</v>
      </c>
      <c r="E753" s="67">
        <v>6.66</v>
      </c>
      <c r="F753" s="75">
        <v>0.5079976851851852</v>
      </c>
      <c r="G753" s="67" t="s">
        <v>453</v>
      </c>
      <c r="H753" s="68">
        <v>2.5</v>
      </c>
      <c r="I753" s="76"/>
      <c r="J753" s="67">
        <f t="shared" si="52"/>
        <v>3327.5</v>
      </c>
      <c r="K753" s="7"/>
      <c r="L753" s="70"/>
      <c r="M753" s="79"/>
      <c r="N753" s="1"/>
      <c r="O753" s="1"/>
      <c r="P753" s="1"/>
      <c r="Q753" s="1"/>
      <c r="R753" s="1"/>
      <c r="S753" s="1"/>
      <c r="T753" s="1"/>
      <c r="U753" s="1"/>
      <c r="V753" s="1"/>
      <c r="W753" s="1"/>
      <c r="X753" s="1"/>
      <c r="Y753" s="1"/>
      <c r="Z753" s="1"/>
      <c r="AA753" s="1"/>
      <c r="AB753" s="1"/>
      <c r="AC753" s="1"/>
      <c r="AD753" s="1"/>
      <c r="AE753" s="1"/>
      <c r="AF753" s="1"/>
      <c r="AG753" s="1"/>
      <c r="AH753" s="1"/>
    </row>
    <row r="754" ht="12.75" hidden="1" customHeight="1" outlineLevel="1">
      <c r="A754" s="17">
        <v>41151.0</v>
      </c>
      <c r="B754" s="1"/>
      <c r="C754" s="1" t="s">
        <v>339</v>
      </c>
      <c r="D754" s="74"/>
      <c r="E754" s="67"/>
      <c r="F754" s="75"/>
      <c r="G754" s="67"/>
      <c r="H754" s="68"/>
      <c r="I754" s="76"/>
      <c r="J754" s="67"/>
      <c r="K754" s="7" t="s">
        <v>648</v>
      </c>
      <c r="L754" s="77"/>
      <c r="M754" s="79"/>
      <c r="N754" s="1"/>
      <c r="O754" s="1"/>
      <c r="P754" s="1"/>
      <c r="Q754" s="1"/>
      <c r="R754" s="1"/>
      <c r="S754" s="1"/>
      <c r="T754" s="1"/>
      <c r="U754" s="1"/>
      <c r="V754" s="1"/>
      <c r="W754" s="1"/>
      <c r="X754" s="1"/>
      <c r="Y754" s="1"/>
      <c r="Z754" s="1"/>
      <c r="AA754" s="1"/>
      <c r="AB754" s="1"/>
      <c r="AC754" s="1"/>
      <c r="AD754" s="1"/>
      <c r="AE754" s="1"/>
      <c r="AF754" s="1"/>
      <c r="AG754" s="1"/>
      <c r="AH754" s="1"/>
    </row>
    <row r="755" ht="12.75" hidden="1" customHeight="1" outlineLevel="1">
      <c r="A755" s="17">
        <v>41151.0</v>
      </c>
      <c r="B755" s="1"/>
      <c r="C755" s="1" t="s">
        <v>429</v>
      </c>
      <c r="D755" s="74"/>
      <c r="E755" s="67"/>
      <c r="F755" s="75"/>
      <c r="G755" s="67"/>
      <c r="H755" s="68"/>
      <c r="I755" s="76"/>
      <c r="J755" s="67"/>
      <c r="K755" s="7" t="s">
        <v>636</v>
      </c>
      <c r="L755" s="77"/>
      <c r="M755" s="79"/>
      <c r="N755" s="1"/>
      <c r="O755" s="1"/>
      <c r="P755" s="1"/>
      <c r="Q755" s="1"/>
      <c r="R755" s="1"/>
      <c r="S755" s="1"/>
      <c r="T755" s="1"/>
      <c r="U755" s="1"/>
      <c r="V755" s="1"/>
      <c r="W755" s="1"/>
      <c r="X755" s="1"/>
      <c r="Y755" s="1"/>
      <c r="Z755" s="1"/>
      <c r="AA755" s="1"/>
      <c r="AB755" s="1"/>
      <c r="AC755" s="1"/>
      <c r="AD755" s="1"/>
      <c r="AE755" s="1"/>
      <c r="AF755" s="1"/>
      <c r="AG755" s="1"/>
      <c r="AH755" s="1"/>
    </row>
    <row r="756" ht="12.75" hidden="1" customHeight="1" outlineLevel="1">
      <c r="A756" s="17">
        <v>41151.0</v>
      </c>
      <c r="B756" s="1"/>
      <c r="C756" s="1" t="s">
        <v>431</v>
      </c>
      <c r="D756" s="74"/>
      <c r="E756" s="67"/>
      <c r="F756" s="75"/>
      <c r="G756" s="67"/>
      <c r="H756" s="68"/>
      <c r="I756" s="76"/>
      <c r="J756" s="67"/>
      <c r="K756" s="7" t="s">
        <v>502</v>
      </c>
      <c r="L756" s="77"/>
      <c r="M756" s="79"/>
      <c r="N756" s="1"/>
      <c r="O756" s="1"/>
      <c r="P756" s="1"/>
      <c r="Q756" s="1"/>
      <c r="R756" s="1"/>
      <c r="S756" s="1"/>
      <c r="T756" s="1"/>
      <c r="U756" s="1"/>
      <c r="V756" s="1"/>
      <c r="W756" s="1"/>
      <c r="X756" s="1"/>
      <c r="Y756" s="1"/>
      <c r="Z756" s="1"/>
      <c r="AA756" s="1"/>
      <c r="AB756" s="1"/>
      <c r="AC756" s="1"/>
      <c r="AD756" s="1"/>
      <c r="AE756" s="1"/>
      <c r="AF756" s="1"/>
      <c r="AG756" s="1"/>
      <c r="AH756" s="1"/>
    </row>
    <row r="757" ht="12.75" hidden="1" customHeight="1" outlineLevel="1">
      <c r="A757" s="17">
        <v>41151.0</v>
      </c>
      <c r="B757" s="1"/>
      <c r="C757" s="1" t="s">
        <v>433</v>
      </c>
      <c r="D757" s="74"/>
      <c r="E757" s="67"/>
      <c r="F757" s="75"/>
      <c r="G757" s="67"/>
      <c r="H757" s="68"/>
      <c r="I757" s="76"/>
      <c r="J757" s="67"/>
      <c r="K757" s="1" t="s">
        <v>434</v>
      </c>
      <c r="L757" s="77"/>
      <c r="M757" s="79"/>
      <c r="N757" s="1"/>
      <c r="O757" s="1"/>
      <c r="P757" s="1"/>
      <c r="Q757" s="1"/>
      <c r="R757" s="1"/>
      <c r="S757" s="1"/>
      <c r="T757" s="1"/>
      <c r="U757" s="1"/>
      <c r="V757" s="1"/>
      <c r="W757" s="1"/>
      <c r="X757" s="1"/>
      <c r="Y757" s="1"/>
      <c r="Z757" s="1"/>
      <c r="AA757" s="1"/>
      <c r="AB757" s="1"/>
      <c r="AC757" s="1"/>
      <c r="AD757" s="1"/>
      <c r="AE757" s="1"/>
      <c r="AF757" s="1"/>
      <c r="AG757" s="1"/>
      <c r="AH757" s="1"/>
    </row>
    <row r="758" ht="12.75" hidden="1" customHeight="1" outlineLevel="1">
      <c r="A758" s="17">
        <v>41151.0</v>
      </c>
      <c r="B758" s="1"/>
      <c r="C758" s="1" t="s">
        <v>435</v>
      </c>
      <c r="D758" s="74"/>
      <c r="E758" s="67"/>
      <c r="F758" s="75"/>
      <c r="G758" s="67"/>
      <c r="H758" s="68"/>
      <c r="I758" s="76"/>
      <c r="J758" s="67"/>
      <c r="K758" s="7" t="s">
        <v>629</v>
      </c>
      <c r="L758" s="77"/>
      <c r="M758" s="79"/>
      <c r="N758" s="1"/>
      <c r="O758" s="1"/>
      <c r="P758" s="1"/>
      <c r="Q758" s="1"/>
      <c r="R758" s="1"/>
      <c r="S758" s="1"/>
      <c r="T758" s="1"/>
      <c r="U758" s="1"/>
      <c r="V758" s="1"/>
      <c r="W758" s="1"/>
      <c r="X758" s="1"/>
      <c r="Y758" s="1"/>
      <c r="Z758" s="1"/>
      <c r="AA758" s="1"/>
      <c r="AB758" s="1"/>
      <c r="AC758" s="1"/>
      <c r="AD758" s="1"/>
      <c r="AE758" s="1"/>
      <c r="AF758" s="1"/>
      <c r="AG758" s="1"/>
      <c r="AH758" s="1"/>
    </row>
    <row r="759" ht="12.75" hidden="1" customHeight="1" outlineLevel="1">
      <c r="A759" s="17">
        <v>41152.0</v>
      </c>
      <c r="B759" s="1" t="s">
        <v>343</v>
      </c>
      <c r="C759" s="1" t="s">
        <v>346</v>
      </c>
      <c r="D759" s="74">
        <v>25.0</v>
      </c>
      <c r="E759" s="67">
        <v>661.36</v>
      </c>
      <c r="F759" s="75">
        <v>41152.42849537037</v>
      </c>
      <c r="G759" s="67" t="s">
        <v>453</v>
      </c>
      <c r="H759" s="68">
        <v>1.0</v>
      </c>
      <c r="I759" s="76"/>
      <c r="J759" s="67">
        <f>IF(B759="SLD",D759*E759,-D759*E759)-H759</f>
        <v>-16535</v>
      </c>
      <c r="K759" s="7"/>
      <c r="L759" s="70"/>
      <c r="M759" s="79"/>
      <c r="N759" s="1"/>
      <c r="O759" s="1"/>
      <c r="P759" s="1"/>
      <c r="Q759" s="1"/>
      <c r="R759" s="1"/>
      <c r="S759" s="1"/>
      <c r="T759" s="1"/>
      <c r="U759" s="1"/>
      <c r="V759" s="1"/>
      <c r="W759" s="1"/>
      <c r="X759" s="1"/>
      <c r="Y759" s="1"/>
      <c r="Z759" s="1"/>
      <c r="AA759" s="1"/>
      <c r="AB759" s="1"/>
      <c r="AC759" s="1"/>
      <c r="AD759" s="1"/>
      <c r="AE759" s="1"/>
      <c r="AF759" s="1"/>
      <c r="AG759" s="1"/>
      <c r="AH759" s="1"/>
    </row>
    <row r="760" ht="12.75" hidden="1" customHeight="1" outlineLevel="1">
      <c r="A760" s="17">
        <v>41152.0</v>
      </c>
      <c r="B760" s="1"/>
      <c r="C760" s="1" t="s">
        <v>339</v>
      </c>
      <c r="D760" s="74"/>
      <c r="E760" s="67"/>
      <c r="F760" s="75"/>
      <c r="G760" s="67"/>
      <c r="H760" s="68"/>
      <c r="I760" s="76"/>
      <c r="J760" s="67"/>
      <c r="K760" s="7" t="s">
        <v>648</v>
      </c>
      <c r="L760" s="77"/>
      <c r="M760" s="79"/>
      <c r="N760" s="1"/>
      <c r="O760" s="1"/>
      <c r="P760" s="1"/>
      <c r="Q760" s="1"/>
      <c r="R760" s="1"/>
      <c r="S760" s="1"/>
      <c r="T760" s="1"/>
      <c r="U760" s="1"/>
      <c r="V760" s="1"/>
      <c r="W760" s="1"/>
      <c r="X760" s="1"/>
      <c r="Y760" s="1"/>
      <c r="Z760" s="1"/>
      <c r="AA760" s="1"/>
      <c r="AB760" s="1"/>
      <c r="AC760" s="1"/>
      <c r="AD760" s="1"/>
      <c r="AE760" s="1"/>
      <c r="AF760" s="1"/>
      <c r="AG760" s="1"/>
      <c r="AH760" s="1"/>
    </row>
    <row r="761" ht="12.75" hidden="1" customHeight="1" outlineLevel="1">
      <c r="A761" s="17">
        <v>41152.0</v>
      </c>
      <c r="B761" s="1"/>
      <c r="C761" s="1" t="s">
        <v>429</v>
      </c>
      <c r="D761" s="74"/>
      <c r="E761" s="67"/>
      <c r="F761" s="75"/>
      <c r="G761" s="67"/>
      <c r="H761" s="68"/>
      <c r="I761" s="76"/>
      <c r="J761" s="67"/>
      <c r="K761" s="7" t="s">
        <v>636</v>
      </c>
      <c r="L761" s="77"/>
      <c r="M761" s="79"/>
      <c r="N761" s="1"/>
      <c r="O761" s="1"/>
      <c r="P761" s="1"/>
      <c r="Q761" s="1"/>
      <c r="R761" s="1"/>
      <c r="S761" s="1"/>
      <c r="T761" s="1"/>
      <c r="U761" s="1"/>
      <c r="V761" s="1"/>
      <c r="W761" s="1"/>
      <c r="X761" s="1"/>
      <c r="Y761" s="1"/>
      <c r="Z761" s="1"/>
      <c r="AA761" s="1"/>
      <c r="AB761" s="1"/>
      <c r="AC761" s="1"/>
      <c r="AD761" s="1"/>
      <c r="AE761" s="1"/>
      <c r="AF761" s="1"/>
      <c r="AG761" s="1"/>
      <c r="AH761" s="1"/>
    </row>
    <row r="762" ht="12.75" hidden="1" customHeight="1" outlineLevel="1">
      <c r="A762" s="17">
        <v>41152.0</v>
      </c>
      <c r="B762" s="1"/>
      <c r="C762" s="1" t="s">
        <v>431</v>
      </c>
      <c r="D762" s="74"/>
      <c r="E762" s="67"/>
      <c r="F762" s="75"/>
      <c r="G762" s="67"/>
      <c r="H762" s="68"/>
      <c r="I762" s="76"/>
      <c r="J762" s="67"/>
      <c r="K762" s="7" t="s">
        <v>502</v>
      </c>
      <c r="L762" s="77"/>
      <c r="M762" s="79"/>
      <c r="N762" s="1"/>
      <c r="O762" s="1"/>
      <c r="P762" s="1"/>
      <c r="Q762" s="1"/>
      <c r="R762" s="1"/>
      <c r="S762" s="1"/>
      <c r="T762" s="1"/>
      <c r="U762" s="1"/>
      <c r="V762" s="1"/>
      <c r="W762" s="1"/>
      <c r="X762" s="1"/>
      <c r="Y762" s="1"/>
      <c r="Z762" s="1"/>
      <c r="AA762" s="1"/>
      <c r="AB762" s="1"/>
      <c r="AC762" s="1"/>
      <c r="AD762" s="1"/>
      <c r="AE762" s="1"/>
      <c r="AF762" s="1"/>
      <c r="AG762" s="1"/>
      <c r="AH762" s="1"/>
    </row>
    <row r="763" ht="12.75" hidden="1" customHeight="1" outlineLevel="1">
      <c r="A763" s="17">
        <v>41152.0</v>
      </c>
      <c r="B763" s="1"/>
      <c r="C763" s="1" t="s">
        <v>433</v>
      </c>
      <c r="D763" s="74"/>
      <c r="E763" s="67"/>
      <c r="F763" s="75"/>
      <c r="G763" s="67"/>
      <c r="H763" s="68"/>
      <c r="I763" s="76"/>
      <c r="J763" s="67"/>
      <c r="K763" s="1" t="s">
        <v>434</v>
      </c>
      <c r="L763" s="77"/>
      <c r="M763" s="79"/>
      <c r="N763" s="1"/>
      <c r="O763" s="1"/>
      <c r="P763" s="1"/>
      <c r="Q763" s="1"/>
      <c r="R763" s="1"/>
      <c r="S763" s="1"/>
      <c r="T763" s="1"/>
      <c r="U763" s="1"/>
      <c r="V763" s="1"/>
      <c r="W763" s="1"/>
      <c r="X763" s="1"/>
      <c r="Y763" s="1"/>
      <c r="Z763" s="1"/>
      <c r="AA763" s="1"/>
      <c r="AB763" s="1"/>
      <c r="AC763" s="1"/>
      <c r="AD763" s="1"/>
      <c r="AE763" s="1"/>
      <c r="AF763" s="1"/>
      <c r="AG763" s="1"/>
      <c r="AH763" s="1"/>
    </row>
    <row r="764" ht="12.75" hidden="1" customHeight="1" outlineLevel="1">
      <c r="A764" s="17">
        <v>41152.0</v>
      </c>
      <c r="B764" s="1"/>
      <c r="C764" s="1" t="s">
        <v>435</v>
      </c>
      <c r="D764" s="74"/>
      <c r="E764" s="67"/>
      <c r="F764" s="75"/>
      <c r="G764" s="67"/>
      <c r="H764" s="68"/>
      <c r="I764" s="76"/>
      <c r="J764" s="67"/>
      <c r="K764" s="7" t="s">
        <v>629</v>
      </c>
      <c r="L764" s="77"/>
      <c r="M764" s="79"/>
      <c r="N764" s="1"/>
      <c r="O764" s="1"/>
      <c r="P764" s="1"/>
      <c r="Q764" s="1"/>
      <c r="R764" s="1"/>
      <c r="S764" s="1"/>
      <c r="T764" s="1"/>
      <c r="U764" s="1"/>
      <c r="V764" s="1"/>
      <c r="W764" s="1"/>
      <c r="X764" s="1"/>
      <c r="Y764" s="1"/>
      <c r="Z764" s="1"/>
      <c r="AA764" s="1"/>
      <c r="AB764" s="1"/>
      <c r="AC764" s="1"/>
      <c r="AD764" s="1"/>
      <c r="AE764" s="1"/>
      <c r="AF764" s="1"/>
      <c r="AG764" s="1"/>
      <c r="AH764" s="1"/>
    </row>
    <row r="765" ht="12.75" hidden="1" customHeight="1" outlineLevel="1">
      <c r="A765" s="17">
        <v>41134.0</v>
      </c>
      <c r="B765" s="1"/>
      <c r="C765" s="7" t="s">
        <v>649</v>
      </c>
      <c r="D765" s="74"/>
      <c r="E765" s="67"/>
      <c r="F765" s="75"/>
      <c r="G765" s="67"/>
      <c r="H765" s="68"/>
      <c r="I765" s="76"/>
      <c r="J765" s="67">
        <v>30000.0</v>
      </c>
      <c r="K765" s="7"/>
      <c r="L765" s="77"/>
      <c r="M765" s="79"/>
      <c r="N765" s="1"/>
      <c r="O765" s="1"/>
      <c r="P765" s="1"/>
      <c r="Q765" s="1"/>
      <c r="R765" s="1"/>
      <c r="S765" s="1"/>
      <c r="T765" s="1"/>
      <c r="U765" s="1"/>
      <c r="V765" s="1"/>
      <c r="W765" s="1"/>
      <c r="X765" s="1"/>
      <c r="Y765" s="1"/>
      <c r="Z765" s="1"/>
      <c r="AA765" s="1"/>
      <c r="AB765" s="1"/>
      <c r="AC765" s="1"/>
      <c r="AD765" s="1"/>
      <c r="AE765" s="1"/>
      <c r="AF765" s="1"/>
      <c r="AG765" s="1"/>
      <c r="AH765" s="1"/>
    </row>
    <row r="766" ht="12.75" hidden="1" customHeight="1" outlineLevel="1">
      <c r="A766" s="17">
        <v>41155.0</v>
      </c>
      <c r="B766" s="1" t="s">
        <v>347</v>
      </c>
      <c r="C766" s="1" t="s">
        <v>630</v>
      </c>
      <c r="D766" s="74">
        <v>400.0</v>
      </c>
      <c r="E766" s="67">
        <f>3.58*1.02418</f>
        <v>3.6665644</v>
      </c>
      <c r="F766" s="75">
        <v>41155.88532407407</v>
      </c>
      <c r="G766" s="67" t="s">
        <v>631</v>
      </c>
      <c r="H766" s="68">
        <v>6.0</v>
      </c>
      <c r="I766" s="76"/>
      <c r="J766" s="67">
        <f t="shared" ref="J766:J767" si="53">IF(B766="SLD",D766*E766,-D766*E766)-H766</f>
        <v>1460.62576</v>
      </c>
      <c r="K766" s="7"/>
      <c r="L766" s="70"/>
      <c r="M766" s="79"/>
      <c r="N766" s="1"/>
      <c r="O766" s="1"/>
      <c r="P766" s="1"/>
      <c r="Q766" s="1"/>
      <c r="R766" s="1"/>
      <c r="S766" s="1"/>
      <c r="T766" s="1"/>
      <c r="U766" s="1"/>
      <c r="V766" s="1"/>
      <c r="W766" s="1"/>
      <c r="X766" s="1"/>
      <c r="Y766" s="1"/>
      <c r="Z766" s="1"/>
      <c r="AA766" s="1"/>
      <c r="AB766" s="1"/>
      <c r="AC766" s="1"/>
      <c r="AD766" s="1"/>
      <c r="AE766" s="1"/>
      <c r="AF766" s="1"/>
      <c r="AG766" s="1"/>
      <c r="AH766" s="1"/>
    </row>
    <row r="767" ht="12.75" hidden="1" customHeight="1" outlineLevel="1">
      <c r="A767" s="17">
        <v>41155.0</v>
      </c>
      <c r="B767" s="1" t="s">
        <v>347</v>
      </c>
      <c r="C767" s="1">
        <v>3968.0</v>
      </c>
      <c r="D767" s="74">
        <v>2000.0</v>
      </c>
      <c r="E767" s="67">
        <v>12.84</v>
      </c>
      <c r="F767" s="75">
        <v>41155.96575231481</v>
      </c>
      <c r="G767" s="67" t="s">
        <v>651</v>
      </c>
      <c r="H767" s="68">
        <v>20.54</v>
      </c>
      <c r="I767" s="76"/>
      <c r="J767" s="67">
        <f t="shared" si="53"/>
        <v>25659.46</v>
      </c>
      <c r="K767" s="7"/>
      <c r="L767" s="70"/>
      <c r="M767" s="79"/>
      <c r="N767" s="1"/>
      <c r="O767" s="1"/>
      <c r="P767" s="1"/>
      <c r="Q767" s="1"/>
      <c r="R767" s="1"/>
      <c r="S767" s="1"/>
      <c r="T767" s="1"/>
      <c r="U767" s="1"/>
      <c r="V767" s="1"/>
      <c r="W767" s="1"/>
      <c r="X767" s="1"/>
      <c r="Y767" s="1"/>
      <c r="Z767" s="1"/>
      <c r="AA767" s="1"/>
      <c r="AB767" s="1"/>
      <c r="AC767" s="1"/>
      <c r="AD767" s="1"/>
      <c r="AE767" s="1"/>
      <c r="AF767" s="1"/>
      <c r="AG767" s="1"/>
      <c r="AH767" s="1"/>
    </row>
    <row r="768" ht="12.75" hidden="1" customHeight="1" outlineLevel="1">
      <c r="A768" s="17">
        <v>41155.0</v>
      </c>
      <c r="B768" s="1" t="s">
        <v>343</v>
      </c>
      <c r="C768" s="1" t="s">
        <v>453</v>
      </c>
      <c r="D768" s="74">
        <v>3279.0</v>
      </c>
      <c r="E768" s="67">
        <v>7.75655</v>
      </c>
      <c r="F768" s="75">
        <v>41155.967453703706</v>
      </c>
      <c r="G768" s="67" t="s">
        <v>651</v>
      </c>
      <c r="H768" s="68">
        <v>19.39</v>
      </c>
      <c r="I768" s="76"/>
      <c r="J768" s="67"/>
      <c r="K768" s="7"/>
      <c r="L768" s="70"/>
      <c r="M768" s="79"/>
      <c r="N768" s="1"/>
      <c r="O768" s="1"/>
      <c r="P768" s="1"/>
      <c r="Q768" s="1"/>
      <c r="R768" s="1"/>
      <c r="S768" s="1"/>
      <c r="T768" s="1"/>
      <c r="U768" s="1"/>
      <c r="V768" s="1"/>
      <c r="W768" s="1"/>
      <c r="X768" s="1"/>
      <c r="Y768" s="1"/>
      <c r="Z768" s="1"/>
      <c r="AA768" s="1"/>
      <c r="AB768" s="1"/>
      <c r="AC768" s="1"/>
      <c r="AD768" s="1"/>
      <c r="AE768" s="1"/>
      <c r="AF768" s="1"/>
      <c r="AG768" s="1"/>
      <c r="AH768" s="1"/>
    </row>
    <row r="769" ht="12.75" hidden="1" customHeight="1" outlineLevel="1">
      <c r="A769" s="17">
        <v>41155.0</v>
      </c>
      <c r="B769" s="1" t="s">
        <v>343</v>
      </c>
      <c r="C769" s="1" t="s">
        <v>631</v>
      </c>
      <c r="D769" s="74">
        <v>1406.0</v>
      </c>
      <c r="E769" s="67">
        <v>1.02418</v>
      </c>
      <c r="F769" s="75">
        <v>41155.97148148148</v>
      </c>
      <c r="G769" s="67" t="s">
        <v>453</v>
      </c>
      <c r="H769" s="68">
        <v>2.5</v>
      </c>
      <c r="I769" s="76"/>
      <c r="J769" s="67"/>
      <c r="K769" s="7"/>
      <c r="L769" s="70"/>
      <c r="M769" s="79"/>
      <c r="N769" s="1"/>
      <c r="O769" s="1"/>
      <c r="P769" s="1"/>
      <c r="Q769" s="1"/>
      <c r="R769" s="1"/>
      <c r="S769" s="1"/>
      <c r="T769" s="1"/>
      <c r="U769" s="1"/>
      <c r="V769" s="1"/>
      <c r="W769" s="1"/>
      <c r="X769" s="1"/>
      <c r="Y769" s="1"/>
      <c r="Z769" s="1"/>
      <c r="AA769" s="1"/>
      <c r="AB769" s="1"/>
      <c r="AC769" s="1"/>
      <c r="AD769" s="1"/>
      <c r="AE769" s="1"/>
      <c r="AF769" s="1"/>
      <c r="AG769" s="1"/>
      <c r="AH769" s="1"/>
    </row>
    <row r="770" ht="12.75" hidden="1" customHeight="1" outlineLevel="1">
      <c r="A770" s="17">
        <v>41155.0</v>
      </c>
      <c r="B770" s="1" t="s">
        <v>347</v>
      </c>
      <c r="C770" s="1" t="s">
        <v>631</v>
      </c>
      <c r="D770" s="74">
        <v>2812.0</v>
      </c>
      <c r="E770" s="67">
        <v>1.02415</v>
      </c>
      <c r="F770" s="75">
        <v>41155.971921296295</v>
      </c>
      <c r="G770" s="67" t="s">
        <v>453</v>
      </c>
      <c r="H770" s="68">
        <v>2.5</v>
      </c>
      <c r="I770" s="76"/>
      <c r="J770" s="67"/>
      <c r="K770" s="7"/>
      <c r="L770" s="70"/>
      <c r="M770" s="79"/>
      <c r="N770" s="1"/>
      <c r="O770" s="1"/>
      <c r="P770" s="1"/>
      <c r="Q770" s="1"/>
      <c r="R770" s="1"/>
      <c r="S770" s="1"/>
      <c r="T770" s="1"/>
      <c r="U770" s="1"/>
      <c r="V770" s="1"/>
      <c r="W770" s="1"/>
      <c r="X770" s="1"/>
      <c r="Y770" s="1"/>
      <c r="Z770" s="1"/>
      <c r="AA770" s="1"/>
      <c r="AB770" s="1"/>
      <c r="AC770" s="1"/>
      <c r="AD770" s="1"/>
      <c r="AE770" s="1"/>
      <c r="AF770" s="1"/>
      <c r="AG770" s="1"/>
      <c r="AH770" s="1"/>
    </row>
    <row r="771" ht="12.75" hidden="1" customHeight="1" outlineLevel="1">
      <c r="A771" s="17">
        <v>41155.0</v>
      </c>
      <c r="B771" s="1"/>
      <c r="C771" s="1" t="s">
        <v>339</v>
      </c>
      <c r="D771" s="74"/>
      <c r="E771" s="67"/>
      <c r="F771" s="75"/>
      <c r="G771" s="67"/>
      <c r="H771" s="68"/>
      <c r="I771" s="76"/>
      <c r="J771" s="67"/>
      <c r="K771" s="7" t="s">
        <v>652</v>
      </c>
      <c r="L771" s="77"/>
      <c r="M771" s="79"/>
      <c r="N771" s="1"/>
      <c r="O771" s="1"/>
      <c r="P771" s="1"/>
      <c r="Q771" s="1"/>
      <c r="R771" s="1"/>
      <c r="S771" s="1"/>
      <c r="T771" s="1"/>
      <c r="U771" s="1"/>
      <c r="V771" s="1"/>
      <c r="W771" s="1"/>
      <c r="X771" s="1"/>
      <c r="Y771" s="1"/>
      <c r="Z771" s="1"/>
      <c r="AA771" s="1"/>
      <c r="AB771" s="1"/>
      <c r="AC771" s="1"/>
      <c r="AD771" s="1"/>
      <c r="AE771" s="1"/>
      <c r="AF771" s="1"/>
      <c r="AG771" s="1"/>
      <c r="AH771" s="1"/>
    </row>
    <row r="772" ht="12.75" hidden="1" customHeight="1" outlineLevel="1">
      <c r="A772" s="17">
        <v>41155.0</v>
      </c>
      <c r="B772" s="1"/>
      <c r="C772" s="1" t="s">
        <v>429</v>
      </c>
      <c r="D772" s="74"/>
      <c r="E772" s="67"/>
      <c r="F772" s="75"/>
      <c r="G772" s="67"/>
      <c r="H772" s="68"/>
      <c r="I772" s="76"/>
      <c r="J772" s="67"/>
      <c r="K772" s="7" t="s">
        <v>636</v>
      </c>
      <c r="L772" s="77"/>
      <c r="M772" s="79"/>
      <c r="N772" s="1"/>
      <c r="O772" s="1"/>
      <c r="P772" s="1"/>
      <c r="Q772" s="1"/>
      <c r="R772" s="1"/>
      <c r="S772" s="1"/>
      <c r="T772" s="1"/>
      <c r="U772" s="1"/>
      <c r="V772" s="1"/>
      <c r="W772" s="1"/>
      <c r="X772" s="1"/>
      <c r="Y772" s="1"/>
      <c r="Z772" s="1"/>
      <c r="AA772" s="1"/>
      <c r="AB772" s="1"/>
      <c r="AC772" s="1"/>
      <c r="AD772" s="1"/>
      <c r="AE772" s="1"/>
      <c r="AF772" s="1"/>
      <c r="AG772" s="1"/>
      <c r="AH772" s="1"/>
    </row>
    <row r="773" ht="12.75" hidden="1" customHeight="1" outlineLevel="1">
      <c r="A773" s="17">
        <v>41155.0</v>
      </c>
      <c r="B773" s="1"/>
      <c r="C773" s="1" t="s">
        <v>431</v>
      </c>
      <c r="D773" s="74"/>
      <c r="E773" s="67"/>
      <c r="F773" s="75"/>
      <c r="G773" s="67"/>
      <c r="H773" s="68"/>
      <c r="I773" s="76"/>
      <c r="J773" s="67"/>
      <c r="K773" s="7" t="s">
        <v>502</v>
      </c>
      <c r="L773" s="77"/>
      <c r="M773" s="79"/>
      <c r="N773" s="1"/>
      <c r="O773" s="1"/>
      <c r="P773" s="1"/>
      <c r="Q773" s="1"/>
      <c r="R773" s="1"/>
      <c r="S773" s="1"/>
      <c r="T773" s="1"/>
      <c r="U773" s="1"/>
      <c r="V773" s="1"/>
      <c r="W773" s="1"/>
      <c r="X773" s="1"/>
      <c r="Y773" s="1"/>
      <c r="Z773" s="1"/>
      <c r="AA773" s="1"/>
      <c r="AB773" s="1"/>
      <c r="AC773" s="1"/>
      <c r="AD773" s="1"/>
      <c r="AE773" s="1"/>
      <c r="AF773" s="1"/>
      <c r="AG773" s="1"/>
      <c r="AH773" s="1"/>
    </row>
    <row r="774" ht="12.75" hidden="1" customHeight="1" outlineLevel="1">
      <c r="A774" s="17">
        <v>41155.0</v>
      </c>
      <c r="B774" s="1"/>
      <c r="C774" s="1" t="s">
        <v>433</v>
      </c>
      <c r="D774" s="74"/>
      <c r="E774" s="67"/>
      <c r="F774" s="75"/>
      <c r="G774" s="67"/>
      <c r="H774" s="68"/>
      <c r="I774" s="76"/>
      <c r="J774" s="67"/>
      <c r="K774" s="1" t="s">
        <v>434</v>
      </c>
      <c r="L774" s="77"/>
      <c r="M774" s="79"/>
      <c r="N774" s="1"/>
      <c r="O774" s="1"/>
      <c r="P774" s="1"/>
      <c r="Q774" s="1"/>
      <c r="R774" s="1"/>
      <c r="S774" s="1"/>
      <c r="T774" s="1"/>
      <c r="U774" s="1"/>
      <c r="V774" s="1"/>
      <c r="W774" s="1"/>
      <c r="X774" s="1"/>
      <c r="Y774" s="1"/>
      <c r="Z774" s="1"/>
      <c r="AA774" s="1"/>
      <c r="AB774" s="1"/>
      <c r="AC774" s="1"/>
      <c r="AD774" s="1"/>
      <c r="AE774" s="1"/>
      <c r="AF774" s="1"/>
      <c r="AG774" s="1"/>
      <c r="AH774" s="1"/>
    </row>
    <row r="775" ht="12.75" hidden="1" customHeight="1" outlineLevel="1">
      <c r="A775" s="17">
        <v>41155.0</v>
      </c>
      <c r="B775" s="1"/>
      <c r="C775" s="1" t="s">
        <v>435</v>
      </c>
      <c r="D775" s="74"/>
      <c r="E775" s="67"/>
      <c r="F775" s="75"/>
      <c r="G775" s="67"/>
      <c r="H775" s="68"/>
      <c r="I775" s="76"/>
      <c r="J775" s="67"/>
      <c r="K775" s="7" t="s">
        <v>629</v>
      </c>
      <c r="L775" s="77"/>
      <c r="M775" s="79"/>
      <c r="N775" s="1"/>
      <c r="O775" s="1"/>
      <c r="P775" s="1"/>
      <c r="Q775" s="1"/>
      <c r="R775" s="1"/>
      <c r="S775" s="1"/>
      <c r="T775" s="1"/>
      <c r="U775" s="1"/>
      <c r="V775" s="1"/>
      <c r="W775" s="1"/>
      <c r="X775" s="1"/>
      <c r="Y775" s="1"/>
      <c r="Z775" s="1"/>
      <c r="AA775" s="1"/>
      <c r="AB775" s="1"/>
      <c r="AC775" s="1"/>
      <c r="AD775" s="1"/>
      <c r="AE775" s="1"/>
      <c r="AF775" s="1"/>
      <c r="AG775" s="1"/>
      <c r="AH775" s="1"/>
    </row>
    <row r="776" ht="12.75" hidden="1" customHeight="1" outlineLevel="1">
      <c r="A776" s="17">
        <v>41156.0</v>
      </c>
      <c r="B776" s="1" t="s">
        <v>343</v>
      </c>
      <c r="C776" s="1" t="s">
        <v>394</v>
      </c>
      <c r="D776" s="74">
        <v>50.0</v>
      </c>
      <c r="E776" s="67">
        <v>1404.75</v>
      </c>
      <c r="F776" s="75">
        <v>0.38863425925925926</v>
      </c>
      <c r="G776" s="67" t="s">
        <v>453</v>
      </c>
      <c r="H776" s="68">
        <v>2.01</v>
      </c>
      <c r="I776" s="76"/>
      <c r="J776" s="67">
        <f t="shared" ref="J776:J783" si="54">IF(B776="SLD",D776*E776,-D776*E776)-H776</f>
        <v>-70239.51</v>
      </c>
      <c r="K776" s="7" t="s">
        <v>395</v>
      </c>
      <c r="L776" s="70"/>
      <c r="M776" s="79"/>
      <c r="N776" s="1"/>
      <c r="O776" s="1"/>
      <c r="P776" s="1"/>
      <c r="Q776" s="1"/>
      <c r="R776" s="1"/>
      <c r="S776" s="1"/>
      <c r="T776" s="1"/>
      <c r="U776" s="1"/>
      <c r="V776" s="1"/>
      <c r="W776" s="1"/>
      <c r="X776" s="1"/>
      <c r="Y776" s="1"/>
      <c r="Z776" s="1"/>
      <c r="AA776" s="1"/>
      <c r="AB776" s="1"/>
      <c r="AC776" s="1"/>
      <c r="AD776" s="1"/>
      <c r="AE776" s="1"/>
      <c r="AF776" s="1"/>
      <c r="AG776" s="1"/>
      <c r="AH776" s="1"/>
    </row>
    <row r="777" ht="12.75" hidden="1" customHeight="1" outlineLevel="1">
      <c r="A777" s="17">
        <v>41156.0</v>
      </c>
      <c r="B777" s="1" t="s">
        <v>343</v>
      </c>
      <c r="C777" s="1" t="s">
        <v>413</v>
      </c>
      <c r="D777" s="74">
        <v>40.0</v>
      </c>
      <c r="E777" s="67">
        <v>62.7</v>
      </c>
      <c r="F777" s="75">
        <v>0.3992708333333333</v>
      </c>
      <c r="G777" s="67" t="s">
        <v>453</v>
      </c>
      <c r="H777" s="68">
        <v>1.0</v>
      </c>
      <c r="I777" s="76"/>
      <c r="J777" s="67">
        <f t="shared" si="54"/>
        <v>-2509</v>
      </c>
      <c r="K777" s="7"/>
      <c r="L777" s="70"/>
      <c r="M777" s="79"/>
      <c r="N777" s="1"/>
      <c r="O777" s="1"/>
      <c r="P777" s="1"/>
      <c r="Q777" s="1"/>
      <c r="R777" s="1"/>
      <c r="S777" s="1"/>
      <c r="T777" s="1"/>
      <c r="U777" s="1"/>
      <c r="V777" s="1"/>
      <c r="W777" s="1"/>
      <c r="X777" s="1"/>
      <c r="Y777" s="1"/>
      <c r="Z777" s="1"/>
      <c r="AA777" s="1"/>
      <c r="AB777" s="1"/>
      <c r="AC777" s="1"/>
      <c r="AD777" s="1"/>
      <c r="AE777" s="1"/>
      <c r="AF777" s="1"/>
      <c r="AG777" s="1"/>
      <c r="AH777" s="1"/>
    </row>
    <row r="778" ht="12.75" hidden="1" customHeight="1" outlineLevel="1">
      <c r="A778" s="17">
        <v>41156.0</v>
      </c>
      <c r="B778" s="1" t="s">
        <v>343</v>
      </c>
      <c r="C778" s="1" t="s">
        <v>364</v>
      </c>
      <c r="D778" s="74">
        <v>50.0</v>
      </c>
      <c r="E778" s="67">
        <v>65.96</v>
      </c>
      <c r="F778" s="75">
        <v>0.4002777777777778</v>
      </c>
      <c r="G778" s="67" t="s">
        <v>453</v>
      </c>
      <c r="H778" s="68">
        <v>1.0</v>
      </c>
      <c r="I778" s="76"/>
      <c r="J778" s="67">
        <f t="shared" si="54"/>
        <v>-3299</v>
      </c>
      <c r="K778" s="7"/>
      <c r="L778" s="70"/>
      <c r="M778" s="79"/>
      <c r="N778" s="1"/>
      <c r="O778" s="1"/>
      <c r="P778" s="1"/>
      <c r="Q778" s="1"/>
      <c r="R778" s="1"/>
      <c r="S778" s="1"/>
      <c r="T778" s="1"/>
      <c r="U778" s="1"/>
      <c r="V778" s="1"/>
      <c r="W778" s="1"/>
      <c r="X778" s="1"/>
      <c r="Y778" s="1"/>
      <c r="Z778" s="1"/>
      <c r="AA778" s="1"/>
      <c r="AB778" s="1"/>
      <c r="AC778" s="1"/>
      <c r="AD778" s="1"/>
      <c r="AE778" s="1"/>
      <c r="AF778" s="1"/>
      <c r="AG778" s="1"/>
      <c r="AH778" s="1"/>
    </row>
    <row r="779" ht="12.75" hidden="1" customHeight="1" outlineLevel="1">
      <c r="A779" s="17">
        <v>41156.0</v>
      </c>
      <c r="B779" s="1" t="s">
        <v>343</v>
      </c>
      <c r="C779" s="1" t="s">
        <v>356</v>
      </c>
      <c r="D779" s="74">
        <v>15.0</v>
      </c>
      <c r="E779" s="67">
        <v>245.432</v>
      </c>
      <c r="F779" s="75">
        <v>0.4030324074074074</v>
      </c>
      <c r="G779" s="67" t="s">
        <v>453</v>
      </c>
      <c r="H779" s="68">
        <v>2.0</v>
      </c>
      <c r="I779" s="76"/>
      <c r="J779" s="67">
        <f t="shared" si="54"/>
        <v>-3683.48</v>
      </c>
      <c r="K779" s="7"/>
      <c r="L779" s="70"/>
      <c r="M779" s="79"/>
      <c r="N779" s="1"/>
      <c r="O779" s="1"/>
      <c r="P779" s="1"/>
      <c r="Q779" s="1"/>
      <c r="R779" s="1"/>
      <c r="S779" s="1"/>
      <c r="T779" s="1"/>
      <c r="U779" s="1"/>
      <c r="V779" s="1"/>
      <c r="W779" s="1"/>
      <c r="X779" s="1"/>
      <c r="Y779" s="1"/>
      <c r="Z779" s="1"/>
      <c r="AA779" s="1"/>
      <c r="AB779" s="1"/>
      <c r="AC779" s="1"/>
      <c r="AD779" s="1"/>
      <c r="AE779" s="1"/>
      <c r="AF779" s="1"/>
      <c r="AG779" s="1"/>
      <c r="AH779" s="1"/>
    </row>
    <row r="780" ht="12.75" hidden="1" customHeight="1" outlineLevel="1">
      <c r="A780" s="17">
        <v>41156.0</v>
      </c>
      <c r="B780" s="1" t="s">
        <v>343</v>
      </c>
      <c r="C780" s="1" t="s">
        <v>344</v>
      </c>
      <c r="D780" s="74">
        <v>1200.0</v>
      </c>
      <c r="E780" s="67">
        <v>35.04</v>
      </c>
      <c r="F780" s="75">
        <v>0.4177430555555555</v>
      </c>
      <c r="G780" s="67" t="s">
        <v>453</v>
      </c>
      <c r="H780" s="68">
        <v>5.8</v>
      </c>
      <c r="I780" s="76"/>
      <c r="J780" s="67">
        <f t="shared" si="54"/>
        <v>-42053.8</v>
      </c>
      <c r="K780" s="7" t="s">
        <v>395</v>
      </c>
      <c r="L780" s="70"/>
      <c r="M780" s="79"/>
      <c r="N780" s="1"/>
      <c r="O780" s="1"/>
      <c r="P780" s="1"/>
      <c r="Q780" s="1"/>
      <c r="R780" s="1"/>
      <c r="S780" s="1"/>
      <c r="T780" s="1"/>
      <c r="U780" s="1"/>
      <c r="V780" s="1"/>
      <c r="W780" s="1"/>
      <c r="X780" s="1"/>
      <c r="Y780" s="1"/>
      <c r="Z780" s="1"/>
      <c r="AA780" s="1"/>
      <c r="AB780" s="1"/>
      <c r="AC780" s="1"/>
      <c r="AD780" s="1"/>
      <c r="AE780" s="1"/>
      <c r="AF780" s="1"/>
      <c r="AG780" s="1"/>
      <c r="AH780" s="1"/>
    </row>
    <row r="781" ht="12.75" hidden="1" customHeight="1" outlineLevel="1">
      <c r="A781" s="17">
        <v>41156.0</v>
      </c>
      <c r="B781" s="1" t="s">
        <v>347</v>
      </c>
      <c r="C781" s="1" t="s">
        <v>399</v>
      </c>
      <c r="D781" s="74">
        <v>500.0</v>
      </c>
      <c r="E781" s="67">
        <v>4.05</v>
      </c>
      <c r="F781" s="75">
        <v>0.5102083333333333</v>
      </c>
      <c r="G781" s="67" t="s">
        <v>453</v>
      </c>
      <c r="H781" s="68">
        <v>2.5</v>
      </c>
      <c r="I781" s="76"/>
      <c r="J781" s="67">
        <f t="shared" si="54"/>
        <v>2022.5</v>
      </c>
      <c r="K781" s="7"/>
      <c r="L781" s="70"/>
      <c r="M781" s="79"/>
      <c r="N781" s="1"/>
      <c r="O781" s="1"/>
      <c r="P781" s="1"/>
      <c r="Q781" s="1"/>
      <c r="R781" s="1"/>
      <c r="S781" s="1"/>
      <c r="T781" s="1"/>
      <c r="U781" s="1"/>
      <c r="V781" s="1"/>
      <c r="W781" s="1"/>
      <c r="X781" s="1"/>
      <c r="Y781" s="1"/>
      <c r="Z781" s="1"/>
      <c r="AA781" s="1"/>
      <c r="AB781" s="1"/>
      <c r="AC781" s="1"/>
      <c r="AD781" s="1"/>
      <c r="AE781" s="1"/>
      <c r="AF781" s="1"/>
      <c r="AG781" s="1"/>
      <c r="AH781" s="1"/>
    </row>
    <row r="782" ht="12.75" hidden="1" customHeight="1" outlineLevel="1">
      <c r="A782" s="17">
        <v>41156.0</v>
      </c>
      <c r="B782" s="1" t="s">
        <v>347</v>
      </c>
      <c r="C782" s="1" t="s">
        <v>381</v>
      </c>
      <c r="D782" s="74">
        <v>300.0</v>
      </c>
      <c r="E782" s="67">
        <v>17.743</v>
      </c>
      <c r="F782" s="75">
        <v>0.5175462962962963</v>
      </c>
      <c r="G782" s="67" t="s">
        <v>453</v>
      </c>
      <c r="H782" s="68">
        <v>1.5</v>
      </c>
      <c r="I782" s="76"/>
      <c r="J782" s="67">
        <f t="shared" si="54"/>
        <v>5321.4</v>
      </c>
      <c r="K782" s="7"/>
      <c r="L782" s="70"/>
      <c r="M782" s="79"/>
      <c r="N782" s="1"/>
      <c r="O782" s="1"/>
      <c r="P782" s="1"/>
      <c r="Q782" s="1"/>
      <c r="R782" s="1"/>
      <c r="S782" s="1"/>
      <c r="T782" s="1"/>
      <c r="U782" s="1"/>
      <c r="V782" s="1"/>
      <c r="W782" s="1"/>
      <c r="X782" s="1"/>
      <c r="Y782" s="1"/>
      <c r="Z782" s="1"/>
      <c r="AA782" s="1"/>
      <c r="AB782" s="1"/>
      <c r="AC782" s="1"/>
      <c r="AD782" s="1"/>
      <c r="AE782" s="1"/>
      <c r="AF782" s="1"/>
      <c r="AG782" s="1"/>
      <c r="AH782" s="1"/>
    </row>
    <row r="783" ht="12.75" hidden="1" customHeight="1" outlineLevel="1">
      <c r="A783" s="17">
        <v>41156.0</v>
      </c>
      <c r="B783" s="1" t="s">
        <v>343</v>
      </c>
      <c r="C783" s="1" t="s">
        <v>614</v>
      </c>
      <c r="D783" s="74">
        <v>500.0</v>
      </c>
      <c r="E783" s="67">
        <v>7.13</v>
      </c>
      <c r="F783" s="75">
        <v>0.6439351851851852</v>
      </c>
      <c r="G783" s="67" t="s">
        <v>453</v>
      </c>
      <c r="H783" s="68">
        <v>2.5</v>
      </c>
      <c r="I783" s="76"/>
      <c r="J783" s="67">
        <f t="shared" si="54"/>
        <v>-3567.5</v>
      </c>
      <c r="K783" s="7"/>
      <c r="L783" s="70"/>
      <c r="M783" s="79"/>
      <c r="N783" s="1"/>
      <c r="O783" s="1"/>
      <c r="P783" s="1"/>
      <c r="Q783" s="1"/>
      <c r="R783" s="1"/>
      <c r="S783" s="1"/>
      <c r="T783" s="1"/>
      <c r="U783" s="1"/>
      <c r="V783" s="1"/>
      <c r="W783" s="1"/>
      <c r="X783" s="1"/>
      <c r="Y783" s="1"/>
      <c r="Z783" s="1"/>
      <c r="AA783" s="1"/>
      <c r="AB783" s="1"/>
      <c r="AC783" s="1"/>
      <c r="AD783" s="1"/>
      <c r="AE783" s="1"/>
      <c r="AF783" s="1"/>
      <c r="AG783" s="1"/>
      <c r="AH783" s="1"/>
    </row>
    <row r="784" ht="12.75" hidden="1" customHeight="1" outlineLevel="1">
      <c r="A784" s="17">
        <v>41156.0</v>
      </c>
      <c r="B784" s="1"/>
      <c r="C784" s="1" t="s">
        <v>339</v>
      </c>
      <c r="D784" s="74"/>
      <c r="E784" s="67"/>
      <c r="F784" s="75"/>
      <c r="G784" s="67"/>
      <c r="H784" s="68"/>
      <c r="I784" s="76"/>
      <c r="J784" s="67"/>
      <c r="K784" s="7" t="s">
        <v>653</v>
      </c>
      <c r="L784" s="77"/>
      <c r="M784" s="79"/>
      <c r="N784" s="1"/>
      <c r="O784" s="1"/>
      <c r="P784" s="1"/>
      <c r="Q784" s="1"/>
      <c r="R784" s="1"/>
      <c r="S784" s="1"/>
      <c r="T784" s="1"/>
      <c r="U784" s="1"/>
      <c r="V784" s="1"/>
      <c r="W784" s="1"/>
      <c r="X784" s="1"/>
      <c r="Y784" s="1"/>
      <c r="Z784" s="1"/>
      <c r="AA784" s="1"/>
      <c r="AB784" s="1"/>
      <c r="AC784" s="1"/>
      <c r="AD784" s="1"/>
      <c r="AE784" s="1"/>
      <c r="AF784" s="1"/>
      <c r="AG784" s="1"/>
      <c r="AH784" s="1"/>
    </row>
    <row r="785" ht="12.75" hidden="1" customHeight="1" outlineLevel="1">
      <c r="A785" s="17">
        <v>41156.0</v>
      </c>
      <c r="B785" s="1"/>
      <c r="C785" s="1" t="s">
        <v>429</v>
      </c>
      <c r="D785" s="74"/>
      <c r="E785" s="67"/>
      <c r="F785" s="75"/>
      <c r="G785" s="67"/>
      <c r="H785" s="68"/>
      <c r="I785" s="76"/>
      <c r="J785" s="67"/>
      <c r="K785" s="7" t="s">
        <v>636</v>
      </c>
      <c r="L785" s="77"/>
      <c r="M785" s="79"/>
      <c r="N785" s="1"/>
      <c r="O785" s="1"/>
      <c r="P785" s="1"/>
      <c r="Q785" s="1"/>
      <c r="R785" s="1"/>
      <c r="S785" s="1"/>
      <c r="T785" s="1"/>
      <c r="U785" s="1"/>
      <c r="V785" s="1"/>
      <c r="W785" s="1"/>
      <c r="X785" s="1"/>
      <c r="Y785" s="1"/>
      <c r="Z785" s="1"/>
      <c r="AA785" s="1"/>
      <c r="AB785" s="1"/>
      <c r="AC785" s="1"/>
      <c r="AD785" s="1"/>
      <c r="AE785" s="1"/>
      <c r="AF785" s="1"/>
      <c r="AG785" s="1"/>
      <c r="AH785" s="1"/>
    </row>
    <row r="786" ht="12.75" hidden="1" customHeight="1" outlineLevel="1">
      <c r="A786" s="17">
        <v>41156.0</v>
      </c>
      <c r="B786" s="1"/>
      <c r="C786" s="1" t="s">
        <v>431</v>
      </c>
      <c r="D786" s="74"/>
      <c r="E786" s="67"/>
      <c r="F786" s="75"/>
      <c r="G786" s="67"/>
      <c r="H786" s="68"/>
      <c r="I786" s="76"/>
      <c r="J786" s="67"/>
      <c r="K786" s="7" t="s">
        <v>502</v>
      </c>
      <c r="L786" s="77"/>
      <c r="M786" s="79"/>
      <c r="N786" s="1"/>
      <c r="O786" s="1"/>
      <c r="P786" s="1"/>
      <c r="Q786" s="1"/>
      <c r="R786" s="1"/>
      <c r="S786" s="1"/>
      <c r="T786" s="1"/>
      <c r="U786" s="1"/>
      <c r="V786" s="1"/>
      <c r="W786" s="1"/>
      <c r="X786" s="1"/>
      <c r="Y786" s="1"/>
      <c r="Z786" s="1"/>
      <c r="AA786" s="1"/>
      <c r="AB786" s="1"/>
      <c r="AC786" s="1"/>
      <c r="AD786" s="1"/>
      <c r="AE786" s="1"/>
      <c r="AF786" s="1"/>
      <c r="AG786" s="1"/>
      <c r="AH786" s="1"/>
    </row>
    <row r="787" ht="12.75" hidden="1" customHeight="1" outlineLevel="1">
      <c r="A787" s="17">
        <v>41156.0</v>
      </c>
      <c r="B787" s="1"/>
      <c r="C787" s="1" t="s">
        <v>433</v>
      </c>
      <c r="D787" s="74"/>
      <c r="E787" s="67"/>
      <c r="F787" s="75"/>
      <c r="G787" s="67"/>
      <c r="H787" s="68"/>
      <c r="I787" s="76"/>
      <c r="J787" s="67"/>
      <c r="K787" s="1" t="s">
        <v>434</v>
      </c>
      <c r="L787" s="77"/>
      <c r="M787" s="79"/>
      <c r="N787" s="1"/>
      <c r="O787" s="1"/>
      <c r="P787" s="1"/>
      <c r="Q787" s="1"/>
      <c r="R787" s="1"/>
      <c r="S787" s="1"/>
      <c r="T787" s="1"/>
      <c r="U787" s="1"/>
      <c r="V787" s="1"/>
      <c r="W787" s="1"/>
      <c r="X787" s="1"/>
      <c r="Y787" s="1"/>
      <c r="Z787" s="1"/>
      <c r="AA787" s="1"/>
      <c r="AB787" s="1"/>
      <c r="AC787" s="1"/>
      <c r="AD787" s="1"/>
      <c r="AE787" s="1"/>
      <c r="AF787" s="1"/>
      <c r="AG787" s="1"/>
      <c r="AH787" s="1"/>
    </row>
    <row r="788" ht="12.75" hidden="1" customHeight="1" outlineLevel="1">
      <c r="A788" s="17">
        <v>41156.0</v>
      </c>
      <c r="B788" s="1"/>
      <c r="C788" s="1" t="s">
        <v>435</v>
      </c>
      <c r="D788" s="74"/>
      <c r="E788" s="67"/>
      <c r="F788" s="75"/>
      <c r="G788" s="67"/>
      <c r="H788" s="68"/>
      <c r="I788" s="76"/>
      <c r="J788" s="67"/>
      <c r="K788" s="7" t="s">
        <v>629</v>
      </c>
      <c r="L788" s="77"/>
      <c r="M788" s="79"/>
      <c r="N788" s="1"/>
      <c r="O788" s="1"/>
      <c r="P788" s="1"/>
      <c r="Q788" s="1"/>
      <c r="R788" s="1"/>
      <c r="S788" s="1"/>
      <c r="T788" s="1"/>
      <c r="U788" s="1"/>
      <c r="V788" s="1"/>
      <c r="W788" s="1"/>
      <c r="X788" s="1"/>
      <c r="Y788" s="1"/>
      <c r="Z788" s="1"/>
      <c r="AA788" s="1"/>
      <c r="AB788" s="1"/>
      <c r="AC788" s="1"/>
      <c r="AD788" s="1"/>
      <c r="AE788" s="1"/>
      <c r="AF788" s="1"/>
      <c r="AG788" s="1"/>
      <c r="AH788" s="1"/>
    </row>
    <row r="789" ht="12.75" hidden="1" customHeight="1" outlineLevel="1">
      <c r="A789" s="17">
        <v>41157.0</v>
      </c>
      <c r="B789" s="1" t="s">
        <v>347</v>
      </c>
      <c r="C789" s="1" t="s">
        <v>441</v>
      </c>
      <c r="D789" s="74">
        <v>200.0</v>
      </c>
      <c r="E789" s="67">
        <v>5.52</v>
      </c>
      <c r="F789" s="75">
        <v>0.43123842592592593</v>
      </c>
      <c r="G789" s="67" t="s">
        <v>453</v>
      </c>
      <c r="H789" s="68">
        <v>1.0</v>
      </c>
      <c r="I789" s="76"/>
      <c r="J789" s="67">
        <f t="shared" ref="J789:J790" si="55">IF(B789="SLD",D789*E789,-D789*E789)-H789</f>
        <v>1103</v>
      </c>
      <c r="K789" s="7"/>
      <c r="L789" s="70"/>
      <c r="M789" s="79"/>
      <c r="N789" s="1"/>
      <c r="O789" s="1"/>
      <c r="P789" s="1"/>
      <c r="Q789" s="1"/>
      <c r="R789" s="1"/>
      <c r="S789" s="1"/>
      <c r="T789" s="1"/>
      <c r="U789" s="1"/>
      <c r="V789" s="1"/>
      <c r="W789" s="1"/>
      <c r="X789" s="1"/>
      <c r="Y789" s="1"/>
      <c r="Z789" s="1"/>
      <c r="AA789" s="1"/>
      <c r="AB789" s="1"/>
      <c r="AC789" s="1"/>
      <c r="AD789" s="1"/>
      <c r="AE789" s="1"/>
      <c r="AF789" s="1"/>
      <c r="AG789" s="1"/>
      <c r="AH789" s="1"/>
    </row>
    <row r="790" ht="12.75" hidden="1" customHeight="1" outlineLevel="1">
      <c r="A790" s="17">
        <v>41157.0</v>
      </c>
      <c r="B790" s="1" t="s">
        <v>347</v>
      </c>
      <c r="C790" s="1" t="s">
        <v>385</v>
      </c>
      <c r="D790" s="74">
        <v>600.0</v>
      </c>
      <c r="E790" s="67">
        <v>2.87</v>
      </c>
      <c r="F790" s="75">
        <v>0.4419560185185185</v>
      </c>
      <c r="G790" s="67" t="s">
        <v>453</v>
      </c>
      <c r="H790" s="68">
        <v>3.0</v>
      </c>
      <c r="I790" s="76"/>
      <c r="J790" s="67">
        <f t="shared" si="55"/>
        <v>1719</v>
      </c>
      <c r="K790" s="7"/>
      <c r="L790" s="70"/>
      <c r="M790" s="79"/>
      <c r="N790" s="1"/>
      <c r="O790" s="1"/>
      <c r="P790" s="1"/>
      <c r="Q790" s="1"/>
      <c r="R790" s="1"/>
      <c r="S790" s="1"/>
      <c r="T790" s="1"/>
      <c r="U790" s="1"/>
      <c r="V790" s="1"/>
      <c r="W790" s="1"/>
      <c r="X790" s="1"/>
      <c r="Y790" s="1"/>
      <c r="Z790" s="1"/>
      <c r="AA790" s="1"/>
      <c r="AB790" s="1"/>
      <c r="AC790" s="1"/>
      <c r="AD790" s="1"/>
      <c r="AE790" s="1"/>
      <c r="AF790" s="1"/>
      <c r="AG790" s="1"/>
      <c r="AH790" s="1"/>
    </row>
    <row r="791" ht="12.75" hidden="1" customHeight="1" outlineLevel="1">
      <c r="A791" s="17">
        <v>41157.0</v>
      </c>
      <c r="B791" s="1"/>
      <c r="C791" s="1" t="s">
        <v>339</v>
      </c>
      <c r="D791" s="74"/>
      <c r="E791" s="67"/>
      <c r="F791" s="75"/>
      <c r="G791" s="67"/>
      <c r="H791" s="68"/>
      <c r="I791" s="76"/>
      <c r="J791" s="67"/>
      <c r="K791" s="7" t="s">
        <v>654</v>
      </c>
      <c r="L791" s="77"/>
      <c r="M791" s="79"/>
      <c r="N791" s="1"/>
      <c r="O791" s="1"/>
      <c r="P791" s="1"/>
      <c r="Q791" s="1"/>
      <c r="R791" s="1"/>
      <c r="S791" s="1"/>
      <c r="T791" s="1"/>
      <c r="U791" s="1"/>
      <c r="V791" s="1"/>
      <c r="W791" s="1"/>
      <c r="X791" s="1"/>
      <c r="Y791" s="1"/>
      <c r="Z791" s="1"/>
      <c r="AA791" s="1"/>
      <c r="AB791" s="1"/>
      <c r="AC791" s="1"/>
      <c r="AD791" s="1"/>
      <c r="AE791" s="1"/>
      <c r="AF791" s="1"/>
      <c r="AG791" s="1"/>
      <c r="AH791" s="1"/>
    </row>
    <row r="792" ht="12.75" hidden="1" customHeight="1" outlineLevel="1">
      <c r="A792" s="17">
        <v>41157.0</v>
      </c>
      <c r="B792" s="1"/>
      <c r="C792" s="1" t="s">
        <v>429</v>
      </c>
      <c r="D792" s="74"/>
      <c r="E792" s="67"/>
      <c r="F792" s="75"/>
      <c r="G792" s="67"/>
      <c r="H792" s="68"/>
      <c r="I792" s="76"/>
      <c r="J792" s="67"/>
      <c r="K792" s="7" t="s">
        <v>636</v>
      </c>
      <c r="L792" s="77"/>
      <c r="M792" s="79"/>
      <c r="N792" s="1"/>
      <c r="O792" s="1"/>
      <c r="P792" s="1"/>
      <c r="Q792" s="1"/>
      <c r="R792" s="1"/>
      <c r="S792" s="1"/>
      <c r="T792" s="1"/>
      <c r="U792" s="1"/>
      <c r="V792" s="1"/>
      <c r="W792" s="1"/>
      <c r="X792" s="1"/>
      <c r="Y792" s="1"/>
      <c r="Z792" s="1"/>
      <c r="AA792" s="1"/>
      <c r="AB792" s="1"/>
      <c r="AC792" s="1"/>
      <c r="AD792" s="1"/>
      <c r="AE792" s="1"/>
      <c r="AF792" s="1"/>
      <c r="AG792" s="1"/>
      <c r="AH792" s="1"/>
    </row>
    <row r="793" ht="12.75" hidden="1" customHeight="1" outlineLevel="1">
      <c r="A793" s="17">
        <v>41157.0</v>
      </c>
      <c r="B793" s="1"/>
      <c r="C793" s="1" t="s">
        <v>431</v>
      </c>
      <c r="D793" s="74"/>
      <c r="E793" s="67"/>
      <c r="F793" s="75"/>
      <c r="G793" s="67"/>
      <c r="H793" s="68"/>
      <c r="I793" s="76"/>
      <c r="J793" s="67"/>
      <c r="K793" s="7" t="s">
        <v>502</v>
      </c>
      <c r="L793" s="77"/>
      <c r="M793" s="79"/>
      <c r="N793" s="1"/>
      <c r="O793" s="1"/>
      <c r="P793" s="1"/>
      <c r="Q793" s="1"/>
      <c r="R793" s="1"/>
      <c r="S793" s="1"/>
      <c r="T793" s="1"/>
      <c r="U793" s="1"/>
      <c r="V793" s="1"/>
      <c r="W793" s="1"/>
      <c r="X793" s="1"/>
      <c r="Y793" s="1"/>
      <c r="Z793" s="1"/>
      <c r="AA793" s="1"/>
      <c r="AB793" s="1"/>
      <c r="AC793" s="1"/>
      <c r="AD793" s="1"/>
      <c r="AE793" s="1"/>
      <c r="AF793" s="1"/>
      <c r="AG793" s="1"/>
      <c r="AH793" s="1"/>
    </row>
    <row r="794" ht="12.75" hidden="1" customHeight="1" outlineLevel="1">
      <c r="A794" s="17">
        <v>41157.0</v>
      </c>
      <c r="B794" s="1"/>
      <c r="C794" s="1" t="s">
        <v>433</v>
      </c>
      <c r="D794" s="74"/>
      <c r="E794" s="67"/>
      <c r="F794" s="75"/>
      <c r="G794" s="67"/>
      <c r="H794" s="68"/>
      <c r="I794" s="76"/>
      <c r="J794" s="67"/>
      <c r="K794" s="1" t="s">
        <v>434</v>
      </c>
      <c r="L794" s="77"/>
      <c r="M794" s="79"/>
      <c r="N794" s="1"/>
      <c r="O794" s="1"/>
      <c r="P794" s="1"/>
      <c r="Q794" s="1"/>
      <c r="R794" s="1"/>
      <c r="S794" s="1"/>
      <c r="T794" s="1"/>
      <c r="U794" s="1"/>
      <c r="V794" s="1"/>
      <c r="W794" s="1"/>
      <c r="X794" s="1"/>
      <c r="Y794" s="1"/>
      <c r="Z794" s="1"/>
      <c r="AA794" s="1"/>
      <c r="AB794" s="1"/>
      <c r="AC794" s="1"/>
      <c r="AD794" s="1"/>
      <c r="AE794" s="1"/>
      <c r="AF794" s="1"/>
      <c r="AG794" s="1"/>
      <c r="AH794" s="1"/>
    </row>
    <row r="795" ht="12.75" hidden="1" customHeight="1" outlineLevel="1">
      <c r="A795" s="17">
        <v>41157.0</v>
      </c>
      <c r="B795" s="1"/>
      <c r="C795" s="1" t="s">
        <v>435</v>
      </c>
      <c r="D795" s="74"/>
      <c r="E795" s="67"/>
      <c r="F795" s="75"/>
      <c r="G795" s="67"/>
      <c r="H795" s="68"/>
      <c r="I795" s="76"/>
      <c r="J795" s="67"/>
      <c r="K795" s="7" t="s">
        <v>629</v>
      </c>
      <c r="L795" s="77"/>
      <c r="M795" s="79"/>
      <c r="N795" s="1"/>
      <c r="O795" s="1"/>
      <c r="P795" s="1"/>
      <c r="Q795" s="1"/>
      <c r="R795" s="1"/>
      <c r="S795" s="1"/>
      <c r="T795" s="1"/>
      <c r="U795" s="1"/>
      <c r="V795" s="1"/>
      <c r="W795" s="1"/>
      <c r="X795" s="1"/>
      <c r="Y795" s="1"/>
      <c r="Z795" s="1"/>
      <c r="AA795" s="1"/>
      <c r="AB795" s="1"/>
      <c r="AC795" s="1"/>
      <c r="AD795" s="1"/>
      <c r="AE795" s="1"/>
      <c r="AF795" s="1"/>
      <c r="AG795" s="1"/>
      <c r="AH795" s="1"/>
    </row>
    <row r="796" ht="12.75" hidden="1" customHeight="1" outlineLevel="1">
      <c r="A796" s="17">
        <v>41158.0</v>
      </c>
      <c r="B796" s="1" t="s">
        <v>347</v>
      </c>
      <c r="C796" s="1" t="s">
        <v>344</v>
      </c>
      <c r="D796" s="74">
        <v>1700.0</v>
      </c>
      <c r="E796" s="67">
        <v>34.35</v>
      </c>
      <c r="F796" s="75">
        <v>0.650775462962963</v>
      </c>
      <c r="G796" s="67" t="s">
        <v>453</v>
      </c>
      <c r="H796" s="68">
        <v>8.5</v>
      </c>
      <c r="I796" s="76"/>
      <c r="J796" s="67">
        <f t="shared" ref="J796:J797" si="56">IF(B796="SLD",D796*E796,-D796*E796)-H796</f>
        <v>58386.5</v>
      </c>
      <c r="K796" s="7" t="s">
        <v>395</v>
      </c>
      <c r="L796" s="70"/>
      <c r="M796" s="79"/>
      <c r="N796" s="1"/>
      <c r="O796" s="1"/>
      <c r="P796" s="1"/>
      <c r="Q796" s="1"/>
      <c r="R796" s="1"/>
      <c r="S796" s="1"/>
      <c r="T796" s="1"/>
      <c r="U796" s="1"/>
      <c r="V796" s="1"/>
      <c r="W796" s="1"/>
      <c r="X796" s="1"/>
      <c r="Y796" s="1"/>
      <c r="Z796" s="1"/>
      <c r="AA796" s="1"/>
      <c r="AB796" s="1"/>
      <c r="AC796" s="1"/>
      <c r="AD796" s="1"/>
      <c r="AE796" s="1"/>
      <c r="AF796" s="1"/>
      <c r="AG796" s="1"/>
      <c r="AH796" s="1"/>
    </row>
    <row r="797" ht="12.75" hidden="1" customHeight="1" outlineLevel="1">
      <c r="A797" s="17">
        <v>41158.0</v>
      </c>
      <c r="B797" s="1" t="s">
        <v>343</v>
      </c>
      <c r="C797" s="1" t="s">
        <v>344</v>
      </c>
      <c r="D797" s="74">
        <v>1700.0</v>
      </c>
      <c r="E797" s="67">
        <v>34.22</v>
      </c>
      <c r="F797" s="75">
        <v>0.6614467592592593</v>
      </c>
      <c r="G797" s="67" t="s">
        <v>453</v>
      </c>
      <c r="H797" s="68">
        <v>8.5</v>
      </c>
      <c r="I797" s="76"/>
      <c r="J797" s="67">
        <f t="shared" si="56"/>
        <v>-58182.5</v>
      </c>
      <c r="K797" s="7" t="s">
        <v>395</v>
      </c>
      <c r="L797" s="70"/>
      <c r="M797" s="79"/>
      <c r="N797" s="1"/>
      <c r="O797" s="1"/>
      <c r="P797" s="1"/>
      <c r="Q797" s="1"/>
      <c r="R797" s="1"/>
      <c r="S797" s="1"/>
      <c r="T797" s="1"/>
      <c r="U797" s="1"/>
      <c r="V797" s="1"/>
      <c r="W797" s="1"/>
      <c r="X797" s="1"/>
      <c r="Y797" s="1"/>
      <c r="Z797" s="1"/>
      <c r="AA797" s="1"/>
      <c r="AB797" s="1"/>
      <c r="AC797" s="1"/>
      <c r="AD797" s="1"/>
      <c r="AE797" s="1"/>
      <c r="AF797" s="1"/>
      <c r="AG797" s="1"/>
      <c r="AH797" s="1"/>
    </row>
    <row r="798" ht="12.75" hidden="1" customHeight="1" outlineLevel="1">
      <c r="A798" s="17">
        <v>41158.0</v>
      </c>
      <c r="B798" s="1"/>
      <c r="C798" s="1" t="s">
        <v>339</v>
      </c>
      <c r="D798" s="74"/>
      <c r="E798" s="67"/>
      <c r="F798" s="75"/>
      <c r="G798" s="67"/>
      <c r="H798" s="68"/>
      <c r="I798" s="76"/>
      <c r="J798" s="67"/>
      <c r="K798" s="7" t="s">
        <v>655</v>
      </c>
      <c r="L798" s="77"/>
      <c r="M798" s="79"/>
      <c r="N798" s="1"/>
      <c r="O798" s="1"/>
      <c r="P798" s="1"/>
      <c r="Q798" s="1"/>
      <c r="R798" s="1"/>
      <c r="S798" s="1"/>
      <c r="T798" s="1"/>
      <c r="U798" s="1"/>
      <c r="V798" s="1"/>
      <c r="W798" s="1"/>
      <c r="X798" s="1"/>
      <c r="Y798" s="1"/>
      <c r="Z798" s="1"/>
      <c r="AA798" s="1"/>
      <c r="AB798" s="1"/>
      <c r="AC798" s="1"/>
      <c r="AD798" s="1"/>
      <c r="AE798" s="1"/>
      <c r="AF798" s="1"/>
      <c r="AG798" s="1"/>
      <c r="AH798" s="1"/>
    </row>
    <row r="799" ht="12.75" hidden="1" customHeight="1" outlineLevel="1">
      <c r="A799" s="17">
        <v>41158.0</v>
      </c>
      <c r="B799" s="1"/>
      <c r="C799" s="1" t="s">
        <v>429</v>
      </c>
      <c r="D799" s="74"/>
      <c r="E799" s="67"/>
      <c r="F799" s="75"/>
      <c r="G799" s="67"/>
      <c r="H799" s="68"/>
      <c r="I799" s="76"/>
      <c r="J799" s="67"/>
      <c r="K799" s="7" t="s">
        <v>636</v>
      </c>
      <c r="L799" s="77"/>
      <c r="M799" s="79"/>
      <c r="N799" s="1"/>
      <c r="O799" s="1"/>
      <c r="P799" s="1"/>
      <c r="Q799" s="1"/>
      <c r="R799" s="1"/>
      <c r="S799" s="1"/>
      <c r="T799" s="1"/>
      <c r="U799" s="1"/>
      <c r="V799" s="1"/>
      <c r="W799" s="1"/>
      <c r="X799" s="1"/>
      <c r="Y799" s="1"/>
      <c r="Z799" s="1"/>
      <c r="AA799" s="1"/>
      <c r="AB799" s="1"/>
      <c r="AC799" s="1"/>
      <c r="AD799" s="1"/>
      <c r="AE799" s="1"/>
      <c r="AF799" s="1"/>
      <c r="AG799" s="1"/>
      <c r="AH799" s="1"/>
    </row>
    <row r="800" ht="12.75" hidden="1" customHeight="1" outlineLevel="1">
      <c r="A800" s="17">
        <v>41158.0</v>
      </c>
      <c r="B800" s="1"/>
      <c r="C800" s="1" t="s">
        <v>431</v>
      </c>
      <c r="D800" s="74"/>
      <c r="E800" s="67"/>
      <c r="F800" s="75"/>
      <c r="G800" s="67"/>
      <c r="H800" s="68"/>
      <c r="I800" s="76"/>
      <c r="J800" s="67"/>
      <c r="K800" s="7" t="s">
        <v>502</v>
      </c>
      <c r="L800" s="77"/>
      <c r="M800" s="79"/>
      <c r="N800" s="1"/>
      <c r="O800" s="1"/>
      <c r="P800" s="1"/>
      <c r="Q800" s="1"/>
      <c r="R800" s="1"/>
      <c r="S800" s="1"/>
      <c r="T800" s="1"/>
      <c r="U800" s="1"/>
      <c r="V800" s="1"/>
      <c r="W800" s="1"/>
      <c r="X800" s="1"/>
      <c r="Y800" s="1"/>
      <c r="Z800" s="1"/>
      <c r="AA800" s="1"/>
      <c r="AB800" s="1"/>
      <c r="AC800" s="1"/>
      <c r="AD800" s="1"/>
      <c r="AE800" s="1"/>
      <c r="AF800" s="1"/>
      <c r="AG800" s="1"/>
      <c r="AH800" s="1"/>
    </row>
    <row r="801" ht="12.75" hidden="1" customHeight="1" outlineLevel="1">
      <c r="A801" s="17">
        <v>41158.0</v>
      </c>
      <c r="B801" s="1"/>
      <c r="C801" s="1" t="s">
        <v>433</v>
      </c>
      <c r="D801" s="74"/>
      <c r="E801" s="67"/>
      <c r="F801" s="75"/>
      <c r="G801" s="67"/>
      <c r="H801" s="68"/>
      <c r="I801" s="76"/>
      <c r="J801" s="67"/>
      <c r="K801" s="1" t="s">
        <v>434</v>
      </c>
      <c r="L801" s="77"/>
      <c r="M801" s="79"/>
      <c r="N801" s="1"/>
      <c r="O801" s="1"/>
      <c r="P801" s="1"/>
      <c r="Q801" s="1"/>
      <c r="R801" s="1"/>
      <c r="S801" s="1"/>
      <c r="T801" s="1"/>
      <c r="U801" s="1"/>
      <c r="V801" s="1"/>
      <c r="W801" s="1"/>
      <c r="X801" s="1"/>
      <c r="Y801" s="1"/>
      <c r="Z801" s="1"/>
      <c r="AA801" s="1"/>
      <c r="AB801" s="1"/>
      <c r="AC801" s="1"/>
      <c r="AD801" s="1"/>
      <c r="AE801" s="1"/>
      <c r="AF801" s="1"/>
      <c r="AG801" s="1"/>
      <c r="AH801" s="1"/>
    </row>
    <row r="802" ht="12.75" hidden="1" customHeight="1" outlineLevel="1">
      <c r="A802" s="17">
        <v>41158.0</v>
      </c>
      <c r="B802" s="1"/>
      <c r="C802" s="1" t="s">
        <v>435</v>
      </c>
      <c r="D802" s="74"/>
      <c r="E802" s="67"/>
      <c r="F802" s="75"/>
      <c r="G802" s="67"/>
      <c r="H802" s="68"/>
      <c r="I802" s="76"/>
      <c r="J802" s="67"/>
      <c r="K802" s="7" t="s">
        <v>629</v>
      </c>
      <c r="L802" s="77"/>
      <c r="M802" s="79"/>
      <c r="N802" s="1"/>
      <c r="O802" s="1"/>
      <c r="P802" s="1"/>
      <c r="Q802" s="1"/>
      <c r="R802" s="1"/>
      <c r="S802" s="1"/>
      <c r="T802" s="1"/>
      <c r="U802" s="1"/>
      <c r="V802" s="1"/>
      <c r="W802" s="1"/>
      <c r="X802" s="1"/>
      <c r="Y802" s="1"/>
      <c r="Z802" s="1"/>
      <c r="AA802" s="1"/>
      <c r="AB802" s="1"/>
      <c r="AC802" s="1"/>
      <c r="AD802" s="1"/>
      <c r="AE802" s="1"/>
      <c r="AF802" s="1"/>
      <c r="AG802" s="1"/>
      <c r="AH802" s="1"/>
    </row>
    <row r="803" ht="12.75" hidden="1" customHeight="1" outlineLevel="1">
      <c r="A803" s="17">
        <v>41159.0</v>
      </c>
      <c r="B803" s="1" t="s">
        <v>343</v>
      </c>
      <c r="C803" s="1" t="s">
        <v>441</v>
      </c>
      <c r="D803" s="74">
        <v>1600.0</v>
      </c>
      <c r="E803" s="67">
        <v>6.3</v>
      </c>
      <c r="F803" s="75">
        <v>0.4011226851851852</v>
      </c>
      <c r="G803" s="67" t="s">
        <v>453</v>
      </c>
      <c r="H803" s="68">
        <v>8.0</v>
      </c>
      <c r="I803" s="76"/>
      <c r="J803" s="67">
        <f t="shared" ref="J803:J814" si="57">IF(B803="SLD",D803*E803,-D803*E803)-H803</f>
        <v>-10088</v>
      </c>
      <c r="K803" s="7"/>
      <c r="L803" s="70"/>
      <c r="M803" s="79"/>
      <c r="N803" s="1"/>
      <c r="O803" s="1"/>
      <c r="P803" s="1"/>
      <c r="Q803" s="1"/>
      <c r="R803" s="1"/>
      <c r="S803" s="1"/>
      <c r="T803" s="1"/>
      <c r="U803" s="1"/>
      <c r="V803" s="1"/>
      <c r="W803" s="1"/>
      <c r="X803" s="1"/>
      <c r="Y803" s="1"/>
      <c r="Z803" s="1"/>
      <c r="AA803" s="1"/>
      <c r="AB803" s="1"/>
      <c r="AC803" s="1"/>
      <c r="AD803" s="1"/>
      <c r="AE803" s="1"/>
      <c r="AF803" s="1"/>
      <c r="AG803" s="1"/>
      <c r="AH803" s="1"/>
    </row>
    <row r="804" ht="12.75" hidden="1" customHeight="1" outlineLevel="1">
      <c r="A804" s="17">
        <v>41159.0</v>
      </c>
      <c r="B804" s="1" t="s">
        <v>343</v>
      </c>
      <c r="C804" s="1" t="s">
        <v>511</v>
      </c>
      <c r="D804" s="74">
        <v>500.0</v>
      </c>
      <c r="E804" s="67">
        <v>14.45</v>
      </c>
      <c r="F804" s="75">
        <v>0.4028009259259259</v>
      </c>
      <c r="G804" s="67" t="s">
        <v>453</v>
      </c>
      <c r="H804" s="68">
        <v>2.2</v>
      </c>
      <c r="I804" s="76"/>
      <c r="J804" s="67">
        <f t="shared" si="57"/>
        <v>-7227.2</v>
      </c>
      <c r="K804" s="7"/>
      <c r="L804" s="70"/>
      <c r="M804" s="79"/>
      <c r="N804" s="1"/>
      <c r="O804" s="1"/>
      <c r="P804" s="1"/>
      <c r="Q804" s="1"/>
      <c r="R804" s="1"/>
      <c r="S804" s="1"/>
      <c r="T804" s="1"/>
      <c r="U804" s="1"/>
      <c r="V804" s="1"/>
      <c r="W804" s="1"/>
      <c r="X804" s="1"/>
      <c r="Y804" s="1"/>
      <c r="Z804" s="1"/>
      <c r="AA804" s="1"/>
      <c r="AB804" s="1"/>
      <c r="AC804" s="1"/>
      <c r="AD804" s="1"/>
      <c r="AE804" s="1"/>
      <c r="AF804" s="1"/>
      <c r="AG804" s="1"/>
      <c r="AH804" s="1"/>
    </row>
    <row r="805" ht="12.75" hidden="1" customHeight="1" outlineLevel="1">
      <c r="A805" s="17">
        <v>41159.0</v>
      </c>
      <c r="B805" s="1" t="s">
        <v>343</v>
      </c>
      <c r="C805" s="1" t="s">
        <v>355</v>
      </c>
      <c r="D805" s="74">
        <v>100.0</v>
      </c>
      <c r="E805" s="67">
        <v>33.141</v>
      </c>
      <c r="F805" s="75">
        <v>0.4052546296296296</v>
      </c>
      <c r="G805" s="67" t="s">
        <v>453</v>
      </c>
      <c r="H805" s="68">
        <v>2.0</v>
      </c>
      <c r="I805" s="76"/>
      <c r="J805" s="67">
        <f t="shared" si="57"/>
        <v>-3316.1</v>
      </c>
      <c r="K805" s="7"/>
      <c r="L805" s="70"/>
      <c r="M805" s="79"/>
      <c r="N805" s="1"/>
      <c r="O805" s="1"/>
      <c r="P805" s="1"/>
      <c r="Q805" s="1"/>
      <c r="R805" s="1"/>
      <c r="S805" s="1"/>
      <c r="T805" s="1"/>
      <c r="U805" s="1"/>
      <c r="V805" s="1"/>
      <c r="W805" s="1"/>
      <c r="X805" s="1"/>
      <c r="Y805" s="1"/>
      <c r="Z805" s="1"/>
      <c r="AA805" s="1"/>
      <c r="AB805" s="1"/>
      <c r="AC805" s="1"/>
      <c r="AD805" s="1"/>
      <c r="AE805" s="1"/>
      <c r="AF805" s="1"/>
      <c r="AG805" s="1"/>
      <c r="AH805" s="1"/>
    </row>
    <row r="806" ht="12.75" hidden="1" customHeight="1" outlineLevel="1">
      <c r="A806" s="17">
        <v>41159.0</v>
      </c>
      <c r="B806" s="1" t="s">
        <v>343</v>
      </c>
      <c r="C806" s="1" t="s">
        <v>656</v>
      </c>
      <c r="D806" s="74">
        <v>100.0</v>
      </c>
      <c r="E806" s="67">
        <v>1733.8</v>
      </c>
      <c r="F806" s="75">
        <v>0.42369212962962965</v>
      </c>
      <c r="G806" s="67" t="s">
        <v>453</v>
      </c>
      <c r="H806" s="68">
        <v>2.32</v>
      </c>
      <c r="I806" s="76"/>
      <c r="J806" s="67">
        <f t="shared" si="57"/>
        <v>-173382.32</v>
      </c>
      <c r="K806" s="7"/>
      <c r="L806" s="70"/>
      <c r="M806" s="79"/>
      <c r="N806" s="1"/>
      <c r="O806" s="1"/>
      <c r="P806" s="1"/>
      <c r="Q806" s="1"/>
      <c r="R806" s="1"/>
      <c r="S806" s="1"/>
      <c r="T806" s="1"/>
      <c r="U806" s="1"/>
      <c r="V806" s="1"/>
      <c r="W806" s="1"/>
      <c r="X806" s="1"/>
      <c r="Y806" s="1"/>
      <c r="Z806" s="1"/>
      <c r="AA806" s="1"/>
      <c r="AB806" s="1"/>
      <c r="AC806" s="1"/>
      <c r="AD806" s="1"/>
      <c r="AE806" s="1"/>
      <c r="AF806" s="1"/>
      <c r="AG806" s="1"/>
      <c r="AH806" s="1"/>
    </row>
    <row r="807" ht="12.75" hidden="1" customHeight="1" outlineLevel="1">
      <c r="A807" s="17">
        <v>41159.0</v>
      </c>
      <c r="B807" s="1" t="s">
        <v>343</v>
      </c>
      <c r="C807" s="1" t="s">
        <v>371</v>
      </c>
      <c r="D807" s="74">
        <v>125.0</v>
      </c>
      <c r="E807" s="67">
        <v>27.49</v>
      </c>
      <c r="F807" s="75">
        <v>0.4340625</v>
      </c>
      <c r="G807" s="67" t="s">
        <v>453</v>
      </c>
      <c r="H807" s="68">
        <v>1.0</v>
      </c>
      <c r="I807" s="76"/>
      <c r="J807" s="67">
        <f t="shared" si="57"/>
        <v>-3437.25</v>
      </c>
      <c r="K807" s="7"/>
      <c r="L807" s="70"/>
      <c r="M807" s="79"/>
      <c r="N807" s="1"/>
      <c r="O807" s="1"/>
      <c r="P807" s="1"/>
      <c r="Q807" s="1"/>
      <c r="R807" s="1"/>
      <c r="S807" s="1"/>
      <c r="T807" s="1"/>
      <c r="U807" s="1"/>
      <c r="V807" s="1"/>
      <c r="W807" s="1"/>
      <c r="X807" s="1"/>
      <c r="Y807" s="1"/>
      <c r="Z807" s="1"/>
      <c r="AA807" s="1"/>
      <c r="AB807" s="1"/>
      <c r="AC807" s="1"/>
      <c r="AD807" s="1"/>
      <c r="AE807" s="1"/>
      <c r="AF807" s="1"/>
      <c r="AG807" s="1"/>
      <c r="AH807" s="1"/>
    </row>
    <row r="808" ht="12.75" hidden="1" customHeight="1" outlineLevel="1">
      <c r="A808" s="17">
        <v>41159.0</v>
      </c>
      <c r="B808" s="1" t="s">
        <v>343</v>
      </c>
      <c r="C808" s="1" t="s">
        <v>381</v>
      </c>
      <c r="D808" s="74">
        <v>300.0</v>
      </c>
      <c r="E808" s="67">
        <v>19.28</v>
      </c>
      <c r="F808" s="75">
        <v>0.4405208333333333</v>
      </c>
      <c r="G808" s="67" t="s">
        <v>453</v>
      </c>
      <c r="H808" s="68">
        <v>1.5</v>
      </c>
      <c r="I808" s="76"/>
      <c r="J808" s="67">
        <f t="shared" si="57"/>
        <v>-5785.5</v>
      </c>
      <c r="K808" s="7"/>
      <c r="L808" s="70"/>
      <c r="M808" s="79"/>
      <c r="N808" s="1"/>
      <c r="O808" s="1"/>
      <c r="P808" s="1"/>
      <c r="Q808" s="1"/>
      <c r="R808" s="1"/>
      <c r="S808" s="1"/>
      <c r="T808" s="1"/>
      <c r="U808" s="1"/>
      <c r="V808" s="1"/>
      <c r="W808" s="1"/>
      <c r="X808" s="1"/>
      <c r="Y808" s="1"/>
      <c r="Z808" s="1"/>
      <c r="AA808" s="1"/>
      <c r="AB808" s="1"/>
      <c r="AC808" s="1"/>
      <c r="AD808" s="1"/>
      <c r="AE808" s="1"/>
      <c r="AF808" s="1"/>
      <c r="AG808" s="1"/>
      <c r="AH808" s="1"/>
    </row>
    <row r="809" ht="12.75" hidden="1" customHeight="1" outlineLevel="1">
      <c r="A809" s="17">
        <v>41159.0</v>
      </c>
      <c r="B809" s="1" t="s">
        <v>343</v>
      </c>
      <c r="C809" s="1" t="s">
        <v>344</v>
      </c>
      <c r="D809" s="74">
        <v>1000.0</v>
      </c>
      <c r="E809" s="67">
        <v>34.08</v>
      </c>
      <c r="F809" s="75">
        <v>0.5483564814814815</v>
      </c>
      <c r="G809" s="67" t="s">
        <v>453</v>
      </c>
      <c r="H809" s="68">
        <v>4.0</v>
      </c>
      <c r="I809" s="76"/>
      <c r="J809" s="67">
        <f t="shared" si="57"/>
        <v>-34084</v>
      </c>
      <c r="K809" s="7"/>
      <c r="L809" s="70"/>
      <c r="M809" s="79"/>
      <c r="N809" s="1"/>
      <c r="O809" s="1"/>
      <c r="P809" s="1"/>
      <c r="Q809" s="1"/>
      <c r="R809" s="1"/>
      <c r="S809" s="1"/>
      <c r="T809" s="1"/>
      <c r="U809" s="1"/>
      <c r="V809" s="1"/>
      <c r="W809" s="1"/>
      <c r="X809" s="1"/>
      <c r="Y809" s="1"/>
      <c r="Z809" s="1"/>
      <c r="AA809" s="1"/>
      <c r="AB809" s="1"/>
      <c r="AC809" s="1"/>
      <c r="AD809" s="1"/>
      <c r="AE809" s="1"/>
      <c r="AF809" s="1"/>
      <c r="AG809" s="1"/>
      <c r="AH809" s="1"/>
    </row>
    <row r="810" ht="12.75" hidden="1" customHeight="1" outlineLevel="1">
      <c r="A810" s="17">
        <v>41159.0</v>
      </c>
      <c r="B810" s="1" t="s">
        <v>347</v>
      </c>
      <c r="C810" s="1" t="s">
        <v>344</v>
      </c>
      <c r="D810" s="74">
        <v>2700.0</v>
      </c>
      <c r="E810" s="67">
        <v>33.95</v>
      </c>
      <c r="F810" s="75">
        <v>0.5547106481481482</v>
      </c>
      <c r="G810" s="67" t="s">
        <v>453</v>
      </c>
      <c r="H810" s="68">
        <v>12.3</v>
      </c>
      <c r="I810" s="76"/>
      <c r="J810" s="67">
        <f t="shared" si="57"/>
        <v>91652.7</v>
      </c>
      <c r="K810" s="7"/>
      <c r="L810" s="70"/>
      <c r="M810" s="79"/>
      <c r="N810" s="1"/>
      <c r="O810" s="1"/>
      <c r="P810" s="1"/>
      <c r="Q810" s="1"/>
      <c r="R810" s="1"/>
      <c r="S810" s="1"/>
      <c r="T810" s="1"/>
      <c r="U810" s="1"/>
      <c r="V810" s="1"/>
      <c r="W810" s="1"/>
      <c r="X810" s="1"/>
      <c r="Y810" s="1"/>
      <c r="Z810" s="1"/>
      <c r="AA810" s="1"/>
      <c r="AB810" s="1"/>
      <c r="AC810" s="1"/>
      <c r="AD810" s="1"/>
      <c r="AE810" s="1"/>
      <c r="AF810" s="1"/>
      <c r="AG810" s="1"/>
      <c r="AH810" s="1"/>
    </row>
    <row r="811" ht="12.75" hidden="1" customHeight="1" outlineLevel="1">
      <c r="A811" s="17">
        <v>41159.0</v>
      </c>
      <c r="B811" s="1" t="s">
        <v>343</v>
      </c>
      <c r="C811" s="1" t="s">
        <v>344</v>
      </c>
      <c r="D811" s="74">
        <v>2700.0</v>
      </c>
      <c r="E811" s="67">
        <v>34.13</v>
      </c>
      <c r="F811" s="75">
        <v>0.5610300925925926</v>
      </c>
      <c r="G811" s="67" t="s">
        <v>453</v>
      </c>
      <c r="H811" s="68">
        <v>12.3</v>
      </c>
      <c r="I811" s="76"/>
      <c r="J811" s="67">
        <f t="shared" si="57"/>
        <v>-92163.3</v>
      </c>
      <c r="K811" s="7"/>
      <c r="L811" s="70"/>
      <c r="M811" s="79"/>
      <c r="N811" s="1"/>
      <c r="O811" s="1"/>
      <c r="P811" s="1"/>
      <c r="Q811" s="1"/>
      <c r="R811" s="1"/>
      <c r="S811" s="1"/>
      <c r="T811" s="1"/>
      <c r="U811" s="1"/>
      <c r="V811" s="1"/>
      <c r="W811" s="1"/>
      <c r="X811" s="1"/>
      <c r="Y811" s="1"/>
      <c r="Z811" s="1"/>
      <c r="AA811" s="1"/>
      <c r="AB811" s="1"/>
      <c r="AC811" s="1"/>
      <c r="AD811" s="1"/>
      <c r="AE811" s="1"/>
      <c r="AF811" s="1"/>
      <c r="AG811" s="1"/>
      <c r="AH811" s="1"/>
    </row>
    <row r="812" ht="12.75" hidden="1" customHeight="1" outlineLevel="1">
      <c r="A812" s="17">
        <v>41159.0</v>
      </c>
      <c r="B812" s="1" t="s">
        <v>347</v>
      </c>
      <c r="C812" s="1" t="s">
        <v>656</v>
      </c>
      <c r="D812" s="74">
        <v>100.0</v>
      </c>
      <c r="E812" s="67">
        <v>1741.0</v>
      </c>
      <c r="F812" s="75">
        <v>0.5964236111111111</v>
      </c>
      <c r="G812" s="67" t="s">
        <v>453</v>
      </c>
      <c r="H812" s="68">
        <v>2.32</v>
      </c>
      <c r="I812" s="76"/>
      <c r="J812" s="67">
        <f t="shared" si="57"/>
        <v>174097.68</v>
      </c>
      <c r="K812" s="7"/>
      <c r="L812" s="70"/>
      <c r="M812" s="79"/>
      <c r="N812" s="1"/>
      <c r="O812" s="1"/>
      <c r="P812" s="1"/>
      <c r="Q812" s="1"/>
      <c r="R812" s="1"/>
      <c r="S812" s="1"/>
      <c r="T812" s="1"/>
      <c r="U812" s="1"/>
      <c r="V812" s="1"/>
      <c r="W812" s="1"/>
      <c r="X812" s="1"/>
      <c r="Y812" s="1"/>
      <c r="Z812" s="1"/>
      <c r="AA812" s="1"/>
      <c r="AB812" s="1"/>
      <c r="AC812" s="1"/>
      <c r="AD812" s="1"/>
      <c r="AE812" s="1"/>
      <c r="AF812" s="1"/>
      <c r="AG812" s="1"/>
      <c r="AH812" s="1"/>
    </row>
    <row r="813" ht="12.75" hidden="1" customHeight="1" outlineLevel="1">
      <c r="A813" s="17">
        <v>41159.0</v>
      </c>
      <c r="B813" s="1" t="s">
        <v>347</v>
      </c>
      <c r="C813" s="1" t="s">
        <v>344</v>
      </c>
      <c r="D813" s="74">
        <v>1000.0</v>
      </c>
      <c r="E813" s="67">
        <v>34.36</v>
      </c>
      <c r="F813" s="75">
        <v>0.6182523148148148</v>
      </c>
      <c r="G813" s="67" t="s">
        <v>453</v>
      </c>
      <c r="H813" s="68">
        <v>4.3</v>
      </c>
      <c r="I813" s="76"/>
      <c r="J813" s="67">
        <f t="shared" si="57"/>
        <v>34355.7</v>
      </c>
      <c r="K813" s="7"/>
      <c r="L813" s="70"/>
      <c r="M813" s="79"/>
      <c r="N813" s="1"/>
      <c r="O813" s="1"/>
      <c r="P813" s="1"/>
      <c r="Q813" s="1"/>
      <c r="R813" s="1"/>
      <c r="S813" s="1"/>
      <c r="T813" s="1"/>
      <c r="U813" s="1"/>
      <c r="V813" s="1"/>
      <c r="W813" s="1"/>
      <c r="X813" s="1"/>
      <c r="Y813" s="1"/>
      <c r="Z813" s="1"/>
      <c r="AA813" s="1"/>
      <c r="AB813" s="1"/>
      <c r="AC813" s="1"/>
      <c r="AD813" s="1"/>
      <c r="AE813" s="1"/>
      <c r="AF813" s="1"/>
      <c r="AG813" s="1"/>
      <c r="AH813" s="1"/>
    </row>
    <row r="814" ht="12.75" hidden="1" customHeight="1" outlineLevel="1">
      <c r="A814" s="17">
        <v>41159.0</v>
      </c>
      <c r="B814" s="1" t="s">
        <v>347</v>
      </c>
      <c r="C814" s="1" t="s">
        <v>344</v>
      </c>
      <c r="D814" s="74">
        <v>1800.0</v>
      </c>
      <c r="E814" s="67">
        <v>34.33</v>
      </c>
      <c r="F814" s="75">
        <v>0.6230208333333334</v>
      </c>
      <c r="G814" s="67" t="s">
        <v>453</v>
      </c>
      <c r="H814" s="68">
        <v>7.2</v>
      </c>
      <c r="I814" s="76"/>
      <c r="J814" s="67">
        <f t="shared" si="57"/>
        <v>61786.8</v>
      </c>
      <c r="K814" s="7"/>
      <c r="L814" s="70"/>
      <c r="M814" s="79"/>
      <c r="N814" s="1"/>
      <c r="O814" s="1"/>
      <c r="P814" s="1"/>
      <c r="Q814" s="1"/>
      <c r="R814" s="1"/>
      <c r="S814" s="1"/>
      <c r="T814" s="1"/>
      <c r="U814" s="1"/>
      <c r="V814" s="1"/>
      <c r="W814" s="1"/>
      <c r="X814" s="1"/>
      <c r="Y814" s="1"/>
      <c r="Z814" s="1"/>
      <c r="AA814" s="1"/>
      <c r="AB814" s="1"/>
      <c r="AC814" s="1"/>
      <c r="AD814" s="1"/>
      <c r="AE814" s="1"/>
      <c r="AF814" s="1"/>
      <c r="AG814" s="1"/>
      <c r="AH814" s="1"/>
    </row>
    <row r="815" ht="12.75" hidden="1" customHeight="1" outlineLevel="1">
      <c r="A815" s="17">
        <v>41159.0</v>
      </c>
      <c r="B815" s="1"/>
      <c r="C815" s="1" t="s">
        <v>339</v>
      </c>
      <c r="D815" s="74"/>
      <c r="E815" s="67"/>
      <c r="F815" s="75"/>
      <c r="G815" s="67"/>
      <c r="H815" s="68"/>
      <c r="I815" s="76"/>
      <c r="J815" s="67"/>
      <c r="K815" s="7" t="s">
        <v>657</v>
      </c>
      <c r="L815" s="77"/>
      <c r="M815" s="79"/>
      <c r="N815" s="1"/>
      <c r="O815" s="1"/>
      <c r="P815" s="1"/>
      <c r="Q815" s="1"/>
      <c r="R815" s="1"/>
      <c r="S815" s="1"/>
      <c r="T815" s="1"/>
      <c r="U815" s="1"/>
      <c r="V815" s="1"/>
      <c r="W815" s="1"/>
      <c r="X815" s="1"/>
      <c r="Y815" s="1"/>
      <c r="Z815" s="1"/>
      <c r="AA815" s="1"/>
      <c r="AB815" s="1"/>
      <c r="AC815" s="1"/>
      <c r="AD815" s="1"/>
      <c r="AE815" s="1"/>
      <c r="AF815" s="1"/>
      <c r="AG815" s="1"/>
      <c r="AH815" s="1"/>
    </row>
    <row r="816" ht="12.75" hidden="1" customHeight="1" outlineLevel="1">
      <c r="A816" s="17">
        <v>41159.0</v>
      </c>
      <c r="B816" s="1"/>
      <c r="C816" s="1" t="s">
        <v>429</v>
      </c>
      <c r="D816" s="74"/>
      <c r="E816" s="67"/>
      <c r="F816" s="75"/>
      <c r="G816" s="67"/>
      <c r="H816" s="68"/>
      <c r="I816" s="76"/>
      <c r="J816" s="67"/>
      <c r="K816" s="7" t="s">
        <v>636</v>
      </c>
      <c r="L816" s="77"/>
      <c r="M816" s="79"/>
      <c r="N816" s="1"/>
      <c r="O816" s="1"/>
      <c r="P816" s="1"/>
      <c r="Q816" s="1"/>
      <c r="R816" s="1"/>
      <c r="S816" s="1"/>
      <c r="T816" s="1"/>
      <c r="U816" s="1"/>
      <c r="V816" s="1"/>
      <c r="W816" s="1"/>
      <c r="X816" s="1"/>
      <c r="Y816" s="1"/>
      <c r="Z816" s="1"/>
      <c r="AA816" s="1"/>
      <c r="AB816" s="1"/>
      <c r="AC816" s="1"/>
      <c r="AD816" s="1"/>
      <c r="AE816" s="1"/>
      <c r="AF816" s="1"/>
      <c r="AG816" s="1"/>
      <c r="AH816" s="1"/>
    </row>
    <row r="817" ht="12.75" hidden="1" customHeight="1" outlineLevel="1">
      <c r="A817" s="17">
        <v>41159.0</v>
      </c>
      <c r="B817" s="1"/>
      <c r="C817" s="1" t="s">
        <v>431</v>
      </c>
      <c r="D817" s="74"/>
      <c r="E817" s="67"/>
      <c r="F817" s="75"/>
      <c r="G817" s="67"/>
      <c r="H817" s="68"/>
      <c r="I817" s="76"/>
      <c r="J817" s="67"/>
      <c r="K817" s="7" t="s">
        <v>502</v>
      </c>
      <c r="L817" s="77"/>
      <c r="M817" s="79"/>
      <c r="N817" s="1"/>
      <c r="O817" s="1"/>
      <c r="P817" s="1"/>
      <c r="Q817" s="1"/>
      <c r="R817" s="1"/>
      <c r="S817" s="1"/>
      <c r="T817" s="1"/>
      <c r="U817" s="1"/>
      <c r="V817" s="1"/>
      <c r="W817" s="1"/>
      <c r="X817" s="1"/>
      <c r="Y817" s="1"/>
      <c r="Z817" s="1"/>
      <c r="AA817" s="1"/>
      <c r="AB817" s="1"/>
      <c r="AC817" s="1"/>
      <c r="AD817" s="1"/>
      <c r="AE817" s="1"/>
      <c r="AF817" s="1"/>
      <c r="AG817" s="1"/>
      <c r="AH817" s="1"/>
    </row>
    <row r="818" ht="12.75" hidden="1" customHeight="1" outlineLevel="1">
      <c r="A818" s="17">
        <v>41159.0</v>
      </c>
      <c r="B818" s="1"/>
      <c r="C818" s="1" t="s">
        <v>433</v>
      </c>
      <c r="D818" s="74"/>
      <c r="E818" s="67"/>
      <c r="F818" s="75"/>
      <c r="G818" s="67"/>
      <c r="H818" s="68"/>
      <c r="I818" s="76"/>
      <c r="J818" s="67"/>
      <c r="K818" s="1" t="s">
        <v>434</v>
      </c>
      <c r="L818" s="77"/>
      <c r="M818" s="79"/>
      <c r="N818" s="1"/>
      <c r="O818" s="1"/>
      <c r="P818" s="1"/>
      <c r="Q818" s="1"/>
      <c r="R818" s="1"/>
      <c r="S818" s="1"/>
      <c r="T818" s="1"/>
      <c r="U818" s="1"/>
      <c r="V818" s="1"/>
      <c r="W818" s="1"/>
      <c r="X818" s="1"/>
      <c r="Y818" s="1"/>
      <c r="Z818" s="1"/>
      <c r="AA818" s="1"/>
      <c r="AB818" s="1"/>
      <c r="AC818" s="1"/>
      <c r="AD818" s="1"/>
      <c r="AE818" s="1"/>
      <c r="AF818" s="1"/>
      <c r="AG818" s="1"/>
      <c r="AH818" s="1"/>
    </row>
    <row r="819" ht="12.75" hidden="1" customHeight="1" outlineLevel="1">
      <c r="A819" s="17">
        <v>41159.0</v>
      </c>
      <c r="B819" s="1"/>
      <c r="C819" s="1" t="s">
        <v>435</v>
      </c>
      <c r="D819" s="74"/>
      <c r="E819" s="67"/>
      <c r="F819" s="75"/>
      <c r="G819" s="67"/>
      <c r="H819" s="68"/>
      <c r="I819" s="76"/>
      <c r="J819" s="67"/>
      <c r="K819" s="7" t="s">
        <v>658</v>
      </c>
      <c r="L819" s="77"/>
      <c r="M819" s="79"/>
      <c r="N819" s="1"/>
      <c r="O819" s="1"/>
      <c r="P819" s="1"/>
      <c r="Q819" s="1"/>
      <c r="R819" s="1"/>
      <c r="S819" s="1"/>
      <c r="T819" s="1"/>
      <c r="U819" s="1"/>
      <c r="V819" s="1"/>
      <c r="W819" s="1"/>
      <c r="X819" s="1"/>
      <c r="Y819" s="1"/>
      <c r="Z819" s="1"/>
      <c r="AA819" s="1"/>
      <c r="AB819" s="1"/>
      <c r="AC819" s="1"/>
      <c r="AD819" s="1"/>
      <c r="AE819" s="1"/>
      <c r="AF819" s="1"/>
      <c r="AG819" s="1"/>
      <c r="AH819" s="1"/>
    </row>
    <row r="820" ht="12.75" hidden="1" customHeight="1" outlineLevel="1">
      <c r="A820" s="17">
        <v>41160.0</v>
      </c>
      <c r="B820" s="1"/>
      <c r="C820" s="1" t="s">
        <v>339</v>
      </c>
      <c r="D820" s="74"/>
      <c r="E820" s="67"/>
      <c r="F820" s="75"/>
      <c r="G820" s="67"/>
      <c r="H820" s="68"/>
      <c r="I820" s="76"/>
      <c r="J820" s="67"/>
      <c r="K820" s="7" t="s">
        <v>659</v>
      </c>
      <c r="L820" s="77"/>
      <c r="M820" s="79"/>
      <c r="N820" s="1"/>
      <c r="O820" s="1"/>
      <c r="P820" s="1"/>
      <c r="Q820" s="1"/>
      <c r="R820" s="1"/>
      <c r="S820" s="1"/>
      <c r="T820" s="1"/>
      <c r="U820" s="1"/>
      <c r="V820" s="1"/>
      <c r="W820" s="1"/>
      <c r="X820" s="1"/>
      <c r="Y820" s="1"/>
      <c r="Z820" s="1"/>
      <c r="AA820" s="1"/>
      <c r="AB820" s="1"/>
      <c r="AC820" s="1"/>
      <c r="AD820" s="1"/>
      <c r="AE820" s="1"/>
      <c r="AF820" s="1"/>
      <c r="AG820" s="1"/>
      <c r="AH820" s="1"/>
    </row>
    <row r="821" ht="12.75" hidden="1" customHeight="1" outlineLevel="1">
      <c r="A821" s="17">
        <v>41160.0</v>
      </c>
      <c r="B821" s="1"/>
      <c r="C821" s="1" t="s">
        <v>429</v>
      </c>
      <c r="D821" s="74"/>
      <c r="E821" s="67"/>
      <c r="F821" s="75"/>
      <c r="G821" s="67"/>
      <c r="H821" s="68"/>
      <c r="I821" s="76"/>
      <c r="J821" s="67"/>
      <c r="K821" s="7" t="s">
        <v>636</v>
      </c>
      <c r="L821" s="77"/>
      <c r="M821" s="79"/>
      <c r="N821" s="1"/>
      <c r="O821" s="1"/>
      <c r="P821" s="1"/>
      <c r="Q821" s="1"/>
      <c r="R821" s="1"/>
      <c r="S821" s="1"/>
      <c r="T821" s="1"/>
      <c r="U821" s="1"/>
      <c r="V821" s="1"/>
      <c r="W821" s="1"/>
      <c r="X821" s="1"/>
      <c r="Y821" s="1"/>
      <c r="Z821" s="1"/>
      <c r="AA821" s="1"/>
      <c r="AB821" s="1"/>
      <c r="AC821" s="1"/>
      <c r="AD821" s="1"/>
      <c r="AE821" s="1"/>
      <c r="AF821" s="1"/>
      <c r="AG821" s="1"/>
      <c r="AH821" s="1"/>
    </row>
    <row r="822" ht="12.75" hidden="1" customHeight="1" outlineLevel="1">
      <c r="A822" s="17">
        <v>41160.0</v>
      </c>
      <c r="B822" s="1"/>
      <c r="C822" s="1" t="s">
        <v>431</v>
      </c>
      <c r="D822" s="74"/>
      <c r="E822" s="67"/>
      <c r="F822" s="75"/>
      <c r="G822" s="67"/>
      <c r="H822" s="68"/>
      <c r="I822" s="76"/>
      <c r="J822" s="67"/>
      <c r="K822" s="7" t="s">
        <v>502</v>
      </c>
      <c r="L822" s="77"/>
      <c r="M822" s="79"/>
      <c r="N822" s="1"/>
      <c r="O822" s="1"/>
      <c r="P822" s="1"/>
      <c r="Q822" s="1"/>
      <c r="R822" s="1"/>
      <c r="S822" s="1"/>
      <c r="T822" s="1"/>
      <c r="U822" s="1"/>
      <c r="V822" s="1"/>
      <c r="W822" s="1"/>
      <c r="X822" s="1"/>
      <c r="Y822" s="1"/>
      <c r="Z822" s="1"/>
      <c r="AA822" s="1"/>
      <c r="AB822" s="1"/>
      <c r="AC822" s="1"/>
      <c r="AD822" s="1"/>
      <c r="AE822" s="1"/>
      <c r="AF822" s="1"/>
      <c r="AG822" s="1"/>
      <c r="AH822" s="1"/>
    </row>
    <row r="823" ht="12.75" hidden="1" customHeight="1" outlineLevel="1">
      <c r="A823" s="17">
        <v>41160.0</v>
      </c>
      <c r="B823" s="1"/>
      <c r="C823" s="1" t="s">
        <v>433</v>
      </c>
      <c r="D823" s="74"/>
      <c r="E823" s="67"/>
      <c r="F823" s="75"/>
      <c r="G823" s="67"/>
      <c r="H823" s="68"/>
      <c r="I823" s="76"/>
      <c r="J823" s="67"/>
      <c r="K823" s="1" t="s">
        <v>434</v>
      </c>
      <c r="L823" s="77"/>
      <c r="M823" s="79"/>
      <c r="N823" s="1"/>
      <c r="O823" s="1"/>
      <c r="P823" s="1"/>
      <c r="Q823" s="1"/>
      <c r="R823" s="1"/>
      <c r="S823" s="1"/>
      <c r="T823" s="1"/>
      <c r="U823" s="1"/>
      <c r="V823" s="1"/>
      <c r="W823" s="1"/>
      <c r="X823" s="1"/>
      <c r="Y823" s="1"/>
      <c r="Z823" s="1"/>
      <c r="AA823" s="1"/>
      <c r="AB823" s="1"/>
      <c r="AC823" s="1"/>
      <c r="AD823" s="1"/>
      <c r="AE823" s="1"/>
      <c r="AF823" s="1"/>
      <c r="AG823" s="1"/>
      <c r="AH823" s="1"/>
    </row>
    <row r="824" ht="12.75" hidden="1" customHeight="1" outlineLevel="1">
      <c r="A824" s="17">
        <v>41160.0</v>
      </c>
      <c r="B824" s="1"/>
      <c r="C824" s="1" t="s">
        <v>435</v>
      </c>
      <c r="D824" s="74"/>
      <c r="E824" s="67"/>
      <c r="F824" s="75"/>
      <c r="G824" s="67"/>
      <c r="H824" s="68"/>
      <c r="I824" s="76"/>
      <c r="J824" s="67"/>
      <c r="K824" s="7" t="s">
        <v>658</v>
      </c>
      <c r="L824" s="77"/>
      <c r="M824" s="79"/>
      <c r="N824" s="1"/>
      <c r="O824" s="1"/>
      <c r="P824" s="1"/>
      <c r="Q824" s="1"/>
      <c r="R824" s="1"/>
      <c r="S824" s="1"/>
      <c r="T824" s="1"/>
      <c r="U824" s="1"/>
      <c r="V824" s="1"/>
      <c r="W824" s="1"/>
      <c r="X824" s="1"/>
      <c r="Y824" s="1"/>
      <c r="Z824" s="1"/>
      <c r="AA824" s="1"/>
      <c r="AB824" s="1"/>
      <c r="AC824" s="1"/>
      <c r="AD824" s="1"/>
      <c r="AE824" s="1"/>
      <c r="AF824" s="1"/>
      <c r="AG824" s="1"/>
      <c r="AH824" s="1"/>
    </row>
    <row r="825" ht="12.75" hidden="1" customHeight="1" outlineLevel="1">
      <c r="A825" s="17">
        <v>41162.0</v>
      </c>
      <c r="B825" s="1" t="s">
        <v>347</v>
      </c>
      <c r="C825" s="1" t="s">
        <v>381</v>
      </c>
      <c r="D825" s="74">
        <v>600.0</v>
      </c>
      <c r="E825" s="67">
        <v>18.7</v>
      </c>
      <c r="F825" s="75">
        <v>0.405474537037037</v>
      </c>
      <c r="G825" s="67" t="s">
        <v>453</v>
      </c>
      <c r="H825" s="68">
        <v>3.0</v>
      </c>
      <c r="I825" s="76"/>
      <c r="J825" s="67">
        <f t="shared" ref="J825:J828" si="58">IF(B825="SLD",D825*E825,-D825*E825)-H825</f>
        <v>11217</v>
      </c>
      <c r="K825" s="7" t="s">
        <v>395</v>
      </c>
      <c r="L825" s="70"/>
      <c r="M825" s="79"/>
      <c r="N825" s="1"/>
      <c r="O825" s="1"/>
      <c r="P825" s="1"/>
      <c r="Q825" s="1"/>
      <c r="R825" s="1"/>
      <c r="S825" s="1"/>
      <c r="T825" s="1"/>
      <c r="U825" s="1"/>
      <c r="V825" s="1"/>
      <c r="W825" s="1"/>
      <c r="X825" s="1"/>
      <c r="Y825" s="1"/>
      <c r="Z825" s="1"/>
      <c r="AA825" s="1"/>
      <c r="AB825" s="1"/>
      <c r="AC825" s="1"/>
      <c r="AD825" s="1"/>
      <c r="AE825" s="1"/>
      <c r="AF825" s="1"/>
      <c r="AG825" s="1"/>
      <c r="AH825" s="1"/>
    </row>
    <row r="826" ht="12.75" hidden="1" customHeight="1" outlineLevel="1">
      <c r="A826" s="17">
        <v>41162.0</v>
      </c>
      <c r="B826" s="1" t="s">
        <v>347</v>
      </c>
      <c r="C826" s="1" t="s">
        <v>441</v>
      </c>
      <c r="D826" s="74">
        <v>1000.0</v>
      </c>
      <c r="E826" s="67">
        <v>7.27</v>
      </c>
      <c r="F826" s="75">
        <v>0.4523726851851852</v>
      </c>
      <c r="G826" s="67" t="s">
        <v>453</v>
      </c>
      <c r="H826" s="68">
        <v>5.0</v>
      </c>
      <c r="I826" s="76"/>
      <c r="J826" s="67">
        <f t="shared" si="58"/>
        <v>7265</v>
      </c>
      <c r="K826" s="7"/>
      <c r="L826" s="70"/>
      <c r="M826" s="79"/>
      <c r="N826" s="1"/>
      <c r="O826" s="1"/>
      <c r="P826" s="1"/>
      <c r="Q826" s="1"/>
      <c r="R826" s="1"/>
      <c r="S826" s="1"/>
      <c r="T826" s="1"/>
      <c r="U826" s="1"/>
      <c r="V826" s="1"/>
      <c r="W826" s="1"/>
      <c r="X826" s="1"/>
      <c r="Y826" s="1"/>
      <c r="Z826" s="1"/>
      <c r="AA826" s="1"/>
      <c r="AB826" s="1"/>
      <c r="AC826" s="1"/>
      <c r="AD826" s="1"/>
      <c r="AE826" s="1"/>
      <c r="AF826" s="1"/>
      <c r="AG826" s="1"/>
      <c r="AH826" s="1"/>
    </row>
    <row r="827" ht="12.75" hidden="1" customHeight="1" outlineLevel="1">
      <c r="A827" s="17">
        <v>41162.0</v>
      </c>
      <c r="B827" s="1" t="s">
        <v>343</v>
      </c>
      <c r="C827" s="1" t="s">
        <v>344</v>
      </c>
      <c r="D827" s="74">
        <v>1800.0</v>
      </c>
      <c r="E827" s="67">
        <v>33.55</v>
      </c>
      <c r="F827" s="75">
        <v>0.47458333333333336</v>
      </c>
      <c r="G827" s="67" t="s">
        <v>453</v>
      </c>
      <c r="H827" s="68">
        <v>8.5</v>
      </c>
      <c r="I827" s="76"/>
      <c r="J827" s="67">
        <f t="shared" si="58"/>
        <v>-60398.5</v>
      </c>
      <c r="K827" s="7" t="s">
        <v>395</v>
      </c>
      <c r="L827" s="70"/>
      <c r="M827" s="79"/>
      <c r="N827" s="1"/>
      <c r="O827" s="1"/>
      <c r="P827" s="1"/>
      <c r="Q827" s="1"/>
      <c r="R827" s="1"/>
      <c r="S827" s="1"/>
      <c r="T827" s="1"/>
      <c r="U827" s="1"/>
      <c r="V827" s="1"/>
      <c r="W827" s="1"/>
      <c r="X827" s="1"/>
      <c r="Y827" s="1"/>
      <c r="Z827" s="1"/>
      <c r="AA827" s="1"/>
      <c r="AB827" s="1"/>
      <c r="AC827" s="1"/>
      <c r="AD827" s="1"/>
      <c r="AE827" s="1"/>
      <c r="AF827" s="1"/>
      <c r="AG827" s="1"/>
      <c r="AH827" s="1"/>
    </row>
    <row r="828" ht="12.75" hidden="1" customHeight="1" outlineLevel="1">
      <c r="A828" s="17">
        <v>41162.0</v>
      </c>
      <c r="B828" s="1" t="s">
        <v>347</v>
      </c>
      <c r="C828" s="1" t="s">
        <v>394</v>
      </c>
      <c r="D828" s="74">
        <v>50.0</v>
      </c>
      <c r="E828" s="67">
        <v>1431.0</v>
      </c>
      <c r="F828" s="75">
        <v>0.6498958333333333</v>
      </c>
      <c r="G828" s="67" t="s">
        <v>453</v>
      </c>
      <c r="H828" s="68">
        <v>2.01</v>
      </c>
      <c r="I828" s="76"/>
      <c r="J828" s="67">
        <f t="shared" si="58"/>
        <v>71547.99</v>
      </c>
      <c r="K828" s="7" t="s">
        <v>395</v>
      </c>
      <c r="L828" s="70"/>
      <c r="M828" s="79"/>
      <c r="N828" s="1"/>
      <c r="O828" s="1"/>
      <c r="P828" s="1"/>
      <c r="Q828" s="1"/>
      <c r="R828" s="1"/>
      <c r="S828" s="1"/>
      <c r="T828" s="1"/>
      <c r="U828" s="1"/>
      <c r="V828" s="1"/>
      <c r="W828" s="1"/>
      <c r="X828" s="1"/>
      <c r="Y828" s="1"/>
      <c r="Z828" s="1"/>
      <c r="AA828" s="1"/>
      <c r="AB828" s="1"/>
      <c r="AC828" s="1"/>
      <c r="AD828" s="1"/>
      <c r="AE828" s="1"/>
      <c r="AF828" s="1"/>
      <c r="AG828" s="1"/>
      <c r="AH828" s="1"/>
    </row>
    <row r="829" ht="12.75" hidden="1" customHeight="1" outlineLevel="1">
      <c r="A829" s="17">
        <v>41162.0</v>
      </c>
      <c r="B829" s="1"/>
      <c r="C829" s="1" t="s">
        <v>339</v>
      </c>
      <c r="D829" s="74"/>
      <c r="E829" s="67"/>
      <c r="F829" s="75"/>
      <c r="G829" s="67"/>
      <c r="H829" s="68"/>
      <c r="I829" s="76"/>
      <c r="J829" s="67"/>
      <c r="K829" s="7" t="s">
        <v>660</v>
      </c>
      <c r="L829" s="77"/>
      <c r="M829" s="79"/>
      <c r="N829" s="1"/>
      <c r="O829" s="1"/>
      <c r="P829" s="1"/>
      <c r="Q829" s="1"/>
      <c r="R829" s="1"/>
      <c r="S829" s="1"/>
      <c r="T829" s="1"/>
      <c r="U829" s="1"/>
      <c r="V829" s="1"/>
      <c r="W829" s="1"/>
      <c r="X829" s="1"/>
      <c r="Y829" s="1"/>
      <c r="Z829" s="1"/>
      <c r="AA829" s="1"/>
      <c r="AB829" s="1"/>
      <c r="AC829" s="1"/>
      <c r="AD829" s="1"/>
      <c r="AE829" s="1"/>
      <c r="AF829" s="1"/>
      <c r="AG829" s="1"/>
      <c r="AH829" s="1"/>
    </row>
    <row r="830" ht="12.75" hidden="1" customHeight="1" outlineLevel="1">
      <c r="A830" s="17">
        <v>41162.0</v>
      </c>
      <c r="B830" s="1"/>
      <c r="C830" s="1" t="s">
        <v>429</v>
      </c>
      <c r="D830" s="74"/>
      <c r="E830" s="67"/>
      <c r="F830" s="75"/>
      <c r="G830" s="67"/>
      <c r="H830" s="68"/>
      <c r="I830" s="76"/>
      <c r="J830" s="67"/>
      <c r="K830" s="7" t="s">
        <v>636</v>
      </c>
      <c r="L830" s="77"/>
      <c r="M830" s="79"/>
      <c r="N830" s="1"/>
      <c r="O830" s="1"/>
      <c r="P830" s="1"/>
      <c r="Q830" s="1"/>
      <c r="R830" s="1"/>
      <c r="S830" s="1"/>
      <c r="T830" s="1"/>
      <c r="U830" s="1"/>
      <c r="V830" s="1"/>
      <c r="W830" s="1"/>
      <c r="X830" s="1"/>
      <c r="Y830" s="1"/>
      <c r="Z830" s="1"/>
      <c r="AA830" s="1"/>
      <c r="AB830" s="1"/>
      <c r="AC830" s="1"/>
      <c r="AD830" s="1"/>
      <c r="AE830" s="1"/>
      <c r="AF830" s="1"/>
      <c r="AG830" s="1"/>
      <c r="AH830" s="1"/>
    </row>
    <row r="831" ht="12.75" hidden="1" customHeight="1" outlineLevel="1">
      <c r="A831" s="17">
        <v>41162.0</v>
      </c>
      <c r="B831" s="1"/>
      <c r="C831" s="1" t="s">
        <v>431</v>
      </c>
      <c r="D831" s="74"/>
      <c r="E831" s="67"/>
      <c r="F831" s="75"/>
      <c r="G831" s="67"/>
      <c r="H831" s="68"/>
      <c r="I831" s="76"/>
      <c r="J831" s="67"/>
      <c r="K831" s="7" t="s">
        <v>502</v>
      </c>
      <c r="L831" s="77"/>
      <c r="M831" s="79"/>
      <c r="N831" s="1"/>
      <c r="O831" s="1"/>
      <c r="P831" s="1"/>
      <c r="Q831" s="1"/>
      <c r="R831" s="1"/>
      <c r="S831" s="1"/>
      <c r="T831" s="1"/>
      <c r="U831" s="1"/>
      <c r="V831" s="1"/>
      <c r="W831" s="1"/>
      <c r="X831" s="1"/>
      <c r="Y831" s="1"/>
      <c r="Z831" s="1"/>
      <c r="AA831" s="1"/>
      <c r="AB831" s="1"/>
      <c r="AC831" s="1"/>
      <c r="AD831" s="1"/>
      <c r="AE831" s="1"/>
      <c r="AF831" s="1"/>
      <c r="AG831" s="1"/>
      <c r="AH831" s="1"/>
    </row>
    <row r="832" ht="12.75" hidden="1" customHeight="1" outlineLevel="1">
      <c r="A832" s="17">
        <v>41162.0</v>
      </c>
      <c r="B832" s="1"/>
      <c r="C832" s="1" t="s">
        <v>433</v>
      </c>
      <c r="D832" s="74"/>
      <c r="E832" s="67"/>
      <c r="F832" s="75"/>
      <c r="G832" s="67"/>
      <c r="H832" s="68"/>
      <c r="I832" s="76"/>
      <c r="J832" s="67"/>
      <c r="K832" s="1" t="s">
        <v>434</v>
      </c>
      <c r="L832" s="77"/>
      <c r="M832" s="79"/>
      <c r="N832" s="1"/>
      <c r="O832" s="1"/>
      <c r="P832" s="1"/>
      <c r="Q832" s="1"/>
      <c r="R832" s="1"/>
      <c r="S832" s="1"/>
      <c r="T832" s="1"/>
      <c r="U832" s="1"/>
      <c r="V832" s="1"/>
      <c r="W832" s="1"/>
      <c r="X832" s="1"/>
      <c r="Y832" s="1"/>
      <c r="Z832" s="1"/>
      <c r="AA832" s="1"/>
      <c r="AB832" s="1"/>
      <c r="AC832" s="1"/>
      <c r="AD832" s="1"/>
      <c r="AE832" s="1"/>
      <c r="AF832" s="1"/>
      <c r="AG832" s="1"/>
      <c r="AH832" s="1"/>
    </row>
    <row r="833" ht="12.75" hidden="1" customHeight="1" outlineLevel="1">
      <c r="A833" s="17">
        <v>41162.0</v>
      </c>
      <c r="B833" s="1"/>
      <c r="C833" s="1" t="s">
        <v>435</v>
      </c>
      <c r="D833" s="74"/>
      <c r="E833" s="67"/>
      <c r="F833" s="75"/>
      <c r="G833" s="67"/>
      <c r="H833" s="68"/>
      <c r="I833" s="76"/>
      <c r="J833" s="67"/>
      <c r="K833" s="7" t="s">
        <v>658</v>
      </c>
      <c r="L833" s="77"/>
      <c r="M833" s="79"/>
      <c r="N833" s="1"/>
      <c r="O833" s="1"/>
      <c r="P833" s="1"/>
      <c r="Q833" s="1"/>
      <c r="R833" s="1"/>
      <c r="S833" s="1"/>
      <c r="T833" s="1"/>
      <c r="U833" s="1"/>
      <c r="V833" s="1"/>
      <c r="W833" s="1"/>
      <c r="X833" s="1"/>
      <c r="Y833" s="1"/>
      <c r="Z833" s="1"/>
      <c r="AA833" s="1"/>
      <c r="AB833" s="1"/>
      <c r="AC833" s="1"/>
      <c r="AD833" s="1"/>
      <c r="AE833" s="1"/>
      <c r="AF833" s="1"/>
      <c r="AG833" s="1"/>
      <c r="AH833" s="1"/>
    </row>
    <row r="834" ht="12.75" hidden="1" customHeight="1" outlineLevel="1">
      <c r="A834" s="17">
        <v>41163.0</v>
      </c>
      <c r="B834" s="1" t="s">
        <v>343</v>
      </c>
      <c r="C834" s="1" t="s">
        <v>386</v>
      </c>
      <c r="D834" s="74">
        <v>150.0</v>
      </c>
      <c r="E834" s="67">
        <v>24.45</v>
      </c>
      <c r="F834" s="75">
        <v>0.55375</v>
      </c>
      <c r="G834" s="67" t="s">
        <v>453</v>
      </c>
      <c r="H834" s="68">
        <v>1.0</v>
      </c>
      <c r="I834" s="76"/>
      <c r="J834" s="67">
        <f t="shared" ref="J834:J839" si="59">IF(B834="SLD",D834*E834,-D834*E834)-H834</f>
        <v>-3668.5</v>
      </c>
      <c r="K834" s="7"/>
      <c r="L834" s="70"/>
      <c r="M834" s="79"/>
      <c r="N834" s="1"/>
      <c r="O834" s="1"/>
      <c r="P834" s="1"/>
      <c r="Q834" s="1"/>
      <c r="R834" s="1"/>
      <c r="S834" s="1"/>
      <c r="T834" s="1"/>
      <c r="U834" s="1"/>
      <c r="V834" s="1"/>
      <c r="W834" s="1"/>
      <c r="X834" s="1"/>
      <c r="Y834" s="1"/>
      <c r="Z834" s="1"/>
      <c r="AA834" s="1"/>
      <c r="AB834" s="1"/>
      <c r="AC834" s="1"/>
      <c r="AD834" s="1"/>
      <c r="AE834" s="1"/>
      <c r="AF834" s="1"/>
      <c r="AG834" s="1"/>
      <c r="AH834" s="1"/>
    </row>
    <row r="835" ht="12.75" hidden="1" customHeight="1" outlineLevel="1">
      <c r="A835" s="17">
        <v>41163.0</v>
      </c>
      <c r="B835" s="1" t="s">
        <v>347</v>
      </c>
      <c r="C835" s="1" t="s">
        <v>346</v>
      </c>
      <c r="D835" s="74">
        <v>75.0</v>
      </c>
      <c r="E835" s="67">
        <v>658.541</v>
      </c>
      <c r="F835" s="75">
        <v>0.6177777777777778</v>
      </c>
      <c r="G835" s="67" t="s">
        <v>453</v>
      </c>
      <c r="H835" s="68">
        <v>1.0</v>
      </c>
      <c r="I835" s="76"/>
      <c r="J835" s="67">
        <f t="shared" si="59"/>
        <v>49389.575</v>
      </c>
      <c r="K835" s="7" t="s">
        <v>395</v>
      </c>
      <c r="L835" s="70"/>
      <c r="M835" s="79"/>
      <c r="N835" s="1"/>
      <c r="O835" s="1"/>
      <c r="P835" s="1"/>
      <c r="Q835" s="1"/>
      <c r="R835" s="1"/>
      <c r="S835" s="1"/>
      <c r="T835" s="1"/>
      <c r="U835" s="1"/>
      <c r="V835" s="1"/>
      <c r="W835" s="1"/>
      <c r="X835" s="1"/>
      <c r="Y835" s="1"/>
      <c r="Z835" s="1"/>
      <c r="AA835" s="1"/>
      <c r="AB835" s="1"/>
      <c r="AC835" s="1"/>
      <c r="AD835" s="1"/>
      <c r="AE835" s="1"/>
      <c r="AF835" s="1"/>
      <c r="AG835" s="1"/>
      <c r="AH835" s="1"/>
    </row>
    <row r="836" ht="12.75" hidden="1" customHeight="1" outlineLevel="1">
      <c r="A836" s="17">
        <v>41163.0</v>
      </c>
      <c r="B836" s="7" t="s">
        <v>347</v>
      </c>
      <c r="C836" s="7" t="s">
        <v>346</v>
      </c>
      <c r="D836" s="74">
        <v>60.0</v>
      </c>
      <c r="E836" s="67">
        <v>658.541</v>
      </c>
      <c r="F836" s="75">
        <v>0.6177777777777778</v>
      </c>
      <c r="G836" s="67" t="s">
        <v>453</v>
      </c>
      <c r="H836" s="68"/>
      <c r="I836" s="76"/>
      <c r="J836" s="67">
        <f t="shared" si="59"/>
        <v>39512.46</v>
      </c>
      <c r="K836" s="7"/>
      <c r="L836" s="70"/>
      <c r="M836" s="79"/>
      <c r="N836" s="1"/>
      <c r="O836" s="1"/>
      <c r="P836" s="1"/>
      <c r="Q836" s="1"/>
      <c r="R836" s="1"/>
      <c r="S836" s="1"/>
      <c r="T836" s="1"/>
      <c r="U836" s="1"/>
      <c r="V836" s="1"/>
      <c r="W836" s="1"/>
      <c r="X836" s="1"/>
      <c r="Y836" s="1"/>
      <c r="Z836" s="1"/>
      <c r="AA836" s="1"/>
      <c r="AB836" s="1"/>
      <c r="AC836" s="1"/>
      <c r="AD836" s="1"/>
      <c r="AE836" s="1"/>
      <c r="AF836" s="1"/>
      <c r="AG836" s="1"/>
      <c r="AH836" s="1"/>
    </row>
    <row r="837" ht="12.75" hidden="1" customHeight="1" outlineLevel="1">
      <c r="A837" s="17">
        <v>41163.0</v>
      </c>
      <c r="B837" s="1" t="s">
        <v>347</v>
      </c>
      <c r="C837" s="1" t="s">
        <v>344</v>
      </c>
      <c r="D837" s="74">
        <v>3000.0</v>
      </c>
      <c r="E837" s="67">
        <v>33.06</v>
      </c>
      <c r="F837" s="75">
        <v>0.6265277777777778</v>
      </c>
      <c r="G837" s="67" t="s">
        <v>453</v>
      </c>
      <c r="H837" s="68">
        <v>15.0</v>
      </c>
      <c r="I837" s="76"/>
      <c r="J837" s="67">
        <f t="shared" si="59"/>
        <v>99165</v>
      </c>
      <c r="K837" s="7"/>
      <c r="L837" s="70"/>
      <c r="M837" s="79"/>
      <c r="N837" s="1"/>
      <c r="O837" s="1"/>
      <c r="P837" s="1"/>
      <c r="Q837" s="1"/>
      <c r="R837" s="1"/>
      <c r="S837" s="1"/>
      <c r="T837" s="1"/>
      <c r="U837" s="1"/>
      <c r="V837" s="1"/>
      <c r="W837" s="1"/>
      <c r="X837" s="1"/>
      <c r="Y837" s="1"/>
      <c r="Z837" s="1"/>
      <c r="AA837" s="1"/>
      <c r="AB837" s="1"/>
      <c r="AC837" s="1"/>
      <c r="AD837" s="1"/>
      <c r="AE837" s="1"/>
      <c r="AF837" s="1"/>
      <c r="AG837" s="1"/>
      <c r="AH837" s="1"/>
    </row>
    <row r="838" ht="12.75" hidden="1" customHeight="1" outlineLevel="1">
      <c r="A838" s="17">
        <v>41163.0</v>
      </c>
      <c r="B838" s="1" t="s">
        <v>343</v>
      </c>
      <c r="C838" s="1" t="s">
        <v>344</v>
      </c>
      <c r="D838" s="74">
        <v>3000.0</v>
      </c>
      <c r="E838" s="67">
        <v>33.04</v>
      </c>
      <c r="F838" s="75">
        <v>0.6475</v>
      </c>
      <c r="G838" s="67" t="s">
        <v>453</v>
      </c>
      <c r="H838" s="68">
        <v>15.0</v>
      </c>
      <c r="I838" s="76"/>
      <c r="J838" s="67">
        <f t="shared" si="59"/>
        <v>-99135</v>
      </c>
      <c r="K838" s="7"/>
      <c r="L838" s="70"/>
      <c r="M838" s="79"/>
      <c r="N838" s="1"/>
      <c r="O838" s="1"/>
      <c r="P838" s="1"/>
      <c r="Q838" s="1"/>
      <c r="R838" s="1"/>
      <c r="S838" s="1"/>
      <c r="T838" s="1"/>
      <c r="U838" s="1"/>
      <c r="V838" s="1"/>
      <c r="W838" s="1"/>
      <c r="X838" s="1"/>
      <c r="Y838" s="1"/>
      <c r="Z838" s="1"/>
      <c r="AA838" s="1"/>
      <c r="AB838" s="1"/>
      <c r="AC838" s="1"/>
      <c r="AD838" s="1"/>
      <c r="AE838" s="1"/>
      <c r="AF838" s="1"/>
      <c r="AG838" s="1"/>
      <c r="AH838" s="1"/>
    </row>
    <row r="839" ht="12.75" hidden="1" customHeight="1" outlineLevel="1">
      <c r="A839" s="17">
        <v>41163.0</v>
      </c>
      <c r="B839" s="1" t="s">
        <v>343</v>
      </c>
      <c r="C839" s="1" t="s">
        <v>381</v>
      </c>
      <c r="D839" s="74">
        <v>1200.0</v>
      </c>
      <c r="E839" s="67">
        <v>19.53</v>
      </c>
      <c r="F839" s="75">
        <v>0.6581365740740741</v>
      </c>
      <c r="G839" s="67" t="s">
        <v>453</v>
      </c>
      <c r="H839" s="68">
        <v>6.0</v>
      </c>
      <c r="I839" s="76"/>
      <c r="J839" s="67">
        <f t="shared" si="59"/>
        <v>-23442</v>
      </c>
      <c r="K839" s="7"/>
      <c r="L839" s="70"/>
      <c r="M839" s="79"/>
      <c r="N839" s="1"/>
      <c r="O839" s="1"/>
      <c r="P839" s="1"/>
      <c r="Q839" s="1"/>
      <c r="R839" s="1"/>
      <c r="S839" s="1"/>
      <c r="T839" s="1"/>
      <c r="U839" s="1"/>
      <c r="V839" s="1"/>
      <c r="W839" s="1"/>
      <c r="X839" s="1"/>
      <c r="Y839" s="1"/>
      <c r="Z839" s="1"/>
      <c r="AA839" s="1"/>
      <c r="AB839" s="1"/>
      <c r="AC839" s="1"/>
      <c r="AD839" s="1"/>
      <c r="AE839" s="1"/>
      <c r="AF839" s="1"/>
      <c r="AG839" s="1"/>
      <c r="AH839" s="1"/>
    </row>
    <row r="840" ht="12.75" hidden="1" customHeight="1" outlineLevel="1">
      <c r="A840" s="17">
        <v>41163.0</v>
      </c>
      <c r="B840" s="1"/>
      <c r="C840" s="1" t="s">
        <v>339</v>
      </c>
      <c r="D840" s="74"/>
      <c r="E840" s="67"/>
      <c r="F840" s="75"/>
      <c r="G840" s="67"/>
      <c r="H840" s="68"/>
      <c r="I840" s="76"/>
      <c r="J840" s="67"/>
      <c r="K840" s="7" t="s">
        <v>661</v>
      </c>
      <c r="L840" s="77"/>
      <c r="M840" s="79"/>
      <c r="N840" s="1"/>
      <c r="O840" s="1"/>
      <c r="P840" s="1"/>
      <c r="Q840" s="1"/>
      <c r="R840" s="1"/>
      <c r="S840" s="1"/>
      <c r="T840" s="1"/>
      <c r="U840" s="1"/>
      <c r="V840" s="1"/>
      <c r="W840" s="1"/>
      <c r="X840" s="1"/>
      <c r="Y840" s="1"/>
      <c r="Z840" s="1"/>
      <c r="AA840" s="1"/>
      <c r="AB840" s="1"/>
      <c r="AC840" s="1"/>
      <c r="AD840" s="1"/>
      <c r="AE840" s="1"/>
      <c r="AF840" s="1"/>
      <c r="AG840" s="1"/>
      <c r="AH840" s="1"/>
    </row>
    <row r="841" ht="12.75" hidden="1" customHeight="1" outlineLevel="1">
      <c r="A841" s="17">
        <v>41163.0</v>
      </c>
      <c r="B841" s="1"/>
      <c r="C841" s="1" t="s">
        <v>429</v>
      </c>
      <c r="D841" s="74"/>
      <c r="E841" s="67"/>
      <c r="F841" s="75"/>
      <c r="G841" s="67"/>
      <c r="H841" s="68"/>
      <c r="I841" s="76"/>
      <c r="J841" s="67"/>
      <c r="K841" s="7" t="s">
        <v>636</v>
      </c>
      <c r="L841" s="77"/>
      <c r="M841" s="79"/>
      <c r="N841" s="1"/>
      <c r="O841" s="1"/>
      <c r="P841" s="1"/>
      <c r="Q841" s="1"/>
      <c r="R841" s="1"/>
      <c r="S841" s="1"/>
      <c r="T841" s="1"/>
      <c r="U841" s="1"/>
      <c r="V841" s="1"/>
      <c r="W841" s="1"/>
      <c r="X841" s="1"/>
      <c r="Y841" s="1"/>
      <c r="Z841" s="1"/>
      <c r="AA841" s="1"/>
      <c r="AB841" s="1"/>
      <c r="AC841" s="1"/>
      <c r="AD841" s="1"/>
      <c r="AE841" s="1"/>
      <c r="AF841" s="1"/>
      <c r="AG841" s="1"/>
      <c r="AH841" s="1"/>
    </row>
    <row r="842" ht="12.75" hidden="1" customHeight="1" outlineLevel="1">
      <c r="A842" s="17">
        <v>41163.0</v>
      </c>
      <c r="B842" s="1"/>
      <c r="C842" s="1" t="s">
        <v>431</v>
      </c>
      <c r="D842" s="74"/>
      <c r="E842" s="67"/>
      <c r="F842" s="75"/>
      <c r="G842" s="67"/>
      <c r="H842" s="68"/>
      <c r="I842" s="76"/>
      <c r="J842" s="67"/>
      <c r="K842" s="7" t="s">
        <v>502</v>
      </c>
      <c r="L842" s="77"/>
      <c r="M842" s="79"/>
      <c r="N842" s="1"/>
      <c r="O842" s="1"/>
      <c r="P842" s="1"/>
      <c r="Q842" s="1"/>
      <c r="R842" s="1"/>
      <c r="S842" s="1"/>
      <c r="T842" s="1"/>
      <c r="U842" s="1"/>
      <c r="V842" s="1"/>
      <c r="W842" s="1"/>
      <c r="X842" s="1"/>
      <c r="Y842" s="1"/>
      <c r="Z842" s="1"/>
      <c r="AA842" s="1"/>
      <c r="AB842" s="1"/>
      <c r="AC842" s="1"/>
      <c r="AD842" s="1"/>
      <c r="AE842" s="1"/>
      <c r="AF842" s="1"/>
      <c r="AG842" s="1"/>
      <c r="AH842" s="1"/>
    </row>
    <row r="843" ht="12.75" hidden="1" customHeight="1" outlineLevel="1">
      <c r="A843" s="17">
        <v>41163.0</v>
      </c>
      <c r="B843" s="1"/>
      <c r="C843" s="1" t="s">
        <v>433</v>
      </c>
      <c r="D843" s="74"/>
      <c r="E843" s="67"/>
      <c r="F843" s="75"/>
      <c r="G843" s="67"/>
      <c r="H843" s="68"/>
      <c r="I843" s="76"/>
      <c r="J843" s="67"/>
      <c r="K843" s="1" t="s">
        <v>434</v>
      </c>
      <c r="L843" s="77"/>
      <c r="M843" s="79"/>
      <c r="N843" s="1"/>
      <c r="O843" s="1"/>
      <c r="P843" s="1"/>
      <c r="Q843" s="1"/>
      <c r="R843" s="1"/>
      <c r="S843" s="1"/>
      <c r="T843" s="1"/>
      <c r="U843" s="1"/>
      <c r="V843" s="1"/>
      <c r="W843" s="1"/>
      <c r="X843" s="1"/>
      <c r="Y843" s="1"/>
      <c r="Z843" s="1"/>
      <c r="AA843" s="1"/>
      <c r="AB843" s="1"/>
      <c r="AC843" s="1"/>
      <c r="AD843" s="1"/>
      <c r="AE843" s="1"/>
      <c r="AF843" s="1"/>
      <c r="AG843" s="1"/>
      <c r="AH843" s="1"/>
    </row>
    <row r="844" ht="12.75" hidden="1" customHeight="1" outlineLevel="1">
      <c r="A844" s="17">
        <v>41163.0</v>
      </c>
      <c r="B844" s="1"/>
      <c r="C844" s="1" t="s">
        <v>435</v>
      </c>
      <c r="D844" s="74"/>
      <c r="E844" s="67"/>
      <c r="F844" s="75"/>
      <c r="G844" s="67"/>
      <c r="H844" s="68"/>
      <c r="I844" s="76"/>
      <c r="J844" s="67"/>
      <c r="K844" s="7" t="s">
        <v>658</v>
      </c>
      <c r="L844" s="77"/>
      <c r="M844" s="79"/>
      <c r="N844" s="1"/>
      <c r="O844" s="1"/>
      <c r="P844" s="1"/>
      <c r="Q844" s="1"/>
      <c r="R844" s="1"/>
      <c r="S844" s="1"/>
      <c r="T844" s="1"/>
      <c r="U844" s="1"/>
      <c r="V844" s="1"/>
      <c r="W844" s="1"/>
      <c r="X844" s="1"/>
      <c r="Y844" s="1"/>
      <c r="Z844" s="1"/>
      <c r="AA844" s="1"/>
      <c r="AB844" s="1"/>
      <c r="AC844" s="1"/>
      <c r="AD844" s="1"/>
      <c r="AE844" s="1"/>
      <c r="AF844" s="1"/>
      <c r="AG844" s="1"/>
      <c r="AH844" s="1"/>
    </row>
    <row r="845" ht="12.75" hidden="1" customHeight="1" outlineLevel="1">
      <c r="A845" s="17">
        <v>41164.0</v>
      </c>
      <c r="B845" s="1" t="s">
        <v>343</v>
      </c>
      <c r="C845" s="1" t="s">
        <v>346</v>
      </c>
      <c r="D845" s="74">
        <v>135.0</v>
      </c>
      <c r="E845" s="67">
        <v>661.0</v>
      </c>
      <c r="F845" s="75">
        <v>0.42495370370370367</v>
      </c>
      <c r="G845" s="67" t="s">
        <v>453</v>
      </c>
      <c r="H845" s="68">
        <v>1.0</v>
      </c>
      <c r="I845" s="76"/>
      <c r="J845" s="67">
        <f t="shared" ref="J845:J850" si="60">IF(B845="SLD",D845*E845,-D845*E845)-H845</f>
        <v>-89236</v>
      </c>
      <c r="K845" s="7"/>
      <c r="L845" s="70"/>
      <c r="M845" s="79"/>
      <c r="N845" s="1"/>
      <c r="O845" s="1"/>
      <c r="P845" s="1"/>
      <c r="Q845" s="1"/>
      <c r="R845" s="1"/>
      <c r="S845" s="1"/>
      <c r="T845" s="1"/>
      <c r="U845" s="1"/>
      <c r="V845" s="1"/>
      <c r="W845" s="1"/>
      <c r="X845" s="1"/>
      <c r="Y845" s="1"/>
      <c r="Z845" s="1"/>
      <c r="AA845" s="1"/>
      <c r="AB845" s="1"/>
      <c r="AC845" s="1"/>
      <c r="AD845" s="1"/>
      <c r="AE845" s="1"/>
      <c r="AF845" s="1"/>
      <c r="AG845" s="1"/>
      <c r="AH845" s="1"/>
    </row>
    <row r="846" ht="12.75" hidden="1" customHeight="1" outlineLevel="1">
      <c r="A846" s="17">
        <v>41164.0</v>
      </c>
      <c r="B846" s="1" t="s">
        <v>347</v>
      </c>
      <c r="C846" s="1" t="s">
        <v>355</v>
      </c>
      <c r="D846" s="74">
        <v>150.0</v>
      </c>
      <c r="E846" s="67">
        <v>34.45</v>
      </c>
      <c r="F846" s="75">
        <v>0.4464930555555556</v>
      </c>
      <c r="G846" s="67" t="s">
        <v>453</v>
      </c>
      <c r="H846" s="68">
        <v>1.0</v>
      </c>
      <c r="I846" s="76"/>
      <c r="J846" s="67">
        <f t="shared" si="60"/>
        <v>5166.5</v>
      </c>
      <c r="K846" s="7"/>
      <c r="L846" s="70"/>
      <c r="M846" s="79"/>
      <c r="N846" s="1"/>
      <c r="O846" s="1"/>
      <c r="P846" s="1"/>
      <c r="Q846" s="1"/>
      <c r="R846" s="1"/>
      <c r="S846" s="1"/>
      <c r="T846" s="1"/>
      <c r="U846" s="1"/>
      <c r="V846" s="1"/>
      <c r="W846" s="1"/>
      <c r="X846" s="1"/>
      <c r="Y846" s="1"/>
      <c r="Z846" s="1"/>
      <c r="AA846" s="1"/>
      <c r="AB846" s="1"/>
      <c r="AC846" s="1"/>
      <c r="AD846" s="1"/>
      <c r="AE846" s="1"/>
      <c r="AF846" s="1"/>
      <c r="AG846" s="1"/>
      <c r="AH846" s="1"/>
    </row>
    <row r="847" ht="12.75" hidden="1" customHeight="1" outlineLevel="1">
      <c r="A847" s="17">
        <v>41164.0</v>
      </c>
      <c r="B847" s="1" t="s">
        <v>347</v>
      </c>
      <c r="C847" s="1" t="s">
        <v>381</v>
      </c>
      <c r="D847" s="74">
        <v>400.0</v>
      </c>
      <c r="E847" s="67">
        <v>20.7</v>
      </c>
      <c r="F847" s="75">
        <v>0.5916782407407407</v>
      </c>
      <c r="G847" s="67" t="s">
        <v>453</v>
      </c>
      <c r="H847" s="68">
        <v>2.0</v>
      </c>
      <c r="I847" s="76"/>
      <c r="J847" s="67">
        <f t="shared" si="60"/>
        <v>8278</v>
      </c>
      <c r="K847" s="7"/>
      <c r="L847" s="70"/>
      <c r="M847" s="79"/>
      <c r="N847" s="1"/>
      <c r="O847" s="1"/>
      <c r="P847" s="1"/>
      <c r="Q847" s="1"/>
      <c r="R847" s="1"/>
      <c r="S847" s="1"/>
      <c r="T847" s="1"/>
      <c r="U847" s="1"/>
      <c r="V847" s="1"/>
      <c r="W847" s="1"/>
      <c r="X847" s="1"/>
      <c r="Y847" s="1"/>
      <c r="Z847" s="1"/>
      <c r="AA847" s="1"/>
      <c r="AB847" s="1"/>
      <c r="AC847" s="1"/>
      <c r="AD847" s="1"/>
      <c r="AE847" s="1"/>
      <c r="AF847" s="1"/>
      <c r="AG847" s="1"/>
      <c r="AH847" s="1"/>
    </row>
    <row r="848" ht="12.75" hidden="1" customHeight="1" outlineLevel="1">
      <c r="A848" s="17">
        <v>41164.0</v>
      </c>
      <c r="B848" s="1" t="s">
        <v>343</v>
      </c>
      <c r="C848" s="1" t="s">
        <v>385</v>
      </c>
      <c r="D848" s="74">
        <v>3000.0</v>
      </c>
      <c r="E848" s="67">
        <v>3.05</v>
      </c>
      <c r="F848" s="75">
        <v>0.6497800925925926</v>
      </c>
      <c r="G848" s="67" t="s">
        <v>453</v>
      </c>
      <c r="H848" s="68">
        <v>15.0</v>
      </c>
      <c r="I848" s="76"/>
      <c r="J848" s="67">
        <f t="shared" si="60"/>
        <v>-9165</v>
      </c>
      <c r="K848" s="7"/>
      <c r="L848" s="70"/>
      <c r="M848" s="79"/>
      <c r="N848" s="1"/>
      <c r="O848" s="1"/>
      <c r="P848" s="1"/>
      <c r="Q848" s="1"/>
      <c r="R848" s="1"/>
      <c r="S848" s="1"/>
      <c r="T848" s="1"/>
      <c r="U848" s="1"/>
      <c r="V848" s="1"/>
      <c r="W848" s="1"/>
      <c r="X848" s="1"/>
      <c r="Y848" s="1"/>
      <c r="Z848" s="1"/>
      <c r="AA848" s="1"/>
      <c r="AB848" s="1"/>
      <c r="AC848" s="1"/>
      <c r="AD848" s="1"/>
      <c r="AE848" s="1"/>
      <c r="AF848" s="1"/>
      <c r="AG848" s="1"/>
      <c r="AH848" s="1"/>
    </row>
    <row r="849" ht="12.75" hidden="1" customHeight="1" outlineLevel="1">
      <c r="A849" s="17">
        <v>41164.0</v>
      </c>
      <c r="B849" s="1" t="s">
        <v>347</v>
      </c>
      <c r="C849" s="1" t="s">
        <v>346</v>
      </c>
      <c r="D849" s="74">
        <v>135.0</v>
      </c>
      <c r="E849" s="67">
        <v>663.284</v>
      </c>
      <c r="F849" s="75">
        <v>0.6516319444444444</v>
      </c>
      <c r="G849" s="67" t="s">
        <v>453</v>
      </c>
      <c r="H849" s="68">
        <v>1.0</v>
      </c>
      <c r="I849" s="76"/>
      <c r="J849" s="67">
        <f t="shared" si="60"/>
        <v>89542.34</v>
      </c>
      <c r="K849" s="7" t="s">
        <v>395</v>
      </c>
      <c r="L849" s="70"/>
      <c r="M849" s="79"/>
      <c r="N849" s="1"/>
      <c r="O849" s="1"/>
      <c r="P849" s="1"/>
      <c r="Q849" s="1"/>
      <c r="R849" s="1"/>
      <c r="S849" s="1"/>
      <c r="T849" s="1"/>
      <c r="U849" s="1"/>
      <c r="V849" s="1"/>
      <c r="W849" s="1"/>
      <c r="X849" s="1"/>
      <c r="Y849" s="1"/>
      <c r="Z849" s="1"/>
      <c r="AA849" s="1"/>
      <c r="AB849" s="1"/>
      <c r="AC849" s="1"/>
      <c r="AD849" s="1"/>
      <c r="AE849" s="1"/>
      <c r="AF849" s="1"/>
      <c r="AG849" s="1"/>
      <c r="AH849" s="1"/>
    </row>
    <row r="850" ht="12.75" hidden="1" customHeight="1" outlineLevel="1">
      <c r="A850" s="17">
        <v>41164.0</v>
      </c>
      <c r="B850" s="1" t="s">
        <v>343</v>
      </c>
      <c r="C850" s="1" t="s">
        <v>346</v>
      </c>
      <c r="D850" s="74">
        <v>135.0</v>
      </c>
      <c r="E850" s="67">
        <v>669.78</v>
      </c>
      <c r="F850" s="75">
        <v>0.6665393518518519</v>
      </c>
      <c r="G850" s="67" t="s">
        <v>453</v>
      </c>
      <c r="H850" s="68">
        <v>1.0</v>
      </c>
      <c r="I850" s="76"/>
      <c r="J850" s="67">
        <f t="shared" si="60"/>
        <v>-90421.3</v>
      </c>
      <c r="K850" s="7" t="s">
        <v>395</v>
      </c>
      <c r="L850" s="70"/>
      <c r="M850" s="79"/>
      <c r="N850" s="1"/>
      <c r="O850" s="1"/>
      <c r="P850" s="1"/>
      <c r="Q850" s="1"/>
      <c r="R850" s="1"/>
      <c r="S850" s="1"/>
      <c r="T850" s="1"/>
      <c r="U850" s="1"/>
      <c r="V850" s="1"/>
      <c r="W850" s="1"/>
      <c r="X850" s="1"/>
      <c r="Y850" s="1"/>
      <c r="Z850" s="1"/>
      <c r="AA850" s="1"/>
      <c r="AB850" s="1"/>
      <c r="AC850" s="1"/>
      <c r="AD850" s="1"/>
      <c r="AE850" s="1"/>
      <c r="AF850" s="1"/>
      <c r="AG850" s="1"/>
      <c r="AH850" s="1"/>
    </row>
    <row r="851" ht="12.75" hidden="1" customHeight="1" outlineLevel="1">
      <c r="A851" s="17">
        <v>41164.0</v>
      </c>
      <c r="B851" s="1"/>
      <c r="C851" s="1" t="s">
        <v>339</v>
      </c>
      <c r="D851" s="74"/>
      <c r="E851" s="67"/>
      <c r="F851" s="75"/>
      <c r="G851" s="67"/>
      <c r="H851" s="68"/>
      <c r="I851" s="76"/>
      <c r="J851" s="67"/>
      <c r="K851" s="7" t="s">
        <v>662</v>
      </c>
      <c r="L851" s="77"/>
      <c r="M851" s="79"/>
      <c r="N851" s="1"/>
      <c r="O851" s="1"/>
      <c r="P851" s="1"/>
      <c r="Q851" s="1"/>
      <c r="R851" s="1"/>
      <c r="S851" s="1"/>
      <c r="T851" s="1"/>
      <c r="U851" s="1"/>
      <c r="V851" s="1"/>
      <c r="W851" s="1"/>
      <c r="X851" s="1"/>
      <c r="Y851" s="1"/>
      <c r="Z851" s="1"/>
      <c r="AA851" s="1"/>
      <c r="AB851" s="1"/>
      <c r="AC851" s="1"/>
      <c r="AD851" s="1"/>
      <c r="AE851" s="1"/>
      <c r="AF851" s="1"/>
      <c r="AG851" s="1"/>
      <c r="AH851" s="1"/>
    </row>
    <row r="852" ht="12.75" hidden="1" customHeight="1" outlineLevel="1">
      <c r="A852" s="17">
        <v>41164.0</v>
      </c>
      <c r="B852" s="1"/>
      <c r="C852" s="1" t="s">
        <v>429</v>
      </c>
      <c r="D852" s="74"/>
      <c r="E852" s="67"/>
      <c r="F852" s="75"/>
      <c r="G852" s="67"/>
      <c r="H852" s="68"/>
      <c r="I852" s="76"/>
      <c r="J852" s="67"/>
      <c r="K852" s="7" t="s">
        <v>636</v>
      </c>
      <c r="L852" s="77"/>
      <c r="M852" s="79"/>
      <c r="N852" s="1"/>
      <c r="O852" s="1"/>
      <c r="P852" s="1"/>
      <c r="Q852" s="1"/>
      <c r="R852" s="1"/>
      <c r="S852" s="1"/>
      <c r="T852" s="1"/>
      <c r="U852" s="1"/>
      <c r="V852" s="1"/>
      <c r="W852" s="1"/>
      <c r="X852" s="1"/>
      <c r="Y852" s="1"/>
      <c r="Z852" s="1"/>
      <c r="AA852" s="1"/>
      <c r="AB852" s="1"/>
      <c r="AC852" s="1"/>
      <c r="AD852" s="1"/>
      <c r="AE852" s="1"/>
      <c r="AF852" s="1"/>
      <c r="AG852" s="1"/>
      <c r="AH852" s="1"/>
    </row>
    <row r="853" ht="12.75" hidden="1" customHeight="1" outlineLevel="1">
      <c r="A853" s="17">
        <v>41164.0</v>
      </c>
      <c r="B853" s="1"/>
      <c r="C853" s="1" t="s">
        <v>431</v>
      </c>
      <c r="D853" s="74"/>
      <c r="E853" s="67"/>
      <c r="F853" s="75"/>
      <c r="G853" s="67"/>
      <c r="H853" s="68"/>
      <c r="I853" s="76"/>
      <c r="J853" s="67"/>
      <c r="K853" s="7" t="s">
        <v>502</v>
      </c>
      <c r="L853" s="77"/>
      <c r="M853" s="79"/>
      <c r="N853" s="1"/>
      <c r="O853" s="1"/>
      <c r="P853" s="1"/>
      <c r="Q853" s="1"/>
      <c r="R853" s="1"/>
      <c r="S853" s="1"/>
      <c r="T853" s="1"/>
      <c r="U853" s="1"/>
      <c r="V853" s="1"/>
      <c r="W853" s="1"/>
      <c r="X853" s="1"/>
      <c r="Y853" s="1"/>
      <c r="Z853" s="1"/>
      <c r="AA853" s="1"/>
      <c r="AB853" s="1"/>
      <c r="AC853" s="1"/>
      <c r="AD853" s="1"/>
      <c r="AE853" s="1"/>
      <c r="AF853" s="1"/>
      <c r="AG853" s="1"/>
      <c r="AH853" s="1"/>
    </row>
    <row r="854" ht="12.75" hidden="1" customHeight="1" outlineLevel="1">
      <c r="A854" s="17">
        <v>41164.0</v>
      </c>
      <c r="B854" s="1"/>
      <c r="C854" s="1" t="s">
        <v>433</v>
      </c>
      <c r="D854" s="74"/>
      <c r="E854" s="67"/>
      <c r="F854" s="75"/>
      <c r="G854" s="67"/>
      <c r="H854" s="68"/>
      <c r="I854" s="76"/>
      <c r="J854" s="67"/>
      <c r="K854" s="1" t="s">
        <v>434</v>
      </c>
      <c r="L854" s="77"/>
      <c r="M854" s="79"/>
      <c r="N854" s="1"/>
      <c r="O854" s="1"/>
      <c r="P854" s="1"/>
      <c r="Q854" s="1"/>
      <c r="R854" s="1"/>
      <c r="S854" s="1"/>
      <c r="T854" s="1"/>
      <c r="U854" s="1"/>
      <c r="V854" s="1"/>
      <c r="W854" s="1"/>
      <c r="X854" s="1"/>
      <c r="Y854" s="1"/>
      <c r="Z854" s="1"/>
      <c r="AA854" s="1"/>
      <c r="AB854" s="1"/>
      <c r="AC854" s="1"/>
      <c r="AD854" s="1"/>
      <c r="AE854" s="1"/>
      <c r="AF854" s="1"/>
      <c r="AG854" s="1"/>
      <c r="AH854" s="1"/>
    </row>
    <row r="855" ht="12.75" hidden="1" customHeight="1" outlineLevel="1">
      <c r="A855" s="17">
        <v>41164.0</v>
      </c>
      <c r="B855" s="1"/>
      <c r="C855" s="1" t="s">
        <v>435</v>
      </c>
      <c r="D855" s="74"/>
      <c r="E855" s="67"/>
      <c r="F855" s="75"/>
      <c r="G855" s="67"/>
      <c r="H855" s="68"/>
      <c r="I855" s="76"/>
      <c r="J855" s="67"/>
      <c r="K855" s="7" t="s">
        <v>658</v>
      </c>
      <c r="L855" s="77"/>
      <c r="M855" s="79"/>
      <c r="N855" s="1"/>
      <c r="O855" s="1"/>
      <c r="P855" s="1"/>
      <c r="Q855" s="1"/>
      <c r="R855" s="1"/>
      <c r="S855" s="1"/>
      <c r="T855" s="1"/>
      <c r="U855" s="1"/>
      <c r="V855" s="1"/>
      <c r="W855" s="1"/>
      <c r="X855" s="1"/>
      <c r="Y855" s="1"/>
      <c r="Z855" s="1"/>
      <c r="AA855" s="1"/>
      <c r="AB855" s="1"/>
      <c r="AC855" s="1"/>
      <c r="AD855" s="1"/>
      <c r="AE855" s="1"/>
      <c r="AF855" s="1"/>
      <c r="AG855" s="1"/>
      <c r="AH855" s="1"/>
    </row>
    <row r="856" ht="12.75" hidden="1" customHeight="1" outlineLevel="1">
      <c r="A856" s="17">
        <v>41165.0</v>
      </c>
      <c r="B856" s="1" t="s">
        <v>343</v>
      </c>
      <c r="C856" s="1" t="s">
        <v>394</v>
      </c>
      <c r="D856" s="74">
        <v>50.0</v>
      </c>
      <c r="E856" s="67">
        <v>1433.5</v>
      </c>
      <c r="F856" s="75">
        <v>0.5219791666666667</v>
      </c>
      <c r="G856" s="67" t="s">
        <v>453</v>
      </c>
      <c r="H856" s="68">
        <v>2.01</v>
      </c>
      <c r="I856" s="76"/>
      <c r="J856" s="67">
        <f t="shared" ref="J856:J866" si="61">IF(B856="SLD",D856*E856,-D856*E856)-H856</f>
        <v>-71677.01</v>
      </c>
      <c r="K856" s="7" t="s">
        <v>395</v>
      </c>
      <c r="L856" s="70"/>
      <c r="M856" s="79"/>
      <c r="N856" s="1"/>
      <c r="O856" s="1"/>
      <c r="P856" s="1"/>
      <c r="Q856" s="1"/>
      <c r="R856" s="1"/>
      <c r="S856" s="1"/>
      <c r="T856" s="1"/>
      <c r="U856" s="1"/>
      <c r="V856" s="1"/>
      <c r="W856" s="1"/>
      <c r="X856" s="1"/>
      <c r="Y856" s="1"/>
      <c r="Z856" s="1"/>
      <c r="AA856" s="1"/>
      <c r="AB856" s="1"/>
      <c r="AC856" s="1"/>
      <c r="AD856" s="1"/>
      <c r="AE856" s="1"/>
      <c r="AF856" s="1"/>
      <c r="AG856" s="1"/>
      <c r="AH856" s="1"/>
    </row>
    <row r="857" ht="12.75" hidden="1" customHeight="1" outlineLevel="1">
      <c r="A857" s="17">
        <v>41165.0</v>
      </c>
      <c r="B857" s="1" t="s">
        <v>347</v>
      </c>
      <c r="C857" s="1" t="s">
        <v>394</v>
      </c>
      <c r="D857" s="74">
        <v>50.0</v>
      </c>
      <c r="E857" s="67">
        <v>1434.75</v>
      </c>
      <c r="F857" s="75">
        <v>0.5232986111111111</v>
      </c>
      <c r="G857" s="67" t="s">
        <v>453</v>
      </c>
      <c r="H857" s="68">
        <v>2.01</v>
      </c>
      <c r="I857" s="76"/>
      <c r="J857" s="67">
        <f t="shared" si="61"/>
        <v>71735.49</v>
      </c>
      <c r="K857" s="7" t="s">
        <v>395</v>
      </c>
      <c r="L857" s="70"/>
      <c r="M857" s="79"/>
      <c r="N857" s="1"/>
      <c r="O857" s="1"/>
      <c r="P857" s="1"/>
      <c r="Q857" s="1"/>
      <c r="R857" s="1"/>
      <c r="S857" s="1"/>
      <c r="T857" s="1"/>
      <c r="U857" s="1"/>
      <c r="V857" s="1"/>
      <c r="W857" s="1"/>
      <c r="X857" s="1"/>
      <c r="Y857" s="1"/>
      <c r="Z857" s="1"/>
      <c r="AA857" s="1"/>
      <c r="AB857" s="1"/>
      <c r="AC857" s="1"/>
      <c r="AD857" s="1"/>
      <c r="AE857" s="1"/>
      <c r="AF857" s="1"/>
      <c r="AG857" s="1"/>
      <c r="AH857" s="1"/>
    </row>
    <row r="858" ht="12.75" hidden="1" customHeight="1" outlineLevel="1">
      <c r="A858" s="17">
        <v>41165.0</v>
      </c>
      <c r="B858" s="1" t="s">
        <v>343</v>
      </c>
      <c r="C858" s="1" t="s">
        <v>441</v>
      </c>
      <c r="D858" s="74">
        <v>1000.0</v>
      </c>
      <c r="E858" s="67">
        <v>7.71</v>
      </c>
      <c r="F858" s="75">
        <v>0.5319444444444444</v>
      </c>
      <c r="G858" s="67" t="s">
        <v>453</v>
      </c>
      <c r="H858" s="68">
        <v>4.0</v>
      </c>
      <c r="I858" s="76"/>
      <c r="J858" s="67">
        <f t="shared" si="61"/>
        <v>-7714</v>
      </c>
      <c r="K858" s="7"/>
      <c r="L858" s="70"/>
      <c r="M858" s="79"/>
      <c r="N858" s="1"/>
      <c r="O858" s="1"/>
      <c r="P858" s="1"/>
      <c r="Q858" s="1"/>
      <c r="R858" s="1"/>
      <c r="S858" s="1"/>
      <c r="T858" s="1"/>
      <c r="U858" s="1"/>
      <c r="V858" s="1"/>
      <c r="W858" s="1"/>
      <c r="X858" s="1"/>
      <c r="Y858" s="1"/>
      <c r="Z858" s="1"/>
      <c r="AA858" s="1"/>
      <c r="AB858" s="1"/>
      <c r="AC858" s="1"/>
      <c r="AD858" s="1"/>
      <c r="AE858" s="1"/>
      <c r="AF858" s="1"/>
      <c r="AG858" s="1"/>
      <c r="AH858" s="1"/>
    </row>
    <row r="859" ht="12.75" hidden="1" customHeight="1" outlineLevel="1">
      <c r="A859" s="17">
        <v>41165.0</v>
      </c>
      <c r="B859" s="1" t="s">
        <v>343</v>
      </c>
      <c r="C859" s="1" t="s">
        <v>355</v>
      </c>
      <c r="D859" s="74">
        <v>150.0</v>
      </c>
      <c r="E859" s="67">
        <v>36.0</v>
      </c>
      <c r="F859" s="75">
        <v>0.5425</v>
      </c>
      <c r="G859" s="67" t="s">
        <v>453</v>
      </c>
      <c r="H859" s="68">
        <v>1.0</v>
      </c>
      <c r="I859" s="76"/>
      <c r="J859" s="67">
        <f t="shared" si="61"/>
        <v>-5401</v>
      </c>
      <c r="K859" s="7"/>
      <c r="L859" s="70"/>
      <c r="M859" s="79"/>
      <c r="N859" s="1"/>
      <c r="O859" s="1"/>
      <c r="P859" s="1"/>
      <c r="Q859" s="1"/>
      <c r="R859" s="1"/>
      <c r="S859" s="1"/>
      <c r="T859" s="1"/>
      <c r="U859" s="1"/>
      <c r="V859" s="1"/>
      <c r="W859" s="1"/>
      <c r="X859" s="1"/>
      <c r="Y859" s="1"/>
      <c r="Z859" s="1"/>
      <c r="AA859" s="1"/>
      <c r="AB859" s="1"/>
      <c r="AC859" s="1"/>
      <c r="AD859" s="1"/>
      <c r="AE859" s="1"/>
      <c r="AF859" s="1"/>
      <c r="AG859" s="1"/>
      <c r="AH859" s="1"/>
    </row>
    <row r="860" ht="12.75" hidden="1" customHeight="1" outlineLevel="1">
      <c r="A860" s="17">
        <v>41165.0</v>
      </c>
      <c r="B860" s="1" t="s">
        <v>343</v>
      </c>
      <c r="C860" s="1" t="s">
        <v>381</v>
      </c>
      <c r="D860" s="74">
        <v>400.0</v>
      </c>
      <c r="E860" s="67">
        <v>21.33</v>
      </c>
      <c r="F860" s="75">
        <v>0.5781712962962963</v>
      </c>
      <c r="G860" s="67" t="s">
        <v>453</v>
      </c>
      <c r="H860" s="68">
        <v>2.0</v>
      </c>
      <c r="I860" s="76"/>
      <c r="J860" s="67">
        <f t="shared" si="61"/>
        <v>-8534</v>
      </c>
      <c r="K860" s="7"/>
      <c r="L860" s="70"/>
      <c r="M860" s="79"/>
      <c r="N860" s="1"/>
      <c r="O860" s="1"/>
      <c r="P860" s="1"/>
      <c r="Q860" s="1"/>
      <c r="R860" s="1"/>
      <c r="S860" s="1"/>
      <c r="T860" s="1"/>
      <c r="U860" s="1"/>
      <c r="V860" s="1"/>
      <c r="W860" s="1"/>
      <c r="X860" s="1"/>
      <c r="Y860" s="1"/>
      <c r="Z860" s="1"/>
      <c r="AA860" s="1"/>
      <c r="AB860" s="1"/>
      <c r="AC860" s="1"/>
      <c r="AD860" s="1"/>
      <c r="AE860" s="1"/>
      <c r="AF860" s="1"/>
      <c r="AG860" s="1"/>
      <c r="AH860" s="1"/>
    </row>
    <row r="861" ht="12.75" hidden="1" customHeight="1" outlineLevel="1">
      <c r="A861" s="17">
        <v>41165.0</v>
      </c>
      <c r="B861" s="1" t="s">
        <v>343</v>
      </c>
      <c r="C861" s="1" t="s">
        <v>656</v>
      </c>
      <c r="D861" s="74">
        <v>100.0</v>
      </c>
      <c r="E861" s="67">
        <v>1770.0</v>
      </c>
      <c r="F861" s="75">
        <v>0.5915625</v>
      </c>
      <c r="G861" s="67" t="s">
        <v>453</v>
      </c>
      <c r="H861" s="68">
        <v>2.32</v>
      </c>
      <c r="I861" s="76"/>
      <c r="J861" s="67">
        <f t="shared" si="61"/>
        <v>-177002.32</v>
      </c>
      <c r="K861" s="7" t="s">
        <v>395</v>
      </c>
      <c r="L861" s="70"/>
      <c r="M861" s="79"/>
      <c r="N861" s="1"/>
      <c r="O861" s="1"/>
      <c r="P861" s="1"/>
      <c r="Q861" s="1"/>
      <c r="R861" s="1"/>
      <c r="S861" s="1"/>
      <c r="T861" s="1"/>
      <c r="U861" s="1"/>
      <c r="V861" s="1"/>
      <c r="W861" s="1"/>
      <c r="X861" s="1"/>
      <c r="Y861" s="1"/>
      <c r="Z861" s="1"/>
      <c r="AA861" s="1"/>
      <c r="AB861" s="1"/>
      <c r="AC861" s="1"/>
      <c r="AD861" s="1"/>
      <c r="AE861" s="1"/>
      <c r="AF861" s="1"/>
      <c r="AG861" s="1"/>
      <c r="AH861" s="1"/>
    </row>
    <row r="862" ht="12.75" hidden="1" customHeight="1" outlineLevel="1">
      <c r="A862" s="17">
        <v>41165.0</v>
      </c>
      <c r="B862" s="1" t="s">
        <v>347</v>
      </c>
      <c r="C862" s="1" t="s">
        <v>656</v>
      </c>
      <c r="D862" s="74">
        <v>100.0</v>
      </c>
      <c r="E862" s="67">
        <v>1770.3</v>
      </c>
      <c r="F862" s="75">
        <v>0.5988773148148149</v>
      </c>
      <c r="G862" s="67" t="s">
        <v>453</v>
      </c>
      <c r="H862" s="68">
        <v>2.32</v>
      </c>
      <c r="I862" s="76"/>
      <c r="J862" s="67">
        <f t="shared" si="61"/>
        <v>177027.68</v>
      </c>
      <c r="K862" s="7" t="s">
        <v>395</v>
      </c>
      <c r="L862" s="70"/>
      <c r="M862" s="79"/>
      <c r="N862" s="1"/>
      <c r="O862" s="1"/>
      <c r="P862" s="1"/>
      <c r="Q862" s="1"/>
      <c r="R862" s="1"/>
      <c r="S862" s="1"/>
      <c r="T862" s="1"/>
      <c r="U862" s="1"/>
      <c r="V862" s="1"/>
      <c r="W862" s="1"/>
      <c r="X862" s="1"/>
      <c r="Y862" s="1"/>
      <c r="Z862" s="1"/>
      <c r="AA862" s="1"/>
      <c r="AB862" s="1"/>
      <c r="AC862" s="1"/>
      <c r="AD862" s="1"/>
      <c r="AE862" s="1"/>
      <c r="AF862" s="1"/>
      <c r="AG862" s="1"/>
      <c r="AH862" s="1"/>
    </row>
    <row r="863" ht="12.75" hidden="1" customHeight="1" outlineLevel="1">
      <c r="A863" s="17">
        <v>41165.0</v>
      </c>
      <c r="B863" s="1" t="s">
        <v>343</v>
      </c>
      <c r="C863" s="1" t="s">
        <v>656</v>
      </c>
      <c r="D863" s="74">
        <v>100.0</v>
      </c>
      <c r="E863" s="67">
        <v>1769.5</v>
      </c>
      <c r="F863" s="75">
        <v>0.6049074074074073</v>
      </c>
      <c r="G863" s="67" t="s">
        <v>453</v>
      </c>
      <c r="H863" s="68">
        <v>2.32</v>
      </c>
      <c r="I863" s="76"/>
      <c r="J863" s="67">
        <f t="shared" si="61"/>
        <v>-176952.32</v>
      </c>
      <c r="K863" s="7" t="s">
        <v>395</v>
      </c>
      <c r="L863" s="70"/>
      <c r="M863" s="79"/>
      <c r="N863" s="1"/>
      <c r="O863" s="1"/>
      <c r="P863" s="1"/>
      <c r="Q863" s="1"/>
      <c r="R863" s="1"/>
      <c r="S863" s="1"/>
      <c r="T863" s="1"/>
      <c r="U863" s="1"/>
      <c r="V863" s="1"/>
      <c r="W863" s="1"/>
      <c r="X863" s="1"/>
      <c r="Y863" s="1"/>
      <c r="Z863" s="1"/>
      <c r="AA863" s="1"/>
      <c r="AB863" s="1"/>
      <c r="AC863" s="1"/>
      <c r="AD863" s="1"/>
      <c r="AE863" s="1"/>
      <c r="AF863" s="1"/>
      <c r="AG863" s="1"/>
      <c r="AH863" s="1"/>
    </row>
    <row r="864" ht="12.75" hidden="1" customHeight="1" outlineLevel="1">
      <c r="A864" s="17">
        <v>41165.0</v>
      </c>
      <c r="B864" s="1" t="s">
        <v>347</v>
      </c>
      <c r="C864" s="1" t="s">
        <v>381</v>
      </c>
      <c r="D864" s="74">
        <v>400.0</v>
      </c>
      <c r="E864" s="67">
        <v>20.77</v>
      </c>
      <c r="F864" s="75">
        <v>0.6550925925925926</v>
      </c>
      <c r="G864" s="67" t="s">
        <v>453</v>
      </c>
      <c r="H864" s="68">
        <v>1.7</v>
      </c>
      <c r="I864" s="76"/>
      <c r="J864" s="67">
        <f t="shared" si="61"/>
        <v>8306.3</v>
      </c>
      <c r="K864" s="7"/>
      <c r="L864" s="70"/>
      <c r="M864" s="79"/>
      <c r="N864" s="1"/>
      <c r="O864" s="1"/>
      <c r="P864" s="1"/>
      <c r="Q864" s="1"/>
      <c r="R864" s="1"/>
      <c r="S864" s="1"/>
      <c r="T864" s="1"/>
      <c r="U864" s="1"/>
      <c r="V864" s="1"/>
      <c r="W864" s="1"/>
      <c r="X864" s="1"/>
      <c r="Y864" s="1"/>
      <c r="Z864" s="1"/>
      <c r="AA864" s="1"/>
      <c r="AB864" s="1"/>
      <c r="AC864" s="1"/>
      <c r="AD864" s="1"/>
      <c r="AE864" s="1"/>
      <c r="AF864" s="1"/>
      <c r="AG864" s="1"/>
      <c r="AH864" s="1"/>
    </row>
    <row r="865" ht="12.75" hidden="1" customHeight="1" outlineLevel="1">
      <c r="A865" s="17">
        <v>41165.0</v>
      </c>
      <c r="B865" s="1" t="s">
        <v>347</v>
      </c>
      <c r="C865" s="1" t="s">
        <v>656</v>
      </c>
      <c r="D865" s="74">
        <v>100.0</v>
      </c>
      <c r="E865" s="67">
        <v>1767.9</v>
      </c>
      <c r="F865" s="75">
        <v>0.6741898148148149</v>
      </c>
      <c r="G865" s="67" t="s">
        <v>453</v>
      </c>
      <c r="H865" s="68">
        <v>2.32</v>
      </c>
      <c r="I865" s="76"/>
      <c r="J865" s="67">
        <f t="shared" si="61"/>
        <v>176787.68</v>
      </c>
      <c r="K865" s="7" t="s">
        <v>395</v>
      </c>
      <c r="L865" s="70"/>
      <c r="M865" s="79"/>
      <c r="N865" s="1"/>
      <c r="O865" s="1"/>
      <c r="P865" s="1"/>
      <c r="Q865" s="1"/>
      <c r="R865" s="1"/>
      <c r="S865" s="1"/>
      <c r="T865" s="1"/>
      <c r="U865" s="1"/>
      <c r="V865" s="1"/>
      <c r="W865" s="1"/>
      <c r="X865" s="1"/>
      <c r="Y865" s="1"/>
      <c r="Z865" s="1"/>
      <c r="AA865" s="1"/>
      <c r="AB865" s="1"/>
      <c r="AC865" s="1"/>
      <c r="AD865" s="1"/>
      <c r="AE865" s="1"/>
      <c r="AF865" s="1"/>
      <c r="AG865" s="1"/>
      <c r="AH865" s="1"/>
    </row>
    <row r="866" ht="12.75" hidden="1" customHeight="1" outlineLevel="1">
      <c r="A866" s="17">
        <v>41165.0</v>
      </c>
      <c r="B866" s="1" t="s">
        <v>343</v>
      </c>
      <c r="C866" s="1" t="s">
        <v>656</v>
      </c>
      <c r="D866" s="74">
        <v>100.0</v>
      </c>
      <c r="E866" s="67">
        <v>1774.1</v>
      </c>
      <c r="F866" s="75">
        <v>0.8747453703703704</v>
      </c>
      <c r="G866" s="67" t="s">
        <v>453</v>
      </c>
      <c r="H866" s="68">
        <v>2.32</v>
      </c>
      <c r="I866" s="76"/>
      <c r="J866" s="67">
        <f t="shared" si="61"/>
        <v>-177412.32</v>
      </c>
      <c r="K866" s="7" t="s">
        <v>395</v>
      </c>
      <c r="L866" s="70"/>
      <c r="M866" s="79"/>
      <c r="N866" s="1"/>
      <c r="O866" s="1"/>
      <c r="P866" s="1"/>
      <c r="Q866" s="1"/>
      <c r="R866" s="1"/>
      <c r="S866" s="1"/>
      <c r="T866" s="1"/>
      <c r="U866" s="1"/>
      <c r="V866" s="1"/>
      <c r="W866" s="1"/>
      <c r="X866" s="1"/>
      <c r="Y866" s="1"/>
      <c r="Z866" s="1"/>
      <c r="AA866" s="1"/>
      <c r="AB866" s="1"/>
      <c r="AC866" s="1"/>
      <c r="AD866" s="1"/>
      <c r="AE866" s="1"/>
      <c r="AF866" s="1"/>
      <c r="AG866" s="1"/>
      <c r="AH866" s="1"/>
    </row>
    <row r="867" ht="12.75" hidden="1" customHeight="1" outlineLevel="1">
      <c r="A867" s="17">
        <v>41165.0</v>
      </c>
      <c r="B867" s="1"/>
      <c r="C867" s="1" t="s">
        <v>339</v>
      </c>
      <c r="D867" s="74"/>
      <c r="E867" s="67"/>
      <c r="F867" s="75"/>
      <c r="G867" s="67"/>
      <c r="H867" s="68"/>
      <c r="I867" s="76"/>
      <c r="J867" s="67"/>
      <c r="K867" s="7" t="s">
        <v>663</v>
      </c>
      <c r="L867" s="77"/>
      <c r="M867" s="79"/>
      <c r="N867" s="1"/>
      <c r="O867" s="1"/>
      <c r="P867" s="1"/>
      <c r="Q867" s="1"/>
      <c r="R867" s="1"/>
      <c r="S867" s="1"/>
      <c r="T867" s="1"/>
      <c r="U867" s="1"/>
      <c r="V867" s="1"/>
      <c r="W867" s="1"/>
      <c r="X867" s="1"/>
      <c r="Y867" s="1"/>
      <c r="Z867" s="1"/>
      <c r="AA867" s="1"/>
      <c r="AB867" s="1"/>
      <c r="AC867" s="1"/>
      <c r="AD867" s="1"/>
      <c r="AE867" s="1"/>
      <c r="AF867" s="1"/>
      <c r="AG867" s="1"/>
      <c r="AH867" s="1"/>
    </row>
    <row r="868" ht="12.75" hidden="1" customHeight="1" outlineLevel="1">
      <c r="A868" s="17">
        <v>41165.0</v>
      </c>
      <c r="B868" s="1"/>
      <c r="C868" s="1" t="s">
        <v>429</v>
      </c>
      <c r="D868" s="74"/>
      <c r="E868" s="67"/>
      <c r="F868" s="75"/>
      <c r="G868" s="67"/>
      <c r="H868" s="68"/>
      <c r="I868" s="76"/>
      <c r="J868" s="67"/>
      <c r="K868" s="7" t="s">
        <v>636</v>
      </c>
      <c r="L868" s="77"/>
      <c r="M868" s="79"/>
      <c r="N868" s="1"/>
      <c r="O868" s="1"/>
      <c r="P868" s="1"/>
      <c r="Q868" s="1"/>
      <c r="R868" s="1"/>
      <c r="S868" s="1"/>
      <c r="T868" s="1"/>
      <c r="U868" s="1"/>
      <c r="V868" s="1"/>
      <c r="W868" s="1"/>
      <c r="X868" s="1"/>
      <c r="Y868" s="1"/>
      <c r="Z868" s="1"/>
      <c r="AA868" s="1"/>
      <c r="AB868" s="1"/>
      <c r="AC868" s="1"/>
      <c r="AD868" s="1"/>
      <c r="AE868" s="1"/>
      <c r="AF868" s="1"/>
      <c r="AG868" s="1"/>
      <c r="AH868" s="1"/>
    </row>
    <row r="869" ht="12.75" hidden="1" customHeight="1" outlineLevel="1">
      <c r="A869" s="17">
        <v>41165.0</v>
      </c>
      <c r="B869" s="1"/>
      <c r="C869" s="1" t="s">
        <v>431</v>
      </c>
      <c r="D869" s="74"/>
      <c r="E869" s="67"/>
      <c r="F869" s="75"/>
      <c r="G869" s="67"/>
      <c r="H869" s="68"/>
      <c r="I869" s="76"/>
      <c r="J869" s="67"/>
      <c r="K869" s="7" t="s">
        <v>502</v>
      </c>
      <c r="L869" s="77"/>
      <c r="M869" s="79"/>
      <c r="N869" s="1"/>
      <c r="O869" s="1"/>
      <c r="P869" s="1"/>
      <c r="Q869" s="1"/>
      <c r="R869" s="1"/>
      <c r="S869" s="1"/>
      <c r="T869" s="1"/>
      <c r="U869" s="1"/>
      <c r="V869" s="1"/>
      <c r="W869" s="1"/>
      <c r="X869" s="1"/>
      <c r="Y869" s="1"/>
      <c r="Z869" s="1"/>
      <c r="AA869" s="1"/>
      <c r="AB869" s="1"/>
      <c r="AC869" s="1"/>
      <c r="AD869" s="1"/>
      <c r="AE869" s="1"/>
      <c r="AF869" s="1"/>
      <c r="AG869" s="1"/>
      <c r="AH869" s="1"/>
    </row>
    <row r="870" ht="12.75" hidden="1" customHeight="1" outlineLevel="1">
      <c r="A870" s="17">
        <v>41165.0</v>
      </c>
      <c r="B870" s="1"/>
      <c r="C870" s="1" t="s">
        <v>433</v>
      </c>
      <c r="D870" s="74"/>
      <c r="E870" s="67"/>
      <c r="F870" s="75"/>
      <c r="G870" s="67"/>
      <c r="H870" s="68"/>
      <c r="I870" s="76"/>
      <c r="J870" s="67"/>
      <c r="K870" s="1" t="s">
        <v>434</v>
      </c>
      <c r="L870" s="77"/>
      <c r="M870" s="79"/>
      <c r="N870" s="1"/>
      <c r="O870" s="1"/>
      <c r="P870" s="1"/>
      <c r="Q870" s="1"/>
      <c r="R870" s="1"/>
      <c r="S870" s="1"/>
      <c r="T870" s="1"/>
      <c r="U870" s="1"/>
      <c r="V870" s="1"/>
      <c r="W870" s="1"/>
      <c r="X870" s="1"/>
      <c r="Y870" s="1"/>
      <c r="Z870" s="1"/>
      <c r="AA870" s="1"/>
      <c r="AB870" s="1"/>
      <c r="AC870" s="1"/>
      <c r="AD870" s="1"/>
      <c r="AE870" s="1"/>
      <c r="AF870" s="1"/>
      <c r="AG870" s="1"/>
      <c r="AH870" s="1"/>
    </row>
    <row r="871" ht="12.75" hidden="1" customHeight="1" outlineLevel="1">
      <c r="A871" s="17">
        <v>41165.0</v>
      </c>
      <c r="B871" s="1"/>
      <c r="C871" s="1" t="s">
        <v>435</v>
      </c>
      <c r="D871" s="74"/>
      <c r="E871" s="67"/>
      <c r="F871" s="75"/>
      <c r="G871" s="67"/>
      <c r="H871" s="68"/>
      <c r="I871" s="76"/>
      <c r="J871" s="67"/>
      <c r="K871" s="7" t="s">
        <v>658</v>
      </c>
      <c r="L871" s="77"/>
      <c r="M871" s="79"/>
      <c r="N871" s="1"/>
      <c r="O871" s="1"/>
      <c r="P871" s="1"/>
      <c r="Q871" s="1"/>
      <c r="R871" s="1"/>
      <c r="S871" s="1"/>
      <c r="T871" s="1"/>
      <c r="U871" s="1"/>
      <c r="V871" s="1"/>
      <c r="W871" s="1"/>
      <c r="X871" s="1"/>
      <c r="Y871" s="1"/>
      <c r="Z871" s="1"/>
      <c r="AA871" s="1"/>
      <c r="AB871" s="1"/>
      <c r="AC871" s="1"/>
      <c r="AD871" s="1"/>
      <c r="AE871" s="1"/>
      <c r="AF871" s="1"/>
      <c r="AG871" s="1"/>
      <c r="AH871" s="1"/>
    </row>
    <row r="872" ht="12.75" hidden="1" customHeight="1" outlineLevel="1">
      <c r="A872" s="17">
        <v>41166.0</v>
      </c>
      <c r="B872" s="1" t="s">
        <v>343</v>
      </c>
      <c r="C872" s="1" t="s">
        <v>399</v>
      </c>
      <c r="D872" s="74">
        <v>1050.0</v>
      </c>
      <c r="E872" s="67">
        <v>5.15</v>
      </c>
      <c r="F872" s="75">
        <v>0.4234490740740741</v>
      </c>
      <c r="G872" s="67" t="s">
        <v>453</v>
      </c>
      <c r="H872" s="68">
        <v>4.25</v>
      </c>
      <c r="I872" s="76"/>
      <c r="J872" s="67">
        <f t="shared" ref="J872:J875" si="62">IF(B872="SLD",D872*E872,-D872*E872)-H872</f>
        <v>-5411.75</v>
      </c>
      <c r="K872" s="7"/>
      <c r="L872" s="70"/>
      <c r="M872" s="79"/>
      <c r="N872" s="1"/>
      <c r="O872" s="1"/>
      <c r="P872" s="1"/>
      <c r="Q872" s="1"/>
      <c r="R872" s="1"/>
      <c r="S872" s="1"/>
      <c r="T872" s="1"/>
      <c r="U872" s="1"/>
      <c r="V872" s="1"/>
      <c r="W872" s="1"/>
      <c r="X872" s="1"/>
      <c r="Y872" s="1"/>
      <c r="Z872" s="1"/>
      <c r="AA872" s="1"/>
      <c r="AB872" s="1"/>
      <c r="AC872" s="1"/>
      <c r="AD872" s="1"/>
      <c r="AE872" s="1"/>
      <c r="AF872" s="1"/>
      <c r="AG872" s="1"/>
      <c r="AH872" s="1"/>
    </row>
    <row r="873" ht="12.75" hidden="1" customHeight="1" outlineLevel="1">
      <c r="A873" s="17">
        <v>41166.0</v>
      </c>
      <c r="B873" s="1" t="s">
        <v>343</v>
      </c>
      <c r="C873" s="1" t="s">
        <v>381</v>
      </c>
      <c r="D873" s="74">
        <v>400.0</v>
      </c>
      <c r="E873" s="67">
        <v>21.57</v>
      </c>
      <c r="F873" s="75">
        <v>0.42422453703703705</v>
      </c>
      <c r="G873" s="67" t="s">
        <v>453</v>
      </c>
      <c r="H873" s="68">
        <v>1.8</v>
      </c>
      <c r="I873" s="76"/>
      <c r="J873" s="67">
        <f t="shared" si="62"/>
        <v>-8629.8</v>
      </c>
      <c r="K873" s="7"/>
      <c r="L873" s="70"/>
      <c r="M873" s="79"/>
      <c r="N873" s="1"/>
      <c r="O873" s="1"/>
      <c r="P873" s="1"/>
      <c r="Q873" s="1"/>
      <c r="R873" s="1"/>
      <c r="S873" s="1"/>
      <c r="T873" s="1"/>
      <c r="U873" s="1"/>
      <c r="V873" s="1"/>
      <c r="W873" s="1"/>
      <c r="X873" s="1"/>
      <c r="Y873" s="1"/>
      <c r="Z873" s="1"/>
      <c r="AA873" s="1"/>
      <c r="AB873" s="1"/>
      <c r="AC873" s="1"/>
      <c r="AD873" s="1"/>
      <c r="AE873" s="1"/>
      <c r="AF873" s="1"/>
      <c r="AG873" s="1"/>
      <c r="AH873" s="1"/>
    </row>
    <row r="874" ht="12.75" hidden="1" customHeight="1" outlineLevel="1">
      <c r="A874" s="17">
        <v>41166.0</v>
      </c>
      <c r="B874" s="1" t="s">
        <v>343</v>
      </c>
      <c r="C874" s="1" t="s">
        <v>344</v>
      </c>
      <c r="D874" s="74">
        <v>1000.0</v>
      </c>
      <c r="E874" s="67">
        <v>34.87</v>
      </c>
      <c r="F874" s="75">
        <v>0.5770833333333333</v>
      </c>
      <c r="G874" s="67" t="s">
        <v>453</v>
      </c>
      <c r="H874" s="68">
        <v>4.8</v>
      </c>
      <c r="I874" s="76"/>
      <c r="J874" s="67">
        <f t="shared" si="62"/>
        <v>-34874.8</v>
      </c>
      <c r="K874" s="7" t="s">
        <v>395</v>
      </c>
      <c r="L874" s="70"/>
      <c r="M874" s="79"/>
      <c r="N874" s="1"/>
      <c r="O874" s="1"/>
      <c r="P874" s="1"/>
      <c r="Q874" s="1"/>
      <c r="R874" s="1"/>
      <c r="S874" s="1"/>
      <c r="T874" s="1"/>
      <c r="U874" s="1"/>
      <c r="V874" s="1"/>
      <c r="W874" s="1"/>
      <c r="X874" s="1"/>
      <c r="Y874" s="1"/>
      <c r="Z874" s="1"/>
      <c r="AA874" s="1"/>
      <c r="AB874" s="1"/>
      <c r="AC874" s="1"/>
      <c r="AD874" s="1"/>
      <c r="AE874" s="1"/>
      <c r="AF874" s="1"/>
      <c r="AG874" s="1"/>
      <c r="AH874" s="1"/>
    </row>
    <row r="875" ht="12.75" hidden="1" customHeight="1" outlineLevel="1">
      <c r="A875" s="17">
        <v>41166.0</v>
      </c>
      <c r="B875" s="1" t="s">
        <v>347</v>
      </c>
      <c r="C875" s="1" t="s">
        <v>344</v>
      </c>
      <c r="D875" s="74">
        <v>1000.0</v>
      </c>
      <c r="E875" s="67">
        <v>34.9</v>
      </c>
      <c r="F875" s="75">
        <v>0.6466435185185185</v>
      </c>
      <c r="G875" s="67" t="s">
        <v>453</v>
      </c>
      <c r="H875" s="68">
        <v>4.9</v>
      </c>
      <c r="I875" s="76"/>
      <c r="J875" s="67">
        <f t="shared" si="62"/>
        <v>34895.1</v>
      </c>
      <c r="K875" s="7" t="s">
        <v>395</v>
      </c>
      <c r="L875" s="70"/>
      <c r="M875" s="79"/>
      <c r="N875" s="1"/>
      <c r="O875" s="1"/>
      <c r="P875" s="1"/>
      <c r="Q875" s="1"/>
      <c r="R875" s="1"/>
      <c r="S875" s="1"/>
      <c r="T875" s="1"/>
      <c r="U875" s="1"/>
      <c r="V875" s="1"/>
      <c r="W875" s="1"/>
      <c r="X875" s="1"/>
      <c r="Y875" s="1"/>
      <c r="Z875" s="1"/>
      <c r="AA875" s="1"/>
      <c r="AB875" s="1"/>
      <c r="AC875" s="1"/>
      <c r="AD875" s="1"/>
      <c r="AE875" s="1"/>
      <c r="AF875" s="1"/>
      <c r="AG875" s="1"/>
      <c r="AH875" s="1"/>
    </row>
    <row r="876" ht="12.75" hidden="1" customHeight="1" outlineLevel="1">
      <c r="A876" s="17">
        <v>41166.0</v>
      </c>
      <c r="B876" s="1"/>
      <c r="C876" s="1" t="s">
        <v>339</v>
      </c>
      <c r="D876" s="74"/>
      <c r="E876" s="67"/>
      <c r="F876" s="75"/>
      <c r="G876" s="67"/>
      <c r="H876" s="68"/>
      <c r="I876" s="76"/>
      <c r="J876" s="67"/>
      <c r="K876" s="7" t="s">
        <v>664</v>
      </c>
      <c r="L876" s="77"/>
      <c r="M876" s="79"/>
      <c r="N876" s="1"/>
      <c r="O876" s="1"/>
      <c r="P876" s="1"/>
      <c r="Q876" s="1"/>
      <c r="R876" s="1"/>
      <c r="S876" s="1"/>
      <c r="T876" s="1"/>
      <c r="U876" s="1"/>
      <c r="V876" s="1"/>
      <c r="W876" s="1"/>
      <c r="X876" s="1"/>
      <c r="Y876" s="1"/>
      <c r="Z876" s="1"/>
      <c r="AA876" s="1"/>
      <c r="AB876" s="1"/>
      <c r="AC876" s="1"/>
      <c r="AD876" s="1"/>
      <c r="AE876" s="1"/>
      <c r="AF876" s="1"/>
      <c r="AG876" s="1"/>
      <c r="AH876" s="1"/>
    </row>
    <row r="877" ht="12.75" hidden="1" customHeight="1" outlineLevel="1">
      <c r="A877" s="17">
        <v>41166.0</v>
      </c>
      <c r="B877" s="1"/>
      <c r="C877" s="1" t="s">
        <v>429</v>
      </c>
      <c r="D877" s="74"/>
      <c r="E877" s="67"/>
      <c r="F877" s="75"/>
      <c r="G877" s="67"/>
      <c r="H877" s="68"/>
      <c r="I877" s="76"/>
      <c r="J877" s="67"/>
      <c r="K877" s="7" t="s">
        <v>636</v>
      </c>
      <c r="L877" s="77"/>
      <c r="M877" s="79"/>
      <c r="N877" s="1"/>
      <c r="O877" s="1"/>
      <c r="P877" s="1"/>
      <c r="Q877" s="1"/>
      <c r="R877" s="1"/>
      <c r="S877" s="1"/>
      <c r="T877" s="1"/>
      <c r="U877" s="1"/>
      <c r="V877" s="1"/>
      <c r="W877" s="1"/>
      <c r="X877" s="1"/>
      <c r="Y877" s="1"/>
      <c r="Z877" s="1"/>
      <c r="AA877" s="1"/>
      <c r="AB877" s="1"/>
      <c r="AC877" s="1"/>
      <c r="AD877" s="1"/>
      <c r="AE877" s="1"/>
      <c r="AF877" s="1"/>
      <c r="AG877" s="1"/>
      <c r="AH877" s="1"/>
    </row>
    <row r="878" ht="12.75" hidden="1" customHeight="1" outlineLevel="1">
      <c r="A878" s="17">
        <v>41166.0</v>
      </c>
      <c r="B878" s="1"/>
      <c r="C878" s="1" t="s">
        <v>431</v>
      </c>
      <c r="D878" s="74"/>
      <c r="E878" s="67"/>
      <c r="F878" s="75"/>
      <c r="G878" s="67"/>
      <c r="H878" s="68"/>
      <c r="I878" s="76"/>
      <c r="J878" s="67"/>
      <c r="K878" s="7" t="s">
        <v>502</v>
      </c>
      <c r="L878" s="77"/>
      <c r="M878" s="79"/>
      <c r="N878" s="1"/>
      <c r="O878" s="1"/>
      <c r="P878" s="1"/>
      <c r="Q878" s="1"/>
      <c r="R878" s="1"/>
      <c r="S878" s="1"/>
      <c r="T878" s="1"/>
      <c r="U878" s="1"/>
      <c r="V878" s="1"/>
      <c r="W878" s="1"/>
      <c r="X878" s="1"/>
      <c r="Y878" s="1"/>
      <c r="Z878" s="1"/>
      <c r="AA878" s="1"/>
      <c r="AB878" s="1"/>
      <c r="AC878" s="1"/>
      <c r="AD878" s="1"/>
      <c r="AE878" s="1"/>
      <c r="AF878" s="1"/>
      <c r="AG878" s="1"/>
      <c r="AH878" s="1"/>
    </row>
    <row r="879" ht="12.75" hidden="1" customHeight="1" outlineLevel="1">
      <c r="A879" s="17">
        <v>41166.0</v>
      </c>
      <c r="B879" s="1"/>
      <c r="C879" s="1" t="s">
        <v>433</v>
      </c>
      <c r="D879" s="74"/>
      <c r="E879" s="67"/>
      <c r="F879" s="75"/>
      <c r="G879" s="67"/>
      <c r="H879" s="68"/>
      <c r="I879" s="76"/>
      <c r="J879" s="67"/>
      <c r="K879" s="1" t="s">
        <v>434</v>
      </c>
      <c r="L879" s="77"/>
      <c r="M879" s="79"/>
      <c r="N879" s="1"/>
      <c r="O879" s="1"/>
      <c r="P879" s="1"/>
      <c r="Q879" s="1"/>
      <c r="R879" s="1"/>
      <c r="S879" s="1"/>
      <c r="T879" s="1"/>
      <c r="U879" s="1"/>
      <c r="V879" s="1"/>
      <c r="W879" s="1"/>
      <c r="X879" s="1"/>
      <c r="Y879" s="1"/>
      <c r="Z879" s="1"/>
      <c r="AA879" s="1"/>
      <c r="AB879" s="1"/>
      <c r="AC879" s="1"/>
      <c r="AD879" s="1"/>
      <c r="AE879" s="1"/>
      <c r="AF879" s="1"/>
      <c r="AG879" s="1"/>
      <c r="AH879" s="1"/>
    </row>
    <row r="880" ht="12.75" hidden="1" customHeight="1" outlineLevel="1">
      <c r="A880" s="17">
        <v>41166.0</v>
      </c>
      <c r="B880" s="1"/>
      <c r="C880" s="1" t="s">
        <v>435</v>
      </c>
      <c r="D880" s="74"/>
      <c r="E880" s="67"/>
      <c r="F880" s="75"/>
      <c r="G880" s="67"/>
      <c r="H880" s="68"/>
      <c r="I880" s="76"/>
      <c r="J880" s="67"/>
      <c r="K880" s="7" t="s">
        <v>658</v>
      </c>
      <c r="L880" s="77"/>
      <c r="M880" s="79"/>
      <c r="N880" s="1"/>
      <c r="O880" s="1"/>
      <c r="P880" s="1"/>
      <c r="Q880" s="1"/>
      <c r="R880" s="1"/>
      <c r="S880" s="1"/>
      <c r="T880" s="1"/>
      <c r="U880" s="1"/>
      <c r="V880" s="1"/>
      <c r="W880" s="1"/>
      <c r="X880" s="1"/>
      <c r="Y880" s="1"/>
      <c r="Z880" s="1"/>
      <c r="AA880" s="1"/>
      <c r="AB880" s="1"/>
      <c r="AC880" s="1"/>
      <c r="AD880" s="1"/>
      <c r="AE880" s="1"/>
      <c r="AF880" s="1"/>
      <c r="AG880" s="1"/>
      <c r="AH880" s="1"/>
    </row>
    <row r="881" ht="12.75" hidden="1" customHeight="1" outlineLevel="1">
      <c r="A881" s="17">
        <v>41167.0</v>
      </c>
      <c r="B881" s="1"/>
      <c r="C881" s="1" t="s">
        <v>339</v>
      </c>
      <c r="D881" s="74"/>
      <c r="E881" s="67"/>
      <c r="F881" s="75"/>
      <c r="G881" s="67"/>
      <c r="H881" s="68"/>
      <c r="I881" s="76"/>
      <c r="J881" s="67"/>
      <c r="K881" s="7" t="s">
        <v>665</v>
      </c>
      <c r="L881" s="77"/>
      <c r="M881" s="79"/>
      <c r="N881" s="1"/>
      <c r="O881" s="1"/>
      <c r="P881" s="1"/>
      <c r="Q881" s="1"/>
      <c r="R881" s="1"/>
      <c r="S881" s="1"/>
      <c r="T881" s="1"/>
      <c r="U881" s="1"/>
      <c r="V881" s="1"/>
      <c r="W881" s="1"/>
      <c r="X881" s="1"/>
      <c r="Y881" s="1"/>
      <c r="Z881" s="1"/>
      <c r="AA881" s="1"/>
      <c r="AB881" s="1"/>
      <c r="AC881" s="1"/>
      <c r="AD881" s="1"/>
      <c r="AE881" s="1"/>
      <c r="AF881" s="1"/>
      <c r="AG881" s="1"/>
      <c r="AH881" s="1"/>
    </row>
    <row r="882" ht="12.75" hidden="1" customHeight="1" outlineLevel="1">
      <c r="A882" s="17">
        <v>41167.0</v>
      </c>
      <c r="B882" s="1"/>
      <c r="C882" s="1" t="s">
        <v>429</v>
      </c>
      <c r="D882" s="74"/>
      <c r="E882" s="67"/>
      <c r="F882" s="75"/>
      <c r="G882" s="67"/>
      <c r="H882" s="68"/>
      <c r="I882" s="76"/>
      <c r="J882" s="67"/>
      <c r="K882" s="7" t="s">
        <v>636</v>
      </c>
      <c r="L882" s="77"/>
      <c r="M882" s="79"/>
      <c r="N882" s="1"/>
      <c r="O882" s="1"/>
      <c r="P882" s="1"/>
      <c r="Q882" s="1"/>
      <c r="R882" s="1"/>
      <c r="S882" s="1"/>
      <c r="T882" s="1"/>
      <c r="U882" s="1"/>
      <c r="V882" s="1"/>
      <c r="W882" s="1"/>
      <c r="X882" s="1"/>
      <c r="Y882" s="1"/>
      <c r="Z882" s="1"/>
      <c r="AA882" s="1"/>
      <c r="AB882" s="1"/>
      <c r="AC882" s="1"/>
      <c r="AD882" s="1"/>
      <c r="AE882" s="1"/>
      <c r="AF882" s="1"/>
      <c r="AG882" s="1"/>
      <c r="AH882" s="1"/>
    </row>
    <row r="883" ht="12.75" hidden="1" customHeight="1" outlineLevel="1">
      <c r="A883" s="17">
        <v>41167.0</v>
      </c>
      <c r="B883" s="1"/>
      <c r="C883" s="1" t="s">
        <v>431</v>
      </c>
      <c r="D883" s="74"/>
      <c r="E883" s="67"/>
      <c r="F883" s="75"/>
      <c r="G883" s="67"/>
      <c r="H883" s="68"/>
      <c r="I883" s="76"/>
      <c r="J883" s="67"/>
      <c r="K883" s="7" t="s">
        <v>502</v>
      </c>
      <c r="L883" s="77"/>
      <c r="M883" s="79"/>
      <c r="N883" s="1"/>
      <c r="O883" s="1"/>
      <c r="P883" s="1"/>
      <c r="Q883" s="1"/>
      <c r="R883" s="1"/>
      <c r="S883" s="1"/>
      <c r="T883" s="1"/>
      <c r="U883" s="1"/>
      <c r="V883" s="1"/>
      <c r="W883" s="1"/>
      <c r="X883" s="1"/>
      <c r="Y883" s="1"/>
      <c r="Z883" s="1"/>
      <c r="AA883" s="1"/>
      <c r="AB883" s="1"/>
      <c r="AC883" s="1"/>
      <c r="AD883" s="1"/>
      <c r="AE883" s="1"/>
      <c r="AF883" s="1"/>
      <c r="AG883" s="1"/>
      <c r="AH883" s="1"/>
    </row>
    <row r="884" ht="12.75" hidden="1" customHeight="1" outlineLevel="1">
      <c r="A884" s="17">
        <v>41167.0</v>
      </c>
      <c r="B884" s="1"/>
      <c r="C884" s="1" t="s">
        <v>433</v>
      </c>
      <c r="D884" s="74"/>
      <c r="E884" s="67"/>
      <c r="F884" s="75"/>
      <c r="G884" s="67"/>
      <c r="H884" s="68"/>
      <c r="I884" s="76"/>
      <c r="J884" s="67"/>
      <c r="K884" s="1" t="s">
        <v>434</v>
      </c>
      <c r="L884" s="77"/>
      <c r="M884" s="79"/>
      <c r="N884" s="1"/>
      <c r="O884" s="1"/>
      <c r="P884" s="1"/>
      <c r="Q884" s="1"/>
      <c r="R884" s="1"/>
      <c r="S884" s="1"/>
      <c r="T884" s="1"/>
      <c r="U884" s="1"/>
      <c r="V884" s="1"/>
      <c r="W884" s="1"/>
      <c r="X884" s="1"/>
      <c r="Y884" s="1"/>
      <c r="Z884" s="1"/>
      <c r="AA884" s="1"/>
      <c r="AB884" s="1"/>
      <c r="AC884" s="1"/>
      <c r="AD884" s="1"/>
      <c r="AE884" s="1"/>
      <c r="AF884" s="1"/>
      <c r="AG884" s="1"/>
      <c r="AH884" s="1"/>
    </row>
    <row r="885" ht="12.75" hidden="1" customHeight="1" outlineLevel="1">
      <c r="A885" s="17">
        <v>41167.0</v>
      </c>
      <c r="B885" s="1"/>
      <c r="C885" s="1" t="s">
        <v>435</v>
      </c>
      <c r="D885" s="74"/>
      <c r="E885" s="67"/>
      <c r="F885" s="75"/>
      <c r="G885" s="67"/>
      <c r="H885" s="68"/>
      <c r="I885" s="76"/>
      <c r="J885" s="67"/>
      <c r="K885" s="7" t="s">
        <v>658</v>
      </c>
      <c r="L885" s="77"/>
      <c r="M885" s="79"/>
      <c r="N885" s="1"/>
      <c r="O885" s="1"/>
      <c r="P885" s="1"/>
      <c r="Q885" s="1"/>
      <c r="R885" s="1"/>
      <c r="S885" s="1"/>
      <c r="T885" s="1"/>
      <c r="U885" s="1"/>
      <c r="V885" s="1"/>
      <c r="W885" s="1"/>
      <c r="X885" s="1"/>
      <c r="Y885" s="1"/>
      <c r="Z885" s="1"/>
      <c r="AA885" s="1"/>
      <c r="AB885" s="1"/>
      <c r="AC885" s="1"/>
      <c r="AD885" s="1"/>
      <c r="AE885" s="1"/>
      <c r="AF885" s="1"/>
      <c r="AG885" s="1"/>
      <c r="AH885" s="1"/>
    </row>
    <row r="886" ht="12.75" hidden="1" customHeight="1" outlineLevel="1">
      <c r="A886" s="17">
        <v>41169.0</v>
      </c>
      <c r="B886" s="1" t="s">
        <v>347</v>
      </c>
      <c r="C886" s="1" t="s">
        <v>381</v>
      </c>
      <c r="D886" s="74">
        <v>300.0</v>
      </c>
      <c r="E886" s="67">
        <v>21.86</v>
      </c>
      <c r="F886" s="75">
        <v>0.474699074074074</v>
      </c>
      <c r="G886" s="67" t="s">
        <v>453</v>
      </c>
      <c r="H886" s="68">
        <v>1.5</v>
      </c>
      <c r="I886" s="76"/>
      <c r="J886" s="67">
        <f t="shared" ref="J886:J890" si="63">IF(B886="SLD",D886*E886,-D886*E886)-H886</f>
        <v>6556.5</v>
      </c>
      <c r="K886" s="7"/>
      <c r="L886" s="70"/>
      <c r="M886" s="79"/>
      <c r="N886" s="1"/>
      <c r="O886" s="1"/>
      <c r="P886" s="1"/>
      <c r="Q886" s="1"/>
      <c r="R886" s="1"/>
      <c r="S886" s="1"/>
      <c r="T886" s="1"/>
      <c r="U886" s="1"/>
      <c r="V886" s="1"/>
      <c r="W886" s="1"/>
      <c r="X886" s="1"/>
      <c r="Y886" s="1"/>
      <c r="Z886" s="1"/>
      <c r="AA886" s="1"/>
      <c r="AB886" s="1"/>
      <c r="AC886" s="1"/>
      <c r="AD886" s="1"/>
      <c r="AE886" s="1"/>
      <c r="AF886" s="1"/>
      <c r="AG886" s="1"/>
      <c r="AH886" s="1"/>
    </row>
    <row r="887" ht="12.75" hidden="1" customHeight="1" outlineLevel="1">
      <c r="A887" s="17">
        <v>41169.0</v>
      </c>
      <c r="B887" s="1" t="s">
        <v>347</v>
      </c>
      <c r="C887" s="1" t="s">
        <v>441</v>
      </c>
      <c r="D887" s="74">
        <v>800.0</v>
      </c>
      <c r="E887" s="67">
        <v>8.305</v>
      </c>
      <c r="F887" s="75">
        <v>0.4758912037037037</v>
      </c>
      <c r="G887" s="67" t="s">
        <v>453</v>
      </c>
      <c r="H887" s="68">
        <v>4.0</v>
      </c>
      <c r="I887" s="76"/>
      <c r="J887" s="67">
        <f t="shared" si="63"/>
        <v>6640</v>
      </c>
      <c r="K887" s="7"/>
      <c r="L887" s="70"/>
      <c r="M887" s="79"/>
      <c r="N887" s="1"/>
      <c r="O887" s="1"/>
      <c r="P887" s="1"/>
      <c r="Q887" s="1"/>
      <c r="R887" s="1"/>
      <c r="S887" s="1"/>
      <c r="T887" s="1"/>
      <c r="U887" s="1"/>
      <c r="V887" s="1"/>
      <c r="W887" s="1"/>
      <c r="X887" s="1"/>
      <c r="Y887" s="1"/>
      <c r="Z887" s="1"/>
      <c r="AA887" s="1"/>
      <c r="AB887" s="1"/>
      <c r="AC887" s="1"/>
      <c r="AD887" s="1"/>
      <c r="AE887" s="1"/>
      <c r="AF887" s="1"/>
      <c r="AG887" s="1"/>
      <c r="AH887" s="1"/>
    </row>
    <row r="888" ht="12.75" hidden="1" customHeight="1" outlineLevel="1">
      <c r="A888" s="17">
        <v>41169.0</v>
      </c>
      <c r="B888" s="1" t="s">
        <v>347</v>
      </c>
      <c r="C888" s="1" t="s">
        <v>385</v>
      </c>
      <c r="D888" s="74">
        <v>1800.0</v>
      </c>
      <c r="E888" s="67">
        <v>3.1</v>
      </c>
      <c r="F888" s="75">
        <v>0.47613425925925923</v>
      </c>
      <c r="G888" s="67" t="s">
        <v>453</v>
      </c>
      <c r="H888" s="68">
        <v>9.0</v>
      </c>
      <c r="I888" s="76"/>
      <c r="J888" s="67">
        <f t="shared" si="63"/>
        <v>5571</v>
      </c>
      <c r="K888" s="7"/>
      <c r="L888" s="70"/>
      <c r="M888" s="79"/>
      <c r="N888" s="1"/>
      <c r="O888" s="1"/>
      <c r="P888" s="1"/>
      <c r="Q888" s="1"/>
      <c r="R888" s="1"/>
      <c r="S888" s="1"/>
      <c r="T888" s="1"/>
      <c r="U888" s="1"/>
      <c r="V888" s="1"/>
      <c r="W888" s="1"/>
      <c r="X888" s="1"/>
      <c r="Y888" s="1"/>
      <c r="Z888" s="1"/>
      <c r="AA888" s="1"/>
      <c r="AB888" s="1"/>
      <c r="AC888" s="1"/>
      <c r="AD888" s="1"/>
      <c r="AE888" s="1"/>
      <c r="AF888" s="1"/>
      <c r="AG888" s="1"/>
      <c r="AH888" s="1"/>
    </row>
    <row r="889" ht="12.75" hidden="1" customHeight="1" outlineLevel="1">
      <c r="A889" s="17">
        <v>41169.0</v>
      </c>
      <c r="B889" s="1" t="s">
        <v>347</v>
      </c>
      <c r="C889" s="1" t="s">
        <v>399</v>
      </c>
      <c r="D889" s="74">
        <v>1000.0</v>
      </c>
      <c r="E889" s="67">
        <v>4.94</v>
      </c>
      <c r="F889" s="75">
        <v>0.4767361111111111</v>
      </c>
      <c r="G889" s="67" t="s">
        <v>453</v>
      </c>
      <c r="H889" s="68">
        <v>4.5</v>
      </c>
      <c r="I889" s="76"/>
      <c r="J889" s="67">
        <f t="shared" si="63"/>
        <v>4935.5</v>
      </c>
      <c r="K889" s="7"/>
      <c r="L889" s="70"/>
      <c r="M889" s="79"/>
      <c r="N889" s="1"/>
      <c r="O889" s="1"/>
      <c r="P889" s="1"/>
      <c r="Q889" s="1"/>
      <c r="R889" s="1"/>
      <c r="S889" s="1"/>
      <c r="T889" s="1"/>
      <c r="U889" s="1"/>
      <c r="V889" s="1"/>
      <c r="W889" s="1"/>
      <c r="X889" s="1"/>
      <c r="Y889" s="1"/>
      <c r="Z889" s="1"/>
      <c r="AA889" s="1"/>
      <c r="AB889" s="1"/>
      <c r="AC889" s="1"/>
      <c r="AD889" s="1"/>
      <c r="AE889" s="1"/>
      <c r="AF889" s="1"/>
      <c r="AG889" s="1"/>
      <c r="AH889" s="1"/>
    </row>
    <row r="890" ht="12.75" hidden="1" customHeight="1" outlineLevel="1">
      <c r="A890" s="17">
        <v>41169.0</v>
      </c>
      <c r="B890" s="1" t="s">
        <v>347</v>
      </c>
      <c r="C890" s="1" t="s">
        <v>355</v>
      </c>
      <c r="D890" s="74">
        <v>150.0</v>
      </c>
      <c r="E890" s="67">
        <v>37.94</v>
      </c>
      <c r="F890" s="75">
        <v>0.4774768518518519</v>
      </c>
      <c r="G890" s="67" t="s">
        <v>453</v>
      </c>
      <c r="H890" s="68">
        <v>1.0</v>
      </c>
      <c r="I890" s="76"/>
      <c r="J890" s="67">
        <f t="shared" si="63"/>
        <v>5690</v>
      </c>
      <c r="K890" s="7"/>
      <c r="L890" s="70"/>
      <c r="M890" s="79"/>
      <c r="N890" s="1"/>
      <c r="O890" s="1"/>
      <c r="P890" s="1"/>
      <c r="Q890" s="1"/>
      <c r="R890" s="1"/>
      <c r="S890" s="1"/>
      <c r="T890" s="1"/>
      <c r="U890" s="1"/>
      <c r="V890" s="1"/>
      <c r="W890" s="1"/>
      <c r="X890" s="1"/>
      <c r="Y890" s="1"/>
      <c r="Z890" s="1"/>
      <c r="AA890" s="1"/>
      <c r="AB890" s="1"/>
      <c r="AC890" s="1"/>
      <c r="AD890" s="1"/>
      <c r="AE890" s="1"/>
      <c r="AF890" s="1"/>
      <c r="AG890" s="1"/>
      <c r="AH890" s="1"/>
    </row>
    <row r="891" ht="12.75" hidden="1" customHeight="1" outlineLevel="1">
      <c r="A891" s="17">
        <v>41169.0</v>
      </c>
      <c r="B891" s="1"/>
      <c r="C891" s="1" t="s">
        <v>339</v>
      </c>
      <c r="D891" s="74"/>
      <c r="E891" s="67"/>
      <c r="F891" s="75"/>
      <c r="G891" s="67"/>
      <c r="H891" s="68"/>
      <c r="I891" s="76"/>
      <c r="J891" s="67"/>
      <c r="K891" s="7" t="s">
        <v>666</v>
      </c>
      <c r="L891" s="77"/>
      <c r="M891" s="79"/>
      <c r="N891" s="1"/>
      <c r="O891" s="1"/>
      <c r="P891" s="1"/>
      <c r="Q891" s="1"/>
      <c r="R891" s="1"/>
      <c r="S891" s="1"/>
      <c r="T891" s="1"/>
      <c r="U891" s="1"/>
      <c r="V891" s="1"/>
      <c r="W891" s="1"/>
      <c r="X891" s="1"/>
      <c r="Y891" s="1"/>
      <c r="Z891" s="1"/>
      <c r="AA891" s="1"/>
      <c r="AB891" s="1"/>
      <c r="AC891" s="1"/>
      <c r="AD891" s="1"/>
      <c r="AE891" s="1"/>
      <c r="AF891" s="1"/>
      <c r="AG891" s="1"/>
      <c r="AH891" s="1"/>
    </row>
    <row r="892" ht="12.75" hidden="1" customHeight="1" outlineLevel="1">
      <c r="A892" s="17">
        <v>41169.0</v>
      </c>
      <c r="B892" s="1"/>
      <c r="C892" s="1" t="s">
        <v>429</v>
      </c>
      <c r="D892" s="74"/>
      <c r="E892" s="67"/>
      <c r="F892" s="75"/>
      <c r="G892" s="67"/>
      <c r="H892" s="68"/>
      <c r="I892" s="76"/>
      <c r="J892" s="67"/>
      <c r="K892" s="7" t="s">
        <v>636</v>
      </c>
      <c r="L892" s="77"/>
      <c r="M892" s="79"/>
      <c r="N892" s="1"/>
      <c r="O892" s="1"/>
      <c r="P892" s="1"/>
      <c r="Q892" s="1"/>
      <c r="R892" s="1"/>
      <c r="S892" s="1"/>
      <c r="T892" s="1"/>
      <c r="U892" s="1"/>
      <c r="V892" s="1"/>
      <c r="W892" s="1"/>
      <c r="X892" s="1"/>
      <c r="Y892" s="1"/>
      <c r="Z892" s="1"/>
      <c r="AA892" s="1"/>
      <c r="AB892" s="1"/>
      <c r="AC892" s="1"/>
      <c r="AD892" s="1"/>
      <c r="AE892" s="1"/>
      <c r="AF892" s="1"/>
      <c r="AG892" s="1"/>
      <c r="AH892" s="1"/>
    </row>
    <row r="893" ht="12.75" hidden="1" customHeight="1" outlineLevel="1">
      <c r="A893" s="17">
        <v>41169.0</v>
      </c>
      <c r="B893" s="1"/>
      <c r="C893" s="1" t="s">
        <v>431</v>
      </c>
      <c r="D893" s="74"/>
      <c r="E893" s="67"/>
      <c r="F893" s="75"/>
      <c r="G893" s="67"/>
      <c r="H893" s="68"/>
      <c r="I893" s="76"/>
      <c r="J893" s="67"/>
      <c r="K893" s="7" t="s">
        <v>502</v>
      </c>
      <c r="L893" s="77"/>
      <c r="M893" s="79"/>
      <c r="N893" s="1"/>
      <c r="O893" s="1"/>
      <c r="P893" s="1"/>
      <c r="Q893" s="1"/>
      <c r="R893" s="1"/>
      <c r="S893" s="1"/>
      <c r="T893" s="1"/>
      <c r="U893" s="1"/>
      <c r="V893" s="1"/>
      <c r="W893" s="1"/>
      <c r="X893" s="1"/>
      <c r="Y893" s="1"/>
      <c r="Z893" s="1"/>
      <c r="AA893" s="1"/>
      <c r="AB893" s="1"/>
      <c r="AC893" s="1"/>
      <c r="AD893" s="1"/>
      <c r="AE893" s="1"/>
      <c r="AF893" s="1"/>
      <c r="AG893" s="1"/>
      <c r="AH893" s="1"/>
    </row>
    <row r="894" ht="12.75" hidden="1" customHeight="1" outlineLevel="1">
      <c r="A894" s="17">
        <v>41169.0</v>
      </c>
      <c r="B894" s="1"/>
      <c r="C894" s="1" t="s">
        <v>433</v>
      </c>
      <c r="D894" s="74"/>
      <c r="E894" s="67"/>
      <c r="F894" s="75"/>
      <c r="G894" s="67"/>
      <c r="H894" s="68"/>
      <c r="I894" s="76"/>
      <c r="J894" s="67"/>
      <c r="K894" s="1" t="s">
        <v>434</v>
      </c>
      <c r="L894" s="77"/>
      <c r="M894" s="79"/>
      <c r="N894" s="1"/>
      <c r="O894" s="1"/>
      <c r="P894" s="1"/>
      <c r="Q894" s="1"/>
      <c r="R894" s="1"/>
      <c r="S894" s="1"/>
      <c r="T894" s="1"/>
      <c r="U894" s="1"/>
      <c r="V894" s="1"/>
      <c r="W894" s="1"/>
      <c r="X894" s="1"/>
      <c r="Y894" s="1"/>
      <c r="Z894" s="1"/>
      <c r="AA894" s="1"/>
      <c r="AB894" s="1"/>
      <c r="AC894" s="1"/>
      <c r="AD894" s="1"/>
      <c r="AE894" s="1"/>
      <c r="AF894" s="1"/>
      <c r="AG894" s="1"/>
      <c r="AH894" s="1"/>
    </row>
    <row r="895" ht="12.75" hidden="1" customHeight="1" outlineLevel="1">
      <c r="A895" s="17">
        <v>41169.0</v>
      </c>
      <c r="B895" s="1"/>
      <c r="C895" s="1" t="s">
        <v>435</v>
      </c>
      <c r="D895" s="74"/>
      <c r="E895" s="67"/>
      <c r="F895" s="75"/>
      <c r="G895" s="67"/>
      <c r="H895" s="68"/>
      <c r="I895" s="76"/>
      <c r="J895" s="67"/>
      <c r="K895" s="7" t="s">
        <v>658</v>
      </c>
      <c r="L895" s="77"/>
      <c r="M895" s="79"/>
      <c r="N895" s="1"/>
      <c r="O895" s="1"/>
      <c r="P895" s="1"/>
      <c r="Q895" s="1"/>
      <c r="R895" s="1"/>
      <c r="S895" s="1"/>
      <c r="T895" s="1"/>
      <c r="U895" s="1"/>
      <c r="V895" s="1"/>
      <c r="W895" s="1"/>
      <c r="X895" s="1"/>
      <c r="Y895" s="1"/>
      <c r="Z895" s="1"/>
      <c r="AA895" s="1"/>
      <c r="AB895" s="1"/>
      <c r="AC895" s="1"/>
      <c r="AD895" s="1"/>
      <c r="AE895" s="1"/>
      <c r="AF895" s="1"/>
      <c r="AG895" s="1"/>
      <c r="AH895" s="1"/>
    </row>
    <row r="896" ht="12.75" hidden="1" customHeight="1" outlineLevel="1">
      <c r="A896" s="17">
        <v>41170.0</v>
      </c>
      <c r="B896" s="1" t="s">
        <v>343</v>
      </c>
      <c r="C896" s="1" t="s">
        <v>344</v>
      </c>
      <c r="D896" s="74">
        <v>1000.0</v>
      </c>
      <c r="E896" s="67">
        <v>34.38</v>
      </c>
      <c r="F896" s="75">
        <v>0.41487268518518516</v>
      </c>
      <c r="G896" s="67" t="s">
        <v>453</v>
      </c>
      <c r="H896" s="68">
        <v>5.0</v>
      </c>
      <c r="I896" s="76"/>
      <c r="J896" s="67">
        <f t="shared" ref="J896:J903" si="64">IF(B896="SLD",D896*E896,-D896*E896)-H896</f>
        <v>-34385</v>
      </c>
      <c r="K896" s="7"/>
      <c r="L896" s="70"/>
      <c r="M896" s="79"/>
      <c r="N896" s="1"/>
      <c r="O896" s="1"/>
      <c r="P896" s="1"/>
      <c r="Q896" s="1"/>
      <c r="R896" s="1"/>
      <c r="S896" s="1"/>
      <c r="T896" s="1"/>
      <c r="U896" s="1"/>
      <c r="V896" s="1"/>
      <c r="W896" s="1"/>
      <c r="X896" s="1"/>
      <c r="Y896" s="1"/>
      <c r="Z896" s="1"/>
      <c r="AA896" s="1"/>
      <c r="AB896" s="1"/>
      <c r="AC896" s="1"/>
      <c r="AD896" s="1"/>
      <c r="AE896" s="1"/>
      <c r="AF896" s="1"/>
      <c r="AG896" s="1"/>
      <c r="AH896" s="1"/>
    </row>
    <row r="897" ht="12.75" hidden="1" customHeight="1" outlineLevel="1">
      <c r="A897" s="17">
        <v>41170.0</v>
      </c>
      <c r="B897" s="1" t="s">
        <v>347</v>
      </c>
      <c r="C897" s="1" t="s">
        <v>371</v>
      </c>
      <c r="D897" s="74">
        <v>125.0</v>
      </c>
      <c r="E897" s="67">
        <v>30.05</v>
      </c>
      <c r="F897" s="75">
        <v>0.5355324074074074</v>
      </c>
      <c r="G897" s="67" t="s">
        <v>453</v>
      </c>
      <c r="H897" s="68">
        <v>1.0</v>
      </c>
      <c r="I897" s="76"/>
      <c r="J897" s="67">
        <f t="shared" si="64"/>
        <v>3755.25</v>
      </c>
      <c r="K897" s="7"/>
      <c r="L897" s="70"/>
      <c r="M897" s="79"/>
      <c r="N897" s="1"/>
      <c r="O897" s="1"/>
      <c r="P897" s="1"/>
      <c r="Q897" s="1"/>
      <c r="R897" s="1"/>
      <c r="S897" s="1"/>
      <c r="T897" s="1"/>
      <c r="U897" s="1"/>
      <c r="V897" s="1"/>
      <c r="W897" s="1"/>
      <c r="X897" s="1"/>
      <c r="Y897" s="1"/>
      <c r="Z897" s="1"/>
      <c r="AA897" s="1"/>
      <c r="AB897" s="1"/>
      <c r="AC897" s="1"/>
      <c r="AD897" s="1"/>
      <c r="AE897" s="1"/>
      <c r="AF897" s="1"/>
      <c r="AG897" s="1"/>
      <c r="AH897" s="1"/>
    </row>
    <row r="898" ht="12.75" hidden="1" customHeight="1" outlineLevel="1">
      <c r="A898" s="17">
        <v>41170.0</v>
      </c>
      <c r="B898" s="1" t="s">
        <v>347</v>
      </c>
      <c r="C898" s="1" t="s">
        <v>344</v>
      </c>
      <c r="D898" s="74">
        <v>1000.0</v>
      </c>
      <c r="E898" s="67">
        <v>34.417</v>
      </c>
      <c r="F898" s="75">
        <v>0.586388888888889</v>
      </c>
      <c r="G898" s="67" t="s">
        <v>453</v>
      </c>
      <c r="H898" s="68">
        <v>4.8</v>
      </c>
      <c r="I898" s="76"/>
      <c r="J898" s="67">
        <f t="shared" si="64"/>
        <v>34412.2</v>
      </c>
      <c r="K898" s="7"/>
      <c r="L898" s="70"/>
      <c r="M898" s="79"/>
      <c r="N898" s="1"/>
      <c r="O898" s="1"/>
      <c r="P898" s="1"/>
      <c r="Q898" s="1"/>
      <c r="R898" s="1"/>
      <c r="S898" s="1"/>
      <c r="T898" s="1"/>
      <c r="U898" s="1"/>
      <c r="V898" s="1"/>
      <c r="W898" s="1"/>
      <c r="X898" s="1"/>
      <c r="Y898" s="1"/>
      <c r="Z898" s="1"/>
      <c r="AA898" s="1"/>
      <c r="AB898" s="1"/>
      <c r="AC898" s="1"/>
      <c r="AD898" s="1"/>
      <c r="AE898" s="1"/>
      <c r="AF898" s="1"/>
      <c r="AG898" s="1"/>
      <c r="AH898" s="1"/>
    </row>
    <row r="899" ht="12.75" hidden="1" customHeight="1" outlineLevel="1">
      <c r="A899" s="17">
        <v>41170.0</v>
      </c>
      <c r="B899" s="1" t="s">
        <v>347</v>
      </c>
      <c r="C899" s="1" t="s">
        <v>656</v>
      </c>
      <c r="D899" s="74">
        <v>100.0</v>
      </c>
      <c r="E899" s="67">
        <v>1768.0</v>
      </c>
      <c r="F899" s="75">
        <v>0.6070717592592593</v>
      </c>
      <c r="G899" s="67" t="s">
        <v>453</v>
      </c>
      <c r="H899" s="68">
        <v>2.32</v>
      </c>
      <c r="I899" s="76"/>
      <c r="J899" s="67">
        <f t="shared" si="64"/>
        <v>176797.68</v>
      </c>
      <c r="K899" s="7"/>
      <c r="L899" s="70"/>
      <c r="M899" s="79"/>
      <c r="N899" s="1"/>
      <c r="O899" s="1"/>
      <c r="P899" s="1"/>
      <c r="Q899" s="1"/>
      <c r="R899" s="1"/>
      <c r="S899" s="1"/>
      <c r="T899" s="1"/>
      <c r="U899" s="1"/>
      <c r="V899" s="1"/>
      <c r="W899" s="1"/>
      <c r="X899" s="1"/>
      <c r="Y899" s="1"/>
      <c r="Z899" s="1"/>
      <c r="AA899" s="1"/>
      <c r="AB899" s="1"/>
      <c r="AC899" s="1"/>
      <c r="AD899" s="1"/>
      <c r="AE899" s="1"/>
      <c r="AF899" s="1"/>
      <c r="AG899" s="1"/>
      <c r="AH899" s="1"/>
    </row>
    <row r="900" ht="12.75" hidden="1" customHeight="1" outlineLevel="1">
      <c r="A900" s="17">
        <v>41170.0</v>
      </c>
      <c r="B900" s="1" t="s">
        <v>343</v>
      </c>
      <c r="C900" s="1" t="s">
        <v>656</v>
      </c>
      <c r="D900" s="74">
        <v>100.0</v>
      </c>
      <c r="E900" s="67">
        <v>1772.0</v>
      </c>
      <c r="F900" s="75">
        <v>0.6405208333333333</v>
      </c>
      <c r="G900" s="67" t="s">
        <v>453</v>
      </c>
      <c r="H900" s="68">
        <v>2.32</v>
      </c>
      <c r="I900" s="76"/>
      <c r="J900" s="67">
        <f t="shared" si="64"/>
        <v>-177202.32</v>
      </c>
      <c r="K900" s="7"/>
      <c r="L900" s="70"/>
      <c r="M900" s="79"/>
      <c r="N900" s="1"/>
      <c r="O900" s="1"/>
      <c r="P900" s="1"/>
      <c r="Q900" s="1"/>
      <c r="R900" s="1"/>
      <c r="S900" s="1"/>
      <c r="T900" s="1"/>
      <c r="U900" s="1"/>
      <c r="V900" s="1"/>
      <c r="W900" s="1"/>
      <c r="X900" s="1"/>
      <c r="Y900" s="1"/>
      <c r="Z900" s="1"/>
      <c r="AA900" s="1"/>
      <c r="AB900" s="1"/>
      <c r="AC900" s="1"/>
      <c r="AD900" s="1"/>
      <c r="AE900" s="1"/>
      <c r="AF900" s="1"/>
      <c r="AG900" s="1"/>
      <c r="AH900" s="1"/>
    </row>
    <row r="901" ht="12.75" hidden="1" customHeight="1" outlineLevel="1">
      <c r="A901" s="17">
        <v>41170.0</v>
      </c>
      <c r="B901" s="1" t="s">
        <v>343</v>
      </c>
      <c r="C901" s="1" t="s">
        <v>656</v>
      </c>
      <c r="D901" s="74">
        <v>100.0</v>
      </c>
      <c r="E901" s="67">
        <v>1770.6</v>
      </c>
      <c r="F901" s="75">
        <v>0.6433564814814815</v>
      </c>
      <c r="G901" s="67" t="s">
        <v>453</v>
      </c>
      <c r="H901" s="68">
        <v>2.32</v>
      </c>
      <c r="I901" s="76"/>
      <c r="J901" s="67">
        <f t="shared" si="64"/>
        <v>-177062.32</v>
      </c>
      <c r="K901" s="7"/>
      <c r="L901" s="70"/>
      <c r="M901" s="79"/>
      <c r="N901" s="1"/>
      <c r="O901" s="1"/>
      <c r="P901" s="1"/>
      <c r="Q901" s="1"/>
      <c r="R901" s="1"/>
      <c r="S901" s="1"/>
      <c r="T901" s="1"/>
      <c r="U901" s="1"/>
      <c r="V901" s="1"/>
      <c r="W901" s="1"/>
      <c r="X901" s="1"/>
      <c r="Y901" s="1"/>
      <c r="Z901" s="1"/>
      <c r="AA901" s="1"/>
      <c r="AB901" s="1"/>
      <c r="AC901" s="1"/>
      <c r="AD901" s="1"/>
      <c r="AE901" s="1"/>
      <c r="AF901" s="1"/>
      <c r="AG901" s="1"/>
      <c r="AH901" s="1"/>
    </row>
    <row r="902" ht="12.75" hidden="1" customHeight="1" outlineLevel="1">
      <c r="A902" s="17">
        <v>41170.0</v>
      </c>
      <c r="B902" s="1" t="s">
        <v>347</v>
      </c>
      <c r="C902" s="1" t="s">
        <v>656</v>
      </c>
      <c r="D902" s="74">
        <v>100.0</v>
      </c>
      <c r="E902" s="67">
        <v>1771.0</v>
      </c>
      <c r="F902" s="75">
        <v>0.6507523148148148</v>
      </c>
      <c r="G902" s="67" t="s">
        <v>453</v>
      </c>
      <c r="H902" s="68">
        <v>2.32</v>
      </c>
      <c r="I902" s="76"/>
      <c r="J902" s="67">
        <f t="shared" si="64"/>
        <v>177097.68</v>
      </c>
      <c r="K902" s="7"/>
      <c r="L902" s="70"/>
      <c r="M902" s="79"/>
      <c r="N902" s="1"/>
      <c r="O902" s="1"/>
      <c r="P902" s="1"/>
      <c r="Q902" s="1"/>
      <c r="R902" s="1"/>
      <c r="S902" s="1"/>
      <c r="T902" s="1"/>
      <c r="U902" s="1"/>
      <c r="V902" s="1"/>
      <c r="W902" s="1"/>
      <c r="X902" s="1"/>
      <c r="Y902" s="1"/>
      <c r="Z902" s="1"/>
      <c r="AA902" s="1"/>
      <c r="AB902" s="1"/>
      <c r="AC902" s="1"/>
      <c r="AD902" s="1"/>
      <c r="AE902" s="1"/>
      <c r="AF902" s="1"/>
      <c r="AG902" s="1"/>
      <c r="AH902" s="1"/>
    </row>
    <row r="903" ht="12.75" hidden="1" customHeight="1" outlineLevel="1">
      <c r="A903" s="17">
        <v>41170.0</v>
      </c>
      <c r="B903" s="1" t="s">
        <v>347</v>
      </c>
      <c r="C903" s="1" t="s">
        <v>344</v>
      </c>
      <c r="D903" s="74">
        <v>1800.0</v>
      </c>
      <c r="E903" s="67">
        <v>34.36</v>
      </c>
      <c r="F903" s="75">
        <v>0.6626388888888889</v>
      </c>
      <c r="G903" s="67" t="s">
        <v>453</v>
      </c>
      <c r="H903" s="68">
        <v>8.7</v>
      </c>
      <c r="I903" s="76"/>
      <c r="J903" s="67">
        <f t="shared" si="64"/>
        <v>61839.3</v>
      </c>
      <c r="K903" s="7"/>
      <c r="L903" s="70"/>
      <c r="M903" s="79"/>
      <c r="N903" s="1"/>
      <c r="O903" s="1"/>
      <c r="P903" s="1"/>
      <c r="Q903" s="1"/>
      <c r="R903" s="1"/>
      <c r="S903" s="1"/>
      <c r="T903" s="1"/>
      <c r="U903" s="1"/>
      <c r="V903" s="1"/>
      <c r="W903" s="1"/>
      <c r="X903" s="1"/>
      <c r="Y903" s="1"/>
      <c r="Z903" s="1"/>
      <c r="AA903" s="1"/>
      <c r="AB903" s="1"/>
      <c r="AC903" s="1"/>
      <c r="AD903" s="1"/>
      <c r="AE903" s="1"/>
      <c r="AF903" s="1"/>
      <c r="AG903" s="1"/>
      <c r="AH903" s="1"/>
    </row>
    <row r="904" ht="12.75" hidden="1" customHeight="1" outlineLevel="1">
      <c r="A904" s="17">
        <v>41170.0</v>
      </c>
      <c r="B904" s="1"/>
      <c r="C904" s="1" t="s">
        <v>339</v>
      </c>
      <c r="D904" s="74"/>
      <c r="E904" s="67"/>
      <c r="F904" s="75"/>
      <c r="G904" s="67"/>
      <c r="H904" s="68"/>
      <c r="I904" s="76"/>
      <c r="J904" s="67"/>
      <c r="K904" s="7" t="s">
        <v>668</v>
      </c>
      <c r="L904" s="77"/>
      <c r="M904" s="79"/>
      <c r="N904" s="1"/>
      <c r="O904" s="1"/>
      <c r="P904" s="1"/>
      <c r="Q904" s="1"/>
      <c r="R904" s="1"/>
      <c r="S904" s="1"/>
      <c r="T904" s="1"/>
      <c r="U904" s="1"/>
      <c r="V904" s="1"/>
      <c r="W904" s="1"/>
      <c r="X904" s="1"/>
      <c r="Y904" s="1"/>
      <c r="Z904" s="1"/>
      <c r="AA904" s="1"/>
      <c r="AB904" s="1"/>
      <c r="AC904" s="1"/>
      <c r="AD904" s="1"/>
      <c r="AE904" s="1"/>
      <c r="AF904" s="1"/>
      <c r="AG904" s="1"/>
      <c r="AH904" s="1"/>
    </row>
    <row r="905" ht="12.75" hidden="1" customHeight="1" outlineLevel="1">
      <c r="A905" s="17">
        <v>41170.0</v>
      </c>
      <c r="B905" s="1"/>
      <c r="C905" s="1" t="s">
        <v>429</v>
      </c>
      <c r="D905" s="74"/>
      <c r="E905" s="67"/>
      <c r="F905" s="75"/>
      <c r="G905" s="67"/>
      <c r="H905" s="68"/>
      <c r="I905" s="76"/>
      <c r="J905" s="67"/>
      <c r="K905" s="7" t="s">
        <v>636</v>
      </c>
      <c r="L905" s="77"/>
      <c r="M905" s="79"/>
      <c r="N905" s="1"/>
      <c r="O905" s="1"/>
      <c r="P905" s="1"/>
      <c r="Q905" s="1"/>
      <c r="R905" s="1"/>
      <c r="S905" s="1"/>
      <c r="T905" s="1"/>
      <c r="U905" s="1"/>
      <c r="V905" s="1"/>
      <c r="W905" s="1"/>
      <c r="X905" s="1"/>
      <c r="Y905" s="1"/>
      <c r="Z905" s="1"/>
      <c r="AA905" s="1"/>
      <c r="AB905" s="1"/>
      <c r="AC905" s="1"/>
      <c r="AD905" s="1"/>
      <c r="AE905" s="1"/>
      <c r="AF905" s="1"/>
      <c r="AG905" s="1"/>
      <c r="AH905" s="1"/>
    </row>
    <row r="906" ht="12.75" hidden="1" customHeight="1" outlineLevel="1">
      <c r="A906" s="17">
        <v>41170.0</v>
      </c>
      <c r="B906" s="1"/>
      <c r="C906" s="1" t="s">
        <v>431</v>
      </c>
      <c r="D906" s="74"/>
      <c r="E906" s="67"/>
      <c r="F906" s="75"/>
      <c r="G906" s="67"/>
      <c r="H906" s="68"/>
      <c r="I906" s="76"/>
      <c r="J906" s="67"/>
      <c r="K906" s="7" t="s">
        <v>669</v>
      </c>
      <c r="L906" s="77"/>
      <c r="M906" s="79"/>
      <c r="N906" s="1"/>
      <c r="O906" s="1"/>
      <c r="P906" s="1"/>
      <c r="Q906" s="1"/>
      <c r="R906" s="1"/>
      <c r="S906" s="1"/>
      <c r="T906" s="1"/>
      <c r="U906" s="1"/>
      <c r="V906" s="1"/>
      <c r="W906" s="1"/>
      <c r="X906" s="1"/>
      <c r="Y906" s="1"/>
      <c r="Z906" s="1"/>
      <c r="AA906" s="1"/>
      <c r="AB906" s="1"/>
      <c r="AC906" s="1"/>
      <c r="AD906" s="1"/>
      <c r="AE906" s="1"/>
      <c r="AF906" s="1"/>
      <c r="AG906" s="1"/>
      <c r="AH906" s="1"/>
    </row>
    <row r="907" ht="12.75" hidden="1" customHeight="1" outlineLevel="1">
      <c r="A907" s="17">
        <v>41170.0</v>
      </c>
      <c r="B907" s="1"/>
      <c r="C907" s="1" t="s">
        <v>433</v>
      </c>
      <c r="D907" s="74"/>
      <c r="E907" s="67"/>
      <c r="F907" s="75"/>
      <c r="G907" s="67"/>
      <c r="H907" s="68"/>
      <c r="I907" s="76"/>
      <c r="J907" s="67"/>
      <c r="K907" s="1" t="s">
        <v>434</v>
      </c>
      <c r="L907" s="77"/>
      <c r="M907" s="79"/>
      <c r="N907" s="1"/>
      <c r="O907" s="1"/>
      <c r="P907" s="1"/>
      <c r="Q907" s="1"/>
      <c r="R907" s="1"/>
      <c r="S907" s="1"/>
      <c r="T907" s="1"/>
      <c r="U907" s="1"/>
      <c r="V907" s="1"/>
      <c r="W907" s="1"/>
      <c r="X907" s="1"/>
      <c r="Y907" s="1"/>
      <c r="Z907" s="1"/>
      <c r="AA907" s="1"/>
      <c r="AB907" s="1"/>
      <c r="AC907" s="1"/>
      <c r="AD907" s="1"/>
      <c r="AE907" s="1"/>
      <c r="AF907" s="1"/>
      <c r="AG907" s="1"/>
      <c r="AH907" s="1"/>
    </row>
    <row r="908" ht="12.75" hidden="1" customHeight="1" outlineLevel="1">
      <c r="A908" s="17">
        <v>41170.0</v>
      </c>
      <c r="B908" s="1"/>
      <c r="C908" s="1" t="s">
        <v>435</v>
      </c>
      <c r="D908" s="74"/>
      <c r="E908" s="67"/>
      <c r="F908" s="75"/>
      <c r="G908" s="67"/>
      <c r="H908" s="68"/>
      <c r="I908" s="76"/>
      <c r="J908" s="67"/>
      <c r="K908" s="7" t="s">
        <v>658</v>
      </c>
      <c r="L908" s="77"/>
      <c r="M908" s="79"/>
      <c r="N908" s="1"/>
      <c r="O908" s="1"/>
      <c r="P908" s="1"/>
      <c r="Q908" s="1"/>
      <c r="R908" s="1"/>
      <c r="S908" s="1"/>
      <c r="T908" s="1"/>
      <c r="U908" s="1"/>
      <c r="V908" s="1"/>
      <c r="W908" s="1"/>
      <c r="X908" s="1"/>
      <c r="Y908" s="1"/>
      <c r="Z908" s="1"/>
      <c r="AA908" s="1"/>
      <c r="AB908" s="1"/>
      <c r="AC908" s="1"/>
      <c r="AD908" s="1"/>
      <c r="AE908" s="1"/>
      <c r="AF908" s="1"/>
      <c r="AG908" s="1"/>
      <c r="AH908" s="1"/>
    </row>
    <row r="909" ht="12.75" hidden="1" customHeight="1" outlineLevel="1">
      <c r="A909" s="17">
        <v>41171.0</v>
      </c>
      <c r="B909" s="1" t="s">
        <v>343</v>
      </c>
      <c r="C909" s="1" t="s">
        <v>344</v>
      </c>
      <c r="D909" s="74">
        <v>1800.0</v>
      </c>
      <c r="E909" s="67">
        <v>34.33</v>
      </c>
      <c r="F909" s="75">
        <v>0.6273611111111111</v>
      </c>
      <c r="G909" s="67" t="s">
        <v>453</v>
      </c>
      <c r="H909" s="68">
        <v>9.0</v>
      </c>
      <c r="I909" s="76"/>
      <c r="J909" s="67">
        <f t="shared" ref="J909:J913" si="65">IF(B909="SLD",D909*E909,-D909*E909)-H909</f>
        <v>-61803</v>
      </c>
      <c r="K909" s="7"/>
      <c r="L909" s="70"/>
      <c r="M909" s="79"/>
      <c r="N909" s="1"/>
      <c r="O909" s="1"/>
      <c r="P909" s="1"/>
      <c r="Q909" s="1"/>
      <c r="R909" s="1"/>
      <c r="S909" s="1"/>
      <c r="T909" s="1"/>
      <c r="U909" s="1"/>
      <c r="V909" s="1"/>
      <c r="W909" s="1"/>
      <c r="X909" s="1"/>
      <c r="Y909" s="1"/>
      <c r="Z909" s="1"/>
      <c r="AA909" s="1"/>
      <c r="AB909" s="1"/>
      <c r="AC909" s="1"/>
      <c r="AD909" s="1"/>
      <c r="AE909" s="1"/>
      <c r="AF909" s="1"/>
      <c r="AG909" s="1"/>
      <c r="AH909" s="1"/>
    </row>
    <row r="910" ht="12.75" hidden="1" customHeight="1" outlineLevel="1">
      <c r="A910" s="17">
        <v>41171.0</v>
      </c>
      <c r="B910" s="1" t="s">
        <v>343</v>
      </c>
      <c r="C910" s="1" t="s">
        <v>399</v>
      </c>
      <c r="D910" s="74">
        <v>1000.0</v>
      </c>
      <c r="E910" s="67">
        <v>5.33</v>
      </c>
      <c r="F910" s="75">
        <v>0.6552199074074074</v>
      </c>
      <c r="G910" s="67" t="s">
        <v>453</v>
      </c>
      <c r="H910" s="68">
        <v>5.0</v>
      </c>
      <c r="I910" s="76"/>
      <c r="J910" s="67">
        <f t="shared" si="65"/>
        <v>-5335</v>
      </c>
      <c r="K910" s="7"/>
      <c r="L910" s="70"/>
      <c r="M910" s="79"/>
      <c r="N910" s="1"/>
      <c r="O910" s="1"/>
      <c r="P910" s="1"/>
      <c r="Q910" s="1"/>
      <c r="R910" s="1"/>
      <c r="S910" s="1"/>
      <c r="T910" s="1"/>
      <c r="U910" s="1"/>
      <c r="V910" s="1"/>
      <c r="W910" s="1"/>
      <c r="X910" s="1"/>
      <c r="Y910" s="1"/>
      <c r="Z910" s="1"/>
      <c r="AA910" s="1"/>
      <c r="AB910" s="1"/>
      <c r="AC910" s="1"/>
      <c r="AD910" s="1"/>
      <c r="AE910" s="1"/>
      <c r="AF910" s="1"/>
      <c r="AG910" s="1"/>
      <c r="AH910" s="1"/>
    </row>
    <row r="911" ht="12.75" hidden="1" customHeight="1" outlineLevel="1">
      <c r="A911" s="17">
        <v>41171.0</v>
      </c>
      <c r="B911" s="1" t="s">
        <v>343</v>
      </c>
      <c r="C911" s="1" t="s">
        <v>381</v>
      </c>
      <c r="D911" s="74">
        <v>300.0</v>
      </c>
      <c r="E911" s="67">
        <v>23.2</v>
      </c>
      <c r="F911" s="75">
        <v>0.655636574074074</v>
      </c>
      <c r="G911" s="67" t="s">
        <v>453</v>
      </c>
      <c r="H911" s="68">
        <v>1.3</v>
      </c>
      <c r="I911" s="76"/>
      <c r="J911" s="67">
        <f t="shared" si="65"/>
        <v>-6961.3</v>
      </c>
      <c r="K911" s="7"/>
      <c r="L911" s="70"/>
      <c r="M911" s="79"/>
      <c r="N911" s="1"/>
      <c r="O911" s="1"/>
      <c r="P911" s="1"/>
      <c r="Q911" s="1"/>
      <c r="R911" s="1"/>
      <c r="S911" s="1"/>
      <c r="T911" s="1"/>
      <c r="U911" s="1"/>
      <c r="V911" s="1"/>
      <c r="W911" s="1"/>
      <c r="X911" s="1"/>
      <c r="Y911" s="1"/>
      <c r="Z911" s="1"/>
      <c r="AA911" s="1"/>
      <c r="AB911" s="1"/>
      <c r="AC911" s="1"/>
      <c r="AD911" s="1"/>
      <c r="AE911" s="1"/>
      <c r="AF911" s="1"/>
      <c r="AG911" s="1"/>
      <c r="AH911" s="1"/>
    </row>
    <row r="912" ht="12.75" hidden="1" customHeight="1" outlineLevel="1">
      <c r="A912" s="17">
        <v>41171.0</v>
      </c>
      <c r="B912" s="1" t="s">
        <v>343</v>
      </c>
      <c r="C912" s="1" t="s">
        <v>355</v>
      </c>
      <c r="D912" s="74">
        <v>150.0</v>
      </c>
      <c r="E912" s="67">
        <v>37.61</v>
      </c>
      <c r="F912" s="75">
        <v>0.6595601851851852</v>
      </c>
      <c r="G912" s="67" t="s">
        <v>453</v>
      </c>
      <c r="H912" s="68">
        <v>1.0</v>
      </c>
      <c r="I912" s="76"/>
      <c r="J912" s="67">
        <f t="shared" si="65"/>
        <v>-5642.5</v>
      </c>
      <c r="K912" s="7"/>
      <c r="L912" s="70"/>
      <c r="M912" s="79"/>
      <c r="N912" s="1"/>
      <c r="O912" s="1"/>
      <c r="P912" s="1"/>
      <c r="Q912" s="1"/>
      <c r="R912" s="1"/>
      <c r="S912" s="1"/>
      <c r="T912" s="1"/>
      <c r="U912" s="1"/>
      <c r="V912" s="1"/>
      <c r="W912" s="1"/>
      <c r="X912" s="1"/>
      <c r="Y912" s="1"/>
      <c r="Z912" s="1"/>
      <c r="AA912" s="1"/>
      <c r="AB912" s="1"/>
      <c r="AC912" s="1"/>
      <c r="AD912" s="1"/>
      <c r="AE912" s="1"/>
      <c r="AF912" s="1"/>
      <c r="AG912" s="1"/>
      <c r="AH912" s="1"/>
    </row>
    <row r="913" ht="12.75" hidden="1" customHeight="1" outlineLevel="1">
      <c r="A913" s="17">
        <v>41171.0</v>
      </c>
      <c r="B913" s="1" t="s">
        <v>343</v>
      </c>
      <c r="C913" s="1" t="s">
        <v>385</v>
      </c>
      <c r="D913" s="74">
        <v>1800.0</v>
      </c>
      <c r="E913" s="67">
        <v>3.19</v>
      </c>
      <c r="F913" s="75">
        <v>0.6604861111111111</v>
      </c>
      <c r="G913" s="67" t="s">
        <v>453</v>
      </c>
      <c r="H913" s="68">
        <v>9.0</v>
      </c>
      <c r="I913" s="76"/>
      <c r="J913" s="67">
        <f t="shared" si="65"/>
        <v>-5751</v>
      </c>
      <c r="K913" s="7"/>
      <c r="L913" s="70"/>
      <c r="M913" s="79"/>
      <c r="N913" s="1"/>
      <c r="O913" s="1"/>
      <c r="P913" s="1"/>
      <c r="Q913" s="1"/>
      <c r="R913" s="1"/>
      <c r="S913" s="1"/>
      <c r="T913" s="1"/>
      <c r="U913" s="1"/>
      <c r="V913" s="1"/>
      <c r="W913" s="1"/>
      <c r="X913" s="1"/>
      <c r="Y913" s="1"/>
      <c r="Z913" s="1"/>
      <c r="AA913" s="1"/>
      <c r="AB913" s="1"/>
      <c r="AC913" s="1"/>
      <c r="AD913" s="1"/>
      <c r="AE913" s="1"/>
      <c r="AF913" s="1"/>
      <c r="AG913" s="1"/>
      <c r="AH913" s="1"/>
    </row>
    <row r="914" ht="12.75" hidden="1" customHeight="1" outlineLevel="1">
      <c r="A914" s="17">
        <v>41171.0</v>
      </c>
      <c r="B914" s="1"/>
      <c r="C914" s="1" t="s">
        <v>339</v>
      </c>
      <c r="D914" s="74"/>
      <c r="E914" s="67"/>
      <c r="F914" s="75"/>
      <c r="G914" s="67"/>
      <c r="H914" s="68"/>
      <c r="I914" s="76"/>
      <c r="J914" s="67"/>
      <c r="K914" s="7" t="s">
        <v>670</v>
      </c>
      <c r="L914" s="77"/>
      <c r="M914" s="79"/>
      <c r="N914" s="1"/>
      <c r="O914" s="1"/>
      <c r="P914" s="1"/>
      <c r="Q914" s="1"/>
      <c r="R914" s="1"/>
      <c r="S914" s="1"/>
      <c r="T914" s="1"/>
      <c r="U914" s="1"/>
      <c r="V914" s="1"/>
      <c r="W914" s="1"/>
      <c r="X914" s="1"/>
      <c r="Y914" s="1"/>
      <c r="Z914" s="1"/>
      <c r="AA914" s="1"/>
      <c r="AB914" s="1"/>
      <c r="AC914" s="1"/>
      <c r="AD914" s="1"/>
      <c r="AE914" s="1"/>
      <c r="AF914" s="1"/>
      <c r="AG914" s="1"/>
      <c r="AH914" s="1"/>
    </row>
    <row r="915" ht="12.75" hidden="1" customHeight="1" outlineLevel="1">
      <c r="A915" s="17">
        <v>41171.0</v>
      </c>
      <c r="B915" s="1"/>
      <c r="C915" s="1" t="s">
        <v>429</v>
      </c>
      <c r="D915" s="74"/>
      <c r="E915" s="67"/>
      <c r="F915" s="75"/>
      <c r="G915" s="67"/>
      <c r="H915" s="68"/>
      <c r="I915" s="76"/>
      <c r="J915" s="67"/>
      <c r="K915" s="7" t="s">
        <v>636</v>
      </c>
      <c r="L915" s="77"/>
      <c r="M915" s="79"/>
      <c r="N915" s="1"/>
      <c r="O915" s="1"/>
      <c r="P915" s="1"/>
      <c r="Q915" s="1"/>
      <c r="R915" s="1"/>
      <c r="S915" s="1"/>
      <c r="T915" s="1"/>
      <c r="U915" s="1"/>
      <c r="V915" s="1"/>
      <c r="W915" s="1"/>
      <c r="X915" s="1"/>
      <c r="Y915" s="1"/>
      <c r="Z915" s="1"/>
      <c r="AA915" s="1"/>
      <c r="AB915" s="1"/>
      <c r="AC915" s="1"/>
      <c r="AD915" s="1"/>
      <c r="AE915" s="1"/>
      <c r="AF915" s="1"/>
      <c r="AG915" s="1"/>
      <c r="AH915" s="1"/>
    </row>
    <row r="916" ht="12.75" hidden="1" customHeight="1" outlineLevel="1">
      <c r="A916" s="17">
        <v>41171.0</v>
      </c>
      <c r="B916" s="1"/>
      <c r="C916" s="1" t="s">
        <v>431</v>
      </c>
      <c r="D916" s="74"/>
      <c r="E916" s="67"/>
      <c r="F916" s="75"/>
      <c r="G916" s="67"/>
      <c r="H916" s="68"/>
      <c r="I916" s="76"/>
      <c r="J916" s="67"/>
      <c r="K916" s="7" t="s">
        <v>669</v>
      </c>
      <c r="L916" s="77"/>
      <c r="M916" s="79"/>
      <c r="N916" s="1"/>
      <c r="O916" s="1"/>
      <c r="P916" s="1"/>
      <c r="Q916" s="1"/>
      <c r="R916" s="1"/>
      <c r="S916" s="1"/>
      <c r="T916" s="1"/>
      <c r="U916" s="1"/>
      <c r="V916" s="1"/>
      <c r="W916" s="1"/>
      <c r="X916" s="1"/>
      <c r="Y916" s="1"/>
      <c r="Z916" s="1"/>
      <c r="AA916" s="1"/>
      <c r="AB916" s="1"/>
      <c r="AC916" s="1"/>
      <c r="AD916" s="1"/>
      <c r="AE916" s="1"/>
      <c r="AF916" s="1"/>
      <c r="AG916" s="1"/>
      <c r="AH916" s="1"/>
    </row>
    <row r="917" ht="12.75" hidden="1" customHeight="1" outlineLevel="1">
      <c r="A917" s="17">
        <v>41171.0</v>
      </c>
      <c r="B917" s="1"/>
      <c r="C917" s="1" t="s">
        <v>433</v>
      </c>
      <c r="D917" s="74"/>
      <c r="E917" s="67"/>
      <c r="F917" s="75"/>
      <c r="G917" s="67"/>
      <c r="H917" s="68"/>
      <c r="I917" s="76"/>
      <c r="J917" s="67"/>
      <c r="K917" s="1" t="s">
        <v>434</v>
      </c>
      <c r="L917" s="77"/>
      <c r="M917" s="79"/>
      <c r="N917" s="1"/>
      <c r="O917" s="1"/>
      <c r="P917" s="1"/>
      <c r="Q917" s="1"/>
      <c r="R917" s="1"/>
      <c r="S917" s="1"/>
      <c r="T917" s="1"/>
      <c r="U917" s="1"/>
      <c r="V917" s="1"/>
      <c r="W917" s="1"/>
      <c r="X917" s="1"/>
      <c r="Y917" s="1"/>
      <c r="Z917" s="1"/>
      <c r="AA917" s="1"/>
      <c r="AB917" s="1"/>
      <c r="AC917" s="1"/>
      <c r="AD917" s="1"/>
      <c r="AE917" s="1"/>
      <c r="AF917" s="1"/>
      <c r="AG917" s="1"/>
      <c r="AH917" s="1"/>
    </row>
    <row r="918" ht="12.75" hidden="1" customHeight="1" outlineLevel="1">
      <c r="A918" s="17">
        <v>41171.0</v>
      </c>
      <c r="B918" s="1"/>
      <c r="C918" s="1" t="s">
        <v>435</v>
      </c>
      <c r="D918" s="74"/>
      <c r="E918" s="67"/>
      <c r="F918" s="75"/>
      <c r="G918" s="67"/>
      <c r="H918" s="68"/>
      <c r="I918" s="76"/>
      <c r="J918" s="67"/>
      <c r="K918" s="7" t="s">
        <v>658</v>
      </c>
      <c r="L918" s="77"/>
      <c r="M918" s="79"/>
      <c r="N918" s="1"/>
      <c r="O918" s="1"/>
      <c r="P918" s="1"/>
      <c r="Q918" s="1"/>
      <c r="R918" s="1"/>
      <c r="S918" s="1"/>
      <c r="T918" s="1"/>
      <c r="U918" s="1"/>
      <c r="V918" s="1"/>
      <c r="W918" s="1"/>
      <c r="X918" s="1"/>
      <c r="Y918" s="1"/>
      <c r="Z918" s="1"/>
      <c r="AA918" s="1"/>
      <c r="AB918" s="1"/>
      <c r="AC918" s="1"/>
      <c r="AD918" s="1"/>
      <c r="AE918" s="1"/>
      <c r="AF918" s="1"/>
      <c r="AG918" s="1"/>
      <c r="AH918" s="1"/>
    </row>
    <row r="919" ht="12.75" hidden="1" customHeight="1" outlineLevel="1">
      <c r="A919" s="17">
        <v>41172.0</v>
      </c>
      <c r="B919" s="1" t="s">
        <v>347</v>
      </c>
      <c r="C919" s="1" t="s">
        <v>369</v>
      </c>
      <c r="D919" s="74">
        <v>125.0</v>
      </c>
      <c r="E919" s="67">
        <v>41.88</v>
      </c>
      <c r="F919" s="75">
        <v>0.576400462962963</v>
      </c>
      <c r="G919" s="67" t="s">
        <v>453</v>
      </c>
      <c r="H919" s="68">
        <v>1.0</v>
      </c>
      <c r="I919" s="76"/>
      <c r="J919" s="67">
        <f t="shared" ref="J919:J921" si="66">IF(B919="SLD",D919*E919,-D919*E919)-H919</f>
        <v>5234</v>
      </c>
      <c r="K919" s="7"/>
      <c r="L919" s="70"/>
      <c r="M919" s="79"/>
      <c r="N919" s="1"/>
      <c r="O919" s="1"/>
      <c r="P919" s="1"/>
      <c r="Q919" s="1"/>
      <c r="R919" s="1"/>
      <c r="S919" s="1"/>
      <c r="T919" s="1"/>
      <c r="U919" s="1"/>
      <c r="V919" s="1"/>
      <c r="W919" s="1"/>
      <c r="X919" s="1"/>
      <c r="Y919" s="1"/>
      <c r="Z919" s="1"/>
      <c r="AA919" s="1"/>
      <c r="AB919" s="1"/>
      <c r="AC919" s="1"/>
      <c r="AD919" s="1"/>
      <c r="AE919" s="1"/>
      <c r="AF919" s="1"/>
      <c r="AG919" s="1"/>
      <c r="AH919" s="1"/>
    </row>
    <row r="920" ht="12.75" hidden="1" customHeight="1" outlineLevel="1">
      <c r="A920" s="17">
        <v>41172.0</v>
      </c>
      <c r="B920" s="1" t="s">
        <v>347</v>
      </c>
      <c r="C920" s="1" t="s">
        <v>355</v>
      </c>
      <c r="D920" s="74">
        <v>150.0</v>
      </c>
      <c r="E920" s="67">
        <v>35.69</v>
      </c>
      <c r="F920" s="75">
        <v>0.5770717592592592</v>
      </c>
      <c r="G920" s="67" t="s">
        <v>453</v>
      </c>
      <c r="H920" s="68">
        <v>1.0</v>
      </c>
      <c r="I920" s="76"/>
      <c r="J920" s="67">
        <f t="shared" si="66"/>
        <v>5352.5</v>
      </c>
      <c r="K920" s="7"/>
      <c r="L920" s="70"/>
      <c r="M920" s="79"/>
      <c r="N920" s="1"/>
      <c r="O920" s="1"/>
      <c r="P920" s="1"/>
      <c r="Q920" s="1"/>
      <c r="R920" s="1"/>
      <c r="S920" s="1"/>
      <c r="T920" s="1"/>
      <c r="U920" s="1"/>
      <c r="V920" s="1"/>
      <c r="W920" s="1"/>
      <c r="X920" s="1"/>
      <c r="Y920" s="1"/>
      <c r="Z920" s="1"/>
      <c r="AA920" s="1"/>
      <c r="AB920" s="1"/>
      <c r="AC920" s="1"/>
      <c r="AD920" s="1"/>
      <c r="AE920" s="1"/>
      <c r="AF920" s="1"/>
      <c r="AG920" s="1"/>
      <c r="AH920" s="1"/>
    </row>
    <row r="921" ht="12.75" hidden="1" customHeight="1" outlineLevel="1">
      <c r="A921" s="17">
        <v>41172.0</v>
      </c>
      <c r="B921" s="1" t="s">
        <v>347</v>
      </c>
      <c r="C921" s="1" t="s">
        <v>511</v>
      </c>
      <c r="D921" s="74">
        <v>300.0</v>
      </c>
      <c r="E921" s="67">
        <v>14.02</v>
      </c>
      <c r="F921" s="75">
        <v>0.600474537037037</v>
      </c>
      <c r="G921" s="67" t="s">
        <v>453</v>
      </c>
      <c r="H921" s="68">
        <v>1.2</v>
      </c>
      <c r="I921" s="76"/>
      <c r="J921" s="67">
        <f t="shared" si="66"/>
        <v>4204.8</v>
      </c>
      <c r="K921" s="7"/>
      <c r="L921" s="70"/>
      <c r="M921" s="79"/>
      <c r="N921" s="1"/>
      <c r="O921" s="1"/>
      <c r="P921" s="1"/>
      <c r="Q921" s="1"/>
      <c r="R921" s="1"/>
      <c r="S921" s="1"/>
      <c r="T921" s="1"/>
      <c r="U921" s="1"/>
      <c r="V921" s="1"/>
      <c r="W921" s="1"/>
      <c r="X921" s="1"/>
      <c r="Y921" s="1"/>
      <c r="Z921" s="1"/>
      <c r="AA921" s="1"/>
      <c r="AB921" s="1"/>
      <c r="AC921" s="1"/>
      <c r="AD921" s="1"/>
      <c r="AE921" s="1"/>
      <c r="AF921" s="1"/>
      <c r="AG921" s="1"/>
      <c r="AH921" s="1"/>
    </row>
    <row r="922" ht="12.75" hidden="1" customHeight="1" outlineLevel="1">
      <c r="A922" s="17">
        <v>41172.0</v>
      </c>
      <c r="B922" s="1"/>
      <c r="C922" s="1" t="s">
        <v>339</v>
      </c>
      <c r="D922" s="74"/>
      <c r="E922" s="67"/>
      <c r="F922" s="75"/>
      <c r="G922" s="67"/>
      <c r="H922" s="68"/>
      <c r="I922" s="76"/>
      <c r="J922" s="67"/>
      <c r="K922" s="7" t="s">
        <v>671</v>
      </c>
      <c r="L922" s="77"/>
      <c r="M922" s="79"/>
      <c r="N922" s="1"/>
      <c r="O922" s="1"/>
      <c r="P922" s="1"/>
      <c r="Q922" s="1"/>
      <c r="R922" s="1"/>
      <c r="S922" s="1"/>
      <c r="T922" s="1"/>
      <c r="U922" s="1"/>
      <c r="V922" s="1"/>
      <c r="W922" s="1"/>
      <c r="X922" s="1"/>
      <c r="Y922" s="1"/>
      <c r="Z922" s="1"/>
      <c r="AA922" s="1"/>
      <c r="AB922" s="1"/>
      <c r="AC922" s="1"/>
      <c r="AD922" s="1"/>
      <c r="AE922" s="1"/>
      <c r="AF922" s="1"/>
      <c r="AG922" s="1"/>
      <c r="AH922" s="1"/>
    </row>
    <row r="923" ht="12.75" hidden="1" customHeight="1" outlineLevel="1">
      <c r="A923" s="17">
        <v>41172.0</v>
      </c>
      <c r="B923" s="1"/>
      <c r="C923" s="1" t="s">
        <v>429</v>
      </c>
      <c r="D923" s="74"/>
      <c r="E923" s="67"/>
      <c r="F923" s="75"/>
      <c r="G923" s="67"/>
      <c r="H923" s="68"/>
      <c r="I923" s="76"/>
      <c r="J923" s="67"/>
      <c r="K923" s="7" t="s">
        <v>672</v>
      </c>
      <c r="L923" s="77"/>
      <c r="M923" s="79"/>
      <c r="N923" s="1"/>
      <c r="O923" s="1"/>
      <c r="P923" s="1"/>
      <c r="Q923" s="1"/>
      <c r="R923" s="1"/>
      <c r="S923" s="1"/>
      <c r="T923" s="1"/>
      <c r="U923" s="1"/>
      <c r="V923" s="1"/>
      <c r="W923" s="1"/>
      <c r="X923" s="1"/>
      <c r="Y923" s="1"/>
      <c r="Z923" s="1"/>
      <c r="AA923" s="1"/>
      <c r="AB923" s="1"/>
      <c r="AC923" s="1"/>
      <c r="AD923" s="1"/>
      <c r="AE923" s="1"/>
      <c r="AF923" s="1"/>
      <c r="AG923" s="1"/>
      <c r="AH923" s="1"/>
    </row>
    <row r="924" ht="12.75" hidden="1" customHeight="1" outlineLevel="1">
      <c r="A924" s="17">
        <v>41172.0</v>
      </c>
      <c r="B924" s="1"/>
      <c r="C924" s="1" t="s">
        <v>431</v>
      </c>
      <c r="D924" s="74"/>
      <c r="E924" s="67"/>
      <c r="F924" s="75"/>
      <c r="G924" s="67"/>
      <c r="H924" s="68"/>
      <c r="I924" s="76"/>
      <c r="J924" s="67"/>
      <c r="K924" s="7" t="s">
        <v>669</v>
      </c>
      <c r="L924" s="77"/>
      <c r="M924" s="79"/>
      <c r="N924" s="1"/>
      <c r="O924" s="1"/>
      <c r="P924" s="1"/>
      <c r="Q924" s="1"/>
      <c r="R924" s="1"/>
      <c r="S924" s="1"/>
      <c r="T924" s="1"/>
      <c r="U924" s="1"/>
      <c r="V924" s="1"/>
      <c r="W924" s="1"/>
      <c r="X924" s="1"/>
      <c r="Y924" s="1"/>
      <c r="Z924" s="1"/>
      <c r="AA924" s="1"/>
      <c r="AB924" s="1"/>
      <c r="AC924" s="1"/>
      <c r="AD924" s="1"/>
      <c r="AE924" s="1"/>
      <c r="AF924" s="1"/>
      <c r="AG924" s="1"/>
      <c r="AH924" s="1"/>
    </row>
    <row r="925" ht="12.75" hidden="1" customHeight="1" outlineLevel="1">
      <c r="A925" s="17">
        <v>41172.0</v>
      </c>
      <c r="B925" s="1"/>
      <c r="C925" s="1" t="s">
        <v>433</v>
      </c>
      <c r="D925" s="74"/>
      <c r="E925" s="67"/>
      <c r="F925" s="75"/>
      <c r="G925" s="67"/>
      <c r="H925" s="68"/>
      <c r="I925" s="76"/>
      <c r="J925" s="67"/>
      <c r="K925" s="1" t="s">
        <v>434</v>
      </c>
      <c r="L925" s="77"/>
      <c r="M925" s="79"/>
      <c r="N925" s="1"/>
      <c r="O925" s="1"/>
      <c r="P925" s="1"/>
      <c r="Q925" s="1"/>
      <c r="R925" s="1"/>
      <c r="S925" s="1"/>
      <c r="T925" s="1"/>
      <c r="U925" s="1"/>
      <c r="V925" s="1"/>
      <c r="W925" s="1"/>
      <c r="X925" s="1"/>
      <c r="Y925" s="1"/>
      <c r="Z925" s="1"/>
      <c r="AA925" s="1"/>
      <c r="AB925" s="1"/>
      <c r="AC925" s="1"/>
      <c r="AD925" s="1"/>
      <c r="AE925" s="1"/>
      <c r="AF925" s="1"/>
      <c r="AG925" s="1"/>
      <c r="AH925" s="1"/>
    </row>
    <row r="926" ht="12.75" hidden="1" customHeight="1" outlineLevel="1">
      <c r="A926" s="17">
        <v>41172.0</v>
      </c>
      <c r="B926" s="1"/>
      <c r="C926" s="1" t="s">
        <v>435</v>
      </c>
      <c r="D926" s="74"/>
      <c r="E926" s="67"/>
      <c r="F926" s="75"/>
      <c r="G926" s="67"/>
      <c r="H926" s="68"/>
      <c r="I926" s="76"/>
      <c r="J926" s="67"/>
      <c r="K926" s="7" t="s">
        <v>658</v>
      </c>
      <c r="L926" s="77"/>
      <c r="M926" s="79"/>
      <c r="N926" s="1"/>
      <c r="O926" s="1"/>
      <c r="P926" s="1"/>
      <c r="Q926" s="1"/>
      <c r="R926" s="1"/>
      <c r="S926" s="1"/>
      <c r="T926" s="1"/>
      <c r="U926" s="1"/>
      <c r="V926" s="1"/>
      <c r="W926" s="1"/>
      <c r="X926" s="1"/>
      <c r="Y926" s="1"/>
      <c r="Z926" s="1"/>
      <c r="AA926" s="1"/>
      <c r="AB926" s="1"/>
      <c r="AC926" s="1"/>
      <c r="AD926" s="1"/>
      <c r="AE926" s="1"/>
      <c r="AF926" s="1"/>
      <c r="AG926" s="1"/>
      <c r="AH926" s="1"/>
    </row>
    <row r="927" ht="12.75" hidden="1" customHeight="1" outlineLevel="1">
      <c r="A927" s="17">
        <v>41173.0</v>
      </c>
      <c r="B927" s="1" t="s">
        <v>343</v>
      </c>
      <c r="C927" s="1" t="s">
        <v>418</v>
      </c>
      <c r="D927" s="74">
        <v>75.0</v>
      </c>
      <c r="E927" s="67">
        <v>44.94</v>
      </c>
      <c r="F927" s="75">
        <v>0.40401620370370367</v>
      </c>
      <c r="G927" s="67" t="s">
        <v>453</v>
      </c>
      <c r="H927" s="68">
        <v>1.0</v>
      </c>
      <c r="I927" s="76"/>
      <c r="J927" s="67">
        <f t="shared" ref="J927:J932" si="67">IF(B927="SLD",D927*E927,-D927*E927)-H927</f>
        <v>-3371.5</v>
      </c>
      <c r="K927" s="7"/>
      <c r="L927" s="70"/>
      <c r="M927" s="79"/>
      <c r="N927" s="1"/>
      <c r="O927" s="1"/>
      <c r="P927" s="1"/>
      <c r="Q927" s="1"/>
      <c r="R927" s="1"/>
      <c r="S927" s="1"/>
      <c r="T927" s="1"/>
      <c r="U927" s="1"/>
      <c r="V927" s="1"/>
      <c r="W927" s="1"/>
      <c r="X927" s="1"/>
      <c r="Y927" s="1"/>
      <c r="Z927" s="1"/>
      <c r="AA927" s="1"/>
      <c r="AB927" s="1"/>
      <c r="AC927" s="1"/>
      <c r="AD927" s="1"/>
      <c r="AE927" s="1"/>
      <c r="AF927" s="1"/>
      <c r="AG927" s="1"/>
      <c r="AH927" s="1"/>
    </row>
    <row r="928" ht="12.75" hidden="1" customHeight="1" outlineLevel="1">
      <c r="A928" s="17">
        <v>41173.0</v>
      </c>
      <c r="B928" s="1" t="s">
        <v>347</v>
      </c>
      <c r="C928" s="1" t="s">
        <v>386</v>
      </c>
      <c r="D928" s="74">
        <v>150.0</v>
      </c>
      <c r="E928" s="67">
        <v>24.2</v>
      </c>
      <c r="F928" s="75">
        <v>0.41335648148148146</v>
      </c>
      <c r="G928" s="67" t="s">
        <v>453</v>
      </c>
      <c r="H928" s="68">
        <v>1.0</v>
      </c>
      <c r="I928" s="76"/>
      <c r="J928" s="67">
        <f t="shared" si="67"/>
        <v>3629</v>
      </c>
      <c r="K928" s="7"/>
      <c r="L928" s="70"/>
      <c r="M928" s="79"/>
      <c r="N928" s="1"/>
      <c r="O928" s="1"/>
      <c r="P928" s="1"/>
      <c r="Q928" s="1"/>
      <c r="R928" s="1"/>
      <c r="S928" s="1"/>
      <c r="T928" s="1"/>
      <c r="U928" s="1"/>
      <c r="V928" s="1"/>
      <c r="W928" s="1"/>
      <c r="X928" s="1"/>
      <c r="Y928" s="1"/>
      <c r="Z928" s="1"/>
      <c r="AA928" s="1"/>
      <c r="AB928" s="1"/>
      <c r="AC928" s="1"/>
      <c r="AD928" s="1"/>
      <c r="AE928" s="1"/>
      <c r="AF928" s="1"/>
      <c r="AG928" s="1"/>
      <c r="AH928" s="1"/>
    </row>
    <row r="929" ht="12.75" hidden="1" customHeight="1" outlineLevel="1">
      <c r="A929" s="17">
        <v>41173.0</v>
      </c>
      <c r="B929" s="1" t="s">
        <v>343</v>
      </c>
      <c r="C929" s="1" t="s">
        <v>356</v>
      </c>
      <c r="D929" s="74">
        <v>15.0</v>
      </c>
      <c r="E929" s="67">
        <v>252.4</v>
      </c>
      <c r="F929" s="75">
        <v>0.43820601851851854</v>
      </c>
      <c r="G929" s="67" t="s">
        <v>453</v>
      </c>
      <c r="H929" s="68">
        <v>1.0</v>
      </c>
      <c r="I929" s="76"/>
      <c r="J929" s="67">
        <f t="shared" si="67"/>
        <v>-3787</v>
      </c>
      <c r="K929" s="7"/>
      <c r="L929" s="70"/>
      <c r="M929" s="79"/>
      <c r="N929" s="1"/>
      <c r="O929" s="1"/>
      <c r="P929" s="1"/>
      <c r="Q929" s="1"/>
      <c r="R929" s="1"/>
      <c r="S929" s="1"/>
      <c r="T929" s="1"/>
      <c r="U929" s="1"/>
      <c r="V929" s="1"/>
      <c r="W929" s="1"/>
      <c r="X929" s="1"/>
      <c r="Y929" s="1"/>
      <c r="Z929" s="1"/>
      <c r="AA929" s="1"/>
      <c r="AB929" s="1"/>
      <c r="AC929" s="1"/>
      <c r="AD929" s="1"/>
      <c r="AE929" s="1"/>
      <c r="AF929" s="1"/>
      <c r="AG929" s="1"/>
      <c r="AH929" s="1"/>
    </row>
    <row r="930" ht="12.75" hidden="1" customHeight="1" outlineLevel="1">
      <c r="A930" s="17">
        <v>41173.0</v>
      </c>
      <c r="B930" s="1" t="s">
        <v>347</v>
      </c>
      <c r="C930" s="1" t="s">
        <v>385</v>
      </c>
      <c r="D930" s="74">
        <v>1800.0</v>
      </c>
      <c r="E930" s="67">
        <v>3.13</v>
      </c>
      <c r="F930" s="75">
        <v>0.44311342592592595</v>
      </c>
      <c r="G930" s="67" t="s">
        <v>453</v>
      </c>
      <c r="H930" s="68">
        <v>9.0</v>
      </c>
      <c r="I930" s="76"/>
      <c r="J930" s="67">
        <f t="shared" si="67"/>
        <v>5625</v>
      </c>
      <c r="K930" s="7"/>
      <c r="L930" s="70"/>
      <c r="M930" s="79"/>
      <c r="N930" s="1"/>
      <c r="O930" s="1"/>
      <c r="P930" s="1"/>
      <c r="Q930" s="1"/>
      <c r="R930" s="1"/>
      <c r="S930" s="1"/>
      <c r="T930" s="1"/>
      <c r="U930" s="1"/>
      <c r="V930" s="1"/>
      <c r="W930" s="1"/>
      <c r="X930" s="1"/>
      <c r="Y930" s="1"/>
      <c r="Z930" s="1"/>
      <c r="AA930" s="1"/>
      <c r="AB930" s="1"/>
      <c r="AC930" s="1"/>
      <c r="AD930" s="1"/>
      <c r="AE930" s="1"/>
      <c r="AF930" s="1"/>
      <c r="AG930" s="1"/>
      <c r="AH930" s="1"/>
    </row>
    <row r="931" ht="12.75" hidden="1" customHeight="1" outlineLevel="1">
      <c r="A931" s="17">
        <v>41173.0</v>
      </c>
      <c r="B931" s="1" t="s">
        <v>347</v>
      </c>
      <c r="C931" s="1" t="s">
        <v>381</v>
      </c>
      <c r="D931" s="74">
        <v>250.0</v>
      </c>
      <c r="E931" s="67">
        <v>22.87</v>
      </c>
      <c r="F931" s="75">
        <v>0.44482638888888887</v>
      </c>
      <c r="G931" s="67" t="s">
        <v>453</v>
      </c>
      <c r="H931" s="68">
        <v>1.25</v>
      </c>
      <c r="I931" s="76"/>
      <c r="J931" s="67">
        <f t="shared" si="67"/>
        <v>5716.25</v>
      </c>
      <c r="K931" s="7"/>
      <c r="L931" s="70"/>
      <c r="M931" s="79"/>
      <c r="N931" s="1"/>
      <c r="O931" s="1"/>
      <c r="P931" s="1"/>
      <c r="Q931" s="1"/>
      <c r="R931" s="1"/>
      <c r="S931" s="1"/>
      <c r="T931" s="1"/>
      <c r="U931" s="1"/>
      <c r="V931" s="1"/>
      <c r="W931" s="1"/>
      <c r="X931" s="1"/>
      <c r="Y931" s="1"/>
      <c r="Z931" s="1"/>
      <c r="AA931" s="1"/>
      <c r="AB931" s="1"/>
      <c r="AC931" s="1"/>
      <c r="AD931" s="1"/>
      <c r="AE931" s="1"/>
      <c r="AF931" s="1"/>
      <c r="AG931" s="1"/>
      <c r="AH931" s="1"/>
    </row>
    <row r="932" ht="12.75" hidden="1" customHeight="1" outlineLevel="1">
      <c r="A932" s="17">
        <v>41173.0</v>
      </c>
      <c r="B932" s="1" t="s">
        <v>347</v>
      </c>
      <c r="C932" s="1" t="s">
        <v>399</v>
      </c>
      <c r="D932" s="74">
        <v>1000.0</v>
      </c>
      <c r="E932" s="67">
        <v>5.28</v>
      </c>
      <c r="F932" s="75">
        <v>0.4452662037037037</v>
      </c>
      <c r="G932" s="67" t="s">
        <v>453</v>
      </c>
      <c r="H932" s="68">
        <v>4.9</v>
      </c>
      <c r="I932" s="76"/>
      <c r="J932" s="67">
        <f t="shared" si="67"/>
        <v>5275.1</v>
      </c>
      <c r="K932" s="7"/>
      <c r="L932" s="70"/>
      <c r="M932" s="79"/>
      <c r="N932" s="1"/>
      <c r="O932" s="1"/>
      <c r="P932" s="1"/>
      <c r="Q932" s="1"/>
      <c r="R932" s="1"/>
      <c r="S932" s="1"/>
      <c r="T932" s="1"/>
      <c r="U932" s="1"/>
      <c r="V932" s="1"/>
      <c r="W932" s="1"/>
      <c r="X932" s="1"/>
      <c r="Y932" s="1"/>
      <c r="Z932" s="1"/>
      <c r="AA932" s="1"/>
      <c r="AB932" s="1"/>
      <c r="AC932" s="1"/>
      <c r="AD932" s="1"/>
      <c r="AE932" s="1"/>
      <c r="AF932" s="1"/>
      <c r="AG932" s="1"/>
      <c r="AH932" s="1"/>
    </row>
    <row r="933" ht="12.75" hidden="1" customHeight="1" outlineLevel="1">
      <c r="A933" s="17">
        <v>41173.0</v>
      </c>
      <c r="B933" s="1"/>
      <c r="C933" s="1" t="s">
        <v>339</v>
      </c>
      <c r="D933" s="74"/>
      <c r="E933" s="67"/>
      <c r="F933" s="75"/>
      <c r="G933" s="67"/>
      <c r="H933" s="68"/>
      <c r="I933" s="76"/>
      <c r="J933" s="67"/>
      <c r="K933" s="7" t="s">
        <v>674</v>
      </c>
      <c r="L933" s="77"/>
      <c r="M933" s="79"/>
      <c r="N933" s="1"/>
      <c r="O933" s="1"/>
      <c r="P933" s="1"/>
      <c r="Q933" s="1"/>
      <c r="R933" s="1"/>
      <c r="S933" s="1"/>
      <c r="T933" s="1"/>
      <c r="U933" s="1"/>
      <c r="V933" s="1"/>
      <c r="W933" s="1"/>
      <c r="X933" s="1"/>
      <c r="Y933" s="1"/>
      <c r="Z933" s="1"/>
      <c r="AA933" s="1"/>
      <c r="AB933" s="1"/>
      <c r="AC933" s="1"/>
      <c r="AD933" s="1"/>
      <c r="AE933" s="1"/>
      <c r="AF933" s="1"/>
      <c r="AG933" s="1"/>
      <c r="AH933" s="1"/>
    </row>
    <row r="934" ht="12.75" hidden="1" customHeight="1" outlineLevel="1">
      <c r="A934" s="17">
        <v>41173.0</v>
      </c>
      <c r="B934" s="1"/>
      <c r="C934" s="1" t="s">
        <v>429</v>
      </c>
      <c r="D934" s="74"/>
      <c r="E934" s="67"/>
      <c r="F934" s="75"/>
      <c r="G934" s="67"/>
      <c r="H934" s="68"/>
      <c r="I934" s="76"/>
      <c r="J934" s="67"/>
      <c r="K934" s="7" t="s">
        <v>672</v>
      </c>
      <c r="L934" s="77"/>
      <c r="M934" s="79"/>
      <c r="N934" s="1"/>
      <c r="O934" s="1"/>
      <c r="P934" s="1"/>
      <c r="Q934" s="1"/>
      <c r="R934" s="1"/>
      <c r="S934" s="1"/>
      <c r="T934" s="1"/>
      <c r="U934" s="1"/>
      <c r="V934" s="1"/>
      <c r="W934" s="1"/>
      <c r="X934" s="1"/>
      <c r="Y934" s="1"/>
      <c r="Z934" s="1"/>
      <c r="AA934" s="1"/>
      <c r="AB934" s="1"/>
      <c r="AC934" s="1"/>
      <c r="AD934" s="1"/>
      <c r="AE934" s="1"/>
      <c r="AF934" s="1"/>
      <c r="AG934" s="1"/>
      <c r="AH934" s="1"/>
    </row>
    <row r="935" ht="12.75" hidden="1" customHeight="1" outlineLevel="1">
      <c r="A935" s="17">
        <v>41173.0</v>
      </c>
      <c r="B935" s="1"/>
      <c r="C935" s="1" t="s">
        <v>431</v>
      </c>
      <c r="D935" s="74"/>
      <c r="E935" s="67"/>
      <c r="F935" s="75"/>
      <c r="G935" s="67"/>
      <c r="H935" s="68"/>
      <c r="I935" s="76"/>
      <c r="J935" s="67"/>
      <c r="K935" s="7" t="s">
        <v>669</v>
      </c>
      <c r="L935" s="77"/>
      <c r="M935" s="79"/>
      <c r="N935" s="1"/>
      <c r="O935" s="1"/>
      <c r="P935" s="1"/>
      <c r="Q935" s="1"/>
      <c r="R935" s="1"/>
      <c r="S935" s="1"/>
      <c r="T935" s="1"/>
      <c r="U935" s="1"/>
      <c r="V935" s="1"/>
      <c r="W935" s="1"/>
      <c r="X935" s="1"/>
      <c r="Y935" s="1"/>
      <c r="Z935" s="1"/>
      <c r="AA935" s="1"/>
      <c r="AB935" s="1"/>
      <c r="AC935" s="1"/>
      <c r="AD935" s="1"/>
      <c r="AE935" s="1"/>
      <c r="AF935" s="1"/>
      <c r="AG935" s="1"/>
      <c r="AH935" s="1"/>
    </row>
    <row r="936" ht="12.75" hidden="1" customHeight="1" outlineLevel="1">
      <c r="A936" s="17">
        <v>41173.0</v>
      </c>
      <c r="B936" s="1"/>
      <c r="C936" s="1" t="s">
        <v>433</v>
      </c>
      <c r="D936" s="74"/>
      <c r="E936" s="67"/>
      <c r="F936" s="75"/>
      <c r="G936" s="67"/>
      <c r="H936" s="68"/>
      <c r="I936" s="76"/>
      <c r="J936" s="67"/>
      <c r="K936" s="1" t="s">
        <v>434</v>
      </c>
      <c r="L936" s="77"/>
      <c r="M936" s="79"/>
      <c r="N936" s="1"/>
      <c r="O936" s="1"/>
      <c r="P936" s="1"/>
      <c r="Q936" s="1"/>
      <c r="R936" s="1"/>
      <c r="S936" s="1"/>
      <c r="T936" s="1"/>
      <c r="U936" s="1"/>
      <c r="V936" s="1"/>
      <c r="W936" s="1"/>
      <c r="X936" s="1"/>
      <c r="Y936" s="1"/>
      <c r="Z936" s="1"/>
      <c r="AA936" s="1"/>
      <c r="AB936" s="1"/>
      <c r="AC936" s="1"/>
      <c r="AD936" s="1"/>
      <c r="AE936" s="1"/>
      <c r="AF936" s="1"/>
      <c r="AG936" s="1"/>
      <c r="AH936" s="1"/>
    </row>
    <row r="937" ht="12.75" hidden="1" customHeight="1" outlineLevel="1">
      <c r="A937" s="17">
        <v>41173.0</v>
      </c>
      <c r="B937" s="1"/>
      <c r="C937" s="1" t="s">
        <v>435</v>
      </c>
      <c r="D937" s="74"/>
      <c r="E937" s="67"/>
      <c r="F937" s="75"/>
      <c r="G937" s="67"/>
      <c r="H937" s="68"/>
      <c r="I937" s="76"/>
      <c r="J937" s="67"/>
      <c r="K937" s="7" t="s">
        <v>658</v>
      </c>
      <c r="L937" s="77"/>
      <c r="M937" s="79"/>
      <c r="N937" s="1"/>
      <c r="O937" s="1"/>
      <c r="P937" s="1"/>
      <c r="Q937" s="1"/>
      <c r="R937" s="1"/>
      <c r="S937" s="1"/>
      <c r="T937" s="1"/>
      <c r="U937" s="1"/>
      <c r="V937" s="1"/>
      <c r="W937" s="1"/>
      <c r="X937" s="1"/>
      <c r="Y937" s="1"/>
      <c r="Z937" s="1"/>
      <c r="AA937" s="1"/>
      <c r="AB937" s="1"/>
      <c r="AC937" s="1"/>
      <c r="AD937" s="1"/>
      <c r="AE937" s="1"/>
      <c r="AF937" s="1"/>
      <c r="AG937" s="1"/>
      <c r="AH937" s="1"/>
    </row>
    <row r="938" ht="12.75" hidden="1" customHeight="1" outlineLevel="1">
      <c r="A938" s="17">
        <v>41175.0</v>
      </c>
      <c r="B938" s="1"/>
      <c r="C938" s="1" t="s">
        <v>339</v>
      </c>
      <c r="D938" s="74"/>
      <c r="E938" s="67"/>
      <c r="F938" s="75"/>
      <c r="G938" s="67"/>
      <c r="H938" s="68"/>
      <c r="I938" s="76"/>
      <c r="J938" s="67"/>
      <c r="K938" s="7" t="s">
        <v>675</v>
      </c>
      <c r="L938" s="77"/>
      <c r="M938" s="79"/>
      <c r="N938" s="1"/>
      <c r="O938" s="1"/>
      <c r="P938" s="1"/>
      <c r="Q938" s="1"/>
      <c r="R938" s="1"/>
      <c r="S938" s="1"/>
      <c r="T938" s="1"/>
      <c r="U938" s="1"/>
      <c r="V938" s="1"/>
      <c r="W938" s="1"/>
      <c r="X938" s="1"/>
      <c r="Y938" s="1"/>
      <c r="Z938" s="1"/>
      <c r="AA938" s="1"/>
      <c r="AB938" s="1"/>
      <c r="AC938" s="1"/>
      <c r="AD938" s="1"/>
      <c r="AE938" s="1"/>
      <c r="AF938" s="1"/>
      <c r="AG938" s="1"/>
      <c r="AH938" s="1"/>
    </row>
    <row r="939" ht="12.75" hidden="1" customHeight="1" outlineLevel="1">
      <c r="A939" s="17">
        <v>41175.0</v>
      </c>
      <c r="B939" s="1"/>
      <c r="C939" s="1" t="s">
        <v>429</v>
      </c>
      <c r="D939" s="74"/>
      <c r="E939" s="67"/>
      <c r="F939" s="75"/>
      <c r="G939" s="67"/>
      <c r="H939" s="68"/>
      <c r="I939" s="76"/>
      <c r="J939" s="67"/>
      <c r="K939" s="7" t="s">
        <v>672</v>
      </c>
      <c r="L939" s="77"/>
      <c r="M939" s="79"/>
      <c r="N939" s="1"/>
      <c r="O939" s="1"/>
      <c r="P939" s="1"/>
      <c r="Q939" s="1"/>
      <c r="R939" s="1"/>
      <c r="S939" s="1"/>
      <c r="T939" s="1"/>
      <c r="U939" s="1"/>
      <c r="V939" s="1"/>
      <c r="W939" s="1"/>
      <c r="X939" s="1"/>
      <c r="Y939" s="1"/>
      <c r="Z939" s="1"/>
      <c r="AA939" s="1"/>
      <c r="AB939" s="1"/>
      <c r="AC939" s="1"/>
      <c r="AD939" s="1"/>
      <c r="AE939" s="1"/>
      <c r="AF939" s="1"/>
      <c r="AG939" s="1"/>
      <c r="AH939" s="1"/>
    </row>
    <row r="940" ht="12.75" hidden="1" customHeight="1" outlineLevel="1">
      <c r="A940" s="17">
        <v>41175.0</v>
      </c>
      <c r="B940" s="1"/>
      <c r="C940" s="1" t="s">
        <v>431</v>
      </c>
      <c r="D940" s="74"/>
      <c r="E940" s="67"/>
      <c r="F940" s="75"/>
      <c r="G940" s="67"/>
      <c r="H940" s="68"/>
      <c r="I940" s="76"/>
      <c r="J940" s="67"/>
      <c r="K940" s="7" t="s">
        <v>669</v>
      </c>
      <c r="L940" s="77"/>
      <c r="M940" s="79"/>
      <c r="N940" s="1"/>
      <c r="O940" s="1"/>
      <c r="P940" s="1"/>
      <c r="Q940" s="1"/>
      <c r="R940" s="1"/>
      <c r="S940" s="1"/>
      <c r="T940" s="1"/>
      <c r="U940" s="1"/>
      <c r="V940" s="1"/>
      <c r="W940" s="1"/>
      <c r="X940" s="1"/>
      <c r="Y940" s="1"/>
      <c r="Z940" s="1"/>
      <c r="AA940" s="1"/>
      <c r="AB940" s="1"/>
      <c r="AC940" s="1"/>
      <c r="AD940" s="1"/>
      <c r="AE940" s="1"/>
      <c r="AF940" s="1"/>
      <c r="AG940" s="1"/>
      <c r="AH940" s="1"/>
    </row>
    <row r="941" ht="12.75" hidden="1" customHeight="1" outlineLevel="1">
      <c r="A941" s="17">
        <v>41175.0</v>
      </c>
      <c r="B941" s="1"/>
      <c r="C941" s="1" t="s">
        <v>433</v>
      </c>
      <c r="D941" s="74"/>
      <c r="E941" s="67"/>
      <c r="F941" s="75"/>
      <c r="G941" s="67"/>
      <c r="H941" s="68"/>
      <c r="I941" s="76"/>
      <c r="J941" s="67"/>
      <c r="K941" s="1" t="s">
        <v>434</v>
      </c>
      <c r="L941" s="77"/>
      <c r="M941" s="79"/>
      <c r="N941" s="1"/>
      <c r="O941" s="1"/>
      <c r="P941" s="1"/>
      <c r="Q941" s="1"/>
      <c r="R941" s="1"/>
      <c r="S941" s="1"/>
      <c r="T941" s="1"/>
      <c r="U941" s="1"/>
      <c r="V941" s="1"/>
      <c r="W941" s="1"/>
      <c r="X941" s="1"/>
      <c r="Y941" s="1"/>
      <c r="Z941" s="1"/>
      <c r="AA941" s="1"/>
      <c r="AB941" s="1"/>
      <c r="AC941" s="1"/>
      <c r="AD941" s="1"/>
      <c r="AE941" s="1"/>
      <c r="AF941" s="1"/>
      <c r="AG941" s="1"/>
      <c r="AH941" s="1"/>
    </row>
    <row r="942" ht="12.75" hidden="1" customHeight="1" outlineLevel="1">
      <c r="A942" s="17">
        <v>41175.0</v>
      </c>
      <c r="B942" s="1"/>
      <c r="C942" s="1" t="s">
        <v>435</v>
      </c>
      <c r="D942" s="74"/>
      <c r="E942" s="67"/>
      <c r="F942" s="75"/>
      <c r="G942" s="67"/>
      <c r="H942" s="68"/>
      <c r="I942" s="76"/>
      <c r="J942" s="67"/>
      <c r="K942" s="7" t="s">
        <v>658</v>
      </c>
      <c r="L942" s="77"/>
      <c r="M942" s="79"/>
      <c r="N942" s="1"/>
      <c r="O942" s="1"/>
      <c r="P942" s="1"/>
      <c r="Q942" s="1"/>
      <c r="R942" s="1"/>
      <c r="S942" s="1"/>
      <c r="T942" s="1"/>
      <c r="U942" s="1"/>
      <c r="V942" s="1"/>
      <c r="W942" s="1"/>
      <c r="X942" s="1"/>
      <c r="Y942" s="1"/>
      <c r="Z942" s="1"/>
      <c r="AA942" s="1"/>
      <c r="AB942" s="1"/>
      <c r="AC942" s="1"/>
      <c r="AD942" s="1"/>
      <c r="AE942" s="1"/>
      <c r="AF942" s="1"/>
      <c r="AG942" s="1"/>
      <c r="AH942" s="1"/>
    </row>
    <row r="943" ht="12.75" hidden="1" customHeight="1" outlineLevel="1">
      <c r="A943" s="17">
        <v>41176.0</v>
      </c>
      <c r="B943" s="1" t="s">
        <v>343</v>
      </c>
      <c r="C943" s="1" t="s">
        <v>676</v>
      </c>
      <c r="D943" s="74">
        <v>15.0</v>
      </c>
      <c r="E943" s="67">
        <v>748.4</v>
      </c>
      <c r="F943" s="75">
        <v>0.5702546296296297</v>
      </c>
      <c r="G943" s="67" t="s">
        <v>453</v>
      </c>
      <c r="H943" s="68">
        <v>1.0</v>
      </c>
      <c r="I943" s="76"/>
      <c r="J943" s="67">
        <f>IF(B943="SLD",D943*E943,-D943*E943)-H943</f>
        <v>-11227</v>
      </c>
      <c r="K943" s="7"/>
      <c r="L943" s="70"/>
      <c r="M943" s="79"/>
      <c r="N943" s="1"/>
      <c r="O943" s="1"/>
      <c r="P943" s="1"/>
      <c r="Q943" s="1"/>
      <c r="R943" s="1"/>
      <c r="S943" s="1"/>
      <c r="T943" s="1"/>
      <c r="U943" s="1"/>
      <c r="V943" s="1"/>
      <c r="W943" s="1"/>
      <c r="X943" s="1"/>
      <c r="Y943" s="1"/>
      <c r="Z943" s="1"/>
      <c r="AA943" s="1"/>
      <c r="AB943" s="1"/>
      <c r="AC943" s="1"/>
      <c r="AD943" s="1"/>
      <c r="AE943" s="1"/>
      <c r="AF943" s="1"/>
      <c r="AG943" s="1"/>
      <c r="AH943" s="1"/>
    </row>
    <row r="944" ht="12.75" hidden="1" customHeight="1" outlineLevel="1">
      <c r="A944" s="17">
        <v>41176.0</v>
      </c>
      <c r="B944" s="1"/>
      <c r="C944" s="1" t="s">
        <v>339</v>
      </c>
      <c r="D944" s="74"/>
      <c r="E944" s="67"/>
      <c r="F944" s="75"/>
      <c r="G944" s="67"/>
      <c r="H944" s="68"/>
      <c r="I944" s="76"/>
      <c r="J944" s="67"/>
      <c r="K944" s="7" t="s">
        <v>678</v>
      </c>
      <c r="L944" s="77"/>
      <c r="M944" s="79"/>
      <c r="N944" s="1"/>
      <c r="O944" s="1"/>
      <c r="P944" s="1"/>
      <c r="Q944" s="1"/>
      <c r="R944" s="1"/>
      <c r="S944" s="1"/>
      <c r="T944" s="1"/>
      <c r="U944" s="1"/>
      <c r="V944" s="1"/>
      <c r="W944" s="1"/>
      <c r="X944" s="1"/>
      <c r="Y944" s="1"/>
      <c r="Z944" s="1"/>
      <c r="AA944" s="1"/>
      <c r="AB944" s="1"/>
      <c r="AC944" s="1"/>
      <c r="AD944" s="1"/>
      <c r="AE944" s="1"/>
      <c r="AF944" s="1"/>
      <c r="AG944" s="1"/>
      <c r="AH944" s="1"/>
    </row>
    <row r="945" ht="12.75" hidden="1" customHeight="1" outlineLevel="1">
      <c r="A945" s="17">
        <v>41176.0</v>
      </c>
      <c r="B945" s="1"/>
      <c r="C945" s="1" t="s">
        <v>429</v>
      </c>
      <c r="D945" s="74"/>
      <c r="E945" s="67"/>
      <c r="F945" s="75"/>
      <c r="G945" s="67"/>
      <c r="H945" s="68"/>
      <c r="I945" s="76"/>
      <c r="J945" s="67"/>
      <c r="K945" s="7" t="s">
        <v>679</v>
      </c>
      <c r="L945" s="77"/>
      <c r="M945" s="79"/>
      <c r="N945" s="1"/>
      <c r="O945" s="1"/>
      <c r="P945" s="1"/>
      <c r="Q945" s="1"/>
      <c r="R945" s="1"/>
      <c r="S945" s="1"/>
      <c r="T945" s="1"/>
      <c r="U945" s="1"/>
      <c r="V945" s="1"/>
      <c r="W945" s="1"/>
      <c r="X945" s="1"/>
      <c r="Y945" s="1"/>
      <c r="Z945" s="1"/>
      <c r="AA945" s="1"/>
      <c r="AB945" s="1"/>
      <c r="AC945" s="1"/>
      <c r="AD945" s="1"/>
      <c r="AE945" s="1"/>
      <c r="AF945" s="1"/>
      <c r="AG945" s="1"/>
      <c r="AH945" s="1"/>
    </row>
    <row r="946" ht="12.75" hidden="1" customHeight="1" outlineLevel="1">
      <c r="A946" s="17">
        <v>41176.0</v>
      </c>
      <c r="B946" s="1"/>
      <c r="C946" s="1" t="s">
        <v>431</v>
      </c>
      <c r="D946" s="74"/>
      <c r="E946" s="67"/>
      <c r="F946" s="75"/>
      <c r="G946" s="67"/>
      <c r="H946" s="68"/>
      <c r="I946" s="76"/>
      <c r="J946" s="67"/>
      <c r="K946" s="7" t="s">
        <v>669</v>
      </c>
      <c r="L946" s="77"/>
      <c r="M946" s="79"/>
      <c r="N946" s="1"/>
      <c r="O946" s="1"/>
      <c r="P946" s="1"/>
      <c r="Q946" s="1"/>
      <c r="R946" s="1"/>
      <c r="S946" s="1"/>
      <c r="T946" s="1"/>
      <c r="U946" s="1"/>
      <c r="V946" s="1"/>
      <c r="W946" s="1"/>
      <c r="X946" s="1"/>
      <c r="Y946" s="1"/>
      <c r="Z946" s="1"/>
      <c r="AA946" s="1"/>
      <c r="AB946" s="1"/>
      <c r="AC946" s="1"/>
      <c r="AD946" s="1"/>
      <c r="AE946" s="1"/>
      <c r="AF946" s="1"/>
      <c r="AG946" s="1"/>
      <c r="AH946" s="1"/>
    </row>
    <row r="947" ht="12.75" hidden="1" customHeight="1" outlineLevel="1">
      <c r="A947" s="17">
        <v>41176.0</v>
      </c>
      <c r="B947" s="1"/>
      <c r="C947" s="1" t="s">
        <v>433</v>
      </c>
      <c r="D947" s="74"/>
      <c r="E947" s="67"/>
      <c r="F947" s="75"/>
      <c r="G947" s="67"/>
      <c r="H947" s="68"/>
      <c r="I947" s="76"/>
      <c r="J947" s="67"/>
      <c r="K947" s="1" t="s">
        <v>434</v>
      </c>
      <c r="L947" s="77"/>
      <c r="M947" s="79"/>
      <c r="N947" s="1"/>
      <c r="O947" s="1"/>
      <c r="P947" s="1"/>
      <c r="Q947" s="1"/>
      <c r="R947" s="1"/>
      <c r="S947" s="1"/>
      <c r="T947" s="1"/>
      <c r="U947" s="1"/>
      <c r="V947" s="1"/>
      <c r="W947" s="1"/>
      <c r="X947" s="1"/>
      <c r="Y947" s="1"/>
      <c r="Z947" s="1"/>
      <c r="AA947" s="1"/>
      <c r="AB947" s="1"/>
      <c r="AC947" s="1"/>
      <c r="AD947" s="1"/>
      <c r="AE947" s="1"/>
      <c r="AF947" s="1"/>
      <c r="AG947" s="1"/>
      <c r="AH947" s="1"/>
    </row>
    <row r="948" ht="12.75" hidden="1" customHeight="1" outlineLevel="1">
      <c r="A948" s="17">
        <v>41176.0</v>
      </c>
      <c r="B948" s="1"/>
      <c r="C948" s="1" t="s">
        <v>435</v>
      </c>
      <c r="D948" s="74"/>
      <c r="E948" s="67"/>
      <c r="F948" s="75"/>
      <c r="G948" s="67"/>
      <c r="H948" s="68"/>
      <c r="I948" s="76"/>
      <c r="J948" s="67"/>
      <c r="K948" s="7" t="s">
        <v>658</v>
      </c>
      <c r="L948" s="77"/>
      <c r="M948" s="79"/>
      <c r="N948" s="1"/>
      <c r="O948" s="1"/>
      <c r="P948" s="1"/>
      <c r="Q948" s="1"/>
      <c r="R948" s="1"/>
      <c r="S948" s="1"/>
      <c r="T948" s="1"/>
      <c r="U948" s="1"/>
      <c r="V948" s="1"/>
      <c r="W948" s="1"/>
      <c r="X948" s="1"/>
      <c r="Y948" s="1"/>
      <c r="Z948" s="1"/>
      <c r="AA948" s="1"/>
      <c r="AB948" s="1"/>
      <c r="AC948" s="1"/>
      <c r="AD948" s="1"/>
      <c r="AE948" s="1"/>
      <c r="AF948" s="1"/>
      <c r="AG948" s="1"/>
      <c r="AH948" s="1"/>
    </row>
    <row r="949" ht="12.75" hidden="1" customHeight="1" outlineLevel="1">
      <c r="A949" s="17">
        <v>41177.0</v>
      </c>
      <c r="B949" s="1" t="s">
        <v>347</v>
      </c>
      <c r="C949" s="1" t="s">
        <v>680</v>
      </c>
      <c r="D949" s="74">
        <v>100.0</v>
      </c>
      <c r="E949" s="67">
        <v>41.83</v>
      </c>
      <c r="F949" s="75">
        <v>0.44512731481481477</v>
      </c>
      <c r="G949" s="67" t="s">
        <v>453</v>
      </c>
      <c r="H949" s="68">
        <v>1.0</v>
      </c>
      <c r="I949" s="76"/>
      <c r="J949" s="67">
        <f t="shared" ref="J949:J957" si="68">IF(B949="SLD",D949*E949,-D949*E949)-H949</f>
        <v>4182</v>
      </c>
      <c r="K949" s="7"/>
      <c r="L949" s="70"/>
      <c r="M949" s="79"/>
      <c r="N949" s="1"/>
      <c r="O949" s="1"/>
      <c r="P949" s="1"/>
      <c r="Q949" s="1"/>
      <c r="R949" s="1"/>
      <c r="S949" s="1"/>
      <c r="T949" s="1"/>
      <c r="U949" s="1"/>
      <c r="V949" s="1"/>
      <c r="W949" s="1"/>
      <c r="X949" s="1"/>
      <c r="Y949" s="1"/>
      <c r="Z949" s="1"/>
      <c r="AA949" s="1"/>
      <c r="AB949" s="1"/>
      <c r="AC949" s="1"/>
      <c r="AD949" s="1"/>
      <c r="AE949" s="1"/>
      <c r="AF949" s="1"/>
      <c r="AG949" s="1"/>
      <c r="AH949" s="1"/>
    </row>
    <row r="950" ht="12.75" hidden="1" customHeight="1" outlineLevel="1">
      <c r="A950" s="17">
        <v>41177.0</v>
      </c>
      <c r="B950" s="1" t="s">
        <v>343</v>
      </c>
      <c r="C950" s="1" t="s">
        <v>681</v>
      </c>
      <c r="D950" s="74">
        <v>600.0</v>
      </c>
      <c r="E950" s="67">
        <v>14.53</v>
      </c>
      <c r="F950" s="75">
        <v>0.4749421296296296</v>
      </c>
      <c r="G950" s="67" t="s">
        <v>453</v>
      </c>
      <c r="H950" s="68">
        <v>3.0</v>
      </c>
      <c r="I950" s="76"/>
      <c r="J950" s="67">
        <f t="shared" si="68"/>
        <v>-8721</v>
      </c>
      <c r="K950" s="7"/>
      <c r="L950" s="70"/>
      <c r="M950" s="79"/>
      <c r="N950" s="1"/>
      <c r="O950" s="1"/>
      <c r="P950" s="1"/>
      <c r="Q950" s="1"/>
      <c r="R950" s="1"/>
      <c r="S950" s="1"/>
      <c r="T950" s="1"/>
      <c r="U950" s="1"/>
      <c r="V950" s="1"/>
      <c r="W950" s="1"/>
      <c r="X950" s="1"/>
      <c r="Y950" s="1"/>
      <c r="Z950" s="1"/>
      <c r="AA950" s="1"/>
      <c r="AB950" s="1"/>
      <c r="AC950" s="1"/>
      <c r="AD950" s="1"/>
      <c r="AE950" s="1"/>
      <c r="AF950" s="1"/>
      <c r="AG950" s="1"/>
      <c r="AH950" s="1"/>
    </row>
    <row r="951" ht="12.75" hidden="1" customHeight="1" outlineLevel="1">
      <c r="A951" s="17">
        <v>41177.0</v>
      </c>
      <c r="B951" s="1" t="s">
        <v>347</v>
      </c>
      <c r="C951" s="1" t="s">
        <v>682</v>
      </c>
      <c r="D951" s="74">
        <v>200.0</v>
      </c>
      <c r="E951" s="67">
        <v>19.13</v>
      </c>
      <c r="F951" s="75">
        <v>0.5101620370370371</v>
      </c>
      <c r="G951" s="67" t="s">
        <v>453</v>
      </c>
      <c r="H951" s="68">
        <v>1.0</v>
      </c>
      <c r="I951" s="76"/>
      <c r="J951" s="67">
        <f t="shared" si="68"/>
        <v>3825</v>
      </c>
      <c r="K951" s="7"/>
      <c r="L951" s="70"/>
      <c r="M951" s="79"/>
      <c r="N951" s="1"/>
      <c r="O951" s="1"/>
      <c r="P951" s="1"/>
      <c r="Q951" s="1"/>
      <c r="R951" s="1"/>
      <c r="S951" s="1"/>
      <c r="T951" s="1"/>
      <c r="U951" s="1"/>
      <c r="V951" s="1"/>
      <c r="W951" s="1"/>
      <c r="X951" s="1"/>
      <c r="Y951" s="1"/>
      <c r="Z951" s="1"/>
      <c r="AA951" s="1"/>
      <c r="AB951" s="1"/>
      <c r="AC951" s="1"/>
      <c r="AD951" s="1"/>
      <c r="AE951" s="1"/>
      <c r="AF951" s="1"/>
      <c r="AG951" s="1"/>
      <c r="AH951" s="1"/>
    </row>
    <row r="952" ht="12.75" hidden="1" customHeight="1" outlineLevel="1">
      <c r="A952" s="17">
        <v>41177.0</v>
      </c>
      <c r="B952" s="1" t="s">
        <v>347</v>
      </c>
      <c r="C952" s="1" t="s">
        <v>344</v>
      </c>
      <c r="D952" s="74">
        <v>900.0</v>
      </c>
      <c r="E952" s="67">
        <v>33.26</v>
      </c>
      <c r="F952" s="75">
        <v>0.6016087962962963</v>
      </c>
      <c r="G952" s="67" t="s">
        <v>453</v>
      </c>
      <c r="H952" s="68">
        <v>3.6</v>
      </c>
      <c r="I952" s="76"/>
      <c r="J952" s="67">
        <f t="shared" si="68"/>
        <v>29930.4</v>
      </c>
      <c r="K952" s="7"/>
      <c r="L952" s="70"/>
      <c r="M952" s="79"/>
      <c r="N952" s="1"/>
      <c r="O952" s="1"/>
      <c r="P952" s="1"/>
      <c r="Q952" s="1"/>
      <c r="R952" s="1"/>
      <c r="S952" s="1"/>
      <c r="T952" s="1"/>
      <c r="U952" s="1"/>
      <c r="V952" s="1"/>
      <c r="W952" s="1"/>
      <c r="X952" s="1"/>
      <c r="Y952" s="1"/>
      <c r="Z952" s="1"/>
      <c r="AA952" s="1"/>
      <c r="AB952" s="1"/>
      <c r="AC952" s="1"/>
      <c r="AD952" s="1"/>
      <c r="AE952" s="1"/>
      <c r="AF952" s="1"/>
      <c r="AG952" s="1"/>
      <c r="AH952" s="1"/>
    </row>
    <row r="953" ht="12.75" hidden="1" customHeight="1" outlineLevel="1">
      <c r="A953" s="17">
        <v>41177.0</v>
      </c>
      <c r="B953" s="1" t="s">
        <v>347</v>
      </c>
      <c r="C953" s="1" t="s">
        <v>344</v>
      </c>
      <c r="D953" s="74">
        <v>900.0</v>
      </c>
      <c r="E953" s="67">
        <v>33.2</v>
      </c>
      <c r="F953" s="75">
        <v>0.6040625000000001</v>
      </c>
      <c r="G953" s="67" t="s">
        <v>453</v>
      </c>
      <c r="H953" s="68">
        <v>4.0</v>
      </c>
      <c r="I953" s="76"/>
      <c r="J953" s="67">
        <f t="shared" si="68"/>
        <v>29876</v>
      </c>
      <c r="K953" s="7"/>
      <c r="L953" s="70"/>
      <c r="M953" s="79"/>
      <c r="N953" s="1"/>
      <c r="O953" s="1"/>
      <c r="P953" s="1"/>
      <c r="Q953" s="1"/>
      <c r="R953" s="1"/>
      <c r="S953" s="1"/>
      <c r="T953" s="1"/>
      <c r="U953" s="1"/>
      <c r="V953" s="1"/>
      <c r="W953" s="1"/>
      <c r="X953" s="1"/>
      <c r="Y953" s="1"/>
      <c r="Z953" s="1"/>
      <c r="AA953" s="1"/>
      <c r="AB953" s="1"/>
      <c r="AC953" s="1"/>
      <c r="AD953" s="1"/>
      <c r="AE953" s="1"/>
      <c r="AF953" s="1"/>
      <c r="AG953" s="1"/>
      <c r="AH953" s="1"/>
    </row>
    <row r="954" ht="12.75" hidden="1" customHeight="1" outlineLevel="1">
      <c r="A954" s="17">
        <v>41177.0</v>
      </c>
      <c r="B954" s="1" t="s">
        <v>347</v>
      </c>
      <c r="C954" s="1" t="s">
        <v>346</v>
      </c>
      <c r="D954" s="74">
        <v>75.0</v>
      </c>
      <c r="E954" s="67">
        <v>680.08</v>
      </c>
      <c r="F954" s="75">
        <v>0.6255787037037037</v>
      </c>
      <c r="G954" s="67" t="s">
        <v>453</v>
      </c>
      <c r="H954" s="68">
        <v>1.0</v>
      </c>
      <c r="I954" s="76"/>
      <c r="J954" s="67">
        <f t="shared" si="68"/>
        <v>51005</v>
      </c>
      <c r="K954" s="7"/>
      <c r="L954" s="70"/>
      <c r="M954" s="79"/>
      <c r="N954" s="1"/>
      <c r="O954" s="1"/>
      <c r="P954" s="1"/>
      <c r="Q954" s="1"/>
      <c r="R954" s="1"/>
      <c r="S954" s="1"/>
      <c r="T954" s="1"/>
      <c r="U954" s="1"/>
      <c r="V954" s="1"/>
      <c r="W954" s="1"/>
      <c r="X954" s="1"/>
      <c r="Y954" s="1"/>
      <c r="Z954" s="1"/>
      <c r="AA954" s="1"/>
      <c r="AB954" s="1"/>
      <c r="AC954" s="1"/>
      <c r="AD954" s="1"/>
      <c r="AE954" s="1"/>
      <c r="AF954" s="1"/>
      <c r="AG954" s="1"/>
      <c r="AH954" s="1"/>
    </row>
    <row r="955" ht="12.75" hidden="1" customHeight="1" outlineLevel="1">
      <c r="A955" s="17">
        <v>41177.0</v>
      </c>
      <c r="B955" s="1" t="s">
        <v>347</v>
      </c>
      <c r="C955" s="1" t="s">
        <v>656</v>
      </c>
      <c r="D955" s="74">
        <v>100.0</v>
      </c>
      <c r="E955" s="67">
        <v>1763.2</v>
      </c>
      <c r="F955" s="75">
        <v>0.6266782407407407</v>
      </c>
      <c r="G955" s="67" t="s">
        <v>453</v>
      </c>
      <c r="H955" s="68">
        <v>2.32</v>
      </c>
      <c r="I955" s="76"/>
      <c r="J955" s="67">
        <f t="shared" si="68"/>
        <v>176317.68</v>
      </c>
      <c r="K955" s="7"/>
      <c r="L955" s="70"/>
      <c r="M955" s="79"/>
      <c r="N955" s="1"/>
      <c r="O955" s="1"/>
      <c r="P955" s="1"/>
      <c r="Q955" s="1"/>
      <c r="R955" s="1"/>
      <c r="S955" s="1"/>
      <c r="T955" s="1"/>
      <c r="U955" s="1"/>
      <c r="V955" s="1"/>
      <c r="W955" s="1"/>
      <c r="X955" s="1"/>
      <c r="Y955" s="1"/>
      <c r="Z955" s="1"/>
      <c r="AA955" s="1"/>
      <c r="AB955" s="1"/>
      <c r="AC955" s="1"/>
      <c r="AD955" s="1"/>
      <c r="AE955" s="1"/>
      <c r="AF955" s="1"/>
      <c r="AG955" s="1"/>
      <c r="AH955" s="1"/>
    </row>
    <row r="956" ht="12.75" hidden="1" customHeight="1" outlineLevel="1">
      <c r="A956" s="17">
        <v>41177.0</v>
      </c>
      <c r="B956" s="1" t="s">
        <v>347</v>
      </c>
      <c r="C956" s="1" t="s">
        <v>344</v>
      </c>
      <c r="D956" s="74">
        <v>600.0</v>
      </c>
      <c r="E956" s="67">
        <v>33.2</v>
      </c>
      <c r="F956" s="75">
        <v>0.6288194444444445</v>
      </c>
      <c r="G956" s="67" t="s">
        <v>453</v>
      </c>
      <c r="H956" s="68">
        <v>3.0</v>
      </c>
      <c r="I956" s="76"/>
      <c r="J956" s="67">
        <f t="shared" si="68"/>
        <v>19917</v>
      </c>
      <c r="K956" s="7"/>
      <c r="L956" s="70"/>
      <c r="M956" s="79"/>
      <c r="N956" s="1"/>
      <c r="O956" s="1"/>
      <c r="P956" s="1"/>
      <c r="Q956" s="1"/>
      <c r="R956" s="1"/>
      <c r="S956" s="1"/>
      <c r="T956" s="1"/>
      <c r="U956" s="1"/>
      <c r="V956" s="1"/>
      <c r="W956" s="1"/>
      <c r="X956" s="1"/>
      <c r="Y956" s="1"/>
      <c r="Z956" s="1"/>
      <c r="AA956" s="1"/>
      <c r="AB956" s="1"/>
      <c r="AC956" s="1"/>
      <c r="AD956" s="1"/>
      <c r="AE956" s="1"/>
      <c r="AF956" s="1"/>
      <c r="AG956" s="1"/>
      <c r="AH956" s="1"/>
    </row>
    <row r="957" ht="12.75" hidden="1" customHeight="1" outlineLevel="1">
      <c r="A957" s="17">
        <v>41177.0</v>
      </c>
      <c r="B957" s="1" t="s">
        <v>347</v>
      </c>
      <c r="C957" s="1" t="s">
        <v>354</v>
      </c>
      <c r="D957" s="74">
        <v>150.0</v>
      </c>
      <c r="E957" s="67">
        <v>85.02</v>
      </c>
      <c r="F957" s="75">
        <v>0.6352893518518519</v>
      </c>
      <c r="G957" s="67" t="s">
        <v>453</v>
      </c>
      <c r="H957" s="68">
        <v>1.0</v>
      </c>
      <c r="I957" s="76"/>
      <c r="J957" s="67">
        <f t="shared" si="68"/>
        <v>12752</v>
      </c>
      <c r="K957" s="7"/>
      <c r="L957" s="70"/>
      <c r="M957" s="79"/>
      <c r="N957" s="1"/>
      <c r="O957" s="1"/>
      <c r="P957" s="1"/>
      <c r="Q957" s="1"/>
      <c r="R957" s="1"/>
      <c r="S957" s="1"/>
      <c r="T957" s="1"/>
      <c r="U957" s="1"/>
      <c r="V957" s="1"/>
      <c r="W957" s="1"/>
      <c r="X957" s="1"/>
      <c r="Y957" s="1"/>
      <c r="Z957" s="1"/>
      <c r="AA957" s="1"/>
      <c r="AB957" s="1"/>
      <c r="AC957" s="1"/>
      <c r="AD957" s="1"/>
      <c r="AE957" s="1"/>
      <c r="AF957" s="1"/>
      <c r="AG957" s="1"/>
      <c r="AH957" s="1"/>
    </row>
    <row r="958" ht="12.75" hidden="1" customHeight="1" outlineLevel="1">
      <c r="A958" s="17">
        <v>41177.0</v>
      </c>
      <c r="B958" s="1"/>
      <c r="C958" s="1" t="s">
        <v>339</v>
      </c>
      <c r="D958" s="74"/>
      <c r="E958" s="67"/>
      <c r="F958" s="75"/>
      <c r="G958" s="67"/>
      <c r="H958" s="68"/>
      <c r="I958" s="76"/>
      <c r="J958" s="67"/>
      <c r="K958" s="7" t="s">
        <v>684</v>
      </c>
      <c r="L958" s="77"/>
      <c r="M958" s="79"/>
      <c r="N958" s="1"/>
      <c r="O958" s="1"/>
      <c r="P958" s="1"/>
      <c r="Q958" s="1"/>
      <c r="R958" s="1"/>
      <c r="S958" s="1"/>
      <c r="T958" s="1"/>
      <c r="U958" s="1"/>
      <c r="V958" s="1"/>
      <c r="W958" s="1"/>
      <c r="X958" s="1"/>
      <c r="Y958" s="1"/>
      <c r="Z958" s="1"/>
      <c r="AA958" s="1"/>
      <c r="AB958" s="1"/>
      <c r="AC958" s="1"/>
      <c r="AD958" s="1"/>
      <c r="AE958" s="1"/>
      <c r="AF958" s="1"/>
      <c r="AG958" s="1"/>
      <c r="AH958" s="1"/>
    </row>
    <row r="959" ht="12.75" hidden="1" customHeight="1" outlineLevel="1">
      <c r="A959" s="17">
        <v>41177.0</v>
      </c>
      <c r="B959" s="1"/>
      <c r="C959" s="1" t="s">
        <v>429</v>
      </c>
      <c r="D959" s="74"/>
      <c r="E959" s="67"/>
      <c r="F959" s="75"/>
      <c r="G959" s="67"/>
      <c r="H959" s="68"/>
      <c r="I959" s="76"/>
      <c r="J959" s="67"/>
      <c r="K959" s="7" t="s">
        <v>679</v>
      </c>
      <c r="L959" s="77"/>
      <c r="M959" s="79"/>
      <c r="N959" s="1"/>
      <c r="O959" s="1"/>
      <c r="P959" s="1"/>
      <c r="Q959" s="1"/>
      <c r="R959" s="1"/>
      <c r="S959" s="1"/>
      <c r="T959" s="1"/>
      <c r="U959" s="1"/>
      <c r="V959" s="1"/>
      <c r="W959" s="1"/>
      <c r="X959" s="1"/>
      <c r="Y959" s="1"/>
      <c r="Z959" s="1"/>
      <c r="AA959" s="1"/>
      <c r="AB959" s="1"/>
      <c r="AC959" s="1"/>
      <c r="AD959" s="1"/>
      <c r="AE959" s="1"/>
      <c r="AF959" s="1"/>
      <c r="AG959" s="1"/>
      <c r="AH959" s="1"/>
    </row>
    <row r="960" ht="12.75" hidden="1" customHeight="1" outlineLevel="1">
      <c r="A960" s="17">
        <v>41177.0</v>
      </c>
      <c r="B960" s="1"/>
      <c r="C960" s="1" t="s">
        <v>431</v>
      </c>
      <c r="D960" s="74"/>
      <c r="E960" s="67"/>
      <c r="F960" s="75"/>
      <c r="G960" s="67"/>
      <c r="H960" s="68"/>
      <c r="I960" s="76"/>
      <c r="J960" s="67"/>
      <c r="K960" s="7" t="s">
        <v>669</v>
      </c>
      <c r="L960" s="77"/>
      <c r="M960" s="79"/>
      <c r="N960" s="1"/>
      <c r="O960" s="1"/>
      <c r="P960" s="1"/>
      <c r="Q960" s="1"/>
      <c r="R960" s="1"/>
      <c r="S960" s="1"/>
      <c r="T960" s="1"/>
      <c r="U960" s="1"/>
      <c r="V960" s="1"/>
      <c r="W960" s="1"/>
      <c r="X960" s="1"/>
      <c r="Y960" s="1"/>
      <c r="Z960" s="1"/>
      <c r="AA960" s="1"/>
      <c r="AB960" s="1"/>
      <c r="AC960" s="1"/>
      <c r="AD960" s="1"/>
      <c r="AE960" s="1"/>
      <c r="AF960" s="1"/>
      <c r="AG960" s="1"/>
      <c r="AH960" s="1"/>
    </row>
    <row r="961" ht="12.75" hidden="1" customHeight="1" outlineLevel="1">
      <c r="A961" s="17">
        <v>41177.0</v>
      </c>
      <c r="B961" s="1"/>
      <c r="C961" s="1" t="s">
        <v>433</v>
      </c>
      <c r="D961" s="74"/>
      <c r="E961" s="67"/>
      <c r="F961" s="75"/>
      <c r="G961" s="67"/>
      <c r="H961" s="68"/>
      <c r="I961" s="76"/>
      <c r="J961" s="67"/>
      <c r="K961" s="1" t="s">
        <v>434</v>
      </c>
      <c r="L961" s="77"/>
      <c r="M961" s="79"/>
      <c r="N961" s="1"/>
      <c r="O961" s="1"/>
      <c r="P961" s="1"/>
      <c r="Q961" s="1"/>
      <c r="R961" s="1"/>
      <c r="S961" s="1"/>
      <c r="T961" s="1"/>
      <c r="U961" s="1"/>
      <c r="V961" s="1"/>
      <c r="W961" s="1"/>
      <c r="X961" s="1"/>
      <c r="Y961" s="1"/>
      <c r="Z961" s="1"/>
      <c r="AA961" s="1"/>
      <c r="AB961" s="1"/>
      <c r="AC961" s="1"/>
      <c r="AD961" s="1"/>
      <c r="AE961" s="1"/>
      <c r="AF961" s="1"/>
      <c r="AG961" s="1"/>
      <c r="AH961" s="1"/>
    </row>
    <row r="962" ht="12.75" hidden="1" customHeight="1" outlineLevel="1">
      <c r="A962" s="17">
        <v>41177.0</v>
      </c>
      <c r="B962" s="1"/>
      <c r="C962" s="1" t="s">
        <v>435</v>
      </c>
      <c r="D962" s="74"/>
      <c r="E962" s="67"/>
      <c r="F962" s="75"/>
      <c r="G962" s="67"/>
      <c r="H962" s="68"/>
      <c r="I962" s="76"/>
      <c r="J962" s="67"/>
      <c r="K962" s="7" t="s">
        <v>658</v>
      </c>
      <c r="L962" s="77"/>
      <c r="M962" s="79"/>
      <c r="N962" s="1"/>
      <c r="O962" s="1"/>
      <c r="P962" s="1"/>
      <c r="Q962" s="1"/>
      <c r="R962" s="1"/>
      <c r="S962" s="1"/>
      <c r="T962" s="1"/>
      <c r="U962" s="1"/>
      <c r="V962" s="1"/>
      <c r="W962" s="1"/>
      <c r="X962" s="1"/>
      <c r="Y962" s="1"/>
      <c r="Z962" s="1"/>
      <c r="AA962" s="1"/>
      <c r="AB962" s="1"/>
      <c r="AC962" s="1"/>
      <c r="AD962" s="1"/>
      <c r="AE962" s="1"/>
      <c r="AF962" s="1"/>
      <c r="AG962" s="1"/>
      <c r="AH962" s="1"/>
    </row>
    <row r="963" ht="12.75" hidden="1" customHeight="1" outlineLevel="1">
      <c r="A963" s="17">
        <v>41178.0</v>
      </c>
      <c r="B963" s="1" t="s">
        <v>343</v>
      </c>
      <c r="C963" s="1" t="s">
        <v>656</v>
      </c>
      <c r="D963" s="74">
        <v>100.0</v>
      </c>
      <c r="E963" s="67">
        <v>1747.0</v>
      </c>
      <c r="F963" s="75">
        <v>0.3517361111111111</v>
      </c>
      <c r="G963" s="67" t="s">
        <v>453</v>
      </c>
      <c r="H963" s="68">
        <v>2.32</v>
      </c>
      <c r="I963" s="76"/>
      <c r="J963" s="67">
        <f t="shared" ref="J963:J966" si="69">IF(B963="SLD",D963*E963,-D963*E963)-H963</f>
        <v>-174702.32</v>
      </c>
      <c r="K963" s="7"/>
      <c r="L963" s="70"/>
      <c r="M963" s="79"/>
      <c r="N963" s="1"/>
      <c r="O963" s="1"/>
      <c r="P963" s="1"/>
      <c r="Q963" s="1"/>
      <c r="R963" s="1"/>
      <c r="S963" s="1"/>
      <c r="T963" s="1"/>
      <c r="U963" s="1"/>
      <c r="V963" s="1"/>
      <c r="W963" s="1"/>
      <c r="X963" s="1"/>
      <c r="Y963" s="1"/>
      <c r="Z963" s="1"/>
      <c r="AA963" s="1"/>
      <c r="AB963" s="1"/>
      <c r="AC963" s="1"/>
      <c r="AD963" s="1"/>
      <c r="AE963" s="1"/>
      <c r="AF963" s="1"/>
      <c r="AG963" s="1"/>
      <c r="AH963" s="1"/>
    </row>
    <row r="964" ht="12.75" hidden="1" customHeight="1" outlineLevel="1">
      <c r="A964" s="17">
        <v>41178.0</v>
      </c>
      <c r="B964" s="1" t="s">
        <v>347</v>
      </c>
      <c r="C964" s="1" t="s">
        <v>656</v>
      </c>
      <c r="D964" s="74">
        <v>100.0</v>
      </c>
      <c r="E964" s="67">
        <v>1748.7</v>
      </c>
      <c r="F964" s="75">
        <v>0.3591203703703704</v>
      </c>
      <c r="G964" s="67" t="s">
        <v>453</v>
      </c>
      <c r="H964" s="68">
        <v>2.32</v>
      </c>
      <c r="I964" s="76"/>
      <c r="J964" s="67">
        <f t="shared" si="69"/>
        <v>174867.68</v>
      </c>
      <c r="K964" s="7"/>
      <c r="L964" s="70"/>
      <c r="M964" s="79"/>
      <c r="N964" s="1"/>
      <c r="O964" s="1"/>
      <c r="P964" s="1"/>
      <c r="Q964" s="1"/>
      <c r="R964" s="1"/>
      <c r="S964" s="1"/>
      <c r="T964" s="1"/>
      <c r="U964" s="1"/>
      <c r="V964" s="1"/>
      <c r="W964" s="1"/>
      <c r="X964" s="1"/>
      <c r="Y964" s="1"/>
      <c r="Z964" s="1"/>
      <c r="AA964" s="1"/>
      <c r="AB964" s="1"/>
      <c r="AC964" s="1"/>
      <c r="AD964" s="1"/>
      <c r="AE964" s="1"/>
      <c r="AF964" s="1"/>
      <c r="AG964" s="1"/>
      <c r="AH964" s="1"/>
    </row>
    <row r="965" ht="12.75" hidden="1" customHeight="1" outlineLevel="1">
      <c r="A965" s="17">
        <v>41178.0</v>
      </c>
      <c r="B965" s="1" t="s">
        <v>347</v>
      </c>
      <c r="C965" s="1" t="s">
        <v>381</v>
      </c>
      <c r="D965" s="74">
        <v>100.0</v>
      </c>
      <c r="E965" s="67">
        <v>20.39</v>
      </c>
      <c r="F965" s="75">
        <v>0.6307638888888889</v>
      </c>
      <c r="G965" s="67" t="s">
        <v>453</v>
      </c>
      <c r="H965" s="68">
        <v>1.0</v>
      </c>
      <c r="I965" s="76"/>
      <c r="J965" s="67">
        <f t="shared" si="69"/>
        <v>2038</v>
      </c>
      <c r="K965" s="7"/>
      <c r="L965" s="70"/>
      <c r="M965" s="79"/>
      <c r="N965" s="1"/>
      <c r="O965" s="1"/>
      <c r="P965" s="1"/>
      <c r="Q965" s="1"/>
      <c r="R965" s="1"/>
      <c r="S965" s="1"/>
      <c r="T965" s="1"/>
      <c r="U965" s="1"/>
      <c r="V965" s="1"/>
      <c r="W965" s="1"/>
      <c r="X965" s="1"/>
      <c r="Y965" s="1"/>
      <c r="Z965" s="1"/>
      <c r="AA965" s="1"/>
      <c r="AB965" s="1"/>
      <c r="AC965" s="1"/>
      <c r="AD965" s="1"/>
      <c r="AE965" s="1"/>
      <c r="AF965" s="1"/>
      <c r="AG965" s="1"/>
      <c r="AH965" s="1"/>
    </row>
    <row r="966" ht="12.75" hidden="1" customHeight="1" outlineLevel="1">
      <c r="A966" s="17">
        <v>41178.0</v>
      </c>
      <c r="B966" s="1" t="s">
        <v>343</v>
      </c>
      <c r="C966" s="1" t="s">
        <v>344</v>
      </c>
      <c r="D966" s="74">
        <v>600.0</v>
      </c>
      <c r="E966" s="67">
        <v>32.78</v>
      </c>
      <c r="F966" s="75">
        <v>0.6380439814814814</v>
      </c>
      <c r="G966" s="67" t="s">
        <v>453</v>
      </c>
      <c r="H966" s="68">
        <v>3.0</v>
      </c>
      <c r="I966" s="76"/>
      <c r="J966" s="67">
        <f t="shared" si="69"/>
        <v>-19671</v>
      </c>
      <c r="K966" s="7"/>
      <c r="L966" s="70"/>
      <c r="M966" s="79"/>
      <c r="N966" s="1"/>
      <c r="O966" s="1"/>
      <c r="P966" s="1"/>
      <c r="Q966" s="1"/>
      <c r="R966" s="1"/>
      <c r="S966" s="1"/>
      <c r="T966" s="1"/>
      <c r="U966" s="1"/>
      <c r="V966" s="1"/>
      <c r="W966" s="1"/>
      <c r="X966" s="1"/>
      <c r="Y966" s="1"/>
      <c r="Z966" s="1"/>
      <c r="AA966" s="1"/>
      <c r="AB966" s="1"/>
      <c r="AC966" s="1"/>
      <c r="AD966" s="1"/>
      <c r="AE966" s="1"/>
      <c r="AF966" s="1"/>
      <c r="AG966" s="1"/>
      <c r="AH966" s="1"/>
    </row>
    <row r="967" ht="12.75" hidden="1" customHeight="1" outlineLevel="1">
      <c r="A967" s="17">
        <v>41178.0</v>
      </c>
      <c r="B967" s="1"/>
      <c r="C967" s="1" t="s">
        <v>339</v>
      </c>
      <c r="D967" s="74"/>
      <c r="E967" s="67"/>
      <c r="F967" s="75"/>
      <c r="G967" s="67"/>
      <c r="H967" s="68"/>
      <c r="I967" s="76"/>
      <c r="J967" s="67"/>
      <c r="K967" s="7" t="s">
        <v>686</v>
      </c>
      <c r="L967" s="77"/>
      <c r="M967" s="79"/>
      <c r="N967" s="1"/>
      <c r="O967" s="1"/>
      <c r="P967" s="1"/>
      <c r="Q967" s="1"/>
      <c r="R967" s="1"/>
      <c r="S967" s="1"/>
      <c r="T967" s="1"/>
      <c r="U967" s="1"/>
      <c r="V967" s="1"/>
      <c r="W967" s="1"/>
      <c r="X967" s="1"/>
      <c r="Y967" s="1"/>
      <c r="Z967" s="1"/>
      <c r="AA967" s="1"/>
      <c r="AB967" s="1"/>
      <c r="AC967" s="1"/>
      <c r="AD967" s="1"/>
      <c r="AE967" s="1"/>
      <c r="AF967" s="1"/>
      <c r="AG967" s="1"/>
      <c r="AH967" s="1"/>
    </row>
    <row r="968" ht="12.75" hidden="1" customHeight="1" outlineLevel="1">
      <c r="A968" s="17">
        <v>41178.0</v>
      </c>
      <c r="B968" s="1"/>
      <c r="C968" s="1" t="s">
        <v>429</v>
      </c>
      <c r="D968" s="74"/>
      <c r="E968" s="67"/>
      <c r="F968" s="75"/>
      <c r="G968" s="67"/>
      <c r="H968" s="68"/>
      <c r="I968" s="76"/>
      <c r="J968" s="67"/>
      <c r="K968" s="7" t="s">
        <v>679</v>
      </c>
      <c r="L968" s="77"/>
      <c r="M968" s="79"/>
      <c r="N968" s="1"/>
      <c r="O968" s="1"/>
      <c r="P968" s="1"/>
      <c r="Q968" s="1"/>
      <c r="R968" s="1"/>
      <c r="S968" s="1"/>
      <c r="T968" s="1"/>
      <c r="U968" s="1"/>
      <c r="V968" s="1"/>
      <c r="W968" s="1"/>
      <c r="X968" s="1"/>
      <c r="Y968" s="1"/>
      <c r="Z968" s="1"/>
      <c r="AA968" s="1"/>
      <c r="AB968" s="1"/>
      <c r="AC968" s="1"/>
      <c r="AD968" s="1"/>
      <c r="AE968" s="1"/>
      <c r="AF968" s="1"/>
      <c r="AG968" s="1"/>
      <c r="AH968" s="1"/>
    </row>
    <row r="969" ht="12.75" hidden="1" customHeight="1" outlineLevel="1">
      <c r="A969" s="17">
        <v>41178.0</v>
      </c>
      <c r="B969" s="1"/>
      <c r="C969" s="1" t="s">
        <v>431</v>
      </c>
      <c r="D969" s="74"/>
      <c r="E969" s="67"/>
      <c r="F969" s="75"/>
      <c r="G969" s="67"/>
      <c r="H969" s="68"/>
      <c r="I969" s="76"/>
      <c r="J969" s="67"/>
      <c r="K969" s="7" t="s">
        <v>669</v>
      </c>
      <c r="L969" s="77"/>
      <c r="M969" s="79"/>
      <c r="N969" s="1"/>
      <c r="O969" s="1"/>
      <c r="P969" s="1"/>
      <c r="Q969" s="1"/>
      <c r="R969" s="1"/>
      <c r="S969" s="1"/>
      <c r="T969" s="1"/>
      <c r="U969" s="1"/>
      <c r="V969" s="1"/>
      <c r="W969" s="1"/>
      <c r="X969" s="1"/>
      <c r="Y969" s="1"/>
      <c r="Z969" s="1"/>
      <c r="AA969" s="1"/>
      <c r="AB969" s="1"/>
      <c r="AC969" s="1"/>
      <c r="AD969" s="1"/>
      <c r="AE969" s="1"/>
      <c r="AF969" s="1"/>
      <c r="AG969" s="1"/>
      <c r="AH969" s="1"/>
    </row>
    <row r="970" ht="12.75" hidden="1" customHeight="1" outlineLevel="1">
      <c r="A970" s="17">
        <v>41178.0</v>
      </c>
      <c r="B970" s="1"/>
      <c r="C970" s="1" t="s">
        <v>433</v>
      </c>
      <c r="D970" s="74"/>
      <c r="E970" s="67"/>
      <c r="F970" s="75"/>
      <c r="G970" s="67"/>
      <c r="H970" s="68"/>
      <c r="I970" s="76"/>
      <c r="J970" s="67"/>
      <c r="K970" s="1" t="s">
        <v>434</v>
      </c>
      <c r="L970" s="77"/>
      <c r="M970" s="79"/>
      <c r="N970" s="1"/>
      <c r="O970" s="1"/>
      <c r="P970" s="1"/>
      <c r="Q970" s="1"/>
      <c r="R970" s="1"/>
      <c r="S970" s="1"/>
      <c r="T970" s="1"/>
      <c r="U970" s="1"/>
      <c r="V970" s="1"/>
      <c r="W970" s="1"/>
      <c r="X970" s="1"/>
      <c r="Y970" s="1"/>
      <c r="Z970" s="1"/>
      <c r="AA970" s="1"/>
      <c r="AB970" s="1"/>
      <c r="AC970" s="1"/>
      <c r="AD970" s="1"/>
      <c r="AE970" s="1"/>
      <c r="AF970" s="1"/>
      <c r="AG970" s="1"/>
      <c r="AH970" s="1"/>
    </row>
    <row r="971" ht="12.75" hidden="1" customHeight="1" outlineLevel="1">
      <c r="A971" s="17">
        <v>41178.0</v>
      </c>
      <c r="B971" s="1"/>
      <c r="C971" s="1" t="s">
        <v>435</v>
      </c>
      <c r="D971" s="74"/>
      <c r="E971" s="67"/>
      <c r="F971" s="75"/>
      <c r="G971" s="67"/>
      <c r="H971" s="68"/>
      <c r="I971" s="76"/>
      <c r="J971" s="67"/>
      <c r="K971" s="7" t="s">
        <v>658</v>
      </c>
      <c r="L971" s="77"/>
      <c r="M971" s="79"/>
      <c r="N971" s="1"/>
      <c r="O971" s="1"/>
      <c r="P971" s="1"/>
      <c r="Q971" s="1"/>
      <c r="R971" s="1"/>
      <c r="S971" s="1"/>
      <c r="T971" s="1"/>
      <c r="U971" s="1"/>
      <c r="V971" s="1"/>
      <c r="W971" s="1"/>
      <c r="X971" s="1"/>
      <c r="Y971" s="1"/>
      <c r="Z971" s="1"/>
      <c r="AA971" s="1"/>
      <c r="AB971" s="1"/>
      <c r="AC971" s="1"/>
      <c r="AD971" s="1"/>
      <c r="AE971" s="1"/>
      <c r="AF971" s="1"/>
      <c r="AG971" s="1"/>
      <c r="AH971" s="1"/>
    </row>
    <row r="972" ht="12.75" hidden="1" customHeight="1" outlineLevel="1">
      <c r="A972" s="17">
        <v>41179.0</v>
      </c>
      <c r="B972" s="1" t="s">
        <v>343</v>
      </c>
      <c r="C972" s="1" t="s">
        <v>656</v>
      </c>
      <c r="D972" s="74">
        <v>100.0</v>
      </c>
      <c r="E972" s="67">
        <v>1767.9</v>
      </c>
      <c r="F972" s="75">
        <v>0.4278125</v>
      </c>
      <c r="G972" s="67" t="s">
        <v>453</v>
      </c>
      <c r="H972" s="68">
        <v>2.32</v>
      </c>
      <c r="I972" s="76"/>
      <c r="J972" s="67">
        <f t="shared" ref="J972:J975" si="70">IF(B972="SLD",D972*E972,-D972*E972)-H972</f>
        <v>-176792.32</v>
      </c>
      <c r="K972" s="7"/>
      <c r="L972" s="70"/>
      <c r="M972" s="79"/>
      <c r="N972" s="1"/>
      <c r="O972" s="1"/>
      <c r="P972" s="1"/>
      <c r="Q972" s="1"/>
      <c r="R972" s="1"/>
      <c r="S972" s="1"/>
      <c r="T972" s="1"/>
      <c r="U972" s="1"/>
      <c r="V972" s="1"/>
      <c r="W972" s="1"/>
      <c r="X972" s="1"/>
      <c r="Y972" s="1"/>
      <c r="Z972" s="1"/>
      <c r="AA972" s="1"/>
      <c r="AB972" s="1"/>
      <c r="AC972" s="1"/>
      <c r="AD972" s="1"/>
      <c r="AE972" s="1"/>
      <c r="AF972" s="1"/>
      <c r="AG972" s="1"/>
      <c r="AH972" s="1"/>
    </row>
    <row r="973" ht="12.75" hidden="1" customHeight="1" outlineLevel="1">
      <c r="A973" s="17">
        <v>41179.0</v>
      </c>
      <c r="B973" s="1" t="s">
        <v>343</v>
      </c>
      <c r="C973" s="1" t="s">
        <v>394</v>
      </c>
      <c r="D973" s="74">
        <v>50.0</v>
      </c>
      <c r="E973" s="67">
        <v>1431.25</v>
      </c>
      <c r="F973" s="75">
        <v>0.4279976851851852</v>
      </c>
      <c r="G973" s="67" t="s">
        <v>453</v>
      </c>
      <c r="H973" s="68">
        <v>2.01</v>
      </c>
      <c r="I973" s="76"/>
      <c r="J973" s="67">
        <f t="shared" si="70"/>
        <v>-71564.51</v>
      </c>
      <c r="K973" s="7"/>
      <c r="L973" s="70"/>
      <c r="M973" s="79"/>
      <c r="N973" s="1"/>
      <c r="O973" s="1"/>
      <c r="P973" s="1"/>
      <c r="Q973" s="1"/>
      <c r="R973" s="1"/>
      <c r="S973" s="1"/>
      <c r="T973" s="1"/>
      <c r="U973" s="1"/>
      <c r="V973" s="1"/>
      <c r="W973" s="1"/>
      <c r="X973" s="1"/>
      <c r="Y973" s="1"/>
      <c r="Z973" s="1"/>
      <c r="AA973" s="1"/>
      <c r="AB973" s="1"/>
      <c r="AC973" s="1"/>
      <c r="AD973" s="1"/>
      <c r="AE973" s="1"/>
      <c r="AF973" s="1"/>
      <c r="AG973" s="1"/>
      <c r="AH973" s="1"/>
    </row>
    <row r="974" ht="12.75" hidden="1" customHeight="1" outlineLevel="1">
      <c r="A974" s="17">
        <v>41179.0</v>
      </c>
      <c r="B974" s="1" t="s">
        <v>343</v>
      </c>
      <c r="C974" s="1" t="s">
        <v>387</v>
      </c>
      <c r="D974" s="74">
        <v>60.0</v>
      </c>
      <c r="E974" s="67">
        <v>79.64</v>
      </c>
      <c r="F974" s="75">
        <v>0.45577546296296295</v>
      </c>
      <c r="G974" s="67" t="s">
        <v>453</v>
      </c>
      <c r="H974" s="68">
        <v>1.0</v>
      </c>
      <c r="I974" s="76"/>
      <c r="J974" s="67">
        <f t="shared" si="70"/>
        <v>-4779.4</v>
      </c>
      <c r="K974" s="7"/>
      <c r="L974" s="70"/>
      <c r="M974" s="79"/>
      <c r="N974" s="1"/>
      <c r="O974" s="1"/>
      <c r="P974" s="1"/>
      <c r="Q974" s="1"/>
      <c r="R974" s="1"/>
      <c r="S974" s="1"/>
      <c r="T974" s="1"/>
      <c r="U974" s="1"/>
      <c r="V974" s="1"/>
      <c r="W974" s="1"/>
      <c r="X974" s="1"/>
      <c r="Y974" s="1"/>
      <c r="Z974" s="1"/>
      <c r="AA974" s="1"/>
      <c r="AB974" s="1"/>
      <c r="AC974" s="1"/>
      <c r="AD974" s="1"/>
      <c r="AE974" s="1"/>
      <c r="AF974" s="1"/>
      <c r="AG974" s="1"/>
      <c r="AH974" s="1"/>
    </row>
    <row r="975" ht="12.75" hidden="1" customHeight="1" outlineLevel="1">
      <c r="A975" s="17">
        <v>41179.0</v>
      </c>
      <c r="B975" s="1" t="s">
        <v>343</v>
      </c>
      <c r="C975" s="1" t="s">
        <v>346</v>
      </c>
      <c r="D975" s="74">
        <v>30.0</v>
      </c>
      <c r="E975" s="67">
        <v>679.17</v>
      </c>
      <c r="F975" s="75">
        <v>0.5194444444444445</v>
      </c>
      <c r="G975" s="67" t="s">
        <v>453</v>
      </c>
      <c r="H975" s="68">
        <v>1.0</v>
      </c>
      <c r="I975" s="76"/>
      <c r="J975" s="67">
        <f t="shared" si="70"/>
        <v>-20376.1</v>
      </c>
      <c r="K975" s="7"/>
      <c r="L975" s="70"/>
      <c r="M975" s="79"/>
      <c r="N975" s="1"/>
      <c r="O975" s="1"/>
      <c r="P975" s="1"/>
      <c r="Q975" s="1"/>
      <c r="R975" s="1"/>
      <c r="S975" s="1"/>
      <c r="T975" s="1"/>
      <c r="U975" s="1"/>
      <c r="V975" s="1"/>
      <c r="W975" s="1"/>
      <c r="X975" s="1"/>
      <c r="Y975" s="1"/>
      <c r="Z975" s="1"/>
      <c r="AA975" s="1"/>
      <c r="AB975" s="1"/>
      <c r="AC975" s="1"/>
      <c r="AD975" s="1"/>
      <c r="AE975" s="1"/>
      <c r="AF975" s="1"/>
      <c r="AG975" s="1"/>
      <c r="AH975" s="1"/>
    </row>
    <row r="976" ht="12.75" hidden="1" customHeight="1" outlineLevel="1">
      <c r="A976" s="17">
        <v>41179.0</v>
      </c>
      <c r="B976" s="1"/>
      <c r="C976" s="1" t="s">
        <v>339</v>
      </c>
      <c r="D976" s="74"/>
      <c r="E976" s="67"/>
      <c r="F976" s="75"/>
      <c r="G976" s="67"/>
      <c r="H976" s="68"/>
      <c r="I976" s="76"/>
      <c r="J976" s="67"/>
      <c r="K976" s="7" t="s">
        <v>687</v>
      </c>
      <c r="L976" s="77"/>
      <c r="M976" s="79"/>
      <c r="N976" s="1"/>
      <c r="O976" s="1"/>
      <c r="P976" s="1"/>
      <c r="Q976" s="1"/>
      <c r="R976" s="1"/>
      <c r="S976" s="1"/>
      <c r="T976" s="1"/>
      <c r="U976" s="1"/>
      <c r="V976" s="1"/>
      <c r="W976" s="1"/>
      <c r="X976" s="1"/>
      <c r="Y976" s="1"/>
      <c r="Z976" s="1"/>
      <c r="AA976" s="1"/>
      <c r="AB976" s="1"/>
      <c r="AC976" s="1"/>
      <c r="AD976" s="1"/>
      <c r="AE976" s="1"/>
      <c r="AF976" s="1"/>
      <c r="AG976" s="1"/>
      <c r="AH976" s="1"/>
    </row>
    <row r="977" ht="12.75" hidden="1" customHeight="1" outlineLevel="1">
      <c r="A977" s="17">
        <v>41179.0</v>
      </c>
      <c r="B977" s="1"/>
      <c r="C977" s="1" t="s">
        <v>429</v>
      </c>
      <c r="D977" s="74"/>
      <c r="E977" s="67"/>
      <c r="F977" s="75"/>
      <c r="G977" s="67"/>
      <c r="H977" s="68"/>
      <c r="I977" s="76"/>
      <c r="J977" s="67"/>
      <c r="K977" s="7" t="s">
        <v>679</v>
      </c>
      <c r="L977" s="77"/>
      <c r="M977" s="79"/>
      <c r="N977" s="1"/>
      <c r="O977" s="1"/>
      <c r="P977" s="1"/>
      <c r="Q977" s="1"/>
      <c r="R977" s="1"/>
      <c r="S977" s="1"/>
      <c r="T977" s="1"/>
      <c r="U977" s="1"/>
      <c r="V977" s="1"/>
      <c r="W977" s="1"/>
      <c r="X977" s="1"/>
      <c r="Y977" s="1"/>
      <c r="Z977" s="1"/>
      <c r="AA977" s="1"/>
      <c r="AB977" s="1"/>
      <c r="AC977" s="1"/>
      <c r="AD977" s="1"/>
      <c r="AE977" s="1"/>
      <c r="AF977" s="1"/>
      <c r="AG977" s="1"/>
      <c r="AH977" s="1"/>
    </row>
    <row r="978" ht="12.75" hidden="1" customHeight="1" outlineLevel="1">
      <c r="A978" s="17">
        <v>41179.0</v>
      </c>
      <c r="B978" s="1"/>
      <c r="C978" s="1" t="s">
        <v>431</v>
      </c>
      <c r="D978" s="74"/>
      <c r="E978" s="67"/>
      <c r="F978" s="75"/>
      <c r="G978" s="67"/>
      <c r="H978" s="68"/>
      <c r="I978" s="76"/>
      <c r="J978" s="67"/>
      <c r="K978" s="7" t="s">
        <v>669</v>
      </c>
      <c r="L978" s="77"/>
      <c r="M978" s="79"/>
      <c r="N978" s="1"/>
      <c r="O978" s="1"/>
      <c r="P978" s="1"/>
      <c r="Q978" s="1"/>
      <c r="R978" s="1"/>
      <c r="S978" s="1"/>
      <c r="T978" s="1"/>
      <c r="U978" s="1"/>
      <c r="V978" s="1"/>
      <c r="W978" s="1"/>
      <c r="X978" s="1"/>
      <c r="Y978" s="1"/>
      <c r="Z978" s="1"/>
      <c r="AA978" s="1"/>
      <c r="AB978" s="1"/>
      <c r="AC978" s="1"/>
      <c r="AD978" s="1"/>
      <c r="AE978" s="1"/>
      <c r="AF978" s="1"/>
      <c r="AG978" s="1"/>
      <c r="AH978" s="1"/>
    </row>
    <row r="979" ht="12.75" hidden="1" customHeight="1" outlineLevel="1">
      <c r="A979" s="17">
        <v>41179.0</v>
      </c>
      <c r="B979" s="1"/>
      <c r="C979" s="1" t="s">
        <v>433</v>
      </c>
      <c r="D979" s="74"/>
      <c r="E979" s="67"/>
      <c r="F979" s="75"/>
      <c r="G979" s="67"/>
      <c r="H979" s="68"/>
      <c r="I979" s="76"/>
      <c r="J979" s="67"/>
      <c r="K979" s="1" t="s">
        <v>434</v>
      </c>
      <c r="L979" s="77"/>
      <c r="M979" s="79"/>
      <c r="N979" s="1"/>
      <c r="O979" s="1"/>
      <c r="P979" s="1"/>
      <c r="Q979" s="1"/>
      <c r="R979" s="1"/>
      <c r="S979" s="1"/>
      <c r="T979" s="1"/>
      <c r="U979" s="1"/>
      <c r="V979" s="1"/>
      <c r="W979" s="1"/>
      <c r="X979" s="1"/>
      <c r="Y979" s="1"/>
      <c r="Z979" s="1"/>
      <c r="AA979" s="1"/>
      <c r="AB979" s="1"/>
      <c r="AC979" s="1"/>
      <c r="AD979" s="1"/>
      <c r="AE979" s="1"/>
      <c r="AF979" s="1"/>
      <c r="AG979" s="1"/>
      <c r="AH979" s="1"/>
    </row>
    <row r="980" ht="12.75" hidden="1" customHeight="1" outlineLevel="1">
      <c r="A980" s="17">
        <v>41179.0</v>
      </c>
      <c r="B980" s="1"/>
      <c r="C980" s="1" t="s">
        <v>435</v>
      </c>
      <c r="D980" s="74"/>
      <c r="E980" s="67"/>
      <c r="F980" s="75"/>
      <c r="G980" s="67"/>
      <c r="H980" s="68"/>
      <c r="I980" s="76"/>
      <c r="J980" s="67"/>
      <c r="K980" s="7" t="s">
        <v>658</v>
      </c>
      <c r="L980" s="77"/>
      <c r="M980" s="79"/>
      <c r="N980" s="1"/>
      <c r="O980" s="1"/>
      <c r="P980" s="1"/>
      <c r="Q980" s="1"/>
      <c r="R980" s="1"/>
      <c r="S980" s="1"/>
      <c r="T980" s="1"/>
      <c r="U980" s="1"/>
      <c r="V980" s="1"/>
      <c r="W980" s="1"/>
      <c r="X980" s="1"/>
      <c r="Y980" s="1"/>
      <c r="Z980" s="1"/>
      <c r="AA980" s="1"/>
      <c r="AB980" s="1"/>
      <c r="AC980" s="1"/>
      <c r="AD980" s="1"/>
      <c r="AE980" s="1"/>
      <c r="AF980" s="1"/>
      <c r="AG980" s="1"/>
      <c r="AH980" s="1"/>
    </row>
    <row r="981" ht="12.75" hidden="1" customHeight="1" outlineLevel="1">
      <c r="A981" s="17">
        <v>41180.0</v>
      </c>
      <c r="B981" s="1"/>
      <c r="C981" s="1" t="s">
        <v>339</v>
      </c>
      <c r="D981" s="74"/>
      <c r="E981" s="67"/>
      <c r="F981" s="75"/>
      <c r="G981" s="67"/>
      <c r="H981" s="68"/>
      <c r="I981" s="76"/>
      <c r="J981" s="67"/>
      <c r="K981" s="7" t="s">
        <v>688</v>
      </c>
      <c r="L981" s="77"/>
      <c r="M981" s="79"/>
      <c r="N981" s="1"/>
      <c r="O981" s="1"/>
      <c r="P981" s="1"/>
      <c r="Q981" s="1"/>
      <c r="R981" s="1"/>
      <c r="S981" s="1"/>
      <c r="T981" s="1"/>
      <c r="U981" s="1"/>
      <c r="V981" s="1"/>
      <c r="W981" s="1"/>
      <c r="X981" s="1"/>
      <c r="Y981" s="1"/>
      <c r="Z981" s="1"/>
      <c r="AA981" s="1"/>
      <c r="AB981" s="1"/>
      <c r="AC981" s="1"/>
      <c r="AD981" s="1"/>
      <c r="AE981" s="1"/>
      <c r="AF981" s="1"/>
      <c r="AG981" s="1"/>
      <c r="AH981" s="1"/>
    </row>
    <row r="982" ht="12.75" hidden="1" customHeight="1" outlineLevel="1">
      <c r="A982" s="17">
        <v>41180.0</v>
      </c>
      <c r="B982" s="1"/>
      <c r="C982" s="1" t="s">
        <v>429</v>
      </c>
      <c r="D982" s="74"/>
      <c r="E982" s="67"/>
      <c r="F982" s="75"/>
      <c r="G982" s="67"/>
      <c r="H982" s="68"/>
      <c r="I982" s="76"/>
      <c r="J982" s="67"/>
      <c r="K982" s="7" t="s">
        <v>679</v>
      </c>
      <c r="L982" s="77"/>
      <c r="M982" s="79"/>
      <c r="N982" s="1"/>
      <c r="O982" s="1"/>
      <c r="P982" s="1"/>
      <c r="Q982" s="1"/>
      <c r="R982" s="1"/>
      <c r="S982" s="1"/>
      <c r="T982" s="1"/>
      <c r="U982" s="1"/>
      <c r="V982" s="1"/>
      <c r="W982" s="1"/>
      <c r="X982" s="1"/>
      <c r="Y982" s="1"/>
      <c r="Z982" s="1"/>
      <c r="AA982" s="1"/>
      <c r="AB982" s="1"/>
      <c r="AC982" s="1"/>
      <c r="AD982" s="1"/>
      <c r="AE982" s="1"/>
      <c r="AF982" s="1"/>
      <c r="AG982" s="1"/>
      <c r="AH982" s="1"/>
    </row>
    <row r="983" ht="12.75" hidden="1" customHeight="1" outlineLevel="1">
      <c r="A983" s="17">
        <v>41180.0</v>
      </c>
      <c r="B983" s="1"/>
      <c r="C983" s="1" t="s">
        <v>431</v>
      </c>
      <c r="D983" s="74"/>
      <c r="E983" s="67"/>
      <c r="F983" s="75"/>
      <c r="G983" s="67"/>
      <c r="H983" s="68"/>
      <c r="I983" s="76"/>
      <c r="J983" s="67"/>
      <c r="K983" s="7" t="s">
        <v>669</v>
      </c>
      <c r="L983" s="77"/>
      <c r="M983" s="79"/>
      <c r="N983" s="1"/>
      <c r="O983" s="1"/>
      <c r="P983" s="1"/>
      <c r="Q983" s="1"/>
      <c r="R983" s="1"/>
      <c r="S983" s="1"/>
      <c r="T983" s="1"/>
      <c r="U983" s="1"/>
      <c r="V983" s="1"/>
      <c r="W983" s="1"/>
      <c r="X983" s="1"/>
      <c r="Y983" s="1"/>
      <c r="Z983" s="1"/>
      <c r="AA983" s="1"/>
      <c r="AB983" s="1"/>
      <c r="AC983" s="1"/>
      <c r="AD983" s="1"/>
      <c r="AE983" s="1"/>
      <c r="AF983" s="1"/>
      <c r="AG983" s="1"/>
      <c r="AH983" s="1"/>
    </row>
    <row r="984" ht="12.75" hidden="1" customHeight="1" outlineLevel="1">
      <c r="A984" s="17">
        <v>41180.0</v>
      </c>
      <c r="B984" s="1"/>
      <c r="C984" s="1" t="s">
        <v>433</v>
      </c>
      <c r="D984" s="74"/>
      <c r="E984" s="67"/>
      <c r="F984" s="75"/>
      <c r="G984" s="67"/>
      <c r="H984" s="68"/>
      <c r="I984" s="76"/>
      <c r="J984" s="67"/>
      <c r="K984" s="1" t="s">
        <v>434</v>
      </c>
      <c r="L984" s="77"/>
      <c r="M984" s="79"/>
      <c r="N984" s="1"/>
      <c r="O984" s="1"/>
      <c r="P984" s="1"/>
      <c r="Q984" s="1"/>
      <c r="R984" s="1"/>
      <c r="S984" s="1"/>
      <c r="T984" s="1"/>
      <c r="U984" s="1"/>
      <c r="V984" s="1"/>
      <c r="W984" s="1"/>
      <c r="X984" s="1"/>
      <c r="Y984" s="1"/>
      <c r="Z984" s="1"/>
      <c r="AA984" s="1"/>
      <c r="AB984" s="1"/>
      <c r="AC984" s="1"/>
      <c r="AD984" s="1"/>
      <c r="AE984" s="1"/>
      <c r="AF984" s="1"/>
      <c r="AG984" s="1"/>
      <c r="AH984" s="1"/>
    </row>
    <row r="985" ht="12.75" hidden="1" customHeight="1" outlineLevel="1">
      <c r="A985" s="17">
        <v>41180.0</v>
      </c>
      <c r="B985" s="1"/>
      <c r="C985" s="1" t="s">
        <v>435</v>
      </c>
      <c r="D985" s="74"/>
      <c r="E985" s="67"/>
      <c r="F985" s="75"/>
      <c r="G985" s="67"/>
      <c r="H985" s="68"/>
      <c r="I985" s="76"/>
      <c r="J985" s="67"/>
      <c r="K985" s="7" t="s">
        <v>658</v>
      </c>
      <c r="L985" s="77"/>
      <c r="M985" s="79"/>
      <c r="N985" s="1"/>
      <c r="O985" s="1"/>
      <c r="P985" s="1"/>
      <c r="Q985" s="1"/>
      <c r="R985" s="1"/>
      <c r="S985" s="1"/>
      <c r="T985" s="1"/>
      <c r="U985" s="1"/>
      <c r="V985" s="1"/>
      <c r="W985" s="1"/>
      <c r="X985" s="1"/>
      <c r="Y985" s="1"/>
      <c r="Z985" s="1"/>
      <c r="AA985" s="1"/>
      <c r="AB985" s="1"/>
      <c r="AC985" s="1"/>
      <c r="AD985" s="1"/>
      <c r="AE985" s="1"/>
      <c r="AF985" s="1"/>
      <c r="AG985" s="1"/>
      <c r="AH985" s="1"/>
    </row>
    <row r="986" ht="12.75" hidden="1" customHeight="1" outlineLevel="1">
      <c r="A986" s="17">
        <v>41183.0</v>
      </c>
      <c r="B986" s="1" t="s">
        <v>343</v>
      </c>
      <c r="C986" s="1" t="s">
        <v>394</v>
      </c>
      <c r="D986" s="74">
        <v>50.0</v>
      </c>
      <c r="E986" s="67">
        <v>1451.0</v>
      </c>
      <c r="F986" s="75">
        <v>0.4236689814814815</v>
      </c>
      <c r="G986" s="67" t="s">
        <v>453</v>
      </c>
      <c r="H986" s="68">
        <v>2.01</v>
      </c>
      <c r="I986" s="76"/>
      <c r="J986" s="67">
        <f t="shared" ref="J986:J994" si="71">IF(B986="SLD",D986*E986,-D986*E986)-H986</f>
        <v>-72552.01</v>
      </c>
      <c r="K986" s="7"/>
      <c r="L986" s="70"/>
      <c r="M986" s="79"/>
      <c r="N986" s="1"/>
      <c r="O986" s="1"/>
      <c r="P986" s="1"/>
      <c r="Q986" s="1"/>
      <c r="R986" s="1"/>
      <c r="S986" s="1"/>
      <c r="T986" s="1"/>
      <c r="U986" s="1"/>
      <c r="V986" s="1"/>
      <c r="W986" s="1"/>
      <c r="X986" s="1"/>
      <c r="Y986" s="1"/>
      <c r="Z986" s="1"/>
      <c r="AA986" s="1"/>
      <c r="AB986" s="1"/>
      <c r="AC986" s="1"/>
      <c r="AD986" s="1"/>
      <c r="AE986" s="1"/>
      <c r="AF986" s="1"/>
      <c r="AG986" s="1"/>
      <c r="AH986" s="1"/>
    </row>
    <row r="987" ht="12.75" hidden="1" customHeight="1" outlineLevel="1">
      <c r="A987" s="17">
        <v>41183.0</v>
      </c>
      <c r="B987" s="1" t="s">
        <v>347</v>
      </c>
      <c r="C987" s="1" t="s">
        <v>394</v>
      </c>
      <c r="D987" s="74">
        <v>100.0</v>
      </c>
      <c r="E987" s="67">
        <v>1438.5</v>
      </c>
      <c r="F987" s="75">
        <v>0.5514699074074074</v>
      </c>
      <c r="G987" s="67" t="s">
        <v>453</v>
      </c>
      <c r="H987" s="68">
        <v>4.02</v>
      </c>
      <c r="I987" s="76"/>
      <c r="J987" s="67">
        <f t="shared" si="71"/>
        <v>143845.98</v>
      </c>
      <c r="K987" s="7"/>
      <c r="L987" s="70"/>
      <c r="M987" s="79"/>
      <c r="N987" s="1"/>
      <c r="O987" s="1"/>
      <c r="P987" s="1"/>
      <c r="Q987" s="1"/>
      <c r="R987" s="1"/>
      <c r="S987" s="1"/>
      <c r="T987" s="1"/>
      <c r="U987" s="1"/>
      <c r="V987" s="1"/>
      <c r="W987" s="1"/>
      <c r="X987" s="1"/>
      <c r="Y987" s="1"/>
      <c r="Z987" s="1"/>
      <c r="AA987" s="1"/>
      <c r="AB987" s="1"/>
      <c r="AC987" s="1"/>
      <c r="AD987" s="1"/>
      <c r="AE987" s="1"/>
      <c r="AF987" s="1"/>
      <c r="AG987" s="1"/>
      <c r="AH987" s="1"/>
    </row>
    <row r="988" ht="12.75" hidden="1" customHeight="1" outlineLevel="1">
      <c r="A988" s="17">
        <v>41183.0</v>
      </c>
      <c r="B988" s="1" t="s">
        <v>347</v>
      </c>
      <c r="C988" s="1" t="s">
        <v>656</v>
      </c>
      <c r="D988" s="74">
        <v>100.0</v>
      </c>
      <c r="E988" s="67">
        <v>1777.7</v>
      </c>
      <c r="F988" s="75">
        <v>0.5517013888888889</v>
      </c>
      <c r="G988" s="67" t="s">
        <v>453</v>
      </c>
      <c r="H988" s="68">
        <v>2.32</v>
      </c>
      <c r="I988" s="76"/>
      <c r="J988" s="67">
        <f t="shared" si="71"/>
        <v>177767.68</v>
      </c>
      <c r="K988" s="7"/>
      <c r="L988" s="70"/>
      <c r="M988" s="79"/>
      <c r="N988" s="1"/>
      <c r="O988" s="1"/>
      <c r="P988" s="1"/>
      <c r="Q988" s="1"/>
      <c r="R988" s="1"/>
      <c r="S988" s="1"/>
      <c r="T988" s="1"/>
      <c r="U988" s="1"/>
      <c r="V988" s="1"/>
      <c r="W988" s="1"/>
      <c r="X988" s="1"/>
      <c r="Y988" s="1"/>
      <c r="Z988" s="1"/>
      <c r="AA988" s="1"/>
      <c r="AB988" s="1"/>
      <c r="AC988" s="1"/>
      <c r="AD988" s="1"/>
      <c r="AE988" s="1"/>
      <c r="AF988" s="1"/>
      <c r="AG988" s="1"/>
      <c r="AH988" s="1"/>
    </row>
    <row r="989" ht="12.75" hidden="1" customHeight="1" outlineLevel="1">
      <c r="A989" s="17">
        <v>41183.0</v>
      </c>
      <c r="B989" s="1" t="s">
        <v>347</v>
      </c>
      <c r="C989" s="1" t="s">
        <v>346</v>
      </c>
      <c r="D989" s="74">
        <v>30.0</v>
      </c>
      <c r="E989" s="67">
        <v>665.4</v>
      </c>
      <c r="F989" s="75">
        <v>0.560775462962963</v>
      </c>
      <c r="G989" s="67" t="s">
        <v>453</v>
      </c>
      <c r="H989" s="68">
        <v>1.0</v>
      </c>
      <c r="I989" s="76"/>
      <c r="J989" s="67">
        <f t="shared" si="71"/>
        <v>19961</v>
      </c>
      <c r="K989" s="7"/>
      <c r="L989" s="70"/>
      <c r="M989" s="79"/>
      <c r="N989" s="1"/>
      <c r="O989" s="1"/>
      <c r="P989" s="1"/>
      <c r="Q989" s="1"/>
      <c r="R989" s="1"/>
      <c r="S989" s="1"/>
      <c r="T989" s="1"/>
      <c r="U989" s="1"/>
      <c r="V989" s="1"/>
      <c r="W989" s="1"/>
      <c r="X989" s="1"/>
      <c r="Y989" s="1"/>
      <c r="Z989" s="1"/>
      <c r="AA989" s="1"/>
      <c r="AB989" s="1"/>
      <c r="AC989" s="1"/>
      <c r="AD989" s="1"/>
      <c r="AE989" s="1"/>
      <c r="AF989" s="1"/>
      <c r="AG989" s="1"/>
      <c r="AH989" s="1"/>
    </row>
    <row r="990" ht="12.75" hidden="1" customHeight="1" outlineLevel="1">
      <c r="A990" s="17">
        <v>41183.0</v>
      </c>
      <c r="B990" s="1" t="s">
        <v>343</v>
      </c>
      <c r="C990" s="1" t="s">
        <v>394</v>
      </c>
      <c r="D990" s="74">
        <v>100.0</v>
      </c>
      <c r="E990" s="67">
        <v>1442.75</v>
      </c>
      <c r="F990" s="75">
        <v>0.5837847222222222</v>
      </c>
      <c r="G990" s="67" t="s">
        <v>453</v>
      </c>
      <c r="H990" s="68">
        <v>4.02</v>
      </c>
      <c r="I990" s="76"/>
      <c r="J990" s="67">
        <f t="shared" si="71"/>
        <v>-144279.02</v>
      </c>
      <c r="K990" s="7"/>
      <c r="L990" s="70"/>
      <c r="M990" s="79"/>
      <c r="N990" s="1"/>
      <c r="O990" s="1"/>
      <c r="P990" s="1"/>
      <c r="Q990" s="1"/>
      <c r="R990" s="1"/>
      <c r="S990" s="1"/>
      <c r="T990" s="1"/>
      <c r="U990" s="1"/>
      <c r="V990" s="1"/>
      <c r="W990" s="1"/>
      <c r="X990" s="1"/>
      <c r="Y990" s="1"/>
      <c r="Z990" s="1"/>
      <c r="AA990" s="1"/>
      <c r="AB990" s="1"/>
      <c r="AC990" s="1"/>
      <c r="AD990" s="1"/>
      <c r="AE990" s="1"/>
      <c r="AF990" s="1"/>
      <c r="AG990" s="1"/>
      <c r="AH990" s="1"/>
    </row>
    <row r="991" ht="12.75" hidden="1" customHeight="1" outlineLevel="1">
      <c r="A991" s="17">
        <v>41183.0</v>
      </c>
      <c r="B991" s="1" t="s">
        <v>343</v>
      </c>
      <c r="C991" s="1" t="s">
        <v>656</v>
      </c>
      <c r="D991" s="74">
        <v>100.0</v>
      </c>
      <c r="E991" s="67">
        <v>1782.4</v>
      </c>
      <c r="F991" s="75">
        <v>0.5840625</v>
      </c>
      <c r="G991" s="67" t="s">
        <v>453</v>
      </c>
      <c r="H991" s="68">
        <v>2.32</v>
      </c>
      <c r="I991" s="76"/>
      <c r="J991" s="67">
        <f t="shared" si="71"/>
        <v>-178242.32</v>
      </c>
      <c r="K991" s="7"/>
      <c r="L991" s="70"/>
      <c r="M991" s="79"/>
      <c r="N991" s="1"/>
      <c r="O991" s="1"/>
      <c r="P991" s="1"/>
      <c r="Q991" s="1"/>
      <c r="R991" s="1"/>
      <c r="S991" s="1"/>
      <c r="T991" s="1"/>
      <c r="U991" s="1"/>
      <c r="V991" s="1"/>
      <c r="W991" s="1"/>
      <c r="X991" s="1"/>
      <c r="Y991" s="1"/>
      <c r="Z991" s="1"/>
      <c r="AA991" s="1"/>
      <c r="AB991" s="1"/>
      <c r="AC991" s="1"/>
      <c r="AD991" s="1"/>
      <c r="AE991" s="1"/>
      <c r="AF991" s="1"/>
      <c r="AG991" s="1"/>
      <c r="AH991" s="1"/>
    </row>
    <row r="992" ht="12.75" hidden="1" customHeight="1" outlineLevel="1">
      <c r="A992" s="17">
        <v>41183.0</v>
      </c>
      <c r="B992" s="1" t="s">
        <v>343</v>
      </c>
      <c r="C992" s="1" t="s">
        <v>346</v>
      </c>
      <c r="D992" s="74">
        <v>30.0</v>
      </c>
      <c r="E992" s="67">
        <v>667.4</v>
      </c>
      <c r="F992" s="75">
        <v>0.5852546296296296</v>
      </c>
      <c r="G992" s="67" t="s">
        <v>453</v>
      </c>
      <c r="H992" s="68">
        <v>1.0</v>
      </c>
      <c r="I992" s="76"/>
      <c r="J992" s="67">
        <f t="shared" si="71"/>
        <v>-20023</v>
      </c>
      <c r="K992" s="7"/>
      <c r="L992" s="70"/>
      <c r="M992" s="79"/>
      <c r="N992" s="1"/>
      <c r="O992" s="1"/>
      <c r="P992" s="1"/>
      <c r="Q992" s="1"/>
      <c r="R992" s="1"/>
      <c r="S992" s="1"/>
      <c r="T992" s="1"/>
      <c r="U992" s="1"/>
      <c r="V992" s="1"/>
      <c r="W992" s="1"/>
      <c r="X992" s="1"/>
      <c r="Y992" s="1"/>
      <c r="Z992" s="1"/>
      <c r="AA992" s="1"/>
      <c r="AB992" s="1"/>
      <c r="AC992" s="1"/>
      <c r="AD992" s="1"/>
      <c r="AE992" s="1"/>
      <c r="AF992" s="1"/>
      <c r="AG992" s="1"/>
      <c r="AH992" s="1"/>
    </row>
    <row r="993" ht="12.75" hidden="1" customHeight="1" outlineLevel="1">
      <c r="A993" s="17">
        <v>41183.0</v>
      </c>
      <c r="B993" s="1" t="s">
        <v>347</v>
      </c>
      <c r="C993" s="1" t="s">
        <v>346</v>
      </c>
      <c r="D993" s="74">
        <v>30.0</v>
      </c>
      <c r="E993" s="67">
        <v>659.66</v>
      </c>
      <c r="F993" s="75">
        <v>0.654375</v>
      </c>
      <c r="G993" s="67" t="s">
        <v>453</v>
      </c>
      <c r="H993" s="68">
        <v>1.0</v>
      </c>
      <c r="I993" s="76"/>
      <c r="J993" s="67">
        <f t="shared" si="71"/>
        <v>19788.8</v>
      </c>
      <c r="K993" s="7"/>
      <c r="L993" s="70"/>
      <c r="M993" s="79"/>
      <c r="N993" s="1"/>
      <c r="O993" s="1"/>
      <c r="P993" s="1"/>
      <c r="Q993" s="1"/>
      <c r="R993" s="1"/>
      <c r="S993" s="1"/>
      <c r="T993" s="1"/>
      <c r="U993" s="1"/>
      <c r="V993" s="1"/>
      <c r="W993" s="1"/>
      <c r="X993" s="1"/>
      <c r="Y993" s="1"/>
      <c r="Z993" s="1"/>
      <c r="AA993" s="1"/>
      <c r="AB993" s="1"/>
      <c r="AC993" s="1"/>
      <c r="AD993" s="1"/>
      <c r="AE993" s="1"/>
      <c r="AF993" s="1"/>
      <c r="AG993" s="1"/>
      <c r="AH993" s="1"/>
    </row>
    <row r="994" ht="12.75" hidden="1" customHeight="1" outlineLevel="1">
      <c r="A994" s="17">
        <v>41183.0</v>
      </c>
      <c r="B994" s="1" t="s">
        <v>347</v>
      </c>
      <c r="C994" s="1" t="s">
        <v>346</v>
      </c>
      <c r="D994" s="74">
        <v>30.0</v>
      </c>
      <c r="E994" s="67">
        <v>657.557</v>
      </c>
      <c r="F994" s="75">
        <v>0.6578240740740741</v>
      </c>
      <c r="G994" s="67" t="s">
        <v>453</v>
      </c>
      <c r="H994" s="68">
        <v>1.0</v>
      </c>
      <c r="I994" s="76"/>
      <c r="J994" s="67">
        <f t="shared" si="71"/>
        <v>19725.71</v>
      </c>
      <c r="K994" s="7"/>
      <c r="L994" s="70"/>
      <c r="M994" s="79"/>
      <c r="N994" s="1"/>
      <c r="O994" s="1"/>
      <c r="P994" s="1"/>
      <c r="Q994" s="1"/>
      <c r="R994" s="1"/>
      <c r="S994" s="1"/>
      <c r="T994" s="1"/>
      <c r="U994" s="1"/>
      <c r="V994" s="1"/>
      <c r="W994" s="1"/>
      <c r="X994" s="1"/>
      <c r="Y994" s="1"/>
      <c r="Z994" s="1"/>
      <c r="AA994" s="1"/>
      <c r="AB994" s="1"/>
      <c r="AC994" s="1"/>
      <c r="AD994" s="1"/>
      <c r="AE994" s="1"/>
      <c r="AF994" s="1"/>
      <c r="AG994" s="1"/>
      <c r="AH994" s="1"/>
    </row>
    <row r="995" ht="12.75" hidden="1" customHeight="1" outlineLevel="1">
      <c r="A995" s="17">
        <v>41183.0</v>
      </c>
      <c r="B995" s="1"/>
      <c r="C995" s="1" t="s">
        <v>339</v>
      </c>
      <c r="D995" s="74"/>
      <c r="E995" s="67"/>
      <c r="F995" s="75"/>
      <c r="G995" s="67"/>
      <c r="H995" s="68"/>
      <c r="I995" s="76"/>
      <c r="J995" s="67"/>
      <c r="K995" s="7" t="s">
        <v>690</v>
      </c>
      <c r="L995" s="77"/>
      <c r="M995" s="79"/>
      <c r="N995" s="1"/>
      <c r="O995" s="1"/>
      <c r="P995" s="1"/>
      <c r="Q995" s="1"/>
      <c r="R995" s="1"/>
      <c r="S995" s="1"/>
      <c r="T995" s="1"/>
      <c r="U995" s="1"/>
      <c r="V995" s="1"/>
      <c r="W995" s="1"/>
      <c r="X995" s="1"/>
      <c r="Y995" s="1"/>
      <c r="Z995" s="1"/>
      <c r="AA995" s="1"/>
      <c r="AB995" s="1"/>
      <c r="AC995" s="1"/>
      <c r="AD995" s="1"/>
      <c r="AE995" s="1"/>
      <c r="AF995" s="1"/>
      <c r="AG995" s="1"/>
      <c r="AH995" s="1"/>
    </row>
    <row r="996" ht="12.75" hidden="1" customHeight="1" outlineLevel="1">
      <c r="A996" s="17">
        <v>41183.0</v>
      </c>
      <c r="B996" s="1"/>
      <c r="C996" s="1" t="s">
        <v>429</v>
      </c>
      <c r="D996" s="74"/>
      <c r="E996" s="67"/>
      <c r="F996" s="75"/>
      <c r="G996" s="67"/>
      <c r="H996" s="68"/>
      <c r="I996" s="76"/>
      <c r="J996" s="67"/>
      <c r="K996" s="7" t="s">
        <v>679</v>
      </c>
      <c r="L996" s="77"/>
      <c r="M996" s="79"/>
      <c r="N996" s="1"/>
      <c r="O996" s="1"/>
      <c r="P996" s="1"/>
      <c r="Q996" s="1"/>
      <c r="R996" s="1"/>
      <c r="S996" s="1"/>
      <c r="T996" s="1"/>
      <c r="U996" s="1"/>
      <c r="V996" s="1"/>
      <c r="W996" s="1"/>
      <c r="X996" s="1"/>
      <c r="Y996" s="1"/>
      <c r="Z996" s="1"/>
      <c r="AA996" s="1"/>
      <c r="AB996" s="1"/>
      <c r="AC996" s="1"/>
      <c r="AD996" s="1"/>
      <c r="AE996" s="1"/>
      <c r="AF996" s="1"/>
      <c r="AG996" s="1"/>
      <c r="AH996" s="1"/>
    </row>
    <row r="997" ht="12.75" hidden="1" customHeight="1" outlineLevel="1">
      <c r="A997" s="17">
        <v>41183.0</v>
      </c>
      <c r="B997" s="1"/>
      <c r="C997" s="1" t="s">
        <v>431</v>
      </c>
      <c r="D997" s="74"/>
      <c r="E997" s="67"/>
      <c r="F997" s="75"/>
      <c r="G997" s="67"/>
      <c r="H997" s="68"/>
      <c r="I997" s="76"/>
      <c r="J997" s="67"/>
      <c r="K997" s="7" t="s">
        <v>669</v>
      </c>
      <c r="L997" s="77"/>
      <c r="M997" s="79"/>
      <c r="N997" s="1"/>
      <c r="O997" s="1"/>
      <c r="P997" s="1"/>
      <c r="Q997" s="1"/>
      <c r="R997" s="1"/>
      <c r="S997" s="1"/>
      <c r="T997" s="1"/>
      <c r="U997" s="1"/>
      <c r="V997" s="1"/>
      <c r="W997" s="1"/>
      <c r="X997" s="1"/>
      <c r="Y997" s="1"/>
      <c r="Z997" s="1"/>
      <c r="AA997" s="1"/>
      <c r="AB997" s="1"/>
      <c r="AC997" s="1"/>
      <c r="AD997" s="1"/>
      <c r="AE997" s="1"/>
      <c r="AF997" s="1"/>
      <c r="AG997" s="1"/>
      <c r="AH997" s="1"/>
    </row>
    <row r="998" ht="12.75" hidden="1" customHeight="1" outlineLevel="1">
      <c r="A998" s="17">
        <v>41183.0</v>
      </c>
      <c r="B998" s="1"/>
      <c r="C998" s="1" t="s">
        <v>433</v>
      </c>
      <c r="D998" s="74"/>
      <c r="E998" s="67"/>
      <c r="F998" s="75"/>
      <c r="G998" s="67"/>
      <c r="H998" s="68"/>
      <c r="I998" s="76"/>
      <c r="J998" s="67"/>
      <c r="K998" s="1" t="s">
        <v>434</v>
      </c>
      <c r="L998" s="77"/>
      <c r="M998" s="79"/>
      <c r="N998" s="1"/>
      <c r="O998" s="1"/>
      <c r="P998" s="1"/>
      <c r="Q998" s="1"/>
      <c r="R998" s="1"/>
      <c r="S998" s="1"/>
      <c r="T998" s="1"/>
      <c r="U998" s="1"/>
      <c r="V998" s="1"/>
      <c r="W998" s="1"/>
      <c r="X998" s="1"/>
      <c r="Y998" s="1"/>
      <c r="Z998" s="1"/>
      <c r="AA998" s="1"/>
      <c r="AB998" s="1"/>
      <c r="AC998" s="1"/>
      <c r="AD998" s="1"/>
      <c r="AE998" s="1"/>
      <c r="AF998" s="1"/>
      <c r="AG998" s="1"/>
      <c r="AH998" s="1"/>
    </row>
    <row r="999" ht="12.75" hidden="1" customHeight="1" outlineLevel="1">
      <c r="A999" s="17">
        <v>41183.0</v>
      </c>
      <c r="B999" s="1"/>
      <c r="C999" s="1" t="s">
        <v>435</v>
      </c>
      <c r="D999" s="74"/>
      <c r="E999" s="67"/>
      <c r="F999" s="75"/>
      <c r="G999" s="67"/>
      <c r="H999" s="68"/>
      <c r="I999" s="76"/>
      <c r="J999" s="67"/>
      <c r="K999" s="7" t="s">
        <v>658</v>
      </c>
      <c r="L999" s="77"/>
      <c r="M999" s="79"/>
      <c r="N999" s="1"/>
      <c r="O999" s="1"/>
      <c r="P999" s="1"/>
      <c r="Q999" s="1"/>
      <c r="R999" s="1"/>
      <c r="S999" s="1"/>
      <c r="T999" s="1"/>
      <c r="U999" s="1"/>
      <c r="V999" s="1"/>
      <c r="W999" s="1"/>
      <c r="X999" s="1"/>
      <c r="Y999" s="1"/>
      <c r="Z999" s="1"/>
      <c r="AA999" s="1"/>
      <c r="AB999" s="1"/>
      <c r="AC999" s="1"/>
      <c r="AD999" s="1"/>
      <c r="AE999" s="1"/>
      <c r="AF999" s="1"/>
      <c r="AG999" s="1"/>
      <c r="AH999" s="1"/>
    </row>
    <row r="1000" ht="12.75" hidden="1" customHeight="1" outlineLevel="1">
      <c r="A1000" s="17">
        <v>41184.0</v>
      </c>
      <c r="B1000" s="1" t="s">
        <v>343</v>
      </c>
      <c r="C1000" s="1" t="s">
        <v>346</v>
      </c>
      <c r="D1000" s="74">
        <v>30.0</v>
      </c>
      <c r="E1000" s="67">
        <v>662.0</v>
      </c>
      <c r="F1000" s="75">
        <v>0.41107638888888887</v>
      </c>
      <c r="G1000" s="67" t="s">
        <v>453</v>
      </c>
      <c r="H1000" s="68">
        <v>1.0</v>
      </c>
      <c r="I1000" s="76"/>
      <c r="J1000" s="67">
        <f t="shared" ref="J1000:J1001" si="72">IF(B1000="SLD",D1000*E1000,-D1000*E1000)-H1000</f>
        <v>-19861</v>
      </c>
      <c r="K1000" s="7"/>
      <c r="L1000" s="70"/>
      <c r="M1000" s="79"/>
      <c r="N1000" s="1"/>
      <c r="O1000" s="1"/>
      <c r="P1000" s="1"/>
      <c r="Q1000" s="1"/>
      <c r="R1000" s="1"/>
      <c r="S1000" s="1"/>
      <c r="T1000" s="1"/>
      <c r="U1000" s="1"/>
      <c r="V1000" s="1"/>
      <c r="W1000" s="1"/>
      <c r="X1000" s="1"/>
      <c r="Y1000" s="1"/>
      <c r="Z1000" s="1"/>
      <c r="AA1000" s="1"/>
      <c r="AB1000" s="1"/>
      <c r="AC1000" s="1"/>
      <c r="AD1000" s="1"/>
      <c r="AE1000" s="1"/>
      <c r="AF1000" s="1"/>
      <c r="AG1000" s="1"/>
      <c r="AH1000" s="1"/>
    </row>
    <row r="1001" ht="12.75" hidden="1" customHeight="1" outlineLevel="1">
      <c r="A1001" s="17">
        <v>41184.0</v>
      </c>
      <c r="B1001" s="1" t="s">
        <v>347</v>
      </c>
      <c r="C1001" s="1" t="s">
        <v>691</v>
      </c>
      <c r="D1001" s="74">
        <v>125.0</v>
      </c>
      <c r="E1001" s="67">
        <v>35.42</v>
      </c>
      <c r="F1001" s="75">
        <v>0.5964930555555555</v>
      </c>
      <c r="G1001" s="67" t="s">
        <v>453</v>
      </c>
      <c r="H1001" s="68">
        <v>1.0</v>
      </c>
      <c r="I1001" s="76"/>
      <c r="J1001" s="67">
        <f t="shared" si="72"/>
        <v>4426.5</v>
      </c>
      <c r="K1001" s="7"/>
      <c r="L1001" s="70"/>
      <c r="M1001" s="79"/>
      <c r="N1001" s="1"/>
      <c r="O1001" s="1"/>
      <c r="P1001" s="1"/>
      <c r="Q1001" s="1"/>
      <c r="R1001" s="1"/>
      <c r="S1001" s="1"/>
      <c r="T1001" s="1"/>
      <c r="U1001" s="1"/>
      <c r="V1001" s="1"/>
      <c r="W1001" s="1"/>
      <c r="X1001" s="1"/>
      <c r="Y1001" s="1"/>
      <c r="Z1001" s="1"/>
      <c r="AA1001" s="1"/>
      <c r="AB1001" s="1"/>
      <c r="AC1001" s="1"/>
      <c r="AD1001" s="1"/>
      <c r="AE1001" s="1"/>
      <c r="AF1001" s="1"/>
      <c r="AG1001" s="1"/>
      <c r="AH1001" s="1"/>
    </row>
    <row r="1002" ht="12.75" hidden="1" customHeight="1" outlineLevel="1">
      <c r="A1002" s="17">
        <v>41184.0</v>
      </c>
      <c r="B1002" s="1"/>
      <c r="C1002" s="1" t="s">
        <v>339</v>
      </c>
      <c r="D1002" s="74"/>
      <c r="E1002" s="67"/>
      <c r="F1002" s="75"/>
      <c r="G1002" s="67"/>
      <c r="H1002" s="68"/>
      <c r="I1002" s="76"/>
      <c r="J1002" s="67"/>
      <c r="K1002" s="7" t="s">
        <v>692</v>
      </c>
      <c r="L1002" s="77"/>
      <c r="M1002" s="79"/>
      <c r="N1002" s="1"/>
      <c r="O1002" s="1"/>
      <c r="P1002" s="1"/>
      <c r="Q1002" s="1"/>
      <c r="R1002" s="1"/>
      <c r="S1002" s="1"/>
      <c r="T1002" s="1"/>
      <c r="U1002" s="1"/>
      <c r="V1002" s="1"/>
      <c r="W1002" s="1"/>
      <c r="X1002" s="1"/>
      <c r="Y1002" s="1"/>
      <c r="Z1002" s="1"/>
      <c r="AA1002" s="1"/>
      <c r="AB1002" s="1"/>
      <c r="AC1002" s="1"/>
      <c r="AD1002" s="1"/>
      <c r="AE1002" s="1"/>
      <c r="AF1002" s="1"/>
      <c r="AG1002" s="1"/>
      <c r="AH1002" s="1"/>
    </row>
    <row r="1003" ht="12.75" hidden="1" customHeight="1" outlineLevel="1">
      <c r="A1003" s="17">
        <v>41184.0</v>
      </c>
      <c r="B1003" s="1"/>
      <c r="C1003" s="1" t="s">
        <v>429</v>
      </c>
      <c r="D1003" s="74"/>
      <c r="E1003" s="67"/>
      <c r="F1003" s="75"/>
      <c r="G1003" s="67"/>
      <c r="H1003" s="68"/>
      <c r="I1003" s="76"/>
      <c r="J1003" s="67"/>
      <c r="K1003" s="7" t="s">
        <v>679</v>
      </c>
      <c r="L1003" s="77"/>
      <c r="M1003" s="79"/>
      <c r="N1003" s="1"/>
      <c r="O1003" s="1"/>
      <c r="P1003" s="1"/>
      <c r="Q1003" s="1"/>
      <c r="R1003" s="1"/>
      <c r="S1003" s="1"/>
      <c r="T1003" s="1"/>
      <c r="U1003" s="1"/>
      <c r="V1003" s="1"/>
      <c r="W1003" s="1"/>
      <c r="X1003" s="1"/>
      <c r="Y1003" s="1"/>
      <c r="Z1003" s="1"/>
      <c r="AA1003" s="1"/>
      <c r="AB1003" s="1"/>
      <c r="AC1003" s="1"/>
      <c r="AD1003" s="1"/>
      <c r="AE1003" s="1"/>
      <c r="AF1003" s="1"/>
      <c r="AG1003" s="1"/>
      <c r="AH1003" s="1"/>
    </row>
    <row r="1004" ht="12.75" hidden="1" customHeight="1" outlineLevel="1">
      <c r="A1004" s="17">
        <v>41184.0</v>
      </c>
      <c r="B1004" s="1"/>
      <c r="C1004" s="1" t="s">
        <v>431</v>
      </c>
      <c r="D1004" s="74"/>
      <c r="E1004" s="67"/>
      <c r="F1004" s="75"/>
      <c r="G1004" s="67"/>
      <c r="H1004" s="68"/>
      <c r="I1004" s="76"/>
      <c r="J1004" s="67"/>
      <c r="K1004" s="7" t="s">
        <v>669</v>
      </c>
      <c r="L1004" s="77"/>
      <c r="M1004" s="79"/>
      <c r="N1004" s="1"/>
      <c r="O1004" s="1"/>
      <c r="P1004" s="1"/>
      <c r="Q1004" s="1"/>
      <c r="R1004" s="1"/>
      <c r="S1004" s="1"/>
      <c r="T1004" s="1"/>
      <c r="U1004" s="1"/>
      <c r="V1004" s="1"/>
      <c r="W1004" s="1"/>
      <c r="X1004" s="1"/>
      <c r="Y1004" s="1"/>
      <c r="Z1004" s="1"/>
      <c r="AA1004" s="1"/>
      <c r="AB1004" s="1"/>
      <c r="AC1004" s="1"/>
      <c r="AD1004" s="1"/>
      <c r="AE1004" s="1"/>
      <c r="AF1004" s="1"/>
      <c r="AG1004" s="1"/>
      <c r="AH1004" s="1"/>
    </row>
    <row r="1005" ht="12.75" hidden="1" customHeight="1" outlineLevel="1">
      <c r="A1005" s="17">
        <v>41184.0</v>
      </c>
      <c r="B1005" s="1"/>
      <c r="C1005" s="1" t="s">
        <v>433</v>
      </c>
      <c r="D1005" s="74"/>
      <c r="E1005" s="67"/>
      <c r="F1005" s="75"/>
      <c r="G1005" s="67"/>
      <c r="H1005" s="68"/>
      <c r="I1005" s="76"/>
      <c r="J1005" s="67"/>
      <c r="K1005" s="1" t="s">
        <v>434</v>
      </c>
      <c r="L1005" s="77"/>
      <c r="M1005" s="79"/>
      <c r="N1005" s="1"/>
      <c r="O1005" s="1"/>
      <c r="P1005" s="1"/>
      <c r="Q1005" s="1"/>
      <c r="R1005" s="1"/>
      <c r="S1005" s="1"/>
      <c r="T1005" s="1"/>
      <c r="U1005" s="1"/>
      <c r="V1005" s="1"/>
      <c r="W1005" s="1"/>
      <c r="X1005" s="1"/>
      <c r="Y1005" s="1"/>
      <c r="Z1005" s="1"/>
      <c r="AA1005" s="1"/>
      <c r="AB1005" s="1"/>
      <c r="AC1005" s="1"/>
      <c r="AD1005" s="1"/>
      <c r="AE1005" s="1"/>
      <c r="AF1005" s="1"/>
      <c r="AG1005" s="1"/>
      <c r="AH1005" s="1"/>
    </row>
    <row r="1006" ht="12.75" hidden="1" customHeight="1" outlineLevel="1">
      <c r="A1006" s="17">
        <v>41184.0</v>
      </c>
      <c r="B1006" s="1"/>
      <c r="C1006" s="1" t="s">
        <v>435</v>
      </c>
      <c r="D1006" s="74"/>
      <c r="E1006" s="67"/>
      <c r="F1006" s="75"/>
      <c r="G1006" s="67"/>
      <c r="H1006" s="68"/>
      <c r="I1006" s="76"/>
      <c r="J1006" s="67"/>
      <c r="K1006" s="7" t="s">
        <v>658</v>
      </c>
      <c r="L1006" s="77"/>
      <c r="M1006" s="79"/>
      <c r="N1006" s="1"/>
      <c r="O1006" s="1"/>
      <c r="P1006" s="1"/>
      <c r="Q1006" s="1"/>
      <c r="R1006" s="1"/>
      <c r="S1006" s="1"/>
      <c r="T1006" s="1"/>
      <c r="U1006" s="1"/>
      <c r="V1006" s="1"/>
      <c r="W1006" s="1"/>
      <c r="X1006" s="1"/>
      <c r="Y1006" s="1"/>
      <c r="Z1006" s="1"/>
      <c r="AA1006" s="1"/>
      <c r="AB1006" s="1"/>
      <c r="AC1006" s="1"/>
      <c r="AD1006" s="1"/>
      <c r="AE1006" s="1"/>
      <c r="AF1006" s="1"/>
      <c r="AG1006" s="1"/>
      <c r="AH1006" s="1"/>
    </row>
    <row r="1007" ht="12.75" hidden="1" customHeight="1" outlineLevel="1">
      <c r="A1007" s="17">
        <v>41185.0</v>
      </c>
      <c r="B1007" s="1"/>
      <c r="C1007" s="1" t="s">
        <v>339</v>
      </c>
      <c r="D1007" s="74"/>
      <c r="E1007" s="67"/>
      <c r="F1007" s="75"/>
      <c r="G1007" s="67"/>
      <c r="H1007" s="68"/>
      <c r="I1007" s="76"/>
      <c r="J1007" s="67"/>
      <c r="K1007" s="7" t="s">
        <v>692</v>
      </c>
      <c r="L1007" s="77"/>
      <c r="M1007" s="79"/>
      <c r="N1007" s="1"/>
      <c r="O1007" s="1"/>
      <c r="P1007" s="1"/>
      <c r="Q1007" s="1"/>
      <c r="R1007" s="1"/>
      <c r="S1007" s="1"/>
      <c r="T1007" s="1"/>
      <c r="U1007" s="1"/>
      <c r="V1007" s="1"/>
      <c r="W1007" s="1"/>
      <c r="X1007" s="1"/>
      <c r="Y1007" s="1"/>
      <c r="Z1007" s="1"/>
      <c r="AA1007" s="1"/>
      <c r="AB1007" s="1"/>
      <c r="AC1007" s="1"/>
      <c r="AD1007" s="1"/>
      <c r="AE1007" s="1"/>
      <c r="AF1007" s="1"/>
      <c r="AG1007" s="1"/>
      <c r="AH1007" s="1"/>
    </row>
    <row r="1008" ht="12.75" hidden="1" customHeight="1" outlineLevel="1">
      <c r="A1008" s="17">
        <v>41185.0</v>
      </c>
      <c r="B1008" s="1"/>
      <c r="C1008" s="1" t="s">
        <v>429</v>
      </c>
      <c r="D1008" s="74"/>
      <c r="E1008" s="67"/>
      <c r="F1008" s="75"/>
      <c r="G1008" s="67"/>
      <c r="H1008" s="68"/>
      <c r="I1008" s="76"/>
      <c r="J1008" s="67"/>
      <c r="K1008" s="7" t="s">
        <v>679</v>
      </c>
      <c r="L1008" s="77"/>
      <c r="M1008" s="79"/>
      <c r="N1008" s="1"/>
      <c r="O1008" s="1"/>
      <c r="P1008" s="1"/>
      <c r="Q1008" s="1"/>
      <c r="R1008" s="1"/>
      <c r="S1008" s="1"/>
      <c r="T1008" s="1"/>
      <c r="U1008" s="1"/>
      <c r="V1008" s="1"/>
      <c r="W1008" s="1"/>
      <c r="X1008" s="1"/>
      <c r="Y1008" s="1"/>
      <c r="Z1008" s="1"/>
      <c r="AA1008" s="1"/>
      <c r="AB1008" s="1"/>
      <c r="AC1008" s="1"/>
      <c r="AD1008" s="1"/>
      <c r="AE1008" s="1"/>
      <c r="AF1008" s="1"/>
      <c r="AG1008" s="1"/>
      <c r="AH1008" s="1"/>
    </row>
    <row r="1009" ht="12.75" hidden="1" customHeight="1" outlineLevel="1">
      <c r="A1009" s="17">
        <v>41185.0</v>
      </c>
      <c r="B1009" s="1"/>
      <c r="C1009" s="1" t="s">
        <v>431</v>
      </c>
      <c r="D1009" s="74"/>
      <c r="E1009" s="67"/>
      <c r="F1009" s="75"/>
      <c r="G1009" s="67"/>
      <c r="H1009" s="68"/>
      <c r="I1009" s="76"/>
      <c r="J1009" s="67"/>
      <c r="K1009" s="7" t="s">
        <v>669</v>
      </c>
      <c r="L1009" s="77"/>
      <c r="M1009" s="79"/>
      <c r="N1009" s="1"/>
      <c r="O1009" s="1"/>
      <c r="P1009" s="1"/>
      <c r="Q1009" s="1"/>
      <c r="R1009" s="1"/>
      <c r="S1009" s="1"/>
      <c r="T1009" s="1"/>
      <c r="U1009" s="1"/>
      <c r="V1009" s="1"/>
      <c r="W1009" s="1"/>
      <c r="X1009" s="1"/>
      <c r="Y1009" s="1"/>
      <c r="Z1009" s="1"/>
      <c r="AA1009" s="1"/>
      <c r="AB1009" s="1"/>
      <c r="AC1009" s="1"/>
      <c r="AD1009" s="1"/>
      <c r="AE1009" s="1"/>
      <c r="AF1009" s="1"/>
      <c r="AG1009" s="1"/>
      <c r="AH1009" s="1"/>
    </row>
    <row r="1010" ht="12.75" hidden="1" customHeight="1" outlineLevel="1">
      <c r="A1010" s="17">
        <v>41185.0</v>
      </c>
      <c r="B1010" s="1"/>
      <c r="C1010" s="1" t="s">
        <v>433</v>
      </c>
      <c r="D1010" s="74"/>
      <c r="E1010" s="67"/>
      <c r="F1010" s="75"/>
      <c r="G1010" s="67"/>
      <c r="H1010" s="68"/>
      <c r="I1010" s="76"/>
      <c r="J1010" s="67"/>
      <c r="K1010" s="1" t="s">
        <v>434</v>
      </c>
      <c r="L1010" s="77"/>
      <c r="M1010" s="79"/>
      <c r="N1010" s="1"/>
      <c r="O1010" s="1"/>
      <c r="P1010" s="1"/>
      <c r="Q1010" s="1"/>
      <c r="R1010" s="1"/>
      <c r="S1010" s="1"/>
      <c r="T1010" s="1"/>
      <c r="U1010" s="1"/>
      <c r="V1010" s="1"/>
      <c r="W1010" s="1"/>
      <c r="X1010" s="1"/>
      <c r="Y1010" s="1"/>
      <c r="Z1010" s="1"/>
      <c r="AA1010" s="1"/>
      <c r="AB1010" s="1"/>
      <c r="AC1010" s="1"/>
      <c r="AD1010" s="1"/>
      <c r="AE1010" s="1"/>
      <c r="AF1010" s="1"/>
      <c r="AG1010" s="1"/>
      <c r="AH1010" s="1"/>
    </row>
    <row r="1011" ht="12.75" hidden="1" customHeight="1" outlineLevel="1">
      <c r="A1011" s="17">
        <v>41185.0</v>
      </c>
      <c r="B1011" s="1"/>
      <c r="C1011" s="1" t="s">
        <v>435</v>
      </c>
      <c r="D1011" s="74"/>
      <c r="E1011" s="67"/>
      <c r="F1011" s="75"/>
      <c r="G1011" s="67"/>
      <c r="H1011" s="68"/>
      <c r="I1011" s="76"/>
      <c r="J1011" s="67"/>
      <c r="K1011" s="7" t="s">
        <v>658</v>
      </c>
      <c r="L1011" s="77"/>
      <c r="M1011" s="79"/>
      <c r="N1011" s="1"/>
      <c r="O1011" s="1"/>
      <c r="P1011" s="1"/>
      <c r="Q1011" s="1"/>
      <c r="R1011" s="1"/>
      <c r="S1011" s="1"/>
      <c r="T1011" s="1"/>
      <c r="U1011" s="1"/>
      <c r="V1011" s="1"/>
      <c r="W1011" s="1"/>
      <c r="X1011" s="1"/>
      <c r="Y1011" s="1"/>
      <c r="Z1011" s="1"/>
      <c r="AA1011" s="1"/>
      <c r="AB1011" s="1"/>
      <c r="AC1011" s="1"/>
      <c r="AD1011" s="1"/>
      <c r="AE1011" s="1"/>
      <c r="AF1011" s="1"/>
      <c r="AG1011" s="1"/>
      <c r="AH1011" s="1"/>
    </row>
    <row r="1012" ht="12.75" hidden="1" customHeight="1" outlineLevel="1">
      <c r="A1012" s="17">
        <v>41186.0</v>
      </c>
      <c r="B1012" s="1" t="s">
        <v>343</v>
      </c>
      <c r="C1012" s="1" t="s">
        <v>394</v>
      </c>
      <c r="D1012" s="74">
        <v>50.0</v>
      </c>
      <c r="E1012" s="67">
        <v>1455.0</v>
      </c>
      <c r="F1012" s="75">
        <v>0.4219907407407408</v>
      </c>
      <c r="G1012" s="67" t="s">
        <v>453</v>
      </c>
      <c r="H1012" s="68">
        <v>2.01</v>
      </c>
      <c r="I1012" s="76"/>
      <c r="J1012" s="67">
        <f>IF(B1012="SLD",D1012*E1012,-D1012*E1012)-H1012</f>
        <v>-72752.01</v>
      </c>
      <c r="K1012" s="7"/>
      <c r="L1012" s="70"/>
      <c r="M1012" s="79"/>
      <c r="N1012" s="1"/>
      <c r="O1012" s="1"/>
      <c r="P1012" s="1"/>
      <c r="Q1012" s="1"/>
      <c r="R1012" s="1"/>
      <c r="S1012" s="1"/>
      <c r="T1012" s="1"/>
      <c r="U1012" s="1"/>
      <c r="V1012" s="1"/>
      <c r="W1012" s="1"/>
      <c r="X1012" s="1"/>
      <c r="Y1012" s="1"/>
      <c r="Z1012" s="1"/>
      <c r="AA1012" s="1"/>
      <c r="AB1012" s="1"/>
      <c r="AC1012" s="1"/>
      <c r="AD1012" s="1"/>
      <c r="AE1012" s="1"/>
      <c r="AF1012" s="1"/>
      <c r="AG1012" s="1"/>
      <c r="AH1012" s="1"/>
    </row>
    <row r="1013" ht="12.75" hidden="1" customHeight="1" outlineLevel="1">
      <c r="A1013" s="17">
        <v>41186.0</v>
      </c>
      <c r="B1013" s="1"/>
      <c r="C1013" s="1" t="s">
        <v>339</v>
      </c>
      <c r="D1013" s="74"/>
      <c r="E1013" s="67"/>
      <c r="F1013" s="75"/>
      <c r="G1013" s="67"/>
      <c r="H1013" s="68"/>
      <c r="I1013" s="76"/>
      <c r="J1013" s="67"/>
      <c r="K1013" s="7" t="s">
        <v>693</v>
      </c>
      <c r="L1013" s="77"/>
      <c r="M1013" s="79"/>
      <c r="N1013" s="1"/>
      <c r="O1013" s="1"/>
      <c r="P1013" s="1"/>
      <c r="Q1013" s="1"/>
      <c r="R1013" s="1"/>
      <c r="S1013" s="1"/>
      <c r="T1013" s="1"/>
      <c r="U1013" s="1"/>
      <c r="V1013" s="1"/>
      <c r="W1013" s="1"/>
      <c r="X1013" s="1"/>
      <c r="Y1013" s="1"/>
      <c r="Z1013" s="1"/>
      <c r="AA1013" s="1"/>
      <c r="AB1013" s="1"/>
      <c r="AC1013" s="1"/>
      <c r="AD1013" s="1"/>
      <c r="AE1013" s="1"/>
      <c r="AF1013" s="1"/>
      <c r="AG1013" s="1"/>
      <c r="AH1013" s="1"/>
    </row>
    <row r="1014" ht="12.75" hidden="1" customHeight="1" outlineLevel="1">
      <c r="A1014" s="17">
        <v>41186.0</v>
      </c>
      <c r="B1014" s="1"/>
      <c r="C1014" s="1" t="s">
        <v>429</v>
      </c>
      <c r="D1014" s="74"/>
      <c r="E1014" s="67"/>
      <c r="F1014" s="75"/>
      <c r="G1014" s="67"/>
      <c r="H1014" s="68"/>
      <c r="I1014" s="76"/>
      <c r="J1014" s="67"/>
      <c r="K1014" s="7" t="s">
        <v>679</v>
      </c>
      <c r="L1014" s="77"/>
      <c r="M1014" s="79"/>
      <c r="N1014" s="1"/>
      <c r="O1014" s="1"/>
      <c r="P1014" s="1"/>
      <c r="Q1014" s="1"/>
      <c r="R1014" s="1"/>
      <c r="S1014" s="1"/>
      <c r="T1014" s="1"/>
      <c r="U1014" s="1"/>
      <c r="V1014" s="1"/>
      <c r="W1014" s="1"/>
      <c r="X1014" s="1"/>
      <c r="Y1014" s="1"/>
      <c r="Z1014" s="1"/>
      <c r="AA1014" s="1"/>
      <c r="AB1014" s="1"/>
      <c r="AC1014" s="1"/>
      <c r="AD1014" s="1"/>
      <c r="AE1014" s="1"/>
      <c r="AF1014" s="1"/>
      <c r="AG1014" s="1"/>
      <c r="AH1014" s="1"/>
    </row>
    <row r="1015" ht="12.75" hidden="1" customHeight="1" outlineLevel="1">
      <c r="A1015" s="17">
        <v>41186.0</v>
      </c>
      <c r="B1015" s="1"/>
      <c r="C1015" s="1" t="s">
        <v>431</v>
      </c>
      <c r="D1015" s="74"/>
      <c r="E1015" s="67"/>
      <c r="F1015" s="75"/>
      <c r="G1015" s="67"/>
      <c r="H1015" s="68"/>
      <c r="I1015" s="76"/>
      <c r="J1015" s="67"/>
      <c r="K1015" s="7" t="s">
        <v>669</v>
      </c>
      <c r="L1015" s="77"/>
      <c r="M1015" s="79"/>
      <c r="N1015" s="1"/>
      <c r="O1015" s="1"/>
      <c r="P1015" s="1"/>
      <c r="Q1015" s="1"/>
      <c r="R1015" s="1"/>
      <c r="S1015" s="1"/>
      <c r="T1015" s="1"/>
      <c r="U1015" s="1"/>
      <c r="V1015" s="1"/>
      <c r="W1015" s="1"/>
      <c r="X1015" s="1"/>
      <c r="Y1015" s="1"/>
      <c r="Z1015" s="1"/>
      <c r="AA1015" s="1"/>
      <c r="AB1015" s="1"/>
      <c r="AC1015" s="1"/>
      <c r="AD1015" s="1"/>
      <c r="AE1015" s="1"/>
      <c r="AF1015" s="1"/>
      <c r="AG1015" s="1"/>
      <c r="AH1015" s="1"/>
    </row>
    <row r="1016" ht="12.75" hidden="1" customHeight="1" outlineLevel="1">
      <c r="A1016" s="17">
        <v>41186.0</v>
      </c>
      <c r="B1016" s="1"/>
      <c r="C1016" s="1" t="s">
        <v>433</v>
      </c>
      <c r="D1016" s="74"/>
      <c r="E1016" s="67"/>
      <c r="F1016" s="75"/>
      <c r="G1016" s="67"/>
      <c r="H1016" s="68"/>
      <c r="I1016" s="76"/>
      <c r="J1016" s="67"/>
      <c r="K1016" s="1" t="s">
        <v>434</v>
      </c>
      <c r="L1016" s="77"/>
      <c r="M1016" s="79"/>
      <c r="N1016" s="1"/>
      <c r="O1016" s="1"/>
      <c r="P1016" s="1"/>
      <c r="Q1016" s="1"/>
      <c r="R1016" s="1"/>
      <c r="S1016" s="1"/>
      <c r="T1016" s="1"/>
      <c r="U1016" s="1"/>
      <c r="V1016" s="1"/>
      <c r="W1016" s="1"/>
      <c r="X1016" s="1"/>
      <c r="Y1016" s="1"/>
      <c r="Z1016" s="1"/>
      <c r="AA1016" s="1"/>
      <c r="AB1016" s="1"/>
      <c r="AC1016" s="1"/>
      <c r="AD1016" s="1"/>
      <c r="AE1016" s="1"/>
      <c r="AF1016" s="1"/>
      <c r="AG1016" s="1"/>
      <c r="AH1016" s="1"/>
    </row>
    <row r="1017" ht="12.75" hidden="1" customHeight="1" outlineLevel="1">
      <c r="A1017" s="17">
        <v>41186.0</v>
      </c>
      <c r="B1017" s="1"/>
      <c r="C1017" s="1" t="s">
        <v>435</v>
      </c>
      <c r="D1017" s="74"/>
      <c r="E1017" s="67"/>
      <c r="F1017" s="75"/>
      <c r="G1017" s="67"/>
      <c r="H1017" s="68"/>
      <c r="I1017" s="76"/>
      <c r="J1017" s="67"/>
      <c r="K1017" s="7" t="s">
        <v>658</v>
      </c>
      <c r="L1017" s="77"/>
      <c r="M1017" s="79"/>
      <c r="N1017" s="1"/>
      <c r="O1017" s="1"/>
      <c r="P1017" s="1"/>
      <c r="Q1017" s="1"/>
      <c r="R1017" s="1"/>
      <c r="S1017" s="1"/>
      <c r="T1017" s="1"/>
      <c r="U1017" s="1"/>
      <c r="V1017" s="1"/>
      <c r="W1017" s="1"/>
      <c r="X1017" s="1"/>
      <c r="Y1017" s="1"/>
      <c r="Z1017" s="1"/>
      <c r="AA1017" s="1"/>
      <c r="AB1017" s="1"/>
      <c r="AC1017" s="1"/>
      <c r="AD1017" s="1"/>
      <c r="AE1017" s="1"/>
      <c r="AF1017" s="1"/>
      <c r="AG1017" s="1"/>
      <c r="AH1017" s="1"/>
    </row>
    <row r="1018" ht="12.75" hidden="1" customHeight="1" outlineLevel="1">
      <c r="A1018" s="17">
        <v>41187.0</v>
      </c>
      <c r="B1018" s="1" t="s">
        <v>343</v>
      </c>
      <c r="C1018" s="1" t="s">
        <v>656</v>
      </c>
      <c r="D1018" s="74">
        <v>100.0</v>
      </c>
      <c r="E1018" s="67">
        <v>1791.5</v>
      </c>
      <c r="F1018" s="75">
        <v>0.34905092592592596</v>
      </c>
      <c r="G1018" s="67" t="s">
        <v>453</v>
      </c>
      <c r="H1018" s="68">
        <v>2.32</v>
      </c>
      <c r="I1018" s="76"/>
      <c r="J1018" s="67">
        <f t="shared" ref="J1018:J1022" si="73">IF(B1018="SLD",D1018*E1018,-D1018*E1018)-H1018</f>
        <v>-179152.32</v>
      </c>
      <c r="K1018" s="7"/>
      <c r="L1018" s="70"/>
      <c r="M1018" s="79"/>
      <c r="N1018" s="1"/>
      <c r="O1018" s="1"/>
      <c r="P1018" s="1"/>
      <c r="Q1018" s="1"/>
      <c r="R1018" s="1"/>
      <c r="S1018" s="1"/>
      <c r="T1018" s="1"/>
      <c r="U1018" s="1"/>
      <c r="V1018" s="1"/>
      <c r="W1018" s="1"/>
      <c r="X1018" s="1"/>
      <c r="Y1018" s="1"/>
      <c r="Z1018" s="1"/>
      <c r="AA1018" s="1"/>
      <c r="AB1018" s="1"/>
      <c r="AC1018" s="1"/>
      <c r="AD1018" s="1"/>
      <c r="AE1018" s="1"/>
      <c r="AF1018" s="1"/>
      <c r="AG1018" s="1"/>
      <c r="AH1018" s="1"/>
    </row>
    <row r="1019" ht="12.75" hidden="1" customHeight="1" outlineLevel="1">
      <c r="A1019" s="17">
        <v>41187.0</v>
      </c>
      <c r="B1019" s="1" t="s">
        <v>343</v>
      </c>
      <c r="C1019" s="1" t="s">
        <v>394</v>
      </c>
      <c r="D1019" s="74">
        <v>50.0</v>
      </c>
      <c r="E1019" s="67">
        <v>1458.0</v>
      </c>
      <c r="F1019" s="75">
        <v>0.34914351851851855</v>
      </c>
      <c r="G1019" s="67" t="s">
        <v>453</v>
      </c>
      <c r="H1019" s="68">
        <v>2.01</v>
      </c>
      <c r="I1019" s="76"/>
      <c r="J1019" s="67">
        <f t="shared" si="73"/>
        <v>-72902.01</v>
      </c>
      <c r="K1019" s="7"/>
      <c r="L1019" s="70"/>
      <c r="M1019" s="79"/>
      <c r="N1019" s="1"/>
      <c r="O1019" s="1"/>
      <c r="P1019" s="1"/>
      <c r="Q1019" s="1"/>
      <c r="R1019" s="1"/>
      <c r="S1019" s="1"/>
      <c r="T1019" s="1"/>
      <c r="U1019" s="1"/>
      <c r="V1019" s="1"/>
      <c r="W1019" s="1"/>
      <c r="X1019" s="1"/>
      <c r="Y1019" s="1"/>
      <c r="Z1019" s="1"/>
      <c r="AA1019" s="1"/>
      <c r="AB1019" s="1"/>
      <c r="AC1019" s="1"/>
      <c r="AD1019" s="1"/>
      <c r="AE1019" s="1"/>
      <c r="AF1019" s="1"/>
      <c r="AG1019" s="1"/>
      <c r="AH1019" s="1"/>
    </row>
    <row r="1020" ht="12.75" hidden="1" customHeight="1" outlineLevel="1">
      <c r="A1020" s="17">
        <v>41187.0</v>
      </c>
      <c r="B1020" s="1" t="s">
        <v>347</v>
      </c>
      <c r="C1020" s="1" t="s">
        <v>394</v>
      </c>
      <c r="D1020" s="74">
        <v>200.0</v>
      </c>
      <c r="E1020" s="67">
        <v>1458.5</v>
      </c>
      <c r="F1020" s="75">
        <v>0.5874652777777778</v>
      </c>
      <c r="G1020" s="67" t="s">
        <v>453</v>
      </c>
      <c r="H1020" s="68">
        <v>8.04</v>
      </c>
      <c r="I1020" s="76"/>
      <c r="J1020" s="67">
        <f t="shared" si="73"/>
        <v>291691.96</v>
      </c>
      <c r="K1020" s="7"/>
      <c r="L1020" s="70"/>
      <c r="M1020" s="79"/>
      <c r="N1020" s="1"/>
      <c r="O1020" s="1"/>
      <c r="P1020" s="1"/>
      <c r="Q1020" s="1"/>
      <c r="R1020" s="1"/>
      <c r="S1020" s="1"/>
      <c r="T1020" s="1"/>
      <c r="U1020" s="1"/>
      <c r="V1020" s="1"/>
      <c r="W1020" s="1"/>
      <c r="X1020" s="1"/>
      <c r="Y1020" s="1"/>
      <c r="Z1020" s="1"/>
      <c r="AA1020" s="1"/>
      <c r="AB1020" s="1"/>
      <c r="AC1020" s="1"/>
      <c r="AD1020" s="1"/>
      <c r="AE1020" s="1"/>
      <c r="AF1020" s="1"/>
      <c r="AG1020" s="1"/>
      <c r="AH1020" s="1"/>
    </row>
    <row r="1021" ht="12.75" hidden="1" customHeight="1" outlineLevel="1">
      <c r="A1021" s="17">
        <v>41187.0</v>
      </c>
      <c r="B1021" s="1" t="s">
        <v>347</v>
      </c>
      <c r="C1021" s="1" t="s">
        <v>656</v>
      </c>
      <c r="D1021" s="74">
        <v>100.0</v>
      </c>
      <c r="E1021" s="67">
        <v>1779.6</v>
      </c>
      <c r="F1021" s="75">
        <v>0.5883912037037037</v>
      </c>
      <c r="G1021" s="67" t="s">
        <v>453</v>
      </c>
      <c r="H1021" s="68">
        <v>2.32</v>
      </c>
      <c r="I1021" s="76"/>
      <c r="J1021" s="67">
        <f t="shared" si="73"/>
        <v>177957.68</v>
      </c>
      <c r="K1021" s="7"/>
      <c r="L1021" s="70"/>
      <c r="M1021" s="79"/>
      <c r="N1021" s="1"/>
      <c r="O1021" s="1"/>
      <c r="P1021" s="1"/>
      <c r="Q1021" s="1"/>
      <c r="R1021" s="1"/>
      <c r="S1021" s="1"/>
      <c r="T1021" s="1"/>
      <c r="U1021" s="1"/>
      <c r="V1021" s="1"/>
      <c r="W1021" s="1"/>
      <c r="X1021" s="1"/>
      <c r="Y1021" s="1"/>
      <c r="Z1021" s="1"/>
      <c r="AA1021" s="1"/>
      <c r="AB1021" s="1"/>
      <c r="AC1021" s="1"/>
      <c r="AD1021" s="1"/>
      <c r="AE1021" s="1"/>
      <c r="AF1021" s="1"/>
      <c r="AG1021" s="1"/>
      <c r="AH1021" s="1"/>
    </row>
    <row r="1022" ht="12.75" hidden="1" customHeight="1" outlineLevel="1">
      <c r="A1022" s="17">
        <v>41187.0</v>
      </c>
      <c r="B1022" s="1" t="s">
        <v>347</v>
      </c>
      <c r="C1022" s="1" t="s">
        <v>346</v>
      </c>
      <c r="D1022" s="74">
        <v>30.0</v>
      </c>
      <c r="E1022" s="67">
        <v>653.7</v>
      </c>
      <c r="F1022" s="75">
        <v>0.6316782407407407</v>
      </c>
      <c r="G1022" s="67" t="s">
        <v>453</v>
      </c>
      <c r="H1022" s="68">
        <v>1.0</v>
      </c>
      <c r="I1022" s="76"/>
      <c r="J1022" s="67">
        <f t="shared" si="73"/>
        <v>19610</v>
      </c>
      <c r="K1022" s="7"/>
      <c r="L1022" s="70"/>
      <c r="M1022" s="79"/>
      <c r="N1022" s="1"/>
      <c r="O1022" s="1"/>
      <c r="P1022" s="1"/>
      <c r="Q1022" s="1"/>
      <c r="R1022" s="1"/>
      <c r="S1022" s="1"/>
      <c r="T1022" s="1"/>
      <c r="U1022" s="1"/>
      <c r="V1022" s="1"/>
      <c r="W1022" s="1"/>
      <c r="X1022" s="1"/>
      <c r="Y1022" s="1"/>
      <c r="Z1022" s="1"/>
      <c r="AA1022" s="1"/>
      <c r="AB1022" s="1"/>
      <c r="AC1022" s="1"/>
      <c r="AD1022" s="1"/>
      <c r="AE1022" s="1"/>
      <c r="AF1022" s="1"/>
      <c r="AG1022" s="1"/>
      <c r="AH1022" s="1"/>
    </row>
    <row r="1023" ht="12.75" hidden="1" customHeight="1" outlineLevel="1">
      <c r="A1023" s="17">
        <v>41187.0</v>
      </c>
      <c r="B1023" s="1"/>
      <c r="C1023" s="1" t="s">
        <v>339</v>
      </c>
      <c r="D1023" s="74"/>
      <c r="E1023" s="67"/>
      <c r="F1023" s="75"/>
      <c r="G1023" s="67"/>
      <c r="H1023" s="68"/>
      <c r="I1023" s="76"/>
      <c r="J1023" s="67"/>
      <c r="K1023" s="7" t="s">
        <v>694</v>
      </c>
      <c r="L1023" s="77"/>
      <c r="M1023" s="79"/>
      <c r="N1023" s="1"/>
      <c r="O1023" s="1"/>
      <c r="P1023" s="1"/>
      <c r="Q1023" s="1"/>
      <c r="R1023" s="1"/>
      <c r="S1023" s="1"/>
      <c r="T1023" s="1"/>
      <c r="U1023" s="1"/>
      <c r="V1023" s="1"/>
      <c r="W1023" s="1"/>
      <c r="X1023" s="1"/>
      <c r="Y1023" s="1"/>
      <c r="Z1023" s="1"/>
      <c r="AA1023" s="1"/>
      <c r="AB1023" s="1"/>
      <c r="AC1023" s="1"/>
      <c r="AD1023" s="1"/>
      <c r="AE1023" s="1"/>
      <c r="AF1023" s="1"/>
      <c r="AG1023" s="1"/>
      <c r="AH1023" s="1"/>
    </row>
    <row r="1024" ht="12.75" hidden="1" customHeight="1" outlineLevel="1">
      <c r="A1024" s="17">
        <v>41187.0</v>
      </c>
      <c r="B1024" s="1"/>
      <c r="C1024" s="1" t="s">
        <v>429</v>
      </c>
      <c r="D1024" s="74"/>
      <c r="E1024" s="67"/>
      <c r="F1024" s="75"/>
      <c r="G1024" s="67"/>
      <c r="H1024" s="68"/>
      <c r="I1024" s="76"/>
      <c r="J1024" s="67"/>
      <c r="K1024" s="7" t="s">
        <v>679</v>
      </c>
      <c r="L1024" s="77"/>
      <c r="M1024" s="79"/>
      <c r="N1024" s="1"/>
      <c r="O1024" s="1"/>
      <c r="P1024" s="1"/>
      <c r="Q1024" s="1"/>
      <c r="R1024" s="1"/>
      <c r="S1024" s="1"/>
      <c r="T1024" s="1"/>
      <c r="U1024" s="1"/>
      <c r="V1024" s="1"/>
      <c r="W1024" s="1"/>
      <c r="X1024" s="1"/>
      <c r="Y1024" s="1"/>
      <c r="Z1024" s="1"/>
      <c r="AA1024" s="1"/>
      <c r="AB1024" s="1"/>
      <c r="AC1024" s="1"/>
      <c r="AD1024" s="1"/>
      <c r="AE1024" s="1"/>
      <c r="AF1024" s="1"/>
      <c r="AG1024" s="1"/>
      <c r="AH1024" s="1"/>
    </row>
    <row r="1025" ht="12.75" hidden="1" customHeight="1" outlineLevel="1">
      <c r="A1025" s="17">
        <v>41187.0</v>
      </c>
      <c r="B1025" s="1"/>
      <c r="C1025" s="1" t="s">
        <v>431</v>
      </c>
      <c r="D1025" s="74"/>
      <c r="E1025" s="67"/>
      <c r="F1025" s="75"/>
      <c r="G1025" s="67"/>
      <c r="H1025" s="68"/>
      <c r="I1025" s="76"/>
      <c r="J1025" s="67"/>
      <c r="K1025" s="7" t="s">
        <v>669</v>
      </c>
      <c r="L1025" s="77"/>
      <c r="M1025" s="79"/>
      <c r="N1025" s="1"/>
      <c r="O1025" s="1"/>
      <c r="P1025" s="1"/>
      <c r="Q1025" s="1"/>
      <c r="R1025" s="1"/>
      <c r="S1025" s="1"/>
      <c r="T1025" s="1"/>
      <c r="U1025" s="1"/>
      <c r="V1025" s="1"/>
      <c r="W1025" s="1"/>
      <c r="X1025" s="1"/>
      <c r="Y1025" s="1"/>
      <c r="Z1025" s="1"/>
      <c r="AA1025" s="1"/>
      <c r="AB1025" s="1"/>
      <c r="AC1025" s="1"/>
      <c r="AD1025" s="1"/>
      <c r="AE1025" s="1"/>
      <c r="AF1025" s="1"/>
      <c r="AG1025" s="1"/>
      <c r="AH1025" s="1"/>
    </row>
    <row r="1026" ht="12.75" hidden="1" customHeight="1" outlineLevel="1">
      <c r="A1026" s="17">
        <v>41187.0</v>
      </c>
      <c r="B1026" s="1"/>
      <c r="C1026" s="1" t="s">
        <v>433</v>
      </c>
      <c r="D1026" s="74"/>
      <c r="E1026" s="67"/>
      <c r="F1026" s="75"/>
      <c r="G1026" s="67"/>
      <c r="H1026" s="68"/>
      <c r="I1026" s="76"/>
      <c r="J1026" s="67"/>
      <c r="K1026" s="1" t="s">
        <v>434</v>
      </c>
      <c r="L1026" s="77"/>
      <c r="M1026" s="79"/>
      <c r="N1026" s="1"/>
      <c r="O1026" s="1"/>
      <c r="P1026" s="1"/>
      <c r="Q1026" s="1"/>
      <c r="R1026" s="1"/>
      <c r="S1026" s="1"/>
      <c r="T1026" s="1"/>
      <c r="U1026" s="1"/>
      <c r="V1026" s="1"/>
      <c r="W1026" s="1"/>
      <c r="X1026" s="1"/>
      <c r="Y1026" s="1"/>
      <c r="Z1026" s="1"/>
      <c r="AA1026" s="1"/>
      <c r="AB1026" s="1"/>
      <c r="AC1026" s="1"/>
      <c r="AD1026" s="1"/>
      <c r="AE1026" s="1"/>
      <c r="AF1026" s="1"/>
      <c r="AG1026" s="1"/>
      <c r="AH1026" s="1"/>
    </row>
    <row r="1027" ht="12.75" hidden="1" customHeight="1" outlineLevel="1">
      <c r="A1027" s="17">
        <v>41187.0</v>
      </c>
      <c r="B1027" s="1"/>
      <c r="C1027" s="1" t="s">
        <v>435</v>
      </c>
      <c r="D1027" s="74"/>
      <c r="E1027" s="67"/>
      <c r="F1027" s="75"/>
      <c r="G1027" s="67"/>
      <c r="H1027" s="68"/>
      <c r="I1027" s="76"/>
      <c r="J1027" s="67"/>
      <c r="K1027" s="7" t="s">
        <v>695</v>
      </c>
      <c r="L1027" s="77"/>
      <c r="M1027" s="79"/>
      <c r="N1027" s="1"/>
      <c r="O1027" s="1"/>
      <c r="P1027" s="1"/>
      <c r="Q1027" s="1"/>
      <c r="R1027" s="1"/>
      <c r="S1027" s="1"/>
      <c r="T1027" s="1"/>
      <c r="U1027" s="1"/>
      <c r="V1027" s="1"/>
      <c r="W1027" s="1"/>
      <c r="X1027" s="1"/>
      <c r="Y1027" s="1"/>
      <c r="Z1027" s="1"/>
      <c r="AA1027" s="1"/>
      <c r="AB1027" s="1"/>
      <c r="AC1027" s="1"/>
      <c r="AD1027" s="1"/>
      <c r="AE1027" s="1"/>
      <c r="AF1027" s="1"/>
      <c r="AG1027" s="1"/>
      <c r="AH1027" s="1"/>
    </row>
    <row r="1028" ht="12.75" hidden="1" customHeight="1" outlineLevel="1">
      <c r="A1028" s="17">
        <v>41189.0</v>
      </c>
      <c r="B1028" s="1"/>
      <c r="C1028" s="1" t="s">
        <v>339</v>
      </c>
      <c r="D1028" s="74"/>
      <c r="E1028" s="67"/>
      <c r="F1028" s="75"/>
      <c r="G1028" s="67"/>
      <c r="H1028" s="68"/>
      <c r="I1028" s="76"/>
      <c r="J1028" s="67"/>
      <c r="K1028" s="7" t="s">
        <v>696</v>
      </c>
      <c r="L1028" s="77"/>
      <c r="M1028" s="79"/>
      <c r="N1028" s="1"/>
      <c r="O1028" s="1"/>
      <c r="P1028" s="1"/>
      <c r="Q1028" s="1"/>
      <c r="R1028" s="1"/>
      <c r="S1028" s="1"/>
      <c r="T1028" s="1"/>
      <c r="U1028" s="1"/>
      <c r="V1028" s="1"/>
      <c r="W1028" s="1"/>
      <c r="X1028" s="1"/>
      <c r="Y1028" s="1"/>
      <c r="Z1028" s="1"/>
      <c r="AA1028" s="1"/>
      <c r="AB1028" s="1"/>
      <c r="AC1028" s="1"/>
      <c r="AD1028" s="1"/>
      <c r="AE1028" s="1"/>
      <c r="AF1028" s="1"/>
      <c r="AG1028" s="1"/>
      <c r="AH1028" s="1"/>
    </row>
    <row r="1029" ht="12.75" hidden="1" customHeight="1" outlineLevel="1">
      <c r="A1029" s="17">
        <v>41189.0</v>
      </c>
      <c r="B1029" s="1"/>
      <c r="C1029" s="1" t="s">
        <v>429</v>
      </c>
      <c r="D1029" s="74"/>
      <c r="E1029" s="67"/>
      <c r="F1029" s="75"/>
      <c r="G1029" s="67"/>
      <c r="H1029" s="68"/>
      <c r="I1029" s="76"/>
      <c r="J1029" s="67"/>
      <c r="K1029" s="7" t="s">
        <v>679</v>
      </c>
      <c r="L1029" s="77"/>
      <c r="M1029" s="79"/>
      <c r="N1029" s="1"/>
      <c r="O1029" s="1"/>
      <c r="P1029" s="1"/>
      <c r="Q1029" s="1"/>
      <c r="R1029" s="1"/>
      <c r="S1029" s="1"/>
      <c r="T1029" s="1"/>
      <c r="U1029" s="1"/>
      <c r="V1029" s="1"/>
      <c r="W1029" s="1"/>
      <c r="X1029" s="1"/>
      <c r="Y1029" s="1"/>
      <c r="Z1029" s="1"/>
      <c r="AA1029" s="1"/>
      <c r="AB1029" s="1"/>
      <c r="AC1029" s="1"/>
      <c r="AD1029" s="1"/>
      <c r="AE1029" s="1"/>
      <c r="AF1029" s="1"/>
      <c r="AG1029" s="1"/>
      <c r="AH1029" s="1"/>
    </row>
    <row r="1030" ht="12.75" hidden="1" customHeight="1" outlineLevel="1">
      <c r="A1030" s="17">
        <v>41189.0</v>
      </c>
      <c r="B1030" s="1"/>
      <c r="C1030" s="1" t="s">
        <v>431</v>
      </c>
      <c r="D1030" s="74"/>
      <c r="E1030" s="67"/>
      <c r="F1030" s="75"/>
      <c r="G1030" s="67"/>
      <c r="H1030" s="68"/>
      <c r="I1030" s="76"/>
      <c r="J1030" s="67"/>
      <c r="K1030" s="7" t="s">
        <v>669</v>
      </c>
      <c r="L1030" s="77"/>
      <c r="M1030" s="79"/>
      <c r="N1030" s="1"/>
      <c r="O1030" s="1"/>
      <c r="P1030" s="1"/>
      <c r="Q1030" s="1"/>
      <c r="R1030" s="1"/>
      <c r="S1030" s="1"/>
      <c r="T1030" s="1"/>
      <c r="U1030" s="1"/>
      <c r="V1030" s="1"/>
      <c r="W1030" s="1"/>
      <c r="X1030" s="1"/>
      <c r="Y1030" s="1"/>
      <c r="Z1030" s="1"/>
      <c r="AA1030" s="1"/>
      <c r="AB1030" s="1"/>
      <c r="AC1030" s="1"/>
      <c r="AD1030" s="1"/>
      <c r="AE1030" s="1"/>
      <c r="AF1030" s="1"/>
      <c r="AG1030" s="1"/>
      <c r="AH1030" s="1"/>
    </row>
    <row r="1031" ht="12.75" hidden="1" customHeight="1" outlineLevel="1">
      <c r="A1031" s="17">
        <v>41189.0</v>
      </c>
      <c r="B1031" s="1"/>
      <c r="C1031" s="1" t="s">
        <v>433</v>
      </c>
      <c r="D1031" s="74"/>
      <c r="E1031" s="67"/>
      <c r="F1031" s="75"/>
      <c r="G1031" s="67"/>
      <c r="H1031" s="68"/>
      <c r="I1031" s="76"/>
      <c r="J1031" s="67"/>
      <c r="K1031" s="1" t="s">
        <v>434</v>
      </c>
      <c r="L1031" s="77"/>
      <c r="M1031" s="79"/>
      <c r="N1031" s="1"/>
      <c r="O1031" s="1"/>
      <c r="P1031" s="1"/>
      <c r="Q1031" s="1"/>
      <c r="R1031" s="1"/>
      <c r="S1031" s="1"/>
      <c r="T1031" s="1"/>
      <c r="U1031" s="1"/>
      <c r="V1031" s="1"/>
      <c r="W1031" s="1"/>
      <c r="X1031" s="1"/>
      <c r="Y1031" s="1"/>
      <c r="Z1031" s="1"/>
      <c r="AA1031" s="1"/>
      <c r="AB1031" s="1"/>
      <c r="AC1031" s="1"/>
      <c r="AD1031" s="1"/>
      <c r="AE1031" s="1"/>
      <c r="AF1031" s="1"/>
      <c r="AG1031" s="1"/>
      <c r="AH1031" s="1"/>
    </row>
    <row r="1032" ht="12.75" hidden="1" customHeight="1" outlineLevel="1">
      <c r="A1032" s="17">
        <v>41189.0</v>
      </c>
      <c r="B1032" s="1"/>
      <c r="C1032" s="1" t="s">
        <v>435</v>
      </c>
      <c r="D1032" s="74"/>
      <c r="E1032" s="67"/>
      <c r="F1032" s="75"/>
      <c r="G1032" s="67"/>
      <c r="H1032" s="68"/>
      <c r="I1032" s="76"/>
      <c r="J1032" s="67"/>
      <c r="K1032" s="7" t="s">
        <v>697</v>
      </c>
      <c r="L1032" s="77"/>
      <c r="M1032" s="79"/>
      <c r="N1032" s="1"/>
      <c r="O1032" s="1"/>
      <c r="P1032" s="1"/>
      <c r="Q1032" s="1"/>
      <c r="R1032" s="1"/>
      <c r="S1032" s="1"/>
      <c r="T1032" s="1"/>
      <c r="U1032" s="1"/>
      <c r="V1032" s="1"/>
      <c r="W1032" s="1"/>
      <c r="X1032" s="1"/>
      <c r="Y1032" s="1"/>
      <c r="Z1032" s="1"/>
      <c r="AA1032" s="1"/>
      <c r="AB1032" s="1"/>
      <c r="AC1032" s="1"/>
      <c r="AD1032" s="1"/>
      <c r="AE1032" s="1"/>
      <c r="AF1032" s="1"/>
      <c r="AG1032" s="1"/>
      <c r="AH1032" s="1"/>
    </row>
    <row r="1033" ht="12.75" hidden="1" customHeight="1" outlineLevel="1">
      <c r="A1033" s="17">
        <v>41190.0</v>
      </c>
      <c r="B1033" s="1" t="s">
        <v>347</v>
      </c>
      <c r="C1033" s="1" t="s">
        <v>399</v>
      </c>
      <c r="D1033" s="74">
        <v>300.0</v>
      </c>
      <c r="E1033" s="67">
        <v>5.123</v>
      </c>
      <c r="F1033" s="75">
        <v>0.3969212962962963</v>
      </c>
      <c r="G1033" s="67" t="s">
        <v>453</v>
      </c>
      <c r="H1033" s="68">
        <v>1.5</v>
      </c>
      <c r="I1033" s="76"/>
      <c r="J1033" s="67">
        <f t="shared" ref="J1033:J1039" si="74">IF(B1033="SLD",D1033*E1033,-D1033*E1033)-H1033</f>
        <v>1535.4</v>
      </c>
      <c r="K1033" s="7"/>
      <c r="L1033" s="70"/>
      <c r="M1033" s="79"/>
      <c r="N1033" s="1"/>
      <c r="O1033" s="1"/>
      <c r="P1033" s="1"/>
      <c r="Q1033" s="1"/>
      <c r="R1033" s="1"/>
      <c r="S1033" s="1"/>
      <c r="T1033" s="1"/>
      <c r="U1033" s="1"/>
      <c r="V1033" s="1"/>
      <c r="W1033" s="1"/>
      <c r="X1033" s="1"/>
      <c r="Y1033" s="1"/>
      <c r="Z1033" s="1"/>
      <c r="AA1033" s="1"/>
      <c r="AB1033" s="1"/>
      <c r="AC1033" s="1"/>
      <c r="AD1033" s="1"/>
      <c r="AE1033" s="1"/>
      <c r="AF1033" s="1"/>
      <c r="AG1033" s="1"/>
      <c r="AH1033" s="1"/>
    </row>
    <row r="1034" ht="12.75" hidden="1" customHeight="1" outlineLevel="1">
      <c r="A1034" s="17">
        <v>41190.0</v>
      </c>
      <c r="B1034" s="1" t="s">
        <v>347</v>
      </c>
      <c r="C1034" s="1" t="s">
        <v>381</v>
      </c>
      <c r="D1034" s="74">
        <v>100.0</v>
      </c>
      <c r="E1034" s="67">
        <v>20.21</v>
      </c>
      <c r="F1034" s="75">
        <v>0.3980439814814815</v>
      </c>
      <c r="G1034" s="67" t="s">
        <v>453</v>
      </c>
      <c r="H1034" s="68">
        <v>1.0</v>
      </c>
      <c r="I1034" s="76"/>
      <c r="J1034" s="67">
        <f t="shared" si="74"/>
        <v>2020</v>
      </c>
      <c r="K1034" s="7"/>
      <c r="L1034" s="70"/>
      <c r="M1034" s="79"/>
      <c r="N1034" s="1"/>
      <c r="O1034" s="1"/>
      <c r="P1034" s="1"/>
      <c r="Q1034" s="1"/>
      <c r="R1034" s="1"/>
      <c r="S1034" s="1"/>
      <c r="T1034" s="1"/>
      <c r="U1034" s="1"/>
      <c r="V1034" s="1"/>
      <c r="W1034" s="1"/>
      <c r="X1034" s="1"/>
      <c r="Y1034" s="1"/>
      <c r="Z1034" s="1"/>
      <c r="AA1034" s="1"/>
      <c r="AB1034" s="1"/>
      <c r="AC1034" s="1"/>
      <c r="AD1034" s="1"/>
      <c r="AE1034" s="1"/>
      <c r="AF1034" s="1"/>
      <c r="AG1034" s="1"/>
      <c r="AH1034" s="1"/>
    </row>
    <row r="1035" ht="12.75" hidden="1" customHeight="1" outlineLevel="1">
      <c r="A1035" s="17">
        <v>41190.0</v>
      </c>
      <c r="B1035" s="1" t="s">
        <v>343</v>
      </c>
      <c r="C1035" s="1" t="s">
        <v>442</v>
      </c>
      <c r="D1035" s="74">
        <v>125.0</v>
      </c>
      <c r="E1035" s="67">
        <v>87.39</v>
      </c>
      <c r="F1035" s="75">
        <v>0.4158101851851852</v>
      </c>
      <c r="G1035" s="67" t="s">
        <v>453</v>
      </c>
      <c r="H1035" s="68">
        <v>1.0</v>
      </c>
      <c r="I1035" s="76"/>
      <c r="J1035" s="67">
        <f t="shared" si="74"/>
        <v>-10924.75</v>
      </c>
      <c r="K1035" s="7"/>
      <c r="L1035" s="70"/>
      <c r="M1035" s="79"/>
      <c r="N1035" s="1"/>
      <c r="O1035" s="1"/>
      <c r="P1035" s="1"/>
      <c r="Q1035" s="1"/>
      <c r="R1035" s="1"/>
      <c r="S1035" s="1"/>
      <c r="T1035" s="1"/>
      <c r="U1035" s="1"/>
      <c r="V1035" s="1"/>
      <c r="W1035" s="1"/>
      <c r="X1035" s="1"/>
      <c r="Y1035" s="1"/>
      <c r="Z1035" s="1"/>
      <c r="AA1035" s="1"/>
      <c r="AB1035" s="1"/>
      <c r="AC1035" s="1"/>
      <c r="AD1035" s="1"/>
      <c r="AE1035" s="1"/>
      <c r="AF1035" s="1"/>
      <c r="AG1035" s="1"/>
      <c r="AH1035" s="1"/>
    </row>
    <row r="1036" ht="12.75" hidden="1" customHeight="1" outlineLevel="1">
      <c r="A1036" s="17">
        <v>41190.0</v>
      </c>
      <c r="B1036" s="1" t="s">
        <v>343</v>
      </c>
      <c r="C1036" s="1" t="s">
        <v>605</v>
      </c>
      <c r="D1036" s="74">
        <v>75.0</v>
      </c>
      <c r="E1036" s="67">
        <v>46.34</v>
      </c>
      <c r="F1036" s="75">
        <v>0.4160763888888889</v>
      </c>
      <c r="G1036" s="67" t="s">
        <v>453</v>
      </c>
      <c r="H1036" s="68">
        <v>1.0</v>
      </c>
      <c r="I1036" s="76"/>
      <c r="J1036" s="67">
        <f t="shared" si="74"/>
        <v>-3476.5</v>
      </c>
      <c r="K1036" s="7"/>
      <c r="L1036" s="70"/>
      <c r="M1036" s="79"/>
      <c r="N1036" s="1"/>
      <c r="O1036" s="1"/>
      <c r="P1036" s="1"/>
      <c r="Q1036" s="1"/>
      <c r="R1036" s="1"/>
      <c r="S1036" s="1"/>
      <c r="T1036" s="1"/>
      <c r="U1036" s="1"/>
      <c r="V1036" s="1"/>
      <c r="W1036" s="1"/>
      <c r="X1036" s="1"/>
      <c r="Y1036" s="1"/>
      <c r="Z1036" s="1"/>
      <c r="AA1036" s="1"/>
      <c r="AB1036" s="1"/>
      <c r="AC1036" s="1"/>
      <c r="AD1036" s="1"/>
      <c r="AE1036" s="1"/>
      <c r="AF1036" s="1"/>
      <c r="AG1036" s="1"/>
      <c r="AH1036" s="1"/>
    </row>
    <row r="1037" ht="12.75" hidden="1" customHeight="1" outlineLevel="1">
      <c r="A1037" s="17">
        <v>41190.0</v>
      </c>
      <c r="B1037" s="1" t="s">
        <v>343</v>
      </c>
      <c r="C1037" s="1" t="s">
        <v>394</v>
      </c>
      <c r="D1037" s="74">
        <v>50.0</v>
      </c>
      <c r="E1037" s="67">
        <v>1450.5</v>
      </c>
      <c r="F1037" s="75">
        <v>0.42321759259259256</v>
      </c>
      <c r="G1037" s="67" t="s">
        <v>453</v>
      </c>
      <c r="H1037" s="68">
        <v>2.01</v>
      </c>
      <c r="I1037" s="76"/>
      <c r="J1037" s="67">
        <f t="shared" si="74"/>
        <v>-72527.01</v>
      </c>
      <c r="K1037" s="7"/>
      <c r="L1037" s="70"/>
      <c r="M1037" s="79"/>
      <c r="N1037" s="1"/>
      <c r="O1037" s="1"/>
      <c r="P1037" s="1"/>
      <c r="Q1037" s="1"/>
      <c r="R1037" s="1"/>
      <c r="S1037" s="1"/>
      <c r="T1037" s="1"/>
      <c r="U1037" s="1"/>
      <c r="V1037" s="1"/>
      <c r="W1037" s="1"/>
      <c r="X1037" s="1"/>
      <c r="Y1037" s="1"/>
      <c r="Z1037" s="1"/>
      <c r="AA1037" s="1"/>
      <c r="AB1037" s="1"/>
      <c r="AC1037" s="1"/>
      <c r="AD1037" s="1"/>
      <c r="AE1037" s="1"/>
      <c r="AF1037" s="1"/>
      <c r="AG1037" s="1"/>
      <c r="AH1037" s="1"/>
    </row>
    <row r="1038" ht="12.75" hidden="1" customHeight="1" outlineLevel="1">
      <c r="A1038" s="17">
        <v>41190.0</v>
      </c>
      <c r="B1038" s="1" t="s">
        <v>343</v>
      </c>
      <c r="C1038" s="1" t="s">
        <v>346</v>
      </c>
      <c r="D1038" s="74">
        <v>30.0</v>
      </c>
      <c r="E1038" s="67">
        <v>639.5</v>
      </c>
      <c r="F1038" s="75">
        <v>0.5649652777777777</v>
      </c>
      <c r="G1038" s="67" t="s">
        <v>453</v>
      </c>
      <c r="H1038" s="68">
        <v>1.0</v>
      </c>
      <c r="I1038" s="76"/>
      <c r="J1038" s="67">
        <f t="shared" si="74"/>
        <v>-19186</v>
      </c>
      <c r="K1038" s="7"/>
      <c r="L1038" s="70"/>
      <c r="M1038" s="79"/>
      <c r="N1038" s="1"/>
      <c r="O1038" s="1"/>
      <c r="P1038" s="1"/>
      <c r="Q1038" s="1"/>
      <c r="R1038" s="1"/>
      <c r="S1038" s="1"/>
      <c r="T1038" s="1"/>
      <c r="U1038" s="1"/>
      <c r="V1038" s="1"/>
      <c r="W1038" s="1"/>
      <c r="X1038" s="1"/>
      <c r="Y1038" s="1"/>
      <c r="Z1038" s="1"/>
      <c r="AA1038" s="1"/>
      <c r="AB1038" s="1"/>
      <c r="AC1038" s="1"/>
      <c r="AD1038" s="1"/>
      <c r="AE1038" s="1"/>
      <c r="AF1038" s="1"/>
      <c r="AG1038" s="1"/>
      <c r="AH1038" s="1"/>
    </row>
    <row r="1039" ht="12.75" hidden="1" customHeight="1" outlineLevel="1">
      <c r="A1039" s="17">
        <v>41190.0</v>
      </c>
      <c r="B1039" s="1" t="s">
        <v>343</v>
      </c>
      <c r="C1039" s="1" t="s">
        <v>394</v>
      </c>
      <c r="D1039" s="74">
        <v>50.0</v>
      </c>
      <c r="E1039" s="67">
        <v>1452.5</v>
      </c>
      <c r="F1039" s="75">
        <v>0.6385648148148148</v>
      </c>
      <c r="G1039" s="67" t="s">
        <v>453</v>
      </c>
      <c r="H1039" s="68">
        <v>2.01</v>
      </c>
      <c r="I1039" s="76"/>
      <c r="J1039" s="67">
        <f t="shared" si="74"/>
        <v>-72627.01</v>
      </c>
      <c r="K1039" s="7"/>
      <c r="L1039" s="70"/>
      <c r="M1039" s="79"/>
      <c r="N1039" s="1"/>
      <c r="O1039" s="1"/>
      <c r="P1039" s="1"/>
      <c r="Q1039" s="1"/>
      <c r="R1039" s="1"/>
      <c r="S1039" s="1"/>
      <c r="T1039" s="1"/>
      <c r="U1039" s="1"/>
      <c r="V1039" s="1"/>
      <c r="W1039" s="1"/>
      <c r="X1039" s="1"/>
      <c r="Y1039" s="1"/>
      <c r="Z1039" s="1"/>
      <c r="AA1039" s="1"/>
      <c r="AB1039" s="1"/>
      <c r="AC1039" s="1"/>
      <c r="AD1039" s="1"/>
      <c r="AE1039" s="1"/>
      <c r="AF1039" s="1"/>
      <c r="AG1039" s="1"/>
      <c r="AH1039" s="1"/>
    </row>
    <row r="1040" ht="12.75" hidden="1" customHeight="1" outlineLevel="1">
      <c r="A1040" s="17">
        <v>41190.0</v>
      </c>
      <c r="B1040" s="1"/>
      <c r="C1040" s="1" t="s">
        <v>339</v>
      </c>
      <c r="D1040" s="74"/>
      <c r="E1040" s="67"/>
      <c r="F1040" s="75"/>
      <c r="G1040" s="67"/>
      <c r="H1040" s="68"/>
      <c r="I1040" s="76"/>
      <c r="J1040" s="67"/>
      <c r="K1040" s="7" t="s">
        <v>708</v>
      </c>
      <c r="L1040" s="77"/>
      <c r="M1040" s="79"/>
      <c r="N1040" s="1"/>
      <c r="O1040" s="1"/>
      <c r="P1040" s="1"/>
      <c r="Q1040" s="1"/>
      <c r="R1040" s="1"/>
      <c r="S1040" s="1"/>
      <c r="T1040" s="1"/>
      <c r="U1040" s="1"/>
      <c r="V1040" s="1"/>
      <c r="W1040" s="1"/>
      <c r="X1040" s="1"/>
      <c r="Y1040" s="1"/>
      <c r="Z1040" s="1"/>
      <c r="AA1040" s="1"/>
      <c r="AB1040" s="1"/>
      <c r="AC1040" s="1"/>
      <c r="AD1040" s="1"/>
      <c r="AE1040" s="1"/>
      <c r="AF1040" s="1"/>
      <c r="AG1040" s="1"/>
      <c r="AH1040" s="1"/>
    </row>
    <row r="1041" ht="12.75" hidden="1" customHeight="1" outlineLevel="1">
      <c r="A1041" s="17">
        <v>41190.0</v>
      </c>
      <c r="B1041" s="1"/>
      <c r="C1041" s="1" t="s">
        <v>429</v>
      </c>
      <c r="D1041" s="74"/>
      <c r="E1041" s="67"/>
      <c r="F1041" s="75"/>
      <c r="G1041" s="67"/>
      <c r="H1041" s="68"/>
      <c r="I1041" s="76"/>
      <c r="J1041" s="67"/>
      <c r="K1041" s="7" t="s">
        <v>679</v>
      </c>
      <c r="L1041" s="77"/>
      <c r="M1041" s="79"/>
      <c r="N1041" s="1"/>
      <c r="O1041" s="1"/>
      <c r="P1041" s="1"/>
      <c r="Q1041" s="1"/>
      <c r="R1041" s="1"/>
      <c r="S1041" s="1"/>
      <c r="T1041" s="1"/>
      <c r="U1041" s="1"/>
      <c r="V1041" s="1"/>
      <c r="W1041" s="1"/>
      <c r="X1041" s="1"/>
      <c r="Y1041" s="1"/>
      <c r="Z1041" s="1"/>
      <c r="AA1041" s="1"/>
      <c r="AB1041" s="1"/>
      <c r="AC1041" s="1"/>
      <c r="AD1041" s="1"/>
      <c r="AE1041" s="1"/>
      <c r="AF1041" s="1"/>
      <c r="AG1041" s="1"/>
      <c r="AH1041" s="1"/>
    </row>
    <row r="1042" ht="12.75" hidden="1" customHeight="1" outlineLevel="1">
      <c r="A1042" s="17">
        <v>41190.0</v>
      </c>
      <c r="B1042" s="1"/>
      <c r="C1042" s="1" t="s">
        <v>431</v>
      </c>
      <c r="D1042" s="74"/>
      <c r="E1042" s="67"/>
      <c r="F1042" s="75"/>
      <c r="G1042" s="67"/>
      <c r="H1042" s="68"/>
      <c r="I1042" s="76"/>
      <c r="J1042" s="67"/>
      <c r="K1042" s="7" t="s">
        <v>669</v>
      </c>
      <c r="L1042" s="77"/>
      <c r="M1042" s="79"/>
      <c r="N1042" s="1"/>
      <c r="O1042" s="1"/>
      <c r="P1042" s="1"/>
      <c r="Q1042" s="1"/>
      <c r="R1042" s="1"/>
      <c r="S1042" s="1"/>
      <c r="T1042" s="1"/>
      <c r="U1042" s="1"/>
      <c r="V1042" s="1"/>
      <c r="W1042" s="1"/>
      <c r="X1042" s="1"/>
      <c r="Y1042" s="1"/>
      <c r="Z1042" s="1"/>
      <c r="AA1042" s="1"/>
      <c r="AB1042" s="1"/>
      <c r="AC1042" s="1"/>
      <c r="AD1042" s="1"/>
      <c r="AE1042" s="1"/>
      <c r="AF1042" s="1"/>
      <c r="AG1042" s="1"/>
      <c r="AH1042" s="1"/>
    </row>
    <row r="1043" ht="12.75" hidden="1" customHeight="1" outlineLevel="1">
      <c r="A1043" s="17">
        <v>41190.0</v>
      </c>
      <c r="B1043" s="1"/>
      <c r="C1043" s="1" t="s">
        <v>433</v>
      </c>
      <c r="D1043" s="74"/>
      <c r="E1043" s="67"/>
      <c r="F1043" s="75"/>
      <c r="G1043" s="67"/>
      <c r="H1043" s="68"/>
      <c r="I1043" s="76"/>
      <c r="J1043" s="67"/>
      <c r="K1043" s="1" t="s">
        <v>434</v>
      </c>
      <c r="L1043" s="77"/>
      <c r="M1043" s="79"/>
      <c r="N1043" s="1"/>
      <c r="O1043" s="1"/>
      <c r="P1043" s="1"/>
      <c r="Q1043" s="1"/>
      <c r="R1043" s="1"/>
      <c r="S1043" s="1"/>
      <c r="T1043" s="1"/>
      <c r="U1043" s="1"/>
      <c r="V1043" s="1"/>
      <c r="W1043" s="1"/>
      <c r="X1043" s="1"/>
      <c r="Y1043" s="1"/>
      <c r="Z1043" s="1"/>
      <c r="AA1043" s="1"/>
      <c r="AB1043" s="1"/>
      <c r="AC1043" s="1"/>
      <c r="AD1043" s="1"/>
      <c r="AE1043" s="1"/>
      <c r="AF1043" s="1"/>
      <c r="AG1043" s="1"/>
      <c r="AH1043" s="1"/>
    </row>
    <row r="1044" ht="12.75" hidden="1" customHeight="1" outlineLevel="1">
      <c r="A1044" s="17">
        <v>41190.0</v>
      </c>
      <c r="B1044" s="1"/>
      <c r="C1044" s="1" t="s">
        <v>435</v>
      </c>
      <c r="D1044" s="74"/>
      <c r="E1044" s="67"/>
      <c r="F1044" s="75"/>
      <c r="G1044" s="67"/>
      <c r="H1044" s="68"/>
      <c r="I1044" s="76"/>
      <c r="J1044" s="67"/>
      <c r="K1044" s="7" t="s">
        <v>697</v>
      </c>
      <c r="L1044" s="77"/>
      <c r="M1044" s="79"/>
      <c r="N1044" s="1"/>
      <c r="O1044" s="1"/>
      <c r="P1044" s="1"/>
      <c r="Q1044" s="1"/>
      <c r="R1044" s="1"/>
      <c r="S1044" s="1"/>
      <c r="T1044" s="1"/>
      <c r="U1044" s="1"/>
      <c r="V1044" s="1"/>
      <c r="W1044" s="1"/>
      <c r="X1044" s="1"/>
      <c r="Y1044" s="1"/>
      <c r="Z1044" s="1"/>
      <c r="AA1044" s="1"/>
      <c r="AB1044" s="1"/>
      <c r="AC1044" s="1"/>
      <c r="AD1044" s="1"/>
      <c r="AE1044" s="1"/>
      <c r="AF1044" s="1"/>
      <c r="AG1044" s="1"/>
      <c r="AH1044" s="1"/>
    </row>
    <row r="1045" ht="12.75" hidden="1" customHeight="1" outlineLevel="1">
      <c r="A1045" s="17">
        <v>41191.0</v>
      </c>
      <c r="B1045" s="1" t="s">
        <v>343</v>
      </c>
      <c r="C1045" s="1" t="s">
        <v>344</v>
      </c>
      <c r="D1045" s="74">
        <v>200.0</v>
      </c>
      <c r="E1045" s="67">
        <v>35.78</v>
      </c>
      <c r="F1045" s="75">
        <v>0.5139467592592593</v>
      </c>
      <c r="G1045" s="67" t="s">
        <v>453</v>
      </c>
      <c r="H1045" s="68">
        <v>1.0</v>
      </c>
      <c r="I1045" s="76"/>
      <c r="J1045" s="67">
        <f t="shared" ref="J1045:J1048" si="75">IF(B1045="SLD",D1045*E1045,-D1045*E1045)-H1045</f>
        <v>-7157</v>
      </c>
      <c r="K1045" s="7"/>
      <c r="L1045" s="70"/>
      <c r="M1045" s="79"/>
      <c r="N1045" s="1"/>
      <c r="O1045" s="1"/>
      <c r="P1045" s="1"/>
      <c r="Q1045" s="1"/>
      <c r="R1045" s="1"/>
      <c r="S1045" s="1"/>
      <c r="T1045" s="1"/>
      <c r="U1045" s="1"/>
      <c r="V1045" s="1"/>
      <c r="W1045" s="1"/>
      <c r="X1045" s="1"/>
      <c r="Y1045" s="1"/>
      <c r="Z1045" s="1"/>
      <c r="AA1045" s="1"/>
      <c r="AB1045" s="1"/>
      <c r="AC1045" s="1"/>
      <c r="AD1045" s="1"/>
      <c r="AE1045" s="1"/>
      <c r="AF1045" s="1"/>
      <c r="AG1045" s="1"/>
      <c r="AH1045" s="1"/>
    </row>
    <row r="1046" ht="12.75" hidden="1" customHeight="1" outlineLevel="1">
      <c r="A1046" s="17">
        <v>41191.0</v>
      </c>
      <c r="B1046" s="1" t="s">
        <v>343</v>
      </c>
      <c r="C1046" s="1" t="s">
        <v>441</v>
      </c>
      <c r="D1046" s="74">
        <v>400.0</v>
      </c>
      <c r="E1046" s="67">
        <v>7.21</v>
      </c>
      <c r="F1046" s="75">
        <v>0.5166898148148148</v>
      </c>
      <c r="G1046" s="67" t="s">
        <v>453</v>
      </c>
      <c r="H1046" s="68">
        <v>2.0</v>
      </c>
      <c r="I1046" s="76"/>
      <c r="J1046" s="67">
        <f t="shared" si="75"/>
        <v>-2886</v>
      </c>
      <c r="K1046" s="7"/>
      <c r="L1046" s="70"/>
      <c r="M1046" s="79"/>
      <c r="N1046" s="1"/>
      <c r="O1046" s="1"/>
      <c r="P1046" s="1"/>
      <c r="Q1046" s="1"/>
      <c r="R1046" s="1"/>
      <c r="S1046" s="1"/>
      <c r="T1046" s="1"/>
      <c r="U1046" s="1"/>
      <c r="V1046" s="1"/>
      <c r="W1046" s="1"/>
      <c r="X1046" s="1"/>
      <c r="Y1046" s="1"/>
      <c r="Z1046" s="1"/>
      <c r="AA1046" s="1"/>
      <c r="AB1046" s="1"/>
      <c r="AC1046" s="1"/>
      <c r="AD1046" s="1"/>
      <c r="AE1046" s="1"/>
      <c r="AF1046" s="1"/>
      <c r="AG1046" s="1"/>
      <c r="AH1046" s="1"/>
    </row>
    <row r="1047" ht="12.75" hidden="1" customHeight="1" outlineLevel="1">
      <c r="A1047" s="17">
        <v>41191.0</v>
      </c>
      <c r="B1047" s="1" t="s">
        <v>347</v>
      </c>
      <c r="C1047" s="1" t="s">
        <v>656</v>
      </c>
      <c r="D1047" s="74">
        <v>100.0</v>
      </c>
      <c r="E1047" s="67">
        <v>1766.5</v>
      </c>
      <c r="F1047" s="75">
        <v>0.772962962962963</v>
      </c>
      <c r="G1047" s="67" t="s">
        <v>453</v>
      </c>
      <c r="H1047" s="68">
        <v>2.32</v>
      </c>
      <c r="I1047" s="76"/>
      <c r="J1047" s="67">
        <f t="shared" si="75"/>
        <v>176647.68</v>
      </c>
      <c r="K1047" s="7"/>
      <c r="L1047" s="70"/>
      <c r="M1047" s="79"/>
      <c r="N1047" s="1"/>
      <c r="O1047" s="1"/>
      <c r="P1047" s="1"/>
      <c r="Q1047" s="1"/>
      <c r="R1047" s="1"/>
      <c r="S1047" s="1"/>
      <c r="T1047" s="1"/>
      <c r="U1047" s="1"/>
      <c r="V1047" s="1"/>
      <c r="W1047" s="1"/>
      <c r="X1047" s="1"/>
      <c r="Y1047" s="1"/>
      <c r="Z1047" s="1"/>
      <c r="AA1047" s="1"/>
      <c r="AB1047" s="1"/>
      <c r="AC1047" s="1"/>
      <c r="AD1047" s="1"/>
      <c r="AE1047" s="1"/>
      <c r="AF1047" s="1"/>
      <c r="AG1047" s="1"/>
      <c r="AH1047" s="1"/>
    </row>
    <row r="1048" ht="12.75" hidden="1" customHeight="1" outlineLevel="1">
      <c r="A1048" s="17">
        <v>41191.0</v>
      </c>
      <c r="B1048" s="1" t="s">
        <v>347</v>
      </c>
      <c r="C1048" s="1" t="s">
        <v>394</v>
      </c>
      <c r="D1048" s="74">
        <v>100.0</v>
      </c>
      <c r="E1048" s="67">
        <v>1435.5</v>
      </c>
      <c r="F1048" s="75">
        <v>0.7766782407407408</v>
      </c>
      <c r="G1048" s="67" t="s">
        <v>453</v>
      </c>
      <c r="H1048" s="68">
        <v>4.02</v>
      </c>
      <c r="I1048" s="76"/>
      <c r="J1048" s="67">
        <f t="shared" si="75"/>
        <v>143545.98</v>
      </c>
      <c r="K1048" s="7"/>
      <c r="L1048" s="70"/>
      <c r="M1048" s="79"/>
      <c r="N1048" s="1"/>
      <c r="O1048" s="1"/>
      <c r="P1048" s="1"/>
      <c r="Q1048" s="1"/>
      <c r="R1048" s="1"/>
      <c r="S1048" s="1"/>
      <c r="T1048" s="1"/>
      <c r="U1048" s="1"/>
      <c r="V1048" s="1"/>
      <c r="W1048" s="1"/>
      <c r="X1048" s="1"/>
      <c r="Y1048" s="1"/>
      <c r="Z1048" s="1"/>
      <c r="AA1048" s="1"/>
      <c r="AB1048" s="1"/>
      <c r="AC1048" s="1"/>
      <c r="AD1048" s="1"/>
      <c r="AE1048" s="1"/>
      <c r="AF1048" s="1"/>
      <c r="AG1048" s="1"/>
      <c r="AH1048" s="1"/>
    </row>
    <row r="1049" ht="12.75" hidden="1" customHeight="1" outlineLevel="1">
      <c r="A1049" s="17">
        <v>41191.0</v>
      </c>
      <c r="B1049" s="1"/>
      <c r="C1049" s="1" t="s">
        <v>339</v>
      </c>
      <c r="D1049" s="74"/>
      <c r="E1049" s="67"/>
      <c r="F1049" s="75"/>
      <c r="G1049" s="67"/>
      <c r="H1049" s="68"/>
      <c r="I1049" s="76"/>
      <c r="J1049" s="67"/>
      <c r="K1049" s="7" t="s">
        <v>711</v>
      </c>
      <c r="L1049" s="77"/>
      <c r="M1049" s="79"/>
      <c r="N1049" s="1"/>
      <c r="O1049" s="1"/>
      <c r="P1049" s="1"/>
      <c r="Q1049" s="1"/>
      <c r="R1049" s="1"/>
      <c r="S1049" s="1"/>
      <c r="T1049" s="1"/>
      <c r="U1049" s="1"/>
      <c r="V1049" s="1"/>
      <c r="W1049" s="1"/>
      <c r="X1049" s="1"/>
      <c r="Y1049" s="1"/>
      <c r="Z1049" s="1"/>
      <c r="AA1049" s="1"/>
      <c r="AB1049" s="1"/>
      <c r="AC1049" s="1"/>
      <c r="AD1049" s="1"/>
      <c r="AE1049" s="1"/>
      <c r="AF1049" s="1"/>
      <c r="AG1049" s="1"/>
      <c r="AH1049" s="1"/>
    </row>
    <row r="1050" ht="12.75" hidden="1" customHeight="1" outlineLevel="1">
      <c r="A1050" s="17">
        <v>41191.0</v>
      </c>
      <c r="B1050" s="1"/>
      <c r="C1050" s="1" t="s">
        <v>429</v>
      </c>
      <c r="D1050" s="74"/>
      <c r="E1050" s="67"/>
      <c r="F1050" s="75"/>
      <c r="G1050" s="67"/>
      <c r="H1050" s="68"/>
      <c r="I1050" s="76"/>
      <c r="J1050" s="67"/>
      <c r="K1050" s="7" t="s">
        <v>679</v>
      </c>
      <c r="L1050" s="77"/>
      <c r="M1050" s="79"/>
      <c r="N1050" s="1"/>
      <c r="O1050" s="1"/>
      <c r="P1050" s="1"/>
      <c r="Q1050" s="1"/>
      <c r="R1050" s="1"/>
      <c r="S1050" s="1"/>
      <c r="T1050" s="1"/>
      <c r="U1050" s="1"/>
      <c r="V1050" s="1"/>
      <c r="W1050" s="1"/>
      <c r="X1050" s="1"/>
      <c r="Y1050" s="1"/>
      <c r="Z1050" s="1"/>
      <c r="AA1050" s="1"/>
      <c r="AB1050" s="1"/>
      <c r="AC1050" s="1"/>
      <c r="AD1050" s="1"/>
      <c r="AE1050" s="1"/>
      <c r="AF1050" s="1"/>
      <c r="AG1050" s="1"/>
      <c r="AH1050" s="1"/>
    </row>
    <row r="1051" ht="12.75" hidden="1" customHeight="1" outlineLevel="1">
      <c r="A1051" s="17">
        <v>41191.0</v>
      </c>
      <c r="B1051" s="1"/>
      <c r="C1051" s="1" t="s">
        <v>431</v>
      </c>
      <c r="D1051" s="74"/>
      <c r="E1051" s="67"/>
      <c r="F1051" s="75"/>
      <c r="G1051" s="67"/>
      <c r="H1051" s="68"/>
      <c r="I1051" s="76"/>
      <c r="J1051" s="67"/>
      <c r="K1051" s="7" t="s">
        <v>669</v>
      </c>
      <c r="L1051" s="77"/>
      <c r="M1051" s="79"/>
      <c r="N1051" s="1"/>
      <c r="O1051" s="1"/>
      <c r="P1051" s="1"/>
      <c r="Q1051" s="1"/>
      <c r="R1051" s="1"/>
      <c r="S1051" s="1"/>
      <c r="T1051" s="1"/>
      <c r="U1051" s="1"/>
      <c r="V1051" s="1"/>
      <c r="W1051" s="1"/>
      <c r="X1051" s="1"/>
      <c r="Y1051" s="1"/>
      <c r="Z1051" s="1"/>
      <c r="AA1051" s="1"/>
      <c r="AB1051" s="1"/>
      <c r="AC1051" s="1"/>
      <c r="AD1051" s="1"/>
      <c r="AE1051" s="1"/>
      <c r="AF1051" s="1"/>
      <c r="AG1051" s="1"/>
      <c r="AH1051" s="1"/>
    </row>
    <row r="1052" ht="12.75" hidden="1" customHeight="1" outlineLevel="1">
      <c r="A1052" s="17">
        <v>41191.0</v>
      </c>
      <c r="B1052" s="1"/>
      <c r="C1052" s="1" t="s">
        <v>433</v>
      </c>
      <c r="D1052" s="74"/>
      <c r="E1052" s="67"/>
      <c r="F1052" s="75"/>
      <c r="G1052" s="67"/>
      <c r="H1052" s="68"/>
      <c r="I1052" s="76"/>
      <c r="J1052" s="67"/>
      <c r="K1052" s="1" t="s">
        <v>434</v>
      </c>
      <c r="L1052" s="77"/>
      <c r="M1052" s="79"/>
      <c r="N1052" s="1"/>
      <c r="O1052" s="1"/>
      <c r="P1052" s="1"/>
      <c r="Q1052" s="1"/>
      <c r="R1052" s="1"/>
      <c r="S1052" s="1"/>
      <c r="T1052" s="1"/>
      <c r="U1052" s="1"/>
      <c r="V1052" s="1"/>
      <c r="W1052" s="1"/>
      <c r="X1052" s="1"/>
      <c r="Y1052" s="1"/>
      <c r="Z1052" s="1"/>
      <c r="AA1052" s="1"/>
      <c r="AB1052" s="1"/>
      <c r="AC1052" s="1"/>
      <c r="AD1052" s="1"/>
      <c r="AE1052" s="1"/>
      <c r="AF1052" s="1"/>
      <c r="AG1052" s="1"/>
      <c r="AH1052" s="1"/>
    </row>
    <row r="1053" ht="12.75" hidden="1" customHeight="1" outlineLevel="1">
      <c r="A1053" s="17">
        <v>41191.0</v>
      </c>
      <c r="B1053" s="1"/>
      <c r="C1053" s="1" t="s">
        <v>435</v>
      </c>
      <c r="D1053" s="74"/>
      <c r="E1053" s="67"/>
      <c r="F1053" s="75"/>
      <c r="G1053" s="67"/>
      <c r="H1053" s="68"/>
      <c r="I1053" s="76"/>
      <c r="J1053" s="67"/>
      <c r="K1053" s="7" t="s">
        <v>697</v>
      </c>
      <c r="L1053" s="77"/>
      <c r="M1053" s="79"/>
      <c r="N1053" s="1"/>
      <c r="O1053" s="1"/>
      <c r="P1053" s="1"/>
      <c r="Q1053" s="1"/>
      <c r="R1053" s="1"/>
      <c r="S1053" s="1"/>
      <c r="T1053" s="1"/>
      <c r="U1053" s="1"/>
      <c r="V1053" s="1"/>
      <c r="W1053" s="1"/>
      <c r="X1053" s="1"/>
      <c r="Y1053" s="1"/>
      <c r="Z1053" s="1"/>
      <c r="AA1053" s="1"/>
      <c r="AB1053" s="1"/>
      <c r="AC1053" s="1"/>
      <c r="AD1053" s="1"/>
      <c r="AE1053" s="1"/>
      <c r="AF1053" s="1"/>
      <c r="AG1053" s="1"/>
      <c r="AH1053" s="1"/>
    </row>
    <row r="1054" ht="12.75" hidden="1" customHeight="1" outlineLevel="1">
      <c r="A1054" s="17">
        <v>41192.0</v>
      </c>
      <c r="B1054" s="1" t="s">
        <v>347</v>
      </c>
      <c r="C1054" s="1" t="s">
        <v>441</v>
      </c>
      <c r="D1054" s="74">
        <v>400.0</v>
      </c>
      <c r="E1054" s="67">
        <v>7.12</v>
      </c>
      <c r="F1054" s="75">
        <v>0.4038425925925926</v>
      </c>
      <c r="G1054" s="67" t="s">
        <v>453</v>
      </c>
      <c r="H1054" s="68">
        <v>1.9</v>
      </c>
      <c r="I1054" s="76"/>
      <c r="J1054" s="67">
        <f t="shared" ref="J1054:J1057" si="76">IF(B1054="SLD",D1054*E1054,-D1054*E1054)-H1054</f>
        <v>2846.1</v>
      </c>
      <c r="K1054" s="7"/>
      <c r="L1054" s="70"/>
      <c r="M1054" s="79"/>
      <c r="N1054" s="1"/>
      <c r="O1054" s="1"/>
      <c r="P1054" s="1"/>
      <c r="Q1054" s="1"/>
      <c r="R1054" s="1"/>
      <c r="S1054" s="1"/>
      <c r="T1054" s="1"/>
      <c r="U1054" s="1"/>
      <c r="V1054" s="1"/>
      <c r="W1054" s="1"/>
      <c r="X1054" s="1"/>
      <c r="Y1054" s="1"/>
      <c r="Z1054" s="1"/>
      <c r="AA1054" s="1"/>
      <c r="AB1054" s="1"/>
      <c r="AC1054" s="1"/>
      <c r="AD1054" s="1"/>
      <c r="AE1054" s="1"/>
      <c r="AF1054" s="1"/>
      <c r="AG1054" s="1"/>
      <c r="AH1054" s="1"/>
    </row>
    <row r="1055" ht="12.75" hidden="1" customHeight="1" outlineLevel="1">
      <c r="A1055" s="17">
        <v>41192.0</v>
      </c>
      <c r="B1055" s="1" t="s">
        <v>347</v>
      </c>
      <c r="C1055" s="1" t="s">
        <v>344</v>
      </c>
      <c r="D1055" s="74">
        <v>200.0</v>
      </c>
      <c r="E1055" s="67">
        <v>35.5</v>
      </c>
      <c r="F1055" s="75">
        <v>0.40449074074074076</v>
      </c>
      <c r="G1055" s="67" t="s">
        <v>453</v>
      </c>
      <c r="H1055" s="68">
        <v>1.0</v>
      </c>
      <c r="I1055" s="76"/>
      <c r="J1055" s="67">
        <f t="shared" si="76"/>
        <v>7099</v>
      </c>
      <c r="K1055" s="7"/>
      <c r="L1055" s="70"/>
      <c r="M1055" s="79"/>
      <c r="N1055" s="1"/>
      <c r="O1055" s="1"/>
      <c r="P1055" s="1"/>
      <c r="Q1055" s="1"/>
      <c r="R1055" s="1"/>
      <c r="S1055" s="1"/>
      <c r="T1055" s="1"/>
      <c r="U1055" s="1"/>
      <c r="V1055" s="1"/>
      <c r="W1055" s="1"/>
      <c r="X1055" s="1"/>
      <c r="Y1055" s="1"/>
      <c r="Z1055" s="1"/>
      <c r="AA1055" s="1"/>
      <c r="AB1055" s="1"/>
      <c r="AC1055" s="1"/>
      <c r="AD1055" s="1"/>
      <c r="AE1055" s="1"/>
      <c r="AF1055" s="1"/>
      <c r="AG1055" s="1"/>
      <c r="AH1055" s="1"/>
    </row>
    <row r="1056" ht="12.75" hidden="1" customHeight="1" outlineLevel="1">
      <c r="A1056" s="17">
        <v>41192.0</v>
      </c>
      <c r="B1056" s="1" t="s">
        <v>347</v>
      </c>
      <c r="C1056" s="1" t="s">
        <v>399</v>
      </c>
      <c r="D1056" s="74">
        <v>300.0</v>
      </c>
      <c r="E1056" s="67">
        <v>5.32</v>
      </c>
      <c r="F1056" s="75">
        <v>0.49222222222222217</v>
      </c>
      <c r="G1056" s="67" t="s">
        <v>453</v>
      </c>
      <c r="H1056" s="68">
        <v>1.2</v>
      </c>
      <c r="I1056" s="76"/>
      <c r="J1056" s="67">
        <f t="shared" si="76"/>
        <v>1594.8</v>
      </c>
      <c r="K1056" s="7"/>
      <c r="L1056" s="70"/>
      <c r="M1056" s="79"/>
      <c r="N1056" s="1"/>
      <c r="O1056" s="1"/>
      <c r="P1056" s="1"/>
      <c r="Q1056" s="1"/>
      <c r="R1056" s="1"/>
      <c r="S1056" s="1"/>
      <c r="T1056" s="1"/>
      <c r="U1056" s="1"/>
      <c r="V1056" s="1"/>
      <c r="W1056" s="1"/>
      <c r="X1056" s="1"/>
      <c r="Y1056" s="1"/>
      <c r="Z1056" s="1"/>
      <c r="AA1056" s="1"/>
      <c r="AB1056" s="1"/>
      <c r="AC1056" s="1"/>
      <c r="AD1056" s="1"/>
      <c r="AE1056" s="1"/>
      <c r="AF1056" s="1"/>
      <c r="AG1056" s="1"/>
      <c r="AH1056" s="1"/>
    </row>
    <row r="1057" ht="12.75" hidden="1" customHeight="1" outlineLevel="1">
      <c r="A1057" s="17">
        <v>41192.0</v>
      </c>
      <c r="B1057" s="1" t="s">
        <v>347</v>
      </c>
      <c r="C1057" s="1" t="s">
        <v>381</v>
      </c>
      <c r="D1057" s="74">
        <v>200.0</v>
      </c>
      <c r="E1057" s="67">
        <v>19.74</v>
      </c>
      <c r="F1057" s="75">
        <v>0.4925</v>
      </c>
      <c r="G1057" s="67" t="s">
        <v>453</v>
      </c>
      <c r="H1057" s="68">
        <v>1.0</v>
      </c>
      <c r="I1057" s="76"/>
      <c r="J1057" s="67">
        <f t="shared" si="76"/>
        <v>3947</v>
      </c>
      <c r="K1057" s="7"/>
      <c r="L1057" s="70"/>
      <c r="M1057" s="79"/>
      <c r="N1057" s="1"/>
      <c r="O1057" s="1"/>
      <c r="P1057" s="1"/>
      <c r="Q1057" s="1"/>
      <c r="R1057" s="1"/>
      <c r="S1057" s="1"/>
      <c r="T1057" s="1"/>
      <c r="U1057" s="1"/>
      <c r="V1057" s="1"/>
      <c r="W1057" s="1"/>
      <c r="X1057" s="1"/>
      <c r="Y1057" s="1"/>
      <c r="Z1057" s="1"/>
      <c r="AA1057" s="1"/>
      <c r="AB1057" s="1"/>
      <c r="AC1057" s="1"/>
      <c r="AD1057" s="1"/>
      <c r="AE1057" s="1"/>
      <c r="AF1057" s="1"/>
      <c r="AG1057" s="1"/>
      <c r="AH1057" s="1"/>
    </row>
    <row r="1058" ht="12.75" hidden="1" customHeight="1" outlineLevel="1">
      <c r="A1058" s="17">
        <v>41192.0</v>
      </c>
      <c r="B1058" s="1"/>
      <c r="C1058" s="1" t="s">
        <v>339</v>
      </c>
      <c r="D1058" s="74"/>
      <c r="E1058" s="67"/>
      <c r="F1058" s="75"/>
      <c r="G1058" s="67"/>
      <c r="H1058" s="68"/>
      <c r="I1058" s="76"/>
      <c r="J1058" s="67"/>
      <c r="K1058" s="7" t="s">
        <v>719</v>
      </c>
      <c r="L1058" s="77"/>
      <c r="M1058" s="79"/>
      <c r="N1058" s="1"/>
      <c r="O1058" s="1"/>
      <c r="P1058" s="1"/>
      <c r="Q1058" s="1"/>
      <c r="R1058" s="1"/>
      <c r="S1058" s="1"/>
      <c r="T1058" s="1"/>
      <c r="U1058" s="1"/>
      <c r="V1058" s="1"/>
      <c r="W1058" s="1"/>
      <c r="X1058" s="1"/>
      <c r="Y1058" s="1"/>
      <c r="Z1058" s="1"/>
      <c r="AA1058" s="1"/>
      <c r="AB1058" s="1"/>
      <c r="AC1058" s="1"/>
      <c r="AD1058" s="1"/>
      <c r="AE1058" s="1"/>
      <c r="AF1058" s="1"/>
      <c r="AG1058" s="1"/>
      <c r="AH1058" s="1"/>
    </row>
    <row r="1059" ht="12.75" hidden="1" customHeight="1" outlineLevel="1">
      <c r="A1059" s="17">
        <v>41192.0</v>
      </c>
      <c r="B1059" s="1"/>
      <c r="C1059" s="1" t="s">
        <v>429</v>
      </c>
      <c r="D1059" s="74"/>
      <c r="E1059" s="67"/>
      <c r="F1059" s="75"/>
      <c r="G1059" s="67"/>
      <c r="H1059" s="68"/>
      <c r="I1059" s="76"/>
      <c r="J1059" s="67"/>
      <c r="K1059" s="7" t="s">
        <v>679</v>
      </c>
      <c r="L1059" s="77"/>
      <c r="M1059" s="79"/>
      <c r="N1059" s="1"/>
      <c r="O1059" s="1"/>
      <c r="P1059" s="1"/>
      <c r="Q1059" s="1"/>
      <c r="R1059" s="1"/>
      <c r="S1059" s="1"/>
      <c r="T1059" s="1"/>
      <c r="U1059" s="1"/>
      <c r="V1059" s="1"/>
      <c r="W1059" s="1"/>
      <c r="X1059" s="1"/>
      <c r="Y1059" s="1"/>
      <c r="Z1059" s="1"/>
      <c r="AA1059" s="1"/>
      <c r="AB1059" s="1"/>
      <c r="AC1059" s="1"/>
      <c r="AD1059" s="1"/>
      <c r="AE1059" s="1"/>
      <c r="AF1059" s="1"/>
      <c r="AG1059" s="1"/>
      <c r="AH1059" s="1"/>
    </row>
    <row r="1060" ht="12.75" hidden="1" customHeight="1" outlineLevel="1">
      <c r="A1060" s="17">
        <v>41192.0</v>
      </c>
      <c r="B1060" s="1"/>
      <c r="C1060" s="1" t="s">
        <v>431</v>
      </c>
      <c r="D1060" s="74"/>
      <c r="E1060" s="67"/>
      <c r="F1060" s="75"/>
      <c r="G1060" s="67"/>
      <c r="H1060" s="68"/>
      <c r="I1060" s="76"/>
      <c r="J1060" s="67"/>
      <c r="K1060" s="7" t="s">
        <v>669</v>
      </c>
      <c r="L1060" s="77"/>
      <c r="M1060" s="79"/>
      <c r="N1060" s="1"/>
      <c r="O1060" s="1"/>
      <c r="P1060" s="1"/>
      <c r="Q1060" s="1"/>
      <c r="R1060" s="1"/>
      <c r="S1060" s="1"/>
      <c r="T1060" s="1"/>
      <c r="U1060" s="1"/>
      <c r="V1060" s="1"/>
      <c r="W1060" s="1"/>
      <c r="X1060" s="1"/>
      <c r="Y1060" s="1"/>
      <c r="Z1060" s="1"/>
      <c r="AA1060" s="1"/>
      <c r="AB1060" s="1"/>
      <c r="AC1060" s="1"/>
      <c r="AD1060" s="1"/>
      <c r="AE1060" s="1"/>
      <c r="AF1060" s="1"/>
      <c r="AG1060" s="1"/>
      <c r="AH1060" s="1"/>
    </row>
    <row r="1061" ht="12.75" hidden="1" customHeight="1" outlineLevel="1">
      <c r="A1061" s="17">
        <v>41192.0</v>
      </c>
      <c r="B1061" s="1"/>
      <c r="C1061" s="1" t="s">
        <v>433</v>
      </c>
      <c r="D1061" s="74"/>
      <c r="E1061" s="67"/>
      <c r="F1061" s="75"/>
      <c r="G1061" s="67"/>
      <c r="H1061" s="68"/>
      <c r="I1061" s="76"/>
      <c r="J1061" s="67"/>
      <c r="K1061" s="1" t="s">
        <v>434</v>
      </c>
      <c r="L1061" s="77"/>
      <c r="M1061" s="79"/>
      <c r="N1061" s="1"/>
      <c r="O1061" s="1"/>
      <c r="P1061" s="1"/>
      <c r="Q1061" s="1"/>
      <c r="R1061" s="1"/>
      <c r="S1061" s="1"/>
      <c r="T1061" s="1"/>
      <c r="U1061" s="1"/>
      <c r="V1061" s="1"/>
      <c r="W1061" s="1"/>
      <c r="X1061" s="1"/>
      <c r="Y1061" s="1"/>
      <c r="Z1061" s="1"/>
      <c r="AA1061" s="1"/>
      <c r="AB1061" s="1"/>
      <c r="AC1061" s="1"/>
      <c r="AD1061" s="1"/>
      <c r="AE1061" s="1"/>
      <c r="AF1061" s="1"/>
      <c r="AG1061" s="1"/>
      <c r="AH1061" s="1"/>
    </row>
    <row r="1062" ht="12.75" hidden="1" customHeight="1" outlineLevel="1">
      <c r="A1062" s="17">
        <v>41192.0</v>
      </c>
      <c r="B1062" s="1"/>
      <c r="C1062" s="1" t="s">
        <v>435</v>
      </c>
      <c r="D1062" s="74"/>
      <c r="E1062" s="67"/>
      <c r="F1062" s="75"/>
      <c r="G1062" s="67"/>
      <c r="H1062" s="68"/>
      <c r="I1062" s="76"/>
      <c r="J1062" s="67"/>
      <c r="K1062" s="7" t="s">
        <v>697</v>
      </c>
      <c r="L1062" s="77"/>
      <c r="M1062" s="79"/>
      <c r="N1062" s="1"/>
      <c r="O1062" s="1"/>
      <c r="P1062" s="1"/>
      <c r="Q1062" s="1"/>
      <c r="R1062" s="1"/>
      <c r="S1062" s="1"/>
      <c r="T1062" s="1"/>
      <c r="U1062" s="1"/>
      <c r="V1062" s="1"/>
      <c r="W1062" s="1"/>
      <c r="X1062" s="1"/>
      <c r="Y1062" s="1"/>
      <c r="Z1062" s="1"/>
      <c r="AA1062" s="1"/>
      <c r="AB1062" s="1"/>
      <c r="AC1062" s="1"/>
      <c r="AD1062" s="1"/>
      <c r="AE1062" s="1"/>
      <c r="AF1062" s="1"/>
      <c r="AG1062" s="1"/>
      <c r="AH1062" s="1"/>
    </row>
    <row r="1063" ht="12.75" hidden="1" customHeight="1" outlineLevel="1">
      <c r="A1063" s="17">
        <v>41193.0</v>
      </c>
      <c r="B1063" s="1" t="s">
        <v>343</v>
      </c>
      <c r="C1063" s="1" t="s">
        <v>441</v>
      </c>
      <c r="D1063" s="74">
        <v>800.0</v>
      </c>
      <c r="E1063" s="67">
        <v>8.201</v>
      </c>
      <c r="F1063" s="75">
        <v>0.4545949074074074</v>
      </c>
      <c r="G1063" s="67" t="s">
        <v>453</v>
      </c>
      <c r="H1063" s="68">
        <v>4.0</v>
      </c>
      <c r="I1063" s="76"/>
      <c r="J1063" s="67">
        <f t="shared" ref="J1063:J1065" si="77">IF(B1063="SLD",D1063*E1063,-D1063*E1063)-H1063</f>
        <v>-6564.8</v>
      </c>
      <c r="K1063" s="7"/>
      <c r="L1063" s="70"/>
      <c r="M1063" s="79"/>
      <c r="N1063" s="1"/>
      <c r="O1063" s="1"/>
      <c r="P1063" s="1"/>
      <c r="Q1063" s="1"/>
      <c r="R1063" s="1"/>
      <c r="S1063" s="1"/>
      <c r="T1063" s="1"/>
      <c r="U1063" s="1"/>
      <c r="V1063" s="1"/>
      <c r="W1063" s="1"/>
      <c r="X1063" s="1"/>
      <c r="Y1063" s="1"/>
      <c r="Z1063" s="1"/>
      <c r="AA1063" s="1"/>
      <c r="AB1063" s="1"/>
      <c r="AC1063" s="1"/>
      <c r="AD1063" s="1"/>
      <c r="AE1063" s="1"/>
      <c r="AF1063" s="1"/>
      <c r="AG1063" s="1"/>
      <c r="AH1063" s="1"/>
    </row>
    <row r="1064" ht="12.75" hidden="1" customHeight="1" outlineLevel="1">
      <c r="A1064" s="17">
        <v>41193.0</v>
      </c>
      <c r="B1064" s="1" t="s">
        <v>343</v>
      </c>
      <c r="C1064" s="1" t="s">
        <v>511</v>
      </c>
      <c r="D1064" s="74">
        <v>300.0</v>
      </c>
      <c r="E1064" s="67">
        <v>17.743</v>
      </c>
      <c r="F1064" s="75">
        <v>0.4561689814814815</v>
      </c>
      <c r="G1064" s="67" t="s">
        <v>453</v>
      </c>
      <c r="H1064" s="68">
        <v>1.5</v>
      </c>
      <c r="I1064" s="76"/>
      <c r="J1064" s="67">
        <f t="shared" si="77"/>
        <v>-5324.4</v>
      </c>
      <c r="K1064" s="7"/>
      <c r="L1064" s="70"/>
      <c r="M1064" s="79"/>
      <c r="N1064" s="1"/>
      <c r="O1064" s="1"/>
      <c r="P1064" s="1"/>
      <c r="Q1064" s="1"/>
      <c r="R1064" s="1"/>
      <c r="S1064" s="1"/>
      <c r="T1064" s="1"/>
      <c r="U1064" s="1"/>
      <c r="V1064" s="1"/>
      <c r="W1064" s="1"/>
      <c r="X1064" s="1"/>
      <c r="Y1064" s="1"/>
      <c r="Z1064" s="1"/>
      <c r="AA1064" s="1"/>
      <c r="AB1064" s="1"/>
      <c r="AC1064" s="1"/>
      <c r="AD1064" s="1"/>
      <c r="AE1064" s="1"/>
      <c r="AF1064" s="1"/>
      <c r="AG1064" s="1"/>
      <c r="AH1064" s="1"/>
    </row>
    <row r="1065" ht="12.75" hidden="1" customHeight="1" outlineLevel="1">
      <c r="A1065" s="17">
        <v>41193.0</v>
      </c>
      <c r="B1065" s="1" t="s">
        <v>347</v>
      </c>
      <c r="C1065" s="1" t="s">
        <v>441</v>
      </c>
      <c r="D1065" s="74">
        <v>800.0</v>
      </c>
      <c r="E1065" s="67">
        <v>8.21</v>
      </c>
      <c r="F1065" s="75">
        <v>0.4596064814814815</v>
      </c>
      <c r="G1065" s="67" t="s">
        <v>453</v>
      </c>
      <c r="H1065" s="68">
        <v>4.0</v>
      </c>
      <c r="I1065" s="76"/>
      <c r="J1065" s="67">
        <f t="shared" si="77"/>
        <v>6564</v>
      </c>
      <c r="K1065" s="7"/>
      <c r="L1065" s="70"/>
      <c r="M1065" s="79"/>
      <c r="N1065" s="1"/>
      <c r="O1065" s="1"/>
      <c r="P1065" s="1"/>
      <c r="Q1065" s="1"/>
      <c r="R1065" s="1"/>
      <c r="S1065" s="1"/>
      <c r="T1065" s="1"/>
      <c r="U1065" s="1"/>
      <c r="V1065" s="1"/>
      <c r="W1065" s="1"/>
      <c r="X1065" s="1"/>
      <c r="Y1065" s="1"/>
      <c r="Z1065" s="1"/>
      <c r="AA1065" s="1"/>
      <c r="AB1065" s="1"/>
      <c r="AC1065" s="1"/>
      <c r="AD1065" s="1"/>
      <c r="AE1065" s="1"/>
      <c r="AF1065" s="1"/>
      <c r="AG1065" s="1"/>
      <c r="AH1065" s="1"/>
    </row>
    <row r="1066" ht="12.75" hidden="1" customHeight="1" outlineLevel="1">
      <c r="A1066" s="17">
        <v>41193.0</v>
      </c>
      <c r="B1066" s="1"/>
      <c r="C1066" s="1" t="s">
        <v>339</v>
      </c>
      <c r="D1066" s="74"/>
      <c r="E1066" s="67"/>
      <c r="F1066" s="75"/>
      <c r="G1066" s="67"/>
      <c r="H1066" s="68"/>
      <c r="I1066" s="76"/>
      <c r="J1066" s="67"/>
      <c r="K1066" s="7" t="s">
        <v>720</v>
      </c>
      <c r="L1066" s="77"/>
      <c r="M1066" s="79"/>
      <c r="N1066" s="1"/>
      <c r="O1066" s="1"/>
      <c r="P1066" s="1"/>
      <c r="Q1066" s="1"/>
      <c r="R1066" s="1"/>
      <c r="S1066" s="1"/>
      <c r="T1066" s="1"/>
      <c r="U1066" s="1"/>
      <c r="V1066" s="1"/>
      <c r="W1066" s="1"/>
      <c r="X1066" s="1"/>
      <c r="Y1066" s="1"/>
      <c r="Z1066" s="1"/>
      <c r="AA1066" s="1"/>
      <c r="AB1066" s="1"/>
      <c r="AC1066" s="1"/>
      <c r="AD1066" s="1"/>
      <c r="AE1066" s="1"/>
      <c r="AF1066" s="1"/>
      <c r="AG1066" s="1"/>
      <c r="AH1066" s="1"/>
    </row>
    <row r="1067" ht="12.75" hidden="1" customHeight="1" outlineLevel="1">
      <c r="A1067" s="17">
        <v>41193.0</v>
      </c>
      <c r="B1067" s="1"/>
      <c r="C1067" s="1" t="s">
        <v>429</v>
      </c>
      <c r="D1067" s="74"/>
      <c r="E1067" s="67"/>
      <c r="F1067" s="75"/>
      <c r="G1067" s="67"/>
      <c r="H1067" s="68"/>
      <c r="I1067" s="76"/>
      <c r="J1067" s="67"/>
      <c r="K1067" s="7" t="s">
        <v>679</v>
      </c>
      <c r="L1067" s="77"/>
      <c r="M1067" s="79"/>
      <c r="N1067" s="1"/>
      <c r="O1067" s="1"/>
      <c r="P1067" s="1"/>
      <c r="Q1067" s="1"/>
      <c r="R1067" s="1"/>
      <c r="S1067" s="1"/>
      <c r="T1067" s="1"/>
      <c r="U1067" s="1"/>
      <c r="V1067" s="1"/>
      <c r="W1067" s="1"/>
      <c r="X1067" s="1"/>
      <c r="Y1067" s="1"/>
      <c r="Z1067" s="1"/>
      <c r="AA1067" s="1"/>
      <c r="AB1067" s="1"/>
      <c r="AC1067" s="1"/>
      <c r="AD1067" s="1"/>
      <c r="AE1067" s="1"/>
      <c r="AF1067" s="1"/>
      <c r="AG1067" s="1"/>
      <c r="AH1067" s="1"/>
    </row>
    <row r="1068" ht="12.75" hidden="1" customHeight="1" outlineLevel="1">
      <c r="A1068" s="17">
        <v>41193.0</v>
      </c>
      <c r="B1068" s="1"/>
      <c r="C1068" s="1" t="s">
        <v>431</v>
      </c>
      <c r="D1068" s="74"/>
      <c r="E1068" s="67"/>
      <c r="F1068" s="75"/>
      <c r="G1068" s="67"/>
      <c r="H1068" s="68"/>
      <c r="I1068" s="76"/>
      <c r="J1068" s="67"/>
      <c r="K1068" s="7" t="s">
        <v>669</v>
      </c>
      <c r="L1068" s="77"/>
      <c r="M1068" s="79"/>
      <c r="N1068" s="1"/>
      <c r="O1068" s="1"/>
      <c r="P1068" s="1"/>
      <c r="Q1068" s="1"/>
      <c r="R1068" s="1"/>
      <c r="S1068" s="1"/>
      <c r="T1068" s="1"/>
      <c r="U1068" s="1"/>
      <c r="V1068" s="1"/>
      <c r="W1068" s="1"/>
      <c r="X1068" s="1"/>
      <c r="Y1068" s="1"/>
      <c r="Z1068" s="1"/>
      <c r="AA1068" s="1"/>
      <c r="AB1068" s="1"/>
      <c r="AC1068" s="1"/>
      <c r="AD1068" s="1"/>
      <c r="AE1068" s="1"/>
      <c r="AF1068" s="1"/>
      <c r="AG1068" s="1"/>
      <c r="AH1068" s="1"/>
    </row>
    <row r="1069" ht="12.75" hidden="1" customHeight="1" outlineLevel="1">
      <c r="A1069" s="17">
        <v>41193.0</v>
      </c>
      <c r="B1069" s="1"/>
      <c r="C1069" s="1" t="s">
        <v>433</v>
      </c>
      <c r="D1069" s="74"/>
      <c r="E1069" s="67"/>
      <c r="F1069" s="75"/>
      <c r="G1069" s="67"/>
      <c r="H1069" s="68"/>
      <c r="I1069" s="76"/>
      <c r="J1069" s="67"/>
      <c r="K1069" s="1" t="s">
        <v>434</v>
      </c>
      <c r="L1069" s="77"/>
      <c r="M1069" s="79"/>
      <c r="N1069" s="1"/>
      <c r="O1069" s="1"/>
      <c r="P1069" s="1"/>
      <c r="Q1069" s="1"/>
      <c r="R1069" s="1"/>
      <c r="S1069" s="1"/>
      <c r="T1069" s="1"/>
      <c r="U1069" s="1"/>
      <c r="V1069" s="1"/>
      <c r="W1069" s="1"/>
      <c r="X1069" s="1"/>
      <c r="Y1069" s="1"/>
      <c r="Z1069" s="1"/>
      <c r="AA1069" s="1"/>
      <c r="AB1069" s="1"/>
      <c r="AC1069" s="1"/>
      <c r="AD1069" s="1"/>
      <c r="AE1069" s="1"/>
      <c r="AF1069" s="1"/>
      <c r="AG1069" s="1"/>
      <c r="AH1069" s="1"/>
    </row>
    <row r="1070" ht="12.75" hidden="1" customHeight="1" outlineLevel="1">
      <c r="A1070" s="17">
        <v>41193.0</v>
      </c>
      <c r="B1070" s="1"/>
      <c r="C1070" s="1" t="s">
        <v>435</v>
      </c>
      <c r="D1070" s="74"/>
      <c r="E1070" s="67"/>
      <c r="F1070" s="75"/>
      <c r="G1070" s="67"/>
      <c r="H1070" s="68"/>
      <c r="I1070" s="76"/>
      <c r="J1070" s="67"/>
      <c r="K1070" s="7" t="s">
        <v>697</v>
      </c>
      <c r="L1070" s="77"/>
      <c r="M1070" s="79"/>
      <c r="N1070" s="1"/>
      <c r="O1070" s="1"/>
      <c r="P1070" s="1"/>
      <c r="Q1070" s="1"/>
      <c r="R1070" s="1"/>
      <c r="S1070" s="1"/>
      <c r="T1070" s="1"/>
      <c r="U1070" s="1"/>
      <c r="V1070" s="1"/>
      <c r="W1070" s="1"/>
      <c r="X1070" s="1"/>
      <c r="Y1070" s="1"/>
      <c r="Z1070" s="1"/>
      <c r="AA1070" s="1"/>
      <c r="AB1070" s="1"/>
      <c r="AC1070" s="1"/>
      <c r="AD1070" s="1"/>
      <c r="AE1070" s="1"/>
      <c r="AF1070" s="1"/>
      <c r="AG1070" s="1"/>
      <c r="AH1070" s="1"/>
    </row>
    <row r="1071" ht="12.75" hidden="1" customHeight="1" outlineLevel="1">
      <c r="A1071" s="17">
        <v>41193.0</v>
      </c>
      <c r="B1071" s="1" t="s">
        <v>347</v>
      </c>
      <c r="C1071" s="1" t="s">
        <v>418</v>
      </c>
      <c r="D1071" s="74">
        <v>225.0</v>
      </c>
      <c r="E1071" s="67">
        <v>43.5</v>
      </c>
      <c r="F1071" s="75">
        <v>0.407025462962963</v>
      </c>
      <c r="G1071" s="67" t="s">
        <v>453</v>
      </c>
      <c r="H1071" s="68">
        <v>1.12</v>
      </c>
      <c r="I1071" s="76"/>
      <c r="J1071" s="67">
        <f t="shared" ref="J1071:J1074" si="78">IF(B1071="SLD",D1071*E1071,-D1071*E1071)-H1071</f>
        <v>9786.38</v>
      </c>
      <c r="K1071" s="7"/>
      <c r="L1071" s="70"/>
      <c r="M1071" s="79"/>
      <c r="N1071" s="1"/>
      <c r="O1071" s="1"/>
      <c r="P1071" s="1"/>
      <c r="Q1071" s="1"/>
      <c r="R1071" s="1"/>
      <c r="S1071" s="1"/>
      <c r="T1071" s="1"/>
      <c r="U1071" s="1"/>
      <c r="V1071" s="1"/>
      <c r="W1071" s="1"/>
      <c r="X1071" s="1"/>
      <c r="Y1071" s="1"/>
      <c r="Z1071" s="1"/>
      <c r="AA1071" s="1"/>
      <c r="AB1071" s="1"/>
      <c r="AC1071" s="1"/>
      <c r="AD1071" s="1"/>
      <c r="AE1071" s="1"/>
      <c r="AF1071" s="1"/>
      <c r="AG1071" s="1"/>
      <c r="AH1071" s="1"/>
    </row>
    <row r="1072" ht="12.75" hidden="1" customHeight="1" outlineLevel="1">
      <c r="A1072" s="17">
        <v>41193.0</v>
      </c>
      <c r="B1072" s="1" t="s">
        <v>347</v>
      </c>
      <c r="C1072" s="1" t="s">
        <v>691</v>
      </c>
      <c r="D1072" s="74">
        <v>125.0</v>
      </c>
      <c r="E1072" s="67">
        <v>31.404</v>
      </c>
      <c r="F1072" s="75">
        <v>0.45261574074074074</v>
      </c>
      <c r="G1072" s="67" t="s">
        <v>453</v>
      </c>
      <c r="H1072" s="68">
        <v>1.0</v>
      </c>
      <c r="I1072" s="76"/>
      <c r="J1072" s="67">
        <f t="shared" si="78"/>
        <v>3924.5</v>
      </c>
      <c r="K1072" s="7"/>
      <c r="L1072" s="70"/>
      <c r="M1072" s="79"/>
      <c r="N1072" s="1"/>
      <c r="O1072" s="1"/>
      <c r="P1072" s="1"/>
      <c r="Q1072" s="1"/>
      <c r="R1072" s="1"/>
      <c r="S1072" s="1"/>
      <c r="T1072" s="1"/>
      <c r="U1072" s="1"/>
      <c r="V1072" s="1"/>
      <c r="W1072" s="1"/>
      <c r="X1072" s="1"/>
      <c r="Y1072" s="1"/>
      <c r="Z1072" s="1"/>
      <c r="AA1072" s="1"/>
      <c r="AB1072" s="1"/>
      <c r="AC1072" s="1"/>
      <c r="AD1072" s="1"/>
      <c r="AE1072" s="1"/>
      <c r="AF1072" s="1"/>
      <c r="AG1072" s="1"/>
      <c r="AH1072" s="1"/>
    </row>
    <row r="1073" ht="12.75" hidden="1" customHeight="1" outlineLevel="1">
      <c r="A1073" s="17">
        <v>41193.0</v>
      </c>
      <c r="B1073" s="1" t="s">
        <v>347</v>
      </c>
      <c r="C1073" s="1" t="s">
        <v>387</v>
      </c>
      <c r="D1073" s="74">
        <v>150.0</v>
      </c>
      <c r="E1073" s="67">
        <v>77.3</v>
      </c>
      <c r="F1073" s="75">
        <v>0.4956712962962963</v>
      </c>
      <c r="G1073" s="67" t="s">
        <v>453</v>
      </c>
      <c r="H1073" s="68">
        <v>1.0</v>
      </c>
      <c r="I1073" s="76"/>
      <c r="J1073" s="67">
        <f t="shared" si="78"/>
        <v>11594</v>
      </c>
      <c r="K1073" s="7"/>
      <c r="L1073" s="70"/>
      <c r="M1073" s="79"/>
      <c r="N1073" s="1"/>
      <c r="O1073" s="1"/>
      <c r="P1073" s="1"/>
      <c r="Q1073" s="1"/>
      <c r="R1073" s="1"/>
      <c r="S1073" s="1"/>
      <c r="T1073" s="1"/>
      <c r="U1073" s="1"/>
      <c r="V1073" s="1"/>
      <c r="W1073" s="1"/>
      <c r="X1073" s="1"/>
      <c r="Y1073" s="1"/>
      <c r="Z1073" s="1"/>
      <c r="AA1073" s="1"/>
      <c r="AB1073" s="1"/>
      <c r="AC1073" s="1"/>
      <c r="AD1073" s="1"/>
      <c r="AE1073" s="1"/>
      <c r="AF1073" s="1"/>
      <c r="AG1073" s="1"/>
      <c r="AH1073" s="1"/>
    </row>
    <row r="1074" ht="12.75" hidden="1" customHeight="1" outlineLevel="1">
      <c r="A1074" s="17">
        <v>41193.0</v>
      </c>
      <c r="B1074" s="1" t="s">
        <v>343</v>
      </c>
      <c r="C1074" s="1" t="s">
        <v>682</v>
      </c>
      <c r="D1074" s="74">
        <v>200.0</v>
      </c>
      <c r="E1074" s="67">
        <v>22.02</v>
      </c>
      <c r="F1074" s="75">
        <v>0.610625</v>
      </c>
      <c r="G1074" s="67" t="s">
        <v>453</v>
      </c>
      <c r="H1074" s="68">
        <v>1.0</v>
      </c>
      <c r="I1074" s="76"/>
      <c r="J1074" s="67">
        <f t="shared" si="78"/>
        <v>-4405</v>
      </c>
      <c r="K1074" s="7"/>
      <c r="L1074" s="70"/>
      <c r="M1074" s="79"/>
      <c r="N1074" s="1"/>
      <c r="O1074" s="1"/>
      <c r="P1074" s="1"/>
      <c r="Q1074" s="1"/>
      <c r="R1074" s="1"/>
      <c r="S1074" s="1"/>
      <c r="T1074" s="1"/>
      <c r="U1074" s="1"/>
      <c r="V1074" s="1"/>
      <c r="W1074" s="1"/>
      <c r="X1074" s="1"/>
      <c r="Y1074" s="1"/>
      <c r="Z1074" s="1"/>
      <c r="AA1074" s="1"/>
      <c r="AB1074" s="1"/>
      <c r="AC1074" s="1"/>
      <c r="AD1074" s="1"/>
      <c r="AE1074" s="1"/>
      <c r="AF1074" s="1"/>
      <c r="AG1074" s="1"/>
      <c r="AH1074" s="1"/>
    </row>
    <row r="1075" ht="12.75" hidden="1" customHeight="1" outlineLevel="1">
      <c r="A1075" s="17">
        <v>41193.0</v>
      </c>
      <c r="B1075" s="1"/>
      <c r="C1075" s="1" t="s">
        <v>339</v>
      </c>
      <c r="D1075" s="74"/>
      <c r="E1075" s="67"/>
      <c r="F1075" s="75"/>
      <c r="G1075" s="67"/>
      <c r="H1075" s="68"/>
      <c r="I1075" s="76"/>
      <c r="J1075" s="67"/>
      <c r="K1075" s="7" t="s">
        <v>722</v>
      </c>
      <c r="L1075" s="77"/>
      <c r="M1075" s="79"/>
      <c r="N1075" s="1"/>
      <c r="O1075" s="1"/>
      <c r="P1075" s="1"/>
      <c r="Q1075" s="1"/>
      <c r="R1075" s="1"/>
      <c r="S1075" s="1"/>
      <c r="T1075" s="1"/>
      <c r="U1075" s="1"/>
      <c r="V1075" s="1"/>
      <c r="W1075" s="1"/>
      <c r="X1075" s="1"/>
      <c r="Y1075" s="1"/>
      <c r="Z1075" s="1"/>
      <c r="AA1075" s="1"/>
      <c r="AB1075" s="1"/>
      <c r="AC1075" s="1"/>
      <c r="AD1075" s="1"/>
      <c r="AE1075" s="1"/>
      <c r="AF1075" s="1"/>
      <c r="AG1075" s="1"/>
      <c r="AH1075" s="1"/>
    </row>
    <row r="1076" ht="12.75" hidden="1" customHeight="1" outlineLevel="1">
      <c r="A1076" s="17">
        <v>41193.0</v>
      </c>
      <c r="B1076" s="1"/>
      <c r="C1076" s="1" t="s">
        <v>429</v>
      </c>
      <c r="D1076" s="74"/>
      <c r="E1076" s="67"/>
      <c r="F1076" s="75"/>
      <c r="G1076" s="67"/>
      <c r="H1076" s="68"/>
      <c r="I1076" s="76"/>
      <c r="J1076" s="67"/>
      <c r="K1076" s="7" t="s">
        <v>679</v>
      </c>
      <c r="L1076" s="77"/>
      <c r="M1076" s="79"/>
      <c r="N1076" s="1"/>
      <c r="O1076" s="1"/>
      <c r="P1076" s="1"/>
      <c r="Q1076" s="1"/>
      <c r="R1076" s="1"/>
      <c r="S1076" s="1"/>
      <c r="T1076" s="1"/>
      <c r="U1076" s="1"/>
      <c r="V1076" s="1"/>
      <c r="W1076" s="1"/>
      <c r="X1076" s="1"/>
      <c r="Y1076" s="1"/>
      <c r="Z1076" s="1"/>
      <c r="AA1076" s="1"/>
      <c r="AB1076" s="1"/>
      <c r="AC1076" s="1"/>
      <c r="AD1076" s="1"/>
      <c r="AE1076" s="1"/>
      <c r="AF1076" s="1"/>
      <c r="AG1076" s="1"/>
      <c r="AH1076" s="1"/>
    </row>
    <row r="1077" ht="12.75" hidden="1" customHeight="1" outlineLevel="1">
      <c r="A1077" s="17">
        <v>41193.0</v>
      </c>
      <c r="B1077" s="1"/>
      <c r="C1077" s="1" t="s">
        <v>431</v>
      </c>
      <c r="D1077" s="74"/>
      <c r="E1077" s="67"/>
      <c r="F1077" s="75"/>
      <c r="G1077" s="67"/>
      <c r="H1077" s="68"/>
      <c r="I1077" s="76"/>
      <c r="J1077" s="67"/>
      <c r="K1077" s="7" t="s">
        <v>669</v>
      </c>
      <c r="L1077" s="77"/>
      <c r="M1077" s="79"/>
      <c r="N1077" s="1"/>
      <c r="O1077" s="1"/>
      <c r="P1077" s="1"/>
      <c r="Q1077" s="1"/>
      <c r="R1077" s="1"/>
      <c r="S1077" s="1"/>
      <c r="T1077" s="1"/>
      <c r="U1077" s="1"/>
      <c r="V1077" s="1"/>
      <c r="W1077" s="1"/>
      <c r="X1077" s="1"/>
      <c r="Y1077" s="1"/>
      <c r="Z1077" s="1"/>
      <c r="AA1077" s="1"/>
      <c r="AB1077" s="1"/>
      <c r="AC1077" s="1"/>
      <c r="AD1077" s="1"/>
      <c r="AE1077" s="1"/>
      <c r="AF1077" s="1"/>
      <c r="AG1077" s="1"/>
      <c r="AH1077" s="1"/>
    </row>
    <row r="1078" ht="12.75" hidden="1" customHeight="1" outlineLevel="1">
      <c r="A1078" s="17">
        <v>41193.0</v>
      </c>
      <c r="B1078" s="1"/>
      <c r="C1078" s="1" t="s">
        <v>433</v>
      </c>
      <c r="D1078" s="74"/>
      <c r="E1078" s="67"/>
      <c r="F1078" s="75"/>
      <c r="G1078" s="67"/>
      <c r="H1078" s="68"/>
      <c r="I1078" s="76"/>
      <c r="J1078" s="67"/>
      <c r="K1078" s="1" t="s">
        <v>434</v>
      </c>
      <c r="L1078" s="77"/>
      <c r="M1078" s="79"/>
      <c r="N1078" s="1"/>
      <c r="O1078" s="1"/>
      <c r="P1078" s="1"/>
      <c r="Q1078" s="1"/>
      <c r="R1078" s="1"/>
      <c r="S1078" s="1"/>
      <c r="T1078" s="1"/>
      <c r="U1078" s="1"/>
      <c r="V1078" s="1"/>
      <c r="W1078" s="1"/>
      <c r="X1078" s="1"/>
      <c r="Y1078" s="1"/>
      <c r="Z1078" s="1"/>
      <c r="AA1078" s="1"/>
      <c r="AB1078" s="1"/>
      <c r="AC1078" s="1"/>
      <c r="AD1078" s="1"/>
      <c r="AE1078" s="1"/>
      <c r="AF1078" s="1"/>
      <c r="AG1078" s="1"/>
      <c r="AH1078" s="1"/>
    </row>
    <row r="1079" ht="12.75" hidden="1" customHeight="1" outlineLevel="1">
      <c r="A1079" s="17">
        <v>41193.0</v>
      </c>
      <c r="B1079" s="1"/>
      <c r="C1079" s="1" t="s">
        <v>435</v>
      </c>
      <c r="D1079" s="74"/>
      <c r="E1079" s="67"/>
      <c r="F1079" s="75"/>
      <c r="G1079" s="67"/>
      <c r="H1079" s="68"/>
      <c r="I1079" s="76"/>
      <c r="J1079" s="67"/>
      <c r="K1079" s="7" t="s">
        <v>697</v>
      </c>
      <c r="L1079" s="77"/>
      <c r="M1079" s="79"/>
      <c r="N1079" s="1"/>
      <c r="O1079" s="1"/>
      <c r="P1079" s="1"/>
      <c r="Q1079" s="1"/>
      <c r="R1079" s="1"/>
      <c r="S1079" s="1"/>
      <c r="T1079" s="1"/>
      <c r="U1079" s="1"/>
      <c r="V1079" s="1"/>
      <c r="W1079" s="1"/>
      <c r="X1079" s="1"/>
      <c r="Y1079" s="1"/>
      <c r="Z1079" s="1"/>
      <c r="AA1079" s="1"/>
      <c r="AB1079" s="1"/>
      <c r="AC1079" s="1"/>
      <c r="AD1079" s="1"/>
      <c r="AE1079" s="1"/>
      <c r="AF1079" s="1"/>
      <c r="AG1079" s="1"/>
      <c r="AH1079" s="1"/>
    </row>
    <row r="1080" ht="12.75" hidden="1" customHeight="1" outlineLevel="1">
      <c r="A1080" s="17">
        <v>41197.0</v>
      </c>
      <c r="B1080" s="1" t="s">
        <v>347</v>
      </c>
      <c r="C1080" s="1" t="s">
        <v>676</v>
      </c>
      <c r="D1080" s="74">
        <v>15.0</v>
      </c>
      <c r="E1080" s="67">
        <v>737.56</v>
      </c>
      <c r="F1080" s="75">
        <v>0.42108796296296297</v>
      </c>
      <c r="G1080" s="67" t="s">
        <v>453</v>
      </c>
      <c r="H1080" s="68">
        <v>1.0</v>
      </c>
      <c r="I1080" s="76"/>
      <c r="J1080" s="67">
        <f t="shared" ref="J1080:J1082" si="79">IF(B1080="SLD",D1080*E1080,-D1080*E1080)-H1080</f>
        <v>11062.4</v>
      </c>
      <c r="K1080" s="7"/>
      <c r="L1080" s="70"/>
      <c r="M1080" s="79"/>
      <c r="N1080" s="1"/>
      <c r="O1080" s="1"/>
      <c r="P1080" s="1"/>
      <c r="Q1080" s="1"/>
      <c r="R1080" s="1"/>
      <c r="S1080" s="1"/>
      <c r="T1080" s="1"/>
      <c r="U1080" s="1"/>
      <c r="V1080" s="1"/>
      <c r="W1080" s="1"/>
      <c r="X1080" s="1"/>
      <c r="Y1080" s="1"/>
      <c r="Z1080" s="1"/>
      <c r="AA1080" s="1"/>
      <c r="AB1080" s="1"/>
      <c r="AC1080" s="1"/>
      <c r="AD1080" s="1"/>
      <c r="AE1080" s="1"/>
      <c r="AF1080" s="1"/>
      <c r="AG1080" s="1"/>
      <c r="AH1080" s="1"/>
    </row>
    <row r="1081" ht="12.75" hidden="1" customHeight="1" outlineLevel="1">
      <c r="A1081" s="17">
        <v>41197.0</v>
      </c>
      <c r="B1081" s="1" t="s">
        <v>347</v>
      </c>
      <c r="C1081" s="1" t="s">
        <v>442</v>
      </c>
      <c r="D1081" s="74">
        <v>125.0</v>
      </c>
      <c r="E1081" s="67">
        <v>87.964</v>
      </c>
      <c r="F1081" s="75">
        <v>0.42627314814814815</v>
      </c>
      <c r="G1081" s="67" t="s">
        <v>453</v>
      </c>
      <c r="H1081" s="68">
        <v>2.0</v>
      </c>
      <c r="I1081" s="76"/>
      <c r="J1081" s="67">
        <f t="shared" si="79"/>
        <v>10993.5</v>
      </c>
      <c r="K1081" s="7"/>
      <c r="L1081" s="70"/>
      <c r="M1081" s="79"/>
      <c r="N1081" s="1"/>
      <c r="O1081" s="1"/>
      <c r="P1081" s="1"/>
      <c r="Q1081" s="1"/>
      <c r="R1081" s="1"/>
      <c r="S1081" s="1"/>
      <c r="T1081" s="1"/>
      <c r="U1081" s="1"/>
      <c r="V1081" s="1"/>
      <c r="W1081" s="1"/>
      <c r="X1081" s="1"/>
      <c r="Y1081" s="1"/>
      <c r="Z1081" s="1"/>
      <c r="AA1081" s="1"/>
      <c r="AB1081" s="1"/>
      <c r="AC1081" s="1"/>
      <c r="AD1081" s="1"/>
      <c r="AE1081" s="1"/>
      <c r="AF1081" s="1"/>
      <c r="AG1081" s="1"/>
      <c r="AH1081" s="1"/>
    </row>
    <row r="1082" ht="12.75" hidden="1" customHeight="1" outlineLevel="1">
      <c r="A1082" s="17">
        <v>41197.0</v>
      </c>
      <c r="B1082" s="1" t="s">
        <v>347</v>
      </c>
      <c r="C1082" s="1" t="s">
        <v>605</v>
      </c>
      <c r="D1082" s="74">
        <v>250.0</v>
      </c>
      <c r="E1082" s="67">
        <v>43.45</v>
      </c>
      <c r="F1082" s="75">
        <v>0.44192129629629634</v>
      </c>
      <c r="G1082" s="67" t="s">
        <v>453</v>
      </c>
      <c r="H1082" s="68">
        <v>1.25</v>
      </c>
      <c r="I1082" s="76"/>
      <c r="J1082" s="67">
        <f t="shared" si="79"/>
        <v>10861.25</v>
      </c>
      <c r="K1082" s="7" t="s">
        <v>723</v>
      </c>
      <c r="L1082" s="70"/>
      <c r="M1082" s="79"/>
      <c r="N1082" s="1"/>
      <c r="O1082" s="1"/>
      <c r="P1082" s="1"/>
      <c r="Q1082" s="1"/>
      <c r="R1082" s="1"/>
      <c r="S1082" s="1"/>
      <c r="T1082" s="1"/>
      <c r="U1082" s="1"/>
      <c r="V1082" s="1"/>
      <c r="W1082" s="1"/>
      <c r="X1082" s="1"/>
      <c r="Y1082" s="1"/>
      <c r="Z1082" s="1"/>
      <c r="AA1082" s="1"/>
      <c r="AB1082" s="1"/>
      <c r="AC1082" s="1"/>
      <c r="AD1082" s="1"/>
      <c r="AE1082" s="1"/>
      <c r="AF1082" s="1"/>
      <c r="AG1082" s="1"/>
      <c r="AH1082" s="1"/>
    </row>
    <row r="1083" ht="12.75" hidden="1" customHeight="1" outlineLevel="1">
      <c r="A1083" s="17">
        <v>41197.0</v>
      </c>
      <c r="B1083" s="1"/>
      <c r="C1083" s="1" t="s">
        <v>339</v>
      </c>
      <c r="D1083" s="74"/>
      <c r="E1083" s="67"/>
      <c r="F1083" s="75"/>
      <c r="G1083" s="67"/>
      <c r="H1083" s="68"/>
      <c r="I1083" s="76"/>
      <c r="J1083" s="67"/>
      <c r="K1083" s="7" t="s">
        <v>724</v>
      </c>
      <c r="L1083" s="77"/>
      <c r="M1083" s="79"/>
      <c r="N1083" s="1"/>
      <c r="O1083" s="1"/>
      <c r="P1083" s="1"/>
      <c r="Q1083" s="1"/>
      <c r="R1083" s="1"/>
      <c r="S1083" s="1"/>
      <c r="T1083" s="1"/>
      <c r="U1083" s="1"/>
      <c r="V1083" s="1"/>
      <c r="W1083" s="1"/>
      <c r="X1083" s="1"/>
      <c r="Y1083" s="1"/>
      <c r="Z1083" s="1"/>
      <c r="AA1083" s="1"/>
      <c r="AB1083" s="1"/>
      <c r="AC1083" s="1"/>
      <c r="AD1083" s="1"/>
      <c r="AE1083" s="1"/>
      <c r="AF1083" s="1"/>
      <c r="AG1083" s="1"/>
      <c r="AH1083" s="1"/>
    </row>
    <row r="1084" ht="12.75" hidden="1" customHeight="1" outlineLevel="1">
      <c r="A1084" s="17">
        <v>41197.0</v>
      </c>
      <c r="B1084" s="1"/>
      <c r="C1084" s="1" t="s">
        <v>429</v>
      </c>
      <c r="D1084" s="74"/>
      <c r="E1084" s="67"/>
      <c r="F1084" s="75"/>
      <c r="G1084" s="67"/>
      <c r="H1084" s="68"/>
      <c r="I1084" s="76"/>
      <c r="J1084" s="67"/>
      <c r="K1084" s="7" t="s">
        <v>679</v>
      </c>
      <c r="L1084" s="77"/>
      <c r="M1084" s="79"/>
      <c r="N1084" s="1"/>
      <c r="O1084" s="1"/>
      <c r="P1084" s="1"/>
      <c r="Q1084" s="1"/>
      <c r="R1084" s="1"/>
      <c r="S1084" s="1"/>
      <c r="T1084" s="1"/>
      <c r="U1084" s="1"/>
      <c r="V1084" s="1"/>
      <c r="W1084" s="1"/>
      <c r="X1084" s="1"/>
      <c r="Y1084" s="1"/>
      <c r="Z1084" s="1"/>
      <c r="AA1084" s="1"/>
      <c r="AB1084" s="1"/>
      <c r="AC1084" s="1"/>
      <c r="AD1084" s="1"/>
      <c r="AE1084" s="1"/>
      <c r="AF1084" s="1"/>
      <c r="AG1084" s="1"/>
      <c r="AH1084" s="1"/>
    </row>
    <row r="1085" ht="12.75" hidden="1" customHeight="1" outlineLevel="1">
      <c r="A1085" s="17">
        <v>41197.0</v>
      </c>
      <c r="B1085" s="1"/>
      <c r="C1085" s="1" t="s">
        <v>431</v>
      </c>
      <c r="D1085" s="74"/>
      <c r="E1085" s="67"/>
      <c r="F1085" s="75"/>
      <c r="G1085" s="67"/>
      <c r="H1085" s="68"/>
      <c r="I1085" s="76"/>
      <c r="J1085" s="67"/>
      <c r="K1085" s="7" t="s">
        <v>669</v>
      </c>
      <c r="L1085" s="77"/>
      <c r="M1085" s="79"/>
      <c r="N1085" s="1"/>
      <c r="O1085" s="1"/>
      <c r="P1085" s="1"/>
      <c r="Q1085" s="1"/>
      <c r="R1085" s="1"/>
      <c r="S1085" s="1"/>
      <c r="T1085" s="1"/>
      <c r="U1085" s="1"/>
      <c r="V1085" s="1"/>
      <c r="W1085" s="1"/>
      <c r="X1085" s="1"/>
      <c r="Y1085" s="1"/>
      <c r="Z1085" s="1"/>
      <c r="AA1085" s="1"/>
      <c r="AB1085" s="1"/>
      <c r="AC1085" s="1"/>
      <c r="AD1085" s="1"/>
      <c r="AE1085" s="1"/>
      <c r="AF1085" s="1"/>
      <c r="AG1085" s="1"/>
      <c r="AH1085" s="1"/>
    </row>
    <row r="1086" ht="12.75" hidden="1" customHeight="1" outlineLevel="1">
      <c r="A1086" s="17">
        <v>41197.0</v>
      </c>
      <c r="B1086" s="1"/>
      <c r="C1086" s="1" t="s">
        <v>433</v>
      </c>
      <c r="D1086" s="74"/>
      <c r="E1086" s="67"/>
      <c r="F1086" s="75"/>
      <c r="G1086" s="67"/>
      <c r="H1086" s="68"/>
      <c r="I1086" s="76"/>
      <c r="J1086" s="67"/>
      <c r="K1086" s="1" t="s">
        <v>434</v>
      </c>
      <c r="L1086" s="77"/>
      <c r="M1086" s="79"/>
      <c r="N1086" s="1"/>
      <c r="O1086" s="1"/>
      <c r="P1086" s="1"/>
      <c r="Q1086" s="1"/>
      <c r="R1086" s="1"/>
      <c r="S1086" s="1"/>
      <c r="T1086" s="1"/>
      <c r="U1086" s="1"/>
      <c r="V1086" s="1"/>
      <c r="W1086" s="1"/>
      <c r="X1086" s="1"/>
      <c r="Y1086" s="1"/>
      <c r="Z1086" s="1"/>
      <c r="AA1086" s="1"/>
      <c r="AB1086" s="1"/>
      <c r="AC1086" s="1"/>
      <c r="AD1086" s="1"/>
      <c r="AE1086" s="1"/>
      <c r="AF1086" s="1"/>
      <c r="AG1086" s="1"/>
      <c r="AH1086" s="1"/>
    </row>
    <row r="1087" ht="12.75" hidden="1" customHeight="1" outlineLevel="1">
      <c r="A1087" s="17">
        <v>41197.0</v>
      </c>
      <c r="B1087" s="1"/>
      <c r="C1087" s="1" t="s">
        <v>435</v>
      </c>
      <c r="D1087" s="74"/>
      <c r="E1087" s="67"/>
      <c r="F1087" s="75"/>
      <c r="G1087" s="67"/>
      <c r="H1087" s="68"/>
      <c r="I1087" s="76"/>
      <c r="J1087" s="67"/>
      <c r="K1087" s="7" t="s">
        <v>697</v>
      </c>
      <c r="L1087" s="77"/>
      <c r="M1087" s="79"/>
      <c r="N1087" s="1"/>
      <c r="O1087" s="1"/>
      <c r="P1087" s="1"/>
      <c r="Q1087" s="1"/>
      <c r="R1087" s="1"/>
      <c r="S1087" s="1"/>
      <c r="T1087" s="1"/>
      <c r="U1087" s="1"/>
      <c r="V1087" s="1"/>
      <c r="W1087" s="1"/>
      <c r="X1087" s="1"/>
      <c r="Y1087" s="1"/>
      <c r="Z1087" s="1"/>
      <c r="AA1087" s="1"/>
      <c r="AB1087" s="1"/>
      <c r="AC1087" s="1"/>
      <c r="AD1087" s="1"/>
      <c r="AE1087" s="1"/>
      <c r="AF1087" s="1"/>
      <c r="AG1087" s="1"/>
      <c r="AH1087" s="1"/>
    </row>
    <row r="1088" ht="12.75" hidden="1" customHeight="1" outlineLevel="1">
      <c r="A1088" s="17">
        <v>41198.0</v>
      </c>
      <c r="B1088" s="1" t="s">
        <v>343</v>
      </c>
      <c r="C1088" s="1" t="s">
        <v>441</v>
      </c>
      <c r="D1088" s="74">
        <v>800.0</v>
      </c>
      <c r="E1088" s="67">
        <v>8.64</v>
      </c>
      <c r="F1088" s="75">
        <v>0.3975462962962963</v>
      </c>
      <c r="G1088" s="67" t="s">
        <v>453</v>
      </c>
      <c r="H1088" s="68">
        <v>4.0</v>
      </c>
      <c r="I1088" s="76"/>
      <c r="J1088" s="67">
        <f t="shared" ref="J1088:J1100" si="80">IF(B1088="SLD",D1088*E1088,-D1088*E1088)-H1088</f>
        <v>-6916</v>
      </c>
      <c r="K1088" s="7"/>
      <c r="L1088" s="70"/>
      <c r="M1088" s="79"/>
      <c r="N1088" s="1"/>
      <c r="O1088" s="1"/>
      <c r="P1088" s="1"/>
      <c r="Q1088" s="1"/>
      <c r="R1088" s="1"/>
      <c r="S1088" s="1"/>
      <c r="T1088" s="1"/>
      <c r="U1088" s="1"/>
      <c r="V1088" s="1"/>
      <c r="W1088" s="1"/>
      <c r="X1088" s="1"/>
      <c r="Y1088" s="1"/>
      <c r="Z1088" s="1"/>
      <c r="AA1088" s="1"/>
      <c r="AB1088" s="1"/>
      <c r="AC1088" s="1"/>
      <c r="AD1088" s="1"/>
      <c r="AE1088" s="1"/>
      <c r="AF1088" s="1"/>
      <c r="AG1088" s="1"/>
      <c r="AH1088" s="1"/>
    </row>
    <row r="1089" ht="12.75" hidden="1" customHeight="1" outlineLevel="1">
      <c r="A1089" s="17">
        <v>41198.0</v>
      </c>
      <c r="B1089" s="1" t="s">
        <v>343</v>
      </c>
      <c r="C1089" s="1" t="s">
        <v>369</v>
      </c>
      <c r="D1089" s="74">
        <v>125.0</v>
      </c>
      <c r="E1089" s="67">
        <v>42.17</v>
      </c>
      <c r="F1089" s="75">
        <v>0.39842592592592596</v>
      </c>
      <c r="G1089" s="67" t="s">
        <v>453</v>
      </c>
      <c r="H1089" s="68">
        <v>1.0</v>
      </c>
      <c r="I1089" s="76"/>
      <c r="J1089" s="67">
        <f t="shared" si="80"/>
        <v>-5272.25</v>
      </c>
      <c r="K1089" s="7"/>
      <c r="L1089" s="70"/>
      <c r="M1089" s="79"/>
      <c r="N1089" s="1"/>
      <c r="O1089" s="1"/>
      <c r="P1089" s="1"/>
      <c r="Q1089" s="1"/>
      <c r="R1089" s="1"/>
      <c r="S1089" s="1"/>
      <c r="T1089" s="1"/>
      <c r="U1089" s="1"/>
      <c r="V1089" s="1"/>
      <c r="W1089" s="1"/>
      <c r="X1089" s="1"/>
      <c r="Y1089" s="1"/>
      <c r="Z1089" s="1"/>
      <c r="AA1089" s="1"/>
      <c r="AB1089" s="1"/>
      <c r="AC1089" s="1"/>
      <c r="AD1089" s="1"/>
      <c r="AE1089" s="1"/>
      <c r="AF1089" s="1"/>
      <c r="AG1089" s="1"/>
      <c r="AH1089" s="1"/>
    </row>
    <row r="1090" ht="12.75" hidden="1" customHeight="1" outlineLevel="1">
      <c r="A1090" s="17">
        <v>41198.0</v>
      </c>
      <c r="B1090" s="1" t="s">
        <v>343</v>
      </c>
      <c r="C1090" s="1" t="s">
        <v>387</v>
      </c>
      <c r="D1090" s="74">
        <v>150.0</v>
      </c>
      <c r="E1090" s="67">
        <v>79.76</v>
      </c>
      <c r="F1090" s="75">
        <v>0.40010416666666665</v>
      </c>
      <c r="G1090" s="67" t="s">
        <v>453</v>
      </c>
      <c r="H1090" s="68">
        <v>1.0</v>
      </c>
      <c r="I1090" s="76"/>
      <c r="J1090" s="67">
        <f t="shared" si="80"/>
        <v>-11965</v>
      </c>
      <c r="K1090" s="7"/>
      <c r="L1090" s="70"/>
      <c r="M1090" s="79"/>
      <c r="N1090" s="1"/>
      <c r="O1090" s="1"/>
      <c r="P1090" s="1"/>
      <c r="Q1090" s="1"/>
      <c r="R1090" s="1"/>
      <c r="S1090" s="1"/>
      <c r="T1090" s="1"/>
      <c r="U1090" s="1"/>
      <c r="V1090" s="1"/>
      <c r="W1090" s="1"/>
      <c r="X1090" s="1"/>
      <c r="Y1090" s="1"/>
      <c r="Z1090" s="1"/>
      <c r="AA1090" s="1"/>
      <c r="AB1090" s="1"/>
      <c r="AC1090" s="1"/>
      <c r="AD1090" s="1"/>
      <c r="AE1090" s="1"/>
      <c r="AF1090" s="1"/>
      <c r="AG1090" s="1"/>
      <c r="AH1090" s="1"/>
    </row>
    <row r="1091" ht="12.75" hidden="1" customHeight="1" outlineLevel="1">
      <c r="A1091" s="17">
        <v>41198.0</v>
      </c>
      <c r="B1091" s="1" t="s">
        <v>343</v>
      </c>
      <c r="C1091" s="1" t="s">
        <v>605</v>
      </c>
      <c r="D1091" s="74">
        <v>250.0</v>
      </c>
      <c r="E1091" s="67">
        <v>44.9</v>
      </c>
      <c r="F1091" s="75">
        <v>0.4004976851851852</v>
      </c>
      <c r="G1091" s="67" t="s">
        <v>453</v>
      </c>
      <c r="H1091" s="68">
        <v>1.25</v>
      </c>
      <c r="I1091" s="76"/>
      <c r="J1091" s="67">
        <f t="shared" si="80"/>
        <v>-11226.25</v>
      </c>
      <c r="K1091" s="7"/>
      <c r="L1091" s="70"/>
      <c r="M1091" s="79"/>
      <c r="N1091" s="1"/>
      <c r="O1091" s="1"/>
      <c r="P1091" s="1"/>
      <c r="Q1091" s="1"/>
      <c r="R1091" s="1"/>
      <c r="S1091" s="1"/>
      <c r="T1091" s="1"/>
      <c r="U1091" s="1"/>
      <c r="V1091" s="1"/>
      <c r="W1091" s="1"/>
      <c r="X1091" s="1"/>
      <c r="Y1091" s="1"/>
      <c r="Z1091" s="1"/>
      <c r="AA1091" s="1"/>
      <c r="AB1091" s="1"/>
      <c r="AC1091" s="1"/>
      <c r="AD1091" s="1"/>
      <c r="AE1091" s="1"/>
      <c r="AF1091" s="1"/>
      <c r="AG1091" s="1"/>
      <c r="AH1091" s="1"/>
    </row>
    <row r="1092" ht="12.75" hidden="1" customHeight="1" outlineLevel="1">
      <c r="A1092" s="17">
        <v>41198.0</v>
      </c>
      <c r="B1092" s="1" t="s">
        <v>343</v>
      </c>
      <c r="C1092" s="1" t="s">
        <v>346</v>
      </c>
      <c r="D1092" s="74">
        <v>20.0</v>
      </c>
      <c r="E1092" s="67">
        <v>633.65</v>
      </c>
      <c r="F1092" s="75">
        <v>0.40086805555555555</v>
      </c>
      <c r="G1092" s="67" t="s">
        <v>453</v>
      </c>
      <c r="H1092" s="68">
        <v>1.0</v>
      </c>
      <c r="I1092" s="76"/>
      <c r="J1092" s="67">
        <f t="shared" si="80"/>
        <v>-12674</v>
      </c>
      <c r="K1092" s="7"/>
      <c r="L1092" s="70"/>
      <c r="M1092" s="79"/>
      <c r="N1092" s="1"/>
      <c r="O1092" s="1"/>
      <c r="P1092" s="1"/>
      <c r="Q1092" s="1"/>
      <c r="R1092" s="1"/>
      <c r="S1092" s="1"/>
      <c r="T1092" s="1"/>
      <c r="U1092" s="1"/>
      <c r="V1092" s="1"/>
      <c r="W1092" s="1"/>
      <c r="X1092" s="1"/>
      <c r="Y1092" s="1"/>
      <c r="Z1092" s="1"/>
      <c r="AA1092" s="1"/>
      <c r="AB1092" s="1"/>
      <c r="AC1092" s="1"/>
      <c r="AD1092" s="1"/>
      <c r="AE1092" s="1"/>
      <c r="AF1092" s="1"/>
      <c r="AG1092" s="1"/>
      <c r="AH1092" s="1"/>
    </row>
    <row r="1093" ht="12.75" hidden="1" customHeight="1" outlineLevel="1">
      <c r="A1093" s="17">
        <v>41198.0</v>
      </c>
      <c r="B1093" s="1" t="s">
        <v>343</v>
      </c>
      <c r="C1093" s="1" t="s">
        <v>355</v>
      </c>
      <c r="D1093" s="74">
        <v>150.0</v>
      </c>
      <c r="E1093" s="67">
        <v>36.17</v>
      </c>
      <c r="F1093" s="75">
        <v>0.40168981481481486</v>
      </c>
      <c r="G1093" s="67" t="s">
        <v>453</v>
      </c>
      <c r="H1093" s="68">
        <v>1.0</v>
      </c>
      <c r="I1093" s="76"/>
      <c r="J1093" s="67">
        <f t="shared" si="80"/>
        <v>-5426.5</v>
      </c>
      <c r="K1093" s="7"/>
      <c r="L1093" s="70"/>
      <c r="M1093" s="79"/>
      <c r="N1093" s="1"/>
      <c r="O1093" s="1"/>
      <c r="P1093" s="1"/>
      <c r="Q1093" s="1"/>
      <c r="R1093" s="1"/>
      <c r="S1093" s="1"/>
      <c r="T1093" s="1"/>
      <c r="U1093" s="1"/>
      <c r="V1093" s="1"/>
      <c r="W1093" s="1"/>
      <c r="X1093" s="1"/>
      <c r="Y1093" s="1"/>
      <c r="Z1093" s="1"/>
      <c r="AA1093" s="1"/>
      <c r="AB1093" s="1"/>
      <c r="AC1093" s="1"/>
      <c r="AD1093" s="1"/>
      <c r="AE1093" s="1"/>
      <c r="AF1093" s="1"/>
      <c r="AG1093" s="1"/>
      <c r="AH1093" s="1"/>
    </row>
    <row r="1094" ht="12.75" hidden="1" customHeight="1" outlineLevel="1">
      <c r="A1094" s="17">
        <v>41198.0</v>
      </c>
      <c r="B1094" s="1" t="s">
        <v>343</v>
      </c>
      <c r="C1094" s="1" t="s">
        <v>371</v>
      </c>
      <c r="D1094" s="74">
        <v>125.0</v>
      </c>
      <c r="E1094" s="67">
        <v>22.198</v>
      </c>
      <c r="F1094" s="75">
        <v>0.4235879629629629</v>
      </c>
      <c r="G1094" s="67" t="s">
        <v>453</v>
      </c>
      <c r="H1094" s="68">
        <v>1.0</v>
      </c>
      <c r="I1094" s="76"/>
      <c r="J1094" s="67">
        <f t="shared" si="80"/>
        <v>-2775.75</v>
      </c>
      <c r="K1094" s="7"/>
      <c r="L1094" s="70"/>
      <c r="M1094" s="79"/>
      <c r="N1094" s="1"/>
      <c r="O1094" s="1"/>
      <c r="P1094" s="1"/>
      <c r="Q1094" s="1"/>
      <c r="R1094" s="1"/>
      <c r="S1094" s="1"/>
      <c r="T1094" s="1"/>
      <c r="U1094" s="1"/>
      <c r="V1094" s="1"/>
      <c r="W1094" s="1"/>
      <c r="X1094" s="1"/>
      <c r="Y1094" s="1"/>
      <c r="Z1094" s="1"/>
      <c r="AA1094" s="1"/>
      <c r="AB1094" s="1"/>
      <c r="AC1094" s="1"/>
      <c r="AD1094" s="1"/>
      <c r="AE1094" s="1"/>
      <c r="AF1094" s="1"/>
      <c r="AG1094" s="1"/>
      <c r="AH1094" s="1"/>
    </row>
    <row r="1095" ht="12.75" hidden="1" customHeight="1" outlineLevel="1">
      <c r="A1095" s="17">
        <v>41198.0</v>
      </c>
      <c r="B1095" s="1" t="s">
        <v>343</v>
      </c>
      <c r="C1095" s="1" t="s">
        <v>386</v>
      </c>
      <c r="D1095" s="74">
        <v>150.0</v>
      </c>
      <c r="E1095" s="67">
        <v>22.1</v>
      </c>
      <c r="F1095" s="75">
        <v>0.4240162037037037</v>
      </c>
      <c r="G1095" s="67" t="s">
        <v>453</v>
      </c>
      <c r="H1095" s="68">
        <v>1.0</v>
      </c>
      <c r="I1095" s="76"/>
      <c r="J1095" s="67">
        <f t="shared" si="80"/>
        <v>-3316</v>
      </c>
      <c r="K1095" s="7"/>
      <c r="L1095" s="70"/>
      <c r="M1095" s="79"/>
      <c r="N1095" s="1"/>
      <c r="O1095" s="1"/>
      <c r="P1095" s="1"/>
      <c r="Q1095" s="1"/>
      <c r="R1095" s="1"/>
      <c r="S1095" s="1"/>
      <c r="T1095" s="1"/>
      <c r="U1095" s="1"/>
      <c r="V1095" s="1"/>
      <c r="W1095" s="1"/>
      <c r="X1095" s="1"/>
      <c r="Y1095" s="1"/>
      <c r="Z1095" s="1"/>
      <c r="AA1095" s="1"/>
      <c r="AB1095" s="1"/>
      <c r="AC1095" s="1"/>
      <c r="AD1095" s="1"/>
      <c r="AE1095" s="1"/>
      <c r="AF1095" s="1"/>
      <c r="AG1095" s="1"/>
      <c r="AH1095" s="1"/>
    </row>
    <row r="1096" ht="12.75" hidden="1" customHeight="1" outlineLevel="1">
      <c r="A1096" s="17">
        <v>41198.0</v>
      </c>
      <c r="B1096" s="1" t="s">
        <v>343</v>
      </c>
      <c r="C1096" s="1" t="s">
        <v>344</v>
      </c>
      <c r="D1096" s="74">
        <v>200.0</v>
      </c>
      <c r="E1096" s="67">
        <v>36.88</v>
      </c>
      <c r="F1096" s="75">
        <v>0.4895717592592593</v>
      </c>
      <c r="G1096" s="67" t="s">
        <v>453</v>
      </c>
      <c r="H1096" s="68">
        <v>1.0</v>
      </c>
      <c r="I1096" s="76"/>
      <c r="J1096" s="67">
        <f t="shared" si="80"/>
        <v>-7377</v>
      </c>
      <c r="K1096" s="7" t="s">
        <v>726</v>
      </c>
      <c r="L1096" s="70"/>
      <c r="M1096" s="79"/>
      <c r="N1096" s="1"/>
      <c r="O1096" s="1"/>
      <c r="P1096" s="1"/>
      <c r="Q1096" s="1"/>
      <c r="R1096" s="1"/>
      <c r="S1096" s="1"/>
      <c r="T1096" s="1"/>
      <c r="U1096" s="1"/>
      <c r="V1096" s="1"/>
      <c r="W1096" s="1"/>
      <c r="X1096" s="1"/>
      <c r="Y1096" s="1"/>
      <c r="Z1096" s="1"/>
      <c r="AA1096" s="1"/>
      <c r="AB1096" s="1"/>
      <c r="AC1096" s="1"/>
      <c r="AD1096" s="1"/>
      <c r="AE1096" s="1"/>
      <c r="AF1096" s="1"/>
      <c r="AG1096" s="1"/>
      <c r="AH1096" s="1"/>
    </row>
    <row r="1097" ht="12.75" hidden="1" customHeight="1" outlineLevel="1">
      <c r="A1097" s="17">
        <v>41198.0</v>
      </c>
      <c r="B1097" s="1" t="s">
        <v>343</v>
      </c>
      <c r="C1097" s="1" t="s">
        <v>346</v>
      </c>
      <c r="D1097" s="74">
        <v>20.0</v>
      </c>
      <c r="E1097" s="67">
        <v>649.17</v>
      </c>
      <c r="F1097" s="75">
        <v>0.5355208333333333</v>
      </c>
      <c r="G1097" s="67" t="s">
        <v>453</v>
      </c>
      <c r="H1097" s="68">
        <v>1.0</v>
      </c>
      <c r="I1097" s="76"/>
      <c r="J1097" s="67">
        <f t="shared" si="80"/>
        <v>-12984.4</v>
      </c>
      <c r="K1097" s="7"/>
      <c r="L1097" s="70"/>
      <c r="M1097" s="79"/>
      <c r="N1097" s="1"/>
      <c r="O1097" s="1"/>
      <c r="P1097" s="1"/>
      <c r="Q1097" s="1"/>
      <c r="R1097" s="1"/>
      <c r="S1097" s="1"/>
      <c r="T1097" s="1"/>
      <c r="U1097" s="1"/>
      <c r="V1097" s="1"/>
      <c r="W1097" s="1"/>
      <c r="X1097" s="1"/>
      <c r="Y1097" s="1"/>
      <c r="Z1097" s="1"/>
      <c r="AA1097" s="1"/>
      <c r="AB1097" s="1"/>
      <c r="AC1097" s="1"/>
      <c r="AD1097" s="1"/>
      <c r="AE1097" s="1"/>
      <c r="AF1097" s="1"/>
      <c r="AG1097" s="1"/>
      <c r="AH1097" s="1"/>
    </row>
    <row r="1098" ht="12.75" hidden="1" customHeight="1" outlineLevel="1">
      <c r="A1098" s="17">
        <v>41198.0</v>
      </c>
      <c r="B1098" s="1" t="s">
        <v>347</v>
      </c>
      <c r="C1098" s="1" t="s">
        <v>344</v>
      </c>
      <c r="D1098" s="74">
        <v>200.0</v>
      </c>
      <c r="E1098" s="67">
        <v>36.65</v>
      </c>
      <c r="F1098" s="75">
        <v>0.6112962962962963</v>
      </c>
      <c r="G1098" s="67" t="s">
        <v>453</v>
      </c>
      <c r="H1098" s="68">
        <v>1.0</v>
      </c>
      <c r="I1098" s="76"/>
      <c r="J1098" s="67">
        <f t="shared" si="80"/>
        <v>7329</v>
      </c>
      <c r="K1098" s="7"/>
      <c r="L1098" s="70"/>
      <c r="M1098" s="79"/>
      <c r="N1098" s="1"/>
      <c r="O1098" s="1"/>
      <c r="P1098" s="1"/>
      <c r="Q1098" s="1"/>
      <c r="R1098" s="1"/>
      <c r="S1098" s="1"/>
      <c r="T1098" s="1"/>
      <c r="U1098" s="1"/>
      <c r="V1098" s="1"/>
      <c r="W1098" s="1"/>
      <c r="X1098" s="1"/>
      <c r="Y1098" s="1"/>
      <c r="Z1098" s="1"/>
      <c r="AA1098" s="1"/>
      <c r="AB1098" s="1"/>
      <c r="AC1098" s="1"/>
      <c r="AD1098" s="1"/>
      <c r="AE1098" s="1"/>
      <c r="AF1098" s="1"/>
      <c r="AG1098" s="1"/>
      <c r="AH1098" s="1"/>
    </row>
    <row r="1099" ht="12.75" hidden="1" customHeight="1" outlineLevel="1">
      <c r="A1099" s="17">
        <v>41198.0</v>
      </c>
      <c r="B1099" s="1" t="s">
        <v>347</v>
      </c>
      <c r="C1099" s="1" t="s">
        <v>344</v>
      </c>
      <c r="D1099" s="74">
        <v>600.0</v>
      </c>
      <c r="E1099" s="67">
        <v>36.32</v>
      </c>
      <c r="F1099" s="75">
        <v>0.6444212962962963</v>
      </c>
      <c r="G1099" s="67" t="s">
        <v>453</v>
      </c>
      <c r="H1099" s="68">
        <v>3.0</v>
      </c>
      <c r="I1099" s="76"/>
      <c r="J1099" s="67">
        <f t="shared" si="80"/>
        <v>21789</v>
      </c>
      <c r="K1099" s="7"/>
      <c r="L1099" s="70"/>
      <c r="M1099" s="79"/>
      <c r="N1099" s="1"/>
      <c r="O1099" s="1"/>
      <c r="P1099" s="1"/>
      <c r="Q1099" s="1"/>
      <c r="R1099" s="1"/>
      <c r="S1099" s="1"/>
      <c r="T1099" s="1"/>
      <c r="U1099" s="1"/>
      <c r="V1099" s="1"/>
      <c r="W1099" s="1"/>
      <c r="X1099" s="1"/>
      <c r="Y1099" s="1"/>
      <c r="Z1099" s="1"/>
      <c r="AA1099" s="1"/>
      <c r="AB1099" s="1"/>
      <c r="AC1099" s="1"/>
      <c r="AD1099" s="1"/>
      <c r="AE1099" s="1"/>
      <c r="AF1099" s="1"/>
      <c r="AG1099" s="1"/>
      <c r="AH1099" s="1"/>
    </row>
    <row r="1100" ht="12.75" hidden="1" customHeight="1" outlineLevel="1">
      <c r="A1100" s="17">
        <v>41198.0</v>
      </c>
      <c r="B1100" s="1" t="s">
        <v>343</v>
      </c>
      <c r="C1100" s="1">
        <v>2233.0</v>
      </c>
      <c r="D1100" s="74">
        <v>16000.0</v>
      </c>
      <c r="E1100" s="67">
        <f>1.34/7.75465</f>
        <v>0.1727995461</v>
      </c>
      <c r="F1100" s="75">
        <v>0.9183796296296296</v>
      </c>
      <c r="G1100" s="67" t="s">
        <v>651</v>
      </c>
      <c r="H1100" s="68">
        <v>18.0</v>
      </c>
      <c r="I1100" s="76"/>
      <c r="J1100" s="67">
        <f t="shared" si="80"/>
        <v>-2782.792737</v>
      </c>
      <c r="K1100" s="7"/>
      <c r="L1100" s="70"/>
      <c r="M1100" s="79"/>
      <c r="N1100" s="1"/>
      <c r="O1100" s="1"/>
      <c r="P1100" s="1"/>
      <c r="Q1100" s="1"/>
      <c r="R1100" s="1"/>
      <c r="S1100" s="1"/>
      <c r="T1100" s="1"/>
      <c r="U1100" s="1"/>
      <c r="V1100" s="1"/>
      <c r="W1100" s="1"/>
      <c r="X1100" s="1"/>
      <c r="Y1100" s="1"/>
      <c r="Z1100" s="1"/>
      <c r="AA1100" s="1"/>
      <c r="AB1100" s="1"/>
      <c r="AC1100" s="1"/>
      <c r="AD1100" s="1"/>
      <c r="AE1100" s="1"/>
      <c r="AF1100" s="1"/>
      <c r="AG1100" s="1"/>
      <c r="AH1100" s="1"/>
    </row>
    <row r="1101" ht="12.75" hidden="1" customHeight="1" outlineLevel="1">
      <c r="A1101" s="17">
        <v>41198.0</v>
      </c>
      <c r="B1101" s="1"/>
      <c r="C1101" s="1" t="s">
        <v>339</v>
      </c>
      <c r="D1101" s="74"/>
      <c r="E1101" s="67"/>
      <c r="F1101" s="75"/>
      <c r="G1101" s="67"/>
      <c r="H1101" s="68"/>
      <c r="I1101" s="76"/>
      <c r="J1101" s="67"/>
      <c r="K1101" s="7" t="s">
        <v>728</v>
      </c>
      <c r="L1101" s="77"/>
      <c r="M1101" s="79"/>
      <c r="N1101" s="1"/>
      <c r="O1101" s="1"/>
      <c r="P1101" s="1"/>
      <c r="Q1101" s="1"/>
      <c r="R1101" s="1"/>
      <c r="S1101" s="1"/>
      <c r="T1101" s="1"/>
      <c r="U1101" s="1"/>
      <c r="V1101" s="1"/>
      <c r="W1101" s="1"/>
      <c r="X1101" s="1"/>
      <c r="Y1101" s="1"/>
      <c r="Z1101" s="1"/>
      <c r="AA1101" s="1"/>
      <c r="AB1101" s="1"/>
      <c r="AC1101" s="1"/>
      <c r="AD1101" s="1"/>
      <c r="AE1101" s="1"/>
      <c r="AF1101" s="1"/>
      <c r="AG1101" s="1"/>
      <c r="AH1101" s="1"/>
    </row>
    <row r="1102" ht="12.75" hidden="1" customHeight="1" outlineLevel="1">
      <c r="A1102" s="17">
        <v>41198.0</v>
      </c>
      <c r="B1102" s="1"/>
      <c r="C1102" s="1" t="s">
        <v>429</v>
      </c>
      <c r="D1102" s="74"/>
      <c r="E1102" s="67"/>
      <c r="F1102" s="75"/>
      <c r="G1102" s="67"/>
      <c r="H1102" s="68"/>
      <c r="I1102" s="76"/>
      <c r="J1102" s="67"/>
      <c r="K1102" s="7" t="s">
        <v>679</v>
      </c>
      <c r="L1102" s="77"/>
      <c r="M1102" s="79"/>
      <c r="N1102" s="1"/>
      <c r="O1102" s="1"/>
      <c r="P1102" s="1"/>
      <c r="Q1102" s="1"/>
      <c r="R1102" s="1"/>
      <c r="S1102" s="1"/>
      <c r="T1102" s="1"/>
      <c r="U1102" s="1"/>
      <c r="V1102" s="1"/>
      <c r="W1102" s="1"/>
      <c r="X1102" s="1"/>
      <c r="Y1102" s="1"/>
      <c r="Z1102" s="1"/>
      <c r="AA1102" s="1"/>
      <c r="AB1102" s="1"/>
      <c r="AC1102" s="1"/>
      <c r="AD1102" s="1"/>
      <c r="AE1102" s="1"/>
      <c r="AF1102" s="1"/>
      <c r="AG1102" s="1"/>
      <c r="AH1102" s="1"/>
    </row>
    <row r="1103" ht="12.75" hidden="1" customHeight="1" outlineLevel="1">
      <c r="A1103" s="17">
        <v>41198.0</v>
      </c>
      <c r="B1103" s="1"/>
      <c r="C1103" s="1" t="s">
        <v>431</v>
      </c>
      <c r="D1103" s="74"/>
      <c r="E1103" s="67"/>
      <c r="F1103" s="75"/>
      <c r="G1103" s="67"/>
      <c r="H1103" s="68"/>
      <c r="I1103" s="76"/>
      <c r="J1103" s="67"/>
      <c r="K1103" s="7" t="s">
        <v>669</v>
      </c>
      <c r="L1103" s="77"/>
      <c r="M1103" s="79"/>
      <c r="N1103" s="1"/>
      <c r="O1103" s="1"/>
      <c r="P1103" s="1"/>
      <c r="Q1103" s="1"/>
      <c r="R1103" s="1"/>
      <c r="S1103" s="1"/>
      <c r="T1103" s="1"/>
      <c r="U1103" s="1"/>
      <c r="V1103" s="1"/>
      <c r="W1103" s="1"/>
      <c r="X1103" s="1"/>
      <c r="Y1103" s="1"/>
      <c r="Z1103" s="1"/>
      <c r="AA1103" s="1"/>
      <c r="AB1103" s="1"/>
      <c r="AC1103" s="1"/>
      <c r="AD1103" s="1"/>
      <c r="AE1103" s="1"/>
      <c r="AF1103" s="1"/>
      <c r="AG1103" s="1"/>
      <c r="AH1103" s="1"/>
    </row>
    <row r="1104" ht="12.75" hidden="1" customHeight="1" outlineLevel="1">
      <c r="A1104" s="17">
        <v>41198.0</v>
      </c>
      <c r="B1104" s="1"/>
      <c r="C1104" s="1" t="s">
        <v>433</v>
      </c>
      <c r="D1104" s="74"/>
      <c r="E1104" s="67"/>
      <c r="F1104" s="75"/>
      <c r="G1104" s="67"/>
      <c r="H1104" s="68"/>
      <c r="I1104" s="76"/>
      <c r="J1104" s="67"/>
      <c r="K1104" s="1" t="s">
        <v>434</v>
      </c>
      <c r="L1104" s="77"/>
      <c r="M1104" s="79"/>
      <c r="N1104" s="1"/>
      <c r="O1104" s="1"/>
      <c r="P1104" s="1"/>
      <c r="Q1104" s="1"/>
      <c r="R1104" s="1"/>
      <c r="S1104" s="1"/>
      <c r="T1104" s="1"/>
      <c r="U1104" s="1"/>
      <c r="V1104" s="1"/>
      <c r="W1104" s="1"/>
      <c r="X1104" s="1"/>
      <c r="Y1104" s="1"/>
      <c r="Z1104" s="1"/>
      <c r="AA1104" s="1"/>
      <c r="AB1104" s="1"/>
      <c r="AC1104" s="1"/>
      <c r="AD1104" s="1"/>
      <c r="AE1104" s="1"/>
      <c r="AF1104" s="1"/>
      <c r="AG1104" s="1"/>
      <c r="AH1104" s="1"/>
    </row>
    <row r="1105" ht="12.75" hidden="1" customHeight="1" outlineLevel="1">
      <c r="A1105" s="17">
        <v>41198.0</v>
      </c>
      <c r="B1105" s="1"/>
      <c r="C1105" s="1" t="s">
        <v>435</v>
      </c>
      <c r="D1105" s="74"/>
      <c r="E1105" s="67"/>
      <c r="F1105" s="75"/>
      <c r="G1105" s="67"/>
      <c r="H1105" s="68"/>
      <c r="I1105" s="76"/>
      <c r="J1105" s="67"/>
      <c r="K1105" s="7" t="s">
        <v>697</v>
      </c>
      <c r="L1105" s="77"/>
      <c r="M1105" s="79"/>
      <c r="N1105" s="1"/>
      <c r="O1105" s="1"/>
      <c r="P1105" s="1"/>
      <c r="Q1105" s="1"/>
      <c r="R1105" s="1"/>
      <c r="S1105" s="1"/>
      <c r="T1105" s="1"/>
      <c r="U1105" s="1"/>
      <c r="V1105" s="1"/>
      <c r="W1105" s="1"/>
      <c r="X1105" s="1"/>
      <c r="Y1105" s="1"/>
      <c r="Z1105" s="1"/>
      <c r="AA1105" s="1"/>
      <c r="AB1105" s="1"/>
      <c r="AC1105" s="1"/>
      <c r="AD1105" s="1"/>
      <c r="AE1105" s="1"/>
      <c r="AF1105" s="1"/>
      <c r="AG1105" s="1"/>
      <c r="AH1105" s="1"/>
    </row>
    <row r="1106" ht="12.75" hidden="1" customHeight="1" outlineLevel="1">
      <c r="A1106" s="17">
        <v>41199.0</v>
      </c>
      <c r="B1106" s="1" t="s">
        <v>343</v>
      </c>
      <c r="C1106" s="1" t="s">
        <v>344</v>
      </c>
      <c r="D1106" s="74">
        <v>600.0</v>
      </c>
      <c r="E1106" s="67">
        <v>36.62</v>
      </c>
      <c r="F1106" s="75">
        <v>0.3985185185185185</v>
      </c>
      <c r="G1106" s="67" t="s">
        <v>453</v>
      </c>
      <c r="H1106" s="68">
        <v>3.0</v>
      </c>
      <c r="I1106" s="76"/>
      <c r="J1106" s="67">
        <f t="shared" ref="J1106:J1115" si="81">IF(B1106="SLD",D1106*E1106,-D1106*E1106)-H1106</f>
        <v>-21975</v>
      </c>
      <c r="K1106" s="7"/>
      <c r="L1106" s="70"/>
      <c r="M1106" s="79"/>
      <c r="N1106" s="1"/>
      <c r="O1106" s="1"/>
      <c r="P1106" s="1"/>
      <c r="Q1106" s="1"/>
      <c r="R1106" s="1"/>
      <c r="S1106" s="1"/>
      <c r="T1106" s="1"/>
      <c r="U1106" s="1"/>
      <c r="V1106" s="1"/>
      <c r="W1106" s="1"/>
      <c r="X1106" s="1"/>
      <c r="Y1106" s="1"/>
      <c r="Z1106" s="1"/>
      <c r="AA1106" s="1"/>
      <c r="AB1106" s="1"/>
      <c r="AC1106" s="1"/>
      <c r="AD1106" s="1"/>
      <c r="AE1106" s="1"/>
      <c r="AF1106" s="1"/>
      <c r="AG1106" s="1"/>
      <c r="AH1106" s="1"/>
    </row>
    <row r="1107" ht="12.75" hidden="1" customHeight="1" outlineLevel="1">
      <c r="A1107" s="17">
        <v>41199.0</v>
      </c>
      <c r="B1107" s="1" t="s">
        <v>343</v>
      </c>
      <c r="C1107" s="1" t="s">
        <v>344</v>
      </c>
      <c r="D1107" s="74">
        <v>400.0</v>
      </c>
      <c r="E1107" s="67">
        <v>36.69</v>
      </c>
      <c r="F1107" s="75">
        <v>0.4014930555555556</v>
      </c>
      <c r="G1107" s="67" t="s">
        <v>453</v>
      </c>
      <c r="H1107" s="68">
        <v>1.6</v>
      </c>
      <c r="I1107" s="76"/>
      <c r="J1107" s="67">
        <f t="shared" si="81"/>
        <v>-14677.6</v>
      </c>
      <c r="K1107" s="7"/>
      <c r="L1107" s="70"/>
      <c r="M1107" s="79"/>
      <c r="N1107" s="1"/>
      <c r="O1107" s="1"/>
      <c r="P1107" s="1"/>
      <c r="Q1107" s="1"/>
      <c r="R1107" s="1"/>
      <c r="S1107" s="1"/>
      <c r="T1107" s="1"/>
      <c r="U1107" s="1"/>
      <c r="V1107" s="1"/>
      <c r="W1107" s="1"/>
      <c r="X1107" s="1"/>
      <c r="Y1107" s="1"/>
      <c r="Z1107" s="1"/>
      <c r="AA1107" s="1"/>
      <c r="AB1107" s="1"/>
      <c r="AC1107" s="1"/>
      <c r="AD1107" s="1"/>
      <c r="AE1107" s="1"/>
      <c r="AF1107" s="1"/>
      <c r="AG1107" s="1"/>
      <c r="AH1107" s="1"/>
    </row>
    <row r="1108" ht="12.75" hidden="1" customHeight="1" outlineLevel="1">
      <c r="A1108" s="17">
        <v>41199.0</v>
      </c>
      <c r="B1108" s="1" t="s">
        <v>343</v>
      </c>
      <c r="C1108" s="1" t="s">
        <v>344</v>
      </c>
      <c r="D1108" s="74">
        <v>400.0</v>
      </c>
      <c r="E1108" s="67">
        <v>36.57</v>
      </c>
      <c r="F1108" s="75">
        <v>0.40307870370370374</v>
      </c>
      <c r="G1108" s="67" t="s">
        <v>453</v>
      </c>
      <c r="H1108" s="68">
        <v>2.0</v>
      </c>
      <c r="I1108" s="76"/>
      <c r="J1108" s="67">
        <f t="shared" si="81"/>
        <v>-14630</v>
      </c>
      <c r="K1108" s="7"/>
      <c r="L1108" s="70"/>
      <c r="M1108" s="79"/>
      <c r="N1108" s="1"/>
      <c r="O1108" s="1"/>
      <c r="P1108" s="1"/>
      <c r="Q1108" s="1"/>
      <c r="R1108" s="1"/>
      <c r="S1108" s="1"/>
      <c r="T1108" s="1"/>
      <c r="U1108" s="1"/>
      <c r="V1108" s="1"/>
      <c r="W1108" s="1"/>
      <c r="X1108" s="1"/>
      <c r="Y1108" s="1"/>
      <c r="Z1108" s="1"/>
      <c r="AA1108" s="1"/>
      <c r="AB1108" s="1"/>
      <c r="AC1108" s="1"/>
      <c r="AD1108" s="1"/>
      <c r="AE1108" s="1"/>
      <c r="AF1108" s="1"/>
      <c r="AG1108" s="1"/>
      <c r="AH1108" s="1"/>
    </row>
    <row r="1109" ht="12.75" hidden="1" customHeight="1" outlineLevel="1">
      <c r="A1109" s="17">
        <v>41199.0</v>
      </c>
      <c r="B1109" s="1" t="s">
        <v>343</v>
      </c>
      <c r="C1109" s="1" t="s">
        <v>344</v>
      </c>
      <c r="D1109" s="74">
        <v>400.0</v>
      </c>
      <c r="E1109" s="67">
        <v>36.67</v>
      </c>
      <c r="F1109" s="75">
        <v>0.4077662037037037</v>
      </c>
      <c r="G1109" s="67" t="s">
        <v>453</v>
      </c>
      <c r="H1109" s="68">
        <v>2.0</v>
      </c>
      <c r="I1109" s="76"/>
      <c r="J1109" s="67">
        <f t="shared" si="81"/>
        <v>-14670</v>
      </c>
      <c r="K1109" s="7"/>
      <c r="L1109" s="70"/>
      <c r="M1109" s="79"/>
      <c r="N1109" s="1"/>
      <c r="O1109" s="1"/>
      <c r="P1109" s="1"/>
      <c r="Q1109" s="1"/>
      <c r="R1109" s="1"/>
      <c r="S1109" s="1"/>
      <c r="T1109" s="1"/>
      <c r="U1109" s="1"/>
      <c r="V1109" s="1"/>
      <c r="W1109" s="1"/>
      <c r="X1109" s="1"/>
      <c r="Y1109" s="1"/>
      <c r="Z1109" s="1"/>
      <c r="AA1109" s="1"/>
      <c r="AB1109" s="1"/>
      <c r="AC1109" s="1"/>
      <c r="AD1109" s="1"/>
      <c r="AE1109" s="1"/>
      <c r="AF1109" s="1"/>
      <c r="AG1109" s="1"/>
      <c r="AH1109" s="1"/>
    </row>
    <row r="1110" ht="12.75" hidden="1" customHeight="1" outlineLevel="1">
      <c r="A1110" s="17">
        <v>41199.0</v>
      </c>
      <c r="B1110" s="1" t="s">
        <v>347</v>
      </c>
      <c r="C1110" s="1" t="s">
        <v>344</v>
      </c>
      <c r="D1110" s="74">
        <v>400.0</v>
      </c>
      <c r="E1110" s="67">
        <v>36.67</v>
      </c>
      <c r="F1110" s="75">
        <v>0.4788888888888889</v>
      </c>
      <c r="G1110" s="67" t="s">
        <v>453</v>
      </c>
      <c r="H1110" s="68">
        <v>2.0</v>
      </c>
      <c r="I1110" s="76"/>
      <c r="J1110" s="67">
        <f t="shared" si="81"/>
        <v>14666</v>
      </c>
      <c r="K1110" s="7"/>
      <c r="L1110" s="70"/>
      <c r="M1110" s="79"/>
      <c r="N1110" s="1"/>
      <c r="O1110" s="1"/>
      <c r="P1110" s="1"/>
      <c r="Q1110" s="1"/>
      <c r="R1110" s="1"/>
      <c r="S1110" s="1"/>
      <c r="T1110" s="1"/>
      <c r="U1110" s="1"/>
      <c r="V1110" s="1"/>
      <c r="W1110" s="1"/>
      <c r="X1110" s="1"/>
      <c r="Y1110" s="1"/>
      <c r="Z1110" s="1"/>
      <c r="AA1110" s="1"/>
      <c r="AB1110" s="1"/>
      <c r="AC1110" s="1"/>
      <c r="AD1110" s="1"/>
      <c r="AE1110" s="1"/>
      <c r="AF1110" s="1"/>
      <c r="AG1110" s="1"/>
      <c r="AH1110" s="1"/>
    </row>
    <row r="1111" ht="12.75" hidden="1" customHeight="1" outlineLevel="1">
      <c r="A1111" s="17">
        <v>41199.0</v>
      </c>
      <c r="B1111" s="1" t="s">
        <v>347</v>
      </c>
      <c r="C1111" s="1" t="s">
        <v>344</v>
      </c>
      <c r="D1111" s="74">
        <v>400.0</v>
      </c>
      <c r="E1111" s="67">
        <v>36.71</v>
      </c>
      <c r="F1111" s="75">
        <v>0.4802314814814815</v>
      </c>
      <c r="G1111" s="67" t="s">
        <v>453</v>
      </c>
      <c r="H1111" s="68">
        <v>2.0</v>
      </c>
      <c r="I1111" s="76"/>
      <c r="J1111" s="67">
        <f t="shared" si="81"/>
        <v>14682</v>
      </c>
      <c r="K1111" s="7"/>
      <c r="L1111" s="70"/>
      <c r="M1111" s="79"/>
      <c r="N1111" s="1"/>
      <c r="O1111" s="1"/>
      <c r="P1111" s="1"/>
      <c r="Q1111" s="1"/>
      <c r="R1111" s="1"/>
      <c r="S1111" s="1"/>
      <c r="T1111" s="1"/>
      <c r="U1111" s="1"/>
      <c r="V1111" s="1"/>
      <c r="W1111" s="1"/>
      <c r="X1111" s="1"/>
      <c r="Y1111" s="1"/>
      <c r="Z1111" s="1"/>
      <c r="AA1111" s="1"/>
      <c r="AB1111" s="1"/>
      <c r="AC1111" s="1"/>
      <c r="AD1111" s="1"/>
      <c r="AE1111" s="1"/>
      <c r="AF1111" s="1"/>
      <c r="AG1111" s="1"/>
      <c r="AH1111" s="1"/>
    </row>
    <row r="1112" ht="12.75" hidden="1" customHeight="1" outlineLevel="1">
      <c r="A1112" s="17">
        <v>41199.0</v>
      </c>
      <c r="B1112" s="1" t="s">
        <v>347</v>
      </c>
      <c r="C1112" s="1" t="s">
        <v>344</v>
      </c>
      <c r="D1112" s="74">
        <v>400.0</v>
      </c>
      <c r="E1112" s="67">
        <v>36.72</v>
      </c>
      <c r="F1112" s="75">
        <v>0.48054398148148153</v>
      </c>
      <c r="G1112" s="67" t="s">
        <v>453</v>
      </c>
      <c r="H1112" s="68">
        <v>2.0</v>
      </c>
      <c r="I1112" s="76"/>
      <c r="J1112" s="67">
        <f t="shared" si="81"/>
        <v>14686</v>
      </c>
      <c r="K1112" s="7"/>
      <c r="L1112" s="70"/>
      <c r="M1112" s="79"/>
      <c r="N1112" s="1"/>
      <c r="O1112" s="1"/>
      <c r="P1112" s="1"/>
      <c r="Q1112" s="1"/>
      <c r="R1112" s="1"/>
      <c r="S1112" s="1"/>
      <c r="T1112" s="1"/>
      <c r="U1112" s="1"/>
      <c r="V1112" s="1"/>
      <c r="W1112" s="1"/>
      <c r="X1112" s="1"/>
      <c r="Y1112" s="1"/>
      <c r="Z1112" s="1"/>
      <c r="AA1112" s="1"/>
      <c r="AB1112" s="1"/>
      <c r="AC1112" s="1"/>
      <c r="AD1112" s="1"/>
      <c r="AE1112" s="1"/>
      <c r="AF1112" s="1"/>
      <c r="AG1112" s="1"/>
      <c r="AH1112" s="1"/>
    </row>
    <row r="1113" ht="12.75" hidden="1" customHeight="1" outlineLevel="1">
      <c r="A1113" s="17">
        <v>41199.0</v>
      </c>
      <c r="B1113" s="1" t="s">
        <v>343</v>
      </c>
      <c r="C1113" s="1" t="s">
        <v>344</v>
      </c>
      <c r="D1113" s="74">
        <v>1800.0</v>
      </c>
      <c r="E1113" s="67">
        <v>36.96</v>
      </c>
      <c r="F1113" s="75">
        <v>0.523912037037037</v>
      </c>
      <c r="G1113" s="67" t="s">
        <v>453</v>
      </c>
      <c r="H1113" s="68">
        <v>8.8</v>
      </c>
      <c r="I1113" s="76"/>
      <c r="J1113" s="67">
        <f t="shared" si="81"/>
        <v>-66536.8</v>
      </c>
      <c r="K1113" s="7"/>
      <c r="L1113" s="70"/>
      <c r="M1113" s="79"/>
      <c r="N1113" s="1"/>
      <c r="O1113" s="1"/>
      <c r="P1113" s="1"/>
      <c r="Q1113" s="1"/>
      <c r="R1113" s="1"/>
      <c r="S1113" s="1"/>
      <c r="T1113" s="1"/>
      <c r="U1113" s="1"/>
      <c r="V1113" s="1"/>
      <c r="W1113" s="1"/>
      <c r="X1113" s="1"/>
      <c r="Y1113" s="1"/>
      <c r="Z1113" s="1"/>
      <c r="AA1113" s="1"/>
      <c r="AB1113" s="1"/>
      <c r="AC1113" s="1"/>
      <c r="AD1113" s="1"/>
      <c r="AE1113" s="1"/>
      <c r="AF1113" s="1"/>
      <c r="AG1113" s="1"/>
      <c r="AH1113" s="1"/>
    </row>
    <row r="1114" ht="12.75" hidden="1" customHeight="1" outlineLevel="1">
      <c r="A1114" s="17">
        <v>41199.0</v>
      </c>
      <c r="B1114" s="1" t="s">
        <v>343</v>
      </c>
      <c r="C1114" s="1" t="s">
        <v>346</v>
      </c>
      <c r="D1114" s="74">
        <v>20.0</v>
      </c>
      <c r="E1114" s="67">
        <v>648.27</v>
      </c>
      <c r="F1114" s="75">
        <v>0.5298263888888889</v>
      </c>
      <c r="G1114" s="67" t="s">
        <v>453</v>
      </c>
      <c r="H1114" s="68">
        <v>1.0</v>
      </c>
      <c r="I1114" s="76"/>
      <c r="J1114" s="67">
        <f t="shared" si="81"/>
        <v>-12966.4</v>
      </c>
      <c r="K1114" s="7"/>
      <c r="L1114" s="70"/>
      <c r="M1114" s="79"/>
      <c r="N1114" s="1"/>
      <c r="O1114" s="1"/>
      <c r="P1114" s="1"/>
      <c r="Q1114" s="1"/>
      <c r="R1114" s="1"/>
      <c r="S1114" s="1"/>
      <c r="T1114" s="1"/>
      <c r="U1114" s="1"/>
      <c r="V1114" s="1"/>
      <c r="W1114" s="1"/>
      <c r="X1114" s="1"/>
      <c r="Y1114" s="1"/>
      <c r="Z1114" s="1"/>
      <c r="AA1114" s="1"/>
      <c r="AB1114" s="1"/>
      <c r="AC1114" s="1"/>
      <c r="AD1114" s="1"/>
      <c r="AE1114" s="1"/>
      <c r="AF1114" s="1"/>
      <c r="AG1114" s="1"/>
      <c r="AH1114" s="1"/>
    </row>
    <row r="1115" ht="12.75" hidden="1" customHeight="1" outlineLevel="1">
      <c r="A1115" s="17">
        <v>41199.0</v>
      </c>
      <c r="B1115" s="1" t="s">
        <v>347</v>
      </c>
      <c r="C1115" s="1" t="s">
        <v>344</v>
      </c>
      <c r="D1115" s="74">
        <v>1800.0</v>
      </c>
      <c r="E1115" s="67">
        <v>36.84</v>
      </c>
      <c r="F1115" s="75">
        <v>0.5396875</v>
      </c>
      <c r="G1115" s="67" t="s">
        <v>453</v>
      </c>
      <c r="H1115" s="68">
        <v>9.0</v>
      </c>
      <c r="I1115" s="76"/>
      <c r="J1115" s="67">
        <f t="shared" si="81"/>
        <v>66303</v>
      </c>
      <c r="K1115" s="7"/>
      <c r="L1115" s="70"/>
      <c r="M1115" s="79"/>
      <c r="N1115" s="1"/>
      <c r="O1115" s="1"/>
      <c r="P1115" s="1"/>
      <c r="Q1115" s="1"/>
      <c r="R1115" s="1"/>
      <c r="S1115" s="1"/>
      <c r="T1115" s="1"/>
      <c r="U1115" s="1"/>
      <c r="V1115" s="1"/>
      <c r="W1115" s="1"/>
      <c r="X1115" s="1"/>
      <c r="Y1115" s="1"/>
      <c r="Z1115" s="1"/>
      <c r="AA1115" s="1"/>
      <c r="AB1115" s="1"/>
      <c r="AC1115" s="1"/>
      <c r="AD1115" s="1"/>
      <c r="AE1115" s="1"/>
      <c r="AF1115" s="1"/>
      <c r="AG1115" s="1"/>
      <c r="AH1115" s="1"/>
    </row>
    <row r="1116" ht="12.75" hidden="1" customHeight="1" outlineLevel="1">
      <c r="A1116" s="17">
        <v>41199.0</v>
      </c>
      <c r="B1116" s="1"/>
      <c r="C1116" s="1" t="s">
        <v>339</v>
      </c>
      <c r="D1116" s="74"/>
      <c r="E1116" s="67"/>
      <c r="F1116" s="75"/>
      <c r="G1116" s="67"/>
      <c r="H1116" s="68"/>
      <c r="I1116" s="76"/>
      <c r="J1116" s="67"/>
      <c r="K1116" s="7" t="s">
        <v>731</v>
      </c>
      <c r="L1116" s="77"/>
      <c r="M1116" s="79"/>
      <c r="N1116" s="1"/>
      <c r="O1116" s="1"/>
      <c r="P1116" s="1"/>
      <c r="Q1116" s="1"/>
      <c r="R1116" s="1"/>
      <c r="S1116" s="1"/>
      <c r="T1116" s="1"/>
      <c r="U1116" s="1"/>
      <c r="V1116" s="1"/>
      <c r="W1116" s="1"/>
      <c r="X1116" s="1"/>
      <c r="Y1116" s="1"/>
      <c r="Z1116" s="1"/>
      <c r="AA1116" s="1"/>
      <c r="AB1116" s="1"/>
      <c r="AC1116" s="1"/>
      <c r="AD1116" s="1"/>
      <c r="AE1116" s="1"/>
      <c r="AF1116" s="1"/>
      <c r="AG1116" s="1"/>
      <c r="AH1116" s="1"/>
    </row>
    <row r="1117" ht="12.75" hidden="1" customHeight="1" outlineLevel="1">
      <c r="A1117" s="17">
        <v>41199.0</v>
      </c>
      <c r="B1117" s="1"/>
      <c r="C1117" s="1" t="s">
        <v>429</v>
      </c>
      <c r="D1117" s="74"/>
      <c r="E1117" s="67"/>
      <c r="F1117" s="75"/>
      <c r="G1117" s="67"/>
      <c r="H1117" s="68"/>
      <c r="I1117" s="76"/>
      <c r="J1117" s="67"/>
      <c r="K1117" s="7" t="s">
        <v>679</v>
      </c>
      <c r="L1117" s="77"/>
      <c r="M1117" s="79"/>
      <c r="N1117" s="1"/>
      <c r="O1117" s="1"/>
      <c r="P1117" s="1"/>
      <c r="Q1117" s="1"/>
      <c r="R1117" s="1"/>
      <c r="S1117" s="1"/>
      <c r="T1117" s="1"/>
      <c r="U1117" s="1"/>
      <c r="V1117" s="1"/>
      <c r="W1117" s="1"/>
      <c r="X1117" s="1"/>
      <c r="Y1117" s="1"/>
      <c r="Z1117" s="1"/>
      <c r="AA1117" s="1"/>
      <c r="AB1117" s="1"/>
      <c r="AC1117" s="1"/>
      <c r="AD1117" s="1"/>
      <c r="AE1117" s="1"/>
      <c r="AF1117" s="1"/>
      <c r="AG1117" s="1"/>
      <c r="AH1117" s="1"/>
    </row>
    <row r="1118" ht="12.75" hidden="1" customHeight="1" outlineLevel="1">
      <c r="A1118" s="17">
        <v>41199.0</v>
      </c>
      <c r="B1118" s="1"/>
      <c r="C1118" s="1" t="s">
        <v>431</v>
      </c>
      <c r="D1118" s="74"/>
      <c r="E1118" s="67"/>
      <c r="F1118" s="75"/>
      <c r="G1118" s="67"/>
      <c r="H1118" s="68"/>
      <c r="I1118" s="76"/>
      <c r="J1118" s="67"/>
      <c r="K1118" s="7" t="s">
        <v>669</v>
      </c>
      <c r="L1118" s="77"/>
      <c r="M1118" s="79"/>
      <c r="N1118" s="1"/>
      <c r="O1118" s="1"/>
      <c r="P1118" s="1"/>
      <c r="Q1118" s="1"/>
      <c r="R1118" s="1"/>
      <c r="S1118" s="1"/>
      <c r="T1118" s="1"/>
      <c r="U1118" s="1"/>
      <c r="V1118" s="1"/>
      <c r="W1118" s="1"/>
      <c r="X1118" s="1"/>
      <c r="Y1118" s="1"/>
      <c r="Z1118" s="1"/>
      <c r="AA1118" s="1"/>
      <c r="AB1118" s="1"/>
      <c r="AC1118" s="1"/>
      <c r="AD1118" s="1"/>
      <c r="AE1118" s="1"/>
      <c r="AF1118" s="1"/>
      <c r="AG1118" s="1"/>
      <c r="AH1118" s="1"/>
    </row>
    <row r="1119" ht="12.75" hidden="1" customHeight="1" outlineLevel="1">
      <c r="A1119" s="17">
        <v>41199.0</v>
      </c>
      <c r="B1119" s="1"/>
      <c r="C1119" s="1" t="s">
        <v>433</v>
      </c>
      <c r="D1119" s="74"/>
      <c r="E1119" s="67"/>
      <c r="F1119" s="75"/>
      <c r="G1119" s="67"/>
      <c r="H1119" s="68"/>
      <c r="I1119" s="76"/>
      <c r="J1119" s="67"/>
      <c r="K1119" s="1" t="s">
        <v>434</v>
      </c>
      <c r="L1119" s="77"/>
      <c r="M1119" s="79"/>
      <c r="N1119" s="1"/>
      <c r="O1119" s="1"/>
      <c r="P1119" s="1"/>
      <c r="Q1119" s="1"/>
      <c r="R1119" s="1"/>
      <c r="S1119" s="1"/>
      <c r="T1119" s="1"/>
      <c r="U1119" s="1"/>
      <c r="V1119" s="1"/>
      <c r="W1119" s="1"/>
      <c r="X1119" s="1"/>
      <c r="Y1119" s="1"/>
      <c r="Z1119" s="1"/>
      <c r="AA1119" s="1"/>
      <c r="AB1119" s="1"/>
      <c r="AC1119" s="1"/>
      <c r="AD1119" s="1"/>
      <c r="AE1119" s="1"/>
      <c r="AF1119" s="1"/>
      <c r="AG1119" s="1"/>
      <c r="AH1119" s="1"/>
    </row>
    <row r="1120" ht="12.75" hidden="1" customHeight="1" outlineLevel="1">
      <c r="A1120" s="17">
        <v>41199.0</v>
      </c>
      <c r="B1120" s="1"/>
      <c r="C1120" s="1" t="s">
        <v>435</v>
      </c>
      <c r="D1120" s="74"/>
      <c r="E1120" s="67"/>
      <c r="F1120" s="75"/>
      <c r="G1120" s="67"/>
      <c r="H1120" s="68"/>
      <c r="I1120" s="76"/>
      <c r="J1120" s="67"/>
      <c r="K1120" s="7" t="s">
        <v>697</v>
      </c>
      <c r="L1120" s="77"/>
      <c r="M1120" s="79"/>
      <c r="N1120" s="1"/>
      <c r="O1120" s="1"/>
      <c r="P1120" s="1"/>
      <c r="Q1120" s="1"/>
      <c r="R1120" s="1"/>
      <c r="S1120" s="1"/>
      <c r="T1120" s="1"/>
      <c r="U1120" s="1"/>
      <c r="V1120" s="1"/>
      <c r="W1120" s="1"/>
      <c r="X1120" s="1"/>
      <c r="Y1120" s="1"/>
      <c r="Z1120" s="1"/>
      <c r="AA1120" s="1"/>
      <c r="AB1120" s="1"/>
      <c r="AC1120" s="1"/>
      <c r="AD1120" s="1"/>
      <c r="AE1120" s="1"/>
      <c r="AF1120" s="1"/>
      <c r="AG1120" s="1"/>
      <c r="AH1120" s="1"/>
    </row>
    <row r="1121" ht="12.75" hidden="1" customHeight="1" outlineLevel="1">
      <c r="A1121" s="17">
        <v>41199.0</v>
      </c>
      <c r="B1121" s="1" t="s">
        <v>343</v>
      </c>
      <c r="C1121" s="1" t="s">
        <v>344</v>
      </c>
      <c r="D1121" s="74">
        <v>400.0</v>
      </c>
      <c r="E1121" s="67">
        <v>37.08</v>
      </c>
      <c r="F1121" s="75">
        <v>0.41020833333333334</v>
      </c>
      <c r="G1121" s="67" t="s">
        <v>453</v>
      </c>
      <c r="H1121" s="68">
        <v>2.0</v>
      </c>
      <c r="I1121" s="76"/>
      <c r="J1121" s="67">
        <f>IF(B1121="SLD",D1121*E1121,-D1121*E1121)-H1121</f>
        <v>-14834</v>
      </c>
      <c r="K1121" s="7"/>
      <c r="L1121" s="70"/>
      <c r="M1121" s="79"/>
      <c r="N1121" s="1"/>
      <c r="O1121" s="1"/>
      <c r="P1121" s="1"/>
      <c r="Q1121" s="1"/>
      <c r="R1121" s="1"/>
      <c r="S1121" s="1"/>
      <c r="T1121" s="1"/>
      <c r="U1121" s="1"/>
      <c r="V1121" s="1"/>
      <c r="W1121" s="1"/>
      <c r="X1121" s="1"/>
      <c r="Y1121" s="1"/>
      <c r="Z1121" s="1"/>
      <c r="AA1121" s="1"/>
      <c r="AB1121" s="1"/>
      <c r="AC1121" s="1"/>
      <c r="AD1121" s="1"/>
      <c r="AE1121" s="1"/>
      <c r="AF1121" s="1"/>
      <c r="AG1121" s="1"/>
      <c r="AH1121" s="1"/>
    </row>
    <row r="1122" ht="12.75" hidden="1" customHeight="1" outlineLevel="1">
      <c r="A1122" s="17">
        <v>41200.0</v>
      </c>
      <c r="B1122" s="1"/>
      <c r="C1122" s="1" t="s">
        <v>339</v>
      </c>
      <c r="D1122" s="74"/>
      <c r="E1122" s="67"/>
      <c r="F1122" s="75"/>
      <c r="G1122" s="67"/>
      <c r="H1122" s="68"/>
      <c r="I1122" s="76"/>
      <c r="J1122" s="67"/>
      <c r="K1122" s="7" t="s">
        <v>733</v>
      </c>
      <c r="L1122" s="77"/>
      <c r="M1122" s="79"/>
      <c r="N1122" s="1"/>
      <c r="O1122" s="1"/>
      <c r="P1122" s="1"/>
      <c r="Q1122" s="1"/>
      <c r="R1122" s="1"/>
      <c r="S1122" s="1"/>
      <c r="T1122" s="1"/>
      <c r="U1122" s="1"/>
      <c r="V1122" s="1"/>
      <c r="W1122" s="1"/>
      <c r="X1122" s="1"/>
      <c r="Y1122" s="1"/>
      <c r="Z1122" s="1"/>
      <c r="AA1122" s="1"/>
      <c r="AB1122" s="1"/>
      <c r="AC1122" s="1"/>
      <c r="AD1122" s="1"/>
      <c r="AE1122" s="1"/>
      <c r="AF1122" s="1"/>
      <c r="AG1122" s="1"/>
      <c r="AH1122" s="1"/>
    </row>
    <row r="1123" ht="12.75" hidden="1" customHeight="1" outlineLevel="1">
      <c r="A1123" s="17">
        <v>41200.0</v>
      </c>
      <c r="B1123" s="1"/>
      <c r="C1123" s="1" t="s">
        <v>429</v>
      </c>
      <c r="D1123" s="74"/>
      <c r="E1123" s="67"/>
      <c r="F1123" s="75"/>
      <c r="G1123" s="67"/>
      <c r="H1123" s="68"/>
      <c r="I1123" s="76"/>
      <c r="J1123" s="67"/>
      <c r="K1123" s="7" t="s">
        <v>679</v>
      </c>
      <c r="L1123" s="77"/>
      <c r="M1123" s="79"/>
      <c r="N1123" s="1"/>
      <c r="O1123" s="1"/>
      <c r="P1123" s="1"/>
      <c r="Q1123" s="1"/>
      <c r="R1123" s="1"/>
      <c r="S1123" s="1"/>
      <c r="T1123" s="1"/>
      <c r="U1123" s="1"/>
      <c r="V1123" s="1"/>
      <c r="W1123" s="1"/>
      <c r="X1123" s="1"/>
      <c r="Y1123" s="1"/>
      <c r="Z1123" s="1"/>
      <c r="AA1123" s="1"/>
      <c r="AB1123" s="1"/>
      <c r="AC1123" s="1"/>
      <c r="AD1123" s="1"/>
      <c r="AE1123" s="1"/>
      <c r="AF1123" s="1"/>
      <c r="AG1123" s="1"/>
      <c r="AH1123" s="1"/>
    </row>
    <row r="1124" ht="12.75" hidden="1" customHeight="1" outlineLevel="1">
      <c r="A1124" s="17">
        <v>41200.0</v>
      </c>
      <c r="B1124" s="1"/>
      <c r="C1124" s="1" t="s">
        <v>431</v>
      </c>
      <c r="D1124" s="74"/>
      <c r="E1124" s="67"/>
      <c r="F1124" s="75"/>
      <c r="G1124" s="67"/>
      <c r="H1124" s="68"/>
      <c r="I1124" s="76"/>
      <c r="J1124" s="67"/>
      <c r="K1124" s="7" t="s">
        <v>669</v>
      </c>
      <c r="L1124" s="77"/>
      <c r="M1124" s="79"/>
      <c r="N1124" s="1"/>
      <c r="O1124" s="1"/>
      <c r="P1124" s="1"/>
      <c r="Q1124" s="1"/>
      <c r="R1124" s="1"/>
      <c r="S1124" s="1"/>
      <c r="T1124" s="1"/>
      <c r="U1124" s="1"/>
      <c r="V1124" s="1"/>
      <c r="W1124" s="1"/>
      <c r="X1124" s="1"/>
      <c r="Y1124" s="1"/>
      <c r="Z1124" s="1"/>
      <c r="AA1124" s="1"/>
      <c r="AB1124" s="1"/>
      <c r="AC1124" s="1"/>
      <c r="AD1124" s="1"/>
      <c r="AE1124" s="1"/>
      <c r="AF1124" s="1"/>
      <c r="AG1124" s="1"/>
      <c r="AH1124" s="1"/>
    </row>
    <row r="1125" ht="12.75" hidden="1" customHeight="1" outlineLevel="1">
      <c r="A1125" s="17">
        <v>41200.0</v>
      </c>
      <c r="B1125" s="1"/>
      <c r="C1125" s="1" t="s">
        <v>433</v>
      </c>
      <c r="D1125" s="74"/>
      <c r="E1125" s="67"/>
      <c r="F1125" s="75"/>
      <c r="G1125" s="67"/>
      <c r="H1125" s="68"/>
      <c r="I1125" s="76"/>
      <c r="J1125" s="67"/>
      <c r="K1125" s="1" t="s">
        <v>434</v>
      </c>
      <c r="L1125" s="77"/>
      <c r="M1125" s="79"/>
      <c r="N1125" s="1"/>
      <c r="O1125" s="1"/>
      <c r="P1125" s="1"/>
      <c r="Q1125" s="1"/>
      <c r="R1125" s="1"/>
      <c r="S1125" s="1"/>
      <c r="T1125" s="1"/>
      <c r="U1125" s="1"/>
      <c r="V1125" s="1"/>
      <c r="W1125" s="1"/>
      <c r="X1125" s="1"/>
      <c r="Y1125" s="1"/>
      <c r="Z1125" s="1"/>
      <c r="AA1125" s="1"/>
      <c r="AB1125" s="1"/>
      <c r="AC1125" s="1"/>
      <c r="AD1125" s="1"/>
      <c r="AE1125" s="1"/>
      <c r="AF1125" s="1"/>
      <c r="AG1125" s="1"/>
      <c r="AH1125" s="1"/>
    </row>
    <row r="1126" ht="12.75" hidden="1" customHeight="1" outlineLevel="1">
      <c r="A1126" s="17">
        <v>41200.0</v>
      </c>
      <c r="B1126" s="1"/>
      <c r="C1126" s="1" t="s">
        <v>435</v>
      </c>
      <c r="D1126" s="74"/>
      <c r="E1126" s="67"/>
      <c r="F1126" s="75"/>
      <c r="G1126" s="67"/>
      <c r="H1126" s="68"/>
      <c r="I1126" s="76"/>
      <c r="J1126" s="67"/>
      <c r="K1126" s="7" t="s">
        <v>697</v>
      </c>
      <c r="L1126" s="77"/>
      <c r="M1126" s="79"/>
      <c r="N1126" s="1"/>
      <c r="O1126" s="1"/>
      <c r="P1126" s="1"/>
      <c r="Q1126" s="1"/>
      <c r="R1126" s="1"/>
      <c r="S1126" s="1"/>
      <c r="T1126" s="1"/>
      <c r="U1126" s="1"/>
      <c r="V1126" s="1"/>
      <c r="W1126" s="1"/>
      <c r="X1126" s="1"/>
      <c r="Y1126" s="1"/>
      <c r="Z1126" s="1"/>
      <c r="AA1126" s="1"/>
      <c r="AB1126" s="1"/>
      <c r="AC1126" s="1"/>
      <c r="AD1126" s="1"/>
      <c r="AE1126" s="1"/>
      <c r="AF1126" s="1"/>
      <c r="AG1126" s="1"/>
      <c r="AH1126" s="1"/>
    </row>
    <row r="1127" ht="12.75" hidden="1" customHeight="1" outlineLevel="1">
      <c r="A1127" s="17">
        <v>41201.0</v>
      </c>
      <c r="B1127" s="1" t="s">
        <v>347</v>
      </c>
      <c r="C1127" s="1" t="s">
        <v>346</v>
      </c>
      <c r="D1127" s="74">
        <v>60.0</v>
      </c>
      <c r="E1127" s="67">
        <v>626.8</v>
      </c>
      <c r="F1127" s="75">
        <v>0.40673611111111113</v>
      </c>
      <c r="G1127" s="67" t="s">
        <v>453</v>
      </c>
      <c r="H1127" s="68">
        <v>1.0</v>
      </c>
      <c r="I1127" s="76"/>
      <c r="J1127" s="67">
        <f t="shared" ref="J1127:J1133" si="82">IF(B1127="SLD",D1127*E1127,-D1127*E1127)-H1127</f>
        <v>37607</v>
      </c>
      <c r="K1127" s="7"/>
      <c r="L1127" s="70"/>
      <c r="M1127" s="79"/>
      <c r="N1127" s="1"/>
      <c r="O1127" s="1"/>
      <c r="P1127" s="1"/>
      <c r="Q1127" s="1"/>
      <c r="R1127" s="1"/>
      <c r="S1127" s="1"/>
      <c r="T1127" s="1"/>
      <c r="U1127" s="1"/>
      <c r="V1127" s="1"/>
      <c r="W1127" s="1"/>
      <c r="X1127" s="1"/>
      <c r="Y1127" s="1"/>
      <c r="Z1127" s="1"/>
      <c r="AA1127" s="1"/>
      <c r="AB1127" s="1"/>
      <c r="AC1127" s="1"/>
      <c r="AD1127" s="1"/>
      <c r="AE1127" s="1"/>
      <c r="AF1127" s="1"/>
      <c r="AG1127" s="1"/>
      <c r="AH1127" s="1"/>
    </row>
    <row r="1128" ht="12.75" hidden="1" customHeight="1" outlineLevel="1">
      <c r="A1128" s="17">
        <v>41201.0</v>
      </c>
      <c r="B1128" s="1" t="s">
        <v>347</v>
      </c>
      <c r="C1128" s="1" t="s">
        <v>344</v>
      </c>
      <c r="D1128" s="74">
        <v>400.0</v>
      </c>
      <c r="E1128" s="67">
        <v>35.94</v>
      </c>
      <c r="F1128" s="75">
        <v>0.43876157407407407</v>
      </c>
      <c r="G1128" s="67" t="s">
        <v>453</v>
      </c>
      <c r="H1128" s="68">
        <v>2.0</v>
      </c>
      <c r="I1128" s="76"/>
      <c r="J1128" s="67">
        <f t="shared" si="82"/>
        <v>14374</v>
      </c>
      <c r="K1128" s="7"/>
      <c r="L1128" s="70"/>
      <c r="M1128" s="79"/>
      <c r="N1128" s="1"/>
      <c r="O1128" s="1"/>
      <c r="P1128" s="1"/>
      <c r="Q1128" s="1"/>
      <c r="R1128" s="1"/>
      <c r="S1128" s="1"/>
      <c r="T1128" s="1"/>
      <c r="U1128" s="1"/>
      <c r="V1128" s="1"/>
      <c r="W1128" s="1"/>
      <c r="X1128" s="1"/>
      <c r="Y1128" s="1"/>
      <c r="Z1128" s="1"/>
      <c r="AA1128" s="1"/>
      <c r="AB1128" s="1"/>
      <c r="AC1128" s="1"/>
      <c r="AD1128" s="1"/>
      <c r="AE1128" s="1"/>
      <c r="AF1128" s="1"/>
      <c r="AG1128" s="1"/>
      <c r="AH1128" s="1"/>
    </row>
    <row r="1129" ht="12.75" hidden="1" customHeight="1" outlineLevel="1">
      <c r="A1129" s="17">
        <v>41201.0</v>
      </c>
      <c r="B1129" s="1" t="s">
        <v>343</v>
      </c>
      <c r="C1129" s="1" t="s">
        <v>734</v>
      </c>
      <c r="D1129" s="74">
        <v>600.0</v>
      </c>
      <c r="E1129" s="67">
        <v>19.062</v>
      </c>
      <c r="F1129" s="75">
        <v>0.44037037037037036</v>
      </c>
      <c r="G1129" s="67" t="s">
        <v>453</v>
      </c>
      <c r="H1129" s="68">
        <v>3.5</v>
      </c>
      <c r="I1129" s="76"/>
      <c r="J1129" s="67">
        <f t="shared" si="82"/>
        <v>-11440.7</v>
      </c>
      <c r="K1129" s="7"/>
      <c r="L1129" s="70"/>
      <c r="M1129" s="79"/>
      <c r="N1129" s="1"/>
      <c r="O1129" s="1"/>
      <c r="P1129" s="1"/>
      <c r="Q1129" s="1"/>
      <c r="R1129" s="1"/>
      <c r="S1129" s="1"/>
      <c r="T1129" s="1"/>
      <c r="U1129" s="1"/>
      <c r="V1129" s="1"/>
      <c r="W1129" s="1"/>
      <c r="X1129" s="1"/>
      <c r="Y1129" s="1"/>
      <c r="Z1129" s="1"/>
      <c r="AA1129" s="1"/>
      <c r="AB1129" s="1"/>
      <c r="AC1129" s="1"/>
      <c r="AD1129" s="1"/>
      <c r="AE1129" s="1"/>
      <c r="AF1129" s="1"/>
      <c r="AG1129" s="1"/>
      <c r="AH1129" s="1"/>
    </row>
    <row r="1130" ht="12.75" hidden="1" customHeight="1" outlineLevel="1">
      <c r="A1130" s="17">
        <v>41201.0</v>
      </c>
      <c r="B1130" s="1" t="s">
        <v>343</v>
      </c>
      <c r="C1130" s="1" t="s">
        <v>734</v>
      </c>
      <c r="D1130" s="74">
        <v>600.0</v>
      </c>
      <c r="E1130" s="67">
        <v>19.2</v>
      </c>
      <c r="F1130" s="75">
        <v>0.45145833333333335</v>
      </c>
      <c r="G1130" s="67" t="s">
        <v>453</v>
      </c>
      <c r="H1130" s="68">
        <v>3.0</v>
      </c>
      <c r="I1130" s="76"/>
      <c r="J1130" s="67">
        <f t="shared" si="82"/>
        <v>-11523</v>
      </c>
      <c r="K1130" s="7"/>
      <c r="L1130" s="70"/>
      <c r="M1130" s="79"/>
      <c r="N1130" s="1"/>
      <c r="O1130" s="1"/>
      <c r="P1130" s="1"/>
      <c r="Q1130" s="1"/>
      <c r="R1130" s="1"/>
      <c r="S1130" s="1"/>
      <c r="T1130" s="1"/>
      <c r="U1130" s="1"/>
      <c r="V1130" s="1"/>
      <c r="W1130" s="1"/>
      <c r="X1130" s="1"/>
      <c r="Y1130" s="1"/>
      <c r="Z1130" s="1"/>
      <c r="AA1130" s="1"/>
      <c r="AB1130" s="1"/>
      <c r="AC1130" s="1"/>
      <c r="AD1130" s="1"/>
      <c r="AE1130" s="1"/>
      <c r="AF1130" s="1"/>
      <c r="AG1130" s="1"/>
      <c r="AH1130" s="1"/>
    </row>
    <row r="1131" ht="12.75" hidden="1" customHeight="1" outlineLevel="1">
      <c r="A1131" s="17">
        <v>41201.0</v>
      </c>
      <c r="B1131" s="1" t="s">
        <v>347</v>
      </c>
      <c r="C1131" s="1" t="s">
        <v>346</v>
      </c>
      <c r="D1131" s="74">
        <v>30.0</v>
      </c>
      <c r="E1131" s="67">
        <v>614.1</v>
      </c>
      <c r="F1131" s="75">
        <v>0.6211921296296297</v>
      </c>
      <c r="G1131" s="67" t="s">
        <v>453</v>
      </c>
      <c r="H1131" s="68">
        <v>1.0</v>
      </c>
      <c r="I1131" s="76"/>
      <c r="J1131" s="67">
        <f t="shared" si="82"/>
        <v>18422</v>
      </c>
      <c r="K1131" s="7"/>
      <c r="L1131" s="70"/>
      <c r="M1131" s="79"/>
      <c r="N1131" s="1"/>
      <c r="O1131" s="1"/>
      <c r="P1131" s="1"/>
      <c r="Q1131" s="1"/>
      <c r="R1131" s="1"/>
      <c r="S1131" s="1"/>
      <c r="T1131" s="1"/>
      <c r="U1131" s="1"/>
      <c r="V1131" s="1"/>
      <c r="W1131" s="1"/>
      <c r="X1131" s="1"/>
      <c r="Y1131" s="1"/>
      <c r="Z1131" s="1"/>
      <c r="AA1131" s="1"/>
      <c r="AB1131" s="1"/>
      <c r="AC1131" s="1"/>
      <c r="AD1131" s="1"/>
      <c r="AE1131" s="1"/>
      <c r="AF1131" s="1"/>
      <c r="AG1131" s="1"/>
      <c r="AH1131" s="1"/>
    </row>
    <row r="1132" ht="12.75" hidden="1" customHeight="1" outlineLevel="1">
      <c r="A1132" s="17">
        <v>41201.0</v>
      </c>
      <c r="B1132" s="1" t="s">
        <v>347</v>
      </c>
      <c r="C1132" s="1" t="s">
        <v>344</v>
      </c>
      <c r="D1132" s="74">
        <v>300.0</v>
      </c>
      <c r="E1132" s="67">
        <v>35.73</v>
      </c>
      <c r="F1132" s="75">
        <v>0.6325462962962963</v>
      </c>
      <c r="G1132" s="67" t="s">
        <v>453</v>
      </c>
      <c r="H1132" s="68">
        <v>1.3</v>
      </c>
      <c r="I1132" s="76"/>
      <c r="J1132" s="67">
        <f t="shared" si="82"/>
        <v>10717.7</v>
      </c>
      <c r="K1132" s="7"/>
      <c r="L1132" s="70"/>
      <c r="M1132" s="79"/>
      <c r="N1132" s="1"/>
      <c r="O1132" s="1"/>
      <c r="P1132" s="1"/>
      <c r="Q1132" s="1"/>
      <c r="R1132" s="1"/>
      <c r="S1132" s="1"/>
      <c r="T1132" s="1"/>
      <c r="U1132" s="1"/>
      <c r="V1132" s="1"/>
      <c r="W1132" s="1"/>
      <c r="X1132" s="1"/>
      <c r="Y1132" s="1"/>
      <c r="Z1132" s="1"/>
      <c r="AA1132" s="1"/>
      <c r="AB1132" s="1"/>
      <c r="AC1132" s="1"/>
      <c r="AD1132" s="1"/>
      <c r="AE1132" s="1"/>
      <c r="AF1132" s="1"/>
      <c r="AG1132" s="1"/>
      <c r="AH1132" s="1"/>
    </row>
    <row r="1133" ht="12.75" hidden="1" customHeight="1" outlineLevel="1">
      <c r="A1133" s="17">
        <v>41201.0</v>
      </c>
      <c r="B1133" s="1" t="s">
        <v>347</v>
      </c>
      <c r="C1133" s="1" t="s">
        <v>354</v>
      </c>
      <c r="D1133" s="74">
        <v>100.0</v>
      </c>
      <c r="E1133" s="67">
        <v>111.74</v>
      </c>
      <c r="F1133" s="75">
        <v>0.6485763888888889</v>
      </c>
      <c r="G1133" s="67" t="s">
        <v>453</v>
      </c>
      <c r="H1133" s="68">
        <v>1.0</v>
      </c>
      <c r="I1133" s="76"/>
      <c r="J1133" s="67">
        <f t="shared" si="82"/>
        <v>11173</v>
      </c>
      <c r="K1133" s="7"/>
      <c r="L1133" s="70"/>
      <c r="M1133" s="79"/>
      <c r="N1133" s="1"/>
      <c r="O1133" s="1"/>
      <c r="P1133" s="1"/>
      <c r="Q1133" s="1"/>
      <c r="R1133" s="1"/>
      <c r="S1133" s="1"/>
      <c r="T1133" s="1"/>
      <c r="U1133" s="1"/>
      <c r="V1133" s="1"/>
      <c r="W1133" s="1"/>
      <c r="X1133" s="1"/>
      <c r="Y1133" s="1"/>
      <c r="Z1133" s="1"/>
      <c r="AA1133" s="1"/>
      <c r="AB1133" s="1"/>
      <c r="AC1133" s="1"/>
      <c r="AD1133" s="1"/>
      <c r="AE1133" s="1"/>
      <c r="AF1133" s="1"/>
      <c r="AG1133" s="1"/>
      <c r="AH1133" s="1"/>
    </row>
    <row r="1134" ht="12.75" hidden="1" customHeight="1" outlineLevel="1">
      <c r="A1134" s="17">
        <v>41201.0</v>
      </c>
      <c r="B1134" s="1"/>
      <c r="C1134" s="1" t="s">
        <v>339</v>
      </c>
      <c r="D1134" s="74"/>
      <c r="E1134" s="67"/>
      <c r="F1134" s="75"/>
      <c r="G1134" s="67"/>
      <c r="H1134" s="68"/>
      <c r="I1134" s="76"/>
      <c r="J1134" s="67"/>
      <c r="K1134" s="7" t="s">
        <v>735</v>
      </c>
      <c r="L1134" s="77"/>
      <c r="M1134" s="79"/>
      <c r="N1134" s="1"/>
      <c r="O1134" s="1"/>
      <c r="P1134" s="1"/>
      <c r="Q1134" s="1"/>
      <c r="R1134" s="1"/>
      <c r="S1134" s="1"/>
      <c r="T1134" s="1"/>
      <c r="U1134" s="1"/>
      <c r="V1134" s="1"/>
      <c r="W1134" s="1"/>
      <c r="X1134" s="1"/>
      <c r="Y1134" s="1"/>
      <c r="Z1134" s="1"/>
      <c r="AA1134" s="1"/>
      <c r="AB1134" s="1"/>
      <c r="AC1134" s="1"/>
      <c r="AD1134" s="1"/>
      <c r="AE1134" s="1"/>
      <c r="AF1134" s="1"/>
      <c r="AG1134" s="1"/>
      <c r="AH1134" s="1"/>
    </row>
    <row r="1135" ht="12.75" hidden="1" customHeight="1" outlineLevel="1">
      <c r="A1135" s="17">
        <v>41201.0</v>
      </c>
      <c r="B1135" s="1"/>
      <c r="C1135" s="1" t="s">
        <v>429</v>
      </c>
      <c r="D1135" s="74"/>
      <c r="E1135" s="67"/>
      <c r="F1135" s="75"/>
      <c r="G1135" s="67"/>
      <c r="H1135" s="68"/>
      <c r="I1135" s="76"/>
      <c r="J1135" s="67"/>
      <c r="K1135" s="7" t="s">
        <v>679</v>
      </c>
      <c r="L1135" s="77"/>
      <c r="M1135" s="79"/>
      <c r="N1135" s="1"/>
      <c r="O1135" s="1"/>
      <c r="P1135" s="1"/>
      <c r="Q1135" s="1"/>
      <c r="R1135" s="1"/>
      <c r="S1135" s="1"/>
      <c r="T1135" s="1"/>
      <c r="U1135" s="1"/>
      <c r="V1135" s="1"/>
      <c r="W1135" s="1"/>
      <c r="X1135" s="1"/>
      <c r="Y1135" s="1"/>
      <c r="Z1135" s="1"/>
      <c r="AA1135" s="1"/>
      <c r="AB1135" s="1"/>
      <c r="AC1135" s="1"/>
      <c r="AD1135" s="1"/>
      <c r="AE1135" s="1"/>
      <c r="AF1135" s="1"/>
      <c r="AG1135" s="1"/>
      <c r="AH1135" s="1"/>
    </row>
    <row r="1136" ht="12.75" hidden="1" customHeight="1" outlineLevel="1">
      <c r="A1136" s="17">
        <v>41201.0</v>
      </c>
      <c r="B1136" s="1"/>
      <c r="C1136" s="1" t="s">
        <v>431</v>
      </c>
      <c r="D1136" s="74"/>
      <c r="E1136" s="67"/>
      <c r="F1136" s="75"/>
      <c r="G1136" s="67"/>
      <c r="H1136" s="68"/>
      <c r="I1136" s="76"/>
      <c r="J1136" s="67"/>
      <c r="K1136" s="7" t="s">
        <v>669</v>
      </c>
      <c r="L1136" s="77"/>
      <c r="M1136" s="79"/>
      <c r="N1136" s="1"/>
      <c r="O1136" s="1"/>
      <c r="P1136" s="1"/>
      <c r="Q1136" s="1"/>
      <c r="R1136" s="1"/>
      <c r="S1136" s="1"/>
      <c r="T1136" s="1"/>
      <c r="U1136" s="1"/>
      <c r="V1136" s="1"/>
      <c r="W1136" s="1"/>
      <c r="X1136" s="1"/>
      <c r="Y1136" s="1"/>
      <c r="Z1136" s="1"/>
      <c r="AA1136" s="1"/>
      <c r="AB1136" s="1"/>
      <c r="AC1136" s="1"/>
      <c r="AD1136" s="1"/>
      <c r="AE1136" s="1"/>
      <c r="AF1136" s="1"/>
      <c r="AG1136" s="1"/>
      <c r="AH1136" s="1"/>
    </row>
    <row r="1137" ht="12.75" hidden="1" customHeight="1" outlineLevel="1">
      <c r="A1137" s="17">
        <v>41201.0</v>
      </c>
      <c r="B1137" s="1"/>
      <c r="C1137" s="1" t="s">
        <v>433</v>
      </c>
      <c r="D1137" s="74"/>
      <c r="E1137" s="67"/>
      <c r="F1137" s="75"/>
      <c r="G1137" s="67"/>
      <c r="H1137" s="68"/>
      <c r="I1137" s="76"/>
      <c r="J1137" s="67"/>
      <c r="K1137" s="1" t="s">
        <v>434</v>
      </c>
      <c r="L1137" s="77"/>
      <c r="M1137" s="79"/>
      <c r="N1137" s="1"/>
      <c r="O1137" s="1"/>
      <c r="P1137" s="1"/>
      <c r="Q1137" s="1"/>
      <c r="R1137" s="1"/>
      <c r="S1137" s="1"/>
      <c r="T1137" s="1"/>
      <c r="U1137" s="1"/>
      <c r="V1137" s="1"/>
      <c r="W1137" s="1"/>
      <c r="X1137" s="1"/>
      <c r="Y1137" s="1"/>
      <c r="Z1137" s="1"/>
      <c r="AA1137" s="1"/>
      <c r="AB1137" s="1"/>
      <c r="AC1137" s="1"/>
      <c r="AD1137" s="1"/>
      <c r="AE1137" s="1"/>
      <c r="AF1137" s="1"/>
      <c r="AG1137" s="1"/>
      <c r="AH1137" s="1"/>
    </row>
    <row r="1138" ht="12.75" hidden="1" customHeight="1" outlineLevel="1">
      <c r="A1138" s="17">
        <v>41201.0</v>
      </c>
      <c r="B1138" s="1"/>
      <c r="C1138" s="1" t="s">
        <v>435</v>
      </c>
      <c r="D1138" s="74"/>
      <c r="E1138" s="67"/>
      <c r="F1138" s="75"/>
      <c r="G1138" s="67"/>
      <c r="H1138" s="68"/>
      <c r="I1138" s="76"/>
      <c r="J1138" s="67"/>
      <c r="K1138" s="7" t="s">
        <v>697</v>
      </c>
      <c r="L1138" s="77"/>
      <c r="M1138" s="79"/>
      <c r="N1138" s="1"/>
      <c r="O1138" s="1"/>
      <c r="P1138" s="1"/>
      <c r="Q1138" s="1"/>
      <c r="R1138" s="1"/>
      <c r="S1138" s="1"/>
      <c r="T1138" s="1"/>
      <c r="U1138" s="1"/>
      <c r="V1138" s="1"/>
      <c r="W1138" s="1"/>
      <c r="X1138" s="1"/>
      <c r="Y1138" s="1"/>
      <c r="Z1138" s="1"/>
      <c r="AA1138" s="1"/>
      <c r="AB1138" s="1"/>
      <c r="AC1138" s="1"/>
      <c r="AD1138" s="1"/>
      <c r="AE1138" s="1"/>
      <c r="AF1138" s="1"/>
      <c r="AG1138" s="1"/>
      <c r="AH1138" s="1"/>
    </row>
    <row r="1139" ht="12.75" hidden="1" customHeight="1" outlineLevel="1">
      <c r="A1139" s="17">
        <v>41202.0</v>
      </c>
      <c r="B1139" s="1"/>
      <c r="C1139" s="1" t="s">
        <v>339</v>
      </c>
      <c r="D1139" s="74"/>
      <c r="E1139" s="67"/>
      <c r="F1139" s="75"/>
      <c r="G1139" s="67"/>
      <c r="H1139" s="68"/>
      <c r="I1139" s="76"/>
      <c r="J1139" s="67"/>
      <c r="K1139" s="7" t="s">
        <v>737</v>
      </c>
      <c r="L1139" s="77"/>
      <c r="M1139" s="79"/>
      <c r="N1139" s="1"/>
      <c r="O1139" s="1"/>
      <c r="P1139" s="1"/>
      <c r="Q1139" s="1"/>
      <c r="R1139" s="1"/>
      <c r="S1139" s="1"/>
      <c r="T1139" s="1"/>
      <c r="U1139" s="1"/>
      <c r="V1139" s="1"/>
      <c r="W1139" s="1"/>
      <c r="X1139" s="1"/>
      <c r="Y1139" s="1"/>
      <c r="Z1139" s="1"/>
      <c r="AA1139" s="1"/>
      <c r="AB1139" s="1"/>
      <c r="AC1139" s="1"/>
      <c r="AD1139" s="1"/>
      <c r="AE1139" s="1"/>
      <c r="AF1139" s="1"/>
      <c r="AG1139" s="1"/>
      <c r="AH1139" s="1"/>
    </row>
    <row r="1140" ht="12.75" hidden="1" customHeight="1" outlineLevel="1">
      <c r="A1140" s="17">
        <v>41202.0</v>
      </c>
      <c r="B1140" s="1"/>
      <c r="C1140" s="1" t="s">
        <v>429</v>
      </c>
      <c r="D1140" s="74"/>
      <c r="E1140" s="67"/>
      <c r="F1140" s="75"/>
      <c r="G1140" s="67"/>
      <c r="H1140" s="68"/>
      <c r="I1140" s="76"/>
      <c r="J1140" s="67"/>
      <c r="K1140" s="7" t="s">
        <v>679</v>
      </c>
      <c r="L1140" s="77"/>
      <c r="M1140" s="79"/>
      <c r="N1140" s="1"/>
      <c r="O1140" s="1"/>
      <c r="P1140" s="1"/>
      <c r="Q1140" s="1"/>
      <c r="R1140" s="1"/>
      <c r="S1140" s="1"/>
      <c r="T1140" s="1"/>
      <c r="U1140" s="1"/>
      <c r="V1140" s="1"/>
      <c r="W1140" s="1"/>
      <c r="X1140" s="1"/>
      <c r="Y1140" s="1"/>
      <c r="Z1140" s="1"/>
      <c r="AA1140" s="1"/>
      <c r="AB1140" s="1"/>
      <c r="AC1140" s="1"/>
      <c r="AD1140" s="1"/>
      <c r="AE1140" s="1"/>
      <c r="AF1140" s="1"/>
      <c r="AG1140" s="1"/>
      <c r="AH1140" s="1"/>
    </row>
    <row r="1141" ht="12.75" hidden="1" customHeight="1" outlineLevel="1">
      <c r="A1141" s="17">
        <v>41202.0</v>
      </c>
      <c r="B1141" s="1"/>
      <c r="C1141" s="1" t="s">
        <v>431</v>
      </c>
      <c r="D1141" s="74"/>
      <c r="E1141" s="67"/>
      <c r="F1141" s="75"/>
      <c r="G1141" s="67"/>
      <c r="H1141" s="68"/>
      <c r="I1141" s="76"/>
      <c r="J1141" s="67"/>
      <c r="K1141" s="7" t="s">
        <v>669</v>
      </c>
      <c r="L1141" s="77"/>
      <c r="M1141" s="79"/>
      <c r="N1141" s="1"/>
      <c r="O1141" s="1"/>
      <c r="P1141" s="1"/>
      <c r="Q1141" s="1"/>
      <c r="R1141" s="1"/>
      <c r="S1141" s="1"/>
      <c r="T1141" s="1"/>
      <c r="U1141" s="1"/>
      <c r="V1141" s="1"/>
      <c r="W1141" s="1"/>
      <c r="X1141" s="1"/>
      <c r="Y1141" s="1"/>
      <c r="Z1141" s="1"/>
      <c r="AA1141" s="1"/>
      <c r="AB1141" s="1"/>
      <c r="AC1141" s="1"/>
      <c r="AD1141" s="1"/>
      <c r="AE1141" s="1"/>
      <c r="AF1141" s="1"/>
      <c r="AG1141" s="1"/>
      <c r="AH1141" s="1"/>
    </row>
    <row r="1142" ht="12.75" hidden="1" customHeight="1" outlineLevel="1">
      <c r="A1142" s="17">
        <v>41202.0</v>
      </c>
      <c r="B1142" s="1"/>
      <c r="C1142" s="1" t="s">
        <v>433</v>
      </c>
      <c r="D1142" s="74"/>
      <c r="E1142" s="67"/>
      <c r="F1142" s="75"/>
      <c r="G1142" s="67"/>
      <c r="H1142" s="68"/>
      <c r="I1142" s="76"/>
      <c r="J1142" s="67"/>
      <c r="K1142" s="1" t="s">
        <v>434</v>
      </c>
      <c r="L1142" s="77"/>
      <c r="M1142" s="79"/>
      <c r="N1142" s="1"/>
      <c r="O1142" s="1"/>
      <c r="P1142" s="1"/>
      <c r="Q1142" s="1"/>
      <c r="R1142" s="1"/>
      <c r="S1142" s="1"/>
      <c r="T1142" s="1"/>
      <c r="U1142" s="1"/>
      <c r="V1142" s="1"/>
      <c r="W1142" s="1"/>
      <c r="X1142" s="1"/>
      <c r="Y1142" s="1"/>
      <c r="Z1142" s="1"/>
      <c r="AA1142" s="1"/>
      <c r="AB1142" s="1"/>
      <c r="AC1142" s="1"/>
      <c r="AD1142" s="1"/>
      <c r="AE1142" s="1"/>
      <c r="AF1142" s="1"/>
      <c r="AG1142" s="1"/>
      <c r="AH1142" s="1"/>
    </row>
    <row r="1143" ht="12.75" hidden="1" customHeight="1" outlineLevel="1">
      <c r="A1143" s="17">
        <v>41202.0</v>
      </c>
      <c r="B1143" s="1"/>
      <c r="C1143" s="1" t="s">
        <v>435</v>
      </c>
      <c r="D1143" s="74"/>
      <c r="E1143" s="67"/>
      <c r="F1143" s="75"/>
      <c r="G1143" s="67"/>
      <c r="H1143" s="68"/>
      <c r="I1143" s="76"/>
      <c r="J1143" s="67"/>
      <c r="K1143" s="7" t="s">
        <v>697</v>
      </c>
      <c r="L1143" s="77"/>
      <c r="M1143" s="79"/>
      <c r="N1143" s="1"/>
      <c r="O1143" s="1"/>
      <c r="P1143" s="1"/>
      <c r="Q1143" s="1"/>
      <c r="R1143" s="1"/>
      <c r="S1143" s="1"/>
      <c r="T1143" s="1"/>
      <c r="U1143" s="1"/>
      <c r="V1143" s="1"/>
      <c r="W1143" s="1"/>
      <c r="X1143" s="1"/>
      <c r="Y1143" s="1"/>
      <c r="Z1143" s="1"/>
      <c r="AA1143" s="1"/>
      <c r="AB1143" s="1"/>
      <c r="AC1143" s="1"/>
      <c r="AD1143" s="1"/>
      <c r="AE1143" s="1"/>
      <c r="AF1143" s="1"/>
      <c r="AG1143" s="1"/>
      <c r="AH1143" s="1"/>
    </row>
    <row r="1144" ht="12.75" hidden="1" customHeight="1" outlineLevel="1">
      <c r="A1144" s="17">
        <v>41204.0</v>
      </c>
      <c r="B1144" s="1" t="s">
        <v>343</v>
      </c>
      <c r="C1144" s="1" t="s">
        <v>734</v>
      </c>
      <c r="D1144" s="74">
        <v>600.0</v>
      </c>
      <c r="E1144" s="67">
        <v>19.54</v>
      </c>
      <c r="F1144" s="75">
        <v>0.44192129629629634</v>
      </c>
      <c r="G1144" s="67" t="s">
        <v>453</v>
      </c>
      <c r="H1144" s="68">
        <v>2.9</v>
      </c>
      <c r="I1144" s="76"/>
      <c r="J1144" s="67">
        <f>IF(B1144="SLD",D1144*E1144,-D1144*E1144)-H1144</f>
        <v>-11726.9</v>
      </c>
      <c r="K1144" s="7"/>
      <c r="L1144" s="70"/>
      <c r="M1144" s="79"/>
      <c r="N1144" s="1"/>
      <c r="O1144" s="1"/>
      <c r="P1144" s="1"/>
      <c r="Q1144" s="1"/>
      <c r="R1144" s="1"/>
      <c r="S1144" s="1"/>
      <c r="T1144" s="1"/>
      <c r="U1144" s="1"/>
      <c r="V1144" s="1"/>
      <c r="W1144" s="1"/>
      <c r="X1144" s="1"/>
      <c r="Y1144" s="1"/>
      <c r="Z1144" s="1"/>
      <c r="AA1144" s="1"/>
      <c r="AB1144" s="1"/>
      <c r="AC1144" s="1"/>
      <c r="AD1144" s="1"/>
      <c r="AE1144" s="1"/>
      <c r="AF1144" s="1"/>
      <c r="AG1144" s="1"/>
      <c r="AH1144" s="1"/>
    </row>
    <row r="1145" ht="12.75" hidden="1" customHeight="1" outlineLevel="1">
      <c r="A1145" s="17">
        <v>41204.0</v>
      </c>
      <c r="B1145" s="1"/>
      <c r="C1145" s="1" t="s">
        <v>339</v>
      </c>
      <c r="D1145" s="74"/>
      <c r="E1145" s="67"/>
      <c r="F1145" s="75"/>
      <c r="G1145" s="67"/>
      <c r="H1145" s="68"/>
      <c r="I1145" s="76"/>
      <c r="J1145" s="67"/>
      <c r="K1145" s="7" t="s">
        <v>738</v>
      </c>
      <c r="L1145" s="77"/>
      <c r="M1145" s="79"/>
      <c r="N1145" s="1"/>
      <c r="O1145" s="1"/>
      <c r="P1145" s="1"/>
      <c r="Q1145" s="1"/>
      <c r="R1145" s="1"/>
      <c r="S1145" s="1"/>
      <c r="T1145" s="1"/>
      <c r="U1145" s="1"/>
      <c r="V1145" s="1"/>
      <c r="W1145" s="1"/>
      <c r="X1145" s="1"/>
      <c r="Y1145" s="1"/>
      <c r="Z1145" s="1"/>
      <c r="AA1145" s="1"/>
      <c r="AB1145" s="1"/>
      <c r="AC1145" s="1"/>
      <c r="AD1145" s="1"/>
      <c r="AE1145" s="1"/>
      <c r="AF1145" s="1"/>
      <c r="AG1145" s="1"/>
      <c r="AH1145" s="1"/>
    </row>
    <row r="1146" ht="12.75" hidden="1" customHeight="1" outlineLevel="1">
      <c r="A1146" s="17">
        <v>41204.0</v>
      </c>
      <c r="B1146" s="1"/>
      <c r="C1146" s="1" t="s">
        <v>429</v>
      </c>
      <c r="D1146" s="74"/>
      <c r="E1146" s="67"/>
      <c r="F1146" s="75"/>
      <c r="G1146" s="67"/>
      <c r="H1146" s="68"/>
      <c r="I1146" s="76"/>
      <c r="J1146" s="67"/>
      <c r="K1146" s="7" t="s">
        <v>679</v>
      </c>
      <c r="L1146" s="77"/>
      <c r="M1146" s="79"/>
      <c r="N1146" s="1"/>
      <c r="O1146" s="1"/>
      <c r="P1146" s="1"/>
      <c r="Q1146" s="1"/>
      <c r="R1146" s="1"/>
      <c r="S1146" s="1"/>
      <c r="T1146" s="1"/>
      <c r="U1146" s="1"/>
      <c r="V1146" s="1"/>
      <c r="W1146" s="1"/>
      <c r="X1146" s="1"/>
      <c r="Y1146" s="1"/>
      <c r="Z1146" s="1"/>
      <c r="AA1146" s="1"/>
      <c r="AB1146" s="1"/>
      <c r="AC1146" s="1"/>
      <c r="AD1146" s="1"/>
      <c r="AE1146" s="1"/>
      <c r="AF1146" s="1"/>
      <c r="AG1146" s="1"/>
      <c r="AH1146" s="1"/>
    </row>
    <row r="1147" ht="12.75" hidden="1" customHeight="1" outlineLevel="1">
      <c r="A1147" s="17">
        <v>41204.0</v>
      </c>
      <c r="B1147" s="1"/>
      <c r="C1147" s="1" t="s">
        <v>431</v>
      </c>
      <c r="D1147" s="74"/>
      <c r="E1147" s="67"/>
      <c r="F1147" s="75"/>
      <c r="G1147" s="67"/>
      <c r="H1147" s="68"/>
      <c r="I1147" s="76"/>
      <c r="J1147" s="67"/>
      <c r="K1147" s="7" t="s">
        <v>669</v>
      </c>
      <c r="L1147" s="77"/>
      <c r="M1147" s="79"/>
      <c r="N1147" s="1"/>
      <c r="O1147" s="1"/>
      <c r="P1147" s="1"/>
      <c r="Q1147" s="1"/>
      <c r="R1147" s="1"/>
      <c r="S1147" s="1"/>
      <c r="T1147" s="1"/>
      <c r="U1147" s="1"/>
      <c r="V1147" s="1"/>
      <c r="W1147" s="1"/>
      <c r="X1147" s="1"/>
      <c r="Y1147" s="1"/>
      <c r="Z1147" s="1"/>
      <c r="AA1147" s="1"/>
      <c r="AB1147" s="1"/>
      <c r="AC1147" s="1"/>
      <c r="AD1147" s="1"/>
      <c r="AE1147" s="1"/>
      <c r="AF1147" s="1"/>
      <c r="AG1147" s="1"/>
      <c r="AH1147" s="1"/>
    </row>
    <row r="1148" ht="12.75" hidden="1" customHeight="1" outlineLevel="1">
      <c r="A1148" s="17">
        <v>41204.0</v>
      </c>
      <c r="B1148" s="1"/>
      <c r="C1148" s="1" t="s">
        <v>433</v>
      </c>
      <c r="D1148" s="74"/>
      <c r="E1148" s="67"/>
      <c r="F1148" s="75"/>
      <c r="G1148" s="67"/>
      <c r="H1148" s="68"/>
      <c r="I1148" s="76"/>
      <c r="J1148" s="67"/>
      <c r="K1148" s="1" t="s">
        <v>434</v>
      </c>
      <c r="L1148" s="77"/>
      <c r="M1148" s="79"/>
      <c r="N1148" s="1"/>
      <c r="O1148" s="1"/>
      <c r="P1148" s="1"/>
      <c r="Q1148" s="1"/>
      <c r="R1148" s="1"/>
      <c r="S1148" s="1"/>
      <c r="T1148" s="1"/>
      <c r="U1148" s="1"/>
      <c r="V1148" s="1"/>
      <c r="W1148" s="1"/>
      <c r="X1148" s="1"/>
      <c r="Y1148" s="1"/>
      <c r="Z1148" s="1"/>
      <c r="AA1148" s="1"/>
      <c r="AB1148" s="1"/>
      <c r="AC1148" s="1"/>
      <c r="AD1148" s="1"/>
      <c r="AE1148" s="1"/>
      <c r="AF1148" s="1"/>
      <c r="AG1148" s="1"/>
      <c r="AH1148" s="1"/>
    </row>
    <row r="1149" ht="12.75" hidden="1" customHeight="1" outlineLevel="1">
      <c r="A1149" s="17">
        <v>41204.0</v>
      </c>
      <c r="B1149" s="1"/>
      <c r="C1149" s="1" t="s">
        <v>435</v>
      </c>
      <c r="D1149" s="74"/>
      <c r="E1149" s="67"/>
      <c r="F1149" s="75"/>
      <c r="G1149" s="67"/>
      <c r="H1149" s="68"/>
      <c r="I1149" s="76"/>
      <c r="J1149" s="67"/>
      <c r="K1149" s="7" t="s">
        <v>697</v>
      </c>
      <c r="L1149" s="77"/>
      <c r="M1149" s="79"/>
      <c r="N1149" s="1"/>
      <c r="O1149" s="1"/>
      <c r="P1149" s="1"/>
      <c r="Q1149" s="1"/>
      <c r="R1149" s="1"/>
      <c r="S1149" s="1"/>
      <c r="T1149" s="1"/>
      <c r="U1149" s="1"/>
      <c r="V1149" s="1"/>
      <c r="W1149" s="1"/>
      <c r="X1149" s="1"/>
      <c r="Y1149" s="1"/>
      <c r="Z1149" s="1"/>
      <c r="AA1149" s="1"/>
      <c r="AB1149" s="1"/>
      <c r="AC1149" s="1"/>
      <c r="AD1149" s="1"/>
      <c r="AE1149" s="1"/>
      <c r="AF1149" s="1"/>
      <c r="AG1149" s="1"/>
      <c r="AH1149" s="1"/>
    </row>
    <row r="1150" ht="12.75" hidden="1" customHeight="1" outlineLevel="1">
      <c r="A1150" s="17">
        <v>41205.0</v>
      </c>
      <c r="B1150" s="1"/>
      <c r="C1150" s="1" t="s">
        <v>339</v>
      </c>
      <c r="D1150" s="74"/>
      <c r="E1150" s="67"/>
      <c r="F1150" s="75"/>
      <c r="G1150" s="67"/>
      <c r="H1150" s="68"/>
      <c r="I1150" s="76"/>
      <c r="J1150" s="67"/>
      <c r="K1150" s="7" t="s">
        <v>741</v>
      </c>
      <c r="L1150" s="77"/>
      <c r="M1150" s="79"/>
      <c r="N1150" s="1"/>
      <c r="O1150" s="1"/>
      <c r="P1150" s="1"/>
      <c r="Q1150" s="1"/>
      <c r="R1150" s="1"/>
      <c r="S1150" s="1"/>
      <c r="T1150" s="1"/>
      <c r="U1150" s="1"/>
      <c r="V1150" s="1"/>
      <c r="W1150" s="1"/>
      <c r="X1150" s="1"/>
      <c r="Y1150" s="1"/>
      <c r="Z1150" s="1"/>
      <c r="AA1150" s="1"/>
      <c r="AB1150" s="1"/>
      <c r="AC1150" s="1"/>
      <c r="AD1150" s="1"/>
      <c r="AE1150" s="1"/>
      <c r="AF1150" s="1"/>
      <c r="AG1150" s="1"/>
      <c r="AH1150" s="1"/>
    </row>
    <row r="1151" ht="12.75" hidden="1" customHeight="1" outlineLevel="1">
      <c r="A1151" s="17">
        <v>41205.0</v>
      </c>
      <c r="B1151" s="1"/>
      <c r="C1151" s="1" t="s">
        <v>429</v>
      </c>
      <c r="D1151" s="74"/>
      <c r="E1151" s="67"/>
      <c r="F1151" s="75"/>
      <c r="G1151" s="67"/>
      <c r="H1151" s="68"/>
      <c r="I1151" s="76"/>
      <c r="J1151" s="67"/>
      <c r="K1151" s="7" t="s">
        <v>679</v>
      </c>
      <c r="L1151" s="77"/>
      <c r="M1151" s="79"/>
      <c r="N1151" s="1"/>
      <c r="O1151" s="1"/>
      <c r="P1151" s="1"/>
      <c r="Q1151" s="1"/>
      <c r="R1151" s="1"/>
      <c r="S1151" s="1"/>
      <c r="T1151" s="1"/>
      <c r="U1151" s="1"/>
      <c r="V1151" s="1"/>
      <c r="W1151" s="1"/>
      <c r="X1151" s="1"/>
      <c r="Y1151" s="1"/>
      <c r="Z1151" s="1"/>
      <c r="AA1151" s="1"/>
      <c r="AB1151" s="1"/>
      <c r="AC1151" s="1"/>
      <c r="AD1151" s="1"/>
      <c r="AE1151" s="1"/>
      <c r="AF1151" s="1"/>
      <c r="AG1151" s="1"/>
      <c r="AH1151" s="1"/>
    </row>
    <row r="1152" ht="12.75" hidden="1" customHeight="1" outlineLevel="1">
      <c r="A1152" s="17">
        <v>41205.0</v>
      </c>
      <c r="B1152" s="1"/>
      <c r="C1152" s="1" t="s">
        <v>431</v>
      </c>
      <c r="D1152" s="74"/>
      <c r="E1152" s="67"/>
      <c r="F1152" s="75"/>
      <c r="G1152" s="67"/>
      <c r="H1152" s="68"/>
      <c r="I1152" s="76"/>
      <c r="J1152" s="67"/>
      <c r="K1152" s="7" t="s">
        <v>669</v>
      </c>
      <c r="L1152" s="77"/>
      <c r="M1152" s="79"/>
      <c r="N1152" s="1"/>
      <c r="O1152" s="1"/>
      <c r="P1152" s="1"/>
      <c r="Q1152" s="1"/>
      <c r="R1152" s="1"/>
      <c r="S1152" s="1"/>
      <c r="T1152" s="1"/>
      <c r="U1152" s="1"/>
      <c r="V1152" s="1"/>
      <c r="W1152" s="1"/>
      <c r="X1152" s="1"/>
      <c r="Y1152" s="1"/>
      <c r="Z1152" s="1"/>
      <c r="AA1152" s="1"/>
      <c r="AB1152" s="1"/>
      <c r="AC1152" s="1"/>
      <c r="AD1152" s="1"/>
      <c r="AE1152" s="1"/>
      <c r="AF1152" s="1"/>
      <c r="AG1152" s="1"/>
      <c r="AH1152" s="1"/>
    </row>
    <row r="1153" ht="12.75" hidden="1" customHeight="1" outlineLevel="1">
      <c r="A1153" s="17">
        <v>41205.0</v>
      </c>
      <c r="B1153" s="1"/>
      <c r="C1153" s="1" t="s">
        <v>433</v>
      </c>
      <c r="D1153" s="74"/>
      <c r="E1153" s="67"/>
      <c r="F1153" s="75"/>
      <c r="G1153" s="67"/>
      <c r="H1153" s="68"/>
      <c r="I1153" s="76"/>
      <c r="J1153" s="67"/>
      <c r="K1153" s="1" t="s">
        <v>434</v>
      </c>
      <c r="L1153" s="77"/>
      <c r="M1153" s="79"/>
      <c r="N1153" s="1"/>
      <c r="O1153" s="1"/>
      <c r="P1153" s="1"/>
      <c r="Q1153" s="1"/>
      <c r="R1153" s="1"/>
      <c r="S1153" s="1"/>
      <c r="T1153" s="1"/>
      <c r="U1153" s="1"/>
      <c r="V1153" s="1"/>
      <c r="W1153" s="1"/>
      <c r="X1153" s="1"/>
      <c r="Y1153" s="1"/>
      <c r="Z1153" s="1"/>
      <c r="AA1153" s="1"/>
      <c r="AB1153" s="1"/>
      <c r="AC1153" s="1"/>
      <c r="AD1153" s="1"/>
      <c r="AE1153" s="1"/>
      <c r="AF1153" s="1"/>
      <c r="AG1153" s="1"/>
      <c r="AH1153" s="1"/>
    </row>
    <row r="1154" ht="12.75" hidden="1" customHeight="1" outlineLevel="1">
      <c r="A1154" s="17">
        <v>41205.0</v>
      </c>
      <c r="B1154" s="1"/>
      <c r="C1154" s="1" t="s">
        <v>435</v>
      </c>
      <c r="D1154" s="74"/>
      <c r="E1154" s="67"/>
      <c r="F1154" s="75"/>
      <c r="G1154" s="67"/>
      <c r="H1154" s="68"/>
      <c r="I1154" s="76"/>
      <c r="J1154" s="67"/>
      <c r="K1154" s="7" t="s">
        <v>697</v>
      </c>
      <c r="L1154" s="77"/>
      <c r="M1154" s="79"/>
      <c r="N1154" s="1"/>
      <c r="O1154" s="1"/>
      <c r="P1154" s="1"/>
      <c r="Q1154" s="1"/>
      <c r="R1154" s="1"/>
      <c r="S1154" s="1"/>
      <c r="T1154" s="1"/>
      <c r="U1154" s="1"/>
      <c r="V1154" s="1"/>
      <c r="W1154" s="1"/>
      <c r="X1154" s="1"/>
      <c r="Y1154" s="1"/>
      <c r="Z1154" s="1"/>
      <c r="AA1154" s="1"/>
      <c r="AB1154" s="1"/>
      <c r="AC1154" s="1"/>
      <c r="AD1154" s="1"/>
      <c r="AE1154" s="1"/>
      <c r="AF1154" s="1"/>
      <c r="AG1154" s="1"/>
      <c r="AH1154" s="1"/>
    </row>
    <row r="1155" ht="12.75" hidden="1" customHeight="1" outlineLevel="1">
      <c r="A1155" s="17">
        <v>41206.0</v>
      </c>
      <c r="B1155" s="1" t="s">
        <v>347</v>
      </c>
      <c r="C1155" s="1" t="s">
        <v>387</v>
      </c>
      <c r="D1155" s="74">
        <v>150.0</v>
      </c>
      <c r="E1155" s="67">
        <v>77.05</v>
      </c>
      <c r="F1155" s="75">
        <v>0.6152893518518519</v>
      </c>
      <c r="G1155" s="67" t="s">
        <v>453</v>
      </c>
      <c r="H1155" s="68">
        <v>1.0</v>
      </c>
      <c r="I1155" s="76"/>
      <c r="J1155" s="67">
        <f>IF(B1155="SLD",D1155*E1155,-D1155*E1155)-H1155</f>
        <v>11556.5</v>
      </c>
      <c r="K1155" s="7"/>
      <c r="L1155" s="70"/>
      <c r="M1155" s="79"/>
      <c r="N1155" s="1"/>
      <c r="O1155" s="1"/>
      <c r="P1155" s="1"/>
      <c r="Q1155" s="1"/>
      <c r="R1155" s="1"/>
      <c r="S1155" s="1"/>
      <c r="T1155" s="1"/>
      <c r="U1155" s="1"/>
      <c r="V1155" s="1"/>
      <c r="W1155" s="1"/>
      <c r="X1155" s="1"/>
      <c r="Y1155" s="1"/>
      <c r="Z1155" s="1"/>
      <c r="AA1155" s="1"/>
      <c r="AB1155" s="1"/>
      <c r="AC1155" s="1"/>
      <c r="AD1155" s="1"/>
      <c r="AE1155" s="1"/>
      <c r="AF1155" s="1"/>
      <c r="AG1155" s="1"/>
      <c r="AH1155" s="1"/>
    </row>
    <row r="1156" ht="12.75" hidden="1" customHeight="1" outlineLevel="1">
      <c r="A1156" s="17">
        <v>41206.0</v>
      </c>
      <c r="B1156" s="1"/>
      <c r="C1156" s="1" t="s">
        <v>339</v>
      </c>
      <c r="D1156" s="74"/>
      <c r="E1156" s="67"/>
      <c r="F1156" s="75"/>
      <c r="G1156" s="67"/>
      <c r="H1156" s="68"/>
      <c r="I1156" s="76"/>
      <c r="J1156" s="67"/>
      <c r="K1156" s="7" t="s">
        <v>744</v>
      </c>
      <c r="L1156" s="77"/>
      <c r="M1156" s="79"/>
      <c r="N1156" s="1"/>
      <c r="O1156" s="1"/>
      <c r="P1156" s="1"/>
      <c r="Q1156" s="1"/>
      <c r="R1156" s="1"/>
      <c r="S1156" s="1"/>
      <c r="T1156" s="1"/>
      <c r="U1156" s="1"/>
      <c r="V1156" s="1"/>
      <c r="W1156" s="1"/>
      <c r="X1156" s="1"/>
      <c r="Y1156" s="1"/>
      <c r="Z1156" s="1"/>
      <c r="AA1156" s="1"/>
      <c r="AB1156" s="1"/>
      <c r="AC1156" s="1"/>
      <c r="AD1156" s="1"/>
      <c r="AE1156" s="1"/>
      <c r="AF1156" s="1"/>
      <c r="AG1156" s="1"/>
      <c r="AH1156" s="1"/>
    </row>
    <row r="1157" ht="12.75" hidden="1" customHeight="1" outlineLevel="1">
      <c r="A1157" s="17">
        <v>41206.0</v>
      </c>
      <c r="B1157" s="1"/>
      <c r="C1157" s="1" t="s">
        <v>429</v>
      </c>
      <c r="D1157" s="74"/>
      <c r="E1157" s="67"/>
      <c r="F1157" s="75"/>
      <c r="G1157" s="67"/>
      <c r="H1157" s="68"/>
      <c r="I1157" s="76"/>
      <c r="J1157" s="67"/>
      <c r="K1157" s="7" t="s">
        <v>679</v>
      </c>
      <c r="L1157" s="77"/>
      <c r="M1157" s="79"/>
      <c r="N1157" s="1"/>
      <c r="O1157" s="1"/>
      <c r="P1157" s="1"/>
      <c r="Q1157" s="1"/>
      <c r="R1157" s="1"/>
      <c r="S1157" s="1"/>
      <c r="T1157" s="1"/>
      <c r="U1157" s="1"/>
      <c r="V1157" s="1"/>
      <c r="W1157" s="1"/>
      <c r="X1157" s="1"/>
      <c r="Y1157" s="1"/>
      <c r="Z1157" s="1"/>
      <c r="AA1157" s="1"/>
      <c r="AB1157" s="1"/>
      <c r="AC1157" s="1"/>
      <c r="AD1157" s="1"/>
      <c r="AE1157" s="1"/>
      <c r="AF1157" s="1"/>
      <c r="AG1157" s="1"/>
      <c r="AH1157" s="1"/>
    </row>
    <row r="1158" ht="12.75" hidden="1" customHeight="1" outlineLevel="1">
      <c r="A1158" s="17">
        <v>41206.0</v>
      </c>
      <c r="B1158" s="1"/>
      <c r="C1158" s="1" t="s">
        <v>431</v>
      </c>
      <c r="D1158" s="74"/>
      <c r="E1158" s="67"/>
      <c r="F1158" s="75"/>
      <c r="G1158" s="67"/>
      <c r="H1158" s="68"/>
      <c r="I1158" s="76"/>
      <c r="J1158" s="67"/>
      <c r="K1158" s="7" t="s">
        <v>669</v>
      </c>
      <c r="L1158" s="77"/>
      <c r="M1158" s="79"/>
      <c r="N1158" s="1"/>
      <c r="O1158" s="1"/>
      <c r="P1158" s="1"/>
      <c r="Q1158" s="1"/>
      <c r="R1158" s="1"/>
      <c r="S1158" s="1"/>
      <c r="T1158" s="1"/>
      <c r="U1158" s="1"/>
      <c r="V1158" s="1"/>
      <c r="W1158" s="1"/>
      <c r="X1158" s="1"/>
      <c r="Y1158" s="1"/>
      <c r="Z1158" s="1"/>
      <c r="AA1158" s="1"/>
      <c r="AB1158" s="1"/>
      <c r="AC1158" s="1"/>
      <c r="AD1158" s="1"/>
      <c r="AE1158" s="1"/>
      <c r="AF1158" s="1"/>
      <c r="AG1158" s="1"/>
      <c r="AH1158" s="1"/>
    </row>
    <row r="1159" ht="12.75" hidden="1" customHeight="1" outlineLevel="1">
      <c r="A1159" s="17">
        <v>41206.0</v>
      </c>
      <c r="B1159" s="1"/>
      <c r="C1159" s="1" t="s">
        <v>433</v>
      </c>
      <c r="D1159" s="74"/>
      <c r="E1159" s="67"/>
      <c r="F1159" s="75"/>
      <c r="G1159" s="67"/>
      <c r="H1159" s="68"/>
      <c r="I1159" s="76"/>
      <c r="J1159" s="67"/>
      <c r="K1159" s="1" t="s">
        <v>434</v>
      </c>
      <c r="L1159" s="77"/>
      <c r="M1159" s="79"/>
      <c r="N1159" s="1"/>
      <c r="O1159" s="1"/>
      <c r="P1159" s="1"/>
      <c r="Q1159" s="1"/>
      <c r="R1159" s="1"/>
      <c r="S1159" s="1"/>
      <c r="T1159" s="1"/>
      <c r="U1159" s="1"/>
      <c r="V1159" s="1"/>
      <c r="W1159" s="1"/>
      <c r="X1159" s="1"/>
      <c r="Y1159" s="1"/>
      <c r="Z1159" s="1"/>
      <c r="AA1159" s="1"/>
      <c r="AB1159" s="1"/>
      <c r="AC1159" s="1"/>
      <c r="AD1159" s="1"/>
      <c r="AE1159" s="1"/>
      <c r="AF1159" s="1"/>
      <c r="AG1159" s="1"/>
      <c r="AH1159" s="1"/>
    </row>
    <row r="1160" ht="12.75" hidden="1" customHeight="1" outlineLevel="1">
      <c r="A1160" s="17">
        <v>41206.0</v>
      </c>
      <c r="B1160" s="1"/>
      <c r="C1160" s="1" t="s">
        <v>435</v>
      </c>
      <c r="D1160" s="74"/>
      <c r="E1160" s="67"/>
      <c r="F1160" s="75"/>
      <c r="G1160" s="67"/>
      <c r="H1160" s="68"/>
      <c r="I1160" s="76"/>
      <c r="J1160" s="67"/>
      <c r="K1160" s="7" t="s">
        <v>745</v>
      </c>
      <c r="L1160" s="77"/>
      <c r="M1160" s="79"/>
      <c r="N1160" s="1"/>
      <c r="O1160" s="1"/>
      <c r="P1160" s="1"/>
      <c r="Q1160" s="1"/>
      <c r="R1160" s="1"/>
      <c r="S1160" s="1"/>
      <c r="T1160" s="1"/>
      <c r="U1160" s="1"/>
      <c r="V1160" s="1"/>
      <c r="W1160" s="1"/>
      <c r="X1160" s="1"/>
      <c r="Y1160" s="1"/>
      <c r="Z1160" s="1"/>
      <c r="AA1160" s="1"/>
      <c r="AB1160" s="1"/>
      <c r="AC1160" s="1"/>
      <c r="AD1160" s="1"/>
      <c r="AE1160" s="1"/>
      <c r="AF1160" s="1"/>
      <c r="AG1160" s="1"/>
      <c r="AH1160" s="1"/>
    </row>
    <row r="1161" ht="12.75" hidden="1" customHeight="1" outlineLevel="1">
      <c r="A1161" s="17">
        <v>41207.0</v>
      </c>
      <c r="B1161" s="1" t="s">
        <v>343</v>
      </c>
      <c r="C1161" s="1" t="s">
        <v>399</v>
      </c>
      <c r="D1161" s="74">
        <v>1600.0</v>
      </c>
      <c r="E1161" s="67">
        <v>4.43</v>
      </c>
      <c r="F1161" s="75">
        <v>0.4079861111111111</v>
      </c>
      <c r="G1161" s="67" t="s">
        <v>453</v>
      </c>
      <c r="H1161" s="68">
        <v>7.1</v>
      </c>
      <c r="I1161" s="76"/>
      <c r="J1161" s="67">
        <f t="shared" ref="J1161:J1163" si="83">IF(B1161="SLD",D1161*E1161,-D1161*E1161)-H1161</f>
        <v>-7095.1</v>
      </c>
      <c r="K1161" s="7"/>
      <c r="L1161" s="70"/>
      <c r="M1161" s="79"/>
      <c r="N1161" s="1"/>
      <c r="O1161" s="1"/>
      <c r="P1161" s="1"/>
      <c r="Q1161" s="1"/>
      <c r="R1161" s="1"/>
      <c r="S1161" s="1"/>
      <c r="T1161" s="1"/>
      <c r="U1161" s="1"/>
      <c r="V1161" s="1"/>
      <c r="W1161" s="1"/>
      <c r="X1161" s="1"/>
      <c r="Y1161" s="1"/>
      <c r="Z1161" s="1"/>
      <c r="AA1161" s="1"/>
      <c r="AB1161" s="1"/>
      <c r="AC1161" s="1"/>
      <c r="AD1161" s="1"/>
      <c r="AE1161" s="1"/>
      <c r="AF1161" s="1"/>
      <c r="AG1161" s="1"/>
      <c r="AH1161" s="1"/>
    </row>
    <row r="1162" ht="12.75" hidden="1" customHeight="1" outlineLevel="1">
      <c r="A1162" s="17">
        <v>41207.0</v>
      </c>
      <c r="B1162" s="1" t="s">
        <v>343</v>
      </c>
      <c r="C1162" s="1" t="s">
        <v>385</v>
      </c>
      <c r="D1162" s="74">
        <v>1800.0</v>
      </c>
      <c r="E1162" s="67">
        <v>2.45</v>
      </c>
      <c r="F1162" s="75">
        <v>0.4082986111111111</v>
      </c>
      <c r="G1162" s="67" t="s">
        <v>453</v>
      </c>
      <c r="H1162" s="68">
        <v>9.0</v>
      </c>
      <c r="I1162" s="76"/>
      <c r="J1162" s="67">
        <f t="shared" si="83"/>
        <v>-4419</v>
      </c>
      <c r="K1162" s="7"/>
      <c r="L1162" s="70"/>
      <c r="M1162" s="79"/>
      <c r="N1162" s="1"/>
      <c r="O1162" s="1"/>
      <c r="P1162" s="1"/>
      <c r="Q1162" s="1"/>
      <c r="R1162" s="1"/>
      <c r="S1162" s="1"/>
      <c r="T1162" s="1"/>
      <c r="U1162" s="1"/>
      <c r="V1162" s="1"/>
      <c r="W1162" s="1"/>
      <c r="X1162" s="1"/>
      <c r="Y1162" s="1"/>
      <c r="Z1162" s="1"/>
      <c r="AA1162" s="1"/>
      <c r="AB1162" s="1"/>
      <c r="AC1162" s="1"/>
      <c r="AD1162" s="1"/>
      <c r="AE1162" s="1"/>
      <c r="AF1162" s="1"/>
      <c r="AG1162" s="1"/>
      <c r="AH1162" s="1"/>
    </row>
    <row r="1163" ht="12.75" hidden="1" customHeight="1" outlineLevel="1">
      <c r="A1163" s="17">
        <v>41207.0</v>
      </c>
      <c r="B1163" s="1" t="s">
        <v>347</v>
      </c>
      <c r="C1163" s="1" t="s">
        <v>691</v>
      </c>
      <c r="D1163" s="74">
        <v>150.0</v>
      </c>
      <c r="E1163" s="67">
        <v>30.14</v>
      </c>
      <c r="F1163" s="75">
        <v>0.4111226851851852</v>
      </c>
      <c r="G1163" s="67" t="s">
        <v>453</v>
      </c>
      <c r="H1163" s="68">
        <v>1.0</v>
      </c>
      <c r="I1163" s="76"/>
      <c r="J1163" s="67">
        <f t="shared" si="83"/>
        <v>4520</v>
      </c>
      <c r="K1163" s="7"/>
      <c r="L1163" s="70"/>
      <c r="M1163" s="79"/>
      <c r="N1163" s="1"/>
      <c r="O1163" s="1"/>
      <c r="P1163" s="1"/>
      <c r="Q1163" s="1"/>
      <c r="R1163" s="1"/>
      <c r="S1163" s="1"/>
      <c r="T1163" s="1"/>
      <c r="U1163" s="1"/>
      <c r="V1163" s="1"/>
      <c r="W1163" s="1"/>
      <c r="X1163" s="1"/>
      <c r="Y1163" s="1"/>
      <c r="Z1163" s="1"/>
      <c r="AA1163" s="1"/>
      <c r="AB1163" s="1"/>
      <c r="AC1163" s="1"/>
      <c r="AD1163" s="1"/>
      <c r="AE1163" s="1"/>
      <c r="AF1163" s="1"/>
      <c r="AG1163" s="1"/>
      <c r="AH1163" s="1"/>
    </row>
    <row r="1164" ht="12.75" hidden="1" customHeight="1" outlineLevel="1">
      <c r="A1164" s="17">
        <v>41207.0</v>
      </c>
      <c r="B1164" s="1"/>
      <c r="C1164" s="1" t="s">
        <v>339</v>
      </c>
      <c r="D1164" s="74"/>
      <c r="E1164" s="67"/>
      <c r="F1164" s="75"/>
      <c r="G1164" s="67"/>
      <c r="H1164" s="68"/>
      <c r="I1164" s="76"/>
      <c r="J1164" s="67"/>
      <c r="K1164" s="7" t="s">
        <v>746</v>
      </c>
      <c r="L1164" s="77"/>
      <c r="M1164" s="79"/>
      <c r="N1164" s="1"/>
      <c r="O1164" s="1"/>
      <c r="P1164" s="1"/>
      <c r="Q1164" s="1"/>
      <c r="R1164" s="1"/>
      <c r="S1164" s="1"/>
      <c r="T1164" s="1"/>
      <c r="U1164" s="1"/>
      <c r="V1164" s="1"/>
      <c r="W1164" s="1"/>
      <c r="X1164" s="1"/>
      <c r="Y1164" s="1"/>
      <c r="Z1164" s="1"/>
      <c r="AA1164" s="1"/>
      <c r="AB1164" s="1"/>
      <c r="AC1164" s="1"/>
      <c r="AD1164" s="1"/>
      <c r="AE1164" s="1"/>
      <c r="AF1164" s="1"/>
      <c r="AG1164" s="1"/>
      <c r="AH1164" s="1"/>
    </row>
    <row r="1165" ht="12.75" hidden="1" customHeight="1" outlineLevel="1">
      <c r="A1165" s="17">
        <v>41207.0</v>
      </c>
      <c r="B1165" s="1"/>
      <c r="C1165" s="1" t="s">
        <v>429</v>
      </c>
      <c r="D1165" s="74"/>
      <c r="E1165" s="67"/>
      <c r="F1165" s="75"/>
      <c r="G1165" s="67"/>
      <c r="H1165" s="68"/>
      <c r="I1165" s="76"/>
      <c r="J1165" s="67"/>
      <c r="K1165" s="7" t="s">
        <v>679</v>
      </c>
      <c r="L1165" s="77"/>
      <c r="M1165" s="79"/>
      <c r="N1165" s="1"/>
      <c r="O1165" s="1"/>
      <c r="P1165" s="1"/>
      <c r="Q1165" s="1"/>
      <c r="R1165" s="1"/>
      <c r="S1165" s="1"/>
      <c r="T1165" s="1"/>
      <c r="U1165" s="1"/>
      <c r="V1165" s="1"/>
      <c r="W1165" s="1"/>
      <c r="X1165" s="1"/>
      <c r="Y1165" s="1"/>
      <c r="Z1165" s="1"/>
      <c r="AA1165" s="1"/>
      <c r="AB1165" s="1"/>
      <c r="AC1165" s="1"/>
      <c r="AD1165" s="1"/>
      <c r="AE1165" s="1"/>
      <c r="AF1165" s="1"/>
      <c r="AG1165" s="1"/>
      <c r="AH1165" s="1"/>
    </row>
    <row r="1166" ht="12.75" hidden="1" customHeight="1" outlineLevel="1">
      <c r="A1166" s="17">
        <v>41207.0</v>
      </c>
      <c r="B1166" s="1"/>
      <c r="C1166" s="1" t="s">
        <v>431</v>
      </c>
      <c r="D1166" s="74"/>
      <c r="E1166" s="67"/>
      <c r="F1166" s="75"/>
      <c r="G1166" s="67"/>
      <c r="H1166" s="68"/>
      <c r="I1166" s="76"/>
      <c r="J1166" s="67"/>
      <c r="K1166" s="7" t="s">
        <v>669</v>
      </c>
      <c r="L1166" s="77"/>
      <c r="M1166" s="79"/>
      <c r="N1166" s="1"/>
      <c r="O1166" s="1"/>
      <c r="P1166" s="1"/>
      <c r="Q1166" s="1"/>
      <c r="R1166" s="1"/>
      <c r="S1166" s="1"/>
      <c r="T1166" s="1"/>
      <c r="U1166" s="1"/>
      <c r="V1166" s="1"/>
      <c r="W1166" s="1"/>
      <c r="X1166" s="1"/>
      <c r="Y1166" s="1"/>
      <c r="Z1166" s="1"/>
      <c r="AA1166" s="1"/>
      <c r="AB1166" s="1"/>
      <c r="AC1166" s="1"/>
      <c r="AD1166" s="1"/>
      <c r="AE1166" s="1"/>
      <c r="AF1166" s="1"/>
      <c r="AG1166" s="1"/>
      <c r="AH1166" s="1"/>
    </row>
    <row r="1167" ht="12.75" hidden="1" customHeight="1" outlineLevel="1">
      <c r="A1167" s="17">
        <v>41207.0</v>
      </c>
      <c r="B1167" s="1"/>
      <c r="C1167" s="1" t="s">
        <v>433</v>
      </c>
      <c r="D1167" s="74"/>
      <c r="E1167" s="67"/>
      <c r="F1167" s="75"/>
      <c r="G1167" s="67"/>
      <c r="H1167" s="68"/>
      <c r="I1167" s="76"/>
      <c r="J1167" s="67"/>
      <c r="K1167" s="1" t="s">
        <v>434</v>
      </c>
      <c r="L1167" s="77"/>
      <c r="M1167" s="79"/>
      <c r="N1167" s="1"/>
      <c r="O1167" s="1"/>
      <c r="P1167" s="1"/>
      <c r="Q1167" s="1"/>
      <c r="R1167" s="1"/>
      <c r="S1167" s="1"/>
      <c r="T1167" s="1"/>
      <c r="U1167" s="1"/>
      <c r="V1167" s="1"/>
      <c r="W1167" s="1"/>
      <c r="X1167" s="1"/>
      <c r="Y1167" s="1"/>
      <c r="Z1167" s="1"/>
      <c r="AA1167" s="1"/>
      <c r="AB1167" s="1"/>
      <c r="AC1167" s="1"/>
      <c r="AD1167" s="1"/>
      <c r="AE1167" s="1"/>
      <c r="AF1167" s="1"/>
      <c r="AG1167" s="1"/>
      <c r="AH1167" s="1"/>
    </row>
    <row r="1168" ht="12.75" hidden="1" customHeight="1" outlineLevel="1">
      <c r="A1168" s="17">
        <v>41207.0</v>
      </c>
      <c r="B1168" s="1"/>
      <c r="C1168" s="1" t="s">
        <v>435</v>
      </c>
      <c r="D1168" s="74"/>
      <c r="E1168" s="67"/>
      <c r="F1168" s="75"/>
      <c r="G1168" s="67"/>
      <c r="H1168" s="68"/>
      <c r="I1168" s="76"/>
      <c r="J1168" s="67"/>
      <c r="K1168" s="7" t="s">
        <v>745</v>
      </c>
      <c r="L1168" s="77"/>
      <c r="M1168" s="79"/>
      <c r="N1168" s="1"/>
      <c r="O1168" s="1"/>
      <c r="P1168" s="1"/>
      <c r="Q1168" s="1"/>
      <c r="R1168" s="1"/>
      <c r="S1168" s="1"/>
      <c r="T1168" s="1"/>
      <c r="U1168" s="1"/>
      <c r="V1168" s="1"/>
      <c r="W1168" s="1"/>
      <c r="X1168" s="1"/>
      <c r="Y1168" s="1"/>
      <c r="Z1168" s="1"/>
      <c r="AA1168" s="1"/>
      <c r="AB1168" s="1"/>
      <c r="AC1168" s="1"/>
      <c r="AD1168" s="1"/>
      <c r="AE1168" s="1"/>
      <c r="AF1168" s="1"/>
      <c r="AG1168" s="1"/>
      <c r="AH1168" s="1"/>
    </row>
    <row r="1169" ht="12.75" hidden="1" customHeight="1" outlineLevel="1">
      <c r="A1169" s="17">
        <v>41208.0</v>
      </c>
      <c r="B1169" s="1" t="s">
        <v>347</v>
      </c>
      <c r="C1169" s="1" t="s">
        <v>423</v>
      </c>
      <c r="D1169" s="74">
        <v>200.0</v>
      </c>
      <c r="E1169" s="67">
        <v>38.63</v>
      </c>
      <c r="F1169" s="75">
        <v>0.5053356481481481</v>
      </c>
      <c r="G1169" s="67" t="s">
        <v>453</v>
      </c>
      <c r="H1169" s="68">
        <v>1.0</v>
      </c>
      <c r="I1169" s="76"/>
      <c r="J1169" s="67">
        <f t="shared" ref="J1169:J1173" si="84">IF(B1169="SLD",D1169*E1169,-D1169*E1169)-H1169</f>
        <v>7725</v>
      </c>
      <c r="K1169" s="7"/>
      <c r="L1169" s="70"/>
      <c r="M1169" s="79"/>
      <c r="N1169" s="1"/>
      <c r="O1169" s="1"/>
      <c r="P1169" s="1"/>
      <c r="Q1169" s="1"/>
      <c r="R1169" s="1"/>
      <c r="S1169" s="1"/>
      <c r="T1169" s="1"/>
      <c r="U1169" s="1"/>
      <c r="V1169" s="1"/>
      <c r="W1169" s="1"/>
      <c r="X1169" s="1"/>
      <c r="Y1169" s="1"/>
      <c r="Z1169" s="1"/>
      <c r="AA1169" s="1"/>
      <c r="AB1169" s="1"/>
      <c r="AC1169" s="1"/>
      <c r="AD1169" s="1"/>
      <c r="AE1169" s="1"/>
      <c r="AF1169" s="1"/>
      <c r="AG1169" s="1"/>
      <c r="AH1169" s="1"/>
    </row>
    <row r="1170" ht="12.75" hidden="1" customHeight="1" outlineLevel="1">
      <c r="A1170" s="17">
        <v>41208.0</v>
      </c>
      <c r="B1170" s="1" t="s">
        <v>347</v>
      </c>
      <c r="C1170" s="1" t="s">
        <v>413</v>
      </c>
      <c r="D1170" s="74">
        <v>150.0</v>
      </c>
      <c r="E1170" s="67">
        <v>62.26</v>
      </c>
      <c r="F1170" s="75">
        <v>0.507025462962963</v>
      </c>
      <c r="G1170" s="67" t="s">
        <v>453</v>
      </c>
      <c r="H1170" s="68">
        <v>1.0</v>
      </c>
      <c r="I1170" s="76"/>
      <c r="J1170" s="67">
        <f t="shared" si="84"/>
        <v>9338</v>
      </c>
      <c r="K1170" s="7"/>
      <c r="L1170" s="70"/>
      <c r="M1170" s="79"/>
      <c r="N1170" s="1"/>
      <c r="O1170" s="1"/>
      <c r="P1170" s="1"/>
      <c r="Q1170" s="1"/>
      <c r="R1170" s="1"/>
      <c r="S1170" s="1"/>
      <c r="T1170" s="1"/>
      <c r="U1170" s="1"/>
      <c r="V1170" s="1"/>
      <c r="W1170" s="1"/>
      <c r="X1170" s="1"/>
      <c r="Y1170" s="1"/>
      <c r="Z1170" s="1"/>
      <c r="AA1170" s="1"/>
      <c r="AB1170" s="1"/>
      <c r="AC1170" s="1"/>
      <c r="AD1170" s="1"/>
      <c r="AE1170" s="1"/>
      <c r="AF1170" s="1"/>
      <c r="AG1170" s="1"/>
      <c r="AH1170" s="1"/>
    </row>
    <row r="1171" ht="12.75" hidden="1" customHeight="1" outlineLevel="1">
      <c r="A1171" s="17">
        <v>41208.0</v>
      </c>
      <c r="B1171" s="1" t="s">
        <v>347</v>
      </c>
      <c r="C1171" s="1" t="s">
        <v>346</v>
      </c>
      <c r="D1171" s="74">
        <v>15.0</v>
      </c>
      <c r="E1171" s="67">
        <v>592.3</v>
      </c>
      <c r="F1171" s="75">
        <v>0.5179861111111111</v>
      </c>
      <c r="G1171" s="67" t="s">
        <v>453</v>
      </c>
      <c r="H1171" s="68">
        <v>1.0</v>
      </c>
      <c r="I1171" s="76"/>
      <c r="J1171" s="67">
        <f t="shared" si="84"/>
        <v>8883.5</v>
      </c>
      <c r="K1171" s="7"/>
      <c r="L1171" s="70"/>
      <c r="M1171" s="79"/>
      <c r="N1171" s="1"/>
      <c r="O1171" s="1"/>
      <c r="P1171" s="1"/>
      <c r="Q1171" s="1"/>
      <c r="R1171" s="1"/>
      <c r="S1171" s="1"/>
      <c r="T1171" s="1"/>
      <c r="U1171" s="1"/>
      <c r="V1171" s="1"/>
      <c r="W1171" s="1"/>
      <c r="X1171" s="1"/>
      <c r="Y1171" s="1"/>
      <c r="Z1171" s="1"/>
      <c r="AA1171" s="1"/>
      <c r="AB1171" s="1"/>
      <c r="AC1171" s="1"/>
      <c r="AD1171" s="1"/>
      <c r="AE1171" s="1"/>
      <c r="AF1171" s="1"/>
      <c r="AG1171" s="1"/>
      <c r="AH1171" s="1"/>
    </row>
    <row r="1172" ht="12.75" hidden="1" customHeight="1" outlineLevel="1">
      <c r="A1172" s="17">
        <v>41208.0</v>
      </c>
      <c r="B1172" s="1" t="s">
        <v>347</v>
      </c>
      <c r="C1172" s="1" t="s">
        <v>346</v>
      </c>
      <c r="D1172" s="74">
        <v>15.0</v>
      </c>
      <c r="E1172" s="67">
        <v>596.84</v>
      </c>
      <c r="F1172" s="75">
        <v>0.5578240740740741</v>
      </c>
      <c r="G1172" s="67" t="s">
        <v>453</v>
      </c>
      <c r="H1172" s="68">
        <v>1.0</v>
      </c>
      <c r="I1172" s="76"/>
      <c r="J1172" s="67">
        <f t="shared" si="84"/>
        <v>8951.6</v>
      </c>
      <c r="K1172" s="7" t="s">
        <v>607</v>
      </c>
      <c r="L1172" s="70"/>
      <c r="M1172" s="79"/>
      <c r="N1172" s="1"/>
      <c r="O1172" s="1"/>
      <c r="P1172" s="1"/>
      <c r="Q1172" s="1"/>
      <c r="R1172" s="1"/>
      <c r="S1172" s="1"/>
      <c r="T1172" s="1"/>
      <c r="U1172" s="1"/>
      <c r="V1172" s="1"/>
      <c r="W1172" s="1"/>
      <c r="X1172" s="1"/>
      <c r="Y1172" s="1"/>
      <c r="Z1172" s="1"/>
      <c r="AA1172" s="1"/>
      <c r="AB1172" s="1"/>
      <c r="AC1172" s="1"/>
      <c r="AD1172" s="1"/>
      <c r="AE1172" s="1"/>
      <c r="AF1172" s="1"/>
      <c r="AG1172" s="1"/>
      <c r="AH1172" s="1"/>
    </row>
    <row r="1173" ht="12.75" hidden="1" customHeight="1" outlineLevel="1">
      <c r="A1173" s="17">
        <v>41208.0</v>
      </c>
      <c r="B1173" s="1" t="s">
        <v>343</v>
      </c>
      <c r="C1173" s="1" t="s">
        <v>734</v>
      </c>
      <c r="D1173" s="74">
        <v>300.0</v>
      </c>
      <c r="E1173" s="67">
        <v>19.23</v>
      </c>
      <c r="F1173" s="75">
        <v>0.631099537037037</v>
      </c>
      <c r="G1173" s="67" t="s">
        <v>453</v>
      </c>
      <c r="H1173" s="68">
        <v>1.2</v>
      </c>
      <c r="I1173" s="76"/>
      <c r="J1173" s="67">
        <f t="shared" si="84"/>
        <v>-5770.2</v>
      </c>
      <c r="K1173" s="7"/>
      <c r="L1173" s="70"/>
      <c r="M1173" s="79"/>
      <c r="N1173" s="1"/>
      <c r="O1173" s="1"/>
      <c r="P1173" s="1"/>
      <c r="Q1173" s="1"/>
      <c r="R1173" s="1"/>
      <c r="S1173" s="1"/>
      <c r="T1173" s="1"/>
      <c r="U1173" s="1"/>
      <c r="V1173" s="1"/>
      <c r="W1173" s="1"/>
      <c r="X1173" s="1"/>
      <c r="Y1173" s="1"/>
      <c r="Z1173" s="1"/>
      <c r="AA1173" s="1"/>
      <c r="AB1173" s="1"/>
      <c r="AC1173" s="1"/>
      <c r="AD1173" s="1"/>
      <c r="AE1173" s="1"/>
      <c r="AF1173" s="1"/>
      <c r="AG1173" s="1"/>
      <c r="AH1173" s="1"/>
    </row>
    <row r="1174" ht="12.75" hidden="1" customHeight="1" outlineLevel="1">
      <c r="A1174" s="17">
        <v>41208.0</v>
      </c>
      <c r="B1174" s="1"/>
      <c r="C1174" s="1" t="s">
        <v>339</v>
      </c>
      <c r="D1174" s="74"/>
      <c r="E1174" s="67"/>
      <c r="F1174" s="75"/>
      <c r="G1174" s="67"/>
      <c r="H1174" s="68"/>
      <c r="I1174" s="76"/>
      <c r="J1174" s="67"/>
      <c r="K1174" s="7" t="s">
        <v>748</v>
      </c>
      <c r="L1174" s="77"/>
      <c r="M1174" s="79"/>
      <c r="N1174" s="1"/>
      <c r="O1174" s="1"/>
      <c r="P1174" s="1"/>
      <c r="Q1174" s="1"/>
      <c r="R1174" s="1"/>
      <c r="S1174" s="1"/>
      <c r="T1174" s="1"/>
      <c r="U1174" s="1"/>
      <c r="V1174" s="1"/>
      <c r="W1174" s="1"/>
      <c r="X1174" s="1"/>
      <c r="Y1174" s="1"/>
      <c r="Z1174" s="1"/>
      <c r="AA1174" s="1"/>
      <c r="AB1174" s="1"/>
      <c r="AC1174" s="1"/>
      <c r="AD1174" s="1"/>
      <c r="AE1174" s="1"/>
      <c r="AF1174" s="1"/>
      <c r="AG1174" s="1"/>
      <c r="AH1174" s="1"/>
    </row>
    <row r="1175" ht="12.75" hidden="1" customHeight="1" outlineLevel="1">
      <c r="A1175" s="17">
        <v>41208.0</v>
      </c>
      <c r="B1175" s="1"/>
      <c r="C1175" s="1" t="s">
        <v>429</v>
      </c>
      <c r="D1175" s="74"/>
      <c r="E1175" s="67"/>
      <c r="F1175" s="75"/>
      <c r="G1175" s="67"/>
      <c r="H1175" s="68"/>
      <c r="I1175" s="76"/>
      <c r="J1175" s="67"/>
      <c r="K1175" s="7" t="s">
        <v>679</v>
      </c>
      <c r="L1175" s="77"/>
      <c r="M1175" s="79"/>
      <c r="N1175" s="1"/>
      <c r="O1175" s="1"/>
      <c r="P1175" s="1"/>
      <c r="Q1175" s="1"/>
      <c r="R1175" s="1"/>
      <c r="S1175" s="1"/>
      <c r="T1175" s="1"/>
      <c r="U1175" s="1"/>
      <c r="V1175" s="1"/>
      <c r="W1175" s="1"/>
      <c r="X1175" s="1"/>
      <c r="Y1175" s="1"/>
      <c r="Z1175" s="1"/>
      <c r="AA1175" s="1"/>
      <c r="AB1175" s="1"/>
      <c r="AC1175" s="1"/>
      <c r="AD1175" s="1"/>
      <c r="AE1175" s="1"/>
      <c r="AF1175" s="1"/>
      <c r="AG1175" s="1"/>
      <c r="AH1175" s="1"/>
    </row>
    <row r="1176" ht="12.75" hidden="1" customHeight="1" outlineLevel="1">
      <c r="A1176" s="17">
        <v>41208.0</v>
      </c>
      <c r="B1176" s="1"/>
      <c r="C1176" s="1" t="s">
        <v>431</v>
      </c>
      <c r="D1176" s="74"/>
      <c r="E1176" s="67"/>
      <c r="F1176" s="75"/>
      <c r="G1176" s="67"/>
      <c r="H1176" s="68"/>
      <c r="I1176" s="76"/>
      <c r="J1176" s="67"/>
      <c r="K1176" s="7" t="s">
        <v>669</v>
      </c>
      <c r="L1176" s="77"/>
      <c r="M1176" s="79"/>
      <c r="N1176" s="1"/>
      <c r="O1176" s="1"/>
      <c r="P1176" s="1"/>
      <c r="Q1176" s="1"/>
      <c r="R1176" s="1"/>
      <c r="S1176" s="1"/>
      <c r="T1176" s="1"/>
      <c r="U1176" s="1"/>
      <c r="V1176" s="1"/>
      <c r="W1176" s="1"/>
      <c r="X1176" s="1"/>
      <c r="Y1176" s="1"/>
      <c r="Z1176" s="1"/>
      <c r="AA1176" s="1"/>
      <c r="AB1176" s="1"/>
      <c r="AC1176" s="1"/>
      <c r="AD1176" s="1"/>
      <c r="AE1176" s="1"/>
      <c r="AF1176" s="1"/>
      <c r="AG1176" s="1"/>
      <c r="AH1176" s="1"/>
    </row>
    <row r="1177" ht="12.75" hidden="1" customHeight="1" outlineLevel="1">
      <c r="A1177" s="17">
        <v>41208.0</v>
      </c>
      <c r="B1177" s="1"/>
      <c r="C1177" s="1" t="s">
        <v>433</v>
      </c>
      <c r="D1177" s="74"/>
      <c r="E1177" s="67"/>
      <c r="F1177" s="75"/>
      <c r="G1177" s="67"/>
      <c r="H1177" s="68"/>
      <c r="I1177" s="76"/>
      <c r="J1177" s="67"/>
      <c r="K1177" s="1" t="s">
        <v>434</v>
      </c>
      <c r="L1177" s="77"/>
      <c r="M1177" s="79"/>
      <c r="N1177" s="1"/>
      <c r="O1177" s="1"/>
      <c r="P1177" s="1"/>
      <c r="Q1177" s="1"/>
      <c r="R1177" s="1"/>
      <c r="S1177" s="1"/>
      <c r="T1177" s="1"/>
      <c r="U1177" s="1"/>
      <c r="V1177" s="1"/>
      <c r="W1177" s="1"/>
      <c r="X1177" s="1"/>
      <c r="Y1177" s="1"/>
      <c r="Z1177" s="1"/>
      <c r="AA1177" s="1"/>
      <c r="AB1177" s="1"/>
      <c r="AC1177" s="1"/>
      <c r="AD1177" s="1"/>
      <c r="AE1177" s="1"/>
      <c r="AF1177" s="1"/>
      <c r="AG1177" s="1"/>
      <c r="AH1177" s="1"/>
    </row>
    <row r="1178" ht="12.75" hidden="1" customHeight="1" outlineLevel="1">
      <c r="A1178" s="17">
        <v>41208.0</v>
      </c>
      <c r="B1178" s="1"/>
      <c r="C1178" s="1" t="s">
        <v>435</v>
      </c>
      <c r="D1178" s="74"/>
      <c r="E1178" s="67"/>
      <c r="F1178" s="75"/>
      <c r="G1178" s="67"/>
      <c r="H1178" s="68"/>
      <c r="I1178" s="76"/>
      <c r="J1178" s="67"/>
      <c r="K1178" s="7" t="s">
        <v>745</v>
      </c>
      <c r="L1178" s="77"/>
      <c r="M1178" s="79"/>
      <c r="N1178" s="1"/>
      <c r="O1178" s="1"/>
      <c r="P1178" s="1"/>
      <c r="Q1178" s="1"/>
      <c r="R1178" s="1"/>
      <c r="S1178" s="1"/>
      <c r="T1178" s="1"/>
      <c r="U1178" s="1"/>
      <c r="V1178" s="1"/>
      <c r="W1178" s="1"/>
      <c r="X1178" s="1"/>
      <c r="Y1178" s="1"/>
      <c r="Z1178" s="1"/>
      <c r="AA1178" s="1"/>
      <c r="AB1178" s="1"/>
      <c r="AC1178" s="1"/>
      <c r="AD1178" s="1"/>
      <c r="AE1178" s="1"/>
      <c r="AF1178" s="1"/>
      <c r="AG1178" s="1"/>
      <c r="AH1178" s="1"/>
    </row>
    <row r="1179" ht="12.75" hidden="1" customHeight="1" outlineLevel="1">
      <c r="A1179" s="17">
        <v>41211.0</v>
      </c>
      <c r="B1179" s="1"/>
      <c r="C1179" s="1" t="s">
        <v>339</v>
      </c>
      <c r="D1179" s="74"/>
      <c r="E1179" s="67"/>
      <c r="F1179" s="75"/>
      <c r="G1179" s="67"/>
      <c r="H1179" s="68"/>
      <c r="I1179" s="76"/>
      <c r="J1179" s="67"/>
      <c r="K1179" s="7" t="s">
        <v>749</v>
      </c>
      <c r="L1179" s="77"/>
      <c r="M1179" s="79"/>
      <c r="N1179" s="1"/>
      <c r="O1179" s="1"/>
      <c r="P1179" s="1"/>
      <c r="Q1179" s="1"/>
      <c r="R1179" s="1"/>
      <c r="S1179" s="1"/>
      <c r="T1179" s="1"/>
      <c r="U1179" s="1"/>
      <c r="V1179" s="1"/>
      <c r="W1179" s="1"/>
      <c r="X1179" s="1"/>
      <c r="Y1179" s="1"/>
      <c r="Z1179" s="1"/>
      <c r="AA1179" s="1"/>
      <c r="AB1179" s="1"/>
      <c r="AC1179" s="1"/>
      <c r="AD1179" s="1"/>
      <c r="AE1179" s="1"/>
      <c r="AF1179" s="1"/>
      <c r="AG1179" s="1"/>
      <c r="AH1179" s="1"/>
    </row>
    <row r="1180" ht="12.75" hidden="1" customHeight="1" outlineLevel="1">
      <c r="A1180" s="17">
        <v>41211.0</v>
      </c>
      <c r="B1180" s="1"/>
      <c r="C1180" s="1" t="s">
        <v>429</v>
      </c>
      <c r="D1180" s="74"/>
      <c r="E1180" s="67"/>
      <c r="F1180" s="75"/>
      <c r="G1180" s="67"/>
      <c r="H1180" s="68"/>
      <c r="I1180" s="76"/>
      <c r="J1180" s="67"/>
      <c r="K1180" s="7" t="s">
        <v>679</v>
      </c>
      <c r="L1180" s="77"/>
      <c r="M1180" s="79"/>
      <c r="N1180" s="1"/>
      <c r="O1180" s="1"/>
      <c r="P1180" s="1"/>
      <c r="Q1180" s="1"/>
      <c r="R1180" s="1"/>
      <c r="S1180" s="1"/>
      <c r="T1180" s="1"/>
      <c r="U1180" s="1"/>
      <c r="V1180" s="1"/>
      <c r="W1180" s="1"/>
      <c r="X1180" s="1"/>
      <c r="Y1180" s="1"/>
      <c r="Z1180" s="1"/>
      <c r="AA1180" s="1"/>
      <c r="AB1180" s="1"/>
      <c r="AC1180" s="1"/>
      <c r="AD1180" s="1"/>
      <c r="AE1180" s="1"/>
      <c r="AF1180" s="1"/>
      <c r="AG1180" s="1"/>
      <c r="AH1180" s="1"/>
    </row>
    <row r="1181" ht="12.75" hidden="1" customHeight="1" outlineLevel="1">
      <c r="A1181" s="17">
        <v>41211.0</v>
      </c>
      <c r="B1181" s="1"/>
      <c r="C1181" s="1" t="s">
        <v>431</v>
      </c>
      <c r="D1181" s="74"/>
      <c r="E1181" s="67"/>
      <c r="F1181" s="75"/>
      <c r="G1181" s="67"/>
      <c r="H1181" s="68"/>
      <c r="I1181" s="76"/>
      <c r="J1181" s="67"/>
      <c r="K1181" s="7" t="s">
        <v>669</v>
      </c>
      <c r="L1181" s="77"/>
      <c r="M1181" s="79"/>
      <c r="N1181" s="1"/>
      <c r="O1181" s="1"/>
      <c r="P1181" s="1"/>
      <c r="Q1181" s="1"/>
      <c r="R1181" s="1"/>
      <c r="S1181" s="1"/>
      <c r="T1181" s="1"/>
      <c r="U1181" s="1"/>
      <c r="V1181" s="1"/>
      <c r="W1181" s="1"/>
      <c r="X1181" s="1"/>
      <c r="Y1181" s="1"/>
      <c r="Z1181" s="1"/>
      <c r="AA1181" s="1"/>
      <c r="AB1181" s="1"/>
      <c r="AC1181" s="1"/>
      <c r="AD1181" s="1"/>
      <c r="AE1181" s="1"/>
      <c r="AF1181" s="1"/>
      <c r="AG1181" s="1"/>
      <c r="AH1181" s="1"/>
    </row>
    <row r="1182" ht="12.75" hidden="1" customHeight="1" outlineLevel="1">
      <c r="A1182" s="17">
        <v>41211.0</v>
      </c>
      <c r="B1182" s="1"/>
      <c r="C1182" s="1" t="s">
        <v>433</v>
      </c>
      <c r="D1182" s="74"/>
      <c r="E1182" s="67"/>
      <c r="F1182" s="75"/>
      <c r="G1182" s="67"/>
      <c r="H1182" s="68"/>
      <c r="I1182" s="76"/>
      <c r="J1182" s="67"/>
      <c r="K1182" s="1" t="s">
        <v>434</v>
      </c>
      <c r="L1182" s="77"/>
      <c r="M1182" s="79"/>
      <c r="N1182" s="1"/>
      <c r="O1182" s="1"/>
      <c r="P1182" s="1"/>
      <c r="Q1182" s="1"/>
      <c r="R1182" s="1"/>
      <c r="S1182" s="1"/>
      <c r="T1182" s="1"/>
      <c r="U1182" s="1"/>
      <c r="V1182" s="1"/>
      <c r="W1182" s="1"/>
      <c r="X1182" s="1"/>
      <c r="Y1182" s="1"/>
      <c r="Z1182" s="1"/>
      <c r="AA1182" s="1"/>
      <c r="AB1182" s="1"/>
      <c r="AC1182" s="1"/>
      <c r="AD1182" s="1"/>
      <c r="AE1182" s="1"/>
      <c r="AF1182" s="1"/>
      <c r="AG1182" s="1"/>
      <c r="AH1182" s="1"/>
    </row>
    <row r="1183" ht="12.75" hidden="1" customHeight="1" outlineLevel="1">
      <c r="A1183" s="17">
        <v>41211.0</v>
      </c>
      <c r="B1183" s="1"/>
      <c r="C1183" s="1" t="s">
        <v>435</v>
      </c>
      <c r="D1183" s="74"/>
      <c r="E1183" s="67"/>
      <c r="F1183" s="75"/>
      <c r="G1183" s="67"/>
      <c r="H1183" s="68"/>
      <c r="I1183" s="76"/>
      <c r="J1183" s="67"/>
      <c r="K1183" s="7" t="s">
        <v>745</v>
      </c>
      <c r="L1183" s="77"/>
      <c r="M1183" s="79"/>
      <c r="N1183" s="1"/>
      <c r="O1183" s="1"/>
      <c r="P1183" s="1"/>
      <c r="Q1183" s="1"/>
      <c r="R1183" s="1"/>
      <c r="S1183" s="1"/>
      <c r="T1183" s="1"/>
      <c r="U1183" s="1"/>
      <c r="V1183" s="1"/>
      <c r="W1183" s="1"/>
      <c r="X1183" s="1"/>
      <c r="Y1183" s="1"/>
      <c r="Z1183" s="1"/>
      <c r="AA1183" s="1"/>
      <c r="AB1183" s="1"/>
      <c r="AC1183" s="1"/>
      <c r="AD1183" s="1"/>
      <c r="AE1183" s="1"/>
      <c r="AF1183" s="1"/>
      <c r="AG1183" s="1"/>
      <c r="AH1183" s="1"/>
    </row>
    <row r="1184" ht="12.75" hidden="1" customHeight="1" outlineLevel="1">
      <c r="A1184" s="17">
        <v>41212.0</v>
      </c>
      <c r="B1184" s="1"/>
      <c r="C1184" s="1" t="s">
        <v>339</v>
      </c>
      <c r="D1184" s="74"/>
      <c r="E1184" s="67"/>
      <c r="F1184" s="75"/>
      <c r="G1184" s="67"/>
      <c r="H1184" s="68"/>
      <c r="I1184" s="76"/>
      <c r="J1184" s="67"/>
      <c r="K1184" s="7" t="s">
        <v>750</v>
      </c>
      <c r="L1184" s="77"/>
      <c r="M1184" s="79"/>
      <c r="N1184" s="1"/>
      <c r="O1184" s="1"/>
      <c r="P1184" s="1"/>
      <c r="Q1184" s="1"/>
      <c r="R1184" s="1"/>
      <c r="S1184" s="1"/>
      <c r="T1184" s="1"/>
      <c r="U1184" s="1"/>
      <c r="V1184" s="1"/>
      <c r="W1184" s="1"/>
      <c r="X1184" s="1"/>
      <c r="Y1184" s="1"/>
      <c r="Z1184" s="1"/>
      <c r="AA1184" s="1"/>
      <c r="AB1184" s="1"/>
      <c r="AC1184" s="1"/>
      <c r="AD1184" s="1"/>
      <c r="AE1184" s="1"/>
      <c r="AF1184" s="1"/>
      <c r="AG1184" s="1"/>
      <c r="AH1184" s="1"/>
    </row>
    <row r="1185" ht="12.75" hidden="1" customHeight="1" outlineLevel="1">
      <c r="A1185" s="17">
        <v>41212.0</v>
      </c>
      <c r="B1185" s="1"/>
      <c r="C1185" s="1" t="s">
        <v>429</v>
      </c>
      <c r="D1185" s="74"/>
      <c r="E1185" s="67"/>
      <c r="F1185" s="75"/>
      <c r="G1185" s="67"/>
      <c r="H1185" s="68"/>
      <c r="I1185" s="76"/>
      <c r="J1185" s="67"/>
      <c r="K1185" s="7" t="s">
        <v>679</v>
      </c>
      <c r="L1185" s="77"/>
      <c r="M1185" s="79"/>
      <c r="N1185" s="1"/>
      <c r="O1185" s="1"/>
      <c r="P1185" s="1"/>
      <c r="Q1185" s="1"/>
      <c r="R1185" s="1"/>
      <c r="S1185" s="1"/>
      <c r="T1185" s="1"/>
      <c r="U1185" s="1"/>
      <c r="V1185" s="1"/>
      <c r="W1185" s="1"/>
      <c r="X1185" s="1"/>
      <c r="Y1185" s="1"/>
      <c r="Z1185" s="1"/>
      <c r="AA1185" s="1"/>
      <c r="AB1185" s="1"/>
      <c r="AC1185" s="1"/>
      <c r="AD1185" s="1"/>
      <c r="AE1185" s="1"/>
      <c r="AF1185" s="1"/>
      <c r="AG1185" s="1"/>
      <c r="AH1185" s="1"/>
    </row>
    <row r="1186" ht="12.75" hidden="1" customHeight="1" outlineLevel="1">
      <c r="A1186" s="17">
        <v>41212.0</v>
      </c>
      <c r="B1186" s="1"/>
      <c r="C1186" s="1" t="s">
        <v>431</v>
      </c>
      <c r="D1186" s="74"/>
      <c r="E1186" s="67"/>
      <c r="F1186" s="75"/>
      <c r="G1186" s="67"/>
      <c r="H1186" s="68"/>
      <c r="I1186" s="76"/>
      <c r="J1186" s="67"/>
      <c r="K1186" s="7" t="s">
        <v>669</v>
      </c>
      <c r="L1186" s="77"/>
      <c r="M1186" s="79"/>
      <c r="N1186" s="1"/>
      <c r="O1186" s="1"/>
      <c r="P1186" s="1"/>
      <c r="Q1186" s="1"/>
      <c r="R1186" s="1"/>
      <c r="S1186" s="1"/>
      <c r="T1186" s="1"/>
      <c r="U1186" s="1"/>
      <c r="V1186" s="1"/>
      <c r="W1186" s="1"/>
      <c r="X1186" s="1"/>
      <c r="Y1186" s="1"/>
      <c r="Z1186" s="1"/>
      <c r="AA1186" s="1"/>
      <c r="AB1186" s="1"/>
      <c r="AC1186" s="1"/>
      <c r="AD1186" s="1"/>
      <c r="AE1186" s="1"/>
      <c r="AF1186" s="1"/>
      <c r="AG1186" s="1"/>
      <c r="AH1186" s="1"/>
    </row>
    <row r="1187" ht="12.75" hidden="1" customHeight="1" outlineLevel="1">
      <c r="A1187" s="17">
        <v>41212.0</v>
      </c>
      <c r="B1187" s="1"/>
      <c r="C1187" s="1" t="s">
        <v>433</v>
      </c>
      <c r="D1187" s="74"/>
      <c r="E1187" s="67"/>
      <c r="F1187" s="75"/>
      <c r="G1187" s="67"/>
      <c r="H1187" s="68"/>
      <c r="I1187" s="76"/>
      <c r="J1187" s="67"/>
      <c r="K1187" s="1" t="s">
        <v>434</v>
      </c>
      <c r="L1187" s="77"/>
      <c r="M1187" s="79"/>
      <c r="N1187" s="1"/>
      <c r="O1187" s="1"/>
      <c r="P1187" s="1"/>
      <c r="Q1187" s="1"/>
      <c r="R1187" s="1"/>
      <c r="S1187" s="1"/>
      <c r="T1187" s="1"/>
      <c r="U1187" s="1"/>
      <c r="V1187" s="1"/>
      <c r="W1187" s="1"/>
      <c r="X1187" s="1"/>
      <c r="Y1187" s="1"/>
      <c r="Z1187" s="1"/>
      <c r="AA1187" s="1"/>
      <c r="AB1187" s="1"/>
      <c r="AC1187" s="1"/>
      <c r="AD1187" s="1"/>
      <c r="AE1187" s="1"/>
      <c r="AF1187" s="1"/>
      <c r="AG1187" s="1"/>
      <c r="AH1187" s="1"/>
    </row>
    <row r="1188" ht="12.75" hidden="1" customHeight="1" outlineLevel="1">
      <c r="A1188" s="17">
        <v>41212.0</v>
      </c>
      <c r="B1188" s="1"/>
      <c r="C1188" s="1" t="s">
        <v>435</v>
      </c>
      <c r="D1188" s="74"/>
      <c r="E1188" s="67"/>
      <c r="F1188" s="75"/>
      <c r="G1188" s="67"/>
      <c r="H1188" s="68"/>
      <c r="I1188" s="76"/>
      <c r="J1188" s="67"/>
      <c r="K1188" s="7" t="s">
        <v>745</v>
      </c>
      <c r="L1188" s="77"/>
      <c r="M1188" s="79"/>
      <c r="N1188" s="1"/>
      <c r="O1188" s="1"/>
      <c r="P1188" s="1"/>
      <c r="Q1188" s="1"/>
      <c r="R1188" s="1"/>
      <c r="S1188" s="1"/>
      <c r="T1188" s="1"/>
      <c r="U1188" s="1"/>
      <c r="V1188" s="1"/>
      <c r="W1188" s="1"/>
      <c r="X1188" s="1"/>
      <c r="Y1188" s="1"/>
      <c r="Z1188" s="1"/>
      <c r="AA1188" s="1"/>
      <c r="AB1188" s="1"/>
      <c r="AC1188" s="1"/>
      <c r="AD1188" s="1"/>
      <c r="AE1188" s="1"/>
      <c r="AF1188" s="1"/>
      <c r="AG1188" s="1"/>
      <c r="AH1188" s="1"/>
    </row>
    <row r="1189" ht="12.75" hidden="1" customHeight="1" outlineLevel="1">
      <c r="A1189" s="17">
        <v>41213.0</v>
      </c>
      <c r="B1189" s="1" t="s">
        <v>343</v>
      </c>
      <c r="C1189" s="1" t="s">
        <v>344</v>
      </c>
      <c r="D1189" s="74">
        <v>200.0</v>
      </c>
      <c r="E1189" s="67">
        <v>34.49</v>
      </c>
      <c r="F1189" s="75">
        <v>0.43979166666666664</v>
      </c>
      <c r="G1189" s="67" t="s">
        <v>453</v>
      </c>
      <c r="H1189" s="68">
        <v>1.0</v>
      </c>
      <c r="I1189" s="76"/>
      <c r="J1189" s="67">
        <f t="shared" ref="J1189:J1202" si="85">IF(B1189="SLD",D1189*E1189,-D1189*E1189)-H1189</f>
        <v>-6899</v>
      </c>
      <c r="K1189" s="7"/>
      <c r="L1189" s="70"/>
      <c r="M1189" s="79"/>
      <c r="N1189" s="1"/>
      <c r="O1189" s="1"/>
      <c r="P1189" s="1"/>
      <c r="Q1189" s="1"/>
      <c r="R1189" s="1"/>
      <c r="S1189" s="1"/>
      <c r="T1189" s="1"/>
      <c r="U1189" s="1"/>
      <c r="V1189" s="1"/>
      <c r="W1189" s="1"/>
      <c r="X1189" s="1"/>
      <c r="Y1189" s="1"/>
      <c r="Z1189" s="1"/>
      <c r="AA1189" s="1"/>
      <c r="AB1189" s="1"/>
      <c r="AC1189" s="1"/>
      <c r="AD1189" s="1"/>
      <c r="AE1189" s="1"/>
      <c r="AF1189" s="1"/>
      <c r="AG1189" s="1"/>
      <c r="AH1189" s="1"/>
    </row>
    <row r="1190" ht="12.75" hidden="1" customHeight="1" outlineLevel="1">
      <c r="A1190" s="17">
        <v>41213.0</v>
      </c>
      <c r="B1190" s="1" t="s">
        <v>343</v>
      </c>
      <c r="C1190" s="1" t="s">
        <v>681</v>
      </c>
      <c r="D1190" s="74">
        <v>200.0</v>
      </c>
      <c r="E1190" s="67">
        <v>15.04</v>
      </c>
      <c r="F1190" s="75">
        <v>0.44280092592592596</v>
      </c>
      <c r="G1190" s="67" t="s">
        <v>453</v>
      </c>
      <c r="H1190" s="68">
        <v>1.0</v>
      </c>
      <c r="I1190" s="76"/>
      <c r="J1190" s="67">
        <f t="shared" si="85"/>
        <v>-3009</v>
      </c>
      <c r="K1190" s="7"/>
      <c r="L1190" s="70"/>
      <c r="M1190" s="79"/>
      <c r="N1190" s="1"/>
      <c r="O1190" s="1"/>
      <c r="P1190" s="1"/>
      <c r="Q1190" s="1"/>
      <c r="R1190" s="1"/>
      <c r="S1190" s="1"/>
      <c r="T1190" s="1"/>
      <c r="U1190" s="1"/>
      <c r="V1190" s="1"/>
      <c r="W1190" s="1"/>
      <c r="X1190" s="1"/>
      <c r="Y1190" s="1"/>
      <c r="Z1190" s="1"/>
      <c r="AA1190" s="1"/>
      <c r="AB1190" s="1"/>
      <c r="AC1190" s="1"/>
      <c r="AD1190" s="1"/>
      <c r="AE1190" s="1"/>
      <c r="AF1190" s="1"/>
      <c r="AG1190" s="1"/>
      <c r="AH1190" s="1"/>
    </row>
    <row r="1191" ht="12.75" hidden="1" customHeight="1" outlineLevel="1">
      <c r="A1191" s="17">
        <v>41213.0</v>
      </c>
      <c r="B1191" s="1" t="s">
        <v>343</v>
      </c>
      <c r="C1191" s="1" t="s">
        <v>751</v>
      </c>
      <c r="D1191" s="74">
        <v>100.0</v>
      </c>
      <c r="E1191" s="67">
        <v>108.52</v>
      </c>
      <c r="F1191" s="75">
        <v>0.45083333333333336</v>
      </c>
      <c r="G1191" s="67" t="s">
        <v>453</v>
      </c>
      <c r="H1191" s="68">
        <v>1.0</v>
      </c>
      <c r="I1191" s="76"/>
      <c r="J1191" s="67">
        <f t="shared" si="85"/>
        <v>-10853</v>
      </c>
      <c r="K1191" s="7"/>
      <c r="L1191" s="70"/>
      <c r="M1191" s="79"/>
      <c r="N1191" s="1"/>
      <c r="O1191" s="1"/>
      <c r="P1191" s="1"/>
      <c r="Q1191" s="1"/>
      <c r="R1191" s="1"/>
      <c r="S1191" s="1"/>
      <c r="T1191" s="1"/>
      <c r="U1191" s="1"/>
      <c r="V1191" s="1"/>
      <c r="W1191" s="1"/>
      <c r="X1191" s="1"/>
      <c r="Y1191" s="1"/>
      <c r="Z1191" s="1"/>
      <c r="AA1191" s="1"/>
      <c r="AB1191" s="1"/>
      <c r="AC1191" s="1"/>
      <c r="AD1191" s="1"/>
      <c r="AE1191" s="1"/>
      <c r="AF1191" s="1"/>
      <c r="AG1191" s="1"/>
      <c r="AH1191" s="1"/>
    </row>
    <row r="1192" ht="12.75" hidden="1" customHeight="1" outlineLevel="1">
      <c r="A1192" s="17">
        <v>41213.0</v>
      </c>
      <c r="B1192" s="1" t="s">
        <v>343</v>
      </c>
      <c r="C1192" s="1" t="s">
        <v>346</v>
      </c>
      <c r="D1192" s="74">
        <v>30.0</v>
      </c>
      <c r="E1192" s="67">
        <v>593.6</v>
      </c>
      <c r="F1192" s="75">
        <v>0.454212962962963</v>
      </c>
      <c r="G1192" s="67" t="s">
        <v>453</v>
      </c>
      <c r="H1192" s="68">
        <v>1.0</v>
      </c>
      <c r="I1192" s="76"/>
      <c r="J1192" s="67">
        <f t="shared" si="85"/>
        <v>-17809</v>
      </c>
      <c r="K1192" s="7"/>
      <c r="L1192" s="70"/>
      <c r="M1192" s="79"/>
      <c r="N1192" s="1"/>
      <c r="O1192" s="1"/>
      <c r="P1192" s="1"/>
      <c r="Q1192" s="1"/>
      <c r="R1192" s="1"/>
      <c r="S1192" s="1"/>
      <c r="T1192" s="1"/>
      <c r="U1192" s="1"/>
      <c r="V1192" s="1"/>
      <c r="W1192" s="1"/>
      <c r="X1192" s="1"/>
      <c r="Y1192" s="1"/>
      <c r="Z1192" s="1"/>
      <c r="AA1192" s="1"/>
      <c r="AB1192" s="1"/>
      <c r="AC1192" s="1"/>
      <c r="AD1192" s="1"/>
      <c r="AE1192" s="1"/>
      <c r="AF1192" s="1"/>
      <c r="AG1192" s="1"/>
      <c r="AH1192" s="1"/>
    </row>
    <row r="1193" ht="12.75" hidden="1" customHeight="1" outlineLevel="1">
      <c r="A1193" s="17">
        <v>41213.0</v>
      </c>
      <c r="B1193" s="1" t="s">
        <v>343</v>
      </c>
      <c r="C1193" s="1" t="s">
        <v>387</v>
      </c>
      <c r="D1193" s="74">
        <v>150.0</v>
      </c>
      <c r="E1193" s="67">
        <v>74.21</v>
      </c>
      <c r="F1193" s="75">
        <v>0.45943287037037034</v>
      </c>
      <c r="G1193" s="67" t="s">
        <v>453</v>
      </c>
      <c r="H1193" s="68">
        <v>1.0</v>
      </c>
      <c r="I1193" s="76"/>
      <c r="J1193" s="67">
        <f t="shared" si="85"/>
        <v>-11132.5</v>
      </c>
      <c r="K1193" s="7"/>
      <c r="L1193" s="70"/>
      <c r="M1193" s="79"/>
      <c r="N1193" s="1"/>
      <c r="O1193" s="1"/>
      <c r="P1193" s="1"/>
      <c r="Q1193" s="1"/>
      <c r="R1193" s="1"/>
      <c r="S1193" s="1"/>
      <c r="T1193" s="1"/>
      <c r="U1193" s="1"/>
      <c r="V1193" s="1"/>
      <c r="W1193" s="1"/>
      <c r="X1193" s="1"/>
      <c r="Y1193" s="1"/>
      <c r="Z1193" s="1"/>
      <c r="AA1193" s="1"/>
      <c r="AB1193" s="1"/>
      <c r="AC1193" s="1"/>
      <c r="AD1193" s="1"/>
      <c r="AE1193" s="1"/>
      <c r="AF1193" s="1"/>
      <c r="AG1193" s="1"/>
      <c r="AH1193" s="1"/>
    </row>
    <row r="1194" ht="12.75" hidden="1" customHeight="1" outlineLevel="1">
      <c r="A1194" s="17">
        <v>41213.0</v>
      </c>
      <c r="B1194" s="1" t="s">
        <v>343</v>
      </c>
      <c r="C1194" s="1" t="s">
        <v>681</v>
      </c>
      <c r="D1194" s="74">
        <v>200.0</v>
      </c>
      <c r="E1194" s="67">
        <v>15.06</v>
      </c>
      <c r="F1194" s="75">
        <v>0.459837962962963</v>
      </c>
      <c r="G1194" s="67" t="s">
        <v>453</v>
      </c>
      <c r="H1194" s="68">
        <v>1.0</v>
      </c>
      <c r="I1194" s="76"/>
      <c r="J1194" s="67">
        <f t="shared" si="85"/>
        <v>-3013</v>
      </c>
      <c r="K1194" s="7"/>
      <c r="L1194" s="70"/>
      <c r="M1194" s="79"/>
      <c r="N1194" s="1"/>
      <c r="O1194" s="1"/>
      <c r="P1194" s="1"/>
      <c r="Q1194" s="1"/>
      <c r="R1194" s="1"/>
      <c r="S1194" s="1"/>
      <c r="T1194" s="1"/>
      <c r="U1194" s="1"/>
      <c r="V1194" s="1"/>
      <c r="W1194" s="1"/>
      <c r="X1194" s="1"/>
      <c r="Y1194" s="1"/>
      <c r="Z1194" s="1"/>
      <c r="AA1194" s="1"/>
      <c r="AB1194" s="1"/>
      <c r="AC1194" s="1"/>
      <c r="AD1194" s="1"/>
      <c r="AE1194" s="1"/>
      <c r="AF1194" s="1"/>
      <c r="AG1194" s="1"/>
      <c r="AH1194" s="1"/>
    </row>
    <row r="1195" ht="12.75" hidden="1" customHeight="1" outlineLevel="1">
      <c r="A1195" s="17">
        <v>41213.0</v>
      </c>
      <c r="B1195" s="1" t="s">
        <v>343</v>
      </c>
      <c r="C1195" s="1" t="s">
        <v>734</v>
      </c>
      <c r="D1195" s="74">
        <v>200.0</v>
      </c>
      <c r="E1195" s="67">
        <v>19.04</v>
      </c>
      <c r="F1195" s="75">
        <v>0.6430555555555556</v>
      </c>
      <c r="G1195" s="67" t="s">
        <v>453</v>
      </c>
      <c r="H1195" s="68">
        <v>1.0</v>
      </c>
      <c r="I1195" s="76"/>
      <c r="J1195" s="67">
        <f t="shared" si="85"/>
        <v>-3809</v>
      </c>
      <c r="K1195" s="7"/>
      <c r="L1195" s="70"/>
      <c r="M1195" s="79"/>
      <c r="N1195" s="1"/>
      <c r="O1195" s="1"/>
      <c r="P1195" s="1"/>
      <c r="Q1195" s="1"/>
      <c r="R1195" s="1"/>
      <c r="S1195" s="1"/>
      <c r="T1195" s="1"/>
      <c r="U1195" s="1"/>
      <c r="V1195" s="1"/>
      <c r="W1195" s="1"/>
      <c r="X1195" s="1"/>
      <c r="Y1195" s="1"/>
      <c r="Z1195" s="1"/>
      <c r="AA1195" s="1"/>
      <c r="AB1195" s="1"/>
      <c r="AC1195" s="1"/>
      <c r="AD1195" s="1"/>
      <c r="AE1195" s="1"/>
      <c r="AF1195" s="1"/>
      <c r="AG1195" s="1"/>
      <c r="AH1195" s="1"/>
    </row>
    <row r="1196" ht="12.75" hidden="1" customHeight="1" outlineLevel="1">
      <c r="A1196" s="17">
        <v>41213.0</v>
      </c>
      <c r="B1196" s="1" t="s">
        <v>343</v>
      </c>
      <c r="C1196" s="1" t="s">
        <v>344</v>
      </c>
      <c r="D1196" s="74">
        <v>200.0</v>
      </c>
      <c r="E1196" s="67">
        <v>34.86</v>
      </c>
      <c r="F1196" s="75">
        <v>0.643449074074074</v>
      </c>
      <c r="G1196" s="67" t="s">
        <v>453</v>
      </c>
      <c r="H1196" s="68">
        <v>1.0</v>
      </c>
      <c r="I1196" s="76"/>
      <c r="J1196" s="67">
        <f t="shared" si="85"/>
        <v>-6973</v>
      </c>
      <c r="K1196" s="7"/>
      <c r="L1196" s="70"/>
      <c r="M1196" s="79"/>
      <c r="N1196" s="1"/>
      <c r="O1196" s="1"/>
      <c r="P1196" s="1"/>
      <c r="Q1196" s="1"/>
      <c r="R1196" s="1"/>
      <c r="S1196" s="1"/>
      <c r="T1196" s="1"/>
      <c r="U1196" s="1"/>
      <c r="V1196" s="1"/>
      <c r="W1196" s="1"/>
      <c r="X1196" s="1"/>
      <c r="Y1196" s="1"/>
      <c r="Z1196" s="1"/>
      <c r="AA1196" s="1"/>
      <c r="AB1196" s="1"/>
      <c r="AC1196" s="1"/>
      <c r="AD1196" s="1"/>
      <c r="AE1196" s="1"/>
      <c r="AF1196" s="1"/>
      <c r="AG1196" s="1"/>
      <c r="AH1196" s="1"/>
    </row>
    <row r="1197" ht="12.75" hidden="1" customHeight="1" outlineLevel="1">
      <c r="A1197" s="17">
        <v>41213.0</v>
      </c>
      <c r="B1197" s="1" t="s">
        <v>343</v>
      </c>
      <c r="C1197" s="1" t="s">
        <v>346</v>
      </c>
      <c r="D1197" s="74">
        <v>10.0</v>
      </c>
      <c r="E1197" s="67">
        <v>599.8</v>
      </c>
      <c r="F1197" s="75">
        <v>0.6494444444444444</v>
      </c>
      <c r="G1197" s="67" t="s">
        <v>453</v>
      </c>
      <c r="H1197" s="68">
        <v>1.0</v>
      </c>
      <c r="I1197" s="76"/>
      <c r="J1197" s="67">
        <f t="shared" si="85"/>
        <v>-5999</v>
      </c>
      <c r="K1197" s="7"/>
      <c r="L1197" s="70"/>
      <c r="M1197" s="79"/>
      <c r="N1197" s="1"/>
      <c r="O1197" s="1"/>
      <c r="P1197" s="1"/>
      <c r="Q1197" s="1"/>
      <c r="R1197" s="1"/>
      <c r="S1197" s="1"/>
      <c r="T1197" s="1"/>
      <c r="U1197" s="1"/>
      <c r="V1197" s="1"/>
      <c r="W1197" s="1"/>
      <c r="X1197" s="1"/>
      <c r="Y1197" s="1"/>
      <c r="Z1197" s="1"/>
      <c r="AA1197" s="1"/>
      <c r="AB1197" s="1"/>
      <c r="AC1197" s="1"/>
      <c r="AD1197" s="1"/>
      <c r="AE1197" s="1"/>
      <c r="AF1197" s="1"/>
      <c r="AG1197" s="1"/>
      <c r="AH1197" s="1"/>
    </row>
    <row r="1198" ht="12.75" hidden="1" customHeight="1" outlineLevel="1">
      <c r="A1198" s="17">
        <v>41213.0</v>
      </c>
      <c r="B1198" s="1" t="s">
        <v>347</v>
      </c>
      <c r="C1198" s="1" t="s">
        <v>680</v>
      </c>
      <c r="D1198" s="74">
        <v>100.0</v>
      </c>
      <c r="E1198" s="67">
        <v>37.19</v>
      </c>
      <c r="F1198" s="75">
        <v>0.6722222222222222</v>
      </c>
      <c r="G1198" s="67" t="s">
        <v>453</v>
      </c>
      <c r="H1198" s="68">
        <v>1.0</v>
      </c>
      <c r="I1198" s="76"/>
      <c r="J1198" s="67">
        <f t="shared" si="85"/>
        <v>3718</v>
      </c>
      <c r="K1198" s="7"/>
      <c r="L1198" s="70"/>
      <c r="M1198" s="79"/>
      <c r="N1198" s="1"/>
      <c r="O1198" s="1"/>
      <c r="P1198" s="1"/>
      <c r="Q1198" s="1"/>
      <c r="R1198" s="1"/>
      <c r="S1198" s="1"/>
      <c r="T1198" s="1"/>
      <c r="U1198" s="1"/>
      <c r="V1198" s="1"/>
      <c r="W1198" s="1"/>
      <c r="X1198" s="1"/>
      <c r="Y1198" s="1"/>
      <c r="Z1198" s="1"/>
      <c r="AA1198" s="1"/>
      <c r="AB1198" s="1"/>
      <c r="AC1198" s="1"/>
      <c r="AD1198" s="1"/>
      <c r="AE1198" s="1"/>
      <c r="AF1198" s="1"/>
      <c r="AG1198" s="1"/>
      <c r="AH1198" s="1"/>
    </row>
    <row r="1199" ht="12.75" hidden="1" customHeight="1" outlineLevel="1">
      <c r="A1199" s="17">
        <v>41213.0</v>
      </c>
      <c r="B1199" s="1" t="s">
        <v>347</v>
      </c>
      <c r="C1199" s="1" t="s">
        <v>680</v>
      </c>
      <c r="D1199" s="74">
        <v>100.0</v>
      </c>
      <c r="E1199" s="67">
        <v>37.2</v>
      </c>
      <c r="F1199" s="75">
        <v>0.6749421296296297</v>
      </c>
      <c r="G1199" s="67" t="s">
        <v>453</v>
      </c>
      <c r="H1199" s="68">
        <v>1.0</v>
      </c>
      <c r="I1199" s="76"/>
      <c r="J1199" s="67">
        <f t="shared" si="85"/>
        <v>3719</v>
      </c>
      <c r="K1199" s="7"/>
      <c r="L1199" s="70"/>
      <c r="M1199" s="79"/>
      <c r="N1199" s="1"/>
      <c r="O1199" s="1"/>
      <c r="P1199" s="1"/>
      <c r="Q1199" s="1"/>
      <c r="R1199" s="1"/>
      <c r="S1199" s="1"/>
      <c r="T1199" s="1"/>
      <c r="U1199" s="1"/>
      <c r="V1199" s="1"/>
      <c r="W1199" s="1"/>
      <c r="X1199" s="1"/>
      <c r="Y1199" s="1"/>
      <c r="Z1199" s="1"/>
      <c r="AA1199" s="1"/>
      <c r="AB1199" s="1"/>
      <c r="AC1199" s="1"/>
      <c r="AD1199" s="1"/>
      <c r="AE1199" s="1"/>
      <c r="AF1199" s="1"/>
      <c r="AG1199" s="1"/>
      <c r="AH1199" s="1"/>
    </row>
    <row r="1200" ht="12.75" hidden="1" customHeight="1" outlineLevel="1">
      <c r="A1200" s="17">
        <v>41213.0</v>
      </c>
      <c r="B1200" s="1" t="s">
        <v>347</v>
      </c>
      <c r="C1200" s="1" t="s">
        <v>691</v>
      </c>
      <c r="D1200" s="74">
        <v>100.0</v>
      </c>
      <c r="E1200" s="67">
        <v>28.06</v>
      </c>
      <c r="F1200" s="75">
        <v>0.6768518518518518</v>
      </c>
      <c r="G1200" s="67" t="s">
        <v>453</v>
      </c>
      <c r="H1200" s="68">
        <v>1.0</v>
      </c>
      <c r="I1200" s="76"/>
      <c r="J1200" s="67">
        <f t="shared" si="85"/>
        <v>2805</v>
      </c>
      <c r="K1200" s="7"/>
      <c r="L1200" s="70"/>
      <c r="M1200" s="79"/>
      <c r="N1200" s="1"/>
      <c r="O1200" s="1"/>
      <c r="P1200" s="1"/>
      <c r="Q1200" s="1"/>
      <c r="R1200" s="1"/>
      <c r="S1200" s="1"/>
      <c r="T1200" s="1"/>
      <c r="U1200" s="1"/>
      <c r="V1200" s="1"/>
      <c r="W1200" s="1"/>
      <c r="X1200" s="1"/>
      <c r="Y1200" s="1"/>
      <c r="Z1200" s="1"/>
      <c r="AA1200" s="1"/>
      <c r="AB1200" s="1"/>
      <c r="AC1200" s="1"/>
      <c r="AD1200" s="1"/>
      <c r="AE1200" s="1"/>
      <c r="AF1200" s="1"/>
      <c r="AG1200" s="1"/>
      <c r="AH1200" s="1"/>
    </row>
    <row r="1201" ht="12.75" hidden="1" customHeight="1" outlineLevel="1">
      <c r="A1201" s="17">
        <v>41213.0</v>
      </c>
      <c r="B1201" s="1" t="s">
        <v>347</v>
      </c>
      <c r="C1201" s="1" t="s">
        <v>381</v>
      </c>
      <c r="D1201" s="74">
        <v>150.0</v>
      </c>
      <c r="E1201" s="67">
        <v>21.0</v>
      </c>
      <c r="F1201" s="75">
        <v>0.6772800925925927</v>
      </c>
      <c r="G1201" s="67" t="s">
        <v>453</v>
      </c>
      <c r="H1201" s="68">
        <v>1.0</v>
      </c>
      <c r="I1201" s="76"/>
      <c r="J1201" s="67">
        <f t="shared" si="85"/>
        <v>3149</v>
      </c>
      <c r="K1201" s="7"/>
      <c r="L1201" s="70"/>
      <c r="M1201" s="79"/>
      <c r="N1201" s="1"/>
      <c r="O1201" s="1"/>
      <c r="P1201" s="1"/>
      <c r="Q1201" s="1"/>
      <c r="R1201" s="1"/>
      <c r="S1201" s="1"/>
      <c r="T1201" s="1"/>
      <c r="U1201" s="1"/>
      <c r="V1201" s="1"/>
      <c r="W1201" s="1"/>
      <c r="X1201" s="1"/>
      <c r="Y1201" s="1"/>
      <c r="Z1201" s="1"/>
      <c r="AA1201" s="1"/>
      <c r="AB1201" s="1"/>
      <c r="AC1201" s="1"/>
      <c r="AD1201" s="1"/>
      <c r="AE1201" s="1"/>
      <c r="AF1201" s="1"/>
      <c r="AG1201" s="1"/>
      <c r="AH1201" s="1"/>
    </row>
    <row r="1202" ht="12.75" hidden="1" customHeight="1" outlineLevel="1">
      <c r="A1202" s="17">
        <v>41213.0</v>
      </c>
      <c r="B1202" s="1" t="s">
        <v>343</v>
      </c>
      <c r="C1202" s="1" t="s">
        <v>346</v>
      </c>
      <c r="D1202" s="74">
        <v>10.0</v>
      </c>
      <c r="E1202" s="67">
        <v>599.79</v>
      </c>
      <c r="F1202" s="75">
        <v>0.6781712962962962</v>
      </c>
      <c r="G1202" s="67" t="s">
        <v>453</v>
      </c>
      <c r="H1202" s="68">
        <v>1.0</v>
      </c>
      <c r="I1202" s="76"/>
      <c r="J1202" s="67">
        <f t="shared" si="85"/>
        <v>-5998.9</v>
      </c>
      <c r="K1202" s="7"/>
      <c r="L1202" s="70"/>
      <c r="M1202" s="79"/>
      <c r="N1202" s="1"/>
      <c r="O1202" s="1"/>
      <c r="P1202" s="1"/>
      <c r="Q1202" s="1"/>
      <c r="R1202" s="1"/>
      <c r="S1202" s="1"/>
      <c r="T1202" s="1"/>
      <c r="U1202" s="1"/>
      <c r="V1202" s="1"/>
      <c r="W1202" s="1"/>
      <c r="X1202" s="1"/>
      <c r="Y1202" s="1"/>
      <c r="Z1202" s="1"/>
      <c r="AA1202" s="1"/>
      <c r="AB1202" s="1"/>
      <c r="AC1202" s="1"/>
      <c r="AD1202" s="1"/>
      <c r="AE1202" s="1"/>
      <c r="AF1202" s="1"/>
      <c r="AG1202" s="1"/>
      <c r="AH1202" s="1"/>
    </row>
    <row r="1203" ht="12.75" hidden="1" customHeight="1" outlineLevel="1">
      <c r="A1203" s="17">
        <v>41213.0</v>
      </c>
      <c r="B1203" s="1"/>
      <c r="C1203" s="1" t="s">
        <v>339</v>
      </c>
      <c r="D1203" s="74"/>
      <c r="E1203" s="67"/>
      <c r="F1203" s="75"/>
      <c r="G1203" s="67"/>
      <c r="H1203" s="68"/>
      <c r="I1203" s="76"/>
      <c r="J1203" s="67"/>
      <c r="K1203" s="7" t="s">
        <v>752</v>
      </c>
      <c r="L1203" s="77"/>
      <c r="M1203" s="79"/>
      <c r="N1203" s="1"/>
      <c r="O1203" s="1"/>
      <c r="P1203" s="1"/>
      <c r="Q1203" s="1"/>
      <c r="R1203" s="1"/>
      <c r="S1203" s="1"/>
      <c r="T1203" s="1"/>
      <c r="U1203" s="1"/>
      <c r="V1203" s="1"/>
      <c r="W1203" s="1"/>
      <c r="X1203" s="1"/>
      <c r="Y1203" s="1"/>
      <c r="Z1203" s="1"/>
      <c r="AA1203" s="1"/>
      <c r="AB1203" s="1"/>
      <c r="AC1203" s="1"/>
      <c r="AD1203" s="1"/>
      <c r="AE1203" s="1"/>
      <c r="AF1203" s="1"/>
      <c r="AG1203" s="1"/>
      <c r="AH1203" s="1"/>
    </row>
    <row r="1204" ht="12.75" hidden="1" customHeight="1" outlineLevel="1">
      <c r="A1204" s="17">
        <v>41213.0</v>
      </c>
      <c r="B1204" s="1"/>
      <c r="C1204" s="1" t="s">
        <v>429</v>
      </c>
      <c r="D1204" s="74"/>
      <c r="E1204" s="67"/>
      <c r="F1204" s="75"/>
      <c r="G1204" s="67"/>
      <c r="H1204" s="68"/>
      <c r="I1204" s="76"/>
      <c r="J1204" s="67"/>
      <c r="K1204" s="7" t="s">
        <v>679</v>
      </c>
      <c r="L1204" s="77"/>
      <c r="M1204" s="79"/>
      <c r="N1204" s="1"/>
      <c r="O1204" s="1"/>
      <c r="P1204" s="1"/>
      <c r="Q1204" s="1"/>
      <c r="R1204" s="1"/>
      <c r="S1204" s="1"/>
      <c r="T1204" s="1"/>
      <c r="U1204" s="1"/>
      <c r="V1204" s="1"/>
      <c r="W1204" s="1"/>
      <c r="X1204" s="1"/>
      <c r="Y1204" s="1"/>
      <c r="Z1204" s="1"/>
      <c r="AA1204" s="1"/>
      <c r="AB1204" s="1"/>
      <c r="AC1204" s="1"/>
      <c r="AD1204" s="1"/>
      <c r="AE1204" s="1"/>
      <c r="AF1204" s="1"/>
      <c r="AG1204" s="1"/>
      <c r="AH1204" s="1"/>
    </row>
    <row r="1205" ht="12.75" hidden="1" customHeight="1" outlineLevel="1">
      <c r="A1205" s="17">
        <v>41213.0</v>
      </c>
      <c r="B1205" s="1"/>
      <c r="C1205" s="1" t="s">
        <v>431</v>
      </c>
      <c r="D1205" s="74"/>
      <c r="E1205" s="67"/>
      <c r="F1205" s="75"/>
      <c r="G1205" s="67"/>
      <c r="H1205" s="68"/>
      <c r="I1205" s="76"/>
      <c r="J1205" s="67"/>
      <c r="K1205" s="7" t="s">
        <v>669</v>
      </c>
      <c r="L1205" s="77"/>
      <c r="M1205" s="79"/>
      <c r="N1205" s="1"/>
      <c r="O1205" s="1"/>
      <c r="P1205" s="1"/>
      <c r="Q1205" s="1"/>
      <c r="R1205" s="1"/>
      <c r="S1205" s="1"/>
      <c r="T1205" s="1"/>
      <c r="U1205" s="1"/>
      <c r="V1205" s="1"/>
      <c r="W1205" s="1"/>
      <c r="X1205" s="1"/>
      <c r="Y1205" s="1"/>
      <c r="Z1205" s="1"/>
      <c r="AA1205" s="1"/>
      <c r="AB1205" s="1"/>
      <c r="AC1205" s="1"/>
      <c r="AD1205" s="1"/>
      <c r="AE1205" s="1"/>
      <c r="AF1205" s="1"/>
      <c r="AG1205" s="1"/>
      <c r="AH1205" s="1"/>
    </row>
    <row r="1206" ht="12.75" hidden="1" customHeight="1" outlineLevel="1">
      <c r="A1206" s="17">
        <v>41213.0</v>
      </c>
      <c r="B1206" s="1"/>
      <c r="C1206" s="1" t="s">
        <v>433</v>
      </c>
      <c r="D1206" s="74"/>
      <c r="E1206" s="67"/>
      <c r="F1206" s="75"/>
      <c r="G1206" s="67"/>
      <c r="H1206" s="68"/>
      <c r="I1206" s="76"/>
      <c r="J1206" s="67"/>
      <c r="K1206" s="1" t="s">
        <v>434</v>
      </c>
      <c r="L1206" s="77"/>
      <c r="M1206" s="79"/>
      <c r="N1206" s="1"/>
      <c r="O1206" s="1"/>
      <c r="P1206" s="1"/>
      <c r="Q1206" s="1"/>
      <c r="R1206" s="1"/>
      <c r="S1206" s="1"/>
      <c r="T1206" s="1"/>
      <c r="U1206" s="1"/>
      <c r="V1206" s="1"/>
      <c r="W1206" s="1"/>
      <c r="X1206" s="1"/>
      <c r="Y1206" s="1"/>
      <c r="Z1206" s="1"/>
      <c r="AA1206" s="1"/>
      <c r="AB1206" s="1"/>
      <c r="AC1206" s="1"/>
      <c r="AD1206" s="1"/>
      <c r="AE1206" s="1"/>
      <c r="AF1206" s="1"/>
      <c r="AG1206" s="1"/>
      <c r="AH1206" s="1"/>
    </row>
    <row r="1207" ht="12.75" hidden="1" customHeight="1" outlineLevel="1">
      <c r="A1207" s="17">
        <v>41213.0</v>
      </c>
      <c r="B1207" s="1"/>
      <c r="C1207" s="1" t="s">
        <v>435</v>
      </c>
      <c r="D1207" s="74"/>
      <c r="E1207" s="67"/>
      <c r="F1207" s="75"/>
      <c r="G1207" s="67"/>
      <c r="H1207" s="68"/>
      <c r="I1207" s="76"/>
      <c r="J1207" s="67"/>
      <c r="K1207" s="7" t="s">
        <v>745</v>
      </c>
      <c r="L1207" s="77"/>
      <c r="M1207" s="79"/>
      <c r="N1207" s="1"/>
      <c r="O1207" s="1"/>
      <c r="P1207" s="1"/>
      <c r="Q1207" s="1"/>
      <c r="R1207" s="1"/>
      <c r="S1207" s="1"/>
      <c r="T1207" s="1"/>
      <c r="U1207" s="1"/>
      <c r="V1207" s="1"/>
      <c r="W1207" s="1"/>
      <c r="X1207" s="1"/>
      <c r="Y1207" s="1"/>
      <c r="Z1207" s="1"/>
      <c r="AA1207" s="1"/>
      <c r="AB1207" s="1"/>
      <c r="AC1207" s="1"/>
      <c r="AD1207" s="1"/>
      <c r="AE1207" s="1"/>
      <c r="AF1207" s="1"/>
      <c r="AG1207" s="1"/>
      <c r="AH1207" s="1"/>
    </row>
    <row r="1208" ht="12.75" hidden="1" customHeight="1" outlineLevel="1">
      <c r="A1208" s="17">
        <v>41213.0</v>
      </c>
      <c r="B1208" s="1"/>
      <c r="C1208" s="1" t="s">
        <v>649</v>
      </c>
      <c r="D1208" s="74"/>
      <c r="E1208" s="67"/>
      <c r="F1208" s="75"/>
      <c r="G1208" s="67"/>
      <c r="H1208" s="68"/>
      <c r="I1208" s="76"/>
      <c r="J1208" s="67">
        <v>30000.0</v>
      </c>
      <c r="K1208" s="7"/>
      <c r="L1208" s="77"/>
      <c r="M1208" s="79"/>
      <c r="N1208" s="1"/>
      <c r="O1208" s="1"/>
      <c r="P1208" s="1"/>
      <c r="Q1208" s="1"/>
      <c r="R1208" s="1"/>
      <c r="S1208" s="1"/>
      <c r="T1208" s="1"/>
      <c r="U1208" s="1"/>
      <c r="V1208" s="1"/>
      <c r="W1208" s="1"/>
      <c r="X1208" s="1"/>
      <c r="Y1208" s="1"/>
      <c r="Z1208" s="1"/>
      <c r="AA1208" s="1"/>
      <c r="AB1208" s="1"/>
      <c r="AC1208" s="1"/>
      <c r="AD1208" s="1"/>
      <c r="AE1208" s="1"/>
      <c r="AF1208" s="1"/>
      <c r="AG1208" s="1"/>
      <c r="AH1208" s="1"/>
    </row>
    <row r="1209" ht="12.75" hidden="1" customHeight="1" outlineLevel="1">
      <c r="A1209" s="17">
        <v>41214.0</v>
      </c>
      <c r="B1209" s="1" t="s">
        <v>343</v>
      </c>
      <c r="C1209" s="1" t="s">
        <v>346</v>
      </c>
      <c r="D1209" s="74">
        <v>10.0</v>
      </c>
      <c r="E1209" s="67">
        <v>602.19</v>
      </c>
      <c r="F1209" s="75">
        <v>0.5016666666666666</v>
      </c>
      <c r="G1209" s="67" t="s">
        <v>453</v>
      </c>
      <c r="H1209" s="68">
        <v>1.0</v>
      </c>
      <c r="I1209" s="76"/>
      <c r="J1209" s="67">
        <f>IF(B1209="SLD",D1209*E1209,-D1209*E1209)-H1209</f>
        <v>-6022.9</v>
      </c>
      <c r="K1209" s="7"/>
      <c r="L1209" s="70"/>
      <c r="M1209" s="79"/>
      <c r="N1209" s="1"/>
      <c r="O1209" s="1"/>
      <c r="P1209" s="1"/>
      <c r="Q1209" s="1"/>
      <c r="R1209" s="1"/>
      <c r="S1209" s="1"/>
      <c r="T1209" s="1"/>
      <c r="U1209" s="1"/>
      <c r="V1209" s="1"/>
      <c r="W1209" s="1"/>
      <c r="X1209" s="1"/>
      <c r="Y1209" s="1"/>
      <c r="Z1209" s="1"/>
      <c r="AA1209" s="1"/>
      <c r="AB1209" s="1"/>
      <c r="AC1209" s="1"/>
      <c r="AD1209" s="1"/>
      <c r="AE1209" s="1"/>
      <c r="AF1209" s="1"/>
      <c r="AG1209" s="1"/>
      <c r="AH1209" s="1"/>
    </row>
    <row r="1210" ht="12.75" hidden="1" customHeight="1" outlineLevel="1">
      <c r="A1210" s="17">
        <v>41214.0</v>
      </c>
      <c r="B1210" s="1"/>
      <c r="C1210" s="1" t="s">
        <v>339</v>
      </c>
      <c r="D1210" s="74"/>
      <c r="E1210" s="67"/>
      <c r="F1210" s="75"/>
      <c r="G1210" s="67"/>
      <c r="H1210" s="68"/>
      <c r="I1210" s="76"/>
      <c r="J1210" s="67"/>
      <c r="K1210" s="7" t="s">
        <v>753</v>
      </c>
      <c r="L1210" s="77"/>
      <c r="M1210" s="79"/>
      <c r="N1210" s="1"/>
      <c r="O1210" s="1"/>
      <c r="P1210" s="1"/>
      <c r="Q1210" s="1"/>
      <c r="R1210" s="1"/>
      <c r="S1210" s="1"/>
      <c r="T1210" s="1"/>
      <c r="U1210" s="1"/>
      <c r="V1210" s="1"/>
      <c r="W1210" s="1"/>
      <c r="X1210" s="1"/>
      <c r="Y1210" s="1"/>
      <c r="Z1210" s="1"/>
      <c r="AA1210" s="1"/>
      <c r="AB1210" s="1"/>
      <c r="AC1210" s="1"/>
      <c r="AD1210" s="1"/>
      <c r="AE1210" s="1"/>
      <c r="AF1210" s="1"/>
      <c r="AG1210" s="1"/>
      <c r="AH1210" s="1"/>
    </row>
    <row r="1211" ht="12.75" hidden="1" customHeight="1" outlineLevel="1">
      <c r="A1211" s="17">
        <v>41214.0</v>
      </c>
      <c r="B1211" s="1"/>
      <c r="C1211" s="1" t="s">
        <v>429</v>
      </c>
      <c r="D1211" s="74"/>
      <c r="E1211" s="67"/>
      <c r="F1211" s="75"/>
      <c r="G1211" s="67"/>
      <c r="H1211" s="68"/>
      <c r="I1211" s="76"/>
      <c r="J1211" s="67"/>
      <c r="K1211" s="7" t="s">
        <v>679</v>
      </c>
      <c r="L1211" s="77"/>
      <c r="M1211" s="79"/>
      <c r="N1211" s="1"/>
      <c r="O1211" s="1"/>
      <c r="P1211" s="1"/>
      <c r="Q1211" s="1"/>
      <c r="R1211" s="1"/>
      <c r="S1211" s="1"/>
      <c r="T1211" s="1"/>
      <c r="U1211" s="1"/>
      <c r="V1211" s="1"/>
      <c r="W1211" s="1"/>
      <c r="X1211" s="1"/>
      <c r="Y1211" s="1"/>
      <c r="Z1211" s="1"/>
      <c r="AA1211" s="1"/>
      <c r="AB1211" s="1"/>
      <c r="AC1211" s="1"/>
      <c r="AD1211" s="1"/>
      <c r="AE1211" s="1"/>
      <c r="AF1211" s="1"/>
      <c r="AG1211" s="1"/>
      <c r="AH1211" s="1"/>
    </row>
    <row r="1212" ht="12.75" hidden="1" customHeight="1" outlineLevel="1">
      <c r="A1212" s="17">
        <v>41214.0</v>
      </c>
      <c r="B1212" s="1"/>
      <c r="C1212" s="1" t="s">
        <v>431</v>
      </c>
      <c r="D1212" s="74"/>
      <c r="E1212" s="67"/>
      <c r="F1212" s="75"/>
      <c r="G1212" s="67"/>
      <c r="H1212" s="68"/>
      <c r="I1212" s="76"/>
      <c r="J1212" s="67"/>
      <c r="K1212" s="7" t="s">
        <v>669</v>
      </c>
      <c r="L1212" s="77"/>
      <c r="M1212" s="79"/>
      <c r="N1212" s="1"/>
      <c r="O1212" s="1"/>
      <c r="P1212" s="1"/>
      <c r="Q1212" s="1"/>
      <c r="R1212" s="1"/>
      <c r="S1212" s="1"/>
      <c r="T1212" s="1"/>
      <c r="U1212" s="1"/>
      <c r="V1212" s="1"/>
      <c r="W1212" s="1"/>
      <c r="X1212" s="1"/>
      <c r="Y1212" s="1"/>
      <c r="Z1212" s="1"/>
      <c r="AA1212" s="1"/>
      <c r="AB1212" s="1"/>
      <c r="AC1212" s="1"/>
      <c r="AD1212" s="1"/>
      <c r="AE1212" s="1"/>
      <c r="AF1212" s="1"/>
      <c r="AG1212" s="1"/>
      <c r="AH1212" s="1"/>
    </row>
    <row r="1213" ht="12.75" hidden="1" customHeight="1" outlineLevel="1">
      <c r="A1213" s="17">
        <v>41214.0</v>
      </c>
      <c r="B1213" s="1"/>
      <c r="C1213" s="1" t="s">
        <v>433</v>
      </c>
      <c r="D1213" s="74"/>
      <c r="E1213" s="67"/>
      <c r="F1213" s="75"/>
      <c r="G1213" s="67"/>
      <c r="H1213" s="68"/>
      <c r="I1213" s="76"/>
      <c r="J1213" s="67"/>
      <c r="K1213" s="1" t="s">
        <v>434</v>
      </c>
      <c r="L1213" s="77"/>
      <c r="M1213" s="79"/>
      <c r="N1213" s="1"/>
      <c r="O1213" s="1"/>
      <c r="P1213" s="1"/>
      <c r="Q1213" s="1"/>
      <c r="R1213" s="1"/>
      <c r="S1213" s="1"/>
      <c r="T1213" s="1"/>
      <c r="U1213" s="1"/>
      <c r="V1213" s="1"/>
      <c r="W1213" s="1"/>
      <c r="X1213" s="1"/>
      <c r="Y1213" s="1"/>
      <c r="Z1213" s="1"/>
      <c r="AA1213" s="1"/>
      <c r="AB1213" s="1"/>
      <c r="AC1213" s="1"/>
      <c r="AD1213" s="1"/>
      <c r="AE1213" s="1"/>
      <c r="AF1213" s="1"/>
      <c r="AG1213" s="1"/>
      <c r="AH1213" s="1"/>
    </row>
    <row r="1214" ht="12.75" hidden="1" customHeight="1" outlineLevel="1">
      <c r="A1214" s="17">
        <v>41214.0</v>
      </c>
      <c r="B1214" s="1"/>
      <c r="C1214" s="1" t="s">
        <v>435</v>
      </c>
      <c r="D1214" s="74"/>
      <c r="E1214" s="67"/>
      <c r="F1214" s="75"/>
      <c r="G1214" s="67"/>
      <c r="H1214" s="68"/>
      <c r="I1214" s="76"/>
      <c r="J1214" s="67"/>
      <c r="K1214" s="7" t="s">
        <v>745</v>
      </c>
      <c r="L1214" s="77"/>
      <c r="M1214" s="79"/>
      <c r="N1214" s="1"/>
      <c r="O1214" s="1"/>
      <c r="P1214" s="1"/>
      <c r="Q1214" s="1"/>
      <c r="R1214" s="1"/>
      <c r="S1214" s="1"/>
      <c r="T1214" s="1"/>
      <c r="U1214" s="1"/>
      <c r="V1214" s="1"/>
      <c r="W1214" s="1"/>
      <c r="X1214" s="1"/>
      <c r="Y1214" s="1"/>
      <c r="Z1214" s="1"/>
      <c r="AA1214" s="1"/>
      <c r="AB1214" s="1"/>
      <c r="AC1214" s="1"/>
      <c r="AD1214" s="1"/>
      <c r="AE1214" s="1"/>
      <c r="AF1214" s="1"/>
      <c r="AG1214" s="1"/>
      <c r="AH1214" s="1"/>
    </row>
    <row r="1215" ht="12.75" hidden="1" customHeight="1" outlineLevel="1">
      <c r="A1215" s="17">
        <v>41215.0</v>
      </c>
      <c r="B1215" s="1" t="s">
        <v>347</v>
      </c>
      <c r="C1215" s="1" t="s">
        <v>346</v>
      </c>
      <c r="D1215" s="74">
        <v>30.0</v>
      </c>
      <c r="E1215" s="67">
        <v>589.8</v>
      </c>
      <c r="F1215" s="75">
        <v>0.5218171296296296</v>
      </c>
      <c r="G1215" s="67" t="s">
        <v>453</v>
      </c>
      <c r="H1215" s="68">
        <v>1.0</v>
      </c>
      <c r="I1215" s="76"/>
      <c r="J1215" s="67">
        <f t="shared" ref="J1215:J1217" si="86">IF(B1215="SLD",D1215*E1215,-D1215*E1215)-H1215</f>
        <v>17693</v>
      </c>
      <c r="K1215" s="7"/>
      <c r="L1215" s="70"/>
      <c r="M1215" s="79"/>
      <c r="N1215" s="1"/>
      <c r="O1215" s="1"/>
      <c r="P1215" s="1"/>
      <c r="Q1215" s="1"/>
      <c r="R1215" s="1"/>
      <c r="S1215" s="1"/>
      <c r="T1215" s="1"/>
      <c r="U1215" s="1"/>
      <c r="V1215" s="1"/>
      <c r="W1215" s="1"/>
      <c r="X1215" s="1"/>
      <c r="Y1215" s="1"/>
      <c r="Z1215" s="1"/>
      <c r="AA1215" s="1"/>
      <c r="AB1215" s="1"/>
      <c r="AC1215" s="1"/>
      <c r="AD1215" s="1"/>
      <c r="AE1215" s="1"/>
      <c r="AF1215" s="1"/>
      <c r="AG1215" s="1"/>
      <c r="AH1215" s="1"/>
    </row>
    <row r="1216" ht="12.75" hidden="1" customHeight="1" outlineLevel="1">
      <c r="A1216" s="17">
        <v>41215.0</v>
      </c>
      <c r="B1216" s="1" t="s">
        <v>347</v>
      </c>
      <c r="C1216" s="1" t="s">
        <v>344</v>
      </c>
      <c r="D1216" s="74">
        <v>300.0</v>
      </c>
      <c r="E1216" s="67">
        <v>32.94</v>
      </c>
      <c r="F1216" s="75">
        <v>0.6309490740740741</v>
      </c>
      <c r="G1216" s="67" t="s">
        <v>453</v>
      </c>
      <c r="H1216" s="68">
        <v>1.5</v>
      </c>
      <c r="I1216" s="76"/>
      <c r="J1216" s="67">
        <f t="shared" si="86"/>
        <v>9880.5</v>
      </c>
      <c r="K1216" s="7"/>
      <c r="L1216" s="70"/>
      <c r="M1216" s="79"/>
      <c r="N1216" s="1"/>
      <c r="O1216" s="1"/>
      <c r="P1216" s="1"/>
      <c r="Q1216" s="1"/>
      <c r="R1216" s="1"/>
      <c r="S1216" s="1"/>
      <c r="T1216" s="1"/>
      <c r="U1216" s="1"/>
      <c r="V1216" s="1"/>
      <c r="W1216" s="1"/>
      <c r="X1216" s="1"/>
      <c r="Y1216" s="1"/>
      <c r="Z1216" s="1"/>
      <c r="AA1216" s="1"/>
      <c r="AB1216" s="1"/>
      <c r="AC1216" s="1"/>
      <c r="AD1216" s="1"/>
      <c r="AE1216" s="1"/>
      <c r="AF1216" s="1"/>
      <c r="AG1216" s="1"/>
      <c r="AH1216" s="1"/>
    </row>
    <row r="1217" ht="12.75" hidden="1" customHeight="1" outlineLevel="1">
      <c r="A1217" s="17">
        <v>41215.0</v>
      </c>
      <c r="B1217" s="1" t="s">
        <v>347</v>
      </c>
      <c r="C1217" s="1" t="s">
        <v>344</v>
      </c>
      <c r="D1217" s="74">
        <v>300.0</v>
      </c>
      <c r="E1217" s="67">
        <v>32.93</v>
      </c>
      <c r="F1217" s="75">
        <v>0.6324652777777778</v>
      </c>
      <c r="G1217" s="67" t="s">
        <v>453</v>
      </c>
      <c r="H1217" s="68">
        <v>1.5</v>
      </c>
      <c r="I1217" s="76"/>
      <c r="J1217" s="67">
        <f t="shared" si="86"/>
        <v>9877.5</v>
      </c>
      <c r="K1217" s="7"/>
      <c r="L1217" s="70"/>
      <c r="M1217" s="79"/>
      <c r="N1217" s="1"/>
      <c r="O1217" s="1"/>
      <c r="P1217" s="1"/>
      <c r="Q1217" s="1"/>
      <c r="R1217" s="1"/>
      <c r="S1217" s="1"/>
      <c r="T1217" s="1"/>
      <c r="U1217" s="1"/>
      <c r="V1217" s="1"/>
      <c r="W1217" s="1"/>
      <c r="X1217" s="1"/>
      <c r="Y1217" s="1"/>
      <c r="Z1217" s="1"/>
      <c r="AA1217" s="1"/>
      <c r="AB1217" s="1"/>
      <c r="AC1217" s="1"/>
      <c r="AD1217" s="1"/>
      <c r="AE1217" s="1"/>
      <c r="AF1217" s="1"/>
      <c r="AG1217" s="1"/>
      <c r="AH1217" s="1"/>
    </row>
    <row r="1218" ht="12.75" hidden="1" customHeight="1" outlineLevel="1">
      <c r="A1218" s="17">
        <v>41215.0</v>
      </c>
      <c r="B1218" s="1"/>
      <c r="C1218" s="1" t="s">
        <v>339</v>
      </c>
      <c r="D1218" s="74"/>
      <c r="E1218" s="67"/>
      <c r="F1218" s="75"/>
      <c r="G1218" s="67"/>
      <c r="H1218" s="68"/>
      <c r="I1218" s="76"/>
      <c r="J1218" s="67"/>
      <c r="K1218" s="7" t="s">
        <v>754</v>
      </c>
      <c r="L1218" s="77"/>
      <c r="M1218" s="79"/>
      <c r="N1218" s="1"/>
      <c r="O1218" s="1"/>
      <c r="P1218" s="1"/>
      <c r="Q1218" s="1"/>
      <c r="R1218" s="1"/>
      <c r="S1218" s="1"/>
      <c r="T1218" s="1"/>
      <c r="U1218" s="1"/>
      <c r="V1218" s="1"/>
      <c r="W1218" s="1"/>
      <c r="X1218" s="1"/>
      <c r="Y1218" s="1"/>
      <c r="Z1218" s="1"/>
      <c r="AA1218" s="1"/>
      <c r="AB1218" s="1"/>
      <c r="AC1218" s="1"/>
      <c r="AD1218" s="1"/>
      <c r="AE1218" s="1"/>
      <c r="AF1218" s="1"/>
      <c r="AG1218" s="1"/>
      <c r="AH1218" s="1"/>
    </row>
    <row r="1219" ht="12.75" hidden="1" customHeight="1" outlineLevel="1">
      <c r="A1219" s="17">
        <v>41215.0</v>
      </c>
      <c r="B1219" s="1"/>
      <c r="C1219" s="1" t="s">
        <v>429</v>
      </c>
      <c r="D1219" s="74"/>
      <c r="E1219" s="67"/>
      <c r="F1219" s="75"/>
      <c r="G1219" s="67"/>
      <c r="H1219" s="68"/>
      <c r="I1219" s="76"/>
      <c r="J1219" s="67"/>
      <c r="K1219" s="7" t="s">
        <v>679</v>
      </c>
      <c r="L1219" s="77"/>
      <c r="M1219" s="79"/>
      <c r="N1219" s="1"/>
      <c r="O1219" s="1"/>
      <c r="P1219" s="1"/>
      <c r="Q1219" s="1"/>
      <c r="R1219" s="1"/>
      <c r="S1219" s="1"/>
      <c r="T1219" s="1"/>
      <c r="U1219" s="1"/>
      <c r="V1219" s="1"/>
      <c r="W1219" s="1"/>
      <c r="X1219" s="1"/>
      <c r="Y1219" s="1"/>
      <c r="Z1219" s="1"/>
      <c r="AA1219" s="1"/>
      <c r="AB1219" s="1"/>
      <c r="AC1219" s="1"/>
      <c r="AD1219" s="1"/>
      <c r="AE1219" s="1"/>
      <c r="AF1219" s="1"/>
      <c r="AG1219" s="1"/>
      <c r="AH1219" s="1"/>
    </row>
    <row r="1220" ht="12.75" hidden="1" customHeight="1" outlineLevel="1">
      <c r="A1220" s="17">
        <v>41215.0</v>
      </c>
      <c r="B1220" s="1"/>
      <c r="C1220" s="1" t="s">
        <v>431</v>
      </c>
      <c r="D1220" s="74"/>
      <c r="E1220" s="67"/>
      <c r="F1220" s="75"/>
      <c r="G1220" s="67"/>
      <c r="H1220" s="68"/>
      <c r="I1220" s="76"/>
      <c r="J1220" s="67"/>
      <c r="K1220" s="7" t="s">
        <v>669</v>
      </c>
      <c r="L1220" s="77"/>
      <c r="M1220" s="79"/>
      <c r="N1220" s="1"/>
      <c r="O1220" s="1"/>
      <c r="P1220" s="1"/>
      <c r="Q1220" s="1"/>
      <c r="R1220" s="1"/>
      <c r="S1220" s="1"/>
      <c r="T1220" s="1"/>
      <c r="U1220" s="1"/>
      <c r="V1220" s="1"/>
      <c r="W1220" s="1"/>
      <c r="X1220" s="1"/>
      <c r="Y1220" s="1"/>
      <c r="Z1220" s="1"/>
      <c r="AA1220" s="1"/>
      <c r="AB1220" s="1"/>
      <c r="AC1220" s="1"/>
      <c r="AD1220" s="1"/>
      <c r="AE1220" s="1"/>
      <c r="AF1220" s="1"/>
      <c r="AG1220" s="1"/>
      <c r="AH1220" s="1"/>
    </row>
    <row r="1221" ht="12.75" hidden="1" customHeight="1" outlineLevel="1">
      <c r="A1221" s="17">
        <v>41215.0</v>
      </c>
      <c r="B1221" s="1"/>
      <c r="C1221" s="1" t="s">
        <v>433</v>
      </c>
      <c r="D1221" s="74"/>
      <c r="E1221" s="67"/>
      <c r="F1221" s="75"/>
      <c r="G1221" s="67"/>
      <c r="H1221" s="68"/>
      <c r="I1221" s="76"/>
      <c r="J1221" s="67"/>
      <c r="K1221" s="1" t="s">
        <v>434</v>
      </c>
      <c r="L1221" s="77"/>
      <c r="M1221" s="79"/>
      <c r="N1221" s="1"/>
      <c r="O1221" s="1"/>
      <c r="P1221" s="1"/>
      <c r="Q1221" s="1"/>
      <c r="R1221" s="1"/>
      <c r="S1221" s="1"/>
      <c r="T1221" s="1"/>
      <c r="U1221" s="1"/>
      <c r="V1221" s="1"/>
      <c r="W1221" s="1"/>
      <c r="X1221" s="1"/>
      <c r="Y1221" s="1"/>
      <c r="Z1221" s="1"/>
      <c r="AA1221" s="1"/>
      <c r="AB1221" s="1"/>
      <c r="AC1221" s="1"/>
      <c r="AD1221" s="1"/>
      <c r="AE1221" s="1"/>
      <c r="AF1221" s="1"/>
      <c r="AG1221" s="1"/>
      <c r="AH1221" s="1"/>
    </row>
    <row r="1222" ht="12.75" hidden="1" customHeight="1" outlineLevel="1">
      <c r="A1222" s="17">
        <v>41215.0</v>
      </c>
      <c r="B1222" s="1"/>
      <c r="C1222" s="1" t="s">
        <v>435</v>
      </c>
      <c r="D1222" s="74"/>
      <c r="E1222" s="67"/>
      <c r="F1222" s="75"/>
      <c r="G1222" s="67"/>
      <c r="H1222" s="68"/>
      <c r="I1222" s="76"/>
      <c r="J1222" s="67"/>
      <c r="K1222" s="7" t="s">
        <v>745</v>
      </c>
      <c r="L1222" s="77"/>
      <c r="M1222" s="79"/>
      <c r="N1222" s="1"/>
      <c r="O1222" s="1"/>
      <c r="P1222" s="1"/>
      <c r="Q1222" s="1"/>
      <c r="R1222" s="1"/>
      <c r="S1222" s="1"/>
      <c r="T1222" s="1"/>
      <c r="U1222" s="1"/>
      <c r="V1222" s="1"/>
      <c r="W1222" s="1"/>
      <c r="X1222" s="1"/>
      <c r="Y1222" s="1"/>
      <c r="Z1222" s="1"/>
      <c r="AA1222" s="1"/>
      <c r="AB1222" s="1"/>
      <c r="AC1222" s="1"/>
      <c r="AD1222" s="1"/>
      <c r="AE1222" s="1"/>
      <c r="AF1222" s="1"/>
      <c r="AG1222" s="1"/>
      <c r="AH1222" s="1"/>
    </row>
    <row r="1223" ht="12.75" hidden="1" customHeight="1" outlineLevel="1">
      <c r="A1223" s="17">
        <v>41218.0</v>
      </c>
      <c r="B1223" s="1" t="s">
        <v>347</v>
      </c>
      <c r="C1223" s="1" t="s">
        <v>755</v>
      </c>
      <c r="D1223" s="74">
        <v>350.0</v>
      </c>
      <c r="E1223" s="67">
        <v>31.98</v>
      </c>
      <c r="F1223" s="75">
        <v>0.6627083333333333</v>
      </c>
      <c r="G1223" s="67" t="s">
        <v>453</v>
      </c>
      <c r="H1223" s="68">
        <v>1.75</v>
      </c>
      <c r="I1223" s="76"/>
      <c r="J1223" s="67">
        <f>IF(B1223="SLD",D1223*E1223,-D1223*E1223)-H1223</f>
        <v>11191.25</v>
      </c>
      <c r="K1223" s="7"/>
      <c r="L1223" s="70"/>
      <c r="M1223" s="79"/>
      <c r="N1223" s="1"/>
      <c r="O1223" s="1"/>
      <c r="P1223" s="1"/>
      <c r="Q1223" s="1"/>
      <c r="R1223" s="1"/>
      <c r="S1223" s="1"/>
      <c r="T1223" s="1"/>
      <c r="U1223" s="1"/>
      <c r="V1223" s="1"/>
      <c r="W1223" s="1"/>
      <c r="X1223" s="1"/>
      <c r="Y1223" s="1"/>
      <c r="Z1223" s="1"/>
      <c r="AA1223" s="1"/>
      <c r="AB1223" s="1"/>
      <c r="AC1223" s="1"/>
      <c r="AD1223" s="1"/>
      <c r="AE1223" s="1"/>
      <c r="AF1223" s="1"/>
      <c r="AG1223" s="1"/>
      <c r="AH1223" s="1"/>
    </row>
    <row r="1224" ht="12.75" hidden="1" customHeight="1" outlineLevel="1">
      <c r="A1224" s="17">
        <v>41218.0</v>
      </c>
      <c r="B1224" s="1"/>
      <c r="C1224" s="1" t="s">
        <v>339</v>
      </c>
      <c r="D1224" s="74"/>
      <c r="E1224" s="67"/>
      <c r="F1224" s="75"/>
      <c r="G1224" s="67"/>
      <c r="H1224" s="68"/>
      <c r="I1224" s="76"/>
      <c r="J1224" s="67"/>
      <c r="K1224" s="7" t="s">
        <v>756</v>
      </c>
      <c r="L1224" s="77"/>
      <c r="M1224" s="79"/>
      <c r="N1224" s="1"/>
      <c r="O1224" s="1"/>
      <c r="P1224" s="1"/>
      <c r="Q1224" s="1"/>
      <c r="R1224" s="1"/>
      <c r="S1224" s="1"/>
      <c r="T1224" s="1"/>
      <c r="U1224" s="1"/>
      <c r="V1224" s="1"/>
      <c r="W1224" s="1"/>
      <c r="X1224" s="1"/>
      <c r="Y1224" s="1"/>
      <c r="Z1224" s="1"/>
      <c r="AA1224" s="1"/>
      <c r="AB1224" s="1"/>
      <c r="AC1224" s="1"/>
      <c r="AD1224" s="1"/>
      <c r="AE1224" s="1"/>
      <c r="AF1224" s="1"/>
      <c r="AG1224" s="1"/>
      <c r="AH1224" s="1"/>
    </row>
    <row r="1225" ht="12.75" hidden="1" customHeight="1" outlineLevel="1">
      <c r="A1225" s="17">
        <v>41218.0</v>
      </c>
      <c r="B1225" s="1"/>
      <c r="C1225" s="1" t="s">
        <v>429</v>
      </c>
      <c r="D1225" s="74"/>
      <c r="E1225" s="67"/>
      <c r="F1225" s="75"/>
      <c r="G1225" s="67"/>
      <c r="H1225" s="68"/>
      <c r="I1225" s="76"/>
      <c r="J1225" s="67"/>
      <c r="K1225" s="7" t="s">
        <v>679</v>
      </c>
      <c r="L1225" s="77"/>
      <c r="M1225" s="79"/>
      <c r="N1225" s="1"/>
      <c r="O1225" s="1"/>
      <c r="P1225" s="1"/>
      <c r="Q1225" s="1"/>
      <c r="R1225" s="1"/>
      <c r="S1225" s="1"/>
      <c r="T1225" s="1"/>
      <c r="U1225" s="1"/>
      <c r="V1225" s="1"/>
      <c r="W1225" s="1"/>
      <c r="X1225" s="1"/>
      <c r="Y1225" s="1"/>
      <c r="Z1225" s="1"/>
      <c r="AA1225" s="1"/>
      <c r="AB1225" s="1"/>
      <c r="AC1225" s="1"/>
      <c r="AD1225" s="1"/>
      <c r="AE1225" s="1"/>
      <c r="AF1225" s="1"/>
      <c r="AG1225" s="1"/>
      <c r="AH1225" s="1"/>
    </row>
    <row r="1226" ht="12.75" hidden="1" customHeight="1" outlineLevel="1">
      <c r="A1226" s="17">
        <v>41218.0</v>
      </c>
      <c r="B1226" s="1"/>
      <c r="C1226" s="1" t="s">
        <v>431</v>
      </c>
      <c r="D1226" s="74"/>
      <c r="E1226" s="67"/>
      <c r="F1226" s="75"/>
      <c r="G1226" s="67"/>
      <c r="H1226" s="68"/>
      <c r="I1226" s="76"/>
      <c r="J1226" s="67"/>
      <c r="K1226" s="7" t="s">
        <v>669</v>
      </c>
      <c r="L1226" s="77"/>
      <c r="M1226" s="79"/>
      <c r="N1226" s="1"/>
      <c r="O1226" s="1"/>
      <c r="P1226" s="1"/>
      <c r="Q1226" s="1"/>
      <c r="R1226" s="1"/>
      <c r="S1226" s="1"/>
      <c r="T1226" s="1"/>
      <c r="U1226" s="1"/>
      <c r="V1226" s="1"/>
      <c r="W1226" s="1"/>
      <c r="X1226" s="1"/>
      <c r="Y1226" s="1"/>
      <c r="Z1226" s="1"/>
      <c r="AA1226" s="1"/>
      <c r="AB1226" s="1"/>
      <c r="AC1226" s="1"/>
      <c r="AD1226" s="1"/>
      <c r="AE1226" s="1"/>
      <c r="AF1226" s="1"/>
      <c r="AG1226" s="1"/>
      <c r="AH1226" s="1"/>
    </row>
    <row r="1227" ht="12.75" hidden="1" customHeight="1" outlineLevel="1">
      <c r="A1227" s="17">
        <v>41218.0</v>
      </c>
      <c r="B1227" s="1"/>
      <c r="C1227" s="1" t="s">
        <v>433</v>
      </c>
      <c r="D1227" s="74"/>
      <c r="E1227" s="67"/>
      <c r="F1227" s="75"/>
      <c r="G1227" s="67"/>
      <c r="H1227" s="68"/>
      <c r="I1227" s="76"/>
      <c r="J1227" s="67"/>
      <c r="K1227" s="1" t="s">
        <v>434</v>
      </c>
      <c r="L1227" s="77"/>
      <c r="M1227" s="79"/>
      <c r="N1227" s="1"/>
      <c r="O1227" s="1"/>
      <c r="P1227" s="1"/>
      <c r="Q1227" s="1"/>
      <c r="R1227" s="1"/>
      <c r="S1227" s="1"/>
      <c r="T1227" s="1"/>
      <c r="U1227" s="1"/>
      <c r="V1227" s="1"/>
      <c r="W1227" s="1"/>
      <c r="X1227" s="1"/>
      <c r="Y1227" s="1"/>
      <c r="Z1227" s="1"/>
      <c r="AA1227" s="1"/>
      <c r="AB1227" s="1"/>
      <c r="AC1227" s="1"/>
      <c r="AD1227" s="1"/>
      <c r="AE1227" s="1"/>
      <c r="AF1227" s="1"/>
      <c r="AG1227" s="1"/>
      <c r="AH1227" s="1"/>
    </row>
    <row r="1228" ht="12.75" hidden="1" customHeight="1" outlineLevel="1">
      <c r="A1228" s="17">
        <v>41218.0</v>
      </c>
      <c r="B1228" s="1"/>
      <c r="C1228" s="1" t="s">
        <v>435</v>
      </c>
      <c r="D1228" s="74"/>
      <c r="E1228" s="67"/>
      <c r="F1228" s="75"/>
      <c r="G1228" s="67"/>
      <c r="H1228" s="68"/>
      <c r="I1228" s="76"/>
      <c r="J1228" s="67"/>
      <c r="K1228" s="7" t="s">
        <v>745</v>
      </c>
      <c r="L1228" s="77"/>
      <c r="M1228" s="79"/>
      <c r="N1228" s="1"/>
      <c r="O1228" s="1"/>
      <c r="P1228" s="1"/>
      <c r="Q1228" s="1"/>
      <c r="R1228" s="1"/>
      <c r="S1228" s="1"/>
      <c r="T1228" s="1"/>
      <c r="U1228" s="1"/>
      <c r="V1228" s="1"/>
      <c r="W1228" s="1"/>
      <c r="X1228" s="1"/>
      <c r="Y1228" s="1"/>
      <c r="Z1228" s="1"/>
      <c r="AA1228" s="1"/>
      <c r="AB1228" s="1"/>
      <c r="AC1228" s="1"/>
      <c r="AD1228" s="1"/>
      <c r="AE1228" s="1"/>
      <c r="AF1228" s="1"/>
      <c r="AG1228" s="1"/>
      <c r="AH1228" s="1"/>
    </row>
    <row r="1229" ht="12.75" hidden="1" customHeight="1" outlineLevel="1">
      <c r="A1229" s="17">
        <v>41219.0</v>
      </c>
      <c r="B1229" s="1" t="s">
        <v>347</v>
      </c>
      <c r="C1229" s="1" t="s">
        <v>757</v>
      </c>
      <c r="D1229" s="74">
        <v>200.0</v>
      </c>
      <c r="E1229" s="67">
        <v>55.03</v>
      </c>
      <c r="F1229" s="75">
        <v>0.459837962962963</v>
      </c>
      <c r="G1229" s="67" t="s">
        <v>453</v>
      </c>
      <c r="H1229" s="68">
        <v>1.0</v>
      </c>
      <c r="I1229" s="76"/>
      <c r="J1229" s="67">
        <f t="shared" ref="J1229:J1231" si="87">IF(B1229="SLD",D1229*E1229,-D1229*E1229)-H1229</f>
        <v>11005</v>
      </c>
      <c r="K1229" s="7"/>
      <c r="L1229" s="70"/>
      <c r="M1229" s="79"/>
      <c r="N1229" s="1"/>
      <c r="O1229" s="1"/>
      <c r="P1229" s="1"/>
      <c r="Q1229" s="1"/>
      <c r="R1229" s="1"/>
      <c r="S1229" s="1"/>
      <c r="T1229" s="1"/>
      <c r="U1229" s="1"/>
      <c r="V1229" s="1"/>
      <c r="W1229" s="1"/>
      <c r="X1229" s="1"/>
      <c r="Y1229" s="1"/>
      <c r="Z1229" s="1"/>
      <c r="AA1229" s="1"/>
      <c r="AB1229" s="1"/>
      <c r="AC1229" s="1"/>
      <c r="AD1229" s="1"/>
      <c r="AE1229" s="1"/>
      <c r="AF1229" s="1"/>
      <c r="AG1229" s="1"/>
      <c r="AH1229" s="1"/>
    </row>
    <row r="1230" ht="12.75" hidden="1" customHeight="1" outlineLevel="1">
      <c r="A1230" s="17">
        <v>41219.0</v>
      </c>
      <c r="B1230" s="1" t="s">
        <v>343</v>
      </c>
      <c r="C1230" s="1" t="s">
        <v>344</v>
      </c>
      <c r="D1230" s="74">
        <v>300.0</v>
      </c>
      <c r="E1230" s="67">
        <v>33.05</v>
      </c>
      <c r="F1230" s="75">
        <v>0.5306828703703704</v>
      </c>
      <c r="G1230" s="67" t="s">
        <v>453</v>
      </c>
      <c r="H1230" s="68">
        <v>1.5</v>
      </c>
      <c r="I1230" s="76"/>
      <c r="J1230" s="67">
        <f t="shared" si="87"/>
        <v>-9916.5</v>
      </c>
      <c r="K1230" s="7"/>
      <c r="L1230" s="70"/>
      <c r="M1230" s="79"/>
      <c r="N1230" s="1"/>
      <c r="O1230" s="1"/>
      <c r="P1230" s="1"/>
      <c r="Q1230" s="1"/>
      <c r="R1230" s="1"/>
      <c r="S1230" s="1"/>
      <c r="T1230" s="1"/>
      <c r="U1230" s="1"/>
      <c r="V1230" s="1"/>
      <c r="W1230" s="1"/>
      <c r="X1230" s="1"/>
      <c r="Y1230" s="1"/>
      <c r="Z1230" s="1"/>
      <c r="AA1230" s="1"/>
      <c r="AB1230" s="1"/>
      <c r="AC1230" s="1"/>
      <c r="AD1230" s="1"/>
      <c r="AE1230" s="1"/>
      <c r="AF1230" s="1"/>
      <c r="AG1230" s="1"/>
      <c r="AH1230" s="1"/>
    </row>
    <row r="1231" ht="12.75" hidden="1" customHeight="1" outlineLevel="1">
      <c r="A1231" s="17">
        <v>41219.0</v>
      </c>
      <c r="B1231" s="1" t="s">
        <v>343</v>
      </c>
      <c r="C1231" s="1" t="s">
        <v>681</v>
      </c>
      <c r="D1231" s="74">
        <v>400.0</v>
      </c>
      <c r="E1231" s="67">
        <v>15.3</v>
      </c>
      <c r="F1231" s="75">
        <v>0.5382523148148148</v>
      </c>
      <c r="G1231" s="67" t="s">
        <v>453</v>
      </c>
      <c r="H1231" s="68">
        <v>1.7</v>
      </c>
      <c r="I1231" s="76"/>
      <c r="J1231" s="67">
        <f t="shared" si="87"/>
        <v>-6121.7</v>
      </c>
      <c r="K1231" s="7"/>
      <c r="L1231" s="70"/>
      <c r="M1231" s="79"/>
      <c r="N1231" s="1"/>
      <c r="O1231" s="1"/>
      <c r="P1231" s="1"/>
      <c r="Q1231" s="1"/>
      <c r="R1231" s="1"/>
      <c r="S1231" s="1"/>
      <c r="T1231" s="1"/>
      <c r="U1231" s="1"/>
      <c r="V1231" s="1"/>
      <c r="W1231" s="1"/>
      <c r="X1231" s="1"/>
      <c r="Y1231" s="1"/>
      <c r="Z1231" s="1"/>
      <c r="AA1231" s="1"/>
      <c r="AB1231" s="1"/>
      <c r="AC1231" s="1"/>
      <c r="AD1231" s="1"/>
      <c r="AE1231" s="1"/>
      <c r="AF1231" s="1"/>
      <c r="AG1231" s="1"/>
      <c r="AH1231" s="1"/>
    </row>
    <row r="1232" ht="12.75" hidden="1" customHeight="1" outlineLevel="1">
      <c r="A1232" s="17">
        <v>41219.0</v>
      </c>
      <c r="B1232" s="1"/>
      <c r="C1232" s="1" t="s">
        <v>339</v>
      </c>
      <c r="D1232" s="74"/>
      <c r="E1232" s="67"/>
      <c r="F1232" s="75"/>
      <c r="G1232" s="67"/>
      <c r="H1232" s="68"/>
      <c r="I1232" s="76"/>
      <c r="J1232" s="67"/>
      <c r="K1232" s="7" t="s">
        <v>758</v>
      </c>
      <c r="L1232" s="77"/>
      <c r="M1232" s="79"/>
      <c r="N1232" s="1"/>
      <c r="O1232" s="1"/>
      <c r="P1232" s="1"/>
      <c r="Q1232" s="1"/>
      <c r="R1232" s="1"/>
      <c r="S1232" s="1"/>
      <c r="T1232" s="1"/>
      <c r="U1232" s="1"/>
      <c r="V1232" s="1"/>
      <c r="W1232" s="1"/>
      <c r="X1232" s="1"/>
      <c r="Y1232" s="1"/>
      <c r="Z1232" s="1"/>
      <c r="AA1232" s="1"/>
      <c r="AB1232" s="1"/>
      <c r="AC1232" s="1"/>
      <c r="AD1232" s="1"/>
      <c r="AE1232" s="1"/>
      <c r="AF1232" s="1"/>
      <c r="AG1232" s="1"/>
      <c r="AH1232" s="1"/>
    </row>
    <row r="1233" ht="12.75" hidden="1" customHeight="1" outlineLevel="1">
      <c r="A1233" s="17">
        <v>41219.0</v>
      </c>
      <c r="B1233" s="1"/>
      <c r="C1233" s="1" t="s">
        <v>429</v>
      </c>
      <c r="D1233" s="74"/>
      <c r="E1233" s="67"/>
      <c r="F1233" s="75"/>
      <c r="G1233" s="67"/>
      <c r="H1233" s="68"/>
      <c r="I1233" s="76"/>
      <c r="J1233" s="67"/>
      <c r="K1233" s="7" t="s">
        <v>679</v>
      </c>
      <c r="L1233" s="77"/>
      <c r="M1233" s="79"/>
      <c r="N1233" s="1"/>
      <c r="O1233" s="1"/>
      <c r="P1233" s="1"/>
      <c r="Q1233" s="1"/>
      <c r="R1233" s="1"/>
      <c r="S1233" s="1"/>
      <c r="T1233" s="1"/>
      <c r="U1233" s="1"/>
      <c r="V1233" s="1"/>
      <c r="W1233" s="1"/>
      <c r="X1233" s="1"/>
      <c r="Y1233" s="1"/>
      <c r="Z1233" s="1"/>
      <c r="AA1233" s="1"/>
      <c r="AB1233" s="1"/>
      <c r="AC1233" s="1"/>
      <c r="AD1233" s="1"/>
      <c r="AE1233" s="1"/>
      <c r="AF1233" s="1"/>
      <c r="AG1233" s="1"/>
      <c r="AH1233" s="1"/>
    </row>
    <row r="1234" ht="12.75" hidden="1" customHeight="1" outlineLevel="1">
      <c r="A1234" s="17">
        <v>41219.0</v>
      </c>
      <c r="B1234" s="1"/>
      <c r="C1234" s="1" t="s">
        <v>431</v>
      </c>
      <c r="D1234" s="74"/>
      <c r="E1234" s="67"/>
      <c r="F1234" s="75"/>
      <c r="G1234" s="67"/>
      <c r="H1234" s="68"/>
      <c r="I1234" s="76"/>
      <c r="J1234" s="67"/>
      <c r="K1234" s="7" t="s">
        <v>669</v>
      </c>
      <c r="L1234" s="77"/>
      <c r="M1234" s="79"/>
      <c r="N1234" s="1"/>
      <c r="O1234" s="1"/>
      <c r="P1234" s="1"/>
      <c r="Q1234" s="1"/>
      <c r="R1234" s="1"/>
      <c r="S1234" s="1"/>
      <c r="T1234" s="1"/>
      <c r="U1234" s="1"/>
      <c r="V1234" s="1"/>
      <c r="W1234" s="1"/>
      <c r="X1234" s="1"/>
      <c r="Y1234" s="1"/>
      <c r="Z1234" s="1"/>
      <c r="AA1234" s="1"/>
      <c r="AB1234" s="1"/>
      <c r="AC1234" s="1"/>
      <c r="AD1234" s="1"/>
      <c r="AE1234" s="1"/>
      <c r="AF1234" s="1"/>
      <c r="AG1234" s="1"/>
      <c r="AH1234" s="1"/>
    </row>
    <row r="1235" ht="12.75" hidden="1" customHeight="1" outlineLevel="1">
      <c r="A1235" s="17">
        <v>41219.0</v>
      </c>
      <c r="B1235" s="1"/>
      <c r="C1235" s="1" t="s">
        <v>433</v>
      </c>
      <c r="D1235" s="74"/>
      <c r="E1235" s="67"/>
      <c r="F1235" s="75"/>
      <c r="G1235" s="67"/>
      <c r="H1235" s="68"/>
      <c r="I1235" s="76"/>
      <c r="J1235" s="67"/>
      <c r="K1235" s="1" t="s">
        <v>434</v>
      </c>
      <c r="L1235" s="77"/>
      <c r="M1235" s="79"/>
      <c r="N1235" s="1"/>
      <c r="O1235" s="1"/>
      <c r="P1235" s="1"/>
      <c r="Q1235" s="1"/>
      <c r="R1235" s="1"/>
      <c r="S1235" s="1"/>
      <c r="T1235" s="1"/>
      <c r="U1235" s="1"/>
      <c r="V1235" s="1"/>
      <c r="W1235" s="1"/>
      <c r="X1235" s="1"/>
      <c r="Y1235" s="1"/>
      <c r="Z1235" s="1"/>
      <c r="AA1235" s="1"/>
      <c r="AB1235" s="1"/>
      <c r="AC1235" s="1"/>
      <c r="AD1235" s="1"/>
      <c r="AE1235" s="1"/>
      <c r="AF1235" s="1"/>
      <c r="AG1235" s="1"/>
      <c r="AH1235" s="1"/>
    </row>
    <row r="1236" ht="12.75" hidden="1" customHeight="1" outlineLevel="1">
      <c r="A1236" s="17">
        <v>41219.0</v>
      </c>
      <c r="B1236" s="1"/>
      <c r="C1236" s="1" t="s">
        <v>435</v>
      </c>
      <c r="D1236" s="74"/>
      <c r="E1236" s="67"/>
      <c r="F1236" s="75"/>
      <c r="G1236" s="67"/>
      <c r="H1236" s="68"/>
      <c r="I1236" s="76"/>
      <c r="J1236" s="67"/>
      <c r="K1236" s="7" t="s">
        <v>745</v>
      </c>
      <c r="L1236" s="77"/>
      <c r="M1236" s="79"/>
      <c r="N1236" s="1"/>
      <c r="O1236" s="1"/>
      <c r="P1236" s="1"/>
      <c r="Q1236" s="1"/>
      <c r="R1236" s="1"/>
      <c r="S1236" s="1"/>
      <c r="T1236" s="1"/>
      <c r="U1236" s="1"/>
      <c r="V1236" s="1"/>
      <c r="W1236" s="1"/>
      <c r="X1236" s="1"/>
      <c r="Y1236" s="1"/>
      <c r="Z1236" s="1"/>
      <c r="AA1236" s="1"/>
      <c r="AB1236" s="1"/>
      <c r="AC1236" s="1"/>
      <c r="AD1236" s="1"/>
      <c r="AE1236" s="1"/>
      <c r="AF1236" s="1"/>
      <c r="AG1236" s="1"/>
      <c r="AH1236" s="1"/>
    </row>
    <row r="1237" ht="12.75" hidden="1" customHeight="1" outlineLevel="1">
      <c r="A1237" s="17">
        <v>41220.0</v>
      </c>
      <c r="B1237" s="1" t="s">
        <v>347</v>
      </c>
      <c r="C1237" s="1" t="s">
        <v>369</v>
      </c>
      <c r="D1237" s="74">
        <v>200.0</v>
      </c>
      <c r="E1237" s="67">
        <v>36.52</v>
      </c>
      <c r="F1237" s="75">
        <v>0.4412152777777778</v>
      </c>
      <c r="G1237" s="67" t="s">
        <v>453</v>
      </c>
      <c r="H1237" s="68">
        <v>1.0</v>
      </c>
      <c r="I1237" s="76"/>
      <c r="J1237" s="67">
        <f t="shared" ref="J1237:J1245" si="88">IF(B1237="SLD",D1237*E1237,-D1237*E1237)-H1237</f>
        <v>7303</v>
      </c>
      <c r="K1237" s="7"/>
      <c r="L1237" s="70"/>
      <c r="M1237" s="79"/>
      <c r="N1237" s="1"/>
      <c r="O1237" s="1"/>
      <c r="P1237" s="1"/>
      <c r="Q1237" s="1"/>
      <c r="R1237" s="1"/>
      <c r="S1237" s="1"/>
      <c r="T1237" s="1"/>
      <c r="U1237" s="1"/>
      <c r="V1237" s="1"/>
      <c r="W1237" s="1"/>
      <c r="X1237" s="1"/>
      <c r="Y1237" s="1"/>
      <c r="Z1237" s="1"/>
      <c r="AA1237" s="1"/>
      <c r="AB1237" s="1"/>
      <c r="AC1237" s="1"/>
      <c r="AD1237" s="1"/>
      <c r="AE1237" s="1"/>
      <c r="AF1237" s="1"/>
      <c r="AG1237" s="1"/>
      <c r="AH1237" s="1"/>
    </row>
    <row r="1238" ht="12.75" hidden="1" customHeight="1" outlineLevel="1">
      <c r="A1238" s="17">
        <v>41220.0</v>
      </c>
      <c r="B1238" s="1" t="s">
        <v>343</v>
      </c>
      <c r="C1238" s="1" t="s">
        <v>354</v>
      </c>
      <c r="D1238" s="74">
        <v>50.0</v>
      </c>
      <c r="E1238" s="67">
        <v>106.83</v>
      </c>
      <c r="F1238" s="75">
        <v>0.4745949074074074</v>
      </c>
      <c r="G1238" s="67" t="s">
        <v>453</v>
      </c>
      <c r="H1238" s="68">
        <v>1.0</v>
      </c>
      <c r="I1238" s="76"/>
      <c r="J1238" s="67">
        <f t="shared" si="88"/>
        <v>-5342.5</v>
      </c>
      <c r="K1238" s="7"/>
      <c r="L1238" s="70"/>
      <c r="M1238" s="79"/>
      <c r="N1238" s="1"/>
      <c r="O1238" s="1"/>
      <c r="P1238" s="1"/>
      <c r="Q1238" s="1"/>
      <c r="R1238" s="1"/>
      <c r="S1238" s="1"/>
      <c r="T1238" s="1"/>
      <c r="U1238" s="1"/>
      <c r="V1238" s="1"/>
      <c r="W1238" s="1"/>
      <c r="X1238" s="1"/>
      <c r="Y1238" s="1"/>
      <c r="Z1238" s="1"/>
      <c r="AA1238" s="1"/>
      <c r="AB1238" s="1"/>
      <c r="AC1238" s="1"/>
      <c r="AD1238" s="1"/>
      <c r="AE1238" s="1"/>
      <c r="AF1238" s="1"/>
      <c r="AG1238" s="1"/>
      <c r="AH1238" s="1"/>
    </row>
    <row r="1239" ht="12.75" hidden="1" customHeight="1" outlineLevel="1">
      <c r="A1239" s="17">
        <v>41220.0</v>
      </c>
      <c r="B1239" s="1" t="s">
        <v>347</v>
      </c>
      <c r="C1239" s="1" t="s">
        <v>346</v>
      </c>
      <c r="D1239" s="74">
        <v>15.0</v>
      </c>
      <c r="E1239" s="67">
        <v>563.25</v>
      </c>
      <c r="F1239" s="75">
        <v>0.4962847222222222</v>
      </c>
      <c r="G1239" s="67" t="s">
        <v>453</v>
      </c>
      <c r="H1239" s="68">
        <v>1.0</v>
      </c>
      <c r="I1239" s="76"/>
      <c r="J1239" s="67">
        <f t="shared" si="88"/>
        <v>8447.75</v>
      </c>
      <c r="K1239" s="7"/>
      <c r="L1239" s="70"/>
      <c r="M1239" s="79"/>
      <c r="N1239" s="1"/>
      <c r="O1239" s="1"/>
      <c r="P1239" s="1"/>
      <c r="Q1239" s="1"/>
      <c r="R1239" s="1"/>
      <c r="S1239" s="1"/>
      <c r="T1239" s="1"/>
      <c r="U1239" s="1"/>
      <c r="V1239" s="1"/>
      <c r="W1239" s="1"/>
      <c r="X1239" s="1"/>
      <c r="Y1239" s="1"/>
      <c r="Z1239" s="1"/>
      <c r="AA1239" s="1"/>
      <c r="AB1239" s="1"/>
      <c r="AC1239" s="1"/>
      <c r="AD1239" s="1"/>
      <c r="AE1239" s="1"/>
      <c r="AF1239" s="1"/>
      <c r="AG1239" s="1"/>
      <c r="AH1239" s="1"/>
    </row>
    <row r="1240" ht="12.75" hidden="1" customHeight="1" outlineLevel="1">
      <c r="A1240" s="17">
        <v>41220.0</v>
      </c>
      <c r="B1240" s="1" t="s">
        <v>347</v>
      </c>
      <c r="C1240" s="1" t="s">
        <v>751</v>
      </c>
      <c r="D1240" s="74">
        <v>100.0</v>
      </c>
      <c r="E1240" s="67">
        <v>105.4</v>
      </c>
      <c r="F1240" s="75">
        <v>0.49800925925925926</v>
      </c>
      <c r="G1240" s="67" t="s">
        <v>453</v>
      </c>
      <c r="H1240" s="68">
        <v>1.0</v>
      </c>
      <c r="I1240" s="76"/>
      <c r="J1240" s="67">
        <f t="shared" si="88"/>
        <v>10539</v>
      </c>
      <c r="K1240" s="7"/>
      <c r="L1240" s="70"/>
      <c r="M1240" s="79"/>
      <c r="N1240" s="1"/>
      <c r="O1240" s="1"/>
      <c r="P1240" s="1"/>
      <c r="Q1240" s="1"/>
      <c r="R1240" s="1"/>
      <c r="S1240" s="1"/>
      <c r="T1240" s="1"/>
      <c r="U1240" s="1"/>
      <c r="V1240" s="1"/>
      <c r="W1240" s="1"/>
      <c r="X1240" s="1"/>
      <c r="Y1240" s="1"/>
      <c r="Z1240" s="1"/>
      <c r="AA1240" s="1"/>
      <c r="AB1240" s="1"/>
      <c r="AC1240" s="1"/>
      <c r="AD1240" s="1"/>
      <c r="AE1240" s="1"/>
      <c r="AF1240" s="1"/>
      <c r="AG1240" s="1"/>
      <c r="AH1240" s="1"/>
    </row>
    <row r="1241" ht="12.75" hidden="1" customHeight="1" outlineLevel="1">
      <c r="A1241" s="17">
        <v>41220.0</v>
      </c>
      <c r="B1241" s="1" t="s">
        <v>347</v>
      </c>
      <c r="C1241" s="1" t="s">
        <v>344</v>
      </c>
      <c r="D1241" s="74">
        <v>300.0</v>
      </c>
      <c r="E1241" s="67">
        <v>32.3</v>
      </c>
      <c r="F1241" s="75">
        <v>0.4980671296296297</v>
      </c>
      <c r="G1241" s="67" t="s">
        <v>453</v>
      </c>
      <c r="H1241" s="68">
        <v>1.5</v>
      </c>
      <c r="I1241" s="76"/>
      <c r="J1241" s="67">
        <f t="shared" si="88"/>
        <v>9688.5</v>
      </c>
      <c r="K1241" s="7"/>
      <c r="L1241" s="70"/>
      <c r="M1241" s="79"/>
      <c r="N1241" s="1"/>
      <c r="O1241" s="1"/>
      <c r="P1241" s="1"/>
      <c r="Q1241" s="1"/>
      <c r="R1241" s="1"/>
      <c r="S1241" s="1"/>
      <c r="T1241" s="1"/>
      <c r="U1241" s="1"/>
      <c r="V1241" s="1"/>
      <c r="W1241" s="1"/>
      <c r="X1241" s="1"/>
      <c r="Y1241" s="1"/>
      <c r="Z1241" s="1"/>
      <c r="AA1241" s="1"/>
      <c r="AB1241" s="1"/>
      <c r="AC1241" s="1"/>
      <c r="AD1241" s="1"/>
      <c r="AE1241" s="1"/>
      <c r="AF1241" s="1"/>
      <c r="AG1241" s="1"/>
      <c r="AH1241" s="1"/>
    </row>
    <row r="1242" ht="12.75" hidden="1" customHeight="1" outlineLevel="1">
      <c r="A1242" s="17">
        <v>41220.0</v>
      </c>
      <c r="B1242" s="1" t="s">
        <v>347</v>
      </c>
      <c r="C1242" s="1" t="s">
        <v>344</v>
      </c>
      <c r="D1242" s="74">
        <v>400.0</v>
      </c>
      <c r="E1242" s="67">
        <v>32.18</v>
      </c>
      <c r="F1242" s="75">
        <v>0.5002083333333334</v>
      </c>
      <c r="G1242" s="67" t="s">
        <v>453</v>
      </c>
      <c r="H1242" s="68">
        <v>2.0</v>
      </c>
      <c r="I1242" s="76"/>
      <c r="J1242" s="67">
        <f t="shared" si="88"/>
        <v>12870</v>
      </c>
      <c r="K1242" s="7"/>
      <c r="L1242" s="70"/>
      <c r="M1242" s="79"/>
      <c r="N1242" s="1"/>
      <c r="O1242" s="1"/>
      <c r="P1242" s="1"/>
      <c r="Q1242" s="1"/>
      <c r="R1242" s="1"/>
      <c r="S1242" s="1"/>
      <c r="T1242" s="1"/>
      <c r="U1242" s="1"/>
      <c r="V1242" s="1"/>
      <c r="W1242" s="1"/>
      <c r="X1242" s="1"/>
      <c r="Y1242" s="1"/>
      <c r="Z1242" s="1"/>
      <c r="AA1242" s="1"/>
      <c r="AB1242" s="1"/>
      <c r="AC1242" s="1"/>
      <c r="AD1242" s="1"/>
      <c r="AE1242" s="1"/>
      <c r="AF1242" s="1"/>
      <c r="AG1242" s="1"/>
      <c r="AH1242" s="1"/>
    </row>
    <row r="1243" ht="12.75" hidden="1" customHeight="1" outlineLevel="1">
      <c r="A1243" s="17">
        <v>41220.0</v>
      </c>
      <c r="B1243" s="1" t="s">
        <v>347</v>
      </c>
      <c r="C1243" s="1" t="s">
        <v>344</v>
      </c>
      <c r="D1243" s="74">
        <v>300.0</v>
      </c>
      <c r="E1243" s="67">
        <v>32.27</v>
      </c>
      <c r="F1243" s="75">
        <v>0.5156481481481482</v>
      </c>
      <c r="G1243" s="67" t="s">
        <v>453</v>
      </c>
      <c r="H1243" s="68">
        <v>1.5</v>
      </c>
      <c r="I1243" s="76"/>
      <c r="J1243" s="67">
        <f t="shared" si="88"/>
        <v>9679.5</v>
      </c>
      <c r="K1243" s="7"/>
      <c r="L1243" s="70"/>
      <c r="M1243" s="79"/>
      <c r="N1243" s="1"/>
      <c r="O1243" s="1"/>
      <c r="P1243" s="1"/>
      <c r="Q1243" s="1"/>
      <c r="R1243" s="1"/>
      <c r="S1243" s="1"/>
      <c r="T1243" s="1"/>
      <c r="U1243" s="1"/>
      <c r="V1243" s="1"/>
      <c r="W1243" s="1"/>
      <c r="X1243" s="1"/>
      <c r="Y1243" s="1"/>
      <c r="Z1243" s="1"/>
      <c r="AA1243" s="1"/>
      <c r="AB1243" s="1"/>
      <c r="AC1243" s="1"/>
      <c r="AD1243" s="1"/>
      <c r="AE1243" s="1"/>
      <c r="AF1243" s="1"/>
      <c r="AG1243" s="1"/>
      <c r="AH1243" s="1"/>
    </row>
    <row r="1244" ht="12.75" hidden="1" customHeight="1" outlineLevel="1">
      <c r="A1244" s="17">
        <v>41220.0</v>
      </c>
      <c r="B1244" s="1" t="s">
        <v>347</v>
      </c>
      <c r="C1244" s="1" t="s">
        <v>346</v>
      </c>
      <c r="D1244" s="74">
        <v>15.0</v>
      </c>
      <c r="E1244" s="67">
        <v>561.25</v>
      </c>
      <c r="F1244" s="75">
        <v>0.5158680555555556</v>
      </c>
      <c r="G1244" s="67" t="s">
        <v>453</v>
      </c>
      <c r="H1244" s="68">
        <v>1.0</v>
      </c>
      <c r="I1244" s="76"/>
      <c r="J1244" s="67">
        <f t="shared" si="88"/>
        <v>8417.75</v>
      </c>
      <c r="K1244" s="7"/>
      <c r="L1244" s="70"/>
      <c r="M1244" s="79"/>
      <c r="N1244" s="1"/>
      <c r="O1244" s="1"/>
      <c r="P1244" s="1"/>
      <c r="Q1244" s="1"/>
      <c r="R1244" s="1"/>
      <c r="S1244" s="1"/>
      <c r="T1244" s="1"/>
      <c r="U1244" s="1"/>
      <c r="V1244" s="1"/>
      <c r="W1244" s="1"/>
      <c r="X1244" s="1"/>
      <c r="Y1244" s="1"/>
      <c r="Z1244" s="1"/>
      <c r="AA1244" s="1"/>
      <c r="AB1244" s="1"/>
      <c r="AC1244" s="1"/>
      <c r="AD1244" s="1"/>
      <c r="AE1244" s="1"/>
      <c r="AF1244" s="1"/>
      <c r="AG1244" s="1"/>
      <c r="AH1244" s="1"/>
    </row>
    <row r="1245" ht="12.75" hidden="1" customHeight="1" outlineLevel="1">
      <c r="A1245" s="17">
        <v>41220.0</v>
      </c>
      <c r="B1245" s="1" t="s">
        <v>347</v>
      </c>
      <c r="C1245" s="1" t="s">
        <v>387</v>
      </c>
      <c r="D1245" s="74">
        <v>150.0</v>
      </c>
      <c r="E1245" s="67">
        <v>71.03</v>
      </c>
      <c r="F1245" s="75">
        <v>0.5164467592592593</v>
      </c>
      <c r="G1245" s="67" t="s">
        <v>453</v>
      </c>
      <c r="H1245" s="68">
        <v>1.0</v>
      </c>
      <c r="I1245" s="76"/>
      <c r="J1245" s="67">
        <f t="shared" si="88"/>
        <v>10653.5</v>
      </c>
      <c r="K1245" s="7"/>
      <c r="L1245" s="70"/>
      <c r="M1245" s="79"/>
      <c r="N1245" s="1"/>
      <c r="O1245" s="1"/>
      <c r="P1245" s="1"/>
      <c r="Q1245" s="1"/>
      <c r="R1245" s="1"/>
      <c r="S1245" s="1"/>
      <c r="T1245" s="1"/>
      <c r="U1245" s="1"/>
      <c r="V1245" s="1"/>
      <c r="W1245" s="1"/>
      <c r="X1245" s="1"/>
      <c r="Y1245" s="1"/>
      <c r="Z1245" s="1"/>
      <c r="AA1245" s="1"/>
      <c r="AB1245" s="1"/>
      <c r="AC1245" s="1"/>
      <c r="AD1245" s="1"/>
      <c r="AE1245" s="1"/>
      <c r="AF1245" s="1"/>
      <c r="AG1245" s="1"/>
      <c r="AH1245" s="1"/>
    </row>
    <row r="1246" ht="12.75" hidden="1" customHeight="1" outlineLevel="1">
      <c r="A1246" s="17">
        <v>41220.0</v>
      </c>
      <c r="B1246" s="1"/>
      <c r="C1246" s="1" t="s">
        <v>339</v>
      </c>
      <c r="D1246" s="74"/>
      <c r="E1246" s="67"/>
      <c r="F1246" s="75"/>
      <c r="G1246" s="67"/>
      <c r="H1246" s="68"/>
      <c r="I1246" s="76"/>
      <c r="J1246" s="67"/>
      <c r="K1246" s="7" t="s">
        <v>760</v>
      </c>
      <c r="L1246" s="77"/>
      <c r="M1246" s="79"/>
      <c r="N1246" s="1"/>
      <c r="O1246" s="1"/>
      <c r="P1246" s="1"/>
      <c r="Q1246" s="1"/>
      <c r="R1246" s="1"/>
      <c r="S1246" s="1"/>
      <c r="T1246" s="1"/>
      <c r="U1246" s="1"/>
      <c r="V1246" s="1"/>
      <c r="W1246" s="1"/>
      <c r="X1246" s="1"/>
      <c r="Y1246" s="1"/>
      <c r="Z1246" s="1"/>
      <c r="AA1246" s="1"/>
      <c r="AB1246" s="1"/>
      <c r="AC1246" s="1"/>
      <c r="AD1246" s="1"/>
      <c r="AE1246" s="1"/>
      <c r="AF1246" s="1"/>
      <c r="AG1246" s="1"/>
      <c r="AH1246" s="1"/>
    </row>
    <row r="1247" ht="12.75" hidden="1" customHeight="1" outlineLevel="1">
      <c r="A1247" s="17">
        <v>41220.0</v>
      </c>
      <c r="B1247" s="1"/>
      <c r="C1247" s="1" t="s">
        <v>429</v>
      </c>
      <c r="D1247" s="74"/>
      <c r="E1247" s="67"/>
      <c r="F1247" s="75"/>
      <c r="G1247" s="67"/>
      <c r="H1247" s="68"/>
      <c r="I1247" s="76"/>
      <c r="J1247" s="67"/>
      <c r="K1247" s="7" t="s">
        <v>679</v>
      </c>
      <c r="L1247" s="77"/>
      <c r="M1247" s="79"/>
      <c r="N1247" s="1"/>
      <c r="O1247" s="1"/>
      <c r="P1247" s="1"/>
      <c r="Q1247" s="1"/>
      <c r="R1247" s="1"/>
      <c r="S1247" s="1"/>
      <c r="T1247" s="1"/>
      <c r="U1247" s="1"/>
      <c r="V1247" s="1"/>
      <c r="W1247" s="1"/>
      <c r="X1247" s="1"/>
      <c r="Y1247" s="1"/>
      <c r="Z1247" s="1"/>
      <c r="AA1247" s="1"/>
      <c r="AB1247" s="1"/>
      <c r="AC1247" s="1"/>
      <c r="AD1247" s="1"/>
      <c r="AE1247" s="1"/>
      <c r="AF1247" s="1"/>
      <c r="AG1247" s="1"/>
      <c r="AH1247" s="1"/>
    </row>
    <row r="1248" ht="12.75" hidden="1" customHeight="1" outlineLevel="1">
      <c r="A1248" s="17">
        <v>41220.0</v>
      </c>
      <c r="B1248" s="1"/>
      <c r="C1248" s="1" t="s">
        <v>431</v>
      </c>
      <c r="D1248" s="74"/>
      <c r="E1248" s="67"/>
      <c r="F1248" s="75"/>
      <c r="G1248" s="67"/>
      <c r="H1248" s="68"/>
      <c r="I1248" s="76"/>
      <c r="J1248" s="67"/>
      <c r="K1248" s="7" t="s">
        <v>669</v>
      </c>
      <c r="L1248" s="77"/>
      <c r="M1248" s="79"/>
      <c r="N1248" s="1"/>
      <c r="O1248" s="1"/>
      <c r="P1248" s="1"/>
      <c r="Q1248" s="1"/>
      <c r="R1248" s="1"/>
      <c r="S1248" s="1"/>
      <c r="T1248" s="1"/>
      <c r="U1248" s="1"/>
      <c r="V1248" s="1"/>
      <c r="W1248" s="1"/>
      <c r="X1248" s="1"/>
      <c r="Y1248" s="1"/>
      <c r="Z1248" s="1"/>
      <c r="AA1248" s="1"/>
      <c r="AB1248" s="1"/>
      <c r="AC1248" s="1"/>
      <c r="AD1248" s="1"/>
      <c r="AE1248" s="1"/>
      <c r="AF1248" s="1"/>
      <c r="AG1248" s="1"/>
      <c r="AH1248" s="1"/>
    </row>
    <row r="1249" ht="12.75" hidden="1" customHeight="1" outlineLevel="1">
      <c r="A1249" s="17">
        <v>41220.0</v>
      </c>
      <c r="B1249" s="1"/>
      <c r="C1249" s="1" t="s">
        <v>433</v>
      </c>
      <c r="D1249" s="74"/>
      <c r="E1249" s="67"/>
      <c r="F1249" s="75"/>
      <c r="G1249" s="67"/>
      <c r="H1249" s="68"/>
      <c r="I1249" s="76"/>
      <c r="J1249" s="67"/>
      <c r="K1249" s="1" t="s">
        <v>434</v>
      </c>
      <c r="L1249" s="77"/>
      <c r="M1249" s="79"/>
      <c r="N1249" s="1"/>
      <c r="O1249" s="1"/>
      <c r="P1249" s="1"/>
      <c r="Q1249" s="1"/>
      <c r="R1249" s="1"/>
      <c r="S1249" s="1"/>
      <c r="T1249" s="1"/>
      <c r="U1249" s="1"/>
      <c r="V1249" s="1"/>
      <c r="W1249" s="1"/>
      <c r="X1249" s="1"/>
      <c r="Y1249" s="1"/>
      <c r="Z1249" s="1"/>
      <c r="AA1249" s="1"/>
      <c r="AB1249" s="1"/>
      <c r="AC1249" s="1"/>
      <c r="AD1249" s="1"/>
      <c r="AE1249" s="1"/>
      <c r="AF1249" s="1"/>
      <c r="AG1249" s="1"/>
      <c r="AH1249" s="1"/>
    </row>
    <row r="1250" ht="12.75" hidden="1" customHeight="1" outlineLevel="1">
      <c r="A1250" s="17">
        <v>41220.0</v>
      </c>
      <c r="B1250" s="1"/>
      <c r="C1250" s="1" t="s">
        <v>435</v>
      </c>
      <c r="D1250" s="74"/>
      <c r="E1250" s="67"/>
      <c r="F1250" s="75"/>
      <c r="G1250" s="67"/>
      <c r="H1250" s="68"/>
      <c r="I1250" s="76"/>
      <c r="J1250" s="67"/>
      <c r="K1250" s="7" t="s">
        <v>745</v>
      </c>
      <c r="L1250" s="77"/>
      <c r="M1250" s="79"/>
      <c r="N1250" s="1"/>
      <c r="O1250" s="1"/>
      <c r="P1250" s="1"/>
      <c r="Q1250" s="1"/>
      <c r="R1250" s="1"/>
      <c r="S1250" s="1"/>
      <c r="T1250" s="1"/>
      <c r="U1250" s="1"/>
      <c r="V1250" s="1"/>
      <c r="W1250" s="1"/>
      <c r="X1250" s="1"/>
      <c r="Y1250" s="1"/>
      <c r="Z1250" s="1"/>
      <c r="AA1250" s="1"/>
      <c r="AB1250" s="1"/>
      <c r="AC1250" s="1"/>
      <c r="AD1250" s="1"/>
      <c r="AE1250" s="1"/>
      <c r="AF1250" s="1"/>
      <c r="AG1250" s="1"/>
      <c r="AH1250" s="1"/>
    </row>
    <row r="1251" ht="12.75" hidden="1" customHeight="1" outlineLevel="1">
      <c r="A1251" s="17">
        <v>41221.0</v>
      </c>
      <c r="B1251" s="1" t="s">
        <v>347</v>
      </c>
      <c r="C1251" s="1" t="s">
        <v>381</v>
      </c>
      <c r="D1251" s="74">
        <v>400.0</v>
      </c>
      <c r="E1251" s="67">
        <v>20.12</v>
      </c>
      <c r="F1251" s="75">
        <v>0.6135763888888889</v>
      </c>
      <c r="G1251" s="67" t="s">
        <v>453</v>
      </c>
      <c r="H1251" s="68">
        <v>1.8</v>
      </c>
      <c r="I1251" s="76"/>
      <c r="J1251" s="67">
        <f t="shared" ref="J1251:J1254" si="89">IF(B1251="SLD",D1251*E1251,-D1251*E1251)-H1251</f>
        <v>8046.2</v>
      </c>
      <c r="K1251" s="7" t="s">
        <v>395</v>
      </c>
      <c r="L1251" s="70"/>
      <c r="M1251" s="79"/>
      <c r="N1251" s="1"/>
      <c r="O1251" s="1"/>
      <c r="P1251" s="1"/>
      <c r="Q1251" s="1"/>
      <c r="R1251" s="1"/>
      <c r="S1251" s="1"/>
      <c r="T1251" s="1"/>
      <c r="U1251" s="1"/>
      <c r="V1251" s="1"/>
      <c r="W1251" s="1"/>
      <c r="X1251" s="1"/>
      <c r="Y1251" s="1"/>
      <c r="Z1251" s="1"/>
      <c r="AA1251" s="1"/>
      <c r="AB1251" s="1"/>
      <c r="AC1251" s="1"/>
      <c r="AD1251" s="1"/>
      <c r="AE1251" s="1"/>
      <c r="AF1251" s="1"/>
      <c r="AG1251" s="1"/>
      <c r="AH1251" s="1"/>
    </row>
    <row r="1252" ht="12.75" hidden="1" customHeight="1" outlineLevel="1">
      <c r="A1252" s="17">
        <v>41221.0</v>
      </c>
      <c r="B1252" s="1" t="s">
        <v>343</v>
      </c>
      <c r="C1252" s="1" t="s">
        <v>751</v>
      </c>
      <c r="D1252" s="74">
        <v>100.0</v>
      </c>
      <c r="E1252" s="67">
        <v>104.94</v>
      </c>
      <c r="F1252" s="75">
        <v>0.6609953703703704</v>
      </c>
      <c r="G1252" s="67" t="s">
        <v>453</v>
      </c>
      <c r="H1252" s="68">
        <v>1.0</v>
      </c>
      <c r="I1252" s="76"/>
      <c r="J1252" s="67">
        <f t="shared" si="89"/>
        <v>-10495</v>
      </c>
      <c r="K1252" s="7"/>
      <c r="L1252" s="70"/>
      <c r="M1252" s="79"/>
      <c r="N1252" s="1"/>
      <c r="O1252" s="1"/>
      <c r="P1252" s="1"/>
      <c r="Q1252" s="1"/>
      <c r="R1252" s="1"/>
      <c r="S1252" s="1"/>
      <c r="T1252" s="1"/>
      <c r="U1252" s="1"/>
      <c r="V1252" s="1"/>
      <c r="W1252" s="1"/>
      <c r="X1252" s="1"/>
      <c r="Y1252" s="1"/>
      <c r="Z1252" s="1"/>
      <c r="AA1252" s="1"/>
      <c r="AB1252" s="1"/>
      <c r="AC1252" s="1"/>
      <c r="AD1252" s="1"/>
      <c r="AE1252" s="1"/>
      <c r="AF1252" s="1"/>
      <c r="AG1252" s="1"/>
      <c r="AH1252" s="1"/>
    </row>
    <row r="1253" ht="12.75" hidden="1" customHeight="1" outlineLevel="1">
      <c r="A1253" s="17">
        <v>41221.0</v>
      </c>
      <c r="B1253" s="1" t="s">
        <v>347</v>
      </c>
      <c r="C1253" s="1" t="s">
        <v>751</v>
      </c>
      <c r="D1253" s="74">
        <v>100.0</v>
      </c>
      <c r="E1253" s="67">
        <v>103.92</v>
      </c>
      <c r="F1253" s="75">
        <v>0.7034606481481481</v>
      </c>
      <c r="G1253" s="67" t="s">
        <v>453</v>
      </c>
      <c r="H1253" s="68">
        <v>1.0</v>
      </c>
      <c r="I1253" s="76"/>
      <c r="J1253" s="67">
        <f t="shared" si="89"/>
        <v>10391</v>
      </c>
      <c r="K1253" s="7"/>
      <c r="L1253" s="70"/>
      <c r="M1253" s="79"/>
      <c r="N1253" s="1"/>
      <c r="O1253" s="1"/>
      <c r="P1253" s="1"/>
      <c r="Q1253" s="1"/>
      <c r="R1253" s="1"/>
      <c r="S1253" s="1"/>
      <c r="T1253" s="1"/>
      <c r="U1253" s="1"/>
      <c r="V1253" s="1"/>
      <c r="W1253" s="1"/>
      <c r="X1253" s="1"/>
      <c r="Y1253" s="1"/>
      <c r="Z1253" s="1"/>
      <c r="AA1253" s="1"/>
      <c r="AB1253" s="1"/>
      <c r="AC1253" s="1"/>
      <c r="AD1253" s="1"/>
      <c r="AE1253" s="1"/>
      <c r="AF1253" s="1"/>
      <c r="AG1253" s="1"/>
      <c r="AH1253" s="1"/>
    </row>
    <row r="1254" ht="12.75" hidden="1" customHeight="1" outlineLevel="1">
      <c r="A1254" s="17">
        <v>41221.0</v>
      </c>
      <c r="B1254" s="1" t="s">
        <v>347</v>
      </c>
      <c r="C1254" s="1" t="s">
        <v>630</v>
      </c>
      <c r="D1254" s="74">
        <v>900.0</v>
      </c>
      <c r="E1254" s="67">
        <f>3.91*1.0394</f>
        <v>4.064054</v>
      </c>
      <c r="F1254" s="75">
        <v>0.8809490740740741</v>
      </c>
      <c r="G1254" s="67" t="s">
        <v>631</v>
      </c>
      <c r="H1254" s="68">
        <v>6.0</v>
      </c>
      <c r="I1254" s="76"/>
      <c r="J1254" s="67">
        <f t="shared" si="89"/>
        <v>3651.6486</v>
      </c>
      <c r="K1254" s="7"/>
      <c r="L1254" s="70"/>
      <c r="M1254" s="79"/>
      <c r="N1254" s="1"/>
      <c r="O1254" s="1"/>
      <c r="P1254" s="1"/>
      <c r="Q1254" s="1"/>
      <c r="R1254" s="1"/>
      <c r="S1254" s="1"/>
      <c r="T1254" s="1"/>
      <c r="U1254" s="1"/>
      <c r="V1254" s="1"/>
      <c r="W1254" s="1"/>
      <c r="X1254" s="1"/>
      <c r="Y1254" s="1"/>
      <c r="Z1254" s="1"/>
      <c r="AA1254" s="1"/>
      <c r="AB1254" s="1"/>
      <c r="AC1254" s="1"/>
      <c r="AD1254" s="1"/>
      <c r="AE1254" s="1"/>
      <c r="AF1254" s="1"/>
      <c r="AG1254" s="1"/>
      <c r="AH1254" s="1"/>
    </row>
    <row r="1255" ht="12.75" hidden="1" customHeight="1" outlineLevel="1">
      <c r="A1255" s="17">
        <v>41221.0</v>
      </c>
      <c r="B1255" s="1" t="s">
        <v>347</v>
      </c>
      <c r="C1255" s="1" t="s">
        <v>631</v>
      </c>
      <c r="D1255" s="74">
        <v>3440.0</v>
      </c>
      <c r="E1255" s="67">
        <f>1.03934</f>
        <v>1.03934</v>
      </c>
      <c r="F1255" s="75">
        <v>0.8859143518518519</v>
      </c>
      <c r="G1255" s="67" t="s">
        <v>453</v>
      </c>
      <c r="H1255" s="68">
        <v>2.5</v>
      </c>
      <c r="I1255" s="76"/>
      <c r="J1255" s="67"/>
      <c r="K1255" s="7"/>
      <c r="L1255" s="70"/>
      <c r="M1255" s="79"/>
      <c r="N1255" s="1"/>
      <c r="O1255" s="1"/>
      <c r="P1255" s="1"/>
      <c r="Q1255" s="1"/>
      <c r="R1255" s="1"/>
      <c r="S1255" s="1"/>
      <c r="T1255" s="1"/>
      <c r="U1255" s="1"/>
      <c r="V1255" s="1"/>
      <c r="W1255" s="1"/>
      <c r="X1255" s="1"/>
      <c r="Y1255" s="1"/>
      <c r="Z1255" s="1"/>
      <c r="AA1255" s="1"/>
      <c r="AB1255" s="1"/>
      <c r="AC1255" s="1"/>
      <c r="AD1255" s="1"/>
      <c r="AE1255" s="1"/>
      <c r="AF1255" s="1"/>
      <c r="AG1255" s="1"/>
      <c r="AH1255" s="1"/>
    </row>
    <row r="1256" ht="12.75" hidden="1" customHeight="1" outlineLevel="1">
      <c r="A1256" s="17">
        <v>41221.0</v>
      </c>
      <c r="B1256" s="1"/>
      <c r="C1256" s="1" t="s">
        <v>339</v>
      </c>
      <c r="D1256" s="74"/>
      <c r="E1256" s="67"/>
      <c r="F1256" s="75"/>
      <c r="G1256" s="67"/>
      <c r="H1256" s="68"/>
      <c r="I1256" s="76"/>
      <c r="J1256" s="67"/>
      <c r="K1256" s="7" t="s">
        <v>762</v>
      </c>
      <c r="L1256" s="77"/>
      <c r="M1256" s="79"/>
      <c r="N1256" s="1"/>
      <c r="O1256" s="1"/>
      <c r="P1256" s="1"/>
      <c r="Q1256" s="1"/>
      <c r="R1256" s="1"/>
      <c r="S1256" s="1"/>
      <c r="T1256" s="1"/>
      <c r="U1256" s="1"/>
      <c r="V1256" s="1"/>
      <c r="W1256" s="1"/>
      <c r="X1256" s="1"/>
      <c r="Y1256" s="1"/>
      <c r="Z1256" s="1"/>
      <c r="AA1256" s="1"/>
      <c r="AB1256" s="1"/>
      <c r="AC1256" s="1"/>
      <c r="AD1256" s="1"/>
      <c r="AE1256" s="1"/>
      <c r="AF1256" s="1"/>
      <c r="AG1256" s="1"/>
      <c r="AH1256" s="1"/>
    </row>
    <row r="1257" ht="12.75" hidden="1" customHeight="1" outlineLevel="1">
      <c r="A1257" s="17">
        <v>41221.0</v>
      </c>
      <c r="B1257" s="1"/>
      <c r="C1257" s="1" t="s">
        <v>429</v>
      </c>
      <c r="D1257" s="74"/>
      <c r="E1257" s="67"/>
      <c r="F1257" s="75"/>
      <c r="G1257" s="67"/>
      <c r="H1257" s="68"/>
      <c r="I1257" s="76"/>
      <c r="J1257" s="67"/>
      <c r="K1257" s="7" t="s">
        <v>679</v>
      </c>
      <c r="L1257" s="77"/>
      <c r="M1257" s="79"/>
      <c r="N1257" s="1"/>
      <c r="O1257" s="1"/>
      <c r="P1257" s="1"/>
      <c r="Q1257" s="1"/>
      <c r="R1257" s="1"/>
      <c r="S1257" s="1"/>
      <c r="T1257" s="1"/>
      <c r="U1257" s="1"/>
      <c r="V1257" s="1"/>
      <c r="W1257" s="1"/>
      <c r="X1257" s="1"/>
      <c r="Y1257" s="1"/>
      <c r="Z1257" s="1"/>
      <c r="AA1257" s="1"/>
      <c r="AB1257" s="1"/>
      <c r="AC1257" s="1"/>
      <c r="AD1257" s="1"/>
      <c r="AE1257" s="1"/>
      <c r="AF1257" s="1"/>
      <c r="AG1257" s="1"/>
      <c r="AH1257" s="1"/>
    </row>
    <row r="1258" ht="12.75" hidden="1" customHeight="1" outlineLevel="1">
      <c r="A1258" s="17">
        <v>41221.0</v>
      </c>
      <c r="B1258" s="1"/>
      <c r="C1258" s="1" t="s">
        <v>431</v>
      </c>
      <c r="D1258" s="74"/>
      <c r="E1258" s="67"/>
      <c r="F1258" s="75"/>
      <c r="G1258" s="67"/>
      <c r="H1258" s="68"/>
      <c r="I1258" s="76"/>
      <c r="J1258" s="67"/>
      <c r="K1258" s="7" t="s">
        <v>669</v>
      </c>
      <c r="L1258" s="77"/>
      <c r="M1258" s="79"/>
      <c r="N1258" s="1"/>
      <c r="O1258" s="1"/>
      <c r="P1258" s="1"/>
      <c r="Q1258" s="1"/>
      <c r="R1258" s="1"/>
      <c r="S1258" s="1"/>
      <c r="T1258" s="1"/>
      <c r="U1258" s="1"/>
      <c r="V1258" s="1"/>
      <c r="W1258" s="1"/>
      <c r="X1258" s="1"/>
      <c r="Y1258" s="1"/>
      <c r="Z1258" s="1"/>
      <c r="AA1258" s="1"/>
      <c r="AB1258" s="1"/>
      <c r="AC1258" s="1"/>
      <c r="AD1258" s="1"/>
      <c r="AE1258" s="1"/>
      <c r="AF1258" s="1"/>
      <c r="AG1258" s="1"/>
      <c r="AH1258" s="1"/>
    </row>
    <row r="1259" ht="12.75" hidden="1" customHeight="1" outlineLevel="1">
      <c r="A1259" s="17">
        <v>41221.0</v>
      </c>
      <c r="B1259" s="1"/>
      <c r="C1259" s="1" t="s">
        <v>433</v>
      </c>
      <c r="D1259" s="74"/>
      <c r="E1259" s="67"/>
      <c r="F1259" s="75"/>
      <c r="G1259" s="67"/>
      <c r="H1259" s="68"/>
      <c r="I1259" s="76"/>
      <c r="J1259" s="67"/>
      <c r="K1259" s="1" t="s">
        <v>434</v>
      </c>
      <c r="L1259" s="77"/>
      <c r="M1259" s="79"/>
      <c r="N1259" s="1"/>
      <c r="O1259" s="1"/>
      <c r="P1259" s="1"/>
      <c r="Q1259" s="1"/>
      <c r="R1259" s="1"/>
      <c r="S1259" s="1"/>
      <c r="T1259" s="1"/>
      <c r="U1259" s="1"/>
      <c r="V1259" s="1"/>
      <c r="W1259" s="1"/>
      <c r="X1259" s="1"/>
      <c r="Y1259" s="1"/>
      <c r="Z1259" s="1"/>
      <c r="AA1259" s="1"/>
      <c r="AB1259" s="1"/>
      <c r="AC1259" s="1"/>
      <c r="AD1259" s="1"/>
      <c r="AE1259" s="1"/>
      <c r="AF1259" s="1"/>
      <c r="AG1259" s="1"/>
      <c r="AH1259" s="1"/>
    </row>
    <row r="1260" ht="12.75" hidden="1" customHeight="1" outlineLevel="1">
      <c r="A1260" s="17">
        <v>41221.0</v>
      </c>
      <c r="B1260" s="1"/>
      <c r="C1260" s="1" t="s">
        <v>435</v>
      </c>
      <c r="D1260" s="74"/>
      <c r="E1260" s="67"/>
      <c r="F1260" s="75"/>
      <c r="G1260" s="67"/>
      <c r="H1260" s="68"/>
      <c r="I1260" s="76"/>
      <c r="J1260" s="67"/>
      <c r="K1260" s="7" t="s">
        <v>745</v>
      </c>
      <c r="L1260" s="77"/>
      <c r="M1260" s="79"/>
      <c r="N1260" s="1"/>
      <c r="O1260" s="1"/>
      <c r="P1260" s="1"/>
      <c r="Q1260" s="1"/>
      <c r="R1260" s="1"/>
      <c r="S1260" s="1"/>
      <c r="T1260" s="1"/>
      <c r="U1260" s="1"/>
      <c r="V1260" s="1"/>
      <c r="W1260" s="1"/>
      <c r="X1260" s="1"/>
      <c r="Y1260" s="1"/>
      <c r="Z1260" s="1"/>
      <c r="AA1260" s="1"/>
      <c r="AB1260" s="1"/>
      <c r="AC1260" s="1"/>
      <c r="AD1260" s="1"/>
      <c r="AE1260" s="1"/>
      <c r="AF1260" s="1"/>
      <c r="AG1260" s="1"/>
      <c r="AH1260" s="1"/>
    </row>
    <row r="1261" ht="12.75" hidden="1" customHeight="1" outlineLevel="1">
      <c r="A1261" s="17">
        <v>41222.0</v>
      </c>
      <c r="B1261" s="1" t="s">
        <v>343</v>
      </c>
      <c r="C1261" s="1" t="s">
        <v>344</v>
      </c>
      <c r="D1261" s="74">
        <v>300.0</v>
      </c>
      <c r="E1261" s="67">
        <v>31.97</v>
      </c>
      <c r="F1261" s="75">
        <v>0.44796296296296295</v>
      </c>
      <c r="G1261" s="67" t="s">
        <v>453</v>
      </c>
      <c r="H1261" s="68">
        <v>1.3</v>
      </c>
      <c r="I1261" s="76"/>
      <c r="J1261" s="67">
        <f t="shared" ref="J1261:J1267" si="90">IF(B1261="SLD",D1261*E1261,-D1261*E1261)-H1261</f>
        <v>-9592.3</v>
      </c>
      <c r="K1261" s="7"/>
      <c r="L1261" s="70"/>
      <c r="M1261" s="79"/>
      <c r="N1261" s="1"/>
      <c r="O1261" s="1"/>
      <c r="P1261" s="1"/>
      <c r="Q1261" s="1"/>
      <c r="R1261" s="1"/>
      <c r="S1261" s="1"/>
      <c r="T1261" s="1"/>
      <c r="U1261" s="1"/>
      <c r="V1261" s="1"/>
      <c r="W1261" s="1"/>
      <c r="X1261" s="1"/>
      <c r="Y1261" s="1"/>
      <c r="Z1261" s="1"/>
      <c r="AA1261" s="1"/>
      <c r="AB1261" s="1"/>
      <c r="AC1261" s="1"/>
      <c r="AD1261" s="1"/>
      <c r="AE1261" s="1"/>
      <c r="AF1261" s="1"/>
      <c r="AG1261" s="1"/>
      <c r="AH1261" s="1"/>
    </row>
    <row r="1262" ht="12.75" hidden="1" customHeight="1" outlineLevel="1">
      <c r="A1262" s="17">
        <v>41225.0</v>
      </c>
      <c r="B1262" s="1" t="s">
        <v>343</v>
      </c>
      <c r="C1262" s="1" t="s">
        <v>346</v>
      </c>
      <c r="D1262" s="74">
        <v>20.0</v>
      </c>
      <c r="E1262" s="67">
        <v>550.96</v>
      </c>
      <c r="F1262" s="75">
        <v>0.45091435185185186</v>
      </c>
      <c r="G1262" s="67" t="s">
        <v>453</v>
      </c>
      <c r="H1262" s="68">
        <v>1.0</v>
      </c>
      <c r="I1262" s="76"/>
      <c r="J1262" s="67">
        <f t="shared" si="90"/>
        <v>-11020.2</v>
      </c>
      <c r="K1262" s="7"/>
      <c r="L1262" s="70"/>
      <c r="M1262" s="79"/>
      <c r="N1262" s="1"/>
      <c r="O1262" s="1"/>
      <c r="P1262" s="1"/>
      <c r="Q1262" s="1"/>
      <c r="R1262" s="1"/>
      <c r="S1262" s="1"/>
      <c r="T1262" s="1"/>
      <c r="U1262" s="1"/>
      <c r="V1262" s="1"/>
      <c r="W1262" s="1"/>
      <c r="X1262" s="1"/>
      <c r="Y1262" s="1"/>
      <c r="Z1262" s="1"/>
      <c r="AA1262" s="1"/>
      <c r="AB1262" s="1"/>
      <c r="AC1262" s="1"/>
      <c r="AD1262" s="1"/>
      <c r="AE1262" s="1"/>
      <c r="AF1262" s="1"/>
      <c r="AG1262" s="1"/>
      <c r="AH1262" s="1"/>
    </row>
    <row r="1263" ht="12.75" hidden="1" customHeight="1" outlineLevel="1">
      <c r="A1263" s="17">
        <v>41225.0</v>
      </c>
      <c r="B1263" s="1" t="s">
        <v>343</v>
      </c>
      <c r="C1263" s="1" t="s">
        <v>344</v>
      </c>
      <c r="D1263" s="74">
        <v>300.0</v>
      </c>
      <c r="E1263" s="67">
        <v>31.98</v>
      </c>
      <c r="F1263" s="75">
        <v>0.4535185185185185</v>
      </c>
      <c r="G1263" s="67" t="s">
        <v>453</v>
      </c>
      <c r="H1263" s="68">
        <v>1.5</v>
      </c>
      <c r="I1263" s="76"/>
      <c r="J1263" s="67">
        <f t="shared" si="90"/>
        <v>-9595.5</v>
      </c>
      <c r="K1263" s="7"/>
      <c r="L1263" s="70"/>
      <c r="M1263" s="79"/>
      <c r="N1263" s="1"/>
      <c r="O1263" s="1"/>
      <c r="P1263" s="1"/>
      <c r="Q1263" s="1"/>
      <c r="R1263" s="1"/>
      <c r="S1263" s="1"/>
      <c r="T1263" s="1"/>
      <c r="U1263" s="1"/>
      <c r="V1263" s="1"/>
      <c r="W1263" s="1"/>
      <c r="X1263" s="1"/>
      <c r="Y1263" s="1"/>
      <c r="Z1263" s="1"/>
      <c r="AA1263" s="1"/>
      <c r="AB1263" s="1"/>
      <c r="AC1263" s="1"/>
      <c r="AD1263" s="1"/>
      <c r="AE1263" s="1"/>
      <c r="AF1263" s="1"/>
      <c r="AG1263" s="1"/>
      <c r="AH1263" s="1"/>
    </row>
    <row r="1264" ht="12.75" hidden="1" customHeight="1" outlineLevel="1">
      <c r="A1264" s="17">
        <v>41225.0</v>
      </c>
      <c r="B1264" s="1" t="s">
        <v>343</v>
      </c>
      <c r="C1264" s="1" t="s">
        <v>387</v>
      </c>
      <c r="D1264" s="74">
        <v>150.0</v>
      </c>
      <c r="E1264" s="67">
        <v>70.75</v>
      </c>
      <c r="F1264" s="75">
        <v>0.6994328703703704</v>
      </c>
      <c r="G1264" s="67" t="s">
        <v>453</v>
      </c>
      <c r="H1264" s="68">
        <v>1.0</v>
      </c>
      <c r="I1264" s="76"/>
      <c r="J1264" s="67">
        <f t="shared" si="90"/>
        <v>-10613.5</v>
      </c>
      <c r="K1264" s="7"/>
      <c r="L1264" s="70"/>
      <c r="M1264" s="79"/>
      <c r="N1264" s="1"/>
      <c r="O1264" s="1"/>
      <c r="P1264" s="1"/>
      <c r="Q1264" s="1"/>
      <c r="R1264" s="1"/>
      <c r="S1264" s="1"/>
      <c r="T1264" s="1"/>
      <c r="U1264" s="1"/>
      <c r="V1264" s="1"/>
      <c r="W1264" s="1"/>
      <c r="X1264" s="1"/>
      <c r="Y1264" s="1"/>
      <c r="Z1264" s="1"/>
      <c r="AA1264" s="1"/>
      <c r="AB1264" s="1"/>
      <c r="AC1264" s="1"/>
      <c r="AD1264" s="1"/>
      <c r="AE1264" s="1"/>
      <c r="AF1264" s="1"/>
      <c r="AG1264" s="1"/>
      <c r="AH1264" s="1"/>
    </row>
    <row r="1265" ht="12.75" hidden="1" customHeight="1" outlineLevel="1">
      <c r="A1265" s="17">
        <v>41225.0</v>
      </c>
      <c r="B1265" s="1" t="s">
        <v>343</v>
      </c>
      <c r="C1265" s="1" t="s">
        <v>751</v>
      </c>
      <c r="D1265" s="74">
        <v>100.0</v>
      </c>
      <c r="E1265" s="67">
        <v>110.24</v>
      </c>
      <c r="F1265" s="75">
        <v>0.707951388888889</v>
      </c>
      <c r="G1265" s="67" t="s">
        <v>453</v>
      </c>
      <c r="H1265" s="68">
        <v>1.0</v>
      </c>
      <c r="I1265" s="76"/>
      <c r="J1265" s="67">
        <f t="shared" si="90"/>
        <v>-11025</v>
      </c>
      <c r="K1265" s="7"/>
      <c r="L1265" s="70"/>
      <c r="M1265" s="79"/>
      <c r="N1265" s="1"/>
      <c r="O1265" s="1"/>
      <c r="P1265" s="1"/>
      <c r="Q1265" s="1"/>
      <c r="R1265" s="1"/>
      <c r="S1265" s="1"/>
      <c r="T1265" s="1"/>
      <c r="U1265" s="1"/>
      <c r="V1265" s="1"/>
      <c r="W1265" s="1"/>
      <c r="X1265" s="1"/>
      <c r="Y1265" s="1"/>
      <c r="Z1265" s="1"/>
      <c r="AA1265" s="1"/>
      <c r="AB1265" s="1"/>
      <c r="AC1265" s="1"/>
      <c r="AD1265" s="1"/>
      <c r="AE1265" s="1"/>
      <c r="AF1265" s="1"/>
      <c r="AG1265" s="1"/>
      <c r="AH1265" s="1"/>
    </row>
    <row r="1266" ht="12.75" hidden="1" customHeight="1" outlineLevel="1">
      <c r="A1266" s="17">
        <v>41226.0</v>
      </c>
      <c r="B1266" s="1" t="s">
        <v>347</v>
      </c>
      <c r="C1266" s="1" t="s">
        <v>381</v>
      </c>
      <c r="D1266" s="74">
        <v>200.0</v>
      </c>
      <c r="E1266" s="67">
        <v>19.69</v>
      </c>
      <c r="F1266" s="75">
        <v>0.43928240740740737</v>
      </c>
      <c r="G1266" s="67" t="s">
        <v>453</v>
      </c>
      <c r="H1266" s="68">
        <v>1.0</v>
      </c>
      <c r="I1266" s="76"/>
      <c r="J1266" s="67">
        <f t="shared" si="90"/>
        <v>3937</v>
      </c>
      <c r="K1266" s="7"/>
      <c r="L1266" s="70"/>
      <c r="M1266" s="79"/>
      <c r="N1266" s="1"/>
      <c r="O1266" s="1"/>
      <c r="P1266" s="1"/>
      <c r="Q1266" s="1"/>
      <c r="R1266" s="1"/>
      <c r="S1266" s="1"/>
      <c r="T1266" s="1"/>
      <c r="U1266" s="1"/>
      <c r="V1266" s="1"/>
      <c r="W1266" s="1"/>
      <c r="X1266" s="1"/>
      <c r="Y1266" s="1"/>
      <c r="Z1266" s="1"/>
      <c r="AA1266" s="1"/>
      <c r="AB1266" s="1"/>
      <c r="AC1266" s="1"/>
      <c r="AD1266" s="1"/>
      <c r="AE1266" s="1"/>
      <c r="AF1266" s="1"/>
      <c r="AG1266" s="1"/>
      <c r="AH1266" s="1"/>
    </row>
    <row r="1267" ht="12.75" hidden="1" customHeight="1" outlineLevel="1">
      <c r="A1267" s="17">
        <v>41226.0</v>
      </c>
      <c r="B1267" s="1" t="s">
        <v>343</v>
      </c>
      <c r="C1267" s="1" t="s">
        <v>344</v>
      </c>
      <c r="D1267" s="74">
        <v>200.0</v>
      </c>
      <c r="E1267" s="67">
        <v>31.68</v>
      </c>
      <c r="F1267" s="75">
        <v>0.4469212962962963</v>
      </c>
      <c r="G1267" s="67" t="s">
        <v>453</v>
      </c>
      <c r="H1267" s="68">
        <v>1.0</v>
      </c>
      <c r="I1267" s="76"/>
      <c r="J1267" s="67">
        <f t="shared" si="90"/>
        <v>-6337</v>
      </c>
      <c r="K1267" s="7"/>
      <c r="L1267" s="70"/>
      <c r="M1267" s="79"/>
      <c r="N1267" s="1"/>
      <c r="O1267" s="1"/>
      <c r="P1267" s="1"/>
      <c r="Q1267" s="1"/>
      <c r="R1267" s="1"/>
      <c r="S1267" s="1"/>
      <c r="T1267" s="1"/>
      <c r="U1267" s="1"/>
      <c r="V1267" s="1"/>
      <c r="W1267" s="1"/>
      <c r="X1267" s="1"/>
      <c r="Y1267" s="1"/>
      <c r="Z1267" s="1"/>
      <c r="AA1267" s="1"/>
      <c r="AB1267" s="1"/>
      <c r="AC1267" s="1"/>
      <c r="AD1267" s="1"/>
      <c r="AE1267" s="1"/>
      <c r="AF1267" s="1"/>
      <c r="AG1267" s="1"/>
      <c r="AH1267" s="1"/>
    </row>
    <row r="1268" ht="12.75" hidden="1" customHeight="1" outlineLevel="1">
      <c r="A1268" s="17">
        <v>41226.0</v>
      </c>
      <c r="B1268" s="1"/>
      <c r="C1268" s="1" t="s">
        <v>339</v>
      </c>
      <c r="D1268" s="74"/>
      <c r="E1268" s="67"/>
      <c r="F1268" s="75"/>
      <c r="G1268" s="67"/>
      <c r="H1268" s="68"/>
      <c r="I1268" s="76"/>
      <c r="J1268" s="67"/>
      <c r="K1268" s="7" t="s">
        <v>767</v>
      </c>
      <c r="L1268" s="77"/>
      <c r="M1268" s="79"/>
      <c r="N1268" s="1"/>
      <c r="O1268" s="1"/>
      <c r="P1268" s="1"/>
      <c r="Q1268" s="1"/>
      <c r="R1268" s="1"/>
      <c r="S1268" s="1"/>
      <c r="T1268" s="1"/>
      <c r="U1268" s="1"/>
      <c r="V1268" s="1"/>
      <c r="W1268" s="1"/>
      <c r="X1268" s="1"/>
      <c r="Y1268" s="1"/>
      <c r="Z1268" s="1"/>
      <c r="AA1268" s="1"/>
      <c r="AB1268" s="1"/>
      <c r="AC1268" s="1"/>
      <c r="AD1268" s="1"/>
      <c r="AE1268" s="1"/>
      <c r="AF1268" s="1"/>
      <c r="AG1268" s="1"/>
      <c r="AH1268" s="1"/>
    </row>
    <row r="1269" ht="12.75" hidden="1" customHeight="1" outlineLevel="1">
      <c r="A1269" s="17">
        <v>41226.0</v>
      </c>
      <c r="B1269" s="1"/>
      <c r="C1269" s="1" t="s">
        <v>429</v>
      </c>
      <c r="D1269" s="74"/>
      <c r="E1269" s="67"/>
      <c r="F1269" s="75"/>
      <c r="G1269" s="67"/>
      <c r="H1269" s="68"/>
      <c r="I1269" s="76"/>
      <c r="J1269" s="67"/>
      <c r="K1269" s="7" t="s">
        <v>679</v>
      </c>
      <c r="L1269" s="77"/>
      <c r="M1269" s="79"/>
      <c r="N1269" s="1"/>
      <c r="O1269" s="1"/>
      <c r="P1269" s="1"/>
      <c r="Q1269" s="1"/>
      <c r="R1269" s="1"/>
      <c r="S1269" s="1"/>
      <c r="T1269" s="1"/>
      <c r="U1269" s="1"/>
      <c r="V1269" s="1"/>
      <c r="W1269" s="1"/>
      <c r="X1269" s="1"/>
      <c r="Y1269" s="1"/>
      <c r="Z1269" s="1"/>
      <c r="AA1269" s="1"/>
      <c r="AB1269" s="1"/>
      <c r="AC1269" s="1"/>
      <c r="AD1269" s="1"/>
      <c r="AE1269" s="1"/>
      <c r="AF1269" s="1"/>
      <c r="AG1269" s="1"/>
      <c r="AH1269" s="1"/>
    </row>
    <row r="1270" ht="12.75" hidden="1" customHeight="1" outlineLevel="1">
      <c r="A1270" s="17">
        <v>41226.0</v>
      </c>
      <c r="B1270" s="1"/>
      <c r="C1270" s="1" t="s">
        <v>431</v>
      </c>
      <c r="D1270" s="74"/>
      <c r="E1270" s="67"/>
      <c r="F1270" s="75"/>
      <c r="G1270" s="67"/>
      <c r="H1270" s="68"/>
      <c r="I1270" s="76"/>
      <c r="J1270" s="67"/>
      <c r="K1270" s="7" t="s">
        <v>669</v>
      </c>
      <c r="L1270" s="77"/>
      <c r="M1270" s="79"/>
      <c r="N1270" s="1"/>
      <c r="O1270" s="1"/>
      <c r="P1270" s="1"/>
      <c r="Q1270" s="1"/>
      <c r="R1270" s="1"/>
      <c r="S1270" s="1"/>
      <c r="T1270" s="1"/>
      <c r="U1270" s="1"/>
      <c r="V1270" s="1"/>
      <c r="W1270" s="1"/>
      <c r="X1270" s="1"/>
      <c r="Y1270" s="1"/>
      <c r="Z1270" s="1"/>
      <c r="AA1270" s="1"/>
      <c r="AB1270" s="1"/>
      <c r="AC1270" s="1"/>
      <c r="AD1270" s="1"/>
      <c r="AE1270" s="1"/>
      <c r="AF1270" s="1"/>
      <c r="AG1270" s="1"/>
      <c r="AH1270" s="1"/>
    </row>
    <row r="1271" ht="12.75" hidden="1" customHeight="1" outlineLevel="1">
      <c r="A1271" s="17">
        <v>41226.0</v>
      </c>
      <c r="B1271" s="1"/>
      <c r="C1271" s="1" t="s">
        <v>433</v>
      </c>
      <c r="D1271" s="74"/>
      <c r="E1271" s="67"/>
      <c r="F1271" s="75"/>
      <c r="G1271" s="67"/>
      <c r="H1271" s="68"/>
      <c r="I1271" s="76"/>
      <c r="J1271" s="67"/>
      <c r="K1271" s="1" t="s">
        <v>434</v>
      </c>
      <c r="L1271" s="77"/>
      <c r="M1271" s="79"/>
      <c r="N1271" s="1"/>
      <c r="O1271" s="1"/>
      <c r="P1271" s="1"/>
      <c r="Q1271" s="1"/>
      <c r="R1271" s="1"/>
      <c r="S1271" s="1"/>
      <c r="T1271" s="1"/>
      <c r="U1271" s="1"/>
      <c r="V1271" s="1"/>
      <c r="W1271" s="1"/>
      <c r="X1271" s="1"/>
      <c r="Y1271" s="1"/>
      <c r="Z1271" s="1"/>
      <c r="AA1271" s="1"/>
      <c r="AB1271" s="1"/>
      <c r="AC1271" s="1"/>
      <c r="AD1271" s="1"/>
      <c r="AE1271" s="1"/>
      <c r="AF1271" s="1"/>
      <c r="AG1271" s="1"/>
      <c r="AH1271" s="1"/>
    </row>
    <row r="1272" ht="12.75" hidden="1" customHeight="1" outlineLevel="1">
      <c r="A1272" s="17">
        <v>41226.0</v>
      </c>
      <c r="B1272" s="1"/>
      <c r="C1272" s="1" t="s">
        <v>435</v>
      </c>
      <c r="D1272" s="74"/>
      <c r="E1272" s="67"/>
      <c r="F1272" s="75"/>
      <c r="G1272" s="67"/>
      <c r="H1272" s="68"/>
      <c r="I1272" s="76"/>
      <c r="J1272" s="67"/>
      <c r="K1272" s="7" t="s">
        <v>745</v>
      </c>
      <c r="L1272" s="77"/>
      <c r="M1272" s="79"/>
      <c r="N1272" s="1"/>
      <c r="O1272" s="1"/>
      <c r="P1272" s="1"/>
      <c r="Q1272" s="1"/>
      <c r="R1272" s="1"/>
      <c r="S1272" s="1"/>
      <c r="T1272" s="1"/>
      <c r="U1272" s="1"/>
      <c r="V1272" s="1"/>
      <c r="W1272" s="1"/>
      <c r="X1272" s="1"/>
      <c r="Y1272" s="1"/>
      <c r="Z1272" s="1"/>
      <c r="AA1272" s="1"/>
      <c r="AB1272" s="1"/>
      <c r="AC1272" s="1"/>
      <c r="AD1272" s="1"/>
      <c r="AE1272" s="1"/>
      <c r="AF1272" s="1"/>
      <c r="AG1272" s="1"/>
      <c r="AH1272" s="1"/>
    </row>
    <row r="1273" ht="12.75" hidden="1" customHeight="1" outlineLevel="1">
      <c r="A1273" s="17">
        <v>41227.0</v>
      </c>
      <c r="B1273" s="1" t="s">
        <v>347</v>
      </c>
      <c r="C1273" s="1" t="s">
        <v>387</v>
      </c>
      <c r="D1273" s="74">
        <v>150.0</v>
      </c>
      <c r="E1273" s="67">
        <v>70.66</v>
      </c>
      <c r="F1273" s="75">
        <v>0.47562499999999996</v>
      </c>
      <c r="G1273" s="67" t="s">
        <v>453</v>
      </c>
      <c r="H1273" s="68">
        <v>1.0</v>
      </c>
      <c r="I1273" s="76"/>
      <c r="J1273" s="67">
        <f t="shared" ref="J1273:J1289" si="91">IF(B1273="SLD",D1273*E1273,-D1273*E1273)-H1273</f>
        <v>10598</v>
      </c>
      <c r="K1273" s="7"/>
      <c r="L1273" s="70"/>
      <c r="M1273" s="79"/>
      <c r="N1273" s="1"/>
      <c r="O1273" s="1"/>
      <c r="P1273" s="1"/>
      <c r="Q1273" s="1"/>
      <c r="R1273" s="1"/>
      <c r="S1273" s="1"/>
      <c r="T1273" s="1"/>
      <c r="U1273" s="1"/>
      <c r="V1273" s="1"/>
      <c r="W1273" s="1"/>
      <c r="X1273" s="1"/>
      <c r="Y1273" s="1"/>
      <c r="Z1273" s="1"/>
      <c r="AA1273" s="1"/>
      <c r="AB1273" s="1"/>
      <c r="AC1273" s="1"/>
      <c r="AD1273" s="1"/>
      <c r="AE1273" s="1"/>
      <c r="AF1273" s="1"/>
      <c r="AG1273" s="1"/>
      <c r="AH1273" s="1"/>
    </row>
    <row r="1274" ht="12.75" hidden="1" customHeight="1" outlineLevel="1">
      <c r="A1274" s="17">
        <v>41227.0</v>
      </c>
      <c r="B1274" s="1" t="s">
        <v>347</v>
      </c>
      <c r="C1274" s="1" t="s">
        <v>346</v>
      </c>
      <c r="D1274" s="74">
        <v>20.0</v>
      </c>
      <c r="E1274" s="67">
        <v>542.9</v>
      </c>
      <c r="F1274" s="75">
        <v>0.4763888888888889</v>
      </c>
      <c r="G1274" s="67" t="s">
        <v>453</v>
      </c>
      <c r="H1274" s="68">
        <v>1.0</v>
      </c>
      <c r="I1274" s="76"/>
      <c r="J1274" s="67">
        <f t="shared" si="91"/>
        <v>10857</v>
      </c>
      <c r="K1274" s="7"/>
      <c r="L1274" s="70"/>
      <c r="M1274" s="79"/>
      <c r="N1274" s="1"/>
      <c r="O1274" s="1"/>
      <c r="P1274" s="1"/>
      <c r="Q1274" s="1"/>
      <c r="R1274" s="1"/>
      <c r="S1274" s="1"/>
      <c r="T1274" s="1"/>
      <c r="U1274" s="1"/>
      <c r="V1274" s="1"/>
      <c r="W1274" s="1"/>
      <c r="X1274" s="1"/>
      <c r="Y1274" s="1"/>
      <c r="Z1274" s="1"/>
      <c r="AA1274" s="1"/>
      <c r="AB1274" s="1"/>
      <c r="AC1274" s="1"/>
      <c r="AD1274" s="1"/>
      <c r="AE1274" s="1"/>
      <c r="AF1274" s="1"/>
      <c r="AG1274" s="1"/>
      <c r="AH1274" s="1"/>
    </row>
    <row r="1275" ht="12.75" hidden="1" customHeight="1" outlineLevel="1">
      <c r="A1275" s="17">
        <v>41227.0</v>
      </c>
      <c r="B1275" s="1" t="s">
        <v>347</v>
      </c>
      <c r="C1275" s="1" t="s">
        <v>734</v>
      </c>
      <c r="D1275" s="74">
        <v>700.0</v>
      </c>
      <c r="E1275" s="67">
        <v>18.381</v>
      </c>
      <c r="F1275" s="75">
        <v>0.48491898148148144</v>
      </c>
      <c r="G1275" s="67" t="s">
        <v>453</v>
      </c>
      <c r="H1275" s="68">
        <v>3.5</v>
      </c>
      <c r="I1275" s="76"/>
      <c r="J1275" s="67">
        <f t="shared" si="91"/>
        <v>12863.2</v>
      </c>
      <c r="K1275" s="7"/>
      <c r="L1275" s="70"/>
      <c r="M1275" s="79"/>
      <c r="N1275" s="1"/>
      <c r="O1275" s="1"/>
      <c r="P1275" s="1"/>
      <c r="Q1275" s="1"/>
      <c r="R1275" s="1"/>
      <c r="S1275" s="1"/>
      <c r="T1275" s="1"/>
      <c r="U1275" s="1"/>
      <c r="V1275" s="1"/>
      <c r="W1275" s="1"/>
      <c r="X1275" s="1"/>
      <c r="Y1275" s="1"/>
      <c r="Z1275" s="1"/>
      <c r="AA1275" s="1"/>
      <c r="AB1275" s="1"/>
      <c r="AC1275" s="1"/>
      <c r="AD1275" s="1"/>
      <c r="AE1275" s="1"/>
      <c r="AF1275" s="1"/>
      <c r="AG1275" s="1"/>
      <c r="AH1275" s="1"/>
    </row>
    <row r="1276" ht="12.75" hidden="1" customHeight="1" outlineLevel="1">
      <c r="A1276" s="17">
        <v>41227.0</v>
      </c>
      <c r="B1276" s="1" t="s">
        <v>347</v>
      </c>
      <c r="C1276" s="1" t="s">
        <v>344</v>
      </c>
      <c r="D1276" s="74">
        <v>300.0</v>
      </c>
      <c r="E1276" s="67">
        <v>31.1</v>
      </c>
      <c r="F1276" s="75">
        <v>0.4859490740740741</v>
      </c>
      <c r="G1276" s="67" t="s">
        <v>453</v>
      </c>
      <c r="H1276" s="68">
        <v>1.5</v>
      </c>
      <c r="I1276" s="76"/>
      <c r="J1276" s="67">
        <f t="shared" si="91"/>
        <v>9328.5</v>
      </c>
      <c r="K1276" s="7"/>
      <c r="L1276" s="70"/>
      <c r="M1276" s="79"/>
      <c r="N1276" s="1"/>
      <c r="O1276" s="1"/>
      <c r="P1276" s="1"/>
      <c r="Q1276" s="1"/>
      <c r="R1276" s="1"/>
      <c r="S1276" s="1"/>
      <c r="T1276" s="1"/>
      <c r="U1276" s="1"/>
      <c r="V1276" s="1"/>
      <c r="W1276" s="1"/>
      <c r="X1276" s="1"/>
      <c r="Y1276" s="1"/>
      <c r="Z1276" s="1"/>
      <c r="AA1276" s="1"/>
      <c r="AB1276" s="1"/>
      <c r="AC1276" s="1"/>
      <c r="AD1276" s="1"/>
      <c r="AE1276" s="1"/>
      <c r="AF1276" s="1"/>
      <c r="AG1276" s="1"/>
      <c r="AH1276" s="1"/>
    </row>
    <row r="1277" ht="12.75" hidden="1" customHeight="1" outlineLevel="1">
      <c r="A1277" s="17">
        <v>41227.0</v>
      </c>
      <c r="B1277" s="1" t="s">
        <v>343</v>
      </c>
      <c r="C1277" s="1" t="s">
        <v>691</v>
      </c>
      <c r="D1277" s="74">
        <v>200.0</v>
      </c>
      <c r="E1277" s="67">
        <v>27.22</v>
      </c>
      <c r="F1277" s="75">
        <v>0.48768518518518517</v>
      </c>
      <c r="G1277" s="67" t="s">
        <v>453</v>
      </c>
      <c r="H1277" s="68">
        <v>1.0</v>
      </c>
      <c r="I1277" s="76"/>
      <c r="J1277" s="67">
        <f t="shared" si="91"/>
        <v>-5445</v>
      </c>
      <c r="K1277" s="7"/>
      <c r="L1277" s="70"/>
      <c r="M1277" s="79"/>
      <c r="N1277" s="1"/>
      <c r="O1277" s="1"/>
      <c r="P1277" s="1"/>
      <c r="Q1277" s="1"/>
      <c r="R1277" s="1"/>
      <c r="S1277" s="1"/>
      <c r="T1277" s="1"/>
      <c r="U1277" s="1"/>
      <c r="V1277" s="1"/>
      <c r="W1277" s="1"/>
      <c r="X1277" s="1"/>
      <c r="Y1277" s="1"/>
      <c r="Z1277" s="1"/>
      <c r="AA1277" s="1"/>
      <c r="AB1277" s="1"/>
      <c r="AC1277" s="1"/>
      <c r="AD1277" s="1"/>
      <c r="AE1277" s="1"/>
      <c r="AF1277" s="1"/>
      <c r="AG1277" s="1"/>
      <c r="AH1277" s="1"/>
    </row>
    <row r="1278" ht="12.75" hidden="1" customHeight="1" outlineLevel="1">
      <c r="A1278" s="17">
        <v>41227.0</v>
      </c>
      <c r="B1278" s="1" t="s">
        <v>347</v>
      </c>
      <c r="C1278" s="1" t="s">
        <v>354</v>
      </c>
      <c r="D1278" s="74">
        <v>100.0</v>
      </c>
      <c r="E1278" s="67">
        <v>103.4</v>
      </c>
      <c r="F1278" s="75">
        <v>0.48840277777777774</v>
      </c>
      <c r="G1278" s="67" t="s">
        <v>453</v>
      </c>
      <c r="H1278" s="68">
        <v>1.0</v>
      </c>
      <c r="I1278" s="76"/>
      <c r="J1278" s="67">
        <f t="shared" si="91"/>
        <v>10339</v>
      </c>
      <c r="K1278" s="7"/>
      <c r="L1278" s="70"/>
      <c r="M1278" s="79"/>
      <c r="N1278" s="1"/>
      <c r="O1278" s="1"/>
      <c r="P1278" s="1"/>
      <c r="Q1278" s="1"/>
      <c r="R1278" s="1"/>
      <c r="S1278" s="1"/>
      <c r="T1278" s="1"/>
      <c r="U1278" s="1"/>
      <c r="V1278" s="1"/>
      <c r="W1278" s="1"/>
      <c r="X1278" s="1"/>
      <c r="Y1278" s="1"/>
      <c r="Z1278" s="1"/>
      <c r="AA1278" s="1"/>
      <c r="AB1278" s="1"/>
      <c r="AC1278" s="1"/>
      <c r="AD1278" s="1"/>
      <c r="AE1278" s="1"/>
      <c r="AF1278" s="1"/>
      <c r="AG1278" s="1"/>
      <c r="AH1278" s="1"/>
    </row>
    <row r="1279" ht="12.75" hidden="1" customHeight="1" outlineLevel="1">
      <c r="A1279" s="17">
        <v>41227.0</v>
      </c>
      <c r="B1279" s="1" t="s">
        <v>343</v>
      </c>
      <c r="C1279" s="1" t="s">
        <v>381</v>
      </c>
      <c r="D1279" s="74">
        <v>600.0</v>
      </c>
      <c r="E1279" s="67">
        <v>22.22</v>
      </c>
      <c r="F1279" s="75">
        <v>0.6103587962962963</v>
      </c>
      <c r="G1279" s="67" t="s">
        <v>453</v>
      </c>
      <c r="H1279" s="68">
        <v>3.0</v>
      </c>
      <c r="I1279" s="76"/>
      <c r="J1279" s="67">
        <f t="shared" si="91"/>
        <v>-13335</v>
      </c>
      <c r="K1279" s="7"/>
      <c r="L1279" s="70"/>
      <c r="M1279" s="79"/>
      <c r="N1279" s="1"/>
      <c r="O1279" s="1"/>
      <c r="P1279" s="1"/>
      <c r="Q1279" s="1"/>
      <c r="R1279" s="1"/>
      <c r="S1279" s="1"/>
      <c r="T1279" s="1"/>
      <c r="U1279" s="1"/>
      <c r="V1279" s="1"/>
      <c r="W1279" s="1"/>
      <c r="X1279" s="1"/>
      <c r="Y1279" s="1"/>
      <c r="Z1279" s="1"/>
      <c r="AA1279" s="1"/>
      <c r="AB1279" s="1"/>
      <c r="AC1279" s="1"/>
      <c r="AD1279" s="1"/>
      <c r="AE1279" s="1"/>
      <c r="AF1279" s="1"/>
      <c r="AG1279" s="1"/>
      <c r="AH1279" s="1"/>
    </row>
    <row r="1280" ht="12.75" hidden="1" customHeight="1" outlineLevel="1">
      <c r="A1280" s="17">
        <v>41227.0</v>
      </c>
      <c r="B1280" s="1" t="s">
        <v>343</v>
      </c>
      <c r="C1280" s="1" t="s">
        <v>381</v>
      </c>
      <c r="D1280" s="74">
        <v>400.0</v>
      </c>
      <c r="E1280" s="67">
        <v>22.37</v>
      </c>
      <c r="F1280" s="75">
        <v>0.6284837962962962</v>
      </c>
      <c r="G1280" s="67" t="s">
        <v>453</v>
      </c>
      <c r="H1280" s="68">
        <v>2.0</v>
      </c>
      <c r="I1280" s="76"/>
      <c r="J1280" s="67">
        <f t="shared" si="91"/>
        <v>-8950</v>
      </c>
      <c r="K1280" s="7"/>
      <c r="L1280" s="70"/>
      <c r="M1280" s="79"/>
      <c r="N1280" s="1"/>
      <c r="O1280" s="1"/>
      <c r="P1280" s="1"/>
      <c r="Q1280" s="1"/>
      <c r="R1280" s="1"/>
      <c r="S1280" s="1"/>
      <c r="T1280" s="1"/>
      <c r="U1280" s="1"/>
      <c r="V1280" s="1"/>
      <c r="W1280" s="1"/>
      <c r="X1280" s="1"/>
      <c r="Y1280" s="1"/>
      <c r="Z1280" s="1"/>
      <c r="AA1280" s="1"/>
      <c r="AB1280" s="1"/>
      <c r="AC1280" s="1"/>
      <c r="AD1280" s="1"/>
      <c r="AE1280" s="1"/>
      <c r="AF1280" s="1"/>
      <c r="AG1280" s="1"/>
      <c r="AH1280" s="1"/>
    </row>
    <row r="1281" ht="12.75" hidden="1" customHeight="1" outlineLevel="1">
      <c r="A1281" s="17">
        <v>41227.0</v>
      </c>
      <c r="B1281" s="1" t="s">
        <v>343</v>
      </c>
      <c r="C1281" s="1" t="s">
        <v>381</v>
      </c>
      <c r="D1281" s="74">
        <v>400.0</v>
      </c>
      <c r="E1281" s="67">
        <v>22.23</v>
      </c>
      <c r="F1281" s="75">
        <v>0.6564583333333334</v>
      </c>
      <c r="G1281" s="67" t="s">
        <v>453</v>
      </c>
      <c r="H1281" s="68">
        <v>2.0</v>
      </c>
      <c r="I1281" s="76"/>
      <c r="J1281" s="67">
        <f t="shared" si="91"/>
        <v>-8894</v>
      </c>
      <c r="K1281" s="7"/>
      <c r="L1281" s="70"/>
      <c r="M1281" s="79"/>
      <c r="N1281" s="1"/>
      <c r="O1281" s="1"/>
      <c r="P1281" s="1"/>
      <c r="Q1281" s="1"/>
      <c r="R1281" s="1"/>
      <c r="S1281" s="1"/>
      <c r="T1281" s="1"/>
      <c r="U1281" s="1"/>
      <c r="V1281" s="1"/>
      <c r="W1281" s="1"/>
      <c r="X1281" s="1"/>
      <c r="Y1281" s="1"/>
      <c r="Z1281" s="1"/>
      <c r="AA1281" s="1"/>
      <c r="AB1281" s="1"/>
      <c r="AC1281" s="1"/>
      <c r="AD1281" s="1"/>
      <c r="AE1281" s="1"/>
      <c r="AF1281" s="1"/>
      <c r="AG1281" s="1"/>
      <c r="AH1281" s="1"/>
    </row>
    <row r="1282" ht="12.75" hidden="1" customHeight="1" outlineLevel="1">
      <c r="A1282" s="17">
        <v>41227.0</v>
      </c>
      <c r="B1282" s="1" t="s">
        <v>347</v>
      </c>
      <c r="C1282" s="1" t="s">
        <v>751</v>
      </c>
      <c r="D1282" s="74">
        <v>100.0</v>
      </c>
      <c r="E1282" s="67">
        <v>108.19</v>
      </c>
      <c r="F1282" s="75">
        <v>0.6803472222222222</v>
      </c>
      <c r="G1282" s="67" t="s">
        <v>453</v>
      </c>
      <c r="H1282" s="68">
        <v>1.0</v>
      </c>
      <c r="I1282" s="76"/>
      <c r="J1282" s="67">
        <f t="shared" si="91"/>
        <v>10818</v>
      </c>
      <c r="K1282" s="7"/>
      <c r="L1282" s="70"/>
      <c r="M1282" s="79"/>
      <c r="N1282" s="1"/>
      <c r="O1282" s="1"/>
      <c r="P1282" s="1"/>
      <c r="Q1282" s="1"/>
      <c r="R1282" s="1"/>
      <c r="S1282" s="1"/>
      <c r="T1282" s="1"/>
      <c r="U1282" s="1"/>
      <c r="V1282" s="1"/>
      <c r="W1282" s="1"/>
      <c r="X1282" s="1"/>
      <c r="Y1282" s="1"/>
      <c r="Z1282" s="1"/>
      <c r="AA1282" s="1"/>
      <c r="AB1282" s="1"/>
      <c r="AC1282" s="1"/>
      <c r="AD1282" s="1"/>
      <c r="AE1282" s="1"/>
      <c r="AF1282" s="1"/>
      <c r="AG1282" s="1"/>
      <c r="AH1282" s="1"/>
    </row>
    <row r="1283" ht="12.75" hidden="1" customHeight="1" outlineLevel="1">
      <c r="A1283" s="17">
        <v>41227.0</v>
      </c>
      <c r="B1283" s="1" t="s">
        <v>347</v>
      </c>
      <c r="C1283" s="1" t="s">
        <v>605</v>
      </c>
      <c r="D1283" s="74">
        <v>250.0</v>
      </c>
      <c r="E1283" s="67">
        <v>46.07</v>
      </c>
      <c r="F1283" s="75">
        <v>0.6809606481481482</v>
      </c>
      <c r="G1283" s="67" t="s">
        <v>453</v>
      </c>
      <c r="H1283" s="68">
        <v>1.15</v>
      </c>
      <c r="I1283" s="76"/>
      <c r="J1283" s="67">
        <f t="shared" si="91"/>
        <v>11516.35</v>
      </c>
      <c r="K1283" s="7"/>
      <c r="L1283" s="70"/>
      <c r="M1283" s="79"/>
      <c r="N1283" s="1"/>
      <c r="O1283" s="1"/>
      <c r="P1283" s="1"/>
      <c r="Q1283" s="1"/>
      <c r="R1283" s="1"/>
      <c r="S1283" s="1"/>
      <c r="T1283" s="1"/>
      <c r="U1283" s="1"/>
      <c r="V1283" s="1"/>
      <c r="W1283" s="1"/>
      <c r="X1283" s="1"/>
      <c r="Y1283" s="1"/>
      <c r="Z1283" s="1"/>
      <c r="AA1283" s="1"/>
      <c r="AB1283" s="1"/>
      <c r="AC1283" s="1"/>
      <c r="AD1283" s="1"/>
      <c r="AE1283" s="1"/>
      <c r="AF1283" s="1"/>
      <c r="AG1283" s="1"/>
      <c r="AH1283" s="1"/>
    </row>
    <row r="1284" ht="12.75" hidden="1" customHeight="1" outlineLevel="1">
      <c r="A1284" s="17">
        <v>41227.0</v>
      </c>
      <c r="B1284" s="1" t="s">
        <v>347</v>
      </c>
      <c r="C1284" s="1" t="s">
        <v>344</v>
      </c>
      <c r="D1284" s="74">
        <v>200.0</v>
      </c>
      <c r="E1284" s="67">
        <v>30.85</v>
      </c>
      <c r="F1284" s="75">
        <v>0.681400462962963</v>
      </c>
      <c r="G1284" s="67" t="s">
        <v>453</v>
      </c>
      <c r="H1284" s="68">
        <v>1.0</v>
      </c>
      <c r="I1284" s="76"/>
      <c r="J1284" s="67">
        <f t="shared" si="91"/>
        <v>6169</v>
      </c>
      <c r="K1284" s="7"/>
      <c r="L1284" s="70"/>
      <c r="M1284" s="79"/>
      <c r="N1284" s="1"/>
      <c r="O1284" s="1"/>
      <c r="P1284" s="1"/>
      <c r="Q1284" s="1"/>
      <c r="R1284" s="1"/>
      <c r="S1284" s="1"/>
      <c r="T1284" s="1"/>
      <c r="U1284" s="1"/>
      <c r="V1284" s="1"/>
      <c r="W1284" s="1"/>
      <c r="X1284" s="1"/>
      <c r="Y1284" s="1"/>
      <c r="Z1284" s="1"/>
      <c r="AA1284" s="1"/>
      <c r="AB1284" s="1"/>
      <c r="AC1284" s="1"/>
      <c r="AD1284" s="1"/>
      <c r="AE1284" s="1"/>
      <c r="AF1284" s="1"/>
      <c r="AG1284" s="1"/>
      <c r="AH1284" s="1"/>
    </row>
    <row r="1285" ht="12.75" hidden="1" customHeight="1" outlineLevel="1">
      <c r="A1285" s="17">
        <v>41227.0</v>
      </c>
      <c r="B1285" s="1" t="s">
        <v>347</v>
      </c>
      <c r="C1285" s="1" t="s">
        <v>681</v>
      </c>
      <c r="D1285" s="74">
        <v>200.0</v>
      </c>
      <c r="E1285" s="67">
        <v>14.53</v>
      </c>
      <c r="F1285" s="75">
        <v>0.6816319444444444</v>
      </c>
      <c r="G1285" s="67" t="s">
        <v>453</v>
      </c>
      <c r="H1285" s="68">
        <v>1.0</v>
      </c>
      <c r="I1285" s="76"/>
      <c r="J1285" s="67">
        <f t="shared" si="91"/>
        <v>2905</v>
      </c>
      <c r="K1285" s="7"/>
      <c r="L1285" s="70"/>
      <c r="M1285" s="79"/>
      <c r="N1285" s="1"/>
      <c r="O1285" s="1"/>
      <c r="P1285" s="1"/>
      <c r="Q1285" s="1"/>
      <c r="R1285" s="1"/>
      <c r="S1285" s="1"/>
      <c r="T1285" s="1"/>
      <c r="U1285" s="1"/>
      <c r="V1285" s="1"/>
      <c r="W1285" s="1"/>
      <c r="X1285" s="1"/>
      <c r="Y1285" s="1"/>
      <c r="Z1285" s="1"/>
      <c r="AA1285" s="1"/>
      <c r="AB1285" s="1"/>
      <c r="AC1285" s="1"/>
      <c r="AD1285" s="1"/>
      <c r="AE1285" s="1"/>
      <c r="AF1285" s="1"/>
      <c r="AG1285" s="1"/>
      <c r="AH1285" s="1"/>
    </row>
    <row r="1286" ht="12.75" hidden="1" customHeight="1" outlineLevel="1">
      <c r="A1286" s="17">
        <v>41227.0</v>
      </c>
      <c r="B1286" s="1" t="s">
        <v>347</v>
      </c>
      <c r="C1286" s="1" t="s">
        <v>734</v>
      </c>
      <c r="D1286" s="74">
        <v>300.0</v>
      </c>
      <c r="E1286" s="67">
        <v>17.77</v>
      </c>
      <c r="F1286" s="75">
        <v>0.6820833333333334</v>
      </c>
      <c r="G1286" s="67" t="s">
        <v>453</v>
      </c>
      <c r="H1286" s="68">
        <v>1.2</v>
      </c>
      <c r="I1286" s="76"/>
      <c r="J1286" s="67">
        <f t="shared" si="91"/>
        <v>5329.8</v>
      </c>
      <c r="K1286" s="7"/>
      <c r="L1286" s="70"/>
      <c r="M1286" s="79"/>
      <c r="N1286" s="1"/>
      <c r="O1286" s="1"/>
      <c r="P1286" s="1"/>
      <c r="Q1286" s="1"/>
      <c r="R1286" s="1"/>
      <c r="S1286" s="1"/>
      <c r="T1286" s="1"/>
      <c r="U1286" s="1"/>
      <c r="V1286" s="1"/>
      <c r="W1286" s="1"/>
      <c r="X1286" s="1"/>
      <c r="Y1286" s="1"/>
      <c r="Z1286" s="1"/>
      <c r="AA1286" s="1"/>
      <c r="AB1286" s="1"/>
      <c r="AC1286" s="1"/>
      <c r="AD1286" s="1"/>
      <c r="AE1286" s="1"/>
      <c r="AF1286" s="1"/>
      <c r="AG1286" s="1"/>
      <c r="AH1286" s="1"/>
    </row>
    <row r="1287" ht="12.75" hidden="1" customHeight="1" outlineLevel="1">
      <c r="A1287" s="17">
        <v>41227.0</v>
      </c>
      <c r="B1287" s="1" t="s">
        <v>347</v>
      </c>
      <c r="C1287" s="1" t="s">
        <v>354</v>
      </c>
      <c r="D1287" s="74">
        <v>100.0</v>
      </c>
      <c r="E1287" s="67">
        <v>102.14</v>
      </c>
      <c r="F1287" s="75">
        <v>0.6823263888888889</v>
      </c>
      <c r="G1287" s="67" t="s">
        <v>453</v>
      </c>
      <c r="H1287" s="68">
        <v>1.0</v>
      </c>
      <c r="I1287" s="76"/>
      <c r="J1287" s="67">
        <f t="shared" si="91"/>
        <v>10213</v>
      </c>
      <c r="K1287" s="7"/>
      <c r="L1287" s="70"/>
      <c r="M1287" s="79"/>
      <c r="N1287" s="1"/>
      <c r="O1287" s="1"/>
      <c r="P1287" s="1"/>
      <c r="Q1287" s="1"/>
      <c r="R1287" s="1"/>
      <c r="S1287" s="1"/>
      <c r="T1287" s="1"/>
      <c r="U1287" s="1"/>
      <c r="V1287" s="1"/>
      <c r="W1287" s="1"/>
      <c r="X1287" s="1"/>
      <c r="Y1287" s="1"/>
      <c r="Z1287" s="1"/>
      <c r="AA1287" s="1"/>
      <c r="AB1287" s="1"/>
      <c r="AC1287" s="1"/>
      <c r="AD1287" s="1"/>
      <c r="AE1287" s="1"/>
      <c r="AF1287" s="1"/>
      <c r="AG1287" s="1"/>
      <c r="AH1287" s="1"/>
    </row>
    <row r="1288" ht="12.75" hidden="1" customHeight="1" outlineLevel="1">
      <c r="A1288" s="17">
        <v>41227.0</v>
      </c>
      <c r="B1288" s="1" t="s">
        <v>343</v>
      </c>
      <c r="C1288" s="1" t="s">
        <v>369</v>
      </c>
      <c r="D1288" s="74">
        <v>200.0</v>
      </c>
      <c r="E1288" s="67">
        <v>35.56</v>
      </c>
      <c r="F1288" s="75">
        <v>0.6829861111111111</v>
      </c>
      <c r="G1288" s="67" t="s">
        <v>453</v>
      </c>
      <c r="H1288" s="68">
        <v>1.0</v>
      </c>
      <c r="I1288" s="76"/>
      <c r="J1288" s="67">
        <f t="shared" si="91"/>
        <v>-7113</v>
      </c>
      <c r="K1288" s="7"/>
      <c r="L1288" s="70"/>
      <c r="M1288" s="79"/>
      <c r="N1288" s="1"/>
      <c r="O1288" s="1"/>
      <c r="P1288" s="1"/>
      <c r="Q1288" s="1"/>
      <c r="R1288" s="1"/>
      <c r="S1288" s="1"/>
      <c r="T1288" s="1"/>
      <c r="U1288" s="1"/>
      <c r="V1288" s="1"/>
      <c r="W1288" s="1"/>
      <c r="X1288" s="1"/>
      <c r="Y1288" s="1"/>
      <c r="Z1288" s="1"/>
      <c r="AA1288" s="1"/>
      <c r="AB1288" s="1"/>
      <c r="AC1288" s="1"/>
      <c r="AD1288" s="1"/>
      <c r="AE1288" s="1"/>
      <c r="AF1288" s="1"/>
      <c r="AG1288" s="1"/>
      <c r="AH1288" s="1"/>
    </row>
    <row r="1289" ht="12.75" hidden="1" customHeight="1" outlineLevel="1">
      <c r="A1289" s="17">
        <v>41227.0</v>
      </c>
      <c r="B1289" s="1" t="s">
        <v>347</v>
      </c>
      <c r="C1289" s="1" t="s">
        <v>344</v>
      </c>
      <c r="D1289" s="74">
        <v>300.0</v>
      </c>
      <c r="E1289" s="67">
        <v>30.78</v>
      </c>
      <c r="F1289" s="75">
        <v>0.6946875</v>
      </c>
      <c r="G1289" s="67" t="s">
        <v>453</v>
      </c>
      <c r="H1289" s="68">
        <v>1.5</v>
      </c>
      <c r="I1289" s="76"/>
      <c r="J1289" s="67">
        <f t="shared" si="91"/>
        <v>9232.5</v>
      </c>
      <c r="K1289" s="7"/>
      <c r="L1289" s="70"/>
      <c r="M1289" s="79"/>
      <c r="N1289" s="1"/>
      <c r="O1289" s="1"/>
      <c r="P1289" s="1"/>
      <c r="Q1289" s="1"/>
      <c r="R1289" s="1"/>
      <c r="S1289" s="1"/>
      <c r="T1289" s="1"/>
      <c r="U1289" s="1"/>
      <c r="V1289" s="1"/>
      <c r="W1289" s="1"/>
      <c r="X1289" s="1"/>
      <c r="Y1289" s="1"/>
      <c r="Z1289" s="1"/>
      <c r="AA1289" s="1"/>
      <c r="AB1289" s="1"/>
      <c r="AC1289" s="1"/>
      <c r="AD1289" s="1"/>
      <c r="AE1289" s="1"/>
      <c r="AF1289" s="1"/>
      <c r="AG1289" s="1"/>
      <c r="AH1289" s="1"/>
    </row>
    <row r="1290" ht="12.75" hidden="1" customHeight="1" outlineLevel="1">
      <c r="A1290" s="17">
        <v>41227.0</v>
      </c>
      <c r="B1290" s="1"/>
      <c r="C1290" s="1" t="s">
        <v>339</v>
      </c>
      <c r="D1290" s="74"/>
      <c r="E1290" s="67"/>
      <c r="F1290" s="75"/>
      <c r="G1290" s="67"/>
      <c r="H1290" s="68"/>
      <c r="I1290" s="76"/>
      <c r="J1290" s="67"/>
      <c r="K1290" s="7" t="s">
        <v>774</v>
      </c>
      <c r="L1290" s="77"/>
      <c r="M1290" s="79"/>
      <c r="N1290" s="1"/>
      <c r="O1290" s="1"/>
      <c r="P1290" s="1"/>
      <c r="Q1290" s="1"/>
      <c r="R1290" s="1"/>
      <c r="S1290" s="1"/>
      <c r="T1290" s="1"/>
      <c r="U1290" s="1"/>
      <c r="V1290" s="1"/>
      <c r="W1290" s="1"/>
      <c r="X1290" s="1"/>
      <c r="Y1290" s="1"/>
      <c r="Z1290" s="1"/>
      <c r="AA1290" s="1"/>
      <c r="AB1290" s="1"/>
      <c r="AC1290" s="1"/>
      <c r="AD1290" s="1"/>
      <c r="AE1290" s="1"/>
      <c r="AF1290" s="1"/>
      <c r="AG1290" s="1"/>
      <c r="AH1290" s="1"/>
    </row>
    <row r="1291" ht="12.75" hidden="1" customHeight="1" outlineLevel="1">
      <c r="A1291" s="17">
        <v>41227.0</v>
      </c>
      <c r="B1291" s="1"/>
      <c r="C1291" s="1" t="s">
        <v>429</v>
      </c>
      <c r="D1291" s="74"/>
      <c r="E1291" s="67"/>
      <c r="F1291" s="75"/>
      <c r="G1291" s="67"/>
      <c r="H1291" s="68"/>
      <c r="I1291" s="76"/>
      <c r="J1291" s="67"/>
      <c r="K1291" s="7" t="s">
        <v>679</v>
      </c>
      <c r="L1291" s="77"/>
      <c r="M1291" s="79"/>
      <c r="N1291" s="1"/>
      <c r="O1291" s="1"/>
      <c r="P1291" s="1"/>
      <c r="Q1291" s="1"/>
      <c r="R1291" s="1"/>
      <c r="S1291" s="1"/>
      <c r="T1291" s="1"/>
      <c r="U1291" s="1"/>
      <c r="V1291" s="1"/>
      <c r="W1291" s="1"/>
      <c r="X1291" s="1"/>
      <c r="Y1291" s="1"/>
      <c r="Z1291" s="1"/>
      <c r="AA1291" s="1"/>
      <c r="AB1291" s="1"/>
      <c r="AC1291" s="1"/>
      <c r="AD1291" s="1"/>
      <c r="AE1291" s="1"/>
      <c r="AF1291" s="1"/>
      <c r="AG1291" s="1"/>
      <c r="AH1291" s="1"/>
    </row>
    <row r="1292" ht="12.75" hidden="1" customHeight="1" outlineLevel="1">
      <c r="A1292" s="17">
        <v>41227.0</v>
      </c>
      <c r="B1292" s="1"/>
      <c r="C1292" s="1" t="s">
        <v>431</v>
      </c>
      <c r="D1292" s="74"/>
      <c r="E1292" s="67"/>
      <c r="F1292" s="75"/>
      <c r="G1292" s="67"/>
      <c r="H1292" s="68"/>
      <c r="I1292" s="76"/>
      <c r="J1292" s="67"/>
      <c r="K1292" s="7" t="s">
        <v>669</v>
      </c>
      <c r="L1292" s="77"/>
      <c r="M1292" s="79"/>
      <c r="N1292" s="1"/>
      <c r="O1292" s="1"/>
      <c r="P1292" s="1"/>
      <c r="Q1292" s="1"/>
      <c r="R1292" s="1"/>
      <c r="S1292" s="1"/>
      <c r="T1292" s="1"/>
      <c r="U1292" s="1"/>
      <c r="V1292" s="1"/>
      <c r="W1292" s="1"/>
      <c r="X1292" s="1"/>
      <c r="Y1292" s="1"/>
      <c r="Z1292" s="1"/>
      <c r="AA1292" s="1"/>
      <c r="AB1292" s="1"/>
      <c r="AC1292" s="1"/>
      <c r="AD1292" s="1"/>
      <c r="AE1292" s="1"/>
      <c r="AF1292" s="1"/>
      <c r="AG1292" s="1"/>
      <c r="AH1292" s="1"/>
    </row>
    <row r="1293" ht="12.75" hidden="1" customHeight="1" outlineLevel="1">
      <c r="A1293" s="17">
        <v>41227.0</v>
      </c>
      <c r="B1293" s="1"/>
      <c r="C1293" s="1" t="s">
        <v>433</v>
      </c>
      <c r="D1293" s="74"/>
      <c r="E1293" s="67"/>
      <c r="F1293" s="75"/>
      <c r="G1293" s="67"/>
      <c r="H1293" s="68"/>
      <c r="I1293" s="76"/>
      <c r="J1293" s="67"/>
      <c r="K1293" s="1" t="s">
        <v>434</v>
      </c>
      <c r="L1293" s="77"/>
      <c r="M1293" s="79"/>
      <c r="N1293" s="1"/>
      <c r="O1293" s="1"/>
      <c r="P1293" s="1"/>
      <c r="Q1293" s="1"/>
      <c r="R1293" s="1"/>
      <c r="S1293" s="1"/>
      <c r="T1293" s="1"/>
      <c r="U1293" s="1"/>
      <c r="V1293" s="1"/>
      <c r="W1293" s="1"/>
      <c r="X1293" s="1"/>
      <c r="Y1293" s="1"/>
      <c r="Z1293" s="1"/>
      <c r="AA1293" s="1"/>
      <c r="AB1293" s="1"/>
      <c r="AC1293" s="1"/>
      <c r="AD1293" s="1"/>
      <c r="AE1293" s="1"/>
      <c r="AF1293" s="1"/>
      <c r="AG1293" s="1"/>
      <c r="AH1293" s="1"/>
    </row>
    <row r="1294" ht="12.75" hidden="1" customHeight="1" outlineLevel="1">
      <c r="A1294" s="17">
        <v>41227.0</v>
      </c>
      <c r="B1294" s="1"/>
      <c r="C1294" s="1" t="s">
        <v>435</v>
      </c>
      <c r="D1294" s="74"/>
      <c r="E1294" s="67"/>
      <c r="F1294" s="75"/>
      <c r="G1294" s="67"/>
      <c r="H1294" s="68"/>
      <c r="I1294" s="76"/>
      <c r="J1294" s="67"/>
      <c r="K1294" s="7" t="s">
        <v>745</v>
      </c>
      <c r="L1294" s="77"/>
      <c r="M1294" s="79"/>
      <c r="N1294" s="1"/>
      <c r="O1294" s="1"/>
      <c r="P1294" s="1"/>
      <c r="Q1294" s="1"/>
      <c r="R1294" s="1"/>
      <c r="S1294" s="1"/>
      <c r="T1294" s="1"/>
      <c r="U1294" s="1"/>
      <c r="V1294" s="1"/>
      <c r="W1294" s="1"/>
      <c r="X1294" s="1"/>
      <c r="Y1294" s="1"/>
      <c r="Z1294" s="1"/>
      <c r="AA1294" s="1"/>
      <c r="AB1294" s="1"/>
      <c r="AC1294" s="1"/>
      <c r="AD1294" s="1"/>
      <c r="AE1294" s="1"/>
      <c r="AF1294" s="1"/>
      <c r="AG1294" s="1"/>
      <c r="AH1294" s="1"/>
    </row>
    <row r="1295" ht="12.75" hidden="1" customHeight="1" outlineLevel="1">
      <c r="A1295" s="17">
        <v>41228.0</v>
      </c>
      <c r="B1295" s="1" t="s">
        <v>347</v>
      </c>
      <c r="C1295" s="1" t="s">
        <v>381</v>
      </c>
      <c r="D1295" s="74">
        <v>700.0</v>
      </c>
      <c r="E1295" s="67">
        <v>21.9</v>
      </c>
      <c r="F1295" s="75">
        <v>0.44782407407407404</v>
      </c>
      <c r="G1295" s="67" t="s">
        <v>453</v>
      </c>
      <c r="H1295" s="68">
        <v>3.5</v>
      </c>
      <c r="I1295" s="76"/>
      <c r="J1295" s="67">
        <f t="shared" ref="J1295:J1316" si="92">IF(B1295="SLD",D1295*E1295,-D1295*E1295)-H1295</f>
        <v>15326.5</v>
      </c>
      <c r="K1295" s="7"/>
      <c r="L1295" s="70"/>
      <c r="M1295" s="79"/>
      <c r="N1295" s="1"/>
      <c r="O1295" s="1"/>
      <c r="P1295" s="1"/>
      <c r="Q1295" s="1"/>
      <c r="R1295" s="1"/>
      <c r="S1295" s="1"/>
      <c r="T1295" s="1"/>
      <c r="U1295" s="1"/>
      <c r="V1295" s="1"/>
      <c r="W1295" s="1"/>
      <c r="X1295" s="1"/>
      <c r="Y1295" s="1"/>
      <c r="Z1295" s="1"/>
      <c r="AA1295" s="1"/>
      <c r="AB1295" s="1"/>
      <c r="AC1295" s="1"/>
      <c r="AD1295" s="1"/>
      <c r="AE1295" s="1"/>
      <c r="AF1295" s="1"/>
      <c r="AG1295" s="1"/>
      <c r="AH1295" s="1"/>
    </row>
    <row r="1296" ht="12.75" hidden="1" customHeight="1" outlineLevel="1">
      <c r="A1296" s="17">
        <v>41228.0</v>
      </c>
      <c r="B1296" s="1" t="s">
        <v>347</v>
      </c>
      <c r="C1296" s="1" t="s">
        <v>381</v>
      </c>
      <c r="D1296" s="74">
        <v>700.0</v>
      </c>
      <c r="E1296" s="67">
        <v>21.77</v>
      </c>
      <c r="F1296" s="75">
        <v>0.4566203703703704</v>
      </c>
      <c r="G1296" s="67" t="s">
        <v>453</v>
      </c>
      <c r="H1296" s="68">
        <v>3.3</v>
      </c>
      <c r="I1296" s="76"/>
      <c r="J1296" s="67">
        <f t="shared" si="92"/>
        <v>15235.7</v>
      </c>
      <c r="K1296" s="7"/>
      <c r="L1296" s="70"/>
      <c r="M1296" s="79"/>
      <c r="N1296" s="1"/>
      <c r="O1296" s="1"/>
      <c r="P1296" s="1"/>
      <c r="Q1296" s="1"/>
      <c r="R1296" s="1"/>
      <c r="S1296" s="1"/>
      <c r="T1296" s="1"/>
      <c r="U1296" s="1"/>
      <c r="V1296" s="1"/>
      <c r="W1296" s="1"/>
      <c r="X1296" s="1"/>
      <c r="Y1296" s="1"/>
      <c r="Z1296" s="1"/>
      <c r="AA1296" s="1"/>
      <c r="AB1296" s="1"/>
      <c r="AC1296" s="1"/>
      <c r="AD1296" s="1"/>
      <c r="AE1296" s="1"/>
      <c r="AF1296" s="1"/>
      <c r="AG1296" s="1"/>
      <c r="AH1296" s="1"/>
    </row>
    <row r="1297" ht="12.75" hidden="1" customHeight="1" outlineLevel="1">
      <c r="A1297" s="17">
        <v>41228.0</v>
      </c>
      <c r="B1297" s="1" t="s">
        <v>343</v>
      </c>
      <c r="C1297" s="1" t="s">
        <v>354</v>
      </c>
      <c r="D1297" s="74">
        <v>100.0</v>
      </c>
      <c r="E1297" s="67">
        <v>98.4</v>
      </c>
      <c r="F1297" s="75">
        <v>0.4877546296296296</v>
      </c>
      <c r="G1297" s="67" t="s">
        <v>453</v>
      </c>
      <c r="H1297" s="68">
        <v>1.0</v>
      </c>
      <c r="I1297" s="76"/>
      <c r="J1297" s="67">
        <f t="shared" si="92"/>
        <v>-9841</v>
      </c>
      <c r="K1297" s="7"/>
      <c r="L1297" s="70"/>
      <c r="M1297" s="79"/>
      <c r="N1297" s="1"/>
      <c r="O1297" s="1"/>
      <c r="P1297" s="1"/>
      <c r="Q1297" s="1"/>
      <c r="R1297" s="1"/>
      <c r="S1297" s="1"/>
      <c r="T1297" s="1"/>
      <c r="U1297" s="1"/>
      <c r="V1297" s="1"/>
      <c r="W1297" s="1"/>
      <c r="X1297" s="1"/>
      <c r="Y1297" s="1"/>
      <c r="Z1297" s="1"/>
      <c r="AA1297" s="1"/>
      <c r="AB1297" s="1"/>
      <c r="AC1297" s="1"/>
      <c r="AD1297" s="1"/>
      <c r="AE1297" s="1"/>
      <c r="AF1297" s="1"/>
      <c r="AG1297" s="1"/>
      <c r="AH1297" s="1"/>
    </row>
    <row r="1298" ht="12.75" hidden="1" customHeight="1" outlineLevel="1">
      <c r="A1298" s="17">
        <v>41228.0</v>
      </c>
      <c r="B1298" s="1" t="s">
        <v>343</v>
      </c>
      <c r="C1298" s="1" t="s">
        <v>734</v>
      </c>
      <c r="D1298" s="74">
        <v>300.0</v>
      </c>
      <c r="E1298" s="67">
        <v>17.82</v>
      </c>
      <c r="F1298" s="75">
        <v>0.48802083333333335</v>
      </c>
      <c r="G1298" s="67" t="s">
        <v>453</v>
      </c>
      <c r="H1298" s="68">
        <v>1.2</v>
      </c>
      <c r="I1298" s="76"/>
      <c r="J1298" s="67">
        <f t="shared" si="92"/>
        <v>-5347.2</v>
      </c>
      <c r="K1298" s="7"/>
      <c r="L1298" s="70"/>
      <c r="M1298" s="79"/>
      <c r="N1298" s="1"/>
      <c r="O1298" s="1"/>
      <c r="P1298" s="1"/>
      <c r="Q1298" s="1"/>
      <c r="R1298" s="1"/>
      <c r="S1298" s="1"/>
      <c r="T1298" s="1"/>
      <c r="U1298" s="1"/>
      <c r="V1298" s="1"/>
      <c r="W1298" s="1"/>
      <c r="X1298" s="1"/>
      <c r="Y1298" s="1"/>
      <c r="Z1298" s="1"/>
      <c r="AA1298" s="1"/>
      <c r="AB1298" s="1"/>
      <c r="AC1298" s="1"/>
      <c r="AD1298" s="1"/>
      <c r="AE1298" s="1"/>
      <c r="AF1298" s="1"/>
      <c r="AG1298" s="1"/>
      <c r="AH1298" s="1"/>
    </row>
    <row r="1299" ht="12.75" hidden="1" customHeight="1" outlineLevel="1">
      <c r="A1299" s="17">
        <v>41228.0</v>
      </c>
      <c r="B1299" s="1" t="s">
        <v>343</v>
      </c>
      <c r="C1299" s="1" t="s">
        <v>344</v>
      </c>
      <c r="D1299" s="74">
        <v>300.0</v>
      </c>
      <c r="E1299" s="67">
        <v>31.18</v>
      </c>
      <c r="F1299" s="75">
        <v>0.4941087962962963</v>
      </c>
      <c r="G1299" s="67" t="s">
        <v>453</v>
      </c>
      <c r="H1299" s="68">
        <v>1.4</v>
      </c>
      <c r="I1299" s="76"/>
      <c r="J1299" s="67">
        <f t="shared" si="92"/>
        <v>-9355.4</v>
      </c>
      <c r="K1299" s="7"/>
      <c r="L1299" s="70"/>
      <c r="M1299" s="79"/>
      <c r="N1299" s="1"/>
      <c r="O1299" s="1"/>
      <c r="P1299" s="1"/>
      <c r="Q1299" s="1"/>
      <c r="R1299" s="1"/>
      <c r="S1299" s="1"/>
      <c r="T1299" s="1"/>
      <c r="U1299" s="1"/>
      <c r="V1299" s="1"/>
      <c r="W1299" s="1"/>
      <c r="X1299" s="1"/>
      <c r="Y1299" s="1"/>
      <c r="Z1299" s="1"/>
      <c r="AA1299" s="1"/>
      <c r="AB1299" s="1"/>
      <c r="AC1299" s="1"/>
      <c r="AD1299" s="1"/>
      <c r="AE1299" s="1"/>
      <c r="AF1299" s="1"/>
      <c r="AG1299" s="1"/>
      <c r="AH1299" s="1"/>
    </row>
    <row r="1300" ht="12.75" hidden="1" customHeight="1" outlineLevel="1">
      <c r="A1300" s="17">
        <v>41228.0</v>
      </c>
      <c r="B1300" s="1" t="s">
        <v>347</v>
      </c>
      <c r="C1300" s="1" t="s">
        <v>356</v>
      </c>
      <c r="D1300" s="74">
        <v>60.0</v>
      </c>
      <c r="E1300" s="67">
        <v>239.71</v>
      </c>
      <c r="F1300" s="75">
        <v>0.5546412037037037</v>
      </c>
      <c r="G1300" s="67" t="s">
        <v>453</v>
      </c>
      <c r="H1300" s="68">
        <v>1.0</v>
      </c>
      <c r="I1300" s="76"/>
      <c r="J1300" s="67">
        <f t="shared" si="92"/>
        <v>14381.6</v>
      </c>
      <c r="K1300" s="7"/>
      <c r="L1300" s="70"/>
      <c r="M1300" s="79"/>
      <c r="N1300" s="1"/>
      <c r="O1300" s="1"/>
      <c r="P1300" s="1"/>
      <c r="Q1300" s="1"/>
      <c r="R1300" s="1"/>
      <c r="S1300" s="1"/>
      <c r="T1300" s="1"/>
      <c r="U1300" s="1"/>
      <c r="V1300" s="1"/>
      <c r="W1300" s="1"/>
      <c r="X1300" s="1"/>
      <c r="Y1300" s="1"/>
      <c r="Z1300" s="1"/>
      <c r="AA1300" s="1"/>
      <c r="AB1300" s="1"/>
      <c r="AC1300" s="1"/>
      <c r="AD1300" s="1"/>
      <c r="AE1300" s="1"/>
      <c r="AF1300" s="1"/>
      <c r="AG1300" s="1"/>
      <c r="AH1300" s="1"/>
    </row>
    <row r="1301" ht="12.75" hidden="1" customHeight="1" outlineLevel="1">
      <c r="A1301" s="17">
        <v>41228.0</v>
      </c>
      <c r="B1301" s="1" t="s">
        <v>343</v>
      </c>
      <c r="C1301" s="1" t="s">
        <v>755</v>
      </c>
      <c r="D1301" s="74">
        <v>100.0</v>
      </c>
      <c r="E1301" s="67">
        <v>29.62</v>
      </c>
      <c r="F1301" s="75">
        <v>0.5551736111111111</v>
      </c>
      <c r="G1301" s="67" t="s">
        <v>453</v>
      </c>
      <c r="H1301" s="68">
        <v>1.0</v>
      </c>
      <c r="I1301" s="76"/>
      <c r="J1301" s="67">
        <f t="shared" si="92"/>
        <v>-2963</v>
      </c>
      <c r="K1301" s="7"/>
      <c r="L1301" s="70"/>
      <c r="M1301" s="79"/>
      <c r="N1301" s="1"/>
      <c r="O1301" s="1"/>
      <c r="P1301" s="1"/>
      <c r="Q1301" s="1"/>
      <c r="R1301" s="1"/>
      <c r="S1301" s="1"/>
      <c r="T1301" s="1"/>
      <c r="U1301" s="1"/>
      <c r="V1301" s="1"/>
      <c r="W1301" s="1"/>
      <c r="X1301" s="1"/>
      <c r="Y1301" s="1"/>
      <c r="Z1301" s="1"/>
      <c r="AA1301" s="1"/>
      <c r="AB1301" s="1"/>
      <c r="AC1301" s="1"/>
      <c r="AD1301" s="1"/>
      <c r="AE1301" s="1"/>
      <c r="AF1301" s="1"/>
      <c r="AG1301" s="1"/>
      <c r="AH1301" s="1"/>
    </row>
    <row r="1302" ht="12.75" hidden="1" customHeight="1" outlineLevel="1">
      <c r="A1302" s="17">
        <v>41228.0</v>
      </c>
      <c r="B1302" s="1" t="s">
        <v>343</v>
      </c>
      <c r="C1302" s="1" t="s">
        <v>680</v>
      </c>
      <c r="D1302" s="74">
        <v>100.0</v>
      </c>
      <c r="E1302" s="67">
        <v>23.57</v>
      </c>
      <c r="F1302" s="75">
        <v>0.5613541666666667</v>
      </c>
      <c r="G1302" s="67" t="s">
        <v>453</v>
      </c>
      <c r="H1302" s="68">
        <v>1.0</v>
      </c>
      <c r="I1302" s="76"/>
      <c r="J1302" s="67">
        <f t="shared" si="92"/>
        <v>-2358</v>
      </c>
      <c r="K1302" s="7"/>
      <c r="L1302" s="70"/>
      <c r="M1302" s="79"/>
      <c r="N1302" s="1"/>
      <c r="O1302" s="1"/>
      <c r="P1302" s="1"/>
      <c r="Q1302" s="1"/>
      <c r="R1302" s="1"/>
      <c r="S1302" s="1"/>
      <c r="T1302" s="1"/>
      <c r="U1302" s="1"/>
      <c r="V1302" s="1"/>
      <c r="W1302" s="1"/>
      <c r="X1302" s="1"/>
      <c r="Y1302" s="1"/>
      <c r="Z1302" s="1"/>
      <c r="AA1302" s="1"/>
      <c r="AB1302" s="1"/>
      <c r="AC1302" s="1"/>
      <c r="AD1302" s="1"/>
      <c r="AE1302" s="1"/>
      <c r="AF1302" s="1"/>
      <c r="AG1302" s="1"/>
      <c r="AH1302" s="1"/>
    </row>
    <row r="1303" ht="12.75" hidden="1" customHeight="1" outlineLevel="1">
      <c r="A1303" s="17">
        <v>41228.0</v>
      </c>
      <c r="B1303" s="1" t="s">
        <v>343</v>
      </c>
      <c r="C1303" s="1" t="s">
        <v>344</v>
      </c>
      <c r="D1303" s="74">
        <v>300.0</v>
      </c>
      <c r="E1303" s="67">
        <v>31.11</v>
      </c>
      <c r="F1303" s="75">
        <v>0.5726967592592592</v>
      </c>
      <c r="G1303" s="67" t="s">
        <v>453</v>
      </c>
      <c r="H1303" s="68">
        <v>1.3</v>
      </c>
      <c r="I1303" s="76"/>
      <c r="J1303" s="67">
        <f t="shared" si="92"/>
        <v>-9334.3</v>
      </c>
      <c r="K1303" s="7"/>
      <c r="L1303" s="70"/>
      <c r="M1303" s="79"/>
      <c r="N1303" s="1"/>
      <c r="O1303" s="1"/>
      <c r="P1303" s="1"/>
      <c r="Q1303" s="1"/>
      <c r="R1303" s="1"/>
      <c r="S1303" s="1"/>
      <c r="T1303" s="1"/>
      <c r="U1303" s="1"/>
      <c r="V1303" s="1"/>
      <c r="W1303" s="1"/>
      <c r="X1303" s="1"/>
      <c r="Y1303" s="1"/>
      <c r="Z1303" s="1"/>
      <c r="AA1303" s="1"/>
      <c r="AB1303" s="1"/>
      <c r="AC1303" s="1"/>
      <c r="AD1303" s="1"/>
      <c r="AE1303" s="1"/>
      <c r="AF1303" s="1"/>
      <c r="AG1303" s="1"/>
      <c r="AH1303" s="1"/>
    </row>
    <row r="1304" ht="12.75" hidden="1" customHeight="1" outlineLevel="1">
      <c r="A1304" s="17">
        <v>41228.0</v>
      </c>
      <c r="B1304" s="1" t="s">
        <v>347</v>
      </c>
      <c r="C1304" s="1" t="s">
        <v>354</v>
      </c>
      <c r="D1304" s="74">
        <v>100.0</v>
      </c>
      <c r="E1304" s="67">
        <v>98.42</v>
      </c>
      <c r="F1304" s="75">
        <v>0.5755092592592593</v>
      </c>
      <c r="G1304" s="67" t="s">
        <v>453</v>
      </c>
      <c r="H1304" s="68">
        <v>1.0</v>
      </c>
      <c r="I1304" s="76"/>
      <c r="J1304" s="67">
        <f t="shared" si="92"/>
        <v>9841</v>
      </c>
      <c r="K1304" s="7"/>
      <c r="L1304" s="70"/>
      <c r="M1304" s="79"/>
      <c r="N1304" s="1"/>
      <c r="O1304" s="1"/>
      <c r="P1304" s="1"/>
      <c r="Q1304" s="1"/>
      <c r="R1304" s="1"/>
      <c r="S1304" s="1"/>
      <c r="T1304" s="1"/>
      <c r="U1304" s="1"/>
      <c r="V1304" s="1"/>
      <c r="W1304" s="1"/>
      <c r="X1304" s="1"/>
      <c r="Y1304" s="1"/>
      <c r="Z1304" s="1"/>
      <c r="AA1304" s="1"/>
      <c r="AB1304" s="1"/>
      <c r="AC1304" s="1"/>
      <c r="AD1304" s="1"/>
      <c r="AE1304" s="1"/>
      <c r="AF1304" s="1"/>
      <c r="AG1304" s="1"/>
      <c r="AH1304" s="1"/>
    </row>
    <row r="1305" ht="12.75" hidden="1" customHeight="1" outlineLevel="1">
      <c r="A1305" s="17">
        <v>41228.0</v>
      </c>
      <c r="B1305" s="1" t="s">
        <v>343</v>
      </c>
      <c r="C1305" s="1" t="s">
        <v>381</v>
      </c>
      <c r="D1305" s="74">
        <v>1400.0</v>
      </c>
      <c r="E1305" s="67">
        <v>21.93</v>
      </c>
      <c r="F1305" s="75">
        <v>0.5843287037037037</v>
      </c>
      <c r="G1305" s="67" t="s">
        <v>453</v>
      </c>
      <c r="H1305" s="68">
        <v>7.0</v>
      </c>
      <c r="I1305" s="76"/>
      <c r="J1305" s="67">
        <f t="shared" si="92"/>
        <v>-30709</v>
      </c>
      <c r="K1305" s="7"/>
      <c r="L1305" s="70"/>
      <c r="M1305" s="79"/>
      <c r="N1305" s="1"/>
      <c r="O1305" s="1"/>
      <c r="P1305" s="1"/>
      <c r="Q1305" s="1"/>
      <c r="R1305" s="1"/>
      <c r="S1305" s="1"/>
      <c r="T1305" s="1"/>
      <c r="U1305" s="1"/>
      <c r="V1305" s="1"/>
      <c r="W1305" s="1"/>
      <c r="X1305" s="1"/>
      <c r="Y1305" s="1"/>
      <c r="Z1305" s="1"/>
      <c r="AA1305" s="1"/>
      <c r="AB1305" s="1"/>
      <c r="AC1305" s="1"/>
      <c r="AD1305" s="1"/>
      <c r="AE1305" s="1"/>
      <c r="AF1305" s="1"/>
      <c r="AG1305" s="1"/>
      <c r="AH1305" s="1"/>
    </row>
    <row r="1306" ht="12.75" hidden="1" customHeight="1" outlineLevel="1">
      <c r="A1306" s="17">
        <v>41228.0</v>
      </c>
      <c r="B1306" s="1" t="s">
        <v>343</v>
      </c>
      <c r="C1306" s="1" t="s">
        <v>605</v>
      </c>
      <c r="D1306" s="74">
        <v>250.0</v>
      </c>
      <c r="E1306" s="67">
        <v>45.27</v>
      </c>
      <c r="F1306" s="75">
        <v>0.594375</v>
      </c>
      <c r="G1306" s="67" t="s">
        <v>453</v>
      </c>
      <c r="H1306" s="68">
        <v>1.0</v>
      </c>
      <c r="I1306" s="76"/>
      <c r="J1306" s="67">
        <f t="shared" si="92"/>
        <v>-11318.5</v>
      </c>
      <c r="K1306" s="7"/>
      <c r="L1306" s="70"/>
      <c r="M1306" s="79"/>
      <c r="N1306" s="1"/>
      <c r="O1306" s="1"/>
      <c r="P1306" s="1"/>
      <c r="Q1306" s="1"/>
      <c r="R1306" s="1"/>
      <c r="S1306" s="1"/>
      <c r="T1306" s="1"/>
      <c r="U1306" s="1"/>
      <c r="V1306" s="1"/>
      <c r="W1306" s="1"/>
      <c r="X1306" s="1"/>
      <c r="Y1306" s="1"/>
      <c r="Z1306" s="1"/>
      <c r="AA1306" s="1"/>
      <c r="AB1306" s="1"/>
      <c r="AC1306" s="1"/>
      <c r="AD1306" s="1"/>
      <c r="AE1306" s="1"/>
      <c r="AF1306" s="1"/>
      <c r="AG1306" s="1"/>
      <c r="AH1306" s="1"/>
    </row>
    <row r="1307" ht="12.75" hidden="1" customHeight="1" outlineLevel="1">
      <c r="A1307" s="17">
        <v>41228.0</v>
      </c>
      <c r="B1307" s="1" t="s">
        <v>343</v>
      </c>
      <c r="C1307" s="1" t="s">
        <v>387</v>
      </c>
      <c r="D1307" s="74">
        <v>150.0</v>
      </c>
      <c r="E1307" s="67">
        <v>70.04</v>
      </c>
      <c r="F1307" s="75">
        <v>0.5948148148148148</v>
      </c>
      <c r="G1307" s="67" t="s">
        <v>453</v>
      </c>
      <c r="H1307" s="68">
        <v>1.0</v>
      </c>
      <c r="I1307" s="76"/>
      <c r="J1307" s="67">
        <f t="shared" si="92"/>
        <v>-10507</v>
      </c>
      <c r="K1307" s="7"/>
      <c r="L1307" s="70"/>
      <c r="M1307" s="79"/>
      <c r="N1307" s="1"/>
      <c r="O1307" s="1"/>
      <c r="P1307" s="1"/>
      <c r="Q1307" s="1"/>
      <c r="R1307" s="1"/>
      <c r="S1307" s="1"/>
      <c r="T1307" s="1"/>
      <c r="U1307" s="1"/>
      <c r="V1307" s="1"/>
      <c r="W1307" s="1"/>
      <c r="X1307" s="1"/>
      <c r="Y1307" s="1"/>
      <c r="Z1307" s="1"/>
      <c r="AA1307" s="1"/>
      <c r="AB1307" s="1"/>
      <c r="AC1307" s="1"/>
      <c r="AD1307" s="1"/>
      <c r="AE1307" s="1"/>
      <c r="AF1307" s="1"/>
      <c r="AG1307" s="1"/>
      <c r="AH1307" s="1"/>
    </row>
    <row r="1308" ht="12.75" hidden="1" customHeight="1" outlineLevel="1">
      <c r="A1308" s="17">
        <v>41228.0</v>
      </c>
      <c r="B1308" s="1" t="s">
        <v>343</v>
      </c>
      <c r="C1308" s="1" t="s">
        <v>757</v>
      </c>
      <c r="D1308" s="74">
        <v>200.0</v>
      </c>
      <c r="E1308" s="67">
        <v>51.55</v>
      </c>
      <c r="F1308" s="75">
        <v>0.7048263888888888</v>
      </c>
      <c r="G1308" s="67" t="s">
        <v>453</v>
      </c>
      <c r="H1308" s="68">
        <v>1.0</v>
      </c>
      <c r="I1308" s="76"/>
      <c r="J1308" s="67">
        <f t="shared" si="92"/>
        <v>-10311</v>
      </c>
      <c r="K1308" s="7"/>
      <c r="L1308" s="70"/>
      <c r="M1308" s="79"/>
      <c r="N1308" s="1"/>
      <c r="O1308" s="1"/>
      <c r="P1308" s="1"/>
      <c r="Q1308" s="1"/>
      <c r="R1308" s="1"/>
      <c r="S1308" s="1"/>
      <c r="T1308" s="1"/>
      <c r="U1308" s="1"/>
      <c r="V1308" s="1"/>
      <c r="W1308" s="1"/>
      <c r="X1308" s="1"/>
      <c r="Y1308" s="1"/>
      <c r="Z1308" s="1"/>
      <c r="AA1308" s="1"/>
      <c r="AB1308" s="1"/>
      <c r="AC1308" s="1"/>
      <c r="AD1308" s="1"/>
      <c r="AE1308" s="1"/>
      <c r="AF1308" s="1"/>
      <c r="AG1308" s="1"/>
      <c r="AH1308" s="1"/>
    </row>
    <row r="1309" ht="12.75" hidden="1" customHeight="1" outlineLevel="1">
      <c r="A1309" s="17">
        <v>41228.0</v>
      </c>
      <c r="B1309" s="1" t="s">
        <v>343</v>
      </c>
      <c r="C1309" s="1" t="s">
        <v>691</v>
      </c>
      <c r="D1309" s="74">
        <v>300.0</v>
      </c>
      <c r="E1309" s="67">
        <v>27.37</v>
      </c>
      <c r="F1309" s="75">
        <v>0.7050925925925925</v>
      </c>
      <c r="G1309" s="67" t="s">
        <v>453</v>
      </c>
      <c r="H1309" s="68">
        <v>1.5</v>
      </c>
      <c r="I1309" s="76"/>
      <c r="J1309" s="67">
        <f t="shared" si="92"/>
        <v>-8212.5</v>
      </c>
      <c r="K1309" s="7"/>
      <c r="L1309" s="70"/>
      <c r="M1309" s="79"/>
      <c r="N1309" s="1"/>
      <c r="O1309" s="1"/>
      <c r="P1309" s="1"/>
      <c r="Q1309" s="1"/>
      <c r="R1309" s="1"/>
      <c r="S1309" s="1"/>
      <c r="T1309" s="1"/>
      <c r="U1309" s="1"/>
      <c r="V1309" s="1"/>
      <c r="W1309" s="1"/>
      <c r="X1309" s="1"/>
      <c r="Y1309" s="1"/>
      <c r="Z1309" s="1"/>
      <c r="AA1309" s="1"/>
      <c r="AB1309" s="1"/>
      <c r="AC1309" s="1"/>
      <c r="AD1309" s="1"/>
      <c r="AE1309" s="1"/>
      <c r="AF1309" s="1"/>
      <c r="AG1309" s="1"/>
      <c r="AH1309" s="1"/>
    </row>
    <row r="1310" ht="12.75" hidden="1" customHeight="1" outlineLevel="1">
      <c r="A1310" s="17">
        <v>41228.0</v>
      </c>
      <c r="B1310" s="1" t="s">
        <v>343</v>
      </c>
      <c r="C1310" s="1" t="s">
        <v>755</v>
      </c>
      <c r="D1310" s="74">
        <v>250.0</v>
      </c>
      <c r="E1310" s="67">
        <v>31.45</v>
      </c>
      <c r="F1310" s="75">
        <v>0.7052893518518518</v>
      </c>
      <c r="G1310" s="67" t="s">
        <v>453</v>
      </c>
      <c r="H1310" s="68">
        <v>1.05</v>
      </c>
      <c r="I1310" s="76"/>
      <c r="J1310" s="67">
        <f t="shared" si="92"/>
        <v>-7863.55</v>
      </c>
      <c r="K1310" s="7"/>
      <c r="L1310" s="70"/>
      <c r="M1310" s="79"/>
      <c r="N1310" s="1"/>
      <c r="O1310" s="1"/>
      <c r="P1310" s="1"/>
      <c r="Q1310" s="1"/>
      <c r="R1310" s="1"/>
      <c r="S1310" s="1"/>
      <c r="T1310" s="1"/>
      <c r="U1310" s="1"/>
      <c r="V1310" s="1"/>
      <c r="W1310" s="1"/>
      <c r="X1310" s="1"/>
      <c r="Y1310" s="1"/>
      <c r="Z1310" s="1"/>
      <c r="AA1310" s="1"/>
      <c r="AB1310" s="1"/>
      <c r="AC1310" s="1"/>
      <c r="AD1310" s="1"/>
      <c r="AE1310" s="1"/>
      <c r="AF1310" s="1"/>
      <c r="AG1310" s="1"/>
      <c r="AH1310" s="1"/>
    </row>
    <row r="1311" ht="12.75" hidden="1" customHeight="1" outlineLevel="1">
      <c r="A1311" s="17">
        <v>41228.0</v>
      </c>
      <c r="B1311" s="1" t="s">
        <v>343</v>
      </c>
      <c r="C1311" s="1" t="s">
        <v>680</v>
      </c>
      <c r="D1311" s="74">
        <v>200.0</v>
      </c>
      <c r="E1311" s="67">
        <v>23.342</v>
      </c>
      <c r="F1311" s="75">
        <v>0.7055324074074073</v>
      </c>
      <c r="G1311" s="67" t="s">
        <v>453</v>
      </c>
      <c r="H1311" s="68">
        <v>1.0</v>
      </c>
      <c r="I1311" s="76"/>
      <c r="J1311" s="67">
        <f t="shared" si="92"/>
        <v>-4669.4</v>
      </c>
      <c r="K1311" s="7"/>
      <c r="L1311" s="70"/>
      <c r="M1311" s="79"/>
      <c r="N1311" s="1"/>
      <c r="O1311" s="1"/>
      <c r="P1311" s="1"/>
      <c r="Q1311" s="1"/>
      <c r="R1311" s="1"/>
      <c r="S1311" s="1"/>
      <c r="T1311" s="1"/>
      <c r="U1311" s="1"/>
      <c r="V1311" s="1"/>
      <c r="W1311" s="1"/>
      <c r="X1311" s="1"/>
      <c r="Y1311" s="1"/>
      <c r="Z1311" s="1"/>
      <c r="AA1311" s="1"/>
      <c r="AB1311" s="1"/>
      <c r="AC1311" s="1"/>
      <c r="AD1311" s="1"/>
      <c r="AE1311" s="1"/>
      <c r="AF1311" s="1"/>
      <c r="AG1311" s="1"/>
      <c r="AH1311" s="1"/>
    </row>
    <row r="1312" ht="12.75" hidden="1" customHeight="1" outlineLevel="1">
      <c r="A1312" s="17">
        <v>41228.0</v>
      </c>
      <c r="B1312" s="1" t="s">
        <v>347</v>
      </c>
      <c r="C1312" s="1" t="s">
        <v>605</v>
      </c>
      <c r="D1312" s="74">
        <v>250.0</v>
      </c>
      <c r="E1312" s="67">
        <v>45.371</v>
      </c>
      <c r="F1312" s="75">
        <v>0.7058101851851851</v>
      </c>
      <c r="G1312" s="67" t="s">
        <v>453</v>
      </c>
      <c r="H1312" s="68">
        <v>1.25</v>
      </c>
      <c r="I1312" s="76"/>
      <c r="J1312" s="67">
        <f t="shared" si="92"/>
        <v>11341.5</v>
      </c>
      <c r="K1312" s="7"/>
      <c r="L1312" s="70"/>
      <c r="M1312" s="79"/>
      <c r="N1312" s="1"/>
      <c r="O1312" s="1"/>
      <c r="P1312" s="1"/>
      <c r="Q1312" s="1"/>
      <c r="R1312" s="1"/>
      <c r="S1312" s="1"/>
      <c r="T1312" s="1"/>
      <c r="U1312" s="1"/>
      <c r="V1312" s="1"/>
      <c r="W1312" s="1"/>
      <c r="X1312" s="1"/>
      <c r="Y1312" s="1"/>
      <c r="Z1312" s="1"/>
      <c r="AA1312" s="1"/>
      <c r="AB1312" s="1"/>
      <c r="AC1312" s="1"/>
      <c r="AD1312" s="1"/>
      <c r="AE1312" s="1"/>
      <c r="AF1312" s="1"/>
      <c r="AG1312" s="1"/>
      <c r="AH1312" s="1"/>
    </row>
    <row r="1313" ht="12.75" hidden="1" customHeight="1" outlineLevel="1">
      <c r="A1313" s="17">
        <v>41228.0</v>
      </c>
      <c r="B1313" s="1" t="s">
        <v>347</v>
      </c>
      <c r="C1313" s="1" t="s">
        <v>387</v>
      </c>
      <c r="D1313" s="74">
        <v>150.0</v>
      </c>
      <c r="E1313" s="67">
        <v>70.47</v>
      </c>
      <c r="F1313" s="75">
        <v>0.7060763888888889</v>
      </c>
      <c r="G1313" s="67" t="s">
        <v>453</v>
      </c>
      <c r="H1313" s="68">
        <v>1.0</v>
      </c>
      <c r="I1313" s="76"/>
      <c r="J1313" s="67">
        <f t="shared" si="92"/>
        <v>10569.5</v>
      </c>
      <c r="K1313" s="7"/>
      <c r="L1313" s="70"/>
      <c r="M1313" s="79"/>
      <c r="N1313" s="1"/>
      <c r="O1313" s="1"/>
      <c r="P1313" s="1"/>
      <c r="Q1313" s="1"/>
      <c r="R1313" s="1"/>
      <c r="S1313" s="1"/>
      <c r="T1313" s="1"/>
      <c r="U1313" s="1"/>
      <c r="V1313" s="1"/>
      <c r="W1313" s="1"/>
      <c r="X1313" s="1"/>
      <c r="Y1313" s="1"/>
      <c r="Z1313" s="1"/>
      <c r="AA1313" s="1"/>
      <c r="AB1313" s="1"/>
      <c r="AC1313" s="1"/>
      <c r="AD1313" s="1"/>
      <c r="AE1313" s="1"/>
      <c r="AF1313" s="1"/>
      <c r="AG1313" s="1"/>
      <c r="AH1313" s="1"/>
    </row>
    <row r="1314" ht="12.75" hidden="1" customHeight="1" outlineLevel="1">
      <c r="A1314" s="17">
        <v>41228.0</v>
      </c>
      <c r="B1314" s="1" t="s">
        <v>347</v>
      </c>
      <c r="C1314" s="1" t="s">
        <v>344</v>
      </c>
      <c r="D1314" s="74">
        <v>300.0</v>
      </c>
      <c r="E1314" s="67">
        <v>31.3</v>
      </c>
      <c r="F1314" s="75">
        <v>0.7064236111111111</v>
      </c>
      <c r="G1314" s="67" t="s">
        <v>453</v>
      </c>
      <c r="H1314" s="68">
        <v>1.5</v>
      </c>
      <c r="I1314" s="76"/>
      <c r="J1314" s="67">
        <f t="shared" si="92"/>
        <v>9388.5</v>
      </c>
      <c r="K1314" s="7"/>
      <c r="L1314" s="70"/>
      <c r="M1314" s="79"/>
      <c r="N1314" s="1"/>
      <c r="O1314" s="1"/>
      <c r="P1314" s="1"/>
      <c r="Q1314" s="1"/>
      <c r="R1314" s="1"/>
      <c r="S1314" s="1"/>
      <c r="T1314" s="1"/>
      <c r="U1314" s="1"/>
      <c r="V1314" s="1"/>
      <c r="W1314" s="1"/>
      <c r="X1314" s="1"/>
      <c r="Y1314" s="1"/>
      <c r="Z1314" s="1"/>
      <c r="AA1314" s="1"/>
      <c r="AB1314" s="1"/>
      <c r="AC1314" s="1"/>
      <c r="AD1314" s="1"/>
      <c r="AE1314" s="1"/>
      <c r="AF1314" s="1"/>
      <c r="AG1314" s="1"/>
      <c r="AH1314" s="1"/>
    </row>
    <row r="1315" ht="12.75" hidden="1" customHeight="1" outlineLevel="1">
      <c r="A1315" s="17">
        <v>41228.0</v>
      </c>
      <c r="B1315" s="1" t="s">
        <v>347</v>
      </c>
      <c r="C1315" s="1" t="s">
        <v>354</v>
      </c>
      <c r="D1315" s="74">
        <v>100.0</v>
      </c>
      <c r="E1315" s="67">
        <v>100.7</v>
      </c>
      <c r="F1315" s="75">
        <v>0.7076041666666667</v>
      </c>
      <c r="G1315" s="67" t="s">
        <v>453</v>
      </c>
      <c r="H1315" s="68">
        <v>1.0</v>
      </c>
      <c r="I1315" s="76"/>
      <c r="J1315" s="67">
        <f t="shared" si="92"/>
        <v>10069</v>
      </c>
      <c r="K1315" s="7"/>
      <c r="L1315" s="70"/>
      <c r="M1315" s="79"/>
      <c r="N1315" s="1"/>
      <c r="O1315" s="1"/>
      <c r="P1315" s="1"/>
      <c r="Q1315" s="1"/>
      <c r="R1315" s="1"/>
      <c r="S1315" s="1"/>
      <c r="T1315" s="1"/>
      <c r="U1315" s="1"/>
      <c r="V1315" s="1"/>
      <c r="W1315" s="1"/>
      <c r="X1315" s="1"/>
      <c r="Y1315" s="1"/>
      <c r="Z1315" s="1"/>
      <c r="AA1315" s="1"/>
      <c r="AB1315" s="1"/>
      <c r="AC1315" s="1"/>
      <c r="AD1315" s="1"/>
      <c r="AE1315" s="1"/>
      <c r="AF1315" s="1"/>
      <c r="AG1315" s="1"/>
      <c r="AH1315" s="1"/>
    </row>
    <row r="1316" ht="12.75" hidden="1" customHeight="1" outlineLevel="1">
      <c r="A1316" s="17">
        <v>41228.0</v>
      </c>
      <c r="B1316" s="1" t="s">
        <v>347</v>
      </c>
      <c r="C1316" s="1" t="s">
        <v>734</v>
      </c>
      <c r="D1316" s="74">
        <v>600.0</v>
      </c>
      <c r="E1316" s="67">
        <v>17.66</v>
      </c>
      <c r="F1316" s="75">
        <v>0.7079976851851852</v>
      </c>
      <c r="G1316" s="67" t="s">
        <v>453</v>
      </c>
      <c r="H1316" s="68">
        <v>2.7</v>
      </c>
      <c r="I1316" s="76"/>
      <c r="J1316" s="67">
        <f t="shared" si="92"/>
        <v>10593.3</v>
      </c>
      <c r="K1316" s="7"/>
      <c r="L1316" s="70"/>
      <c r="M1316" s="79"/>
      <c r="N1316" s="1"/>
      <c r="O1316" s="1"/>
      <c r="P1316" s="1"/>
      <c r="Q1316" s="1"/>
      <c r="R1316" s="1"/>
      <c r="S1316" s="1"/>
      <c r="T1316" s="1"/>
      <c r="U1316" s="1"/>
      <c r="V1316" s="1"/>
      <c r="W1316" s="1"/>
      <c r="X1316" s="1"/>
      <c r="Y1316" s="1"/>
      <c r="Z1316" s="1"/>
      <c r="AA1316" s="1"/>
      <c r="AB1316" s="1"/>
      <c r="AC1316" s="1"/>
      <c r="AD1316" s="1"/>
      <c r="AE1316" s="1"/>
      <c r="AF1316" s="1"/>
      <c r="AG1316" s="1"/>
      <c r="AH1316" s="1"/>
    </row>
    <row r="1317" ht="12.75" hidden="1" customHeight="1" outlineLevel="1">
      <c r="A1317" s="17">
        <v>41228.0</v>
      </c>
      <c r="B1317" s="1"/>
      <c r="C1317" s="1" t="s">
        <v>339</v>
      </c>
      <c r="D1317" s="74"/>
      <c r="E1317" s="67"/>
      <c r="F1317" s="75"/>
      <c r="G1317" s="67"/>
      <c r="H1317" s="68"/>
      <c r="I1317" s="76"/>
      <c r="J1317" s="67"/>
      <c r="K1317" s="7" t="s">
        <v>778</v>
      </c>
      <c r="L1317" s="77"/>
      <c r="M1317" s="79"/>
      <c r="N1317" s="1"/>
      <c r="O1317" s="1"/>
      <c r="P1317" s="1"/>
      <c r="Q1317" s="1"/>
      <c r="R1317" s="1"/>
      <c r="S1317" s="1"/>
      <c r="T1317" s="1"/>
      <c r="U1317" s="1"/>
      <c r="V1317" s="1"/>
      <c r="W1317" s="1"/>
      <c r="X1317" s="1"/>
      <c r="Y1317" s="1"/>
      <c r="Z1317" s="1"/>
      <c r="AA1317" s="1"/>
      <c r="AB1317" s="1"/>
      <c r="AC1317" s="1"/>
      <c r="AD1317" s="1"/>
      <c r="AE1317" s="1"/>
      <c r="AF1317" s="1"/>
      <c r="AG1317" s="1"/>
      <c r="AH1317" s="1"/>
    </row>
    <row r="1318" ht="12.75" hidden="1" customHeight="1" outlineLevel="1">
      <c r="A1318" s="17">
        <v>41228.0</v>
      </c>
      <c r="B1318" s="1"/>
      <c r="C1318" s="1" t="s">
        <v>429</v>
      </c>
      <c r="D1318" s="74"/>
      <c r="E1318" s="67"/>
      <c r="F1318" s="75"/>
      <c r="G1318" s="67"/>
      <c r="H1318" s="68"/>
      <c r="I1318" s="76"/>
      <c r="J1318" s="67"/>
      <c r="K1318" s="7" t="s">
        <v>679</v>
      </c>
      <c r="L1318" s="77"/>
      <c r="M1318" s="79"/>
      <c r="N1318" s="1"/>
      <c r="O1318" s="1"/>
      <c r="P1318" s="1"/>
      <c r="Q1318" s="1"/>
      <c r="R1318" s="1"/>
      <c r="S1318" s="1"/>
      <c r="T1318" s="1"/>
      <c r="U1318" s="1"/>
      <c r="V1318" s="1"/>
      <c r="W1318" s="1"/>
      <c r="X1318" s="1"/>
      <c r="Y1318" s="1"/>
      <c r="Z1318" s="1"/>
      <c r="AA1318" s="1"/>
      <c r="AB1318" s="1"/>
      <c r="AC1318" s="1"/>
      <c r="AD1318" s="1"/>
      <c r="AE1318" s="1"/>
      <c r="AF1318" s="1"/>
      <c r="AG1318" s="1"/>
      <c r="AH1318" s="1"/>
    </row>
    <row r="1319" ht="12.75" hidden="1" customHeight="1" outlineLevel="1">
      <c r="A1319" s="17">
        <v>41228.0</v>
      </c>
      <c r="B1319" s="1"/>
      <c r="C1319" s="1" t="s">
        <v>431</v>
      </c>
      <c r="D1319" s="74"/>
      <c r="E1319" s="67"/>
      <c r="F1319" s="75"/>
      <c r="G1319" s="67"/>
      <c r="H1319" s="68"/>
      <c r="I1319" s="76"/>
      <c r="J1319" s="67"/>
      <c r="K1319" s="7" t="s">
        <v>669</v>
      </c>
      <c r="L1319" s="77"/>
      <c r="M1319" s="79"/>
      <c r="N1319" s="1"/>
      <c r="O1319" s="1"/>
      <c r="P1319" s="1"/>
      <c r="Q1319" s="1"/>
      <c r="R1319" s="1"/>
      <c r="S1319" s="1"/>
      <c r="T1319" s="1"/>
      <c r="U1319" s="1"/>
      <c r="V1319" s="1"/>
      <c r="W1319" s="1"/>
      <c r="X1319" s="1"/>
      <c r="Y1319" s="1"/>
      <c r="Z1319" s="1"/>
      <c r="AA1319" s="1"/>
      <c r="AB1319" s="1"/>
      <c r="AC1319" s="1"/>
      <c r="AD1319" s="1"/>
      <c r="AE1319" s="1"/>
      <c r="AF1319" s="1"/>
      <c r="AG1319" s="1"/>
      <c r="AH1319" s="1"/>
    </row>
    <row r="1320" ht="12.75" hidden="1" customHeight="1" outlineLevel="1">
      <c r="A1320" s="17">
        <v>41228.0</v>
      </c>
      <c r="B1320" s="1"/>
      <c r="C1320" s="1" t="s">
        <v>433</v>
      </c>
      <c r="D1320" s="74"/>
      <c r="E1320" s="67"/>
      <c r="F1320" s="75"/>
      <c r="G1320" s="67"/>
      <c r="H1320" s="68"/>
      <c r="I1320" s="76"/>
      <c r="J1320" s="67"/>
      <c r="K1320" s="1" t="s">
        <v>434</v>
      </c>
      <c r="L1320" s="77"/>
      <c r="M1320" s="79"/>
      <c r="N1320" s="1"/>
      <c r="O1320" s="1"/>
      <c r="P1320" s="1"/>
      <c r="Q1320" s="1"/>
      <c r="R1320" s="1"/>
      <c r="S1320" s="1"/>
      <c r="T1320" s="1"/>
      <c r="U1320" s="1"/>
      <c r="V1320" s="1"/>
      <c r="W1320" s="1"/>
      <c r="X1320" s="1"/>
      <c r="Y1320" s="1"/>
      <c r="Z1320" s="1"/>
      <c r="AA1320" s="1"/>
      <c r="AB1320" s="1"/>
      <c r="AC1320" s="1"/>
      <c r="AD1320" s="1"/>
      <c r="AE1320" s="1"/>
      <c r="AF1320" s="1"/>
      <c r="AG1320" s="1"/>
      <c r="AH1320" s="1"/>
    </row>
    <row r="1321" ht="12.75" hidden="1" customHeight="1" outlineLevel="1">
      <c r="A1321" s="17">
        <v>41228.0</v>
      </c>
      <c r="B1321" s="1"/>
      <c r="C1321" s="1" t="s">
        <v>435</v>
      </c>
      <c r="D1321" s="74"/>
      <c r="E1321" s="67"/>
      <c r="F1321" s="75"/>
      <c r="G1321" s="67"/>
      <c r="H1321" s="68"/>
      <c r="I1321" s="76"/>
      <c r="J1321" s="67"/>
      <c r="K1321" s="7" t="s">
        <v>745</v>
      </c>
      <c r="L1321" s="77"/>
      <c r="M1321" s="79"/>
      <c r="N1321" s="1"/>
      <c r="O1321" s="1"/>
      <c r="P1321" s="1"/>
      <c r="Q1321" s="1"/>
      <c r="R1321" s="1"/>
      <c r="S1321" s="1"/>
      <c r="T1321" s="1"/>
      <c r="U1321" s="1"/>
      <c r="V1321" s="1"/>
      <c r="W1321" s="1"/>
      <c r="X1321" s="1"/>
      <c r="Y1321" s="1"/>
      <c r="Z1321" s="1"/>
      <c r="AA1321" s="1"/>
      <c r="AB1321" s="1"/>
      <c r="AC1321" s="1"/>
      <c r="AD1321" s="1"/>
      <c r="AE1321" s="1"/>
      <c r="AF1321" s="1"/>
      <c r="AG1321" s="1"/>
      <c r="AH1321" s="1"/>
    </row>
    <row r="1322" ht="12.75" hidden="1" customHeight="1" outlineLevel="1">
      <c r="A1322" s="17">
        <v>41229.0</v>
      </c>
      <c r="B1322" s="1" t="s">
        <v>343</v>
      </c>
      <c r="C1322" s="1" t="s">
        <v>387</v>
      </c>
      <c r="D1322" s="74">
        <v>150.0</v>
      </c>
      <c r="E1322" s="67">
        <v>70.4</v>
      </c>
      <c r="F1322" s="75">
        <v>0.39687500000000003</v>
      </c>
      <c r="G1322" s="67" t="s">
        <v>453</v>
      </c>
      <c r="H1322" s="68">
        <v>1.0</v>
      </c>
      <c r="I1322" s="76"/>
      <c r="J1322" s="67">
        <f t="shared" ref="J1322:J1336" si="93">IF(B1322="SLD",D1322*E1322,-D1322*E1322)-H1322</f>
        <v>-10561</v>
      </c>
      <c r="K1322" s="7"/>
      <c r="L1322" s="70"/>
      <c r="M1322" s="79"/>
      <c r="N1322" s="1"/>
      <c r="O1322" s="1"/>
      <c r="P1322" s="1"/>
      <c r="Q1322" s="1"/>
      <c r="R1322" s="1"/>
      <c r="S1322" s="1"/>
      <c r="T1322" s="1"/>
      <c r="U1322" s="1"/>
      <c r="V1322" s="1"/>
      <c r="W1322" s="1"/>
      <c r="X1322" s="1"/>
      <c r="Y1322" s="1"/>
      <c r="Z1322" s="1"/>
      <c r="AA1322" s="1"/>
      <c r="AB1322" s="1"/>
      <c r="AC1322" s="1"/>
      <c r="AD1322" s="1"/>
      <c r="AE1322" s="1"/>
      <c r="AF1322" s="1"/>
      <c r="AG1322" s="1"/>
      <c r="AH1322" s="1"/>
    </row>
    <row r="1323" ht="12.75" hidden="1" customHeight="1" outlineLevel="1">
      <c r="A1323" s="17">
        <v>41229.0</v>
      </c>
      <c r="B1323" s="1" t="s">
        <v>343</v>
      </c>
      <c r="C1323" s="1" t="s">
        <v>681</v>
      </c>
      <c r="D1323" s="74">
        <v>200.0</v>
      </c>
      <c r="E1323" s="67">
        <v>14.3</v>
      </c>
      <c r="F1323" s="75">
        <v>0.397662037037037</v>
      </c>
      <c r="G1323" s="67" t="s">
        <v>453</v>
      </c>
      <c r="H1323" s="68">
        <v>1.0</v>
      </c>
      <c r="I1323" s="76"/>
      <c r="J1323" s="67">
        <f t="shared" si="93"/>
        <v>-2861</v>
      </c>
      <c r="K1323" s="7"/>
      <c r="L1323" s="70"/>
      <c r="M1323" s="79"/>
      <c r="N1323" s="1"/>
      <c r="O1323" s="1"/>
      <c r="P1323" s="1"/>
      <c r="Q1323" s="1"/>
      <c r="R1323" s="1"/>
      <c r="S1323" s="1"/>
      <c r="T1323" s="1"/>
      <c r="U1323" s="1"/>
      <c r="V1323" s="1"/>
      <c r="W1323" s="1"/>
      <c r="X1323" s="1"/>
      <c r="Y1323" s="1"/>
      <c r="Z1323" s="1"/>
      <c r="AA1323" s="1"/>
      <c r="AB1323" s="1"/>
      <c r="AC1323" s="1"/>
      <c r="AD1323" s="1"/>
      <c r="AE1323" s="1"/>
      <c r="AF1323" s="1"/>
      <c r="AG1323" s="1"/>
      <c r="AH1323" s="1"/>
    </row>
    <row r="1324" ht="12.75" hidden="1" customHeight="1" outlineLevel="1">
      <c r="A1324" s="17">
        <v>41229.0</v>
      </c>
      <c r="B1324" s="1" t="s">
        <v>343</v>
      </c>
      <c r="C1324" s="1" t="s">
        <v>344</v>
      </c>
      <c r="D1324" s="74">
        <v>300.0</v>
      </c>
      <c r="E1324" s="67">
        <v>31.23</v>
      </c>
      <c r="F1324" s="75">
        <v>0.3977199074074074</v>
      </c>
      <c r="G1324" s="67" t="s">
        <v>453</v>
      </c>
      <c r="H1324" s="68">
        <v>1.5</v>
      </c>
      <c r="I1324" s="76"/>
      <c r="J1324" s="67">
        <f t="shared" si="93"/>
        <v>-9370.5</v>
      </c>
      <c r="K1324" s="7"/>
      <c r="L1324" s="70"/>
      <c r="M1324" s="79"/>
      <c r="N1324" s="1"/>
      <c r="O1324" s="1"/>
      <c r="P1324" s="1"/>
      <c r="Q1324" s="1"/>
      <c r="R1324" s="1"/>
      <c r="S1324" s="1"/>
      <c r="T1324" s="1"/>
      <c r="U1324" s="1"/>
      <c r="V1324" s="1"/>
      <c r="W1324" s="1"/>
      <c r="X1324" s="1"/>
      <c r="Y1324" s="1"/>
      <c r="Z1324" s="1"/>
      <c r="AA1324" s="1"/>
      <c r="AB1324" s="1"/>
      <c r="AC1324" s="1"/>
      <c r="AD1324" s="1"/>
      <c r="AE1324" s="1"/>
      <c r="AF1324" s="1"/>
      <c r="AG1324" s="1"/>
      <c r="AH1324" s="1"/>
    </row>
    <row r="1325" ht="12.75" hidden="1" customHeight="1" outlineLevel="1">
      <c r="A1325" s="17">
        <v>41229.0</v>
      </c>
      <c r="B1325" s="1" t="s">
        <v>343</v>
      </c>
      <c r="C1325" s="1" t="s">
        <v>734</v>
      </c>
      <c r="D1325" s="74">
        <v>300.0</v>
      </c>
      <c r="E1325" s="67">
        <v>18.55</v>
      </c>
      <c r="F1325" s="75">
        <v>0.39920138888888884</v>
      </c>
      <c r="G1325" s="67" t="s">
        <v>453</v>
      </c>
      <c r="H1325" s="68">
        <v>1.5</v>
      </c>
      <c r="I1325" s="76"/>
      <c r="J1325" s="67">
        <f t="shared" si="93"/>
        <v>-5566.5</v>
      </c>
      <c r="K1325" s="7"/>
      <c r="L1325" s="70"/>
      <c r="M1325" s="79"/>
      <c r="N1325" s="1"/>
      <c r="O1325" s="1"/>
      <c r="P1325" s="1"/>
      <c r="Q1325" s="1"/>
      <c r="R1325" s="1"/>
      <c r="S1325" s="1"/>
      <c r="T1325" s="1"/>
      <c r="U1325" s="1"/>
      <c r="V1325" s="1"/>
      <c r="W1325" s="1"/>
      <c r="X1325" s="1"/>
      <c r="Y1325" s="1"/>
      <c r="Z1325" s="1"/>
      <c r="AA1325" s="1"/>
      <c r="AB1325" s="1"/>
      <c r="AC1325" s="1"/>
      <c r="AD1325" s="1"/>
      <c r="AE1325" s="1"/>
      <c r="AF1325" s="1"/>
      <c r="AG1325" s="1"/>
      <c r="AH1325" s="1"/>
    </row>
    <row r="1326" ht="12.75" hidden="1" customHeight="1" outlineLevel="1">
      <c r="A1326" s="17">
        <v>41229.0</v>
      </c>
      <c r="B1326" s="1" t="s">
        <v>343</v>
      </c>
      <c r="C1326" s="1" t="s">
        <v>344</v>
      </c>
      <c r="D1326" s="74">
        <v>200.0</v>
      </c>
      <c r="E1326" s="67">
        <v>31.35</v>
      </c>
      <c r="F1326" s="75">
        <v>0.40207175925925925</v>
      </c>
      <c r="G1326" s="67" t="s">
        <v>453</v>
      </c>
      <c r="H1326" s="68">
        <v>1.0</v>
      </c>
      <c r="I1326" s="76"/>
      <c r="J1326" s="67">
        <f t="shared" si="93"/>
        <v>-6271</v>
      </c>
      <c r="K1326" s="7"/>
      <c r="L1326" s="70"/>
      <c r="M1326" s="79"/>
      <c r="N1326" s="1"/>
      <c r="O1326" s="1"/>
      <c r="P1326" s="1"/>
      <c r="Q1326" s="1"/>
      <c r="R1326" s="1"/>
      <c r="S1326" s="1"/>
      <c r="T1326" s="1"/>
      <c r="U1326" s="1"/>
      <c r="V1326" s="1"/>
      <c r="W1326" s="1"/>
      <c r="X1326" s="1"/>
      <c r="Y1326" s="1"/>
      <c r="Z1326" s="1"/>
      <c r="AA1326" s="1"/>
      <c r="AB1326" s="1"/>
      <c r="AC1326" s="1"/>
      <c r="AD1326" s="1"/>
      <c r="AE1326" s="1"/>
      <c r="AF1326" s="1"/>
      <c r="AG1326" s="1"/>
      <c r="AH1326" s="1"/>
    </row>
    <row r="1327" ht="12.75" hidden="1" customHeight="1" outlineLevel="1">
      <c r="A1327" s="17">
        <v>41229.0</v>
      </c>
      <c r="B1327" s="1" t="s">
        <v>343</v>
      </c>
      <c r="C1327" s="1" t="s">
        <v>605</v>
      </c>
      <c r="D1327" s="74">
        <v>250.0</v>
      </c>
      <c r="E1327" s="67">
        <v>45.64</v>
      </c>
      <c r="F1327" s="75">
        <v>0.40291666666666665</v>
      </c>
      <c r="G1327" s="67" t="s">
        <v>453</v>
      </c>
      <c r="H1327" s="68">
        <v>1.05</v>
      </c>
      <c r="I1327" s="76"/>
      <c r="J1327" s="67">
        <f t="shared" si="93"/>
        <v>-11411.05</v>
      </c>
      <c r="K1327" s="7"/>
      <c r="L1327" s="70"/>
      <c r="M1327" s="79"/>
      <c r="N1327" s="1"/>
      <c r="O1327" s="1"/>
      <c r="P1327" s="1"/>
      <c r="Q1327" s="1"/>
      <c r="R1327" s="1"/>
      <c r="S1327" s="1"/>
      <c r="T1327" s="1"/>
      <c r="U1327" s="1"/>
      <c r="V1327" s="1"/>
      <c r="W1327" s="1"/>
      <c r="X1327" s="1"/>
      <c r="Y1327" s="1"/>
      <c r="Z1327" s="1"/>
      <c r="AA1327" s="1"/>
      <c r="AB1327" s="1"/>
      <c r="AC1327" s="1"/>
      <c r="AD1327" s="1"/>
      <c r="AE1327" s="1"/>
      <c r="AF1327" s="1"/>
      <c r="AG1327" s="1"/>
      <c r="AH1327" s="1"/>
    </row>
    <row r="1328" ht="12.75" hidden="1" customHeight="1" outlineLevel="1">
      <c r="A1328" s="17">
        <v>41229.0</v>
      </c>
      <c r="B1328" s="1" t="s">
        <v>343</v>
      </c>
      <c r="C1328" s="1" t="s">
        <v>354</v>
      </c>
      <c r="D1328" s="74">
        <v>100.0</v>
      </c>
      <c r="E1328" s="67">
        <v>100.98</v>
      </c>
      <c r="F1328" s="75">
        <v>0.40465277777777775</v>
      </c>
      <c r="G1328" s="67" t="s">
        <v>453</v>
      </c>
      <c r="H1328" s="68">
        <v>1.0</v>
      </c>
      <c r="I1328" s="76"/>
      <c r="J1328" s="67">
        <f t="shared" si="93"/>
        <v>-10099</v>
      </c>
      <c r="K1328" s="7"/>
      <c r="L1328" s="70"/>
      <c r="M1328" s="79"/>
      <c r="N1328" s="1"/>
      <c r="O1328" s="1"/>
      <c r="P1328" s="1"/>
      <c r="Q1328" s="1"/>
      <c r="R1328" s="1"/>
      <c r="S1328" s="1"/>
      <c r="T1328" s="1"/>
      <c r="U1328" s="1"/>
      <c r="V1328" s="1"/>
      <c r="W1328" s="1"/>
      <c r="X1328" s="1"/>
      <c r="Y1328" s="1"/>
      <c r="Z1328" s="1"/>
      <c r="AA1328" s="1"/>
      <c r="AB1328" s="1"/>
      <c r="AC1328" s="1"/>
      <c r="AD1328" s="1"/>
      <c r="AE1328" s="1"/>
      <c r="AF1328" s="1"/>
      <c r="AG1328" s="1"/>
      <c r="AH1328" s="1"/>
    </row>
    <row r="1329" ht="12.75" hidden="1" customHeight="1" outlineLevel="1">
      <c r="A1329" s="17">
        <v>41229.0</v>
      </c>
      <c r="B1329" s="1" t="s">
        <v>343</v>
      </c>
      <c r="C1329" s="1" t="s">
        <v>734</v>
      </c>
      <c r="D1329" s="74">
        <v>300.0</v>
      </c>
      <c r="E1329" s="67">
        <v>18.6</v>
      </c>
      <c r="F1329" s="75">
        <v>0.40542824074074074</v>
      </c>
      <c r="G1329" s="67" t="s">
        <v>453</v>
      </c>
      <c r="H1329" s="68">
        <v>1.5</v>
      </c>
      <c r="I1329" s="76"/>
      <c r="J1329" s="67">
        <f t="shared" si="93"/>
        <v>-5581.5</v>
      </c>
      <c r="K1329" s="7"/>
      <c r="L1329" s="70"/>
      <c r="M1329" s="79"/>
      <c r="N1329" s="1"/>
      <c r="O1329" s="1"/>
      <c r="P1329" s="1"/>
      <c r="Q1329" s="1"/>
      <c r="R1329" s="1"/>
      <c r="S1329" s="1"/>
      <c r="T1329" s="1"/>
      <c r="U1329" s="1"/>
      <c r="V1329" s="1"/>
      <c r="W1329" s="1"/>
      <c r="X1329" s="1"/>
      <c r="Y1329" s="1"/>
      <c r="Z1329" s="1"/>
      <c r="AA1329" s="1"/>
      <c r="AB1329" s="1"/>
      <c r="AC1329" s="1"/>
      <c r="AD1329" s="1"/>
      <c r="AE1329" s="1"/>
      <c r="AF1329" s="1"/>
      <c r="AG1329" s="1"/>
      <c r="AH1329" s="1"/>
    </row>
    <row r="1330" ht="12.75" hidden="1" customHeight="1" outlineLevel="1">
      <c r="A1330" s="17">
        <v>41229.0</v>
      </c>
      <c r="B1330" s="1" t="s">
        <v>343</v>
      </c>
      <c r="C1330" s="1" t="s">
        <v>354</v>
      </c>
      <c r="D1330" s="74">
        <v>100.0</v>
      </c>
      <c r="E1330" s="67">
        <v>100.73</v>
      </c>
      <c r="F1330" s="75">
        <v>0.4069907407407407</v>
      </c>
      <c r="G1330" s="67" t="s">
        <v>453</v>
      </c>
      <c r="H1330" s="68">
        <v>1.0</v>
      </c>
      <c r="I1330" s="76"/>
      <c r="J1330" s="67">
        <f t="shared" si="93"/>
        <v>-10074</v>
      </c>
      <c r="K1330" s="7"/>
      <c r="L1330" s="70"/>
      <c r="M1330" s="79"/>
      <c r="N1330" s="1"/>
      <c r="O1330" s="1"/>
      <c r="P1330" s="1"/>
      <c r="Q1330" s="1"/>
      <c r="R1330" s="1"/>
      <c r="S1330" s="1"/>
      <c r="T1330" s="1"/>
      <c r="U1330" s="1"/>
      <c r="V1330" s="1"/>
      <c r="W1330" s="1"/>
      <c r="X1330" s="1"/>
      <c r="Y1330" s="1"/>
      <c r="Z1330" s="1"/>
      <c r="AA1330" s="1"/>
      <c r="AB1330" s="1"/>
      <c r="AC1330" s="1"/>
      <c r="AD1330" s="1"/>
      <c r="AE1330" s="1"/>
      <c r="AF1330" s="1"/>
      <c r="AG1330" s="1"/>
      <c r="AH1330" s="1"/>
    </row>
    <row r="1331" ht="12.75" hidden="1" customHeight="1" outlineLevel="1">
      <c r="A1331" s="17">
        <v>41229.0</v>
      </c>
      <c r="B1331" s="1" t="s">
        <v>343</v>
      </c>
      <c r="C1331" s="1" t="s">
        <v>734</v>
      </c>
      <c r="D1331" s="74">
        <v>300.0</v>
      </c>
      <c r="E1331" s="67">
        <v>18.65</v>
      </c>
      <c r="F1331" s="75">
        <v>0.40747685185185184</v>
      </c>
      <c r="G1331" s="67" t="s">
        <v>453</v>
      </c>
      <c r="H1331" s="68">
        <v>1.5</v>
      </c>
      <c r="I1331" s="76"/>
      <c r="J1331" s="67">
        <f t="shared" si="93"/>
        <v>-5596.5</v>
      </c>
      <c r="K1331" s="7"/>
      <c r="L1331" s="70"/>
      <c r="M1331" s="79"/>
      <c r="N1331" s="1"/>
      <c r="O1331" s="1"/>
      <c r="P1331" s="1"/>
      <c r="Q1331" s="1"/>
      <c r="R1331" s="1"/>
      <c r="S1331" s="1"/>
      <c r="T1331" s="1"/>
      <c r="U1331" s="1"/>
      <c r="V1331" s="1"/>
      <c r="W1331" s="1"/>
      <c r="X1331" s="1"/>
      <c r="Y1331" s="1"/>
      <c r="Z1331" s="1"/>
      <c r="AA1331" s="1"/>
      <c r="AB1331" s="1"/>
      <c r="AC1331" s="1"/>
      <c r="AD1331" s="1"/>
      <c r="AE1331" s="1"/>
      <c r="AF1331" s="1"/>
      <c r="AG1331" s="1"/>
      <c r="AH1331" s="1"/>
    </row>
    <row r="1332" ht="12.75" hidden="1" customHeight="1" outlineLevel="1">
      <c r="A1332" s="17">
        <v>41229.0</v>
      </c>
      <c r="B1332" s="1" t="s">
        <v>347</v>
      </c>
      <c r="C1332" s="1" t="s">
        <v>757</v>
      </c>
      <c r="D1332" s="74">
        <v>200.0</v>
      </c>
      <c r="E1332" s="67">
        <v>50.6</v>
      </c>
      <c r="F1332" s="75">
        <v>0.4097337962962963</v>
      </c>
      <c r="G1332" s="67" t="s">
        <v>453</v>
      </c>
      <c r="H1332" s="68">
        <v>1.0</v>
      </c>
      <c r="I1332" s="76"/>
      <c r="J1332" s="67">
        <f t="shared" si="93"/>
        <v>10119</v>
      </c>
      <c r="K1332" s="7"/>
      <c r="L1332" s="70"/>
      <c r="M1332" s="79"/>
      <c r="N1332" s="1"/>
      <c r="O1332" s="1"/>
      <c r="P1332" s="1"/>
      <c r="Q1332" s="1"/>
      <c r="R1332" s="1"/>
      <c r="S1332" s="1"/>
      <c r="T1332" s="1"/>
      <c r="U1332" s="1"/>
      <c r="V1332" s="1"/>
      <c r="W1332" s="1"/>
      <c r="X1332" s="1"/>
      <c r="Y1332" s="1"/>
      <c r="Z1332" s="1"/>
      <c r="AA1332" s="1"/>
      <c r="AB1332" s="1"/>
      <c r="AC1332" s="1"/>
      <c r="AD1332" s="1"/>
      <c r="AE1332" s="1"/>
      <c r="AF1332" s="1"/>
      <c r="AG1332" s="1"/>
      <c r="AH1332" s="1"/>
    </row>
    <row r="1333" ht="12.75" hidden="1" customHeight="1" outlineLevel="1">
      <c r="A1333" s="17">
        <v>41229.0</v>
      </c>
      <c r="B1333" s="1" t="s">
        <v>347</v>
      </c>
      <c r="C1333" s="1" t="s">
        <v>680</v>
      </c>
      <c r="D1333" s="74">
        <v>300.0</v>
      </c>
      <c r="E1333" s="67">
        <v>23.33</v>
      </c>
      <c r="F1333" s="75">
        <v>0.4098148148148148</v>
      </c>
      <c r="G1333" s="67" t="s">
        <v>453</v>
      </c>
      <c r="H1333" s="68">
        <v>1.3</v>
      </c>
      <c r="I1333" s="76"/>
      <c r="J1333" s="67">
        <f t="shared" si="93"/>
        <v>6997.7</v>
      </c>
      <c r="K1333" s="7"/>
      <c r="L1333" s="70"/>
      <c r="M1333" s="79"/>
      <c r="N1333" s="1"/>
      <c r="O1333" s="1"/>
      <c r="P1333" s="1"/>
      <c r="Q1333" s="1"/>
      <c r="R1333" s="1"/>
      <c r="S1333" s="1"/>
      <c r="T1333" s="1"/>
      <c r="U1333" s="1"/>
      <c r="V1333" s="1"/>
      <c r="W1333" s="1"/>
      <c r="X1333" s="1"/>
      <c r="Y1333" s="1"/>
      <c r="Z1333" s="1"/>
      <c r="AA1333" s="1"/>
      <c r="AB1333" s="1"/>
      <c r="AC1333" s="1"/>
      <c r="AD1333" s="1"/>
      <c r="AE1333" s="1"/>
      <c r="AF1333" s="1"/>
      <c r="AG1333" s="1"/>
      <c r="AH1333" s="1"/>
    </row>
    <row r="1334" ht="12.75" hidden="1" customHeight="1" outlineLevel="1">
      <c r="A1334" s="17">
        <v>41229.0</v>
      </c>
      <c r="B1334" s="1" t="s">
        <v>347</v>
      </c>
      <c r="C1334" s="1" t="s">
        <v>691</v>
      </c>
      <c r="D1334" s="74">
        <v>400.0</v>
      </c>
      <c r="E1334" s="67">
        <v>27.53</v>
      </c>
      <c r="F1334" s="75">
        <v>0.41027777777777774</v>
      </c>
      <c r="G1334" s="67" t="s">
        <v>453</v>
      </c>
      <c r="H1334" s="68">
        <v>1.6</v>
      </c>
      <c r="I1334" s="76"/>
      <c r="J1334" s="67">
        <f t="shared" si="93"/>
        <v>11010.4</v>
      </c>
      <c r="K1334" s="7"/>
      <c r="L1334" s="70"/>
      <c r="M1334" s="79"/>
      <c r="N1334" s="1"/>
      <c r="O1334" s="1"/>
      <c r="P1334" s="1"/>
      <c r="Q1334" s="1"/>
      <c r="R1334" s="1"/>
      <c r="S1334" s="1"/>
      <c r="T1334" s="1"/>
      <c r="U1334" s="1"/>
      <c r="V1334" s="1"/>
      <c r="W1334" s="1"/>
      <c r="X1334" s="1"/>
      <c r="Y1334" s="1"/>
      <c r="Z1334" s="1"/>
      <c r="AA1334" s="1"/>
      <c r="AB1334" s="1"/>
      <c r="AC1334" s="1"/>
      <c r="AD1334" s="1"/>
      <c r="AE1334" s="1"/>
      <c r="AF1334" s="1"/>
      <c r="AG1334" s="1"/>
      <c r="AH1334" s="1"/>
    </row>
    <row r="1335" ht="12.75" hidden="1" customHeight="1" outlineLevel="1">
      <c r="A1335" s="17">
        <v>41229.0</v>
      </c>
      <c r="B1335" s="1" t="s">
        <v>343</v>
      </c>
      <c r="C1335" s="1" t="s">
        <v>779</v>
      </c>
      <c r="D1335" s="74">
        <v>50.0</v>
      </c>
      <c r="E1335" s="67">
        <v>196.0</v>
      </c>
      <c r="F1335" s="75">
        <v>0.4174189814814815</v>
      </c>
      <c r="G1335" s="67" t="s">
        <v>453</v>
      </c>
      <c r="H1335" s="68">
        <v>1.0</v>
      </c>
      <c r="I1335" s="76"/>
      <c r="J1335" s="67">
        <f t="shared" si="93"/>
        <v>-9801</v>
      </c>
      <c r="K1335" s="7"/>
      <c r="L1335" s="70"/>
      <c r="M1335" s="79"/>
      <c r="N1335" s="1"/>
      <c r="O1335" s="1"/>
      <c r="P1335" s="1"/>
      <c r="Q1335" s="1"/>
      <c r="R1335" s="1"/>
      <c r="S1335" s="1"/>
      <c r="T1335" s="1"/>
      <c r="U1335" s="1"/>
      <c r="V1335" s="1"/>
      <c r="W1335" s="1"/>
      <c r="X1335" s="1"/>
      <c r="Y1335" s="1"/>
      <c r="Z1335" s="1"/>
      <c r="AA1335" s="1"/>
      <c r="AB1335" s="1"/>
      <c r="AC1335" s="1"/>
      <c r="AD1335" s="1"/>
      <c r="AE1335" s="1"/>
      <c r="AF1335" s="1"/>
      <c r="AG1335" s="1"/>
      <c r="AH1335" s="1"/>
    </row>
    <row r="1336" ht="12.75" hidden="1" customHeight="1" outlineLevel="1">
      <c r="A1336" s="17">
        <v>41229.0</v>
      </c>
      <c r="B1336" s="1" t="s">
        <v>343</v>
      </c>
      <c r="C1336" s="1" t="s">
        <v>691</v>
      </c>
      <c r="D1336" s="74">
        <v>400.0</v>
      </c>
      <c r="E1336" s="67">
        <v>27.7</v>
      </c>
      <c r="F1336" s="75">
        <v>0.42290509259259257</v>
      </c>
      <c r="G1336" s="67" t="s">
        <v>453</v>
      </c>
      <c r="H1336" s="68">
        <v>2.0</v>
      </c>
      <c r="I1336" s="76"/>
      <c r="J1336" s="67">
        <f t="shared" si="93"/>
        <v>-11082</v>
      </c>
      <c r="K1336" s="7"/>
      <c r="L1336" s="70"/>
      <c r="M1336" s="79"/>
      <c r="N1336" s="1"/>
      <c r="O1336" s="1"/>
      <c r="P1336" s="1"/>
      <c r="Q1336" s="1"/>
      <c r="R1336" s="1"/>
      <c r="S1336" s="1"/>
      <c r="T1336" s="1"/>
      <c r="U1336" s="1"/>
      <c r="V1336" s="1"/>
      <c r="W1336" s="1"/>
      <c r="X1336" s="1"/>
      <c r="Y1336" s="1"/>
      <c r="Z1336" s="1"/>
      <c r="AA1336" s="1"/>
      <c r="AB1336" s="1"/>
      <c r="AC1336" s="1"/>
      <c r="AD1336" s="1"/>
      <c r="AE1336" s="1"/>
      <c r="AF1336" s="1"/>
      <c r="AG1336" s="1"/>
      <c r="AH1336" s="1"/>
    </row>
    <row r="1337" ht="12.75" hidden="1" customHeight="1" outlineLevel="1">
      <c r="A1337" s="17">
        <v>41229.0</v>
      </c>
      <c r="B1337" s="1"/>
      <c r="C1337" s="1" t="s">
        <v>339</v>
      </c>
      <c r="D1337" s="74"/>
      <c r="E1337" s="67"/>
      <c r="F1337" s="75"/>
      <c r="G1337" s="67"/>
      <c r="H1337" s="68"/>
      <c r="I1337" s="76"/>
      <c r="J1337" s="67"/>
      <c r="K1337" s="7" t="s">
        <v>780</v>
      </c>
      <c r="L1337" s="77"/>
      <c r="M1337" s="79"/>
      <c r="N1337" s="1"/>
      <c r="O1337" s="1"/>
      <c r="P1337" s="1"/>
      <c r="Q1337" s="1"/>
      <c r="R1337" s="1"/>
      <c r="S1337" s="1"/>
      <c r="T1337" s="1"/>
      <c r="U1337" s="1"/>
      <c r="V1337" s="1"/>
      <c r="W1337" s="1"/>
      <c r="X1337" s="1"/>
      <c r="Y1337" s="1"/>
      <c r="Z1337" s="1"/>
      <c r="AA1337" s="1"/>
      <c r="AB1337" s="1"/>
      <c r="AC1337" s="1"/>
      <c r="AD1337" s="1"/>
      <c r="AE1337" s="1"/>
      <c r="AF1337" s="1"/>
      <c r="AG1337" s="1"/>
      <c r="AH1337" s="1"/>
    </row>
    <row r="1338" ht="12.75" hidden="1" customHeight="1" outlineLevel="1">
      <c r="A1338" s="17">
        <v>41229.0</v>
      </c>
      <c r="B1338" s="1"/>
      <c r="C1338" s="1" t="s">
        <v>429</v>
      </c>
      <c r="D1338" s="74"/>
      <c r="E1338" s="67"/>
      <c r="F1338" s="75"/>
      <c r="G1338" s="67"/>
      <c r="H1338" s="68"/>
      <c r="I1338" s="76"/>
      <c r="J1338" s="67"/>
      <c r="K1338" s="7" t="s">
        <v>679</v>
      </c>
      <c r="L1338" s="77"/>
      <c r="M1338" s="79"/>
      <c r="N1338" s="1"/>
      <c r="O1338" s="1"/>
      <c r="P1338" s="1"/>
      <c r="Q1338" s="1"/>
      <c r="R1338" s="1"/>
      <c r="S1338" s="1"/>
      <c r="T1338" s="1"/>
      <c r="U1338" s="1"/>
      <c r="V1338" s="1"/>
      <c r="W1338" s="1"/>
      <c r="X1338" s="1"/>
      <c r="Y1338" s="1"/>
      <c r="Z1338" s="1"/>
      <c r="AA1338" s="1"/>
      <c r="AB1338" s="1"/>
      <c r="AC1338" s="1"/>
      <c r="AD1338" s="1"/>
      <c r="AE1338" s="1"/>
      <c r="AF1338" s="1"/>
      <c r="AG1338" s="1"/>
      <c r="AH1338" s="1"/>
    </row>
    <row r="1339" ht="12.75" hidden="1" customHeight="1" outlineLevel="1">
      <c r="A1339" s="17">
        <v>41229.0</v>
      </c>
      <c r="B1339" s="1"/>
      <c r="C1339" s="1" t="s">
        <v>431</v>
      </c>
      <c r="D1339" s="74"/>
      <c r="E1339" s="67"/>
      <c r="F1339" s="75"/>
      <c r="G1339" s="67"/>
      <c r="H1339" s="68"/>
      <c r="I1339" s="76"/>
      <c r="J1339" s="67"/>
      <c r="K1339" s="7" t="s">
        <v>669</v>
      </c>
      <c r="L1339" s="77"/>
      <c r="M1339" s="79"/>
      <c r="N1339" s="1"/>
      <c r="O1339" s="1"/>
      <c r="P1339" s="1"/>
      <c r="Q1339" s="1"/>
      <c r="R1339" s="1"/>
      <c r="S1339" s="1"/>
      <c r="T1339" s="1"/>
      <c r="U1339" s="1"/>
      <c r="V1339" s="1"/>
      <c r="W1339" s="1"/>
      <c r="X1339" s="1"/>
      <c r="Y1339" s="1"/>
      <c r="Z1339" s="1"/>
      <c r="AA1339" s="1"/>
      <c r="AB1339" s="1"/>
      <c r="AC1339" s="1"/>
      <c r="AD1339" s="1"/>
      <c r="AE1339" s="1"/>
      <c r="AF1339" s="1"/>
      <c r="AG1339" s="1"/>
      <c r="AH1339" s="1"/>
    </row>
    <row r="1340" ht="12.75" hidden="1" customHeight="1" outlineLevel="1">
      <c r="A1340" s="17">
        <v>41229.0</v>
      </c>
      <c r="B1340" s="1"/>
      <c r="C1340" s="1" t="s">
        <v>433</v>
      </c>
      <c r="D1340" s="74"/>
      <c r="E1340" s="67"/>
      <c r="F1340" s="75"/>
      <c r="G1340" s="67"/>
      <c r="H1340" s="68"/>
      <c r="I1340" s="76"/>
      <c r="J1340" s="67"/>
      <c r="K1340" s="1" t="s">
        <v>434</v>
      </c>
      <c r="L1340" s="77"/>
      <c r="M1340" s="79"/>
      <c r="N1340" s="1"/>
      <c r="O1340" s="1"/>
      <c r="P1340" s="1"/>
      <c r="Q1340" s="1"/>
      <c r="R1340" s="1"/>
      <c r="S1340" s="1"/>
      <c r="T1340" s="1"/>
      <c r="U1340" s="1"/>
      <c r="V1340" s="1"/>
      <c r="W1340" s="1"/>
      <c r="X1340" s="1"/>
      <c r="Y1340" s="1"/>
      <c r="Z1340" s="1"/>
      <c r="AA1340" s="1"/>
      <c r="AB1340" s="1"/>
      <c r="AC1340" s="1"/>
      <c r="AD1340" s="1"/>
      <c r="AE1340" s="1"/>
      <c r="AF1340" s="1"/>
      <c r="AG1340" s="1"/>
      <c r="AH1340" s="1"/>
    </row>
    <row r="1341" ht="12.75" hidden="1" customHeight="1" outlineLevel="1">
      <c r="A1341" s="17">
        <v>41229.0</v>
      </c>
      <c r="B1341" s="1"/>
      <c r="C1341" s="1" t="s">
        <v>435</v>
      </c>
      <c r="D1341" s="74"/>
      <c r="E1341" s="67"/>
      <c r="F1341" s="75"/>
      <c r="G1341" s="67"/>
      <c r="H1341" s="68"/>
      <c r="I1341" s="76"/>
      <c r="J1341" s="67"/>
      <c r="K1341" s="7" t="s">
        <v>745</v>
      </c>
      <c r="L1341" s="77"/>
      <c r="M1341" s="79"/>
      <c r="N1341" s="1"/>
      <c r="O1341" s="1"/>
      <c r="P1341" s="1"/>
      <c r="Q1341" s="1"/>
      <c r="R1341" s="1"/>
      <c r="S1341" s="1"/>
      <c r="T1341" s="1"/>
      <c r="U1341" s="1"/>
      <c r="V1341" s="1"/>
      <c r="W1341" s="1"/>
      <c r="X1341" s="1"/>
      <c r="Y1341" s="1"/>
      <c r="Z1341" s="1"/>
      <c r="AA1341" s="1"/>
      <c r="AB1341" s="1"/>
      <c r="AC1341" s="1"/>
      <c r="AD1341" s="1"/>
      <c r="AE1341" s="1"/>
      <c r="AF1341" s="1"/>
      <c r="AG1341" s="1"/>
      <c r="AH1341" s="1"/>
    </row>
    <row r="1342" ht="12.75" hidden="1" customHeight="1" outlineLevel="1">
      <c r="A1342" s="17">
        <v>41230.0</v>
      </c>
      <c r="B1342" s="1"/>
      <c r="C1342" s="1" t="s">
        <v>339</v>
      </c>
      <c r="D1342" s="74"/>
      <c r="E1342" s="67"/>
      <c r="F1342" s="75"/>
      <c r="G1342" s="67"/>
      <c r="H1342" s="68"/>
      <c r="I1342" s="76"/>
      <c r="J1342" s="67"/>
      <c r="K1342" s="7" t="s">
        <v>781</v>
      </c>
      <c r="L1342" s="77"/>
      <c r="M1342" s="79"/>
      <c r="N1342" s="1"/>
      <c r="O1342" s="1"/>
      <c r="P1342" s="1"/>
      <c r="Q1342" s="1"/>
      <c r="R1342" s="1"/>
      <c r="S1342" s="1"/>
      <c r="T1342" s="1"/>
      <c r="U1342" s="1"/>
      <c r="V1342" s="1"/>
      <c r="W1342" s="1"/>
      <c r="X1342" s="1"/>
      <c r="Y1342" s="1"/>
      <c r="Z1342" s="1"/>
      <c r="AA1342" s="1"/>
      <c r="AB1342" s="1"/>
      <c r="AC1342" s="1"/>
      <c r="AD1342" s="1"/>
      <c r="AE1342" s="1"/>
      <c r="AF1342" s="1"/>
      <c r="AG1342" s="1"/>
      <c r="AH1342" s="1"/>
    </row>
    <row r="1343" ht="12.75" hidden="1" customHeight="1" outlineLevel="1">
      <c r="A1343" s="17">
        <v>41230.0</v>
      </c>
      <c r="B1343" s="1"/>
      <c r="C1343" s="1" t="s">
        <v>429</v>
      </c>
      <c r="D1343" s="74"/>
      <c r="E1343" s="67"/>
      <c r="F1343" s="75"/>
      <c r="G1343" s="67"/>
      <c r="H1343" s="68"/>
      <c r="I1343" s="76"/>
      <c r="J1343" s="67"/>
      <c r="K1343" s="7" t="s">
        <v>679</v>
      </c>
      <c r="L1343" s="77"/>
      <c r="M1343" s="79"/>
      <c r="N1343" s="1"/>
      <c r="O1343" s="1"/>
      <c r="P1343" s="1"/>
      <c r="Q1343" s="1"/>
      <c r="R1343" s="1"/>
      <c r="S1343" s="1"/>
      <c r="T1343" s="1"/>
      <c r="U1343" s="1"/>
      <c r="V1343" s="1"/>
      <c r="W1343" s="1"/>
      <c r="X1343" s="1"/>
      <c r="Y1343" s="1"/>
      <c r="Z1343" s="1"/>
      <c r="AA1343" s="1"/>
      <c r="AB1343" s="1"/>
      <c r="AC1343" s="1"/>
      <c r="AD1343" s="1"/>
      <c r="AE1343" s="1"/>
      <c r="AF1343" s="1"/>
      <c r="AG1343" s="1"/>
      <c r="AH1343" s="1"/>
    </row>
    <row r="1344" ht="12.75" hidden="1" customHeight="1" outlineLevel="1">
      <c r="A1344" s="17">
        <v>41230.0</v>
      </c>
      <c r="B1344" s="1"/>
      <c r="C1344" s="1" t="s">
        <v>431</v>
      </c>
      <c r="D1344" s="74"/>
      <c r="E1344" s="67"/>
      <c r="F1344" s="75"/>
      <c r="G1344" s="67"/>
      <c r="H1344" s="68"/>
      <c r="I1344" s="76"/>
      <c r="J1344" s="67"/>
      <c r="K1344" s="7" t="s">
        <v>669</v>
      </c>
      <c r="L1344" s="77"/>
      <c r="M1344" s="79"/>
      <c r="N1344" s="1"/>
      <c r="O1344" s="1"/>
      <c r="P1344" s="1"/>
      <c r="Q1344" s="1"/>
      <c r="R1344" s="1"/>
      <c r="S1344" s="1"/>
      <c r="T1344" s="1"/>
      <c r="U1344" s="1"/>
      <c r="V1344" s="1"/>
      <c r="W1344" s="1"/>
      <c r="X1344" s="1"/>
      <c r="Y1344" s="1"/>
      <c r="Z1344" s="1"/>
      <c r="AA1344" s="1"/>
      <c r="AB1344" s="1"/>
      <c r="AC1344" s="1"/>
      <c r="AD1344" s="1"/>
      <c r="AE1344" s="1"/>
      <c r="AF1344" s="1"/>
      <c r="AG1344" s="1"/>
      <c r="AH1344" s="1"/>
    </row>
    <row r="1345" ht="12.75" hidden="1" customHeight="1" outlineLevel="1">
      <c r="A1345" s="17">
        <v>41230.0</v>
      </c>
      <c r="B1345" s="1"/>
      <c r="C1345" s="1" t="s">
        <v>433</v>
      </c>
      <c r="D1345" s="74"/>
      <c r="E1345" s="67"/>
      <c r="F1345" s="75"/>
      <c r="G1345" s="67"/>
      <c r="H1345" s="68"/>
      <c r="I1345" s="76"/>
      <c r="J1345" s="67"/>
      <c r="K1345" s="1" t="s">
        <v>434</v>
      </c>
      <c r="L1345" s="77"/>
      <c r="M1345" s="79"/>
      <c r="N1345" s="1"/>
      <c r="O1345" s="1"/>
      <c r="P1345" s="1"/>
      <c r="Q1345" s="1"/>
      <c r="R1345" s="1"/>
      <c r="S1345" s="1"/>
      <c r="T1345" s="1"/>
      <c r="U1345" s="1"/>
      <c r="V1345" s="1"/>
      <c r="W1345" s="1"/>
      <c r="X1345" s="1"/>
      <c r="Y1345" s="1"/>
      <c r="Z1345" s="1"/>
      <c r="AA1345" s="1"/>
      <c r="AB1345" s="1"/>
      <c r="AC1345" s="1"/>
      <c r="AD1345" s="1"/>
      <c r="AE1345" s="1"/>
      <c r="AF1345" s="1"/>
      <c r="AG1345" s="1"/>
      <c r="AH1345" s="1"/>
    </row>
    <row r="1346" ht="12.75" hidden="1" customHeight="1" outlineLevel="1">
      <c r="A1346" s="17">
        <v>41230.0</v>
      </c>
      <c r="B1346" s="1"/>
      <c r="C1346" s="1" t="s">
        <v>435</v>
      </c>
      <c r="D1346" s="74"/>
      <c r="E1346" s="67"/>
      <c r="F1346" s="75"/>
      <c r="G1346" s="67"/>
      <c r="H1346" s="68"/>
      <c r="I1346" s="76"/>
      <c r="J1346" s="67"/>
      <c r="K1346" s="7" t="s">
        <v>745</v>
      </c>
      <c r="L1346" s="77"/>
      <c r="M1346" s="79"/>
      <c r="N1346" s="1"/>
      <c r="O1346" s="1"/>
      <c r="P1346" s="1"/>
      <c r="Q1346" s="1"/>
      <c r="R1346" s="1"/>
      <c r="S1346" s="1"/>
      <c r="T1346" s="1"/>
      <c r="U1346" s="1"/>
      <c r="V1346" s="1"/>
      <c r="W1346" s="1"/>
      <c r="X1346" s="1"/>
      <c r="Y1346" s="1"/>
      <c r="Z1346" s="1"/>
      <c r="AA1346" s="1"/>
      <c r="AB1346" s="1"/>
      <c r="AC1346" s="1"/>
      <c r="AD1346" s="1"/>
      <c r="AE1346" s="1"/>
      <c r="AF1346" s="1"/>
      <c r="AG1346" s="1"/>
      <c r="AH1346" s="1"/>
    </row>
    <row r="1347" ht="12.75" hidden="1" customHeight="1" outlineLevel="1">
      <c r="A1347" s="17">
        <v>41232.0</v>
      </c>
      <c r="B1347" s="1" t="s">
        <v>343</v>
      </c>
      <c r="C1347" s="1" t="s">
        <v>680</v>
      </c>
      <c r="D1347" s="74">
        <v>300.0</v>
      </c>
      <c r="E1347" s="67">
        <v>24.159</v>
      </c>
      <c r="F1347" s="75">
        <v>0.4394097222222222</v>
      </c>
      <c r="G1347" s="67" t="s">
        <v>453</v>
      </c>
      <c r="H1347" s="68">
        <v>1.2</v>
      </c>
      <c r="I1347" s="76"/>
      <c r="J1347" s="67">
        <f t="shared" ref="J1347:J1357" si="94">IF(B1347="SLD",D1347*E1347,-D1347*E1347)-H1347</f>
        <v>-7248.9</v>
      </c>
      <c r="K1347" s="7"/>
      <c r="L1347" s="70"/>
      <c r="M1347" s="79"/>
      <c r="N1347" s="1"/>
      <c r="O1347" s="1"/>
      <c r="P1347" s="1"/>
      <c r="Q1347" s="1"/>
      <c r="R1347" s="1"/>
      <c r="S1347" s="1"/>
      <c r="T1347" s="1"/>
      <c r="U1347" s="1"/>
      <c r="V1347" s="1"/>
      <c r="W1347" s="1"/>
      <c r="X1347" s="1"/>
      <c r="Y1347" s="1"/>
      <c r="Z1347" s="1"/>
      <c r="AA1347" s="1"/>
      <c r="AB1347" s="1"/>
      <c r="AC1347" s="1"/>
      <c r="AD1347" s="1"/>
      <c r="AE1347" s="1"/>
      <c r="AF1347" s="1"/>
      <c r="AG1347" s="1"/>
      <c r="AH1347" s="1"/>
    </row>
    <row r="1348" ht="12.75" hidden="1" customHeight="1" outlineLevel="1">
      <c r="A1348" s="17">
        <v>41232.0</v>
      </c>
      <c r="B1348" s="1" t="s">
        <v>343</v>
      </c>
      <c r="C1348" s="1" t="s">
        <v>757</v>
      </c>
      <c r="D1348" s="74">
        <v>200.0</v>
      </c>
      <c r="E1348" s="67">
        <v>54.1</v>
      </c>
      <c r="F1348" s="75">
        <v>0.4398148148148148</v>
      </c>
      <c r="G1348" s="67" t="s">
        <v>453</v>
      </c>
      <c r="H1348" s="68">
        <v>1.0</v>
      </c>
      <c r="I1348" s="76"/>
      <c r="J1348" s="67">
        <f t="shared" si="94"/>
        <v>-10821</v>
      </c>
      <c r="K1348" s="7"/>
      <c r="L1348" s="70"/>
      <c r="M1348" s="79"/>
      <c r="N1348" s="1"/>
      <c r="O1348" s="1"/>
      <c r="P1348" s="1"/>
      <c r="Q1348" s="1"/>
      <c r="R1348" s="1"/>
      <c r="S1348" s="1"/>
      <c r="T1348" s="1"/>
      <c r="U1348" s="1"/>
      <c r="V1348" s="1"/>
      <c r="W1348" s="1"/>
      <c r="X1348" s="1"/>
      <c r="Y1348" s="1"/>
      <c r="Z1348" s="1"/>
      <c r="AA1348" s="1"/>
      <c r="AB1348" s="1"/>
      <c r="AC1348" s="1"/>
      <c r="AD1348" s="1"/>
      <c r="AE1348" s="1"/>
      <c r="AF1348" s="1"/>
      <c r="AG1348" s="1"/>
      <c r="AH1348" s="1"/>
    </row>
    <row r="1349" ht="12.75" hidden="1" customHeight="1" outlineLevel="1">
      <c r="A1349" s="17">
        <v>41232.0</v>
      </c>
      <c r="B1349" s="1" t="s">
        <v>343</v>
      </c>
      <c r="C1349" s="1" t="s">
        <v>734</v>
      </c>
      <c r="D1349" s="74">
        <v>300.0</v>
      </c>
      <c r="E1349" s="67">
        <v>19.167</v>
      </c>
      <c r="F1349" s="75">
        <v>0.46327546296296296</v>
      </c>
      <c r="G1349" s="67" t="s">
        <v>453</v>
      </c>
      <c r="H1349" s="68">
        <v>1.2</v>
      </c>
      <c r="I1349" s="76"/>
      <c r="J1349" s="67">
        <f t="shared" si="94"/>
        <v>-5751.3</v>
      </c>
      <c r="K1349" s="7"/>
      <c r="L1349" s="70"/>
      <c r="M1349" s="79"/>
      <c r="N1349" s="1"/>
      <c r="O1349" s="1"/>
      <c r="P1349" s="1"/>
      <c r="Q1349" s="1"/>
      <c r="R1349" s="1"/>
      <c r="S1349" s="1"/>
      <c r="T1349" s="1"/>
      <c r="U1349" s="1"/>
      <c r="V1349" s="1"/>
      <c r="W1349" s="1"/>
      <c r="X1349" s="1"/>
      <c r="Y1349" s="1"/>
      <c r="Z1349" s="1"/>
      <c r="AA1349" s="1"/>
      <c r="AB1349" s="1"/>
      <c r="AC1349" s="1"/>
      <c r="AD1349" s="1"/>
      <c r="AE1349" s="1"/>
      <c r="AF1349" s="1"/>
      <c r="AG1349" s="1"/>
      <c r="AH1349" s="1"/>
    </row>
    <row r="1350" ht="12.75" hidden="1" customHeight="1" outlineLevel="1">
      <c r="A1350" s="17">
        <v>41232.0</v>
      </c>
      <c r="B1350" s="1" t="s">
        <v>347</v>
      </c>
      <c r="C1350" s="1" t="s">
        <v>369</v>
      </c>
      <c r="D1350" s="74">
        <v>150.0</v>
      </c>
      <c r="E1350" s="67">
        <v>35.64</v>
      </c>
      <c r="F1350" s="75">
        <v>0.46890046296296295</v>
      </c>
      <c r="G1350" s="67" t="s">
        <v>453</v>
      </c>
      <c r="H1350" s="68">
        <v>1.0</v>
      </c>
      <c r="I1350" s="76"/>
      <c r="J1350" s="67">
        <f t="shared" si="94"/>
        <v>5345</v>
      </c>
      <c r="K1350" s="7"/>
      <c r="L1350" s="70"/>
      <c r="M1350" s="79"/>
      <c r="N1350" s="1"/>
      <c r="O1350" s="1"/>
      <c r="P1350" s="1"/>
      <c r="Q1350" s="1"/>
      <c r="R1350" s="1"/>
      <c r="S1350" s="1"/>
      <c r="T1350" s="1"/>
      <c r="U1350" s="1"/>
      <c r="V1350" s="1"/>
      <c r="W1350" s="1"/>
      <c r="X1350" s="1"/>
      <c r="Y1350" s="1"/>
      <c r="Z1350" s="1"/>
      <c r="AA1350" s="1"/>
      <c r="AB1350" s="1"/>
      <c r="AC1350" s="1"/>
      <c r="AD1350" s="1"/>
      <c r="AE1350" s="1"/>
      <c r="AF1350" s="1"/>
      <c r="AG1350" s="1"/>
      <c r="AH1350" s="1"/>
    </row>
    <row r="1351" ht="12.75" hidden="1" customHeight="1" outlineLevel="1">
      <c r="A1351" s="17">
        <v>41232.0</v>
      </c>
      <c r="B1351" s="1" t="s">
        <v>347</v>
      </c>
      <c r="C1351" s="1" t="s">
        <v>691</v>
      </c>
      <c r="D1351" s="74">
        <v>300.0</v>
      </c>
      <c r="E1351" s="67">
        <v>28.02</v>
      </c>
      <c r="F1351" s="75">
        <v>0.47304398148148147</v>
      </c>
      <c r="G1351" s="67" t="s">
        <v>453</v>
      </c>
      <c r="H1351" s="68">
        <v>1.3</v>
      </c>
      <c r="I1351" s="76"/>
      <c r="J1351" s="67">
        <f t="shared" si="94"/>
        <v>8404.7</v>
      </c>
      <c r="K1351" s="7"/>
      <c r="L1351" s="70"/>
      <c r="M1351" s="79"/>
      <c r="N1351" s="1"/>
      <c r="O1351" s="1"/>
      <c r="P1351" s="1"/>
      <c r="Q1351" s="1"/>
      <c r="R1351" s="1"/>
      <c r="S1351" s="1"/>
      <c r="T1351" s="1"/>
      <c r="U1351" s="1"/>
      <c r="V1351" s="1"/>
      <c r="W1351" s="1"/>
      <c r="X1351" s="1"/>
      <c r="Y1351" s="1"/>
      <c r="Z1351" s="1"/>
      <c r="AA1351" s="1"/>
      <c r="AB1351" s="1"/>
      <c r="AC1351" s="1"/>
      <c r="AD1351" s="1"/>
      <c r="AE1351" s="1"/>
      <c r="AF1351" s="1"/>
      <c r="AG1351" s="1"/>
      <c r="AH1351" s="1"/>
    </row>
    <row r="1352" ht="12.75" hidden="1" customHeight="1" outlineLevel="1">
      <c r="A1352" s="17">
        <v>41232.0</v>
      </c>
      <c r="B1352" s="1" t="s">
        <v>343</v>
      </c>
      <c r="C1352" s="1" t="s">
        <v>344</v>
      </c>
      <c r="D1352" s="74">
        <v>200.0</v>
      </c>
      <c r="E1352" s="67">
        <v>32.53</v>
      </c>
      <c r="F1352" s="75">
        <v>0.4877314814814815</v>
      </c>
      <c r="G1352" s="67" t="s">
        <v>453</v>
      </c>
      <c r="H1352" s="68">
        <v>1.0</v>
      </c>
      <c r="I1352" s="76"/>
      <c r="J1352" s="67">
        <f t="shared" si="94"/>
        <v>-6507</v>
      </c>
      <c r="K1352" s="7"/>
      <c r="L1352" s="70"/>
      <c r="M1352" s="79"/>
      <c r="N1352" s="1"/>
      <c r="O1352" s="1"/>
      <c r="P1352" s="1"/>
      <c r="Q1352" s="1"/>
      <c r="R1352" s="1"/>
      <c r="S1352" s="1"/>
      <c r="T1352" s="1"/>
      <c r="U1352" s="1"/>
      <c r="V1352" s="1"/>
      <c r="W1352" s="1"/>
      <c r="X1352" s="1"/>
      <c r="Y1352" s="1"/>
      <c r="Z1352" s="1"/>
      <c r="AA1352" s="1"/>
      <c r="AB1352" s="1"/>
      <c r="AC1352" s="1"/>
      <c r="AD1352" s="1"/>
      <c r="AE1352" s="1"/>
      <c r="AF1352" s="1"/>
      <c r="AG1352" s="1"/>
      <c r="AH1352" s="1"/>
    </row>
    <row r="1353" ht="12.75" hidden="1" customHeight="1" outlineLevel="1">
      <c r="A1353" s="17">
        <v>41232.0</v>
      </c>
      <c r="B1353" s="1" t="s">
        <v>343</v>
      </c>
      <c r="C1353" s="1" t="s">
        <v>354</v>
      </c>
      <c r="D1353" s="74">
        <v>50.0</v>
      </c>
      <c r="E1353" s="67">
        <v>106.34</v>
      </c>
      <c r="F1353" s="75">
        <v>0.488125</v>
      </c>
      <c r="G1353" s="67" t="s">
        <v>453</v>
      </c>
      <c r="H1353" s="68">
        <v>1.0</v>
      </c>
      <c r="I1353" s="76"/>
      <c r="J1353" s="67">
        <f t="shared" si="94"/>
        <v>-5318</v>
      </c>
      <c r="K1353" s="7"/>
      <c r="L1353" s="70"/>
      <c r="M1353" s="79"/>
      <c r="N1353" s="1"/>
      <c r="O1353" s="1"/>
      <c r="P1353" s="1"/>
      <c r="Q1353" s="1"/>
      <c r="R1353" s="1"/>
      <c r="S1353" s="1"/>
      <c r="T1353" s="1"/>
      <c r="U1353" s="1"/>
      <c r="V1353" s="1"/>
      <c r="W1353" s="1"/>
      <c r="X1353" s="1"/>
      <c r="Y1353" s="1"/>
      <c r="Z1353" s="1"/>
      <c r="AA1353" s="1"/>
      <c r="AB1353" s="1"/>
      <c r="AC1353" s="1"/>
      <c r="AD1353" s="1"/>
      <c r="AE1353" s="1"/>
      <c r="AF1353" s="1"/>
      <c r="AG1353" s="1"/>
      <c r="AH1353" s="1"/>
    </row>
    <row r="1354" ht="12.75" hidden="1" customHeight="1" outlineLevel="1">
      <c r="A1354" s="17">
        <v>41232.0</v>
      </c>
      <c r="B1354" s="1" t="s">
        <v>347</v>
      </c>
      <c r="C1354" s="1" t="s">
        <v>381</v>
      </c>
      <c r="D1354" s="74">
        <v>400.0</v>
      </c>
      <c r="E1354" s="67">
        <v>23.51</v>
      </c>
      <c r="F1354" s="75">
        <v>0.5287731481481481</v>
      </c>
      <c r="G1354" s="67" t="s">
        <v>453</v>
      </c>
      <c r="H1354" s="68">
        <v>2.0</v>
      </c>
      <c r="I1354" s="76"/>
      <c r="J1354" s="67">
        <f t="shared" si="94"/>
        <v>9402</v>
      </c>
      <c r="K1354" s="7"/>
      <c r="L1354" s="70"/>
      <c r="M1354" s="79"/>
      <c r="N1354" s="1"/>
      <c r="O1354" s="1"/>
      <c r="P1354" s="1"/>
      <c r="Q1354" s="1"/>
      <c r="R1354" s="1"/>
      <c r="S1354" s="1"/>
      <c r="T1354" s="1"/>
      <c r="U1354" s="1"/>
      <c r="V1354" s="1"/>
      <c r="W1354" s="1"/>
      <c r="X1354" s="1"/>
      <c r="Y1354" s="1"/>
      <c r="Z1354" s="1"/>
      <c r="AA1354" s="1"/>
      <c r="AB1354" s="1"/>
      <c r="AC1354" s="1"/>
      <c r="AD1354" s="1"/>
      <c r="AE1354" s="1"/>
      <c r="AF1354" s="1"/>
      <c r="AG1354" s="1"/>
      <c r="AH1354" s="1"/>
    </row>
    <row r="1355" ht="12.75" hidden="1" customHeight="1" outlineLevel="1">
      <c r="A1355" s="17">
        <v>41232.0</v>
      </c>
      <c r="B1355" s="1" t="s">
        <v>343</v>
      </c>
      <c r="C1355" s="1" t="s">
        <v>346</v>
      </c>
      <c r="D1355" s="74">
        <v>20.0</v>
      </c>
      <c r="E1355" s="67">
        <v>554.57</v>
      </c>
      <c r="F1355" s="75">
        <v>0.5411342592592593</v>
      </c>
      <c r="G1355" s="67" t="s">
        <v>453</v>
      </c>
      <c r="H1355" s="68">
        <v>1.0</v>
      </c>
      <c r="I1355" s="76"/>
      <c r="J1355" s="67">
        <f t="shared" si="94"/>
        <v>-11092.4</v>
      </c>
      <c r="K1355" s="7"/>
      <c r="L1355" s="70"/>
      <c r="M1355" s="79"/>
      <c r="N1355" s="1"/>
      <c r="O1355" s="1"/>
      <c r="P1355" s="1"/>
      <c r="Q1355" s="1"/>
      <c r="R1355" s="1"/>
      <c r="S1355" s="1"/>
      <c r="T1355" s="1"/>
      <c r="U1355" s="1"/>
      <c r="V1355" s="1"/>
      <c r="W1355" s="1"/>
      <c r="X1355" s="1"/>
      <c r="Y1355" s="1"/>
      <c r="Z1355" s="1"/>
      <c r="AA1355" s="1"/>
      <c r="AB1355" s="1"/>
      <c r="AC1355" s="1"/>
      <c r="AD1355" s="1"/>
      <c r="AE1355" s="1"/>
      <c r="AF1355" s="1"/>
      <c r="AG1355" s="1"/>
      <c r="AH1355" s="1"/>
    </row>
    <row r="1356" ht="12.75" hidden="1" customHeight="1" outlineLevel="1">
      <c r="A1356" s="17">
        <v>41232.0</v>
      </c>
      <c r="B1356" s="1" t="s">
        <v>347</v>
      </c>
      <c r="C1356" s="1" t="s">
        <v>355</v>
      </c>
      <c r="D1356" s="74">
        <v>200.0</v>
      </c>
      <c r="E1356" s="67">
        <v>29.51</v>
      </c>
      <c r="F1356" s="75">
        <v>0.5436689814814815</v>
      </c>
      <c r="G1356" s="67" t="s">
        <v>453</v>
      </c>
      <c r="H1356" s="68">
        <v>1.0</v>
      </c>
      <c r="I1356" s="76"/>
      <c r="J1356" s="67">
        <f t="shared" si="94"/>
        <v>5901</v>
      </c>
      <c r="K1356" s="7"/>
      <c r="L1356" s="70"/>
      <c r="M1356" s="79"/>
      <c r="N1356" s="1"/>
      <c r="O1356" s="1"/>
      <c r="P1356" s="1"/>
      <c r="Q1356" s="1"/>
      <c r="R1356" s="1"/>
      <c r="S1356" s="1"/>
      <c r="T1356" s="1"/>
      <c r="U1356" s="1"/>
      <c r="V1356" s="1"/>
      <c r="W1356" s="1"/>
      <c r="X1356" s="1"/>
      <c r="Y1356" s="1"/>
      <c r="Z1356" s="1"/>
      <c r="AA1356" s="1"/>
      <c r="AB1356" s="1"/>
      <c r="AC1356" s="1"/>
      <c r="AD1356" s="1"/>
      <c r="AE1356" s="1"/>
      <c r="AF1356" s="1"/>
      <c r="AG1356" s="1"/>
      <c r="AH1356" s="1"/>
    </row>
    <row r="1357" ht="12.75" hidden="1" customHeight="1" outlineLevel="1">
      <c r="A1357" s="17">
        <v>41232.0</v>
      </c>
      <c r="B1357" s="1" t="s">
        <v>347</v>
      </c>
      <c r="C1357" s="1" t="s">
        <v>784</v>
      </c>
      <c r="D1357" s="74">
        <v>400.0</v>
      </c>
      <c r="E1357" s="67">
        <v>17.36</v>
      </c>
      <c r="F1357" s="75">
        <v>0.5762152777777778</v>
      </c>
      <c r="G1357" s="67" t="s">
        <v>453</v>
      </c>
      <c r="H1357" s="68">
        <v>2.0</v>
      </c>
      <c r="I1357" s="76"/>
      <c r="J1357" s="67">
        <f t="shared" si="94"/>
        <v>6942</v>
      </c>
      <c r="K1357" s="7"/>
      <c r="L1357" s="70"/>
      <c r="M1357" s="79"/>
      <c r="N1357" s="1"/>
      <c r="O1357" s="1"/>
      <c r="P1357" s="1"/>
      <c r="Q1357" s="1"/>
      <c r="R1357" s="1"/>
      <c r="S1357" s="1"/>
      <c r="T1357" s="1"/>
      <c r="U1357" s="1"/>
      <c r="V1357" s="1"/>
      <c r="W1357" s="1"/>
      <c r="X1357" s="1"/>
      <c r="Y1357" s="1"/>
      <c r="Z1357" s="1"/>
      <c r="AA1357" s="1"/>
      <c r="AB1357" s="1"/>
      <c r="AC1357" s="1"/>
      <c r="AD1357" s="1"/>
      <c r="AE1357" s="1"/>
      <c r="AF1357" s="1"/>
      <c r="AG1357" s="1"/>
      <c r="AH1357" s="1"/>
    </row>
    <row r="1358" ht="12.75" hidden="1" customHeight="1" outlineLevel="1">
      <c r="A1358" s="17">
        <v>41232.0</v>
      </c>
      <c r="B1358" s="1"/>
      <c r="C1358" s="1" t="s">
        <v>339</v>
      </c>
      <c r="D1358" s="74"/>
      <c r="E1358" s="67"/>
      <c r="F1358" s="75"/>
      <c r="G1358" s="67"/>
      <c r="H1358" s="68"/>
      <c r="I1358" s="76"/>
      <c r="J1358" s="67"/>
      <c r="K1358" s="7" t="s">
        <v>785</v>
      </c>
      <c r="L1358" s="79"/>
      <c r="M1358" s="79"/>
      <c r="N1358" s="1"/>
      <c r="O1358" s="1"/>
      <c r="P1358" s="1"/>
      <c r="Q1358" s="1"/>
      <c r="R1358" s="1"/>
      <c r="S1358" s="1"/>
      <c r="T1358" s="1"/>
      <c r="U1358" s="1"/>
      <c r="V1358" s="1"/>
      <c r="W1358" s="1"/>
      <c r="X1358" s="1"/>
      <c r="Y1358" s="1"/>
      <c r="Z1358" s="1"/>
      <c r="AA1358" s="1"/>
      <c r="AB1358" s="1"/>
      <c r="AC1358" s="1"/>
      <c r="AD1358" s="1"/>
      <c r="AE1358" s="1"/>
      <c r="AF1358" s="1"/>
      <c r="AG1358" s="1"/>
      <c r="AH1358" s="1"/>
    </row>
    <row r="1359" ht="12.75" hidden="1" customHeight="1" outlineLevel="1">
      <c r="A1359" s="17">
        <v>41232.0</v>
      </c>
      <c r="B1359" s="1"/>
      <c r="C1359" s="1" t="s">
        <v>429</v>
      </c>
      <c r="D1359" s="74"/>
      <c r="E1359" s="67"/>
      <c r="F1359" s="75"/>
      <c r="G1359" s="67"/>
      <c r="H1359" s="68"/>
      <c r="I1359" s="76"/>
      <c r="J1359" s="67"/>
      <c r="K1359" s="7" t="s">
        <v>679</v>
      </c>
      <c r="L1359" s="79"/>
      <c r="M1359" s="79"/>
      <c r="N1359" s="1"/>
      <c r="O1359" s="1"/>
      <c r="P1359" s="1"/>
      <c r="Q1359" s="1"/>
      <c r="R1359" s="1"/>
      <c r="S1359" s="1"/>
      <c r="T1359" s="1"/>
      <c r="U1359" s="1"/>
      <c r="V1359" s="1"/>
      <c r="W1359" s="1"/>
      <c r="X1359" s="1"/>
      <c r="Y1359" s="1"/>
      <c r="Z1359" s="1"/>
      <c r="AA1359" s="1"/>
      <c r="AB1359" s="1"/>
      <c r="AC1359" s="1"/>
      <c r="AD1359" s="1"/>
      <c r="AE1359" s="1"/>
      <c r="AF1359" s="1"/>
      <c r="AG1359" s="1"/>
      <c r="AH1359" s="1"/>
    </row>
    <row r="1360" ht="12.75" hidden="1" customHeight="1" outlineLevel="1">
      <c r="A1360" s="17">
        <v>41232.0</v>
      </c>
      <c r="B1360" s="1"/>
      <c r="C1360" s="1" t="s">
        <v>431</v>
      </c>
      <c r="D1360" s="74"/>
      <c r="E1360" s="67"/>
      <c r="F1360" s="75"/>
      <c r="G1360" s="67"/>
      <c r="H1360" s="68"/>
      <c r="I1360" s="76"/>
      <c r="J1360" s="67"/>
      <c r="K1360" s="7" t="s">
        <v>669</v>
      </c>
      <c r="L1360" s="79"/>
      <c r="M1360" s="79"/>
      <c r="N1360" s="1"/>
      <c r="O1360" s="1"/>
      <c r="P1360" s="1"/>
      <c r="Q1360" s="1"/>
      <c r="R1360" s="1"/>
      <c r="S1360" s="1"/>
      <c r="T1360" s="1"/>
      <c r="U1360" s="1"/>
      <c r="V1360" s="1"/>
      <c r="W1360" s="1"/>
      <c r="X1360" s="1"/>
      <c r="Y1360" s="1"/>
      <c r="Z1360" s="1"/>
      <c r="AA1360" s="1"/>
      <c r="AB1360" s="1"/>
      <c r="AC1360" s="1"/>
      <c r="AD1360" s="1"/>
      <c r="AE1360" s="1"/>
      <c r="AF1360" s="1"/>
      <c r="AG1360" s="1"/>
      <c r="AH1360" s="1"/>
    </row>
    <row r="1361" ht="12.75" hidden="1" customHeight="1" outlineLevel="1">
      <c r="A1361" s="17">
        <v>41232.0</v>
      </c>
      <c r="B1361" s="1"/>
      <c r="C1361" s="1" t="s">
        <v>433</v>
      </c>
      <c r="D1361" s="74"/>
      <c r="E1361" s="67"/>
      <c r="F1361" s="75"/>
      <c r="G1361" s="67"/>
      <c r="H1361" s="68"/>
      <c r="I1361" s="76"/>
      <c r="J1361" s="67"/>
      <c r="K1361" s="1" t="s">
        <v>434</v>
      </c>
      <c r="L1361" s="79"/>
      <c r="M1361" s="79"/>
      <c r="N1361" s="1"/>
      <c r="O1361" s="1"/>
      <c r="P1361" s="1"/>
      <c r="Q1361" s="1"/>
      <c r="R1361" s="1"/>
      <c r="S1361" s="1"/>
      <c r="T1361" s="1"/>
      <c r="U1361" s="1"/>
      <c r="V1361" s="1"/>
      <c r="W1361" s="1"/>
      <c r="X1361" s="1"/>
      <c r="Y1361" s="1"/>
      <c r="Z1361" s="1"/>
      <c r="AA1361" s="1"/>
      <c r="AB1361" s="1"/>
      <c r="AC1361" s="1"/>
      <c r="AD1361" s="1"/>
      <c r="AE1361" s="1"/>
      <c r="AF1361" s="1"/>
      <c r="AG1361" s="1"/>
      <c r="AH1361" s="1"/>
    </row>
    <row r="1362" ht="12.75" hidden="1" customHeight="1" outlineLevel="1">
      <c r="A1362" s="17">
        <v>41232.0</v>
      </c>
      <c r="B1362" s="1"/>
      <c r="C1362" s="1" t="s">
        <v>435</v>
      </c>
      <c r="D1362" s="74"/>
      <c r="E1362" s="67"/>
      <c r="F1362" s="75"/>
      <c r="G1362" s="67"/>
      <c r="H1362" s="68"/>
      <c r="I1362" s="76"/>
      <c r="J1362" s="67"/>
      <c r="K1362" s="7" t="s">
        <v>745</v>
      </c>
      <c r="L1362" s="77"/>
      <c r="M1362" s="79"/>
      <c r="N1362" s="1"/>
      <c r="O1362" s="1"/>
      <c r="P1362" s="1"/>
      <c r="Q1362" s="1"/>
      <c r="R1362" s="1"/>
      <c r="S1362" s="1"/>
      <c r="T1362" s="1"/>
      <c r="U1362" s="1"/>
      <c r="V1362" s="1"/>
      <c r="W1362" s="1"/>
      <c r="X1362" s="1"/>
      <c r="Y1362" s="1"/>
      <c r="Z1362" s="1"/>
      <c r="AA1362" s="1"/>
      <c r="AB1362" s="1"/>
      <c r="AC1362" s="1"/>
      <c r="AD1362" s="1"/>
      <c r="AE1362" s="1"/>
      <c r="AF1362" s="1"/>
      <c r="AG1362" s="1"/>
      <c r="AH1362" s="1"/>
    </row>
    <row r="1363" ht="12.75" hidden="1" customHeight="1" outlineLevel="1">
      <c r="A1363" s="17">
        <v>41233.0</v>
      </c>
      <c r="B1363" s="1" t="s">
        <v>347</v>
      </c>
      <c r="C1363" s="1" t="s">
        <v>346</v>
      </c>
      <c r="D1363" s="74">
        <v>20.0</v>
      </c>
      <c r="E1363" s="67">
        <v>555.52</v>
      </c>
      <c r="F1363" s="75">
        <v>0.5630671296296296</v>
      </c>
      <c r="G1363" s="67" t="s">
        <v>453</v>
      </c>
      <c r="H1363" s="68">
        <v>1.0</v>
      </c>
      <c r="I1363" s="76"/>
      <c r="J1363" s="67">
        <f t="shared" ref="J1363:J1366" si="95">IF(B1363="SLD",D1363*E1363,-D1363*E1363)-H1363</f>
        <v>11109.4</v>
      </c>
      <c r="K1363" s="7"/>
      <c r="L1363" s="70"/>
      <c r="M1363" s="79"/>
      <c r="N1363" s="1"/>
      <c r="O1363" s="1"/>
      <c r="P1363" s="1"/>
      <c r="Q1363" s="1"/>
      <c r="R1363" s="1"/>
      <c r="S1363" s="1"/>
      <c r="T1363" s="1"/>
      <c r="U1363" s="1"/>
      <c r="V1363" s="1"/>
      <c r="W1363" s="1"/>
      <c r="X1363" s="1"/>
      <c r="Y1363" s="1"/>
      <c r="Z1363" s="1"/>
      <c r="AA1363" s="1"/>
      <c r="AB1363" s="1"/>
      <c r="AC1363" s="1"/>
      <c r="AD1363" s="1"/>
      <c r="AE1363" s="1"/>
      <c r="AF1363" s="1"/>
      <c r="AG1363" s="1"/>
      <c r="AH1363" s="1"/>
    </row>
    <row r="1364" ht="12.75" hidden="1" customHeight="1" outlineLevel="1">
      <c r="A1364" s="17">
        <v>41233.0</v>
      </c>
      <c r="B1364" s="1" t="s">
        <v>347</v>
      </c>
      <c r="C1364" s="1" t="s">
        <v>786</v>
      </c>
      <c r="D1364" s="74">
        <v>400.0</v>
      </c>
      <c r="E1364" s="67">
        <v>14.67</v>
      </c>
      <c r="F1364" s="75">
        <v>0.5888078703703704</v>
      </c>
      <c r="G1364" s="67" t="s">
        <v>453</v>
      </c>
      <c r="H1364" s="68">
        <v>2.0</v>
      </c>
      <c r="I1364" s="76"/>
      <c r="J1364" s="67">
        <f t="shared" si="95"/>
        <v>5866</v>
      </c>
      <c r="K1364" s="7"/>
      <c r="L1364" s="70"/>
      <c r="M1364" s="79"/>
      <c r="N1364" s="1"/>
      <c r="O1364" s="1"/>
      <c r="P1364" s="1"/>
      <c r="Q1364" s="1"/>
      <c r="R1364" s="1"/>
      <c r="S1364" s="1"/>
      <c r="T1364" s="1"/>
      <c r="U1364" s="1"/>
      <c r="V1364" s="1"/>
      <c r="W1364" s="1"/>
      <c r="X1364" s="1"/>
      <c r="Y1364" s="1"/>
      <c r="Z1364" s="1"/>
      <c r="AA1364" s="1"/>
      <c r="AB1364" s="1"/>
      <c r="AC1364" s="1"/>
      <c r="AD1364" s="1"/>
      <c r="AE1364" s="1"/>
      <c r="AF1364" s="1"/>
      <c r="AG1364" s="1"/>
      <c r="AH1364" s="1"/>
    </row>
    <row r="1365" ht="12.75" hidden="1" customHeight="1" outlineLevel="1">
      <c r="A1365" s="17">
        <v>41233.0</v>
      </c>
      <c r="B1365" s="1" t="s">
        <v>347</v>
      </c>
      <c r="C1365" s="1" t="s">
        <v>786</v>
      </c>
      <c r="D1365" s="74">
        <v>200.0</v>
      </c>
      <c r="E1365" s="67">
        <v>14.62</v>
      </c>
      <c r="F1365" s="75">
        <v>0.6008101851851851</v>
      </c>
      <c r="G1365" s="67" t="s">
        <v>453</v>
      </c>
      <c r="H1365" s="68">
        <v>1.0</v>
      </c>
      <c r="I1365" s="76"/>
      <c r="J1365" s="67">
        <f t="shared" si="95"/>
        <v>2923</v>
      </c>
      <c r="K1365" s="7"/>
      <c r="L1365" s="70"/>
      <c r="M1365" s="79"/>
      <c r="N1365" s="1"/>
      <c r="O1365" s="1"/>
      <c r="P1365" s="1"/>
      <c r="Q1365" s="1"/>
      <c r="R1365" s="1"/>
      <c r="S1365" s="1"/>
      <c r="T1365" s="1"/>
      <c r="U1365" s="1"/>
      <c r="V1365" s="1"/>
      <c r="W1365" s="1"/>
      <c r="X1365" s="1"/>
      <c r="Y1365" s="1"/>
      <c r="Z1365" s="1"/>
      <c r="AA1365" s="1"/>
      <c r="AB1365" s="1"/>
      <c r="AC1365" s="1"/>
      <c r="AD1365" s="1"/>
      <c r="AE1365" s="1"/>
      <c r="AF1365" s="1"/>
      <c r="AG1365" s="1"/>
      <c r="AH1365" s="1"/>
    </row>
    <row r="1366" ht="12.75" hidden="1" customHeight="1" outlineLevel="1">
      <c r="A1366" s="17">
        <v>41233.0</v>
      </c>
      <c r="B1366" s="1" t="s">
        <v>343</v>
      </c>
      <c r="C1366" s="1" t="s">
        <v>381</v>
      </c>
      <c r="D1366" s="74">
        <v>400.0</v>
      </c>
      <c r="E1366" s="67">
        <v>23.13</v>
      </c>
      <c r="F1366" s="75">
        <v>0.6321180555555556</v>
      </c>
      <c r="G1366" s="67" t="s">
        <v>453</v>
      </c>
      <c r="H1366" s="68">
        <v>2.0</v>
      </c>
      <c r="I1366" s="76"/>
      <c r="J1366" s="67">
        <f t="shared" si="95"/>
        <v>-9254</v>
      </c>
      <c r="K1366" s="7"/>
      <c r="L1366" s="70"/>
      <c r="M1366" s="79"/>
      <c r="N1366" s="1"/>
      <c r="O1366" s="1"/>
      <c r="P1366" s="1"/>
      <c r="Q1366" s="1"/>
      <c r="R1366" s="1"/>
      <c r="S1366" s="1"/>
      <c r="T1366" s="1"/>
      <c r="U1366" s="1"/>
      <c r="V1366" s="1"/>
      <c r="W1366" s="1"/>
      <c r="X1366" s="1"/>
      <c r="Y1366" s="1"/>
      <c r="Z1366" s="1"/>
      <c r="AA1366" s="1"/>
      <c r="AB1366" s="1"/>
      <c r="AC1366" s="1"/>
      <c r="AD1366" s="1"/>
      <c r="AE1366" s="1"/>
      <c r="AF1366" s="1"/>
      <c r="AG1366" s="1"/>
      <c r="AH1366" s="1"/>
    </row>
    <row r="1367" ht="12.75" hidden="1" customHeight="1" outlineLevel="1">
      <c r="A1367" s="17">
        <v>41233.0</v>
      </c>
      <c r="B1367" s="1"/>
      <c r="C1367" s="1" t="s">
        <v>339</v>
      </c>
      <c r="D1367" s="74"/>
      <c r="E1367" s="67"/>
      <c r="F1367" s="75"/>
      <c r="G1367" s="67"/>
      <c r="H1367" s="68"/>
      <c r="I1367" s="76"/>
      <c r="J1367" s="67"/>
      <c r="K1367" s="7" t="s">
        <v>788</v>
      </c>
      <c r="L1367" s="77"/>
      <c r="M1367" s="79"/>
      <c r="N1367" s="1"/>
      <c r="O1367" s="1"/>
      <c r="P1367" s="1"/>
      <c r="Q1367" s="1"/>
      <c r="R1367" s="1"/>
      <c r="S1367" s="1"/>
      <c r="T1367" s="1"/>
      <c r="U1367" s="1"/>
      <c r="V1367" s="1"/>
      <c r="W1367" s="1"/>
      <c r="X1367" s="1"/>
      <c r="Y1367" s="1"/>
      <c r="Z1367" s="1"/>
      <c r="AA1367" s="1"/>
      <c r="AB1367" s="1"/>
      <c r="AC1367" s="1"/>
      <c r="AD1367" s="1"/>
      <c r="AE1367" s="1"/>
      <c r="AF1367" s="1"/>
      <c r="AG1367" s="1"/>
      <c r="AH1367" s="1"/>
    </row>
    <row r="1368" ht="12.75" hidden="1" customHeight="1" outlineLevel="1">
      <c r="A1368" s="17">
        <v>41233.0</v>
      </c>
      <c r="B1368" s="1"/>
      <c r="C1368" s="1" t="s">
        <v>429</v>
      </c>
      <c r="D1368" s="74"/>
      <c r="E1368" s="67"/>
      <c r="F1368" s="75"/>
      <c r="G1368" s="67"/>
      <c r="H1368" s="68"/>
      <c r="I1368" s="76"/>
      <c r="J1368" s="67"/>
      <c r="K1368" s="7" t="s">
        <v>679</v>
      </c>
      <c r="L1368" s="77"/>
      <c r="M1368" s="79"/>
      <c r="N1368" s="1"/>
      <c r="O1368" s="1"/>
      <c r="P1368" s="1"/>
      <c r="Q1368" s="1"/>
      <c r="R1368" s="1"/>
      <c r="S1368" s="1"/>
      <c r="T1368" s="1"/>
      <c r="U1368" s="1"/>
      <c r="V1368" s="1"/>
      <c r="W1368" s="1"/>
      <c r="X1368" s="1"/>
      <c r="Y1368" s="1"/>
      <c r="Z1368" s="1"/>
      <c r="AA1368" s="1"/>
      <c r="AB1368" s="1"/>
      <c r="AC1368" s="1"/>
      <c r="AD1368" s="1"/>
      <c r="AE1368" s="1"/>
      <c r="AF1368" s="1"/>
      <c r="AG1368" s="1"/>
      <c r="AH1368" s="1"/>
    </row>
    <row r="1369" ht="12.75" hidden="1" customHeight="1" outlineLevel="1">
      <c r="A1369" s="17">
        <v>41233.0</v>
      </c>
      <c r="B1369" s="1"/>
      <c r="C1369" s="1" t="s">
        <v>431</v>
      </c>
      <c r="D1369" s="74"/>
      <c r="E1369" s="67"/>
      <c r="F1369" s="75"/>
      <c r="G1369" s="67"/>
      <c r="H1369" s="68"/>
      <c r="I1369" s="76"/>
      <c r="J1369" s="67"/>
      <c r="K1369" s="7" t="s">
        <v>669</v>
      </c>
      <c r="L1369" s="77"/>
      <c r="M1369" s="79"/>
      <c r="N1369" s="1"/>
      <c r="O1369" s="1"/>
      <c r="P1369" s="1"/>
      <c r="Q1369" s="1"/>
      <c r="R1369" s="1"/>
      <c r="S1369" s="1"/>
      <c r="T1369" s="1"/>
      <c r="U1369" s="1"/>
      <c r="V1369" s="1"/>
      <c r="W1369" s="1"/>
      <c r="X1369" s="1"/>
      <c r="Y1369" s="1"/>
      <c r="Z1369" s="1"/>
      <c r="AA1369" s="1"/>
      <c r="AB1369" s="1"/>
      <c r="AC1369" s="1"/>
      <c r="AD1369" s="1"/>
      <c r="AE1369" s="1"/>
      <c r="AF1369" s="1"/>
      <c r="AG1369" s="1"/>
      <c r="AH1369" s="1"/>
    </row>
    <row r="1370" ht="12.75" hidden="1" customHeight="1" outlineLevel="1">
      <c r="A1370" s="17">
        <v>41233.0</v>
      </c>
      <c r="B1370" s="1"/>
      <c r="C1370" s="1" t="s">
        <v>433</v>
      </c>
      <c r="D1370" s="74"/>
      <c r="E1370" s="67"/>
      <c r="F1370" s="75"/>
      <c r="G1370" s="67"/>
      <c r="H1370" s="68"/>
      <c r="I1370" s="76"/>
      <c r="J1370" s="67"/>
      <c r="K1370" s="1" t="s">
        <v>434</v>
      </c>
      <c r="L1370" s="77"/>
      <c r="M1370" s="79"/>
      <c r="N1370" s="1"/>
      <c r="O1370" s="1"/>
      <c r="P1370" s="1"/>
      <c r="Q1370" s="1"/>
      <c r="R1370" s="1"/>
      <c r="S1370" s="1"/>
      <c r="T1370" s="1"/>
      <c r="U1370" s="1"/>
      <c r="V1370" s="1"/>
      <c r="W1370" s="1"/>
      <c r="X1370" s="1"/>
      <c r="Y1370" s="1"/>
      <c r="Z1370" s="1"/>
      <c r="AA1370" s="1"/>
      <c r="AB1370" s="1"/>
      <c r="AC1370" s="1"/>
      <c r="AD1370" s="1"/>
      <c r="AE1370" s="1"/>
      <c r="AF1370" s="1"/>
      <c r="AG1370" s="1"/>
      <c r="AH1370" s="1"/>
    </row>
    <row r="1371" ht="12.75" hidden="1" customHeight="1" outlineLevel="1">
      <c r="A1371" s="17">
        <v>41233.0</v>
      </c>
      <c r="B1371" s="1"/>
      <c r="C1371" s="1" t="s">
        <v>435</v>
      </c>
      <c r="D1371" s="74"/>
      <c r="E1371" s="67"/>
      <c r="F1371" s="75"/>
      <c r="G1371" s="67"/>
      <c r="H1371" s="68"/>
      <c r="I1371" s="76"/>
      <c r="J1371" s="67"/>
      <c r="K1371" s="7" t="s">
        <v>745</v>
      </c>
      <c r="L1371" s="77"/>
      <c r="M1371" s="79"/>
      <c r="N1371" s="1"/>
      <c r="O1371" s="1"/>
      <c r="P1371" s="1"/>
      <c r="Q1371" s="1"/>
      <c r="R1371" s="1"/>
      <c r="S1371" s="1"/>
      <c r="T1371" s="1"/>
      <c r="U1371" s="1"/>
      <c r="V1371" s="1"/>
      <c r="W1371" s="1"/>
      <c r="X1371" s="1"/>
      <c r="Y1371" s="1"/>
      <c r="Z1371" s="1"/>
      <c r="AA1371" s="1"/>
      <c r="AB1371" s="1"/>
      <c r="AC1371" s="1"/>
      <c r="AD1371" s="1"/>
      <c r="AE1371" s="1"/>
      <c r="AF1371" s="1"/>
      <c r="AG1371" s="1"/>
      <c r="AH1371" s="1"/>
    </row>
    <row r="1372" ht="12.75" hidden="1" customHeight="1" outlineLevel="1">
      <c r="A1372" s="17">
        <v>41234.0</v>
      </c>
      <c r="B1372" s="1" t="s">
        <v>343</v>
      </c>
      <c r="C1372" s="1" t="s">
        <v>346</v>
      </c>
      <c r="D1372" s="74">
        <v>20.0</v>
      </c>
      <c r="E1372" s="67">
        <v>566.55</v>
      </c>
      <c r="F1372" s="75">
        <v>0.4016782407407407</v>
      </c>
      <c r="G1372" s="67" t="s">
        <v>453</v>
      </c>
      <c r="H1372" s="68">
        <v>1.0</v>
      </c>
      <c r="I1372" s="76"/>
      <c r="J1372" s="67">
        <f t="shared" ref="J1372:J1381" si="96">IF(B1372="SLD",D1372*E1372,-D1372*E1372)-H1372</f>
        <v>-11332</v>
      </c>
      <c r="K1372" s="7"/>
      <c r="L1372" s="70"/>
      <c r="M1372" s="79"/>
      <c r="N1372" s="1"/>
      <c r="O1372" s="1"/>
      <c r="P1372" s="1"/>
      <c r="Q1372" s="1"/>
      <c r="R1372" s="1"/>
      <c r="S1372" s="1"/>
      <c r="T1372" s="1"/>
      <c r="U1372" s="1"/>
      <c r="V1372" s="1"/>
      <c r="W1372" s="1"/>
      <c r="X1372" s="1"/>
      <c r="Y1372" s="1"/>
      <c r="Z1372" s="1"/>
      <c r="AA1372" s="1"/>
      <c r="AB1372" s="1"/>
      <c r="AC1372" s="1"/>
      <c r="AD1372" s="1"/>
      <c r="AE1372" s="1"/>
      <c r="AF1372" s="1"/>
      <c r="AG1372" s="1"/>
      <c r="AH1372" s="1"/>
    </row>
    <row r="1373" ht="12.75" hidden="1" customHeight="1" outlineLevel="1">
      <c r="A1373" s="17">
        <v>41234.0</v>
      </c>
      <c r="B1373" s="1" t="s">
        <v>347</v>
      </c>
      <c r="C1373" s="1" t="s">
        <v>789</v>
      </c>
      <c r="D1373" s="74">
        <v>400.0</v>
      </c>
      <c r="E1373" s="67">
        <v>11.7</v>
      </c>
      <c r="F1373" s="75">
        <v>0.40255787037037033</v>
      </c>
      <c r="G1373" s="67" t="s">
        <v>453</v>
      </c>
      <c r="H1373" s="68">
        <v>2.0</v>
      </c>
      <c r="I1373" s="76"/>
      <c r="J1373" s="67">
        <f t="shared" si="96"/>
        <v>4678</v>
      </c>
      <c r="K1373" s="7"/>
      <c r="L1373" s="70"/>
      <c r="M1373" s="79"/>
      <c r="N1373" s="1"/>
      <c r="O1373" s="1"/>
      <c r="P1373" s="1"/>
      <c r="Q1373" s="1"/>
      <c r="R1373" s="1"/>
      <c r="S1373" s="1"/>
      <c r="T1373" s="1"/>
      <c r="U1373" s="1"/>
      <c r="V1373" s="1"/>
      <c r="W1373" s="1"/>
      <c r="X1373" s="1"/>
      <c r="Y1373" s="1"/>
      <c r="Z1373" s="1"/>
      <c r="AA1373" s="1"/>
      <c r="AB1373" s="1"/>
      <c r="AC1373" s="1"/>
      <c r="AD1373" s="1"/>
      <c r="AE1373" s="1"/>
      <c r="AF1373" s="1"/>
      <c r="AG1373" s="1"/>
      <c r="AH1373" s="1"/>
    </row>
    <row r="1374" ht="12.75" hidden="1" customHeight="1" outlineLevel="1">
      <c r="A1374" s="17">
        <v>41234.0</v>
      </c>
      <c r="B1374" s="1" t="s">
        <v>347</v>
      </c>
      <c r="C1374" s="1" t="s">
        <v>790</v>
      </c>
      <c r="D1374" s="74">
        <v>300.0</v>
      </c>
      <c r="E1374" s="67">
        <v>18.89</v>
      </c>
      <c r="F1374" s="75">
        <v>0.4055787037037037</v>
      </c>
      <c r="G1374" s="67" t="s">
        <v>453</v>
      </c>
      <c r="H1374" s="68">
        <v>1.2</v>
      </c>
      <c r="I1374" s="76"/>
      <c r="J1374" s="67">
        <f t="shared" si="96"/>
        <v>5665.8</v>
      </c>
      <c r="K1374" s="7"/>
      <c r="L1374" s="70"/>
      <c r="M1374" s="79"/>
      <c r="N1374" s="1"/>
      <c r="O1374" s="1"/>
      <c r="P1374" s="1"/>
      <c r="Q1374" s="1"/>
      <c r="R1374" s="1"/>
      <c r="S1374" s="1"/>
      <c r="T1374" s="1"/>
      <c r="U1374" s="1"/>
      <c r="V1374" s="1"/>
      <c r="W1374" s="1"/>
      <c r="X1374" s="1"/>
      <c r="Y1374" s="1"/>
      <c r="Z1374" s="1"/>
      <c r="AA1374" s="1"/>
      <c r="AB1374" s="1"/>
      <c r="AC1374" s="1"/>
      <c r="AD1374" s="1"/>
      <c r="AE1374" s="1"/>
      <c r="AF1374" s="1"/>
      <c r="AG1374" s="1"/>
      <c r="AH1374" s="1"/>
    </row>
    <row r="1375" ht="12.75" hidden="1" customHeight="1" outlineLevel="1">
      <c r="A1375" s="17">
        <v>41234.0</v>
      </c>
      <c r="B1375" s="1" t="s">
        <v>347</v>
      </c>
      <c r="C1375" s="1" t="s">
        <v>680</v>
      </c>
      <c r="D1375" s="74">
        <v>200.0</v>
      </c>
      <c r="E1375" s="67">
        <v>25.0</v>
      </c>
      <c r="F1375" s="75">
        <v>0.4160300925925926</v>
      </c>
      <c r="G1375" s="67" t="s">
        <v>453</v>
      </c>
      <c r="H1375" s="68">
        <v>1.0</v>
      </c>
      <c r="I1375" s="76"/>
      <c r="J1375" s="67">
        <f t="shared" si="96"/>
        <v>4999</v>
      </c>
      <c r="K1375" s="7"/>
      <c r="L1375" s="70"/>
      <c r="M1375" s="79"/>
      <c r="N1375" s="1"/>
      <c r="O1375" s="1"/>
      <c r="P1375" s="1"/>
      <c r="Q1375" s="1"/>
      <c r="R1375" s="1"/>
      <c r="S1375" s="1"/>
      <c r="T1375" s="1"/>
      <c r="U1375" s="1"/>
      <c r="V1375" s="1"/>
      <c r="W1375" s="1"/>
      <c r="X1375" s="1"/>
      <c r="Y1375" s="1"/>
      <c r="Z1375" s="1"/>
      <c r="AA1375" s="1"/>
      <c r="AB1375" s="1"/>
      <c r="AC1375" s="1"/>
      <c r="AD1375" s="1"/>
      <c r="AE1375" s="1"/>
      <c r="AF1375" s="1"/>
      <c r="AG1375" s="1"/>
      <c r="AH1375" s="1"/>
    </row>
    <row r="1376" ht="12.75" hidden="1" customHeight="1" outlineLevel="1">
      <c r="A1376" s="17">
        <v>41234.0</v>
      </c>
      <c r="B1376" s="1" t="s">
        <v>343</v>
      </c>
      <c r="C1376" s="1" t="s">
        <v>423</v>
      </c>
      <c r="D1376" s="74">
        <v>200.0</v>
      </c>
      <c r="E1376" s="67">
        <v>40.03</v>
      </c>
      <c r="F1376" s="75">
        <v>0.4235879629629629</v>
      </c>
      <c r="G1376" s="67" t="s">
        <v>453</v>
      </c>
      <c r="H1376" s="68">
        <v>1.0</v>
      </c>
      <c r="I1376" s="76"/>
      <c r="J1376" s="67">
        <f t="shared" si="96"/>
        <v>-8007</v>
      </c>
      <c r="K1376" s="7"/>
      <c r="L1376" s="70"/>
      <c r="M1376" s="79"/>
      <c r="N1376" s="1"/>
      <c r="O1376" s="1"/>
      <c r="P1376" s="1"/>
      <c r="Q1376" s="1"/>
      <c r="R1376" s="1"/>
      <c r="S1376" s="1"/>
      <c r="T1376" s="1"/>
      <c r="U1376" s="1"/>
      <c r="V1376" s="1"/>
      <c r="W1376" s="1"/>
      <c r="X1376" s="1"/>
      <c r="Y1376" s="1"/>
      <c r="Z1376" s="1"/>
      <c r="AA1376" s="1"/>
      <c r="AB1376" s="1"/>
      <c r="AC1376" s="1"/>
      <c r="AD1376" s="1"/>
      <c r="AE1376" s="1"/>
      <c r="AF1376" s="1"/>
      <c r="AG1376" s="1"/>
      <c r="AH1376" s="1"/>
    </row>
    <row r="1377" ht="12.75" hidden="1" customHeight="1" outlineLevel="1">
      <c r="A1377" s="17">
        <v>41234.0</v>
      </c>
      <c r="B1377" s="1" t="s">
        <v>347</v>
      </c>
      <c r="C1377" s="1" t="s">
        <v>784</v>
      </c>
      <c r="D1377" s="74">
        <v>200.0</v>
      </c>
      <c r="E1377" s="67">
        <v>17.09</v>
      </c>
      <c r="F1377" s="75">
        <v>0.4291550925925926</v>
      </c>
      <c r="G1377" s="67" t="s">
        <v>453</v>
      </c>
      <c r="H1377" s="68">
        <v>1.0</v>
      </c>
      <c r="I1377" s="76"/>
      <c r="J1377" s="67">
        <f t="shared" si="96"/>
        <v>3417</v>
      </c>
      <c r="K1377" s="7"/>
      <c r="L1377" s="70"/>
      <c r="M1377" s="79"/>
      <c r="N1377" s="1"/>
      <c r="O1377" s="1"/>
      <c r="P1377" s="1"/>
      <c r="Q1377" s="1"/>
      <c r="R1377" s="1"/>
      <c r="S1377" s="1"/>
      <c r="T1377" s="1"/>
      <c r="U1377" s="1"/>
      <c r="V1377" s="1"/>
      <c r="W1377" s="1"/>
      <c r="X1377" s="1"/>
      <c r="Y1377" s="1"/>
      <c r="Z1377" s="1"/>
      <c r="AA1377" s="1"/>
      <c r="AB1377" s="1"/>
      <c r="AC1377" s="1"/>
      <c r="AD1377" s="1"/>
      <c r="AE1377" s="1"/>
      <c r="AF1377" s="1"/>
      <c r="AG1377" s="1"/>
      <c r="AH1377" s="1"/>
    </row>
    <row r="1378" ht="12.75" hidden="1" customHeight="1" outlineLevel="1">
      <c r="A1378" s="17">
        <v>41234.0</v>
      </c>
      <c r="B1378" s="1" t="s">
        <v>343</v>
      </c>
      <c r="C1378" s="1" t="s">
        <v>346</v>
      </c>
      <c r="D1378" s="74">
        <v>20.0</v>
      </c>
      <c r="E1378" s="67">
        <v>559.88</v>
      </c>
      <c r="F1378" s="75">
        <v>0.4419675925925926</v>
      </c>
      <c r="G1378" s="67" t="s">
        <v>453</v>
      </c>
      <c r="H1378" s="68">
        <v>1.0</v>
      </c>
      <c r="I1378" s="76"/>
      <c r="J1378" s="67">
        <f t="shared" si="96"/>
        <v>-11198.6</v>
      </c>
      <c r="K1378" s="7"/>
      <c r="L1378" s="70"/>
      <c r="M1378" s="79"/>
      <c r="N1378" s="1"/>
      <c r="O1378" s="1"/>
      <c r="P1378" s="1"/>
      <c r="Q1378" s="1"/>
      <c r="R1378" s="1"/>
      <c r="S1378" s="1"/>
      <c r="T1378" s="1"/>
      <c r="U1378" s="1"/>
      <c r="V1378" s="1"/>
      <c r="W1378" s="1"/>
      <c r="X1378" s="1"/>
      <c r="Y1378" s="1"/>
      <c r="Z1378" s="1"/>
      <c r="AA1378" s="1"/>
      <c r="AB1378" s="1"/>
      <c r="AC1378" s="1"/>
      <c r="AD1378" s="1"/>
      <c r="AE1378" s="1"/>
      <c r="AF1378" s="1"/>
      <c r="AG1378" s="1"/>
      <c r="AH1378" s="1"/>
    </row>
    <row r="1379" ht="12.75" hidden="1" customHeight="1" outlineLevel="1">
      <c r="A1379" s="17">
        <v>41234.0</v>
      </c>
      <c r="B1379" s="1" t="s">
        <v>347</v>
      </c>
      <c r="C1379" s="1" t="s">
        <v>755</v>
      </c>
      <c r="D1379" s="74">
        <v>300.0</v>
      </c>
      <c r="E1379" s="67">
        <v>31.675</v>
      </c>
      <c r="F1379" s="75">
        <v>0.4797453703703704</v>
      </c>
      <c r="G1379" s="67" t="s">
        <v>453</v>
      </c>
      <c r="H1379" s="68">
        <v>2.0</v>
      </c>
      <c r="I1379" s="76"/>
      <c r="J1379" s="67">
        <f t="shared" si="96"/>
        <v>9500.5</v>
      </c>
      <c r="K1379" s="7"/>
      <c r="L1379" s="70"/>
      <c r="M1379" s="79"/>
      <c r="N1379" s="1"/>
      <c r="O1379" s="1"/>
      <c r="P1379" s="1"/>
      <c r="Q1379" s="1"/>
      <c r="R1379" s="1"/>
      <c r="S1379" s="1"/>
      <c r="T1379" s="1"/>
      <c r="U1379" s="1"/>
      <c r="V1379" s="1"/>
      <c r="W1379" s="1"/>
      <c r="X1379" s="1"/>
      <c r="Y1379" s="1"/>
      <c r="Z1379" s="1"/>
      <c r="AA1379" s="1"/>
      <c r="AB1379" s="1"/>
      <c r="AC1379" s="1"/>
      <c r="AD1379" s="1"/>
      <c r="AE1379" s="1"/>
      <c r="AF1379" s="1"/>
      <c r="AG1379" s="1"/>
      <c r="AH1379" s="1"/>
    </row>
    <row r="1380" ht="12.75" hidden="1" customHeight="1" outlineLevel="1">
      <c r="A1380" s="17">
        <v>41234.0</v>
      </c>
      <c r="B1380" s="1" t="s">
        <v>343</v>
      </c>
      <c r="C1380" s="1" t="s">
        <v>354</v>
      </c>
      <c r="D1380" s="74">
        <v>50.0</v>
      </c>
      <c r="E1380" s="67">
        <v>105.9</v>
      </c>
      <c r="F1380" s="75">
        <v>0.5081481481481481</v>
      </c>
      <c r="G1380" s="67" t="s">
        <v>453</v>
      </c>
      <c r="H1380" s="68">
        <v>1.0</v>
      </c>
      <c r="I1380" s="76"/>
      <c r="J1380" s="67">
        <f t="shared" si="96"/>
        <v>-5296</v>
      </c>
      <c r="K1380" s="7"/>
      <c r="L1380" s="70"/>
      <c r="M1380" s="79"/>
      <c r="N1380" s="1"/>
      <c r="O1380" s="1"/>
      <c r="P1380" s="1"/>
      <c r="Q1380" s="1"/>
      <c r="R1380" s="1"/>
      <c r="S1380" s="1"/>
      <c r="T1380" s="1"/>
      <c r="U1380" s="1"/>
      <c r="V1380" s="1"/>
      <c r="W1380" s="1"/>
      <c r="X1380" s="1"/>
      <c r="Y1380" s="1"/>
      <c r="Z1380" s="1"/>
      <c r="AA1380" s="1"/>
      <c r="AB1380" s="1"/>
      <c r="AC1380" s="1"/>
      <c r="AD1380" s="1"/>
      <c r="AE1380" s="1"/>
      <c r="AF1380" s="1"/>
      <c r="AG1380" s="1"/>
      <c r="AH1380" s="1"/>
    </row>
    <row r="1381" ht="12.75" hidden="1" customHeight="1" outlineLevel="1">
      <c r="A1381" s="17">
        <v>41234.0</v>
      </c>
      <c r="B1381" s="1" t="s">
        <v>343</v>
      </c>
      <c r="C1381" s="1" t="s">
        <v>755</v>
      </c>
      <c r="D1381" s="74">
        <v>100.0</v>
      </c>
      <c r="E1381" s="67">
        <v>31.33</v>
      </c>
      <c r="F1381" s="75">
        <v>0.6545949074074074</v>
      </c>
      <c r="G1381" s="67" t="s">
        <v>453</v>
      </c>
      <c r="H1381" s="68">
        <v>1.0</v>
      </c>
      <c r="I1381" s="76"/>
      <c r="J1381" s="67">
        <f t="shared" si="96"/>
        <v>-3134</v>
      </c>
      <c r="K1381" s="7"/>
      <c r="L1381" s="70"/>
      <c r="M1381" s="79"/>
      <c r="N1381" s="1"/>
      <c r="O1381" s="1"/>
      <c r="P1381" s="1"/>
      <c r="Q1381" s="1"/>
      <c r="R1381" s="1"/>
      <c r="S1381" s="1"/>
      <c r="T1381" s="1"/>
      <c r="U1381" s="1"/>
      <c r="V1381" s="1"/>
      <c r="W1381" s="1"/>
      <c r="X1381" s="1"/>
      <c r="Y1381" s="1"/>
      <c r="Z1381" s="1"/>
      <c r="AA1381" s="1"/>
      <c r="AB1381" s="1"/>
      <c r="AC1381" s="1"/>
      <c r="AD1381" s="1"/>
      <c r="AE1381" s="1"/>
      <c r="AF1381" s="1"/>
      <c r="AG1381" s="1"/>
      <c r="AH1381" s="1"/>
    </row>
    <row r="1382" ht="12.75" hidden="1" customHeight="1" outlineLevel="1">
      <c r="A1382" s="17">
        <v>41234.0</v>
      </c>
      <c r="B1382" s="1"/>
      <c r="C1382" s="1" t="s">
        <v>339</v>
      </c>
      <c r="D1382" s="74"/>
      <c r="E1382" s="67"/>
      <c r="F1382" s="75"/>
      <c r="G1382" s="67"/>
      <c r="H1382" s="68"/>
      <c r="I1382" s="76"/>
      <c r="J1382" s="67"/>
      <c r="K1382" s="7" t="s">
        <v>791</v>
      </c>
      <c r="L1382" s="77"/>
      <c r="M1382" s="79"/>
      <c r="N1382" s="1"/>
      <c r="O1382" s="1"/>
      <c r="P1382" s="1"/>
      <c r="Q1382" s="1"/>
      <c r="R1382" s="1"/>
      <c r="S1382" s="1"/>
      <c r="T1382" s="1"/>
      <c r="U1382" s="1"/>
      <c r="V1382" s="1"/>
      <c r="W1382" s="1"/>
      <c r="X1382" s="1"/>
      <c r="Y1382" s="1"/>
      <c r="Z1382" s="1"/>
      <c r="AA1382" s="1"/>
      <c r="AB1382" s="1"/>
      <c r="AC1382" s="1"/>
      <c r="AD1382" s="1"/>
      <c r="AE1382" s="1"/>
      <c r="AF1382" s="1"/>
      <c r="AG1382" s="1"/>
      <c r="AH1382" s="1"/>
    </row>
    <row r="1383" ht="12.75" hidden="1" customHeight="1" outlineLevel="1">
      <c r="A1383" s="17">
        <v>41234.0</v>
      </c>
      <c r="B1383" s="1"/>
      <c r="C1383" s="1" t="s">
        <v>429</v>
      </c>
      <c r="D1383" s="74"/>
      <c r="E1383" s="67"/>
      <c r="F1383" s="75"/>
      <c r="G1383" s="67"/>
      <c r="H1383" s="68"/>
      <c r="I1383" s="76"/>
      <c r="J1383" s="67"/>
      <c r="K1383" s="7" t="s">
        <v>679</v>
      </c>
      <c r="L1383" s="77"/>
      <c r="M1383" s="79"/>
      <c r="N1383" s="1"/>
      <c r="O1383" s="1"/>
      <c r="P1383" s="1"/>
      <c r="Q1383" s="1"/>
      <c r="R1383" s="1"/>
      <c r="S1383" s="1"/>
      <c r="T1383" s="1"/>
      <c r="U1383" s="1"/>
      <c r="V1383" s="1"/>
      <c r="W1383" s="1"/>
      <c r="X1383" s="1"/>
      <c r="Y1383" s="1"/>
      <c r="Z1383" s="1"/>
      <c r="AA1383" s="1"/>
      <c r="AB1383" s="1"/>
      <c r="AC1383" s="1"/>
      <c r="AD1383" s="1"/>
      <c r="AE1383" s="1"/>
      <c r="AF1383" s="1"/>
      <c r="AG1383" s="1"/>
      <c r="AH1383" s="1"/>
    </row>
    <row r="1384" ht="12.75" hidden="1" customHeight="1" outlineLevel="1">
      <c r="A1384" s="17">
        <v>41234.0</v>
      </c>
      <c r="B1384" s="1"/>
      <c r="C1384" s="1" t="s">
        <v>431</v>
      </c>
      <c r="D1384" s="74"/>
      <c r="E1384" s="67"/>
      <c r="F1384" s="75"/>
      <c r="G1384" s="67"/>
      <c r="H1384" s="68"/>
      <c r="I1384" s="76"/>
      <c r="J1384" s="67"/>
      <c r="K1384" s="7" t="s">
        <v>669</v>
      </c>
      <c r="L1384" s="77"/>
      <c r="M1384" s="79"/>
      <c r="N1384" s="1"/>
      <c r="O1384" s="1"/>
      <c r="P1384" s="1"/>
      <c r="Q1384" s="1"/>
      <c r="R1384" s="1"/>
      <c r="S1384" s="1"/>
      <c r="T1384" s="1"/>
      <c r="U1384" s="1"/>
      <c r="V1384" s="1"/>
      <c r="W1384" s="1"/>
      <c r="X1384" s="1"/>
      <c r="Y1384" s="1"/>
      <c r="Z1384" s="1"/>
      <c r="AA1384" s="1"/>
      <c r="AB1384" s="1"/>
      <c r="AC1384" s="1"/>
      <c r="AD1384" s="1"/>
      <c r="AE1384" s="1"/>
      <c r="AF1384" s="1"/>
      <c r="AG1384" s="1"/>
      <c r="AH1384" s="1"/>
    </row>
    <row r="1385" ht="12.75" hidden="1" customHeight="1" outlineLevel="1">
      <c r="A1385" s="17">
        <v>41234.0</v>
      </c>
      <c r="B1385" s="1"/>
      <c r="C1385" s="1" t="s">
        <v>433</v>
      </c>
      <c r="D1385" s="74"/>
      <c r="E1385" s="67"/>
      <c r="F1385" s="75"/>
      <c r="G1385" s="67"/>
      <c r="H1385" s="68"/>
      <c r="I1385" s="76"/>
      <c r="J1385" s="67"/>
      <c r="K1385" s="1" t="s">
        <v>434</v>
      </c>
      <c r="L1385" s="77"/>
      <c r="M1385" s="79"/>
      <c r="N1385" s="1"/>
      <c r="O1385" s="1"/>
      <c r="P1385" s="1"/>
      <c r="Q1385" s="1"/>
      <c r="R1385" s="1"/>
      <c r="S1385" s="1"/>
      <c r="T1385" s="1"/>
      <c r="U1385" s="1"/>
      <c r="V1385" s="1"/>
      <c r="W1385" s="1"/>
      <c r="X1385" s="1"/>
      <c r="Y1385" s="1"/>
      <c r="Z1385" s="1"/>
      <c r="AA1385" s="1"/>
      <c r="AB1385" s="1"/>
      <c r="AC1385" s="1"/>
      <c r="AD1385" s="1"/>
      <c r="AE1385" s="1"/>
      <c r="AF1385" s="1"/>
      <c r="AG1385" s="1"/>
      <c r="AH1385" s="1"/>
    </row>
    <row r="1386" ht="12.75" hidden="1" customHeight="1" outlineLevel="1">
      <c r="A1386" s="17">
        <v>41234.0</v>
      </c>
      <c r="B1386" s="1"/>
      <c r="C1386" s="1" t="s">
        <v>435</v>
      </c>
      <c r="D1386" s="74"/>
      <c r="E1386" s="67"/>
      <c r="F1386" s="75"/>
      <c r="G1386" s="67"/>
      <c r="H1386" s="68"/>
      <c r="I1386" s="76"/>
      <c r="J1386" s="67"/>
      <c r="K1386" s="7" t="s">
        <v>745</v>
      </c>
      <c r="L1386" s="77"/>
      <c r="M1386" s="79"/>
      <c r="N1386" s="1"/>
      <c r="O1386" s="1"/>
      <c r="P1386" s="1"/>
      <c r="Q1386" s="1"/>
      <c r="R1386" s="1"/>
      <c r="S1386" s="1"/>
      <c r="T1386" s="1"/>
      <c r="U1386" s="1"/>
      <c r="V1386" s="1"/>
      <c r="W1386" s="1"/>
      <c r="X1386" s="1"/>
      <c r="Y1386" s="1"/>
      <c r="Z1386" s="1"/>
      <c r="AA1386" s="1"/>
      <c r="AB1386" s="1"/>
      <c r="AC1386" s="1"/>
      <c r="AD1386" s="1"/>
      <c r="AE1386" s="1"/>
      <c r="AF1386" s="1"/>
      <c r="AG1386" s="1"/>
      <c r="AH1386" s="1"/>
    </row>
    <row r="1387" ht="12.75" hidden="1" customHeight="1" outlineLevel="1">
      <c r="A1387" s="17">
        <v>41236.0</v>
      </c>
      <c r="B1387" s="1" t="s">
        <v>347</v>
      </c>
      <c r="C1387" s="1" t="s">
        <v>680</v>
      </c>
      <c r="D1387" s="74">
        <v>100.0</v>
      </c>
      <c r="E1387" s="67">
        <v>25.9</v>
      </c>
      <c r="F1387" s="75">
        <v>0.4165046296296296</v>
      </c>
      <c r="G1387" s="67" t="s">
        <v>453</v>
      </c>
      <c r="H1387" s="68">
        <v>1.0</v>
      </c>
      <c r="I1387" s="76"/>
      <c r="J1387" s="67">
        <f t="shared" ref="J1387:J1394" si="97">IF(B1387="SLD",D1387*E1387,-D1387*E1387)-H1387</f>
        <v>2589</v>
      </c>
      <c r="K1387" s="7"/>
      <c r="L1387" s="70"/>
      <c r="M1387" s="79"/>
      <c r="N1387" s="1"/>
      <c r="O1387" s="1"/>
      <c r="P1387" s="1"/>
      <c r="Q1387" s="1"/>
      <c r="R1387" s="1"/>
      <c r="S1387" s="1"/>
      <c r="T1387" s="1"/>
      <c r="U1387" s="1"/>
      <c r="V1387" s="1"/>
      <c r="W1387" s="1"/>
      <c r="X1387" s="1"/>
      <c r="Y1387" s="1"/>
      <c r="Z1387" s="1"/>
      <c r="AA1387" s="1"/>
      <c r="AB1387" s="1"/>
      <c r="AC1387" s="1"/>
      <c r="AD1387" s="1"/>
      <c r="AE1387" s="1"/>
      <c r="AF1387" s="1"/>
      <c r="AG1387" s="1"/>
      <c r="AH1387" s="1"/>
    </row>
    <row r="1388" ht="12.75" hidden="1" customHeight="1" outlineLevel="1">
      <c r="A1388" s="17">
        <v>41236.0</v>
      </c>
      <c r="B1388" s="1" t="s">
        <v>347</v>
      </c>
      <c r="C1388" s="1" t="s">
        <v>757</v>
      </c>
      <c r="D1388" s="74">
        <v>140.0</v>
      </c>
      <c r="E1388" s="67">
        <v>55.483</v>
      </c>
      <c r="F1388" s="75">
        <v>0.41923611111111114</v>
      </c>
      <c r="G1388" s="67" t="s">
        <v>453</v>
      </c>
      <c r="H1388" s="68">
        <v>1.0</v>
      </c>
      <c r="I1388" s="76"/>
      <c r="J1388" s="67">
        <f t="shared" si="97"/>
        <v>7766.62</v>
      </c>
      <c r="K1388" s="7"/>
      <c r="L1388" s="70"/>
      <c r="M1388" s="79"/>
      <c r="N1388" s="1"/>
      <c r="O1388" s="1"/>
      <c r="P1388" s="1"/>
      <c r="Q1388" s="1"/>
      <c r="R1388" s="1"/>
      <c r="S1388" s="1"/>
      <c r="T1388" s="1"/>
      <c r="U1388" s="1"/>
      <c r="V1388" s="1"/>
      <c r="W1388" s="1"/>
      <c r="X1388" s="1"/>
      <c r="Y1388" s="1"/>
      <c r="Z1388" s="1"/>
      <c r="AA1388" s="1"/>
      <c r="AB1388" s="1"/>
      <c r="AC1388" s="1"/>
      <c r="AD1388" s="1"/>
      <c r="AE1388" s="1"/>
      <c r="AF1388" s="1"/>
      <c r="AG1388" s="1"/>
      <c r="AH1388" s="1"/>
    </row>
    <row r="1389" ht="12.75" hidden="1" customHeight="1" outlineLevel="1">
      <c r="A1389" s="17">
        <v>41236.0</v>
      </c>
      <c r="B1389" s="1" t="s">
        <v>347</v>
      </c>
      <c r="C1389" s="1" t="s">
        <v>381</v>
      </c>
      <c r="D1389" s="74">
        <v>300.0</v>
      </c>
      <c r="E1389" s="67">
        <v>24.0</v>
      </c>
      <c r="F1389" s="75">
        <v>0.5302546296296297</v>
      </c>
      <c r="G1389" s="67" t="s">
        <v>453</v>
      </c>
      <c r="H1389" s="68">
        <v>1.5</v>
      </c>
      <c r="I1389" s="76"/>
      <c r="J1389" s="67">
        <f t="shared" si="97"/>
        <v>7198.5</v>
      </c>
      <c r="K1389" s="7"/>
      <c r="L1389" s="70"/>
      <c r="M1389" s="79"/>
      <c r="N1389" s="1"/>
      <c r="O1389" s="1"/>
      <c r="P1389" s="1"/>
      <c r="Q1389" s="1"/>
      <c r="R1389" s="1"/>
      <c r="S1389" s="1"/>
      <c r="T1389" s="1"/>
      <c r="U1389" s="1"/>
      <c r="V1389" s="1"/>
      <c r="W1389" s="1"/>
      <c r="X1389" s="1"/>
      <c r="Y1389" s="1"/>
      <c r="Z1389" s="1"/>
      <c r="AA1389" s="1"/>
      <c r="AB1389" s="1"/>
      <c r="AC1389" s="1"/>
      <c r="AD1389" s="1"/>
      <c r="AE1389" s="1"/>
      <c r="AF1389" s="1"/>
      <c r="AG1389" s="1"/>
      <c r="AH1389" s="1"/>
    </row>
    <row r="1390" ht="12.75" hidden="1" customHeight="1" outlineLevel="1">
      <c r="A1390" s="17">
        <v>41236.0</v>
      </c>
      <c r="B1390" s="1" t="s">
        <v>343</v>
      </c>
      <c r="C1390" s="1" t="s">
        <v>346</v>
      </c>
      <c r="D1390" s="74">
        <v>20.0</v>
      </c>
      <c r="E1390" s="67">
        <v>570.15</v>
      </c>
      <c r="F1390" s="75">
        <v>0.5379976851851852</v>
      </c>
      <c r="G1390" s="67" t="s">
        <v>453</v>
      </c>
      <c r="H1390" s="68">
        <v>1.0</v>
      </c>
      <c r="I1390" s="76"/>
      <c r="J1390" s="67">
        <f t="shared" si="97"/>
        <v>-11404</v>
      </c>
      <c r="K1390" s="7"/>
      <c r="L1390" s="70"/>
      <c r="M1390" s="79"/>
      <c r="N1390" s="1"/>
      <c r="O1390" s="1"/>
      <c r="P1390" s="1"/>
      <c r="Q1390" s="1"/>
      <c r="R1390" s="1"/>
      <c r="S1390" s="1"/>
      <c r="T1390" s="1"/>
      <c r="U1390" s="1"/>
      <c r="V1390" s="1"/>
      <c r="W1390" s="1"/>
      <c r="X1390" s="1"/>
      <c r="Y1390" s="1"/>
      <c r="Z1390" s="1"/>
      <c r="AA1390" s="1"/>
      <c r="AB1390" s="1"/>
      <c r="AC1390" s="1"/>
      <c r="AD1390" s="1"/>
      <c r="AE1390" s="1"/>
      <c r="AF1390" s="1"/>
      <c r="AG1390" s="1"/>
      <c r="AH1390" s="1"/>
    </row>
    <row r="1391" ht="12.75" hidden="1" customHeight="1" outlineLevel="1">
      <c r="A1391" s="17">
        <v>41236.0</v>
      </c>
      <c r="B1391" s="1" t="s">
        <v>343</v>
      </c>
      <c r="C1391" s="1" t="s">
        <v>344</v>
      </c>
      <c r="D1391" s="74">
        <v>200.0</v>
      </c>
      <c r="E1391" s="67">
        <v>32.75</v>
      </c>
      <c r="F1391" s="75">
        <v>0.5386805555555555</v>
      </c>
      <c r="G1391" s="67" t="s">
        <v>453</v>
      </c>
      <c r="H1391" s="68">
        <v>1.0</v>
      </c>
      <c r="I1391" s="76"/>
      <c r="J1391" s="67">
        <f t="shared" si="97"/>
        <v>-6551</v>
      </c>
      <c r="K1391" s="7"/>
      <c r="L1391" s="70"/>
      <c r="M1391" s="79"/>
      <c r="N1391" s="1"/>
      <c r="O1391" s="1"/>
      <c r="P1391" s="1"/>
      <c r="Q1391" s="1"/>
      <c r="R1391" s="1"/>
      <c r="S1391" s="1"/>
      <c r="T1391" s="1"/>
      <c r="U1391" s="1"/>
      <c r="V1391" s="1"/>
      <c r="W1391" s="1"/>
      <c r="X1391" s="1"/>
      <c r="Y1391" s="1"/>
      <c r="Z1391" s="1"/>
      <c r="AA1391" s="1"/>
      <c r="AB1391" s="1"/>
      <c r="AC1391" s="1"/>
      <c r="AD1391" s="1"/>
      <c r="AE1391" s="1"/>
      <c r="AF1391" s="1"/>
      <c r="AG1391" s="1"/>
      <c r="AH1391" s="1"/>
    </row>
    <row r="1392" ht="12.75" hidden="1" customHeight="1" outlineLevel="1">
      <c r="A1392" s="17">
        <v>41236.0</v>
      </c>
      <c r="B1392" s="1" t="s">
        <v>343</v>
      </c>
      <c r="C1392" s="1" t="s">
        <v>681</v>
      </c>
      <c r="D1392" s="74">
        <v>200.0</v>
      </c>
      <c r="E1392" s="67">
        <v>14.7</v>
      </c>
      <c r="F1392" s="75">
        <v>0.5398379629629629</v>
      </c>
      <c r="G1392" s="67" t="s">
        <v>453</v>
      </c>
      <c r="H1392" s="68">
        <v>1.0</v>
      </c>
      <c r="I1392" s="76"/>
      <c r="J1392" s="67">
        <f t="shared" si="97"/>
        <v>-2941</v>
      </c>
      <c r="K1392" s="7"/>
      <c r="L1392" s="70"/>
      <c r="M1392" s="79"/>
      <c r="N1392" s="1"/>
      <c r="O1392" s="1"/>
      <c r="P1392" s="1"/>
      <c r="Q1392" s="1"/>
      <c r="R1392" s="1"/>
      <c r="S1392" s="1"/>
      <c r="T1392" s="1"/>
      <c r="U1392" s="1"/>
      <c r="V1392" s="1"/>
      <c r="W1392" s="1"/>
      <c r="X1392" s="1"/>
      <c r="Y1392" s="1"/>
      <c r="Z1392" s="1"/>
      <c r="AA1392" s="1"/>
      <c r="AB1392" s="1"/>
      <c r="AC1392" s="1"/>
      <c r="AD1392" s="1"/>
      <c r="AE1392" s="1"/>
      <c r="AF1392" s="1"/>
      <c r="AG1392" s="1"/>
      <c r="AH1392" s="1"/>
    </row>
    <row r="1393" ht="12.75" hidden="1" customHeight="1" outlineLevel="1">
      <c r="A1393" s="17">
        <v>41236.0</v>
      </c>
      <c r="B1393" s="1" t="s">
        <v>343</v>
      </c>
      <c r="C1393" s="1" t="s">
        <v>423</v>
      </c>
      <c r="D1393" s="74">
        <v>100.0</v>
      </c>
      <c r="E1393" s="67">
        <v>40.5</v>
      </c>
      <c r="F1393" s="75">
        <v>0.5409837962962963</v>
      </c>
      <c r="G1393" s="67" t="s">
        <v>453</v>
      </c>
      <c r="H1393" s="68">
        <v>1.0</v>
      </c>
      <c r="I1393" s="76"/>
      <c r="J1393" s="67">
        <f t="shared" si="97"/>
        <v>-4051</v>
      </c>
      <c r="K1393" s="7"/>
      <c r="L1393" s="70"/>
      <c r="M1393" s="79"/>
      <c r="N1393" s="1"/>
      <c r="O1393" s="1"/>
      <c r="P1393" s="1"/>
      <c r="Q1393" s="1"/>
      <c r="R1393" s="1"/>
      <c r="S1393" s="1"/>
      <c r="T1393" s="1"/>
      <c r="U1393" s="1"/>
      <c r="V1393" s="1"/>
      <c r="W1393" s="1"/>
      <c r="X1393" s="1"/>
      <c r="Y1393" s="1"/>
      <c r="Z1393" s="1"/>
      <c r="AA1393" s="1"/>
      <c r="AB1393" s="1"/>
      <c r="AC1393" s="1"/>
      <c r="AD1393" s="1"/>
      <c r="AE1393" s="1"/>
      <c r="AF1393" s="1"/>
      <c r="AG1393" s="1"/>
      <c r="AH1393" s="1"/>
    </row>
    <row r="1394" ht="12.75" hidden="1" customHeight="1" outlineLevel="1">
      <c r="A1394" s="17">
        <v>41236.0</v>
      </c>
      <c r="B1394" s="1" t="s">
        <v>343</v>
      </c>
      <c r="C1394" s="1" t="s">
        <v>779</v>
      </c>
      <c r="D1394" s="74">
        <v>50.0</v>
      </c>
      <c r="E1394" s="67">
        <v>209.85</v>
      </c>
      <c r="F1394" s="75">
        <v>0.5413657407407407</v>
      </c>
      <c r="G1394" s="67" t="s">
        <v>453</v>
      </c>
      <c r="H1394" s="68">
        <v>1.0</v>
      </c>
      <c r="I1394" s="76"/>
      <c r="J1394" s="67">
        <f t="shared" si="97"/>
        <v>-10493.5</v>
      </c>
      <c r="K1394" s="7"/>
      <c r="L1394" s="70"/>
      <c r="M1394" s="79"/>
      <c r="N1394" s="1"/>
      <c r="O1394" s="1"/>
      <c r="P1394" s="1"/>
      <c r="Q1394" s="1"/>
      <c r="R1394" s="1"/>
      <c r="S1394" s="1"/>
      <c r="T1394" s="1"/>
      <c r="U1394" s="1"/>
      <c r="V1394" s="1"/>
      <c r="W1394" s="1"/>
      <c r="X1394" s="1"/>
      <c r="Y1394" s="1"/>
      <c r="Z1394" s="1"/>
      <c r="AA1394" s="1"/>
      <c r="AB1394" s="1"/>
      <c r="AC1394" s="1"/>
      <c r="AD1394" s="1"/>
      <c r="AE1394" s="1"/>
      <c r="AF1394" s="1"/>
      <c r="AG1394" s="1"/>
      <c r="AH1394" s="1"/>
    </row>
    <row r="1395" ht="12.75" hidden="1" customHeight="1" outlineLevel="1">
      <c r="A1395" s="17">
        <v>41236.0</v>
      </c>
      <c r="B1395" s="1"/>
      <c r="C1395" s="1" t="s">
        <v>339</v>
      </c>
      <c r="D1395" s="74"/>
      <c r="E1395" s="67"/>
      <c r="F1395" s="75"/>
      <c r="G1395" s="67"/>
      <c r="H1395" s="68"/>
      <c r="I1395" s="76"/>
      <c r="J1395" s="67"/>
      <c r="K1395" s="7" t="s">
        <v>795</v>
      </c>
      <c r="L1395" s="77"/>
      <c r="M1395" s="79"/>
      <c r="N1395" s="1"/>
      <c r="O1395" s="1"/>
      <c r="P1395" s="1"/>
      <c r="Q1395" s="1"/>
      <c r="R1395" s="1"/>
      <c r="S1395" s="1"/>
      <c r="T1395" s="1"/>
      <c r="U1395" s="1"/>
      <c r="V1395" s="1"/>
      <c r="W1395" s="1"/>
      <c r="X1395" s="1"/>
      <c r="Y1395" s="1"/>
      <c r="Z1395" s="1"/>
      <c r="AA1395" s="1"/>
      <c r="AB1395" s="1"/>
      <c r="AC1395" s="1"/>
      <c r="AD1395" s="1"/>
      <c r="AE1395" s="1"/>
      <c r="AF1395" s="1"/>
      <c r="AG1395" s="1"/>
      <c r="AH1395" s="1"/>
    </row>
    <row r="1396" ht="12.75" hidden="1" customHeight="1" outlineLevel="1">
      <c r="A1396" s="17">
        <v>41236.0</v>
      </c>
      <c r="B1396" s="1"/>
      <c r="C1396" s="1" t="s">
        <v>429</v>
      </c>
      <c r="D1396" s="74"/>
      <c r="E1396" s="67"/>
      <c r="F1396" s="75"/>
      <c r="G1396" s="67"/>
      <c r="H1396" s="68"/>
      <c r="I1396" s="76"/>
      <c r="J1396" s="67"/>
      <c r="K1396" s="7" t="s">
        <v>679</v>
      </c>
      <c r="L1396" s="77"/>
      <c r="M1396" s="79"/>
      <c r="N1396" s="1"/>
      <c r="O1396" s="1"/>
      <c r="P1396" s="1"/>
      <c r="Q1396" s="1"/>
      <c r="R1396" s="1"/>
      <c r="S1396" s="1"/>
      <c r="T1396" s="1"/>
      <c r="U1396" s="1"/>
      <c r="V1396" s="1"/>
      <c r="W1396" s="1"/>
      <c r="X1396" s="1"/>
      <c r="Y1396" s="1"/>
      <c r="Z1396" s="1"/>
      <c r="AA1396" s="1"/>
      <c r="AB1396" s="1"/>
      <c r="AC1396" s="1"/>
      <c r="AD1396" s="1"/>
      <c r="AE1396" s="1"/>
      <c r="AF1396" s="1"/>
      <c r="AG1396" s="1"/>
      <c r="AH1396" s="1"/>
    </row>
    <row r="1397" ht="12.75" hidden="1" customHeight="1" outlineLevel="1">
      <c r="A1397" s="17">
        <v>41236.0</v>
      </c>
      <c r="B1397" s="1"/>
      <c r="C1397" s="1" t="s">
        <v>431</v>
      </c>
      <c r="D1397" s="74"/>
      <c r="E1397" s="67"/>
      <c r="F1397" s="75"/>
      <c r="G1397" s="67"/>
      <c r="H1397" s="68"/>
      <c r="I1397" s="76"/>
      <c r="J1397" s="67"/>
      <c r="K1397" s="7" t="s">
        <v>669</v>
      </c>
      <c r="L1397" s="77"/>
      <c r="M1397" s="79"/>
      <c r="N1397" s="1"/>
      <c r="O1397" s="1"/>
      <c r="P1397" s="1"/>
      <c r="Q1397" s="1"/>
      <c r="R1397" s="1"/>
      <c r="S1397" s="1"/>
      <c r="T1397" s="1"/>
      <c r="U1397" s="1"/>
      <c r="V1397" s="1"/>
      <c r="W1397" s="1"/>
      <c r="X1397" s="1"/>
      <c r="Y1397" s="1"/>
      <c r="Z1397" s="1"/>
      <c r="AA1397" s="1"/>
      <c r="AB1397" s="1"/>
      <c r="AC1397" s="1"/>
      <c r="AD1397" s="1"/>
      <c r="AE1397" s="1"/>
      <c r="AF1397" s="1"/>
      <c r="AG1397" s="1"/>
      <c r="AH1397" s="1"/>
    </row>
    <row r="1398" ht="12.75" hidden="1" customHeight="1" outlineLevel="1">
      <c r="A1398" s="17">
        <v>41236.0</v>
      </c>
      <c r="B1398" s="1"/>
      <c r="C1398" s="1" t="s">
        <v>433</v>
      </c>
      <c r="D1398" s="74"/>
      <c r="E1398" s="67"/>
      <c r="F1398" s="75"/>
      <c r="G1398" s="67"/>
      <c r="H1398" s="68"/>
      <c r="I1398" s="76"/>
      <c r="J1398" s="67"/>
      <c r="K1398" s="1" t="s">
        <v>434</v>
      </c>
      <c r="L1398" s="77"/>
      <c r="M1398" s="79"/>
      <c r="N1398" s="1"/>
      <c r="O1398" s="1"/>
      <c r="P1398" s="1"/>
      <c r="Q1398" s="1"/>
      <c r="R1398" s="1"/>
      <c r="S1398" s="1"/>
      <c r="T1398" s="1"/>
      <c r="U1398" s="1"/>
      <c r="V1398" s="1"/>
      <c r="W1398" s="1"/>
      <c r="X1398" s="1"/>
      <c r="Y1398" s="1"/>
      <c r="Z1398" s="1"/>
      <c r="AA1398" s="1"/>
      <c r="AB1398" s="1"/>
      <c r="AC1398" s="1"/>
      <c r="AD1398" s="1"/>
      <c r="AE1398" s="1"/>
      <c r="AF1398" s="1"/>
      <c r="AG1398" s="1"/>
      <c r="AH1398" s="1"/>
    </row>
    <row r="1399" ht="12.75" hidden="1" customHeight="1" outlineLevel="1">
      <c r="A1399" s="17">
        <v>41236.0</v>
      </c>
      <c r="B1399" s="1"/>
      <c r="C1399" s="1" t="s">
        <v>435</v>
      </c>
      <c r="D1399" s="74"/>
      <c r="E1399" s="67"/>
      <c r="F1399" s="75"/>
      <c r="G1399" s="67"/>
      <c r="H1399" s="68"/>
      <c r="I1399" s="76"/>
      <c r="J1399" s="67"/>
      <c r="K1399" s="7" t="s">
        <v>745</v>
      </c>
      <c r="L1399" s="77"/>
      <c r="M1399" s="79"/>
      <c r="N1399" s="1"/>
      <c r="O1399" s="1"/>
      <c r="P1399" s="1"/>
      <c r="Q1399" s="1"/>
      <c r="R1399" s="1"/>
      <c r="S1399" s="1"/>
      <c r="T1399" s="1"/>
      <c r="U1399" s="1"/>
      <c r="V1399" s="1"/>
      <c r="W1399" s="1"/>
      <c r="X1399" s="1"/>
      <c r="Y1399" s="1"/>
      <c r="Z1399" s="1"/>
      <c r="AA1399" s="1"/>
      <c r="AB1399" s="1"/>
      <c r="AC1399" s="1"/>
      <c r="AD1399" s="1"/>
      <c r="AE1399" s="1"/>
      <c r="AF1399" s="1"/>
      <c r="AG1399" s="1"/>
      <c r="AH1399" s="1"/>
    </row>
    <row r="1400" ht="12.75" hidden="1" customHeight="1" outlineLevel="1">
      <c r="A1400" s="17">
        <v>41237.0</v>
      </c>
      <c r="B1400" s="1"/>
      <c r="C1400" s="1" t="s">
        <v>339</v>
      </c>
      <c r="D1400" s="74"/>
      <c r="E1400" s="67"/>
      <c r="F1400" s="75"/>
      <c r="G1400" s="67"/>
      <c r="H1400" s="68"/>
      <c r="I1400" s="76"/>
      <c r="J1400" s="67"/>
      <c r="K1400" s="7" t="s">
        <v>797</v>
      </c>
      <c r="L1400" s="77"/>
      <c r="M1400" s="79"/>
      <c r="N1400" s="1"/>
      <c r="O1400" s="1"/>
      <c r="P1400" s="1"/>
      <c r="Q1400" s="1"/>
      <c r="R1400" s="1"/>
      <c r="S1400" s="1"/>
      <c r="T1400" s="1"/>
      <c r="U1400" s="1"/>
      <c r="V1400" s="1"/>
      <c r="W1400" s="1"/>
      <c r="X1400" s="1"/>
      <c r="Y1400" s="1"/>
      <c r="Z1400" s="1"/>
      <c r="AA1400" s="1"/>
      <c r="AB1400" s="1"/>
      <c r="AC1400" s="1"/>
      <c r="AD1400" s="1"/>
      <c r="AE1400" s="1"/>
      <c r="AF1400" s="1"/>
      <c r="AG1400" s="1"/>
      <c r="AH1400" s="1"/>
    </row>
    <row r="1401" ht="12.75" hidden="1" customHeight="1" outlineLevel="1">
      <c r="A1401" s="17">
        <v>41237.0</v>
      </c>
      <c r="B1401" s="1"/>
      <c r="C1401" s="1" t="s">
        <v>429</v>
      </c>
      <c r="D1401" s="74"/>
      <c r="E1401" s="67"/>
      <c r="F1401" s="75"/>
      <c r="G1401" s="67"/>
      <c r="H1401" s="68"/>
      <c r="I1401" s="76"/>
      <c r="J1401" s="67"/>
      <c r="K1401" s="7" t="s">
        <v>679</v>
      </c>
      <c r="L1401" s="77"/>
      <c r="M1401" s="79"/>
      <c r="N1401" s="1"/>
      <c r="O1401" s="1"/>
      <c r="P1401" s="1"/>
      <c r="Q1401" s="1"/>
      <c r="R1401" s="1"/>
      <c r="S1401" s="1"/>
      <c r="T1401" s="1"/>
      <c r="U1401" s="1"/>
      <c r="V1401" s="1"/>
      <c r="W1401" s="1"/>
      <c r="X1401" s="1"/>
      <c r="Y1401" s="1"/>
      <c r="Z1401" s="1"/>
      <c r="AA1401" s="1"/>
      <c r="AB1401" s="1"/>
      <c r="AC1401" s="1"/>
      <c r="AD1401" s="1"/>
      <c r="AE1401" s="1"/>
      <c r="AF1401" s="1"/>
      <c r="AG1401" s="1"/>
      <c r="AH1401" s="1"/>
    </row>
    <row r="1402" ht="12.75" hidden="1" customHeight="1" outlineLevel="1">
      <c r="A1402" s="17">
        <v>41237.0</v>
      </c>
      <c r="B1402" s="1"/>
      <c r="C1402" s="1" t="s">
        <v>431</v>
      </c>
      <c r="D1402" s="74"/>
      <c r="E1402" s="67"/>
      <c r="F1402" s="75"/>
      <c r="G1402" s="67"/>
      <c r="H1402" s="68"/>
      <c r="I1402" s="76"/>
      <c r="J1402" s="67"/>
      <c r="K1402" s="7" t="s">
        <v>669</v>
      </c>
      <c r="L1402" s="77"/>
      <c r="M1402" s="79"/>
      <c r="N1402" s="1"/>
      <c r="O1402" s="1"/>
      <c r="P1402" s="1"/>
      <c r="Q1402" s="1"/>
      <c r="R1402" s="1"/>
      <c r="S1402" s="1"/>
      <c r="T1402" s="1"/>
      <c r="U1402" s="1"/>
      <c r="V1402" s="1"/>
      <c r="W1402" s="1"/>
      <c r="X1402" s="1"/>
      <c r="Y1402" s="1"/>
      <c r="Z1402" s="1"/>
      <c r="AA1402" s="1"/>
      <c r="AB1402" s="1"/>
      <c r="AC1402" s="1"/>
      <c r="AD1402" s="1"/>
      <c r="AE1402" s="1"/>
      <c r="AF1402" s="1"/>
      <c r="AG1402" s="1"/>
      <c r="AH1402" s="1"/>
    </row>
    <row r="1403" ht="12.75" hidden="1" customHeight="1" outlineLevel="1">
      <c r="A1403" s="17">
        <v>41237.0</v>
      </c>
      <c r="B1403" s="1"/>
      <c r="C1403" s="1" t="s">
        <v>433</v>
      </c>
      <c r="D1403" s="74"/>
      <c r="E1403" s="67"/>
      <c r="F1403" s="75"/>
      <c r="G1403" s="67"/>
      <c r="H1403" s="68"/>
      <c r="I1403" s="76"/>
      <c r="J1403" s="67"/>
      <c r="K1403" s="1" t="s">
        <v>434</v>
      </c>
      <c r="L1403" s="77"/>
      <c r="M1403" s="79"/>
      <c r="N1403" s="1"/>
      <c r="O1403" s="1"/>
      <c r="P1403" s="1"/>
      <c r="Q1403" s="1"/>
      <c r="R1403" s="1"/>
      <c r="S1403" s="1"/>
      <c r="T1403" s="1"/>
      <c r="U1403" s="1"/>
      <c r="V1403" s="1"/>
      <c r="W1403" s="1"/>
      <c r="X1403" s="1"/>
      <c r="Y1403" s="1"/>
      <c r="Z1403" s="1"/>
      <c r="AA1403" s="1"/>
      <c r="AB1403" s="1"/>
      <c r="AC1403" s="1"/>
      <c r="AD1403" s="1"/>
      <c r="AE1403" s="1"/>
      <c r="AF1403" s="1"/>
      <c r="AG1403" s="1"/>
      <c r="AH1403" s="1"/>
    </row>
    <row r="1404" ht="12.75" hidden="1" customHeight="1" outlineLevel="1">
      <c r="A1404" s="17">
        <v>41237.0</v>
      </c>
      <c r="B1404" s="1"/>
      <c r="C1404" s="1" t="s">
        <v>435</v>
      </c>
      <c r="D1404" s="74"/>
      <c r="E1404" s="67"/>
      <c r="F1404" s="75"/>
      <c r="G1404" s="67"/>
      <c r="H1404" s="68"/>
      <c r="I1404" s="76"/>
      <c r="J1404" s="67"/>
      <c r="K1404" s="7" t="s">
        <v>745</v>
      </c>
      <c r="L1404" s="77"/>
      <c r="M1404" s="79"/>
      <c r="N1404" s="1"/>
      <c r="O1404" s="1"/>
      <c r="P1404" s="1"/>
      <c r="Q1404" s="1"/>
      <c r="R1404" s="1"/>
      <c r="S1404" s="1"/>
      <c r="T1404" s="1"/>
      <c r="U1404" s="1"/>
      <c r="V1404" s="1"/>
      <c r="W1404" s="1"/>
      <c r="X1404" s="1"/>
      <c r="Y1404" s="1"/>
      <c r="Z1404" s="1"/>
      <c r="AA1404" s="1"/>
      <c r="AB1404" s="1"/>
      <c r="AC1404" s="1"/>
      <c r="AD1404" s="1"/>
      <c r="AE1404" s="1"/>
      <c r="AF1404" s="1"/>
      <c r="AG1404" s="1"/>
      <c r="AH1404" s="1"/>
    </row>
    <row r="1405" ht="12.75" hidden="1" customHeight="1" outlineLevel="1">
      <c r="A1405" s="17">
        <v>41239.0</v>
      </c>
      <c r="B1405" s="1" t="s">
        <v>343</v>
      </c>
      <c r="C1405" s="1" t="s">
        <v>381</v>
      </c>
      <c r="D1405" s="74">
        <v>300.0</v>
      </c>
      <c r="E1405" s="67">
        <v>25.1</v>
      </c>
      <c r="F1405" s="75">
        <v>0.40597222222222223</v>
      </c>
      <c r="G1405" s="67" t="s">
        <v>453</v>
      </c>
      <c r="H1405" s="68">
        <v>1.4</v>
      </c>
      <c r="I1405" s="76"/>
      <c r="J1405" s="67">
        <f t="shared" ref="J1405:J1406" si="98">IF(B1405="SLD",D1405*E1405,-D1405*E1405)-H1405</f>
        <v>-7531.4</v>
      </c>
      <c r="K1405" s="7"/>
      <c r="L1405" s="70"/>
      <c r="M1405" s="79"/>
      <c r="N1405" s="1"/>
      <c r="O1405" s="1"/>
      <c r="P1405" s="1"/>
      <c r="Q1405" s="1"/>
      <c r="R1405" s="1"/>
      <c r="S1405" s="1"/>
      <c r="T1405" s="1"/>
      <c r="U1405" s="1"/>
      <c r="V1405" s="1"/>
      <c r="W1405" s="1"/>
      <c r="X1405" s="1"/>
      <c r="Y1405" s="1"/>
      <c r="Z1405" s="1"/>
      <c r="AA1405" s="1"/>
      <c r="AB1405" s="1"/>
      <c r="AC1405" s="1"/>
      <c r="AD1405" s="1"/>
      <c r="AE1405" s="1"/>
      <c r="AF1405" s="1"/>
      <c r="AG1405" s="1"/>
      <c r="AH1405" s="1"/>
    </row>
    <row r="1406" ht="12.75" hidden="1" customHeight="1" outlineLevel="1">
      <c r="A1406" s="17">
        <v>41239.0</v>
      </c>
      <c r="B1406" s="1" t="s">
        <v>343</v>
      </c>
      <c r="C1406" s="1" t="s">
        <v>346</v>
      </c>
      <c r="D1406" s="74">
        <v>20.0</v>
      </c>
      <c r="E1406" s="67">
        <v>579.1</v>
      </c>
      <c r="F1406" s="75">
        <v>0.41653935185185187</v>
      </c>
      <c r="G1406" s="67" t="s">
        <v>453</v>
      </c>
      <c r="H1406" s="68">
        <v>1.0</v>
      </c>
      <c r="I1406" s="76"/>
      <c r="J1406" s="67">
        <f t="shared" si="98"/>
        <v>-11583</v>
      </c>
      <c r="K1406" s="7"/>
      <c r="L1406" s="70"/>
      <c r="M1406" s="79"/>
      <c r="N1406" s="1"/>
      <c r="O1406" s="1"/>
      <c r="P1406" s="1"/>
      <c r="Q1406" s="1"/>
      <c r="R1406" s="1"/>
      <c r="S1406" s="1"/>
      <c r="T1406" s="1"/>
      <c r="U1406" s="1"/>
      <c r="V1406" s="1"/>
      <c r="W1406" s="1"/>
      <c r="X1406" s="1"/>
      <c r="Y1406" s="1"/>
      <c r="Z1406" s="1"/>
      <c r="AA1406" s="1"/>
      <c r="AB1406" s="1"/>
      <c r="AC1406" s="1"/>
      <c r="AD1406" s="1"/>
      <c r="AE1406" s="1"/>
      <c r="AF1406" s="1"/>
      <c r="AG1406" s="1"/>
      <c r="AH1406" s="1"/>
    </row>
    <row r="1407" ht="12.75" hidden="1" customHeight="1" outlineLevel="1">
      <c r="A1407" s="17">
        <v>41239.0</v>
      </c>
      <c r="B1407" s="1"/>
      <c r="C1407" s="1" t="s">
        <v>339</v>
      </c>
      <c r="D1407" s="74"/>
      <c r="E1407" s="67"/>
      <c r="F1407" s="75"/>
      <c r="G1407" s="67"/>
      <c r="H1407" s="68"/>
      <c r="I1407" s="76"/>
      <c r="J1407" s="67"/>
      <c r="K1407" s="7" t="s">
        <v>798</v>
      </c>
      <c r="L1407" s="77"/>
      <c r="M1407" s="79"/>
      <c r="N1407" s="1"/>
      <c r="O1407" s="1"/>
      <c r="P1407" s="1"/>
      <c r="Q1407" s="1"/>
      <c r="R1407" s="1"/>
      <c r="S1407" s="1"/>
      <c r="T1407" s="1"/>
      <c r="U1407" s="1"/>
      <c r="V1407" s="1"/>
      <c r="W1407" s="1"/>
      <c r="X1407" s="1"/>
      <c r="Y1407" s="1"/>
      <c r="Z1407" s="1"/>
      <c r="AA1407" s="1"/>
      <c r="AB1407" s="1"/>
      <c r="AC1407" s="1"/>
      <c r="AD1407" s="1"/>
      <c r="AE1407" s="1"/>
      <c r="AF1407" s="1"/>
      <c r="AG1407" s="1"/>
      <c r="AH1407" s="1"/>
    </row>
    <row r="1408" ht="12.75" hidden="1" customHeight="1" outlineLevel="1">
      <c r="A1408" s="17">
        <v>41239.0</v>
      </c>
      <c r="B1408" s="1"/>
      <c r="C1408" s="1" t="s">
        <v>429</v>
      </c>
      <c r="D1408" s="74"/>
      <c r="E1408" s="67"/>
      <c r="F1408" s="75"/>
      <c r="G1408" s="67"/>
      <c r="H1408" s="68"/>
      <c r="I1408" s="76"/>
      <c r="J1408" s="67"/>
      <c r="K1408" s="7" t="s">
        <v>679</v>
      </c>
      <c r="L1408" s="77"/>
      <c r="M1408" s="79"/>
      <c r="N1408" s="1"/>
      <c r="O1408" s="1"/>
      <c r="P1408" s="1"/>
      <c r="Q1408" s="1"/>
      <c r="R1408" s="1"/>
      <c r="S1408" s="1"/>
      <c r="T1408" s="1"/>
      <c r="U1408" s="1"/>
      <c r="V1408" s="1"/>
      <c r="W1408" s="1"/>
      <c r="X1408" s="1"/>
      <c r="Y1408" s="1"/>
      <c r="Z1408" s="1"/>
      <c r="AA1408" s="1"/>
      <c r="AB1408" s="1"/>
      <c r="AC1408" s="1"/>
      <c r="AD1408" s="1"/>
      <c r="AE1408" s="1"/>
      <c r="AF1408" s="1"/>
      <c r="AG1408" s="1"/>
      <c r="AH1408" s="1"/>
    </row>
    <row r="1409" ht="12.75" hidden="1" customHeight="1" outlineLevel="1">
      <c r="A1409" s="17">
        <v>41239.0</v>
      </c>
      <c r="B1409" s="1"/>
      <c r="C1409" s="1" t="s">
        <v>431</v>
      </c>
      <c r="D1409" s="74"/>
      <c r="E1409" s="67"/>
      <c r="F1409" s="75"/>
      <c r="G1409" s="67"/>
      <c r="H1409" s="68"/>
      <c r="I1409" s="76"/>
      <c r="J1409" s="67"/>
      <c r="K1409" s="7" t="s">
        <v>669</v>
      </c>
      <c r="L1409" s="77"/>
      <c r="M1409" s="79"/>
      <c r="N1409" s="1"/>
      <c r="O1409" s="1"/>
      <c r="P1409" s="1"/>
      <c r="Q1409" s="1"/>
      <c r="R1409" s="1"/>
      <c r="S1409" s="1"/>
      <c r="T1409" s="1"/>
      <c r="U1409" s="1"/>
      <c r="V1409" s="1"/>
      <c r="W1409" s="1"/>
      <c r="X1409" s="1"/>
      <c r="Y1409" s="1"/>
      <c r="Z1409" s="1"/>
      <c r="AA1409" s="1"/>
      <c r="AB1409" s="1"/>
      <c r="AC1409" s="1"/>
      <c r="AD1409" s="1"/>
      <c r="AE1409" s="1"/>
      <c r="AF1409" s="1"/>
      <c r="AG1409" s="1"/>
      <c r="AH1409" s="1"/>
    </row>
    <row r="1410" ht="12.75" hidden="1" customHeight="1" outlineLevel="1">
      <c r="A1410" s="17">
        <v>41239.0</v>
      </c>
      <c r="B1410" s="1"/>
      <c r="C1410" s="1" t="s">
        <v>433</v>
      </c>
      <c r="D1410" s="74"/>
      <c r="E1410" s="67"/>
      <c r="F1410" s="75"/>
      <c r="G1410" s="67"/>
      <c r="H1410" s="68"/>
      <c r="I1410" s="76"/>
      <c r="J1410" s="67"/>
      <c r="K1410" s="1" t="s">
        <v>434</v>
      </c>
      <c r="L1410" s="77"/>
      <c r="M1410" s="79"/>
      <c r="N1410" s="1"/>
      <c r="O1410" s="1"/>
      <c r="P1410" s="1"/>
      <c r="Q1410" s="1"/>
      <c r="R1410" s="1"/>
      <c r="S1410" s="1"/>
      <c r="T1410" s="1"/>
      <c r="U1410" s="1"/>
      <c r="V1410" s="1"/>
      <c r="W1410" s="1"/>
      <c r="X1410" s="1"/>
      <c r="Y1410" s="1"/>
      <c r="Z1410" s="1"/>
      <c r="AA1410" s="1"/>
      <c r="AB1410" s="1"/>
      <c r="AC1410" s="1"/>
      <c r="AD1410" s="1"/>
      <c r="AE1410" s="1"/>
      <c r="AF1410" s="1"/>
      <c r="AG1410" s="1"/>
      <c r="AH1410" s="1"/>
    </row>
    <row r="1411" ht="12.75" hidden="1" customHeight="1" outlineLevel="1">
      <c r="A1411" s="17">
        <v>41239.0</v>
      </c>
      <c r="B1411" s="1"/>
      <c r="C1411" s="1" t="s">
        <v>435</v>
      </c>
      <c r="D1411" s="74"/>
      <c r="E1411" s="67"/>
      <c r="F1411" s="75"/>
      <c r="G1411" s="67"/>
      <c r="H1411" s="68"/>
      <c r="I1411" s="76"/>
      <c r="J1411" s="67"/>
      <c r="K1411" s="7" t="s">
        <v>745</v>
      </c>
      <c r="L1411" s="77"/>
      <c r="M1411" s="79"/>
      <c r="N1411" s="1"/>
      <c r="O1411" s="1"/>
      <c r="P1411" s="1"/>
      <c r="Q1411" s="1"/>
      <c r="R1411" s="1"/>
      <c r="S1411" s="1"/>
      <c r="T1411" s="1"/>
      <c r="U1411" s="1"/>
      <c r="V1411" s="1"/>
      <c r="W1411" s="1"/>
      <c r="X1411" s="1"/>
      <c r="Y1411" s="1"/>
      <c r="Z1411" s="1"/>
      <c r="AA1411" s="1"/>
      <c r="AB1411" s="1"/>
      <c r="AC1411" s="1"/>
      <c r="AD1411" s="1"/>
      <c r="AE1411" s="1"/>
      <c r="AF1411" s="1"/>
      <c r="AG1411" s="1"/>
      <c r="AH1411" s="1"/>
    </row>
    <row r="1412" ht="12.75" hidden="1" customHeight="1" outlineLevel="1">
      <c r="A1412" s="17">
        <v>41240.0</v>
      </c>
      <c r="B1412" s="1" t="s">
        <v>343</v>
      </c>
      <c r="C1412" s="7" t="s">
        <v>800</v>
      </c>
      <c r="D1412" s="74">
        <v>500.0</v>
      </c>
      <c r="E1412" s="67">
        <v>0.95</v>
      </c>
      <c r="F1412" s="75">
        <v>0.4256365740740741</v>
      </c>
      <c r="G1412" s="67" t="s">
        <v>453</v>
      </c>
      <c r="H1412" s="68">
        <v>5.57</v>
      </c>
      <c r="I1412" s="76"/>
      <c r="J1412" s="67">
        <f t="shared" ref="J1412:J1416" si="99">IF(B1412="SLD",D1412*E1412,-D1412*E1412)-H1412</f>
        <v>-480.57</v>
      </c>
      <c r="K1412" s="7"/>
      <c r="L1412" s="70"/>
      <c r="M1412" s="79"/>
      <c r="N1412" s="1"/>
      <c r="O1412" s="1"/>
      <c r="P1412" s="1"/>
      <c r="Q1412" s="1"/>
      <c r="R1412" s="1"/>
      <c r="S1412" s="1"/>
      <c r="T1412" s="1"/>
      <c r="U1412" s="1"/>
      <c r="V1412" s="1"/>
      <c r="W1412" s="1"/>
      <c r="X1412" s="1"/>
      <c r="Y1412" s="1"/>
      <c r="Z1412" s="1"/>
      <c r="AA1412" s="1"/>
      <c r="AB1412" s="1"/>
      <c r="AC1412" s="1"/>
      <c r="AD1412" s="1"/>
      <c r="AE1412" s="1"/>
      <c r="AF1412" s="1"/>
      <c r="AG1412" s="1"/>
      <c r="AH1412" s="1"/>
    </row>
    <row r="1413" ht="12.75" hidden="1" customHeight="1" outlineLevel="1">
      <c r="A1413" s="17">
        <v>41240.0</v>
      </c>
      <c r="B1413" s="1" t="s">
        <v>343</v>
      </c>
      <c r="C1413" s="1" t="s">
        <v>751</v>
      </c>
      <c r="D1413" s="74">
        <v>100.0</v>
      </c>
      <c r="E1413" s="67">
        <v>108.3</v>
      </c>
      <c r="F1413" s="75">
        <v>0.453900462962963</v>
      </c>
      <c r="G1413" s="67" t="s">
        <v>453</v>
      </c>
      <c r="H1413" s="68">
        <v>1.0</v>
      </c>
      <c r="I1413" s="76"/>
      <c r="J1413" s="67">
        <f t="shared" si="99"/>
        <v>-10831</v>
      </c>
      <c r="K1413" s="7"/>
      <c r="L1413" s="70"/>
      <c r="M1413" s="79"/>
      <c r="N1413" s="1"/>
      <c r="O1413" s="1"/>
      <c r="P1413" s="1"/>
      <c r="Q1413" s="1"/>
      <c r="R1413" s="1"/>
      <c r="S1413" s="1"/>
      <c r="T1413" s="1"/>
      <c r="U1413" s="1"/>
      <c r="V1413" s="1"/>
      <c r="W1413" s="1"/>
      <c r="X1413" s="1"/>
      <c r="Y1413" s="1"/>
      <c r="Z1413" s="1"/>
      <c r="AA1413" s="1"/>
      <c r="AB1413" s="1"/>
      <c r="AC1413" s="1"/>
      <c r="AD1413" s="1"/>
      <c r="AE1413" s="1"/>
      <c r="AF1413" s="1"/>
      <c r="AG1413" s="1"/>
      <c r="AH1413" s="1"/>
    </row>
    <row r="1414" ht="12.75" hidden="1" customHeight="1" outlineLevel="1">
      <c r="A1414" s="17">
        <v>41240.0</v>
      </c>
      <c r="B1414" s="1" t="s">
        <v>347</v>
      </c>
      <c r="C1414" s="1" t="s">
        <v>786</v>
      </c>
      <c r="D1414" s="74">
        <v>200.0</v>
      </c>
      <c r="E1414" s="67">
        <v>14.96</v>
      </c>
      <c r="F1414" s="75">
        <v>0.5739583333333333</v>
      </c>
      <c r="G1414" s="67" t="s">
        <v>453</v>
      </c>
      <c r="H1414" s="68">
        <v>1.0</v>
      </c>
      <c r="I1414" s="76"/>
      <c r="J1414" s="67">
        <f t="shared" si="99"/>
        <v>2991</v>
      </c>
      <c r="K1414" s="7"/>
      <c r="L1414" s="70"/>
      <c r="M1414" s="79"/>
      <c r="N1414" s="1"/>
      <c r="O1414" s="1"/>
      <c r="P1414" s="1"/>
      <c r="Q1414" s="1"/>
      <c r="R1414" s="1"/>
      <c r="S1414" s="1"/>
      <c r="T1414" s="1"/>
      <c r="U1414" s="1"/>
      <c r="V1414" s="1"/>
      <c r="W1414" s="1"/>
      <c r="X1414" s="1"/>
      <c r="Y1414" s="1"/>
      <c r="Z1414" s="1"/>
      <c r="AA1414" s="1"/>
      <c r="AB1414" s="1"/>
      <c r="AC1414" s="1"/>
      <c r="AD1414" s="1"/>
      <c r="AE1414" s="1"/>
      <c r="AF1414" s="1"/>
      <c r="AG1414" s="1"/>
      <c r="AH1414" s="1"/>
    </row>
    <row r="1415" ht="12.75" hidden="1" customHeight="1" outlineLevel="1">
      <c r="A1415" s="17">
        <v>41240.0</v>
      </c>
      <c r="B1415" s="1" t="s">
        <v>347</v>
      </c>
      <c r="C1415" s="1" t="s">
        <v>346</v>
      </c>
      <c r="D1415" s="74">
        <v>20.0</v>
      </c>
      <c r="E1415" s="67">
        <v>583.6</v>
      </c>
      <c r="F1415" s="75">
        <v>0.6537268518518519</v>
      </c>
      <c r="G1415" s="67" t="s">
        <v>453</v>
      </c>
      <c r="H1415" s="68">
        <v>1.0</v>
      </c>
      <c r="I1415" s="76"/>
      <c r="J1415" s="67">
        <f t="shared" si="99"/>
        <v>11671</v>
      </c>
      <c r="K1415" s="7"/>
      <c r="L1415" s="70"/>
      <c r="M1415" s="79"/>
      <c r="N1415" s="1"/>
      <c r="O1415" s="1"/>
      <c r="P1415" s="1"/>
      <c r="Q1415" s="1"/>
      <c r="R1415" s="1"/>
      <c r="S1415" s="1"/>
      <c r="T1415" s="1"/>
      <c r="U1415" s="1"/>
      <c r="V1415" s="1"/>
      <c r="W1415" s="1"/>
      <c r="X1415" s="1"/>
      <c r="Y1415" s="1"/>
      <c r="Z1415" s="1"/>
      <c r="AA1415" s="1"/>
      <c r="AB1415" s="1"/>
      <c r="AC1415" s="1"/>
      <c r="AD1415" s="1"/>
      <c r="AE1415" s="1"/>
      <c r="AF1415" s="1"/>
      <c r="AG1415" s="1"/>
      <c r="AH1415" s="1"/>
    </row>
    <row r="1416" ht="12.75" hidden="1" customHeight="1" outlineLevel="1">
      <c r="A1416" s="17">
        <v>41240.0</v>
      </c>
      <c r="B1416" s="1" t="s">
        <v>343</v>
      </c>
      <c r="C1416" s="1" t="s">
        <v>757</v>
      </c>
      <c r="D1416" s="74">
        <v>140.0</v>
      </c>
      <c r="E1416" s="67">
        <v>56.2</v>
      </c>
      <c r="F1416" s="75">
        <v>0.6632870370370371</v>
      </c>
      <c r="G1416" s="67" t="s">
        <v>453</v>
      </c>
      <c r="H1416" s="68">
        <v>1.0</v>
      </c>
      <c r="I1416" s="76"/>
      <c r="J1416" s="67">
        <f t="shared" si="99"/>
        <v>-7869</v>
      </c>
      <c r="K1416" s="7"/>
      <c r="L1416" s="70"/>
      <c r="M1416" s="79"/>
      <c r="N1416" s="1"/>
      <c r="O1416" s="1"/>
      <c r="P1416" s="1"/>
      <c r="Q1416" s="1"/>
      <c r="R1416" s="1"/>
      <c r="S1416" s="1"/>
      <c r="T1416" s="1"/>
      <c r="U1416" s="1"/>
      <c r="V1416" s="1"/>
      <c r="W1416" s="1"/>
      <c r="X1416" s="1"/>
      <c r="Y1416" s="1"/>
      <c r="Z1416" s="1"/>
      <c r="AA1416" s="1"/>
      <c r="AB1416" s="1"/>
      <c r="AC1416" s="1"/>
      <c r="AD1416" s="1"/>
      <c r="AE1416" s="1"/>
      <c r="AF1416" s="1"/>
      <c r="AG1416" s="1"/>
      <c r="AH1416" s="1"/>
    </row>
    <row r="1417" ht="12.75" hidden="1" customHeight="1" outlineLevel="1">
      <c r="A1417" s="17">
        <v>41240.0</v>
      </c>
      <c r="B1417" s="1"/>
      <c r="C1417" s="1" t="s">
        <v>339</v>
      </c>
      <c r="D1417" s="74"/>
      <c r="E1417" s="67"/>
      <c r="F1417" s="75"/>
      <c r="G1417" s="67"/>
      <c r="H1417" s="68"/>
      <c r="I1417" s="76"/>
      <c r="J1417" s="67"/>
      <c r="K1417" s="7" t="s">
        <v>801</v>
      </c>
      <c r="L1417" s="77"/>
      <c r="M1417" s="79"/>
      <c r="N1417" s="1"/>
      <c r="O1417" s="1"/>
      <c r="P1417" s="1"/>
      <c r="Q1417" s="1"/>
      <c r="R1417" s="1"/>
      <c r="S1417" s="1"/>
      <c r="T1417" s="1"/>
      <c r="U1417" s="1"/>
      <c r="V1417" s="1"/>
      <c r="W1417" s="1"/>
      <c r="X1417" s="1"/>
      <c r="Y1417" s="1"/>
      <c r="Z1417" s="1"/>
      <c r="AA1417" s="1"/>
      <c r="AB1417" s="1"/>
      <c r="AC1417" s="1"/>
      <c r="AD1417" s="1"/>
      <c r="AE1417" s="1"/>
      <c r="AF1417" s="1"/>
      <c r="AG1417" s="1"/>
      <c r="AH1417" s="1"/>
    </row>
    <row r="1418" ht="12.75" hidden="1" customHeight="1" outlineLevel="1">
      <c r="A1418" s="17">
        <v>41240.0</v>
      </c>
      <c r="B1418" s="1"/>
      <c r="C1418" s="1" t="s">
        <v>429</v>
      </c>
      <c r="D1418" s="74"/>
      <c r="E1418" s="67"/>
      <c r="F1418" s="75"/>
      <c r="G1418" s="67"/>
      <c r="H1418" s="68"/>
      <c r="I1418" s="76"/>
      <c r="J1418" s="67"/>
      <c r="K1418" s="7" t="s">
        <v>679</v>
      </c>
      <c r="L1418" s="77"/>
      <c r="M1418" s="79"/>
      <c r="N1418" s="1"/>
      <c r="O1418" s="1"/>
      <c r="P1418" s="1"/>
      <c r="Q1418" s="1"/>
      <c r="R1418" s="1"/>
      <c r="S1418" s="1"/>
      <c r="T1418" s="1"/>
      <c r="U1418" s="1"/>
      <c r="V1418" s="1"/>
      <c r="W1418" s="1"/>
      <c r="X1418" s="1"/>
      <c r="Y1418" s="1"/>
      <c r="Z1418" s="1"/>
      <c r="AA1418" s="1"/>
      <c r="AB1418" s="1"/>
      <c r="AC1418" s="1"/>
      <c r="AD1418" s="1"/>
      <c r="AE1418" s="1"/>
      <c r="AF1418" s="1"/>
      <c r="AG1418" s="1"/>
      <c r="AH1418" s="1"/>
    </row>
    <row r="1419" ht="12.75" hidden="1" customHeight="1" outlineLevel="1">
      <c r="A1419" s="17">
        <v>41240.0</v>
      </c>
      <c r="B1419" s="1"/>
      <c r="C1419" s="1" t="s">
        <v>431</v>
      </c>
      <c r="D1419" s="74"/>
      <c r="E1419" s="67"/>
      <c r="F1419" s="75"/>
      <c r="G1419" s="67"/>
      <c r="H1419" s="68"/>
      <c r="I1419" s="76"/>
      <c r="J1419" s="67"/>
      <c r="K1419" s="7" t="s">
        <v>669</v>
      </c>
      <c r="L1419" s="77"/>
      <c r="M1419" s="79"/>
      <c r="N1419" s="1"/>
      <c r="O1419" s="1"/>
      <c r="P1419" s="1"/>
      <c r="Q1419" s="1"/>
      <c r="R1419" s="1"/>
      <c r="S1419" s="1"/>
      <c r="T1419" s="1"/>
      <c r="U1419" s="1"/>
      <c r="V1419" s="1"/>
      <c r="W1419" s="1"/>
      <c r="X1419" s="1"/>
      <c r="Y1419" s="1"/>
      <c r="Z1419" s="1"/>
      <c r="AA1419" s="1"/>
      <c r="AB1419" s="1"/>
      <c r="AC1419" s="1"/>
      <c r="AD1419" s="1"/>
      <c r="AE1419" s="1"/>
      <c r="AF1419" s="1"/>
      <c r="AG1419" s="1"/>
      <c r="AH1419" s="1"/>
    </row>
    <row r="1420" ht="12.75" hidden="1" customHeight="1" outlineLevel="1">
      <c r="A1420" s="17">
        <v>41240.0</v>
      </c>
      <c r="B1420" s="1"/>
      <c r="C1420" s="1" t="s">
        <v>433</v>
      </c>
      <c r="D1420" s="74"/>
      <c r="E1420" s="67"/>
      <c r="F1420" s="75"/>
      <c r="G1420" s="67"/>
      <c r="H1420" s="68"/>
      <c r="I1420" s="76"/>
      <c r="J1420" s="67"/>
      <c r="K1420" s="1" t="s">
        <v>434</v>
      </c>
      <c r="L1420" s="77"/>
      <c r="M1420" s="79"/>
      <c r="N1420" s="1"/>
      <c r="O1420" s="1"/>
      <c r="P1420" s="1"/>
      <c r="Q1420" s="1"/>
      <c r="R1420" s="1"/>
      <c r="S1420" s="1"/>
      <c r="T1420" s="1"/>
      <c r="U1420" s="1"/>
      <c r="V1420" s="1"/>
      <c r="W1420" s="1"/>
      <c r="X1420" s="1"/>
      <c r="Y1420" s="1"/>
      <c r="Z1420" s="1"/>
      <c r="AA1420" s="1"/>
      <c r="AB1420" s="1"/>
      <c r="AC1420" s="1"/>
      <c r="AD1420" s="1"/>
      <c r="AE1420" s="1"/>
      <c r="AF1420" s="1"/>
      <c r="AG1420" s="1"/>
      <c r="AH1420" s="1"/>
    </row>
    <row r="1421" ht="12.75" hidden="1" customHeight="1" outlineLevel="1">
      <c r="A1421" s="17">
        <v>41240.0</v>
      </c>
      <c r="B1421" s="1"/>
      <c r="C1421" s="1" t="s">
        <v>435</v>
      </c>
      <c r="D1421" s="74"/>
      <c r="E1421" s="67"/>
      <c r="F1421" s="75"/>
      <c r="G1421" s="67"/>
      <c r="H1421" s="68"/>
      <c r="I1421" s="76"/>
      <c r="J1421" s="67"/>
      <c r="K1421" s="7" t="s">
        <v>745</v>
      </c>
      <c r="L1421" s="77"/>
      <c r="M1421" s="79"/>
      <c r="N1421" s="1"/>
      <c r="O1421" s="1"/>
      <c r="P1421" s="1"/>
      <c r="Q1421" s="1"/>
      <c r="R1421" s="1"/>
      <c r="S1421" s="1"/>
      <c r="T1421" s="1"/>
      <c r="U1421" s="1"/>
      <c r="V1421" s="1"/>
      <c r="W1421" s="1"/>
      <c r="X1421" s="1"/>
      <c r="Y1421" s="1"/>
      <c r="Z1421" s="1"/>
      <c r="AA1421" s="1"/>
      <c r="AB1421" s="1"/>
      <c r="AC1421" s="1"/>
      <c r="AD1421" s="1"/>
      <c r="AE1421" s="1"/>
      <c r="AF1421" s="1"/>
      <c r="AG1421" s="1"/>
      <c r="AH1421" s="1"/>
    </row>
    <row r="1422" ht="12.75" hidden="1" customHeight="1" outlineLevel="1">
      <c r="A1422" s="17">
        <v>41241.0</v>
      </c>
      <c r="B1422" s="1" t="s">
        <v>347</v>
      </c>
      <c r="C1422" s="1" t="s">
        <v>387</v>
      </c>
      <c r="D1422" s="74">
        <v>150.0</v>
      </c>
      <c r="E1422" s="67">
        <v>68.93</v>
      </c>
      <c r="F1422" s="75">
        <v>0.41075231481481483</v>
      </c>
      <c r="G1422" s="67" t="s">
        <v>453</v>
      </c>
      <c r="H1422" s="68">
        <v>1.0</v>
      </c>
      <c r="I1422" s="76"/>
      <c r="J1422" s="67">
        <f t="shared" ref="J1422:J1425" si="100">IF(B1422="SLD",D1422*E1422,-D1422*E1422)-H1422</f>
        <v>10338.5</v>
      </c>
      <c r="K1422" s="7"/>
      <c r="L1422" s="70"/>
      <c r="M1422" s="79"/>
      <c r="N1422" s="1"/>
      <c r="O1422" s="1"/>
      <c r="P1422" s="1"/>
      <c r="Q1422" s="1"/>
      <c r="R1422" s="1"/>
      <c r="S1422" s="1"/>
      <c r="T1422" s="1"/>
      <c r="U1422" s="1"/>
      <c r="V1422" s="1"/>
      <c r="W1422" s="1"/>
      <c r="X1422" s="1"/>
      <c r="Y1422" s="1"/>
      <c r="Z1422" s="1"/>
      <c r="AA1422" s="1"/>
      <c r="AB1422" s="1"/>
      <c r="AC1422" s="1"/>
      <c r="AD1422" s="1"/>
      <c r="AE1422" s="1"/>
      <c r="AF1422" s="1"/>
      <c r="AG1422" s="1"/>
      <c r="AH1422" s="1"/>
    </row>
    <row r="1423" ht="12.75" hidden="1" customHeight="1" outlineLevel="1">
      <c r="A1423" s="17">
        <v>41241.0</v>
      </c>
      <c r="B1423" s="1" t="s">
        <v>347</v>
      </c>
      <c r="C1423" s="1" t="s">
        <v>757</v>
      </c>
      <c r="D1423" s="74">
        <v>140.0</v>
      </c>
      <c r="E1423" s="67">
        <v>53.0</v>
      </c>
      <c r="F1423" s="75">
        <v>0.42166666666666663</v>
      </c>
      <c r="G1423" s="67" t="s">
        <v>453</v>
      </c>
      <c r="H1423" s="68">
        <v>1.0</v>
      </c>
      <c r="I1423" s="76"/>
      <c r="J1423" s="67">
        <f t="shared" si="100"/>
        <v>7419</v>
      </c>
      <c r="K1423" s="7"/>
      <c r="L1423" s="70"/>
      <c r="M1423" s="79"/>
      <c r="N1423" s="1"/>
      <c r="O1423" s="1"/>
      <c r="P1423" s="1"/>
      <c r="Q1423" s="1"/>
      <c r="R1423" s="1"/>
      <c r="S1423" s="1"/>
      <c r="T1423" s="1"/>
      <c r="U1423" s="1"/>
      <c r="V1423" s="1"/>
      <c r="W1423" s="1"/>
      <c r="X1423" s="1"/>
      <c r="Y1423" s="1"/>
      <c r="Z1423" s="1"/>
      <c r="AA1423" s="1"/>
      <c r="AB1423" s="1"/>
      <c r="AC1423" s="1"/>
      <c r="AD1423" s="1"/>
      <c r="AE1423" s="1"/>
      <c r="AF1423" s="1"/>
      <c r="AG1423" s="1"/>
      <c r="AH1423" s="1"/>
    </row>
    <row r="1424" ht="12.75" hidden="1" customHeight="1" outlineLevel="1">
      <c r="A1424" s="17">
        <v>41241.0</v>
      </c>
      <c r="B1424" s="1" t="s">
        <v>343</v>
      </c>
      <c r="C1424" s="1" t="s">
        <v>734</v>
      </c>
      <c r="D1424" s="74">
        <v>300.0</v>
      </c>
      <c r="E1424" s="67">
        <v>19.04</v>
      </c>
      <c r="F1424" s="75">
        <v>0.4326157407407407</v>
      </c>
      <c r="G1424" s="67" t="s">
        <v>453</v>
      </c>
      <c r="H1424" s="68">
        <v>1.3</v>
      </c>
      <c r="I1424" s="76"/>
      <c r="J1424" s="67">
        <f t="shared" si="100"/>
        <v>-5713.3</v>
      </c>
      <c r="K1424" s="7"/>
      <c r="L1424" s="70"/>
      <c r="M1424" s="79"/>
      <c r="N1424" s="1"/>
      <c r="O1424" s="1"/>
      <c r="P1424" s="1"/>
      <c r="Q1424" s="1"/>
      <c r="R1424" s="1"/>
      <c r="S1424" s="1"/>
      <c r="T1424" s="1"/>
      <c r="U1424" s="1"/>
      <c r="V1424" s="1"/>
      <c r="W1424" s="1"/>
      <c r="X1424" s="1"/>
      <c r="Y1424" s="1"/>
      <c r="Z1424" s="1"/>
      <c r="AA1424" s="1"/>
      <c r="AB1424" s="1"/>
      <c r="AC1424" s="1"/>
      <c r="AD1424" s="1"/>
      <c r="AE1424" s="1"/>
      <c r="AF1424" s="1"/>
      <c r="AG1424" s="1"/>
      <c r="AH1424" s="1"/>
    </row>
    <row r="1425" ht="12.75" hidden="1" customHeight="1" outlineLevel="1">
      <c r="A1425" s="17">
        <v>41241.0</v>
      </c>
      <c r="B1425" s="1" t="s">
        <v>343</v>
      </c>
      <c r="C1425" s="1" t="s">
        <v>356</v>
      </c>
      <c r="D1425" s="74">
        <v>46.0</v>
      </c>
      <c r="E1425" s="67">
        <v>265.82</v>
      </c>
      <c r="F1425" s="75">
        <v>0.445625</v>
      </c>
      <c r="G1425" s="67" t="s">
        <v>453</v>
      </c>
      <c r="H1425" s="68">
        <v>1.0</v>
      </c>
      <c r="I1425" s="76"/>
      <c r="J1425" s="67">
        <f t="shared" si="100"/>
        <v>-12228.72</v>
      </c>
      <c r="K1425" s="7"/>
      <c r="L1425" s="70"/>
      <c r="M1425" s="79"/>
      <c r="N1425" s="1"/>
      <c r="O1425" s="1"/>
      <c r="P1425" s="1"/>
      <c r="Q1425" s="1"/>
      <c r="R1425" s="1"/>
      <c r="S1425" s="1"/>
      <c r="T1425" s="1"/>
      <c r="U1425" s="1"/>
      <c r="V1425" s="1"/>
      <c r="W1425" s="1"/>
      <c r="X1425" s="1"/>
      <c r="Y1425" s="1"/>
      <c r="Z1425" s="1"/>
      <c r="AA1425" s="1"/>
      <c r="AB1425" s="1"/>
      <c r="AC1425" s="1"/>
      <c r="AD1425" s="1"/>
      <c r="AE1425" s="1"/>
      <c r="AF1425" s="1"/>
      <c r="AG1425" s="1"/>
      <c r="AH1425" s="1"/>
    </row>
    <row r="1426" ht="12.75" hidden="1" customHeight="1" outlineLevel="1">
      <c r="A1426" s="17">
        <v>41241.0</v>
      </c>
      <c r="B1426" s="1"/>
      <c r="C1426" s="1" t="s">
        <v>339</v>
      </c>
      <c r="D1426" s="74"/>
      <c r="E1426" s="67"/>
      <c r="F1426" s="75"/>
      <c r="G1426" s="67"/>
      <c r="H1426" s="68"/>
      <c r="I1426" s="76"/>
      <c r="J1426" s="67"/>
      <c r="K1426" s="7" t="s">
        <v>810</v>
      </c>
      <c r="L1426" s="77"/>
      <c r="M1426" s="79"/>
      <c r="N1426" s="1"/>
      <c r="O1426" s="1"/>
      <c r="P1426" s="1"/>
      <c r="Q1426" s="1"/>
      <c r="R1426" s="1"/>
      <c r="S1426" s="1"/>
      <c r="T1426" s="1"/>
      <c r="U1426" s="1"/>
      <c r="V1426" s="1"/>
      <c r="W1426" s="1"/>
      <c r="X1426" s="1"/>
      <c r="Y1426" s="1"/>
      <c r="Z1426" s="1"/>
      <c r="AA1426" s="1"/>
      <c r="AB1426" s="1"/>
      <c r="AC1426" s="1"/>
      <c r="AD1426" s="1"/>
      <c r="AE1426" s="1"/>
      <c r="AF1426" s="1"/>
      <c r="AG1426" s="1"/>
      <c r="AH1426" s="1"/>
    </row>
    <row r="1427" ht="12.75" hidden="1" customHeight="1" outlineLevel="1">
      <c r="A1427" s="17">
        <v>41241.0</v>
      </c>
      <c r="B1427" s="1"/>
      <c r="C1427" s="1" t="s">
        <v>429</v>
      </c>
      <c r="D1427" s="74"/>
      <c r="E1427" s="67"/>
      <c r="F1427" s="75"/>
      <c r="G1427" s="67"/>
      <c r="H1427" s="68"/>
      <c r="I1427" s="76"/>
      <c r="J1427" s="67"/>
      <c r="K1427" s="7" t="s">
        <v>679</v>
      </c>
      <c r="L1427" s="77"/>
      <c r="M1427" s="79"/>
      <c r="N1427" s="1"/>
      <c r="O1427" s="1"/>
      <c r="P1427" s="1"/>
      <c r="Q1427" s="1"/>
      <c r="R1427" s="1"/>
      <c r="S1427" s="1"/>
      <c r="T1427" s="1"/>
      <c r="U1427" s="1"/>
      <c r="V1427" s="1"/>
      <c r="W1427" s="1"/>
      <c r="X1427" s="1"/>
      <c r="Y1427" s="1"/>
      <c r="Z1427" s="1"/>
      <c r="AA1427" s="1"/>
      <c r="AB1427" s="1"/>
      <c r="AC1427" s="1"/>
      <c r="AD1427" s="1"/>
      <c r="AE1427" s="1"/>
      <c r="AF1427" s="1"/>
      <c r="AG1427" s="1"/>
      <c r="AH1427" s="1"/>
    </row>
    <row r="1428" ht="12.75" hidden="1" customHeight="1" outlineLevel="1">
      <c r="A1428" s="17">
        <v>41241.0</v>
      </c>
      <c r="B1428" s="1"/>
      <c r="C1428" s="1" t="s">
        <v>431</v>
      </c>
      <c r="D1428" s="74"/>
      <c r="E1428" s="67"/>
      <c r="F1428" s="75"/>
      <c r="G1428" s="67"/>
      <c r="H1428" s="68"/>
      <c r="I1428" s="76"/>
      <c r="J1428" s="67"/>
      <c r="K1428" s="7" t="s">
        <v>669</v>
      </c>
      <c r="L1428" s="77"/>
      <c r="M1428" s="79"/>
      <c r="N1428" s="1"/>
      <c r="O1428" s="1"/>
      <c r="P1428" s="1"/>
      <c r="Q1428" s="1"/>
      <c r="R1428" s="1"/>
      <c r="S1428" s="1"/>
      <c r="T1428" s="1"/>
      <c r="U1428" s="1"/>
      <c r="V1428" s="1"/>
      <c r="W1428" s="1"/>
      <c r="X1428" s="1"/>
      <c r="Y1428" s="1"/>
      <c r="Z1428" s="1"/>
      <c r="AA1428" s="1"/>
      <c r="AB1428" s="1"/>
      <c r="AC1428" s="1"/>
      <c r="AD1428" s="1"/>
      <c r="AE1428" s="1"/>
      <c r="AF1428" s="1"/>
      <c r="AG1428" s="1"/>
      <c r="AH1428" s="1"/>
    </row>
    <row r="1429" ht="12.75" hidden="1" customHeight="1" outlineLevel="1">
      <c r="A1429" s="17">
        <v>41241.0</v>
      </c>
      <c r="B1429" s="1"/>
      <c r="C1429" s="1" t="s">
        <v>433</v>
      </c>
      <c r="D1429" s="74"/>
      <c r="E1429" s="67"/>
      <c r="F1429" s="75"/>
      <c r="G1429" s="67"/>
      <c r="H1429" s="68"/>
      <c r="I1429" s="76"/>
      <c r="J1429" s="67"/>
      <c r="K1429" s="1" t="s">
        <v>434</v>
      </c>
      <c r="L1429" s="77"/>
      <c r="M1429" s="79"/>
      <c r="N1429" s="1"/>
      <c r="O1429" s="1"/>
      <c r="P1429" s="1"/>
      <c r="Q1429" s="1"/>
      <c r="R1429" s="1"/>
      <c r="S1429" s="1"/>
      <c r="T1429" s="1"/>
      <c r="U1429" s="1"/>
      <c r="V1429" s="1"/>
      <c r="W1429" s="1"/>
      <c r="X1429" s="1"/>
      <c r="Y1429" s="1"/>
      <c r="Z1429" s="1"/>
      <c r="AA1429" s="1"/>
      <c r="AB1429" s="1"/>
      <c r="AC1429" s="1"/>
      <c r="AD1429" s="1"/>
      <c r="AE1429" s="1"/>
      <c r="AF1429" s="1"/>
      <c r="AG1429" s="1"/>
      <c r="AH1429" s="1"/>
    </row>
    <row r="1430" ht="12.75" hidden="1" customHeight="1" outlineLevel="1">
      <c r="A1430" s="17">
        <v>41241.0</v>
      </c>
      <c r="B1430" s="1"/>
      <c r="C1430" s="1" t="s">
        <v>435</v>
      </c>
      <c r="D1430" s="74"/>
      <c r="E1430" s="67"/>
      <c r="F1430" s="75"/>
      <c r="G1430" s="67"/>
      <c r="H1430" s="68"/>
      <c r="I1430" s="76"/>
      <c r="J1430" s="67"/>
      <c r="K1430" s="7" t="s">
        <v>745</v>
      </c>
      <c r="L1430" s="77"/>
      <c r="M1430" s="79"/>
      <c r="N1430" s="1"/>
      <c r="O1430" s="1"/>
      <c r="P1430" s="1"/>
      <c r="Q1430" s="1"/>
      <c r="R1430" s="1"/>
      <c r="S1430" s="1"/>
      <c r="T1430" s="1"/>
      <c r="U1430" s="1"/>
      <c r="V1430" s="1"/>
      <c r="W1430" s="1"/>
      <c r="X1430" s="1"/>
      <c r="Y1430" s="1"/>
      <c r="Z1430" s="1"/>
      <c r="AA1430" s="1"/>
      <c r="AB1430" s="1"/>
      <c r="AC1430" s="1"/>
      <c r="AD1430" s="1"/>
      <c r="AE1430" s="1"/>
      <c r="AF1430" s="1"/>
      <c r="AG1430" s="1"/>
      <c r="AH1430" s="1"/>
    </row>
    <row r="1431" ht="12.75" hidden="1" customHeight="1" outlineLevel="1">
      <c r="A1431" s="17">
        <v>41242.0</v>
      </c>
      <c r="B1431" s="1" t="s">
        <v>343</v>
      </c>
      <c r="C1431" s="1" t="s">
        <v>789</v>
      </c>
      <c r="D1431" s="74">
        <v>400.0</v>
      </c>
      <c r="E1431" s="67">
        <v>13.04</v>
      </c>
      <c r="F1431" s="75">
        <v>0.4019212962962963</v>
      </c>
      <c r="G1431" s="67" t="s">
        <v>453</v>
      </c>
      <c r="H1431" s="68">
        <v>1.6</v>
      </c>
      <c r="I1431" s="76"/>
      <c r="J1431" s="67">
        <f t="shared" ref="J1431:J1436" si="101">IF(B1431="SLD",D1431*E1431,-D1431*E1431)-H1431</f>
        <v>-5217.6</v>
      </c>
      <c r="K1431" s="7"/>
      <c r="L1431" s="70"/>
      <c r="M1431" s="79"/>
      <c r="N1431" s="1"/>
      <c r="O1431" s="1"/>
      <c r="P1431" s="1"/>
      <c r="Q1431" s="1"/>
      <c r="R1431" s="1"/>
      <c r="S1431" s="1"/>
      <c r="T1431" s="1"/>
      <c r="U1431" s="1"/>
      <c r="V1431" s="1"/>
      <c r="W1431" s="1"/>
      <c r="X1431" s="1"/>
      <c r="Y1431" s="1"/>
      <c r="Z1431" s="1"/>
      <c r="AA1431" s="1"/>
      <c r="AB1431" s="1"/>
      <c r="AC1431" s="1"/>
      <c r="AD1431" s="1"/>
      <c r="AE1431" s="1"/>
      <c r="AF1431" s="1"/>
      <c r="AG1431" s="1"/>
      <c r="AH1431" s="1"/>
    </row>
    <row r="1432" ht="12.75" hidden="1" customHeight="1" outlineLevel="1">
      <c r="A1432" s="17">
        <v>41242.0</v>
      </c>
      <c r="B1432" s="1" t="s">
        <v>343</v>
      </c>
      <c r="C1432" s="1" t="s">
        <v>691</v>
      </c>
      <c r="D1432" s="74">
        <v>300.0</v>
      </c>
      <c r="E1432" s="67">
        <v>29.41</v>
      </c>
      <c r="F1432" s="75">
        <v>0.40371527777777777</v>
      </c>
      <c r="G1432" s="67" t="s">
        <v>453</v>
      </c>
      <c r="H1432" s="68">
        <v>1.3</v>
      </c>
      <c r="I1432" s="76"/>
      <c r="J1432" s="67">
        <f t="shared" si="101"/>
        <v>-8824.3</v>
      </c>
      <c r="K1432" s="7"/>
      <c r="L1432" s="70"/>
      <c r="M1432" s="79"/>
      <c r="N1432" s="1"/>
      <c r="O1432" s="1"/>
      <c r="P1432" s="1"/>
      <c r="Q1432" s="1"/>
      <c r="R1432" s="1"/>
      <c r="S1432" s="1"/>
      <c r="T1432" s="1"/>
      <c r="U1432" s="1"/>
      <c r="V1432" s="1"/>
      <c r="W1432" s="1"/>
      <c r="X1432" s="1"/>
      <c r="Y1432" s="1"/>
      <c r="Z1432" s="1"/>
      <c r="AA1432" s="1"/>
      <c r="AB1432" s="1"/>
      <c r="AC1432" s="1"/>
      <c r="AD1432" s="1"/>
      <c r="AE1432" s="1"/>
      <c r="AF1432" s="1"/>
      <c r="AG1432" s="1"/>
      <c r="AH1432" s="1"/>
    </row>
    <row r="1433" ht="12.75" hidden="1" customHeight="1" outlineLevel="1">
      <c r="A1433" s="17">
        <v>41242.0</v>
      </c>
      <c r="B1433" s="1" t="s">
        <v>343</v>
      </c>
      <c r="C1433" s="1" t="s">
        <v>346</v>
      </c>
      <c r="D1433" s="74">
        <v>20.0</v>
      </c>
      <c r="E1433" s="67">
        <v>591.66</v>
      </c>
      <c r="F1433" s="75">
        <v>0.44560185185185186</v>
      </c>
      <c r="G1433" s="67" t="s">
        <v>453</v>
      </c>
      <c r="H1433" s="68">
        <v>1.0</v>
      </c>
      <c r="I1433" s="76"/>
      <c r="J1433" s="67">
        <f t="shared" si="101"/>
        <v>-11834.2</v>
      </c>
      <c r="K1433" s="7"/>
      <c r="L1433" s="70"/>
      <c r="M1433" s="79"/>
      <c r="N1433" s="1"/>
      <c r="O1433" s="1"/>
      <c r="P1433" s="1"/>
      <c r="Q1433" s="1"/>
      <c r="R1433" s="1"/>
      <c r="S1433" s="1"/>
      <c r="T1433" s="1"/>
      <c r="U1433" s="1"/>
      <c r="V1433" s="1"/>
      <c r="W1433" s="1"/>
      <c r="X1433" s="1"/>
      <c r="Y1433" s="1"/>
      <c r="Z1433" s="1"/>
      <c r="AA1433" s="1"/>
      <c r="AB1433" s="1"/>
      <c r="AC1433" s="1"/>
      <c r="AD1433" s="1"/>
      <c r="AE1433" s="1"/>
      <c r="AF1433" s="1"/>
      <c r="AG1433" s="1"/>
      <c r="AH1433" s="1"/>
    </row>
    <row r="1434" ht="12.75" hidden="1" customHeight="1" outlineLevel="1">
      <c r="A1434" s="17">
        <v>41242.0</v>
      </c>
      <c r="B1434" s="1" t="s">
        <v>343</v>
      </c>
      <c r="C1434" s="1" t="s">
        <v>734</v>
      </c>
      <c r="D1434" s="74">
        <v>500.0</v>
      </c>
      <c r="E1434" s="67">
        <v>19.45</v>
      </c>
      <c r="F1434" s="75">
        <v>0.46112268518518523</v>
      </c>
      <c r="G1434" s="67" t="s">
        <v>453</v>
      </c>
      <c r="H1434" s="68">
        <v>2.5</v>
      </c>
      <c r="I1434" s="76"/>
      <c r="J1434" s="67">
        <f t="shared" si="101"/>
        <v>-9727.5</v>
      </c>
      <c r="K1434" s="7"/>
      <c r="L1434" s="70"/>
      <c r="M1434" s="79"/>
      <c r="N1434" s="1"/>
      <c r="O1434" s="1"/>
      <c r="P1434" s="1"/>
      <c r="Q1434" s="1"/>
      <c r="R1434" s="1"/>
      <c r="S1434" s="1"/>
      <c r="T1434" s="1"/>
      <c r="U1434" s="1"/>
      <c r="V1434" s="1"/>
      <c r="W1434" s="1"/>
      <c r="X1434" s="1"/>
      <c r="Y1434" s="1"/>
      <c r="Z1434" s="1"/>
      <c r="AA1434" s="1"/>
      <c r="AB1434" s="1"/>
      <c r="AC1434" s="1"/>
      <c r="AD1434" s="1"/>
      <c r="AE1434" s="1"/>
      <c r="AF1434" s="1"/>
      <c r="AG1434" s="1"/>
      <c r="AH1434" s="1"/>
    </row>
    <row r="1435" ht="12.75" hidden="1" customHeight="1" outlineLevel="1">
      <c r="A1435" s="17">
        <v>41242.0</v>
      </c>
      <c r="B1435" s="1" t="s">
        <v>343</v>
      </c>
      <c r="C1435" s="1" t="s">
        <v>354</v>
      </c>
      <c r="D1435" s="74">
        <v>50.0</v>
      </c>
      <c r="E1435" s="67">
        <v>105.679</v>
      </c>
      <c r="F1435" s="75">
        <v>0.46471064814814816</v>
      </c>
      <c r="G1435" s="67" t="s">
        <v>453</v>
      </c>
      <c r="H1435" s="68">
        <v>1.0</v>
      </c>
      <c r="I1435" s="76"/>
      <c r="J1435" s="67">
        <f t="shared" si="101"/>
        <v>-5284.95</v>
      </c>
      <c r="K1435" s="7"/>
      <c r="L1435" s="70"/>
      <c r="M1435" s="79"/>
      <c r="N1435" s="1"/>
      <c r="O1435" s="1"/>
      <c r="P1435" s="1"/>
      <c r="Q1435" s="1"/>
      <c r="R1435" s="1"/>
      <c r="S1435" s="1"/>
      <c r="T1435" s="1"/>
      <c r="U1435" s="1"/>
      <c r="V1435" s="1"/>
      <c r="W1435" s="1"/>
      <c r="X1435" s="1"/>
      <c r="Y1435" s="1"/>
      <c r="Z1435" s="1"/>
      <c r="AA1435" s="1"/>
      <c r="AB1435" s="1"/>
      <c r="AC1435" s="1"/>
      <c r="AD1435" s="1"/>
      <c r="AE1435" s="1"/>
      <c r="AF1435" s="1"/>
      <c r="AG1435" s="1"/>
      <c r="AH1435" s="1"/>
    </row>
    <row r="1436" ht="12.75" hidden="1" customHeight="1" outlineLevel="1">
      <c r="A1436" s="17">
        <v>41242.0</v>
      </c>
      <c r="B1436" s="1" t="s">
        <v>343</v>
      </c>
      <c r="C1436" s="1" t="s">
        <v>755</v>
      </c>
      <c r="D1436" s="74">
        <v>200.0</v>
      </c>
      <c r="E1436" s="67">
        <v>32.15</v>
      </c>
      <c r="F1436" s="75">
        <v>0.633263888888889</v>
      </c>
      <c r="G1436" s="67" t="s">
        <v>453</v>
      </c>
      <c r="H1436" s="68">
        <v>1.0</v>
      </c>
      <c r="I1436" s="76"/>
      <c r="J1436" s="67">
        <f t="shared" si="101"/>
        <v>-6431</v>
      </c>
      <c r="K1436" s="7"/>
      <c r="L1436" s="70"/>
      <c r="M1436" s="79"/>
      <c r="N1436" s="1"/>
      <c r="O1436" s="1"/>
      <c r="P1436" s="1"/>
      <c r="Q1436" s="1"/>
      <c r="R1436" s="1"/>
      <c r="S1436" s="1"/>
      <c r="T1436" s="1"/>
      <c r="U1436" s="1"/>
      <c r="V1436" s="1"/>
      <c r="W1436" s="1"/>
      <c r="X1436" s="1"/>
      <c r="Y1436" s="1"/>
      <c r="Z1436" s="1"/>
      <c r="AA1436" s="1"/>
      <c r="AB1436" s="1"/>
      <c r="AC1436" s="1"/>
      <c r="AD1436" s="1"/>
      <c r="AE1436" s="1"/>
      <c r="AF1436" s="1"/>
      <c r="AG1436" s="1"/>
      <c r="AH1436" s="1"/>
    </row>
    <row r="1437" ht="12.75" hidden="1" customHeight="1" outlineLevel="1">
      <c r="A1437" s="17">
        <v>41242.0</v>
      </c>
      <c r="B1437" s="1"/>
      <c r="C1437" s="1" t="s">
        <v>339</v>
      </c>
      <c r="D1437" s="74"/>
      <c r="E1437" s="67"/>
      <c r="F1437" s="75"/>
      <c r="G1437" s="67"/>
      <c r="H1437" s="68"/>
      <c r="I1437" s="76"/>
      <c r="J1437" s="67"/>
      <c r="K1437" s="7" t="s">
        <v>815</v>
      </c>
      <c r="L1437" s="77"/>
      <c r="M1437" s="79"/>
      <c r="N1437" s="1"/>
      <c r="O1437" s="1"/>
      <c r="P1437" s="1"/>
      <c r="Q1437" s="1"/>
      <c r="R1437" s="1"/>
      <c r="S1437" s="1"/>
      <c r="T1437" s="1"/>
      <c r="U1437" s="1"/>
      <c r="V1437" s="1"/>
      <c r="W1437" s="1"/>
      <c r="X1437" s="1"/>
      <c r="Y1437" s="1"/>
      <c r="Z1437" s="1"/>
      <c r="AA1437" s="1"/>
      <c r="AB1437" s="1"/>
      <c r="AC1437" s="1"/>
      <c r="AD1437" s="1"/>
      <c r="AE1437" s="1"/>
      <c r="AF1437" s="1"/>
      <c r="AG1437" s="1"/>
      <c r="AH1437" s="1"/>
    </row>
    <row r="1438" ht="12.75" hidden="1" customHeight="1" outlineLevel="1">
      <c r="A1438" s="17">
        <v>41242.0</v>
      </c>
      <c r="B1438" s="1"/>
      <c r="C1438" s="1" t="s">
        <v>429</v>
      </c>
      <c r="D1438" s="74"/>
      <c r="E1438" s="67"/>
      <c r="F1438" s="75"/>
      <c r="G1438" s="67"/>
      <c r="H1438" s="68"/>
      <c r="I1438" s="76"/>
      <c r="J1438" s="67"/>
      <c r="K1438" s="7" t="s">
        <v>679</v>
      </c>
      <c r="L1438" s="77"/>
      <c r="M1438" s="79"/>
      <c r="N1438" s="1"/>
      <c r="O1438" s="1"/>
      <c r="P1438" s="1"/>
      <c r="Q1438" s="1"/>
      <c r="R1438" s="1"/>
      <c r="S1438" s="1"/>
      <c r="T1438" s="1"/>
      <c r="U1438" s="1"/>
      <c r="V1438" s="1"/>
      <c r="W1438" s="1"/>
      <c r="X1438" s="1"/>
      <c r="Y1438" s="1"/>
      <c r="Z1438" s="1"/>
      <c r="AA1438" s="1"/>
      <c r="AB1438" s="1"/>
      <c r="AC1438" s="1"/>
      <c r="AD1438" s="1"/>
      <c r="AE1438" s="1"/>
      <c r="AF1438" s="1"/>
      <c r="AG1438" s="1"/>
      <c r="AH1438" s="1"/>
    </row>
    <row r="1439" ht="12.75" hidden="1" customHeight="1" outlineLevel="1">
      <c r="A1439" s="17">
        <v>41242.0</v>
      </c>
      <c r="B1439" s="1"/>
      <c r="C1439" s="1" t="s">
        <v>431</v>
      </c>
      <c r="D1439" s="74"/>
      <c r="E1439" s="67"/>
      <c r="F1439" s="75"/>
      <c r="G1439" s="67"/>
      <c r="H1439" s="68"/>
      <c r="I1439" s="76"/>
      <c r="J1439" s="67"/>
      <c r="K1439" s="7" t="s">
        <v>669</v>
      </c>
      <c r="L1439" s="77"/>
      <c r="M1439" s="79"/>
      <c r="N1439" s="1"/>
      <c r="O1439" s="1"/>
      <c r="P1439" s="1"/>
      <c r="Q1439" s="1"/>
      <c r="R1439" s="1"/>
      <c r="S1439" s="1"/>
      <c r="T1439" s="1"/>
      <c r="U1439" s="1"/>
      <c r="V1439" s="1"/>
      <c r="W1439" s="1"/>
      <c r="X1439" s="1"/>
      <c r="Y1439" s="1"/>
      <c r="Z1439" s="1"/>
      <c r="AA1439" s="1"/>
      <c r="AB1439" s="1"/>
      <c r="AC1439" s="1"/>
      <c r="AD1439" s="1"/>
      <c r="AE1439" s="1"/>
      <c r="AF1439" s="1"/>
      <c r="AG1439" s="1"/>
      <c r="AH1439" s="1"/>
    </row>
    <row r="1440" ht="12.75" hidden="1" customHeight="1" outlineLevel="1">
      <c r="A1440" s="17">
        <v>41242.0</v>
      </c>
      <c r="B1440" s="1"/>
      <c r="C1440" s="1" t="s">
        <v>433</v>
      </c>
      <c r="D1440" s="74"/>
      <c r="E1440" s="67"/>
      <c r="F1440" s="75"/>
      <c r="G1440" s="67"/>
      <c r="H1440" s="68"/>
      <c r="I1440" s="76"/>
      <c r="J1440" s="67"/>
      <c r="K1440" s="1" t="s">
        <v>434</v>
      </c>
      <c r="L1440" s="77"/>
      <c r="M1440" s="79"/>
      <c r="N1440" s="1"/>
      <c r="O1440" s="1"/>
      <c r="P1440" s="1"/>
      <c r="Q1440" s="1"/>
      <c r="R1440" s="1"/>
      <c r="S1440" s="1"/>
      <c r="T1440" s="1"/>
      <c r="U1440" s="1"/>
      <c r="V1440" s="1"/>
      <c r="W1440" s="1"/>
      <c r="X1440" s="1"/>
      <c r="Y1440" s="1"/>
      <c r="Z1440" s="1"/>
      <c r="AA1440" s="1"/>
      <c r="AB1440" s="1"/>
      <c r="AC1440" s="1"/>
      <c r="AD1440" s="1"/>
      <c r="AE1440" s="1"/>
      <c r="AF1440" s="1"/>
      <c r="AG1440" s="1"/>
      <c r="AH1440" s="1"/>
    </row>
    <row r="1441" ht="12.75" hidden="1" customHeight="1" outlineLevel="1">
      <c r="A1441" s="17">
        <v>41242.0</v>
      </c>
      <c r="B1441" s="1"/>
      <c r="C1441" s="1" t="s">
        <v>435</v>
      </c>
      <c r="D1441" s="74"/>
      <c r="E1441" s="67"/>
      <c r="F1441" s="75"/>
      <c r="G1441" s="67"/>
      <c r="H1441" s="68"/>
      <c r="I1441" s="76"/>
      <c r="J1441" s="67"/>
      <c r="K1441" s="7" t="s">
        <v>745</v>
      </c>
      <c r="L1441" s="77"/>
      <c r="M1441" s="79"/>
      <c r="N1441" s="1"/>
      <c r="O1441" s="1"/>
      <c r="P1441" s="1"/>
      <c r="Q1441" s="1"/>
      <c r="R1441" s="1"/>
      <c r="S1441" s="1"/>
      <c r="T1441" s="1"/>
      <c r="U1441" s="1"/>
      <c r="V1441" s="1"/>
      <c r="W1441" s="1"/>
      <c r="X1441" s="1"/>
      <c r="Y1441" s="1"/>
      <c r="Z1441" s="1"/>
      <c r="AA1441" s="1"/>
      <c r="AB1441" s="1"/>
      <c r="AC1441" s="1"/>
      <c r="AD1441" s="1"/>
      <c r="AE1441" s="1"/>
      <c r="AF1441" s="1"/>
      <c r="AG1441" s="1"/>
      <c r="AH1441" s="1"/>
    </row>
    <row r="1442" ht="12.75" hidden="1" customHeight="1" outlineLevel="1">
      <c r="A1442" s="17">
        <v>41243.0</v>
      </c>
      <c r="B1442" s="1" t="s">
        <v>347</v>
      </c>
      <c r="C1442" s="1" t="s">
        <v>691</v>
      </c>
      <c r="D1442" s="74">
        <v>300.0</v>
      </c>
      <c r="E1442" s="67">
        <v>29.46</v>
      </c>
      <c r="F1442" s="75">
        <v>0.40116898148148145</v>
      </c>
      <c r="G1442" s="67" t="s">
        <v>453</v>
      </c>
      <c r="H1442" s="68">
        <v>1.5</v>
      </c>
      <c r="I1442" s="76"/>
      <c r="J1442" s="67">
        <f t="shared" ref="J1442:J1447" si="102">IF(B1442="SLD",D1442*E1442,-D1442*E1442)-H1442</f>
        <v>8836.5</v>
      </c>
      <c r="K1442" s="7"/>
      <c r="L1442" s="70"/>
      <c r="M1442" s="79"/>
      <c r="N1442" s="1"/>
      <c r="O1442" s="1"/>
      <c r="P1442" s="1"/>
      <c r="Q1442" s="1"/>
      <c r="R1442" s="1"/>
      <c r="S1442" s="1"/>
      <c r="T1442" s="1"/>
      <c r="U1442" s="1"/>
      <c r="V1442" s="1"/>
      <c r="W1442" s="1"/>
      <c r="X1442" s="1"/>
      <c r="Y1442" s="1"/>
      <c r="Z1442" s="1"/>
      <c r="AA1442" s="1"/>
      <c r="AB1442" s="1"/>
      <c r="AC1442" s="1"/>
      <c r="AD1442" s="1"/>
      <c r="AE1442" s="1"/>
      <c r="AF1442" s="1"/>
      <c r="AG1442" s="1"/>
      <c r="AH1442" s="1"/>
    </row>
    <row r="1443" ht="12.75" hidden="1" customHeight="1" outlineLevel="1">
      <c r="A1443" s="17">
        <v>41243.0</v>
      </c>
      <c r="B1443" s="1" t="s">
        <v>343</v>
      </c>
      <c r="C1443" s="1" t="s">
        <v>681</v>
      </c>
      <c r="D1443" s="74">
        <v>400.0</v>
      </c>
      <c r="E1443" s="67">
        <v>15.04</v>
      </c>
      <c r="F1443" s="75">
        <v>0.4357638888888889</v>
      </c>
      <c r="G1443" s="67" t="s">
        <v>453</v>
      </c>
      <c r="H1443" s="68">
        <v>2.0</v>
      </c>
      <c r="I1443" s="76"/>
      <c r="J1443" s="67">
        <f t="shared" si="102"/>
        <v>-6018</v>
      </c>
      <c r="K1443" s="7"/>
      <c r="L1443" s="70"/>
      <c r="M1443" s="79"/>
      <c r="N1443" s="1"/>
      <c r="O1443" s="1"/>
      <c r="P1443" s="1"/>
      <c r="Q1443" s="1"/>
      <c r="R1443" s="1"/>
      <c r="S1443" s="1"/>
      <c r="T1443" s="1"/>
      <c r="U1443" s="1"/>
      <c r="V1443" s="1"/>
      <c r="W1443" s="1"/>
      <c r="X1443" s="1"/>
      <c r="Y1443" s="1"/>
      <c r="Z1443" s="1"/>
      <c r="AA1443" s="1"/>
      <c r="AB1443" s="1"/>
      <c r="AC1443" s="1"/>
      <c r="AD1443" s="1"/>
      <c r="AE1443" s="1"/>
      <c r="AF1443" s="1"/>
      <c r="AG1443" s="1"/>
      <c r="AH1443" s="1"/>
    </row>
    <row r="1444" ht="12.75" hidden="1" customHeight="1" outlineLevel="1">
      <c r="A1444" s="17">
        <v>41243.0</v>
      </c>
      <c r="B1444" s="1" t="s">
        <v>347</v>
      </c>
      <c r="C1444" s="1" t="s">
        <v>346</v>
      </c>
      <c r="D1444" s="74">
        <v>80.0</v>
      </c>
      <c r="E1444" s="67">
        <v>584.16</v>
      </c>
      <c r="F1444" s="75">
        <v>0.4560416666666667</v>
      </c>
      <c r="G1444" s="67" t="s">
        <v>453</v>
      </c>
      <c r="H1444" s="68">
        <v>1.0</v>
      </c>
      <c r="I1444" s="76"/>
      <c r="J1444" s="67">
        <f t="shared" si="102"/>
        <v>46731.8</v>
      </c>
      <c r="K1444" s="7"/>
      <c r="L1444" s="70"/>
      <c r="M1444" s="79"/>
      <c r="N1444" s="1"/>
      <c r="O1444" s="1"/>
      <c r="P1444" s="1"/>
      <c r="Q1444" s="1"/>
      <c r="R1444" s="1"/>
      <c r="S1444" s="1"/>
      <c r="T1444" s="1"/>
      <c r="U1444" s="1"/>
      <c r="V1444" s="1"/>
      <c r="W1444" s="1"/>
      <c r="X1444" s="1"/>
      <c r="Y1444" s="1"/>
      <c r="Z1444" s="1"/>
      <c r="AA1444" s="1"/>
      <c r="AB1444" s="1"/>
      <c r="AC1444" s="1"/>
      <c r="AD1444" s="1"/>
      <c r="AE1444" s="1"/>
      <c r="AF1444" s="1"/>
      <c r="AG1444" s="1"/>
      <c r="AH1444" s="1"/>
    </row>
    <row r="1445" ht="12.75" hidden="1" customHeight="1" outlineLevel="1">
      <c r="A1445" s="17">
        <v>41243.0</v>
      </c>
      <c r="B1445" s="1" t="s">
        <v>343</v>
      </c>
      <c r="C1445" s="1" t="s">
        <v>355</v>
      </c>
      <c r="D1445" s="74">
        <v>200.0</v>
      </c>
      <c r="E1445" s="67">
        <v>30.89</v>
      </c>
      <c r="F1445" s="75">
        <v>0.5259490740740741</v>
      </c>
      <c r="G1445" s="67" t="s">
        <v>453</v>
      </c>
      <c r="H1445" s="68">
        <v>1.0</v>
      </c>
      <c r="I1445" s="76"/>
      <c r="J1445" s="67">
        <f t="shared" si="102"/>
        <v>-6179</v>
      </c>
      <c r="K1445" s="7"/>
      <c r="L1445" s="70"/>
      <c r="M1445" s="79"/>
      <c r="N1445" s="1"/>
      <c r="O1445" s="1"/>
      <c r="P1445" s="1"/>
      <c r="Q1445" s="1"/>
      <c r="R1445" s="1"/>
      <c r="S1445" s="1"/>
      <c r="T1445" s="1"/>
      <c r="U1445" s="1"/>
      <c r="V1445" s="1"/>
      <c r="W1445" s="1"/>
      <c r="X1445" s="1"/>
      <c r="Y1445" s="1"/>
      <c r="Z1445" s="1"/>
      <c r="AA1445" s="1"/>
      <c r="AB1445" s="1"/>
      <c r="AC1445" s="1"/>
      <c r="AD1445" s="1"/>
      <c r="AE1445" s="1"/>
      <c r="AF1445" s="1"/>
      <c r="AG1445" s="1"/>
      <c r="AH1445" s="1"/>
    </row>
    <row r="1446" ht="12.75" hidden="1" customHeight="1" outlineLevel="1">
      <c r="A1446" s="17">
        <v>41243.0</v>
      </c>
      <c r="B1446" s="1" t="s">
        <v>347</v>
      </c>
      <c r="C1446" s="1" t="s">
        <v>755</v>
      </c>
      <c r="D1446" s="74">
        <v>200.0</v>
      </c>
      <c r="E1446" s="67">
        <v>32.92</v>
      </c>
      <c r="F1446" s="75">
        <v>0.5996412037037037</v>
      </c>
      <c r="G1446" s="67" t="s">
        <v>453</v>
      </c>
      <c r="H1446" s="68">
        <v>1.0</v>
      </c>
      <c r="I1446" s="76"/>
      <c r="J1446" s="67">
        <f t="shared" si="102"/>
        <v>6583</v>
      </c>
      <c r="K1446" s="7"/>
      <c r="L1446" s="70"/>
      <c r="M1446" s="79"/>
      <c r="N1446" s="1"/>
      <c r="O1446" s="1"/>
      <c r="P1446" s="1"/>
      <c r="Q1446" s="1"/>
      <c r="R1446" s="1"/>
      <c r="S1446" s="1"/>
      <c r="T1446" s="1"/>
      <c r="U1446" s="1"/>
      <c r="V1446" s="1"/>
      <c r="W1446" s="1"/>
      <c r="X1446" s="1"/>
      <c r="Y1446" s="1"/>
      <c r="Z1446" s="1"/>
      <c r="AA1446" s="1"/>
      <c r="AB1446" s="1"/>
      <c r="AC1446" s="1"/>
      <c r="AD1446" s="1"/>
      <c r="AE1446" s="1"/>
      <c r="AF1446" s="1"/>
      <c r="AG1446" s="1"/>
      <c r="AH1446" s="1"/>
    </row>
    <row r="1447" ht="12.75" hidden="1" customHeight="1" outlineLevel="1">
      <c r="A1447" s="17">
        <v>41243.0</v>
      </c>
      <c r="B1447" s="1" t="s">
        <v>343</v>
      </c>
      <c r="C1447" s="1" t="s">
        <v>354</v>
      </c>
      <c r="D1447" s="74">
        <v>50.0</v>
      </c>
      <c r="E1447" s="67">
        <v>106.07</v>
      </c>
      <c r="F1447" s="75">
        <v>0.6565393518518519</v>
      </c>
      <c r="G1447" s="67" t="s">
        <v>453</v>
      </c>
      <c r="H1447" s="68">
        <v>1.0</v>
      </c>
      <c r="I1447" s="76"/>
      <c r="J1447" s="67">
        <f t="shared" si="102"/>
        <v>-5304.5</v>
      </c>
      <c r="K1447" s="7"/>
      <c r="L1447" s="70"/>
      <c r="M1447" s="79"/>
      <c r="N1447" s="1"/>
      <c r="O1447" s="1"/>
      <c r="P1447" s="1"/>
      <c r="Q1447" s="1"/>
      <c r="R1447" s="1"/>
      <c r="S1447" s="1"/>
      <c r="T1447" s="1"/>
      <c r="U1447" s="1"/>
      <c r="V1447" s="1"/>
      <c r="W1447" s="1"/>
      <c r="X1447" s="1"/>
      <c r="Y1447" s="1"/>
      <c r="Z1447" s="1"/>
      <c r="AA1447" s="1"/>
      <c r="AB1447" s="1"/>
      <c r="AC1447" s="1"/>
      <c r="AD1447" s="1"/>
      <c r="AE1447" s="1"/>
      <c r="AF1447" s="1"/>
      <c r="AG1447" s="1"/>
      <c r="AH1447" s="1"/>
    </row>
    <row r="1448" ht="12.75" hidden="1" customHeight="1" outlineLevel="1">
      <c r="A1448" s="17">
        <v>41243.0</v>
      </c>
      <c r="B1448" s="1"/>
      <c r="C1448" s="1" t="s">
        <v>339</v>
      </c>
      <c r="D1448" s="74"/>
      <c r="E1448" s="67"/>
      <c r="F1448" s="75"/>
      <c r="G1448" s="67"/>
      <c r="H1448" s="68"/>
      <c r="I1448" s="76"/>
      <c r="J1448" s="67"/>
      <c r="K1448" s="7" t="s">
        <v>816</v>
      </c>
      <c r="L1448" s="77"/>
      <c r="M1448" s="79"/>
      <c r="N1448" s="1"/>
      <c r="O1448" s="1"/>
      <c r="P1448" s="1"/>
      <c r="Q1448" s="1"/>
      <c r="R1448" s="1"/>
      <c r="S1448" s="1"/>
      <c r="T1448" s="1"/>
      <c r="U1448" s="1"/>
      <c r="V1448" s="1"/>
      <c r="W1448" s="1"/>
      <c r="X1448" s="1"/>
      <c r="Y1448" s="1"/>
      <c r="Z1448" s="1"/>
      <c r="AA1448" s="1"/>
      <c r="AB1448" s="1"/>
      <c r="AC1448" s="1"/>
      <c r="AD1448" s="1"/>
      <c r="AE1448" s="1"/>
      <c r="AF1448" s="1"/>
      <c r="AG1448" s="1"/>
      <c r="AH1448" s="1"/>
    </row>
    <row r="1449" ht="12.75" hidden="1" customHeight="1" outlineLevel="1">
      <c r="A1449" s="17">
        <v>41243.0</v>
      </c>
      <c r="B1449" s="1"/>
      <c r="C1449" s="1" t="s">
        <v>429</v>
      </c>
      <c r="D1449" s="74"/>
      <c r="E1449" s="67"/>
      <c r="F1449" s="75"/>
      <c r="G1449" s="67"/>
      <c r="H1449" s="68"/>
      <c r="I1449" s="76"/>
      <c r="J1449" s="67"/>
      <c r="K1449" s="7" t="s">
        <v>679</v>
      </c>
      <c r="L1449" s="77"/>
      <c r="M1449" s="79"/>
      <c r="N1449" s="1"/>
      <c r="O1449" s="1"/>
      <c r="P1449" s="1"/>
      <c r="Q1449" s="1"/>
      <c r="R1449" s="1"/>
      <c r="S1449" s="1"/>
      <c r="T1449" s="1"/>
      <c r="U1449" s="1"/>
      <c r="V1449" s="1"/>
      <c r="W1449" s="1"/>
      <c r="X1449" s="1"/>
      <c r="Y1449" s="1"/>
      <c r="Z1449" s="1"/>
      <c r="AA1449" s="1"/>
      <c r="AB1449" s="1"/>
      <c r="AC1449" s="1"/>
      <c r="AD1449" s="1"/>
      <c r="AE1449" s="1"/>
      <c r="AF1449" s="1"/>
      <c r="AG1449" s="1"/>
      <c r="AH1449" s="1"/>
    </row>
    <row r="1450" ht="12.75" hidden="1" customHeight="1" outlineLevel="1">
      <c r="A1450" s="17">
        <v>41243.0</v>
      </c>
      <c r="B1450" s="1"/>
      <c r="C1450" s="1" t="s">
        <v>431</v>
      </c>
      <c r="D1450" s="74"/>
      <c r="E1450" s="67"/>
      <c r="F1450" s="75"/>
      <c r="G1450" s="67"/>
      <c r="H1450" s="68"/>
      <c r="I1450" s="76"/>
      <c r="J1450" s="67"/>
      <c r="K1450" s="7" t="s">
        <v>817</v>
      </c>
      <c r="L1450" s="77"/>
      <c r="M1450" s="79"/>
      <c r="N1450" s="1"/>
      <c r="O1450" s="1"/>
      <c r="P1450" s="1"/>
      <c r="Q1450" s="1"/>
      <c r="R1450" s="1"/>
      <c r="S1450" s="1"/>
      <c r="T1450" s="1"/>
      <c r="U1450" s="1"/>
      <c r="V1450" s="1"/>
      <c r="W1450" s="1"/>
      <c r="X1450" s="1"/>
      <c r="Y1450" s="1"/>
      <c r="Z1450" s="1"/>
      <c r="AA1450" s="1"/>
      <c r="AB1450" s="1"/>
      <c r="AC1450" s="1"/>
      <c r="AD1450" s="1"/>
      <c r="AE1450" s="1"/>
      <c r="AF1450" s="1"/>
      <c r="AG1450" s="1"/>
      <c r="AH1450" s="1"/>
    </row>
    <row r="1451" ht="12.75" hidden="1" customHeight="1" outlineLevel="1">
      <c r="A1451" s="17">
        <v>41243.0</v>
      </c>
      <c r="B1451" s="1"/>
      <c r="C1451" s="1" t="s">
        <v>433</v>
      </c>
      <c r="D1451" s="74"/>
      <c r="E1451" s="67"/>
      <c r="F1451" s="75"/>
      <c r="G1451" s="67"/>
      <c r="H1451" s="68"/>
      <c r="I1451" s="76"/>
      <c r="J1451" s="67"/>
      <c r="K1451" s="1" t="s">
        <v>434</v>
      </c>
      <c r="L1451" s="77"/>
      <c r="M1451" s="79"/>
      <c r="N1451" s="1"/>
      <c r="O1451" s="1"/>
      <c r="P1451" s="1"/>
      <c r="Q1451" s="1"/>
      <c r="R1451" s="1"/>
      <c r="S1451" s="1"/>
      <c r="T1451" s="1"/>
      <c r="U1451" s="1"/>
      <c r="V1451" s="1"/>
      <c r="W1451" s="1"/>
      <c r="X1451" s="1"/>
      <c r="Y1451" s="1"/>
      <c r="Z1451" s="1"/>
      <c r="AA1451" s="1"/>
      <c r="AB1451" s="1"/>
      <c r="AC1451" s="1"/>
      <c r="AD1451" s="1"/>
      <c r="AE1451" s="1"/>
      <c r="AF1451" s="1"/>
      <c r="AG1451" s="1"/>
      <c r="AH1451" s="1"/>
    </row>
    <row r="1452" ht="12.75" hidden="1" customHeight="1" outlineLevel="1">
      <c r="A1452" s="17">
        <v>41243.0</v>
      </c>
      <c r="B1452" s="1"/>
      <c r="C1452" s="1" t="s">
        <v>435</v>
      </c>
      <c r="D1452" s="74"/>
      <c r="E1452" s="67"/>
      <c r="F1452" s="75"/>
      <c r="G1452" s="67"/>
      <c r="H1452" s="68"/>
      <c r="I1452" s="76"/>
      <c r="J1452" s="67"/>
      <c r="K1452" s="7" t="s">
        <v>818</v>
      </c>
      <c r="L1452" s="77"/>
      <c r="M1452" s="79"/>
      <c r="N1452" s="1"/>
      <c r="O1452" s="1"/>
      <c r="P1452" s="1"/>
      <c r="Q1452" s="1"/>
      <c r="R1452" s="1"/>
      <c r="S1452" s="1"/>
      <c r="T1452" s="1"/>
      <c r="U1452" s="1"/>
      <c r="V1452" s="1"/>
      <c r="W1452" s="1"/>
      <c r="X1452" s="1"/>
      <c r="Y1452" s="1"/>
      <c r="Z1452" s="1"/>
      <c r="AA1452" s="1"/>
      <c r="AB1452" s="1"/>
      <c r="AC1452" s="1"/>
      <c r="AD1452" s="1"/>
      <c r="AE1452" s="1"/>
      <c r="AF1452" s="1"/>
      <c r="AG1452" s="1"/>
      <c r="AH1452" s="1"/>
    </row>
    <row r="1453" ht="12.75" hidden="1" customHeight="1" outlineLevel="1">
      <c r="A1453" s="17">
        <v>41244.0</v>
      </c>
      <c r="B1453" s="1"/>
      <c r="C1453" s="1" t="s">
        <v>339</v>
      </c>
      <c r="D1453" s="74"/>
      <c r="E1453" s="67"/>
      <c r="F1453" s="75"/>
      <c r="G1453" s="67"/>
      <c r="H1453" s="68"/>
      <c r="I1453" s="76"/>
      <c r="J1453" s="67"/>
      <c r="K1453" s="7" t="s">
        <v>819</v>
      </c>
      <c r="L1453" s="77"/>
      <c r="M1453" s="79"/>
      <c r="N1453" s="1"/>
      <c r="O1453" s="1"/>
      <c r="P1453" s="1"/>
      <c r="Q1453" s="1"/>
      <c r="R1453" s="1"/>
      <c r="S1453" s="1"/>
      <c r="T1453" s="1"/>
      <c r="U1453" s="1"/>
      <c r="V1453" s="1"/>
      <c r="W1453" s="1"/>
      <c r="X1453" s="1"/>
      <c r="Y1453" s="1"/>
      <c r="Z1453" s="1"/>
      <c r="AA1453" s="1"/>
      <c r="AB1453" s="1"/>
      <c r="AC1453" s="1"/>
      <c r="AD1453" s="1"/>
      <c r="AE1453" s="1"/>
      <c r="AF1453" s="1"/>
      <c r="AG1453" s="1"/>
      <c r="AH1453" s="1"/>
    </row>
    <row r="1454" ht="12.75" hidden="1" customHeight="1" outlineLevel="1">
      <c r="A1454" s="17">
        <v>41244.0</v>
      </c>
      <c r="B1454" s="1"/>
      <c r="C1454" s="1" t="s">
        <v>429</v>
      </c>
      <c r="D1454" s="74"/>
      <c r="E1454" s="67"/>
      <c r="F1454" s="75"/>
      <c r="G1454" s="67"/>
      <c r="H1454" s="68"/>
      <c r="I1454" s="76"/>
      <c r="J1454" s="67"/>
      <c r="K1454" s="7" t="s">
        <v>679</v>
      </c>
      <c r="L1454" s="77"/>
      <c r="M1454" s="79"/>
      <c r="N1454" s="1"/>
      <c r="O1454" s="1"/>
      <c r="P1454" s="1"/>
      <c r="Q1454" s="1"/>
      <c r="R1454" s="1"/>
      <c r="S1454" s="1"/>
      <c r="T1454" s="1"/>
      <c r="U1454" s="1"/>
      <c r="V1454" s="1"/>
      <c r="W1454" s="1"/>
      <c r="X1454" s="1"/>
      <c r="Y1454" s="1"/>
      <c r="Z1454" s="1"/>
      <c r="AA1454" s="1"/>
      <c r="AB1454" s="1"/>
      <c r="AC1454" s="1"/>
      <c r="AD1454" s="1"/>
      <c r="AE1454" s="1"/>
      <c r="AF1454" s="1"/>
      <c r="AG1454" s="1"/>
      <c r="AH1454" s="1"/>
    </row>
    <row r="1455" ht="12.75" hidden="1" customHeight="1" outlineLevel="1">
      <c r="A1455" s="17">
        <v>41244.0</v>
      </c>
      <c r="B1455" s="1"/>
      <c r="C1455" s="1" t="s">
        <v>431</v>
      </c>
      <c r="D1455" s="74"/>
      <c r="E1455" s="67"/>
      <c r="F1455" s="75"/>
      <c r="G1455" s="67"/>
      <c r="H1455" s="68"/>
      <c r="I1455" s="76"/>
      <c r="J1455" s="67"/>
      <c r="K1455" s="7" t="s">
        <v>817</v>
      </c>
      <c r="L1455" s="77"/>
      <c r="M1455" s="79"/>
      <c r="N1455" s="1"/>
      <c r="O1455" s="1"/>
      <c r="P1455" s="1"/>
      <c r="Q1455" s="1"/>
      <c r="R1455" s="1"/>
      <c r="S1455" s="1"/>
      <c r="T1455" s="1"/>
      <c r="U1455" s="1"/>
      <c r="V1455" s="1"/>
      <c r="W1455" s="1"/>
      <c r="X1455" s="1"/>
      <c r="Y1455" s="1"/>
      <c r="Z1455" s="1"/>
      <c r="AA1455" s="1"/>
      <c r="AB1455" s="1"/>
      <c r="AC1455" s="1"/>
      <c r="AD1455" s="1"/>
      <c r="AE1455" s="1"/>
      <c r="AF1455" s="1"/>
      <c r="AG1455" s="1"/>
      <c r="AH1455" s="1"/>
    </row>
    <row r="1456" ht="12.75" hidden="1" customHeight="1" outlineLevel="1">
      <c r="A1456" s="17">
        <v>41244.0</v>
      </c>
      <c r="B1456" s="1"/>
      <c r="C1456" s="1" t="s">
        <v>433</v>
      </c>
      <c r="D1456" s="74"/>
      <c r="E1456" s="67"/>
      <c r="F1456" s="75"/>
      <c r="G1456" s="67"/>
      <c r="H1456" s="68"/>
      <c r="I1456" s="76"/>
      <c r="J1456" s="67"/>
      <c r="K1456" s="1" t="s">
        <v>434</v>
      </c>
      <c r="L1456" s="77"/>
      <c r="M1456" s="79"/>
      <c r="N1456" s="1"/>
      <c r="O1456" s="1"/>
      <c r="P1456" s="1"/>
      <c r="Q1456" s="1"/>
      <c r="R1456" s="1"/>
      <c r="S1456" s="1"/>
      <c r="T1456" s="1"/>
      <c r="U1456" s="1"/>
      <c r="V1456" s="1"/>
      <c r="W1456" s="1"/>
      <c r="X1456" s="1"/>
      <c r="Y1456" s="1"/>
      <c r="Z1456" s="1"/>
      <c r="AA1456" s="1"/>
      <c r="AB1456" s="1"/>
      <c r="AC1456" s="1"/>
      <c r="AD1456" s="1"/>
      <c r="AE1456" s="1"/>
      <c r="AF1456" s="1"/>
      <c r="AG1456" s="1"/>
      <c r="AH1456" s="1"/>
    </row>
    <row r="1457" ht="12.75" hidden="1" customHeight="1" outlineLevel="1">
      <c r="A1457" s="17">
        <v>41244.0</v>
      </c>
      <c r="B1457" s="1"/>
      <c r="C1457" s="1" t="s">
        <v>435</v>
      </c>
      <c r="D1457" s="74"/>
      <c r="E1457" s="67"/>
      <c r="F1457" s="75"/>
      <c r="G1457" s="67"/>
      <c r="H1457" s="68"/>
      <c r="I1457" s="76"/>
      <c r="J1457" s="67"/>
      <c r="K1457" s="7" t="s">
        <v>818</v>
      </c>
      <c r="L1457" s="77"/>
      <c r="M1457" s="79"/>
      <c r="N1457" s="1"/>
      <c r="O1457" s="1"/>
      <c r="P1457" s="1"/>
      <c r="Q1457" s="1"/>
      <c r="R1457" s="1"/>
      <c r="S1457" s="1"/>
      <c r="T1457" s="1"/>
      <c r="U1457" s="1"/>
      <c r="V1457" s="1"/>
      <c r="W1457" s="1"/>
      <c r="X1457" s="1"/>
      <c r="Y1457" s="1"/>
      <c r="Z1457" s="1"/>
      <c r="AA1457" s="1"/>
      <c r="AB1457" s="1"/>
      <c r="AC1457" s="1"/>
      <c r="AD1457" s="1"/>
      <c r="AE1457" s="1"/>
      <c r="AF1457" s="1"/>
      <c r="AG1457" s="1"/>
      <c r="AH1457" s="1"/>
    </row>
    <row r="1458" ht="12.75" hidden="1" customHeight="1" outlineLevel="1">
      <c r="A1458" s="17">
        <v>41246.0</v>
      </c>
      <c r="B1458" s="1"/>
      <c r="C1458" s="1" t="s">
        <v>339</v>
      </c>
      <c r="D1458" s="74"/>
      <c r="E1458" s="67"/>
      <c r="F1458" s="75"/>
      <c r="G1458" s="67"/>
      <c r="H1458" s="68"/>
      <c r="I1458" s="76"/>
      <c r="J1458" s="67"/>
      <c r="K1458" s="7" t="s">
        <v>820</v>
      </c>
      <c r="L1458" s="77"/>
      <c r="M1458" s="79"/>
      <c r="N1458" s="1"/>
      <c r="O1458" s="1"/>
      <c r="P1458" s="1"/>
      <c r="Q1458" s="1"/>
      <c r="R1458" s="1"/>
      <c r="S1458" s="1"/>
      <c r="T1458" s="1"/>
      <c r="U1458" s="1"/>
      <c r="V1458" s="1"/>
      <c r="W1458" s="1"/>
      <c r="X1458" s="1"/>
      <c r="Y1458" s="1"/>
      <c r="Z1458" s="1"/>
      <c r="AA1458" s="1"/>
      <c r="AB1458" s="1"/>
      <c r="AC1458" s="1"/>
      <c r="AD1458" s="1"/>
      <c r="AE1458" s="1"/>
      <c r="AF1458" s="1"/>
      <c r="AG1458" s="1"/>
      <c r="AH1458" s="1"/>
    </row>
    <row r="1459" ht="12.75" hidden="1" customHeight="1" outlineLevel="1">
      <c r="A1459" s="17">
        <v>41246.0</v>
      </c>
      <c r="B1459" s="1"/>
      <c r="C1459" s="1" t="s">
        <v>429</v>
      </c>
      <c r="D1459" s="74"/>
      <c r="E1459" s="67"/>
      <c r="F1459" s="75"/>
      <c r="G1459" s="67"/>
      <c r="H1459" s="68"/>
      <c r="I1459" s="76"/>
      <c r="J1459" s="67"/>
      <c r="K1459" s="7" t="s">
        <v>679</v>
      </c>
      <c r="L1459" s="77"/>
      <c r="M1459" s="79"/>
      <c r="N1459" s="1"/>
      <c r="O1459" s="1"/>
      <c r="P1459" s="1"/>
      <c r="Q1459" s="1"/>
      <c r="R1459" s="1"/>
      <c r="S1459" s="1"/>
      <c r="T1459" s="1"/>
      <c r="U1459" s="1"/>
      <c r="V1459" s="1"/>
      <c r="W1459" s="1"/>
      <c r="X1459" s="1"/>
      <c r="Y1459" s="1"/>
      <c r="Z1459" s="1"/>
      <c r="AA1459" s="1"/>
      <c r="AB1459" s="1"/>
      <c r="AC1459" s="1"/>
      <c r="AD1459" s="1"/>
      <c r="AE1459" s="1"/>
      <c r="AF1459" s="1"/>
      <c r="AG1459" s="1"/>
      <c r="AH1459" s="1"/>
    </row>
    <row r="1460" ht="12.75" hidden="1" customHeight="1" outlineLevel="1">
      <c r="A1460" s="17">
        <v>41246.0</v>
      </c>
      <c r="B1460" s="1"/>
      <c r="C1460" s="1" t="s">
        <v>431</v>
      </c>
      <c r="D1460" s="74"/>
      <c r="E1460" s="67"/>
      <c r="F1460" s="75"/>
      <c r="G1460" s="67"/>
      <c r="H1460" s="68"/>
      <c r="I1460" s="76"/>
      <c r="J1460" s="67"/>
      <c r="K1460" s="7" t="s">
        <v>817</v>
      </c>
      <c r="L1460" s="77"/>
      <c r="M1460" s="79"/>
      <c r="N1460" s="1"/>
      <c r="O1460" s="1"/>
      <c r="P1460" s="1"/>
      <c r="Q1460" s="1"/>
      <c r="R1460" s="1"/>
      <c r="S1460" s="1"/>
      <c r="T1460" s="1"/>
      <c r="U1460" s="1"/>
      <c r="V1460" s="1"/>
      <c r="W1460" s="1"/>
      <c r="X1460" s="1"/>
      <c r="Y1460" s="1"/>
      <c r="Z1460" s="1"/>
      <c r="AA1460" s="1"/>
      <c r="AB1460" s="1"/>
      <c r="AC1460" s="1"/>
      <c r="AD1460" s="1"/>
      <c r="AE1460" s="1"/>
      <c r="AF1460" s="1"/>
      <c r="AG1460" s="1"/>
      <c r="AH1460" s="1"/>
    </row>
    <row r="1461" ht="12.75" hidden="1" customHeight="1" outlineLevel="1">
      <c r="A1461" s="17">
        <v>41246.0</v>
      </c>
      <c r="B1461" s="1"/>
      <c r="C1461" s="1" t="s">
        <v>433</v>
      </c>
      <c r="D1461" s="74"/>
      <c r="E1461" s="67"/>
      <c r="F1461" s="75"/>
      <c r="G1461" s="67"/>
      <c r="H1461" s="68"/>
      <c r="I1461" s="76"/>
      <c r="J1461" s="67"/>
      <c r="K1461" s="1" t="s">
        <v>434</v>
      </c>
      <c r="L1461" s="77"/>
      <c r="M1461" s="79"/>
      <c r="N1461" s="1"/>
      <c r="O1461" s="1"/>
      <c r="P1461" s="1"/>
      <c r="Q1461" s="1"/>
      <c r="R1461" s="1"/>
      <c r="S1461" s="1"/>
      <c r="T1461" s="1"/>
      <c r="U1461" s="1"/>
      <c r="V1461" s="1"/>
      <c r="W1461" s="1"/>
      <c r="X1461" s="1"/>
      <c r="Y1461" s="1"/>
      <c r="Z1461" s="1"/>
      <c r="AA1461" s="1"/>
      <c r="AB1461" s="1"/>
      <c r="AC1461" s="1"/>
      <c r="AD1461" s="1"/>
      <c r="AE1461" s="1"/>
      <c r="AF1461" s="1"/>
      <c r="AG1461" s="1"/>
      <c r="AH1461" s="1"/>
    </row>
    <row r="1462" ht="12.75" hidden="1" customHeight="1" outlineLevel="1">
      <c r="A1462" s="17">
        <v>41246.0</v>
      </c>
      <c r="B1462" s="1"/>
      <c r="C1462" s="1" t="s">
        <v>435</v>
      </c>
      <c r="D1462" s="74"/>
      <c r="E1462" s="67"/>
      <c r="F1462" s="75"/>
      <c r="G1462" s="67"/>
      <c r="H1462" s="68"/>
      <c r="I1462" s="76"/>
      <c r="J1462" s="67"/>
      <c r="K1462" s="7" t="s">
        <v>818</v>
      </c>
      <c r="L1462" s="77"/>
      <c r="M1462" s="79"/>
      <c r="N1462" s="1"/>
      <c r="O1462" s="1"/>
      <c r="P1462" s="1"/>
      <c r="Q1462" s="1"/>
      <c r="R1462" s="1"/>
      <c r="S1462" s="1"/>
      <c r="T1462" s="1"/>
      <c r="U1462" s="1"/>
      <c r="V1462" s="1"/>
      <c r="W1462" s="1"/>
      <c r="X1462" s="1"/>
      <c r="Y1462" s="1"/>
      <c r="Z1462" s="1"/>
      <c r="AA1462" s="1"/>
      <c r="AB1462" s="1"/>
      <c r="AC1462" s="1"/>
      <c r="AD1462" s="1"/>
      <c r="AE1462" s="1"/>
      <c r="AF1462" s="1"/>
      <c r="AG1462" s="1"/>
      <c r="AH1462" s="1"/>
    </row>
    <row r="1463" ht="12.75" hidden="1" customHeight="1" outlineLevel="1">
      <c r="A1463" s="17">
        <v>41247.0</v>
      </c>
      <c r="B1463" s="1" t="s">
        <v>347</v>
      </c>
      <c r="C1463" s="1" t="s">
        <v>355</v>
      </c>
      <c r="D1463" s="74">
        <v>200.0</v>
      </c>
      <c r="E1463" s="67">
        <v>29.39</v>
      </c>
      <c r="F1463" s="75">
        <v>0.3985532407407408</v>
      </c>
      <c r="G1463" s="67" t="s">
        <v>453</v>
      </c>
      <c r="H1463" s="68">
        <v>1.0</v>
      </c>
      <c r="I1463" s="76"/>
      <c r="J1463" s="67">
        <f t="shared" ref="J1463:J1465" si="103">IF(B1463="SLD",D1463*E1463,-D1463*E1463)-H1463</f>
        <v>5877</v>
      </c>
      <c r="K1463" s="7"/>
      <c r="L1463" s="70"/>
      <c r="M1463" s="79"/>
      <c r="N1463" s="1"/>
      <c r="O1463" s="1"/>
      <c r="P1463" s="1"/>
      <c r="Q1463" s="1"/>
      <c r="R1463" s="1"/>
      <c r="S1463" s="1"/>
      <c r="T1463" s="1"/>
      <c r="U1463" s="1"/>
      <c r="V1463" s="1"/>
      <c r="W1463" s="1"/>
      <c r="X1463" s="1"/>
      <c r="Y1463" s="1"/>
      <c r="Z1463" s="1"/>
      <c r="AA1463" s="1"/>
      <c r="AB1463" s="1"/>
      <c r="AC1463" s="1"/>
      <c r="AD1463" s="1"/>
      <c r="AE1463" s="1"/>
      <c r="AF1463" s="1"/>
      <c r="AG1463" s="1"/>
      <c r="AH1463" s="1"/>
    </row>
    <row r="1464" ht="12.75" hidden="1" customHeight="1" outlineLevel="1">
      <c r="A1464" s="17">
        <v>41247.0</v>
      </c>
      <c r="B1464" s="1" t="s">
        <v>343</v>
      </c>
      <c r="C1464" s="1" t="s">
        <v>355</v>
      </c>
      <c r="D1464" s="74">
        <v>200.0</v>
      </c>
      <c r="E1464" s="67">
        <v>30.17</v>
      </c>
      <c r="F1464" s="75">
        <v>0.4031944444444444</v>
      </c>
      <c r="G1464" s="67" t="s">
        <v>453</v>
      </c>
      <c r="H1464" s="68">
        <v>1.0</v>
      </c>
      <c r="I1464" s="76"/>
      <c r="J1464" s="67">
        <f t="shared" si="103"/>
        <v>-6035</v>
      </c>
      <c r="K1464" s="7"/>
      <c r="L1464" s="70"/>
      <c r="M1464" s="79"/>
      <c r="N1464" s="1"/>
      <c r="O1464" s="1"/>
      <c r="P1464" s="1"/>
      <c r="Q1464" s="1"/>
      <c r="R1464" s="1"/>
      <c r="S1464" s="1"/>
      <c r="T1464" s="1"/>
      <c r="U1464" s="1"/>
      <c r="V1464" s="1"/>
      <c r="W1464" s="1"/>
      <c r="X1464" s="1"/>
      <c r="Y1464" s="1"/>
      <c r="Z1464" s="1"/>
      <c r="AA1464" s="1"/>
      <c r="AB1464" s="1"/>
      <c r="AC1464" s="1"/>
      <c r="AD1464" s="1"/>
      <c r="AE1464" s="1"/>
      <c r="AF1464" s="1"/>
      <c r="AG1464" s="1"/>
      <c r="AH1464" s="1"/>
    </row>
    <row r="1465" ht="12.75" hidden="1" customHeight="1" outlineLevel="1">
      <c r="A1465" s="17">
        <v>41247.0</v>
      </c>
      <c r="B1465" s="1" t="s">
        <v>347</v>
      </c>
      <c r="C1465" s="1" t="s">
        <v>784</v>
      </c>
      <c r="D1465" s="74">
        <v>200.0</v>
      </c>
      <c r="E1465" s="67">
        <v>17.24</v>
      </c>
      <c r="F1465" s="75">
        <v>0.6180324074074074</v>
      </c>
      <c r="G1465" s="67" t="s">
        <v>453</v>
      </c>
      <c r="H1465" s="68">
        <v>1.0</v>
      </c>
      <c r="I1465" s="76"/>
      <c r="J1465" s="67">
        <f t="shared" si="103"/>
        <v>3447</v>
      </c>
      <c r="K1465" s="7"/>
      <c r="L1465" s="70"/>
      <c r="M1465" s="79"/>
      <c r="N1465" s="1"/>
      <c r="O1465" s="1"/>
      <c r="P1465" s="1"/>
      <c r="Q1465" s="1"/>
      <c r="R1465" s="1"/>
      <c r="S1465" s="1"/>
      <c r="T1465" s="1"/>
      <c r="U1465" s="1"/>
      <c r="V1465" s="1"/>
      <c r="W1465" s="1"/>
      <c r="X1465" s="1"/>
      <c r="Y1465" s="1"/>
      <c r="Z1465" s="1"/>
      <c r="AA1465" s="1"/>
      <c r="AB1465" s="1"/>
      <c r="AC1465" s="1"/>
      <c r="AD1465" s="1"/>
      <c r="AE1465" s="1"/>
      <c r="AF1465" s="1"/>
      <c r="AG1465" s="1"/>
      <c r="AH1465" s="1"/>
    </row>
    <row r="1466" ht="12.75" hidden="1" customHeight="1" outlineLevel="1">
      <c r="A1466" s="17">
        <v>41247.0</v>
      </c>
      <c r="B1466" s="1"/>
      <c r="C1466" s="1" t="s">
        <v>339</v>
      </c>
      <c r="D1466" s="74"/>
      <c r="E1466" s="67"/>
      <c r="F1466" s="75"/>
      <c r="G1466" s="67"/>
      <c r="H1466" s="68"/>
      <c r="I1466" s="76"/>
      <c r="J1466" s="67"/>
      <c r="K1466" s="7" t="s">
        <v>821</v>
      </c>
      <c r="L1466" s="77"/>
      <c r="M1466" s="79"/>
      <c r="N1466" s="1"/>
      <c r="O1466" s="1"/>
      <c r="P1466" s="1"/>
      <c r="Q1466" s="1"/>
      <c r="R1466" s="1"/>
      <c r="S1466" s="1"/>
      <c r="T1466" s="1"/>
      <c r="U1466" s="1"/>
      <c r="V1466" s="1"/>
      <c r="W1466" s="1"/>
      <c r="X1466" s="1"/>
      <c r="Y1466" s="1"/>
      <c r="Z1466" s="1"/>
      <c r="AA1466" s="1"/>
      <c r="AB1466" s="1"/>
      <c r="AC1466" s="1"/>
      <c r="AD1466" s="1"/>
      <c r="AE1466" s="1"/>
      <c r="AF1466" s="1"/>
      <c r="AG1466" s="1"/>
      <c r="AH1466" s="1"/>
    </row>
    <row r="1467" ht="12.75" hidden="1" customHeight="1" outlineLevel="1">
      <c r="A1467" s="17">
        <v>41247.0</v>
      </c>
      <c r="B1467" s="1"/>
      <c r="C1467" s="1" t="s">
        <v>429</v>
      </c>
      <c r="D1467" s="74"/>
      <c r="E1467" s="67"/>
      <c r="F1467" s="75"/>
      <c r="G1467" s="67"/>
      <c r="H1467" s="68"/>
      <c r="I1467" s="76"/>
      <c r="J1467" s="67"/>
      <c r="K1467" s="7" t="s">
        <v>679</v>
      </c>
      <c r="L1467" s="77"/>
      <c r="M1467" s="79"/>
      <c r="N1467" s="1"/>
      <c r="O1467" s="1"/>
      <c r="P1467" s="1"/>
      <c r="Q1467" s="1"/>
      <c r="R1467" s="1"/>
      <c r="S1467" s="1"/>
      <c r="T1467" s="1"/>
      <c r="U1467" s="1"/>
      <c r="V1467" s="1"/>
      <c r="W1467" s="1"/>
      <c r="X1467" s="1"/>
      <c r="Y1467" s="1"/>
      <c r="Z1467" s="1"/>
      <c r="AA1467" s="1"/>
      <c r="AB1467" s="1"/>
      <c r="AC1467" s="1"/>
      <c r="AD1467" s="1"/>
      <c r="AE1467" s="1"/>
      <c r="AF1467" s="1"/>
      <c r="AG1467" s="1"/>
      <c r="AH1467" s="1"/>
    </row>
    <row r="1468" ht="12.75" hidden="1" customHeight="1" outlineLevel="1">
      <c r="A1468" s="17">
        <v>41247.0</v>
      </c>
      <c r="B1468" s="1"/>
      <c r="C1468" s="1" t="s">
        <v>431</v>
      </c>
      <c r="D1468" s="74"/>
      <c r="E1468" s="67"/>
      <c r="F1468" s="75"/>
      <c r="G1468" s="67"/>
      <c r="H1468" s="68"/>
      <c r="I1468" s="76"/>
      <c r="J1468" s="67"/>
      <c r="K1468" s="7" t="s">
        <v>817</v>
      </c>
      <c r="L1468" s="77"/>
      <c r="M1468" s="79"/>
      <c r="N1468" s="1"/>
      <c r="O1468" s="1"/>
      <c r="P1468" s="1"/>
      <c r="Q1468" s="1"/>
      <c r="R1468" s="1"/>
      <c r="S1468" s="1"/>
      <c r="T1468" s="1"/>
      <c r="U1468" s="1"/>
      <c r="V1468" s="1"/>
      <c r="W1468" s="1"/>
      <c r="X1468" s="1"/>
      <c r="Y1468" s="1"/>
      <c r="Z1468" s="1"/>
      <c r="AA1468" s="1"/>
      <c r="AB1468" s="1"/>
      <c r="AC1468" s="1"/>
      <c r="AD1468" s="1"/>
      <c r="AE1468" s="1"/>
      <c r="AF1468" s="1"/>
      <c r="AG1468" s="1"/>
      <c r="AH1468" s="1"/>
    </row>
    <row r="1469" ht="12.75" hidden="1" customHeight="1" outlineLevel="1">
      <c r="A1469" s="17">
        <v>41247.0</v>
      </c>
      <c r="B1469" s="1"/>
      <c r="C1469" s="1" t="s">
        <v>433</v>
      </c>
      <c r="D1469" s="74"/>
      <c r="E1469" s="67"/>
      <c r="F1469" s="75"/>
      <c r="G1469" s="67"/>
      <c r="H1469" s="68"/>
      <c r="I1469" s="76"/>
      <c r="J1469" s="67"/>
      <c r="K1469" s="1" t="s">
        <v>434</v>
      </c>
      <c r="L1469" s="77"/>
      <c r="M1469" s="79"/>
      <c r="N1469" s="1"/>
      <c r="O1469" s="1"/>
      <c r="P1469" s="1"/>
      <c r="Q1469" s="1"/>
      <c r="R1469" s="1"/>
      <c r="S1469" s="1"/>
      <c r="T1469" s="1"/>
      <c r="U1469" s="1"/>
      <c r="V1469" s="1"/>
      <c r="W1469" s="1"/>
      <c r="X1469" s="1"/>
      <c r="Y1469" s="1"/>
      <c r="Z1469" s="1"/>
      <c r="AA1469" s="1"/>
      <c r="AB1469" s="1"/>
      <c r="AC1469" s="1"/>
      <c r="AD1469" s="1"/>
      <c r="AE1469" s="1"/>
      <c r="AF1469" s="1"/>
      <c r="AG1469" s="1"/>
      <c r="AH1469" s="1"/>
    </row>
    <row r="1470" ht="12.75" hidden="1" customHeight="1" outlineLevel="1">
      <c r="A1470" s="17">
        <v>41247.0</v>
      </c>
      <c r="B1470" s="1"/>
      <c r="C1470" s="1" t="s">
        <v>435</v>
      </c>
      <c r="D1470" s="74"/>
      <c r="E1470" s="67"/>
      <c r="F1470" s="75"/>
      <c r="G1470" s="67"/>
      <c r="H1470" s="68"/>
      <c r="I1470" s="76"/>
      <c r="J1470" s="67"/>
      <c r="K1470" s="7" t="s">
        <v>818</v>
      </c>
      <c r="L1470" s="77"/>
      <c r="M1470" s="79"/>
      <c r="N1470" s="1"/>
      <c r="O1470" s="1"/>
      <c r="P1470" s="1"/>
      <c r="Q1470" s="1"/>
      <c r="R1470" s="1"/>
      <c r="S1470" s="1"/>
      <c r="T1470" s="1"/>
      <c r="U1470" s="1"/>
      <c r="V1470" s="1"/>
      <c r="W1470" s="1"/>
      <c r="X1470" s="1"/>
      <c r="Y1470" s="1"/>
      <c r="Z1470" s="1"/>
      <c r="AA1470" s="1"/>
      <c r="AB1470" s="1"/>
      <c r="AC1470" s="1"/>
      <c r="AD1470" s="1"/>
      <c r="AE1470" s="1"/>
      <c r="AF1470" s="1"/>
      <c r="AG1470" s="1"/>
      <c r="AH1470" s="1"/>
    </row>
    <row r="1471" ht="12.75" hidden="1" customHeight="1" outlineLevel="1">
      <c r="A1471" s="17">
        <v>41248.0</v>
      </c>
      <c r="B1471" s="1" t="s">
        <v>343</v>
      </c>
      <c r="C1471" s="1" t="s">
        <v>369</v>
      </c>
      <c r="D1471" s="74">
        <v>150.0</v>
      </c>
      <c r="E1471" s="67">
        <v>30.147</v>
      </c>
      <c r="F1471" s="75">
        <v>41248.40137731482</v>
      </c>
      <c r="G1471" s="67" t="s">
        <v>453</v>
      </c>
      <c r="H1471" s="68">
        <v>1.0</v>
      </c>
      <c r="I1471" s="76"/>
      <c r="J1471" s="67">
        <f t="shared" ref="J1471:J1476" si="104">IF(B1471="SLD",D1471*E1471,-D1471*E1471)-H1471</f>
        <v>-4523.05</v>
      </c>
      <c r="K1471" s="7"/>
      <c r="L1471" s="70"/>
      <c r="M1471" s="79"/>
      <c r="N1471" s="1"/>
      <c r="O1471" s="1"/>
      <c r="P1471" s="1"/>
      <c r="Q1471" s="1"/>
      <c r="R1471" s="1"/>
      <c r="S1471" s="1"/>
      <c r="T1471" s="1"/>
      <c r="U1471" s="1"/>
      <c r="V1471" s="1"/>
      <c r="W1471" s="1"/>
      <c r="X1471" s="1"/>
      <c r="Y1471" s="1"/>
      <c r="Z1471" s="1"/>
      <c r="AA1471" s="1"/>
      <c r="AB1471" s="1"/>
      <c r="AC1471" s="1"/>
      <c r="AD1471" s="1"/>
      <c r="AE1471" s="1"/>
      <c r="AF1471" s="1"/>
      <c r="AG1471" s="1"/>
      <c r="AH1471" s="1"/>
    </row>
    <row r="1472" ht="12.75" hidden="1" customHeight="1" outlineLevel="1">
      <c r="A1472" s="17">
        <v>41248.0</v>
      </c>
      <c r="B1472" s="1" t="s">
        <v>343</v>
      </c>
      <c r="C1472" s="1" t="s">
        <v>346</v>
      </c>
      <c r="D1472" s="74">
        <v>20.0</v>
      </c>
      <c r="E1472" s="67">
        <v>552.99</v>
      </c>
      <c r="F1472" s="75">
        <v>41248.441666666666</v>
      </c>
      <c r="G1472" s="67" t="s">
        <v>453</v>
      </c>
      <c r="H1472" s="68">
        <v>1.0</v>
      </c>
      <c r="I1472" s="76"/>
      <c r="J1472" s="67">
        <f t="shared" si="104"/>
        <v>-11060.8</v>
      </c>
      <c r="K1472" s="7"/>
      <c r="L1472" s="70"/>
      <c r="M1472" s="79"/>
      <c r="N1472" s="1"/>
      <c r="O1472" s="1"/>
      <c r="P1472" s="1"/>
      <c r="Q1472" s="1"/>
      <c r="R1472" s="1"/>
      <c r="S1472" s="1"/>
      <c r="T1472" s="1"/>
      <c r="U1472" s="1"/>
      <c r="V1472" s="1"/>
      <c r="W1472" s="1"/>
      <c r="X1472" s="1"/>
      <c r="Y1472" s="1"/>
      <c r="Z1472" s="1"/>
      <c r="AA1472" s="1"/>
      <c r="AB1472" s="1"/>
      <c r="AC1472" s="1"/>
      <c r="AD1472" s="1"/>
      <c r="AE1472" s="1"/>
      <c r="AF1472" s="1"/>
      <c r="AG1472" s="1"/>
      <c r="AH1472" s="1"/>
    </row>
    <row r="1473" ht="12.75" hidden="1" customHeight="1" outlineLevel="1">
      <c r="A1473" s="17">
        <v>41248.0</v>
      </c>
      <c r="B1473" s="1" t="s">
        <v>347</v>
      </c>
      <c r="C1473" s="1" t="s">
        <v>680</v>
      </c>
      <c r="D1473" s="74">
        <v>100.0</v>
      </c>
      <c r="E1473" s="67">
        <v>26.57</v>
      </c>
      <c r="F1473" s="75">
        <v>41248.59684027778</v>
      </c>
      <c r="G1473" s="67" t="s">
        <v>453</v>
      </c>
      <c r="H1473" s="68">
        <v>1.0</v>
      </c>
      <c r="I1473" s="76"/>
      <c r="J1473" s="67">
        <f t="shared" si="104"/>
        <v>2656</v>
      </c>
      <c r="K1473" s="7"/>
      <c r="L1473" s="70"/>
      <c r="M1473" s="79"/>
      <c r="N1473" s="1"/>
      <c r="O1473" s="1"/>
      <c r="P1473" s="1"/>
      <c r="Q1473" s="1"/>
      <c r="R1473" s="1"/>
      <c r="S1473" s="1"/>
      <c r="T1473" s="1"/>
      <c r="U1473" s="1"/>
      <c r="V1473" s="1"/>
      <c r="W1473" s="1"/>
      <c r="X1473" s="1"/>
      <c r="Y1473" s="1"/>
      <c r="Z1473" s="1"/>
      <c r="AA1473" s="1"/>
      <c r="AB1473" s="1"/>
      <c r="AC1473" s="1"/>
      <c r="AD1473" s="1"/>
      <c r="AE1473" s="1"/>
      <c r="AF1473" s="1"/>
      <c r="AG1473" s="1"/>
      <c r="AH1473" s="1"/>
    </row>
    <row r="1474" ht="12.75" hidden="1" customHeight="1" outlineLevel="1">
      <c r="A1474" s="17">
        <v>41248.0</v>
      </c>
      <c r="B1474" s="1" t="s">
        <v>347</v>
      </c>
      <c r="C1474" s="1" t="s">
        <v>354</v>
      </c>
      <c r="D1474" s="74">
        <v>200.0</v>
      </c>
      <c r="E1474" s="67">
        <v>96.94</v>
      </c>
      <c r="F1474" s="75">
        <v>41248.615960648145</v>
      </c>
      <c r="G1474" s="67" t="s">
        <v>453</v>
      </c>
      <c r="H1474" s="68">
        <v>1.0</v>
      </c>
      <c r="I1474" s="76"/>
      <c r="J1474" s="67">
        <f t="shared" si="104"/>
        <v>19387</v>
      </c>
      <c r="K1474" s="7"/>
      <c r="L1474" s="70"/>
      <c r="M1474" s="79"/>
      <c r="N1474" s="1"/>
      <c r="O1474" s="1"/>
      <c r="P1474" s="1"/>
      <c r="Q1474" s="1"/>
      <c r="R1474" s="1"/>
      <c r="S1474" s="1"/>
      <c r="T1474" s="1"/>
      <c r="U1474" s="1"/>
      <c r="V1474" s="1"/>
      <c r="W1474" s="1"/>
      <c r="X1474" s="1"/>
      <c r="Y1474" s="1"/>
      <c r="Z1474" s="1"/>
      <c r="AA1474" s="1"/>
      <c r="AB1474" s="1"/>
      <c r="AC1474" s="1"/>
      <c r="AD1474" s="1"/>
      <c r="AE1474" s="1"/>
      <c r="AF1474" s="1"/>
      <c r="AG1474" s="1"/>
      <c r="AH1474" s="1"/>
    </row>
    <row r="1475" ht="12.75" hidden="1" customHeight="1" outlineLevel="1">
      <c r="A1475" s="17">
        <v>41248.0</v>
      </c>
      <c r="B1475" s="1" t="s">
        <v>347</v>
      </c>
      <c r="C1475" s="1" t="s">
        <v>734</v>
      </c>
      <c r="D1475" s="74">
        <v>600.0</v>
      </c>
      <c r="E1475" s="67">
        <v>18.9</v>
      </c>
      <c r="F1475" s="75">
        <v>41248.61665509259</v>
      </c>
      <c r="G1475" s="67" t="s">
        <v>453</v>
      </c>
      <c r="H1475" s="68">
        <v>2.9</v>
      </c>
      <c r="I1475" s="76"/>
      <c r="J1475" s="67">
        <f t="shared" si="104"/>
        <v>11337.1</v>
      </c>
      <c r="K1475" s="7"/>
      <c r="L1475" s="70"/>
      <c r="M1475" s="79"/>
      <c r="N1475" s="1"/>
      <c r="O1475" s="1"/>
      <c r="P1475" s="1"/>
      <c r="Q1475" s="1"/>
      <c r="R1475" s="1"/>
      <c r="S1475" s="1"/>
      <c r="T1475" s="1"/>
      <c r="U1475" s="1"/>
      <c r="V1475" s="1"/>
      <c r="W1475" s="1"/>
      <c r="X1475" s="1"/>
      <c r="Y1475" s="1"/>
      <c r="Z1475" s="1"/>
      <c r="AA1475" s="1"/>
      <c r="AB1475" s="1"/>
      <c r="AC1475" s="1"/>
      <c r="AD1475" s="1"/>
      <c r="AE1475" s="1"/>
      <c r="AF1475" s="1"/>
      <c r="AG1475" s="1"/>
      <c r="AH1475" s="1"/>
    </row>
    <row r="1476" ht="12.75" hidden="1" customHeight="1" outlineLevel="1">
      <c r="A1476" s="17">
        <v>41248.0</v>
      </c>
      <c r="B1476" s="1" t="s">
        <v>347</v>
      </c>
      <c r="C1476" s="1" t="s">
        <v>734</v>
      </c>
      <c r="D1476" s="74">
        <v>600.0</v>
      </c>
      <c r="E1476" s="67">
        <v>18.89</v>
      </c>
      <c r="F1476" s="75">
        <v>41248.61724537037</v>
      </c>
      <c r="G1476" s="67" t="s">
        <v>453</v>
      </c>
      <c r="H1476" s="68">
        <v>3.0</v>
      </c>
      <c r="I1476" s="76"/>
      <c r="J1476" s="67">
        <f t="shared" si="104"/>
        <v>11331</v>
      </c>
      <c r="K1476" s="7"/>
      <c r="L1476" s="70"/>
      <c r="M1476" s="79"/>
      <c r="N1476" s="1"/>
      <c r="O1476" s="1"/>
      <c r="P1476" s="1"/>
      <c r="Q1476" s="1"/>
      <c r="R1476" s="1"/>
      <c r="S1476" s="1"/>
      <c r="T1476" s="1"/>
      <c r="U1476" s="1"/>
      <c r="V1476" s="1"/>
      <c r="W1476" s="1"/>
      <c r="X1476" s="1"/>
      <c r="Y1476" s="1"/>
      <c r="Z1476" s="1"/>
      <c r="AA1476" s="1"/>
      <c r="AB1476" s="1"/>
      <c r="AC1476" s="1"/>
      <c r="AD1476" s="1"/>
      <c r="AE1476" s="1"/>
      <c r="AF1476" s="1"/>
      <c r="AG1476" s="1"/>
      <c r="AH1476" s="1"/>
    </row>
    <row r="1477" ht="12.75" hidden="1" customHeight="1" outlineLevel="1">
      <c r="A1477" s="17">
        <v>41248.0</v>
      </c>
      <c r="B1477" s="1"/>
      <c r="C1477" s="1" t="s">
        <v>339</v>
      </c>
      <c r="D1477" s="74"/>
      <c r="E1477" s="67"/>
      <c r="F1477" s="75"/>
      <c r="G1477" s="67"/>
      <c r="H1477" s="68"/>
      <c r="I1477" s="76"/>
      <c r="J1477" s="67"/>
      <c r="K1477" s="7" t="s">
        <v>822</v>
      </c>
      <c r="L1477" s="77"/>
      <c r="M1477" s="79"/>
      <c r="N1477" s="1"/>
      <c r="O1477" s="1"/>
      <c r="P1477" s="1"/>
      <c r="Q1477" s="1"/>
      <c r="R1477" s="1"/>
      <c r="S1477" s="1"/>
      <c r="T1477" s="1"/>
      <c r="U1477" s="1"/>
      <c r="V1477" s="1"/>
      <c r="W1477" s="1"/>
      <c r="X1477" s="1"/>
      <c r="Y1477" s="1"/>
      <c r="Z1477" s="1"/>
      <c r="AA1477" s="1"/>
      <c r="AB1477" s="1"/>
      <c r="AC1477" s="1"/>
      <c r="AD1477" s="1"/>
      <c r="AE1477" s="1"/>
      <c r="AF1477" s="1"/>
      <c r="AG1477" s="1"/>
      <c r="AH1477" s="1"/>
    </row>
    <row r="1478" ht="12.75" hidden="1" customHeight="1" outlineLevel="1">
      <c r="A1478" s="17">
        <v>41248.0</v>
      </c>
      <c r="B1478" s="1"/>
      <c r="C1478" s="1" t="s">
        <v>429</v>
      </c>
      <c r="D1478" s="74"/>
      <c r="E1478" s="67"/>
      <c r="F1478" s="75"/>
      <c r="G1478" s="67"/>
      <c r="H1478" s="68"/>
      <c r="I1478" s="76"/>
      <c r="J1478" s="67"/>
      <c r="K1478" s="7" t="s">
        <v>679</v>
      </c>
      <c r="L1478" s="77"/>
      <c r="M1478" s="79"/>
      <c r="N1478" s="1"/>
      <c r="O1478" s="1"/>
      <c r="P1478" s="1"/>
      <c r="Q1478" s="1"/>
      <c r="R1478" s="1"/>
      <c r="S1478" s="1"/>
      <c r="T1478" s="1"/>
      <c r="U1478" s="1"/>
      <c r="V1478" s="1"/>
      <c r="W1478" s="1"/>
      <c r="X1478" s="1"/>
      <c r="Y1478" s="1"/>
      <c r="Z1478" s="1"/>
      <c r="AA1478" s="1"/>
      <c r="AB1478" s="1"/>
      <c r="AC1478" s="1"/>
      <c r="AD1478" s="1"/>
      <c r="AE1478" s="1"/>
      <c r="AF1478" s="1"/>
      <c r="AG1478" s="1"/>
      <c r="AH1478" s="1"/>
    </row>
    <row r="1479" ht="12.75" hidden="1" customHeight="1" outlineLevel="1">
      <c r="A1479" s="17">
        <v>41248.0</v>
      </c>
      <c r="B1479" s="1"/>
      <c r="C1479" s="1" t="s">
        <v>431</v>
      </c>
      <c r="D1479" s="74"/>
      <c r="E1479" s="67"/>
      <c r="F1479" s="75"/>
      <c r="G1479" s="67"/>
      <c r="H1479" s="68"/>
      <c r="I1479" s="76"/>
      <c r="J1479" s="67"/>
      <c r="K1479" s="7" t="s">
        <v>817</v>
      </c>
      <c r="L1479" s="77"/>
      <c r="M1479" s="79"/>
      <c r="N1479" s="1"/>
      <c r="O1479" s="1"/>
      <c r="P1479" s="1"/>
      <c r="Q1479" s="1"/>
      <c r="R1479" s="1"/>
      <c r="S1479" s="1"/>
      <c r="T1479" s="1"/>
      <c r="U1479" s="1"/>
      <c r="V1479" s="1"/>
      <c r="W1479" s="1"/>
      <c r="X1479" s="1"/>
      <c r="Y1479" s="1"/>
      <c r="Z1479" s="1"/>
      <c r="AA1479" s="1"/>
      <c r="AB1479" s="1"/>
      <c r="AC1479" s="1"/>
      <c r="AD1479" s="1"/>
      <c r="AE1479" s="1"/>
      <c r="AF1479" s="1"/>
      <c r="AG1479" s="1"/>
      <c r="AH1479" s="1"/>
    </row>
    <row r="1480" ht="12.75" hidden="1" customHeight="1" outlineLevel="1">
      <c r="A1480" s="17">
        <v>41248.0</v>
      </c>
      <c r="B1480" s="1"/>
      <c r="C1480" s="1" t="s">
        <v>433</v>
      </c>
      <c r="D1480" s="74"/>
      <c r="E1480" s="67"/>
      <c r="F1480" s="75"/>
      <c r="G1480" s="67"/>
      <c r="H1480" s="68"/>
      <c r="I1480" s="76"/>
      <c r="J1480" s="67"/>
      <c r="K1480" s="1" t="s">
        <v>434</v>
      </c>
      <c r="L1480" s="77"/>
      <c r="M1480" s="79"/>
      <c r="N1480" s="1"/>
      <c r="O1480" s="1"/>
      <c r="P1480" s="1"/>
      <c r="Q1480" s="1"/>
      <c r="R1480" s="1"/>
      <c r="S1480" s="1"/>
      <c r="T1480" s="1"/>
      <c r="U1480" s="1"/>
      <c r="V1480" s="1"/>
      <c r="W1480" s="1"/>
      <c r="X1480" s="1"/>
      <c r="Y1480" s="1"/>
      <c r="Z1480" s="1"/>
      <c r="AA1480" s="1"/>
      <c r="AB1480" s="1"/>
      <c r="AC1480" s="1"/>
      <c r="AD1480" s="1"/>
      <c r="AE1480" s="1"/>
      <c r="AF1480" s="1"/>
      <c r="AG1480" s="1"/>
      <c r="AH1480" s="1"/>
    </row>
    <row r="1481" ht="12.75" hidden="1" customHeight="1" outlineLevel="1">
      <c r="A1481" s="17">
        <v>41248.0</v>
      </c>
      <c r="B1481" s="1"/>
      <c r="C1481" s="1" t="s">
        <v>435</v>
      </c>
      <c r="D1481" s="74"/>
      <c r="E1481" s="67"/>
      <c r="F1481" s="75"/>
      <c r="G1481" s="67"/>
      <c r="H1481" s="68"/>
      <c r="I1481" s="76"/>
      <c r="J1481" s="67"/>
      <c r="K1481" s="7" t="s">
        <v>818</v>
      </c>
      <c r="L1481" s="77"/>
      <c r="M1481" s="79"/>
      <c r="N1481" s="1"/>
      <c r="O1481" s="1"/>
      <c r="P1481" s="1"/>
      <c r="Q1481" s="1"/>
      <c r="R1481" s="1"/>
      <c r="S1481" s="1"/>
      <c r="T1481" s="1"/>
      <c r="U1481" s="1"/>
      <c r="V1481" s="1"/>
      <c r="W1481" s="1"/>
      <c r="X1481" s="1"/>
      <c r="Y1481" s="1"/>
      <c r="Z1481" s="1"/>
      <c r="AA1481" s="1"/>
      <c r="AB1481" s="1"/>
      <c r="AC1481" s="1"/>
      <c r="AD1481" s="1"/>
      <c r="AE1481" s="1"/>
      <c r="AF1481" s="1"/>
      <c r="AG1481" s="1"/>
      <c r="AH1481" s="1"/>
    </row>
    <row r="1482" ht="12.75" hidden="1" customHeight="1" outlineLevel="1">
      <c r="A1482" s="17">
        <v>41249.0</v>
      </c>
      <c r="B1482" s="1" t="s">
        <v>347</v>
      </c>
      <c r="C1482" s="1" t="s">
        <v>344</v>
      </c>
      <c r="D1482" s="74">
        <v>300.0</v>
      </c>
      <c r="E1482" s="67">
        <v>33.44</v>
      </c>
      <c r="F1482" s="75">
        <v>0.465150462962963</v>
      </c>
      <c r="G1482" s="67" t="s">
        <v>453</v>
      </c>
      <c r="H1482" s="68">
        <v>1.2</v>
      </c>
      <c r="I1482" s="76"/>
      <c r="J1482" s="67">
        <f t="shared" ref="J1482:J1487" si="105">IF(B1482="SLD",D1482*E1482,-D1482*E1482)-H1482</f>
        <v>10030.8</v>
      </c>
      <c r="K1482" s="7"/>
      <c r="L1482" s="70"/>
      <c r="M1482" s="79"/>
      <c r="N1482" s="1"/>
      <c r="O1482" s="1"/>
      <c r="P1482" s="1"/>
      <c r="Q1482" s="1"/>
      <c r="R1482" s="1"/>
      <c r="S1482" s="1"/>
      <c r="T1482" s="1"/>
      <c r="U1482" s="1"/>
      <c r="V1482" s="1"/>
      <c r="W1482" s="1"/>
      <c r="X1482" s="1"/>
      <c r="Y1482" s="1"/>
      <c r="Z1482" s="1"/>
      <c r="AA1482" s="1"/>
      <c r="AB1482" s="1"/>
      <c r="AC1482" s="1"/>
      <c r="AD1482" s="1"/>
      <c r="AE1482" s="1"/>
      <c r="AF1482" s="1"/>
      <c r="AG1482" s="1"/>
      <c r="AH1482" s="1"/>
    </row>
    <row r="1483" ht="12.75" hidden="1" customHeight="1" outlineLevel="1">
      <c r="A1483" s="17">
        <v>41249.0</v>
      </c>
      <c r="B1483" s="1" t="s">
        <v>343</v>
      </c>
      <c r="C1483" s="1" t="s">
        <v>346</v>
      </c>
      <c r="D1483" s="74">
        <v>20.0</v>
      </c>
      <c r="E1483" s="67">
        <v>546.0</v>
      </c>
      <c r="F1483" s="75">
        <v>0.5556828703703703</v>
      </c>
      <c r="G1483" s="67" t="s">
        <v>453</v>
      </c>
      <c r="H1483" s="68">
        <v>1.0</v>
      </c>
      <c r="I1483" s="76"/>
      <c r="J1483" s="67">
        <f t="shared" si="105"/>
        <v>-10921</v>
      </c>
      <c r="K1483" s="7"/>
      <c r="L1483" s="70"/>
      <c r="M1483" s="79"/>
      <c r="N1483" s="1"/>
      <c r="O1483" s="1"/>
      <c r="P1483" s="1"/>
      <c r="Q1483" s="1"/>
      <c r="R1483" s="1"/>
      <c r="S1483" s="1"/>
      <c r="T1483" s="1"/>
      <c r="U1483" s="1"/>
      <c r="V1483" s="1"/>
      <c r="W1483" s="1"/>
      <c r="X1483" s="1"/>
      <c r="Y1483" s="1"/>
      <c r="Z1483" s="1"/>
      <c r="AA1483" s="1"/>
      <c r="AB1483" s="1"/>
      <c r="AC1483" s="1"/>
      <c r="AD1483" s="1"/>
      <c r="AE1483" s="1"/>
      <c r="AF1483" s="1"/>
      <c r="AG1483" s="1"/>
      <c r="AH1483" s="1"/>
    </row>
    <row r="1484" ht="12.75" hidden="1" customHeight="1" outlineLevel="1">
      <c r="A1484" s="17">
        <v>41249.0</v>
      </c>
      <c r="B1484" s="1" t="s">
        <v>343</v>
      </c>
      <c r="C1484" s="1" t="s">
        <v>344</v>
      </c>
      <c r="D1484" s="74">
        <v>300.0</v>
      </c>
      <c r="E1484" s="67">
        <v>33.28</v>
      </c>
      <c r="F1484" s="75">
        <v>0.5564814814814815</v>
      </c>
      <c r="G1484" s="67" t="s">
        <v>453</v>
      </c>
      <c r="H1484" s="68">
        <v>1.5</v>
      </c>
      <c r="I1484" s="76"/>
      <c r="J1484" s="67">
        <f t="shared" si="105"/>
        <v>-9985.5</v>
      </c>
      <c r="K1484" s="7"/>
      <c r="L1484" s="70"/>
      <c r="M1484" s="79"/>
      <c r="N1484" s="1"/>
      <c r="O1484" s="1"/>
      <c r="P1484" s="1"/>
      <c r="Q1484" s="1"/>
      <c r="R1484" s="1"/>
      <c r="S1484" s="1"/>
      <c r="T1484" s="1"/>
      <c r="U1484" s="1"/>
      <c r="V1484" s="1"/>
      <c r="W1484" s="1"/>
      <c r="X1484" s="1"/>
      <c r="Y1484" s="1"/>
      <c r="Z1484" s="1"/>
      <c r="AA1484" s="1"/>
      <c r="AB1484" s="1"/>
      <c r="AC1484" s="1"/>
      <c r="AD1484" s="1"/>
      <c r="AE1484" s="1"/>
      <c r="AF1484" s="1"/>
      <c r="AG1484" s="1"/>
      <c r="AH1484" s="1"/>
    </row>
    <row r="1485" ht="12.75" hidden="1" customHeight="1" outlineLevel="1">
      <c r="A1485" s="17">
        <v>41249.0</v>
      </c>
      <c r="B1485" s="1" t="s">
        <v>343</v>
      </c>
      <c r="C1485" s="1" t="s">
        <v>734</v>
      </c>
      <c r="D1485" s="74">
        <v>1200.0</v>
      </c>
      <c r="E1485" s="67">
        <v>18.9</v>
      </c>
      <c r="F1485" s="75">
        <v>0.557337962962963</v>
      </c>
      <c r="G1485" s="67" t="s">
        <v>453</v>
      </c>
      <c r="H1485" s="68">
        <v>5.7</v>
      </c>
      <c r="I1485" s="76"/>
      <c r="J1485" s="67">
        <f t="shared" si="105"/>
        <v>-22685.7</v>
      </c>
      <c r="K1485" s="7"/>
      <c r="L1485" s="70"/>
      <c r="M1485" s="79"/>
      <c r="N1485" s="1"/>
      <c r="O1485" s="1"/>
      <c r="P1485" s="1"/>
      <c r="Q1485" s="1"/>
      <c r="R1485" s="1"/>
      <c r="S1485" s="1"/>
      <c r="T1485" s="1"/>
      <c r="U1485" s="1"/>
      <c r="V1485" s="1"/>
      <c r="W1485" s="1"/>
      <c r="X1485" s="1"/>
      <c r="Y1485" s="1"/>
      <c r="Z1485" s="1"/>
      <c r="AA1485" s="1"/>
      <c r="AB1485" s="1"/>
      <c r="AC1485" s="1"/>
      <c r="AD1485" s="1"/>
      <c r="AE1485" s="1"/>
      <c r="AF1485" s="1"/>
      <c r="AG1485" s="1"/>
      <c r="AH1485" s="1"/>
    </row>
    <row r="1486" ht="12.75" hidden="1" customHeight="1" outlineLevel="1">
      <c r="A1486" s="17">
        <v>41249.0</v>
      </c>
      <c r="B1486" s="1" t="s">
        <v>343</v>
      </c>
      <c r="C1486" s="1" t="s">
        <v>354</v>
      </c>
      <c r="D1486" s="74">
        <v>200.0</v>
      </c>
      <c r="E1486" s="67">
        <v>101.9</v>
      </c>
      <c r="F1486" s="75">
        <v>0.5619791666666667</v>
      </c>
      <c r="G1486" s="67" t="s">
        <v>453</v>
      </c>
      <c r="H1486" s="68">
        <v>1.0</v>
      </c>
      <c r="I1486" s="76"/>
      <c r="J1486" s="67">
        <f t="shared" si="105"/>
        <v>-20381</v>
      </c>
      <c r="K1486" s="7"/>
      <c r="L1486" s="70"/>
      <c r="M1486" s="79"/>
      <c r="N1486" s="1"/>
      <c r="O1486" s="1"/>
      <c r="P1486" s="1"/>
      <c r="Q1486" s="1"/>
      <c r="R1486" s="1"/>
      <c r="S1486" s="1"/>
      <c r="T1486" s="1"/>
      <c r="U1486" s="1"/>
      <c r="V1486" s="1"/>
      <c r="W1486" s="1"/>
      <c r="X1486" s="1"/>
      <c r="Y1486" s="1"/>
      <c r="Z1486" s="1"/>
      <c r="AA1486" s="1"/>
      <c r="AB1486" s="1"/>
      <c r="AC1486" s="1"/>
      <c r="AD1486" s="1"/>
      <c r="AE1486" s="1"/>
      <c r="AF1486" s="1"/>
      <c r="AG1486" s="1"/>
      <c r="AH1486" s="1"/>
    </row>
    <row r="1487" ht="12.75" hidden="1" customHeight="1" outlineLevel="1">
      <c r="A1487" s="17">
        <v>41249.0</v>
      </c>
      <c r="B1487" s="1" t="s">
        <v>343</v>
      </c>
      <c r="C1487" s="1" t="s">
        <v>681</v>
      </c>
      <c r="D1487" s="74">
        <v>200.0</v>
      </c>
      <c r="E1487" s="67">
        <v>15.25</v>
      </c>
      <c r="F1487" s="75">
        <v>0.5866203703703704</v>
      </c>
      <c r="G1487" s="67" t="s">
        <v>453</v>
      </c>
      <c r="H1487" s="68">
        <v>1.0</v>
      </c>
      <c r="I1487" s="76"/>
      <c r="J1487" s="67">
        <f t="shared" si="105"/>
        <v>-3051</v>
      </c>
      <c r="K1487" s="7"/>
      <c r="L1487" s="70"/>
      <c r="M1487" s="79"/>
      <c r="N1487" s="1"/>
      <c r="O1487" s="1"/>
      <c r="P1487" s="1"/>
      <c r="Q1487" s="1"/>
      <c r="R1487" s="1"/>
      <c r="S1487" s="1"/>
      <c r="T1487" s="1"/>
      <c r="U1487" s="1"/>
      <c r="V1487" s="1"/>
      <c r="W1487" s="1"/>
      <c r="X1487" s="1"/>
      <c r="Y1487" s="1"/>
      <c r="Z1487" s="1"/>
      <c r="AA1487" s="1"/>
      <c r="AB1487" s="1"/>
      <c r="AC1487" s="1"/>
      <c r="AD1487" s="1"/>
      <c r="AE1487" s="1"/>
      <c r="AF1487" s="1"/>
      <c r="AG1487" s="1"/>
      <c r="AH1487" s="1"/>
    </row>
    <row r="1488" ht="12.75" hidden="1" customHeight="1" outlineLevel="1">
      <c r="A1488" s="17">
        <v>41249.0</v>
      </c>
      <c r="B1488" s="1"/>
      <c r="C1488" s="1" t="s">
        <v>339</v>
      </c>
      <c r="D1488" s="74"/>
      <c r="E1488" s="67"/>
      <c r="F1488" s="75"/>
      <c r="G1488" s="67"/>
      <c r="H1488" s="68"/>
      <c r="I1488" s="76"/>
      <c r="J1488" s="67"/>
      <c r="K1488" s="7" t="s">
        <v>823</v>
      </c>
      <c r="L1488" s="77"/>
      <c r="M1488" s="79"/>
      <c r="N1488" s="1"/>
      <c r="O1488" s="1"/>
      <c r="P1488" s="1"/>
      <c r="Q1488" s="1"/>
      <c r="R1488" s="1"/>
      <c r="S1488" s="1"/>
      <c r="T1488" s="1"/>
      <c r="U1488" s="1"/>
      <c r="V1488" s="1"/>
      <c r="W1488" s="1"/>
      <c r="X1488" s="1"/>
      <c r="Y1488" s="1"/>
      <c r="Z1488" s="1"/>
      <c r="AA1488" s="1"/>
      <c r="AB1488" s="1"/>
      <c r="AC1488" s="1"/>
      <c r="AD1488" s="1"/>
      <c r="AE1488" s="1"/>
      <c r="AF1488" s="1"/>
      <c r="AG1488" s="1"/>
      <c r="AH1488" s="1"/>
    </row>
    <row r="1489" ht="12.75" hidden="1" customHeight="1" outlineLevel="1">
      <c r="A1489" s="17">
        <v>41249.0</v>
      </c>
      <c r="B1489" s="1"/>
      <c r="C1489" s="1" t="s">
        <v>429</v>
      </c>
      <c r="D1489" s="74"/>
      <c r="E1489" s="67"/>
      <c r="F1489" s="75"/>
      <c r="G1489" s="67"/>
      <c r="H1489" s="68"/>
      <c r="I1489" s="76"/>
      <c r="J1489" s="67"/>
      <c r="K1489" s="7" t="s">
        <v>679</v>
      </c>
      <c r="L1489" s="77"/>
      <c r="M1489" s="79"/>
      <c r="N1489" s="1"/>
      <c r="O1489" s="1"/>
      <c r="P1489" s="1"/>
      <c r="Q1489" s="1"/>
      <c r="R1489" s="1"/>
      <c r="S1489" s="1"/>
      <c r="T1489" s="1"/>
      <c r="U1489" s="1"/>
      <c r="V1489" s="1"/>
      <c r="W1489" s="1"/>
      <c r="X1489" s="1"/>
      <c r="Y1489" s="1"/>
      <c r="Z1489" s="1"/>
      <c r="AA1489" s="1"/>
      <c r="AB1489" s="1"/>
      <c r="AC1489" s="1"/>
      <c r="AD1489" s="1"/>
      <c r="AE1489" s="1"/>
      <c r="AF1489" s="1"/>
      <c r="AG1489" s="1"/>
      <c r="AH1489" s="1"/>
    </row>
    <row r="1490" ht="12.75" hidden="1" customHeight="1" outlineLevel="1">
      <c r="A1490" s="17">
        <v>41249.0</v>
      </c>
      <c r="B1490" s="1"/>
      <c r="C1490" s="1" t="s">
        <v>431</v>
      </c>
      <c r="D1490" s="74"/>
      <c r="E1490" s="67"/>
      <c r="F1490" s="75"/>
      <c r="G1490" s="67"/>
      <c r="H1490" s="68"/>
      <c r="I1490" s="76"/>
      <c r="J1490" s="67"/>
      <c r="K1490" s="7" t="s">
        <v>817</v>
      </c>
      <c r="L1490" s="77"/>
      <c r="M1490" s="79"/>
      <c r="N1490" s="1"/>
      <c r="O1490" s="1"/>
      <c r="P1490" s="1"/>
      <c r="Q1490" s="1"/>
      <c r="R1490" s="1"/>
      <c r="S1490" s="1"/>
      <c r="T1490" s="1"/>
      <c r="U1490" s="1"/>
      <c r="V1490" s="1"/>
      <c r="W1490" s="1"/>
      <c r="X1490" s="1"/>
      <c r="Y1490" s="1"/>
      <c r="Z1490" s="1"/>
      <c r="AA1490" s="1"/>
      <c r="AB1490" s="1"/>
      <c r="AC1490" s="1"/>
      <c r="AD1490" s="1"/>
      <c r="AE1490" s="1"/>
      <c r="AF1490" s="1"/>
      <c r="AG1490" s="1"/>
      <c r="AH1490" s="1"/>
    </row>
    <row r="1491" ht="12.75" hidden="1" customHeight="1" outlineLevel="1">
      <c r="A1491" s="17">
        <v>41249.0</v>
      </c>
      <c r="B1491" s="1"/>
      <c r="C1491" s="1" t="s">
        <v>433</v>
      </c>
      <c r="D1491" s="74"/>
      <c r="E1491" s="67"/>
      <c r="F1491" s="75"/>
      <c r="G1491" s="67"/>
      <c r="H1491" s="68"/>
      <c r="I1491" s="76"/>
      <c r="J1491" s="67"/>
      <c r="K1491" s="1" t="s">
        <v>434</v>
      </c>
      <c r="L1491" s="77"/>
      <c r="M1491" s="79"/>
      <c r="N1491" s="1"/>
      <c r="O1491" s="1"/>
      <c r="P1491" s="1"/>
      <c r="Q1491" s="1"/>
      <c r="R1491" s="1"/>
      <c r="S1491" s="1"/>
      <c r="T1491" s="1"/>
      <c r="U1491" s="1"/>
      <c r="V1491" s="1"/>
      <c r="W1491" s="1"/>
      <c r="X1491" s="1"/>
      <c r="Y1491" s="1"/>
      <c r="Z1491" s="1"/>
      <c r="AA1491" s="1"/>
      <c r="AB1491" s="1"/>
      <c r="AC1491" s="1"/>
      <c r="AD1491" s="1"/>
      <c r="AE1491" s="1"/>
      <c r="AF1491" s="1"/>
      <c r="AG1491" s="1"/>
      <c r="AH1491" s="1"/>
    </row>
    <row r="1492" ht="12.75" hidden="1" customHeight="1" outlineLevel="1">
      <c r="A1492" s="17">
        <v>41249.0</v>
      </c>
      <c r="B1492" s="1"/>
      <c r="C1492" s="1" t="s">
        <v>435</v>
      </c>
      <c r="D1492" s="74"/>
      <c r="E1492" s="67"/>
      <c r="F1492" s="75"/>
      <c r="G1492" s="67"/>
      <c r="H1492" s="68"/>
      <c r="I1492" s="76"/>
      <c r="J1492" s="67"/>
      <c r="K1492" s="7" t="s">
        <v>818</v>
      </c>
      <c r="L1492" s="77"/>
      <c r="M1492" s="79"/>
      <c r="N1492" s="1"/>
      <c r="O1492" s="1"/>
      <c r="P1492" s="1"/>
      <c r="Q1492" s="1"/>
      <c r="R1492" s="1"/>
      <c r="S1492" s="1"/>
      <c r="T1492" s="1"/>
      <c r="U1492" s="1"/>
      <c r="V1492" s="1"/>
      <c r="W1492" s="1"/>
      <c r="X1492" s="1"/>
      <c r="Y1492" s="1"/>
      <c r="Z1492" s="1"/>
      <c r="AA1492" s="1"/>
      <c r="AB1492" s="1"/>
      <c r="AC1492" s="1"/>
      <c r="AD1492" s="1"/>
      <c r="AE1492" s="1"/>
      <c r="AF1492" s="1"/>
      <c r="AG1492" s="1"/>
      <c r="AH1492" s="1"/>
    </row>
    <row r="1493" ht="12.75" hidden="1" customHeight="1" outlineLevel="1">
      <c r="A1493" s="17">
        <v>41250.0</v>
      </c>
      <c r="B1493" s="1" t="s">
        <v>343</v>
      </c>
      <c r="C1493" s="1" t="s">
        <v>605</v>
      </c>
      <c r="D1493" s="74">
        <v>100.0</v>
      </c>
      <c r="E1493" s="67">
        <v>51.52</v>
      </c>
      <c r="F1493" s="75">
        <v>0.40089120370370374</v>
      </c>
      <c r="G1493" s="67" t="s">
        <v>453</v>
      </c>
      <c r="H1493" s="68">
        <v>1.0</v>
      </c>
      <c r="I1493" s="76"/>
      <c r="J1493" s="67">
        <f>IF(B1493="SLD",D1493*E1493,-D1493*E1493)-H1493</f>
        <v>-5153</v>
      </c>
      <c r="K1493" s="7"/>
      <c r="L1493" s="70"/>
      <c r="M1493" s="79"/>
      <c r="N1493" s="1"/>
      <c r="O1493" s="1"/>
      <c r="P1493" s="1"/>
      <c r="Q1493" s="1"/>
      <c r="R1493" s="1"/>
      <c r="S1493" s="1"/>
      <c r="T1493" s="1"/>
      <c r="U1493" s="1"/>
      <c r="V1493" s="1"/>
      <c r="W1493" s="1"/>
      <c r="X1493" s="1"/>
      <c r="Y1493" s="1"/>
      <c r="Z1493" s="1"/>
      <c r="AA1493" s="1"/>
      <c r="AB1493" s="1"/>
      <c r="AC1493" s="1"/>
      <c r="AD1493" s="1"/>
      <c r="AE1493" s="1"/>
      <c r="AF1493" s="1"/>
      <c r="AG1493" s="1"/>
      <c r="AH1493" s="1"/>
    </row>
    <row r="1494" ht="12.75" hidden="1" customHeight="1" outlineLevel="1">
      <c r="A1494" s="17">
        <v>41250.0</v>
      </c>
      <c r="B1494" s="1"/>
      <c r="C1494" s="1" t="s">
        <v>339</v>
      </c>
      <c r="D1494" s="74"/>
      <c r="E1494" s="67"/>
      <c r="F1494" s="75"/>
      <c r="G1494" s="67"/>
      <c r="H1494" s="68"/>
      <c r="I1494" s="76"/>
      <c r="J1494" s="67"/>
      <c r="K1494" s="7" t="s">
        <v>824</v>
      </c>
      <c r="L1494" s="77"/>
      <c r="M1494" s="79"/>
      <c r="N1494" s="1"/>
      <c r="O1494" s="1"/>
      <c r="P1494" s="1"/>
      <c r="Q1494" s="1"/>
      <c r="R1494" s="1"/>
      <c r="S1494" s="1"/>
      <c r="T1494" s="1"/>
      <c r="U1494" s="1"/>
      <c r="V1494" s="1"/>
      <c r="W1494" s="1"/>
      <c r="X1494" s="1"/>
      <c r="Y1494" s="1"/>
      <c r="Z1494" s="1"/>
      <c r="AA1494" s="1"/>
      <c r="AB1494" s="1"/>
      <c r="AC1494" s="1"/>
      <c r="AD1494" s="1"/>
      <c r="AE1494" s="1"/>
      <c r="AF1494" s="1"/>
      <c r="AG1494" s="1"/>
      <c r="AH1494" s="1"/>
    </row>
    <row r="1495" ht="12.75" hidden="1" customHeight="1" outlineLevel="1">
      <c r="A1495" s="17">
        <v>41250.0</v>
      </c>
      <c r="B1495" s="1"/>
      <c r="C1495" s="1" t="s">
        <v>429</v>
      </c>
      <c r="D1495" s="74"/>
      <c r="E1495" s="67"/>
      <c r="F1495" s="75"/>
      <c r="G1495" s="67"/>
      <c r="H1495" s="68"/>
      <c r="I1495" s="76"/>
      <c r="J1495" s="67"/>
      <c r="K1495" s="7" t="s">
        <v>679</v>
      </c>
      <c r="L1495" s="77"/>
      <c r="M1495" s="79"/>
      <c r="N1495" s="1"/>
      <c r="O1495" s="1"/>
      <c r="P1495" s="1"/>
      <c r="Q1495" s="1"/>
      <c r="R1495" s="1"/>
      <c r="S1495" s="1"/>
      <c r="T1495" s="1"/>
      <c r="U1495" s="1"/>
      <c r="V1495" s="1"/>
      <c r="W1495" s="1"/>
      <c r="X1495" s="1"/>
      <c r="Y1495" s="1"/>
      <c r="Z1495" s="1"/>
      <c r="AA1495" s="1"/>
      <c r="AB1495" s="1"/>
      <c r="AC1495" s="1"/>
      <c r="AD1495" s="1"/>
      <c r="AE1495" s="1"/>
      <c r="AF1495" s="1"/>
      <c r="AG1495" s="1"/>
      <c r="AH1495" s="1"/>
    </row>
    <row r="1496" ht="12.75" hidden="1" customHeight="1" outlineLevel="1">
      <c r="A1496" s="17">
        <v>41250.0</v>
      </c>
      <c r="B1496" s="1"/>
      <c r="C1496" s="1" t="s">
        <v>431</v>
      </c>
      <c r="D1496" s="74"/>
      <c r="E1496" s="67"/>
      <c r="F1496" s="75"/>
      <c r="G1496" s="67"/>
      <c r="H1496" s="68"/>
      <c r="I1496" s="76"/>
      <c r="J1496" s="67"/>
      <c r="K1496" s="7" t="s">
        <v>817</v>
      </c>
      <c r="L1496" s="77"/>
      <c r="M1496" s="79"/>
      <c r="N1496" s="1"/>
      <c r="O1496" s="1"/>
      <c r="P1496" s="1"/>
      <c r="Q1496" s="1"/>
      <c r="R1496" s="1"/>
      <c r="S1496" s="1"/>
      <c r="T1496" s="1"/>
      <c r="U1496" s="1"/>
      <c r="V1496" s="1"/>
      <c r="W1496" s="1"/>
      <c r="X1496" s="1"/>
      <c r="Y1496" s="1"/>
      <c r="Z1496" s="1"/>
      <c r="AA1496" s="1"/>
      <c r="AB1496" s="1"/>
      <c r="AC1496" s="1"/>
      <c r="AD1496" s="1"/>
      <c r="AE1496" s="1"/>
      <c r="AF1496" s="1"/>
      <c r="AG1496" s="1"/>
      <c r="AH1496" s="1"/>
    </row>
    <row r="1497" ht="12.75" hidden="1" customHeight="1" outlineLevel="1">
      <c r="A1497" s="17">
        <v>41250.0</v>
      </c>
      <c r="B1497" s="1"/>
      <c r="C1497" s="1" t="s">
        <v>433</v>
      </c>
      <c r="D1497" s="74"/>
      <c r="E1497" s="67"/>
      <c r="F1497" s="75"/>
      <c r="G1497" s="67"/>
      <c r="H1497" s="68"/>
      <c r="I1497" s="76"/>
      <c r="J1497" s="67"/>
      <c r="K1497" s="1" t="s">
        <v>434</v>
      </c>
      <c r="L1497" s="77"/>
      <c r="M1497" s="79"/>
      <c r="N1497" s="1"/>
      <c r="O1497" s="1"/>
      <c r="P1497" s="1"/>
      <c r="Q1497" s="1"/>
      <c r="R1497" s="1"/>
      <c r="S1497" s="1"/>
      <c r="T1497" s="1"/>
      <c r="U1497" s="1"/>
      <c r="V1497" s="1"/>
      <c r="W1497" s="1"/>
      <c r="X1497" s="1"/>
      <c r="Y1497" s="1"/>
      <c r="Z1497" s="1"/>
      <c r="AA1497" s="1"/>
      <c r="AB1497" s="1"/>
      <c r="AC1497" s="1"/>
      <c r="AD1497" s="1"/>
      <c r="AE1497" s="1"/>
      <c r="AF1497" s="1"/>
      <c r="AG1497" s="1"/>
      <c r="AH1497" s="1"/>
    </row>
    <row r="1498" ht="12.75" hidden="1" customHeight="1" outlineLevel="1">
      <c r="A1498" s="17">
        <v>41250.0</v>
      </c>
      <c r="B1498" s="1"/>
      <c r="C1498" s="1" t="s">
        <v>435</v>
      </c>
      <c r="D1498" s="74"/>
      <c r="E1498" s="67"/>
      <c r="F1498" s="75"/>
      <c r="G1498" s="67"/>
      <c r="H1498" s="68"/>
      <c r="I1498" s="76"/>
      <c r="J1498" s="67"/>
      <c r="K1498" s="7" t="s">
        <v>818</v>
      </c>
      <c r="L1498" s="77"/>
      <c r="M1498" s="79"/>
      <c r="N1498" s="1"/>
      <c r="O1498" s="1"/>
      <c r="P1498" s="1"/>
      <c r="Q1498" s="1"/>
      <c r="R1498" s="1"/>
      <c r="S1498" s="1"/>
      <c r="T1498" s="1"/>
      <c r="U1498" s="1"/>
      <c r="V1498" s="1"/>
      <c r="W1498" s="1"/>
      <c r="X1498" s="1"/>
      <c r="Y1498" s="1"/>
      <c r="Z1498" s="1"/>
      <c r="AA1498" s="1"/>
      <c r="AB1498" s="1"/>
      <c r="AC1498" s="1"/>
      <c r="AD1498" s="1"/>
      <c r="AE1498" s="1"/>
      <c r="AF1498" s="1"/>
      <c r="AG1498" s="1"/>
      <c r="AH1498" s="1"/>
    </row>
    <row r="1499" ht="12.75" hidden="1" customHeight="1" outlineLevel="1">
      <c r="A1499" s="17">
        <v>41253.0</v>
      </c>
      <c r="B1499" s="1" t="s">
        <v>343</v>
      </c>
      <c r="C1499" s="1" t="s">
        <v>354</v>
      </c>
      <c r="D1499" s="74">
        <v>40.0</v>
      </c>
      <c r="E1499" s="67">
        <v>104.8</v>
      </c>
      <c r="F1499" s="75">
        <v>0.40695601851851854</v>
      </c>
      <c r="G1499" s="67" t="s">
        <v>453</v>
      </c>
      <c r="H1499" s="68">
        <v>1.0</v>
      </c>
      <c r="I1499" s="76"/>
      <c r="J1499" s="67">
        <f t="shared" ref="J1499:J1501" si="106">IF(B1499="SLD",D1499*E1499,-D1499*E1499)-H1499</f>
        <v>-4193</v>
      </c>
      <c r="K1499" s="7"/>
      <c r="L1499" s="70"/>
      <c r="M1499" s="79"/>
      <c r="N1499" s="1"/>
      <c r="O1499" s="1"/>
      <c r="P1499" s="1"/>
      <c r="Q1499" s="1"/>
      <c r="R1499" s="1"/>
      <c r="S1499" s="1"/>
      <c r="T1499" s="1"/>
      <c r="U1499" s="1"/>
      <c r="V1499" s="1"/>
      <c r="W1499" s="1"/>
      <c r="X1499" s="1"/>
      <c r="Y1499" s="1"/>
      <c r="Z1499" s="1"/>
      <c r="AA1499" s="1"/>
      <c r="AB1499" s="1"/>
      <c r="AC1499" s="1"/>
      <c r="AD1499" s="1"/>
      <c r="AE1499" s="1"/>
      <c r="AF1499" s="1"/>
      <c r="AG1499" s="1"/>
      <c r="AH1499" s="1"/>
    </row>
    <row r="1500" ht="12.75" hidden="1" customHeight="1" outlineLevel="1">
      <c r="A1500" s="17">
        <v>41253.0</v>
      </c>
      <c r="B1500" s="1" t="s">
        <v>347</v>
      </c>
      <c r="C1500" s="1" t="s">
        <v>346</v>
      </c>
      <c r="D1500" s="74">
        <v>40.0</v>
      </c>
      <c r="E1500" s="67">
        <v>527.9</v>
      </c>
      <c r="F1500" s="75">
        <v>0.4174074074074074</v>
      </c>
      <c r="G1500" s="67" t="s">
        <v>453</v>
      </c>
      <c r="H1500" s="68">
        <v>1.0</v>
      </c>
      <c r="I1500" s="76"/>
      <c r="J1500" s="67">
        <f t="shared" si="106"/>
        <v>21115</v>
      </c>
      <c r="K1500" s="7"/>
      <c r="L1500" s="70"/>
      <c r="M1500" s="79"/>
      <c r="N1500" s="1"/>
      <c r="O1500" s="1"/>
      <c r="P1500" s="1"/>
      <c r="Q1500" s="1"/>
      <c r="R1500" s="1"/>
      <c r="S1500" s="1"/>
      <c r="T1500" s="1"/>
      <c r="U1500" s="1"/>
      <c r="V1500" s="1"/>
      <c r="W1500" s="1"/>
      <c r="X1500" s="1"/>
      <c r="Y1500" s="1"/>
      <c r="Z1500" s="1"/>
      <c r="AA1500" s="1"/>
      <c r="AB1500" s="1"/>
      <c r="AC1500" s="1"/>
      <c r="AD1500" s="1"/>
      <c r="AE1500" s="1"/>
      <c r="AF1500" s="1"/>
      <c r="AG1500" s="1"/>
      <c r="AH1500" s="1"/>
    </row>
    <row r="1501" ht="12.75" hidden="1" customHeight="1" outlineLevel="1">
      <c r="A1501" s="17">
        <v>41253.0</v>
      </c>
      <c r="B1501" s="1" t="s">
        <v>343</v>
      </c>
      <c r="C1501" s="1" t="s">
        <v>784</v>
      </c>
      <c r="D1501" s="74">
        <v>400.0</v>
      </c>
      <c r="E1501" s="67">
        <v>18.35</v>
      </c>
      <c r="F1501" s="75">
        <v>0.6420370370370371</v>
      </c>
      <c r="G1501" s="67" t="s">
        <v>453</v>
      </c>
      <c r="H1501" s="68">
        <v>1.6</v>
      </c>
      <c r="I1501" s="76"/>
      <c r="J1501" s="67">
        <f t="shared" si="106"/>
        <v>-7341.6</v>
      </c>
      <c r="K1501" s="7"/>
      <c r="L1501" s="70"/>
      <c r="M1501" s="79"/>
      <c r="N1501" s="1"/>
      <c r="O1501" s="1"/>
      <c r="P1501" s="1"/>
      <c r="Q1501" s="1"/>
      <c r="R1501" s="1"/>
      <c r="S1501" s="1"/>
      <c r="T1501" s="1"/>
      <c r="U1501" s="1"/>
      <c r="V1501" s="1"/>
      <c r="W1501" s="1"/>
      <c r="X1501" s="1"/>
      <c r="Y1501" s="1"/>
      <c r="Z1501" s="1"/>
      <c r="AA1501" s="1"/>
      <c r="AB1501" s="1"/>
      <c r="AC1501" s="1"/>
      <c r="AD1501" s="1"/>
      <c r="AE1501" s="1"/>
      <c r="AF1501" s="1"/>
      <c r="AG1501" s="1"/>
      <c r="AH1501" s="1"/>
    </row>
    <row r="1502" ht="12.75" hidden="1" customHeight="1" outlineLevel="1">
      <c r="A1502" s="17">
        <v>41253.0</v>
      </c>
      <c r="B1502" s="1"/>
      <c r="C1502" s="1" t="s">
        <v>339</v>
      </c>
      <c r="D1502" s="74"/>
      <c r="E1502" s="67"/>
      <c r="F1502" s="75"/>
      <c r="G1502" s="67"/>
      <c r="H1502" s="68"/>
      <c r="I1502" s="76"/>
      <c r="J1502" s="67"/>
      <c r="K1502" s="7" t="s">
        <v>825</v>
      </c>
      <c r="L1502" s="77"/>
      <c r="M1502" s="79"/>
      <c r="N1502" s="1"/>
      <c r="O1502" s="1"/>
      <c r="P1502" s="1"/>
      <c r="Q1502" s="1"/>
      <c r="R1502" s="1"/>
      <c r="S1502" s="1"/>
      <c r="T1502" s="1"/>
      <c r="U1502" s="1"/>
      <c r="V1502" s="1"/>
      <c r="W1502" s="1"/>
      <c r="X1502" s="1"/>
      <c r="Y1502" s="1"/>
      <c r="Z1502" s="1"/>
      <c r="AA1502" s="1"/>
      <c r="AB1502" s="1"/>
      <c r="AC1502" s="1"/>
      <c r="AD1502" s="1"/>
      <c r="AE1502" s="1"/>
      <c r="AF1502" s="1"/>
      <c r="AG1502" s="1"/>
      <c r="AH1502" s="1"/>
    </row>
    <row r="1503" ht="12.75" hidden="1" customHeight="1" outlineLevel="1">
      <c r="A1503" s="17">
        <v>41253.0</v>
      </c>
      <c r="B1503" s="1"/>
      <c r="C1503" s="1" t="s">
        <v>429</v>
      </c>
      <c r="D1503" s="74"/>
      <c r="E1503" s="67"/>
      <c r="F1503" s="75"/>
      <c r="G1503" s="67"/>
      <c r="H1503" s="68"/>
      <c r="I1503" s="76"/>
      <c r="J1503" s="67"/>
      <c r="K1503" s="7" t="s">
        <v>679</v>
      </c>
      <c r="L1503" s="77"/>
      <c r="M1503" s="79"/>
      <c r="N1503" s="1"/>
      <c r="O1503" s="1"/>
      <c r="P1503" s="1"/>
      <c r="Q1503" s="1"/>
      <c r="R1503" s="1"/>
      <c r="S1503" s="1"/>
      <c r="T1503" s="1"/>
      <c r="U1503" s="1"/>
      <c r="V1503" s="1"/>
      <c r="W1503" s="1"/>
      <c r="X1503" s="1"/>
      <c r="Y1503" s="1"/>
      <c r="Z1503" s="1"/>
      <c r="AA1503" s="1"/>
      <c r="AB1503" s="1"/>
      <c r="AC1503" s="1"/>
      <c r="AD1503" s="1"/>
      <c r="AE1503" s="1"/>
      <c r="AF1503" s="1"/>
      <c r="AG1503" s="1"/>
      <c r="AH1503" s="1"/>
    </row>
    <row r="1504" ht="12.75" hidden="1" customHeight="1" outlineLevel="1">
      <c r="A1504" s="17">
        <v>41253.0</v>
      </c>
      <c r="B1504" s="1"/>
      <c r="C1504" s="1" t="s">
        <v>431</v>
      </c>
      <c r="D1504" s="74"/>
      <c r="E1504" s="67"/>
      <c r="F1504" s="75"/>
      <c r="G1504" s="67"/>
      <c r="H1504" s="68"/>
      <c r="I1504" s="76"/>
      <c r="J1504" s="67"/>
      <c r="K1504" s="7" t="s">
        <v>817</v>
      </c>
      <c r="L1504" s="77"/>
      <c r="M1504" s="79"/>
      <c r="N1504" s="1"/>
      <c r="O1504" s="1"/>
      <c r="P1504" s="1"/>
      <c r="Q1504" s="1"/>
      <c r="R1504" s="1"/>
      <c r="S1504" s="1"/>
      <c r="T1504" s="1"/>
      <c r="U1504" s="1"/>
      <c r="V1504" s="1"/>
      <c r="W1504" s="1"/>
      <c r="X1504" s="1"/>
      <c r="Y1504" s="1"/>
      <c r="Z1504" s="1"/>
      <c r="AA1504" s="1"/>
      <c r="AB1504" s="1"/>
      <c r="AC1504" s="1"/>
      <c r="AD1504" s="1"/>
      <c r="AE1504" s="1"/>
      <c r="AF1504" s="1"/>
      <c r="AG1504" s="1"/>
      <c r="AH1504" s="1"/>
    </row>
    <row r="1505" ht="12.75" hidden="1" customHeight="1" outlineLevel="1">
      <c r="A1505" s="17">
        <v>41253.0</v>
      </c>
      <c r="B1505" s="1"/>
      <c r="C1505" s="1" t="s">
        <v>433</v>
      </c>
      <c r="D1505" s="74"/>
      <c r="E1505" s="67"/>
      <c r="F1505" s="75"/>
      <c r="G1505" s="67"/>
      <c r="H1505" s="68"/>
      <c r="I1505" s="76"/>
      <c r="J1505" s="67"/>
      <c r="K1505" s="1" t="s">
        <v>434</v>
      </c>
      <c r="L1505" s="77"/>
      <c r="M1505" s="79"/>
      <c r="N1505" s="1"/>
      <c r="O1505" s="1"/>
      <c r="P1505" s="1"/>
      <c r="Q1505" s="1"/>
      <c r="R1505" s="1"/>
      <c r="S1505" s="1"/>
      <c r="T1505" s="1"/>
      <c r="U1505" s="1"/>
      <c r="V1505" s="1"/>
      <c r="W1505" s="1"/>
      <c r="X1505" s="1"/>
      <c r="Y1505" s="1"/>
      <c r="Z1505" s="1"/>
      <c r="AA1505" s="1"/>
      <c r="AB1505" s="1"/>
      <c r="AC1505" s="1"/>
      <c r="AD1505" s="1"/>
      <c r="AE1505" s="1"/>
      <c r="AF1505" s="1"/>
      <c r="AG1505" s="1"/>
      <c r="AH1505" s="1"/>
    </row>
    <row r="1506" ht="12.75" hidden="1" customHeight="1" outlineLevel="1">
      <c r="A1506" s="17">
        <v>41253.0</v>
      </c>
      <c r="B1506" s="1"/>
      <c r="C1506" s="1" t="s">
        <v>435</v>
      </c>
      <c r="D1506" s="74"/>
      <c r="E1506" s="67"/>
      <c r="F1506" s="75"/>
      <c r="G1506" s="67"/>
      <c r="H1506" s="68"/>
      <c r="I1506" s="76"/>
      <c r="J1506" s="67"/>
      <c r="K1506" s="7" t="s">
        <v>818</v>
      </c>
      <c r="L1506" s="77"/>
      <c r="M1506" s="79"/>
      <c r="N1506" s="1"/>
      <c r="O1506" s="1"/>
      <c r="P1506" s="1"/>
      <c r="Q1506" s="1"/>
      <c r="R1506" s="1"/>
      <c r="S1506" s="1"/>
      <c r="T1506" s="1"/>
      <c r="U1506" s="1"/>
      <c r="V1506" s="1"/>
      <c r="W1506" s="1"/>
      <c r="X1506" s="1"/>
      <c r="Y1506" s="1"/>
      <c r="Z1506" s="1"/>
      <c r="AA1506" s="1"/>
      <c r="AB1506" s="1"/>
      <c r="AC1506" s="1"/>
      <c r="AD1506" s="1"/>
      <c r="AE1506" s="1"/>
      <c r="AF1506" s="1"/>
      <c r="AG1506" s="1"/>
      <c r="AH1506" s="1"/>
    </row>
    <row r="1507" ht="12.75" hidden="1" customHeight="1" outlineLevel="1">
      <c r="A1507" s="17">
        <v>41254.0</v>
      </c>
      <c r="B1507" s="1" t="s">
        <v>343</v>
      </c>
      <c r="C1507" s="1" t="s">
        <v>344</v>
      </c>
      <c r="D1507" s="74">
        <v>300.0</v>
      </c>
      <c r="E1507" s="67">
        <v>34.49</v>
      </c>
      <c r="F1507" s="75">
        <v>0.40846064814814814</v>
      </c>
      <c r="G1507" s="67" t="s">
        <v>453</v>
      </c>
      <c r="H1507" s="68">
        <v>1.2</v>
      </c>
      <c r="I1507" s="76"/>
      <c r="J1507" s="67">
        <f t="shared" ref="J1507:J1513" si="107">IF(B1507="SLD",D1507*E1507,-D1507*E1507)-H1507</f>
        <v>-10348.2</v>
      </c>
      <c r="K1507" s="7"/>
      <c r="L1507" s="70"/>
      <c r="M1507" s="79"/>
      <c r="N1507" s="1"/>
      <c r="O1507" s="1"/>
      <c r="P1507" s="1"/>
      <c r="Q1507" s="1"/>
      <c r="R1507" s="1"/>
      <c r="S1507" s="1"/>
      <c r="T1507" s="1"/>
      <c r="U1507" s="1"/>
      <c r="V1507" s="1"/>
      <c r="W1507" s="1"/>
      <c r="X1507" s="1"/>
      <c r="Y1507" s="1"/>
      <c r="Z1507" s="1"/>
      <c r="AA1507" s="1"/>
      <c r="AB1507" s="1"/>
      <c r="AC1507" s="1"/>
      <c r="AD1507" s="1"/>
      <c r="AE1507" s="1"/>
      <c r="AF1507" s="1"/>
      <c r="AG1507" s="1"/>
      <c r="AH1507" s="1"/>
    </row>
    <row r="1508" ht="12.75" hidden="1" customHeight="1" outlineLevel="1">
      <c r="A1508" s="17">
        <v>41254.0</v>
      </c>
      <c r="B1508" s="1" t="s">
        <v>343</v>
      </c>
      <c r="C1508" s="1" t="s">
        <v>734</v>
      </c>
      <c r="D1508" s="74">
        <v>300.0</v>
      </c>
      <c r="E1508" s="67">
        <v>18.5</v>
      </c>
      <c r="F1508" s="75">
        <v>0.41490740740740745</v>
      </c>
      <c r="G1508" s="67" t="s">
        <v>453</v>
      </c>
      <c r="H1508" s="68">
        <v>1.2</v>
      </c>
      <c r="I1508" s="76"/>
      <c r="J1508" s="67">
        <f t="shared" si="107"/>
        <v>-5551.2</v>
      </c>
      <c r="K1508" s="7"/>
      <c r="L1508" s="70"/>
      <c r="M1508" s="79"/>
      <c r="N1508" s="1"/>
      <c r="O1508" s="1"/>
      <c r="P1508" s="1"/>
      <c r="Q1508" s="1"/>
      <c r="R1508" s="1"/>
      <c r="S1508" s="1"/>
      <c r="T1508" s="1"/>
      <c r="U1508" s="1"/>
      <c r="V1508" s="1"/>
      <c r="W1508" s="1"/>
      <c r="X1508" s="1"/>
      <c r="Y1508" s="1"/>
      <c r="Z1508" s="1"/>
      <c r="AA1508" s="1"/>
      <c r="AB1508" s="1"/>
      <c r="AC1508" s="1"/>
      <c r="AD1508" s="1"/>
      <c r="AE1508" s="1"/>
      <c r="AF1508" s="1"/>
      <c r="AG1508" s="1"/>
      <c r="AH1508" s="1"/>
    </row>
    <row r="1509" ht="12.75" hidden="1" customHeight="1" outlineLevel="1">
      <c r="A1509" s="17">
        <v>41254.0</v>
      </c>
      <c r="B1509" s="1" t="s">
        <v>343</v>
      </c>
      <c r="C1509" s="1" t="s">
        <v>751</v>
      </c>
      <c r="D1509" s="74">
        <v>50.0</v>
      </c>
      <c r="E1509" s="67">
        <v>115.07</v>
      </c>
      <c r="F1509" s="75">
        <v>0.42019675925925926</v>
      </c>
      <c r="G1509" s="67" t="s">
        <v>453</v>
      </c>
      <c r="H1509" s="68">
        <v>1.0</v>
      </c>
      <c r="I1509" s="76"/>
      <c r="J1509" s="67">
        <f t="shared" si="107"/>
        <v>-5754.5</v>
      </c>
      <c r="K1509" s="7"/>
      <c r="L1509" s="70"/>
      <c r="M1509" s="79"/>
      <c r="N1509" s="1"/>
      <c r="O1509" s="1"/>
      <c r="P1509" s="1"/>
      <c r="Q1509" s="1"/>
      <c r="R1509" s="1"/>
      <c r="S1509" s="1"/>
      <c r="T1509" s="1"/>
      <c r="U1509" s="1"/>
      <c r="V1509" s="1"/>
      <c r="W1509" s="1"/>
      <c r="X1509" s="1"/>
      <c r="Y1509" s="1"/>
      <c r="Z1509" s="1"/>
      <c r="AA1509" s="1"/>
      <c r="AB1509" s="1"/>
      <c r="AC1509" s="1"/>
      <c r="AD1509" s="1"/>
      <c r="AE1509" s="1"/>
      <c r="AF1509" s="1"/>
      <c r="AG1509" s="1"/>
      <c r="AH1509" s="1"/>
    </row>
    <row r="1510" ht="12.75" hidden="1" customHeight="1" outlineLevel="1">
      <c r="A1510" s="17">
        <v>41254.0</v>
      </c>
      <c r="B1510" s="1" t="s">
        <v>347</v>
      </c>
      <c r="C1510" s="1" t="s">
        <v>691</v>
      </c>
      <c r="D1510" s="74">
        <v>200.0</v>
      </c>
      <c r="E1510" s="67">
        <v>27.85</v>
      </c>
      <c r="F1510" s="75">
        <v>0.4337152777777778</v>
      </c>
      <c r="G1510" s="67" t="s">
        <v>453</v>
      </c>
      <c r="H1510" s="68">
        <v>1.0</v>
      </c>
      <c r="I1510" s="76"/>
      <c r="J1510" s="67">
        <f t="shared" si="107"/>
        <v>5569</v>
      </c>
      <c r="K1510" s="7"/>
      <c r="L1510" s="70"/>
      <c r="M1510" s="79"/>
      <c r="N1510" s="1"/>
      <c r="O1510" s="1"/>
      <c r="P1510" s="1"/>
      <c r="Q1510" s="1"/>
      <c r="R1510" s="1"/>
      <c r="S1510" s="1"/>
      <c r="T1510" s="1"/>
      <c r="U1510" s="1"/>
      <c r="V1510" s="1"/>
      <c r="W1510" s="1"/>
      <c r="X1510" s="1"/>
      <c r="Y1510" s="1"/>
      <c r="Z1510" s="1"/>
      <c r="AA1510" s="1"/>
      <c r="AB1510" s="1"/>
      <c r="AC1510" s="1"/>
      <c r="AD1510" s="1"/>
      <c r="AE1510" s="1"/>
      <c r="AF1510" s="1"/>
      <c r="AG1510" s="1"/>
      <c r="AH1510" s="1"/>
    </row>
    <row r="1511" ht="12.75" hidden="1" customHeight="1" outlineLevel="1">
      <c r="A1511" s="17">
        <v>41254.0</v>
      </c>
      <c r="B1511" s="1" t="s">
        <v>347</v>
      </c>
      <c r="C1511" s="1" t="s">
        <v>757</v>
      </c>
      <c r="D1511" s="74">
        <v>85.0</v>
      </c>
      <c r="E1511" s="67">
        <v>48.6</v>
      </c>
      <c r="F1511" s="75">
        <v>0.43528935185185186</v>
      </c>
      <c r="G1511" s="67" t="s">
        <v>453</v>
      </c>
      <c r="H1511" s="68">
        <v>1.0</v>
      </c>
      <c r="I1511" s="76"/>
      <c r="J1511" s="67">
        <f t="shared" si="107"/>
        <v>4130</v>
      </c>
      <c r="K1511" s="7"/>
      <c r="L1511" s="70"/>
      <c r="M1511" s="79"/>
      <c r="N1511" s="1"/>
      <c r="O1511" s="1"/>
      <c r="P1511" s="1"/>
      <c r="Q1511" s="1"/>
      <c r="R1511" s="1"/>
      <c r="S1511" s="1"/>
      <c r="T1511" s="1"/>
      <c r="U1511" s="1"/>
      <c r="V1511" s="1"/>
      <c r="W1511" s="1"/>
      <c r="X1511" s="1"/>
      <c r="Y1511" s="1"/>
      <c r="Z1511" s="1"/>
      <c r="AA1511" s="1"/>
      <c r="AB1511" s="1"/>
      <c r="AC1511" s="1"/>
      <c r="AD1511" s="1"/>
      <c r="AE1511" s="1"/>
      <c r="AF1511" s="1"/>
      <c r="AG1511" s="1"/>
      <c r="AH1511" s="1"/>
    </row>
    <row r="1512" ht="12.75" hidden="1" customHeight="1" outlineLevel="1">
      <c r="A1512" s="17">
        <v>41254.0</v>
      </c>
      <c r="B1512" s="1" t="s">
        <v>343</v>
      </c>
      <c r="C1512" s="1" t="s">
        <v>605</v>
      </c>
      <c r="D1512" s="74">
        <v>100.0</v>
      </c>
      <c r="E1512" s="67">
        <v>53.26</v>
      </c>
      <c r="F1512" s="75">
        <v>0.4674421296296296</v>
      </c>
      <c r="G1512" s="67" t="s">
        <v>453</v>
      </c>
      <c r="H1512" s="68">
        <v>1.0</v>
      </c>
      <c r="I1512" s="76"/>
      <c r="J1512" s="67">
        <f t="shared" si="107"/>
        <v>-5327</v>
      </c>
      <c r="K1512" s="7"/>
      <c r="L1512" s="70"/>
      <c r="M1512" s="79"/>
      <c r="N1512" s="1"/>
      <c r="O1512" s="1"/>
      <c r="P1512" s="1"/>
      <c r="Q1512" s="1"/>
      <c r="R1512" s="1"/>
      <c r="S1512" s="1"/>
      <c r="T1512" s="1"/>
      <c r="U1512" s="1"/>
      <c r="V1512" s="1"/>
      <c r="W1512" s="1"/>
      <c r="X1512" s="1"/>
      <c r="Y1512" s="1"/>
      <c r="Z1512" s="1"/>
      <c r="AA1512" s="1"/>
      <c r="AB1512" s="1"/>
      <c r="AC1512" s="1"/>
      <c r="AD1512" s="1"/>
      <c r="AE1512" s="1"/>
      <c r="AF1512" s="1"/>
      <c r="AG1512" s="1"/>
      <c r="AH1512" s="1"/>
    </row>
    <row r="1513" ht="12.75" hidden="1" customHeight="1" outlineLevel="1">
      <c r="A1513" s="17">
        <v>41254.0</v>
      </c>
      <c r="B1513" s="1" t="s">
        <v>343</v>
      </c>
      <c r="C1513" s="1" t="s">
        <v>630</v>
      </c>
      <c r="D1513" s="74">
        <v>1000.0</v>
      </c>
      <c r="E1513" s="67">
        <f>4.34*1.05</f>
        <v>4.557</v>
      </c>
      <c r="F1513" s="75">
        <v>0.7618634259259259</v>
      </c>
      <c r="G1513" s="67" t="s">
        <v>631</v>
      </c>
      <c r="H1513" s="68">
        <v>6.0</v>
      </c>
      <c r="I1513" s="76"/>
      <c r="J1513" s="67">
        <f t="shared" si="107"/>
        <v>-4563</v>
      </c>
      <c r="K1513" s="7"/>
      <c r="L1513" s="70"/>
      <c r="M1513" s="79"/>
      <c r="N1513" s="1"/>
      <c r="O1513" s="1"/>
      <c r="P1513" s="1"/>
      <c r="Q1513" s="1"/>
      <c r="R1513" s="1"/>
      <c r="S1513" s="1"/>
      <c r="T1513" s="1"/>
      <c r="U1513" s="1"/>
      <c r="V1513" s="1"/>
      <c r="W1513" s="1"/>
      <c r="X1513" s="1"/>
      <c r="Y1513" s="1"/>
      <c r="Z1513" s="1"/>
      <c r="AA1513" s="1"/>
      <c r="AB1513" s="1"/>
      <c r="AC1513" s="1"/>
      <c r="AD1513" s="1"/>
      <c r="AE1513" s="1"/>
      <c r="AF1513" s="1"/>
      <c r="AG1513" s="1"/>
      <c r="AH1513" s="1"/>
    </row>
    <row r="1514" ht="12.75" hidden="1" customHeight="1" outlineLevel="1">
      <c r="A1514" s="17">
        <v>41254.0</v>
      </c>
      <c r="B1514" s="1"/>
      <c r="C1514" s="1" t="s">
        <v>339</v>
      </c>
      <c r="D1514" s="74"/>
      <c r="E1514" s="67"/>
      <c r="F1514" s="75"/>
      <c r="G1514" s="67"/>
      <c r="H1514" s="68"/>
      <c r="I1514" s="76"/>
      <c r="J1514" s="67"/>
      <c r="K1514" s="7" t="s">
        <v>826</v>
      </c>
      <c r="L1514" s="77"/>
      <c r="M1514" s="79"/>
      <c r="N1514" s="1"/>
      <c r="O1514" s="1"/>
      <c r="P1514" s="1"/>
      <c r="Q1514" s="1"/>
      <c r="R1514" s="1"/>
      <c r="S1514" s="1"/>
      <c r="T1514" s="1"/>
      <c r="U1514" s="1"/>
      <c r="V1514" s="1"/>
      <c r="W1514" s="1"/>
      <c r="X1514" s="1"/>
      <c r="Y1514" s="1"/>
      <c r="Z1514" s="1"/>
      <c r="AA1514" s="1"/>
      <c r="AB1514" s="1"/>
      <c r="AC1514" s="1"/>
      <c r="AD1514" s="1"/>
      <c r="AE1514" s="1"/>
      <c r="AF1514" s="1"/>
      <c r="AG1514" s="1"/>
      <c r="AH1514" s="1"/>
    </row>
    <row r="1515" ht="12.75" hidden="1" customHeight="1" outlineLevel="1">
      <c r="A1515" s="17">
        <v>41254.0</v>
      </c>
      <c r="B1515" s="1"/>
      <c r="C1515" s="1" t="s">
        <v>429</v>
      </c>
      <c r="D1515" s="74"/>
      <c r="E1515" s="67"/>
      <c r="F1515" s="75"/>
      <c r="G1515" s="67"/>
      <c r="H1515" s="68"/>
      <c r="I1515" s="76"/>
      <c r="J1515" s="67"/>
      <c r="K1515" s="7" t="s">
        <v>679</v>
      </c>
      <c r="L1515" s="77"/>
      <c r="M1515" s="79"/>
      <c r="N1515" s="1"/>
      <c r="O1515" s="1"/>
      <c r="P1515" s="1"/>
      <c r="Q1515" s="1"/>
      <c r="R1515" s="1"/>
      <c r="S1515" s="1"/>
      <c r="T1515" s="1"/>
      <c r="U1515" s="1"/>
      <c r="V1515" s="1"/>
      <c r="W1515" s="1"/>
      <c r="X1515" s="1"/>
      <c r="Y1515" s="1"/>
      <c r="Z1515" s="1"/>
      <c r="AA1515" s="1"/>
      <c r="AB1515" s="1"/>
      <c r="AC1515" s="1"/>
      <c r="AD1515" s="1"/>
      <c r="AE1515" s="1"/>
      <c r="AF1515" s="1"/>
      <c r="AG1515" s="1"/>
      <c r="AH1515" s="1"/>
    </row>
    <row r="1516" ht="12.75" hidden="1" customHeight="1" outlineLevel="1">
      <c r="A1516" s="17">
        <v>41254.0</v>
      </c>
      <c r="B1516" s="1"/>
      <c r="C1516" s="1" t="s">
        <v>431</v>
      </c>
      <c r="D1516" s="74"/>
      <c r="E1516" s="67"/>
      <c r="F1516" s="75"/>
      <c r="G1516" s="67"/>
      <c r="H1516" s="68"/>
      <c r="I1516" s="76"/>
      <c r="J1516" s="67"/>
      <c r="K1516" s="7" t="s">
        <v>817</v>
      </c>
      <c r="L1516" s="77"/>
      <c r="M1516" s="79"/>
      <c r="N1516" s="1"/>
      <c r="O1516" s="1"/>
      <c r="P1516" s="1"/>
      <c r="Q1516" s="1"/>
      <c r="R1516" s="1"/>
      <c r="S1516" s="1"/>
      <c r="T1516" s="1"/>
      <c r="U1516" s="1"/>
      <c r="V1516" s="1"/>
      <c r="W1516" s="1"/>
      <c r="X1516" s="1"/>
      <c r="Y1516" s="1"/>
      <c r="Z1516" s="1"/>
      <c r="AA1516" s="1"/>
      <c r="AB1516" s="1"/>
      <c r="AC1516" s="1"/>
      <c r="AD1516" s="1"/>
      <c r="AE1516" s="1"/>
      <c r="AF1516" s="1"/>
      <c r="AG1516" s="1"/>
      <c r="AH1516" s="1"/>
    </row>
    <row r="1517" ht="12.75" hidden="1" customHeight="1" outlineLevel="1">
      <c r="A1517" s="17">
        <v>41254.0</v>
      </c>
      <c r="B1517" s="1"/>
      <c r="C1517" s="1" t="s">
        <v>433</v>
      </c>
      <c r="D1517" s="74"/>
      <c r="E1517" s="67"/>
      <c r="F1517" s="75"/>
      <c r="G1517" s="67"/>
      <c r="H1517" s="68"/>
      <c r="I1517" s="76"/>
      <c r="J1517" s="67"/>
      <c r="K1517" s="1" t="s">
        <v>434</v>
      </c>
      <c r="L1517" s="77"/>
      <c r="M1517" s="79"/>
      <c r="N1517" s="1"/>
      <c r="O1517" s="1"/>
      <c r="P1517" s="1"/>
      <c r="Q1517" s="1"/>
      <c r="R1517" s="1"/>
      <c r="S1517" s="1"/>
      <c r="T1517" s="1"/>
      <c r="U1517" s="1"/>
      <c r="V1517" s="1"/>
      <c r="W1517" s="1"/>
      <c r="X1517" s="1"/>
      <c r="Y1517" s="1"/>
      <c r="Z1517" s="1"/>
      <c r="AA1517" s="1"/>
      <c r="AB1517" s="1"/>
      <c r="AC1517" s="1"/>
      <c r="AD1517" s="1"/>
      <c r="AE1517" s="1"/>
      <c r="AF1517" s="1"/>
      <c r="AG1517" s="1"/>
      <c r="AH1517" s="1"/>
    </row>
    <row r="1518" ht="12.75" hidden="1" customHeight="1" outlineLevel="1">
      <c r="A1518" s="17">
        <v>41254.0</v>
      </c>
      <c r="B1518" s="1"/>
      <c r="C1518" s="1" t="s">
        <v>435</v>
      </c>
      <c r="D1518" s="74"/>
      <c r="E1518" s="67"/>
      <c r="F1518" s="75"/>
      <c r="G1518" s="67"/>
      <c r="H1518" s="68"/>
      <c r="I1518" s="76"/>
      <c r="J1518" s="67"/>
      <c r="K1518" s="7" t="s">
        <v>818</v>
      </c>
      <c r="L1518" s="77"/>
      <c r="M1518" s="79"/>
      <c r="N1518" s="1"/>
      <c r="O1518" s="1"/>
      <c r="P1518" s="1"/>
      <c r="Q1518" s="1"/>
      <c r="R1518" s="1"/>
      <c r="S1518" s="1"/>
      <c r="T1518" s="1"/>
      <c r="U1518" s="1"/>
      <c r="V1518" s="1"/>
      <c r="W1518" s="1"/>
      <c r="X1518" s="1"/>
      <c r="Y1518" s="1"/>
      <c r="Z1518" s="1"/>
      <c r="AA1518" s="1"/>
      <c r="AB1518" s="1"/>
      <c r="AC1518" s="1"/>
      <c r="AD1518" s="1"/>
      <c r="AE1518" s="1"/>
      <c r="AF1518" s="1"/>
      <c r="AG1518" s="1"/>
      <c r="AH1518" s="1"/>
    </row>
    <row r="1519" ht="12.75" hidden="1" customHeight="1" outlineLevel="1">
      <c r="A1519" s="17">
        <v>41255.0</v>
      </c>
      <c r="B1519" s="1" t="s">
        <v>347</v>
      </c>
      <c r="C1519" s="1" t="s">
        <v>344</v>
      </c>
      <c r="D1519" s="74">
        <v>300.0</v>
      </c>
      <c r="E1519" s="67">
        <v>35.14</v>
      </c>
      <c r="F1519" s="75">
        <v>0.41862268518518514</v>
      </c>
      <c r="G1519" s="67" t="s">
        <v>453</v>
      </c>
      <c r="H1519" s="68">
        <v>1.3</v>
      </c>
      <c r="I1519" s="76"/>
      <c r="J1519" s="67">
        <f t="shared" ref="J1519:J1528" si="108">IF(B1519="SLD",D1519*E1519,-D1519*E1519)-H1519</f>
        <v>10540.7</v>
      </c>
      <c r="K1519" s="7"/>
      <c r="L1519" s="70"/>
      <c r="M1519" s="79"/>
      <c r="N1519" s="1"/>
      <c r="O1519" s="1"/>
      <c r="P1519" s="1"/>
      <c r="Q1519" s="1"/>
      <c r="R1519" s="1"/>
      <c r="S1519" s="1"/>
      <c r="T1519" s="1"/>
      <c r="U1519" s="1"/>
      <c r="V1519" s="1"/>
      <c r="W1519" s="1"/>
      <c r="X1519" s="1"/>
      <c r="Y1519" s="1"/>
      <c r="Z1519" s="1"/>
      <c r="AA1519" s="1"/>
      <c r="AB1519" s="1"/>
      <c r="AC1519" s="1"/>
      <c r="AD1519" s="1"/>
      <c r="AE1519" s="1"/>
      <c r="AF1519" s="1"/>
      <c r="AG1519" s="1"/>
      <c r="AH1519" s="1"/>
    </row>
    <row r="1520" ht="12.75" hidden="1" customHeight="1" outlineLevel="1">
      <c r="A1520" s="17">
        <v>41255.0</v>
      </c>
      <c r="B1520" s="1" t="s">
        <v>347</v>
      </c>
      <c r="C1520" s="1" t="s">
        <v>344</v>
      </c>
      <c r="D1520" s="74">
        <v>300.0</v>
      </c>
      <c r="E1520" s="67">
        <v>35.08</v>
      </c>
      <c r="F1520" s="75">
        <v>0.42211805555555554</v>
      </c>
      <c r="G1520" s="67" t="s">
        <v>453</v>
      </c>
      <c r="H1520" s="68">
        <v>1.2</v>
      </c>
      <c r="I1520" s="76"/>
      <c r="J1520" s="67">
        <f t="shared" si="108"/>
        <v>10522.8</v>
      </c>
      <c r="K1520" s="7"/>
      <c r="L1520" s="70"/>
      <c r="M1520" s="79"/>
      <c r="N1520" s="1"/>
      <c r="O1520" s="1"/>
      <c r="P1520" s="1"/>
      <c r="Q1520" s="1"/>
      <c r="R1520" s="1"/>
      <c r="S1520" s="1"/>
      <c r="T1520" s="1"/>
      <c r="U1520" s="1"/>
      <c r="V1520" s="1"/>
      <c r="W1520" s="1"/>
      <c r="X1520" s="1"/>
      <c r="Y1520" s="1"/>
      <c r="Z1520" s="1"/>
      <c r="AA1520" s="1"/>
      <c r="AB1520" s="1"/>
      <c r="AC1520" s="1"/>
      <c r="AD1520" s="1"/>
      <c r="AE1520" s="1"/>
      <c r="AF1520" s="1"/>
      <c r="AG1520" s="1"/>
      <c r="AH1520" s="1"/>
    </row>
    <row r="1521" ht="12.75" hidden="1" customHeight="1" outlineLevel="1">
      <c r="A1521" s="17">
        <v>41255.0</v>
      </c>
      <c r="B1521" s="1" t="s">
        <v>343</v>
      </c>
      <c r="C1521" s="1" t="s">
        <v>757</v>
      </c>
      <c r="D1521" s="74">
        <v>85.0</v>
      </c>
      <c r="E1521" s="67">
        <v>49.9</v>
      </c>
      <c r="F1521" s="75">
        <v>0.4351157407407407</v>
      </c>
      <c r="G1521" s="67" t="s">
        <v>453</v>
      </c>
      <c r="H1521" s="68">
        <v>1.0</v>
      </c>
      <c r="I1521" s="76"/>
      <c r="J1521" s="67">
        <f t="shared" si="108"/>
        <v>-4242.5</v>
      </c>
      <c r="K1521" s="7"/>
      <c r="L1521" s="70"/>
      <c r="M1521" s="79"/>
      <c r="N1521" s="1"/>
      <c r="O1521" s="1"/>
      <c r="P1521" s="1"/>
      <c r="Q1521" s="1"/>
      <c r="R1521" s="1"/>
      <c r="S1521" s="1"/>
      <c r="T1521" s="1"/>
      <c r="U1521" s="1"/>
      <c r="V1521" s="1"/>
      <c r="W1521" s="1"/>
      <c r="X1521" s="1"/>
      <c r="Y1521" s="1"/>
      <c r="Z1521" s="1"/>
      <c r="AA1521" s="1"/>
      <c r="AB1521" s="1"/>
      <c r="AC1521" s="1"/>
      <c r="AD1521" s="1"/>
      <c r="AE1521" s="1"/>
      <c r="AF1521" s="1"/>
      <c r="AG1521" s="1"/>
      <c r="AH1521" s="1"/>
    </row>
    <row r="1522" ht="12.75" hidden="1" customHeight="1" outlineLevel="1">
      <c r="A1522" s="17">
        <v>41255.0</v>
      </c>
      <c r="B1522" s="1" t="s">
        <v>347</v>
      </c>
      <c r="C1522" s="1" t="s">
        <v>757</v>
      </c>
      <c r="D1522" s="74">
        <v>160.0</v>
      </c>
      <c r="E1522" s="67">
        <v>49.3</v>
      </c>
      <c r="F1522" s="75">
        <v>0.4479282407407407</v>
      </c>
      <c r="G1522" s="67" t="s">
        <v>453</v>
      </c>
      <c r="H1522" s="68">
        <v>1.0</v>
      </c>
      <c r="I1522" s="76"/>
      <c r="J1522" s="67">
        <f t="shared" si="108"/>
        <v>7887</v>
      </c>
      <c r="K1522" s="7"/>
      <c r="L1522" s="70"/>
      <c r="M1522" s="79"/>
      <c r="N1522" s="1"/>
      <c r="O1522" s="1"/>
      <c r="P1522" s="1"/>
      <c r="Q1522" s="1"/>
      <c r="R1522" s="1"/>
      <c r="S1522" s="1"/>
      <c r="T1522" s="1"/>
      <c r="U1522" s="1"/>
      <c r="V1522" s="1"/>
      <c r="W1522" s="1"/>
      <c r="X1522" s="1"/>
      <c r="Y1522" s="1"/>
      <c r="Z1522" s="1"/>
      <c r="AA1522" s="1"/>
      <c r="AB1522" s="1"/>
      <c r="AC1522" s="1"/>
      <c r="AD1522" s="1"/>
      <c r="AE1522" s="1"/>
      <c r="AF1522" s="1"/>
      <c r="AG1522" s="1"/>
      <c r="AH1522" s="1"/>
    </row>
    <row r="1523" ht="12.75" hidden="1" customHeight="1" outlineLevel="1">
      <c r="A1523" s="17">
        <v>41255.0</v>
      </c>
      <c r="B1523" s="1" t="s">
        <v>347</v>
      </c>
      <c r="C1523" s="1" t="s">
        <v>734</v>
      </c>
      <c r="D1523" s="74">
        <v>900.0</v>
      </c>
      <c r="E1523" s="67">
        <v>18.331</v>
      </c>
      <c r="F1523" s="75">
        <v>0.4558101851851852</v>
      </c>
      <c r="G1523" s="67" t="s">
        <v>453</v>
      </c>
      <c r="H1523" s="68">
        <v>4.5</v>
      </c>
      <c r="I1523" s="76"/>
      <c r="J1523" s="67">
        <f t="shared" si="108"/>
        <v>16493.4</v>
      </c>
      <c r="K1523" s="7"/>
      <c r="L1523" s="70"/>
      <c r="M1523" s="79"/>
      <c r="N1523" s="1"/>
      <c r="O1523" s="1"/>
      <c r="P1523" s="1"/>
      <c r="Q1523" s="1"/>
      <c r="R1523" s="1"/>
      <c r="S1523" s="1"/>
      <c r="T1523" s="1"/>
      <c r="U1523" s="1"/>
      <c r="V1523" s="1"/>
      <c r="W1523" s="1"/>
      <c r="X1523" s="1"/>
      <c r="Y1523" s="1"/>
      <c r="Z1523" s="1"/>
      <c r="AA1523" s="1"/>
      <c r="AB1523" s="1"/>
      <c r="AC1523" s="1"/>
      <c r="AD1523" s="1"/>
      <c r="AE1523" s="1"/>
      <c r="AF1523" s="1"/>
      <c r="AG1523" s="1"/>
      <c r="AH1523" s="1"/>
    </row>
    <row r="1524" ht="12.75" hidden="1" customHeight="1" outlineLevel="1">
      <c r="A1524" s="17">
        <v>41255.0</v>
      </c>
      <c r="B1524" s="1" t="s">
        <v>343</v>
      </c>
      <c r="C1524" s="1" t="s">
        <v>344</v>
      </c>
      <c r="D1524" s="74">
        <v>300.0</v>
      </c>
      <c r="E1524" s="67">
        <v>35.03</v>
      </c>
      <c r="F1524" s="75">
        <v>0.525173611111111</v>
      </c>
      <c r="G1524" s="67" t="s">
        <v>453</v>
      </c>
      <c r="H1524" s="68">
        <v>1.2</v>
      </c>
      <c r="I1524" s="76"/>
      <c r="J1524" s="67">
        <f t="shared" si="108"/>
        <v>-10510.2</v>
      </c>
      <c r="K1524" s="7"/>
      <c r="L1524" s="70"/>
      <c r="M1524" s="79"/>
      <c r="N1524" s="1"/>
      <c r="O1524" s="1"/>
      <c r="P1524" s="1"/>
      <c r="Q1524" s="1"/>
      <c r="R1524" s="1"/>
      <c r="S1524" s="1"/>
      <c r="T1524" s="1"/>
      <c r="U1524" s="1"/>
      <c r="V1524" s="1"/>
      <c r="W1524" s="1"/>
      <c r="X1524" s="1"/>
      <c r="Y1524" s="1"/>
      <c r="Z1524" s="1"/>
      <c r="AA1524" s="1"/>
      <c r="AB1524" s="1"/>
      <c r="AC1524" s="1"/>
      <c r="AD1524" s="1"/>
      <c r="AE1524" s="1"/>
      <c r="AF1524" s="1"/>
      <c r="AG1524" s="1"/>
      <c r="AH1524" s="1"/>
    </row>
    <row r="1525" ht="12.75" hidden="1" customHeight="1" outlineLevel="1">
      <c r="A1525" s="17">
        <v>41255.0</v>
      </c>
      <c r="B1525" s="1" t="s">
        <v>343</v>
      </c>
      <c r="C1525" s="1" t="s">
        <v>734</v>
      </c>
      <c r="D1525" s="74">
        <v>900.0</v>
      </c>
      <c r="E1525" s="67">
        <v>18.53</v>
      </c>
      <c r="F1525" s="75">
        <v>0.6162268518518519</v>
      </c>
      <c r="G1525" s="67" t="s">
        <v>453</v>
      </c>
      <c r="H1525" s="68">
        <v>4.2</v>
      </c>
      <c r="I1525" s="76"/>
      <c r="J1525" s="67">
        <f t="shared" si="108"/>
        <v>-16681.2</v>
      </c>
      <c r="K1525" s="7"/>
      <c r="L1525" s="70"/>
      <c r="M1525" s="79"/>
      <c r="N1525" s="1"/>
      <c r="O1525" s="1"/>
      <c r="P1525" s="1"/>
      <c r="Q1525" s="1"/>
      <c r="R1525" s="1"/>
      <c r="S1525" s="1"/>
      <c r="T1525" s="1"/>
      <c r="U1525" s="1"/>
      <c r="V1525" s="1"/>
      <c r="W1525" s="1"/>
      <c r="X1525" s="1"/>
      <c r="Y1525" s="1"/>
      <c r="Z1525" s="1"/>
      <c r="AA1525" s="1"/>
      <c r="AB1525" s="1"/>
      <c r="AC1525" s="1"/>
      <c r="AD1525" s="1"/>
      <c r="AE1525" s="1"/>
      <c r="AF1525" s="1"/>
      <c r="AG1525" s="1"/>
      <c r="AH1525" s="1"/>
    </row>
    <row r="1526" ht="12.75" hidden="1" customHeight="1" outlineLevel="1">
      <c r="A1526" s="17">
        <v>41255.0</v>
      </c>
      <c r="B1526" s="1" t="s">
        <v>347</v>
      </c>
      <c r="C1526" s="1" t="s">
        <v>779</v>
      </c>
      <c r="D1526" s="74">
        <v>100.0</v>
      </c>
      <c r="E1526" s="67">
        <v>209.7401</v>
      </c>
      <c r="F1526" s="75">
        <v>0.633900462962963</v>
      </c>
      <c r="G1526" s="67" t="s">
        <v>453</v>
      </c>
      <c r="H1526" s="68">
        <v>1.0</v>
      </c>
      <c r="I1526" s="76"/>
      <c r="J1526" s="67">
        <f t="shared" si="108"/>
        <v>20973.01</v>
      </c>
      <c r="K1526" s="7"/>
      <c r="L1526" s="70"/>
      <c r="M1526" s="79"/>
      <c r="N1526" s="1"/>
      <c r="O1526" s="1"/>
      <c r="P1526" s="1"/>
      <c r="Q1526" s="1"/>
      <c r="R1526" s="1"/>
      <c r="S1526" s="1"/>
      <c r="T1526" s="1"/>
      <c r="U1526" s="1"/>
      <c r="V1526" s="1"/>
      <c r="W1526" s="1"/>
      <c r="X1526" s="1"/>
      <c r="Y1526" s="1"/>
      <c r="Z1526" s="1"/>
      <c r="AA1526" s="1"/>
      <c r="AB1526" s="1"/>
      <c r="AC1526" s="1"/>
      <c r="AD1526" s="1"/>
      <c r="AE1526" s="1"/>
      <c r="AF1526" s="1"/>
      <c r="AG1526" s="1"/>
      <c r="AH1526" s="1"/>
    </row>
    <row r="1527" ht="12.75" hidden="1" customHeight="1" outlineLevel="1">
      <c r="A1527" s="17">
        <v>41255.0</v>
      </c>
      <c r="B1527" s="1" t="s">
        <v>343</v>
      </c>
      <c r="C1527" s="1" t="s">
        <v>755</v>
      </c>
      <c r="D1527" s="74">
        <v>200.0</v>
      </c>
      <c r="E1527" s="67">
        <v>31.1</v>
      </c>
      <c r="F1527" s="75">
        <v>0.6388310185185185</v>
      </c>
      <c r="G1527" s="67" t="s">
        <v>453</v>
      </c>
      <c r="H1527" s="68">
        <v>1.0</v>
      </c>
      <c r="I1527" s="76"/>
      <c r="J1527" s="67">
        <f t="shared" si="108"/>
        <v>-6221</v>
      </c>
      <c r="K1527" s="7"/>
      <c r="L1527" s="70"/>
      <c r="M1527" s="79"/>
      <c r="N1527" s="1"/>
      <c r="O1527" s="1"/>
      <c r="P1527" s="1"/>
      <c r="Q1527" s="1"/>
      <c r="R1527" s="1"/>
      <c r="S1527" s="1"/>
      <c r="T1527" s="1"/>
      <c r="U1527" s="1"/>
      <c r="V1527" s="1"/>
      <c r="W1527" s="1"/>
      <c r="X1527" s="1"/>
      <c r="Y1527" s="1"/>
      <c r="Z1527" s="1"/>
      <c r="AA1527" s="1"/>
      <c r="AB1527" s="1"/>
      <c r="AC1527" s="1"/>
      <c r="AD1527" s="1"/>
      <c r="AE1527" s="1"/>
      <c r="AF1527" s="1"/>
      <c r="AG1527" s="1"/>
      <c r="AH1527" s="1"/>
    </row>
    <row r="1528" ht="12.75" hidden="1" customHeight="1" outlineLevel="1">
      <c r="A1528" s="17">
        <v>41255.0</v>
      </c>
      <c r="B1528" s="1" t="s">
        <v>347</v>
      </c>
      <c r="C1528" s="1" t="s">
        <v>784</v>
      </c>
      <c r="D1528" s="74">
        <v>400.0</v>
      </c>
      <c r="E1528" s="67">
        <v>18.84</v>
      </c>
      <c r="F1528" s="75">
        <v>0.6522106481481481</v>
      </c>
      <c r="G1528" s="67" t="s">
        <v>453</v>
      </c>
      <c r="H1528" s="68">
        <v>2.0</v>
      </c>
      <c r="I1528" s="76"/>
      <c r="J1528" s="67">
        <f t="shared" si="108"/>
        <v>7534</v>
      </c>
      <c r="K1528" s="7"/>
      <c r="L1528" s="70"/>
      <c r="M1528" s="79"/>
      <c r="N1528" s="1"/>
      <c r="O1528" s="1"/>
      <c r="P1528" s="1"/>
      <c r="Q1528" s="1"/>
      <c r="R1528" s="1"/>
      <c r="S1528" s="1"/>
      <c r="T1528" s="1"/>
      <c r="U1528" s="1"/>
      <c r="V1528" s="1"/>
      <c r="W1528" s="1"/>
      <c r="X1528" s="1"/>
      <c r="Y1528" s="1"/>
      <c r="Z1528" s="1"/>
      <c r="AA1528" s="1"/>
      <c r="AB1528" s="1"/>
      <c r="AC1528" s="1"/>
      <c r="AD1528" s="1"/>
      <c r="AE1528" s="1"/>
      <c r="AF1528" s="1"/>
      <c r="AG1528" s="1"/>
      <c r="AH1528" s="1"/>
    </row>
    <row r="1529" ht="12.75" hidden="1" customHeight="1" outlineLevel="1">
      <c r="A1529" s="17">
        <v>41255.0</v>
      </c>
      <c r="B1529" s="1"/>
      <c r="C1529" s="1" t="s">
        <v>339</v>
      </c>
      <c r="D1529" s="74"/>
      <c r="E1529" s="67"/>
      <c r="F1529" s="75"/>
      <c r="G1529" s="67"/>
      <c r="H1529" s="68"/>
      <c r="I1529" s="76"/>
      <c r="J1529" s="67"/>
      <c r="K1529" s="7" t="s">
        <v>827</v>
      </c>
      <c r="L1529" s="77"/>
      <c r="M1529" s="79"/>
      <c r="N1529" s="1"/>
      <c r="O1529" s="1"/>
      <c r="P1529" s="1"/>
      <c r="Q1529" s="1"/>
      <c r="R1529" s="1"/>
      <c r="S1529" s="1"/>
      <c r="T1529" s="1"/>
      <c r="U1529" s="1"/>
      <c r="V1529" s="1"/>
      <c r="W1529" s="1"/>
      <c r="X1529" s="1"/>
      <c r="Y1529" s="1"/>
      <c r="Z1529" s="1"/>
      <c r="AA1529" s="1"/>
      <c r="AB1529" s="1"/>
      <c r="AC1529" s="1"/>
      <c r="AD1529" s="1"/>
      <c r="AE1529" s="1"/>
      <c r="AF1529" s="1"/>
      <c r="AG1529" s="1"/>
      <c r="AH1529" s="1"/>
    </row>
    <row r="1530" ht="12.75" hidden="1" customHeight="1" outlineLevel="1">
      <c r="A1530" s="17">
        <v>41255.0</v>
      </c>
      <c r="B1530" s="1"/>
      <c r="C1530" s="1" t="s">
        <v>429</v>
      </c>
      <c r="D1530" s="74"/>
      <c r="E1530" s="67"/>
      <c r="F1530" s="75"/>
      <c r="G1530" s="67"/>
      <c r="H1530" s="68"/>
      <c r="I1530" s="76"/>
      <c r="J1530" s="67"/>
      <c r="K1530" s="7" t="s">
        <v>679</v>
      </c>
      <c r="L1530" s="77"/>
      <c r="M1530" s="79"/>
      <c r="N1530" s="1"/>
      <c r="O1530" s="1"/>
      <c r="P1530" s="1"/>
      <c r="Q1530" s="1"/>
      <c r="R1530" s="1"/>
      <c r="S1530" s="1"/>
      <c r="T1530" s="1"/>
      <c r="U1530" s="1"/>
      <c r="V1530" s="1"/>
      <c r="W1530" s="1"/>
      <c r="X1530" s="1"/>
      <c r="Y1530" s="1"/>
      <c r="Z1530" s="1"/>
      <c r="AA1530" s="1"/>
      <c r="AB1530" s="1"/>
      <c r="AC1530" s="1"/>
      <c r="AD1530" s="1"/>
      <c r="AE1530" s="1"/>
      <c r="AF1530" s="1"/>
      <c r="AG1530" s="1"/>
      <c r="AH1530" s="1"/>
    </row>
    <row r="1531" ht="12.75" hidden="1" customHeight="1" outlineLevel="1">
      <c r="A1531" s="17">
        <v>41255.0</v>
      </c>
      <c r="B1531" s="1"/>
      <c r="C1531" s="1" t="s">
        <v>431</v>
      </c>
      <c r="D1531" s="74"/>
      <c r="E1531" s="67"/>
      <c r="F1531" s="75"/>
      <c r="G1531" s="67"/>
      <c r="H1531" s="68"/>
      <c r="I1531" s="76"/>
      <c r="J1531" s="67"/>
      <c r="K1531" s="7" t="s">
        <v>817</v>
      </c>
      <c r="L1531" s="77"/>
      <c r="M1531" s="79"/>
      <c r="N1531" s="1"/>
      <c r="O1531" s="1"/>
      <c r="P1531" s="1"/>
      <c r="Q1531" s="1"/>
      <c r="R1531" s="1"/>
      <c r="S1531" s="1"/>
      <c r="T1531" s="1"/>
      <c r="U1531" s="1"/>
      <c r="V1531" s="1"/>
      <c r="W1531" s="1"/>
      <c r="X1531" s="1"/>
      <c r="Y1531" s="1"/>
      <c r="Z1531" s="1"/>
      <c r="AA1531" s="1"/>
      <c r="AB1531" s="1"/>
      <c r="AC1531" s="1"/>
      <c r="AD1531" s="1"/>
      <c r="AE1531" s="1"/>
      <c r="AF1531" s="1"/>
      <c r="AG1531" s="1"/>
      <c r="AH1531" s="1"/>
    </row>
    <row r="1532" ht="12.75" hidden="1" customHeight="1" outlineLevel="1">
      <c r="A1532" s="17">
        <v>41255.0</v>
      </c>
      <c r="B1532" s="1"/>
      <c r="C1532" s="1" t="s">
        <v>433</v>
      </c>
      <c r="D1532" s="74"/>
      <c r="E1532" s="67"/>
      <c r="F1532" s="75"/>
      <c r="G1532" s="67"/>
      <c r="H1532" s="68"/>
      <c r="I1532" s="76"/>
      <c r="J1532" s="67"/>
      <c r="K1532" s="1" t="s">
        <v>434</v>
      </c>
      <c r="L1532" s="77"/>
      <c r="M1532" s="79"/>
      <c r="N1532" s="1"/>
      <c r="O1532" s="1"/>
      <c r="P1532" s="1"/>
      <c r="Q1532" s="1"/>
      <c r="R1532" s="1"/>
      <c r="S1532" s="1"/>
      <c r="T1532" s="1"/>
      <c r="U1532" s="1"/>
      <c r="V1532" s="1"/>
      <c r="W1532" s="1"/>
      <c r="X1532" s="1"/>
      <c r="Y1532" s="1"/>
      <c r="Z1532" s="1"/>
      <c r="AA1532" s="1"/>
      <c r="AB1532" s="1"/>
      <c r="AC1532" s="1"/>
      <c r="AD1532" s="1"/>
      <c r="AE1532" s="1"/>
      <c r="AF1532" s="1"/>
      <c r="AG1532" s="1"/>
      <c r="AH1532" s="1"/>
    </row>
    <row r="1533" ht="12.75" hidden="1" customHeight="1" outlineLevel="1">
      <c r="A1533" s="17">
        <v>41255.0</v>
      </c>
      <c r="B1533" s="1"/>
      <c r="C1533" s="1" t="s">
        <v>435</v>
      </c>
      <c r="D1533" s="74"/>
      <c r="E1533" s="67"/>
      <c r="F1533" s="75"/>
      <c r="G1533" s="67"/>
      <c r="H1533" s="68"/>
      <c r="I1533" s="76"/>
      <c r="J1533" s="67"/>
      <c r="K1533" s="7" t="s">
        <v>818</v>
      </c>
      <c r="L1533" s="77"/>
      <c r="M1533" s="79"/>
      <c r="N1533" s="1"/>
      <c r="O1533" s="1"/>
      <c r="P1533" s="1"/>
      <c r="Q1533" s="1"/>
      <c r="R1533" s="1"/>
      <c r="S1533" s="1"/>
      <c r="T1533" s="1"/>
      <c r="U1533" s="1"/>
      <c r="V1533" s="1"/>
      <c r="W1533" s="1"/>
      <c r="X1533" s="1"/>
      <c r="Y1533" s="1"/>
      <c r="Z1533" s="1"/>
      <c r="AA1533" s="1"/>
      <c r="AB1533" s="1"/>
      <c r="AC1533" s="1"/>
      <c r="AD1533" s="1"/>
      <c r="AE1533" s="1"/>
      <c r="AF1533" s="1"/>
      <c r="AG1533" s="1"/>
      <c r="AH1533" s="1"/>
    </row>
    <row r="1534" ht="12.75" hidden="1" customHeight="1" outlineLevel="1">
      <c r="A1534" s="17">
        <v>41256.0</v>
      </c>
      <c r="B1534" s="1" t="s">
        <v>347</v>
      </c>
      <c r="C1534" s="1" t="s">
        <v>630</v>
      </c>
      <c r="D1534" s="74">
        <v>1000.0</v>
      </c>
      <c r="E1534" s="67">
        <f>4.19*1.05</f>
        <v>4.3995</v>
      </c>
      <c r="F1534" s="75">
        <v>0.8419560185185185</v>
      </c>
      <c r="G1534" s="67" t="s">
        <v>631</v>
      </c>
      <c r="H1534" s="68">
        <v>6.0</v>
      </c>
      <c r="I1534" s="76"/>
      <c r="J1534" s="67">
        <f>IF(B1534="SLD",D1534*E1534,-D1534*E1534)-H1534</f>
        <v>4393.5</v>
      </c>
      <c r="K1534" s="7"/>
      <c r="L1534" s="70"/>
      <c r="M1534" s="79"/>
      <c r="N1534" s="1"/>
      <c r="O1534" s="1"/>
      <c r="P1534" s="1"/>
      <c r="Q1534" s="1"/>
      <c r="R1534" s="1"/>
      <c r="S1534" s="1"/>
      <c r="T1534" s="1"/>
      <c r="U1534" s="1"/>
      <c r="V1534" s="1"/>
      <c r="W1534" s="1"/>
      <c r="X1534" s="1"/>
      <c r="Y1534" s="1"/>
      <c r="Z1534" s="1"/>
      <c r="AA1534" s="1"/>
      <c r="AB1534" s="1"/>
      <c r="AC1534" s="1"/>
      <c r="AD1534" s="1"/>
      <c r="AE1534" s="1"/>
      <c r="AF1534" s="1"/>
      <c r="AG1534" s="1"/>
      <c r="AH1534" s="1"/>
    </row>
    <row r="1535" ht="12.75" hidden="1" customHeight="1" outlineLevel="1">
      <c r="A1535" s="17">
        <v>41256.0</v>
      </c>
      <c r="B1535" s="1"/>
      <c r="C1535" s="1" t="s">
        <v>339</v>
      </c>
      <c r="D1535" s="74"/>
      <c r="E1535" s="67"/>
      <c r="F1535" s="75"/>
      <c r="G1535" s="67"/>
      <c r="H1535" s="68"/>
      <c r="I1535" s="76"/>
      <c r="J1535" s="67"/>
      <c r="K1535" s="7" t="s">
        <v>828</v>
      </c>
      <c r="L1535" s="77"/>
      <c r="M1535" s="79"/>
      <c r="N1535" s="1"/>
      <c r="O1535" s="1"/>
      <c r="P1535" s="1"/>
      <c r="Q1535" s="1"/>
      <c r="R1535" s="1"/>
      <c r="S1535" s="1"/>
      <c r="T1535" s="1"/>
      <c r="U1535" s="1"/>
      <c r="V1535" s="1"/>
      <c r="W1535" s="1"/>
      <c r="X1535" s="1"/>
      <c r="Y1535" s="1"/>
      <c r="Z1535" s="1"/>
      <c r="AA1535" s="1"/>
      <c r="AB1535" s="1"/>
      <c r="AC1535" s="1"/>
      <c r="AD1535" s="1"/>
      <c r="AE1535" s="1"/>
      <c r="AF1535" s="1"/>
      <c r="AG1535" s="1"/>
      <c r="AH1535" s="1"/>
    </row>
    <row r="1536" ht="12.75" hidden="1" customHeight="1" outlineLevel="1">
      <c r="A1536" s="17">
        <v>41256.0</v>
      </c>
      <c r="B1536" s="1"/>
      <c r="C1536" s="1" t="s">
        <v>429</v>
      </c>
      <c r="D1536" s="74"/>
      <c r="E1536" s="67"/>
      <c r="F1536" s="75"/>
      <c r="G1536" s="67"/>
      <c r="H1536" s="68"/>
      <c r="I1536" s="76"/>
      <c r="J1536" s="67"/>
      <c r="K1536" s="7" t="s">
        <v>679</v>
      </c>
      <c r="L1536" s="77"/>
      <c r="M1536" s="79"/>
      <c r="N1536" s="1"/>
      <c r="O1536" s="1"/>
      <c r="P1536" s="1"/>
      <c r="Q1536" s="1"/>
      <c r="R1536" s="1"/>
      <c r="S1536" s="1"/>
      <c r="T1536" s="1"/>
      <c r="U1536" s="1"/>
      <c r="V1536" s="1"/>
      <c r="W1536" s="1"/>
      <c r="X1536" s="1"/>
      <c r="Y1536" s="1"/>
      <c r="Z1536" s="1"/>
      <c r="AA1536" s="1"/>
      <c r="AB1536" s="1"/>
      <c r="AC1536" s="1"/>
      <c r="AD1536" s="1"/>
      <c r="AE1536" s="1"/>
      <c r="AF1536" s="1"/>
      <c r="AG1536" s="1"/>
      <c r="AH1536" s="1"/>
    </row>
    <row r="1537" ht="12.75" hidden="1" customHeight="1" outlineLevel="1">
      <c r="A1537" s="17">
        <v>41256.0</v>
      </c>
      <c r="B1537" s="1"/>
      <c r="C1537" s="1" t="s">
        <v>431</v>
      </c>
      <c r="D1537" s="74"/>
      <c r="E1537" s="67"/>
      <c r="F1537" s="75"/>
      <c r="G1537" s="67"/>
      <c r="H1537" s="68"/>
      <c r="I1537" s="76"/>
      <c r="J1537" s="67"/>
      <c r="K1537" s="7" t="s">
        <v>817</v>
      </c>
      <c r="L1537" s="77"/>
      <c r="M1537" s="79"/>
      <c r="N1537" s="1"/>
      <c r="O1537" s="1"/>
      <c r="P1537" s="1"/>
      <c r="Q1537" s="1"/>
      <c r="R1537" s="1"/>
      <c r="S1537" s="1"/>
      <c r="T1537" s="1"/>
      <c r="U1537" s="1"/>
      <c r="V1537" s="1"/>
      <c r="W1537" s="1"/>
      <c r="X1537" s="1"/>
      <c r="Y1537" s="1"/>
      <c r="Z1537" s="1"/>
      <c r="AA1537" s="1"/>
      <c r="AB1537" s="1"/>
      <c r="AC1537" s="1"/>
      <c r="AD1537" s="1"/>
      <c r="AE1537" s="1"/>
      <c r="AF1537" s="1"/>
      <c r="AG1537" s="1"/>
      <c r="AH1537" s="1"/>
    </row>
    <row r="1538" ht="12.75" hidden="1" customHeight="1" outlineLevel="1">
      <c r="A1538" s="17">
        <v>41256.0</v>
      </c>
      <c r="B1538" s="1"/>
      <c r="C1538" s="1" t="s">
        <v>433</v>
      </c>
      <c r="D1538" s="74"/>
      <c r="E1538" s="67"/>
      <c r="F1538" s="75"/>
      <c r="G1538" s="67"/>
      <c r="H1538" s="68"/>
      <c r="I1538" s="76"/>
      <c r="J1538" s="67"/>
      <c r="K1538" s="1" t="s">
        <v>434</v>
      </c>
      <c r="L1538" s="77"/>
      <c r="M1538" s="79"/>
      <c r="N1538" s="1"/>
      <c r="O1538" s="1"/>
      <c r="P1538" s="1"/>
      <c r="Q1538" s="1"/>
      <c r="R1538" s="1"/>
      <c r="S1538" s="1"/>
      <c r="T1538" s="1"/>
      <c r="U1538" s="1"/>
      <c r="V1538" s="1"/>
      <c r="W1538" s="1"/>
      <c r="X1538" s="1"/>
      <c r="Y1538" s="1"/>
      <c r="Z1538" s="1"/>
      <c r="AA1538" s="1"/>
      <c r="AB1538" s="1"/>
      <c r="AC1538" s="1"/>
      <c r="AD1538" s="1"/>
      <c r="AE1538" s="1"/>
      <c r="AF1538" s="1"/>
      <c r="AG1538" s="1"/>
      <c r="AH1538" s="1"/>
    </row>
    <row r="1539" ht="12.75" hidden="1" customHeight="1" outlineLevel="1">
      <c r="A1539" s="17">
        <v>41256.0</v>
      </c>
      <c r="B1539" s="1"/>
      <c r="C1539" s="1" t="s">
        <v>435</v>
      </c>
      <c r="D1539" s="74"/>
      <c r="E1539" s="67"/>
      <c r="F1539" s="75"/>
      <c r="G1539" s="67"/>
      <c r="H1539" s="68"/>
      <c r="I1539" s="76"/>
      <c r="J1539" s="67"/>
      <c r="K1539" s="7" t="s">
        <v>818</v>
      </c>
      <c r="L1539" s="77"/>
      <c r="M1539" s="79"/>
      <c r="N1539" s="1"/>
      <c r="O1539" s="1"/>
      <c r="P1539" s="1"/>
      <c r="Q1539" s="1"/>
      <c r="R1539" s="1"/>
      <c r="S1539" s="1"/>
      <c r="T1539" s="1"/>
      <c r="U1539" s="1"/>
      <c r="V1539" s="1"/>
      <c r="W1539" s="1"/>
      <c r="X1539" s="1"/>
      <c r="Y1539" s="1"/>
      <c r="Z1539" s="1"/>
      <c r="AA1539" s="1"/>
      <c r="AB1539" s="1"/>
      <c r="AC1539" s="1"/>
      <c r="AD1539" s="1"/>
      <c r="AE1539" s="1"/>
      <c r="AF1539" s="1"/>
      <c r="AG1539" s="1"/>
      <c r="AH1539" s="1"/>
    </row>
    <row r="1540" ht="12.75" hidden="1" customHeight="1" outlineLevel="1">
      <c r="A1540" s="17">
        <v>41257.0</v>
      </c>
      <c r="B1540" s="1"/>
      <c r="C1540" s="1" t="s">
        <v>339</v>
      </c>
      <c r="D1540" s="74"/>
      <c r="E1540" s="67"/>
      <c r="F1540" s="75"/>
      <c r="G1540" s="67"/>
      <c r="H1540" s="68"/>
      <c r="I1540" s="76"/>
      <c r="J1540" s="67"/>
      <c r="K1540" s="7" t="s">
        <v>829</v>
      </c>
      <c r="L1540" s="77"/>
      <c r="M1540" s="79"/>
      <c r="N1540" s="1"/>
      <c r="O1540" s="1"/>
      <c r="P1540" s="1"/>
      <c r="Q1540" s="1"/>
      <c r="R1540" s="1"/>
      <c r="S1540" s="1"/>
      <c r="T1540" s="1"/>
      <c r="U1540" s="1"/>
      <c r="V1540" s="1"/>
      <c r="W1540" s="1"/>
      <c r="X1540" s="1"/>
      <c r="Y1540" s="1"/>
      <c r="Z1540" s="1"/>
      <c r="AA1540" s="1"/>
      <c r="AB1540" s="1"/>
      <c r="AC1540" s="1"/>
      <c r="AD1540" s="1"/>
      <c r="AE1540" s="1"/>
      <c r="AF1540" s="1"/>
      <c r="AG1540" s="1"/>
      <c r="AH1540" s="1"/>
    </row>
    <row r="1541" ht="12.75" hidden="1" customHeight="1" outlineLevel="1">
      <c r="A1541" s="17">
        <v>41257.0</v>
      </c>
      <c r="B1541" s="1"/>
      <c r="C1541" s="1" t="s">
        <v>429</v>
      </c>
      <c r="D1541" s="74"/>
      <c r="E1541" s="67"/>
      <c r="F1541" s="75"/>
      <c r="G1541" s="67"/>
      <c r="H1541" s="68"/>
      <c r="I1541" s="76"/>
      <c r="J1541" s="67"/>
      <c r="K1541" s="7" t="s">
        <v>679</v>
      </c>
      <c r="L1541" s="77"/>
      <c r="M1541" s="79"/>
      <c r="N1541" s="1"/>
      <c r="O1541" s="1"/>
      <c r="P1541" s="1"/>
      <c r="Q1541" s="1"/>
      <c r="R1541" s="1"/>
      <c r="S1541" s="1"/>
      <c r="T1541" s="1"/>
      <c r="U1541" s="1"/>
      <c r="V1541" s="1"/>
      <c r="W1541" s="1"/>
      <c r="X1541" s="1"/>
      <c r="Y1541" s="1"/>
      <c r="Z1541" s="1"/>
      <c r="AA1541" s="1"/>
      <c r="AB1541" s="1"/>
      <c r="AC1541" s="1"/>
      <c r="AD1541" s="1"/>
      <c r="AE1541" s="1"/>
      <c r="AF1541" s="1"/>
      <c r="AG1541" s="1"/>
      <c r="AH1541" s="1"/>
    </row>
    <row r="1542" ht="12.75" hidden="1" customHeight="1" outlineLevel="1">
      <c r="A1542" s="17">
        <v>41257.0</v>
      </c>
      <c r="B1542" s="1"/>
      <c r="C1542" s="1" t="s">
        <v>431</v>
      </c>
      <c r="D1542" s="74"/>
      <c r="E1542" s="67"/>
      <c r="F1542" s="75"/>
      <c r="G1542" s="67"/>
      <c r="H1542" s="68"/>
      <c r="I1542" s="76"/>
      <c r="J1542" s="67"/>
      <c r="K1542" s="7" t="s">
        <v>817</v>
      </c>
      <c r="L1542" s="77"/>
      <c r="M1542" s="79"/>
      <c r="N1542" s="1"/>
      <c r="O1542" s="1"/>
      <c r="P1542" s="1"/>
      <c r="Q1542" s="1"/>
      <c r="R1542" s="1"/>
      <c r="S1542" s="1"/>
      <c r="T1542" s="1"/>
      <c r="U1542" s="1"/>
      <c r="V1542" s="1"/>
      <c r="W1542" s="1"/>
      <c r="X1542" s="1"/>
      <c r="Y1542" s="1"/>
      <c r="Z1542" s="1"/>
      <c r="AA1542" s="1"/>
      <c r="AB1542" s="1"/>
      <c r="AC1542" s="1"/>
      <c r="AD1542" s="1"/>
      <c r="AE1542" s="1"/>
      <c r="AF1542" s="1"/>
      <c r="AG1542" s="1"/>
      <c r="AH1542" s="1"/>
    </row>
    <row r="1543" ht="12.75" hidden="1" customHeight="1" outlineLevel="1">
      <c r="A1543" s="17">
        <v>41257.0</v>
      </c>
      <c r="B1543" s="1"/>
      <c r="C1543" s="1" t="s">
        <v>433</v>
      </c>
      <c r="D1543" s="74"/>
      <c r="E1543" s="67"/>
      <c r="F1543" s="75"/>
      <c r="G1543" s="67"/>
      <c r="H1543" s="68"/>
      <c r="I1543" s="76"/>
      <c r="J1543" s="67"/>
      <c r="K1543" s="1" t="s">
        <v>434</v>
      </c>
      <c r="L1543" s="77"/>
      <c r="M1543" s="79"/>
      <c r="N1543" s="1"/>
      <c r="O1543" s="1"/>
      <c r="P1543" s="1"/>
      <c r="Q1543" s="1"/>
      <c r="R1543" s="1"/>
      <c r="S1543" s="1"/>
      <c r="T1543" s="1"/>
      <c r="U1543" s="1"/>
      <c r="V1543" s="1"/>
      <c r="W1543" s="1"/>
      <c r="X1543" s="1"/>
      <c r="Y1543" s="1"/>
      <c r="Z1543" s="1"/>
      <c r="AA1543" s="1"/>
      <c r="AB1543" s="1"/>
      <c r="AC1543" s="1"/>
      <c r="AD1543" s="1"/>
      <c r="AE1543" s="1"/>
      <c r="AF1543" s="1"/>
      <c r="AG1543" s="1"/>
      <c r="AH1543" s="1"/>
    </row>
    <row r="1544" ht="12.75" hidden="1" customHeight="1" outlineLevel="1">
      <c r="A1544" s="17">
        <v>41257.0</v>
      </c>
      <c r="B1544" s="1"/>
      <c r="C1544" s="1" t="s">
        <v>435</v>
      </c>
      <c r="D1544" s="74"/>
      <c r="E1544" s="67"/>
      <c r="F1544" s="75"/>
      <c r="G1544" s="67"/>
      <c r="H1544" s="68"/>
      <c r="I1544" s="76"/>
      <c r="J1544" s="67"/>
      <c r="K1544" s="7" t="s">
        <v>818</v>
      </c>
      <c r="L1544" s="77"/>
      <c r="M1544" s="79"/>
      <c r="N1544" s="1"/>
      <c r="O1544" s="1"/>
      <c r="P1544" s="1"/>
      <c r="Q1544" s="1"/>
      <c r="R1544" s="1"/>
      <c r="S1544" s="1"/>
      <c r="T1544" s="1"/>
      <c r="U1544" s="1"/>
      <c r="V1544" s="1"/>
      <c r="W1544" s="1"/>
      <c r="X1544" s="1"/>
      <c r="Y1544" s="1"/>
      <c r="Z1544" s="1"/>
      <c r="AA1544" s="1"/>
      <c r="AB1544" s="1"/>
      <c r="AC1544" s="1"/>
      <c r="AD1544" s="1"/>
      <c r="AE1544" s="1"/>
      <c r="AF1544" s="1"/>
      <c r="AG1544" s="1"/>
      <c r="AH1544" s="1"/>
    </row>
    <row r="1545" ht="12.75" hidden="1" customHeight="1" outlineLevel="1">
      <c r="A1545" s="17">
        <v>41258.0</v>
      </c>
      <c r="B1545" s="1"/>
      <c r="C1545" s="1" t="s">
        <v>339</v>
      </c>
      <c r="D1545" s="74"/>
      <c r="E1545" s="67"/>
      <c r="F1545" s="75"/>
      <c r="G1545" s="67"/>
      <c r="H1545" s="68"/>
      <c r="I1545" s="76"/>
      <c r="J1545" s="67"/>
      <c r="K1545" s="7" t="s">
        <v>830</v>
      </c>
      <c r="L1545" s="77"/>
      <c r="M1545" s="79"/>
      <c r="N1545" s="1"/>
      <c r="O1545" s="1"/>
      <c r="P1545" s="1"/>
      <c r="Q1545" s="1"/>
      <c r="R1545" s="1"/>
      <c r="S1545" s="1"/>
      <c r="T1545" s="1"/>
      <c r="U1545" s="1"/>
      <c r="V1545" s="1"/>
      <c r="W1545" s="1"/>
      <c r="X1545" s="1"/>
      <c r="Y1545" s="1"/>
      <c r="Z1545" s="1"/>
      <c r="AA1545" s="1"/>
      <c r="AB1545" s="1"/>
      <c r="AC1545" s="1"/>
      <c r="AD1545" s="1"/>
      <c r="AE1545" s="1"/>
      <c r="AF1545" s="1"/>
      <c r="AG1545" s="1"/>
      <c r="AH1545" s="1"/>
    </row>
    <row r="1546" ht="12.75" hidden="1" customHeight="1" outlineLevel="1">
      <c r="A1546" s="17">
        <v>41258.0</v>
      </c>
      <c r="B1546" s="1"/>
      <c r="C1546" s="1" t="s">
        <v>429</v>
      </c>
      <c r="D1546" s="74"/>
      <c r="E1546" s="67"/>
      <c r="F1546" s="75"/>
      <c r="G1546" s="67"/>
      <c r="H1546" s="68"/>
      <c r="I1546" s="76"/>
      <c r="J1546" s="67"/>
      <c r="K1546" s="7" t="s">
        <v>679</v>
      </c>
      <c r="L1546" s="77"/>
      <c r="M1546" s="79"/>
      <c r="N1546" s="1"/>
      <c r="O1546" s="1"/>
      <c r="P1546" s="1"/>
      <c r="Q1546" s="1"/>
      <c r="R1546" s="1"/>
      <c r="S1546" s="1"/>
      <c r="T1546" s="1"/>
      <c r="U1546" s="1"/>
      <c r="V1546" s="1"/>
      <c r="W1546" s="1"/>
      <c r="X1546" s="1"/>
      <c r="Y1546" s="1"/>
      <c r="Z1546" s="1"/>
      <c r="AA1546" s="1"/>
      <c r="AB1546" s="1"/>
      <c r="AC1546" s="1"/>
      <c r="AD1546" s="1"/>
      <c r="AE1546" s="1"/>
      <c r="AF1546" s="1"/>
      <c r="AG1546" s="1"/>
      <c r="AH1546" s="1"/>
    </row>
    <row r="1547" ht="12.75" hidden="1" customHeight="1" outlineLevel="1">
      <c r="A1547" s="17">
        <v>41258.0</v>
      </c>
      <c r="B1547" s="1"/>
      <c r="C1547" s="1" t="s">
        <v>431</v>
      </c>
      <c r="D1547" s="74"/>
      <c r="E1547" s="67"/>
      <c r="F1547" s="75"/>
      <c r="G1547" s="67"/>
      <c r="H1547" s="68"/>
      <c r="I1547" s="76"/>
      <c r="J1547" s="67"/>
      <c r="K1547" s="7" t="s">
        <v>817</v>
      </c>
      <c r="L1547" s="77"/>
      <c r="M1547" s="79"/>
      <c r="N1547" s="1"/>
      <c r="O1547" s="1"/>
      <c r="P1547" s="1"/>
      <c r="Q1547" s="1"/>
      <c r="R1547" s="1"/>
      <c r="S1547" s="1"/>
      <c r="T1547" s="1"/>
      <c r="U1547" s="1"/>
      <c r="V1547" s="1"/>
      <c r="W1547" s="1"/>
      <c r="X1547" s="1"/>
      <c r="Y1547" s="1"/>
      <c r="Z1547" s="1"/>
      <c r="AA1547" s="1"/>
      <c r="AB1547" s="1"/>
      <c r="AC1547" s="1"/>
      <c r="AD1547" s="1"/>
      <c r="AE1547" s="1"/>
      <c r="AF1547" s="1"/>
      <c r="AG1547" s="1"/>
      <c r="AH1547" s="1"/>
    </row>
    <row r="1548" ht="12.75" hidden="1" customHeight="1" outlineLevel="1">
      <c r="A1548" s="17">
        <v>41258.0</v>
      </c>
      <c r="B1548" s="1"/>
      <c r="C1548" s="1" t="s">
        <v>433</v>
      </c>
      <c r="D1548" s="74"/>
      <c r="E1548" s="67"/>
      <c r="F1548" s="75"/>
      <c r="G1548" s="67"/>
      <c r="H1548" s="68"/>
      <c r="I1548" s="76"/>
      <c r="J1548" s="67"/>
      <c r="K1548" s="1" t="s">
        <v>434</v>
      </c>
      <c r="L1548" s="77"/>
      <c r="M1548" s="79"/>
      <c r="N1548" s="1"/>
      <c r="O1548" s="1"/>
      <c r="P1548" s="1"/>
      <c r="Q1548" s="1"/>
      <c r="R1548" s="1"/>
      <c r="S1548" s="1"/>
      <c r="T1548" s="1"/>
      <c r="U1548" s="1"/>
      <c r="V1548" s="1"/>
      <c r="W1548" s="1"/>
      <c r="X1548" s="1"/>
      <c r="Y1548" s="1"/>
      <c r="Z1548" s="1"/>
      <c r="AA1548" s="1"/>
      <c r="AB1548" s="1"/>
      <c r="AC1548" s="1"/>
      <c r="AD1548" s="1"/>
      <c r="AE1548" s="1"/>
      <c r="AF1548" s="1"/>
      <c r="AG1548" s="1"/>
      <c r="AH1548" s="1"/>
    </row>
    <row r="1549" ht="12.75" hidden="1" customHeight="1" outlineLevel="1">
      <c r="A1549" s="17">
        <v>41258.0</v>
      </c>
      <c r="B1549" s="1"/>
      <c r="C1549" s="1" t="s">
        <v>435</v>
      </c>
      <c r="D1549" s="74"/>
      <c r="E1549" s="67"/>
      <c r="F1549" s="75"/>
      <c r="G1549" s="67"/>
      <c r="H1549" s="68"/>
      <c r="I1549" s="76"/>
      <c r="J1549" s="67"/>
      <c r="K1549" s="7" t="s">
        <v>818</v>
      </c>
      <c r="L1549" s="77"/>
      <c r="M1549" s="79"/>
      <c r="N1549" s="1"/>
      <c r="O1549" s="1"/>
      <c r="P1549" s="1"/>
      <c r="Q1549" s="1"/>
      <c r="R1549" s="1"/>
      <c r="S1549" s="1"/>
      <c r="T1549" s="1"/>
      <c r="U1549" s="1"/>
      <c r="V1549" s="1"/>
      <c r="W1549" s="1"/>
      <c r="X1549" s="1"/>
      <c r="Y1549" s="1"/>
      <c r="Z1549" s="1"/>
      <c r="AA1549" s="1"/>
      <c r="AB1549" s="1"/>
      <c r="AC1549" s="1"/>
      <c r="AD1549" s="1"/>
      <c r="AE1549" s="1"/>
      <c r="AF1549" s="1"/>
      <c r="AG1549" s="1"/>
      <c r="AH1549" s="1"/>
    </row>
    <row r="1550" ht="12.75" hidden="1" customHeight="1" outlineLevel="1">
      <c r="A1550" s="17">
        <v>41260.0</v>
      </c>
      <c r="B1550" s="1" t="s">
        <v>343</v>
      </c>
      <c r="C1550" s="7" t="s">
        <v>800</v>
      </c>
      <c r="D1550" s="74">
        <v>500.0</v>
      </c>
      <c r="E1550" s="67">
        <v>0.15</v>
      </c>
      <c r="F1550" s="75">
        <v>0.4375</v>
      </c>
      <c r="G1550" s="67" t="s">
        <v>453</v>
      </c>
      <c r="H1550" s="68">
        <v>3.81</v>
      </c>
      <c r="I1550" s="76"/>
      <c r="J1550" s="67">
        <f>IF(B1550="SLD",D1550*E1550,-D1550*E1550)-H1550</f>
        <v>-78.81</v>
      </c>
      <c r="K1550" s="7"/>
      <c r="L1550" s="70"/>
      <c r="M1550" s="79"/>
      <c r="N1550" s="1"/>
      <c r="O1550" s="1"/>
      <c r="P1550" s="1"/>
      <c r="Q1550" s="1"/>
      <c r="R1550" s="1"/>
      <c r="S1550" s="1"/>
      <c r="T1550" s="1"/>
      <c r="U1550" s="1"/>
      <c r="V1550" s="1"/>
      <c r="W1550" s="1"/>
      <c r="X1550" s="1"/>
      <c r="Y1550" s="1"/>
      <c r="Z1550" s="1"/>
      <c r="AA1550" s="1"/>
      <c r="AB1550" s="1"/>
      <c r="AC1550" s="1"/>
      <c r="AD1550" s="1"/>
      <c r="AE1550" s="1"/>
      <c r="AF1550" s="1"/>
      <c r="AG1550" s="1"/>
      <c r="AH1550" s="1"/>
    </row>
    <row r="1551" ht="12.75" hidden="1" customHeight="1" outlineLevel="1">
      <c r="A1551" s="17">
        <v>41260.0</v>
      </c>
      <c r="B1551" s="1"/>
      <c r="C1551" s="1" t="s">
        <v>339</v>
      </c>
      <c r="D1551" s="74"/>
      <c r="E1551" s="67"/>
      <c r="F1551" s="75"/>
      <c r="G1551" s="67"/>
      <c r="H1551" s="68"/>
      <c r="I1551" s="76"/>
      <c r="J1551" s="67"/>
      <c r="K1551" s="7" t="s">
        <v>832</v>
      </c>
      <c r="L1551" s="77"/>
      <c r="M1551" s="79"/>
      <c r="N1551" s="1"/>
      <c r="O1551" s="1"/>
      <c r="P1551" s="1"/>
      <c r="Q1551" s="1"/>
      <c r="R1551" s="1"/>
      <c r="S1551" s="1"/>
      <c r="T1551" s="1"/>
      <c r="U1551" s="1"/>
      <c r="V1551" s="1"/>
      <c r="W1551" s="1"/>
      <c r="X1551" s="1"/>
      <c r="Y1551" s="1"/>
      <c r="Z1551" s="1"/>
      <c r="AA1551" s="1"/>
      <c r="AB1551" s="1"/>
      <c r="AC1551" s="1"/>
      <c r="AD1551" s="1"/>
      <c r="AE1551" s="1"/>
      <c r="AF1551" s="1"/>
      <c r="AG1551" s="1"/>
      <c r="AH1551" s="1"/>
    </row>
    <row r="1552" ht="12.75" hidden="1" customHeight="1" outlineLevel="1">
      <c r="A1552" s="17">
        <v>41260.0</v>
      </c>
      <c r="B1552" s="1"/>
      <c r="C1552" s="1" t="s">
        <v>429</v>
      </c>
      <c r="D1552" s="74"/>
      <c r="E1552" s="67"/>
      <c r="F1552" s="75"/>
      <c r="G1552" s="67"/>
      <c r="H1552" s="68"/>
      <c r="I1552" s="76"/>
      <c r="J1552" s="67"/>
      <c r="K1552" s="7" t="s">
        <v>679</v>
      </c>
      <c r="L1552" s="77"/>
      <c r="M1552" s="79"/>
      <c r="N1552" s="1"/>
      <c r="O1552" s="1"/>
      <c r="P1552" s="1"/>
      <c r="Q1552" s="1"/>
      <c r="R1552" s="1"/>
      <c r="S1552" s="1"/>
      <c r="T1552" s="1"/>
      <c r="U1552" s="1"/>
      <c r="V1552" s="1"/>
      <c r="W1552" s="1"/>
      <c r="X1552" s="1"/>
      <c r="Y1552" s="1"/>
      <c r="Z1552" s="1"/>
      <c r="AA1552" s="1"/>
      <c r="AB1552" s="1"/>
      <c r="AC1552" s="1"/>
      <c r="AD1552" s="1"/>
      <c r="AE1552" s="1"/>
      <c r="AF1552" s="1"/>
      <c r="AG1552" s="1"/>
      <c r="AH1552" s="1"/>
    </row>
    <row r="1553" ht="12.75" hidden="1" customHeight="1" outlineLevel="1">
      <c r="A1553" s="17">
        <v>41260.0</v>
      </c>
      <c r="B1553" s="1"/>
      <c r="C1553" s="1" t="s">
        <v>431</v>
      </c>
      <c r="D1553" s="74"/>
      <c r="E1553" s="67"/>
      <c r="F1553" s="75"/>
      <c r="G1553" s="67"/>
      <c r="H1553" s="68"/>
      <c r="I1553" s="76"/>
      <c r="J1553" s="67"/>
      <c r="K1553" s="7" t="s">
        <v>817</v>
      </c>
      <c r="L1553" s="77"/>
      <c r="M1553" s="79"/>
      <c r="N1553" s="1"/>
      <c r="O1553" s="1"/>
      <c r="P1553" s="1"/>
      <c r="Q1553" s="1"/>
      <c r="R1553" s="1"/>
      <c r="S1553" s="1"/>
      <c r="T1553" s="1"/>
      <c r="U1553" s="1"/>
      <c r="V1553" s="1"/>
      <c r="W1553" s="1"/>
      <c r="X1553" s="1"/>
      <c r="Y1553" s="1"/>
      <c r="Z1553" s="1"/>
      <c r="AA1553" s="1"/>
      <c r="AB1553" s="1"/>
      <c r="AC1553" s="1"/>
      <c r="AD1553" s="1"/>
      <c r="AE1553" s="1"/>
      <c r="AF1553" s="1"/>
      <c r="AG1553" s="1"/>
      <c r="AH1553" s="1"/>
    </row>
    <row r="1554" ht="12.75" hidden="1" customHeight="1" outlineLevel="1">
      <c r="A1554" s="17">
        <v>41260.0</v>
      </c>
      <c r="B1554" s="1"/>
      <c r="C1554" s="1" t="s">
        <v>433</v>
      </c>
      <c r="D1554" s="74"/>
      <c r="E1554" s="67"/>
      <c r="F1554" s="75"/>
      <c r="G1554" s="67"/>
      <c r="H1554" s="68"/>
      <c r="I1554" s="76"/>
      <c r="J1554" s="67"/>
      <c r="K1554" s="1" t="s">
        <v>434</v>
      </c>
      <c r="L1554" s="77"/>
      <c r="M1554" s="79"/>
      <c r="N1554" s="1"/>
      <c r="O1554" s="1"/>
      <c r="P1554" s="1"/>
      <c r="Q1554" s="1"/>
      <c r="R1554" s="1"/>
      <c r="S1554" s="1"/>
      <c r="T1554" s="1"/>
      <c r="U1554" s="1"/>
      <c r="V1554" s="1"/>
      <c r="W1554" s="1"/>
      <c r="X1554" s="1"/>
      <c r="Y1554" s="1"/>
      <c r="Z1554" s="1"/>
      <c r="AA1554" s="1"/>
      <c r="AB1554" s="1"/>
      <c r="AC1554" s="1"/>
      <c r="AD1554" s="1"/>
      <c r="AE1554" s="1"/>
      <c r="AF1554" s="1"/>
      <c r="AG1554" s="1"/>
      <c r="AH1554" s="1"/>
    </row>
    <row r="1555" ht="12.75" hidden="1" customHeight="1" outlineLevel="1">
      <c r="A1555" s="17">
        <v>41260.0</v>
      </c>
      <c r="B1555" s="1"/>
      <c r="C1555" s="1" t="s">
        <v>435</v>
      </c>
      <c r="D1555" s="74"/>
      <c r="E1555" s="67"/>
      <c r="F1555" s="75"/>
      <c r="G1555" s="67"/>
      <c r="H1555" s="68"/>
      <c r="I1555" s="76"/>
      <c r="J1555" s="67"/>
      <c r="K1555" s="7" t="s">
        <v>818</v>
      </c>
      <c r="L1555" s="77"/>
      <c r="M1555" s="79"/>
      <c r="N1555" s="1"/>
      <c r="O1555" s="1"/>
      <c r="P1555" s="1"/>
      <c r="Q1555" s="1"/>
      <c r="R1555" s="1"/>
      <c r="S1555" s="1"/>
      <c r="T1555" s="1"/>
      <c r="U1555" s="1"/>
      <c r="V1555" s="1"/>
      <c r="W1555" s="1"/>
      <c r="X1555" s="1"/>
      <c r="Y1555" s="1"/>
      <c r="Z1555" s="1"/>
      <c r="AA1555" s="1"/>
      <c r="AB1555" s="1"/>
      <c r="AC1555" s="1"/>
      <c r="AD1555" s="1"/>
      <c r="AE1555" s="1"/>
      <c r="AF1555" s="1"/>
      <c r="AG1555" s="1"/>
      <c r="AH1555" s="1"/>
    </row>
    <row r="1556" ht="12.75" hidden="1" customHeight="1" outlineLevel="1">
      <c r="A1556" s="17">
        <v>41261.0</v>
      </c>
      <c r="B1556" s="1" t="s">
        <v>343</v>
      </c>
      <c r="C1556" s="1" t="s">
        <v>757</v>
      </c>
      <c r="D1556" s="74">
        <v>300.0</v>
      </c>
      <c r="E1556" s="67">
        <v>51.7</v>
      </c>
      <c r="F1556" s="75">
        <v>0.42476851851851855</v>
      </c>
      <c r="G1556" s="67" t="s">
        <v>453</v>
      </c>
      <c r="H1556" s="68">
        <v>1.5</v>
      </c>
      <c r="I1556" s="76"/>
      <c r="J1556" s="67">
        <f t="shared" ref="J1556:J1564" si="109">IF(B1556="SLD",D1556*E1556,-D1556*E1556)-H1556</f>
        <v>-15511.5</v>
      </c>
      <c r="K1556" s="7"/>
      <c r="L1556" s="70"/>
      <c r="M1556" s="79"/>
      <c r="N1556" s="1"/>
      <c r="O1556" s="1"/>
      <c r="P1556" s="1"/>
      <c r="Q1556" s="1"/>
      <c r="R1556" s="1"/>
      <c r="S1556" s="1"/>
      <c r="T1556" s="1"/>
      <c r="U1556" s="1"/>
      <c r="V1556" s="1"/>
      <c r="W1556" s="1"/>
      <c r="X1556" s="1"/>
      <c r="Y1556" s="1"/>
      <c r="Z1556" s="1"/>
      <c r="AA1556" s="1"/>
      <c r="AB1556" s="1"/>
      <c r="AC1556" s="1"/>
      <c r="AD1556" s="1"/>
      <c r="AE1556" s="1"/>
      <c r="AF1556" s="1"/>
      <c r="AG1556" s="1"/>
      <c r="AH1556" s="1"/>
    </row>
    <row r="1557" ht="12.75" hidden="1" customHeight="1" outlineLevel="1">
      <c r="A1557" s="17">
        <v>41261.0</v>
      </c>
      <c r="B1557" s="1" t="s">
        <v>343</v>
      </c>
      <c r="C1557" s="1" t="s">
        <v>691</v>
      </c>
      <c r="D1557" s="74">
        <v>200.0</v>
      </c>
      <c r="E1557" s="67">
        <v>27.56</v>
      </c>
      <c r="F1557" s="75">
        <v>0.4306481481481481</v>
      </c>
      <c r="G1557" s="67" t="s">
        <v>453</v>
      </c>
      <c r="H1557" s="68">
        <v>1.0</v>
      </c>
      <c r="I1557" s="76"/>
      <c r="J1557" s="67">
        <f t="shared" si="109"/>
        <v>-5513</v>
      </c>
      <c r="K1557" s="7"/>
      <c r="L1557" s="70"/>
      <c r="M1557" s="79"/>
      <c r="N1557" s="1"/>
      <c r="O1557" s="1"/>
      <c r="P1557" s="1"/>
      <c r="Q1557" s="1"/>
      <c r="R1557" s="1"/>
      <c r="S1557" s="1"/>
      <c r="T1557" s="1"/>
      <c r="U1557" s="1"/>
      <c r="V1557" s="1"/>
      <c r="W1557" s="1"/>
      <c r="X1557" s="1"/>
      <c r="Y1557" s="1"/>
      <c r="Z1557" s="1"/>
      <c r="AA1557" s="1"/>
      <c r="AB1557" s="1"/>
      <c r="AC1557" s="1"/>
      <c r="AD1557" s="1"/>
      <c r="AE1557" s="1"/>
      <c r="AF1557" s="1"/>
      <c r="AG1557" s="1"/>
      <c r="AH1557" s="1"/>
    </row>
    <row r="1558" ht="12.75" hidden="1" customHeight="1" outlineLevel="1">
      <c r="A1558" s="17">
        <v>41261.0</v>
      </c>
      <c r="B1558" s="1" t="s">
        <v>343</v>
      </c>
      <c r="C1558" s="1" t="s">
        <v>784</v>
      </c>
      <c r="D1558" s="74">
        <v>400.0</v>
      </c>
      <c r="E1558" s="67">
        <v>20.47</v>
      </c>
      <c r="F1558" s="75">
        <v>0.4522337962962963</v>
      </c>
      <c r="G1558" s="67" t="s">
        <v>453</v>
      </c>
      <c r="H1558" s="68">
        <v>2.0</v>
      </c>
      <c r="I1558" s="76"/>
      <c r="J1558" s="67">
        <f t="shared" si="109"/>
        <v>-8190</v>
      </c>
      <c r="K1558" s="7"/>
      <c r="L1558" s="70"/>
      <c r="M1558" s="79"/>
      <c r="N1558" s="1"/>
      <c r="O1558" s="1"/>
      <c r="P1558" s="1"/>
      <c r="Q1558" s="1"/>
      <c r="R1558" s="1"/>
      <c r="S1558" s="1"/>
      <c r="T1558" s="1"/>
      <c r="U1558" s="1"/>
      <c r="V1558" s="1"/>
      <c r="W1558" s="1"/>
      <c r="X1558" s="1"/>
      <c r="Y1558" s="1"/>
      <c r="Z1558" s="1"/>
      <c r="AA1558" s="1"/>
      <c r="AB1558" s="1"/>
      <c r="AC1558" s="1"/>
      <c r="AD1558" s="1"/>
      <c r="AE1558" s="1"/>
      <c r="AF1558" s="1"/>
      <c r="AG1558" s="1"/>
      <c r="AH1558" s="1"/>
    </row>
    <row r="1559" ht="12.75" hidden="1" customHeight="1" outlineLevel="1">
      <c r="A1559" s="17">
        <v>41261.0</v>
      </c>
      <c r="B1559" s="1" t="s">
        <v>343</v>
      </c>
      <c r="C1559" s="1" t="s">
        <v>691</v>
      </c>
      <c r="D1559" s="74">
        <v>300.0</v>
      </c>
      <c r="E1559" s="67">
        <v>28.247</v>
      </c>
      <c r="F1559" s="75">
        <v>0.4524305555555555</v>
      </c>
      <c r="G1559" s="67" t="s">
        <v>453</v>
      </c>
      <c r="H1559" s="68">
        <v>1.5</v>
      </c>
      <c r="I1559" s="76"/>
      <c r="J1559" s="67">
        <f t="shared" si="109"/>
        <v>-8475.6</v>
      </c>
      <c r="K1559" s="7"/>
      <c r="L1559" s="70"/>
      <c r="M1559" s="79"/>
      <c r="N1559" s="1"/>
      <c r="O1559" s="1"/>
      <c r="P1559" s="1"/>
      <c r="Q1559" s="1"/>
      <c r="R1559" s="1"/>
      <c r="S1559" s="1"/>
      <c r="T1559" s="1"/>
      <c r="U1559" s="1"/>
      <c r="V1559" s="1"/>
      <c r="W1559" s="1"/>
      <c r="X1559" s="1"/>
      <c r="Y1559" s="1"/>
      <c r="Z1559" s="1"/>
      <c r="AA1559" s="1"/>
      <c r="AB1559" s="1"/>
      <c r="AC1559" s="1"/>
      <c r="AD1559" s="1"/>
      <c r="AE1559" s="1"/>
      <c r="AF1559" s="1"/>
      <c r="AG1559" s="1"/>
      <c r="AH1559" s="1"/>
    </row>
    <row r="1560" ht="12.75" hidden="1" customHeight="1" outlineLevel="1">
      <c r="A1560" s="17">
        <v>41261.0</v>
      </c>
      <c r="B1560" s="1" t="s">
        <v>343</v>
      </c>
      <c r="C1560" s="1" t="s">
        <v>784</v>
      </c>
      <c r="D1560" s="74">
        <v>400.0</v>
      </c>
      <c r="E1560" s="67">
        <v>20.49</v>
      </c>
      <c r="F1560" s="75">
        <v>0.4538425925925926</v>
      </c>
      <c r="G1560" s="67" t="s">
        <v>453</v>
      </c>
      <c r="H1560" s="68">
        <v>2.0</v>
      </c>
      <c r="I1560" s="76"/>
      <c r="J1560" s="67">
        <f t="shared" si="109"/>
        <v>-8198</v>
      </c>
      <c r="K1560" s="7"/>
      <c r="L1560" s="70"/>
      <c r="M1560" s="79"/>
      <c r="N1560" s="1"/>
      <c r="O1560" s="1"/>
      <c r="P1560" s="1"/>
      <c r="Q1560" s="1"/>
      <c r="R1560" s="1"/>
      <c r="S1560" s="1"/>
      <c r="T1560" s="1"/>
      <c r="U1560" s="1"/>
      <c r="V1560" s="1"/>
      <c r="W1560" s="1"/>
      <c r="X1560" s="1"/>
      <c r="Y1560" s="1"/>
      <c r="Z1560" s="1"/>
      <c r="AA1560" s="1"/>
      <c r="AB1560" s="1"/>
      <c r="AC1560" s="1"/>
      <c r="AD1560" s="1"/>
      <c r="AE1560" s="1"/>
      <c r="AF1560" s="1"/>
      <c r="AG1560" s="1"/>
      <c r="AH1560" s="1"/>
    </row>
    <row r="1561" ht="12.75" hidden="1" customHeight="1" outlineLevel="1">
      <c r="A1561" s="17">
        <v>41261.0</v>
      </c>
      <c r="B1561" s="1" t="s">
        <v>343</v>
      </c>
      <c r="C1561" s="1" t="s">
        <v>790</v>
      </c>
      <c r="D1561" s="74">
        <v>300.0</v>
      </c>
      <c r="E1561" s="67">
        <v>19.6</v>
      </c>
      <c r="F1561" s="75">
        <v>0.47236111111111106</v>
      </c>
      <c r="G1561" s="67" t="s">
        <v>453</v>
      </c>
      <c r="H1561" s="68">
        <v>1.5</v>
      </c>
      <c r="I1561" s="76"/>
      <c r="J1561" s="67">
        <f t="shared" si="109"/>
        <v>-5881.5</v>
      </c>
      <c r="K1561" s="7"/>
      <c r="L1561" s="70"/>
      <c r="M1561" s="79"/>
      <c r="N1561" s="1"/>
      <c r="O1561" s="1"/>
      <c r="P1561" s="1"/>
      <c r="Q1561" s="1"/>
      <c r="R1561" s="1"/>
      <c r="S1561" s="1"/>
      <c r="T1561" s="1"/>
      <c r="U1561" s="1"/>
      <c r="V1561" s="1"/>
      <c r="W1561" s="1"/>
      <c r="X1561" s="1"/>
      <c r="Y1561" s="1"/>
      <c r="Z1561" s="1"/>
      <c r="AA1561" s="1"/>
      <c r="AB1561" s="1"/>
      <c r="AC1561" s="1"/>
      <c r="AD1561" s="1"/>
      <c r="AE1561" s="1"/>
      <c r="AF1561" s="1"/>
      <c r="AG1561" s="1"/>
      <c r="AH1561" s="1"/>
    </row>
    <row r="1562" ht="12.75" hidden="1" customHeight="1" outlineLevel="1">
      <c r="A1562" s="17">
        <v>41261.0</v>
      </c>
      <c r="B1562" s="1" t="s">
        <v>343</v>
      </c>
      <c r="C1562" s="1" t="s">
        <v>680</v>
      </c>
      <c r="D1562" s="74">
        <v>400.0</v>
      </c>
      <c r="E1562" s="67">
        <v>27.48</v>
      </c>
      <c r="F1562" s="75">
        <v>0.5080092592592592</v>
      </c>
      <c r="G1562" s="67" t="s">
        <v>453</v>
      </c>
      <c r="H1562" s="68">
        <v>2.0</v>
      </c>
      <c r="I1562" s="76"/>
      <c r="J1562" s="67">
        <f t="shared" si="109"/>
        <v>-10994</v>
      </c>
      <c r="K1562" s="7"/>
      <c r="L1562" s="70"/>
      <c r="M1562" s="79"/>
      <c r="N1562" s="1"/>
      <c r="O1562" s="1"/>
      <c r="P1562" s="1"/>
      <c r="Q1562" s="1"/>
      <c r="R1562" s="1"/>
      <c r="S1562" s="1"/>
      <c r="T1562" s="1"/>
      <c r="U1562" s="1"/>
      <c r="V1562" s="1"/>
      <c r="W1562" s="1"/>
      <c r="X1562" s="1"/>
      <c r="Y1562" s="1"/>
      <c r="Z1562" s="1"/>
      <c r="AA1562" s="1"/>
      <c r="AB1562" s="1"/>
      <c r="AC1562" s="1"/>
      <c r="AD1562" s="1"/>
      <c r="AE1562" s="1"/>
      <c r="AF1562" s="1"/>
      <c r="AG1562" s="1"/>
      <c r="AH1562" s="1"/>
    </row>
    <row r="1563" ht="12.75" hidden="1" customHeight="1" outlineLevel="1">
      <c r="A1563" s="17">
        <v>41261.0</v>
      </c>
      <c r="B1563" s="1" t="s">
        <v>343</v>
      </c>
      <c r="C1563" s="7" t="s">
        <v>835</v>
      </c>
      <c r="D1563" s="74">
        <v>2000.0</v>
      </c>
      <c r="E1563" s="67">
        <v>0.55</v>
      </c>
      <c r="F1563" s="75">
        <v>0.6376157407407407</v>
      </c>
      <c r="G1563" s="67" t="s">
        <v>453</v>
      </c>
      <c r="H1563" s="68">
        <v>-0.78</v>
      </c>
      <c r="I1563" s="76"/>
      <c r="J1563" s="67">
        <f t="shared" si="109"/>
        <v>-1099.22</v>
      </c>
      <c r="K1563" s="7"/>
      <c r="L1563" s="70"/>
      <c r="M1563" s="79"/>
      <c r="N1563" s="1"/>
      <c r="O1563" s="1"/>
      <c r="P1563" s="1"/>
      <c r="Q1563" s="1"/>
      <c r="R1563" s="1"/>
      <c r="S1563" s="1"/>
      <c r="T1563" s="1"/>
      <c r="U1563" s="1"/>
      <c r="V1563" s="1"/>
      <c r="W1563" s="1"/>
      <c r="X1563" s="1"/>
      <c r="Y1563" s="1"/>
      <c r="Z1563" s="1"/>
      <c r="AA1563" s="1"/>
      <c r="AB1563" s="1"/>
      <c r="AC1563" s="1"/>
      <c r="AD1563" s="1"/>
      <c r="AE1563" s="1"/>
      <c r="AF1563" s="1"/>
      <c r="AG1563" s="1"/>
      <c r="AH1563" s="1"/>
    </row>
    <row r="1564" ht="12.75" hidden="1" customHeight="1" outlineLevel="1">
      <c r="A1564" s="17">
        <v>41261.0</v>
      </c>
      <c r="B1564" s="1" t="s">
        <v>343</v>
      </c>
      <c r="C1564" s="1" t="s">
        <v>364</v>
      </c>
      <c r="D1564" s="74">
        <v>75.0</v>
      </c>
      <c r="E1564" s="67">
        <v>74.24</v>
      </c>
      <c r="F1564" s="75">
        <v>0.6575</v>
      </c>
      <c r="G1564" s="67" t="s">
        <v>453</v>
      </c>
      <c r="H1564" s="68">
        <v>1.0</v>
      </c>
      <c r="I1564" s="76"/>
      <c r="J1564" s="67">
        <f t="shared" si="109"/>
        <v>-5569</v>
      </c>
      <c r="K1564" s="7"/>
      <c r="L1564" s="70"/>
      <c r="M1564" s="79"/>
      <c r="N1564" s="1"/>
      <c r="O1564" s="1"/>
      <c r="P1564" s="1"/>
      <c r="Q1564" s="1"/>
      <c r="R1564" s="1"/>
      <c r="S1564" s="1"/>
      <c r="T1564" s="1"/>
      <c r="U1564" s="1"/>
      <c r="V1564" s="1"/>
      <c r="W1564" s="1"/>
      <c r="X1564" s="1"/>
      <c r="Y1564" s="1"/>
      <c r="Z1564" s="1"/>
      <c r="AA1564" s="1"/>
      <c r="AB1564" s="1"/>
      <c r="AC1564" s="1"/>
      <c r="AD1564" s="1"/>
      <c r="AE1564" s="1"/>
      <c r="AF1564" s="1"/>
      <c r="AG1564" s="1"/>
      <c r="AH1564" s="1"/>
    </row>
    <row r="1565" ht="12.75" hidden="1" customHeight="1" outlineLevel="1">
      <c r="A1565" s="17">
        <v>41261.0</v>
      </c>
      <c r="B1565" s="1"/>
      <c r="C1565" s="1" t="s">
        <v>339</v>
      </c>
      <c r="D1565" s="74"/>
      <c r="E1565" s="67"/>
      <c r="F1565" s="75"/>
      <c r="G1565" s="67"/>
      <c r="H1565" s="68"/>
      <c r="I1565" s="76"/>
      <c r="J1565" s="67"/>
      <c r="K1565" s="7" t="s">
        <v>837</v>
      </c>
      <c r="L1565" s="77"/>
      <c r="M1565" s="79"/>
      <c r="N1565" s="1"/>
      <c r="O1565" s="1"/>
      <c r="P1565" s="1"/>
      <c r="Q1565" s="1"/>
      <c r="R1565" s="1"/>
      <c r="S1565" s="1"/>
      <c r="T1565" s="1"/>
      <c r="U1565" s="1"/>
      <c r="V1565" s="1"/>
      <c r="W1565" s="1"/>
      <c r="X1565" s="1"/>
      <c r="Y1565" s="1"/>
      <c r="Z1565" s="1"/>
      <c r="AA1565" s="1"/>
      <c r="AB1565" s="1"/>
      <c r="AC1565" s="1"/>
      <c r="AD1565" s="1"/>
      <c r="AE1565" s="1"/>
      <c r="AF1565" s="1"/>
      <c r="AG1565" s="1"/>
      <c r="AH1565" s="1"/>
    </row>
    <row r="1566" ht="12.75" hidden="1" customHeight="1" outlineLevel="1">
      <c r="A1566" s="17">
        <v>41261.0</v>
      </c>
      <c r="B1566" s="1"/>
      <c r="C1566" s="1" t="s">
        <v>429</v>
      </c>
      <c r="D1566" s="74"/>
      <c r="E1566" s="67"/>
      <c r="F1566" s="75"/>
      <c r="G1566" s="67"/>
      <c r="H1566" s="68"/>
      <c r="I1566" s="76"/>
      <c r="J1566" s="67"/>
      <c r="K1566" s="7" t="s">
        <v>679</v>
      </c>
      <c r="L1566" s="77"/>
      <c r="M1566" s="79"/>
      <c r="N1566" s="1"/>
      <c r="O1566" s="1"/>
      <c r="P1566" s="1"/>
      <c r="Q1566" s="1"/>
      <c r="R1566" s="1"/>
      <c r="S1566" s="1"/>
      <c r="T1566" s="1"/>
      <c r="U1566" s="1"/>
      <c r="V1566" s="1"/>
      <c r="W1566" s="1"/>
      <c r="X1566" s="1"/>
      <c r="Y1566" s="1"/>
      <c r="Z1566" s="1"/>
      <c r="AA1566" s="1"/>
      <c r="AB1566" s="1"/>
      <c r="AC1566" s="1"/>
      <c r="AD1566" s="1"/>
      <c r="AE1566" s="1"/>
      <c r="AF1566" s="1"/>
      <c r="AG1566" s="1"/>
      <c r="AH1566" s="1"/>
    </row>
    <row r="1567" ht="12.75" hidden="1" customHeight="1" outlineLevel="1">
      <c r="A1567" s="17">
        <v>41261.0</v>
      </c>
      <c r="B1567" s="1"/>
      <c r="C1567" s="1" t="s">
        <v>431</v>
      </c>
      <c r="D1567" s="74"/>
      <c r="E1567" s="67"/>
      <c r="F1567" s="75"/>
      <c r="G1567" s="67"/>
      <c r="H1567" s="68"/>
      <c r="I1567" s="76"/>
      <c r="J1567" s="67"/>
      <c r="K1567" s="7" t="s">
        <v>817</v>
      </c>
      <c r="L1567" s="77"/>
      <c r="M1567" s="79"/>
      <c r="N1567" s="1"/>
      <c r="O1567" s="1"/>
      <c r="P1567" s="1"/>
      <c r="Q1567" s="1"/>
      <c r="R1567" s="1"/>
      <c r="S1567" s="1"/>
      <c r="T1567" s="1"/>
      <c r="U1567" s="1"/>
      <c r="V1567" s="1"/>
      <c r="W1567" s="1"/>
      <c r="X1567" s="1"/>
      <c r="Y1567" s="1"/>
      <c r="Z1567" s="1"/>
      <c r="AA1567" s="1"/>
      <c r="AB1567" s="1"/>
      <c r="AC1567" s="1"/>
      <c r="AD1567" s="1"/>
      <c r="AE1567" s="1"/>
      <c r="AF1567" s="1"/>
      <c r="AG1567" s="1"/>
      <c r="AH1567" s="1"/>
    </row>
    <row r="1568" ht="12.75" hidden="1" customHeight="1" outlineLevel="1">
      <c r="A1568" s="17">
        <v>41261.0</v>
      </c>
      <c r="B1568" s="1"/>
      <c r="C1568" s="1" t="s">
        <v>433</v>
      </c>
      <c r="D1568" s="74"/>
      <c r="E1568" s="67"/>
      <c r="F1568" s="75"/>
      <c r="G1568" s="67"/>
      <c r="H1568" s="68"/>
      <c r="I1568" s="76"/>
      <c r="J1568" s="67"/>
      <c r="K1568" s="1" t="s">
        <v>434</v>
      </c>
      <c r="L1568" s="77"/>
      <c r="M1568" s="79"/>
      <c r="N1568" s="1"/>
      <c r="O1568" s="1"/>
      <c r="P1568" s="1"/>
      <c r="Q1568" s="1"/>
      <c r="R1568" s="1"/>
      <c r="S1568" s="1"/>
      <c r="T1568" s="1"/>
      <c r="U1568" s="1"/>
      <c r="V1568" s="1"/>
      <c r="W1568" s="1"/>
      <c r="X1568" s="1"/>
      <c r="Y1568" s="1"/>
      <c r="Z1568" s="1"/>
      <c r="AA1568" s="1"/>
      <c r="AB1568" s="1"/>
      <c r="AC1568" s="1"/>
      <c r="AD1568" s="1"/>
      <c r="AE1568" s="1"/>
      <c r="AF1568" s="1"/>
      <c r="AG1568" s="1"/>
      <c r="AH1568" s="1"/>
    </row>
    <row r="1569" ht="12.75" hidden="1" customHeight="1" outlineLevel="1">
      <c r="A1569" s="17">
        <v>41261.0</v>
      </c>
      <c r="B1569" s="1"/>
      <c r="C1569" s="1" t="s">
        <v>435</v>
      </c>
      <c r="D1569" s="74"/>
      <c r="E1569" s="67"/>
      <c r="F1569" s="75"/>
      <c r="G1569" s="67"/>
      <c r="H1569" s="68"/>
      <c r="I1569" s="76"/>
      <c r="J1569" s="67"/>
      <c r="K1569" s="7" t="s">
        <v>818</v>
      </c>
      <c r="L1569" s="77"/>
      <c r="M1569" s="79"/>
      <c r="N1569" s="1"/>
      <c r="O1569" s="1"/>
      <c r="P1569" s="1"/>
      <c r="Q1569" s="1"/>
      <c r="R1569" s="1"/>
      <c r="S1569" s="1"/>
      <c r="T1569" s="1"/>
      <c r="U1569" s="1"/>
      <c r="V1569" s="1"/>
      <c r="W1569" s="1"/>
      <c r="X1569" s="1"/>
      <c r="Y1569" s="1"/>
      <c r="Z1569" s="1"/>
      <c r="AA1569" s="1"/>
      <c r="AB1569" s="1"/>
      <c r="AC1569" s="1"/>
      <c r="AD1569" s="1"/>
      <c r="AE1569" s="1"/>
      <c r="AF1569" s="1"/>
      <c r="AG1569" s="1"/>
      <c r="AH1569" s="1"/>
    </row>
    <row r="1570" ht="12.75" hidden="1" customHeight="1" outlineLevel="1">
      <c r="A1570" s="17">
        <v>41262.0</v>
      </c>
      <c r="B1570" s="1" t="s">
        <v>347</v>
      </c>
      <c r="C1570" s="1" t="s">
        <v>734</v>
      </c>
      <c r="D1570" s="74">
        <v>300.0</v>
      </c>
      <c r="E1570" s="67">
        <v>18.8</v>
      </c>
      <c r="F1570" s="75">
        <v>0.6666550925925926</v>
      </c>
      <c r="G1570" s="67" t="s">
        <v>453</v>
      </c>
      <c r="H1570" s="68"/>
      <c r="I1570" s="76"/>
      <c r="J1570" s="67">
        <f>IF(B1570="SLD",D1570*E1570,-D1570*E1570)-H1570</f>
        <v>5640</v>
      </c>
      <c r="K1570" s="7"/>
      <c r="L1570" s="70"/>
      <c r="M1570" s="79"/>
      <c r="N1570" s="1"/>
      <c r="O1570" s="1"/>
      <c r="P1570" s="1"/>
      <c r="Q1570" s="1"/>
      <c r="R1570" s="1"/>
      <c r="S1570" s="1"/>
      <c r="T1570" s="1"/>
      <c r="U1570" s="1"/>
      <c r="V1570" s="1"/>
      <c r="W1570" s="1"/>
      <c r="X1570" s="1"/>
      <c r="Y1570" s="1"/>
      <c r="Z1570" s="1"/>
      <c r="AA1570" s="1"/>
      <c r="AB1570" s="1"/>
      <c r="AC1570" s="1"/>
      <c r="AD1570" s="1"/>
      <c r="AE1570" s="1"/>
      <c r="AF1570" s="1"/>
      <c r="AG1570" s="1"/>
      <c r="AH1570" s="1"/>
    </row>
    <row r="1571" ht="12.75" hidden="1" customHeight="1" outlineLevel="1">
      <c r="A1571" s="17">
        <v>41262.0</v>
      </c>
      <c r="B1571" s="1"/>
      <c r="C1571" s="1" t="s">
        <v>339</v>
      </c>
      <c r="D1571" s="74"/>
      <c r="E1571" s="67"/>
      <c r="F1571" s="75"/>
      <c r="G1571" s="67"/>
      <c r="H1571" s="68"/>
      <c r="I1571" s="76"/>
      <c r="J1571" s="67"/>
      <c r="K1571" s="7" t="s">
        <v>839</v>
      </c>
      <c r="L1571" s="77"/>
      <c r="M1571" s="79"/>
      <c r="N1571" s="1"/>
      <c r="O1571" s="1"/>
      <c r="P1571" s="1"/>
      <c r="Q1571" s="1"/>
      <c r="R1571" s="1"/>
      <c r="S1571" s="1"/>
      <c r="T1571" s="1"/>
      <c r="U1571" s="1"/>
      <c r="V1571" s="1"/>
      <c r="W1571" s="1"/>
      <c r="X1571" s="1"/>
      <c r="Y1571" s="1"/>
      <c r="Z1571" s="1"/>
      <c r="AA1571" s="1"/>
      <c r="AB1571" s="1"/>
      <c r="AC1571" s="1"/>
      <c r="AD1571" s="1"/>
      <c r="AE1571" s="1"/>
      <c r="AF1571" s="1"/>
      <c r="AG1571" s="1"/>
      <c r="AH1571" s="1"/>
    </row>
    <row r="1572" ht="12.75" hidden="1" customHeight="1" outlineLevel="1">
      <c r="A1572" s="17">
        <v>41262.0</v>
      </c>
      <c r="B1572" s="1"/>
      <c r="C1572" s="1" t="s">
        <v>429</v>
      </c>
      <c r="D1572" s="74"/>
      <c r="E1572" s="67"/>
      <c r="F1572" s="75"/>
      <c r="G1572" s="67"/>
      <c r="H1572" s="68"/>
      <c r="I1572" s="76"/>
      <c r="J1572" s="67"/>
      <c r="K1572" s="7" t="s">
        <v>679</v>
      </c>
      <c r="L1572" s="77"/>
      <c r="M1572" s="79"/>
      <c r="N1572" s="1"/>
      <c r="O1572" s="1"/>
      <c r="P1572" s="1"/>
      <c r="Q1572" s="1"/>
      <c r="R1572" s="1"/>
      <c r="S1572" s="1"/>
      <c r="T1572" s="1"/>
      <c r="U1572" s="1"/>
      <c r="V1572" s="1"/>
      <c r="W1572" s="1"/>
      <c r="X1572" s="1"/>
      <c r="Y1572" s="1"/>
      <c r="Z1572" s="1"/>
      <c r="AA1572" s="1"/>
      <c r="AB1572" s="1"/>
      <c r="AC1572" s="1"/>
      <c r="AD1572" s="1"/>
      <c r="AE1572" s="1"/>
      <c r="AF1572" s="1"/>
      <c r="AG1572" s="1"/>
      <c r="AH1572" s="1"/>
    </row>
    <row r="1573" ht="12.75" hidden="1" customHeight="1" outlineLevel="1">
      <c r="A1573" s="17">
        <v>41262.0</v>
      </c>
      <c r="B1573" s="1"/>
      <c r="C1573" s="1" t="s">
        <v>431</v>
      </c>
      <c r="D1573" s="74"/>
      <c r="E1573" s="67"/>
      <c r="F1573" s="75"/>
      <c r="G1573" s="67"/>
      <c r="H1573" s="68"/>
      <c r="I1573" s="76"/>
      <c r="J1573" s="67"/>
      <c r="K1573" s="7" t="s">
        <v>817</v>
      </c>
      <c r="L1573" s="77"/>
      <c r="M1573" s="79"/>
      <c r="N1573" s="1"/>
      <c r="O1573" s="1"/>
      <c r="P1573" s="1"/>
      <c r="Q1573" s="1"/>
      <c r="R1573" s="1"/>
      <c r="S1573" s="1"/>
      <c r="T1573" s="1"/>
      <c r="U1573" s="1"/>
      <c r="V1573" s="1"/>
      <c r="W1573" s="1"/>
      <c r="X1573" s="1"/>
      <c r="Y1573" s="1"/>
      <c r="Z1573" s="1"/>
      <c r="AA1573" s="1"/>
      <c r="AB1573" s="1"/>
      <c r="AC1573" s="1"/>
      <c r="AD1573" s="1"/>
      <c r="AE1573" s="1"/>
      <c r="AF1573" s="1"/>
      <c r="AG1573" s="1"/>
      <c r="AH1573" s="1"/>
    </row>
    <row r="1574" ht="12.75" hidden="1" customHeight="1" outlineLevel="1">
      <c r="A1574" s="17">
        <v>41262.0</v>
      </c>
      <c r="B1574" s="1"/>
      <c r="C1574" s="1" t="s">
        <v>433</v>
      </c>
      <c r="D1574" s="74"/>
      <c r="E1574" s="67"/>
      <c r="F1574" s="75"/>
      <c r="G1574" s="67"/>
      <c r="H1574" s="68"/>
      <c r="I1574" s="76"/>
      <c r="J1574" s="67"/>
      <c r="K1574" s="1" t="s">
        <v>434</v>
      </c>
      <c r="L1574" s="77"/>
      <c r="M1574" s="79"/>
      <c r="N1574" s="1"/>
      <c r="O1574" s="1"/>
      <c r="P1574" s="1"/>
      <c r="Q1574" s="1"/>
      <c r="R1574" s="1"/>
      <c r="S1574" s="1"/>
      <c r="T1574" s="1"/>
      <c r="U1574" s="1"/>
      <c r="V1574" s="1"/>
      <c r="W1574" s="1"/>
      <c r="X1574" s="1"/>
      <c r="Y1574" s="1"/>
      <c r="Z1574" s="1"/>
      <c r="AA1574" s="1"/>
      <c r="AB1574" s="1"/>
      <c r="AC1574" s="1"/>
      <c r="AD1574" s="1"/>
      <c r="AE1574" s="1"/>
      <c r="AF1574" s="1"/>
      <c r="AG1574" s="1"/>
      <c r="AH1574" s="1"/>
    </row>
    <row r="1575" ht="12.75" hidden="1" customHeight="1" outlineLevel="1">
      <c r="A1575" s="17">
        <v>41262.0</v>
      </c>
      <c r="B1575" s="1"/>
      <c r="C1575" s="1" t="s">
        <v>435</v>
      </c>
      <c r="D1575" s="74"/>
      <c r="E1575" s="67"/>
      <c r="F1575" s="75"/>
      <c r="G1575" s="67"/>
      <c r="H1575" s="68"/>
      <c r="I1575" s="76"/>
      <c r="J1575" s="67"/>
      <c r="K1575" s="7" t="s">
        <v>818</v>
      </c>
      <c r="L1575" s="77"/>
      <c r="M1575" s="79"/>
      <c r="N1575" s="1"/>
      <c r="O1575" s="1"/>
      <c r="P1575" s="1"/>
      <c r="Q1575" s="1"/>
      <c r="R1575" s="1"/>
      <c r="S1575" s="1"/>
      <c r="T1575" s="1"/>
      <c r="U1575" s="1"/>
      <c r="V1575" s="1"/>
      <c r="W1575" s="1"/>
      <c r="X1575" s="1"/>
      <c r="Y1575" s="1"/>
      <c r="Z1575" s="1"/>
      <c r="AA1575" s="1"/>
      <c r="AB1575" s="1"/>
      <c r="AC1575" s="1"/>
      <c r="AD1575" s="1"/>
      <c r="AE1575" s="1"/>
      <c r="AF1575" s="1"/>
      <c r="AG1575" s="1"/>
      <c r="AH1575" s="1"/>
    </row>
    <row r="1576" ht="12.75" hidden="1" customHeight="1" outlineLevel="1">
      <c r="A1576" s="17">
        <v>41263.0</v>
      </c>
      <c r="B1576" s="1" t="s">
        <v>347</v>
      </c>
      <c r="C1576" s="1" t="s">
        <v>840</v>
      </c>
      <c r="D1576" s="74">
        <v>10.0</v>
      </c>
      <c r="E1576" s="67">
        <v>506.63</v>
      </c>
      <c r="F1576" s="75">
        <v>0.39950231481481485</v>
      </c>
      <c r="G1576" s="67" t="s">
        <v>453</v>
      </c>
      <c r="H1576" s="68">
        <v>1.0</v>
      </c>
      <c r="I1576" s="76"/>
      <c r="J1576" s="67">
        <f t="shared" ref="J1576:J1585" si="110">IF(B1576="SLD",D1576*E1576,-D1576*E1576)-H1576</f>
        <v>5065.3</v>
      </c>
      <c r="K1576" s="7"/>
      <c r="L1576" s="70"/>
      <c r="M1576" s="79"/>
      <c r="N1576" s="1"/>
      <c r="O1576" s="1"/>
      <c r="P1576" s="1"/>
      <c r="Q1576" s="1"/>
      <c r="R1576" s="1"/>
      <c r="S1576" s="1"/>
      <c r="T1576" s="1"/>
      <c r="U1576" s="1"/>
      <c r="V1576" s="1"/>
      <c r="W1576" s="1"/>
      <c r="X1576" s="1"/>
      <c r="Y1576" s="1"/>
      <c r="Z1576" s="1"/>
      <c r="AA1576" s="1"/>
      <c r="AB1576" s="1"/>
      <c r="AC1576" s="1"/>
      <c r="AD1576" s="1"/>
      <c r="AE1576" s="1"/>
      <c r="AF1576" s="1"/>
      <c r="AG1576" s="1"/>
      <c r="AH1576" s="1"/>
    </row>
    <row r="1577" ht="12.75" hidden="1" customHeight="1" outlineLevel="1">
      <c r="A1577" s="17">
        <v>41263.0</v>
      </c>
      <c r="B1577" s="1" t="s">
        <v>347</v>
      </c>
      <c r="C1577" s="1" t="s">
        <v>691</v>
      </c>
      <c r="D1577" s="74">
        <v>300.0</v>
      </c>
      <c r="E1577" s="67">
        <v>29.2</v>
      </c>
      <c r="F1577" s="75">
        <v>0.4435648148148148</v>
      </c>
      <c r="G1577" s="67" t="s">
        <v>453</v>
      </c>
      <c r="H1577" s="68">
        <v>1.5</v>
      </c>
      <c r="I1577" s="76"/>
      <c r="J1577" s="67">
        <f t="shared" si="110"/>
        <v>8758.5</v>
      </c>
      <c r="K1577" s="7"/>
      <c r="L1577" s="70"/>
      <c r="M1577" s="79"/>
      <c r="N1577" s="1"/>
      <c r="O1577" s="1"/>
      <c r="P1577" s="1"/>
      <c r="Q1577" s="1"/>
      <c r="R1577" s="1"/>
      <c r="S1577" s="1"/>
      <c r="T1577" s="1"/>
      <c r="U1577" s="1"/>
      <c r="V1577" s="1"/>
      <c r="W1577" s="1"/>
      <c r="X1577" s="1"/>
      <c r="Y1577" s="1"/>
      <c r="Z1577" s="1"/>
      <c r="AA1577" s="1"/>
      <c r="AB1577" s="1"/>
      <c r="AC1577" s="1"/>
      <c r="AD1577" s="1"/>
      <c r="AE1577" s="1"/>
      <c r="AF1577" s="1"/>
      <c r="AG1577" s="1"/>
      <c r="AH1577" s="1"/>
    </row>
    <row r="1578" ht="12.75" hidden="1" customHeight="1" outlineLevel="1">
      <c r="A1578" s="17">
        <v>41263.0</v>
      </c>
      <c r="B1578" s="1" t="s">
        <v>347</v>
      </c>
      <c r="C1578" s="1" t="s">
        <v>757</v>
      </c>
      <c r="D1578" s="74">
        <v>150.0</v>
      </c>
      <c r="E1578" s="67">
        <v>51.6</v>
      </c>
      <c r="F1578" s="75">
        <v>0.44480324074074074</v>
      </c>
      <c r="G1578" s="67" t="s">
        <v>453</v>
      </c>
      <c r="H1578" s="68">
        <v>1.0</v>
      </c>
      <c r="I1578" s="76"/>
      <c r="J1578" s="67">
        <f t="shared" si="110"/>
        <v>7739</v>
      </c>
      <c r="K1578" s="7"/>
      <c r="L1578" s="70"/>
      <c r="M1578" s="79"/>
      <c r="N1578" s="1"/>
      <c r="O1578" s="1"/>
      <c r="P1578" s="1"/>
      <c r="Q1578" s="1"/>
      <c r="R1578" s="1"/>
      <c r="S1578" s="1"/>
      <c r="T1578" s="1"/>
      <c r="U1578" s="1"/>
      <c r="V1578" s="1"/>
      <c r="W1578" s="1"/>
      <c r="X1578" s="1"/>
      <c r="Y1578" s="1"/>
      <c r="Z1578" s="1"/>
      <c r="AA1578" s="1"/>
      <c r="AB1578" s="1"/>
      <c r="AC1578" s="1"/>
      <c r="AD1578" s="1"/>
      <c r="AE1578" s="1"/>
      <c r="AF1578" s="1"/>
      <c r="AG1578" s="1"/>
      <c r="AH1578" s="1"/>
    </row>
    <row r="1579" ht="12.75" hidden="1" customHeight="1" outlineLevel="1">
      <c r="A1579" s="17">
        <v>41263.0</v>
      </c>
      <c r="B1579" s="1" t="s">
        <v>347</v>
      </c>
      <c r="C1579" s="1" t="s">
        <v>755</v>
      </c>
      <c r="D1579" s="74">
        <v>250.0</v>
      </c>
      <c r="E1579" s="67">
        <v>32.434</v>
      </c>
      <c r="F1579" s="75">
        <v>0.44494212962962965</v>
      </c>
      <c r="G1579" s="67" t="s">
        <v>453</v>
      </c>
      <c r="H1579" s="68">
        <v>1.15</v>
      </c>
      <c r="I1579" s="76"/>
      <c r="J1579" s="67">
        <f t="shared" si="110"/>
        <v>8107.35</v>
      </c>
      <c r="K1579" s="7"/>
      <c r="L1579" s="70"/>
      <c r="M1579" s="79"/>
      <c r="N1579" s="1"/>
      <c r="O1579" s="1"/>
      <c r="P1579" s="1"/>
      <c r="Q1579" s="1"/>
      <c r="R1579" s="1"/>
      <c r="S1579" s="1"/>
      <c r="T1579" s="1"/>
      <c r="U1579" s="1"/>
      <c r="V1579" s="1"/>
      <c r="W1579" s="1"/>
      <c r="X1579" s="1"/>
      <c r="Y1579" s="1"/>
      <c r="Z1579" s="1"/>
      <c r="AA1579" s="1"/>
      <c r="AB1579" s="1"/>
      <c r="AC1579" s="1"/>
      <c r="AD1579" s="1"/>
      <c r="AE1579" s="1"/>
      <c r="AF1579" s="1"/>
      <c r="AG1579" s="1"/>
      <c r="AH1579" s="1"/>
    </row>
    <row r="1580" ht="12.75" hidden="1" customHeight="1" outlineLevel="1">
      <c r="A1580" s="17">
        <v>41263.0</v>
      </c>
      <c r="B1580" s="1" t="s">
        <v>343</v>
      </c>
      <c r="C1580" s="1" t="s">
        <v>841</v>
      </c>
      <c r="D1580" s="74">
        <v>500.0</v>
      </c>
      <c r="E1580" s="67">
        <v>21.5</v>
      </c>
      <c r="F1580" s="75">
        <v>0.4460648148148148</v>
      </c>
      <c r="G1580" s="67" t="s">
        <v>453</v>
      </c>
      <c r="H1580" s="68">
        <v>2.5</v>
      </c>
      <c r="I1580" s="76"/>
      <c r="J1580" s="67">
        <f t="shared" si="110"/>
        <v>-10752.5</v>
      </c>
      <c r="K1580" s="7"/>
      <c r="L1580" s="70"/>
      <c r="M1580" s="79"/>
      <c r="N1580" s="1"/>
      <c r="O1580" s="1"/>
      <c r="P1580" s="1"/>
      <c r="Q1580" s="1"/>
      <c r="R1580" s="1"/>
      <c r="S1580" s="1"/>
      <c r="T1580" s="1"/>
      <c r="U1580" s="1"/>
      <c r="V1580" s="1"/>
      <c r="W1580" s="1"/>
      <c r="X1580" s="1"/>
      <c r="Y1580" s="1"/>
      <c r="Z1580" s="1"/>
      <c r="AA1580" s="1"/>
      <c r="AB1580" s="1"/>
      <c r="AC1580" s="1"/>
      <c r="AD1580" s="1"/>
      <c r="AE1580" s="1"/>
      <c r="AF1580" s="1"/>
      <c r="AG1580" s="1"/>
      <c r="AH1580" s="1"/>
    </row>
    <row r="1581" ht="12.75" hidden="1" customHeight="1" outlineLevel="1">
      <c r="A1581" s="17">
        <v>41263.0</v>
      </c>
      <c r="B1581" s="1" t="s">
        <v>347</v>
      </c>
      <c r="C1581" s="1" t="s">
        <v>354</v>
      </c>
      <c r="D1581" s="74">
        <v>290.0</v>
      </c>
      <c r="E1581" s="67">
        <v>89.12</v>
      </c>
      <c r="F1581" s="75">
        <v>0.4832986111111111</v>
      </c>
      <c r="G1581" s="67" t="s">
        <v>453</v>
      </c>
      <c r="H1581" s="68">
        <v>1.45</v>
      </c>
      <c r="I1581" s="76"/>
      <c r="J1581" s="67">
        <f t="shared" si="110"/>
        <v>25843.35</v>
      </c>
      <c r="K1581" s="7"/>
      <c r="L1581" s="70"/>
      <c r="M1581" s="79"/>
      <c r="N1581" s="1"/>
      <c r="O1581" s="1"/>
      <c r="P1581" s="1"/>
      <c r="Q1581" s="1"/>
      <c r="R1581" s="1"/>
      <c r="S1581" s="1"/>
      <c r="T1581" s="1"/>
      <c r="U1581" s="1"/>
      <c r="V1581" s="1"/>
      <c r="W1581" s="1"/>
      <c r="X1581" s="1"/>
      <c r="Y1581" s="1"/>
      <c r="Z1581" s="1"/>
      <c r="AA1581" s="1"/>
      <c r="AB1581" s="1"/>
      <c r="AC1581" s="1"/>
      <c r="AD1581" s="1"/>
      <c r="AE1581" s="1"/>
      <c r="AF1581" s="1"/>
      <c r="AG1581" s="1"/>
      <c r="AH1581" s="1"/>
    </row>
    <row r="1582" ht="12.75" hidden="1" customHeight="1" outlineLevel="1">
      <c r="A1582" s="17">
        <v>41263.0</v>
      </c>
      <c r="B1582" s="1" t="s">
        <v>347</v>
      </c>
      <c r="C1582" s="1" t="s">
        <v>734</v>
      </c>
      <c r="D1582" s="74">
        <v>300.0</v>
      </c>
      <c r="E1582" s="67">
        <v>18.99</v>
      </c>
      <c r="F1582" s="75">
        <v>0.48641203703703706</v>
      </c>
      <c r="G1582" s="67" t="s">
        <v>453</v>
      </c>
      <c r="H1582" s="68">
        <v>1.2</v>
      </c>
      <c r="I1582" s="76"/>
      <c r="J1582" s="67">
        <f t="shared" si="110"/>
        <v>5695.8</v>
      </c>
      <c r="K1582" s="7"/>
      <c r="L1582" s="70"/>
      <c r="M1582" s="79"/>
      <c r="N1582" s="1"/>
      <c r="O1582" s="1"/>
      <c r="P1582" s="1"/>
      <c r="Q1582" s="1"/>
      <c r="R1582" s="1"/>
      <c r="S1582" s="1"/>
      <c r="T1582" s="1"/>
      <c r="U1582" s="1"/>
      <c r="V1582" s="1"/>
      <c r="W1582" s="1"/>
      <c r="X1582" s="1"/>
      <c r="Y1582" s="1"/>
      <c r="Z1582" s="1"/>
      <c r="AA1582" s="1"/>
      <c r="AB1582" s="1"/>
      <c r="AC1582" s="1"/>
      <c r="AD1582" s="1"/>
      <c r="AE1582" s="1"/>
      <c r="AF1582" s="1"/>
      <c r="AG1582" s="1"/>
      <c r="AH1582" s="1"/>
    </row>
    <row r="1583" ht="12.75" hidden="1" customHeight="1" outlineLevel="1">
      <c r="A1583" s="17">
        <v>41263.0</v>
      </c>
      <c r="B1583" s="1" t="s">
        <v>347</v>
      </c>
      <c r="C1583" s="1" t="s">
        <v>840</v>
      </c>
      <c r="D1583" s="74">
        <v>5.0</v>
      </c>
      <c r="E1583" s="67">
        <v>496.08</v>
      </c>
      <c r="F1583" s="75">
        <v>0.5646759259259259</v>
      </c>
      <c r="G1583" s="67" t="s">
        <v>453</v>
      </c>
      <c r="H1583" s="68">
        <v>1.0</v>
      </c>
      <c r="I1583" s="76"/>
      <c r="J1583" s="67">
        <f t="shared" si="110"/>
        <v>2479.4</v>
      </c>
      <c r="K1583" s="7"/>
      <c r="L1583" s="70"/>
      <c r="M1583" s="79"/>
      <c r="N1583" s="1"/>
      <c r="O1583" s="1"/>
      <c r="P1583" s="1"/>
      <c r="Q1583" s="1"/>
      <c r="R1583" s="1"/>
      <c r="S1583" s="1"/>
      <c r="T1583" s="1"/>
      <c r="U1583" s="1"/>
      <c r="V1583" s="1"/>
      <c r="W1583" s="1"/>
      <c r="X1583" s="1"/>
      <c r="Y1583" s="1"/>
      <c r="Z1583" s="1"/>
      <c r="AA1583" s="1"/>
      <c r="AB1583" s="1"/>
      <c r="AC1583" s="1"/>
      <c r="AD1583" s="1"/>
      <c r="AE1583" s="1"/>
      <c r="AF1583" s="1"/>
      <c r="AG1583" s="1"/>
      <c r="AH1583" s="1"/>
    </row>
    <row r="1584" ht="12.75" hidden="1" customHeight="1" outlineLevel="1">
      <c r="A1584" s="17">
        <v>41263.0</v>
      </c>
      <c r="B1584" s="1" t="s">
        <v>347</v>
      </c>
      <c r="C1584" s="1" t="s">
        <v>619</v>
      </c>
      <c r="D1584" s="74">
        <v>175.0</v>
      </c>
      <c r="E1584" s="67">
        <v>39.72</v>
      </c>
      <c r="F1584" s="75">
        <v>0.5689351851851852</v>
      </c>
      <c r="G1584" s="67" t="s">
        <v>453</v>
      </c>
      <c r="H1584" s="68">
        <v>1.0</v>
      </c>
      <c r="I1584" s="76"/>
      <c r="J1584" s="67">
        <f t="shared" si="110"/>
        <v>6950</v>
      </c>
      <c r="K1584" s="7"/>
      <c r="L1584" s="70"/>
      <c r="M1584" s="79"/>
      <c r="N1584" s="1"/>
      <c r="O1584" s="1"/>
      <c r="P1584" s="1"/>
      <c r="Q1584" s="1"/>
      <c r="R1584" s="1"/>
      <c r="S1584" s="1"/>
      <c r="T1584" s="1"/>
      <c r="U1584" s="1"/>
      <c r="V1584" s="1"/>
      <c r="W1584" s="1"/>
      <c r="X1584" s="1"/>
      <c r="Y1584" s="1"/>
      <c r="Z1584" s="1"/>
      <c r="AA1584" s="1"/>
      <c r="AB1584" s="1"/>
      <c r="AC1584" s="1"/>
      <c r="AD1584" s="1"/>
      <c r="AE1584" s="1"/>
      <c r="AF1584" s="1"/>
      <c r="AG1584" s="1"/>
      <c r="AH1584" s="1"/>
    </row>
    <row r="1585" ht="12.75" hidden="1" customHeight="1" outlineLevel="1">
      <c r="A1585" s="17">
        <v>41263.0</v>
      </c>
      <c r="B1585" s="1" t="s">
        <v>343</v>
      </c>
      <c r="C1585" s="1" t="s">
        <v>354</v>
      </c>
      <c r="D1585" s="74">
        <v>290.0</v>
      </c>
      <c r="E1585" s="67">
        <v>89.06</v>
      </c>
      <c r="F1585" s="75">
        <v>0.6181134259259259</v>
      </c>
      <c r="G1585" s="67" t="s">
        <v>453</v>
      </c>
      <c r="H1585" s="68">
        <v>1.45</v>
      </c>
      <c r="I1585" s="76"/>
      <c r="J1585" s="67">
        <f t="shared" si="110"/>
        <v>-25828.85</v>
      </c>
      <c r="K1585" s="7"/>
      <c r="L1585" s="70"/>
      <c r="M1585" s="79"/>
      <c r="N1585" s="1"/>
      <c r="O1585" s="1"/>
      <c r="P1585" s="1"/>
      <c r="Q1585" s="1"/>
      <c r="R1585" s="1"/>
      <c r="S1585" s="1"/>
      <c r="T1585" s="1"/>
      <c r="U1585" s="1"/>
      <c r="V1585" s="1"/>
      <c r="W1585" s="1"/>
      <c r="X1585" s="1"/>
      <c r="Y1585" s="1"/>
      <c r="Z1585" s="1"/>
      <c r="AA1585" s="1"/>
      <c r="AB1585" s="1"/>
      <c r="AC1585" s="1"/>
      <c r="AD1585" s="1"/>
      <c r="AE1585" s="1"/>
      <c r="AF1585" s="1"/>
      <c r="AG1585" s="1"/>
      <c r="AH1585" s="1"/>
    </row>
    <row r="1586" ht="12.75" hidden="1" customHeight="1" outlineLevel="1">
      <c r="A1586" s="17">
        <v>41263.0</v>
      </c>
      <c r="B1586" s="1"/>
      <c r="C1586" s="1" t="s">
        <v>339</v>
      </c>
      <c r="D1586" s="74"/>
      <c r="E1586" s="67"/>
      <c r="F1586" s="75"/>
      <c r="G1586" s="67"/>
      <c r="H1586" s="68"/>
      <c r="I1586" s="76"/>
      <c r="J1586" s="67"/>
      <c r="K1586" s="7" t="s">
        <v>842</v>
      </c>
      <c r="L1586" s="77"/>
      <c r="M1586" s="79"/>
      <c r="N1586" s="1"/>
      <c r="O1586" s="1"/>
      <c r="P1586" s="1"/>
      <c r="Q1586" s="1"/>
      <c r="R1586" s="1"/>
      <c r="S1586" s="1"/>
      <c r="T1586" s="1"/>
      <c r="U1586" s="1"/>
      <c r="V1586" s="1"/>
      <c r="W1586" s="1"/>
      <c r="X1586" s="1"/>
      <c r="Y1586" s="1"/>
      <c r="Z1586" s="1"/>
      <c r="AA1586" s="1"/>
      <c r="AB1586" s="1"/>
      <c r="AC1586" s="1"/>
      <c r="AD1586" s="1"/>
      <c r="AE1586" s="1"/>
      <c r="AF1586" s="1"/>
      <c r="AG1586" s="1"/>
      <c r="AH1586" s="1"/>
    </row>
    <row r="1587" ht="12.75" hidden="1" customHeight="1" outlineLevel="1">
      <c r="A1587" s="17">
        <v>41263.0</v>
      </c>
      <c r="B1587" s="1"/>
      <c r="C1587" s="1" t="s">
        <v>429</v>
      </c>
      <c r="D1587" s="74"/>
      <c r="E1587" s="67"/>
      <c r="F1587" s="75"/>
      <c r="G1587" s="67"/>
      <c r="H1587" s="68"/>
      <c r="I1587" s="76"/>
      <c r="J1587" s="67"/>
      <c r="K1587" s="7" t="s">
        <v>679</v>
      </c>
      <c r="L1587" s="77"/>
      <c r="M1587" s="79"/>
      <c r="N1587" s="1"/>
      <c r="O1587" s="1"/>
      <c r="P1587" s="1"/>
      <c r="Q1587" s="1"/>
      <c r="R1587" s="1"/>
      <c r="S1587" s="1"/>
      <c r="T1587" s="1"/>
      <c r="U1587" s="1"/>
      <c r="V1587" s="1"/>
      <c r="W1587" s="1"/>
      <c r="X1587" s="1"/>
      <c r="Y1587" s="1"/>
      <c r="Z1587" s="1"/>
      <c r="AA1587" s="1"/>
      <c r="AB1587" s="1"/>
      <c r="AC1587" s="1"/>
      <c r="AD1587" s="1"/>
      <c r="AE1587" s="1"/>
      <c r="AF1587" s="1"/>
      <c r="AG1587" s="1"/>
      <c r="AH1587" s="1"/>
    </row>
    <row r="1588" ht="12.75" hidden="1" customHeight="1" outlineLevel="1">
      <c r="A1588" s="17">
        <v>41263.0</v>
      </c>
      <c r="B1588" s="1"/>
      <c r="C1588" s="1" t="s">
        <v>431</v>
      </c>
      <c r="D1588" s="74"/>
      <c r="E1588" s="67"/>
      <c r="F1588" s="75"/>
      <c r="G1588" s="67"/>
      <c r="H1588" s="68"/>
      <c r="I1588" s="76"/>
      <c r="J1588" s="67"/>
      <c r="K1588" s="7" t="s">
        <v>817</v>
      </c>
      <c r="L1588" s="77"/>
      <c r="M1588" s="79"/>
      <c r="N1588" s="1"/>
      <c r="O1588" s="1"/>
      <c r="P1588" s="1"/>
      <c r="Q1588" s="1"/>
      <c r="R1588" s="1"/>
      <c r="S1588" s="1"/>
      <c r="T1588" s="1"/>
      <c r="U1588" s="1"/>
      <c r="V1588" s="1"/>
      <c r="W1588" s="1"/>
      <c r="X1588" s="1"/>
      <c r="Y1588" s="1"/>
      <c r="Z1588" s="1"/>
      <c r="AA1588" s="1"/>
      <c r="AB1588" s="1"/>
      <c r="AC1588" s="1"/>
      <c r="AD1588" s="1"/>
      <c r="AE1588" s="1"/>
      <c r="AF1588" s="1"/>
      <c r="AG1588" s="1"/>
      <c r="AH1588" s="1"/>
    </row>
    <row r="1589" ht="12.75" hidden="1" customHeight="1" outlineLevel="1">
      <c r="A1589" s="17">
        <v>41263.0</v>
      </c>
      <c r="B1589" s="1"/>
      <c r="C1589" s="1" t="s">
        <v>433</v>
      </c>
      <c r="D1589" s="74"/>
      <c r="E1589" s="67"/>
      <c r="F1589" s="75"/>
      <c r="G1589" s="67"/>
      <c r="H1589" s="68"/>
      <c r="I1589" s="76"/>
      <c r="J1589" s="67"/>
      <c r="K1589" s="1" t="s">
        <v>434</v>
      </c>
      <c r="L1589" s="77"/>
      <c r="M1589" s="79"/>
      <c r="N1589" s="1"/>
      <c r="O1589" s="1"/>
      <c r="P1589" s="1"/>
      <c r="Q1589" s="1"/>
      <c r="R1589" s="1"/>
      <c r="S1589" s="1"/>
      <c r="T1589" s="1"/>
      <c r="U1589" s="1"/>
      <c r="V1589" s="1"/>
      <c r="W1589" s="1"/>
      <c r="X1589" s="1"/>
      <c r="Y1589" s="1"/>
      <c r="Z1589" s="1"/>
      <c r="AA1589" s="1"/>
      <c r="AB1589" s="1"/>
      <c r="AC1589" s="1"/>
      <c r="AD1589" s="1"/>
      <c r="AE1589" s="1"/>
      <c r="AF1589" s="1"/>
      <c r="AG1589" s="1"/>
      <c r="AH1589" s="1"/>
    </row>
    <row r="1590" ht="12.75" hidden="1" customHeight="1" outlineLevel="1">
      <c r="A1590" s="17">
        <v>41263.0</v>
      </c>
      <c r="B1590" s="1"/>
      <c r="C1590" s="1" t="s">
        <v>435</v>
      </c>
      <c r="D1590" s="74"/>
      <c r="E1590" s="67"/>
      <c r="F1590" s="75"/>
      <c r="G1590" s="67"/>
      <c r="H1590" s="68"/>
      <c r="I1590" s="76"/>
      <c r="J1590" s="67"/>
      <c r="K1590" s="7"/>
      <c r="L1590" s="77"/>
      <c r="M1590" s="79"/>
      <c r="N1590" s="1"/>
      <c r="O1590" s="1"/>
      <c r="P1590" s="1"/>
      <c r="Q1590" s="1"/>
      <c r="R1590" s="1"/>
      <c r="S1590" s="1"/>
      <c r="T1590" s="1"/>
      <c r="U1590" s="1"/>
      <c r="V1590" s="1"/>
      <c r="W1590" s="1"/>
      <c r="X1590" s="1"/>
      <c r="Y1590" s="1"/>
      <c r="Z1590" s="1"/>
      <c r="AA1590" s="1"/>
      <c r="AB1590" s="1"/>
      <c r="AC1590" s="1"/>
      <c r="AD1590" s="1"/>
      <c r="AE1590" s="1"/>
      <c r="AF1590" s="1"/>
      <c r="AG1590" s="1"/>
      <c r="AH1590" s="1"/>
    </row>
    <row r="1591" ht="12.75" hidden="1" customHeight="1" outlineLevel="1">
      <c r="A1591" s="17">
        <v>41264.0</v>
      </c>
      <c r="B1591" s="1" t="s">
        <v>343</v>
      </c>
      <c r="C1591" s="1" t="s">
        <v>605</v>
      </c>
      <c r="D1591" s="74">
        <v>100.0</v>
      </c>
      <c r="E1591" s="67">
        <v>52.28</v>
      </c>
      <c r="F1591" s="75">
        <v>0.4124305555555556</v>
      </c>
      <c r="G1591" s="67" t="s">
        <v>453</v>
      </c>
      <c r="H1591" s="68">
        <v>1.0</v>
      </c>
      <c r="I1591" s="76"/>
      <c r="J1591" s="67">
        <f t="shared" ref="J1591:J1599" si="111">IF(B1591="SLD",D1591*E1591,-D1591*E1591)-H1591</f>
        <v>-5229</v>
      </c>
      <c r="K1591" s="7"/>
      <c r="L1591" s="70"/>
      <c r="M1591" s="79"/>
      <c r="N1591" s="1"/>
      <c r="O1591" s="1"/>
      <c r="P1591" s="1"/>
      <c r="Q1591" s="1"/>
      <c r="R1591" s="1"/>
      <c r="S1591" s="1"/>
      <c r="T1591" s="1"/>
      <c r="U1591" s="1"/>
      <c r="V1591" s="1"/>
      <c r="W1591" s="1"/>
      <c r="X1591" s="1"/>
      <c r="Y1591" s="1"/>
      <c r="Z1591" s="1"/>
      <c r="AA1591" s="1"/>
      <c r="AB1591" s="1"/>
      <c r="AC1591" s="1"/>
      <c r="AD1591" s="1"/>
      <c r="AE1591" s="1"/>
      <c r="AF1591" s="1"/>
      <c r="AG1591" s="1"/>
      <c r="AH1591" s="1"/>
    </row>
    <row r="1592" ht="12.75" hidden="1" customHeight="1" outlineLevel="1">
      <c r="A1592" s="17">
        <v>41264.0</v>
      </c>
      <c r="B1592" s="1" t="s">
        <v>347</v>
      </c>
      <c r="C1592" s="1" t="s">
        <v>844</v>
      </c>
      <c r="D1592" s="74">
        <v>200.0</v>
      </c>
      <c r="E1592" s="67">
        <v>34.51</v>
      </c>
      <c r="F1592" s="75">
        <v>0.42476851851851855</v>
      </c>
      <c r="G1592" s="67" t="s">
        <v>453</v>
      </c>
      <c r="H1592" s="68">
        <v>1.0</v>
      </c>
      <c r="I1592" s="76"/>
      <c r="J1592" s="67">
        <f t="shared" si="111"/>
        <v>6901</v>
      </c>
      <c r="K1592" s="7"/>
      <c r="L1592" s="70"/>
      <c r="M1592" s="79"/>
      <c r="N1592" s="1"/>
      <c r="O1592" s="1"/>
      <c r="P1592" s="1"/>
      <c r="Q1592" s="1"/>
      <c r="R1592" s="1"/>
      <c r="S1592" s="1"/>
      <c r="T1592" s="1"/>
      <c r="U1592" s="1"/>
      <c r="V1592" s="1"/>
      <c r="W1592" s="1"/>
      <c r="X1592" s="1"/>
      <c r="Y1592" s="1"/>
      <c r="Z1592" s="1"/>
      <c r="AA1592" s="1"/>
      <c r="AB1592" s="1"/>
      <c r="AC1592" s="1"/>
      <c r="AD1592" s="1"/>
      <c r="AE1592" s="1"/>
      <c r="AF1592" s="1"/>
      <c r="AG1592" s="1"/>
      <c r="AH1592" s="1"/>
    </row>
    <row r="1593" ht="12.75" hidden="1" customHeight="1" outlineLevel="1">
      <c r="A1593" s="17">
        <v>41264.0</v>
      </c>
      <c r="B1593" s="1" t="s">
        <v>347</v>
      </c>
      <c r="C1593" s="1" t="s">
        <v>423</v>
      </c>
      <c r="D1593" s="74">
        <v>300.0</v>
      </c>
      <c r="E1593" s="67">
        <v>40.983</v>
      </c>
      <c r="F1593" s="75">
        <v>0.4301273148148148</v>
      </c>
      <c r="G1593" s="67" t="s">
        <v>453</v>
      </c>
      <c r="H1593" s="68">
        <v>1.5</v>
      </c>
      <c r="I1593" s="76"/>
      <c r="J1593" s="67">
        <f t="shared" si="111"/>
        <v>12293.4</v>
      </c>
      <c r="K1593" s="7"/>
      <c r="L1593" s="70"/>
      <c r="M1593" s="79"/>
      <c r="N1593" s="1"/>
      <c r="O1593" s="1"/>
      <c r="P1593" s="1"/>
      <c r="Q1593" s="1"/>
      <c r="R1593" s="1"/>
      <c r="S1593" s="1"/>
      <c r="T1593" s="1"/>
      <c r="U1593" s="1"/>
      <c r="V1593" s="1"/>
      <c r="W1593" s="1"/>
      <c r="X1593" s="1"/>
      <c r="Y1593" s="1"/>
      <c r="Z1593" s="1"/>
      <c r="AA1593" s="1"/>
      <c r="AB1593" s="1"/>
      <c r="AC1593" s="1"/>
      <c r="AD1593" s="1"/>
      <c r="AE1593" s="1"/>
      <c r="AF1593" s="1"/>
      <c r="AG1593" s="1"/>
      <c r="AH1593" s="1"/>
    </row>
    <row r="1594" ht="12.75" hidden="1" customHeight="1" outlineLevel="1">
      <c r="A1594" s="17">
        <v>41264.0</v>
      </c>
      <c r="B1594" s="1" t="s">
        <v>347</v>
      </c>
      <c r="C1594" s="1" t="s">
        <v>784</v>
      </c>
      <c r="D1594" s="74">
        <v>500.0</v>
      </c>
      <c r="E1594" s="67">
        <v>19.99</v>
      </c>
      <c r="F1594" s="75">
        <v>0.439375</v>
      </c>
      <c r="G1594" s="67" t="s">
        <v>453</v>
      </c>
      <c r="H1594" s="68">
        <v>2.5</v>
      </c>
      <c r="I1594" s="76"/>
      <c r="J1594" s="67">
        <f t="shared" si="111"/>
        <v>9992.5</v>
      </c>
      <c r="K1594" s="7"/>
      <c r="L1594" s="70"/>
      <c r="M1594" s="79"/>
      <c r="N1594" s="1"/>
      <c r="O1594" s="1"/>
      <c r="P1594" s="1"/>
      <c r="Q1594" s="1"/>
      <c r="R1594" s="1"/>
      <c r="S1594" s="1"/>
      <c r="T1594" s="1"/>
      <c r="U1594" s="1"/>
      <c r="V1594" s="1"/>
      <c r="W1594" s="1"/>
      <c r="X1594" s="1"/>
      <c r="Y1594" s="1"/>
      <c r="Z1594" s="1"/>
      <c r="AA1594" s="1"/>
      <c r="AB1594" s="1"/>
      <c r="AC1594" s="1"/>
      <c r="AD1594" s="1"/>
      <c r="AE1594" s="1"/>
      <c r="AF1594" s="1"/>
      <c r="AG1594" s="1"/>
      <c r="AH1594" s="1"/>
    </row>
    <row r="1595" ht="12.75" hidden="1" customHeight="1" outlineLevel="1">
      <c r="A1595" s="17">
        <v>41264.0</v>
      </c>
      <c r="B1595" s="1" t="s">
        <v>347</v>
      </c>
      <c r="C1595" s="1" t="s">
        <v>344</v>
      </c>
      <c r="D1595" s="74">
        <v>200.0</v>
      </c>
      <c r="E1595" s="67">
        <v>34.99</v>
      </c>
      <c r="F1595" s="75">
        <v>0.45625</v>
      </c>
      <c r="G1595" s="67" t="s">
        <v>453</v>
      </c>
      <c r="H1595" s="68">
        <v>1.0</v>
      </c>
      <c r="I1595" s="76"/>
      <c r="J1595" s="67">
        <f t="shared" si="111"/>
        <v>6997</v>
      </c>
      <c r="K1595" s="7"/>
      <c r="L1595" s="70"/>
      <c r="M1595" s="79"/>
      <c r="N1595" s="1"/>
      <c r="O1595" s="1"/>
      <c r="P1595" s="1"/>
      <c r="Q1595" s="1"/>
      <c r="R1595" s="1"/>
      <c r="S1595" s="1"/>
      <c r="T1595" s="1"/>
      <c r="U1595" s="1"/>
      <c r="V1595" s="1"/>
      <c r="W1595" s="1"/>
      <c r="X1595" s="1"/>
      <c r="Y1595" s="1"/>
      <c r="Z1595" s="1"/>
      <c r="AA1595" s="1"/>
      <c r="AB1595" s="1"/>
      <c r="AC1595" s="1"/>
      <c r="AD1595" s="1"/>
      <c r="AE1595" s="1"/>
      <c r="AF1595" s="1"/>
      <c r="AG1595" s="1"/>
      <c r="AH1595" s="1"/>
    </row>
    <row r="1596" ht="12.75" hidden="1" customHeight="1" outlineLevel="1">
      <c r="A1596" s="17">
        <v>41264.0</v>
      </c>
      <c r="B1596" s="1" t="s">
        <v>347</v>
      </c>
      <c r="C1596" s="1" t="s">
        <v>734</v>
      </c>
      <c r="D1596" s="74">
        <v>300.0</v>
      </c>
      <c r="E1596" s="67">
        <v>19.01</v>
      </c>
      <c r="F1596" s="75">
        <v>0.4588888888888889</v>
      </c>
      <c r="G1596" s="67" t="s">
        <v>453</v>
      </c>
      <c r="H1596" s="68">
        <v>1.4</v>
      </c>
      <c r="I1596" s="76"/>
      <c r="J1596" s="67">
        <f t="shared" si="111"/>
        <v>5701.6</v>
      </c>
      <c r="K1596" s="7"/>
      <c r="L1596" s="70"/>
      <c r="M1596" s="79"/>
      <c r="N1596" s="1"/>
      <c r="O1596" s="1"/>
      <c r="P1596" s="1"/>
      <c r="Q1596" s="1"/>
      <c r="R1596" s="1"/>
      <c r="S1596" s="1"/>
      <c r="T1596" s="1"/>
      <c r="U1596" s="1"/>
      <c r="V1596" s="1"/>
      <c r="W1596" s="1"/>
      <c r="X1596" s="1"/>
      <c r="Y1596" s="1"/>
      <c r="Z1596" s="1"/>
      <c r="AA1596" s="1"/>
      <c r="AB1596" s="1"/>
      <c r="AC1596" s="1"/>
      <c r="AD1596" s="1"/>
      <c r="AE1596" s="1"/>
      <c r="AF1596" s="1"/>
      <c r="AG1596" s="1"/>
      <c r="AH1596" s="1"/>
    </row>
    <row r="1597" ht="12.75" hidden="1" customHeight="1" outlineLevel="1">
      <c r="A1597" s="17">
        <v>41264.0</v>
      </c>
      <c r="B1597" s="1" t="s">
        <v>347</v>
      </c>
      <c r="C1597" s="1" t="s">
        <v>354</v>
      </c>
      <c r="D1597" s="74">
        <v>140.0</v>
      </c>
      <c r="E1597" s="67">
        <v>87.7</v>
      </c>
      <c r="F1597" s="75">
        <v>0.45890046296296294</v>
      </c>
      <c r="G1597" s="67" t="s">
        <v>453</v>
      </c>
      <c r="H1597" s="68">
        <v>1.0</v>
      </c>
      <c r="I1597" s="76"/>
      <c r="J1597" s="67">
        <f t="shared" si="111"/>
        <v>12277</v>
      </c>
      <c r="K1597" s="7"/>
      <c r="L1597" s="70"/>
      <c r="M1597" s="79"/>
      <c r="N1597" s="1"/>
      <c r="O1597" s="1"/>
      <c r="P1597" s="1"/>
      <c r="Q1597" s="1"/>
      <c r="R1597" s="1"/>
      <c r="S1597" s="1"/>
      <c r="T1597" s="1"/>
      <c r="U1597" s="1"/>
      <c r="V1597" s="1"/>
      <c r="W1597" s="1"/>
      <c r="X1597" s="1"/>
      <c r="Y1597" s="1"/>
      <c r="Z1597" s="1"/>
      <c r="AA1597" s="1"/>
      <c r="AB1597" s="1"/>
      <c r="AC1597" s="1"/>
      <c r="AD1597" s="1"/>
      <c r="AE1597" s="1"/>
      <c r="AF1597" s="1"/>
      <c r="AG1597" s="1"/>
      <c r="AH1597" s="1"/>
    </row>
    <row r="1598" ht="12.75" hidden="1" customHeight="1" outlineLevel="1">
      <c r="A1598" s="17">
        <v>41264.0</v>
      </c>
      <c r="B1598" s="1" t="s">
        <v>347</v>
      </c>
      <c r="C1598" s="1" t="s">
        <v>790</v>
      </c>
      <c r="D1598" s="74">
        <v>300.0</v>
      </c>
      <c r="E1598" s="67">
        <v>19.81</v>
      </c>
      <c r="F1598" s="75">
        <v>0.47247685185185184</v>
      </c>
      <c r="G1598" s="67" t="s">
        <v>453</v>
      </c>
      <c r="H1598" s="68">
        <v>1.2</v>
      </c>
      <c r="I1598" s="76"/>
      <c r="J1598" s="67">
        <f t="shared" si="111"/>
        <v>5941.8</v>
      </c>
      <c r="K1598" s="7"/>
      <c r="L1598" s="70"/>
      <c r="M1598" s="79"/>
      <c r="N1598" s="1"/>
      <c r="O1598" s="1"/>
      <c r="P1598" s="1"/>
      <c r="Q1598" s="1"/>
      <c r="R1598" s="1"/>
      <c r="S1598" s="1"/>
      <c r="T1598" s="1"/>
      <c r="U1598" s="1"/>
      <c r="V1598" s="1"/>
      <c r="W1598" s="1"/>
      <c r="X1598" s="1"/>
      <c r="Y1598" s="1"/>
      <c r="Z1598" s="1"/>
      <c r="AA1598" s="1"/>
      <c r="AB1598" s="1"/>
      <c r="AC1598" s="1"/>
      <c r="AD1598" s="1"/>
      <c r="AE1598" s="1"/>
      <c r="AF1598" s="1"/>
      <c r="AG1598" s="1"/>
      <c r="AH1598" s="1"/>
    </row>
    <row r="1599" ht="12.75" hidden="1" customHeight="1" outlineLevel="1">
      <c r="A1599" s="17">
        <v>41264.0</v>
      </c>
      <c r="B1599" s="1" t="s">
        <v>347</v>
      </c>
      <c r="C1599" s="1" t="s">
        <v>680</v>
      </c>
      <c r="D1599" s="74">
        <v>109.0</v>
      </c>
      <c r="E1599" s="67">
        <v>27.221</v>
      </c>
      <c r="F1599" s="75">
        <v>0.6324305555555555</v>
      </c>
      <c r="G1599" s="67" t="s">
        <v>453</v>
      </c>
      <c r="H1599" s="68">
        <v>1.0</v>
      </c>
      <c r="I1599" s="76"/>
      <c r="J1599" s="67">
        <f t="shared" si="111"/>
        <v>2966.089</v>
      </c>
      <c r="K1599" s="7"/>
      <c r="L1599" s="70"/>
      <c r="M1599" s="79"/>
      <c r="N1599" s="1"/>
      <c r="O1599" s="1"/>
      <c r="P1599" s="1"/>
      <c r="Q1599" s="1"/>
      <c r="R1599" s="1"/>
      <c r="S1599" s="1"/>
      <c r="T1599" s="1"/>
      <c r="U1599" s="1"/>
      <c r="V1599" s="1"/>
      <c r="W1599" s="1"/>
      <c r="X1599" s="1"/>
      <c r="Y1599" s="1"/>
      <c r="Z1599" s="1"/>
      <c r="AA1599" s="1"/>
      <c r="AB1599" s="1"/>
      <c r="AC1599" s="1"/>
      <c r="AD1599" s="1"/>
      <c r="AE1599" s="1"/>
      <c r="AF1599" s="1"/>
      <c r="AG1599" s="1"/>
      <c r="AH1599" s="1"/>
    </row>
    <row r="1600" ht="12.75" hidden="1" customHeight="1" outlineLevel="1">
      <c r="A1600" s="17">
        <v>41264.0</v>
      </c>
      <c r="B1600" s="1"/>
      <c r="C1600" s="1" t="s">
        <v>339</v>
      </c>
      <c r="D1600" s="74"/>
      <c r="E1600" s="67"/>
      <c r="F1600" s="75"/>
      <c r="G1600" s="67"/>
      <c r="H1600" s="68"/>
      <c r="I1600" s="76"/>
      <c r="J1600" s="67"/>
      <c r="K1600" s="7" t="s">
        <v>845</v>
      </c>
      <c r="L1600" s="77"/>
      <c r="M1600" s="79"/>
      <c r="N1600" s="1"/>
      <c r="O1600" s="1"/>
      <c r="P1600" s="1"/>
      <c r="Q1600" s="1"/>
      <c r="R1600" s="1"/>
      <c r="S1600" s="1"/>
      <c r="T1600" s="1"/>
      <c r="U1600" s="1"/>
      <c r="V1600" s="1"/>
      <c r="W1600" s="1"/>
      <c r="X1600" s="1"/>
      <c r="Y1600" s="1"/>
      <c r="Z1600" s="1"/>
      <c r="AA1600" s="1"/>
      <c r="AB1600" s="1"/>
      <c r="AC1600" s="1"/>
      <c r="AD1600" s="1"/>
      <c r="AE1600" s="1"/>
      <c r="AF1600" s="1"/>
      <c r="AG1600" s="1"/>
      <c r="AH1600" s="1"/>
    </row>
    <row r="1601" ht="12.75" hidden="1" customHeight="1" outlineLevel="1">
      <c r="A1601" s="17">
        <v>41264.0</v>
      </c>
      <c r="B1601" s="1"/>
      <c r="C1601" s="1" t="s">
        <v>429</v>
      </c>
      <c r="D1601" s="74"/>
      <c r="E1601" s="67"/>
      <c r="F1601" s="75"/>
      <c r="G1601" s="67"/>
      <c r="H1601" s="68"/>
      <c r="I1601" s="76"/>
      <c r="J1601" s="67"/>
      <c r="K1601" s="7" t="s">
        <v>679</v>
      </c>
      <c r="L1601" s="77"/>
      <c r="M1601" s="79"/>
      <c r="N1601" s="1"/>
      <c r="O1601" s="1"/>
      <c r="P1601" s="1"/>
      <c r="Q1601" s="1"/>
      <c r="R1601" s="1"/>
      <c r="S1601" s="1"/>
      <c r="T1601" s="1"/>
      <c r="U1601" s="1"/>
      <c r="V1601" s="1"/>
      <c r="W1601" s="1"/>
      <c r="X1601" s="1"/>
      <c r="Y1601" s="1"/>
      <c r="Z1601" s="1"/>
      <c r="AA1601" s="1"/>
      <c r="AB1601" s="1"/>
      <c r="AC1601" s="1"/>
      <c r="AD1601" s="1"/>
      <c r="AE1601" s="1"/>
      <c r="AF1601" s="1"/>
      <c r="AG1601" s="1"/>
      <c r="AH1601" s="1"/>
    </row>
    <row r="1602" ht="12.75" hidden="1" customHeight="1" outlineLevel="1">
      <c r="A1602" s="17">
        <v>41264.0</v>
      </c>
      <c r="B1602" s="1"/>
      <c r="C1602" s="1" t="s">
        <v>431</v>
      </c>
      <c r="D1602" s="74"/>
      <c r="E1602" s="67"/>
      <c r="F1602" s="75"/>
      <c r="G1602" s="67"/>
      <c r="H1602" s="68"/>
      <c r="I1602" s="76"/>
      <c r="J1602" s="67"/>
      <c r="K1602" s="7" t="s">
        <v>817</v>
      </c>
      <c r="L1602" s="77"/>
      <c r="M1602" s="79"/>
      <c r="N1602" s="1"/>
      <c r="O1602" s="1"/>
      <c r="P1602" s="1"/>
      <c r="Q1602" s="1"/>
      <c r="R1602" s="1"/>
      <c r="S1602" s="1"/>
      <c r="T1602" s="1"/>
      <c r="U1602" s="1"/>
      <c r="V1602" s="1"/>
      <c r="W1602" s="1"/>
      <c r="X1602" s="1"/>
      <c r="Y1602" s="1"/>
      <c r="Z1602" s="1"/>
      <c r="AA1602" s="1"/>
      <c r="AB1602" s="1"/>
      <c r="AC1602" s="1"/>
      <c r="AD1602" s="1"/>
      <c r="AE1602" s="1"/>
      <c r="AF1602" s="1"/>
      <c r="AG1602" s="1"/>
      <c r="AH1602" s="1"/>
    </row>
    <row r="1603" ht="12.75" hidden="1" customHeight="1" outlineLevel="1">
      <c r="A1603" s="17">
        <v>41264.0</v>
      </c>
      <c r="B1603" s="1"/>
      <c r="C1603" s="1" t="s">
        <v>433</v>
      </c>
      <c r="D1603" s="74"/>
      <c r="E1603" s="67"/>
      <c r="F1603" s="75"/>
      <c r="G1603" s="67"/>
      <c r="H1603" s="68"/>
      <c r="I1603" s="76"/>
      <c r="J1603" s="67"/>
      <c r="K1603" s="1" t="s">
        <v>434</v>
      </c>
      <c r="L1603" s="77"/>
      <c r="M1603" s="79"/>
      <c r="N1603" s="1"/>
      <c r="O1603" s="1"/>
      <c r="P1603" s="1"/>
      <c r="Q1603" s="1"/>
      <c r="R1603" s="1"/>
      <c r="S1603" s="1"/>
      <c r="T1603" s="1"/>
      <c r="U1603" s="1"/>
      <c r="V1603" s="1"/>
      <c r="W1603" s="1"/>
      <c r="X1603" s="1"/>
      <c r="Y1603" s="1"/>
      <c r="Z1603" s="1"/>
      <c r="AA1603" s="1"/>
      <c r="AB1603" s="1"/>
      <c r="AC1603" s="1"/>
      <c r="AD1603" s="1"/>
      <c r="AE1603" s="1"/>
      <c r="AF1603" s="1"/>
      <c r="AG1603" s="1"/>
      <c r="AH1603" s="1"/>
    </row>
    <row r="1604" ht="12.75" hidden="1" customHeight="1" outlineLevel="1">
      <c r="A1604" s="17">
        <v>41264.0</v>
      </c>
      <c r="B1604" s="1"/>
      <c r="C1604" s="1" t="s">
        <v>435</v>
      </c>
      <c r="D1604" s="74"/>
      <c r="E1604" s="67"/>
      <c r="F1604" s="75"/>
      <c r="G1604" s="67"/>
      <c r="H1604" s="68"/>
      <c r="I1604" s="76"/>
      <c r="J1604" s="67"/>
      <c r="K1604" s="7" t="s">
        <v>818</v>
      </c>
      <c r="L1604" s="77"/>
      <c r="M1604" s="79"/>
      <c r="N1604" s="1"/>
      <c r="O1604" s="1"/>
      <c r="P1604" s="1"/>
      <c r="Q1604" s="1"/>
      <c r="R1604" s="1"/>
      <c r="S1604" s="1"/>
      <c r="T1604" s="1"/>
      <c r="U1604" s="1"/>
      <c r="V1604" s="1"/>
      <c r="W1604" s="1"/>
      <c r="X1604" s="1"/>
      <c r="Y1604" s="1"/>
      <c r="Z1604" s="1"/>
      <c r="AA1604" s="1"/>
      <c r="AB1604" s="1"/>
      <c r="AC1604" s="1"/>
      <c r="AD1604" s="1"/>
      <c r="AE1604" s="1"/>
      <c r="AF1604" s="1"/>
      <c r="AG1604" s="1"/>
      <c r="AH1604" s="1"/>
    </row>
    <row r="1605" ht="12.75" hidden="1" customHeight="1" outlineLevel="1">
      <c r="A1605" s="17">
        <v>41267.0</v>
      </c>
      <c r="B1605" s="1"/>
      <c r="C1605" s="1" t="s">
        <v>339</v>
      </c>
      <c r="D1605" s="74"/>
      <c r="E1605" s="67"/>
      <c r="F1605" s="75"/>
      <c r="G1605" s="67"/>
      <c r="H1605" s="68"/>
      <c r="I1605" s="76"/>
      <c r="J1605" s="67"/>
      <c r="K1605" s="7" t="s">
        <v>846</v>
      </c>
      <c r="L1605" s="77"/>
      <c r="M1605" s="79"/>
      <c r="N1605" s="1"/>
      <c r="O1605" s="1"/>
      <c r="P1605" s="1"/>
      <c r="Q1605" s="1"/>
      <c r="R1605" s="1"/>
      <c r="S1605" s="1"/>
      <c r="T1605" s="1"/>
      <c r="U1605" s="1"/>
      <c r="V1605" s="1"/>
      <c r="W1605" s="1"/>
      <c r="X1605" s="1"/>
      <c r="Y1605" s="1"/>
      <c r="Z1605" s="1"/>
      <c r="AA1605" s="1"/>
      <c r="AB1605" s="1"/>
      <c r="AC1605" s="1"/>
      <c r="AD1605" s="1"/>
      <c r="AE1605" s="1"/>
      <c r="AF1605" s="1"/>
      <c r="AG1605" s="1"/>
      <c r="AH1605" s="1"/>
    </row>
    <row r="1606" ht="12.75" hidden="1" customHeight="1" outlineLevel="1">
      <c r="A1606" s="17">
        <v>41267.0</v>
      </c>
      <c r="B1606" s="1"/>
      <c r="C1606" s="1" t="s">
        <v>429</v>
      </c>
      <c r="D1606" s="74"/>
      <c r="E1606" s="67"/>
      <c r="F1606" s="75"/>
      <c r="G1606" s="67"/>
      <c r="H1606" s="68"/>
      <c r="I1606" s="76"/>
      <c r="J1606" s="67"/>
      <c r="K1606" s="7" t="s">
        <v>679</v>
      </c>
      <c r="L1606" s="77"/>
      <c r="M1606" s="79"/>
      <c r="N1606" s="1"/>
      <c r="O1606" s="1"/>
      <c r="P1606" s="1"/>
      <c r="Q1606" s="1"/>
      <c r="R1606" s="1"/>
      <c r="S1606" s="1"/>
      <c r="T1606" s="1"/>
      <c r="U1606" s="1"/>
      <c r="V1606" s="1"/>
      <c r="W1606" s="1"/>
      <c r="X1606" s="1"/>
      <c r="Y1606" s="1"/>
      <c r="Z1606" s="1"/>
      <c r="AA1606" s="1"/>
      <c r="AB1606" s="1"/>
      <c r="AC1606" s="1"/>
      <c r="AD1606" s="1"/>
      <c r="AE1606" s="1"/>
      <c r="AF1606" s="1"/>
      <c r="AG1606" s="1"/>
      <c r="AH1606" s="1"/>
    </row>
    <row r="1607" ht="12.75" hidden="1" customHeight="1" outlineLevel="1">
      <c r="A1607" s="17">
        <v>41267.0</v>
      </c>
      <c r="B1607" s="1"/>
      <c r="C1607" s="1" t="s">
        <v>431</v>
      </c>
      <c r="D1607" s="74"/>
      <c r="E1607" s="67"/>
      <c r="F1607" s="75"/>
      <c r="G1607" s="67"/>
      <c r="H1607" s="68"/>
      <c r="I1607" s="76"/>
      <c r="J1607" s="67"/>
      <c r="K1607" s="7" t="s">
        <v>817</v>
      </c>
      <c r="L1607" s="77"/>
      <c r="M1607" s="79"/>
      <c r="N1607" s="1"/>
      <c r="O1607" s="1"/>
      <c r="P1607" s="1"/>
      <c r="Q1607" s="1"/>
      <c r="R1607" s="1"/>
      <c r="S1607" s="1"/>
      <c r="T1607" s="1"/>
      <c r="U1607" s="1"/>
      <c r="V1607" s="1"/>
      <c r="W1607" s="1"/>
      <c r="X1607" s="1"/>
      <c r="Y1607" s="1"/>
      <c r="Z1607" s="1"/>
      <c r="AA1607" s="1"/>
      <c r="AB1607" s="1"/>
      <c r="AC1607" s="1"/>
      <c r="AD1607" s="1"/>
      <c r="AE1607" s="1"/>
      <c r="AF1607" s="1"/>
      <c r="AG1607" s="1"/>
      <c r="AH1607" s="1"/>
    </row>
    <row r="1608" ht="12.75" hidden="1" customHeight="1" outlineLevel="1">
      <c r="A1608" s="17">
        <v>41267.0</v>
      </c>
      <c r="B1608" s="1"/>
      <c r="C1608" s="1" t="s">
        <v>433</v>
      </c>
      <c r="D1608" s="74"/>
      <c r="E1608" s="67"/>
      <c r="F1608" s="75"/>
      <c r="G1608" s="67"/>
      <c r="H1608" s="68"/>
      <c r="I1608" s="76"/>
      <c r="J1608" s="67"/>
      <c r="K1608" s="7" t="s">
        <v>434</v>
      </c>
      <c r="L1608" s="77"/>
      <c r="M1608" s="79"/>
      <c r="N1608" s="1"/>
      <c r="O1608" s="1"/>
      <c r="P1608" s="1"/>
      <c r="Q1608" s="1"/>
      <c r="R1608" s="1"/>
      <c r="S1608" s="1"/>
      <c r="T1608" s="1"/>
      <c r="U1608" s="1"/>
      <c r="V1608" s="1"/>
      <c r="W1608" s="1"/>
      <c r="X1608" s="1"/>
      <c r="Y1608" s="1"/>
      <c r="Z1608" s="1"/>
      <c r="AA1608" s="1"/>
      <c r="AB1608" s="1"/>
      <c r="AC1608" s="1"/>
      <c r="AD1608" s="1"/>
      <c r="AE1608" s="1"/>
      <c r="AF1608" s="1"/>
      <c r="AG1608" s="1"/>
      <c r="AH1608" s="1"/>
    </row>
    <row r="1609" ht="12.75" hidden="1" customHeight="1" outlineLevel="1">
      <c r="A1609" s="17">
        <v>41267.0</v>
      </c>
      <c r="B1609" s="1"/>
      <c r="C1609" s="1" t="s">
        <v>435</v>
      </c>
      <c r="D1609" s="74"/>
      <c r="E1609" s="67"/>
      <c r="F1609" s="75"/>
      <c r="G1609" s="67"/>
      <c r="H1609" s="68"/>
      <c r="I1609" s="76"/>
      <c r="J1609" s="67"/>
      <c r="K1609" s="7" t="s">
        <v>818</v>
      </c>
      <c r="L1609" s="77"/>
      <c r="M1609" s="79"/>
      <c r="N1609" s="1"/>
      <c r="O1609" s="1"/>
      <c r="P1609" s="1"/>
      <c r="Q1609" s="1"/>
      <c r="R1609" s="1"/>
      <c r="S1609" s="1"/>
      <c r="T1609" s="1"/>
      <c r="U1609" s="1"/>
      <c r="V1609" s="1"/>
      <c r="W1609" s="1"/>
      <c r="X1609" s="1"/>
      <c r="Y1609" s="1"/>
      <c r="Z1609" s="1"/>
      <c r="AA1609" s="1"/>
      <c r="AB1609" s="1"/>
      <c r="AC1609" s="1"/>
      <c r="AD1609" s="1"/>
      <c r="AE1609" s="1"/>
      <c r="AF1609" s="1"/>
      <c r="AG1609" s="1"/>
      <c r="AH1609" s="1"/>
    </row>
    <row r="1610" ht="12.75" hidden="1" customHeight="1" outlineLevel="1">
      <c r="A1610" s="17">
        <v>41269.0</v>
      </c>
      <c r="B1610" s="1" t="s">
        <v>343</v>
      </c>
      <c r="C1610" s="1" t="s">
        <v>847</v>
      </c>
      <c r="D1610" s="74">
        <v>200.0</v>
      </c>
      <c r="E1610" s="67">
        <v>54.2</v>
      </c>
      <c r="F1610" s="75">
        <v>0.40862268518518513</v>
      </c>
      <c r="G1610" s="67" t="s">
        <v>453</v>
      </c>
      <c r="H1610" s="68">
        <v>1.0</v>
      </c>
      <c r="I1610" s="76"/>
      <c r="J1610" s="67">
        <f t="shared" ref="J1610:J1613" si="112">IF(B1610="SLD",D1610*E1610,-D1610*E1610)-H1610</f>
        <v>-10841</v>
      </c>
      <c r="K1610" s="7"/>
      <c r="L1610" s="70"/>
      <c r="M1610" s="79"/>
      <c r="N1610" s="1"/>
      <c r="O1610" s="1"/>
      <c r="P1610" s="1"/>
      <c r="Q1610" s="1"/>
      <c r="R1610" s="1"/>
      <c r="S1610" s="1"/>
      <c r="T1610" s="1"/>
      <c r="U1610" s="1"/>
      <c r="V1610" s="1"/>
      <c r="W1610" s="1"/>
      <c r="X1610" s="1"/>
      <c r="Y1610" s="1"/>
      <c r="Z1610" s="1"/>
      <c r="AA1610" s="1"/>
      <c r="AB1610" s="1"/>
      <c r="AC1610" s="1"/>
      <c r="AD1610" s="1"/>
      <c r="AE1610" s="1"/>
      <c r="AF1610" s="1"/>
      <c r="AG1610" s="1"/>
      <c r="AH1610" s="1"/>
    </row>
    <row r="1611" ht="12.75" hidden="1" customHeight="1" outlineLevel="1">
      <c r="A1611" s="17">
        <v>41269.0</v>
      </c>
      <c r="B1611" s="1" t="s">
        <v>343</v>
      </c>
      <c r="C1611" s="1" t="s">
        <v>423</v>
      </c>
      <c r="D1611" s="74">
        <v>200.0</v>
      </c>
      <c r="E1611" s="67">
        <v>41.34</v>
      </c>
      <c r="F1611" s="75">
        <v>0.4095486111111111</v>
      </c>
      <c r="G1611" s="67" t="s">
        <v>453</v>
      </c>
      <c r="H1611" s="68">
        <v>1.0</v>
      </c>
      <c r="I1611" s="76"/>
      <c r="J1611" s="67">
        <f t="shared" si="112"/>
        <v>-8269</v>
      </c>
      <c r="K1611" s="7"/>
      <c r="L1611" s="70"/>
      <c r="M1611" s="79"/>
      <c r="N1611" s="1"/>
      <c r="O1611" s="1"/>
      <c r="P1611" s="1"/>
      <c r="Q1611" s="1"/>
      <c r="R1611" s="1"/>
      <c r="S1611" s="1"/>
      <c r="T1611" s="1"/>
      <c r="U1611" s="1"/>
      <c r="V1611" s="1"/>
      <c r="W1611" s="1"/>
      <c r="X1611" s="1"/>
      <c r="Y1611" s="1"/>
      <c r="Z1611" s="1"/>
      <c r="AA1611" s="1"/>
      <c r="AB1611" s="1"/>
      <c r="AC1611" s="1"/>
      <c r="AD1611" s="1"/>
      <c r="AE1611" s="1"/>
      <c r="AF1611" s="1"/>
      <c r="AG1611" s="1"/>
      <c r="AH1611" s="1"/>
    </row>
    <row r="1612" ht="12.75" hidden="1" customHeight="1" outlineLevel="1">
      <c r="A1612" s="17">
        <v>41269.0</v>
      </c>
      <c r="B1612" s="1" t="s">
        <v>347</v>
      </c>
      <c r="C1612" s="1" t="s">
        <v>354</v>
      </c>
      <c r="D1612" s="74">
        <v>200.0</v>
      </c>
      <c r="E1612" s="67">
        <v>84.91</v>
      </c>
      <c r="F1612" s="75">
        <v>0.4101504629629629</v>
      </c>
      <c r="G1612" s="67" t="s">
        <v>453</v>
      </c>
      <c r="H1612" s="68">
        <v>1.0</v>
      </c>
      <c r="I1612" s="76"/>
      <c r="J1612" s="67">
        <f t="shared" si="112"/>
        <v>16981</v>
      </c>
      <c r="K1612" s="7"/>
      <c r="L1612" s="70"/>
      <c r="M1612" s="79"/>
      <c r="N1612" s="1"/>
      <c r="O1612" s="1"/>
      <c r="P1612" s="1"/>
      <c r="Q1612" s="1"/>
      <c r="R1612" s="1"/>
      <c r="S1612" s="1"/>
      <c r="T1612" s="1"/>
      <c r="U1612" s="1"/>
      <c r="V1612" s="1"/>
      <c r="W1612" s="1"/>
      <c r="X1612" s="1"/>
      <c r="Y1612" s="1"/>
      <c r="Z1612" s="1"/>
      <c r="AA1612" s="1"/>
      <c r="AB1612" s="1"/>
      <c r="AC1612" s="1"/>
      <c r="AD1612" s="1"/>
      <c r="AE1612" s="1"/>
      <c r="AF1612" s="1"/>
      <c r="AG1612" s="1"/>
      <c r="AH1612" s="1"/>
    </row>
    <row r="1613" ht="12.75" hidden="1" customHeight="1" outlineLevel="1">
      <c r="A1613" s="17">
        <v>41269.0</v>
      </c>
      <c r="B1613" s="1" t="s">
        <v>343</v>
      </c>
      <c r="C1613" s="1" t="s">
        <v>734</v>
      </c>
      <c r="D1613" s="74">
        <v>300.0</v>
      </c>
      <c r="E1613" s="67">
        <v>19.01</v>
      </c>
      <c r="F1613" s="75">
        <v>0.4244560185185185</v>
      </c>
      <c r="G1613" s="67" t="s">
        <v>453</v>
      </c>
      <c r="H1613" s="68">
        <v>1.5</v>
      </c>
      <c r="I1613" s="76"/>
      <c r="J1613" s="67">
        <f t="shared" si="112"/>
        <v>-5704.5</v>
      </c>
      <c r="K1613" s="7"/>
      <c r="L1613" s="70"/>
      <c r="M1613" s="79"/>
      <c r="N1613" s="1"/>
      <c r="O1613" s="1"/>
      <c r="P1613" s="1"/>
      <c r="Q1613" s="1"/>
      <c r="R1613" s="1"/>
      <c r="S1613" s="1"/>
      <c r="T1613" s="1"/>
      <c r="U1613" s="1"/>
      <c r="V1613" s="1"/>
      <c r="W1613" s="1"/>
      <c r="X1613" s="1"/>
      <c r="Y1613" s="1"/>
      <c r="Z1613" s="1"/>
      <c r="AA1613" s="1"/>
      <c r="AB1613" s="1"/>
      <c r="AC1613" s="1"/>
      <c r="AD1613" s="1"/>
      <c r="AE1613" s="1"/>
      <c r="AF1613" s="1"/>
      <c r="AG1613" s="1"/>
      <c r="AH1613" s="1"/>
    </row>
    <row r="1614" ht="12.75" hidden="1" customHeight="1" outlineLevel="1">
      <c r="A1614" s="17">
        <v>41269.0</v>
      </c>
      <c r="B1614" s="1"/>
      <c r="C1614" s="1" t="s">
        <v>339</v>
      </c>
      <c r="D1614" s="74"/>
      <c r="E1614" s="67"/>
      <c r="F1614" s="75"/>
      <c r="G1614" s="67"/>
      <c r="H1614" s="68"/>
      <c r="I1614" s="76"/>
      <c r="J1614" s="67"/>
      <c r="K1614" s="7" t="s">
        <v>848</v>
      </c>
      <c r="L1614" s="77"/>
      <c r="M1614" s="79"/>
      <c r="N1614" s="1"/>
      <c r="O1614" s="1"/>
      <c r="P1614" s="1"/>
      <c r="Q1614" s="1"/>
      <c r="R1614" s="1"/>
      <c r="S1614" s="1"/>
      <c r="T1614" s="1"/>
      <c r="U1614" s="1"/>
      <c r="V1614" s="1"/>
      <c r="W1614" s="1"/>
      <c r="X1614" s="1"/>
      <c r="Y1614" s="1"/>
      <c r="Z1614" s="1"/>
      <c r="AA1614" s="1"/>
      <c r="AB1614" s="1"/>
      <c r="AC1614" s="1"/>
      <c r="AD1614" s="1"/>
      <c r="AE1614" s="1"/>
      <c r="AF1614" s="1"/>
      <c r="AG1614" s="1"/>
      <c r="AH1614" s="1"/>
    </row>
    <row r="1615" ht="12.75" hidden="1" customHeight="1" outlineLevel="1">
      <c r="A1615" s="17">
        <v>41269.0</v>
      </c>
      <c r="B1615" s="1"/>
      <c r="C1615" s="1" t="s">
        <v>429</v>
      </c>
      <c r="D1615" s="74"/>
      <c r="E1615" s="67"/>
      <c r="F1615" s="75"/>
      <c r="G1615" s="67"/>
      <c r="H1615" s="68"/>
      <c r="I1615" s="76"/>
      <c r="J1615" s="67"/>
      <c r="K1615" s="7" t="s">
        <v>679</v>
      </c>
      <c r="L1615" s="77"/>
      <c r="M1615" s="79"/>
      <c r="N1615" s="1"/>
      <c r="O1615" s="1"/>
      <c r="P1615" s="1"/>
      <c r="Q1615" s="1"/>
      <c r="R1615" s="1"/>
      <c r="S1615" s="1"/>
      <c r="T1615" s="1"/>
      <c r="U1615" s="1"/>
      <c r="V1615" s="1"/>
      <c r="W1615" s="1"/>
      <c r="X1615" s="1"/>
      <c r="Y1615" s="1"/>
      <c r="Z1615" s="1"/>
      <c r="AA1615" s="1"/>
      <c r="AB1615" s="1"/>
      <c r="AC1615" s="1"/>
      <c r="AD1615" s="1"/>
      <c r="AE1615" s="1"/>
      <c r="AF1615" s="1"/>
      <c r="AG1615" s="1"/>
      <c r="AH1615" s="1"/>
    </row>
    <row r="1616" ht="12.75" hidden="1" customHeight="1" outlineLevel="1">
      <c r="A1616" s="17">
        <v>41269.0</v>
      </c>
      <c r="B1616" s="1"/>
      <c r="C1616" s="1" t="s">
        <v>431</v>
      </c>
      <c r="D1616" s="74"/>
      <c r="E1616" s="67"/>
      <c r="F1616" s="75"/>
      <c r="G1616" s="67"/>
      <c r="H1616" s="68"/>
      <c r="I1616" s="76"/>
      <c r="J1616" s="67"/>
      <c r="K1616" s="7" t="s">
        <v>817</v>
      </c>
      <c r="L1616" s="77"/>
      <c r="M1616" s="79"/>
      <c r="N1616" s="1"/>
      <c r="O1616" s="1"/>
      <c r="P1616" s="1"/>
      <c r="Q1616" s="1"/>
      <c r="R1616" s="1"/>
      <c r="S1616" s="1"/>
      <c r="T1616" s="1"/>
      <c r="U1616" s="1"/>
      <c r="V1616" s="1"/>
      <c r="W1616" s="1"/>
      <c r="X1616" s="1"/>
      <c r="Y1616" s="1"/>
      <c r="Z1616" s="1"/>
      <c r="AA1616" s="1"/>
      <c r="AB1616" s="1"/>
      <c r="AC1616" s="1"/>
      <c r="AD1616" s="1"/>
      <c r="AE1616" s="1"/>
      <c r="AF1616" s="1"/>
      <c r="AG1616" s="1"/>
      <c r="AH1616" s="1"/>
    </row>
    <row r="1617" ht="12.75" hidden="1" customHeight="1" outlineLevel="1">
      <c r="A1617" s="17">
        <v>41269.0</v>
      </c>
      <c r="B1617" s="1"/>
      <c r="C1617" s="1" t="s">
        <v>433</v>
      </c>
      <c r="D1617" s="74"/>
      <c r="E1617" s="67"/>
      <c r="F1617" s="75"/>
      <c r="G1617" s="67"/>
      <c r="H1617" s="68"/>
      <c r="I1617" s="76"/>
      <c r="J1617" s="67"/>
      <c r="K1617" s="1" t="s">
        <v>434</v>
      </c>
      <c r="L1617" s="77"/>
      <c r="M1617" s="79"/>
      <c r="N1617" s="1"/>
      <c r="O1617" s="1"/>
      <c r="P1617" s="1"/>
      <c r="Q1617" s="1"/>
      <c r="R1617" s="1"/>
      <c r="S1617" s="1"/>
      <c r="T1617" s="1"/>
      <c r="U1617" s="1"/>
      <c r="V1617" s="1"/>
      <c r="W1617" s="1"/>
      <c r="X1617" s="1"/>
      <c r="Y1617" s="1"/>
      <c r="Z1617" s="1"/>
      <c r="AA1617" s="1"/>
      <c r="AB1617" s="1"/>
      <c r="AC1617" s="1"/>
      <c r="AD1617" s="1"/>
      <c r="AE1617" s="1"/>
      <c r="AF1617" s="1"/>
      <c r="AG1617" s="1"/>
      <c r="AH1617" s="1"/>
    </row>
    <row r="1618" ht="12.75" hidden="1" customHeight="1" outlineLevel="1">
      <c r="A1618" s="17">
        <v>41269.0</v>
      </c>
      <c r="B1618" s="1"/>
      <c r="C1618" s="1" t="s">
        <v>435</v>
      </c>
      <c r="D1618" s="74"/>
      <c r="E1618" s="67"/>
      <c r="F1618" s="75"/>
      <c r="G1618" s="67"/>
      <c r="H1618" s="68"/>
      <c r="I1618" s="76"/>
      <c r="J1618" s="67"/>
      <c r="K1618" s="7" t="s">
        <v>818</v>
      </c>
      <c r="L1618" s="77"/>
      <c r="M1618" s="79"/>
      <c r="N1618" s="1"/>
      <c r="O1618" s="1"/>
      <c r="P1618" s="1"/>
      <c r="Q1618" s="1"/>
      <c r="R1618" s="1"/>
      <c r="S1618" s="1"/>
      <c r="T1618" s="1"/>
      <c r="U1618" s="1"/>
      <c r="V1618" s="1"/>
      <c r="W1618" s="1"/>
      <c r="X1618" s="1"/>
      <c r="Y1618" s="1"/>
      <c r="Z1618" s="1"/>
      <c r="AA1618" s="1"/>
      <c r="AB1618" s="1"/>
      <c r="AC1618" s="1"/>
      <c r="AD1618" s="1"/>
      <c r="AE1618" s="1"/>
      <c r="AF1618" s="1"/>
      <c r="AG1618" s="1"/>
      <c r="AH1618" s="1"/>
    </row>
    <row r="1619" ht="12.75" hidden="1" customHeight="1" outlineLevel="1">
      <c r="A1619" s="17">
        <v>41270.0</v>
      </c>
      <c r="B1619" s="1" t="s">
        <v>347</v>
      </c>
      <c r="C1619" s="1" t="s">
        <v>344</v>
      </c>
      <c r="D1619" s="74">
        <v>200.0</v>
      </c>
      <c r="E1619" s="67">
        <v>34.74</v>
      </c>
      <c r="F1619" s="75">
        <v>0.48009259259259257</v>
      </c>
      <c r="G1619" s="67" t="s">
        <v>453</v>
      </c>
      <c r="H1619" s="68">
        <v>1.0</v>
      </c>
      <c r="I1619" s="76"/>
      <c r="J1619" s="67">
        <f t="shared" ref="J1619:J1628" si="113">IF(B1619="SLD",D1619*E1619,-D1619*E1619)-H1619</f>
        <v>6947</v>
      </c>
      <c r="K1619" s="7"/>
      <c r="L1619" s="70"/>
      <c r="M1619" s="79"/>
      <c r="N1619" s="1"/>
      <c r="O1619" s="1"/>
      <c r="P1619" s="1"/>
      <c r="Q1619" s="1"/>
      <c r="R1619" s="1"/>
      <c r="S1619" s="1"/>
      <c r="T1619" s="1"/>
      <c r="U1619" s="1"/>
      <c r="V1619" s="1"/>
      <c r="W1619" s="1"/>
      <c r="X1619" s="1"/>
      <c r="Y1619" s="1"/>
      <c r="Z1619" s="1"/>
      <c r="AA1619" s="1"/>
      <c r="AB1619" s="1"/>
      <c r="AC1619" s="1"/>
      <c r="AD1619" s="1"/>
      <c r="AE1619" s="1"/>
      <c r="AF1619" s="1"/>
      <c r="AG1619" s="1"/>
      <c r="AH1619" s="1"/>
    </row>
    <row r="1620" ht="12.75" hidden="1" customHeight="1" outlineLevel="1">
      <c r="A1620" s="17">
        <v>41270.0</v>
      </c>
      <c r="B1620" s="1" t="s">
        <v>347</v>
      </c>
      <c r="C1620" s="1" t="s">
        <v>605</v>
      </c>
      <c r="D1620" s="74">
        <v>100.0</v>
      </c>
      <c r="E1620" s="67">
        <v>50.91</v>
      </c>
      <c r="F1620" s="75">
        <v>0.48039351851851847</v>
      </c>
      <c r="G1620" s="67" t="s">
        <v>453</v>
      </c>
      <c r="H1620" s="68">
        <v>1.0</v>
      </c>
      <c r="I1620" s="76"/>
      <c r="J1620" s="67">
        <f t="shared" si="113"/>
        <v>5090</v>
      </c>
      <c r="K1620" s="7"/>
      <c r="L1620" s="70"/>
      <c r="M1620" s="79"/>
      <c r="N1620" s="1"/>
      <c r="O1620" s="1"/>
      <c r="P1620" s="1"/>
      <c r="Q1620" s="1"/>
      <c r="R1620" s="1"/>
      <c r="S1620" s="1"/>
      <c r="T1620" s="1"/>
      <c r="U1620" s="1"/>
      <c r="V1620" s="1"/>
      <c r="W1620" s="1"/>
      <c r="X1620" s="1"/>
      <c r="Y1620" s="1"/>
      <c r="Z1620" s="1"/>
      <c r="AA1620" s="1"/>
      <c r="AB1620" s="1"/>
      <c r="AC1620" s="1"/>
      <c r="AD1620" s="1"/>
      <c r="AE1620" s="1"/>
      <c r="AF1620" s="1"/>
      <c r="AG1620" s="1"/>
      <c r="AH1620" s="1"/>
    </row>
    <row r="1621" ht="12.75" hidden="1" customHeight="1" outlineLevel="1">
      <c r="A1621" s="17">
        <v>41270.0</v>
      </c>
      <c r="B1621" s="1" t="s">
        <v>343</v>
      </c>
      <c r="C1621" s="1" t="s">
        <v>619</v>
      </c>
      <c r="D1621" s="74">
        <v>175.0</v>
      </c>
      <c r="E1621" s="67">
        <v>35.85</v>
      </c>
      <c r="F1621" s="75">
        <v>0.5600925925925926</v>
      </c>
      <c r="G1621" s="67" t="s">
        <v>453</v>
      </c>
      <c r="H1621" s="68">
        <v>1.0</v>
      </c>
      <c r="I1621" s="76"/>
      <c r="J1621" s="67">
        <f t="shared" si="113"/>
        <v>-6274.75</v>
      </c>
      <c r="K1621" s="7"/>
      <c r="L1621" s="70"/>
      <c r="M1621" s="79"/>
      <c r="N1621" s="1"/>
      <c r="O1621" s="1"/>
      <c r="P1621" s="1"/>
      <c r="Q1621" s="1"/>
      <c r="R1621" s="1"/>
      <c r="S1621" s="1"/>
      <c r="T1621" s="1"/>
      <c r="U1621" s="1"/>
      <c r="V1621" s="1"/>
      <c r="W1621" s="1"/>
      <c r="X1621" s="1"/>
      <c r="Y1621" s="1"/>
      <c r="Z1621" s="1"/>
      <c r="AA1621" s="1"/>
      <c r="AB1621" s="1"/>
      <c r="AC1621" s="1"/>
      <c r="AD1621" s="1"/>
      <c r="AE1621" s="1"/>
      <c r="AF1621" s="1"/>
      <c r="AG1621" s="1"/>
      <c r="AH1621" s="1"/>
    </row>
    <row r="1622" ht="12.75" hidden="1" customHeight="1" outlineLevel="1">
      <c r="A1622" s="17">
        <v>41270.0</v>
      </c>
      <c r="B1622" s="1" t="s">
        <v>347</v>
      </c>
      <c r="C1622" s="1" t="s">
        <v>734</v>
      </c>
      <c r="D1622" s="74">
        <v>300.0</v>
      </c>
      <c r="E1622" s="67">
        <v>18.7</v>
      </c>
      <c r="F1622" s="75">
        <v>0.5963310185185186</v>
      </c>
      <c r="G1622" s="67" t="s">
        <v>453</v>
      </c>
      <c r="H1622" s="68">
        <v>1.5</v>
      </c>
      <c r="I1622" s="76"/>
      <c r="J1622" s="67">
        <f t="shared" si="113"/>
        <v>5608.5</v>
      </c>
      <c r="K1622" s="7"/>
      <c r="L1622" s="70"/>
      <c r="M1622" s="79"/>
      <c r="N1622" s="1"/>
      <c r="O1622" s="1"/>
      <c r="P1622" s="1"/>
      <c r="Q1622" s="1"/>
      <c r="R1622" s="1"/>
      <c r="S1622" s="1"/>
      <c r="T1622" s="1"/>
      <c r="U1622" s="1"/>
      <c r="V1622" s="1"/>
      <c r="W1622" s="1"/>
      <c r="X1622" s="1"/>
      <c r="Y1622" s="1"/>
      <c r="Z1622" s="1"/>
      <c r="AA1622" s="1"/>
      <c r="AB1622" s="1"/>
      <c r="AC1622" s="1"/>
      <c r="AD1622" s="1"/>
      <c r="AE1622" s="1"/>
      <c r="AF1622" s="1"/>
      <c r="AG1622" s="1"/>
      <c r="AH1622" s="1"/>
    </row>
    <row r="1623" ht="12.75" hidden="1" customHeight="1" outlineLevel="1">
      <c r="A1623" s="17">
        <v>41270.0</v>
      </c>
      <c r="B1623" s="1" t="s">
        <v>347</v>
      </c>
      <c r="C1623" s="1" t="s">
        <v>734</v>
      </c>
      <c r="D1623" s="74">
        <v>300.0</v>
      </c>
      <c r="E1623" s="67">
        <v>18.74</v>
      </c>
      <c r="F1623" s="75">
        <v>0.5981018518518518</v>
      </c>
      <c r="G1623" s="67" t="s">
        <v>453</v>
      </c>
      <c r="H1623" s="68">
        <v>1.5</v>
      </c>
      <c r="I1623" s="76"/>
      <c r="J1623" s="67">
        <f t="shared" si="113"/>
        <v>5620.5</v>
      </c>
      <c r="K1623" s="7"/>
      <c r="L1623" s="70"/>
      <c r="M1623" s="79"/>
      <c r="N1623" s="1"/>
      <c r="O1623" s="1"/>
      <c r="P1623" s="1"/>
      <c r="Q1623" s="1"/>
      <c r="R1623" s="1"/>
      <c r="S1623" s="1"/>
      <c r="T1623" s="1"/>
      <c r="U1623" s="1"/>
      <c r="V1623" s="1"/>
      <c r="W1623" s="1"/>
      <c r="X1623" s="1"/>
      <c r="Y1623" s="1"/>
      <c r="Z1623" s="1"/>
      <c r="AA1623" s="1"/>
      <c r="AB1623" s="1"/>
      <c r="AC1623" s="1"/>
      <c r="AD1623" s="1"/>
      <c r="AE1623" s="1"/>
      <c r="AF1623" s="1"/>
      <c r="AG1623" s="1"/>
      <c r="AH1623" s="1"/>
    </row>
    <row r="1624" ht="12.75" hidden="1" customHeight="1" outlineLevel="1">
      <c r="A1624" s="17">
        <v>41270.0</v>
      </c>
      <c r="B1624" s="1" t="s">
        <v>347</v>
      </c>
      <c r="C1624" s="1" t="s">
        <v>681</v>
      </c>
      <c r="D1624" s="74">
        <v>200.0</v>
      </c>
      <c r="E1624" s="67">
        <v>16.69</v>
      </c>
      <c r="F1624" s="75">
        <v>0.603125</v>
      </c>
      <c r="G1624" s="67" t="s">
        <v>453</v>
      </c>
      <c r="H1624" s="68">
        <v>1.0</v>
      </c>
      <c r="I1624" s="76"/>
      <c r="J1624" s="67">
        <f t="shared" si="113"/>
        <v>3337</v>
      </c>
      <c r="K1624" s="7"/>
      <c r="L1624" s="70"/>
      <c r="M1624" s="79"/>
      <c r="N1624" s="1"/>
      <c r="O1624" s="1"/>
      <c r="P1624" s="1"/>
      <c r="Q1624" s="1"/>
      <c r="R1624" s="1"/>
      <c r="S1624" s="1"/>
      <c r="T1624" s="1"/>
      <c r="U1624" s="1"/>
      <c r="V1624" s="1"/>
      <c r="W1624" s="1"/>
      <c r="X1624" s="1"/>
      <c r="Y1624" s="1"/>
      <c r="Z1624" s="1"/>
      <c r="AA1624" s="1"/>
      <c r="AB1624" s="1"/>
      <c r="AC1624" s="1"/>
      <c r="AD1624" s="1"/>
      <c r="AE1624" s="1"/>
      <c r="AF1624" s="1"/>
      <c r="AG1624" s="1"/>
      <c r="AH1624" s="1"/>
    </row>
    <row r="1625" ht="12.75" hidden="1" customHeight="1" outlineLevel="1">
      <c r="A1625" s="17">
        <v>41270.0</v>
      </c>
      <c r="B1625" s="1" t="s">
        <v>343</v>
      </c>
      <c r="C1625" s="1" t="s">
        <v>354</v>
      </c>
      <c r="D1625" s="74">
        <v>200.0</v>
      </c>
      <c r="E1625" s="67">
        <v>85.6</v>
      </c>
      <c r="F1625" s="75">
        <v>0.6194328703703703</v>
      </c>
      <c r="G1625" s="67" t="s">
        <v>453</v>
      </c>
      <c r="H1625" s="68">
        <v>1.0</v>
      </c>
      <c r="I1625" s="76"/>
      <c r="J1625" s="67">
        <f t="shared" si="113"/>
        <v>-17121</v>
      </c>
      <c r="K1625" s="7"/>
      <c r="L1625" s="70"/>
      <c r="M1625" s="79"/>
      <c r="N1625" s="1"/>
      <c r="O1625" s="1"/>
      <c r="P1625" s="1"/>
      <c r="Q1625" s="1"/>
      <c r="R1625" s="1"/>
      <c r="S1625" s="1"/>
      <c r="T1625" s="1"/>
      <c r="U1625" s="1"/>
      <c r="V1625" s="1"/>
      <c r="W1625" s="1"/>
      <c r="X1625" s="1"/>
      <c r="Y1625" s="1"/>
      <c r="Z1625" s="1"/>
      <c r="AA1625" s="1"/>
      <c r="AB1625" s="1"/>
      <c r="AC1625" s="1"/>
      <c r="AD1625" s="1"/>
      <c r="AE1625" s="1"/>
      <c r="AF1625" s="1"/>
      <c r="AG1625" s="1"/>
      <c r="AH1625" s="1"/>
    </row>
    <row r="1626" ht="12.75" hidden="1" customHeight="1" outlineLevel="1">
      <c r="A1626" s="17">
        <v>41270.0</v>
      </c>
      <c r="B1626" s="1" t="s">
        <v>343</v>
      </c>
      <c r="C1626" s="1" t="s">
        <v>354</v>
      </c>
      <c r="D1626" s="74">
        <v>150.0</v>
      </c>
      <c r="E1626" s="67">
        <v>85.84</v>
      </c>
      <c r="F1626" s="75">
        <v>0.6218518518518519</v>
      </c>
      <c r="G1626" s="67" t="s">
        <v>453</v>
      </c>
      <c r="H1626" s="68">
        <v>1.0</v>
      </c>
      <c r="I1626" s="76"/>
      <c r="J1626" s="67">
        <f t="shared" si="113"/>
        <v>-12877</v>
      </c>
      <c r="K1626" s="7"/>
      <c r="L1626" s="70"/>
      <c r="M1626" s="79"/>
      <c r="N1626" s="1"/>
      <c r="O1626" s="1"/>
      <c r="P1626" s="1"/>
      <c r="Q1626" s="1"/>
      <c r="R1626" s="1"/>
      <c r="S1626" s="1"/>
      <c r="T1626" s="1"/>
      <c r="U1626" s="1"/>
      <c r="V1626" s="1"/>
      <c r="W1626" s="1"/>
      <c r="X1626" s="1"/>
      <c r="Y1626" s="1"/>
      <c r="Z1626" s="1"/>
      <c r="AA1626" s="1"/>
      <c r="AB1626" s="1"/>
      <c r="AC1626" s="1"/>
      <c r="AD1626" s="1"/>
      <c r="AE1626" s="1"/>
      <c r="AF1626" s="1"/>
      <c r="AG1626" s="1"/>
      <c r="AH1626" s="1"/>
    </row>
    <row r="1627" ht="12.75" hidden="1" customHeight="1" outlineLevel="1">
      <c r="A1627" s="17">
        <v>41270.0</v>
      </c>
      <c r="B1627" s="1" t="s">
        <v>343</v>
      </c>
      <c r="C1627" s="1" t="s">
        <v>605</v>
      </c>
      <c r="D1627" s="74">
        <v>100.0</v>
      </c>
      <c r="E1627" s="67">
        <v>51.39</v>
      </c>
      <c r="F1627" s="75">
        <v>0.6310300925925926</v>
      </c>
      <c r="G1627" s="67" t="s">
        <v>453</v>
      </c>
      <c r="H1627" s="68">
        <v>1.0</v>
      </c>
      <c r="I1627" s="76"/>
      <c r="J1627" s="67">
        <f t="shared" si="113"/>
        <v>-5140</v>
      </c>
      <c r="K1627" s="7"/>
      <c r="L1627" s="70"/>
      <c r="M1627" s="79"/>
      <c r="N1627" s="1"/>
      <c r="O1627" s="1"/>
      <c r="P1627" s="1"/>
      <c r="Q1627" s="1"/>
      <c r="R1627" s="1"/>
      <c r="S1627" s="1"/>
      <c r="T1627" s="1"/>
      <c r="U1627" s="1"/>
      <c r="V1627" s="1"/>
      <c r="W1627" s="1"/>
      <c r="X1627" s="1"/>
      <c r="Y1627" s="1"/>
      <c r="Z1627" s="1"/>
      <c r="AA1627" s="1"/>
      <c r="AB1627" s="1"/>
      <c r="AC1627" s="1"/>
      <c r="AD1627" s="1"/>
      <c r="AE1627" s="1"/>
      <c r="AF1627" s="1"/>
      <c r="AG1627" s="1"/>
      <c r="AH1627" s="1"/>
    </row>
    <row r="1628" ht="12.75" hidden="1" customHeight="1" outlineLevel="1">
      <c r="A1628" s="17">
        <v>41270.0</v>
      </c>
      <c r="B1628" s="1" t="s">
        <v>343</v>
      </c>
      <c r="C1628" s="1" t="s">
        <v>734</v>
      </c>
      <c r="D1628" s="74">
        <v>600.0</v>
      </c>
      <c r="E1628" s="67">
        <v>18.887</v>
      </c>
      <c r="F1628" s="75">
        <v>0.6510648148148148</v>
      </c>
      <c r="G1628" s="67" t="s">
        <v>453</v>
      </c>
      <c r="H1628" s="68">
        <v>2.9</v>
      </c>
      <c r="I1628" s="76"/>
      <c r="J1628" s="67">
        <f t="shared" si="113"/>
        <v>-11335.1</v>
      </c>
      <c r="K1628" s="7"/>
      <c r="L1628" s="70"/>
      <c r="M1628" s="79"/>
      <c r="N1628" s="1"/>
      <c r="O1628" s="1"/>
      <c r="P1628" s="1"/>
      <c r="Q1628" s="1"/>
      <c r="R1628" s="1"/>
      <c r="S1628" s="1"/>
      <c r="T1628" s="1"/>
      <c r="U1628" s="1"/>
      <c r="V1628" s="1"/>
      <c r="W1628" s="1"/>
      <c r="X1628" s="1"/>
      <c r="Y1628" s="1"/>
      <c r="Z1628" s="1"/>
      <c r="AA1628" s="1"/>
      <c r="AB1628" s="1"/>
      <c r="AC1628" s="1"/>
      <c r="AD1628" s="1"/>
      <c r="AE1628" s="1"/>
      <c r="AF1628" s="1"/>
      <c r="AG1628" s="1"/>
      <c r="AH1628" s="1"/>
    </row>
    <row r="1629" ht="12.75" hidden="1" customHeight="1" outlineLevel="1">
      <c r="A1629" s="17">
        <v>41270.0</v>
      </c>
      <c r="B1629" s="1"/>
      <c r="C1629" s="1" t="s">
        <v>339</v>
      </c>
      <c r="D1629" s="74"/>
      <c r="E1629" s="67"/>
      <c r="F1629" s="75"/>
      <c r="G1629" s="67"/>
      <c r="H1629" s="68"/>
      <c r="I1629" s="76"/>
      <c r="J1629" s="67"/>
      <c r="K1629" s="7" t="s">
        <v>849</v>
      </c>
      <c r="L1629" s="77"/>
      <c r="M1629" s="79"/>
      <c r="N1629" s="1"/>
      <c r="O1629" s="1"/>
      <c r="P1629" s="1"/>
      <c r="Q1629" s="1"/>
      <c r="R1629" s="1"/>
      <c r="S1629" s="1"/>
      <c r="T1629" s="1"/>
      <c r="U1629" s="1"/>
      <c r="V1629" s="1"/>
      <c r="W1629" s="1"/>
      <c r="X1629" s="1"/>
      <c r="Y1629" s="1"/>
      <c r="Z1629" s="1"/>
      <c r="AA1629" s="1"/>
      <c r="AB1629" s="1"/>
      <c r="AC1629" s="1"/>
      <c r="AD1629" s="1"/>
      <c r="AE1629" s="1"/>
      <c r="AF1629" s="1"/>
      <c r="AG1629" s="1"/>
      <c r="AH1629" s="1"/>
    </row>
    <row r="1630" ht="12.75" hidden="1" customHeight="1" outlineLevel="1">
      <c r="A1630" s="17">
        <v>41270.0</v>
      </c>
      <c r="B1630" s="1"/>
      <c r="C1630" s="1" t="s">
        <v>429</v>
      </c>
      <c r="D1630" s="74"/>
      <c r="E1630" s="67"/>
      <c r="F1630" s="75"/>
      <c r="G1630" s="67"/>
      <c r="H1630" s="68"/>
      <c r="I1630" s="76"/>
      <c r="J1630" s="67"/>
      <c r="K1630" s="7" t="s">
        <v>679</v>
      </c>
      <c r="L1630" s="77"/>
      <c r="M1630" s="79"/>
      <c r="N1630" s="1"/>
      <c r="O1630" s="1"/>
      <c r="P1630" s="1"/>
      <c r="Q1630" s="1"/>
      <c r="R1630" s="1"/>
      <c r="S1630" s="1"/>
      <c r="T1630" s="1"/>
      <c r="U1630" s="1"/>
      <c r="V1630" s="1"/>
      <c r="W1630" s="1"/>
      <c r="X1630" s="1"/>
      <c r="Y1630" s="1"/>
      <c r="Z1630" s="1"/>
      <c r="AA1630" s="1"/>
      <c r="AB1630" s="1"/>
      <c r="AC1630" s="1"/>
      <c r="AD1630" s="1"/>
      <c r="AE1630" s="1"/>
      <c r="AF1630" s="1"/>
      <c r="AG1630" s="1"/>
      <c r="AH1630" s="1"/>
    </row>
    <row r="1631" ht="12.75" hidden="1" customHeight="1" outlineLevel="1">
      <c r="A1631" s="17">
        <v>41270.0</v>
      </c>
      <c r="B1631" s="1"/>
      <c r="C1631" s="1" t="s">
        <v>431</v>
      </c>
      <c r="D1631" s="74"/>
      <c r="E1631" s="67"/>
      <c r="F1631" s="75"/>
      <c r="G1631" s="67"/>
      <c r="H1631" s="68"/>
      <c r="I1631" s="76"/>
      <c r="J1631" s="67"/>
      <c r="K1631" s="7" t="s">
        <v>817</v>
      </c>
      <c r="L1631" s="77"/>
      <c r="M1631" s="79"/>
      <c r="N1631" s="1"/>
      <c r="O1631" s="1"/>
      <c r="P1631" s="1"/>
      <c r="Q1631" s="1"/>
      <c r="R1631" s="1"/>
      <c r="S1631" s="1"/>
      <c r="T1631" s="1"/>
      <c r="U1631" s="1"/>
      <c r="V1631" s="1"/>
      <c r="W1631" s="1"/>
      <c r="X1631" s="1"/>
      <c r="Y1631" s="1"/>
      <c r="Z1631" s="1"/>
      <c r="AA1631" s="1"/>
      <c r="AB1631" s="1"/>
      <c r="AC1631" s="1"/>
      <c r="AD1631" s="1"/>
      <c r="AE1631" s="1"/>
      <c r="AF1631" s="1"/>
      <c r="AG1631" s="1"/>
      <c r="AH1631" s="1"/>
    </row>
    <row r="1632" ht="12.75" hidden="1" customHeight="1" outlineLevel="1">
      <c r="A1632" s="17">
        <v>41270.0</v>
      </c>
      <c r="B1632" s="1"/>
      <c r="C1632" s="1" t="s">
        <v>433</v>
      </c>
      <c r="D1632" s="74"/>
      <c r="E1632" s="67"/>
      <c r="F1632" s="75"/>
      <c r="G1632" s="67"/>
      <c r="H1632" s="68"/>
      <c r="I1632" s="76"/>
      <c r="J1632" s="67"/>
      <c r="K1632" s="1" t="s">
        <v>434</v>
      </c>
      <c r="L1632" s="77"/>
      <c r="M1632" s="79"/>
      <c r="N1632" s="1"/>
      <c r="O1632" s="1"/>
      <c r="P1632" s="1"/>
      <c r="Q1632" s="1"/>
      <c r="R1632" s="1"/>
      <c r="S1632" s="1"/>
      <c r="T1632" s="1"/>
      <c r="U1632" s="1"/>
      <c r="V1632" s="1"/>
      <c r="W1632" s="1"/>
      <c r="X1632" s="1"/>
      <c r="Y1632" s="1"/>
      <c r="Z1632" s="1"/>
      <c r="AA1632" s="1"/>
      <c r="AB1632" s="1"/>
      <c r="AC1632" s="1"/>
      <c r="AD1632" s="1"/>
      <c r="AE1632" s="1"/>
      <c r="AF1632" s="1"/>
      <c r="AG1632" s="1"/>
      <c r="AH1632" s="1"/>
    </row>
    <row r="1633" ht="12.75" hidden="1" customHeight="1" outlineLevel="1">
      <c r="A1633" s="17">
        <v>41270.0</v>
      </c>
      <c r="B1633" s="1"/>
      <c r="C1633" s="1" t="s">
        <v>435</v>
      </c>
      <c r="D1633" s="74"/>
      <c r="E1633" s="67"/>
      <c r="F1633" s="75"/>
      <c r="G1633" s="67"/>
      <c r="H1633" s="68"/>
      <c r="I1633" s="76"/>
      <c r="J1633" s="67"/>
      <c r="K1633" s="7" t="s">
        <v>818</v>
      </c>
      <c r="L1633" s="77"/>
      <c r="M1633" s="79"/>
      <c r="N1633" s="1"/>
      <c r="O1633" s="1"/>
      <c r="P1633" s="1"/>
      <c r="Q1633" s="1"/>
      <c r="R1633" s="1"/>
      <c r="S1633" s="1"/>
      <c r="T1633" s="1"/>
      <c r="U1633" s="1"/>
      <c r="V1633" s="1"/>
      <c r="W1633" s="1"/>
      <c r="X1633" s="1"/>
      <c r="Y1633" s="1"/>
      <c r="Z1633" s="1"/>
      <c r="AA1633" s="1"/>
      <c r="AB1633" s="1"/>
      <c r="AC1633" s="1"/>
      <c r="AD1633" s="1"/>
      <c r="AE1633" s="1"/>
      <c r="AF1633" s="1"/>
      <c r="AG1633" s="1"/>
      <c r="AH1633" s="1"/>
    </row>
    <row r="1634" ht="12.75" hidden="1" customHeight="1" outlineLevel="1">
      <c r="A1634" s="17">
        <v>41271.0</v>
      </c>
      <c r="B1634" s="1" t="s">
        <v>343</v>
      </c>
      <c r="C1634" s="1" t="s">
        <v>757</v>
      </c>
      <c r="D1634" s="74">
        <v>150.0</v>
      </c>
      <c r="E1634" s="67">
        <v>53.61</v>
      </c>
      <c r="F1634" s="75">
        <v>0.45549768518518513</v>
      </c>
      <c r="G1634" s="67" t="s">
        <v>453</v>
      </c>
      <c r="H1634" s="68">
        <v>1.0</v>
      </c>
      <c r="I1634" s="76"/>
      <c r="J1634" s="67">
        <f t="shared" ref="J1634:J1637" si="114">IF(B1634="SLD",D1634*E1634,-D1634*E1634)-H1634</f>
        <v>-8042.5</v>
      </c>
      <c r="K1634" s="7"/>
      <c r="L1634" s="70"/>
      <c r="M1634" s="79"/>
      <c r="N1634" s="1"/>
      <c r="O1634" s="1"/>
      <c r="P1634" s="1"/>
      <c r="Q1634" s="1"/>
      <c r="R1634" s="1"/>
      <c r="S1634" s="1"/>
      <c r="T1634" s="1"/>
      <c r="U1634" s="1"/>
      <c r="V1634" s="1"/>
      <c r="W1634" s="1"/>
      <c r="X1634" s="1"/>
      <c r="Y1634" s="1"/>
      <c r="Z1634" s="1"/>
      <c r="AA1634" s="1"/>
      <c r="AB1634" s="1"/>
      <c r="AC1634" s="1"/>
      <c r="AD1634" s="1"/>
      <c r="AE1634" s="1"/>
      <c r="AF1634" s="1"/>
      <c r="AG1634" s="1"/>
      <c r="AH1634" s="1"/>
    </row>
    <row r="1635" ht="12.75" hidden="1" customHeight="1" outlineLevel="1">
      <c r="A1635" s="17">
        <v>41271.0</v>
      </c>
      <c r="B1635" s="1" t="s">
        <v>343</v>
      </c>
      <c r="C1635" s="1" t="s">
        <v>844</v>
      </c>
      <c r="D1635" s="74">
        <v>200.0</v>
      </c>
      <c r="E1635" s="67">
        <v>32.06</v>
      </c>
      <c r="F1635" s="75">
        <v>0.45712962962962966</v>
      </c>
      <c r="G1635" s="67" t="s">
        <v>453</v>
      </c>
      <c r="H1635" s="68">
        <v>1.0</v>
      </c>
      <c r="I1635" s="76"/>
      <c r="J1635" s="67">
        <f t="shared" si="114"/>
        <v>-6413</v>
      </c>
      <c r="K1635" s="7"/>
      <c r="L1635" s="70"/>
      <c r="M1635" s="79"/>
      <c r="N1635" s="1"/>
      <c r="O1635" s="1"/>
      <c r="P1635" s="1"/>
      <c r="Q1635" s="1"/>
      <c r="R1635" s="1"/>
      <c r="S1635" s="1"/>
      <c r="T1635" s="1"/>
      <c r="U1635" s="1"/>
      <c r="V1635" s="1"/>
      <c r="W1635" s="1"/>
      <c r="X1635" s="1"/>
      <c r="Y1635" s="1"/>
      <c r="Z1635" s="1"/>
      <c r="AA1635" s="1"/>
      <c r="AB1635" s="1"/>
      <c r="AC1635" s="1"/>
      <c r="AD1635" s="1"/>
      <c r="AE1635" s="1"/>
      <c r="AF1635" s="1"/>
      <c r="AG1635" s="1"/>
      <c r="AH1635" s="1"/>
    </row>
    <row r="1636" ht="12.75" hidden="1" customHeight="1" outlineLevel="1">
      <c r="A1636" s="17">
        <v>41271.0</v>
      </c>
      <c r="B1636" s="1" t="s">
        <v>347</v>
      </c>
      <c r="C1636" s="1" t="s">
        <v>680</v>
      </c>
      <c r="D1636" s="74">
        <v>291.0</v>
      </c>
      <c r="E1636" s="67">
        <v>27.458</v>
      </c>
      <c r="F1636" s="75">
        <v>0.5985763888888889</v>
      </c>
      <c r="G1636" s="67" t="s">
        <v>453</v>
      </c>
      <c r="H1636" s="68">
        <v>0.64</v>
      </c>
      <c r="I1636" s="76"/>
      <c r="J1636" s="67">
        <f t="shared" si="114"/>
        <v>7989.638</v>
      </c>
      <c r="K1636" s="7"/>
      <c r="L1636" s="70"/>
      <c r="M1636" s="79"/>
      <c r="N1636" s="1"/>
      <c r="O1636" s="1"/>
      <c r="P1636" s="1"/>
      <c r="Q1636" s="1"/>
      <c r="R1636" s="1"/>
      <c r="S1636" s="1"/>
      <c r="T1636" s="1"/>
      <c r="U1636" s="1"/>
      <c r="V1636" s="1"/>
      <c r="W1636" s="1"/>
      <c r="X1636" s="1"/>
      <c r="Y1636" s="1"/>
      <c r="Z1636" s="1"/>
      <c r="AA1636" s="1"/>
      <c r="AB1636" s="1"/>
      <c r="AC1636" s="1"/>
      <c r="AD1636" s="1"/>
      <c r="AE1636" s="1"/>
      <c r="AF1636" s="1"/>
      <c r="AG1636" s="1"/>
      <c r="AH1636" s="1"/>
    </row>
    <row r="1637" ht="12.75" hidden="1" customHeight="1" outlineLevel="1">
      <c r="A1637" s="17">
        <v>41271.0</v>
      </c>
      <c r="B1637" s="1" t="s">
        <v>347</v>
      </c>
      <c r="C1637" s="1" t="s">
        <v>757</v>
      </c>
      <c r="D1637" s="74">
        <v>150.0</v>
      </c>
      <c r="E1637" s="67">
        <v>52.59</v>
      </c>
      <c r="F1637" s="75">
        <v>0.6596643518518518</v>
      </c>
      <c r="G1637" s="67" t="s">
        <v>453</v>
      </c>
      <c r="H1637" s="68">
        <v>1.0</v>
      </c>
      <c r="I1637" s="76"/>
      <c r="J1637" s="67">
        <f t="shared" si="114"/>
        <v>7887.5</v>
      </c>
      <c r="K1637" s="7"/>
      <c r="L1637" s="70"/>
      <c r="M1637" s="79"/>
      <c r="N1637" s="1"/>
      <c r="O1637" s="1"/>
      <c r="P1637" s="1"/>
      <c r="Q1637" s="1"/>
      <c r="R1637" s="1"/>
      <c r="S1637" s="1"/>
      <c r="T1637" s="1"/>
      <c r="U1637" s="1"/>
      <c r="V1637" s="1"/>
      <c r="W1637" s="1"/>
      <c r="X1637" s="1"/>
      <c r="Y1637" s="1"/>
      <c r="Z1637" s="1"/>
      <c r="AA1637" s="1"/>
      <c r="AB1637" s="1"/>
      <c r="AC1637" s="1"/>
      <c r="AD1637" s="1"/>
      <c r="AE1637" s="1"/>
      <c r="AF1637" s="1"/>
      <c r="AG1637" s="1"/>
      <c r="AH1637" s="1"/>
    </row>
    <row r="1638" ht="12.75" hidden="1" customHeight="1" outlineLevel="1">
      <c r="A1638" s="17">
        <v>41271.0</v>
      </c>
      <c r="B1638" s="1"/>
      <c r="C1638" s="1" t="s">
        <v>339</v>
      </c>
      <c r="D1638" s="74"/>
      <c r="E1638" s="67"/>
      <c r="F1638" s="75"/>
      <c r="G1638" s="67"/>
      <c r="H1638" s="68"/>
      <c r="I1638" s="76"/>
      <c r="J1638" s="67"/>
      <c r="K1638" s="7" t="s">
        <v>850</v>
      </c>
      <c r="L1638" s="77"/>
      <c r="M1638" s="79"/>
      <c r="N1638" s="1"/>
      <c r="O1638" s="1"/>
      <c r="P1638" s="1"/>
      <c r="Q1638" s="1"/>
      <c r="R1638" s="1"/>
      <c r="S1638" s="1"/>
      <c r="T1638" s="1"/>
      <c r="U1638" s="1"/>
      <c r="V1638" s="1"/>
      <c r="W1638" s="1"/>
      <c r="X1638" s="1"/>
      <c r="Y1638" s="1"/>
      <c r="Z1638" s="1"/>
      <c r="AA1638" s="1"/>
      <c r="AB1638" s="1"/>
      <c r="AC1638" s="1"/>
      <c r="AD1638" s="1"/>
      <c r="AE1638" s="1"/>
      <c r="AF1638" s="1"/>
      <c r="AG1638" s="1"/>
      <c r="AH1638" s="1"/>
    </row>
    <row r="1639" ht="12.75" hidden="1" customHeight="1" outlineLevel="1">
      <c r="A1639" s="17">
        <v>41271.0</v>
      </c>
      <c r="B1639" s="1"/>
      <c r="C1639" s="1" t="s">
        <v>429</v>
      </c>
      <c r="D1639" s="74"/>
      <c r="E1639" s="67"/>
      <c r="F1639" s="75"/>
      <c r="G1639" s="67"/>
      <c r="H1639" s="68"/>
      <c r="I1639" s="76"/>
      <c r="J1639" s="67"/>
      <c r="K1639" s="7" t="s">
        <v>679</v>
      </c>
      <c r="L1639" s="77"/>
      <c r="M1639" s="79"/>
      <c r="N1639" s="1"/>
      <c r="O1639" s="1"/>
      <c r="P1639" s="1"/>
      <c r="Q1639" s="1"/>
      <c r="R1639" s="1"/>
      <c r="S1639" s="1"/>
      <c r="T1639" s="1"/>
      <c r="U1639" s="1"/>
      <c r="V1639" s="1"/>
      <c r="W1639" s="1"/>
      <c r="X1639" s="1"/>
      <c r="Y1639" s="1"/>
      <c r="Z1639" s="1"/>
      <c r="AA1639" s="1"/>
      <c r="AB1639" s="1"/>
      <c r="AC1639" s="1"/>
      <c r="AD1639" s="1"/>
      <c r="AE1639" s="1"/>
      <c r="AF1639" s="1"/>
      <c r="AG1639" s="1"/>
      <c r="AH1639" s="1"/>
    </row>
    <row r="1640" ht="12.75" hidden="1" customHeight="1" outlineLevel="1">
      <c r="A1640" s="17">
        <v>41271.0</v>
      </c>
      <c r="B1640" s="1"/>
      <c r="C1640" s="1" t="s">
        <v>431</v>
      </c>
      <c r="D1640" s="74"/>
      <c r="E1640" s="67"/>
      <c r="F1640" s="75"/>
      <c r="G1640" s="67"/>
      <c r="H1640" s="68"/>
      <c r="I1640" s="76"/>
      <c r="J1640" s="67"/>
      <c r="K1640" s="7" t="s">
        <v>817</v>
      </c>
      <c r="L1640" s="77"/>
      <c r="M1640" s="79"/>
      <c r="N1640" s="1"/>
      <c r="O1640" s="1"/>
      <c r="P1640" s="1"/>
      <c r="Q1640" s="1"/>
      <c r="R1640" s="1"/>
      <c r="S1640" s="1"/>
      <c r="T1640" s="1"/>
      <c r="U1640" s="1"/>
      <c r="V1640" s="1"/>
      <c r="W1640" s="1"/>
      <c r="X1640" s="1"/>
      <c r="Y1640" s="1"/>
      <c r="Z1640" s="1"/>
      <c r="AA1640" s="1"/>
      <c r="AB1640" s="1"/>
      <c r="AC1640" s="1"/>
      <c r="AD1640" s="1"/>
      <c r="AE1640" s="1"/>
      <c r="AF1640" s="1"/>
      <c r="AG1640" s="1"/>
      <c r="AH1640" s="1"/>
    </row>
    <row r="1641" ht="12.75" hidden="1" customHeight="1" outlineLevel="1">
      <c r="A1641" s="17">
        <v>41271.0</v>
      </c>
      <c r="B1641" s="1"/>
      <c r="C1641" s="1" t="s">
        <v>433</v>
      </c>
      <c r="D1641" s="74"/>
      <c r="E1641" s="67"/>
      <c r="F1641" s="75"/>
      <c r="G1641" s="67"/>
      <c r="H1641" s="68"/>
      <c r="I1641" s="76"/>
      <c r="J1641" s="67"/>
      <c r="K1641" s="1" t="s">
        <v>434</v>
      </c>
      <c r="L1641" s="77"/>
      <c r="M1641" s="79"/>
      <c r="N1641" s="1"/>
      <c r="O1641" s="1"/>
      <c r="P1641" s="1"/>
      <c r="Q1641" s="1"/>
      <c r="R1641" s="1"/>
      <c r="S1641" s="1"/>
      <c r="T1641" s="1"/>
      <c r="U1641" s="1"/>
      <c r="V1641" s="1"/>
      <c r="W1641" s="1"/>
      <c r="X1641" s="1"/>
      <c r="Y1641" s="1"/>
      <c r="Z1641" s="1"/>
      <c r="AA1641" s="1"/>
      <c r="AB1641" s="1"/>
      <c r="AC1641" s="1"/>
      <c r="AD1641" s="1"/>
      <c r="AE1641" s="1"/>
      <c r="AF1641" s="1"/>
      <c r="AG1641" s="1"/>
      <c r="AH1641" s="1"/>
    </row>
    <row r="1642" ht="12.75" hidden="1" customHeight="1" outlineLevel="1">
      <c r="A1642" s="17">
        <v>41271.0</v>
      </c>
      <c r="B1642" s="1"/>
      <c r="C1642" s="1" t="s">
        <v>435</v>
      </c>
      <c r="D1642" s="74"/>
      <c r="E1642" s="67"/>
      <c r="F1642" s="75"/>
      <c r="G1642" s="67"/>
      <c r="H1642" s="68"/>
      <c r="I1642" s="76"/>
      <c r="J1642" s="67"/>
      <c r="K1642" s="7" t="s">
        <v>818</v>
      </c>
      <c r="L1642" s="77"/>
      <c r="M1642" s="79"/>
      <c r="N1642" s="1"/>
      <c r="O1642" s="1"/>
      <c r="P1642" s="1"/>
      <c r="Q1642" s="1"/>
      <c r="R1642" s="1"/>
      <c r="S1642" s="1"/>
      <c r="T1642" s="1"/>
      <c r="U1642" s="1"/>
      <c r="V1642" s="1"/>
      <c r="W1642" s="1"/>
      <c r="X1642" s="1"/>
      <c r="Y1642" s="1"/>
      <c r="Z1642" s="1"/>
      <c r="AA1642" s="1"/>
      <c r="AB1642" s="1"/>
      <c r="AC1642" s="1"/>
      <c r="AD1642" s="1"/>
      <c r="AE1642" s="1"/>
      <c r="AF1642" s="1"/>
      <c r="AG1642" s="1"/>
      <c r="AH1642" s="1"/>
    </row>
    <row r="1643" ht="12.75" hidden="1" customHeight="1" outlineLevel="1">
      <c r="A1643" s="17">
        <v>41274.0</v>
      </c>
      <c r="B1643" s="1" t="s">
        <v>343</v>
      </c>
      <c r="C1643" s="1" t="s">
        <v>851</v>
      </c>
      <c r="D1643" s="74">
        <v>500.0</v>
      </c>
      <c r="E1643" s="67">
        <v>18.7</v>
      </c>
      <c r="F1643" s="75">
        <v>41639.42449074074</v>
      </c>
      <c r="G1643" s="67" t="s">
        <v>453</v>
      </c>
      <c r="H1643" s="68">
        <v>2.5</v>
      </c>
      <c r="I1643" s="76"/>
      <c r="J1643" s="67">
        <f t="shared" ref="J1643:J1645" si="115">IF(B1643="SLD",D1643*E1643,-D1643*E1643)-H1643</f>
        <v>-9352.5</v>
      </c>
      <c r="K1643" s="7"/>
      <c r="L1643" s="70"/>
      <c r="M1643" s="79"/>
      <c r="N1643" s="1"/>
      <c r="O1643" s="1"/>
      <c r="P1643" s="1"/>
      <c r="Q1643" s="1"/>
      <c r="R1643" s="1"/>
      <c r="S1643" s="1"/>
      <c r="T1643" s="1"/>
      <c r="U1643" s="1"/>
      <c r="V1643" s="1"/>
      <c r="W1643" s="1"/>
      <c r="X1643" s="1"/>
      <c r="Y1643" s="1"/>
      <c r="Z1643" s="1"/>
      <c r="AA1643" s="1"/>
      <c r="AB1643" s="1"/>
      <c r="AC1643" s="1"/>
      <c r="AD1643" s="1"/>
      <c r="AE1643" s="1"/>
      <c r="AF1643" s="1"/>
      <c r="AG1643" s="1"/>
      <c r="AH1643" s="1"/>
    </row>
    <row r="1644" ht="12.75" hidden="1" customHeight="1" outlineLevel="1">
      <c r="A1644" s="17">
        <v>41274.0</v>
      </c>
      <c r="B1644" s="1" t="s">
        <v>347</v>
      </c>
      <c r="C1644" s="1" t="s">
        <v>789</v>
      </c>
      <c r="D1644" s="74">
        <v>450.0</v>
      </c>
      <c r="E1644" s="67">
        <v>13.82</v>
      </c>
      <c r="F1644" s="75">
        <v>41639.42643518518</v>
      </c>
      <c r="G1644" s="67" t="s">
        <v>453</v>
      </c>
      <c r="H1644" s="68">
        <v>1.8</v>
      </c>
      <c r="I1644" s="76"/>
      <c r="J1644" s="67">
        <f t="shared" si="115"/>
        <v>6217.2</v>
      </c>
      <c r="K1644" s="7"/>
      <c r="L1644" s="70"/>
      <c r="M1644" s="79"/>
      <c r="N1644" s="1"/>
      <c r="O1644" s="1"/>
      <c r="P1644" s="1"/>
      <c r="Q1644" s="1"/>
      <c r="R1644" s="1"/>
      <c r="S1644" s="1"/>
      <c r="T1644" s="1"/>
      <c r="U1644" s="1"/>
      <c r="V1644" s="1"/>
      <c r="W1644" s="1"/>
      <c r="X1644" s="1"/>
      <c r="Y1644" s="1"/>
      <c r="Z1644" s="1"/>
      <c r="AA1644" s="1"/>
      <c r="AB1644" s="1"/>
      <c r="AC1644" s="1"/>
      <c r="AD1644" s="1"/>
      <c r="AE1644" s="1"/>
      <c r="AF1644" s="1"/>
      <c r="AG1644" s="1"/>
      <c r="AH1644" s="1"/>
    </row>
    <row r="1645" ht="12.75" hidden="1" customHeight="1" outlineLevel="1">
      <c r="A1645" s="17">
        <v>41274.0</v>
      </c>
      <c r="B1645" s="1" t="s">
        <v>347</v>
      </c>
      <c r="C1645" s="1" t="s">
        <v>790</v>
      </c>
      <c r="D1645" s="74">
        <v>100.0</v>
      </c>
      <c r="E1645" s="67">
        <v>18.83</v>
      </c>
      <c r="F1645" s="75">
        <v>41639.42760416667</v>
      </c>
      <c r="G1645" s="67" t="s">
        <v>453</v>
      </c>
      <c r="H1645" s="68">
        <v>1.0</v>
      </c>
      <c r="I1645" s="76"/>
      <c r="J1645" s="67">
        <f t="shared" si="115"/>
        <v>1882</v>
      </c>
      <c r="K1645" s="7"/>
      <c r="L1645" s="70"/>
      <c r="M1645" s="79"/>
      <c r="N1645" s="1"/>
      <c r="O1645" s="1"/>
      <c r="P1645" s="1"/>
      <c r="Q1645" s="1"/>
      <c r="R1645" s="1"/>
      <c r="S1645" s="1"/>
      <c r="T1645" s="1"/>
      <c r="U1645" s="1"/>
      <c r="V1645" s="1"/>
      <c r="W1645" s="1"/>
      <c r="X1645" s="1"/>
      <c r="Y1645" s="1"/>
      <c r="Z1645" s="1"/>
      <c r="AA1645" s="1"/>
      <c r="AB1645" s="1"/>
      <c r="AC1645" s="1"/>
      <c r="AD1645" s="1"/>
      <c r="AE1645" s="1"/>
      <c r="AF1645" s="1"/>
      <c r="AG1645" s="1"/>
      <c r="AH1645" s="1"/>
    </row>
    <row r="1646" ht="12.75" hidden="1" customHeight="1" outlineLevel="1">
      <c r="A1646" s="17">
        <v>41274.0</v>
      </c>
      <c r="B1646" s="1"/>
      <c r="C1646" s="1" t="s">
        <v>339</v>
      </c>
      <c r="D1646" s="74"/>
      <c r="E1646" s="67"/>
      <c r="F1646" s="75"/>
      <c r="G1646" s="67"/>
      <c r="H1646" s="68"/>
      <c r="I1646" s="76"/>
      <c r="J1646" s="67"/>
      <c r="K1646" s="7" t="s">
        <v>852</v>
      </c>
      <c r="L1646" s="77"/>
      <c r="M1646" s="79"/>
      <c r="N1646" s="1"/>
      <c r="O1646" s="1"/>
      <c r="P1646" s="1"/>
      <c r="Q1646" s="1"/>
      <c r="R1646" s="1"/>
      <c r="S1646" s="1"/>
      <c r="T1646" s="1"/>
      <c r="U1646" s="1"/>
      <c r="V1646" s="1"/>
      <c r="W1646" s="1"/>
      <c r="X1646" s="1"/>
      <c r="Y1646" s="1"/>
      <c r="Z1646" s="1"/>
      <c r="AA1646" s="1"/>
      <c r="AB1646" s="1"/>
      <c r="AC1646" s="1"/>
      <c r="AD1646" s="1"/>
      <c r="AE1646" s="1"/>
      <c r="AF1646" s="1"/>
      <c r="AG1646" s="1"/>
      <c r="AH1646" s="1"/>
    </row>
    <row r="1647" ht="12.75" hidden="1" customHeight="1" outlineLevel="1">
      <c r="A1647" s="17">
        <v>41274.0</v>
      </c>
      <c r="B1647" s="1"/>
      <c r="C1647" s="1" t="s">
        <v>429</v>
      </c>
      <c r="D1647" s="74"/>
      <c r="E1647" s="67"/>
      <c r="F1647" s="75"/>
      <c r="G1647" s="67"/>
      <c r="H1647" s="68"/>
      <c r="I1647" s="76"/>
      <c r="J1647" s="67"/>
      <c r="K1647" s="7" t="s">
        <v>679</v>
      </c>
      <c r="L1647" s="77"/>
      <c r="M1647" s="79"/>
      <c r="N1647" s="1"/>
      <c r="O1647" s="1"/>
      <c r="P1647" s="1"/>
      <c r="Q1647" s="1"/>
      <c r="R1647" s="1"/>
      <c r="S1647" s="1"/>
      <c r="T1647" s="1"/>
      <c r="U1647" s="1"/>
      <c r="V1647" s="1"/>
      <c r="W1647" s="1"/>
      <c r="X1647" s="1"/>
      <c r="Y1647" s="1"/>
      <c r="Z1647" s="1"/>
      <c r="AA1647" s="1"/>
      <c r="AB1647" s="1"/>
      <c r="AC1647" s="1"/>
      <c r="AD1647" s="1"/>
      <c r="AE1647" s="1"/>
      <c r="AF1647" s="1"/>
      <c r="AG1647" s="1"/>
      <c r="AH1647" s="1"/>
    </row>
    <row r="1648" ht="12.75" hidden="1" customHeight="1" outlineLevel="1">
      <c r="A1648" s="17">
        <v>41274.0</v>
      </c>
      <c r="B1648" s="1"/>
      <c r="C1648" s="1" t="s">
        <v>431</v>
      </c>
      <c r="D1648" s="74"/>
      <c r="E1648" s="67"/>
      <c r="F1648" s="75"/>
      <c r="G1648" s="67"/>
      <c r="H1648" s="68"/>
      <c r="I1648" s="76"/>
      <c r="J1648" s="67"/>
      <c r="K1648" s="7" t="s">
        <v>817</v>
      </c>
      <c r="L1648" s="77"/>
      <c r="M1648" s="79"/>
      <c r="N1648" s="1"/>
      <c r="O1648" s="1"/>
      <c r="P1648" s="1"/>
      <c r="Q1648" s="1"/>
      <c r="R1648" s="1"/>
      <c r="S1648" s="1"/>
      <c r="T1648" s="1"/>
      <c r="U1648" s="1"/>
      <c r="V1648" s="1"/>
      <c r="W1648" s="1"/>
      <c r="X1648" s="1"/>
      <c r="Y1648" s="1"/>
      <c r="Z1648" s="1"/>
      <c r="AA1648" s="1"/>
      <c r="AB1648" s="1"/>
      <c r="AC1648" s="1"/>
      <c r="AD1648" s="1"/>
      <c r="AE1648" s="1"/>
      <c r="AF1648" s="1"/>
      <c r="AG1648" s="1"/>
      <c r="AH1648" s="1"/>
    </row>
    <row r="1649" ht="12.75" hidden="1" customHeight="1" outlineLevel="1">
      <c r="A1649" s="17">
        <v>41274.0</v>
      </c>
      <c r="B1649" s="1"/>
      <c r="C1649" s="1" t="s">
        <v>433</v>
      </c>
      <c r="D1649" s="74"/>
      <c r="E1649" s="67"/>
      <c r="F1649" s="75"/>
      <c r="G1649" s="67"/>
      <c r="H1649" s="68"/>
      <c r="I1649" s="76"/>
      <c r="J1649" s="67"/>
      <c r="K1649" s="1" t="s">
        <v>434</v>
      </c>
      <c r="L1649" s="77"/>
      <c r="M1649" s="79"/>
      <c r="N1649" s="1"/>
      <c r="O1649" s="1"/>
      <c r="P1649" s="1"/>
      <c r="Q1649" s="1"/>
      <c r="R1649" s="1"/>
      <c r="S1649" s="1"/>
      <c r="T1649" s="1"/>
      <c r="U1649" s="1"/>
      <c r="V1649" s="1"/>
      <c r="W1649" s="1"/>
      <c r="X1649" s="1"/>
      <c r="Y1649" s="1"/>
      <c r="Z1649" s="1"/>
      <c r="AA1649" s="1"/>
      <c r="AB1649" s="1"/>
      <c r="AC1649" s="1"/>
      <c r="AD1649" s="1"/>
      <c r="AE1649" s="1"/>
      <c r="AF1649" s="1"/>
      <c r="AG1649" s="1"/>
      <c r="AH1649" s="1"/>
    </row>
    <row r="1650" ht="12.75" hidden="1" customHeight="1" outlineLevel="1">
      <c r="A1650" s="17">
        <v>41274.0</v>
      </c>
      <c r="B1650" s="1"/>
      <c r="C1650" s="1" t="s">
        <v>435</v>
      </c>
      <c r="D1650" s="74"/>
      <c r="E1650" s="67"/>
      <c r="F1650" s="75"/>
      <c r="G1650" s="67"/>
      <c r="H1650" s="68"/>
      <c r="I1650" s="76"/>
      <c r="J1650" s="67"/>
      <c r="K1650" s="7" t="s">
        <v>818</v>
      </c>
      <c r="L1650" s="77"/>
      <c r="M1650" s="79"/>
      <c r="N1650" s="1"/>
      <c r="O1650" s="1"/>
      <c r="P1650" s="1"/>
      <c r="Q1650" s="1"/>
      <c r="R1650" s="1"/>
      <c r="S1650" s="1"/>
      <c r="T1650" s="1"/>
      <c r="U1650" s="1"/>
      <c r="V1650" s="1"/>
      <c r="W1650" s="1"/>
      <c r="X1650" s="1"/>
      <c r="Y1650" s="1"/>
      <c r="Z1650" s="1"/>
      <c r="AA1650" s="1"/>
      <c r="AB1650" s="1"/>
      <c r="AC1650" s="1"/>
      <c r="AD1650" s="1"/>
      <c r="AE1650" s="1"/>
      <c r="AF1650" s="1"/>
      <c r="AG1650" s="1"/>
      <c r="AH1650" s="1"/>
    </row>
    <row r="1651" ht="12.75" hidden="1" customHeight="1" outlineLevel="1">
      <c r="A1651" s="17">
        <v>41276.0</v>
      </c>
      <c r="B1651" s="1" t="s">
        <v>343</v>
      </c>
      <c r="C1651" s="1" t="s">
        <v>757</v>
      </c>
      <c r="D1651" s="74">
        <v>150.0</v>
      </c>
      <c r="E1651" s="67">
        <v>55.35</v>
      </c>
      <c r="F1651" s="75">
        <v>0.4001736111111111</v>
      </c>
      <c r="G1651" s="67" t="s">
        <v>453</v>
      </c>
      <c r="H1651" s="68">
        <v>1.0</v>
      </c>
      <c r="I1651" s="76"/>
      <c r="J1651" s="67">
        <f t="shared" ref="J1651:J1654" si="116">IF(B1651="SLD",D1651*E1651,-D1651*E1651)-H1651</f>
        <v>-8303.5</v>
      </c>
      <c r="K1651" s="7"/>
      <c r="L1651" s="70"/>
      <c r="M1651" s="79"/>
      <c r="N1651" s="1"/>
      <c r="O1651" s="1"/>
      <c r="P1651" s="1"/>
      <c r="Q1651" s="1"/>
      <c r="R1651" s="1"/>
      <c r="S1651" s="1"/>
      <c r="T1651" s="1"/>
      <c r="U1651" s="1"/>
      <c r="V1651" s="1"/>
      <c r="W1651" s="1"/>
      <c r="X1651" s="1"/>
      <c r="Y1651" s="1"/>
      <c r="Z1651" s="1"/>
      <c r="AA1651" s="1"/>
      <c r="AB1651" s="1"/>
      <c r="AC1651" s="1"/>
      <c r="AD1651" s="1"/>
      <c r="AE1651" s="1"/>
      <c r="AF1651" s="1"/>
      <c r="AG1651" s="1"/>
      <c r="AH1651" s="1"/>
    </row>
    <row r="1652" ht="12.75" hidden="1" customHeight="1" outlineLevel="1">
      <c r="A1652" s="17">
        <v>41276.0</v>
      </c>
      <c r="B1652" s="1" t="s">
        <v>343</v>
      </c>
      <c r="C1652" s="1" t="s">
        <v>734</v>
      </c>
      <c r="D1652" s="74">
        <v>100.0</v>
      </c>
      <c r="E1652" s="67">
        <v>19.0</v>
      </c>
      <c r="F1652" s="75">
        <v>0.49303240740740745</v>
      </c>
      <c r="G1652" s="67" t="s">
        <v>453</v>
      </c>
      <c r="H1652" s="68">
        <v>1.0</v>
      </c>
      <c r="I1652" s="76"/>
      <c r="J1652" s="67">
        <f t="shared" si="116"/>
        <v>-1901</v>
      </c>
      <c r="K1652" s="7"/>
      <c r="L1652" s="70"/>
      <c r="M1652" s="79"/>
      <c r="N1652" s="1"/>
      <c r="O1652" s="1"/>
      <c r="P1652" s="1"/>
      <c r="Q1652" s="1"/>
      <c r="R1652" s="1"/>
      <c r="S1652" s="1"/>
      <c r="T1652" s="1"/>
      <c r="U1652" s="1"/>
      <c r="V1652" s="1"/>
      <c r="W1652" s="1"/>
      <c r="X1652" s="1"/>
      <c r="Y1652" s="1"/>
      <c r="Z1652" s="1"/>
      <c r="AA1652" s="1"/>
      <c r="AB1652" s="1"/>
      <c r="AC1652" s="1"/>
      <c r="AD1652" s="1"/>
      <c r="AE1652" s="1"/>
      <c r="AF1652" s="1"/>
      <c r="AG1652" s="1"/>
      <c r="AH1652" s="1"/>
    </row>
    <row r="1653" ht="12.75" hidden="1" customHeight="1" outlineLevel="1">
      <c r="A1653" s="17">
        <v>41276.0</v>
      </c>
      <c r="B1653" s="1" t="s">
        <v>347</v>
      </c>
      <c r="C1653" s="1" t="s">
        <v>757</v>
      </c>
      <c r="D1653" s="74">
        <v>150.0</v>
      </c>
      <c r="E1653" s="67">
        <v>52.93</v>
      </c>
      <c r="F1653" s="75">
        <v>0.5218402777777778</v>
      </c>
      <c r="G1653" s="67" t="s">
        <v>453</v>
      </c>
      <c r="H1653" s="68">
        <v>1.0</v>
      </c>
      <c r="I1653" s="76"/>
      <c r="J1653" s="67">
        <f t="shared" si="116"/>
        <v>7938.5</v>
      </c>
      <c r="K1653" s="7"/>
      <c r="L1653" s="70"/>
      <c r="M1653" s="79"/>
      <c r="N1653" s="1"/>
      <c r="O1653" s="1"/>
      <c r="P1653" s="1"/>
      <c r="Q1653" s="1"/>
      <c r="R1653" s="1"/>
      <c r="S1653" s="1"/>
      <c r="T1653" s="1"/>
      <c r="U1653" s="1"/>
      <c r="V1653" s="1"/>
      <c r="W1653" s="1"/>
      <c r="X1653" s="1"/>
      <c r="Y1653" s="1"/>
      <c r="Z1653" s="1"/>
      <c r="AA1653" s="1"/>
      <c r="AB1653" s="1"/>
      <c r="AC1653" s="1"/>
      <c r="AD1653" s="1"/>
      <c r="AE1653" s="1"/>
      <c r="AF1653" s="1"/>
      <c r="AG1653" s="1"/>
      <c r="AH1653" s="1"/>
    </row>
    <row r="1654" ht="12.75" hidden="1" customHeight="1" outlineLevel="1">
      <c r="A1654" s="17">
        <v>41276.0</v>
      </c>
      <c r="B1654" s="1" t="s">
        <v>347</v>
      </c>
      <c r="C1654" s="1" t="s">
        <v>349</v>
      </c>
      <c r="D1654" s="74">
        <v>200.0</v>
      </c>
      <c r="E1654" s="67">
        <v>32.9</v>
      </c>
      <c r="F1654" s="75">
        <v>0.5847685185185185</v>
      </c>
      <c r="G1654" s="67" t="s">
        <v>453</v>
      </c>
      <c r="H1654" s="68">
        <v>1.0</v>
      </c>
      <c r="I1654" s="76"/>
      <c r="J1654" s="67">
        <f t="shared" si="116"/>
        <v>6579</v>
      </c>
      <c r="K1654" s="7"/>
      <c r="L1654" s="70"/>
      <c r="M1654" s="79"/>
      <c r="N1654" s="1"/>
      <c r="O1654" s="1"/>
      <c r="P1654" s="1"/>
      <c r="Q1654" s="1"/>
      <c r="R1654" s="1"/>
      <c r="S1654" s="1"/>
      <c r="T1654" s="1"/>
      <c r="U1654" s="1"/>
      <c r="V1654" s="1"/>
      <c r="W1654" s="1"/>
      <c r="X1654" s="1"/>
      <c r="Y1654" s="1"/>
      <c r="Z1654" s="1"/>
      <c r="AA1654" s="1"/>
      <c r="AB1654" s="1"/>
      <c r="AC1654" s="1"/>
      <c r="AD1654" s="1"/>
      <c r="AE1654" s="1"/>
      <c r="AF1654" s="1"/>
      <c r="AG1654" s="1"/>
      <c r="AH1654" s="1"/>
    </row>
    <row r="1655" ht="12.75" hidden="1" customHeight="1" outlineLevel="1">
      <c r="A1655" s="17">
        <v>41276.0</v>
      </c>
      <c r="B1655" s="1"/>
      <c r="C1655" s="1" t="s">
        <v>339</v>
      </c>
      <c r="D1655" s="74"/>
      <c r="E1655" s="67"/>
      <c r="F1655" s="75"/>
      <c r="G1655" s="67"/>
      <c r="H1655" s="68"/>
      <c r="I1655" s="76"/>
      <c r="J1655" s="67"/>
      <c r="K1655" s="7" t="s">
        <v>853</v>
      </c>
      <c r="L1655" s="77"/>
      <c r="M1655" s="79"/>
      <c r="N1655" s="1"/>
      <c r="O1655" s="1"/>
      <c r="P1655" s="1"/>
      <c r="Q1655" s="1"/>
      <c r="R1655" s="1"/>
      <c r="S1655" s="1"/>
      <c r="T1655" s="1"/>
      <c r="U1655" s="1"/>
      <c r="V1655" s="1"/>
      <c r="W1655" s="1"/>
      <c r="X1655" s="1"/>
      <c r="Y1655" s="1"/>
      <c r="Z1655" s="1"/>
      <c r="AA1655" s="1"/>
      <c r="AB1655" s="1"/>
      <c r="AC1655" s="1"/>
      <c r="AD1655" s="1"/>
      <c r="AE1655" s="1"/>
      <c r="AF1655" s="1"/>
      <c r="AG1655" s="1"/>
      <c r="AH1655" s="1"/>
    </row>
    <row r="1656" ht="12.75" hidden="1" customHeight="1" outlineLevel="1">
      <c r="A1656" s="17">
        <v>41276.0</v>
      </c>
      <c r="B1656" s="1"/>
      <c r="C1656" s="1" t="s">
        <v>429</v>
      </c>
      <c r="D1656" s="74"/>
      <c r="E1656" s="67"/>
      <c r="F1656" s="75"/>
      <c r="G1656" s="67"/>
      <c r="H1656" s="68"/>
      <c r="I1656" s="76"/>
      <c r="J1656" s="67"/>
      <c r="K1656" s="7" t="s">
        <v>679</v>
      </c>
      <c r="L1656" s="77"/>
      <c r="M1656" s="79"/>
      <c r="N1656" s="1"/>
      <c r="O1656" s="1"/>
      <c r="P1656" s="1"/>
      <c r="Q1656" s="1"/>
      <c r="R1656" s="1"/>
      <c r="S1656" s="1"/>
      <c r="T1656" s="1"/>
      <c r="U1656" s="1"/>
      <c r="V1656" s="1"/>
      <c r="W1656" s="1"/>
      <c r="X1656" s="1"/>
      <c r="Y1656" s="1"/>
      <c r="Z1656" s="1"/>
      <c r="AA1656" s="1"/>
      <c r="AB1656" s="1"/>
      <c r="AC1656" s="1"/>
      <c r="AD1656" s="1"/>
      <c r="AE1656" s="1"/>
      <c r="AF1656" s="1"/>
      <c r="AG1656" s="1"/>
      <c r="AH1656" s="1"/>
    </row>
    <row r="1657" ht="12.75" hidden="1" customHeight="1" outlineLevel="1">
      <c r="A1657" s="17">
        <v>41276.0</v>
      </c>
      <c r="B1657" s="1"/>
      <c r="C1657" s="1" t="s">
        <v>431</v>
      </c>
      <c r="D1657" s="74"/>
      <c r="E1657" s="67"/>
      <c r="F1657" s="75"/>
      <c r="G1657" s="67"/>
      <c r="H1657" s="68"/>
      <c r="I1657" s="76"/>
      <c r="J1657" s="67"/>
      <c r="K1657" s="7" t="s">
        <v>817</v>
      </c>
      <c r="L1657" s="77"/>
      <c r="M1657" s="79"/>
      <c r="N1657" s="1"/>
      <c r="O1657" s="1"/>
      <c r="P1657" s="1"/>
      <c r="Q1657" s="1"/>
      <c r="R1657" s="1"/>
      <c r="S1657" s="1"/>
      <c r="T1657" s="1"/>
      <c r="U1657" s="1"/>
      <c r="V1657" s="1"/>
      <c r="W1657" s="1"/>
      <c r="X1657" s="1"/>
      <c r="Y1657" s="1"/>
      <c r="Z1657" s="1"/>
      <c r="AA1657" s="1"/>
      <c r="AB1657" s="1"/>
      <c r="AC1657" s="1"/>
      <c r="AD1657" s="1"/>
      <c r="AE1657" s="1"/>
      <c r="AF1657" s="1"/>
      <c r="AG1657" s="1"/>
      <c r="AH1657" s="1"/>
    </row>
    <row r="1658" ht="12.75" hidden="1" customHeight="1" outlineLevel="1">
      <c r="A1658" s="17">
        <v>41276.0</v>
      </c>
      <c r="B1658" s="1"/>
      <c r="C1658" s="1" t="s">
        <v>433</v>
      </c>
      <c r="D1658" s="74"/>
      <c r="E1658" s="67"/>
      <c r="F1658" s="75"/>
      <c r="G1658" s="67"/>
      <c r="H1658" s="68"/>
      <c r="I1658" s="76"/>
      <c r="J1658" s="67"/>
      <c r="K1658" s="1" t="s">
        <v>434</v>
      </c>
      <c r="L1658" s="77"/>
      <c r="M1658" s="79"/>
      <c r="N1658" s="1"/>
      <c r="O1658" s="1"/>
      <c r="P1658" s="1"/>
      <c r="Q1658" s="1"/>
      <c r="R1658" s="1"/>
      <c r="S1658" s="1"/>
      <c r="T1658" s="1"/>
      <c r="U1658" s="1"/>
      <c r="V1658" s="1"/>
      <c r="W1658" s="1"/>
      <c r="X1658" s="1"/>
      <c r="Y1658" s="1"/>
      <c r="Z1658" s="1"/>
      <c r="AA1658" s="1"/>
      <c r="AB1658" s="1"/>
      <c r="AC1658" s="1"/>
      <c r="AD1658" s="1"/>
      <c r="AE1658" s="1"/>
      <c r="AF1658" s="1"/>
      <c r="AG1658" s="1"/>
      <c r="AH1658" s="1"/>
    </row>
    <row r="1659" ht="12.75" hidden="1" customHeight="1" outlineLevel="1">
      <c r="A1659" s="17">
        <v>41276.0</v>
      </c>
      <c r="B1659" s="1"/>
      <c r="C1659" s="1" t="s">
        <v>435</v>
      </c>
      <c r="D1659" s="74"/>
      <c r="E1659" s="67"/>
      <c r="F1659" s="75"/>
      <c r="G1659" s="67"/>
      <c r="H1659" s="68"/>
      <c r="I1659" s="76"/>
      <c r="J1659" s="67"/>
      <c r="K1659" s="7" t="s">
        <v>818</v>
      </c>
      <c r="L1659" s="77"/>
      <c r="M1659" s="79"/>
      <c r="N1659" s="1"/>
      <c r="O1659" s="1"/>
      <c r="P1659" s="1"/>
      <c r="Q1659" s="1"/>
      <c r="R1659" s="1"/>
      <c r="S1659" s="1"/>
      <c r="T1659" s="1"/>
      <c r="U1659" s="1"/>
      <c r="V1659" s="1"/>
      <c r="W1659" s="1"/>
      <c r="X1659" s="1"/>
      <c r="Y1659" s="1"/>
      <c r="Z1659" s="1"/>
      <c r="AA1659" s="1"/>
      <c r="AB1659" s="1"/>
      <c r="AC1659" s="1"/>
      <c r="AD1659" s="1"/>
      <c r="AE1659" s="1"/>
      <c r="AF1659" s="1"/>
      <c r="AG1659" s="1"/>
      <c r="AH1659" s="1"/>
    </row>
    <row r="1660" ht="12.75" hidden="1" customHeight="1" outlineLevel="1">
      <c r="A1660" s="17">
        <v>41277.0</v>
      </c>
      <c r="B1660" s="1" t="s">
        <v>343</v>
      </c>
      <c r="C1660" s="1" t="s">
        <v>349</v>
      </c>
      <c r="D1660" s="74">
        <v>200.0</v>
      </c>
      <c r="E1660" s="67">
        <v>35.35</v>
      </c>
      <c r="F1660" s="75">
        <v>41277.46983796296</v>
      </c>
      <c r="G1660" s="67" t="s">
        <v>453</v>
      </c>
      <c r="H1660" s="68">
        <v>1.0</v>
      </c>
      <c r="I1660" s="76"/>
      <c r="J1660" s="67">
        <f t="shared" ref="J1660:J1665" si="117">IF(B1660="SLD",D1660*E1660,-D1660*E1660)-H1660</f>
        <v>-7071</v>
      </c>
      <c r="K1660" s="7"/>
      <c r="L1660" s="70"/>
      <c r="M1660" s="79"/>
      <c r="N1660" s="1"/>
      <c r="O1660" s="1"/>
      <c r="P1660" s="1"/>
      <c r="Q1660" s="1"/>
      <c r="R1660" s="1"/>
      <c r="S1660" s="1"/>
      <c r="T1660" s="1"/>
      <c r="U1660" s="1"/>
      <c r="V1660" s="1"/>
      <c r="W1660" s="1"/>
      <c r="X1660" s="1"/>
      <c r="Y1660" s="1"/>
      <c r="Z1660" s="1"/>
      <c r="AA1660" s="1"/>
      <c r="AB1660" s="1"/>
      <c r="AC1660" s="1"/>
      <c r="AD1660" s="1"/>
      <c r="AE1660" s="1"/>
      <c r="AF1660" s="1"/>
      <c r="AG1660" s="1"/>
      <c r="AH1660" s="1"/>
    </row>
    <row r="1661" ht="12.75" hidden="1" customHeight="1" outlineLevel="1">
      <c r="A1661" s="17">
        <v>41277.0</v>
      </c>
      <c r="B1661" s="1" t="s">
        <v>347</v>
      </c>
      <c r="C1661" s="1" t="s">
        <v>349</v>
      </c>
      <c r="D1661" s="74">
        <v>200.0</v>
      </c>
      <c r="E1661" s="67">
        <v>35.55</v>
      </c>
      <c r="F1661" s="75">
        <v>41277.49358796296</v>
      </c>
      <c r="G1661" s="67" t="s">
        <v>453</v>
      </c>
      <c r="H1661" s="68">
        <v>1.0</v>
      </c>
      <c r="I1661" s="76"/>
      <c r="J1661" s="67">
        <f t="shared" si="117"/>
        <v>7109</v>
      </c>
      <c r="K1661" s="7"/>
      <c r="L1661" s="70"/>
      <c r="M1661" s="79"/>
      <c r="N1661" s="1"/>
      <c r="O1661" s="1"/>
      <c r="P1661" s="1"/>
      <c r="Q1661" s="1"/>
      <c r="R1661" s="1"/>
      <c r="S1661" s="1"/>
      <c r="T1661" s="1"/>
      <c r="U1661" s="1"/>
      <c r="V1661" s="1"/>
      <c r="W1661" s="1"/>
      <c r="X1661" s="1"/>
      <c r="Y1661" s="1"/>
      <c r="Z1661" s="1"/>
      <c r="AA1661" s="1"/>
      <c r="AB1661" s="1"/>
      <c r="AC1661" s="1"/>
      <c r="AD1661" s="1"/>
      <c r="AE1661" s="1"/>
      <c r="AF1661" s="1"/>
      <c r="AG1661" s="1"/>
      <c r="AH1661" s="1"/>
    </row>
    <row r="1662" ht="12.75" hidden="1" customHeight="1" outlineLevel="1">
      <c r="A1662" s="17">
        <v>41277.0</v>
      </c>
      <c r="B1662" s="1" t="s">
        <v>343</v>
      </c>
      <c r="C1662" s="1" t="s">
        <v>349</v>
      </c>
      <c r="D1662" s="74">
        <v>200.0</v>
      </c>
      <c r="E1662" s="67">
        <v>36.23</v>
      </c>
      <c r="F1662" s="75">
        <v>41277.664826388886</v>
      </c>
      <c r="G1662" s="67" t="s">
        <v>453</v>
      </c>
      <c r="H1662" s="68">
        <v>1.0</v>
      </c>
      <c r="I1662" s="76"/>
      <c r="J1662" s="67">
        <f t="shared" si="117"/>
        <v>-7247</v>
      </c>
      <c r="K1662" s="7"/>
      <c r="L1662" s="70"/>
      <c r="M1662" s="79"/>
      <c r="N1662" s="1"/>
      <c r="O1662" s="1"/>
      <c r="P1662" s="1"/>
      <c r="Q1662" s="1"/>
      <c r="R1662" s="1"/>
      <c r="S1662" s="1"/>
      <c r="T1662" s="1"/>
      <c r="U1662" s="1"/>
      <c r="V1662" s="1"/>
      <c r="W1662" s="1"/>
      <c r="X1662" s="1"/>
      <c r="Y1662" s="1"/>
      <c r="Z1662" s="1"/>
      <c r="AA1662" s="1"/>
      <c r="AB1662" s="1"/>
      <c r="AC1662" s="1"/>
      <c r="AD1662" s="1"/>
      <c r="AE1662" s="1"/>
      <c r="AF1662" s="1"/>
      <c r="AG1662" s="1"/>
      <c r="AH1662" s="1"/>
    </row>
    <row r="1663" ht="12.75" hidden="1" customHeight="1" outlineLevel="1">
      <c r="A1663" s="17">
        <v>41278.0</v>
      </c>
      <c r="B1663" s="1" t="s">
        <v>347</v>
      </c>
      <c r="C1663" s="1" t="s">
        <v>847</v>
      </c>
      <c r="D1663" s="74">
        <v>200.0</v>
      </c>
      <c r="E1663" s="67">
        <v>54.23</v>
      </c>
      <c r="F1663" s="75">
        <v>0.4225925925925926</v>
      </c>
      <c r="G1663" s="67" t="s">
        <v>453</v>
      </c>
      <c r="H1663" s="68">
        <v>1.0</v>
      </c>
      <c r="I1663" s="76"/>
      <c r="J1663" s="67">
        <f t="shared" si="117"/>
        <v>10845</v>
      </c>
      <c r="K1663" s="7"/>
      <c r="L1663" s="70"/>
      <c r="M1663" s="79"/>
      <c r="N1663" s="1"/>
      <c r="O1663" s="1"/>
      <c r="P1663" s="1"/>
      <c r="Q1663" s="1"/>
      <c r="R1663" s="1"/>
      <c r="S1663" s="1"/>
      <c r="T1663" s="1"/>
      <c r="U1663" s="1"/>
      <c r="V1663" s="1"/>
      <c r="W1663" s="1"/>
      <c r="X1663" s="1"/>
      <c r="Y1663" s="1"/>
      <c r="Z1663" s="1"/>
      <c r="AA1663" s="1"/>
      <c r="AB1663" s="1"/>
      <c r="AC1663" s="1"/>
      <c r="AD1663" s="1"/>
      <c r="AE1663" s="1"/>
      <c r="AF1663" s="1"/>
      <c r="AG1663" s="1"/>
      <c r="AH1663" s="1"/>
    </row>
    <row r="1664" ht="12.75" hidden="1" customHeight="1" outlineLevel="1">
      <c r="A1664" s="17">
        <v>41278.0</v>
      </c>
      <c r="B1664" s="1" t="s">
        <v>343</v>
      </c>
      <c r="C1664" s="1" t="s">
        <v>734</v>
      </c>
      <c r="D1664" s="74">
        <v>200.0</v>
      </c>
      <c r="E1664" s="67">
        <v>19.0</v>
      </c>
      <c r="F1664" s="75">
        <v>0.44721064814814815</v>
      </c>
      <c r="G1664" s="67" t="s">
        <v>453</v>
      </c>
      <c r="H1664" s="68">
        <v>1.0</v>
      </c>
      <c r="I1664" s="76"/>
      <c r="J1664" s="67">
        <f t="shared" si="117"/>
        <v>-3801</v>
      </c>
      <c r="K1664" s="7"/>
      <c r="L1664" s="70"/>
      <c r="M1664" s="79"/>
      <c r="N1664" s="1"/>
      <c r="O1664" s="1"/>
      <c r="P1664" s="1"/>
      <c r="Q1664" s="1"/>
      <c r="R1664" s="1"/>
      <c r="S1664" s="1"/>
      <c r="T1664" s="1"/>
      <c r="U1664" s="1"/>
      <c r="V1664" s="1"/>
      <c r="W1664" s="1"/>
      <c r="X1664" s="1"/>
      <c r="Y1664" s="1"/>
      <c r="Z1664" s="1"/>
      <c r="AA1664" s="1"/>
      <c r="AB1664" s="1"/>
      <c r="AC1664" s="1"/>
      <c r="AD1664" s="1"/>
      <c r="AE1664" s="1"/>
      <c r="AF1664" s="1"/>
      <c r="AG1664" s="1"/>
      <c r="AH1664" s="1"/>
    </row>
    <row r="1665" ht="12.75" hidden="1" customHeight="1" outlineLevel="1">
      <c r="A1665" s="17">
        <v>41278.0</v>
      </c>
      <c r="B1665" s="1" t="s">
        <v>347</v>
      </c>
      <c r="C1665" s="1" t="s">
        <v>682</v>
      </c>
      <c r="D1665" s="74">
        <v>200.0</v>
      </c>
      <c r="E1665" s="67">
        <v>25.74</v>
      </c>
      <c r="F1665" s="75">
        <v>0.4493287037037037</v>
      </c>
      <c r="G1665" s="67" t="s">
        <v>453</v>
      </c>
      <c r="H1665" s="68">
        <v>1.0</v>
      </c>
      <c r="I1665" s="76"/>
      <c r="J1665" s="67">
        <f t="shared" si="117"/>
        <v>5147</v>
      </c>
      <c r="K1665" s="7"/>
      <c r="L1665" s="70"/>
      <c r="M1665" s="79"/>
      <c r="N1665" s="1"/>
      <c r="O1665" s="1"/>
      <c r="P1665" s="1"/>
      <c r="Q1665" s="1"/>
      <c r="R1665" s="1"/>
      <c r="S1665" s="1"/>
      <c r="T1665" s="1"/>
      <c r="U1665" s="1"/>
      <c r="V1665" s="1"/>
      <c r="W1665" s="1"/>
      <c r="X1665" s="1"/>
      <c r="Y1665" s="1"/>
      <c r="Z1665" s="1"/>
      <c r="AA1665" s="1"/>
      <c r="AB1665" s="1"/>
      <c r="AC1665" s="1"/>
      <c r="AD1665" s="1"/>
      <c r="AE1665" s="1"/>
      <c r="AF1665" s="1"/>
      <c r="AG1665" s="1"/>
      <c r="AH1665" s="1"/>
    </row>
    <row r="1666" ht="12.75" hidden="1" customHeight="1" outlineLevel="1">
      <c r="A1666" s="17">
        <v>41278.0</v>
      </c>
      <c r="B1666" s="1"/>
      <c r="C1666" s="1" t="s">
        <v>339</v>
      </c>
      <c r="D1666" s="74"/>
      <c r="E1666" s="67"/>
      <c r="F1666" s="75"/>
      <c r="G1666" s="67"/>
      <c r="H1666" s="68"/>
      <c r="I1666" s="76"/>
      <c r="J1666" s="67"/>
      <c r="K1666" s="7" t="s">
        <v>854</v>
      </c>
      <c r="L1666" s="77"/>
      <c r="M1666" s="79"/>
      <c r="N1666" s="1"/>
      <c r="O1666" s="1"/>
      <c r="P1666" s="1"/>
      <c r="Q1666" s="1"/>
      <c r="R1666" s="1"/>
      <c r="S1666" s="1"/>
      <c r="T1666" s="1"/>
      <c r="U1666" s="1"/>
      <c r="V1666" s="1"/>
      <c r="W1666" s="1"/>
      <c r="X1666" s="1"/>
      <c r="Y1666" s="1"/>
      <c r="Z1666" s="1"/>
      <c r="AA1666" s="1"/>
      <c r="AB1666" s="1"/>
      <c r="AC1666" s="1"/>
      <c r="AD1666" s="1"/>
      <c r="AE1666" s="1"/>
      <c r="AF1666" s="1"/>
      <c r="AG1666" s="1"/>
      <c r="AH1666" s="1"/>
    </row>
    <row r="1667" ht="12.75" hidden="1" customHeight="1" outlineLevel="1">
      <c r="A1667" s="17">
        <v>41278.0</v>
      </c>
      <c r="B1667" s="1"/>
      <c r="C1667" s="1" t="s">
        <v>429</v>
      </c>
      <c r="D1667" s="74"/>
      <c r="E1667" s="67"/>
      <c r="F1667" s="75"/>
      <c r="G1667" s="67"/>
      <c r="H1667" s="68"/>
      <c r="I1667" s="76"/>
      <c r="J1667" s="67"/>
      <c r="K1667" s="7" t="s">
        <v>679</v>
      </c>
      <c r="L1667" s="77"/>
      <c r="M1667" s="79"/>
      <c r="N1667" s="1"/>
      <c r="O1667" s="1"/>
      <c r="P1667" s="1"/>
      <c r="Q1667" s="1"/>
      <c r="R1667" s="1"/>
      <c r="S1667" s="1"/>
      <c r="T1667" s="1"/>
      <c r="U1667" s="1"/>
      <c r="V1667" s="1"/>
      <c r="W1667" s="1"/>
      <c r="X1667" s="1"/>
      <c r="Y1667" s="1"/>
      <c r="Z1667" s="1"/>
      <c r="AA1667" s="1"/>
      <c r="AB1667" s="1"/>
      <c r="AC1667" s="1"/>
      <c r="AD1667" s="1"/>
      <c r="AE1667" s="1"/>
      <c r="AF1667" s="1"/>
      <c r="AG1667" s="1"/>
      <c r="AH1667" s="1"/>
    </row>
    <row r="1668" ht="12.75" hidden="1" customHeight="1" outlineLevel="1">
      <c r="A1668" s="17">
        <v>41278.0</v>
      </c>
      <c r="B1668" s="1"/>
      <c r="C1668" s="1" t="s">
        <v>431</v>
      </c>
      <c r="D1668" s="74"/>
      <c r="E1668" s="67"/>
      <c r="F1668" s="75"/>
      <c r="G1668" s="67"/>
      <c r="H1668" s="68"/>
      <c r="I1668" s="76"/>
      <c r="J1668" s="67"/>
      <c r="K1668" s="7" t="s">
        <v>817</v>
      </c>
      <c r="L1668" s="77"/>
      <c r="M1668" s="79"/>
      <c r="N1668" s="1"/>
      <c r="O1668" s="1"/>
      <c r="P1668" s="1"/>
      <c r="Q1668" s="1"/>
      <c r="R1668" s="1"/>
      <c r="S1668" s="1"/>
      <c r="T1668" s="1"/>
      <c r="U1668" s="1"/>
      <c r="V1668" s="1"/>
      <c r="W1668" s="1"/>
      <c r="X1668" s="1"/>
      <c r="Y1668" s="1"/>
      <c r="Z1668" s="1"/>
      <c r="AA1668" s="1"/>
      <c r="AB1668" s="1"/>
      <c r="AC1668" s="1"/>
      <c r="AD1668" s="1"/>
      <c r="AE1668" s="1"/>
      <c r="AF1668" s="1"/>
      <c r="AG1668" s="1"/>
      <c r="AH1668" s="1"/>
    </row>
    <row r="1669" ht="12.75" hidden="1" customHeight="1" outlineLevel="1">
      <c r="A1669" s="17">
        <v>41278.0</v>
      </c>
      <c r="B1669" s="1"/>
      <c r="C1669" s="1" t="s">
        <v>433</v>
      </c>
      <c r="D1669" s="74"/>
      <c r="E1669" s="67"/>
      <c r="F1669" s="75"/>
      <c r="G1669" s="67"/>
      <c r="H1669" s="68"/>
      <c r="I1669" s="76"/>
      <c r="J1669" s="67"/>
      <c r="K1669" s="1" t="s">
        <v>434</v>
      </c>
      <c r="L1669" s="77"/>
      <c r="M1669" s="79"/>
      <c r="N1669" s="1"/>
      <c r="O1669" s="1"/>
      <c r="P1669" s="1"/>
      <c r="Q1669" s="1"/>
      <c r="R1669" s="1"/>
      <c r="S1669" s="1"/>
      <c r="T1669" s="1"/>
      <c r="U1669" s="1"/>
      <c r="V1669" s="1"/>
      <c r="W1669" s="1"/>
      <c r="X1669" s="1"/>
      <c r="Y1669" s="1"/>
      <c r="Z1669" s="1"/>
      <c r="AA1669" s="1"/>
      <c r="AB1669" s="1"/>
      <c r="AC1669" s="1"/>
      <c r="AD1669" s="1"/>
      <c r="AE1669" s="1"/>
      <c r="AF1669" s="1"/>
      <c r="AG1669" s="1"/>
      <c r="AH1669" s="1"/>
    </row>
    <row r="1670" ht="12.75" hidden="1" customHeight="1" outlineLevel="1">
      <c r="A1670" s="17">
        <v>41278.0</v>
      </c>
      <c r="B1670" s="1"/>
      <c r="C1670" s="1" t="s">
        <v>435</v>
      </c>
      <c r="D1670" s="74"/>
      <c r="E1670" s="67"/>
      <c r="F1670" s="75"/>
      <c r="G1670" s="67"/>
      <c r="H1670" s="68"/>
      <c r="I1670" s="76"/>
      <c r="J1670" s="67"/>
      <c r="K1670" s="7" t="s">
        <v>818</v>
      </c>
      <c r="L1670" s="77"/>
      <c r="M1670" s="79"/>
      <c r="N1670" s="1"/>
      <c r="O1670" s="1"/>
      <c r="P1670" s="1"/>
      <c r="Q1670" s="1"/>
      <c r="R1670" s="1"/>
      <c r="S1670" s="1"/>
      <c r="T1670" s="1"/>
      <c r="U1670" s="1"/>
      <c r="V1670" s="1"/>
      <c r="W1670" s="1"/>
      <c r="X1670" s="1"/>
      <c r="Y1670" s="1"/>
      <c r="Z1670" s="1"/>
      <c r="AA1670" s="1"/>
      <c r="AB1670" s="1"/>
      <c r="AC1670" s="1"/>
      <c r="AD1670" s="1"/>
      <c r="AE1670" s="1"/>
      <c r="AF1670" s="1"/>
      <c r="AG1670" s="1"/>
      <c r="AH1670" s="1"/>
    </row>
    <row r="1671" ht="12.75" hidden="1" customHeight="1" outlineLevel="1">
      <c r="A1671" s="17">
        <v>41281.0</v>
      </c>
      <c r="B1671" s="1" t="s">
        <v>347</v>
      </c>
      <c r="C1671" s="1" t="s">
        <v>371</v>
      </c>
      <c r="D1671" s="74">
        <v>150.0</v>
      </c>
      <c r="E1671" s="67">
        <v>40.13</v>
      </c>
      <c r="F1671" s="75">
        <v>0.4601388888888889</v>
      </c>
      <c r="G1671" s="67" t="s">
        <v>453</v>
      </c>
      <c r="H1671" s="68">
        <v>1.0</v>
      </c>
      <c r="I1671" s="76"/>
      <c r="J1671" s="67">
        <f t="shared" ref="J1671:J1674" si="118">IF(B1671="SLD",D1671*E1671,-D1671*E1671)-H1671</f>
        <v>6018.5</v>
      </c>
      <c r="K1671" s="7"/>
      <c r="L1671" s="70"/>
      <c r="M1671" s="79"/>
      <c r="N1671" s="1"/>
      <c r="O1671" s="1"/>
      <c r="P1671" s="1"/>
      <c r="Q1671" s="1"/>
      <c r="R1671" s="1"/>
      <c r="S1671" s="1"/>
      <c r="T1671" s="1"/>
      <c r="U1671" s="1"/>
      <c r="V1671" s="1"/>
      <c r="W1671" s="1"/>
      <c r="X1671" s="1"/>
      <c r="Y1671" s="1"/>
      <c r="Z1671" s="1"/>
      <c r="AA1671" s="1"/>
      <c r="AB1671" s="1"/>
      <c r="AC1671" s="1"/>
      <c r="AD1671" s="1"/>
      <c r="AE1671" s="1"/>
      <c r="AF1671" s="1"/>
      <c r="AG1671" s="1"/>
      <c r="AH1671" s="1"/>
    </row>
    <row r="1672" ht="12.75" hidden="1" customHeight="1" outlineLevel="1">
      <c r="A1672" s="17">
        <v>41281.0</v>
      </c>
      <c r="B1672" s="1" t="s">
        <v>343</v>
      </c>
      <c r="C1672" s="1" t="s">
        <v>855</v>
      </c>
      <c r="D1672" s="74">
        <v>100.0</v>
      </c>
      <c r="E1672" s="67">
        <v>108.75</v>
      </c>
      <c r="F1672" s="75">
        <v>0.46422453703703703</v>
      </c>
      <c r="G1672" s="67" t="s">
        <v>453</v>
      </c>
      <c r="H1672" s="68">
        <v>1.0</v>
      </c>
      <c r="I1672" s="76"/>
      <c r="J1672" s="67">
        <f t="shared" si="118"/>
        <v>-10876</v>
      </c>
      <c r="K1672" s="7"/>
      <c r="L1672" s="70"/>
      <c r="M1672" s="79"/>
      <c r="N1672" s="1"/>
      <c r="O1672" s="1"/>
      <c r="P1672" s="1"/>
      <c r="Q1672" s="1"/>
      <c r="R1672" s="1"/>
      <c r="S1672" s="1"/>
      <c r="T1672" s="1"/>
      <c r="U1672" s="1"/>
      <c r="V1672" s="1"/>
      <c r="W1672" s="1"/>
      <c r="X1672" s="1"/>
      <c r="Y1672" s="1"/>
      <c r="Z1672" s="1"/>
      <c r="AA1672" s="1"/>
      <c r="AB1672" s="1"/>
      <c r="AC1672" s="1"/>
      <c r="AD1672" s="1"/>
      <c r="AE1672" s="1"/>
      <c r="AF1672" s="1"/>
      <c r="AG1672" s="1"/>
      <c r="AH1672" s="1"/>
    </row>
    <row r="1673" ht="12.75" hidden="1" customHeight="1" outlineLevel="1">
      <c r="A1673" s="17">
        <v>41281.0</v>
      </c>
      <c r="B1673" s="1" t="s">
        <v>347</v>
      </c>
      <c r="C1673" s="1" t="s">
        <v>681</v>
      </c>
      <c r="D1673" s="74">
        <v>400.0</v>
      </c>
      <c r="E1673" s="67">
        <v>17.4</v>
      </c>
      <c r="F1673" s="75">
        <v>0.46680555555555553</v>
      </c>
      <c r="G1673" s="67" t="s">
        <v>453</v>
      </c>
      <c r="H1673" s="68">
        <v>2.0</v>
      </c>
      <c r="I1673" s="76"/>
      <c r="J1673" s="67">
        <f t="shared" si="118"/>
        <v>6958</v>
      </c>
      <c r="K1673" s="7"/>
      <c r="L1673" s="70"/>
      <c r="M1673" s="79"/>
      <c r="N1673" s="1"/>
      <c r="O1673" s="1"/>
      <c r="P1673" s="1"/>
      <c r="Q1673" s="1"/>
      <c r="R1673" s="1"/>
      <c r="S1673" s="1"/>
      <c r="T1673" s="1"/>
      <c r="U1673" s="1"/>
      <c r="V1673" s="1"/>
      <c r="W1673" s="1"/>
      <c r="X1673" s="1"/>
      <c r="Y1673" s="1"/>
      <c r="Z1673" s="1"/>
      <c r="AA1673" s="1"/>
      <c r="AB1673" s="1"/>
      <c r="AC1673" s="1"/>
      <c r="AD1673" s="1"/>
      <c r="AE1673" s="1"/>
      <c r="AF1673" s="1"/>
      <c r="AG1673" s="1"/>
      <c r="AH1673" s="1"/>
    </row>
    <row r="1674" ht="12.75" hidden="1" customHeight="1" outlineLevel="1">
      <c r="A1674" s="17">
        <v>41281.0</v>
      </c>
      <c r="B1674" s="1" t="s">
        <v>343</v>
      </c>
      <c r="C1674" s="1" t="s">
        <v>734</v>
      </c>
      <c r="D1674" s="74">
        <v>300.0</v>
      </c>
      <c r="E1674" s="67">
        <v>19.363</v>
      </c>
      <c r="F1674" s="75">
        <v>0.551875</v>
      </c>
      <c r="G1674" s="67" t="s">
        <v>453</v>
      </c>
      <c r="H1674" s="68">
        <v>1.5</v>
      </c>
      <c r="I1674" s="76"/>
      <c r="J1674" s="67">
        <f t="shared" si="118"/>
        <v>-5810.4</v>
      </c>
      <c r="K1674" s="7"/>
      <c r="L1674" s="70"/>
      <c r="M1674" s="79"/>
      <c r="N1674" s="1"/>
      <c r="O1674" s="1"/>
      <c r="P1674" s="1"/>
      <c r="Q1674" s="1"/>
      <c r="R1674" s="1"/>
      <c r="S1674" s="1"/>
      <c r="T1674" s="1"/>
      <c r="U1674" s="1"/>
      <c r="V1674" s="1"/>
      <c r="W1674" s="1"/>
      <c r="X1674" s="1"/>
      <c r="Y1674" s="1"/>
      <c r="Z1674" s="1"/>
      <c r="AA1674" s="1"/>
      <c r="AB1674" s="1"/>
      <c r="AC1674" s="1"/>
      <c r="AD1674" s="1"/>
      <c r="AE1674" s="1"/>
      <c r="AF1674" s="1"/>
      <c r="AG1674" s="1"/>
      <c r="AH1674" s="1"/>
    </row>
    <row r="1675" ht="12.75" hidden="1" customHeight="1" outlineLevel="1">
      <c r="A1675" s="17">
        <v>41281.0</v>
      </c>
      <c r="B1675" s="1"/>
      <c r="C1675" s="1" t="s">
        <v>339</v>
      </c>
      <c r="D1675" s="74"/>
      <c r="E1675" s="67"/>
      <c r="F1675" s="75"/>
      <c r="G1675" s="67"/>
      <c r="H1675" s="68"/>
      <c r="I1675" s="76"/>
      <c r="J1675" s="67"/>
      <c r="K1675" s="7" t="s">
        <v>856</v>
      </c>
      <c r="L1675" s="77"/>
      <c r="M1675" s="79"/>
      <c r="N1675" s="1"/>
      <c r="O1675" s="1"/>
      <c r="P1675" s="1"/>
      <c r="Q1675" s="1"/>
      <c r="R1675" s="1"/>
      <c r="S1675" s="1"/>
      <c r="T1675" s="1"/>
      <c r="U1675" s="1"/>
      <c r="V1675" s="1"/>
      <c r="W1675" s="1"/>
      <c r="X1675" s="1"/>
      <c r="Y1675" s="1"/>
      <c r="Z1675" s="1"/>
      <c r="AA1675" s="1"/>
      <c r="AB1675" s="1"/>
      <c r="AC1675" s="1"/>
      <c r="AD1675" s="1"/>
      <c r="AE1675" s="1"/>
      <c r="AF1675" s="1"/>
      <c r="AG1675" s="1"/>
      <c r="AH1675" s="1"/>
    </row>
    <row r="1676" ht="12.75" hidden="1" customHeight="1" outlineLevel="1">
      <c r="A1676" s="17">
        <v>41281.0</v>
      </c>
      <c r="B1676" s="1"/>
      <c r="C1676" s="1" t="s">
        <v>429</v>
      </c>
      <c r="D1676" s="74"/>
      <c r="E1676" s="67"/>
      <c r="F1676" s="75"/>
      <c r="G1676" s="67"/>
      <c r="H1676" s="68"/>
      <c r="I1676" s="76"/>
      <c r="J1676" s="67"/>
      <c r="K1676" s="7" t="s">
        <v>679</v>
      </c>
      <c r="L1676" s="77"/>
      <c r="M1676" s="79"/>
      <c r="N1676" s="1"/>
      <c r="O1676" s="1"/>
      <c r="P1676" s="1"/>
      <c r="Q1676" s="1"/>
      <c r="R1676" s="1"/>
      <c r="S1676" s="1"/>
      <c r="T1676" s="1"/>
      <c r="U1676" s="1"/>
      <c r="V1676" s="1"/>
      <c r="W1676" s="1"/>
      <c r="X1676" s="1"/>
      <c r="Y1676" s="1"/>
      <c r="Z1676" s="1"/>
      <c r="AA1676" s="1"/>
      <c r="AB1676" s="1"/>
      <c r="AC1676" s="1"/>
      <c r="AD1676" s="1"/>
      <c r="AE1676" s="1"/>
      <c r="AF1676" s="1"/>
      <c r="AG1676" s="1"/>
      <c r="AH1676" s="1"/>
    </row>
    <row r="1677" ht="12.75" hidden="1" customHeight="1" outlineLevel="1">
      <c r="A1677" s="17">
        <v>41281.0</v>
      </c>
      <c r="B1677" s="1"/>
      <c r="C1677" s="1" t="s">
        <v>431</v>
      </c>
      <c r="D1677" s="74"/>
      <c r="E1677" s="67"/>
      <c r="F1677" s="75"/>
      <c r="G1677" s="67"/>
      <c r="H1677" s="68"/>
      <c r="I1677" s="76"/>
      <c r="J1677" s="67"/>
      <c r="K1677" s="7" t="s">
        <v>817</v>
      </c>
      <c r="L1677" s="77"/>
      <c r="M1677" s="79"/>
      <c r="N1677" s="1"/>
      <c r="O1677" s="1"/>
      <c r="P1677" s="1"/>
      <c r="Q1677" s="1"/>
      <c r="R1677" s="1"/>
      <c r="S1677" s="1"/>
      <c r="T1677" s="1"/>
      <c r="U1677" s="1"/>
      <c r="V1677" s="1"/>
      <c r="W1677" s="1"/>
      <c r="X1677" s="1"/>
      <c r="Y1677" s="1"/>
      <c r="Z1677" s="1"/>
      <c r="AA1677" s="1"/>
      <c r="AB1677" s="1"/>
      <c r="AC1677" s="1"/>
      <c r="AD1677" s="1"/>
      <c r="AE1677" s="1"/>
      <c r="AF1677" s="1"/>
      <c r="AG1677" s="1"/>
      <c r="AH1677" s="1"/>
    </row>
    <row r="1678" ht="12.75" hidden="1" customHeight="1" outlineLevel="1">
      <c r="A1678" s="17">
        <v>41281.0</v>
      </c>
      <c r="B1678" s="1"/>
      <c r="C1678" s="1" t="s">
        <v>433</v>
      </c>
      <c r="D1678" s="74"/>
      <c r="E1678" s="67"/>
      <c r="F1678" s="75"/>
      <c r="G1678" s="67"/>
      <c r="H1678" s="68"/>
      <c r="I1678" s="76"/>
      <c r="J1678" s="67"/>
      <c r="K1678" s="1" t="s">
        <v>434</v>
      </c>
      <c r="L1678" s="77"/>
      <c r="M1678" s="79"/>
      <c r="N1678" s="1"/>
      <c r="O1678" s="1"/>
      <c r="P1678" s="1"/>
      <c r="Q1678" s="1"/>
      <c r="R1678" s="1"/>
      <c r="S1678" s="1"/>
      <c r="T1678" s="1"/>
      <c r="U1678" s="1"/>
      <c r="V1678" s="1"/>
      <c r="W1678" s="1"/>
      <c r="X1678" s="1"/>
      <c r="Y1678" s="1"/>
      <c r="Z1678" s="1"/>
      <c r="AA1678" s="1"/>
      <c r="AB1678" s="1"/>
      <c r="AC1678" s="1"/>
      <c r="AD1678" s="1"/>
      <c r="AE1678" s="1"/>
      <c r="AF1678" s="1"/>
      <c r="AG1678" s="1"/>
      <c r="AH1678" s="1"/>
    </row>
    <row r="1679" ht="12.75" hidden="1" customHeight="1" outlineLevel="1">
      <c r="A1679" s="17">
        <v>41281.0</v>
      </c>
      <c r="B1679" s="1"/>
      <c r="C1679" s="1" t="s">
        <v>435</v>
      </c>
      <c r="D1679" s="74"/>
      <c r="E1679" s="67"/>
      <c r="F1679" s="75"/>
      <c r="G1679" s="67"/>
      <c r="H1679" s="68"/>
      <c r="I1679" s="76"/>
      <c r="J1679" s="67"/>
      <c r="K1679" s="7" t="s">
        <v>818</v>
      </c>
      <c r="L1679" s="77"/>
      <c r="M1679" s="79"/>
      <c r="N1679" s="1"/>
      <c r="O1679" s="1"/>
      <c r="P1679" s="1"/>
      <c r="Q1679" s="1"/>
      <c r="R1679" s="1"/>
      <c r="S1679" s="1"/>
      <c r="T1679" s="1"/>
      <c r="U1679" s="1"/>
      <c r="V1679" s="1"/>
      <c r="W1679" s="1"/>
      <c r="X1679" s="1"/>
      <c r="Y1679" s="1"/>
      <c r="Z1679" s="1"/>
      <c r="AA1679" s="1"/>
      <c r="AB1679" s="1"/>
      <c r="AC1679" s="1"/>
      <c r="AD1679" s="1"/>
      <c r="AE1679" s="1"/>
      <c r="AF1679" s="1"/>
      <c r="AG1679" s="1"/>
      <c r="AH1679" s="1"/>
    </row>
    <row r="1680" ht="12.75" hidden="1" customHeight="1" outlineLevel="1">
      <c r="A1680" s="17">
        <v>41282.0</v>
      </c>
      <c r="B1680" s="1" t="s">
        <v>343</v>
      </c>
      <c r="C1680" s="1" t="s">
        <v>734</v>
      </c>
      <c r="D1680" s="74">
        <v>200.0</v>
      </c>
      <c r="E1680" s="67">
        <v>19.6</v>
      </c>
      <c r="F1680" s="75">
        <v>0.4557407407407407</v>
      </c>
      <c r="G1680" s="67" t="s">
        <v>453</v>
      </c>
      <c r="H1680" s="68">
        <v>1.0</v>
      </c>
      <c r="I1680" s="76"/>
      <c r="J1680" s="67">
        <f t="shared" ref="J1680:J1683" si="119">IF(B1680="SLD",D1680*E1680,-D1680*E1680)-H1680</f>
        <v>-3921</v>
      </c>
      <c r="K1680" s="7"/>
      <c r="L1680" s="70"/>
      <c r="M1680" s="79"/>
      <c r="N1680" s="1"/>
      <c r="O1680" s="1"/>
      <c r="P1680" s="1"/>
      <c r="Q1680" s="1"/>
      <c r="R1680" s="1"/>
      <c r="S1680" s="1"/>
      <c r="T1680" s="1"/>
      <c r="U1680" s="1"/>
      <c r="V1680" s="1"/>
      <c r="W1680" s="1"/>
      <c r="X1680" s="1"/>
      <c r="Y1680" s="1"/>
      <c r="Z1680" s="1"/>
      <c r="AA1680" s="1"/>
      <c r="AB1680" s="1"/>
      <c r="AC1680" s="1"/>
      <c r="AD1680" s="1"/>
      <c r="AE1680" s="1"/>
      <c r="AF1680" s="1"/>
      <c r="AG1680" s="1"/>
      <c r="AH1680" s="1"/>
    </row>
    <row r="1681" ht="12.75" hidden="1" customHeight="1" outlineLevel="1">
      <c r="A1681" s="17">
        <v>41282.0</v>
      </c>
      <c r="B1681" s="1" t="s">
        <v>343</v>
      </c>
      <c r="C1681" s="1" t="s">
        <v>857</v>
      </c>
      <c r="D1681" s="74">
        <v>1200.0</v>
      </c>
      <c r="E1681" s="67">
        <v>9.95</v>
      </c>
      <c r="F1681" s="75">
        <v>0.6293865740740741</v>
      </c>
      <c r="G1681" s="67" t="s">
        <v>453</v>
      </c>
      <c r="H1681" s="68">
        <v>6.0</v>
      </c>
      <c r="I1681" s="76"/>
      <c r="J1681" s="67">
        <f t="shared" si="119"/>
        <v>-11946</v>
      </c>
      <c r="K1681" s="7"/>
      <c r="L1681" s="70"/>
      <c r="M1681" s="79"/>
      <c r="N1681" s="1"/>
      <c r="O1681" s="1"/>
      <c r="P1681" s="1"/>
      <c r="Q1681" s="1"/>
      <c r="R1681" s="1"/>
      <c r="S1681" s="1"/>
      <c r="T1681" s="1"/>
      <c r="U1681" s="1"/>
      <c r="V1681" s="1"/>
      <c r="W1681" s="1"/>
      <c r="X1681" s="1"/>
      <c r="Y1681" s="1"/>
      <c r="Z1681" s="1"/>
      <c r="AA1681" s="1"/>
      <c r="AB1681" s="1"/>
      <c r="AC1681" s="1"/>
      <c r="AD1681" s="1"/>
      <c r="AE1681" s="1"/>
      <c r="AF1681" s="1"/>
      <c r="AG1681" s="1"/>
      <c r="AH1681" s="1"/>
    </row>
    <row r="1682" ht="12.75" hidden="1" customHeight="1" outlineLevel="1">
      <c r="A1682" s="17">
        <v>41282.0</v>
      </c>
      <c r="B1682" s="1" t="s">
        <v>343</v>
      </c>
      <c r="C1682" s="1" t="s">
        <v>354</v>
      </c>
      <c r="D1682" s="74">
        <v>100.0</v>
      </c>
      <c r="E1682" s="67">
        <v>91.02</v>
      </c>
      <c r="F1682" s="75">
        <v>0.6381018518518519</v>
      </c>
      <c r="G1682" s="67" t="s">
        <v>453</v>
      </c>
      <c r="H1682" s="68">
        <v>1.0</v>
      </c>
      <c r="I1682" s="76"/>
      <c r="J1682" s="67">
        <f t="shared" si="119"/>
        <v>-9103</v>
      </c>
      <c r="K1682" s="7"/>
      <c r="L1682" s="70"/>
      <c r="M1682" s="79"/>
      <c r="N1682" s="1"/>
      <c r="O1682" s="1"/>
      <c r="P1682" s="1"/>
      <c r="Q1682" s="1"/>
      <c r="R1682" s="1"/>
      <c r="S1682" s="1"/>
      <c r="T1682" s="1"/>
      <c r="U1682" s="1"/>
      <c r="V1682" s="1"/>
      <c r="W1682" s="1"/>
      <c r="X1682" s="1"/>
      <c r="Y1682" s="1"/>
      <c r="Z1682" s="1"/>
      <c r="AA1682" s="1"/>
      <c r="AB1682" s="1"/>
      <c r="AC1682" s="1"/>
      <c r="AD1682" s="1"/>
      <c r="AE1682" s="1"/>
      <c r="AF1682" s="1"/>
      <c r="AG1682" s="1"/>
      <c r="AH1682" s="1"/>
    </row>
    <row r="1683" ht="12.75" hidden="1" customHeight="1" outlineLevel="1">
      <c r="A1683" s="17">
        <v>41282.0</v>
      </c>
      <c r="B1683" s="1" t="s">
        <v>343</v>
      </c>
      <c r="C1683" s="1" t="s">
        <v>858</v>
      </c>
      <c r="D1683" s="74">
        <v>1000.0</v>
      </c>
      <c r="E1683" s="67">
        <v>11.81</v>
      </c>
      <c r="F1683" s="75">
        <v>0.6387037037037037</v>
      </c>
      <c r="G1683" s="67" t="s">
        <v>453</v>
      </c>
      <c r="H1683" s="68">
        <v>4.0</v>
      </c>
      <c r="I1683" s="76"/>
      <c r="J1683" s="67">
        <f t="shared" si="119"/>
        <v>-11814</v>
      </c>
      <c r="K1683" s="7"/>
      <c r="L1683" s="70"/>
      <c r="M1683" s="79"/>
      <c r="N1683" s="1"/>
      <c r="O1683" s="1"/>
      <c r="P1683" s="1"/>
      <c r="Q1683" s="1"/>
      <c r="R1683" s="1"/>
      <c r="S1683" s="1"/>
      <c r="T1683" s="1"/>
      <c r="U1683" s="1"/>
      <c r="V1683" s="1"/>
      <c r="W1683" s="1"/>
      <c r="X1683" s="1"/>
      <c r="Y1683" s="1"/>
      <c r="Z1683" s="1"/>
      <c r="AA1683" s="1"/>
      <c r="AB1683" s="1"/>
      <c r="AC1683" s="1"/>
      <c r="AD1683" s="1"/>
      <c r="AE1683" s="1"/>
      <c r="AF1683" s="1"/>
      <c r="AG1683" s="1"/>
      <c r="AH1683" s="1"/>
    </row>
    <row r="1684" ht="12.75" hidden="1" customHeight="1" outlineLevel="1">
      <c r="A1684" s="17">
        <v>41282.0</v>
      </c>
      <c r="B1684" s="1"/>
      <c r="C1684" s="1" t="s">
        <v>339</v>
      </c>
      <c r="D1684" s="74"/>
      <c r="E1684" s="67"/>
      <c r="F1684" s="75"/>
      <c r="G1684" s="67"/>
      <c r="H1684" s="68"/>
      <c r="I1684" s="76"/>
      <c r="J1684" s="67"/>
      <c r="K1684" s="7" t="s">
        <v>859</v>
      </c>
      <c r="L1684" s="77"/>
      <c r="M1684" s="79"/>
      <c r="N1684" s="1"/>
      <c r="O1684" s="1"/>
      <c r="P1684" s="1"/>
      <c r="Q1684" s="1"/>
      <c r="R1684" s="1"/>
      <c r="S1684" s="1"/>
      <c r="T1684" s="1"/>
      <c r="U1684" s="1"/>
      <c r="V1684" s="1"/>
      <c r="W1684" s="1"/>
      <c r="X1684" s="1"/>
      <c r="Y1684" s="1"/>
      <c r="Z1684" s="1"/>
      <c r="AA1684" s="1"/>
      <c r="AB1684" s="1"/>
      <c r="AC1684" s="1"/>
      <c r="AD1684" s="1"/>
      <c r="AE1684" s="1"/>
      <c r="AF1684" s="1"/>
      <c r="AG1684" s="1"/>
      <c r="AH1684" s="1"/>
    </row>
    <row r="1685" ht="12.75" hidden="1" customHeight="1" outlineLevel="1">
      <c r="A1685" s="17">
        <v>41282.0</v>
      </c>
      <c r="B1685" s="1"/>
      <c r="C1685" s="1" t="s">
        <v>429</v>
      </c>
      <c r="D1685" s="74"/>
      <c r="E1685" s="67"/>
      <c r="F1685" s="75"/>
      <c r="G1685" s="67"/>
      <c r="H1685" s="68"/>
      <c r="I1685" s="76"/>
      <c r="J1685" s="67"/>
      <c r="K1685" s="7" t="s">
        <v>679</v>
      </c>
      <c r="L1685" s="77"/>
      <c r="M1685" s="79"/>
      <c r="N1685" s="1"/>
      <c r="O1685" s="1"/>
      <c r="P1685" s="1"/>
      <c r="Q1685" s="1"/>
      <c r="R1685" s="1"/>
      <c r="S1685" s="1"/>
      <c r="T1685" s="1"/>
      <c r="U1685" s="1"/>
      <c r="V1685" s="1"/>
      <c r="W1685" s="1"/>
      <c r="X1685" s="1"/>
      <c r="Y1685" s="1"/>
      <c r="Z1685" s="1"/>
      <c r="AA1685" s="1"/>
      <c r="AB1685" s="1"/>
      <c r="AC1685" s="1"/>
      <c r="AD1685" s="1"/>
      <c r="AE1685" s="1"/>
      <c r="AF1685" s="1"/>
      <c r="AG1685" s="1"/>
      <c r="AH1685" s="1"/>
    </row>
    <row r="1686" ht="12.75" hidden="1" customHeight="1" outlineLevel="1">
      <c r="A1686" s="17">
        <v>41282.0</v>
      </c>
      <c r="B1686" s="1"/>
      <c r="C1686" s="1" t="s">
        <v>431</v>
      </c>
      <c r="D1686" s="74"/>
      <c r="E1686" s="67"/>
      <c r="F1686" s="75"/>
      <c r="G1686" s="67"/>
      <c r="H1686" s="68"/>
      <c r="I1686" s="76"/>
      <c r="J1686" s="67"/>
      <c r="K1686" s="7" t="s">
        <v>817</v>
      </c>
      <c r="L1686" s="77"/>
      <c r="M1686" s="79"/>
      <c r="N1686" s="1"/>
      <c r="O1686" s="1"/>
      <c r="P1686" s="1"/>
      <c r="Q1686" s="1"/>
      <c r="R1686" s="1"/>
      <c r="S1686" s="1"/>
      <c r="T1686" s="1"/>
      <c r="U1686" s="1"/>
      <c r="V1686" s="1"/>
      <c r="W1686" s="1"/>
      <c r="X1686" s="1"/>
      <c r="Y1686" s="1"/>
      <c r="Z1686" s="1"/>
      <c r="AA1686" s="1"/>
      <c r="AB1686" s="1"/>
      <c r="AC1686" s="1"/>
      <c r="AD1686" s="1"/>
      <c r="AE1686" s="1"/>
      <c r="AF1686" s="1"/>
      <c r="AG1686" s="1"/>
      <c r="AH1686" s="1"/>
    </row>
    <row r="1687" ht="12.75" hidden="1" customHeight="1" outlineLevel="1">
      <c r="A1687" s="17">
        <v>41282.0</v>
      </c>
      <c r="B1687" s="1"/>
      <c r="C1687" s="1" t="s">
        <v>433</v>
      </c>
      <c r="D1687" s="74"/>
      <c r="E1687" s="67"/>
      <c r="F1687" s="75"/>
      <c r="G1687" s="67"/>
      <c r="H1687" s="68"/>
      <c r="I1687" s="76"/>
      <c r="J1687" s="67"/>
      <c r="K1687" s="1" t="s">
        <v>434</v>
      </c>
      <c r="L1687" s="77"/>
      <c r="M1687" s="79"/>
      <c r="N1687" s="1"/>
      <c r="O1687" s="1"/>
      <c r="P1687" s="1"/>
      <c r="Q1687" s="1"/>
      <c r="R1687" s="1"/>
      <c r="S1687" s="1"/>
      <c r="T1687" s="1"/>
      <c r="U1687" s="1"/>
      <c r="V1687" s="1"/>
      <c r="W1687" s="1"/>
      <c r="X1687" s="1"/>
      <c r="Y1687" s="1"/>
      <c r="Z1687" s="1"/>
      <c r="AA1687" s="1"/>
      <c r="AB1687" s="1"/>
      <c r="AC1687" s="1"/>
      <c r="AD1687" s="1"/>
      <c r="AE1687" s="1"/>
      <c r="AF1687" s="1"/>
      <c r="AG1687" s="1"/>
      <c r="AH1687" s="1"/>
    </row>
    <row r="1688" ht="12.75" hidden="1" customHeight="1" outlineLevel="1">
      <c r="A1688" s="17">
        <v>41282.0</v>
      </c>
      <c r="B1688" s="1"/>
      <c r="C1688" s="1" t="s">
        <v>435</v>
      </c>
      <c r="D1688" s="74"/>
      <c r="E1688" s="67"/>
      <c r="F1688" s="75"/>
      <c r="G1688" s="67"/>
      <c r="H1688" s="68"/>
      <c r="I1688" s="76"/>
      <c r="J1688" s="67"/>
      <c r="K1688" s="7" t="s">
        <v>818</v>
      </c>
      <c r="L1688" s="77"/>
      <c r="M1688" s="79"/>
      <c r="N1688" s="1"/>
      <c r="O1688" s="1"/>
      <c r="P1688" s="1"/>
      <c r="Q1688" s="1"/>
      <c r="R1688" s="1"/>
      <c r="S1688" s="1"/>
      <c r="T1688" s="1"/>
      <c r="U1688" s="1"/>
      <c r="V1688" s="1"/>
      <c r="W1688" s="1"/>
      <c r="X1688" s="1"/>
      <c r="Y1688" s="1"/>
      <c r="Z1688" s="1"/>
      <c r="AA1688" s="1"/>
      <c r="AB1688" s="1"/>
      <c r="AC1688" s="1"/>
      <c r="AD1688" s="1"/>
      <c r="AE1688" s="1"/>
      <c r="AF1688" s="1"/>
      <c r="AG1688" s="1"/>
      <c r="AH1688" s="1"/>
    </row>
    <row r="1689" ht="12.75" hidden="1" customHeight="1" outlineLevel="1">
      <c r="A1689" s="17">
        <v>41283.0</v>
      </c>
      <c r="B1689" s="1"/>
      <c r="C1689" s="1" t="s">
        <v>339</v>
      </c>
      <c r="D1689" s="74"/>
      <c r="E1689" s="67"/>
      <c r="F1689" s="75"/>
      <c r="G1689" s="67"/>
      <c r="H1689" s="68"/>
      <c r="I1689" s="76"/>
      <c r="J1689" s="67"/>
      <c r="K1689" s="7" t="s">
        <v>860</v>
      </c>
      <c r="L1689" s="77"/>
      <c r="M1689" s="79"/>
      <c r="N1689" s="1"/>
      <c r="O1689" s="1"/>
      <c r="P1689" s="1"/>
      <c r="Q1689" s="1"/>
      <c r="R1689" s="1"/>
      <c r="S1689" s="1"/>
      <c r="T1689" s="1"/>
      <c r="U1689" s="1"/>
      <c r="V1689" s="1"/>
      <c r="W1689" s="1"/>
      <c r="X1689" s="1"/>
      <c r="Y1689" s="1"/>
      <c r="Z1689" s="1"/>
      <c r="AA1689" s="1"/>
      <c r="AB1689" s="1"/>
      <c r="AC1689" s="1"/>
      <c r="AD1689" s="1"/>
      <c r="AE1689" s="1"/>
      <c r="AF1689" s="1"/>
      <c r="AG1689" s="1"/>
      <c r="AH1689" s="1"/>
    </row>
    <row r="1690" ht="12.75" hidden="1" customHeight="1" outlineLevel="1">
      <c r="A1690" s="17">
        <v>41283.0</v>
      </c>
      <c r="B1690" s="1"/>
      <c r="C1690" s="1" t="s">
        <v>429</v>
      </c>
      <c r="D1690" s="74"/>
      <c r="E1690" s="67"/>
      <c r="F1690" s="75"/>
      <c r="G1690" s="67"/>
      <c r="H1690" s="68"/>
      <c r="I1690" s="76"/>
      <c r="J1690" s="67"/>
      <c r="K1690" s="7" t="s">
        <v>679</v>
      </c>
      <c r="L1690" s="77"/>
      <c r="M1690" s="79"/>
      <c r="N1690" s="1"/>
      <c r="O1690" s="1"/>
      <c r="P1690" s="1"/>
      <c r="Q1690" s="1"/>
      <c r="R1690" s="1"/>
      <c r="S1690" s="1"/>
      <c r="T1690" s="1"/>
      <c r="U1690" s="1"/>
      <c r="V1690" s="1"/>
      <c r="W1690" s="1"/>
      <c r="X1690" s="1"/>
      <c r="Y1690" s="1"/>
      <c r="Z1690" s="1"/>
      <c r="AA1690" s="1"/>
      <c r="AB1690" s="1"/>
      <c r="AC1690" s="1"/>
      <c r="AD1690" s="1"/>
      <c r="AE1690" s="1"/>
      <c r="AF1690" s="1"/>
      <c r="AG1690" s="1"/>
      <c r="AH1690" s="1"/>
    </row>
    <row r="1691" ht="12.75" hidden="1" customHeight="1" outlineLevel="1">
      <c r="A1691" s="17">
        <v>41283.0</v>
      </c>
      <c r="B1691" s="1"/>
      <c r="C1691" s="1" t="s">
        <v>431</v>
      </c>
      <c r="D1691" s="74"/>
      <c r="E1691" s="67"/>
      <c r="F1691" s="75"/>
      <c r="G1691" s="67"/>
      <c r="H1691" s="68"/>
      <c r="I1691" s="76"/>
      <c r="J1691" s="67"/>
      <c r="K1691" s="7" t="s">
        <v>817</v>
      </c>
      <c r="L1691" s="77"/>
      <c r="M1691" s="79"/>
      <c r="N1691" s="1"/>
      <c r="O1691" s="1"/>
      <c r="P1691" s="1"/>
      <c r="Q1691" s="1"/>
      <c r="R1691" s="1"/>
      <c r="S1691" s="1"/>
      <c r="T1691" s="1"/>
      <c r="U1691" s="1"/>
      <c r="V1691" s="1"/>
      <c r="W1691" s="1"/>
      <c r="X1691" s="1"/>
      <c r="Y1691" s="1"/>
      <c r="Z1691" s="1"/>
      <c r="AA1691" s="1"/>
      <c r="AB1691" s="1"/>
      <c r="AC1691" s="1"/>
      <c r="AD1691" s="1"/>
      <c r="AE1691" s="1"/>
      <c r="AF1691" s="1"/>
      <c r="AG1691" s="1"/>
      <c r="AH1691" s="1"/>
    </row>
    <row r="1692" ht="12.75" hidden="1" customHeight="1" outlineLevel="1">
      <c r="A1692" s="17">
        <v>41283.0</v>
      </c>
      <c r="B1692" s="1"/>
      <c r="C1692" s="1" t="s">
        <v>433</v>
      </c>
      <c r="D1692" s="74"/>
      <c r="E1692" s="67"/>
      <c r="F1692" s="75"/>
      <c r="G1692" s="67"/>
      <c r="H1692" s="68"/>
      <c r="I1692" s="76"/>
      <c r="J1692" s="67"/>
      <c r="K1692" s="1" t="s">
        <v>434</v>
      </c>
      <c r="L1692" s="77"/>
      <c r="M1692" s="79"/>
      <c r="N1692" s="1"/>
      <c r="O1692" s="1"/>
      <c r="P1692" s="1"/>
      <c r="Q1692" s="1"/>
      <c r="R1692" s="1"/>
      <c r="S1692" s="1"/>
      <c r="T1692" s="1"/>
      <c r="U1692" s="1"/>
      <c r="V1692" s="1"/>
      <c r="W1692" s="1"/>
      <c r="X1692" s="1"/>
      <c r="Y1692" s="1"/>
      <c r="Z1692" s="1"/>
      <c r="AA1692" s="1"/>
      <c r="AB1692" s="1"/>
      <c r="AC1692" s="1"/>
      <c r="AD1692" s="1"/>
      <c r="AE1692" s="1"/>
      <c r="AF1692" s="1"/>
      <c r="AG1692" s="1"/>
      <c r="AH1692" s="1"/>
    </row>
    <row r="1693" ht="12.75" hidden="1" customHeight="1" outlineLevel="1">
      <c r="A1693" s="17">
        <v>41283.0</v>
      </c>
      <c r="B1693" s="1"/>
      <c r="C1693" s="1" t="s">
        <v>435</v>
      </c>
      <c r="D1693" s="74"/>
      <c r="E1693" s="67"/>
      <c r="F1693" s="75"/>
      <c r="G1693" s="67"/>
      <c r="H1693" s="68"/>
      <c r="I1693" s="76"/>
      <c r="J1693" s="67"/>
      <c r="K1693" s="7" t="s">
        <v>818</v>
      </c>
      <c r="L1693" s="77"/>
      <c r="M1693" s="79"/>
      <c r="N1693" s="1"/>
      <c r="O1693" s="1"/>
      <c r="P1693" s="1"/>
      <c r="Q1693" s="1"/>
      <c r="R1693" s="1"/>
      <c r="S1693" s="1"/>
      <c r="T1693" s="1"/>
      <c r="U1693" s="1"/>
      <c r="V1693" s="1"/>
      <c r="W1693" s="1"/>
      <c r="X1693" s="1"/>
      <c r="Y1693" s="1"/>
      <c r="Z1693" s="1"/>
      <c r="AA1693" s="1"/>
      <c r="AB1693" s="1"/>
      <c r="AC1693" s="1"/>
      <c r="AD1693" s="1"/>
      <c r="AE1693" s="1"/>
      <c r="AF1693" s="1"/>
      <c r="AG1693" s="1"/>
      <c r="AH1693" s="1"/>
    </row>
    <row r="1694" ht="12.75" hidden="1" customHeight="1" outlineLevel="1">
      <c r="A1694" s="17">
        <v>41284.0</v>
      </c>
      <c r="B1694" s="1" t="s">
        <v>343</v>
      </c>
      <c r="C1694" s="1" t="s">
        <v>349</v>
      </c>
      <c r="D1694" s="74">
        <v>150.0</v>
      </c>
      <c r="E1694" s="67">
        <v>39.89</v>
      </c>
      <c r="F1694" s="75">
        <v>0.39902777777777776</v>
      </c>
      <c r="G1694" s="67" t="s">
        <v>453</v>
      </c>
      <c r="H1694" s="68">
        <v>1.0</v>
      </c>
      <c r="I1694" s="76"/>
      <c r="J1694" s="67">
        <f t="shared" ref="J1694:J1697" si="120">IF(B1694="SLD",D1694*E1694,-D1694*E1694)-H1694</f>
        <v>-5984.5</v>
      </c>
      <c r="K1694" s="7"/>
      <c r="L1694" s="70"/>
      <c r="M1694" s="79"/>
      <c r="N1694" s="1"/>
      <c r="O1694" s="1"/>
      <c r="P1694" s="1"/>
      <c r="Q1694" s="1"/>
      <c r="R1694" s="1"/>
      <c r="S1694" s="1"/>
      <c r="T1694" s="1"/>
      <c r="U1694" s="1"/>
      <c r="V1694" s="1"/>
      <c r="W1694" s="1"/>
      <c r="X1694" s="1"/>
      <c r="Y1694" s="1"/>
      <c r="Z1694" s="1"/>
      <c r="AA1694" s="1"/>
      <c r="AB1694" s="1"/>
      <c r="AC1694" s="1"/>
      <c r="AD1694" s="1"/>
      <c r="AE1694" s="1"/>
      <c r="AF1694" s="1"/>
      <c r="AG1694" s="1"/>
      <c r="AH1694" s="1"/>
    </row>
    <row r="1695" ht="12.75" hidden="1" customHeight="1" outlineLevel="1">
      <c r="A1695" s="17">
        <v>41284.0</v>
      </c>
      <c r="B1695" s="1" t="s">
        <v>347</v>
      </c>
      <c r="C1695" s="1" t="s">
        <v>844</v>
      </c>
      <c r="D1695" s="74">
        <v>200.0</v>
      </c>
      <c r="E1695" s="67">
        <v>36.58</v>
      </c>
      <c r="F1695" s="75">
        <v>0.40078703703703705</v>
      </c>
      <c r="G1695" s="67" t="s">
        <v>453</v>
      </c>
      <c r="H1695" s="68">
        <v>1.0</v>
      </c>
      <c r="I1695" s="76"/>
      <c r="J1695" s="67">
        <f t="shared" si="120"/>
        <v>7315</v>
      </c>
      <c r="K1695" s="7"/>
      <c r="L1695" s="70"/>
      <c r="M1695" s="79"/>
      <c r="N1695" s="1"/>
      <c r="O1695" s="1"/>
      <c r="P1695" s="1"/>
      <c r="Q1695" s="1"/>
      <c r="R1695" s="1"/>
      <c r="S1695" s="1"/>
      <c r="T1695" s="1"/>
      <c r="U1695" s="1"/>
      <c r="V1695" s="1"/>
      <c r="W1695" s="1"/>
      <c r="X1695" s="1"/>
      <c r="Y1695" s="1"/>
      <c r="Z1695" s="1"/>
      <c r="AA1695" s="1"/>
      <c r="AB1695" s="1"/>
      <c r="AC1695" s="1"/>
      <c r="AD1695" s="1"/>
      <c r="AE1695" s="1"/>
      <c r="AF1695" s="1"/>
      <c r="AG1695" s="1"/>
      <c r="AH1695" s="1"/>
    </row>
    <row r="1696" ht="12.75" hidden="1" customHeight="1" outlineLevel="1">
      <c r="A1696" s="17">
        <v>41284.0</v>
      </c>
      <c r="B1696" s="1" t="s">
        <v>343</v>
      </c>
      <c r="C1696" s="1" t="s">
        <v>861</v>
      </c>
      <c r="D1696" s="74">
        <v>450.0</v>
      </c>
      <c r="E1696" s="67">
        <v>11.82</v>
      </c>
      <c r="F1696" s="75">
        <v>0.4923148148148148</v>
      </c>
      <c r="G1696" s="67" t="s">
        <v>453</v>
      </c>
      <c r="H1696" s="68">
        <v>3.25</v>
      </c>
      <c r="I1696" s="76"/>
      <c r="J1696" s="67">
        <f t="shared" si="120"/>
        <v>-5322.25</v>
      </c>
      <c r="K1696" s="7"/>
      <c r="L1696" s="70"/>
      <c r="M1696" s="79"/>
      <c r="N1696" s="1"/>
      <c r="O1696" s="1"/>
      <c r="P1696" s="1"/>
      <c r="Q1696" s="1"/>
      <c r="R1696" s="1"/>
      <c r="S1696" s="1"/>
      <c r="T1696" s="1"/>
      <c r="U1696" s="1"/>
      <c r="V1696" s="1"/>
      <c r="W1696" s="1"/>
      <c r="X1696" s="1"/>
      <c r="Y1696" s="1"/>
      <c r="Z1696" s="1"/>
      <c r="AA1696" s="1"/>
      <c r="AB1696" s="1"/>
      <c r="AC1696" s="1"/>
      <c r="AD1696" s="1"/>
      <c r="AE1696" s="1"/>
      <c r="AF1696" s="1"/>
      <c r="AG1696" s="1"/>
      <c r="AH1696" s="1"/>
    </row>
    <row r="1697" ht="12.75" hidden="1" customHeight="1" outlineLevel="1">
      <c r="A1697" s="17">
        <v>41284.0</v>
      </c>
      <c r="B1697" s="1" t="s">
        <v>347</v>
      </c>
      <c r="C1697" s="1" t="s">
        <v>346</v>
      </c>
      <c r="D1697" s="74">
        <v>15.0</v>
      </c>
      <c r="E1697" s="67">
        <v>524.3</v>
      </c>
      <c r="F1697" s="75">
        <v>0.662349537037037</v>
      </c>
      <c r="G1697" s="67" t="s">
        <v>453</v>
      </c>
      <c r="H1697" s="68">
        <v>1.0</v>
      </c>
      <c r="I1697" s="76"/>
      <c r="J1697" s="67">
        <f t="shared" si="120"/>
        <v>7863.5</v>
      </c>
      <c r="K1697" s="7"/>
      <c r="L1697" s="70"/>
      <c r="M1697" s="79"/>
      <c r="N1697" s="1"/>
      <c r="O1697" s="1"/>
      <c r="P1697" s="1"/>
      <c r="Q1697" s="1"/>
      <c r="R1697" s="1"/>
      <c r="S1697" s="1"/>
      <c r="T1697" s="1"/>
      <c r="U1697" s="1"/>
      <c r="V1697" s="1"/>
      <c r="W1697" s="1"/>
      <c r="X1697" s="1"/>
      <c r="Y1697" s="1"/>
      <c r="Z1697" s="1"/>
      <c r="AA1697" s="1"/>
      <c r="AB1697" s="1"/>
      <c r="AC1697" s="1"/>
      <c r="AD1697" s="1"/>
      <c r="AE1697" s="1"/>
      <c r="AF1697" s="1"/>
      <c r="AG1697" s="1"/>
      <c r="AH1697" s="1"/>
    </row>
    <row r="1698" ht="12.75" hidden="1" customHeight="1" outlineLevel="1">
      <c r="A1698" s="17">
        <v>41284.0</v>
      </c>
      <c r="B1698" s="1"/>
      <c r="C1698" s="1" t="s">
        <v>339</v>
      </c>
      <c r="D1698" s="74"/>
      <c r="E1698" s="67"/>
      <c r="F1698" s="75"/>
      <c r="G1698" s="67"/>
      <c r="H1698" s="68"/>
      <c r="I1698" s="76"/>
      <c r="J1698" s="67"/>
      <c r="K1698" s="7" t="s">
        <v>862</v>
      </c>
      <c r="L1698" s="77"/>
      <c r="M1698" s="79"/>
      <c r="N1698" s="1"/>
      <c r="O1698" s="1"/>
      <c r="P1698" s="1"/>
      <c r="Q1698" s="1"/>
      <c r="R1698" s="1"/>
      <c r="S1698" s="1"/>
      <c r="T1698" s="1"/>
      <c r="U1698" s="1"/>
      <c r="V1698" s="1"/>
      <c r="W1698" s="1"/>
      <c r="X1698" s="1"/>
      <c r="Y1698" s="1"/>
      <c r="Z1698" s="1"/>
      <c r="AA1698" s="1"/>
      <c r="AB1698" s="1"/>
      <c r="AC1698" s="1"/>
      <c r="AD1698" s="1"/>
      <c r="AE1698" s="1"/>
      <c r="AF1698" s="1"/>
      <c r="AG1698" s="1"/>
      <c r="AH1698" s="1"/>
    </row>
    <row r="1699" ht="12.75" hidden="1" customHeight="1" outlineLevel="1">
      <c r="A1699" s="17">
        <v>41284.0</v>
      </c>
      <c r="B1699" s="1"/>
      <c r="C1699" s="1" t="s">
        <v>429</v>
      </c>
      <c r="D1699" s="74"/>
      <c r="E1699" s="67"/>
      <c r="F1699" s="75"/>
      <c r="G1699" s="67"/>
      <c r="H1699" s="68"/>
      <c r="I1699" s="76"/>
      <c r="J1699" s="67"/>
      <c r="K1699" s="7" t="s">
        <v>679</v>
      </c>
      <c r="L1699" s="77"/>
      <c r="M1699" s="79"/>
      <c r="N1699" s="1"/>
      <c r="O1699" s="1"/>
      <c r="P1699" s="1"/>
      <c r="Q1699" s="1"/>
      <c r="R1699" s="1"/>
      <c r="S1699" s="1"/>
      <c r="T1699" s="1"/>
      <c r="U1699" s="1"/>
      <c r="V1699" s="1"/>
      <c r="W1699" s="1"/>
      <c r="X1699" s="1"/>
      <c r="Y1699" s="1"/>
      <c r="Z1699" s="1"/>
      <c r="AA1699" s="1"/>
      <c r="AB1699" s="1"/>
      <c r="AC1699" s="1"/>
      <c r="AD1699" s="1"/>
      <c r="AE1699" s="1"/>
      <c r="AF1699" s="1"/>
      <c r="AG1699" s="1"/>
      <c r="AH1699" s="1"/>
    </row>
    <row r="1700" ht="12.75" hidden="1" customHeight="1" outlineLevel="1">
      <c r="A1700" s="17">
        <v>41284.0</v>
      </c>
      <c r="B1700" s="1"/>
      <c r="C1700" s="1" t="s">
        <v>431</v>
      </c>
      <c r="D1700" s="74"/>
      <c r="E1700" s="67"/>
      <c r="F1700" s="75"/>
      <c r="G1700" s="67"/>
      <c r="H1700" s="68"/>
      <c r="I1700" s="76"/>
      <c r="J1700" s="67"/>
      <c r="K1700" s="7" t="s">
        <v>817</v>
      </c>
      <c r="L1700" s="77"/>
      <c r="M1700" s="79"/>
      <c r="N1700" s="1"/>
      <c r="O1700" s="1"/>
      <c r="P1700" s="1"/>
      <c r="Q1700" s="1"/>
      <c r="R1700" s="1"/>
      <c r="S1700" s="1"/>
      <c r="T1700" s="1"/>
      <c r="U1700" s="1"/>
      <c r="V1700" s="1"/>
      <c r="W1700" s="1"/>
      <c r="X1700" s="1"/>
      <c r="Y1700" s="1"/>
      <c r="Z1700" s="1"/>
      <c r="AA1700" s="1"/>
      <c r="AB1700" s="1"/>
      <c r="AC1700" s="1"/>
      <c r="AD1700" s="1"/>
      <c r="AE1700" s="1"/>
      <c r="AF1700" s="1"/>
      <c r="AG1700" s="1"/>
      <c r="AH1700" s="1"/>
    </row>
    <row r="1701" ht="12.75" hidden="1" customHeight="1" outlineLevel="1">
      <c r="A1701" s="17">
        <v>41284.0</v>
      </c>
      <c r="B1701" s="1"/>
      <c r="C1701" s="1" t="s">
        <v>433</v>
      </c>
      <c r="D1701" s="74"/>
      <c r="E1701" s="67"/>
      <c r="F1701" s="75"/>
      <c r="G1701" s="67"/>
      <c r="H1701" s="68"/>
      <c r="I1701" s="76"/>
      <c r="J1701" s="67"/>
      <c r="K1701" s="1" t="s">
        <v>434</v>
      </c>
      <c r="L1701" s="77"/>
      <c r="M1701" s="79"/>
      <c r="N1701" s="1"/>
      <c r="O1701" s="1"/>
      <c r="P1701" s="1"/>
      <c r="Q1701" s="1"/>
      <c r="R1701" s="1"/>
      <c r="S1701" s="1"/>
      <c r="T1701" s="1"/>
      <c r="U1701" s="1"/>
      <c r="V1701" s="1"/>
      <c r="W1701" s="1"/>
      <c r="X1701" s="1"/>
      <c r="Y1701" s="1"/>
      <c r="Z1701" s="1"/>
      <c r="AA1701" s="1"/>
      <c r="AB1701" s="1"/>
      <c r="AC1701" s="1"/>
      <c r="AD1701" s="1"/>
      <c r="AE1701" s="1"/>
      <c r="AF1701" s="1"/>
      <c r="AG1701" s="1"/>
      <c r="AH1701" s="1"/>
    </row>
    <row r="1702" ht="12.75" hidden="1" customHeight="1" outlineLevel="1">
      <c r="A1702" s="17">
        <v>41284.0</v>
      </c>
      <c r="B1702" s="1"/>
      <c r="C1702" s="1" t="s">
        <v>435</v>
      </c>
      <c r="D1702" s="74"/>
      <c r="E1702" s="67"/>
      <c r="F1702" s="75"/>
      <c r="G1702" s="67"/>
      <c r="H1702" s="68"/>
      <c r="I1702" s="76"/>
      <c r="J1702" s="67"/>
      <c r="K1702" s="7" t="s">
        <v>818</v>
      </c>
      <c r="L1702" s="77"/>
      <c r="M1702" s="79"/>
      <c r="N1702" s="1"/>
      <c r="O1702" s="1"/>
      <c r="P1702" s="1"/>
      <c r="Q1702" s="1"/>
      <c r="R1702" s="1"/>
      <c r="S1702" s="1"/>
      <c r="T1702" s="1"/>
      <c r="U1702" s="1"/>
      <c r="V1702" s="1"/>
      <c r="W1702" s="1"/>
      <c r="X1702" s="1"/>
      <c r="Y1702" s="1"/>
      <c r="Z1702" s="1"/>
      <c r="AA1702" s="1"/>
      <c r="AB1702" s="1"/>
      <c r="AC1702" s="1"/>
      <c r="AD1702" s="1"/>
      <c r="AE1702" s="1"/>
      <c r="AF1702" s="1"/>
      <c r="AG1702" s="1"/>
      <c r="AH1702" s="1"/>
    </row>
    <row r="1703" ht="12.75" hidden="1" customHeight="1" outlineLevel="1">
      <c r="A1703" s="17">
        <v>41285.0</v>
      </c>
      <c r="B1703" s="1" t="s">
        <v>343</v>
      </c>
      <c r="C1703" s="1" t="s">
        <v>755</v>
      </c>
      <c r="D1703" s="74">
        <v>250.0</v>
      </c>
      <c r="E1703" s="67">
        <v>27.35</v>
      </c>
      <c r="F1703" s="75">
        <v>0.4181597222222222</v>
      </c>
      <c r="G1703" s="67" t="s">
        <v>453</v>
      </c>
      <c r="H1703" s="68">
        <v>1.25</v>
      </c>
      <c r="I1703" s="76"/>
      <c r="J1703" s="67">
        <f t="shared" ref="J1703:J1708" si="121">IF(B1703="SLD",D1703*E1703,-D1703*E1703)-H1703</f>
        <v>-6838.75</v>
      </c>
      <c r="K1703" s="7"/>
      <c r="L1703" s="70"/>
      <c r="M1703" s="79"/>
      <c r="N1703" s="1"/>
      <c r="O1703" s="1"/>
      <c r="P1703" s="1"/>
      <c r="Q1703" s="1"/>
      <c r="R1703" s="1"/>
      <c r="S1703" s="1"/>
      <c r="T1703" s="1"/>
      <c r="U1703" s="1"/>
      <c r="V1703" s="1"/>
      <c r="W1703" s="1"/>
      <c r="X1703" s="1"/>
      <c r="Y1703" s="1"/>
      <c r="Z1703" s="1"/>
      <c r="AA1703" s="1"/>
      <c r="AB1703" s="1"/>
      <c r="AC1703" s="1"/>
      <c r="AD1703" s="1"/>
      <c r="AE1703" s="1"/>
      <c r="AF1703" s="1"/>
      <c r="AG1703" s="1"/>
      <c r="AH1703" s="1"/>
    </row>
    <row r="1704" ht="12.75" hidden="1" customHeight="1" outlineLevel="1">
      <c r="A1704" s="17">
        <v>41285.0</v>
      </c>
      <c r="B1704" s="1" t="s">
        <v>343</v>
      </c>
      <c r="C1704" s="1" t="s">
        <v>757</v>
      </c>
      <c r="D1704" s="74">
        <v>150.0</v>
      </c>
      <c r="E1704" s="67">
        <v>51.19</v>
      </c>
      <c r="F1704" s="75">
        <v>0.418599537037037</v>
      </c>
      <c r="G1704" s="67" t="s">
        <v>453</v>
      </c>
      <c r="H1704" s="68">
        <v>1.0</v>
      </c>
      <c r="I1704" s="76"/>
      <c r="J1704" s="67">
        <f t="shared" si="121"/>
        <v>-7679.5</v>
      </c>
      <c r="K1704" s="7"/>
      <c r="L1704" s="70"/>
      <c r="M1704" s="79"/>
      <c r="N1704" s="1"/>
      <c r="O1704" s="1"/>
      <c r="P1704" s="1"/>
      <c r="Q1704" s="1"/>
      <c r="R1704" s="1"/>
      <c r="S1704" s="1"/>
      <c r="T1704" s="1"/>
      <c r="U1704" s="1"/>
      <c r="V1704" s="1"/>
      <c r="W1704" s="1"/>
      <c r="X1704" s="1"/>
      <c r="Y1704" s="1"/>
      <c r="Z1704" s="1"/>
      <c r="AA1704" s="1"/>
      <c r="AB1704" s="1"/>
      <c r="AC1704" s="1"/>
      <c r="AD1704" s="1"/>
      <c r="AE1704" s="1"/>
      <c r="AF1704" s="1"/>
      <c r="AG1704" s="1"/>
      <c r="AH1704" s="1"/>
    </row>
    <row r="1705" ht="12.75" hidden="1" customHeight="1" outlineLevel="1">
      <c r="A1705" s="17">
        <v>41285.0</v>
      </c>
      <c r="B1705" s="1" t="s">
        <v>347</v>
      </c>
      <c r="C1705" s="1" t="s">
        <v>346</v>
      </c>
      <c r="D1705" s="74">
        <v>25.0</v>
      </c>
      <c r="E1705" s="67">
        <v>521.656</v>
      </c>
      <c r="F1705" s="75">
        <v>0.42172453703703705</v>
      </c>
      <c r="G1705" s="67" t="s">
        <v>453</v>
      </c>
      <c r="H1705" s="68">
        <v>1.0</v>
      </c>
      <c r="I1705" s="76"/>
      <c r="J1705" s="67">
        <f t="shared" si="121"/>
        <v>13040.4</v>
      </c>
      <c r="K1705" s="7"/>
      <c r="L1705" s="70"/>
      <c r="M1705" s="79"/>
      <c r="N1705" s="1"/>
      <c r="O1705" s="1"/>
      <c r="P1705" s="1"/>
      <c r="Q1705" s="1"/>
      <c r="R1705" s="1"/>
      <c r="S1705" s="1"/>
      <c r="T1705" s="1"/>
      <c r="U1705" s="1"/>
      <c r="V1705" s="1"/>
      <c r="W1705" s="1"/>
      <c r="X1705" s="1"/>
      <c r="Y1705" s="1"/>
      <c r="Z1705" s="1"/>
      <c r="AA1705" s="1"/>
      <c r="AB1705" s="1"/>
      <c r="AC1705" s="1"/>
      <c r="AD1705" s="1"/>
      <c r="AE1705" s="1"/>
      <c r="AF1705" s="1"/>
      <c r="AG1705" s="1"/>
      <c r="AH1705" s="1"/>
    </row>
    <row r="1706" ht="12.75" hidden="1" customHeight="1" outlineLevel="1">
      <c r="A1706" s="17">
        <v>41285.0</v>
      </c>
      <c r="B1706" s="1" t="s">
        <v>343</v>
      </c>
      <c r="C1706" s="1" t="s">
        <v>691</v>
      </c>
      <c r="D1706" s="74">
        <v>300.0</v>
      </c>
      <c r="E1706" s="67">
        <v>31.15</v>
      </c>
      <c r="F1706" s="75">
        <v>0.43241898148148145</v>
      </c>
      <c r="G1706" s="67" t="s">
        <v>453</v>
      </c>
      <c r="H1706" s="68">
        <v>1.5</v>
      </c>
      <c r="I1706" s="76"/>
      <c r="J1706" s="67">
        <f t="shared" si="121"/>
        <v>-9346.5</v>
      </c>
      <c r="K1706" s="7"/>
      <c r="L1706" s="70"/>
      <c r="M1706" s="79"/>
      <c r="N1706" s="1"/>
      <c r="O1706" s="1"/>
      <c r="P1706" s="1"/>
      <c r="Q1706" s="1"/>
      <c r="R1706" s="1"/>
      <c r="S1706" s="1"/>
      <c r="T1706" s="1"/>
      <c r="U1706" s="1"/>
      <c r="V1706" s="1"/>
      <c r="W1706" s="1"/>
      <c r="X1706" s="1"/>
      <c r="Y1706" s="1"/>
      <c r="Z1706" s="1"/>
      <c r="AA1706" s="1"/>
      <c r="AB1706" s="1"/>
      <c r="AC1706" s="1"/>
      <c r="AD1706" s="1"/>
      <c r="AE1706" s="1"/>
      <c r="AF1706" s="1"/>
      <c r="AG1706" s="1"/>
      <c r="AH1706" s="1"/>
    </row>
    <row r="1707" ht="12.75" hidden="1" customHeight="1" outlineLevel="1">
      <c r="A1707" s="17">
        <v>41285.0</v>
      </c>
      <c r="B1707" s="1" t="s">
        <v>347</v>
      </c>
      <c r="C1707" s="1" t="s">
        <v>344</v>
      </c>
      <c r="D1707" s="74">
        <v>200.0</v>
      </c>
      <c r="E1707" s="67">
        <v>35.19</v>
      </c>
      <c r="F1707" s="75">
        <v>0.6184375</v>
      </c>
      <c r="G1707" s="67" t="s">
        <v>453</v>
      </c>
      <c r="H1707" s="68">
        <v>1.0</v>
      </c>
      <c r="I1707" s="76"/>
      <c r="J1707" s="67">
        <f t="shared" si="121"/>
        <v>7037</v>
      </c>
      <c r="K1707" s="7"/>
      <c r="L1707" s="70"/>
      <c r="M1707" s="79"/>
      <c r="N1707" s="1"/>
      <c r="O1707" s="1"/>
      <c r="P1707" s="1"/>
      <c r="Q1707" s="1"/>
      <c r="R1707" s="1"/>
      <c r="S1707" s="1"/>
      <c r="T1707" s="1"/>
      <c r="U1707" s="1"/>
      <c r="V1707" s="1"/>
      <c r="W1707" s="1"/>
      <c r="X1707" s="1"/>
      <c r="Y1707" s="1"/>
      <c r="Z1707" s="1"/>
      <c r="AA1707" s="1"/>
      <c r="AB1707" s="1"/>
      <c r="AC1707" s="1"/>
      <c r="AD1707" s="1"/>
      <c r="AE1707" s="1"/>
      <c r="AF1707" s="1"/>
      <c r="AG1707" s="1"/>
      <c r="AH1707" s="1"/>
    </row>
    <row r="1708" ht="12.75" hidden="1" customHeight="1" outlineLevel="1">
      <c r="A1708" s="17">
        <v>41285.0</v>
      </c>
      <c r="B1708" s="1" t="s">
        <v>347</v>
      </c>
      <c r="C1708" s="1" t="s">
        <v>605</v>
      </c>
      <c r="D1708" s="74">
        <v>100.0</v>
      </c>
      <c r="E1708" s="67">
        <v>50.65</v>
      </c>
      <c r="F1708" s="75">
        <v>0.6476967592592593</v>
      </c>
      <c r="G1708" s="67" t="s">
        <v>453</v>
      </c>
      <c r="H1708" s="68">
        <v>1.0</v>
      </c>
      <c r="I1708" s="76"/>
      <c r="J1708" s="67">
        <f t="shared" si="121"/>
        <v>5064</v>
      </c>
      <c r="K1708" s="7"/>
      <c r="L1708" s="70"/>
      <c r="M1708" s="79"/>
      <c r="N1708" s="1"/>
      <c r="O1708" s="1"/>
      <c r="P1708" s="1"/>
      <c r="Q1708" s="1"/>
      <c r="R1708" s="1"/>
      <c r="S1708" s="1"/>
      <c r="T1708" s="1"/>
      <c r="U1708" s="1"/>
      <c r="V1708" s="1"/>
      <c r="W1708" s="1"/>
      <c r="X1708" s="1"/>
      <c r="Y1708" s="1"/>
      <c r="Z1708" s="1"/>
      <c r="AA1708" s="1"/>
      <c r="AB1708" s="1"/>
      <c r="AC1708" s="1"/>
      <c r="AD1708" s="1"/>
      <c r="AE1708" s="1"/>
      <c r="AF1708" s="1"/>
      <c r="AG1708" s="1"/>
      <c r="AH1708" s="1"/>
    </row>
    <row r="1709" ht="12.75" hidden="1" customHeight="1" outlineLevel="1">
      <c r="A1709" s="17">
        <v>41285.0</v>
      </c>
      <c r="B1709" s="1"/>
      <c r="C1709" s="1" t="s">
        <v>339</v>
      </c>
      <c r="D1709" s="74"/>
      <c r="E1709" s="67"/>
      <c r="F1709" s="75"/>
      <c r="G1709" s="67"/>
      <c r="H1709" s="68"/>
      <c r="I1709" s="76"/>
      <c r="J1709" s="67"/>
      <c r="K1709" s="7" t="s">
        <v>863</v>
      </c>
      <c r="L1709" s="77"/>
      <c r="M1709" s="79"/>
      <c r="N1709" s="1"/>
      <c r="O1709" s="1"/>
      <c r="P1709" s="1"/>
      <c r="Q1709" s="1"/>
      <c r="R1709" s="1"/>
      <c r="S1709" s="1"/>
      <c r="T1709" s="1"/>
      <c r="U1709" s="1"/>
      <c r="V1709" s="1"/>
      <c r="W1709" s="1"/>
      <c r="X1709" s="1"/>
      <c r="Y1709" s="1"/>
      <c r="Z1709" s="1"/>
      <c r="AA1709" s="1"/>
      <c r="AB1709" s="1"/>
      <c r="AC1709" s="1"/>
      <c r="AD1709" s="1"/>
      <c r="AE1709" s="1"/>
      <c r="AF1709" s="1"/>
      <c r="AG1709" s="1"/>
      <c r="AH1709" s="1"/>
    </row>
    <row r="1710" ht="12.75" hidden="1" customHeight="1" outlineLevel="1">
      <c r="A1710" s="17">
        <v>41285.0</v>
      </c>
      <c r="B1710" s="1"/>
      <c r="C1710" s="1" t="s">
        <v>429</v>
      </c>
      <c r="D1710" s="74"/>
      <c r="E1710" s="67"/>
      <c r="F1710" s="75"/>
      <c r="G1710" s="67"/>
      <c r="H1710" s="68"/>
      <c r="I1710" s="76"/>
      <c r="J1710" s="67"/>
      <c r="K1710" s="7" t="s">
        <v>679</v>
      </c>
      <c r="L1710" s="77"/>
      <c r="M1710" s="79"/>
      <c r="N1710" s="1"/>
      <c r="O1710" s="1"/>
      <c r="P1710" s="1"/>
      <c r="Q1710" s="1"/>
      <c r="R1710" s="1"/>
      <c r="S1710" s="1"/>
      <c r="T1710" s="1"/>
      <c r="U1710" s="1"/>
      <c r="V1710" s="1"/>
      <c r="W1710" s="1"/>
      <c r="X1710" s="1"/>
      <c r="Y1710" s="1"/>
      <c r="Z1710" s="1"/>
      <c r="AA1710" s="1"/>
      <c r="AB1710" s="1"/>
      <c r="AC1710" s="1"/>
      <c r="AD1710" s="1"/>
      <c r="AE1710" s="1"/>
      <c r="AF1710" s="1"/>
      <c r="AG1710" s="1"/>
      <c r="AH1710" s="1"/>
    </row>
    <row r="1711" ht="12.75" hidden="1" customHeight="1" outlineLevel="1">
      <c r="A1711" s="17">
        <v>41285.0</v>
      </c>
      <c r="B1711" s="1"/>
      <c r="C1711" s="1" t="s">
        <v>431</v>
      </c>
      <c r="D1711" s="74"/>
      <c r="E1711" s="67"/>
      <c r="F1711" s="75"/>
      <c r="G1711" s="67"/>
      <c r="H1711" s="68"/>
      <c r="I1711" s="76"/>
      <c r="J1711" s="67"/>
      <c r="K1711" s="7" t="s">
        <v>817</v>
      </c>
      <c r="L1711" s="77"/>
      <c r="M1711" s="79"/>
      <c r="N1711" s="1"/>
      <c r="O1711" s="1"/>
      <c r="P1711" s="1"/>
      <c r="Q1711" s="1"/>
      <c r="R1711" s="1"/>
      <c r="S1711" s="1"/>
      <c r="T1711" s="1"/>
      <c r="U1711" s="1"/>
      <c r="V1711" s="1"/>
      <c r="W1711" s="1"/>
      <c r="X1711" s="1"/>
      <c r="Y1711" s="1"/>
      <c r="Z1711" s="1"/>
      <c r="AA1711" s="1"/>
      <c r="AB1711" s="1"/>
      <c r="AC1711" s="1"/>
      <c r="AD1711" s="1"/>
      <c r="AE1711" s="1"/>
      <c r="AF1711" s="1"/>
      <c r="AG1711" s="1"/>
      <c r="AH1711" s="1"/>
    </row>
    <row r="1712" ht="12.75" hidden="1" customHeight="1" outlineLevel="1">
      <c r="A1712" s="17">
        <v>41285.0</v>
      </c>
      <c r="B1712" s="1"/>
      <c r="C1712" s="1" t="s">
        <v>433</v>
      </c>
      <c r="D1712" s="74"/>
      <c r="E1712" s="67"/>
      <c r="F1712" s="75"/>
      <c r="G1712" s="67"/>
      <c r="H1712" s="68"/>
      <c r="I1712" s="76"/>
      <c r="J1712" s="67"/>
      <c r="K1712" s="7" t="s">
        <v>434</v>
      </c>
      <c r="L1712" s="77"/>
      <c r="M1712" s="79"/>
      <c r="N1712" s="1"/>
      <c r="O1712" s="1"/>
      <c r="P1712" s="1"/>
      <c r="Q1712" s="1"/>
      <c r="R1712" s="1"/>
      <c r="S1712" s="1"/>
      <c r="T1712" s="1"/>
      <c r="U1712" s="1"/>
      <c r="V1712" s="1"/>
      <c r="W1712" s="1"/>
      <c r="X1712" s="1"/>
      <c r="Y1712" s="1"/>
      <c r="Z1712" s="1"/>
      <c r="AA1712" s="1"/>
      <c r="AB1712" s="1"/>
      <c r="AC1712" s="1"/>
      <c r="AD1712" s="1"/>
      <c r="AE1712" s="1"/>
      <c r="AF1712" s="1"/>
      <c r="AG1712" s="1"/>
      <c r="AH1712" s="1"/>
    </row>
    <row r="1713" ht="12.75" hidden="1" customHeight="1" outlineLevel="1">
      <c r="A1713" s="17">
        <v>41285.0</v>
      </c>
      <c r="B1713" s="1"/>
      <c r="C1713" s="1" t="s">
        <v>435</v>
      </c>
      <c r="D1713" s="74"/>
      <c r="E1713" s="67"/>
      <c r="F1713" s="75"/>
      <c r="G1713" s="67"/>
      <c r="H1713" s="68"/>
      <c r="I1713" s="76"/>
      <c r="J1713" s="67"/>
      <c r="K1713" s="7" t="s">
        <v>818</v>
      </c>
      <c r="L1713" s="77"/>
      <c r="M1713" s="79"/>
      <c r="N1713" s="1"/>
      <c r="O1713" s="1"/>
      <c r="P1713" s="1"/>
      <c r="Q1713" s="1"/>
      <c r="R1713" s="1"/>
      <c r="S1713" s="1"/>
      <c r="T1713" s="1"/>
      <c r="U1713" s="1"/>
      <c r="V1713" s="1"/>
      <c r="W1713" s="1"/>
      <c r="X1713" s="1"/>
      <c r="Y1713" s="1"/>
      <c r="Z1713" s="1"/>
      <c r="AA1713" s="1"/>
      <c r="AB1713" s="1"/>
      <c r="AC1713" s="1"/>
      <c r="AD1713" s="1"/>
      <c r="AE1713" s="1"/>
      <c r="AF1713" s="1"/>
      <c r="AG1713" s="1"/>
      <c r="AH1713" s="1"/>
    </row>
    <row r="1714" ht="12.75" hidden="1" customHeight="1" outlineLevel="1">
      <c r="A1714" s="17">
        <v>41288.0</v>
      </c>
      <c r="B1714" s="1" t="s">
        <v>347</v>
      </c>
      <c r="C1714" s="1" t="s">
        <v>346</v>
      </c>
      <c r="D1714" s="74">
        <v>30.0</v>
      </c>
      <c r="E1714" s="67">
        <v>504.31</v>
      </c>
      <c r="F1714" s="75">
        <v>0.47577546296296297</v>
      </c>
      <c r="G1714" s="67" t="s">
        <v>453</v>
      </c>
      <c r="H1714" s="68">
        <v>1.0</v>
      </c>
      <c r="I1714" s="76"/>
      <c r="J1714" s="67">
        <f t="shared" ref="J1714:J1716" si="122">IF(B1714="SLD",D1714*E1714,-D1714*E1714)-H1714</f>
        <v>15128.3</v>
      </c>
      <c r="K1714" s="7"/>
      <c r="L1714" s="70"/>
      <c r="M1714" s="79"/>
      <c r="N1714" s="1"/>
      <c r="O1714" s="1"/>
      <c r="P1714" s="1"/>
      <c r="Q1714" s="1"/>
      <c r="R1714" s="1"/>
      <c r="S1714" s="1"/>
      <c r="T1714" s="1"/>
      <c r="U1714" s="1"/>
      <c r="V1714" s="1"/>
      <c r="W1714" s="1"/>
      <c r="X1714" s="1"/>
      <c r="Y1714" s="1"/>
      <c r="Z1714" s="1"/>
      <c r="AA1714" s="1"/>
      <c r="AB1714" s="1"/>
      <c r="AC1714" s="1"/>
      <c r="AD1714" s="1"/>
      <c r="AE1714" s="1"/>
      <c r="AF1714" s="1"/>
      <c r="AG1714" s="1"/>
      <c r="AH1714" s="1"/>
    </row>
    <row r="1715" ht="12.75" hidden="1" customHeight="1" outlineLevel="1">
      <c r="A1715" s="17">
        <v>41288.0</v>
      </c>
      <c r="B1715" s="1" t="s">
        <v>347</v>
      </c>
      <c r="C1715" s="1" t="s">
        <v>681</v>
      </c>
      <c r="D1715" s="74">
        <v>200.0</v>
      </c>
      <c r="E1715" s="67">
        <v>17.8</v>
      </c>
      <c r="F1715" s="75">
        <v>0.5779166666666666</v>
      </c>
      <c r="G1715" s="67" t="s">
        <v>453</v>
      </c>
      <c r="H1715" s="68">
        <v>1.0</v>
      </c>
      <c r="I1715" s="76"/>
      <c r="J1715" s="67">
        <f t="shared" si="122"/>
        <v>3559</v>
      </c>
      <c r="K1715" s="7"/>
      <c r="L1715" s="70"/>
      <c r="M1715" s="79"/>
      <c r="N1715" s="1"/>
      <c r="O1715" s="1"/>
      <c r="P1715" s="1"/>
      <c r="Q1715" s="1"/>
      <c r="R1715" s="1"/>
      <c r="S1715" s="1"/>
      <c r="T1715" s="1"/>
      <c r="U1715" s="1"/>
      <c r="V1715" s="1"/>
      <c r="W1715" s="1"/>
      <c r="X1715" s="1"/>
      <c r="Y1715" s="1"/>
      <c r="Z1715" s="1"/>
      <c r="AA1715" s="1"/>
      <c r="AB1715" s="1"/>
      <c r="AC1715" s="1"/>
      <c r="AD1715" s="1"/>
      <c r="AE1715" s="1"/>
      <c r="AF1715" s="1"/>
      <c r="AG1715" s="1"/>
      <c r="AH1715" s="1"/>
    </row>
    <row r="1716" ht="12.75" hidden="1" customHeight="1" outlineLevel="1">
      <c r="A1716" s="17">
        <v>41288.0</v>
      </c>
      <c r="B1716" s="1" t="s">
        <v>343</v>
      </c>
      <c r="C1716" s="1" t="s">
        <v>789</v>
      </c>
      <c r="D1716" s="74">
        <v>450.0</v>
      </c>
      <c r="E1716" s="67">
        <v>17.05</v>
      </c>
      <c r="F1716" s="75">
        <v>0.5981712962962963</v>
      </c>
      <c r="G1716" s="67" t="s">
        <v>453</v>
      </c>
      <c r="H1716" s="68">
        <v>2.25</v>
      </c>
      <c r="I1716" s="76"/>
      <c r="J1716" s="67">
        <f t="shared" si="122"/>
        <v>-7674.75</v>
      </c>
      <c r="K1716" s="7"/>
      <c r="L1716" s="70"/>
      <c r="M1716" s="79"/>
      <c r="N1716" s="1"/>
      <c r="O1716" s="1"/>
      <c r="P1716" s="1"/>
      <c r="Q1716" s="1"/>
      <c r="R1716" s="1"/>
      <c r="S1716" s="1"/>
      <c r="T1716" s="1"/>
      <c r="U1716" s="1"/>
      <c r="V1716" s="1"/>
      <c r="W1716" s="1"/>
      <c r="X1716" s="1"/>
      <c r="Y1716" s="1"/>
      <c r="Z1716" s="1"/>
      <c r="AA1716" s="1"/>
      <c r="AB1716" s="1"/>
      <c r="AC1716" s="1"/>
      <c r="AD1716" s="1"/>
      <c r="AE1716" s="1"/>
      <c r="AF1716" s="1"/>
      <c r="AG1716" s="1"/>
      <c r="AH1716" s="1"/>
    </row>
    <row r="1717" ht="12.75" hidden="1" customHeight="1" outlineLevel="1">
      <c r="A1717" s="17">
        <v>41288.0</v>
      </c>
      <c r="B1717" s="1"/>
      <c r="C1717" s="1" t="s">
        <v>339</v>
      </c>
      <c r="D1717" s="74"/>
      <c r="E1717" s="67"/>
      <c r="F1717" s="75"/>
      <c r="G1717" s="67"/>
      <c r="H1717" s="68"/>
      <c r="I1717" s="76"/>
      <c r="J1717" s="67"/>
      <c r="K1717" s="7" t="s">
        <v>864</v>
      </c>
      <c r="L1717" s="77"/>
      <c r="M1717" s="79"/>
      <c r="N1717" s="1"/>
      <c r="O1717" s="1"/>
      <c r="P1717" s="1"/>
      <c r="Q1717" s="1"/>
      <c r="R1717" s="1"/>
      <c r="S1717" s="1"/>
      <c r="T1717" s="1"/>
      <c r="U1717" s="1"/>
      <c r="V1717" s="1"/>
      <c r="W1717" s="1"/>
      <c r="X1717" s="1"/>
      <c r="Y1717" s="1"/>
      <c r="Z1717" s="1"/>
      <c r="AA1717" s="1"/>
      <c r="AB1717" s="1"/>
      <c r="AC1717" s="1"/>
      <c r="AD1717" s="1"/>
      <c r="AE1717" s="1"/>
      <c r="AF1717" s="1"/>
      <c r="AG1717" s="1"/>
      <c r="AH1717" s="1"/>
    </row>
    <row r="1718" ht="12.75" hidden="1" customHeight="1" outlineLevel="1">
      <c r="A1718" s="17">
        <v>41288.0</v>
      </c>
      <c r="B1718" s="1"/>
      <c r="C1718" s="1" t="s">
        <v>429</v>
      </c>
      <c r="D1718" s="74"/>
      <c r="E1718" s="67"/>
      <c r="F1718" s="75"/>
      <c r="G1718" s="67"/>
      <c r="H1718" s="68"/>
      <c r="I1718" s="76"/>
      <c r="J1718" s="67"/>
      <c r="K1718" s="7" t="s">
        <v>679</v>
      </c>
      <c r="L1718" s="77"/>
      <c r="M1718" s="79"/>
      <c r="N1718" s="1"/>
      <c r="O1718" s="1"/>
      <c r="P1718" s="1"/>
      <c r="Q1718" s="1"/>
      <c r="R1718" s="1"/>
      <c r="S1718" s="1"/>
      <c r="T1718" s="1"/>
      <c r="U1718" s="1"/>
      <c r="V1718" s="1"/>
      <c r="W1718" s="1"/>
      <c r="X1718" s="1"/>
      <c r="Y1718" s="1"/>
      <c r="Z1718" s="1"/>
      <c r="AA1718" s="1"/>
      <c r="AB1718" s="1"/>
      <c r="AC1718" s="1"/>
      <c r="AD1718" s="1"/>
      <c r="AE1718" s="1"/>
      <c r="AF1718" s="1"/>
      <c r="AG1718" s="1"/>
      <c r="AH1718" s="1"/>
    </row>
    <row r="1719" ht="12.75" hidden="1" customHeight="1" outlineLevel="1">
      <c r="A1719" s="17">
        <v>41288.0</v>
      </c>
      <c r="B1719" s="1"/>
      <c r="C1719" s="1" t="s">
        <v>431</v>
      </c>
      <c r="D1719" s="74"/>
      <c r="E1719" s="67"/>
      <c r="F1719" s="75"/>
      <c r="G1719" s="67"/>
      <c r="H1719" s="68"/>
      <c r="I1719" s="76"/>
      <c r="J1719" s="67"/>
      <c r="K1719" s="7" t="s">
        <v>817</v>
      </c>
      <c r="L1719" s="77"/>
      <c r="M1719" s="79"/>
      <c r="N1719" s="1"/>
      <c r="O1719" s="1"/>
      <c r="P1719" s="1"/>
      <c r="Q1719" s="1"/>
      <c r="R1719" s="1"/>
      <c r="S1719" s="1"/>
      <c r="T1719" s="1"/>
      <c r="U1719" s="1"/>
      <c r="V1719" s="1"/>
      <c r="W1719" s="1"/>
      <c r="X1719" s="1"/>
      <c r="Y1719" s="1"/>
      <c r="Z1719" s="1"/>
      <c r="AA1719" s="1"/>
      <c r="AB1719" s="1"/>
      <c r="AC1719" s="1"/>
      <c r="AD1719" s="1"/>
      <c r="AE1719" s="1"/>
      <c r="AF1719" s="1"/>
      <c r="AG1719" s="1"/>
      <c r="AH1719" s="1"/>
    </row>
    <row r="1720" ht="12.75" hidden="1" customHeight="1" outlineLevel="1">
      <c r="A1720" s="17">
        <v>41288.0</v>
      </c>
      <c r="B1720" s="1"/>
      <c r="C1720" s="1" t="s">
        <v>433</v>
      </c>
      <c r="D1720" s="74"/>
      <c r="E1720" s="67"/>
      <c r="F1720" s="75"/>
      <c r="G1720" s="67"/>
      <c r="H1720" s="68"/>
      <c r="I1720" s="76"/>
      <c r="J1720" s="67"/>
      <c r="K1720" s="7" t="s">
        <v>434</v>
      </c>
      <c r="L1720" s="77"/>
      <c r="M1720" s="79"/>
      <c r="N1720" s="1"/>
      <c r="O1720" s="1"/>
      <c r="P1720" s="1"/>
      <c r="Q1720" s="1"/>
      <c r="R1720" s="1"/>
      <c r="S1720" s="1"/>
      <c r="T1720" s="1"/>
      <c r="U1720" s="1"/>
      <c r="V1720" s="1"/>
      <c r="W1720" s="1"/>
      <c r="X1720" s="1"/>
      <c r="Y1720" s="1"/>
      <c r="Z1720" s="1"/>
      <c r="AA1720" s="1"/>
      <c r="AB1720" s="1"/>
      <c r="AC1720" s="1"/>
      <c r="AD1720" s="1"/>
      <c r="AE1720" s="1"/>
      <c r="AF1720" s="1"/>
      <c r="AG1720" s="1"/>
      <c r="AH1720" s="1"/>
    </row>
    <row r="1721" ht="12.75" hidden="1" customHeight="1" outlineLevel="1">
      <c r="A1721" s="17">
        <v>41288.0</v>
      </c>
      <c r="B1721" s="1"/>
      <c r="C1721" s="1" t="s">
        <v>435</v>
      </c>
      <c r="D1721" s="74"/>
      <c r="E1721" s="67"/>
      <c r="F1721" s="75"/>
      <c r="G1721" s="67"/>
      <c r="H1721" s="68"/>
      <c r="I1721" s="76"/>
      <c r="J1721" s="67"/>
      <c r="K1721" s="7" t="s">
        <v>818</v>
      </c>
      <c r="L1721" s="77"/>
      <c r="M1721" s="79"/>
      <c r="N1721" s="1"/>
      <c r="O1721" s="1"/>
      <c r="P1721" s="1"/>
      <c r="Q1721" s="1"/>
      <c r="R1721" s="1"/>
      <c r="S1721" s="1"/>
      <c r="T1721" s="1"/>
      <c r="U1721" s="1"/>
      <c r="V1721" s="1"/>
      <c r="W1721" s="1"/>
      <c r="X1721" s="1"/>
      <c r="Y1721" s="1"/>
      <c r="Z1721" s="1"/>
      <c r="AA1721" s="1"/>
      <c r="AB1721" s="1"/>
      <c r="AC1721" s="1"/>
      <c r="AD1721" s="1"/>
      <c r="AE1721" s="1"/>
      <c r="AF1721" s="1"/>
      <c r="AG1721" s="1"/>
      <c r="AH1721" s="1"/>
    </row>
    <row r="1722" ht="12.75" hidden="1" customHeight="1" outlineLevel="1">
      <c r="A1722" s="17">
        <v>41289.0</v>
      </c>
      <c r="B1722" s="1" t="s">
        <v>347</v>
      </c>
      <c r="C1722" s="1" t="s">
        <v>691</v>
      </c>
      <c r="D1722" s="74">
        <v>300.0</v>
      </c>
      <c r="E1722" s="67">
        <v>31.107</v>
      </c>
      <c r="F1722" s="75">
        <v>0.3987384259259259</v>
      </c>
      <c r="G1722" s="67" t="s">
        <v>453</v>
      </c>
      <c r="H1722" s="68">
        <v>1.5</v>
      </c>
      <c r="I1722" s="76"/>
      <c r="J1722" s="67">
        <f t="shared" ref="J1722:J1725" si="123">IF(B1722="SLD",D1722*E1722,-D1722*E1722)-H1722</f>
        <v>9330.6</v>
      </c>
      <c r="K1722" s="7"/>
      <c r="L1722" s="70"/>
      <c r="M1722" s="79"/>
      <c r="N1722" s="1"/>
      <c r="O1722" s="1"/>
      <c r="P1722" s="1"/>
      <c r="Q1722" s="1"/>
      <c r="R1722" s="1"/>
      <c r="S1722" s="1"/>
      <c r="T1722" s="1"/>
      <c r="U1722" s="1"/>
      <c r="V1722" s="1"/>
      <c r="W1722" s="1"/>
      <c r="X1722" s="1"/>
      <c r="Y1722" s="1"/>
      <c r="Z1722" s="1"/>
      <c r="AA1722" s="1"/>
      <c r="AB1722" s="1"/>
      <c r="AC1722" s="1"/>
      <c r="AD1722" s="1"/>
      <c r="AE1722" s="1"/>
      <c r="AF1722" s="1"/>
      <c r="AG1722" s="1"/>
      <c r="AH1722" s="1"/>
    </row>
    <row r="1723" ht="12.75" hidden="1" customHeight="1" outlineLevel="1">
      <c r="A1723" s="17">
        <v>41289.0</v>
      </c>
      <c r="B1723" s="1" t="s">
        <v>347</v>
      </c>
      <c r="C1723" s="1" t="s">
        <v>755</v>
      </c>
      <c r="D1723" s="74">
        <v>250.0</v>
      </c>
      <c r="E1723" s="67">
        <v>25.6</v>
      </c>
      <c r="F1723" s="75">
        <v>0.40047453703703706</v>
      </c>
      <c r="G1723" s="67" t="s">
        <v>453</v>
      </c>
      <c r="H1723" s="68">
        <v>1.05</v>
      </c>
      <c r="I1723" s="76"/>
      <c r="J1723" s="67">
        <f t="shared" si="123"/>
        <v>6398.95</v>
      </c>
      <c r="K1723" s="7"/>
      <c r="L1723" s="70"/>
      <c r="M1723" s="79"/>
      <c r="N1723" s="1"/>
      <c r="O1723" s="1"/>
      <c r="P1723" s="1"/>
      <c r="Q1723" s="1"/>
      <c r="R1723" s="1"/>
      <c r="S1723" s="1"/>
      <c r="T1723" s="1"/>
      <c r="U1723" s="1"/>
      <c r="V1723" s="1"/>
      <c r="W1723" s="1"/>
      <c r="X1723" s="1"/>
      <c r="Y1723" s="1"/>
      <c r="Z1723" s="1"/>
      <c r="AA1723" s="1"/>
      <c r="AB1723" s="1"/>
      <c r="AC1723" s="1"/>
      <c r="AD1723" s="1"/>
      <c r="AE1723" s="1"/>
      <c r="AF1723" s="1"/>
      <c r="AG1723" s="1"/>
      <c r="AH1723" s="1"/>
    </row>
    <row r="1724" ht="12.75" hidden="1" customHeight="1" outlineLevel="1">
      <c r="A1724" s="17">
        <v>41289.0</v>
      </c>
      <c r="B1724" s="1" t="s">
        <v>347</v>
      </c>
      <c r="C1724" s="1" t="s">
        <v>757</v>
      </c>
      <c r="D1724" s="74">
        <v>150.0</v>
      </c>
      <c r="E1724" s="67">
        <v>52.193</v>
      </c>
      <c r="F1724" s="75">
        <v>0.4023611111111111</v>
      </c>
      <c r="G1724" s="67" t="s">
        <v>453</v>
      </c>
      <c r="H1724" s="68">
        <v>2.0</v>
      </c>
      <c r="I1724" s="76"/>
      <c r="J1724" s="67">
        <f t="shared" si="123"/>
        <v>7826.95</v>
      </c>
      <c r="K1724" s="7"/>
      <c r="L1724" s="70"/>
      <c r="M1724" s="79"/>
      <c r="N1724" s="1"/>
      <c r="O1724" s="1"/>
      <c r="P1724" s="1"/>
      <c r="Q1724" s="1"/>
      <c r="R1724" s="1"/>
      <c r="S1724" s="1"/>
      <c r="T1724" s="1"/>
      <c r="U1724" s="1"/>
      <c r="V1724" s="1"/>
      <c r="W1724" s="1"/>
      <c r="X1724" s="1"/>
      <c r="Y1724" s="1"/>
      <c r="Z1724" s="1"/>
      <c r="AA1724" s="1"/>
      <c r="AB1724" s="1"/>
      <c r="AC1724" s="1"/>
      <c r="AD1724" s="1"/>
      <c r="AE1724" s="1"/>
      <c r="AF1724" s="1"/>
      <c r="AG1724" s="1"/>
      <c r="AH1724" s="1"/>
    </row>
    <row r="1725" ht="12.75" hidden="1" customHeight="1" outlineLevel="1">
      <c r="A1725" s="17">
        <v>41289.0</v>
      </c>
      <c r="B1725" s="1" t="s">
        <v>347</v>
      </c>
      <c r="C1725" s="1" t="s">
        <v>346</v>
      </c>
      <c r="D1725" s="74">
        <v>20.0</v>
      </c>
      <c r="E1725" s="67">
        <v>489.23</v>
      </c>
      <c r="F1725" s="75">
        <v>0.45804398148148145</v>
      </c>
      <c r="G1725" s="67" t="s">
        <v>453</v>
      </c>
      <c r="H1725" s="68">
        <v>1.0</v>
      </c>
      <c r="I1725" s="76"/>
      <c r="J1725" s="67">
        <f t="shared" si="123"/>
        <v>9783.6</v>
      </c>
      <c r="K1725" s="7"/>
      <c r="L1725" s="70"/>
      <c r="M1725" s="79"/>
      <c r="N1725" s="1"/>
      <c r="O1725" s="1"/>
      <c r="P1725" s="1"/>
      <c r="Q1725" s="1"/>
      <c r="R1725" s="1"/>
      <c r="S1725" s="1"/>
      <c r="T1725" s="1"/>
      <c r="U1725" s="1"/>
      <c r="V1725" s="1"/>
      <c r="W1725" s="1"/>
      <c r="X1725" s="1"/>
      <c r="Y1725" s="1"/>
      <c r="Z1725" s="1"/>
      <c r="AA1725" s="1"/>
      <c r="AB1725" s="1"/>
      <c r="AC1725" s="1"/>
      <c r="AD1725" s="1"/>
      <c r="AE1725" s="1"/>
      <c r="AF1725" s="1"/>
      <c r="AG1725" s="1"/>
      <c r="AH1725" s="1"/>
    </row>
    <row r="1726" ht="12.75" hidden="1" customHeight="1" outlineLevel="1">
      <c r="A1726" s="17">
        <v>41289.0</v>
      </c>
      <c r="B1726" s="1"/>
      <c r="C1726" s="1" t="s">
        <v>339</v>
      </c>
      <c r="D1726" s="74"/>
      <c r="E1726" s="67"/>
      <c r="F1726" s="75"/>
      <c r="G1726" s="67"/>
      <c r="H1726" s="68"/>
      <c r="I1726" s="76"/>
      <c r="J1726" s="67"/>
      <c r="K1726" s="7" t="s">
        <v>865</v>
      </c>
      <c r="L1726" s="77"/>
      <c r="M1726" s="79"/>
      <c r="N1726" s="1"/>
      <c r="O1726" s="1"/>
      <c r="P1726" s="1"/>
      <c r="Q1726" s="1"/>
      <c r="R1726" s="1"/>
      <c r="S1726" s="1"/>
      <c r="T1726" s="1"/>
      <c r="U1726" s="1"/>
      <c r="V1726" s="1"/>
      <c r="W1726" s="1"/>
      <c r="X1726" s="1"/>
      <c r="Y1726" s="1"/>
      <c r="Z1726" s="1"/>
      <c r="AA1726" s="1"/>
      <c r="AB1726" s="1"/>
      <c r="AC1726" s="1"/>
      <c r="AD1726" s="1"/>
      <c r="AE1726" s="1"/>
      <c r="AF1726" s="1"/>
      <c r="AG1726" s="1"/>
      <c r="AH1726" s="1"/>
    </row>
    <row r="1727" ht="12.75" hidden="1" customHeight="1" outlineLevel="1">
      <c r="A1727" s="17">
        <v>41289.0</v>
      </c>
      <c r="B1727" s="1"/>
      <c r="C1727" s="1" t="s">
        <v>429</v>
      </c>
      <c r="D1727" s="74"/>
      <c r="E1727" s="67"/>
      <c r="F1727" s="75"/>
      <c r="G1727" s="67"/>
      <c r="H1727" s="68"/>
      <c r="I1727" s="76"/>
      <c r="J1727" s="67"/>
      <c r="K1727" s="7" t="s">
        <v>679</v>
      </c>
      <c r="L1727" s="77"/>
      <c r="M1727" s="79"/>
      <c r="N1727" s="1"/>
      <c r="O1727" s="1"/>
      <c r="P1727" s="1"/>
      <c r="Q1727" s="1"/>
      <c r="R1727" s="1"/>
      <c r="S1727" s="1"/>
      <c r="T1727" s="1"/>
      <c r="U1727" s="1"/>
      <c r="V1727" s="1"/>
      <c r="W1727" s="1"/>
      <c r="X1727" s="1"/>
      <c r="Y1727" s="1"/>
      <c r="Z1727" s="1"/>
      <c r="AA1727" s="1"/>
      <c r="AB1727" s="1"/>
      <c r="AC1727" s="1"/>
      <c r="AD1727" s="1"/>
      <c r="AE1727" s="1"/>
      <c r="AF1727" s="1"/>
      <c r="AG1727" s="1"/>
      <c r="AH1727" s="1"/>
    </row>
    <row r="1728" ht="12.75" hidden="1" customHeight="1" outlineLevel="1">
      <c r="A1728" s="17">
        <v>41289.0</v>
      </c>
      <c r="B1728" s="1"/>
      <c r="C1728" s="1" t="s">
        <v>431</v>
      </c>
      <c r="D1728" s="74"/>
      <c r="E1728" s="67"/>
      <c r="F1728" s="75"/>
      <c r="G1728" s="67"/>
      <c r="H1728" s="68"/>
      <c r="I1728" s="76"/>
      <c r="J1728" s="67"/>
      <c r="K1728" s="7" t="s">
        <v>817</v>
      </c>
      <c r="L1728" s="77"/>
      <c r="M1728" s="79"/>
      <c r="N1728" s="1"/>
      <c r="O1728" s="1"/>
      <c r="P1728" s="1"/>
      <c r="Q1728" s="1"/>
      <c r="R1728" s="1"/>
      <c r="S1728" s="1"/>
      <c r="T1728" s="1"/>
      <c r="U1728" s="1"/>
      <c r="V1728" s="1"/>
      <c r="W1728" s="1"/>
      <c r="X1728" s="1"/>
      <c r="Y1728" s="1"/>
      <c r="Z1728" s="1"/>
      <c r="AA1728" s="1"/>
      <c r="AB1728" s="1"/>
      <c r="AC1728" s="1"/>
      <c r="AD1728" s="1"/>
      <c r="AE1728" s="1"/>
      <c r="AF1728" s="1"/>
      <c r="AG1728" s="1"/>
      <c r="AH1728" s="1"/>
    </row>
    <row r="1729" ht="12.75" hidden="1" customHeight="1" outlineLevel="1">
      <c r="A1729" s="17">
        <v>41289.0</v>
      </c>
      <c r="B1729" s="1"/>
      <c r="C1729" s="1" t="s">
        <v>433</v>
      </c>
      <c r="D1729" s="74"/>
      <c r="E1729" s="67"/>
      <c r="F1729" s="75"/>
      <c r="G1729" s="67"/>
      <c r="H1729" s="68"/>
      <c r="I1729" s="76"/>
      <c r="J1729" s="67"/>
      <c r="K1729" s="7" t="s">
        <v>434</v>
      </c>
      <c r="L1729" s="77"/>
      <c r="M1729" s="79"/>
      <c r="N1729" s="1"/>
      <c r="O1729" s="1"/>
      <c r="P1729" s="1"/>
      <c r="Q1729" s="1"/>
      <c r="R1729" s="1"/>
      <c r="S1729" s="1"/>
      <c r="T1729" s="1"/>
      <c r="U1729" s="1"/>
      <c r="V1729" s="1"/>
      <c r="W1729" s="1"/>
      <c r="X1729" s="1"/>
      <c r="Y1729" s="1"/>
      <c r="Z1729" s="1"/>
      <c r="AA1729" s="1"/>
      <c r="AB1729" s="1"/>
      <c r="AC1729" s="1"/>
      <c r="AD1729" s="1"/>
      <c r="AE1729" s="1"/>
      <c r="AF1729" s="1"/>
      <c r="AG1729" s="1"/>
      <c r="AH1729" s="1"/>
    </row>
    <row r="1730" ht="12.75" hidden="1" customHeight="1" outlineLevel="1">
      <c r="A1730" s="17">
        <v>41289.0</v>
      </c>
      <c r="B1730" s="1"/>
      <c r="C1730" s="1" t="s">
        <v>435</v>
      </c>
      <c r="D1730" s="74"/>
      <c r="E1730" s="67"/>
      <c r="F1730" s="75"/>
      <c r="G1730" s="67"/>
      <c r="H1730" s="68"/>
      <c r="I1730" s="76"/>
      <c r="J1730" s="67"/>
      <c r="K1730" s="7" t="s">
        <v>818</v>
      </c>
      <c r="L1730" s="77"/>
      <c r="M1730" s="79"/>
      <c r="N1730" s="1"/>
      <c r="O1730" s="1"/>
      <c r="P1730" s="1"/>
      <c r="Q1730" s="1"/>
      <c r="R1730" s="1"/>
      <c r="S1730" s="1"/>
      <c r="T1730" s="1"/>
      <c r="U1730" s="1"/>
      <c r="V1730" s="1"/>
      <c r="W1730" s="1"/>
      <c r="X1730" s="1"/>
      <c r="Y1730" s="1"/>
      <c r="Z1730" s="1"/>
      <c r="AA1730" s="1"/>
      <c r="AB1730" s="1"/>
      <c r="AC1730" s="1"/>
      <c r="AD1730" s="1"/>
      <c r="AE1730" s="1"/>
      <c r="AF1730" s="1"/>
      <c r="AG1730" s="1"/>
      <c r="AH1730" s="1"/>
    </row>
    <row r="1731" ht="12.75" hidden="1" customHeight="1" outlineLevel="1">
      <c r="A1731" s="17">
        <v>41290.0</v>
      </c>
      <c r="B1731" s="1" t="s">
        <v>347</v>
      </c>
      <c r="C1731" s="1" t="s">
        <v>346</v>
      </c>
      <c r="D1731" s="74">
        <v>20.0</v>
      </c>
      <c r="E1731" s="67">
        <v>501.09</v>
      </c>
      <c r="F1731" s="75">
        <v>0.45875</v>
      </c>
      <c r="G1731" s="67" t="s">
        <v>453</v>
      </c>
      <c r="H1731" s="68">
        <v>1.0</v>
      </c>
      <c r="I1731" s="76"/>
      <c r="J1731" s="67">
        <f t="shared" ref="J1731:J1735" si="124">IF(B1731="SLD",D1731*E1731,-D1731*E1731)-H1731</f>
        <v>10020.8</v>
      </c>
      <c r="K1731" s="7"/>
      <c r="L1731" s="70"/>
      <c r="M1731" s="79"/>
      <c r="N1731" s="1"/>
      <c r="O1731" s="1"/>
      <c r="P1731" s="1"/>
      <c r="Q1731" s="1"/>
      <c r="R1731" s="1"/>
      <c r="S1731" s="1"/>
      <c r="T1731" s="1"/>
      <c r="U1731" s="1"/>
      <c r="V1731" s="1"/>
      <c r="W1731" s="1"/>
      <c r="X1731" s="1"/>
      <c r="Y1731" s="1"/>
      <c r="Z1731" s="1"/>
      <c r="AA1731" s="1"/>
      <c r="AB1731" s="1"/>
      <c r="AC1731" s="1"/>
      <c r="AD1731" s="1"/>
      <c r="AE1731" s="1"/>
      <c r="AF1731" s="1"/>
      <c r="AG1731" s="1"/>
      <c r="AH1731" s="1"/>
    </row>
    <row r="1732" ht="12.75" hidden="1" customHeight="1" outlineLevel="1">
      <c r="A1732" s="17">
        <v>41290.0</v>
      </c>
      <c r="B1732" s="1" t="s">
        <v>343</v>
      </c>
      <c r="C1732" s="1" t="s">
        <v>346</v>
      </c>
      <c r="D1732" s="74">
        <v>110.0</v>
      </c>
      <c r="E1732" s="67">
        <v>506.089</v>
      </c>
      <c r="F1732" s="75">
        <v>0.575324074074074</v>
      </c>
      <c r="G1732" s="67" t="s">
        <v>453</v>
      </c>
      <c r="H1732" s="68">
        <v>1.0</v>
      </c>
      <c r="I1732" s="76"/>
      <c r="J1732" s="67">
        <f t="shared" si="124"/>
        <v>-55670.79</v>
      </c>
      <c r="K1732" s="7"/>
      <c r="L1732" s="70"/>
      <c r="M1732" s="79"/>
      <c r="N1732" s="1"/>
      <c r="O1732" s="1"/>
      <c r="P1732" s="1"/>
      <c r="Q1732" s="1"/>
      <c r="R1732" s="1"/>
      <c r="S1732" s="1"/>
      <c r="T1732" s="1"/>
      <c r="U1732" s="1"/>
      <c r="V1732" s="1"/>
      <c r="W1732" s="1"/>
      <c r="X1732" s="1"/>
      <c r="Y1732" s="1"/>
      <c r="Z1732" s="1"/>
      <c r="AA1732" s="1"/>
      <c r="AB1732" s="1"/>
      <c r="AC1732" s="1"/>
      <c r="AD1732" s="1"/>
      <c r="AE1732" s="1"/>
      <c r="AF1732" s="1"/>
      <c r="AG1732" s="1"/>
      <c r="AH1732" s="1"/>
    </row>
    <row r="1733" ht="12.75" hidden="1" customHeight="1" outlineLevel="1">
      <c r="A1733" s="17">
        <v>41290.0</v>
      </c>
      <c r="B1733" s="1" t="s">
        <v>347</v>
      </c>
      <c r="C1733" s="1" t="s">
        <v>734</v>
      </c>
      <c r="D1733" s="74">
        <v>300.0</v>
      </c>
      <c r="E1733" s="67">
        <v>19.782</v>
      </c>
      <c r="F1733" s="75">
        <v>0.62</v>
      </c>
      <c r="G1733" s="67" t="s">
        <v>453</v>
      </c>
      <c r="H1733" s="68">
        <v>1.5</v>
      </c>
      <c r="I1733" s="76"/>
      <c r="J1733" s="67">
        <f t="shared" si="124"/>
        <v>5933.1</v>
      </c>
      <c r="K1733" s="7"/>
      <c r="L1733" s="70"/>
      <c r="M1733" s="79"/>
      <c r="N1733" s="1"/>
      <c r="O1733" s="1"/>
      <c r="P1733" s="1"/>
      <c r="Q1733" s="1"/>
      <c r="R1733" s="1"/>
      <c r="S1733" s="1"/>
      <c r="T1733" s="1"/>
      <c r="U1733" s="1"/>
      <c r="V1733" s="1"/>
      <c r="W1733" s="1"/>
      <c r="X1733" s="1"/>
      <c r="Y1733" s="1"/>
      <c r="Z1733" s="1"/>
      <c r="AA1733" s="1"/>
      <c r="AB1733" s="1"/>
      <c r="AC1733" s="1"/>
      <c r="AD1733" s="1"/>
      <c r="AE1733" s="1"/>
      <c r="AF1733" s="1"/>
      <c r="AG1733" s="1"/>
      <c r="AH1733" s="1"/>
    </row>
    <row r="1734" ht="12.75" hidden="1" customHeight="1" outlineLevel="1">
      <c r="A1734" s="17">
        <v>41290.0</v>
      </c>
      <c r="B1734" s="1" t="s">
        <v>347</v>
      </c>
      <c r="C1734" s="1" t="s">
        <v>734</v>
      </c>
      <c r="D1734" s="74">
        <v>400.0</v>
      </c>
      <c r="E1734" s="67">
        <v>19.84</v>
      </c>
      <c r="F1734" s="75">
        <v>0.6333796296296296</v>
      </c>
      <c r="G1734" s="67" t="s">
        <v>453</v>
      </c>
      <c r="H1734" s="68">
        <v>2.0</v>
      </c>
      <c r="I1734" s="76"/>
      <c r="J1734" s="67">
        <f t="shared" si="124"/>
        <v>7934</v>
      </c>
      <c r="K1734" s="7"/>
      <c r="L1734" s="70"/>
      <c r="M1734" s="79"/>
      <c r="N1734" s="1"/>
      <c r="O1734" s="1"/>
      <c r="P1734" s="1"/>
      <c r="Q1734" s="1"/>
      <c r="R1734" s="1"/>
      <c r="S1734" s="1"/>
      <c r="T1734" s="1"/>
      <c r="U1734" s="1"/>
      <c r="V1734" s="1"/>
      <c r="W1734" s="1"/>
      <c r="X1734" s="1"/>
      <c r="Y1734" s="1"/>
      <c r="Z1734" s="1"/>
      <c r="AA1734" s="1"/>
      <c r="AB1734" s="1"/>
      <c r="AC1734" s="1"/>
      <c r="AD1734" s="1"/>
      <c r="AE1734" s="1"/>
      <c r="AF1734" s="1"/>
      <c r="AG1734" s="1"/>
      <c r="AH1734" s="1"/>
    </row>
    <row r="1735" ht="12.75" hidden="1" customHeight="1" outlineLevel="1">
      <c r="A1735" s="17">
        <v>41290.0</v>
      </c>
      <c r="B1735" s="1" t="s">
        <v>347</v>
      </c>
      <c r="C1735" s="1" t="s">
        <v>354</v>
      </c>
      <c r="D1735" s="74">
        <v>100.0</v>
      </c>
      <c r="E1735" s="67">
        <v>94.1</v>
      </c>
      <c r="F1735" s="75">
        <v>0.6431828703703704</v>
      </c>
      <c r="G1735" s="67" t="s">
        <v>453</v>
      </c>
      <c r="H1735" s="68">
        <v>1.0</v>
      </c>
      <c r="I1735" s="76"/>
      <c r="J1735" s="67">
        <f t="shared" si="124"/>
        <v>9409</v>
      </c>
      <c r="K1735" s="7"/>
      <c r="L1735" s="70"/>
      <c r="M1735" s="79"/>
      <c r="N1735" s="1"/>
      <c r="O1735" s="1"/>
      <c r="P1735" s="1"/>
      <c r="Q1735" s="1"/>
      <c r="R1735" s="1"/>
      <c r="S1735" s="1"/>
      <c r="T1735" s="1"/>
      <c r="U1735" s="1"/>
      <c r="V1735" s="1"/>
      <c r="W1735" s="1"/>
      <c r="X1735" s="1"/>
      <c r="Y1735" s="1"/>
      <c r="Z1735" s="1"/>
      <c r="AA1735" s="1"/>
      <c r="AB1735" s="1"/>
      <c r="AC1735" s="1"/>
      <c r="AD1735" s="1"/>
      <c r="AE1735" s="1"/>
      <c r="AF1735" s="1"/>
      <c r="AG1735" s="1"/>
      <c r="AH1735" s="1"/>
    </row>
    <row r="1736" ht="12.75" hidden="1" customHeight="1" outlineLevel="1">
      <c r="A1736" s="17">
        <v>41290.0</v>
      </c>
      <c r="B1736" s="1"/>
      <c r="C1736" s="1" t="s">
        <v>339</v>
      </c>
      <c r="D1736" s="74"/>
      <c r="E1736" s="67"/>
      <c r="F1736" s="75"/>
      <c r="G1736" s="67"/>
      <c r="H1736" s="68"/>
      <c r="I1736" s="76"/>
      <c r="J1736" s="67"/>
      <c r="K1736" s="7" t="s">
        <v>866</v>
      </c>
      <c r="L1736" s="77"/>
      <c r="M1736" s="79"/>
      <c r="N1736" s="1"/>
      <c r="O1736" s="1"/>
      <c r="P1736" s="1"/>
      <c r="Q1736" s="1"/>
      <c r="R1736" s="1"/>
      <c r="S1736" s="1"/>
      <c r="T1736" s="1"/>
      <c r="U1736" s="1"/>
      <c r="V1736" s="1"/>
      <c r="W1736" s="1"/>
      <c r="X1736" s="1"/>
      <c r="Y1736" s="1"/>
      <c r="Z1736" s="1"/>
      <c r="AA1736" s="1"/>
      <c r="AB1736" s="1"/>
      <c r="AC1736" s="1"/>
      <c r="AD1736" s="1"/>
      <c r="AE1736" s="1"/>
      <c r="AF1736" s="1"/>
      <c r="AG1736" s="1"/>
      <c r="AH1736" s="1"/>
    </row>
    <row r="1737" ht="12.75" hidden="1" customHeight="1" outlineLevel="1">
      <c r="A1737" s="17">
        <v>41290.0</v>
      </c>
      <c r="B1737" s="1"/>
      <c r="C1737" s="1" t="s">
        <v>429</v>
      </c>
      <c r="D1737" s="74"/>
      <c r="E1737" s="67"/>
      <c r="F1737" s="75"/>
      <c r="G1737" s="67"/>
      <c r="H1737" s="68"/>
      <c r="I1737" s="76"/>
      <c r="J1737" s="67"/>
      <c r="K1737" s="7" t="s">
        <v>679</v>
      </c>
      <c r="L1737" s="77"/>
      <c r="M1737" s="79"/>
      <c r="N1737" s="1"/>
      <c r="O1737" s="1"/>
      <c r="P1737" s="1"/>
      <c r="Q1737" s="1"/>
      <c r="R1737" s="1"/>
      <c r="S1737" s="1"/>
      <c r="T1737" s="1"/>
      <c r="U1737" s="1"/>
      <c r="V1737" s="1"/>
      <c r="W1737" s="1"/>
      <c r="X1737" s="1"/>
      <c r="Y1737" s="1"/>
      <c r="Z1737" s="1"/>
      <c r="AA1737" s="1"/>
      <c r="AB1737" s="1"/>
      <c r="AC1737" s="1"/>
      <c r="AD1737" s="1"/>
      <c r="AE1737" s="1"/>
      <c r="AF1737" s="1"/>
      <c r="AG1737" s="1"/>
      <c r="AH1737" s="1"/>
    </row>
    <row r="1738" ht="12.75" hidden="1" customHeight="1" outlineLevel="1">
      <c r="A1738" s="17">
        <v>41290.0</v>
      </c>
      <c r="B1738" s="1"/>
      <c r="C1738" s="1" t="s">
        <v>431</v>
      </c>
      <c r="D1738" s="74"/>
      <c r="E1738" s="67"/>
      <c r="F1738" s="75"/>
      <c r="G1738" s="67"/>
      <c r="H1738" s="68"/>
      <c r="I1738" s="76"/>
      <c r="J1738" s="67"/>
      <c r="K1738" s="7" t="s">
        <v>817</v>
      </c>
      <c r="L1738" s="77"/>
      <c r="M1738" s="79"/>
      <c r="N1738" s="1"/>
      <c r="O1738" s="1"/>
      <c r="P1738" s="1"/>
      <c r="Q1738" s="1"/>
      <c r="R1738" s="1"/>
      <c r="S1738" s="1"/>
      <c r="T1738" s="1"/>
      <c r="U1738" s="1"/>
      <c r="V1738" s="1"/>
      <c r="W1738" s="1"/>
      <c r="X1738" s="1"/>
      <c r="Y1738" s="1"/>
      <c r="Z1738" s="1"/>
      <c r="AA1738" s="1"/>
      <c r="AB1738" s="1"/>
      <c r="AC1738" s="1"/>
      <c r="AD1738" s="1"/>
      <c r="AE1738" s="1"/>
      <c r="AF1738" s="1"/>
      <c r="AG1738" s="1"/>
      <c r="AH1738" s="1"/>
    </row>
    <row r="1739" ht="12.75" hidden="1" customHeight="1" outlineLevel="1">
      <c r="A1739" s="17">
        <v>41290.0</v>
      </c>
      <c r="B1739" s="1"/>
      <c r="C1739" s="1" t="s">
        <v>433</v>
      </c>
      <c r="D1739" s="74"/>
      <c r="E1739" s="67"/>
      <c r="F1739" s="75"/>
      <c r="G1739" s="67"/>
      <c r="H1739" s="68"/>
      <c r="I1739" s="76"/>
      <c r="J1739" s="67"/>
      <c r="K1739" s="7" t="s">
        <v>434</v>
      </c>
      <c r="L1739" s="77"/>
      <c r="M1739" s="79"/>
      <c r="N1739" s="1"/>
      <c r="O1739" s="1"/>
      <c r="P1739" s="1"/>
      <c r="Q1739" s="1"/>
      <c r="R1739" s="1"/>
      <c r="S1739" s="1"/>
      <c r="T1739" s="1"/>
      <c r="U1739" s="1"/>
      <c r="V1739" s="1"/>
      <c r="W1739" s="1"/>
      <c r="X1739" s="1"/>
      <c r="Y1739" s="1"/>
      <c r="Z1739" s="1"/>
      <c r="AA1739" s="1"/>
      <c r="AB1739" s="1"/>
      <c r="AC1739" s="1"/>
      <c r="AD1739" s="1"/>
      <c r="AE1739" s="1"/>
      <c r="AF1739" s="1"/>
      <c r="AG1739" s="1"/>
      <c r="AH1739" s="1"/>
    </row>
    <row r="1740" ht="12.75" hidden="1" customHeight="1" outlineLevel="1">
      <c r="A1740" s="17">
        <v>41290.0</v>
      </c>
      <c r="B1740" s="1"/>
      <c r="C1740" s="1" t="s">
        <v>435</v>
      </c>
      <c r="D1740" s="74"/>
      <c r="E1740" s="67"/>
      <c r="F1740" s="75"/>
      <c r="G1740" s="67"/>
      <c r="H1740" s="68"/>
      <c r="I1740" s="76"/>
      <c r="J1740" s="67"/>
      <c r="K1740" s="7" t="s">
        <v>818</v>
      </c>
      <c r="L1740" s="77"/>
      <c r="M1740" s="79"/>
      <c r="N1740" s="1"/>
      <c r="O1740" s="1"/>
      <c r="P1740" s="1"/>
      <c r="Q1740" s="1"/>
      <c r="R1740" s="1"/>
      <c r="S1740" s="1"/>
      <c r="T1740" s="1"/>
      <c r="U1740" s="1"/>
      <c r="V1740" s="1"/>
      <c r="W1740" s="1"/>
      <c r="X1740" s="1"/>
      <c r="Y1740" s="1"/>
      <c r="Z1740" s="1"/>
      <c r="AA1740" s="1"/>
      <c r="AB1740" s="1"/>
      <c r="AC1740" s="1"/>
      <c r="AD1740" s="1"/>
      <c r="AE1740" s="1"/>
      <c r="AF1740" s="1"/>
      <c r="AG1740" s="1"/>
      <c r="AH1740" s="1"/>
    </row>
    <row r="1741" ht="12.75" hidden="1" customHeight="1" outlineLevel="1">
      <c r="A1741" s="17">
        <v>41291.0</v>
      </c>
      <c r="B1741" s="1"/>
      <c r="C1741" s="1" t="s">
        <v>339</v>
      </c>
      <c r="D1741" s="74"/>
      <c r="E1741" s="67"/>
      <c r="F1741" s="75"/>
      <c r="G1741" s="67"/>
      <c r="H1741" s="68"/>
      <c r="I1741" s="76"/>
      <c r="J1741" s="67"/>
      <c r="K1741" s="7" t="s">
        <v>867</v>
      </c>
      <c r="L1741" s="77"/>
      <c r="M1741" s="79"/>
      <c r="N1741" s="1"/>
      <c r="O1741" s="1"/>
      <c r="P1741" s="1"/>
      <c r="Q1741" s="1"/>
      <c r="R1741" s="1"/>
      <c r="S1741" s="1"/>
      <c r="T1741" s="1"/>
      <c r="U1741" s="1"/>
      <c r="V1741" s="1"/>
      <c r="W1741" s="1"/>
      <c r="X1741" s="1"/>
      <c r="Y1741" s="1"/>
      <c r="Z1741" s="1"/>
      <c r="AA1741" s="1"/>
      <c r="AB1741" s="1"/>
      <c r="AC1741" s="1"/>
      <c r="AD1741" s="1"/>
      <c r="AE1741" s="1"/>
      <c r="AF1741" s="1"/>
      <c r="AG1741" s="1"/>
      <c r="AH1741" s="1"/>
    </row>
    <row r="1742" ht="12.75" hidden="1" customHeight="1" outlineLevel="1">
      <c r="A1742" s="17">
        <v>41291.0</v>
      </c>
      <c r="B1742" s="1"/>
      <c r="C1742" s="1" t="s">
        <v>429</v>
      </c>
      <c r="D1742" s="74"/>
      <c r="E1742" s="67"/>
      <c r="F1742" s="75"/>
      <c r="G1742" s="67"/>
      <c r="H1742" s="68"/>
      <c r="I1742" s="76"/>
      <c r="J1742" s="67"/>
      <c r="K1742" s="7" t="s">
        <v>679</v>
      </c>
      <c r="L1742" s="77"/>
      <c r="M1742" s="79"/>
      <c r="N1742" s="1"/>
      <c r="O1742" s="1"/>
      <c r="P1742" s="1"/>
      <c r="Q1742" s="1"/>
      <c r="R1742" s="1"/>
      <c r="S1742" s="1"/>
      <c r="T1742" s="1"/>
      <c r="U1742" s="1"/>
      <c r="V1742" s="1"/>
      <c r="W1742" s="1"/>
      <c r="X1742" s="1"/>
      <c r="Y1742" s="1"/>
      <c r="Z1742" s="1"/>
      <c r="AA1742" s="1"/>
      <c r="AB1742" s="1"/>
      <c r="AC1742" s="1"/>
      <c r="AD1742" s="1"/>
      <c r="AE1742" s="1"/>
      <c r="AF1742" s="1"/>
      <c r="AG1742" s="1"/>
      <c r="AH1742" s="1"/>
    </row>
    <row r="1743" ht="12.75" hidden="1" customHeight="1" outlineLevel="1">
      <c r="A1743" s="17">
        <v>41291.0</v>
      </c>
      <c r="B1743" s="1"/>
      <c r="C1743" s="1" t="s">
        <v>431</v>
      </c>
      <c r="D1743" s="74"/>
      <c r="E1743" s="67"/>
      <c r="F1743" s="75"/>
      <c r="G1743" s="67"/>
      <c r="H1743" s="68"/>
      <c r="I1743" s="76"/>
      <c r="J1743" s="67"/>
      <c r="K1743" s="7" t="s">
        <v>817</v>
      </c>
      <c r="L1743" s="77"/>
      <c r="M1743" s="79"/>
      <c r="N1743" s="1"/>
      <c r="O1743" s="1"/>
      <c r="P1743" s="1"/>
      <c r="Q1743" s="1"/>
      <c r="R1743" s="1"/>
      <c r="S1743" s="1"/>
      <c r="T1743" s="1"/>
      <c r="U1743" s="1"/>
      <c r="V1743" s="1"/>
      <c r="W1743" s="1"/>
      <c r="X1743" s="1"/>
      <c r="Y1743" s="1"/>
      <c r="Z1743" s="1"/>
      <c r="AA1743" s="1"/>
      <c r="AB1743" s="1"/>
      <c r="AC1743" s="1"/>
      <c r="AD1743" s="1"/>
      <c r="AE1743" s="1"/>
      <c r="AF1743" s="1"/>
      <c r="AG1743" s="1"/>
      <c r="AH1743" s="1"/>
    </row>
    <row r="1744" ht="12.75" hidden="1" customHeight="1" outlineLevel="1">
      <c r="A1744" s="17">
        <v>41291.0</v>
      </c>
      <c r="B1744" s="1"/>
      <c r="C1744" s="1" t="s">
        <v>433</v>
      </c>
      <c r="D1744" s="74"/>
      <c r="E1744" s="67"/>
      <c r="F1744" s="75"/>
      <c r="G1744" s="67"/>
      <c r="H1744" s="68"/>
      <c r="I1744" s="76"/>
      <c r="J1744" s="67"/>
      <c r="K1744" s="7" t="s">
        <v>434</v>
      </c>
      <c r="L1744" s="77"/>
      <c r="M1744" s="79"/>
      <c r="N1744" s="1"/>
      <c r="O1744" s="1"/>
      <c r="P1744" s="1"/>
      <c r="Q1744" s="1"/>
      <c r="R1744" s="1"/>
      <c r="S1744" s="1"/>
      <c r="T1744" s="1"/>
      <c r="U1744" s="1"/>
      <c r="V1744" s="1"/>
      <c r="W1744" s="1"/>
      <c r="X1744" s="1"/>
      <c r="Y1744" s="1"/>
      <c r="Z1744" s="1"/>
      <c r="AA1744" s="1"/>
      <c r="AB1744" s="1"/>
      <c r="AC1744" s="1"/>
      <c r="AD1744" s="1"/>
      <c r="AE1744" s="1"/>
      <c r="AF1744" s="1"/>
      <c r="AG1744" s="1"/>
      <c r="AH1744" s="1"/>
    </row>
    <row r="1745" ht="12.75" hidden="1" customHeight="1" outlineLevel="1">
      <c r="A1745" s="17">
        <v>41291.0</v>
      </c>
      <c r="B1745" s="1"/>
      <c r="C1745" s="1" t="s">
        <v>435</v>
      </c>
      <c r="D1745" s="74"/>
      <c r="E1745" s="67"/>
      <c r="F1745" s="75"/>
      <c r="G1745" s="67"/>
      <c r="H1745" s="68"/>
      <c r="I1745" s="76"/>
      <c r="J1745" s="67"/>
      <c r="K1745" s="7" t="s">
        <v>818</v>
      </c>
      <c r="L1745" s="77"/>
      <c r="M1745" s="79"/>
      <c r="N1745" s="1"/>
      <c r="O1745" s="1"/>
      <c r="P1745" s="1"/>
      <c r="Q1745" s="1"/>
      <c r="R1745" s="1"/>
      <c r="S1745" s="1"/>
      <c r="T1745" s="1"/>
      <c r="U1745" s="1"/>
      <c r="V1745" s="1"/>
      <c r="W1745" s="1"/>
      <c r="X1745" s="1"/>
      <c r="Y1745" s="1"/>
      <c r="Z1745" s="1"/>
      <c r="AA1745" s="1"/>
      <c r="AB1745" s="1"/>
      <c r="AC1745" s="1"/>
      <c r="AD1745" s="1"/>
      <c r="AE1745" s="1"/>
      <c r="AF1745" s="1"/>
      <c r="AG1745" s="1"/>
      <c r="AH1745" s="1"/>
    </row>
    <row r="1746" ht="12.75" hidden="1" customHeight="1" outlineLevel="1">
      <c r="A1746" s="17">
        <v>41291.0</v>
      </c>
      <c r="B1746" s="1" t="s">
        <v>343</v>
      </c>
      <c r="C1746" s="1" t="s">
        <v>868</v>
      </c>
      <c r="D1746" s="74">
        <v>350.0</v>
      </c>
      <c r="E1746" s="67">
        <v>31.19</v>
      </c>
      <c r="F1746" s="75">
        <v>0.40518518518518515</v>
      </c>
      <c r="G1746" s="67" t="s">
        <v>453</v>
      </c>
      <c r="H1746" s="68">
        <v>1.45</v>
      </c>
      <c r="I1746" s="76"/>
      <c r="J1746" s="67">
        <f t="shared" ref="J1746:J1752" si="125">IF(B1746="SLD",D1746*E1746,-D1746*E1746)-H1746</f>
        <v>-10917.95</v>
      </c>
      <c r="K1746" s="7"/>
      <c r="L1746" s="70"/>
      <c r="M1746" s="79"/>
      <c r="N1746" s="1"/>
      <c r="O1746" s="1"/>
      <c r="P1746" s="1"/>
      <c r="Q1746" s="1"/>
      <c r="R1746" s="1"/>
      <c r="S1746" s="1"/>
      <c r="T1746" s="1"/>
      <c r="U1746" s="1"/>
      <c r="V1746" s="1"/>
      <c r="W1746" s="1"/>
      <c r="X1746" s="1"/>
      <c r="Y1746" s="1"/>
      <c r="Z1746" s="1"/>
      <c r="AA1746" s="1"/>
      <c r="AB1746" s="1"/>
      <c r="AC1746" s="1"/>
      <c r="AD1746" s="1"/>
      <c r="AE1746" s="1"/>
      <c r="AF1746" s="1"/>
      <c r="AG1746" s="1"/>
      <c r="AH1746" s="1"/>
    </row>
    <row r="1747" ht="12.75" hidden="1" customHeight="1" outlineLevel="1">
      <c r="A1747" s="17">
        <v>41291.0</v>
      </c>
      <c r="B1747" s="1" t="s">
        <v>343</v>
      </c>
      <c r="C1747" s="1" t="s">
        <v>869</v>
      </c>
      <c r="D1747" s="74">
        <v>500.0</v>
      </c>
      <c r="E1747" s="67">
        <v>21.762</v>
      </c>
      <c r="F1747" s="75">
        <v>0.4068865740740741</v>
      </c>
      <c r="G1747" s="67" t="s">
        <v>453</v>
      </c>
      <c r="H1747" s="68">
        <v>2.8</v>
      </c>
      <c r="I1747" s="76"/>
      <c r="J1747" s="67">
        <f t="shared" si="125"/>
        <v>-10883.8</v>
      </c>
      <c r="K1747" s="7"/>
      <c r="L1747" s="70"/>
      <c r="M1747" s="79"/>
      <c r="N1747" s="1"/>
      <c r="O1747" s="1"/>
      <c r="P1747" s="1"/>
      <c r="Q1747" s="1"/>
      <c r="R1747" s="1"/>
      <c r="S1747" s="1"/>
      <c r="T1747" s="1"/>
      <c r="U1747" s="1"/>
      <c r="V1747" s="1"/>
      <c r="W1747" s="1"/>
      <c r="X1747" s="1"/>
      <c r="Y1747" s="1"/>
      <c r="Z1747" s="1"/>
      <c r="AA1747" s="1"/>
      <c r="AB1747" s="1"/>
      <c r="AC1747" s="1"/>
      <c r="AD1747" s="1"/>
      <c r="AE1747" s="1"/>
      <c r="AF1747" s="1"/>
      <c r="AG1747" s="1"/>
      <c r="AH1747" s="1"/>
    </row>
    <row r="1748" ht="12.75" hidden="1" customHeight="1" outlineLevel="1">
      <c r="A1748" s="17">
        <v>41291.0</v>
      </c>
      <c r="B1748" s="1" t="s">
        <v>347</v>
      </c>
      <c r="C1748" s="1" t="s">
        <v>346</v>
      </c>
      <c r="D1748" s="74">
        <v>15.0</v>
      </c>
      <c r="E1748" s="67">
        <v>503.3</v>
      </c>
      <c r="F1748" s="75">
        <v>0.4082523148148148</v>
      </c>
      <c r="G1748" s="67" t="s">
        <v>453</v>
      </c>
      <c r="H1748" s="68">
        <v>1.0</v>
      </c>
      <c r="I1748" s="76"/>
      <c r="J1748" s="67">
        <f t="shared" si="125"/>
        <v>7548.5</v>
      </c>
      <c r="K1748" s="7"/>
      <c r="L1748" s="70"/>
      <c r="M1748" s="79"/>
      <c r="N1748" s="1"/>
      <c r="O1748" s="1"/>
      <c r="P1748" s="1"/>
      <c r="Q1748" s="1"/>
      <c r="R1748" s="1"/>
      <c r="S1748" s="1"/>
      <c r="T1748" s="1"/>
      <c r="U1748" s="1"/>
      <c r="V1748" s="1"/>
      <c r="W1748" s="1"/>
      <c r="X1748" s="1"/>
      <c r="Y1748" s="1"/>
      <c r="Z1748" s="1"/>
      <c r="AA1748" s="1"/>
      <c r="AB1748" s="1"/>
      <c r="AC1748" s="1"/>
      <c r="AD1748" s="1"/>
      <c r="AE1748" s="1"/>
      <c r="AF1748" s="1"/>
      <c r="AG1748" s="1"/>
      <c r="AH1748" s="1"/>
    </row>
    <row r="1749" ht="12.75" hidden="1" customHeight="1" outlineLevel="1">
      <c r="A1749" s="17">
        <v>41291.0</v>
      </c>
      <c r="B1749" s="1" t="s">
        <v>347</v>
      </c>
      <c r="C1749" s="1" t="s">
        <v>346</v>
      </c>
      <c r="D1749" s="74">
        <v>25.0</v>
      </c>
      <c r="E1749" s="67">
        <v>503.81</v>
      </c>
      <c r="F1749" s="75">
        <v>0.41008101851851847</v>
      </c>
      <c r="G1749" s="67" t="s">
        <v>453</v>
      </c>
      <c r="H1749" s="68">
        <v>1.0</v>
      </c>
      <c r="I1749" s="76"/>
      <c r="J1749" s="67">
        <f t="shared" si="125"/>
        <v>12594.25</v>
      </c>
      <c r="K1749" s="7"/>
      <c r="L1749" s="70"/>
      <c r="M1749" s="79"/>
      <c r="N1749" s="1"/>
      <c r="O1749" s="1"/>
      <c r="P1749" s="1"/>
      <c r="Q1749" s="1"/>
      <c r="R1749" s="1"/>
      <c r="S1749" s="1"/>
      <c r="T1749" s="1"/>
      <c r="U1749" s="1"/>
      <c r="V1749" s="1"/>
      <c r="W1749" s="1"/>
      <c r="X1749" s="1"/>
      <c r="Y1749" s="1"/>
      <c r="Z1749" s="1"/>
      <c r="AA1749" s="1"/>
      <c r="AB1749" s="1"/>
      <c r="AC1749" s="1"/>
      <c r="AD1749" s="1"/>
      <c r="AE1749" s="1"/>
      <c r="AF1749" s="1"/>
      <c r="AG1749" s="1"/>
      <c r="AH1749" s="1"/>
    </row>
    <row r="1750" ht="12.75" hidden="1" customHeight="1" outlineLevel="1">
      <c r="A1750" s="17">
        <v>41291.0</v>
      </c>
      <c r="B1750" s="1" t="s">
        <v>343</v>
      </c>
      <c r="C1750" s="1" t="s">
        <v>870</v>
      </c>
      <c r="D1750" s="74">
        <v>150.0</v>
      </c>
      <c r="E1750" s="67">
        <v>65.33</v>
      </c>
      <c r="F1750" s="75">
        <v>0.4190740740740741</v>
      </c>
      <c r="G1750" s="67" t="s">
        <v>453</v>
      </c>
      <c r="H1750" s="68">
        <v>1.0</v>
      </c>
      <c r="I1750" s="76"/>
      <c r="J1750" s="67">
        <f t="shared" si="125"/>
        <v>-9800.5</v>
      </c>
      <c r="K1750" s="7"/>
      <c r="L1750" s="70"/>
      <c r="M1750" s="79"/>
      <c r="N1750" s="1"/>
      <c r="O1750" s="1"/>
      <c r="P1750" s="1"/>
      <c r="Q1750" s="1"/>
      <c r="R1750" s="1"/>
      <c r="S1750" s="1"/>
      <c r="T1750" s="1"/>
      <c r="U1750" s="1"/>
      <c r="V1750" s="1"/>
      <c r="W1750" s="1"/>
      <c r="X1750" s="1"/>
      <c r="Y1750" s="1"/>
      <c r="Z1750" s="1"/>
      <c r="AA1750" s="1"/>
      <c r="AB1750" s="1"/>
      <c r="AC1750" s="1"/>
      <c r="AD1750" s="1"/>
      <c r="AE1750" s="1"/>
      <c r="AF1750" s="1"/>
      <c r="AG1750" s="1"/>
      <c r="AH1750" s="1"/>
    </row>
    <row r="1751" ht="12.75" hidden="1" customHeight="1" outlineLevel="1">
      <c r="A1751" s="17">
        <v>41291.0</v>
      </c>
      <c r="B1751" s="1" t="s">
        <v>343</v>
      </c>
      <c r="C1751" s="1" t="s">
        <v>346</v>
      </c>
      <c r="D1751" s="74">
        <v>40.0</v>
      </c>
      <c r="E1751" s="67">
        <v>506.8</v>
      </c>
      <c r="F1751" s="75">
        <v>0.4304282407407407</v>
      </c>
      <c r="G1751" s="67" t="s">
        <v>453</v>
      </c>
      <c r="H1751" s="68">
        <v>1.0</v>
      </c>
      <c r="I1751" s="76"/>
      <c r="J1751" s="67">
        <f t="shared" si="125"/>
        <v>-20273</v>
      </c>
      <c r="K1751" s="7"/>
      <c r="L1751" s="70"/>
      <c r="M1751" s="79"/>
      <c r="N1751" s="1"/>
      <c r="O1751" s="1"/>
      <c r="P1751" s="1"/>
      <c r="Q1751" s="1"/>
      <c r="R1751" s="1"/>
      <c r="S1751" s="1"/>
      <c r="T1751" s="1"/>
      <c r="U1751" s="1"/>
      <c r="V1751" s="1"/>
      <c r="W1751" s="1"/>
      <c r="X1751" s="1"/>
      <c r="Y1751" s="1"/>
      <c r="Z1751" s="1"/>
      <c r="AA1751" s="1"/>
      <c r="AB1751" s="1"/>
      <c r="AC1751" s="1"/>
      <c r="AD1751" s="1"/>
      <c r="AE1751" s="1"/>
      <c r="AF1751" s="1"/>
      <c r="AG1751" s="1"/>
      <c r="AH1751" s="1"/>
    </row>
    <row r="1752" ht="12.75" hidden="1" customHeight="1" outlineLevel="1">
      <c r="A1752" s="17">
        <v>41291.0</v>
      </c>
      <c r="B1752" s="1" t="s">
        <v>347</v>
      </c>
      <c r="C1752" s="1" t="s">
        <v>605</v>
      </c>
      <c r="D1752" s="74">
        <v>100.0</v>
      </c>
      <c r="E1752" s="67">
        <v>54.28</v>
      </c>
      <c r="F1752" s="75">
        <v>0.5079976851851852</v>
      </c>
      <c r="G1752" s="67" t="s">
        <v>453</v>
      </c>
      <c r="H1752" s="68">
        <v>1.0</v>
      </c>
      <c r="I1752" s="76"/>
      <c r="J1752" s="67">
        <f t="shared" si="125"/>
        <v>5427</v>
      </c>
      <c r="K1752" s="7"/>
      <c r="L1752" s="70"/>
      <c r="M1752" s="79"/>
      <c r="N1752" s="1"/>
      <c r="O1752" s="1"/>
      <c r="P1752" s="1"/>
      <c r="Q1752" s="1"/>
      <c r="R1752" s="1"/>
      <c r="S1752" s="1"/>
      <c r="T1752" s="1"/>
      <c r="U1752" s="1"/>
      <c r="V1752" s="1"/>
      <c r="W1752" s="1"/>
      <c r="X1752" s="1"/>
      <c r="Y1752" s="1"/>
      <c r="Z1752" s="1"/>
      <c r="AA1752" s="1"/>
      <c r="AB1752" s="1"/>
      <c r="AC1752" s="1"/>
      <c r="AD1752" s="1"/>
      <c r="AE1752" s="1"/>
      <c r="AF1752" s="1"/>
      <c r="AG1752" s="1"/>
      <c r="AH1752" s="1"/>
    </row>
    <row r="1753" ht="12.75" hidden="1" customHeight="1" outlineLevel="1">
      <c r="A1753" s="17">
        <v>41291.0</v>
      </c>
      <c r="B1753" s="1"/>
      <c r="C1753" s="1" t="s">
        <v>339</v>
      </c>
      <c r="D1753" s="74"/>
      <c r="E1753" s="67"/>
      <c r="F1753" s="75"/>
      <c r="G1753" s="67"/>
      <c r="H1753" s="68"/>
      <c r="I1753" s="76"/>
      <c r="J1753" s="67"/>
      <c r="K1753" s="7" t="s">
        <v>871</v>
      </c>
      <c r="L1753" s="77"/>
      <c r="M1753" s="79"/>
      <c r="N1753" s="1"/>
      <c r="O1753" s="1"/>
      <c r="P1753" s="1"/>
      <c r="Q1753" s="1"/>
      <c r="R1753" s="1"/>
      <c r="S1753" s="1"/>
      <c r="T1753" s="1"/>
      <c r="U1753" s="1"/>
      <c r="V1753" s="1"/>
      <c r="W1753" s="1"/>
      <c r="X1753" s="1"/>
      <c r="Y1753" s="1"/>
      <c r="Z1753" s="1"/>
      <c r="AA1753" s="1"/>
      <c r="AB1753" s="1"/>
      <c r="AC1753" s="1"/>
      <c r="AD1753" s="1"/>
      <c r="AE1753" s="1"/>
      <c r="AF1753" s="1"/>
      <c r="AG1753" s="1"/>
      <c r="AH1753" s="1"/>
    </row>
    <row r="1754" ht="12.75" hidden="1" customHeight="1" outlineLevel="1">
      <c r="A1754" s="17">
        <v>41291.0</v>
      </c>
      <c r="B1754" s="1"/>
      <c r="C1754" s="1" t="s">
        <v>429</v>
      </c>
      <c r="D1754" s="74"/>
      <c r="E1754" s="67"/>
      <c r="F1754" s="75"/>
      <c r="G1754" s="67"/>
      <c r="H1754" s="68"/>
      <c r="I1754" s="76"/>
      <c r="J1754" s="67"/>
      <c r="K1754" s="7" t="s">
        <v>679</v>
      </c>
      <c r="L1754" s="77"/>
      <c r="M1754" s="79"/>
      <c r="N1754" s="1"/>
      <c r="O1754" s="1"/>
      <c r="P1754" s="1"/>
      <c r="Q1754" s="1"/>
      <c r="R1754" s="1"/>
      <c r="S1754" s="1"/>
      <c r="T1754" s="1"/>
      <c r="U1754" s="1"/>
      <c r="V1754" s="1"/>
      <c r="W1754" s="1"/>
      <c r="X1754" s="1"/>
      <c r="Y1754" s="1"/>
      <c r="Z1754" s="1"/>
      <c r="AA1754" s="1"/>
      <c r="AB1754" s="1"/>
      <c r="AC1754" s="1"/>
      <c r="AD1754" s="1"/>
      <c r="AE1754" s="1"/>
      <c r="AF1754" s="1"/>
      <c r="AG1754" s="1"/>
      <c r="AH1754" s="1"/>
    </row>
    <row r="1755" ht="12.75" hidden="1" customHeight="1" outlineLevel="1">
      <c r="A1755" s="17">
        <v>41291.0</v>
      </c>
      <c r="B1755" s="1"/>
      <c r="C1755" s="1" t="s">
        <v>431</v>
      </c>
      <c r="D1755" s="74"/>
      <c r="E1755" s="67"/>
      <c r="F1755" s="75"/>
      <c r="G1755" s="67"/>
      <c r="H1755" s="68"/>
      <c r="I1755" s="76"/>
      <c r="J1755" s="67"/>
      <c r="K1755" s="7" t="s">
        <v>817</v>
      </c>
      <c r="L1755" s="77"/>
      <c r="M1755" s="79"/>
      <c r="N1755" s="1"/>
      <c r="O1755" s="1"/>
      <c r="P1755" s="1"/>
      <c r="Q1755" s="1"/>
      <c r="R1755" s="1"/>
      <c r="S1755" s="1"/>
      <c r="T1755" s="1"/>
      <c r="U1755" s="1"/>
      <c r="V1755" s="1"/>
      <c r="W1755" s="1"/>
      <c r="X1755" s="1"/>
      <c r="Y1755" s="1"/>
      <c r="Z1755" s="1"/>
      <c r="AA1755" s="1"/>
      <c r="AB1755" s="1"/>
      <c r="AC1755" s="1"/>
      <c r="AD1755" s="1"/>
      <c r="AE1755" s="1"/>
      <c r="AF1755" s="1"/>
      <c r="AG1755" s="1"/>
      <c r="AH1755" s="1"/>
    </row>
    <row r="1756" ht="12.75" hidden="1" customHeight="1" outlineLevel="1">
      <c r="A1756" s="17">
        <v>41291.0</v>
      </c>
      <c r="B1756" s="1"/>
      <c r="C1756" s="1" t="s">
        <v>433</v>
      </c>
      <c r="D1756" s="74"/>
      <c r="E1756" s="67"/>
      <c r="F1756" s="75"/>
      <c r="G1756" s="67"/>
      <c r="H1756" s="68"/>
      <c r="I1756" s="76"/>
      <c r="J1756" s="67"/>
      <c r="K1756" s="7" t="s">
        <v>434</v>
      </c>
      <c r="L1756" s="77"/>
      <c r="M1756" s="79"/>
      <c r="N1756" s="1"/>
      <c r="O1756" s="1"/>
      <c r="P1756" s="1"/>
      <c r="Q1756" s="1"/>
      <c r="R1756" s="1"/>
      <c r="S1756" s="1"/>
      <c r="T1756" s="1"/>
      <c r="U1756" s="1"/>
      <c r="V1756" s="1"/>
      <c r="W1756" s="1"/>
      <c r="X1756" s="1"/>
      <c r="Y1756" s="1"/>
      <c r="Z1756" s="1"/>
      <c r="AA1756" s="1"/>
      <c r="AB1756" s="1"/>
      <c r="AC1756" s="1"/>
      <c r="AD1756" s="1"/>
      <c r="AE1756" s="1"/>
      <c r="AF1756" s="1"/>
      <c r="AG1756" s="1"/>
      <c r="AH1756" s="1"/>
    </row>
    <row r="1757" ht="12.75" hidden="1" customHeight="1" outlineLevel="1">
      <c r="A1757" s="17">
        <v>41291.0</v>
      </c>
      <c r="B1757" s="1"/>
      <c r="C1757" s="1" t="s">
        <v>435</v>
      </c>
      <c r="D1757" s="74"/>
      <c r="E1757" s="67"/>
      <c r="F1757" s="75"/>
      <c r="G1757" s="67"/>
      <c r="H1757" s="68"/>
      <c r="I1757" s="76"/>
      <c r="J1757" s="67"/>
      <c r="K1757" s="7" t="s">
        <v>818</v>
      </c>
      <c r="L1757" s="77"/>
      <c r="M1757" s="79"/>
      <c r="N1757" s="1"/>
      <c r="O1757" s="1"/>
      <c r="P1757" s="1"/>
      <c r="Q1757" s="1"/>
      <c r="R1757" s="1"/>
      <c r="S1757" s="1"/>
      <c r="T1757" s="1"/>
      <c r="U1757" s="1"/>
      <c r="V1757" s="1"/>
      <c r="W1757" s="1"/>
      <c r="X1757" s="1"/>
      <c r="Y1757" s="1"/>
      <c r="Z1757" s="1"/>
      <c r="AA1757" s="1"/>
      <c r="AB1757" s="1"/>
      <c r="AC1757" s="1"/>
      <c r="AD1757" s="1"/>
      <c r="AE1757" s="1"/>
      <c r="AF1757" s="1"/>
      <c r="AG1757" s="1"/>
      <c r="AH1757" s="1"/>
    </row>
    <row r="1758" ht="12.75" hidden="1" customHeight="1" outlineLevel="1">
      <c r="A1758" s="17">
        <v>41292.0</v>
      </c>
      <c r="B1758" s="1"/>
      <c r="C1758" s="1" t="s">
        <v>339</v>
      </c>
      <c r="D1758" s="74"/>
      <c r="E1758" s="67"/>
      <c r="F1758" s="75"/>
      <c r="G1758" s="67"/>
      <c r="H1758" s="68"/>
      <c r="I1758" s="76"/>
      <c r="J1758" s="67"/>
      <c r="K1758" s="7" t="s">
        <v>872</v>
      </c>
      <c r="L1758" s="77"/>
      <c r="M1758" s="79"/>
      <c r="N1758" s="1"/>
      <c r="O1758" s="1"/>
      <c r="P1758" s="1"/>
      <c r="Q1758" s="1"/>
      <c r="R1758" s="1"/>
      <c r="S1758" s="1"/>
      <c r="T1758" s="1"/>
      <c r="U1758" s="1"/>
      <c r="V1758" s="1"/>
      <c r="W1758" s="1"/>
      <c r="X1758" s="1"/>
      <c r="Y1758" s="1"/>
      <c r="Z1758" s="1"/>
      <c r="AA1758" s="1"/>
      <c r="AB1758" s="1"/>
      <c r="AC1758" s="1"/>
      <c r="AD1758" s="1"/>
      <c r="AE1758" s="1"/>
      <c r="AF1758" s="1"/>
      <c r="AG1758" s="1"/>
      <c r="AH1758" s="1"/>
    </row>
    <row r="1759" ht="12.75" hidden="1" customHeight="1" outlineLevel="1">
      <c r="A1759" s="17">
        <v>41292.0</v>
      </c>
      <c r="B1759" s="1"/>
      <c r="C1759" s="1" t="s">
        <v>429</v>
      </c>
      <c r="D1759" s="74"/>
      <c r="E1759" s="67"/>
      <c r="F1759" s="75"/>
      <c r="G1759" s="67"/>
      <c r="H1759" s="68"/>
      <c r="I1759" s="76"/>
      <c r="J1759" s="67"/>
      <c r="K1759" s="7" t="s">
        <v>679</v>
      </c>
      <c r="L1759" s="77"/>
      <c r="M1759" s="79"/>
      <c r="N1759" s="1"/>
      <c r="O1759" s="1"/>
      <c r="P1759" s="1"/>
      <c r="Q1759" s="1"/>
      <c r="R1759" s="1"/>
      <c r="S1759" s="1"/>
      <c r="T1759" s="1"/>
      <c r="U1759" s="1"/>
      <c r="V1759" s="1"/>
      <c r="W1759" s="1"/>
      <c r="X1759" s="1"/>
      <c r="Y1759" s="1"/>
      <c r="Z1759" s="1"/>
      <c r="AA1759" s="1"/>
      <c r="AB1759" s="1"/>
      <c r="AC1759" s="1"/>
      <c r="AD1759" s="1"/>
      <c r="AE1759" s="1"/>
      <c r="AF1759" s="1"/>
      <c r="AG1759" s="1"/>
      <c r="AH1759" s="1"/>
    </row>
    <row r="1760" ht="12.75" hidden="1" customHeight="1" outlineLevel="1">
      <c r="A1760" s="17">
        <v>41292.0</v>
      </c>
      <c r="B1760" s="1"/>
      <c r="C1760" s="1" t="s">
        <v>431</v>
      </c>
      <c r="D1760" s="74"/>
      <c r="E1760" s="67"/>
      <c r="F1760" s="75"/>
      <c r="G1760" s="67"/>
      <c r="H1760" s="68"/>
      <c r="I1760" s="76"/>
      <c r="J1760" s="67"/>
      <c r="K1760" s="7" t="s">
        <v>817</v>
      </c>
      <c r="L1760" s="77"/>
      <c r="M1760" s="79"/>
      <c r="N1760" s="1"/>
      <c r="O1760" s="1"/>
      <c r="P1760" s="1"/>
      <c r="Q1760" s="1"/>
      <c r="R1760" s="1"/>
      <c r="S1760" s="1"/>
      <c r="T1760" s="1"/>
      <c r="U1760" s="1"/>
      <c r="V1760" s="1"/>
      <c r="W1760" s="1"/>
      <c r="X1760" s="1"/>
      <c r="Y1760" s="1"/>
      <c r="Z1760" s="1"/>
      <c r="AA1760" s="1"/>
      <c r="AB1760" s="1"/>
      <c r="AC1760" s="1"/>
      <c r="AD1760" s="1"/>
      <c r="AE1760" s="1"/>
      <c r="AF1760" s="1"/>
      <c r="AG1760" s="1"/>
      <c r="AH1760" s="1"/>
    </row>
    <row r="1761" ht="12.75" hidden="1" customHeight="1" outlineLevel="1">
      <c r="A1761" s="17">
        <v>41292.0</v>
      </c>
      <c r="B1761" s="1"/>
      <c r="C1761" s="1" t="s">
        <v>433</v>
      </c>
      <c r="D1761" s="74"/>
      <c r="E1761" s="67"/>
      <c r="F1761" s="75"/>
      <c r="G1761" s="67"/>
      <c r="H1761" s="68"/>
      <c r="I1761" s="76"/>
      <c r="J1761" s="67"/>
      <c r="K1761" s="7" t="s">
        <v>434</v>
      </c>
      <c r="L1761" s="77"/>
      <c r="M1761" s="79"/>
      <c r="N1761" s="1"/>
      <c r="O1761" s="1"/>
      <c r="P1761" s="1"/>
      <c r="Q1761" s="1"/>
      <c r="R1761" s="1"/>
      <c r="S1761" s="1"/>
      <c r="T1761" s="1"/>
      <c r="U1761" s="1"/>
      <c r="V1761" s="1"/>
      <c r="W1761" s="1"/>
      <c r="X1761" s="1"/>
      <c r="Y1761" s="1"/>
      <c r="Z1761" s="1"/>
      <c r="AA1761" s="1"/>
      <c r="AB1761" s="1"/>
      <c r="AC1761" s="1"/>
      <c r="AD1761" s="1"/>
      <c r="AE1761" s="1"/>
      <c r="AF1761" s="1"/>
      <c r="AG1761" s="1"/>
      <c r="AH1761" s="1"/>
    </row>
    <row r="1762" ht="12.75" hidden="1" customHeight="1" outlineLevel="1">
      <c r="A1762" s="17">
        <v>41292.0</v>
      </c>
      <c r="B1762" s="1"/>
      <c r="C1762" s="1" t="s">
        <v>435</v>
      </c>
      <c r="D1762" s="74"/>
      <c r="E1762" s="67"/>
      <c r="F1762" s="75"/>
      <c r="G1762" s="67"/>
      <c r="H1762" s="68"/>
      <c r="I1762" s="76"/>
      <c r="J1762" s="67"/>
      <c r="K1762" s="7" t="s">
        <v>818</v>
      </c>
      <c r="L1762" s="77"/>
      <c r="M1762" s="79"/>
      <c r="N1762" s="1"/>
      <c r="O1762" s="1"/>
      <c r="P1762" s="1"/>
      <c r="Q1762" s="1"/>
      <c r="R1762" s="1"/>
      <c r="S1762" s="1"/>
      <c r="T1762" s="1"/>
      <c r="U1762" s="1"/>
      <c r="V1762" s="1"/>
      <c r="W1762" s="1"/>
      <c r="X1762" s="1"/>
      <c r="Y1762" s="1"/>
      <c r="Z1762" s="1"/>
      <c r="AA1762" s="1"/>
      <c r="AB1762" s="1"/>
      <c r="AC1762" s="1"/>
      <c r="AD1762" s="1"/>
      <c r="AE1762" s="1"/>
      <c r="AF1762" s="1"/>
      <c r="AG1762" s="1"/>
      <c r="AH1762" s="1"/>
    </row>
    <row r="1763" ht="12.75" hidden="1" customHeight="1" outlineLevel="1">
      <c r="A1763" s="17">
        <v>41295.0</v>
      </c>
      <c r="B1763" s="1"/>
      <c r="C1763" s="1" t="s">
        <v>339</v>
      </c>
      <c r="D1763" s="74"/>
      <c r="E1763" s="67"/>
      <c r="F1763" s="75"/>
      <c r="G1763" s="67"/>
      <c r="H1763" s="68"/>
      <c r="I1763" s="76"/>
      <c r="J1763" s="67"/>
      <c r="K1763" s="7" t="s">
        <v>873</v>
      </c>
      <c r="L1763" s="77"/>
      <c r="M1763" s="79"/>
      <c r="N1763" s="1"/>
      <c r="O1763" s="1"/>
      <c r="P1763" s="1"/>
      <c r="Q1763" s="1"/>
      <c r="R1763" s="1"/>
      <c r="S1763" s="1"/>
      <c r="T1763" s="1"/>
      <c r="U1763" s="1"/>
      <c r="V1763" s="1"/>
      <c r="W1763" s="1"/>
      <c r="X1763" s="1"/>
      <c r="Y1763" s="1"/>
      <c r="Z1763" s="1"/>
      <c r="AA1763" s="1"/>
      <c r="AB1763" s="1"/>
      <c r="AC1763" s="1"/>
      <c r="AD1763" s="1"/>
      <c r="AE1763" s="1"/>
      <c r="AF1763" s="1"/>
      <c r="AG1763" s="1"/>
      <c r="AH1763" s="1"/>
    </row>
    <row r="1764" ht="12.75" hidden="1" customHeight="1" outlineLevel="1">
      <c r="A1764" s="17">
        <v>41295.0</v>
      </c>
      <c r="B1764" s="1"/>
      <c r="C1764" s="1" t="s">
        <v>429</v>
      </c>
      <c r="D1764" s="74"/>
      <c r="E1764" s="67"/>
      <c r="F1764" s="75"/>
      <c r="G1764" s="67"/>
      <c r="H1764" s="68"/>
      <c r="I1764" s="76"/>
      <c r="J1764" s="67"/>
      <c r="K1764" s="7" t="s">
        <v>679</v>
      </c>
      <c r="L1764" s="77"/>
      <c r="M1764" s="79"/>
      <c r="N1764" s="1"/>
      <c r="O1764" s="1"/>
      <c r="P1764" s="1"/>
      <c r="Q1764" s="1"/>
      <c r="R1764" s="1"/>
      <c r="S1764" s="1"/>
      <c r="T1764" s="1"/>
      <c r="U1764" s="1"/>
      <c r="V1764" s="1"/>
      <c r="W1764" s="1"/>
      <c r="X1764" s="1"/>
      <c r="Y1764" s="1"/>
      <c r="Z1764" s="1"/>
      <c r="AA1764" s="1"/>
      <c r="AB1764" s="1"/>
      <c r="AC1764" s="1"/>
      <c r="AD1764" s="1"/>
      <c r="AE1764" s="1"/>
      <c r="AF1764" s="1"/>
      <c r="AG1764" s="1"/>
      <c r="AH1764" s="1"/>
    </row>
    <row r="1765" ht="12.75" hidden="1" customHeight="1" outlineLevel="1">
      <c r="A1765" s="17">
        <v>41295.0</v>
      </c>
      <c r="B1765" s="1"/>
      <c r="C1765" s="1" t="s">
        <v>431</v>
      </c>
      <c r="D1765" s="74"/>
      <c r="E1765" s="67"/>
      <c r="F1765" s="75"/>
      <c r="G1765" s="67"/>
      <c r="H1765" s="68"/>
      <c r="I1765" s="76"/>
      <c r="J1765" s="67"/>
      <c r="K1765" s="7" t="s">
        <v>817</v>
      </c>
      <c r="L1765" s="77"/>
      <c r="M1765" s="79"/>
      <c r="N1765" s="1"/>
      <c r="O1765" s="1"/>
      <c r="P1765" s="1"/>
      <c r="Q1765" s="1"/>
      <c r="R1765" s="1"/>
      <c r="S1765" s="1"/>
      <c r="T1765" s="1"/>
      <c r="U1765" s="1"/>
      <c r="V1765" s="1"/>
      <c r="W1765" s="1"/>
      <c r="X1765" s="1"/>
      <c r="Y1765" s="1"/>
      <c r="Z1765" s="1"/>
      <c r="AA1765" s="1"/>
      <c r="AB1765" s="1"/>
      <c r="AC1765" s="1"/>
      <c r="AD1765" s="1"/>
      <c r="AE1765" s="1"/>
      <c r="AF1765" s="1"/>
      <c r="AG1765" s="1"/>
      <c r="AH1765" s="1"/>
    </row>
    <row r="1766" ht="12.75" hidden="1" customHeight="1" outlineLevel="1">
      <c r="A1766" s="17">
        <v>41295.0</v>
      </c>
      <c r="B1766" s="1"/>
      <c r="C1766" s="1" t="s">
        <v>433</v>
      </c>
      <c r="D1766" s="74"/>
      <c r="E1766" s="67"/>
      <c r="F1766" s="75"/>
      <c r="G1766" s="67"/>
      <c r="H1766" s="68"/>
      <c r="I1766" s="76"/>
      <c r="J1766" s="67"/>
      <c r="K1766" s="7" t="s">
        <v>434</v>
      </c>
      <c r="L1766" s="77"/>
      <c r="M1766" s="79"/>
      <c r="N1766" s="1"/>
      <c r="O1766" s="1"/>
      <c r="P1766" s="1"/>
      <c r="Q1766" s="1"/>
      <c r="R1766" s="1"/>
      <c r="S1766" s="1"/>
      <c r="T1766" s="1"/>
      <c r="U1766" s="1"/>
      <c r="V1766" s="1"/>
      <c r="W1766" s="1"/>
      <c r="X1766" s="1"/>
      <c r="Y1766" s="1"/>
      <c r="Z1766" s="1"/>
      <c r="AA1766" s="1"/>
      <c r="AB1766" s="1"/>
      <c r="AC1766" s="1"/>
      <c r="AD1766" s="1"/>
      <c r="AE1766" s="1"/>
      <c r="AF1766" s="1"/>
      <c r="AG1766" s="1"/>
      <c r="AH1766" s="1"/>
    </row>
    <row r="1767" ht="12.75" hidden="1" customHeight="1" outlineLevel="1">
      <c r="A1767" s="17">
        <v>41295.0</v>
      </c>
      <c r="B1767" s="1"/>
      <c r="C1767" s="1" t="s">
        <v>435</v>
      </c>
      <c r="D1767" s="74"/>
      <c r="E1767" s="67"/>
      <c r="F1767" s="75"/>
      <c r="G1767" s="67"/>
      <c r="H1767" s="68"/>
      <c r="I1767" s="76"/>
      <c r="J1767" s="67"/>
      <c r="K1767" s="7" t="s">
        <v>818</v>
      </c>
      <c r="L1767" s="77"/>
      <c r="M1767" s="79"/>
      <c r="N1767" s="1"/>
      <c r="O1767" s="1"/>
      <c r="P1767" s="1"/>
      <c r="Q1767" s="1"/>
      <c r="R1767" s="1"/>
      <c r="S1767" s="1"/>
      <c r="T1767" s="1"/>
      <c r="U1767" s="1"/>
      <c r="V1767" s="1"/>
      <c r="W1767" s="1"/>
      <c r="X1767" s="1"/>
      <c r="Y1767" s="1"/>
      <c r="Z1767" s="1"/>
      <c r="AA1767" s="1"/>
      <c r="AB1767" s="1"/>
      <c r="AC1767" s="1"/>
      <c r="AD1767" s="1"/>
      <c r="AE1767" s="1"/>
      <c r="AF1767" s="1"/>
      <c r="AG1767" s="1"/>
      <c r="AH1767" s="1"/>
    </row>
    <row r="1768" ht="12.75" hidden="1" customHeight="1" outlineLevel="1">
      <c r="A1768" s="17">
        <v>41296.0</v>
      </c>
      <c r="B1768" s="1" t="s">
        <v>343</v>
      </c>
      <c r="C1768" s="1" t="s">
        <v>346</v>
      </c>
      <c r="D1768" s="74">
        <v>20.0</v>
      </c>
      <c r="E1768" s="67">
        <v>502.71</v>
      </c>
      <c r="F1768" s="75" t="s">
        <v>874</v>
      </c>
      <c r="G1768" s="67" t="s">
        <v>453</v>
      </c>
      <c r="H1768" s="68">
        <v>1.0</v>
      </c>
      <c r="I1768" s="76"/>
      <c r="J1768" s="67">
        <f>IF(B1768="SLD",D1768*E1768,-D1768*E1768)-H1768</f>
        <v>-10055.2</v>
      </c>
      <c r="K1768" s="7"/>
      <c r="L1768" s="70"/>
      <c r="M1768" s="79"/>
      <c r="N1768" s="1"/>
      <c r="O1768" s="1"/>
      <c r="P1768" s="1"/>
      <c r="Q1768" s="1"/>
      <c r="R1768" s="1"/>
      <c r="S1768" s="1"/>
      <c r="T1768" s="1"/>
      <c r="U1768" s="1"/>
      <c r="V1768" s="1"/>
      <c r="W1768" s="1"/>
      <c r="X1768" s="1"/>
      <c r="Y1768" s="1"/>
      <c r="Z1768" s="1"/>
      <c r="AA1768" s="1"/>
      <c r="AB1768" s="1"/>
      <c r="AC1768" s="1"/>
      <c r="AD1768" s="1"/>
      <c r="AE1768" s="1"/>
      <c r="AF1768" s="1"/>
      <c r="AG1768" s="1"/>
      <c r="AH1768" s="1"/>
    </row>
    <row r="1769" ht="12.75" hidden="1" customHeight="1" outlineLevel="1">
      <c r="A1769" s="17">
        <v>41296.0</v>
      </c>
      <c r="B1769" s="1"/>
      <c r="C1769" s="1" t="s">
        <v>339</v>
      </c>
      <c r="D1769" s="74"/>
      <c r="E1769" s="67"/>
      <c r="F1769" s="75"/>
      <c r="G1769" s="67"/>
      <c r="H1769" s="68"/>
      <c r="I1769" s="76"/>
      <c r="J1769" s="67"/>
      <c r="K1769" s="7" t="s">
        <v>875</v>
      </c>
      <c r="L1769" s="77"/>
      <c r="M1769" s="79"/>
      <c r="N1769" s="1"/>
      <c r="O1769" s="1"/>
      <c r="P1769" s="1"/>
      <c r="Q1769" s="1"/>
      <c r="R1769" s="1"/>
      <c r="S1769" s="1"/>
      <c r="T1769" s="1"/>
      <c r="U1769" s="1"/>
      <c r="V1769" s="1"/>
      <c r="W1769" s="1"/>
      <c r="X1769" s="1"/>
      <c r="Y1769" s="1"/>
      <c r="Z1769" s="1"/>
      <c r="AA1769" s="1"/>
      <c r="AB1769" s="1"/>
      <c r="AC1769" s="1"/>
      <c r="AD1769" s="1"/>
      <c r="AE1769" s="1"/>
      <c r="AF1769" s="1"/>
      <c r="AG1769" s="1"/>
      <c r="AH1769" s="1"/>
    </row>
    <row r="1770" ht="12.75" hidden="1" customHeight="1" outlineLevel="1">
      <c r="A1770" s="17">
        <v>41296.0</v>
      </c>
      <c r="B1770" s="1"/>
      <c r="C1770" s="1" t="s">
        <v>429</v>
      </c>
      <c r="D1770" s="74"/>
      <c r="E1770" s="67"/>
      <c r="F1770" s="75"/>
      <c r="G1770" s="67"/>
      <c r="H1770" s="68"/>
      <c r="I1770" s="76"/>
      <c r="J1770" s="67"/>
      <c r="K1770" s="7" t="s">
        <v>679</v>
      </c>
      <c r="L1770" s="77"/>
      <c r="M1770" s="79"/>
      <c r="N1770" s="1"/>
      <c r="O1770" s="1"/>
      <c r="P1770" s="1"/>
      <c r="Q1770" s="1"/>
      <c r="R1770" s="1"/>
      <c r="S1770" s="1"/>
      <c r="T1770" s="1"/>
      <c r="U1770" s="1"/>
      <c r="V1770" s="1"/>
      <c r="W1770" s="1"/>
      <c r="X1770" s="1"/>
      <c r="Y1770" s="1"/>
      <c r="Z1770" s="1"/>
      <c r="AA1770" s="1"/>
      <c r="AB1770" s="1"/>
      <c r="AC1770" s="1"/>
      <c r="AD1770" s="1"/>
      <c r="AE1770" s="1"/>
      <c r="AF1770" s="1"/>
      <c r="AG1770" s="1"/>
      <c r="AH1770" s="1"/>
    </row>
    <row r="1771" ht="12.75" hidden="1" customHeight="1" outlineLevel="1">
      <c r="A1771" s="17">
        <v>41296.0</v>
      </c>
      <c r="B1771" s="1"/>
      <c r="C1771" s="1" t="s">
        <v>431</v>
      </c>
      <c r="D1771" s="74"/>
      <c r="E1771" s="67"/>
      <c r="F1771" s="75"/>
      <c r="G1771" s="67"/>
      <c r="H1771" s="68"/>
      <c r="I1771" s="76"/>
      <c r="J1771" s="67"/>
      <c r="K1771" s="7" t="s">
        <v>817</v>
      </c>
      <c r="L1771" s="77"/>
      <c r="M1771" s="79"/>
      <c r="N1771" s="1"/>
      <c r="O1771" s="1"/>
      <c r="P1771" s="1"/>
      <c r="Q1771" s="1"/>
      <c r="R1771" s="1"/>
      <c r="S1771" s="1"/>
      <c r="T1771" s="1"/>
      <c r="U1771" s="1"/>
      <c r="V1771" s="1"/>
      <c r="W1771" s="1"/>
      <c r="X1771" s="1"/>
      <c r="Y1771" s="1"/>
      <c r="Z1771" s="1"/>
      <c r="AA1771" s="1"/>
      <c r="AB1771" s="1"/>
      <c r="AC1771" s="1"/>
      <c r="AD1771" s="1"/>
      <c r="AE1771" s="1"/>
      <c r="AF1771" s="1"/>
      <c r="AG1771" s="1"/>
      <c r="AH1771" s="1"/>
    </row>
    <row r="1772" ht="12.75" hidden="1" customHeight="1" outlineLevel="1">
      <c r="A1772" s="17">
        <v>41296.0</v>
      </c>
      <c r="B1772" s="1"/>
      <c r="C1772" s="1" t="s">
        <v>433</v>
      </c>
      <c r="D1772" s="74"/>
      <c r="E1772" s="67"/>
      <c r="F1772" s="75"/>
      <c r="G1772" s="67"/>
      <c r="H1772" s="68"/>
      <c r="I1772" s="76"/>
      <c r="J1772" s="67"/>
      <c r="K1772" s="7" t="s">
        <v>434</v>
      </c>
      <c r="L1772" s="77"/>
      <c r="M1772" s="79"/>
      <c r="N1772" s="1"/>
      <c r="O1772" s="1"/>
      <c r="P1772" s="1"/>
      <c r="Q1772" s="1"/>
      <c r="R1772" s="1"/>
      <c r="S1772" s="1"/>
      <c r="T1772" s="1"/>
      <c r="U1772" s="1"/>
      <c r="V1772" s="1"/>
      <c r="W1772" s="1"/>
      <c r="X1772" s="1"/>
      <c r="Y1772" s="1"/>
      <c r="Z1772" s="1"/>
      <c r="AA1772" s="1"/>
      <c r="AB1772" s="1"/>
      <c r="AC1772" s="1"/>
      <c r="AD1772" s="1"/>
      <c r="AE1772" s="1"/>
      <c r="AF1772" s="1"/>
      <c r="AG1772" s="1"/>
      <c r="AH1772" s="1"/>
    </row>
    <row r="1773" ht="12.75" hidden="1" customHeight="1" outlineLevel="1">
      <c r="A1773" s="17">
        <v>41296.0</v>
      </c>
      <c r="B1773" s="1"/>
      <c r="C1773" s="1" t="s">
        <v>435</v>
      </c>
      <c r="D1773" s="74"/>
      <c r="E1773" s="67"/>
      <c r="F1773" s="75"/>
      <c r="G1773" s="67"/>
      <c r="H1773" s="68"/>
      <c r="I1773" s="76"/>
      <c r="J1773" s="67"/>
      <c r="K1773" s="7" t="s">
        <v>818</v>
      </c>
      <c r="L1773" s="77"/>
      <c r="M1773" s="79"/>
      <c r="N1773" s="1"/>
      <c r="O1773" s="1"/>
      <c r="P1773" s="1"/>
      <c r="Q1773" s="1"/>
      <c r="R1773" s="1"/>
      <c r="S1773" s="1"/>
      <c r="T1773" s="1"/>
      <c r="U1773" s="1"/>
      <c r="V1773" s="1"/>
      <c r="W1773" s="1"/>
      <c r="X1773" s="1"/>
      <c r="Y1773" s="1"/>
      <c r="Z1773" s="1"/>
      <c r="AA1773" s="1"/>
      <c r="AB1773" s="1"/>
      <c r="AC1773" s="1"/>
      <c r="AD1773" s="1"/>
      <c r="AE1773" s="1"/>
      <c r="AF1773" s="1"/>
      <c r="AG1773" s="1"/>
      <c r="AH1773" s="1"/>
    </row>
    <row r="1774" ht="12.75" hidden="1" customHeight="1" outlineLevel="1">
      <c r="A1774" s="17">
        <v>41297.0</v>
      </c>
      <c r="B1774" s="1" t="s">
        <v>343</v>
      </c>
      <c r="C1774" s="1" t="s">
        <v>346</v>
      </c>
      <c r="D1774" s="74">
        <v>20.0</v>
      </c>
      <c r="E1774" s="67">
        <v>509.29</v>
      </c>
      <c r="F1774" s="75">
        <v>0.49040509259259263</v>
      </c>
      <c r="G1774" s="67" t="s">
        <v>453</v>
      </c>
      <c r="H1774" s="68">
        <v>1.0</v>
      </c>
      <c r="I1774" s="76"/>
      <c r="J1774" s="67">
        <f t="shared" ref="J1774:J1779" si="126">IF(B1774="SLD",D1774*E1774,-D1774*E1774)-H1774</f>
        <v>-10186.8</v>
      </c>
      <c r="K1774" s="7"/>
      <c r="L1774" s="70"/>
      <c r="M1774" s="79"/>
      <c r="N1774" s="1"/>
      <c r="O1774" s="1"/>
      <c r="P1774" s="1"/>
      <c r="Q1774" s="1"/>
      <c r="R1774" s="1"/>
      <c r="S1774" s="1"/>
      <c r="T1774" s="1"/>
      <c r="U1774" s="1"/>
      <c r="V1774" s="1"/>
      <c r="W1774" s="1"/>
      <c r="X1774" s="1"/>
      <c r="Y1774" s="1"/>
      <c r="Z1774" s="1"/>
      <c r="AA1774" s="1"/>
      <c r="AB1774" s="1"/>
      <c r="AC1774" s="1"/>
      <c r="AD1774" s="1"/>
      <c r="AE1774" s="1"/>
      <c r="AF1774" s="1"/>
      <c r="AG1774" s="1"/>
      <c r="AH1774" s="1"/>
    </row>
    <row r="1775" ht="12.75" hidden="1" customHeight="1" outlineLevel="1">
      <c r="A1775" s="17">
        <v>41297.0</v>
      </c>
      <c r="B1775" s="1" t="s">
        <v>343</v>
      </c>
      <c r="C1775" s="1" t="s">
        <v>682</v>
      </c>
      <c r="D1775" s="74">
        <v>200.0</v>
      </c>
      <c r="E1775" s="67">
        <v>25.49</v>
      </c>
      <c r="F1775" s="75">
        <v>0.5079745370370371</v>
      </c>
      <c r="G1775" s="67" t="s">
        <v>453</v>
      </c>
      <c r="H1775" s="68">
        <v>1.0</v>
      </c>
      <c r="I1775" s="76"/>
      <c r="J1775" s="67">
        <f t="shared" si="126"/>
        <v>-5099</v>
      </c>
      <c r="K1775" s="7"/>
      <c r="L1775" s="70"/>
      <c r="M1775" s="79"/>
      <c r="N1775" s="1"/>
      <c r="O1775" s="1"/>
      <c r="P1775" s="1"/>
      <c r="Q1775" s="1"/>
      <c r="R1775" s="1"/>
      <c r="S1775" s="1"/>
      <c r="T1775" s="1"/>
      <c r="U1775" s="1"/>
      <c r="V1775" s="1"/>
      <c r="W1775" s="1"/>
      <c r="X1775" s="1"/>
      <c r="Y1775" s="1"/>
      <c r="Z1775" s="1"/>
      <c r="AA1775" s="1"/>
      <c r="AB1775" s="1"/>
      <c r="AC1775" s="1"/>
      <c r="AD1775" s="1"/>
      <c r="AE1775" s="1"/>
      <c r="AF1775" s="1"/>
      <c r="AG1775" s="1"/>
      <c r="AH1775" s="1"/>
    </row>
    <row r="1776" ht="12.75" hidden="1" customHeight="1" outlineLevel="1">
      <c r="A1776" s="17">
        <v>41297.0</v>
      </c>
      <c r="B1776" s="1" t="s">
        <v>343</v>
      </c>
      <c r="C1776" s="1" t="s">
        <v>840</v>
      </c>
      <c r="D1776" s="74">
        <v>15.0</v>
      </c>
      <c r="E1776" s="67">
        <v>570.7</v>
      </c>
      <c r="F1776" s="75">
        <v>0.5151273148148149</v>
      </c>
      <c r="G1776" s="67" t="s">
        <v>453</v>
      </c>
      <c r="H1776" s="68">
        <v>1.0</v>
      </c>
      <c r="I1776" s="76"/>
      <c r="J1776" s="67">
        <f t="shared" si="126"/>
        <v>-8561.5</v>
      </c>
      <c r="K1776" s="7"/>
      <c r="L1776" s="70"/>
      <c r="M1776" s="79"/>
      <c r="N1776" s="1"/>
      <c r="O1776" s="1"/>
      <c r="P1776" s="1"/>
      <c r="Q1776" s="1"/>
      <c r="R1776" s="1"/>
      <c r="S1776" s="1"/>
      <c r="T1776" s="1"/>
      <c r="U1776" s="1"/>
      <c r="V1776" s="1"/>
      <c r="W1776" s="1"/>
      <c r="X1776" s="1"/>
      <c r="Y1776" s="1"/>
      <c r="Z1776" s="1"/>
      <c r="AA1776" s="1"/>
      <c r="AB1776" s="1"/>
      <c r="AC1776" s="1"/>
      <c r="AD1776" s="1"/>
      <c r="AE1776" s="1"/>
      <c r="AF1776" s="1"/>
      <c r="AG1776" s="1"/>
      <c r="AH1776" s="1"/>
    </row>
    <row r="1777" ht="12.75" hidden="1" customHeight="1" outlineLevel="1">
      <c r="A1777" s="17">
        <v>41297.0</v>
      </c>
      <c r="B1777" s="1" t="s">
        <v>343</v>
      </c>
      <c r="C1777" s="1" t="s">
        <v>349</v>
      </c>
      <c r="D1777" s="74">
        <v>1000.0</v>
      </c>
      <c r="E1777" s="67">
        <v>42.476</v>
      </c>
      <c r="F1777" s="75">
        <v>0.615462962962963</v>
      </c>
      <c r="G1777" s="67" t="s">
        <v>453</v>
      </c>
      <c r="H1777" s="68">
        <v>4.0</v>
      </c>
      <c r="I1777" s="76"/>
      <c r="J1777" s="67">
        <f t="shared" si="126"/>
        <v>-42480</v>
      </c>
      <c r="K1777" s="7"/>
      <c r="L1777" s="70"/>
      <c r="M1777" s="79"/>
      <c r="N1777" s="1"/>
      <c r="O1777" s="1"/>
      <c r="P1777" s="1"/>
      <c r="Q1777" s="1"/>
      <c r="R1777" s="1"/>
      <c r="S1777" s="1"/>
      <c r="T1777" s="1"/>
      <c r="U1777" s="1"/>
      <c r="V1777" s="1"/>
      <c r="W1777" s="1"/>
      <c r="X1777" s="1"/>
      <c r="Y1777" s="1"/>
      <c r="Z1777" s="1"/>
      <c r="AA1777" s="1"/>
      <c r="AB1777" s="1"/>
      <c r="AC1777" s="1"/>
      <c r="AD1777" s="1"/>
      <c r="AE1777" s="1"/>
      <c r="AF1777" s="1"/>
      <c r="AG1777" s="1"/>
      <c r="AH1777" s="1"/>
    </row>
    <row r="1778" ht="12.75" hidden="1" customHeight="1" outlineLevel="1">
      <c r="A1778" s="17">
        <v>41297.0</v>
      </c>
      <c r="B1778" s="1" t="s">
        <v>347</v>
      </c>
      <c r="C1778" s="1" t="s">
        <v>349</v>
      </c>
      <c r="D1778" s="74">
        <v>500.0</v>
      </c>
      <c r="E1778" s="67">
        <v>43.17</v>
      </c>
      <c r="F1778" s="75">
        <v>0.6444097222222221</v>
      </c>
      <c r="G1778" s="67" t="s">
        <v>453</v>
      </c>
      <c r="H1778" s="68">
        <v>2.5</v>
      </c>
      <c r="I1778" s="76"/>
      <c r="J1778" s="67">
        <f t="shared" si="126"/>
        <v>21582.5</v>
      </c>
      <c r="K1778" s="7"/>
      <c r="L1778" s="70"/>
      <c r="M1778" s="79"/>
      <c r="N1778" s="1"/>
      <c r="O1778" s="1"/>
      <c r="P1778" s="1"/>
      <c r="Q1778" s="1"/>
      <c r="R1778" s="1"/>
      <c r="S1778" s="1"/>
      <c r="T1778" s="1"/>
      <c r="U1778" s="1"/>
      <c r="V1778" s="1"/>
      <c r="W1778" s="1"/>
      <c r="X1778" s="1"/>
      <c r="Y1778" s="1"/>
      <c r="Z1778" s="1"/>
      <c r="AA1778" s="1"/>
      <c r="AB1778" s="1"/>
      <c r="AC1778" s="1"/>
      <c r="AD1778" s="1"/>
      <c r="AE1778" s="1"/>
      <c r="AF1778" s="1"/>
      <c r="AG1778" s="1"/>
      <c r="AH1778" s="1"/>
    </row>
    <row r="1779" ht="12.75" hidden="1" customHeight="1" outlineLevel="1">
      <c r="A1779" s="17">
        <v>41297.0</v>
      </c>
      <c r="B1779" s="1" t="s">
        <v>347</v>
      </c>
      <c r="C1779" s="1" t="s">
        <v>349</v>
      </c>
      <c r="D1779" s="74">
        <v>500.0</v>
      </c>
      <c r="E1779" s="67">
        <v>43.14</v>
      </c>
      <c r="F1779" s="75">
        <v>0.6552199074074074</v>
      </c>
      <c r="G1779" s="67" t="s">
        <v>453</v>
      </c>
      <c r="H1779" s="68">
        <v>2.5</v>
      </c>
      <c r="I1779" s="76"/>
      <c r="J1779" s="67">
        <f t="shared" si="126"/>
        <v>21567.5</v>
      </c>
      <c r="K1779" s="7"/>
      <c r="L1779" s="70"/>
      <c r="M1779" s="79"/>
      <c r="N1779" s="1"/>
      <c r="O1779" s="1"/>
      <c r="P1779" s="1"/>
      <c r="Q1779" s="1"/>
      <c r="R1779" s="1"/>
      <c r="S1779" s="1"/>
      <c r="T1779" s="1"/>
      <c r="U1779" s="1"/>
      <c r="V1779" s="1"/>
      <c r="W1779" s="1"/>
      <c r="X1779" s="1"/>
      <c r="Y1779" s="1"/>
      <c r="Z1779" s="1"/>
      <c r="AA1779" s="1"/>
      <c r="AB1779" s="1"/>
      <c r="AC1779" s="1"/>
      <c r="AD1779" s="1"/>
      <c r="AE1779" s="1"/>
      <c r="AF1779" s="1"/>
      <c r="AG1779" s="1"/>
      <c r="AH1779" s="1"/>
    </row>
    <row r="1780" ht="12.75" hidden="1" customHeight="1" outlineLevel="1">
      <c r="A1780" s="17">
        <v>41297.0</v>
      </c>
      <c r="B1780" s="1"/>
      <c r="C1780" s="1" t="s">
        <v>339</v>
      </c>
      <c r="D1780" s="74"/>
      <c r="E1780" s="67"/>
      <c r="F1780" s="75"/>
      <c r="G1780" s="67"/>
      <c r="H1780" s="68"/>
      <c r="I1780" s="76"/>
      <c r="J1780" s="67"/>
      <c r="K1780" s="7" t="s">
        <v>876</v>
      </c>
      <c r="L1780" s="77"/>
      <c r="M1780" s="79"/>
      <c r="N1780" s="1"/>
      <c r="O1780" s="1"/>
      <c r="P1780" s="1"/>
      <c r="Q1780" s="1"/>
      <c r="R1780" s="1"/>
      <c r="S1780" s="1"/>
      <c r="T1780" s="1"/>
      <c r="U1780" s="1"/>
      <c r="V1780" s="1"/>
      <c r="W1780" s="1"/>
      <c r="X1780" s="1"/>
      <c r="Y1780" s="1"/>
      <c r="Z1780" s="1"/>
      <c r="AA1780" s="1"/>
      <c r="AB1780" s="1"/>
      <c r="AC1780" s="1"/>
      <c r="AD1780" s="1"/>
      <c r="AE1780" s="1"/>
      <c r="AF1780" s="1"/>
      <c r="AG1780" s="1"/>
      <c r="AH1780" s="1"/>
    </row>
    <row r="1781" ht="12.75" hidden="1" customHeight="1" outlineLevel="1">
      <c r="A1781" s="17">
        <v>41297.0</v>
      </c>
      <c r="B1781" s="1"/>
      <c r="C1781" s="1" t="s">
        <v>429</v>
      </c>
      <c r="D1781" s="74"/>
      <c r="E1781" s="67"/>
      <c r="F1781" s="75"/>
      <c r="G1781" s="67"/>
      <c r="H1781" s="68"/>
      <c r="I1781" s="76"/>
      <c r="J1781" s="67"/>
      <c r="K1781" s="7" t="s">
        <v>679</v>
      </c>
      <c r="L1781" s="77"/>
      <c r="M1781" s="79"/>
      <c r="N1781" s="1"/>
      <c r="O1781" s="1"/>
      <c r="P1781" s="1"/>
      <c r="Q1781" s="1"/>
      <c r="R1781" s="1"/>
      <c r="S1781" s="1"/>
      <c r="T1781" s="1"/>
      <c r="U1781" s="1"/>
      <c r="V1781" s="1"/>
      <c r="W1781" s="1"/>
      <c r="X1781" s="1"/>
      <c r="Y1781" s="1"/>
      <c r="Z1781" s="1"/>
      <c r="AA1781" s="1"/>
      <c r="AB1781" s="1"/>
      <c r="AC1781" s="1"/>
      <c r="AD1781" s="1"/>
      <c r="AE1781" s="1"/>
      <c r="AF1781" s="1"/>
      <c r="AG1781" s="1"/>
      <c r="AH1781" s="1"/>
    </row>
    <row r="1782" ht="12.75" hidden="1" customHeight="1" outlineLevel="1">
      <c r="A1782" s="17">
        <v>41297.0</v>
      </c>
      <c r="B1782" s="1"/>
      <c r="C1782" s="1" t="s">
        <v>431</v>
      </c>
      <c r="D1782" s="74"/>
      <c r="E1782" s="67"/>
      <c r="F1782" s="75"/>
      <c r="G1782" s="67"/>
      <c r="H1782" s="68"/>
      <c r="I1782" s="76"/>
      <c r="J1782" s="67"/>
      <c r="K1782" s="7" t="s">
        <v>817</v>
      </c>
      <c r="L1782" s="77"/>
      <c r="M1782" s="79"/>
      <c r="N1782" s="1"/>
      <c r="O1782" s="1"/>
      <c r="P1782" s="1"/>
      <c r="Q1782" s="1"/>
      <c r="R1782" s="1"/>
      <c r="S1782" s="1"/>
      <c r="T1782" s="1"/>
      <c r="U1782" s="1"/>
      <c r="V1782" s="1"/>
      <c r="W1782" s="1"/>
      <c r="X1782" s="1"/>
      <c r="Y1782" s="1"/>
      <c r="Z1782" s="1"/>
      <c r="AA1782" s="1"/>
      <c r="AB1782" s="1"/>
      <c r="AC1782" s="1"/>
      <c r="AD1782" s="1"/>
      <c r="AE1782" s="1"/>
      <c r="AF1782" s="1"/>
      <c r="AG1782" s="1"/>
      <c r="AH1782" s="1"/>
    </row>
    <row r="1783" ht="12.75" hidden="1" customHeight="1" outlineLevel="1">
      <c r="A1783" s="17">
        <v>41297.0</v>
      </c>
      <c r="B1783" s="1"/>
      <c r="C1783" s="1" t="s">
        <v>433</v>
      </c>
      <c r="D1783" s="74"/>
      <c r="E1783" s="67"/>
      <c r="F1783" s="75"/>
      <c r="G1783" s="67"/>
      <c r="H1783" s="68"/>
      <c r="I1783" s="76"/>
      <c r="J1783" s="67"/>
      <c r="K1783" s="7" t="s">
        <v>434</v>
      </c>
      <c r="L1783" s="77"/>
      <c r="M1783" s="79"/>
      <c r="N1783" s="1"/>
      <c r="O1783" s="1"/>
      <c r="P1783" s="1"/>
      <c r="Q1783" s="1"/>
      <c r="R1783" s="1"/>
      <c r="S1783" s="1"/>
      <c r="T1783" s="1"/>
      <c r="U1783" s="1"/>
      <c r="V1783" s="1"/>
      <c r="W1783" s="1"/>
      <c r="X1783" s="1"/>
      <c r="Y1783" s="1"/>
      <c r="Z1783" s="1"/>
      <c r="AA1783" s="1"/>
      <c r="AB1783" s="1"/>
      <c r="AC1783" s="1"/>
      <c r="AD1783" s="1"/>
      <c r="AE1783" s="1"/>
      <c r="AF1783" s="1"/>
      <c r="AG1783" s="1"/>
      <c r="AH1783" s="1"/>
    </row>
    <row r="1784" ht="12.75" hidden="1" customHeight="1" outlineLevel="1">
      <c r="A1784" s="17">
        <v>41297.0</v>
      </c>
      <c r="B1784" s="1"/>
      <c r="C1784" s="1" t="s">
        <v>435</v>
      </c>
      <c r="D1784" s="74"/>
      <c r="E1784" s="67"/>
      <c r="F1784" s="75"/>
      <c r="G1784" s="67"/>
      <c r="H1784" s="68"/>
      <c r="I1784" s="76"/>
      <c r="J1784" s="67"/>
      <c r="K1784" s="7" t="s">
        <v>818</v>
      </c>
      <c r="L1784" s="77"/>
      <c r="M1784" s="79"/>
      <c r="N1784" s="1"/>
      <c r="O1784" s="1"/>
      <c r="P1784" s="1"/>
      <c r="Q1784" s="1"/>
      <c r="R1784" s="1"/>
      <c r="S1784" s="1"/>
      <c r="T1784" s="1"/>
      <c r="U1784" s="1"/>
      <c r="V1784" s="1"/>
      <c r="W1784" s="1"/>
      <c r="X1784" s="1"/>
      <c r="Y1784" s="1"/>
      <c r="Z1784" s="1"/>
      <c r="AA1784" s="1"/>
      <c r="AB1784" s="1"/>
      <c r="AC1784" s="1"/>
      <c r="AD1784" s="1"/>
      <c r="AE1784" s="1"/>
      <c r="AF1784" s="1"/>
      <c r="AG1784" s="1"/>
      <c r="AH1784" s="1"/>
    </row>
    <row r="1785" ht="12.75" hidden="1" customHeight="1" outlineLevel="1">
      <c r="A1785" s="17">
        <v>41298.0</v>
      </c>
      <c r="B1785" s="1" t="s">
        <v>347</v>
      </c>
      <c r="C1785" s="1" t="s">
        <v>346</v>
      </c>
      <c r="D1785" s="74"/>
      <c r="E1785" s="67"/>
      <c r="F1785" s="75">
        <v>0.39689814814814817</v>
      </c>
      <c r="G1785" s="67" t="s">
        <v>453</v>
      </c>
      <c r="H1785" s="68">
        <v>0.0</v>
      </c>
      <c r="I1785" s="76"/>
      <c r="J1785" s="67">
        <f t="shared" ref="J1785:J1799" si="127">IF(B1785="SLD",D1785*E1785,-D1785*E1785)-H1785</f>
        <v>0</v>
      </c>
      <c r="K1785" s="7"/>
      <c r="L1785" s="70"/>
      <c r="M1785" s="79"/>
      <c r="N1785" s="1"/>
      <c r="O1785" s="1"/>
      <c r="P1785" s="1"/>
      <c r="Q1785" s="1"/>
      <c r="R1785" s="1"/>
      <c r="S1785" s="1"/>
      <c r="T1785" s="1"/>
      <c r="U1785" s="1"/>
      <c r="V1785" s="1"/>
      <c r="W1785" s="1"/>
      <c r="X1785" s="1"/>
      <c r="Y1785" s="1"/>
      <c r="Z1785" s="1"/>
      <c r="AA1785" s="1"/>
      <c r="AB1785" s="1"/>
      <c r="AC1785" s="1"/>
      <c r="AD1785" s="1"/>
      <c r="AE1785" s="1"/>
      <c r="AF1785" s="1"/>
      <c r="AG1785" s="1"/>
      <c r="AH1785" s="1"/>
    </row>
    <row r="1786" ht="12.75" hidden="1" customHeight="1" outlineLevel="1">
      <c r="A1786" s="17">
        <v>41298.0</v>
      </c>
      <c r="B1786" s="1" t="s">
        <v>347</v>
      </c>
      <c r="C1786" s="1" t="s">
        <v>346</v>
      </c>
      <c r="D1786" s="74">
        <v>40.0</v>
      </c>
      <c r="E1786" s="67">
        <v>457.8</v>
      </c>
      <c r="F1786" s="75">
        <v>0.39689814814814817</v>
      </c>
      <c r="G1786" s="67" t="s">
        <v>453</v>
      </c>
      <c r="H1786" s="68">
        <v>1.0</v>
      </c>
      <c r="I1786" s="76"/>
      <c r="J1786" s="67">
        <f t="shared" si="127"/>
        <v>18311</v>
      </c>
      <c r="K1786" s="7"/>
      <c r="L1786" s="70"/>
      <c r="M1786" s="79"/>
      <c r="N1786" s="1"/>
      <c r="O1786" s="1"/>
      <c r="P1786" s="1"/>
      <c r="Q1786" s="1"/>
      <c r="R1786" s="1"/>
      <c r="S1786" s="1"/>
      <c r="T1786" s="1"/>
      <c r="U1786" s="1"/>
      <c r="V1786" s="1"/>
      <c r="W1786" s="1"/>
      <c r="X1786" s="1"/>
      <c r="Y1786" s="1"/>
      <c r="Z1786" s="1"/>
      <c r="AA1786" s="1"/>
      <c r="AB1786" s="1"/>
      <c r="AC1786" s="1"/>
      <c r="AD1786" s="1"/>
      <c r="AE1786" s="1"/>
      <c r="AF1786" s="1"/>
      <c r="AG1786" s="1"/>
      <c r="AH1786" s="1"/>
    </row>
    <row r="1787" ht="12.75" hidden="1" customHeight="1" outlineLevel="1">
      <c r="A1787" s="17">
        <v>41298.0</v>
      </c>
      <c r="B1787" s="1" t="s">
        <v>343</v>
      </c>
      <c r="C1787" s="1" t="s">
        <v>757</v>
      </c>
      <c r="D1787" s="74">
        <v>150.0</v>
      </c>
      <c r="E1787" s="67">
        <v>55.9</v>
      </c>
      <c r="F1787" s="75">
        <v>0.44983796296296297</v>
      </c>
      <c r="G1787" s="67" t="s">
        <v>453</v>
      </c>
      <c r="H1787" s="68">
        <v>1.0</v>
      </c>
      <c r="I1787" s="76"/>
      <c r="J1787" s="67">
        <f t="shared" si="127"/>
        <v>-8386</v>
      </c>
      <c r="K1787" s="7"/>
      <c r="L1787" s="70"/>
      <c r="M1787" s="79"/>
      <c r="N1787" s="1"/>
      <c r="O1787" s="1"/>
      <c r="P1787" s="1"/>
      <c r="Q1787" s="1"/>
      <c r="R1787" s="1"/>
      <c r="S1787" s="1"/>
      <c r="T1787" s="1"/>
      <c r="U1787" s="1"/>
      <c r="V1787" s="1"/>
      <c r="W1787" s="1"/>
      <c r="X1787" s="1"/>
      <c r="Y1787" s="1"/>
      <c r="Z1787" s="1"/>
      <c r="AA1787" s="1"/>
      <c r="AB1787" s="1"/>
      <c r="AC1787" s="1"/>
      <c r="AD1787" s="1"/>
      <c r="AE1787" s="1"/>
      <c r="AF1787" s="1"/>
      <c r="AG1787" s="1"/>
      <c r="AH1787" s="1"/>
    </row>
    <row r="1788" ht="12.75" hidden="1" customHeight="1" outlineLevel="1">
      <c r="A1788" s="17">
        <v>41298.0</v>
      </c>
      <c r="B1788" s="1" t="s">
        <v>347</v>
      </c>
      <c r="C1788" s="1" t="s">
        <v>346</v>
      </c>
      <c r="D1788" s="74">
        <v>20.0</v>
      </c>
      <c r="E1788" s="67">
        <v>460.17</v>
      </c>
      <c r="F1788" s="75">
        <v>0.46589120370370374</v>
      </c>
      <c r="G1788" s="67" t="s">
        <v>453</v>
      </c>
      <c r="H1788" s="68">
        <v>1.0</v>
      </c>
      <c r="I1788" s="76"/>
      <c r="J1788" s="67">
        <f t="shared" si="127"/>
        <v>9202.4</v>
      </c>
      <c r="K1788" s="7"/>
      <c r="L1788" s="70"/>
      <c r="M1788" s="79"/>
      <c r="N1788" s="1"/>
      <c r="O1788" s="1"/>
      <c r="P1788" s="1"/>
      <c r="Q1788" s="1"/>
      <c r="R1788" s="1"/>
      <c r="S1788" s="1"/>
      <c r="T1788" s="1"/>
      <c r="U1788" s="1"/>
      <c r="V1788" s="1"/>
      <c r="W1788" s="1"/>
      <c r="X1788" s="1"/>
      <c r="Y1788" s="1"/>
      <c r="Z1788" s="1"/>
      <c r="AA1788" s="1"/>
      <c r="AB1788" s="1"/>
      <c r="AC1788" s="1"/>
      <c r="AD1788" s="1"/>
      <c r="AE1788" s="1"/>
      <c r="AF1788" s="1"/>
      <c r="AG1788" s="1"/>
      <c r="AH1788" s="1"/>
    </row>
    <row r="1789" ht="12.75" hidden="1" customHeight="1" outlineLevel="1">
      <c r="A1789" s="17">
        <v>41298.0</v>
      </c>
      <c r="B1789" s="1" t="s">
        <v>343</v>
      </c>
      <c r="C1789" s="1" t="s">
        <v>680</v>
      </c>
      <c r="D1789" s="74">
        <v>200.0</v>
      </c>
      <c r="E1789" s="67">
        <v>36.102</v>
      </c>
      <c r="F1789" s="75">
        <v>0.5985300925925926</v>
      </c>
      <c r="G1789" s="67" t="s">
        <v>453</v>
      </c>
      <c r="H1789" s="68">
        <v>1.0</v>
      </c>
      <c r="I1789" s="76"/>
      <c r="J1789" s="67">
        <f t="shared" si="127"/>
        <v>-7221.4</v>
      </c>
      <c r="K1789" s="7"/>
      <c r="L1789" s="70"/>
      <c r="M1789" s="79"/>
      <c r="N1789" s="1"/>
      <c r="O1789" s="1"/>
      <c r="P1789" s="1"/>
      <c r="Q1789" s="1"/>
      <c r="R1789" s="1"/>
      <c r="S1789" s="1"/>
      <c r="T1789" s="1"/>
      <c r="U1789" s="1"/>
      <c r="V1789" s="1"/>
      <c r="W1789" s="1"/>
      <c r="X1789" s="1"/>
      <c r="Y1789" s="1"/>
      <c r="Z1789" s="1"/>
      <c r="AA1789" s="1"/>
      <c r="AB1789" s="1"/>
      <c r="AC1789" s="1"/>
      <c r="AD1789" s="1"/>
      <c r="AE1789" s="1"/>
      <c r="AF1789" s="1"/>
      <c r="AG1789" s="1"/>
      <c r="AH1789" s="1"/>
    </row>
    <row r="1790" ht="12.75" hidden="1" customHeight="1" outlineLevel="1">
      <c r="A1790" s="17">
        <v>41298.0</v>
      </c>
      <c r="B1790" s="1" t="s">
        <v>343</v>
      </c>
      <c r="C1790" s="1" t="s">
        <v>371</v>
      </c>
      <c r="D1790" s="74">
        <v>150.0</v>
      </c>
      <c r="E1790" s="67">
        <v>43.58</v>
      </c>
      <c r="F1790" s="75">
        <v>0.599826388888889</v>
      </c>
      <c r="G1790" s="67" t="s">
        <v>453</v>
      </c>
      <c r="H1790" s="68">
        <v>1.0</v>
      </c>
      <c r="I1790" s="76"/>
      <c r="J1790" s="67">
        <f t="shared" si="127"/>
        <v>-6538</v>
      </c>
      <c r="K1790" s="7"/>
      <c r="L1790" s="70"/>
      <c r="M1790" s="79"/>
      <c r="N1790" s="1"/>
      <c r="O1790" s="1"/>
      <c r="P1790" s="1"/>
      <c r="Q1790" s="1"/>
      <c r="R1790" s="1"/>
      <c r="S1790" s="1"/>
      <c r="T1790" s="1"/>
      <c r="U1790" s="1"/>
      <c r="V1790" s="1"/>
      <c r="W1790" s="1"/>
      <c r="X1790" s="1"/>
      <c r="Y1790" s="1"/>
      <c r="Z1790" s="1"/>
      <c r="AA1790" s="1"/>
      <c r="AB1790" s="1"/>
      <c r="AC1790" s="1"/>
      <c r="AD1790" s="1"/>
      <c r="AE1790" s="1"/>
      <c r="AF1790" s="1"/>
      <c r="AG1790" s="1"/>
      <c r="AH1790" s="1"/>
    </row>
    <row r="1791" ht="12.75" hidden="1" customHeight="1" outlineLevel="1">
      <c r="A1791" s="17">
        <v>41298.0</v>
      </c>
      <c r="B1791" s="1" t="s">
        <v>343</v>
      </c>
      <c r="C1791" s="1" t="s">
        <v>844</v>
      </c>
      <c r="D1791" s="74">
        <v>200.0</v>
      </c>
      <c r="E1791" s="67">
        <v>37.46</v>
      </c>
      <c r="F1791" s="75">
        <v>0.6011689814814815</v>
      </c>
      <c r="G1791" s="67" t="s">
        <v>453</v>
      </c>
      <c r="H1791" s="68">
        <v>1.0</v>
      </c>
      <c r="I1791" s="76"/>
      <c r="J1791" s="67">
        <f t="shared" si="127"/>
        <v>-7493</v>
      </c>
      <c r="K1791" s="7"/>
      <c r="L1791" s="70"/>
      <c r="M1791" s="79"/>
      <c r="N1791" s="1"/>
      <c r="O1791" s="1"/>
      <c r="P1791" s="1"/>
      <c r="Q1791" s="1"/>
      <c r="R1791" s="1"/>
      <c r="S1791" s="1"/>
      <c r="T1791" s="1"/>
      <c r="U1791" s="1"/>
      <c r="V1791" s="1"/>
      <c r="W1791" s="1"/>
      <c r="X1791" s="1"/>
      <c r="Y1791" s="1"/>
      <c r="Z1791" s="1"/>
      <c r="AA1791" s="1"/>
      <c r="AB1791" s="1"/>
      <c r="AC1791" s="1"/>
      <c r="AD1791" s="1"/>
      <c r="AE1791" s="1"/>
      <c r="AF1791" s="1"/>
      <c r="AG1791" s="1"/>
      <c r="AH1791" s="1"/>
    </row>
    <row r="1792" ht="12.75" hidden="1" customHeight="1" outlineLevel="1">
      <c r="A1792" s="17">
        <v>41298.0</v>
      </c>
      <c r="B1792" s="1" t="s">
        <v>347</v>
      </c>
      <c r="C1792" s="1" t="s">
        <v>349</v>
      </c>
      <c r="D1792" s="74">
        <v>150.0</v>
      </c>
      <c r="E1792" s="67">
        <v>43.13</v>
      </c>
      <c r="F1792" s="75">
        <v>0.6013888888888889</v>
      </c>
      <c r="G1792" s="67" t="s">
        <v>453</v>
      </c>
      <c r="H1792" s="68">
        <v>1.0</v>
      </c>
      <c r="I1792" s="76"/>
      <c r="J1792" s="67">
        <f t="shared" si="127"/>
        <v>6468.5</v>
      </c>
      <c r="K1792" s="7"/>
      <c r="L1792" s="70"/>
      <c r="M1792" s="79"/>
      <c r="N1792" s="1"/>
      <c r="O1792" s="1"/>
      <c r="P1792" s="1"/>
      <c r="Q1792" s="1"/>
      <c r="R1792" s="1"/>
      <c r="S1792" s="1"/>
      <c r="T1792" s="1"/>
      <c r="U1792" s="1"/>
      <c r="V1792" s="1"/>
      <c r="W1792" s="1"/>
      <c r="X1792" s="1"/>
      <c r="Y1792" s="1"/>
      <c r="Z1792" s="1"/>
      <c r="AA1792" s="1"/>
      <c r="AB1792" s="1"/>
      <c r="AC1792" s="1"/>
      <c r="AD1792" s="1"/>
      <c r="AE1792" s="1"/>
      <c r="AF1792" s="1"/>
      <c r="AG1792" s="1"/>
      <c r="AH1792" s="1"/>
    </row>
    <row r="1793" ht="12.75" hidden="1" customHeight="1" outlineLevel="1">
      <c r="A1793" s="17">
        <v>41298.0</v>
      </c>
      <c r="B1793" s="1" t="s">
        <v>343</v>
      </c>
      <c r="C1793" s="1" t="s">
        <v>691</v>
      </c>
      <c r="D1793" s="74">
        <v>300.0</v>
      </c>
      <c r="E1793" s="67">
        <v>33.58</v>
      </c>
      <c r="F1793" s="75">
        <v>0.602962962962963</v>
      </c>
      <c r="G1793" s="67" t="s">
        <v>453</v>
      </c>
      <c r="H1793" s="68">
        <v>1.2</v>
      </c>
      <c r="I1793" s="76"/>
      <c r="J1793" s="67">
        <f t="shared" si="127"/>
        <v>-10075.2</v>
      </c>
      <c r="K1793" s="7"/>
      <c r="L1793" s="70"/>
      <c r="M1793" s="79"/>
      <c r="N1793" s="1"/>
      <c r="O1793" s="1"/>
      <c r="P1793" s="1"/>
      <c r="Q1793" s="1"/>
      <c r="R1793" s="1"/>
      <c r="S1793" s="1"/>
      <c r="T1793" s="1"/>
      <c r="U1793" s="1"/>
      <c r="V1793" s="1"/>
      <c r="W1793" s="1"/>
      <c r="X1793" s="1"/>
      <c r="Y1793" s="1"/>
      <c r="Z1793" s="1"/>
      <c r="AA1793" s="1"/>
      <c r="AB1793" s="1"/>
      <c r="AC1793" s="1"/>
      <c r="AD1793" s="1"/>
      <c r="AE1793" s="1"/>
      <c r="AF1793" s="1"/>
      <c r="AG1793" s="1"/>
      <c r="AH1793" s="1"/>
    </row>
    <row r="1794" ht="12.75" hidden="1" customHeight="1" outlineLevel="1">
      <c r="A1794" s="17">
        <v>41298.0</v>
      </c>
      <c r="B1794" s="1" t="s">
        <v>343</v>
      </c>
      <c r="C1794" s="1" t="s">
        <v>680</v>
      </c>
      <c r="D1794" s="74">
        <v>200.0</v>
      </c>
      <c r="E1794" s="67">
        <v>36.099</v>
      </c>
      <c r="F1794" s="75">
        <v>0.6033449074074074</v>
      </c>
      <c r="G1794" s="67" t="s">
        <v>453</v>
      </c>
      <c r="H1794" s="68">
        <v>1.0</v>
      </c>
      <c r="I1794" s="76"/>
      <c r="J1794" s="67">
        <f t="shared" si="127"/>
        <v>-7220.8</v>
      </c>
      <c r="K1794" s="7"/>
      <c r="L1794" s="70"/>
      <c r="M1794" s="79"/>
      <c r="N1794" s="1"/>
      <c r="O1794" s="1"/>
      <c r="P1794" s="1"/>
      <c r="Q1794" s="1"/>
      <c r="R1794" s="1"/>
      <c r="S1794" s="1"/>
      <c r="T1794" s="1"/>
      <c r="U1794" s="1"/>
      <c r="V1794" s="1"/>
      <c r="W1794" s="1"/>
      <c r="X1794" s="1"/>
      <c r="Y1794" s="1"/>
      <c r="Z1794" s="1"/>
      <c r="AA1794" s="1"/>
      <c r="AB1794" s="1"/>
      <c r="AC1794" s="1"/>
      <c r="AD1794" s="1"/>
      <c r="AE1794" s="1"/>
      <c r="AF1794" s="1"/>
      <c r="AG1794" s="1"/>
      <c r="AH1794" s="1"/>
    </row>
    <row r="1795" ht="12.75" hidden="1" customHeight="1" outlineLevel="1">
      <c r="A1795" s="17">
        <v>41298.0</v>
      </c>
      <c r="B1795" s="1" t="s">
        <v>343</v>
      </c>
      <c r="C1795" s="1" t="s">
        <v>755</v>
      </c>
      <c r="D1795" s="74">
        <v>250.0</v>
      </c>
      <c r="E1795" s="67">
        <v>29.216</v>
      </c>
      <c r="F1795" s="75">
        <v>0.6039467592592592</v>
      </c>
      <c r="G1795" s="67" t="s">
        <v>453</v>
      </c>
      <c r="H1795" s="68">
        <v>1.25</v>
      </c>
      <c r="I1795" s="76"/>
      <c r="J1795" s="67">
        <f t="shared" si="127"/>
        <v>-7305.25</v>
      </c>
      <c r="K1795" s="7"/>
      <c r="L1795" s="70"/>
      <c r="M1795" s="79"/>
      <c r="N1795" s="1"/>
      <c r="O1795" s="1"/>
      <c r="P1795" s="1"/>
      <c r="Q1795" s="1"/>
      <c r="R1795" s="1"/>
      <c r="S1795" s="1"/>
      <c r="T1795" s="1"/>
      <c r="U1795" s="1"/>
      <c r="V1795" s="1"/>
      <c r="W1795" s="1"/>
      <c r="X1795" s="1"/>
      <c r="Y1795" s="1"/>
      <c r="Z1795" s="1"/>
      <c r="AA1795" s="1"/>
      <c r="AB1795" s="1"/>
      <c r="AC1795" s="1"/>
      <c r="AD1795" s="1"/>
      <c r="AE1795" s="1"/>
      <c r="AF1795" s="1"/>
      <c r="AG1795" s="1"/>
      <c r="AH1795" s="1"/>
    </row>
    <row r="1796" ht="12.75" hidden="1" customHeight="1" outlineLevel="1">
      <c r="A1796" s="17">
        <v>41298.0</v>
      </c>
      <c r="B1796" s="1" t="s">
        <v>343</v>
      </c>
      <c r="C1796" s="1" t="s">
        <v>790</v>
      </c>
      <c r="D1796" s="74">
        <v>400.0</v>
      </c>
      <c r="E1796" s="67">
        <v>19.6</v>
      </c>
      <c r="F1796" s="75">
        <v>0.6118981481481481</v>
      </c>
      <c r="G1796" s="67" t="s">
        <v>453</v>
      </c>
      <c r="H1796" s="68">
        <v>2.0</v>
      </c>
      <c r="I1796" s="76"/>
      <c r="J1796" s="67">
        <f t="shared" si="127"/>
        <v>-7842</v>
      </c>
      <c r="K1796" s="7"/>
      <c r="L1796" s="70"/>
      <c r="M1796" s="79"/>
      <c r="N1796" s="1"/>
      <c r="O1796" s="1"/>
      <c r="P1796" s="1"/>
      <c r="Q1796" s="1"/>
      <c r="R1796" s="1"/>
      <c r="S1796" s="1"/>
      <c r="T1796" s="1"/>
      <c r="U1796" s="1"/>
      <c r="V1796" s="1"/>
      <c r="W1796" s="1"/>
      <c r="X1796" s="1"/>
      <c r="Y1796" s="1"/>
      <c r="Z1796" s="1"/>
      <c r="AA1796" s="1"/>
      <c r="AB1796" s="1"/>
      <c r="AC1796" s="1"/>
      <c r="AD1796" s="1"/>
      <c r="AE1796" s="1"/>
      <c r="AF1796" s="1"/>
      <c r="AG1796" s="1"/>
      <c r="AH1796" s="1"/>
    </row>
    <row r="1797" ht="12.75" hidden="1" customHeight="1" outlineLevel="1">
      <c r="A1797" s="17">
        <v>41298.0</v>
      </c>
      <c r="B1797" s="1" t="s">
        <v>343</v>
      </c>
      <c r="C1797" s="1" t="s">
        <v>346</v>
      </c>
      <c r="D1797" s="74">
        <v>20.0</v>
      </c>
      <c r="E1797" s="67">
        <v>453.4</v>
      </c>
      <c r="F1797" s="75">
        <v>0.6373263888888888</v>
      </c>
      <c r="G1797" s="67" t="s">
        <v>453</v>
      </c>
      <c r="H1797" s="68">
        <v>1.0</v>
      </c>
      <c r="I1797" s="76"/>
      <c r="J1797" s="67">
        <f t="shared" si="127"/>
        <v>-9069</v>
      </c>
      <c r="K1797" s="7"/>
      <c r="L1797" s="70"/>
      <c r="M1797" s="79"/>
      <c r="N1797" s="1"/>
      <c r="O1797" s="1"/>
      <c r="P1797" s="1"/>
      <c r="Q1797" s="1"/>
      <c r="R1797" s="1"/>
      <c r="S1797" s="1"/>
      <c r="T1797" s="1"/>
      <c r="U1797" s="1"/>
      <c r="V1797" s="1"/>
      <c r="W1797" s="1"/>
      <c r="X1797" s="1"/>
      <c r="Y1797" s="1"/>
      <c r="Z1797" s="1"/>
      <c r="AA1797" s="1"/>
      <c r="AB1797" s="1"/>
      <c r="AC1797" s="1"/>
      <c r="AD1797" s="1"/>
      <c r="AE1797" s="1"/>
      <c r="AF1797" s="1"/>
      <c r="AG1797" s="1"/>
      <c r="AH1797" s="1"/>
    </row>
    <row r="1798" ht="12.75" hidden="1" customHeight="1" outlineLevel="1">
      <c r="A1798" s="17">
        <v>41298.0</v>
      </c>
      <c r="B1798" s="1" t="s">
        <v>343</v>
      </c>
      <c r="C1798" s="1">
        <v>3968.0</v>
      </c>
      <c r="D1798" s="74">
        <v>2000.0</v>
      </c>
      <c r="E1798" s="67">
        <f>18.62/7.75</f>
        <v>2.402580645</v>
      </c>
      <c r="F1798" s="75">
        <v>41298.860925925925</v>
      </c>
      <c r="G1798" s="67" t="s">
        <v>651</v>
      </c>
      <c r="H1798" s="68">
        <f>29.79/7.75</f>
        <v>3.843870968</v>
      </c>
      <c r="I1798" s="76"/>
      <c r="J1798" s="67">
        <f t="shared" si="127"/>
        <v>-4809.005161</v>
      </c>
      <c r="K1798" s="7"/>
      <c r="L1798" s="70"/>
      <c r="M1798" s="79"/>
      <c r="N1798" s="1"/>
      <c r="O1798" s="1"/>
      <c r="P1798" s="1"/>
      <c r="Q1798" s="1"/>
      <c r="R1798" s="1"/>
      <c r="S1798" s="1"/>
      <c r="T1798" s="1"/>
      <c r="U1798" s="1"/>
      <c r="V1798" s="1"/>
      <c r="W1798" s="1"/>
      <c r="X1798" s="1"/>
      <c r="Y1798" s="1"/>
      <c r="Z1798" s="1"/>
      <c r="AA1798" s="1"/>
      <c r="AB1798" s="1"/>
      <c r="AC1798" s="1"/>
      <c r="AD1798" s="1"/>
      <c r="AE1798" s="1"/>
      <c r="AF1798" s="1"/>
      <c r="AG1798" s="1"/>
      <c r="AH1798" s="1"/>
    </row>
    <row r="1799" ht="12.75" hidden="1" customHeight="1" outlineLevel="1">
      <c r="A1799" s="17">
        <v>41298.0</v>
      </c>
      <c r="B1799" s="1" t="s">
        <v>343</v>
      </c>
      <c r="C1799" s="1">
        <v>3333.0</v>
      </c>
      <c r="D1799" s="74">
        <v>6000.0</v>
      </c>
      <c r="E1799" s="67">
        <f>4.18/7.75</f>
        <v>0.5393548387</v>
      </c>
      <c r="F1799" s="75">
        <v>41298.86106481482</v>
      </c>
      <c r="G1799" s="67" t="s">
        <v>651</v>
      </c>
      <c r="H1799" s="68">
        <f>20.06/7.5</f>
        <v>2.674666667</v>
      </c>
      <c r="I1799" s="76"/>
      <c r="J1799" s="67">
        <f t="shared" si="127"/>
        <v>-3238.803699</v>
      </c>
      <c r="K1799" s="7"/>
      <c r="L1799" s="70"/>
      <c r="M1799" s="79"/>
      <c r="N1799" s="1"/>
      <c r="O1799" s="1"/>
      <c r="P1799" s="1"/>
      <c r="Q1799" s="1"/>
      <c r="R1799" s="1"/>
      <c r="S1799" s="1"/>
      <c r="T1799" s="1"/>
      <c r="U1799" s="1"/>
      <c r="V1799" s="1"/>
      <c r="W1799" s="1"/>
      <c r="X1799" s="1"/>
      <c r="Y1799" s="1"/>
      <c r="Z1799" s="1"/>
      <c r="AA1799" s="1"/>
      <c r="AB1799" s="1"/>
      <c r="AC1799" s="1"/>
      <c r="AD1799" s="1"/>
      <c r="AE1799" s="1"/>
      <c r="AF1799" s="1"/>
      <c r="AG1799" s="1"/>
      <c r="AH1799" s="1"/>
    </row>
    <row r="1800" ht="12.75" hidden="1" customHeight="1" outlineLevel="1">
      <c r="A1800" s="17">
        <v>41298.0</v>
      </c>
      <c r="B1800" s="1"/>
      <c r="C1800" s="1" t="s">
        <v>339</v>
      </c>
      <c r="D1800" s="74"/>
      <c r="E1800" s="67"/>
      <c r="F1800" s="75"/>
      <c r="G1800" s="67"/>
      <c r="H1800" s="68"/>
      <c r="I1800" s="76"/>
      <c r="J1800" s="67"/>
      <c r="K1800" s="7" t="s">
        <v>877</v>
      </c>
      <c r="L1800" s="77"/>
      <c r="M1800" s="79"/>
      <c r="N1800" s="1"/>
      <c r="O1800" s="1"/>
      <c r="P1800" s="1"/>
      <c r="Q1800" s="1"/>
      <c r="R1800" s="1"/>
      <c r="S1800" s="1"/>
      <c r="T1800" s="1"/>
      <c r="U1800" s="1"/>
      <c r="V1800" s="1"/>
      <c r="W1800" s="1"/>
      <c r="X1800" s="1"/>
      <c r="Y1800" s="1"/>
      <c r="Z1800" s="1"/>
      <c r="AA1800" s="1"/>
      <c r="AB1800" s="1"/>
      <c r="AC1800" s="1"/>
      <c r="AD1800" s="1"/>
      <c r="AE1800" s="1"/>
      <c r="AF1800" s="1"/>
      <c r="AG1800" s="1"/>
      <c r="AH1800" s="1"/>
    </row>
    <row r="1801" ht="12.75" hidden="1" customHeight="1" outlineLevel="1">
      <c r="A1801" s="17">
        <v>41298.0</v>
      </c>
      <c r="B1801" s="1"/>
      <c r="C1801" s="1" t="s">
        <v>429</v>
      </c>
      <c r="D1801" s="74"/>
      <c r="E1801" s="67"/>
      <c r="F1801" s="75"/>
      <c r="G1801" s="67"/>
      <c r="H1801" s="68"/>
      <c r="I1801" s="76"/>
      <c r="J1801" s="67"/>
      <c r="K1801" s="7" t="s">
        <v>679</v>
      </c>
      <c r="L1801" s="77"/>
      <c r="M1801" s="79"/>
      <c r="N1801" s="1"/>
      <c r="O1801" s="1"/>
      <c r="P1801" s="1"/>
      <c r="Q1801" s="1"/>
      <c r="R1801" s="1"/>
      <c r="S1801" s="1"/>
      <c r="T1801" s="1"/>
      <c r="U1801" s="1"/>
      <c r="V1801" s="1"/>
      <c r="W1801" s="1"/>
      <c r="X1801" s="1"/>
      <c r="Y1801" s="1"/>
      <c r="Z1801" s="1"/>
      <c r="AA1801" s="1"/>
      <c r="AB1801" s="1"/>
      <c r="AC1801" s="1"/>
      <c r="AD1801" s="1"/>
      <c r="AE1801" s="1"/>
      <c r="AF1801" s="1"/>
      <c r="AG1801" s="1"/>
      <c r="AH1801" s="1"/>
    </row>
    <row r="1802" ht="12.75" hidden="1" customHeight="1" outlineLevel="1">
      <c r="A1802" s="17">
        <v>41298.0</v>
      </c>
      <c r="B1802" s="1"/>
      <c r="C1802" s="1" t="s">
        <v>431</v>
      </c>
      <c r="D1802" s="74"/>
      <c r="E1802" s="67"/>
      <c r="F1802" s="75"/>
      <c r="G1802" s="67"/>
      <c r="H1802" s="68"/>
      <c r="I1802" s="76"/>
      <c r="J1802" s="67"/>
      <c r="K1802" s="7" t="s">
        <v>817</v>
      </c>
      <c r="L1802" s="77"/>
      <c r="M1802" s="79"/>
      <c r="N1802" s="1"/>
      <c r="O1802" s="1"/>
      <c r="P1802" s="1"/>
      <c r="Q1802" s="1"/>
      <c r="R1802" s="1"/>
      <c r="S1802" s="1"/>
      <c r="T1802" s="1"/>
      <c r="U1802" s="1"/>
      <c r="V1802" s="1"/>
      <c r="W1802" s="1"/>
      <c r="X1802" s="1"/>
      <c r="Y1802" s="1"/>
      <c r="Z1802" s="1"/>
      <c r="AA1802" s="1"/>
      <c r="AB1802" s="1"/>
      <c r="AC1802" s="1"/>
      <c r="AD1802" s="1"/>
      <c r="AE1802" s="1"/>
      <c r="AF1802" s="1"/>
      <c r="AG1802" s="1"/>
      <c r="AH1802" s="1"/>
    </row>
    <row r="1803" ht="12.75" hidden="1" customHeight="1" outlineLevel="1">
      <c r="A1803" s="17">
        <v>41298.0</v>
      </c>
      <c r="B1803" s="1"/>
      <c r="C1803" s="1" t="s">
        <v>433</v>
      </c>
      <c r="D1803" s="74"/>
      <c r="E1803" s="67"/>
      <c r="F1803" s="75"/>
      <c r="G1803" s="67"/>
      <c r="H1803" s="68"/>
      <c r="I1803" s="76"/>
      <c r="J1803" s="67"/>
      <c r="K1803" s="7" t="s">
        <v>434</v>
      </c>
      <c r="L1803" s="77"/>
      <c r="M1803" s="79"/>
      <c r="N1803" s="1"/>
      <c r="O1803" s="1"/>
      <c r="P1803" s="1"/>
      <c r="Q1803" s="1"/>
      <c r="R1803" s="1"/>
      <c r="S1803" s="1"/>
      <c r="T1803" s="1"/>
      <c r="U1803" s="1"/>
      <c r="V1803" s="1"/>
      <c r="W1803" s="1"/>
      <c r="X1803" s="1"/>
      <c r="Y1803" s="1"/>
      <c r="Z1803" s="1"/>
      <c r="AA1803" s="1"/>
      <c r="AB1803" s="1"/>
      <c r="AC1803" s="1"/>
      <c r="AD1803" s="1"/>
      <c r="AE1803" s="1"/>
      <c r="AF1803" s="1"/>
      <c r="AG1803" s="1"/>
      <c r="AH1803" s="1"/>
    </row>
    <row r="1804" ht="12.75" hidden="1" customHeight="1" outlineLevel="1">
      <c r="A1804" s="17">
        <v>41298.0</v>
      </c>
      <c r="B1804" s="1"/>
      <c r="C1804" s="1" t="s">
        <v>435</v>
      </c>
      <c r="D1804" s="74"/>
      <c r="E1804" s="67"/>
      <c r="F1804" s="75"/>
      <c r="G1804" s="67"/>
      <c r="H1804" s="68"/>
      <c r="I1804" s="76"/>
      <c r="J1804" s="67"/>
      <c r="K1804" s="7" t="s">
        <v>818</v>
      </c>
      <c r="L1804" s="77"/>
      <c r="M1804" s="79"/>
      <c r="N1804" s="1"/>
      <c r="O1804" s="1"/>
      <c r="P1804" s="1"/>
      <c r="Q1804" s="1"/>
      <c r="R1804" s="1"/>
      <c r="S1804" s="1"/>
      <c r="T1804" s="1"/>
      <c r="U1804" s="1"/>
      <c r="V1804" s="1"/>
      <c r="W1804" s="1"/>
      <c r="X1804" s="1"/>
      <c r="Y1804" s="1"/>
      <c r="Z1804" s="1"/>
      <c r="AA1804" s="1"/>
      <c r="AB1804" s="1"/>
      <c r="AC1804" s="1"/>
      <c r="AD1804" s="1"/>
      <c r="AE1804" s="1"/>
      <c r="AF1804" s="1"/>
      <c r="AG1804" s="1"/>
      <c r="AH1804" s="1"/>
    </row>
    <row r="1805" ht="12.75" hidden="1" customHeight="1" outlineLevel="1">
      <c r="A1805" s="17">
        <v>41299.0</v>
      </c>
      <c r="B1805" s="1" t="s">
        <v>347</v>
      </c>
      <c r="C1805" s="1" t="s">
        <v>346</v>
      </c>
      <c r="D1805" s="74">
        <v>100.0</v>
      </c>
      <c r="E1805" s="67">
        <v>445.69</v>
      </c>
      <c r="F1805" s="75">
        <v>0.45836805555555554</v>
      </c>
      <c r="G1805" s="67" t="s">
        <v>453</v>
      </c>
      <c r="H1805" s="68">
        <v>1.0</v>
      </c>
      <c r="I1805" s="76"/>
      <c r="J1805" s="67">
        <f t="shared" ref="J1805:J1812" si="128">IF(B1805="SLD",D1805*E1805,-D1805*E1805)-H1805</f>
        <v>44568</v>
      </c>
      <c r="K1805" s="7"/>
      <c r="L1805" s="70"/>
      <c r="M1805" s="79"/>
      <c r="N1805" s="1"/>
      <c r="O1805" s="1"/>
      <c r="P1805" s="1"/>
      <c r="Q1805" s="1"/>
      <c r="R1805" s="1"/>
      <c r="S1805" s="1"/>
      <c r="T1805" s="1"/>
      <c r="U1805" s="1"/>
      <c r="V1805" s="1"/>
      <c r="W1805" s="1"/>
      <c r="X1805" s="1"/>
      <c r="Y1805" s="1"/>
      <c r="Z1805" s="1"/>
      <c r="AA1805" s="1"/>
      <c r="AB1805" s="1"/>
      <c r="AC1805" s="1"/>
      <c r="AD1805" s="1"/>
      <c r="AE1805" s="1"/>
      <c r="AF1805" s="1"/>
      <c r="AG1805" s="1"/>
      <c r="AH1805" s="1"/>
    </row>
    <row r="1806" ht="12.75" hidden="1" customHeight="1" outlineLevel="1">
      <c r="A1806" s="17">
        <v>41299.0</v>
      </c>
      <c r="B1806" s="1" t="s">
        <v>347</v>
      </c>
      <c r="C1806" s="1" t="s">
        <v>346</v>
      </c>
      <c r="D1806" s="74">
        <v>100.0</v>
      </c>
      <c r="E1806" s="67">
        <v>445.86</v>
      </c>
      <c r="F1806" s="75">
        <v>0.47182870370370367</v>
      </c>
      <c r="G1806" s="67" t="s">
        <v>453</v>
      </c>
      <c r="H1806" s="68">
        <v>1.0</v>
      </c>
      <c r="I1806" s="76"/>
      <c r="J1806" s="67">
        <f t="shared" si="128"/>
        <v>44585</v>
      </c>
      <c r="K1806" s="7"/>
      <c r="L1806" s="70"/>
      <c r="M1806" s="79"/>
      <c r="N1806" s="1"/>
      <c r="O1806" s="1"/>
      <c r="P1806" s="1"/>
      <c r="Q1806" s="1"/>
      <c r="R1806" s="1"/>
      <c r="S1806" s="1"/>
      <c r="T1806" s="1"/>
      <c r="U1806" s="1"/>
      <c r="V1806" s="1"/>
      <c r="W1806" s="1"/>
      <c r="X1806" s="1"/>
      <c r="Y1806" s="1"/>
      <c r="Z1806" s="1"/>
      <c r="AA1806" s="1"/>
      <c r="AB1806" s="1"/>
      <c r="AC1806" s="1"/>
      <c r="AD1806" s="1"/>
      <c r="AE1806" s="1"/>
      <c r="AF1806" s="1"/>
      <c r="AG1806" s="1"/>
      <c r="AH1806" s="1"/>
    </row>
    <row r="1807" ht="12.75" hidden="1" customHeight="1" outlineLevel="1">
      <c r="A1807" s="17">
        <v>41299.0</v>
      </c>
      <c r="B1807" s="1" t="s">
        <v>343</v>
      </c>
      <c r="C1807" s="1" t="s">
        <v>346</v>
      </c>
      <c r="D1807" s="74">
        <v>200.0</v>
      </c>
      <c r="E1807" s="67">
        <v>445.05</v>
      </c>
      <c r="F1807" s="75">
        <v>0.5710763888888889</v>
      </c>
      <c r="G1807" s="67" t="s">
        <v>453</v>
      </c>
      <c r="H1807" s="68">
        <v>1.0</v>
      </c>
      <c r="I1807" s="76"/>
      <c r="J1807" s="67">
        <f t="shared" si="128"/>
        <v>-89011</v>
      </c>
      <c r="K1807" s="7"/>
      <c r="L1807" s="70"/>
      <c r="M1807" s="79"/>
      <c r="N1807" s="1"/>
      <c r="O1807" s="1"/>
      <c r="P1807" s="1"/>
      <c r="Q1807" s="1"/>
      <c r="R1807" s="1"/>
      <c r="S1807" s="1"/>
      <c r="T1807" s="1"/>
      <c r="U1807" s="1"/>
      <c r="V1807" s="1"/>
      <c r="W1807" s="1"/>
      <c r="X1807" s="1"/>
      <c r="Y1807" s="1"/>
      <c r="Z1807" s="1"/>
      <c r="AA1807" s="1"/>
      <c r="AB1807" s="1"/>
      <c r="AC1807" s="1"/>
      <c r="AD1807" s="1"/>
      <c r="AE1807" s="1"/>
      <c r="AF1807" s="1"/>
      <c r="AG1807" s="1"/>
      <c r="AH1807" s="1"/>
    </row>
    <row r="1808" ht="12.75" hidden="1" customHeight="1" outlineLevel="1">
      <c r="A1808" s="17">
        <v>41299.0</v>
      </c>
      <c r="B1808" s="1" t="s">
        <v>347</v>
      </c>
      <c r="C1808" s="1" t="s">
        <v>346</v>
      </c>
      <c r="D1808" s="74">
        <v>200.0</v>
      </c>
      <c r="E1808" s="67">
        <v>445.35</v>
      </c>
      <c r="F1808" s="75">
        <v>0.5814930555555555</v>
      </c>
      <c r="G1808" s="67" t="s">
        <v>453</v>
      </c>
      <c r="H1808" s="68">
        <v>1.0</v>
      </c>
      <c r="I1808" s="76"/>
      <c r="J1808" s="67">
        <f t="shared" si="128"/>
        <v>89069</v>
      </c>
      <c r="K1808" s="7"/>
      <c r="L1808" s="70"/>
      <c r="M1808" s="79"/>
      <c r="N1808" s="1"/>
      <c r="O1808" s="1"/>
      <c r="P1808" s="1"/>
      <c r="Q1808" s="1"/>
      <c r="R1808" s="1"/>
      <c r="S1808" s="1"/>
      <c r="T1808" s="1"/>
      <c r="U1808" s="1"/>
      <c r="V1808" s="1"/>
      <c r="W1808" s="1"/>
      <c r="X1808" s="1"/>
      <c r="Y1808" s="1"/>
      <c r="Z1808" s="1"/>
      <c r="AA1808" s="1"/>
      <c r="AB1808" s="1"/>
      <c r="AC1808" s="1"/>
      <c r="AD1808" s="1"/>
      <c r="AE1808" s="1"/>
      <c r="AF1808" s="1"/>
      <c r="AG1808" s="1"/>
      <c r="AH1808" s="1"/>
    </row>
    <row r="1809" ht="12.75" hidden="1" customHeight="1" outlineLevel="1">
      <c r="A1809" s="17">
        <v>41299.0</v>
      </c>
      <c r="B1809" s="1" t="s">
        <v>343</v>
      </c>
      <c r="C1809" s="1" t="s">
        <v>349</v>
      </c>
      <c r="D1809" s="74">
        <v>200.0</v>
      </c>
      <c r="E1809" s="67">
        <v>44.883</v>
      </c>
      <c r="F1809" s="75">
        <v>0.5932638888888889</v>
      </c>
      <c r="G1809" s="67" t="s">
        <v>453</v>
      </c>
      <c r="H1809" s="68">
        <v>1.0</v>
      </c>
      <c r="I1809" s="76"/>
      <c r="J1809" s="67">
        <f t="shared" si="128"/>
        <v>-8977.6</v>
      </c>
      <c r="K1809" s="7"/>
      <c r="L1809" s="70"/>
      <c r="M1809" s="79"/>
      <c r="N1809" s="1"/>
      <c r="O1809" s="1"/>
      <c r="P1809" s="1"/>
      <c r="Q1809" s="1"/>
      <c r="R1809" s="1"/>
      <c r="S1809" s="1"/>
      <c r="T1809" s="1"/>
      <c r="U1809" s="1"/>
      <c r="V1809" s="1"/>
      <c r="W1809" s="1"/>
      <c r="X1809" s="1"/>
      <c r="Y1809" s="1"/>
      <c r="Z1809" s="1"/>
      <c r="AA1809" s="1"/>
      <c r="AB1809" s="1"/>
      <c r="AC1809" s="1"/>
      <c r="AD1809" s="1"/>
      <c r="AE1809" s="1"/>
      <c r="AF1809" s="1"/>
      <c r="AG1809" s="1"/>
      <c r="AH1809" s="1"/>
    </row>
    <row r="1810" ht="12.75" hidden="1" customHeight="1" outlineLevel="1">
      <c r="A1810" s="17">
        <v>41299.0</v>
      </c>
      <c r="B1810" s="1" t="s">
        <v>347</v>
      </c>
      <c r="C1810" s="1" t="s">
        <v>844</v>
      </c>
      <c r="D1810" s="74">
        <v>300.0</v>
      </c>
      <c r="E1810" s="67">
        <v>37.583</v>
      </c>
      <c r="F1810" s="75">
        <v>0.5935532407407408</v>
      </c>
      <c r="G1810" s="67" t="s">
        <v>453</v>
      </c>
      <c r="H1810" s="68">
        <v>1.5</v>
      </c>
      <c r="I1810" s="76"/>
      <c r="J1810" s="67">
        <f t="shared" si="128"/>
        <v>11273.4</v>
      </c>
      <c r="K1810" s="7"/>
      <c r="L1810" s="70"/>
      <c r="M1810" s="79"/>
      <c r="N1810" s="1"/>
      <c r="O1810" s="1"/>
      <c r="P1810" s="1"/>
      <c r="Q1810" s="1"/>
      <c r="R1810" s="1"/>
      <c r="S1810" s="1"/>
      <c r="T1810" s="1"/>
      <c r="U1810" s="1"/>
      <c r="V1810" s="1"/>
      <c r="W1810" s="1"/>
      <c r="X1810" s="1"/>
      <c r="Y1810" s="1"/>
      <c r="Z1810" s="1"/>
      <c r="AA1810" s="1"/>
      <c r="AB1810" s="1"/>
      <c r="AC1810" s="1"/>
      <c r="AD1810" s="1"/>
      <c r="AE1810" s="1"/>
      <c r="AF1810" s="1"/>
      <c r="AG1810" s="1"/>
      <c r="AH1810" s="1"/>
    </row>
    <row r="1811" ht="12.75" hidden="1" customHeight="1" outlineLevel="1">
      <c r="A1811" s="17">
        <v>41299.0</v>
      </c>
      <c r="B1811" s="1" t="s">
        <v>343</v>
      </c>
      <c r="C1811" s="1" t="s">
        <v>346</v>
      </c>
      <c r="D1811" s="74">
        <v>200.0</v>
      </c>
      <c r="E1811" s="67">
        <v>445.32</v>
      </c>
      <c r="F1811" s="75">
        <v>0.643599537037037</v>
      </c>
      <c r="G1811" s="67" t="s">
        <v>453</v>
      </c>
      <c r="H1811" s="68">
        <v>1.0</v>
      </c>
      <c r="I1811" s="76"/>
      <c r="J1811" s="67">
        <f t="shared" si="128"/>
        <v>-89065</v>
      </c>
      <c r="K1811" s="7"/>
      <c r="L1811" s="70"/>
      <c r="M1811" s="79"/>
      <c r="N1811" s="1"/>
      <c r="O1811" s="1"/>
      <c r="P1811" s="1"/>
      <c r="Q1811" s="1"/>
      <c r="R1811" s="1"/>
      <c r="S1811" s="1"/>
      <c r="T1811" s="1"/>
      <c r="U1811" s="1"/>
      <c r="V1811" s="1"/>
      <c r="W1811" s="1"/>
      <c r="X1811" s="1"/>
      <c r="Y1811" s="1"/>
      <c r="Z1811" s="1"/>
      <c r="AA1811" s="1"/>
      <c r="AB1811" s="1"/>
      <c r="AC1811" s="1"/>
      <c r="AD1811" s="1"/>
      <c r="AE1811" s="1"/>
      <c r="AF1811" s="1"/>
      <c r="AG1811" s="1"/>
      <c r="AH1811" s="1"/>
    </row>
    <row r="1812" ht="12.75" hidden="1" customHeight="1" outlineLevel="1">
      <c r="A1812" s="17">
        <v>41299.0</v>
      </c>
      <c r="B1812" s="1" t="s">
        <v>347</v>
      </c>
      <c r="C1812" s="1" t="s">
        <v>354</v>
      </c>
      <c r="D1812" s="74">
        <v>150.0</v>
      </c>
      <c r="E1812" s="67">
        <v>91.477</v>
      </c>
      <c r="F1812" s="75">
        <v>0.6660069444444444</v>
      </c>
      <c r="G1812" s="67" t="s">
        <v>453</v>
      </c>
      <c r="H1812" s="68">
        <v>1.0</v>
      </c>
      <c r="I1812" s="76"/>
      <c r="J1812" s="67">
        <f t="shared" si="128"/>
        <v>13720.55</v>
      </c>
      <c r="K1812" s="7"/>
      <c r="L1812" s="70"/>
      <c r="M1812" s="79"/>
      <c r="N1812" s="1"/>
      <c r="O1812" s="1"/>
      <c r="P1812" s="1"/>
      <c r="Q1812" s="1"/>
      <c r="R1812" s="1"/>
      <c r="S1812" s="1"/>
      <c r="T1812" s="1"/>
      <c r="U1812" s="1"/>
      <c r="V1812" s="1"/>
      <c r="W1812" s="1"/>
      <c r="X1812" s="1"/>
      <c r="Y1812" s="1"/>
      <c r="Z1812" s="1"/>
      <c r="AA1812" s="1"/>
      <c r="AB1812" s="1"/>
      <c r="AC1812" s="1"/>
      <c r="AD1812" s="1"/>
      <c r="AE1812" s="1"/>
      <c r="AF1812" s="1"/>
      <c r="AG1812" s="1"/>
      <c r="AH1812" s="1"/>
    </row>
    <row r="1813" ht="12.75" hidden="1" customHeight="1" outlineLevel="1">
      <c r="A1813" s="17">
        <v>41299.0</v>
      </c>
      <c r="B1813" s="1"/>
      <c r="C1813" s="1" t="s">
        <v>339</v>
      </c>
      <c r="D1813" s="74"/>
      <c r="E1813" s="67"/>
      <c r="F1813" s="75"/>
      <c r="G1813" s="67"/>
      <c r="H1813" s="68"/>
      <c r="I1813" s="76"/>
      <c r="J1813" s="67"/>
      <c r="K1813" s="7" t="s">
        <v>878</v>
      </c>
      <c r="L1813" s="77"/>
      <c r="M1813" s="79"/>
      <c r="N1813" s="1"/>
      <c r="O1813" s="1"/>
      <c r="P1813" s="1"/>
      <c r="Q1813" s="1"/>
      <c r="R1813" s="1"/>
      <c r="S1813" s="1"/>
      <c r="T1813" s="1"/>
      <c r="U1813" s="1"/>
      <c r="V1813" s="1"/>
      <c r="W1813" s="1"/>
      <c r="X1813" s="1"/>
      <c r="Y1813" s="1"/>
      <c r="Z1813" s="1"/>
      <c r="AA1813" s="1"/>
      <c r="AB1813" s="1"/>
      <c r="AC1813" s="1"/>
      <c r="AD1813" s="1"/>
      <c r="AE1813" s="1"/>
      <c r="AF1813" s="1"/>
      <c r="AG1813" s="1"/>
      <c r="AH1813" s="1"/>
    </row>
    <row r="1814" ht="12.75" hidden="1" customHeight="1" outlineLevel="1">
      <c r="A1814" s="17">
        <v>41299.0</v>
      </c>
      <c r="B1814" s="1"/>
      <c r="C1814" s="1" t="s">
        <v>429</v>
      </c>
      <c r="D1814" s="74"/>
      <c r="E1814" s="67"/>
      <c r="F1814" s="75"/>
      <c r="G1814" s="67"/>
      <c r="H1814" s="68"/>
      <c r="I1814" s="76"/>
      <c r="J1814" s="67"/>
      <c r="K1814" s="7" t="s">
        <v>679</v>
      </c>
      <c r="L1814" s="77"/>
      <c r="M1814" s="79"/>
      <c r="N1814" s="1"/>
      <c r="O1814" s="1"/>
      <c r="P1814" s="1"/>
      <c r="Q1814" s="1"/>
      <c r="R1814" s="1"/>
      <c r="S1814" s="1"/>
      <c r="T1814" s="1"/>
      <c r="U1814" s="1"/>
      <c r="V1814" s="1"/>
      <c r="W1814" s="1"/>
      <c r="X1814" s="1"/>
      <c r="Y1814" s="1"/>
      <c r="Z1814" s="1"/>
      <c r="AA1814" s="1"/>
      <c r="AB1814" s="1"/>
      <c r="AC1814" s="1"/>
      <c r="AD1814" s="1"/>
      <c r="AE1814" s="1"/>
      <c r="AF1814" s="1"/>
      <c r="AG1814" s="1"/>
      <c r="AH1814" s="1"/>
    </row>
    <row r="1815" ht="12.75" hidden="1" customHeight="1" outlineLevel="1">
      <c r="A1815" s="17">
        <v>41299.0</v>
      </c>
      <c r="B1815" s="1"/>
      <c r="C1815" s="1" t="s">
        <v>431</v>
      </c>
      <c r="D1815" s="74"/>
      <c r="E1815" s="67"/>
      <c r="F1815" s="75"/>
      <c r="G1815" s="67"/>
      <c r="H1815" s="68"/>
      <c r="I1815" s="76"/>
      <c r="J1815" s="67"/>
      <c r="K1815" s="7" t="s">
        <v>817</v>
      </c>
      <c r="L1815" s="77"/>
      <c r="M1815" s="79"/>
      <c r="N1815" s="1"/>
      <c r="O1815" s="1"/>
      <c r="P1815" s="1"/>
      <c r="Q1815" s="1"/>
      <c r="R1815" s="1"/>
      <c r="S1815" s="1"/>
      <c r="T1815" s="1"/>
      <c r="U1815" s="1"/>
      <c r="V1815" s="1"/>
      <c r="W1815" s="1"/>
      <c r="X1815" s="1"/>
      <c r="Y1815" s="1"/>
      <c r="Z1815" s="1"/>
      <c r="AA1815" s="1"/>
      <c r="AB1815" s="1"/>
      <c r="AC1815" s="1"/>
      <c r="AD1815" s="1"/>
      <c r="AE1815" s="1"/>
      <c r="AF1815" s="1"/>
      <c r="AG1815" s="1"/>
      <c r="AH1815" s="1"/>
    </row>
    <row r="1816" ht="12.75" hidden="1" customHeight="1" outlineLevel="1">
      <c r="A1816" s="17">
        <v>41299.0</v>
      </c>
      <c r="B1816" s="1"/>
      <c r="C1816" s="1" t="s">
        <v>433</v>
      </c>
      <c r="D1816" s="74"/>
      <c r="E1816" s="67"/>
      <c r="F1816" s="75"/>
      <c r="G1816" s="67"/>
      <c r="H1816" s="68"/>
      <c r="I1816" s="76"/>
      <c r="J1816" s="67"/>
      <c r="K1816" s="7" t="s">
        <v>434</v>
      </c>
      <c r="L1816" s="77"/>
      <c r="M1816" s="79"/>
      <c r="N1816" s="1"/>
      <c r="O1816" s="1"/>
      <c r="P1816" s="1"/>
      <c r="Q1816" s="1"/>
      <c r="R1816" s="1"/>
      <c r="S1816" s="1"/>
      <c r="T1816" s="1"/>
      <c r="U1816" s="1"/>
      <c r="V1816" s="1"/>
      <c r="W1816" s="1"/>
      <c r="X1816" s="1"/>
      <c r="Y1816" s="1"/>
      <c r="Z1816" s="1"/>
      <c r="AA1816" s="1"/>
      <c r="AB1816" s="1"/>
      <c r="AC1816" s="1"/>
      <c r="AD1816" s="1"/>
      <c r="AE1816" s="1"/>
      <c r="AF1816" s="1"/>
      <c r="AG1816" s="1"/>
      <c r="AH1816" s="1"/>
    </row>
    <row r="1817" ht="12.75" hidden="1" customHeight="1" outlineLevel="1">
      <c r="A1817" s="17">
        <v>41299.0</v>
      </c>
      <c r="B1817" s="1"/>
      <c r="C1817" s="1" t="s">
        <v>435</v>
      </c>
      <c r="D1817" s="74"/>
      <c r="E1817" s="67"/>
      <c r="F1817" s="75"/>
      <c r="G1817" s="67"/>
      <c r="H1817" s="68"/>
      <c r="I1817" s="76"/>
      <c r="J1817" s="67"/>
      <c r="K1817" s="7" t="s">
        <v>818</v>
      </c>
      <c r="L1817" s="77"/>
      <c r="M1817" s="79"/>
      <c r="N1817" s="1"/>
      <c r="O1817" s="1"/>
      <c r="P1817" s="1"/>
      <c r="Q1817" s="1"/>
      <c r="R1817" s="1"/>
      <c r="S1817" s="1"/>
      <c r="T1817" s="1"/>
      <c r="U1817" s="1"/>
      <c r="V1817" s="1"/>
      <c r="W1817" s="1"/>
      <c r="X1817" s="1"/>
      <c r="Y1817" s="1"/>
      <c r="Z1817" s="1"/>
      <c r="AA1817" s="1"/>
      <c r="AB1817" s="1"/>
      <c r="AC1817" s="1"/>
      <c r="AD1817" s="1"/>
      <c r="AE1817" s="1"/>
      <c r="AF1817" s="1"/>
      <c r="AG1817" s="1"/>
      <c r="AH1817" s="1"/>
    </row>
    <row r="1818" ht="12.75" hidden="1" customHeight="1" outlineLevel="1">
      <c r="A1818" s="17">
        <v>41302.0</v>
      </c>
      <c r="B1818" s="1" t="s">
        <v>347</v>
      </c>
      <c r="C1818" s="1" t="s">
        <v>346</v>
      </c>
      <c r="D1818" s="74">
        <v>200.0</v>
      </c>
      <c r="E1818" s="67">
        <v>437.41</v>
      </c>
      <c r="F1818" s="75">
        <v>0.3818171296296296</v>
      </c>
      <c r="G1818" s="67" t="s">
        <v>453</v>
      </c>
      <c r="H1818" s="68">
        <v>1.0</v>
      </c>
      <c r="I1818" s="76"/>
      <c r="J1818" s="67">
        <f t="shared" ref="J1818:J1819" si="129">IF(B1818="SLD",D1818*E1818,-D1818*E1818)-H1818</f>
        <v>87481</v>
      </c>
      <c r="K1818" s="7"/>
      <c r="L1818" s="70"/>
      <c r="M1818" s="79"/>
      <c r="N1818" s="1"/>
      <c r="O1818" s="1"/>
      <c r="P1818" s="1"/>
      <c r="Q1818" s="1"/>
      <c r="R1818" s="1"/>
      <c r="S1818" s="1"/>
      <c r="T1818" s="1"/>
      <c r="U1818" s="1"/>
      <c r="V1818" s="1"/>
      <c r="W1818" s="1"/>
      <c r="X1818" s="1"/>
      <c r="Y1818" s="1"/>
      <c r="Z1818" s="1"/>
      <c r="AA1818" s="1"/>
      <c r="AB1818" s="1"/>
      <c r="AC1818" s="1"/>
      <c r="AD1818" s="1"/>
      <c r="AE1818" s="1"/>
      <c r="AF1818" s="1"/>
      <c r="AG1818" s="1"/>
      <c r="AH1818" s="1"/>
    </row>
    <row r="1819" ht="12.75" hidden="1" customHeight="1" outlineLevel="1">
      <c r="A1819" s="17">
        <v>41302.0</v>
      </c>
      <c r="B1819" s="1" t="s">
        <v>347</v>
      </c>
      <c r="C1819" s="1" t="s">
        <v>346</v>
      </c>
      <c r="D1819" s="74">
        <v>200.0</v>
      </c>
      <c r="E1819" s="67">
        <v>447.045</v>
      </c>
      <c r="F1819" s="75">
        <v>0.4161458333333334</v>
      </c>
      <c r="G1819" s="67" t="s">
        <v>453</v>
      </c>
      <c r="H1819" s="68">
        <v>1.0</v>
      </c>
      <c r="I1819" s="76"/>
      <c r="J1819" s="67">
        <f t="shared" si="129"/>
        <v>89408</v>
      </c>
      <c r="K1819" s="7"/>
      <c r="L1819" s="70"/>
      <c r="M1819" s="79"/>
      <c r="N1819" s="1"/>
      <c r="O1819" s="1"/>
      <c r="P1819" s="1"/>
      <c r="Q1819" s="1"/>
      <c r="R1819" s="1"/>
      <c r="S1819" s="1"/>
      <c r="T1819" s="1"/>
      <c r="U1819" s="1"/>
      <c r="V1819" s="1"/>
      <c r="W1819" s="1"/>
      <c r="X1819" s="1"/>
      <c r="Y1819" s="1"/>
      <c r="Z1819" s="1"/>
      <c r="AA1819" s="1"/>
      <c r="AB1819" s="1"/>
      <c r="AC1819" s="1"/>
      <c r="AD1819" s="1"/>
      <c r="AE1819" s="1"/>
      <c r="AF1819" s="1"/>
      <c r="AG1819" s="1"/>
      <c r="AH1819" s="1"/>
    </row>
    <row r="1820" ht="12.75" hidden="1" customHeight="1" outlineLevel="1">
      <c r="A1820" s="17">
        <v>41302.0</v>
      </c>
      <c r="B1820" s="1"/>
      <c r="C1820" s="1" t="s">
        <v>339</v>
      </c>
      <c r="D1820" s="74"/>
      <c r="E1820" s="67"/>
      <c r="F1820" s="75"/>
      <c r="G1820" s="67"/>
      <c r="H1820" s="68"/>
      <c r="I1820" s="76"/>
      <c r="J1820" s="67"/>
      <c r="K1820" s="7" t="s">
        <v>879</v>
      </c>
      <c r="L1820" s="77"/>
      <c r="M1820" s="79"/>
      <c r="N1820" s="1"/>
      <c r="O1820" s="1"/>
      <c r="P1820" s="1"/>
      <c r="Q1820" s="1"/>
      <c r="R1820" s="1"/>
      <c r="S1820" s="1"/>
      <c r="T1820" s="1"/>
      <c r="U1820" s="1"/>
      <c r="V1820" s="1"/>
      <c r="W1820" s="1"/>
      <c r="X1820" s="1"/>
      <c r="Y1820" s="1"/>
      <c r="Z1820" s="1"/>
      <c r="AA1820" s="1"/>
      <c r="AB1820" s="1"/>
      <c r="AC1820" s="1"/>
      <c r="AD1820" s="1"/>
      <c r="AE1820" s="1"/>
      <c r="AF1820" s="1"/>
      <c r="AG1820" s="1"/>
      <c r="AH1820" s="1"/>
    </row>
    <row r="1821" ht="12.75" hidden="1" customHeight="1" outlineLevel="1">
      <c r="A1821" s="17">
        <v>41302.0</v>
      </c>
      <c r="B1821" s="1"/>
      <c r="C1821" s="1" t="s">
        <v>429</v>
      </c>
      <c r="D1821" s="74"/>
      <c r="E1821" s="67"/>
      <c r="F1821" s="75"/>
      <c r="G1821" s="67"/>
      <c r="H1821" s="68"/>
      <c r="I1821" s="76"/>
      <c r="J1821" s="67"/>
      <c r="K1821" s="7" t="s">
        <v>679</v>
      </c>
      <c r="L1821" s="77"/>
      <c r="M1821" s="79"/>
      <c r="N1821" s="1"/>
      <c r="O1821" s="1"/>
      <c r="P1821" s="1"/>
      <c r="Q1821" s="1"/>
      <c r="R1821" s="1"/>
      <c r="S1821" s="1"/>
      <c r="T1821" s="1"/>
      <c r="U1821" s="1"/>
      <c r="V1821" s="1"/>
      <c r="W1821" s="1"/>
      <c r="X1821" s="1"/>
      <c r="Y1821" s="1"/>
      <c r="Z1821" s="1"/>
      <c r="AA1821" s="1"/>
      <c r="AB1821" s="1"/>
      <c r="AC1821" s="1"/>
      <c r="AD1821" s="1"/>
      <c r="AE1821" s="1"/>
      <c r="AF1821" s="1"/>
      <c r="AG1821" s="1"/>
      <c r="AH1821" s="1"/>
    </row>
    <row r="1822" ht="12.75" hidden="1" customHeight="1" outlineLevel="1">
      <c r="A1822" s="17">
        <v>41302.0</v>
      </c>
      <c r="B1822" s="1"/>
      <c r="C1822" s="1" t="s">
        <v>431</v>
      </c>
      <c r="D1822" s="74"/>
      <c r="E1822" s="67"/>
      <c r="F1822" s="75"/>
      <c r="G1822" s="67"/>
      <c r="H1822" s="68"/>
      <c r="I1822" s="76"/>
      <c r="J1822" s="67"/>
      <c r="K1822" s="7" t="s">
        <v>817</v>
      </c>
      <c r="L1822" s="77"/>
      <c r="M1822" s="79"/>
      <c r="N1822" s="1"/>
      <c r="O1822" s="1"/>
      <c r="P1822" s="1"/>
      <c r="Q1822" s="1"/>
      <c r="R1822" s="1"/>
      <c r="S1822" s="1"/>
      <c r="T1822" s="1"/>
      <c r="U1822" s="1"/>
      <c r="V1822" s="1"/>
      <c r="W1822" s="1"/>
      <c r="X1822" s="1"/>
      <c r="Y1822" s="1"/>
      <c r="Z1822" s="1"/>
      <c r="AA1822" s="1"/>
      <c r="AB1822" s="1"/>
      <c r="AC1822" s="1"/>
      <c r="AD1822" s="1"/>
      <c r="AE1822" s="1"/>
      <c r="AF1822" s="1"/>
      <c r="AG1822" s="1"/>
      <c r="AH1822" s="1"/>
    </row>
    <row r="1823" ht="12.75" hidden="1" customHeight="1" outlineLevel="1">
      <c r="A1823" s="17">
        <v>41302.0</v>
      </c>
      <c r="B1823" s="1"/>
      <c r="C1823" s="1" t="s">
        <v>433</v>
      </c>
      <c r="D1823" s="74"/>
      <c r="E1823" s="67"/>
      <c r="F1823" s="75"/>
      <c r="G1823" s="67"/>
      <c r="H1823" s="68"/>
      <c r="I1823" s="76"/>
      <c r="J1823" s="67"/>
      <c r="K1823" s="7" t="s">
        <v>434</v>
      </c>
      <c r="L1823" s="77"/>
      <c r="M1823" s="79"/>
      <c r="N1823" s="1"/>
      <c r="O1823" s="1"/>
      <c r="P1823" s="1"/>
      <c r="Q1823" s="1"/>
      <c r="R1823" s="1"/>
      <c r="S1823" s="1"/>
      <c r="T1823" s="1"/>
      <c r="U1823" s="1"/>
      <c r="V1823" s="1"/>
      <c r="W1823" s="1"/>
      <c r="X1823" s="1"/>
      <c r="Y1823" s="1"/>
      <c r="Z1823" s="1"/>
      <c r="AA1823" s="1"/>
      <c r="AB1823" s="1"/>
      <c r="AC1823" s="1"/>
      <c r="AD1823" s="1"/>
      <c r="AE1823" s="1"/>
      <c r="AF1823" s="1"/>
      <c r="AG1823" s="1"/>
      <c r="AH1823" s="1"/>
    </row>
    <row r="1824" ht="12.75" hidden="1" customHeight="1" outlineLevel="1">
      <c r="A1824" s="17">
        <v>41302.0</v>
      </c>
      <c r="B1824" s="1"/>
      <c r="C1824" s="1" t="s">
        <v>435</v>
      </c>
      <c r="D1824" s="74"/>
      <c r="E1824" s="67"/>
      <c r="F1824" s="75"/>
      <c r="G1824" s="67"/>
      <c r="H1824" s="68"/>
      <c r="I1824" s="76"/>
      <c r="J1824" s="67"/>
      <c r="K1824" s="7" t="s">
        <v>818</v>
      </c>
      <c r="L1824" s="77"/>
      <c r="M1824" s="79"/>
      <c r="N1824" s="1"/>
      <c r="O1824" s="1"/>
      <c r="P1824" s="1"/>
      <c r="Q1824" s="1"/>
      <c r="R1824" s="1"/>
      <c r="S1824" s="1"/>
      <c r="T1824" s="1"/>
      <c r="U1824" s="1"/>
      <c r="V1824" s="1"/>
      <c r="W1824" s="1"/>
      <c r="X1824" s="1"/>
      <c r="Y1824" s="1"/>
      <c r="Z1824" s="1"/>
      <c r="AA1824" s="1"/>
      <c r="AB1824" s="1"/>
      <c r="AC1824" s="1"/>
      <c r="AD1824" s="1"/>
      <c r="AE1824" s="1"/>
      <c r="AF1824" s="1"/>
      <c r="AG1824" s="1"/>
      <c r="AH1824" s="1"/>
    </row>
    <row r="1825" ht="12.75" hidden="1" customHeight="1" outlineLevel="1">
      <c r="A1825" s="17">
        <v>41303.0</v>
      </c>
      <c r="B1825" s="1" t="s">
        <v>343</v>
      </c>
      <c r="C1825" s="1" t="s">
        <v>844</v>
      </c>
      <c r="D1825" s="74">
        <v>300.0</v>
      </c>
      <c r="E1825" s="67">
        <v>36.98</v>
      </c>
      <c r="F1825" s="75">
        <v>0.3992361111111111</v>
      </c>
      <c r="G1825" s="67" t="s">
        <v>453</v>
      </c>
      <c r="H1825" s="68">
        <v>1.5</v>
      </c>
      <c r="I1825" s="76"/>
      <c r="J1825" s="67">
        <f t="shared" ref="J1825:J1830" si="130">IF(B1825="SLD",D1825*E1825,-D1825*E1825)-H1825</f>
        <v>-11095.5</v>
      </c>
      <c r="K1825" s="7"/>
      <c r="L1825" s="70"/>
      <c r="M1825" s="79"/>
      <c r="N1825" s="1"/>
      <c r="O1825" s="1"/>
      <c r="P1825" s="1"/>
      <c r="Q1825" s="1"/>
      <c r="R1825" s="1"/>
      <c r="S1825" s="1"/>
      <c r="T1825" s="1"/>
      <c r="U1825" s="1"/>
      <c r="V1825" s="1"/>
      <c r="W1825" s="1"/>
      <c r="X1825" s="1"/>
      <c r="Y1825" s="1"/>
      <c r="Z1825" s="1"/>
      <c r="AA1825" s="1"/>
      <c r="AB1825" s="1"/>
      <c r="AC1825" s="1"/>
      <c r="AD1825" s="1"/>
      <c r="AE1825" s="1"/>
      <c r="AF1825" s="1"/>
      <c r="AG1825" s="1"/>
      <c r="AH1825" s="1"/>
    </row>
    <row r="1826" ht="12.75" hidden="1" customHeight="1" outlineLevel="1">
      <c r="A1826" s="17">
        <v>41303.0</v>
      </c>
      <c r="B1826" s="1" t="s">
        <v>347</v>
      </c>
      <c r="C1826" s="1" t="s">
        <v>349</v>
      </c>
      <c r="D1826" s="74">
        <v>200.0</v>
      </c>
      <c r="E1826" s="67">
        <v>40.01</v>
      </c>
      <c r="F1826" s="75">
        <v>0.39944444444444444</v>
      </c>
      <c r="G1826" s="67" t="s">
        <v>453</v>
      </c>
      <c r="H1826" s="68">
        <v>1.0</v>
      </c>
      <c r="I1826" s="76"/>
      <c r="J1826" s="67">
        <f t="shared" si="130"/>
        <v>8001</v>
      </c>
      <c r="K1826" s="7"/>
      <c r="L1826" s="70"/>
      <c r="M1826" s="79"/>
      <c r="N1826" s="1"/>
      <c r="O1826" s="1"/>
      <c r="P1826" s="1"/>
      <c r="Q1826" s="1"/>
      <c r="R1826" s="1"/>
      <c r="S1826" s="1"/>
      <c r="T1826" s="1"/>
      <c r="U1826" s="1"/>
      <c r="V1826" s="1"/>
      <c r="W1826" s="1"/>
      <c r="X1826" s="1"/>
      <c r="Y1826" s="1"/>
      <c r="Z1826" s="1"/>
      <c r="AA1826" s="1"/>
      <c r="AB1826" s="1"/>
      <c r="AC1826" s="1"/>
      <c r="AD1826" s="1"/>
      <c r="AE1826" s="1"/>
      <c r="AF1826" s="1"/>
      <c r="AG1826" s="1"/>
      <c r="AH1826" s="1"/>
    </row>
    <row r="1827" ht="12.75" hidden="1" customHeight="1" outlineLevel="1">
      <c r="A1827" s="17">
        <v>41303.0</v>
      </c>
      <c r="B1827" s="1" t="s">
        <v>343</v>
      </c>
      <c r="C1827" s="1" t="s">
        <v>346</v>
      </c>
      <c r="D1827" s="74">
        <v>400.0</v>
      </c>
      <c r="E1827" s="67">
        <v>457.382</v>
      </c>
      <c r="F1827" s="75">
        <v>0.4464236111111111</v>
      </c>
      <c r="G1827" s="67" t="s">
        <v>453</v>
      </c>
      <c r="H1827" s="68">
        <v>1.6</v>
      </c>
      <c r="I1827" s="76"/>
      <c r="J1827" s="67">
        <f t="shared" si="130"/>
        <v>-182954.4</v>
      </c>
      <c r="K1827" s="7" t="s">
        <v>880</v>
      </c>
      <c r="L1827" s="70"/>
      <c r="M1827" s="79"/>
      <c r="N1827" s="1"/>
      <c r="O1827" s="1"/>
      <c r="P1827" s="1"/>
      <c r="Q1827" s="1"/>
      <c r="R1827" s="1"/>
      <c r="S1827" s="1"/>
      <c r="T1827" s="1"/>
      <c r="U1827" s="1"/>
      <c r="V1827" s="1"/>
      <c r="W1827" s="1"/>
      <c r="X1827" s="1"/>
      <c r="Y1827" s="1"/>
      <c r="Z1827" s="1"/>
      <c r="AA1827" s="1"/>
      <c r="AB1827" s="1"/>
      <c r="AC1827" s="1"/>
      <c r="AD1827" s="1"/>
      <c r="AE1827" s="1"/>
      <c r="AF1827" s="1"/>
      <c r="AG1827" s="1"/>
      <c r="AH1827" s="1"/>
    </row>
    <row r="1828" ht="12.75" hidden="1" customHeight="1" outlineLevel="1">
      <c r="A1828" s="17">
        <v>41303.0</v>
      </c>
      <c r="B1828" s="1" t="s">
        <v>343</v>
      </c>
      <c r="C1828" s="1" t="s">
        <v>881</v>
      </c>
      <c r="D1828" s="74">
        <v>400.0</v>
      </c>
      <c r="E1828" s="67">
        <v>28.79</v>
      </c>
      <c r="F1828" s="75">
        <v>0.6450810185185185</v>
      </c>
      <c r="G1828" s="67" t="s">
        <v>453</v>
      </c>
      <c r="H1828" s="68">
        <v>2.0</v>
      </c>
      <c r="I1828" s="76"/>
      <c r="J1828" s="67">
        <f t="shared" si="130"/>
        <v>-11518</v>
      </c>
      <c r="K1828" s="7"/>
      <c r="L1828" s="70"/>
      <c r="M1828" s="79"/>
      <c r="N1828" s="1"/>
      <c r="O1828" s="1"/>
      <c r="P1828" s="1"/>
      <c r="Q1828" s="1"/>
      <c r="R1828" s="1"/>
      <c r="S1828" s="1"/>
      <c r="T1828" s="1"/>
      <c r="U1828" s="1"/>
      <c r="V1828" s="1"/>
      <c r="W1828" s="1"/>
      <c r="X1828" s="1"/>
      <c r="Y1828" s="1"/>
      <c r="Z1828" s="1"/>
      <c r="AA1828" s="1"/>
      <c r="AB1828" s="1"/>
      <c r="AC1828" s="1"/>
      <c r="AD1828" s="1"/>
      <c r="AE1828" s="1"/>
      <c r="AF1828" s="1"/>
      <c r="AG1828" s="1"/>
      <c r="AH1828" s="1"/>
    </row>
    <row r="1829" ht="12.75" hidden="1" customHeight="1" outlineLevel="1">
      <c r="A1829" s="17">
        <v>41303.0</v>
      </c>
      <c r="B1829" s="1" t="s">
        <v>343</v>
      </c>
      <c r="C1829" s="1" t="s">
        <v>881</v>
      </c>
      <c r="D1829" s="74">
        <v>200.0</v>
      </c>
      <c r="E1829" s="67">
        <v>28.85</v>
      </c>
      <c r="F1829" s="75">
        <v>0.6459722222222223</v>
      </c>
      <c r="G1829" s="67" t="s">
        <v>453</v>
      </c>
      <c r="H1829" s="68">
        <v>1.0</v>
      </c>
      <c r="I1829" s="76"/>
      <c r="J1829" s="67">
        <f t="shared" si="130"/>
        <v>-5771</v>
      </c>
      <c r="K1829" s="7"/>
      <c r="L1829" s="70"/>
      <c r="M1829" s="79"/>
      <c r="N1829" s="1"/>
      <c r="O1829" s="1"/>
      <c r="P1829" s="1"/>
      <c r="Q1829" s="1"/>
      <c r="R1829" s="1"/>
      <c r="S1829" s="1"/>
      <c r="T1829" s="1"/>
      <c r="U1829" s="1"/>
      <c r="V1829" s="1"/>
      <c r="W1829" s="1"/>
      <c r="X1829" s="1"/>
      <c r="Y1829" s="1"/>
      <c r="Z1829" s="1"/>
      <c r="AA1829" s="1"/>
      <c r="AB1829" s="1"/>
      <c r="AC1829" s="1"/>
      <c r="AD1829" s="1"/>
      <c r="AE1829" s="1"/>
      <c r="AF1829" s="1"/>
      <c r="AG1829" s="1"/>
      <c r="AH1829" s="1"/>
    </row>
    <row r="1830" ht="12.75" hidden="1" customHeight="1" outlineLevel="1">
      <c r="A1830" s="17">
        <v>41303.0</v>
      </c>
      <c r="B1830" s="1" t="s">
        <v>347</v>
      </c>
      <c r="C1830" s="1" t="s">
        <v>423</v>
      </c>
      <c r="D1830" s="74">
        <v>200.0</v>
      </c>
      <c r="E1830" s="67">
        <v>47.49</v>
      </c>
      <c r="F1830" s="75">
        <v>0.6637268518518519</v>
      </c>
      <c r="G1830" s="67" t="s">
        <v>453</v>
      </c>
      <c r="H1830" s="68">
        <v>1.0</v>
      </c>
      <c r="I1830" s="76"/>
      <c r="J1830" s="67">
        <f t="shared" si="130"/>
        <v>9497</v>
      </c>
      <c r="K1830" s="7"/>
      <c r="L1830" s="70"/>
      <c r="M1830" s="79"/>
      <c r="N1830" s="1"/>
      <c r="O1830" s="1"/>
      <c r="P1830" s="1"/>
      <c r="Q1830" s="1"/>
      <c r="R1830" s="1"/>
      <c r="S1830" s="1"/>
      <c r="T1830" s="1"/>
      <c r="U1830" s="1"/>
      <c r="V1830" s="1"/>
      <c r="W1830" s="1"/>
      <c r="X1830" s="1"/>
      <c r="Y1830" s="1"/>
      <c r="Z1830" s="1"/>
      <c r="AA1830" s="1"/>
      <c r="AB1830" s="1"/>
      <c r="AC1830" s="1"/>
      <c r="AD1830" s="1"/>
      <c r="AE1830" s="1"/>
      <c r="AF1830" s="1"/>
      <c r="AG1830" s="1"/>
      <c r="AH1830" s="1"/>
    </row>
    <row r="1831" ht="12.75" hidden="1" customHeight="1" outlineLevel="1">
      <c r="A1831" s="17">
        <v>41303.0</v>
      </c>
      <c r="B1831" s="1"/>
      <c r="C1831" s="1" t="s">
        <v>339</v>
      </c>
      <c r="D1831" s="74"/>
      <c r="E1831" s="67"/>
      <c r="F1831" s="75"/>
      <c r="G1831" s="67"/>
      <c r="H1831" s="68"/>
      <c r="I1831" s="76"/>
      <c r="J1831" s="67"/>
      <c r="K1831" s="7" t="s">
        <v>882</v>
      </c>
      <c r="L1831" s="77"/>
      <c r="M1831" s="79"/>
      <c r="N1831" s="1"/>
      <c r="O1831" s="1"/>
      <c r="P1831" s="1"/>
      <c r="Q1831" s="1"/>
      <c r="R1831" s="1"/>
      <c r="S1831" s="1"/>
      <c r="T1831" s="1"/>
      <c r="U1831" s="1"/>
      <c r="V1831" s="1"/>
      <c r="W1831" s="1"/>
      <c r="X1831" s="1"/>
      <c r="Y1831" s="1"/>
      <c r="Z1831" s="1"/>
      <c r="AA1831" s="1"/>
      <c r="AB1831" s="1"/>
      <c r="AC1831" s="1"/>
      <c r="AD1831" s="1"/>
      <c r="AE1831" s="1"/>
      <c r="AF1831" s="1"/>
      <c r="AG1831" s="1"/>
      <c r="AH1831" s="1"/>
    </row>
    <row r="1832" ht="12.75" hidden="1" customHeight="1" outlineLevel="1">
      <c r="A1832" s="17">
        <v>41303.0</v>
      </c>
      <c r="B1832" s="1"/>
      <c r="C1832" s="1" t="s">
        <v>429</v>
      </c>
      <c r="D1832" s="74"/>
      <c r="E1832" s="67"/>
      <c r="F1832" s="75"/>
      <c r="G1832" s="67"/>
      <c r="H1832" s="68"/>
      <c r="I1832" s="76"/>
      <c r="J1832" s="67"/>
      <c r="K1832" s="7" t="s">
        <v>883</v>
      </c>
      <c r="L1832" s="77"/>
      <c r="M1832" s="79"/>
      <c r="N1832" s="1"/>
      <c r="O1832" s="1"/>
      <c r="P1832" s="1"/>
      <c r="Q1832" s="1"/>
      <c r="R1832" s="1"/>
      <c r="S1832" s="1"/>
      <c r="T1832" s="1"/>
      <c r="U1832" s="1"/>
      <c r="V1832" s="1"/>
      <c r="W1832" s="1"/>
      <c r="X1832" s="1"/>
      <c r="Y1832" s="1"/>
      <c r="Z1832" s="1"/>
      <c r="AA1832" s="1"/>
      <c r="AB1832" s="1"/>
      <c r="AC1832" s="1"/>
      <c r="AD1832" s="1"/>
      <c r="AE1832" s="1"/>
      <c r="AF1832" s="1"/>
      <c r="AG1832" s="1"/>
      <c r="AH1832" s="1"/>
    </row>
    <row r="1833" ht="12.75" hidden="1" customHeight="1" outlineLevel="1">
      <c r="A1833" s="17">
        <v>41303.0</v>
      </c>
      <c r="B1833" s="1"/>
      <c r="C1833" s="1" t="s">
        <v>431</v>
      </c>
      <c r="D1833" s="74"/>
      <c r="E1833" s="67"/>
      <c r="F1833" s="75"/>
      <c r="G1833" s="67"/>
      <c r="H1833" s="68"/>
      <c r="I1833" s="76"/>
      <c r="J1833" s="67"/>
      <c r="K1833" s="7" t="s">
        <v>817</v>
      </c>
      <c r="L1833" s="77"/>
      <c r="M1833" s="79"/>
      <c r="N1833" s="1"/>
      <c r="O1833" s="1"/>
      <c r="P1833" s="1"/>
      <c r="Q1833" s="1"/>
      <c r="R1833" s="1"/>
      <c r="S1833" s="1"/>
      <c r="T1833" s="1"/>
      <c r="U1833" s="1"/>
      <c r="V1833" s="1"/>
      <c r="W1833" s="1"/>
      <c r="X1833" s="1"/>
      <c r="Y1833" s="1"/>
      <c r="Z1833" s="1"/>
      <c r="AA1833" s="1"/>
      <c r="AB1833" s="1"/>
      <c r="AC1833" s="1"/>
      <c r="AD1833" s="1"/>
      <c r="AE1833" s="1"/>
      <c r="AF1833" s="1"/>
      <c r="AG1833" s="1"/>
      <c r="AH1833" s="1"/>
    </row>
    <row r="1834" ht="12.75" hidden="1" customHeight="1" outlineLevel="1">
      <c r="A1834" s="17">
        <v>41303.0</v>
      </c>
      <c r="B1834" s="1"/>
      <c r="C1834" s="1" t="s">
        <v>433</v>
      </c>
      <c r="D1834" s="74"/>
      <c r="E1834" s="67"/>
      <c r="F1834" s="75"/>
      <c r="G1834" s="67"/>
      <c r="H1834" s="68"/>
      <c r="I1834" s="76"/>
      <c r="J1834" s="67"/>
      <c r="K1834" s="7" t="s">
        <v>434</v>
      </c>
      <c r="L1834" s="77"/>
      <c r="M1834" s="79"/>
      <c r="N1834" s="1"/>
      <c r="O1834" s="1"/>
      <c r="P1834" s="1"/>
      <c r="Q1834" s="1"/>
      <c r="R1834" s="1"/>
      <c r="S1834" s="1"/>
      <c r="T1834" s="1"/>
      <c r="U1834" s="1"/>
      <c r="V1834" s="1"/>
      <c r="W1834" s="1"/>
      <c r="X1834" s="1"/>
      <c r="Y1834" s="1"/>
      <c r="Z1834" s="1"/>
      <c r="AA1834" s="1"/>
      <c r="AB1834" s="1"/>
      <c r="AC1834" s="1"/>
      <c r="AD1834" s="1"/>
      <c r="AE1834" s="1"/>
      <c r="AF1834" s="1"/>
      <c r="AG1834" s="1"/>
      <c r="AH1834" s="1"/>
    </row>
    <row r="1835" ht="12.75" hidden="1" customHeight="1" outlineLevel="1">
      <c r="A1835" s="17">
        <v>41303.0</v>
      </c>
      <c r="B1835" s="1"/>
      <c r="C1835" s="1" t="s">
        <v>435</v>
      </c>
      <c r="D1835" s="74"/>
      <c r="E1835" s="67"/>
      <c r="F1835" s="75"/>
      <c r="G1835" s="67"/>
      <c r="H1835" s="68"/>
      <c r="I1835" s="76"/>
      <c r="J1835" s="67"/>
      <c r="K1835" s="7" t="s">
        <v>818</v>
      </c>
      <c r="L1835" s="77"/>
      <c r="M1835" s="79"/>
      <c r="N1835" s="1"/>
      <c r="O1835" s="1"/>
      <c r="P1835" s="1"/>
      <c r="Q1835" s="1"/>
      <c r="R1835" s="1"/>
      <c r="S1835" s="1"/>
      <c r="T1835" s="1"/>
      <c r="U1835" s="1"/>
      <c r="V1835" s="1"/>
      <c r="W1835" s="1"/>
      <c r="X1835" s="1"/>
      <c r="Y1835" s="1"/>
      <c r="Z1835" s="1"/>
      <c r="AA1835" s="1"/>
      <c r="AB1835" s="1"/>
      <c r="AC1835" s="1"/>
      <c r="AD1835" s="1"/>
      <c r="AE1835" s="1"/>
      <c r="AF1835" s="1"/>
      <c r="AG1835" s="1"/>
      <c r="AH1835" s="1"/>
    </row>
    <row r="1836" ht="12.75" hidden="1" customHeight="1" outlineLevel="1">
      <c r="A1836" s="17">
        <v>41304.0</v>
      </c>
      <c r="B1836" s="1" t="s">
        <v>343</v>
      </c>
      <c r="C1836" s="1" t="s">
        <v>881</v>
      </c>
      <c r="D1836" s="74">
        <v>200.0</v>
      </c>
      <c r="E1836" s="67">
        <v>28.43</v>
      </c>
      <c r="F1836" s="75">
        <v>0.5897453703703703</v>
      </c>
      <c r="G1836" s="67" t="s">
        <v>453</v>
      </c>
      <c r="H1836" s="68">
        <v>1.0</v>
      </c>
      <c r="I1836" s="76"/>
      <c r="J1836" s="67">
        <f>IF(B1836="SLD",D1836*E1836,-D1836*E1836)-H1836</f>
        <v>-5687</v>
      </c>
      <c r="K1836" s="7"/>
      <c r="L1836" s="70"/>
      <c r="M1836" s="79"/>
      <c r="N1836" s="1"/>
      <c r="O1836" s="1"/>
      <c r="P1836" s="1"/>
      <c r="Q1836" s="1"/>
      <c r="R1836" s="1"/>
      <c r="S1836" s="1"/>
      <c r="T1836" s="1"/>
      <c r="U1836" s="1"/>
      <c r="V1836" s="1"/>
      <c r="W1836" s="1"/>
      <c r="X1836" s="1"/>
      <c r="Y1836" s="1"/>
      <c r="Z1836" s="1"/>
      <c r="AA1836" s="1"/>
      <c r="AB1836" s="1"/>
      <c r="AC1836" s="1"/>
      <c r="AD1836" s="1"/>
      <c r="AE1836" s="1"/>
      <c r="AF1836" s="1"/>
      <c r="AG1836" s="1"/>
      <c r="AH1836" s="1"/>
    </row>
    <row r="1837" ht="12.75" hidden="1" customHeight="1" outlineLevel="1">
      <c r="A1837" s="17">
        <v>41304.0</v>
      </c>
      <c r="B1837" s="1"/>
      <c r="C1837" s="1" t="s">
        <v>339</v>
      </c>
      <c r="D1837" s="74"/>
      <c r="E1837" s="67"/>
      <c r="F1837" s="75"/>
      <c r="G1837" s="67"/>
      <c r="H1837" s="68"/>
      <c r="I1837" s="76"/>
      <c r="J1837" s="67"/>
      <c r="K1837" s="7" t="s">
        <v>884</v>
      </c>
      <c r="L1837" s="77"/>
      <c r="M1837" s="79"/>
      <c r="N1837" s="1"/>
      <c r="O1837" s="1"/>
      <c r="P1837" s="1"/>
      <c r="Q1837" s="1"/>
      <c r="R1837" s="1"/>
      <c r="S1837" s="1"/>
      <c r="T1837" s="1"/>
      <c r="U1837" s="1"/>
      <c r="V1837" s="1"/>
      <c r="W1837" s="1"/>
      <c r="X1837" s="1"/>
      <c r="Y1837" s="1"/>
      <c r="Z1837" s="1"/>
      <c r="AA1837" s="1"/>
      <c r="AB1837" s="1"/>
      <c r="AC1837" s="1"/>
      <c r="AD1837" s="1"/>
      <c r="AE1837" s="1"/>
      <c r="AF1837" s="1"/>
      <c r="AG1837" s="1"/>
      <c r="AH1837" s="1"/>
    </row>
    <row r="1838" ht="12.75" hidden="1" customHeight="1" outlineLevel="1">
      <c r="A1838" s="17">
        <v>41304.0</v>
      </c>
      <c r="B1838" s="1"/>
      <c r="C1838" s="1" t="s">
        <v>429</v>
      </c>
      <c r="D1838" s="74"/>
      <c r="E1838" s="67"/>
      <c r="F1838" s="75"/>
      <c r="G1838" s="67"/>
      <c r="H1838" s="68"/>
      <c r="I1838" s="76"/>
      <c r="J1838" s="67"/>
      <c r="K1838" s="7" t="s">
        <v>885</v>
      </c>
      <c r="L1838" s="77"/>
      <c r="M1838" s="79"/>
      <c r="N1838" s="1"/>
      <c r="O1838" s="1"/>
      <c r="P1838" s="1"/>
      <c r="Q1838" s="1"/>
      <c r="R1838" s="1"/>
      <c r="S1838" s="1"/>
      <c r="T1838" s="1"/>
      <c r="U1838" s="1"/>
      <c r="V1838" s="1"/>
      <c r="W1838" s="1"/>
      <c r="X1838" s="1"/>
      <c r="Y1838" s="1"/>
      <c r="Z1838" s="1"/>
      <c r="AA1838" s="1"/>
      <c r="AB1838" s="1"/>
      <c r="AC1838" s="1"/>
      <c r="AD1838" s="1"/>
      <c r="AE1838" s="1"/>
      <c r="AF1838" s="1"/>
      <c r="AG1838" s="1"/>
      <c r="AH1838" s="1"/>
    </row>
    <row r="1839" ht="12.75" hidden="1" customHeight="1" outlineLevel="1">
      <c r="A1839" s="17">
        <v>41304.0</v>
      </c>
      <c r="B1839" s="1"/>
      <c r="C1839" s="1" t="s">
        <v>431</v>
      </c>
      <c r="D1839" s="74"/>
      <c r="E1839" s="67"/>
      <c r="F1839" s="75"/>
      <c r="G1839" s="67"/>
      <c r="H1839" s="68"/>
      <c r="I1839" s="76"/>
      <c r="J1839" s="67"/>
      <c r="K1839" s="7" t="s">
        <v>817</v>
      </c>
      <c r="L1839" s="77"/>
      <c r="M1839" s="79"/>
      <c r="N1839" s="1"/>
      <c r="O1839" s="1"/>
      <c r="P1839" s="1"/>
      <c r="Q1839" s="1"/>
      <c r="R1839" s="1"/>
      <c r="S1839" s="1"/>
      <c r="T1839" s="1"/>
      <c r="U1839" s="1"/>
      <c r="V1839" s="1"/>
      <c r="W1839" s="1"/>
      <c r="X1839" s="1"/>
      <c r="Y1839" s="1"/>
      <c r="Z1839" s="1"/>
      <c r="AA1839" s="1"/>
      <c r="AB1839" s="1"/>
      <c r="AC1839" s="1"/>
      <c r="AD1839" s="1"/>
      <c r="AE1839" s="1"/>
      <c r="AF1839" s="1"/>
      <c r="AG1839" s="1"/>
      <c r="AH1839" s="1"/>
    </row>
    <row r="1840" ht="12.75" hidden="1" customHeight="1" outlineLevel="1">
      <c r="A1840" s="17">
        <v>41304.0</v>
      </c>
      <c r="B1840" s="1"/>
      <c r="C1840" s="1" t="s">
        <v>433</v>
      </c>
      <c r="D1840" s="74"/>
      <c r="E1840" s="67"/>
      <c r="F1840" s="75"/>
      <c r="G1840" s="67"/>
      <c r="H1840" s="68"/>
      <c r="I1840" s="76"/>
      <c r="J1840" s="67"/>
      <c r="K1840" s="7" t="s">
        <v>434</v>
      </c>
      <c r="L1840" s="77"/>
      <c r="M1840" s="79"/>
      <c r="N1840" s="1"/>
      <c r="O1840" s="1"/>
      <c r="P1840" s="1"/>
      <c r="Q1840" s="1"/>
      <c r="R1840" s="1"/>
      <c r="S1840" s="1"/>
      <c r="T1840" s="1"/>
      <c r="U1840" s="1"/>
      <c r="V1840" s="1"/>
      <c r="W1840" s="1"/>
      <c r="X1840" s="1"/>
      <c r="Y1840" s="1"/>
      <c r="Z1840" s="1"/>
      <c r="AA1840" s="1"/>
      <c r="AB1840" s="1"/>
      <c r="AC1840" s="1"/>
      <c r="AD1840" s="1"/>
      <c r="AE1840" s="1"/>
      <c r="AF1840" s="1"/>
      <c r="AG1840" s="1"/>
      <c r="AH1840" s="1"/>
    </row>
    <row r="1841" ht="12.75" hidden="1" customHeight="1" outlineLevel="1">
      <c r="A1841" s="17">
        <v>41304.0</v>
      </c>
      <c r="B1841" s="1"/>
      <c r="C1841" s="1" t="s">
        <v>435</v>
      </c>
      <c r="D1841" s="74"/>
      <c r="E1841" s="67"/>
      <c r="F1841" s="75"/>
      <c r="G1841" s="67"/>
      <c r="H1841" s="68"/>
      <c r="I1841" s="76"/>
      <c r="J1841" s="67"/>
      <c r="K1841" s="7" t="s">
        <v>818</v>
      </c>
      <c r="L1841" s="77"/>
      <c r="M1841" s="79"/>
      <c r="N1841" s="1"/>
      <c r="O1841" s="1"/>
      <c r="P1841" s="1"/>
      <c r="Q1841" s="1"/>
      <c r="R1841" s="1"/>
      <c r="S1841" s="1"/>
      <c r="T1841" s="1"/>
      <c r="U1841" s="1"/>
      <c r="V1841" s="1"/>
      <c r="W1841" s="1"/>
      <c r="X1841" s="1"/>
      <c r="Y1841" s="1"/>
      <c r="Z1841" s="1"/>
      <c r="AA1841" s="1"/>
      <c r="AB1841" s="1"/>
      <c r="AC1841" s="1"/>
      <c r="AD1841" s="1"/>
      <c r="AE1841" s="1"/>
      <c r="AF1841" s="1"/>
      <c r="AG1841" s="1"/>
      <c r="AH1841" s="1"/>
    </row>
    <row r="1842" ht="12.75" hidden="1" customHeight="1" outlineLevel="1">
      <c r="A1842" s="17">
        <v>41305.0</v>
      </c>
      <c r="B1842" s="1" t="s">
        <v>343</v>
      </c>
      <c r="C1842" s="1" t="s">
        <v>354</v>
      </c>
      <c r="D1842" s="74">
        <v>150.0</v>
      </c>
      <c r="E1842" s="67">
        <v>89.71</v>
      </c>
      <c r="F1842" s="75">
        <v>0.4409837962962963</v>
      </c>
      <c r="G1842" s="67" t="s">
        <v>453</v>
      </c>
      <c r="H1842" s="68">
        <v>1.0</v>
      </c>
      <c r="I1842" s="76"/>
      <c r="J1842" s="67">
        <f t="shared" ref="J1842:J1844" si="131">IF(B1842="SLD",D1842*E1842,-D1842*E1842)-H1842</f>
        <v>-13457.5</v>
      </c>
      <c r="K1842" s="7"/>
      <c r="L1842" s="70"/>
      <c r="M1842" s="79"/>
      <c r="N1842" s="1"/>
      <c r="O1842" s="1"/>
      <c r="P1842" s="1"/>
      <c r="Q1842" s="1"/>
      <c r="R1842" s="1"/>
      <c r="S1842" s="1"/>
      <c r="T1842" s="1"/>
      <c r="U1842" s="1"/>
      <c r="V1842" s="1"/>
      <c r="W1842" s="1"/>
      <c r="X1842" s="1"/>
      <c r="Y1842" s="1"/>
      <c r="Z1842" s="1"/>
      <c r="AA1842" s="1"/>
      <c r="AB1842" s="1"/>
      <c r="AC1842" s="1"/>
      <c r="AD1842" s="1"/>
      <c r="AE1842" s="1"/>
      <c r="AF1842" s="1"/>
      <c r="AG1842" s="1"/>
      <c r="AH1842" s="1"/>
    </row>
    <row r="1843" ht="12.75" hidden="1" customHeight="1" outlineLevel="1">
      <c r="A1843" s="17">
        <v>41305.0</v>
      </c>
      <c r="B1843" s="1" t="s">
        <v>343</v>
      </c>
      <c r="C1843" s="1" t="s">
        <v>881</v>
      </c>
      <c r="D1843" s="74">
        <v>200.0</v>
      </c>
      <c r="E1843" s="67">
        <v>28.53</v>
      </c>
      <c r="F1843" s="75">
        <v>0.6212731481481482</v>
      </c>
      <c r="G1843" s="67" t="s">
        <v>453</v>
      </c>
      <c r="H1843" s="68">
        <v>1.0</v>
      </c>
      <c r="I1843" s="76"/>
      <c r="J1843" s="67">
        <f t="shared" si="131"/>
        <v>-5707</v>
      </c>
      <c r="K1843" s="7"/>
      <c r="L1843" s="70"/>
      <c r="M1843" s="79"/>
      <c r="N1843" s="1"/>
      <c r="O1843" s="1"/>
      <c r="P1843" s="1"/>
      <c r="Q1843" s="1"/>
      <c r="R1843" s="1"/>
      <c r="S1843" s="1"/>
      <c r="T1843" s="1"/>
      <c r="U1843" s="1"/>
      <c r="V1843" s="1"/>
      <c r="W1843" s="1"/>
      <c r="X1843" s="1"/>
      <c r="Y1843" s="1"/>
      <c r="Z1843" s="1"/>
      <c r="AA1843" s="1"/>
      <c r="AB1843" s="1"/>
      <c r="AC1843" s="1"/>
      <c r="AD1843" s="1"/>
      <c r="AE1843" s="1"/>
      <c r="AF1843" s="1"/>
      <c r="AG1843" s="1"/>
      <c r="AH1843" s="1"/>
    </row>
    <row r="1844" ht="12.75" hidden="1" customHeight="1" outlineLevel="1">
      <c r="A1844" s="17">
        <v>41305.0</v>
      </c>
      <c r="B1844" s="1" t="s">
        <v>343</v>
      </c>
      <c r="C1844" s="1" t="s">
        <v>630</v>
      </c>
      <c r="D1844" s="74">
        <v>2000.0</v>
      </c>
      <c r="E1844" s="67">
        <f>4.8*1.0393</f>
        <v>4.98864</v>
      </c>
      <c r="F1844" s="75">
        <v>0.9681944444444445</v>
      </c>
      <c r="G1844" s="67" t="s">
        <v>631</v>
      </c>
      <c r="H1844" s="68">
        <v>7.68</v>
      </c>
      <c r="I1844" s="76"/>
      <c r="J1844" s="67">
        <f t="shared" si="131"/>
        <v>-9984.96</v>
      </c>
      <c r="K1844" s="7"/>
      <c r="L1844" s="70"/>
      <c r="M1844" s="79"/>
      <c r="N1844" s="1"/>
      <c r="O1844" s="1"/>
      <c r="P1844" s="1"/>
      <c r="Q1844" s="1"/>
      <c r="R1844" s="1"/>
      <c r="S1844" s="1"/>
      <c r="T1844" s="1"/>
      <c r="U1844" s="1"/>
      <c r="V1844" s="1"/>
      <c r="W1844" s="1"/>
      <c r="X1844" s="1"/>
      <c r="Y1844" s="1"/>
      <c r="Z1844" s="1"/>
      <c r="AA1844" s="1"/>
      <c r="AB1844" s="1"/>
      <c r="AC1844" s="1"/>
      <c r="AD1844" s="1"/>
      <c r="AE1844" s="1"/>
      <c r="AF1844" s="1"/>
      <c r="AG1844" s="1"/>
      <c r="AH1844" s="1"/>
    </row>
    <row r="1845" ht="12.75" hidden="1" customHeight="1" outlineLevel="1">
      <c r="A1845" s="17">
        <v>41305.0</v>
      </c>
      <c r="B1845" s="1"/>
      <c r="C1845" s="1" t="s">
        <v>339</v>
      </c>
      <c r="D1845" s="74"/>
      <c r="E1845" s="67"/>
      <c r="F1845" s="75"/>
      <c r="G1845" s="67"/>
      <c r="H1845" s="68"/>
      <c r="I1845" s="76"/>
      <c r="J1845" s="67"/>
      <c r="K1845" s="7" t="s">
        <v>886</v>
      </c>
      <c r="L1845" s="77"/>
      <c r="M1845" s="79"/>
      <c r="N1845" s="1"/>
      <c r="O1845" s="1"/>
      <c r="P1845" s="1"/>
      <c r="Q1845" s="1"/>
      <c r="R1845" s="1"/>
      <c r="S1845" s="1"/>
      <c r="T1845" s="1"/>
      <c r="U1845" s="1"/>
      <c r="V1845" s="1"/>
      <c r="W1845" s="1"/>
      <c r="X1845" s="1"/>
      <c r="Y1845" s="1"/>
      <c r="Z1845" s="1"/>
      <c r="AA1845" s="1"/>
      <c r="AB1845" s="1"/>
      <c r="AC1845" s="1"/>
      <c r="AD1845" s="1"/>
      <c r="AE1845" s="1"/>
      <c r="AF1845" s="1"/>
      <c r="AG1845" s="1"/>
      <c r="AH1845" s="1"/>
    </row>
    <row r="1846" ht="12.75" hidden="1" customHeight="1" outlineLevel="1">
      <c r="A1846" s="17">
        <v>41305.0</v>
      </c>
      <c r="B1846" s="1"/>
      <c r="C1846" s="1" t="s">
        <v>429</v>
      </c>
      <c r="D1846" s="74"/>
      <c r="E1846" s="67"/>
      <c r="F1846" s="75"/>
      <c r="G1846" s="67"/>
      <c r="H1846" s="68"/>
      <c r="I1846" s="76"/>
      <c r="J1846" s="67"/>
      <c r="K1846" s="7" t="s">
        <v>885</v>
      </c>
      <c r="L1846" s="77"/>
      <c r="M1846" s="79"/>
      <c r="N1846" s="1"/>
      <c r="O1846" s="1"/>
      <c r="P1846" s="1"/>
      <c r="Q1846" s="1"/>
      <c r="R1846" s="1"/>
      <c r="S1846" s="1"/>
      <c r="T1846" s="1"/>
      <c r="U1846" s="1"/>
      <c r="V1846" s="1"/>
      <c r="W1846" s="1"/>
      <c r="X1846" s="1"/>
      <c r="Y1846" s="1"/>
      <c r="Z1846" s="1"/>
      <c r="AA1846" s="1"/>
      <c r="AB1846" s="1"/>
      <c r="AC1846" s="1"/>
      <c r="AD1846" s="1"/>
      <c r="AE1846" s="1"/>
      <c r="AF1846" s="1"/>
      <c r="AG1846" s="1"/>
      <c r="AH1846" s="1"/>
    </row>
    <row r="1847" ht="12.75" hidden="1" customHeight="1" outlineLevel="1">
      <c r="A1847" s="17">
        <v>41305.0</v>
      </c>
      <c r="B1847" s="1"/>
      <c r="C1847" s="1" t="s">
        <v>431</v>
      </c>
      <c r="D1847" s="74"/>
      <c r="E1847" s="67"/>
      <c r="F1847" s="75"/>
      <c r="G1847" s="67"/>
      <c r="H1847" s="68"/>
      <c r="I1847" s="76"/>
      <c r="J1847" s="67"/>
      <c r="K1847" s="7" t="s">
        <v>817</v>
      </c>
      <c r="L1847" s="77"/>
      <c r="M1847" s="79"/>
      <c r="N1847" s="1"/>
      <c r="O1847" s="1"/>
      <c r="P1847" s="1"/>
      <c r="Q1847" s="1"/>
      <c r="R1847" s="1"/>
      <c r="S1847" s="1"/>
      <c r="T1847" s="1"/>
      <c r="U1847" s="1"/>
      <c r="V1847" s="1"/>
      <c r="W1847" s="1"/>
      <c r="X1847" s="1"/>
      <c r="Y1847" s="1"/>
      <c r="Z1847" s="1"/>
      <c r="AA1847" s="1"/>
      <c r="AB1847" s="1"/>
      <c r="AC1847" s="1"/>
      <c r="AD1847" s="1"/>
      <c r="AE1847" s="1"/>
      <c r="AF1847" s="1"/>
      <c r="AG1847" s="1"/>
      <c r="AH1847" s="1"/>
    </row>
    <row r="1848" ht="12.75" hidden="1" customHeight="1" outlineLevel="1">
      <c r="A1848" s="17">
        <v>41305.0</v>
      </c>
      <c r="B1848" s="1"/>
      <c r="C1848" s="1" t="s">
        <v>433</v>
      </c>
      <c r="D1848" s="74"/>
      <c r="E1848" s="67"/>
      <c r="F1848" s="75"/>
      <c r="G1848" s="67"/>
      <c r="H1848" s="68"/>
      <c r="I1848" s="76"/>
      <c r="J1848" s="67"/>
      <c r="K1848" s="7" t="s">
        <v>434</v>
      </c>
      <c r="L1848" s="77"/>
      <c r="M1848" s="79"/>
      <c r="N1848" s="1"/>
      <c r="O1848" s="1"/>
      <c r="P1848" s="1"/>
      <c r="Q1848" s="1"/>
      <c r="R1848" s="1"/>
      <c r="S1848" s="1"/>
      <c r="T1848" s="1"/>
      <c r="U1848" s="1"/>
      <c r="V1848" s="1"/>
      <c r="W1848" s="1"/>
      <c r="X1848" s="1"/>
      <c r="Y1848" s="1"/>
      <c r="Z1848" s="1"/>
      <c r="AA1848" s="1"/>
      <c r="AB1848" s="1"/>
      <c r="AC1848" s="1"/>
      <c r="AD1848" s="1"/>
      <c r="AE1848" s="1"/>
      <c r="AF1848" s="1"/>
      <c r="AG1848" s="1"/>
      <c r="AH1848" s="1"/>
    </row>
    <row r="1849" ht="12.75" hidden="1" customHeight="1" outlineLevel="1">
      <c r="A1849" s="17">
        <v>41305.0</v>
      </c>
      <c r="B1849" s="1"/>
      <c r="C1849" s="1" t="s">
        <v>435</v>
      </c>
      <c r="D1849" s="74"/>
      <c r="E1849" s="67"/>
      <c r="F1849" s="75"/>
      <c r="G1849" s="67"/>
      <c r="H1849" s="68"/>
      <c r="I1849" s="76"/>
      <c r="J1849" s="67"/>
      <c r="K1849" s="7" t="s">
        <v>818</v>
      </c>
      <c r="L1849" s="77"/>
      <c r="M1849" s="79"/>
      <c r="N1849" s="1"/>
      <c r="O1849" s="1"/>
      <c r="P1849" s="1"/>
      <c r="Q1849" s="1"/>
      <c r="R1849" s="1"/>
      <c r="S1849" s="1"/>
      <c r="T1849" s="1"/>
      <c r="U1849" s="1"/>
      <c r="V1849" s="1"/>
      <c r="W1849" s="1"/>
      <c r="X1849" s="1"/>
      <c r="Y1849" s="1"/>
      <c r="Z1849" s="1"/>
      <c r="AA1849" s="1"/>
      <c r="AB1849" s="1"/>
      <c r="AC1849" s="1"/>
      <c r="AD1849" s="1"/>
      <c r="AE1849" s="1"/>
      <c r="AF1849" s="1"/>
      <c r="AG1849" s="1"/>
      <c r="AH1849" s="1"/>
    </row>
    <row r="1850" ht="12.75" hidden="1" customHeight="1" outlineLevel="1">
      <c r="A1850" s="17">
        <v>41306.0</v>
      </c>
      <c r="B1850" s="1" t="s">
        <v>343</v>
      </c>
      <c r="C1850" s="1" t="s">
        <v>784</v>
      </c>
      <c r="D1850" s="74">
        <v>500.0</v>
      </c>
      <c r="E1850" s="67">
        <v>20.53</v>
      </c>
      <c r="F1850" s="75">
        <v>0.4037037037037037</v>
      </c>
      <c r="G1850" s="67" t="s">
        <v>453</v>
      </c>
      <c r="H1850" s="68">
        <v>2.5</v>
      </c>
      <c r="I1850" s="76"/>
      <c r="J1850" s="67">
        <f t="shared" ref="J1850:J1855" si="132">IF(B1850="SLD",D1850*E1850,-D1850*E1850)-H1850</f>
        <v>-10267.5</v>
      </c>
      <c r="K1850" s="7"/>
      <c r="L1850" s="70"/>
      <c r="M1850" s="79"/>
      <c r="N1850" s="1"/>
      <c r="O1850" s="1"/>
      <c r="P1850" s="1"/>
      <c r="Q1850" s="1"/>
      <c r="R1850" s="1"/>
      <c r="S1850" s="1"/>
      <c r="T1850" s="1"/>
      <c r="U1850" s="1"/>
      <c r="V1850" s="1"/>
      <c r="W1850" s="1"/>
      <c r="X1850" s="1"/>
      <c r="Y1850" s="1"/>
      <c r="Z1850" s="1"/>
      <c r="AA1850" s="1"/>
      <c r="AB1850" s="1"/>
      <c r="AC1850" s="1"/>
      <c r="AD1850" s="1"/>
      <c r="AE1850" s="1"/>
      <c r="AF1850" s="1"/>
      <c r="AG1850" s="1"/>
      <c r="AH1850" s="1"/>
    </row>
    <row r="1851" ht="12.75" hidden="1" customHeight="1" outlineLevel="1">
      <c r="A1851" s="17">
        <v>41306.0</v>
      </c>
      <c r="B1851" s="1" t="s">
        <v>347</v>
      </c>
      <c r="C1851" s="1" t="s">
        <v>346</v>
      </c>
      <c r="D1851" s="74">
        <v>20.0</v>
      </c>
      <c r="E1851" s="67">
        <v>451.83</v>
      </c>
      <c r="F1851" s="75">
        <v>0.43842592592592594</v>
      </c>
      <c r="G1851" s="67" t="s">
        <v>453</v>
      </c>
      <c r="H1851" s="68">
        <v>1.0</v>
      </c>
      <c r="I1851" s="76"/>
      <c r="J1851" s="67">
        <f t="shared" si="132"/>
        <v>9035.6</v>
      </c>
      <c r="K1851" s="7"/>
      <c r="L1851" s="70"/>
      <c r="M1851" s="79"/>
      <c r="N1851" s="1"/>
      <c r="O1851" s="1"/>
      <c r="P1851" s="1"/>
      <c r="Q1851" s="1"/>
      <c r="R1851" s="1"/>
      <c r="S1851" s="1"/>
      <c r="T1851" s="1"/>
      <c r="U1851" s="1"/>
      <c r="V1851" s="1"/>
      <c r="W1851" s="1"/>
      <c r="X1851" s="1"/>
      <c r="Y1851" s="1"/>
      <c r="Z1851" s="1"/>
      <c r="AA1851" s="1"/>
      <c r="AB1851" s="1"/>
      <c r="AC1851" s="1"/>
      <c r="AD1851" s="1"/>
      <c r="AE1851" s="1"/>
      <c r="AF1851" s="1"/>
      <c r="AG1851" s="1"/>
      <c r="AH1851" s="1"/>
    </row>
    <row r="1852" ht="12.75" hidden="1" customHeight="1" outlineLevel="1">
      <c r="A1852" s="17">
        <v>41306.0</v>
      </c>
      <c r="B1852" s="1" t="s">
        <v>343</v>
      </c>
      <c r="C1852" s="1" t="s">
        <v>356</v>
      </c>
      <c r="D1852" s="74">
        <v>24.0</v>
      </c>
      <c r="E1852" s="67">
        <v>257.7</v>
      </c>
      <c r="F1852" s="75">
        <v>0.607175925925926</v>
      </c>
      <c r="G1852" s="67" t="s">
        <v>453</v>
      </c>
      <c r="H1852" s="68">
        <v>1.0</v>
      </c>
      <c r="I1852" s="76"/>
      <c r="J1852" s="67">
        <f t="shared" si="132"/>
        <v>-6185.8</v>
      </c>
      <c r="K1852" s="7"/>
      <c r="L1852" s="70"/>
      <c r="M1852" s="79"/>
      <c r="N1852" s="1"/>
      <c r="O1852" s="1"/>
      <c r="P1852" s="1"/>
      <c r="Q1852" s="1"/>
      <c r="R1852" s="1"/>
      <c r="S1852" s="1"/>
      <c r="T1852" s="1"/>
      <c r="U1852" s="1"/>
      <c r="V1852" s="1"/>
      <c r="W1852" s="1"/>
      <c r="X1852" s="1"/>
      <c r="Y1852" s="1"/>
      <c r="Z1852" s="1"/>
      <c r="AA1852" s="1"/>
      <c r="AB1852" s="1"/>
      <c r="AC1852" s="1"/>
      <c r="AD1852" s="1"/>
      <c r="AE1852" s="1"/>
      <c r="AF1852" s="1"/>
      <c r="AG1852" s="1"/>
      <c r="AH1852" s="1"/>
    </row>
    <row r="1853" ht="12.75" hidden="1" customHeight="1" outlineLevel="1">
      <c r="A1853" s="17">
        <v>41306.0</v>
      </c>
      <c r="B1853" s="1" t="s">
        <v>343</v>
      </c>
      <c r="C1853" s="1" t="s">
        <v>887</v>
      </c>
      <c r="D1853" s="74">
        <v>600.0</v>
      </c>
      <c r="E1853" s="67">
        <v>21.71</v>
      </c>
      <c r="F1853" s="75">
        <v>0.6426273148148148</v>
      </c>
      <c r="G1853" s="67" t="s">
        <v>453</v>
      </c>
      <c r="H1853" s="68">
        <v>3.0</v>
      </c>
      <c r="I1853" s="76"/>
      <c r="J1853" s="67">
        <f t="shared" si="132"/>
        <v>-13029</v>
      </c>
      <c r="K1853" s="7"/>
      <c r="L1853" s="70"/>
      <c r="M1853" s="79"/>
      <c r="N1853" s="1"/>
      <c r="O1853" s="1"/>
      <c r="P1853" s="1"/>
      <c r="Q1853" s="1"/>
      <c r="R1853" s="1"/>
      <c r="S1853" s="1"/>
      <c r="T1853" s="1"/>
      <c r="U1853" s="1"/>
      <c r="V1853" s="1"/>
      <c r="W1853" s="1"/>
      <c r="X1853" s="1"/>
      <c r="Y1853" s="1"/>
      <c r="Z1853" s="1"/>
      <c r="AA1853" s="1"/>
      <c r="AB1853" s="1"/>
      <c r="AC1853" s="1"/>
      <c r="AD1853" s="1"/>
      <c r="AE1853" s="1"/>
      <c r="AF1853" s="1"/>
      <c r="AG1853" s="1"/>
      <c r="AH1853" s="1"/>
    </row>
    <row r="1854" ht="12.75" hidden="1" customHeight="1" outlineLevel="1">
      <c r="A1854" s="17">
        <v>41306.0</v>
      </c>
      <c r="B1854" s="1" t="s">
        <v>343</v>
      </c>
      <c r="C1854" s="1" t="s">
        <v>857</v>
      </c>
      <c r="D1854" s="74">
        <v>400.0</v>
      </c>
      <c r="E1854" s="67">
        <v>10.6</v>
      </c>
      <c r="F1854" s="75">
        <v>0.6433680555555555</v>
      </c>
      <c r="G1854" s="67" t="s">
        <v>453</v>
      </c>
      <c r="H1854" s="68">
        <v>2.0</v>
      </c>
      <c r="I1854" s="76"/>
      <c r="J1854" s="67">
        <f t="shared" si="132"/>
        <v>-4242</v>
      </c>
      <c r="K1854" s="7"/>
      <c r="L1854" s="70"/>
      <c r="M1854" s="79"/>
      <c r="N1854" s="1"/>
      <c r="O1854" s="1"/>
      <c r="P1854" s="1"/>
      <c r="Q1854" s="1"/>
      <c r="R1854" s="1"/>
      <c r="S1854" s="1"/>
      <c r="T1854" s="1"/>
      <c r="U1854" s="1"/>
      <c r="V1854" s="1"/>
      <c r="W1854" s="1"/>
      <c r="X1854" s="1"/>
      <c r="Y1854" s="1"/>
      <c r="Z1854" s="1"/>
      <c r="AA1854" s="1"/>
      <c r="AB1854" s="1"/>
      <c r="AC1854" s="1"/>
      <c r="AD1854" s="1"/>
      <c r="AE1854" s="1"/>
      <c r="AF1854" s="1"/>
      <c r="AG1854" s="1"/>
      <c r="AH1854" s="1"/>
    </row>
    <row r="1855" ht="12.75" hidden="1" customHeight="1" outlineLevel="1">
      <c r="A1855" s="17">
        <v>41306.0</v>
      </c>
      <c r="B1855" s="1" t="s">
        <v>343</v>
      </c>
      <c r="C1855" s="1" t="s">
        <v>354</v>
      </c>
      <c r="D1855" s="74">
        <v>100.0</v>
      </c>
      <c r="E1855" s="67">
        <v>89.91</v>
      </c>
      <c r="F1855" s="75">
        <v>0.6452430555555556</v>
      </c>
      <c r="G1855" s="67" t="s">
        <v>453</v>
      </c>
      <c r="H1855" s="68">
        <v>1.0</v>
      </c>
      <c r="I1855" s="76"/>
      <c r="J1855" s="67">
        <f t="shared" si="132"/>
        <v>-8992</v>
      </c>
      <c r="K1855" s="7"/>
      <c r="L1855" s="70"/>
      <c r="M1855" s="79"/>
      <c r="N1855" s="1"/>
      <c r="O1855" s="1"/>
      <c r="P1855" s="1"/>
      <c r="Q1855" s="1"/>
      <c r="R1855" s="1"/>
      <c r="S1855" s="1"/>
      <c r="T1855" s="1"/>
      <c r="U1855" s="1"/>
      <c r="V1855" s="1"/>
      <c r="W1855" s="1"/>
      <c r="X1855" s="1"/>
      <c r="Y1855" s="1"/>
      <c r="Z1855" s="1"/>
      <c r="AA1855" s="1"/>
      <c r="AB1855" s="1"/>
      <c r="AC1855" s="1"/>
      <c r="AD1855" s="1"/>
      <c r="AE1855" s="1"/>
      <c r="AF1855" s="1"/>
      <c r="AG1855" s="1"/>
      <c r="AH1855" s="1"/>
    </row>
    <row r="1856" ht="12.75" hidden="1" customHeight="1" outlineLevel="1">
      <c r="A1856" s="17">
        <v>41306.0</v>
      </c>
      <c r="B1856" s="1"/>
      <c r="C1856" s="1" t="s">
        <v>339</v>
      </c>
      <c r="D1856" s="74"/>
      <c r="E1856" s="67"/>
      <c r="F1856" s="75"/>
      <c r="G1856" s="67"/>
      <c r="H1856" s="68"/>
      <c r="I1856" s="76"/>
      <c r="J1856" s="67"/>
      <c r="K1856" s="7" t="s">
        <v>888</v>
      </c>
      <c r="L1856" s="77"/>
      <c r="M1856" s="79"/>
      <c r="N1856" s="1"/>
      <c r="O1856" s="1"/>
      <c r="P1856" s="1"/>
      <c r="Q1856" s="1"/>
      <c r="R1856" s="1"/>
      <c r="S1856" s="1"/>
      <c r="T1856" s="1"/>
      <c r="U1856" s="1"/>
      <c r="V1856" s="1"/>
      <c r="W1856" s="1"/>
      <c r="X1856" s="1"/>
      <c r="Y1856" s="1"/>
      <c r="Z1856" s="1"/>
      <c r="AA1856" s="1"/>
      <c r="AB1856" s="1"/>
      <c r="AC1856" s="1"/>
      <c r="AD1856" s="1"/>
      <c r="AE1856" s="1"/>
      <c r="AF1856" s="1"/>
      <c r="AG1856" s="1"/>
      <c r="AH1856" s="1"/>
    </row>
    <row r="1857" ht="12.75" hidden="1" customHeight="1" outlineLevel="1">
      <c r="A1857" s="17">
        <v>41306.0</v>
      </c>
      <c r="B1857" s="1"/>
      <c r="C1857" s="1" t="s">
        <v>429</v>
      </c>
      <c r="D1857" s="74"/>
      <c r="E1857" s="67"/>
      <c r="F1857" s="75"/>
      <c r="G1857" s="67"/>
      <c r="H1857" s="68"/>
      <c r="I1857" s="76"/>
      <c r="J1857" s="67"/>
      <c r="K1857" s="7" t="s">
        <v>885</v>
      </c>
      <c r="L1857" s="77"/>
      <c r="M1857" s="79"/>
      <c r="N1857" s="1"/>
      <c r="O1857" s="1"/>
      <c r="P1857" s="1"/>
      <c r="Q1857" s="1"/>
      <c r="R1857" s="1"/>
      <c r="S1857" s="1"/>
      <c r="T1857" s="1"/>
      <c r="U1857" s="1"/>
      <c r="V1857" s="1"/>
      <c r="W1857" s="1"/>
      <c r="X1857" s="1"/>
      <c r="Y1857" s="1"/>
      <c r="Z1857" s="1"/>
      <c r="AA1857" s="1"/>
      <c r="AB1857" s="1"/>
      <c r="AC1857" s="1"/>
      <c r="AD1857" s="1"/>
      <c r="AE1857" s="1"/>
      <c r="AF1857" s="1"/>
      <c r="AG1857" s="1"/>
      <c r="AH1857" s="1"/>
    </row>
    <row r="1858" ht="12.75" hidden="1" customHeight="1" outlineLevel="1">
      <c r="A1858" s="17">
        <v>41306.0</v>
      </c>
      <c r="B1858" s="1"/>
      <c r="C1858" s="1" t="s">
        <v>431</v>
      </c>
      <c r="D1858" s="74"/>
      <c r="E1858" s="67"/>
      <c r="F1858" s="75"/>
      <c r="G1858" s="67"/>
      <c r="H1858" s="68"/>
      <c r="I1858" s="76"/>
      <c r="J1858" s="67"/>
      <c r="K1858" s="7" t="s">
        <v>817</v>
      </c>
      <c r="L1858" s="77"/>
      <c r="M1858" s="79"/>
      <c r="N1858" s="1"/>
      <c r="O1858" s="1"/>
      <c r="P1858" s="1"/>
      <c r="Q1858" s="1"/>
      <c r="R1858" s="1"/>
      <c r="S1858" s="1"/>
      <c r="T1858" s="1"/>
      <c r="U1858" s="1"/>
      <c r="V1858" s="1"/>
      <c r="W1858" s="1"/>
      <c r="X1858" s="1"/>
      <c r="Y1858" s="1"/>
      <c r="Z1858" s="1"/>
      <c r="AA1858" s="1"/>
      <c r="AB1858" s="1"/>
      <c r="AC1858" s="1"/>
      <c r="AD1858" s="1"/>
      <c r="AE1858" s="1"/>
      <c r="AF1858" s="1"/>
      <c r="AG1858" s="1"/>
      <c r="AH1858" s="1"/>
    </row>
    <row r="1859" ht="12.75" hidden="1" customHeight="1" outlineLevel="1">
      <c r="A1859" s="17">
        <v>41306.0</v>
      </c>
      <c r="B1859" s="1"/>
      <c r="C1859" s="1" t="s">
        <v>433</v>
      </c>
      <c r="D1859" s="74"/>
      <c r="E1859" s="67"/>
      <c r="F1859" s="75"/>
      <c r="G1859" s="67"/>
      <c r="H1859" s="68"/>
      <c r="I1859" s="76"/>
      <c r="J1859" s="67"/>
      <c r="K1859" s="7" t="s">
        <v>434</v>
      </c>
      <c r="L1859" s="77"/>
      <c r="M1859" s="79"/>
      <c r="N1859" s="1"/>
      <c r="O1859" s="1"/>
      <c r="P1859" s="1"/>
      <c r="Q1859" s="1"/>
      <c r="R1859" s="1"/>
      <c r="S1859" s="1"/>
      <c r="T1859" s="1"/>
      <c r="U1859" s="1"/>
      <c r="V1859" s="1"/>
      <c r="W1859" s="1"/>
      <c r="X1859" s="1"/>
      <c r="Y1859" s="1"/>
      <c r="Z1859" s="1"/>
      <c r="AA1859" s="1"/>
      <c r="AB1859" s="1"/>
      <c r="AC1859" s="1"/>
      <c r="AD1859" s="1"/>
      <c r="AE1859" s="1"/>
      <c r="AF1859" s="1"/>
      <c r="AG1859" s="1"/>
      <c r="AH1859" s="1"/>
    </row>
    <row r="1860" ht="12.75" hidden="1" customHeight="1" outlineLevel="1">
      <c r="A1860" s="17">
        <v>41306.0</v>
      </c>
      <c r="B1860" s="1"/>
      <c r="C1860" s="1" t="s">
        <v>435</v>
      </c>
      <c r="D1860" s="74"/>
      <c r="E1860" s="67"/>
      <c r="F1860" s="75"/>
      <c r="G1860" s="67"/>
      <c r="H1860" s="68"/>
      <c r="I1860" s="76"/>
      <c r="J1860" s="67"/>
      <c r="K1860" s="7" t="s">
        <v>818</v>
      </c>
      <c r="L1860" s="77"/>
      <c r="M1860" s="79"/>
      <c r="N1860" s="1"/>
      <c r="O1860" s="1"/>
      <c r="P1860" s="1"/>
      <c r="Q1860" s="1"/>
      <c r="R1860" s="1"/>
      <c r="S1860" s="1"/>
      <c r="T1860" s="1"/>
      <c r="U1860" s="1"/>
      <c r="V1860" s="1"/>
      <c r="W1860" s="1"/>
      <c r="X1860" s="1"/>
      <c r="Y1860" s="1"/>
      <c r="Z1860" s="1"/>
      <c r="AA1860" s="1"/>
      <c r="AB1860" s="1"/>
      <c r="AC1860" s="1"/>
      <c r="AD1860" s="1"/>
      <c r="AE1860" s="1"/>
      <c r="AF1860" s="1"/>
      <c r="AG1860" s="1"/>
      <c r="AH1860" s="1"/>
    </row>
    <row r="1861" ht="12.75" hidden="1" customHeight="1" outlineLevel="1">
      <c r="A1861" s="17">
        <v>41309.0</v>
      </c>
      <c r="B1861" s="1"/>
      <c r="C1861" s="1" t="s">
        <v>339</v>
      </c>
      <c r="D1861" s="74"/>
      <c r="E1861" s="67"/>
      <c r="F1861" s="75"/>
      <c r="G1861" s="67"/>
      <c r="H1861" s="68"/>
      <c r="I1861" s="76"/>
      <c r="J1861" s="67"/>
      <c r="K1861" s="7" t="s">
        <v>889</v>
      </c>
      <c r="L1861" s="77"/>
      <c r="M1861" s="79"/>
      <c r="N1861" s="1"/>
      <c r="O1861" s="1"/>
      <c r="P1861" s="1"/>
      <c r="Q1861" s="1"/>
      <c r="R1861" s="1"/>
      <c r="S1861" s="1"/>
      <c r="T1861" s="1"/>
      <c r="U1861" s="1"/>
      <c r="V1861" s="1"/>
      <c r="W1861" s="1"/>
      <c r="X1861" s="1"/>
      <c r="Y1861" s="1"/>
      <c r="Z1861" s="1"/>
      <c r="AA1861" s="1"/>
      <c r="AB1861" s="1"/>
      <c r="AC1861" s="1"/>
      <c r="AD1861" s="1"/>
      <c r="AE1861" s="1"/>
      <c r="AF1861" s="1"/>
      <c r="AG1861" s="1"/>
      <c r="AH1861" s="1"/>
    </row>
    <row r="1862" ht="12.75" hidden="1" customHeight="1" outlineLevel="1">
      <c r="A1862" s="17">
        <v>41309.0</v>
      </c>
      <c r="B1862" s="1"/>
      <c r="C1862" s="1" t="s">
        <v>429</v>
      </c>
      <c r="D1862" s="74"/>
      <c r="E1862" s="67"/>
      <c r="F1862" s="75"/>
      <c r="G1862" s="67"/>
      <c r="H1862" s="68"/>
      <c r="I1862" s="76"/>
      <c r="J1862" s="67"/>
      <c r="K1862" s="7" t="s">
        <v>885</v>
      </c>
      <c r="L1862" s="77"/>
      <c r="M1862" s="79"/>
      <c r="N1862" s="1"/>
      <c r="O1862" s="1"/>
      <c r="P1862" s="1"/>
      <c r="Q1862" s="1"/>
      <c r="R1862" s="1"/>
      <c r="S1862" s="1"/>
      <c r="T1862" s="1"/>
      <c r="U1862" s="1"/>
      <c r="V1862" s="1"/>
      <c r="W1862" s="1"/>
      <c r="X1862" s="1"/>
      <c r="Y1862" s="1"/>
      <c r="Z1862" s="1"/>
      <c r="AA1862" s="1"/>
      <c r="AB1862" s="1"/>
      <c r="AC1862" s="1"/>
      <c r="AD1862" s="1"/>
      <c r="AE1862" s="1"/>
      <c r="AF1862" s="1"/>
      <c r="AG1862" s="1"/>
      <c r="AH1862" s="1"/>
    </row>
    <row r="1863" ht="12.75" hidden="1" customHeight="1" outlineLevel="1">
      <c r="A1863" s="17">
        <v>41309.0</v>
      </c>
      <c r="B1863" s="1"/>
      <c r="C1863" s="1" t="s">
        <v>431</v>
      </c>
      <c r="D1863" s="74"/>
      <c r="E1863" s="67"/>
      <c r="F1863" s="75"/>
      <c r="G1863" s="67"/>
      <c r="H1863" s="68"/>
      <c r="I1863" s="76"/>
      <c r="J1863" s="67"/>
      <c r="K1863" s="7" t="s">
        <v>817</v>
      </c>
      <c r="L1863" s="77"/>
      <c r="M1863" s="79"/>
      <c r="N1863" s="1"/>
      <c r="O1863" s="1"/>
      <c r="P1863" s="1"/>
      <c r="Q1863" s="1"/>
      <c r="R1863" s="1"/>
      <c r="S1863" s="1"/>
      <c r="T1863" s="1"/>
      <c r="U1863" s="1"/>
      <c r="V1863" s="1"/>
      <c r="W1863" s="1"/>
      <c r="X1863" s="1"/>
      <c r="Y1863" s="1"/>
      <c r="Z1863" s="1"/>
      <c r="AA1863" s="1"/>
      <c r="AB1863" s="1"/>
      <c r="AC1863" s="1"/>
      <c r="AD1863" s="1"/>
      <c r="AE1863" s="1"/>
      <c r="AF1863" s="1"/>
      <c r="AG1863" s="1"/>
      <c r="AH1863" s="1"/>
    </row>
    <row r="1864" ht="12.75" hidden="1" customHeight="1" outlineLevel="1">
      <c r="A1864" s="17">
        <v>41309.0</v>
      </c>
      <c r="B1864" s="1"/>
      <c r="C1864" s="1" t="s">
        <v>433</v>
      </c>
      <c r="D1864" s="74"/>
      <c r="E1864" s="67"/>
      <c r="F1864" s="75"/>
      <c r="G1864" s="67"/>
      <c r="H1864" s="68"/>
      <c r="I1864" s="76"/>
      <c r="J1864" s="67"/>
      <c r="K1864" s="7" t="s">
        <v>434</v>
      </c>
      <c r="L1864" s="77"/>
      <c r="M1864" s="79"/>
      <c r="N1864" s="1"/>
      <c r="O1864" s="1"/>
      <c r="P1864" s="1"/>
      <c r="Q1864" s="1"/>
      <c r="R1864" s="1"/>
      <c r="S1864" s="1"/>
      <c r="T1864" s="1"/>
      <c r="U1864" s="1"/>
      <c r="V1864" s="1"/>
      <c r="W1864" s="1"/>
      <c r="X1864" s="1"/>
      <c r="Y1864" s="1"/>
      <c r="Z1864" s="1"/>
      <c r="AA1864" s="1"/>
      <c r="AB1864" s="1"/>
      <c r="AC1864" s="1"/>
      <c r="AD1864" s="1"/>
      <c r="AE1864" s="1"/>
      <c r="AF1864" s="1"/>
      <c r="AG1864" s="1"/>
      <c r="AH1864" s="1"/>
    </row>
    <row r="1865" ht="12.75" hidden="1" customHeight="1" outlineLevel="1">
      <c r="A1865" s="17">
        <v>41309.0</v>
      </c>
      <c r="B1865" s="1"/>
      <c r="C1865" s="1" t="s">
        <v>435</v>
      </c>
      <c r="D1865" s="74"/>
      <c r="E1865" s="67"/>
      <c r="F1865" s="75"/>
      <c r="G1865" s="67"/>
      <c r="H1865" s="68"/>
      <c r="I1865" s="76"/>
      <c r="J1865" s="67"/>
      <c r="K1865" s="7" t="s">
        <v>818</v>
      </c>
      <c r="L1865" s="77"/>
      <c r="M1865" s="79"/>
      <c r="N1865" s="1"/>
      <c r="O1865" s="1"/>
      <c r="P1865" s="1"/>
      <c r="Q1865" s="1"/>
      <c r="R1865" s="1"/>
      <c r="S1865" s="1"/>
      <c r="T1865" s="1"/>
      <c r="U1865" s="1"/>
      <c r="V1865" s="1"/>
      <c r="W1865" s="1"/>
      <c r="X1865" s="1"/>
      <c r="Y1865" s="1"/>
      <c r="Z1865" s="1"/>
      <c r="AA1865" s="1"/>
      <c r="AB1865" s="1"/>
      <c r="AC1865" s="1"/>
      <c r="AD1865" s="1"/>
      <c r="AE1865" s="1"/>
      <c r="AF1865" s="1"/>
      <c r="AG1865" s="1"/>
      <c r="AH1865" s="1"/>
    </row>
    <row r="1866" ht="12.75" hidden="1" customHeight="1" outlineLevel="1">
      <c r="A1866" s="17">
        <v>41310.0</v>
      </c>
      <c r="B1866" s="1" t="s">
        <v>347</v>
      </c>
      <c r="C1866" s="1" t="s">
        <v>784</v>
      </c>
      <c r="D1866" s="74">
        <v>500.0</v>
      </c>
      <c r="E1866" s="67">
        <v>20.16</v>
      </c>
      <c r="F1866" s="75">
        <v>0.42504629629629626</v>
      </c>
      <c r="G1866" s="67" t="s">
        <v>453</v>
      </c>
      <c r="H1866" s="68">
        <v>2.2</v>
      </c>
      <c r="I1866" s="76"/>
      <c r="J1866" s="67">
        <f t="shared" ref="J1866:J1868" si="133">IF(B1866="SLD",D1866*E1866,-D1866*E1866)-H1866</f>
        <v>10077.8</v>
      </c>
      <c r="K1866" s="7"/>
      <c r="L1866" s="70"/>
      <c r="M1866" s="79"/>
      <c r="N1866" s="1"/>
      <c r="O1866" s="1"/>
      <c r="P1866" s="1"/>
      <c r="Q1866" s="1"/>
      <c r="R1866" s="1"/>
      <c r="S1866" s="1"/>
      <c r="T1866" s="1"/>
      <c r="U1866" s="1"/>
      <c r="V1866" s="1"/>
      <c r="W1866" s="1"/>
      <c r="X1866" s="1"/>
      <c r="Y1866" s="1"/>
      <c r="Z1866" s="1"/>
      <c r="AA1866" s="1"/>
      <c r="AB1866" s="1"/>
      <c r="AC1866" s="1"/>
      <c r="AD1866" s="1"/>
      <c r="AE1866" s="1"/>
      <c r="AF1866" s="1"/>
      <c r="AG1866" s="1"/>
      <c r="AH1866" s="1"/>
    </row>
    <row r="1867" ht="12.75" hidden="1" customHeight="1" outlineLevel="1">
      <c r="A1867" s="17">
        <v>41310.0</v>
      </c>
      <c r="B1867" s="1" t="s">
        <v>343</v>
      </c>
      <c r="C1867" s="1" t="s">
        <v>890</v>
      </c>
      <c r="D1867" s="74">
        <v>1000.0</v>
      </c>
      <c r="E1867" s="67">
        <v>11.815</v>
      </c>
      <c r="F1867" s="75">
        <v>0.45826388888888886</v>
      </c>
      <c r="G1867" s="67" t="s">
        <v>453</v>
      </c>
      <c r="H1867" s="68">
        <v>4.0</v>
      </c>
      <c r="I1867" s="76"/>
      <c r="J1867" s="67">
        <f t="shared" si="133"/>
        <v>-11819</v>
      </c>
      <c r="K1867" s="7"/>
      <c r="L1867" s="70"/>
      <c r="M1867" s="79"/>
      <c r="N1867" s="1"/>
      <c r="O1867" s="1"/>
      <c r="P1867" s="1"/>
      <c r="Q1867" s="1"/>
      <c r="R1867" s="1"/>
      <c r="S1867" s="1"/>
      <c r="T1867" s="1"/>
      <c r="U1867" s="1"/>
      <c r="V1867" s="1"/>
      <c r="W1867" s="1"/>
      <c r="X1867" s="1"/>
      <c r="Y1867" s="1"/>
      <c r="Z1867" s="1"/>
      <c r="AA1867" s="1"/>
      <c r="AB1867" s="1"/>
      <c r="AC1867" s="1"/>
      <c r="AD1867" s="1"/>
      <c r="AE1867" s="1"/>
      <c r="AF1867" s="1"/>
      <c r="AG1867" s="1"/>
      <c r="AH1867" s="1"/>
    </row>
    <row r="1868" ht="12.75" hidden="1" customHeight="1" outlineLevel="1">
      <c r="A1868" s="17">
        <v>41310.0</v>
      </c>
      <c r="B1868" s="1" t="s">
        <v>343</v>
      </c>
      <c r="C1868" s="1" t="s">
        <v>346</v>
      </c>
      <c r="D1868" s="74">
        <v>20.0</v>
      </c>
      <c r="E1868" s="67">
        <v>451.31</v>
      </c>
      <c r="F1868" s="75">
        <v>0.49527777777777776</v>
      </c>
      <c r="G1868" s="67" t="s">
        <v>453</v>
      </c>
      <c r="H1868" s="68">
        <v>1.0</v>
      </c>
      <c r="I1868" s="76"/>
      <c r="J1868" s="67">
        <f t="shared" si="133"/>
        <v>-9027.2</v>
      </c>
      <c r="K1868" s="7"/>
      <c r="L1868" s="70"/>
      <c r="M1868" s="79"/>
      <c r="N1868" s="1"/>
      <c r="O1868" s="1"/>
      <c r="P1868" s="1"/>
      <c r="Q1868" s="1"/>
      <c r="R1868" s="1"/>
      <c r="S1868" s="1"/>
      <c r="T1868" s="1"/>
      <c r="U1868" s="1"/>
      <c r="V1868" s="1"/>
      <c r="W1868" s="1"/>
      <c r="X1868" s="1"/>
      <c r="Y1868" s="1"/>
      <c r="Z1868" s="1"/>
      <c r="AA1868" s="1"/>
      <c r="AB1868" s="1"/>
      <c r="AC1868" s="1"/>
      <c r="AD1868" s="1"/>
      <c r="AE1868" s="1"/>
      <c r="AF1868" s="1"/>
      <c r="AG1868" s="1"/>
      <c r="AH1868" s="1"/>
    </row>
    <row r="1869" ht="12.75" hidden="1" customHeight="1" outlineLevel="1">
      <c r="A1869" s="17">
        <v>41310.0</v>
      </c>
      <c r="B1869" s="1"/>
      <c r="C1869" s="1" t="s">
        <v>339</v>
      </c>
      <c r="D1869" s="74"/>
      <c r="E1869" s="67"/>
      <c r="F1869" s="75"/>
      <c r="G1869" s="67"/>
      <c r="H1869" s="68"/>
      <c r="I1869" s="76"/>
      <c r="J1869" s="67"/>
      <c r="K1869" s="7" t="s">
        <v>891</v>
      </c>
      <c r="L1869" s="77"/>
      <c r="M1869" s="79"/>
      <c r="N1869" s="1"/>
      <c r="O1869" s="1"/>
      <c r="P1869" s="1"/>
      <c r="Q1869" s="1"/>
      <c r="R1869" s="1"/>
      <c r="S1869" s="1"/>
      <c r="T1869" s="1"/>
      <c r="U1869" s="1"/>
      <c r="V1869" s="1"/>
      <c r="W1869" s="1"/>
      <c r="X1869" s="1"/>
      <c r="Y1869" s="1"/>
      <c r="Z1869" s="1"/>
      <c r="AA1869" s="1"/>
      <c r="AB1869" s="1"/>
      <c r="AC1869" s="1"/>
      <c r="AD1869" s="1"/>
      <c r="AE1869" s="1"/>
      <c r="AF1869" s="1"/>
      <c r="AG1869" s="1"/>
      <c r="AH1869" s="1"/>
    </row>
    <row r="1870" ht="12.75" hidden="1" customHeight="1" outlineLevel="1">
      <c r="A1870" s="17">
        <v>41310.0</v>
      </c>
      <c r="B1870" s="1"/>
      <c r="C1870" s="1" t="s">
        <v>429</v>
      </c>
      <c r="D1870" s="74"/>
      <c r="E1870" s="67"/>
      <c r="F1870" s="75"/>
      <c r="G1870" s="67"/>
      <c r="H1870" s="68"/>
      <c r="I1870" s="76"/>
      <c r="J1870" s="67"/>
      <c r="K1870" s="7" t="s">
        <v>679</v>
      </c>
      <c r="L1870" s="77"/>
      <c r="M1870" s="79"/>
      <c r="N1870" s="1"/>
      <c r="O1870" s="1"/>
      <c r="P1870" s="1"/>
      <c r="Q1870" s="1"/>
      <c r="R1870" s="1"/>
      <c r="S1870" s="1"/>
      <c r="T1870" s="1"/>
      <c r="U1870" s="1"/>
      <c r="V1870" s="1"/>
      <c r="W1870" s="1"/>
      <c r="X1870" s="1"/>
      <c r="Y1870" s="1"/>
      <c r="Z1870" s="1"/>
      <c r="AA1870" s="1"/>
      <c r="AB1870" s="1"/>
      <c r="AC1870" s="1"/>
      <c r="AD1870" s="1"/>
      <c r="AE1870" s="1"/>
      <c r="AF1870" s="1"/>
      <c r="AG1870" s="1"/>
      <c r="AH1870" s="1"/>
    </row>
    <row r="1871" ht="12.75" hidden="1" customHeight="1" outlineLevel="1">
      <c r="A1871" s="17">
        <v>41310.0</v>
      </c>
      <c r="B1871" s="1"/>
      <c r="C1871" s="1" t="s">
        <v>431</v>
      </c>
      <c r="D1871" s="74"/>
      <c r="E1871" s="67"/>
      <c r="F1871" s="75"/>
      <c r="G1871" s="67"/>
      <c r="H1871" s="68"/>
      <c r="I1871" s="76"/>
      <c r="J1871" s="67"/>
      <c r="K1871" s="7" t="s">
        <v>817</v>
      </c>
      <c r="L1871" s="77"/>
      <c r="M1871" s="79"/>
      <c r="N1871" s="1"/>
      <c r="O1871" s="1"/>
      <c r="P1871" s="1"/>
      <c r="Q1871" s="1"/>
      <c r="R1871" s="1"/>
      <c r="S1871" s="1"/>
      <c r="T1871" s="1"/>
      <c r="U1871" s="1"/>
      <c r="V1871" s="1"/>
      <c r="W1871" s="1"/>
      <c r="X1871" s="1"/>
      <c r="Y1871" s="1"/>
      <c r="Z1871" s="1"/>
      <c r="AA1871" s="1"/>
      <c r="AB1871" s="1"/>
      <c r="AC1871" s="1"/>
      <c r="AD1871" s="1"/>
      <c r="AE1871" s="1"/>
      <c r="AF1871" s="1"/>
      <c r="AG1871" s="1"/>
      <c r="AH1871" s="1"/>
    </row>
    <row r="1872" ht="12.75" hidden="1" customHeight="1" outlineLevel="1">
      <c r="A1872" s="17">
        <v>41310.0</v>
      </c>
      <c r="B1872" s="1"/>
      <c r="C1872" s="1" t="s">
        <v>433</v>
      </c>
      <c r="D1872" s="74"/>
      <c r="E1872" s="67"/>
      <c r="F1872" s="75"/>
      <c r="G1872" s="67"/>
      <c r="H1872" s="68"/>
      <c r="I1872" s="76"/>
      <c r="J1872" s="67"/>
      <c r="K1872" s="7" t="s">
        <v>434</v>
      </c>
      <c r="L1872" s="77"/>
      <c r="M1872" s="79"/>
      <c r="N1872" s="1"/>
      <c r="O1872" s="1"/>
      <c r="P1872" s="1"/>
      <c r="Q1872" s="1"/>
      <c r="R1872" s="1"/>
      <c r="S1872" s="1"/>
      <c r="T1872" s="1"/>
      <c r="U1872" s="1"/>
      <c r="V1872" s="1"/>
      <c r="W1872" s="1"/>
      <c r="X1872" s="1"/>
      <c r="Y1872" s="1"/>
      <c r="Z1872" s="1"/>
      <c r="AA1872" s="1"/>
      <c r="AB1872" s="1"/>
      <c r="AC1872" s="1"/>
      <c r="AD1872" s="1"/>
      <c r="AE1872" s="1"/>
      <c r="AF1872" s="1"/>
      <c r="AG1872" s="1"/>
      <c r="AH1872" s="1"/>
    </row>
    <row r="1873" ht="12.75" hidden="1" customHeight="1" outlineLevel="1">
      <c r="A1873" s="17">
        <v>41310.0</v>
      </c>
      <c r="B1873" s="1"/>
      <c r="C1873" s="1" t="s">
        <v>435</v>
      </c>
      <c r="D1873" s="74"/>
      <c r="E1873" s="67"/>
      <c r="F1873" s="75"/>
      <c r="G1873" s="67"/>
      <c r="H1873" s="68"/>
      <c r="I1873" s="76"/>
      <c r="J1873" s="67"/>
      <c r="K1873" s="7" t="s">
        <v>818</v>
      </c>
      <c r="L1873" s="77"/>
      <c r="M1873" s="79"/>
      <c r="N1873" s="1"/>
      <c r="O1873" s="1"/>
      <c r="P1873" s="1"/>
      <c r="Q1873" s="1"/>
      <c r="R1873" s="1"/>
      <c r="S1873" s="1"/>
      <c r="T1873" s="1"/>
      <c r="U1873" s="1"/>
      <c r="V1873" s="1"/>
      <c r="W1873" s="1"/>
      <c r="X1873" s="1"/>
      <c r="Y1873" s="1"/>
      <c r="Z1873" s="1"/>
      <c r="AA1873" s="1"/>
      <c r="AB1873" s="1"/>
      <c r="AC1873" s="1"/>
      <c r="AD1873" s="1"/>
      <c r="AE1873" s="1"/>
      <c r="AF1873" s="1"/>
      <c r="AG1873" s="1"/>
      <c r="AH1873" s="1"/>
    </row>
    <row r="1874" ht="12.75" hidden="1" customHeight="1" outlineLevel="1">
      <c r="A1874" s="17">
        <v>41311.0</v>
      </c>
      <c r="B1874" s="1" t="s">
        <v>347</v>
      </c>
      <c r="C1874" s="1" t="s">
        <v>346</v>
      </c>
      <c r="D1874" s="74">
        <v>20.0</v>
      </c>
      <c r="E1874" s="67">
        <v>453.72</v>
      </c>
      <c r="F1874" s="75">
        <v>41311.44107638889</v>
      </c>
      <c r="G1874" s="67" t="s">
        <v>453</v>
      </c>
      <c r="H1874" s="68">
        <v>1.0</v>
      </c>
      <c r="I1874" s="76"/>
      <c r="J1874" s="67">
        <f t="shared" ref="J1874:J1876" si="134">IF(B1874="SLD",D1874*E1874,-D1874*E1874)-H1874</f>
        <v>9073.4</v>
      </c>
      <c r="K1874" s="7"/>
      <c r="L1874" s="70"/>
      <c r="M1874" s="79"/>
      <c r="N1874" s="1"/>
      <c r="O1874" s="1"/>
      <c r="P1874" s="1"/>
      <c r="Q1874" s="1"/>
      <c r="R1874" s="1"/>
      <c r="S1874" s="1"/>
      <c r="T1874" s="1"/>
      <c r="U1874" s="1"/>
      <c r="V1874" s="1"/>
      <c r="W1874" s="1"/>
      <c r="X1874" s="1"/>
      <c r="Y1874" s="1"/>
      <c r="Z1874" s="1"/>
      <c r="AA1874" s="1"/>
      <c r="AB1874" s="1"/>
      <c r="AC1874" s="1"/>
      <c r="AD1874" s="1"/>
      <c r="AE1874" s="1"/>
      <c r="AF1874" s="1"/>
      <c r="AG1874" s="1"/>
      <c r="AH1874" s="1"/>
    </row>
    <row r="1875" ht="12.75" hidden="1" customHeight="1" outlineLevel="1">
      <c r="A1875" s="17">
        <v>41311.0</v>
      </c>
      <c r="B1875" s="1" t="s">
        <v>343</v>
      </c>
      <c r="C1875" s="1" t="s">
        <v>346</v>
      </c>
      <c r="D1875" s="74">
        <v>20.0</v>
      </c>
      <c r="E1875" s="67">
        <v>459.39</v>
      </c>
      <c r="F1875" s="75">
        <v>41311.62679398148</v>
      </c>
      <c r="G1875" s="67" t="s">
        <v>453</v>
      </c>
      <c r="H1875" s="68">
        <v>1.0</v>
      </c>
      <c r="I1875" s="76"/>
      <c r="J1875" s="67">
        <f t="shared" si="134"/>
        <v>-9188.8</v>
      </c>
      <c r="K1875" s="7"/>
      <c r="L1875" s="70"/>
      <c r="M1875" s="79"/>
      <c r="N1875" s="1"/>
      <c r="O1875" s="1"/>
      <c r="P1875" s="1"/>
      <c r="Q1875" s="1"/>
      <c r="R1875" s="1"/>
      <c r="S1875" s="1"/>
      <c r="T1875" s="1"/>
      <c r="U1875" s="1"/>
      <c r="V1875" s="1"/>
      <c r="W1875" s="1"/>
      <c r="X1875" s="1"/>
      <c r="Y1875" s="1"/>
      <c r="Z1875" s="1"/>
      <c r="AA1875" s="1"/>
      <c r="AB1875" s="1"/>
      <c r="AC1875" s="1"/>
      <c r="AD1875" s="1"/>
      <c r="AE1875" s="1"/>
      <c r="AF1875" s="1"/>
      <c r="AG1875" s="1"/>
      <c r="AH1875" s="1"/>
    </row>
    <row r="1876" ht="12.75" hidden="1" customHeight="1" outlineLevel="1">
      <c r="A1876" s="17">
        <v>41311.0</v>
      </c>
      <c r="B1876" s="1" t="s">
        <v>343</v>
      </c>
      <c r="C1876" s="1" t="s">
        <v>784</v>
      </c>
      <c r="D1876" s="74">
        <v>500.0</v>
      </c>
      <c r="E1876" s="67">
        <v>20.24</v>
      </c>
      <c r="F1876" s="75">
        <v>41311.627118055556</v>
      </c>
      <c r="G1876" s="67" t="s">
        <v>453</v>
      </c>
      <c r="H1876" s="68">
        <v>2.5</v>
      </c>
      <c r="I1876" s="76"/>
      <c r="J1876" s="67">
        <f t="shared" si="134"/>
        <v>-10122.5</v>
      </c>
      <c r="K1876" s="7"/>
      <c r="L1876" s="70"/>
      <c r="M1876" s="79"/>
      <c r="N1876" s="1"/>
      <c r="O1876" s="1"/>
      <c r="P1876" s="1"/>
      <c r="Q1876" s="1"/>
      <c r="R1876" s="1"/>
      <c r="S1876" s="1"/>
      <c r="T1876" s="1"/>
      <c r="U1876" s="1"/>
      <c r="V1876" s="1"/>
      <c r="W1876" s="1"/>
      <c r="X1876" s="1"/>
      <c r="Y1876" s="1"/>
      <c r="Z1876" s="1"/>
      <c r="AA1876" s="1"/>
      <c r="AB1876" s="1"/>
      <c r="AC1876" s="1"/>
      <c r="AD1876" s="1"/>
      <c r="AE1876" s="1"/>
      <c r="AF1876" s="1"/>
      <c r="AG1876" s="1"/>
      <c r="AH1876" s="1"/>
    </row>
    <row r="1877" ht="12.75" hidden="1" customHeight="1" outlineLevel="1">
      <c r="A1877" s="17">
        <v>41311.0</v>
      </c>
      <c r="B1877" s="1"/>
      <c r="C1877" s="1" t="s">
        <v>339</v>
      </c>
      <c r="D1877" s="74"/>
      <c r="E1877" s="67"/>
      <c r="F1877" s="75"/>
      <c r="G1877" s="67"/>
      <c r="H1877" s="68"/>
      <c r="I1877" s="76"/>
      <c r="J1877" s="67"/>
      <c r="K1877" s="7" t="s">
        <v>892</v>
      </c>
      <c r="L1877" s="77"/>
      <c r="M1877" s="79"/>
      <c r="N1877" s="1"/>
      <c r="O1877" s="1"/>
      <c r="P1877" s="1"/>
      <c r="Q1877" s="1"/>
      <c r="R1877" s="1"/>
      <c r="S1877" s="1"/>
      <c r="T1877" s="1"/>
      <c r="U1877" s="1"/>
      <c r="V1877" s="1"/>
      <c r="W1877" s="1"/>
      <c r="X1877" s="1"/>
      <c r="Y1877" s="1"/>
      <c r="Z1877" s="1"/>
      <c r="AA1877" s="1"/>
      <c r="AB1877" s="1"/>
      <c r="AC1877" s="1"/>
      <c r="AD1877" s="1"/>
      <c r="AE1877" s="1"/>
      <c r="AF1877" s="1"/>
      <c r="AG1877" s="1"/>
      <c r="AH1877" s="1"/>
    </row>
    <row r="1878" ht="12.75" hidden="1" customHeight="1" outlineLevel="1">
      <c r="A1878" s="17">
        <v>41311.0</v>
      </c>
      <c r="B1878" s="1"/>
      <c r="C1878" s="1" t="s">
        <v>429</v>
      </c>
      <c r="D1878" s="74"/>
      <c r="E1878" s="67"/>
      <c r="F1878" s="75"/>
      <c r="G1878" s="67"/>
      <c r="H1878" s="68"/>
      <c r="I1878" s="76"/>
      <c r="J1878" s="67"/>
      <c r="K1878" s="7" t="s">
        <v>679</v>
      </c>
      <c r="L1878" s="77"/>
      <c r="M1878" s="79"/>
      <c r="N1878" s="1"/>
      <c r="O1878" s="1"/>
      <c r="P1878" s="1"/>
      <c r="Q1878" s="1"/>
      <c r="R1878" s="1"/>
      <c r="S1878" s="1"/>
      <c r="T1878" s="1"/>
      <c r="U1878" s="1"/>
      <c r="V1878" s="1"/>
      <c r="W1878" s="1"/>
      <c r="X1878" s="1"/>
      <c r="Y1878" s="1"/>
      <c r="Z1878" s="1"/>
      <c r="AA1878" s="1"/>
      <c r="AB1878" s="1"/>
      <c r="AC1878" s="1"/>
      <c r="AD1878" s="1"/>
      <c r="AE1878" s="1"/>
      <c r="AF1878" s="1"/>
      <c r="AG1878" s="1"/>
      <c r="AH1878" s="1"/>
    </row>
    <row r="1879" ht="12.75" hidden="1" customHeight="1" outlineLevel="1">
      <c r="A1879" s="17">
        <v>41311.0</v>
      </c>
      <c r="B1879" s="1"/>
      <c r="C1879" s="1" t="s">
        <v>431</v>
      </c>
      <c r="D1879" s="74"/>
      <c r="E1879" s="67"/>
      <c r="F1879" s="75"/>
      <c r="G1879" s="67"/>
      <c r="H1879" s="68"/>
      <c r="I1879" s="76"/>
      <c r="J1879" s="67"/>
      <c r="K1879" s="7" t="s">
        <v>817</v>
      </c>
      <c r="L1879" s="77"/>
      <c r="M1879" s="79"/>
      <c r="N1879" s="1"/>
      <c r="O1879" s="1"/>
      <c r="P1879" s="1"/>
      <c r="Q1879" s="1"/>
      <c r="R1879" s="1"/>
      <c r="S1879" s="1"/>
      <c r="T1879" s="1"/>
      <c r="U1879" s="1"/>
      <c r="V1879" s="1"/>
      <c r="W1879" s="1"/>
      <c r="X1879" s="1"/>
      <c r="Y1879" s="1"/>
      <c r="Z1879" s="1"/>
      <c r="AA1879" s="1"/>
      <c r="AB1879" s="1"/>
      <c r="AC1879" s="1"/>
      <c r="AD1879" s="1"/>
      <c r="AE1879" s="1"/>
      <c r="AF1879" s="1"/>
      <c r="AG1879" s="1"/>
      <c r="AH1879" s="1"/>
    </row>
    <row r="1880" ht="12.75" hidden="1" customHeight="1" outlineLevel="1">
      <c r="A1880" s="17">
        <v>41311.0</v>
      </c>
      <c r="B1880" s="1"/>
      <c r="C1880" s="1" t="s">
        <v>433</v>
      </c>
      <c r="D1880" s="74"/>
      <c r="E1880" s="67"/>
      <c r="F1880" s="75"/>
      <c r="G1880" s="67"/>
      <c r="H1880" s="68"/>
      <c r="I1880" s="76"/>
      <c r="J1880" s="67"/>
      <c r="K1880" s="7" t="s">
        <v>434</v>
      </c>
      <c r="L1880" s="77"/>
      <c r="M1880" s="79"/>
      <c r="N1880" s="1"/>
      <c r="O1880" s="1"/>
      <c r="P1880" s="1"/>
      <c r="Q1880" s="1"/>
      <c r="R1880" s="1"/>
      <c r="S1880" s="1"/>
      <c r="T1880" s="1"/>
      <c r="U1880" s="1"/>
      <c r="V1880" s="1"/>
      <c r="W1880" s="1"/>
      <c r="X1880" s="1"/>
      <c r="Y1880" s="1"/>
      <c r="Z1880" s="1"/>
      <c r="AA1880" s="1"/>
      <c r="AB1880" s="1"/>
      <c r="AC1880" s="1"/>
      <c r="AD1880" s="1"/>
      <c r="AE1880" s="1"/>
      <c r="AF1880" s="1"/>
      <c r="AG1880" s="1"/>
      <c r="AH1880" s="1"/>
    </row>
    <row r="1881" ht="12.75" hidden="1" customHeight="1" outlineLevel="1">
      <c r="A1881" s="17">
        <v>41311.0</v>
      </c>
      <c r="B1881" s="1"/>
      <c r="C1881" s="1" t="s">
        <v>435</v>
      </c>
      <c r="D1881" s="74"/>
      <c r="E1881" s="67"/>
      <c r="F1881" s="75"/>
      <c r="G1881" s="67"/>
      <c r="H1881" s="68"/>
      <c r="I1881" s="76"/>
      <c r="J1881" s="67"/>
      <c r="K1881" s="7" t="s">
        <v>818</v>
      </c>
      <c r="L1881" s="77"/>
      <c r="M1881" s="79"/>
      <c r="N1881" s="1"/>
      <c r="O1881" s="1"/>
      <c r="P1881" s="1"/>
      <c r="Q1881" s="1"/>
      <c r="R1881" s="1"/>
      <c r="S1881" s="1"/>
      <c r="T1881" s="1"/>
      <c r="U1881" s="1"/>
      <c r="V1881" s="1"/>
      <c r="W1881" s="1"/>
      <c r="X1881" s="1"/>
      <c r="Y1881" s="1"/>
      <c r="Z1881" s="1"/>
      <c r="AA1881" s="1"/>
      <c r="AB1881" s="1"/>
      <c r="AC1881" s="1"/>
      <c r="AD1881" s="1"/>
      <c r="AE1881" s="1"/>
      <c r="AF1881" s="1"/>
      <c r="AG1881" s="1"/>
      <c r="AH1881" s="1"/>
    </row>
    <row r="1882" ht="12.75" hidden="1" customHeight="1" outlineLevel="1">
      <c r="A1882" s="17">
        <v>41312.0</v>
      </c>
      <c r="B1882" s="1" t="s">
        <v>347</v>
      </c>
      <c r="C1882" s="1" t="s">
        <v>784</v>
      </c>
      <c r="D1882" s="74">
        <v>600.0</v>
      </c>
      <c r="E1882" s="67">
        <v>19.81</v>
      </c>
      <c r="F1882" s="75">
        <v>0.5023495370370371</v>
      </c>
      <c r="G1882" s="67" t="s">
        <v>453</v>
      </c>
      <c r="H1882" s="68">
        <v>3.0</v>
      </c>
      <c r="I1882" s="76"/>
      <c r="J1882" s="67">
        <f>IF(B1882="SLD",D1882*E1882,-D1882*E1882)-H1882</f>
        <v>11883</v>
      </c>
      <c r="K1882" s="7"/>
      <c r="L1882" s="70"/>
      <c r="M1882" s="79"/>
      <c r="N1882" s="1"/>
      <c r="O1882" s="1"/>
      <c r="P1882" s="1"/>
      <c r="Q1882" s="1"/>
      <c r="R1882" s="1"/>
      <c r="S1882" s="1"/>
      <c r="T1882" s="1"/>
      <c r="U1882" s="1"/>
      <c r="V1882" s="1"/>
      <c r="W1882" s="1"/>
      <c r="X1882" s="1"/>
      <c r="Y1882" s="1"/>
      <c r="Z1882" s="1"/>
      <c r="AA1882" s="1"/>
      <c r="AB1882" s="1"/>
      <c r="AC1882" s="1"/>
      <c r="AD1882" s="1"/>
      <c r="AE1882" s="1"/>
      <c r="AF1882" s="1"/>
      <c r="AG1882" s="1"/>
      <c r="AH1882" s="1"/>
    </row>
    <row r="1883" ht="12.75" hidden="1" customHeight="1" outlineLevel="1">
      <c r="A1883" s="17">
        <v>41312.0</v>
      </c>
      <c r="B1883" s="1"/>
      <c r="C1883" s="1" t="s">
        <v>339</v>
      </c>
      <c r="D1883" s="74"/>
      <c r="E1883" s="67"/>
      <c r="F1883" s="75"/>
      <c r="G1883" s="67"/>
      <c r="H1883" s="68"/>
      <c r="I1883" s="76"/>
      <c r="J1883" s="67"/>
      <c r="K1883" s="7" t="s">
        <v>893</v>
      </c>
      <c r="L1883" s="77"/>
      <c r="M1883" s="79"/>
      <c r="N1883" s="1"/>
      <c r="O1883" s="1"/>
      <c r="P1883" s="1"/>
      <c r="Q1883" s="1"/>
      <c r="R1883" s="1"/>
      <c r="S1883" s="1"/>
      <c r="T1883" s="1"/>
      <c r="U1883" s="1"/>
      <c r="V1883" s="1"/>
      <c r="W1883" s="1"/>
      <c r="X1883" s="1"/>
      <c r="Y1883" s="1"/>
      <c r="Z1883" s="1"/>
      <c r="AA1883" s="1"/>
      <c r="AB1883" s="1"/>
      <c r="AC1883" s="1"/>
      <c r="AD1883" s="1"/>
      <c r="AE1883" s="1"/>
      <c r="AF1883" s="1"/>
      <c r="AG1883" s="1"/>
      <c r="AH1883" s="1"/>
    </row>
    <row r="1884" ht="12.75" hidden="1" customHeight="1" outlineLevel="1">
      <c r="A1884" s="17">
        <v>41312.0</v>
      </c>
      <c r="B1884" s="1"/>
      <c r="C1884" s="1" t="s">
        <v>429</v>
      </c>
      <c r="D1884" s="74"/>
      <c r="E1884" s="67"/>
      <c r="F1884" s="75"/>
      <c r="G1884" s="67"/>
      <c r="H1884" s="68"/>
      <c r="I1884" s="76"/>
      <c r="J1884" s="67"/>
      <c r="K1884" s="7" t="s">
        <v>679</v>
      </c>
      <c r="L1884" s="77"/>
      <c r="M1884" s="79"/>
      <c r="N1884" s="1"/>
      <c r="O1884" s="1"/>
      <c r="P1884" s="1"/>
      <c r="Q1884" s="1"/>
      <c r="R1884" s="1"/>
      <c r="S1884" s="1"/>
      <c r="T1884" s="1"/>
      <c r="U1884" s="1"/>
      <c r="V1884" s="1"/>
      <c r="W1884" s="1"/>
      <c r="X1884" s="1"/>
      <c r="Y1884" s="1"/>
      <c r="Z1884" s="1"/>
      <c r="AA1884" s="1"/>
      <c r="AB1884" s="1"/>
      <c r="AC1884" s="1"/>
      <c r="AD1884" s="1"/>
      <c r="AE1884" s="1"/>
      <c r="AF1884" s="1"/>
      <c r="AG1884" s="1"/>
      <c r="AH1884" s="1"/>
    </row>
    <row r="1885" ht="12.75" hidden="1" customHeight="1" outlineLevel="1">
      <c r="A1885" s="17">
        <v>41312.0</v>
      </c>
      <c r="B1885" s="1"/>
      <c r="C1885" s="1" t="s">
        <v>431</v>
      </c>
      <c r="D1885" s="74"/>
      <c r="E1885" s="67"/>
      <c r="F1885" s="75"/>
      <c r="G1885" s="67"/>
      <c r="H1885" s="68"/>
      <c r="I1885" s="76"/>
      <c r="J1885" s="67"/>
      <c r="K1885" s="7" t="s">
        <v>817</v>
      </c>
      <c r="L1885" s="77"/>
      <c r="M1885" s="79"/>
      <c r="N1885" s="1"/>
      <c r="O1885" s="1"/>
      <c r="P1885" s="1"/>
      <c r="Q1885" s="1"/>
      <c r="R1885" s="1"/>
      <c r="S1885" s="1"/>
      <c r="T1885" s="1"/>
      <c r="U1885" s="1"/>
      <c r="V1885" s="1"/>
      <c r="W1885" s="1"/>
      <c r="X1885" s="1"/>
      <c r="Y1885" s="1"/>
      <c r="Z1885" s="1"/>
      <c r="AA1885" s="1"/>
      <c r="AB1885" s="1"/>
      <c r="AC1885" s="1"/>
      <c r="AD1885" s="1"/>
      <c r="AE1885" s="1"/>
      <c r="AF1885" s="1"/>
      <c r="AG1885" s="1"/>
      <c r="AH1885" s="1"/>
    </row>
    <row r="1886" ht="12.75" hidden="1" customHeight="1" outlineLevel="1">
      <c r="A1886" s="17">
        <v>41312.0</v>
      </c>
      <c r="B1886" s="1"/>
      <c r="C1886" s="1" t="s">
        <v>433</v>
      </c>
      <c r="D1886" s="74"/>
      <c r="E1886" s="67"/>
      <c r="F1886" s="75"/>
      <c r="G1886" s="67"/>
      <c r="H1886" s="68"/>
      <c r="I1886" s="76"/>
      <c r="J1886" s="67"/>
      <c r="K1886" s="7" t="s">
        <v>434</v>
      </c>
      <c r="L1886" s="77"/>
      <c r="M1886" s="79"/>
      <c r="N1886" s="1"/>
      <c r="O1886" s="1"/>
      <c r="P1886" s="1"/>
      <c r="Q1886" s="1"/>
      <c r="R1886" s="1"/>
      <c r="S1886" s="1"/>
      <c r="T1886" s="1"/>
      <c r="U1886" s="1"/>
      <c r="V1886" s="1"/>
      <c r="W1886" s="1"/>
      <c r="X1886" s="1"/>
      <c r="Y1886" s="1"/>
      <c r="Z1886" s="1"/>
      <c r="AA1886" s="1"/>
      <c r="AB1886" s="1"/>
      <c r="AC1886" s="1"/>
      <c r="AD1886" s="1"/>
      <c r="AE1886" s="1"/>
      <c r="AF1886" s="1"/>
      <c r="AG1886" s="1"/>
      <c r="AH1886" s="1"/>
    </row>
    <row r="1887" ht="12.75" hidden="1" customHeight="1" outlineLevel="1">
      <c r="A1887" s="17">
        <v>41312.0</v>
      </c>
      <c r="B1887" s="1"/>
      <c r="C1887" s="1" t="s">
        <v>435</v>
      </c>
      <c r="D1887" s="74"/>
      <c r="E1887" s="67"/>
      <c r="F1887" s="75"/>
      <c r="G1887" s="67"/>
      <c r="H1887" s="68"/>
      <c r="I1887" s="76"/>
      <c r="J1887" s="67"/>
      <c r="K1887" s="7" t="s">
        <v>818</v>
      </c>
      <c r="L1887" s="77"/>
      <c r="M1887" s="79"/>
      <c r="N1887" s="1"/>
      <c r="O1887" s="1"/>
      <c r="P1887" s="1"/>
      <c r="Q1887" s="1"/>
      <c r="R1887" s="1"/>
      <c r="S1887" s="1"/>
      <c r="T1887" s="1"/>
      <c r="U1887" s="1"/>
      <c r="V1887" s="1"/>
      <c r="W1887" s="1"/>
      <c r="X1887" s="1"/>
      <c r="Y1887" s="1"/>
      <c r="Z1887" s="1"/>
      <c r="AA1887" s="1"/>
      <c r="AB1887" s="1"/>
      <c r="AC1887" s="1"/>
      <c r="AD1887" s="1"/>
      <c r="AE1887" s="1"/>
      <c r="AF1887" s="1"/>
      <c r="AG1887" s="1"/>
      <c r="AH1887" s="1"/>
    </row>
    <row r="1888" ht="12.75" hidden="1" customHeight="1" outlineLevel="1">
      <c r="A1888" s="17">
        <v>41313.0</v>
      </c>
      <c r="B1888" s="1" t="s">
        <v>347</v>
      </c>
      <c r="C1888" s="1" t="s">
        <v>354</v>
      </c>
      <c r="D1888" s="74">
        <v>100.0</v>
      </c>
      <c r="E1888" s="67">
        <v>86.07</v>
      </c>
      <c r="F1888" s="75">
        <v>0.6322337962962963</v>
      </c>
      <c r="G1888" s="67" t="s">
        <v>453</v>
      </c>
      <c r="H1888" s="68">
        <v>1.0</v>
      </c>
      <c r="I1888" s="76"/>
      <c r="J1888" s="67">
        <f t="shared" ref="J1888:J1891" si="135">IF(B1888="SLD",D1888*E1888,-D1888*E1888)-H1888</f>
        <v>8606</v>
      </c>
      <c r="K1888" s="7"/>
      <c r="L1888" s="70"/>
      <c r="M1888" s="79"/>
      <c r="N1888" s="1"/>
      <c r="O1888" s="1"/>
      <c r="P1888" s="1"/>
      <c r="Q1888" s="1"/>
      <c r="R1888" s="1"/>
      <c r="S1888" s="1"/>
      <c r="T1888" s="1"/>
      <c r="U1888" s="1"/>
      <c r="V1888" s="1"/>
      <c r="W1888" s="1"/>
      <c r="X1888" s="1"/>
      <c r="Y1888" s="1"/>
      <c r="Z1888" s="1"/>
      <c r="AA1888" s="1"/>
      <c r="AB1888" s="1"/>
      <c r="AC1888" s="1"/>
      <c r="AD1888" s="1"/>
      <c r="AE1888" s="1"/>
      <c r="AF1888" s="1"/>
      <c r="AG1888" s="1"/>
      <c r="AH1888" s="1"/>
    </row>
    <row r="1889" ht="12.75" hidden="1" customHeight="1" outlineLevel="1">
      <c r="A1889" s="17">
        <v>41313.0</v>
      </c>
      <c r="B1889" s="1" t="s">
        <v>347</v>
      </c>
      <c r="C1889" s="1" t="s">
        <v>354</v>
      </c>
      <c r="D1889" s="74">
        <v>100.0</v>
      </c>
      <c r="E1889" s="67">
        <v>86.02</v>
      </c>
      <c r="F1889" s="75">
        <v>0.6341087962962962</v>
      </c>
      <c r="G1889" s="67" t="s">
        <v>453</v>
      </c>
      <c r="H1889" s="68">
        <v>1.0</v>
      </c>
      <c r="I1889" s="76"/>
      <c r="J1889" s="67">
        <f t="shared" si="135"/>
        <v>8601</v>
      </c>
      <c r="K1889" s="7"/>
      <c r="L1889" s="70"/>
      <c r="M1889" s="79"/>
      <c r="N1889" s="1"/>
      <c r="O1889" s="1"/>
      <c r="P1889" s="1"/>
      <c r="Q1889" s="1"/>
      <c r="R1889" s="1"/>
      <c r="S1889" s="1"/>
      <c r="T1889" s="1"/>
      <c r="U1889" s="1"/>
      <c r="V1889" s="1"/>
      <c r="W1889" s="1"/>
      <c r="X1889" s="1"/>
      <c r="Y1889" s="1"/>
      <c r="Z1889" s="1"/>
      <c r="AA1889" s="1"/>
      <c r="AB1889" s="1"/>
      <c r="AC1889" s="1"/>
      <c r="AD1889" s="1"/>
      <c r="AE1889" s="1"/>
      <c r="AF1889" s="1"/>
      <c r="AG1889" s="1"/>
      <c r="AH1889" s="1"/>
    </row>
    <row r="1890" ht="12.75" hidden="1" customHeight="1" outlineLevel="1">
      <c r="A1890" s="17">
        <v>41313.0</v>
      </c>
      <c r="B1890" s="1" t="s">
        <v>347</v>
      </c>
      <c r="C1890" s="1" t="s">
        <v>354</v>
      </c>
      <c r="D1890" s="74">
        <v>100.0</v>
      </c>
      <c r="E1890" s="67">
        <v>85.91</v>
      </c>
      <c r="F1890" s="75">
        <v>0.6504861111111111</v>
      </c>
      <c r="G1890" s="67" t="s">
        <v>453</v>
      </c>
      <c r="H1890" s="68">
        <v>1.0</v>
      </c>
      <c r="I1890" s="76"/>
      <c r="J1890" s="67">
        <f t="shared" si="135"/>
        <v>8590</v>
      </c>
      <c r="K1890" s="7"/>
      <c r="L1890" s="70"/>
      <c r="M1890" s="79"/>
      <c r="N1890" s="1"/>
      <c r="O1890" s="1"/>
      <c r="P1890" s="1"/>
      <c r="Q1890" s="1"/>
      <c r="R1890" s="1"/>
      <c r="S1890" s="1"/>
      <c r="T1890" s="1"/>
      <c r="U1890" s="1"/>
      <c r="V1890" s="1"/>
      <c r="W1890" s="1"/>
      <c r="X1890" s="1"/>
      <c r="Y1890" s="1"/>
      <c r="Z1890" s="1"/>
      <c r="AA1890" s="1"/>
      <c r="AB1890" s="1"/>
      <c r="AC1890" s="1"/>
      <c r="AD1890" s="1"/>
      <c r="AE1890" s="1"/>
      <c r="AF1890" s="1"/>
      <c r="AG1890" s="1"/>
      <c r="AH1890" s="1"/>
    </row>
    <row r="1891" ht="12.75" hidden="1" customHeight="1" outlineLevel="1">
      <c r="A1891" s="17">
        <v>41313.0</v>
      </c>
      <c r="B1891" s="1" t="s">
        <v>347</v>
      </c>
      <c r="C1891" s="1" t="s">
        <v>354</v>
      </c>
      <c r="D1891" s="74">
        <v>100.0</v>
      </c>
      <c r="E1891" s="67">
        <v>85.91</v>
      </c>
      <c r="F1891" s="75">
        <v>0.6531828703703704</v>
      </c>
      <c r="G1891" s="67" t="s">
        <v>453</v>
      </c>
      <c r="H1891" s="68">
        <v>1.0</v>
      </c>
      <c r="I1891" s="76"/>
      <c r="J1891" s="67">
        <f t="shared" si="135"/>
        <v>8590</v>
      </c>
      <c r="K1891" s="7"/>
      <c r="L1891" s="70"/>
      <c r="M1891" s="79"/>
      <c r="N1891" s="1"/>
      <c r="O1891" s="1"/>
      <c r="P1891" s="1"/>
      <c r="Q1891" s="1"/>
      <c r="R1891" s="1"/>
      <c r="S1891" s="1"/>
      <c r="T1891" s="1"/>
      <c r="U1891" s="1"/>
      <c r="V1891" s="1"/>
      <c r="W1891" s="1"/>
      <c r="X1891" s="1"/>
      <c r="Y1891" s="1"/>
      <c r="Z1891" s="1"/>
      <c r="AA1891" s="1"/>
      <c r="AB1891" s="1"/>
      <c r="AC1891" s="1"/>
      <c r="AD1891" s="1"/>
      <c r="AE1891" s="1"/>
      <c r="AF1891" s="1"/>
      <c r="AG1891" s="1"/>
      <c r="AH1891" s="1"/>
    </row>
    <row r="1892" ht="12.75" hidden="1" customHeight="1" outlineLevel="1">
      <c r="A1892" s="17">
        <v>41313.0</v>
      </c>
      <c r="B1892" s="1"/>
      <c r="C1892" s="1" t="s">
        <v>339</v>
      </c>
      <c r="D1892" s="74"/>
      <c r="E1892" s="67"/>
      <c r="F1892" s="75"/>
      <c r="G1892" s="67"/>
      <c r="H1892" s="68"/>
      <c r="I1892" s="76"/>
      <c r="J1892" s="67"/>
      <c r="K1892" s="7" t="s">
        <v>895</v>
      </c>
      <c r="L1892" s="77"/>
      <c r="M1892" s="79"/>
      <c r="N1892" s="1"/>
      <c r="O1892" s="1"/>
      <c r="P1892" s="1"/>
      <c r="Q1892" s="1"/>
      <c r="R1892" s="1"/>
      <c r="S1892" s="1"/>
      <c r="T1892" s="1"/>
      <c r="U1892" s="1"/>
      <c r="V1892" s="1"/>
      <c r="W1892" s="1"/>
      <c r="X1892" s="1"/>
      <c r="Y1892" s="1"/>
      <c r="Z1892" s="1"/>
      <c r="AA1892" s="1"/>
      <c r="AB1892" s="1"/>
      <c r="AC1892" s="1"/>
      <c r="AD1892" s="1"/>
      <c r="AE1892" s="1"/>
      <c r="AF1892" s="1"/>
      <c r="AG1892" s="1"/>
      <c r="AH1892" s="1"/>
    </row>
    <row r="1893" ht="12.75" hidden="1" customHeight="1" outlineLevel="1">
      <c r="A1893" s="17">
        <v>41313.0</v>
      </c>
      <c r="B1893" s="1"/>
      <c r="C1893" s="1" t="s">
        <v>429</v>
      </c>
      <c r="D1893" s="74"/>
      <c r="E1893" s="67"/>
      <c r="F1893" s="75"/>
      <c r="G1893" s="67"/>
      <c r="H1893" s="68"/>
      <c r="I1893" s="76"/>
      <c r="J1893" s="67"/>
      <c r="K1893" s="7" t="s">
        <v>679</v>
      </c>
      <c r="L1893" s="77"/>
      <c r="M1893" s="79"/>
      <c r="N1893" s="1"/>
      <c r="O1893" s="1"/>
      <c r="P1893" s="1"/>
      <c r="Q1893" s="1"/>
      <c r="R1893" s="1"/>
      <c r="S1893" s="1"/>
      <c r="T1893" s="1"/>
      <c r="U1893" s="1"/>
      <c r="V1893" s="1"/>
      <c r="W1893" s="1"/>
      <c r="X1893" s="1"/>
      <c r="Y1893" s="1"/>
      <c r="Z1893" s="1"/>
      <c r="AA1893" s="1"/>
      <c r="AB1893" s="1"/>
      <c r="AC1893" s="1"/>
      <c r="AD1893" s="1"/>
      <c r="AE1893" s="1"/>
      <c r="AF1893" s="1"/>
      <c r="AG1893" s="1"/>
      <c r="AH1893" s="1"/>
    </row>
    <row r="1894" ht="12.75" hidden="1" customHeight="1" outlineLevel="1">
      <c r="A1894" s="17">
        <v>41313.0</v>
      </c>
      <c r="B1894" s="1"/>
      <c r="C1894" s="1" t="s">
        <v>431</v>
      </c>
      <c r="D1894" s="74"/>
      <c r="E1894" s="67"/>
      <c r="F1894" s="75"/>
      <c r="G1894" s="67"/>
      <c r="H1894" s="68"/>
      <c r="I1894" s="76"/>
      <c r="J1894" s="67"/>
      <c r="K1894" s="7" t="s">
        <v>817</v>
      </c>
      <c r="L1894" s="77"/>
      <c r="M1894" s="79"/>
      <c r="N1894" s="1"/>
      <c r="O1894" s="1"/>
      <c r="P1894" s="1"/>
      <c r="Q1894" s="1"/>
      <c r="R1894" s="1"/>
      <c r="S1894" s="1"/>
      <c r="T1894" s="1"/>
      <c r="U1894" s="1"/>
      <c r="V1894" s="1"/>
      <c r="W1894" s="1"/>
      <c r="X1894" s="1"/>
      <c r="Y1894" s="1"/>
      <c r="Z1894" s="1"/>
      <c r="AA1894" s="1"/>
      <c r="AB1894" s="1"/>
      <c r="AC1894" s="1"/>
      <c r="AD1894" s="1"/>
      <c r="AE1894" s="1"/>
      <c r="AF1894" s="1"/>
      <c r="AG1894" s="1"/>
      <c r="AH1894" s="1"/>
    </row>
    <row r="1895" ht="12.75" hidden="1" customHeight="1" outlineLevel="1">
      <c r="A1895" s="17">
        <v>41313.0</v>
      </c>
      <c r="B1895" s="1"/>
      <c r="C1895" s="1" t="s">
        <v>433</v>
      </c>
      <c r="D1895" s="74"/>
      <c r="E1895" s="67"/>
      <c r="F1895" s="75"/>
      <c r="G1895" s="67"/>
      <c r="H1895" s="68"/>
      <c r="I1895" s="76"/>
      <c r="J1895" s="67"/>
      <c r="K1895" s="7" t="s">
        <v>434</v>
      </c>
      <c r="L1895" s="77"/>
      <c r="M1895" s="79"/>
      <c r="N1895" s="1"/>
      <c r="O1895" s="1"/>
      <c r="P1895" s="1"/>
      <c r="Q1895" s="1"/>
      <c r="R1895" s="1"/>
      <c r="S1895" s="1"/>
      <c r="T1895" s="1"/>
      <c r="U1895" s="1"/>
      <c r="V1895" s="1"/>
      <c r="W1895" s="1"/>
      <c r="X1895" s="1"/>
      <c r="Y1895" s="1"/>
      <c r="Z1895" s="1"/>
      <c r="AA1895" s="1"/>
      <c r="AB1895" s="1"/>
      <c r="AC1895" s="1"/>
      <c r="AD1895" s="1"/>
      <c r="AE1895" s="1"/>
      <c r="AF1895" s="1"/>
      <c r="AG1895" s="1"/>
      <c r="AH1895" s="1"/>
    </row>
    <row r="1896" ht="12.75" hidden="1" customHeight="1" outlineLevel="1">
      <c r="A1896" s="17">
        <v>41313.0</v>
      </c>
      <c r="B1896" s="1"/>
      <c r="C1896" s="1" t="s">
        <v>435</v>
      </c>
      <c r="D1896" s="74"/>
      <c r="E1896" s="67"/>
      <c r="F1896" s="75"/>
      <c r="G1896" s="67"/>
      <c r="H1896" s="68"/>
      <c r="I1896" s="76"/>
      <c r="J1896" s="67"/>
      <c r="K1896" s="7" t="s">
        <v>818</v>
      </c>
      <c r="L1896" s="77"/>
      <c r="M1896" s="79"/>
      <c r="N1896" s="1"/>
      <c r="O1896" s="1"/>
      <c r="P1896" s="1"/>
      <c r="Q1896" s="1"/>
      <c r="R1896" s="1"/>
      <c r="S1896" s="1"/>
      <c r="T1896" s="1"/>
      <c r="U1896" s="1"/>
      <c r="V1896" s="1"/>
      <c r="W1896" s="1"/>
      <c r="X1896" s="1"/>
      <c r="Y1896" s="1"/>
      <c r="Z1896" s="1"/>
      <c r="AA1896" s="1"/>
      <c r="AB1896" s="1"/>
      <c r="AC1896" s="1"/>
      <c r="AD1896" s="1"/>
      <c r="AE1896" s="1"/>
      <c r="AF1896" s="1"/>
      <c r="AG1896" s="1"/>
      <c r="AH1896" s="1"/>
    </row>
    <row r="1897" ht="12.75" hidden="1" customHeight="1" outlineLevel="1">
      <c r="A1897" s="17">
        <v>41316.0</v>
      </c>
      <c r="B1897" s="1" t="s">
        <v>347</v>
      </c>
      <c r="C1897" s="1" t="s">
        <v>354</v>
      </c>
      <c r="D1897" s="74">
        <v>100.0</v>
      </c>
      <c r="E1897" s="67">
        <v>85.74</v>
      </c>
      <c r="F1897" s="75">
        <v>0.5090393518518518</v>
      </c>
      <c r="G1897" s="67" t="s">
        <v>453</v>
      </c>
      <c r="H1897" s="68">
        <v>1.0</v>
      </c>
      <c r="I1897" s="76"/>
      <c r="J1897" s="67">
        <f>IF(B1897="SLD",D1897*E1897,-D1897*E1897)-H1897</f>
        <v>8573</v>
      </c>
      <c r="K1897" s="7"/>
      <c r="L1897" s="70"/>
      <c r="M1897" s="79"/>
      <c r="N1897" s="1"/>
      <c r="O1897" s="1"/>
      <c r="P1897" s="1"/>
      <c r="Q1897" s="1"/>
      <c r="R1897" s="1"/>
      <c r="S1897" s="1"/>
      <c r="T1897" s="1"/>
      <c r="U1897" s="1"/>
      <c r="V1897" s="1"/>
      <c r="W1897" s="1"/>
      <c r="X1897" s="1"/>
      <c r="Y1897" s="1"/>
      <c r="Z1897" s="1"/>
      <c r="AA1897" s="1"/>
      <c r="AB1897" s="1"/>
      <c r="AC1897" s="1"/>
      <c r="AD1897" s="1"/>
      <c r="AE1897" s="1"/>
      <c r="AF1897" s="1"/>
      <c r="AG1897" s="1"/>
      <c r="AH1897" s="1"/>
    </row>
    <row r="1898" ht="12.75" hidden="1" customHeight="1" outlineLevel="1">
      <c r="A1898" s="17">
        <v>41316.0</v>
      </c>
      <c r="B1898" s="1"/>
      <c r="C1898" s="1" t="s">
        <v>339</v>
      </c>
      <c r="D1898" s="74"/>
      <c r="E1898" s="67"/>
      <c r="F1898" s="75"/>
      <c r="G1898" s="67"/>
      <c r="H1898" s="68"/>
      <c r="I1898" s="76"/>
      <c r="J1898" s="67"/>
      <c r="K1898" s="7" t="s">
        <v>896</v>
      </c>
      <c r="L1898" s="77"/>
      <c r="M1898" s="79"/>
      <c r="N1898" s="1"/>
      <c r="O1898" s="1"/>
      <c r="P1898" s="1"/>
      <c r="Q1898" s="1"/>
      <c r="R1898" s="1"/>
      <c r="S1898" s="1"/>
      <c r="T1898" s="1"/>
      <c r="U1898" s="1"/>
      <c r="V1898" s="1"/>
      <c r="W1898" s="1"/>
      <c r="X1898" s="1"/>
      <c r="Y1898" s="1"/>
      <c r="Z1898" s="1"/>
      <c r="AA1898" s="1"/>
      <c r="AB1898" s="1"/>
      <c r="AC1898" s="1"/>
      <c r="AD1898" s="1"/>
      <c r="AE1898" s="1"/>
      <c r="AF1898" s="1"/>
      <c r="AG1898" s="1"/>
      <c r="AH1898" s="1"/>
    </row>
    <row r="1899" ht="12.75" hidden="1" customHeight="1" outlineLevel="1">
      <c r="A1899" s="17">
        <v>41316.0</v>
      </c>
      <c r="B1899" s="1"/>
      <c r="C1899" s="1" t="s">
        <v>429</v>
      </c>
      <c r="D1899" s="74"/>
      <c r="E1899" s="67"/>
      <c r="F1899" s="75"/>
      <c r="G1899" s="67"/>
      <c r="H1899" s="68"/>
      <c r="I1899" s="76"/>
      <c r="J1899" s="67"/>
      <c r="K1899" s="7" t="s">
        <v>679</v>
      </c>
      <c r="L1899" s="77"/>
      <c r="M1899" s="79"/>
      <c r="N1899" s="1"/>
      <c r="O1899" s="1"/>
      <c r="P1899" s="1"/>
      <c r="Q1899" s="1"/>
      <c r="R1899" s="1"/>
      <c r="S1899" s="1"/>
      <c r="T1899" s="1"/>
      <c r="U1899" s="1"/>
      <c r="V1899" s="1"/>
      <c r="W1899" s="1"/>
      <c r="X1899" s="1"/>
      <c r="Y1899" s="1"/>
      <c r="Z1899" s="1"/>
      <c r="AA1899" s="1"/>
      <c r="AB1899" s="1"/>
      <c r="AC1899" s="1"/>
      <c r="AD1899" s="1"/>
      <c r="AE1899" s="1"/>
      <c r="AF1899" s="1"/>
      <c r="AG1899" s="1"/>
      <c r="AH1899" s="1"/>
    </row>
    <row r="1900" ht="12.75" hidden="1" customHeight="1" outlineLevel="1">
      <c r="A1900" s="17">
        <v>41316.0</v>
      </c>
      <c r="B1900" s="1"/>
      <c r="C1900" s="1" t="s">
        <v>431</v>
      </c>
      <c r="D1900" s="74"/>
      <c r="E1900" s="67"/>
      <c r="F1900" s="75"/>
      <c r="G1900" s="67"/>
      <c r="H1900" s="68"/>
      <c r="I1900" s="76"/>
      <c r="J1900" s="67"/>
      <c r="K1900" s="7" t="s">
        <v>817</v>
      </c>
      <c r="L1900" s="77"/>
      <c r="M1900" s="79"/>
      <c r="N1900" s="1"/>
      <c r="O1900" s="1"/>
      <c r="P1900" s="1"/>
      <c r="Q1900" s="1"/>
      <c r="R1900" s="1"/>
      <c r="S1900" s="1"/>
      <c r="T1900" s="1"/>
      <c r="U1900" s="1"/>
      <c r="V1900" s="1"/>
      <c r="W1900" s="1"/>
      <c r="X1900" s="1"/>
      <c r="Y1900" s="1"/>
      <c r="Z1900" s="1"/>
      <c r="AA1900" s="1"/>
      <c r="AB1900" s="1"/>
      <c r="AC1900" s="1"/>
      <c r="AD1900" s="1"/>
      <c r="AE1900" s="1"/>
      <c r="AF1900" s="1"/>
      <c r="AG1900" s="1"/>
      <c r="AH1900" s="1"/>
    </row>
    <row r="1901" ht="12.75" hidden="1" customHeight="1" outlineLevel="1">
      <c r="A1901" s="17">
        <v>41316.0</v>
      </c>
      <c r="B1901" s="1"/>
      <c r="C1901" s="1" t="s">
        <v>433</v>
      </c>
      <c r="D1901" s="74"/>
      <c r="E1901" s="67"/>
      <c r="F1901" s="75"/>
      <c r="G1901" s="67"/>
      <c r="H1901" s="68"/>
      <c r="I1901" s="76"/>
      <c r="J1901" s="67"/>
      <c r="K1901" s="7" t="s">
        <v>434</v>
      </c>
      <c r="L1901" s="77"/>
      <c r="M1901" s="79"/>
      <c r="N1901" s="1"/>
      <c r="O1901" s="1"/>
      <c r="P1901" s="1"/>
      <c r="Q1901" s="1"/>
      <c r="R1901" s="1"/>
      <c r="S1901" s="1"/>
      <c r="T1901" s="1"/>
      <c r="U1901" s="1"/>
      <c r="V1901" s="1"/>
      <c r="W1901" s="1"/>
      <c r="X1901" s="1"/>
      <c r="Y1901" s="1"/>
      <c r="Z1901" s="1"/>
      <c r="AA1901" s="1"/>
      <c r="AB1901" s="1"/>
      <c r="AC1901" s="1"/>
      <c r="AD1901" s="1"/>
      <c r="AE1901" s="1"/>
      <c r="AF1901" s="1"/>
      <c r="AG1901" s="1"/>
      <c r="AH1901" s="1"/>
    </row>
    <row r="1902" ht="12.75" hidden="1" customHeight="1" outlineLevel="1">
      <c r="A1902" s="17">
        <v>41316.0</v>
      </c>
      <c r="B1902" s="1"/>
      <c r="C1902" s="1" t="s">
        <v>435</v>
      </c>
      <c r="D1902" s="74"/>
      <c r="E1902" s="67"/>
      <c r="F1902" s="75"/>
      <c r="G1902" s="67"/>
      <c r="H1902" s="68"/>
      <c r="I1902" s="76"/>
      <c r="J1902" s="67"/>
      <c r="K1902" s="7" t="s">
        <v>818</v>
      </c>
      <c r="L1902" s="77"/>
      <c r="M1902" s="79"/>
      <c r="N1902" s="1"/>
      <c r="O1902" s="1"/>
      <c r="P1902" s="1"/>
      <c r="Q1902" s="1"/>
      <c r="R1902" s="1"/>
      <c r="S1902" s="1"/>
      <c r="T1902" s="1"/>
      <c r="U1902" s="1"/>
      <c r="V1902" s="1"/>
      <c r="W1902" s="1"/>
      <c r="X1902" s="1"/>
      <c r="Y1902" s="1"/>
      <c r="Z1902" s="1"/>
      <c r="AA1902" s="1"/>
      <c r="AB1902" s="1"/>
      <c r="AC1902" s="1"/>
      <c r="AD1902" s="1"/>
      <c r="AE1902" s="1"/>
      <c r="AF1902" s="1"/>
      <c r="AG1902" s="1"/>
      <c r="AH1902" s="1"/>
    </row>
    <row r="1903" ht="12.75" hidden="1" customHeight="1" outlineLevel="1">
      <c r="A1903" s="17">
        <v>41317.0</v>
      </c>
      <c r="B1903" s="1" t="s">
        <v>343</v>
      </c>
      <c r="C1903" s="1" t="s">
        <v>881</v>
      </c>
      <c r="D1903" s="74">
        <v>200.0</v>
      </c>
      <c r="E1903" s="67">
        <v>29.69</v>
      </c>
      <c r="F1903" s="75">
        <v>0.4469444444444444</v>
      </c>
      <c r="G1903" s="67" t="s">
        <v>453</v>
      </c>
      <c r="H1903" s="68">
        <v>1.0</v>
      </c>
      <c r="I1903" s="76"/>
      <c r="J1903" s="67">
        <f>IF(B1903="SLD",D1903*E1903,-D1903*E1903)-H1903</f>
        <v>-5939</v>
      </c>
      <c r="K1903" s="7"/>
      <c r="L1903" s="70"/>
      <c r="M1903" s="79"/>
      <c r="N1903" s="1"/>
      <c r="O1903" s="1"/>
      <c r="P1903" s="1"/>
      <c r="Q1903" s="1"/>
      <c r="R1903" s="1"/>
      <c r="S1903" s="1"/>
      <c r="T1903" s="1"/>
      <c r="U1903" s="1"/>
      <c r="V1903" s="1"/>
      <c r="W1903" s="1"/>
      <c r="X1903" s="1"/>
      <c r="Y1903" s="1"/>
      <c r="Z1903" s="1"/>
      <c r="AA1903" s="1"/>
      <c r="AB1903" s="1"/>
      <c r="AC1903" s="1"/>
      <c r="AD1903" s="1"/>
      <c r="AE1903" s="1"/>
      <c r="AF1903" s="1"/>
      <c r="AG1903" s="1"/>
      <c r="AH1903" s="1"/>
    </row>
    <row r="1904" ht="12.75" hidden="1" customHeight="1" outlineLevel="1">
      <c r="A1904" s="17">
        <v>41317.0</v>
      </c>
      <c r="B1904" s="1"/>
      <c r="C1904" s="1" t="s">
        <v>339</v>
      </c>
      <c r="D1904" s="74"/>
      <c r="E1904" s="67"/>
      <c r="F1904" s="75"/>
      <c r="G1904" s="67"/>
      <c r="H1904" s="68"/>
      <c r="I1904" s="76"/>
      <c r="J1904" s="67"/>
      <c r="K1904" s="7" t="s">
        <v>897</v>
      </c>
      <c r="L1904" s="77"/>
      <c r="M1904" s="79"/>
      <c r="N1904" s="1"/>
      <c r="O1904" s="1"/>
      <c r="P1904" s="1"/>
      <c r="Q1904" s="1"/>
      <c r="R1904" s="1"/>
      <c r="S1904" s="1"/>
      <c r="T1904" s="1"/>
      <c r="U1904" s="1"/>
      <c r="V1904" s="1"/>
      <c r="W1904" s="1"/>
      <c r="X1904" s="1"/>
      <c r="Y1904" s="1"/>
      <c r="Z1904" s="1"/>
      <c r="AA1904" s="1"/>
      <c r="AB1904" s="1"/>
      <c r="AC1904" s="1"/>
      <c r="AD1904" s="1"/>
      <c r="AE1904" s="1"/>
      <c r="AF1904" s="1"/>
      <c r="AG1904" s="1"/>
      <c r="AH1904" s="1"/>
    </row>
    <row r="1905" ht="12.75" hidden="1" customHeight="1" outlineLevel="1">
      <c r="A1905" s="17">
        <v>41317.0</v>
      </c>
      <c r="B1905" s="1"/>
      <c r="C1905" s="1" t="s">
        <v>429</v>
      </c>
      <c r="D1905" s="74"/>
      <c r="E1905" s="67"/>
      <c r="F1905" s="75"/>
      <c r="G1905" s="67"/>
      <c r="H1905" s="68"/>
      <c r="I1905" s="76"/>
      <c r="J1905" s="67"/>
      <c r="K1905" s="7" t="s">
        <v>679</v>
      </c>
      <c r="L1905" s="77"/>
      <c r="M1905" s="79"/>
      <c r="N1905" s="1"/>
      <c r="O1905" s="1"/>
      <c r="P1905" s="1"/>
      <c r="Q1905" s="1"/>
      <c r="R1905" s="1"/>
      <c r="S1905" s="1"/>
      <c r="T1905" s="1"/>
      <c r="U1905" s="1"/>
      <c r="V1905" s="1"/>
      <c r="W1905" s="1"/>
      <c r="X1905" s="1"/>
      <c r="Y1905" s="1"/>
      <c r="Z1905" s="1"/>
      <c r="AA1905" s="1"/>
      <c r="AB1905" s="1"/>
      <c r="AC1905" s="1"/>
      <c r="AD1905" s="1"/>
      <c r="AE1905" s="1"/>
      <c r="AF1905" s="1"/>
      <c r="AG1905" s="1"/>
      <c r="AH1905" s="1"/>
    </row>
    <row r="1906" ht="12.75" hidden="1" customHeight="1" outlineLevel="1">
      <c r="A1906" s="17">
        <v>41317.0</v>
      </c>
      <c r="B1906" s="1"/>
      <c r="C1906" s="1" t="s">
        <v>431</v>
      </c>
      <c r="D1906" s="74"/>
      <c r="E1906" s="67"/>
      <c r="F1906" s="75"/>
      <c r="G1906" s="67"/>
      <c r="H1906" s="68"/>
      <c r="I1906" s="76"/>
      <c r="J1906" s="67"/>
      <c r="K1906" s="7" t="s">
        <v>817</v>
      </c>
      <c r="L1906" s="77"/>
      <c r="M1906" s="79"/>
      <c r="N1906" s="1"/>
      <c r="O1906" s="1"/>
      <c r="P1906" s="1"/>
      <c r="Q1906" s="1"/>
      <c r="R1906" s="1"/>
      <c r="S1906" s="1"/>
      <c r="T1906" s="1"/>
      <c r="U1906" s="1"/>
      <c r="V1906" s="1"/>
      <c r="W1906" s="1"/>
      <c r="X1906" s="1"/>
      <c r="Y1906" s="1"/>
      <c r="Z1906" s="1"/>
      <c r="AA1906" s="1"/>
      <c r="AB1906" s="1"/>
      <c r="AC1906" s="1"/>
      <c r="AD1906" s="1"/>
      <c r="AE1906" s="1"/>
      <c r="AF1906" s="1"/>
      <c r="AG1906" s="1"/>
      <c r="AH1906" s="1"/>
    </row>
    <row r="1907" ht="12.75" hidden="1" customHeight="1" outlineLevel="1">
      <c r="A1907" s="17">
        <v>41317.0</v>
      </c>
      <c r="B1907" s="1"/>
      <c r="C1907" s="1" t="s">
        <v>433</v>
      </c>
      <c r="D1907" s="74"/>
      <c r="E1907" s="67"/>
      <c r="F1907" s="75"/>
      <c r="G1907" s="67"/>
      <c r="H1907" s="68"/>
      <c r="I1907" s="76"/>
      <c r="J1907" s="67"/>
      <c r="K1907" s="7" t="s">
        <v>434</v>
      </c>
      <c r="L1907" s="77"/>
      <c r="M1907" s="79"/>
      <c r="N1907" s="1"/>
      <c r="O1907" s="1"/>
      <c r="P1907" s="1"/>
      <c r="Q1907" s="1"/>
      <c r="R1907" s="1"/>
      <c r="S1907" s="1"/>
      <c r="T1907" s="1"/>
      <c r="U1907" s="1"/>
      <c r="V1907" s="1"/>
      <c r="W1907" s="1"/>
      <c r="X1907" s="1"/>
      <c r="Y1907" s="1"/>
      <c r="Z1907" s="1"/>
      <c r="AA1907" s="1"/>
      <c r="AB1907" s="1"/>
      <c r="AC1907" s="1"/>
      <c r="AD1907" s="1"/>
      <c r="AE1907" s="1"/>
      <c r="AF1907" s="1"/>
      <c r="AG1907" s="1"/>
      <c r="AH1907" s="1"/>
    </row>
    <row r="1908" ht="12.75" hidden="1" customHeight="1" outlineLevel="1">
      <c r="A1908" s="17">
        <v>41317.0</v>
      </c>
      <c r="B1908" s="1"/>
      <c r="C1908" s="1" t="s">
        <v>435</v>
      </c>
      <c r="D1908" s="74"/>
      <c r="E1908" s="67"/>
      <c r="F1908" s="75"/>
      <c r="G1908" s="67"/>
      <c r="H1908" s="68"/>
      <c r="I1908" s="76"/>
      <c r="J1908" s="67"/>
      <c r="K1908" s="7" t="s">
        <v>818</v>
      </c>
      <c r="L1908" s="77"/>
      <c r="M1908" s="79"/>
      <c r="N1908" s="1"/>
      <c r="O1908" s="1"/>
      <c r="P1908" s="1"/>
      <c r="Q1908" s="1"/>
      <c r="R1908" s="1"/>
      <c r="S1908" s="1"/>
      <c r="T1908" s="1"/>
      <c r="U1908" s="1"/>
      <c r="V1908" s="1"/>
      <c r="W1908" s="1"/>
      <c r="X1908" s="1"/>
      <c r="Y1908" s="1"/>
      <c r="Z1908" s="1"/>
      <c r="AA1908" s="1"/>
      <c r="AB1908" s="1"/>
      <c r="AC1908" s="1"/>
      <c r="AD1908" s="1"/>
      <c r="AE1908" s="1"/>
      <c r="AF1908" s="1"/>
      <c r="AG1908" s="1"/>
      <c r="AH1908" s="1"/>
    </row>
    <row r="1909" ht="12.75" hidden="1" customHeight="1" outlineLevel="1">
      <c r="A1909" s="17">
        <v>41318.0</v>
      </c>
      <c r="B1909" s="1" t="s">
        <v>343</v>
      </c>
      <c r="C1909" s="1" t="s">
        <v>354</v>
      </c>
      <c r="D1909" s="74">
        <v>200.0</v>
      </c>
      <c r="E1909" s="67">
        <v>88.61</v>
      </c>
      <c r="F1909" s="75">
        <v>0.39934027777777775</v>
      </c>
      <c r="G1909" s="67" t="s">
        <v>453</v>
      </c>
      <c r="H1909" s="68">
        <v>1.0</v>
      </c>
      <c r="I1909" s="76"/>
      <c r="J1909" s="67">
        <f t="shared" ref="J1909:J1917" si="136">IF(B1909="SLD",D1909*E1909,-D1909*E1909)-H1909</f>
        <v>-17723</v>
      </c>
      <c r="K1909" s="7"/>
      <c r="L1909" s="70"/>
      <c r="M1909" s="79"/>
      <c r="N1909" s="1"/>
      <c r="O1909" s="1"/>
      <c r="P1909" s="1"/>
      <c r="Q1909" s="1"/>
      <c r="R1909" s="1"/>
      <c r="S1909" s="1"/>
      <c r="T1909" s="1"/>
      <c r="U1909" s="1"/>
      <c r="V1909" s="1"/>
      <c r="W1909" s="1"/>
      <c r="X1909" s="1"/>
      <c r="Y1909" s="1"/>
      <c r="Z1909" s="1"/>
      <c r="AA1909" s="1"/>
      <c r="AB1909" s="1"/>
      <c r="AC1909" s="1"/>
      <c r="AD1909" s="1"/>
      <c r="AE1909" s="1"/>
      <c r="AF1909" s="1"/>
      <c r="AG1909" s="1"/>
      <c r="AH1909" s="1"/>
    </row>
    <row r="1910" ht="12.75" hidden="1" customHeight="1" outlineLevel="1">
      <c r="A1910" s="17">
        <v>41318.0</v>
      </c>
      <c r="B1910" s="1" t="s">
        <v>343</v>
      </c>
      <c r="C1910" s="1" t="s">
        <v>354</v>
      </c>
      <c r="D1910" s="74">
        <v>200.0</v>
      </c>
      <c r="E1910" s="67">
        <v>88.646</v>
      </c>
      <c r="F1910" s="75">
        <v>0.40025462962962965</v>
      </c>
      <c r="G1910" s="67" t="s">
        <v>453</v>
      </c>
      <c r="H1910" s="68">
        <v>1.0</v>
      </c>
      <c r="I1910" s="76"/>
      <c r="J1910" s="67">
        <f t="shared" si="136"/>
        <v>-17730.2</v>
      </c>
      <c r="K1910" s="7"/>
      <c r="L1910" s="70"/>
      <c r="M1910" s="79"/>
      <c r="N1910" s="1"/>
      <c r="O1910" s="1"/>
      <c r="P1910" s="1"/>
      <c r="Q1910" s="1"/>
      <c r="R1910" s="1"/>
      <c r="S1910" s="1"/>
      <c r="T1910" s="1"/>
      <c r="U1910" s="1"/>
      <c r="V1910" s="1"/>
      <c r="W1910" s="1"/>
      <c r="X1910" s="1"/>
      <c r="Y1910" s="1"/>
      <c r="Z1910" s="1"/>
      <c r="AA1910" s="1"/>
      <c r="AB1910" s="1"/>
      <c r="AC1910" s="1"/>
      <c r="AD1910" s="1"/>
      <c r="AE1910" s="1"/>
      <c r="AF1910" s="1"/>
      <c r="AG1910" s="1"/>
      <c r="AH1910" s="1"/>
    </row>
    <row r="1911" ht="12.75" hidden="1" customHeight="1" outlineLevel="1">
      <c r="A1911" s="17">
        <v>41318.0</v>
      </c>
      <c r="B1911" s="1" t="s">
        <v>343</v>
      </c>
      <c r="C1911" s="1" t="s">
        <v>354</v>
      </c>
      <c r="D1911" s="74">
        <v>400.0</v>
      </c>
      <c r="E1911" s="67">
        <v>89.91</v>
      </c>
      <c r="F1911" s="75">
        <v>0.4185069444444445</v>
      </c>
      <c r="G1911" s="67" t="s">
        <v>453</v>
      </c>
      <c r="H1911" s="68">
        <v>2.0</v>
      </c>
      <c r="I1911" s="76"/>
      <c r="J1911" s="67">
        <f t="shared" si="136"/>
        <v>-35966</v>
      </c>
      <c r="K1911" s="7"/>
      <c r="L1911" s="70"/>
      <c r="M1911" s="79"/>
      <c r="N1911" s="1"/>
      <c r="O1911" s="1"/>
      <c r="P1911" s="1"/>
      <c r="Q1911" s="1"/>
      <c r="R1911" s="1"/>
      <c r="S1911" s="1"/>
      <c r="T1911" s="1"/>
      <c r="U1911" s="1"/>
      <c r="V1911" s="1"/>
      <c r="W1911" s="1"/>
      <c r="X1911" s="1"/>
      <c r="Y1911" s="1"/>
      <c r="Z1911" s="1"/>
      <c r="AA1911" s="1"/>
      <c r="AB1911" s="1"/>
      <c r="AC1911" s="1"/>
      <c r="AD1911" s="1"/>
      <c r="AE1911" s="1"/>
      <c r="AF1911" s="1"/>
      <c r="AG1911" s="1"/>
      <c r="AH1911" s="1"/>
    </row>
    <row r="1912" ht="12.75" hidden="1" customHeight="1" outlineLevel="1">
      <c r="A1912" s="17">
        <v>41318.0</v>
      </c>
      <c r="B1912" s="1" t="s">
        <v>343</v>
      </c>
      <c r="C1912" s="1" t="s">
        <v>857</v>
      </c>
      <c r="D1912" s="74">
        <v>400.0</v>
      </c>
      <c r="E1912" s="67">
        <v>10.75</v>
      </c>
      <c r="F1912" s="75">
        <v>0.4287731481481481</v>
      </c>
      <c r="G1912" s="67" t="s">
        <v>453</v>
      </c>
      <c r="H1912" s="68">
        <v>1.9</v>
      </c>
      <c r="I1912" s="76"/>
      <c r="J1912" s="67">
        <f t="shared" si="136"/>
        <v>-4301.9</v>
      </c>
      <c r="K1912" s="7"/>
      <c r="L1912" s="70"/>
      <c r="M1912" s="79"/>
      <c r="N1912" s="1"/>
      <c r="O1912" s="1"/>
      <c r="P1912" s="1"/>
      <c r="Q1912" s="1"/>
      <c r="R1912" s="1"/>
      <c r="S1912" s="1"/>
      <c r="T1912" s="1"/>
      <c r="U1912" s="1"/>
      <c r="V1912" s="1"/>
      <c r="W1912" s="1"/>
      <c r="X1912" s="1"/>
      <c r="Y1912" s="1"/>
      <c r="Z1912" s="1"/>
      <c r="AA1912" s="1"/>
      <c r="AB1912" s="1"/>
      <c r="AC1912" s="1"/>
      <c r="AD1912" s="1"/>
      <c r="AE1912" s="1"/>
      <c r="AF1912" s="1"/>
      <c r="AG1912" s="1"/>
      <c r="AH1912" s="1"/>
    </row>
    <row r="1913" ht="12.75" hidden="1" customHeight="1" outlineLevel="1">
      <c r="A1913" s="17">
        <v>41318.0</v>
      </c>
      <c r="B1913" s="1" t="s">
        <v>347</v>
      </c>
      <c r="C1913" s="1" t="s">
        <v>354</v>
      </c>
      <c r="D1913" s="74">
        <v>200.0</v>
      </c>
      <c r="E1913" s="67">
        <v>92.29</v>
      </c>
      <c r="F1913" s="75">
        <v>0.4593171296296296</v>
      </c>
      <c r="G1913" s="67" t="s">
        <v>453</v>
      </c>
      <c r="H1913" s="68">
        <v>1.0</v>
      </c>
      <c r="I1913" s="76"/>
      <c r="J1913" s="67">
        <f t="shared" si="136"/>
        <v>18457</v>
      </c>
      <c r="K1913" s="7"/>
      <c r="L1913" s="70"/>
      <c r="M1913" s="79"/>
      <c r="N1913" s="1"/>
      <c r="O1913" s="1"/>
      <c r="P1913" s="1"/>
      <c r="Q1913" s="1"/>
      <c r="R1913" s="1"/>
      <c r="S1913" s="1"/>
      <c r="T1913" s="1"/>
      <c r="U1913" s="1"/>
      <c r="V1913" s="1"/>
      <c r="W1913" s="1"/>
      <c r="X1913" s="1"/>
      <c r="Y1913" s="1"/>
      <c r="Z1913" s="1"/>
      <c r="AA1913" s="1"/>
      <c r="AB1913" s="1"/>
      <c r="AC1913" s="1"/>
      <c r="AD1913" s="1"/>
      <c r="AE1913" s="1"/>
      <c r="AF1913" s="1"/>
      <c r="AG1913" s="1"/>
      <c r="AH1913" s="1"/>
    </row>
    <row r="1914" ht="12.75" hidden="1" customHeight="1" outlineLevel="1">
      <c r="A1914" s="17">
        <v>41318.0</v>
      </c>
      <c r="B1914" s="1" t="s">
        <v>347</v>
      </c>
      <c r="C1914" s="1" t="s">
        <v>354</v>
      </c>
      <c r="D1914" s="74">
        <v>200.0</v>
      </c>
      <c r="E1914" s="67">
        <v>90.66</v>
      </c>
      <c r="F1914" s="75">
        <v>0.5035648148148147</v>
      </c>
      <c r="G1914" s="67" t="s">
        <v>453</v>
      </c>
      <c r="H1914" s="68">
        <v>1.0</v>
      </c>
      <c r="I1914" s="76"/>
      <c r="J1914" s="67">
        <f t="shared" si="136"/>
        <v>18131</v>
      </c>
      <c r="K1914" s="7"/>
      <c r="L1914" s="70"/>
      <c r="M1914" s="79"/>
      <c r="N1914" s="1"/>
      <c r="O1914" s="1"/>
      <c r="P1914" s="1"/>
      <c r="Q1914" s="1"/>
      <c r="R1914" s="1"/>
      <c r="S1914" s="1"/>
      <c r="T1914" s="1"/>
      <c r="U1914" s="1"/>
      <c r="V1914" s="1"/>
      <c r="W1914" s="1"/>
      <c r="X1914" s="1"/>
      <c r="Y1914" s="1"/>
      <c r="Z1914" s="1"/>
      <c r="AA1914" s="1"/>
      <c r="AB1914" s="1"/>
      <c r="AC1914" s="1"/>
      <c r="AD1914" s="1"/>
      <c r="AE1914" s="1"/>
      <c r="AF1914" s="1"/>
      <c r="AG1914" s="1"/>
      <c r="AH1914" s="1"/>
    </row>
    <row r="1915" ht="12.75" hidden="1" customHeight="1" outlineLevel="1">
      <c r="A1915" s="17">
        <v>41318.0</v>
      </c>
      <c r="B1915" s="1" t="s">
        <v>347</v>
      </c>
      <c r="C1915" s="1" t="s">
        <v>354</v>
      </c>
      <c r="D1915" s="74">
        <v>200.0</v>
      </c>
      <c r="E1915" s="67">
        <v>90.47</v>
      </c>
      <c r="F1915" s="75">
        <v>0.5059143518518519</v>
      </c>
      <c r="G1915" s="67" t="s">
        <v>453</v>
      </c>
      <c r="H1915" s="68">
        <v>1.0</v>
      </c>
      <c r="I1915" s="76"/>
      <c r="J1915" s="67">
        <f t="shared" si="136"/>
        <v>18093</v>
      </c>
      <c r="K1915" s="7"/>
      <c r="L1915" s="70"/>
      <c r="M1915" s="79"/>
      <c r="N1915" s="1"/>
      <c r="O1915" s="1"/>
      <c r="P1915" s="1"/>
      <c r="Q1915" s="1"/>
      <c r="R1915" s="1"/>
      <c r="S1915" s="1"/>
      <c r="T1915" s="1"/>
      <c r="U1915" s="1"/>
      <c r="V1915" s="1"/>
      <c r="W1915" s="1"/>
      <c r="X1915" s="1"/>
      <c r="Y1915" s="1"/>
      <c r="Z1915" s="1"/>
      <c r="AA1915" s="1"/>
      <c r="AB1915" s="1"/>
      <c r="AC1915" s="1"/>
      <c r="AD1915" s="1"/>
      <c r="AE1915" s="1"/>
      <c r="AF1915" s="1"/>
      <c r="AG1915" s="1"/>
      <c r="AH1915" s="1"/>
    </row>
    <row r="1916" ht="12.75" hidden="1" customHeight="1" outlineLevel="1">
      <c r="A1916" s="17">
        <v>41318.0</v>
      </c>
      <c r="B1916" s="1" t="s">
        <v>343</v>
      </c>
      <c r="C1916" s="1" t="s">
        <v>354</v>
      </c>
      <c r="D1916" s="74">
        <v>200.0</v>
      </c>
      <c r="E1916" s="67">
        <v>90.44</v>
      </c>
      <c r="F1916" s="75">
        <v>0.560787037037037</v>
      </c>
      <c r="G1916" s="67" t="s">
        <v>453</v>
      </c>
      <c r="H1916" s="68">
        <v>1.0</v>
      </c>
      <c r="I1916" s="76"/>
      <c r="J1916" s="67">
        <f t="shared" si="136"/>
        <v>-18089</v>
      </c>
      <c r="K1916" s="7"/>
      <c r="L1916" s="70"/>
      <c r="M1916" s="79"/>
      <c r="N1916" s="1"/>
      <c r="O1916" s="1"/>
      <c r="P1916" s="1"/>
      <c r="Q1916" s="1"/>
      <c r="R1916" s="1"/>
      <c r="S1916" s="1"/>
      <c r="T1916" s="1"/>
      <c r="U1916" s="1"/>
      <c r="V1916" s="1"/>
      <c r="W1916" s="1"/>
      <c r="X1916" s="1"/>
      <c r="Y1916" s="1"/>
      <c r="Z1916" s="1"/>
      <c r="AA1916" s="1"/>
      <c r="AB1916" s="1"/>
      <c r="AC1916" s="1"/>
      <c r="AD1916" s="1"/>
      <c r="AE1916" s="1"/>
      <c r="AF1916" s="1"/>
      <c r="AG1916" s="1"/>
      <c r="AH1916" s="1"/>
    </row>
    <row r="1917" ht="12.75" hidden="1" customHeight="1" outlineLevel="1">
      <c r="A1917" s="17">
        <v>41318.0</v>
      </c>
      <c r="B1917" s="1" t="s">
        <v>343</v>
      </c>
      <c r="C1917" s="1" t="s">
        <v>784</v>
      </c>
      <c r="D1917" s="74">
        <v>600.0</v>
      </c>
      <c r="E1917" s="67">
        <v>19.89</v>
      </c>
      <c r="F1917" s="75">
        <v>0.5703472222222222</v>
      </c>
      <c r="G1917" s="67" t="s">
        <v>453</v>
      </c>
      <c r="H1917" s="68">
        <v>2.9</v>
      </c>
      <c r="I1917" s="76"/>
      <c r="J1917" s="67">
        <f t="shared" si="136"/>
        <v>-11936.9</v>
      </c>
      <c r="K1917" s="7"/>
      <c r="L1917" s="70"/>
      <c r="M1917" s="79"/>
      <c r="N1917" s="1"/>
      <c r="O1917" s="1"/>
      <c r="P1917" s="1"/>
      <c r="Q1917" s="1"/>
      <c r="R1917" s="1"/>
      <c r="S1917" s="1"/>
      <c r="T1917" s="1"/>
      <c r="U1917" s="1"/>
      <c r="V1917" s="1"/>
      <c r="W1917" s="1"/>
      <c r="X1917" s="1"/>
      <c r="Y1917" s="1"/>
      <c r="Z1917" s="1"/>
      <c r="AA1917" s="1"/>
      <c r="AB1917" s="1"/>
      <c r="AC1917" s="1"/>
      <c r="AD1917" s="1"/>
      <c r="AE1917" s="1"/>
      <c r="AF1917" s="1"/>
      <c r="AG1917" s="1"/>
      <c r="AH1917" s="1"/>
    </row>
    <row r="1918" ht="12.75" hidden="1" customHeight="1" outlineLevel="1">
      <c r="A1918" s="17">
        <v>41318.0</v>
      </c>
      <c r="B1918" s="1"/>
      <c r="C1918" s="1" t="s">
        <v>339</v>
      </c>
      <c r="D1918" s="74"/>
      <c r="E1918" s="67"/>
      <c r="F1918" s="75"/>
      <c r="G1918" s="67"/>
      <c r="H1918" s="68"/>
      <c r="I1918" s="76"/>
      <c r="J1918" s="67"/>
      <c r="K1918" s="7" t="s">
        <v>898</v>
      </c>
      <c r="L1918" s="77"/>
      <c r="M1918" s="79"/>
      <c r="N1918" s="1"/>
      <c r="O1918" s="1"/>
      <c r="P1918" s="1"/>
      <c r="Q1918" s="1"/>
      <c r="R1918" s="1"/>
      <c r="S1918" s="1"/>
      <c r="T1918" s="1"/>
      <c r="U1918" s="1"/>
      <c r="V1918" s="1"/>
      <c r="W1918" s="1"/>
      <c r="X1918" s="1"/>
      <c r="Y1918" s="1"/>
      <c r="Z1918" s="1"/>
      <c r="AA1918" s="1"/>
      <c r="AB1918" s="1"/>
      <c r="AC1918" s="1"/>
      <c r="AD1918" s="1"/>
      <c r="AE1918" s="1"/>
      <c r="AF1918" s="1"/>
      <c r="AG1918" s="1"/>
      <c r="AH1918" s="1"/>
    </row>
    <row r="1919" ht="12.75" hidden="1" customHeight="1" outlineLevel="1">
      <c r="A1919" s="17">
        <v>41318.0</v>
      </c>
      <c r="B1919" s="1"/>
      <c r="C1919" s="1" t="s">
        <v>429</v>
      </c>
      <c r="D1919" s="74"/>
      <c r="E1919" s="67"/>
      <c r="F1919" s="75"/>
      <c r="G1919" s="67"/>
      <c r="H1919" s="68"/>
      <c r="I1919" s="76"/>
      <c r="J1919" s="67"/>
      <c r="K1919" s="7" t="s">
        <v>679</v>
      </c>
      <c r="L1919" s="77"/>
      <c r="M1919" s="79"/>
      <c r="N1919" s="1"/>
      <c r="O1919" s="1"/>
      <c r="P1919" s="1"/>
      <c r="Q1919" s="1"/>
      <c r="R1919" s="1"/>
      <c r="S1919" s="1"/>
      <c r="T1919" s="1"/>
      <c r="U1919" s="1"/>
      <c r="V1919" s="1"/>
      <c r="W1919" s="1"/>
      <c r="X1919" s="1"/>
      <c r="Y1919" s="1"/>
      <c r="Z1919" s="1"/>
      <c r="AA1919" s="1"/>
      <c r="AB1919" s="1"/>
      <c r="AC1919" s="1"/>
      <c r="AD1919" s="1"/>
      <c r="AE1919" s="1"/>
      <c r="AF1919" s="1"/>
      <c r="AG1919" s="1"/>
      <c r="AH1919" s="1"/>
    </row>
    <row r="1920" ht="12.75" hidden="1" customHeight="1" outlineLevel="1">
      <c r="A1920" s="17">
        <v>41318.0</v>
      </c>
      <c r="B1920" s="1"/>
      <c r="C1920" s="1" t="s">
        <v>431</v>
      </c>
      <c r="D1920" s="74"/>
      <c r="E1920" s="67"/>
      <c r="F1920" s="75"/>
      <c r="G1920" s="67"/>
      <c r="H1920" s="68"/>
      <c r="I1920" s="76"/>
      <c r="J1920" s="67"/>
      <c r="K1920" s="7" t="s">
        <v>817</v>
      </c>
      <c r="L1920" s="77"/>
      <c r="M1920" s="79"/>
      <c r="N1920" s="1"/>
      <c r="O1920" s="1"/>
      <c r="P1920" s="1"/>
      <c r="Q1920" s="1"/>
      <c r="R1920" s="1"/>
      <c r="S1920" s="1"/>
      <c r="T1920" s="1"/>
      <c r="U1920" s="1"/>
      <c r="V1920" s="1"/>
      <c r="W1920" s="1"/>
      <c r="X1920" s="1"/>
      <c r="Y1920" s="1"/>
      <c r="Z1920" s="1"/>
      <c r="AA1920" s="1"/>
      <c r="AB1920" s="1"/>
      <c r="AC1920" s="1"/>
      <c r="AD1920" s="1"/>
      <c r="AE1920" s="1"/>
      <c r="AF1920" s="1"/>
      <c r="AG1920" s="1"/>
      <c r="AH1920" s="1"/>
    </row>
    <row r="1921" ht="12.75" hidden="1" customHeight="1" outlineLevel="1">
      <c r="A1921" s="17">
        <v>41318.0</v>
      </c>
      <c r="B1921" s="1"/>
      <c r="C1921" s="1" t="s">
        <v>433</v>
      </c>
      <c r="D1921" s="74"/>
      <c r="E1921" s="67"/>
      <c r="F1921" s="75"/>
      <c r="G1921" s="67"/>
      <c r="H1921" s="68"/>
      <c r="I1921" s="76"/>
      <c r="J1921" s="67"/>
      <c r="K1921" s="7" t="s">
        <v>434</v>
      </c>
      <c r="L1921" s="77"/>
      <c r="M1921" s="79"/>
      <c r="N1921" s="1"/>
      <c r="O1921" s="1"/>
      <c r="P1921" s="1"/>
      <c r="Q1921" s="1"/>
      <c r="R1921" s="1"/>
      <c r="S1921" s="1"/>
      <c r="T1921" s="1"/>
      <c r="U1921" s="1"/>
      <c r="V1921" s="1"/>
      <c r="W1921" s="1"/>
      <c r="X1921" s="1"/>
      <c r="Y1921" s="1"/>
      <c r="Z1921" s="1"/>
      <c r="AA1921" s="1"/>
      <c r="AB1921" s="1"/>
      <c r="AC1921" s="1"/>
      <c r="AD1921" s="1"/>
      <c r="AE1921" s="1"/>
      <c r="AF1921" s="1"/>
      <c r="AG1921" s="1"/>
      <c r="AH1921" s="1"/>
    </row>
    <row r="1922" ht="12.75" hidden="1" customHeight="1" outlineLevel="1">
      <c r="A1922" s="17">
        <v>41318.0</v>
      </c>
      <c r="B1922" s="1"/>
      <c r="C1922" s="1" t="s">
        <v>435</v>
      </c>
      <c r="D1922" s="74"/>
      <c r="E1922" s="67"/>
      <c r="F1922" s="75"/>
      <c r="G1922" s="67"/>
      <c r="H1922" s="68"/>
      <c r="I1922" s="76"/>
      <c r="J1922" s="67"/>
      <c r="K1922" s="7" t="s">
        <v>818</v>
      </c>
      <c r="L1922" s="77"/>
      <c r="M1922" s="79"/>
      <c r="N1922" s="1"/>
      <c r="O1922" s="1"/>
      <c r="P1922" s="1"/>
      <c r="Q1922" s="1"/>
      <c r="R1922" s="1"/>
      <c r="S1922" s="1"/>
      <c r="T1922" s="1"/>
      <c r="U1922" s="1"/>
      <c r="V1922" s="1"/>
      <c r="W1922" s="1"/>
      <c r="X1922" s="1"/>
      <c r="Y1922" s="1"/>
      <c r="Z1922" s="1"/>
      <c r="AA1922" s="1"/>
      <c r="AB1922" s="1"/>
      <c r="AC1922" s="1"/>
      <c r="AD1922" s="1"/>
      <c r="AE1922" s="1"/>
      <c r="AF1922" s="1"/>
      <c r="AG1922" s="1"/>
      <c r="AH1922" s="1"/>
    </row>
    <row r="1923" ht="12.75" hidden="1" customHeight="1" outlineLevel="1">
      <c r="A1923" s="17">
        <v>41319.0</v>
      </c>
      <c r="B1923" s="1" t="s">
        <v>347</v>
      </c>
      <c r="C1923" s="1" t="s">
        <v>354</v>
      </c>
      <c r="D1923" s="74">
        <v>200.0</v>
      </c>
      <c r="E1923" s="67">
        <v>88.41</v>
      </c>
      <c r="F1923" s="75">
        <v>0.46890046296296295</v>
      </c>
      <c r="G1923" s="67" t="s">
        <v>453</v>
      </c>
      <c r="H1923" s="68">
        <v>1.0</v>
      </c>
      <c r="I1923" s="76"/>
      <c r="J1923" s="67">
        <f t="shared" ref="J1923:J1924" si="137">IF(B1923="SLD",D1923*E1923,-D1923*E1923)-H1923</f>
        <v>17681</v>
      </c>
      <c r="K1923" s="7"/>
      <c r="L1923" s="70"/>
      <c r="M1923" s="79"/>
      <c r="N1923" s="1"/>
      <c r="O1923" s="1"/>
      <c r="P1923" s="1"/>
      <c r="Q1923" s="1"/>
      <c r="R1923" s="1"/>
      <c r="S1923" s="1"/>
      <c r="T1923" s="1"/>
      <c r="U1923" s="1"/>
      <c r="V1923" s="1"/>
      <c r="W1923" s="1"/>
      <c r="X1923" s="1"/>
      <c r="Y1923" s="1"/>
      <c r="Z1923" s="1"/>
      <c r="AA1923" s="1"/>
      <c r="AB1923" s="1"/>
      <c r="AC1923" s="1"/>
      <c r="AD1923" s="1"/>
      <c r="AE1923" s="1"/>
      <c r="AF1923" s="1"/>
      <c r="AG1923" s="1"/>
      <c r="AH1923" s="1"/>
    </row>
    <row r="1924" ht="12.75" hidden="1" customHeight="1" outlineLevel="1">
      <c r="A1924" s="17">
        <v>41319.0</v>
      </c>
      <c r="B1924" s="1" t="s">
        <v>343</v>
      </c>
      <c r="C1924" s="1" t="s">
        <v>354</v>
      </c>
      <c r="D1924" s="74">
        <v>200.0</v>
      </c>
      <c r="E1924" s="67">
        <v>88.38</v>
      </c>
      <c r="F1924" s="75">
        <v>0.5232523148148148</v>
      </c>
      <c r="G1924" s="67" t="s">
        <v>453</v>
      </c>
      <c r="H1924" s="68">
        <v>1.0</v>
      </c>
      <c r="I1924" s="76"/>
      <c r="J1924" s="67">
        <f t="shared" si="137"/>
        <v>-17677</v>
      </c>
      <c r="K1924" s="7"/>
      <c r="L1924" s="70"/>
      <c r="M1924" s="79"/>
      <c r="N1924" s="1"/>
      <c r="O1924" s="1"/>
      <c r="P1924" s="1"/>
      <c r="Q1924" s="1"/>
      <c r="R1924" s="1"/>
      <c r="S1924" s="1"/>
      <c r="T1924" s="1"/>
      <c r="U1924" s="1"/>
      <c r="V1924" s="1"/>
      <c r="W1924" s="1"/>
      <c r="X1924" s="1"/>
      <c r="Y1924" s="1"/>
      <c r="Z1924" s="1"/>
      <c r="AA1924" s="1"/>
      <c r="AB1924" s="1"/>
      <c r="AC1924" s="1"/>
      <c r="AD1924" s="1"/>
      <c r="AE1924" s="1"/>
      <c r="AF1924" s="1"/>
      <c r="AG1924" s="1"/>
      <c r="AH1924" s="1"/>
    </row>
    <row r="1925" ht="12.75" hidden="1" customHeight="1" outlineLevel="1">
      <c r="A1925" s="17">
        <v>41319.0</v>
      </c>
      <c r="B1925" s="1"/>
      <c r="C1925" s="1" t="s">
        <v>339</v>
      </c>
      <c r="D1925" s="74"/>
      <c r="E1925" s="67"/>
      <c r="F1925" s="75"/>
      <c r="G1925" s="67"/>
      <c r="H1925" s="68"/>
      <c r="I1925" s="76"/>
      <c r="J1925" s="67"/>
      <c r="K1925" s="7" t="s">
        <v>899</v>
      </c>
      <c r="L1925" s="77"/>
      <c r="M1925" s="79"/>
      <c r="N1925" s="1"/>
      <c r="O1925" s="1"/>
      <c r="P1925" s="1"/>
      <c r="Q1925" s="1"/>
      <c r="R1925" s="1"/>
      <c r="S1925" s="1"/>
      <c r="T1925" s="1"/>
      <c r="U1925" s="1"/>
      <c r="V1925" s="1"/>
      <c r="W1925" s="1"/>
      <c r="X1925" s="1"/>
      <c r="Y1925" s="1"/>
      <c r="Z1925" s="1"/>
      <c r="AA1925" s="1"/>
      <c r="AB1925" s="1"/>
      <c r="AC1925" s="1"/>
      <c r="AD1925" s="1"/>
      <c r="AE1925" s="1"/>
      <c r="AF1925" s="1"/>
      <c r="AG1925" s="1"/>
      <c r="AH1925" s="1"/>
    </row>
    <row r="1926" ht="12.75" hidden="1" customHeight="1" outlineLevel="1">
      <c r="A1926" s="17">
        <v>41319.0</v>
      </c>
      <c r="B1926" s="1"/>
      <c r="C1926" s="1" t="s">
        <v>429</v>
      </c>
      <c r="D1926" s="74"/>
      <c r="E1926" s="67"/>
      <c r="F1926" s="75"/>
      <c r="G1926" s="67"/>
      <c r="H1926" s="68"/>
      <c r="I1926" s="76"/>
      <c r="J1926" s="67"/>
      <c r="K1926" s="7" t="s">
        <v>679</v>
      </c>
      <c r="L1926" s="77"/>
      <c r="M1926" s="79"/>
      <c r="N1926" s="1"/>
      <c r="O1926" s="1"/>
      <c r="P1926" s="1"/>
      <c r="Q1926" s="1"/>
      <c r="R1926" s="1"/>
      <c r="S1926" s="1"/>
      <c r="T1926" s="1"/>
      <c r="U1926" s="1"/>
      <c r="V1926" s="1"/>
      <c r="W1926" s="1"/>
      <c r="X1926" s="1"/>
      <c r="Y1926" s="1"/>
      <c r="Z1926" s="1"/>
      <c r="AA1926" s="1"/>
      <c r="AB1926" s="1"/>
      <c r="AC1926" s="1"/>
      <c r="AD1926" s="1"/>
      <c r="AE1926" s="1"/>
      <c r="AF1926" s="1"/>
      <c r="AG1926" s="1"/>
      <c r="AH1926" s="1"/>
    </row>
    <row r="1927" ht="12.75" hidden="1" customHeight="1" outlineLevel="1">
      <c r="A1927" s="17">
        <v>41319.0</v>
      </c>
      <c r="B1927" s="1"/>
      <c r="C1927" s="1" t="s">
        <v>431</v>
      </c>
      <c r="D1927" s="74"/>
      <c r="E1927" s="67"/>
      <c r="F1927" s="75"/>
      <c r="G1927" s="67"/>
      <c r="H1927" s="68"/>
      <c r="I1927" s="76"/>
      <c r="J1927" s="67"/>
      <c r="K1927" s="7" t="s">
        <v>817</v>
      </c>
      <c r="L1927" s="77"/>
      <c r="M1927" s="79"/>
      <c r="N1927" s="1"/>
      <c r="O1927" s="1"/>
      <c r="P1927" s="1"/>
      <c r="Q1927" s="1"/>
      <c r="R1927" s="1"/>
      <c r="S1927" s="1"/>
      <c r="T1927" s="1"/>
      <c r="U1927" s="1"/>
      <c r="V1927" s="1"/>
      <c r="W1927" s="1"/>
      <c r="X1927" s="1"/>
      <c r="Y1927" s="1"/>
      <c r="Z1927" s="1"/>
      <c r="AA1927" s="1"/>
      <c r="AB1927" s="1"/>
      <c r="AC1927" s="1"/>
      <c r="AD1927" s="1"/>
      <c r="AE1927" s="1"/>
      <c r="AF1927" s="1"/>
      <c r="AG1927" s="1"/>
      <c r="AH1927" s="1"/>
    </row>
    <row r="1928" ht="12.75" hidden="1" customHeight="1" outlineLevel="1">
      <c r="A1928" s="17">
        <v>41319.0</v>
      </c>
      <c r="B1928" s="1"/>
      <c r="C1928" s="1" t="s">
        <v>433</v>
      </c>
      <c r="D1928" s="74"/>
      <c r="E1928" s="67"/>
      <c r="F1928" s="75"/>
      <c r="G1928" s="67"/>
      <c r="H1928" s="68"/>
      <c r="I1928" s="76"/>
      <c r="J1928" s="67"/>
      <c r="K1928" s="7" t="s">
        <v>434</v>
      </c>
      <c r="L1928" s="77"/>
      <c r="M1928" s="79"/>
      <c r="N1928" s="1"/>
      <c r="O1928" s="1"/>
      <c r="P1928" s="1"/>
      <c r="Q1928" s="1"/>
      <c r="R1928" s="1"/>
      <c r="S1928" s="1"/>
      <c r="T1928" s="1"/>
      <c r="U1928" s="1"/>
      <c r="V1928" s="1"/>
      <c r="W1928" s="1"/>
      <c r="X1928" s="1"/>
      <c r="Y1928" s="1"/>
      <c r="Z1928" s="1"/>
      <c r="AA1928" s="1"/>
      <c r="AB1928" s="1"/>
      <c r="AC1928" s="1"/>
      <c r="AD1928" s="1"/>
      <c r="AE1928" s="1"/>
      <c r="AF1928" s="1"/>
      <c r="AG1928" s="1"/>
      <c r="AH1928" s="1"/>
    </row>
    <row r="1929" ht="12.75" hidden="1" customHeight="1" outlineLevel="1">
      <c r="A1929" s="17">
        <v>41319.0</v>
      </c>
      <c r="B1929" s="1"/>
      <c r="C1929" s="1" t="s">
        <v>435</v>
      </c>
      <c r="D1929" s="74"/>
      <c r="E1929" s="67"/>
      <c r="F1929" s="75"/>
      <c r="G1929" s="67"/>
      <c r="H1929" s="68"/>
      <c r="I1929" s="76"/>
      <c r="J1929" s="67"/>
      <c r="K1929" s="7" t="s">
        <v>818</v>
      </c>
      <c r="L1929" s="77"/>
      <c r="M1929" s="79"/>
      <c r="N1929" s="1"/>
      <c r="O1929" s="1"/>
      <c r="P1929" s="1"/>
      <c r="Q1929" s="1"/>
      <c r="R1929" s="1"/>
      <c r="S1929" s="1"/>
      <c r="T1929" s="1"/>
      <c r="U1929" s="1"/>
      <c r="V1929" s="1"/>
      <c r="W1929" s="1"/>
      <c r="X1929" s="1"/>
      <c r="Y1929" s="1"/>
      <c r="Z1929" s="1"/>
      <c r="AA1929" s="1"/>
      <c r="AB1929" s="1"/>
      <c r="AC1929" s="1"/>
      <c r="AD1929" s="1"/>
      <c r="AE1929" s="1"/>
      <c r="AF1929" s="1"/>
      <c r="AG1929" s="1"/>
      <c r="AH1929" s="1"/>
    </row>
    <row r="1930" ht="12.75" hidden="1" customHeight="1" outlineLevel="1">
      <c r="A1930" s="17">
        <v>41320.0</v>
      </c>
      <c r="B1930" s="1" t="s">
        <v>347</v>
      </c>
      <c r="C1930" s="1" t="s">
        <v>784</v>
      </c>
      <c r="D1930" s="74">
        <v>500.0</v>
      </c>
      <c r="E1930" s="67">
        <v>19.4</v>
      </c>
      <c r="F1930" s="75">
        <v>0.5485648148148148</v>
      </c>
      <c r="G1930" s="67" t="s">
        <v>453</v>
      </c>
      <c r="H1930" s="68">
        <v>2.0</v>
      </c>
      <c r="I1930" s="76"/>
      <c r="J1930" s="67">
        <f t="shared" ref="J1930:J1938" si="138">IF(B1930="SLD",D1930*E1930,-D1930*E1930)-H1930</f>
        <v>9698</v>
      </c>
      <c r="K1930" s="7"/>
      <c r="L1930" s="70"/>
      <c r="M1930" s="79"/>
      <c r="N1930" s="1"/>
      <c r="O1930" s="1"/>
      <c r="P1930" s="1"/>
      <c r="Q1930" s="1"/>
      <c r="R1930" s="1"/>
      <c r="S1930" s="1"/>
      <c r="T1930" s="1"/>
      <c r="U1930" s="1"/>
      <c r="V1930" s="1"/>
      <c r="W1930" s="1"/>
      <c r="X1930" s="1"/>
      <c r="Y1930" s="1"/>
      <c r="Z1930" s="1"/>
      <c r="AA1930" s="1"/>
      <c r="AB1930" s="1"/>
      <c r="AC1930" s="1"/>
      <c r="AD1930" s="1"/>
      <c r="AE1930" s="1"/>
      <c r="AF1930" s="1"/>
      <c r="AG1930" s="1"/>
      <c r="AH1930" s="1"/>
    </row>
    <row r="1931" ht="12.75" hidden="1" customHeight="1" outlineLevel="1">
      <c r="A1931" s="17">
        <v>41320.0</v>
      </c>
      <c r="B1931" s="1" t="s">
        <v>347</v>
      </c>
      <c r="C1931" s="1" t="s">
        <v>784</v>
      </c>
      <c r="D1931" s="74">
        <v>200.0</v>
      </c>
      <c r="E1931" s="67">
        <v>19.4</v>
      </c>
      <c r="F1931" s="75">
        <v>0.5493518518518519</v>
      </c>
      <c r="G1931" s="67" t="s">
        <v>453</v>
      </c>
      <c r="H1931" s="68">
        <v>1.0</v>
      </c>
      <c r="I1931" s="76"/>
      <c r="J1931" s="67">
        <f t="shared" si="138"/>
        <v>3879</v>
      </c>
      <c r="K1931" s="7"/>
      <c r="L1931" s="70"/>
      <c r="M1931" s="79"/>
      <c r="N1931" s="1"/>
      <c r="O1931" s="1"/>
      <c r="P1931" s="1"/>
      <c r="Q1931" s="1"/>
      <c r="R1931" s="1"/>
      <c r="S1931" s="1"/>
      <c r="T1931" s="1"/>
      <c r="U1931" s="1"/>
      <c r="V1931" s="1"/>
      <c r="W1931" s="1"/>
      <c r="X1931" s="1"/>
      <c r="Y1931" s="1"/>
      <c r="Z1931" s="1"/>
      <c r="AA1931" s="1"/>
      <c r="AB1931" s="1"/>
      <c r="AC1931" s="1"/>
      <c r="AD1931" s="1"/>
      <c r="AE1931" s="1"/>
      <c r="AF1931" s="1"/>
      <c r="AG1931" s="1"/>
      <c r="AH1931" s="1"/>
    </row>
    <row r="1932" ht="12.75" hidden="1" customHeight="1" outlineLevel="1">
      <c r="A1932" s="17">
        <v>41320.0</v>
      </c>
      <c r="B1932" s="1" t="s">
        <v>347</v>
      </c>
      <c r="C1932" s="1" t="s">
        <v>681</v>
      </c>
      <c r="D1932" s="74">
        <v>200.0</v>
      </c>
      <c r="E1932" s="67">
        <v>17.36</v>
      </c>
      <c r="F1932" s="75">
        <v>0.6329513888888889</v>
      </c>
      <c r="G1932" s="67" t="s">
        <v>453</v>
      </c>
      <c r="H1932" s="68">
        <v>1.0</v>
      </c>
      <c r="I1932" s="76"/>
      <c r="J1932" s="67">
        <f t="shared" si="138"/>
        <v>3471</v>
      </c>
      <c r="K1932" s="7"/>
      <c r="L1932" s="70"/>
      <c r="M1932" s="79"/>
      <c r="N1932" s="1"/>
      <c r="O1932" s="1"/>
      <c r="P1932" s="1"/>
      <c r="Q1932" s="1"/>
      <c r="R1932" s="1"/>
      <c r="S1932" s="1"/>
      <c r="T1932" s="1"/>
      <c r="U1932" s="1"/>
      <c r="V1932" s="1"/>
      <c r="W1932" s="1"/>
      <c r="X1932" s="1"/>
      <c r="Y1932" s="1"/>
      <c r="Z1932" s="1"/>
      <c r="AA1932" s="1"/>
      <c r="AB1932" s="1"/>
      <c r="AC1932" s="1"/>
      <c r="AD1932" s="1"/>
      <c r="AE1932" s="1"/>
      <c r="AF1932" s="1"/>
      <c r="AG1932" s="1"/>
      <c r="AH1932" s="1"/>
    </row>
    <row r="1933" ht="12.75" hidden="1" customHeight="1" outlineLevel="1">
      <c r="A1933" s="17">
        <v>41320.0</v>
      </c>
      <c r="B1933" s="1" t="s">
        <v>347</v>
      </c>
      <c r="C1933" s="1" t="s">
        <v>881</v>
      </c>
      <c r="D1933" s="74">
        <v>200.0</v>
      </c>
      <c r="E1933" s="67">
        <v>30.52</v>
      </c>
      <c r="F1933" s="75">
        <v>0.6335300925925925</v>
      </c>
      <c r="G1933" s="67" t="s">
        <v>453</v>
      </c>
      <c r="H1933" s="68">
        <v>1.0</v>
      </c>
      <c r="I1933" s="76"/>
      <c r="J1933" s="67">
        <f t="shared" si="138"/>
        <v>6103</v>
      </c>
      <c r="K1933" s="7"/>
      <c r="L1933" s="70"/>
      <c r="M1933" s="79"/>
      <c r="N1933" s="1"/>
      <c r="O1933" s="1"/>
      <c r="P1933" s="1"/>
      <c r="Q1933" s="1"/>
      <c r="R1933" s="1"/>
      <c r="S1933" s="1"/>
      <c r="T1933" s="1"/>
      <c r="U1933" s="1"/>
      <c r="V1933" s="1"/>
      <c r="W1933" s="1"/>
      <c r="X1933" s="1"/>
      <c r="Y1933" s="1"/>
      <c r="Z1933" s="1"/>
      <c r="AA1933" s="1"/>
      <c r="AB1933" s="1"/>
      <c r="AC1933" s="1"/>
      <c r="AD1933" s="1"/>
      <c r="AE1933" s="1"/>
      <c r="AF1933" s="1"/>
      <c r="AG1933" s="1"/>
      <c r="AH1933" s="1"/>
    </row>
    <row r="1934" ht="12.75" hidden="1" customHeight="1" outlineLevel="1">
      <c r="A1934" s="17">
        <v>41320.0</v>
      </c>
      <c r="B1934" s="1" t="s">
        <v>347</v>
      </c>
      <c r="C1934" s="1" t="s">
        <v>344</v>
      </c>
      <c r="D1934" s="74">
        <v>150.0</v>
      </c>
      <c r="E1934" s="67">
        <v>38.45</v>
      </c>
      <c r="F1934" s="75">
        <v>0.6337152777777778</v>
      </c>
      <c r="G1934" s="67" t="s">
        <v>453</v>
      </c>
      <c r="H1934" s="68">
        <v>1.0</v>
      </c>
      <c r="I1934" s="76"/>
      <c r="J1934" s="67">
        <f t="shared" si="138"/>
        <v>5766.5</v>
      </c>
      <c r="K1934" s="7"/>
      <c r="L1934" s="70"/>
      <c r="M1934" s="79"/>
      <c r="N1934" s="1"/>
      <c r="O1934" s="1"/>
      <c r="P1934" s="1"/>
      <c r="Q1934" s="1"/>
      <c r="R1934" s="1"/>
      <c r="S1934" s="1"/>
      <c r="T1934" s="1"/>
      <c r="U1934" s="1"/>
      <c r="V1934" s="1"/>
      <c r="W1934" s="1"/>
      <c r="X1934" s="1"/>
      <c r="Y1934" s="1"/>
      <c r="Z1934" s="1"/>
      <c r="AA1934" s="1"/>
      <c r="AB1934" s="1"/>
      <c r="AC1934" s="1"/>
      <c r="AD1934" s="1"/>
      <c r="AE1934" s="1"/>
      <c r="AF1934" s="1"/>
      <c r="AG1934" s="1"/>
      <c r="AH1934" s="1"/>
    </row>
    <row r="1935" ht="12.75" hidden="1" customHeight="1" outlineLevel="1">
      <c r="A1935" s="17">
        <v>41320.0</v>
      </c>
      <c r="B1935" s="1" t="s">
        <v>347</v>
      </c>
      <c r="C1935" s="1" t="s">
        <v>605</v>
      </c>
      <c r="D1935" s="74">
        <v>100.0</v>
      </c>
      <c r="E1935" s="67">
        <v>63.62</v>
      </c>
      <c r="F1935" s="75">
        <v>0.6340277777777777</v>
      </c>
      <c r="G1935" s="67" t="s">
        <v>453</v>
      </c>
      <c r="H1935" s="68">
        <v>1.0</v>
      </c>
      <c r="I1935" s="76"/>
      <c r="J1935" s="67">
        <f t="shared" si="138"/>
        <v>6361</v>
      </c>
      <c r="K1935" s="7"/>
      <c r="L1935" s="70"/>
      <c r="M1935" s="79"/>
      <c r="N1935" s="1"/>
      <c r="O1935" s="1"/>
      <c r="P1935" s="1"/>
      <c r="Q1935" s="1"/>
      <c r="R1935" s="1"/>
      <c r="S1935" s="1"/>
      <c r="T1935" s="1"/>
      <c r="U1935" s="1"/>
      <c r="V1935" s="1"/>
      <c r="W1935" s="1"/>
      <c r="X1935" s="1"/>
      <c r="Y1935" s="1"/>
      <c r="Z1935" s="1"/>
      <c r="AA1935" s="1"/>
      <c r="AB1935" s="1"/>
      <c r="AC1935" s="1"/>
      <c r="AD1935" s="1"/>
      <c r="AE1935" s="1"/>
      <c r="AF1935" s="1"/>
      <c r="AG1935" s="1"/>
      <c r="AH1935" s="1"/>
    </row>
    <row r="1936" ht="12.75" hidden="1" customHeight="1" outlineLevel="1">
      <c r="A1936" s="17">
        <v>41320.0</v>
      </c>
      <c r="B1936" s="1" t="s">
        <v>347</v>
      </c>
      <c r="C1936" s="1" t="s">
        <v>354</v>
      </c>
      <c r="D1936" s="74">
        <v>200.0</v>
      </c>
      <c r="E1936" s="67">
        <v>88.0</v>
      </c>
      <c r="F1936" s="75">
        <v>0.637800925925926</v>
      </c>
      <c r="G1936" s="67" t="s">
        <v>453</v>
      </c>
      <c r="H1936" s="68">
        <v>1.0</v>
      </c>
      <c r="I1936" s="76"/>
      <c r="J1936" s="67">
        <f t="shared" si="138"/>
        <v>17599</v>
      </c>
      <c r="K1936" s="7"/>
      <c r="L1936" s="70"/>
      <c r="M1936" s="79"/>
      <c r="N1936" s="1"/>
      <c r="O1936" s="1"/>
      <c r="P1936" s="1"/>
      <c r="Q1936" s="1"/>
      <c r="R1936" s="1"/>
      <c r="S1936" s="1"/>
      <c r="T1936" s="1"/>
      <c r="U1936" s="1"/>
      <c r="V1936" s="1"/>
      <c r="W1936" s="1"/>
      <c r="X1936" s="1"/>
      <c r="Y1936" s="1"/>
      <c r="Z1936" s="1"/>
      <c r="AA1936" s="1"/>
      <c r="AB1936" s="1"/>
      <c r="AC1936" s="1"/>
      <c r="AD1936" s="1"/>
      <c r="AE1936" s="1"/>
      <c r="AF1936" s="1"/>
      <c r="AG1936" s="1"/>
      <c r="AH1936" s="1"/>
    </row>
    <row r="1937" ht="12.75" hidden="1" customHeight="1" outlineLevel="1">
      <c r="A1937" s="17">
        <v>41320.0</v>
      </c>
      <c r="B1937" s="1" t="s">
        <v>347</v>
      </c>
      <c r="C1937" s="1" t="s">
        <v>890</v>
      </c>
      <c r="D1937" s="74">
        <v>1000.0</v>
      </c>
      <c r="E1937" s="67">
        <v>12.01</v>
      </c>
      <c r="F1937" s="75">
        <v>0.6475462962962962</v>
      </c>
      <c r="G1937" s="67" t="s">
        <v>453</v>
      </c>
      <c r="H1937" s="68">
        <v>5.0</v>
      </c>
      <c r="I1937" s="76"/>
      <c r="J1937" s="67">
        <f t="shared" si="138"/>
        <v>12005</v>
      </c>
      <c r="K1937" s="7"/>
      <c r="L1937" s="70"/>
      <c r="M1937" s="79"/>
      <c r="N1937" s="1"/>
      <c r="O1937" s="1"/>
      <c r="P1937" s="1"/>
      <c r="Q1937" s="1"/>
      <c r="R1937" s="1"/>
      <c r="S1937" s="1"/>
      <c r="T1937" s="1"/>
      <c r="U1937" s="1"/>
      <c r="V1937" s="1"/>
      <c r="W1937" s="1"/>
      <c r="X1937" s="1"/>
      <c r="Y1937" s="1"/>
      <c r="Z1937" s="1"/>
      <c r="AA1937" s="1"/>
      <c r="AB1937" s="1"/>
      <c r="AC1937" s="1"/>
      <c r="AD1937" s="1"/>
      <c r="AE1937" s="1"/>
      <c r="AF1937" s="1"/>
      <c r="AG1937" s="1"/>
      <c r="AH1937" s="1"/>
    </row>
    <row r="1938" ht="12.75" hidden="1" customHeight="1" outlineLevel="1">
      <c r="A1938" s="17">
        <v>41320.0</v>
      </c>
      <c r="B1938" s="1" t="s">
        <v>347</v>
      </c>
      <c r="C1938" s="1" t="s">
        <v>354</v>
      </c>
      <c r="D1938" s="74">
        <v>100.0</v>
      </c>
      <c r="E1938" s="67">
        <v>87.76</v>
      </c>
      <c r="F1938" s="75">
        <v>0.6658680555555555</v>
      </c>
      <c r="G1938" s="67" t="s">
        <v>453</v>
      </c>
      <c r="H1938" s="68">
        <v>1.0</v>
      </c>
      <c r="I1938" s="76"/>
      <c r="J1938" s="67">
        <f t="shared" si="138"/>
        <v>8775</v>
      </c>
      <c r="K1938" s="7"/>
      <c r="L1938" s="70"/>
      <c r="M1938" s="79"/>
      <c r="N1938" s="1"/>
      <c r="O1938" s="1"/>
      <c r="P1938" s="1"/>
      <c r="Q1938" s="1"/>
      <c r="R1938" s="1"/>
      <c r="S1938" s="1"/>
      <c r="T1938" s="1"/>
      <c r="U1938" s="1"/>
      <c r="V1938" s="1"/>
      <c r="W1938" s="1"/>
      <c r="X1938" s="1"/>
      <c r="Y1938" s="1"/>
      <c r="Z1938" s="1"/>
      <c r="AA1938" s="1"/>
      <c r="AB1938" s="1"/>
      <c r="AC1938" s="1"/>
      <c r="AD1938" s="1"/>
      <c r="AE1938" s="1"/>
      <c r="AF1938" s="1"/>
      <c r="AG1938" s="1"/>
      <c r="AH1938" s="1"/>
    </row>
    <row r="1939" ht="12.75" hidden="1" customHeight="1" outlineLevel="1">
      <c r="A1939" s="17">
        <v>41320.0</v>
      </c>
      <c r="B1939" s="1"/>
      <c r="C1939" s="1" t="s">
        <v>339</v>
      </c>
      <c r="D1939" s="74"/>
      <c r="E1939" s="67"/>
      <c r="F1939" s="75"/>
      <c r="G1939" s="67"/>
      <c r="H1939" s="68"/>
      <c r="I1939" s="76"/>
      <c r="J1939" s="67"/>
      <c r="K1939" s="7" t="s">
        <v>900</v>
      </c>
      <c r="L1939" s="77"/>
      <c r="M1939" s="79"/>
      <c r="N1939" s="1"/>
      <c r="O1939" s="1"/>
      <c r="P1939" s="1"/>
      <c r="Q1939" s="1"/>
      <c r="R1939" s="1"/>
      <c r="S1939" s="1"/>
      <c r="T1939" s="1"/>
      <c r="U1939" s="1"/>
      <c r="V1939" s="1"/>
      <c r="W1939" s="1"/>
      <c r="X1939" s="1"/>
      <c r="Y1939" s="1"/>
      <c r="Z1939" s="1"/>
      <c r="AA1939" s="1"/>
      <c r="AB1939" s="1"/>
      <c r="AC1939" s="1"/>
      <c r="AD1939" s="1"/>
      <c r="AE1939" s="1"/>
      <c r="AF1939" s="1"/>
      <c r="AG1939" s="1"/>
      <c r="AH1939" s="1"/>
    </row>
    <row r="1940" ht="12.75" hidden="1" customHeight="1" outlineLevel="1">
      <c r="A1940" s="17">
        <v>41320.0</v>
      </c>
      <c r="B1940" s="1"/>
      <c r="C1940" s="1" t="s">
        <v>429</v>
      </c>
      <c r="D1940" s="74"/>
      <c r="E1940" s="67"/>
      <c r="F1940" s="75"/>
      <c r="G1940" s="67"/>
      <c r="H1940" s="68"/>
      <c r="I1940" s="76"/>
      <c r="J1940" s="67"/>
      <c r="K1940" s="7" t="s">
        <v>679</v>
      </c>
      <c r="L1940" s="77"/>
      <c r="M1940" s="79"/>
      <c r="N1940" s="1"/>
      <c r="O1940" s="1"/>
      <c r="P1940" s="1"/>
      <c r="Q1940" s="1"/>
      <c r="R1940" s="1"/>
      <c r="S1940" s="1"/>
      <c r="T1940" s="1"/>
      <c r="U1940" s="1"/>
      <c r="V1940" s="1"/>
      <c r="W1940" s="1"/>
      <c r="X1940" s="1"/>
      <c r="Y1940" s="1"/>
      <c r="Z1940" s="1"/>
      <c r="AA1940" s="1"/>
      <c r="AB1940" s="1"/>
      <c r="AC1940" s="1"/>
      <c r="AD1940" s="1"/>
      <c r="AE1940" s="1"/>
      <c r="AF1940" s="1"/>
      <c r="AG1940" s="1"/>
      <c r="AH1940" s="1"/>
    </row>
    <row r="1941" ht="12.75" hidden="1" customHeight="1" outlineLevel="1">
      <c r="A1941" s="17">
        <v>41320.0</v>
      </c>
      <c r="B1941" s="1"/>
      <c r="C1941" s="1" t="s">
        <v>431</v>
      </c>
      <c r="D1941" s="74"/>
      <c r="E1941" s="67"/>
      <c r="F1941" s="75"/>
      <c r="G1941" s="67"/>
      <c r="H1941" s="68"/>
      <c r="I1941" s="76"/>
      <c r="J1941" s="67"/>
      <c r="K1941" s="7" t="s">
        <v>817</v>
      </c>
      <c r="L1941" s="77"/>
      <c r="M1941" s="79"/>
      <c r="N1941" s="1"/>
      <c r="O1941" s="1"/>
      <c r="P1941" s="1"/>
      <c r="Q1941" s="1"/>
      <c r="R1941" s="1"/>
      <c r="S1941" s="1"/>
      <c r="T1941" s="1"/>
      <c r="U1941" s="1"/>
      <c r="V1941" s="1"/>
      <c r="W1941" s="1"/>
      <c r="X1941" s="1"/>
      <c r="Y1941" s="1"/>
      <c r="Z1941" s="1"/>
      <c r="AA1941" s="1"/>
      <c r="AB1941" s="1"/>
      <c r="AC1941" s="1"/>
      <c r="AD1941" s="1"/>
      <c r="AE1941" s="1"/>
      <c r="AF1941" s="1"/>
      <c r="AG1941" s="1"/>
      <c r="AH1941" s="1"/>
    </row>
    <row r="1942" ht="12.75" hidden="1" customHeight="1" outlineLevel="1">
      <c r="A1942" s="17">
        <v>41320.0</v>
      </c>
      <c r="B1942" s="1"/>
      <c r="C1942" s="1" t="s">
        <v>433</v>
      </c>
      <c r="D1942" s="74"/>
      <c r="E1942" s="67"/>
      <c r="F1942" s="75"/>
      <c r="G1942" s="67"/>
      <c r="H1942" s="68"/>
      <c r="I1942" s="76"/>
      <c r="J1942" s="67"/>
      <c r="K1942" s="7" t="s">
        <v>434</v>
      </c>
      <c r="L1942" s="77"/>
      <c r="M1942" s="79"/>
      <c r="N1942" s="1"/>
      <c r="O1942" s="1"/>
      <c r="P1942" s="1"/>
      <c r="Q1942" s="1"/>
      <c r="R1942" s="1"/>
      <c r="S1942" s="1"/>
      <c r="T1942" s="1"/>
      <c r="U1942" s="1"/>
      <c r="V1942" s="1"/>
      <c r="W1942" s="1"/>
      <c r="X1942" s="1"/>
      <c r="Y1942" s="1"/>
      <c r="Z1942" s="1"/>
      <c r="AA1942" s="1"/>
      <c r="AB1942" s="1"/>
      <c r="AC1942" s="1"/>
      <c r="AD1942" s="1"/>
      <c r="AE1942" s="1"/>
      <c r="AF1942" s="1"/>
      <c r="AG1942" s="1"/>
      <c r="AH1942" s="1"/>
    </row>
    <row r="1943" ht="12.75" hidden="1" customHeight="1" outlineLevel="1">
      <c r="A1943" s="17">
        <v>41320.0</v>
      </c>
      <c r="B1943" s="1"/>
      <c r="C1943" s="1" t="s">
        <v>435</v>
      </c>
      <c r="D1943" s="74"/>
      <c r="E1943" s="67"/>
      <c r="F1943" s="75"/>
      <c r="G1943" s="67"/>
      <c r="H1943" s="68"/>
      <c r="I1943" s="76"/>
      <c r="J1943" s="67"/>
      <c r="K1943" s="7" t="s">
        <v>818</v>
      </c>
      <c r="L1943" s="77"/>
      <c r="M1943" s="79"/>
      <c r="N1943" s="1"/>
      <c r="O1943" s="1"/>
      <c r="P1943" s="1"/>
      <c r="Q1943" s="1"/>
      <c r="R1943" s="1"/>
      <c r="S1943" s="1"/>
      <c r="T1943" s="1"/>
      <c r="U1943" s="1"/>
      <c r="V1943" s="1"/>
      <c r="W1943" s="1"/>
      <c r="X1943" s="1"/>
      <c r="Y1943" s="1"/>
      <c r="Z1943" s="1"/>
      <c r="AA1943" s="1"/>
      <c r="AB1943" s="1"/>
      <c r="AC1943" s="1"/>
      <c r="AD1943" s="1"/>
      <c r="AE1943" s="1"/>
      <c r="AF1943" s="1"/>
      <c r="AG1943" s="1"/>
      <c r="AH1943" s="1"/>
    </row>
    <row r="1944" ht="12.75" hidden="1" customHeight="1" outlineLevel="1">
      <c r="A1944" s="17">
        <v>41323.0</v>
      </c>
      <c r="B1944" s="1"/>
      <c r="C1944" s="1" t="s">
        <v>339</v>
      </c>
      <c r="D1944" s="74"/>
      <c r="E1944" s="67"/>
      <c r="F1944" s="75"/>
      <c r="G1944" s="67"/>
      <c r="H1944" s="68"/>
      <c r="I1944" s="76"/>
      <c r="J1944" s="67"/>
      <c r="K1944" s="7" t="s">
        <v>901</v>
      </c>
      <c r="L1944" s="77"/>
      <c r="M1944" s="79"/>
      <c r="N1944" s="1"/>
      <c r="O1944" s="1"/>
      <c r="P1944" s="1"/>
      <c r="Q1944" s="1"/>
      <c r="R1944" s="1"/>
      <c r="S1944" s="1"/>
      <c r="T1944" s="1"/>
      <c r="U1944" s="1"/>
      <c r="V1944" s="1"/>
      <c r="W1944" s="1"/>
      <c r="X1944" s="1"/>
      <c r="Y1944" s="1"/>
      <c r="Z1944" s="1"/>
      <c r="AA1944" s="1"/>
      <c r="AB1944" s="1"/>
      <c r="AC1944" s="1"/>
      <c r="AD1944" s="1"/>
      <c r="AE1944" s="1"/>
      <c r="AF1944" s="1"/>
      <c r="AG1944" s="1"/>
      <c r="AH1944" s="1"/>
    </row>
    <row r="1945" ht="12.75" hidden="1" customHeight="1" outlineLevel="1">
      <c r="A1945" s="17">
        <v>41323.0</v>
      </c>
      <c r="B1945" s="1"/>
      <c r="C1945" s="1" t="s">
        <v>429</v>
      </c>
      <c r="D1945" s="74"/>
      <c r="E1945" s="67"/>
      <c r="F1945" s="75"/>
      <c r="G1945" s="67"/>
      <c r="H1945" s="68"/>
      <c r="I1945" s="76"/>
      <c r="J1945" s="67"/>
      <c r="K1945" s="7" t="s">
        <v>679</v>
      </c>
      <c r="L1945" s="77"/>
      <c r="M1945" s="79"/>
      <c r="N1945" s="1"/>
      <c r="O1945" s="1"/>
      <c r="P1945" s="1"/>
      <c r="Q1945" s="1"/>
      <c r="R1945" s="1"/>
      <c r="S1945" s="1"/>
      <c r="T1945" s="1"/>
      <c r="U1945" s="1"/>
      <c r="V1945" s="1"/>
      <c r="W1945" s="1"/>
      <c r="X1945" s="1"/>
      <c r="Y1945" s="1"/>
      <c r="Z1945" s="1"/>
      <c r="AA1945" s="1"/>
      <c r="AB1945" s="1"/>
      <c r="AC1945" s="1"/>
      <c r="AD1945" s="1"/>
      <c r="AE1945" s="1"/>
      <c r="AF1945" s="1"/>
      <c r="AG1945" s="1"/>
      <c r="AH1945" s="1"/>
    </row>
    <row r="1946" ht="12.75" hidden="1" customHeight="1" outlineLevel="1">
      <c r="A1946" s="17">
        <v>41323.0</v>
      </c>
      <c r="B1946" s="1"/>
      <c r="C1946" s="1" t="s">
        <v>431</v>
      </c>
      <c r="D1946" s="74"/>
      <c r="E1946" s="67"/>
      <c r="F1946" s="75"/>
      <c r="G1946" s="67"/>
      <c r="H1946" s="68"/>
      <c r="I1946" s="76"/>
      <c r="J1946" s="67"/>
      <c r="K1946" s="7" t="s">
        <v>817</v>
      </c>
      <c r="L1946" s="77"/>
      <c r="M1946" s="79"/>
      <c r="N1946" s="1"/>
      <c r="O1946" s="1"/>
      <c r="P1946" s="1"/>
      <c r="Q1946" s="1"/>
      <c r="R1946" s="1"/>
      <c r="S1946" s="1"/>
      <c r="T1946" s="1"/>
      <c r="U1946" s="1"/>
      <c r="V1946" s="1"/>
      <c r="W1946" s="1"/>
      <c r="X1946" s="1"/>
      <c r="Y1946" s="1"/>
      <c r="Z1946" s="1"/>
      <c r="AA1946" s="1"/>
      <c r="AB1946" s="1"/>
      <c r="AC1946" s="1"/>
      <c r="AD1946" s="1"/>
      <c r="AE1946" s="1"/>
      <c r="AF1946" s="1"/>
      <c r="AG1946" s="1"/>
      <c r="AH1946" s="1"/>
    </row>
    <row r="1947" ht="12.75" hidden="1" customHeight="1" outlineLevel="1">
      <c r="A1947" s="17">
        <v>41323.0</v>
      </c>
      <c r="B1947" s="1"/>
      <c r="C1947" s="1" t="s">
        <v>433</v>
      </c>
      <c r="D1947" s="74"/>
      <c r="E1947" s="67"/>
      <c r="F1947" s="75"/>
      <c r="G1947" s="67"/>
      <c r="H1947" s="68"/>
      <c r="I1947" s="76"/>
      <c r="J1947" s="67"/>
      <c r="K1947" s="7" t="s">
        <v>434</v>
      </c>
      <c r="L1947" s="77"/>
      <c r="M1947" s="79"/>
      <c r="N1947" s="1"/>
      <c r="O1947" s="1"/>
      <c r="P1947" s="1"/>
      <c r="Q1947" s="1"/>
      <c r="R1947" s="1"/>
      <c r="S1947" s="1"/>
      <c r="T1947" s="1"/>
      <c r="U1947" s="1"/>
      <c r="V1947" s="1"/>
      <c r="W1947" s="1"/>
      <c r="X1947" s="1"/>
      <c r="Y1947" s="1"/>
      <c r="Z1947" s="1"/>
      <c r="AA1947" s="1"/>
      <c r="AB1947" s="1"/>
      <c r="AC1947" s="1"/>
      <c r="AD1947" s="1"/>
      <c r="AE1947" s="1"/>
      <c r="AF1947" s="1"/>
      <c r="AG1947" s="1"/>
      <c r="AH1947" s="1"/>
    </row>
    <row r="1948" ht="12.75" hidden="1" customHeight="1" outlineLevel="1">
      <c r="A1948" s="17">
        <v>41323.0</v>
      </c>
      <c r="B1948" s="1"/>
      <c r="C1948" s="1" t="s">
        <v>435</v>
      </c>
      <c r="D1948" s="74"/>
      <c r="E1948" s="67"/>
      <c r="F1948" s="75"/>
      <c r="G1948" s="67"/>
      <c r="H1948" s="68"/>
      <c r="I1948" s="76"/>
      <c r="J1948" s="67"/>
      <c r="K1948" s="7" t="s">
        <v>818</v>
      </c>
      <c r="L1948" s="77"/>
      <c r="M1948" s="79"/>
      <c r="N1948" s="1"/>
      <c r="O1948" s="1"/>
      <c r="P1948" s="1"/>
      <c r="Q1948" s="1"/>
      <c r="R1948" s="1"/>
      <c r="S1948" s="1"/>
      <c r="T1948" s="1"/>
      <c r="U1948" s="1"/>
      <c r="V1948" s="1"/>
      <c r="W1948" s="1"/>
      <c r="X1948" s="1"/>
      <c r="Y1948" s="1"/>
      <c r="Z1948" s="1"/>
      <c r="AA1948" s="1"/>
      <c r="AB1948" s="1"/>
      <c r="AC1948" s="1"/>
      <c r="AD1948" s="1"/>
      <c r="AE1948" s="1"/>
      <c r="AF1948" s="1"/>
      <c r="AG1948" s="1"/>
      <c r="AH1948" s="1"/>
    </row>
    <row r="1949" ht="12.75" hidden="1" customHeight="1" outlineLevel="1">
      <c r="A1949" s="17">
        <v>41324.0</v>
      </c>
      <c r="B1949" s="1" t="s">
        <v>343</v>
      </c>
      <c r="C1949" s="1" t="s">
        <v>349</v>
      </c>
      <c r="D1949" s="74">
        <v>300.0</v>
      </c>
      <c r="E1949" s="67">
        <v>38.9</v>
      </c>
      <c r="F1949" s="75">
        <v>0.4275925925925926</v>
      </c>
      <c r="G1949" s="67" t="s">
        <v>453</v>
      </c>
      <c r="H1949" s="68">
        <v>1.5</v>
      </c>
      <c r="I1949" s="76"/>
      <c r="J1949" s="67">
        <f t="shared" ref="J1949:J1955" si="139">IF(B1949="SLD",D1949*E1949,-D1949*E1949)-H1949</f>
        <v>-11671.5</v>
      </c>
      <c r="K1949" s="7"/>
      <c r="L1949" s="70"/>
      <c r="M1949" s="79"/>
      <c r="N1949" s="1"/>
      <c r="O1949" s="1"/>
      <c r="P1949" s="1"/>
      <c r="Q1949" s="1"/>
      <c r="R1949" s="1"/>
      <c r="S1949" s="1"/>
      <c r="T1949" s="1"/>
      <c r="U1949" s="1"/>
      <c r="V1949" s="1"/>
      <c r="W1949" s="1"/>
      <c r="X1949" s="1"/>
      <c r="Y1949" s="1"/>
      <c r="Z1949" s="1"/>
      <c r="AA1949" s="1"/>
      <c r="AB1949" s="1"/>
      <c r="AC1949" s="1"/>
      <c r="AD1949" s="1"/>
      <c r="AE1949" s="1"/>
      <c r="AF1949" s="1"/>
      <c r="AG1949" s="1"/>
      <c r="AH1949" s="1"/>
    </row>
    <row r="1950" ht="12.75" hidden="1" customHeight="1" outlineLevel="1">
      <c r="A1950" s="17">
        <v>41324.0</v>
      </c>
      <c r="B1950" s="1" t="s">
        <v>343</v>
      </c>
      <c r="C1950" s="1" t="s">
        <v>902</v>
      </c>
      <c r="D1950" s="74">
        <v>400.0</v>
      </c>
      <c r="E1950" s="67">
        <v>40.79</v>
      </c>
      <c r="F1950" s="75">
        <v>0.44009259259259265</v>
      </c>
      <c r="G1950" s="67" t="s">
        <v>453</v>
      </c>
      <c r="H1950" s="68">
        <v>1.6</v>
      </c>
      <c r="I1950" s="76"/>
      <c r="J1950" s="67">
        <f t="shared" si="139"/>
        <v>-16317.6</v>
      </c>
      <c r="K1950" s="7"/>
      <c r="L1950" s="70"/>
      <c r="M1950" s="79"/>
      <c r="N1950" s="1"/>
      <c r="O1950" s="1"/>
      <c r="P1950" s="1"/>
      <c r="Q1950" s="1"/>
      <c r="R1950" s="1"/>
      <c r="S1950" s="1"/>
      <c r="T1950" s="1"/>
      <c r="U1950" s="1"/>
      <c r="V1950" s="1"/>
      <c r="W1950" s="1"/>
      <c r="X1950" s="1"/>
      <c r="Y1950" s="1"/>
      <c r="Z1950" s="1"/>
      <c r="AA1950" s="1"/>
      <c r="AB1950" s="1"/>
      <c r="AC1950" s="1"/>
      <c r="AD1950" s="1"/>
      <c r="AE1950" s="1"/>
      <c r="AF1950" s="1"/>
      <c r="AG1950" s="1"/>
      <c r="AH1950" s="1"/>
    </row>
    <row r="1951" ht="12.75" hidden="1" customHeight="1" outlineLevel="1">
      <c r="A1951" s="17">
        <v>41324.0</v>
      </c>
      <c r="B1951" s="1" t="s">
        <v>343</v>
      </c>
      <c r="C1951" s="1" t="s">
        <v>903</v>
      </c>
      <c r="D1951" s="74">
        <v>250.0</v>
      </c>
      <c r="E1951" s="67">
        <v>61.87</v>
      </c>
      <c r="F1951" s="75">
        <v>0.4716550925925926</v>
      </c>
      <c r="G1951" s="67" t="s">
        <v>453</v>
      </c>
      <c r="H1951" s="68">
        <v>1.25</v>
      </c>
      <c r="I1951" s="76"/>
      <c r="J1951" s="67">
        <f t="shared" si="139"/>
        <v>-15468.75</v>
      </c>
      <c r="K1951" s="7"/>
      <c r="L1951" s="70"/>
      <c r="M1951" s="79"/>
      <c r="N1951" s="1"/>
      <c r="O1951" s="1"/>
      <c r="P1951" s="1"/>
      <c r="Q1951" s="1"/>
      <c r="R1951" s="1"/>
      <c r="S1951" s="1"/>
      <c r="T1951" s="1"/>
      <c r="U1951" s="1"/>
      <c r="V1951" s="1"/>
      <c r="W1951" s="1"/>
      <c r="X1951" s="1"/>
      <c r="Y1951" s="1"/>
      <c r="Z1951" s="1"/>
      <c r="AA1951" s="1"/>
      <c r="AB1951" s="1"/>
      <c r="AC1951" s="1"/>
      <c r="AD1951" s="1"/>
      <c r="AE1951" s="1"/>
      <c r="AF1951" s="1"/>
      <c r="AG1951" s="1"/>
      <c r="AH1951" s="1"/>
    </row>
    <row r="1952" ht="12.75" hidden="1" customHeight="1" outlineLevel="1">
      <c r="A1952" s="17">
        <v>41324.0</v>
      </c>
      <c r="B1952" s="1" t="s">
        <v>343</v>
      </c>
      <c r="C1952" s="1" t="s">
        <v>857</v>
      </c>
      <c r="D1952" s="74">
        <v>300.0</v>
      </c>
      <c r="E1952" s="67">
        <v>11.26</v>
      </c>
      <c r="F1952" s="75">
        <v>0.4820949074074074</v>
      </c>
      <c r="G1952" s="67" t="s">
        <v>453</v>
      </c>
      <c r="H1952" s="68">
        <v>1.5</v>
      </c>
      <c r="I1952" s="76"/>
      <c r="J1952" s="67">
        <f t="shared" si="139"/>
        <v>-3379.5</v>
      </c>
      <c r="K1952" s="7"/>
      <c r="L1952" s="70"/>
      <c r="M1952" s="79"/>
      <c r="N1952" s="1"/>
      <c r="O1952" s="1"/>
      <c r="P1952" s="1"/>
      <c r="Q1952" s="1"/>
      <c r="R1952" s="1"/>
      <c r="S1952" s="1"/>
      <c r="T1952" s="1"/>
      <c r="U1952" s="1"/>
      <c r="V1952" s="1"/>
      <c r="W1952" s="1"/>
      <c r="X1952" s="1"/>
      <c r="Y1952" s="1"/>
      <c r="Z1952" s="1"/>
      <c r="AA1952" s="1"/>
      <c r="AB1952" s="1"/>
      <c r="AC1952" s="1"/>
      <c r="AD1952" s="1"/>
      <c r="AE1952" s="1"/>
      <c r="AF1952" s="1"/>
      <c r="AG1952" s="1"/>
      <c r="AH1952" s="1"/>
    </row>
    <row r="1953" ht="12.75" hidden="1" customHeight="1" outlineLevel="1">
      <c r="A1953" s="17">
        <v>41324.0</v>
      </c>
      <c r="B1953" s="1" t="s">
        <v>347</v>
      </c>
      <c r="C1953" s="1" t="s">
        <v>861</v>
      </c>
      <c r="D1953" s="74">
        <v>450.0</v>
      </c>
      <c r="E1953" s="67">
        <v>13.245</v>
      </c>
      <c r="F1953" s="75">
        <v>0.6001388888888889</v>
      </c>
      <c r="G1953" s="67" t="s">
        <v>453</v>
      </c>
      <c r="H1953" s="68">
        <v>2.15</v>
      </c>
      <c r="I1953" s="76"/>
      <c r="J1953" s="67">
        <f t="shared" si="139"/>
        <v>5958.1</v>
      </c>
      <c r="K1953" s="7"/>
      <c r="L1953" s="70"/>
      <c r="M1953" s="79"/>
      <c r="N1953" s="1"/>
      <c r="O1953" s="1"/>
      <c r="P1953" s="1"/>
      <c r="Q1953" s="1"/>
      <c r="R1953" s="1"/>
      <c r="S1953" s="1"/>
      <c r="T1953" s="1"/>
      <c r="U1953" s="1"/>
      <c r="V1953" s="1"/>
      <c r="W1953" s="1"/>
      <c r="X1953" s="1"/>
      <c r="Y1953" s="1"/>
      <c r="Z1953" s="1"/>
      <c r="AA1953" s="1"/>
      <c r="AB1953" s="1"/>
      <c r="AC1953" s="1"/>
      <c r="AD1953" s="1"/>
      <c r="AE1953" s="1"/>
      <c r="AF1953" s="1"/>
      <c r="AG1953" s="1"/>
      <c r="AH1953" s="1"/>
    </row>
    <row r="1954" ht="12.75" hidden="1" customHeight="1" outlineLevel="1">
      <c r="A1954" s="17">
        <v>41324.0</v>
      </c>
      <c r="B1954" s="1" t="s">
        <v>343</v>
      </c>
      <c r="C1954" s="1" t="s">
        <v>904</v>
      </c>
      <c r="D1954" s="74">
        <v>300.0</v>
      </c>
      <c r="E1954" s="67">
        <v>44.48</v>
      </c>
      <c r="F1954" s="75">
        <v>0.6171180555555555</v>
      </c>
      <c r="G1954" s="67" t="s">
        <v>453</v>
      </c>
      <c r="H1954" s="68">
        <v>1.4</v>
      </c>
      <c r="I1954" s="76"/>
      <c r="J1954" s="67">
        <f t="shared" si="139"/>
        <v>-13345.4</v>
      </c>
      <c r="K1954" s="7"/>
      <c r="L1954" s="70"/>
      <c r="M1954" s="79"/>
      <c r="N1954" s="1"/>
      <c r="O1954" s="1"/>
      <c r="P1954" s="1"/>
      <c r="Q1954" s="1"/>
      <c r="R1954" s="1"/>
      <c r="S1954" s="1"/>
      <c r="T1954" s="1"/>
      <c r="U1954" s="1"/>
      <c r="V1954" s="1"/>
      <c r="W1954" s="1"/>
      <c r="X1954" s="1"/>
      <c r="Y1954" s="1"/>
      <c r="Z1954" s="1"/>
      <c r="AA1954" s="1"/>
      <c r="AB1954" s="1"/>
      <c r="AC1954" s="1"/>
      <c r="AD1954" s="1"/>
      <c r="AE1954" s="1"/>
      <c r="AF1954" s="1"/>
      <c r="AG1954" s="1"/>
      <c r="AH1954" s="1"/>
    </row>
    <row r="1955" ht="12.75" hidden="1" customHeight="1" outlineLevel="1">
      <c r="A1955" s="17">
        <v>41324.0</v>
      </c>
      <c r="B1955" s="1" t="s">
        <v>343</v>
      </c>
      <c r="C1955" s="1" t="s">
        <v>890</v>
      </c>
      <c r="D1955" s="74">
        <v>1000.0</v>
      </c>
      <c r="E1955" s="67">
        <v>12.2</v>
      </c>
      <c r="F1955" s="75">
        <v>0.6172685185185185</v>
      </c>
      <c r="G1955" s="67" t="s">
        <v>453</v>
      </c>
      <c r="H1955" s="68">
        <v>4.0</v>
      </c>
      <c r="I1955" s="76"/>
      <c r="J1955" s="67">
        <f t="shared" si="139"/>
        <v>-12204</v>
      </c>
      <c r="K1955" s="7"/>
      <c r="L1955" s="70"/>
      <c r="M1955" s="79"/>
      <c r="N1955" s="1"/>
      <c r="O1955" s="1"/>
      <c r="P1955" s="1"/>
      <c r="Q1955" s="1"/>
      <c r="R1955" s="1"/>
      <c r="S1955" s="1"/>
      <c r="T1955" s="1"/>
      <c r="U1955" s="1"/>
      <c r="V1955" s="1"/>
      <c r="W1955" s="1"/>
      <c r="X1955" s="1"/>
      <c r="Y1955" s="1"/>
      <c r="Z1955" s="1"/>
      <c r="AA1955" s="1"/>
      <c r="AB1955" s="1"/>
      <c r="AC1955" s="1"/>
      <c r="AD1955" s="1"/>
      <c r="AE1955" s="1"/>
      <c r="AF1955" s="1"/>
      <c r="AG1955" s="1"/>
      <c r="AH1955" s="1"/>
    </row>
    <row r="1956" ht="12.75" hidden="1" customHeight="1" outlineLevel="1">
      <c r="A1956" s="17">
        <v>41324.0</v>
      </c>
      <c r="B1956" s="1"/>
      <c r="C1956" s="1" t="s">
        <v>339</v>
      </c>
      <c r="D1956" s="74"/>
      <c r="E1956" s="67"/>
      <c r="F1956" s="75"/>
      <c r="G1956" s="67"/>
      <c r="H1956" s="68"/>
      <c r="I1956" s="76"/>
      <c r="J1956" s="67"/>
      <c r="K1956" s="7" t="s">
        <v>905</v>
      </c>
      <c r="L1956" s="77"/>
      <c r="M1956" s="79"/>
      <c r="N1956" s="1"/>
      <c r="O1956" s="1"/>
      <c r="P1956" s="1"/>
      <c r="Q1956" s="1"/>
      <c r="R1956" s="1"/>
      <c r="S1956" s="1"/>
      <c r="T1956" s="1"/>
      <c r="U1956" s="1"/>
      <c r="V1956" s="1"/>
      <c r="W1956" s="1"/>
      <c r="X1956" s="1"/>
      <c r="Y1956" s="1"/>
      <c r="Z1956" s="1"/>
      <c r="AA1956" s="1"/>
      <c r="AB1956" s="1"/>
      <c r="AC1956" s="1"/>
      <c r="AD1956" s="1"/>
      <c r="AE1956" s="1"/>
      <c r="AF1956" s="1"/>
      <c r="AG1956" s="1"/>
      <c r="AH1956" s="1"/>
    </row>
    <row r="1957" ht="12.75" hidden="1" customHeight="1" outlineLevel="1">
      <c r="A1957" s="17">
        <v>41324.0</v>
      </c>
      <c r="B1957" s="1"/>
      <c r="C1957" s="1" t="s">
        <v>429</v>
      </c>
      <c r="D1957" s="74"/>
      <c r="E1957" s="67"/>
      <c r="F1957" s="75"/>
      <c r="G1957" s="67"/>
      <c r="H1957" s="68"/>
      <c r="I1957" s="76"/>
      <c r="J1957" s="67"/>
      <c r="K1957" s="7" t="s">
        <v>679</v>
      </c>
      <c r="L1957" s="77"/>
      <c r="M1957" s="79"/>
      <c r="N1957" s="1"/>
      <c r="O1957" s="1"/>
      <c r="P1957" s="1"/>
      <c r="Q1957" s="1"/>
      <c r="R1957" s="1"/>
      <c r="S1957" s="1"/>
      <c r="T1957" s="1"/>
      <c r="U1957" s="1"/>
      <c r="V1957" s="1"/>
      <c r="W1957" s="1"/>
      <c r="X1957" s="1"/>
      <c r="Y1957" s="1"/>
      <c r="Z1957" s="1"/>
      <c r="AA1957" s="1"/>
      <c r="AB1957" s="1"/>
      <c r="AC1957" s="1"/>
      <c r="AD1957" s="1"/>
      <c r="AE1957" s="1"/>
      <c r="AF1957" s="1"/>
      <c r="AG1957" s="1"/>
      <c r="AH1957" s="1"/>
    </row>
    <row r="1958" ht="12.75" hidden="1" customHeight="1" outlineLevel="1">
      <c r="A1958" s="17">
        <v>41324.0</v>
      </c>
      <c r="B1958" s="1"/>
      <c r="C1958" s="1" t="s">
        <v>431</v>
      </c>
      <c r="D1958" s="74"/>
      <c r="E1958" s="67"/>
      <c r="F1958" s="75"/>
      <c r="G1958" s="67"/>
      <c r="H1958" s="68"/>
      <c r="I1958" s="76"/>
      <c r="J1958" s="67"/>
      <c r="K1958" s="7" t="s">
        <v>817</v>
      </c>
      <c r="L1958" s="77"/>
      <c r="M1958" s="79"/>
      <c r="N1958" s="1"/>
      <c r="O1958" s="1"/>
      <c r="P1958" s="1"/>
      <c r="Q1958" s="1"/>
      <c r="R1958" s="1"/>
      <c r="S1958" s="1"/>
      <c r="T1958" s="1"/>
      <c r="U1958" s="1"/>
      <c r="V1958" s="1"/>
      <c r="W1958" s="1"/>
      <c r="X1958" s="1"/>
      <c r="Y1958" s="1"/>
      <c r="Z1958" s="1"/>
      <c r="AA1958" s="1"/>
      <c r="AB1958" s="1"/>
      <c r="AC1958" s="1"/>
      <c r="AD1958" s="1"/>
      <c r="AE1958" s="1"/>
      <c r="AF1958" s="1"/>
      <c r="AG1958" s="1"/>
      <c r="AH1958" s="1"/>
    </row>
    <row r="1959" ht="12.75" hidden="1" customHeight="1" outlineLevel="1">
      <c r="A1959" s="17">
        <v>41324.0</v>
      </c>
      <c r="B1959" s="1"/>
      <c r="C1959" s="1" t="s">
        <v>433</v>
      </c>
      <c r="D1959" s="74"/>
      <c r="E1959" s="67"/>
      <c r="F1959" s="75"/>
      <c r="G1959" s="67"/>
      <c r="H1959" s="68"/>
      <c r="I1959" s="76"/>
      <c r="J1959" s="67"/>
      <c r="K1959" s="7" t="s">
        <v>434</v>
      </c>
      <c r="L1959" s="77"/>
      <c r="M1959" s="79"/>
      <c r="N1959" s="1"/>
      <c r="O1959" s="1"/>
      <c r="P1959" s="1"/>
      <c r="Q1959" s="1"/>
      <c r="R1959" s="1"/>
      <c r="S1959" s="1"/>
      <c r="T1959" s="1"/>
      <c r="U1959" s="1"/>
      <c r="V1959" s="1"/>
      <c r="W1959" s="1"/>
      <c r="X1959" s="1"/>
      <c r="Y1959" s="1"/>
      <c r="Z1959" s="1"/>
      <c r="AA1959" s="1"/>
      <c r="AB1959" s="1"/>
      <c r="AC1959" s="1"/>
      <c r="AD1959" s="1"/>
      <c r="AE1959" s="1"/>
      <c r="AF1959" s="1"/>
      <c r="AG1959" s="1"/>
      <c r="AH1959" s="1"/>
    </row>
    <row r="1960" ht="12.75" hidden="1" customHeight="1" outlineLevel="1">
      <c r="A1960" s="17">
        <v>41324.0</v>
      </c>
      <c r="B1960" s="1"/>
      <c r="C1960" s="1" t="s">
        <v>435</v>
      </c>
      <c r="D1960" s="74"/>
      <c r="E1960" s="67"/>
      <c r="F1960" s="75"/>
      <c r="G1960" s="67"/>
      <c r="H1960" s="68"/>
      <c r="I1960" s="76"/>
      <c r="J1960" s="67"/>
      <c r="K1960" s="7" t="s">
        <v>818</v>
      </c>
      <c r="L1960" s="77"/>
      <c r="M1960" s="79"/>
      <c r="N1960" s="1"/>
      <c r="O1960" s="1"/>
      <c r="P1960" s="1"/>
      <c r="Q1960" s="1"/>
      <c r="R1960" s="1"/>
      <c r="S1960" s="1"/>
      <c r="T1960" s="1"/>
      <c r="U1960" s="1"/>
      <c r="V1960" s="1"/>
      <c r="W1960" s="1"/>
      <c r="X1960" s="1"/>
      <c r="Y1960" s="1"/>
      <c r="Z1960" s="1"/>
      <c r="AA1960" s="1"/>
      <c r="AB1960" s="1"/>
      <c r="AC1960" s="1"/>
      <c r="AD1960" s="1"/>
      <c r="AE1960" s="1"/>
      <c r="AF1960" s="1"/>
      <c r="AG1960" s="1"/>
      <c r="AH1960" s="1"/>
    </row>
    <row r="1961" ht="12.75" hidden="1" customHeight="1" outlineLevel="1">
      <c r="A1961" s="17">
        <v>41325.0</v>
      </c>
      <c r="B1961" s="1" t="s">
        <v>347</v>
      </c>
      <c r="C1961" s="1" t="s">
        <v>349</v>
      </c>
      <c r="D1961" s="74">
        <v>300.0</v>
      </c>
      <c r="E1961" s="67">
        <v>39.04</v>
      </c>
      <c r="F1961" s="75">
        <v>0.48006944444444444</v>
      </c>
      <c r="G1961" s="67" t="s">
        <v>453</v>
      </c>
      <c r="H1961" s="68">
        <v>1.5</v>
      </c>
      <c r="I1961" s="76"/>
      <c r="J1961" s="67">
        <f>IF(B1961="SLD",D1961*E1961,-D1961*E1961)-H1961</f>
        <v>11710.5</v>
      </c>
      <c r="K1961" s="7"/>
      <c r="L1961" s="70"/>
      <c r="M1961" s="79"/>
      <c r="N1961" s="1"/>
      <c r="O1961" s="1"/>
      <c r="P1961" s="1"/>
      <c r="Q1961" s="1"/>
      <c r="R1961" s="1"/>
      <c r="S1961" s="1"/>
      <c r="T1961" s="1"/>
      <c r="U1961" s="1"/>
      <c r="V1961" s="1"/>
      <c r="W1961" s="1"/>
      <c r="X1961" s="1"/>
      <c r="Y1961" s="1"/>
      <c r="Z1961" s="1"/>
      <c r="AA1961" s="1"/>
      <c r="AB1961" s="1"/>
      <c r="AC1961" s="1"/>
      <c r="AD1961" s="1"/>
      <c r="AE1961" s="1"/>
      <c r="AF1961" s="1"/>
      <c r="AG1961" s="1"/>
      <c r="AH1961" s="1"/>
    </row>
    <row r="1962" ht="12.75" hidden="1" customHeight="1" outlineLevel="1">
      <c r="A1962" s="17">
        <v>41325.0</v>
      </c>
      <c r="B1962" s="1"/>
      <c r="C1962" s="1" t="s">
        <v>339</v>
      </c>
      <c r="D1962" s="74"/>
      <c r="E1962" s="67"/>
      <c r="F1962" s="75"/>
      <c r="G1962" s="67"/>
      <c r="H1962" s="68"/>
      <c r="I1962" s="76"/>
      <c r="J1962" s="67"/>
      <c r="K1962" s="7" t="s">
        <v>906</v>
      </c>
      <c r="L1962" s="77"/>
      <c r="M1962" s="79"/>
      <c r="N1962" s="1"/>
      <c r="O1962" s="1"/>
      <c r="P1962" s="1"/>
      <c r="Q1962" s="1"/>
      <c r="R1962" s="1"/>
      <c r="S1962" s="1"/>
      <c r="T1962" s="1"/>
      <c r="U1962" s="1"/>
      <c r="V1962" s="1"/>
      <c r="W1962" s="1"/>
      <c r="X1962" s="1"/>
      <c r="Y1962" s="1"/>
      <c r="Z1962" s="1"/>
      <c r="AA1962" s="1"/>
      <c r="AB1962" s="1"/>
      <c r="AC1962" s="1"/>
      <c r="AD1962" s="1"/>
      <c r="AE1962" s="1"/>
      <c r="AF1962" s="1"/>
      <c r="AG1962" s="1"/>
      <c r="AH1962" s="1"/>
    </row>
    <row r="1963" ht="12.75" hidden="1" customHeight="1" outlineLevel="1">
      <c r="A1963" s="17">
        <v>41325.0</v>
      </c>
      <c r="B1963" s="1"/>
      <c r="C1963" s="1" t="s">
        <v>429</v>
      </c>
      <c r="D1963" s="74"/>
      <c r="E1963" s="67"/>
      <c r="F1963" s="75"/>
      <c r="G1963" s="67"/>
      <c r="H1963" s="68"/>
      <c r="I1963" s="76"/>
      <c r="J1963" s="67"/>
      <c r="K1963" s="7" t="s">
        <v>679</v>
      </c>
      <c r="L1963" s="77"/>
      <c r="M1963" s="79"/>
      <c r="N1963" s="1"/>
      <c r="O1963" s="1"/>
      <c r="P1963" s="1"/>
      <c r="Q1963" s="1"/>
      <c r="R1963" s="1"/>
      <c r="S1963" s="1"/>
      <c r="T1963" s="1"/>
      <c r="U1963" s="1"/>
      <c r="V1963" s="1"/>
      <c r="W1963" s="1"/>
      <c r="X1963" s="1"/>
      <c r="Y1963" s="1"/>
      <c r="Z1963" s="1"/>
      <c r="AA1963" s="1"/>
      <c r="AB1963" s="1"/>
      <c r="AC1963" s="1"/>
      <c r="AD1963" s="1"/>
      <c r="AE1963" s="1"/>
      <c r="AF1963" s="1"/>
      <c r="AG1963" s="1"/>
      <c r="AH1963" s="1"/>
    </row>
    <row r="1964" ht="12.75" hidden="1" customHeight="1" outlineLevel="1">
      <c r="A1964" s="17">
        <v>41325.0</v>
      </c>
      <c r="B1964" s="1"/>
      <c r="C1964" s="1" t="s">
        <v>431</v>
      </c>
      <c r="D1964" s="74"/>
      <c r="E1964" s="67"/>
      <c r="F1964" s="75"/>
      <c r="G1964" s="67"/>
      <c r="H1964" s="68"/>
      <c r="I1964" s="76"/>
      <c r="J1964" s="67"/>
      <c r="K1964" s="7" t="s">
        <v>817</v>
      </c>
      <c r="L1964" s="77"/>
      <c r="M1964" s="79"/>
      <c r="N1964" s="1"/>
      <c r="O1964" s="1"/>
      <c r="P1964" s="1"/>
      <c r="Q1964" s="1"/>
      <c r="R1964" s="1"/>
      <c r="S1964" s="1"/>
      <c r="T1964" s="1"/>
      <c r="U1964" s="1"/>
      <c r="V1964" s="1"/>
      <c r="W1964" s="1"/>
      <c r="X1964" s="1"/>
      <c r="Y1964" s="1"/>
      <c r="Z1964" s="1"/>
      <c r="AA1964" s="1"/>
      <c r="AB1964" s="1"/>
      <c r="AC1964" s="1"/>
      <c r="AD1964" s="1"/>
      <c r="AE1964" s="1"/>
      <c r="AF1964" s="1"/>
      <c r="AG1964" s="1"/>
      <c r="AH1964" s="1"/>
    </row>
    <row r="1965" ht="12.75" hidden="1" customHeight="1" outlineLevel="1">
      <c r="A1965" s="17">
        <v>41325.0</v>
      </c>
      <c r="B1965" s="1"/>
      <c r="C1965" s="1" t="s">
        <v>433</v>
      </c>
      <c r="D1965" s="74"/>
      <c r="E1965" s="67"/>
      <c r="F1965" s="75"/>
      <c r="G1965" s="67"/>
      <c r="H1965" s="68"/>
      <c r="I1965" s="76"/>
      <c r="J1965" s="67"/>
      <c r="K1965" s="7" t="s">
        <v>434</v>
      </c>
      <c r="L1965" s="77"/>
      <c r="M1965" s="79"/>
      <c r="N1965" s="1"/>
      <c r="O1965" s="1"/>
      <c r="P1965" s="1"/>
      <c r="Q1965" s="1"/>
      <c r="R1965" s="1"/>
      <c r="S1965" s="1"/>
      <c r="T1965" s="1"/>
      <c r="U1965" s="1"/>
      <c r="V1965" s="1"/>
      <c r="W1965" s="1"/>
      <c r="X1965" s="1"/>
      <c r="Y1965" s="1"/>
      <c r="Z1965" s="1"/>
      <c r="AA1965" s="1"/>
      <c r="AB1965" s="1"/>
      <c r="AC1965" s="1"/>
      <c r="AD1965" s="1"/>
      <c r="AE1965" s="1"/>
      <c r="AF1965" s="1"/>
      <c r="AG1965" s="1"/>
      <c r="AH1965" s="1"/>
    </row>
    <row r="1966" ht="12.75" hidden="1" customHeight="1" outlineLevel="1">
      <c r="A1966" s="17">
        <v>41325.0</v>
      </c>
      <c r="B1966" s="1"/>
      <c r="C1966" s="1" t="s">
        <v>435</v>
      </c>
      <c r="D1966" s="74"/>
      <c r="E1966" s="67"/>
      <c r="F1966" s="75"/>
      <c r="G1966" s="67"/>
      <c r="H1966" s="68"/>
      <c r="I1966" s="76"/>
      <c r="J1966" s="67"/>
      <c r="K1966" s="7" t="s">
        <v>818</v>
      </c>
      <c r="L1966" s="77"/>
      <c r="M1966" s="79"/>
      <c r="N1966" s="1"/>
      <c r="O1966" s="1"/>
      <c r="P1966" s="1"/>
      <c r="Q1966" s="1"/>
      <c r="R1966" s="1"/>
      <c r="S1966" s="1"/>
      <c r="T1966" s="1"/>
      <c r="U1966" s="1"/>
      <c r="V1966" s="1"/>
      <c r="W1966" s="1"/>
      <c r="X1966" s="1"/>
      <c r="Y1966" s="1"/>
      <c r="Z1966" s="1"/>
      <c r="AA1966" s="1"/>
      <c r="AB1966" s="1"/>
      <c r="AC1966" s="1"/>
      <c r="AD1966" s="1"/>
      <c r="AE1966" s="1"/>
      <c r="AF1966" s="1"/>
      <c r="AG1966" s="1"/>
      <c r="AH1966" s="1"/>
    </row>
    <row r="1967" ht="12.75" hidden="1" customHeight="1" outlineLevel="1">
      <c r="A1967" s="17">
        <v>41326.0</v>
      </c>
      <c r="B1967" s="1" t="s">
        <v>347</v>
      </c>
      <c r="C1967" s="1" t="s">
        <v>904</v>
      </c>
      <c r="D1967" s="74">
        <v>300.0</v>
      </c>
      <c r="E1967" s="67">
        <v>42.12</v>
      </c>
      <c r="F1967" s="75">
        <v>0.4152777777777778</v>
      </c>
      <c r="G1967" s="67" t="s">
        <v>453</v>
      </c>
      <c r="H1967" s="68">
        <v>1.2</v>
      </c>
      <c r="I1967" s="76"/>
      <c r="J1967" s="67">
        <f t="shared" ref="J1967:J1979" si="140">IF(B1967="SLD",D1967*E1967,-D1967*E1967)-H1967</f>
        <v>12634.8</v>
      </c>
      <c r="K1967" s="7"/>
      <c r="L1967" s="70"/>
      <c r="M1967" s="79"/>
      <c r="N1967" s="1"/>
      <c r="O1967" s="1"/>
      <c r="P1967" s="1"/>
      <c r="Q1967" s="1"/>
      <c r="R1967" s="1"/>
      <c r="S1967" s="1"/>
      <c r="T1967" s="1"/>
      <c r="U1967" s="1"/>
      <c r="V1967" s="1"/>
      <c r="W1967" s="1"/>
      <c r="X1967" s="1"/>
      <c r="Y1967" s="1"/>
      <c r="Z1967" s="1"/>
      <c r="AA1967" s="1"/>
      <c r="AB1967" s="1"/>
      <c r="AC1967" s="1"/>
      <c r="AD1967" s="1"/>
      <c r="AE1967" s="1"/>
      <c r="AF1967" s="1"/>
      <c r="AG1967" s="1"/>
      <c r="AH1967" s="1"/>
    </row>
    <row r="1968" ht="12.75" hidden="1" customHeight="1" outlineLevel="1">
      <c r="A1968" s="17">
        <v>41326.0</v>
      </c>
      <c r="B1968" s="1" t="s">
        <v>347</v>
      </c>
      <c r="C1968" s="1" t="s">
        <v>890</v>
      </c>
      <c r="D1968" s="74">
        <v>100.0</v>
      </c>
      <c r="E1968" s="67">
        <v>11.54</v>
      </c>
      <c r="F1968" s="75">
        <v>0.4206018518518519</v>
      </c>
      <c r="G1968" s="67" t="s">
        <v>453</v>
      </c>
      <c r="H1968" s="68">
        <v>1.0</v>
      </c>
      <c r="I1968" s="76"/>
      <c r="J1968" s="67">
        <f t="shared" si="140"/>
        <v>1153</v>
      </c>
      <c r="K1968" s="7"/>
      <c r="L1968" s="70"/>
      <c r="M1968" s="79"/>
      <c r="N1968" s="1"/>
      <c r="O1968" s="1"/>
      <c r="P1968" s="1"/>
      <c r="Q1968" s="1"/>
      <c r="R1968" s="1"/>
      <c r="S1968" s="1"/>
      <c r="T1968" s="1"/>
      <c r="U1968" s="1"/>
      <c r="V1968" s="1"/>
      <c r="W1968" s="1"/>
      <c r="X1968" s="1"/>
      <c r="Y1968" s="1"/>
      <c r="Z1968" s="1"/>
      <c r="AA1968" s="1"/>
      <c r="AB1968" s="1"/>
      <c r="AC1968" s="1"/>
      <c r="AD1968" s="1"/>
      <c r="AE1968" s="1"/>
      <c r="AF1968" s="1"/>
      <c r="AG1968" s="1"/>
      <c r="AH1968" s="1"/>
    </row>
    <row r="1969" ht="12.75" hidden="1" customHeight="1" outlineLevel="1">
      <c r="A1969" s="17">
        <v>41326.0</v>
      </c>
      <c r="B1969" s="1" t="s">
        <v>347</v>
      </c>
      <c r="C1969" s="1" t="s">
        <v>890</v>
      </c>
      <c r="D1969" s="74">
        <v>900.0</v>
      </c>
      <c r="E1969" s="67">
        <v>11.54</v>
      </c>
      <c r="F1969" s="75">
        <v>0.4207407407407407</v>
      </c>
      <c r="G1969" s="67" t="s">
        <v>453</v>
      </c>
      <c r="H1969" s="68">
        <v>3.6</v>
      </c>
      <c r="I1969" s="76"/>
      <c r="J1969" s="67">
        <f t="shared" si="140"/>
        <v>10382.4</v>
      </c>
      <c r="K1969" s="7"/>
      <c r="L1969" s="70"/>
      <c r="M1969" s="79"/>
      <c r="N1969" s="1"/>
      <c r="O1969" s="1"/>
      <c r="P1969" s="1"/>
      <c r="Q1969" s="1"/>
      <c r="R1969" s="1"/>
      <c r="S1969" s="1"/>
      <c r="T1969" s="1"/>
      <c r="U1969" s="1"/>
      <c r="V1969" s="1"/>
      <c r="W1969" s="1"/>
      <c r="X1969" s="1"/>
      <c r="Y1969" s="1"/>
      <c r="Z1969" s="1"/>
      <c r="AA1969" s="1"/>
      <c r="AB1969" s="1"/>
      <c r="AC1969" s="1"/>
      <c r="AD1969" s="1"/>
      <c r="AE1969" s="1"/>
      <c r="AF1969" s="1"/>
      <c r="AG1969" s="1"/>
      <c r="AH1969" s="1"/>
    </row>
    <row r="1970" ht="12.75" hidden="1" customHeight="1" outlineLevel="1">
      <c r="A1970" s="17">
        <v>41326.0</v>
      </c>
      <c r="B1970" s="1" t="s">
        <v>347</v>
      </c>
      <c r="C1970" s="1" t="s">
        <v>870</v>
      </c>
      <c r="D1970" s="74">
        <v>150.0</v>
      </c>
      <c r="E1970" s="67">
        <v>78.08</v>
      </c>
      <c r="F1970" s="75">
        <v>0.42159722222222223</v>
      </c>
      <c r="G1970" s="67" t="s">
        <v>453</v>
      </c>
      <c r="H1970" s="68">
        <v>1.0</v>
      </c>
      <c r="I1970" s="76"/>
      <c r="J1970" s="67">
        <f t="shared" si="140"/>
        <v>11711</v>
      </c>
      <c r="K1970" s="7"/>
      <c r="L1970" s="70"/>
      <c r="M1970" s="79"/>
      <c r="N1970" s="1"/>
      <c r="O1970" s="1"/>
      <c r="P1970" s="1"/>
      <c r="Q1970" s="1"/>
      <c r="R1970" s="1"/>
      <c r="S1970" s="1"/>
      <c r="T1970" s="1"/>
      <c r="U1970" s="1"/>
      <c r="V1970" s="1"/>
      <c r="W1970" s="1"/>
      <c r="X1970" s="1"/>
      <c r="Y1970" s="1"/>
      <c r="Z1970" s="1"/>
      <c r="AA1970" s="1"/>
      <c r="AB1970" s="1"/>
      <c r="AC1970" s="1"/>
      <c r="AD1970" s="1"/>
      <c r="AE1970" s="1"/>
      <c r="AF1970" s="1"/>
      <c r="AG1970" s="1"/>
      <c r="AH1970" s="1"/>
    </row>
    <row r="1971" ht="12.75" hidden="1" customHeight="1" outlineLevel="1">
      <c r="A1971" s="17">
        <v>41326.0</v>
      </c>
      <c r="B1971" s="1" t="s">
        <v>347</v>
      </c>
      <c r="C1971" s="1" t="s">
        <v>354</v>
      </c>
      <c r="D1971" s="74">
        <v>100.0</v>
      </c>
      <c r="E1971" s="67">
        <v>83.19</v>
      </c>
      <c r="F1971" s="75">
        <v>0.4317476851851852</v>
      </c>
      <c r="G1971" s="67" t="s">
        <v>453</v>
      </c>
      <c r="H1971" s="68">
        <v>1.0</v>
      </c>
      <c r="I1971" s="76"/>
      <c r="J1971" s="67">
        <f t="shared" si="140"/>
        <v>8318</v>
      </c>
      <c r="K1971" s="7"/>
      <c r="L1971" s="70"/>
      <c r="M1971" s="79"/>
      <c r="N1971" s="1"/>
      <c r="O1971" s="1"/>
      <c r="P1971" s="1"/>
      <c r="Q1971" s="1"/>
      <c r="R1971" s="1"/>
      <c r="S1971" s="1"/>
      <c r="T1971" s="1"/>
      <c r="U1971" s="1"/>
      <c r="V1971" s="1"/>
      <c r="W1971" s="1"/>
      <c r="X1971" s="1"/>
      <c r="Y1971" s="1"/>
      <c r="Z1971" s="1"/>
      <c r="AA1971" s="1"/>
      <c r="AB1971" s="1"/>
      <c r="AC1971" s="1"/>
      <c r="AD1971" s="1"/>
      <c r="AE1971" s="1"/>
      <c r="AF1971" s="1"/>
      <c r="AG1971" s="1"/>
      <c r="AH1971" s="1"/>
    </row>
    <row r="1972" ht="12.75" hidden="1" customHeight="1" outlineLevel="1">
      <c r="A1972" s="17">
        <v>41326.0</v>
      </c>
      <c r="B1972" s="1" t="s">
        <v>347</v>
      </c>
      <c r="C1972" s="1" t="s">
        <v>887</v>
      </c>
      <c r="D1972" s="74">
        <v>600.0</v>
      </c>
      <c r="E1972" s="67">
        <v>22.042</v>
      </c>
      <c r="F1972" s="75">
        <v>0.46876157407407404</v>
      </c>
      <c r="G1972" s="67" t="s">
        <v>453</v>
      </c>
      <c r="H1972" s="68">
        <v>2.4</v>
      </c>
      <c r="I1972" s="76"/>
      <c r="J1972" s="67">
        <f t="shared" si="140"/>
        <v>13222.8</v>
      </c>
      <c r="K1972" s="7"/>
      <c r="L1972" s="70"/>
      <c r="M1972" s="79"/>
      <c r="N1972" s="1"/>
      <c r="O1972" s="1"/>
      <c r="P1972" s="1"/>
      <c r="Q1972" s="1"/>
      <c r="R1972" s="1"/>
      <c r="S1972" s="1"/>
      <c r="T1972" s="1"/>
      <c r="U1972" s="1"/>
      <c r="V1972" s="1"/>
      <c r="W1972" s="1"/>
      <c r="X1972" s="1"/>
      <c r="Y1972" s="1"/>
      <c r="Z1972" s="1"/>
      <c r="AA1972" s="1"/>
      <c r="AB1972" s="1"/>
      <c r="AC1972" s="1"/>
      <c r="AD1972" s="1"/>
      <c r="AE1972" s="1"/>
      <c r="AF1972" s="1"/>
      <c r="AG1972" s="1"/>
      <c r="AH1972" s="1"/>
    </row>
    <row r="1973" ht="12.75" hidden="1" customHeight="1" outlineLevel="1">
      <c r="A1973" s="17">
        <v>41326.0</v>
      </c>
      <c r="B1973" s="1" t="s">
        <v>347</v>
      </c>
      <c r="C1973" s="1" t="s">
        <v>354</v>
      </c>
      <c r="D1973" s="74">
        <v>150.0</v>
      </c>
      <c r="E1973" s="67">
        <v>83.11</v>
      </c>
      <c r="F1973" s="75">
        <v>0.4901273148148148</v>
      </c>
      <c r="G1973" s="67" t="s">
        <v>453</v>
      </c>
      <c r="H1973" s="68">
        <v>1.0</v>
      </c>
      <c r="I1973" s="76"/>
      <c r="J1973" s="67">
        <f t="shared" si="140"/>
        <v>12465.5</v>
      </c>
      <c r="K1973" s="7"/>
      <c r="L1973" s="70"/>
      <c r="M1973" s="79"/>
      <c r="N1973" s="1"/>
      <c r="O1973" s="1"/>
      <c r="P1973" s="1"/>
      <c r="Q1973" s="1"/>
      <c r="R1973" s="1"/>
      <c r="S1973" s="1"/>
      <c r="T1973" s="1"/>
      <c r="U1973" s="1"/>
      <c r="V1973" s="1"/>
      <c r="W1973" s="1"/>
      <c r="X1973" s="1"/>
      <c r="Y1973" s="1"/>
      <c r="Z1973" s="1"/>
      <c r="AA1973" s="1"/>
      <c r="AB1973" s="1"/>
      <c r="AC1973" s="1"/>
      <c r="AD1973" s="1"/>
      <c r="AE1973" s="1"/>
      <c r="AF1973" s="1"/>
      <c r="AG1973" s="1"/>
      <c r="AH1973" s="1"/>
    </row>
    <row r="1974" ht="12.75" hidden="1" customHeight="1" outlineLevel="1">
      <c r="A1974" s="17">
        <v>41326.0</v>
      </c>
      <c r="B1974" s="1" t="s">
        <v>347</v>
      </c>
      <c r="C1974" s="1" t="s">
        <v>902</v>
      </c>
      <c r="D1974" s="74">
        <v>400.0</v>
      </c>
      <c r="E1974" s="67">
        <v>39.97</v>
      </c>
      <c r="F1974" s="75">
        <v>0.5896875</v>
      </c>
      <c r="G1974" s="67" t="s">
        <v>453</v>
      </c>
      <c r="H1974" s="68">
        <v>1.6</v>
      </c>
      <c r="I1974" s="76"/>
      <c r="J1974" s="67">
        <f t="shared" si="140"/>
        <v>15986.4</v>
      </c>
      <c r="K1974" s="7"/>
      <c r="L1974" s="70"/>
      <c r="M1974" s="79"/>
      <c r="N1974" s="1"/>
      <c r="O1974" s="1"/>
      <c r="P1974" s="1"/>
      <c r="Q1974" s="1"/>
      <c r="R1974" s="1"/>
      <c r="S1974" s="1"/>
      <c r="T1974" s="1"/>
      <c r="U1974" s="1"/>
      <c r="V1974" s="1"/>
      <c r="W1974" s="1"/>
      <c r="X1974" s="1"/>
      <c r="Y1974" s="1"/>
      <c r="Z1974" s="1"/>
      <c r="AA1974" s="1"/>
      <c r="AB1974" s="1"/>
      <c r="AC1974" s="1"/>
      <c r="AD1974" s="1"/>
      <c r="AE1974" s="1"/>
      <c r="AF1974" s="1"/>
      <c r="AG1974" s="1"/>
      <c r="AH1974" s="1"/>
    </row>
    <row r="1975" ht="12.75" hidden="1" customHeight="1" outlineLevel="1">
      <c r="A1975" s="17">
        <v>41326.0</v>
      </c>
      <c r="B1975" s="1" t="s">
        <v>347</v>
      </c>
      <c r="C1975" s="1" t="s">
        <v>841</v>
      </c>
      <c r="D1975" s="74">
        <v>500.0</v>
      </c>
      <c r="E1975" s="67">
        <v>21.11</v>
      </c>
      <c r="F1975" s="75">
        <v>0.6146527777777778</v>
      </c>
      <c r="G1975" s="67" t="s">
        <v>453</v>
      </c>
      <c r="H1975" s="68">
        <v>2.0</v>
      </c>
      <c r="I1975" s="76"/>
      <c r="J1975" s="67">
        <f t="shared" si="140"/>
        <v>10553</v>
      </c>
      <c r="K1975" s="7"/>
      <c r="L1975" s="70"/>
      <c r="M1975" s="79"/>
      <c r="N1975" s="1"/>
      <c r="O1975" s="1"/>
      <c r="P1975" s="1"/>
      <c r="Q1975" s="1"/>
      <c r="R1975" s="1"/>
      <c r="S1975" s="1"/>
      <c r="T1975" s="1"/>
      <c r="U1975" s="1"/>
      <c r="V1975" s="1"/>
      <c r="W1975" s="1"/>
      <c r="X1975" s="1"/>
      <c r="Y1975" s="1"/>
      <c r="Z1975" s="1"/>
      <c r="AA1975" s="1"/>
      <c r="AB1975" s="1"/>
      <c r="AC1975" s="1"/>
      <c r="AD1975" s="1"/>
      <c r="AE1975" s="1"/>
      <c r="AF1975" s="1"/>
      <c r="AG1975" s="1"/>
      <c r="AH1975" s="1"/>
    </row>
    <row r="1976" ht="12.75" hidden="1" customHeight="1" outlineLevel="1">
      <c r="A1976" s="17">
        <v>41326.0</v>
      </c>
      <c r="B1976" s="1" t="s">
        <v>347</v>
      </c>
      <c r="C1976" s="1" t="s">
        <v>869</v>
      </c>
      <c r="D1976" s="74">
        <v>500.0</v>
      </c>
      <c r="E1976" s="67">
        <v>21.93</v>
      </c>
      <c r="F1976" s="75">
        <v>0.6148958333333333</v>
      </c>
      <c r="G1976" s="67" t="s">
        <v>453</v>
      </c>
      <c r="H1976" s="68">
        <v>2.4</v>
      </c>
      <c r="I1976" s="76"/>
      <c r="J1976" s="67">
        <f t="shared" si="140"/>
        <v>10962.6</v>
      </c>
      <c r="K1976" s="7"/>
      <c r="L1976" s="70"/>
      <c r="M1976" s="79"/>
      <c r="N1976" s="1"/>
      <c r="O1976" s="1"/>
      <c r="P1976" s="1"/>
      <c r="Q1976" s="1"/>
      <c r="R1976" s="1"/>
      <c r="S1976" s="1"/>
      <c r="T1976" s="1"/>
      <c r="U1976" s="1"/>
      <c r="V1976" s="1"/>
      <c r="W1976" s="1"/>
      <c r="X1976" s="1"/>
      <c r="Y1976" s="1"/>
      <c r="Z1976" s="1"/>
      <c r="AA1976" s="1"/>
      <c r="AB1976" s="1"/>
      <c r="AC1976" s="1"/>
      <c r="AD1976" s="1"/>
      <c r="AE1976" s="1"/>
      <c r="AF1976" s="1"/>
      <c r="AG1976" s="1"/>
      <c r="AH1976" s="1"/>
    </row>
    <row r="1977" ht="12.75" hidden="1" customHeight="1" outlineLevel="1">
      <c r="A1977" s="17">
        <v>41326.0</v>
      </c>
      <c r="B1977" s="1" t="s">
        <v>347</v>
      </c>
      <c r="C1977" s="1" t="s">
        <v>868</v>
      </c>
      <c r="D1977" s="74">
        <v>350.0</v>
      </c>
      <c r="E1977" s="67">
        <v>31.83</v>
      </c>
      <c r="F1977" s="75">
        <v>0.6150694444444444</v>
      </c>
      <c r="G1977" s="67" t="s">
        <v>453</v>
      </c>
      <c r="H1977" s="68">
        <v>1.75</v>
      </c>
      <c r="I1977" s="76"/>
      <c r="J1977" s="67">
        <f t="shared" si="140"/>
        <v>11138.75</v>
      </c>
      <c r="K1977" s="7"/>
      <c r="L1977" s="70"/>
      <c r="M1977" s="79"/>
      <c r="N1977" s="1"/>
      <c r="O1977" s="1"/>
      <c r="P1977" s="1"/>
      <c r="Q1977" s="1"/>
      <c r="R1977" s="1"/>
      <c r="S1977" s="1"/>
      <c r="T1977" s="1"/>
      <c r="U1977" s="1"/>
      <c r="V1977" s="1"/>
      <c r="W1977" s="1"/>
      <c r="X1977" s="1"/>
      <c r="Y1977" s="1"/>
      <c r="Z1977" s="1"/>
      <c r="AA1977" s="1"/>
      <c r="AB1977" s="1"/>
      <c r="AC1977" s="1"/>
      <c r="AD1977" s="1"/>
      <c r="AE1977" s="1"/>
      <c r="AF1977" s="1"/>
      <c r="AG1977" s="1"/>
      <c r="AH1977" s="1"/>
    </row>
    <row r="1978" ht="12.75" hidden="1" customHeight="1" outlineLevel="1">
      <c r="A1978" s="17">
        <v>41326.0</v>
      </c>
      <c r="B1978" s="1" t="s">
        <v>347</v>
      </c>
      <c r="C1978" s="1" t="s">
        <v>681</v>
      </c>
      <c r="D1978" s="74">
        <v>300.0</v>
      </c>
      <c r="E1978" s="67">
        <v>16.55</v>
      </c>
      <c r="F1978" s="75">
        <v>0.6505555555555556</v>
      </c>
      <c r="G1978" s="67" t="s">
        <v>453</v>
      </c>
      <c r="H1978" s="68">
        <v>1.5</v>
      </c>
      <c r="I1978" s="76"/>
      <c r="J1978" s="67">
        <f t="shared" si="140"/>
        <v>4963.5</v>
      </c>
      <c r="K1978" s="7"/>
      <c r="L1978" s="70"/>
      <c r="M1978" s="79"/>
      <c r="N1978" s="1"/>
      <c r="O1978" s="1"/>
      <c r="P1978" s="1"/>
      <c r="Q1978" s="1"/>
      <c r="R1978" s="1"/>
      <c r="S1978" s="1"/>
      <c r="T1978" s="1"/>
      <c r="U1978" s="1"/>
      <c r="V1978" s="1"/>
      <c r="W1978" s="1"/>
      <c r="X1978" s="1"/>
      <c r="Y1978" s="1"/>
      <c r="Z1978" s="1"/>
      <c r="AA1978" s="1"/>
      <c r="AB1978" s="1"/>
      <c r="AC1978" s="1"/>
      <c r="AD1978" s="1"/>
      <c r="AE1978" s="1"/>
      <c r="AF1978" s="1"/>
      <c r="AG1978" s="1"/>
      <c r="AH1978" s="1"/>
    </row>
    <row r="1979" ht="12.75" hidden="1" customHeight="1" outlineLevel="1">
      <c r="A1979" s="17">
        <v>41326.0</v>
      </c>
      <c r="B1979" s="1" t="s">
        <v>347</v>
      </c>
      <c r="C1979" s="1" t="s">
        <v>751</v>
      </c>
      <c r="D1979" s="74">
        <v>150.0</v>
      </c>
      <c r="E1979" s="67">
        <v>42.64</v>
      </c>
      <c r="F1979" s="75">
        <v>0.6508564814814815</v>
      </c>
      <c r="G1979" s="67" t="s">
        <v>453</v>
      </c>
      <c r="H1979" s="68">
        <v>1.0</v>
      </c>
      <c r="I1979" s="76"/>
      <c r="J1979" s="67">
        <f t="shared" si="140"/>
        <v>6395</v>
      </c>
      <c r="K1979" s="7"/>
      <c r="L1979" s="70"/>
      <c r="M1979" s="79"/>
      <c r="N1979" s="1"/>
      <c r="O1979" s="1"/>
      <c r="P1979" s="1"/>
      <c r="Q1979" s="1"/>
      <c r="R1979" s="1"/>
      <c r="S1979" s="1"/>
      <c r="T1979" s="1"/>
      <c r="U1979" s="1"/>
      <c r="V1979" s="1"/>
      <c r="W1979" s="1"/>
      <c r="X1979" s="1"/>
      <c r="Y1979" s="1"/>
      <c r="Z1979" s="1"/>
      <c r="AA1979" s="1"/>
      <c r="AB1979" s="1"/>
      <c r="AC1979" s="1"/>
      <c r="AD1979" s="1"/>
      <c r="AE1979" s="1"/>
      <c r="AF1979" s="1"/>
      <c r="AG1979" s="1"/>
      <c r="AH1979" s="1"/>
    </row>
    <row r="1980" ht="12.75" hidden="1" customHeight="1" outlineLevel="1">
      <c r="A1980" s="17">
        <v>41326.0</v>
      </c>
      <c r="B1980" s="1"/>
      <c r="C1980" s="1" t="s">
        <v>339</v>
      </c>
      <c r="D1980" s="74"/>
      <c r="E1980" s="67"/>
      <c r="F1980" s="75"/>
      <c r="G1980" s="67"/>
      <c r="H1980" s="68"/>
      <c r="I1980" s="76"/>
      <c r="J1980" s="67"/>
      <c r="K1980" s="7" t="s">
        <v>907</v>
      </c>
      <c r="L1980" s="77"/>
      <c r="M1980" s="79"/>
      <c r="N1980" s="1"/>
      <c r="O1980" s="1"/>
      <c r="P1980" s="1"/>
      <c r="Q1980" s="1"/>
      <c r="R1980" s="1"/>
      <c r="S1980" s="1"/>
      <c r="T1980" s="1"/>
      <c r="U1980" s="1"/>
      <c r="V1980" s="1"/>
      <c r="W1980" s="1"/>
      <c r="X1980" s="1"/>
      <c r="Y1980" s="1"/>
      <c r="Z1980" s="1"/>
      <c r="AA1980" s="1"/>
      <c r="AB1980" s="1"/>
      <c r="AC1980" s="1"/>
      <c r="AD1980" s="1"/>
      <c r="AE1980" s="1"/>
      <c r="AF1980" s="1"/>
      <c r="AG1980" s="1"/>
      <c r="AH1980" s="1"/>
    </row>
    <row r="1981" ht="12.75" hidden="1" customHeight="1" outlineLevel="1">
      <c r="A1981" s="17">
        <v>41326.0</v>
      </c>
      <c r="B1981" s="1"/>
      <c r="C1981" s="1" t="s">
        <v>429</v>
      </c>
      <c r="D1981" s="74"/>
      <c r="E1981" s="67"/>
      <c r="F1981" s="75"/>
      <c r="G1981" s="67"/>
      <c r="H1981" s="68"/>
      <c r="I1981" s="76"/>
      <c r="J1981" s="67"/>
      <c r="K1981" s="7" t="s">
        <v>679</v>
      </c>
      <c r="L1981" s="77"/>
      <c r="M1981" s="79"/>
      <c r="N1981" s="1"/>
      <c r="O1981" s="1"/>
      <c r="P1981" s="1"/>
      <c r="Q1981" s="1"/>
      <c r="R1981" s="1"/>
      <c r="S1981" s="1"/>
      <c r="T1981" s="1"/>
      <c r="U1981" s="1"/>
      <c r="V1981" s="1"/>
      <c r="W1981" s="1"/>
      <c r="X1981" s="1"/>
      <c r="Y1981" s="1"/>
      <c r="Z1981" s="1"/>
      <c r="AA1981" s="1"/>
      <c r="AB1981" s="1"/>
      <c r="AC1981" s="1"/>
      <c r="AD1981" s="1"/>
      <c r="AE1981" s="1"/>
      <c r="AF1981" s="1"/>
      <c r="AG1981" s="1"/>
      <c r="AH1981" s="1"/>
    </row>
    <row r="1982" ht="12.75" hidden="1" customHeight="1" outlineLevel="1">
      <c r="A1982" s="17">
        <v>41326.0</v>
      </c>
      <c r="B1982" s="1"/>
      <c r="C1982" s="1" t="s">
        <v>431</v>
      </c>
      <c r="D1982" s="74"/>
      <c r="E1982" s="67"/>
      <c r="F1982" s="75"/>
      <c r="G1982" s="67"/>
      <c r="H1982" s="68"/>
      <c r="I1982" s="76"/>
      <c r="J1982" s="67"/>
      <c r="K1982" s="7" t="s">
        <v>817</v>
      </c>
      <c r="L1982" s="77"/>
      <c r="M1982" s="79"/>
      <c r="N1982" s="1"/>
      <c r="O1982" s="1"/>
      <c r="P1982" s="1"/>
      <c r="Q1982" s="1"/>
      <c r="R1982" s="1"/>
      <c r="S1982" s="1"/>
      <c r="T1982" s="1"/>
      <c r="U1982" s="1"/>
      <c r="V1982" s="1"/>
      <c r="W1982" s="1"/>
      <c r="X1982" s="1"/>
      <c r="Y1982" s="1"/>
      <c r="Z1982" s="1"/>
      <c r="AA1982" s="1"/>
      <c r="AB1982" s="1"/>
      <c r="AC1982" s="1"/>
      <c r="AD1982" s="1"/>
      <c r="AE1982" s="1"/>
      <c r="AF1982" s="1"/>
      <c r="AG1982" s="1"/>
      <c r="AH1982" s="1"/>
    </row>
    <row r="1983" ht="12.75" hidden="1" customHeight="1" outlineLevel="1">
      <c r="A1983" s="17">
        <v>41326.0</v>
      </c>
      <c r="B1983" s="1"/>
      <c r="C1983" s="1" t="s">
        <v>433</v>
      </c>
      <c r="D1983" s="74"/>
      <c r="E1983" s="67"/>
      <c r="F1983" s="75"/>
      <c r="G1983" s="67"/>
      <c r="H1983" s="68"/>
      <c r="I1983" s="76"/>
      <c r="J1983" s="67"/>
      <c r="K1983" s="7" t="s">
        <v>434</v>
      </c>
      <c r="L1983" s="77"/>
      <c r="M1983" s="79"/>
      <c r="N1983" s="1"/>
      <c r="O1983" s="1"/>
      <c r="P1983" s="1"/>
      <c r="Q1983" s="1"/>
      <c r="R1983" s="1"/>
      <c r="S1983" s="1"/>
      <c r="T1983" s="1"/>
      <c r="U1983" s="1"/>
      <c r="V1983" s="1"/>
      <c r="W1983" s="1"/>
      <c r="X1983" s="1"/>
      <c r="Y1983" s="1"/>
      <c r="Z1983" s="1"/>
      <c r="AA1983" s="1"/>
      <c r="AB1983" s="1"/>
      <c r="AC1983" s="1"/>
      <c r="AD1983" s="1"/>
      <c r="AE1983" s="1"/>
      <c r="AF1983" s="1"/>
      <c r="AG1983" s="1"/>
      <c r="AH1983" s="1"/>
    </row>
    <row r="1984" ht="12.75" hidden="1" customHeight="1" outlineLevel="1">
      <c r="A1984" s="17">
        <v>41326.0</v>
      </c>
      <c r="B1984" s="1"/>
      <c r="C1984" s="1" t="s">
        <v>435</v>
      </c>
      <c r="D1984" s="74"/>
      <c r="E1984" s="67"/>
      <c r="F1984" s="75"/>
      <c r="G1984" s="67"/>
      <c r="H1984" s="68"/>
      <c r="I1984" s="76"/>
      <c r="J1984" s="67"/>
      <c r="K1984" s="7" t="s">
        <v>818</v>
      </c>
      <c r="L1984" s="77"/>
      <c r="M1984" s="79"/>
      <c r="N1984" s="1"/>
      <c r="O1984" s="1"/>
      <c r="P1984" s="1"/>
      <c r="Q1984" s="1"/>
      <c r="R1984" s="1"/>
      <c r="S1984" s="1"/>
      <c r="T1984" s="1"/>
      <c r="U1984" s="1"/>
      <c r="V1984" s="1"/>
      <c r="W1984" s="1"/>
      <c r="X1984" s="1"/>
      <c r="Y1984" s="1"/>
      <c r="Z1984" s="1"/>
      <c r="AA1984" s="1"/>
      <c r="AB1984" s="1"/>
      <c r="AC1984" s="1"/>
      <c r="AD1984" s="1"/>
      <c r="AE1984" s="1"/>
      <c r="AF1984" s="1"/>
      <c r="AG1984" s="1"/>
      <c r="AH1984" s="1"/>
    </row>
    <row r="1985" ht="12.75" hidden="1" customHeight="1" outlineLevel="1">
      <c r="A1985" s="17">
        <v>41327.0</v>
      </c>
      <c r="B1985" s="1" t="s">
        <v>343</v>
      </c>
      <c r="C1985" s="1" t="s">
        <v>868</v>
      </c>
      <c r="D1985" s="74">
        <v>500.0</v>
      </c>
      <c r="E1985" s="67">
        <v>32.104</v>
      </c>
      <c r="F1985" s="75">
        <v>0.3986689814814815</v>
      </c>
      <c r="G1985" s="67" t="s">
        <v>453</v>
      </c>
      <c r="H1985" s="68">
        <v>2.0</v>
      </c>
      <c r="I1985" s="76"/>
      <c r="J1985" s="67">
        <f t="shared" ref="J1985:J1992" si="141">IF(B1985="SLD",D1985*E1985,-D1985*E1985)-H1985</f>
        <v>-16054</v>
      </c>
      <c r="K1985" s="7"/>
      <c r="L1985" s="70"/>
      <c r="M1985" s="79"/>
      <c r="N1985" s="1"/>
      <c r="O1985" s="1"/>
      <c r="P1985" s="1"/>
      <c r="Q1985" s="1"/>
      <c r="R1985" s="1"/>
      <c r="S1985" s="1"/>
      <c r="T1985" s="1"/>
      <c r="U1985" s="1"/>
      <c r="V1985" s="1"/>
      <c r="W1985" s="1"/>
      <c r="X1985" s="1"/>
      <c r="Y1985" s="1"/>
      <c r="Z1985" s="1"/>
      <c r="AA1985" s="1"/>
      <c r="AB1985" s="1"/>
      <c r="AC1985" s="1"/>
      <c r="AD1985" s="1"/>
      <c r="AE1985" s="1"/>
      <c r="AF1985" s="1"/>
      <c r="AG1985" s="1"/>
      <c r="AH1985" s="1"/>
    </row>
    <row r="1986" ht="12.75" hidden="1" customHeight="1" outlineLevel="1">
      <c r="A1986" s="17">
        <v>41327.0</v>
      </c>
      <c r="B1986" s="1" t="s">
        <v>343</v>
      </c>
      <c r="C1986" s="1" t="s">
        <v>841</v>
      </c>
      <c r="D1986" s="74">
        <v>500.0</v>
      </c>
      <c r="E1986" s="67">
        <v>21.206</v>
      </c>
      <c r="F1986" s="75">
        <v>0.3991898148148148</v>
      </c>
      <c r="G1986" s="67" t="s">
        <v>453</v>
      </c>
      <c r="H1986" s="68">
        <v>2.2</v>
      </c>
      <c r="I1986" s="76"/>
      <c r="J1986" s="67">
        <f t="shared" si="141"/>
        <v>-10605.2</v>
      </c>
      <c r="K1986" s="7"/>
      <c r="L1986" s="70"/>
      <c r="M1986" s="79"/>
      <c r="N1986" s="1"/>
      <c r="O1986" s="1"/>
      <c r="P1986" s="1"/>
      <c r="Q1986" s="1"/>
      <c r="R1986" s="1"/>
      <c r="S1986" s="1"/>
      <c r="T1986" s="1"/>
      <c r="U1986" s="1"/>
      <c r="V1986" s="1"/>
      <c r="W1986" s="1"/>
      <c r="X1986" s="1"/>
      <c r="Y1986" s="1"/>
      <c r="Z1986" s="1"/>
      <c r="AA1986" s="1"/>
      <c r="AB1986" s="1"/>
      <c r="AC1986" s="1"/>
      <c r="AD1986" s="1"/>
      <c r="AE1986" s="1"/>
      <c r="AF1986" s="1"/>
      <c r="AG1986" s="1"/>
      <c r="AH1986" s="1"/>
    </row>
    <row r="1987" ht="12.75" hidden="1" customHeight="1" outlineLevel="1">
      <c r="A1987" s="17">
        <v>41327.0</v>
      </c>
      <c r="B1987" s="1" t="s">
        <v>343</v>
      </c>
      <c r="C1987" s="1" t="s">
        <v>869</v>
      </c>
      <c r="D1987" s="74">
        <v>500.0</v>
      </c>
      <c r="E1987" s="67">
        <v>22.31</v>
      </c>
      <c r="F1987" s="75">
        <v>0.39934027777777775</v>
      </c>
      <c r="G1987" s="67" t="s">
        <v>453</v>
      </c>
      <c r="H1987" s="68">
        <v>2.5</v>
      </c>
      <c r="I1987" s="76"/>
      <c r="J1987" s="67">
        <f t="shared" si="141"/>
        <v>-11157.5</v>
      </c>
      <c r="K1987" s="7"/>
      <c r="L1987" s="70"/>
      <c r="M1987" s="79"/>
      <c r="N1987" s="1"/>
      <c r="O1987" s="1"/>
      <c r="P1987" s="1"/>
      <c r="Q1987" s="1"/>
      <c r="R1987" s="1"/>
      <c r="S1987" s="1"/>
      <c r="T1987" s="1"/>
      <c r="U1987" s="1"/>
      <c r="V1987" s="1"/>
      <c r="W1987" s="1"/>
      <c r="X1987" s="1"/>
      <c r="Y1987" s="1"/>
      <c r="Z1987" s="1"/>
      <c r="AA1987" s="1"/>
      <c r="AB1987" s="1"/>
      <c r="AC1987" s="1"/>
      <c r="AD1987" s="1"/>
      <c r="AE1987" s="1"/>
      <c r="AF1987" s="1"/>
      <c r="AG1987" s="1"/>
      <c r="AH1987" s="1"/>
    </row>
    <row r="1988" ht="12.75" hidden="1" customHeight="1" outlineLevel="1">
      <c r="A1988" s="17">
        <v>41327.0</v>
      </c>
      <c r="B1988" s="1" t="s">
        <v>343</v>
      </c>
      <c r="C1988" s="1" t="s">
        <v>903</v>
      </c>
      <c r="D1988" s="74">
        <v>250.0</v>
      </c>
      <c r="E1988" s="67">
        <v>61.338</v>
      </c>
      <c r="F1988" s="75">
        <v>0.4034027777777778</v>
      </c>
      <c r="G1988" s="67" t="s">
        <v>453</v>
      </c>
      <c r="H1988" s="68">
        <v>1.25</v>
      </c>
      <c r="I1988" s="76"/>
      <c r="J1988" s="67">
        <f t="shared" si="141"/>
        <v>-15335.75</v>
      </c>
      <c r="K1988" s="7"/>
      <c r="L1988" s="70"/>
      <c r="M1988" s="79"/>
      <c r="N1988" s="1"/>
      <c r="O1988" s="1"/>
      <c r="P1988" s="1"/>
      <c r="Q1988" s="1"/>
      <c r="R1988" s="1"/>
      <c r="S1988" s="1"/>
      <c r="T1988" s="1"/>
      <c r="U1988" s="1"/>
      <c r="V1988" s="1"/>
      <c r="W1988" s="1"/>
      <c r="X1988" s="1"/>
      <c r="Y1988" s="1"/>
      <c r="Z1988" s="1"/>
      <c r="AA1988" s="1"/>
      <c r="AB1988" s="1"/>
      <c r="AC1988" s="1"/>
      <c r="AD1988" s="1"/>
      <c r="AE1988" s="1"/>
      <c r="AF1988" s="1"/>
      <c r="AG1988" s="1"/>
      <c r="AH1988" s="1"/>
    </row>
    <row r="1989" ht="12.75" hidden="1" customHeight="1" outlineLevel="1">
      <c r="A1989" s="17">
        <v>41327.0</v>
      </c>
      <c r="B1989" s="1" t="s">
        <v>343</v>
      </c>
      <c r="C1989" s="1" t="s">
        <v>858</v>
      </c>
      <c r="D1989" s="74">
        <v>400.0</v>
      </c>
      <c r="E1989" s="67">
        <v>12.56</v>
      </c>
      <c r="F1989" s="75">
        <v>0.43939814814814815</v>
      </c>
      <c r="G1989" s="67" t="s">
        <v>453</v>
      </c>
      <c r="H1989" s="68">
        <v>1.9</v>
      </c>
      <c r="I1989" s="76"/>
      <c r="J1989" s="67">
        <f t="shared" si="141"/>
        <v>-5025.9</v>
      </c>
      <c r="K1989" s="7"/>
      <c r="L1989" s="70"/>
      <c r="M1989" s="79"/>
      <c r="N1989" s="1"/>
      <c r="O1989" s="1"/>
      <c r="P1989" s="1"/>
      <c r="Q1989" s="1"/>
      <c r="R1989" s="1"/>
      <c r="S1989" s="1"/>
      <c r="T1989" s="1"/>
      <c r="U1989" s="1"/>
      <c r="V1989" s="1"/>
      <c r="W1989" s="1"/>
      <c r="X1989" s="1"/>
      <c r="Y1989" s="1"/>
      <c r="Z1989" s="1"/>
      <c r="AA1989" s="1"/>
      <c r="AB1989" s="1"/>
      <c r="AC1989" s="1"/>
      <c r="AD1989" s="1"/>
      <c r="AE1989" s="1"/>
      <c r="AF1989" s="1"/>
      <c r="AG1989" s="1"/>
      <c r="AH1989" s="1"/>
    </row>
    <row r="1990" ht="12.75" hidden="1" customHeight="1" outlineLevel="1">
      <c r="A1990" s="17">
        <v>41327.0</v>
      </c>
      <c r="B1990" s="1" t="s">
        <v>343</v>
      </c>
      <c r="C1990" s="1" t="s">
        <v>857</v>
      </c>
      <c r="D1990" s="74">
        <v>500.0</v>
      </c>
      <c r="E1990" s="67">
        <v>10.82</v>
      </c>
      <c r="F1990" s="75">
        <v>0.4530208333333334</v>
      </c>
      <c r="G1990" s="67" t="s">
        <v>453</v>
      </c>
      <c r="H1990" s="68">
        <v>2.4</v>
      </c>
      <c r="I1990" s="76"/>
      <c r="J1990" s="67">
        <f t="shared" si="141"/>
        <v>-5412.4</v>
      </c>
      <c r="K1990" s="7"/>
      <c r="L1990" s="70"/>
      <c r="M1990" s="79"/>
      <c r="N1990" s="1"/>
      <c r="O1990" s="1"/>
      <c r="P1990" s="1"/>
      <c r="Q1990" s="1"/>
      <c r="R1990" s="1"/>
      <c r="S1990" s="1"/>
      <c r="T1990" s="1"/>
      <c r="U1990" s="1"/>
      <c r="V1990" s="1"/>
      <c r="W1990" s="1"/>
      <c r="X1990" s="1"/>
      <c r="Y1990" s="1"/>
      <c r="Z1990" s="1"/>
      <c r="AA1990" s="1"/>
      <c r="AB1990" s="1"/>
      <c r="AC1990" s="1"/>
      <c r="AD1990" s="1"/>
      <c r="AE1990" s="1"/>
      <c r="AF1990" s="1"/>
      <c r="AG1990" s="1"/>
      <c r="AH1990" s="1"/>
    </row>
    <row r="1991" ht="12.75" hidden="1" customHeight="1" outlineLevel="1">
      <c r="A1991" s="17">
        <v>41327.0</v>
      </c>
      <c r="B1991" s="1" t="s">
        <v>343</v>
      </c>
      <c r="C1991" s="1" t="s">
        <v>881</v>
      </c>
      <c r="D1991" s="74">
        <v>200.0</v>
      </c>
      <c r="E1991" s="67">
        <v>29.99</v>
      </c>
      <c r="F1991" s="75">
        <v>0.4532986111111111</v>
      </c>
      <c r="G1991" s="67" t="s">
        <v>453</v>
      </c>
      <c r="H1991" s="68">
        <v>1.0</v>
      </c>
      <c r="I1991" s="76"/>
      <c r="J1991" s="67">
        <f t="shared" si="141"/>
        <v>-5999</v>
      </c>
      <c r="K1991" s="7"/>
      <c r="L1991" s="70"/>
      <c r="M1991" s="79"/>
      <c r="N1991" s="1"/>
      <c r="O1991" s="1"/>
      <c r="P1991" s="1"/>
      <c r="Q1991" s="1"/>
      <c r="R1991" s="1"/>
      <c r="S1991" s="1"/>
      <c r="T1991" s="1"/>
      <c r="U1991" s="1"/>
      <c r="V1991" s="1"/>
      <c r="W1991" s="1"/>
      <c r="X1991" s="1"/>
      <c r="Y1991" s="1"/>
      <c r="Z1991" s="1"/>
      <c r="AA1991" s="1"/>
      <c r="AB1991" s="1"/>
      <c r="AC1991" s="1"/>
      <c r="AD1991" s="1"/>
      <c r="AE1991" s="1"/>
      <c r="AF1991" s="1"/>
      <c r="AG1991" s="1"/>
      <c r="AH1991" s="1"/>
    </row>
    <row r="1992" ht="12.75" hidden="1" customHeight="1" outlineLevel="1">
      <c r="A1992" s="17">
        <v>41327.0</v>
      </c>
      <c r="B1992" s="1" t="s">
        <v>343</v>
      </c>
      <c r="C1992" s="1" t="s">
        <v>734</v>
      </c>
      <c r="D1992" s="74">
        <v>200.0</v>
      </c>
      <c r="E1992" s="67">
        <v>22.47</v>
      </c>
      <c r="F1992" s="75">
        <v>0.4782754629629629</v>
      </c>
      <c r="G1992" s="67" t="s">
        <v>453</v>
      </c>
      <c r="H1992" s="68">
        <v>1.0</v>
      </c>
      <c r="I1992" s="76"/>
      <c r="J1992" s="67">
        <f t="shared" si="141"/>
        <v>-4495</v>
      </c>
      <c r="K1992" s="7"/>
      <c r="L1992" s="70"/>
      <c r="M1992" s="79"/>
      <c r="N1992" s="1"/>
      <c r="O1992" s="1"/>
      <c r="P1992" s="1"/>
      <c r="Q1992" s="1"/>
      <c r="R1992" s="1"/>
      <c r="S1992" s="1"/>
      <c r="T1992" s="1"/>
      <c r="U1992" s="1"/>
      <c r="V1992" s="1"/>
      <c r="W1992" s="1"/>
      <c r="X1992" s="1"/>
      <c r="Y1992" s="1"/>
      <c r="Z1992" s="1"/>
      <c r="AA1992" s="1"/>
      <c r="AB1992" s="1"/>
      <c r="AC1992" s="1"/>
      <c r="AD1992" s="1"/>
      <c r="AE1992" s="1"/>
      <c r="AF1992" s="1"/>
      <c r="AG1992" s="1"/>
      <c r="AH1992" s="1"/>
    </row>
    <row r="1993" ht="12.75" hidden="1" customHeight="1" outlineLevel="1">
      <c r="A1993" s="17">
        <v>41327.0</v>
      </c>
      <c r="B1993" s="1"/>
      <c r="C1993" s="1" t="s">
        <v>339</v>
      </c>
      <c r="D1993" s="74"/>
      <c r="E1993" s="67"/>
      <c r="F1993" s="75"/>
      <c r="G1993" s="67"/>
      <c r="H1993" s="68"/>
      <c r="I1993" s="76"/>
      <c r="J1993" s="67"/>
      <c r="K1993" s="7" t="s">
        <v>908</v>
      </c>
      <c r="L1993" s="77"/>
      <c r="M1993" s="79"/>
      <c r="N1993" s="1"/>
      <c r="O1993" s="1"/>
      <c r="P1993" s="1"/>
      <c r="Q1993" s="1"/>
      <c r="R1993" s="1"/>
      <c r="S1993" s="1"/>
      <c r="T1993" s="1"/>
      <c r="U1993" s="1"/>
      <c r="V1993" s="1"/>
      <c r="W1993" s="1"/>
      <c r="X1993" s="1"/>
      <c r="Y1993" s="1"/>
      <c r="Z1993" s="1"/>
      <c r="AA1993" s="1"/>
      <c r="AB1993" s="1"/>
      <c r="AC1993" s="1"/>
      <c r="AD1993" s="1"/>
      <c r="AE1993" s="1"/>
      <c r="AF1993" s="1"/>
      <c r="AG1993" s="1"/>
      <c r="AH1993" s="1"/>
    </row>
    <row r="1994" ht="12.75" hidden="1" customHeight="1" outlineLevel="1">
      <c r="A1994" s="17">
        <v>41327.0</v>
      </c>
      <c r="B1994" s="1"/>
      <c r="C1994" s="1" t="s">
        <v>429</v>
      </c>
      <c r="D1994" s="74"/>
      <c r="E1994" s="67"/>
      <c r="F1994" s="75"/>
      <c r="G1994" s="67"/>
      <c r="H1994" s="68"/>
      <c r="I1994" s="76"/>
      <c r="J1994" s="67"/>
      <c r="K1994" s="7" t="s">
        <v>909</v>
      </c>
      <c r="L1994" s="77"/>
      <c r="M1994" s="79"/>
      <c r="N1994" s="1"/>
      <c r="O1994" s="1"/>
      <c r="P1994" s="1"/>
      <c r="Q1994" s="1"/>
      <c r="R1994" s="1"/>
      <c r="S1994" s="1"/>
      <c r="T1994" s="1"/>
      <c r="U1994" s="1"/>
      <c r="V1994" s="1"/>
      <c r="W1994" s="1"/>
      <c r="X1994" s="1"/>
      <c r="Y1994" s="1"/>
      <c r="Z1994" s="1"/>
      <c r="AA1994" s="1"/>
      <c r="AB1994" s="1"/>
      <c r="AC1994" s="1"/>
      <c r="AD1994" s="1"/>
      <c r="AE1994" s="1"/>
      <c r="AF1994" s="1"/>
      <c r="AG1994" s="1"/>
      <c r="AH1994" s="1"/>
    </row>
    <row r="1995" ht="12.75" hidden="1" customHeight="1" outlineLevel="1">
      <c r="A1995" s="17">
        <v>41327.0</v>
      </c>
      <c r="B1995" s="1"/>
      <c r="C1995" s="1" t="s">
        <v>431</v>
      </c>
      <c r="D1995" s="74"/>
      <c r="E1995" s="67"/>
      <c r="F1995" s="75"/>
      <c r="G1995" s="67"/>
      <c r="H1995" s="68"/>
      <c r="I1995" s="76"/>
      <c r="J1995" s="67"/>
      <c r="K1995" s="7" t="s">
        <v>817</v>
      </c>
      <c r="L1995" s="77"/>
      <c r="M1995" s="79"/>
      <c r="N1995" s="1"/>
      <c r="O1995" s="1"/>
      <c r="P1995" s="1"/>
      <c r="Q1995" s="1"/>
      <c r="R1995" s="1"/>
      <c r="S1995" s="1"/>
      <c r="T1995" s="1"/>
      <c r="U1995" s="1"/>
      <c r="V1995" s="1"/>
      <c r="W1995" s="1"/>
      <c r="X1995" s="1"/>
      <c r="Y1995" s="1"/>
      <c r="Z1995" s="1"/>
      <c r="AA1995" s="1"/>
      <c r="AB1995" s="1"/>
      <c r="AC1995" s="1"/>
      <c r="AD1995" s="1"/>
      <c r="AE1995" s="1"/>
      <c r="AF1995" s="1"/>
      <c r="AG1995" s="1"/>
      <c r="AH1995" s="1"/>
    </row>
    <row r="1996" ht="12.75" hidden="1" customHeight="1" outlineLevel="1">
      <c r="A1996" s="17">
        <v>41327.0</v>
      </c>
      <c r="B1996" s="1"/>
      <c r="C1996" s="1" t="s">
        <v>433</v>
      </c>
      <c r="D1996" s="74"/>
      <c r="E1996" s="67"/>
      <c r="F1996" s="75"/>
      <c r="G1996" s="67"/>
      <c r="H1996" s="68"/>
      <c r="I1996" s="76"/>
      <c r="J1996" s="67"/>
      <c r="K1996" s="7" t="s">
        <v>434</v>
      </c>
      <c r="L1996" s="77"/>
      <c r="M1996" s="79"/>
      <c r="N1996" s="1"/>
      <c r="O1996" s="1"/>
      <c r="P1996" s="1"/>
      <c r="Q1996" s="1"/>
      <c r="R1996" s="1"/>
      <c r="S1996" s="1"/>
      <c r="T1996" s="1"/>
      <c r="U1996" s="1"/>
      <c r="V1996" s="1"/>
      <c r="W1996" s="1"/>
      <c r="X1996" s="1"/>
      <c r="Y1996" s="1"/>
      <c r="Z1996" s="1"/>
      <c r="AA1996" s="1"/>
      <c r="AB1996" s="1"/>
      <c r="AC1996" s="1"/>
      <c r="AD1996" s="1"/>
      <c r="AE1996" s="1"/>
      <c r="AF1996" s="1"/>
      <c r="AG1996" s="1"/>
      <c r="AH1996" s="1"/>
    </row>
    <row r="1997" ht="12.75" hidden="1" customHeight="1" outlineLevel="1">
      <c r="A1997" s="17">
        <v>41327.0</v>
      </c>
      <c r="B1997" s="1"/>
      <c r="C1997" s="1" t="s">
        <v>435</v>
      </c>
      <c r="D1997" s="74"/>
      <c r="E1997" s="67"/>
      <c r="F1997" s="75"/>
      <c r="G1997" s="67"/>
      <c r="H1997" s="68"/>
      <c r="I1997" s="76"/>
      <c r="J1997" s="67"/>
      <c r="K1997" s="7" t="s">
        <v>818</v>
      </c>
      <c r="L1997" s="77"/>
      <c r="M1997" s="79"/>
      <c r="N1997" s="1"/>
      <c r="O1997" s="1"/>
      <c r="P1997" s="1"/>
      <c r="Q1997" s="1"/>
      <c r="R1997" s="1"/>
      <c r="S1997" s="1"/>
      <c r="T1997" s="1"/>
      <c r="U1997" s="1"/>
      <c r="V1997" s="1"/>
      <c r="W1997" s="1"/>
      <c r="X1997" s="1"/>
      <c r="Y1997" s="1"/>
      <c r="Z1997" s="1"/>
      <c r="AA1997" s="1"/>
      <c r="AB1997" s="1"/>
      <c r="AC1997" s="1"/>
      <c r="AD1997" s="1"/>
      <c r="AE1997" s="1"/>
      <c r="AF1997" s="1"/>
      <c r="AG1997" s="1"/>
      <c r="AH1997" s="1"/>
    </row>
    <row r="1998" ht="12.75" hidden="1" customHeight="1" outlineLevel="1">
      <c r="A1998" s="17">
        <v>41330.0</v>
      </c>
      <c r="B1998" s="1" t="s">
        <v>347</v>
      </c>
      <c r="C1998" s="1" t="s">
        <v>881</v>
      </c>
      <c r="D1998" s="74">
        <v>200.0</v>
      </c>
      <c r="E1998" s="67">
        <v>30.43</v>
      </c>
      <c r="F1998" s="75">
        <v>0.4591087962962963</v>
      </c>
      <c r="G1998" s="67" t="s">
        <v>453</v>
      </c>
      <c r="H1998" s="68">
        <v>1.0</v>
      </c>
      <c r="I1998" s="76"/>
      <c r="J1998" s="67">
        <f t="shared" ref="J1998:J2001" si="142">IF(B1998="SLD",D1998*E1998,-D1998*E1998)-H1998</f>
        <v>6085</v>
      </c>
      <c r="K1998" s="7"/>
      <c r="L1998" s="70"/>
      <c r="M1998" s="79"/>
      <c r="N1998" s="1"/>
      <c r="O1998" s="1"/>
      <c r="P1998" s="1"/>
      <c r="Q1998" s="1"/>
      <c r="R1998" s="1"/>
      <c r="S1998" s="1"/>
      <c r="T1998" s="1"/>
      <c r="U1998" s="1"/>
      <c r="V1998" s="1"/>
      <c r="W1998" s="1"/>
      <c r="X1998" s="1"/>
      <c r="Y1998" s="1"/>
      <c r="Z1998" s="1"/>
      <c r="AA1998" s="1"/>
      <c r="AB1998" s="1"/>
      <c r="AC1998" s="1"/>
      <c r="AD1998" s="1"/>
      <c r="AE1998" s="1"/>
      <c r="AF1998" s="1"/>
      <c r="AG1998" s="1"/>
      <c r="AH1998" s="1"/>
    </row>
    <row r="1999" ht="12.75" hidden="1" customHeight="1" outlineLevel="1">
      <c r="A1999" s="17">
        <v>41330.0</v>
      </c>
      <c r="B1999" s="1" t="s">
        <v>347</v>
      </c>
      <c r="C1999" s="1" t="s">
        <v>857</v>
      </c>
      <c r="D1999" s="74">
        <v>500.0</v>
      </c>
      <c r="E1999" s="67">
        <v>10.85</v>
      </c>
      <c r="F1999" s="75">
        <v>0.4819675925925926</v>
      </c>
      <c r="G1999" s="67" t="s">
        <v>453</v>
      </c>
      <c r="H1999" s="68">
        <v>2.0</v>
      </c>
      <c r="I1999" s="76"/>
      <c r="J1999" s="67">
        <f t="shared" si="142"/>
        <v>5423</v>
      </c>
      <c r="K1999" s="7"/>
      <c r="L1999" s="70"/>
      <c r="M1999" s="79"/>
      <c r="N1999" s="1"/>
      <c r="O1999" s="1"/>
      <c r="P1999" s="1"/>
      <c r="Q1999" s="1"/>
      <c r="R1999" s="1"/>
      <c r="S1999" s="1"/>
      <c r="T1999" s="1"/>
      <c r="U1999" s="1"/>
      <c r="V1999" s="1"/>
      <c r="W1999" s="1"/>
      <c r="X1999" s="1"/>
      <c r="Y1999" s="1"/>
      <c r="Z1999" s="1"/>
      <c r="AA1999" s="1"/>
      <c r="AB1999" s="1"/>
      <c r="AC1999" s="1"/>
      <c r="AD1999" s="1"/>
      <c r="AE1999" s="1"/>
      <c r="AF1999" s="1"/>
      <c r="AG1999" s="1"/>
      <c r="AH1999" s="1"/>
    </row>
    <row r="2000" ht="12.75" hidden="1" customHeight="1" outlineLevel="1">
      <c r="A2000" s="17">
        <v>41330.0</v>
      </c>
      <c r="B2000" s="1" t="s">
        <v>347</v>
      </c>
      <c r="C2000" s="1" t="s">
        <v>734</v>
      </c>
      <c r="D2000" s="74">
        <v>400.0</v>
      </c>
      <c r="E2000" s="67">
        <v>22.52</v>
      </c>
      <c r="F2000" s="75">
        <v>0.4822800925925926</v>
      </c>
      <c r="G2000" s="67" t="s">
        <v>453</v>
      </c>
      <c r="H2000" s="68">
        <v>2.0</v>
      </c>
      <c r="I2000" s="76"/>
      <c r="J2000" s="67">
        <f t="shared" si="142"/>
        <v>9006</v>
      </c>
      <c r="K2000" s="7"/>
      <c r="L2000" s="70"/>
      <c r="M2000" s="79"/>
      <c r="N2000" s="1"/>
      <c r="O2000" s="1"/>
      <c r="P2000" s="1"/>
      <c r="Q2000" s="1"/>
      <c r="R2000" s="1"/>
      <c r="S2000" s="1"/>
      <c r="T2000" s="1"/>
      <c r="U2000" s="1"/>
      <c r="V2000" s="1"/>
      <c r="W2000" s="1"/>
      <c r="X2000" s="1"/>
      <c r="Y2000" s="1"/>
      <c r="Z2000" s="1"/>
      <c r="AA2000" s="1"/>
      <c r="AB2000" s="1"/>
      <c r="AC2000" s="1"/>
      <c r="AD2000" s="1"/>
      <c r="AE2000" s="1"/>
      <c r="AF2000" s="1"/>
      <c r="AG2000" s="1"/>
      <c r="AH2000" s="1"/>
    </row>
    <row r="2001" ht="12.75" hidden="1" customHeight="1" outlineLevel="1">
      <c r="A2001" s="17">
        <v>41330.0</v>
      </c>
      <c r="B2001" s="1" t="s">
        <v>347</v>
      </c>
      <c r="C2001" s="1" t="s">
        <v>681</v>
      </c>
      <c r="D2001" s="74">
        <v>900.0</v>
      </c>
      <c r="E2001" s="67">
        <v>16.6</v>
      </c>
      <c r="F2001" s="75">
        <v>0.5017013888888889</v>
      </c>
      <c r="G2001" s="67" t="s">
        <v>453</v>
      </c>
      <c r="H2001" s="68">
        <v>3.6</v>
      </c>
      <c r="I2001" s="76"/>
      <c r="J2001" s="67">
        <f t="shared" si="142"/>
        <v>14936.4</v>
      </c>
      <c r="K2001" s="7"/>
      <c r="L2001" s="70"/>
      <c r="M2001" s="79"/>
      <c r="N2001" s="1"/>
      <c r="O2001" s="1"/>
      <c r="P2001" s="1"/>
      <c r="Q2001" s="1"/>
      <c r="R2001" s="1"/>
      <c r="S2001" s="1"/>
      <c r="T2001" s="1"/>
      <c r="U2001" s="1"/>
      <c r="V2001" s="1"/>
      <c r="W2001" s="1"/>
      <c r="X2001" s="1"/>
      <c r="Y2001" s="1"/>
      <c r="Z2001" s="1"/>
      <c r="AA2001" s="1"/>
      <c r="AB2001" s="1"/>
      <c r="AC2001" s="1"/>
      <c r="AD2001" s="1"/>
      <c r="AE2001" s="1"/>
      <c r="AF2001" s="1"/>
      <c r="AG2001" s="1"/>
      <c r="AH2001" s="1"/>
    </row>
    <row r="2002" ht="12.75" hidden="1" customHeight="1" outlineLevel="1">
      <c r="A2002" s="17">
        <v>41330.0</v>
      </c>
      <c r="B2002" s="1"/>
      <c r="C2002" s="1" t="s">
        <v>339</v>
      </c>
      <c r="D2002" s="74"/>
      <c r="E2002" s="67"/>
      <c r="F2002" s="75"/>
      <c r="G2002" s="67"/>
      <c r="H2002" s="68"/>
      <c r="I2002" s="76"/>
      <c r="J2002" s="67"/>
      <c r="K2002" s="7" t="s">
        <v>910</v>
      </c>
      <c r="L2002" s="77"/>
      <c r="M2002" s="79"/>
      <c r="N2002" s="1"/>
      <c r="O2002" s="1"/>
      <c r="P2002" s="1"/>
      <c r="Q2002" s="1"/>
      <c r="R2002" s="1"/>
      <c r="S2002" s="1"/>
      <c r="T2002" s="1"/>
      <c r="U2002" s="1"/>
      <c r="V2002" s="1"/>
      <c r="W2002" s="1"/>
      <c r="X2002" s="1"/>
      <c r="Y2002" s="1"/>
      <c r="Z2002" s="1"/>
      <c r="AA2002" s="1"/>
      <c r="AB2002" s="1"/>
      <c r="AC2002" s="1"/>
      <c r="AD2002" s="1"/>
      <c r="AE2002" s="1"/>
      <c r="AF2002" s="1"/>
      <c r="AG2002" s="1"/>
      <c r="AH2002" s="1"/>
    </row>
    <row r="2003" ht="12.75" hidden="1" customHeight="1" outlineLevel="1">
      <c r="A2003" s="17">
        <v>41330.0</v>
      </c>
      <c r="B2003" s="1"/>
      <c r="C2003" s="1" t="s">
        <v>429</v>
      </c>
      <c r="D2003" s="74"/>
      <c r="E2003" s="67"/>
      <c r="F2003" s="75"/>
      <c r="G2003" s="67"/>
      <c r="H2003" s="68"/>
      <c r="I2003" s="76"/>
      <c r="J2003" s="67"/>
      <c r="K2003" s="7" t="s">
        <v>909</v>
      </c>
      <c r="L2003" s="77"/>
      <c r="M2003" s="79"/>
      <c r="N2003" s="1"/>
      <c r="O2003" s="1"/>
      <c r="P2003" s="1"/>
      <c r="Q2003" s="1"/>
      <c r="R2003" s="1"/>
      <c r="S2003" s="1"/>
      <c r="T2003" s="1"/>
      <c r="U2003" s="1"/>
      <c r="V2003" s="1"/>
      <c r="W2003" s="1"/>
      <c r="X2003" s="1"/>
      <c r="Y2003" s="1"/>
      <c r="Z2003" s="1"/>
      <c r="AA2003" s="1"/>
      <c r="AB2003" s="1"/>
      <c r="AC2003" s="1"/>
      <c r="AD2003" s="1"/>
      <c r="AE2003" s="1"/>
      <c r="AF2003" s="1"/>
      <c r="AG2003" s="1"/>
      <c r="AH2003" s="1"/>
    </row>
    <row r="2004" ht="12.75" hidden="1" customHeight="1" outlineLevel="1">
      <c r="A2004" s="17">
        <v>41330.0</v>
      </c>
      <c r="B2004" s="1"/>
      <c r="C2004" s="1" t="s">
        <v>431</v>
      </c>
      <c r="D2004" s="74"/>
      <c r="E2004" s="67"/>
      <c r="F2004" s="75"/>
      <c r="G2004" s="67"/>
      <c r="H2004" s="68"/>
      <c r="I2004" s="76"/>
      <c r="J2004" s="67"/>
      <c r="K2004" s="7" t="s">
        <v>817</v>
      </c>
      <c r="L2004" s="77"/>
      <c r="M2004" s="79"/>
      <c r="N2004" s="1"/>
      <c r="O2004" s="1"/>
      <c r="P2004" s="1"/>
      <c r="Q2004" s="1"/>
      <c r="R2004" s="1"/>
      <c r="S2004" s="1"/>
      <c r="T2004" s="1"/>
      <c r="U2004" s="1"/>
      <c r="V2004" s="1"/>
      <c r="W2004" s="1"/>
      <c r="X2004" s="1"/>
      <c r="Y2004" s="1"/>
      <c r="Z2004" s="1"/>
      <c r="AA2004" s="1"/>
      <c r="AB2004" s="1"/>
      <c r="AC2004" s="1"/>
      <c r="AD2004" s="1"/>
      <c r="AE2004" s="1"/>
      <c r="AF2004" s="1"/>
      <c r="AG2004" s="1"/>
      <c r="AH2004" s="1"/>
    </row>
    <row r="2005" ht="12.75" hidden="1" customHeight="1" outlineLevel="1">
      <c r="A2005" s="17">
        <v>41330.0</v>
      </c>
      <c r="B2005" s="1"/>
      <c r="C2005" s="1" t="s">
        <v>433</v>
      </c>
      <c r="D2005" s="74"/>
      <c r="E2005" s="67"/>
      <c r="F2005" s="75"/>
      <c r="G2005" s="67"/>
      <c r="H2005" s="68"/>
      <c r="I2005" s="76"/>
      <c r="J2005" s="67"/>
      <c r="K2005" s="7" t="s">
        <v>434</v>
      </c>
      <c r="L2005" s="77"/>
      <c r="M2005" s="79"/>
      <c r="N2005" s="1"/>
      <c r="O2005" s="1"/>
      <c r="P2005" s="1"/>
      <c r="Q2005" s="1"/>
      <c r="R2005" s="1"/>
      <c r="S2005" s="1"/>
      <c r="T2005" s="1"/>
      <c r="U2005" s="1"/>
      <c r="V2005" s="1"/>
      <c r="W2005" s="1"/>
      <c r="X2005" s="1"/>
      <c r="Y2005" s="1"/>
      <c r="Z2005" s="1"/>
      <c r="AA2005" s="1"/>
      <c r="AB2005" s="1"/>
      <c r="AC2005" s="1"/>
      <c r="AD2005" s="1"/>
      <c r="AE2005" s="1"/>
      <c r="AF2005" s="1"/>
      <c r="AG2005" s="1"/>
      <c r="AH2005" s="1"/>
    </row>
    <row r="2006" ht="12.75" hidden="1" customHeight="1" outlineLevel="1">
      <c r="A2006" s="17">
        <v>41330.0</v>
      </c>
      <c r="B2006" s="1"/>
      <c r="C2006" s="1" t="s">
        <v>435</v>
      </c>
      <c r="D2006" s="74"/>
      <c r="E2006" s="67"/>
      <c r="F2006" s="75"/>
      <c r="G2006" s="67"/>
      <c r="H2006" s="68"/>
      <c r="I2006" s="76"/>
      <c r="J2006" s="67"/>
      <c r="K2006" s="7" t="s">
        <v>818</v>
      </c>
      <c r="L2006" s="77"/>
      <c r="M2006" s="79"/>
      <c r="N2006" s="1"/>
      <c r="O2006" s="1"/>
      <c r="P2006" s="1"/>
      <c r="Q2006" s="1"/>
      <c r="R2006" s="1"/>
      <c r="S2006" s="1"/>
      <c r="T2006" s="1"/>
      <c r="U2006" s="1"/>
      <c r="V2006" s="1"/>
      <c r="W2006" s="1"/>
      <c r="X2006" s="1"/>
      <c r="Y2006" s="1"/>
      <c r="Z2006" s="1"/>
      <c r="AA2006" s="1"/>
      <c r="AB2006" s="1"/>
      <c r="AC2006" s="1"/>
      <c r="AD2006" s="1"/>
      <c r="AE2006" s="1"/>
      <c r="AF2006" s="1"/>
      <c r="AG2006" s="1"/>
      <c r="AH2006" s="1"/>
    </row>
    <row r="2007" ht="12.75" hidden="1" customHeight="1" outlineLevel="1">
      <c r="A2007" s="17">
        <v>41331.0</v>
      </c>
      <c r="B2007" s="1" t="s">
        <v>343</v>
      </c>
      <c r="C2007" s="1" t="s">
        <v>349</v>
      </c>
      <c r="D2007" s="74">
        <v>400.0</v>
      </c>
      <c r="E2007" s="67">
        <v>35.75</v>
      </c>
      <c r="F2007" s="75">
        <v>0.41003472222222226</v>
      </c>
      <c r="G2007" s="67" t="s">
        <v>453</v>
      </c>
      <c r="H2007" s="68">
        <v>1.6</v>
      </c>
      <c r="I2007" s="76"/>
      <c r="J2007" s="67">
        <f t="shared" ref="J2007:J2011" si="143">IF(B2007="SLD",D2007*E2007,-D2007*E2007)-H2007</f>
        <v>-14301.6</v>
      </c>
      <c r="K2007" s="7"/>
      <c r="L2007" s="70"/>
      <c r="M2007" s="79"/>
      <c r="N2007" s="1"/>
      <c r="O2007" s="1"/>
      <c r="P2007" s="1"/>
      <c r="Q2007" s="1"/>
      <c r="R2007" s="1"/>
      <c r="S2007" s="1"/>
      <c r="T2007" s="1"/>
      <c r="U2007" s="1"/>
      <c r="V2007" s="1"/>
      <c r="W2007" s="1"/>
      <c r="X2007" s="1"/>
      <c r="Y2007" s="1"/>
      <c r="Z2007" s="1"/>
      <c r="AA2007" s="1"/>
      <c r="AB2007" s="1"/>
      <c r="AC2007" s="1"/>
      <c r="AD2007" s="1"/>
      <c r="AE2007" s="1"/>
      <c r="AF2007" s="1"/>
      <c r="AG2007" s="1"/>
      <c r="AH2007" s="1"/>
    </row>
    <row r="2008" ht="12.75" hidden="1" customHeight="1" outlineLevel="1">
      <c r="A2008" s="17">
        <v>41331.0</v>
      </c>
      <c r="B2008" s="1" t="s">
        <v>347</v>
      </c>
      <c r="C2008" s="1" t="s">
        <v>784</v>
      </c>
      <c r="D2008" s="74">
        <v>200.0</v>
      </c>
      <c r="E2008" s="67">
        <v>18.07</v>
      </c>
      <c r="F2008" s="75">
        <v>0.4136111111111111</v>
      </c>
      <c r="G2008" s="67" t="s">
        <v>453</v>
      </c>
      <c r="H2008" s="68">
        <v>1.0</v>
      </c>
      <c r="I2008" s="76"/>
      <c r="J2008" s="67">
        <f t="shared" si="143"/>
        <v>3613</v>
      </c>
      <c r="K2008" s="7"/>
      <c r="L2008" s="70"/>
      <c r="M2008" s="79"/>
      <c r="N2008" s="1"/>
      <c r="O2008" s="1"/>
      <c r="P2008" s="1"/>
      <c r="Q2008" s="1"/>
      <c r="R2008" s="1"/>
      <c r="S2008" s="1"/>
      <c r="T2008" s="1"/>
      <c r="U2008" s="1"/>
      <c r="V2008" s="1"/>
      <c r="W2008" s="1"/>
      <c r="X2008" s="1"/>
      <c r="Y2008" s="1"/>
      <c r="Z2008" s="1"/>
      <c r="AA2008" s="1"/>
      <c r="AB2008" s="1"/>
      <c r="AC2008" s="1"/>
      <c r="AD2008" s="1"/>
      <c r="AE2008" s="1"/>
      <c r="AF2008" s="1"/>
      <c r="AG2008" s="1"/>
      <c r="AH2008" s="1"/>
    </row>
    <row r="2009" ht="12.75" hidden="1" customHeight="1" outlineLevel="1">
      <c r="A2009" s="17">
        <v>41331.0</v>
      </c>
      <c r="B2009" s="1" t="s">
        <v>343</v>
      </c>
      <c r="C2009" s="1" t="s">
        <v>857</v>
      </c>
      <c r="D2009" s="74">
        <v>500.0</v>
      </c>
      <c r="E2009" s="67">
        <v>10.73</v>
      </c>
      <c r="F2009" s="75">
        <v>0.42084490740740743</v>
      </c>
      <c r="G2009" s="67" t="s">
        <v>453</v>
      </c>
      <c r="H2009" s="68">
        <v>2.1</v>
      </c>
      <c r="I2009" s="76"/>
      <c r="J2009" s="67">
        <f t="shared" si="143"/>
        <v>-5367.1</v>
      </c>
      <c r="K2009" s="7"/>
      <c r="L2009" s="70"/>
      <c r="M2009" s="79"/>
      <c r="N2009" s="1"/>
      <c r="O2009" s="1"/>
      <c r="P2009" s="1"/>
      <c r="Q2009" s="1"/>
      <c r="R2009" s="1"/>
      <c r="S2009" s="1"/>
      <c r="T2009" s="1"/>
      <c r="U2009" s="1"/>
      <c r="V2009" s="1"/>
      <c r="W2009" s="1"/>
      <c r="X2009" s="1"/>
      <c r="Y2009" s="1"/>
      <c r="Z2009" s="1"/>
      <c r="AA2009" s="1"/>
      <c r="AB2009" s="1"/>
      <c r="AC2009" s="1"/>
      <c r="AD2009" s="1"/>
      <c r="AE2009" s="1"/>
      <c r="AF2009" s="1"/>
      <c r="AG2009" s="1"/>
      <c r="AH2009" s="1"/>
    </row>
    <row r="2010" ht="12.75" hidden="1" customHeight="1" outlineLevel="1">
      <c r="A2010" s="17">
        <v>41331.0</v>
      </c>
      <c r="B2010" s="1" t="s">
        <v>343</v>
      </c>
      <c r="C2010" s="1" t="s">
        <v>881</v>
      </c>
      <c r="D2010" s="74">
        <v>200.0</v>
      </c>
      <c r="E2010" s="67">
        <v>29.96</v>
      </c>
      <c r="F2010" s="75">
        <v>0.42219907407407403</v>
      </c>
      <c r="G2010" s="67" t="s">
        <v>453</v>
      </c>
      <c r="H2010" s="68">
        <v>1.0</v>
      </c>
      <c r="I2010" s="76"/>
      <c r="J2010" s="67">
        <f t="shared" si="143"/>
        <v>-5993</v>
      </c>
      <c r="K2010" s="7"/>
      <c r="L2010" s="70"/>
      <c r="M2010" s="79"/>
      <c r="N2010" s="1"/>
      <c r="O2010" s="1"/>
      <c r="P2010" s="1"/>
      <c r="Q2010" s="1"/>
      <c r="R2010" s="1"/>
      <c r="S2010" s="1"/>
      <c r="T2010" s="1"/>
      <c r="U2010" s="1"/>
      <c r="V2010" s="1"/>
      <c r="W2010" s="1"/>
      <c r="X2010" s="1"/>
      <c r="Y2010" s="1"/>
      <c r="Z2010" s="1"/>
      <c r="AA2010" s="1"/>
      <c r="AB2010" s="1"/>
      <c r="AC2010" s="1"/>
      <c r="AD2010" s="1"/>
      <c r="AE2010" s="1"/>
      <c r="AF2010" s="1"/>
      <c r="AG2010" s="1"/>
      <c r="AH2010" s="1"/>
    </row>
    <row r="2011" ht="12.75" hidden="1" customHeight="1" outlineLevel="1">
      <c r="A2011" s="17">
        <v>41331.0</v>
      </c>
      <c r="B2011" s="1" t="s">
        <v>343</v>
      </c>
      <c r="C2011" s="1" t="s">
        <v>911</v>
      </c>
      <c r="D2011" s="74">
        <v>400.0</v>
      </c>
      <c r="E2011" s="67">
        <v>37.41</v>
      </c>
      <c r="F2011" s="75">
        <v>0.45653935185185185</v>
      </c>
      <c r="G2011" s="67" t="s">
        <v>453</v>
      </c>
      <c r="H2011" s="68">
        <v>2.0</v>
      </c>
      <c r="I2011" s="76"/>
      <c r="J2011" s="67">
        <f t="shared" si="143"/>
        <v>-14966</v>
      </c>
      <c r="K2011" s="7"/>
      <c r="L2011" s="70"/>
      <c r="M2011" s="79"/>
      <c r="N2011" s="1"/>
      <c r="O2011" s="1"/>
      <c r="P2011" s="1"/>
      <c r="Q2011" s="1"/>
      <c r="R2011" s="1"/>
      <c r="S2011" s="1"/>
      <c r="T2011" s="1"/>
      <c r="U2011" s="1"/>
      <c r="V2011" s="1"/>
      <c r="W2011" s="1"/>
      <c r="X2011" s="1"/>
      <c r="Y2011" s="1"/>
      <c r="Z2011" s="1"/>
      <c r="AA2011" s="1"/>
      <c r="AB2011" s="1"/>
      <c r="AC2011" s="1"/>
      <c r="AD2011" s="1"/>
      <c r="AE2011" s="1"/>
      <c r="AF2011" s="1"/>
      <c r="AG2011" s="1"/>
      <c r="AH2011" s="1"/>
    </row>
    <row r="2012" ht="12.75" hidden="1" customHeight="1" outlineLevel="1">
      <c r="A2012" s="17">
        <v>41331.0</v>
      </c>
      <c r="B2012" s="1"/>
      <c r="C2012" s="1" t="s">
        <v>339</v>
      </c>
      <c r="D2012" s="74"/>
      <c r="E2012" s="67"/>
      <c r="F2012" s="75"/>
      <c r="G2012" s="67"/>
      <c r="H2012" s="68"/>
      <c r="I2012" s="76"/>
      <c r="J2012" s="67"/>
      <c r="K2012" s="7" t="s">
        <v>912</v>
      </c>
      <c r="L2012" s="77"/>
      <c r="M2012" s="79"/>
      <c r="N2012" s="1"/>
      <c r="O2012" s="1"/>
      <c r="P2012" s="1"/>
      <c r="Q2012" s="1"/>
      <c r="R2012" s="1"/>
      <c r="S2012" s="1"/>
      <c r="T2012" s="1"/>
      <c r="U2012" s="1"/>
      <c r="V2012" s="1"/>
      <c r="W2012" s="1"/>
      <c r="X2012" s="1"/>
      <c r="Y2012" s="1"/>
      <c r="Z2012" s="1"/>
      <c r="AA2012" s="1"/>
      <c r="AB2012" s="1"/>
      <c r="AC2012" s="1"/>
      <c r="AD2012" s="1"/>
      <c r="AE2012" s="1"/>
      <c r="AF2012" s="1"/>
      <c r="AG2012" s="1"/>
      <c r="AH2012" s="1"/>
    </row>
    <row r="2013" ht="12.75" hidden="1" customHeight="1" outlineLevel="1">
      <c r="A2013" s="17">
        <v>41331.0</v>
      </c>
      <c r="B2013" s="1"/>
      <c r="C2013" s="1" t="s">
        <v>429</v>
      </c>
      <c r="D2013" s="74"/>
      <c r="E2013" s="67"/>
      <c r="F2013" s="75"/>
      <c r="G2013" s="67"/>
      <c r="H2013" s="68"/>
      <c r="I2013" s="76"/>
      <c r="J2013" s="67"/>
      <c r="K2013" s="7" t="s">
        <v>913</v>
      </c>
      <c r="L2013" s="77"/>
      <c r="M2013" s="79"/>
      <c r="N2013" s="1"/>
      <c r="O2013" s="1"/>
      <c r="P2013" s="1"/>
      <c r="Q2013" s="1"/>
      <c r="R2013" s="1"/>
      <c r="S2013" s="1"/>
      <c r="T2013" s="1"/>
      <c r="U2013" s="1"/>
      <c r="V2013" s="1"/>
      <c r="W2013" s="1"/>
      <c r="X2013" s="1"/>
      <c r="Y2013" s="1"/>
      <c r="Z2013" s="1"/>
      <c r="AA2013" s="1"/>
      <c r="AB2013" s="1"/>
      <c r="AC2013" s="1"/>
      <c r="AD2013" s="1"/>
      <c r="AE2013" s="1"/>
      <c r="AF2013" s="1"/>
      <c r="AG2013" s="1"/>
      <c r="AH2013" s="1"/>
    </row>
    <row r="2014" ht="12.75" hidden="1" customHeight="1" outlineLevel="1">
      <c r="A2014" s="17">
        <v>41331.0</v>
      </c>
      <c r="B2014" s="1"/>
      <c r="C2014" s="1" t="s">
        <v>431</v>
      </c>
      <c r="D2014" s="74"/>
      <c r="E2014" s="67"/>
      <c r="F2014" s="75"/>
      <c r="G2014" s="67"/>
      <c r="H2014" s="68"/>
      <c r="I2014" s="76"/>
      <c r="J2014" s="67"/>
      <c r="K2014" s="7" t="s">
        <v>817</v>
      </c>
      <c r="L2014" s="77"/>
      <c r="M2014" s="79"/>
      <c r="N2014" s="1"/>
      <c r="O2014" s="1"/>
      <c r="P2014" s="1"/>
      <c r="Q2014" s="1"/>
      <c r="R2014" s="1"/>
      <c r="S2014" s="1"/>
      <c r="T2014" s="1"/>
      <c r="U2014" s="1"/>
      <c r="V2014" s="1"/>
      <c r="W2014" s="1"/>
      <c r="X2014" s="1"/>
      <c r="Y2014" s="1"/>
      <c r="Z2014" s="1"/>
      <c r="AA2014" s="1"/>
      <c r="AB2014" s="1"/>
      <c r="AC2014" s="1"/>
      <c r="AD2014" s="1"/>
      <c r="AE2014" s="1"/>
      <c r="AF2014" s="1"/>
      <c r="AG2014" s="1"/>
      <c r="AH2014" s="1"/>
    </row>
    <row r="2015" ht="12.75" hidden="1" customHeight="1" outlineLevel="1">
      <c r="A2015" s="17">
        <v>41331.0</v>
      </c>
      <c r="B2015" s="1"/>
      <c r="C2015" s="1" t="s">
        <v>433</v>
      </c>
      <c r="D2015" s="74"/>
      <c r="E2015" s="67"/>
      <c r="F2015" s="75"/>
      <c r="G2015" s="67"/>
      <c r="H2015" s="68"/>
      <c r="I2015" s="76"/>
      <c r="J2015" s="67"/>
      <c r="K2015" s="7" t="s">
        <v>434</v>
      </c>
      <c r="L2015" s="77"/>
      <c r="M2015" s="79"/>
      <c r="N2015" s="1"/>
      <c r="O2015" s="1"/>
      <c r="P2015" s="1"/>
      <c r="Q2015" s="1"/>
      <c r="R2015" s="1"/>
      <c r="S2015" s="1"/>
      <c r="T2015" s="1"/>
      <c r="U2015" s="1"/>
      <c r="V2015" s="1"/>
      <c r="W2015" s="1"/>
      <c r="X2015" s="1"/>
      <c r="Y2015" s="1"/>
      <c r="Z2015" s="1"/>
      <c r="AA2015" s="1"/>
      <c r="AB2015" s="1"/>
      <c r="AC2015" s="1"/>
      <c r="AD2015" s="1"/>
      <c r="AE2015" s="1"/>
      <c r="AF2015" s="1"/>
      <c r="AG2015" s="1"/>
      <c r="AH2015" s="1"/>
    </row>
    <row r="2016" ht="12.75" hidden="1" customHeight="1" outlineLevel="1">
      <c r="A2016" s="17">
        <v>41331.0</v>
      </c>
      <c r="B2016" s="1"/>
      <c r="C2016" s="1" t="s">
        <v>435</v>
      </c>
      <c r="D2016" s="74"/>
      <c r="E2016" s="67"/>
      <c r="F2016" s="75"/>
      <c r="G2016" s="67"/>
      <c r="H2016" s="68"/>
      <c r="I2016" s="76"/>
      <c r="J2016" s="67"/>
      <c r="K2016" s="7" t="s">
        <v>818</v>
      </c>
      <c r="L2016" s="77"/>
      <c r="M2016" s="79"/>
      <c r="N2016" s="1"/>
      <c r="O2016" s="1"/>
      <c r="P2016" s="1"/>
      <c r="Q2016" s="1"/>
      <c r="R2016" s="1"/>
      <c r="S2016" s="1"/>
      <c r="T2016" s="1"/>
      <c r="U2016" s="1"/>
      <c r="V2016" s="1"/>
      <c r="W2016" s="1"/>
      <c r="X2016" s="1"/>
      <c r="Y2016" s="1"/>
      <c r="Z2016" s="1"/>
      <c r="AA2016" s="1"/>
      <c r="AB2016" s="1"/>
      <c r="AC2016" s="1"/>
      <c r="AD2016" s="1"/>
      <c r="AE2016" s="1"/>
      <c r="AF2016" s="1"/>
      <c r="AG2016" s="1"/>
      <c r="AH2016" s="1"/>
    </row>
    <row r="2017" ht="12.75" hidden="1" customHeight="1" outlineLevel="1">
      <c r="A2017" s="17">
        <v>41332.0</v>
      </c>
      <c r="B2017" s="1"/>
      <c r="C2017" s="1" t="s">
        <v>339</v>
      </c>
      <c r="D2017" s="74"/>
      <c r="E2017" s="67"/>
      <c r="F2017" s="75"/>
      <c r="G2017" s="67"/>
      <c r="H2017" s="68"/>
      <c r="I2017" s="76"/>
      <c r="J2017" s="67"/>
      <c r="K2017" s="7" t="s">
        <v>914</v>
      </c>
      <c r="L2017" s="77"/>
      <c r="M2017" s="79"/>
      <c r="N2017" s="1"/>
      <c r="O2017" s="1"/>
      <c r="P2017" s="1"/>
      <c r="Q2017" s="1"/>
      <c r="R2017" s="1"/>
      <c r="S2017" s="1"/>
      <c r="T2017" s="1"/>
      <c r="U2017" s="1"/>
      <c r="V2017" s="1"/>
      <c r="W2017" s="1"/>
      <c r="X2017" s="1"/>
      <c r="Y2017" s="1"/>
      <c r="Z2017" s="1"/>
      <c r="AA2017" s="1"/>
      <c r="AB2017" s="1"/>
      <c r="AC2017" s="1"/>
      <c r="AD2017" s="1"/>
      <c r="AE2017" s="1"/>
      <c r="AF2017" s="1"/>
      <c r="AG2017" s="1"/>
      <c r="AH2017" s="1"/>
    </row>
    <row r="2018" ht="12.75" hidden="1" customHeight="1" outlineLevel="1">
      <c r="A2018" s="17">
        <v>41332.0</v>
      </c>
      <c r="B2018" s="1"/>
      <c r="C2018" s="1" t="s">
        <v>429</v>
      </c>
      <c r="D2018" s="74"/>
      <c r="E2018" s="67"/>
      <c r="F2018" s="75"/>
      <c r="G2018" s="67"/>
      <c r="H2018" s="68"/>
      <c r="I2018" s="76"/>
      <c r="J2018" s="67"/>
      <c r="K2018" s="7" t="s">
        <v>913</v>
      </c>
      <c r="L2018" s="77"/>
      <c r="M2018" s="79"/>
      <c r="N2018" s="1"/>
      <c r="O2018" s="1"/>
      <c r="P2018" s="1"/>
      <c r="Q2018" s="1"/>
      <c r="R2018" s="1"/>
      <c r="S2018" s="1"/>
      <c r="T2018" s="1"/>
      <c r="U2018" s="1"/>
      <c r="V2018" s="1"/>
      <c r="W2018" s="1"/>
      <c r="X2018" s="1"/>
      <c r="Y2018" s="1"/>
      <c r="Z2018" s="1"/>
      <c r="AA2018" s="1"/>
      <c r="AB2018" s="1"/>
      <c r="AC2018" s="1"/>
      <c r="AD2018" s="1"/>
      <c r="AE2018" s="1"/>
      <c r="AF2018" s="1"/>
      <c r="AG2018" s="1"/>
      <c r="AH2018" s="1"/>
    </row>
    <row r="2019" ht="12.75" hidden="1" customHeight="1" outlineLevel="1">
      <c r="A2019" s="17">
        <v>41332.0</v>
      </c>
      <c r="B2019" s="1"/>
      <c r="C2019" s="1" t="s">
        <v>431</v>
      </c>
      <c r="D2019" s="74"/>
      <c r="E2019" s="67"/>
      <c r="F2019" s="75"/>
      <c r="G2019" s="67"/>
      <c r="H2019" s="68"/>
      <c r="I2019" s="76"/>
      <c r="J2019" s="67"/>
      <c r="K2019" s="7" t="s">
        <v>817</v>
      </c>
      <c r="L2019" s="77"/>
      <c r="M2019" s="79"/>
      <c r="N2019" s="1"/>
      <c r="O2019" s="1"/>
      <c r="P2019" s="1"/>
      <c r="Q2019" s="1"/>
      <c r="R2019" s="1"/>
      <c r="S2019" s="1"/>
      <c r="T2019" s="1"/>
      <c r="U2019" s="1"/>
      <c r="V2019" s="1"/>
      <c r="W2019" s="1"/>
      <c r="X2019" s="1"/>
      <c r="Y2019" s="1"/>
      <c r="Z2019" s="1"/>
      <c r="AA2019" s="1"/>
      <c r="AB2019" s="1"/>
      <c r="AC2019" s="1"/>
      <c r="AD2019" s="1"/>
      <c r="AE2019" s="1"/>
      <c r="AF2019" s="1"/>
      <c r="AG2019" s="1"/>
      <c r="AH2019" s="1"/>
    </row>
    <row r="2020" ht="12.75" hidden="1" customHeight="1" outlineLevel="1">
      <c r="A2020" s="17">
        <v>41332.0</v>
      </c>
      <c r="B2020" s="1"/>
      <c r="C2020" s="1" t="s">
        <v>433</v>
      </c>
      <c r="D2020" s="74"/>
      <c r="E2020" s="67"/>
      <c r="F2020" s="75"/>
      <c r="G2020" s="67"/>
      <c r="H2020" s="68"/>
      <c r="I2020" s="76"/>
      <c r="J2020" s="67"/>
      <c r="K2020" s="7" t="s">
        <v>434</v>
      </c>
      <c r="L2020" s="77"/>
      <c r="M2020" s="79"/>
      <c r="N2020" s="1"/>
      <c r="O2020" s="1"/>
      <c r="P2020" s="1"/>
      <c r="Q2020" s="1"/>
      <c r="R2020" s="1"/>
      <c r="S2020" s="1"/>
      <c r="T2020" s="1"/>
      <c r="U2020" s="1"/>
      <c r="V2020" s="1"/>
      <c r="W2020" s="1"/>
      <c r="X2020" s="1"/>
      <c r="Y2020" s="1"/>
      <c r="Z2020" s="1"/>
      <c r="AA2020" s="1"/>
      <c r="AB2020" s="1"/>
      <c r="AC2020" s="1"/>
      <c r="AD2020" s="1"/>
      <c r="AE2020" s="1"/>
      <c r="AF2020" s="1"/>
      <c r="AG2020" s="1"/>
      <c r="AH2020" s="1"/>
    </row>
    <row r="2021" ht="12.75" hidden="1" customHeight="1" outlineLevel="1">
      <c r="A2021" s="17">
        <v>41332.0</v>
      </c>
      <c r="B2021" s="1"/>
      <c r="C2021" s="1" t="s">
        <v>435</v>
      </c>
      <c r="D2021" s="74"/>
      <c r="E2021" s="67"/>
      <c r="F2021" s="75"/>
      <c r="G2021" s="67"/>
      <c r="H2021" s="68"/>
      <c r="I2021" s="76"/>
      <c r="J2021" s="67"/>
      <c r="K2021" s="7" t="s">
        <v>818</v>
      </c>
      <c r="L2021" s="77"/>
      <c r="M2021" s="79"/>
      <c r="N2021" s="1"/>
      <c r="O2021" s="1"/>
      <c r="P2021" s="1"/>
      <c r="Q2021" s="1"/>
      <c r="R2021" s="1"/>
      <c r="S2021" s="1"/>
      <c r="T2021" s="1"/>
      <c r="U2021" s="1"/>
      <c r="V2021" s="1"/>
      <c r="W2021" s="1"/>
      <c r="X2021" s="1"/>
      <c r="Y2021" s="1"/>
      <c r="Z2021" s="1"/>
      <c r="AA2021" s="1"/>
      <c r="AB2021" s="1"/>
      <c r="AC2021" s="1"/>
      <c r="AD2021" s="1"/>
      <c r="AE2021" s="1"/>
      <c r="AF2021" s="1"/>
      <c r="AG2021" s="1"/>
      <c r="AH2021" s="1"/>
    </row>
    <row r="2022" ht="12.75" hidden="1" customHeight="1" outlineLevel="1">
      <c r="A2022" s="17">
        <v>41333.0</v>
      </c>
      <c r="B2022" s="1" t="s">
        <v>343</v>
      </c>
      <c r="C2022" s="1" t="s">
        <v>851</v>
      </c>
      <c r="D2022" s="74">
        <v>200.0</v>
      </c>
      <c r="E2022" s="67">
        <v>20.37</v>
      </c>
      <c r="F2022" s="75">
        <v>0.6012962962962963</v>
      </c>
      <c r="G2022" s="67" t="s">
        <v>453</v>
      </c>
      <c r="H2022" s="68"/>
      <c r="I2022" s="76"/>
      <c r="J2022" s="67">
        <f t="shared" ref="J2022:J2023" si="144">IF(B2022="SLD",D2022*E2022,-D2022*E2022)-H2022</f>
        <v>-4074</v>
      </c>
      <c r="K2022" s="7"/>
      <c r="L2022" s="70"/>
      <c r="M2022" s="79"/>
      <c r="N2022" s="1"/>
      <c r="O2022" s="1"/>
      <c r="P2022" s="1"/>
      <c r="Q2022" s="1"/>
      <c r="R2022" s="1"/>
      <c r="S2022" s="1"/>
      <c r="T2022" s="1"/>
      <c r="U2022" s="1"/>
      <c r="V2022" s="1"/>
      <c r="W2022" s="1"/>
      <c r="X2022" s="1"/>
      <c r="Y2022" s="1"/>
      <c r="Z2022" s="1"/>
      <c r="AA2022" s="1"/>
      <c r="AB2022" s="1"/>
      <c r="AC2022" s="1"/>
      <c r="AD2022" s="1"/>
      <c r="AE2022" s="1"/>
      <c r="AF2022" s="1"/>
      <c r="AG2022" s="1"/>
      <c r="AH2022" s="1"/>
    </row>
    <row r="2023" ht="12.75" hidden="1" customHeight="1" outlineLevel="1">
      <c r="A2023" s="17">
        <v>41333.0</v>
      </c>
      <c r="B2023" s="1" t="s">
        <v>343</v>
      </c>
      <c r="C2023" s="1" t="s">
        <v>857</v>
      </c>
      <c r="D2023" s="74">
        <v>200.0</v>
      </c>
      <c r="E2023" s="67">
        <v>11.21</v>
      </c>
      <c r="F2023" s="75">
        <v>0.6039699074074074</v>
      </c>
      <c r="G2023" s="67" t="s">
        <v>453</v>
      </c>
      <c r="H2023" s="68"/>
      <c r="I2023" s="76"/>
      <c r="J2023" s="67">
        <f t="shared" si="144"/>
        <v>-2242</v>
      </c>
      <c r="K2023" s="7"/>
      <c r="L2023" s="70"/>
      <c r="M2023" s="79"/>
      <c r="N2023" s="1"/>
      <c r="O2023" s="1"/>
      <c r="P2023" s="1"/>
      <c r="Q2023" s="1"/>
      <c r="R2023" s="1"/>
      <c r="S2023" s="1"/>
      <c r="T2023" s="1"/>
      <c r="U2023" s="1"/>
      <c r="V2023" s="1"/>
      <c r="W2023" s="1"/>
      <c r="X2023" s="1"/>
      <c r="Y2023" s="1"/>
      <c r="Z2023" s="1"/>
      <c r="AA2023" s="1"/>
      <c r="AB2023" s="1"/>
      <c r="AC2023" s="1"/>
      <c r="AD2023" s="1"/>
      <c r="AE2023" s="1"/>
      <c r="AF2023" s="1"/>
      <c r="AG2023" s="1"/>
      <c r="AH2023" s="1"/>
    </row>
    <row r="2024" ht="12.75" hidden="1" customHeight="1" outlineLevel="1">
      <c r="A2024" s="17">
        <v>41333.0</v>
      </c>
      <c r="B2024" s="1"/>
      <c r="C2024" s="1" t="s">
        <v>339</v>
      </c>
      <c r="D2024" s="74"/>
      <c r="E2024" s="67"/>
      <c r="F2024" s="75"/>
      <c r="G2024" s="67"/>
      <c r="H2024" s="68"/>
      <c r="I2024" s="76"/>
      <c r="J2024" s="67"/>
      <c r="K2024" s="7" t="s">
        <v>915</v>
      </c>
      <c r="L2024" s="77"/>
      <c r="M2024" s="79"/>
      <c r="N2024" s="1"/>
      <c r="O2024" s="1"/>
      <c r="P2024" s="1"/>
      <c r="Q2024" s="1"/>
      <c r="R2024" s="1"/>
      <c r="S2024" s="1"/>
      <c r="T2024" s="1"/>
      <c r="U2024" s="1"/>
      <c r="V2024" s="1"/>
      <c r="W2024" s="1"/>
      <c r="X2024" s="1"/>
      <c r="Y2024" s="1"/>
      <c r="Z2024" s="1"/>
      <c r="AA2024" s="1"/>
      <c r="AB2024" s="1"/>
      <c r="AC2024" s="1"/>
      <c r="AD2024" s="1"/>
      <c r="AE2024" s="1"/>
      <c r="AF2024" s="1"/>
      <c r="AG2024" s="1"/>
      <c r="AH2024" s="1"/>
    </row>
    <row r="2025" ht="12.75" hidden="1" customHeight="1" outlineLevel="1">
      <c r="A2025" s="17">
        <v>41333.0</v>
      </c>
      <c r="B2025" s="1"/>
      <c r="C2025" s="1" t="s">
        <v>429</v>
      </c>
      <c r="D2025" s="74"/>
      <c r="E2025" s="67"/>
      <c r="F2025" s="75"/>
      <c r="G2025" s="67"/>
      <c r="H2025" s="68"/>
      <c r="I2025" s="76"/>
      <c r="J2025" s="67"/>
      <c r="K2025" s="7" t="s">
        <v>913</v>
      </c>
      <c r="L2025" s="77"/>
      <c r="M2025" s="79"/>
      <c r="N2025" s="1"/>
      <c r="O2025" s="1"/>
      <c r="P2025" s="1"/>
      <c r="Q2025" s="1"/>
      <c r="R2025" s="1"/>
      <c r="S2025" s="1"/>
      <c r="T2025" s="1"/>
      <c r="U2025" s="1"/>
      <c r="V2025" s="1"/>
      <c r="W2025" s="1"/>
      <c r="X2025" s="1"/>
      <c r="Y2025" s="1"/>
      <c r="Z2025" s="1"/>
      <c r="AA2025" s="1"/>
      <c r="AB2025" s="1"/>
      <c r="AC2025" s="1"/>
      <c r="AD2025" s="1"/>
      <c r="AE2025" s="1"/>
      <c r="AF2025" s="1"/>
      <c r="AG2025" s="1"/>
      <c r="AH2025" s="1"/>
    </row>
    <row r="2026" ht="12.75" hidden="1" customHeight="1" outlineLevel="1">
      <c r="A2026" s="17">
        <v>41333.0</v>
      </c>
      <c r="B2026" s="1"/>
      <c r="C2026" s="1" t="s">
        <v>431</v>
      </c>
      <c r="D2026" s="74"/>
      <c r="E2026" s="67"/>
      <c r="F2026" s="75"/>
      <c r="G2026" s="67"/>
      <c r="H2026" s="68"/>
      <c r="I2026" s="76"/>
      <c r="J2026" s="67"/>
      <c r="K2026" s="7" t="s">
        <v>817</v>
      </c>
      <c r="L2026" s="77"/>
      <c r="M2026" s="79"/>
      <c r="N2026" s="1"/>
      <c r="O2026" s="1"/>
      <c r="P2026" s="1"/>
      <c r="Q2026" s="1"/>
      <c r="R2026" s="1"/>
      <c r="S2026" s="1"/>
      <c r="T2026" s="1"/>
      <c r="U2026" s="1"/>
      <c r="V2026" s="1"/>
      <c r="W2026" s="1"/>
      <c r="X2026" s="1"/>
      <c r="Y2026" s="1"/>
      <c r="Z2026" s="1"/>
      <c r="AA2026" s="1"/>
      <c r="AB2026" s="1"/>
      <c r="AC2026" s="1"/>
      <c r="AD2026" s="1"/>
      <c r="AE2026" s="1"/>
      <c r="AF2026" s="1"/>
      <c r="AG2026" s="1"/>
      <c r="AH2026" s="1"/>
    </row>
    <row r="2027" ht="12.75" hidden="1" customHeight="1" outlineLevel="1">
      <c r="A2027" s="17">
        <v>41333.0</v>
      </c>
      <c r="B2027" s="1"/>
      <c r="C2027" s="1" t="s">
        <v>433</v>
      </c>
      <c r="D2027" s="74"/>
      <c r="E2027" s="67"/>
      <c r="F2027" s="75"/>
      <c r="G2027" s="67"/>
      <c r="H2027" s="68"/>
      <c r="I2027" s="76"/>
      <c r="J2027" s="67"/>
      <c r="K2027" s="7" t="s">
        <v>434</v>
      </c>
      <c r="L2027" s="77"/>
      <c r="M2027" s="79"/>
      <c r="N2027" s="1"/>
      <c r="O2027" s="1"/>
      <c r="P2027" s="1"/>
      <c r="Q2027" s="1"/>
      <c r="R2027" s="1"/>
      <c r="S2027" s="1"/>
      <c r="T2027" s="1"/>
      <c r="U2027" s="1"/>
      <c r="V2027" s="1"/>
      <c r="W2027" s="1"/>
      <c r="X2027" s="1"/>
      <c r="Y2027" s="1"/>
      <c r="Z2027" s="1"/>
      <c r="AA2027" s="1"/>
      <c r="AB2027" s="1"/>
      <c r="AC2027" s="1"/>
      <c r="AD2027" s="1"/>
      <c r="AE2027" s="1"/>
      <c r="AF2027" s="1"/>
      <c r="AG2027" s="1"/>
      <c r="AH2027" s="1"/>
    </row>
    <row r="2028" ht="12.75" hidden="1" customHeight="1" outlineLevel="1">
      <c r="A2028" s="17">
        <v>41333.0</v>
      </c>
      <c r="B2028" s="1"/>
      <c r="C2028" s="1" t="s">
        <v>435</v>
      </c>
      <c r="D2028" s="74"/>
      <c r="E2028" s="67"/>
      <c r="F2028" s="75"/>
      <c r="G2028" s="67"/>
      <c r="H2028" s="68"/>
      <c r="I2028" s="76"/>
      <c r="J2028" s="67"/>
      <c r="K2028" s="7" t="s">
        <v>818</v>
      </c>
      <c r="L2028" s="77"/>
      <c r="M2028" s="79"/>
      <c r="N2028" s="1"/>
      <c r="O2028" s="1"/>
      <c r="P2028" s="1"/>
      <c r="Q2028" s="1"/>
      <c r="R2028" s="1"/>
      <c r="S2028" s="1"/>
      <c r="T2028" s="1"/>
      <c r="U2028" s="1"/>
      <c r="V2028" s="1"/>
      <c r="W2028" s="1"/>
      <c r="X2028" s="1"/>
      <c r="Y2028" s="1"/>
      <c r="Z2028" s="1"/>
      <c r="AA2028" s="1"/>
      <c r="AB2028" s="1"/>
      <c r="AC2028" s="1"/>
      <c r="AD2028" s="1"/>
      <c r="AE2028" s="1"/>
      <c r="AF2028" s="1"/>
      <c r="AG2028" s="1"/>
      <c r="AH2028" s="1"/>
    </row>
    <row r="2029" ht="12.75" hidden="1" customHeight="1" outlineLevel="1">
      <c r="A2029" s="17">
        <v>41334.0</v>
      </c>
      <c r="B2029" s="1" t="s">
        <v>347</v>
      </c>
      <c r="C2029" s="1" t="s">
        <v>346</v>
      </c>
      <c r="D2029" s="74">
        <v>30.0</v>
      </c>
      <c r="E2029" s="67">
        <v>434.01</v>
      </c>
      <c r="F2029" s="75">
        <v>0.5598263888888889</v>
      </c>
      <c r="G2029" s="67" t="s">
        <v>453</v>
      </c>
      <c r="H2029" s="68">
        <v>1.0</v>
      </c>
      <c r="I2029" s="76"/>
      <c r="J2029" s="67">
        <f t="shared" ref="J2029:J2030" si="145">IF(B2029="SLD",D2029*E2029,-D2029*E2029)-H2029</f>
        <v>13019.3</v>
      </c>
      <c r="K2029" s="7"/>
      <c r="L2029" s="70"/>
      <c r="M2029" s="79"/>
      <c r="N2029" s="1"/>
      <c r="O2029" s="1"/>
      <c r="P2029" s="1"/>
      <c r="Q2029" s="1"/>
      <c r="R2029" s="1"/>
      <c r="S2029" s="1"/>
      <c r="T2029" s="1"/>
      <c r="U2029" s="1"/>
      <c r="V2029" s="1"/>
      <c r="W2029" s="1"/>
      <c r="X2029" s="1"/>
      <c r="Y2029" s="1"/>
      <c r="Z2029" s="1"/>
      <c r="AA2029" s="1"/>
      <c r="AB2029" s="1"/>
      <c r="AC2029" s="1"/>
      <c r="AD2029" s="1"/>
      <c r="AE2029" s="1"/>
      <c r="AF2029" s="1"/>
      <c r="AG2029" s="1"/>
      <c r="AH2029" s="1"/>
    </row>
    <row r="2030" ht="12.75" hidden="1" customHeight="1" outlineLevel="1">
      <c r="A2030" s="17">
        <v>41334.0</v>
      </c>
      <c r="B2030" s="1" t="s">
        <v>347</v>
      </c>
      <c r="C2030" s="1" t="s">
        <v>346</v>
      </c>
      <c r="D2030" s="74">
        <v>30.0</v>
      </c>
      <c r="E2030" s="67">
        <v>432.24</v>
      </c>
      <c r="F2030" s="75">
        <v>0.5749305555555556</v>
      </c>
      <c r="G2030" s="67" t="s">
        <v>453</v>
      </c>
      <c r="H2030" s="68">
        <v>1.0</v>
      </c>
      <c r="I2030" s="76"/>
      <c r="J2030" s="67">
        <f t="shared" si="145"/>
        <v>12966.2</v>
      </c>
      <c r="K2030" s="7"/>
      <c r="L2030" s="70"/>
      <c r="M2030" s="79"/>
      <c r="N2030" s="1"/>
      <c r="O2030" s="1"/>
      <c r="P2030" s="1"/>
      <c r="Q2030" s="1"/>
      <c r="R2030" s="1"/>
      <c r="S2030" s="1"/>
      <c r="T2030" s="1"/>
      <c r="U2030" s="1"/>
      <c r="V2030" s="1"/>
      <c r="W2030" s="1"/>
      <c r="X2030" s="1"/>
      <c r="Y2030" s="1"/>
      <c r="Z2030" s="1"/>
      <c r="AA2030" s="1"/>
      <c r="AB2030" s="1"/>
      <c r="AC2030" s="1"/>
      <c r="AD2030" s="1"/>
      <c r="AE2030" s="1"/>
      <c r="AF2030" s="1"/>
      <c r="AG2030" s="1"/>
      <c r="AH2030" s="1"/>
    </row>
    <row r="2031" ht="12.75" hidden="1" customHeight="1" outlineLevel="1">
      <c r="A2031" s="17">
        <v>41334.0</v>
      </c>
      <c r="B2031" s="1"/>
      <c r="C2031" s="1" t="s">
        <v>339</v>
      </c>
      <c r="D2031" s="74"/>
      <c r="E2031" s="67"/>
      <c r="F2031" s="75"/>
      <c r="G2031" s="67"/>
      <c r="H2031" s="68"/>
      <c r="I2031" s="76"/>
      <c r="J2031" s="67"/>
      <c r="K2031" s="7" t="s">
        <v>916</v>
      </c>
      <c r="L2031" s="77"/>
      <c r="M2031" s="79"/>
      <c r="N2031" s="1"/>
      <c r="O2031" s="1"/>
      <c r="P2031" s="1"/>
      <c r="Q2031" s="1"/>
      <c r="R2031" s="1"/>
      <c r="S2031" s="1"/>
      <c r="T2031" s="1"/>
      <c r="U2031" s="1"/>
      <c r="V2031" s="1"/>
      <c r="W2031" s="1"/>
      <c r="X2031" s="1"/>
      <c r="Y2031" s="1"/>
      <c r="Z2031" s="1"/>
      <c r="AA2031" s="1"/>
      <c r="AB2031" s="1"/>
      <c r="AC2031" s="1"/>
      <c r="AD2031" s="1"/>
      <c r="AE2031" s="1"/>
      <c r="AF2031" s="1"/>
      <c r="AG2031" s="1"/>
      <c r="AH2031" s="1"/>
    </row>
    <row r="2032" ht="12.75" hidden="1" customHeight="1" outlineLevel="1">
      <c r="A2032" s="17">
        <v>41334.0</v>
      </c>
      <c r="B2032" s="1"/>
      <c r="C2032" s="1" t="s">
        <v>429</v>
      </c>
      <c r="D2032" s="74"/>
      <c r="E2032" s="67"/>
      <c r="F2032" s="75"/>
      <c r="G2032" s="67"/>
      <c r="H2032" s="68"/>
      <c r="I2032" s="76"/>
      <c r="J2032" s="67"/>
      <c r="K2032" s="7" t="s">
        <v>913</v>
      </c>
      <c r="L2032" s="77"/>
      <c r="M2032" s="79"/>
      <c r="N2032" s="1"/>
      <c r="O2032" s="1"/>
      <c r="P2032" s="1"/>
      <c r="Q2032" s="1"/>
      <c r="R2032" s="1"/>
      <c r="S2032" s="1"/>
      <c r="T2032" s="1"/>
      <c r="U2032" s="1"/>
      <c r="V2032" s="1"/>
      <c r="W2032" s="1"/>
      <c r="X2032" s="1"/>
      <c r="Y2032" s="1"/>
      <c r="Z2032" s="1"/>
      <c r="AA2032" s="1"/>
      <c r="AB2032" s="1"/>
      <c r="AC2032" s="1"/>
      <c r="AD2032" s="1"/>
      <c r="AE2032" s="1"/>
      <c r="AF2032" s="1"/>
      <c r="AG2032" s="1"/>
      <c r="AH2032" s="1"/>
    </row>
    <row r="2033" ht="12.75" hidden="1" customHeight="1" outlineLevel="1">
      <c r="A2033" s="17">
        <v>41334.0</v>
      </c>
      <c r="B2033" s="1"/>
      <c r="C2033" s="1" t="s">
        <v>431</v>
      </c>
      <c r="D2033" s="74"/>
      <c r="E2033" s="67"/>
      <c r="F2033" s="75"/>
      <c r="G2033" s="67"/>
      <c r="H2033" s="68"/>
      <c r="I2033" s="76"/>
      <c r="J2033" s="67"/>
      <c r="K2033" s="7" t="s">
        <v>817</v>
      </c>
      <c r="L2033" s="77"/>
      <c r="M2033" s="79"/>
      <c r="N2033" s="1"/>
      <c r="O2033" s="1"/>
      <c r="P2033" s="1"/>
      <c r="Q2033" s="1"/>
      <c r="R2033" s="1"/>
      <c r="S2033" s="1"/>
      <c r="T2033" s="1"/>
      <c r="U2033" s="1"/>
      <c r="V2033" s="1"/>
      <c r="W2033" s="1"/>
      <c r="X2033" s="1"/>
      <c r="Y2033" s="1"/>
      <c r="Z2033" s="1"/>
      <c r="AA2033" s="1"/>
      <c r="AB2033" s="1"/>
      <c r="AC2033" s="1"/>
      <c r="AD2033" s="1"/>
      <c r="AE2033" s="1"/>
      <c r="AF2033" s="1"/>
      <c r="AG2033" s="1"/>
      <c r="AH2033" s="1"/>
    </row>
    <row r="2034" ht="12.75" hidden="1" customHeight="1" outlineLevel="1">
      <c r="A2034" s="17">
        <v>41334.0</v>
      </c>
      <c r="B2034" s="1"/>
      <c r="C2034" s="1" t="s">
        <v>433</v>
      </c>
      <c r="D2034" s="74"/>
      <c r="E2034" s="67"/>
      <c r="F2034" s="75"/>
      <c r="G2034" s="67"/>
      <c r="H2034" s="68"/>
      <c r="I2034" s="76"/>
      <c r="J2034" s="67"/>
      <c r="K2034" s="7" t="s">
        <v>434</v>
      </c>
      <c r="L2034" s="77"/>
      <c r="M2034" s="79"/>
      <c r="N2034" s="1"/>
      <c r="O2034" s="1"/>
      <c r="P2034" s="1"/>
      <c r="Q2034" s="1"/>
      <c r="R2034" s="1"/>
      <c r="S2034" s="1"/>
      <c r="T2034" s="1"/>
      <c r="U2034" s="1"/>
      <c r="V2034" s="1"/>
      <c r="W2034" s="1"/>
      <c r="X2034" s="1"/>
      <c r="Y2034" s="1"/>
      <c r="Z2034" s="1"/>
      <c r="AA2034" s="1"/>
      <c r="AB2034" s="1"/>
      <c r="AC2034" s="1"/>
      <c r="AD2034" s="1"/>
      <c r="AE2034" s="1"/>
      <c r="AF2034" s="1"/>
      <c r="AG2034" s="1"/>
      <c r="AH2034" s="1"/>
    </row>
    <row r="2035" ht="12.75" hidden="1" customHeight="1" outlineLevel="1">
      <c r="A2035" s="17">
        <v>41334.0</v>
      </c>
      <c r="B2035" s="1"/>
      <c r="C2035" s="1" t="s">
        <v>435</v>
      </c>
      <c r="D2035" s="74"/>
      <c r="E2035" s="67"/>
      <c r="F2035" s="75"/>
      <c r="G2035" s="67"/>
      <c r="H2035" s="68"/>
      <c r="I2035" s="76"/>
      <c r="J2035" s="67"/>
      <c r="K2035" s="7" t="s">
        <v>818</v>
      </c>
      <c r="L2035" s="77"/>
      <c r="M2035" s="79"/>
      <c r="N2035" s="1"/>
      <c r="O2035" s="1"/>
      <c r="P2035" s="1"/>
      <c r="Q2035" s="1"/>
      <c r="R2035" s="1"/>
      <c r="S2035" s="1"/>
      <c r="T2035" s="1"/>
      <c r="U2035" s="1"/>
      <c r="V2035" s="1"/>
      <c r="W2035" s="1"/>
      <c r="X2035" s="1"/>
      <c r="Y2035" s="1"/>
      <c r="Z2035" s="1"/>
      <c r="AA2035" s="1"/>
      <c r="AB2035" s="1"/>
      <c r="AC2035" s="1"/>
      <c r="AD2035" s="1"/>
      <c r="AE2035" s="1"/>
      <c r="AF2035" s="1"/>
      <c r="AG2035" s="1"/>
      <c r="AH2035" s="1"/>
    </row>
    <row r="2036" ht="12.75" hidden="1" customHeight="1" outlineLevel="1">
      <c r="A2036" s="17">
        <v>41337.0</v>
      </c>
      <c r="B2036" s="1"/>
      <c r="C2036" s="1" t="s">
        <v>339</v>
      </c>
      <c r="D2036" s="74"/>
      <c r="E2036" s="67"/>
      <c r="F2036" s="75"/>
      <c r="G2036" s="67"/>
      <c r="H2036" s="68"/>
      <c r="I2036" s="76"/>
      <c r="J2036" s="67"/>
      <c r="K2036" s="7" t="s">
        <v>917</v>
      </c>
      <c r="L2036" s="77"/>
      <c r="M2036" s="79"/>
      <c r="N2036" s="1"/>
      <c r="O2036" s="1"/>
      <c r="P2036" s="1"/>
      <c r="Q2036" s="1"/>
      <c r="R2036" s="1"/>
      <c r="S2036" s="1"/>
      <c r="T2036" s="1"/>
      <c r="U2036" s="1"/>
      <c r="V2036" s="1"/>
      <c r="W2036" s="1"/>
      <c r="X2036" s="1"/>
      <c r="Y2036" s="1"/>
      <c r="Z2036" s="1"/>
      <c r="AA2036" s="1"/>
      <c r="AB2036" s="1"/>
      <c r="AC2036" s="1"/>
      <c r="AD2036" s="1"/>
      <c r="AE2036" s="1"/>
      <c r="AF2036" s="1"/>
      <c r="AG2036" s="1"/>
      <c r="AH2036" s="1"/>
    </row>
    <row r="2037" ht="12.75" hidden="1" customHeight="1" outlineLevel="1">
      <c r="A2037" s="17">
        <v>41337.0</v>
      </c>
      <c r="B2037" s="1"/>
      <c r="C2037" s="1" t="s">
        <v>429</v>
      </c>
      <c r="D2037" s="74"/>
      <c r="E2037" s="67"/>
      <c r="F2037" s="75"/>
      <c r="G2037" s="67"/>
      <c r="H2037" s="68"/>
      <c r="I2037" s="76"/>
      <c r="J2037" s="67"/>
      <c r="K2037" s="7" t="s">
        <v>913</v>
      </c>
      <c r="L2037" s="77"/>
      <c r="M2037" s="79"/>
      <c r="N2037" s="1"/>
      <c r="O2037" s="1"/>
      <c r="P2037" s="1"/>
      <c r="Q2037" s="1"/>
      <c r="R2037" s="1"/>
      <c r="S2037" s="1"/>
      <c r="T2037" s="1"/>
      <c r="U2037" s="1"/>
      <c r="V2037" s="1"/>
      <c r="W2037" s="1"/>
      <c r="X2037" s="1"/>
      <c r="Y2037" s="1"/>
      <c r="Z2037" s="1"/>
      <c r="AA2037" s="1"/>
      <c r="AB2037" s="1"/>
      <c r="AC2037" s="1"/>
      <c r="AD2037" s="1"/>
      <c r="AE2037" s="1"/>
      <c r="AF2037" s="1"/>
      <c r="AG2037" s="1"/>
      <c r="AH2037" s="1"/>
    </row>
    <row r="2038" ht="12.75" hidden="1" customHeight="1" outlineLevel="1">
      <c r="A2038" s="17">
        <v>41337.0</v>
      </c>
      <c r="B2038" s="1"/>
      <c r="C2038" s="1" t="s">
        <v>431</v>
      </c>
      <c r="D2038" s="74"/>
      <c r="E2038" s="67"/>
      <c r="F2038" s="75"/>
      <c r="G2038" s="67"/>
      <c r="H2038" s="68"/>
      <c r="I2038" s="76"/>
      <c r="J2038" s="67"/>
      <c r="K2038" s="7" t="s">
        <v>817</v>
      </c>
      <c r="L2038" s="77"/>
      <c r="M2038" s="79"/>
      <c r="N2038" s="1"/>
      <c r="O2038" s="1"/>
      <c r="P2038" s="1"/>
      <c r="Q2038" s="1"/>
      <c r="R2038" s="1"/>
      <c r="S2038" s="1"/>
      <c r="T2038" s="1"/>
      <c r="U2038" s="1"/>
      <c r="V2038" s="1"/>
      <c r="W2038" s="1"/>
      <c r="X2038" s="1"/>
      <c r="Y2038" s="1"/>
      <c r="Z2038" s="1"/>
      <c r="AA2038" s="1"/>
      <c r="AB2038" s="1"/>
      <c r="AC2038" s="1"/>
      <c r="AD2038" s="1"/>
      <c r="AE2038" s="1"/>
      <c r="AF2038" s="1"/>
      <c r="AG2038" s="1"/>
      <c r="AH2038" s="1"/>
    </row>
    <row r="2039" ht="12.75" hidden="1" customHeight="1" outlineLevel="1">
      <c r="A2039" s="17">
        <v>41337.0</v>
      </c>
      <c r="B2039" s="1"/>
      <c r="C2039" s="1" t="s">
        <v>433</v>
      </c>
      <c r="D2039" s="74"/>
      <c r="E2039" s="67"/>
      <c r="F2039" s="75"/>
      <c r="G2039" s="67"/>
      <c r="H2039" s="68"/>
      <c r="I2039" s="76"/>
      <c r="J2039" s="67"/>
      <c r="K2039" s="7" t="s">
        <v>434</v>
      </c>
      <c r="L2039" s="77"/>
      <c r="M2039" s="79"/>
      <c r="N2039" s="1"/>
      <c r="O2039" s="1"/>
      <c r="P2039" s="1"/>
      <c r="Q2039" s="1"/>
      <c r="R2039" s="1"/>
      <c r="S2039" s="1"/>
      <c r="T2039" s="1"/>
      <c r="U2039" s="1"/>
      <c r="V2039" s="1"/>
      <c r="W2039" s="1"/>
      <c r="X2039" s="1"/>
      <c r="Y2039" s="1"/>
      <c r="Z2039" s="1"/>
      <c r="AA2039" s="1"/>
      <c r="AB2039" s="1"/>
      <c r="AC2039" s="1"/>
      <c r="AD2039" s="1"/>
      <c r="AE2039" s="1"/>
      <c r="AF2039" s="1"/>
      <c r="AG2039" s="1"/>
      <c r="AH2039" s="1"/>
    </row>
    <row r="2040" ht="12.75" hidden="1" customHeight="1" outlineLevel="1">
      <c r="A2040" s="17">
        <v>41337.0</v>
      </c>
      <c r="B2040" s="1"/>
      <c r="C2040" s="1" t="s">
        <v>435</v>
      </c>
      <c r="D2040" s="74"/>
      <c r="E2040" s="67"/>
      <c r="F2040" s="75"/>
      <c r="G2040" s="67"/>
      <c r="H2040" s="68"/>
      <c r="I2040" s="76"/>
      <c r="J2040" s="67"/>
      <c r="K2040" s="7" t="s">
        <v>818</v>
      </c>
      <c r="L2040" s="77"/>
      <c r="M2040" s="79"/>
      <c r="N2040" s="1"/>
      <c r="O2040" s="1"/>
      <c r="P2040" s="1"/>
      <c r="Q2040" s="1"/>
      <c r="R2040" s="1"/>
      <c r="S2040" s="1"/>
      <c r="T2040" s="1"/>
      <c r="U2040" s="1"/>
      <c r="V2040" s="1"/>
      <c r="W2040" s="1"/>
      <c r="X2040" s="1"/>
      <c r="Y2040" s="1"/>
      <c r="Z2040" s="1"/>
      <c r="AA2040" s="1"/>
      <c r="AB2040" s="1"/>
      <c r="AC2040" s="1"/>
      <c r="AD2040" s="1"/>
      <c r="AE2040" s="1"/>
      <c r="AF2040" s="1"/>
      <c r="AG2040" s="1"/>
      <c r="AH2040" s="1"/>
    </row>
    <row r="2041" ht="12.75" hidden="1" customHeight="1" outlineLevel="1">
      <c r="A2041" s="17">
        <v>41338.0</v>
      </c>
      <c r="B2041" s="1" t="s">
        <v>343</v>
      </c>
      <c r="C2041" s="1" t="s">
        <v>346</v>
      </c>
      <c r="D2041" s="74">
        <v>60.0</v>
      </c>
      <c r="E2041" s="67">
        <v>430.579</v>
      </c>
      <c r="F2041" s="75">
        <v>0.4615856481481482</v>
      </c>
      <c r="G2041" s="67" t="s">
        <v>453</v>
      </c>
      <c r="H2041" s="68">
        <v>1.0</v>
      </c>
      <c r="I2041" s="76"/>
      <c r="J2041" s="67">
        <f t="shared" ref="J2041:J2043" si="146">IF(B2041="SLD",D2041*E2041,-D2041*E2041)-H2041</f>
        <v>-25835.74</v>
      </c>
      <c r="K2041" s="7"/>
      <c r="L2041" s="70"/>
      <c r="M2041" s="79"/>
      <c r="N2041" s="1"/>
      <c r="O2041" s="1"/>
      <c r="P2041" s="1"/>
      <c r="Q2041" s="1"/>
      <c r="R2041" s="1"/>
      <c r="S2041" s="1"/>
      <c r="T2041" s="1"/>
      <c r="U2041" s="1"/>
      <c r="V2041" s="1"/>
      <c r="W2041" s="1"/>
      <c r="X2041" s="1"/>
      <c r="Y2041" s="1"/>
      <c r="Z2041" s="1"/>
      <c r="AA2041" s="1"/>
      <c r="AB2041" s="1"/>
      <c r="AC2041" s="1"/>
      <c r="AD2041" s="1"/>
      <c r="AE2041" s="1"/>
      <c r="AF2041" s="1"/>
      <c r="AG2041" s="1"/>
      <c r="AH2041" s="1"/>
    </row>
    <row r="2042" ht="12.75" hidden="1" customHeight="1" outlineLevel="1">
      <c r="A2042" s="17">
        <v>41338.0</v>
      </c>
      <c r="B2042" s="1" t="s">
        <v>347</v>
      </c>
      <c r="C2042" s="1" t="s">
        <v>346</v>
      </c>
      <c r="D2042" s="74">
        <v>60.0</v>
      </c>
      <c r="E2042" s="67">
        <v>431.27</v>
      </c>
      <c r="F2042" s="75">
        <v>0.5810648148148149</v>
      </c>
      <c r="G2042" s="67" t="s">
        <v>453</v>
      </c>
      <c r="H2042" s="68">
        <v>1.0</v>
      </c>
      <c r="I2042" s="76"/>
      <c r="J2042" s="67">
        <f t="shared" si="146"/>
        <v>25875.2</v>
      </c>
      <c r="K2042" s="7"/>
      <c r="L2042" s="70"/>
      <c r="M2042" s="79"/>
      <c r="N2042" s="1"/>
      <c r="O2042" s="1"/>
      <c r="P2042" s="1"/>
      <c r="Q2042" s="1"/>
      <c r="R2042" s="1"/>
      <c r="S2042" s="1"/>
      <c r="T2042" s="1"/>
      <c r="U2042" s="1"/>
      <c r="V2042" s="1"/>
      <c r="W2042" s="1"/>
      <c r="X2042" s="1"/>
      <c r="Y2042" s="1"/>
      <c r="Z2042" s="1"/>
      <c r="AA2042" s="1"/>
      <c r="AB2042" s="1"/>
      <c r="AC2042" s="1"/>
      <c r="AD2042" s="1"/>
      <c r="AE2042" s="1"/>
      <c r="AF2042" s="1"/>
      <c r="AG2042" s="1"/>
      <c r="AH2042" s="1"/>
    </row>
    <row r="2043" ht="12.75" hidden="1" customHeight="1" outlineLevel="1">
      <c r="A2043" s="17">
        <v>41338.0</v>
      </c>
      <c r="B2043" s="1" t="s">
        <v>343</v>
      </c>
      <c r="C2043" s="1" t="s">
        <v>346</v>
      </c>
      <c r="D2043" s="74">
        <v>60.0</v>
      </c>
      <c r="E2043" s="67">
        <v>430.87</v>
      </c>
      <c r="F2043" s="75">
        <v>0.649224537037037</v>
      </c>
      <c r="G2043" s="67" t="s">
        <v>453</v>
      </c>
      <c r="H2043" s="68">
        <v>1.0</v>
      </c>
      <c r="I2043" s="76"/>
      <c r="J2043" s="67">
        <f t="shared" si="146"/>
        <v>-25853.2</v>
      </c>
      <c r="K2043" s="7"/>
      <c r="L2043" s="70"/>
      <c r="M2043" s="79"/>
      <c r="N2043" s="1"/>
      <c r="O2043" s="1"/>
      <c r="P2043" s="1"/>
      <c r="Q2043" s="1"/>
      <c r="R2043" s="1"/>
      <c r="S2043" s="1"/>
      <c r="T2043" s="1"/>
      <c r="U2043" s="1"/>
      <c r="V2043" s="1"/>
      <c r="W2043" s="1"/>
      <c r="X2043" s="1"/>
      <c r="Y2043" s="1"/>
      <c r="Z2043" s="1"/>
      <c r="AA2043" s="1"/>
      <c r="AB2043" s="1"/>
      <c r="AC2043" s="1"/>
      <c r="AD2043" s="1"/>
      <c r="AE2043" s="1"/>
      <c r="AF2043" s="1"/>
      <c r="AG2043" s="1"/>
      <c r="AH2043" s="1"/>
    </row>
    <row r="2044" ht="12.75" hidden="1" customHeight="1" outlineLevel="1">
      <c r="A2044" s="17">
        <v>41338.0</v>
      </c>
      <c r="B2044" s="1"/>
      <c r="C2044" s="1" t="s">
        <v>339</v>
      </c>
      <c r="D2044" s="74"/>
      <c r="E2044" s="67"/>
      <c r="F2044" s="75"/>
      <c r="G2044" s="67"/>
      <c r="H2044" s="68"/>
      <c r="I2044" s="76"/>
      <c r="J2044" s="67"/>
      <c r="K2044" s="7" t="s">
        <v>918</v>
      </c>
      <c r="L2044" s="77"/>
      <c r="M2044" s="79"/>
      <c r="N2044" s="1"/>
      <c r="O2044" s="1"/>
      <c r="P2044" s="1"/>
      <c r="Q2044" s="1"/>
      <c r="R2044" s="1"/>
      <c r="S2044" s="1"/>
      <c r="T2044" s="1"/>
      <c r="U2044" s="1"/>
      <c r="V2044" s="1"/>
      <c r="W2044" s="1"/>
      <c r="X2044" s="1"/>
      <c r="Y2044" s="1"/>
      <c r="Z2044" s="1"/>
      <c r="AA2044" s="1"/>
      <c r="AB2044" s="1"/>
      <c r="AC2044" s="1"/>
      <c r="AD2044" s="1"/>
      <c r="AE2044" s="1"/>
      <c r="AF2044" s="1"/>
      <c r="AG2044" s="1"/>
      <c r="AH2044" s="1"/>
    </row>
    <row r="2045" ht="12.75" hidden="1" customHeight="1" outlineLevel="1">
      <c r="A2045" s="17">
        <v>41338.0</v>
      </c>
      <c r="B2045" s="1"/>
      <c r="C2045" s="1" t="s">
        <v>429</v>
      </c>
      <c r="D2045" s="74"/>
      <c r="E2045" s="67"/>
      <c r="F2045" s="75"/>
      <c r="G2045" s="67"/>
      <c r="H2045" s="68"/>
      <c r="I2045" s="76"/>
      <c r="J2045" s="67"/>
      <c r="K2045" s="7" t="s">
        <v>913</v>
      </c>
      <c r="L2045" s="77"/>
      <c r="M2045" s="79"/>
      <c r="N2045" s="1"/>
      <c r="O2045" s="1"/>
      <c r="P2045" s="1"/>
      <c r="Q2045" s="1"/>
      <c r="R2045" s="1"/>
      <c r="S2045" s="1"/>
      <c r="T2045" s="1"/>
      <c r="U2045" s="1"/>
      <c r="V2045" s="1"/>
      <c r="W2045" s="1"/>
      <c r="X2045" s="1"/>
      <c r="Y2045" s="1"/>
      <c r="Z2045" s="1"/>
      <c r="AA2045" s="1"/>
      <c r="AB2045" s="1"/>
      <c r="AC2045" s="1"/>
      <c r="AD2045" s="1"/>
      <c r="AE2045" s="1"/>
      <c r="AF2045" s="1"/>
      <c r="AG2045" s="1"/>
      <c r="AH2045" s="1"/>
    </row>
    <row r="2046" ht="12.75" hidden="1" customHeight="1" outlineLevel="1">
      <c r="A2046" s="17">
        <v>41338.0</v>
      </c>
      <c r="B2046" s="1"/>
      <c r="C2046" s="1" t="s">
        <v>431</v>
      </c>
      <c r="D2046" s="74"/>
      <c r="E2046" s="67"/>
      <c r="F2046" s="75"/>
      <c r="G2046" s="67"/>
      <c r="H2046" s="68"/>
      <c r="I2046" s="76"/>
      <c r="J2046" s="67"/>
      <c r="K2046" s="7" t="s">
        <v>817</v>
      </c>
      <c r="L2046" s="77"/>
      <c r="M2046" s="79"/>
      <c r="N2046" s="1"/>
      <c r="O2046" s="1"/>
      <c r="P2046" s="1"/>
      <c r="Q2046" s="1"/>
      <c r="R2046" s="1"/>
      <c r="S2046" s="1"/>
      <c r="T2046" s="1"/>
      <c r="U2046" s="1"/>
      <c r="V2046" s="1"/>
      <c r="W2046" s="1"/>
      <c r="X2046" s="1"/>
      <c r="Y2046" s="1"/>
      <c r="Z2046" s="1"/>
      <c r="AA2046" s="1"/>
      <c r="AB2046" s="1"/>
      <c r="AC2046" s="1"/>
      <c r="AD2046" s="1"/>
      <c r="AE2046" s="1"/>
      <c r="AF2046" s="1"/>
      <c r="AG2046" s="1"/>
      <c r="AH2046" s="1"/>
    </row>
    <row r="2047" ht="12.75" hidden="1" customHeight="1" outlineLevel="1">
      <c r="A2047" s="17">
        <v>41338.0</v>
      </c>
      <c r="B2047" s="1"/>
      <c r="C2047" s="1" t="s">
        <v>433</v>
      </c>
      <c r="D2047" s="74"/>
      <c r="E2047" s="67"/>
      <c r="F2047" s="75"/>
      <c r="G2047" s="67"/>
      <c r="H2047" s="68"/>
      <c r="I2047" s="76"/>
      <c r="J2047" s="67"/>
      <c r="K2047" s="7" t="s">
        <v>434</v>
      </c>
      <c r="L2047" s="77"/>
      <c r="M2047" s="79"/>
      <c r="N2047" s="1"/>
      <c r="O2047" s="1"/>
      <c r="P2047" s="1"/>
      <c r="Q2047" s="1"/>
      <c r="R2047" s="1"/>
      <c r="S2047" s="1"/>
      <c r="T2047" s="1"/>
      <c r="U2047" s="1"/>
      <c r="V2047" s="1"/>
      <c r="W2047" s="1"/>
      <c r="X2047" s="1"/>
      <c r="Y2047" s="1"/>
      <c r="Z2047" s="1"/>
      <c r="AA2047" s="1"/>
      <c r="AB2047" s="1"/>
      <c r="AC2047" s="1"/>
      <c r="AD2047" s="1"/>
      <c r="AE2047" s="1"/>
      <c r="AF2047" s="1"/>
      <c r="AG2047" s="1"/>
      <c r="AH2047" s="1"/>
    </row>
    <row r="2048" ht="12.75" hidden="1" customHeight="1" outlineLevel="1">
      <c r="A2048" s="17">
        <v>41338.0</v>
      </c>
      <c r="B2048" s="1"/>
      <c r="C2048" s="1" t="s">
        <v>435</v>
      </c>
      <c r="D2048" s="74"/>
      <c r="E2048" s="67"/>
      <c r="F2048" s="75"/>
      <c r="G2048" s="67"/>
      <c r="H2048" s="68"/>
      <c r="I2048" s="76"/>
      <c r="J2048" s="67"/>
      <c r="K2048" s="7" t="s">
        <v>818</v>
      </c>
      <c r="L2048" s="77"/>
      <c r="M2048" s="79"/>
      <c r="N2048" s="1"/>
      <c r="O2048" s="1"/>
      <c r="P2048" s="1"/>
      <c r="Q2048" s="1"/>
      <c r="R2048" s="1"/>
      <c r="S2048" s="1"/>
      <c r="T2048" s="1"/>
      <c r="U2048" s="1"/>
      <c r="V2048" s="1"/>
      <c r="W2048" s="1"/>
      <c r="X2048" s="1"/>
      <c r="Y2048" s="1"/>
      <c r="Z2048" s="1"/>
      <c r="AA2048" s="1"/>
      <c r="AB2048" s="1"/>
      <c r="AC2048" s="1"/>
      <c r="AD2048" s="1"/>
      <c r="AE2048" s="1"/>
      <c r="AF2048" s="1"/>
      <c r="AG2048" s="1"/>
      <c r="AH2048" s="1"/>
    </row>
    <row r="2049" ht="12.75" hidden="1" customHeight="1" outlineLevel="1">
      <c r="A2049" s="17">
        <v>41339.0</v>
      </c>
      <c r="B2049" s="1"/>
      <c r="C2049" s="1" t="s">
        <v>339</v>
      </c>
      <c r="D2049" s="74"/>
      <c r="E2049" s="67"/>
      <c r="F2049" s="75"/>
      <c r="G2049" s="67"/>
      <c r="H2049" s="68"/>
      <c r="I2049" s="76"/>
      <c r="J2049" s="67"/>
      <c r="K2049" s="7" t="s">
        <v>919</v>
      </c>
      <c r="L2049" s="77"/>
      <c r="M2049" s="79"/>
      <c r="N2049" s="1"/>
      <c r="O2049" s="1"/>
      <c r="P2049" s="1"/>
      <c r="Q2049" s="1"/>
      <c r="R2049" s="1"/>
      <c r="S2049" s="1"/>
      <c r="T2049" s="1"/>
      <c r="U2049" s="1"/>
      <c r="V2049" s="1"/>
      <c r="W2049" s="1"/>
      <c r="X2049" s="1"/>
      <c r="Y2049" s="1"/>
      <c r="Z2049" s="1"/>
      <c r="AA2049" s="1"/>
      <c r="AB2049" s="1"/>
      <c r="AC2049" s="1"/>
      <c r="AD2049" s="1"/>
      <c r="AE2049" s="1"/>
      <c r="AF2049" s="1"/>
      <c r="AG2049" s="1"/>
      <c r="AH2049" s="1"/>
    </row>
    <row r="2050" ht="12.75" hidden="1" customHeight="1" outlineLevel="1">
      <c r="A2050" s="17">
        <v>41339.0</v>
      </c>
      <c r="B2050" s="1"/>
      <c r="C2050" s="1" t="s">
        <v>429</v>
      </c>
      <c r="D2050" s="74"/>
      <c r="E2050" s="67"/>
      <c r="F2050" s="75"/>
      <c r="G2050" s="67"/>
      <c r="H2050" s="68"/>
      <c r="I2050" s="76"/>
      <c r="J2050" s="67"/>
      <c r="K2050" s="7" t="s">
        <v>913</v>
      </c>
      <c r="L2050" s="77"/>
      <c r="M2050" s="79"/>
      <c r="N2050" s="1"/>
      <c r="O2050" s="1"/>
      <c r="P2050" s="1"/>
      <c r="Q2050" s="1"/>
      <c r="R2050" s="1"/>
      <c r="S2050" s="1"/>
      <c r="T2050" s="1"/>
      <c r="U2050" s="1"/>
      <c r="V2050" s="1"/>
      <c r="W2050" s="1"/>
      <c r="X2050" s="1"/>
      <c r="Y2050" s="1"/>
      <c r="Z2050" s="1"/>
      <c r="AA2050" s="1"/>
      <c r="AB2050" s="1"/>
      <c r="AC2050" s="1"/>
      <c r="AD2050" s="1"/>
      <c r="AE2050" s="1"/>
      <c r="AF2050" s="1"/>
      <c r="AG2050" s="1"/>
      <c r="AH2050" s="1"/>
    </row>
    <row r="2051" ht="12.75" hidden="1" customHeight="1" outlineLevel="1">
      <c r="A2051" s="17">
        <v>41339.0</v>
      </c>
      <c r="B2051" s="1"/>
      <c r="C2051" s="1" t="s">
        <v>431</v>
      </c>
      <c r="D2051" s="74"/>
      <c r="E2051" s="67"/>
      <c r="F2051" s="75"/>
      <c r="G2051" s="67"/>
      <c r="H2051" s="68"/>
      <c r="I2051" s="76"/>
      <c r="J2051" s="67"/>
      <c r="K2051" s="7" t="s">
        <v>817</v>
      </c>
      <c r="L2051" s="77"/>
      <c r="M2051" s="79"/>
      <c r="N2051" s="1"/>
      <c r="O2051" s="1"/>
      <c r="P2051" s="1"/>
      <c r="Q2051" s="1"/>
      <c r="R2051" s="1"/>
      <c r="S2051" s="1"/>
      <c r="T2051" s="1"/>
      <c r="U2051" s="1"/>
      <c r="V2051" s="1"/>
      <c r="W2051" s="1"/>
      <c r="X2051" s="1"/>
      <c r="Y2051" s="1"/>
      <c r="Z2051" s="1"/>
      <c r="AA2051" s="1"/>
      <c r="AB2051" s="1"/>
      <c r="AC2051" s="1"/>
      <c r="AD2051" s="1"/>
      <c r="AE2051" s="1"/>
      <c r="AF2051" s="1"/>
      <c r="AG2051" s="1"/>
      <c r="AH2051" s="1"/>
    </row>
    <row r="2052" ht="12.75" hidden="1" customHeight="1" outlineLevel="1">
      <c r="A2052" s="17">
        <v>41339.0</v>
      </c>
      <c r="B2052" s="1"/>
      <c r="C2052" s="1" t="s">
        <v>433</v>
      </c>
      <c r="D2052" s="74"/>
      <c r="E2052" s="67"/>
      <c r="F2052" s="75"/>
      <c r="G2052" s="67"/>
      <c r="H2052" s="68"/>
      <c r="I2052" s="76"/>
      <c r="J2052" s="67"/>
      <c r="K2052" s="7" t="s">
        <v>434</v>
      </c>
      <c r="L2052" s="77"/>
      <c r="M2052" s="79"/>
      <c r="N2052" s="1"/>
      <c r="O2052" s="1"/>
      <c r="P2052" s="1"/>
      <c r="Q2052" s="1"/>
      <c r="R2052" s="1"/>
      <c r="S2052" s="1"/>
      <c r="T2052" s="1"/>
      <c r="U2052" s="1"/>
      <c r="V2052" s="1"/>
      <c r="W2052" s="1"/>
      <c r="X2052" s="1"/>
      <c r="Y2052" s="1"/>
      <c r="Z2052" s="1"/>
      <c r="AA2052" s="1"/>
      <c r="AB2052" s="1"/>
      <c r="AC2052" s="1"/>
      <c r="AD2052" s="1"/>
      <c r="AE2052" s="1"/>
      <c r="AF2052" s="1"/>
      <c r="AG2052" s="1"/>
      <c r="AH2052" s="1"/>
    </row>
    <row r="2053" ht="12.75" hidden="1" customHeight="1" outlineLevel="1">
      <c r="A2053" s="17">
        <v>41339.0</v>
      </c>
      <c r="B2053" s="1"/>
      <c r="C2053" s="1" t="s">
        <v>435</v>
      </c>
      <c r="D2053" s="74"/>
      <c r="E2053" s="67"/>
      <c r="F2053" s="75"/>
      <c r="G2053" s="67"/>
      <c r="H2053" s="68"/>
      <c r="I2053" s="76"/>
      <c r="J2053" s="67"/>
      <c r="K2053" s="7" t="s">
        <v>818</v>
      </c>
      <c r="L2053" s="77"/>
      <c r="M2053" s="79"/>
      <c r="N2053" s="1"/>
      <c r="O2053" s="1"/>
      <c r="P2053" s="1"/>
      <c r="Q2053" s="1"/>
      <c r="R2053" s="1"/>
      <c r="S2053" s="1"/>
      <c r="T2053" s="1"/>
      <c r="U2053" s="1"/>
      <c r="V2053" s="1"/>
      <c r="W2053" s="1"/>
      <c r="X2053" s="1"/>
      <c r="Y2053" s="1"/>
      <c r="Z2053" s="1"/>
      <c r="AA2053" s="1"/>
      <c r="AB2053" s="1"/>
      <c r="AC2053" s="1"/>
      <c r="AD2053" s="1"/>
      <c r="AE2053" s="1"/>
      <c r="AF2053" s="1"/>
      <c r="AG2053" s="1"/>
      <c r="AH2053" s="1"/>
    </row>
    <row r="2054" ht="12.75" hidden="1" customHeight="1" outlineLevel="1">
      <c r="A2054" s="17">
        <v>41340.0</v>
      </c>
      <c r="B2054" s="1" t="s">
        <v>347</v>
      </c>
      <c r="C2054" s="1" t="s">
        <v>346</v>
      </c>
      <c r="D2054" s="74">
        <v>400.0</v>
      </c>
      <c r="E2054" s="67">
        <v>421.7</v>
      </c>
      <c r="F2054" s="75">
        <v>0.41814814814814816</v>
      </c>
      <c r="G2054" s="67" t="s">
        <v>453</v>
      </c>
      <c r="H2054" s="68">
        <v>2.0</v>
      </c>
      <c r="I2054" s="76"/>
      <c r="J2054" s="67">
        <f t="shared" ref="J2054:J2057" si="147">IF(B2054="SLD",D2054*E2054,-D2054*E2054)-H2054</f>
        <v>168678</v>
      </c>
      <c r="K2054" s="7"/>
      <c r="L2054" s="70"/>
      <c r="M2054" s="79"/>
      <c r="N2054" s="1"/>
      <c r="O2054" s="1"/>
      <c r="P2054" s="1"/>
      <c r="Q2054" s="1"/>
      <c r="R2054" s="1"/>
      <c r="S2054" s="1"/>
      <c r="T2054" s="1"/>
      <c r="U2054" s="1"/>
      <c r="V2054" s="1"/>
      <c r="W2054" s="1"/>
      <c r="X2054" s="1"/>
      <c r="Y2054" s="1"/>
      <c r="Z2054" s="1"/>
      <c r="AA2054" s="1"/>
      <c r="AB2054" s="1"/>
      <c r="AC2054" s="1"/>
      <c r="AD2054" s="1"/>
      <c r="AE2054" s="1"/>
      <c r="AF2054" s="1"/>
      <c r="AG2054" s="1"/>
      <c r="AH2054" s="1"/>
    </row>
    <row r="2055" ht="12.75" hidden="1" customHeight="1" outlineLevel="1">
      <c r="A2055" s="17">
        <v>41340.0</v>
      </c>
      <c r="B2055" s="1" t="s">
        <v>343</v>
      </c>
      <c r="C2055" s="1" t="s">
        <v>851</v>
      </c>
      <c r="D2055" s="74">
        <v>200.0</v>
      </c>
      <c r="E2055" s="67">
        <v>19.37</v>
      </c>
      <c r="F2055" s="75">
        <v>0.4671412037037037</v>
      </c>
      <c r="G2055" s="67" t="s">
        <v>453</v>
      </c>
      <c r="H2055" s="68">
        <v>1.0</v>
      </c>
      <c r="I2055" s="76"/>
      <c r="J2055" s="67">
        <f t="shared" si="147"/>
        <v>-3875</v>
      </c>
      <c r="K2055" s="7"/>
      <c r="L2055" s="70"/>
      <c r="M2055" s="79"/>
      <c r="N2055" s="1"/>
      <c r="O2055" s="1"/>
      <c r="P2055" s="1"/>
      <c r="Q2055" s="1"/>
      <c r="R2055" s="1"/>
      <c r="S2055" s="1"/>
      <c r="T2055" s="1"/>
      <c r="U2055" s="1"/>
      <c r="V2055" s="1"/>
      <c r="W2055" s="1"/>
      <c r="X2055" s="1"/>
      <c r="Y2055" s="1"/>
      <c r="Z2055" s="1"/>
      <c r="AA2055" s="1"/>
      <c r="AB2055" s="1"/>
      <c r="AC2055" s="1"/>
      <c r="AD2055" s="1"/>
      <c r="AE2055" s="1"/>
      <c r="AF2055" s="1"/>
      <c r="AG2055" s="1"/>
      <c r="AH2055" s="1"/>
    </row>
    <row r="2056" ht="12.75" hidden="1" customHeight="1" outlineLevel="1">
      <c r="A2056" s="17">
        <v>41340.0</v>
      </c>
      <c r="B2056" s="1" t="s">
        <v>343</v>
      </c>
      <c r="C2056" s="1" t="s">
        <v>346</v>
      </c>
      <c r="D2056" s="74">
        <v>400.0</v>
      </c>
      <c r="E2056" s="67">
        <v>427.0</v>
      </c>
      <c r="F2056" s="75">
        <v>0.47605324074074074</v>
      </c>
      <c r="G2056" s="67" t="s">
        <v>453</v>
      </c>
      <c r="H2056" s="68">
        <v>2.0</v>
      </c>
      <c r="I2056" s="76"/>
      <c r="J2056" s="67">
        <f t="shared" si="147"/>
        <v>-170802</v>
      </c>
      <c r="K2056" s="7" t="s">
        <v>880</v>
      </c>
      <c r="L2056" s="70"/>
      <c r="M2056" s="79"/>
      <c r="N2056" s="1"/>
      <c r="O2056" s="1"/>
      <c r="P2056" s="1"/>
      <c r="Q2056" s="1"/>
      <c r="R2056" s="1"/>
      <c r="S2056" s="1"/>
      <c r="T2056" s="1"/>
      <c r="U2056" s="1"/>
      <c r="V2056" s="1"/>
      <c r="W2056" s="1"/>
      <c r="X2056" s="1"/>
      <c r="Y2056" s="1"/>
      <c r="Z2056" s="1"/>
      <c r="AA2056" s="1"/>
      <c r="AB2056" s="1"/>
      <c r="AC2056" s="1"/>
      <c r="AD2056" s="1"/>
      <c r="AE2056" s="1"/>
      <c r="AF2056" s="1"/>
      <c r="AG2056" s="1"/>
      <c r="AH2056" s="1"/>
    </row>
    <row r="2057" ht="12.75" hidden="1" customHeight="1" outlineLevel="1">
      <c r="A2057" s="17">
        <v>41340.0</v>
      </c>
      <c r="B2057" s="1" t="s">
        <v>343</v>
      </c>
      <c r="C2057" s="1" t="s">
        <v>857</v>
      </c>
      <c r="D2057" s="74">
        <v>200.0</v>
      </c>
      <c r="E2057" s="67">
        <v>11.2</v>
      </c>
      <c r="F2057" s="75">
        <v>0.556238425925926</v>
      </c>
      <c r="G2057" s="67" t="s">
        <v>453</v>
      </c>
      <c r="H2057" s="68">
        <v>1.0</v>
      </c>
      <c r="I2057" s="76"/>
      <c r="J2057" s="67">
        <f t="shared" si="147"/>
        <v>-2241</v>
      </c>
      <c r="K2057" s="7"/>
      <c r="L2057" s="70"/>
      <c r="M2057" s="79"/>
      <c r="N2057" s="1"/>
      <c r="O2057" s="1"/>
      <c r="P2057" s="1"/>
      <c r="Q2057" s="1"/>
      <c r="R2057" s="1"/>
      <c r="S2057" s="1"/>
      <c r="T2057" s="1"/>
      <c r="U2057" s="1"/>
      <c r="V2057" s="1"/>
      <c r="W2057" s="1"/>
      <c r="X2057" s="1"/>
      <c r="Y2057" s="1"/>
      <c r="Z2057" s="1"/>
      <c r="AA2057" s="1"/>
      <c r="AB2057" s="1"/>
      <c r="AC2057" s="1"/>
      <c r="AD2057" s="1"/>
      <c r="AE2057" s="1"/>
      <c r="AF2057" s="1"/>
      <c r="AG2057" s="1"/>
      <c r="AH2057" s="1"/>
    </row>
    <row r="2058" ht="12.75" hidden="1" customHeight="1" outlineLevel="1">
      <c r="A2058" s="17">
        <v>41340.0</v>
      </c>
      <c r="B2058" s="1"/>
      <c r="C2058" s="1" t="s">
        <v>339</v>
      </c>
      <c r="D2058" s="74"/>
      <c r="E2058" s="67"/>
      <c r="F2058" s="75"/>
      <c r="G2058" s="67"/>
      <c r="H2058" s="68"/>
      <c r="I2058" s="76"/>
      <c r="J2058" s="67"/>
      <c r="K2058" s="7" t="s">
        <v>920</v>
      </c>
      <c r="L2058" s="77"/>
      <c r="M2058" s="79"/>
      <c r="N2058" s="1"/>
      <c r="O2058" s="1"/>
      <c r="P2058" s="1"/>
      <c r="Q2058" s="1"/>
      <c r="R2058" s="1"/>
      <c r="S2058" s="1"/>
      <c r="T2058" s="1"/>
      <c r="U2058" s="1"/>
      <c r="V2058" s="1"/>
      <c r="W2058" s="1"/>
      <c r="X2058" s="1"/>
      <c r="Y2058" s="1"/>
      <c r="Z2058" s="1"/>
      <c r="AA2058" s="1"/>
      <c r="AB2058" s="1"/>
      <c r="AC2058" s="1"/>
      <c r="AD2058" s="1"/>
      <c r="AE2058" s="1"/>
      <c r="AF2058" s="1"/>
      <c r="AG2058" s="1"/>
      <c r="AH2058" s="1"/>
    </row>
    <row r="2059" ht="12.75" hidden="1" customHeight="1" outlineLevel="1">
      <c r="A2059" s="17">
        <v>41340.0</v>
      </c>
      <c r="B2059" s="1"/>
      <c r="C2059" s="1" t="s">
        <v>429</v>
      </c>
      <c r="D2059" s="74"/>
      <c r="E2059" s="67"/>
      <c r="F2059" s="75"/>
      <c r="G2059" s="67"/>
      <c r="H2059" s="68"/>
      <c r="I2059" s="76"/>
      <c r="J2059" s="67"/>
      <c r="K2059" s="7" t="s">
        <v>913</v>
      </c>
      <c r="L2059" s="77"/>
      <c r="M2059" s="79"/>
      <c r="N2059" s="1"/>
      <c r="O2059" s="1"/>
      <c r="P2059" s="1"/>
      <c r="Q2059" s="1"/>
      <c r="R2059" s="1"/>
      <c r="S2059" s="1"/>
      <c r="T2059" s="1"/>
      <c r="U2059" s="1"/>
      <c r="V2059" s="1"/>
      <c r="W2059" s="1"/>
      <c r="X2059" s="1"/>
      <c r="Y2059" s="1"/>
      <c r="Z2059" s="1"/>
      <c r="AA2059" s="1"/>
      <c r="AB2059" s="1"/>
      <c r="AC2059" s="1"/>
      <c r="AD2059" s="1"/>
      <c r="AE2059" s="1"/>
      <c r="AF2059" s="1"/>
      <c r="AG2059" s="1"/>
      <c r="AH2059" s="1"/>
    </row>
    <row r="2060" ht="12.75" hidden="1" customHeight="1" outlineLevel="1">
      <c r="A2060" s="17">
        <v>41340.0</v>
      </c>
      <c r="B2060" s="1"/>
      <c r="C2060" s="1" t="s">
        <v>431</v>
      </c>
      <c r="D2060" s="74"/>
      <c r="E2060" s="67"/>
      <c r="F2060" s="75"/>
      <c r="G2060" s="67"/>
      <c r="H2060" s="68"/>
      <c r="I2060" s="76"/>
      <c r="J2060" s="67"/>
      <c r="K2060" s="7" t="s">
        <v>817</v>
      </c>
      <c r="L2060" s="77"/>
      <c r="M2060" s="79"/>
      <c r="N2060" s="1"/>
      <c r="O2060" s="1"/>
      <c r="P2060" s="1"/>
      <c r="Q2060" s="1"/>
      <c r="R2060" s="1"/>
      <c r="S2060" s="1"/>
      <c r="T2060" s="1"/>
      <c r="U2060" s="1"/>
      <c r="V2060" s="1"/>
      <c r="W2060" s="1"/>
      <c r="X2060" s="1"/>
      <c r="Y2060" s="1"/>
      <c r="Z2060" s="1"/>
      <c r="AA2060" s="1"/>
      <c r="AB2060" s="1"/>
      <c r="AC2060" s="1"/>
      <c r="AD2060" s="1"/>
      <c r="AE2060" s="1"/>
      <c r="AF2060" s="1"/>
      <c r="AG2060" s="1"/>
      <c r="AH2060" s="1"/>
    </row>
    <row r="2061" ht="12.75" hidden="1" customHeight="1" outlineLevel="1">
      <c r="A2061" s="17">
        <v>41340.0</v>
      </c>
      <c r="B2061" s="1"/>
      <c r="C2061" s="1" t="s">
        <v>433</v>
      </c>
      <c r="D2061" s="74"/>
      <c r="E2061" s="67"/>
      <c r="F2061" s="75"/>
      <c r="G2061" s="67"/>
      <c r="H2061" s="68"/>
      <c r="I2061" s="76"/>
      <c r="J2061" s="67"/>
      <c r="K2061" s="7" t="s">
        <v>434</v>
      </c>
      <c r="L2061" s="77"/>
      <c r="M2061" s="79"/>
      <c r="N2061" s="1"/>
      <c r="O2061" s="1"/>
      <c r="P2061" s="1"/>
      <c r="Q2061" s="1"/>
      <c r="R2061" s="1"/>
      <c r="S2061" s="1"/>
      <c r="T2061" s="1"/>
      <c r="U2061" s="1"/>
      <c r="V2061" s="1"/>
      <c r="W2061" s="1"/>
      <c r="X2061" s="1"/>
      <c r="Y2061" s="1"/>
      <c r="Z2061" s="1"/>
      <c r="AA2061" s="1"/>
      <c r="AB2061" s="1"/>
      <c r="AC2061" s="1"/>
      <c r="AD2061" s="1"/>
      <c r="AE2061" s="1"/>
      <c r="AF2061" s="1"/>
      <c r="AG2061" s="1"/>
      <c r="AH2061" s="1"/>
    </row>
    <row r="2062" ht="12.75" hidden="1" customHeight="1" outlineLevel="1">
      <c r="A2062" s="17">
        <v>41340.0</v>
      </c>
      <c r="B2062" s="1"/>
      <c r="C2062" s="1" t="s">
        <v>435</v>
      </c>
      <c r="D2062" s="74"/>
      <c r="E2062" s="67"/>
      <c r="F2062" s="75"/>
      <c r="G2062" s="67"/>
      <c r="H2062" s="68"/>
      <c r="I2062" s="76"/>
      <c r="J2062" s="67"/>
      <c r="K2062" s="7" t="s">
        <v>818</v>
      </c>
      <c r="L2062" s="77"/>
      <c r="M2062" s="79"/>
      <c r="N2062" s="1"/>
      <c r="O2062" s="1"/>
      <c r="P2062" s="1"/>
      <c r="Q2062" s="1"/>
      <c r="R2062" s="1"/>
      <c r="S2062" s="1"/>
      <c r="T2062" s="1"/>
      <c r="U2062" s="1"/>
      <c r="V2062" s="1"/>
      <c r="W2062" s="1"/>
      <c r="X2062" s="1"/>
      <c r="Y2062" s="1"/>
      <c r="Z2062" s="1"/>
      <c r="AA2062" s="1"/>
      <c r="AB2062" s="1"/>
      <c r="AC2062" s="1"/>
      <c r="AD2062" s="1"/>
      <c r="AE2062" s="1"/>
      <c r="AF2062" s="1"/>
      <c r="AG2062" s="1"/>
      <c r="AH2062" s="1"/>
    </row>
    <row r="2063" ht="12.75" hidden="1" customHeight="1" outlineLevel="1">
      <c r="A2063" s="17">
        <v>41341.0</v>
      </c>
      <c r="B2063" s="1" t="s">
        <v>343</v>
      </c>
      <c r="C2063" s="1" t="s">
        <v>349</v>
      </c>
      <c r="D2063" s="74">
        <v>100.0</v>
      </c>
      <c r="E2063" s="67">
        <v>41.05</v>
      </c>
      <c r="F2063" s="75">
        <v>0.47984953703703703</v>
      </c>
      <c r="G2063" s="67" t="s">
        <v>453</v>
      </c>
      <c r="H2063" s="68">
        <v>1.0</v>
      </c>
      <c r="I2063" s="76"/>
      <c r="J2063" s="67">
        <f t="shared" ref="J2063:J2067" si="148">IF(B2063="SLD",D2063*E2063,-D2063*E2063)-H2063</f>
        <v>-4106</v>
      </c>
      <c r="K2063" s="7"/>
      <c r="L2063" s="70"/>
      <c r="M2063" s="79"/>
      <c r="N2063" s="1"/>
      <c r="O2063" s="1"/>
      <c r="P2063" s="1"/>
      <c r="Q2063" s="1"/>
      <c r="R2063" s="1"/>
      <c r="S2063" s="1"/>
      <c r="T2063" s="1"/>
      <c r="U2063" s="1"/>
      <c r="V2063" s="1"/>
      <c r="W2063" s="1"/>
      <c r="X2063" s="1"/>
      <c r="Y2063" s="1"/>
      <c r="Z2063" s="1"/>
      <c r="AA2063" s="1"/>
      <c r="AB2063" s="1"/>
      <c r="AC2063" s="1"/>
      <c r="AD2063" s="1"/>
      <c r="AE2063" s="1"/>
      <c r="AF2063" s="1"/>
      <c r="AG2063" s="1"/>
      <c r="AH2063" s="1"/>
    </row>
    <row r="2064" ht="12.75" hidden="1" customHeight="1" outlineLevel="1">
      <c r="A2064" s="17">
        <v>41341.0</v>
      </c>
      <c r="B2064" s="1" t="s">
        <v>343</v>
      </c>
      <c r="C2064" s="1" t="s">
        <v>851</v>
      </c>
      <c r="D2064" s="74">
        <v>200.0</v>
      </c>
      <c r="E2064" s="67">
        <v>19.61</v>
      </c>
      <c r="F2064" s="75">
        <v>0.623900462962963</v>
      </c>
      <c r="G2064" s="67" t="s">
        <v>453</v>
      </c>
      <c r="H2064" s="68">
        <v>1.0</v>
      </c>
      <c r="I2064" s="76"/>
      <c r="J2064" s="67">
        <f t="shared" si="148"/>
        <v>-3923</v>
      </c>
      <c r="K2064" s="7"/>
      <c r="L2064" s="70"/>
      <c r="M2064" s="79"/>
      <c r="N2064" s="1"/>
      <c r="O2064" s="1"/>
      <c r="P2064" s="1"/>
      <c r="Q2064" s="1"/>
      <c r="R2064" s="1"/>
      <c r="S2064" s="1"/>
      <c r="T2064" s="1"/>
      <c r="U2064" s="1"/>
      <c r="V2064" s="1"/>
      <c r="W2064" s="1"/>
      <c r="X2064" s="1"/>
      <c r="Y2064" s="1"/>
      <c r="Z2064" s="1"/>
      <c r="AA2064" s="1"/>
      <c r="AB2064" s="1"/>
      <c r="AC2064" s="1"/>
      <c r="AD2064" s="1"/>
      <c r="AE2064" s="1"/>
      <c r="AF2064" s="1"/>
      <c r="AG2064" s="1"/>
      <c r="AH2064" s="1"/>
    </row>
    <row r="2065" ht="12.75" hidden="1" customHeight="1" outlineLevel="1">
      <c r="A2065" s="17">
        <v>41341.0</v>
      </c>
      <c r="B2065" s="1" t="s">
        <v>343</v>
      </c>
      <c r="C2065" s="1" t="s">
        <v>851</v>
      </c>
      <c r="D2065" s="74">
        <v>200.0</v>
      </c>
      <c r="E2065" s="67">
        <v>19.61</v>
      </c>
      <c r="F2065" s="75">
        <v>0.6330439814814816</v>
      </c>
      <c r="G2065" s="67" t="s">
        <v>453</v>
      </c>
      <c r="H2065" s="68">
        <v>1.0</v>
      </c>
      <c r="I2065" s="76"/>
      <c r="J2065" s="67">
        <f t="shared" si="148"/>
        <v>-3923</v>
      </c>
      <c r="K2065" s="7"/>
      <c r="L2065" s="70"/>
      <c r="M2065" s="79"/>
      <c r="N2065" s="1"/>
      <c r="O2065" s="1"/>
      <c r="P2065" s="1"/>
      <c r="Q2065" s="1"/>
      <c r="R2065" s="1"/>
      <c r="S2065" s="1"/>
      <c r="T2065" s="1"/>
      <c r="U2065" s="1"/>
      <c r="V2065" s="1"/>
      <c r="W2065" s="1"/>
      <c r="X2065" s="1"/>
      <c r="Y2065" s="1"/>
      <c r="Z2065" s="1"/>
      <c r="AA2065" s="1"/>
      <c r="AB2065" s="1"/>
      <c r="AC2065" s="1"/>
      <c r="AD2065" s="1"/>
      <c r="AE2065" s="1"/>
      <c r="AF2065" s="1"/>
      <c r="AG2065" s="1"/>
      <c r="AH2065" s="1"/>
    </row>
    <row r="2066" ht="12.75" hidden="1" customHeight="1" outlineLevel="1">
      <c r="A2066" s="17">
        <v>41341.0</v>
      </c>
      <c r="B2066" s="1" t="s">
        <v>343</v>
      </c>
      <c r="C2066" s="1" t="s">
        <v>857</v>
      </c>
      <c r="D2066" s="74">
        <v>400.0</v>
      </c>
      <c r="E2066" s="67">
        <v>11.27</v>
      </c>
      <c r="F2066" s="75">
        <v>0.6355439814814815</v>
      </c>
      <c r="G2066" s="67" t="s">
        <v>453</v>
      </c>
      <c r="H2066" s="68">
        <v>2.0</v>
      </c>
      <c r="I2066" s="76"/>
      <c r="J2066" s="67">
        <f t="shared" si="148"/>
        <v>-4510</v>
      </c>
      <c r="K2066" s="7"/>
      <c r="L2066" s="70"/>
      <c r="M2066" s="79"/>
      <c r="N2066" s="1"/>
      <c r="O2066" s="1"/>
      <c r="P2066" s="1"/>
      <c r="Q2066" s="1"/>
      <c r="R2066" s="1"/>
      <c r="S2066" s="1"/>
      <c r="T2066" s="1"/>
      <c r="U2066" s="1"/>
      <c r="V2066" s="1"/>
      <c r="W2066" s="1"/>
      <c r="X2066" s="1"/>
      <c r="Y2066" s="1"/>
      <c r="Z2066" s="1"/>
      <c r="AA2066" s="1"/>
      <c r="AB2066" s="1"/>
      <c r="AC2066" s="1"/>
      <c r="AD2066" s="1"/>
      <c r="AE2066" s="1"/>
      <c r="AF2066" s="1"/>
      <c r="AG2066" s="1"/>
      <c r="AH2066" s="1"/>
    </row>
    <row r="2067" ht="12.75" hidden="1" customHeight="1" outlineLevel="1">
      <c r="A2067" s="17">
        <v>41341.0</v>
      </c>
      <c r="B2067" s="1" t="s">
        <v>343</v>
      </c>
      <c r="C2067" s="1" t="s">
        <v>881</v>
      </c>
      <c r="D2067" s="74">
        <v>100.0</v>
      </c>
      <c r="E2067" s="67">
        <v>29.8898</v>
      </c>
      <c r="F2067" s="75">
        <v>0.6368981481481482</v>
      </c>
      <c r="G2067" s="67" t="s">
        <v>453</v>
      </c>
      <c r="H2067" s="68">
        <v>1.0</v>
      </c>
      <c r="I2067" s="76"/>
      <c r="J2067" s="67">
        <f t="shared" si="148"/>
        <v>-2989.98</v>
      </c>
      <c r="K2067" s="7"/>
      <c r="L2067" s="70"/>
      <c r="M2067" s="79"/>
      <c r="N2067" s="1"/>
      <c r="O2067" s="1"/>
      <c r="P2067" s="1"/>
      <c r="Q2067" s="1"/>
      <c r="R2067" s="1"/>
      <c r="S2067" s="1"/>
      <c r="T2067" s="1"/>
      <c r="U2067" s="1"/>
      <c r="V2067" s="1"/>
      <c r="W2067" s="1"/>
      <c r="X2067" s="1"/>
      <c r="Y2067" s="1"/>
      <c r="Z2067" s="1"/>
      <c r="AA2067" s="1"/>
      <c r="AB2067" s="1"/>
      <c r="AC2067" s="1"/>
      <c r="AD2067" s="1"/>
      <c r="AE2067" s="1"/>
      <c r="AF2067" s="1"/>
      <c r="AG2067" s="1"/>
      <c r="AH2067" s="1"/>
    </row>
    <row r="2068" ht="12.75" hidden="1" customHeight="1" outlineLevel="1">
      <c r="A2068" s="17">
        <v>41341.0</v>
      </c>
      <c r="B2068" s="1"/>
      <c r="C2068" s="1" t="s">
        <v>339</v>
      </c>
      <c r="D2068" s="74"/>
      <c r="E2068" s="67"/>
      <c r="F2068" s="75"/>
      <c r="G2068" s="67"/>
      <c r="H2068" s="68"/>
      <c r="I2068" s="76"/>
      <c r="J2068" s="67"/>
      <c r="K2068" s="7" t="s">
        <v>921</v>
      </c>
      <c r="L2068" s="77"/>
      <c r="M2068" s="79"/>
      <c r="N2068" s="1"/>
      <c r="O2068" s="1"/>
      <c r="P2068" s="1"/>
      <c r="Q2068" s="1"/>
      <c r="R2068" s="1"/>
      <c r="S2068" s="1"/>
      <c r="T2068" s="1"/>
      <c r="U2068" s="1"/>
      <c r="V2068" s="1"/>
      <c r="W2068" s="1"/>
      <c r="X2068" s="1"/>
      <c r="Y2068" s="1"/>
      <c r="Z2068" s="1"/>
      <c r="AA2068" s="1"/>
      <c r="AB2068" s="1"/>
      <c r="AC2068" s="1"/>
      <c r="AD2068" s="1"/>
      <c r="AE2068" s="1"/>
      <c r="AF2068" s="1"/>
      <c r="AG2068" s="1"/>
      <c r="AH2068" s="1"/>
    </row>
    <row r="2069" ht="12.75" hidden="1" customHeight="1" outlineLevel="1">
      <c r="A2069" s="17">
        <v>41341.0</v>
      </c>
      <c r="B2069" s="1"/>
      <c r="C2069" s="1" t="s">
        <v>429</v>
      </c>
      <c r="D2069" s="74"/>
      <c r="E2069" s="67"/>
      <c r="F2069" s="75"/>
      <c r="G2069" s="67"/>
      <c r="H2069" s="68"/>
      <c r="I2069" s="76"/>
      <c r="J2069" s="67"/>
      <c r="K2069" s="7" t="s">
        <v>922</v>
      </c>
      <c r="L2069" s="77"/>
      <c r="M2069" s="79"/>
      <c r="N2069" s="1"/>
      <c r="O2069" s="1"/>
      <c r="P2069" s="1"/>
      <c r="Q2069" s="1"/>
      <c r="R2069" s="1"/>
      <c r="S2069" s="1"/>
      <c r="T2069" s="1"/>
      <c r="U2069" s="1"/>
      <c r="V2069" s="1"/>
      <c r="W2069" s="1"/>
      <c r="X2069" s="1"/>
      <c r="Y2069" s="1"/>
      <c r="Z2069" s="1"/>
      <c r="AA2069" s="1"/>
      <c r="AB2069" s="1"/>
      <c r="AC2069" s="1"/>
      <c r="AD2069" s="1"/>
      <c r="AE2069" s="1"/>
      <c r="AF2069" s="1"/>
      <c r="AG2069" s="1"/>
      <c r="AH2069" s="1"/>
    </row>
    <row r="2070" ht="12.75" hidden="1" customHeight="1" outlineLevel="1">
      <c r="A2070" s="17">
        <v>41341.0</v>
      </c>
      <c r="B2070" s="1"/>
      <c r="C2070" s="1" t="s">
        <v>431</v>
      </c>
      <c r="D2070" s="74"/>
      <c r="E2070" s="67"/>
      <c r="F2070" s="75"/>
      <c r="G2070" s="67"/>
      <c r="H2070" s="68"/>
      <c r="I2070" s="76"/>
      <c r="J2070" s="67"/>
      <c r="K2070" s="7" t="s">
        <v>817</v>
      </c>
      <c r="L2070" s="77"/>
      <c r="M2070" s="79"/>
      <c r="N2070" s="1"/>
      <c r="O2070" s="1"/>
      <c r="P2070" s="1"/>
      <c r="Q2070" s="1"/>
      <c r="R2070" s="1"/>
      <c r="S2070" s="1"/>
      <c r="T2070" s="1"/>
      <c r="U2070" s="1"/>
      <c r="V2070" s="1"/>
      <c r="W2070" s="1"/>
      <c r="X2070" s="1"/>
      <c r="Y2070" s="1"/>
      <c r="Z2070" s="1"/>
      <c r="AA2070" s="1"/>
      <c r="AB2070" s="1"/>
      <c r="AC2070" s="1"/>
      <c r="AD2070" s="1"/>
      <c r="AE2070" s="1"/>
      <c r="AF2070" s="1"/>
      <c r="AG2070" s="1"/>
      <c r="AH2070" s="1"/>
    </row>
    <row r="2071" ht="12.75" hidden="1" customHeight="1" outlineLevel="1">
      <c r="A2071" s="17">
        <v>41341.0</v>
      </c>
      <c r="B2071" s="1"/>
      <c r="C2071" s="1" t="s">
        <v>433</v>
      </c>
      <c r="D2071" s="74"/>
      <c r="E2071" s="67"/>
      <c r="F2071" s="75"/>
      <c r="G2071" s="67"/>
      <c r="H2071" s="68"/>
      <c r="I2071" s="76"/>
      <c r="J2071" s="67"/>
      <c r="K2071" s="7" t="s">
        <v>434</v>
      </c>
      <c r="L2071" s="77"/>
      <c r="M2071" s="79"/>
      <c r="N2071" s="1"/>
      <c r="O2071" s="1"/>
      <c r="P2071" s="1"/>
      <c r="Q2071" s="1"/>
      <c r="R2071" s="1"/>
      <c r="S2071" s="1"/>
      <c r="T2071" s="1"/>
      <c r="U2071" s="1"/>
      <c r="V2071" s="1"/>
      <c r="W2071" s="1"/>
      <c r="X2071" s="1"/>
      <c r="Y2071" s="1"/>
      <c r="Z2071" s="1"/>
      <c r="AA2071" s="1"/>
      <c r="AB2071" s="1"/>
      <c r="AC2071" s="1"/>
      <c r="AD2071" s="1"/>
      <c r="AE2071" s="1"/>
      <c r="AF2071" s="1"/>
      <c r="AG2071" s="1"/>
      <c r="AH2071" s="1"/>
    </row>
    <row r="2072" ht="12.75" hidden="1" customHeight="1" outlineLevel="1">
      <c r="A2072" s="17">
        <v>41341.0</v>
      </c>
      <c r="B2072" s="1"/>
      <c r="C2072" s="1" t="s">
        <v>435</v>
      </c>
      <c r="D2072" s="74"/>
      <c r="E2072" s="67"/>
      <c r="F2072" s="75"/>
      <c r="G2072" s="67"/>
      <c r="H2072" s="68"/>
      <c r="I2072" s="76"/>
      <c r="J2072" s="67"/>
      <c r="K2072" s="7" t="s">
        <v>818</v>
      </c>
      <c r="L2072" s="77"/>
      <c r="M2072" s="79"/>
      <c r="N2072" s="1"/>
      <c r="O2072" s="1"/>
      <c r="P2072" s="1"/>
      <c r="Q2072" s="1"/>
      <c r="R2072" s="1"/>
      <c r="S2072" s="1"/>
      <c r="T2072" s="1"/>
      <c r="U2072" s="1"/>
      <c r="V2072" s="1"/>
      <c r="W2072" s="1"/>
      <c r="X2072" s="1"/>
      <c r="Y2072" s="1"/>
      <c r="Z2072" s="1"/>
      <c r="AA2072" s="1"/>
      <c r="AB2072" s="1"/>
      <c r="AC2072" s="1"/>
      <c r="AD2072" s="1"/>
      <c r="AE2072" s="1"/>
      <c r="AF2072" s="1"/>
      <c r="AG2072" s="1"/>
      <c r="AH2072" s="1"/>
    </row>
    <row r="2073" ht="12.75" hidden="1" customHeight="1" outlineLevel="1">
      <c r="A2073" s="17">
        <v>41344.0</v>
      </c>
      <c r="B2073" s="1" t="s">
        <v>343</v>
      </c>
      <c r="C2073" s="1" t="s">
        <v>851</v>
      </c>
      <c r="D2073" s="74">
        <v>200.0</v>
      </c>
      <c r="E2073" s="67">
        <v>19.54</v>
      </c>
      <c r="F2073" s="75">
        <v>0.4670138888888889</v>
      </c>
      <c r="G2073" s="67" t="s">
        <v>453</v>
      </c>
      <c r="H2073" s="68">
        <v>1.0</v>
      </c>
      <c r="I2073" s="76"/>
      <c r="J2073" s="67">
        <f t="shared" ref="J2073:J2075" si="149">IF(B2073="SLD",D2073*E2073,-D2073*E2073)-H2073</f>
        <v>-3909</v>
      </c>
      <c r="K2073" s="7"/>
      <c r="L2073" s="70"/>
      <c r="M2073" s="79"/>
      <c r="N2073" s="1"/>
      <c r="O2073" s="1"/>
      <c r="P2073" s="1"/>
      <c r="Q2073" s="1"/>
      <c r="R2073" s="1"/>
      <c r="S2073" s="1"/>
      <c r="T2073" s="1"/>
      <c r="U2073" s="1"/>
      <c r="V2073" s="1"/>
      <c r="W2073" s="1"/>
      <c r="X2073" s="1"/>
      <c r="Y2073" s="1"/>
      <c r="Z2073" s="1"/>
      <c r="AA2073" s="1"/>
      <c r="AB2073" s="1"/>
      <c r="AC2073" s="1"/>
      <c r="AD2073" s="1"/>
      <c r="AE2073" s="1"/>
      <c r="AF2073" s="1"/>
      <c r="AG2073" s="1"/>
      <c r="AH2073" s="1"/>
    </row>
    <row r="2074" ht="12.75" hidden="1" customHeight="1" outlineLevel="1">
      <c r="A2074" s="17">
        <v>41344.0</v>
      </c>
      <c r="B2074" s="1" t="s">
        <v>343</v>
      </c>
      <c r="C2074" s="1" t="s">
        <v>857</v>
      </c>
      <c r="D2074" s="74">
        <v>300.0</v>
      </c>
      <c r="E2074" s="67">
        <v>11.32</v>
      </c>
      <c r="F2074" s="75">
        <v>0.5593981481481481</v>
      </c>
      <c r="G2074" s="67" t="s">
        <v>453</v>
      </c>
      <c r="H2074" s="68">
        <v>1.5</v>
      </c>
      <c r="I2074" s="76"/>
      <c r="J2074" s="67">
        <f t="shared" si="149"/>
        <v>-3397.5</v>
      </c>
      <c r="K2074" s="7"/>
      <c r="L2074" s="70"/>
      <c r="M2074" s="79"/>
      <c r="N2074" s="1"/>
      <c r="O2074" s="1"/>
      <c r="P2074" s="1"/>
      <c r="Q2074" s="1"/>
      <c r="R2074" s="1"/>
      <c r="S2074" s="1"/>
      <c r="T2074" s="1"/>
      <c r="U2074" s="1"/>
      <c r="V2074" s="1"/>
      <c r="W2074" s="1"/>
      <c r="X2074" s="1"/>
      <c r="Y2074" s="1"/>
      <c r="Z2074" s="1"/>
      <c r="AA2074" s="1"/>
      <c r="AB2074" s="1"/>
      <c r="AC2074" s="1"/>
      <c r="AD2074" s="1"/>
      <c r="AE2074" s="1"/>
      <c r="AF2074" s="1"/>
      <c r="AG2074" s="1"/>
      <c r="AH2074" s="1"/>
    </row>
    <row r="2075" ht="12.75" hidden="1" customHeight="1" outlineLevel="1">
      <c r="A2075" s="17">
        <v>41344.0</v>
      </c>
      <c r="B2075" s="1" t="s">
        <v>343</v>
      </c>
      <c r="C2075" s="1" t="s">
        <v>881</v>
      </c>
      <c r="D2075" s="74">
        <v>200.0</v>
      </c>
      <c r="E2075" s="67">
        <v>29.93</v>
      </c>
      <c r="F2075" s="75">
        <v>0.5614467592592592</v>
      </c>
      <c r="G2075" s="67" t="s">
        <v>453</v>
      </c>
      <c r="H2075" s="68">
        <v>1.0</v>
      </c>
      <c r="I2075" s="76"/>
      <c r="J2075" s="67">
        <f t="shared" si="149"/>
        <v>-5987</v>
      </c>
      <c r="K2075" s="7"/>
      <c r="L2075" s="70"/>
      <c r="M2075" s="79"/>
      <c r="N2075" s="1"/>
      <c r="O2075" s="1"/>
      <c r="P2075" s="1"/>
      <c r="Q2075" s="1"/>
      <c r="R2075" s="1"/>
      <c r="S2075" s="1"/>
      <c r="T2075" s="1"/>
      <c r="U2075" s="1"/>
      <c r="V2075" s="1"/>
      <c r="W2075" s="1"/>
      <c r="X2075" s="1"/>
      <c r="Y2075" s="1"/>
      <c r="Z2075" s="1"/>
      <c r="AA2075" s="1"/>
      <c r="AB2075" s="1"/>
      <c r="AC2075" s="1"/>
      <c r="AD2075" s="1"/>
      <c r="AE2075" s="1"/>
      <c r="AF2075" s="1"/>
      <c r="AG2075" s="1"/>
      <c r="AH2075" s="1"/>
    </row>
    <row r="2076" ht="12.75" hidden="1" customHeight="1" outlineLevel="1">
      <c r="A2076" s="17">
        <v>41344.0</v>
      </c>
      <c r="B2076" s="1"/>
      <c r="C2076" s="1" t="s">
        <v>339</v>
      </c>
      <c r="D2076" s="74"/>
      <c r="E2076" s="67"/>
      <c r="F2076" s="75"/>
      <c r="G2076" s="67"/>
      <c r="H2076" s="68"/>
      <c r="I2076" s="76"/>
      <c r="J2076" s="67"/>
      <c r="K2076" s="7" t="s">
        <v>923</v>
      </c>
      <c r="L2076" s="77"/>
      <c r="M2076" s="79"/>
      <c r="N2076" s="1"/>
      <c r="O2076" s="1"/>
      <c r="P2076" s="1"/>
      <c r="Q2076" s="1"/>
      <c r="R2076" s="1"/>
      <c r="S2076" s="1"/>
      <c r="T2076" s="1"/>
      <c r="U2076" s="1"/>
      <c r="V2076" s="1"/>
      <c r="W2076" s="1"/>
      <c r="X2076" s="1"/>
      <c r="Y2076" s="1"/>
      <c r="Z2076" s="1"/>
      <c r="AA2076" s="1"/>
      <c r="AB2076" s="1"/>
      <c r="AC2076" s="1"/>
      <c r="AD2076" s="1"/>
      <c r="AE2076" s="1"/>
      <c r="AF2076" s="1"/>
      <c r="AG2076" s="1"/>
      <c r="AH2076" s="1"/>
    </row>
    <row r="2077" ht="12.75" hidden="1" customHeight="1" outlineLevel="1">
      <c r="A2077" s="17">
        <v>41344.0</v>
      </c>
      <c r="B2077" s="1"/>
      <c r="C2077" s="1" t="s">
        <v>429</v>
      </c>
      <c r="D2077" s="74"/>
      <c r="E2077" s="67"/>
      <c r="F2077" s="75"/>
      <c r="G2077" s="67"/>
      <c r="H2077" s="68"/>
      <c r="I2077" s="76"/>
      <c r="J2077" s="67"/>
      <c r="K2077" s="7" t="s">
        <v>922</v>
      </c>
      <c r="L2077" s="77"/>
      <c r="M2077" s="79"/>
      <c r="N2077" s="1"/>
      <c r="O2077" s="1"/>
      <c r="P2077" s="1"/>
      <c r="Q2077" s="1"/>
      <c r="R2077" s="1"/>
      <c r="S2077" s="1"/>
      <c r="T2077" s="1"/>
      <c r="U2077" s="1"/>
      <c r="V2077" s="1"/>
      <c r="W2077" s="1"/>
      <c r="X2077" s="1"/>
      <c r="Y2077" s="1"/>
      <c r="Z2077" s="1"/>
      <c r="AA2077" s="1"/>
      <c r="AB2077" s="1"/>
      <c r="AC2077" s="1"/>
      <c r="AD2077" s="1"/>
      <c r="AE2077" s="1"/>
      <c r="AF2077" s="1"/>
      <c r="AG2077" s="1"/>
      <c r="AH2077" s="1"/>
    </row>
    <row r="2078" ht="12.75" hidden="1" customHeight="1" outlineLevel="1">
      <c r="A2078" s="17">
        <v>41344.0</v>
      </c>
      <c r="B2078" s="1"/>
      <c r="C2078" s="1" t="s">
        <v>431</v>
      </c>
      <c r="D2078" s="74"/>
      <c r="E2078" s="67"/>
      <c r="F2078" s="75"/>
      <c r="G2078" s="67"/>
      <c r="H2078" s="68"/>
      <c r="I2078" s="76"/>
      <c r="J2078" s="67"/>
      <c r="K2078" s="7" t="s">
        <v>817</v>
      </c>
      <c r="L2078" s="77"/>
      <c r="M2078" s="79"/>
      <c r="N2078" s="1"/>
      <c r="O2078" s="1"/>
      <c r="P2078" s="1"/>
      <c r="Q2078" s="1"/>
      <c r="R2078" s="1"/>
      <c r="S2078" s="1"/>
      <c r="T2078" s="1"/>
      <c r="U2078" s="1"/>
      <c r="V2078" s="1"/>
      <c r="W2078" s="1"/>
      <c r="X2078" s="1"/>
      <c r="Y2078" s="1"/>
      <c r="Z2078" s="1"/>
      <c r="AA2078" s="1"/>
      <c r="AB2078" s="1"/>
      <c r="AC2078" s="1"/>
      <c r="AD2078" s="1"/>
      <c r="AE2078" s="1"/>
      <c r="AF2078" s="1"/>
      <c r="AG2078" s="1"/>
      <c r="AH2078" s="1"/>
    </row>
    <row r="2079" ht="12.75" hidden="1" customHeight="1" outlineLevel="1">
      <c r="A2079" s="17">
        <v>41344.0</v>
      </c>
      <c r="B2079" s="1"/>
      <c r="C2079" s="1" t="s">
        <v>433</v>
      </c>
      <c r="D2079" s="74"/>
      <c r="E2079" s="67"/>
      <c r="F2079" s="75"/>
      <c r="G2079" s="67"/>
      <c r="H2079" s="68"/>
      <c r="I2079" s="76"/>
      <c r="J2079" s="67"/>
      <c r="K2079" s="7" t="s">
        <v>434</v>
      </c>
      <c r="L2079" s="77"/>
      <c r="M2079" s="79"/>
      <c r="N2079" s="1"/>
      <c r="O2079" s="1"/>
      <c r="P2079" s="1"/>
      <c r="Q2079" s="1"/>
      <c r="R2079" s="1"/>
      <c r="S2079" s="1"/>
      <c r="T2079" s="1"/>
      <c r="U2079" s="1"/>
      <c r="V2079" s="1"/>
      <c r="W2079" s="1"/>
      <c r="X2079" s="1"/>
      <c r="Y2079" s="1"/>
      <c r="Z2079" s="1"/>
      <c r="AA2079" s="1"/>
      <c r="AB2079" s="1"/>
      <c r="AC2079" s="1"/>
      <c r="AD2079" s="1"/>
      <c r="AE2079" s="1"/>
      <c r="AF2079" s="1"/>
      <c r="AG2079" s="1"/>
      <c r="AH2079" s="1"/>
    </row>
    <row r="2080" ht="12.75" hidden="1" customHeight="1" outlineLevel="1">
      <c r="A2080" s="17">
        <v>41344.0</v>
      </c>
      <c r="B2080" s="1"/>
      <c r="C2080" s="1" t="s">
        <v>435</v>
      </c>
      <c r="D2080" s="74"/>
      <c r="E2080" s="67"/>
      <c r="F2080" s="75"/>
      <c r="G2080" s="67"/>
      <c r="H2080" s="68"/>
      <c r="I2080" s="76"/>
      <c r="J2080" s="67"/>
      <c r="K2080" s="7" t="s">
        <v>818</v>
      </c>
      <c r="L2080" s="77"/>
      <c r="M2080" s="79"/>
      <c r="N2080" s="1"/>
      <c r="O2080" s="1"/>
      <c r="P2080" s="1"/>
      <c r="Q2080" s="1"/>
      <c r="R2080" s="1"/>
      <c r="S2080" s="1"/>
      <c r="T2080" s="1"/>
      <c r="U2080" s="1"/>
      <c r="V2080" s="1"/>
      <c r="W2080" s="1"/>
      <c r="X2080" s="1"/>
      <c r="Y2080" s="1"/>
      <c r="Z2080" s="1"/>
      <c r="AA2080" s="1"/>
      <c r="AB2080" s="1"/>
      <c r="AC2080" s="1"/>
      <c r="AD2080" s="1"/>
      <c r="AE2080" s="1"/>
      <c r="AF2080" s="1"/>
      <c r="AG2080" s="1"/>
      <c r="AH2080" s="1"/>
    </row>
    <row r="2081" ht="12.75" hidden="1" customHeight="1" outlineLevel="1">
      <c r="A2081" s="17">
        <v>41345.0</v>
      </c>
      <c r="B2081" s="1" t="s">
        <v>343</v>
      </c>
      <c r="C2081" s="1" t="s">
        <v>851</v>
      </c>
      <c r="D2081" s="74">
        <v>300.0</v>
      </c>
      <c r="E2081" s="67">
        <v>19.64</v>
      </c>
      <c r="F2081" s="75">
        <v>0.6456712962962963</v>
      </c>
      <c r="G2081" s="67" t="s">
        <v>453</v>
      </c>
      <c r="H2081" s="68">
        <v>1.2</v>
      </c>
      <c r="I2081" s="76"/>
      <c r="J2081" s="67">
        <f>IF(B2081="SLD",D2081*E2081,-D2081*E2081)-H2081</f>
        <v>-5893.2</v>
      </c>
      <c r="K2081" s="7"/>
      <c r="L2081" s="70"/>
      <c r="M2081" s="79"/>
      <c r="N2081" s="1"/>
      <c r="O2081" s="1"/>
      <c r="P2081" s="1"/>
      <c r="Q2081" s="1"/>
      <c r="R2081" s="1"/>
      <c r="S2081" s="1"/>
      <c r="T2081" s="1"/>
      <c r="U2081" s="1"/>
      <c r="V2081" s="1"/>
      <c r="W2081" s="1"/>
      <c r="X2081" s="1"/>
      <c r="Y2081" s="1"/>
      <c r="Z2081" s="1"/>
      <c r="AA2081" s="1"/>
      <c r="AB2081" s="1"/>
      <c r="AC2081" s="1"/>
      <c r="AD2081" s="1"/>
      <c r="AE2081" s="1"/>
      <c r="AF2081" s="1"/>
      <c r="AG2081" s="1"/>
      <c r="AH2081" s="1"/>
    </row>
    <row r="2082" ht="12.75" hidden="1" customHeight="1" outlineLevel="1">
      <c r="A2082" s="17">
        <v>41345.0</v>
      </c>
      <c r="B2082" s="1"/>
      <c r="C2082" s="1" t="s">
        <v>339</v>
      </c>
      <c r="D2082" s="74"/>
      <c r="E2082" s="67"/>
      <c r="F2082" s="75"/>
      <c r="G2082" s="67"/>
      <c r="H2082" s="68"/>
      <c r="I2082" s="76"/>
      <c r="J2082" s="67"/>
      <c r="K2082" s="7" t="s">
        <v>924</v>
      </c>
      <c r="L2082" s="77"/>
      <c r="M2082" s="79"/>
      <c r="N2082" s="1"/>
      <c r="O2082" s="1"/>
      <c r="P2082" s="1"/>
      <c r="Q2082" s="1"/>
      <c r="R2082" s="1"/>
      <c r="S2082" s="1"/>
      <c r="T2082" s="1"/>
      <c r="U2082" s="1"/>
      <c r="V2082" s="1"/>
      <c r="W2082" s="1"/>
      <c r="X2082" s="1"/>
      <c r="Y2082" s="1"/>
      <c r="Z2082" s="1"/>
      <c r="AA2082" s="1"/>
      <c r="AB2082" s="1"/>
      <c r="AC2082" s="1"/>
      <c r="AD2082" s="1"/>
      <c r="AE2082" s="1"/>
      <c r="AF2082" s="1"/>
      <c r="AG2082" s="1"/>
      <c r="AH2082" s="1"/>
    </row>
    <row r="2083" ht="12.75" hidden="1" customHeight="1" outlineLevel="1">
      <c r="A2083" s="17">
        <v>41345.0</v>
      </c>
      <c r="B2083" s="1"/>
      <c r="C2083" s="1" t="s">
        <v>429</v>
      </c>
      <c r="D2083" s="74"/>
      <c r="E2083" s="67"/>
      <c r="F2083" s="75"/>
      <c r="G2083" s="67"/>
      <c r="H2083" s="68"/>
      <c r="I2083" s="76"/>
      <c r="J2083" s="67"/>
      <c r="K2083" s="7" t="s">
        <v>922</v>
      </c>
      <c r="L2083" s="77"/>
      <c r="M2083" s="79"/>
      <c r="N2083" s="1"/>
      <c r="O2083" s="1"/>
      <c r="P2083" s="1"/>
      <c r="Q2083" s="1"/>
      <c r="R2083" s="1"/>
      <c r="S2083" s="1"/>
      <c r="T2083" s="1"/>
      <c r="U2083" s="1"/>
      <c r="V2083" s="1"/>
      <c r="W2083" s="1"/>
      <c r="X2083" s="1"/>
      <c r="Y2083" s="1"/>
      <c r="Z2083" s="1"/>
      <c r="AA2083" s="1"/>
      <c r="AB2083" s="1"/>
      <c r="AC2083" s="1"/>
      <c r="AD2083" s="1"/>
      <c r="AE2083" s="1"/>
      <c r="AF2083" s="1"/>
      <c r="AG2083" s="1"/>
      <c r="AH2083" s="1"/>
    </row>
    <row r="2084" ht="12.75" hidden="1" customHeight="1" outlineLevel="1">
      <c r="A2084" s="17">
        <v>41345.0</v>
      </c>
      <c r="B2084" s="1"/>
      <c r="C2084" s="1" t="s">
        <v>431</v>
      </c>
      <c r="D2084" s="74"/>
      <c r="E2084" s="67"/>
      <c r="F2084" s="75"/>
      <c r="G2084" s="67"/>
      <c r="H2084" s="68"/>
      <c r="I2084" s="76"/>
      <c r="J2084" s="67"/>
      <c r="K2084" s="7" t="s">
        <v>817</v>
      </c>
      <c r="L2084" s="77"/>
      <c r="M2084" s="79"/>
      <c r="N2084" s="1"/>
      <c r="O2084" s="1"/>
      <c r="P2084" s="1"/>
      <c r="Q2084" s="1"/>
      <c r="R2084" s="1"/>
      <c r="S2084" s="1"/>
      <c r="T2084" s="1"/>
      <c r="U2084" s="1"/>
      <c r="V2084" s="1"/>
      <c r="W2084" s="1"/>
      <c r="X2084" s="1"/>
      <c r="Y2084" s="1"/>
      <c r="Z2084" s="1"/>
      <c r="AA2084" s="1"/>
      <c r="AB2084" s="1"/>
      <c r="AC2084" s="1"/>
      <c r="AD2084" s="1"/>
      <c r="AE2084" s="1"/>
      <c r="AF2084" s="1"/>
      <c r="AG2084" s="1"/>
      <c r="AH2084" s="1"/>
    </row>
    <row r="2085" ht="12.75" hidden="1" customHeight="1" outlineLevel="1">
      <c r="A2085" s="17">
        <v>41345.0</v>
      </c>
      <c r="B2085" s="1"/>
      <c r="C2085" s="1" t="s">
        <v>433</v>
      </c>
      <c r="D2085" s="74"/>
      <c r="E2085" s="67"/>
      <c r="F2085" s="75"/>
      <c r="G2085" s="67"/>
      <c r="H2085" s="68"/>
      <c r="I2085" s="76"/>
      <c r="J2085" s="67"/>
      <c r="K2085" s="7" t="s">
        <v>434</v>
      </c>
      <c r="L2085" s="77"/>
      <c r="M2085" s="79"/>
      <c r="N2085" s="1"/>
      <c r="O2085" s="1"/>
      <c r="P2085" s="1"/>
      <c r="Q2085" s="1"/>
      <c r="R2085" s="1"/>
      <c r="S2085" s="1"/>
      <c r="T2085" s="1"/>
      <c r="U2085" s="1"/>
      <c r="V2085" s="1"/>
      <c r="W2085" s="1"/>
      <c r="X2085" s="1"/>
      <c r="Y2085" s="1"/>
      <c r="Z2085" s="1"/>
      <c r="AA2085" s="1"/>
      <c r="AB2085" s="1"/>
      <c r="AC2085" s="1"/>
      <c r="AD2085" s="1"/>
      <c r="AE2085" s="1"/>
      <c r="AF2085" s="1"/>
      <c r="AG2085" s="1"/>
      <c r="AH2085" s="1"/>
    </row>
    <row r="2086" ht="12.75" hidden="1" customHeight="1" outlineLevel="1">
      <c r="A2086" s="17">
        <v>41345.0</v>
      </c>
      <c r="B2086" s="1"/>
      <c r="C2086" s="1" t="s">
        <v>435</v>
      </c>
      <c r="D2086" s="74"/>
      <c r="E2086" s="67"/>
      <c r="F2086" s="75"/>
      <c r="G2086" s="67"/>
      <c r="H2086" s="68"/>
      <c r="I2086" s="76"/>
      <c r="J2086" s="67"/>
      <c r="K2086" s="7" t="s">
        <v>818</v>
      </c>
      <c r="L2086" s="77"/>
      <c r="M2086" s="79"/>
      <c r="N2086" s="1"/>
      <c r="O2086" s="1"/>
      <c r="P2086" s="1"/>
      <c r="Q2086" s="1"/>
      <c r="R2086" s="1"/>
      <c r="S2086" s="1"/>
      <c r="T2086" s="1"/>
      <c r="U2086" s="1"/>
      <c r="V2086" s="1"/>
      <c r="W2086" s="1"/>
      <c r="X2086" s="1"/>
      <c r="Y2086" s="1"/>
      <c r="Z2086" s="1"/>
      <c r="AA2086" s="1"/>
      <c r="AB2086" s="1"/>
      <c r="AC2086" s="1"/>
      <c r="AD2086" s="1"/>
      <c r="AE2086" s="1"/>
      <c r="AF2086" s="1"/>
      <c r="AG2086" s="1"/>
      <c r="AH2086" s="1"/>
    </row>
    <row r="2087" ht="12.75" hidden="1" customHeight="1" outlineLevel="1">
      <c r="A2087" s="17">
        <v>41346.0</v>
      </c>
      <c r="B2087" s="1" t="s">
        <v>347</v>
      </c>
      <c r="C2087" s="1" t="s">
        <v>349</v>
      </c>
      <c r="D2087" s="74">
        <v>500.0</v>
      </c>
      <c r="E2087" s="67">
        <v>39.176</v>
      </c>
      <c r="F2087" s="75">
        <v>0.6240740740740741</v>
      </c>
      <c r="G2087" s="67" t="s">
        <v>453</v>
      </c>
      <c r="H2087" s="68">
        <v>2.0</v>
      </c>
      <c r="I2087" s="76"/>
      <c r="J2087" s="67">
        <f>IF(B2087="SLD",D2087*E2087,-D2087*E2087)-H2087</f>
        <v>19586</v>
      </c>
      <c r="K2087" s="7"/>
      <c r="L2087" s="70"/>
      <c r="M2087" s="79"/>
      <c r="N2087" s="1"/>
      <c r="O2087" s="1"/>
      <c r="P2087" s="1"/>
      <c r="Q2087" s="1"/>
      <c r="R2087" s="1"/>
      <c r="S2087" s="1"/>
      <c r="T2087" s="1"/>
      <c r="U2087" s="1"/>
      <c r="V2087" s="1"/>
      <c r="W2087" s="1"/>
      <c r="X2087" s="1"/>
      <c r="Y2087" s="1"/>
      <c r="Z2087" s="1"/>
      <c r="AA2087" s="1"/>
      <c r="AB2087" s="1"/>
      <c r="AC2087" s="1"/>
      <c r="AD2087" s="1"/>
      <c r="AE2087" s="1"/>
      <c r="AF2087" s="1"/>
      <c r="AG2087" s="1"/>
      <c r="AH2087" s="1"/>
    </row>
    <row r="2088" ht="12.75" hidden="1" customHeight="1" outlineLevel="1">
      <c r="A2088" s="17">
        <v>41346.0</v>
      </c>
      <c r="B2088" s="1"/>
      <c r="C2088" s="1" t="s">
        <v>339</v>
      </c>
      <c r="D2088" s="74"/>
      <c r="E2088" s="67"/>
      <c r="F2088" s="75"/>
      <c r="G2088" s="67"/>
      <c r="H2088" s="68"/>
      <c r="I2088" s="76"/>
      <c r="J2088" s="67"/>
      <c r="K2088" s="7" t="s">
        <v>925</v>
      </c>
      <c r="L2088" s="77"/>
      <c r="M2088" s="79"/>
      <c r="N2088" s="1"/>
      <c r="O2088" s="1"/>
      <c r="P2088" s="1"/>
      <c r="Q2088" s="1"/>
      <c r="R2088" s="1"/>
      <c r="S2088" s="1"/>
      <c r="T2088" s="1"/>
      <c r="U2088" s="1"/>
      <c r="V2088" s="1"/>
      <c r="W2088" s="1"/>
      <c r="X2088" s="1"/>
      <c r="Y2088" s="1"/>
      <c r="Z2088" s="1"/>
      <c r="AA2088" s="1"/>
      <c r="AB2088" s="1"/>
      <c r="AC2088" s="1"/>
      <c r="AD2088" s="1"/>
      <c r="AE2088" s="1"/>
      <c r="AF2088" s="1"/>
      <c r="AG2088" s="1"/>
      <c r="AH2088" s="1"/>
    </row>
    <row r="2089" ht="12.75" hidden="1" customHeight="1" outlineLevel="1">
      <c r="A2089" s="17">
        <v>41346.0</v>
      </c>
      <c r="B2089" s="1"/>
      <c r="C2089" s="1" t="s">
        <v>429</v>
      </c>
      <c r="D2089" s="74"/>
      <c r="E2089" s="67"/>
      <c r="F2089" s="75"/>
      <c r="G2089" s="67"/>
      <c r="H2089" s="68"/>
      <c r="I2089" s="76"/>
      <c r="J2089" s="67"/>
      <c r="K2089" s="7" t="s">
        <v>922</v>
      </c>
      <c r="L2089" s="77"/>
      <c r="M2089" s="79"/>
      <c r="N2089" s="1"/>
      <c r="O2089" s="1"/>
      <c r="P2089" s="1"/>
      <c r="Q2089" s="1"/>
      <c r="R2089" s="1"/>
      <c r="S2089" s="1"/>
      <c r="T2089" s="1"/>
      <c r="U2089" s="1"/>
      <c r="V2089" s="1"/>
      <c r="W2089" s="1"/>
      <c r="X2089" s="1"/>
      <c r="Y2089" s="1"/>
      <c r="Z2089" s="1"/>
      <c r="AA2089" s="1"/>
      <c r="AB2089" s="1"/>
      <c r="AC2089" s="1"/>
      <c r="AD2089" s="1"/>
      <c r="AE2089" s="1"/>
      <c r="AF2089" s="1"/>
      <c r="AG2089" s="1"/>
      <c r="AH2089" s="1"/>
    </row>
    <row r="2090" ht="12.75" hidden="1" customHeight="1" outlineLevel="1">
      <c r="A2090" s="17">
        <v>41346.0</v>
      </c>
      <c r="B2090" s="1"/>
      <c r="C2090" s="1" t="s">
        <v>431</v>
      </c>
      <c r="D2090" s="74"/>
      <c r="E2090" s="67"/>
      <c r="F2090" s="75"/>
      <c r="G2090" s="67"/>
      <c r="H2090" s="68"/>
      <c r="I2090" s="76"/>
      <c r="J2090" s="67"/>
      <c r="K2090" s="7" t="s">
        <v>817</v>
      </c>
      <c r="L2090" s="77"/>
      <c r="M2090" s="79"/>
      <c r="N2090" s="1"/>
      <c r="O2090" s="1"/>
      <c r="P2090" s="1"/>
      <c r="Q2090" s="1"/>
      <c r="R2090" s="1"/>
      <c r="S2090" s="1"/>
      <c r="T2090" s="1"/>
      <c r="U2090" s="1"/>
      <c r="V2090" s="1"/>
      <c r="W2090" s="1"/>
      <c r="X2090" s="1"/>
      <c r="Y2090" s="1"/>
      <c r="Z2090" s="1"/>
      <c r="AA2090" s="1"/>
      <c r="AB2090" s="1"/>
      <c r="AC2090" s="1"/>
      <c r="AD2090" s="1"/>
      <c r="AE2090" s="1"/>
      <c r="AF2090" s="1"/>
      <c r="AG2090" s="1"/>
      <c r="AH2090" s="1"/>
    </row>
    <row r="2091" ht="12.75" hidden="1" customHeight="1" outlineLevel="1">
      <c r="A2091" s="17">
        <v>41346.0</v>
      </c>
      <c r="B2091" s="1"/>
      <c r="C2091" s="1" t="s">
        <v>433</v>
      </c>
      <c r="D2091" s="74"/>
      <c r="E2091" s="67"/>
      <c r="F2091" s="75"/>
      <c r="G2091" s="67"/>
      <c r="H2091" s="68"/>
      <c r="I2091" s="76"/>
      <c r="J2091" s="67"/>
      <c r="K2091" s="7" t="s">
        <v>434</v>
      </c>
      <c r="L2091" s="77"/>
      <c r="M2091" s="79"/>
      <c r="N2091" s="1"/>
      <c r="O2091" s="1"/>
      <c r="P2091" s="1"/>
      <c r="Q2091" s="1"/>
      <c r="R2091" s="1"/>
      <c r="S2091" s="1"/>
      <c r="T2091" s="1"/>
      <c r="U2091" s="1"/>
      <c r="V2091" s="1"/>
      <c r="W2091" s="1"/>
      <c r="X2091" s="1"/>
      <c r="Y2091" s="1"/>
      <c r="Z2091" s="1"/>
      <c r="AA2091" s="1"/>
      <c r="AB2091" s="1"/>
      <c r="AC2091" s="1"/>
      <c r="AD2091" s="1"/>
      <c r="AE2091" s="1"/>
      <c r="AF2091" s="1"/>
      <c r="AG2091" s="1"/>
      <c r="AH2091" s="1"/>
    </row>
    <row r="2092" ht="12.75" hidden="1" customHeight="1" outlineLevel="1">
      <c r="A2092" s="17">
        <v>41346.0</v>
      </c>
      <c r="B2092" s="1"/>
      <c r="C2092" s="1" t="s">
        <v>435</v>
      </c>
      <c r="D2092" s="74"/>
      <c r="E2092" s="67"/>
      <c r="F2092" s="75"/>
      <c r="G2092" s="67"/>
      <c r="H2092" s="68"/>
      <c r="I2092" s="76"/>
      <c r="J2092" s="67"/>
      <c r="K2092" s="7" t="s">
        <v>818</v>
      </c>
      <c r="L2092" s="77"/>
      <c r="M2092" s="79"/>
      <c r="N2092" s="1"/>
      <c r="O2092" s="1"/>
      <c r="P2092" s="1"/>
      <c r="Q2092" s="1"/>
      <c r="R2092" s="1"/>
      <c r="S2092" s="1"/>
      <c r="T2092" s="1"/>
      <c r="U2092" s="1"/>
      <c r="V2092" s="1"/>
      <c r="W2092" s="1"/>
      <c r="X2092" s="1"/>
      <c r="Y2092" s="1"/>
      <c r="Z2092" s="1"/>
      <c r="AA2092" s="1"/>
      <c r="AB2092" s="1"/>
      <c r="AC2092" s="1"/>
      <c r="AD2092" s="1"/>
      <c r="AE2092" s="1"/>
      <c r="AF2092" s="1"/>
      <c r="AG2092" s="1"/>
      <c r="AH2092" s="1"/>
    </row>
    <row r="2093" ht="12.75" hidden="1" customHeight="1" outlineLevel="1">
      <c r="A2093" s="17">
        <v>41348.0</v>
      </c>
      <c r="B2093" s="1"/>
      <c r="C2093" s="1" t="s">
        <v>339</v>
      </c>
      <c r="D2093" s="74"/>
      <c r="E2093" s="67"/>
      <c r="F2093" s="75"/>
      <c r="G2093" s="67"/>
      <c r="H2093" s="68"/>
      <c r="I2093" s="76"/>
      <c r="J2093" s="67"/>
      <c r="K2093" s="7" t="s">
        <v>926</v>
      </c>
      <c r="L2093" s="77"/>
      <c r="M2093" s="79"/>
      <c r="N2093" s="1"/>
      <c r="O2093" s="1"/>
      <c r="P2093" s="1"/>
      <c r="Q2093" s="1"/>
      <c r="R2093" s="1"/>
      <c r="S2093" s="1"/>
      <c r="T2093" s="1"/>
      <c r="U2093" s="1"/>
      <c r="V2093" s="1"/>
      <c r="W2093" s="1"/>
      <c r="X2093" s="1"/>
      <c r="Y2093" s="1"/>
      <c r="Z2093" s="1"/>
      <c r="AA2093" s="1"/>
      <c r="AB2093" s="1"/>
      <c r="AC2093" s="1"/>
      <c r="AD2093" s="1"/>
      <c r="AE2093" s="1"/>
      <c r="AF2093" s="1"/>
      <c r="AG2093" s="1"/>
      <c r="AH2093" s="1"/>
    </row>
    <row r="2094" ht="12.75" hidden="1" customHeight="1" outlineLevel="1">
      <c r="A2094" s="17">
        <v>41348.0</v>
      </c>
      <c r="B2094" s="1"/>
      <c r="C2094" s="1" t="s">
        <v>429</v>
      </c>
      <c r="D2094" s="74"/>
      <c r="E2094" s="67"/>
      <c r="F2094" s="75"/>
      <c r="G2094" s="67"/>
      <c r="H2094" s="68"/>
      <c r="I2094" s="76"/>
      <c r="J2094" s="67"/>
      <c r="K2094" s="7" t="s">
        <v>922</v>
      </c>
      <c r="L2094" s="77"/>
      <c r="M2094" s="79"/>
      <c r="N2094" s="1"/>
      <c r="O2094" s="1"/>
      <c r="P2094" s="1"/>
      <c r="Q2094" s="1"/>
      <c r="R2094" s="1"/>
      <c r="S2094" s="1"/>
      <c r="T2094" s="1"/>
      <c r="U2094" s="1"/>
      <c r="V2094" s="1"/>
      <c r="W2094" s="1"/>
      <c r="X2094" s="1"/>
      <c r="Y2094" s="1"/>
      <c r="Z2094" s="1"/>
      <c r="AA2094" s="1"/>
      <c r="AB2094" s="1"/>
      <c r="AC2094" s="1"/>
      <c r="AD2094" s="1"/>
      <c r="AE2094" s="1"/>
      <c r="AF2094" s="1"/>
      <c r="AG2094" s="1"/>
      <c r="AH2094" s="1"/>
    </row>
    <row r="2095" ht="12.75" hidden="1" customHeight="1" outlineLevel="1">
      <c r="A2095" s="17">
        <v>41348.0</v>
      </c>
      <c r="B2095" s="1"/>
      <c r="C2095" s="1" t="s">
        <v>431</v>
      </c>
      <c r="D2095" s="74"/>
      <c r="E2095" s="67"/>
      <c r="F2095" s="75"/>
      <c r="G2095" s="67"/>
      <c r="H2095" s="68"/>
      <c r="I2095" s="76"/>
      <c r="J2095" s="67"/>
      <c r="K2095" s="7" t="s">
        <v>817</v>
      </c>
      <c r="L2095" s="77"/>
      <c r="M2095" s="79"/>
      <c r="N2095" s="1"/>
      <c r="O2095" s="1"/>
      <c r="P2095" s="1"/>
      <c r="Q2095" s="1"/>
      <c r="R2095" s="1"/>
      <c r="S2095" s="1"/>
      <c r="T2095" s="1"/>
      <c r="U2095" s="1"/>
      <c r="V2095" s="1"/>
      <c r="W2095" s="1"/>
      <c r="X2095" s="1"/>
      <c r="Y2095" s="1"/>
      <c r="Z2095" s="1"/>
      <c r="AA2095" s="1"/>
      <c r="AB2095" s="1"/>
      <c r="AC2095" s="1"/>
      <c r="AD2095" s="1"/>
      <c r="AE2095" s="1"/>
      <c r="AF2095" s="1"/>
      <c r="AG2095" s="1"/>
      <c r="AH2095" s="1"/>
    </row>
    <row r="2096" ht="12.75" hidden="1" customHeight="1" outlineLevel="1">
      <c r="A2096" s="17">
        <v>41348.0</v>
      </c>
      <c r="B2096" s="1"/>
      <c r="C2096" s="1" t="s">
        <v>433</v>
      </c>
      <c r="D2096" s="74"/>
      <c r="E2096" s="67"/>
      <c r="F2096" s="75"/>
      <c r="G2096" s="67"/>
      <c r="H2096" s="68"/>
      <c r="I2096" s="76"/>
      <c r="J2096" s="67"/>
      <c r="K2096" s="7" t="s">
        <v>434</v>
      </c>
      <c r="L2096" s="77"/>
      <c r="M2096" s="79"/>
      <c r="N2096" s="1"/>
      <c r="O2096" s="1"/>
      <c r="P2096" s="1"/>
      <c r="Q2096" s="1"/>
      <c r="R2096" s="1"/>
      <c r="S2096" s="1"/>
      <c r="T2096" s="1"/>
      <c r="U2096" s="1"/>
      <c r="V2096" s="1"/>
      <c r="W2096" s="1"/>
      <c r="X2096" s="1"/>
      <c r="Y2096" s="1"/>
      <c r="Z2096" s="1"/>
      <c r="AA2096" s="1"/>
      <c r="AB2096" s="1"/>
      <c r="AC2096" s="1"/>
      <c r="AD2096" s="1"/>
      <c r="AE2096" s="1"/>
      <c r="AF2096" s="1"/>
      <c r="AG2096" s="1"/>
      <c r="AH2096" s="1"/>
    </row>
    <row r="2097" ht="12.75" hidden="1" customHeight="1" outlineLevel="1">
      <c r="A2097" s="17">
        <v>41348.0</v>
      </c>
      <c r="B2097" s="1"/>
      <c r="C2097" s="1" t="s">
        <v>435</v>
      </c>
      <c r="D2097" s="74"/>
      <c r="E2097" s="67"/>
      <c r="F2097" s="75"/>
      <c r="G2097" s="67"/>
      <c r="H2097" s="68"/>
      <c r="I2097" s="76"/>
      <c r="J2097" s="67"/>
      <c r="K2097" s="7" t="s">
        <v>818</v>
      </c>
      <c r="L2097" s="77"/>
      <c r="M2097" s="79"/>
      <c r="N2097" s="1"/>
      <c r="O2097" s="1"/>
      <c r="P2097" s="1"/>
      <c r="Q2097" s="1"/>
      <c r="R2097" s="1"/>
      <c r="S2097" s="1"/>
      <c r="T2097" s="1"/>
      <c r="U2097" s="1"/>
      <c r="V2097" s="1"/>
      <c r="W2097" s="1"/>
      <c r="X2097" s="1"/>
      <c r="Y2097" s="1"/>
      <c r="Z2097" s="1"/>
      <c r="AA2097" s="1"/>
      <c r="AB2097" s="1"/>
      <c r="AC2097" s="1"/>
      <c r="AD2097" s="1"/>
      <c r="AE2097" s="1"/>
      <c r="AF2097" s="1"/>
      <c r="AG2097" s="1"/>
      <c r="AH2097" s="1"/>
    </row>
    <row r="2098" ht="12.75" hidden="1" customHeight="1" outlineLevel="1">
      <c r="A2098" s="17">
        <v>41352.0</v>
      </c>
      <c r="B2098" s="1"/>
      <c r="C2098" s="1" t="s">
        <v>339</v>
      </c>
      <c r="D2098" s="74"/>
      <c r="E2098" s="67"/>
      <c r="F2098" s="75"/>
      <c r="G2098" s="67"/>
      <c r="H2098" s="68"/>
      <c r="I2098" s="76"/>
      <c r="J2098" s="67"/>
      <c r="K2098" s="7" t="s">
        <v>927</v>
      </c>
      <c r="L2098" s="77"/>
      <c r="M2098" s="79"/>
      <c r="N2098" s="1"/>
      <c r="O2098" s="1"/>
      <c r="P2098" s="1"/>
      <c r="Q2098" s="1"/>
      <c r="R2098" s="1"/>
      <c r="S2098" s="1"/>
      <c r="T2098" s="1"/>
      <c r="U2098" s="1"/>
      <c r="V2098" s="1"/>
      <c r="W2098" s="1"/>
      <c r="X2098" s="1"/>
      <c r="Y2098" s="1"/>
      <c r="Z2098" s="1"/>
      <c r="AA2098" s="1"/>
      <c r="AB2098" s="1"/>
      <c r="AC2098" s="1"/>
      <c r="AD2098" s="1"/>
      <c r="AE2098" s="1"/>
      <c r="AF2098" s="1"/>
      <c r="AG2098" s="1"/>
      <c r="AH2098" s="1"/>
    </row>
    <row r="2099" ht="12.75" hidden="1" customHeight="1" outlineLevel="1">
      <c r="A2099" s="17">
        <v>41352.0</v>
      </c>
      <c r="B2099" s="1"/>
      <c r="C2099" s="1" t="s">
        <v>429</v>
      </c>
      <c r="D2099" s="74"/>
      <c r="E2099" s="67"/>
      <c r="F2099" s="75"/>
      <c r="G2099" s="67"/>
      <c r="H2099" s="68"/>
      <c r="I2099" s="76"/>
      <c r="J2099" s="67"/>
      <c r="K2099" s="7" t="s">
        <v>922</v>
      </c>
      <c r="L2099" s="77"/>
      <c r="M2099" s="79"/>
      <c r="N2099" s="1"/>
      <c r="O2099" s="1"/>
      <c r="P2099" s="1"/>
      <c r="Q2099" s="1"/>
      <c r="R2099" s="1"/>
      <c r="S2099" s="1"/>
      <c r="T2099" s="1"/>
      <c r="U2099" s="1"/>
      <c r="V2099" s="1"/>
      <c r="W2099" s="1"/>
      <c r="X2099" s="1"/>
      <c r="Y2099" s="1"/>
      <c r="Z2099" s="1"/>
      <c r="AA2099" s="1"/>
      <c r="AB2099" s="1"/>
      <c r="AC2099" s="1"/>
      <c r="AD2099" s="1"/>
      <c r="AE2099" s="1"/>
      <c r="AF2099" s="1"/>
      <c r="AG2099" s="1"/>
      <c r="AH2099" s="1"/>
    </row>
    <row r="2100" ht="12.75" hidden="1" customHeight="1" outlineLevel="1">
      <c r="A2100" s="17">
        <v>41352.0</v>
      </c>
      <c r="B2100" s="1"/>
      <c r="C2100" s="1" t="s">
        <v>431</v>
      </c>
      <c r="D2100" s="74"/>
      <c r="E2100" s="67"/>
      <c r="F2100" s="75"/>
      <c r="G2100" s="67"/>
      <c r="H2100" s="68"/>
      <c r="I2100" s="76"/>
      <c r="J2100" s="67"/>
      <c r="K2100" s="7" t="s">
        <v>817</v>
      </c>
      <c r="L2100" s="77"/>
      <c r="M2100" s="79"/>
      <c r="N2100" s="1"/>
      <c r="O2100" s="1"/>
      <c r="P2100" s="1"/>
      <c r="Q2100" s="1"/>
      <c r="R2100" s="1"/>
      <c r="S2100" s="1"/>
      <c r="T2100" s="1"/>
      <c r="U2100" s="1"/>
      <c r="V2100" s="1"/>
      <c r="W2100" s="1"/>
      <c r="X2100" s="1"/>
      <c r="Y2100" s="1"/>
      <c r="Z2100" s="1"/>
      <c r="AA2100" s="1"/>
      <c r="AB2100" s="1"/>
      <c r="AC2100" s="1"/>
      <c r="AD2100" s="1"/>
      <c r="AE2100" s="1"/>
      <c r="AF2100" s="1"/>
      <c r="AG2100" s="1"/>
      <c r="AH2100" s="1"/>
    </row>
    <row r="2101" ht="12.75" hidden="1" customHeight="1" outlineLevel="1">
      <c r="A2101" s="17">
        <v>41352.0</v>
      </c>
      <c r="B2101" s="1"/>
      <c r="C2101" s="1" t="s">
        <v>433</v>
      </c>
      <c r="D2101" s="74"/>
      <c r="E2101" s="67"/>
      <c r="F2101" s="75"/>
      <c r="G2101" s="67"/>
      <c r="H2101" s="68"/>
      <c r="I2101" s="76"/>
      <c r="J2101" s="67"/>
      <c r="K2101" s="7" t="s">
        <v>434</v>
      </c>
      <c r="L2101" s="77"/>
      <c r="M2101" s="79"/>
      <c r="N2101" s="1"/>
      <c r="O2101" s="1"/>
      <c r="P2101" s="1"/>
      <c r="Q2101" s="1"/>
      <c r="R2101" s="1"/>
      <c r="S2101" s="1"/>
      <c r="T2101" s="1"/>
      <c r="U2101" s="1"/>
      <c r="V2101" s="1"/>
      <c r="W2101" s="1"/>
      <c r="X2101" s="1"/>
      <c r="Y2101" s="1"/>
      <c r="Z2101" s="1"/>
      <c r="AA2101" s="1"/>
      <c r="AB2101" s="1"/>
      <c r="AC2101" s="1"/>
      <c r="AD2101" s="1"/>
      <c r="AE2101" s="1"/>
      <c r="AF2101" s="1"/>
      <c r="AG2101" s="1"/>
      <c r="AH2101" s="1"/>
    </row>
    <row r="2102" ht="12.75" hidden="1" customHeight="1" outlineLevel="1">
      <c r="A2102" s="17">
        <v>41352.0</v>
      </c>
      <c r="B2102" s="1"/>
      <c r="C2102" s="1" t="s">
        <v>435</v>
      </c>
      <c r="D2102" s="74"/>
      <c r="E2102" s="67"/>
      <c r="F2102" s="75"/>
      <c r="G2102" s="67"/>
      <c r="H2102" s="68"/>
      <c r="I2102" s="76"/>
      <c r="J2102" s="67"/>
      <c r="K2102" s="7" t="s">
        <v>818</v>
      </c>
      <c r="L2102" s="77"/>
      <c r="M2102" s="79"/>
      <c r="N2102" s="1"/>
      <c r="O2102" s="1"/>
      <c r="P2102" s="1"/>
      <c r="Q2102" s="1"/>
      <c r="R2102" s="1"/>
      <c r="S2102" s="1"/>
      <c r="T2102" s="1"/>
      <c r="U2102" s="1"/>
      <c r="V2102" s="1"/>
      <c r="W2102" s="1"/>
      <c r="X2102" s="1"/>
      <c r="Y2102" s="1"/>
      <c r="Z2102" s="1"/>
      <c r="AA2102" s="1"/>
      <c r="AB2102" s="1"/>
      <c r="AC2102" s="1"/>
      <c r="AD2102" s="1"/>
      <c r="AE2102" s="1"/>
      <c r="AF2102" s="1"/>
      <c r="AG2102" s="1"/>
      <c r="AH2102" s="1"/>
    </row>
    <row r="2103" ht="12.75" hidden="1" customHeight="1" outlineLevel="1">
      <c r="A2103" s="17">
        <v>41353.0</v>
      </c>
      <c r="B2103" s="1"/>
      <c r="C2103" s="1" t="s">
        <v>339</v>
      </c>
      <c r="D2103" s="74"/>
      <c r="E2103" s="67"/>
      <c r="F2103" s="75"/>
      <c r="G2103" s="67"/>
      <c r="H2103" s="68"/>
      <c r="I2103" s="76"/>
      <c r="J2103" s="67"/>
      <c r="K2103" s="7" t="s">
        <v>928</v>
      </c>
      <c r="L2103" s="77"/>
      <c r="M2103" s="79"/>
      <c r="N2103" s="1"/>
      <c r="O2103" s="1"/>
      <c r="P2103" s="1"/>
      <c r="Q2103" s="1"/>
      <c r="R2103" s="1"/>
      <c r="S2103" s="1"/>
      <c r="T2103" s="1"/>
      <c r="U2103" s="1"/>
      <c r="V2103" s="1"/>
      <c r="W2103" s="1"/>
      <c r="X2103" s="1"/>
      <c r="Y2103" s="1"/>
      <c r="Z2103" s="1"/>
      <c r="AA2103" s="1"/>
      <c r="AB2103" s="1"/>
      <c r="AC2103" s="1"/>
      <c r="AD2103" s="1"/>
      <c r="AE2103" s="1"/>
      <c r="AF2103" s="1"/>
      <c r="AG2103" s="1"/>
      <c r="AH2103" s="1"/>
    </row>
    <row r="2104" ht="12.75" hidden="1" customHeight="1" outlineLevel="1">
      <c r="A2104" s="17">
        <v>41353.0</v>
      </c>
      <c r="B2104" s="1"/>
      <c r="C2104" s="1" t="s">
        <v>429</v>
      </c>
      <c r="D2104" s="74"/>
      <c r="E2104" s="67"/>
      <c r="F2104" s="75"/>
      <c r="G2104" s="67"/>
      <c r="H2104" s="68"/>
      <c r="I2104" s="76"/>
      <c r="J2104" s="67"/>
      <c r="K2104" s="7" t="s">
        <v>922</v>
      </c>
      <c r="L2104" s="77"/>
      <c r="M2104" s="79"/>
      <c r="N2104" s="1"/>
      <c r="O2104" s="1"/>
      <c r="P2104" s="1"/>
      <c r="Q2104" s="1"/>
      <c r="R2104" s="1"/>
      <c r="S2104" s="1"/>
      <c r="T2104" s="1"/>
      <c r="U2104" s="1"/>
      <c r="V2104" s="1"/>
      <c r="W2104" s="1"/>
      <c r="X2104" s="1"/>
      <c r="Y2104" s="1"/>
      <c r="Z2104" s="1"/>
      <c r="AA2104" s="1"/>
      <c r="AB2104" s="1"/>
      <c r="AC2104" s="1"/>
      <c r="AD2104" s="1"/>
      <c r="AE2104" s="1"/>
      <c r="AF2104" s="1"/>
      <c r="AG2104" s="1"/>
      <c r="AH2104" s="1"/>
    </row>
    <row r="2105" ht="12.75" hidden="1" customHeight="1" outlineLevel="1">
      <c r="A2105" s="17">
        <v>41353.0</v>
      </c>
      <c r="B2105" s="1"/>
      <c r="C2105" s="1" t="s">
        <v>431</v>
      </c>
      <c r="D2105" s="74"/>
      <c r="E2105" s="67"/>
      <c r="F2105" s="75"/>
      <c r="G2105" s="67"/>
      <c r="H2105" s="68"/>
      <c r="I2105" s="76"/>
      <c r="J2105" s="67"/>
      <c r="K2105" s="7" t="s">
        <v>817</v>
      </c>
      <c r="L2105" s="77"/>
      <c r="M2105" s="79"/>
      <c r="N2105" s="1"/>
      <c r="O2105" s="1"/>
      <c r="P2105" s="1"/>
      <c r="Q2105" s="1"/>
      <c r="R2105" s="1"/>
      <c r="S2105" s="1"/>
      <c r="T2105" s="1"/>
      <c r="U2105" s="1"/>
      <c r="V2105" s="1"/>
      <c r="W2105" s="1"/>
      <c r="X2105" s="1"/>
      <c r="Y2105" s="1"/>
      <c r="Z2105" s="1"/>
      <c r="AA2105" s="1"/>
      <c r="AB2105" s="1"/>
      <c r="AC2105" s="1"/>
      <c r="AD2105" s="1"/>
      <c r="AE2105" s="1"/>
      <c r="AF2105" s="1"/>
      <c r="AG2105" s="1"/>
      <c r="AH2105" s="1"/>
    </row>
    <row r="2106" ht="12.75" hidden="1" customHeight="1" outlineLevel="1">
      <c r="A2106" s="17">
        <v>41353.0</v>
      </c>
      <c r="B2106" s="1"/>
      <c r="C2106" s="1" t="s">
        <v>433</v>
      </c>
      <c r="D2106" s="74"/>
      <c r="E2106" s="67"/>
      <c r="F2106" s="75"/>
      <c r="G2106" s="67"/>
      <c r="H2106" s="68"/>
      <c r="I2106" s="76"/>
      <c r="J2106" s="67"/>
      <c r="K2106" s="7" t="s">
        <v>434</v>
      </c>
      <c r="L2106" s="77"/>
      <c r="M2106" s="79"/>
      <c r="N2106" s="1"/>
      <c r="O2106" s="1"/>
      <c r="P2106" s="1"/>
      <c r="Q2106" s="1"/>
      <c r="R2106" s="1"/>
      <c r="S2106" s="1"/>
      <c r="T2106" s="1"/>
      <c r="U2106" s="1"/>
      <c r="V2106" s="1"/>
      <c r="W2106" s="1"/>
      <c r="X2106" s="1"/>
      <c r="Y2106" s="1"/>
      <c r="Z2106" s="1"/>
      <c r="AA2106" s="1"/>
      <c r="AB2106" s="1"/>
      <c r="AC2106" s="1"/>
      <c r="AD2106" s="1"/>
      <c r="AE2106" s="1"/>
      <c r="AF2106" s="1"/>
      <c r="AG2106" s="1"/>
      <c r="AH2106" s="1"/>
    </row>
    <row r="2107" ht="12.75" hidden="1" customHeight="1" outlineLevel="1">
      <c r="A2107" s="17">
        <v>41353.0</v>
      </c>
      <c r="B2107" s="1"/>
      <c r="C2107" s="1" t="s">
        <v>435</v>
      </c>
      <c r="D2107" s="74"/>
      <c r="E2107" s="67"/>
      <c r="F2107" s="75"/>
      <c r="G2107" s="67"/>
      <c r="H2107" s="68"/>
      <c r="I2107" s="76"/>
      <c r="J2107" s="67"/>
      <c r="K2107" s="7" t="s">
        <v>818</v>
      </c>
      <c r="L2107" s="77"/>
      <c r="M2107" s="79"/>
      <c r="N2107" s="1"/>
      <c r="O2107" s="1"/>
      <c r="P2107" s="1"/>
      <c r="Q2107" s="1"/>
      <c r="R2107" s="1"/>
      <c r="S2107" s="1"/>
      <c r="T2107" s="1"/>
      <c r="U2107" s="1"/>
      <c r="V2107" s="1"/>
      <c r="W2107" s="1"/>
      <c r="X2107" s="1"/>
      <c r="Y2107" s="1"/>
      <c r="Z2107" s="1"/>
      <c r="AA2107" s="1"/>
      <c r="AB2107" s="1"/>
      <c r="AC2107" s="1"/>
      <c r="AD2107" s="1"/>
      <c r="AE2107" s="1"/>
      <c r="AF2107" s="1"/>
      <c r="AG2107" s="1"/>
      <c r="AH2107" s="1"/>
    </row>
    <row r="2108" ht="12.75" hidden="1" customHeight="1" outlineLevel="1">
      <c r="A2108" s="17">
        <v>41354.0</v>
      </c>
      <c r="B2108" s="1"/>
      <c r="C2108" s="1" t="s">
        <v>339</v>
      </c>
      <c r="D2108" s="74"/>
      <c r="E2108" s="67"/>
      <c r="F2108" s="75"/>
      <c r="G2108" s="67"/>
      <c r="H2108" s="68"/>
      <c r="I2108" s="76"/>
      <c r="J2108" s="67"/>
      <c r="K2108" s="7" t="s">
        <v>929</v>
      </c>
      <c r="L2108" s="77"/>
      <c r="M2108" s="79"/>
      <c r="N2108" s="1"/>
      <c r="O2108" s="1"/>
      <c r="P2108" s="1"/>
      <c r="Q2108" s="1"/>
      <c r="R2108" s="1"/>
      <c r="S2108" s="1"/>
      <c r="T2108" s="1"/>
      <c r="U2108" s="1"/>
      <c r="V2108" s="1"/>
      <c r="W2108" s="1"/>
      <c r="X2108" s="1"/>
      <c r="Y2108" s="1"/>
      <c r="Z2108" s="1"/>
      <c r="AA2108" s="1"/>
      <c r="AB2108" s="1"/>
      <c r="AC2108" s="1"/>
      <c r="AD2108" s="1"/>
      <c r="AE2108" s="1"/>
      <c r="AF2108" s="1"/>
      <c r="AG2108" s="1"/>
      <c r="AH2108" s="1"/>
    </row>
    <row r="2109" ht="12.75" hidden="1" customHeight="1" outlineLevel="1">
      <c r="A2109" s="17">
        <v>41354.0</v>
      </c>
      <c r="B2109" s="1"/>
      <c r="C2109" s="1" t="s">
        <v>429</v>
      </c>
      <c r="D2109" s="74"/>
      <c r="E2109" s="67"/>
      <c r="F2109" s="75"/>
      <c r="G2109" s="67"/>
      <c r="H2109" s="68"/>
      <c r="I2109" s="76"/>
      <c r="J2109" s="67"/>
      <c r="K2109" s="7" t="s">
        <v>922</v>
      </c>
      <c r="L2109" s="77"/>
      <c r="M2109" s="79"/>
      <c r="N2109" s="1"/>
      <c r="O2109" s="1"/>
      <c r="P2109" s="1"/>
      <c r="Q2109" s="1"/>
      <c r="R2109" s="1"/>
      <c r="S2109" s="1"/>
      <c r="T2109" s="1"/>
      <c r="U2109" s="1"/>
      <c r="V2109" s="1"/>
      <c r="W2109" s="1"/>
      <c r="X2109" s="1"/>
      <c r="Y2109" s="1"/>
      <c r="Z2109" s="1"/>
      <c r="AA2109" s="1"/>
      <c r="AB2109" s="1"/>
      <c r="AC2109" s="1"/>
      <c r="AD2109" s="1"/>
      <c r="AE2109" s="1"/>
      <c r="AF2109" s="1"/>
      <c r="AG2109" s="1"/>
      <c r="AH2109" s="1"/>
    </row>
    <row r="2110" ht="12.75" hidden="1" customHeight="1" outlineLevel="1">
      <c r="A2110" s="17">
        <v>41354.0</v>
      </c>
      <c r="B2110" s="1"/>
      <c r="C2110" s="1" t="s">
        <v>431</v>
      </c>
      <c r="D2110" s="74"/>
      <c r="E2110" s="67"/>
      <c r="F2110" s="75"/>
      <c r="G2110" s="67"/>
      <c r="H2110" s="68"/>
      <c r="I2110" s="76"/>
      <c r="J2110" s="67"/>
      <c r="K2110" s="7" t="s">
        <v>817</v>
      </c>
      <c r="L2110" s="77"/>
      <c r="M2110" s="79"/>
      <c r="N2110" s="1"/>
      <c r="O2110" s="1"/>
      <c r="P2110" s="1"/>
      <c r="Q2110" s="1"/>
      <c r="R2110" s="1"/>
      <c r="S2110" s="1"/>
      <c r="T2110" s="1"/>
      <c r="U2110" s="1"/>
      <c r="V2110" s="1"/>
      <c r="W2110" s="1"/>
      <c r="X2110" s="1"/>
      <c r="Y2110" s="1"/>
      <c r="Z2110" s="1"/>
      <c r="AA2110" s="1"/>
      <c r="AB2110" s="1"/>
      <c r="AC2110" s="1"/>
      <c r="AD2110" s="1"/>
      <c r="AE2110" s="1"/>
      <c r="AF2110" s="1"/>
      <c r="AG2110" s="1"/>
      <c r="AH2110" s="1"/>
    </row>
    <row r="2111" ht="12.75" hidden="1" customHeight="1" outlineLevel="1">
      <c r="A2111" s="17">
        <v>41354.0</v>
      </c>
      <c r="B2111" s="1"/>
      <c r="C2111" s="1" t="s">
        <v>433</v>
      </c>
      <c r="D2111" s="74"/>
      <c r="E2111" s="67"/>
      <c r="F2111" s="75"/>
      <c r="G2111" s="67"/>
      <c r="H2111" s="68"/>
      <c r="I2111" s="76"/>
      <c r="J2111" s="67"/>
      <c r="K2111" s="7" t="s">
        <v>434</v>
      </c>
      <c r="L2111" s="77"/>
      <c r="M2111" s="79"/>
      <c r="N2111" s="1"/>
      <c r="O2111" s="1"/>
      <c r="P2111" s="1"/>
      <c r="Q2111" s="1"/>
      <c r="R2111" s="1"/>
      <c r="S2111" s="1"/>
      <c r="T2111" s="1"/>
      <c r="U2111" s="1"/>
      <c r="V2111" s="1"/>
      <c r="W2111" s="1"/>
      <c r="X2111" s="1"/>
      <c r="Y2111" s="1"/>
      <c r="Z2111" s="1"/>
      <c r="AA2111" s="1"/>
      <c r="AB2111" s="1"/>
      <c r="AC2111" s="1"/>
      <c r="AD2111" s="1"/>
      <c r="AE2111" s="1"/>
      <c r="AF2111" s="1"/>
      <c r="AG2111" s="1"/>
      <c r="AH2111" s="1"/>
    </row>
    <row r="2112" ht="12.75" hidden="1" customHeight="1" outlineLevel="1">
      <c r="A2112" s="17">
        <v>41354.0</v>
      </c>
      <c r="B2112" s="1"/>
      <c r="C2112" s="1" t="s">
        <v>435</v>
      </c>
      <c r="D2112" s="74"/>
      <c r="E2112" s="67"/>
      <c r="F2112" s="75"/>
      <c r="G2112" s="67"/>
      <c r="H2112" s="68"/>
      <c r="I2112" s="76"/>
      <c r="J2112" s="67"/>
      <c r="K2112" s="7" t="s">
        <v>818</v>
      </c>
      <c r="L2112" s="77"/>
      <c r="M2112" s="79"/>
      <c r="N2112" s="1"/>
      <c r="O2112" s="1"/>
      <c r="P2112" s="1"/>
      <c r="Q2112" s="1"/>
      <c r="R2112" s="1"/>
      <c r="S2112" s="1"/>
      <c r="T2112" s="1"/>
      <c r="U2112" s="1"/>
      <c r="V2112" s="1"/>
      <c r="W2112" s="1"/>
      <c r="X2112" s="1"/>
      <c r="Y2112" s="1"/>
      <c r="Z2112" s="1"/>
      <c r="AA2112" s="1"/>
      <c r="AB2112" s="1"/>
      <c r="AC2112" s="1"/>
      <c r="AD2112" s="1"/>
      <c r="AE2112" s="1"/>
      <c r="AF2112" s="1"/>
      <c r="AG2112" s="1"/>
      <c r="AH2112" s="1"/>
    </row>
    <row r="2113" ht="12.75" hidden="1" customHeight="1" outlineLevel="1">
      <c r="A2113" s="17">
        <v>41355.0</v>
      </c>
      <c r="B2113" s="1"/>
      <c r="C2113" s="1" t="s">
        <v>339</v>
      </c>
      <c r="D2113" s="74"/>
      <c r="E2113" s="67"/>
      <c r="F2113" s="75"/>
      <c r="G2113" s="67"/>
      <c r="H2113" s="68"/>
      <c r="I2113" s="76"/>
      <c r="J2113" s="67"/>
      <c r="K2113" s="7" t="s">
        <v>930</v>
      </c>
      <c r="L2113" s="77"/>
      <c r="M2113" s="79"/>
      <c r="N2113" s="1"/>
      <c r="O2113" s="1"/>
      <c r="P2113" s="1"/>
      <c r="Q2113" s="1"/>
      <c r="R2113" s="1"/>
      <c r="S2113" s="1"/>
      <c r="T2113" s="1"/>
      <c r="U2113" s="1"/>
      <c r="V2113" s="1"/>
      <c r="W2113" s="1"/>
      <c r="X2113" s="1"/>
      <c r="Y2113" s="1"/>
      <c r="Z2113" s="1"/>
      <c r="AA2113" s="1"/>
      <c r="AB2113" s="1"/>
      <c r="AC2113" s="1"/>
      <c r="AD2113" s="1"/>
      <c r="AE2113" s="1"/>
      <c r="AF2113" s="1"/>
      <c r="AG2113" s="1"/>
      <c r="AH2113" s="1"/>
    </row>
    <row r="2114" ht="12.75" hidden="1" customHeight="1" outlineLevel="1">
      <c r="A2114" s="17">
        <v>41355.0</v>
      </c>
      <c r="B2114" s="1"/>
      <c r="C2114" s="1" t="s">
        <v>429</v>
      </c>
      <c r="D2114" s="74"/>
      <c r="E2114" s="67"/>
      <c r="F2114" s="75"/>
      <c r="G2114" s="67"/>
      <c r="H2114" s="68"/>
      <c r="I2114" s="76"/>
      <c r="J2114" s="67"/>
      <c r="K2114" s="7" t="s">
        <v>922</v>
      </c>
      <c r="L2114" s="77"/>
      <c r="M2114" s="79"/>
      <c r="N2114" s="1"/>
      <c r="O2114" s="1"/>
      <c r="P2114" s="1"/>
      <c r="Q2114" s="1"/>
      <c r="R2114" s="1"/>
      <c r="S2114" s="1"/>
      <c r="T2114" s="1"/>
      <c r="U2114" s="1"/>
      <c r="V2114" s="1"/>
      <c r="W2114" s="1"/>
      <c r="X2114" s="1"/>
      <c r="Y2114" s="1"/>
      <c r="Z2114" s="1"/>
      <c r="AA2114" s="1"/>
      <c r="AB2114" s="1"/>
      <c r="AC2114" s="1"/>
      <c r="AD2114" s="1"/>
      <c r="AE2114" s="1"/>
      <c r="AF2114" s="1"/>
      <c r="AG2114" s="1"/>
      <c r="AH2114" s="1"/>
    </row>
    <row r="2115" ht="12.75" hidden="1" customHeight="1" outlineLevel="1">
      <c r="A2115" s="17">
        <v>41355.0</v>
      </c>
      <c r="B2115" s="1"/>
      <c r="C2115" s="1" t="s">
        <v>431</v>
      </c>
      <c r="D2115" s="74"/>
      <c r="E2115" s="67"/>
      <c r="F2115" s="75"/>
      <c r="G2115" s="67"/>
      <c r="H2115" s="68"/>
      <c r="I2115" s="76"/>
      <c r="J2115" s="67"/>
      <c r="K2115" s="7" t="s">
        <v>817</v>
      </c>
      <c r="L2115" s="77"/>
      <c r="M2115" s="79"/>
      <c r="N2115" s="1"/>
      <c r="O2115" s="1"/>
      <c r="P2115" s="1"/>
      <c r="Q2115" s="1"/>
      <c r="R2115" s="1"/>
      <c r="S2115" s="1"/>
      <c r="T2115" s="1"/>
      <c r="U2115" s="1"/>
      <c r="V2115" s="1"/>
      <c r="W2115" s="1"/>
      <c r="X2115" s="1"/>
      <c r="Y2115" s="1"/>
      <c r="Z2115" s="1"/>
      <c r="AA2115" s="1"/>
      <c r="AB2115" s="1"/>
      <c r="AC2115" s="1"/>
      <c r="AD2115" s="1"/>
      <c r="AE2115" s="1"/>
      <c r="AF2115" s="1"/>
      <c r="AG2115" s="1"/>
      <c r="AH2115" s="1"/>
    </row>
    <row r="2116" ht="12.75" hidden="1" customHeight="1" outlineLevel="1">
      <c r="A2116" s="17">
        <v>41355.0</v>
      </c>
      <c r="B2116" s="1"/>
      <c r="C2116" s="1" t="s">
        <v>433</v>
      </c>
      <c r="D2116" s="74"/>
      <c r="E2116" s="67"/>
      <c r="F2116" s="75"/>
      <c r="G2116" s="67"/>
      <c r="H2116" s="68"/>
      <c r="I2116" s="76"/>
      <c r="J2116" s="67"/>
      <c r="K2116" s="7" t="s">
        <v>434</v>
      </c>
      <c r="L2116" s="77"/>
      <c r="M2116" s="79"/>
      <c r="N2116" s="1"/>
      <c r="O2116" s="1"/>
      <c r="P2116" s="1"/>
      <c r="Q2116" s="1"/>
      <c r="R2116" s="1"/>
      <c r="S2116" s="1"/>
      <c r="T2116" s="1"/>
      <c r="U2116" s="1"/>
      <c r="V2116" s="1"/>
      <c r="W2116" s="1"/>
      <c r="X2116" s="1"/>
      <c r="Y2116" s="1"/>
      <c r="Z2116" s="1"/>
      <c r="AA2116" s="1"/>
      <c r="AB2116" s="1"/>
      <c r="AC2116" s="1"/>
      <c r="AD2116" s="1"/>
      <c r="AE2116" s="1"/>
      <c r="AF2116" s="1"/>
      <c r="AG2116" s="1"/>
      <c r="AH2116" s="1"/>
    </row>
    <row r="2117" ht="12.75" hidden="1" customHeight="1" outlineLevel="1">
      <c r="A2117" s="17">
        <v>41355.0</v>
      </c>
      <c r="B2117" s="1"/>
      <c r="C2117" s="1" t="s">
        <v>435</v>
      </c>
      <c r="D2117" s="74"/>
      <c r="E2117" s="67"/>
      <c r="F2117" s="75"/>
      <c r="G2117" s="67"/>
      <c r="H2117" s="68"/>
      <c r="I2117" s="76"/>
      <c r="J2117" s="67"/>
      <c r="K2117" s="7" t="s">
        <v>818</v>
      </c>
      <c r="L2117" s="77"/>
      <c r="M2117" s="79"/>
      <c r="N2117" s="1"/>
      <c r="O2117" s="1"/>
      <c r="P2117" s="1"/>
      <c r="Q2117" s="1"/>
      <c r="R2117" s="1"/>
      <c r="S2117" s="1"/>
      <c r="T2117" s="1"/>
      <c r="U2117" s="1"/>
      <c r="V2117" s="1"/>
      <c r="W2117" s="1"/>
      <c r="X2117" s="1"/>
      <c r="Y2117" s="1"/>
      <c r="Z2117" s="1"/>
      <c r="AA2117" s="1"/>
      <c r="AB2117" s="1"/>
      <c r="AC2117" s="1"/>
      <c r="AD2117" s="1"/>
      <c r="AE2117" s="1"/>
      <c r="AF2117" s="1"/>
      <c r="AG2117" s="1"/>
      <c r="AH2117" s="1"/>
    </row>
    <row r="2118" ht="12.75" hidden="1" customHeight="1" outlineLevel="1">
      <c r="A2118" s="17">
        <v>41355.0</v>
      </c>
      <c r="B2118" s="1" t="s">
        <v>343</v>
      </c>
      <c r="C2118" s="1" t="s">
        <v>349</v>
      </c>
      <c r="D2118" s="74">
        <v>500.0</v>
      </c>
      <c r="E2118" s="67">
        <v>37.594</v>
      </c>
      <c r="F2118" s="75">
        <v>41355.39809027778</v>
      </c>
      <c r="G2118" s="67" t="s">
        <v>453</v>
      </c>
      <c r="H2118" s="68">
        <v>2.4</v>
      </c>
      <c r="I2118" s="76"/>
      <c r="J2118" s="67">
        <f t="shared" ref="J2118:J2120" si="150">IF(B2118="SLD",D2118*E2118,-D2118*E2118)-H2118</f>
        <v>-18799.4</v>
      </c>
      <c r="K2118" s="7"/>
      <c r="L2118" s="70"/>
      <c r="M2118" s="79"/>
      <c r="N2118" s="1"/>
      <c r="O2118" s="1"/>
      <c r="P2118" s="1"/>
      <c r="Q2118" s="1"/>
      <c r="R2118" s="1"/>
      <c r="S2118" s="1"/>
      <c r="T2118" s="1"/>
      <c r="U2118" s="1"/>
      <c r="V2118" s="1"/>
      <c r="W2118" s="1"/>
      <c r="X2118" s="1"/>
      <c r="Y2118" s="1"/>
      <c r="Z2118" s="1"/>
      <c r="AA2118" s="1"/>
      <c r="AB2118" s="1"/>
      <c r="AC2118" s="1"/>
      <c r="AD2118" s="1"/>
      <c r="AE2118" s="1"/>
      <c r="AF2118" s="1"/>
      <c r="AG2118" s="1"/>
      <c r="AH2118" s="1"/>
    </row>
    <row r="2119" ht="12.75" hidden="1" customHeight="1" outlineLevel="1">
      <c r="A2119" s="17">
        <v>41355.0</v>
      </c>
      <c r="B2119" s="1" t="s">
        <v>343</v>
      </c>
      <c r="C2119" s="1" t="s">
        <v>857</v>
      </c>
      <c r="D2119" s="74">
        <v>300.0</v>
      </c>
      <c r="E2119" s="67">
        <v>10.64</v>
      </c>
      <c r="F2119" s="75">
        <v>41355.400347222225</v>
      </c>
      <c r="G2119" s="67" t="s">
        <v>453</v>
      </c>
      <c r="H2119" s="68">
        <v>1.5</v>
      </c>
      <c r="I2119" s="76"/>
      <c r="J2119" s="67">
        <f t="shared" si="150"/>
        <v>-3193.5</v>
      </c>
      <c r="K2119" s="7"/>
      <c r="L2119" s="70"/>
      <c r="M2119" s="79"/>
      <c r="N2119" s="1"/>
      <c r="O2119" s="1"/>
      <c r="P2119" s="1"/>
      <c r="Q2119" s="1"/>
      <c r="R2119" s="1"/>
      <c r="S2119" s="1"/>
      <c r="T2119" s="1"/>
      <c r="U2119" s="1"/>
      <c r="V2119" s="1"/>
      <c r="W2119" s="1"/>
      <c r="X2119" s="1"/>
      <c r="Y2119" s="1"/>
      <c r="Z2119" s="1"/>
      <c r="AA2119" s="1"/>
      <c r="AB2119" s="1"/>
      <c r="AC2119" s="1"/>
      <c r="AD2119" s="1"/>
      <c r="AE2119" s="1"/>
      <c r="AF2119" s="1"/>
      <c r="AG2119" s="1"/>
      <c r="AH2119" s="1"/>
    </row>
    <row r="2120" ht="12.75" hidden="1" customHeight="1" outlineLevel="1">
      <c r="A2120" s="17">
        <v>41355.0</v>
      </c>
      <c r="B2120" s="1" t="s">
        <v>343</v>
      </c>
      <c r="C2120" s="1" t="s">
        <v>851</v>
      </c>
      <c r="D2120" s="74">
        <v>200.0</v>
      </c>
      <c r="E2120" s="67">
        <v>19.2</v>
      </c>
      <c r="F2120" s="75">
        <v>41355.42517361111</v>
      </c>
      <c r="G2120" s="67" t="s">
        <v>453</v>
      </c>
      <c r="H2120" s="68">
        <v>1.0</v>
      </c>
      <c r="I2120" s="76"/>
      <c r="J2120" s="67">
        <f t="shared" si="150"/>
        <v>-3841</v>
      </c>
      <c r="K2120" s="7"/>
      <c r="L2120" s="70"/>
      <c r="M2120" s="79"/>
      <c r="N2120" s="1"/>
      <c r="O2120" s="1"/>
      <c r="P2120" s="1"/>
      <c r="Q2120" s="1"/>
      <c r="R2120" s="1"/>
      <c r="S2120" s="1"/>
      <c r="T2120" s="1"/>
      <c r="U2120" s="1"/>
      <c r="V2120" s="1"/>
      <c r="W2120" s="1"/>
      <c r="X2120" s="1"/>
      <c r="Y2120" s="1"/>
      <c r="Z2120" s="1"/>
      <c r="AA2120" s="1"/>
      <c r="AB2120" s="1"/>
      <c r="AC2120" s="1"/>
      <c r="AD2120" s="1"/>
      <c r="AE2120" s="1"/>
      <c r="AF2120" s="1"/>
      <c r="AG2120" s="1"/>
      <c r="AH2120" s="1"/>
    </row>
    <row r="2121" ht="12.75" hidden="1" customHeight="1" outlineLevel="1">
      <c r="A2121" s="17">
        <v>41356.0</v>
      </c>
      <c r="B2121" s="1"/>
      <c r="C2121" s="1" t="s">
        <v>339</v>
      </c>
      <c r="D2121" s="74"/>
      <c r="E2121" s="67"/>
      <c r="F2121" s="75"/>
      <c r="G2121" s="67"/>
      <c r="H2121" s="68"/>
      <c r="I2121" s="76"/>
      <c r="J2121" s="67"/>
      <c r="K2121" s="7" t="s">
        <v>931</v>
      </c>
      <c r="L2121" s="77"/>
      <c r="M2121" s="79"/>
      <c r="N2121" s="1"/>
      <c r="O2121" s="1"/>
      <c r="P2121" s="1"/>
      <c r="Q2121" s="1"/>
      <c r="R2121" s="1"/>
      <c r="S2121" s="1"/>
      <c r="T2121" s="1"/>
      <c r="U2121" s="1"/>
      <c r="V2121" s="1"/>
      <c r="W2121" s="1"/>
      <c r="X2121" s="1"/>
      <c r="Y2121" s="1"/>
      <c r="Z2121" s="1"/>
      <c r="AA2121" s="1"/>
      <c r="AB2121" s="1"/>
      <c r="AC2121" s="1"/>
      <c r="AD2121" s="1"/>
      <c r="AE2121" s="1"/>
      <c r="AF2121" s="1"/>
      <c r="AG2121" s="1"/>
      <c r="AH2121" s="1"/>
    </row>
    <row r="2122" ht="12.75" hidden="1" customHeight="1" outlineLevel="1">
      <c r="A2122" s="17">
        <v>41356.0</v>
      </c>
      <c r="B2122" s="1"/>
      <c r="C2122" s="1" t="s">
        <v>429</v>
      </c>
      <c r="D2122" s="74"/>
      <c r="E2122" s="67"/>
      <c r="F2122" s="75"/>
      <c r="G2122" s="67"/>
      <c r="H2122" s="68"/>
      <c r="I2122" s="76"/>
      <c r="J2122" s="67"/>
      <c r="K2122" s="7" t="s">
        <v>922</v>
      </c>
      <c r="L2122" s="77"/>
      <c r="M2122" s="79"/>
      <c r="N2122" s="1"/>
      <c r="O2122" s="1"/>
      <c r="P2122" s="1"/>
      <c r="Q2122" s="1"/>
      <c r="R2122" s="1"/>
      <c r="S2122" s="1"/>
      <c r="T2122" s="1"/>
      <c r="U2122" s="1"/>
      <c r="V2122" s="1"/>
      <c r="W2122" s="1"/>
      <c r="X2122" s="1"/>
      <c r="Y2122" s="1"/>
      <c r="Z2122" s="1"/>
      <c r="AA2122" s="1"/>
      <c r="AB2122" s="1"/>
      <c r="AC2122" s="1"/>
      <c r="AD2122" s="1"/>
      <c r="AE2122" s="1"/>
      <c r="AF2122" s="1"/>
      <c r="AG2122" s="1"/>
      <c r="AH2122" s="1"/>
    </row>
    <row r="2123" ht="12.75" hidden="1" customHeight="1" outlineLevel="1">
      <c r="A2123" s="17">
        <v>41356.0</v>
      </c>
      <c r="B2123" s="1"/>
      <c r="C2123" s="1" t="s">
        <v>431</v>
      </c>
      <c r="D2123" s="74"/>
      <c r="E2123" s="67"/>
      <c r="F2123" s="75"/>
      <c r="G2123" s="67"/>
      <c r="H2123" s="68"/>
      <c r="I2123" s="76"/>
      <c r="J2123" s="67"/>
      <c r="K2123" s="7" t="s">
        <v>817</v>
      </c>
      <c r="L2123" s="77"/>
      <c r="M2123" s="79"/>
      <c r="N2123" s="1"/>
      <c r="O2123" s="1"/>
      <c r="P2123" s="1"/>
      <c r="Q2123" s="1"/>
      <c r="R2123" s="1"/>
      <c r="S2123" s="1"/>
      <c r="T2123" s="1"/>
      <c r="U2123" s="1"/>
      <c r="V2123" s="1"/>
      <c r="W2123" s="1"/>
      <c r="X2123" s="1"/>
      <c r="Y2123" s="1"/>
      <c r="Z2123" s="1"/>
      <c r="AA2123" s="1"/>
      <c r="AB2123" s="1"/>
      <c r="AC2123" s="1"/>
      <c r="AD2123" s="1"/>
      <c r="AE2123" s="1"/>
      <c r="AF2123" s="1"/>
      <c r="AG2123" s="1"/>
      <c r="AH2123" s="1"/>
    </row>
    <row r="2124" ht="12.75" hidden="1" customHeight="1" outlineLevel="1">
      <c r="A2124" s="17">
        <v>41356.0</v>
      </c>
      <c r="B2124" s="1"/>
      <c r="C2124" s="1" t="s">
        <v>433</v>
      </c>
      <c r="D2124" s="74"/>
      <c r="E2124" s="67"/>
      <c r="F2124" s="75"/>
      <c r="G2124" s="67"/>
      <c r="H2124" s="68"/>
      <c r="I2124" s="76"/>
      <c r="J2124" s="67"/>
      <c r="K2124" s="7" t="s">
        <v>434</v>
      </c>
      <c r="L2124" s="77"/>
      <c r="M2124" s="79"/>
      <c r="N2124" s="1"/>
      <c r="O2124" s="1"/>
      <c r="P2124" s="1"/>
      <c r="Q2124" s="1"/>
      <c r="R2124" s="1"/>
      <c r="S2124" s="1"/>
      <c r="T2124" s="1"/>
      <c r="U2124" s="1"/>
      <c r="V2124" s="1"/>
      <c r="W2124" s="1"/>
      <c r="X2124" s="1"/>
      <c r="Y2124" s="1"/>
      <c r="Z2124" s="1"/>
      <c r="AA2124" s="1"/>
      <c r="AB2124" s="1"/>
      <c r="AC2124" s="1"/>
      <c r="AD2124" s="1"/>
      <c r="AE2124" s="1"/>
      <c r="AF2124" s="1"/>
      <c r="AG2124" s="1"/>
      <c r="AH2124" s="1"/>
    </row>
    <row r="2125" ht="12.75" hidden="1" customHeight="1" outlineLevel="1">
      <c r="A2125" s="17">
        <v>41356.0</v>
      </c>
      <c r="B2125" s="1"/>
      <c r="C2125" s="1" t="s">
        <v>435</v>
      </c>
      <c r="D2125" s="74"/>
      <c r="E2125" s="67"/>
      <c r="F2125" s="75"/>
      <c r="G2125" s="67"/>
      <c r="H2125" s="68"/>
      <c r="I2125" s="76"/>
      <c r="J2125" s="67"/>
      <c r="K2125" s="7" t="s">
        <v>818</v>
      </c>
      <c r="L2125" s="77"/>
      <c r="M2125" s="79"/>
      <c r="N2125" s="1"/>
      <c r="O2125" s="1"/>
      <c r="P2125" s="1"/>
      <c r="Q2125" s="1"/>
      <c r="R2125" s="1"/>
      <c r="S2125" s="1"/>
      <c r="T2125" s="1"/>
      <c r="U2125" s="1"/>
      <c r="V2125" s="1"/>
      <c r="W2125" s="1"/>
      <c r="X2125" s="1"/>
      <c r="Y2125" s="1"/>
      <c r="Z2125" s="1"/>
      <c r="AA2125" s="1"/>
      <c r="AB2125" s="1"/>
      <c r="AC2125" s="1"/>
      <c r="AD2125" s="1"/>
      <c r="AE2125" s="1"/>
      <c r="AF2125" s="1"/>
      <c r="AG2125" s="1"/>
      <c r="AH2125" s="1"/>
    </row>
    <row r="2126" ht="12.75" hidden="1" customHeight="1" outlineLevel="1">
      <c r="A2126" s="17">
        <v>41358.0</v>
      </c>
      <c r="B2126" s="1" t="s">
        <v>347</v>
      </c>
      <c r="C2126" s="1" t="s">
        <v>857</v>
      </c>
      <c r="D2126" s="74">
        <v>1200.0</v>
      </c>
      <c r="E2126" s="67">
        <v>10.366</v>
      </c>
      <c r="F2126" s="75">
        <v>0.4678009259259259</v>
      </c>
      <c r="G2126" s="67" t="s">
        <v>453</v>
      </c>
      <c r="H2126" s="68">
        <v>5.3</v>
      </c>
      <c r="I2126" s="76"/>
      <c r="J2126" s="67">
        <f t="shared" ref="J2126:J2130" si="151">IF(B2126="SLD",D2126*E2126,-D2126*E2126)-H2126</f>
        <v>12433.9</v>
      </c>
      <c r="K2126" s="7"/>
      <c r="L2126" s="70"/>
      <c r="M2126" s="79"/>
      <c r="N2126" s="1"/>
      <c r="O2126" s="1"/>
      <c r="P2126" s="1"/>
      <c r="Q2126" s="1"/>
      <c r="R2126" s="1"/>
      <c r="S2126" s="1"/>
      <c r="T2126" s="1"/>
      <c r="U2126" s="1"/>
      <c r="V2126" s="1"/>
      <c r="W2126" s="1"/>
      <c r="X2126" s="1"/>
      <c r="Y2126" s="1"/>
      <c r="Z2126" s="1"/>
      <c r="AA2126" s="1"/>
      <c r="AB2126" s="1"/>
      <c r="AC2126" s="1"/>
      <c r="AD2126" s="1"/>
      <c r="AE2126" s="1"/>
      <c r="AF2126" s="1"/>
      <c r="AG2126" s="1"/>
      <c r="AH2126" s="1"/>
    </row>
    <row r="2127" ht="12.75" hidden="1" customHeight="1" outlineLevel="1">
      <c r="A2127" s="17">
        <v>41358.0</v>
      </c>
      <c r="B2127" s="1" t="s">
        <v>347</v>
      </c>
      <c r="C2127" s="1" t="s">
        <v>734</v>
      </c>
      <c r="D2127" s="74">
        <v>300.0</v>
      </c>
      <c r="E2127" s="67">
        <v>22.63</v>
      </c>
      <c r="F2127" s="75">
        <v>0.4689236111111111</v>
      </c>
      <c r="G2127" s="67" t="s">
        <v>453</v>
      </c>
      <c r="H2127" s="68">
        <v>1.2</v>
      </c>
      <c r="I2127" s="76"/>
      <c r="J2127" s="67">
        <f t="shared" si="151"/>
        <v>6787.8</v>
      </c>
      <c r="K2127" s="7"/>
      <c r="L2127" s="70"/>
      <c r="M2127" s="79"/>
      <c r="N2127" s="1"/>
      <c r="O2127" s="1"/>
      <c r="P2127" s="1"/>
      <c r="Q2127" s="1"/>
      <c r="R2127" s="1"/>
      <c r="S2127" s="1"/>
      <c r="T2127" s="1"/>
      <c r="U2127" s="1"/>
      <c r="V2127" s="1"/>
      <c r="W2127" s="1"/>
      <c r="X2127" s="1"/>
      <c r="Y2127" s="1"/>
      <c r="Z2127" s="1"/>
      <c r="AA2127" s="1"/>
      <c r="AB2127" s="1"/>
      <c r="AC2127" s="1"/>
      <c r="AD2127" s="1"/>
      <c r="AE2127" s="1"/>
      <c r="AF2127" s="1"/>
      <c r="AG2127" s="1"/>
      <c r="AH2127" s="1"/>
    </row>
    <row r="2128" ht="12.75" hidden="1" customHeight="1" outlineLevel="1">
      <c r="A2128" s="17">
        <v>41358.0</v>
      </c>
      <c r="B2128" s="1" t="s">
        <v>347</v>
      </c>
      <c r="C2128" s="1" t="s">
        <v>881</v>
      </c>
      <c r="D2128" s="74">
        <v>300.0</v>
      </c>
      <c r="E2128" s="67">
        <v>34.44</v>
      </c>
      <c r="F2128" s="75">
        <v>0.4717476851851852</v>
      </c>
      <c r="G2128" s="67" t="s">
        <v>453</v>
      </c>
      <c r="H2128" s="68">
        <v>1.2</v>
      </c>
      <c r="I2128" s="76"/>
      <c r="J2128" s="67">
        <f t="shared" si="151"/>
        <v>10330.8</v>
      </c>
      <c r="K2128" s="7"/>
      <c r="L2128" s="70"/>
      <c r="M2128" s="79"/>
      <c r="N2128" s="1"/>
      <c r="O2128" s="1"/>
      <c r="P2128" s="1"/>
      <c r="Q2128" s="1"/>
      <c r="R2128" s="1"/>
      <c r="S2128" s="1"/>
      <c r="T2128" s="1"/>
      <c r="U2128" s="1"/>
      <c r="V2128" s="1"/>
      <c r="W2128" s="1"/>
      <c r="X2128" s="1"/>
      <c r="Y2128" s="1"/>
      <c r="Z2128" s="1"/>
      <c r="AA2128" s="1"/>
      <c r="AB2128" s="1"/>
      <c r="AC2128" s="1"/>
      <c r="AD2128" s="1"/>
      <c r="AE2128" s="1"/>
      <c r="AF2128" s="1"/>
      <c r="AG2128" s="1"/>
      <c r="AH2128" s="1"/>
    </row>
    <row r="2129" ht="12.75" hidden="1" customHeight="1" outlineLevel="1">
      <c r="A2129" s="17">
        <v>41358.0</v>
      </c>
      <c r="B2129" s="1" t="s">
        <v>347</v>
      </c>
      <c r="C2129" s="1" t="s">
        <v>349</v>
      </c>
      <c r="D2129" s="74">
        <v>500.0</v>
      </c>
      <c r="E2129" s="67">
        <v>38.04</v>
      </c>
      <c r="F2129" s="75">
        <v>0.47543981481481484</v>
      </c>
      <c r="G2129" s="67" t="s">
        <v>453</v>
      </c>
      <c r="H2129" s="68">
        <v>2.5</v>
      </c>
      <c r="I2129" s="76"/>
      <c r="J2129" s="67">
        <f t="shared" si="151"/>
        <v>19017.5</v>
      </c>
      <c r="K2129" s="7"/>
      <c r="L2129" s="70"/>
      <c r="M2129" s="79"/>
      <c r="N2129" s="1"/>
      <c r="O2129" s="1"/>
      <c r="P2129" s="1"/>
      <c r="Q2129" s="1"/>
      <c r="R2129" s="1"/>
      <c r="S2129" s="1"/>
      <c r="T2129" s="1"/>
      <c r="U2129" s="1"/>
      <c r="V2129" s="1"/>
      <c r="W2129" s="1"/>
      <c r="X2129" s="1"/>
      <c r="Y2129" s="1"/>
      <c r="Z2129" s="1"/>
      <c r="AA2129" s="1"/>
      <c r="AB2129" s="1"/>
      <c r="AC2129" s="1"/>
      <c r="AD2129" s="1"/>
      <c r="AE2129" s="1"/>
      <c r="AF2129" s="1"/>
      <c r="AG2129" s="1"/>
      <c r="AH2129" s="1"/>
    </row>
    <row r="2130" ht="12.75" hidden="1" customHeight="1" outlineLevel="1">
      <c r="A2130" s="17">
        <v>41358.0</v>
      </c>
      <c r="B2130" s="1" t="s">
        <v>347</v>
      </c>
      <c r="C2130" s="1" t="s">
        <v>857</v>
      </c>
      <c r="D2130" s="74">
        <v>1000.0</v>
      </c>
      <c r="E2130" s="67">
        <v>10.34</v>
      </c>
      <c r="F2130" s="75">
        <v>0.6622569444444445</v>
      </c>
      <c r="G2130" s="67" t="s">
        <v>453</v>
      </c>
      <c r="H2130" s="68">
        <v>4.0</v>
      </c>
      <c r="I2130" s="76"/>
      <c r="J2130" s="67">
        <f t="shared" si="151"/>
        <v>10336</v>
      </c>
      <c r="K2130" s="7"/>
      <c r="L2130" s="70"/>
      <c r="M2130" s="79"/>
      <c r="N2130" s="1"/>
      <c r="O2130" s="1"/>
      <c r="P2130" s="1"/>
      <c r="Q2130" s="1"/>
      <c r="R2130" s="1"/>
      <c r="S2130" s="1"/>
      <c r="T2130" s="1"/>
      <c r="U2130" s="1"/>
      <c r="V2130" s="1"/>
      <c r="W2130" s="1"/>
      <c r="X2130" s="1"/>
      <c r="Y2130" s="1"/>
      <c r="Z2130" s="1"/>
      <c r="AA2130" s="1"/>
      <c r="AB2130" s="1"/>
      <c r="AC2130" s="1"/>
      <c r="AD2130" s="1"/>
      <c r="AE2130" s="1"/>
      <c r="AF2130" s="1"/>
      <c r="AG2130" s="1"/>
      <c r="AH2130" s="1"/>
    </row>
    <row r="2131" ht="12.75" hidden="1" customHeight="1" outlineLevel="1">
      <c r="A2131" s="17">
        <v>41358.0</v>
      </c>
      <c r="B2131" s="1"/>
      <c r="C2131" s="1" t="s">
        <v>339</v>
      </c>
      <c r="D2131" s="74"/>
      <c r="E2131" s="67"/>
      <c r="F2131" s="75"/>
      <c r="G2131" s="67"/>
      <c r="H2131" s="68"/>
      <c r="I2131" s="76"/>
      <c r="J2131" s="67"/>
      <c r="K2131" s="7" t="s">
        <v>932</v>
      </c>
      <c r="L2131" s="77"/>
      <c r="M2131" s="79"/>
      <c r="N2131" s="1"/>
      <c r="O2131" s="1"/>
      <c r="P2131" s="1"/>
      <c r="Q2131" s="1"/>
      <c r="R2131" s="1"/>
      <c r="S2131" s="1"/>
      <c r="T2131" s="1"/>
      <c r="U2131" s="1"/>
      <c r="V2131" s="1"/>
      <c r="W2131" s="1"/>
      <c r="X2131" s="1"/>
      <c r="Y2131" s="1"/>
      <c r="Z2131" s="1"/>
      <c r="AA2131" s="1"/>
      <c r="AB2131" s="1"/>
      <c r="AC2131" s="1"/>
      <c r="AD2131" s="1"/>
      <c r="AE2131" s="1"/>
      <c r="AF2131" s="1"/>
      <c r="AG2131" s="1"/>
      <c r="AH2131" s="1"/>
    </row>
    <row r="2132" ht="12.75" hidden="1" customHeight="1" outlineLevel="1">
      <c r="A2132" s="17">
        <v>41358.0</v>
      </c>
      <c r="B2132" s="1"/>
      <c r="C2132" s="1" t="s">
        <v>429</v>
      </c>
      <c r="D2132" s="74"/>
      <c r="E2132" s="67"/>
      <c r="F2132" s="75"/>
      <c r="G2132" s="67"/>
      <c r="H2132" s="68"/>
      <c r="I2132" s="76"/>
      <c r="J2132" s="67"/>
      <c r="K2132" s="7" t="s">
        <v>922</v>
      </c>
      <c r="L2132" s="77"/>
      <c r="M2132" s="79"/>
      <c r="N2132" s="1"/>
      <c r="O2132" s="1"/>
      <c r="P2132" s="1"/>
      <c r="Q2132" s="1"/>
      <c r="R2132" s="1"/>
      <c r="S2132" s="1"/>
      <c r="T2132" s="1"/>
      <c r="U2132" s="1"/>
      <c r="V2132" s="1"/>
      <c r="W2132" s="1"/>
      <c r="X2132" s="1"/>
      <c r="Y2132" s="1"/>
      <c r="Z2132" s="1"/>
      <c r="AA2132" s="1"/>
      <c r="AB2132" s="1"/>
      <c r="AC2132" s="1"/>
      <c r="AD2132" s="1"/>
      <c r="AE2132" s="1"/>
      <c r="AF2132" s="1"/>
      <c r="AG2132" s="1"/>
      <c r="AH2132" s="1"/>
    </row>
    <row r="2133" ht="12.75" hidden="1" customHeight="1" outlineLevel="1">
      <c r="A2133" s="17">
        <v>41358.0</v>
      </c>
      <c r="B2133" s="1"/>
      <c r="C2133" s="1" t="s">
        <v>431</v>
      </c>
      <c r="D2133" s="74"/>
      <c r="E2133" s="67"/>
      <c r="F2133" s="75"/>
      <c r="G2133" s="67"/>
      <c r="H2133" s="68"/>
      <c r="I2133" s="76"/>
      <c r="J2133" s="67"/>
      <c r="K2133" s="7" t="s">
        <v>817</v>
      </c>
      <c r="L2133" s="77"/>
      <c r="M2133" s="79"/>
      <c r="N2133" s="1"/>
      <c r="O2133" s="1"/>
      <c r="P2133" s="1"/>
      <c r="Q2133" s="1"/>
      <c r="R2133" s="1"/>
      <c r="S2133" s="1"/>
      <c r="T2133" s="1"/>
      <c r="U2133" s="1"/>
      <c r="V2133" s="1"/>
      <c r="W2133" s="1"/>
      <c r="X2133" s="1"/>
      <c r="Y2133" s="1"/>
      <c r="Z2133" s="1"/>
      <c r="AA2133" s="1"/>
      <c r="AB2133" s="1"/>
      <c r="AC2133" s="1"/>
      <c r="AD2133" s="1"/>
      <c r="AE2133" s="1"/>
      <c r="AF2133" s="1"/>
      <c r="AG2133" s="1"/>
      <c r="AH2133" s="1"/>
    </row>
    <row r="2134" ht="12.75" hidden="1" customHeight="1" outlineLevel="1">
      <c r="A2134" s="17">
        <v>41358.0</v>
      </c>
      <c r="B2134" s="1"/>
      <c r="C2134" s="1" t="s">
        <v>433</v>
      </c>
      <c r="D2134" s="74"/>
      <c r="E2134" s="67"/>
      <c r="F2134" s="75"/>
      <c r="G2134" s="67"/>
      <c r="H2134" s="68"/>
      <c r="I2134" s="76"/>
      <c r="J2134" s="67"/>
      <c r="K2134" s="7" t="s">
        <v>434</v>
      </c>
      <c r="L2134" s="77"/>
      <c r="M2134" s="79"/>
      <c r="N2134" s="1"/>
      <c r="O2134" s="1"/>
      <c r="P2134" s="1"/>
      <c r="Q2134" s="1"/>
      <c r="R2134" s="1"/>
      <c r="S2134" s="1"/>
      <c r="T2134" s="1"/>
      <c r="U2134" s="1"/>
      <c r="V2134" s="1"/>
      <c r="W2134" s="1"/>
      <c r="X2134" s="1"/>
      <c r="Y2134" s="1"/>
      <c r="Z2134" s="1"/>
      <c r="AA2134" s="1"/>
      <c r="AB2134" s="1"/>
      <c r="AC2134" s="1"/>
      <c r="AD2134" s="1"/>
      <c r="AE2134" s="1"/>
      <c r="AF2134" s="1"/>
      <c r="AG2134" s="1"/>
      <c r="AH2134" s="1"/>
    </row>
    <row r="2135" ht="12.75" hidden="1" customHeight="1" outlineLevel="1">
      <c r="A2135" s="17">
        <v>41358.0</v>
      </c>
      <c r="B2135" s="1"/>
      <c r="C2135" s="1" t="s">
        <v>435</v>
      </c>
      <c r="D2135" s="74"/>
      <c r="E2135" s="67"/>
      <c r="F2135" s="75"/>
      <c r="G2135" s="67"/>
      <c r="H2135" s="68"/>
      <c r="I2135" s="76"/>
      <c r="J2135" s="67"/>
      <c r="K2135" s="7" t="s">
        <v>818</v>
      </c>
      <c r="L2135" s="77"/>
      <c r="M2135" s="79"/>
      <c r="N2135" s="1"/>
      <c r="O2135" s="1"/>
      <c r="P2135" s="1"/>
      <c r="Q2135" s="1"/>
      <c r="R2135" s="1"/>
      <c r="S2135" s="1"/>
      <c r="T2135" s="1"/>
      <c r="U2135" s="1"/>
      <c r="V2135" s="1"/>
      <c r="W2135" s="1"/>
      <c r="X2135" s="1"/>
      <c r="Y2135" s="1"/>
      <c r="Z2135" s="1"/>
      <c r="AA2135" s="1"/>
      <c r="AB2135" s="1"/>
      <c r="AC2135" s="1"/>
      <c r="AD2135" s="1"/>
      <c r="AE2135" s="1"/>
      <c r="AF2135" s="1"/>
      <c r="AG2135" s="1"/>
      <c r="AH2135" s="1"/>
    </row>
    <row r="2136" ht="12.75" hidden="1" customHeight="1" outlineLevel="1">
      <c r="A2136" s="17">
        <v>41359.0</v>
      </c>
      <c r="B2136" s="1" t="s">
        <v>343</v>
      </c>
      <c r="C2136" s="1" t="s">
        <v>734</v>
      </c>
      <c r="D2136" s="74">
        <v>300.0</v>
      </c>
      <c r="E2136" s="67">
        <v>23.26</v>
      </c>
      <c r="F2136" s="75">
        <v>0.4537962962962963</v>
      </c>
      <c r="G2136" s="67" t="s">
        <v>453</v>
      </c>
      <c r="H2136" s="68">
        <v>1.4</v>
      </c>
      <c r="I2136" s="76"/>
      <c r="J2136" s="67">
        <f t="shared" ref="J2136:J2143" si="152">IF(B2136="SLD",D2136*E2136,-D2136*E2136)-H2136</f>
        <v>-6979.4</v>
      </c>
      <c r="K2136" s="7"/>
      <c r="L2136" s="70"/>
      <c r="M2136" s="79"/>
      <c r="N2136" s="1"/>
      <c r="O2136" s="1"/>
      <c r="P2136" s="1"/>
      <c r="Q2136" s="1"/>
      <c r="R2136" s="1"/>
      <c r="S2136" s="1"/>
      <c r="T2136" s="1"/>
      <c r="U2136" s="1"/>
      <c r="V2136" s="1"/>
      <c r="W2136" s="1"/>
      <c r="X2136" s="1"/>
      <c r="Y2136" s="1"/>
      <c r="Z2136" s="1"/>
      <c r="AA2136" s="1"/>
      <c r="AB2136" s="1"/>
      <c r="AC2136" s="1"/>
      <c r="AD2136" s="1"/>
      <c r="AE2136" s="1"/>
      <c r="AF2136" s="1"/>
      <c r="AG2136" s="1"/>
      <c r="AH2136" s="1"/>
    </row>
    <row r="2137" ht="12.75" hidden="1" customHeight="1" outlineLevel="1">
      <c r="A2137" s="17">
        <v>41359.0</v>
      </c>
      <c r="B2137" s="1" t="s">
        <v>343</v>
      </c>
      <c r="C2137" s="1" t="s">
        <v>857</v>
      </c>
      <c r="D2137" s="74">
        <v>2000.0</v>
      </c>
      <c r="E2137" s="67">
        <v>10.75</v>
      </c>
      <c r="F2137" s="75">
        <v>0.45466435185185183</v>
      </c>
      <c r="G2137" s="67" t="s">
        <v>453</v>
      </c>
      <c r="H2137" s="68">
        <v>8.0</v>
      </c>
      <c r="I2137" s="76"/>
      <c r="J2137" s="67">
        <f t="shared" si="152"/>
        <v>-21508</v>
      </c>
      <c r="K2137" s="7"/>
      <c r="L2137" s="70"/>
      <c r="M2137" s="79"/>
      <c r="N2137" s="1"/>
      <c r="O2137" s="1"/>
      <c r="P2137" s="1"/>
      <c r="Q2137" s="1"/>
      <c r="R2137" s="1"/>
      <c r="S2137" s="1"/>
      <c r="T2137" s="1"/>
      <c r="U2137" s="1"/>
      <c r="V2137" s="1"/>
      <c r="W2137" s="1"/>
      <c r="X2137" s="1"/>
      <c r="Y2137" s="1"/>
      <c r="Z2137" s="1"/>
      <c r="AA2137" s="1"/>
      <c r="AB2137" s="1"/>
      <c r="AC2137" s="1"/>
      <c r="AD2137" s="1"/>
      <c r="AE2137" s="1"/>
      <c r="AF2137" s="1"/>
      <c r="AG2137" s="1"/>
      <c r="AH2137" s="1"/>
    </row>
    <row r="2138" ht="12.75" hidden="1" customHeight="1" outlineLevel="1">
      <c r="A2138" s="17">
        <v>41359.0</v>
      </c>
      <c r="B2138" s="1" t="s">
        <v>343</v>
      </c>
      <c r="C2138" s="1" t="s">
        <v>881</v>
      </c>
      <c r="D2138" s="74">
        <v>300.0</v>
      </c>
      <c r="E2138" s="67">
        <v>34.53</v>
      </c>
      <c r="F2138" s="75">
        <v>0.45510416666666664</v>
      </c>
      <c r="G2138" s="67" t="s">
        <v>453</v>
      </c>
      <c r="H2138" s="68">
        <v>1.3</v>
      </c>
      <c r="I2138" s="76"/>
      <c r="J2138" s="67">
        <f t="shared" si="152"/>
        <v>-10360.3</v>
      </c>
      <c r="K2138" s="7"/>
      <c r="L2138" s="70"/>
      <c r="M2138" s="79"/>
      <c r="N2138" s="1"/>
      <c r="O2138" s="1"/>
      <c r="P2138" s="1"/>
      <c r="Q2138" s="1"/>
      <c r="R2138" s="1"/>
      <c r="S2138" s="1"/>
      <c r="T2138" s="1"/>
      <c r="U2138" s="1"/>
      <c r="V2138" s="1"/>
      <c r="W2138" s="1"/>
      <c r="X2138" s="1"/>
      <c r="Y2138" s="1"/>
      <c r="Z2138" s="1"/>
      <c r="AA2138" s="1"/>
      <c r="AB2138" s="1"/>
      <c r="AC2138" s="1"/>
      <c r="AD2138" s="1"/>
      <c r="AE2138" s="1"/>
      <c r="AF2138" s="1"/>
      <c r="AG2138" s="1"/>
      <c r="AH2138" s="1"/>
    </row>
    <row r="2139" ht="12.75" hidden="1" customHeight="1" outlineLevel="1">
      <c r="A2139" s="17">
        <v>41359.0</v>
      </c>
      <c r="B2139" s="1" t="s">
        <v>343</v>
      </c>
      <c r="C2139" s="1" t="s">
        <v>851</v>
      </c>
      <c r="D2139" s="74">
        <v>300.0</v>
      </c>
      <c r="E2139" s="67">
        <v>19.58</v>
      </c>
      <c r="F2139" s="75">
        <v>0.4554861111111111</v>
      </c>
      <c r="G2139" s="67" t="s">
        <v>453</v>
      </c>
      <c r="H2139" s="68">
        <v>1.2</v>
      </c>
      <c r="I2139" s="76"/>
      <c r="J2139" s="67">
        <f t="shared" si="152"/>
        <v>-5875.2</v>
      </c>
      <c r="K2139" s="7"/>
      <c r="L2139" s="70"/>
      <c r="M2139" s="79"/>
      <c r="N2139" s="1"/>
      <c r="O2139" s="1"/>
      <c r="P2139" s="1"/>
      <c r="Q2139" s="1"/>
      <c r="R2139" s="1"/>
      <c r="S2139" s="1"/>
      <c r="T2139" s="1"/>
      <c r="U2139" s="1"/>
      <c r="V2139" s="1"/>
      <c r="W2139" s="1"/>
      <c r="X2139" s="1"/>
      <c r="Y2139" s="1"/>
      <c r="Z2139" s="1"/>
      <c r="AA2139" s="1"/>
      <c r="AB2139" s="1"/>
      <c r="AC2139" s="1"/>
      <c r="AD2139" s="1"/>
      <c r="AE2139" s="1"/>
      <c r="AF2139" s="1"/>
      <c r="AG2139" s="1"/>
      <c r="AH2139" s="1"/>
    </row>
    <row r="2140" ht="12.75" hidden="1" customHeight="1" outlineLevel="1">
      <c r="A2140" s="17">
        <v>41359.0</v>
      </c>
      <c r="B2140" s="1" t="s">
        <v>343</v>
      </c>
      <c r="C2140" s="1" t="s">
        <v>851</v>
      </c>
      <c r="D2140" s="74">
        <v>200.0</v>
      </c>
      <c r="E2140" s="67">
        <v>19.57</v>
      </c>
      <c r="F2140" s="75">
        <v>0.45730324074074075</v>
      </c>
      <c r="G2140" s="67" t="s">
        <v>453</v>
      </c>
      <c r="H2140" s="68">
        <v>1.0</v>
      </c>
      <c r="I2140" s="76"/>
      <c r="J2140" s="67">
        <f t="shared" si="152"/>
        <v>-3915</v>
      </c>
      <c r="K2140" s="7"/>
      <c r="L2140" s="70"/>
      <c r="M2140" s="79"/>
      <c r="N2140" s="1"/>
      <c r="O2140" s="1"/>
      <c r="P2140" s="1"/>
      <c r="Q2140" s="1"/>
      <c r="R2140" s="1"/>
      <c r="S2140" s="1"/>
      <c r="T2140" s="1"/>
      <c r="U2140" s="1"/>
      <c r="V2140" s="1"/>
      <c r="W2140" s="1"/>
      <c r="X2140" s="1"/>
      <c r="Y2140" s="1"/>
      <c r="Z2140" s="1"/>
      <c r="AA2140" s="1"/>
      <c r="AB2140" s="1"/>
      <c r="AC2140" s="1"/>
      <c r="AD2140" s="1"/>
      <c r="AE2140" s="1"/>
      <c r="AF2140" s="1"/>
      <c r="AG2140" s="1"/>
      <c r="AH2140" s="1"/>
    </row>
    <row r="2141" ht="12.75" hidden="1" customHeight="1" outlineLevel="1">
      <c r="A2141" s="17">
        <v>41359.0</v>
      </c>
      <c r="B2141" s="1" t="s">
        <v>343</v>
      </c>
      <c r="C2141" s="1" t="s">
        <v>857</v>
      </c>
      <c r="D2141" s="74">
        <v>500.0</v>
      </c>
      <c r="E2141" s="67">
        <v>10.69</v>
      </c>
      <c r="F2141" s="75">
        <v>0.46350694444444446</v>
      </c>
      <c r="G2141" s="67" t="s">
        <v>453</v>
      </c>
      <c r="H2141" s="68">
        <v>2.0</v>
      </c>
      <c r="I2141" s="76"/>
      <c r="J2141" s="67">
        <f t="shared" si="152"/>
        <v>-5347</v>
      </c>
      <c r="K2141" s="7"/>
      <c r="L2141" s="70"/>
      <c r="M2141" s="79"/>
      <c r="N2141" s="1"/>
      <c r="O2141" s="1"/>
      <c r="P2141" s="1"/>
      <c r="Q2141" s="1"/>
      <c r="R2141" s="1"/>
      <c r="S2141" s="1"/>
      <c r="T2141" s="1"/>
      <c r="U2141" s="1"/>
      <c r="V2141" s="1"/>
      <c r="W2141" s="1"/>
      <c r="X2141" s="1"/>
      <c r="Y2141" s="1"/>
      <c r="Z2141" s="1"/>
      <c r="AA2141" s="1"/>
      <c r="AB2141" s="1"/>
      <c r="AC2141" s="1"/>
      <c r="AD2141" s="1"/>
      <c r="AE2141" s="1"/>
      <c r="AF2141" s="1"/>
      <c r="AG2141" s="1"/>
      <c r="AH2141" s="1"/>
    </row>
    <row r="2142" ht="12.75" hidden="1" customHeight="1" outlineLevel="1">
      <c r="A2142" s="17">
        <v>41359.0</v>
      </c>
      <c r="B2142" s="1" t="s">
        <v>343</v>
      </c>
      <c r="C2142" s="1" t="s">
        <v>734</v>
      </c>
      <c r="D2142" s="74">
        <v>200.0</v>
      </c>
      <c r="E2142" s="67">
        <v>23.3</v>
      </c>
      <c r="F2142" s="75">
        <v>0.4670370370370371</v>
      </c>
      <c r="G2142" s="67" t="s">
        <v>453</v>
      </c>
      <c r="H2142" s="68">
        <v>1.0</v>
      </c>
      <c r="I2142" s="76"/>
      <c r="J2142" s="67">
        <f t="shared" si="152"/>
        <v>-4661</v>
      </c>
      <c r="K2142" s="7"/>
      <c r="L2142" s="70"/>
      <c r="M2142" s="79"/>
      <c r="N2142" s="1"/>
      <c r="O2142" s="1"/>
      <c r="P2142" s="1"/>
      <c r="Q2142" s="1"/>
      <c r="R2142" s="1"/>
      <c r="S2142" s="1"/>
      <c r="T2142" s="1"/>
      <c r="U2142" s="1"/>
      <c r="V2142" s="1"/>
      <c r="W2142" s="1"/>
      <c r="X2142" s="1"/>
      <c r="Y2142" s="1"/>
      <c r="Z2142" s="1"/>
      <c r="AA2142" s="1"/>
      <c r="AB2142" s="1"/>
      <c r="AC2142" s="1"/>
      <c r="AD2142" s="1"/>
      <c r="AE2142" s="1"/>
      <c r="AF2142" s="1"/>
      <c r="AG2142" s="1"/>
      <c r="AH2142" s="1"/>
    </row>
    <row r="2143" ht="12.75" hidden="1" customHeight="1" outlineLevel="1">
      <c r="A2143" s="17">
        <v>41359.0</v>
      </c>
      <c r="B2143" s="1" t="s">
        <v>343</v>
      </c>
      <c r="C2143" s="1" t="s">
        <v>681</v>
      </c>
      <c r="D2143" s="74">
        <v>1000.0</v>
      </c>
      <c r="E2143" s="67">
        <v>17.99</v>
      </c>
      <c r="F2143" s="75">
        <v>0.5464814814814815</v>
      </c>
      <c r="G2143" s="67" t="s">
        <v>453</v>
      </c>
      <c r="H2143" s="68">
        <v>5.0</v>
      </c>
      <c r="I2143" s="76"/>
      <c r="J2143" s="67">
        <f t="shared" si="152"/>
        <v>-17995</v>
      </c>
      <c r="K2143" s="7"/>
      <c r="L2143" s="70"/>
      <c r="M2143" s="79"/>
      <c r="N2143" s="1"/>
      <c r="O2143" s="1"/>
      <c r="P2143" s="1"/>
      <c r="Q2143" s="1"/>
      <c r="R2143" s="1"/>
      <c r="S2143" s="1"/>
      <c r="T2143" s="1"/>
      <c r="U2143" s="1"/>
      <c r="V2143" s="1"/>
      <c r="W2143" s="1"/>
      <c r="X2143" s="1"/>
      <c r="Y2143" s="1"/>
      <c r="Z2143" s="1"/>
      <c r="AA2143" s="1"/>
      <c r="AB2143" s="1"/>
      <c r="AC2143" s="1"/>
      <c r="AD2143" s="1"/>
      <c r="AE2143" s="1"/>
      <c r="AF2143" s="1"/>
      <c r="AG2143" s="1"/>
      <c r="AH2143" s="1"/>
    </row>
    <row r="2144" ht="12.75" hidden="1" customHeight="1" outlineLevel="1">
      <c r="A2144" s="17">
        <v>41359.0</v>
      </c>
      <c r="B2144" s="1"/>
      <c r="C2144" s="1" t="s">
        <v>339</v>
      </c>
      <c r="D2144" s="74"/>
      <c r="E2144" s="67"/>
      <c r="F2144" s="75"/>
      <c r="G2144" s="67"/>
      <c r="H2144" s="68"/>
      <c r="I2144" s="76"/>
      <c r="J2144" s="67"/>
      <c r="K2144" s="7" t="s">
        <v>933</v>
      </c>
      <c r="L2144" s="77"/>
      <c r="M2144" s="79"/>
      <c r="N2144" s="1"/>
      <c r="O2144" s="1"/>
      <c r="P2144" s="1"/>
      <c r="Q2144" s="1"/>
      <c r="R2144" s="1"/>
      <c r="S2144" s="1"/>
      <c r="T2144" s="1"/>
      <c r="U2144" s="1"/>
      <c r="V2144" s="1"/>
      <c r="W2144" s="1"/>
      <c r="X2144" s="1"/>
      <c r="Y2144" s="1"/>
      <c r="Z2144" s="1"/>
      <c r="AA2144" s="1"/>
      <c r="AB2144" s="1"/>
      <c r="AC2144" s="1"/>
      <c r="AD2144" s="1"/>
      <c r="AE2144" s="1"/>
      <c r="AF2144" s="1"/>
      <c r="AG2144" s="1"/>
      <c r="AH2144" s="1"/>
    </row>
    <row r="2145" ht="12.75" hidden="1" customHeight="1" outlineLevel="1">
      <c r="A2145" s="17">
        <v>41359.0</v>
      </c>
      <c r="B2145" s="1"/>
      <c r="C2145" s="1" t="s">
        <v>429</v>
      </c>
      <c r="D2145" s="74"/>
      <c r="E2145" s="67"/>
      <c r="F2145" s="75"/>
      <c r="G2145" s="67"/>
      <c r="H2145" s="68"/>
      <c r="I2145" s="76"/>
      <c r="J2145" s="67"/>
      <c r="K2145" s="7" t="s">
        <v>922</v>
      </c>
      <c r="L2145" s="77"/>
      <c r="M2145" s="79"/>
      <c r="N2145" s="1"/>
      <c r="O2145" s="1"/>
      <c r="P2145" s="1"/>
      <c r="Q2145" s="1"/>
      <c r="R2145" s="1"/>
      <c r="S2145" s="1"/>
      <c r="T2145" s="1"/>
      <c r="U2145" s="1"/>
      <c r="V2145" s="1"/>
      <c r="W2145" s="1"/>
      <c r="X2145" s="1"/>
      <c r="Y2145" s="1"/>
      <c r="Z2145" s="1"/>
      <c r="AA2145" s="1"/>
      <c r="AB2145" s="1"/>
      <c r="AC2145" s="1"/>
      <c r="AD2145" s="1"/>
      <c r="AE2145" s="1"/>
      <c r="AF2145" s="1"/>
      <c r="AG2145" s="1"/>
      <c r="AH2145" s="1"/>
    </row>
    <row r="2146" ht="12.75" hidden="1" customHeight="1" outlineLevel="1">
      <c r="A2146" s="17">
        <v>41359.0</v>
      </c>
      <c r="B2146" s="1"/>
      <c r="C2146" s="1" t="s">
        <v>431</v>
      </c>
      <c r="D2146" s="74"/>
      <c r="E2146" s="67"/>
      <c r="F2146" s="75"/>
      <c r="G2146" s="67"/>
      <c r="H2146" s="68"/>
      <c r="I2146" s="76"/>
      <c r="J2146" s="67"/>
      <c r="K2146" s="7" t="s">
        <v>817</v>
      </c>
      <c r="L2146" s="77"/>
      <c r="M2146" s="79"/>
      <c r="N2146" s="1"/>
      <c r="O2146" s="1"/>
      <c r="P2146" s="1"/>
      <c r="Q2146" s="1"/>
      <c r="R2146" s="1"/>
      <c r="S2146" s="1"/>
      <c r="T2146" s="1"/>
      <c r="U2146" s="1"/>
      <c r="V2146" s="1"/>
      <c r="W2146" s="1"/>
      <c r="X2146" s="1"/>
      <c r="Y2146" s="1"/>
      <c r="Z2146" s="1"/>
      <c r="AA2146" s="1"/>
      <c r="AB2146" s="1"/>
      <c r="AC2146" s="1"/>
      <c r="AD2146" s="1"/>
      <c r="AE2146" s="1"/>
      <c r="AF2146" s="1"/>
      <c r="AG2146" s="1"/>
      <c r="AH2146" s="1"/>
    </row>
    <row r="2147" ht="12.75" hidden="1" customHeight="1" outlineLevel="1">
      <c r="A2147" s="17">
        <v>41359.0</v>
      </c>
      <c r="B2147" s="1"/>
      <c r="C2147" s="1" t="s">
        <v>433</v>
      </c>
      <c r="D2147" s="74"/>
      <c r="E2147" s="67"/>
      <c r="F2147" s="75"/>
      <c r="G2147" s="67"/>
      <c r="H2147" s="68"/>
      <c r="I2147" s="76"/>
      <c r="J2147" s="67"/>
      <c r="K2147" s="7" t="s">
        <v>434</v>
      </c>
      <c r="L2147" s="77"/>
      <c r="M2147" s="79"/>
      <c r="N2147" s="1"/>
      <c r="O2147" s="1"/>
      <c r="P2147" s="1"/>
      <c r="Q2147" s="1"/>
      <c r="R2147" s="1"/>
      <c r="S2147" s="1"/>
      <c r="T2147" s="1"/>
      <c r="U2147" s="1"/>
      <c r="V2147" s="1"/>
      <c r="W2147" s="1"/>
      <c r="X2147" s="1"/>
      <c r="Y2147" s="1"/>
      <c r="Z2147" s="1"/>
      <c r="AA2147" s="1"/>
      <c r="AB2147" s="1"/>
      <c r="AC2147" s="1"/>
      <c r="AD2147" s="1"/>
      <c r="AE2147" s="1"/>
      <c r="AF2147" s="1"/>
      <c r="AG2147" s="1"/>
      <c r="AH2147" s="1"/>
    </row>
    <row r="2148" ht="12.75" hidden="1" customHeight="1" outlineLevel="1">
      <c r="A2148" s="17">
        <v>41359.0</v>
      </c>
      <c r="B2148" s="1"/>
      <c r="C2148" s="1" t="s">
        <v>435</v>
      </c>
      <c r="D2148" s="74"/>
      <c r="E2148" s="67"/>
      <c r="F2148" s="75"/>
      <c r="G2148" s="67"/>
      <c r="H2148" s="68"/>
      <c r="I2148" s="76"/>
      <c r="J2148" s="67"/>
      <c r="K2148" s="7" t="s">
        <v>818</v>
      </c>
      <c r="L2148" s="77"/>
      <c r="M2148" s="79"/>
      <c r="N2148" s="1"/>
      <c r="O2148" s="1"/>
      <c r="P2148" s="1"/>
      <c r="Q2148" s="1"/>
      <c r="R2148" s="1"/>
      <c r="S2148" s="1"/>
      <c r="T2148" s="1"/>
      <c r="U2148" s="1"/>
      <c r="V2148" s="1"/>
      <c r="W2148" s="1"/>
      <c r="X2148" s="1"/>
      <c r="Y2148" s="1"/>
      <c r="Z2148" s="1"/>
      <c r="AA2148" s="1"/>
      <c r="AB2148" s="1"/>
      <c r="AC2148" s="1"/>
      <c r="AD2148" s="1"/>
      <c r="AE2148" s="1"/>
      <c r="AF2148" s="1"/>
      <c r="AG2148" s="1"/>
      <c r="AH2148" s="1"/>
    </row>
    <row r="2149" ht="12.75" hidden="1" customHeight="1" outlineLevel="1">
      <c r="A2149" s="17">
        <v>41360.0</v>
      </c>
      <c r="B2149" s="1" t="s">
        <v>347</v>
      </c>
      <c r="C2149" s="1" t="s">
        <v>784</v>
      </c>
      <c r="D2149" s="74">
        <v>900.0</v>
      </c>
      <c r="E2149" s="67">
        <v>16.78</v>
      </c>
      <c r="F2149" s="75">
        <v>0.3994907407407407</v>
      </c>
      <c r="G2149" s="67" t="s">
        <v>453</v>
      </c>
      <c r="H2149" s="68">
        <v>3.6</v>
      </c>
      <c r="I2149" s="76"/>
      <c r="J2149" s="67">
        <f t="shared" ref="J2149:J2152" si="153">IF(B2149="SLD",D2149*E2149,-D2149*E2149)-H2149</f>
        <v>15098.4</v>
      </c>
      <c r="K2149" s="7"/>
      <c r="L2149" s="70"/>
      <c r="M2149" s="79"/>
      <c r="N2149" s="1"/>
      <c r="O2149" s="1"/>
      <c r="P2149" s="1"/>
      <c r="Q2149" s="1"/>
      <c r="R2149" s="1"/>
      <c r="S2149" s="1"/>
      <c r="T2149" s="1"/>
      <c r="U2149" s="1"/>
      <c r="V2149" s="1"/>
      <c r="W2149" s="1"/>
      <c r="X2149" s="1"/>
      <c r="Y2149" s="1"/>
      <c r="Z2149" s="1"/>
      <c r="AA2149" s="1"/>
      <c r="AB2149" s="1"/>
      <c r="AC2149" s="1"/>
      <c r="AD2149" s="1"/>
      <c r="AE2149" s="1"/>
      <c r="AF2149" s="1"/>
      <c r="AG2149" s="1"/>
      <c r="AH2149" s="1"/>
    </row>
    <row r="2150" ht="12.75" hidden="1" customHeight="1" outlineLevel="1">
      <c r="A2150" s="17">
        <v>41360.0</v>
      </c>
      <c r="B2150" s="1" t="s">
        <v>343</v>
      </c>
      <c r="C2150" s="1" t="s">
        <v>784</v>
      </c>
      <c r="D2150" s="74">
        <v>1800.0</v>
      </c>
      <c r="E2150" s="67">
        <v>17.2</v>
      </c>
      <c r="F2150" s="75">
        <v>0.4834259259259259</v>
      </c>
      <c r="G2150" s="67" t="s">
        <v>453</v>
      </c>
      <c r="H2150" s="68">
        <v>7.6</v>
      </c>
      <c r="I2150" s="76"/>
      <c r="J2150" s="67">
        <f t="shared" si="153"/>
        <v>-30967.6</v>
      </c>
      <c r="K2150" s="7"/>
      <c r="L2150" s="70"/>
      <c r="M2150" s="79"/>
      <c r="N2150" s="1"/>
      <c r="O2150" s="1"/>
      <c r="P2150" s="1"/>
      <c r="Q2150" s="1"/>
      <c r="R2150" s="1"/>
      <c r="S2150" s="1"/>
      <c r="T2150" s="1"/>
      <c r="U2150" s="1"/>
      <c r="V2150" s="1"/>
      <c r="W2150" s="1"/>
      <c r="X2150" s="1"/>
      <c r="Y2150" s="1"/>
      <c r="Z2150" s="1"/>
      <c r="AA2150" s="1"/>
      <c r="AB2150" s="1"/>
      <c r="AC2150" s="1"/>
      <c r="AD2150" s="1"/>
      <c r="AE2150" s="1"/>
      <c r="AF2150" s="1"/>
      <c r="AG2150" s="1"/>
      <c r="AH2150" s="1"/>
    </row>
    <row r="2151" ht="12.75" hidden="1" customHeight="1" outlineLevel="1">
      <c r="A2151" s="17">
        <v>41360.0</v>
      </c>
      <c r="B2151" s="1" t="s">
        <v>343</v>
      </c>
      <c r="C2151" s="1" t="s">
        <v>851</v>
      </c>
      <c r="D2151" s="74">
        <v>200.0</v>
      </c>
      <c r="E2151" s="67">
        <v>19.42</v>
      </c>
      <c r="F2151" s="75">
        <v>0.491412037037037</v>
      </c>
      <c r="G2151" s="67" t="s">
        <v>453</v>
      </c>
      <c r="H2151" s="68">
        <v>1.0</v>
      </c>
      <c r="I2151" s="76"/>
      <c r="J2151" s="67">
        <f t="shared" si="153"/>
        <v>-3885</v>
      </c>
      <c r="K2151" s="7"/>
      <c r="L2151" s="70"/>
      <c r="M2151" s="79"/>
      <c r="N2151" s="1"/>
      <c r="O2151" s="1"/>
      <c r="P2151" s="1"/>
      <c r="Q2151" s="1"/>
      <c r="R2151" s="1"/>
      <c r="S2151" s="1"/>
      <c r="T2151" s="1"/>
      <c r="U2151" s="1"/>
      <c r="V2151" s="1"/>
      <c r="W2151" s="1"/>
      <c r="X2151" s="1"/>
      <c r="Y2151" s="1"/>
      <c r="Z2151" s="1"/>
      <c r="AA2151" s="1"/>
      <c r="AB2151" s="1"/>
      <c r="AC2151" s="1"/>
      <c r="AD2151" s="1"/>
      <c r="AE2151" s="1"/>
      <c r="AF2151" s="1"/>
      <c r="AG2151" s="1"/>
      <c r="AH2151" s="1"/>
    </row>
    <row r="2152" ht="12.75" hidden="1" customHeight="1" outlineLevel="1">
      <c r="A2152" s="17">
        <v>41360.0</v>
      </c>
      <c r="B2152" s="1" t="s">
        <v>347</v>
      </c>
      <c r="C2152" s="1" t="s">
        <v>784</v>
      </c>
      <c r="D2152" s="74">
        <v>1800.0</v>
      </c>
      <c r="E2152" s="67">
        <v>17.22</v>
      </c>
      <c r="F2152" s="75">
        <v>0.5644907407407408</v>
      </c>
      <c r="G2152" s="67" t="s">
        <v>453</v>
      </c>
      <c r="H2152" s="68">
        <v>9.0</v>
      </c>
      <c r="I2152" s="76"/>
      <c r="J2152" s="67">
        <f t="shared" si="153"/>
        <v>30987</v>
      </c>
      <c r="K2152" s="7"/>
      <c r="L2152" s="70"/>
      <c r="M2152" s="79"/>
      <c r="N2152" s="1"/>
      <c r="O2152" s="1"/>
      <c r="P2152" s="1"/>
      <c r="Q2152" s="1"/>
      <c r="R2152" s="1"/>
      <c r="S2152" s="1"/>
      <c r="T2152" s="1"/>
      <c r="U2152" s="1"/>
      <c r="V2152" s="1"/>
      <c r="W2152" s="1"/>
      <c r="X2152" s="1"/>
      <c r="Y2152" s="1"/>
      <c r="Z2152" s="1"/>
      <c r="AA2152" s="1"/>
      <c r="AB2152" s="1"/>
      <c r="AC2152" s="1"/>
      <c r="AD2152" s="1"/>
      <c r="AE2152" s="1"/>
      <c r="AF2152" s="1"/>
      <c r="AG2152" s="1"/>
      <c r="AH2152" s="1"/>
    </row>
    <row r="2153" ht="12.75" hidden="1" customHeight="1" outlineLevel="1">
      <c r="A2153" s="17">
        <v>41360.0</v>
      </c>
      <c r="B2153" s="1"/>
      <c r="C2153" s="1" t="s">
        <v>339</v>
      </c>
      <c r="D2153" s="74"/>
      <c r="E2153" s="67"/>
      <c r="F2153" s="75"/>
      <c r="G2153" s="67"/>
      <c r="H2153" s="68"/>
      <c r="I2153" s="76"/>
      <c r="J2153" s="67"/>
      <c r="K2153" s="7" t="s">
        <v>934</v>
      </c>
      <c r="L2153" s="77"/>
      <c r="M2153" s="79"/>
      <c r="N2153" s="1"/>
      <c r="O2153" s="1"/>
      <c r="P2153" s="1"/>
      <c r="Q2153" s="1"/>
      <c r="R2153" s="1"/>
      <c r="S2153" s="1"/>
      <c r="T2153" s="1"/>
      <c r="U2153" s="1"/>
      <c r="V2153" s="1"/>
      <c r="W2153" s="1"/>
      <c r="X2153" s="1"/>
      <c r="Y2153" s="1"/>
      <c r="Z2153" s="1"/>
      <c r="AA2153" s="1"/>
      <c r="AB2153" s="1"/>
      <c r="AC2153" s="1"/>
      <c r="AD2153" s="1"/>
      <c r="AE2153" s="1"/>
      <c r="AF2153" s="1"/>
      <c r="AG2153" s="1"/>
      <c r="AH2153" s="1"/>
    </row>
    <row r="2154" ht="12.75" hidden="1" customHeight="1" outlineLevel="1">
      <c r="A2154" s="17">
        <v>41360.0</v>
      </c>
      <c r="B2154" s="1"/>
      <c r="C2154" s="1" t="s">
        <v>429</v>
      </c>
      <c r="D2154" s="74"/>
      <c r="E2154" s="67"/>
      <c r="F2154" s="75"/>
      <c r="G2154" s="67"/>
      <c r="H2154" s="68"/>
      <c r="I2154" s="76"/>
      <c r="J2154" s="67"/>
      <c r="K2154" s="7" t="s">
        <v>922</v>
      </c>
      <c r="L2154" s="77"/>
      <c r="M2154" s="79"/>
      <c r="N2154" s="1"/>
      <c r="O2154" s="1"/>
      <c r="P2154" s="1"/>
      <c r="Q2154" s="1"/>
      <c r="R2154" s="1"/>
      <c r="S2154" s="1"/>
      <c r="T2154" s="1"/>
      <c r="U2154" s="1"/>
      <c r="V2154" s="1"/>
      <c r="W2154" s="1"/>
      <c r="X2154" s="1"/>
      <c r="Y2154" s="1"/>
      <c r="Z2154" s="1"/>
      <c r="AA2154" s="1"/>
      <c r="AB2154" s="1"/>
      <c r="AC2154" s="1"/>
      <c r="AD2154" s="1"/>
      <c r="AE2154" s="1"/>
      <c r="AF2154" s="1"/>
      <c r="AG2154" s="1"/>
      <c r="AH2154" s="1"/>
    </row>
    <row r="2155" ht="12.75" hidden="1" customHeight="1" outlineLevel="1">
      <c r="A2155" s="17">
        <v>41360.0</v>
      </c>
      <c r="B2155" s="1"/>
      <c r="C2155" s="1" t="s">
        <v>431</v>
      </c>
      <c r="D2155" s="74"/>
      <c r="E2155" s="67"/>
      <c r="F2155" s="75"/>
      <c r="G2155" s="67"/>
      <c r="H2155" s="68"/>
      <c r="I2155" s="76"/>
      <c r="J2155" s="67"/>
      <c r="K2155" s="7" t="s">
        <v>817</v>
      </c>
      <c r="L2155" s="77"/>
      <c r="M2155" s="79"/>
      <c r="N2155" s="1"/>
      <c r="O2155" s="1"/>
      <c r="P2155" s="1"/>
      <c r="Q2155" s="1"/>
      <c r="R2155" s="1"/>
      <c r="S2155" s="1"/>
      <c r="T2155" s="1"/>
      <c r="U2155" s="1"/>
      <c r="V2155" s="1"/>
      <c r="W2155" s="1"/>
      <c r="X2155" s="1"/>
      <c r="Y2155" s="1"/>
      <c r="Z2155" s="1"/>
      <c r="AA2155" s="1"/>
      <c r="AB2155" s="1"/>
      <c r="AC2155" s="1"/>
      <c r="AD2155" s="1"/>
      <c r="AE2155" s="1"/>
      <c r="AF2155" s="1"/>
      <c r="AG2155" s="1"/>
      <c r="AH2155" s="1"/>
    </row>
    <row r="2156" ht="12.75" hidden="1" customHeight="1" outlineLevel="1">
      <c r="A2156" s="17">
        <v>41360.0</v>
      </c>
      <c r="B2156" s="1"/>
      <c r="C2156" s="1" t="s">
        <v>433</v>
      </c>
      <c r="D2156" s="74"/>
      <c r="E2156" s="67"/>
      <c r="F2156" s="75"/>
      <c r="G2156" s="67"/>
      <c r="H2156" s="68"/>
      <c r="I2156" s="76"/>
      <c r="J2156" s="67"/>
      <c r="K2156" s="7" t="s">
        <v>434</v>
      </c>
      <c r="L2156" s="77"/>
      <c r="M2156" s="79"/>
      <c r="N2156" s="1"/>
      <c r="O2156" s="1"/>
      <c r="P2156" s="1"/>
      <c r="Q2156" s="1"/>
      <c r="R2156" s="1"/>
      <c r="S2156" s="1"/>
      <c r="T2156" s="1"/>
      <c r="U2156" s="1"/>
      <c r="V2156" s="1"/>
      <c r="W2156" s="1"/>
      <c r="X2156" s="1"/>
      <c r="Y2156" s="1"/>
      <c r="Z2156" s="1"/>
      <c r="AA2156" s="1"/>
      <c r="AB2156" s="1"/>
      <c r="AC2156" s="1"/>
      <c r="AD2156" s="1"/>
      <c r="AE2156" s="1"/>
      <c r="AF2156" s="1"/>
      <c r="AG2156" s="1"/>
      <c r="AH2156" s="1"/>
    </row>
    <row r="2157" ht="12.75" hidden="1" customHeight="1" outlineLevel="1">
      <c r="A2157" s="17">
        <v>41360.0</v>
      </c>
      <c r="B2157" s="1"/>
      <c r="C2157" s="1" t="s">
        <v>435</v>
      </c>
      <c r="D2157" s="74"/>
      <c r="E2157" s="67"/>
      <c r="F2157" s="75"/>
      <c r="G2157" s="67"/>
      <c r="H2157" s="68"/>
      <c r="I2157" s="76"/>
      <c r="J2157" s="67"/>
      <c r="K2157" s="7" t="s">
        <v>818</v>
      </c>
      <c r="L2157" s="77"/>
      <c r="M2157" s="79"/>
      <c r="N2157" s="1"/>
      <c r="O2157" s="1"/>
      <c r="P2157" s="1"/>
      <c r="Q2157" s="1"/>
      <c r="R2157" s="1"/>
      <c r="S2157" s="1"/>
      <c r="T2157" s="1"/>
      <c r="U2157" s="1"/>
      <c r="V2157" s="1"/>
      <c r="W2157" s="1"/>
      <c r="X2157" s="1"/>
      <c r="Y2157" s="1"/>
      <c r="Z2157" s="1"/>
      <c r="AA2157" s="1"/>
      <c r="AB2157" s="1"/>
      <c r="AC2157" s="1"/>
      <c r="AD2157" s="1"/>
      <c r="AE2157" s="1"/>
      <c r="AF2157" s="1"/>
      <c r="AG2157" s="1"/>
      <c r="AH2157" s="1"/>
    </row>
    <row r="2158" ht="12.75" hidden="1" customHeight="1" outlineLevel="1">
      <c r="A2158" s="17">
        <v>41360.0</v>
      </c>
      <c r="B2158" s="1"/>
      <c r="C2158" s="1" t="s">
        <v>339</v>
      </c>
      <c r="D2158" s="74"/>
      <c r="E2158" s="67"/>
      <c r="F2158" s="75"/>
      <c r="G2158" s="67"/>
      <c r="H2158" s="68"/>
      <c r="I2158" s="76"/>
      <c r="J2158" s="67"/>
      <c r="K2158" s="7" t="s">
        <v>935</v>
      </c>
      <c r="L2158" s="77"/>
      <c r="M2158" s="79"/>
      <c r="N2158" s="1"/>
      <c r="O2158" s="1"/>
      <c r="P2158" s="1"/>
      <c r="Q2158" s="1"/>
      <c r="R2158" s="1"/>
      <c r="S2158" s="1"/>
      <c r="T2158" s="1"/>
      <c r="U2158" s="1"/>
      <c r="V2158" s="1"/>
      <c r="W2158" s="1"/>
      <c r="X2158" s="1"/>
      <c r="Y2158" s="1"/>
      <c r="Z2158" s="1"/>
      <c r="AA2158" s="1"/>
      <c r="AB2158" s="1"/>
      <c r="AC2158" s="1"/>
      <c r="AD2158" s="1"/>
      <c r="AE2158" s="1"/>
      <c r="AF2158" s="1"/>
      <c r="AG2158" s="1"/>
      <c r="AH2158" s="1"/>
    </row>
    <row r="2159" ht="12.75" hidden="1" customHeight="1" outlineLevel="1">
      <c r="A2159" s="17">
        <v>41360.0</v>
      </c>
      <c r="B2159" s="1"/>
      <c r="C2159" s="1" t="s">
        <v>429</v>
      </c>
      <c r="D2159" s="74"/>
      <c r="E2159" s="67"/>
      <c r="F2159" s="75"/>
      <c r="G2159" s="67"/>
      <c r="H2159" s="68"/>
      <c r="I2159" s="76"/>
      <c r="J2159" s="67"/>
      <c r="K2159" s="7" t="s">
        <v>922</v>
      </c>
      <c r="L2159" s="77"/>
      <c r="M2159" s="79"/>
      <c r="N2159" s="1"/>
      <c r="O2159" s="1"/>
      <c r="P2159" s="1"/>
      <c r="Q2159" s="1"/>
      <c r="R2159" s="1"/>
      <c r="S2159" s="1"/>
      <c r="T2159" s="1"/>
      <c r="U2159" s="1"/>
      <c r="V2159" s="1"/>
      <c r="W2159" s="1"/>
      <c r="X2159" s="1"/>
      <c r="Y2159" s="1"/>
      <c r="Z2159" s="1"/>
      <c r="AA2159" s="1"/>
      <c r="AB2159" s="1"/>
      <c r="AC2159" s="1"/>
      <c r="AD2159" s="1"/>
      <c r="AE2159" s="1"/>
      <c r="AF2159" s="1"/>
      <c r="AG2159" s="1"/>
      <c r="AH2159" s="1"/>
    </row>
    <row r="2160" ht="12.75" hidden="1" customHeight="1" outlineLevel="1">
      <c r="A2160" s="17">
        <v>41360.0</v>
      </c>
      <c r="B2160" s="1"/>
      <c r="C2160" s="1" t="s">
        <v>431</v>
      </c>
      <c r="D2160" s="74"/>
      <c r="E2160" s="67"/>
      <c r="F2160" s="75"/>
      <c r="G2160" s="67"/>
      <c r="H2160" s="68"/>
      <c r="I2160" s="76"/>
      <c r="J2160" s="67"/>
      <c r="K2160" s="7" t="s">
        <v>817</v>
      </c>
      <c r="L2160" s="77"/>
      <c r="M2160" s="79"/>
      <c r="N2160" s="1"/>
      <c r="O2160" s="1"/>
      <c r="P2160" s="1"/>
      <c r="Q2160" s="1"/>
      <c r="R2160" s="1"/>
      <c r="S2160" s="1"/>
      <c r="T2160" s="1"/>
      <c r="U2160" s="1"/>
      <c r="V2160" s="1"/>
      <c r="W2160" s="1"/>
      <c r="X2160" s="1"/>
      <c r="Y2160" s="1"/>
      <c r="Z2160" s="1"/>
      <c r="AA2160" s="1"/>
      <c r="AB2160" s="1"/>
      <c r="AC2160" s="1"/>
      <c r="AD2160" s="1"/>
      <c r="AE2160" s="1"/>
      <c r="AF2160" s="1"/>
      <c r="AG2160" s="1"/>
      <c r="AH2160" s="1"/>
    </row>
    <row r="2161" ht="12.75" hidden="1" customHeight="1" outlineLevel="1">
      <c r="A2161" s="17">
        <v>41360.0</v>
      </c>
      <c r="B2161" s="1"/>
      <c r="C2161" s="1" t="s">
        <v>433</v>
      </c>
      <c r="D2161" s="74"/>
      <c r="E2161" s="67"/>
      <c r="F2161" s="75"/>
      <c r="G2161" s="67"/>
      <c r="H2161" s="68"/>
      <c r="I2161" s="76"/>
      <c r="J2161" s="67"/>
      <c r="K2161" s="7" t="s">
        <v>434</v>
      </c>
      <c r="L2161" s="77"/>
      <c r="M2161" s="79"/>
      <c r="N2161" s="1"/>
      <c r="O2161" s="1"/>
      <c r="P2161" s="1"/>
      <c r="Q2161" s="1"/>
      <c r="R2161" s="1"/>
      <c r="S2161" s="1"/>
      <c r="T2161" s="1"/>
      <c r="U2161" s="1"/>
      <c r="V2161" s="1"/>
      <c r="W2161" s="1"/>
      <c r="X2161" s="1"/>
      <c r="Y2161" s="1"/>
      <c r="Z2161" s="1"/>
      <c r="AA2161" s="1"/>
      <c r="AB2161" s="1"/>
      <c r="AC2161" s="1"/>
      <c r="AD2161" s="1"/>
      <c r="AE2161" s="1"/>
      <c r="AF2161" s="1"/>
      <c r="AG2161" s="1"/>
      <c r="AH2161" s="1"/>
    </row>
    <row r="2162" ht="12.75" hidden="1" customHeight="1" outlineLevel="1">
      <c r="A2162" s="17">
        <v>41360.0</v>
      </c>
      <c r="B2162" s="1"/>
      <c r="C2162" s="1" t="s">
        <v>435</v>
      </c>
      <c r="D2162" s="74"/>
      <c r="E2162" s="67"/>
      <c r="F2162" s="75"/>
      <c r="G2162" s="67"/>
      <c r="H2162" s="68"/>
      <c r="I2162" s="76"/>
      <c r="J2162" s="67"/>
      <c r="K2162" s="7" t="s">
        <v>818</v>
      </c>
      <c r="L2162" s="77"/>
      <c r="M2162" s="79"/>
      <c r="N2162" s="1"/>
      <c r="O2162" s="1"/>
      <c r="P2162" s="1"/>
      <c r="Q2162" s="1"/>
      <c r="R2162" s="1"/>
      <c r="S2162" s="1"/>
      <c r="T2162" s="1"/>
      <c r="U2162" s="1"/>
      <c r="V2162" s="1"/>
      <c r="W2162" s="1"/>
      <c r="X2162" s="1"/>
      <c r="Y2162" s="1"/>
      <c r="Z2162" s="1"/>
      <c r="AA2162" s="1"/>
      <c r="AB2162" s="1"/>
      <c r="AC2162" s="1"/>
      <c r="AD2162" s="1"/>
      <c r="AE2162" s="1"/>
      <c r="AF2162" s="1"/>
      <c r="AG2162" s="1"/>
      <c r="AH2162" s="1"/>
    </row>
    <row r="2163" ht="12.75" hidden="1" customHeight="1" outlineLevel="1">
      <c r="A2163" s="17">
        <v>41361.0</v>
      </c>
      <c r="B2163" s="1" t="s">
        <v>343</v>
      </c>
      <c r="C2163" s="1" t="s">
        <v>349</v>
      </c>
      <c r="D2163" s="74">
        <v>500.0</v>
      </c>
      <c r="E2163" s="67">
        <v>37.95</v>
      </c>
      <c r="F2163" s="75">
        <v>0.4041666666666666</v>
      </c>
      <c r="G2163" s="67" t="s">
        <v>453</v>
      </c>
      <c r="H2163" s="68">
        <v>2.5</v>
      </c>
      <c r="I2163" s="76"/>
      <c r="J2163" s="67">
        <f t="shared" ref="J2163:J2164" si="154">IF(B2163="SLD",D2163*E2163,-D2163*E2163)-H2163</f>
        <v>-18977.5</v>
      </c>
      <c r="K2163" s="7"/>
      <c r="L2163" s="70"/>
      <c r="M2163" s="79"/>
      <c r="N2163" s="1"/>
      <c r="O2163" s="1"/>
      <c r="P2163" s="1"/>
      <c r="Q2163" s="1"/>
      <c r="R2163" s="1"/>
      <c r="S2163" s="1"/>
      <c r="T2163" s="1"/>
      <c r="U2163" s="1"/>
      <c r="V2163" s="1"/>
      <c r="W2163" s="1"/>
      <c r="X2163" s="1"/>
      <c r="Y2163" s="1"/>
      <c r="Z2163" s="1"/>
      <c r="AA2163" s="1"/>
      <c r="AB2163" s="1"/>
      <c r="AC2163" s="1"/>
      <c r="AD2163" s="1"/>
      <c r="AE2163" s="1"/>
      <c r="AF2163" s="1"/>
      <c r="AG2163" s="1"/>
      <c r="AH2163" s="1"/>
    </row>
    <row r="2164" ht="12.75" hidden="1" customHeight="1" outlineLevel="1">
      <c r="A2164" s="17">
        <v>41361.0</v>
      </c>
      <c r="B2164" s="1" t="s">
        <v>343</v>
      </c>
      <c r="C2164" s="1" t="s">
        <v>344</v>
      </c>
      <c r="D2164" s="74">
        <v>150.0</v>
      </c>
      <c r="E2164" s="67">
        <v>38.42</v>
      </c>
      <c r="F2164" s="75">
        <v>0.4219675925925926</v>
      </c>
      <c r="G2164" s="67" t="s">
        <v>453</v>
      </c>
      <c r="H2164" s="68">
        <v>1.0</v>
      </c>
      <c r="I2164" s="76"/>
      <c r="J2164" s="67">
        <f t="shared" si="154"/>
        <v>-5764</v>
      </c>
      <c r="K2164" s="7"/>
      <c r="L2164" s="70"/>
      <c r="M2164" s="79"/>
      <c r="N2164" s="1"/>
      <c r="O2164" s="1"/>
      <c r="P2164" s="1"/>
      <c r="Q2164" s="1"/>
      <c r="R2164" s="1"/>
      <c r="S2164" s="1"/>
      <c r="T2164" s="1"/>
      <c r="U2164" s="1"/>
      <c r="V2164" s="1"/>
      <c r="W2164" s="1"/>
      <c r="X2164" s="1"/>
      <c r="Y2164" s="1"/>
      <c r="Z2164" s="1"/>
      <c r="AA2164" s="1"/>
      <c r="AB2164" s="1"/>
      <c r="AC2164" s="1"/>
      <c r="AD2164" s="1"/>
      <c r="AE2164" s="1"/>
      <c r="AF2164" s="1"/>
      <c r="AG2164" s="1"/>
      <c r="AH2164" s="1"/>
    </row>
    <row r="2165" ht="12.75" hidden="1" customHeight="1" outlineLevel="1">
      <c r="A2165" s="17">
        <v>41361.0</v>
      </c>
      <c r="B2165" s="1"/>
      <c r="C2165" s="1" t="s">
        <v>339</v>
      </c>
      <c r="D2165" s="74"/>
      <c r="E2165" s="67"/>
      <c r="F2165" s="75"/>
      <c r="G2165" s="67"/>
      <c r="H2165" s="68"/>
      <c r="I2165" s="76"/>
      <c r="J2165" s="67"/>
      <c r="K2165" s="7" t="s">
        <v>936</v>
      </c>
      <c r="L2165" s="77"/>
      <c r="M2165" s="79"/>
      <c r="N2165" s="1"/>
      <c r="O2165" s="1"/>
      <c r="P2165" s="1"/>
      <c r="Q2165" s="1"/>
      <c r="R2165" s="1"/>
      <c r="S2165" s="1"/>
      <c r="T2165" s="1"/>
      <c r="U2165" s="1"/>
      <c r="V2165" s="1"/>
      <c r="W2165" s="1"/>
      <c r="X2165" s="1"/>
      <c r="Y2165" s="1"/>
      <c r="Z2165" s="1"/>
      <c r="AA2165" s="1"/>
      <c r="AB2165" s="1"/>
      <c r="AC2165" s="1"/>
      <c r="AD2165" s="1"/>
      <c r="AE2165" s="1"/>
      <c r="AF2165" s="1"/>
      <c r="AG2165" s="1"/>
      <c r="AH2165" s="1"/>
    </row>
    <row r="2166" ht="12.75" hidden="1" customHeight="1" outlineLevel="1">
      <c r="A2166" s="17">
        <v>41361.0</v>
      </c>
      <c r="B2166" s="1"/>
      <c r="C2166" s="1" t="s">
        <v>429</v>
      </c>
      <c r="D2166" s="74"/>
      <c r="E2166" s="67"/>
      <c r="F2166" s="75"/>
      <c r="G2166" s="67"/>
      <c r="H2166" s="68"/>
      <c r="I2166" s="76"/>
      <c r="J2166" s="67"/>
      <c r="K2166" s="7" t="s">
        <v>922</v>
      </c>
      <c r="L2166" s="77"/>
      <c r="M2166" s="79"/>
      <c r="N2166" s="1"/>
      <c r="O2166" s="1"/>
      <c r="P2166" s="1"/>
      <c r="Q2166" s="1"/>
      <c r="R2166" s="1"/>
      <c r="S2166" s="1"/>
      <c r="T2166" s="1"/>
      <c r="U2166" s="1"/>
      <c r="V2166" s="1"/>
      <c r="W2166" s="1"/>
      <c r="X2166" s="1"/>
      <c r="Y2166" s="1"/>
      <c r="Z2166" s="1"/>
      <c r="AA2166" s="1"/>
      <c r="AB2166" s="1"/>
      <c r="AC2166" s="1"/>
      <c r="AD2166" s="1"/>
      <c r="AE2166" s="1"/>
      <c r="AF2166" s="1"/>
      <c r="AG2166" s="1"/>
      <c r="AH2166" s="1"/>
    </row>
    <row r="2167" ht="12.75" hidden="1" customHeight="1" outlineLevel="1">
      <c r="A2167" s="17">
        <v>41361.0</v>
      </c>
      <c r="B2167" s="1"/>
      <c r="C2167" s="1" t="s">
        <v>431</v>
      </c>
      <c r="D2167" s="74"/>
      <c r="E2167" s="67"/>
      <c r="F2167" s="75"/>
      <c r="G2167" s="67"/>
      <c r="H2167" s="68"/>
      <c r="I2167" s="76"/>
      <c r="J2167" s="67"/>
      <c r="K2167" s="7" t="s">
        <v>817</v>
      </c>
      <c r="L2167" s="77"/>
      <c r="M2167" s="79"/>
      <c r="N2167" s="1"/>
      <c r="O2167" s="1"/>
      <c r="P2167" s="1"/>
      <c r="Q2167" s="1"/>
      <c r="R2167" s="1"/>
      <c r="S2167" s="1"/>
      <c r="T2167" s="1"/>
      <c r="U2167" s="1"/>
      <c r="V2167" s="1"/>
      <c r="W2167" s="1"/>
      <c r="X2167" s="1"/>
      <c r="Y2167" s="1"/>
      <c r="Z2167" s="1"/>
      <c r="AA2167" s="1"/>
      <c r="AB2167" s="1"/>
      <c r="AC2167" s="1"/>
      <c r="AD2167" s="1"/>
      <c r="AE2167" s="1"/>
      <c r="AF2167" s="1"/>
      <c r="AG2167" s="1"/>
      <c r="AH2167" s="1"/>
    </row>
    <row r="2168" ht="12.75" hidden="1" customHeight="1" outlineLevel="1">
      <c r="A2168" s="17">
        <v>41361.0</v>
      </c>
      <c r="B2168" s="1"/>
      <c r="C2168" s="1" t="s">
        <v>433</v>
      </c>
      <c r="D2168" s="74"/>
      <c r="E2168" s="67"/>
      <c r="F2168" s="75"/>
      <c r="G2168" s="67"/>
      <c r="H2168" s="68"/>
      <c r="I2168" s="76"/>
      <c r="J2168" s="67"/>
      <c r="K2168" s="7" t="s">
        <v>434</v>
      </c>
      <c r="L2168" s="77"/>
      <c r="M2168" s="79"/>
      <c r="N2168" s="1"/>
      <c r="O2168" s="1"/>
      <c r="P2168" s="1"/>
      <c r="Q2168" s="1"/>
      <c r="R2168" s="1"/>
      <c r="S2168" s="1"/>
      <c r="T2168" s="1"/>
      <c r="U2168" s="1"/>
      <c r="V2168" s="1"/>
      <c r="W2168" s="1"/>
      <c r="X2168" s="1"/>
      <c r="Y2168" s="1"/>
      <c r="Z2168" s="1"/>
      <c r="AA2168" s="1"/>
      <c r="AB2168" s="1"/>
      <c r="AC2168" s="1"/>
      <c r="AD2168" s="1"/>
      <c r="AE2168" s="1"/>
      <c r="AF2168" s="1"/>
      <c r="AG2168" s="1"/>
      <c r="AH2168" s="1"/>
    </row>
    <row r="2169" ht="12.75" hidden="1" customHeight="1" outlineLevel="1">
      <c r="A2169" s="17">
        <v>41361.0</v>
      </c>
      <c r="B2169" s="1"/>
      <c r="C2169" s="1" t="s">
        <v>435</v>
      </c>
      <c r="D2169" s="74"/>
      <c r="E2169" s="67"/>
      <c r="F2169" s="75"/>
      <c r="G2169" s="67"/>
      <c r="H2169" s="68"/>
      <c r="I2169" s="76"/>
      <c r="J2169" s="67"/>
      <c r="K2169" s="7" t="s">
        <v>818</v>
      </c>
      <c r="L2169" s="77"/>
      <c r="M2169" s="79"/>
      <c r="N2169" s="1"/>
      <c r="O2169" s="1"/>
      <c r="P2169" s="1"/>
      <c r="Q2169" s="1"/>
      <c r="R2169" s="1"/>
      <c r="S2169" s="1"/>
      <c r="T2169" s="1"/>
      <c r="U2169" s="1"/>
      <c r="V2169" s="1"/>
      <c r="W2169" s="1"/>
      <c r="X2169" s="1"/>
      <c r="Y2169" s="1"/>
      <c r="Z2169" s="1"/>
      <c r="AA2169" s="1"/>
      <c r="AB2169" s="1"/>
      <c r="AC2169" s="1"/>
      <c r="AD2169" s="1"/>
      <c r="AE2169" s="1"/>
      <c r="AF2169" s="1"/>
      <c r="AG2169" s="1"/>
      <c r="AH2169" s="1"/>
    </row>
    <row r="2170" ht="12.75" hidden="1" customHeight="1" outlineLevel="1">
      <c r="A2170" s="17">
        <v>41362.0</v>
      </c>
      <c r="B2170" s="1"/>
      <c r="C2170" s="1" t="s">
        <v>339</v>
      </c>
      <c r="D2170" s="74"/>
      <c r="E2170" s="67"/>
      <c r="F2170" s="75"/>
      <c r="G2170" s="67"/>
      <c r="H2170" s="68"/>
      <c r="I2170" s="76"/>
      <c r="J2170" s="67"/>
      <c r="K2170" s="7" t="s">
        <v>937</v>
      </c>
      <c r="L2170" s="77"/>
      <c r="M2170" s="79"/>
      <c r="N2170" s="1"/>
      <c r="O2170" s="1"/>
      <c r="P2170" s="1"/>
      <c r="Q2170" s="1"/>
      <c r="R2170" s="1"/>
      <c r="S2170" s="1"/>
      <c r="T2170" s="1"/>
      <c r="U2170" s="1"/>
      <c r="V2170" s="1"/>
      <c r="W2170" s="1"/>
      <c r="X2170" s="1"/>
      <c r="Y2170" s="1"/>
      <c r="Z2170" s="1"/>
      <c r="AA2170" s="1"/>
      <c r="AB2170" s="1"/>
      <c r="AC2170" s="1"/>
      <c r="AD2170" s="1"/>
      <c r="AE2170" s="1"/>
      <c r="AF2170" s="1"/>
      <c r="AG2170" s="1"/>
      <c r="AH2170" s="1"/>
    </row>
    <row r="2171" ht="12.75" hidden="1" customHeight="1" outlineLevel="1">
      <c r="A2171" s="17">
        <v>41362.0</v>
      </c>
      <c r="B2171" s="1"/>
      <c r="C2171" s="1" t="s">
        <v>429</v>
      </c>
      <c r="D2171" s="74"/>
      <c r="E2171" s="67"/>
      <c r="F2171" s="75"/>
      <c r="G2171" s="67"/>
      <c r="H2171" s="68"/>
      <c r="I2171" s="76"/>
      <c r="J2171" s="67"/>
      <c r="K2171" s="7" t="s">
        <v>922</v>
      </c>
      <c r="L2171" s="77"/>
      <c r="M2171" s="79"/>
      <c r="N2171" s="1"/>
      <c r="O2171" s="1"/>
      <c r="P2171" s="1"/>
      <c r="Q2171" s="1"/>
      <c r="R2171" s="1"/>
      <c r="S2171" s="1"/>
      <c r="T2171" s="1"/>
      <c r="U2171" s="1"/>
      <c r="V2171" s="1"/>
      <c r="W2171" s="1"/>
      <c r="X2171" s="1"/>
      <c r="Y2171" s="1"/>
      <c r="Z2171" s="1"/>
      <c r="AA2171" s="1"/>
      <c r="AB2171" s="1"/>
      <c r="AC2171" s="1"/>
      <c r="AD2171" s="1"/>
      <c r="AE2171" s="1"/>
      <c r="AF2171" s="1"/>
      <c r="AG2171" s="1"/>
      <c r="AH2171" s="1"/>
    </row>
    <row r="2172" ht="12.75" hidden="1" customHeight="1" outlineLevel="1">
      <c r="A2172" s="17">
        <v>41362.0</v>
      </c>
      <c r="B2172" s="1"/>
      <c r="C2172" s="1" t="s">
        <v>431</v>
      </c>
      <c r="D2172" s="74"/>
      <c r="E2172" s="67"/>
      <c r="F2172" s="75"/>
      <c r="G2172" s="67"/>
      <c r="H2172" s="68"/>
      <c r="I2172" s="76"/>
      <c r="J2172" s="67"/>
      <c r="K2172" s="7" t="s">
        <v>817</v>
      </c>
      <c r="L2172" s="77"/>
      <c r="M2172" s="79"/>
      <c r="N2172" s="1"/>
      <c r="O2172" s="1"/>
      <c r="P2172" s="1"/>
      <c r="Q2172" s="1"/>
      <c r="R2172" s="1"/>
      <c r="S2172" s="1"/>
      <c r="T2172" s="1"/>
      <c r="U2172" s="1"/>
      <c r="V2172" s="1"/>
      <c r="W2172" s="1"/>
      <c r="X2172" s="1"/>
      <c r="Y2172" s="1"/>
      <c r="Z2172" s="1"/>
      <c r="AA2172" s="1"/>
      <c r="AB2172" s="1"/>
      <c r="AC2172" s="1"/>
      <c r="AD2172" s="1"/>
      <c r="AE2172" s="1"/>
      <c r="AF2172" s="1"/>
      <c r="AG2172" s="1"/>
      <c r="AH2172" s="1"/>
    </row>
    <row r="2173" ht="12.75" hidden="1" customHeight="1" outlineLevel="1">
      <c r="A2173" s="17">
        <v>41362.0</v>
      </c>
      <c r="B2173" s="1"/>
      <c r="C2173" s="1" t="s">
        <v>433</v>
      </c>
      <c r="D2173" s="74"/>
      <c r="E2173" s="67"/>
      <c r="F2173" s="75"/>
      <c r="G2173" s="67"/>
      <c r="H2173" s="68"/>
      <c r="I2173" s="76"/>
      <c r="J2173" s="67"/>
      <c r="K2173" s="7" t="s">
        <v>434</v>
      </c>
      <c r="L2173" s="77"/>
      <c r="M2173" s="79"/>
      <c r="N2173" s="1"/>
      <c r="O2173" s="1"/>
      <c r="P2173" s="1"/>
      <c r="Q2173" s="1"/>
      <c r="R2173" s="1"/>
      <c r="S2173" s="1"/>
      <c r="T2173" s="1"/>
      <c r="U2173" s="1"/>
      <c r="V2173" s="1"/>
      <c r="W2173" s="1"/>
      <c r="X2173" s="1"/>
      <c r="Y2173" s="1"/>
      <c r="Z2173" s="1"/>
      <c r="AA2173" s="1"/>
      <c r="AB2173" s="1"/>
      <c r="AC2173" s="1"/>
      <c r="AD2173" s="1"/>
      <c r="AE2173" s="1"/>
      <c r="AF2173" s="1"/>
      <c r="AG2173" s="1"/>
      <c r="AH2173" s="1"/>
    </row>
    <row r="2174" ht="12.75" hidden="1" customHeight="1" outlineLevel="1">
      <c r="A2174" s="17">
        <v>41362.0</v>
      </c>
      <c r="B2174" s="1"/>
      <c r="C2174" s="1" t="s">
        <v>435</v>
      </c>
      <c r="D2174" s="74"/>
      <c r="E2174" s="67"/>
      <c r="F2174" s="75"/>
      <c r="G2174" s="67"/>
      <c r="H2174" s="68"/>
      <c r="I2174" s="76"/>
      <c r="J2174" s="67"/>
      <c r="K2174" s="7" t="s">
        <v>818</v>
      </c>
      <c r="L2174" s="77"/>
      <c r="M2174" s="79"/>
      <c r="N2174" s="1"/>
      <c r="O2174" s="1"/>
      <c r="P2174" s="1"/>
      <c r="Q2174" s="1"/>
      <c r="R2174" s="1"/>
      <c r="S2174" s="1"/>
      <c r="T2174" s="1"/>
      <c r="U2174" s="1"/>
      <c r="V2174" s="1"/>
      <c r="W2174" s="1"/>
      <c r="X2174" s="1"/>
      <c r="Y2174" s="1"/>
      <c r="Z2174" s="1"/>
      <c r="AA2174" s="1"/>
      <c r="AB2174" s="1"/>
      <c r="AC2174" s="1"/>
      <c r="AD2174" s="1"/>
      <c r="AE2174" s="1"/>
      <c r="AF2174" s="1"/>
      <c r="AG2174" s="1"/>
      <c r="AH2174" s="1"/>
    </row>
    <row r="2175" ht="12.75" hidden="1" customHeight="1" outlineLevel="1">
      <c r="A2175" s="17">
        <v>41365.0</v>
      </c>
      <c r="B2175" s="1" t="s">
        <v>347</v>
      </c>
      <c r="C2175" s="1" t="s">
        <v>349</v>
      </c>
      <c r="D2175" s="74">
        <v>500.0</v>
      </c>
      <c r="E2175" s="67">
        <v>37.09</v>
      </c>
      <c r="F2175" s="75">
        <v>0.6647800925925925</v>
      </c>
      <c r="G2175" s="67" t="s">
        <v>453</v>
      </c>
      <c r="H2175" s="68">
        <v>2.0</v>
      </c>
      <c r="I2175" s="76"/>
      <c r="J2175" s="67">
        <f>IF(B2175="SLD",D2175*E2175,-D2175*E2175)-H2175</f>
        <v>18543</v>
      </c>
      <c r="K2175" s="7"/>
      <c r="L2175" s="70"/>
      <c r="M2175" s="79"/>
      <c r="N2175" s="1"/>
      <c r="O2175" s="1"/>
      <c r="P2175" s="1"/>
      <c r="Q2175" s="1"/>
      <c r="R2175" s="1"/>
      <c r="S2175" s="1"/>
      <c r="T2175" s="1"/>
      <c r="U2175" s="1"/>
      <c r="V2175" s="1"/>
      <c r="W2175" s="1"/>
      <c r="X2175" s="1"/>
      <c r="Y2175" s="1"/>
      <c r="Z2175" s="1"/>
      <c r="AA2175" s="1"/>
      <c r="AB2175" s="1"/>
      <c r="AC2175" s="1"/>
      <c r="AD2175" s="1"/>
      <c r="AE2175" s="1"/>
      <c r="AF2175" s="1"/>
      <c r="AG2175" s="1"/>
      <c r="AH2175" s="1"/>
    </row>
    <row r="2176" ht="12.75" hidden="1" customHeight="1" outlineLevel="1">
      <c r="A2176" s="17">
        <v>41365.0</v>
      </c>
      <c r="B2176" s="1"/>
      <c r="C2176" s="1" t="s">
        <v>339</v>
      </c>
      <c r="D2176" s="74"/>
      <c r="E2176" s="67"/>
      <c r="F2176" s="75"/>
      <c r="G2176" s="67"/>
      <c r="H2176" s="68"/>
      <c r="I2176" s="76"/>
      <c r="J2176" s="67"/>
      <c r="K2176" s="7" t="s">
        <v>939</v>
      </c>
      <c r="L2176" s="77"/>
      <c r="M2176" s="79"/>
      <c r="N2176" s="1"/>
      <c r="O2176" s="1"/>
      <c r="P2176" s="1"/>
      <c r="Q2176" s="1"/>
      <c r="R2176" s="1"/>
      <c r="S2176" s="1"/>
      <c r="T2176" s="1"/>
      <c r="U2176" s="1"/>
      <c r="V2176" s="1"/>
      <c r="W2176" s="1"/>
      <c r="X2176" s="1"/>
      <c r="Y2176" s="1"/>
      <c r="Z2176" s="1"/>
      <c r="AA2176" s="1"/>
      <c r="AB2176" s="1"/>
      <c r="AC2176" s="1"/>
      <c r="AD2176" s="1"/>
      <c r="AE2176" s="1"/>
      <c r="AF2176" s="1"/>
      <c r="AG2176" s="1"/>
      <c r="AH2176" s="1"/>
    </row>
    <row r="2177" ht="12.75" hidden="1" customHeight="1" outlineLevel="1">
      <c r="A2177" s="17">
        <v>41365.0</v>
      </c>
      <c r="B2177" s="1"/>
      <c r="C2177" s="1" t="s">
        <v>429</v>
      </c>
      <c r="D2177" s="74"/>
      <c r="E2177" s="67"/>
      <c r="F2177" s="75"/>
      <c r="G2177" s="67"/>
      <c r="H2177" s="68"/>
      <c r="I2177" s="76"/>
      <c r="J2177" s="67"/>
      <c r="K2177" s="7" t="s">
        <v>922</v>
      </c>
      <c r="L2177" s="77"/>
      <c r="M2177" s="79"/>
      <c r="N2177" s="1"/>
      <c r="O2177" s="1"/>
      <c r="P2177" s="1"/>
      <c r="Q2177" s="1"/>
      <c r="R2177" s="1"/>
      <c r="S2177" s="1"/>
      <c r="T2177" s="1"/>
      <c r="U2177" s="1"/>
      <c r="V2177" s="1"/>
      <c r="W2177" s="1"/>
      <c r="X2177" s="1"/>
      <c r="Y2177" s="1"/>
      <c r="Z2177" s="1"/>
      <c r="AA2177" s="1"/>
      <c r="AB2177" s="1"/>
      <c r="AC2177" s="1"/>
      <c r="AD2177" s="1"/>
      <c r="AE2177" s="1"/>
      <c r="AF2177" s="1"/>
      <c r="AG2177" s="1"/>
      <c r="AH2177" s="1"/>
    </row>
    <row r="2178" ht="12.75" hidden="1" customHeight="1" outlineLevel="1">
      <c r="A2178" s="17">
        <v>41365.0</v>
      </c>
      <c r="B2178" s="1"/>
      <c r="C2178" s="1" t="s">
        <v>431</v>
      </c>
      <c r="D2178" s="74"/>
      <c r="E2178" s="67"/>
      <c r="F2178" s="75"/>
      <c r="G2178" s="67"/>
      <c r="H2178" s="68"/>
      <c r="I2178" s="76"/>
      <c r="J2178" s="67"/>
      <c r="K2178" s="7" t="s">
        <v>817</v>
      </c>
      <c r="L2178" s="77"/>
      <c r="M2178" s="79"/>
      <c r="N2178" s="1"/>
      <c r="O2178" s="1"/>
      <c r="P2178" s="1"/>
      <c r="Q2178" s="1"/>
      <c r="R2178" s="1"/>
      <c r="S2178" s="1"/>
      <c r="T2178" s="1"/>
      <c r="U2178" s="1"/>
      <c r="V2178" s="1"/>
      <c r="W2178" s="1"/>
      <c r="X2178" s="1"/>
      <c r="Y2178" s="1"/>
      <c r="Z2178" s="1"/>
      <c r="AA2178" s="1"/>
      <c r="AB2178" s="1"/>
      <c r="AC2178" s="1"/>
      <c r="AD2178" s="1"/>
      <c r="AE2178" s="1"/>
      <c r="AF2178" s="1"/>
      <c r="AG2178" s="1"/>
      <c r="AH2178" s="1"/>
    </row>
    <row r="2179" ht="12.75" hidden="1" customHeight="1" outlineLevel="1">
      <c r="A2179" s="17">
        <v>41365.0</v>
      </c>
      <c r="B2179" s="1"/>
      <c r="C2179" s="1" t="s">
        <v>433</v>
      </c>
      <c r="D2179" s="74"/>
      <c r="E2179" s="67"/>
      <c r="F2179" s="75"/>
      <c r="G2179" s="67"/>
      <c r="H2179" s="68"/>
      <c r="I2179" s="76"/>
      <c r="J2179" s="67"/>
      <c r="K2179" s="7" t="s">
        <v>434</v>
      </c>
      <c r="L2179" s="77"/>
      <c r="M2179" s="79"/>
      <c r="N2179" s="1"/>
      <c r="O2179" s="1"/>
      <c r="P2179" s="1"/>
      <c r="Q2179" s="1"/>
      <c r="R2179" s="1"/>
      <c r="S2179" s="1"/>
      <c r="T2179" s="1"/>
      <c r="U2179" s="1"/>
      <c r="V2179" s="1"/>
      <c r="W2179" s="1"/>
      <c r="X2179" s="1"/>
      <c r="Y2179" s="1"/>
      <c r="Z2179" s="1"/>
      <c r="AA2179" s="1"/>
      <c r="AB2179" s="1"/>
      <c r="AC2179" s="1"/>
      <c r="AD2179" s="1"/>
      <c r="AE2179" s="1"/>
      <c r="AF2179" s="1"/>
      <c r="AG2179" s="1"/>
      <c r="AH2179" s="1"/>
    </row>
    <row r="2180" ht="12.75" hidden="1" customHeight="1" outlineLevel="1">
      <c r="A2180" s="17">
        <v>41365.0</v>
      </c>
      <c r="B2180" s="1"/>
      <c r="C2180" s="1" t="s">
        <v>435</v>
      </c>
      <c r="D2180" s="74"/>
      <c r="E2180" s="67"/>
      <c r="F2180" s="75"/>
      <c r="G2180" s="67"/>
      <c r="H2180" s="68"/>
      <c r="I2180" s="76"/>
      <c r="J2180" s="67"/>
      <c r="K2180" s="7" t="s">
        <v>818</v>
      </c>
      <c r="L2180" s="77"/>
      <c r="M2180" s="79"/>
      <c r="N2180" s="1"/>
      <c r="O2180" s="1"/>
      <c r="P2180" s="1"/>
      <c r="Q2180" s="1"/>
      <c r="R2180" s="1"/>
      <c r="S2180" s="1"/>
      <c r="T2180" s="1"/>
      <c r="U2180" s="1"/>
      <c r="V2180" s="1"/>
      <c r="W2180" s="1"/>
      <c r="X2180" s="1"/>
      <c r="Y2180" s="1"/>
      <c r="Z2180" s="1"/>
      <c r="AA2180" s="1"/>
      <c r="AB2180" s="1"/>
      <c r="AC2180" s="1"/>
      <c r="AD2180" s="1"/>
      <c r="AE2180" s="1"/>
      <c r="AF2180" s="1"/>
      <c r="AG2180" s="1"/>
      <c r="AH2180" s="1"/>
    </row>
    <row r="2181" ht="12.75" hidden="1" customHeight="1" outlineLevel="1">
      <c r="A2181" s="17">
        <v>41366.0</v>
      </c>
      <c r="B2181" s="1" t="s">
        <v>343</v>
      </c>
      <c r="C2181" s="1" t="s">
        <v>349</v>
      </c>
      <c r="D2181" s="74">
        <v>500.0</v>
      </c>
      <c r="E2181" s="67">
        <v>37.68</v>
      </c>
      <c r="F2181" s="75">
        <v>0.45699074074074075</v>
      </c>
      <c r="G2181" s="67" t="s">
        <v>453</v>
      </c>
      <c r="H2181" s="68">
        <v>2.0</v>
      </c>
      <c r="I2181" s="76"/>
      <c r="J2181" s="67">
        <f t="shared" ref="J2181:J2182" si="155">IF(B2181="SLD",D2181*E2181,-D2181*E2181)-H2181</f>
        <v>-18842</v>
      </c>
      <c r="K2181" s="7" t="s">
        <v>940</v>
      </c>
      <c r="L2181" s="70"/>
      <c r="M2181" s="79"/>
      <c r="N2181" s="1"/>
      <c r="O2181" s="1"/>
      <c r="P2181" s="1"/>
      <c r="Q2181" s="1"/>
      <c r="R2181" s="1"/>
      <c r="S2181" s="1"/>
      <c r="T2181" s="1"/>
      <c r="U2181" s="1"/>
      <c r="V2181" s="1"/>
      <c r="W2181" s="1"/>
      <c r="X2181" s="1"/>
      <c r="Y2181" s="1"/>
      <c r="Z2181" s="1"/>
      <c r="AA2181" s="1"/>
      <c r="AB2181" s="1"/>
      <c r="AC2181" s="1"/>
      <c r="AD2181" s="1"/>
      <c r="AE2181" s="1"/>
      <c r="AF2181" s="1"/>
      <c r="AG2181" s="1"/>
      <c r="AH2181" s="1"/>
    </row>
    <row r="2182" ht="12.75" hidden="1" customHeight="1" outlineLevel="1">
      <c r="A2182" s="17">
        <v>41366.0</v>
      </c>
      <c r="B2182" s="1" t="s">
        <v>343</v>
      </c>
      <c r="C2182" s="1" t="s">
        <v>902</v>
      </c>
      <c r="D2182" s="74">
        <v>400.0</v>
      </c>
      <c r="E2182" s="67">
        <v>41.16</v>
      </c>
      <c r="F2182" s="75">
        <v>0.4624652777777778</v>
      </c>
      <c r="G2182" s="67" t="s">
        <v>453</v>
      </c>
      <c r="H2182" s="68">
        <v>2.0</v>
      </c>
      <c r="I2182" s="76"/>
      <c r="J2182" s="67">
        <f t="shared" si="155"/>
        <v>-16466</v>
      </c>
      <c r="K2182" s="7"/>
      <c r="L2182" s="70"/>
      <c r="M2182" s="79"/>
      <c r="N2182" s="1"/>
      <c r="O2182" s="1"/>
      <c r="P2182" s="1"/>
      <c r="Q2182" s="1"/>
      <c r="R2182" s="1"/>
      <c r="S2182" s="1"/>
      <c r="T2182" s="1"/>
      <c r="U2182" s="1"/>
      <c r="V2182" s="1"/>
      <c r="W2182" s="1"/>
      <c r="X2182" s="1"/>
      <c r="Y2182" s="1"/>
      <c r="Z2182" s="1"/>
      <c r="AA2182" s="1"/>
      <c r="AB2182" s="1"/>
      <c r="AC2182" s="1"/>
      <c r="AD2182" s="1"/>
      <c r="AE2182" s="1"/>
      <c r="AF2182" s="1"/>
      <c r="AG2182" s="1"/>
      <c r="AH2182" s="1"/>
    </row>
    <row r="2183" ht="12.75" hidden="1" customHeight="1" outlineLevel="1">
      <c r="A2183" s="17">
        <v>41366.0</v>
      </c>
      <c r="B2183" s="1"/>
      <c r="C2183" s="1" t="s">
        <v>339</v>
      </c>
      <c r="D2183" s="74"/>
      <c r="E2183" s="67"/>
      <c r="F2183" s="75"/>
      <c r="G2183" s="67"/>
      <c r="H2183" s="68"/>
      <c r="I2183" s="76"/>
      <c r="J2183" s="67"/>
      <c r="K2183" s="7" t="s">
        <v>941</v>
      </c>
      <c r="L2183" s="77"/>
      <c r="M2183" s="79"/>
      <c r="N2183" s="1"/>
      <c r="O2183" s="1"/>
      <c r="P2183" s="1"/>
      <c r="Q2183" s="1"/>
      <c r="R2183" s="1"/>
      <c r="S2183" s="1"/>
      <c r="T2183" s="1"/>
      <c r="U2183" s="1"/>
      <c r="V2183" s="1"/>
      <c r="W2183" s="1"/>
      <c r="X2183" s="1"/>
      <c r="Y2183" s="1"/>
      <c r="Z2183" s="1"/>
      <c r="AA2183" s="1"/>
      <c r="AB2183" s="1"/>
      <c r="AC2183" s="1"/>
      <c r="AD2183" s="1"/>
      <c r="AE2183" s="1"/>
      <c r="AF2183" s="1"/>
      <c r="AG2183" s="1"/>
      <c r="AH2183" s="1"/>
    </row>
    <row r="2184" ht="12.75" hidden="1" customHeight="1" outlineLevel="1">
      <c r="A2184" s="17">
        <v>41366.0</v>
      </c>
      <c r="B2184" s="1"/>
      <c r="C2184" s="1" t="s">
        <v>429</v>
      </c>
      <c r="D2184" s="74"/>
      <c r="E2184" s="67"/>
      <c r="F2184" s="75"/>
      <c r="G2184" s="67"/>
      <c r="H2184" s="68"/>
      <c r="I2184" s="76"/>
      <c r="J2184" s="67"/>
      <c r="K2184" s="7" t="s">
        <v>922</v>
      </c>
      <c r="L2184" s="77"/>
      <c r="M2184" s="79"/>
      <c r="N2184" s="1"/>
      <c r="O2184" s="1"/>
      <c r="P2184" s="1"/>
      <c r="Q2184" s="1"/>
      <c r="R2184" s="1"/>
      <c r="S2184" s="1"/>
      <c r="T2184" s="1"/>
      <c r="U2184" s="1"/>
      <c r="V2184" s="1"/>
      <c r="W2184" s="1"/>
      <c r="X2184" s="1"/>
      <c r="Y2184" s="1"/>
      <c r="Z2184" s="1"/>
      <c r="AA2184" s="1"/>
      <c r="AB2184" s="1"/>
      <c r="AC2184" s="1"/>
      <c r="AD2184" s="1"/>
      <c r="AE2184" s="1"/>
      <c r="AF2184" s="1"/>
      <c r="AG2184" s="1"/>
      <c r="AH2184" s="1"/>
    </row>
    <row r="2185" ht="12.75" hidden="1" customHeight="1" outlineLevel="1">
      <c r="A2185" s="17">
        <v>41366.0</v>
      </c>
      <c r="B2185" s="1"/>
      <c r="C2185" s="1" t="s">
        <v>431</v>
      </c>
      <c r="D2185" s="74"/>
      <c r="E2185" s="67"/>
      <c r="F2185" s="75"/>
      <c r="G2185" s="67"/>
      <c r="H2185" s="68"/>
      <c r="I2185" s="76"/>
      <c r="J2185" s="67"/>
      <c r="K2185" s="7" t="s">
        <v>817</v>
      </c>
      <c r="L2185" s="77"/>
      <c r="M2185" s="79"/>
      <c r="N2185" s="1"/>
      <c r="O2185" s="1"/>
      <c r="P2185" s="1"/>
      <c r="Q2185" s="1"/>
      <c r="R2185" s="1"/>
      <c r="S2185" s="1"/>
      <c r="T2185" s="1"/>
      <c r="U2185" s="1"/>
      <c r="V2185" s="1"/>
      <c r="W2185" s="1"/>
      <c r="X2185" s="1"/>
      <c r="Y2185" s="1"/>
      <c r="Z2185" s="1"/>
      <c r="AA2185" s="1"/>
      <c r="AB2185" s="1"/>
      <c r="AC2185" s="1"/>
      <c r="AD2185" s="1"/>
      <c r="AE2185" s="1"/>
      <c r="AF2185" s="1"/>
      <c r="AG2185" s="1"/>
      <c r="AH2185" s="1"/>
    </row>
    <row r="2186" ht="12.75" hidden="1" customHeight="1" outlineLevel="1">
      <c r="A2186" s="17">
        <v>41366.0</v>
      </c>
      <c r="B2186" s="1"/>
      <c r="C2186" s="1" t="s">
        <v>433</v>
      </c>
      <c r="D2186" s="74"/>
      <c r="E2186" s="67"/>
      <c r="F2186" s="75"/>
      <c r="G2186" s="67"/>
      <c r="H2186" s="68"/>
      <c r="I2186" s="76"/>
      <c r="J2186" s="67"/>
      <c r="K2186" s="7" t="s">
        <v>434</v>
      </c>
      <c r="L2186" s="77"/>
      <c r="M2186" s="79"/>
      <c r="N2186" s="1"/>
      <c r="O2186" s="1"/>
      <c r="P2186" s="1"/>
      <c r="Q2186" s="1"/>
      <c r="R2186" s="1"/>
      <c r="S2186" s="1"/>
      <c r="T2186" s="1"/>
      <c r="U2186" s="1"/>
      <c r="V2186" s="1"/>
      <c r="W2186" s="1"/>
      <c r="X2186" s="1"/>
      <c r="Y2186" s="1"/>
      <c r="Z2186" s="1"/>
      <c r="AA2186" s="1"/>
      <c r="AB2186" s="1"/>
      <c r="AC2186" s="1"/>
      <c r="AD2186" s="1"/>
      <c r="AE2186" s="1"/>
      <c r="AF2186" s="1"/>
      <c r="AG2186" s="1"/>
      <c r="AH2186" s="1"/>
    </row>
    <row r="2187" ht="12.75" hidden="1" customHeight="1" outlineLevel="1">
      <c r="A2187" s="17">
        <v>41366.0</v>
      </c>
      <c r="B2187" s="1"/>
      <c r="C2187" s="1" t="s">
        <v>435</v>
      </c>
      <c r="D2187" s="74"/>
      <c r="E2187" s="67"/>
      <c r="F2187" s="75"/>
      <c r="G2187" s="67"/>
      <c r="H2187" s="68"/>
      <c r="I2187" s="76"/>
      <c r="J2187" s="67"/>
      <c r="K2187" s="7" t="s">
        <v>818</v>
      </c>
      <c r="L2187" s="77"/>
      <c r="M2187" s="79"/>
      <c r="N2187" s="1"/>
      <c r="O2187" s="1"/>
      <c r="P2187" s="1"/>
      <c r="Q2187" s="1"/>
      <c r="R2187" s="1"/>
      <c r="S2187" s="1"/>
      <c r="T2187" s="1"/>
      <c r="U2187" s="1"/>
      <c r="V2187" s="1"/>
      <c r="W2187" s="1"/>
      <c r="X2187" s="1"/>
      <c r="Y2187" s="1"/>
      <c r="Z2187" s="1"/>
      <c r="AA2187" s="1"/>
      <c r="AB2187" s="1"/>
      <c r="AC2187" s="1"/>
      <c r="AD2187" s="1"/>
      <c r="AE2187" s="1"/>
      <c r="AF2187" s="1"/>
      <c r="AG2187" s="1"/>
      <c r="AH2187" s="1"/>
    </row>
    <row r="2188" ht="12.75" hidden="1" customHeight="1" outlineLevel="1">
      <c r="A2188" s="17">
        <v>41367.0</v>
      </c>
      <c r="B2188" s="1" t="s">
        <v>347</v>
      </c>
      <c r="C2188" s="1" t="s">
        <v>903</v>
      </c>
      <c r="D2188" s="74">
        <v>250.0</v>
      </c>
      <c r="E2188" s="67">
        <v>62.65</v>
      </c>
      <c r="F2188" s="75">
        <v>0.568599537037037</v>
      </c>
      <c r="G2188" s="67" t="s">
        <v>453</v>
      </c>
      <c r="H2188" s="68">
        <v>1.0</v>
      </c>
      <c r="I2188" s="76"/>
      <c r="J2188" s="67">
        <f t="shared" ref="J2188:J2200" si="156">IF(B2188="SLD",D2188*E2188,-D2188*E2188)-H2188</f>
        <v>15661.5</v>
      </c>
      <c r="K2188" s="7" t="s">
        <v>942</v>
      </c>
      <c r="L2188" s="70"/>
      <c r="M2188" s="79"/>
      <c r="N2188" s="1"/>
      <c r="O2188" s="1"/>
      <c r="P2188" s="1"/>
      <c r="Q2188" s="1"/>
      <c r="R2188" s="1"/>
      <c r="S2188" s="1"/>
      <c r="T2188" s="1"/>
      <c r="U2188" s="1"/>
      <c r="V2188" s="1"/>
      <c r="W2188" s="1"/>
      <c r="X2188" s="1"/>
      <c r="Y2188" s="1"/>
      <c r="Z2188" s="1"/>
      <c r="AA2188" s="1"/>
      <c r="AB2188" s="1"/>
      <c r="AC2188" s="1"/>
      <c r="AD2188" s="1"/>
      <c r="AE2188" s="1"/>
      <c r="AF2188" s="1"/>
      <c r="AG2188" s="1"/>
      <c r="AH2188" s="1"/>
    </row>
    <row r="2189" ht="12.75" hidden="1" customHeight="1" outlineLevel="1">
      <c r="A2189" s="17">
        <v>41367.0</v>
      </c>
      <c r="B2189" s="1" t="s">
        <v>347</v>
      </c>
      <c r="C2189" s="1" t="s">
        <v>881</v>
      </c>
      <c r="D2189" s="74">
        <v>300.0</v>
      </c>
      <c r="E2189" s="67">
        <v>30.9</v>
      </c>
      <c r="F2189" s="75">
        <v>0.5688773148148148</v>
      </c>
      <c r="G2189" s="67" t="s">
        <v>453</v>
      </c>
      <c r="H2189" s="68">
        <v>1.4</v>
      </c>
      <c r="I2189" s="76"/>
      <c r="J2189" s="67">
        <f t="shared" si="156"/>
        <v>9268.6</v>
      </c>
      <c r="K2189" s="7" t="s">
        <v>942</v>
      </c>
      <c r="L2189" s="70"/>
      <c r="M2189" s="79"/>
      <c r="N2189" s="1"/>
      <c r="O2189" s="1"/>
      <c r="P2189" s="1"/>
      <c r="Q2189" s="1"/>
      <c r="R2189" s="1"/>
      <c r="S2189" s="1"/>
      <c r="T2189" s="1"/>
      <c r="U2189" s="1"/>
      <c r="V2189" s="1"/>
      <c r="W2189" s="1"/>
      <c r="X2189" s="1"/>
      <c r="Y2189" s="1"/>
      <c r="Z2189" s="1"/>
      <c r="AA2189" s="1"/>
      <c r="AB2189" s="1"/>
      <c r="AC2189" s="1"/>
      <c r="AD2189" s="1"/>
      <c r="AE2189" s="1"/>
      <c r="AF2189" s="1"/>
      <c r="AG2189" s="1"/>
      <c r="AH2189" s="1"/>
    </row>
    <row r="2190" ht="12.75" hidden="1" customHeight="1" outlineLevel="1">
      <c r="A2190" s="17">
        <v>41367.0</v>
      </c>
      <c r="B2190" s="1" t="s">
        <v>347</v>
      </c>
      <c r="C2190" s="1" t="s">
        <v>857</v>
      </c>
      <c r="D2190" s="74">
        <v>1500.0</v>
      </c>
      <c r="E2190" s="67">
        <v>10.72</v>
      </c>
      <c r="F2190" s="75">
        <v>0.5704745370370371</v>
      </c>
      <c r="G2190" s="67" t="s">
        <v>453</v>
      </c>
      <c r="H2190" s="68">
        <v>6.0</v>
      </c>
      <c r="I2190" s="76"/>
      <c r="J2190" s="67">
        <f t="shared" si="156"/>
        <v>16074</v>
      </c>
      <c r="K2190" s="7" t="s">
        <v>942</v>
      </c>
      <c r="L2190" s="70"/>
      <c r="M2190" s="79"/>
      <c r="N2190" s="1"/>
      <c r="O2190" s="1"/>
      <c r="P2190" s="1"/>
      <c r="Q2190" s="1"/>
      <c r="R2190" s="1"/>
      <c r="S2190" s="1"/>
      <c r="T2190" s="1"/>
      <c r="U2190" s="1"/>
      <c r="V2190" s="1"/>
      <c r="W2190" s="1"/>
      <c r="X2190" s="1"/>
      <c r="Y2190" s="1"/>
      <c r="Z2190" s="1"/>
      <c r="AA2190" s="1"/>
      <c r="AB2190" s="1"/>
      <c r="AC2190" s="1"/>
      <c r="AD2190" s="1"/>
      <c r="AE2190" s="1"/>
      <c r="AF2190" s="1"/>
      <c r="AG2190" s="1"/>
      <c r="AH2190" s="1"/>
    </row>
    <row r="2191" ht="12.75" hidden="1" customHeight="1" outlineLevel="1">
      <c r="A2191" s="17">
        <v>41367.0</v>
      </c>
      <c r="B2191" s="1" t="s">
        <v>347</v>
      </c>
      <c r="C2191" s="1" t="s">
        <v>349</v>
      </c>
      <c r="D2191" s="74">
        <v>500.0</v>
      </c>
      <c r="E2191" s="67">
        <v>38.22</v>
      </c>
      <c r="F2191" s="75">
        <v>0.572511574074074</v>
      </c>
      <c r="G2191" s="67" t="s">
        <v>453</v>
      </c>
      <c r="H2191" s="68">
        <v>2.0</v>
      </c>
      <c r="I2191" s="76"/>
      <c r="J2191" s="67">
        <f t="shared" si="156"/>
        <v>19108</v>
      </c>
      <c r="K2191" s="7" t="s">
        <v>942</v>
      </c>
      <c r="L2191" s="70"/>
      <c r="M2191" s="79"/>
      <c r="N2191" s="1"/>
      <c r="O2191" s="1"/>
      <c r="P2191" s="1"/>
      <c r="Q2191" s="1"/>
      <c r="R2191" s="1"/>
      <c r="S2191" s="1"/>
      <c r="T2191" s="1"/>
      <c r="U2191" s="1"/>
      <c r="V2191" s="1"/>
      <c r="W2191" s="1"/>
      <c r="X2191" s="1"/>
      <c r="Y2191" s="1"/>
      <c r="Z2191" s="1"/>
      <c r="AA2191" s="1"/>
      <c r="AB2191" s="1"/>
      <c r="AC2191" s="1"/>
      <c r="AD2191" s="1"/>
      <c r="AE2191" s="1"/>
      <c r="AF2191" s="1"/>
      <c r="AG2191" s="1"/>
      <c r="AH2191" s="1"/>
    </row>
    <row r="2192" ht="12.75" hidden="1" customHeight="1" outlineLevel="1">
      <c r="A2192" s="17">
        <v>41367.0</v>
      </c>
      <c r="B2192" s="1" t="s">
        <v>347</v>
      </c>
      <c r="C2192" s="1" t="s">
        <v>902</v>
      </c>
      <c r="D2192" s="74">
        <v>400.0</v>
      </c>
      <c r="E2192" s="67">
        <v>40.81</v>
      </c>
      <c r="F2192" s="75">
        <v>0.5727199074074074</v>
      </c>
      <c r="G2192" s="67" t="s">
        <v>453</v>
      </c>
      <c r="H2192" s="68">
        <v>2.0</v>
      </c>
      <c r="I2192" s="76"/>
      <c r="J2192" s="67">
        <f t="shared" si="156"/>
        <v>16322</v>
      </c>
      <c r="K2192" s="7" t="s">
        <v>942</v>
      </c>
      <c r="L2192" s="70"/>
      <c r="M2192" s="79"/>
      <c r="N2192" s="1"/>
      <c r="O2192" s="1"/>
      <c r="P2192" s="1"/>
      <c r="Q2192" s="1"/>
      <c r="R2192" s="1"/>
      <c r="S2192" s="1"/>
      <c r="T2192" s="1"/>
      <c r="U2192" s="1"/>
      <c r="V2192" s="1"/>
      <c r="W2192" s="1"/>
      <c r="X2192" s="1"/>
      <c r="Y2192" s="1"/>
      <c r="Z2192" s="1"/>
      <c r="AA2192" s="1"/>
      <c r="AB2192" s="1"/>
      <c r="AC2192" s="1"/>
      <c r="AD2192" s="1"/>
      <c r="AE2192" s="1"/>
      <c r="AF2192" s="1"/>
      <c r="AG2192" s="1"/>
      <c r="AH2192" s="1"/>
    </row>
    <row r="2193" ht="12.75" hidden="1" customHeight="1" outlineLevel="1">
      <c r="A2193" s="17">
        <v>41367.0</v>
      </c>
      <c r="B2193" s="1" t="s">
        <v>347</v>
      </c>
      <c r="C2193" s="1" t="s">
        <v>344</v>
      </c>
      <c r="D2193" s="74">
        <v>600.0</v>
      </c>
      <c r="E2193" s="67">
        <v>38.38</v>
      </c>
      <c r="F2193" s="75">
        <v>0.5736921296296297</v>
      </c>
      <c r="G2193" s="67" t="s">
        <v>453</v>
      </c>
      <c r="H2193" s="68">
        <v>2.4</v>
      </c>
      <c r="I2193" s="76"/>
      <c r="J2193" s="67">
        <f t="shared" si="156"/>
        <v>23025.6</v>
      </c>
      <c r="K2193" s="7" t="s">
        <v>944</v>
      </c>
      <c r="L2193" s="70"/>
      <c r="M2193" s="79"/>
      <c r="N2193" s="1"/>
      <c r="O2193" s="1"/>
      <c r="P2193" s="1"/>
      <c r="Q2193" s="1"/>
      <c r="R2193" s="1"/>
      <c r="S2193" s="1"/>
      <c r="T2193" s="1"/>
      <c r="U2193" s="1"/>
      <c r="V2193" s="1"/>
      <c r="W2193" s="1"/>
      <c r="X2193" s="1"/>
      <c r="Y2193" s="1"/>
      <c r="Z2193" s="1"/>
      <c r="AA2193" s="1"/>
      <c r="AB2193" s="1"/>
      <c r="AC2193" s="1"/>
      <c r="AD2193" s="1"/>
      <c r="AE2193" s="1"/>
      <c r="AF2193" s="1"/>
      <c r="AG2193" s="1"/>
      <c r="AH2193" s="1"/>
    </row>
    <row r="2194" ht="12.75" hidden="1" customHeight="1" outlineLevel="1">
      <c r="A2194" s="17">
        <v>41367.0</v>
      </c>
      <c r="B2194" s="1" t="s">
        <v>347</v>
      </c>
      <c r="C2194" s="1" t="s">
        <v>868</v>
      </c>
      <c r="D2194" s="74">
        <v>500.0</v>
      </c>
      <c r="E2194" s="67">
        <v>32.3</v>
      </c>
      <c r="F2194" s="75">
        <v>0.5747569444444445</v>
      </c>
      <c r="G2194" s="67" t="s">
        <v>453</v>
      </c>
      <c r="H2194" s="68">
        <v>2.5</v>
      </c>
      <c r="I2194" s="76"/>
      <c r="J2194" s="67">
        <f t="shared" si="156"/>
        <v>16147.5</v>
      </c>
      <c r="K2194" s="7" t="s">
        <v>944</v>
      </c>
      <c r="L2194" s="70"/>
      <c r="M2194" s="79"/>
      <c r="N2194" s="1"/>
      <c r="O2194" s="1"/>
      <c r="P2194" s="1"/>
      <c r="Q2194" s="1"/>
      <c r="R2194" s="1"/>
      <c r="S2194" s="1"/>
      <c r="T2194" s="1"/>
      <c r="U2194" s="1"/>
      <c r="V2194" s="1"/>
      <c r="W2194" s="1"/>
      <c r="X2194" s="1"/>
      <c r="Y2194" s="1"/>
      <c r="Z2194" s="1"/>
      <c r="AA2194" s="1"/>
      <c r="AB2194" s="1"/>
      <c r="AC2194" s="1"/>
      <c r="AD2194" s="1"/>
      <c r="AE2194" s="1"/>
      <c r="AF2194" s="1"/>
      <c r="AG2194" s="1"/>
      <c r="AH2194" s="1"/>
    </row>
    <row r="2195" ht="12.75" hidden="1" customHeight="1" outlineLevel="1">
      <c r="A2195" s="17">
        <v>41367.0</v>
      </c>
      <c r="B2195" s="1" t="s">
        <v>347</v>
      </c>
      <c r="C2195" s="1" t="s">
        <v>869</v>
      </c>
      <c r="D2195" s="74">
        <v>500.0</v>
      </c>
      <c r="E2195" s="67">
        <v>21.52</v>
      </c>
      <c r="F2195" s="75">
        <v>0.5751388888888889</v>
      </c>
      <c r="G2195" s="67" t="s">
        <v>453</v>
      </c>
      <c r="H2195" s="68">
        <v>2.5</v>
      </c>
      <c r="I2195" s="76"/>
      <c r="J2195" s="67">
        <f t="shared" si="156"/>
        <v>10757.5</v>
      </c>
      <c r="K2195" s="7" t="s">
        <v>944</v>
      </c>
      <c r="L2195" s="70"/>
      <c r="M2195" s="79"/>
      <c r="N2195" s="1"/>
      <c r="O2195" s="1"/>
      <c r="P2195" s="1"/>
      <c r="Q2195" s="1"/>
      <c r="R2195" s="1"/>
      <c r="S2195" s="1"/>
      <c r="T2195" s="1"/>
      <c r="U2195" s="1"/>
      <c r="V2195" s="1"/>
      <c r="W2195" s="1"/>
      <c r="X2195" s="1"/>
      <c r="Y2195" s="1"/>
      <c r="Z2195" s="1"/>
      <c r="AA2195" s="1"/>
      <c r="AB2195" s="1"/>
      <c r="AC2195" s="1"/>
      <c r="AD2195" s="1"/>
      <c r="AE2195" s="1"/>
      <c r="AF2195" s="1"/>
      <c r="AG2195" s="1"/>
      <c r="AH2195" s="1"/>
    </row>
    <row r="2196" ht="12.75" hidden="1" customHeight="1" outlineLevel="1">
      <c r="A2196" s="17">
        <v>41367.0</v>
      </c>
      <c r="B2196" s="1" t="s">
        <v>347</v>
      </c>
      <c r="C2196" s="1" t="s">
        <v>911</v>
      </c>
      <c r="D2196" s="74">
        <v>400.0</v>
      </c>
      <c r="E2196" s="67">
        <v>40.59</v>
      </c>
      <c r="F2196" s="75">
        <v>0.5758101851851852</v>
      </c>
      <c r="G2196" s="67" t="s">
        <v>453</v>
      </c>
      <c r="H2196" s="68">
        <v>2.0</v>
      </c>
      <c r="I2196" s="76"/>
      <c r="J2196" s="67">
        <f t="shared" si="156"/>
        <v>16234</v>
      </c>
      <c r="K2196" s="7" t="s">
        <v>944</v>
      </c>
      <c r="L2196" s="70"/>
      <c r="M2196" s="79"/>
      <c r="N2196" s="1"/>
      <c r="O2196" s="1"/>
      <c r="P2196" s="1"/>
      <c r="Q2196" s="1"/>
      <c r="R2196" s="1"/>
      <c r="S2196" s="1"/>
      <c r="T2196" s="1"/>
      <c r="U2196" s="1"/>
      <c r="V2196" s="1"/>
      <c r="W2196" s="1"/>
      <c r="X2196" s="1"/>
      <c r="Y2196" s="1"/>
      <c r="Z2196" s="1"/>
      <c r="AA2196" s="1"/>
      <c r="AB2196" s="1"/>
      <c r="AC2196" s="1"/>
      <c r="AD2196" s="1"/>
      <c r="AE2196" s="1"/>
      <c r="AF2196" s="1"/>
      <c r="AG2196" s="1"/>
      <c r="AH2196" s="1"/>
    </row>
    <row r="2197" ht="12.75" hidden="1" customHeight="1" outlineLevel="1">
      <c r="A2197" s="17">
        <v>41367.0</v>
      </c>
      <c r="B2197" s="1" t="s">
        <v>347</v>
      </c>
      <c r="C2197" s="1" t="s">
        <v>851</v>
      </c>
      <c r="D2197" s="74">
        <v>968.0</v>
      </c>
      <c r="E2197" s="67">
        <v>20.22</v>
      </c>
      <c r="F2197" s="75">
        <v>0.5778240740740741</v>
      </c>
      <c r="G2197" s="67" t="s">
        <v>453</v>
      </c>
      <c r="H2197" s="68">
        <v>4.74</v>
      </c>
      <c r="I2197" s="76"/>
      <c r="J2197" s="67">
        <f t="shared" si="156"/>
        <v>19568.22</v>
      </c>
      <c r="K2197" s="7" t="s">
        <v>942</v>
      </c>
      <c r="L2197" s="70"/>
      <c r="M2197" s="79"/>
      <c r="N2197" s="1"/>
      <c r="O2197" s="1"/>
      <c r="P2197" s="1"/>
      <c r="Q2197" s="1"/>
      <c r="R2197" s="1"/>
      <c r="S2197" s="1"/>
      <c r="T2197" s="1"/>
      <c r="U2197" s="1"/>
      <c r="V2197" s="1"/>
      <c r="W2197" s="1"/>
      <c r="X2197" s="1"/>
      <c r="Y2197" s="1"/>
      <c r="Z2197" s="1"/>
      <c r="AA2197" s="1"/>
      <c r="AB2197" s="1"/>
      <c r="AC2197" s="1"/>
      <c r="AD2197" s="1"/>
      <c r="AE2197" s="1"/>
      <c r="AF2197" s="1"/>
      <c r="AG2197" s="1"/>
      <c r="AH2197" s="1"/>
    </row>
    <row r="2198" ht="12.75" hidden="1" customHeight="1" outlineLevel="1">
      <c r="A2198" s="17">
        <v>41367.0</v>
      </c>
      <c r="B2198" s="1" t="s">
        <v>347</v>
      </c>
      <c r="C2198" s="1" t="s">
        <v>356</v>
      </c>
      <c r="D2198" s="74">
        <v>70.0</v>
      </c>
      <c r="E2198" s="67">
        <v>260.42</v>
      </c>
      <c r="F2198" s="75">
        <v>0.5804976851851852</v>
      </c>
      <c r="G2198" s="67" t="s">
        <v>453</v>
      </c>
      <c r="H2198" s="68">
        <v>1.0</v>
      </c>
      <c r="I2198" s="76"/>
      <c r="J2198" s="67">
        <f t="shared" si="156"/>
        <v>18228.4</v>
      </c>
      <c r="K2198" s="7" t="s">
        <v>944</v>
      </c>
      <c r="L2198" s="70"/>
      <c r="M2198" s="79"/>
      <c r="N2198" s="1"/>
      <c r="O2198" s="1"/>
      <c r="P2198" s="1"/>
      <c r="Q2198" s="1"/>
      <c r="R2198" s="1"/>
      <c r="S2198" s="1"/>
      <c r="T2198" s="1"/>
      <c r="U2198" s="1"/>
      <c r="V2198" s="1"/>
      <c r="W2198" s="1"/>
      <c r="X2198" s="1"/>
      <c r="Y2198" s="1"/>
      <c r="Z2198" s="1"/>
      <c r="AA2198" s="1"/>
      <c r="AB2198" s="1"/>
      <c r="AC2198" s="1"/>
      <c r="AD2198" s="1"/>
      <c r="AE2198" s="1"/>
      <c r="AF2198" s="1"/>
      <c r="AG2198" s="1"/>
      <c r="AH2198" s="1"/>
    </row>
    <row r="2199" ht="12.75" hidden="1" customHeight="1" outlineLevel="1">
      <c r="A2199" s="17">
        <v>41367.0</v>
      </c>
      <c r="B2199" s="1" t="s">
        <v>347</v>
      </c>
      <c r="C2199" s="1" t="s">
        <v>734</v>
      </c>
      <c r="D2199" s="74">
        <v>300.0</v>
      </c>
      <c r="E2199" s="67">
        <v>22.76</v>
      </c>
      <c r="F2199" s="75">
        <v>0.5843634259259259</v>
      </c>
      <c r="G2199" s="67" t="s">
        <v>453</v>
      </c>
      <c r="H2199" s="68">
        <v>1.5</v>
      </c>
      <c r="I2199" s="76"/>
      <c r="J2199" s="67">
        <f t="shared" si="156"/>
        <v>6826.5</v>
      </c>
      <c r="K2199" s="7" t="s">
        <v>942</v>
      </c>
      <c r="L2199" s="70"/>
      <c r="M2199" s="79"/>
      <c r="N2199" s="1"/>
      <c r="O2199" s="1"/>
      <c r="P2199" s="1"/>
      <c r="Q2199" s="1"/>
      <c r="R2199" s="1"/>
      <c r="S2199" s="1"/>
      <c r="T2199" s="1"/>
      <c r="U2199" s="1"/>
      <c r="V2199" s="1"/>
      <c r="W2199" s="1"/>
      <c r="X2199" s="1"/>
      <c r="Y2199" s="1"/>
      <c r="Z2199" s="1"/>
      <c r="AA2199" s="1"/>
      <c r="AB2199" s="1"/>
      <c r="AC2199" s="1"/>
      <c r="AD2199" s="1"/>
      <c r="AE2199" s="1"/>
      <c r="AF2199" s="1"/>
      <c r="AG2199" s="1"/>
      <c r="AH2199" s="1"/>
    </row>
    <row r="2200" ht="12.75" hidden="1" customHeight="1" outlineLevel="1">
      <c r="A2200" s="17">
        <v>41367.0</v>
      </c>
      <c r="B2200" s="1" t="s">
        <v>347</v>
      </c>
      <c r="C2200" s="1" t="s">
        <v>681</v>
      </c>
      <c r="D2200" s="74">
        <v>1000.0</v>
      </c>
      <c r="E2200" s="67">
        <v>17.94</v>
      </c>
      <c r="F2200" s="75">
        <v>0.5878356481481481</v>
      </c>
      <c r="G2200" s="67" t="s">
        <v>453</v>
      </c>
      <c r="H2200" s="68">
        <v>5.0</v>
      </c>
      <c r="I2200" s="76"/>
      <c r="J2200" s="67">
        <f t="shared" si="156"/>
        <v>17935</v>
      </c>
      <c r="K2200" s="7" t="s">
        <v>944</v>
      </c>
      <c r="L2200" s="70"/>
      <c r="M2200" s="79"/>
      <c r="N2200" s="1"/>
      <c r="O2200" s="1"/>
      <c r="P2200" s="1"/>
      <c r="Q2200" s="1"/>
      <c r="R2200" s="1"/>
      <c r="S2200" s="1"/>
      <c r="T2200" s="1"/>
      <c r="U2200" s="1"/>
      <c r="V2200" s="1"/>
      <c r="W2200" s="1"/>
      <c r="X2200" s="1"/>
      <c r="Y2200" s="1"/>
      <c r="Z2200" s="1"/>
      <c r="AA2200" s="1"/>
      <c r="AB2200" s="1"/>
      <c r="AC2200" s="1"/>
      <c r="AD2200" s="1"/>
      <c r="AE2200" s="1"/>
      <c r="AF2200" s="1"/>
      <c r="AG2200" s="1"/>
      <c r="AH2200" s="1"/>
    </row>
    <row r="2201" ht="12.75" hidden="1" customHeight="1" outlineLevel="1">
      <c r="A2201" s="17">
        <v>41367.0</v>
      </c>
      <c r="B2201" s="1"/>
      <c r="C2201" s="1" t="s">
        <v>339</v>
      </c>
      <c r="D2201" s="74"/>
      <c r="E2201" s="67"/>
      <c r="F2201" s="75"/>
      <c r="G2201" s="67"/>
      <c r="H2201" s="68"/>
      <c r="I2201" s="76"/>
      <c r="J2201" s="67"/>
      <c r="K2201" s="7" t="s">
        <v>950</v>
      </c>
      <c r="L2201" s="77"/>
      <c r="M2201" s="79"/>
      <c r="N2201" s="1"/>
      <c r="O2201" s="1"/>
      <c r="P2201" s="1"/>
      <c r="Q2201" s="1"/>
      <c r="R2201" s="1"/>
      <c r="S2201" s="1"/>
      <c r="T2201" s="1"/>
      <c r="U2201" s="1"/>
      <c r="V2201" s="1"/>
      <c r="W2201" s="1"/>
      <c r="X2201" s="1"/>
      <c r="Y2201" s="1"/>
      <c r="Z2201" s="1"/>
      <c r="AA2201" s="1"/>
      <c r="AB2201" s="1"/>
      <c r="AC2201" s="1"/>
      <c r="AD2201" s="1"/>
      <c r="AE2201" s="1"/>
      <c r="AF2201" s="1"/>
      <c r="AG2201" s="1"/>
      <c r="AH2201" s="1"/>
    </row>
    <row r="2202" ht="12.75" hidden="1" customHeight="1" outlineLevel="1">
      <c r="A2202" s="17">
        <v>41367.0</v>
      </c>
      <c r="B2202" s="1"/>
      <c r="C2202" s="1" t="s">
        <v>429</v>
      </c>
      <c r="D2202" s="74"/>
      <c r="E2202" s="67"/>
      <c r="F2202" s="75"/>
      <c r="G2202" s="67"/>
      <c r="H2202" s="68"/>
      <c r="I2202" s="76"/>
      <c r="J2202" s="67"/>
      <c r="K2202" s="7" t="s">
        <v>922</v>
      </c>
      <c r="L2202" s="77"/>
      <c r="M2202" s="79"/>
      <c r="N2202" s="1"/>
      <c r="O2202" s="1"/>
      <c r="P2202" s="1"/>
      <c r="Q2202" s="1"/>
      <c r="R2202" s="1"/>
      <c r="S2202" s="1"/>
      <c r="T2202" s="1"/>
      <c r="U2202" s="1"/>
      <c r="V2202" s="1"/>
      <c r="W2202" s="1"/>
      <c r="X2202" s="1"/>
      <c r="Y2202" s="1"/>
      <c r="Z2202" s="1"/>
      <c r="AA2202" s="1"/>
      <c r="AB2202" s="1"/>
      <c r="AC2202" s="1"/>
      <c r="AD2202" s="1"/>
      <c r="AE2202" s="1"/>
      <c r="AF2202" s="1"/>
      <c r="AG2202" s="1"/>
      <c r="AH2202" s="1"/>
    </row>
    <row r="2203" ht="12.75" hidden="1" customHeight="1" outlineLevel="1">
      <c r="A2203" s="17">
        <v>41367.0</v>
      </c>
      <c r="B2203" s="1"/>
      <c r="C2203" s="1" t="s">
        <v>431</v>
      </c>
      <c r="D2203" s="74"/>
      <c r="E2203" s="67"/>
      <c r="F2203" s="75"/>
      <c r="G2203" s="67"/>
      <c r="H2203" s="68"/>
      <c r="I2203" s="76"/>
      <c r="J2203" s="67"/>
      <c r="K2203" s="7" t="s">
        <v>817</v>
      </c>
      <c r="L2203" s="77"/>
      <c r="M2203" s="79"/>
      <c r="N2203" s="1"/>
      <c r="O2203" s="1"/>
      <c r="P2203" s="1"/>
      <c r="Q2203" s="1"/>
      <c r="R2203" s="1"/>
      <c r="S2203" s="1"/>
      <c r="T2203" s="1"/>
      <c r="U2203" s="1"/>
      <c r="V2203" s="1"/>
      <c r="W2203" s="1"/>
      <c r="X2203" s="1"/>
      <c r="Y2203" s="1"/>
      <c r="Z2203" s="1"/>
      <c r="AA2203" s="1"/>
      <c r="AB2203" s="1"/>
      <c r="AC2203" s="1"/>
      <c r="AD2203" s="1"/>
      <c r="AE2203" s="1"/>
      <c r="AF2203" s="1"/>
      <c r="AG2203" s="1"/>
      <c r="AH2203" s="1"/>
    </row>
    <row r="2204" ht="12.75" hidden="1" customHeight="1" outlineLevel="1">
      <c r="A2204" s="17">
        <v>41367.0</v>
      </c>
      <c r="B2204" s="1"/>
      <c r="C2204" s="1" t="s">
        <v>433</v>
      </c>
      <c r="D2204" s="74"/>
      <c r="E2204" s="67"/>
      <c r="F2204" s="75"/>
      <c r="G2204" s="67"/>
      <c r="H2204" s="68"/>
      <c r="I2204" s="76"/>
      <c r="J2204" s="67"/>
      <c r="K2204" s="7" t="s">
        <v>434</v>
      </c>
      <c r="L2204" s="77"/>
      <c r="M2204" s="79"/>
      <c r="N2204" s="1"/>
      <c r="O2204" s="1"/>
      <c r="P2204" s="1"/>
      <c r="Q2204" s="1"/>
      <c r="R2204" s="1"/>
      <c r="S2204" s="1"/>
      <c r="T2204" s="1"/>
      <c r="U2204" s="1"/>
      <c r="V2204" s="1"/>
      <c r="W2204" s="1"/>
      <c r="X2204" s="1"/>
      <c r="Y2204" s="1"/>
      <c r="Z2204" s="1"/>
      <c r="AA2204" s="1"/>
      <c r="AB2204" s="1"/>
      <c r="AC2204" s="1"/>
      <c r="AD2204" s="1"/>
      <c r="AE2204" s="1"/>
      <c r="AF2204" s="1"/>
      <c r="AG2204" s="1"/>
      <c r="AH2204" s="1"/>
    </row>
    <row r="2205" ht="12.75" hidden="1" customHeight="1" outlineLevel="1">
      <c r="A2205" s="17">
        <v>41367.0</v>
      </c>
      <c r="B2205" s="1"/>
      <c r="C2205" s="1" t="s">
        <v>435</v>
      </c>
      <c r="D2205" s="74"/>
      <c r="E2205" s="67"/>
      <c r="F2205" s="75"/>
      <c r="G2205" s="67"/>
      <c r="H2205" s="68"/>
      <c r="I2205" s="76"/>
      <c r="J2205" s="67"/>
      <c r="K2205" s="7" t="s">
        <v>818</v>
      </c>
      <c r="L2205" s="77"/>
      <c r="M2205" s="79"/>
      <c r="N2205" s="1"/>
      <c r="O2205" s="1"/>
      <c r="P2205" s="1"/>
      <c r="Q2205" s="1"/>
      <c r="R2205" s="1"/>
      <c r="S2205" s="1"/>
      <c r="T2205" s="1"/>
      <c r="U2205" s="1"/>
      <c r="V2205" s="1"/>
      <c r="W2205" s="1"/>
      <c r="X2205" s="1"/>
      <c r="Y2205" s="1"/>
      <c r="Z2205" s="1"/>
      <c r="AA2205" s="1"/>
      <c r="AB2205" s="1"/>
      <c r="AC2205" s="1"/>
      <c r="AD2205" s="1"/>
      <c r="AE2205" s="1"/>
      <c r="AF2205" s="1"/>
      <c r="AG2205" s="1"/>
      <c r="AH2205" s="1"/>
    </row>
    <row r="2206" ht="12.75" hidden="1" customHeight="1" outlineLevel="1">
      <c r="A2206" s="17">
        <v>41368.0</v>
      </c>
      <c r="B2206" s="1" t="s">
        <v>343</v>
      </c>
      <c r="C2206" s="1" t="s">
        <v>784</v>
      </c>
      <c r="D2206" s="74">
        <v>900.0</v>
      </c>
      <c r="E2206" s="67">
        <v>17.06</v>
      </c>
      <c r="F2206" s="75">
        <v>0.6008912037037036</v>
      </c>
      <c r="G2206" s="67" t="s">
        <v>453</v>
      </c>
      <c r="H2206" s="68">
        <v>3.7</v>
      </c>
      <c r="I2206" s="76"/>
      <c r="J2206" s="67">
        <f>IF(B2206="SLD",D2206*E2206,-D2206*E2206)-H2206</f>
        <v>-15357.7</v>
      </c>
      <c r="K2206" s="7"/>
      <c r="L2206" s="70"/>
      <c r="M2206" s="79"/>
      <c r="N2206" s="1"/>
      <c r="O2206" s="1"/>
      <c r="P2206" s="1"/>
      <c r="Q2206" s="1"/>
      <c r="R2206" s="1"/>
      <c r="S2206" s="1"/>
      <c r="T2206" s="1"/>
      <c r="U2206" s="1"/>
      <c r="V2206" s="1"/>
      <c r="W2206" s="1"/>
      <c r="X2206" s="1"/>
      <c r="Y2206" s="1"/>
      <c r="Z2206" s="1"/>
      <c r="AA2206" s="1"/>
      <c r="AB2206" s="1"/>
      <c r="AC2206" s="1"/>
      <c r="AD2206" s="1"/>
      <c r="AE2206" s="1"/>
      <c r="AF2206" s="1"/>
      <c r="AG2206" s="1"/>
      <c r="AH2206" s="1"/>
    </row>
    <row r="2207" ht="12.75" hidden="1" customHeight="1" outlineLevel="1">
      <c r="A2207" s="17">
        <v>41368.0</v>
      </c>
      <c r="B2207" s="1"/>
      <c r="C2207" s="1" t="s">
        <v>339</v>
      </c>
      <c r="D2207" s="74"/>
      <c r="E2207" s="67"/>
      <c r="F2207" s="75"/>
      <c r="G2207" s="67"/>
      <c r="H2207" s="68"/>
      <c r="I2207" s="76"/>
      <c r="J2207" s="67"/>
      <c r="K2207" s="7" t="s">
        <v>963</v>
      </c>
      <c r="L2207" s="77"/>
      <c r="M2207" s="79"/>
      <c r="N2207" s="1"/>
      <c r="O2207" s="1"/>
      <c r="P2207" s="1"/>
      <c r="Q2207" s="1"/>
      <c r="R2207" s="1"/>
      <c r="S2207" s="1"/>
      <c r="T2207" s="1"/>
      <c r="U2207" s="1"/>
      <c r="V2207" s="1"/>
      <c r="W2207" s="1"/>
      <c r="X2207" s="1"/>
      <c r="Y2207" s="1"/>
      <c r="Z2207" s="1"/>
      <c r="AA2207" s="1"/>
      <c r="AB2207" s="1"/>
      <c r="AC2207" s="1"/>
      <c r="AD2207" s="1"/>
      <c r="AE2207" s="1"/>
      <c r="AF2207" s="1"/>
      <c r="AG2207" s="1"/>
      <c r="AH2207" s="1"/>
    </row>
    <row r="2208" ht="12.75" hidden="1" customHeight="1" outlineLevel="1">
      <c r="A2208" s="17">
        <v>41368.0</v>
      </c>
      <c r="B2208" s="1"/>
      <c r="C2208" s="1" t="s">
        <v>429</v>
      </c>
      <c r="D2208" s="74"/>
      <c r="E2208" s="67"/>
      <c r="F2208" s="75"/>
      <c r="G2208" s="67"/>
      <c r="H2208" s="68"/>
      <c r="I2208" s="76"/>
      <c r="J2208" s="67"/>
      <c r="K2208" s="7" t="s">
        <v>922</v>
      </c>
      <c r="L2208" s="77"/>
      <c r="M2208" s="79"/>
      <c r="N2208" s="1"/>
      <c r="O2208" s="1"/>
      <c r="P2208" s="1"/>
      <c r="Q2208" s="1"/>
      <c r="R2208" s="1"/>
      <c r="S2208" s="1"/>
      <c r="T2208" s="1"/>
      <c r="U2208" s="1"/>
      <c r="V2208" s="1"/>
      <c r="W2208" s="1"/>
      <c r="X2208" s="1"/>
      <c r="Y2208" s="1"/>
      <c r="Z2208" s="1"/>
      <c r="AA2208" s="1"/>
      <c r="AB2208" s="1"/>
      <c r="AC2208" s="1"/>
      <c r="AD2208" s="1"/>
      <c r="AE2208" s="1"/>
      <c r="AF2208" s="1"/>
      <c r="AG2208" s="1"/>
      <c r="AH2208" s="1"/>
    </row>
    <row r="2209" ht="12.75" hidden="1" customHeight="1" outlineLevel="1">
      <c r="A2209" s="17">
        <v>41368.0</v>
      </c>
      <c r="B2209" s="1"/>
      <c r="C2209" s="1" t="s">
        <v>431</v>
      </c>
      <c r="D2209" s="74"/>
      <c r="E2209" s="67"/>
      <c r="F2209" s="75"/>
      <c r="G2209" s="67"/>
      <c r="H2209" s="68"/>
      <c r="I2209" s="76"/>
      <c r="J2209" s="67"/>
      <c r="K2209" s="7" t="s">
        <v>817</v>
      </c>
      <c r="L2209" s="77"/>
      <c r="M2209" s="79"/>
      <c r="N2209" s="1"/>
      <c r="O2209" s="1"/>
      <c r="P2209" s="1"/>
      <c r="Q2209" s="1"/>
      <c r="R2209" s="1"/>
      <c r="S2209" s="1"/>
      <c r="T2209" s="1"/>
      <c r="U2209" s="1"/>
      <c r="V2209" s="1"/>
      <c r="W2209" s="1"/>
      <c r="X2209" s="1"/>
      <c r="Y2209" s="1"/>
      <c r="Z2209" s="1"/>
      <c r="AA2209" s="1"/>
      <c r="AB2209" s="1"/>
      <c r="AC2209" s="1"/>
      <c r="AD2209" s="1"/>
      <c r="AE2209" s="1"/>
      <c r="AF2209" s="1"/>
      <c r="AG2209" s="1"/>
      <c r="AH2209" s="1"/>
    </row>
    <row r="2210" ht="12.75" hidden="1" customHeight="1" outlineLevel="1">
      <c r="A2210" s="17">
        <v>41368.0</v>
      </c>
      <c r="B2210" s="1"/>
      <c r="C2210" s="1" t="s">
        <v>433</v>
      </c>
      <c r="D2210" s="74"/>
      <c r="E2210" s="67"/>
      <c r="F2210" s="75"/>
      <c r="G2210" s="67"/>
      <c r="H2210" s="68"/>
      <c r="I2210" s="76"/>
      <c r="J2210" s="67"/>
      <c r="K2210" s="7" t="s">
        <v>434</v>
      </c>
      <c r="L2210" s="77"/>
      <c r="M2210" s="79"/>
      <c r="N2210" s="1"/>
      <c r="O2210" s="1"/>
      <c r="P2210" s="1"/>
      <c r="Q2210" s="1"/>
      <c r="R2210" s="1"/>
      <c r="S2210" s="1"/>
      <c r="T2210" s="1"/>
      <c r="U2210" s="1"/>
      <c r="V2210" s="1"/>
      <c r="W2210" s="1"/>
      <c r="X2210" s="1"/>
      <c r="Y2210" s="1"/>
      <c r="Z2210" s="1"/>
      <c r="AA2210" s="1"/>
      <c r="AB2210" s="1"/>
      <c r="AC2210" s="1"/>
      <c r="AD2210" s="1"/>
      <c r="AE2210" s="1"/>
      <c r="AF2210" s="1"/>
      <c r="AG2210" s="1"/>
      <c r="AH2210" s="1"/>
    </row>
    <row r="2211" ht="12.75" hidden="1" customHeight="1" outlineLevel="1">
      <c r="A2211" s="17">
        <v>41368.0</v>
      </c>
      <c r="B2211" s="1"/>
      <c r="C2211" s="1" t="s">
        <v>435</v>
      </c>
      <c r="D2211" s="74"/>
      <c r="E2211" s="67"/>
      <c r="F2211" s="75"/>
      <c r="G2211" s="67"/>
      <c r="H2211" s="68"/>
      <c r="I2211" s="76"/>
      <c r="J2211" s="67"/>
      <c r="K2211" s="7" t="s">
        <v>818</v>
      </c>
      <c r="L2211" s="77"/>
      <c r="M2211" s="79"/>
      <c r="N2211" s="1"/>
      <c r="O2211" s="1"/>
      <c r="P2211" s="1"/>
      <c r="Q2211" s="1"/>
      <c r="R2211" s="1"/>
      <c r="S2211" s="1"/>
      <c r="T2211" s="1"/>
      <c r="U2211" s="1"/>
      <c r="V2211" s="1"/>
      <c r="W2211" s="1"/>
      <c r="X2211" s="1"/>
      <c r="Y2211" s="1"/>
      <c r="Z2211" s="1"/>
      <c r="AA2211" s="1"/>
      <c r="AB2211" s="1"/>
      <c r="AC2211" s="1"/>
      <c r="AD2211" s="1"/>
      <c r="AE2211" s="1"/>
      <c r="AF2211" s="1"/>
      <c r="AG2211" s="1"/>
      <c r="AH2211" s="1"/>
    </row>
    <row r="2212" ht="12.75" hidden="1" customHeight="1" outlineLevel="1">
      <c r="A2212" s="17">
        <v>41369.0</v>
      </c>
      <c r="B2212" s="1" t="s">
        <v>343</v>
      </c>
      <c r="C2212" s="1" t="s">
        <v>605</v>
      </c>
      <c r="D2212" s="74">
        <v>100.0</v>
      </c>
      <c r="E2212" s="67">
        <v>61.59</v>
      </c>
      <c r="F2212" s="75">
        <v>0.4651273148148148</v>
      </c>
      <c r="G2212" s="67" t="s">
        <v>453</v>
      </c>
      <c r="H2212" s="68">
        <v>1.0</v>
      </c>
      <c r="I2212" s="76"/>
      <c r="J2212" s="67">
        <f t="shared" ref="J2212:J2215" si="157">IF(B2212="SLD",D2212*E2212,-D2212*E2212)-H2212</f>
        <v>-6160</v>
      </c>
      <c r="K2212" s="7"/>
      <c r="L2212" s="70"/>
      <c r="M2212" s="79"/>
      <c r="N2212" s="1"/>
      <c r="O2212" s="1"/>
      <c r="P2212" s="1"/>
      <c r="Q2212" s="1"/>
      <c r="R2212" s="1"/>
      <c r="S2212" s="1"/>
      <c r="T2212" s="1"/>
      <c r="U2212" s="1"/>
      <c r="V2212" s="1"/>
      <c r="W2212" s="1"/>
      <c r="X2212" s="1"/>
      <c r="Y2212" s="1"/>
      <c r="Z2212" s="1"/>
      <c r="AA2212" s="1"/>
      <c r="AB2212" s="1"/>
      <c r="AC2212" s="1"/>
      <c r="AD2212" s="1"/>
      <c r="AE2212" s="1"/>
      <c r="AF2212" s="1"/>
      <c r="AG2212" s="1"/>
      <c r="AH2212" s="1"/>
    </row>
    <row r="2213" ht="12.75" hidden="1" customHeight="1" outlineLevel="1">
      <c r="A2213" s="17">
        <v>41369.0</v>
      </c>
      <c r="B2213" s="1" t="s">
        <v>343</v>
      </c>
      <c r="C2213" s="1" t="s">
        <v>784</v>
      </c>
      <c r="D2213" s="74">
        <v>900.0</v>
      </c>
      <c r="E2213" s="67">
        <v>17.22</v>
      </c>
      <c r="F2213" s="75">
        <v>0.47650462962962964</v>
      </c>
      <c r="G2213" s="67" t="s">
        <v>453</v>
      </c>
      <c r="H2213" s="68">
        <v>4.4</v>
      </c>
      <c r="I2213" s="76"/>
      <c r="J2213" s="67">
        <f t="shared" si="157"/>
        <v>-15502.4</v>
      </c>
      <c r="K2213" s="7"/>
      <c r="L2213" s="70"/>
      <c r="M2213" s="79"/>
      <c r="N2213" s="1"/>
      <c r="O2213" s="1"/>
      <c r="P2213" s="1"/>
      <c r="Q2213" s="1"/>
      <c r="R2213" s="1"/>
      <c r="S2213" s="1"/>
      <c r="T2213" s="1"/>
      <c r="U2213" s="1"/>
      <c r="V2213" s="1"/>
      <c r="W2213" s="1"/>
      <c r="X2213" s="1"/>
      <c r="Y2213" s="1"/>
      <c r="Z2213" s="1"/>
      <c r="AA2213" s="1"/>
      <c r="AB2213" s="1"/>
      <c r="AC2213" s="1"/>
      <c r="AD2213" s="1"/>
      <c r="AE2213" s="1"/>
      <c r="AF2213" s="1"/>
      <c r="AG2213" s="1"/>
      <c r="AH2213" s="1"/>
    </row>
    <row r="2214" ht="12.75" hidden="1" customHeight="1" outlineLevel="1">
      <c r="A2214" s="17">
        <v>41369.0</v>
      </c>
      <c r="B2214" s="1" t="s">
        <v>347</v>
      </c>
      <c r="C2214" s="1" t="s">
        <v>858</v>
      </c>
      <c r="D2214" s="74">
        <v>1400.0</v>
      </c>
      <c r="E2214" s="67">
        <v>11.95</v>
      </c>
      <c r="F2214" s="75">
        <v>0.49884259259259256</v>
      </c>
      <c r="G2214" s="67" t="s">
        <v>453</v>
      </c>
      <c r="H2214" s="68">
        <v>7.0</v>
      </c>
      <c r="I2214" s="76"/>
      <c r="J2214" s="67">
        <f t="shared" si="157"/>
        <v>16723</v>
      </c>
      <c r="K2214" s="7"/>
      <c r="L2214" s="70"/>
      <c r="M2214" s="79"/>
      <c r="N2214" s="1"/>
      <c r="O2214" s="1"/>
      <c r="P2214" s="1"/>
      <c r="Q2214" s="1"/>
      <c r="R2214" s="1"/>
      <c r="S2214" s="1"/>
      <c r="T2214" s="1"/>
      <c r="U2214" s="1"/>
      <c r="V2214" s="1"/>
      <c r="W2214" s="1"/>
      <c r="X2214" s="1"/>
      <c r="Y2214" s="1"/>
      <c r="Z2214" s="1"/>
      <c r="AA2214" s="1"/>
      <c r="AB2214" s="1"/>
      <c r="AC2214" s="1"/>
      <c r="AD2214" s="1"/>
      <c r="AE2214" s="1"/>
      <c r="AF2214" s="1"/>
      <c r="AG2214" s="1"/>
      <c r="AH2214" s="1"/>
    </row>
    <row r="2215" ht="12.75" hidden="1" customHeight="1" outlineLevel="1">
      <c r="A2215" s="17">
        <v>41369.0</v>
      </c>
      <c r="B2215" s="1" t="s">
        <v>343</v>
      </c>
      <c r="C2215" s="1" t="s">
        <v>967</v>
      </c>
      <c r="D2215" s="74">
        <v>400.0</v>
      </c>
      <c r="E2215" s="67">
        <v>50.512</v>
      </c>
      <c r="F2215" s="75">
        <v>0.6274884259259259</v>
      </c>
      <c r="G2215" s="67" t="s">
        <v>453</v>
      </c>
      <c r="H2215" s="68">
        <v>1.8</v>
      </c>
      <c r="I2215" s="76"/>
      <c r="J2215" s="67">
        <f t="shared" si="157"/>
        <v>-20206.6</v>
      </c>
      <c r="K2215" s="7"/>
      <c r="L2215" s="70"/>
      <c r="M2215" s="79"/>
      <c r="N2215" s="1"/>
      <c r="O2215" s="1"/>
      <c r="P2215" s="1"/>
      <c r="Q2215" s="1"/>
      <c r="R2215" s="1"/>
      <c r="S2215" s="1"/>
      <c r="T2215" s="1"/>
      <c r="U2215" s="1"/>
      <c r="V2215" s="1"/>
      <c r="W2215" s="1"/>
      <c r="X2215" s="1"/>
      <c r="Y2215" s="1"/>
      <c r="Z2215" s="1"/>
      <c r="AA2215" s="1"/>
      <c r="AB2215" s="1"/>
      <c r="AC2215" s="1"/>
      <c r="AD2215" s="1"/>
      <c r="AE2215" s="1"/>
      <c r="AF2215" s="1"/>
      <c r="AG2215" s="1"/>
      <c r="AH2215" s="1"/>
    </row>
    <row r="2216" ht="12.75" hidden="1" customHeight="1" outlineLevel="1">
      <c r="A2216" s="17">
        <v>41369.0</v>
      </c>
      <c r="B2216" s="1"/>
      <c r="C2216" s="1" t="s">
        <v>339</v>
      </c>
      <c r="D2216" s="74"/>
      <c r="E2216" s="67"/>
      <c r="F2216" s="75"/>
      <c r="G2216" s="67"/>
      <c r="H2216" s="68"/>
      <c r="I2216" s="76"/>
      <c r="J2216" s="67"/>
      <c r="K2216" s="7" t="s">
        <v>969</v>
      </c>
      <c r="L2216" s="77"/>
      <c r="M2216" s="79"/>
      <c r="N2216" s="1"/>
      <c r="O2216" s="1"/>
      <c r="P2216" s="1"/>
      <c r="Q2216" s="1"/>
      <c r="R2216" s="1"/>
      <c r="S2216" s="1"/>
      <c r="T2216" s="1"/>
      <c r="U2216" s="1"/>
      <c r="V2216" s="1"/>
      <c r="W2216" s="1"/>
      <c r="X2216" s="1"/>
      <c r="Y2216" s="1"/>
      <c r="Z2216" s="1"/>
      <c r="AA2216" s="1"/>
      <c r="AB2216" s="1"/>
      <c r="AC2216" s="1"/>
      <c r="AD2216" s="1"/>
      <c r="AE2216" s="1"/>
      <c r="AF2216" s="1"/>
      <c r="AG2216" s="1"/>
      <c r="AH2216" s="1"/>
    </row>
    <row r="2217" ht="12.75" hidden="1" customHeight="1" outlineLevel="1">
      <c r="A2217" s="17">
        <v>41369.0</v>
      </c>
      <c r="B2217" s="1"/>
      <c r="C2217" s="1" t="s">
        <v>429</v>
      </c>
      <c r="D2217" s="74"/>
      <c r="E2217" s="67"/>
      <c r="F2217" s="75"/>
      <c r="G2217" s="67"/>
      <c r="H2217" s="68"/>
      <c r="I2217" s="76"/>
      <c r="J2217" s="67"/>
      <c r="K2217" s="7" t="s">
        <v>922</v>
      </c>
      <c r="L2217" s="77"/>
      <c r="M2217" s="79"/>
      <c r="N2217" s="1"/>
      <c r="O2217" s="1"/>
      <c r="P2217" s="1"/>
      <c r="Q2217" s="1"/>
      <c r="R2217" s="1"/>
      <c r="S2217" s="1"/>
      <c r="T2217" s="1"/>
      <c r="U2217" s="1"/>
      <c r="V2217" s="1"/>
      <c r="W2217" s="1"/>
      <c r="X2217" s="1"/>
      <c r="Y2217" s="1"/>
      <c r="Z2217" s="1"/>
      <c r="AA2217" s="1"/>
      <c r="AB2217" s="1"/>
      <c r="AC2217" s="1"/>
      <c r="AD2217" s="1"/>
      <c r="AE2217" s="1"/>
      <c r="AF2217" s="1"/>
      <c r="AG2217" s="1"/>
      <c r="AH2217" s="1"/>
    </row>
    <row r="2218" ht="12.75" hidden="1" customHeight="1" outlineLevel="1">
      <c r="A2218" s="17">
        <v>41369.0</v>
      </c>
      <c r="B2218" s="1"/>
      <c r="C2218" s="1" t="s">
        <v>431</v>
      </c>
      <c r="D2218" s="74"/>
      <c r="E2218" s="67"/>
      <c r="F2218" s="75"/>
      <c r="G2218" s="67"/>
      <c r="H2218" s="68"/>
      <c r="I2218" s="76"/>
      <c r="J2218" s="67"/>
      <c r="K2218" s="7" t="s">
        <v>817</v>
      </c>
      <c r="L2218" s="77"/>
      <c r="M2218" s="79"/>
      <c r="N2218" s="1"/>
      <c r="O2218" s="1"/>
      <c r="P2218" s="1"/>
      <c r="Q2218" s="1"/>
      <c r="R2218" s="1"/>
      <c r="S2218" s="1"/>
      <c r="T2218" s="1"/>
      <c r="U2218" s="1"/>
      <c r="V2218" s="1"/>
      <c r="W2218" s="1"/>
      <c r="X2218" s="1"/>
      <c r="Y2218" s="1"/>
      <c r="Z2218" s="1"/>
      <c r="AA2218" s="1"/>
      <c r="AB2218" s="1"/>
      <c r="AC2218" s="1"/>
      <c r="AD2218" s="1"/>
      <c r="AE2218" s="1"/>
      <c r="AF2218" s="1"/>
      <c r="AG2218" s="1"/>
      <c r="AH2218" s="1"/>
    </row>
    <row r="2219" ht="12.75" hidden="1" customHeight="1" outlineLevel="1">
      <c r="A2219" s="17">
        <v>41369.0</v>
      </c>
      <c r="B2219" s="1"/>
      <c r="C2219" s="1" t="s">
        <v>433</v>
      </c>
      <c r="D2219" s="74"/>
      <c r="E2219" s="67"/>
      <c r="F2219" s="75"/>
      <c r="G2219" s="67"/>
      <c r="H2219" s="68"/>
      <c r="I2219" s="76"/>
      <c r="J2219" s="67"/>
      <c r="K2219" s="7" t="s">
        <v>434</v>
      </c>
      <c r="L2219" s="77"/>
      <c r="M2219" s="79"/>
      <c r="N2219" s="1"/>
      <c r="O2219" s="1"/>
      <c r="P2219" s="1"/>
      <c r="Q2219" s="1"/>
      <c r="R2219" s="1"/>
      <c r="S2219" s="1"/>
      <c r="T2219" s="1"/>
      <c r="U2219" s="1"/>
      <c r="V2219" s="1"/>
      <c r="W2219" s="1"/>
      <c r="X2219" s="1"/>
      <c r="Y2219" s="1"/>
      <c r="Z2219" s="1"/>
      <c r="AA2219" s="1"/>
      <c r="AB2219" s="1"/>
      <c r="AC2219" s="1"/>
      <c r="AD2219" s="1"/>
      <c r="AE2219" s="1"/>
      <c r="AF2219" s="1"/>
      <c r="AG2219" s="1"/>
      <c r="AH2219" s="1"/>
    </row>
    <row r="2220" ht="12.75" hidden="1" customHeight="1" outlineLevel="1">
      <c r="A2220" s="17">
        <v>41369.0</v>
      </c>
      <c r="B2220" s="1"/>
      <c r="C2220" s="1" t="s">
        <v>435</v>
      </c>
      <c r="D2220" s="74"/>
      <c r="E2220" s="67"/>
      <c r="F2220" s="75"/>
      <c r="G2220" s="67"/>
      <c r="H2220" s="68"/>
      <c r="I2220" s="76"/>
      <c r="J2220" s="67"/>
      <c r="K2220" s="7" t="s">
        <v>818</v>
      </c>
      <c r="L2220" s="77"/>
      <c r="M2220" s="79"/>
      <c r="N2220" s="1"/>
      <c r="O2220" s="1"/>
      <c r="P2220" s="1"/>
      <c r="Q2220" s="1"/>
      <c r="R2220" s="1"/>
      <c r="S2220" s="1"/>
      <c r="T2220" s="1"/>
      <c r="U2220" s="1"/>
      <c r="V2220" s="1"/>
      <c r="W2220" s="1"/>
      <c r="X2220" s="1"/>
      <c r="Y2220" s="1"/>
      <c r="Z2220" s="1"/>
      <c r="AA2220" s="1"/>
      <c r="AB2220" s="1"/>
      <c r="AC2220" s="1"/>
      <c r="AD2220" s="1"/>
      <c r="AE2220" s="1"/>
      <c r="AF2220" s="1"/>
      <c r="AG2220" s="1"/>
      <c r="AH2220" s="1"/>
    </row>
    <row r="2221" ht="12.75" hidden="1" customHeight="1" outlineLevel="1">
      <c r="A2221" s="17">
        <v>41371.0</v>
      </c>
      <c r="B2221" s="1"/>
      <c r="C2221" s="1" t="s">
        <v>339</v>
      </c>
      <c r="D2221" s="74"/>
      <c r="E2221" s="67"/>
      <c r="F2221" s="75"/>
      <c r="G2221" s="67"/>
      <c r="H2221" s="68"/>
      <c r="I2221" s="76"/>
      <c r="J2221" s="67"/>
      <c r="K2221" s="7" t="s">
        <v>972</v>
      </c>
      <c r="L2221" s="77"/>
      <c r="M2221" s="79"/>
      <c r="N2221" s="1"/>
      <c r="O2221" s="1"/>
      <c r="P2221" s="1"/>
      <c r="Q2221" s="1"/>
      <c r="R2221" s="1"/>
      <c r="S2221" s="1"/>
      <c r="T2221" s="1"/>
      <c r="U2221" s="1"/>
      <c r="V2221" s="1"/>
      <c r="W2221" s="1"/>
      <c r="X2221" s="1"/>
      <c r="Y2221" s="1"/>
      <c r="Z2221" s="1"/>
      <c r="AA2221" s="1"/>
      <c r="AB2221" s="1"/>
      <c r="AC2221" s="1"/>
      <c r="AD2221" s="1"/>
      <c r="AE2221" s="1"/>
      <c r="AF2221" s="1"/>
      <c r="AG2221" s="1"/>
      <c r="AH2221" s="1"/>
    </row>
    <row r="2222" ht="12.75" hidden="1" customHeight="1" outlineLevel="1">
      <c r="A2222" s="17">
        <v>41371.0</v>
      </c>
      <c r="B2222" s="1"/>
      <c r="C2222" s="1" t="s">
        <v>429</v>
      </c>
      <c r="D2222" s="74"/>
      <c r="E2222" s="67"/>
      <c r="F2222" s="75"/>
      <c r="G2222" s="67"/>
      <c r="H2222" s="68"/>
      <c r="I2222" s="76"/>
      <c r="J2222" s="67"/>
      <c r="K2222" s="7" t="s">
        <v>922</v>
      </c>
      <c r="L2222" s="77"/>
      <c r="M2222" s="79"/>
      <c r="N2222" s="1"/>
      <c r="O2222" s="1"/>
      <c r="P2222" s="1"/>
      <c r="Q2222" s="1"/>
      <c r="R2222" s="1"/>
      <c r="S2222" s="1"/>
      <c r="T2222" s="1"/>
      <c r="U2222" s="1"/>
      <c r="V2222" s="1"/>
      <c r="W2222" s="1"/>
      <c r="X2222" s="1"/>
      <c r="Y2222" s="1"/>
      <c r="Z2222" s="1"/>
      <c r="AA2222" s="1"/>
      <c r="AB2222" s="1"/>
      <c r="AC2222" s="1"/>
      <c r="AD2222" s="1"/>
      <c r="AE2222" s="1"/>
      <c r="AF2222" s="1"/>
      <c r="AG2222" s="1"/>
      <c r="AH2222" s="1"/>
    </row>
    <row r="2223" ht="12.75" hidden="1" customHeight="1" outlineLevel="1">
      <c r="A2223" s="17">
        <v>41371.0</v>
      </c>
      <c r="B2223" s="1"/>
      <c r="C2223" s="1" t="s">
        <v>431</v>
      </c>
      <c r="D2223" s="74"/>
      <c r="E2223" s="67"/>
      <c r="F2223" s="75"/>
      <c r="G2223" s="67"/>
      <c r="H2223" s="68"/>
      <c r="I2223" s="76"/>
      <c r="J2223" s="67"/>
      <c r="K2223" s="7" t="s">
        <v>817</v>
      </c>
      <c r="L2223" s="77"/>
      <c r="M2223" s="79"/>
      <c r="N2223" s="1"/>
      <c r="O2223" s="1"/>
      <c r="P2223" s="1"/>
      <c r="Q2223" s="1"/>
      <c r="R2223" s="1"/>
      <c r="S2223" s="1"/>
      <c r="T2223" s="1"/>
      <c r="U2223" s="1"/>
      <c r="V2223" s="1"/>
      <c r="W2223" s="1"/>
      <c r="X2223" s="1"/>
      <c r="Y2223" s="1"/>
      <c r="Z2223" s="1"/>
      <c r="AA2223" s="1"/>
      <c r="AB2223" s="1"/>
      <c r="AC2223" s="1"/>
      <c r="AD2223" s="1"/>
      <c r="AE2223" s="1"/>
      <c r="AF2223" s="1"/>
      <c r="AG2223" s="1"/>
      <c r="AH2223" s="1"/>
    </row>
    <row r="2224" ht="12.75" hidden="1" customHeight="1" outlineLevel="1">
      <c r="A2224" s="17">
        <v>41371.0</v>
      </c>
      <c r="B2224" s="1"/>
      <c r="C2224" s="1" t="s">
        <v>433</v>
      </c>
      <c r="D2224" s="74"/>
      <c r="E2224" s="67"/>
      <c r="F2224" s="75"/>
      <c r="G2224" s="67"/>
      <c r="H2224" s="68"/>
      <c r="I2224" s="76"/>
      <c r="J2224" s="67"/>
      <c r="K2224" s="7" t="s">
        <v>434</v>
      </c>
      <c r="L2224" s="77"/>
      <c r="M2224" s="79"/>
      <c r="N2224" s="1"/>
      <c r="O2224" s="1"/>
      <c r="P2224" s="1"/>
      <c r="Q2224" s="1"/>
      <c r="R2224" s="1"/>
      <c r="S2224" s="1"/>
      <c r="T2224" s="1"/>
      <c r="U2224" s="1"/>
      <c r="V2224" s="1"/>
      <c r="W2224" s="1"/>
      <c r="X2224" s="1"/>
      <c r="Y2224" s="1"/>
      <c r="Z2224" s="1"/>
      <c r="AA2224" s="1"/>
      <c r="AB2224" s="1"/>
      <c r="AC2224" s="1"/>
      <c r="AD2224" s="1"/>
      <c r="AE2224" s="1"/>
      <c r="AF2224" s="1"/>
      <c r="AG2224" s="1"/>
      <c r="AH2224" s="1"/>
    </row>
    <row r="2225" ht="12.75" hidden="1" customHeight="1" outlineLevel="1">
      <c r="A2225" s="17">
        <v>41371.0</v>
      </c>
      <c r="B2225" s="1"/>
      <c r="C2225" s="1" t="s">
        <v>435</v>
      </c>
      <c r="D2225" s="74"/>
      <c r="E2225" s="67"/>
      <c r="F2225" s="75"/>
      <c r="G2225" s="67"/>
      <c r="H2225" s="68"/>
      <c r="I2225" s="76"/>
      <c r="J2225" s="67"/>
      <c r="K2225" s="7" t="s">
        <v>818</v>
      </c>
      <c r="L2225" s="77"/>
      <c r="M2225" s="79"/>
      <c r="N2225" s="1"/>
      <c r="O2225" s="1"/>
      <c r="P2225" s="1"/>
      <c r="Q2225" s="1"/>
      <c r="R2225" s="1"/>
      <c r="S2225" s="1"/>
      <c r="T2225" s="1"/>
      <c r="U2225" s="1"/>
      <c r="V2225" s="1"/>
      <c r="W2225" s="1"/>
      <c r="X2225" s="1"/>
      <c r="Y2225" s="1"/>
      <c r="Z2225" s="1"/>
      <c r="AA2225" s="1"/>
      <c r="AB2225" s="1"/>
      <c r="AC2225" s="1"/>
      <c r="AD2225" s="1"/>
      <c r="AE2225" s="1"/>
      <c r="AF2225" s="1"/>
      <c r="AG2225" s="1"/>
      <c r="AH2225" s="1"/>
    </row>
    <row r="2226" ht="12.75" hidden="1" customHeight="1" outlineLevel="1">
      <c r="A2226" s="17">
        <v>41372.0</v>
      </c>
      <c r="B2226" s="1" t="s">
        <v>347</v>
      </c>
      <c r="C2226" s="1" t="s">
        <v>967</v>
      </c>
      <c r="D2226" s="74">
        <v>400.0</v>
      </c>
      <c r="E2226" s="67">
        <v>51.303</v>
      </c>
      <c r="F2226" s="75">
        <v>0.40400462962962963</v>
      </c>
      <c r="G2226" s="67" t="s">
        <v>453</v>
      </c>
      <c r="H2226" s="68">
        <v>1.8</v>
      </c>
      <c r="I2226" s="76"/>
      <c r="J2226" s="67">
        <f t="shared" ref="J2226:J2232" si="158">IF(B2226="SLD",D2226*E2226,-D2226*E2226)-H2226</f>
        <v>20519.4</v>
      </c>
      <c r="K2226" s="7"/>
      <c r="L2226" s="70"/>
      <c r="M2226" s="79"/>
      <c r="N2226" s="1"/>
      <c r="O2226" s="1"/>
      <c r="P2226" s="1"/>
      <c r="Q2226" s="1"/>
      <c r="R2226" s="1"/>
      <c r="S2226" s="1"/>
      <c r="T2226" s="1"/>
      <c r="U2226" s="1"/>
      <c r="V2226" s="1"/>
      <c r="W2226" s="1"/>
      <c r="X2226" s="1"/>
      <c r="Y2226" s="1"/>
      <c r="Z2226" s="1"/>
      <c r="AA2226" s="1"/>
      <c r="AB2226" s="1"/>
      <c r="AC2226" s="1"/>
      <c r="AD2226" s="1"/>
      <c r="AE2226" s="1"/>
      <c r="AF2226" s="1"/>
      <c r="AG2226" s="1"/>
      <c r="AH2226" s="1"/>
    </row>
    <row r="2227" ht="12.75" hidden="1" customHeight="1" outlineLevel="1">
      <c r="A2227" s="17">
        <v>41372.0</v>
      </c>
      <c r="B2227" s="1" t="s">
        <v>343</v>
      </c>
      <c r="C2227" s="1" t="s">
        <v>344</v>
      </c>
      <c r="D2227" s="74">
        <v>600.0</v>
      </c>
      <c r="E2227" s="67">
        <v>38.72</v>
      </c>
      <c r="F2227" s="75">
        <v>0.43947916666666664</v>
      </c>
      <c r="G2227" s="67" t="s">
        <v>453</v>
      </c>
      <c r="H2227" s="68">
        <v>2.4</v>
      </c>
      <c r="I2227" s="76"/>
      <c r="J2227" s="67">
        <f t="shared" si="158"/>
        <v>-23234.4</v>
      </c>
      <c r="K2227" s="7"/>
      <c r="L2227" s="70"/>
      <c r="M2227" s="79"/>
      <c r="N2227" s="1"/>
      <c r="O2227" s="1"/>
      <c r="P2227" s="1"/>
      <c r="Q2227" s="1"/>
      <c r="R2227" s="1"/>
      <c r="S2227" s="1"/>
      <c r="T2227" s="1"/>
      <c r="U2227" s="1"/>
      <c r="V2227" s="1"/>
      <c r="W2227" s="1"/>
      <c r="X2227" s="1"/>
      <c r="Y2227" s="1"/>
      <c r="Z2227" s="1"/>
      <c r="AA2227" s="1"/>
      <c r="AB2227" s="1"/>
      <c r="AC2227" s="1"/>
      <c r="AD2227" s="1"/>
      <c r="AE2227" s="1"/>
      <c r="AF2227" s="1"/>
      <c r="AG2227" s="1"/>
      <c r="AH2227" s="1"/>
    </row>
    <row r="2228" ht="12.75" hidden="1" customHeight="1" outlineLevel="1">
      <c r="A2228" s="17">
        <v>41372.0</v>
      </c>
      <c r="B2228" s="1" t="s">
        <v>343</v>
      </c>
      <c r="C2228" s="1" t="s">
        <v>857</v>
      </c>
      <c r="D2228" s="74">
        <v>500.0</v>
      </c>
      <c r="E2228" s="67">
        <v>10.96</v>
      </c>
      <c r="F2228" s="75">
        <v>0.44454861111111116</v>
      </c>
      <c r="G2228" s="67" t="s">
        <v>453</v>
      </c>
      <c r="H2228" s="68">
        <v>2.0</v>
      </c>
      <c r="I2228" s="76"/>
      <c r="J2228" s="67">
        <f t="shared" si="158"/>
        <v>-5482</v>
      </c>
      <c r="K2228" s="7"/>
      <c r="L2228" s="70"/>
      <c r="M2228" s="79"/>
      <c r="N2228" s="1"/>
      <c r="O2228" s="1"/>
      <c r="P2228" s="1"/>
      <c r="Q2228" s="1"/>
      <c r="R2228" s="1"/>
      <c r="S2228" s="1"/>
      <c r="T2228" s="1"/>
      <c r="U2228" s="1"/>
      <c r="V2228" s="1"/>
      <c r="W2228" s="1"/>
      <c r="X2228" s="1"/>
      <c r="Y2228" s="1"/>
      <c r="Z2228" s="1"/>
      <c r="AA2228" s="1"/>
      <c r="AB2228" s="1"/>
      <c r="AC2228" s="1"/>
      <c r="AD2228" s="1"/>
      <c r="AE2228" s="1"/>
      <c r="AF2228" s="1"/>
      <c r="AG2228" s="1"/>
      <c r="AH2228" s="1"/>
    </row>
    <row r="2229" ht="12.75" hidden="1" customHeight="1" outlineLevel="1">
      <c r="A2229" s="17">
        <v>41372.0</v>
      </c>
      <c r="B2229" s="1" t="s">
        <v>343</v>
      </c>
      <c r="C2229" s="1" t="s">
        <v>734</v>
      </c>
      <c r="D2229" s="74">
        <v>400.0</v>
      </c>
      <c r="E2229" s="67">
        <v>22.61</v>
      </c>
      <c r="F2229" s="75">
        <v>0.44506944444444446</v>
      </c>
      <c r="G2229" s="67" t="s">
        <v>453</v>
      </c>
      <c r="H2229" s="68">
        <v>2.0</v>
      </c>
      <c r="I2229" s="76"/>
      <c r="J2229" s="67">
        <f t="shared" si="158"/>
        <v>-9046</v>
      </c>
      <c r="K2229" s="7"/>
      <c r="L2229" s="70"/>
      <c r="M2229" s="79"/>
      <c r="N2229" s="1"/>
      <c r="O2229" s="1"/>
      <c r="P2229" s="1"/>
      <c r="Q2229" s="1"/>
      <c r="R2229" s="1"/>
      <c r="S2229" s="1"/>
      <c r="T2229" s="1"/>
      <c r="U2229" s="1"/>
      <c r="V2229" s="1"/>
      <c r="W2229" s="1"/>
      <c r="X2229" s="1"/>
      <c r="Y2229" s="1"/>
      <c r="Z2229" s="1"/>
      <c r="AA2229" s="1"/>
      <c r="AB2229" s="1"/>
      <c r="AC2229" s="1"/>
      <c r="AD2229" s="1"/>
      <c r="AE2229" s="1"/>
      <c r="AF2229" s="1"/>
      <c r="AG2229" s="1"/>
      <c r="AH2229" s="1"/>
    </row>
    <row r="2230" ht="12.75" hidden="1" customHeight="1" outlineLevel="1">
      <c r="A2230" s="17">
        <v>41372.0</v>
      </c>
      <c r="B2230" s="1" t="s">
        <v>343</v>
      </c>
      <c r="C2230" s="1" t="s">
        <v>881</v>
      </c>
      <c r="D2230" s="74">
        <v>300.0</v>
      </c>
      <c r="E2230" s="67">
        <v>31.72</v>
      </c>
      <c r="F2230" s="75">
        <v>0.44653935185185184</v>
      </c>
      <c r="G2230" s="67" t="s">
        <v>453</v>
      </c>
      <c r="H2230" s="68">
        <v>1.5</v>
      </c>
      <c r="I2230" s="76"/>
      <c r="J2230" s="67">
        <f t="shared" si="158"/>
        <v>-9517.5</v>
      </c>
      <c r="K2230" s="7" t="s">
        <v>607</v>
      </c>
      <c r="L2230" s="70"/>
      <c r="M2230" s="79"/>
      <c r="N2230" s="1"/>
      <c r="O2230" s="1"/>
      <c r="P2230" s="1"/>
      <c r="Q2230" s="1"/>
      <c r="R2230" s="1"/>
      <c r="S2230" s="1"/>
      <c r="T2230" s="1"/>
      <c r="U2230" s="1"/>
      <c r="V2230" s="1"/>
      <c r="W2230" s="1"/>
      <c r="X2230" s="1"/>
      <c r="Y2230" s="1"/>
      <c r="Z2230" s="1"/>
      <c r="AA2230" s="1"/>
      <c r="AB2230" s="1"/>
      <c r="AC2230" s="1"/>
      <c r="AD2230" s="1"/>
      <c r="AE2230" s="1"/>
      <c r="AF2230" s="1"/>
      <c r="AG2230" s="1"/>
      <c r="AH2230" s="1"/>
    </row>
    <row r="2231" ht="12.75" hidden="1" customHeight="1" outlineLevel="1">
      <c r="A2231" s="17">
        <v>41372.0</v>
      </c>
      <c r="B2231" s="1" t="s">
        <v>343</v>
      </c>
      <c r="C2231" s="1" t="s">
        <v>354</v>
      </c>
      <c r="D2231" s="74">
        <v>250.0</v>
      </c>
      <c r="E2231" s="67">
        <v>75.306</v>
      </c>
      <c r="F2231" s="75">
        <v>0.5824537037037038</v>
      </c>
      <c r="G2231" s="67" t="s">
        <v>453</v>
      </c>
      <c r="H2231" s="68">
        <v>1.25</v>
      </c>
      <c r="I2231" s="76"/>
      <c r="J2231" s="67">
        <f t="shared" si="158"/>
        <v>-18827.75</v>
      </c>
      <c r="K2231" s="7" t="s">
        <v>607</v>
      </c>
      <c r="L2231" s="70"/>
      <c r="M2231" s="79"/>
      <c r="N2231" s="1"/>
      <c r="O2231" s="1"/>
      <c r="P2231" s="1"/>
      <c r="Q2231" s="1"/>
      <c r="R2231" s="1"/>
      <c r="S2231" s="1"/>
      <c r="T2231" s="1"/>
      <c r="U2231" s="1"/>
      <c r="V2231" s="1"/>
      <c r="W2231" s="1"/>
      <c r="X2231" s="1"/>
      <c r="Y2231" s="1"/>
      <c r="Z2231" s="1"/>
      <c r="AA2231" s="1"/>
      <c r="AB2231" s="1"/>
      <c r="AC2231" s="1"/>
      <c r="AD2231" s="1"/>
      <c r="AE2231" s="1"/>
      <c r="AF2231" s="1"/>
      <c r="AG2231" s="1"/>
      <c r="AH2231" s="1"/>
    </row>
    <row r="2232" ht="12.75" hidden="1" customHeight="1" outlineLevel="1">
      <c r="A2232" s="17">
        <v>41372.0</v>
      </c>
      <c r="B2232" s="1" t="s">
        <v>347</v>
      </c>
      <c r="C2232" s="1" t="s">
        <v>841</v>
      </c>
      <c r="D2232" s="74">
        <v>500.0</v>
      </c>
      <c r="E2232" s="67">
        <v>23.97</v>
      </c>
      <c r="F2232" s="75">
        <v>0.6201388888888889</v>
      </c>
      <c r="G2232" s="67" t="s">
        <v>453</v>
      </c>
      <c r="H2232" s="68">
        <v>2.3</v>
      </c>
      <c r="I2232" s="76"/>
      <c r="J2232" s="67">
        <f t="shared" si="158"/>
        <v>11982.7</v>
      </c>
      <c r="K2232" s="7"/>
      <c r="L2232" s="70"/>
      <c r="M2232" s="79"/>
      <c r="N2232" s="1"/>
      <c r="O2232" s="1"/>
      <c r="P2232" s="1"/>
      <c r="Q2232" s="1"/>
      <c r="R2232" s="1"/>
      <c r="S2232" s="1"/>
      <c r="T2232" s="1"/>
      <c r="U2232" s="1"/>
      <c r="V2232" s="1"/>
      <c r="W2232" s="1"/>
      <c r="X2232" s="1"/>
      <c r="Y2232" s="1"/>
      <c r="Z2232" s="1"/>
      <c r="AA2232" s="1"/>
      <c r="AB2232" s="1"/>
      <c r="AC2232" s="1"/>
      <c r="AD2232" s="1"/>
      <c r="AE2232" s="1"/>
      <c r="AF2232" s="1"/>
      <c r="AG2232" s="1"/>
      <c r="AH2232" s="1"/>
    </row>
    <row r="2233" ht="12.75" hidden="1" customHeight="1" outlineLevel="1">
      <c r="A2233" s="17">
        <v>41372.0</v>
      </c>
      <c r="B2233" s="1"/>
      <c r="C2233" s="1" t="s">
        <v>339</v>
      </c>
      <c r="D2233" s="74"/>
      <c r="E2233" s="67"/>
      <c r="F2233" s="75"/>
      <c r="G2233" s="67"/>
      <c r="H2233" s="68"/>
      <c r="I2233" s="76"/>
      <c r="J2233" s="67"/>
      <c r="K2233" s="7" t="s">
        <v>992</v>
      </c>
      <c r="L2233" s="77"/>
      <c r="M2233" s="79"/>
      <c r="N2233" s="1"/>
      <c r="O2233" s="1"/>
      <c r="P2233" s="1"/>
      <c r="Q2233" s="1"/>
      <c r="R2233" s="1"/>
      <c r="S2233" s="1"/>
      <c r="T2233" s="1"/>
      <c r="U2233" s="1"/>
      <c r="V2233" s="1"/>
      <c r="W2233" s="1"/>
      <c r="X2233" s="1"/>
      <c r="Y2233" s="1"/>
      <c r="Z2233" s="1"/>
      <c r="AA2233" s="1"/>
      <c r="AB2233" s="1"/>
      <c r="AC2233" s="1"/>
      <c r="AD2233" s="1"/>
      <c r="AE2233" s="1"/>
      <c r="AF2233" s="1"/>
      <c r="AG2233" s="1"/>
      <c r="AH2233" s="1"/>
    </row>
    <row r="2234" ht="12.75" hidden="1" customHeight="1" outlineLevel="1">
      <c r="A2234" s="17">
        <v>41372.0</v>
      </c>
      <c r="B2234" s="1"/>
      <c r="C2234" s="1" t="s">
        <v>429</v>
      </c>
      <c r="D2234" s="74"/>
      <c r="E2234" s="67"/>
      <c r="F2234" s="75"/>
      <c r="G2234" s="67"/>
      <c r="H2234" s="68"/>
      <c r="I2234" s="76"/>
      <c r="J2234" s="67"/>
      <c r="K2234" s="7" t="s">
        <v>922</v>
      </c>
      <c r="L2234" s="77"/>
      <c r="M2234" s="79"/>
      <c r="N2234" s="1"/>
      <c r="O2234" s="1"/>
      <c r="P2234" s="1"/>
      <c r="Q2234" s="1"/>
      <c r="R2234" s="1"/>
      <c r="S2234" s="1"/>
      <c r="T2234" s="1"/>
      <c r="U2234" s="1"/>
      <c r="V2234" s="1"/>
      <c r="W2234" s="1"/>
      <c r="X2234" s="1"/>
      <c r="Y2234" s="1"/>
      <c r="Z2234" s="1"/>
      <c r="AA2234" s="1"/>
      <c r="AB2234" s="1"/>
      <c r="AC2234" s="1"/>
      <c r="AD2234" s="1"/>
      <c r="AE2234" s="1"/>
      <c r="AF2234" s="1"/>
      <c r="AG2234" s="1"/>
      <c r="AH2234" s="1"/>
    </row>
    <row r="2235" ht="12.75" hidden="1" customHeight="1" outlineLevel="1">
      <c r="A2235" s="17">
        <v>41372.0</v>
      </c>
      <c r="B2235" s="1"/>
      <c r="C2235" s="1" t="s">
        <v>431</v>
      </c>
      <c r="D2235" s="74"/>
      <c r="E2235" s="67"/>
      <c r="F2235" s="75"/>
      <c r="G2235" s="67"/>
      <c r="H2235" s="68"/>
      <c r="I2235" s="76"/>
      <c r="J2235" s="67"/>
      <c r="K2235" s="7" t="s">
        <v>817</v>
      </c>
      <c r="L2235" s="77"/>
      <c r="M2235" s="79"/>
      <c r="N2235" s="1"/>
      <c r="O2235" s="1"/>
      <c r="P2235" s="1"/>
      <c r="Q2235" s="1"/>
      <c r="R2235" s="1"/>
      <c r="S2235" s="1"/>
      <c r="T2235" s="1"/>
      <c r="U2235" s="1"/>
      <c r="V2235" s="1"/>
      <c r="W2235" s="1"/>
      <c r="X2235" s="1"/>
      <c r="Y2235" s="1"/>
      <c r="Z2235" s="1"/>
      <c r="AA2235" s="1"/>
      <c r="AB2235" s="1"/>
      <c r="AC2235" s="1"/>
      <c r="AD2235" s="1"/>
      <c r="AE2235" s="1"/>
      <c r="AF2235" s="1"/>
      <c r="AG2235" s="1"/>
      <c r="AH2235" s="1"/>
    </row>
    <row r="2236" ht="12.75" hidden="1" customHeight="1" outlineLevel="1">
      <c r="A2236" s="17">
        <v>41372.0</v>
      </c>
      <c r="B2236" s="1"/>
      <c r="C2236" s="1" t="s">
        <v>433</v>
      </c>
      <c r="D2236" s="74"/>
      <c r="E2236" s="67"/>
      <c r="F2236" s="75"/>
      <c r="G2236" s="67"/>
      <c r="H2236" s="68"/>
      <c r="I2236" s="76"/>
      <c r="J2236" s="67"/>
      <c r="K2236" s="7" t="s">
        <v>434</v>
      </c>
      <c r="L2236" s="77"/>
      <c r="M2236" s="79"/>
      <c r="N2236" s="1"/>
      <c r="O2236" s="1"/>
      <c r="P2236" s="1"/>
      <c r="Q2236" s="1"/>
      <c r="R2236" s="1"/>
      <c r="S2236" s="1"/>
      <c r="T2236" s="1"/>
      <c r="U2236" s="1"/>
      <c r="V2236" s="1"/>
      <c r="W2236" s="1"/>
      <c r="X2236" s="1"/>
      <c r="Y2236" s="1"/>
      <c r="Z2236" s="1"/>
      <c r="AA2236" s="1"/>
      <c r="AB2236" s="1"/>
      <c r="AC2236" s="1"/>
      <c r="AD2236" s="1"/>
      <c r="AE2236" s="1"/>
      <c r="AF2236" s="1"/>
      <c r="AG2236" s="1"/>
      <c r="AH2236" s="1"/>
    </row>
    <row r="2237" ht="12.75" hidden="1" customHeight="1" outlineLevel="1">
      <c r="A2237" s="17">
        <v>41372.0</v>
      </c>
      <c r="B2237" s="1"/>
      <c r="C2237" s="1" t="s">
        <v>435</v>
      </c>
      <c r="D2237" s="74"/>
      <c r="E2237" s="67"/>
      <c r="F2237" s="75"/>
      <c r="G2237" s="67"/>
      <c r="H2237" s="68"/>
      <c r="I2237" s="76"/>
      <c r="J2237" s="67"/>
      <c r="K2237" s="7" t="s">
        <v>818</v>
      </c>
      <c r="L2237" s="77"/>
      <c r="M2237" s="79"/>
      <c r="N2237" s="1"/>
      <c r="O2237" s="1"/>
      <c r="P2237" s="1"/>
      <c r="Q2237" s="1"/>
      <c r="R2237" s="1"/>
      <c r="S2237" s="1"/>
      <c r="T2237" s="1"/>
      <c r="U2237" s="1"/>
      <c r="V2237" s="1"/>
      <c r="W2237" s="1"/>
      <c r="X2237" s="1"/>
      <c r="Y2237" s="1"/>
      <c r="Z2237" s="1"/>
      <c r="AA2237" s="1"/>
      <c r="AB2237" s="1"/>
      <c r="AC2237" s="1"/>
      <c r="AD2237" s="1"/>
      <c r="AE2237" s="1"/>
      <c r="AF2237" s="1"/>
      <c r="AG2237" s="1"/>
      <c r="AH2237" s="1"/>
    </row>
    <row r="2238" ht="12.75" hidden="1" customHeight="1" outlineLevel="1">
      <c r="A2238" s="17">
        <v>41373.0</v>
      </c>
      <c r="B2238" s="1" t="s">
        <v>347</v>
      </c>
      <c r="C2238" s="1" t="s">
        <v>851</v>
      </c>
      <c r="D2238" s="74">
        <v>400.0</v>
      </c>
      <c r="E2238" s="67">
        <v>21.3</v>
      </c>
      <c r="F2238" s="75">
        <v>0.6663657407407407</v>
      </c>
      <c r="G2238" s="67" t="s">
        <v>453</v>
      </c>
      <c r="H2238" s="68">
        <v>1.6</v>
      </c>
      <c r="I2238" s="76"/>
      <c r="J2238" s="67">
        <f t="shared" ref="J2238:J2239" si="159">IF(B2238="SLD",D2238*E2238,-D2238*E2238)-H2238</f>
        <v>8518.4</v>
      </c>
      <c r="K2238" s="7"/>
      <c r="L2238" s="70"/>
      <c r="M2238" s="79"/>
      <c r="N2238" s="1"/>
      <c r="O2238" s="1"/>
      <c r="P2238" s="1"/>
      <c r="Q2238" s="1"/>
      <c r="R2238" s="1"/>
      <c r="S2238" s="1"/>
      <c r="T2238" s="1"/>
      <c r="U2238" s="1"/>
      <c r="V2238" s="1"/>
      <c r="W2238" s="1"/>
      <c r="X2238" s="1"/>
      <c r="Y2238" s="1"/>
      <c r="Z2238" s="1"/>
      <c r="AA2238" s="1"/>
      <c r="AB2238" s="1"/>
      <c r="AC2238" s="1"/>
      <c r="AD2238" s="1"/>
      <c r="AE2238" s="1"/>
      <c r="AF2238" s="1"/>
      <c r="AG2238" s="1"/>
      <c r="AH2238" s="1"/>
    </row>
    <row r="2239" ht="12.75" hidden="1" customHeight="1" outlineLevel="1">
      <c r="A2239" s="17">
        <v>41373.0</v>
      </c>
      <c r="B2239" s="1" t="s">
        <v>347</v>
      </c>
      <c r="C2239" s="1" t="s">
        <v>881</v>
      </c>
      <c r="D2239" s="74">
        <v>300.0</v>
      </c>
      <c r="E2239" s="67">
        <v>31.66</v>
      </c>
      <c r="F2239" s="75">
        <v>0.6665740740740741</v>
      </c>
      <c r="G2239" s="67" t="s">
        <v>453</v>
      </c>
      <c r="H2239" s="68">
        <v>1.47</v>
      </c>
      <c r="I2239" s="76"/>
      <c r="J2239" s="67">
        <f t="shared" si="159"/>
        <v>9496.53</v>
      </c>
      <c r="K2239" s="7"/>
      <c r="L2239" s="70"/>
      <c r="M2239" s="79"/>
      <c r="N2239" s="1"/>
      <c r="O2239" s="1"/>
      <c r="P2239" s="1"/>
      <c r="Q2239" s="1"/>
      <c r="R2239" s="1"/>
      <c r="S2239" s="1"/>
      <c r="T2239" s="1"/>
      <c r="U2239" s="1"/>
      <c r="V2239" s="1"/>
      <c r="W2239" s="1"/>
      <c r="X2239" s="1"/>
      <c r="Y2239" s="1"/>
      <c r="Z2239" s="1"/>
      <c r="AA2239" s="1"/>
      <c r="AB2239" s="1"/>
      <c r="AC2239" s="1"/>
      <c r="AD2239" s="1"/>
      <c r="AE2239" s="1"/>
      <c r="AF2239" s="1"/>
      <c r="AG2239" s="1"/>
      <c r="AH2239" s="1"/>
    </row>
    <row r="2240" ht="12.75" hidden="1" customHeight="1" outlineLevel="1">
      <c r="A2240" s="17">
        <v>41373.0</v>
      </c>
      <c r="B2240" s="1"/>
      <c r="C2240" s="1" t="s">
        <v>339</v>
      </c>
      <c r="D2240" s="74"/>
      <c r="E2240" s="67"/>
      <c r="F2240" s="75"/>
      <c r="G2240" s="67"/>
      <c r="H2240" s="68"/>
      <c r="I2240" s="76"/>
      <c r="J2240" s="67"/>
      <c r="K2240" s="7" t="s">
        <v>1000</v>
      </c>
      <c r="L2240" s="77"/>
      <c r="M2240" s="79"/>
      <c r="N2240" s="1"/>
      <c r="O2240" s="1"/>
      <c r="P2240" s="1"/>
      <c r="Q2240" s="1"/>
      <c r="R2240" s="1"/>
      <c r="S2240" s="1"/>
      <c r="T2240" s="1"/>
      <c r="U2240" s="1"/>
      <c r="V2240" s="1"/>
      <c r="W2240" s="1"/>
      <c r="X2240" s="1"/>
      <c r="Y2240" s="1"/>
      <c r="Z2240" s="1"/>
      <c r="AA2240" s="1"/>
      <c r="AB2240" s="1"/>
      <c r="AC2240" s="1"/>
      <c r="AD2240" s="1"/>
      <c r="AE2240" s="1"/>
      <c r="AF2240" s="1"/>
      <c r="AG2240" s="1"/>
      <c r="AH2240" s="1"/>
    </row>
    <row r="2241" ht="12.75" hidden="1" customHeight="1" outlineLevel="1">
      <c r="A2241" s="17">
        <v>41373.0</v>
      </c>
      <c r="B2241" s="1"/>
      <c r="C2241" s="1" t="s">
        <v>429</v>
      </c>
      <c r="D2241" s="74"/>
      <c r="E2241" s="67"/>
      <c r="F2241" s="75"/>
      <c r="G2241" s="67"/>
      <c r="H2241" s="68"/>
      <c r="I2241" s="76"/>
      <c r="J2241" s="67"/>
      <c r="K2241" s="7" t="s">
        <v>922</v>
      </c>
      <c r="L2241" s="77"/>
      <c r="M2241" s="79"/>
      <c r="N2241" s="1"/>
      <c r="O2241" s="1"/>
      <c r="P2241" s="1"/>
      <c r="Q2241" s="1"/>
      <c r="R2241" s="1"/>
      <c r="S2241" s="1"/>
      <c r="T2241" s="1"/>
      <c r="U2241" s="1"/>
      <c r="V2241" s="1"/>
      <c r="W2241" s="1"/>
      <c r="X2241" s="1"/>
      <c r="Y2241" s="1"/>
      <c r="Z2241" s="1"/>
      <c r="AA2241" s="1"/>
      <c r="AB2241" s="1"/>
      <c r="AC2241" s="1"/>
      <c r="AD2241" s="1"/>
      <c r="AE2241" s="1"/>
      <c r="AF2241" s="1"/>
      <c r="AG2241" s="1"/>
      <c r="AH2241" s="1"/>
    </row>
    <row r="2242" ht="12.75" hidden="1" customHeight="1" outlineLevel="1">
      <c r="A2242" s="17">
        <v>41373.0</v>
      </c>
      <c r="B2242" s="1"/>
      <c r="C2242" s="1" t="s">
        <v>431</v>
      </c>
      <c r="D2242" s="74"/>
      <c r="E2242" s="67"/>
      <c r="F2242" s="75"/>
      <c r="G2242" s="67"/>
      <c r="H2242" s="68"/>
      <c r="I2242" s="76"/>
      <c r="J2242" s="67"/>
      <c r="K2242" s="7" t="s">
        <v>817</v>
      </c>
      <c r="L2242" s="77"/>
      <c r="M2242" s="79"/>
      <c r="N2242" s="1"/>
      <c r="O2242" s="1"/>
      <c r="P2242" s="1"/>
      <c r="Q2242" s="1"/>
      <c r="R2242" s="1"/>
      <c r="S2242" s="1"/>
      <c r="T2242" s="1"/>
      <c r="U2242" s="1"/>
      <c r="V2242" s="1"/>
      <c r="W2242" s="1"/>
      <c r="X2242" s="1"/>
      <c r="Y2242" s="1"/>
      <c r="Z2242" s="1"/>
      <c r="AA2242" s="1"/>
      <c r="AB2242" s="1"/>
      <c r="AC2242" s="1"/>
      <c r="AD2242" s="1"/>
      <c r="AE2242" s="1"/>
      <c r="AF2242" s="1"/>
      <c r="AG2242" s="1"/>
      <c r="AH2242" s="1"/>
    </row>
    <row r="2243" ht="12.75" hidden="1" customHeight="1" outlineLevel="1">
      <c r="A2243" s="17">
        <v>41373.0</v>
      </c>
      <c r="B2243" s="1"/>
      <c r="C2243" s="1" t="s">
        <v>433</v>
      </c>
      <c r="D2243" s="74"/>
      <c r="E2243" s="67"/>
      <c r="F2243" s="75"/>
      <c r="G2243" s="67"/>
      <c r="H2243" s="68"/>
      <c r="I2243" s="76"/>
      <c r="J2243" s="67"/>
      <c r="K2243" s="7" t="s">
        <v>434</v>
      </c>
      <c r="L2243" s="77"/>
      <c r="M2243" s="79"/>
      <c r="N2243" s="1"/>
      <c r="O2243" s="1"/>
      <c r="P2243" s="1"/>
      <c r="Q2243" s="1"/>
      <c r="R2243" s="1"/>
      <c r="S2243" s="1"/>
      <c r="T2243" s="1"/>
      <c r="U2243" s="1"/>
      <c r="V2243" s="1"/>
      <c r="W2243" s="1"/>
      <c r="X2243" s="1"/>
      <c r="Y2243" s="1"/>
      <c r="Z2243" s="1"/>
      <c r="AA2243" s="1"/>
      <c r="AB2243" s="1"/>
      <c r="AC2243" s="1"/>
      <c r="AD2243" s="1"/>
      <c r="AE2243" s="1"/>
      <c r="AF2243" s="1"/>
      <c r="AG2243" s="1"/>
      <c r="AH2243" s="1"/>
    </row>
    <row r="2244" ht="12.75" hidden="1" customHeight="1" outlineLevel="1">
      <c r="A2244" s="17">
        <v>41373.0</v>
      </c>
      <c r="B2244" s="1"/>
      <c r="C2244" s="1" t="s">
        <v>435</v>
      </c>
      <c r="D2244" s="74"/>
      <c r="E2244" s="67"/>
      <c r="F2244" s="75"/>
      <c r="G2244" s="67"/>
      <c r="H2244" s="68"/>
      <c r="I2244" s="76"/>
      <c r="J2244" s="67"/>
      <c r="K2244" s="7" t="s">
        <v>818</v>
      </c>
      <c r="L2244" s="77"/>
      <c r="M2244" s="79"/>
      <c r="N2244" s="1"/>
      <c r="O2244" s="1"/>
      <c r="P2244" s="1"/>
      <c r="Q2244" s="1"/>
      <c r="R2244" s="1"/>
      <c r="S2244" s="1"/>
      <c r="T2244" s="1"/>
      <c r="U2244" s="1"/>
      <c r="V2244" s="1"/>
      <c r="W2244" s="1"/>
      <c r="X2244" s="1"/>
      <c r="Y2244" s="1"/>
      <c r="Z2244" s="1"/>
      <c r="AA2244" s="1"/>
      <c r="AB2244" s="1"/>
      <c r="AC2244" s="1"/>
      <c r="AD2244" s="1"/>
      <c r="AE2244" s="1"/>
      <c r="AF2244" s="1"/>
      <c r="AG2244" s="1"/>
      <c r="AH2244" s="1"/>
    </row>
    <row r="2245" ht="12.75" hidden="1" customHeight="1" outlineLevel="1">
      <c r="A2245" s="17">
        <v>41374.0</v>
      </c>
      <c r="B2245" s="1" t="s">
        <v>343</v>
      </c>
      <c r="C2245" s="1" t="s">
        <v>881</v>
      </c>
      <c r="D2245" s="74">
        <v>300.0</v>
      </c>
      <c r="E2245" s="67">
        <v>31.923</v>
      </c>
      <c r="F2245" s="75">
        <v>0.49444444444444446</v>
      </c>
      <c r="G2245" s="67" t="s">
        <v>453</v>
      </c>
      <c r="H2245" s="68">
        <v>2.0</v>
      </c>
      <c r="I2245" s="76"/>
      <c r="J2245" s="67">
        <f t="shared" ref="J2245:J2250" si="160">IF(B2245="SLD",D2245*E2245,-D2245*E2245)-H2245</f>
        <v>-9578.9</v>
      </c>
      <c r="K2245" s="7"/>
      <c r="L2245" s="70"/>
      <c r="M2245" s="79"/>
      <c r="N2245" s="1"/>
      <c r="O2245" s="1"/>
      <c r="P2245" s="1"/>
      <c r="Q2245" s="1"/>
      <c r="R2245" s="1"/>
      <c r="S2245" s="1"/>
      <c r="T2245" s="1"/>
      <c r="U2245" s="1"/>
      <c r="V2245" s="1"/>
      <c r="W2245" s="1"/>
      <c r="X2245" s="1"/>
      <c r="Y2245" s="1"/>
      <c r="Z2245" s="1"/>
      <c r="AA2245" s="1"/>
      <c r="AB2245" s="1"/>
      <c r="AC2245" s="1"/>
      <c r="AD2245" s="1"/>
      <c r="AE2245" s="1"/>
      <c r="AF2245" s="1"/>
      <c r="AG2245" s="1"/>
      <c r="AH2245" s="1"/>
    </row>
    <row r="2246" ht="12.75" hidden="1" customHeight="1" outlineLevel="1">
      <c r="A2246" s="17">
        <v>41374.0</v>
      </c>
      <c r="B2246" s="1" t="s">
        <v>343</v>
      </c>
      <c r="C2246" s="1" t="s">
        <v>1006</v>
      </c>
      <c r="D2246" s="74">
        <v>500.0</v>
      </c>
      <c r="E2246" s="67">
        <v>29.0</v>
      </c>
      <c r="F2246" s="75">
        <v>0.5143287037037038</v>
      </c>
      <c r="G2246" s="67" t="s">
        <v>453</v>
      </c>
      <c r="H2246" s="68">
        <v>2.0</v>
      </c>
      <c r="I2246" s="76"/>
      <c r="J2246" s="67">
        <f t="shared" si="160"/>
        <v>-14502</v>
      </c>
      <c r="K2246" s="7"/>
      <c r="L2246" s="70"/>
      <c r="M2246" s="79"/>
      <c r="N2246" s="1"/>
      <c r="O2246" s="1"/>
      <c r="P2246" s="1"/>
      <c r="Q2246" s="1"/>
      <c r="R2246" s="1"/>
      <c r="S2246" s="1"/>
      <c r="T2246" s="1"/>
      <c r="U2246" s="1"/>
      <c r="V2246" s="1"/>
      <c r="W2246" s="1"/>
      <c r="X2246" s="1"/>
      <c r="Y2246" s="1"/>
      <c r="Z2246" s="1"/>
      <c r="AA2246" s="1"/>
      <c r="AB2246" s="1"/>
      <c r="AC2246" s="1"/>
      <c r="AD2246" s="1"/>
      <c r="AE2246" s="1"/>
      <c r="AF2246" s="1"/>
      <c r="AG2246" s="1"/>
      <c r="AH2246" s="1"/>
    </row>
    <row r="2247" ht="12.75" hidden="1" customHeight="1" outlineLevel="1">
      <c r="A2247" s="17">
        <v>41374.0</v>
      </c>
      <c r="B2247" s="1" t="s">
        <v>343</v>
      </c>
      <c r="C2247" s="1" t="s">
        <v>1010</v>
      </c>
      <c r="D2247" s="74">
        <v>800.0</v>
      </c>
      <c r="E2247" s="67">
        <v>4.886</v>
      </c>
      <c r="F2247" s="75">
        <v>0.530798611111111</v>
      </c>
      <c r="G2247" s="67" t="s">
        <v>453</v>
      </c>
      <c r="H2247" s="68">
        <v>3.7</v>
      </c>
      <c r="I2247" s="76"/>
      <c r="J2247" s="67">
        <f t="shared" si="160"/>
        <v>-3912.5</v>
      </c>
      <c r="K2247" s="7"/>
      <c r="L2247" s="70"/>
      <c r="M2247" s="79"/>
      <c r="N2247" s="1"/>
      <c r="O2247" s="1"/>
      <c r="P2247" s="1"/>
      <c r="Q2247" s="1"/>
      <c r="R2247" s="1"/>
      <c r="S2247" s="1"/>
      <c r="T2247" s="1"/>
      <c r="U2247" s="1"/>
      <c r="V2247" s="1"/>
      <c r="W2247" s="1"/>
      <c r="X2247" s="1"/>
      <c r="Y2247" s="1"/>
      <c r="Z2247" s="1"/>
      <c r="AA2247" s="1"/>
      <c r="AB2247" s="1"/>
      <c r="AC2247" s="1"/>
      <c r="AD2247" s="1"/>
      <c r="AE2247" s="1"/>
      <c r="AF2247" s="1"/>
      <c r="AG2247" s="1"/>
      <c r="AH2247" s="1"/>
    </row>
    <row r="2248" ht="12.75" hidden="1" customHeight="1" outlineLevel="1">
      <c r="A2248" s="17">
        <v>41374.0</v>
      </c>
      <c r="B2248" s="1" t="s">
        <v>343</v>
      </c>
      <c r="C2248" s="1" t="s">
        <v>1010</v>
      </c>
      <c r="D2248" s="74">
        <v>1000.0</v>
      </c>
      <c r="E2248" s="67">
        <v>4.89</v>
      </c>
      <c r="F2248" s="75">
        <v>0.5315162037037037</v>
      </c>
      <c r="G2248" s="67" t="s">
        <v>453</v>
      </c>
      <c r="H2248" s="68">
        <v>5.0</v>
      </c>
      <c r="I2248" s="76"/>
      <c r="J2248" s="67">
        <f t="shared" si="160"/>
        <v>-4895</v>
      </c>
      <c r="K2248" s="7"/>
      <c r="L2248" s="70"/>
      <c r="M2248" s="79"/>
      <c r="N2248" s="1"/>
      <c r="O2248" s="1"/>
      <c r="P2248" s="1"/>
      <c r="Q2248" s="1"/>
      <c r="R2248" s="1"/>
      <c r="S2248" s="1"/>
      <c r="T2248" s="1"/>
      <c r="U2248" s="1"/>
      <c r="V2248" s="1"/>
      <c r="W2248" s="1"/>
      <c r="X2248" s="1"/>
      <c r="Y2248" s="1"/>
      <c r="Z2248" s="1"/>
      <c r="AA2248" s="1"/>
      <c r="AB2248" s="1"/>
      <c r="AC2248" s="1"/>
      <c r="AD2248" s="1"/>
      <c r="AE2248" s="1"/>
      <c r="AF2248" s="1"/>
      <c r="AG2248" s="1"/>
      <c r="AH2248" s="1"/>
    </row>
    <row r="2249" ht="12.75" hidden="1" customHeight="1" outlineLevel="1">
      <c r="A2249" s="17">
        <v>41374.0</v>
      </c>
      <c r="B2249" s="1" t="s">
        <v>343</v>
      </c>
      <c r="C2249" s="1" t="s">
        <v>1010</v>
      </c>
      <c r="D2249" s="74">
        <v>1800.0</v>
      </c>
      <c r="E2249" s="67">
        <v>4.898</v>
      </c>
      <c r="F2249" s="75">
        <v>0.5320138888888889</v>
      </c>
      <c r="G2249" s="67" t="s">
        <v>453</v>
      </c>
      <c r="H2249" s="68">
        <v>7.8</v>
      </c>
      <c r="I2249" s="76"/>
      <c r="J2249" s="67">
        <f t="shared" si="160"/>
        <v>-8824.2</v>
      </c>
      <c r="K2249" s="7"/>
      <c r="L2249" s="70"/>
      <c r="M2249" s="79"/>
      <c r="N2249" s="1"/>
      <c r="O2249" s="1"/>
      <c r="P2249" s="1"/>
      <c r="Q2249" s="1"/>
      <c r="R2249" s="1"/>
      <c r="S2249" s="1"/>
      <c r="T2249" s="1"/>
      <c r="U2249" s="1"/>
      <c r="V2249" s="1"/>
      <c r="W2249" s="1"/>
      <c r="X2249" s="1"/>
      <c r="Y2249" s="1"/>
      <c r="Z2249" s="1"/>
      <c r="AA2249" s="1"/>
      <c r="AB2249" s="1"/>
      <c r="AC2249" s="1"/>
      <c r="AD2249" s="1"/>
      <c r="AE2249" s="1"/>
      <c r="AF2249" s="1"/>
      <c r="AG2249" s="1"/>
      <c r="AH2249" s="1"/>
    </row>
    <row r="2250" ht="12.75" hidden="1" customHeight="1" outlineLevel="1">
      <c r="A2250" s="17">
        <v>41374.0</v>
      </c>
      <c r="B2250" s="1" t="s">
        <v>347</v>
      </c>
      <c r="C2250" s="1" t="s">
        <v>784</v>
      </c>
      <c r="D2250" s="74">
        <v>900.0</v>
      </c>
      <c r="E2250" s="67">
        <v>18.12</v>
      </c>
      <c r="F2250" s="75">
        <v>0.6317013888888888</v>
      </c>
      <c r="G2250" s="67" t="s">
        <v>453</v>
      </c>
      <c r="H2250" s="68">
        <v>3.6</v>
      </c>
      <c r="I2250" s="76"/>
      <c r="J2250" s="67">
        <f t="shared" si="160"/>
        <v>16304.4</v>
      </c>
      <c r="K2250" s="7"/>
      <c r="L2250" s="70"/>
      <c r="M2250" s="79"/>
      <c r="N2250" s="1"/>
      <c r="O2250" s="1"/>
      <c r="P2250" s="1"/>
      <c r="Q2250" s="1"/>
      <c r="R2250" s="1"/>
      <c r="S2250" s="1"/>
      <c r="T2250" s="1"/>
      <c r="U2250" s="1"/>
      <c r="V2250" s="1"/>
      <c r="W2250" s="1"/>
      <c r="X2250" s="1"/>
      <c r="Y2250" s="1"/>
      <c r="Z2250" s="1"/>
      <c r="AA2250" s="1"/>
      <c r="AB2250" s="1"/>
      <c r="AC2250" s="1"/>
      <c r="AD2250" s="1"/>
      <c r="AE2250" s="1"/>
      <c r="AF2250" s="1"/>
      <c r="AG2250" s="1"/>
      <c r="AH2250" s="1"/>
    </row>
    <row r="2251" ht="12.75" hidden="1" customHeight="1" outlineLevel="1">
      <c r="A2251" s="17">
        <v>41374.0</v>
      </c>
      <c r="B2251" s="1"/>
      <c r="C2251" s="1" t="s">
        <v>339</v>
      </c>
      <c r="D2251" s="74"/>
      <c r="E2251" s="67"/>
      <c r="F2251" s="75"/>
      <c r="G2251" s="67"/>
      <c r="H2251" s="68"/>
      <c r="I2251" s="76"/>
      <c r="J2251" s="67"/>
      <c r="K2251" s="7" t="s">
        <v>1012</v>
      </c>
      <c r="L2251" s="77"/>
      <c r="M2251" s="79"/>
      <c r="N2251" s="1"/>
      <c r="O2251" s="1"/>
      <c r="P2251" s="1"/>
      <c r="Q2251" s="1"/>
      <c r="R2251" s="1"/>
      <c r="S2251" s="1"/>
      <c r="T2251" s="1"/>
      <c r="U2251" s="1"/>
      <c r="V2251" s="1"/>
      <c r="W2251" s="1"/>
      <c r="X2251" s="1"/>
      <c r="Y2251" s="1"/>
      <c r="Z2251" s="1"/>
      <c r="AA2251" s="1"/>
      <c r="AB2251" s="1"/>
      <c r="AC2251" s="1"/>
      <c r="AD2251" s="1"/>
      <c r="AE2251" s="1"/>
      <c r="AF2251" s="1"/>
      <c r="AG2251" s="1"/>
      <c r="AH2251" s="1"/>
    </row>
    <row r="2252" ht="12.75" hidden="1" customHeight="1" outlineLevel="1">
      <c r="A2252" s="17">
        <v>41374.0</v>
      </c>
      <c r="B2252" s="1"/>
      <c r="C2252" s="1" t="s">
        <v>429</v>
      </c>
      <c r="D2252" s="74"/>
      <c r="E2252" s="67"/>
      <c r="F2252" s="75"/>
      <c r="G2252" s="67"/>
      <c r="H2252" s="68"/>
      <c r="I2252" s="76"/>
      <c r="J2252" s="67"/>
      <c r="K2252" s="7" t="s">
        <v>922</v>
      </c>
      <c r="L2252" s="77"/>
      <c r="M2252" s="79"/>
      <c r="N2252" s="1"/>
      <c r="O2252" s="1"/>
      <c r="P2252" s="1"/>
      <c r="Q2252" s="1"/>
      <c r="R2252" s="1"/>
      <c r="S2252" s="1"/>
      <c r="T2252" s="1"/>
      <c r="U2252" s="1"/>
      <c r="V2252" s="1"/>
      <c r="W2252" s="1"/>
      <c r="X2252" s="1"/>
      <c r="Y2252" s="1"/>
      <c r="Z2252" s="1"/>
      <c r="AA2252" s="1"/>
      <c r="AB2252" s="1"/>
      <c r="AC2252" s="1"/>
      <c r="AD2252" s="1"/>
      <c r="AE2252" s="1"/>
      <c r="AF2252" s="1"/>
      <c r="AG2252" s="1"/>
      <c r="AH2252" s="1"/>
    </row>
    <row r="2253" ht="12.75" hidden="1" customHeight="1" outlineLevel="1">
      <c r="A2253" s="17">
        <v>41374.0</v>
      </c>
      <c r="B2253" s="1"/>
      <c r="C2253" s="1" t="s">
        <v>431</v>
      </c>
      <c r="D2253" s="74"/>
      <c r="E2253" s="67"/>
      <c r="F2253" s="75"/>
      <c r="G2253" s="67"/>
      <c r="H2253" s="68"/>
      <c r="I2253" s="76"/>
      <c r="J2253" s="67"/>
      <c r="K2253" s="7" t="s">
        <v>817</v>
      </c>
      <c r="L2253" s="77"/>
      <c r="M2253" s="79"/>
      <c r="N2253" s="1"/>
      <c r="O2253" s="1"/>
      <c r="P2253" s="1"/>
      <c r="Q2253" s="1"/>
      <c r="R2253" s="1"/>
      <c r="S2253" s="1"/>
      <c r="T2253" s="1"/>
      <c r="U2253" s="1"/>
      <c r="V2253" s="1"/>
      <c r="W2253" s="1"/>
      <c r="X2253" s="1"/>
      <c r="Y2253" s="1"/>
      <c r="Z2253" s="1"/>
      <c r="AA2253" s="1"/>
      <c r="AB2253" s="1"/>
      <c r="AC2253" s="1"/>
      <c r="AD2253" s="1"/>
      <c r="AE2253" s="1"/>
      <c r="AF2253" s="1"/>
      <c r="AG2253" s="1"/>
      <c r="AH2253" s="1"/>
    </row>
    <row r="2254" ht="12.75" hidden="1" customHeight="1" outlineLevel="1">
      <c r="A2254" s="17">
        <v>41374.0</v>
      </c>
      <c r="B2254" s="1"/>
      <c r="C2254" s="1" t="s">
        <v>433</v>
      </c>
      <c r="D2254" s="74"/>
      <c r="E2254" s="67"/>
      <c r="F2254" s="75"/>
      <c r="G2254" s="67"/>
      <c r="H2254" s="68"/>
      <c r="I2254" s="76"/>
      <c r="J2254" s="67"/>
      <c r="K2254" s="7" t="s">
        <v>434</v>
      </c>
      <c r="L2254" s="77"/>
      <c r="M2254" s="79"/>
      <c r="N2254" s="1"/>
      <c r="O2254" s="1"/>
      <c r="P2254" s="1"/>
      <c r="Q2254" s="1"/>
      <c r="R2254" s="1"/>
      <c r="S2254" s="1"/>
      <c r="T2254" s="1"/>
      <c r="U2254" s="1"/>
      <c r="V2254" s="1"/>
      <c r="W2254" s="1"/>
      <c r="X2254" s="1"/>
      <c r="Y2254" s="1"/>
      <c r="Z2254" s="1"/>
      <c r="AA2254" s="1"/>
      <c r="AB2254" s="1"/>
      <c r="AC2254" s="1"/>
      <c r="AD2254" s="1"/>
      <c r="AE2254" s="1"/>
      <c r="AF2254" s="1"/>
      <c r="AG2254" s="1"/>
      <c r="AH2254" s="1"/>
    </row>
    <row r="2255" ht="12.75" hidden="1" customHeight="1" outlineLevel="1">
      <c r="A2255" s="17">
        <v>41374.0</v>
      </c>
      <c r="B2255" s="1"/>
      <c r="C2255" s="1" t="s">
        <v>435</v>
      </c>
      <c r="D2255" s="74"/>
      <c r="E2255" s="67"/>
      <c r="F2255" s="75"/>
      <c r="G2255" s="67"/>
      <c r="H2255" s="68"/>
      <c r="I2255" s="76"/>
      <c r="J2255" s="67"/>
      <c r="K2255" s="7" t="s">
        <v>818</v>
      </c>
      <c r="L2255" s="77"/>
      <c r="M2255" s="79"/>
      <c r="N2255" s="1"/>
      <c r="O2255" s="1"/>
      <c r="P2255" s="1"/>
      <c r="Q2255" s="1"/>
      <c r="R2255" s="1"/>
      <c r="S2255" s="1"/>
      <c r="T2255" s="1"/>
      <c r="U2255" s="1"/>
      <c r="V2255" s="1"/>
      <c r="W2255" s="1"/>
      <c r="X2255" s="1"/>
      <c r="Y2255" s="1"/>
      <c r="Z2255" s="1"/>
      <c r="AA2255" s="1"/>
      <c r="AB2255" s="1"/>
      <c r="AC2255" s="1"/>
      <c r="AD2255" s="1"/>
      <c r="AE2255" s="1"/>
      <c r="AF2255" s="1"/>
      <c r="AG2255" s="1"/>
      <c r="AH2255" s="1"/>
    </row>
    <row r="2256" ht="12.75" hidden="1" customHeight="1" outlineLevel="1">
      <c r="A2256" s="17">
        <v>41375.0</v>
      </c>
      <c r="B2256" s="1"/>
      <c r="C2256" s="1" t="s">
        <v>339</v>
      </c>
      <c r="D2256" s="74"/>
      <c r="E2256" s="67"/>
      <c r="F2256" s="75"/>
      <c r="G2256" s="67"/>
      <c r="H2256" s="68"/>
      <c r="I2256" s="76"/>
      <c r="J2256" s="67"/>
      <c r="K2256" s="7" t="s">
        <v>1021</v>
      </c>
      <c r="L2256" s="77"/>
      <c r="M2256" s="79"/>
      <c r="N2256" s="1"/>
      <c r="O2256" s="1"/>
      <c r="P2256" s="1"/>
      <c r="Q2256" s="1"/>
      <c r="R2256" s="1"/>
      <c r="S2256" s="1"/>
      <c r="T2256" s="1"/>
      <c r="U2256" s="1"/>
      <c r="V2256" s="1"/>
      <c r="W2256" s="1"/>
      <c r="X2256" s="1"/>
      <c r="Y2256" s="1"/>
      <c r="Z2256" s="1"/>
      <c r="AA2256" s="1"/>
      <c r="AB2256" s="1"/>
      <c r="AC2256" s="1"/>
      <c r="AD2256" s="1"/>
      <c r="AE2256" s="1"/>
      <c r="AF2256" s="1"/>
      <c r="AG2256" s="1"/>
      <c r="AH2256" s="1"/>
    </row>
    <row r="2257" ht="12.75" hidden="1" customHeight="1" outlineLevel="1">
      <c r="A2257" s="17">
        <v>41375.0</v>
      </c>
      <c r="B2257" s="1"/>
      <c r="C2257" s="1" t="s">
        <v>429</v>
      </c>
      <c r="D2257" s="74"/>
      <c r="E2257" s="67"/>
      <c r="F2257" s="75"/>
      <c r="G2257" s="67"/>
      <c r="H2257" s="68"/>
      <c r="I2257" s="76"/>
      <c r="J2257" s="67"/>
      <c r="K2257" s="7" t="s">
        <v>922</v>
      </c>
      <c r="L2257" s="77"/>
      <c r="M2257" s="79"/>
      <c r="N2257" s="1"/>
      <c r="O2257" s="1"/>
      <c r="P2257" s="1"/>
      <c r="Q2257" s="1"/>
      <c r="R2257" s="1"/>
      <c r="S2257" s="1"/>
      <c r="T2257" s="1"/>
      <c r="U2257" s="1"/>
      <c r="V2257" s="1"/>
      <c r="W2257" s="1"/>
      <c r="X2257" s="1"/>
      <c r="Y2257" s="1"/>
      <c r="Z2257" s="1"/>
      <c r="AA2257" s="1"/>
      <c r="AB2257" s="1"/>
      <c r="AC2257" s="1"/>
      <c r="AD2257" s="1"/>
      <c r="AE2257" s="1"/>
      <c r="AF2257" s="1"/>
      <c r="AG2257" s="1"/>
      <c r="AH2257" s="1"/>
    </row>
    <row r="2258" ht="12.75" hidden="1" customHeight="1" outlineLevel="1">
      <c r="A2258" s="17">
        <v>41375.0</v>
      </c>
      <c r="B2258" s="1"/>
      <c r="C2258" s="1" t="s">
        <v>431</v>
      </c>
      <c r="D2258" s="74"/>
      <c r="E2258" s="67"/>
      <c r="F2258" s="75"/>
      <c r="G2258" s="67"/>
      <c r="H2258" s="68"/>
      <c r="I2258" s="76"/>
      <c r="J2258" s="67"/>
      <c r="K2258" s="7" t="s">
        <v>817</v>
      </c>
      <c r="L2258" s="77"/>
      <c r="M2258" s="79"/>
      <c r="N2258" s="1"/>
      <c r="O2258" s="1"/>
      <c r="P2258" s="1"/>
      <c r="Q2258" s="1"/>
      <c r="R2258" s="1"/>
      <c r="S2258" s="1"/>
      <c r="T2258" s="1"/>
      <c r="U2258" s="1"/>
      <c r="V2258" s="1"/>
      <c r="W2258" s="1"/>
      <c r="X2258" s="1"/>
      <c r="Y2258" s="1"/>
      <c r="Z2258" s="1"/>
      <c r="AA2258" s="1"/>
      <c r="AB2258" s="1"/>
      <c r="AC2258" s="1"/>
      <c r="AD2258" s="1"/>
      <c r="AE2258" s="1"/>
      <c r="AF2258" s="1"/>
      <c r="AG2258" s="1"/>
      <c r="AH2258" s="1"/>
    </row>
    <row r="2259" ht="12.75" hidden="1" customHeight="1" outlineLevel="1">
      <c r="A2259" s="17">
        <v>41375.0</v>
      </c>
      <c r="B2259" s="1"/>
      <c r="C2259" s="1" t="s">
        <v>433</v>
      </c>
      <c r="D2259" s="74"/>
      <c r="E2259" s="67"/>
      <c r="F2259" s="75"/>
      <c r="G2259" s="67"/>
      <c r="H2259" s="68"/>
      <c r="I2259" s="76"/>
      <c r="J2259" s="67"/>
      <c r="K2259" s="7" t="s">
        <v>434</v>
      </c>
      <c r="L2259" s="77"/>
      <c r="M2259" s="79"/>
      <c r="N2259" s="1"/>
      <c r="O2259" s="1"/>
      <c r="P2259" s="1"/>
      <c r="Q2259" s="1"/>
      <c r="R2259" s="1"/>
      <c r="S2259" s="1"/>
      <c r="T2259" s="1"/>
      <c r="U2259" s="1"/>
      <c r="V2259" s="1"/>
      <c r="W2259" s="1"/>
      <c r="X2259" s="1"/>
      <c r="Y2259" s="1"/>
      <c r="Z2259" s="1"/>
      <c r="AA2259" s="1"/>
      <c r="AB2259" s="1"/>
      <c r="AC2259" s="1"/>
      <c r="AD2259" s="1"/>
      <c r="AE2259" s="1"/>
      <c r="AF2259" s="1"/>
      <c r="AG2259" s="1"/>
      <c r="AH2259" s="1"/>
    </row>
    <row r="2260" ht="12.75" hidden="1" customHeight="1" outlineLevel="1">
      <c r="A2260" s="17">
        <v>41375.0</v>
      </c>
      <c r="B2260" s="1"/>
      <c r="C2260" s="1" t="s">
        <v>435</v>
      </c>
      <c r="D2260" s="74"/>
      <c r="E2260" s="67"/>
      <c r="F2260" s="75"/>
      <c r="G2260" s="67"/>
      <c r="H2260" s="68"/>
      <c r="I2260" s="76"/>
      <c r="J2260" s="67"/>
      <c r="K2260" s="7" t="s">
        <v>818</v>
      </c>
      <c r="L2260" s="77"/>
      <c r="M2260" s="79"/>
      <c r="N2260" s="1"/>
      <c r="O2260" s="1"/>
      <c r="P2260" s="1"/>
      <c r="Q2260" s="1"/>
      <c r="R2260" s="1"/>
      <c r="S2260" s="1"/>
      <c r="T2260" s="1"/>
      <c r="U2260" s="1"/>
      <c r="V2260" s="1"/>
      <c r="W2260" s="1"/>
      <c r="X2260" s="1"/>
      <c r="Y2260" s="1"/>
      <c r="Z2260" s="1"/>
      <c r="AA2260" s="1"/>
      <c r="AB2260" s="1"/>
      <c r="AC2260" s="1"/>
      <c r="AD2260" s="1"/>
      <c r="AE2260" s="1"/>
      <c r="AF2260" s="1"/>
      <c r="AG2260" s="1"/>
      <c r="AH2260" s="1"/>
    </row>
    <row r="2261" ht="12.75" hidden="1" customHeight="1" outlineLevel="1">
      <c r="A2261" s="17">
        <v>41376.0</v>
      </c>
      <c r="B2261" s="1" t="s">
        <v>343</v>
      </c>
      <c r="C2261" s="1" t="s">
        <v>857</v>
      </c>
      <c r="D2261" s="74">
        <v>1500.0</v>
      </c>
      <c r="E2261" s="67">
        <v>10.97</v>
      </c>
      <c r="F2261" s="75">
        <v>0.41430555555555554</v>
      </c>
      <c r="G2261" s="67" t="s">
        <v>453</v>
      </c>
      <c r="H2261" s="68">
        <v>6.0</v>
      </c>
      <c r="I2261" s="76"/>
      <c r="J2261" s="67">
        <f>IF(B2261="SLD",D2261*E2261,-D2261*E2261)-H2261</f>
        <v>-16461</v>
      </c>
      <c r="K2261" s="7"/>
      <c r="L2261" s="70"/>
      <c r="M2261" s="79"/>
      <c r="N2261" s="1"/>
      <c r="O2261" s="1"/>
      <c r="P2261" s="1"/>
      <c r="Q2261" s="1"/>
      <c r="R2261" s="1"/>
      <c r="S2261" s="1"/>
      <c r="T2261" s="1"/>
      <c r="U2261" s="1"/>
      <c r="V2261" s="1"/>
      <c r="W2261" s="1"/>
      <c r="X2261" s="1"/>
      <c r="Y2261" s="1"/>
      <c r="Z2261" s="1"/>
      <c r="AA2261" s="1"/>
      <c r="AB2261" s="1"/>
      <c r="AC2261" s="1"/>
      <c r="AD2261" s="1"/>
      <c r="AE2261" s="1"/>
      <c r="AF2261" s="1"/>
      <c r="AG2261" s="1"/>
      <c r="AH2261" s="1"/>
    </row>
    <row r="2262" ht="12.75" hidden="1" customHeight="1" outlineLevel="1">
      <c r="A2262" s="17">
        <v>41376.0</v>
      </c>
      <c r="B2262" s="1"/>
      <c r="C2262" s="1" t="s">
        <v>339</v>
      </c>
      <c r="D2262" s="74"/>
      <c r="E2262" s="67"/>
      <c r="F2262" s="75"/>
      <c r="G2262" s="67"/>
      <c r="H2262" s="68"/>
      <c r="I2262" s="76"/>
      <c r="J2262" s="67"/>
      <c r="K2262" s="7" t="s">
        <v>1030</v>
      </c>
      <c r="L2262" s="77"/>
      <c r="M2262" s="79"/>
      <c r="N2262" s="1"/>
      <c r="O2262" s="1"/>
      <c r="P2262" s="1"/>
      <c r="Q2262" s="1"/>
      <c r="R2262" s="1"/>
      <c r="S2262" s="1"/>
      <c r="T2262" s="1"/>
      <c r="U2262" s="1"/>
      <c r="V2262" s="1"/>
      <c r="W2262" s="1"/>
      <c r="X2262" s="1"/>
      <c r="Y2262" s="1"/>
      <c r="Z2262" s="1"/>
      <c r="AA2262" s="1"/>
      <c r="AB2262" s="1"/>
      <c r="AC2262" s="1"/>
      <c r="AD2262" s="1"/>
      <c r="AE2262" s="1"/>
      <c r="AF2262" s="1"/>
      <c r="AG2262" s="1"/>
      <c r="AH2262" s="1"/>
    </row>
    <row r="2263" ht="12.75" hidden="1" customHeight="1" outlineLevel="1">
      <c r="A2263" s="17">
        <v>41376.0</v>
      </c>
      <c r="B2263" s="1"/>
      <c r="C2263" s="1" t="s">
        <v>429</v>
      </c>
      <c r="D2263" s="74"/>
      <c r="E2263" s="67"/>
      <c r="F2263" s="75"/>
      <c r="G2263" s="67"/>
      <c r="H2263" s="68"/>
      <c r="I2263" s="76"/>
      <c r="J2263" s="67"/>
      <c r="K2263" s="7" t="s">
        <v>922</v>
      </c>
      <c r="L2263" s="77"/>
      <c r="M2263" s="79"/>
      <c r="N2263" s="1"/>
      <c r="O2263" s="1"/>
      <c r="P2263" s="1"/>
      <c r="Q2263" s="1"/>
      <c r="R2263" s="1"/>
      <c r="S2263" s="1"/>
      <c r="T2263" s="1"/>
      <c r="U2263" s="1"/>
      <c r="V2263" s="1"/>
      <c r="W2263" s="1"/>
      <c r="X2263" s="1"/>
      <c r="Y2263" s="1"/>
      <c r="Z2263" s="1"/>
      <c r="AA2263" s="1"/>
      <c r="AB2263" s="1"/>
      <c r="AC2263" s="1"/>
      <c r="AD2263" s="1"/>
      <c r="AE2263" s="1"/>
      <c r="AF2263" s="1"/>
      <c r="AG2263" s="1"/>
      <c r="AH2263" s="1"/>
    </row>
    <row r="2264" ht="12.75" hidden="1" customHeight="1" outlineLevel="1">
      <c r="A2264" s="17">
        <v>41376.0</v>
      </c>
      <c r="B2264" s="1"/>
      <c r="C2264" s="1" t="s">
        <v>431</v>
      </c>
      <c r="D2264" s="74"/>
      <c r="E2264" s="67"/>
      <c r="F2264" s="75"/>
      <c r="G2264" s="67"/>
      <c r="H2264" s="68"/>
      <c r="I2264" s="76"/>
      <c r="J2264" s="67"/>
      <c r="K2264" s="7" t="s">
        <v>817</v>
      </c>
      <c r="L2264" s="77"/>
      <c r="M2264" s="79"/>
      <c r="N2264" s="1"/>
      <c r="O2264" s="1"/>
      <c r="P2264" s="1"/>
      <c r="Q2264" s="1"/>
      <c r="R2264" s="1"/>
      <c r="S2264" s="1"/>
      <c r="T2264" s="1"/>
      <c r="U2264" s="1"/>
      <c r="V2264" s="1"/>
      <c r="W2264" s="1"/>
      <c r="X2264" s="1"/>
      <c r="Y2264" s="1"/>
      <c r="Z2264" s="1"/>
      <c r="AA2264" s="1"/>
      <c r="AB2264" s="1"/>
      <c r="AC2264" s="1"/>
      <c r="AD2264" s="1"/>
      <c r="AE2264" s="1"/>
      <c r="AF2264" s="1"/>
      <c r="AG2264" s="1"/>
      <c r="AH2264" s="1"/>
    </row>
    <row r="2265" ht="12.75" hidden="1" customHeight="1" outlineLevel="1">
      <c r="A2265" s="17">
        <v>41376.0</v>
      </c>
      <c r="B2265" s="1"/>
      <c r="C2265" s="1" t="s">
        <v>433</v>
      </c>
      <c r="D2265" s="74"/>
      <c r="E2265" s="67"/>
      <c r="F2265" s="75"/>
      <c r="G2265" s="67"/>
      <c r="H2265" s="68"/>
      <c r="I2265" s="76"/>
      <c r="J2265" s="67"/>
      <c r="K2265" s="7" t="s">
        <v>434</v>
      </c>
      <c r="L2265" s="77"/>
      <c r="M2265" s="79"/>
      <c r="N2265" s="1"/>
      <c r="O2265" s="1"/>
      <c r="P2265" s="1"/>
      <c r="Q2265" s="1"/>
      <c r="R2265" s="1"/>
      <c r="S2265" s="1"/>
      <c r="T2265" s="1"/>
      <c r="U2265" s="1"/>
      <c r="V2265" s="1"/>
      <c r="W2265" s="1"/>
      <c r="X2265" s="1"/>
      <c r="Y2265" s="1"/>
      <c r="Z2265" s="1"/>
      <c r="AA2265" s="1"/>
      <c r="AB2265" s="1"/>
      <c r="AC2265" s="1"/>
      <c r="AD2265" s="1"/>
      <c r="AE2265" s="1"/>
      <c r="AF2265" s="1"/>
      <c r="AG2265" s="1"/>
      <c r="AH2265" s="1"/>
    </row>
    <row r="2266" ht="12.75" hidden="1" customHeight="1" outlineLevel="1">
      <c r="A2266" s="17">
        <v>41376.0</v>
      </c>
      <c r="B2266" s="1"/>
      <c r="C2266" s="1" t="s">
        <v>435</v>
      </c>
      <c r="D2266" s="74"/>
      <c r="E2266" s="67"/>
      <c r="F2266" s="75"/>
      <c r="G2266" s="67"/>
      <c r="H2266" s="68"/>
      <c r="I2266" s="76"/>
      <c r="J2266" s="67"/>
      <c r="K2266" s="7" t="s">
        <v>818</v>
      </c>
      <c r="L2266" s="77"/>
      <c r="M2266" s="79"/>
      <c r="N2266" s="1"/>
      <c r="O2266" s="1"/>
      <c r="P2266" s="1"/>
      <c r="Q2266" s="1"/>
      <c r="R2266" s="1"/>
      <c r="S2266" s="1"/>
      <c r="T2266" s="1"/>
      <c r="U2266" s="1"/>
      <c r="V2266" s="1"/>
      <c r="W2266" s="1"/>
      <c r="X2266" s="1"/>
      <c r="Y2266" s="1"/>
      <c r="Z2266" s="1"/>
      <c r="AA2266" s="1"/>
      <c r="AB2266" s="1"/>
      <c r="AC2266" s="1"/>
      <c r="AD2266" s="1"/>
      <c r="AE2266" s="1"/>
      <c r="AF2266" s="1"/>
      <c r="AG2266" s="1"/>
      <c r="AH2266" s="1"/>
    </row>
    <row r="2267" ht="12.75" hidden="1" customHeight="1" outlineLevel="1">
      <c r="A2267" s="17">
        <v>41380.0</v>
      </c>
      <c r="B2267" s="1" t="s">
        <v>347</v>
      </c>
      <c r="C2267" s="1" t="s">
        <v>903</v>
      </c>
      <c r="D2267" s="74">
        <v>250.0</v>
      </c>
      <c r="E2267" s="67">
        <v>60.456</v>
      </c>
      <c r="F2267" s="75">
        <v>0.6310300925925926</v>
      </c>
      <c r="G2267" s="67" t="s">
        <v>453</v>
      </c>
      <c r="H2267" s="68">
        <v>1.15</v>
      </c>
      <c r="I2267" s="76"/>
      <c r="J2267" s="67">
        <f>IF(B2267="SLD",D2267*E2267,-D2267*E2267)-H2267</f>
        <v>15112.85</v>
      </c>
      <c r="K2267" s="7"/>
      <c r="L2267" s="70"/>
      <c r="M2267" s="79"/>
      <c r="N2267" s="1"/>
      <c r="O2267" s="1"/>
      <c r="P2267" s="1"/>
      <c r="Q2267" s="1"/>
      <c r="R2267" s="1"/>
      <c r="S2267" s="1"/>
      <c r="T2267" s="1"/>
      <c r="U2267" s="1"/>
      <c r="V2267" s="1"/>
      <c r="W2267" s="1"/>
      <c r="X2267" s="1"/>
      <c r="Y2267" s="1"/>
      <c r="Z2267" s="1"/>
      <c r="AA2267" s="1"/>
      <c r="AB2267" s="1"/>
      <c r="AC2267" s="1"/>
      <c r="AD2267" s="1"/>
      <c r="AE2267" s="1"/>
      <c r="AF2267" s="1"/>
      <c r="AG2267" s="1"/>
      <c r="AH2267" s="1"/>
    </row>
    <row r="2268" ht="12.75" hidden="1" customHeight="1" outlineLevel="1">
      <c r="A2268" s="17">
        <v>41380.0</v>
      </c>
      <c r="B2268" s="1"/>
      <c r="C2268" s="1" t="s">
        <v>339</v>
      </c>
      <c r="D2268" s="74"/>
      <c r="E2268" s="67"/>
      <c r="F2268" s="75"/>
      <c r="G2268" s="67"/>
      <c r="H2268" s="68"/>
      <c r="I2268" s="76"/>
      <c r="J2268" s="67"/>
      <c r="K2268" s="7" t="s">
        <v>1031</v>
      </c>
      <c r="L2268" s="77"/>
      <c r="M2268" s="79"/>
      <c r="N2268" s="1"/>
      <c r="O2268" s="1"/>
      <c r="P2268" s="1"/>
      <c r="Q2268" s="1"/>
      <c r="R2268" s="1"/>
      <c r="S2268" s="1"/>
      <c r="T2268" s="1"/>
      <c r="U2268" s="1"/>
      <c r="V2268" s="1"/>
      <c r="W2268" s="1"/>
      <c r="X2268" s="1"/>
      <c r="Y2268" s="1"/>
      <c r="Z2268" s="1"/>
      <c r="AA2268" s="1"/>
      <c r="AB2268" s="1"/>
      <c r="AC2268" s="1"/>
      <c r="AD2268" s="1"/>
      <c r="AE2268" s="1"/>
      <c r="AF2268" s="1"/>
      <c r="AG2268" s="1"/>
      <c r="AH2268" s="1"/>
    </row>
    <row r="2269" ht="12.75" hidden="1" customHeight="1" outlineLevel="1">
      <c r="A2269" s="17">
        <v>41380.0</v>
      </c>
      <c r="B2269" s="1"/>
      <c r="C2269" s="1" t="s">
        <v>429</v>
      </c>
      <c r="D2269" s="74"/>
      <c r="E2269" s="67"/>
      <c r="F2269" s="75"/>
      <c r="G2269" s="67"/>
      <c r="H2269" s="68"/>
      <c r="I2269" s="76"/>
      <c r="J2269" s="67"/>
      <c r="K2269" s="7" t="s">
        <v>922</v>
      </c>
      <c r="L2269" s="77"/>
      <c r="M2269" s="79"/>
      <c r="N2269" s="1"/>
      <c r="O2269" s="1"/>
      <c r="P2269" s="1"/>
      <c r="Q2269" s="1"/>
      <c r="R2269" s="1"/>
      <c r="S2269" s="1"/>
      <c r="T2269" s="1"/>
      <c r="U2269" s="1"/>
      <c r="V2269" s="1"/>
      <c r="W2269" s="1"/>
      <c r="X2269" s="1"/>
      <c r="Y2269" s="1"/>
      <c r="Z2269" s="1"/>
      <c r="AA2269" s="1"/>
      <c r="AB2269" s="1"/>
      <c r="AC2269" s="1"/>
      <c r="AD2269" s="1"/>
      <c r="AE2269" s="1"/>
      <c r="AF2269" s="1"/>
      <c r="AG2269" s="1"/>
      <c r="AH2269" s="1"/>
    </row>
    <row r="2270" ht="12.75" hidden="1" customHeight="1" outlineLevel="1">
      <c r="A2270" s="17">
        <v>41380.0</v>
      </c>
      <c r="B2270" s="1"/>
      <c r="C2270" s="1" t="s">
        <v>431</v>
      </c>
      <c r="D2270" s="74"/>
      <c r="E2270" s="67"/>
      <c r="F2270" s="75"/>
      <c r="G2270" s="67"/>
      <c r="H2270" s="68"/>
      <c r="I2270" s="76"/>
      <c r="J2270" s="67"/>
      <c r="K2270" s="7" t="s">
        <v>817</v>
      </c>
      <c r="L2270" s="77"/>
      <c r="M2270" s="79"/>
      <c r="N2270" s="1"/>
      <c r="O2270" s="1"/>
      <c r="P2270" s="1"/>
      <c r="Q2270" s="1"/>
      <c r="R2270" s="1"/>
      <c r="S2270" s="1"/>
      <c r="T2270" s="1"/>
      <c r="U2270" s="1"/>
      <c r="V2270" s="1"/>
      <c r="W2270" s="1"/>
      <c r="X2270" s="1"/>
      <c r="Y2270" s="1"/>
      <c r="Z2270" s="1"/>
      <c r="AA2270" s="1"/>
      <c r="AB2270" s="1"/>
      <c r="AC2270" s="1"/>
      <c r="AD2270" s="1"/>
      <c r="AE2270" s="1"/>
      <c r="AF2270" s="1"/>
      <c r="AG2270" s="1"/>
      <c r="AH2270" s="1"/>
    </row>
    <row r="2271" ht="12.75" hidden="1" customHeight="1" outlineLevel="1">
      <c r="A2271" s="17">
        <v>41380.0</v>
      </c>
      <c r="B2271" s="1"/>
      <c r="C2271" s="1" t="s">
        <v>433</v>
      </c>
      <c r="D2271" s="74"/>
      <c r="E2271" s="67"/>
      <c r="F2271" s="75"/>
      <c r="G2271" s="67"/>
      <c r="H2271" s="68"/>
      <c r="I2271" s="76"/>
      <c r="J2271" s="67"/>
      <c r="K2271" s="7" t="s">
        <v>434</v>
      </c>
      <c r="L2271" s="77"/>
      <c r="M2271" s="79"/>
      <c r="N2271" s="1"/>
      <c r="O2271" s="1"/>
      <c r="P2271" s="1"/>
      <c r="Q2271" s="1"/>
      <c r="R2271" s="1"/>
      <c r="S2271" s="1"/>
      <c r="T2271" s="1"/>
      <c r="U2271" s="1"/>
      <c r="V2271" s="1"/>
      <c r="W2271" s="1"/>
      <c r="X2271" s="1"/>
      <c r="Y2271" s="1"/>
      <c r="Z2271" s="1"/>
      <c r="AA2271" s="1"/>
      <c r="AB2271" s="1"/>
      <c r="AC2271" s="1"/>
      <c r="AD2271" s="1"/>
      <c r="AE2271" s="1"/>
      <c r="AF2271" s="1"/>
      <c r="AG2271" s="1"/>
      <c r="AH2271" s="1"/>
    </row>
    <row r="2272" ht="12.75" hidden="1" customHeight="1" outlineLevel="1">
      <c r="A2272" s="17">
        <v>41380.0</v>
      </c>
      <c r="B2272" s="1"/>
      <c r="C2272" s="1" t="s">
        <v>435</v>
      </c>
      <c r="D2272" s="74"/>
      <c r="E2272" s="67"/>
      <c r="F2272" s="75"/>
      <c r="G2272" s="67"/>
      <c r="H2272" s="68"/>
      <c r="I2272" s="76"/>
      <c r="J2272" s="67"/>
      <c r="K2272" s="7" t="s">
        <v>818</v>
      </c>
      <c r="L2272" s="77"/>
      <c r="M2272" s="79"/>
      <c r="N2272" s="1"/>
      <c r="O2272" s="1"/>
      <c r="P2272" s="1"/>
      <c r="Q2272" s="1"/>
      <c r="R2272" s="1"/>
      <c r="S2272" s="1"/>
      <c r="T2272" s="1"/>
      <c r="U2272" s="1"/>
      <c r="V2272" s="1"/>
      <c r="W2272" s="1"/>
      <c r="X2272" s="1"/>
      <c r="Y2272" s="1"/>
      <c r="Z2272" s="1"/>
      <c r="AA2272" s="1"/>
      <c r="AB2272" s="1"/>
      <c r="AC2272" s="1"/>
      <c r="AD2272" s="1"/>
      <c r="AE2272" s="1"/>
      <c r="AF2272" s="1"/>
      <c r="AG2272" s="1"/>
      <c r="AH2272" s="1"/>
    </row>
    <row r="2273" ht="12.75" hidden="1" customHeight="1" outlineLevel="1">
      <c r="A2273" s="17">
        <v>41381.0</v>
      </c>
      <c r="B2273" s="1" t="s">
        <v>347</v>
      </c>
      <c r="C2273" s="1" t="s">
        <v>1032</v>
      </c>
      <c r="D2273" s="74">
        <v>1000.0</v>
      </c>
      <c r="E2273" s="67">
        <v>4.46</v>
      </c>
      <c r="F2273" s="75">
        <v>0.5065393518518518</v>
      </c>
      <c r="G2273" s="67" t="s">
        <v>453</v>
      </c>
      <c r="H2273" s="68">
        <v>5.0</v>
      </c>
      <c r="I2273" s="76"/>
      <c r="J2273" s="67">
        <f t="shared" ref="J2273:J2280" si="161">IF(B2273="SLD",D2273*E2273,-D2273*E2273)-H2273</f>
        <v>4455</v>
      </c>
      <c r="K2273" s="7"/>
      <c r="L2273" s="70"/>
      <c r="M2273" s="79"/>
      <c r="N2273" s="1"/>
      <c r="O2273" s="1"/>
      <c r="P2273" s="1"/>
      <c r="Q2273" s="1"/>
      <c r="R2273" s="1"/>
      <c r="S2273" s="1"/>
      <c r="T2273" s="1"/>
      <c r="U2273" s="1"/>
      <c r="V2273" s="1"/>
      <c r="W2273" s="1"/>
      <c r="X2273" s="1"/>
      <c r="Y2273" s="1"/>
      <c r="Z2273" s="1"/>
      <c r="AA2273" s="1"/>
      <c r="AB2273" s="1"/>
      <c r="AC2273" s="1"/>
      <c r="AD2273" s="1"/>
      <c r="AE2273" s="1"/>
      <c r="AF2273" s="1"/>
      <c r="AG2273" s="1"/>
      <c r="AH2273" s="1"/>
    </row>
    <row r="2274" ht="12.75" hidden="1" customHeight="1" outlineLevel="1">
      <c r="A2274" s="17">
        <v>41381.0</v>
      </c>
      <c r="B2274" s="1" t="s">
        <v>347</v>
      </c>
      <c r="C2274" s="1" t="s">
        <v>1032</v>
      </c>
      <c r="D2274" s="74">
        <v>1000.0</v>
      </c>
      <c r="E2274" s="67">
        <v>4.46</v>
      </c>
      <c r="F2274" s="75">
        <v>0.5066898148148148</v>
      </c>
      <c r="G2274" s="67" t="s">
        <v>453</v>
      </c>
      <c r="H2274" s="68">
        <v>5.0</v>
      </c>
      <c r="I2274" s="76"/>
      <c r="J2274" s="67">
        <f t="shared" si="161"/>
        <v>4455</v>
      </c>
      <c r="K2274" s="7"/>
      <c r="L2274" s="70"/>
      <c r="M2274" s="79"/>
      <c r="N2274" s="1"/>
      <c r="O2274" s="1"/>
      <c r="P2274" s="1"/>
      <c r="Q2274" s="1"/>
      <c r="R2274" s="1"/>
      <c r="S2274" s="1"/>
      <c r="T2274" s="1"/>
      <c r="U2274" s="1"/>
      <c r="V2274" s="1"/>
      <c r="W2274" s="1"/>
      <c r="X2274" s="1"/>
      <c r="Y2274" s="1"/>
      <c r="Z2274" s="1"/>
      <c r="AA2274" s="1"/>
      <c r="AB2274" s="1"/>
      <c r="AC2274" s="1"/>
      <c r="AD2274" s="1"/>
      <c r="AE2274" s="1"/>
      <c r="AF2274" s="1"/>
      <c r="AG2274" s="1"/>
      <c r="AH2274" s="1"/>
    </row>
    <row r="2275" ht="12.75" hidden="1" customHeight="1" outlineLevel="1">
      <c r="A2275" s="17">
        <v>41381.0</v>
      </c>
      <c r="B2275" s="1" t="s">
        <v>347</v>
      </c>
      <c r="C2275" s="1" t="s">
        <v>1032</v>
      </c>
      <c r="D2275" s="74">
        <v>1600.0</v>
      </c>
      <c r="E2275" s="67">
        <v>4.46</v>
      </c>
      <c r="F2275" s="75">
        <v>0.5068287037037037</v>
      </c>
      <c r="G2275" s="67" t="s">
        <v>453</v>
      </c>
      <c r="H2275" s="68">
        <v>8.0</v>
      </c>
      <c r="I2275" s="76"/>
      <c r="J2275" s="67">
        <f t="shared" si="161"/>
        <v>7128</v>
      </c>
      <c r="K2275" s="7"/>
      <c r="L2275" s="70"/>
      <c r="M2275" s="79"/>
      <c r="N2275" s="1"/>
      <c r="O2275" s="1"/>
      <c r="P2275" s="1"/>
      <c r="Q2275" s="1"/>
      <c r="R2275" s="1"/>
      <c r="S2275" s="1"/>
      <c r="T2275" s="1"/>
      <c r="U2275" s="1"/>
      <c r="V2275" s="1"/>
      <c r="W2275" s="1"/>
      <c r="X2275" s="1"/>
      <c r="Y2275" s="1"/>
      <c r="Z2275" s="1"/>
      <c r="AA2275" s="1"/>
      <c r="AB2275" s="1"/>
      <c r="AC2275" s="1"/>
      <c r="AD2275" s="1"/>
      <c r="AE2275" s="1"/>
      <c r="AF2275" s="1"/>
      <c r="AG2275" s="1"/>
      <c r="AH2275" s="1"/>
    </row>
    <row r="2276" ht="12.75" hidden="1" customHeight="1" outlineLevel="1">
      <c r="A2276" s="17">
        <v>41381.0</v>
      </c>
      <c r="B2276" s="1" t="s">
        <v>347</v>
      </c>
      <c r="C2276" s="1" t="s">
        <v>857</v>
      </c>
      <c r="D2276" s="74">
        <v>1500.0</v>
      </c>
      <c r="E2276" s="67">
        <v>10.3</v>
      </c>
      <c r="F2276" s="75">
        <v>0.5969907407407408</v>
      </c>
      <c r="G2276" s="67" t="s">
        <v>453</v>
      </c>
      <c r="H2276" s="68">
        <v>7.0</v>
      </c>
      <c r="I2276" s="76"/>
      <c r="J2276" s="67">
        <f t="shared" si="161"/>
        <v>15443</v>
      </c>
      <c r="K2276" s="7"/>
      <c r="L2276" s="70"/>
      <c r="M2276" s="79"/>
      <c r="N2276" s="1"/>
      <c r="O2276" s="1"/>
      <c r="P2276" s="1"/>
      <c r="Q2276" s="1"/>
      <c r="R2276" s="1"/>
      <c r="S2276" s="1"/>
      <c r="T2276" s="1"/>
      <c r="U2276" s="1"/>
      <c r="V2276" s="1"/>
      <c r="W2276" s="1"/>
      <c r="X2276" s="1"/>
      <c r="Y2276" s="1"/>
      <c r="Z2276" s="1"/>
      <c r="AA2276" s="1"/>
      <c r="AB2276" s="1"/>
      <c r="AC2276" s="1"/>
      <c r="AD2276" s="1"/>
      <c r="AE2276" s="1"/>
      <c r="AF2276" s="1"/>
      <c r="AG2276" s="1"/>
      <c r="AH2276" s="1"/>
    </row>
    <row r="2277" ht="12.75" hidden="1" customHeight="1" outlineLevel="1">
      <c r="A2277" s="17">
        <v>41381.0</v>
      </c>
      <c r="B2277" s="1" t="s">
        <v>347</v>
      </c>
      <c r="C2277" s="1" t="s">
        <v>734</v>
      </c>
      <c r="D2277" s="74">
        <v>900.0</v>
      </c>
      <c r="E2277" s="67">
        <v>22.01</v>
      </c>
      <c r="F2277" s="75">
        <v>0.6195370370370371</v>
      </c>
      <c r="G2277" s="67" t="s">
        <v>453</v>
      </c>
      <c r="H2277" s="68">
        <v>4.5</v>
      </c>
      <c r="I2277" s="76"/>
      <c r="J2277" s="67">
        <f t="shared" si="161"/>
        <v>19804.5</v>
      </c>
      <c r="K2277" s="7"/>
      <c r="L2277" s="70"/>
      <c r="M2277" s="79"/>
      <c r="N2277" s="1"/>
      <c r="O2277" s="1"/>
      <c r="P2277" s="1"/>
      <c r="Q2277" s="1"/>
      <c r="R2277" s="1"/>
      <c r="S2277" s="1"/>
      <c r="T2277" s="1"/>
      <c r="U2277" s="1"/>
      <c r="V2277" s="1"/>
      <c r="W2277" s="1"/>
      <c r="X2277" s="1"/>
      <c r="Y2277" s="1"/>
      <c r="Z2277" s="1"/>
      <c r="AA2277" s="1"/>
      <c r="AB2277" s="1"/>
      <c r="AC2277" s="1"/>
      <c r="AD2277" s="1"/>
      <c r="AE2277" s="1"/>
      <c r="AF2277" s="1"/>
      <c r="AG2277" s="1"/>
      <c r="AH2277" s="1"/>
    </row>
    <row r="2278" ht="12.75" hidden="1" customHeight="1" outlineLevel="1">
      <c r="A2278" s="17">
        <v>41381.0</v>
      </c>
      <c r="B2278" s="1" t="s">
        <v>347</v>
      </c>
      <c r="C2278" s="1" t="s">
        <v>881</v>
      </c>
      <c r="D2278" s="74">
        <v>300.0</v>
      </c>
      <c r="E2278" s="67">
        <v>30.28</v>
      </c>
      <c r="F2278" s="75">
        <v>0.6238888888888888</v>
      </c>
      <c r="G2278" s="67" t="s">
        <v>453</v>
      </c>
      <c r="H2278" s="68">
        <v>1.5</v>
      </c>
      <c r="I2278" s="76"/>
      <c r="J2278" s="67">
        <f t="shared" si="161"/>
        <v>9082.5</v>
      </c>
      <c r="K2278" s="7"/>
      <c r="L2278" s="70"/>
      <c r="M2278" s="79"/>
      <c r="N2278" s="1"/>
      <c r="O2278" s="1"/>
      <c r="P2278" s="1"/>
      <c r="Q2278" s="1"/>
      <c r="R2278" s="1"/>
      <c r="S2278" s="1"/>
      <c r="T2278" s="1"/>
      <c r="U2278" s="1"/>
      <c r="V2278" s="1"/>
      <c r="W2278" s="1"/>
      <c r="X2278" s="1"/>
      <c r="Y2278" s="1"/>
      <c r="Z2278" s="1"/>
      <c r="AA2278" s="1"/>
      <c r="AB2278" s="1"/>
      <c r="AC2278" s="1"/>
      <c r="AD2278" s="1"/>
      <c r="AE2278" s="1"/>
      <c r="AF2278" s="1"/>
      <c r="AG2278" s="1"/>
      <c r="AH2278" s="1"/>
    </row>
    <row r="2279" ht="12.75" hidden="1" customHeight="1" outlineLevel="1">
      <c r="A2279" s="17">
        <v>41381.0</v>
      </c>
      <c r="B2279" s="1" t="s">
        <v>347</v>
      </c>
      <c r="C2279" s="1" t="s">
        <v>857</v>
      </c>
      <c r="D2279" s="74">
        <v>500.0</v>
      </c>
      <c r="E2279" s="67">
        <v>10.3</v>
      </c>
      <c r="F2279" s="75">
        <v>0.6240856481481482</v>
      </c>
      <c r="G2279" s="67" t="s">
        <v>453</v>
      </c>
      <c r="H2279" s="68">
        <v>2.0</v>
      </c>
      <c r="I2279" s="76"/>
      <c r="J2279" s="67">
        <f t="shared" si="161"/>
        <v>5148</v>
      </c>
      <c r="K2279" s="7"/>
      <c r="L2279" s="70"/>
      <c r="M2279" s="79"/>
      <c r="N2279" s="1"/>
      <c r="O2279" s="1"/>
      <c r="P2279" s="1"/>
      <c r="Q2279" s="1"/>
      <c r="R2279" s="1"/>
      <c r="S2279" s="1"/>
      <c r="T2279" s="1"/>
      <c r="U2279" s="1"/>
      <c r="V2279" s="1"/>
      <c r="W2279" s="1"/>
      <c r="X2279" s="1"/>
      <c r="Y2279" s="1"/>
      <c r="Z2279" s="1"/>
      <c r="AA2279" s="1"/>
      <c r="AB2279" s="1"/>
      <c r="AC2279" s="1"/>
      <c r="AD2279" s="1"/>
      <c r="AE2279" s="1"/>
      <c r="AF2279" s="1"/>
      <c r="AG2279" s="1"/>
      <c r="AH2279" s="1"/>
    </row>
    <row r="2280" ht="12.75" hidden="1" customHeight="1" outlineLevel="1">
      <c r="A2280" s="17">
        <v>41381.0</v>
      </c>
      <c r="B2280" s="1" t="s">
        <v>343</v>
      </c>
      <c r="C2280" s="1" t="s">
        <v>784</v>
      </c>
      <c r="D2280" s="74">
        <v>300.0</v>
      </c>
      <c r="E2280" s="67">
        <v>16.08</v>
      </c>
      <c r="F2280" s="75">
        <v>0.638425925925926</v>
      </c>
      <c r="G2280" s="67" t="s">
        <v>453</v>
      </c>
      <c r="H2280" s="68">
        <v>1.2</v>
      </c>
      <c r="I2280" s="76"/>
      <c r="J2280" s="67">
        <f t="shared" si="161"/>
        <v>-4825.2</v>
      </c>
      <c r="K2280" s="7"/>
      <c r="L2280" s="70"/>
      <c r="M2280" s="79"/>
      <c r="N2280" s="1"/>
      <c r="O2280" s="1"/>
      <c r="P2280" s="1"/>
      <c r="Q2280" s="1"/>
      <c r="R2280" s="1"/>
      <c r="S2280" s="1"/>
      <c r="T2280" s="1"/>
      <c r="U2280" s="1"/>
      <c r="V2280" s="1"/>
      <c r="W2280" s="1"/>
      <c r="X2280" s="1"/>
      <c r="Y2280" s="1"/>
      <c r="Z2280" s="1"/>
      <c r="AA2280" s="1"/>
      <c r="AB2280" s="1"/>
      <c r="AC2280" s="1"/>
      <c r="AD2280" s="1"/>
      <c r="AE2280" s="1"/>
      <c r="AF2280" s="1"/>
      <c r="AG2280" s="1"/>
      <c r="AH2280" s="1"/>
    </row>
    <row r="2281" ht="12.75" hidden="1" customHeight="1" outlineLevel="1">
      <c r="A2281" s="17">
        <v>41381.0</v>
      </c>
      <c r="B2281" s="1"/>
      <c r="C2281" s="1" t="s">
        <v>339</v>
      </c>
      <c r="D2281" s="74"/>
      <c r="E2281" s="67"/>
      <c r="F2281" s="75"/>
      <c r="G2281" s="67"/>
      <c r="H2281" s="68"/>
      <c r="I2281" s="76"/>
      <c r="J2281" s="67"/>
      <c r="K2281" s="7" t="s">
        <v>1033</v>
      </c>
      <c r="L2281" s="77"/>
      <c r="M2281" s="79"/>
      <c r="N2281" s="1"/>
      <c r="O2281" s="1"/>
      <c r="P2281" s="1"/>
      <c r="Q2281" s="1"/>
      <c r="R2281" s="1"/>
      <c r="S2281" s="1"/>
      <c r="T2281" s="1"/>
      <c r="U2281" s="1"/>
      <c r="V2281" s="1"/>
      <c r="W2281" s="1"/>
      <c r="X2281" s="1"/>
      <c r="Y2281" s="1"/>
      <c r="Z2281" s="1"/>
      <c r="AA2281" s="1"/>
      <c r="AB2281" s="1"/>
      <c r="AC2281" s="1"/>
      <c r="AD2281" s="1"/>
      <c r="AE2281" s="1"/>
      <c r="AF2281" s="1"/>
      <c r="AG2281" s="1"/>
      <c r="AH2281" s="1"/>
    </row>
    <row r="2282" ht="12.75" hidden="1" customHeight="1" outlineLevel="1">
      <c r="A2282" s="17">
        <v>41381.0</v>
      </c>
      <c r="B2282" s="1"/>
      <c r="C2282" s="1" t="s">
        <v>429</v>
      </c>
      <c r="D2282" s="74"/>
      <c r="E2282" s="67"/>
      <c r="F2282" s="75"/>
      <c r="G2282" s="67"/>
      <c r="H2282" s="68"/>
      <c r="I2282" s="76"/>
      <c r="J2282" s="67"/>
      <c r="K2282" s="7" t="s">
        <v>1034</v>
      </c>
      <c r="L2282" s="77"/>
      <c r="M2282" s="79"/>
      <c r="N2282" s="1"/>
      <c r="O2282" s="1"/>
      <c r="P2282" s="1"/>
      <c r="Q2282" s="1"/>
      <c r="R2282" s="1"/>
      <c r="S2282" s="1"/>
      <c r="T2282" s="1"/>
      <c r="U2282" s="1"/>
      <c r="V2282" s="1"/>
      <c r="W2282" s="1"/>
      <c r="X2282" s="1"/>
      <c r="Y2282" s="1"/>
      <c r="Z2282" s="1"/>
      <c r="AA2282" s="1"/>
      <c r="AB2282" s="1"/>
      <c r="AC2282" s="1"/>
      <c r="AD2282" s="1"/>
      <c r="AE2282" s="1"/>
      <c r="AF2282" s="1"/>
      <c r="AG2282" s="1"/>
      <c r="AH2282" s="1"/>
    </row>
    <row r="2283" ht="12.75" hidden="1" customHeight="1" outlineLevel="1">
      <c r="A2283" s="17">
        <v>41381.0</v>
      </c>
      <c r="B2283" s="1"/>
      <c r="C2283" s="1" t="s">
        <v>431</v>
      </c>
      <c r="D2283" s="74"/>
      <c r="E2283" s="67"/>
      <c r="F2283" s="75"/>
      <c r="G2283" s="67"/>
      <c r="H2283" s="68"/>
      <c r="I2283" s="76"/>
      <c r="J2283" s="67"/>
      <c r="K2283" s="7" t="s">
        <v>817</v>
      </c>
      <c r="L2283" s="77"/>
      <c r="M2283" s="79"/>
      <c r="N2283" s="1"/>
      <c r="O2283" s="1"/>
      <c r="P2283" s="1"/>
      <c r="Q2283" s="1"/>
      <c r="R2283" s="1"/>
      <c r="S2283" s="1"/>
      <c r="T2283" s="1"/>
      <c r="U2283" s="1"/>
      <c r="V2283" s="1"/>
      <c r="W2283" s="1"/>
      <c r="X2283" s="1"/>
      <c r="Y2283" s="1"/>
      <c r="Z2283" s="1"/>
      <c r="AA2283" s="1"/>
      <c r="AB2283" s="1"/>
      <c r="AC2283" s="1"/>
      <c r="AD2283" s="1"/>
      <c r="AE2283" s="1"/>
      <c r="AF2283" s="1"/>
      <c r="AG2283" s="1"/>
      <c r="AH2283" s="1"/>
    </row>
    <row r="2284" ht="12.75" hidden="1" customHeight="1" outlineLevel="1">
      <c r="A2284" s="17">
        <v>41381.0</v>
      </c>
      <c r="B2284" s="1"/>
      <c r="C2284" s="1" t="s">
        <v>433</v>
      </c>
      <c r="D2284" s="74"/>
      <c r="E2284" s="67"/>
      <c r="F2284" s="75"/>
      <c r="G2284" s="67"/>
      <c r="H2284" s="68"/>
      <c r="I2284" s="76"/>
      <c r="J2284" s="67"/>
      <c r="K2284" s="7" t="s">
        <v>434</v>
      </c>
      <c r="L2284" s="77"/>
      <c r="M2284" s="79"/>
      <c r="N2284" s="1"/>
      <c r="O2284" s="1"/>
      <c r="P2284" s="1"/>
      <c r="Q2284" s="1"/>
      <c r="R2284" s="1"/>
      <c r="S2284" s="1"/>
      <c r="T2284" s="1"/>
      <c r="U2284" s="1"/>
      <c r="V2284" s="1"/>
      <c r="W2284" s="1"/>
      <c r="X2284" s="1"/>
      <c r="Y2284" s="1"/>
      <c r="Z2284" s="1"/>
      <c r="AA2284" s="1"/>
      <c r="AB2284" s="1"/>
      <c r="AC2284" s="1"/>
      <c r="AD2284" s="1"/>
      <c r="AE2284" s="1"/>
      <c r="AF2284" s="1"/>
      <c r="AG2284" s="1"/>
      <c r="AH2284" s="1"/>
    </row>
    <row r="2285" ht="12.75" hidden="1" customHeight="1" outlineLevel="1">
      <c r="A2285" s="17">
        <v>41381.0</v>
      </c>
      <c r="B2285" s="1"/>
      <c r="C2285" s="1" t="s">
        <v>435</v>
      </c>
      <c r="D2285" s="74"/>
      <c r="E2285" s="67"/>
      <c r="F2285" s="75"/>
      <c r="G2285" s="67"/>
      <c r="H2285" s="68"/>
      <c r="I2285" s="76"/>
      <c r="J2285" s="67"/>
      <c r="K2285" s="7" t="s">
        <v>818</v>
      </c>
      <c r="L2285" s="77"/>
      <c r="M2285" s="79"/>
      <c r="N2285" s="1"/>
      <c r="O2285" s="1"/>
      <c r="P2285" s="1"/>
      <c r="Q2285" s="1"/>
      <c r="R2285" s="1"/>
      <c r="S2285" s="1"/>
      <c r="T2285" s="1"/>
      <c r="U2285" s="1"/>
      <c r="V2285" s="1"/>
      <c r="W2285" s="1"/>
      <c r="X2285" s="1"/>
      <c r="Y2285" s="1"/>
      <c r="Z2285" s="1"/>
      <c r="AA2285" s="1"/>
      <c r="AB2285" s="1"/>
      <c r="AC2285" s="1"/>
      <c r="AD2285" s="1"/>
      <c r="AE2285" s="1"/>
      <c r="AF2285" s="1"/>
      <c r="AG2285" s="1"/>
      <c r="AH2285" s="1"/>
    </row>
    <row r="2286" ht="12.75" hidden="1" customHeight="1" outlineLevel="1">
      <c r="A2286" s="17">
        <v>41382.0</v>
      </c>
      <c r="B2286" s="1" t="s">
        <v>347</v>
      </c>
      <c r="C2286" s="1" t="s">
        <v>354</v>
      </c>
      <c r="D2286" s="74">
        <v>250.0</v>
      </c>
      <c r="E2286" s="67">
        <v>73.39</v>
      </c>
      <c r="F2286" s="75">
        <v>0.5993981481481482</v>
      </c>
      <c r="G2286" s="67" t="s">
        <v>453</v>
      </c>
      <c r="H2286" s="68">
        <v>1.0</v>
      </c>
      <c r="I2286" s="76"/>
      <c r="J2286" s="67">
        <f t="shared" ref="J2286:J2290" si="162">IF(B2286="SLD",D2286*E2286,-D2286*E2286)-H2286</f>
        <v>18346.5</v>
      </c>
      <c r="K2286" s="7"/>
      <c r="L2286" s="70"/>
      <c r="M2286" s="79"/>
      <c r="N2286" s="1"/>
      <c r="O2286" s="1"/>
      <c r="P2286" s="1"/>
      <c r="Q2286" s="1"/>
      <c r="R2286" s="1"/>
      <c r="S2286" s="1"/>
      <c r="T2286" s="1"/>
      <c r="U2286" s="1"/>
      <c r="V2286" s="1"/>
      <c r="W2286" s="1"/>
      <c r="X2286" s="1"/>
      <c r="Y2286" s="1"/>
      <c r="Z2286" s="1"/>
      <c r="AA2286" s="1"/>
      <c r="AB2286" s="1"/>
      <c r="AC2286" s="1"/>
      <c r="AD2286" s="1"/>
      <c r="AE2286" s="1"/>
      <c r="AF2286" s="1"/>
      <c r="AG2286" s="1"/>
      <c r="AH2286" s="1"/>
    </row>
    <row r="2287" ht="12.75" hidden="1" customHeight="1" outlineLevel="1">
      <c r="A2287" s="17">
        <v>41382.0</v>
      </c>
      <c r="B2287" s="1" t="s">
        <v>347</v>
      </c>
      <c r="C2287" s="1" t="s">
        <v>857</v>
      </c>
      <c r="D2287" s="74">
        <v>1000.0</v>
      </c>
      <c r="E2287" s="67">
        <v>10.05</v>
      </c>
      <c r="F2287" s="75">
        <v>0.6287152777777778</v>
      </c>
      <c r="G2287" s="67" t="s">
        <v>453</v>
      </c>
      <c r="H2287" s="68">
        <v>4.9</v>
      </c>
      <c r="I2287" s="76"/>
      <c r="J2287" s="67">
        <f t="shared" si="162"/>
        <v>10045.1</v>
      </c>
      <c r="K2287" s="7"/>
      <c r="L2287" s="70"/>
      <c r="M2287" s="79"/>
      <c r="N2287" s="1"/>
      <c r="O2287" s="1"/>
      <c r="P2287" s="1"/>
      <c r="Q2287" s="1"/>
      <c r="R2287" s="1"/>
      <c r="S2287" s="1"/>
      <c r="T2287" s="1"/>
      <c r="U2287" s="1"/>
      <c r="V2287" s="1"/>
      <c r="W2287" s="1"/>
      <c r="X2287" s="1"/>
      <c r="Y2287" s="1"/>
      <c r="Z2287" s="1"/>
      <c r="AA2287" s="1"/>
      <c r="AB2287" s="1"/>
      <c r="AC2287" s="1"/>
      <c r="AD2287" s="1"/>
      <c r="AE2287" s="1"/>
      <c r="AF2287" s="1"/>
      <c r="AG2287" s="1"/>
      <c r="AH2287" s="1"/>
    </row>
    <row r="2288" ht="12.75" hidden="1" customHeight="1" outlineLevel="1">
      <c r="A2288" s="17">
        <v>41382.0</v>
      </c>
      <c r="B2288" s="1" t="s">
        <v>347</v>
      </c>
      <c r="C2288" s="1" t="s">
        <v>857</v>
      </c>
      <c r="D2288" s="74">
        <v>2000.0</v>
      </c>
      <c r="E2288" s="67">
        <v>9.97</v>
      </c>
      <c r="F2288" s="75">
        <v>0.6575115740740741</v>
      </c>
      <c r="G2288" s="67" t="s">
        <v>453</v>
      </c>
      <c r="H2288" s="68">
        <v>8.3</v>
      </c>
      <c r="I2288" s="76"/>
      <c r="J2288" s="67">
        <f t="shared" si="162"/>
        <v>19931.7</v>
      </c>
      <c r="K2288" s="7"/>
      <c r="L2288" s="70"/>
      <c r="M2288" s="79"/>
      <c r="N2288" s="1"/>
      <c r="O2288" s="1"/>
      <c r="P2288" s="1"/>
      <c r="Q2288" s="1"/>
      <c r="R2288" s="1"/>
      <c r="S2288" s="1"/>
      <c r="T2288" s="1"/>
      <c r="U2288" s="1"/>
      <c r="V2288" s="1"/>
      <c r="W2288" s="1"/>
      <c r="X2288" s="1"/>
      <c r="Y2288" s="1"/>
      <c r="Z2288" s="1"/>
      <c r="AA2288" s="1"/>
      <c r="AB2288" s="1"/>
      <c r="AC2288" s="1"/>
      <c r="AD2288" s="1"/>
      <c r="AE2288" s="1"/>
      <c r="AF2288" s="1"/>
      <c r="AG2288" s="1"/>
      <c r="AH2288" s="1"/>
    </row>
    <row r="2289" ht="12.75" hidden="1" customHeight="1" outlineLevel="1">
      <c r="A2289" s="17">
        <v>41382.0</v>
      </c>
      <c r="B2289" s="1" t="s">
        <v>347</v>
      </c>
      <c r="C2289" s="1" t="s">
        <v>851</v>
      </c>
      <c r="D2289" s="74">
        <v>300.0</v>
      </c>
      <c r="E2289" s="67">
        <v>19.67</v>
      </c>
      <c r="F2289" s="75">
        <v>0.6588888888888889</v>
      </c>
      <c r="G2289" s="67" t="s">
        <v>453</v>
      </c>
      <c r="H2289" s="68">
        <v>1.2</v>
      </c>
      <c r="I2289" s="76"/>
      <c r="J2289" s="67">
        <f t="shared" si="162"/>
        <v>5899.8</v>
      </c>
      <c r="K2289" s="7"/>
      <c r="L2289" s="70"/>
      <c r="M2289" s="79"/>
      <c r="N2289" s="1"/>
      <c r="O2289" s="1"/>
      <c r="P2289" s="1"/>
      <c r="Q2289" s="1"/>
      <c r="R2289" s="1"/>
      <c r="S2289" s="1"/>
      <c r="T2289" s="1"/>
      <c r="U2289" s="1"/>
      <c r="V2289" s="1"/>
      <c r="W2289" s="1"/>
      <c r="X2289" s="1"/>
      <c r="Y2289" s="1"/>
      <c r="Z2289" s="1"/>
      <c r="AA2289" s="1"/>
      <c r="AB2289" s="1"/>
      <c r="AC2289" s="1"/>
      <c r="AD2289" s="1"/>
      <c r="AE2289" s="1"/>
      <c r="AF2289" s="1"/>
      <c r="AG2289" s="1"/>
      <c r="AH2289" s="1"/>
    </row>
    <row r="2290" ht="12.75" hidden="1" customHeight="1" outlineLevel="1">
      <c r="A2290" s="17">
        <v>41382.0</v>
      </c>
      <c r="B2290" s="1" t="s">
        <v>347</v>
      </c>
      <c r="C2290" s="1" t="s">
        <v>751</v>
      </c>
      <c r="D2290" s="74">
        <v>300.0</v>
      </c>
      <c r="E2290" s="67">
        <v>45.93</v>
      </c>
      <c r="F2290" s="75">
        <v>0.6652893518518518</v>
      </c>
      <c r="G2290" s="67" t="s">
        <v>453</v>
      </c>
      <c r="H2290" s="68">
        <v>1.5</v>
      </c>
      <c r="I2290" s="76"/>
      <c r="J2290" s="67">
        <f t="shared" si="162"/>
        <v>13777.5</v>
      </c>
      <c r="K2290" s="7"/>
      <c r="L2290" s="70"/>
      <c r="M2290" s="79"/>
      <c r="N2290" s="1"/>
      <c r="O2290" s="1"/>
      <c r="P2290" s="1"/>
      <c r="Q2290" s="1"/>
      <c r="R2290" s="1"/>
      <c r="S2290" s="1"/>
      <c r="T2290" s="1"/>
      <c r="U2290" s="1"/>
      <c r="V2290" s="1"/>
      <c r="W2290" s="1"/>
      <c r="X2290" s="1"/>
      <c r="Y2290" s="1"/>
      <c r="Z2290" s="1"/>
      <c r="AA2290" s="1"/>
      <c r="AB2290" s="1"/>
      <c r="AC2290" s="1"/>
      <c r="AD2290" s="1"/>
      <c r="AE2290" s="1"/>
      <c r="AF2290" s="1"/>
      <c r="AG2290" s="1"/>
      <c r="AH2290" s="1"/>
    </row>
    <row r="2291" ht="12.75" hidden="1" customHeight="1" outlineLevel="1">
      <c r="A2291" s="17">
        <v>41382.0</v>
      </c>
      <c r="B2291" s="1"/>
      <c r="C2291" s="1" t="s">
        <v>339</v>
      </c>
      <c r="D2291" s="74"/>
      <c r="E2291" s="67"/>
      <c r="F2291" s="75"/>
      <c r="G2291" s="67"/>
      <c r="H2291" s="68"/>
      <c r="I2291" s="76"/>
      <c r="J2291" s="67"/>
      <c r="K2291" s="7" t="s">
        <v>1036</v>
      </c>
      <c r="L2291" s="77"/>
      <c r="M2291" s="79"/>
      <c r="N2291" s="1"/>
      <c r="O2291" s="1"/>
      <c r="P2291" s="1"/>
      <c r="Q2291" s="1"/>
      <c r="R2291" s="1"/>
      <c r="S2291" s="1"/>
      <c r="T2291" s="1"/>
      <c r="U2291" s="1"/>
      <c r="V2291" s="1"/>
      <c r="W2291" s="1"/>
      <c r="X2291" s="1"/>
      <c r="Y2291" s="1"/>
      <c r="Z2291" s="1"/>
      <c r="AA2291" s="1"/>
      <c r="AB2291" s="1"/>
      <c r="AC2291" s="1"/>
      <c r="AD2291" s="1"/>
      <c r="AE2291" s="1"/>
      <c r="AF2291" s="1"/>
      <c r="AG2291" s="1"/>
      <c r="AH2291" s="1"/>
    </row>
    <row r="2292" ht="12.75" hidden="1" customHeight="1" outlineLevel="1">
      <c r="A2292" s="17">
        <v>41382.0</v>
      </c>
      <c r="B2292" s="1"/>
      <c r="C2292" s="1" t="s">
        <v>429</v>
      </c>
      <c r="D2292" s="74"/>
      <c r="E2292" s="67"/>
      <c r="F2292" s="75"/>
      <c r="G2292" s="67"/>
      <c r="H2292" s="68"/>
      <c r="I2292" s="76"/>
      <c r="J2292" s="67"/>
      <c r="K2292" s="7" t="s">
        <v>1034</v>
      </c>
      <c r="L2292" s="77"/>
      <c r="M2292" s="79"/>
      <c r="N2292" s="1"/>
      <c r="O2292" s="1"/>
      <c r="P2292" s="1"/>
      <c r="Q2292" s="1"/>
      <c r="R2292" s="1"/>
      <c r="S2292" s="1"/>
      <c r="T2292" s="1"/>
      <c r="U2292" s="1"/>
      <c r="V2292" s="1"/>
      <c r="W2292" s="1"/>
      <c r="X2292" s="1"/>
      <c r="Y2292" s="1"/>
      <c r="Z2292" s="1"/>
      <c r="AA2292" s="1"/>
      <c r="AB2292" s="1"/>
      <c r="AC2292" s="1"/>
      <c r="AD2292" s="1"/>
      <c r="AE2292" s="1"/>
      <c r="AF2292" s="1"/>
      <c r="AG2292" s="1"/>
      <c r="AH2292" s="1"/>
    </row>
    <row r="2293" ht="12.75" hidden="1" customHeight="1" outlineLevel="1">
      <c r="A2293" s="17">
        <v>41382.0</v>
      </c>
      <c r="B2293" s="1"/>
      <c r="C2293" s="1" t="s">
        <v>431</v>
      </c>
      <c r="D2293" s="74"/>
      <c r="E2293" s="67"/>
      <c r="F2293" s="75"/>
      <c r="G2293" s="67"/>
      <c r="H2293" s="68"/>
      <c r="I2293" s="76"/>
      <c r="J2293" s="67"/>
      <c r="K2293" s="7" t="s">
        <v>817</v>
      </c>
      <c r="L2293" s="77"/>
      <c r="M2293" s="79"/>
      <c r="N2293" s="1"/>
      <c r="O2293" s="1"/>
      <c r="P2293" s="1"/>
      <c r="Q2293" s="1"/>
      <c r="R2293" s="1"/>
      <c r="S2293" s="1"/>
      <c r="T2293" s="1"/>
      <c r="U2293" s="1"/>
      <c r="V2293" s="1"/>
      <c r="W2293" s="1"/>
      <c r="X2293" s="1"/>
      <c r="Y2293" s="1"/>
      <c r="Z2293" s="1"/>
      <c r="AA2293" s="1"/>
      <c r="AB2293" s="1"/>
      <c r="AC2293" s="1"/>
      <c r="AD2293" s="1"/>
      <c r="AE2293" s="1"/>
      <c r="AF2293" s="1"/>
      <c r="AG2293" s="1"/>
      <c r="AH2293" s="1"/>
    </row>
    <row r="2294" ht="12.75" hidden="1" customHeight="1" outlineLevel="1">
      <c r="A2294" s="17">
        <v>41382.0</v>
      </c>
      <c r="B2294" s="1"/>
      <c r="C2294" s="1" t="s">
        <v>433</v>
      </c>
      <c r="D2294" s="74"/>
      <c r="E2294" s="67"/>
      <c r="F2294" s="75"/>
      <c r="G2294" s="67"/>
      <c r="H2294" s="68"/>
      <c r="I2294" s="76"/>
      <c r="J2294" s="67"/>
      <c r="K2294" s="7" t="s">
        <v>434</v>
      </c>
      <c r="L2294" s="77"/>
      <c r="M2294" s="79"/>
      <c r="N2294" s="1"/>
      <c r="O2294" s="1"/>
      <c r="P2294" s="1"/>
      <c r="Q2294" s="1"/>
      <c r="R2294" s="1"/>
      <c r="S2294" s="1"/>
      <c r="T2294" s="1"/>
      <c r="U2294" s="1"/>
      <c r="V2294" s="1"/>
      <c r="W2294" s="1"/>
      <c r="X2294" s="1"/>
      <c r="Y2294" s="1"/>
      <c r="Z2294" s="1"/>
      <c r="AA2294" s="1"/>
      <c r="AB2294" s="1"/>
      <c r="AC2294" s="1"/>
      <c r="AD2294" s="1"/>
      <c r="AE2294" s="1"/>
      <c r="AF2294" s="1"/>
      <c r="AG2294" s="1"/>
      <c r="AH2294" s="1"/>
    </row>
    <row r="2295" ht="12.75" hidden="1" customHeight="1" outlineLevel="1">
      <c r="A2295" s="17">
        <v>41382.0</v>
      </c>
      <c r="B2295" s="1"/>
      <c r="C2295" s="1" t="s">
        <v>435</v>
      </c>
      <c r="D2295" s="74"/>
      <c r="E2295" s="67"/>
      <c r="F2295" s="75"/>
      <c r="G2295" s="67"/>
      <c r="H2295" s="68"/>
      <c r="I2295" s="76"/>
      <c r="J2295" s="67"/>
      <c r="K2295" s="7" t="s">
        <v>818</v>
      </c>
      <c r="L2295" s="77"/>
      <c r="M2295" s="79"/>
      <c r="N2295" s="1"/>
      <c r="O2295" s="1"/>
      <c r="P2295" s="1"/>
      <c r="Q2295" s="1"/>
      <c r="R2295" s="1"/>
      <c r="S2295" s="1"/>
      <c r="T2295" s="1"/>
      <c r="U2295" s="1"/>
      <c r="V2295" s="1"/>
      <c r="W2295" s="1"/>
      <c r="X2295" s="1"/>
      <c r="Y2295" s="1"/>
      <c r="Z2295" s="1"/>
      <c r="AA2295" s="1"/>
      <c r="AB2295" s="1"/>
      <c r="AC2295" s="1"/>
      <c r="AD2295" s="1"/>
      <c r="AE2295" s="1"/>
      <c r="AF2295" s="1"/>
      <c r="AG2295" s="1"/>
      <c r="AH2295" s="1"/>
    </row>
    <row r="2296" ht="12.75" hidden="1" customHeight="1" outlineLevel="1">
      <c r="A2296" s="17">
        <v>41383.0</v>
      </c>
      <c r="B2296" s="1"/>
      <c r="C2296" s="1" t="s">
        <v>339</v>
      </c>
      <c r="D2296" s="74"/>
      <c r="E2296" s="67"/>
      <c r="F2296" s="75"/>
      <c r="G2296" s="67"/>
      <c r="H2296" s="68"/>
      <c r="I2296" s="76"/>
      <c r="J2296" s="67"/>
      <c r="K2296" s="7" t="s">
        <v>1037</v>
      </c>
      <c r="L2296" s="77"/>
      <c r="M2296" s="79"/>
      <c r="N2296" s="1"/>
      <c r="O2296" s="1"/>
      <c r="P2296" s="1"/>
      <c r="Q2296" s="1"/>
      <c r="R2296" s="1"/>
      <c r="S2296" s="1"/>
      <c r="T2296" s="1"/>
      <c r="U2296" s="1"/>
      <c r="V2296" s="1"/>
      <c r="W2296" s="1"/>
      <c r="X2296" s="1"/>
      <c r="Y2296" s="1"/>
      <c r="Z2296" s="1"/>
      <c r="AA2296" s="1"/>
      <c r="AB2296" s="1"/>
      <c r="AC2296" s="1"/>
      <c r="AD2296" s="1"/>
      <c r="AE2296" s="1"/>
      <c r="AF2296" s="1"/>
      <c r="AG2296" s="1"/>
      <c r="AH2296" s="1"/>
    </row>
    <row r="2297" ht="12.75" hidden="1" customHeight="1" outlineLevel="1">
      <c r="A2297" s="17">
        <v>41383.0</v>
      </c>
      <c r="B2297" s="1"/>
      <c r="C2297" s="1" t="s">
        <v>429</v>
      </c>
      <c r="D2297" s="74"/>
      <c r="E2297" s="67"/>
      <c r="F2297" s="75"/>
      <c r="G2297" s="67"/>
      <c r="H2297" s="68"/>
      <c r="I2297" s="76"/>
      <c r="J2297" s="67"/>
      <c r="K2297" s="7" t="s">
        <v>1034</v>
      </c>
      <c r="L2297" s="77"/>
      <c r="M2297" s="79"/>
      <c r="N2297" s="1"/>
      <c r="O2297" s="1"/>
      <c r="P2297" s="1"/>
      <c r="Q2297" s="1"/>
      <c r="R2297" s="1"/>
      <c r="S2297" s="1"/>
      <c r="T2297" s="1"/>
      <c r="U2297" s="1"/>
      <c r="V2297" s="1"/>
      <c r="W2297" s="1"/>
      <c r="X2297" s="1"/>
      <c r="Y2297" s="1"/>
      <c r="Z2297" s="1"/>
      <c r="AA2297" s="1"/>
      <c r="AB2297" s="1"/>
      <c r="AC2297" s="1"/>
      <c r="AD2297" s="1"/>
      <c r="AE2297" s="1"/>
      <c r="AF2297" s="1"/>
      <c r="AG2297" s="1"/>
      <c r="AH2297" s="1"/>
    </row>
    <row r="2298" ht="12.75" hidden="1" customHeight="1" outlineLevel="1">
      <c r="A2298" s="17">
        <v>41383.0</v>
      </c>
      <c r="B2298" s="1"/>
      <c r="C2298" s="1" t="s">
        <v>431</v>
      </c>
      <c r="D2298" s="74"/>
      <c r="E2298" s="67"/>
      <c r="F2298" s="75"/>
      <c r="G2298" s="67"/>
      <c r="H2298" s="68"/>
      <c r="I2298" s="76"/>
      <c r="J2298" s="67"/>
      <c r="K2298" s="7" t="s">
        <v>817</v>
      </c>
      <c r="L2298" s="77"/>
      <c r="M2298" s="79"/>
      <c r="N2298" s="1"/>
      <c r="O2298" s="1"/>
      <c r="P2298" s="1"/>
      <c r="Q2298" s="1"/>
      <c r="R2298" s="1"/>
      <c r="S2298" s="1"/>
      <c r="T2298" s="1"/>
      <c r="U2298" s="1"/>
      <c r="V2298" s="1"/>
      <c r="W2298" s="1"/>
      <c r="X2298" s="1"/>
      <c r="Y2298" s="1"/>
      <c r="Z2298" s="1"/>
      <c r="AA2298" s="1"/>
      <c r="AB2298" s="1"/>
      <c r="AC2298" s="1"/>
      <c r="AD2298" s="1"/>
      <c r="AE2298" s="1"/>
      <c r="AF2298" s="1"/>
      <c r="AG2298" s="1"/>
      <c r="AH2298" s="1"/>
    </row>
    <row r="2299" ht="12.75" hidden="1" customHeight="1" outlineLevel="1">
      <c r="A2299" s="17">
        <v>41383.0</v>
      </c>
      <c r="B2299" s="1"/>
      <c r="C2299" s="1" t="s">
        <v>433</v>
      </c>
      <c r="D2299" s="74"/>
      <c r="E2299" s="67"/>
      <c r="F2299" s="75"/>
      <c r="G2299" s="67"/>
      <c r="H2299" s="68"/>
      <c r="I2299" s="76"/>
      <c r="J2299" s="67"/>
      <c r="K2299" s="7" t="s">
        <v>434</v>
      </c>
      <c r="L2299" s="77"/>
      <c r="M2299" s="79"/>
      <c r="N2299" s="1"/>
      <c r="O2299" s="1"/>
      <c r="P2299" s="1"/>
      <c r="Q2299" s="1"/>
      <c r="R2299" s="1"/>
      <c r="S2299" s="1"/>
      <c r="T2299" s="1"/>
      <c r="U2299" s="1"/>
      <c r="V2299" s="1"/>
      <c r="W2299" s="1"/>
      <c r="X2299" s="1"/>
      <c r="Y2299" s="1"/>
      <c r="Z2299" s="1"/>
      <c r="AA2299" s="1"/>
      <c r="AB2299" s="1"/>
      <c r="AC2299" s="1"/>
      <c r="AD2299" s="1"/>
      <c r="AE2299" s="1"/>
      <c r="AF2299" s="1"/>
      <c r="AG2299" s="1"/>
      <c r="AH2299" s="1"/>
    </row>
    <row r="2300" ht="12.75" hidden="1" customHeight="1" outlineLevel="1">
      <c r="A2300" s="17">
        <v>41383.0</v>
      </c>
      <c r="B2300" s="1"/>
      <c r="C2300" s="1" t="s">
        <v>435</v>
      </c>
      <c r="D2300" s="74"/>
      <c r="E2300" s="67"/>
      <c r="F2300" s="75"/>
      <c r="G2300" s="67"/>
      <c r="H2300" s="68"/>
      <c r="I2300" s="76"/>
      <c r="J2300" s="67"/>
      <c r="K2300" s="7" t="s">
        <v>818</v>
      </c>
      <c r="L2300" s="77"/>
      <c r="M2300" s="79"/>
      <c r="N2300" s="1"/>
      <c r="O2300" s="1"/>
      <c r="P2300" s="1"/>
      <c r="Q2300" s="1"/>
      <c r="R2300" s="1"/>
      <c r="S2300" s="1"/>
      <c r="T2300" s="1"/>
      <c r="U2300" s="1"/>
      <c r="V2300" s="1"/>
      <c r="W2300" s="1"/>
      <c r="X2300" s="1"/>
      <c r="Y2300" s="1"/>
      <c r="Z2300" s="1"/>
      <c r="AA2300" s="1"/>
      <c r="AB2300" s="1"/>
      <c r="AC2300" s="1"/>
      <c r="AD2300" s="1"/>
      <c r="AE2300" s="1"/>
      <c r="AF2300" s="1"/>
      <c r="AG2300" s="1"/>
      <c r="AH2300" s="1"/>
    </row>
    <row r="2301" ht="12.75" hidden="1" customHeight="1" outlineLevel="1">
      <c r="A2301" s="17">
        <v>41386.0</v>
      </c>
      <c r="B2301" s="1" t="s">
        <v>343</v>
      </c>
      <c r="C2301" s="1" t="s">
        <v>857</v>
      </c>
      <c r="D2301" s="74">
        <v>3600.0</v>
      </c>
      <c r="E2301" s="67">
        <v>10.42</v>
      </c>
      <c r="F2301" s="75">
        <v>0.46618055555555554</v>
      </c>
      <c r="G2301" s="67" t="s">
        <v>453</v>
      </c>
      <c r="H2301" s="68">
        <v>17.3</v>
      </c>
      <c r="I2301" s="76"/>
      <c r="J2301" s="67">
        <f t="shared" ref="J2301:J2304" si="163">IF(B2301="SLD",D2301*E2301,-D2301*E2301)-H2301</f>
        <v>-37529.3</v>
      </c>
      <c r="K2301" s="7"/>
      <c r="L2301" s="70"/>
      <c r="M2301" s="79"/>
      <c r="N2301" s="1"/>
      <c r="O2301" s="1"/>
      <c r="P2301" s="1"/>
      <c r="Q2301" s="1"/>
      <c r="R2301" s="1"/>
      <c r="S2301" s="1"/>
      <c r="T2301" s="1"/>
      <c r="U2301" s="1"/>
      <c r="V2301" s="1"/>
      <c r="W2301" s="1"/>
      <c r="X2301" s="1"/>
      <c r="Y2301" s="1"/>
      <c r="Z2301" s="1"/>
      <c r="AA2301" s="1"/>
      <c r="AB2301" s="1"/>
      <c r="AC2301" s="1"/>
      <c r="AD2301" s="1"/>
      <c r="AE2301" s="1"/>
      <c r="AF2301" s="1"/>
      <c r="AG2301" s="1"/>
      <c r="AH2301" s="1"/>
    </row>
    <row r="2302" ht="12.75" hidden="1" customHeight="1" outlineLevel="1">
      <c r="A2302" s="17">
        <v>41386.0</v>
      </c>
      <c r="B2302" s="1" t="s">
        <v>343</v>
      </c>
      <c r="C2302" s="1" t="s">
        <v>881</v>
      </c>
      <c r="D2302" s="74">
        <v>300.0</v>
      </c>
      <c r="E2302" s="67">
        <v>31.23</v>
      </c>
      <c r="F2302" s="75">
        <v>0.4666550925925926</v>
      </c>
      <c r="G2302" s="67" t="s">
        <v>453</v>
      </c>
      <c r="H2302" s="68">
        <v>1.5</v>
      </c>
      <c r="I2302" s="76"/>
      <c r="J2302" s="67">
        <f t="shared" si="163"/>
        <v>-9370.5</v>
      </c>
      <c r="K2302" s="7"/>
      <c r="L2302" s="70"/>
      <c r="M2302" s="79"/>
      <c r="N2302" s="1"/>
      <c r="O2302" s="1"/>
      <c r="P2302" s="1"/>
      <c r="Q2302" s="1"/>
      <c r="R2302" s="1"/>
      <c r="S2302" s="1"/>
      <c r="T2302" s="1"/>
      <c r="U2302" s="1"/>
      <c r="V2302" s="1"/>
      <c r="W2302" s="1"/>
      <c r="X2302" s="1"/>
      <c r="Y2302" s="1"/>
      <c r="Z2302" s="1"/>
      <c r="AA2302" s="1"/>
      <c r="AB2302" s="1"/>
      <c r="AC2302" s="1"/>
      <c r="AD2302" s="1"/>
      <c r="AE2302" s="1"/>
      <c r="AF2302" s="1"/>
      <c r="AG2302" s="1"/>
      <c r="AH2302" s="1"/>
    </row>
    <row r="2303" ht="12.75" hidden="1" customHeight="1" outlineLevel="1">
      <c r="A2303" s="17">
        <v>41386.0</v>
      </c>
      <c r="B2303" s="1" t="s">
        <v>343</v>
      </c>
      <c r="C2303" s="1" t="s">
        <v>734</v>
      </c>
      <c r="D2303" s="74">
        <v>800.0</v>
      </c>
      <c r="E2303" s="67">
        <v>22.55</v>
      </c>
      <c r="F2303" s="75">
        <v>0.46981481481481485</v>
      </c>
      <c r="G2303" s="67" t="s">
        <v>453</v>
      </c>
      <c r="H2303" s="68">
        <v>4.0</v>
      </c>
      <c r="I2303" s="76"/>
      <c r="J2303" s="67">
        <f t="shared" si="163"/>
        <v>-18044</v>
      </c>
      <c r="K2303" s="7"/>
      <c r="L2303" s="70"/>
      <c r="M2303" s="79"/>
      <c r="N2303" s="1"/>
      <c r="O2303" s="1"/>
      <c r="P2303" s="1"/>
      <c r="Q2303" s="1"/>
      <c r="R2303" s="1"/>
      <c r="S2303" s="1"/>
      <c r="T2303" s="1"/>
      <c r="U2303" s="1"/>
      <c r="V2303" s="1"/>
      <c r="W2303" s="1"/>
      <c r="X2303" s="1"/>
      <c r="Y2303" s="1"/>
      <c r="Z2303" s="1"/>
      <c r="AA2303" s="1"/>
      <c r="AB2303" s="1"/>
      <c r="AC2303" s="1"/>
      <c r="AD2303" s="1"/>
      <c r="AE2303" s="1"/>
      <c r="AF2303" s="1"/>
      <c r="AG2303" s="1"/>
      <c r="AH2303" s="1"/>
    </row>
    <row r="2304" ht="12.75" hidden="1" customHeight="1" outlineLevel="1">
      <c r="A2304" s="17">
        <v>41386.0</v>
      </c>
      <c r="B2304" s="1" t="s">
        <v>343</v>
      </c>
      <c r="C2304" s="1" t="s">
        <v>356</v>
      </c>
      <c r="D2304" s="74">
        <v>60.0</v>
      </c>
      <c r="E2304" s="67">
        <v>258.5</v>
      </c>
      <c r="F2304" s="75">
        <v>0.4815740740740741</v>
      </c>
      <c r="G2304" s="67" t="s">
        <v>453</v>
      </c>
      <c r="H2304" s="68">
        <v>1.0</v>
      </c>
      <c r="I2304" s="76"/>
      <c r="J2304" s="67">
        <f t="shared" si="163"/>
        <v>-15511</v>
      </c>
      <c r="K2304" s="7"/>
      <c r="L2304" s="70"/>
      <c r="M2304" s="79"/>
      <c r="N2304" s="1"/>
      <c r="O2304" s="1"/>
      <c r="P2304" s="1"/>
      <c r="Q2304" s="1"/>
      <c r="R2304" s="1"/>
      <c r="S2304" s="1"/>
      <c r="T2304" s="1"/>
      <c r="U2304" s="1"/>
      <c r="V2304" s="1"/>
      <c r="W2304" s="1"/>
      <c r="X2304" s="1"/>
      <c r="Y2304" s="1"/>
      <c r="Z2304" s="1"/>
      <c r="AA2304" s="1"/>
      <c r="AB2304" s="1"/>
      <c r="AC2304" s="1"/>
      <c r="AD2304" s="1"/>
      <c r="AE2304" s="1"/>
      <c r="AF2304" s="1"/>
      <c r="AG2304" s="1"/>
      <c r="AH2304" s="1"/>
    </row>
    <row r="2305" ht="12.75" hidden="1" customHeight="1" outlineLevel="1">
      <c r="A2305" s="17">
        <v>41386.0</v>
      </c>
      <c r="B2305" s="1"/>
      <c r="C2305" s="1" t="s">
        <v>339</v>
      </c>
      <c r="D2305" s="74"/>
      <c r="E2305" s="67"/>
      <c r="F2305" s="75"/>
      <c r="G2305" s="67"/>
      <c r="H2305" s="68"/>
      <c r="I2305" s="76"/>
      <c r="J2305" s="67"/>
      <c r="K2305" s="7" t="s">
        <v>1038</v>
      </c>
      <c r="L2305" s="77"/>
      <c r="M2305" s="79"/>
      <c r="N2305" s="1"/>
      <c r="O2305" s="1"/>
      <c r="P2305" s="1"/>
      <c r="Q2305" s="1"/>
      <c r="R2305" s="1"/>
      <c r="S2305" s="1"/>
      <c r="T2305" s="1"/>
      <c r="U2305" s="1"/>
      <c r="V2305" s="1"/>
      <c r="W2305" s="1"/>
      <c r="X2305" s="1"/>
      <c r="Y2305" s="1"/>
      <c r="Z2305" s="1"/>
      <c r="AA2305" s="1"/>
      <c r="AB2305" s="1"/>
      <c r="AC2305" s="1"/>
      <c r="AD2305" s="1"/>
      <c r="AE2305" s="1"/>
      <c r="AF2305" s="1"/>
      <c r="AG2305" s="1"/>
      <c r="AH2305" s="1"/>
    </row>
    <row r="2306" ht="12.75" hidden="1" customHeight="1" outlineLevel="1">
      <c r="A2306" s="17">
        <v>41386.0</v>
      </c>
      <c r="B2306" s="1"/>
      <c r="C2306" s="1" t="s">
        <v>429</v>
      </c>
      <c r="D2306" s="74"/>
      <c r="E2306" s="67"/>
      <c r="F2306" s="75"/>
      <c r="G2306" s="67"/>
      <c r="H2306" s="68"/>
      <c r="I2306" s="76"/>
      <c r="J2306" s="67"/>
      <c r="K2306" s="7" t="s">
        <v>1034</v>
      </c>
      <c r="L2306" s="77"/>
      <c r="M2306" s="79"/>
      <c r="N2306" s="1"/>
      <c r="O2306" s="1"/>
      <c r="P2306" s="1"/>
      <c r="Q2306" s="1"/>
      <c r="R2306" s="1"/>
      <c r="S2306" s="1"/>
      <c r="T2306" s="1"/>
      <c r="U2306" s="1"/>
      <c r="V2306" s="1"/>
      <c r="W2306" s="1"/>
      <c r="X2306" s="1"/>
      <c r="Y2306" s="1"/>
      <c r="Z2306" s="1"/>
      <c r="AA2306" s="1"/>
      <c r="AB2306" s="1"/>
      <c r="AC2306" s="1"/>
      <c r="AD2306" s="1"/>
      <c r="AE2306" s="1"/>
      <c r="AF2306" s="1"/>
      <c r="AG2306" s="1"/>
      <c r="AH2306" s="1"/>
    </row>
    <row r="2307" ht="12.75" hidden="1" customHeight="1" outlineLevel="1">
      <c r="A2307" s="17">
        <v>41386.0</v>
      </c>
      <c r="B2307" s="1"/>
      <c r="C2307" s="1" t="s">
        <v>431</v>
      </c>
      <c r="D2307" s="74"/>
      <c r="E2307" s="67"/>
      <c r="F2307" s="75"/>
      <c r="G2307" s="67"/>
      <c r="H2307" s="68"/>
      <c r="I2307" s="76"/>
      <c r="J2307" s="67"/>
      <c r="K2307" s="7" t="s">
        <v>817</v>
      </c>
      <c r="L2307" s="77"/>
      <c r="M2307" s="79"/>
      <c r="N2307" s="1"/>
      <c r="O2307" s="1"/>
      <c r="P2307" s="1"/>
      <c r="Q2307" s="1"/>
      <c r="R2307" s="1"/>
      <c r="S2307" s="1"/>
      <c r="T2307" s="1"/>
      <c r="U2307" s="1"/>
      <c r="V2307" s="1"/>
      <c r="W2307" s="1"/>
      <c r="X2307" s="1"/>
      <c r="Y2307" s="1"/>
      <c r="Z2307" s="1"/>
      <c r="AA2307" s="1"/>
      <c r="AB2307" s="1"/>
      <c r="AC2307" s="1"/>
      <c r="AD2307" s="1"/>
      <c r="AE2307" s="1"/>
      <c r="AF2307" s="1"/>
      <c r="AG2307" s="1"/>
      <c r="AH2307" s="1"/>
    </row>
    <row r="2308" ht="12.75" hidden="1" customHeight="1" outlineLevel="1">
      <c r="A2308" s="17">
        <v>41386.0</v>
      </c>
      <c r="B2308" s="1"/>
      <c r="C2308" s="1" t="s">
        <v>433</v>
      </c>
      <c r="D2308" s="74"/>
      <c r="E2308" s="67"/>
      <c r="F2308" s="75"/>
      <c r="G2308" s="67"/>
      <c r="H2308" s="68"/>
      <c r="I2308" s="76"/>
      <c r="J2308" s="67"/>
      <c r="K2308" s="7" t="s">
        <v>434</v>
      </c>
      <c r="L2308" s="77"/>
      <c r="M2308" s="79"/>
      <c r="N2308" s="1"/>
      <c r="O2308" s="1"/>
      <c r="P2308" s="1"/>
      <c r="Q2308" s="1"/>
      <c r="R2308" s="1"/>
      <c r="S2308" s="1"/>
      <c r="T2308" s="1"/>
      <c r="U2308" s="1"/>
      <c r="V2308" s="1"/>
      <c r="W2308" s="1"/>
      <c r="X2308" s="1"/>
      <c r="Y2308" s="1"/>
      <c r="Z2308" s="1"/>
      <c r="AA2308" s="1"/>
      <c r="AB2308" s="1"/>
      <c r="AC2308" s="1"/>
      <c r="AD2308" s="1"/>
      <c r="AE2308" s="1"/>
      <c r="AF2308" s="1"/>
      <c r="AG2308" s="1"/>
      <c r="AH2308" s="1"/>
    </row>
    <row r="2309" ht="12.75" hidden="1" customHeight="1" outlineLevel="1">
      <c r="A2309" s="17">
        <v>41386.0</v>
      </c>
      <c r="B2309" s="1"/>
      <c r="C2309" s="1" t="s">
        <v>435</v>
      </c>
      <c r="D2309" s="74"/>
      <c r="E2309" s="67"/>
      <c r="F2309" s="75"/>
      <c r="G2309" s="67"/>
      <c r="H2309" s="68"/>
      <c r="I2309" s="76"/>
      <c r="J2309" s="67"/>
      <c r="K2309" s="7" t="s">
        <v>818</v>
      </c>
      <c r="L2309" s="77"/>
      <c r="M2309" s="79"/>
      <c r="N2309" s="1"/>
      <c r="O2309" s="1"/>
      <c r="P2309" s="1"/>
      <c r="Q2309" s="1"/>
      <c r="R2309" s="1"/>
      <c r="S2309" s="1"/>
      <c r="T2309" s="1"/>
      <c r="U2309" s="1"/>
      <c r="V2309" s="1"/>
      <c r="W2309" s="1"/>
      <c r="X2309" s="1"/>
      <c r="Y2309" s="1"/>
      <c r="Z2309" s="1"/>
      <c r="AA2309" s="1"/>
      <c r="AB2309" s="1"/>
      <c r="AC2309" s="1"/>
      <c r="AD2309" s="1"/>
      <c r="AE2309" s="1"/>
      <c r="AF2309" s="1"/>
      <c r="AG2309" s="1"/>
      <c r="AH2309" s="1"/>
    </row>
    <row r="2310" ht="12.75" hidden="1" customHeight="1" outlineLevel="1">
      <c r="A2310" s="17">
        <v>41387.0</v>
      </c>
      <c r="B2310" s="1" t="s">
        <v>343</v>
      </c>
      <c r="C2310" s="1" t="s">
        <v>354</v>
      </c>
      <c r="D2310" s="74">
        <v>250.0</v>
      </c>
      <c r="E2310" s="67">
        <v>72.01</v>
      </c>
      <c r="F2310" s="75">
        <v>0.4566898148148148</v>
      </c>
      <c r="G2310" s="67" t="s">
        <v>453</v>
      </c>
      <c r="H2310" s="68">
        <v>1.25</v>
      </c>
      <c r="I2310" s="76"/>
      <c r="J2310" s="67">
        <f>IF(B2310="SLD",D2310*E2310,-D2310*E2310)-H2310</f>
        <v>-18003.75</v>
      </c>
      <c r="K2310" s="7"/>
      <c r="L2310" s="70"/>
      <c r="M2310" s="79"/>
      <c r="N2310" s="1"/>
      <c r="O2310" s="1"/>
      <c r="P2310" s="1"/>
      <c r="Q2310" s="1"/>
      <c r="R2310" s="1"/>
      <c r="S2310" s="1"/>
      <c r="T2310" s="1"/>
      <c r="U2310" s="1"/>
      <c r="V2310" s="1"/>
      <c r="W2310" s="1"/>
      <c r="X2310" s="1"/>
      <c r="Y2310" s="1"/>
      <c r="Z2310" s="1"/>
      <c r="AA2310" s="1"/>
      <c r="AB2310" s="1"/>
      <c r="AC2310" s="1"/>
      <c r="AD2310" s="1"/>
      <c r="AE2310" s="1"/>
      <c r="AF2310" s="1"/>
      <c r="AG2310" s="1"/>
      <c r="AH2310" s="1"/>
    </row>
    <row r="2311" ht="12.75" hidden="1" customHeight="1" outlineLevel="1">
      <c r="A2311" s="17">
        <v>41387.0</v>
      </c>
      <c r="B2311" s="1"/>
      <c r="C2311" s="1" t="s">
        <v>339</v>
      </c>
      <c r="D2311" s="74"/>
      <c r="E2311" s="67"/>
      <c r="F2311" s="75"/>
      <c r="G2311" s="67"/>
      <c r="H2311" s="68"/>
      <c r="I2311" s="76"/>
      <c r="J2311" s="67"/>
      <c r="K2311" s="7" t="s">
        <v>1039</v>
      </c>
      <c r="L2311" s="77"/>
      <c r="M2311" s="79"/>
      <c r="N2311" s="1"/>
      <c r="O2311" s="1"/>
      <c r="P2311" s="1"/>
      <c r="Q2311" s="1"/>
      <c r="R2311" s="1"/>
      <c r="S2311" s="1"/>
      <c r="T2311" s="1"/>
      <c r="U2311" s="1"/>
      <c r="V2311" s="1"/>
      <c r="W2311" s="1"/>
      <c r="X2311" s="1"/>
      <c r="Y2311" s="1"/>
      <c r="Z2311" s="1"/>
      <c r="AA2311" s="1"/>
      <c r="AB2311" s="1"/>
      <c r="AC2311" s="1"/>
      <c r="AD2311" s="1"/>
      <c r="AE2311" s="1"/>
      <c r="AF2311" s="1"/>
      <c r="AG2311" s="1"/>
      <c r="AH2311" s="1"/>
    </row>
    <row r="2312" ht="12.75" hidden="1" customHeight="1" outlineLevel="1">
      <c r="A2312" s="17">
        <v>41387.0</v>
      </c>
      <c r="B2312" s="1"/>
      <c r="C2312" s="1" t="s">
        <v>429</v>
      </c>
      <c r="D2312" s="74"/>
      <c r="E2312" s="67"/>
      <c r="F2312" s="75"/>
      <c r="G2312" s="67"/>
      <c r="H2312" s="68"/>
      <c r="I2312" s="76"/>
      <c r="J2312" s="67"/>
      <c r="K2312" s="7" t="s">
        <v>1034</v>
      </c>
      <c r="L2312" s="77"/>
      <c r="M2312" s="79"/>
      <c r="N2312" s="1"/>
      <c r="O2312" s="1"/>
      <c r="P2312" s="1"/>
      <c r="Q2312" s="1"/>
      <c r="R2312" s="1"/>
      <c r="S2312" s="1"/>
      <c r="T2312" s="1"/>
      <c r="U2312" s="1"/>
      <c r="V2312" s="1"/>
      <c r="W2312" s="1"/>
      <c r="X2312" s="1"/>
      <c r="Y2312" s="1"/>
      <c r="Z2312" s="1"/>
      <c r="AA2312" s="1"/>
      <c r="AB2312" s="1"/>
      <c r="AC2312" s="1"/>
      <c r="AD2312" s="1"/>
      <c r="AE2312" s="1"/>
      <c r="AF2312" s="1"/>
      <c r="AG2312" s="1"/>
      <c r="AH2312" s="1"/>
    </row>
    <row r="2313" ht="12.75" hidden="1" customHeight="1" outlineLevel="1">
      <c r="A2313" s="17">
        <v>41387.0</v>
      </c>
      <c r="B2313" s="1"/>
      <c r="C2313" s="1" t="s">
        <v>431</v>
      </c>
      <c r="D2313" s="74"/>
      <c r="E2313" s="67"/>
      <c r="F2313" s="75"/>
      <c r="G2313" s="67"/>
      <c r="H2313" s="68"/>
      <c r="I2313" s="76"/>
      <c r="J2313" s="67"/>
      <c r="K2313" s="7" t="s">
        <v>817</v>
      </c>
      <c r="L2313" s="77"/>
      <c r="M2313" s="79"/>
      <c r="N2313" s="1"/>
      <c r="O2313" s="1"/>
      <c r="P2313" s="1"/>
      <c r="Q2313" s="1"/>
      <c r="R2313" s="1"/>
      <c r="S2313" s="1"/>
      <c r="T2313" s="1"/>
      <c r="U2313" s="1"/>
      <c r="V2313" s="1"/>
      <c r="W2313" s="1"/>
      <c r="X2313" s="1"/>
      <c r="Y2313" s="1"/>
      <c r="Z2313" s="1"/>
      <c r="AA2313" s="1"/>
      <c r="AB2313" s="1"/>
      <c r="AC2313" s="1"/>
      <c r="AD2313" s="1"/>
      <c r="AE2313" s="1"/>
      <c r="AF2313" s="1"/>
      <c r="AG2313" s="1"/>
      <c r="AH2313" s="1"/>
    </row>
    <row r="2314" ht="12.75" hidden="1" customHeight="1" outlineLevel="1">
      <c r="A2314" s="17">
        <v>41387.0</v>
      </c>
      <c r="B2314" s="1"/>
      <c r="C2314" s="1" t="s">
        <v>433</v>
      </c>
      <c r="D2314" s="74"/>
      <c r="E2314" s="67"/>
      <c r="F2314" s="75"/>
      <c r="G2314" s="67"/>
      <c r="H2314" s="68"/>
      <c r="I2314" s="76"/>
      <c r="J2314" s="67"/>
      <c r="K2314" s="7" t="s">
        <v>434</v>
      </c>
      <c r="L2314" s="77"/>
      <c r="M2314" s="79"/>
      <c r="N2314" s="1"/>
      <c r="O2314" s="1"/>
      <c r="P2314" s="1"/>
      <c r="Q2314" s="1"/>
      <c r="R2314" s="1"/>
      <c r="S2314" s="1"/>
      <c r="T2314" s="1"/>
      <c r="U2314" s="1"/>
      <c r="V2314" s="1"/>
      <c r="W2314" s="1"/>
      <c r="X2314" s="1"/>
      <c r="Y2314" s="1"/>
      <c r="Z2314" s="1"/>
      <c r="AA2314" s="1"/>
      <c r="AB2314" s="1"/>
      <c r="AC2314" s="1"/>
      <c r="AD2314" s="1"/>
      <c r="AE2314" s="1"/>
      <c r="AF2314" s="1"/>
      <c r="AG2314" s="1"/>
      <c r="AH2314" s="1"/>
    </row>
    <row r="2315" ht="12.75" hidden="1" customHeight="1" outlineLevel="1">
      <c r="A2315" s="17">
        <v>41387.0</v>
      </c>
      <c r="B2315" s="1"/>
      <c r="C2315" s="1" t="s">
        <v>435</v>
      </c>
      <c r="D2315" s="74"/>
      <c r="E2315" s="67"/>
      <c r="F2315" s="75"/>
      <c r="G2315" s="67"/>
      <c r="H2315" s="68"/>
      <c r="I2315" s="76"/>
      <c r="J2315" s="67"/>
      <c r="K2315" s="7" t="s">
        <v>818</v>
      </c>
      <c r="L2315" s="77"/>
      <c r="M2315" s="79"/>
      <c r="N2315" s="1"/>
      <c r="O2315" s="1"/>
      <c r="P2315" s="1"/>
      <c r="Q2315" s="1"/>
      <c r="R2315" s="1"/>
      <c r="S2315" s="1"/>
      <c r="T2315" s="1"/>
      <c r="U2315" s="1"/>
      <c r="V2315" s="1"/>
      <c r="W2315" s="1"/>
      <c r="X2315" s="1"/>
      <c r="Y2315" s="1"/>
      <c r="Z2315" s="1"/>
      <c r="AA2315" s="1"/>
      <c r="AB2315" s="1"/>
      <c r="AC2315" s="1"/>
      <c r="AD2315" s="1"/>
      <c r="AE2315" s="1"/>
      <c r="AF2315" s="1"/>
      <c r="AG2315" s="1"/>
      <c r="AH2315" s="1"/>
    </row>
    <row r="2316" ht="12.75" hidden="1" customHeight="1" outlineLevel="1">
      <c r="A2316" s="17">
        <v>41388.0</v>
      </c>
      <c r="B2316" s="1" t="s">
        <v>347</v>
      </c>
      <c r="C2316" s="1" t="s">
        <v>346</v>
      </c>
      <c r="D2316" s="74">
        <v>40.0</v>
      </c>
      <c r="E2316" s="67">
        <v>408.64</v>
      </c>
      <c r="F2316" s="75">
        <v>0.4169444444444444</v>
      </c>
      <c r="G2316" s="67" t="s">
        <v>453</v>
      </c>
      <c r="H2316" s="68">
        <v>1.0</v>
      </c>
      <c r="I2316" s="76"/>
      <c r="J2316" s="67">
        <f>IF(B2316="SLD",D2316*E2316,-D2316*E2316)-H2316</f>
        <v>16344.6</v>
      </c>
      <c r="K2316" s="7"/>
      <c r="L2316" s="70"/>
      <c r="M2316" s="79"/>
      <c r="N2316" s="1"/>
      <c r="O2316" s="1"/>
      <c r="P2316" s="1"/>
      <c r="Q2316" s="1"/>
      <c r="R2316" s="1"/>
      <c r="S2316" s="1"/>
      <c r="T2316" s="1"/>
      <c r="U2316" s="1"/>
      <c r="V2316" s="1"/>
      <c r="W2316" s="1"/>
      <c r="X2316" s="1"/>
      <c r="Y2316" s="1"/>
      <c r="Z2316" s="1"/>
      <c r="AA2316" s="1"/>
      <c r="AB2316" s="1"/>
      <c r="AC2316" s="1"/>
      <c r="AD2316" s="1"/>
      <c r="AE2316" s="1"/>
      <c r="AF2316" s="1"/>
      <c r="AG2316" s="1"/>
      <c r="AH2316" s="1"/>
    </row>
    <row r="2317" ht="12.75" hidden="1" customHeight="1" outlineLevel="1">
      <c r="A2317" s="17">
        <v>41388.0</v>
      </c>
      <c r="B2317" s="1"/>
      <c r="C2317" s="1" t="s">
        <v>339</v>
      </c>
      <c r="D2317" s="74"/>
      <c r="E2317" s="67"/>
      <c r="F2317" s="75"/>
      <c r="G2317" s="67"/>
      <c r="H2317" s="68"/>
      <c r="I2317" s="76"/>
      <c r="J2317" s="67"/>
      <c r="K2317" s="7" t="s">
        <v>1041</v>
      </c>
      <c r="L2317" s="77"/>
      <c r="M2317" s="79"/>
      <c r="N2317" s="1"/>
      <c r="O2317" s="1"/>
      <c r="P2317" s="1"/>
      <c r="Q2317" s="1"/>
      <c r="R2317" s="1"/>
      <c r="S2317" s="1"/>
      <c r="T2317" s="1"/>
      <c r="U2317" s="1"/>
      <c r="V2317" s="1"/>
      <c r="W2317" s="1"/>
      <c r="X2317" s="1"/>
      <c r="Y2317" s="1"/>
      <c r="Z2317" s="1"/>
      <c r="AA2317" s="1"/>
      <c r="AB2317" s="1"/>
      <c r="AC2317" s="1"/>
      <c r="AD2317" s="1"/>
      <c r="AE2317" s="1"/>
      <c r="AF2317" s="1"/>
      <c r="AG2317" s="1"/>
      <c r="AH2317" s="1"/>
    </row>
    <row r="2318" ht="12.75" hidden="1" customHeight="1" outlineLevel="1">
      <c r="A2318" s="17">
        <v>41388.0</v>
      </c>
      <c r="B2318" s="1"/>
      <c r="C2318" s="1" t="s">
        <v>429</v>
      </c>
      <c r="D2318" s="74"/>
      <c r="E2318" s="67"/>
      <c r="F2318" s="75"/>
      <c r="G2318" s="67"/>
      <c r="H2318" s="68"/>
      <c r="I2318" s="76"/>
      <c r="J2318" s="67"/>
      <c r="K2318" s="7" t="s">
        <v>1042</v>
      </c>
      <c r="L2318" s="77"/>
      <c r="M2318" s="79"/>
      <c r="N2318" s="1"/>
      <c r="O2318" s="1"/>
      <c r="P2318" s="1"/>
      <c r="Q2318" s="1"/>
      <c r="R2318" s="1"/>
      <c r="S2318" s="1"/>
      <c r="T2318" s="1"/>
      <c r="U2318" s="1"/>
      <c r="V2318" s="1"/>
      <c r="W2318" s="1"/>
      <c r="X2318" s="1"/>
      <c r="Y2318" s="1"/>
      <c r="Z2318" s="1"/>
      <c r="AA2318" s="1"/>
      <c r="AB2318" s="1"/>
      <c r="AC2318" s="1"/>
      <c r="AD2318" s="1"/>
      <c r="AE2318" s="1"/>
      <c r="AF2318" s="1"/>
      <c r="AG2318" s="1"/>
      <c r="AH2318" s="1"/>
    </row>
    <row r="2319" ht="12.75" hidden="1" customHeight="1" outlineLevel="1">
      <c r="A2319" s="17">
        <v>41388.0</v>
      </c>
      <c r="B2319" s="1"/>
      <c r="C2319" s="1" t="s">
        <v>431</v>
      </c>
      <c r="D2319" s="74"/>
      <c r="E2319" s="67"/>
      <c r="F2319" s="75"/>
      <c r="G2319" s="67"/>
      <c r="H2319" s="68"/>
      <c r="I2319" s="76"/>
      <c r="J2319" s="67"/>
      <c r="K2319" s="7" t="s">
        <v>817</v>
      </c>
      <c r="L2319" s="77"/>
      <c r="M2319" s="79"/>
      <c r="N2319" s="1"/>
      <c r="O2319" s="1"/>
      <c r="P2319" s="1"/>
      <c r="Q2319" s="1"/>
      <c r="R2319" s="1"/>
      <c r="S2319" s="1"/>
      <c r="T2319" s="1"/>
      <c r="U2319" s="1"/>
      <c r="V2319" s="1"/>
      <c r="W2319" s="1"/>
      <c r="X2319" s="1"/>
      <c r="Y2319" s="1"/>
      <c r="Z2319" s="1"/>
      <c r="AA2319" s="1"/>
      <c r="AB2319" s="1"/>
      <c r="AC2319" s="1"/>
      <c r="AD2319" s="1"/>
      <c r="AE2319" s="1"/>
      <c r="AF2319" s="1"/>
      <c r="AG2319" s="1"/>
      <c r="AH2319" s="1"/>
    </row>
    <row r="2320" ht="12.75" hidden="1" customHeight="1" outlineLevel="1">
      <c r="A2320" s="17">
        <v>41388.0</v>
      </c>
      <c r="B2320" s="1"/>
      <c r="C2320" s="1" t="s">
        <v>433</v>
      </c>
      <c r="D2320" s="74"/>
      <c r="E2320" s="67"/>
      <c r="F2320" s="75"/>
      <c r="G2320" s="67"/>
      <c r="H2320" s="68"/>
      <c r="I2320" s="76"/>
      <c r="J2320" s="67"/>
      <c r="K2320" s="7" t="s">
        <v>434</v>
      </c>
      <c r="L2320" s="77"/>
      <c r="M2320" s="79"/>
      <c r="N2320" s="1"/>
      <c r="O2320" s="1"/>
      <c r="P2320" s="1"/>
      <c r="Q2320" s="1"/>
      <c r="R2320" s="1"/>
      <c r="S2320" s="1"/>
      <c r="T2320" s="1"/>
      <c r="U2320" s="1"/>
      <c r="V2320" s="1"/>
      <c r="W2320" s="1"/>
      <c r="X2320" s="1"/>
      <c r="Y2320" s="1"/>
      <c r="Z2320" s="1"/>
      <c r="AA2320" s="1"/>
      <c r="AB2320" s="1"/>
      <c r="AC2320" s="1"/>
      <c r="AD2320" s="1"/>
      <c r="AE2320" s="1"/>
      <c r="AF2320" s="1"/>
      <c r="AG2320" s="1"/>
      <c r="AH2320" s="1"/>
    </row>
    <row r="2321" ht="12.75" hidden="1" customHeight="1" outlineLevel="1">
      <c r="A2321" s="17">
        <v>41388.0</v>
      </c>
      <c r="B2321" s="1"/>
      <c r="C2321" s="1" t="s">
        <v>435</v>
      </c>
      <c r="D2321" s="74"/>
      <c r="E2321" s="67"/>
      <c r="F2321" s="75"/>
      <c r="G2321" s="67"/>
      <c r="H2321" s="68"/>
      <c r="I2321" s="76"/>
      <c r="J2321" s="67"/>
      <c r="K2321" s="7" t="s">
        <v>818</v>
      </c>
      <c r="L2321" s="77"/>
      <c r="M2321" s="79"/>
      <c r="N2321" s="1"/>
      <c r="O2321" s="1"/>
      <c r="P2321" s="1"/>
      <c r="Q2321" s="1"/>
      <c r="R2321" s="1"/>
      <c r="S2321" s="1"/>
      <c r="T2321" s="1"/>
      <c r="U2321" s="1"/>
      <c r="V2321" s="1"/>
      <c r="W2321" s="1"/>
      <c r="X2321" s="1"/>
      <c r="Y2321" s="1"/>
      <c r="Z2321" s="1"/>
      <c r="AA2321" s="1"/>
      <c r="AB2321" s="1"/>
      <c r="AC2321" s="1"/>
      <c r="AD2321" s="1"/>
      <c r="AE2321" s="1"/>
      <c r="AF2321" s="1"/>
      <c r="AG2321" s="1"/>
      <c r="AH2321" s="1"/>
    </row>
    <row r="2322" ht="12.75" hidden="1" customHeight="1" outlineLevel="1">
      <c r="A2322" s="17">
        <v>41389.0</v>
      </c>
      <c r="B2322" s="1"/>
      <c r="C2322" s="1" t="s">
        <v>339</v>
      </c>
      <c r="D2322" s="74"/>
      <c r="E2322" s="67"/>
      <c r="F2322" s="75"/>
      <c r="G2322" s="67"/>
      <c r="H2322" s="68"/>
      <c r="I2322" s="76"/>
      <c r="J2322" s="67"/>
      <c r="K2322" s="7" t="s">
        <v>1043</v>
      </c>
      <c r="L2322" s="77"/>
      <c r="M2322" s="79"/>
      <c r="N2322" s="1"/>
      <c r="O2322" s="1"/>
      <c r="P2322" s="1"/>
      <c r="Q2322" s="1"/>
      <c r="R2322" s="1"/>
      <c r="S2322" s="1"/>
      <c r="T2322" s="1"/>
      <c r="U2322" s="1"/>
      <c r="V2322" s="1"/>
      <c r="W2322" s="1"/>
      <c r="X2322" s="1"/>
      <c r="Y2322" s="1"/>
      <c r="Z2322" s="1"/>
      <c r="AA2322" s="1"/>
      <c r="AB2322" s="1"/>
      <c r="AC2322" s="1"/>
      <c r="AD2322" s="1"/>
      <c r="AE2322" s="1"/>
      <c r="AF2322" s="1"/>
      <c r="AG2322" s="1"/>
      <c r="AH2322" s="1"/>
    </row>
    <row r="2323" ht="12.75" hidden="1" customHeight="1" outlineLevel="1">
      <c r="A2323" s="17">
        <v>41389.0</v>
      </c>
      <c r="B2323" s="1"/>
      <c r="C2323" s="1" t="s">
        <v>429</v>
      </c>
      <c r="D2323" s="74"/>
      <c r="E2323" s="67"/>
      <c r="F2323" s="75"/>
      <c r="G2323" s="67"/>
      <c r="H2323" s="68"/>
      <c r="I2323" s="76"/>
      <c r="J2323" s="67"/>
      <c r="K2323" s="7" t="s">
        <v>1042</v>
      </c>
      <c r="L2323" s="77"/>
      <c r="M2323" s="79"/>
      <c r="N2323" s="1"/>
      <c r="O2323" s="1"/>
      <c r="P2323" s="1"/>
      <c r="Q2323" s="1"/>
      <c r="R2323" s="1"/>
      <c r="S2323" s="1"/>
      <c r="T2323" s="1"/>
      <c r="U2323" s="1"/>
      <c r="V2323" s="1"/>
      <c r="W2323" s="1"/>
      <c r="X2323" s="1"/>
      <c r="Y2323" s="1"/>
      <c r="Z2323" s="1"/>
      <c r="AA2323" s="1"/>
      <c r="AB2323" s="1"/>
      <c r="AC2323" s="1"/>
      <c r="AD2323" s="1"/>
      <c r="AE2323" s="1"/>
      <c r="AF2323" s="1"/>
      <c r="AG2323" s="1"/>
      <c r="AH2323" s="1"/>
    </row>
    <row r="2324" ht="12.75" hidden="1" customHeight="1" outlineLevel="1">
      <c r="A2324" s="17">
        <v>41389.0</v>
      </c>
      <c r="B2324" s="1"/>
      <c r="C2324" s="1" t="s">
        <v>431</v>
      </c>
      <c r="D2324" s="74"/>
      <c r="E2324" s="67"/>
      <c r="F2324" s="75"/>
      <c r="G2324" s="67"/>
      <c r="H2324" s="68"/>
      <c r="I2324" s="76"/>
      <c r="J2324" s="67"/>
      <c r="K2324" s="7" t="s">
        <v>817</v>
      </c>
      <c r="L2324" s="77"/>
      <c r="M2324" s="79"/>
      <c r="N2324" s="1"/>
      <c r="O2324" s="1"/>
      <c r="P2324" s="1"/>
      <c r="Q2324" s="1"/>
      <c r="R2324" s="1"/>
      <c r="S2324" s="1"/>
      <c r="T2324" s="1"/>
      <c r="U2324" s="1"/>
      <c r="V2324" s="1"/>
      <c r="W2324" s="1"/>
      <c r="X2324" s="1"/>
      <c r="Y2324" s="1"/>
      <c r="Z2324" s="1"/>
      <c r="AA2324" s="1"/>
      <c r="AB2324" s="1"/>
      <c r="AC2324" s="1"/>
      <c r="AD2324" s="1"/>
      <c r="AE2324" s="1"/>
      <c r="AF2324" s="1"/>
      <c r="AG2324" s="1"/>
      <c r="AH2324" s="1"/>
    </row>
    <row r="2325" ht="12.75" hidden="1" customHeight="1" outlineLevel="1">
      <c r="A2325" s="17">
        <v>41389.0</v>
      </c>
      <c r="B2325" s="1"/>
      <c r="C2325" s="1" t="s">
        <v>433</v>
      </c>
      <c r="D2325" s="74"/>
      <c r="E2325" s="67"/>
      <c r="F2325" s="75"/>
      <c r="G2325" s="67"/>
      <c r="H2325" s="68"/>
      <c r="I2325" s="76"/>
      <c r="J2325" s="67"/>
      <c r="K2325" s="7" t="s">
        <v>434</v>
      </c>
      <c r="L2325" s="77"/>
      <c r="M2325" s="79"/>
      <c r="N2325" s="1"/>
      <c r="O2325" s="1"/>
      <c r="P2325" s="1"/>
      <c r="Q2325" s="1"/>
      <c r="R2325" s="1"/>
      <c r="S2325" s="1"/>
      <c r="T2325" s="1"/>
      <c r="U2325" s="1"/>
      <c r="V2325" s="1"/>
      <c r="W2325" s="1"/>
      <c r="X2325" s="1"/>
      <c r="Y2325" s="1"/>
      <c r="Z2325" s="1"/>
      <c r="AA2325" s="1"/>
      <c r="AB2325" s="1"/>
      <c r="AC2325" s="1"/>
      <c r="AD2325" s="1"/>
      <c r="AE2325" s="1"/>
      <c r="AF2325" s="1"/>
      <c r="AG2325" s="1"/>
      <c r="AH2325" s="1"/>
    </row>
    <row r="2326" ht="12.75" hidden="1" customHeight="1" outlineLevel="1">
      <c r="A2326" s="17">
        <v>41389.0</v>
      </c>
      <c r="B2326" s="1"/>
      <c r="C2326" s="1" t="s">
        <v>435</v>
      </c>
      <c r="D2326" s="74"/>
      <c r="E2326" s="67"/>
      <c r="F2326" s="75"/>
      <c r="G2326" s="67"/>
      <c r="H2326" s="68"/>
      <c r="I2326" s="76"/>
      <c r="J2326" s="67"/>
      <c r="K2326" s="7" t="s">
        <v>818</v>
      </c>
      <c r="L2326" s="77"/>
      <c r="M2326" s="79"/>
      <c r="N2326" s="1"/>
      <c r="O2326" s="1"/>
      <c r="P2326" s="1"/>
      <c r="Q2326" s="1"/>
      <c r="R2326" s="1"/>
      <c r="S2326" s="1"/>
      <c r="T2326" s="1"/>
      <c r="U2326" s="1"/>
      <c r="V2326" s="1"/>
      <c r="W2326" s="1"/>
      <c r="X2326" s="1"/>
      <c r="Y2326" s="1"/>
      <c r="Z2326" s="1"/>
      <c r="AA2326" s="1"/>
      <c r="AB2326" s="1"/>
      <c r="AC2326" s="1"/>
      <c r="AD2326" s="1"/>
      <c r="AE2326" s="1"/>
      <c r="AF2326" s="1"/>
      <c r="AG2326" s="1"/>
      <c r="AH2326" s="1"/>
    </row>
    <row r="2327" ht="12.75" hidden="1" customHeight="1" outlineLevel="1">
      <c r="A2327" s="17">
        <v>41390.0</v>
      </c>
      <c r="B2327" s="1" t="s">
        <v>347</v>
      </c>
      <c r="C2327" s="1" t="s">
        <v>1044</v>
      </c>
      <c r="D2327" s="74">
        <v>500.0</v>
      </c>
      <c r="E2327" s="67">
        <v>29.31</v>
      </c>
      <c r="F2327" s="75">
        <v>0.5366319444444444</v>
      </c>
      <c r="G2327" s="67" t="s">
        <v>453</v>
      </c>
      <c r="H2327" s="68">
        <v>2.2</v>
      </c>
      <c r="I2327" s="76"/>
      <c r="J2327" s="67">
        <f>IF(B2327="SLD",D2327*E2327,-D2327*E2327)-H2327</f>
        <v>14652.8</v>
      </c>
      <c r="K2327" s="7"/>
      <c r="L2327" s="70"/>
      <c r="M2327" s="79"/>
      <c r="N2327" s="1"/>
      <c r="O2327" s="1"/>
      <c r="P2327" s="1"/>
      <c r="Q2327" s="1"/>
      <c r="R2327" s="1"/>
      <c r="S2327" s="1"/>
      <c r="T2327" s="1"/>
      <c r="U2327" s="1"/>
      <c r="V2327" s="1"/>
      <c r="W2327" s="1"/>
      <c r="X2327" s="1"/>
      <c r="Y2327" s="1"/>
      <c r="Z2327" s="1"/>
      <c r="AA2327" s="1"/>
      <c r="AB2327" s="1"/>
      <c r="AC2327" s="1"/>
      <c r="AD2327" s="1"/>
      <c r="AE2327" s="1"/>
      <c r="AF2327" s="1"/>
      <c r="AG2327" s="1"/>
      <c r="AH2327" s="1"/>
    </row>
    <row r="2328" ht="12.75" hidden="1" customHeight="1" outlineLevel="1">
      <c r="A2328" s="17">
        <v>41390.0</v>
      </c>
      <c r="B2328" s="1"/>
      <c r="C2328" s="1" t="s">
        <v>339</v>
      </c>
      <c r="D2328" s="74"/>
      <c r="E2328" s="67"/>
      <c r="F2328" s="75"/>
      <c r="G2328" s="67"/>
      <c r="H2328" s="68"/>
      <c r="I2328" s="76"/>
      <c r="J2328" s="67"/>
      <c r="K2328" s="7" t="s">
        <v>1045</v>
      </c>
      <c r="L2328" s="77"/>
      <c r="M2328" s="79"/>
      <c r="N2328" s="1"/>
      <c r="O2328" s="1"/>
      <c r="P2328" s="1"/>
      <c r="Q2328" s="1"/>
      <c r="R2328" s="1"/>
      <c r="S2328" s="1"/>
      <c r="T2328" s="1"/>
      <c r="U2328" s="1"/>
      <c r="V2328" s="1"/>
      <c r="W2328" s="1"/>
      <c r="X2328" s="1"/>
      <c r="Y2328" s="1"/>
      <c r="Z2328" s="1"/>
      <c r="AA2328" s="1"/>
      <c r="AB2328" s="1"/>
      <c r="AC2328" s="1"/>
      <c r="AD2328" s="1"/>
      <c r="AE2328" s="1"/>
      <c r="AF2328" s="1"/>
      <c r="AG2328" s="1"/>
      <c r="AH2328" s="1"/>
    </row>
    <row r="2329" ht="12.75" hidden="1" customHeight="1" outlineLevel="1">
      <c r="A2329" s="17">
        <v>41390.0</v>
      </c>
      <c r="B2329" s="1"/>
      <c r="C2329" s="1" t="s">
        <v>429</v>
      </c>
      <c r="D2329" s="74"/>
      <c r="E2329" s="67"/>
      <c r="F2329" s="75"/>
      <c r="G2329" s="67"/>
      <c r="H2329" s="68"/>
      <c r="I2329" s="76"/>
      <c r="J2329" s="67"/>
      <c r="K2329" s="7" t="s">
        <v>1042</v>
      </c>
      <c r="L2329" s="77"/>
      <c r="M2329" s="79"/>
      <c r="N2329" s="1"/>
      <c r="O2329" s="1"/>
      <c r="P2329" s="1"/>
      <c r="Q2329" s="1"/>
      <c r="R2329" s="1"/>
      <c r="S2329" s="1"/>
      <c r="T2329" s="1"/>
      <c r="U2329" s="1"/>
      <c r="V2329" s="1"/>
      <c r="W2329" s="1"/>
      <c r="X2329" s="1"/>
      <c r="Y2329" s="1"/>
      <c r="Z2329" s="1"/>
      <c r="AA2329" s="1"/>
      <c r="AB2329" s="1"/>
      <c r="AC2329" s="1"/>
      <c r="AD2329" s="1"/>
      <c r="AE2329" s="1"/>
      <c r="AF2329" s="1"/>
      <c r="AG2329" s="1"/>
      <c r="AH2329" s="1"/>
    </row>
    <row r="2330" ht="12.75" hidden="1" customHeight="1" outlineLevel="1">
      <c r="A2330" s="17">
        <v>41390.0</v>
      </c>
      <c r="B2330" s="1"/>
      <c r="C2330" s="1" t="s">
        <v>431</v>
      </c>
      <c r="D2330" s="74"/>
      <c r="E2330" s="67"/>
      <c r="F2330" s="75"/>
      <c r="G2330" s="67"/>
      <c r="H2330" s="68"/>
      <c r="I2330" s="76"/>
      <c r="J2330" s="67"/>
      <c r="K2330" s="7" t="s">
        <v>817</v>
      </c>
      <c r="L2330" s="77"/>
      <c r="M2330" s="79"/>
      <c r="N2330" s="1"/>
      <c r="O2330" s="1"/>
      <c r="P2330" s="1"/>
      <c r="Q2330" s="1"/>
      <c r="R2330" s="1"/>
      <c r="S2330" s="1"/>
      <c r="T2330" s="1"/>
      <c r="U2330" s="1"/>
      <c r="V2330" s="1"/>
      <c r="W2330" s="1"/>
      <c r="X2330" s="1"/>
      <c r="Y2330" s="1"/>
      <c r="Z2330" s="1"/>
      <c r="AA2330" s="1"/>
      <c r="AB2330" s="1"/>
      <c r="AC2330" s="1"/>
      <c r="AD2330" s="1"/>
      <c r="AE2330" s="1"/>
      <c r="AF2330" s="1"/>
      <c r="AG2330" s="1"/>
      <c r="AH2330" s="1"/>
    </row>
    <row r="2331" ht="12.75" hidden="1" customHeight="1" outlineLevel="1">
      <c r="A2331" s="17">
        <v>41390.0</v>
      </c>
      <c r="B2331" s="1"/>
      <c r="C2331" s="1" t="s">
        <v>433</v>
      </c>
      <c r="D2331" s="74"/>
      <c r="E2331" s="67"/>
      <c r="F2331" s="75"/>
      <c r="G2331" s="67"/>
      <c r="H2331" s="68"/>
      <c r="I2331" s="76"/>
      <c r="J2331" s="67"/>
      <c r="K2331" s="7" t="s">
        <v>434</v>
      </c>
      <c r="L2331" s="77"/>
      <c r="M2331" s="79"/>
      <c r="N2331" s="1"/>
      <c r="O2331" s="1"/>
      <c r="P2331" s="1"/>
      <c r="Q2331" s="1"/>
      <c r="R2331" s="1"/>
      <c r="S2331" s="1"/>
      <c r="T2331" s="1"/>
      <c r="U2331" s="1"/>
      <c r="V2331" s="1"/>
      <c r="W2331" s="1"/>
      <c r="X2331" s="1"/>
      <c r="Y2331" s="1"/>
      <c r="Z2331" s="1"/>
      <c r="AA2331" s="1"/>
      <c r="AB2331" s="1"/>
      <c r="AC2331" s="1"/>
      <c r="AD2331" s="1"/>
      <c r="AE2331" s="1"/>
      <c r="AF2331" s="1"/>
      <c r="AG2331" s="1"/>
      <c r="AH2331" s="1"/>
    </row>
    <row r="2332" ht="12.75" hidden="1" customHeight="1" outlineLevel="1">
      <c r="A2332" s="17">
        <v>41390.0</v>
      </c>
      <c r="B2332" s="1"/>
      <c r="C2332" s="1" t="s">
        <v>435</v>
      </c>
      <c r="D2332" s="74"/>
      <c r="E2332" s="67"/>
      <c r="F2332" s="75"/>
      <c r="G2332" s="67"/>
      <c r="H2332" s="68"/>
      <c r="I2332" s="76"/>
      <c r="J2332" s="67"/>
      <c r="K2332" s="7" t="s">
        <v>818</v>
      </c>
      <c r="L2332" s="77"/>
      <c r="M2332" s="79"/>
      <c r="N2332" s="1"/>
      <c r="O2332" s="1"/>
      <c r="P2332" s="1"/>
      <c r="Q2332" s="1"/>
      <c r="R2332" s="1"/>
      <c r="S2332" s="1"/>
      <c r="T2332" s="1"/>
      <c r="U2332" s="1"/>
      <c r="V2332" s="1"/>
      <c r="W2332" s="1"/>
      <c r="X2332" s="1"/>
      <c r="Y2332" s="1"/>
      <c r="Z2332" s="1"/>
      <c r="AA2332" s="1"/>
      <c r="AB2332" s="1"/>
      <c r="AC2332" s="1"/>
      <c r="AD2332" s="1"/>
      <c r="AE2332" s="1"/>
      <c r="AF2332" s="1"/>
      <c r="AG2332" s="1"/>
      <c r="AH2332" s="1"/>
    </row>
    <row r="2333" ht="12.75" hidden="1" customHeight="1" outlineLevel="1">
      <c r="A2333" s="17">
        <v>41393.0</v>
      </c>
      <c r="B2333" s="1" t="s">
        <v>347</v>
      </c>
      <c r="C2333" s="1" t="s">
        <v>784</v>
      </c>
      <c r="D2333" s="74">
        <v>300.0</v>
      </c>
      <c r="E2333" s="67">
        <v>16.68</v>
      </c>
      <c r="F2333" s="75">
        <v>0.42635416666666665</v>
      </c>
      <c r="G2333" s="67" t="s">
        <v>453</v>
      </c>
      <c r="H2333" s="68">
        <v>1.5</v>
      </c>
      <c r="I2333" s="76"/>
      <c r="J2333" s="67">
        <f>IF(B2333="SLD",D2333*E2333,-D2333*E2333)-H2333</f>
        <v>5002.5</v>
      </c>
      <c r="K2333" s="7"/>
      <c r="L2333" s="70"/>
      <c r="M2333" s="79"/>
      <c r="N2333" s="1"/>
      <c r="O2333" s="1"/>
      <c r="P2333" s="1"/>
      <c r="Q2333" s="1"/>
      <c r="R2333" s="1"/>
      <c r="S2333" s="1"/>
      <c r="T2333" s="1"/>
      <c r="U2333" s="1"/>
      <c r="V2333" s="1"/>
      <c r="W2333" s="1"/>
      <c r="X2333" s="1"/>
      <c r="Y2333" s="1"/>
      <c r="Z2333" s="1"/>
      <c r="AA2333" s="1"/>
      <c r="AB2333" s="1"/>
      <c r="AC2333" s="1"/>
      <c r="AD2333" s="1"/>
      <c r="AE2333" s="1"/>
      <c r="AF2333" s="1"/>
      <c r="AG2333" s="1"/>
      <c r="AH2333" s="1"/>
    </row>
    <row r="2334" ht="12.75" hidden="1" customHeight="1" outlineLevel="1">
      <c r="A2334" s="17">
        <v>41393.0</v>
      </c>
      <c r="B2334" s="1"/>
      <c r="C2334" s="1" t="s">
        <v>339</v>
      </c>
      <c r="D2334" s="74"/>
      <c r="E2334" s="67"/>
      <c r="F2334" s="75"/>
      <c r="G2334" s="67"/>
      <c r="H2334" s="68"/>
      <c r="I2334" s="76"/>
      <c r="J2334" s="67"/>
      <c r="K2334" s="7" t="s">
        <v>1046</v>
      </c>
      <c r="L2334" s="77"/>
      <c r="M2334" s="79"/>
      <c r="N2334" s="1"/>
      <c r="O2334" s="1"/>
      <c r="P2334" s="1"/>
      <c r="Q2334" s="1"/>
      <c r="R2334" s="1"/>
      <c r="S2334" s="1"/>
      <c r="T2334" s="1"/>
      <c r="U2334" s="1"/>
      <c r="V2334" s="1"/>
      <c r="W2334" s="1"/>
      <c r="X2334" s="1"/>
      <c r="Y2334" s="1"/>
      <c r="Z2334" s="1"/>
      <c r="AA2334" s="1"/>
      <c r="AB2334" s="1"/>
      <c r="AC2334" s="1"/>
      <c r="AD2334" s="1"/>
      <c r="AE2334" s="1"/>
      <c r="AF2334" s="1"/>
      <c r="AG2334" s="1"/>
      <c r="AH2334" s="1"/>
    </row>
    <row r="2335" ht="12.75" hidden="1" customHeight="1" outlineLevel="1">
      <c r="A2335" s="17">
        <v>41393.0</v>
      </c>
      <c r="B2335" s="1"/>
      <c r="C2335" s="1" t="s">
        <v>429</v>
      </c>
      <c r="D2335" s="74"/>
      <c r="E2335" s="67"/>
      <c r="F2335" s="75"/>
      <c r="G2335" s="67"/>
      <c r="H2335" s="68"/>
      <c r="I2335" s="76"/>
      <c r="J2335" s="67"/>
      <c r="K2335" s="7" t="s">
        <v>1042</v>
      </c>
      <c r="L2335" s="77"/>
      <c r="M2335" s="79"/>
      <c r="N2335" s="1"/>
      <c r="O2335" s="1"/>
      <c r="P2335" s="1"/>
      <c r="Q2335" s="1"/>
      <c r="R2335" s="1"/>
      <c r="S2335" s="1"/>
      <c r="T2335" s="1"/>
      <c r="U2335" s="1"/>
      <c r="V2335" s="1"/>
      <c r="W2335" s="1"/>
      <c r="X2335" s="1"/>
      <c r="Y2335" s="1"/>
      <c r="Z2335" s="1"/>
      <c r="AA2335" s="1"/>
      <c r="AB2335" s="1"/>
      <c r="AC2335" s="1"/>
      <c r="AD2335" s="1"/>
      <c r="AE2335" s="1"/>
      <c r="AF2335" s="1"/>
      <c r="AG2335" s="1"/>
      <c r="AH2335" s="1"/>
    </row>
    <row r="2336" ht="12.75" hidden="1" customHeight="1" outlineLevel="1">
      <c r="A2336" s="17">
        <v>41393.0</v>
      </c>
      <c r="B2336" s="1"/>
      <c r="C2336" s="1" t="s">
        <v>431</v>
      </c>
      <c r="D2336" s="74"/>
      <c r="E2336" s="67"/>
      <c r="F2336" s="75"/>
      <c r="G2336" s="67"/>
      <c r="H2336" s="68"/>
      <c r="I2336" s="76"/>
      <c r="J2336" s="67"/>
      <c r="K2336" s="7" t="s">
        <v>817</v>
      </c>
      <c r="L2336" s="77"/>
      <c r="M2336" s="79"/>
      <c r="N2336" s="1"/>
      <c r="O2336" s="1"/>
      <c r="P2336" s="1"/>
      <c r="Q2336" s="1"/>
      <c r="R2336" s="1"/>
      <c r="S2336" s="1"/>
      <c r="T2336" s="1"/>
      <c r="U2336" s="1"/>
      <c r="V2336" s="1"/>
      <c r="W2336" s="1"/>
      <c r="X2336" s="1"/>
      <c r="Y2336" s="1"/>
      <c r="Z2336" s="1"/>
      <c r="AA2336" s="1"/>
      <c r="AB2336" s="1"/>
      <c r="AC2336" s="1"/>
      <c r="AD2336" s="1"/>
      <c r="AE2336" s="1"/>
      <c r="AF2336" s="1"/>
      <c r="AG2336" s="1"/>
      <c r="AH2336" s="1"/>
    </row>
    <row r="2337" ht="12.75" hidden="1" customHeight="1" outlineLevel="1">
      <c r="A2337" s="17">
        <v>41393.0</v>
      </c>
      <c r="B2337" s="1"/>
      <c r="C2337" s="1" t="s">
        <v>433</v>
      </c>
      <c r="D2337" s="74"/>
      <c r="E2337" s="67"/>
      <c r="F2337" s="75"/>
      <c r="G2337" s="67"/>
      <c r="H2337" s="68"/>
      <c r="I2337" s="76"/>
      <c r="J2337" s="67"/>
      <c r="K2337" s="7" t="s">
        <v>434</v>
      </c>
      <c r="L2337" s="77"/>
      <c r="M2337" s="79"/>
      <c r="N2337" s="1"/>
      <c r="O2337" s="1"/>
      <c r="P2337" s="1"/>
      <c r="Q2337" s="1"/>
      <c r="R2337" s="1"/>
      <c r="S2337" s="1"/>
      <c r="T2337" s="1"/>
      <c r="U2337" s="1"/>
      <c r="V2337" s="1"/>
      <c r="W2337" s="1"/>
      <c r="X2337" s="1"/>
      <c r="Y2337" s="1"/>
      <c r="Z2337" s="1"/>
      <c r="AA2337" s="1"/>
      <c r="AB2337" s="1"/>
      <c r="AC2337" s="1"/>
      <c r="AD2337" s="1"/>
      <c r="AE2337" s="1"/>
      <c r="AF2337" s="1"/>
      <c r="AG2337" s="1"/>
      <c r="AH2337" s="1"/>
    </row>
    <row r="2338" ht="12.75" hidden="1" customHeight="1" outlineLevel="1">
      <c r="A2338" s="17">
        <v>41393.0</v>
      </c>
      <c r="B2338" s="1"/>
      <c r="C2338" s="1" t="s">
        <v>435</v>
      </c>
      <c r="D2338" s="74"/>
      <c r="E2338" s="67"/>
      <c r="F2338" s="75"/>
      <c r="G2338" s="67"/>
      <c r="H2338" s="68"/>
      <c r="I2338" s="76"/>
      <c r="J2338" s="67"/>
      <c r="K2338" s="7" t="s">
        <v>818</v>
      </c>
      <c r="L2338" s="77"/>
      <c r="M2338" s="79"/>
      <c r="N2338" s="1"/>
      <c r="O2338" s="1"/>
      <c r="P2338" s="1"/>
      <c r="Q2338" s="1"/>
      <c r="R2338" s="1"/>
      <c r="S2338" s="1"/>
      <c r="T2338" s="1"/>
      <c r="U2338" s="1"/>
      <c r="V2338" s="1"/>
      <c r="W2338" s="1"/>
      <c r="X2338" s="1"/>
      <c r="Y2338" s="1"/>
      <c r="Z2338" s="1"/>
      <c r="AA2338" s="1"/>
      <c r="AB2338" s="1"/>
      <c r="AC2338" s="1"/>
      <c r="AD2338" s="1"/>
      <c r="AE2338" s="1"/>
      <c r="AF2338" s="1"/>
      <c r="AG2338" s="1"/>
      <c r="AH2338" s="1"/>
    </row>
    <row r="2339" ht="12.75" hidden="1" customHeight="1" outlineLevel="1">
      <c r="A2339" s="17">
        <v>41394.0</v>
      </c>
      <c r="B2339" s="1" t="s">
        <v>343</v>
      </c>
      <c r="C2339" s="1" t="s">
        <v>346</v>
      </c>
      <c r="D2339" s="74">
        <v>40.0</v>
      </c>
      <c r="E2339" s="67">
        <v>438.81</v>
      </c>
      <c r="F2339" s="75">
        <v>0.46776620370370375</v>
      </c>
      <c r="G2339" s="67" t="s">
        <v>453</v>
      </c>
      <c r="H2339" s="68">
        <v>1.0</v>
      </c>
      <c r="I2339" s="76"/>
      <c r="J2339" s="67">
        <f t="shared" ref="J2339:J2342" si="164">IF(B2339="SLD",D2339*E2339,-D2339*E2339)-H2339</f>
        <v>-17553.4</v>
      </c>
      <c r="K2339" s="7" t="s">
        <v>1047</v>
      </c>
      <c r="L2339" s="70"/>
      <c r="M2339" s="79"/>
      <c r="N2339" s="1"/>
      <c r="O2339" s="1"/>
      <c r="P2339" s="1"/>
      <c r="Q2339" s="1"/>
      <c r="R2339" s="1"/>
      <c r="S2339" s="1"/>
      <c r="T2339" s="1"/>
      <c r="U2339" s="1"/>
      <c r="V2339" s="1"/>
      <c r="W2339" s="1"/>
      <c r="X2339" s="1"/>
      <c r="Y2339" s="1"/>
      <c r="Z2339" s="1"/>
      <c r="AA2339" s="1"/>
      <c r="AB2339" s="1"/>
      <c r="AC2339" s="1"/>
      <c r="AD2339" s="1"/>
      <c r="AE2339" s="1"/>
      <c r="AF2339" s="1"/>
      <c r="AG2339" s="1"/>
      <c r="AH2339" s="1"/>
    </row>
    <row r="2340" ht="12.75" hidden="1" customHeight="1" outlineLevel="1">
      <c r="A2340" s="17">
        <v>41394.0</v>
      </c>
      <c r="B2340" s="1" t="s">
        <v>343</v>
      </c>
      <c r="C2340" s="1" t="s">
        <v>784</v>
      </c>
      <c r="D2340" s="74">
        <v>900.0</v>
      </c>
      <c r="E2340" s="67">
        <v>17.05</v>
      </c>
      <c r="F2340" s="75">
        <v>0.6526388888888889</v>
      </c>
      <c r="G2340" s="67" t="s">
        <v>453</v>
      </c>
      <c r="H2340" s="68">
        <v>3.6</v>
      </c>
      <c r="I2340" s="76"/>
      <c r="J2340" s="67">
        <f t="shared" si="164"/>
        <v>-15348.6</v>
      </c>
      <c r="K2340" s="7"/>
      <c r="L2340" s="70"/>
      <c r="M2340" s="79"/>
      <c r="N2340" s="1"/>
      <c r="O2340" s="1"/>
      <c r="P2340" s="1"/>
      <c r="Q2340" s="1"/>
      <c r="R2340" s="1"/>
      <c r="S2340" s="1"/>
      <c r="T2340" s="1"/>
      <c r="U2340" s="1"/>
      <c r="V2340" s="1"/>
      <c r="W2340" s="1"/>
      <c r="X2340" s="1"/>
      <c r="Y2340" s="1"/>
      <c r="Z2340" s="1"/>
      <c r="AA2340" s="1"/>
      <c r="AB2340" s="1"/>
      <c r="AC2340" s="1"/>
      <c r="AD2340" s="1"/>
      <c r="AE2340" s="1"/>
      <c r="AF2340" s="1"/>
      <c r="AG2340" s="1"/>
      <c r="AH2340" s="1"/>
    </row>
    <row r="2341" ht="12.75" hidden="1" customHeight="1" outlineLevel="1">
      <c r="A2341" s="17">
        <v>41394.0</v>
      </c>
      <c r="B2341" s="1" t="s">
        <v>343</v>
      </c>
      <c r="C2341" s="1" t="s">
        <v>1044</v>
      </c>
      <c r="D2341" s="74">
        <v>500.0</v>
      </c>
      <c r="E2341" s="67">
        <v>29.98</v>
      </c>
      <c r="F2341" s="75">
        <v>0.6526620370370371</v>
      </c>
      <c r="G2341" s="67" t="s">
        <v>453</v>
      </c>
      <c r="H2341" s="68">
        <v>2.5</v>
      </c>
      <c r="I2341" s="76"/>
      <c r="J2341" s="67">
        <f t="shared" si="164"/>
        <v>-14992.5</v>
      </c>
      <c r="K2341" s="7"/>
      <c r="L2341" s="70"/>
      <c r="M2341" s="79"/>
      <c r="N2341" s="1"/>
      <c r="O2341" s="1"/>
      <c r="P2341" s="1"/>
      <c r="Q2341" s="1"/>
      <c r="R2341" s="1"/>
      <c r="S2341" s="1"/>
      <c r="T2341" s="1"/>
      <c r="U2341" s="1"/>
      <c r="V2341" s="1"/>
      <c r="W2341" s="1"/>
      <c r="X2341" s="1"/>
      <c r="Y2341" s="1"/>
      <c r="Z2341" s="1"/>
      <c r="AA2341" s="1"/>
      <c r="AB2341" s="1"/>
      <c r="AC2341" s="1"/>
      <c r="AD2341" s="1"/>
      <c r="AE2341" s="1"/>
      <c r="AF2341" s="1"/>
      <c r="AG2341" s="1"/>
      <c r="AH2341" s="1"/>
    </row>
    <row r="2342" ht="12.75" hidden="1" customHeight="1" outlineLevel="1">
      <c r="A2342" s="17">
        <v>41394.0</v>
      </c>
      <c r="B2342" s="1" t="s">
        <v>347</v>
      </c>
      <c r="C2342" s="1" t="s">
        <v>857</v>
      </c>
      <c r="D2342" s="74">
        <v>300.0</v>
      </c>
      <c r="E2342" s="67">
        <v>11.33</v>
      </c>
      <c r="F2342" s="75">
        <v>0.6569675925925925</v>
      </c>
      <c r="G2342" s="67" t="s">
        <v>453</v>
      </c>
      <c r="H2342" s="68">
        <v>1.2</v>
      </c>
      <c r="I2342" s="76"/>
      <c r="J2342" s="67">
        <f t="shared" si="164"/>
        <v>3397.8</v>
      </c>
      <c r="K2342" s="7"/>
      <c r="L2342" s="70"/>
      <c r="M2342" s="79"/>
      <c r="N2342" s="1"/>
      <c r="O2342" s="1"/>
      <c r="P2342" s="1"/>
      <c r="Q2342" s="1"/>
      <c r="R2342" s="1"/>
      <c r="S2342" s="1"/>
      <c r="T2342" s="1"/>
      <c r="U2342" s="1"/>
      <c r="V2342" s="1"/>
      <c r="W2342" s="1"/>
      <c r="X2342" s="1"/>
      <c r="Y2342" s="1"/>
      <c r="Z2342" s="1"/>
      <c r="AA2342" s="1"/>
      <c r="AB2342" s="1"/>
      <c r="AC2342" s="1"/>
      <c r="AD2342" s="1"/>
      <c r="AE2342" s="1"/>
      <c r="AF2342" s="1"/>
      <c r="AG2342" s="1"/>
      <c r="AH2342" s="1"/>
    </row>
    <row r="2343" ht="12.75" hidden="1" customHeight="1" outlineLevel="1">
      <c r="A2343" s="17">
        <v>41394.0</v>
      </c>
      <c r="B2343" s="1"/>
      <c r="C2343" s="1" t="s">
        <v>339</v>
      </c>
      <c r="D2343" s="74"/>
      <c r="E2343" s="67"/>
      <c r="F2343" s="75"/>
      <c r="G2343" s="67"/>
      <c r="H2343" s="68"/>
      <c r="I2343" s="76"/>
      <c r="J2343" s="67"/>
      <c r="K2343" s="7" t="s">
        <v>1048</v>
      </c>
      <c r="L2343" s="77"/>
      <c r="M2343" s="79"/>
      <c r="N2343" s="1"/>
      <c r="O2343" s="1"/>
      <c r="P2343" s="1"/>
      <c r="Q2343" s="1"/>
      <c r="R2343" s="1"/>
      <c r="S2343" s="1"/>
      <c r="T2343" s="1"/>
      <c r="U2343" s="1"/>
      <c r="V2343" s="1"/>
      <c r="W2343" s="1"/>
      <c r="X2343" s="1"/>
      <c r="Y2343" s="1"/>
      <c r="Z2343" s="1"/>
      <c r="AA2343" s="1"/>
      <c r="AB2343" s="1"/>
      <c r="AC2343" s="1"/>
      <c r="AD2343" s="1"/>
      <c r="AE2343" s="1"/>
      <c r="AF2343" s="1"/>
      <c r="AG2343" s="1"/>
      <c r="AH2343" s="1"/>
    </row>
    <row r="2344" ht="12.75" hidden="1" customHeight="1" outlineLevel="1">
      <c r="A2344" s="17">
        <v>41394.0</v>
      </c>
      <c r="B2344" s="1"/>
      <c r="C2344" s="1" t="s">
        <v>429</v>
      </c>
      <c r="D2344" s="74"/>
      <c r="E2344" s="67"/>
      <c r="F2344" s="75"/>
      <c r="G2344" s="67"/>
      <c r="H2344" s="68"/>
      <c r="I2344" s="76"/>
      <c r="J2344" s="67"/>
      <c r="K2344" s="7" t="s">
        <v>1042</v>
      </c>
      <c r="L2344" s="77"/>
      <c r="M2344" s="79"/>
      <c r="N2344" s="1"/>
      <c r="O2344" s="1"/>
      <c r="P2344" s="1"/>
      <c r="Q2344" s="1"/>
      <c r="R2344" s="1"/>
      <c r="S2344" s="1"/>
      <c r="T2344" s="1"/>
      <c r="U2344" s="1"/>
      <c r="V2344" s="1"/>
      <c r="W2344" s="1"/>
      <c r="X2344" s="1"/>
      <c r="Y2344" s="1"/>
      <c r="Z2344" s="1"/>
      <c r="AA2344" s="1"/>
      <c r="AB2344" s="1"/>
      <c r="AC2344" s="1"/>
      <c r="AD2344" s="1"/>
      <c r="AE2344" s="1"/>
      <c r="AF2344" s="1"/>
      <c r="AG2344" s="1"/>
      <c r="AH2344" s="1"/>
    </row>
    <row r="2345" ht="12.75" hidden="1" customHeight="1" outlineLevel="1">
      <c r="A2345" s="17">
        <v>41394.0</v>
      </c>
      <c r="B2345" s="1"/>
      <c r="C2345" s="1" t="s">
        <v>431</v>
      </c>
      <c r="D2345" s="74"/>
      <c r="E2345" s="67"/>
      <c r="F2345" s="75"/>
      <c r="G2345" s="67"/>
      <c r="H2345" s="68"/>
      <c r="I2345" s="76"/>
      <c r="J2345" s="67"/>
      <c r="K2345" s="7" t="s">
        <v>817</v>
      </c>
      <c r="L2345" s="77"/>
      <c r="M2345" s="79"/>
      <c r="N2345" s="1"/>
      <c r="O2345" s="1"/>
      <c r="P2345" s="1"/>
      <c r="Q2345" s="1"/>
      <c r="R2345" s="1"/>
      <c r="S2345" s="1"/>
      <c r="T2345" s="1"/>
      <c r="U2345" s="1"/>
      <c r="V2345" s="1"/>
      <c r="W2345" s="1"/>
      <c r="X2345" s="1"/>
      <c r="Y2345" s="1"/>
      <c r="Z2345" s="1"/>
      <c r="AA2345" s="1"/>
      <c r="AB2345" s="1"/>
      <c r="AC2345" s="1"/>
      <c r="AD2345" s="1"/>
      <c r="AE2345" s="1"/>
      <c r="AF2345" s="1"/>
      <c r="AG2345" s="1"/>
      <c r="AH2345" s="1"/>
    </row>
    <row r="2346" ht="12.75" hidden="1" customHeight="1" outlineLevel="1">
      <c r="A2346" s="17">
        <v>41394.0</v>
      </c>
      <c r="B2346" s="1"/>
      <c r="C2346" s="1" t="s">
        <v>433</v>
      </c>
      <c r="D2346" s="74"/>
      <c r="E2346" s="67"/>
      <c r="F2346" s="75"/>
      <c r="G2346" s="67"/>
      <c r="H2346" s="68"/>
      <c r="I2346" s="76"/>
      <c r="J2346" s="67"/>
      <c r="K2346" s="7" t="s">
        <v>434</v>
      </c>
      <c r="L2346" s="77"/>
      <c r="M2346" s="79"/>
      <c r="N2346" s="1"/>
      <c r="O2346" s="1"/>
      <c r="P2346" s="1"/>
      <c r="Q2346" s="1"/>
      <c r="R2346" s="1"/>
      <c r="S2346" s="1"/>
      <c r="T2346" s="1"/>
      <c r="U2346" s="1"/>
      <c r="V2346" s="1"/>
      <c r="W2346" s="1"/>
      <c r="X2346" s="1"/>
      <c r="Y2346" s="1"/>
      <c r="Z2346" s="1"/>
      <c r="AA2346" s="1"/>
      <c r="AB2346" s="1"/>
      <c r="AC2346" s="1"/>
      <c r="AD2346" s="1"/>
      <c r="AE2346" s="1"/>
      <c r="AF2346" s="1"/>
      <c r="AG2346" s="1"/>
      <c r="AH2346" s="1"/>
    </row>
    <row r="2347" ht="12.75" hidden="1" customHeight="1" outlineLevel="1">
      <c r="A2347" s="17">
        <v>41394.0</v>
      </c>
      <c r="B2347" s="1"/>
      <c r="C2347" s="1" t="s">
        <v>435</v>
      </c>
      <c r="D2347" s="74"/>
      <c r="E2347" s="67"/>
      <c r="F2347" s="75"/>
      <c r="G2347" s="67"/>
      <c r="H2347" s="68"/>
      <c r="I2347" s="76"/>
      <c r="J2347" s="67"/>
      <c r="K2347" s="7" t="s">
        <v>818</v>
      </c>
      <c r="L2347" s="77"/>
      <c r="M2347" s="79"/>
      <c r="N2347" s="1"/>
      <c r="O2347" s="1"/>
      <c r="P2347" s="1"/>
      <c r="Q2347" s="1"/>
      <c r="R2347" s="1"/>
      <c r="S2347" s="1"/>
      <c r="T2347" s="1"/>
      <c r="U2347" s="1"/>
      <c r="V2347" s="1"/>
      <c r="W2347" s="1"/>
      <c r="X2347" s="1"/>
      <c r="Y2347" s="1"/>
      <c r="Z2347" s="1"/>
      <c r="AA2347" s="1"/>
      <c r="AB2347" s="1"/>
      <c r="AC2347" s="1"/>
      <c r="AD2347" s="1"/>
      <c r="AE2347" s="1"/>
      <c r="AF2347" s="1"/>
      <c r="AG2347" s="1"/>
      <c r="AH2347" s="1"/>
    </row>
    <row r="2348" ht="12.75" hidden="1" customHeight="1" outlineLevel="1">
      <c r="A2348" s="17">
        <v>41395.0</v>
      </c>
      <c r="B2348" s="1" t="s">
        <v>347</v>
      </c>
      <c r="C2348" s="1" t="s">
        <v>784</v>
      </c>
      <c r="D2348" s="74">
        <v>900.0</v>
      </c>
      <c r="E2348" s="67">
        <v>16.66</v>
      </c>
      <c r="F2348" s="75">
        <v>0.50625</v>
      </c>
      <c r="G2348" s="67" t="s">
        <v>453</v>
      </c>
      <c r="H2348" s="68">
        <v>3.6</v>
      </c>
      <c r="I2348" s="76"/>
      <c r="J2348" s="67">
        <f t="shared" ref="J2348:J2349" si="165">IF(B2348="SLD",D2348*E2348,-D2348*E2348)-H2348</f>
        <v>14990.4</v>
      </c>
      <c r="K2348" s="7"/>
      <c r="L2348" s="70"/>
      <c r="M2348" s="79"/>
      <c r="N2348" s="1"/>
      <c r="O2348" s="1"/>
      <c r="P2348" s="1"/>
      <c r="Q2348" s="1"/>
      <c r="R2348" s="1"/>
      <c r="S2348" s="1"/>
      <c r="T2348" s="1"/>
      <c r="U2348" s="1"/>
      <c r="V2348" s="1"/>
      <c r="W2348" s="1"/>
      <c r="X2348" s="1"/>
      <c r="Y2348" s="1"/>
      <c r="Z2348" s="1"/>
      <c r="AA2348" s="1"/>
      <c r="AB2348" s="1"/>
      <c r="AC2348" s="1"/>
      <c r="AD2348" s="1"/>
      <c r="AE2348" s="1"/>
      <c r="AF2348" s="1"/>
      <c r="AG2348" s="1"/>
      <c r="AH2348" s="1"/>
    </row>
    <row r="2349" ht="12.75" hidden="1" customHeight="1" outlineLevel="1">
      <c r="A2349" s="17">
        <v>41395.0</v>
      </c>
      <c r="B2349" s="1" t="s">
        <v>347</v>
      </c>
      <c r="C2349" s="1" t="s">
        <v>1044</v>
      </c>
      <c r="D2349" s="74">
        <v>500.0</v>
      </c>
      <c r="E2349" s="67">
        <v>29.23</v>
      </c>
      <c r="F2349" s="75">
        <v>0.5072453703703704</v>
      </c>
      <c r="G2349" s="67" t="s">
        <v>453</v>
      </c>
      <c r="H2349" s="68">
        <v>2.5</v>
      </c>
      <c r="I2349" s="76"/>
      <c r="J2349" s="67">
        <f t="shared" si="165"/>
        <v>14612.5</v>
      </c>
      <c r="K2349" s="7"/>
      <c r="L2349" s="70"/>
      <c r="M2349" s="79"/>
      <c r="N2349" s="1"/>
      <c r="O2349" s="1"/>
      <c r="P2349" s="1"/>
      <c r="Q2349" s="1"/>
      <c r="R2349" s="1"/>
      <c r="S2349" s="1"/>
      <c r="T2349" s="1"/>
      <c r="U2349" s="1"/>
      <c r="V2349" s="1"/>
      <c r="W2349" s="1"/>
      <c r="X2349" s="1"/>
      <c r="Y2349" s="1"/>
      <c r="Z2349" s="1"/>
      <c r="AA2349" s="1"/>
      <c r="AB2349" s="1"/>
      <c r="AC2349" s="1"/>
      <c r="AD2349" s="1"/>
      <c r="AE2349" s="1"/>
      <c r="AF2349" s="1"/>
      <c r="AG2349" s="1"/>
      <c r="AH2349" s="1"/>
    </row>
    <row r="2350" ht="12.75" hidden="1" customHeight="1" outlineLevel="1">
      <c r="A2350" s="17">
        <v>41396.0</v>
      </c>
      <c r="B2350" s="1"/>
      <c r="C2350" s="1" t="s">
        <v>339</v>
      </c>
      <c r="D2350" s="74"/>
      <c r="E2350" s="67"/>
      <c r="F2350" s="75"/>
      <c r="G2350" s="67"/>
      <c r="H2350" s="68"/>
      <c r="I2350" s="76"/>
      <c r="J2350" s="67"/>
      <c r="K2350" s="7" t="s">
        <v>1050</v>
      </c>
      <c r="L2350" s="77"/>
      <c r="M2350" s="79"/>
      <c r="N2350" s="1"/>
      <c r="O2350" s="1"/>
      <c r="P2350" s="1"/>
      <c r="Q2350" s="1"/>
      <c r="R2350" s="1"/>
      <c r="S2350" s="1"/>
      <c r="T2350" s="1"/>
      <c r="U2350" s="1"/>
      <c r="V2350" s="1"/>
      <c r="W2350" s="1"/>
      <c r="X2350" s="1"/>
      <c r="Y2350" s="1"/>
      <c r="Z2350" s="1"/>
      <c r="AA2350" s="1"/>
      <c r="AB2350" s="1"/>
      <c r="AC2350" s="1"/>
      <c r="AD2350" s="1"/>
      <c r="AE2350" s="1"/>
      <c r="AF2350" s="1"/>
      <c r="AG2350" s="1"/>
      <c r="AH2350" s="1"/>
    </row>
    <row r="2351" ht="12.75" hidden="1" customHeight="1" outlineLevel="1">
      <c r="A2351" s="17">
        <v>41396.0</v>
      </c>
      <c r="B2351" s="1"/>
      <c r="C2351" s="1" t="s">
        <v>429</v>
      </c>
      <c r="D2351" s="74"/>
      <c r="E2351" s="67"/>
      <c r="F2351" s="75"/>
      <c r="G2351" s="67"/>
      <c r="H2351" s="68"/>
      <c r="I2351" s="76"/>
      <c r="J2351" s="67"/>
      <c r="K2351" s="7" t="s">
        <v>1042</v>
      </c>
      <c r="L2351" s="77"/>
      <c r="M2351" s="79"/>
      <c r="N2351" s="1"/>
      <c r="O2351" s="1"/>
      <c r="P2351" s="1"/>
      <c r="Q2351" s="1"/>
      <c r="R2351" s="1"/>
      <c r="S2351" s="1"/>
      <c r="T2351" s="1"/>
      <c r="U2351" s="1"/>
      <c r="V2351" s="1"/>
      <c r="W2351" s="1"/>
      <c r="X2351" s="1"/>
      <c r="Y2351" s="1"/>
      <c r="Z2351" s="1"/>
      <c r="AA2351" s="1"/>
      <c r="AB2351" s="1"/>
      <c r="AC2351" s="1"/>
      <c r="AD2351" s="1"/>
      <c r="AE2351" s="1"/>
      <c r="AF2351" s="1"/>
      <c r="AG2351" s="1"/>
      <c r="AH2351" s="1"/>
    </row>
    <row r="2352" ht="12.75" hidden="1" customHeight="1" outlineLevel="1">
      <c r="A2352" s="17">
        <v>41396.0</v>
      </c>
      <c r="B2352" s="1"/>
      <c r="C2352" s="1" t="s">
        <v>431</v>
      </c>
      <c r="D2352" s="74"/>
      <c r="E2352" s="67"/>
      <c r="F2352" s="75"/>
      <c r="G2352" s="67"/>
      <c r="H2352" s="68"/>
      <c r="I2352" s="76"/>
      <c r="J2352" s="67"/>
      <c r="K2352" s="7" t="s">
        <v>817</v>
      </c>
      <c r="L2352" s="77"/>
      <c r="M2352" s="79"/>
      <c r="N2352" s="1"/>
      <c r="O2352" s="1"/>
      <c r="P2352" s="1"/>
      <c r="Q2352" s="1"/>
      <c r="R2352" s="1"/>
      <c r="S2352" s="1"/>
      <c r="T2352" s="1"/>
      <c r="U2352" s="1"/>
      <c r="V2352" s="1"/>
      <c r="W2352" s="1"/>
      <c r="X2352" s="1"/>
      <c r="Y2352" s="1"/>
      <c r="Z2352" s="1"/>
      <c r="AA2352" s="1"/>
      <c r="AB2352" s="1"/>
      <c r="AC2352" s="1"/>
      <c r="AD2352" s="1"/>
      <c r="AE2352" s="1"/>
      <c r="AF2352" s="1"/>
      <c r="AG2352" s="1"/>
      <c r="AH2352" s="1"/>
    </row>
    <row r="2353" ht="12.75" hidden="1" customHeight="1" outlineLevel="1">
      <c r="A2353" s="17">
        <v>41396.0</v>
      </c>
      <c r="B2353" s="1"/>
      <c r="C2353" s="1" t="s">
        <v>433</v>
      </c>
      <c r="D2353" s="74"/>
      <c r="E2353" s="67"/>
      <c r="F2353" s="75"/>
      <c r="G2353" s="67"/>
      <c r="H2353" s="68"/>
      <c r="I2353" s="76"/>
      <c r="J2353" s="67"/>
      <c r="K2353" s="7" t="s">
        <v>434</v>
      </c>
      <c r="L2353" s="77"/>
      <c r="M2353" s="79"/>
      <c r="N2353" s="1"/>
      <c r="O2353" s="1"/>
      <c r="P2353" s="1"/>
      <c r="Q2353" s="1"/>
      <c r="R2353" s="1"/>
      <c r="S2353" s="1"/>
      <c r="T2353" s="1"/>
      <c r="U2353" s="1"/>
      <c r="V2353" s="1"/>
      <c r="W2353" s="1"/>
      <c r="X2353" s="1"/>
      <c r="Y2353" s="1"/>
      <c r="Z2353" s="1"/>
      <c r="AA2353" s="1"/>
      <c r="AB2353" s="1"/>
      <c r="AC2353" s="1"/>
      <c r="AD2353" s="1"/>
      <c r="AE2353" s="1"/>
      <c r="AF2353" s="1"/>
      <c r="AG2353" s="1"/>
      <c r="AH2353" s="1"/>
    </row>
    <row r="2354" ht="12.75" hidden="1" customHeight="1" outlineLevel="1">
      <c r="A2354" s="17">
        <v>41396.0</v>
      </c>
      <c r="B2354" s="1"/>
      <c r="C2354" s="1" t="s">
        <v>435</v>
      </c>
      <c r="D2354" s="74"/>
      <c r="E2354" s="67"/>
      <c r="F2354" s="75"/>
      <c r="G2354" s="67"/>
      <c r="H2354" s="68"/>
      <c r="I2354" s="76"/>
      <c r="J2354" s="67"/>
      <c r="K2354" s="7" t="s">
        <v>818</v>
      </c>
      <c r="L2354" s="77"/>
      <c r="M2354" s="79"/>
      <c r="N2354" s="1"/>
      <c r="O2354" s="1"/>
      <c r="P2354" s="1"/>
      <c r="Q2354" s="1"/>
      <c r="R2354" s="1"/>
      <c r="S2354" s="1"/>
      <c r="T2354" s="1"/>
      <c r="U2354" s="1"/>
      <c r="V2354" s="1"/>
      <c r="W2354" s="1"/>
      <c r="X2354" s="1"/>
      <c r="Y2354" s="1"/>
      <c r="Z2354" s="1"/>
      <c r="AA2354" s="1"/>
      <c r="AB2354" s="1"/>
      <c r="AC2354" s="1"/>
      <c r="AD2354" s="1"/>
      <c r="AE2354" s="1"/>
      <c r="AF2354" s="1"/>
      <c r="AG2354" s="1"/>
      <c r="AH2354" s="1"/>
    </row>
    <row r="2355" ht="12.75" hidden="1" customHeight="1" outlineLevel="1">
      <c r="A2355" s="17">
        <v>41400.0</v>
      </c>
      <c r="B2355" s="1"/>
      <c r="C2355" s="1" t="s">
        <v>339</v>
      </c>
      <c r="D2355" s="74"/>
      <c r="E2355" s="67"/>
      <c r="F2355" s="75"/>
      <c r="G2355" s="67"/>
      <c r="H2355" s="68"/>
      <c r="I2355" s="76"/>
      <c r="J2355" s="67"/>
      <c r="K2355" s="7" t="s">
        <v>1051</v>
      </c>
      <c r="L2355" s="77"/>
      <c r="M2355" s="79"/>
      <c r="N2355" s="1"/>
      <c r="O2355" s="1"/>
      <c r="P2355" s="1"/>
      <c r="Q2355" s="1"/>
      <c r="R2355" s="1"/>
      <c r="S2355" s="1"/>
      <c r="T2355" s="1"/>
      <c r="U2355" s="1"/>
      <c r="V2355" s="1"/>
      <c r="W2355" s="1"/>
      <c r="X2355" s="1"/>
      <c r="Y2355" s="1"/>
      <c r="Z2355" s="1"/>
      <c r="AA2355" s="1"/>
      <c r="AB2355" s="1"/>
      <c r="AC2355" s="1"/>
      <c r="AD2355" s="1"/>
      <c r="AE2355" s="1"/>
      <c r="AF2355" s="1"/>
      <c r="AG2355" s="1"/>
      <c r="AH2355" s="1"/>
    </row>
    <row r="2356" ht="12.75" hidden="1" customHeight="1" outlineLevel="1">
      <c r="A2356" s="17">
        <v>41400.0</v>
      </c>
      <c r="B2356" s="1"/>
      <c r="C2356" s="1" t="s">
        <v>429</v>
      </c>
      <c r="D2356" s="74"/>
      <c r="E2356" s="67"/>
      <c r="F2356" s="75"/>
      <c r="G2356" s="67"/>
      <c r="H2356" s="68"/>
      <c r="I2356" s="76"/>
      <c r="J2356" s="67"/>
      <c r="K2356" s="7" t="s">
        <v>1042</v>
      </c>
      <c r="L2356" s="77"/>
      <c r="M2356" s="79"/>
      <c r="N2356" s="1"/>
      <c r="O2356" s="1"/>
      <c r="P2356" s="1"/>
      <c r="Q2356" s="1"/>
      <c r="R2356" s="1"/>
      <c r="S2356" s="1"/>
      <c r="T2356" s="1"/>
      <c r="U2356" s="1"/>
      <c r="V2356" s="1"/>
      <c r="W2356" s="1"/>
      <c r="X2356" s="1"/>
      <c r="Y2356" s="1"/>
      <c r="Z2356" s="1"/>
      <c r="AA2356" s="1"/>
      <c r="AB2356" s="1"/>
      <c r="AC2356" s="1"/>
      <c r="AD2356" s="1"/>
      <c r="AE2356" s="1"/>
      <c r="AF2356" s="1"/>
      <c r="AG2356" s="1"/>
      <c r="AH2356" s="1"/>
    </row>
    <row r="2357" ht="12.75" hidden="1" customHeight="1" outlineLevel="1">
      <c r="A2357" s="17">
        <v>41400.0</v>
      </c>
      <c r="B2357" s="1"/>
      <c r="C2357" s="1" t="s">
        <v>431</v>
      </c>
      <c r="D2357" s="74"/>
      <c r="E2357" s="67"/>
      <c r="F2357" s="75"/>
      <c r="G2357" s="67"/>
      <c r="H2357" s="68"/>
      <c r="I2357" s="76"/>
      <c r="J2357" s="67"/>
      <c r="K2357" s="7" t="s">
        <v>817</v>
      </c>
      <c r="L2357" s="77"/>
      <c r="M2357" s="79"/>
      <c r="N2357" s="1"/>
      <c r="O2357" s="1"/>
      <c r="P2357" s="1"/>
      <c r="Q2357" s="1"/>
      <c r="R2357" s="1"/>
      <c r="S2357" s="1"/>
      <c r="T2357" s="1"/>
      <c r="U2357" s="1"/>
      <c r="V2357" s="1"/>
      <c r="W2357" s="1"/>
      <c r="X2357" s="1"/>
      <c r="Y2357" s="1"/>
      <c r="Z2357" s="1"/>
      <c r="AA2357" s="1"/>
      <c r="AB2357" s="1"/>
      <c r="AC2357" s="1"/>
      <c r="AD2357" s="1"/>
      <c r="AE2357" s="1"/>
      <c r="AF2357" s="1"/>
      <c r="AG2357" s="1"/>
      <c r="AH2357" s="1"/>
    </row>
    <row r="2358" ht="12.75" hidden="1" customHeight="1" outlineLevel="1">
      <c r="A2358" s="17">
        <v>41400.0</v>
      </c>
      <c r="B2358" s="1"/>
      <c r="C2358" s="1" t="s">
        <v>433</v>
      </c>
      <c r="D2358" s="74"/>
      <c r="E2358" s="67"/>
      <c r="F2358" s="75"/>
      <c r="G2358" s="67"/>
      <c r="H2358" s="68"/>
      <c r="I2358" s="76"/>
      <c r="J2358" s="67"/>
      <c r="K2358" s="7" t="s">
        <v>434</v>
      </c>
      <c r="L2358" s="77"/>
      <c r="M2358" s="79"/>
      <c r="N2358" s="1"/>
      <c r="O2358" s="1"/>
      <c r="P2358" s="1"/>
      <c r="Q2358" s="1"/>
      <c r="R2358" s="1"/>
      <c r="S2358" s="1"/>
      <c r="T2358" s="1"/>
      <c r="U2358" s="1"/>
      <c r="V2358" s="1"/>
      <c r="W2358" s="1"/>
      <c r="X2358" s="1"/>
      <c r="Y2358" s="1"/>
      <c r="Z2358" s="1"/>
      <c r="AA2358" s="1"/>
      <c r="AB2358" s="1"/>
      <c r="AC2358" s="1"/>
      <c r="AD2358" s="1"/>
      <c r="AE2358" s="1"/>
      <c r="AF2358" s="1"/>
      <c r="AG2358" s="1"/>
      <c r="AH2358" s="1"/>
    </row>
    <row r="2359" ht="12.75" hidden="1" customHeight="1" outlineLevel="1">
      <c r="A2359" s="17">
        <v>41400.0</v>
      </c>
      <c r="B2359" s="1"/>
      <c r="C2359" s="1" t="s">
        <v>435</v>
      </c>
      <c r="D2359" s="74"/>
      <c r="E2359" s="67"/>
      <c r="F2359" s="75"/>
      <c r="G2359" s="67"/>
      <c r="H2359" s="68"/>
      <c r="I2359" s="76"/>
      <c r="J2359" s="67"/>
      <c r="K2359" s="7" t="s">
        <v>818</v>
      </c>
      <c r="L2359" s="77"/>
      <c r="M2359" s="79"/>
      <c r="N2359" s="1"/>
      <c r="O2359" s="1"/>
      <c r="P2359" s="1"/>
      <c r="Q2359" s="1"/>
      <c r="R2359" s="1"/>
      <c r="S2359" s="1"/>
      <c r="T2359" s="1"/>
      <c r="U2359" s="1"/>
      <c r="V2359" s="1"/>
      <c r="W2359" s="1"/>
      <c r="X2359" s="1"/>
      <c r="Y2359" s="1"/>
      <c r="Z2359" s="1"/>
      <c r="AA2359" s="1"/>
      <c r="AB2359" s="1"/>
      <c r="AC2359" s="1"/>
      <c r="AD2359" s="1"/>
      <c r="AE2359" s="1"/>
      <c r="AF2359" s="1"/>
      <c r="AG2359" s="1"/>
      <c r="AH2359" s="1"/>
    </row>
    <row r="2360" ht="12.75" hidden="1" customHeight="1" outlineLevel="1">
      <c r="A2360" s="17">
        <v>41401.0</v>
      </c>
      <c r="B2360" s="1"/>
      <c r="C2360" s="1" t="s">
        <v>339</v>
      </c>
      <c r="D2360" s="74"/>
      <c r="E2360" s="67"/>
      <c r="F2360" s="75"/>
      <c r="G2360" s="67"/>
      <c r="H2360" s="68"/>
      <c r="I2360" s="76"/>
      <c r="J2360" s="67"/>
      <c r="K2360" s="7" t="s">
        <v>1052</v>
      </c>
      <c r="L2360" s="77"/>
      <c r="M2360" s="79"/>
      <c r="N2360" s="1"/>
      <c r="O2360" s="1"/>
      <c r="P2360" s="1"/>
      <c r="Q2360" s="1"/>
      <c r="R2360" s="1"/>
      <c r="S2360" s="1"/>
      <c r="T2360" s="1"/>
      <c r="U2360" s="1"/>
      <c r="V2360" s="1"/>
      <c r="W2360" s="1"/>
      <c r="X2360" s="1"/>
      <c r="Y2360" s="1"/>
      <c r="Z2360" s="1"/>
      <c r="AA2360" s="1"/>
      <c r="AB2360" s="1"/>
      <c r="AC2360" s="1"/>
      <c r="AD2360" s="1"/>
      <c r="AE2360" s="1"/>
      <c r="AF2360" s="1"/>
      <c r="AG2360" s="1"/>
      <c r="AH2360" s="1"/>
    </row>
    <row r="2361" ht="12.75" hidden="1" customHeight="1" outlineLevel="1">
      <c r="A2361" s="17">
        <v>41401.0</v>
      </c>
      <c r="B2361" s="1"/>
      <c r="C2361" s="1" t="s">
        <v>429</v>
      </c>
      <c r="D2361" s="74"/>
      <c r="E2361" s="67"/>
      <c r="F2361" s="75"/>
      <c r="G2361" s="67"/>
      <c r="H2361" s="68"/>
      <c r="I2361" s="76"/>
      <c r="J2361" s="67"/>
      <c r="K2361" s="7" t="s">
        <v>1042</v>
      </c>
      <c r="L2361" s="77"/>
      <c r="M2361" s="79"/>
      <c r="N2361" s="1"/>
      <c r="O2361" s="1"/>
      <c r="P2361" s="1"/>
      <c r="Q2361" s="1"/>
      <c r="R2361" s="1"/>
      <c r="S2361" s="1"/>
      <c r="T2361" s="1"/>
      <c r="U2361" s="1"/>
      <c r="V2361" s="1"/>
      <c r="W2361" s="1"/>
      <c r="X2361" s="1"/>
      <c r="Y2361" s="1"/>
      <c r="Z2361" s="1"/>
      <c r="AA2361" s="1"/>
      <c r="AB2361" s="1"/>
      <c r="AC2361" s="1"/>
      <c r="AD2361" s="1"/>
      <c r="AE2361" s="1"/>
      <c r="AF2361" s="1"/>
      <c r="AG2361" s="1"/>
      <c r="AH2361" s="1"/>
    </row>
    <row r="2362" ht="12.75" hidden="1" customHeight="1" outlineLevel="1">
      <c r="A2362" s="17">
        <v>41401.0</v>
      </c>
      <c r="B2362" s="1"/>
      <c r="C2362" s="1" t="s">
        <v>431</v>
      </c>
      <c r="D2362" s="74"/>
      <c r="E2362" s="67"/>
      <c r="F2362" s="75"/>
      <c r="G2362" s="67"/>
      <c r="H2362" s="68"/>
      <c r="I2362" s="76"/>
      <c r="J2362" s="67"/>
      <c r="K2362" s="7" t="s">
        <v>817</v>
      </c>
      <c r="L2362" s="77"/>
      <c r="M2362" s="79"/>
      <c r="N2362" s="1"/>
      <c r="O2362" s="1"/>
      <c r="P2362" s="1"/>
      <c r="Q2362" s="1"/>
      <c r="R2362" s="1"/>
      <c r="S2362" s="1"/>
      <c r="T2362" s="1"/>
      <c r="U2362" s="1"/>
      <c r="V2362" s="1"/>
      <c r="W2362" s="1"/>
      <c r="X2362" s="1"/>
      <c r="Y2362" s="1"/>
      <c r="Z2362" s="1"/>
      <c r="AA2362" s="1"/>
      <c r="AB2362" s="1"/>
      <c r="AC2362" s="1"/>
      <c r="AD2362" s="1"/>
      <c r="AE2362" s="1"/>
      <c r="AF2362" s="1"/>
      <c r="AG2362" s="1"/>
      <c r="AH2362" s="1"/>
    </row>
    <row r="2363" ht="12.75" hidden="1" customHeight="1" outlineLevel="1">
      <c r="A2363" s="17">
        <v>41401.0</v>
      </c>
      <c r="B2363" s="1"/>
      <c r="C2363" s="1" t="s">
        <v>433</v>
      </c>
      <c r="D2363" s="74"/>
      <c r="E2363" s="67"/>
      <c r="F2363" s="75"/>
      <c r="G2363" s="67"/>
      <c r="H2363" s="68"/>
      <c r="I2363" s="76"/>
      <c r="J2363" s="67"/>
      <c r="K2363" s="7" t="s">
        <v>434</v>
      </c>
      <c r="L2363" s="77"/>
      <c r="M2363" s="79"/>
      <c r="N2363" s="1"/>
      <c r="O2363" s="1"/>
      <c r="P2363" s="1"/>
      <c r="Q2363" s="1"/>
      <c r="R2363" s="1"/>
      <c r="S2363" s="1"/>
      <c r="T2363" s="1"/>
      <c r="U2363" s="1"/>
      <c r="V2363" s="1"/>
      <c r="W2363" s="1"/>
      <c r="X2363" s="1"/>
      <c r="Y2363" s="1"/>
      <c r="Z2363" s="1"/>
      <c r="AA2363" s="1"/>
      <c r="AB2363" s="1"/>
      <c r="AC2363" s="1"/>
      <c r="AD2363" s="1"/>
      <c r="AE2363" s="1"/>
      <c r="AF2363" s="1"/>
      <c r="AG2363" s="1"/>
      <c r="AH2363" s="1"/>
    </row>
    <row r="2364" ht="12.75" hidden="1" customHeight="1" outlineLevel="1">
      <c r="A2364" s="17">
        <v>41401.0</v>
      </c>
      <c r="B2364" s="1"/>
      <c r="C2364" s="1" t="s">
        <v>435</v>
      </c>
      <c r="D2364" s="74"/>
      <c r="E2364" s="67"/>
      <c r="F2364" s="75"/>
      <c r="G2364" s="67"/>
      <c r="H2364" s="68"/>
      <c r="I2364" s="76"/>
      <c r="J2364" s="67"/>
      <c r="K2364" s="7" t="s">
        <v>818</v>
      </c>
      <c r="L2364" s="77"/>
      <c r="M2364" s="79"/>
      <c r="N2364" s="1"/>
      <c r="O2364" s="1"/>
      <c r="P2364" s="1"/>
      <c r="Q2364" s="1"/>
      <c r="R2364" s="1"/>
      <c r="S2364" s="1"/>
      <c r="T2364" s="1"/>
      <c r="U2364" s="1"/>
      <c r="V2364" s="1"/>
      <c r="W2364" s="1"/>
      <c r="X2364" s="1"/>
      <c r="Y2364" s="1"/>
      <c r="Z2364" s="1"/>
      <c r="AA2364" s="1"/>
      <c r="AB2364" s="1"/>
      <c r="AC2364" s="1"/>
      <c r="AD2364" s="1"/>
      <c r="AE2364" s="1"/>
      <c r="AF2364" s="1"/>
      <c r="AG2364" s="1"/>
      <c r="AH2364" s="1"/>
    </row>
    <row r="2365" ht="12.75" hidden="1" customHeight="1" outlineLevel="1">
      <c r="A2365" s="17">
        <v>41402.0</v>
      </c>
      <c r="B2365" s="1" t="s">
        <v>343</v>
      </c>
      <c r="C2365" s="1" t="s">
        <v>855</v>
      </c>
      <c r="D2365" s="74">
        <v>50.0</v>
      </c>
      <c r="E2365" s="67">
        <v>122.2</v>
      </c>
      <c r="F2365" s="75">
        <v>0.40097222222222223</v>
      </c>
      <c r="G2365" s="67" t="s">
        <v>453</v>
      </c>
      <c r="H2365" s="68">
        <v>1.0</v>
      </c>
      <c r="I2365" s="76"/>
      <c r="J2365" s="67">
        <f t="shared" ref="J2365:J2368" si="166">IF(B2365="SLD",D2365*E2365,-D2365*E2365)-H2365</f>
        <v>-6111</v>
      </c>
      <c r="K2365" s="7"/>
      <c r="L2365" s="70"/>
      <c r="M2365" s="79"/>
      <c r="N2365" s="1"/>
      <c r="O2365" s="1"/>
      <c r="P2365" s="1"/>
      <c r="Q2365" s="1"/>
      <c r="R2365" s="1"/>
      <c r="S2365" s="1"/>
      <c r="T2365" s="1"/>
      <c r="U2365" s="1"/>
      <c r="V2365" s="1"/>
      <c r="W2365" s="1"/>
      <c r="X2365" s="1"/>
      <c r="Y2365" s="1"/>
      <c r="Z2365" s="1"/>
      <c r="AA2365" s="1"/>
      <c r="AB2365" s="1"/>
      <c r="AC2365" s="1"/>
      <c r="AD2365" s="1"/>
      <c r="AE2365" s="1"/>
      <c r="AF2365" s="1"/>
      <c r="AG2365" s="1"/>
      <c r="AH2365" s="1"/>
    </row>
    <row r="2366" ht="12.75" hidden="1" customHeight="1" outlineLevel="1">
      <c r="A2366" s="17">
        <v>41402.0</v>
      </c>
      <c r="B2366" s="1" t="s">
        <v>343</v>
      </c>
      <c r="C2366" s="1" t="s">
        <v>861</v>
      </c>
      <c r="D2366" s="74">
        <v>1200.0</v>
      </c>
      <c r="E2366" s="67">
        <v>14.53</v>
      </c>
      <c r="F2366" s="75">
        <v>0.40144675925925927</v>
      </c>
      <c r="G2366" s="67" t="s">
        <v>453</v>
      </c>
      <c r="H2366" s="68">
        <v>5.4</v>
      </c>
      <c r="I2366" s="76"/>
      <c r="J2366" s="67">
        <f t="shared" si="166"/>
        <v>-17441.4</v>
      </c>
      <c r="K2366" s="7"/>
      <c r="L2366" s="70"/>
      <c r="M2366" s="79"/>
      <c r="N2366" s="1"/>
      <c r="O2366" s="1"/>
      <c r="P2366" s="1"/>
      <c r="Q2366" s="1"/>
      <c r="R2366" s="1"/>
      <c r="S2366" s="1"/>
      <c r="T2366" s="1"/>
      <c r="U2366" s="1"/>
      <c r="V2366" s="1"/>
      <c r="W2366" s="1"/>
      <c r="X2366" s="1"/>
      <c r="Y2366" s="1"/>
      <c r="Z2366" s="1"/>
      <c r="AA2366" s="1"/>
      <c r="AB2366" s="1"/>
      <c r="AC2366" s="1"/>
      <c r="AD2366" s="1"/>
      <c r="AE2366" s="1"/>
      <c r="AF2366" s="1"/>
      <c r="AG2366" s="1"/>
      <c r="AH2366" s="1"/>
    </row>
    <row r="2367" ht="12.75" hidden="1" customHeight="1" outlineLevel="1">
      <c r="A2367" s="17">
        <v>41402.0</v>
      </c>
      <c r="B2367" s="1" t="s">
        <v>343</v>
      </c>
      <c r="C2367" s="1" t="s">
        <v>734</v>
      </c>
      <c r="D2367" s="74">
        <v>400.0</v>
      </c>
      <c r="E2367" s="67">
        <v>23.2</v>
      </c>
      <c r="F2367" s="75">
        <v>0.40190972222222227</v>
      </c>
      <c r="G2367" s="67" t="s">
        <v>453</v>
      </c>
      <c r="H2367" s="68">
        <v>1.6</v>
      </c>
      <c r="I2367" s="76"/>
      <c r="J2367" s="67">
        <f t="shared" si="166"/>
        <v>-9281.6</v>
      </c>
      <c r="K2367" s="7"/>
      <c r="L2367" s="70"/>
      <c r="M2367" s="79"/>
      <c r="N2367" s="1"/>
      <c r="O2367" s="1"/>
      <c r="P2367" s="1"/>
      <c r="Q2367" s="1"/>
      <c r="R2367" s="1"/>
      <c r="S2367" s="1"/>
      <c r="T2367" s="1"/>
      <c r="U2367" s="1"/>
      <c r="V2367" s="1"/>
      <c r="W2367" s="1"/>
      <c r="X2367" s="1"/>
      <c r="Y2367" s="1"/>
      <c r="Z2367" s="1"/>
      <c r="AA2367" s="1"/>
      <c r="AB2367" s="1"/>
      <c r="AC2367" s="1"/>
      <c r="AD2367" s="1"/>
      <c r="AE2367" s="1"/>
      <c r="AF2367" s="1"/>
      <c r="AG2367" s="1"/>
      <c r="AH2367" s="1"/>
    </row>
    <row r="2368" ht="12.75" hidden="1" customHeight="1" outlineLevel="1">
      <c r="A2368" s="17">
        <v>41402.0</v>
      </c>
      <c r="B2368" s="1" t="s">
        <v>343</v>
      </c>
      <c r="C2368" s="1" t="s">
        <v>851</v>
      </c>
      <c r="D2368" s="74">
        <v>200.0</v>
      </c>
      <c r="E2368" s="67">
        <v>19.38</v>
      </c>
      <c r="F2368" s="75">
        <v>0.4320717592592593</v>
      </c>
      <c r="G2368" s="67" t="s">
        <v>453</v>
      </c>
      <c r="H2368" s="68">
        <v>1.0</v>
      </c>
      <c r="I2368" s="76"/>
      <c r="J2368" s="67">
        <f t="shared" si="166"/>
        <v>-3877</v>
      </c>
      <c r="K2368" s="7"/>
      <c r="L2368" s="70"/>
      <c r="M2368" s="79"/>
      <c r="N2368" s="1"/>
      <c r="O2368" s="1"/>
      <c r="P2368" s="1"/>
      <c r="Q2368" s="1"/>
      <c r="R2368" s="1"/>
      <c r="S2368" s="1"/>
      <c r="T2368" s="1"/>
      <c r="U2368" s="1"/>
      <c r="V2368" s="1"/>
      <c r="W2368" s="1"/>
      <c r="X2368" s="1"/>
      <c r="Y2368" s="1"/>
      <c r="Z2368" s="1"/>
      <c r="AA2368" s="1"/>
      <c r="AB2368" s="1"/>
      <c r="AC2368" s="1"/>
      <c r="AD2368" s="1"/>
      <c r="AE2368" s="1"/>
      <c r="AF2368" s="1"/>
      <c r="AG2368" s="1"/>
      <c r="AH2368" s="1"/>
    </row>
    <row r="2369" ht="12.75" hidden="1" customHeight="1" outlineLevel="1">
      <c r="A2369" s="17">
        <v>41402.0</v>
      </c>
      <c r="B2369" s="1"/>
      <c r="C2369" s="1" t="s">
        <v>339</v>
      </c>
      <c r="D2369" s="74"/>
      <c r="E2369" s="67"/>
      <c r="F2369" s="75"/>
      <c r="G2369" s="67"/>
      <c r="H2369" s="68"/>
      <c r="I2369" s="76"/>
      <c r="J2369" s="67"/>
      <c r="K2369" s="7" t="s">
        <v>1054</v>
      </c>
      <c r="L2369" s="77"/>
      <c r="M2369" s="79"/>
      <c r="N2369" s="1"/>
      <c r="O2369" s="1"/>
      <c r="P2369" s="1"/>
      <c r="Q2369" s="1"/>
      <c r="R2369" s="1"/>
      <c r="S2369" s="1"/>
      <c r="T2369" s="1"/>
      <c r="U2369" s="1"/>
      <c r="V2369" s="1"/>
      <c r="W2369" s="1"/>
      <c r="X2369" s="1"/>
      <c r="Y2369" s="1"/>
      <c r="Z2369" s="1"/>
      <c r="AA2369" s="1"/>
      <c r="AB2369" s="1"/>
      <c r="AC2369" s="1"/>
      <c r="AD2369" s="1"/>
      <c r="AE2369" s="1"/>
      <c r="AF2369" s="1"/>
      <c r="AG2369" s="1"/>
      <c r="AH2369" s="1"/>
    </row>
    <row r="2370" ht="12.75" hidden="1" customHeight="1" outlineLevel="1">
      <c r="A2370" s="17">
        <v>41402.0</v>
      </c>
      <c r="B2370" s="1"/>
      <c r="C2370" s="1" t="s">
        <v>429</v>
      </c>
      <c r="D2370" s="74"/>
      <c r="E2370" s="67"/>
      <c r="F2370" s="75"/>
      <c r="G2370" s="67"/>
      <c r="H2370" s="68"/>
      <c r="I2370" s="76"/>
      <c r="J2370" s="67"/>
      <c r="K2370" s="7" t="s">
        <v>1042</v>
      </c>
      <c r="L2370" s="77"/>
      <c r="M2370" s="79"/>
      <c r="N2370" s="1"/>
      <c r="O2370" s="1"/>
      <c r="P2370" s="1"/>
      <c r="Q2370" s="1"/>
      <c r="R2370" s="1"/>
      <c r="S2370" s="1"/>
      <c r="T2370" s="1"/>
      <c r="U2370" s="1"/>
      <c r="V2370" s="1"/>
      <c r="W2370" s="1"/>
      <c r="X2370" s="1"/>
      <c r="Y2370" s="1"/>
      <c r="Z2370" s="1"/>
      <c r="AA2370" s="1"/>
      <c r="AB2370" s="1"/>
      <c r="AC2370" s="1"/>
      <c r="AD2370" s="1"/>
      <c r="AE2370" s="1"/>
      <c r="AF2370" s="1"/>
      <c r="AG2370" s="1"/>
      <c r="AH2370" s="1"/>
    </row>
    <row r="2371" ht="12.75" hidden="1" customHeight="1" outlineLevel="1">
      <c r="A2371" s="17">
        <v>41402.0</v>
      </c>
      <c r="B2371" s="1"/>
      <c r="C2371" s="1" t="s">
        <v>431</v>
      </c>
      <c r="D2371" s="74"/>
      <c r="E2371" s="67"/>
      <c r="F2371" s="75"/>
      <c r="G2371" s="67"/>
      <c r="H2371" s="68"/>
      <c r="I2371" s="76"/>
      <c r="J2371" s="67"/>
      <c r="K2371" s="7" t="s">
        <v>817</v>
      </c>
      <c r="L2371" s="77"/>
      <c r="M2371" s="79"/>
      <c r="N2371" s="1"/>
      <c r="O2371" s="1"/>
      <c r="P2371" s="1"/>
      <c r="Q2371" s="1"/>
      <c r="R2371" s="1"/>
      <c r="S2371" s="1"/>
      <c r="T2371" s="1"/>
      <c r="U2371" s="1"/>
      <c r="V2371" s="1"/>
      <c r="W2371" s="1"/>
      <c r="X2371" s="1"/>
      <c r="Y2371" s="1"/>
      <c r="Z2371" s="1"/>
      <c r="AA2371" s="1"/>
      <c r="AB2371" s="1"/>
      <c r="AC2371" s="1"/>
      <c r="AD2371" s="1"/>
      <c r="AE2371" s="1"/>
      <c r="AF2371" s="1"/>
      <c r="AG2371" s="1"/>
      <c r="AH2371" s="1"/>
    </row>
    <row r="2372" ht="12.75" hidden="1" customHeight="1" outlineLevel="1">
      <c r="A2372" s="17">
        <v>41402.0</v>
      </c>
      <c r="B2372" s="1"/>
      <c r="C2372" s="1" t="s">
        <v>433</v>
      </c>
      <c r="D2372" s="74"/>
      <c r="E2372" s="67"/>
      <c r="F2372" s="75"/>
      <c r="G2372" s="67"/>
      <c r="H2372" s="68"/>
      <c r="I2372" s="76"/>
      <c r="J2372" s="67"/>
      <c r="K2372" s="7" t="s">
        <v>434</v>
      </c>
      <c r="L2372" s="77"/>
      <c r="M2372" s="79"/>
      <c r="N2372" s="1"/>
      <c r="O2372" s="1"/>
      <c r="P2372" s="1"/>
      <c r="Q2372" s="1"/>
      <c r="R2372" s="1"/>
      <c r="S2372" s="1"/>
      <c r="T2372" s="1"/>
      <c r="U2372" s="1"/>
      <c r="V2372" s="1"/>
      <c r="W2372" s="1"/>
      <c r="X2372" s="1"/>
      <c r="Y2372" s="1"/>
      <c r="Z2372" s="1"/>
      <c r="AA2372" s="1"/>
      <c r="AB2372" s="1"/>
      <c r="AC2372" s="1"/>
      <c r="AD2372" s="1"/>
      <c r="AE2372" s="1"/>
      <c r="AF2372" s="1"/>
      <c r="AG2372" s="1"/>
      <c r="AH2372" s="1"/>
    </row>
    <row r="2373" ht="12.75" hidden="1" customHeight="1" outlineLevel="1">
      <c r="A2373" s="17">
        <v>41402.0</v>
      </c>
      <c r="B2373" s="1"/>
      <c r="C2373" s="1" t="s">
        <v>435</v>
      </c>
      <c r="D2373" s="74"/>
      <c r="E2373" s="67"/>
      <c r="F2373" s="75"/>
      <c r="G2373" s="67"/>
      <c r="H2373" s="68"/>
      <c r="I2373" s="76"/>
      <c r="J2373" s="67"/>
      <c r="K2373" s="7" t="s">
        <v>818</v>
      </c>
      <c r="L2373" s="77"/>
      <c r="M2373" s="79"/>
      <c r="N2373" s="1"/>
      <c r="O2373" s="1"/>
      <c r="P2373" s="1"/>
      <c r="Q2373" s="1"/>
      <c r="R2373" s="1"/>
      <c r="S2373" s="1"/>
      <c r="T2373" s="1"/>
      <c r="U2373" s="1"/>
      <c r="V2373" s="1"/>
      <c r="W2373" s="1"/>
      <c r="X2373" s="1"/>
      <c r="Y2373" s="1"/>
      <c r="Z2373" s="1"/>
      <c r="AA2373" s="1"/>
      <c r="AB2373" s="1"/>
      <c r="AC2373" s="1"/>
      <c r="AD2373" s="1"/>
      <c r="AE2373" s="1"/>
      <c r="AF2373" s="1"/>
      <c r="AG2373" s="1"/>
      <c r="AH2373" s="1"/>
    </row>
    <row r="2374" ht="12.75" hidden="1" customHeight="1" outlineLevel="1">
      <c r="A2374" s="17">
        <v>41407.0</v>
      </c>
      <c r="B2374" s="1" t="s">
        <v>347</v>
      </c>
      <c r="C2374" s="1" t="s">
        <v>784</v>
      </c>
      <c r="D2374" s="74">
        <v>300.0</v>
      </c>
      <c r="E2374" s="67">
        <v>16.79</v>
      </c>
      <c r="F2374" s="75">
        <v>0.6511921296296296</v>
      </c>
      <c r="G2374" s="67" t="s">
        <v>453</v>
      </c>
      <c r="H2374" s="68">
        <v>1.2</v>
      </c>
      <c r="I2374" s="76"/>
      <c r="J2374" s="67">
        <f t="shared" ref="J2374:J2375" si="167">IF(B2374="SLD",D2374*E2374,-D2374*E2374)-H2374</f>
        <v>5035.8</v>
      </c>
      <c r="K2374" s="7"/>
      <c r="L2374" s="70"/>
      <c r="M2374" s="79"/>
      <c r="N2374" s="1"/>
      <c r="O2374" s="1"/>
      <c r="P2374" s="1"/>
      <c r="Q2374" s="1"/>
      <c r="R2374" s="1"/>
      <c r="S2374" s="1"/>
      <c r="T2374" s="1"/>
      <c r="U2374" s="1"/>
      <c r="V2374" s="1"/>
      <c r="W2374" s="1"/>
      <c r="X2374" s="1"/>
      <c r="Y2374" s="1"/>
      <c r="Z2374" s="1"/>
      <c r="AA2374" s="1"/>
      <c r="AB2374" s="1"/>
      <c r="AC2374" s="1"/>
      <c r="AD2374" s="1"/>
      <c r="AE2374" s="1"/>
      <c r="AF2374" s="1"/>
      <c r="AG2374" s="1"/>
      <c r="AH2374" s="1"/>
    </row>
    <row r="2375" ht="12.75" hidden="1" customHeight="1" outlineLevel="1">
      <c r="A2375" s="17">
        <v>41407.0</v>
      </c>
      <c r="B2375" s="1" t="s">
        <v>347</v>
      </c>
      <c r="C2375" s="1" t="s">
        <v>1044</v>
      </c>
      <c r="D2375" s="74">
        <v>100.0</v>
      </c>
      <c r="E2375" s="67">
        <v>29.09</v>
      </c>
      <c r="F2375" s="75">
        <v>0.6512847222222222</v>
      </c>
      <c r="G2375" s="67" t="s">
        <v>453</v>
      </c>
      <c r="H2375" s="68">
        <v>1.0</v>
      </c>
      <c r="I2375" s="76"/>
      <c r="J2375" s="67">
        <f t="shared" si="167"/>
        <v>2908</v>
      </c>
      <c r="K2375" s="7"/>
      <c r="L2375" s="70"/>
      <c r="M2375" s="79"/>
      <c r="N2375" s="1"/>
      <c r="O2375" s="1"/>
      <c r="P2375" s="1"/>
      <c r="Q2375" s="1"/>
      <c r="R2375" s="1"/>
      <c r="S2375" s="1"/>
      <c r="T2375" s="1"/>
      <c r="U2375" s="1"/>
      <c r="V2375" s="1"/>
      <c r="W2375" s="1"/>
      <c r="X2375" s="1"/>
      <c r="Y2375" s="1"/>
      <c r="Z2375" s="1"/>
      <c r="AA2375" s="1"/>
      <c r="AB2375" s="1"/>
      <c r="AC2375" s="1"/>
      <c r="AD2375" s="1"/>
      <c r="AE2375" s="1"/>
      <c r="AF2375" s="1"/>
      <c r="AG2375" s="1"/>
      <c r="AH2375" s="1"/>
    </row>
    <row r="2376" ht="12.75" hidden="1" customHeight="1" outlineLevel="1">
      <c r="A2376" s="17">
        <v>41407.0</v>
      </c>
      <c r="B2376" s="1"/>
      <c r="C2376" s="1" t="s">
        <v>339</v>
      </c>
      <c r="D2376" s="74"/>
      <c r="E2376" s="67"/>
      <c r="F2376" s="75"/>
      <c r="G2376" s="67"/>
      <c r="H2376" s="68"/>
      <c r="I2376" s="76"/>
      <c r="J2376" s="67"/>
      <c r="K2376" s="7" t="s">
        <v>1055</v>
      </c>
      <c r="L2376" s="77"/>
      <c r="M2376" s="79"/>
      <c r="N2376" s="1"/>
      <c r="O2376" s="1"/>
      <c r="P2376" s="1"/>
      <c r="Q2376" s="1"/>
      <c r="R2376" s="1"/>
      <c r="S2376" s="1"/>
      <c r="T2376" s="1"/>
      <c r="U2376" s="1"/>
      <c r="V2376" s="1"/>
      <c r="W2376" s="1"/>
      <c r="X2376" s="1"/>
      <c r="Y2376" s="1"/>
      <c r="Z2376" s="1"/>
      <c r="AA2376" s="1"/>
      <c r="AB2376" s="1"/>
      <c r="AC2376" s="1"/>
      <c r="AD2376" s="1"/>
      <c r="AE2376" s="1"/>
      <c r="AF2376" s="1"/>
      <c r="AG2376" s="1"/>
      <c r="AH2376" s="1"/>
    </row>
    <row r="2377" ht="12.75" hidden="1" customHeight="1" outlineLevel="1">
      <c r="A2377" s="17">
        <v>41407.0</v>
      </c>
      <c r="B2377" s="1"/>
      <c r="C2377" s="1" t="s">
        <v>429</v>
      </c>
      <c r="D2377" s="74"/>
      <c r="E2377" s="67"/>
      <c r="F2377" s="75"/>
      <c r="G2377" s="67"/>
      <c r="H2377" s="68"/>
      <c r="I2377" s="76"/>
      <c r="J2377" s="67"/>
      <c r="K2377" s="7" t="s">
        <v>1042</v>
      </c>
      <c r="L2377" s="77"/>
      <c r="M2377" s="79"/>
      <c r="N2377" s="1"/>
      <c r="O2377" s="1"/>
      <c r="P2377" s="1"/>
      <c r="Q2377" s="1"/>
      <c r="R2377" s="1"/>
      <c r="S2377" s="1"/>
      <c r="T2377" s="1"/>
      <c r="U2377" s="1"/>
      <c r="V2377" s="1"/>
      <c r="W2377" s="1"/>
      <c r="X2377" s="1"/>
      <c r="Y2377" s="1"/>
      <c r="Z2377" s="1"/>
      <c r="AA2377" s="1"/>
      <c r="AB2377" s="1"/>
      <c r="AC2377" s="1"/>
      <c r="AD2377" s="1"/>
      <c r="AE2377" s="1"/>
      <c r="AF2377" s="1"/>
      <c r="AG2377" s="1"/>
      <c r="AH2377" s="1"/>
    </row>
    <row r="2378" ht="12.75" hidden="1" customHeight="1" outlineLevel="1">
      <c r="A2378" s="17">
        <v>41407.0</v>
      </c>
      <c r="B2378" s="1"/>
      <c r="C2378" s="1" t="s">
        <v>431</v>
      </c>
      <c r="D2378" s="74"/>
      <c r="E2378" s="67"/>
      <c r="F2378" s="75"/>
      <c r="G2378" s="67"/>
      <c r="H2378" s="68"/>
      <c r="I2378" s="76"/>
      <c r="J2378" s="67"/>
      <c r="K2378" s="7" t="s">
        <v>817</v>
      </c>
      <c r="L2378" s="77"/>
      <c r="M2378" s="79"/>
      <c r="N2378" s="1"/>
      <c r="O2378" s="1"/>
      <c r="P2378" s="1"/>
      <c r="Q2378" s="1"/>
      <c r="R2378" s="1"/>
      <c r="S2378" s="1"/>
      <c r="T2378" s="1"/>
      <c r="U2378" s="1"/>
      <c r="V2378" s="1"/>
      <c r="W2378" s="1"/>
      <c r="X2378" s="1"/>
      <c r="Y2378" s="1"/>
      <c r="Z2378" s="1"/>
      <c r="AA2378" s="1"/>
      <c r="AB2378" s="1"/>
      <c r="AC2378" s="1"/>
      <c r="AD2378" s="1"/>
      <c r="AE2378" s="1"/>
      <c r="AF2378" s="1"/>
      <c r="AG2378" s="1"/>
      <c r="AH2378" s="1"/>
    </row>
    <row r="2379" ht="12.75" hidden="1" customHeight="1" outlineLevel="1">
      <c r="A2379" s="17">
        <v>41407.0</v>
      </c>
      <c r="B2379" s="1"/>
      <c r="C2379" s="1" t="s">
        <v>433</v>
      </c>
      <c r="D2379" s="74"/>
      <c r="E2379" s="67"/>
      <c r="F2379" s="75"/>
      <c r="G2379" s="67"/>
      <c r="H2379" s="68"/>
      <c r="I2379" s="76"/>
      <c r="J2379" s="67"/>
      <c r="K2379" s="7" t="s">
        <v>434</v>
      </c>
      <c r="L2379" s="77"/>
      <c r="M2379" s="79"/>
      <c r="N2379" s="1"/>
      <c r="O2379" s="1"/>
      <c r="P2379" s="1"/>
      <c r="Q2379" s="1"/>
      <c r="R2379" s="1"/>
      <c r="S2379" s="1"/>
      <c r="T2379" s="1"/>
      <c r="U2379" s="1"/>
      <c r="V2379" s="1"/>
      <c r="W2379" s="1"/>
      <c r="X2379" s="1"/>
      <c r="Y2379" s="1"/>
      <c r="Z2379" s="1"/>
      <c r="AA2379" s="1"/>
      <c r="AB2379" s="1"/>
      <c r="AC2379" s="1"/>
      <c r="AD2379" s="1"/>
      <c r="AE2379" s="1"/>
      <c r="AF2379" s="1"/>
      <c r="AG2379" s="1"/>
      <c r="AH2379" s="1"/>
    </row>
    <row r="2380" ht="12.75" hidden="1" customHeight="1" outlineLevel="1">
      <c r="A2380" s="17">
        <v>41407.0</v>
      </c>
      <c r="B2380" s="1"/>
      <c r="C2380" s="1" t="s">
        <v>435</v>
      </c>
      <c r="D2380" s="74"/>
      <c r="E2380" s="67"/>
      <c r="F2380" s="75"/>
      <c r="G2380" s="67"/>
      <c r="H2380" s="68"/>
      <c r="I2380" s="76"/>
      <c r="J2380" s="67"/>
      <c r="K2380" s="7" t="s">
        <v>818</v>
      </c>
      <c r="L2380" s="77"/>
      <c r="M2380" s="79"/>
      <c r="N2380" s="1"/>
      <c r="O2380" s="1"/>
      <c r="P2380" s="1"/>
      <c r="Q2380" s="1"/>
      <c r="R2380" s="1"/>
      <c r="S2380" s="1"/>
      <c r="T2380" s="1"/>
      <c r="U2380" s="1"/>
      <c r="V2380" s="1"/>
      <c r="W2380" s="1"/>
      <c r="X2380" s="1"/>
      <c r="Y2380" s="1"/>
      <c r="Z2380" s="1"/>
      <c r="AA2380" s="1"/>
      <c r="AB2380" s="1"/>
      <c r="AC2380" s="1"/>
      <c r="AD2380" s="1"/>
      <c r="AE2380" s="1"/>
      <c r="AF2380" s="1"/>
      <c r="AG2380" s="1"/>
      <c r="AH2380" s="1"/>
    </row>
    <row r="2381" ht="12.75" hidden="1" customHeight="1" outlineLevel="1">
      <c r="A2381" s="17">
        <v>41408.0</v>
      </c>
      <c r="B2381" s="1" t="s">
        <v>347</v>
      </c>
      <c r="C2381" s="1" t="s">
        <v>631</v>
      </c>
      <c r="D2381" s="74">
        <v>6000.0</v>
      </c>
      <c r="E2381" s="67">
        <v>0.98872</v>
      </c>
      <c r="F2381" s="75">
        <v>0.5588773148148148</v>
      </c>
      <c r="G2381" s="67" t="s">
        <v>453</v>
      </c>
      <c r="H2381" s="68">
        <v>2.5</v>
      </c>
      <c r="I2381" s="76"/>
      <c r="J2381" s="67">
        <f t="shared" ref="J2381:J2382" si="168">IF(B2381="SLD",D2381*E2381,-D2381*E2381)-H2381</f>
        <v>5929.82</v>
      </c>
      <c r="K2381" s="7"/>
      <c r="L2381" s="70"/>
      <c r="M2381" s="79"/>
      <c r="N2381" s="1"/>
      <c r="O2381" s="1"/>
      <c r="P2381" s="1"/>
      <c r="Q2381" s="1"/>
      <c r="R2381" s="1"/>
      <c r="S2381" s="1"/>
      <c r="T2381" s="1"/>
      <c r="U2381" s="1"/>
      <c r="V2381" s="1"/>
      <c r="W2381" s="1"/>
      <c r="X2381" s="1"/>
      <c r="Y2381" s="1"/>
      <c r="Z2381" s="1"/>
      <c r="AA2381" s="1"/>
      <c r="AB2381" s="1"/>
      <c r="AC2381" s="1"/>
      <c r="AD2381" s="1"/>
      <c r="AE2381" s="1"/>
      <c r="AF2381" s="1"/>
      <c r="AG2381" s="1"/>
      <c r="AH2381" s="1"/>
    </row>
    <row r="2382" ht="12.75" hidden="1" customHeight="1" outlineLevel="1">
      <c r="A2382" s="17">
        <v>41408.0</v>
      </c>
      <c r="B2382" s="1" t="s">
        <v>347</v>
      </c>
      <c r="C2382" s="1" t="s">
        <v>369</v>
      </c>
      <c r="D2382" s="74">
        <v>600.0</v>
      </c>
      <c r="E2382" s="67">
        <v>22.113</v>
      </c>
      <c r="F2382" s="75">
        <v>0.6008101851851851</v>
      </c>
      <c r="G2382" s="67" t="s">
        <v>453</v>
      </c>
      <c r="H2382" s="68">
        <v>2.6</v>
      </c>
      <c r="I2382" s="76"/>
      <c r="J2382" s="67">
        <f t="shared" si="168"/>
        <v>13265.2</v>
      </c>
      <c r="K2382" s="7"/>
      <c r="L2382" s="70"/>
      <c r="M2382" s="79"/>
      <c r="N2382" s="1"/>
      <c r="O2382" s="1"/>
      <c r="P2382" s="1"/>
      <c r="Q2382" s="1"/>
      <c r="R2382" s="1"/>
      <c r="S2382" s="1"/>
      <c r="T2382" s="1"/>
      <c r="U2382" s="1"/>
      <c r="V2382" s="1"/>
      <c r="W2382" s="1"/>
      <c r="X2382" s="1"/>
      <c r="Y2382" s="1"/>
      <c r="Z2382" s="1"/>
      <c r="AA2382" s="1"/>
      <c r="AB2382" s="1"/>
      <c r="AC2382" s="1"/>
      <c r="AD2382" s="1"/>
      <c r="AE2382" s="1"/>
      <c r="AF2382" s="1"/>
      <c r="AG2382" s="1"/>
      <c r="AH2382" s="1"/>
    </row>
    <row r="2383" ht="12.75" hidden="1" customHeight="1" outlineLevel="1">
      <c r="A2383" s="17">
        <v>41408.0</v>
      </c>
      <c r="B2383" s="1"/>
      <c r="C2383" s="1" t="s">
        <v>339</v>
      </c>
      <c r="D2383" s="74"/>
      <c r="E2383" s="67"/>
      <c r="F2383" s="75"/>
      <c r="G2383" s="67"/>
      <c r="H2383" s="68"/>
      <c r="I2383" s="76"/>
      <c r="J2383" s="67"/>
      <c r="K2383" s="7" t="s">
        <v>1057</v>
      </c>
      <c r="L2383" s="77"/>
      <c r="M2383" s="79"/>
      <c r="N2383" s="1"/>
      <c r="O2383" s="1"/>
      <c r="P2383" s="1"/>
      <c r="Q2383" s="1"/>
      <c r="R2383" s="1"/>
      <c r="S2383" s="1"/>
      <c r="T2383" s="1"/>
      <c r="U2383" s="1"/>
      <c r="V2383" s="1"/>
      <c r="W2383" s="1"/>
      <c r="X2383" s="1"/>
      <c r="Y2383" s="1"/>
      <c r="Z2383" s="1"/>
      <c r="AA2383" s="1"/>
      <c r="AB2383" s="1"/>
      <c r="AC2383" s="1"/>
      <c r="AD2383" s="1"/>
      <c r="AE2383" s="1"/>
      <c r="AF2383" s="1"/>
      <c r="AG2383" s="1"/>
      <c r="AH2383" s="1"/>
    </row>
    <row r="2384" ht="12.75" hidden="1" customHeight="1" outlineLevel="1">
      <c r="A2384" s="17">
        <v>41408.0</v>
      </c>
      <c r="B2384" s="1"/>
      <c r="C2384" s="1" t="s">
        <v>429</v>
      </c>
      <c r="D2384" s="74"/>
      <c r="E2384" s="67"/>
      <c r="F2384" s="75"/>
      <c r="G2384" s="67"/>
      <c r="H2384" s="68"/>
      <c r="I2384" s="76"/>
      <c r="J2384" s="67"/>
      <c r="K2384" s="7" t="s">
        <v>1042</v>
      </c>
      <c r="L2384" s="77"/>
      <c r="M2384" s="79"/>
      <c r="N2384" s="1"/>
      <c r="O2384" s="1"/>
      <c r="P2384" s="1"/>
      <c r="Q2384" s="1"/>
      <c r="R2384" s="1"/>
      <c r="S2384" s="1"/>
      <c r="T2384" s="1"/>
      <c r="U2384" s="1"/>
      <c r="V2384" s="1"/>
      <c r="W2384" s="1"/>
      <c r="X2384" s="1"/>
      <c r="Y2384" s="1"/>
      <c r="Z2384" s="1"/>
      <c r="AA2384" s="1"/>
      <c r="AB2384" s="1"/>
      <c r="AC2384" s="1"/>
      <c r="AD2384" s="1"/>
      <c r="AE2384" s="1"/>
      <c r="AF2384" s="1"/>
      <c r="AG2384" s="1"/>
      <c r="AH2384" s="1"/>
    </row>
    <row r="2385" ht="12.75" hidden="1" customHeight="1" outlineLevel="1">
      <c r="A2385" s="17">
        <v>41408.0</v>
      </c>
      <c r="B2385" s="1"/>
      <c r="C2385" s="1" t="s">
        <v>431</v>
      </c>
      <c r="D2385" s="74"/>
      <c r="E2385" s="67"/>
      <c r="F2385" s="75"/>
      <c r="G2385" s="67"/>
      <c r="H2385" s="68"/>
      <c r="I2385" s="76"/>
      <c r="J2385" s="67"/>
      <c r="K2385" s="7" t="s">
        <v>817</v>
      </c>
      <c r="L2385" s="77"/>
      <c r="M2385" s="79"/>
      <c r="N2385" s="1"/>
      <c r="O2385" s="1"/>
      <c r="P2385" s="1"/>
      <c r="Q2385" s="1"/>
      <c r="R2385" s="1"/>
      <c r="S2385" s="1"/>
      <c r="T2385" s="1"/>
      <c r="U2385" s="1"/>
      <c r="V2385" s="1"/>
      <c r="W2385" s="1"/>
      <c r="X2385" s="1"/>
      <c r="Y2385" s="1"/>
      <c r="Z2385" s="1"/>
      <c r="AA2385" s="1"/>
      <c r="AB2385" s="1"/>
      <c r="AC2385" s="1"/>
      <c r="AD2385" s="1"/>
      <c r="AE2385" s="1"/>
      <c r="AF2385" s="1"/>
      <c r="AG2385" s="1"/>
      <c r="AH2385" s="1"/>
    </row>
    <row r="2386" ht="12.75" hidden="1" customHeight="1" outlineLevel="1">
      <c r="A2386" s="17">
        <v>41408.0</v>
      </c>
      <c r="B2386" s="1"/>
      <c r="C2386" s="1" t="s">
        <v>433</v>
      </c>
      <c r="D2386" s="74"/>
      <c r="E2386" s="67"/>
      <c r="F2386" s="75"/>
      <c r="G2386" s="67"/>
      <c r="H2386" s="68"/>
      <c r="I2386" s="76"/>
      <c r="J2386" s="67"/>
      <c r="K2386" s="7" t="s">
        <v>434</v>
      </c>
      <c r="L2386" s="77"/>
      <c r="M2386" s="79"/>
      <c r="N2386" s="1"/>
      <c r="O2386" s="1"/>
      <c r="P2386" s="1"/>
      <c r="Q2386" s="1"/>
      <c r="R2386" s="1"/>
      <c r="S2386" s="1"/>
      <c r="T2386" s="1"/>
      <c r="U2386" s="1"/>
      <c r="V2386" s="1"/>
      <c r="W2386" s="1"/>
      <c r="X2386" s="1"/>
      <c r="Y2386" s="1"/>
      <c r="Z2386" s="1"/>
      <c r="AA2386" s="1"/>
      <c r="AB2386" s="1"/>
      <c r="AC2386" s="1"/>
      <c r="AD2386" s="1"/>
      <c r="AE2386" s="1"/>
      <c r="AF2386" s="1"/>
      <c r="AG2386" s="1"/>
      <c r="AH2386" s="1"/>
    </row>
    <row r="2387" ht="12.75" hidden="1" customHeight="1" outlineLevel="1">
      <c r="A2387" s="17">
        <v>41408.0</v>
      </c>
      <c r="B2387" s="1"/>
      <c r="C2387" s="1" t="s">
        <v>435</v>
      </c>
      <c r="D2387" s="74"/>
      <c r="E2387" s="67"/>
      <c r="F2387" s="75"/>
      <c r="G2387" s="67"/>
      <c r="H2387" s="68"/>
      <c r="I2387" s="76"/>
      <c r="J2387" s="67"/>
      <c r="K2387" s="7" t="s">
        <v>818</v>
      </c>
      <c r="L2387" s="77"/>
      <c r="M2387" s="79"/>
      <c r="N2387" s="1"/>
      <c r="O2387" s="1"/>
      <c r="P2387" s="1"/>
      <c r="Q2387" s="1"/>
      <c r="R2387" s="1"/>
      <c r="S2387" s="1"/>
      <c r="T2387" s="1"/>
      <c r="U2387" s="1"/>
      <c r="V2387" s="1"/>
      <c r="W2387" s="1"/>
      <c r="X2387" s="1"/>
      <c r="Y2387" s="1"/>
      <c r="Z2387" s="1"/>
      <c r="AA2387" s="1"/>
      <c r="AB2387" s="1"/>
      <c r="AC2387" s="1"/>
      <c r="AD2387" s="1"/>
      <c r="AE2387" s="1"/>
      <c r="AF2387" s="1"/>
      <c r="AG2387" s="1"/>
      <c r="AH2387" s="1"/>
    </row>
    <row r="2388" ht="12.75" hidden="1" customHeight="1" outlineLevel="1">
      <c r="A2388" s="17">
        <v>41409.0</v>
      </c>
      <c r="B2388" s="1" t="s">
        <v>343</v>
      </c>
      <c r="C2388" s="1" t="s">
        <v>1058</v>
      </c>
      <c r="D2388" s="74">
        <v>2000.0</v>
      </c>
      <c r="E2388" s="67">
        <v>7.7</v>
      </c>
      <c r="F2388" s="75">
        <v>0.4209837962962963</v>
      </c>
      <c r="G2388" s="67" t="s">
        <v>453</v>
      </c>
      <c r="H2388" s="68">
        <v>9.9</v>
      </c>
      <c r="I2388" s="76"/>
      <c r="J2388" s="67">
        <f>IF(B2388="SLD",D2388*E2388,-D2388*E2388)-H2388</f>
        <v>-15409.9</v>
      </c>
      <c r="K2388" s="7"/>
      <c r="L2388" s="70"/>
      <c r="M2388" s="79"/>
      <c r="N2388" s="1"/>
      <c r="O2388" s="1"/>
      <c r="P2388" s="1"/>
      <c r="Q2388" s="1"/>
      <c r="R2388" s="1"/>
      <c r="S2388" s="1"/>
      <c r="T2388" s="1"/>
      <c r="U2388" s="1"/>
      <c r="V2388" s="1"/>
      <c r="W2388" s="1"/>
      <c r="X2388" s="1"/>
      <c r="Y2388" s="1"/>
      <c r="Z2388" s="1"/>
      <c r="AA2388" s="1"/>
      <c r="AB2388" s="1"/>
      <c r="AC2388" s="1"/>
      <c r="AD2388" s="1"/>
      <c r="AE2388" s="1"/>
      <c r="AF2388" s="1"/>
      <c r="AG2388" s="1"/>
      <c r="AH2388" s="1"/>
    </row>
    <row r="2389" ht="12.75" hidden="1" customHeight="1" outlineLevel="1">
      <c r="A2389" s="17">
        <v>41409.0</v>
      </c>
      <c r="B2389" s="1"/>
      <c r="C2389" s="1" t="s">
        <v>339</v>
      </c>
      <c r="D2389" s="74"/>
      <c r="E2389" s="67"/>
      <c r="F2389" s="75"/>
      <c r="G2389" s="67"/>
      <c r="H2389" s="68"/>
      <c r="I2389" s="76"/>
      <c r="J2389" s="67"/>
      <c r="K2389" s="7" t="s">
        <v>1059</v>
      </c>
      <c r="L2389" s="77"/>
      <c r="M2389" s="79"/>
      <c r="N2389" s="1"/>
      <c r="O2389" s="1"/>
      <c r="P2389" s="1"/>
      <c r="Q2389" s="1"/>
      <c r="R2389" s="1"/>
      <c r="S2389" s="1"/>
      <c r="T2389" s="1"/>
      <c r="U2389" s="1"/>
      <c r="V2389" s="1"/>
      <c r="W2389" s="1"/>
      <c r="X2389" s="1"/>
      <c r="Y2389" s="1"/>
      <c r="Z2389" s="1"/>
      <c r="AA2389" s="1"/>
      <c r="AB2389" s="1"/>
      <c r="AC2389" s="1"/>
      <c r="AD2389" s="1"/>
      <c r="AE2389" s="1"/>
      <c r="AF2389" s="1"/>
      <c r="AG2389" s="1"/>
      <c r="AH2389" s="1"/>
    </row>
    <row r="2390" ht="12.75" hidden="1" customHeight="1" outlineLevel="1">
      <c r="A2390" s="17">
        <v>41409.0</v>
      </c>
      <c r="B2390" s="1"/>
      <c r="C2390" s="1" t="s">
        <v>429</v>
      </c>
      <c r="D2390" s="74"/>
      <c r="E2390" s="67"/>
      <c r="F2390" s="75"/>
      <c r="G2390" s="67"/>
      <c r="H2390" s="68"/>
      <c r="I2390" s="76"/>
      <c r="J2390" s="67"/>
      <c r="K2390" s="7" t="s">
        <v>1042</v>
      </c>
      <c r="L2390" s="77"/>
      <c r="M2390" s="79"/>
      <c r="N2390" s="1"/>
      <c r="O2390" s="1"/>
      <c r="P2390" s="1"/>
      <c r="Q2390" s="1"/>
      <c r="R2390" s="1"/>
      <c r="S2390" s="1"/>
      <c r="T2390" s="1"/>
      <c r="U2390" s="1"/>
      <c r="V2390" s="1"/>
      <c r="W2390" s="1"/>
      <c r="X2390" s="1"/>
      <c r="Y2390" s="1"/>
      <c r="Z2390" s="1"/>
      <c r="AA2390" s="1"/>
      <c r="AB2390" s="1"/>
      <c r="AC2390" s="1"/>
      <c r="AD2390" s="1"/>
      <c r="AE2390" s="1"/>
      <c r="AF2390" s="1"/>
      <c r="AG2390" s="1"/>
      <c r="AH2390" s="1"/>
    </row>
    <row r="2391" ht="12.75" hidden="1" customHeight="1" outlineLevel="1">
      <c r="A2391" s="17">
        <v>41409.0</v>
      </c>
      <c r="B2391" s="1"/>
      <c r="C2391" s="1" t="s">
        <v>431</v>
      </c>
      <c r="D2391" s="74"/>
      <c r="E2391" s="67"/>
      <c r="F2391" s="75"/>
      <c r="G2391" s="67"/>
      <c r="H2391" s="68"/>
      <c r="I2391" s="76"/>
      <c r="J2391" s="67"/>
      <c r="K2391" s="7" t="s">
        <v>817</v>
      </c>
      <c r="L2391" s="77"/>
      <c r="M2391" s="79"/>
      <c r="N2391" s="1"/>
      <c r="O2391" s="1"/>
      <c r="P2391" s="1"/>
      <c r="Q2391" s="1"/>
      <c r="R2391" s="1"/>
      <c r="S2391" s="1"/>
      <c r="T2391" s="1"/>
      <c r="U2391" s="1"/>
      <c r="V2391" s="1"/>
      <c r="W2391" s="1"/>
      <c r="X2391" s="1"/>
      <c r="Y2391" s="1"/>
      <c r="Z2391" s="1"/>
      <c r="AA2391" s="1"/>
      <c r="AB2391" s="1"/>
      <c r="AC2391" s="1"/>
      <c r="AD2391" s="1"/>
      <c r="AE2391" s="1"/>
      <c r="AF2391" s="1"/>
      <c r="AG2391" s="1"/>
      <c r="AH2391" s="1"/>
    </row>
    <row r="2392" ht="12.75" hidden="1" customHeight="1" outlineLevel="1">
      <c r="A2392" s="17">
        <v>41409.0</v>
      </c>
      <c r="B2392" s="1"/>
      <c r="C2392" s="1" t="s">
        <v>433</v>
      </c>
      <c r="D2392" s="74"/>
      <c r="E2392" s="67"/>
      <c r="F2392" s="75"/>
      <c r="G2392" s="67"/>
      <c r="H2392" s="68"/>
      <c r="I2392" s="76"/>
      <c r="J2392" s="67"/>
      <c r="K2392" s="7" t="s">
        <v>434</v>
      </c>
      <c r="L2392" s="77"/>
      <c r="M2392" s="79"/>
      <c r="N2392" s="1"/>
      <c r="O2392" s="1"/>
      <c r="P2392" s="1"/>
      <c r="Q2392" s="1"/>
      <c r="R2392" s="1"/>
      <c r="S2392" s="1"/>
      <c r="T2392" s="1"/>
      <c r="U2392" s="1"/>
      <c r="V2392" s="1"/>
      <c r="W2392" s="1"/>
      <c r="X2392" s="1"/>
      <c r="Y2392" s="1"/>
      <c r="Z2392" s="1"/>
      <c r="AA2392" s="1"/>
      <c r="AB2392" s="1"/>
      <c r="AC2392" s="1"/>
      <c r="AD2392" s="1"/>
      <c r="AE2392" s="1"/>
      <c r="AF2392" s="1"/>
      <c r="AG2392" s="1"/>
      <c r="AH2392" s="1"/>
    </row>
    <row r="2393" ht="12.75" hidden="1" customHeight="1" outlineLevel="1">
      <c r="A2393" s="17">
        <v>41409.0</v>
      </c>
      <c r="B2393" s="1"/>
      <c r="C2393" s="1" t="s">
        <v>435</v>
      </c>
      <c r="D2393" s="74"/>
      <c r="E2393" s="67"/>
      <c r="F2393" s="75"/>
      <c r="G2393" s="67"/>
      <c r="H2393" s="68"/>
      <c r="I2393" s="76"/>
      <c r="J2393" s="67"/>
      <c r="K2393" s="7" t="s">
        <v>818</v>
      </c>
      <c r="L2393" s="77"/>
      <c r="M2393" s="79"/>
      <c r="N2393" s="1"/>
      <c r="O2393" s="1"/>
      <c r="P2393" s="1"/>
      <c r="Q2393" s="1"/>
      <c r="R2393" s="1"/>
      <c r="S2393" s="1"/>
      <c r="T2393" s="1"/>
      <c r="U2393" s="1"/>
      <c r="V2393" s="1"/>
      <c r="W2393" s="1"/>
      <c r="X2393" s="1"/>
      <c r="Y2393" s="1"/>
      <c r="Z2393" s="1"/>
      <c r="AA2393" s="1"/>
      <c r="AB2393" s="1"/>
      <c r="AC2393" s="1"/>
      <c r="AD2393" s="1"/>
      <c r="AE2393" s="1"/>
      <c r="AF2393" s="1"/>
      <c r="AG2393" s="1"/>
      <c r="AH2393" s="1"/>
    </row>
    <row r="2394" ht="12.75" hidden="1" customHeight="1" outlineLevel="1">
      <c r="A2394" s="17">
        <v>41410.0</v>
      </c>
      <c r="B2394" s="1" t="s">
        <v>343</v>
      </c>
      <c r="C2394" s="1" t="s">
        <v>1060</v>
      </c>
      <c r="D2394" s="74">
        <v>1000.0</v>
      </c>
      <c r="E2394" s="67">
        <v>23.99</v>
      </c>
      <c r="F2394" s="75">
        <v>0.40387731481481487</v>
      </c>
      <c r="G2394" s="67" t="s">
        <v>453</v>
      </c>
      <c r="H2394" s="68">
        <v>4.8</v>
      </c>
      <c r="I2394" s="76"/>
      <c r="J2394" s="67">
        <f t="shared" ref="J2394:J2396" si="169">IF(B2394="SLD",D2394*E2394,-D2394*E2394)-H2394</f>
        <v>-23994.8</v>
      </c>
      <c r="K2394" s="7"/>
      <c r="L2394" s="70"/>
      <c r="M2394" s="79"/>
      <c r="N2394" s="1"/>
      <c r="O2394" s="1"/>
      <c r="P2394" s="1"/>
      <c r="Q2394" s="1"/>
      <c r="R2394" s="1"/>
      <c r="S2394" s="1"/>
      <c r="T2394" s="1"/>
      <c r="U2394" s="1"/>
      <c r="V2394" s="1"/>
      <c r="W2394" s="1"/>
      <c r="X2394" s="1"/>
      <c r="Y2394" s="1"/>
      <c r="Z2394" s="1"/>
      <c r="AA2394" s="1"/>
      <c r="AB2394" s="1"/>
      <c r="AC2394" s="1"/>
      <c r="AD2394" s="1"/>
      <c r="AE2394" s="1"/>
      <c r="AF2394" s="1"/>
      <c r="AG2394" s="1"/>
      <c r="AH2394" s="1"/>
    </row>
    <row r="2395" ht="12.75" hidden="1" customHeight="1" outlineLevel="1">
      <c r="A2395" s="17">
        <v>41410.0</v>
      </c>
      <c r="B2395" s="1" t="s">
        <v>343</v>
      </c>
      <c r="C2395" s="1" t="s">
        <v>605</v>
      </c>
      <c r="D2395" s="74">
        <v>100.0</v>
      </c>
      <c r="E2395" s="67">
        <v>64.56</v>
      </c>
      <c r="F2395" s="75">
        <v>0.4107638888888889</v>
      </c>
      <c r="G2395" s="67" t="s">
        <v>453</v>
      </c>
      <c r="H2395" s="68">
        <v>1.0</v>
      </c>
      <c r="I2395" s="76"/>
      <c r="J2395" s="67">
        <f t="shared" si="169"/>
        <v>-6457</v>
      </c>
      <c r="K2395" s="7"/>
      <c r="L2395" s="70"/>
      <c r="M2395" s="79"/>
      <c r="N2395" s="1"/>
      <c r="O2395" s="1"/>
      <c r="P2395" s="1"/>
      <c r="Q2395" s="1"/>
      <c r="R2395" s="1"/>
      <c r="S2395" s="1"/>
      <c r="T2395" s="1"/>
      <c r="U2395" s="1"/>
      <c r="V2395" s="1"/>
      <c r="W2395" s="1"/>
      <c r="X2395" s="1"/>
      <c r="Y2395" s="1"/>
      <c r="Z2395" s="1"/>
      <c r="AA2395" s="1"/>
      <c r="AB2395" s="1"/>
      <c r="AC2395" s="1"/>
      <c r="AD2395" s="1"/>
      <c r="AE2395" s="1"/>
      <c r="AF2395" s="1"/>
      <c r="AG2395" s="1"/>
      <c r="AH2395" s="1"/>
    </row>
    <row r="2396" ht="12.75" hidden="1" customHeight="1" outlineLevel="1">
      <c r="A2396" s="17">
        <v>41410.0</v>
      </c>
      <c r="B2396" s="1" t="s">
        <v>347</v>
      </c>
      <c r="C2396" s="1" t="s">
        <v>1058</v>
      </c>
      <c r="D2396" s="74">
        <v>2000.0</v>
      </c>
      <c r="E2396" s="67">
        <v>7.58</v>
      </c>
      <c r="F2396" s="75">
        <v>0.6628587962962963</v>
      </c>
      <c r="G2396" s="67" t="s">
        <v>453</v>
      </c>
      <c r="H2396" s="68">
        <v>8.0</v>
      </c>
      <c r="I2396" s="76"/>
      <c r="J2396" s="67">
        <f t="shared" si="169"/>
        <v>15152</v>
      </c>
      <c r="K2396" s="7"/>
      <c r="L2396" s="70"/>
      <c r="M2396" s="79"/>
      <c r="N2396" s="1"/>
      <c r="O2396" s="1"/>
      <c r="P2396" s="1"/>
      <c r="Q2396" s="1"/>
      <c r="R2396" s="1"/>
      <c r="S2396" s="1"/>
      <c r="T2396" s="1"/>
      <c r="U2396" s="1"/>
      <c r="V2396" s="1"/>
      <c r="W2396" s="1"/>
      <c r="X2396" s="1"/>
      <c r="Y2396" s="1"/>
      <c r="Z2396" s="1"/>
      <c r="AA2396" s="1"/>
      <c r="AB2396" s="1"/>
      <c r="AC2396" s="1"/>
      <c r="AD2396" s="1"/>
      <c r="AE2396" s="1"/>
      <c r="AF2396" s="1"/>
      <c r="AG2396" s="1"/>
      <c r="AH2396" s="1"/>
    </row>
    <row r="2397" ht="12.75" hidden="1" customHeight="1" outlineLevel="1">
      <c r="A2397" s="17">
        <v>41410.0</v>
      </c>
      <c r="B2397" s="1"/>
      <c r="C2397" s="1" t="s">
        <v>339</v>
      </c>
      <c r="D2397" s="74"/>
      <c r="E2397" s="67"/>
      <c r="F2397" s="75"/>
      <c r="G2397" s="67"/>
      <c r="H2397" s="68"/>
      <c r="I2397" s="76"/>
      <c r="J2397" s="67"/>
      <c r="K2397" s="7" t="s">
        <v>1062</v>
      </c>
      <c r="L2397" s="77"/>
      <c r="M2397" s="79"/>
      <c r="N2397" s="1"/>
      <c r="O2397" s="1"/>
      <c r="P2397" s="1"/>
      <c r="Q2397" s="1"/>
      <c r="R2397" s="1"/>
      <c r="S2397" s="1"/>
      <c r="T2397" s="1"/>
      <c r="U2397" s="1"/>
      <c r="V2397" s="1"/>
      <c r="W2397" s="1"/>
      <c r="X2397" s="1"/>
      <c r="Y2397" s="1"/>
      <c r="Z2397" s="1"/>
      <c r="AA2397" s="1"/>
      <c r="AB2397" s="1"/>
      <c r="AC2397" s="1"/>
      <c r="AD2397" s="1"/>
      <c r="AE2397" s="1"/>
      <c r="AF2397" s="1"/>
      <c r="AG2397" s="1"/>
      <c r="AH2397" s="1"/>
    </row>
    <row r="2398" ht="12.75" hidden="1" customHeight="1" outlineLevel="1">
      <c r="A2398" s="17">
        <v>41410.0</v>
      </c>
      <c r="B2398" s="1"/>
      <c r="C2398" s="1" t="s">
        <v>429</v>
      </c>
      <c r="D2398" s="74"/>
      <c r="E2398" s="67"/>
      <c r="F2398" s="75"/>
      <c r="G2398" s="67"/>
      <c r="H2398" s="68"/>
      <c r="I2398" s="76"/>
      <c r="J2398" s="67"/>
      <c r="K2398" s="7" t="s">
        <v>1042</v>
      </c>
      <c r="L2398" s="77"/>
      <c r="M2398" s="79"/>
      <c r="N2398" s="1"/>
      <c r="O2398" s="1"/>
      <c r="P2398" s="1"/>
      <c r="Q2398" s="1"/>
      <c r="R2398" s="1"/>
      <c r="S2398" s="1"/>
      <c r="T2398" s="1"/>
      <c r="U2398" s="1"/>
      <c r="V2398" s="1"/>
      <c r="W2398" s="1"/>
      <c r="X2398" s="1"/>
      <c r="Y2398" s="1"/>
      <c r="Z2398" s="1"/>
      <c r="AA2398" s="1"/>
      <c r="AB2398" s="1"/>
      <c r="AC2398" s="1"/>
      <c r="AD2398" s="1"/>
      <c r="AE2398" s="1"/>
      <c r="AF2398" s="1"/>
      <c r="AG2398" s="1"/>
      <c r="AH2398" s="1"/>
    </row>
    <row r="2399" ht="12.75" hidden="1" customHeight="1" outlineLevel="1">
      <c r="A2399" s="17">
        <v>41410.0</v>
      </c>
      <c r="B2399" s="1"/>
      <c r="C2399" s="1" t="s">
        <v>431</v>
      </c>
      <c r="D2399" s="74"/>
      <c r="E2399" s="67"/>
      <c r="F2399" s="75"/>
      <c r="G2399" s="67"/>
      <c r="H2399" s="68"/>
      <c r="I2399" s="76"/>
      <c r="J2399" s="67"/>
      <c r="K2399" s="7" t="s">
        <v>817</v>
      </c>
      <c r="L2399" s="77"/>
      <c r="M2399" s="79"/>
      <c r="N2399" s="1"/>
      <c r="O2399" s="1"/>
      <c r="P2399" s="1"/>
      <c r="Q2399" s="1"/>
      <c r="R2399" s="1"/>
      <c r="S2399" s="1"/>
      <c r="T2399" s="1"/>
      <c r="U2399" s="1"/>
      <c r="V2399" s="1"/>
      <c r="W2399" s="1"/>
      <c r="X2399" s="1"/>
      <c r="Y2399" s="1"/>
      <c r="Z2399" s="1"/>
      <c r="AA2399" s="1"/>
      <c r="AB2399" s="1"/>
      <c r="AC2399" s="1"/>
      <c r="AD2399" s="1"/>
      <c r="AE2399" s="1"/>
      <c r="AF2399" s="1"/>
      <c r="AG2399" s="1"/>
      <c r="AH2399" s="1"/>
    </row>
    <row r="2400" ht="12.75" hidden="1" customHeight="1" outlineLevel="1">
      <c r="A2400" s="17">
        <v>41410.0</v>
      </c>
      <c r="B2400" s="1"/>
      <c r="C2400" s="1" t="s">
        <v>433</v>
      </c>
      <c r="D2400" s="74"/>
      <c r="E2400" s="67"/>
      <c r="F2400" s="75"/>
      <c r="G2400" s="67"/>
      <c r="H2400" s="68"/>
      <c r="I2400" s="76"/>
      <c r="J2400" s="67"/>
      <c r="K2400" s="7" t="s">
        <v>434</v>
      </c>
      <c r="L2400" s="77"/>
      <c r="M2400" s="79"/>
      <c r="N2400" s="1"/>
      <c r="O2400" s="1"/>
      <c r="P2400" s="1"/>
      <c r="Q2400" s="1"/>
      <c r="R2400" s="1"/>
      <c r="S2400" s="1"/>
      <c r="T2400" s="1"/>
      <c r="U2400" s="1"/>
      <c r="V2400" s="1"/>
      <c r="W2400" s="1"/>
      <c r="X2400" s="1"/>
      <c r="Y2400" s="1"/>
      <c r="Z2400" s="1"/>
      <c r="AA2400" s="1"/>
      <c r="AB2400" s="1"/>
      <c r="AC2400" s="1"/>
      <c r="AD2400" s="1"/>
      <c r="AE2400" s="1"/>
      <c r="AF2400" s="1"/>
      <c r="AG2400" s="1"/>
      <c r="AH2400" s="1"/>
    </row>
    <row r="2401" ht="12.75" hidden="1" customHeight="1" outlineLevel="1">
      <c r="A2401" s="17">
        <v>41410.0</v>
      </c>
      <c r="B2401" s="1"/>
      <c r="C2401" s="1" t="s">
        <v>435</v>
      </c>
      <c r="D2401" s="74"/>
      <c r="E2401" s="67"/>
      <c r="F2401" s="75"/>
      <c r="G2401" s="67"/>
      <c r="H2401" s="68"/>
      <c r="I2401" s="76"/>
      <c r="J2401" s="67"/>
      <c r="K2401" s="7" t="s">
        <v>818</v>
      </c>
      <c r="L2401" s="77"/>
      <c r="M2401" s="79"/>
      <c r="N2401" s="1"/>
      <c r="O2401" s="1"/>
      <c r="P2401" s="1"/>
      <c r="Q2401" s="1"/>
      <c r="R2401" s="1"/>
      <c r="S2401" s="1"/>
      <c r="T2401" s="1"/>
      <c r="U2401" s="1"/>
      <c r="V2401" s="1"/>
      <c r="W2401" s="1"/>
      <c r="X2401" s="1"/>
      <c r="Y2401" s="1"/>
      <c r="Z2401" s="1"/>
      <c r="AA2401" s="1"/>
      <c r="AB2401" s="1"/>
      <c r="AC2401" s="1"/>
      <c r="AD2401" s="1"/>
      <c r="AE2401" s="1"/>
      <c r="AF2401" s="1"/>
      <c r="AG2401" s="1"/>
      <c r="AH2401" s="1"/>
    </row>
    <row r="2402" ht="12.75" hidden="1" customHeight="1" outlineLevel="1">
      <c r="A2402" s="17">
        <v>41411.0</v>
      </c>
      <c r="B2402" s="1" t="s">
        <v>343</v>
      </c>
      <c r="C2402" s="1" t="s">
        <v>881</v>
      </c>
      <c r="D2402" s="74">
        <v>200.0</v>
      </c>
      <c r="E2402" s="67">
        <v>30.53</v>
      </c>
      <c r="F2402" s="75">
        <v>0.4454282407407408</v>
      </c>
      <c r="G2402" s="67" t="s">
        <v>453</v>
      </c>
      <c r="H2402" s="68">
        <v>1.0</v>
      </c>
      <c r="I2402" s="76"/>
      <c r="J2402" s="67">
        <f t="shared" ref="J2402:J2403" si="170">IF(B2402="SLD",D2402*E2402,-D2402*E2402)-H2402</f>
        <v>-6107</v>
      </c>
      <c r="K2402" s="7"/>
      <c r="L2402" s="70"/>
      <c r="M2402" s="79"/>
      <c r="N2402" s="1"/>
      <c r="O2402" s="1"/>
      <c r="P2402" s="1"/>
      <c r="Q2402" s="1"/>
      <c r="R2402" s="1"/>
      <c r="S2402" s="1"/>
      <c r="T2402" s="1"/>
      <c r="U2402" s="1"/>
      <c r="V2402" s="1"/>
      <c r="W2402" s="1"/>
      <c r="X2402" s="1"/>
      <c r="Y2402" s="1"/>
      <c r="Z2402" s="1"/>
      <c r="AA2402" s="1"/>
      <c r="AB2402" s="1"/>
      <c r="AC2402" s="1"/>
      <c r="AD2402" s="1"/>
      <c r="AE2402" s="1"/>
      <c r="AF2402" s="1"/>
      <c r="AG2402" s="1"/>
      <c r="AH2402" s="1"/>
    </row>
    <row r="2403" ht="12.75" hidden="1" customHeight="1" outlineLevel="1">
      <c r="A2403" s="17">
        <v>41411.0</v>
      </c>
      <c r="B2403" s="1" t="s">
        <v>343</v>
      </c>
      <c r="C2403" s="1" t="s">
        <v>1063</v>
      </c>
      <c r="D2403" s="74">
        <v>320.0</v>
      </c>
      <c r="E2403" s="67">
        <v>18.91</v>
      </c>
      <c r="F2403" s="75">
        <v>0.45017361111111115</v>
      </c>
      <c r="G2403" s="67" t="s">
        <v>453</v>
      </c>
      <c r="H2403" s="68">
        <v>1.3</v>
      </c>
      <c r="I2403" s="76"/>
      <c r="J2403" s="67">
        <f t="shared" si="170"/>
        <v>-6052.5</v>
      </c>
      <c r="K2403" s="7"/>
      <c r="L2403" s="70"/>
      <c r="M2403" s="79"/>
      <c r="N2403" s="1"/>
      <c r="O2403" s="1"/>
      <c r="P2403" s="1"/>
      <c r="Q2403" s="1"/>
      <c r="R2403" s="1"/>
      <c r="S2403" s="1"/>
      <c r="T2403" s="1"/>
      <c r="U2403" s="1"/>
      <c r="V2403" s="1"/>
      <c r="W2403" s="1"/>
      <c r="X2403" s="1"/>
      <c r="Y2403" s="1"/>
      <c r="Z2403" s="1"/>
      <c r="AA2403" s="1"/>
      <c r="AB2403" s="1"/>
      <c r="AC2403" s="1"/>
      <c r="AD2403" s="1"/>
      <c r="AE2403" s="1"/>
      <c r="AF2403" s="1"/>
      <c r="AG2403" s="1"/>
      <c r="AH2403" s="1"/>
    </row>
    <row r="2404" ht="12.75" hidden="1" customHeight="1" outlineLevel="1">
      <c r="A2404" s="17">
        <v>41411.0</v>
      </c>
      <c r="B2404" s="1"/>
      <c r="C2404" s="1" t="s">
        <v>339</v>
      </c>
      <c r="D2404" s="74"/>
      <c r="E2404" s="67"/>
      <c r="F2404" s="75"/>
      <c r="G2404" s="67"/>
      <c r="H2404" s="68"/>
      <c r="I2404" s="76"/>
      <c r="J2404" s="67"/>
      <c r="K2404" s="7" t="s">
        <v>1064</v>
      </c>
      <c r="L2404" s="77"/>
      <c r="M2404" s="79"/>
      <c r="N2404" s="1"/>
      <c r="O2404" s="1"/>
      <c r="P2404" s="1"/>
      <c r="Q2404" s="1"/>
      <c r="R2404" s="1"/>
      <c r="S2404" s="1"/>
      <c r="T2404" s="1"/>
      <c r="U2404" s="1"/>
      <c r="V2404" s="1"/>
      <c r="W2404" s="1"/>
      <c r="X2404" s="1"/>
      <c r="Y2404" s="1"/>
      <c r="Z2404" s="1"/>
      <c r="AA2404" s="1"/>
      <c r="AB2404" s="1"/>
      <c r="AC2404" s="1"/>
      <c r="AD2404" s="1"/>
      <c r="AE2404" s="1"/>
      <c r="AF2404" s="1"/>
      <c r="AG2404" s="1"/>
      <c r="AH2404" s="1"/>
    </row>
    <row r="2405" ht="12.75" hidden="1" customHeight="1" outlineLevel="1">
      <c r="A2405" s="17">
        <v>41411.0</v>
      </c>
      <c r="B2405" s="1"/>
      <c r="C2405" s="1" t="s">
        <v>429</v>
      </c>
      <c r="D2405" s="74"/>
      <c r="E2405" s="67"/>
      <c r="F2405" s="75"/>
      <c r="G2405" s="67"/>
      <c r="H2405" s="68"/>
      <c r="I2405" s="76"/>
      <c r="J2405" s="67"/>
      <c r="K2405" s="7" t="s">
        <v>1034</v>
      </c>
      <c r="L2405" s="77"/>
      <c r="M2405" s="79"/>
      <c r="N2405" s="1"/>
      <c r="O2405" s="1"/>
      <c r="P2405" s="1"/>
      <c r="Q2405" s="1"/>
      <c r="R2405" s="1"/>
      <c r="S2405" s="1"/>
      <c r="T2405" s="1"/>
      <c r="U2405" s="1"/>
      <c r="V2405" s="1"/>
      <c r="W2405" s="1"/>
      <c r="X2405" s="1"/>
      <c r="Y2405" s="1"/>
      <c r="Z2405" s="1"/>
      <c r="AA2405" s="1"/>
      <c r="AB2405" s="1"/>
      <c r="AC2405" s="1"/>
      <c r="AD2405" s="1"/>
      <c r="AE2405" s="1"/>
      <c r="AF2405" s="1"/>
      <c r="AG2405" s="1"/>
      <c r="AH2405" s="1"/>
    </row>
    <row r="2406" ht="12.75" hidden="1" customHeight="1" outlineLevel="1">
      <c r="A2406" s="17">
        <v>41411.0</v>
      </c>
      <c r="B2406" s="1"/>
      <c r="C2406" s="1" t="s">
        <v>431</v>
      </c>
      <c r="D2406" s="74"/>
      <c r="E2406" s="67"/>
      <c r="F2406" s="75"/>
      <c r="G2406" s="67"/>
      <c r="H2406" s="68"/>
      <c r="I2406" s="76"/>
      <c r="J2406" s="67"/>
      <c r="K2406" s="7" t="s">
        <v>817</v>
      </c>
      <c r="L2406" s="77"/>
      <c r="M2406" s="79"/>
      <c r="N2406" s="1"/>
      <c r="O2406" s="1"/>
      <c r="P2406" s="1"/>
      <c r="Q2406" s="1"/>
      <c r="R2406" s="1"/>
      <c r="S2406" s="1"/>
      <c r="T2406" s="1"/>
      <c r="U2406" s="1"/>
      <c r="V2406" s="1"/>
      <c r="W2406" s="1"/>
      <c r="X2406" s="1"/>
      <c r="Y2406" s="1"/>
      <c r="Z2406" s="1"/>
      <c r="AA2406" s="1"/>
      <c r="AB2406" s="1"/>
      <c r="AC2406" s="1"/>
      <c r="AD2406" s="1"/>
      <c r="AE2406" s="1"/>
      <c r="AF2406" s="1"/>
      <c r="AG2406" s="1"/>
      <c r="AH2406" s="1"/>
    </row>
    <row r="2407" ht="12.75" hidden="1" customHeight="1" outlineLevel="1">
      <c r="A2407" s="17">
        <v>41411.0</v>
      </c>
      <c r="B2407" s="1"/>
      <c r="C2407" s="1" t="s">
        <v>433</v>
      </c>
      <c r="D2407" s="74"/>
      <c r="E2407" s="67"/>
      <c r="F2407" s="75"/>
      <c r="G2407" s="67"/>
      <c r="H2407" s="68"/>
      <c r="I2407" s="76"/>
      <c r="J2407" s="67"/>
      <c r="K2407" s="7" t="s">
        <v>434</v>
      </c>
      <c r="L2407" s="77"/>
      <c r="M2407" s="79"/>
      <c r="N2407" s="1"/>
      <c r="O2407" s="1"/>
      <c r="P2407" s="1"/>
      <c r="Q2407" s="1"/>
      <c r="R2407" s="1"/>
      <c r="S2407" s="1"/>
      <c r="T2407" s="1"/>
      <c r="U2407" s="1"/>
      <c r="V2407" s="1"/>
      <c r="W2407" s="1"/>
      <c r="X2407" s="1"/>
      <c r="Y2407" s="1"/>
      <c r="Z2407" s="1"/>
      <c r="AA2407" s="1"/>
      <c r="AB2407" s="1"/>
      <c r="AC2407" s="1"/>
      <c r="AD2407" s="1"/>
      <c r="AE2407" s="1"/>
      <c r="AF2407" s="1"/>
      <c r="AG2407" s="1"/>
      <c r="AH2407" s="1"/>
    </row>
    <row r="2408" ht="12.75" hidden="1" customHeight="1" outlineLevel="1">
      <c r="A2408" s="17">
        <v>41411.0</v>
      </c>
      <c r="B2408" s="1"/>
      <c r="C2408" s="1" t="s">
        <v>435</v>
      </c>
      <c r="D2408" s="74"/>
      <c r="E2408" s="67"/>
      <c r="F2408" s="75"/>
      <c r="G2408" s="67"/>
      <c r="H2408" s="68"/>
      <c r="I2408" s="76"/>
      <c r="J2408" s="67"/>
      <c r="K2408" s="7" t="s">
        <v>818</v>
      </c>
      <c r="L2408" s="77"/>
      <c r="M2408" s="79"/>
      <c r="N2408" s="1"/>
      <c r="O2408" s="1"/>
      <c r="P2408" s="1"/>
      <c r="Q2408" s="1"/>
      <c r="R2408" s="1"/>
      <c r="S2408" s="1"/>
      <c r="T2408" s="1"/>
      <c r="U2408" s="1"/>
      <c r="V2408" s="1"/>
      <c r="W2408" s="1"/>
      <c r="X2408" s="1"/>
      <c r="Y2408" s="1"/>
      <c r="Z2408" s="1"/>
      <c r="AA2408" s="1"/>
      <c r="AB2408" s="1"/>
      <c r="AC2408" s="1"/>
      <c r="AD2408" s="1"/>
      <c r="AE2408" s="1"/>
      <c r="AF2408" s="1"/>
      <c r="AG2408" s="1"/>
      <c r="AH2408" s="1"/>
    </row>
    <row r="2409" ht="12.75" hidden="1" customHeight="1" outlineLevel="1">
      <c r="A2409" s="17">
        <v>41414.0</v>
      </c>
      <c r="B2409" s="1"/>
      <c r="C2409" s="1" t="s">
        <v>339</v>
      </c>
      <c r="D2409" s="74"/>
      <c r="E2409" s="67"/>
      <c r="F2409" s="75"/>
      <c r="G2409" s="67"/>
      <c r="H2409" s="68"/>
      <c r="I2409" s="76"/>
      <c r="J2409" s="67"/>
      <c r="K2409" s="7" t="s">
        <v>1065</v>
      </c>
      <c r="L2409" s="77"/>
      <c r="M2409" s="79"/>
      <c r="N2409" s="1"/>
      <c r="O2409" s="1"/>
      <c r="P2409" s="1"/>
      <c r="Q2409" s="1"/>
      <c r="R2409" s="1"/>
      <c r="S2409" s="1"/>
      <c r="T2409" s="1"/>
      <c r="U2409" s="1"/>
      <c r="V2409" s="1"/>
      <c r="W2409" s="1"/>
      <c r="X2409" s="1"/>
      <c r="Y2409" s="1"/>
      <c r="Z2409" s="1"/>
      <c r="AA2409" s="1"/>
      <c r="AB2409" s="1"/>
      <c r="AC2409" s="1"/>
      <c r="AD2409" s="1"/>
      <c r="AE2409" s="1"/>
      <c r="AF2409" s="1"/>
      <c r="AG2409" s="1"/>
      <c r="AH2409" s="1"/>
    </row>
    <row r="2410" ht="12.75" hidden="1" customHeight="1" outlineLevel="1">
      <c r="A2410" s="17">
        <v>41414.0</v>
      </c>
      <c r="B2410" s="1"/>
      <c r="C2410" s="1" t="s">
        <v>429</v>
      </c>
      <c r="D2410" s="74"/>
      <c r="E2410" s="67"/>
      <c r="F2410" s="75"/>
      <c r="G2410" s="67"/>
      <c r="H2410" s="68"/>
      <c r="I2410" s="76"/>
      <c r="J2410" s="67"/>
      <c r="K2410" s="7" t="s">
        <v>1034</v>
      </c>
      <c r="L2410" s="77"/>
      <c r="M2410" s="79"/>
      <c r="N2410" s="1"/>
      <c r="O2410" s="1"/>
      <c r="P2410" s="1"/>
      <c r="Q2410" s="1"/>
      <c r="R2410" s="1"/>
      <c r="S2410" s="1"/>
      <c r="T2410" s="1"/>
      <c r="U2410" s="1"/>
      <c r="V2410" s="1"/>
      <c r="W2410" s="1"/>
      <c r="X2410" s="1"/>
      <c r="Y2410" s="1"/>
      <c r="Z2410" s="1"/>
      <c r="AA2410" s="1"/>
      <c r="AB2410" s="1"/>
      <c r="AC2410" s="1"/>
      <c r="AD2410" s="1"/>
      <c r="AE2410" s="1"/>
      <c r="AF2410" s="1"/>
      <c r="AG2410" s="1"/>
      <c r="AH2410" s="1"/>
    </row>
    <row r="2411" ht="12.75" hidden="1" customHeight="1" outlineLevel="1">
      <c r="A2411" s="17">
        <v>41414.0</v>
      </c>
      <c r="B2411" s="1"/>
      <c r="C2411" s="1" t="s">
        <v>431</v>
      </c>
      <c r="D2411" s="74"/>
      <c r="E2411" s="67"/>
      <c r="F2411" s="75"/>
      <c r="G2411" s="67"/>
      <c r="H2411" s="68"/>
      <c r="I2411" s="76"/>
      <c r="J2411" s="67"/>
      <c r="K2411" s="7" t="s">
        <v>817</v>
      </c>
      <c r="L2411" s="77"/>
      <c r="M2411" s="79"/>
      <c r="N2411" s="1"/>
      <c r="O2411" s="1"/>
      <c r="P2411" s="1"/>
      <c r="Q2411" s="1"/>
      <c r="R2411" s="1"/>
      <c r="S2411" s="1"/>
      <c r="T2411" s="1"/>
      <c r="U2411" s="1"/>
      <c r="V2411" s="1"/>
      <c r="W2411" s="1"/>
      <c r="X2411" s="1"/>
      <c r="Y2411" s="1"/>
      <c r="Z2411" s="1"/>
      <c r="AA2411" s="1"/>
      <c r="AB2411" s="1"/>
      <c r="AC2411" s="1"/>
      <c r="AD2411" s="1"/>
      <c r="AE2411" s="1"/>
      <c r="AF2411" s="1"/>
      <c r="AG2411" s="1"/>
      <c r="AH2411" s="1"/>
    </row>
    <row r="2412" ht="12.75" hidden="1" customHeight="1" outlineLevel="1">
      <c r="A2412" s="17">
        <v>41414.0</v>
      </c>
      <c r="B2412" s="1"/>
      <c r="C2412" s="1" t="s">
        <v>433</v>
      </c>
      <c r="D2412" s="74"/>
      <c r="E2412" s="67"/>
      <c r="F2412" s="75"/>
      <c r="G2412" s="67"/>
      <c r="H2412" s="68"/>
      <c r="I2412" s="76"/>
      <c r="J2412" s="67"/>
      <c r="K2412" s="7" t="s">
        <v>434</v>
      </c>
      <c r="L2412" s="77"/>
      <c r="M2412" s="79"/>
      <c r="N2412" s="1"/>
      <c r="O2412" s="1"/>
      <c r="P2412" s="1"/>
      <c r="Q2412" s="1"/>
      <c r="R2412" s="1"/>
      <c r="S2412" s="1"/>
      <c r="T2412" s="1"/>
      <c r="U2412" s="1"/>
      <c r="V2412" s="1"/>
      <c r="W2412" s="1"/>
      <c r="X2412" s="1"/>
      <c r="Y2412" s="1"/>
      <c r="Z2412" s="1"/>
      <c r="AA2412" s="1"/>
      <c r="AB2412" s="1"/>
      <c r="AC2412" s="1"/>
      <c r="AD2412" s="1"/>
      <c r="AE2412" s="1"/>
      <c r="AF2412" s="1"/>
      <c r="AG2412" s="1"/>
      <c r="AH2412" s="1"/>
    </row>
    <row r="2413" ht="12.75" hidden="1" customHeight="1" outlineLevel="1">
      <c r="A2413" s="17">
        <v>41414.0</v>
      </c>
      <c r="B2413" s="1"/>
      <c r="C2413" s="1" t="s">
        <v>435</v>
      </c>
      <c r="D2413" s="74"/>
      <c r="E2413" s="67"/>
      <c r="F2413" s="75"/>
      <c r="G2413" s="67"/>
      <c r="H2413" s="68"/>
      <c r="I2413" s="76"/>
      <c r="J2413" s="67"/>
      <c r="K2413" s="7" t="s">
        <v>818</v>
      </c>
      <c r="L2413" s="77"/>
      <c r="M2413" s="79"/>
      <c r="N2413" s="1"/>
      <c r="O2413" s="1"/>
      <c r="P2413" s="1"/>
      <c r="Q2413" s="1"/>
      <c r="R2413" s="1"/>
      <c r="S2413" s="1"/>
      <c r="T2413" s="1"/>
      <c r="U2413" s="1"/>
      <c r="V2413" s="1"/>
      <c r="W2413" s="1"/>
      <c r="X2413" s="1"/>
      <c r="Y2413" s="1"/>
      <c r="Z2413" s="1"/>
      <c r="AA2413" s="1"/>
      <c r="AB2413" s="1"/>
      <c r="AC2413" s="1"/>
      <c r="AD2413" s="1"/>
      <c r="AE2413" s="1"/>
      <c r="AF2413" s="1"/>
      <c r="AG2413" s="1"/>
      <c r="AH2413" s="1"/>
    </row>
    <row r="2414" ht="12.75" hidden="1" customHeight="1" outlineLevel="1">
      <c r="A2414" s="17">
        <v>41415.0</v>
      </c>
      <c r="B2414" s="1" t="s">
        <v>343</v>
      </c>
      <c r="C2414" s="1" t="s">
        <v>1060</v>
      </c>
      <c r="D2414" s="74">
        <v>500.0</v>
      </c>
      <c r="E2414" s="67">
        <v>26.52</v>
      </c>
      <c r="F2414" s="75">
        <v>0.39912037037037035</v>
      </c>
      <c r="G2414" s="67" t="s">
        <v>453</v>
      </c>
      <c r="H2414" s="68">
        <v>2.5</v>
      </c>
      <c r="I2414" s="76"/>
      <c r="J2414" s="67">
        <f>IF(B2414="SLD",D2414*E2414,-D2414*E2414)-H2414</f>
        <v>-13262.5</v>
      </c>
      <c r="K2414" s="7"/>
      <c r="L2414" s="70"/>
      <c r="M2414" s="79"/>
      <c r="N2414" s="1"/>
      <c r="O2414" s="1"/>
      <c r="P2414" s="1"/>
      <c r="Q2414" s="1"/>
      <c r="R2414" s="1"/>
      <c r="S2414" s="1"/>
      <c r="T2414" s="1"/>
      <c r="U2414" s="1"/>
      <c r="V2414" s="1"/>
      <c r="W2414" s="1"/>
      <c r="X2414" s="1"/>
      <c r="Y2414" s="1"/>
      <c r="Z2414" s="1"/>
      <c r="AA2414" s="1"/>
      <c r="AB2414" s="1"/>
      <c r="AC2414" s="1"/>
      <c r="AD2414" s="1"/>
      <c r="AE2414" s="1"/>
      <c r="AF2414" s="1"/>
      <c r="AG2414" s="1"/>
      <c r="AH2414" s="1"/>
    </row>
    <row r="2415" ht="12.75" hidden="1" customHeight="1" outlineLevel="1">
      <c r="A2415" s="17">
        <v>41415.0</v>
      </c>
      <c r="B2415" s="1"/>
      <c r="C2415" s="1" t="s">
        <v>339</v>
      </c>
      <c r="D2415" s="74"/>
      <c r="E2415" s="67"/>
      <c r="F2415" s="75"/>
      <c r="G2415" s="67"/>
      <c r="H2415" s="68"/>
      <c r="I2415" s="76"/>
      <c r="J2415" s="67"/>
      <c r="K2415" s="7" t="s">
        <v>1066</v>
      </c>
      <c r="L2415" s="77"/>
      <c r="M2415" s="79"/>
      <c r="N2415" s="1"/>
      <c r="O2415" s="1"/>
      <c r="P2415" s="1"/>
      <c r="Q2415" s="1"/>
      <c r="R2415" s="1"/>
      <c r="S2415" s="1"/>
      <c r="T2415" s="1"/>
      <c r="U2415" s="1"/>
      <c r="V2415" s="1"/>
      <c r="W2415" s="1"/>
      <c r="X2415" s="1"/>
      <c r="Y2415" s="1"/>
      <c r="Z2415" s="1"/>
      <c r="AA2415" s="1"/>
      <c r="AB2415" s="1"/>
      <c r="AC2415" s="1"/>
      <c r="AD2415" s="1"/>
      <c r="AE2415" s="1"/>
      <c r="AF2415" s="1"/>
      <c r="AG2415" s="1"/>
      <c r="AH2415" s="1"/>
    </row>
    <row r="2416" ht="12.75" hidden="1" customHeight="1" outlineLevel="1">
      <c r="A2416" s="17">
        <v>41415.0</v>
      </c>
      <c r="B2416" s="1"/>
      <c r="C2416" s="1" t="s">
        <v>429</v>
      </c>
      <c r="D2416" s="74"/>
      <c r="E2416" s="67"/>
      <c r="F2416" s="75"/>
      <c r="G2416" s="67"/>
      <c r="H2416" s="68"/>
      <c r="I2416" s="76"/>
      <c r="J2416" s="67"/>
      <c r="K2416" s="7" t="s">
        <v>1034</v>
      </c>
      <c r="L2416" s="77"/>
      <c r="M2416" s="79"/>
      <c r="N2416" s="1"/>
      <c r="O2416" s="1"/>
      <c r="P2416" s="1"/>
      <c r="Q2416" s="1"/>
      <c r="R2416" s="1"/>
      <c r="S2416" s="1"/>
      <c r="T2416" s="1"/>
      <c r="U2416" s="1"/>
      <c r="V2416" s="1"/>
      <c r="W2416" s="1"/>
      <c r="X2416" s="1"/>
      <c r="Y2416" s="1"/>
      <c r="Z2416" s="1"/>
      <c r="AA2416" s="1"/>
      <c r="AB2416" s="1"/>
      <c r="AC2416" s="1"/>
      <c r="AD2416" s="1"/>
      <c r="AE2416" s="1"/>
      <c r="AF2416" s="1"/>
      <c r="AG2416" s="1"/>
      <c r="AH2416" s="1"/>
    </row>
    <row r="2417" ht="12.75" hidden="1" customHeight="1" outlineLevel="1">
      <c r="A2417" s="17">
        <v>41415.0</v>
      </c>
      <c r="B2417" s="1"/>
      <c r="C2417" s="1" t="s">
        <v>431</v>
      </c>
      <c r="D2417" s="74"/>
      <c r="E2417" s="67"/>
      <c r="F2417" s="75"/>
      <c r="G2417" s="67"/>
      <c r="H2417" s="68"/>
      <c r="I2417" s="76"/>
      <c r="J2417" s="67"/>
      <c r="K2417" s="7" t="s">
        <v>817</v>
      </c>
      <c r="L2417" s="77"/>
      <c r="M2417" s="79"/>
      <c r="N2417" s="1"/>
      <c r="O2417" s="1"/>
      <c r="P2417" s="1"/>
      <c r="Q2417" s="1"/>
      <c r="R2417" s="1"/>
      <c r="S2417" s="1"/>
      <c r="T2417" s="1"/>
      <c r="U2417" s="1"/>
      <c r="V2417" s="1"/>
      <c r="W2417" s="1"/>
      <c r="X2417" s="1"/>
      <c r="Y2417" s="1"/>
      <c r="Z2417" s="1"/>
      <c r="AA2417" s="1"/>
      <c r="AB2417" s="1"/>
      <c r="AC2417" s="1"/>
      <c r="AD2417" s="1"/>
      <c r="AE2417" s="1"/>
      <c r="AF2417" s="1"/>
      <c r="AG2417" s="1"/>
      <c r="AH2417" s="1"/>
    </row>
    <row r="2418" ht="12.75" hidden="1" customHeight="1" outlineLevel="1">
      <c r="A2418" s="17">
        <v>41415.0</v>
      </c>
      <c r="B2418" s="1"/>
      <c r="C2418" s="1" t="s">
        <v>433</v>
      </c>
      <c r="D2418" s="74"/>
      <c r="E2418" s="67"/>
      <c r="F2418" s="75"/>
      <c r="G2418" s="67"/>
      <c r="H2418" s="68"/>
      <c r="I2418" s="76"/>
      <c r="J2418" s="67"/>
      <c r="K2418" s="7" t="s">
        <v>434</v>
      </c>
      <c r="L2418" s="77"/>
      <c r="M2418" s="79"/>
      <c r="N2418" s="1"/>
      <c r="O2418" s="1"/>
      <c r="P2418" s="1"/>
      <c r="Q2418" s="1"/>
      <c r="R2418" s="1"/>
      <c r="S2418" s="1"/>
      <c r="T2418" s="1"/>
      <c r="U2418" s="1"/>
      <c r="V2418" s="1"/>
      <c r="W2418" s="1"/>
      <c r="X2418" s="1"/>
      <c r="Y2418" s="1"/>
      <c r="Z2418" s="1"/>
      <c r="AA2418" s="1"/>
      <c r="AB2418" s="1"/>
      <c r="AC2418" s="1"/>
      <c r="AD2418" s="1"/>
      <c r="AE2418" s="1"/>
      <c r="AF2418" s="1"/>
      <c r="AG2418" s="1"/>
      <c r="AH2418" s="1"/>
    </row>
    <row r="2419" ht="12.75" hidden="1" customHeight="1" outlineLevel="1">
      <c r="A2419" s="17">
        <v>41415.0</v>
      </c>
      <c r="B2419" s="1"/>
      <c r="C2419" s="1" t="s">
        <v>435</v>
      </c>
      <c r="D2419" s="74"/>
      <c r="E2419" s="67"/>
      <c r="F2419" s="75"/>
      <c r="G2419" s="67"/>
      <c r="H2419" s="68"/>
      <c r="I2419" s="76"/>
      <c r="J2419" s="67"/>
      <c r="K2419" s="7" t="s">
        <v>818</v>
      </c>
      <c r="L2419" s="77"/>
      <c r="M2419" s="79"/>
      <c r="N2419" s="1"/>
      <c r="O2419" s="1"/>
      <c r="P2419" s="1"/>
      <c r="Q2419" s="1"/>
      <c r="R2419" s="1"/>
      <c r="S2419" s="1"/>
      <c r="T2419" s="1"/>
      <c r="U2419" s="1"/>
      <c r="V2419" s="1"/>
      <c r="W2419" s="1"/>
      <c r="X2419" s="1"/>
      <c r="Y2419" s="1"/>
      <c r="Z2419" s="1"/>
      <c r="AA2419" s="1"/>
      <c r="AB2419" s="1"/>
      <c r="AC2419" s="1"/>
      <c r="AD2419" s="1"/>
      <c r="AE2419" s="1"/>
      <c r="AF2419" s="1"/>
      <c r="AG2419" s="1"/>
      <c r="AH2419" s="1"/>
    </row>
    <row r="2420" ht="12.75" hidden="1" customHeight="1" outlineLevel="1">
      <c r="A2420" s="17">
        <v>41416.0</v>
      </c>
      <c r="B2420" s="1" t="s">
        <v>347</v>
      </c>
      <c r="C2420" s="1" t="s">
        <v>605</v>
      </c>
      <c r="D2420" s="74">
        <v>200.0</v>
      </c>
      <c r="E2420" s="67">
        <v>64.92</v>
      </c>
      <c r="F2420" s="75">
        <v>0.5938078703703703</v>
      </c>
      <c r="G2420" s="67" t="s">
        <v>453</v>
      </c>
      <c r="H2420" s="68">
        <v>1.0</v>
      </c>
      <c r="I2420" s="76"/>
      <c r="J2420" s="67">
        <f t="shared" ref="J2420:J2423" si="171">IF(B2420="SLD",D2420*E2420,-D2420*E2420)-H2420</f>
        <v>12983</v>
      </c>
      <c r="K2420" s="7"/>
      <c r="L2420" s="70"/>
      <c r="M2420" s="79"/>
      <c r="N2420" s="1"/>
      <c r="O2420" s="1"/>
      <c r="P2420" s="1"/>
      <c r="Q2420" s="1"/>
      <c r="R2420" s="1"/>
      <c r="S2420" s="1"/>
      <c r="T2420" s="1"/>
      <c r="U2420" s="1"/>
      <c r="V2420" s="1"/>
      <c r="W2420" s="1"/>
      <c r="X2420" s="1"/>
      <c r="Y2420" s="1"/>
      <c r="Z2420" s="1"/>
      <c r="AA2420" s="1"/>
      <c r="AB2420" s="1"/>
      <c r="AC2420" s="1"/>
      <c r="AD2420" s="1"/>
      <c r="AE2420" s="1"/>
      <c r="AF2420" s="1"/>
      <c r="AG2420" s="1"/>
      <c r="AH2420" s="1"/>
    </row>
    <row r="2421" ht="12.75" hidden="1" customHeight="1" outlineLevel="1">
      <c r="A2421" s="17">
        <v>41416.0</v>
      </c>
      <c r="B2421" s="1" t="s">
        <v>347</v>
      </c>
      <c r="C2421" s="1" t="s">
        <v>861</v>
      </c>
      <c r="D2421" s="74">
        <v>1200.0</v>
      </c>
      <c r="E2421" s="67">
        <v>14.961</v>
      </c>
      <c r="F2421" s="75">
        <v>0.6140277777777777</v>
      </c>
      <c r="G2421" s="67" t="s">
        <v>453</v>
      </c>
      <c r="H2421" s="68">
        <v>6.0</v>
      </c>
      <c r="I2421" s="76"/>
      <c r="J2421" s="67">
        <f t="shared" si="171"/>
        <v>17947.2</v>
      </c>
      <c r="K2421" s="7"/>
      <c r="L2421" s="70"/>
      <c r="M2421" s="79"/>
      <c r="N2421" s="1"/>
      <c r="O2421" s="1"/>
      <c r="P2421" s="1"/>
      <c r="Q2421" s="1"/>
      <c r="R2421" s="1"/>
      <c r="S2421" s="1"/>
      <c r="T2421" s="1"/>
      <c r="U2421" s="1"/>
      <c r="V2421" s="1"/>
      <c r="W2421" s="1"/>
      <c r="X2421" s="1"/>
      <c r="Y2421" s="1"/>
      <c r="Z2421" s="1"/>
      <c r="AA2421" s="1"/>
      <c r="AB2421" s="1"/>
      <c r="AC2421" s="1"/>
      <c r="AD2421" s="1"/>
      <c r="AE2421" s="1"/>
      <c r="AF2421" s="1"/>
      <c r="AG2421" s="1"/>
      <c r="AH2421" s="1"/>
    </row>
    <row r="2422" ht="12.75" hidden="1" customHeight="1" outlineLevel="1">
      <c r="A2422" s="17">
        <v>41416.0</v>
      </c>
      <c r="B2422" s="1" t="s">
        <v>347</v>
      </c>
      <c r="C2422" s="1" t="s">
        <v>354</v>
      </c>
      <c r="D2422" s="74">
        <v>250.0</v>
      </c>
      <c r="E2422" s="67">
        <v>93.527</v>
      </c>
      <c r="F2422" s="75">
        <v>0.6347569444444444</v>
      </c>
      <c r="G2422" s="67" t="s">
        <v>453</v>
      </c>
      <c r="H2422" s="68">
        <v>1.0</v>
      </c>
      <c r="I2422" s="76"/>
      <c r="J2422" s="67">
        <f t="shared" si="171"/>
        <v>23380.75</v>
      </c>
      <c r="K2422" s="7"/>
      <c r="L2422" s="70"/>
      <c r="M2422" s="79"/>
      <c r="N2422" s="1"/>
      <c r="O2422" s="1"/>
      <c r="P2422" s="1"/>
      <c r="Q2422" s="1"/>
      <c r="R2422" s="1"/>
      <c r="S2422" s="1"/>
      <c r="T2422" s="1"/>
      <c r="U2422" s="1"/>
      <c r="V2422" s="1"/>
      <c r="W2422" s="1"/>
      <c r="X2422" s="1"/>
      <c r="Y2422" s="1"/>
      <c r="Z2422" s="1"/>
      <c r="AA2422" s="1"/>
      <c r="AB2422" s="1"/>
      <c r="AC2422" s="1"/>
      <c r="AD2422" s="1"/>
      <c r="AE2422" s="1"/>
      <c r="AF2422" s="1"/>
      <c r="AG2422" s="1"/>
      <c r="AH2422" s="1"/>
    </row>
    <row r="2423" ht="12.75" hidden="1" customHeight="1" outlineLevel="1">
      <c r="A2423" s="17">
        <v>41416.0</v>
      </c>
      <c r="B2423" s="1" t="s">
        <v>347</v>
      </c>
      <c r="C2423" s="1" t="s">
        <v>851</v>
      </c>
      <c r="D2423" s="74">
        <v>1300.0</v>
      </c>
      <c r="E2423" s="67">
        <v>18.198</v>
      </c>
      <c r="F2423" s="75">
        <v>0.636087962962963</v>
      </c>
      <c r="G2423" s="67" t="s">
        <v>453</v>
      </c>
      <c r="H2423" s="68">
        <v>7.0</v>
      </c>
      <c r="I2423" s="76"/>
      <c r="J2423" s="67">
        <f t="shared" si="171"/>
        <v>23650.4</v>
      </c>
      <c r="K2423" s="7"/>
      <c r="L2423" s="70"/>
      <c r="M2423" s="79"/>
      <c r="N2423" s="1"/>
      <c r="O2423" s="1"/>
      <c r="P2423" s="1"/>
      <c r="Q2423" s="1"/>
      <c r="R2423" s="1"/>
      <c r="S2423" s="1"/>
      <c r="T2423" s="1"/>
      <c r="U2423" s="1"/>
      <c r="V2423" s="1"/>
      <c r="W2423" s="1"/>
      <c r="X2423" s="1"/>
      <c r="Y2423" s="1"/>
      <c r="Z2423" s="1"/>
      <c r="AA2423" s="1"/>
      <c r="AB2423" s="1"/>
      <c r="AC2423" s="1"/>
      <c r="AD2423" s="1"/>
      <c r="AE2423" s="1"/>
      <c r="AF2423" s="1"/>
      <c r="AG2423" s="1"/>
      <c r="AH2423" s="1"/>
    </row>
    <row r="2424" ht="12.75" hidden="1" customHeight="1" outlineLevel="1">
      <c r="A2424" s="17">
        <v>41416.0</v>
      </c>
      <c r="B2424" s="1"/>
      <c r="C2424" s="1" t="s">
        <v>339</v>
      </c>
      <c r="D2424" s="74"/>
      <c r="E2424" s="67"/>
      <c r="F2424" s="75"/>
      <c r="G2424" s="67"/>
      <c r="H2424" s="68"/>
      <c r="I2424" s="76"/>
      <c r="J2424" s="67"/>
      <c r="K2424" s="7" t="s">
        <v>1068</v>
      </c>
      <c r="L2424" s="77"/>
      <c r="M2424" s="79"/>
      <c r="N2424" s="1"/>
      <c r="O2424" s="1"/>
      <c r="P2424" s="1"/>
      <c r="Q2424" s="1"/>
      <c r="R2424" s="1"/>
      <c r="S2424" s="1"/>
      <c r="T2424" s="1"/>
      <c r="U2424" s="1"/>
      <c r="V2424" s="1"/>
      <c r="W2424" s="1"/>
      <c r="X2424" s="1"/>
      <c r="Y2424" s="1"/>
      <c r="Z2424" s="1"/>
      <c r="AA2424" s="1"/>
      <c r="AB2424" s="1"/>
      <c r="AC2424" s="1"/>
      <c r="AD2424" s="1"/>
      <c r="AE2424" s="1"/>
      <c r="AF2424" s="1"/>
      <c r="AG2424" s="1"/>
      <c r="AH2424" s="1"/>
    </row>
    <row r="2425" ht="12.75" hidden="1" customHeight="1" outlineLevel="1">
      <c r="A2425" s="17">
        <v>41416.0</v>
      </c>
      <c r="B2425" s="1"/>
      <c r="C2425" s="1" t="s">
        <v>429</v>
      </c>
      <c r="D2425" s="74"/>
      <c r="E2425" s="67"/>
      <c r="F2425" s="75"/>
      <c r="G2425" s="67"/>
      <c r="H2425" s="68"/>
      <c r="I2425" s="76"/>
      <c r="J2425" s="67"/>
      <c r="K2425" s="7" t="s">
        <v>1034</v>
      </c>
      <c r="L2425" s="77"/>
      <c r="M2425" s="79"/>
      <c r="N2425" s="1"/>
      <c r="O2425" s="1"/>
      <c r="P2425" s="1"/>
      <c r="Q2425" s="1"/>
      <c r="R2425" s="1"/>
      <c r="S2425" s="1"/>
      <c r="T2425" s="1"/>
      <c r="U2425" s="1"/>
      <c r="V2425" s="1"/>
      <c r="W2425" s="1"/>
      <c r="X2425" s="1"/>
      <c r="Y2425" s="1"/>
      <c r="Z2425" s="1"/>
      <c r="AA2425" s="1"/>
      <c r="AB2425" s="1"/>
      <c r="AC2425" s="1"/>
      <c r="AD2425" s="1"/>
      <c r="AE2425" s="1"/>
      <c r="AF2425" s="1"/>
      <c r="AG2425" s="1"/>
      <c r="AH2425" s="1"/>
    </row>
    <row r="2426" ht="12.75" hidden="1" customHeight="1" outlineLevel="1">
      <c r="A2426" s="17">
        <v>41416.0</v>
      </c>
      <c r="B2426" s="1"/>
      <c r="C2426" s="1" t="s">
        <v>431</v>
      </c>
      <c r="D2426" s="74"/>
      <c r="E2426" s="67"/>
      <c r="F2426" s="75"/>
      <c r="G2426" s="67"/>
      <c r="H2426" s="68"/>
      <c r="I2426" s="76"/>
      <c r="J2426" s="67"/>
      <c r="K2426" s="7" t="s">
        <v>817</v>
      </c>
      <c r="L2426" s="77"/>
      <c r="M2426" s="79"/>
      <c r="N2426" s="1"/>
      <c r="O2426" s="1"/>
      <c r="P2426" s="1"/>
      <c r="Q2426" s="1"/>
      <c r="R2426" s="1"/>
      <c r="S2426" s="1"/>
      <c r="T2426" s="1"/>
      <c r="U2426" s="1"/>
      <c r="V2426" s="1"/>
      <c r="W2426" s="1"/>
      <c r="X2426" s="1"/>
      <c r="Y2426" s="1"/>
      <c r="Z2426" s="1"/>
      <c r="AA2426" s="1"/>
      <c r="AB2426" s="1"/>
      <c r="AC2426" s="1"/>
      <c r="AD2426" s="1"/>
      <c r="AE2426" s="1"/>
      <c r="AF2426" s="1"/>
      <c r="AG2426" s="1"/>
      <c r="AH2426" s="1"/>
    </row>
    <row r="2427" ht="12.75" hidden="1" customHeight="1" outlineLevel="1">
      <c r="A2427" s="17">
        <v>41416.0</v>
      </c>
      <c r="B2427" s="1"/>
      <c r="C2427" s="1" t="s">
        <v>433</v>
      </c>
      <c r="D2427" s="74"/>
      <c r="E2427" s="67"/>
      <c r="F2427" s="75"/>
      <c r="G2427" s="67"/>
      <c r="H2427" s="68"/>
      <c r="I2427" s="76"/>
      <c r="J2427" s="67"/>
      <c r="K2427" s="7" t="s">
        <v>434</v>
      </c>
      <c r="L2427" s="77"/>
      <c r="M2427" s="79"/>
      <c r="N2427" s="1"/>
      <c r="O2427" s="1"/>
      <c r="P2427" s="1"/>
      <c r="Q2427" s="1"/>
      <c r="R2427" s="1"/>
      <c r="S2427" s="1"/>
      <c r="T2427" s="1"/>
      <c r="U2427" s="1"/>
      <c r="V2427" s="1"/>
      <c r="W2427" s="1"/>
      <c r="X2427" s="1"/>
      <c r="Y2427" s="1"/>
      <c r="Z2427" s="1"/>
      <c r="AA2427" s="1"/>
      <c r="AB2427" s="1"/>
      <c r="AC2427" s="1"/>
      <c r="AD2427" s="1"/>
      <c r="AE2427" s="1"/>
      <c r="AF2427" s="1"/>
      <c r="AG2427" s="1"/>
      <c r="AH2427" s="1"/>
    </row>
    <row r="2428" ht="12.75" hidden="1" customHeight="1" outlineLevel="1">
      <c r="A2428" s="17">
        <v>41416.0</v>
      </c>
      <c r="B2428" s="1"/>
      <c r="C2428" s="1" t="s">
        <v>435</v>
      </c>
      <c r="D2428" s="74"/>
      <c r="E2428" s="67"/>
      <c r="F2428" s="75"/>
      <c r="G2428" s="67"/>
      <c r="H2428" s="68"/>
      <c r="I2428" s="76"/>
      <c r="J2428" s="67"/>
      <c r="K2428" s="7" t="s">
        <v>818</v>
      </c>
      <c r="L2428" s="77"/>
      <c r="M2428" s="79"/>
      <c r="N2428" s="1"/>
      <c r="O2428" s="1"/>
      <c r="P2428" s="1"/>
      <c r="Q2428" s="1"/>
      <c r="R2428" s="1"/>
      <c r="S2428" s="1"/>
      <c r="T2428" s="1"/>
      <c r="U2428" s="1"/>
      <c r="V2428" s="1"/>
      <c r="W2428" s="1"/>
      <c r="X2428" s="1"/>
      <c r="Y2428" s="1"/>
      <c r="Z2428" s="1"/>
      <c r="AA2428" s="1"/>
      <c r="AB2428" s="1"/>
      <c r="AC2428" s="1"/>
      <c r="AD2428" s="1"/>
      <c r="AE2428" s="1"/>
      <c r="AF2428" s="1"/>
      <c r="AG2428" s="1"/>
      <c r="AH2428" s="1"/>
    </row>
    <row r="2429" ht="12.75" hidden="1" customHeight="1" outlineLevel="1">
      <c r="A2429" s="17">
        <v>41417.0</v>
      </c>
      <c r="B2429" s="1" t="s">
        <v>347</v>
      </c>
      <c r="C2429" s="1" t="s">
        <v>364</v>
      </c>
      <c r="D2429" s="74">
        <v>100.0</v>
      </c>
      <c r="E2429" s="67">
        <v>98.66</v>
      </c>
      <c r="F2429" s="75">
        <v>0.41824074074074075</v>
      </c>
      <c r="G2429" s="67" t="s">
        <v>453</v>
      </c>
      <c r="H2429" s="68">
        <v>1.0</v>
      </c>
      <c r="I2429" s="76"/>
      <c r="J2429" s="67">
        <f t="shared" ref="J2429:J2432" si="172">IF(B2429="SLD",D2429*E2429,-D2429*E2429)-H2429</f>
        <v>9865</v>
      </c>
      <c r="K2429" s="7"/>
      <c r="L2429" s="70"/>
      <c r="M2429" s="79"/>
      <c r="N2429" s="1"/>
      <c r="O2429" s="1"/>
      <c r="P2429" s="1"/>
      <c r="Q2429" s="1"/>
      <c r="R2429" s="1"/>
      <c r="S2429" s="1"/>
      <c r="T2429" s="1"/>
      <c r="U2429" s="1"/>
      <c r="V2429" s="1"/>
      <c r="W2429" s="1"/>
      <c r="X2429" s="1"/>
      <c r="Y2429" s="1"/>
      <c r="Z2429" s="1"/>
      <c r="AA2429" s="1"/>
      <c r="AB2429" s="1"/>
      <c r="AC2429" s="1"/>
      <c r="AD2429" s="1"/>
      <c r="AE2429" s="1"/>
      <c r="AF2429" s="1"/>
      <c r="AG2429" s="1"/>
      <c r="AH2429" s="1"/>
    </row>
    <row r="2430" ht="12.75" hidden="1" customHeight="1" outlineLevel="1">
      <c r="A2430" s="17">
        <v>41417.0</v>
      </c>
      <c r="B2430" s="1" t="s">
        <v>343</v>
      </c>
      <c r="C2430" s="1" t="s">
        <v>344</v>
      </c>
      <c r="D2430" s="74">
        <v>200.0</v>
      </c>
      <c r="E2430" s="67">
        <v>44.26</v>
      </c>
      <c r="F2430" s="75">
        <v>0.4697106481481481</v>
      </c>
      <c r="G2430" s="67" t="s">
        <v>453</v>
      </c>
      <c r="H2430" s="68">
        <v>1.0</v>
      </c>
      <c r="I2430" s="76"/>
      <c r="J2430" s="67">
        <f t="shared" si="172"/>
        <v>-8853</v>
      </c>
      <c r="K2430" s="7"/>
      <c r="L2430" s="70"/>
      <c r="M2430" s="79"/>
      <c r="N2430" s="1"/>
      <c r="O2430" s="1"/>
      <c r="P2430" s="1"/>
      <c r="Q2430" s="1"/>
      <c r="R2430" s="1"/>
      <c r="S2430" s="1"/>
      <c r="T2430" s="1"/>
      <c r="U2430" s="1"/>
      <c r="V2430" s="1"/>
      <c r="W2430" s="1"/>
      <c r="X2430" s="1"/>
      <c r="Y2430" s="1"/>
      <c r="Z2430" s="1"/>
      <c r="AA2430" s="1"/>
      <c r="AB2430" s="1"/>
      <c r="AC2430" s="1"/>
      <c r="AD2430" s="1"/>
      <c r="AE2430" s="1"/>
      <c r="AF2430" s="1"/>
      <c r="AG2430" s="1"/>
      <c r="AH2430" s="1"/>
    </row>
    <row r="2431" ht="12.75" hidden="1" customHeight="1" outlineLevel="1">
      <c r="A2431" s="17">
        <v>41417.0</v>
      </c>
      <c r="B2431" s="1" t="s">
        <v>343</v>
      </c>
      <c r="C2431" s="1" t="s">
        <v>1060</v>
      </c>
      <c r="D2431" s="74">
        <v>200.0</v>
      </c>
      <c r="E2431" s="67">
        <v>26.34</v>
      </c>
      <c r="F2431" s="75">
        <v>0.48158564814814814</v>
      </c>
      <c r="G2431" s="67" t="s">
        <v>453</v>
      </c>
      <c r="H2431" s="68">
        <v>1.0</v>
      </c>
      <c r="I2431" s="76"/>
      <c r="J2431" s="67">
        <f t="shared" si="172"/>
        <v>-5269</v>
      </c>
      <c r="K2431" s="7"/>
      <c r="L2431" s="70"/>
      <c r="M2431" s="79"/>
      <c r="N2431" s="1"/>
      <c r="O2431" s="1"/>
      <c r="P2431" s="1"/>
      <c r="Q2431" s="1"/>
      <c r="R2431" s="1"/>
      <c r="S2431" s="1"/>
      <c r="T2431" s="1"/>
      <c r="U2431" s="1"/>
      <c r="V2431" s="1"/>
      <c r="W2431" s="1"/>
      <c r="X2431" s="1"/>
      <c r="Y2431" s="1"/>
      <c r="Z2431" s="1"/>
      <c r="AA2431" s="1"/>
      <c r="AB2431" s="1"/>
      <c r="AC2431" s="1"/>
      <c r="AD2431" s="1"/>
      <c r="AE2431" s="1"/>
      <c r="AF2431" s="1"/>
      <c r="AG2431" s="1"/>
      <c r="AH2431" s="1"/>
    </row>
    <row r="2432" ht="12.75" hidden="1" customHeight="1" outlineLevel="1">
      <c r="A2432" s="17">
        <v>41417.0</v>
      </c>
      <c r="B2432" s="1" t="s">
        <v>343</v>
      </c>
      <c r="C2432" s="1" t="s">
        <v>851</v>
      </c>
      <c r="D2432" s="74">
        <v>1500.0</v>
      </c>
      <c r="E2432" s="67">
        <v>18.459</v>
      </c>
      <c r="F2432" s="75">
        <v>0.623287037037037</v>
      </c>
      <c r="G2432" s="67" t="s">
        <v>453</v>
      </c>
      <c r="H2432" s="68">
        <v>7.28</v>
      </c>
      <c r="I2432" s="76"/>
      <c r="J2432" s="67">
        <f t="shared" si="172"/>
        <v>-27695.78</v>
      </c>
      <c r="K2432" s="7"/>
      <c r="L2432" s="70"/>
      <c r="M2432" s="79"/>
      <c r="N2432" s="1"/>
      <c r="O2432" s="1"/>
      <c r="P2432" s="1"/>
      <c r="Q2432" s="1"/>
      <c r="R2432" s="1"/>
      <c r="S2432" s="1"/>
      <c r="T2432" s="1"/>
      <c r="U2432" s="1"/>
      <c r="V2432" s="1"/>
      <c r="W2432" s="1"/>
      <c r="X2432" s="1"/>
      <c r="Y2432" s="1"/>
      <c r="Z2432" s="1"/>
      <c r="AA2432" s="1"/>
      <c r="AB2432" s="1"/>
      <c r="AC2432" s="1"/>
      <c r="AD2432" s="1"/>
      <c r="AE2432" s="1"/>
      <c r="AF2432" s="1"/>
      <c r="AG2432" s="1"/>
      <c r="AH2432" s="1"/>
    </row>
    <row r="2433" ht="12.75" hidden="1" customHeight="1" outlineLevel="1">
      <c r="A2433" s="17">
        <v>41417.0</v>
      </c>
      <c r="B2433" s="1"/>
      <c r="C2433" s="1" t="s">
        <v>339</v>
      </c>
      <c r="D2433" s="74"/>
      <c r="E2433" s="67"/>
      <c r="F2433" s="75"/>
      <c r="G2433" s="67"/>
      <c r="H2433" s="68"/>
      <c r="I2433" s="76"/>
      <c r="J2433" s="67"/>
      <c r="K2433" s="7" t="s">
        <v>1069</v>
      </c>
      <c r="L2433" s="77"/>
      <c r="M2433" s="79"/>
      <c r="N2433" s="1"/>
      <c r="O2433" s="1"/>
      <c r="P2433" s="1"/>
      <c r="Q2433" s="1"/>
      <c r="R2433" s="1"/>
      <c r="S2433" s="1"/>
      <c r="T2433" s="1"/>
      <c r="U2433" s="1"/>
      <c r="V2433" s="1"/>
      <c r="W2433" s="1"/>
      <c r="X2433" s="1"/>
      <c r="Y2433" s="1"/>
      <c r="Z2433" s="1"/>
      <c r="AA2433" s="1"/>
      <c r="AB2433" s="1"/>
      <c r="AC2433" s="1"/>
      <c r="AD2433" s="1"/>
      <c r="AE2433" s="1"/>
      <c r="AF2433" s="1"/>
      <c r="AG2433" s="1"/>
      <c r="AH2433" s="1"/>
    </row>
    <row r="2434" ht="12.75" hidden="1" customHeight="1" outlineLevel="1">
      <c r="A2434" s="17">
        <v>41417.0</v>
      </c>
      <c r="B2434" s="1"/>
      <c r="C2434" s="1" t="s">
        <v>429</v>
      </c>
      <c r="D2434" s="74"/>
      <c r="E2434" s="67"/>
      <c r="F2434" s="75"/>
      <c r="G2434" s="67"/>
      <c r="H2434" s="68"/>
      <c r="I2434" s="76"/>
      <c r="J2434" s="67"/>
      <c r="K2434" s="7" t="s">
        <v>1034</v>
      </c>
      <c r="L2434" s="77"/>
      <c r="M2434" s="79"/>
      <c r="N2434" s="1"/>
      <c r="O2434" s="1"/>
      <c r="P2434" s="1"/>
      <c r="Q2434" s="1"/>
      <c r="R2434" s="1"/>
      <c r="S2434" s="1"/>
      <c r="T2434" s="1"/>
      <c r="U2434" s="1"/>
      <c r="V2434" s="1"/>
      <c r="W2434" s="1"/>
      <c r="X2434" s="1"/>
      <c r="Y2434" s="1"/>
      <c r="Z2434" s="1"/>
      <c r="AA2434" s="1"/>
      <c r="AB2434" s="1"/>
      <c r="AC2434" s="1"/>
      <c r="AD2434" s="1"/>
      <c r="AE2434" s="1"/>
      <c r="AF2434" s="1"/>
      <c r="AG2434" s="1"/>
      <c r="AH2434" s="1"/>
    </row>
    <row r="2435" ht="12.75" hidden="1" customHeight="1" outlineLevel="1">
      <c r="A2435" s="17">
        <v>41417.0</v>
      </c>
      <c r="B2435" s="1"/>
      <c r="C2435" s="1" t="s">
        <v>431</v>
      </c>
      <c r="D2435" s="74"/>
      <c r="E2435" s="67"/>
      <c r="F2435" s="75"/>
      <c r="G2435" s="67"/>
      <c r="H2435" s="68"/>
      <c r="I2435" s="76"/>
      <c r="J2435" s="67"/>
      <c r="K2435" s="7" t="s">
        <v>817</v>
      </c>
      <c r="L2435" s="77"/>
      <c r="M2435" s="79"/>
      <c r="N2435" s="1"/>
      <c r="O2435" s="1"/>
      <c r="P2435" s="1"/>
      <c r="Q2435" s="1"/>
      <c r="R2435" s="1"/>
      <c r="S2435" s="1"/>
      <c r="T2435" s="1"/>
      <c r="U2435" s="1"/>
      <c r="V2435" s="1"/>
      <c r="W2435" s="1"/>
      <c r="X2435" s="1"/>
      <c r="Y2435" s="1"/>
      <c r="Z2435" s="1"/>
      <c r="AA2435" s="1"/>
      <c r="AB2435" s="1"/>
      <c r="AC2435" s="1"/>
      <c r="AD2435" s="1"/>
      <c r="AE2435" s="1"/>
      <c r="AF2435" s="1"/>
      <c r="AG2435" s="1"/>
      <c r="AH2435" s="1"/>
    </row>
    <row r="2436" ht="12.75" hidden="1" customHeight="1" outlineLevel="1">
      <c r="A2436" s="17">
        <v>41417.0</v>
      </c>
      <c r="B2436" s="1"/>
      <c r="C2436" s="1" t="s">
        <v>433</v>
      </c>
      <c r="D2436" s="74"/>
      <c r="E2436" s="67"/>
      <c r="F2436" s="75"/>
      <c r="G2436" s="67"/>
      <c r="H2436" s="68"/>
      <c r="I2436" s="76"/>
      <c r="J2436" s="67"/>
      <c r="K2436" s="7" t="s">
        <v>434</v>
      </c>
      <c r="L2436" s="77"/>
      <c r="M2436" s="79"/>
      <c r="N2436" s="1"/>
      <c r="O2436" s="1"/>
      <c r="P2436" s="1"/>
      <c r="Q2436" s="1"/>
      <c r="R2436" s="1"/>
      <c r="S2436" s="1"/>
      <c r="T2436" s="1"/>
      <c r="U2436" s="1"/>
      <c r="V2436" s="1"/>
      <c r="W2436" s="1"/>
      <c r="X2436" s="1"/>
      <c r="Y2436" s="1"/>
      <c r="Z2436" s="1"/>
      <c r="AA2436" s="1"/>
      <c r="AB2436" s="1"/>
      <c r="AC2436" s="1"/>
      <c r="AD2436" s="1"/>
      <c r="AE2436" s="1"/>
      <c r="AF2436" s="1"/>
      <c r="AG2436" s="1"/>
      <c r="AH2436" s="1"/>
    </row>
    <row r="2437" ht="12.75" hidden="1" customHeight="1" outlineLevel="1">
      <c r="A2437" s="17">
        <v>41417.0</v>
      </c>
      <c r="B2437" s="1"/>
      <c r="C2437" s="1" t="s">
        <v>435</v>
      </c>
      <c r="D2437" s="74"/>
      <c r="E2437" s="67"/>
      <c r="F2437" s="75"/>
      <c r="G2437" s="67"/>
      <c r="H2437" s="68"/>
      <c r="I2437" s="76"/>
      <c r="J2437" s="67"/>
      <c r="K2437" s="7" t="s">
        <v>818</v>
      </c>
      <c r="L2437" s="77"/>
      <c r="M2437" s="79"/>
      <c r="N2437" s="1"/>
      <c r="O2437" s="1"/>
      <c r="P2437" s="1"/>
      <c r="Q2437" s="1"/>
      <c r="R2437" s="1"/>
      <c r="S2437" s="1"/>
      <c r="T2437" s="1"/>
      <c r="U2437" s="1"/>
      <c r="V2437" s="1"/>
      <c r="W2437" s="1"/>
      <c r="X2437" s="1"/>
      <c r="Y2437" s="1"/>
      <c r="Z2437" s="1"/>
      <c r="AA2437" s="1"/>
      <c r="AB2437" s="1"/>
      <c r="AC2437" s="1"/>
      <c r="AD2437" s="1"/>
      <c r="AE2437" s="1"/>
      <c r="AF2437" s="1"/>
      <c r="AG2437" s="1"/>
      <c r="AH2437" s="1"/>
    </row>
    <row r="2438" ht="12.75" hidden="1" customHeight="1" outlineLevel="1">
      <c r="A2438" s="17">
        <v>41422.0</v>
      </c>
      <c r="B2438" s="1" t="s">
        <v>343</v>
      </c>
      <c r="C2438" s="1" t="s">
        <v>1032</v>
      </c>
      <c r="D2438" s="74">
        <v>3800.0</v>
      </c>
      <c r="E2438" s="67">
        <v>4.869</v>
      </c>
      <c r="F2438" s="75">
        <v>0.6307407407407407</v>
      </c>
      <c r="G2438" s="67" t="s">
        <v>453</v>
      </c>
      <c r="H2438" s="68">
        <v>16.6</v>
      </c>
      <c r="I2438" s="76"/>
      <c r="J2438" s="67">
        <f t="shared" ref="J2438:J2439" si="173">IF(B2438="SLD",D2438*E2438,-D2438*E2438)-H2438</f>
        <v>-18518.8</v>
      </c>
      <c r="K2438" s="7"/>
      <c r="L2438" s="70"/>
      <c r="M2438" s="79"/>
      <c r="N2438" s="1"/>
      <c r="O2438" s="1"/>
      <c r="P2438" s="1"/>
      <c r="Q2438" s="1"/>
      <c r="R2438" s="1"/>
      <c r="S2438" s="1"/>
      <c r="T2438" s="1"/>
      <c r="U2438" s="1"/>
      <c r="V2438" s="1"/>
      <c r="W2438" s="1"/>
      <c r="X2438" s="1"/>
      <c r="Y2438" s="1"/>
      <c r="Z2438" s="1"/>
      <c r="AA2438" s="1"/>
      <c r="AB2438" s="1"/>
      <c r="AC2438" s="1"/>
      <c r="AD2438" s="1"/>
      <c r="AE2438" s="1"/>
      <c r="AF2438" s="1"/>
      <c r="AG2438" s="1"/>
      <c r="AH2438" s="1"/>
    </row>
    <row r="2439" ht="12.75" hidden="1" customHeight="1" outlineLevel="1">
      <c r="A2439" s="17">
        <v>41422.0</v>
      </c>
      <c r="B2439" s="1" t="s">
        <v>343</v>
      </c>
      <c r="C2439" s="1" t="s">
        <v>605</v>
      </c>
      <c r="D2439" s="74">
        <v>200.0</v>
      </c>
      <c r="E2439" s="67">
        <v>66.55</v>
      </c>
      <c r="F2439" s="75">
        <v>0.6636574074074074</v>
      </c>
      <c r="G2439" s="67" t="s">
        <v>453</v>
      </c>
      <c r="H2439" s="68">
        <v>1.0</v>
      </c>
      <c r="I2439" s="76"/>
      <c r="J2439" s="67">
        <f t="shared" si="173"/>
        <v>-13311</v>
      </c>
      <c r="K2439" s="7"/>
      <c r="L2439" s="70"/>
      <c r="M2439" s="79"/>
      <c r="N2439" s="1"/>
      <c r="O2439" s="1"/>
      <c r="P2439" s="1"/>
      <c r="Q2439" s="1"/>
      <c r="R2439" s="1"/>
      <c r="S2439" s="1"/>
      <c r="T2439" s="1"/>
      <c r="U2439" s="1"/>
      <c r="V2439" s="1"/>
      <c r="W2439" s="1"/>
      <c r="X2439" s="1"/>
      <c r="Y2439" s="1"/>
      <c r="Z2439" s="1"/>
      <c r="AA2439" s="1"/>
      <c r="AB2439" s="1"/>
      <c r="AC2439" s="1"/>
      <c r="AD2439" s="1"/>
      <c r="AE2439" s="1"/>
      <c r="AF2439" s="1"/>
      <c r="AG2439" s="1"/>
      <c r="AH2439" s="1"/>
    </row>
    <row r="2440" ht="12.75" hidden="1" customHeight="1" outlineLevel="1">
      <c r="A2440" s="17">
        <v>41422.0</v>
      </c>
      <c r="B2440" s="1"/>
      <c r="C2440" s="1" t="s">
        <v>339</v>
      </c>
      <c r="D2440" s="74"/>
      <c r="E2440" s="67"/>
      <c r="F2440" s="75"/>
      <c r="G2440" s="67"/>
      <c r="H2440" s="68"/>
      <c r="I2440" s="76"/>
      <c r="J2440" s="67"/>
      <c r="K2440" s="7" t="s">
        <v>1071</v>
      </c>
      <c r="L2440" s="77"/>
      <c r="M2440" s="79"/>
      <c r="N2440" s="1"/>
      <c r="O2440" s="1"/>
      <c r="P2440" s="1"/>
      <c r="Q2440" s="1"/>
      <c r="R2440" s="1"/>
      <c r="S2440" s="1"/>
      <c r="T2440" s="1"/>
      <c r="U2440" s="1"/>
      <c r="V2440" s="1"/>
      <c r="W2440" s="1"/>
      <c r="X2440" s="1"/>
      <c r="Y2440" s="1"/>
      <c r="Z2440" s="1"/>
      <c r="AA2440" s="1"/>
      <c r="AB2440" s="1"/>
      <c r="AC2440" s="1"/>
      <c r="AD2440" s="1"/>
      <c r="AE2440" s="1"/>
      <c r="AF2440" s="1"/>
      <c r="AG2440" s="1"/>
      <c r="AH2440" s="1"/>
    </row>
    <row r="2441" ht="12.75" hidden="1" customHeight="1" outlineLevel="1">
      <c r="A2441" s="17">
        <v>41422.0</v>
      </c>
      <c r="B2441" s="1"/>
      <c r="C2441" s="1" t="s">
        <v>429</v>
      </c>
      <c r="D2441" s="74"/>
      <c r="E2441" s="67"/>
      <c r="F2441" s="75"/>
      <c r="G2441" s="67"/>
      <c r="H2441" s="68"/>
      <c r="I2441" s="76"/>
      <c r="J2441" s="67"/>
      <c r="K2441" s="7" t="s">
        <v>1034</v>
      </c>
      <c r="L2441" s="77"/>
      <c r="M2441" s="79"/>
      <c r="N2441" s="1"/>
      <c r="O2441" s="1"/>
      <c r="P2441" s="1"/>
      <c r="Q2441" s="1"/>
      <c r="R2441" s="1"/>
      <c r="S2441" s="1"/>
      <c r="T2441" s="1"/>
      <c r="U2441" s="1"/>
      <c r="V2441" s="1"/>
      <c r="W2441" s="1"/>
      <c r="X2441" s="1"/>
      <c r="Y2441" s="1"/>
      <c r="Z2441" s="1"/>
      <c r="AA2441" s="1"/>
      <c r="AB2441" s="1"/>
      <c r="AC2441" s="1"/>
      <c r="AD2441" s="1"/>
      <c r="AE2441" s="1"/>
      <c r="AF2441" s="1"/>
      <c r="AG2441" s="1"/>
      <c r="AH2441" s="1"/>
    </row>
    <row r="2442" ht="12.75" hidden="1" customHeight="1" outlineLevel="1">
      <c r="A2442" s="17">
        <v>41422.0</v>
      </c>
      <c r="B2442" s="1"/>
      <c r="C2442" s="1" t="s">
        <v>431</v>
      </c>
      <c r="D2442" s="74"/>
      <c r="E2442" s="67"/>
      <c r="F2442" s="75"/>
      <c r="G2442" s="67"/>
      <c r="H2442" s="68"/>
      <c r="I2442" s="76"/>
      <c r="J2442" s="67"/>
      <c r="K2442" s="7" t="s">
        <v>817</v>
      </c>
      <c r="L2442" s="77"/>
      <c r="M2442" s="79"/>
      <c r="N2442" s="1"/>
      <c r="O2442" s="1"/>
      <c r="P2442" s="1"/>
      <c r="Q2442" s="1"/>
      <c r="R2442" s="1"/>
      <c r="S2442" s="1"/>
      <c r="T2442" s="1"/>
      <c r="U2442" s="1"/>
      <c r="V2442" s="1"/>
      <c r="W2442" s="1"/>
      <c r="X2442" s="1"/>
      <c r="Y2442" s="1"/>
      <c r="Z2442" s="1"/>
      <c r="AA2442" s="1"/>
      <c r="AB2442" s="1"/>
      <c r="AC2442" s="1"/>
      <c r="AD2442" s="1"/>
      <c r="AE2442" s="1"/>
      <c r="AF2442" s="1"/>
      <c r="AG2442" s="1"/>
      <c r="AH2442" s="1"/>
    </row>
    <row r="2443" ht="12.75" hidden="1" customHeight="1" outlineLevel="1">
      <c r="A2443" s="17">
        <v>41422.0</v>
      </c>
      <c r="B2443" s="1"/>
      <c r="C2443" s="1" t="s">
        <v>433</v>
      </c>
      <c r="D2443" s="74"/>
      <c r="E2443" s="67"/>
      <c r="F2443" s="75"/>
      <c r="G2443" s="67"/>
      <c r="H2443" s="68"/>
      <c r="I2443" s="76"/>
      <c r="J2443" s="67"/>
      <c r="K2443" s="7" t="s">
        <v>434</v>
      </c>
      <c r="L2443" s="77"/>
      <c r="M2443" s="79"/>
      <c r="N2443" s="1"/>
      <c r="O2443" s="1"/>
      <c r="P2443" s="1"/>
      <c r="Q2443" s="1"/>
      <c r="R2443" s="1"/>
      <c r="S2443" s="1"/>
      <c r="T2443" s="1"/>
      <c r="U2443" s="1"/>
      <c r="V2443" s="1"/>
      <c r="W2443" s="1"/>
      <c r="X2443" s="1"/>
      <c r="Y2443" s="1"/>
      <c r="Z2443" s="1"/>
      <c r="AA2443" s="1"/>
      <c r="AB2443" s="1"/>
      <c r="AC2443" s="1"/>
      <c r="AD2443" s="1"/>
      <c r="AE2443" s="1"/>
      <c r="AF2443" s="1"/>
      <c r="AG2443" s="1"/>
      <c r="AH2443" s="1"/>
    </row>
    <row r="2444" ht="12.75" hidden="1" customHeight="1" outlineLevel="1">
      <c r="A2444" s="17">
        <v>41422.0</v>
      </c>
      <c r="B2444" s="1"/>
      <c r="C2444" s="1" t="s">
        <v>435</v>
      </c>
      <c r="D2444" s="74"/>
      <c r="E2444" s="67"/>
      <c r="F2444" s="75"/>
      <c r="G2444" s="67"/>
      <c r="H2444" s="68"/>
      <c r="I2444" s="76"/>
      <c r="J2444" s="67"/>
      <c r="K2444" s="7" t="s">
        <v>818</v>
      </c>
      <c r="L2444" s="77"/>
      <c r="M2444" s="79"/>
      <c r="N2444" s="1"/>
      <c r="O2444" s="1"/>
      <c r="P2444" s="1"/>
      <c r="Q2444" s="1"/>
      <c r="R2444" s="1"/>
      <c r="S2444" s="1"/>
      <c r="T2444" s="1"/>
      <c r="U2444" s="1"/>
      <c r="V2444" s="1"/>
      <c r="W2444" s="1"/>
      <c r="X2444" s="1"/>
      <c r="Y2444" s="1"/>
      <c r="Z2444" s="1"/>
      <c r="AA2444" s="1"/>
      <c r="AB2444" s="1"/>
      <c r="AC2444" s="1"/>
      <c r="AD2444" s="1"/>
      <c r="AE2444" s="1"/>
      <c r="AF2444" s="1"/>
      <c r="AG2444" s="1"/>
      <c r="AH2444" s="1"/>
    </row>
    <row r="2445" ht="12.75" hidden="1" customHeight="1" outlineLevel="1">
      <c r="A2445" s="17">
        <v>41423.0</v>
      </c>
      <c r="B2445" s="1" t="s">
        <v>347</v>
      </c>
      <c r="C2445" s="1" t="s">
        <v>784</v>
      </c>
      <c r="D2445" s="74">
        <v>300.0</v>
      </c>
      <c r="E2445" s="67">
        <v>14.81</v>
      </c>
      <c r="F2445" s="75">
        <v>0.4538194444444445</v>
      </c>
      <c r="G2445" s="67" t="s">
        <v>453</v>
      </c>
      <c r="H2445" s="68">
        <v>1.2</v>
      </c>
      <c r="I2445" s="76"/>
      <c r="J2445" s="67">
        <f t="shared" ref="J2445:J2449" si="174">IF(B2445="SLD",D2445*E2445,-D2445*E2445)-H2445</f>
        <v>4441.8</v>
      </c>
      <c r="K2445" s="7"/>
      <c r="L2445" s="70"/>
      <c r="M2445" s="79"/>
      <c r="N2445" s="1"/>
      <c r="O2445" s="1"/>
      <c r="P2445" s="1"/>
      <c r="Q2445" s="1"/>
      <c r="R2445" s="1"/>
      <c r="S2445" s="1"/>
      <c r="T2445" s="1"/>
      <c r="U2445" s="1"/>
      <c r="V2445" s="1"/>
      <c r="W2445" s="1"/>
      <c r="X2445" s="1"/>
      <c r="Y2445" s="1"/>
      <c r="Z2445" s="1"/>
      <c r="AA2445" s="1"/>
      <c r="AB2445" s="1"/>
      <c r="AC2445" s="1"/>
      <c r="AD2445" s="1"/>
      <c r="AE2445" s="1"/>
      <c r="AF2445" s="1"/>
      <c r="AG2445" s="1"/>
      <c r="AH2445" s="1"/>
    </row>
    <row r="2446" ht="12.75" hidden="1" customHeight="1" outlineLevel="1">
      <c r="A2446" s="17">
        <v>41423.0</v>
      </c>
      <c r="B2446" s="1" t="s">
        <v>347</v>
      </c>
      <c r="C2446" s="1" t="s">
        <v>1072</v>
      </c>
      <c r="D2446" s="74">
        <v>54.0</v>
      </c>
      <c r="E2446" s="67">
        <v>275.0</v>
      </c>
      <c r="F2446" s="75">
        <v>0.6173148148148148</v>
      </c>
      <c r="G2446" s="67" t="s">
        <v>453</v>
      </c>
      <c r="H2446" s="68">
        <v>1.0</v>
      </c>
      <c r="I2446" s="76"/>
      <c r="J2446" s="67">
        <f t="shared" si="174"/>
        <v>14849</v>
      </c>
      <c r="K2446" s="7"/>
      <c r="L2446" s="70"/>
      <c r="M2446" s="79"/>
      <c r="N2446" s="1"/>
      <c r="O2446" s="1"/>
      <c r="P2446" s="1"/>
      <c r="Q2446" s="1"/>
      <c r="R2446" s="1"/>
      <c r="S2446" s="1"/>
      <c r="T2446" s="1"/>
      <c r="U2446" s="1"/>
      <c r="V2446" s="1"/>
      <c r="W2446" s="1"/>
      <c r="X2446" s="1"/>
      <c r="Y2446" s="1"/>
      <c r="Z2446" s="1"/>
      <c r="AA2446" s="1"/>
      <c r="AB2446" s="1"/>
      <c r="AC2446" s="1"/>
      <c r="AD2446" s="1"/>
      <c r="AE2446" s="1"/>
      <c r="AF2446" s="1"/>
      <c r="AG2446" s="1"/>
      <c r="AH2446" s="1"/>
    </row>
    <row r="2447" ht="12.75" hidden="1" customHeight="1" outlineLevel="1">
      <c r="A2447" s="17">
        <v>41423.0</v>
      </c>
      <c r="B2447" s="1" t="s">
        <v>343</v>
      </c>
      <c r="C2447" s="1" t="s">
        <v>1073</v>
      </c>
      <c r="D2447" s="74">
        <v>500.0</v>
      </c>
      <c r="E2447" s="67">
        <v>22.34</v>
      </c>
      <c r="F2447" s="75">
        <v>0.6202893518518519</v>
      </c>
      <c r="G2447" s="67" t="s">
        <v>453</v>
      </c>
      <c r="H2447" s="68">
        <v>2.4</v>
      </c>
      <c r="I2447" s="76"/>
      <c r="J2447" s="67">
        <f t="shared" si="174"/>
        <v>-11172.4</v>
      </c>
      <c r="K2447" s="7"/>
      <c r="L2447" s="70"/>
      <c r="M2447" s="79"/>
      <c r="N2447" s="1"/>
      <c r="O2447" s="1"/>
      <c r="P2447" s="1"/>
      <c r="Q2447" s="1"/>
      <c r="R2447" s="1"/>
      <c r="S2447" s="1"/>
      <c r="T2447" s="1"/>
      <c r="U2447" s="1"/>
      <c r="V2447" s="1"/>
      <c r="W2447" s="1"/>
      <c r="X2447" s="1"/>
      <c r="Y2447" s="1"/>
      <c r="Z2447" s="1"/>
      <c r="AA2447" s="1"/>
      <c r="AB2447" s="1"/>
      <c r="AC2447" s="1"/>
      <c r="AD2447" s="1"/>
      <c r="AE2447" s="1"/>
      <c r="AF2447" s="1"/>
      <c r="AG2447" s="1"/>
      <c r="AH2447" s="1"/>
    </row>
    <row r="2448" ht="12.75" hidden="1" customHeight="1" outlineLevel="1">
      <c r="A2448" s="17">
        <v>41423.0</v>
      </c>
      <c r="B2448" s="1" t="s">
        <v>343</v>
      </c>
      <c r="C2448" s="1" t="s">
        <v>1073</v>
      </c>
      <c r="D2448" s="74">
        <v>500.0</v>
      </c>
      <c r="E2448" s="67">
        <v>22.34</v>
      </c>
      <c r="F2448" s="75">
        <v>0.6204282407407408</v>
      </c>
      <c r="G2448" s="67" t="s">
        <v>453</v>
      </c>
      <c r="H2448" s="68">
        <v>2.3</v>
      </c>
      <c r="I2448" s="76"/>
      <c r="J2448" s="67">
        <f t="shared" si="174"/>
        <v>-11172.3</v>
      </c>
      <c r="K2448" s="7"/>
      <c r="L2448" s="70"/>
      <c r="M2448" s="79"/>
      <c r="N2448" s="1"/>
      <c r="O2448" s="1"/>
      <c r="P2448" s="1"/>
      <c r="Q2448" s="1"/>
      <c r="R2448" s="1"/>
      <c r="S2448" s="1"/>
      <c r="T2448" s="1"/>
      <c r="U2448" s="1"/>
      <c r="V2448" s="1"/>
      <c r="W2448" s="1"/>
      <c r="X2448" s="1"/>
      <c r="Y2448" s="1"/>
      <c r="Z2448" s="1"/>
      <c r="AA2448" s="1"/>
      <c r="AB2448" s="1"/>
      <c r="AC2448" s="1"/>
      <c r="AD2448" s="1"/>
      <c r="AE2448" s="1"/>
      <c r="AF2448" s="1"/>
      <c r="AG2448" s="1"/>
      <c r="AH2448" s="1"/>
    </row>
    <row r="2449" ht="12.75" hidden="1" customHeight="1" outlineLevel="1">
      <c r="A2449" s="17">
        <v>41423.0</v>
      </c>
      <c r="B2449" s="1" t="s">
        <v>343</v>
      </c>
      <c r="C2449" s="1" t="s">
        <v>1044</v>
      </c>
      <c r="D2449" s="74">
        <v>600.0</v>
      </c>
      <c r="E2449" s="67">
        <v>28.45</v>
      </c>
      <c r="F2449" s="75">
        <v>0.6622800925925926</v>
      </c>
      <c r="G2449" s="67" t="s">
        <v>453</v>
      </c>
      <c r="H2449" s="68">
        <v>3.0</v>
      </c>
      <c r="I2449" s="76"/>
      <c r="J2449" s="67">
        <f t="shared" si="174"/>
        <v>-17073</v>
      </c>
      <c r="K2449" s="7"/>
      <c r="L2449" s="70"/>
      <c r="M2449" s="79"/>
      <c r="N2449" s="1"/>
      <c r="O2449" s="1"/>
      <c r="P2449" s="1"/>
      <c r="Q2449" s="1"/>
      <c r="R2449" s="1"/>
      <c r="S2449" s="1"/>
      <c r="T2449" s="1"/>
      <c r="U2449" s="1"/>
      <c r="V2449" s="1"/>
      <c r="W2449" s="1"/>
      <c r="X2449" s="1"/>
      <c r="Y2449" s="1"/>
      <c r="Z2449" s="1"/>
      <c r="AA2449" s="1"/>
      <c r="AB2449" s="1"/>
      <c r="AC2449" s="1"/>
      <c r="AD2449" s="1"/>
      <c r="AE2449" s="1"/>
      <c r="AF2449" s="1"/>
      <c r="AG2449" s="1"/>
      <c r="AH2449" s="1"/>
    </row>
    <row r="2450" ht="12.75" hidden="1" customHeight="1" outlineLevel="1">
      <c r="A2450" s="17">
        <v>41423.0</v>
      </c>
      <c r="B2450" s="1"/>
      <c r="C2450" s="1" t="s">
        <v>339</v>
      </c>
      <c r="D2450" s="74"/>
      <c r="E2450" s="67"/>
      <c r="F2450" s="75"/>
      <c r="G2450" s="67"/>
      <c r="H2450" s="68"/>
      <c r="I2450" s="76"/>
      <c r="J2450" s="67"/>
      <c r="K2450" s="7" t="s">
        <v>1075</v>
      </c>
      <c r="L2450" s="77"/>
      <c r="M2450" s="79"/>
      <c r="N2450" s="1"/>
      <c r="O2450" s="1"/>
      <c r="P2450" s="1"/>
      <c r="Q2450" s="1"/>
      <c r="R2450" s="1"/>
      <c r="S2450" s="1"/>
      <c r="T2450" s="1"/>
      <c r="U2450" s="1"/>
      <c r="V2450" s="1"/>
      <c r="W2450" s="1"/>
      <c r="X2450" s="1"/>
      <c r="Y2450" s="1"/>
      <c r="Z2450" s="1"/>
      <c r="AA2450" s="1"/>
      <c r="AB2450" s="1"/>
      <c r="AC2450" s="1"/>
      <c r="AD2450" s="1"/>
      <c r="AE2450" s="1"/>
      <c r="AF2450" s="1"/>
      <c r="AG2450" s="1"/>
      <c r="AH2450" s="1"/>
    </row>
    <row r="2451" ht="12.75" hidden="1" customHeight="1" outlineLevel="1">
      <c r="A2451" s="17">
        <v>41423.0</v>
      </c>
      <c r="B2451" s="1"/>
      <c r="C2451" s="1" t="s">
        <v>429</v>
      </c>
      <c r="D2451" s="74"/>
      <c r="E2451" s="67"/>
      <c r="F2451" s="75"/>
      <c r="G2451" s="67"/>
      <c r="H2451" s="68"/>
      <c r="I2451" s="76"/>
      <c r="J2451" s="67"/>
      <c r="K2451" s="7" t="s">
        <v>1034</v>
      </c>
      <c r="L2451" s="77"/>
      <c r="M2451" s="79"/>
      <c r="N2451" s="1"/>
      <c r="O2451" s="1"/>
      <c r="P2451" s="1"/>
      <c r="Q2451" s="1"/>
      <c r="R2451" s="1"/>
      <c r="S2451" s="1"/>
      <c r="T2451" s="1"/>
      <c r="U2451" s="1"/>
      <c r="V2451" s="1"/>
      <c r="W2451" s="1"/>
      <c r="X2451" s="1"/>
      <c r="Y2451" s="1"/>
      <c r="Z2451" s="1"/>
      <c r="AA2451" s="1"/>
      <c r="AB2451" s="1"/>
      <c r="AC2451" s="1"/>
      <c r="AD2451" s="1"/>
      <c r="AE2451" s="1"/>
      <c r="AF2451" s="1"/>
      <c r="AG2451" s="1"/>
      <c r="AH2451" s="1"/>
    </row>
    <row r="2452" ht="12.75" hidden="1" customHeight="1" outlineLevel="1">
      <c r="A2452" s="17">
        <v>41423.0</v>
      </c>
      <c r="B2452" s="1"/>
      <c r="C2452" s="1" t="s">
        <v>431</v>
      </c>
      <c r="D2452" s="74"/>
      <c r="E2452" s="67"/>
      <c r="F2452" s="75"/>
      <c r="G2452" s="67"/>
      <c r="H2452" s="68"/>
      <c r="I2452" s="76"/>
      <c r="J2452" s="67"/>
      <c r="K2452" s="7" t="s">
        <v>817</v>
      </c>
      <c r="L2452" s="77"/>
      <c r="M2452" s="79"/>
      <c r="N2452" s="1"/>
      <c r="O2452" s="1"/>
      <c r="P2452" s="1"/>
      <c r="Q2452" s="1"/>
      <c r="R2452" s="1"/>
      <c r="S2452" s="1"/>
      <c r="T2452" s="1"/>
      <c r="U2452" s="1"/>
      <c r="V2452" s="1"/>
      <c r="W2452" s="1"/>
      <c r="X2452" s="1"/>
      <c r="Y2452" s="1"/>
      <c r="Z2452" s="1"/>
      <c r="AA2452" s="1"/>
      <c r="AB2452" s="1"/>
      <c r="AC2452" s="1"/>
      <c r="AD2452" s="1"/>
      <c r="AE2452" s="1"/>
      <c r="AF2452" s="1"/>
      <c r="AG2452" s="1"/>
      <c r="AH2452" s="1"/>
    </row>
    <row r="2453" ht="12.75" hidden="1" customHeight="1" outlineLevel="1">
      <c r="A2453" s="17">
        <v>41423.0</v>
      </c>
      <c r="B2453" s="1"/>
      <c r="C2453" s="1" t="s">
        <v>433</v>
      </c>
      <c r="D2453" s="74"/>
      <c r="E2453" s="67"/>
      <c r="F2453" s="75"/>
      <c r="G2453" s="67"/>
      <c r="H2453" s="68"/>
      <c r="I2453" s="76"/>
      <c r="J2453" s="67"/>
      <c r="K2453" s="7" t="s">
        <v>434</v>
      </c>
      <c r="L2453" s="77"/>
      <c r="M2453" s="79"/>
      <c r="N2453" s="1"/>
      <c r="O2453" s="1"/>
      <c r="P2453" s="1"/>
      <c r="Q2453" s="1"/>
      <c r="R2453" s="1"/>
      <c r="S2453" s="1"/>
      <c r="T2453" s="1"/>
      <c r="U2453" s="1"/>
      <c r="V2453" s="1"/>
      <c r="W2453" s="1"/>
      <c r="X2453" s="1"/>
      <c r="Y2453" s="1"/>
      <c r="Z2453" s="1"/>
      <c r="AA2453" s="1"/>
      <c r="AB2453" s="1"/>
      <c r="AC2453" s="1"/>
      <c r="AD2453" s="1"/>
      <c r="AE2453" s="1"/>
      <c r="AF2453" s="1"/>
      <c r="AG2453" s="1"/>
      <c r="AH2453" s="1"/>
    </row>
    <row r="2454" ht="12.75" hidden="1" customHeight="1" outlineLevel="1">
      <c r="A2454" s="17">
        <v>41423.0</v>
      </c>
      <c r="B2454" s="1"/>
      <c r="C2454" s="1" t="s">
        <v>435</v>
      </c>
      <c r="D2454" s="74"/>
      <c r="E2454" s="67"/>
      <c r="F2454" s="75"/>
      <c r="G2454" s="67"/>
      <c r="H2454" s="68"/>
      <c r="I2454" s="76"/>
      <c r="J2454" s="67"/>
      <c r="K2454" s="7" t="s">
        <v>818</v>
      </c>
      <c r="L2454" s="77"/>
      <c r="M2454" s="79"/>
      <c r="N2454" s="1"/>
      <c r="O2454" s="1"/>
      <c r="P2454" s="1"/>
      <c r="Q2454" s="1"/>
      <c r="R2454" s="1"/>
      <c r="S2454" s="1"/>
      <c r="T2454" s="1"/>
      <c r="U2454" s="1"/>
      <c r="V2454" s="1"/>
      <c r="W2454" s="1"/>
      <c r="X2454" s="1"/>
      <c r="Y2454" s="1"/>
      <c r="Z2454" s="1"/>
      <c r="AA2454" s="1"/>
      <c r="AB2454" s="1"/>
      <c r="AC2454" s="1"/>
      <c r="AD2454" s="1"/>
      <c r="AE2454" s="1"/>
      <c r="AF2454" s="1"/>
      <c r="AG2454" s="1"/>
      <c r="AH2454" s="1"/>
    </row>
    <row r="2455" ht="12.75" hidden="1" customHeight="1" outlineLevel="1">
      <c r="A2455" s="17">
        <v>41424.0</v>
      </c>
      <c r="B2455" s="1" t="s">
        <v>343</v>
      </c>
      <c r="C2455" s="1" t="s">
        <v>1076</v>
      </c>
      <c r="D2455" s="74">
        <v>500.0</v>
      </c>
      <c r="E2455" s="67">
        <v>50.38</v>
      </c>
      <c r="F2455" s="75">
        <v>0.4404282407407407</v>
      </c>
      <c r="G2455" s="67" t="s">
        <v>453</v>
      </c>
      <c r="H2455" s="68">
        <v>2.0</v>
      </c>
      <c r="I2455" s="76"/>
      <c r="J2455" s="67">
        <f t="shared" ref="J2455:J2457" si="175">IF(B2455="SLD",D2455*E2455,-D2455*E2455)-H2455</f>
        <v>-25192</v>
      </c>
      <c r="K2455" s="7"/>
      <c r="L2455" s="70"/>
      <c r="M2455" s="79"/>
      <c r="N2455" s="1"/>
      <c r="O2455" s="1"/>
      <c r="P2455" s="1"/>
      <c r="Q2455" s="1"/>
      <c r="R2455" s="1"/>
      <c r="S2455" s="1"/>
      <c r="T2455" s="1"/>
      <c r="U2455" s="1"/>
      <c r="V2455" s="1"/>
      <c r="W2455" s="1"/>
      <c r="X2455" s="1"/>
      <c r="Y2455" s="1"/>
      <c r="Z2455" s="1"/>
      <c r="AA2455" s="1"/>
      <c r="AB2455" s="1"/>
      <c r="AC2455" s="1"/>
      <c r="AD2455" s="1"/>
      <c r="AE2455" s="1"/>
      <c r="AF2455" s="1"/>
      <c r="AG2455" s="1"/>
      <c r="AH2455" s="1"/>
    </row>
    <row r="2456" ht="12.75" hidden="1" customHeight="1" outlineLevel="1">
      <c r="A2456" s="17">
        <v>41424.0</v>
      </c>
      <c r="B2456" s="1" t="s">
        <v>343</v>
      </c>
      <c r="C2456" s="1" t="s">
        <v>784</v>
      </c>
      <c r="D2456" s="74">
        <v>500.0</v>
      </c>
      <c r="E2456" s="67">
        <v>15.13</v>
      </c>
      <c r="F2456" s="75">
        <v>0.4627314814814815</v>
      </c>
      <c r="G2456" s="67" t="s">
        <v>453</v>
      </c>
      <c r="H2456" s="68">
        <v>2.0</v>
      </c>
      <c r="I2456" s="76"/>
      <c r="J2456" s="67">
        <f t="shared" si="175"/>
        <v>-7567</v>
      </c>
      <c r="K2456" s="7"/>
      <c r="L2456" s="70"/>
      <c r="M2456" s="79"/>
      <c r="N2456" s="1"/>
      <c r="O2456" s="1"/>
      <c r="P2456" s="1"/>
      <c r="Q2456" s="1"/>
      <c r="R2456" s="1"/>
      <c r="S2456" s="1"/>
      <c r="T2456" s="1"/>
      <c r="U2456" s="1"/>
      <c r="V2456" s="1"/>
      <c r="W2456" s="1"/>
      <c r="X2456" s="1"/>
      <c r="Y2456" s="1"/>
      <c r="Z2456" s="1"/>
      <c r="AA2456" s="1"/>
      <c r="AB2456" s="1"/>
      <c r="AC2456" s="1"/>
      <c r="AD2456" s="1"/>
      <c r="AE2456" s="1"/>
      <c r="AF2456" s="1"/>
      <c r="AG2456" s="1"/>
      <c r="AH2456" s="1"/>
    </row>
    <row r="2457" ht="12.75" hidden="1" customHeight="1" outlineLevel="1">
      <c r="A2457" s="17">
        <v>41424.0</v>
      </c>
      <c r="B2457" s="1" t="s">
        <v>343</v>
      </c>
      <c r="C2457" s="1" t="s">
        <v>1077</v>
      </c>
      <c r="D2457" s="74">
        <v>700.0</v>
      </c>
      <c r="E2457" s="67">
        <v>26.25</v>
      </c>
      <c r="F2457" s="75">
        <v>0.5958564814814815</v>
      </c>
      <c r="G2457" s="67" t="s">
        <v>453</v>
      </c>
      <c r="H2457" s="68">
        <v>2.8</v>
      </c>
      <c r="I2457" s="76"/>
      <c r="J2457" s="67">
        <f t="shared" si="175"/>
        <v>-18377.8</v>
      </c>
      <c r="K2457" s="7"/>
      <c r="L2457" s="70"/>
      <c r="M2457" s="79"/>
      <c r="N2457" s="1"/>
      <c r="O2457" s="1"/>
      <c r="P2457" s="1"/>
      <c r="Q2457" s="1"/>
      <c r="R2457" s="1"/>
      <c r="S2457" s="1"/>
      <c r="T2457" s="1"/>
      <c r="U2457" s="1"/>
      <c r="V2457" s="1"/>
      <c r="W2457" s="1"/>
      <c r="X2457" s="1"/>
      <c r="Y2457" s="1"/>
      <c r="Z2457" s="1"/>
      <c r="AA2457" s="1"/>
      <c r="AB2457" s="1"/>
      <c r="AC2457" s="1"/>
      <c r="AD2457" s="1"/>
      <c r="AE2457" s="1"/>
      <c r="AF2457" s="1"/>
      <c r="AG2457" s="1"/>
      <c r="AH2457" s="1"/>
    </row>
    <row r="2458" ht="12.75" hidden="1" customHeight="1" outlineLevel="1">
      <c r="A2458" s="17">
        <v>41424.0</v>
      </c>
      <c r="B2458" s="1"/>
      <c r="C2458" s="1" t="s">
        <v>339</v>
      </c>
      <c r="D2458" s="74"/>
      <c r="E2458" s="67"/>
      <c r="F2458" s="75"/>
      <c r="G2458" s="67"/>
      <c r="H2458" s="68"/>
      <c r="I2458" s="76"/>
      <c r="J2458" s="67"/>
      <c r="K2458" s="7" t="s">
        <v>1078</v>
      </c>
      <c r="L2458" s="77"/>
      <c r="M2458" s="79"/>
      <c r="N2458" s="1"/>
      <c r="O2458" s="1"/>
      <c r="P2458" s="1"/>
      <c r="Q2458" s="1"/>
      <c r="R2458" s="1"/>
      <c r="S2458" s="1"/>
      <c r="T2458" s="1"/>
      <c r="U2458" s="1"/>
      <c r="V2458" s="1"/>
      <c r="W2458" s="1"/>
      <c r="X2458" s="1"/>
      <c r="Y2458" s="1"/>
      <c r="Z2458" s="1"/>
      <c r="AA2458" s="1"/>
      <c r="AB2458" s="1"/>
      <c r="AC2458" s="1"/>
      <c r="AD2458" s="1"/>
      <c r="AE2458" s="1"/>
      <c r="AF2458" s="1"/>
      <c r="AG2458" s="1"/>
      <c r="AH2458" s="1"/>
    </row>
    <row r="2459" ht="12.75" hidden="1" customHeight="1" outlineLevel="1">
      <c r="A2459" s="17">
        <v>41424.0</v>
      </c>
      <c r="B2459" s="1"/>
      <c r="C2459" s="1" t="s">
        <v>429</v>
      </c>
      <c r="D2459" s="74"/>
      <c r="E2459" s="67"/>
      <c r="F2459" s="75"/>
      <c r="G2459" s="67"/>
      <c r="H2459" s="68"/>
      <c r="I2459" s="76"/>
      <c r="J2459" s="67"/>
      <c r="K2459" s="7" t="s">
        <v>1034</v>
      </c>
      <c r="L2459" s="77"/>
      <c r="M2459" s="79"/>
      <c r="N2459" s="1"/>
      <c r="O2459" s="1"/>
      <c r="P2459" s="1"/>
      <c r="Q2459" s="1"/>
      <c r="R2459" s="1"/>
      <c r="S2459" s="1"/>
      <c r="T2459" s="1"/>
      <c r="U2459" s="1"/>
      <c r="V2459" s="1"/>
      <c r="W2459" s="1"/>
      <c r="X2459" s="1"/>
      <c r="Y2459" s="1"/>
      <c r="Z2459" s="1"/>
      <c r="AA2459" s="1"/>
      <c r="AB2459" s="1"/>
      <c r="AC2459" s="1"/>
      <c r="AD2459" s="1"/>
      <c r="AE2459" s="1"/>
      <c r="AF2459" s="1"/>
      <c r="AG2459" s="1"/>
      <c r="AH2459" s="1"/>
    </row>
    <row r="2460" ht="12.75" hidden="1" customHeight="1" outlineLevel="1">
      <c r="A2460" s="17">
        <v>41424.0</v>
      </c>
      <c r="B2460" s="1"/>
      <c r="C2460" s="1" t="s">
        <v>431</v>
      </c>
      <c r="D2460" s="74"/>
      <c r="E2460" s="67"/>
      <c r="F2460" s="75"/>
      <c r="G2460" s="67"/>
      <c r="H2460" s="68"/>
      <c r="I2460" s="76"/>
      <c r="J2460" s="67"/>
      <c r="K2460" s="7" t="s">
        <v>817</v>
      </c>
      <c r="L2460" s="77"/>
      <c r="M2460" s="79"/>
      <c r="N2460" s="1"/>
      <c r="O2460" s="1"/>
      <c r="P2460" s="1"/>
      <c r="Q2460" s="1"/>
      <c r="R2460" s="1"/>
      <c r="S2460" s="1"/>
      <c r="T2460" s="1"/>
      <c r="U2460" s="1"/>
      <c r="V2460" s="1"/>
      <c r="W2460" s="1"/>
      <c r="X2460" s="1"/>
      <c r="Y2460" s="1"/>
      <c r="Z2460" s="1"/>
      <c r="AA2460" s="1"/>
      <c r="AB2460" s="1"/>
      <c r="AC2460" s="1"/>
      <c r="AD2460" s="1"/>
      <c r="AE2460" s="1"/>
      <c r="AF2460" s="1"/>
      <c r="AG2460" s="1"/>
      <c r="AH2460" s="1"/>
    </row>
    <row r="2461" ht="12.75" hidden="1" customHeight="1" outlineLevel="1">
      <c r="A2461" s="17">
        <v>41424.0</v>
      </c>
      <c r="B2461" s="1"/>
      <c r="C2461" s="1" t="s">
        <v>433</v>
      </c>
      <c r="D2461" s="74"/>
      <c r="E2461" s="67"/>
      <c r="F2461" s="75"/>
      <c r="G2461" s="67"/>
      <c r="H2461" s="68"/>
      <c r="I2461" s="76"/>
      <c r="J2461" s="67"/>
      <c r="K2461" s="7" t="s">
        <v>434</v>
      </c>
      <c r="L2461" s="77"/>
      <c r="M2461" s="79"/>
      <c r="N2461" s="1"/>
      <c r="O2461" s="1"/>
      <c r="P2461" s="1"/>
      <c r="Q2461" s="1"/>
      <c r="R2461" s="1"/>
      <c r="S2461" s="1"/>
      <c r="T2461" s="1"/>
      <c r="U2461" s="1"/>
      <c r="V2461" s="1"/>
      <c r="W2461" s="1"/>
      <c r="X2461" s="1"/>
      <c r="Y2461" s="1"/>
      <c r="Z2461" s="1"/>
      <c r="AA2461" s="1"/>
      <c r="AB2461" s="1"/>
      <c r="AC2461" s="1"/>
      <c r="AD2461" s="1"/>
      <c r="AE2461" s="1"/>
      <c r="AF2461" s="1"/>
      <c r="AG2461" s="1"/>
      <c r="AH2461" s="1"/>
    </row>
    <row r="2462" ht="12.75" hidden="1" customHeight="1" outlineLevel="1">
      <c r="A2462" s="17">
        <v>41424.0</v>
      </c>
      <c r="B2462" s="1"/>
      <c r="C2462" s="1" t="s">
        <v>435</v>
      </c>
      <c r="D2462" s="74"/>
      <c r="E2462" s="67"/>
      <c r="F2462" s="75"/>
      <c r="G2462" s="67"/>
      <c r="H2462" s="68"/>
      <c r="I2462" s="76"/>
      <c r="J2462" s="67"/>
      <c r="K2462" s="7" t="s">
        <v>818</v>
      </c>
      <c r="L2462" s="77"/>
      <c r="M2462" s="79"/>
      <c r="N2462" s="1"/>
      <c r="O2462" s="1"/>
      <c r="P2462" s="1"/>
      <c r="Q2462" s="1"/>
      <c r="R2462" s="1"/>
      <c r="S2462" s="1"/>
      <c r="T2462" s="1"/>
      <c r="U2462" s="1"/>
      <c r="V2462" s="1"/>
      <c r="W2462" s="1"/>
      <c r="X2462" s="1"/>
      <c r="Y2462" s="1"/>
      <c r="Z2462" s="1"/>
      <c r="AA2462" s="1"/>
      <c r="AB2462" s="1"/>
      <c r="AC2462" s="1"/>
      <c r="AD2462" s="1"/>
      <c r="AE2462" s="1"/>
      <c r="AF2462" s="1"/>
      <c r="AG2462" s="1"/>
      <c r="AH2462" s="1"/>
    </row>
    <row r="2463" ht="12.75" hidden="1" customHeight="1" outlineLevel="1">
      <c r="A2463" s="17">
        <v>41425.0</v>
      </c>
      <c r="B2463" s="1" t="s">
        <v>347</v>
      </c>
      <c r="C2463" s="1" t="s">
        <v>851</v>
      </c>
      <c r="D2463" s="74">
        <v>1500.0</v>
      </c>
      <c r="E2463" s="67">
        <v>17.991</v>
      </c>
      <c r="F2463" s="75">
        <v>41425.48825231481</v>
      </c>
      <c r="G2463" s="67" t="s">
        <v>453</v>
      </c>
      <c r="H2463" s="68">
        <v>6.0</v>
      </c>
      <c r="I2463" s="76"/>
      <c r="J2463" s="67">
        <f t="shared" ref="J2463:J2464" si="176">IF(B2463="SLD",D2463*E2463,-D2463*E2463)-H2463</f>
        <v>26980.5</v>
      </c>
      <c r="K2463" s="7"/>
      <c r="L2463" s="70"/>
      <c r="M2463" s="79"/>
      <c r="N2463" s="1"/>
      <c r="O2463" s="1"/>
      <c r="P2463" s="1"/>
      <c r="Q2463" s="1"/>
      <c r="R2463" s="1"/>
      <c r="S2463" s="1"/>
      <c r="T2463" s="1"/>
      <c r="U2463" s="1"/>
      <c r="V2463" s="1"/>
      <c r="W2463" s="1"/>
      <c r="X2463" s="1"/>
      <c r="Y2463" s="1"/>
      <c r="Z2463" s="1"/>
      <c r="AA2463" s="1"/>
      <c r="AB2463" s="1"/>
      <c r="AC2463" s="1"/>
      <c r="AD2463" s="1"/>
      <c r="AE2463" s="1"/>
      <c r="AF2463" s="1"/>
      <c r="AG2463" s="1"/>
      <c r="AH2463" s="1"/>
    </row>
    <row r="2464" ht="12.75" hidden="1" customHeight="1" outlineLevel="1">
      <c r="A2464" s="17">
        <v>41425.0</v>
      </c>
      <c r="B2464" s="1" t="s">
        <v>347</v>
      </c>
      <c r="C2464" s="1" t="s">
        <v>1032</v>
      </c>
      <c r="D2464" s="74">
        <v>3800.0</v>
      </c>
      <c r="E2464" s="67">
        <v>4.587</v>
      </c>
      <c r="F2464" s="75">
        <v>41425.48840277778</v>
      </c>
      <c r="G2464" s="67" t="s">
        <v>453</v>
      </c>
      <c r="H2464" s="68">
        <v>17.3</v>
      </c>
      <c r="I2464" s="76"/>
      <c r="J2464" s="67">
        <f t="shared" si="176"/>
        <v>17413.3</v>
      </c>
      <c r="K2464" s="7"/>
      <c r="L2464" s="70"/>
      <c r="M2464" s="79"/>
      <c r="N2464" s="1"/>
      <c r="O2464" s="1"/>
      <c r="P2464" s="1"/>
      <c r="Q2464" s="1"/>
      <c r="R2464" s="1"/>
      <c r="S2464" s="1"/>
      <c r="T2464" s="1"/>
      <c r="U2464" s="1"/>
      <c r="V2464" s="1"/>
      <c r="W2464" s="1"/>
      <c r="X2464" s="1"/>
      <c r="Y2464" s="1"/>
      <c r="Z2464" s="1"/>
      <c r="AA2464" s="1"/>
      <c r="AB2464" s="1"/>
      <c r="AC2464" s="1"/>
      <c r="AD2464" s="1"/>
      <c r="AE2464" s="1"/>
      <c r="AF2464" s="1"/>
      <c r="AG2464" s="1"/>
      <c r="AH2464" s="1"/>
    </row>
    <row r="2465" ht="12.75" hidden="1" customHeight="1" outlineLevel="1">
      <c r="A2465" s="17">
        <v>41425.0</v>
      </c>
      <c r="B2465" s="1"/>
      <c r="C2465" s="1" t="s">
        <v>339</v>
      </c>
      <c r="D2465" s="74"/>
      <c r="E2465" s="67"/>
      <c r="F2465" s="75"/>
      <c r="G2465" s="67"/>
      <c r="H2465" s="68"/>
      <c r="I2465" s="76"/>
      <c r="J2465" s="67"/>
      <c r="K2465" s="7" t="s">
        <v>1080</v>
      </c>
      <c r="L2465" s="77"/>
      <c r="M2465" s="79"/>
      <c r="N2465" s="1"/>
      <c r="O2465" s="1"/>
      <c r="P2465" s="1"/>
      <c r="Q2465" s="1"/>
      <c r="R2465" s="1"/>
      <c r="S2465" s="1"/>
      <c r="T2465" s="1"/>
      <c r="U2465" s="1"/>
      <c r="V2465" s="1"/>
      <c r="W2465" s="1"/>
      <c r="X2465" s="1"/>
      <c r="Y2465" s="1"/>
      <c r="Z2465" s="1"/>
      <c r="AA2465" s="1"/>
      <c r="AB2465" s="1"/>
      <c r="AC2465" s="1"/>
      <c r="AD2465" s="1"/>
      <c r="AE2465" s="1"/>
      <c r="AF2465" s="1"/>
      <c r="AG2465" s="1"/>
      <c r="AH2465" s="1"/>
    </row>
    <row r="2466" ht="12.75" hidden="1" customHeight="1" outlineLevel="1">
      <c r="A2466" s="17">
        <v>41425.0</v>
      </c>
      <c r="B2466" s="1"/>
      <c r="C2466" s="1" t="s">
        <v>429</v>
      </c>
      <c r="D2466" s="74"/>
      <c r="E2466" s="67"/>
      <c r="F2466" s="75"/>
      <c r="G2466" s="67"/>
      <c r="H2466" s="68"/>
      <c r="I2466" s="76"/>
      <c r="J2466" s="67"/>
      <c r="K2466" s="7" t="s">
        <v>1034</v>
      </c>
      <c r="L2466" s="77"/>
      <c r="M2466" s="79"/>
      <c r="N2466" s="1"/>
      <c r="O2466" s="1"/>
      <c r="P2466" s="1"/>
      <c r="Q2466" s="1"/>
      <c r="R2466" s="1"/>
      <c r="S2466" s="1"/>
      <c r="T2466" s="1"/>
      <c r="U2466" s="1"/>
      <c r="V2466" s="1"/>
      <c r="W2466" s="1"/>
      <c r="X2466" s="1"/>
      <c r="Y2466" s="1"/>
      <c r="Z2466" s="1"/>
      <c r="AA2466" s="1"/>
      <c r="AB2466" s="1"/>
      <c r="AC2466" s="1"/>
      <c r="AD2466" s="1"/>
      <c r="AE2466" s="1"/>
      <c r="AF2466" s="1"/>
      <c r="AG2466" s="1"/>
      <c r="AH2466" s="1"/>
    </row>
    <row r="2467" ht="12.75" hidden="1" customHeight="1" outlineLevel="1">
      <c r="A2467" s="17">
        <v>41425.0</v>
      </c>
      <c r="B2467" s="1"/>
      <c r="C2467" s="1" t="s">
        <v>431</v>
      </c>
      <c r="D2467" s="74"/>
      <c r="E2467" s="67"/>
      <c r="F2467" s="75"/>
      <c r="G2467" s="67"/>
      <c r="H2467" s="68"/>
      <c r="I2467" s="76"/>
      <c r="J2467" s="67"/>
      <c r="K2467" s="7" t="s">
        <v>817</v>
      </c>
      <c r="L2467" s="77"/>
      <c r="M2467" s="79"/>
      <c r="N2467" s="1"/>
      <c r="O2467" s="1"/>
      <c r="P2467" s="1"/>
      <c r="Q2467" s="1"/>
      <c r="R2467" s="1"/>
      <c r="S2467" s="1"/>
      <c r="T2467" s="1"/>
      <c r="U2467" s="1"/>
      <c r="V2467" s="1"/>
      <c r="W2467" s="1"/>
      <c r="X2467" s="1"/>
      <c r="Y2467" s="1"/>
      <c r="Z2467" s="1"/>
      <c r="AA2467" s="1"/>
      <c r="AB2467" s="1"/>
      <c r="AC2467" s="1"/>
      <c r="AD2467" s="1"/>
      <c r="AE2467" s="1"/>
      <c r="AF2467" s="1"/>
      <c r="AG2467" s="1"/>
      <c r="AH2467" s="1"/>
    </row>
    <row r="2468" ht="12.75" hidden="1" customHeight="1" outlineLevel="1">
      <c r="A2468" s="17">
        <v>41425.0</v>
      </c>
      <c r="B2468" s="1"/>
      <c r="C2468" s="1" t="s">
        <v>433</v>
      </c>
      <c r="D2468" s="74"/>
      <c r="E2468" s="67"/>
      <c r="F2468" s="75"/>
      <c r="G2468" s="67"/>
      <c r="H2468" s="68"/>
      <c r="I2468" s="76"/>
      <c r="J2468" s="67"/>
      <c r="K2468" s="7" t="s">
        <v>434</v>
      </c>
      <c r="L2468" s="77"/>
      <c r="M2468" s="79"/>
      <c r="N2468" s="1"/>
      <c r="O2468" s="1"/>
      <c r="P2468" s="1"/>
      <c r="Q2468" s="1"/>
      <c r="R2468" s="1"/>
      <c r="S2468" s="1"/>
      <c r="T2468" s="1"/>
      <c r="U2468" s="1"/>
      <c r="V2468" s="1"/>
      <c r="W2468" s="1"/>
      <c r="X2468" s="1"/>
      <c r="Y2468" s="1"/>
      <c r="Z2468" s="1"/>
      <c r="AA2468" s="1"/>
      <c r="AB2468" s="1"/>
      <c r="AC2468" s="1"/>
      <c r="AD2468" s="1"/>
      <c r="AE2468" s="1"/>
      <c r="AF2468" s="1"/>
      <c r="AG2468" s="1"/>
      <c r="AH2468" s="1"/>
    </row>
    <row r="2469" ht="12.75" hidden="1" customHeight="1" outlineLevel="1">
      <c r="A2469" s="17">
        <v>41425.0</v>
      </c>
      <c r="B2469" s="1"/>
      <c r="C2469" s="1" t="s">
        <v>435</v>
      </c>
      <c r="D2469" s="74"/>
      <c r="E2469" s="67"/>
      <c r="F2469" s="75"/>
      <c r="G2469" s="67"/>
      <c r="H2469" s="68"/>
      <c r="I2469" s="76"/>
      <c r="J2469" s="67"/>
      <c r="K2469" s="7" t="s">
        <v>818</v>
      </c>
      <c r="L2469" s="77"/>
      <c r="M2469" s="79"/>
      <c r="N2469" s="1"/>
      <c r="O2469" s="1"/>
      <c r="P2469" s="1"/>
      <c r="Q2469" s="1"/>
      <c r="R2469" s="1"/>
      <c r="S2469" s="1"/>
      <c r="T2469" s="1"/>
      <c r="U2469" s="1"/>
      <c r="V2469" s="1"/>
      <c r="W2469" s="1"/>
      <c r="X2469" s="1"/>
      <c r="Y2469" s="1"/>
      <c r="Z2469" s="1"/>
      <c r="AA2469" s="1"/>
      <c r="AB2469" s="1"/>
      <c r="AC2469" s="1"/>
      <c r="AD2469" s="1"/>
      <c r="AE2469" s="1"/>
      <c r="AF2469" s="1"/>
      <c r="AG2469" s="1"/>
      <c r="AH2469" s="1"/>
    </row>
    <row r="2470" ht="12.75" hidden="1" customHeight="1" outlineLevel="1">
      <c r="A2470" s="17">
        <v>41428.0</v>
      </c>
      <c r="B2470" s="1"/>
      <c r="C2470" s="1" t="s">
        <v>339</v>
      </c>
      <c r="D2470" s="74"/>
      <c r="E2470" s="67"/>
      <c r="F2470" s="75"/>
      <c r="G2470" s="67"/>
      <c r="H2470" s="68"/>
      <c r="I2470" s="76"/>
      <c r="J2470" s="67"/>
      <c r="K2470" s="7" t="s">
        <v>1081</v>
      </c>
      <c r="L2470" s="77"/>
      <c r="M2470" s="79"/>
      <c r="N2470" s="1"/>
      <c r="O2470" s="1"/>
      <c r="P2470" s="1"/>
      <c r="Q2470" s="1"/>
      <c r="R2470" s="1"/>
      <c r="S2470" s="1"/>
      <c r="T2470" s="1"/>
      <c r="U2470" s="1"/>
      <c r="V2470" s="1"/>
      <c r="W2470" s="1"/>
      <c r="X2470" s="1"/>
      <c r="Y2470" s="1"/>
      <c r="Z2470" s="1"/>
      <c r="AA2470" s="1"/>
      <c r="AB2470" s="1"/>
      <c r="AC2470" s="1"/>
      <c r="AD2470" s="1"/>
      <c r="AE2470" s="1"/>
      <c r="AF2470" s="1"/>
      <c r="AG2470" s="1"/>
      <c r="AH2470" s="1"/>
    </row>
    <row r="2471" ht="12.75" hidden="1" customHeight="1" outlineLevel="1">
      <c r="A2471" s="17">
        <v>41428.0</v>
      </c>
      <c r="B2471" s="1"/>
      <c r="C2471" s="1" t="s">
        <v>429</v>
      </c>
      <c r="D2471" s="74"/>
      <c r="E2471" s="67"/>
      <c r="F2471" s="75"/>
      <c r="G2471" s="67"/>
      <c r="H2471" s="68"/>
      <c r="I2471" s="76"/>
      <c r="J2471" s="67"/>
      <c r="K2471" s="7" t="s">
        <v>1034</v>
      </c>
      <c r="L2471" s="77"/>
      <c r="M2471" s="79"/>
      <c r="N2471" s="1"/>
      <c r="O2471" s="1"/>
      <c r="P2471" s="1"/>
      <c r="Q2471" s="1"/>
      <c r="R2471" s="1"/>
      <c r="S2471" s="1"/>
      <c r="T2471" s="1"/>
      <c r="U2471" s="1"/>
      <c r="V2471" s="1"/>
      <c r="W2471" s="1"/>
      <c r="X2471" s="1"/>
      <c r="Y2471" s="1"/>
      <c r="Z2471" s="1"/>
      <c r="AA2471" s="1"/>
      <c r="AB2471" s="1"/>
      <c r="AC2471" s="1"/>
      <c r="AD2471" s="1"/>
      <c r="AE2471" s="1"/>
      <c r="AF2471" s="1"/>
      <c r="AG2471" s="1"/>
      <c r="AH2471" s="1"/>
    </row>
    <row r="2472" ht="12.75" hidden="1" customHeight="1" outlineLevel="1">
      <c r="A2472" s="17">
        <v>41428.0</v>
      </c>
      <c r="B2472" s="1"/>
      <c r="C2472" s="1" t="s">
        <v>431</v>
      </c>
      <c r="D2472" s="74"/>
      <c r="E2472" s="67"/>
      <c r="F2472" s="75"/>
      <c r="G2472" s="67"/>
      <c r="H2472" s="68"/>
      <c r="I2472" s="76"/>
      <c r="J2472" s="67"/>
      <c r="K2472" s="7" t="s">
        <v>817</v>
      </c>
      <c r="L2472" s="77"/>
      <c r="M2472" s="79"/>
      <c r="N2472" s="1"/>
      <c r="O2472" s="1"/>
      <c r="P2472" s="1"/>
      <c r="Q2472" s="1"/>
      <c r="R2472" s="1"/>
      <c r="S2472" s="1"/>
      <c r="T2472" s="1"/>
      <c r="U2472" s="1"/>
      <c r="V2472" s="1"/>
      <c r="W2472" s="1"/>
      <c r="X2472" s="1"/>
      <c r="Y2472" s="1"/>
      <c r="Z2472" s="1"/>
      <c r="AA2472" s="1"/>
      <c r="AB2472" s="1"/>
      <c r="AC2472" s="1"/>
      <c r="AD2472" s="1"/>
      <c r="AE2472" s="1"/>
      <c r="AF2472" s="1"/>
      <c r="AG2472" s="1"/>
      <c r="AH2472" s="1"/>
    </row>
    <row r="2473" ht="12.75" hidden="1" customHeight="1" outlineLevel="1">
      <c r="A2473" s="17">
        <v>41428.0</v>
      </c>
      <c r="B2473" s="1"/>
      <c r="C2473" s="1" t="s">
        <v>433</v>
      </c>
      <c r="D2473" s="74"/>
      <c r="E2473" s="67"/>
      <c r="F2473" s="75"/>
      <c r="G2473" s="67"/>
      <c r="H2473" s="68"/>
      <c r="I2473" s="76"/>
      <c r="J2473" s="67"/>
      <c r="K2473" s="7" t="s">
        <v>434</v>
      </c>
      <c r="L2473" s="77"/>
      <c r="M2473" s="79"/>
      <c r="N2473" s="1"/>
      <c r="O2473" s="1"/>
      <c r="P2473" s="1"/>
      <c r="Q2473" s="1"/>
      <c r="R2473" s="1"/>
      <c r="S2473" s="1"/>
      <c r="T2473" s="1"/>
      <c r="U2473" s="1"/>
      <c r="V2473" s="1"/>
      <c r="W2473" s="1"/>
      <c r="X2473" s="1"/>
      <c r="Y2473" s="1"/>
      <c r="Z2473" s="1"/>
      <c r="AA2473" s="1"/>
      <c r="AB2473" s="1"/>
      <c r="AC2473" s="1"/>
      <c r="AD2473" s="1"/>
      <c r="AE2473" s="1"/>
      <c r="AF2473" s="1"/>
      <c r="AG2473" s="1"/>
      <c r="AH2473" s="1"/>
    </row>
    <row r="2474" ht="12.75" hidden="1" customHeight="1" outlineLevel="1">
      <c r="A2474" s="17">
        <v>41428.0</v>
      </c>
      <c r="B2474" s="1"/>
      <c r="C2474" s="1" t="s">
        <v>435</v>
      </c>
      <c r="D2474" s="74"/>
      <c r="E2474" s="67"/>
      <c r="F2474" s="75"/>
      <c r="G2474" s="67"/>
      <c r="H2474" s="68"/>
      <c r="I2474" s="76"/>
      <c r="J2474" s="67"/>
      <c r="K2474" s="7" t="s">
        <v>818</v>
      </c>
      <c r="L2474" s="77"/>
      <c r="M2474" s="79"/>
      <c r="N2474" s="1"/>
      <c r="O2474" s="1"/>
      <c r="P2474" s="1"/>
      <c r="Q2474" s="1"/>
      <c r="R2474" s="1"/>
      <c r="S2474" s="1"/>
      <c r="T2474" s="1"/>
      <c r="U2474" s="1"/>
      <c r="V2474" s="1"/>
      <c r="W2474" s="1"/>
      <c r="X2474" s="1"/>
      <c r="Y2474" s="1"/>
      <c r="Z2474" s="1"/>
      <c r="AA2474" s="1"/>
      <c r="AB2474" s="1"/>
      <c r="AC2474" s="1"/>
      <c r="AD2474" s="1"/>
      <c r="AE2474" s="1"/>
      <c r="AF2474" s="1"/>
      <c r="AG2474" s="1"/>
      <c r="AH2474" s="1"/>
    </row>
    <row r="2475" ht="12.75" hidden="1" customHeight="1" outlineLevel="1">
      <c r="A2475" s="17">
        <v>41429.0</v>
      </c>
      <c r="B2475" s="1" t="s">
        <v>343</v>
      </c>
      <c r="C2475" s="1" t="s">
        <v>344</v>
      </c>
      <c r="D2475" s="74">
        <v>200.0</v>
      </c>
      <c r="E2475" s="67">
        <v>44.99</v>
      </c>
      <c r="F2475" s="75">
        <v>0.40725694444444444</v>
      </c>
      <c r="G2475" s="67" t="s">
        <v>453</v>
      </c>
      <c r="H2475" s="68">
        <v>1.0</v>
      </c>
      <c r="I2475" s="76"/>
      <c r="J2475" s="67">
        <f t="shared" ref="J2475:J2479" si="177">IF(B2475="SLD",D2475*E2475,-D2475*E2475)-H2475</f>
        <v>-8999</v>
      </c>
      <c r="K2475" s="7"/>
      <c r="L2475" s="70"/>
      <c r="M2475" s="79"/>
      <c r="N2475" s="1"/>
      <c r="O2475" s="1"/>
      <c r="P2475" s="1"/>
      <c r="Q2475" s="1"/>
      <c r="R2475" s="1"/>
      <c r="S2475" s="1"/>
      <c r="T2475" s="1"/>
      <c r="U2475" s="1"/>
      <c r="V2475" s="1"/>
      <c r="W2475" s="1"/>
      <c r="X2475" s="1"/>
      <c r="Y2475" s="1"/>
      <c r="Z2475" s="1"/>
      <c r="AA2475" s="1"/>
      <c r="AB2475" s="1"/>
      <c r="AC2475" s="1"/>
      <c r="AD2475" s="1"/>
      <c r="AE2475" s="1"/>
      <c r="AF2475" s="1"/>
      <c r="AG2475" s="1"/>
      <c r="AH2475" s="1"/>
    </row>
    <row r="2476" ht="12.75" hidden="1" customHeight="1" outlineLevel="1">
      <c r="A2476" s="17">
        <v>41429.0</v>
      </c>
      <c r="B2476" s="1" t="s">
        <v>347</v>
      </c>
      <c r="C2476" s="1" t="s">
        <v>344</v>
      </c>
      <c r="D2476" s="74">
        <v>400.0</v>
      </c>
      <c r="E2476" s="67">
        <v>43.81</v>
      </c>
      <c r="F2476" s="75">
        <v>0.5887152777777778</v>
      </c>
      <c r="G2476" s="67" t="s">
        <v>453</v>
      </c>
      <c r="H2476" s="68">
        <v>1.7</v>
      </c>
      <c r="I2476" s="76"/>
      <c r="J2476" s="67">
        <f t="shared" si="177"/>
        <v>17522.3</v>
      </c>
      <c r="K2476" s="7"/>
      <c r="L2476" s="70"/>
      <c r="M2476" s="79"/>
      <c r="N2476" s="1"/>
      <c r="O2476" s="1"/>
      <c r="P2476" s="1"/>
      <c r="Q2476" s="1"/>
      <c r="R2476" s="1"/>
      <c r="S2476" s="1"/>
      <c r="T2476" s="1"/>
      <c r="U2476" s="1"/>
      <c r="V2476" s="1"/>
      <c r="W2476" s="1"/>
      <c r="X2476" s="1"/>
      <c r="Y2476" s="1"/>
      <c r="Z2476" s="1"/>
      <c r="AA2476" s="1"/>
      <c r="AB2476" s="1"/>
      <c r="AC2476" s="1"/>
      <c r="AD2476" s="1"/>
      <c r="AE2476" s="1"/>
      <c r="AF2476" s="1"/>
      <c r="AG2476" s="1"/>
      <c r="AH2476" s="1"/>
    </row>
    <row r="2477" ht="12.75" hidden="1" customHeight="1" outlineLevel="1">
      <c r="A2477" s="17">
        <v>41429.0</v>
      </c>
      <c r="B2477" s="1" t="s">
        <v>347</v>
      </c>
      <c r="C2477" s="1" t="s">
        <v>1077</v>
      </c>
      <c r="D2477" s="74">
        <v>700.0</v>
      </c>
      <c r="E2477" s="67">
        <v>25.194</v>
      </c>
      <c r="F2477" s="75">
        <v>0.6354513888888889</v>
      </c>
      <c r="G2477" s="67" t="s">
        <v>453</v>
      </c>
      <c r="H2477" s="68">
        <v>3.5</v>
      </c>
      <c r="I2477" s="76"/>
      <c r="J2477" s="67">
        <f t="shared" si="177"/>
        <v>17632.3</v>
      </c>
      <c r="K2477" s="7"/>
      <c r="L2477" s="70"/>
      <c r="M2477" s="79"/>
      <c r="N2477" s="1"/>
      <c r="O2477" s="1"/>
      <c r="P2477" s="1"/>
      <c r="Q2477" s="1"/>
      <c r="R2477" s="1"/>
      <c r="S2477" s="1"/>
      <c r="T2477" s="1"/>
      <c r="U2477" s="1"/>
      <c r="V2477" s="1"/>
      <c r="W2477" s="1"/>
      <c r="X2477" s="1"/>
      <c r="Y2477" s="1"/>
      <c r="Z2477" s="1"/>
      <c r="AA2477" s="1"/>
      <c r="AB2477" s="1"/>
      <c r="AC2477" s="1"/>
      <c r="AD2477" s="1"/>
      <c r="AE2477" s="1"/>
      <c r="AF2477" s="1"/>
      <c r="AG2477" s="1"/>
      <c r="AH2477" s="1"/>
    </row>
    <row r="2478" ht="12.75" hidden="1" customHeight="1" outlineLevel="1">
      <c r="A2478" s="17">
        <v>41429.0</v>
      </c>
      <c r="B2478" s="1" t="s">
        <v>343</v>
      </c>
      <c r="C2478" s="1" t="s">
        <v>369</v>
      </c>
      <c r="D2478" s="74">
        <v>200.0</v>
      </c>
      <c r="E2478" s="67">
        <v>19.09</v>
      </c>
      <c r="F2478" s="75">
        <v>0.6364814814814815</v>
      </c>
      <c r="G2478" s="67" t="s">
        <v>453</v>
      </c>
      <c r="H2478" s="68">
        <v>1.0</v>
      </c>
      <c r="I2478" s="76"/>
      <c r="J2478" s="67">
        <f t="shared" si="177"/>
        <v>-3819</v>
      </c>
      <c r="K2478" s="7"/>
      <c r="L2478" s="70"/>
      <c r="M2478" s="79"/>
      <c r="N2478" s="1"/>
      <c r="O2478" s="1"/>
      <c r="P2478" s="1"/>
      <c r="Q2478" s="1"/>
      <c r="R2478" s="1"/>
      <c r="S2478" s="1"/>
      <c r="T2478" s="1"/>
      <c r="U2478" s="1"/>
      <c r="V2478" s="1"/>
      <c r="W2478" s="1"/>
      <c r="X2478" s="1"/>
      <c r="Y2478" s="1"/>
      <c r="Z2478" s="1"/>
      <c r="AA2478" s="1"/>
      <c r="AB2478" s="1"/>
      <c r="AC2478" s="1"/>
      <c r="AD2478" s="1"/>
      <c r="AE2478" s="1"/>
      <c r="AF2478" s="1"/>
      <c r="AG2478" s="1"/>
      <c r="AH2478" s="1"/>
    </row>
    <row r="2479" ht="12.75" hidden="1" customHeight="1" outlineLevel="1">
      <c r="A2479" s="17">
        <v>41429.0</v>
      </c>
      <c r="B2479" s="1" t="s">
        <v>347</v>
      </c>
      <c r="C2479" s="1" t="s">
        <v>1063</v>
      </c>
      <c r="D2479" s="74">
        <v>500.0</v>
      </c>
      <c r="E2479" s="67">
        <v>16.94</v>
      </c>
      <c r="F2479" s="75">
        <v>0.661261574074074</v>
      </c>
      <c r="G2479" s="67" t="s">
        <v>453</v>
      </c>
      <c r="H2479" s="68">
        <v>2.0</v>
      </c>
      <c r="I2479" s="76"/>
      <c r="J2479" s="67">
        <f t="shared" si="177"/>
        <v>8468</v>
      </c>
      <c r="K2479" s="7"/>
      <c r="L2479" s="70"/>
      <c r="M2479" s="79"/>
      <c r="N2479" s="1"/>
      <c r="O2479" s="1"/>
      <c r="P2479" s="1"/>
      <c r="Q2479" s="1"/>
      <c r="R2479" s="1"/>
      <c r="S2479" s="1"/>
      <c r="T2479" s="1"/>
      <c r="U2479" s="1"/>
      <c r="V2479" s="1"/>
      <c r="W2479" s="1"/>
      <c r="X2479" s="1"/>
      <c r="Y2479" s="1"/>
      <c r="Z2479" s="1"/>
      <c r="AA2479" s="1"/>
      <c r="AB2479" s="1"/>
      <c r="AC2479" s="1"/>
      <c r="AD2479" s="1"/>
      <c r="AE2479" s="1"/>
      <c r="AF2479" s="1"/>
      <c r="AG2479" s="1"/>
      <c r="AH2479" s="1"/>
    </row>
    <row r="2480" ht="12.75" hidden="1" customHeight="1" outlineLevel="1">
      <c r="A2480" s="17">
        <v>41429.0</v>
      </c>
      <c r="B2480" s="1"/>
      <c r="C2480" s="1" t="s">
        <v>339</v>
      </c>
      <c r="D2480" s="74"/>
      <c r="E2480" s="67"/>
      <c r="F2480" s="75"/>
      <c r="G2480" s="67"/>
      <c r="H2480" s="68"/>
      <c r="I2480" s="76"/>
      <c r="J2480" s="67"/>
      <c r="K2480" s="7" t="s">
        <v>1083</v>
      </c>
      <c r="L2480" s="77"/>
      <c r="M2480" s="79"/>
      <c r="N2480" s="1"/>
      <c r="O2480" s="1"/>
      <c r="P2480" s="1"/>
      <c r="Q2480" s="1"/>
      <c r="R2480" s="1"/>
      <c r="S2480" s="1"/>
      <c r="T2480" s="1"/>
      <c r="U2480" s="1"/>
      <c r="V2480" s="1"/>
      <c r="W2480" s="1"/>
      <c r="X2480" s="1"/>
      <c r="Y2480" s="1"/>
      <c r="Z2480" s="1"/>
      <c r="AA2480" s="1"/>
      <c r="AB2480" s="1"/>
      <c r="AC2480" s="1"/>
      <c r="AD2480" s="1"/>
      <c r="AE2480" s="1"/>
      <c r="AF2480" s="1"/>
      <c r="AG2480" s="1"/>
      <c r="AH2480" s="1"/>
    </row>
    <row r="2481" ht="12.75" hidden="1" customHeight="1" outlineLevel="1">
      <c r="A2481" s="17">
        <v>41429.0</v>
      </c>
      <c r="B2481" s="1"/>
      <c r="C2481" s="1" t="s">
        <v>429</v>
      </c>
      <c r="D2481" s="74"/>
      <c r="E2481" s="67"/>
      <c r="F2481" s="75"/>
      <c r="G2481" s="67"/>
      <c r="H2481" s="68"/>
      <c r="I2481" s="76"/>
      <c r="J2481" s="67"/>
      <c r="K2481" s="7" t="s">
        <v>1034</v>
      </c>
      <c r="L2481" s="77"/>
      <c r="M2481" s="79"/>
      <c r="N2481" s="1"/>
      <c r="O2481" s="1"/>
      <c r="P2481" s="1"/>
      <c r="Q2481" s="1"/>
      <c r="R2481" s="1"/>
      <c r="S2481" s="1"/>
      <c r="T2481" s="1"/>
      <c r="U2481" s="1"/>
      <c r="V2481" s="1"/>
      <c r="W2481" s="1"/>
      <c r="X2481" s="1"/>
      <c r="Y2481" s="1"/>
      <c r="Z2481" s="1"/>
      <c r="AA2481" s="1"/>
      <c r="AB2481" s="1"/>
      <c r="AC2481" s="1"/>
      <c r="AD2481" s="1"/>
      <c r="AE2481" s="1"/>
      <c r="AF2481" s="1"/>
      <c r="AG2481" s="1"/>
      <c r="AH2481" s="1"/>
    </row>
    <row r="2482" ht="12.75" hidden="1" customHeight="1" outlineLevel="1">
      <c r="A2482" s="17">
        <v>41429.0</v>
      </c>
      <c r="B2482" s="1"/>
      <c r="C2482" s="1" t="s">
        <v>431</v>
      </c>
      <c r="D2482" s="74"/>
      <c r="E2482" s="67"/>
      <c r="F2482" s="75"/>
      <c r="G2482" s="67"/>
      <c r="H2482" s="68"/>
      <c r="I2482" s="76"/>
      <c r="J2482" s="67"/>
      <c r="K2482" s="7" t="s">
        <v>817</v>
      </c>
      <c r="L2482" s="77"/>
      <c r="M2482" s="79"/>
      <c r="N2482" s="1"/>
      <c r="O2482" s="1"/>
      <c r="P2482" s="1"/>
      <c r="Q2482" s="1"/>
      <c r="R2482" s="1"/>
      <c r="S2482" s="1"/>
      <c r="T2482" s="1"/>
      <c r="U2482" s="1"/>
      <c r="V2482" s="1"/>
      <c r="W2482" s="1"/>
      <c r="X2482" s="1"/>
      <c r="Y2482" s="1"/>
      <c r="Z2482" s="1"/>
      <c r="AA2482" s="1"/>
      <c r="AB2482" s="1"/>
      <c r="AC2482" s="1"/>
      <c r="AD2482" s="1"/>
      <c r="AE2482" s="1"/>
      <c r="AF2482" s="1"/>
      <c r="AG2482" s="1"/>
      <c r="AH2482" s="1"/>
    </row>
    <row r="2483" ht="12.75" hidden="1" customHeight="1" outlineLevel="1">
      <c r="A2483" s="17">
        <v>41429.0</v>
      </c>
      <c r="B2483" s="1"/>
      <c r="C2483" s="1" t="s">
        <v>433</v>
      </c>
      <c r="D2483" s="74"/>
      <c r="E2483" s="67"/>
      <c r="F2483" s="75"/>
      <c r="G2483" s="67"/>
      <c r="H2483" s="68"/>
      <c r="I2483" s="76"/>
      <c r="J2483" s="67"/>
      <c r="K2483" s="7" t="s">
        <v>434</v>
      </c>
      <c r="L2483" s="77"/>
      <c r="M2483" s="79"/>
      <c r="N2483" s="1"/>
      <c r="O2483" s="1"/>
      <c r="P2483" s="1"/>
      <c r="Q2483" s="1"/>
      <c r="R2483" s="1"/>
      <c r="S2483" s="1"/>
      <c r="T2483" s="1"/>
      <c r="U2483" s="1"/>
      <c r="V2483" s="1"/>
      <c r="W2483" s="1"/>
      <c r="X2483" s="1"/>
      <c r="Y2483" s="1"/>
      <c r="Z2483" s="1"/>
      <c r="AA2483" s="1"/>
      <c r="AB2483" s="1"/>
      <c r="AC2483" s="1"/>
      <c r="AD2483" s="1"/>
      <c r="AE2483" s="1"/>
      <c r="AF2483" s="1"/>
      <c r="AG2483" s="1"/>
      <c r="AH2483" s="1"/>
    </row>
    <row r="2484" ht="12.75" hidden="1" customHeight="1" outlineLevel="1">
      <c r="A2484" s="17">
        <v>41429.0</v>
      </c>
      <c r="B2484" s="1"/>
      <c r="C2484" s="1" t="s">
        <v>435</v>
      </c>
      <c r="D2484" s="74"/>
      <c r="E2484" s="67"/>
      <c r="F2484" s="75"/>
      <c r="G2484" s="67"/>
      <c r="H2484" s="68"/>
      <c r="I2484" s="76"/>
      <c r="J2484" s="67"/>
      <c r="K2484" s="7" t="s">
        <v>818</v>
      </c>
      <c r="L2484" s="77"/>
      <c r="M2484" s="79"/>
      <c r="N2484" s="1"/>
      <c r="O2484" s="1"/>
      <c r="P2484" s="1"/>
      <c r="Q2484" s="1"/>
      <c r="R2484" s="1"/>
      <c r="S2484" s="1"/>
      <c r="T2484" s="1"/>
      <c r="U2484" s="1"/>
      <c r="V2484" s="1"/>
      <c r="W2484" s="1"/>
      <c r="X2484" s="1"/>
      <c r="Y2484" s="1"/>
      <c r="Z2484" s="1"/>
      <c r="AA2484" s="1"/>
      <c r="AB2484" s="1"/>
      <c r="AC2484" s="1"/>
      <c r="AD2484" s="1"/>
      <c r="AE2484" s="1"/>
      <c r="AF2484" s="1"/>
      <c r="AG2484" s="1"/>
      <c r="AH2484" s="1"/>
    </row>
    <row r="2485" ht="12.75" hidden="1" customHeight="1" outlineLevel="1">
      <c r="A2485" s="17">
        <v>41430.0</v>
      </c>
      <c r="B2485" s="1" t="s">
        <v>347</v>
      </c>
      <c r="C2485" s="1" t="s">
        <v>1044</v>
      </c>
      <c r="D2485" s="74">
        <v>600.0</v>
      </c>
      <c r="E2485" s="67">
        <v>29.727</v>
      </c>
      <c r="F2485" s="75">
        <v>0.5527199074074074</v>
      </c>
      <c r="G2485" s="67" t="s">
        <v>453</v>
      </c>
      <c r="H2485" s="68">
        <v>2.6</v>
      </c>
      <c r="I2485" s="76"/>
      <c r="J2485" s="67">
        <f t="shared" ref="J2485:J2486" si="178">IF(B2485="SLD",D2485*E2485,-D2485*E2485)-H2485</f>
        <v>17833.6</v>
      </c>
      <c r="K2485" s="7"/>
      <c r="L2485" s="70"/>
      <c r="M2485" s="79"/>
      <c r="N2485" s="1"/>
      <c r="O2485" s="1"/>
      <c r="P2485" s="1"/>
      <c r="Q2485" s="1"/>
      <c r="R2485" s="1"/>
      <c r="S2485" s="1"/>
      <c r="T2485" s="1"/>
      <c r="U2485" s="1"/>
      <c r="V2485" s="1"/>
      <c r="W2485" s="1"/>
      <c r="X2485" s="1"/>
      <c r="Y2485" s="1"/>
      <c r="Z2485" s="1"/>
      <c r="AA2485" s="1"/>
      <c r="AB2485" s="1"/>
      <c r="AC2485" s="1"/>
      <c r="AD2485" s="1"/>
      <c r="AE2485" s="1"/>
      <c r="AF2485" s="1"/>
      <c r="AG2485" s="1"/>
      <c r="AH2485" s="1"/>
    </row>
    <row r="2486" ht="12.75" hidden="1" customHeight="1" outlineLevel="1">
      <c r="A2486" s="17">
        <v>41430.0</v>
      </c>
      <c r="B2486" s="1" t="s">
        <v>343</v>
      </c>
      <c r="C2486" s="1" t="s">
        <v>344</v>
      </c>
      <c r="D2486" s="74">
        <v>400.0</v>
      </c>
      <c r="E2486" s="67">
        <v>43.89</v>
      </c>
      <c r="F2486" s="75">
        <v>0.5627430555555556</v>
      </c>
      <c r="G2486" s="67" t="s">
        <v>453</v>
      </c>
      <c r="H2486" s="68">
        <v>2.0</v>
      </c>
      <c r="I2486" s="76"/>
      <c r="J2486" s="67">
        <f t="shared" si="178"/>
        <v>-17558</v>
      </c>
      <c r="K2486" s="7" t="s">
        <v>607</v>
      </c>
      <c r="L2486" s="70"/>
      <c r="M2486" s="79"/>
      <c r="N2486" s="1"/>
      <c r="O2486" s="1"/>
      <c r="P2486" s="1"/>
      <c r="Q2486" s="1"/>
      <c r="R2486" s="1"/>
      <c r="S2486" s="1"/>
      <c r="T2486" s="1"/>
      <c r="U2486" s="1"/>
      <c r="V2486" s="1"/>
      <c r="W2486" s="1"/>
      <c r="X2486" s="1"/>
      <c r="Y2486" s="1"/>
      <c r="Z2486" s="1"/>
      <c r="AA2486" s="1"/>
      <c r="AB2486" s="1"/>
      <c r="AC2486" s="1"/>
      <c r="AD2486" s="1"/>
      <c r="AE2486" s="1"/>
      <c r="AF2486" s="1"/>
      <c r="AG2486" s="1"/>
      <c r="AH2486" s="1"/>
    </row>
    <row r="2487" ht="12.75" hidden="1" customHeight="1" outlineLevel="1">
      <c r="A2487" s="17">
        <v>41430.0</v>
      </c>
      <c r="B2487" s="1"/>
      <c r="C2487" s="1" t="s">
        <v>339</v>
      </c>
      <c r="D2487" s="74"/>
      <c r="E2487" s="67"/>
      <c r="F2487" s="75"/>
      <c r="G2487" s="67"/>
      <c r="H2487" s="68"/>
      <c r="I2487" s="76"/>
      <c r="J2487" s="67"/>
      <c r="K2487" s="7" t="s">
        <v>1084</v>
      </c>
      <c r="L2487" s="77"/>
      <c r="M2487" s="79"/>
      <c r="N2487" s="1"/>
      <c r="O2487" s="1"/>
      <c r="P2487" s="1"/>
      <c r="Q2487" s="1"/>
      <c r="R2487" s="1"/>
      <c r="S2487" s="1"/>
      <c r="T2487" s="1"/>
      <c r="U2487" s="1"/>
      <c r="V2487" s="1"/>
      <c r="W2487" s="1"/>
      <c r="X2487" s="1"/>
      <c r="Y2487" s="1"/>
      <c r="Z2487" s="1"/>
      <c r="AA2487" s="1"/>
      <c r="AB2487" s="1"/>
      <c r="AC2487" s="1"/>
      <c r="AD2487" s="1"/>
      <c r="AE2487" s="1"/>
      <c r="AF2487" s="1"/>
      <c r="AG2487" s="1"/>
      <c r="AH2487" s="1"/>
    </row>
    <row r="2488" ht="12.75" hidden="1" customHeight="1" outlineLevel="1">
      <c r="A2488" s="17">
        <v>41430.0</v>
      </c>
      <c r="B2488" s="1"/>
      <c r="C2488" s="1" t="s">
        <v>429</v>
      </c>
      <c r="D2488" s="74"/>
      <c r="E2488" s="67"/>
      <c r="F2488" s="75"/>
      <c r="G2488" s="67"/>
      <c r="H2488" s="68"/>
      <c r="I2488" s="76"/>
      <c r="J2488" s="67"/>
      <c r="K2488" s="7" t="s">
        <v>1034</v>
      </c>
      <c r="L2488" s="77"/>
      <c r="M2488" s="79"/>
      <c r="N2488" s="1"/>
      <c r="O2488" s="1"/>
      <c r="P2488" s="1"/>
      <c r="Q2488" s="1"/>
      <c r="R2488" s="1"/>
      <c r="S2488" s="1"/>
      <c r="T2488" s="1"/>
      <c r="U2488" s="1"/>
      <c r="V2488" s="1"/>
      <c r="W2488" s="1"/>
      <c r="X2488" s="1"/>
      <c r="Y2488" s="1"/>
      <c r="Z2488" s="1"/>
      <c r="AA2488" s="1"/>
      <c r="AB2488" s="1"/>
      <c r="AC2488" s="1"/>
      <c r="AD2488" s="1"/>
      <c r="AE2488" s="1"/>
      <c r="AF2488" s="1"/>
      <c r="AG2488" s="1"/>
      <c r="AH2488" s="1"/>
    </row>
    <row r="2489" ht="12.75" hidden="1" customHeight="1" outlineLevel="1">
      <c r="A2489" s="17">
        <v>41430.0</v>
      </c>
      <c r="B2489" s="1"/>
      <c r="C2489" s="1" t="s">
        <v>431</v>
      </c>
      <c r="D2489" s="74"/>
      <c r="E2489" s="67"/>
      <c r="F2489" s="75"/>
      <c r="G2489" s="67"/>
      <c r="H2489" s="68"/>
      <c r="I2489" s="76"/>
      <c r="J2489" s="67"/>
      <c r="K2489" s="7" t="s">
        <v>817</v>
      </c>
      <c r="L2489" s="77"/>
      <c r="M2489" s="79"/>
      <c r="N2489" s="1"/>
      <c r="O2489" s="1"/>
      <c r="P2489" s="1"/>
      <c r="Q2489" s="1"/>
      <c r="R2489" s="1"/>
      <c r="S2489" s="1"/>
      <c r="T2489" s="1"/>
      <c r="U2489" s="1"/>
      <c r="V2489" s="1"/>
      <c r="W2489" s="1"/>
      <c r="X2489" s="1"/>
      <c r="Y2489" s="1"/>
      <c r="Z2489" s="1"/>
      <c r="AA2489" s="1"/>
      <c r="AB2489" s="1"/>
      <c r="AC2489" s="1"/>
      <c r="AD2489" s="1"/>
      <c r="AE2489" s="1"/>
      <c r="AF2489" s="1"/>
      <c r="AG2489" s="1"/>
      <c r="AH2489" s="1"/>
    </row>
    <row r="2490" ht="12.75" hidden="1" customHeight="1" outlineLevel="1">
      <c r="A2490" s="17">
        <v>41430.0</v>
      </c>
      <c r="B2490" s="1"/>
      <c r="C2490" s="1" t="s">
        <v>433</v>
      </c>
      <c r="D2490" s="74"/>
      <c r="E2490" s="67"/>
      <c r="F2490" s="75"/>
      <c r="G2490" s="67"/>
      <c r="H2490" s="68"/>
      <c r="I2490" s="76"/>
      <c r="J2490" s="67"/>
      <c r="K2490" s="7" t="s">
        <v>434</v>
      </c>
      <c r="L2490" s="77"/>
      <c r="M2490" s="79"/>
      <c r="N2490" s="1"/>
      <c r="O2490" s="1"/>
      <c r="P2490" s="1"/>
      <c r="Q2490" s="1"/>
      <c r="R2490" s="1"/>
      <c r="S2490" s="1"/>
      <c r="T2490" s="1"/>
      <c r="U2490" s="1"/>
      <c r="V2490" s="1"/>
      <c r="W2490" s="1"/>
      <c r="X2490" s="1"/>
      <c r="Y2490" s="1"/>
      <c r="Z2490" s="1"/>
      <c r="AA2490" s="1"/>
      <c r="AB2490" s="1"/>
      <c r="AC2490" s="1"/>
      <c r="AD2490" s="1"/>
      <c r="AE2490" s="1"/>
      <c r="AF2490" s="1"/>
      <c r="AG2490" s="1"/>
      <c r="AH2490" s="1"/>
    </row>
    <row r="2491" ht="12.75" hidden="1" customHeight="1" outlineLevel="1">
      <c r="A2491" s="17">
        <v>41430.0</v>
      </c>
      <c r="B2491" s="1"/>
      <c r="C2491" s="1" t="s">
        <v>435</v>
      </c>
      <c r="D2491" s="74"/>
      <c r="E2491" s="67"/>
      <c r="F2491" s="75"/>
      <c r="G2491" s="67"/>
      <c r="H2491" s="68"/>
      <c r="I2491" s="76"/>
      <c r="J2491" s="67"/>
      <c r="K2491" s="7" t="s">
        <v>818</v>
      </c>
      <c r="L2491" s="77"/>
      <c r="M2491" s="79"/>
      <c r="N2491" s="1"/>
      <c r="O2491" s="1"/>
      <c r="P2491" s="1"/>
      <c r="Q2491" s="1"/>
      <c r="R2491" s="1"/>
      <c r="S2491" s="1"/>
      <c r="T2491" s="1"/>
      <c r="U2491" s="1"/>
      <c r="V2491" s="1"/>
      <c r="W2491" s="1"/>
      <c r="X2491" s="1"/>
      <c r="Y2491" s="1"/>
      <c r="Z2491" s="1"/>
      <c r="AA2491" s="1"/>
      <c r="AB2491" s="1"/>
      <c r="AC2491" s="1"/>
      <c r="AD2491" s="1"/>
      <c r="AE2491" s="1"/>
      <c r="AF2491" s="1"/>
      <c r="AG2491" s="1"/>
      <c r="AH2491" s="1"/>
    </row>
    <row r="2492" ht="12.75" hidden="1" customHeight="1" outlineLevel="1">
      <c r="A2492" s="17">
        <v>41431.0</v>
      </c>
      <c r="B2492" s="1" t="s">
        <v>343</v>
      </c>
      <c r="C2492" s="1" t="s">
        <v>364</v>
      </c>
      <c r="D2492" s="74">
        <v>150.0</v>
      </c>
      <c r="E2492" s="67">
        <v>99.977</v>
      </c>
      <c r="F2492" s="75">
        <v>0.49086805555555557</v>
      </c>
      <c r="G2492" s="67" t="s">
        <v>453</v>
      </c>
      <c r="H2492" s="68">
        <v>2.0</v>
      </c>
      <c r="I2492" s="76"/>
      <c r="J2492" s="67">
        <f>IF(B2492="SLD",D2492*E2492,-D2492*E2492)-H2492</f>
        <v>-14998.55</v>
      </c>
      <c r="K2492" s="7"/>
      <c r="L2492" s="70"/>
      <c r="M2492" s="79"/>
      <c r="N2492" s="1"/>
      <c r="O2492" s="1"/>
      <c r="P2492" s="1"/>
      <c r="Q2492" s="1"/>
      <c r="R2492" s="1"/>
      <c r="S2492" s="1"/>
      <c r="T2492" s="1"/>
      <c r="U2492" s="1"/>
      <c r="V2492" s="1"/>
      <c r="W2492" s="1"/>
      <c r="X2492" s="1"/>
      <c r="Y2492" s="1"/>
      <c r="Z2492" s="1"/>
      <c r="AA2492" s="1"/>
      <c r="AB2492" s="1"/>
      <c r="AC2492" s="1"/>
      <c r="AD2492" s="1"/>
      <c r="AE2492" s="1"/>
      <c r="AF2492" s="1"/>
      <c r="AG2492" s="1"/>
      <c r="AH2492" s="1"/>
    </row>
    <row r="2493" ht="12.75" hidden="1" customHeight="1" outlineLevel="1">
      <c r="A2493" s="17">
        <v>41431.0</v>
      </c>
      <c r="B2493" s="1"/>
      <c r="C2493" s="1" t="s">
        <v>339</v>
      </c>
      <c r="D2493" s="74"/>
      <c r="E2493" s="67"/>
      <c r="F2493" s="75"/>
      <c r="G2493" s="67"/>
      <c r="H2493" s="68"/>
      <c r="I2493" s="76"/>
      <c r="J2493" s="67"/>
      <c r="K2493" s="7" t="s">
        <v>1085</v>
      </c>
      <c r="L2493" s="77"/>
      <c r="M2493" s="79"/>
      <c r="N2493" s="1"/>
      <c r="O2493" s="1"/>
      <c r="P2493" s="1"/>
      <c r="Q2493" s="1"/>
      <c r="R2493" s="1"/>
      <c r="S2493" s="1"/>
      <c r="T2493" s="1"/>
      <c r="U2493" s="1"/>
      <c r="V2493" s="1"/>
      <c r="W2493" s="1"/>
      <c r="X2493" s="1"/>
      <c r="Y2493" s="1"/>
      <c r="Z2493" s="1"/>
      <c r="AA2493" s="1"/>
      <c r="AB2493" s="1"/>
      <c r="AC2493" s="1"/>
      <c r="AD2493" s="1"/>
      <c r="AE2493" s="1"/>
      <c r="AF2493" s="1"/>
      <c r="AG2493" s="1"/>
      <c r="AH2493" s="1"/>
    </row>
    <row r="2494" ht="12.75" hidden="1" customHeight="1" outlineLevel="1">
      <c r="A2494" s="17">
        <v>41431.0</v>
      </c>
      <c r="B2494" s="1"/>
      <c r="C2494" s="1" t="s">
        <v>429</v>
      </c>
      <c r="D2494" s="74"/>
      <c r="E2494" s="67"/>
      <c r="F2494" s="75"/>
      <c r="G2494" s="67"/>
      <c r="H2494" s="68"/>
      <c r="I2494" s="76"/>
      <c r="J2494" s="67"/>
      <c r="K2494" s="7" t="s">
        <v>1034</v>
      </c>
      <c r="L2494" s="77"/>
      <c r="M2494" s="79"/>
      <c r="N2494" s="1"/>
      <c r="O2494" s="1"/>
      <c r="P2494" s="1"/>
      <c r="Q2494" s="1"/>
      <c r="R2494" s="1"/>
      <c r="S2494" s="1"/>
      <c r="T2494" s="1"/>
      <c r="U2494" s="1"/>
      <c r="V2494" s="1"/>
      <c r="W2494" s="1"/>
      <c r="X2494" s="1"/>
      <c r="Y2494" s="1"/>
      <c r="Z2494" s="1"/>
      <c r="AA2494" s="1"/>
      <c r="AB2494" s="1"/>
      <c r="AC2494" s="1"/>
      <c r="AD2494" s="1"/>
      <c r="AE2494" s="1"/>
      <c r="AF2494" s="1"/>
      <c r="AG2494" s="1"/>
      <c r="AH2494" s="1"/>
    </row>
    <row r="2495" ht="12.75" hidden="1" customHeight="1" outlineLevel="1">
      <c r="A2495" s="17">
        <v>41431.0</v>
      </c>
      <c r="B2495" s="1"/>
      <c r="C2495" s="1" t="s">
        <v>431</v>
      </c>
      <c r="D2495" s="74"/>
      <c r="E2495" s="67"/>
      <c r="F2495" s="75"/>
      <c r="G2495" s="67"/>
      <c r="H2495" s="68"/>
      <c r="I2495" s="76"/>
      <c r="J2495" s="67"/>
      <c r="K2495" s="7" t="s">
        <v>817</v>
      </c>
      <c r="L2495" s="77"/>
      <c r="M2495" s="79"/>
      <c r="N2495" s="1"/>
      <c r="O2495" s="1"/>
      <c r="P2495" s="1"/>
      <c r="Q2495" s="1"/>
      <c r="R2495" s="1"/>
      <c r="S2495" s="1"/>
      <c r="T2495" s="1"/>
      <c r="U2495" s="1"/>
      <c r="V2495" s="1"/>
      <c r="W2495" s="1"/>
      <c r="X2495" s="1"/>
      <c r="Y2495" s="1"/>
      <c r="Z2495" s="1"/>
      <c r="AA2495" s="1"/>
      <c r="AB2495" s="1"/>
      <c r="AC2495" s="1"/>
      <c r="AD2495" s="1"/>
      <c r="AE2495" s="1"/>
      <c r="AF2495" s="1"/>
      <c r="AG2495" s="1"/>
      <c r="AH2495" s="1"/>
    </row>
    <row r="2496" ht="12.75" hidden="1" customHeight="1" outlineLevel="1">
      <c r="A2496" s="17">
        <v>41431.0</v>
      </c>
      <c r="B2496" s="1"/>
      <c r="C2496" s="1" t="s">
        <v>433</v>
      </c>
      <c r="D2496" s="74"/>
      <c r="E2496" s="67"/>
      <c r="F2496" s="75"/>
      <c r="G2496" s="67"/>
      <c r="H2496" s="68"/>
      <c r="I2496" s="76"/>
      <c r="J2496" s="67"/>
      <c r="K2496" s="7" t="s">
        <v>434</v>
      </c>
      <c r="L2496" s="77"/>
      <c r="M2496" s="79"/>
      <c r="N2496" s="1"/>
      <c r="O2496" s="1"/>
      <c r="P2496" s="1"/>
      <c r="Q2496" s="1"/>
      <c r="R2496" s="1"/>
      <c r="S2496" s="1"/>
      <c r="T2496" s="1"/>
      <c r="U2496" s="1"/>
      <c r="V2496" s="1"/>
      <c r="W2496" s="1"/>
      <c r="X2496" s="1"/>
      <c r="Y2496" s="1"/>
      <c r="Z2496" s="1"/>
      <c r="AA2496" s="1"/>
      <c r="AB2496" s="1"/>
      <c r="AC2496" s="1"/>
      <c r="AD2496" s="1"/>
      <c r="AE2496" s="1"/>
      <c r="AF2496" s="1"/>
      <c r="AG2496" s="1"/>
      <c r="AH2496" s="1"/>
    </row>
    <row r="2497" ht="12.75" hidden="1" customHeight="1" outlineLevel="1">
      <c r="A2497" s="17">
        <v>41431.0</v>
      </c>
      <c r="B2497" s="1"/>
      <c r="C2497" s="1" t="s">
        <v>435</v>
      </c>
      <c r="D2497" s="74"/>
      <c r="E2497" s="67"/>
      <c r="F2497" s="75"/>
      <c r="G2497" s="67"/>
      <c r="H2497" s="68"/>
      <c r="I2497" s="76"/>
      <c r="J2497" s="67"/>
      <c r="K2497" s="7" t="s">
        <v>818</v>
      </c>
      <c r="L2497" s="77"/>
      <c r="M2497" s="79"/>
      <c r="N2497" s="1"/>
      <c r="O2497" s="1"/>
      <c r="P2497" s="1"/>
      <c r="Q2497" s="1"/>
      <c r="R2497" s="1"/>
      <c r="S2497" s="1"/>
      <c r="T2497" s="1"/>
      <c r="U2497" s="1"/>
      <c r="V2497" s="1"/>
      <c r="W2497" s="1"/>
      <c r="X2497" s="1"/>
      <c r="Y2497" s="1"/>
      <c r="Z2497" s="1"/>
      <c r="AA2497" s="1"/>
      <c r="AB2497" s="1"/>
      <c r="AC2497" s="1"/>
      <c r="AD2497" s="1"/>
      <c r="AE2497" s="1"/>
      <c r="AF2497" s="1"/>
      <c r="AG2497" s="1"/>
      <c r="AH2497" s="1"/>
    </row>
    <row r="2498" ht="12.75" hidden="1" customHeight="1" outlineLevel="1">
      <c r="A2498" s="17">
        <v>41432.0</v>
      </c>
      <c r="B2498" s="1" t="s">
        <v>347</v>
      </c>
      <c r="C2498" s="1" t="s">
        <v>369</v>
      </c>
      <c r="D2498" s="74">
        <v>300.0</v>
      </c>
      <c r="E2498" s="67">
        <v>17.98</v>
      </c>
      <c r="F2498" s="75">
        <v>0.41538194444444443</v>
      </c>
      <c r="G2498" s="67" t="s">
        <v>453</v>
      </c>
      <c r="H2498" s="68">
        <v>1.2</v>
      </c>
      <c r="I2498" s="76"/>
      <c r="J2498" s="67">
        <f t="shared" ref="J2498:J2499" si="179">IF(B2498="SLD",D2498*E2498,-D2498*E2498)-H2498</f>
        <v>5392.8</v>
      </c>
      <c r="K2498" s="7"/>
      <c r="L2498" s="70"/>
      <c r="M2498" s="79"/>
      <c r="N2498" s="1"/>
      <c r="O2498" s="1"/>
      <c r="P2498" s="1"/>
      <c r="Q2498" s="1"/>
      <c r="R2498" s="1"/>
      <c r="S2498" s="1"/>
      <c r="T2498" s="1"/>
      <c r="U2498" s="1"/>
      <c r="V2498" s="1"/>
      <c r="W2498" s="1"/>
      <c r="X2498" s="1"/>
      <c r="Y2498" s="1"/>
      <c r="Z2498" s="1"/>
      <c r="AA2498" s="1"/>
      <c r="AB2498" s="1"/>
      <c r="AC2498" s="1"/>
      <c r="AD2498" s="1"/>
      <c r="AE2498" s="1"/>
      <c r="AF2498" s="1"/>
      <c r="AG2498" s="1"/>
      <c r="AH2498" s="1"/>
    </row>
    <row r="2499" ht="12.75" hidden="1" customHeight="1" outlineLevel="1">
      <c r="A2499" s="17">
        <v>41432.0</v>
      </c>
      <c r="B2499" s="1" t="s">
        <v>347</v>
      </c>
      <c r="C2499" s="1" t="s">
        <v>784</v>
      </c>
      <c r="D2499" s="74">
        <v>500.0</v>
      </c>
      <c r="E2499" s="67">
        <v>14.65</v>
      </c>
      <c r="F2499" s="75">
        <v>0.46947916666666667</v>
      </c>
      <c r="G2499" s="67" t="s">
        <v>453</v>
      </c>
      <c r="H2499" s="68">
        <v>2.0</v>
      </c>
      <c r="I2499" s="76"/>
      <c r="J2499" s="67">
        <f t="shared" si="179"/>
        <v>7323</v>
      </c>
      <c r="K2499" s="7"/>
      <c r="L2499" s="70"/>
      <c r="M2499" s="79"/>
      <c r="N2499" s="1"/>
      <c r="O2499" s="1"/>
      <c r="P2499" s="1"/>
      <c r="Q2499" s="1"/>
      <c r="R2499" s="1"/>
      <c r="S2499" s="1"/>
      <c r="T2499" s="1"/>
      <c r="U2499" s="1"/>
      <c r="V2499" s="1"/>
      <c r="W2499" s="1"/>
      <c r="X2499" s="1"/>
      <c r="Y2499" s="1"/>
      <c r="Z2499" s="1"/>
      <c r="AA2499" s="1"/>
      <c r="AB2499" s="1"/>
      <c r="AC2499" s="1"/>
      <c r="AD2499" s="1"/>
      <c r="AE2499" s="1"/>
      <c r="AF2499" s="1"/>
      <c r="AG2499" s="1"/>
      <c r="AH2499" s="1"/>
    </row>
    <row r="2500" ht="12.75" hidden="1" customHeight="1" outlineLevel="1">
      <c r="A2500" s="17">
        <v>41432.0</v>
      </c>
      <c r="B2500" s="1"/>
      <c r="C2500" s="1" t="s">
        <v>339</v>
      </c>
      <c r="D2500" s="74"/>
      <c r="E2500" s="67"/>
      <c r="F2500" s="75"/>
      <c r="G2500" s="67"/>
      <c r="H2500" s="68"/>
      <c r="I2500" s="76"/>
      <c r="J2500" s="67"/>
      <c r="K2500" s="7" t="s">
        <v>1086</v>
      </c>
      <c r="L2500" s="77"/>
      <c r="M2500" s="79"/>
      <c r="N2500" s="1"/>
      <c r="O2500" s="1"/>
      <c r="P2500" s="1"/>
      <c r="Q2500" s="1"/>
      <c r="R2500" s="1"/>
      <c r="S2500" s="1"/>
      <c r="T2500" s="1"/>
      <c r="U2500" s="1"/>
      <c r="V2500" s="1"/>
      <c r="W2500" s="1"/>
      <c r="X2500" s="1"/>
      <c r="Y2500" s="1"/>
      <c r="Z2500" s="1"/>
      <c r="AA2500" s="1"/>
      <c r="AB2500" s="1"/>
      <c r="AC2500" s="1"/>
      <c r="AD2500" s="1"/>
      <c r="AE2500" s="1"/>
      <c r="AF2500" s="1"/>
      <c r="AG2500" s="1"/>
      <c r="AH2500" s="1"/>
    </row>
    <row r="2501" ht="12.75" hidden="1" customHeight="1" outlineLevel="1">
      <c r="A2501" s="17">
        <v>41432.0</v>
      </c>
      <c r="B2501" s="1"/>
      <c r="C2501" s="1" t="s">
        <v>429</v>
      </c>
      <c r="D2501" s="74"/>
      <c r="E2501" s="67"/>
      <c r="F2501" s="75"/>
      <c r="G2501" s="67"/>
      <c r="H2501" s="68"/>
      <c r="I2501" s="76"/>
      <c r="J2501" s="67"/>
      <c r="K2501" s="7" t="s">
        <v>1034</v>
      </c>
      <c r="L2501" s="77"/>
      <c r="M2501" s="79"/>
      <c r="N2501" s="1"/>
      <c r="O2501" s="1"/>
      <c r="P2501" s="1"/>
      <c r="Q2501" s="1"/>
      <c r="R2501" s="1"/>
      <c r="S2501" s="1"/>
      <c r="T2501" s="1"/>
      <c r="U2501" s="1"/>
      <c r="V2501" s="1"/>
      <c r="W2501" s="1"/>
      <c r="X2501" s="1"/>
      <c r="Y2501" s="1"/>
      <c r="Z2501" s="1"/>
      <c r="AA2501" s="1"/>
      <c r="AB2501" s="1"/>
      <c r="AC2501" s="1"/>
      <c r="AD2501" s="1"/>
      <c r="AE2501" s="1"/>
      <c r="AF2501" s="1"/>
      <c r="AG2501" s="1"/>
      <c r="AH2501" s="1"/>
    </row>
    <row r="2502" ht="12.75" hidden="1" customHeight="1" outlineLevel="1">
      <c r="A2502" s="17">
        <v>41432.0</v>
      </c>
      <c r="B2502" s="1"/>
      <c r="C2502" s="1" t="s">
        <v>431</v>
      </c>
      <c r="D2502" s="74"/>
      <c r="E2502" s="67"/>
      <c r="F2502" s="75"/>
      <c r="G2502" s="67"/>
      <c r="H2502" s="68"/>
      <c r="I2502" s="76"/>
      <c r="J2502" s="67"/>
      <c r="K2502" s="7" t="s">
        <v>817</v>
      </c>
      <c r="L2502" s="77"/>
      <c r="M2502" s="79"/>
      <c r="N2502" s="1"/>
      <c r="O2502" s="1"/>
      <c r="P2502" s="1"/>
      <c r="Q2502" s="1"/>
      <c r="R2502" s="1"/>
      <c r="S2502" s="1"/>
      <c r="T2502" s="1"/>
      <c r="U2502" s="1"/>
      <c r="V2502" s="1"/>
      <c r="W2502" s="1"/>
      <c r="X2502" s="1"/>
      <c r="Y2502" s="1"/>
      <c r="Z2502" s="1"/>
      <c r="AA2502" s="1"/>
      <c r="AB2502" s="1"/>
      <c r="AC2502" s="1"/>
      <c r="AD2502" s="1"/>
      <c r="AE2502" s="1"/>
      <c r="AF2502" s="1"/>
      <c r="AG2502" s="1"/>
      <c r="AH2502" s="1"/>
    </row>
    <row r="2503" ht="12.75" hidden="1" customHeight="1" outlineLevel="1">
      <c r="A2503" s="17">
        <v>41432.0</v>
      </c>
      <c r="B2503" s="1"/>
      <c r="C2503" s="1" t="s">
        <v>433</v>
      </c>
      <c r="D2503" s="74"/>
      <c r="E2503" s="67"/>
      <c r="F2503" s="75"/>
      <c r="G2503" s="67"/>
      <c r="H2503" s="68"/>
      <c r="I2503" s="76"/>
      <c r="J2503" s="67"/>
      <c r="K2503" s="7" t="s">
        <v>434</v>
      </c>
      <c r="L2503" s="77"/>
      <c r="M2503" s="79"/>
      <c r="N2503" s="1"/>
      <c r="O2503" s="1"/>
      <c r="P2503" s="1"/>
      <c r="Q2503" s="1"/>
      <c r="R2503" s="1"/>
      <c r="S2503" s="1"/>
      <c r="T2503" s="1"/>
      <c r="U2503" s="1"/>
      <c r="V2503" s="1"/>
      <c r="W2503" s="1"/>
      <c r="X2503" s="1"/>
      <c r="Y2503" s="1"/>
      <c r="Z2503" s="1"/>
      <c r="AA2503" s="1"/>
      <c r="AB2503" s="1"/>
      <c r="AC2503" s="1"/>
      <c r="AD2503" s="1"/>
      <c r="AE2503" s="1"/>
      <c r="AF2503" s="1"/>
      <c r="AG2503" s="1"/>
      <c r="AH2503" s="1"/>
    </row>
    <row r="2504" ht="12.75" hidden="1" customHeight="1" outlineLevel="1">
      <c r="A2504" s="17">
        <v>41432.0</v>
      </c>
      <c r="B2504" s="1"/>
      <c r="C2504" s="1" t="s">
        <v>435</v>
      </c>
      <c r="D2504" s="74"/>
      <c r="E2504" s="67"/>
      <c r="F2504" s="75"/>
      <c r="G2504" s="67"/>
      <c r="H2504" s="68"/>
      <c r="I2504" s="76"/>
      <c r="J2504" s="67"/>
      <c r="K2504" s="7" t="s">
        <v>818</v>
      </c>
      <c r="L2504" s="77"/>
      <c r="M2504" s="79"/>
      <c r="N2504" s="1"/>
      <c r="O2504" s="1"/>
      <c r="P2504" s="1"/>
      <c r="Q2504" s="1"/>
      <c r="R2504" s="1"/>
      <c r="S2504" s="1"/>
      <c r="T2504" s="1"/>
      <c r="U2504" s="1"/>
      <c r="V2504" s="1"/>
      <c r="W2504" s="1"/>
      <c r="X2504" s="1"/>
      <c r="Y2504" s="1"/>
      <c r="Z2504" s="1"/>
      <c r="AA2504" s="1"/>
      <c r="AB2504" s="1"/>
      <c r="AC2504" s="1"/>
      <c r="AD2504" s="1"/>
      <c r="AE2504" s="1"/>
      <c r="AF2504" s="1"/>
      <c r="AG2504" s="1"/>
      <c r="AH2504" s="1"/>
    </row>
    <row r="2505" ht="12.75" hidden="1" customHeight="1" outlineLevel="1">
      <c r="A2505" s="17">
        <v>41436.0</v>
      </c>
      <c r="B2505" s="1"/>
      <c r="C2505" s="1" t="s">
        <v>339</v>
      </c>
      <c r="D2505" s="74"/>
      <c r="E2505" s="67"/>
      <c r="F2505" s="75"/>
      <c r="G2505" s="67"/>
      <c r="H2505" s="68"/>
      <c r="I2505" s="76"/>
      <c r="J2505" s="67"/>
      <c r="K2505" s="7" t="s">
        <v>1087</v>
      </c>
      <c r="L2505" s="77"/>
      <c r="M2505" s="79"/>
      <c r="N2505" s="1"/>
      <c r="O2505" s="1"/>
      <c r="P2505" s="1"/>
      <c r="Q2505" s="1"/>
      <c r="R2505" s="1"/>
      <c r="S2505" s="1"/>
      <c r="T2505" s="1"/>
      <c r="U2505" s="1"/>
      <c r="V2505" s="1"/>
      <c r="W2505" s="1"/>
      <c r="X2505" s="1"/>
      <c r="Y2505" s="1"/>
      <c r="Z2505" s="1"/>
      <c r="AA2505" s="1"/>
      <c r="AB2505" s="1"/>
      <c r="AC2505" s="1"/>
      <c r="AD2505" s="1"/>
      <c r="AE2505" s="1"/>
      <c r="AF2505" s="1"/>
      <c r="AG2505" s="1"/>
      <c r="AH2505" s="1"/>
    </row>
    <row r="2506" ht="12.75" hidden="1" customHeight="1" outlineLevel="1">
      <c r="A2506" s="17">
        <v>41436.0</v>
      </c>
      <c r="B2506" s="1"/>
      <c r="C2506" s="1" t="s">
        <v>429</v>
      </c>
      <c r="D2506" s="74"/>
      <c r="E2506" s="67"/>
      <c r="F2506" s="75"/>
      <c r="G2506" s="67"/>
      <c r="H2506" s="68"/>
      <c r="I2506" s="76"/>
      <c r="J2506" s="67"/>
      <c r="K2506" s="7" t="s">
        <v>1034</v>
      </c>
      <c r="L2506" s="77"/>
      <c r="M2506" s="79"/>
      <c r="N2506" s="1"/>
      <c r="O2506" s="1"/>
      <c r="P2506" s="1"/>
      <c r="Q2506" s="1"/>
      <c r="R2506" s="1"/>
      <c r="S2506" s="1"/>
      <c r="T2506" s="1"/>
      <c r="U2506" s="1"/>
      <c r="V2506" s="1"/>
      <c r="W2506" s="1"/>
      <c r="X2506" s="1"/>
      <c r="Y2506" s="1"/>
      <c r="Z2506" s="1"/>
      <c r="AA2506" s="1"/>
      <c r="AB2506" s="1"/>
      <c r="AC2506" s="1"/>
      <c r="AD2506" s="1"/>
      <c r="AE2506" s="1"/>
      <c r="AF2506" s="1"/>
      <c r="AG2506" s="1"/>
      <c r="AH2506" s="1"/>
    </row>
    <row r="2507" ht="12.75" hidden="1" customHeight="1" outlineLevel="1">
      <c r="A2507" s="17">
        <v>41436.0</v>
      </c>
      <c r="B2507" s="1"/>
      <c r="C2507" s="1" t="s">
        <v>431</v>
      </c>
      <c r="D2507" s="74"/>
      <c r="E2507" s="67"/>
      <c r="F2507" s="75"/>
      <c r="G2507" s="67"/>
      <c r="H2507" s="68"/>
      <c r="I2507" s="76"/>
      <c r="J2507" s="67"/>
      <c r="K2507" s="7" t="s">
        <v>817</v>
      </c>
      <c r="L2507" s="77"/>
      <c r="M2507" s="79"/>
      <c r="N2507" s="1"/>
      <c r="O2507" s="1"/>
      <c r="P2507" s="1"/>
      <c r="Q2507" s="1"/>
      <c r="R2507" s="1"/>
      <c r="S2507" s="1"/>
      <c r="T2507" s="1"/>
      <c r="U2507" s="1"/>
      <c r="V2507" s="1"/>
      <c r="W2507" s="1"/>
      <c r="X2507" s="1"/>
      <c r="Y2507" s="1"/>
      <c r="Z2507" s="1"/>
      <c r="AA2507" s="1"/>
      <c r="AB2507" s="1"/>
      <c r="AC2507" s="1"/>
      <c r="AD2507" s="1"/>
      <c r="AE2507" s="1"/>
      <c r="AF2507" s="1"/>
      <c r="AG2507" s="1"/>
      <c r="AH2507" s="1"/>
    </row>
    <row r="2508" ht="12.75" hidden="1" customHeight="1" outlineLevel="1">
      <c r="A2508" s="17">
        <v>41436.0</v>
      </c>
      <c r="B2508" s="1"/>
      <c r="C2508" s="1" t="s">
        <v>433</v>
      </c>
      <c r="D2508" s="74"/>
      <c r="E2508" s="67"/>
      <c r="F2508" s="75"/>
      <c r="G2508" s="67"/>
      <c r="H2508" s="68"/>
      <c r="I2508" s="76"/>
      <c r="J2508" s="67"/>
      <c r="K2508" s="7" t="s">
        <v>434</v>
      </c>
      <c r="L2508" s="77"/>
      <c r="M2508" s="79"/>
      <c r="N2508" s="1"/>
      <c r="O2508" s="1"/>
      <c r="P2508" s="1"/>
      <c r="Q2508" s="1"/>
      <c r="R2508" s="1"/>
      <c r="S2508" s="1"/>
      <c r="T2508" s="1"/>
      <c r="U2508" s="1"/>
      <c r="V2508" s="1"/>
      <c r="W2508" s="1"/>
      <c r="X2508" s="1"/>
      <c r="Y2508" s="1"/>
      <c r="Z2508" s="1"/>
      <c r="AA2508" s="1"/>
      <c r="AB2508" s="1"/>
      <c r="AC2508" s="1"/>
      <c r="AD2508" s="1"/>
      <c r="AE2508" s="1"/>
      <c r="AF2508" s="1"/>
      <c r="AG2508" s="1"/>
      <c r="AH2508" s="1"/>
    </row>
    <row r="2509" ht="12.75" hidden="1" customHeight="1" outlineLevel="1">
      <c r="A2509" s="17">
        <v>41436.0</v>
      </c>
      <c r="B2509" s="1"/>
      <c r="C2509" s="1" t="s">
        <v>435</v>
      </c>
      <c r="D2509" s="74"/>
      <c r="E2509" s="67"/>
      <c r="F2509" s="75"/>
      <c r="G2509" s="67"/>
      <c r="H2509" s="68"/>
      <c r="I2509" s="76"/>
      <c r="J2509" s="67"/>
      <c r="K2509" s="7" t="s">
        <v>818</v>
      </c>
      <c r="L2509" s="77"/>
      <c r="M2509" s="79"/>
      <c r="N2509" s="1"/>
      <c r="O2509" s="1"/>
      <c r="P2509" s="1"/>
      <c r="Q2509" s="1"/>
      <c r="R2509" s="1"/>
      <c r="S2509" s="1"/>
      <c r="T2509" s="1"/>
      <c r="U2509" s="1"/>
      <c r="V2509" s="1"/>
      <c r="W2509" s="1"/>
      <c r="X2509" s="1"/>
      <c r="Y2509" s="1"/>
      <c r="Z2509" s="1"/>
      <c r="AA2509" s="1"/>
      <c r="AB2509" s="1"/>
      <c r="AC2509" s="1"/>
      <c r="AD2509" s="1"/>
      <c r="AE2509" s="1"/>
      <c r="AF2509" s="1"/>
      <c r="AG2509" s="1"/>
      <c r="AH2509" s="1"/>
    </row>
    <row r="2510" ht="12.75" hidden="1" customHeight="1" outlineLevel="1">
      <c r="A2510" s="17">
        <v>41437.0</v>
      </c>
      <c r="B2510" s="1"/>
      <c r="C2510" s="1" t="s">
        <v>339</v>
      </c>
      <c r="D2510" s="74"/>
      <c r="E2510" s="67"/>
      <c r="F2510" s="75"/>
      <c r="G2510" s="67"/>
      <c r="H2510" s="68"/>
      <c r="I2510" s="76"/>
      <c r="J2510" s="67"/>
      <c r="K2510" s="7" t="s">
        <v>1089</v>
      </c>
      <c r="L2510" s="77"/>
      <c r="M2510" s="79"/>
      <c r="N2510" s="1"/>
      <c r="O2510" s="1"/>
      <c r="P2510" s="1"/>
      <c r="Q2510" s="1"/>
      <c r="R2510" s="1"/>
      <c r="S2510" s="1"/>
      <c r="T2510" s="1"/>
      <c r="U2510" s="1"/>
      <c r="V2510" s="1"/>
      <c r="W2510" s="1"/>
      <c r="X2510" s="1"/>
      <c r="Y2510" s="1"/>
      <c r="Z2510" s="1"/>
      <c r="AA2510" s="1"/>
      <c r="AB2510" s="1"/>
      <c r="AC2510" s="1"/>
      <c r="AD2510" s="1"/>
      <c r="AE2510" s="1"/>
      <c r="AF2510" s="1"/>
      <c r="AG2510" s="1"/>
      <c r="AH2510" s="1"/>
    </row>
    <row r="2511" ht="12.75" hidden="1" customHeight="1" outlineLevel="1">
      <c r="A2511" s="17">
        <v>41437.0</v>
      </c>
      <c r="B2511" s="1"/>
      <c r="C2511" s="1" t="s">
        <v>429</v>
      </c>
      <c r="D2511" s="74"/>
      <c r="E2511" s="67"/>
      <c r="F2511" s="75"/>
      <c r="G2511" s="67"/>
      <c r="H2511" s="68"/>
      <c r="I2511" s="76"/>
      <c r="J2511" s="67"/>
      <c r="K2511" s="7" t="s">
        <v>1034</v>
      </c>
      <c r="L2511" s="77"/>
      <c r="M2511" s="79"/>
      <c r="N2511" s="1"/>
      <c r="O2511" s="1"/>
      <c r="P2511" s="1"/>
      <c r="Q2511" s="1"/>
      <c r="R2511" s="1"/>
      <c r="S2511" s="1"/>
      <c r="T2511" s="1"/>
      <c r="U2511" s="1"/>
      <c r="V2511" s="1"/>
      <c r="W2511" s="1"/>
      <c r="X2511" s="1"/>
      <c r="Y2511" s="1"/>
      <c r="Z2511" s="1"/>
      <c r="AA2511" s="1"/>
      <c r="AB2511" s="1"/>
      <c r="AC2511" s="1"/>
      <c r="AD2511" s="1"/>
      <c r="AE2511" s="1"/>
      <c r="AF2511" s="1"/>
      <c r="AG2511" s="1"/>
      <c r="AH2511" s="1"/>
    </row>
    <row r="2512" ht="12.75" hidden="1" customHeight="1" outlineLevel="1">
      <c r="A2512" s="17">
        <v>41437.0</v>
      </c>
      <c r="B2512" s="1"/>
      <c r="C2512" s="1" t="s">
        <v>431</v>
      </c>
      <c r="D2512" s="74"/>
      <c r="E2512" s="67"/>
      <c r="F2512" s="75"/>
      <c r="G2512" s="67"/>
      <c r="H2512" s="68"/>
      <c r="I2512" s="76"/>
      <c r="J2512" s="67"/>
      <c r="K2512" s="7" t="s">
        <v>817</v>
      </c>
      <c r="L2512" s="77"/>
      <c r="M2512" s="79"/>
      <c r="N2512" s="1"/>
      <c r="O2512" s="1"/>
      <c r="P2512" s="1"/>
      <c r="Q2512" s="1"/>
      <c r="R2512" s="1"/>
      <c r="S2512" s="1"/>
      <c r="T2512" s="1"/>
      <c r="U2512" s="1"/>
      <c r="V2512" s="1"/>
      <c r="W2512" s="1"/>
      <c r="X2512" s="1"/>
      <c r="Y2512" s="1"/>
      <c r="Z2512" s="1"/>
      <c r="AA2512" s="1"/>
      <c r="AB2512" s="1"/>
      <c r="AC2512" s="1"/>
      <c r="AD2512" s="1"/>
      <c r="AE2512" s="1"/>
      <c r="AF2512" s="1"/>
      <c r="AG2512" s="1"/>
      <c r="AH2512" s="1"/>
    </row>
    <row r="2513" ht="12.75" hidden="1" customHeight="1" outlineLevel="1">
      <c r="A2513" s="17">
        <v>41437.0</v>
      </c>
      <c r="B2513" s="1"/>
      <c r="C2513" s="1" t="s">
        <v>433</v>
      </c>
      <c r="D2513" s="74"/>
      <c r="E2513" s="67"/>
      <c r="F2513" s="75"/>
      <c r="G2513" s="67"/>
      <c r="H2513" s="68"/>
      <c r="I2513" s="76"/>
      <c r="J2513" s="67"/>
      <c r="K2513" s="7" t="s">
        <v>434</v>
      </c>
      <c r="L2513" s="77"/>
      <c r="M2513" s="79"/>
      <c r="N2513" s="1"/>
      <c r="O2513" s="1"/>
      <c r="P2513" s="1"/>
      <c r="Q2513" s="1"/>
      <c r="R2513" s="1"/>
      <c r="S2513" s="1"/>
      <c r="T2513" s="1"/>
      <c r="U2513" s="1"/>
      <c r="V2513" s="1"/>
      <c r="W2513" s="1"/>
      <c r="X2513" s="1"/>
      <c r="Y2513" s="1"/>
      <c r="Z2513" s="1"/>
      <c r="AA2513" s="1"/>
      <c r="AB2513" s="1"/>
      <c r="AC2513" s="1"/>
      <c r="AD2513" s="1"/>
      <c r="AE2513" s="1"/>
      <c r="AF2513" s="1"/>
      <c r="AG2513" s="1"/>
      <c r="AH2513" s="1"/>
    </row>
    <row r="2514" ht="12.75" hidden="1" customHeight="1" outlineLevel="1">
      <c r="A2514" s="17">
        <v>41437.0</v>
      </c>
      <c r="B2514" s="1"/>
      <c r="C2514" s="1" t="s">
        <v>435</v>
      </c>
      <c r="D2514" s="74"/>
      <c r="E2514" s="67"/>
      <c r="F2514" s="75"/>
      <c r="G2514" s="67"/>
      <c r="H2514" s="68"/>
      <c r="I2514" s="76"/>
      <c r="J2514" s="67"/>
      <c r="K2514" s="7" t="s">
        <v>818</v>
      </c>
      <c r="L2514" s="77"/>
      <c r="M2514" s="79"/>
      <c r="N2514" s="1"/>
      <c r="O2514" s="1"/>
      <c r="P2514" s="1"/>
      <c r="Q2514" s="1"/>
      <c r="R2514" s="1"/>
      <c r="S2514" s="1"/>
      <c r="T2514" s="1"/>
      <c r="U2514" s="1"/>
      <c r="V2514" s="1"/>
      <c r="W2514" s="1"/>
      <c r="X2514" s="1"/>
      <c r="Y2514" s="1"/>
      <c r="Z2514" s="1"/>
      <c r="AA2514" s="1"/>
      <c r="AB2514" s="1"/>
      <c r="AC2514" s="1"/>
      <c r="AD2514" s="1"/>
      <c r="AE2514" s="1"/>
      <c r="AF2514" s="1"/>
      <c r="AG2514" s="1"/>
      <c r="AH2514" s="1"/>
    </row>
    <row r="2515" ht="12.75" hidden="1" customHeight="1" outlineLevel="1">
      <c r="A2515" s="17">
        <v>41438.0</v>
      </c>
      <c r="B2515" s="1"/>
      <c r="C2515" s="1" t="s">
        <v>339</v>
      </c>
      <c r="D2515" s="74"/>
      <c r="E2515" s="67"/>
      <c r="F2515" s="75"/>
      <c r="G2515" s="67"/>
      <c r="H2515" s="68"/>
      <c r="I2515" s="76"/>
      <c r="J2515" s="67"/>
      <c r="K2515" s="7" t="s">
        <v>1090</v>
      </c>
      <c r="L2515" s="77"/>
      <c r="M2515" s="79"/>
      <c r="N2515" s="1"/>
      <c r="O2515" s="1"/>
      <c r="P2515" s="1"/>
      <c r="Q2515" s="1"/>
      <c r="R2515" s="1"/>
      <c r="S2515" s="1"/>
      <c r="T2515" s="1"/>
      <c r="U2515" s="1"/>
      <c r="V2515" s="1"/>
      <c r="W2515" s="1"/>
      <c r="X2515" s="1"/>
      <c r="Y2515" s="1"/>
      <c r="Z2515" s="1"/>
      <c r="AA2515" s="1"/>
      <c r="AB2515" s="1"/>
      <c r="AC2515" s="1"/>
      <c r="AD2515" s="1"/>
      <c r="AE2515" s="1"/>
      <c r="AF2515" s="1"/>
      <c r="AG2515" s="1"/>
      <c r="AH2515" s="1"/>
    </row>
    <row r="2516" ht="12.75" hidden="1" customHeight="1" outlineLevel="1">
      <c r="A2516" s="17">
        <v>41438.0</v>
      </c>
      <c r="B2516" s="1"/>
      <c r="C2516" s="1" t="s">
        <v>429</v>
      </c>
      <c r="D2516" s="74"/>
      <c r="E2516" s="67"/>
      <c r="F2516" s="75"/>
      <c r="G2516" s="67"/>
      <c r="H2516" s="68"/>
      <c r="I2516" s="76"/>
      <c r="J2516" s="67"/>
      <c r="K2516" s="7" t="s">
        <v>1034</v>
      </c>
      <c r="L2516" s="77"/>
      <c r="M2516" s="79"/>
      <c r="N2516" s="1"/>
      <c r="O2516" s="1"/>
      <c r="P2516" s="1"/>
      <c r="Q2516" s="1"/>
      <c r="R2516" s="1"/>
      <c r="S2516" s="1"/>
      <c r="T2516" s="1"/>
      <c r="U2516" s="1"/>
      <c r="V2516" s="1"/>
      <c r="W2516" s="1"/>
      <c r="X2516" s="1"/>
      <c r="Y2516" s="1"/>
      <c r="Z2516" s="1"/>
      <c r="AA2516" s="1"/>
      <c r="AB2516" s="1"/>
      <c r="AC2516" s="1"/>
      <c r="AD2516" s="1"/>
      <c r="AE2516" s="1"/>
      <c r="AF2516" s="1"/>
      <c r="AG2516" s="1"/>
      <c r="AH2516" s="1"/>
    </row>
    <row r="2517" ht="12.75" hidden="1" customHeight="1" outlineLevel="1">
      <c r="A2517" s="17">
        <v>41438.0</v>
      </c>
      <c r="B2517" s="1"/>
      <c r="C2517" s="1" t="s">
        <v>431</v>
      </c>
      <c r="D2517" s="74"/>
      <c r="E2517" s="67"/>
      <c r="F2517" s="75"/>
      <c r="G2517" s="67"/>
      <c r="H2517" s="68"/>
      <c r="I2517" s="76"/>
      <c r="J2517" s="67"/>
      <c r="K2517" s="7" t="s">
        <v>817</v>
      </c>
      <c r="L2517" s="77"/>
      <c r="M2517" s="79"/>
      <c r="N2517" s="1"/>
      <c r="O2517" s="1"/>
      <c r="P2517" s="1"/>
      <c r="Q2517" s="1"/>
      <c r="R2517" s="1"/>
      <c r="S2517" s="1"/>
      <c r="T2517" s="1"/>
      <c r="U2517" s="1"/>
      <c r="V2517" s="1"/>
      <c r="W2517" s="1"/>
      <c r="X2517" s="1"/>
      <c r="Y2517" s="1"/>
      <c r="Z2517" s="1"/>
      <c r="AA2517" s="1"/>
      <c r="AB2517" s="1"/>
      <c r="AC2517" s="1"/>
      <c r="AD2517" s="1"/>
      <c r="AE2517" s="1"/>
      <c r="AF2517" s="1"/>
      <c r="AG2517" s="1"/>
      <c r="AH2517" s="1"/>
    </row>
    <row r="2518" ht="12.75" hidden="1" customHeight="1" outlineLevel="1">
      <c r="A2518" s="17">
        <v>41438.0</v>
      </c>
      <c r="B2518" s="1"/>
      <c r="C2518" s="1" t="s">
        <v>433</v>
      </c>
      <c r="D2518" s="74"/>
      <c r="E2518" s="67"/>
      <c r="F2518" s="75"/>
      <c r="G2518" s="67"/>
      <c r="H2518" s="68"/>
      <c r="I2518" s="76"/>
      <c r="J2518" s="67"/>
      <c r="K2518" s="7" t="s">
        <v>434</v>
      </c>
      <c r="L2518" s="77"/>
      <c r="M2518" s="79"/>
      <c r="N2518" s="1"/>
      <c r="O2518" s="1"/>
      <c r="P2518" s="1"/>
      <c r="Q2518" s="1"/>
      <c r="R2518" s="1"/>
      <c r="S2518" s="1"/>
      <c r="T2518" s="1"/>
      <c r="U2518" s="1"/>
      <c r="V2518" s="1"/>
      <c r="W2518" s="1"/>
      <c r="X2518" s="1"/>
      <c r="Y2518" s="1"/>
      <c r="Z2518" s="1"/>
      <c r="AA2518" s="1"/>
      <c r="AB2518" s="1"/>
      <c r="AC2518" s="1"/>
      <c r="AD2518" s="1"/>
      <c r="AE2518" s="1"/>
      <c r="AF2518" s="1"/>
      <c r="AG2518" s="1"/>
      <c r="AH2518" s="1"/>
    </row>
    <row r="2519" ht="12.75" hidden="1" customHeight="1" outlineLevel="1">
      <c r="A2519" s="17">
        <v>41438.0</v>
      </c>
      <c r="B2519" s="1"/>
      <c r="C2519" s="1" t="s">
        <v>435</v>
      </c>
      <c r="D2519" s="74"/>
      <c r="E2519" s="67"/>
      <c r="F2519" s="75"/>
      <c r="G2519" s="67"/>
      <c r="H2519" s="68"/>
      <c r="I2519" s="76"/>
      <c r="J2519" s="67"/>
      <c r="K2519" s="7" t="s">
        <v>818</v>
      </c>
      <c r="L2519" s="77"/>
      <c r="M2519" s="79"/>
      <c r="N2519" s="1"/>
      <c r="O2519" s="1"/>
      <c r="P2519" s="1"/>
      <c r="Q2519" s="1"/>
      <c r="R2519" s="1"/>
      <c r="S2519" s="1"/>
      <c r="T2519" s="1"/>
      <c r="U2519" s="1"/>
      <c r="V2519" s="1"/>
      <c r="W2519" s="1"/>
      <c r="X2519" s="1"/>
      <c r="Y2519" s="1"/>
      <c r="Z2519" s="1"/>
      <c r="AA2519" s="1"/>
      <c r="AB2519" s="1"/>
      <c r="AC2519" s="1"/>
      <c r="AD2519" s="1"/>
      <c r="AE2519" s="1"/>
      <c r="AF2519" s="1"/>
      <c r="AG2519" s="1"/>
      <c r="AH2519" s="1"/>
    </row>
    <row r="2520" ht="12.75" hidden="1" customHeight="1" outlineLevel="1">
      <c r="A2520" s="17">
        <v>41440.0</v>
      </c>
      <c r="B2520" s="1"/>
      <c r="C2520" s="1" t="s">
        <v>339</v>
      </c>
      <c r="D2520" s="74"/>
      <c r="E2520" s="67"/>
      <c r="F2520" s="75"/>
      <c r="G2520" s="67"/>
      <c r="H2520" s="68"/>
      <c r="I2520" s="76"/>
      <c r="J2520" s="67"/>
      <c r="K2520" s="7" t="s">
        <v>1091</v>
      </c>
      <c r="L2520" s="77"/>
      <c r="M2520" s="79"/>
      <c r="N2520" s="1"/>
      <c r="O2520" s="1"/>
      <c r="P2520" s="1"/>
      <c r="Q2520" s="1"/>
      <c r="R2520" s="1"/>
      <c r="S2520" s="1"/>
      <c r="T2520" s="1"/>
      <c r="U2520" s="1"/>
      <c r="V2520" s="1"/>
      <c r="W2520" s="1"/>
      <c r="X2520" s="1"/>
      <c r="Y2520" s="1"/>
      <c r="Z2520" s="1"/>
      <c r="AA2520" s="1"/>
      <c r="AB2520" s="1"/>
      <c r="AC2520" s="1"/>
      <c r="AD2520" s="1"/>
      <c r="AE2520" s="1"/>
      <c r="AF2520" s="1"/>
      <c r="AG2520" s="1"/>
      <c r="AH2520" s="1"/>
    </row>
    <row r="2521" ht="12.75" hidden="1" customHeight="1" outlineLevel="1">
      <c r="A2521" s="17">
        <v>41440.0</v>
      </c>
      <c r="B2521" s="1"/>
      <c r="C2521" s="1" t="s">
        <v>429</v>
      </c>
      <c r="D2521" s="74"/>
      <c r="E2521" s="67"/>
      <c r="F2521" s="75"/>
      <c r="G2521" s="67"/>
      <c r="H2521" s="68"/>
      <c r="I2521" s="76"/>
      <c r="J2521" s="67"/>
      <c r="K2521" s="7" t="s">
        <v>1034</v>
      </c>
      <c r="L2521" s="77"/>
      <c r="M2521" s="79"/>
      <c r="N2521" s="1"/>
      <c r="O2521" s="1"/>
      <c r="P2521" s="1"/>
      <c r="Q2521" s="1"/>
      <c r="R2521" s="1"/>
      <c r="S2521" s="1"/>
      <c r="T2521" s="1"/>
      <c r="U2521" s="1"/>
      <c r="V2521" s="1"/>
      <c r="W2521" s="1"/>
      <c r="X2521" s="1"/>
      <c r="Y2521" s="1"/>
      <c r="Z2521" s="1"/>
      <c r="AA2521" s="1"/>
      <c r="AB2521" s="1"/>
      <c r="AC2521" s="1"/>
      <c r="AD2521" s="1"/>
      <c r="AE2521" s="1"/>
      <c r="AF2521" s="1"/>
      <c r="AG2521" s="1"/>
      <c r="AH2521" s="1"/>
    </row>
    <row r="2522" ht="12.75" hidden="1" customHeight="1" outlineLevel="1">
      <c r="A2522" s="17">
        <v>41440.0</v>
      </c>
      <c r="B2522" s="1"/>
      <c r="C2522" s="1" t="s">
        <v>431</v>
      </c>
      <c r="D2522" s="74"/>
      <c r="E2522" s="67"/>
      <c r="F2522" s="75"/>
      <c r="G2522" s="67"/>
      <c r="H2522" s="68"/>
      <c r="I2522" s="76"/>
      <c r="J2522" s="67"/>
      <c r="K2522" s="7" t="s">
        <v>817</v>
      </c>
      <c r="L2522" s="77"/>
      <c r="M2522" s="79"/>
      <c r="N2522" s="1"/>
      <c r="O2522" s="1"/>
      <c r="P2522" s="1"/>
      <c r="Q2522" s="1"/>
      <c r="R2522" s="1"/>
      <c r="S2522" s="1"/>
      <c r="T2522" s="1"/>
      <c r="U2522" s="1"/>
      <c r="V2522" s="1"/>
      <c r="W2522" s="1"/>
      <c r="X2522" s="1"/>
      <c r="Y2522" s="1"/>
      <c r="Z2522" s="1"/>
      <c r="AA2522" s="1"/>
      <c r="AB2522" s="1"/>
      <c r="AC2522" s="1"/>
      <c r="AD2522" s="1"/>
      <c r="AE2522" s="1"/>
      <c r="AF2522" s="1"/>
      <c r="AG2522" s="1"/>
      <c r="AH2522" s="1"/>
    </row>
    <row r="2523" ht="12.75" hidden="1" customHeight="1" outlineLevel="1">
      <c r="A2523" s="17">
        <v>41440.0</v>
      </c>
      <c r="B2523" s="1"/>
      <c r="C2523" s="1" t="s">
        <v>433</v>
      </c>
      <c r="D2523" s="74"/>
      <c r="E2523" s="67"/>
      <c r="F2523" s="75"/>
      <c r="G2523" s="67"/>
      <c r="H2523" s="68"/>
      <c r="I2523" s="76"/>
      <c r="J2523" s="67"/>
      <c r="K2523" s="7" t="s">
        <v>434</v>
      </c>
      <c r="L2523" s="77"/>
      <c r="M2523" s="79"/>
      <c r="N2523" s="1"/>
      <c r="O2523" s="1"/>
      <c r="P2523" s="1"/>
      <c r="Q2523" s="1"/>
      <c r="R2523" s="1"/>
      <c r="S2523" s="1"/>
      <c r="T2523" s="1"/>
      <c r="U2523" s="1"/>
      <c r="V2523" s="1"/>
      <c r="W2523" s="1"/>
      <c r="X2523" s="1"/>
      <c r="Y2523" s="1"/>
      <c r="Z2523" s="1"/>
      <c r="AA2523" s="1"/>
      <c r="AB2523" s="1"/>
      <c r="AC2523" s="1"/>
      <c r="AD2523" s="1"/>
      <c r="AE2523" s="1"/>
      <c r="AF2523" s="1"/>
      <c r="AG2523" s="1"/>
      <c r="AH2523" s="1"/>
    </row>
    <row r="2524" ht="12.75" hidden="1" customHeight="1" outlineLevel="1">
      <c r="A2524" s="17">
        <v>41440.0</v>
      </c>
      <c r="B2524" s="1"/>
      <c r="C2524" s="1" t="s">
        <v>435</v>
      </c>
      <c r="D2524" s="74"/>
      <c r="E2524" s="67"/>
      <c r="F2524" s="75"/>
      <c r="G2524" s="67"/>
      <c r="H2524" s="68"/>
      <c r="I2524" s="76"/>
      <c r="J2524" s="67"/>
      <c r="K2524" s="7" t="s">
        <v>818</v>
      </c>
      <c r="L2524" s="77"/>
      <c r="M2524" s="79"/>
      <c r="N2524" s="1"/>
      <c r="O2524" s="1"/>
      <c r="P2524" s="1"/>
      <c r="Q2524" s="1"/>
      <c r="R2524" s="1"/>
      <c r="S2524" s="1"/>
      <c r="T2524" s="1"/>
      <c r="U2524" s="1"/>
      <c r="V2524" s="1"/>
      <c r="W2524" s="1"/>
      <c r="X2524" s="1"/>
      <c r="Y2524" s="1"/>
      <c r="Z2524" s="1"/>
      <c r="AA2524" s="1"/>
      <c r="AB2524" s="1"/>
      <c r="AC2524" s="1"/>
      <c r="AD2524" s="1"/>
      <c r="AE2524" s="1"/>
      <c r="AF2524" s="1"/>
      <c r="AG2524" s="1"/>
      <c r="AH2524" s="1"/>
    </row>
    <row r="2525" ht="12.75" hidden="1" customHeight="1" outlineLevel="1">
      <c r="A2525" s="17">
        <v>41442.0</v>
      </c>
      <c r="B2525" s="1" t="s">
        <v>343</v>
      </c>
      <c r="C2525" s="1" t="s">
        <v>1093</v>
      </c>
      <c r="D2525" s="74">
        <v>400.0</v>
      </c>
      <c r="E2525" s="67">
        <v>43.849</v>
      </c>
      <c r="F2525" s="75">
        <v>0.40980324074074076</v>
      </c>
      <c r="G2525" s="67" t="s">
        <v>453</v>
      </c>
      <c r="H2525" s="68">
        <v>1.6</v>
      </c>
      <c r="I2525" s="76"/>
      <c r="J2525" s="67">
        <f t="shared" ref="J2525:J2526" si="180">IF(B2525="SLD",D2525*E2525,-D2525*E2525)-H2525</f>
        <v>-17541.2</v>
      </c>
      <c r="K2525" s="7" t="s">
        <v>607</v>
      </c>
      <c r="L2525" s="70"/>
      <c r="M2525" s="79"/>
      <c r="N2525" s="1"/>
      <c r="O2525" s="1"/>
      <c r="P2525" s="1"/>
      <c r="Q2525" s="1"/>
      <c r="R2525" s="1"/>
      <c r="S2525" s="1"/>
      <c r="T2525" s="1"/>
      <c r="U2525" s="1"/>
      <c r="V2525" s="1"/>
      <c r="W2525" s="1"/>
      <c r="X2525" s="1"/>
      <c r="Y2525" s="1"/>
      <c r="Z2525" s="1"/>
      <c r="AA2525" s="1"/>
      <c r="AB2525" s="1"/>
      <c r="AC2525" s="1"/>
      <c r="AD2525" s="1"/>
      <c r="AE2525" s="1"/>
      <c r="AF2525" s="1"/>
      <c r="AG2525" s="1"/>
      <c r="AH2525" s="1"/>
    </row>
    <row r="2526" ht="12.75" hidden="1" customHeight="1" outlineLevel="1">
      <c r="A2526" s="17">
        <v>41442.0</v>
      </c>
      <c r="B2526" s="1" t="s">
        <v>347</v>
      </c>
      <c r="C2526" s="1" t="s">
        <v>369</v>
      </c>
      <c r="D2526" s="74">
        <v>200.0</v>
      </c>
      <c r="E2526" s="67">
        <v>17.74</v>
      </c>
      <c r="F2526" s="75">
        <v>0.4149189814814815</v>
      </c>
      <c r="G2526" s="67" t="s">
        <v>453</v>
      </c>
      <c r="H2526" s="68">
        <v>1.0</v>
      </c>
      <c r="I2526" s="76"/>
      <c r="J2526" s="67">
        <f t="shared" si="180"/>
        <v>3547</v>
      </c>
      <c r="K2526" s="7"/>
      <c r="L2526" s="70"/>
      <c r="M2526" s="79"/>
      <c r="N2526" s="1"/>
      <c r="O2526" s="1"/>
      <c r="P2526" s="1"/>
      <c r="Q2526" s="1"/>
      <c r="R2526" s="1"/>
      <c r="S2526" s="1"/>
      <c r="T2526" s="1"/>
      <c r="U2526" s="1"/>
      <c r="V2526" s="1"/>
      <c r="W2526" s="1"/>
      <c r="X2526" s="1"/>
      <c r="Y2526" s="1"/>
      <c r="Z2526" s="1"/>
      <c r="AA2526" s="1"/>
      <c r="AB2526" s="1"/>
      <c r="AC2526" s="1"/>
      <c r="AD2526" s="1"/>
      <c r="AE2526" s="1"/>
      <c r="AF2526" s="1"/>
      <c r="AG2526" s="1"/>
      <c r="AH2526" s="1"/>
    </row>
    <row r="2527" ht="12.75" hidden="1" customHeight="1" outlineLevel="1">
      <c r="A2527" s="17">
        <v>41442.0</v>
      </c>
      <c r="B2527" s="1"/>
      <c r="C2527" s="1" t="s">
        <v>339</v>
      </c>
      <c r="D2527" s="74"/>
      <c r="E2527" s="67"/>
      <c r="F2527" s="75"/>
      <c r="G2527" s="67"/>
      <c r="H2527" s="68"/>
      <c r="I2527" s="76"/>
      <c r="J2527" s="67"/>
      <c r="K2527" s="7" t="s">
        <v>1094</v>
      </c>
      <c r="L2527" s="77"/>
      <c r="M2527" s="79"/>
      <c r="N2527" s="1"/>
      <c r="O2527" s="1"/>
      <c r="P2527" s="1"/>
      <c r="Q2527" s="1"/>
      <c r="R2527" s="1"/>
      <c r="S2527" s="1"/>
      <c r="T2527" s="1"/>
      <c r="U2527" s="1"/>
      <c r="V2527" s="1"/>
      <c r="W2527" s="1"/>
      <c r="X2527" s="1"/>
      <c r="Y2527" s="1"/>
      <c r="Z2527" s="1"/>
      <c r="AA2527" s="1"/>
      <c r="AB2527" s="1"/>
      <c r="AC2527" s="1"/>
      <c r="AD2527" s="1"/>
      <c r="AE2527" s="1"/>
      <c r="AF2527" s="1"/>
      <c r="AG2527" s="1"/>
      <c r="AH2527" s="1"/>
    </row>
    <row r="2528" ht="12.75" hidden="1" customHeight="1" outlineLevel="1">
      <c r="A2528" s="17">
        <v>41442.0</v>
      </c>
      <c r="B2528" s="1"/>
      <c r="C2528" s="1" t="s">
        <v>429</v>
      </c>
      <c r="D2528" s="74"/>
      <c r="E2528" s="67"/>
      <c r="F2528" s="75"/>
      <c r="G2528" s="67"/>
      <c r="H2528" s="68"/>
      <c r="I2528" s="76"/>
      <c r="J2528" s="67"/>
      <c r="K2528" s="7" t="s">
        <v>1034</v>
      </c>
      <c r="L2528" s="77"/>
      <c r="M2528" s="79"/>
      <c r="N2528" s="1"/>
      <c r="O2528" s="1"/>
      <c r="P2528" s="1"/>
      <c r="Q2528" s="1"/>
      <c r="R2528" s="1"/>
      <c r="S2528" s="1"/>
      <c r="T2528" s="1"/>
      <c r="U2528" s="1"/>
      <c r="V2528" s="1"/>
      <c r="W2528" s="1"/>
      <c r="X2528" s="1"/>
      <c r="Y2528" s="1"/>
      <c r="Z2528" s="1"/>
      <c r="AA2528" s="1"/>
      <c r="AB2528" s="1"/>
      <c r="AC2528" s="1"/>
      <c r="AD2528" s="1"/>
      <c r="AE2528" s="1"/>
      <c r="AF2528" s="1"/>
      <c r="AG2528" s="1"/>
      <c r="AH2528" s="1"/>
    </row>
    <row r="2529" ht="12.75" hidden="1" customHeight="1" outlineLevel="1">
      <c r="A2529" s="17">
        <v>41442.0</v>
      </c>
      <c r="B2529" s="1"/>
      <c r="C2529" s="1" t="s">
        <v>431</v>
      </c>
      <c r="D2529" s="74"/>
      <c r="E2529" s="67"/>
      <c r="F2529" s="75"/>
      <c r="G2529" s="67"/>
      <c r="H2529" s="68"/>
      <c r="I2529" s="76"/>
      <c r="J2529" s="67"/>
      <c r="K2529" s="7" t="s">
        <v>817</v>
      </c>
      <c r="L2529" s="77"/>
      <c r="M2529" s="79"/>
      <c r="N2529" s="1"/>
      <c r="O2529" s="1"/>
      <c r="P2529" s="1"/>
      <c r="Q2529" s="1"/>
      <c r="R2529" s="1"/>
      <c r="S2529" s="1"/>
      <c r="T2529" s="1"/>
      <c r="U2529" s="1"/>
      <c r="V2529" s="1"/>
      <c r="W2529" s="1"/>
      <c r="X2529" s="1"/>
      <c r="Y2529" s="1"/>
      <c r="Z2529" s="1"/>
      <c r="AA2529" s="1"/>
      <c r="AB2529" s="1"/>
      <c r="AC2529" s="1"/>
      <c r="AD2529" s="1"/>
      <c r="AE2529" s="1"/>
      <c r="AF2529" s="1"/>
      <c r="AG2529" s="1"/>
      <c r="AH2529" s="1"/>
    </row>
    <row r="2530" ht="12.75" hidden="1" customHeight="1" outlineLevel="1">
      <c r="A2530" s="17">
        <v>41442.0</v>
      </c>
      <c r="B2530" s="1"/>
      <c r="C2530" s="1" t="s">
        <v>433</v>
      </c>
      <c r="D2530" s="74"/>
      <c r="E2530" s="67"/>
      <c r="F2530" s="75"/>
      <c r="G2530" s="67"/>
      <c r="H2530" s="68"/>
      <c r="I2530" s="76"/>
      <c r="J2530" s="67"/>
      <c r="K2530" s="7" t="s">
        <v>434</v>
      </c>
      <c r="L2530" s="77"/>
      <c r="M2530" s="79"/>
      <c r="N2530" s="1"/>
      <c r="O2530" s="1"/>
      <c r="P2530" s="1"/>
      <c r="Q2530" s="1"/>
      <c r="R2530" s="1"/>
      <c r="S2530" s="1"/>
      <c r="T2530" s="1"/>
      <c r="U2530" s="1"/>
      <c r="V2530" s="1"/>
      <c r="W2530" s="1"/>
      <c r="X2530" s="1"/>
      <c r="Y2530" s="1"/>
      <c r="Z2530" s="1"/>
      <c r="AA2530" s="1"/>
      <c r="AB2530" s="1"/>
      <c r="AC2530" s="1"/>
      <c r="AD2530" s="1"/>
      <c r="AE2530" s="1"/>
      <c r="AF2530" s="1"/>
      <c r="AG2530" s="1"/>
      <c r="AH2530" s="1"/>
    </row>
    <row r="2531" ht="12.75" hidden="1" customHeight="1" outlineLevel="1">
      <c r="A2531" s="17">
        <v>41442.0</v>
      </c>
      <c r="B2531" s="1"/>
      <c r="C2531" s="1" t="s">
        <v>435</v>
      </c>
      <c r="D2531" s="74"/>
      <c r="E2531" s="67"/>
      <c r="F2531" s="75"/>
      <c r="G2531" s="67"/>
      <c r="H2531" s="68"/>
      <c r="I2531" s="76"/>
      <c r="J2531" s="67"/>
      <c r="K2531" s="7" t="s">
        <v>818</v>
      </c>
      <c r="L2531" s="77"/>
      <c r="M2531" s="79"/>
      <c r="N2531" s="1"/>
      <c r="O2531" s="1"/>
      <c r="P2531" s="1"/>
      <c r="Q2531" s="1"/>
      <c r="R2531" s="1"/>
      <c r="S2531" s="1"/>
      <c r="T2531" s="1"/>
      <c r="U2531" s="1"/>
      <c r="V2531" s="1"/>
      <c r="W2531" s="1"/>
      <c r="X2531" s="1"/>
      <c r="Y2531" s="1"/>
      <c r="Z2531" s="1"/>
      <c r="AA2531" s="1"/>
      <c r="AB2531" s="1"/>
      <c r="AC2531" s="1"/>
      <c r="AD2531" s="1"/>
      <c r="AE2531" s="1"/>
      <c r="AF2531" s="1"/>
      <c r="AG2531" s="1"/>
      <c r="AH2531" s="1"/>
    </row>
    <row r="2532" ht="12.75" hidden="1" customHeight="1" outlineLevel="1">
      <c r="A2532" s="17">
        <v>41443.0</v>
      </c>
      <c r="B2532" s="1"/>
      <c r="C2532" s="1" t="s">
        <v>339</v>
      </c>
      <c r="D2532" s="74"/>
      <c r="E2532" s="67"/>
      <c r="F2532" s="75"/>
      <c r="G2532" s="67"/>
      <c r="H2532" s="68"/>
      <c r="I2532" s="76"/>
      <c r="J2532" s="67"/>
      <c r="K2532" s="7" t="s">
        <v>1095</v>
      </c>
      <c r="L2532" s="77"/>
      <c r="M2532" s="79"/>
      <c r="N2532" s="1"/>
      <c r="O2532" s="1"/>
      <c r="P2532" s="1"/>
      <c r="Q2532" s="1"/>
      <c r="R2532" s="1"/>
      <c r="S2532" s="1"/>
      <c r="T2532" s="1"/>
      <c r="U2532" s="1"/>
      <c r="V2532" s="1"/>
      <c r="W2532" s="1"/>
      <c r="X2532" s="1"/>
      <c r="Y2532" s="1"/>
      <c r="Z2532" s="1"/>
      <c r="AA2532" s="1"/>
      <c r="AB2532" s="1"/>
      <c r="AC2532" s="1"/>
      <c r="AD2532" s="1"/>
      <c r="AE2532" s="1"/>
      <c r="AF2532" s="1"/>
      <c r="AG2532" s="1"/>
      <c r="AH2532" s="1"/>
    </row>
    <row r="2533" ht="12.75" hidden="1" customHeight="1" outlineLevel="1">
      <c r="A2533" s="17">
        <v>41443.0</v>
      </c>
      <c r="B2533" s="1"/>
      <c r="C2533" s="1" t="s">
        <v>429</v>
      </c>
      <c r="D2533" s="74"/>
      <c r="E2533" s="67"/>
      <c r="F2533" s="75"/>
      <c r="G2533" s="67"/>
      <c r="H2533" s="68"/>
      <c r="I2533" s="76"/>
      <c r="J2533" s="67"/>
      <c r="K2533" s="7" t="s">
        <v>1034</v>
      </c>
      <c r="L2533" s="77"/>
      <c r="M2533" s="79"/>
      <c r="N2533" s="1"/>
      <c r="O2533" s="1"/>
      <c r="P2533" s="1"/>
      <c r="Q2533" s="1"/>
      <c r="R2533" s="1"/>
      <c r="S2533" s="1"/>
      <c r="T2533" s="1"/>
      <c r="U2533" s="1"/>
      <c r="V2533" s="1"/>
      <c r="W2533" s="1"/>
      <c r="X2533" s="1"/>
      <c r="Y2533" s="1"/>
      <c r="Z2533" s="1"/>
      <c r="AA2533" s="1"/>
      <c r="AB2533" s="1"/>
      <c r="AC2533" s="1"/>
      <c r="AD2533" s="1"/>
      <c r="AE2533" s="1"/>
      <c r="AF2533" s="1"/>
      <c r="AG2533" s="1"/>
      <c r="AH2533" s="1"/>
    </row>
    <row r="2534" ht="12.75" hidden="1" customHeight="1" outlineLevel="1">
      <c r="A2534" s="17">
        <v>41443.0</v>
      </c>
      <c r="B2534" s="1"/>
      <c r="C2534" s="1" t="s">
        <v>431</v>
      </c>
      <c r="D2534" s="74"/>
      <c r="E2534" s="67"/>
      <c r="F2534" s="75"/>
      <c r="G2534" s="67"/>
      <c r="H2534" s="68"/>
      <c r="I2534" s="76"/>
      <c r="J2534" s="67"/>
      <c r="K2534" s="7" t="s">
        <v>817</v>
      </c>
      <c r="L2534" s="77"/>
      <c r="M2534" s="79"/>
      <c r="N2534" s="1"/>
      <c r="O2534" s="1"/>
      <c r="P2534" s="1"/>
      <c r="Q2534" s="1"/>
      <c r="R2534" s="1"/>
      <c r="S2534" s="1"/>
      <c r="T2534" s="1"/>
      <c r="U2534" s="1"/>
      <c r="V2534" s="1"/>
      <c r="W2534" s="1"/>
      <c r="X2534" s="1"/>
      <c r="Y2534" s="1"/>
      <c r="Z2534" s="1"/>
      <c r="AA2534" s="1"/>
      <c r="AB2534" s="1"/>
      <c r="AC2534" s="1"/>
      <c r="AD2534" s="1"/>
      <c r="AE2534" s="1"/>
      <c r="AF2534" s="1"/>
      <c r="AG2534" s="1"/>
      <c r="AH2534" s="1"/>
    </row>
    <row r="2535" ht="12.75" hidden="1" customHeight="1" outlineLevel="1">
      <c r="A2535" s="17">
        <v>41443.0</v>
      </c>
      <c r="B2535" s="1"/>
      <c r="C2535" s="1" t="s">
        <v>433</v>
      </c>
      <c r="D2535" s="74"/>
      <c r="E2535" s="67"/>
      <c r="F2535" s="75"/>
      <c r="G2535" s="67"/>
      <c r="H2535" s="68"/>
      <c r="I2535" s="76"/>
      <c r="J2535" s="67"/>
      <c r="K2535" s="7" t="s">
        <v>434</v>
      </c>
      <c r="L2535" s="77"/>
      <c r="M2535" s="79"/>
      <c r="N2535" s="1"/>
      <c r="O2535" s="1"/>
      <c r="P2535" s="1"/>
      <c r="Q2535" s="1"/>
      <c r="R2535" s="1"/>
      <c r="S2535" s="1"/>
      <c r="T2535" s="1"/>
      <c r="U2535" s="1"/>
      <c r="V2535" s="1"/>
      <c r="W2535" s="1"/>
      <c r="X2535" s="1"/>
      <c r="Y2535" s="1"/>
      <c r="Z2535" s="1"/>
      <c r="AA2535" s="1"/>
      <c r="AB2535" s="1"/>
      <c r="AC2535" s="1"/>
      <c r="AD2535" s="1"/>
      <c r="AE2535" s="1"/>
      <c r="AF2535" s="1"/>
      <c r="AG2535" s="1"/>
      <c r="AH2535" s="1"/>
    </row>
    <row r="2536" ht="12.75" hidden="1" customHeight="1" outlineLevel="1">
      <c r="A2536" s="17">
        <v>41443.0</v>
      </c>
      <c r="B2536" s="1"/>
      <c r="C2536" s="1" t="s">
        <v>435</v>
      </c>
      <c r="D2536" s="74"/>
      <c r="E2536" s="67"/>
      <c r="F2536" s="75"/>
      <c r="G2536" s="67"/>
      <c r="H2536" s="68"/>
      <c r="I2536" s="76"/>
      <c r="J2536" s="67"/>
      <c r="K2536" s="7" t="s">
        <v>818</v>
      </c>
      <c r="L2536" s="77"/>
      <c r="M2536" s="79"/>
      <c r="N2536" s="1"/>
      <c r="O2536" s="1"/>
      <c r="P2536" s="1"/>
      <c r="Q2536" s="1"/>
      <c r="R2536" s="1"/>
      <c r="S2536" s="1"/>
      <c r="T2536" s="1"/>
      <c r="U2536" s="1"/>
      <c r="V2536" s="1"/>
      <c r="W2536" s="1"/>
      <c r="X2536" s="1"/>
      <c r="Y2536" s="1"/>
      <c r="Z2536" s="1"/>
      <c r="AA2536" s="1"/>
      <c r="AB2536" s="1"/>
      <c r="AC2536" s="1"/>
      <c r="AD2536" s="1"/>
      <c r="AE2536" s="1"/>
      <c r="AF2536" s="1"/>
      <c r="AG2536" s="1"/>
      <c r="AH2536" s="1"/>
    </row>
    <row r="2537" ht="12.75" hidden="1" customHeight="1" outlineLevel="1">
      <c r="A2537" s="17">
        <v>41444.0</v>
      </c>
      <c r="B2537" s="1"/>
      <c r="C2537" s="1" t="s">
        <v>339</v>
      </c>
      <c r="D2537" s="74"/>
      <c r="E2537" s="67"/>
      <c r="F2537" s="75"/>
      <c r="G2537" s="67"/>
      <c r="H2537" s="68"/>
      <c r="I2537" s="76"/>
      <c r="J2537" s="67"/>
      <c r="K2537" s="7" t="s">
        <v>1096</v>
      </c>
      <c r="L2537" s="77"/>
      <c r="M2537" s="79"/>
      <c r="N2537" s="1"/>
      <c r="O2537" s="1"/>
      <c r="P2537" s="1"/>
      <c r="Q2537" s="1"/>
      <c r="R2537" s="1"/>
      <c r="S2537" s="1"/>
      <c r="T2537" s="1"/>
      <c r="U2537" s="1"/>
      <c r="V2537" s="1"/>
      <c r="W2537" s="1"/>
      <c r="X2537" s="1"/>
      <c r="Y2537" s="1"/>
      <c r="Z2537" s="1"/>
      <c r="AA2537" s="1"/>
      <c r="AB2537" s="1"/>
      <c r="AC2537" s="1"/>
      <c r="AD2537" s="1"/>
      <c r="AE2537" s="1"/>
      <c r="AF2537" s="1"/>
      <c r="AG2537" s="1"/>
      <c r="AH2537" s="1"/>
    </row>
    <row r="2538" ht="12.75" hidden="1" customHeight="1" outlineLevel="1">
      <c r="A2538" s="17">
        <v>41444.0</v>
      </c>
      <c r="B2538" s="1"/>
      <c r="C2538" s="1" t="s">
        <v>429</v>
      </c>
      <c r="D2538" s="74"/>
      <c r="E2538" s="67"/>
      <c r="F2538" s="75"/>
      <c r="G2538" s="67"/>
      <c r="H2538" s="68"/>
      <c r="I2538" s="76"/>
      <c r="J2538" s="67"/>
      <c r="K2538" s="7" t="s">
        <v>1034</v>
      </c>
      <c r="L2538" s="77"/>
      <c r="M2538" s="79"/>
      <c r="N2538" s="1"/>
      <c r="O2538" s="1"/>
      <c r="P2538" s="1"/>
      <c r="Q2538" s="1"/>
      <c r="R2538" s="1"/>
      <c r="S2538" s="1"/>
      <c r="T2538" s="1"/>
      <c r="U2538" s="1"/>
      <c r="V2538" s="1"/>
      <c r="W2538" s="1"/>
      <c r="X2538" s="1"/>
      <c r="Y2538" s="1"/>
      <c r="Z2538" s="1"/>
      <c r="AA2538" s="1"/>
      <c r="AB2538" s="1"/>
      <c r="AC2538" s="1"/>
      <c r="AD2538" s="1"/>
      <c r="AE2538" s="1"/>
      <c r="AF2538" s="1"/>
      <c r="AG2538" s="1"/>
      <c r="AH2538" s="1"/>
    </row>
    <row r="2539" ht="12.75" hidden="1" customHeight="1" outlineLevel="1">
      <c r="A2539" s="17">
        <v>41444.0</v>
      </c>
      <c r="B2539" s="1"/>
      <c r="C2539" s="1" t="s">
        <v>431</v>
      </c>
      <c r="D2539" s="74"/>
      <c r="E2539" s="67"/>
      <c r="F2539" s="75"/>
      <c r="G2539" s="67"/>
      <c r="H2539" s="68"/>
      <c r="I2539" s="76"/>
      <c r="J2539" s="67"/>
      <c r="K2539" s="7" t="s">
        <v>817</v>
      </c>
      <c r="L2539" s="77"/>
      <c r="M2539" s="79"/>
      <c r="N2539" s="1"/>
      <c r="O2539" s="1"/>
      <c r="P2539" s="1"/>
      <c r="Q2539" s="1"/>
      <c r="R2539" s="1"/>
      <c r="S2539" s="1"/>
      <c r="T2539" s="1"/>
      <c r="U2539" s="1"/>
      <c r="V2539" s="1"/>
      <c r="W2539" s="1"/>
      <c r="X2539" s="1"/>
      <c r="Y2539" s="1"/>
      <c r="Z2539" s="1"/>
      <c r="AA2539" s="1"/>
      <c r="AB2539" s="1"/>
      <c r="AC2539" s="1"/>
      <c r="AD2539" s="1"/>
      <c r="AE2539" s="1"/>
      <c r="AF2539" s="1"/>
      <c r="AG2539" s="1"/>
      <c r="AH2539" s="1"/>
    </row>
    <row r="2540" ht="12.75" hidden="1" customHeight="1" outlineLevel="1">
      <c r="A2540" s="17">
        <v>41444.0</v>
      </c>
      <c r="B2540" s="1"/>
      <c r="C2540" s="1" t="s">
        <v>433</v>
      </c>
      <c r="D2540" s="74"/>
      <c r="E2540" s="67"/>
      <c r="F2540" s="75"/>
      <c r="G2540" s="67"/>
      <c r="H2540" s="68"/>
      <c r="I2540" s="76"/>
      <c r="J2540" s="67"/>
      <c r="K2540" s="7" t="s">
        <v>434</v>
      </c>
      <c r="L2540" s="77"/>
      <c r="M2540" s="79"/>
      <c r="N2540" s="1"/>
      <c r="O2540" s="1"/>
      <c r="P2540" s="1"/>
      <c r="Q2540" s="1"/>
      <c r="R2540" s="1"/>
      <c r="S2540" s="1"/>
      <c r="T2540" s="1"/>
      <c r="U2540" s="1"/>
      <c r="V2540" s="1"/>
      <c r="W2540" s="1"/>
      <c r="X2540" s="1"/>
      <c r="Y2540" s="1"/>
      <c r="Z2540" s="1"/>
      <c r="AA2540" s="1"/>
      <c r="AB2540" s="1"/>
      <c r="AC2540" s="1"/>
      <c r="AD2540" s="1"/>
      <c r="AE2540" s="1"/>
      <c r="AF2540" s="1"/>
      <c r="AG2540" s="1"/>
      <c r="AH2540" s="1"/>
    </row>
    <row r="2541" ht="12.75" hidden="1" customHeight="1" outlineLevel="1">
      <c r="A2541" s="17">
        <v>41444.0</v>
      </c>
      <c r="B2541" s="1"/>
      <c r="C2541" s="1" t="s">
        <v>435</v>
      </c>
      <c r="D2541" s="74"/>
      <c r="E2541" s="67"/>
      <c r="F2541" s="75"/>
      <c r="G2541" s="67"/>
      <c r="H2541" s="68"/>
      <c r="I2541" s="76"/>
      <c r="J2541" s="67"/>
      <c r="K2541" s="7" t="s">
        <v>818</v>
      </c>
      <c r="L2541" s="77"/>
      <c r="M2541" s="79"/>
      <c r="N2541" s="1"/>
      <c r="O2541" s="1"/>
      <c r="P2541" s="1"/>
      <c r="Q2541" s="1"/>
      <c r="R2541" s="1"/>
      <c r="S2541" s="1"/>
      <c r="T2541" s="1"/>
      <c r="U2541" s="1"/>
      <c r="V2541" s="1"/>
      <c r="W2541" s="1"/>
      <c r="X2541" s="1"/>
      <c r="Y2541" s="1"/>
      <c r="Z2541" s="1"/>
      <c r="AA2541" s="1"/>
      <c r="AB2541" s="1"/>
      <c r="AC2541" s="1"/>
      <c r="AD2541" s="1"/>
      <c r="AE2541" s="1"/>
      <c r="AF2541" s="1"/>
      <c r="AG2541" s="1"/>
      <c r="AH2541" s="1"/>
    </row>
    <row r="2542" ht="12.75" hidden="1" customHeight="1" outlineLevel="1">
      <c r="A2542" s="17">
        <v>41445.0</v>
      </c>
      <c r="B2542" s="1"/>
      <c r="C2542" s="1" t="s">
        <v>339</v>
      </c>
      <c r="D2542" s="74"/>
      <c r="E2542" s="67"/>
      <c r="F2542" s="75"/>
      <c r="G2542" s="67"/>
      <c r="H2542" s="68"/>
      <c r="I2542" s="76"/>
      <c r="J2542" s="67"/>
      <c r="K2542" s="7" t="s">
        <v>1097</v>
      </c>
      <c r="L2542" s="77"/>
      <c r="M2542" s="79"/>
      <c r="N2542" s="1"/>
      <c r="O2542" s="1"/>
      <c r="P2542" s="1"/>
      <c r="Q2542" s="1"/>
      <c r="R2542" s="1"/>
      <c r="S2542" s="1"/>
      <c r="T2542" s="1"/>
      <c r="U2542" s="1"/>
      <c r="V2542" s="1"/>
      <c r="W2542" s="1"/>
      <c r="X2542" s="1"/>
      <c r="Y2542" s="1"/>
      <c r="Z2542" s="1"/>
      <c r="AA2542" s="1"/>
      <c r="AB2542" s="1"/>
      <c r="AC2542" s="1"/>
      <c r="AD2542" s="1"/>
      <c r="AE2542" s="1"/>
      <c r="AF2542" s="1"/>
      <c r="AG2542" s="1"/>
      <c r="AH2542" s="1"/>
    </row>
    <row r="2543" ht="12.75" hidden="1" customHeight="1" outlineLevel="1">
      <c r="A2543" s="17">
        <v>41445.0</v>
      </c>
      <c r="B2543" s="1"/>
      <c r="C2543" s="1" t="s">
        <v>429</v>
      </c>
      <c r="D2543" s="74"/>
      <c r="E2543" s="67"/>
      <c r="F2543" s="75"/>
      <c r="G2543" s="67"/>
      <c r="H2543" s="68"/>
      <c r="I2543" s="76"/>
      <c r="J2543" s="67"/>
      <c r="K2543" s="7" t="s">
        <v>1034</v>
      </c>
      <c r="L2543" s="77"/>
      <c r="M2543" s="79"/>
      <c r="N2543" s="1"/>
      <c r="O2543" s="1"/>
      <c r="P2543" s="1"/>
      <c r="Q2543" s="1"/>
      <c r="R2543" s="1"/>
      <c r="S2543" s="1"/>
      <c r="T2543" s="1"/>
      <c r="U2543" s="1"/>
      <c r="V2543" s="1"/>
      <c r="W2543" s="1"/>
      <c r="X2543" s="1"/>
      <c r="Y2543" s="1"/>
      <c r="Z2543" s="1"/>
      <c r="AA2543" s="1"/>
      <c r="AB2543" s="1"/>
      <c r="AC2543" s="1"/>
      <c r="AD2543" s="1"/>
      <c r="AE2543" s="1"/>
      <c r="AF2543" s="1"/>
      <c r="AG2543" s="1"/>
      <c r="AH2543" s="1"/>
    </row>
    <row r="2544" ht="12.75" hidden="1" customHeight="1" outlineLevel="1">
      <c r="A2544" s="17">
        <v>41445.0</v>
      </c>
      <c r="B2544" s="1"/>
      <c r="C2544" s="1" t="s">
        <v>431</v>
      </c>
      <c r="D2544" s="74"/>
      <c r="E2544" s="67"/>
      <c r="F2544" s="75"/>
      <c r="G2544" s="67"/>
      <c r="H2544" s="68"/>
      <c r="I2544" s="76"/>
      <c r="J2544" s="67"/>
      <c r="K2544" s="7" t="s">
        <v>817</v>
      </c>
      <c r="L2544" s="77"/>
      <c r="M2544" s="79"/>
      <c r="N2544" s="1"/>
      <c r="O2544" s="1"/>
      <c r="P2544" s="1"/>
      <c r="Q2544" s="1"/>
      <c r="R2544" s="1"/>
      <c r="S2544" s="1"/>
      <c r="T2544" s="1"/>
      <c r="U2544" s="1"/>
      <c r="V2544" s="1"/>
      <c r="W2544" s="1"/>
      <c r="X2544" s="1"/>
      <c r="Y2544" s="1"/>
      <c r="Z2544" s="1"/>
      <c r="AA2544" s="1"/>
      <c r="AB2544" s="1"/>
      <c r="AC2544" s="1"/>
      <c r="AD2544" s="1"/>
      <c r="AE2544" s="1"/>
      <c r="AF2544" s="1"/>
      <c r="AG2544" s="1"/>
      <c r="AH2544" s="1"/>
    </row>
    <row r="2545" ht="12.75" hidden="1" customHeight="1" outlineLevel="1">
      <c r="A2545" s="17">
        <v>41445.0</v>
      </c>
      <c r="B2545" s="1"/>
      <c r="C2545" s="1" t="s">
        <v>433</v>
      </c>
      <c r="D2545" s="74"/>
      <c r="E2545" s="67"/>
      <c r="F2545" s="75"/>
      <c r="G2545" s="67"/>
      <c r="H2545" s="68"/>
      <c r="I2545" s="76"/>
      <c r="J2545" s="67"/>
      <c r="K2545" s="7" t="s">
        <v>434</v>
      </c>
      <c r="L2545" s="77"/>
      <c r="M2545" s="79"/>
      <c r="N2545" s="1"/>
      <c r="O2545" s="1"/>
      <c r="P2545" s="1"/>
      <c r="Q2545" s="1"/>
      <c r="R2545" s="1"/>
      <c r="S2545" s="1"/>
      <c r="T2545" s="1"/>
      <c r="U2545" s="1"/>
      <c r="V2545" s="1"/>
      <c r="W2545" s="1"/>
      <c r="X2545" s="1"/>
      <c r="Y2545" s="1"/>
      <c r="Z2545" s="1"/>
      <c r="AA2545" s="1"/>
      <c r="AB2545" s="1"/>
      <c r="AC2545" s="1"/>
      <c r="AD2545" s="1"/>
      <c r="AE2545" s="1"/>
      <c r="AF2545" s="1"/>
      <c r="AG2545" s="1"/>
      <c r="AH2545" s="1"/>
    </row>
    <row r="2546" ht="12.75" hidden="1" customHeight="1" outlineLevel="1">
      <c r="A2546" s="17">
        <v>41445.0</v>
      </c>
      <c r="B2546" s="1"/>
      <c r="C2546" s="1" t="s">
        <v>435</v>
      </c>
      <c r="D2546" s="74"/>
      <c r="E2546" s="67"/>
      <c r="F2546" s="75"/>
      <c r="G2546" s="67"/>
      <c r="H2546" s="68"/>
      <c r="I2546" s="76"/>
      <c r="J2546" s="67"/>
      <c r="K2546" s="7" t="s">
        <v>818</v>
      </c>
      <c r="L2546" s="77"/>
      <c r="M2546" s="79"/>
      <c r="N2546" s="1"/>
      <c r="O2546" s="1"/>
      <c r="P2546" s="1"/>
      <c r="Q2546" s="1"/>
      <c r="R2546" s="1"/>
      <c r="S2546" s="1"/>
      <c r="T2546" s="1"/>
      <c r="U2546" s="1"/>
      <c r="V2546" s="1"/>
      <c r="W2546" s="1"/>
      <c r="X2546" s="1"/>
      <c r="Y2546" s="1"/>
      <c r="Z2546" s="1"/>
      <c r="AA2546" s="1"/>
      <c r="AB2546" s="1"/>
      <c r="AC2546" s="1"/>
      <c r="AD2546" s="1"/>
      <c r="AE2546" s="1"/>
      <c r="AF2546" s="1"/>
      <c r="AG2546" s="1"/>
      <c r="AH2546" s="1"/>
    </row>
    <row r="2547" ht="12.75" hidden="1" customHeight="1" outlineLevel="1">
      <c r="A2547" s="17">
        <v>41446.0</v>
      </c>
      <c r="B2547" s="1"/>
      <c r="C2547" s="1" t="s">
        <v>339</v>
      </c>
      <c r="D2547" s="74"/>
      <c r="E2547" s="67"/>
      <c r="F2547" s="75"/>
      <c r="G2547" s="67"/>
      <c r="H2547" s="68"/>
      <c r="I2547" s="76"/>
      <c r="J2547" s="67"/>
      <c r="K2547" s="7" t="s">
        <v>1099</v>
      </c>
      <c r="L2547" s="77"/>
      <c r="M2547" s="79"/>
      <c r="N2547" s="1"/>
      <c r="O2547" s="1"/>
      <c r="P2547" s="1"/>
      <c r="Q2547" s="1"/>
      <c r="R2547" s="1"/>
      <c r="S2547" s="1"/>
      <c r="T2547" s="1"/>
      <c r="U2547" s="1"/>
      <c r="V2547" s="1"/>
      <c r="W2547" s="1"/>
      <c r="X2547" s="1"/>
      <c r="Y2547" s="1"/>
      <c r="Z2547" s="1"/>
      <c r="AA2547" s="1"/>
      <c r="AB2547" s="1"/>
      <c r="AC2547" s="1"/>
      <c r="AD2547" s="1"/>
      <c r="AE2547" s="1"/>
      <c r="AF2547" s="1"/>
      <c r="AG2547" s="1"/>
      <c r="AH2547" s="1"/>
    </row>
    <row r="2548" ht="12.75" hidden="1" customHeight="1" outlineLevel="1">
      <c r="A2548" s="17">
        <v>41446.0</v>
      </c>
      <c r="B2548" s="1"/>
      <c r="C2548" s="1" t="s">
        <v>429</v>
      </c>
      <c r="D2548" s="74"/>
      <c r="E2548" s="67"/>
      <c r="F2548" s="75"/>
      <c r="G2548" s="67"/>
      <c r="H2548" s="68"/>
      <c r="I2548" s="76"/>
      <c r="J2548" s="67"/>
      <c r="K2548" s="7" t="s">
        <v>1034</v>
      </c>
      <c r="L2548" s="77"/>
      <c r="M2548" s="79"/>
      <c r="N2548" s="1"/>
      <c r="O2548" s="1"/>
      <c r="P2548" s="1"/>
      <c r="Q2548" s="1"/>
      <c r="R2548" s="1"/>
      <c r="S2548" s="1"/>
      <c r="T2548" s="1"/>
      <c r="U2548" s="1"/>
      <c r="V2548" s="1"/>
      <c r="W2548" s="1"/>
      <c r="X2548" s="1"/>
      <c r="Y2548" s="1"/>
      <c r="Z2548" s="1"/>
      <c r="AA2548" s="1"/>
      <c r="AB2548" s="1"/>
      <c r="AC2548" s="1"/>
      <c r="AD2548" s="1"/>
      <c r="AE2548" s="1"/>
      <c r="AF2548" s="1"/>
      <c r="AG2548" s="1"/>
      <c r="AH2548" s="1"/>
    </row>
    <row r="2549" ht="12.75" hidden="1" customHeight="1" outlineLevel="1">
      <c r="A2549" s="17">
        <v>41446.0</v>
      </c>
      <c r="B2549" s="1"/>
      <c r="C2549" s="1" t="s">
        <v>431</v>
      </c>
      <c r="D2549" s="74"/>
      <c r="E2549" s="67"/>
      <c r="F2549" s="75"/>
      <c r="G2549" s="67"/>
      <c r="H2549" s="68"/>
      <c r="I2549" s="76"/>
      <c r="J2549" s="67"/>
      <c r="K2549" s="7" t="s">
        <v>817</v>
      </c>
      <c r="L2549" s="77"/>
      <c r="M2549" s="79"/>
      <c r="N2549" s="1"/>
      <c r="O2549" s="1"/>
      <c r="P2549" s="1"/>
      <c r="Q2549" s="1"/>
      <c r="R2549" s="1"/>
      <c r="S2549" s="1"/>
      <c r="T2549" s="1"/>
      <c r="U2549" s="1"/>
      <c r="V2549" s="1"/>
      <c r="W2549" s="1"/>
      <c r="X2549" s="1"/>
      <c r="Y2549" s="1"/>
      <c r="Z2549" s="1"/>
      <c r="AA2549" s="1"/>
      <c r="AB2549" s="1"/>
      <c r="AC2549" s="1"/>
      <c r="AD2549" s="1"/>
      <c r="AE2549" s="1"/>
      <c r="AF2549" s="1"/>
      <c r="AG2549" s="1"/>
      <c r="AH2549" s="1"/>
    </row>
    <row r="2550" ht="12.75" hidden="1" customHeight="1" outlineLevel="1">
      <c r="A2550" s="17">
        <v>41446.0</v>
      </c>
      <c r="B2550" s="1"/>
      <c r="C2550" s="1" t="s">
        <v>433</v>
      </c>
      <c r="D2550" s="74"/>
      <c r="E2550" s="67"/>
      <c r="F2550" s="75"/>
      <c r="G2550" s="67"/>
      <c r="H2550" s="68"/>
      <c r="I2550" s="76"/>
      <c r="J2550" s="67"/>
      <c r="K2550" s="7" t="s">
        <v>434</v>
      </c>
      <c r="L2550" s="77"/>
      <c r="M2550" s="79"/>
      <c r="N2550" s="1"/>
      <c r="O2550" s="1"/>
      <c r="P2550" s="1"/>
      <c r="Q2550" s="1"/>
      <c r="R2550" s="1"/>
      <c r="S2550" s="1"/>
      <c r="T2550" s="1"/>
      <c r="U2550" s="1"/>
      <c r="V2550" s="1"/>
      <c r="W2550" s="1"/>
      <c r="X2550" s="1"/>
      <c r="Y2550" s="1"/>
      <c r="Z2550" s="1"/>
      <c r="AA2550" s="1"/>
      <c r="AB2550" s="1"/>
      <c r="AC2550" s="1"/>
      <c r="AD2550" s="1"/>
      <c r="AE2550" s="1"/>
      <c r="AF2550" s="1"/>
      <c r="AG2550" s="1"/>
      <c r="AH2550" s="1"/>
    </row>
    <row r="2551" ht="12.75" hidden="1" customHeight="1" outlineLevel="1">
      <c r="A2551" s="17">
        <v>41446.0</v>
      </c>
      <c r="B2551" s="1"/>
      <c r="C2551" s="1" t="s">
        <v>435</v>
      </c>
      <c r="D2551" s="74"/>
      <c r="E2551" s="67"/>
      <c r="F2551" s="75"/>
      <c r="G2551" s="67"/>
      <c r="H2551" s="68"/>
      <c r="I2551" s="76"/>
      <c r="J2551" s="67"/>
      <c r="K2551" s="7" t="s">
        <v>818</v>
      </c>
      <c r="L2551" s="77"/>
      <c r="M2551" s="79"/>
      <c r="N2551" s="1"/>
      <c r="O2551" s="1"/>
      <c r="P2551" s="1"/>
      <c r="Q2551" s="1"/>
      <c r="R2551" s="1"/>
      <c r="S2551" s="1"/>
      <c r="T2551" s="1"/>
      <c r="U2551" s="1"/>
      <c r="V2551" s="1"/>
      <c r="W2551" s="1"/>
      <c r="X2551" s="1"/>
      <c r="Y2551" s="1"/>
      <c r="Z2551" s="1"/>
      <c r="AA2551" s="1"/>
      <c r="AB2551" s="1"/>
      <c r="AC2551" s="1"/>
      <c r="AD2551" s="1"/>
      <c r="AE2551" s="1"/>
      <c r="AF2551" s="1"/>
      <c r="AG2551" s="1"/>
      <c r="AH2551" s="1"/>
    </row>
    <row r="2552" ht="12.75" hidden="1" customHeight="1" outlineLevel="1">
      <c r="A2552" s="17">
        <v>41449.0</v>
      </c>
      <c r="B2552" s="1" t="s">
        <v>347</v>
      </c>
      <c r="C2552" s="1" t="s">
        <v>605</v>
      </c>
      <c r="D2552" s="74">
        <v>450.0</v>
      </c>
      <c r="E2552" s="67">
        <v>57.634</v>
      </c>
      <c r="F2552" s="75">
        <v>0.43605324074074076</v>
      </c>
      <c r="G2552" s="67" t="s">
        <v>453</v>
      </c>
      <c r="H2552" s="68">
        <v>2.2</v>
      </c>
      <c r="I2552" s="76"/>
      <c r="J2552" s="67">
        <f t="shared" ref="J2552:J2563" si="181">IF(B2552="SLD",D2552*E2552,-D2552*E2552)-H2552</f>
        <v>25933.1</v>
      </c>
      <c r="K2552" s="7"/>
      <c r="L2552" s="70"/>
      <c r="M2552" s="79"/>
      <c r="N2552" s="1"/>
      <c r="O2552" s="1"/>
      <c r="P2552" s="1"/>
      <c r="Q2552" s="1"/>
      <c r="R2552" s="1"/>
      <c r="S2552" s="1"/>
      <c r="T2552" s="1"/>
      <c r="U2552" s="1"/>
      <c r="V2552" s="1"/>
      <c r="W2552" s="1"/>
      <c r="X2552" s="1"/>
      <c r="Y2552" s="1"/>
      <c r="Z2552" s="1"/>
      <c r="AA2552" s="1"/>
      <c r="AB2552" s="1"/>
      <c r="AC2552" s="1"/>
      <c r="AD2552" s="1"/>
      <c r="AE2552" s="1"/>
      <c r="AF2552" s="1"/>
      <c r="AG2552" s="1"/>
      <c r="AH2552" s="1"/>
    </row>
    <row r="2553" ht="12.75" hidden="1" customHeight="1" outlineLevel="1">
      <c r="A2553" s="17">
        <v>41449.0</v>
      </c>
      <c r="B2553" s="1" t="s">
        <v>347</v>
      </c>
      <c r="C2553" s="1" t="s">
        <v>857</v>
      </c>
      <c r="D2553" s="74">
        <v>3300.0</v>
      </c>
      <c r="E2553" s="67">
        <v>4.85</v>
      </c>
      <c r="F2553" s="75">
        <v>0.4365509259259259</v>
      </c>
      <c r="G2553" s="67" t="s">
        <v>453</v>
      </c>
      <c r="H2553" s="68">
        <v>13.6</v>
      </c>
      <c r="I2553" s="76"/>
      <c r="J2553" s="67">
        <f t="shared" si="181"/>
        <v>15991.4</v>
      </c>
      <c r="K2553" s="7"/>
      <c r="L2553" s="70"/>
      <c r="M2553" s="79"/>
      <c r="N2553" s="1"/>
      <c r="O2553" s="1"/>
      <c r="P2553" s="1"/>
      <c r="Q2553" s="1"/>
      <c r="R2553" s="1"/>
      <c r="S2553" s="1"/>
      <c r="T2553" s="1"/>
      <c r="U2553" s="1"/>
      <c r="V2553" s="1"/>
      <c r="W2553" s="1"/>
      <c r="X2553" s="1"/>
      <c r="Y2553" s="1"/>
      <c r="Z2553" s="1"/>
      <c r="AA2553" s="1"/>
      <c r="AB2553" s="1"/>
      <c r="AC2553" s="1"/>
      <c r="AD2553" s="1"/>
      <c r="AE2553" s="1"/>
      <c r="AF2553" s="1"/>
      <c r="AG2553" s="1"/>
      <c r="AH2553" s="1"/>
    </row>
    <row r="2554" ht="12.75" hidden="1" customHeight="1" outlineLevel="1">
      <c r="A2554" s="17">
        <v>41449.0</v>
      </c>
      <c r="B2554" s="1" t="s">
        <v>347</v>
      </c>
      <c r="C2554" s="1" t="s">
        <v>1100</v>
      </c>
      <c r="D2554" s="74">
        <v>3300.0</v>
      </c>
      <c r="E2554" s="67">
        <v>6.167</v>
      </c>
      <c r="F2554" s="75">
        <v>0.43828703703703703</v>
      </c>
      <c r="G2554" s="67" t="s">
        <v>453</v>
      </c>
      <c r="H2554" s="68">
        <v>13.9</v>
      </c>
      <c r="I2554" s="76"/>
      <c r="J2554" s="67">
        <f t="shared" si="181"/>
        <v>20337.2</v>
      </c>
      <c r="K2554" s="7"/>
      <c r="L2554" s="70"/>
      <c r="M2554" s="79"/>
      <c r="N2554" s="1"/>
      <c r="O2554" s="1"/>
      <c r="P2554" s="1"/>
      <c r="Q2554" s="1"/>
      <c r="R2554" s="1"/>
      <c r="S2554" s="1"/>
      <c r="T2554" s="1"/>
      <c r="U2554" s="1"/>
      <c r="V2554" s="1"/>
      <c r="W2554" s="1"/>
      <c r="X2554" s="1"/>
      <c r="Y2554" s="1"/>
      <c r="Z2554" s="1"/>
      <c r="AA2554" s="1"/>
      <c r="AB2554" s="1"/>
      <c r="AC2554" s="1"/>
      <c r="AD2554" s="1"/>
      <c r="AE2554" s="1"/>
      <c r="AF2554" s="1"/>
      <c r="AG2554" s="1"/>
      <c r="AH2554" s="1"/>
    </row>
    <row r="2555" ht="12.75" hidden="1" customHeight="1" outlineLevel="1">
      <c r="A2555" s="17">
        <v>41449.0</v>
      </c>
      <c r="B2555" s="1" t="s">
        <v>347</v>
      </c>
      <c r="C2555" s="1" t="s">
        <v>344</v>
      </c>
      <c r="D2555" s="74">
        <v>200.0</v>
      </c>
      <c r="E2555" s="67">
        <v>41.76</v>
      </c>
      <c r="F2555" s="75">
        <v>0.44111111111111106</v>
      </c>
      <c r="G2555" s="67" t="s">
        <v>453</v>
      </c>
      <c r="H2555" s="68">
        <v>1.0</v>
      </c>
      <c r="I2555" s="76"/>
      <c r="J2555" s="67">
        <f t="shared" si="181"/>
        <v>8351</v>
      </c>
      <c r="K2555" s="7"/>
      <c r="L2555" s="70"/>
      <c r="M2555" s="79"/>
      <c r="N2555" s="1"/>
      <c r="O2555" s="1"/>
      <c r="P2555" s="1"/>
      <c r="Q2555" s="1"/>
      <c r="R2555" s="1"/>
      <c r="S2555" s="1"/>
      <c r="T2555" s="1"/>
      <c r="U2555" s="1"/>
      <c r="V2555" s="1"/>
      <c r="W2555" s="1"/>
      <c r="X2555" s="1"/>
      <c r="Y2555" s="1"/>
      <c r="Z2555" s="1"/>
      <c r="AA2555" s="1"/>
      <c r="AB2555" s="1"/>
      <c r="AC2555" s="1"/>
      <c r="AD2555" s="1"/>
      <c r="AE2555" s="1"/>
      <c r="AF2555" s="1"/>
      <c r="AG2555" s="1"/>
      <c r="AH2555" s="1"/>
    </row>
    <row r="2556" ht="12.75" hidden="1" customHeight="1" outlineLevel="1">
      <c r="A2556" s="17">
        <v>41449.0</v>
      </c>
      <c r="B2556" s="1" t="s">
        <v>347</v>
      </c>
      <c r="C2556" s="1" t="s">
        <v>1093</v>
      </c>
      <c r="D2556" s="74">
        <v>400.0</v>
      </c>
      <c r="E2556" s="67">
        <v>41.072</v>
      </c>
      <c r="F2556" s="75">
        <v>0.44324074074074077</v>
      </c>
      <c r="G2556" s="67" t="s">
        <v>453</v>
      </c>
      <c r="H2556" s="68">
        <v>1.7</v>
      </c>
      <c r="I2556" s="76"/>
      <c r="J2556" s="67">
        <f t="shared" si="181"/>
        <v>16427.1</v>
      </c>
      <c r="K2556" s="7"/>
      <c r="L2556" s="70"/>
      <c r="M2556" s="79"/>
      <c r="N2556" s="1"/>
      <c r="O2556" s="1"/>
      <c r="P2556" s="1"/>
      <c r="Q2556" s="1"/>
      <c r="R2556" s="1"/>
      <c r="S2556" s="1"/>
      <c r="T2556" s="1"/>
      <c r="U2556" s="1"/>
      <c r="V2556" s="1"/>
      <c r="W2556" s="1"/>
      <c r="X2556" s="1"/>
      <c r="Y2556" s="1"/>
      <c r="Z2556" s="1"/>
      <c r="AA2556" s="1"/>
      <c r="AB2556" s="1"/>
      <c r="AC2556" s="1"/>
      <c r="AD2556" s="1"/>
      <c r="AE2556" s="1"/>
      <c r="AF2556" s="1"/>
      <c r="AG2556" s="1"/>
      <c r="AH2556" s="1"/>
    </row>
    <row r="2557" ht="12.75" hidden="1" customHeight="1" outlineLevel="1">
      <c r="A2557" s="17">
        <v>41449.0</v>
      </c>
      <c r="B2557" s="1" t="s">
        <v>347</v>
      </c>
      <c r="C2557" s="1" t="s">
        <v>881</v>
      </c>
      <c r="D2557" s="74">
        <v>200.0</v>
      </c>
      <c r="E2557" s="67">
        <v>27.302</v>
      </c>
      <c r="F2557" s="75">
        <v>0.4650462962962963</v>
      </c>
      <c r="G2557" s="67" t="s">
        <v>453</v>
      </c>
      <c r="H2557" s="68">
        <v>1.0</v>
      </c>
      <c r="I2557" s="76"/>
      <c r="J2557" s="67">
        <f t="shared" si="181"/>
        <v>5459.4</v>
      </c>
      <c r="K2557" s="7"/>
      <c r="L2557" s="70"/>
      <c r="M2557" s="79"/>
      <c r="N2557" s="1"/>
      <c r="O2557" s="1"/>
      <c r="P2557" s="1"/>
      <c r="Q2557" s="1"/>
      <c r="R2557" s="1"/>
      <c r="S2557" s="1"/>
      <c r="T2557" s="1"/>
      <c r="U2557" s="1"/>
      <c r="V2557" s="1"/>
      <c r="W2557" s="1"/>
      <c r="X2557" s="1"/>
      <c r="Y2557" s="1"/>
      <c r="Z2557" s="1"/>
      <c r="AA2557" s="1"/>
      <c r="AB2557" s="1"/>
      <c r="AC2557" s="1"/>
      <c r="AD2557" s="1"/>
      <c r="AE2557" s="1"/>
      <c r="AF2557" s="1"/>
      <c r="AG2557" s="1"/>
      <c r="AH2557" s="1"/>
    </row>
    <row r="2558" ht="12.75" hidden="1" customHeight="1" outlineLevel="1">
      <c r="A2558" s="17">
        <v>41449.0</v>
      </c>
      <c r="B2558" s="1" t="s">
        <v>347</v>
      </c>
      <c r="C2558" s="1" t="s">
        <v>1073</v>
      </c>
      <c r="D2558" s="74">
        <v>200.0</v>
      </c>
      <c r="E2558" s="67">
        <v>20.732</v>
      </c>
      <c r="F2558" s="75">
        <v>0.4714930555555556</v>
      </c>
      <c r="G2558" s="67" t="s">
        <v>453</v>
      </c>
      <c r="H2558" s="68">
        <v>1.0</v>
      </c>
      <c r="I2558" s="76"/>
      <c r="J2558" s="67">
        <f t="shared" si="181"/>
        <v>4145.4</v>
      </c>
      <c r="K2558" s="7"/>
      <c r="L2558" s="70"/>
      <c r="M2558" s="79"/>
      <c r="N2558" s="1"/>
      <c r="O2558" s="1"/>
      <c r="P2558" s="1"/>
      <c r="Q2558" s="1"/>
      <c r="R2558" s="1"/>
      <c r="S2558" s="1"/>
      <c r="T2558" s="1"/>
      <c r="U2558" s="1"/>
      <c r="V2558" s="1"/>
      <c r="W2558" s="1"/>
      <c r="X2558" s="1"/>
      <c r="Y2558" s="1"/>
      <c r="Z2558" s="1"/>
      <c r="AA2558" s="1"/>
      <c r="AB2558" s="1"/>
      <c r="AC2558" s="1"/>
      <c r="AD2558" s="1"/>
      <c r="AE2558" s="1"/>
      <c r="AF2558" s="1"/>
      <c r="AG2558" s="1"/>
      <c r="AH2558" s="1"/>
    </row>
    <row r="2559" ht="12.75" hidden="1" customHeight="1" outlineLevel="1">
      <c r="A2559" s="17">
        <v>41449.0</v>
      </c>
      <c r="B2559" s="1" t="s">
        <v>347</v>
      </c>
      <c r="C2559" s="1" t="s">
        <v>1073</v>
      </c>
      <c r="D2559" s="74">
        <v>300.0</v>
      </c>
      <c r="E2559" s="67">
        <v>20.73</v>
      </c>
      <c r="F2559" s="75">
        <v>0.48082175925925924</v>
      </c>
      <c r="G2559" s="67" t="s">
        <v>453</v>
      </c>
      <c r="H2559" s="68">
        <v>1.2</v>
      </c>
      <c r="I2559" s="76"/>
      <c r="J2559" s="67">
        <f t="shared" si="181"/>
        <v>6217.8</v>
      </c>
      <c r="K2559" s="7"/>
      <c r="L2559" s="70"/>
      <c r="M2559" s="79"/>
      <c r="N2559" s="1"/>
      <c r="O2559" s="1"/>
      <c r="P2559" s="1"/>
      <c r="Q2559" s="1"/>
      <c r="R2559" s="1"/>
      <c r="S2559" s="1"/>
      <c r="T2559" s="1"/>
      <c r="U2559" s="1"/>
      <c r="V2559" s="1"/>
      <c r="W2559" s="1"/>
      <c r="X2559" s="1"/>
      <c r="Y2559" s="1"/>
      <c r="Z2559" s="1"/>
      <c r="AA2559" s="1"/>
      <c r="AB2559" s="1"/>
      <c r="AC2559" s="1"/>
      <c r="AD2559" s="1"/>
      <c r="AE2559" s="1"/>
      <c r="AF2559" s="1"/>
      <c r="AG2559" s="1"/>
      <c r="AH2559" s="1"/>
    </row>
    <row r="2560" ht="12.75" hidden="1" customHeight="1" outlineLevel="1">
      <c r="A2560" s="17">
        <v>41449.0</v>
      </c>
      <c r="B2560" s="1" t="s">
        <v>347</v>
      </c>
      <c r="C2560" s="1" t="s">
        <v>1073</v>
      </c>
      <c r="D2560" s="74">
        <v>500.0</v>
      </c>
      <c r="E2560" s="67">
        <v>20.715</v>
      </c>
      <c r="F2560" s="75">
        <v>0.48281250000000003</v>
      </c>
      <c r="G2560" s="67" t="s">
        <v>453</v>
      </c>
      <c r="H2560" s="68">
        <v>2.3</v>
      </c>
      <c r="I2560" s="76"/>
      <c r="J2560" s="67">
        <f t="shared" si="181"/>
        <v>10355.2</v>
      </c>
      <c r="K2560" s="7"/>
      <c r="L2560" s="70"/>
      <c r="M2560" s="79"/>
      <c r="N2560" s="1"/>
      <c r="O2560" s="1"/>
      <c r="P2560" s="1"/>
      <c r="Q2560" s="1"/>
      <c r="R2560" s="1"/>
      <c r="S2560" s="1"/>
      <c r="T2560" s="1"/>
      <c r="U2560" s="1"/>
      <c r="V2560" s="1"/>
      <c r="W2560" s="1"/>
      <c r="X2560" s="1"/>
      <c r="Y2560" s="1"/>
      <c r="Z2560" s="1"/>
      <c r="AA2560" s="1"/>
      <c r="AB2560" s="1"/>
      <c r="AC2560" s="1"/>
      <c r="AD2560" s="1"/>
      <c r="AE2560" s="1"/>
      <c r="AF2560" s="1"/>
      <c r="AG2560" s="1"/>
      <c r="AH2560" s="1"/>
    </row>
    <row r="2561" ht="12.75" hidden="1" customHeight="1" outlineLevel="1">
      <c r="A2561" s="17">
        <v>41449.0</v>
      </c>
      <c r="B2561" s="1" t="s">
        <v>347</v>
      </c>
      <c r="C2561" s="1" t="s">
        <v>881</v>
      </c>
      <c r="D2561" s="74">
        <v>500.0</v>
      </c>
      <c r="E2561" s="67">
        <v>27.4</v>
      </c>
      <c r="F2561" s="75">
        <v>0.5143402777777778</v>
      </c>
      <c r="G2561" s="67" t="s">
        <v>453</v>
      </c>
      <c r="H2561" s="68">
        <v>2.0</v>
      </c>
      <c r="I2561" s="76"/>
      <c r="J2561" s="67">
        <f t="shared" si="181"/>
        <v>13698</v>
      </c>
      <c r="K2561" s="7"/>
      <c r="L2561" s="70"/>
      <c r="M2561" s="79"/>
      <c r="N2561" s="1"/>
      <c r="O2561" s="1"/>
      <c r="P2561" s="1"/>
      <c r="Q2561" s="1"/>
      <c r="R2561" s="1"/>
      <c r="S2561" s="1"/>
      <c r="T2561" s="1"/>
      <c r="U2561" s="1"/>
      <c r="V2561" s="1"/>
      <c r="W2561" s="1"/>
      <c r="X2561" s="1"/>
      <c r="Y2561" s="1"/>
      <c r="Z2561" s="1"/>
      <c r="AA2561" s="1"/>
      <c r="AB2561" s="1"/>
      <c r="AC2561" s="1"/>
      <c r="AD2561" s="1"/>
      <c r="AE2561" s="1"/>
      <c r="AF2561" s="1"/>
      <c r="AG2561" s="1"/>
      <c r="AH2561" s="1"/>
    </row>
    <row r="2562" ht="12.75" hidden="1" customHeight="1" outlineLevel="1">
      <c r="A2562" s="17">
        <v>41449.0</v>
      </c>
      <c r="B2562" s="1" t="s">
        <v>347</v>
      </c>
      <c r="C2562" s="1" t="s">
        <v>881</v>
      </c>
      <c r="D2562" s="74">
        <v>500.0</v>
      </c>
      <c r="E2562" s="67">
        <v>28.27</v>
      </c>
      <c r="F2562" s="75">
        <v>0.613912037037037</v>
      </c>
      <c r="G2562" s="67" t="s">
        <v>453</v>
      </c>
      <c r="H2562" s="68">
        <v>2.0</v>
      </c>
      <c r="I2562" s="76"/>
      <c r="J2562" s="67">
        <f t="shared" si="181"/>
        <v>14133</v>
      </c>
      <c r="K2562" s="7"/>
      <c r="L2562" s="70"/>
      <c r="M2562" s="79"/>
      <c r="N2562" s="1"/>
      <c r="O2562" s="1"/>
      <c r="P2562" s="1"/>
      <c r="Q2562" s="1"/>
      <c r="R2562" s="1"/>
      <c r="S2562" s="1"/>
      <c r="T2562" s="1"/>
      <c r="U2562" s="1"/>
      <c r="V2562" s="1"/>
      <c r="W2562" s="1"/>
      <c r="X2562" s="1"/>
      <c r="Y2562" s="1"/>
      <c r="Z2562" s="1"/>
      <c r="AA2562" s="1"/>
      <c r="AB2562" s="1"/>
      <c r="AC2562" s="1"/>
      <c r="AD2562" s="1"/>
      <c r="AE2562" s="1"/>
      <c r="AF2562" s="1"/>
      <c r="AG2562" s="1"/>
      <c r="AH2562" s="1"/>
    </row>
    <row r="2563" ht="12.75" hidden="1" customHeight="1" outlineLevel="1">
      <c r="A2563" s="17">
        <v>41449.0</v>
      </c>
      <c r="B2563" s="1" t="s">
        <v>347</v>
      </c>
      <c r="C2563" s="1" t="s">
        <v>881</v>
      </c>
      <c r="D2563" s="74">
        <v>500.0</v>
      </c>
      <c r="E2563" s="67">
        <v>28.2</v>
      </c>
      <c r="F2563" s="75">
        <v>0.6313541666666667</v>
      </c>
      <c r="G2563" s="67" t="s">
        <v>453</v>
      </c>
      <c r="H2563" s="68">
        <v>2.0</v>
      </c>
      <c r="I2563" s="76"/>
      <c r="J2563" s="67">
        <f t="shared" si="181"/>
        <v>14098</v>
      </c>
      <c r="K2563" s="7"/>
      <c r="L2563" s="70"/>
      <c r="M2563" s="79"/>
      <c r="N2563" s="1"/>
      <c r="O2563" s="1"/>
      <c r="P2563" s="1"/>
      <c r="Q2563" s="1"/>
      <c r="R2563" s="1"/>
      <c r="S2563" s="1"/>
      <c r="T2563" s="1"/>
      <c r="U2563" s="1"/>
      <c r="V2563" s="1"/>
      <c r="W2563" s="1"/>
      <c r="X2563" s="1"/>
      <c r="Y2563" s="1"/>
      <c r="Z2563" s="1"/>
      <c r="AA2563" s="1"/>
      <c r="AB2563" s="1"/>
      <c r="AC2563" s="1"/>
      <c r="AD2563" s="1"/>
      <c r="AE2563" s="1"/>
      <c r="AF2563" s="1"/>
      <c r="AG2563" s="1"/>
      <c r="AH2563" s="1"/>
    </row>
    <row r="2564" ht="12.75" hidden="1" customHeight="1" outlineLevel="1">
      <c r="A2564" s="17">
        <v>41449.0</v>
      </c>
      <c r="B2564" s="1"/>
      <c r="C2564" s="1" t="s">
        <v>339</v>
      </c>
      <c r="D2564" s="74"/>
      <c r="E2564" s="67"/>
      <c r="F2564" s="75"/>
      <c r="G2564" s="67"/>
      <c r="H2564" s="68"/>
      <c r="I2564" s="76"/>
      <c r="J2564" s="67"/>
      <c r="K2564" s="7" t="s">
        <v>1101</v>
      </c>
      <c r="L2564" s="77"/>
      <c r="M2564" s="79"/>
      <c r="N2564" s="1"/>
      <c r="O2564" s="1"/>
      <c r="P2564" s="1"/>
      <c r="Q2564" s="1"/>
      <c r="R2564" s="1"/>
      <c r="S2564" s="1"/>
      <c r="T2564" s="1"/>
      <c r="U2564" s="1"/>
      <c r="V2564" s="1"/>
      <c r="W2564" s="1"/>
      <c r="X2564" s="1"/>
      <c r="Y2564" s="1"/>
      <c r="Z2564" s="1"/>
      <c r="AA2564" s="1"/>
      <c r="AB2564" s="1"/>
      <c r="AC2564" s="1"/>
      <c r="AD2564" s="1"/>
      <c r="AE2564" s="1"/>
      <c r="AF2564" s="1"/>
      <c r="AG2564" s="1"/>
      <c r="AH2564" s="1"/>
    </row>
    <row r="2565" ht="12.75" hidden="1" customHeight="1" outlineLevel="1">
      <c r="A2565" s="17">
        <v>41449.0</v>
      </c>
      <c r="B2565" s="1"/>
      <c r="C2565" s="1" t="s">
        <v>429</v>
      </c>
      <c r="D2565" s="74"/>
      <c r="E2565" s="67"/>
      <c r="F2565" s="75"/>
      <c r="G2565" s="67"/>
      <c r="H2565" s="68"/>
      <c r="I2565" s="76"/>
      <c r="J2565" s="67"/>
      <c r="K2565" s="7" t="s">
        <v>1102</v>
      </c>
      <c r="L2565" s="77"/>
      <c r="M2565" s="79"/>
      <c r="N2565" s="1"/>
      <c r="O2565" s="1"/>
      <c r="P2565" s="1"/>
      <c r="Q2565" s="1"/>
      <c r="R2565" s="1"/>
      <c r="S2565" s="1"/>
      <c r="T2565" s="1"/>
      <c r="U2565" s="1"/>
      <c r="V2565" s="1"/>
      <c r="W2565" s="1"/>
      <c r="X2565" s="1"/>
      <c r="Y2565" s="1"/>
      <c r="Z2565" s="1"/>
      <c r="AA2565" s="1"/>
      <c r="AB2565" s="1"/>
      <c r="AC2565" s="1"/>
      <c r="AD2565" s="1"/>
      <c r="AE2565" s="1"/>
      <c r="AF2565" s="1"/>
      <c r="AG2565" s="1"/>
      <c r="AH2565" s="1"/>
    </row>
    <row r="2566" ht="12.75" hidden="1" customHeight="1" outlineLevel="1">
      <c r="A2566" s="17">
        <v>41449.0</v>
      </c>
      <c r="B2566" s="1"/>
      <c r="C2566" s="1" t="s">
        <v>431</v>
      </c>
      <c r="D2566" s="74"/>
      <c r="E2566" s="67"/>
      <c r="F2566" s="75"/>
      <c r="G2566" s="67"/>
      <c r="H2566" s="68"/>
      <c r="I2566" s="76"/>
      <c r="J2566" s="67"/>
      <c r="K2566" s="7" t="s">
        <v>817</v>
      </c>
      <c r="L2566" s="77"/>
      <c r="M2566" s="79"/>
      <c r="N2566" s="1"/>
      <c r="O2566" s="1"/>
      <c r="P2566" s="1"/>
      <c r="Q2566" s="1"/>
      <c r="R2566" s="1"/>
      <c r="S2566" s="1"/>
      <c r="T2566" s="1"/>
      <c r="U2566" s="1"/>
      <c r="V2566" s="1"/>
      <c r="W2566" s="1"/>
      <c r="X2566" s="1"/>
      <c r="Y2566" s="1"/>
      <c r="Z2566" s="1"/>
      <c r="AA2566" s="1"/>
      <c r="AB2566" s="1"/>
      <c r="AC2566" s="1"/>
      <c r="AD2566" s="1"/>
      <c r="AE2566" s="1"/>
      <c r="AF2566" s="1"/>
      <c r="AG2566" s="1"/>
      <c r="AH2566" s="1"/>
    </row>
    <row r="2567" ht="12.75" hidden="1" customHeight="1" outlineLevel="1">
      <c r="A2567" s="17">
        <v>41449.0</v>
      </c>
      <c r="B2567" s="1"/>
      <c r="C2567" s="1" t="s">
        <v>433</v>
      </c>
      <c r="D2567" s="74"/>
      <c r="E2567" s="67"/>
      <c r="F2567" s="75"/>
      <c r="G2567" s="67"/>
      <c r="H2567" s="68"/>
      <c r="I2567" s="76"/>
      <c r="J2567" s="67"/>
      <c r="K2567" s="7" t="s">
        <v>1103</v>
      </c>
      <c r="L2567" s="77"/>
      <c r="M2567" s="79"/>
      <c r="N2567" s="1"/>
      <c r="O2567" s="1"/>
      <c r="P2567" s="1"/>
      <c r="Q2567" s="1"/>
      <c r="R2567" s="1"/>
      <c r="S2567" s="1"/>
      <c r="T2567" s="1"/>
      <c r="U2567" s="1"/>
      <c r="V2567" s="1"/>
      <c r="W2567" s="1"/>
      <c r="X2567" s="1"/>
      <c r="Y2567" s="1"/>
      <c r="Z2567" s="1"/>
      <c r="AA2567" s="1"/>
      <c r="AB2567" s="1"/>
      <c r="AC2567" s="1"/>
      <c r="AD2567" s="1"/>
      <c r="AE2567" s="1"/>
      <c r="AF2567" s="1"/>
      <c r="AG2567" s="1"/>
      <c r="AH2567" s="1"/>
    </row>
    <row r="2568" ht="12.75" hidden="1" customHeight="1" outlineLevel="1">
      <c r="A2568" s="17">
        <v>41449.0</v>
      </c>
      <c r="B2568" s="1"/>
      <c r="C2568" s="1" t="s">
        <v>435</v>
      </c>
      <c r="D2568" s="74"/>
      <c r="E2568" s="67"/>
      <c r="F2568" s="75"/>
      <c r="G2568" s="67"/>
      <c r="H2568" s="68"/>
      <c r="I2568" s="76"/>
      <c r="J2568" s="67"/>
      <c r="K2568" s="7" t="s">
        <v>1104</v>
      </c>
      <c r="L2568" s="77"/>
      <c r="M2568" s="79"/>
      <c r="N2568" s="1"/>
      <c r="O2568" s="1"/>
      <c r="P2568" s="1"/>
      <c r="Q2568" s="1"/>
      <c r="R2568" s="1"/>
      <c r="S2568" s="1"/>
      <c r="T2568" s="1"/>
      <c r="U2568" s="1"/>
      <c r="V2568" s="1"/>
      <c r="W2568" s="1"/>
      <c r="X2568" s="1"/>
      <c r="Y2568" s="1"/>
      <c r="Z2568" s="1"/>
      <c r="AA2568" s="1"/>
      <c r="AB2568" s="1"/>
      <c r="AC2568" s="1"/>
      <c r="AD2568" s="1"/>
      <c r="AE2568" s="1"/>
      <c r="AF2568" s="1"/>
      <c r="AG2568" s="1"/>
      <c r="AH2568" s="1"/>
    </row>
    <row r="2569" ht="12.75" hidden="1" customHeight="1" outlineLevel="1">
      <c r="A2569" s="17">
        <v>41450.0</v>
      </c>
      <c r="B2569" s="1" t="s">
        <v>343</v>
      </c>
      <c r="C2569" s="1" t="s">
        <v>1093</v>
      </c>
      <c r="D2569" s="74">
        <v>400.0</v>
      </c>
      <c r="E2569" s="67">
        <v>40.91</v>
      </c>
      <c r="F2569" s="75">
        <v>0.5277083333333333</v>
      </c>
      <c r="G2569" s="67" t="s">
        <v>453</v>
      </c>
      <c r="H2569" s="68">
        <v>2.0</v>
      </c>
      <c r="I2569" s="76"/>
      <c r="J2569" s="67">
        <f t="shared" ref="J2569:J2570" si="182">IF(B2569="SLD",D2569*E2569,-D2569*E2569)-H2569</f>
        <v>-16366</v>
      </c>
      <c r="K2569" s="7"/>
      <c r="L2569" s="70"/>
      <c r="M2569" s="79"/>
      <c r="N2569" s="1"/>
      <c r="O2569" s="1"/>
      <c r="P2569" s="1"/>
      <c r="Q2569" s="1"/>
      <c r="R2569" s="1"/>
      <c r="S2569" s="1"/>
      <c r="T2569" s="1"/>
      <c r="U2569" s="1"/>
      <c r="V2569" s="1"/>
      <c r="W2569" s="1"/>
      <c r="X2569" s="1"/>
      <c r="Y2569" s="1"/>
      <c r="Z2569" s="1"/>
      <c r="AA2569" s="1"/>
      <c r="AB2569" s="1"/>
      <c r="AC2569" s="1"/>
      <c r="AD2569" s="1"/>
      <c r="AE2569" s="1"/>
      <c r="AF2569" s="1"/>
      <c r="AG2569" s="1"/>
      <c r="AH2569" s="1"/>
    </row>
    <row r="2570" ht="12.75" hidden="1" customHeight="1" outlineLevel="1">
      <c r="A2570" s="17">
        <v>41450.0</v>
      </c>
      <c r="B2570" s="1" t="s">
        <v>347</v>
      </c>
      <c r="C2570" s="1" t="s">
        <v>1093</v>
      </c>
      <c r="D2570" s="74">
        <v>400.0</v>
      </c>
      <c r="E2570" s="67">
        <v>40.45</v>
      </c>
      <c r="F2570" s="75">
        <v>0.6534143518518518</v>
      </c>
      <c r="G2570" s="67" t="s">
        <v>453</v>
      </c>
      <c r="H2570" s="68">
        <v>2.0</v>
      </c>
      <c r="I2570" s="76"/>
      <c r="J2570" s="67">
        <f t="shared" si="182"/>
        <v>16178</v>
      </c>
      <c r="K2570" s="7"/>
      <c r="L2570" s="70"/>
      <c r="M2570" s="79"/>
      <c r="N2570" s="1"/>
      <c r="O2570" s="1"/>
      <c r="P2570" s="1"/>
      <c r="Q2570" s="1"/>
      <c r="R2570" s="1"/>
      <c r="S2570" s="1"/>
      <c r="T2570" s="1"/>
      <c r="U2570" s="1"/>
      <c r="V2570" s="1"/>
      <c r="W2570" s="1"/>
      <c r="X2570" s="1"/>
      <c r="Y2570" s="1"/>
      <c r="Z2570" s="1"/>
      <c r="AA2570" s="1"/>
      <c r="AB2570" s="1"/>
      <c r="AC2570" s="1"/>
      <c r="AD2570" s="1"/>
      <c r="AE2570" s="1"/>
      <c r="AF2570" s="1"/>
      <c r="AG2570" s="1"/>
      <c r="AH2570" s="1"/>
    </row>
    <row r="2571" ht="12.75" hidden="1" customHeight="1" outlineLevel="1">
      <c r="A2571" s="17">
        <v>41450.0</v>
      </c>
      <c r="B2571" s="1"/>
      <c r="C2571" s="1" t="s">
        <v>339</v>
      </c>
      <c r="D2571" s="74"/>
      <c r="E2571" s="67"/>
      <c r="F2571" s="75"/>
      <c r="G2571" s="67"/>
      <c r="H2571" s="68"/>
      <c r="I2571" s="76"/>
      <c r="J2571" s="67"/>
      <c r="K2571" s="7" t="s">
        <v>1105</v>
      </c>
      <c r="L2571" s="77"/>
      <c r="M2571" s="79"/>
      <c r="N2571" s="1"/>
      <c r="O2571" s="1"/>
      <c r="P2571" s="1"/>
      <c r="Q2571" s="1"/>
      <c r="R2571" s="1"/>
      <c r="S2571" s="1"/>
      <c r="T2571" s="1"/>
      <c r="U2571" s="1"/>
      <c r="V2571" s="1"/>
      <c r="W2571" s="1"/>
      <c r="X2571" s="1"/>
      <c r="Y2571" s="1"/>
      <c r="Z2571" s="1"/>
      <c r="AA2571" s="1"/>
      <c r="AB2571" s="1"/>
      <c r="AC2571" s="1"/>
      <c r="AD2571" s="1"/>
      <c r="AE2571" s="1"/>
      <c r="AF2571" s="1"/>
      <c r="AG2571" s="1"/>
      <c r="AH2571" s="1"/>
    </row>
    <row r="2572" ht="12.75" hidden="1" customHeight="1" outlineLevel="1">
      <c r="A2572" s="17">
        <v>41450.0</v>
      </c>
      <c r="B2572" s="1"/>
      <c r="C2572" s="1" t="s">
        <v>429</v>
      </c>
      <c r="D2572" s="74"/>
      <c r="E2572" s="67"/>
      <c r="F2572" s="75"/>
      <c r="G2572" s="67"/>
      <c r="H2572" s="68"/>
      <c r="I2572" s="76"/>
      <c r="J2572" s="67"/>
      <c r="K2572" s="7" t="s">
        <v>1102</v>
      </c>
      <c r="L2572" s="77"/>
      <c r="M2572" s="79"/>
      <c r="N2572" s="1"/>
      <c r="O2572" s="1"/>
      <c r="P2572" s="1"/>
      <c r="Q2572" s="1"/>
      <c r="R2572" s="1"/>
      <c r="S2572" s="1"/>
      <c r="T2572" s="1"/>
      <c r="U2572" s="1"/>
      <c r="V2572" s="1"/>
      <c r="W2572" s="1"/>
      <c r="X2572" s="1"/>
      <c r="Y2572" s="1"/>
      <c r="Z2572" s="1"/>
      <c r="AA2572" s="1"/>
      <c r="AB2572" s="1"/>
      <c r="AC2572" s="1"/>
      <c r="AD2572" s="1"/>
      <c r="AE2572" s="1"/>
      <c r="AF2572" s="1"/>
      <c r="AG2572" s="1"/>
      <c r="AH2572" s="1"/>
    </row>
    <row r="2573" ht="12.75" hidden="1" customHeight="1" outlineLevel="1">
      <c r="A2573" s="17">
        <v>41450.0</v>
      </c>
      <c r="B2573" s="1"/>
      <c r="C2573" s="1" t="s">
        <v>431</v>
      </c>
      <c r="D2573" s="74"/>
      <c r="E2573" s="67"/>
      <c r="F2573" s="75"/>
      <c r="G2573" s="67"/>
      <c r="H2573" s="68"/>
      <c r="I2573" s="76"/>
      <c r="J2573" s="67"/>
      <c r="K2573" s="7" t="s">
        <v>817</v>
      </c>
      <c r="L2573" s="77"/>
      <c r="M2573" s="79"/>
      <c r="N2573" s="1"/>
      <c r="O2573" s="1"/>
      <c r="P2573" s="1"/>
      <c r="Q2573" s="1"/>
      <c r="R2573" s="1"/>
      <c r="S2573" s="1"/>
      <c r="T2573" s="1"/>
      <c r="U2573" s="1"/>
      <c r="V2573" s="1"/>
      <c r="W2573" s="1"/>
      <c r="X2573" s="1"/>
      <c r="Y2573" s="1"/>
      <c r="Z2573" s="1"/>
      <c r="AA2573" s="1"/>
      <c r="AB2573" s="1"/>
      <c r="AC2573" s="1"/>
      <c r="AD2573" s="1"/>
      <c r="AE2573" s="1"/>
      <c r="AF2573" s="1"/>
      <c r="AG2573" s="1"/>
      <c r="AH2573" s="1"/>
    </row>
    <row r="2574" ht="12.75" hidden="1" customHeight="1" outlineLevel="1">
      <c r="A2574" s="17">
        <v>41450.0</v>
      </c>
      <c r="B2574" s="1"/>
      <c r="C2574" s="1" t="s">
        <v>433</v>
      </c>
      <c r="D2574" s="74"/>
      <c r="E2574" s="67"/>
      <c r="F2574" s="75"/>
      <c r="G2574" s="67"/>
      <c r="H2574" s="68"/>
      <c r="I2574" s="76"/>
      <c r="J2574" s="67"/>
      <c r="K2574" s="7" t="s">
        <v>1103</v>
      </c>
      <c r="L2574" s="77"/>
      <c r="M2574" s="79"/>
      <c r="N2574" s="1"/>
      <c r="O2574" s="1"/>
      <c r="P2574" s="1"/>
      <c r="Q2574" s="1"/>
      <c r="R2574" s="1"/>
      <c r="S2574" s="1"/>
      <c r="T2574" s="1"/>
      <c r="U2574" s="1"/>
      <c r="V2574" s="1"/>
      <c r="W2574" s="1"/>
      <c r="X2574" s="1"/>
      <c r="Y2574" s="1"/>
      <c r="Z2574" s="1"/>
      <c r="AA2574" s="1"/>
      <c r="AB2574" s="1"/>
      <c r="AC2574" s="1"/>
      <c r="AD2574" s="1"/>
      <c r="AE2574" s="1"/>
      <c r="AF2574" s="1"/>
      <c r="AG2574" s="1"/>
      <c r="AH2574" s="1"/>
    </row>
    <row r="2575" ht="12.75" hidden="1" customHeight="1" outlineLevel="1">
      <c r="A2575" s="17">
        <v>41450.0</v>
      </c>
      <c r="B2575" s="1"/>
      <c r="C2575" s="1" t="s">
        <v>435</v>
      </c>
      <c r="D2575" s="74"/>
      <c r="E2575" s="67"/>
      <c r="F2575" s="75"/>
      <c r="G2575" s="67"/>
      <c r="H2575" s="68"/>
      <c r="I2575" s="76"/>
      <c r="J2575" s="67"/>
      <c r="K2575" s="7" t="s">
        <v>1104</v>
      </c>
      <c r="L2575" s="77"/>
      <c r="M2575" s="79"/>
      <c r="N2575" s="1"/>
      <c r="O2575" s="1"/>
      <c r="P2575" s="1"/>
      <c r="Q2575" s="1"/>
      <c r="R2575" s="1"/>
      <c r="S2575" s="1"/>
      <c r="T2575" s="1"/>
      <c r="U2575" s="1"/>
      <c r="V2575" s="1"/>
      <c r="W2575" s="1"/>
      <c r="X2575" s="1"/>
      <c r="Y2575" s="1"/>
      <c r="Z2575" s="1"/>
      <c r="AA2575" s="1"/>
      <c r="AB2575" s="1"/>
      <c r="AC2575" s="1"/>
      <c r="AD2575" s="1"/>
      <c r="AE2575" s="1"/>
      <c r="AF2575" s="1"/>
      <c r="AG2575" s="1"/>
      <c r="AH2575" s="1"/>
    </row>
    <row r="2576" ht="12.75" hidden="1" customHeight="1" outlineLevel="1">
      <c r="A2576" s="17">
        <v>41451.0</v>
      </c>
      <c r="B2576" s="1" t="s">
        <v>343</v>
      </c>
      <c r="C2576" s="1" t="s">
        <v>1093</v>
      </c>
      <c r="D2576" s="74">
        <v>400.0</v>
      </c>
      <c r="E2576" s="67">
        <v>40.76</v>
      </c>
      <c r="F2576" s="75">
        <v>0.5341898148148149</v>
      </c>
      <c r="G2576" s="67" t="s">
        <v>453</v>
      </c>
      <c r="H2576" s="68">
        <v>1.9</v>
      </c>
      <c r="I2576" s="76"/>
      <c r="J2576" s="67">
        <f t="shared" ref="J2576:J2577" si="183">IF(B2576="SLD",D2576*E2576,-D2576*E2576)-H2576</f>
        <v>-16305.9</v>
      </c>
      <c r="K2576" s="7"/>
      <c r="L2576" s="70"/>
      <c r="M2576" s="79"/>
      <c r="N2576" s="1"/>
      <c r="O2576" s="1"/>
      <c r="P2576" s="1"/>
      <c r="Q2576" s="1"/>
      <c r="R2576" s="1"/>
      <c r="S2576" s="1"/>
      <c r="T2576" s="1"/>
      <c r="U2576" s="1"/>
      <c r="V2576" s="1"/>
      <c r="W2576" s="1"/>
      <c r="X2576" s="1"/>
      <c r="Y2576" s="1"/>
      <c r="Z2576" s="1"/>
      <c r="AA2576" s="1"/>
      <c r="AB2576" s="1"/>
      <c r="AC2576" s="1"/>
      <c r="AD2576" s="1"/>
      <c r="AE2576" s="1"/>
      <c r="AF2576" s="1"/>
      <c r="AG2576" s="1"/>
      <c r="AH2576" s="1"/>
    </row>
    <row r="2577" ht="12.75" hidden="1" customHeight="1" outlineLevel="1">
      <c r="A2577" s="17">
        <v>41451.0</v>
      </c>
      <c r="B2577" s="1" t="s">
        <v>343</v>
      </c>
      <c r="C2577" s="1" t="s">
        <v>458</v>
      </c>
      <c r="D2577" s="74">
        <v>400.0</v>
      </c>
      <c r="E2577" s="67">
        <v>49.96</v>
      </c>
      <c r="F2577" s="75">
        <v>0.6570717592592593</v>
      </c>
      <c r="G2577" s="67" t="s">
        <v>453</v>
      </c>
      <c r="H2577" s="68">
        <v>1.6</v>
      </c>
      <c r="I2577" s="76"/>
      <c r="J2577" s="67">
        <f t="shared" si="183"/>
        <v>-19985.6</v>
      </c>
      <c r="K2577" s="7"/>
      <c r="L2577" s="70"/>
      <c r="M2577" s="79"/>
      <c r="N2577" s="1"/>
      <c r="O2577" s="1"/>
      <c r="P2577" s="1"/>
      <c r="Q2577" s="1"/>
      <c r="R2577" s="1"/>
      <c r="S2577" s="1"/>
      <c r="T2577" s="1"/>
      <c r="U2577" s="1"/>
      <c r="V2577" s="1"/>
      <c r="W2577" s="1"/>
      <c r="X2577" s="1"/>
      <c r="Y2577" s="1"/>
      <c r="Z2577" s="1"/>
      <c r="AA2577" s="1"/>
      <c r="AB2577" s="1"/>
      <c r="AC2577" s="1"/>
      <c r="AD2577" s="1"/>
      <c r="AE2577" s="1"/>
      <c r="AF2577" s="1"/>
      <c r="AG2577" s="1"/>
      <c r="AH2577" s="1"/>
    </row>
    <row r="2578" ht="12.75" hidden="1" customHeight="1" outlineLevel="1">
      <c r="A2578" s="17">
        <v>41451.0</v>
      </c>
      <c r="B2578" s="1"/>
      <c r="C2578" s="1" t="s">
        <v>339</v>
      </c>
      <c r="D2578" s="74"/>
      <c r="E2578" s="67"/>
      <c r="F2578" s="75"/>
      <c r="G2578" s="67"/>
      <c r="H2578" s="68"/>
      <c r="I2578" s="76"/>
      <c r="J2578" s="67"/>
      <c r="K2578" s="7" t="s">
        <v>1107</v>
      </c>
      <c r="L2578" s="77"/>
      <c r="M2578" s="79"/>
      <c r="N2578" s="1"/>
      <c r="O2578" s="1"/>
      <c r="P2578" s="1"/>
      <c r="Q2578" s="1"/>
      <c r="R2578" s="1"/>
      <c r="S2578" s="1"/>
      <c r="T2578" s="1"/>
      <c r="U2578" s="1"/>
      <c r="V2578" s="1"/>
      <c r="W2578" s="1"/>
      <c r="X2578" s="1"/>
      <c r="Y2578" s="1"/>
      <c r="Z2578" s="1"/>
      <c r="AA2578" s="1"/>
      <c r="AB2578" s="1"/>
      <c r="AC2578" s="1"/>
      <c r="AD2578" s="1"/>
      <c r="AE2578" s="1"/>
      <c r="AF2578" s="1"/>
      <c r="AG2578" s="1"/>
      <c r="AH2578" s="1"/>
    </row>
    <row r="2579" ht="12.75" hidden="1" customHeight="1" outlineLevel="1">
      <c r="A2579" s="17">
        <v>41451.0</v>
      </c>
      <c r="B2579" s="1"/>
      <c r="C2579" s="1" t="s">
        <v>429</v>
      </c>
      <c r="D2579" s="74"/>
      <c r="E2579" s="67"/>
      <c r="F2579" s="75"/>
      <c r="G2579" s="67"/>
      <c r="H2579" s="68"/>
      <c r="I2579" s="76"/>
      <c r="J2579" s="67"/>
      <c r="K2579" s="7" t="s">
        <v>1102</v>
      </c>
      <c r="L2579" s="77"/>
      <c r="M2579" s="79"/>
      <c r="N2579" s="1"/>
      <c r="O2579" s="1"/>
      <c r="P2579" s="1"/>
      <c r="Q2579" s="1"/>
      <c r="R2579" s="1"/>
      <c r="S2579" s="1"/>
      <c r="T2579" s="1"/>
      <c r="U2579" s="1"/>
      <c r="V2579" s="1"/>
      <c r="W2579" s="1"/>
      <c r="X2579" s="1"/>
      <c r="Y2579" s="1"/>
      <c r="Z2579" s="1"/>
      <c r="AA2579" s="1"/>
      <c r="AB2579" s="1"/>
      <c r="AC2579" s="1"/>
      <c r="AD2579" s="1"/>
      <c r="AE2579" s="1"/>
      <c r="AF2579" s="1"/>
      <c r="AG2579" s="1"/>
      <c r="AH2579" s="1"/>
    </row>
    <row r="2580" ht="12.75" hidden="1" customHeight="1" outlineLevel="1">
      <c r="A2580" s="17">
        <v>41451.0</v>
      </c>
      <c r="B2580" s="1"/>
      <c r="C2580" s="1" t="s">
        <v>431</v>
      </c>
      <c r="D2580" s="74"/>
      <c r="E2580" s="67"/>
      <c r="F2580" s="75"/>
      <c r="G2580" s="67"/>
      <c r="H2580" s="68"/>
      <c r="I2580" s="76"/>
      <c r="J2580" s="67"/>
      <c r="K2580" s="7" t="s">
        <v>817</v>
      </c>
      <c r="L2580" s="77"/>
      <c r="M2580" s="79"/>
      <c r="N2580" s="1"/>
      <c r="O2580" s="1"/>
      <c r="P2580" s="1"/>
      <c r="Q2580" s="1"/>
      <c r="R2580" s="1"/>
      <c r="S2580" s="1"/>
      <c r="T2580" s="1"/>
      <c r="U2580" s="1"/>
      <c r="V2580" s="1"/>
      <c r="W2580" s="1"/>
      <c r="X2580" s="1"/>
      <c r="Y2580" s="1"/>
      <c r="Z2580" s="1"/>
      <c r="AA2580" s="1"/>
      <c r="AB2580" s="1"/>
      <c r="AC2580" s="1"/>
      <c r="AD2580" s="1"/>
      <c r="AE2580" s="1"/>
      <c r="AF2580" s="1"/>
      <c r="AG2580" s="1"/>
      <c r="AH2580" s="1"/>
    </row>
    <row r="2581" ht="12.75" hidden="1" customHeight="1" outlineLevel="1">
      <c r="A2581" s="17">
        <v>41451.0</v>
      </c>
      <c r="B2581" s="1"/>
      <c r="C2581" s="1" t="s">
        <v>433</v>
      </c>
      <c r="D2581" s="74"/>
      <c r="E2581" s="67"/>
      <c r="F2581" s="75"/>
      <c r="G2581" s="67"/>
      <c r="H2581" s="68"/>
      <c r="I2581" s="76"/>
      <c r="J2581" s="67"/>
      <c r="K2581" s="7" t="s">
        <v>1103</v>
      </c>
      <c r="L2581" s="77"/>
      <c r="M2581" s="79"/>
      <c r="N2581" s="1"/>
      <c r="O2581" s="1"/>
      <c r="P2581" s="1"/>
      <c r="Q2581" s="1"/>
      <c r="R2581" s="1"/>
      <c r="S2581" s="1"/>
      <c r="T2581" s="1"/>
      <c r="U2581" s="1"/>
      <c r="V2581" s="1"/>
      <c r="W2581" s="1"/>
      <c r="X2581" s="1"/>
      <c r="Y2581" s="1"/>
      <c r="Z2581" s="1"/>
      <c r="AA2581" s="1"/>
      <c r="AB2581" s="1"/>
      <c r="AC2581" s="1"/>
      <c r="AD2581" s="1"/>
      <c r="AE2581" s="1"/>
      <c r="AF2581" s="1"/>
      <c r="AG2581" s="1"/>
      <c r="AH2581" s="1"/>
    </row>
    <row r="2582" ht="12.75" hidden="1" customHeight="1" outlineLevel="1">
      <c r="A2582" s="17">
        <v>41451.0</v>
      </c>
      <c r="B2582" s="1"/>
      <c r="C2582" s="1" t="s">
        <v>435</v>
      </c>
      <c r="D2582" s="74"/>
      <c r="E2582" s="67"/>
      <c r="F2582" s="75"/>
      <c r="G2582" s="67"/>
      <c r="H2582" s="68"/>
      <c r="I2582" s="76"/>
      <c r="J2582" s="67"/>
      <c r="K2582" s="7" t="s">
        <v>1104</v>
      </c>
      <c r="L2582" s="77"/>
      <c r="M2582" s="79"/>
      <c r="N2582" s="1"/>
      <c r="O2582" s="1"/>
      <c r="P2582" s="1"/>
      <c r="Q2582" s="1"/>
      <c r="R2582" s="1"/>
      <c r="S2582" s="1"/>
      <c r="T2582" s="1"/>
      <c r="U2582" s="1"/>
      <c r="V2582" s="1"/>
      <c r="W2582" s="1"/>
      <c r="X2582" s="1"/>
      <c r="Y2582" s="1"/>
      <c r="Z2582" s="1"/>
      <c r="AA2582" s="1"/>
      <c r="AB2582" s="1"/>
      <c r="AC2582" s="1"/>
      <c r="AD2582" s="1"/>
      <c r="AE2582" s="1"/>
      <c r="AF2582" s="1"/>
      <c r="AG2582" s="1"/>
      <c r="AH2582" s="1"/>
    </row>
    <row r="2583" ht="12.75" hidden="1" customHeight="1" outlineLevel="1">
      <c r="A2583" s="17">
        <v>41452.0</v>
      </c>
      <c r="B2583" s="1" t="s">
        <v>343</v>
      </c>
      <c r="C2583" s="1" t="s">
        <v>1060</v>
      </c>
      <c r="D2583" s="74">
        <v>300.0</v>
      </c>
      <c r="E2583" s="67">
        <v>26.613</v>
      </c>
      <c r="F2583" s="75">
        <v>0.5115046296296296</v>
      </c>
      <c r="G2583" s="67" t="s">
        <v>453</v>
      </c>
      <c r="H2583" s="68">
        <v>2.0</v>
      </c>
      <c r="I2583" s="76"/>
      <c r="J2583" s="67">
        <f>IF(B2583="SLD",D2583*E2583,-D2583*E2583)-H2583</f>
        <v>-7985.9</v>
      </c>
      <c r="K2583" s="7"/>
      <c r="L2583" s="70"/>
      <c r="M2583" s="79"/>
      <c r="N2583" s="1"/>
      <c r="O2583" s="1"/>
      <c r="P2583" s="1"/>
      <c r="Q2583" s="1"/>
      <c r="R2583" s="1"/>
      <c r="S2583" s="1"/>
      <c r="T2583" s="1"/>
      <c r="U2583" s="1"/>
      <c r="V2583" s="1"/>
      <c r="W2583" s="1"/>
      <c r="X2583" s="1"/>
      <c r="Y2583" s="1"/>
      <c r="Z2583" s="1"/>
      <c r="AA2583" s="1"/>
      <c r="AB2583" s="1"/>
      <c r="AC2583" s="1"/>
      <c r="AD2583" s="1"/>
      <c r="AE2583" s="1"/>
      <c r="AF2583" s="1"/>
      <c r="AG2583" s="1"/>
      <c r="AH2583" s="1"/>
    </row>
    <row r="2584" ht="12.75" hidden="1" customHeight="1" outlineLevel="1">
      <c r="A2584" s="17">
        <v>41452.0</v>
      </c>
      <c r="B2584" s="1"/>
      <c r="C2584" s="1" t="s">
        <v>339</v>
      </c>
      <c r="D2584" s="74"/>
      <c r="E2584" s="67"/>
      <c r="F2584" s="75"/>
      <c r="G2584" s="67"/>
      <c r="H2584" s="68"/>
      <c r="I2584" s="76"/>
      <c r="J2584" s="67"/>
      <c r="K2584" s="7" t="s">
        <v>1108</v>
      </c>
      <c r="L2584" s="77"/>
      <c r="M2584" s="79"/>
      <c r="N2584" s="1"/>
      <c r="O2584" s="1"/>
      <c r="P2584" s="1"/>
      <c r="Q2584" s="1"/>
      <c r="R2584" s="1"/>
      <c r="S2584" s="1"/>
      <c r="T2584" s="1"/>
      <c r="U2584" s="1"/>
      <c r="V2584" s="1"/>
      <c r="W2584" s="1"/>
      <c r="X2584" s="1"/>
      <c r="Y2584" s="1"/>
      <c r="Z2584" s="1"/>
      <c r="AA2584" s="1"/>
      <c r="AB2584" s="1"/>
      <c r="AC2584" s="1"/>
      <c r="AD2584" s="1"/>
      <c r="AE2584" s="1"/>
      <c r="AF2584" s="1"/>
      <c r="AG2584" s="1"/>
      <c r="AH2584" s="1"/>
    </row>
    <row r="2585" ht="12.75" hidden="1" customHeight="1" outlineLevel="1">
      <c r="A2585" s="17">
        <v>41452.0</v>
      </c>
      <c r="B2585" s="1"/>
      <c r="C2585" s="1" t="s">
        <v>429</v>
      </c>
      <c r="D2585" s="74"/>
      <c r="E2585" s="67"/>
      <c r="F2585" s="75"/>
      <c r="G2585" s="67"/>
      <c r="H2585" s="68"/>
      <c r="I2585" s="76"/>
      <c r="J2585" s="67"/>
      <c r="K2585" s="7" t="s">
        <v>1102</v>
      </c>
      <c r="L2585" s="77"/>
      <c r="M2585" s="79"/>
      <c r="N2585" s="1"/>
      <c r="O2585" s="1"/>
      <c r="P2585" s="1"/>
      <c r="Q2585" s="1"/>
      <c r="R2585" s="1"/>
      <c r="S2585" s="1"/>
      <c r="T2585" s="1"/>
      <c r="U2585" s="1"/>
      <c r="V2585" s="1"/>
      <c r="W2585" s="1"/>
      <c r="X2585" s="1"/>
      <c r="Y2585" s="1"/>
      <c r="Z2585" s="1"/>
      <c r="AA2585" s="1"/>
      <c r="AB2585" s="1"/>
      <c r="AC2585" s="1"/>
      <c r="AD2585" s="1"/>
      <c r="AE2585" s="1"/>
      <c r="AF2585" s="1"/>
      <c r="AG2585" s="1"/>
      <c r="AH2585" s="1"/>
    </row>
    <row r="2586" ht="12.75" hidden="1" customHeight="1" outlineLevel="1">
      <c r="A2586" s="17">
        <v>41452.0</v>
      </c>
      <c r="B2586" s="1"/>
      <c r="C2586" s="1" t="s">
        <v>431</v>
      </c>
      <c r="D2586" s="74"/>
      <c r="E2586" s="67"/>
      <c r="F2586" s="75"/>
      <c r="G2586" s="67"/>
      <c r="H2586" s="68"/>
      <c r="I2586" s="76"/>
      <c r="J2586" s="67"/>
      <c r="K2586" s="7" t="s">
        <v>817</v>
      </c>
      <c r="L2586" s="77"/>
      <c r="M2586" s="79"/>
      <c r="N2586" s="1"/>
      <c r="O2586" s="1"/>
      <c r="P2586" s="1"/>
      <c r="Q2586" s="1"/>
      <c r="R2586" s="1"/>
      <c r="S2586" s="1"/>
      <c r="T2586" s="1"/>
      <c r="U2586" s="1"/>
      <c r="V2586" s="1"/>
      <c r="W2586" s="1"/>
      <c r="X2586" s="1"/>
      <c r="Y2586" s="1"/>
      <c r="Z2586" s="1"/>
      <c r="AA2586" s="1"/>
      <c r="AB2586" s="1"/>
      <c r="AC2586" s="1"/>
      <c r="AD2586" s="1"/>
      <c r="AE2586" s="1"/>
      <c r="AF2586" s="1"/>
      <c r="AG2586" s="1"/>
      <c r="AH2586" s="1"/>
    </row>
    <row r="2587" ht="12.75" hidden="1" customHeight="1" outlineLevel="1">
      <c r="A2587" s="17">
        <v>41452.0</v>
      </c>
      <c r="B2587" s="1"/>
      <c r="C2587" s="1" t="s">
        <v>433</v>
      </c>
      <c r="D2587" s="74"/>
      <c r="E2587" s="67"/>
      <c r="F2587" s="75"/>
      <c r="G2587" s="67"/>
      <c r="H2587" s="68"/>
      <c r="I2587" s="76"/>
      <c r="J2587" s="67"/>
      <c r="K2587" s="7" t="s">
        <v>1103</v>
      </c>
      <c r="L2587" s="77"/>
      <c r="M2587" s="79"/>
      <c r="N2587" s="1"/>
      <c r="O2587" s="1"/>
      <c r="P2587" s="1"/>
      <c r="Q2587" s="1"/>
      <c r="R2587" s="1"/>
      <c r="S2587" s="1"/>
      <c r="T2587" s="1"/>
      <c r="U2587" s="1"/>
      <c r="V2587" s="1"/>
      <c r="W2587" s="1"/>
      <c r="X2587" s="1"/>
      <c r="Y2587" s="1"/>
      <c r="Z2587" s="1"/>
      <c r="AA2587" s="1"/>
      <c r="AB2587" s="1"/>
      <c r="AC2587" s="1"/>
      <c r="AD2587" s="1"/>
      <c r="AE2587" s="1"/>
      <c r="AF2587" s="1"/>
      <c r="AG2587" s="1"/>
      <c r="AH2587" s="1"/>
    </row>
    <row r="2588" ht="12.75" hidden="1" customHeight="1" outlineLevel="1">
      <c r="A2588" s="17">
        <v>41452.0</v>
      </c>
      <c r="B2588" s="1"/>
      <c r="C2588" s="1" t="s">
        <v>435</v>
      </c>
      <c r="D2588" s="74"/>
      <c r="E2588" s="67"/>
      <c r="F2588" s="75"/>
      <c r="G2588" s="67"/>
      <c r="H2588" s="68"/>
      <c r="I2588" s="76"/>
      <c r="J2588" s="67"/>
      <c r="K2588" s="7" t="s">
        <v>1110</v>
      </c>
      <c r="L2588" s="77"/>
      <c r="M2588" s="79"/>
      <c r="N2588" s="1"/>
      <c r="O2588" s="1"/>
      <c r="P2588" s="1"/>
      <c r="Q2588" s="1"/>
      <c r="R2588" s="1"/>
      <c r="S2588" s="1"/>
      <c r="T2588" s="1"/>
      <c r="U2588" s="1"/>
      <c r="V2588" s="1"/>
      <c r="W2588" s="1"/>
      <c r="X2588" s="1"/>
      <c r="Y2588" s="1"/>
      <c r="Z2588" s="1"/>
      <c r="AA2588" s="1"/>
      <c r="AB2588" s="1"/>
      <c r="AC2588" s="1"/>
      <c r="AD2588" s="1"/>
      <c r="AE2588" s="1"/>
      <c r="AF2588" s="1"/>
      <c r="AG2588" s="1"/>
      <c r="AH2588" s="1"/>
    </row>
    <row r="2589" ht="12.75" hidden="1" customHeight="1" outlineLevel="1">
      <c r="A2589" s="17">
        <v>41453.0</v>
      </c>
      <c r="B2589" s="1"/>
      <c r="C2589" s="1" t="s">
        <v>339</v>
      </c>
      <c r="D2589" s="74"/>
      <c r="E2589" s="67"/>
      <c r="F2589" s="75"/>
      <c r="G2589" s="67"/>
      <c r="H2589" s="68"/>
      <c r="I2589" s="76"/>
      <c r="J2589" s="67"/>
      <c r="K2589" s="7" t="s">
        <v>1111</v>
      </c>
      <c r="L2589" s="77"/>
      <c r="M2589" s="79"/>
      <c r="N2589" s="1"/>
      <c r="O2589" s="1"/>
      <c r="P2589" s="1"/>
      <c r="Q2589" s="1"/>
      <c r="R2589" s="1"/>
      <c r="S2589" s="1"/>
      <c r="T2589" s="1"/>
      <c r="U2589" s="1"/>
      <c r="V2589" s="1"/>
      <c r="W2589" s="1"/>
      <c r="X2589" s="1"/>
      <c r="Y2589" s="1"/>
      <c r="Z2589" s="1"/>
      <c r="AA2589" s="1"/>
      <c r="AB2589" s="1"/>
      <c r="AC2589" s="1"/>
      <c r="AD2589" s="1"/>
      <c r="AE2589" s="1"/>
      <c r="AF2589" s="1"/>
      <c r="AG2589" s="1"/>
      <c r="AH2589" s="1"/>
    </row>
    <row r="2590" ht="12.75" hidden="1" customHeight="1" outlineLevel="1">
      <c r="A2590" s="17">
        <v>41453.0</v>
      </c>
      <c r="B2590" s="1"/>
      <c r="C2590" s="1" t="s">
        <v>429</v>
      </c>
      <c r="D2590" s="74"/>
      <c r="E2590" s="67"/>
      <c r="F2590" s="75"/>
      <c r="G2590" s="67"/>
      <c r="H2590" s="68"/>
      <c r="I2590" s="76"/>
      <c r="J2590" s="67"/>
      <c r="K2590" s="7" t="s">
        <v>1102</v>
      </c>
      <c r="L2590" s="77"/>
      <c r="M2590" s="79"/>
      <c r="N2590" s="1"/>
      <c r="O2590" s="1"/>
      <c r="P2590" s="1"/>
      <c r="Q2590" s="1"/>
      <c r="R2590" s="1"/>
      <c r="S2590" s="1"/>
      <c r="T2590" s="1"/>
      <c r="U2590" s="1"/>
      <c r="V2590" s="1"/>
      <c r="W2590" s="1"/>
      <c r="X2590" s="1"/>
      <c r="Y2590" s="1"/>
      <c r="Z2590" s="1"/>
      <c r="AA2590" s="1"/>
      <c r="AB2590" s="1"/>
      <c r="AC2590" s="1"/>
      <c r="AD2590" s="1"/>
      <c r="AE2590" s="1"/>
      <c r="AF2590" s="1"/>
      <c r="AG2590" s="1"/>
      <c r="AH2590" s="1"/>
    </row>
    <row r="2591" ht="12.75" hidden="1" customHeight="1" outlineLevel="1">
      <c r="A2591" s="17">
        <v>41453.0</v>
      </c>
      <c r="B2591" s="1"/>
      <c r="C2591" s="1" t="s">
        <v>431</v>
      </c>
      <c r="D2591" s="74"/>
      <c r="E2591" s="67"/>
      <c r="F2591" s="75"/>
      <c r="G2591" s="67"/>
      <c r="H2591" s="68"/>
      <c r="I2591" s="76"/>
      <c r="J2591" s="67"/>
      <c r="K2591" s="7" t="s">
        <v>817</v>
      </c>
      <c r="L2591" s="77"/>
      <c r="M2591" s="79"/>
      <c r="N2591" s="1"/>
      <c r="O2591" s="1"/>
      <c r="P2591" s="1"/>
      <c r="Q2591" s="1"/>
      <c r="R2591" s="1"/>
      <c r="S2591" s="1"/>
      <c r="T2591" s="1"/>
      <c r="U2591" s="1"/>
      <c r="V2591" s="1"/>
      <c r="W2591" s="1"/>
      <c r="X2591" s="1"/>
      <c r="Y2591" s="1"/>
      <c r="Z2591" s="1"/>
      <c r="AA2591" s="1"/>
      <c r="AB2591" s="1"/>
      <c r="AC2591" s="1"/>
      <c r="AD2591" s="1"/>
      <c r="AE2591" s="1"/>
      <c r="AF2591" s="1"/>
      <c r="AG2591" s="1"/>
      <c r="AH2591" s="1"/>
    </row>
    <row r="2592" ht="12.75" hidden="1" customHeight="1" outlineLevel="1">
      <c r="A2592" s="17">
        <v>41453.0</v>
      </c>
      <c r="B2592" s="1"/>
      <c r="C2592" s="1" t="s">
        <v>433</v>
      </c>
      <c r="D2592" s="74"/>
      <c r="E2592" s="67"/>
      <c r="F2592" s="75"/>
      <c r="G2592" s="67"/>
      <c r="H2592" s="68"/>
      <c r="I2592" s="76"/>
      <c r="J2592" s="67"/>
      <c r="K2592" s="7" t="s">
        <v>1103</v>
      </c>
      <c r="L2592" s="77"/>
      <c r="M2592" s="79"/>
      <c r="N2592" s="1"/>
      <c r="O2592" s="1"/>
      <c r="P2592" s="1"/>
      <c r="Q2592" s="1"/>
      <c r="R2592" s="1"/>
      <c r="S2592" s="1"/>
      <c r="T2592" s="1"/>
      <c r="U2592" s="1"/>
      <c r="V2592" s="1"/>
      <c r="W2592" s="1"/>
      <c r="X2592" s="1"/>
      <c r="Y2592" s="1"/>
      <c r="Z2592" s="1"/>
      <c r="AA2592" s="1"/>
      <c r="AB2592" s="1"/>
      <c r="AC2592" s="1"/>
      <c r="AD2592" s="1"/>
      <c r="AE2592" s="1"/>
      <c r="AF2592" s="1"/>
      <c r="AG2592" s="1"/>
      <c r="AH2592" s="1"/>
    </row>
    <row r="2593" ht="12.75" hidden="1" customHeight="1" outlineLevel="1">
      <c r="A2593" s="17">
        <v>41453.0</v>
      </c>
      <c r="B2593" s="1"/>
      <c r="C2593" s="1" t="s">
        <v>435</v>
      </c>
      <c r="D2593" s="74"/>
      <c r="E2593" s="67"/>
      <c r="F2593" s="75"/>
      <c r="G2593" s="67"/>
      <c r="H2593" s="68"/>
      <c r="I2593" s="76"/>
      <c r="J2593" s="67"/>
      <c r="K2593" s="7" t="s">
        <v>1104</v>
      </c>
      <c r="L2593" s="77"/>
      <c r="M2593" s="79"/>
      <c r="N2593" s="1"/>
      <c r="O2593" s="1"/>
      <c r="P2593" s="1"/>
      <c r="Q2593" s="1"/>
      <c r="R2593" s="1"/>
      <c r="S2593" s="1"/>
      <c r="T2593" s="1"/>
      <c r="U2593" s="1"/>
      <c r="V2593" s="1"/>
      <c r="W2593" s="1"/>
      <c r="X2593" s="1"/>
      <c r="Y2593" s="1"/>
      <c r="Z2593" s="1"/>
      <c r="AA2593" s="1"/>
      <c r="AB2593" s="1"/>
      <c r="AC2593" s="1"/>
      <c r="AD2593" s="1"/>
      <c r="AE2593" s="1"/>
      <c r="AF2593" s="1"/>
      <c r="AG2593" s="1"/>
      <c r="AH2593" s="1"/>
    </row>
    <row r="2594" ht="12.75" hidden="1" customHeight="1" outlineLevel="1">
      <c r="A2594" s="17">
        <v>41456.0</v>
      </c>
      <c r="B2594" s="1" t="s">
        <v>343</v>
      </c>
      <c r="C2594" s="1" t="s">
        <v>1112</v>
      </c>
      <c r="D2594" s="74">
        <v>300.0</v>
      </c>
      <c r="E2594" s="67">
        <v>66.73</v>
      </c>
      <c r="F2594" s="75">
        <v>0.4389930555555555</v>
      </c>
      <c r="G2594" s="67" t="s">
        <v>453</v>
      </c>
      <c r="H2594" s="68">
        <v>1.5</v>
      </c>
      <c r="I2594" s="76"/>
      <c r="J2594" s="67">
        <f t="shared" ref="J2594:J2598" si="184">IF(B2594="SLD",D2594*E2594,-D2594*E2594)-H2594</f>
        <v>-20020.5</v>
      </c>
      <c r="K2594" s="7"/>
      <c r="L2594" s="70"/>
      <c r="M2594" s="79"/>
      <c r="N2594" s="1"/>
      <c r="O2594" s="1"/>
      <c r="P2594" s="1"/>
      <c r="Q2594" s="1"/>
      <c r="R2594" s="1"/>
      <c r="S2594" s="1"/>
      <c r="T2594" s="1"/>
      <c r="U2594" s="1"/>
      <c r="V2594" s="1"/>
      <c r="W2594" s="1"/>
      <c r="X2594" s="1"/>
      <c r="Y2594" s="1"/>
      <c r="Z2594" s="1"/>
      <c r="AA2594" s="1"/>
      <c r="AB2594" s="1"/>
      <c r="AC2594" s="1"/>
      <c r="AD2594" s="1"/>
      <c r="AE2594" s="1"/>
      <c r="AF2594" s="1"/>
      <c r="AG2594" s="1"/>
      <c r="AH2594" s="1"/>
    </row>
    <row r="2595" ht="12.75" hidden="1" customHeight="1" outlineLevel="1">
      <c r="A2595" s="17">
        <v>41456.0</v>
      </c>
      <c r="B2595" s="1" t="s">
        <v>343</v>
      </c>
      <c r="C2595" s="1" t="s">
        <v>1100</v>
      </c>
      <c r="D2595" s="74">
        <v>3500.0</v>
      </c>
      <c r="E2595" s="67">
        <v>6.48</v>
      </c>
      <c r="F2595" s="75">
        <v>0.45118055555555553</v>
      </c>
      <c r="G2595" s="67" t="s">
        <v>453</v>
      </c>
      <c r="H2595" s="68">
        <v>16.63</v>
      </c>
      <c r="I2595" s="76"/>
      <c r="J2595" s="67">
        <f t="shared" si="184"/>
        <v>-22696.63</v>
      </c>
      <c r="K2595" s="7"/>
      <c r="L2595" s="70"/>
      <c r="M2595" s="79"/>
      <c r="N2595" s="1"/>
      <c r="O2595" s="1"/>
      <c r="P2595" s="1"/>
      <c r="Q2595" s="1"/>
      <c r="R2595" s="1"/>
      <c r="S2595" s="1"/>
      <c r="T2595" s="1"/>
      <c r="U2595" s="1"/>
      <c r="V2595" s="1"/>
      <c r="W2595" s="1"/>
      <c r="X2595" s="1"/>
      <c r="Y2595" s="1"/>
      <c r="Z2595" s="1"/>
      <c r="AA2595" s="1"/>
      <c r="AB2595" s="1"/>
      <c r="AC2595" s="1"/>
      <c r="AD2595" s="1"/>
      <c r="AE2595" s="1"/>
      <c r="AF2595" s="1"/>
      <c r="AG2595" s="1"/>
      <c r="AH2595" s="1"/>
    </row>
    <row r="2596" ht="12.75" hidden="1" customHeight="1" outlineLevel="1">
      <c r="A2596" s="17">
        <v>41456.0</v>
      </c>
      <c r="B2596" s="1" t="s">
        <v>343</v>
      </c>
      <c r="C2596" s="1" t="s">
        <v>881</v>
      </c>
      <c r="D2596" s="74">
        <v>1000.0</v>
      </c>
      <c r="E2596" s="67">
        <v>30.604</v>
      </c>
      <c r="F2596" s="75">
        <v>0.4633333333333333</v>
      </c>
      <c r="G2596" s="67" t="s">
        <v>453</v>
      </c>
      <c r="H2596" s="68">
        <v>4.7</v>
      </c>
      <c r="I2596" s="76"/>
      <c r="J2596" s="67">
        <f t="shared" si="184"/>
        <v>-30608.7</v>
      </c>
      <c r="K2596" s="7"/>
      <c r="L2596" s="70"/>
      <c r="M2596" s="79"/>
      <c r="N2596" s="1"/>
      <c r="O2596" s="1"/>
      <c r="P2596" s="1"/>
      <c r="Q2596" s="1"/>
      <c r="R2596" s="1"/>
      <c r="S2596" s="1"/>
      <c r="T2596" s="1"/>
      <c r="U2596" s="1"/>
      <c r="V2596" s="1"/>
      <c r="W2596" s="1"/>
      <c r="X2596" s="1"/>
      <c r="Y2596" s="1"/>
      <c r="Z2596" s="1"/>
      <c r="AA2596" s="1"/>
      <c r="AB2596" s="1"/>
      <c r="AC2596" s="1"/>
      <c r="AD2596" s="1"/>
      <c r="AE2596" s="1"/>
      <c r="AF2596" s="1"/>
      <c r="AG2596" s="1"/>
      <c r="AH2596" s="1"/>
    </row>
    <row r="2597" ht="12.75" hidden="1" customHeight="1" outlineLevel="1">
      <c r="A2597" s="17">
        <v>41456.0</v>
      </c>
      <c r="B2597" s="1" t="s">
        <v>343</v>
      </c>
      <c r="C2597" s="1" t="s">
        <v>605</v>
      </c>
      <c r="D2597" s="74">
        <v>300.0</v>
      </c>
      <c r="E2597" s="67">
        <v>59.93</v>
      </c>
      <c r="F2597" s="75">
        <v>0.4637731481481482</v>
      </c>
      <c r="G2597" s="67" t="s">
        <v>453</v>
      </c>
      <c r="H2597" s="68">
        <v>1.5</v>
      </c>
      <c r="I2597" s="76"/>
      <c r="J2597" s="67">
        <f t="shared" si="184"/>
        <v>-17980.5</v>
      </c>
      <c r="K2597" s="7"/>
      <c r="L2597" s="70"/>
      <c r="M2597" s="79"/>
      <c r="N2597" s="1"/>
      <c r="O2597" s="1"/>
      <c r="P2597" s="1"/>
      <c r="Q2597" s="1"/>
      <c r="R2597" s="1"/>
      <c r="S2597" s="1"/>
      <c r="T2597" s="1"/>
      <c r="U2597" s="1"/>
      <c r="V2597" s="1"/>
      <c r="W2597" s="1"/>
      <c r="X2597" s="1"/>
      <c r="Y2597" s="1"/>
      <c r="Z2597" s="1"/>
      <c r="AA2597" s="1"/>
      <c r="AB2597" s="1"/>
      <c r="AC2597" s="1"/>
      <c r="AD2597" s="1"/>
      <c r="AE2597" s="1"/>
      <c r="AF2597" s="1"/>
      <c r="AG2597" s="1"/>
      <c r="AH2597" s="1"/>
    </row>
    <row r="2598" ht="12.75" hidden="1" customHeight="1" outlineLevel="1">
      <c r="A2598" s="17">
        <v>41456.0</v>
      </c>
      <c r="B2598" s="1" t="s">
        <v>343</v>
      </c>
      <c r="C2598" s="1" t="s">
        <v>857</v>
      </c>
      <c r="D2598" s="74">
        <v>3500.0</v>
      </c>
      <c r="E2598" s="67">
        <v>5.33</v>
      </c>
      <c r="F2598" s="75">
        <v>0.46491898148148153</v>
      </c>
      <c r="G2598" s="67" t="s">
        <v>453</v>
      </c>
      <c r="H2598" s="68">
        <v>16.9</v>
      </c>
      <c r="I2598" s="76"/>
      <c r="J2598" s="67">
        <f t="shared" si="184"/>
        <v>-18671.9</v>
      </c>
      <c r="K2598" s="7"/>
      <c r="L2598" s="70"/>
      <c r="M2598" s="79"/>
      <c r="N2598" s="1"/>
      <c r="O2598" s="1"/>
      <c r="P2598" s="1"/>
      <c r="Q2598" s="1"/>
      <c r="R2598" s="1"/>
      <c r="S2598" s="1"/>
      <c r="T2598" s="1"/>
      <c r="U2598" s="1"/>
      <c r="V2598" s="1"/>
      <c r="W2598" s="1"/>
      <c r="X2598" s="1"/>
      <c r="Y2598" s="1"/>
      <c r="Z2598" s="1"/>
      <c r="AA2598" s="1"/>
      <c r="AB2598" s="1"/>
      <c r="AC2598" s="1"/>
      <c r="AD2598" s="1"/>
      <c r="AE2598" s="1"/>
      <c r="AF2598" s="1"/>
      <c r="AG2598" s="1"/>
      <c r="AH2598" s="1"/>
    </row>
    <row r="2599" ht="12.75" hidden="1" customHeight="1" outlineLevel="1">
      <c r="A2599" s="17">
        <v>41456.0</v>
      </c>
      <c r="B2599" s="1"/>
      <c r="C2599" s="1" t="s">
        <v>339</v>
      </c>
      <c r="D2599" s="74"/>
      <c r="E2599" s="67"/>
      <c r="F2599" s="75"/>
      <c r="G2599" s="67"/>
      <c r="H2599" s="68"/>
      <c r="I2599" s="76"/>
      <c r="J2599" s="67"/>
      <c r="K2599" s="7" t="s">
        <v>1113</v>
      </c>
      <c r="L2599" s="77"/>
      <c r="M2599" s="79"/>
      <c r="N2599" s="1"/>
      <c r="O2599" s="1"/>
      <c r="P2599" s="1"/>
      <c r="Q2599" s="1"/>
      <c r="R2599" s="1"/>
      <c r="S2599" s="1"/>
      <c r="T2599" s="1"/>
      <c r="U2599" s="1"/>
      <c r="V2599" s="1"/>
      <c r="W2599" s="1"/>
      <c r="X2599" s="1"/>
      <c r="Y2599" s="1"/>
      <c r="Z2599" s="1"/>
      <c r="AA2599" s="1"/>
      <c r="AB2599" s="1"/>
      <c r="AC2599" s="1"/>
      <c r="AD2599" s="1"/>
      <c r="AE2599" s="1"/>
      <c r="AF2599" s="1"/>
      <c r="AG2599" s="1"/>
      <c r="AH2599" s="1"/>
    </row>
    <row r="2600" ht="12.75" hidden="1" customHeight="1" outlineLevel="1">
      <c r="A2600" s="17">
        <v>41456.0</v>
      </c>
      <c r="B2600" s="1"/>
      <c r="C2600" s="1" t="s">
        <v>429</v>
      </c>
      <c r="D2600" s="74"/>
      <c r="E2600" s="67"/>
      <c r="F2600" s="75"/>
      <c r="G2600" s="67"/>
      <c r="H2600" s="68"/>
      <c r="I2600" s="76"/>
      <c r="J2600" s="67"/>
      <c r="K2600" s="7" t="s">
        <v>1034</v>
      </c>
      <c r="L2600" s="77"/>
      <c r="M2600" s="79"/>
      <c r="N2600" s="1"/>
      <c r="O2600" s="1"/>
      <c r="P2600" s="1"/>
      <c r="Q2600" s="1"/>
      <c r="R2600" s="1"/>
      <c r="S2600" s="1"/>
      <c r="T2600" s="1"/>
      <c r="U2600" s="1"/>
      <c r="V2600" s="1"/>
      <c r="W2600" s="1"/>
      <c r="X2600" s="1"/>
      <c r="Y2600" s="1"/>
      <c r="Z2600" s="1"/>
      <c r="AA2600" s="1"/>
      <c r="AB2600" s="1"/>
      <c r="AC2600" s="1"/>
      <c r="AD2600" s="1"/>
      <c r="AE2600" s="1"/>
      <c r="AF2600" s="1"/>
      <c r="AG2600" s="1"/>
      <c r="AH2600" s="1"/>
    </row>
    <row r="2601" ht="12.75" hidden="1" customHeight="1" outlineLevel="1">
      <c r="A2601" s="17">
        <v>41456.0</v>
      </c>
      <c r="B2601" s="1"/>
      <c r="C2601" s="1" t="s">
        <v>431</v>
      </c>
      <c r="D2601" s="74"/>
      <c r="E2601" s="67"/>
      <c r="F2601" s="75"/>
      <c r="G2601" s="67"/>
      <c r="H2601" s="68"/>
      <c r="I2601" s="76"/>
      <c r="J2601" s="67"/>
      <c r="K2601" s="7" t="s">
        <v>817</v>
      </c>
      <c r="L2601" s="77"/>
      <c r="M2601" s="79"/>
      <c r="N2601" s="1"/>
      <c r="O2601" s="1"/>
      <c r="P2601" s="1"/>
      <c r="Q2601" s="1"/>
      <c r="R2601" s="1"/>
      <c r="S2601" s="1"/>
      <c r="T2601" s="1"/>
      <c r="U2601" s="1"/>
      <c r="V2601" s="1"/>
      <c r="W2601" s="1"/>
      <c r="X2601" s="1"/>
      <c r="Y2601" s="1"/>
      <c r="Z2601" s="1"/>
      <c r="AA2601" s="1"/>
      <c r="AB2601" s="1"/>
      <c r="AC2601" s="1"/>
      <c r="AD2601" s="1"/>
      <c r="AE2601" s="1"/>
      <c r="AF2601" s="1"/>
      <c r="AG2601" s="1"/>
      <c r="AH2601" s="1"/>
    </row>
    <row r="2602" ht="12.75" hidden="1" customHeight="1" outlineLevel="1">
      <c r="A2602" s="17">
        <v>41456.0</v>
      </c>
      <c r="B2602" s="1"/>
      <c r="C2602" s="1" t="s">
        <v>433</v>
      </c>
      <c r="D2602" s="74"/>
      <c r="E2602" s="67"/>
      <c r="F2602" s="75"/>
      <c r="G2602" s="67"/>
      <c r="H2602" s="68"/>
      <c r="I2602" s="76"/>
      <c r="J2602" s="67"/>
      <c r="K2602" s="7" t="s">
        <v>1103</v>
      </c>
      <c r="L2602" s="77"/>
      <c r="M2602" s="79"/>
      <c r="N2602" s="1"/>
      <c r="O2602" s="1"/>
      <c r="P2602" s="1"/>
      <c r="Q2602" s="1"/>
      <c r="R2602" s="1"/>
      <c r="S2602" s="1"/>
      <c r="T2602" s="1"/>
      <c r="U2602" s="1"/>
      <c r="V2602" s="1"/>
      <c r="W2602" s="1"/>
      <c r="X2602" s="1"/>
      <c r="Y2602" s="1"/>
      <c r="Z2602" s="1"/>
      <c r="AA2602" s="1"/>
      <c r="AB2602" s="1"/>
      <c r="AC2602" s="1"/>
      <c r="AD2602" s="1"/>
      <c r="AE2602" s="1"/>
      <c r="AF2602" s="1"/>
      <c r="AG2602" s="1"/>
      <c r="AH2602" s="1"/>
    </row>
    <row r="2603" ht="12.75" hidden="1" customHeight="1" outlineLevel="1">
      <c r="A2603" s="17">
        <v>41456.0</v>
      </c>
      <c r="B2603" s="1"/>
      <c r="C2603" s="1" t="s">
        <v>435</v>
      </c>
      <c r="D2603" s="74"/>
      <c r="E2603" s="67"/>
      <c r="F2603" s="75"/>
      <c r="G2603" s="67"/>
      <c r="H2603" s="68"/>
      <c r="I2603" s="76"/>
      <c r="J2603" s="67"/>
      <c r="K2603" s="7" t="s">
        <v>1104</v>
      </c>
      <c r="L2603" s="77"/>
      <c r="M2603" s="79"/>
      <c r="N2603" s="1"/>
      <c r="O2603" s="1"/>
      <c r="P2603" s="1"/>
      <c r="Q2603" s="1"/>
      <c r="R2603" s="1"/>
      <c r="S2603" s="1"/>
      <c r="T2603" s="1"/>
      <c r="U2603" s="1"/>
      <c r="V2603" s="1"/>
      <c r="W2603" s="1"/>
      <c r="X2603" s="1"/>
      <c r="Y2603" s="1"/>
      <c r="Z2603" s="1"/>
      <c r="AA2603" s="1"/>
      <c r="AB2603" s="1"/>
      <c r="AC2603" s="1"/>
      <c r="AD2603" s="1"/>
      <c r="AE2603" s="1"/>
      <c r="AF2603" s="1"/>
      <c r="AG2603" s="1"/>
      <c r="AH2603" s="1"/>
    </row>
    <row r="2604" ht="12.75" hidden="1" customHeight="1" outlineLevel="1">
      <c r="A2604" s="17">
        <v>41457.0</v>
      </c>
      <c r="B2604" s="1"/>
      <c r="C2604" s="1" t="s">
        <v>339</v>
      </c>
      <c r="D2604" s="74"/>
      <c r="E2604" s="67"/>
      <c r="F2604" s="75"/>
      <c r="G2604" s="67"/>
      <c r="H2604" s="68"/>
      <c r="I2604" s="76"/>
      <c r="J2604" s="67"/>
      <c r="K2604" s="7" t="s">
        <v>1115</v>
      </c>
      <c r="L2604" s="77"/>
      <c r="M2604" s="79"/>
      <c r="N2604" s="1"/>
      <c r="O2604" s="1"/>
      <c r="P2604" s="1"/>
      <c r="Q2604" s="1"/>
      <c r="R2604" s="1"/>
      <c r="S2604" s="1"/>
      <c r="T2604" s="1"/>
      <c r="U2604" s="1"/>
      <c r="V2604" s="1"/>
      <c r="W2604" s="1"/>
      <c r="X2604" s="1"/>
      <c r="Y2604" s="1"/>
      <c r="Z2604" s="1"/>
      <c r="AA2604" s="1"/>
      <c r="AB2604" s="1"/>
      <c r="AC2604" s="1"/>
      <c r="AD2604" s="1"/>
      <c r="AE2604" s="1"/>
      <c r="AF2604" s="1"/>
      <c r="AG2604" s="1"/>
      <c r="AH2604" s="1"/>
    </row>
    <row r="2605" ht="12.75" hidden="1" customHeight="1" outlineLevel="1">
      <c r="A2605" s="17">
        <v>41457.0</v>
      </c>
      <c r="B2605" s="1"/>
      <c r="C2605" s="1" t="s">
        <v>429</v>
      </c>
      <c r="D2605" s="74"/>
      <c r="E2605" s="67"/>
      <c r="F2605" s="75"/>
      <c r="G2605" s="67"/>
      <c r="H2605" s="68"/>
      <c r="I2605" s="76"/>
      <c r="J2605" s="67"/>
      <c r="K2605" s="7" t="s">
        <v>1034</v>
      </c>
      <c r="L2605" s="77"/>
      <c r="M2605" s="79"/>
      <c r="N2605" s="1"/>
      <c r="O2605" s="1"/>
      <c r="P2605" s="1"/>
      <c r="Q2605" s="1"/>
      <c r="R2605" s="1"/>
      <c r="S2605" s="1"/>
      <c r="T2605" s="1"/>
      <c r="U2605" s="1"/>
      <c r="V2605" s="1"/>
      <c r="W2605" s="1"/>
      <c r="X2605" s="1"/>
      <c r="Y2605" s="1"/>
      <c r="Z2605" s="1"/>
      <c r="AA2605" s="1"/>
      <c r="AB2605" s="1"/>
      <c r="AC2605" s="1"/>
      <c r="AD2605" s="1"/>
      <c r="AE2605" s="1"/>
      <c r="AF2605" s="1"/>
      <c r="AG2605" s="1"/>
      <c r="AH2605" s="1"/>
    </row>
    <row r="2606" ht="12.75" hidden="1" customHeight="1" outlineLevel="1">
      <c r="A2606" s="17">
        <v>41457.0</v>
      </c>
      <c r="B2606" s="1"/>
      <c r="C2606" s="1" t="s">
        <v>431</v>
      </c>
      <c r="D2606" s="74"/>
      <c r="E2606" s="67"/>
      <c r="F2606" s="75"/>
      <c r="G2606" s="67"/>
      <c r="H2606" s="68"/>
      <c r="I2606" s="76"/>
      <c r="J2606" s="67"/>
      <c r="K2606" s="7" t="s">
        <v>817</v>
      </c>
      <c r="L2606" s="77"/>
      <c r="M2606" s="79"/>
      <c r="N2606" s="1"/>
      <c r="O2606" s="1"/>
      <c r="P2606" s="1"/>
      <c r="Q2606" s="1"/>
      <c r="R2606" s="1"/>
      <c r="S2606" s="1"/>
      <c r="T2606" s="1"/>
      <c r="U2606" s="1"/>
      <c r="V2606" s="1"/>
      <c r="W2606" s="1"/>
      <c r="X2606" s="1"/>
      <c r="Y2606" s="1"/>
      <c r="Z2606" s="1"/>
      <c r="AA2606" s="1"/>
      <c r="AB2606" s="1"/>
      <c r="AC2606" s="1"/>
      <c r="AD2606" s="1"/>
      <c r="AE2606" s="1"/>
      <c r="AF2606" s="1"/>
      <c r="AG2606" s="1"/>
      <c r="AH2606" s="1"/>
    </row>
    <row r="2607" ht="12.75" hidden="1" customHeight="1" outlineLevel="1">
      <c r="A2607" s="17">
        <v>41457.0</v>
      </c>
      <c r="B2607" s="1"/>
      <c r="C2607" s="1" t="s">
        <v>433</v>
      </c>
      <c r="D2607" s="74"/>
      <c r="E2607" s="67"/>
      <c r="F2607" s="75"/>
      <c r="G2607" s="67"/>
      <c r="H2607" s="68"/>
      <c r="I2607" s="76"/>
      <c r="J2607" s="67"/>
      <c r="K2607" s="7" t="s">
        <v>1103</v>
      </c>
      <c r="L2607" s="77"/>
      <c r="M2607" s="79"/>
      <c r="N2607" s="1"/>
      <c r="O2607" s="1"/>
      <c r="P2607" s="1"/>
      <c r="Q2607" s="1"/>
      <c r="R2607" s="1"/>
      <c r="S2607" s="1"/>
      <c r="T2607" s="1"/>
      <c r="U2607" s="1"/>
      <c r="V2607" s="1"/>
      <c r="W2607" s="1"/>
      <c r="X2607" s="1"/>
      <c r="Y2607" s="1"/>
      <c r="Z2607" s="1"/>
      <c r="AA2607" s="1"/>
      <c r="AB2607" s="1"/>
      <c r="AC2607" s="1"/>
      <c r="AD2607" s="1"/>
      <c r="AE2607" s="1"/>
      <c r="AF2607" s="1"/>
      <c r="AG2607" s="1"/>
      <c r="AH2607" s="1"/>
    </row>
    <row r="2608" ht="12.75" hidden="1" customHeight="1" outlineLevel="1">
      <c r="A2608" s="17">
        <v>41457.0</v>
      </c>
      <c r="B2608" s="1"/>
      <c r="C2608" s="1" t="s">
        <v>435</v>
      </c>
      <c r="D2608" s="74"/>
      <c r="E2608" s="67"/>
      <c r="F2608" s="75"/>
      <c r="G2608" s="67"/>
      <c r="H2608" s="68"/>
      <c r="I2608" s="76"/>
      <c r="J2608" s="67"/>
      <c r="K2608" s="7" t="s">
        <v>1104</v>
      </c>
      <c r="L2608" s="77"/>
      <c r="M2608" s="79"/>
      <c r="N2608" s="1"/>
      <c r="O2608" s="1"/>
      <c r="P2608" s="1"/>
      <c r="Q2608" s="1"/>
      <c r="R2608" s="1"/>
      <c r="S2608" s="1"/>
      <c r="T2608" s="1"/>
      <c r="U2608" s="1"/>
      <c r="V2608" s="1"/>
      <c r="W2608" s="1"/>
      <c r="X2608" s="1"/>
      <c r="Y2608" s="1"/>
      <c r="Z2608" s="1"/>
      <c r="AA2608" s="1"/>
      <c r="AB2608" s="1"/>
      <c r="AC2608" s="1"/>
      <c r="AD2608" s="1"/>
      <c r="AE2608" s="1"/>
      <c r="AF2608" s="1"/>
      <c r="AG2608" s="1"/>
      <c r="AH2608" s="1"/>
    </row>
    <row r="2609" ht="12.75" hidden="1" customHeight="1" outlineLevel="1">
      <c r="A2609" s="17">
        <v>41458.0</v>
      </c>
      <c r="B2609" s="1" t="s">
        <v>347</v>
      </c>
      <c r="C2609" s="1" t="s">
        <v>881</v>
      </c>
      <c r="D2609" s="74">
        <v>1000.0</v>
      </c>
      <c r="E2609" s="67">
        <v>27.01</v>
      </c>
      <c r="F2609" s="75">
        <v>0.4170023148148148</v>
      </c>
      <c r="G2609" s="67" t="s">
        <v>453</v>
      </c>
      <c r="H2609" s="68">
        <v>4.97</v>
      </c>
      <c r="I2609" s="76"/>
      <c r="J2609" s="67">
        <f t="shared" ref="J2609:J2611" si="185">IF(B2609="SLD",D2609*E2609,-D2609*E2609)-H2609</f>
        <v>27005.03</v>
      </c>
      <c r="K2609" s="7" t="s">
        <v>1116</v>
      </c>
      <c r="L2609" s="70"/>
      <c r="M2609" s="79"/>
      <c r="N2609" s="1"/>
      <c r="O2609" s="1"/>
      <c r="P2609" s="1"/>
      <c r="Q2609" s="1"/>
      <c r="R2609" s="1"/>
      <c r="S2609" s="1"/>
      <c r="T2609" s="1"/>
      <c r="U2609" s="1"/>
      <c r="V2609" s="1"/>
      <c r="W2609" s="1"/>
      <c r="X2609" s="1"/>
      <c r="Y2609" s="1"/>
      <c r="Z2609" s="1"/>
      <c r="AA2609" s="1"/>
      <c r="AB2609" s="1"/>
      <c r="AC2609" s="1"/>
      <c r="AD2609" s="1"/>
      <c r="AE2609" s="1"/>
      <c r="AF2609" s="1"/>
      <c r="AG2609" s="1"/>
      <c r="AH2609" s="1"/>
    </row>
    <row r="2610" ht="12.75" hidden="1" customHeight="1" outlineLevel="1">
      <c r="A2610" s="17">
        <v>41458.0</v>
      </c>
      <c r="B2610" s="1" t="s">
        <v>347</v>
      </c>
      <c r="C2610" s="1" t="s">
        <v>605</v>
      </c>
      <c r="D2610" s="74">
        <v>300.0</v>
      </c>
      <c r="E2610" s="67">
        <v>55.01</v>
      </c>
      <c r="F2610" s="75">
        <v>0.41731481481481486</v>
      </c>
      <c r="G2610" s="67" t="s">
        <v>453</v>
      </c>
      <c r="H2610" s="68">
        <v>1.5</v>
      </c>
      <c r="I2610" s="76"/>
      <c r="J2610" s="67">
        <f t="shared" si="185"/>
        <v>16501.5</v>
      </c>
      <c r="K2610" s="7" t="s">
        <v>1116</v>
      </c>
      <c r="L2610" s="70"/>
      <c r="M2610" s="79"/>
      <c r="N2610" s="1"/>
      <c r="O2610" s="1"/>
      <c r="P2610" s="1"/>
      <c r="Q2610" s="1"/>
      <c r="R2610" s="1"/>
      <c r="S2610" s="1"/>
      <c r="T2610" s="1"/>
      <c r="U2610" s="1"/>
      <c r="V2610" s="1"/>
      <c r="W2610" s="1"/>
      <c r="X2610" s="1"/>
      <c r="Y2610" s="1"/>
      <c r="Z2610" s="1"/>
      <c r="AA2610" s="1"/>
      <c r="AB2610" s="1"/>
      <c r="AC2610" s="1"/>
      <c r="AD2610" s="1"/>
      <c r="AE2610" s="1"/>
      <c r="AF2610" s="1"/>
      <c r="AG2610" s="1"/>
      <c r="AH2610" s="1"/>
    </row>
    <row r="2611" ht="12.75" hidden="1" customHeight="1" outlineLevel="1">
      <c r="A2611" s="17">
        <v>41458.0</v>
      </c>
      <c r="B2611" s="1" t="s">
        <v>347</v>
      </c>
      <c r="C2611" s="1" t="s">
        <v>1093</v>
      </c>
      <c r="D2611" s="74">
        <v>400.0</v>
      </c>
      <c r="E2611" s="67">
        <v>39.9</v>
      </c>
      <c r="F2611" s="75">
        <v>0.46738425925925925</v>
      </c>
      <c r="G2611" s="67" t="s">
        <v>453</v>
      </c>
      <c r="H2611" s="68">
        <v>2.0</v>
      </c>
      <c r="I2611" s="76"/>
      <c r="J2611" s="67">
        <f t="shared" si="185"/>
        <v>15958</v>
      </c>
      <c r="K2611" s="7"/>
      <c r="L2611" s="70"/>
      <c r="M2611" s="79"/>
      <c r="N2611" s="1"/>
      <c r="O2611" s="1"/>
      <c r="P2611" s="1"/>
      <c r="Q2611" s="1"/>
      <c r="R2611" s="1"/>
      <c r="S2611" s="1"/>
      <c r="T2611" s="1"/>
      <c r="U2611" s="1"/>
      <c r="V2611" s="1"/>
      <c r="W2611" s="1"/>
      <c r="X2611" s="1"/>
      <c r="Y2611" s="1"/>
      <c r="Z2611" s="1"/>
      <c r="AA2611" s="1"/>
      <c r="AB2611" s="1"/>
      <c r="AC2611" s="1"/>
      <c r="AD2611" s="1"/>
      <c r="AE2611" s="1"/>
      <c r="AF2611" s="1"/>
      <c r="AG2611" s="1"/>
      <c r="AH2611" s="1"/>
    </row>
    <row r="2612" ht="12.75" hidden="1" customHeight="1" outlineLevel="1">
      <c r="A2612" s="17">
        <v>41458.0</v>
      </c>
      <c r="B2612" s="1"/>
      <c r="C2612" s="1" t="s">
        <v>339</v>
      </c>
      <c r="D2612" s="74"/>
      <c r="E2612" s="67"/>
      <c r="F2612" s="75"/>
      <c r="G2612" s="67"/>
      <c r="H2612" s="68"/>
      <c r="I2612" s="76"/>
      <c r="J2612" s="67"/>
      <c r="K2612" s="7" t="s">
        <v>1117</v>
      </c>
      <c r="L2612" s="77"/>
      <c r="M2612" s="79"/>
      <c r="N2612" s="1"/>
      <c r="O2612" s="1"/>
      <c r="P2612" s="1"/>
      <c r="Q2612" s="1"/>
      <c r="R2612" s="1"/>
      <c r="S2612" s="1"/>
      <c r="T2612" s="1"/>
      <c r="U2612" s="1"/>
      <c r="V2612" s="1"/>
      <c r="W2612" s="1"/>
      <c r="X2612" s="1"/>
      <c r="Y2612" s="1"/>
      <c r="Z2612" s="1"/>
      <c r="AA2612" s="1"/>
      <c r="AB2612" s="1"/>
      <c r="AC2612" s="1"/>
      <c r="AD2612" s="1"/>
      <c r="AE2612" s="1"/>
      <c r="AF2612" s="1"/>
      <c r="AG2612" s="1"/>
      <c r="AH2612" s="1"/>
    </row>
    <row r="2613" ht="12.75" hidden="1" customHeight="1" outlineLevel="1">
      <c r="A2613" s="17">
        <v>41458.0</v>
      </c>
      <c r="B2613" s="1"/>
      <c r="C2613" s="1" t="s">
        <v>429</v>
      </c>
      <c r="D2613" s="74"/>
      <c r="E2613" s="67"/>
      <c r="F2613" s="75"/>
      <c r="G2613" s="67"/>
      <c r="H2613" s="68"/>
      <c r="I2613" s="76"/>
      <c r="J2613" s="67"/>
      <c r="K2613" s="7" t="s">
        <v>1034</v>
      </c>
      <c r="L2613" s="77"/>
      <c r="M2613" s="79"/>
      <c r="N2613" s="1"/>
      <c r="O2613" s="1"/>
      <c r="P2613" s="1"/>
      <c r="Q2613" s="1"/>
      <c r="R2613" s="1"/>
      <c r="S2613" s="1"/>
      <c r="T2613" s="1"/>
      <c r="U2613" s="1"/>
      <c r="V2613" s="1"/>
      <c r="W2613" s="1"/>
      <c r="X2613" s="1"/>
      <c r="Y2613" s="1"/>
      <c r="Z2613" s="1"/>
      <c r="AA2613" s="1"/>
      <c r="AB2613" s="1"/>
      <c r="AC2613" s="1"/>
      <c r="AD2613" s="1"/>
      <c r="AE2613" s="1"/>
      <c r="AF2613" s="1"/>
      <c r="AG2613" s="1"/>
      <c r="AH2613" s="1"/>
    </row>
    <row r="2614" ht="12.75" hidden="1" customHeight="1" outlineLevel="1">
      <c r="A2614" s="17">
        <v>41458.0</v>
      </c>
      <c r="B2614" s="1"/>
      <c r="C2614" s="1" t="s">
        <v>431</v>
      </c>
      <c r="D2614" s="74"/>
      <c r="E2614" s="67"/>
      <c r="F2614" s="75"/>
      <c r="G2614" s="67"/>
      <c r="H2614" s="68"/>
      <c r="I2614" s="76"/>
      <c r="J2614" s="67"/>
      <c r="K2614" s="7" t="s">
        <v>817</v>
      </c>
      <c r="L2614" s="77"/>
      <c r="M2614" s="79"/>
      <c r="N2614" s="1"/>
      <c r="O2614" s="1"/>
      <c r="P2614" s="1"/>
      <c r="Q2614" s="1"/>
      <c r="R2614" s="1"/>
      <c r="S2614" s="1"/>
      <c r="T2614" s="1"/>
      <c r="U2614" s="1"/>
      <c r="V2614" s="1"/>
      <c r="W2614" s="1"/>
      <c r="X2614" s="1"/>
      <c r="Y2614" s="1"/>
      <c r="Z2614" s="1"/>
      <c r="AA2614" s="1"/>
      <c r="AB2614" s="1"/>
      <c r="AC2614" s="1"/>
      <c r="AD2614" s="1"/>
      <c r="AE2614" s="1"/>
      <c r="AF2614" s="1"/>
      <c r="AG2614" s="1"/>
      <c r="AH2614" s="1"/>
    </row>
    <row r="2615" ht="12.75" hidden="1" customHeight="1" outlineLevel="1">
      <c r="A2615" s="17">
        <v>41458.0</v>
      </c>
      <c r="B2615" s="1"/>
      <c r="C2615" s="1" t="s">
        <v>433</v>
      </c>
      <c r="D2615" s="74"/>
      <c r="E2615" s="67"/>
      <c r="F2615" s="75"/>
      <c r="G2615" s="67"/>
      <c r="H2615" s="68"/>
      <c r="I2615" s="76"/>
      <c r="J2615" s="67"/>
      <c r="K2615" s="7" t="s">
        <v>1103</v>
      </c>
      <c r="L2615" s="77"/>
      <c r="M2615" s="79"/>
      <c r="N2615" s="1"/>
      <c r="O2615" s="1"/>
      <c r="P2615" s="1"/>
      <c r="Q2615" s="1"/>
      <c r="R2615" s="1"/>
      <c r="S2615" s="1"/>
      <c r="T2615" s="1"/>
      <c r="U2615" s="1"/>
      <c r="V2615" s="1"/>
      <c r="W2615" s="1"/>
      <c r="X2615" s="1"/>
      <c r="Y2615" s="1"/>
      <c r="Z2615" s="1"/>
      <c r="AA2615" s="1"/>
      <c r="AB2615" s="1"/>
      <c r="AC2615" s="1"/>
      <c r="AD2615" s="1"/>
      <c r="AE2615" s="1"/>
      <c r="AF2615" s="1"/>
      <c r="AG2615" s="1"/>
      <c r="AH2615" s="1"/>
    </row>
    <row r="2616" ht="12.75" hidden="1" customHeight="1" outlineLevel="1">
      <c r="A2616" s="17">
        <v>41458.0</v>
      </c>
      <c r="B2616" s="1"/>
      <c r="C2616" s="1" t="s">
        <v>435</v>
      </c>
      <c r="D2616" s="74"/>
      <c r="E2616" s="67"/>
      <c r="F2616" s="75"/>
      <c r="G2616" s="67"/>
      <c r="H2616" s="68"/>
      <c r="I2616" s="76"/>
      <c r="J2616" s="67"/>
      <c r="K2616" s="7" t="s">
        <v>1104</v>
      </c>
      <c r="L2616" s="77"/>
      <c r="M2616" s="79"/>
      <c r="N2616" s="1"/>
      <c r="O2616" s="1"/>
      <c r="P2616" s="1"/>
      <c r="Q2616" s="1"/>
      <c r="R2616" s="1"/>
      <c r="S2616" s="1"/>
      <c r="T2616" s="1"/>
      <c r="U2616" s="1"/>
      <c r="V2616" s="1"/>
      <c r="W2616" s="1"/>
      <c r="X2616" s="1"/>
      <c r="Y2616" s="1"/>
      <c r="Z2616" s="1"/>
      <c r="AA2616" s="1"/>
      <c r="AB2616" s="1"/>
      <c r="AC2616" s="1"/>
      <c r="AD2616" s="1"/>
      <c r="AE2616" s="1"/>
      <c r="AF2616" s="1"/>
      <c r="AG2616" s="1"/>
      <c r="AH2616" s="1"/>
    </row>
    <row r="2617" ht="12.75" hidden="1" customHeight="1" outlineLevel="1">
      <c r="A2617" s="17">
        <v>41463.0</v>
      </c>
      <c r="B2617" s="1" t="s">
        <v>343</v>
      </c>
      <c r="C2617" s="1" t="s">
        <v>1118</v>
      </c>
      <c r="D2617" s="74">
        <v>700.0</v>
      </c>
      <c r="E2617" s="67">
        <v>39.56</v>
      </c>
      <c r="F2617" s="75">
        <v>0.4617361111111111</v>
      </c>
      <c r="G2617" s="67" t="s">
        <v>453</v>
      </c>
      <c r="H2617" s="68">
        <v>3.0</v>
      </c>
      <c r="I2617" s="76"/>
      <c r="J2617" s="67">
        <f t="shared" ref="J2617:J2622" si="186">IF(B2617="SLD",D2617*E2617,-D2617*E2617)-H2617</f>
        <v>-27695</v>
      </c>
      <c r="K2617" s="7"/>
      <c r="L2617" s="70"/>
      <c r="M2617" s="79"/>
      <c r="N2617" s="1"/>
      <c r="O2617" s="1"/>
      <c r="P2617" s="1"/>
      <c r="Q2617" s="1"/>
      <c r="R2617" s="1"/>
      <c r="S2617" s="1"/>
      <c r="T2617" s="1"/>
      <c r="U2617" s="1"/>
      <c r="V2617" s="1"/>
      <c r="W2617" s="1"/>
      <c r="X2617" s="1"/>
      <c r="Y2617" s="1"/>
      <c r="Z2617" s="1"/>
      <c r="AA2617" s="1"/>
      <c r="AB2617" s="1"/>
      <c r="AC2617" s="1"/>
      <c r="AD2617" s="1"/>
      <c r="AE2617" s="1"/>
      <c r="AF2617" s="1"/>
      <c r="AG2617" s="1"/>
      <c r="AH2617" s="1"/>
    </row>
    <row r="2618" ht="12.75" hidden="1" customHeight="1" outlineLevel="1">
      <c r="A2618" s="17">
        <v>41463.0</v>
      </c>
      <c r="B2618" s="1" t="s">
        <v>343</v>
      </c>
      <c r="C2618" s="1" t="s">
        <v>1093</v>
      </c>
      <c r="D2618" s="74">
        <v>700.0</v>
      </c>
      <c r="E2618" s="67">
        <v>41.54</v>
      </c>
      <c r="F2618" s="75">
        <v>0.4907986111111111</v>
      </c>
      <c r="G2618" s="67" t="s">
        <v>453</v>
      </c>
      <c r="H2618" s="68">
        <v>3.2</v>
      </c>
      <c r="I2618" s="76"/>
      <c r="J2618" s="67">
        <f t="shared" si="186"/>
        <v>-29081.2</v>
      </c>
      <c r="K2618" s="7"/>
      <c r="L2618" s="70"/>
      <c r="M2618" s="79"/>
      <c r="N2618" s="1"/>
      <c r="O2618" s="1"/>
      <c r="P2618" s="1"/>
      <c r="Q2618" s="1"/>
      <c r="R2618" s="1"/>
      <c r="S2618" s="1"/>
      <c r="T2618" s="1"/>
      <c r="U2618" s="1"/>
      <c r="V2618" s="1"/>
      <c r="W2618" s="1"/>
      <c r="X2618" s="1"/>
      <c r="Y2618" s="1"/>
      <c r="Z2618" s="1"/>
      <c r="AA2618" s="1"/>
      <c r="AB2618" s="1"/>
      <c r="AC2618" s="1"/>
      <c r="AD2618" s="1"/>
      <c r="AE2618" s="1"/>
      <c r="AF2618" s="1"/>
      <c r="AG2618" s="1"/>
      <c r="AH2618" s="1"/>
    </row>
    <row r="2619" ht="12.75" hidden="1" customHeight="1" outlineLevel="1">
      <c r="A2619" s="17">
        <v>41463.0</v>
      </c>
      <c r="B2619" s="1" t="s">
        <v>343</v>
      </c>
      <c r="C2619" s="1" t="s">
        <v>1112</v>
      </c>
      <c r="D2619" s="74">
        <v>100.0</v>
      </c>
      <c r="E2619" s="67">
        <v>68.63</v>
      </c>
      <c r="F2619" s="75">
        <v>0.5720833333333334</v>
      </c>
      <c r="G2619" s="67" t="s">
        <v>453</v>
      </c>
      <c r="H2619" s="68">
        <v>1.0</v>
      </c>
      <c r="I2619" s="76"/>
      <c r="J2619" s="67">
        <f t="shared" si="186"/>
        <v>-6864</v>
      </c>
      <c r="K2619" s="7"/>
      <c r="L2619" s="70"/>
      <c r="M2619" s="79"/>
      <c r="N2619" s="1"/>
      <c r="O2619" s="1"/>
      <c r="P2619" s="1"/>
      <c r="Q2619" s="1"/>
      <c r="R2619" s="1"/>
      <c r="S2619" s="1"/>
      <c r="T2619" s="1"/>
      <c r="U2619" s="1"/>
      <c r="V2619" s="1"/>
      <c r="W2619" s="1"/>
      <c r="X2619" s="1"/>
      <c r="Y2619" s="1"/>
      <c r="Z2619" s="1"/>
      <c r="AA2619" s="1"/>
      <c r="AB2619" s="1"/>
      <c r="AC2619" s="1"/>
      <c r="AD2619" s="1"/>
      <c r="AE2619" s="1"/>
      <c r="AF2619" s="1"/>
      <c r="AG2619" s="1"/>
      <c r="AH2619" s="1"/>
    </row>
    <row r="2620" ht="12.75" hidden="1" customHeight="1" outlineLevel="1">
      <c r="A2620" s="17">
        <v>41463.0</v>
      </c>
      <c r="B2620" s="1" t="s">
        <v>347</v>
      </c>
      <c r="C2620" s="1" t="s">
        <v>784</v>
      </c>
      <c r="D2620" s="74">
        <v>300.0</v>
      </c>
      <c r="E2620" s="67">
        <v>12.66</v>
      </c>
      <c r="F2620" s="75">
        <v>0.6575462962962962</v>
      </c>
      <c r="G2620" s="67" t="s">
        <v>453</v>
      </c>
      <c r="H2620" s="68">
        <v>1.2</v>
      </c>
      <c r="I2620" s="76"/>
      <c r="J2620" s="67">
        <f t="shared" si="186"/>
        <v>3796.8</v>
      </c>
      <c r="K2620" s="7" t="s">
        <v>1120</v>
      </c>
      <c r="L2620" s="70"/>
      <c r="M2620" s="79"/>
      <c r="N2620" s="1"/>
      <c r="O2620" s="1"/>
      <c r="P2620" s="1"/>
      <c r="Q2620" s="1"/>
      <c r="R2620" s="1"/>
      <c r="S2620" s="1"/>
      <c r="T2620" s="1"/>
      <c r="U2620" s="1"/>
      <c r="V2620" s="1"/>
      <c r="W2620" s="1"/>
      <c r="X2620" s="1"/>
      <c r="Y2620" s="1"/>
      <c r="Z2620" s="1"/>
      <c r="AA2620" s="1"/>
      <c r="AB2620" s="1"/>
      <c r="AC2620" s="1"/>
      <c r="AD2620" s="1"/>
      <c r="AE2620" s="1"/>
      <c r="AF2620" s="1"/>
      <c r="AG2620" s="1"/>
      <c r="AH2620" s="1"/>
    </row>
    <row r="2621" ht="12.75" hidden="1" customHeight="1" outlineLevel="1">
      <c r="A2621" s="17">
        <v>41463.0</v>
      </c>
      <c r="B2621" s="1" t="s">
        <v>347</v>
      </c>
      <c r="C2621" s="1" t="s">
        <v>369</v>
      </c>
      <c r="D2621" s="74">
        <v>200.0</v>
      </c>
      <c r="E2621" s="67">
        <v>15.98</v>
      </c>
      <c r="F2621" s="75">
        <v>0.6581365740740741</v>
      </c>
      <c r="G2621" s="67" t="s">
        <v>453</v>
      </c>
      <c r="H2621" s="68">
        <v>1.0</v>
      </c>
      <c r="I2621" s="76"/>
      <c r="J2621" s="67">
        <f t="shared" si="186"/>
        <v>3195</v>
      </c>
      <c r="K2621" s="7"/>
      <c r="L2621" s="70"/>
      <c r="M2621" s="79"/>
      <c r="N2621" s="1"/>
      <c r="O2621" s="1"/>
      <c r="P2621" s="1"/>
      <c r="Q2621" s="1"/>
      <c r="R2621" s="1"/>
      <c r="S2621" s="1"/>
      <c r="T2621" s="1"/>
      <c r="U2621" s="1"/>
      <c r="V2621" s="1"/>
      <c r="W2621" s="1"/>
      <c r="X2621" s="1"/>
      <c r="Y2621" s="1"/>
      <c r="Z2621" s="1"/>
      <c r="AA2621" s="1"/>
      <c r="AB2621" s="1"/>
      <c r="AC2621" s="1"/>
      <c r="AD2621" s="1"/>
      <c r="AE2621" s="1"/>
      <c r="AF2621" s="1"/>
      <c r="AG2621" s="1"/>
      <c r="AH2621" s="1"/>
    </row>
    <row r="2622" ht="12.75" hidden="1" customHeight="1" outlineLevel="1">
      <c r="A2622" s="17">
        <v>41463.0</v>
      </c>
      <c r="B2622" s="1" t="s">
        <v>347</v>
      </c>
      <c r="C2622" s="1" t="s">
        <v>1044</v>
      </c>
      <c r="D2622" s="74">
        <v>200.0</v>
      </c>
      <c r="E2622" s="67">
        <v>22.95</v>
      </c>
      <c r="F2622" s="75">
        <v>0.6592708333333334</v>
      </c>
      <c r="G2622" s="67" t="s">
        <v>453</v>
      </c>
      <c r="H2622" s="68">
        <v>1.0</v>
      </c>
      <c r="I2622" s="76"/>
      <c r="J2622" s="67">
        <f t="shared" si="186"/>
        <v>4589</v>
      </c>
      <c r="K2622" s="7"/>
      <c r="L2622" s="70"/>
      <c r="M2622" s="79"/>
      <c r="N2622" s="1"/>
      <c r="O2622" s="1"/>
      <c r="P2622" s="1"/>
      <c r="Q2622" s="1"/>
      <c r="R2622" s="1"/>
      <c r="S2622" s="1"/>
      <c r="T2622" s="1"/>
      <c r="U2622" s="1"/>
      <c r="V2622" s="1"/>
      <c r="W2622" s="1"/>
      <c r="X2622" s="1"/>
      <c r="Y2622" s="1"/>
      <c r="Z2622" s="1"/>
      <c r="AA2622" s="1"/>
      <c r="AB2622" s="1"/>
      <c r="AC2622" s="1"/>
      <c r="AD2622" s="1"/>
      <c r="AE2622" s="1"/>
      <c r="AF2622" s="1"/>
      <c r="AG2622" s="1"/>
      <c r="AH2622" s="1"/>
    </row>
    <row r="2623" ht="12.75" hidden="1" customHeight="1" outlineLevel="1">
      <c r="A2623" s="17">
        <v>41463.0</v>
      </c>
      <c r="B2623" s="1"/>
      <c r="C2623" s="1" t="s">
        <v>339</v>
      </c>
      <c r="D2623" s="74"/>
      <c r="E2623" s="67"/>
      <c r="F2623" s="75"/>
      <c r="G2623" s="67"/>
      <c r="H2623" s="68"/>
      <c r="I2623" s="76"/>
      <c r="J2623" s="67"/>
      <c r="K2623" s="7" t="s">
        <v>1121</v>
      </c>
      <c r="L2623" s="77"/>
      <c r="M2623" s="79"/>
      <c r="N2623" s="1"/>
      <c r="O2623" s="1"/>
      <c r="P2623" s="1"/>
      <c r="Q2623" s="1"/>
      <c r="R2623" s="1"/>
      <c r="S2623" s="1"/>
      <c r="T2623" s="1"/>
      <c r="U2623" s="1"/>
      <c r="V2623" s="1"/>
      <c r="W2623" s="1"/>
      <c r="X2623" s="1"/>
      <c r="Y2623" s="1"/>
      <c r="Z2623" s="1"/>
      <c r="AA2623" s="1"/>
      <c r="AB2623" s="1"/>
      <c r="AC2623" s="1"/>
      <c r="AD2623" s="1"/>
      <c r="AE2623" s="1"/>
      <c r="AF2623" s="1"/>
      <c r="AG2623" s="1"/>
      <c r="AH2623" s="1"/>
    </row>
    <row r="2624" ht="12.75" hidden="1" customHeight="1" outlineLevel="1">
      <c r="A2624" s="17">
        <v>41463.0</v>
      </c>
      <c r="B2624" s="1"/>
      <c r="C2624" s="1" t="s">
        <v>429</v>
      </c>
      <c r="D2624" s="74"/>
      <c r="E2624" s="67"/>
      <c r="F2624" s="75"/>
      <c r="G2624" s="67"/>
      <c r="H2624" s="68"/>
      <c r="I2624" s="76"/>
      <c r="J2624" s="67"/>
      <c r="K2624" s="7" t="s">
        <v>1034</v>
      </c>
      <c r="L2624" s="77"/>
      <c r="M2624" s="79"/>
      <c r="N2624" s="1"/>
      <c r="O2624" s="1"/>
      <c r="P2624" s="1"/>
      <c r="Q2624" s="1"/>
      <c r="R2624" s="1"/>
      <c r="S2624" s="1"/>
      <c r="T2624" s="1"/>
      <c r="U2624" s="1"/>
      <c r="V2624" s="1"/>
      <c r="W2624" s="1"/>
      <c r="X2624" s="1"/>
      <c r="Y2624" s="1"/>
      <c r="Z2624" s="1"/>
      <c r="AA2624" s="1"/>
      <c r="AB2624" s="1"/>
      <c r="AC2624" s="1"/>
      <c r="AD2624" s="1"/>
      <c r="AE2624" s="1"/>
      <c r="AF2624" s="1"/>
      <c r="AG2624" s="1"/>
      <c r="AH2624" s="1"/>
    </row>
    <row r="2625" ht="12.75" hidden="1" customHeight="1" outlineLevel="1">
      <c r="A2625" s="17">
        <v>41463.0</v>
      </c>
      <c r="B2625" s="1"/>
      <c r="C2625" s="1" t="s">
        <v>431</v>
      </c>
      <c r="D2625" s="74"/>
      <c r="E2625" s="67"/>
      <c r="F2625" s="75"/>
      <c r="G2625" s="67"/>
      <c r="H2625" s="68"/>
      <c r="I2625" s="76"/>
      <c r="J2625" s="67"/>
      <c r="K2625" s="7" t="s">
        <v>817</v>
      </c>
      <c r="L2625" s="77"/>
      <c r="M2625" s="79"/>
      <c r="N2625" s="1"/>
      <c r="O2625" s="1"/>
      <c r="P2625" s="1"/>
      <c r="Q2625" s="1"/>
      <c r="R2625" s="1"/>
      <c r="S2625" s="1"/>
      <c r="T2625" s="1"/>
      <c r="U2625" s="1"/>
      <c r="V2625" s="1"/>
      <c r="W2625" s="1"/>
      <c r="X2625" s="1"/>
      <c r="Y2625" s="1"/>
      <c r="Z2625" s="1"/>
      <c r="AA2625" s="1"/>
      <c r="AB2625" s="1"/>
      <c r="AC2625" s="1"/>
      <c r="AD2625" s="1"/>
      <c r="AE2625" s="1"/>
      <c r="AF2625" s="1"/>
      <c r="AG2625" s="1"/>
      <c r="AH2625" s="1"/>
    </row>
    <row r="2626" ht="12.75" hidden="1" customHeight="1" outlineLevel="1">
      <c r="A2626" s="17">
        <v>41463.0</v>
      </c>
      <c r="B2626" s="1"/>
      <c r="C2626" s="1" t="s">
        <v>433</v>
      </c>
      <c r="D2626" s="74"/>
      <c r="E2626" s="67"/>
      <c r="F2626" s="75"/>
      <c r="G2626" s="67"/>
      <c r="H2626" s="68"/>
      <c r="I2626" s="76"/>
      <c r="J2626" s="67"/>
      <c r="K2626" s="7" t="s">
        <v>1103</v>
      </c>
      <c r="L2626" s="77"/>
      <c r="M2626" s="79"/>
      <c r="N2626" s="1"/>
      <c r="O2626" s="1"/>
      <c r="P2626" s="1"/>
      <c r="Q2626" s="1"/>
      <c r="R2626" s="1"/>
      <c r="S2626" s="1"/>
      <c r="T2626" s="1"/>
      <c r="U2626" s="1"/>
      <c r="V2626" s="1"/>
      <c r="W2626" s="1"/>
      <c r="X2626" s="1"/>
      <c r="Y2626" s="1"/>
      <c r="Z2626" s="1"/>
      <c r="AA2626" s="1"/>
      <c r="AB2626" s="1"/>
      <c r="AC2626" s="1"/>
      <c r="AD2626" s="1"/>
      <c r="AE2626" s="1"/>
      <c r="AF2626" s="1"/>
      <c r="AG2626" s="1"/>
      <c r="AH2626" s="1"/>
    </row>
    <row r="2627" ht="12.75" hidden="1" customHeight="1" outlineLevel="1">
      <c r="A2627" s="17">
        <v>41463.0</v>
      </c>
      <c r="B2627" s="1"/>
      <c r="C2627" s="1" t="s">
        <v>435</v>
      </c>
      <c r="D2627" s="74"/>
      <c r="E2627" s="67"/>
      <c r="F2627" s="75"/>
      <c r="G2627" s="67"/>
      <c r="H2627" s="68"/>
      <c r="I2627" s="76"/>
      <c r="J2627" s="67"/>
      <c r="K2627" s="7" t="s">
        <v>1104</v>
      </c>
      <c r="L2627" s="77"/>
      <c r="M2627" s="79"/>
      <c r="N2627" s="1"/>
      <c r="O2627" s="1"/>
      <c r="P2627" s="1"/>
      <c r="Q2627" s="1"/>
      <c r="R2627" s="1"/>
      <c r="S2627" s="1"/>
      <c r="T2627" s="1"/>
      <c r="U2627" s="1"/>
      <c r="V2627" s="1"/>
      <c r="W2627" s="1"/>
      <c r="X2627" s="1"/>
      <c r="Y2627" s="1"/>
      <c r="Z2627" s="1"/>
      <c r="AA2627" s="1"/>
      <c r="AB2627" s="1"/>
      <c r="AC2627" s="1"/>
      <c r="AD2627" s="1"/>
      <c r="AE2627" s="1"/>
      <c r="AF2627" s="1"/>
      <c r="AG2627" s="1"/>
      <c r="AH2627" s="1"/>
    </row>
    <row r="2628" ht="12.75" hidden="1" customHeight="1" outlineLevel="1">
      <c r="A2628" s="17">
        <v>41464.0</v>
      </c>
      <c r="B2628" s="1"/>
      <c r="C2628" s="1" t="s">
        <v>339</v>
      </c>
      <c r="D2628" s="74"/>
      <c r="E2628" s="67"/>
      <c r="F2628" s="75"/>
      <c r="G2628" s="67"/>
      <c r="H2628" s="68"/>
      <c r="I2628" s="76"/>
      <c r="J2628" s="67"/>
      <c r="K2628" s="7" t="s">
        <v>1122</v>
      </c>
      <c r="L2628" s="77"/>
      <c r="M2628" s="79"/>
      <c r="N2628" s="1"/>
      <c r="O2628" s="1"/>
      <c r="P2628" s="1"/>
      <c r="Q2628" s="1"/>
      <c r="R2628" s="1"/>
      <c r="S2628" s="1"/>
      <c r="T2628" s="1"/>
      <c r="U2628" s="1"/>
      <c r="V2628" s="1"/>
      <c r="W2628" s="1"/>
      <c r="X2628" s="1"/>
      <c r="Y2628" s="1"/>
      <c r="Z2628" s="1"/>
      <c r="AA2628" s="1"/>
      <c r="AB2628" s="1"/>
      <c r="AC2628" s="1"/>
      <c r="AD2628" s="1"/>
      <c r="AE2628" s="1"/>
      <c r="AF2628" s="1"/>
      <c r="AG2628" s="1"/>
      <c r="AH2628" s="1"/>
    </row>
    <row r="2629" ht="12.75" hidden="1" customHeight="1" outlineLevel="1">
      <c r="A2629" s="17">
        <v>41464.0</v>
      </c>
      <c r="B2629" s="1"/>
      <c r="C2629" s="1" t="s">
        <v>429</v>
      </c>
      <c r="D2629" s="74"/>
      <c r="E2629" s="67"/>
      <c r="F2629" s="75"/>
      <c r="G2629" s="67"/>
      <c r="H2629" s="68"/>
      <c r="I2629" s="76"/>
      <c r="J2629" s="67"/>
      <c r="K2629" s="7" t="s">
        <v>1034</v>
      </c>
      <c r="L2629" s="77"/>
      <c r="M2629" s="79"/>
      <c r="N2629" s="1"/>
      <c r="O2629" s="1"/>
      <c r="P2629" s="1"/>
      <c r="Q2629" s="1"/>
      <c r="R2629" s="1"/>
      <c r="S2629" s="1"/>
      <c r="T2629" s="1"/>
      <c r="U2629" s="1"/>
      <c r="V2629" s="1"/>
      <c r="W2629" s="1"/>
      <c r="X2629" s="1"/>
      <c r="Y2629" s="1"/>
      <c r="Z2629" s="1"/>
      <c r="AA2629" s="1"/>
      <c r="AB2629" s="1"/>
      <c r="AC2629" s="1"/>
      <c r="AD2629" s="1"/>
      <c r="AE2629" s="1"/>
      <c r="AF2629" s="1"/>
      <c r="AG2629" s="1"/>
      <c r="AH2629" s="1"/>
    </row>
    <row r="2630" ht="12.75" hidden="1" customHeight="1" outlineLevel="1">
      <c r="A2630" s="17">
        <v>41464.0</v>
      </c>
      <c r="B2630" s="1"/>
      <c r="C2630" s="1" t="s">
        <v>431</v>
      </c>
      <c r="D2630" s="74"/>
      <c r="E2630" s="67"/>
      <c r="F2630" s="75"/>
      <c r="G2630" s="67"/>
      <c r="H2630" s="68"/>
      <c r="I2630" s="76"/>
      <c r="J2630" s="67"/>
      <c r="K2630" s="7" t="s">
        <v>817</v>
      </c>
      <c r="L2630" s="77"/>
      <c r="M2630" s="79"/>
      <c r="N2630" s="1"/>
      <c r="O2630" s="1"/>
      <c r="P2630" s="1"/>
      <c r="Q2630" s="1"/>
      <c r="R2630" s="1"/>
      <c r="S2630" s="1"/>
      <c r="T2630" s="1"/>
      <c r="U2630" s="1"/>
      <c r="V2630" s="1"/>
      <c r="W2630" s="1"/>
      <c r="X2630" s="1"/>
      <c r="Y2630" s="1"/>
      <c r="Z2630" s="1"/>
      <c r="AA2630" s="1"/>
      <c r="AB2630" s="1"/>
      <c r="AC2630" s="1"/>
      <c r="AD2630" s="1"/>
      <c r="AE2630" s="1"/>
      <c r="AF2630" s="1"/>
      <c r="AG2630" s="1"/>
      <c r="AH2630" s="1"/>
    </row>
    <row r="2631" ht="12.75" hidden="1" customHeight="1" outlineLevel="1">
      <c r="A2631" s="17">
        <v>41464.0</v>
      </c>
      <c r="B2631" s="1"/>
      <c r="C2631" s="1" t="s">
        <v>433</v>
      </c>
      <c r="D2631" s="74"/>
      <c r="E2631" s="67"/>
      <c r="F2631" s="75"/>
      <c r="G2631" s="67"/>
      <c r="H2631" s="68"/>
      <c r="I2631" s="76"/>
      <c r="J2631" s="67"/>
      <c r="K2631" s="7" t="s">
        <v>1103</v>
      </c>
      <c r="L2631" s="77"/>
      <c r="M2631" s="79"/>
      <c r="N2631" s="1"/>
      <c r="O2631" s="1"/>
      <c r="P2631" s="1"/>
      <c r="Q2631" s="1"/>
      <c r="R2631" s="1"/>
      <c r="S2631" s="1"/>
      <c r="T2631" s="1"/>
      <c r="U2631" s="1"/>
      <c r="V2631" s="1"/>
      <c r="W2631" s="1"/>
      <c r="X2631" s="1"/>
      <c r="Y2631" s="1"/>
      <c r="Z2631" s="1"/>
      <c r="AA2631" s="1"/>
      <c r="AB2631" s="1"/>
      <c r="AC2631" s="1"/>
      <c r="AD2631" s="1"/>
      <c r="AE2631" s="1"/>
      <c r="AF2631" s="1"/>
      <c r="AG2631" s="1"/>
      <c r="AH2631" s="1"/>
    </row>
    <row r="2632" ht="12.75" hidden="1" customHeight="1" outlineLevel="1">
      <c r="A2632" s="17">
        <v>41464.0</v>
      </c>
      <c r="B2632" s="1"/>
      <c r="C2632" s="1" t="s">
        <v>435</v>
      </c>
      <c r="D2632" s="74"/>
      <c r="E2632" s="67"/>
      <c r="F2632" s="75"/>
      <c r="G2632" s="67"/>
      <c r="H2632" s="68"/>
      <c r="I2632" s="76"/>
      <c r="J2632" s="67"/>
      <c r="K2632" s="7" t="s">
        <v>1104</v>
      </c>
      <c r="L2632" s="77"/>
      <c r="M2632" s="79"/>
      <c r="N2632" s="1"/>
      <c r="O2632" s="1"/>
      <c r="P2632" s="1"/>
      <c r="Q2632" s="1"/>
      <c r="R2632" s="1"/>
      <c r="S2632" s="1"/>
      <c r="T2632" s="1"/>
      <c r="U2632" s="1"/>
      <c r="V2632" s="1"/>
      <c r="W2632" s="1"/>
      <c r="X2632" s="1"/>
      <c r="Y2632" s="1"/>
      <c r="Z2632" s="1"/>
      <c r="AA2632" s="1"/>
      <c r="AB2632" s="1"/>
      <c r="AC2632" s="1"/>
      <c r="AD2632" s="1"/>
      <c r="AE2632" s="1"/>
      <c r="AF2632" s="1"/>
      <c r="AG2632" s="1"/>
      <c r="AH2632" s="1"/>
    </row>
    <row r="2633" ht="12.75" hidden="1" customHeight="1" outlineLevel="1">
      <c r="A2633" s="17">
        <v>41466.0</v>
      </c>
      <c r="B2633" s="1" t="s">
        <v>343</v>
      </c>
      <c r="C2633" s="1" t="s">
        <v>1044</v>
      </c>
      <c r="D2633" s="74">
        <v>400.0</v>
      </c>
      <c r="E2633" s="67">
        <v>24.82</v>
      </c>
      <c r="F2633" s="75">
        <v>0.6653472222222222</v>
      </c>
      <c r="G2633" s="67" t="s">
        <v>453</v>
      </c>
      <c r="H2633" s="68">
        <v>2.0</v>
      </c>
      <c r="I2633" s="76"/>
      <c r="J2633" s="67">
        <f t="shared" ref="J2633:J2635" si="187">IF(B2633="SLD",D2633*E2633,-D2633*E2633)-H2633</f>
        <v>-9930</v>
      </c>
      <c r="K2633" s="7"/>
      <c r="L2633" s="70"/>
      <c r="M2633" s="79"/>
      <c r="N2633" s="1"/>
      <c r="O2633" s="1"/>
      <c r="P2633" s="1"/>
      <c r="Q2633" s="1"/>
      <c r="R2633" s="1"/>
      <c r="S2633" s="1"/>
      <c r="T2633" s="1"/>
      <c r="U2633" s="1"/>
      <c r="V2633" s="1"/>
      <c r="W2633" s="1"/>
      <c r="X2633" s="1"/>
      <c r="Y2633" s="1"/>
      <c r="Z2633" s="1"/>
      <c r="AA2633" s="1"/>
      <c r="AB2633" s="1"/>
      <c r="AC2633" s="1"/>
      <c r="AD2633" s="1"/>
      <c r="AE2633" s="1"/>
      <c r="AF2633" s="1"/>
      <c r="AG2633" s="1"/>
      <c r="AH2633" s="1"/>
    </row>
    <row r="2634" ht="12.75" hidden="1" customHeight="1" outlineLevel="1">
      <c r="A2634" s="17">
        <v>41466.0</v>
      </c>
      <c r="B2634" s="1" t="s">
        <v>343</v>
      </c>
      <c r="C2634" s="1" t="s">
        <v>369</v>
      </c>
      <c r="D2634" s="74">
        <v>500.0</v>
      </c>
      <c r="E2634" s="67">
        <v>17.48</v>
      </c>
      <c r="F2634" s="75">
        <v>0.6655439814814815</v>
      </c>
      <c r="G2634" s="67" t="s">
        <v>453</v>
      </c>
      <c r="H2634" s="68">
        <v>2.5</v>
      </c>
      <c r="I2634" s="76"/>
      <c r="J2634" s="67">
        <f t="shared" si="187"/>
        <v>-8742.5</v>
      </c>
      <c r="K2634" s="7"/>
      <c r="L2634" s="70"/>
      <c r="M2634" s="79"/>
      <c r="N2634" s="1"/>
      <c r="O2634" s="1"/>
      <c r="P2634" s="1"/>
      <c r="Q2634" s="1"/>
      <c r="R2634" s="1"/>
      <c r="S2634" s="1"/>
      <c r="T2634" s="1"/>
      <c r="U2634" s="1"/>
      <c r="V2634" s="1"/>
      <c r="W2634" s="1"/>
      <c r="X2634" s="1"/>
      <c r="Y2634" s="1"/>
      <c r="Z2634" s="1"/>
      <c r="AA2634" s="1"/>
      <c r="AB2634" s="1"/>
      <c r="AC2634" s="1"/>
      <c r="AD2634" s="1"/>
      <c r="AE2634" s="1"/>
      <c r="AF2634" s="1"/>
      <c r="AG2634" s="1"/>
      <c r="AH2634" s="1"/>
    </row>
    <row r="2635" ht="12.75" hidden="1" customHeight="1" outlineLevel="1">
      <c r="A2635" s="17">
        <v>41466.0</v>
      </c>
      <c r="B2635" s="1" t="s">
        <v>343</v>
      </c>
      <c r="C2635" s="1" t="s">
        <v>784</v>
      </c>
      <c r="D2635" s="74">
        <v>900.0</v>
      </c>
      <c r="E2635" s="67">
        <v>13.55</v>
      </c>
      <c r="F2635" s="75">
        <v>0.665787037037037</v>
      </c>
      <c r="G2635" s="67" t="s">
        <v>453</v>
      </c>
      <c r="H2635" s="68">
        <v>3.6</v>
      </c>
      <c r="I2635" s="76"/>
      <c r="J2635" s="67">
        <f t="shared" si="187"/>
        <v>-12198.6</v>
      </c>
      <c r="K2635" s="7"/>
      <c r="L2635" s="70"/>
      <c r="M2635" s="79"/>
      <c r="N2635" s="1"/>
      <c r="O2635" s="1"/>
      <c r="P2635" s="1"/>
      <c r="Q2635" s="1"/>
      <c r="R2635" s="1"/>
      <c r="S2635" s="1"/>
      <c r="T2635" s="1"/>
      <c r="U2635" s="1"/>
      <c r="V2635" s="1"/>
      <c r="W2635" s="1"/>
      <c r="X2635" s="1"/>
      <c r="Y2635" s="1"/>
      <c r="Z2635" s="1"/>
      <c r="AA2635" s="1"/>
      <c r="AB2635" s="1"/>
      <c r="AC2635" s="1"/>
      <c r="AD2635" s="1"/>
      <c r="AE2635" s="1"/>
      <c r="AF2635" s="1"/>
      <c r="AG2635" s="1"/>
      <c r="AH2635" s="1"/>
    </row>
    <row r="2636" ht="12.75" hidden="1" customHeight="1" outlineLevel="1">
      <c r="A2636" s="17">
        <v>41466.0</v>
      </c>
      <c r="B2636" s="1"/>
      <c r="C2636" s="1" t="s">
        <v>339</v>
      </c>
      <c r="D2636" s="74"/>
      <c r="E2636" s="67"/>
      <c r="F2636" s="75"/>
      <c r="G2636" s="67"/>
      <c r="H2636" s="68"/>
      <c r="I2636" s="76"/>
      <c r="J2636" s="67"/>
      <c r="K2636" s="7" t="s">
        <v>1124</v>
      </c>
      <c r="L2636" s="77"/>
      <c r="M2636" s="79"/>
      <c r="N2636" s="1"/>
      <c r="O2636" s="1"/>
      <c r="P2636" s="1"/>
      <c r="Q2636" s="1"/>
      <c r="R2636" s="1"/>
      <c r="S2636" s="1"/>
      <c r="T2636" s="1"/>
      <c r="U2636" s="1"/>
      <c r="V2636" s="1"/>
      <c r="W2636" s="1"/>
      <c r="X2636" s="1"/>
      <c r="Y2636" s="1"/>
      <c r="Z2636" s="1"/>
      <c r="AA2636" s="1"/>
      <c r="AB2636" s="1"/>
      <c r="AC2636" s="1"/>
      <c r="AD2636" s="1"/>
      <c r="AE2636" s="1"/>
      <c r="AF2636" s="1"/>
      <c r="AG2636" s="1"/>
      <c r="AH2636" s="1"/>
    </row>
    <row r="2637" ht="12.75" hidden="1" customHeight="1" outlineLevel="1">
      <c r="A2637" s="17">
        <v>41466.0</v>
      </c>
      <c r="B2637" s="1"/>
      <c r="C2637" s="1" t="s">
        <v>429</v>
      </c>
      <c r="D2637" s="74"/>
      <c r="E2637" s="67"/>
      <c r="F2637" s="75"/>
      <c r="G2637" s="67"/>
      <c r="H2637" s="68"/>
      <c r="I2637" s="76"/>
      <c r="J2637" s="67"/>
      <c r="K2637" s="7" t="s">
        <v>1034</v>
      </c>
      <c r="L2637" s="77"/>
      <c r="M2637" s="79"/>
      <c r="N2637" s="1"/>
      <c r="O2637" s="1"/>
      <c r="P2637" s="1"/>
      <c r="Q2637" s="1"/>
      <c r="R2637" s="1"/>
      <c r="S2637" s="1"/>
      <c r="T2637" s="1"/>
      <c r="U2637" s="1"/>
      <c r="V2637" s="1"/>
      <c r="W2637" s="1"/>
      <c r="X2637" s="1"/>
      <c r="Y2637" s="1"/>
      <c r="Z2637" s="1"/>
      <c r="AA2637" s="1"/>
      <c r="AB2637" s="1"/>
      <c r="AC2637" s="1"/>
      <c r="AD2637" s="1"/>
      <c r="AE2637" s="1"/>
      <c r="AF2637" s="1"/>
      <c r="AG2637" s="1"/>
      <c r="AH2637" s="1"/>
    </row>
    <row r="2638" ht="12.75" hidden="1" customHeight="1" outlineLevel="1">
      <c r="A2638" s="17">
        <v>41466.0</v>
      </c>
      <c r="B2638" s="1"/>
      <c r="C2638" s="1" t="s">
        <v>431</v>
      </c>
      <c r="D2638" s="74"/>
      <c r="E2638" s="67"/>
      <c r="F2638" s="75"/>
      <c r="G2638" s="67"/>
      <c r="H2638" s="68"/>
      <c r="I2638" s="76"/>
      <c r="J2638" s="67"/>
      <c r="K2638" s="7" t="s">
        <v>817</v>
      </c>
      <c r="L2638" s="77"/>
      <c r="M2638" s="79"/>
      <c r="N2638" s="1"/>
      <c r="O2638" s="1"/>
      <c r="P2638" s="1"/>
      <c r="Q2638" s="1"/>
      <c r="R2638" s="1"/>
      <c r="S2638" s="1"/>
      <c r="T2638" s="1"/>
      <c r="U2638" s="1"/>
      <c r="V2638" s="1"/>
      <c r="W2638" s="1"/>
      <c r="X2638" s="1"/>
      <c r="Y2638" s="1"/>
      <c r="Z2638" s="1"/>
      <c r="AA2638" s="1"/>
      <c r="AB2638" s="1"/>
      <c r="AC2638" s="1"/>
      <c r="AD2638" s="1"/>
      <c r="AE2638" s="1"/>
      <c r="AF2638" s="1"/>
      <c r="AG2638" s="1"/>
      <c r="AH2638" s="1"/>
    </row>
    <row r="2639" ht="12.75" hidden="1" customHeight="1" outlineLevel="1">
      <c r="A2639" s="17">
        <v>41466.0</v>
      </c>
      <c r="B2639" s="1"/>
      <c r="C2639" s="1" t="s">
        <v>433</v>
      </c>
      <c r="D2639" s="74"/>
      <c r="E2639" s="67"/>
      <c r="F2639" s="75"/>
      <c r="G2639" s="67"/>
      <c r="H2639" s="68"/>
      <c r="I2639" s="76"/>
      <c r="J2639" s="67"/>
      <c r="K2639" s="7" t="s">
        <v>1103</v>
      </c>
      <c r="L2639" s="77"/>
      <c r="M2639" s="79"/>
      <c r="N2639" s="1"/>
      <c r="O2639" s="1"/>
      <c r="P2639" s="1"/>
      <c r="Q2639" s="1"/>
      <c r="R2639" s="1"/>
      <c r="S2639" s="1"/>
      <c r="T2639" s="1"/>
      <c r="U2639" s="1"/>
      <c r="V2639" s="1"/>
      <c r="W2639" s="1"/>
      <c r="X2639" s="1"/>
      <c r="Y2639" s="1"/>
      <c r="Z2639" s="1"/>
      <c r="AA2639" s="1"/>
      <c r="AB2639" s="1"/>
      <c r="AC2639" s="1"/>
      <c r="AD2639" s="1"/>
      <c r="AE2639" s="1"/>
      <c r="AF2639" s="1"/>
      <c r="AG2639" s="1"/>
      <c r="AH2639" s="1"/>
    </row>
    <row r="2640" ht="12.75" hidden="1" customHeight="1" outlineLevel="1">
      <c r="A2640" s="17">
        <v>41466.0</v>
      </c>
      <c r="B2640" s="1"/>
      <c r="C2640" s="1" t="s">
        <v>435</v>
      </c>
      <c r="D2640" s="74"/>
      <c r="E2640" s="67"/>
      <c r="F2640" s="75"/>
      <c r="G2640" s="67"/>
      <c r="H2640" s="68"/>
      <c r="I2640" s="76"/>
      <c r="J2640" s="67"/>
      <c r="K2640" s="7" t="s">
        <v>1104</v>
      </c>
      <c r="L2640" s="77"/>
      <c r="M2640" s="79"/>
      <c r="N2640" s="1"/>
      <c r="O2640" s="1"/>
      <c r="P2640" s="1"/>
      <c r="Q2640" s="1"/>
      <c r="R2640" s="1"/>
      <c r="S2640" s="1"/>
      <c r="T2640" s="1"/>
      <c r="U2640" s="1"/>
      <c r="V2640" s="1"/>
      <c r="W2640" s="1"/>
      <c r="X2640" s="1"/>
      <c r="Y2640" s="1"/>
      <c r="Z2640" s="1"/>
      <c r="AA2640" s="1"/>
      <c r="AB2640" s="1"/>
      <c r="AC2640" s="1"/>
      <c r="AD2640" s="1"/>
      <c r="AE2640" s="1"/>
      <c r="AF2640" s="1"/>
      <c r="AG2640" s="1"/>
      <c r="AH2640" s="1"/>
    </row>
    <row r="2641" ht="12.75" hidden="1" customHeight="1" outlineLevel="1">
      <c r="A2641" s="17">
        <v>41467.0</v>
      </c>
      <c r="B2641" s="1" t="s">
        <v>343</v>
      </c>
      <c r="C2641" s="1" t="s">
        <v>1044</v>
      </c>
      <c r="D2641" s="74">
        <v>200.0</v>
      </c>
      <c r="E2641" s="67">
        <v>24.64</v>
      </c>
      <c r="F2641" s="75">
        <v>0.40723379629629625</v>
      </c>
      <c r="G2641" s="67" t="s">
        <v>453</v>
      </c>
      <c r="H2641" s="68">
        <v>1.0</v>
      </c>
      <c r="I2641" s="76"/>
      <c r="J2641" s="67">
        <f t="shared" ref="J2641:J2643" si="188">IF(B2641="SLD",D2641*E2641,-D2641*E2641)-H2641</f>
        <v>-4929</v>
      </c>
      <c r="K2641" s="7"/>
      <c r="L2641" s="70"/>
      <c r="M2641" s="79"/>
      <c r="N2641" s="1"/>
      <c r="O2641" s="1"/>
      <c r="P2641" s="1"/>
      <c r="Q2641" s="1"/>
      <c r="R2641" s="1"/>
      <c r="S2641" s="1"/>
      <c r="T2641" s="1"/>
      <c r="U2641" s="1"/>
      <c r="V2641" s="1"/>
      <c r="W2641" s="1"/>
      <c r="X2641" s="1"/>
      <c r="Y2641" s="1"/>
      <c r="Z2641" s="1"/>
      <c r="AA2641" s="1"/>
      <c r="AB2641" s="1"/>
      <c r="AC2641" s="1"/>
      <c r="AD2641" s="1"/>
      <c r="AE2641" s="1"/>
      <c r="AF2641" s="1"/>
      <c r="AG2641" s="1"/>
      <c r="AH2641" s="1"/>
    </row>
    <row r="2642" ht="12.75" hidden="1" customHeight="1" outlineLevel="1">
      <c r="A2642" s="17">
        <v>41467.0</v>
      </c>
      <c r="B2642" s="1" t="s">
        <v>343</v>
      </c>
      <c r="C2642" s="1" t="s">
        <v>369</v>
      </c>
      <c r="D2642" s="74">
        <v>300.0</v>
      </c>
      <c r="E2642" s="67">
        <v>17.42</v>
      </c>
      <c r="F2642" s="75">
        <v>0.4075231481481481</v>
      </c>
      <c r="G2642" s="67" t="s">
        <v>453</v>
      </c>
      <c r="H2642" s="68">
        <v>1.2</v>
      </c>
      <c r="I2642" s="76"/>
      <c r="J2642" s="67">
        <f t="shared" si="188"/>
        <v>-5227.2</v>
      </c>
      <c r="K2642" s="7"/>
      <c r="L2642" s="70"/>
      <c r="M2642" s="79"/>
      <c r="N2642" s="1"/>
      <c r="O2642" s="1"/>
      <c r="P2642" s="1"/>
      <c r="Q2642" s="1"/>
      <c r="R2642" s="1"/>
      <c r="S2642" s="1"/>
      <c r="T2642" s="1"/>
      <c r="U2642" s="1"/>
      <c r="V2642" s="1"/>
      <c r="W2642" s="1"/>
      <c r="X2642" s="1"/>
      <c r="Y2642" s="1"/>
      <c r="Z2642" s="1"/>
      <c r="AA2642" s="1"/>
      <c r="AB2642" s="1"/>
      <c r="AC2642" s="1"/>
      <c r="AD2642" s="1"/>
      <c r="AE2642" s="1"/>
      <c r="AF2642" s="1"/>
      <c r="AG2642" s="1"/>
      <c r="AH2642" s="1"/>
    </row>
    <row r="2643" ht="12.75" hidden="1" customHeight="1" outlineLevel="1">
      <c r="A2643" s="17">
        <v>41467.0</v>
      </c>
      <c r="B2643" s="1" t="s">
        <v>343</v>
      </c>
      <c r="C2643" s="1" t="s">
        <v>784</v>
      </c>
      <c r="D2643" s="74">
        <v>400.0</v>
      </c>
      <c r="E2643" s="67">
        <v>13.34</v>
      </c>
      <c r="F2643" s="75">
        <v>0.4077777777777778</v>
      </c>
      <c r="G2643" s="67" t="s">
        <v>453</v>
      </c>
      <c r="H2643" s="68">
        <v>1.6</v>
      </c>
      <c r="I2643" s="76"/>
      <c r="J2643" s="67">
        <f t="shared" si="188"/>
        <v>-5337.6</v>
      </c>
      <c r="K2643" s="7"/>
      <c r="L2643" s="70"/>
      <c r="M2643" s="79"/>
      <c r="N2643" s="1"/>
      <c r="O2643" s="1"/>
      <c r="P2643" s="1"/>
      <c r="Q2643" s="1"/>
      <c r="R2643" s="1"/>
      <c r="S2643" s="1"/>
      <c r="T2643" s="1"/>
      <c r="U2643" s="1"/>
      <c r="V2643" s="1"/>
      <c r="W2643" s="1"/>
      <c r="X2643" s="1"/>
      <c r="Y2643" s="1"/>
      <c r="Z2643" s="1"/>
      <c r="AA2643" s="1"/>
      <c r="AB2643" s="1"/>
      <c r="AC2643" s="1"/>
      <c r="AD2643" s="1"/>
      <c r="AE2643" s="1"/>
      <c r="AF2643" s="1"/>
      <c r="AG2643" s="1"/>
      <c r="AH2643" s="1"/>
    </row>
    <row r="2644" ht="12.75" hidden="1" customHeight="1" outlineLevel="1">
      <c r="A2644" s="17">
        <v>41467.0</v>
      </c>
      <c r="B2644" s="1"/>
      <c r="C2644" s="1" t="s">
        <v>339</v>
      </c>
      <c r="D2644" s="74"/>
      <c r="E2644" s="67"/>
      <c r="F2644" s="75"/>
      <c r="G2644" s="67"/>
      <c r="H2644" s="68"/>
      <c r="I2644" s="76"/>
      <c r="J2644" s="67"/>
      <c r="K2644" s="7" t="s">
        <v>1125</v>
      </c>
      <c r="L2644" s="77"/>
      <c r="M2644" s="79"/>
      <c r="N2644" s="1"/>
      <c r="O2644" s="1"/>
      <c r="P2644" s="1"/>
      <c r="Q2644" s="1"/>
      <c r="R2644" s="1"/>
      <c r="S2644" s="1"/>
      <c r="T2644" s="1"/>
      <c r="U2644" s="1"/>
      <c r="V2644" s="1"/>
      <c r="W2644" s="1"/>
      <c r="X2644" s="1"/>
      <c r="Y2644" s="1"/>
      <c r="Z2644" s="1"/>
      <c r="AA2644" s="1"/>
      <c r="AB2644" s="1"/>
      <c r="AC2644" s="1"/>
      <c r="AD2644" s="1"/>
      <c r="AE2644" s="1"/>
      <c r="AF2644" s="1"/>
      <c r="AG2644" s="1"/>
      <c r="AH2644" s="1"/>
    </row>
    <row r="2645" ht="12.75" hidden="1" customHeight="1" outlineLevel="1">
      <c r="A2645" s="17">
        <v>41467.0</v>
      </c>
      <c r="B2645" s="1"/>
      <c r="C2645" s="1" t="s">
        <v>429</v>
      </c>
      <c r="D2645" s="74"/>
      <c r="E2645" s="67"/>
      <c r="F2645" s="75"/>
      <c r="G2645" s="67"/>
      <c r="H2645" s="68"/>
      <c r="I2645" s="76"/>
      <c r="J2645" s="67"/>
      <c r="K2645" s="7" t="s">
        <v>1034</v>
      </c>
      <c r="L2645" s="77"/>
      <c r="M2645" s="79"/>
      <c r="N2645" s="1"/>
      <c r="O2645" s="1"/>
      <c r="P2645" s="1"/>
      <c r="Q2645" s="1"/>
      <c r="R2645" s="1"/>
      <c r="S2645" s="1"/>
      <c r="T2645" s="1"/>
      <c r="U2645" s="1"/>
      <c r="V2645" s="1"/>
      <c r="W2645" s="1"/>
      <c r="X2645" s="1"/>
      <c r="Y2645" s="1"/>
      <c r="Z2645" s="1"/>
      <c r="AA2645" s="1"/>
      <c r="AB2645" s="1"/>
      <c r="AC2645" s="1"/>
      <c r="AD2645" s="1"/>
      <c r="AE2645" s="1"/>
      <c r="AF2645" s="1"/>
      <c r="AG2645" s="1"/>
      <c r="AH2645" s="1"/>
    </row>
    <row r="2646" ht="12.75" hidden="1" customHeight="1" outlineLevel="1">
      <c r="A2646" s="17">
        <v>41467.0</v>
      </c>
      <c r="B2646" s="1"/>
      <c r="C2646" s="1" t="s">
        <v>431</v>
      </c>
      <c r="D2646" s="74"/>
      <c r="E2646" s="67"/>
      <c r="F2646" s="75"/>
      <c r="G2646" s="67"/>
      <c r="H2646" s="68"/>
      <c r="I2646" s="76"/>
      <c r="J2646" s="67"/>
      <c r="K2646" s="7" t="s">
        <v>1126</v>
      </c>
      <c r="L2646" s="77"/>
      <c r="M2646" s="79"/>
      <c r="N2646" s="1"/>
      <c r="O2646" s="1"/>
      <c r="P2646" s="1"/>
      <c r="Q2646" s="1"/>
      <c r="R2646" s="1"/>
      <c r="S2646" s="1"/>
      <c r="T2646" s="1"/>
      <c r="U2646" s="1"/>
      <c r="V2646" s="1"/>
      <c r="W2646" s="1"/>
      <c r="X2646" s="1"/>
      <c r="Y2646" s="1"/>
      <c r="Z2646" s="1"/>
      <c r="AA2646" s="1"/>
      <c r="AB2646" s="1"/>
      <c r="AC2646" s="1"/>
      <c r="AD2646" s="1"/>
      <c r="AE2646" s="1"/>
      <c r="AF2646" s="1"/>
      <c r="AG2646" s="1"/>
      <c r="AH2646" s="1"/>
    </row>
    <row r="2647" ht="12.75" hidden="1" customHeight="1" outlineLevel="1">
      <c r="A2647" s="17">
        <v>41467.0</v>
      </c>
      <c r="B2647" s="1"/>
      <c r="C2647" s="1" t="s">
        <v>433</v>
      </c>
      <c r="D2647" s="74"/>
      <c r="E2647" s="67"/>
      <c r="F2647" s="75"/>
      <c r="G2647" s="67"/>
      <c r="H2647" s="68"/>
      <c r="I2647" s="76"/>
      <c r="J2647" s="67"/>
      <c r="K2647" s="7" t="s">
        <v>1103</v>
      </c>
      <c r="L2647" s="77"/>
      <c r="M2647" s="79"/>
      <c r="N2647" s="1"/>
      <c r="O2647" s="1"/>
      <c r="P2647" s="1"/>
      <c r="Q2647" s="1"/>
      <c r="R2647" s="1"/>
      <c r="S2647" s="1"/>
      <c r="T2647" s="1"/>
      <c r="U2647" s="1"/>
      <c r="V2647" s="1"/>
      <c r="W2647" s="1"/>
      <c r="X2647" s="1"/>
      <c r="Y2647" s="1"/>
      <c r="Z2647" s="1"/>
      <c r="AA2647" s="1"/>
      <c r="AB2647" s="1"/>
      <c r="AC2647" s="1"/>
      <c r="AD2647" s="1"/>
      <c r="AE2647" s="1"/>
      <c r="AF2647" s="1"/>
      <c r="AG2647" s="1"/>
      <c r="AH2647" s="1"/>
    </row>
    <row r="2648" ht="12.75" hidden="1" customHeight="1" outlineLevel="1">
      <c r="A2648" s="17">
        <v>41467.0</v>
      </c>
      <c r="B2648" s="1"/>
      <c r="C2648" s="1" t="s">
        <v>435</v>
      </c>
      <c r="D2648" s="74"/>
      <c r="E2648" s="67"/>
      <c r="F2648" s="75"/>
      <c r="G2648" s="67"/>
      <c r="H2648" s="68"/>
      <c r="I2648" s="76"/>
      <c r="J2648" s="67"/>
      <c r="K2648" s="7" t="s">
        <v>1104</v>
      </c>
      <c r="L2648" s="77"/>
      <c r="M2648" s="79"/>
      <c r="N2648" s="1"/>
      <c r="O2648" s="1"/>
      <c r="P2648" s="1"/>
      <c r="Q2648" s="1"/>
      <c r="R2648" s="1"/>
      <c r="S2648" s="1"/>
      <c r="T2648" s="1"/>
      <c r="U2648" s="1"/>
      <c r="V2648" s="1"/>
      <c r="W2648" s="1"/>
      <c r="X2648" s="1"/>
      <c r="Y2648" s="1"/>
      <c r="Z2648" s="1"/>
      <c r="AA2648" s="1"/>
      <c r="AB2648" s="1"/>
      <c r="AC2648" s="1"/>
      <c r="AD2648" s="1"/>
      <c r="AE2648" s="1"/>
      <c r="AF2648" s="1"/>
      <c r="AG2648" s="1"/>
      <c r="AH2648" s="1"/>
    </row>
    <row r="2649" ht="12.75" hidden="1" customHeight="1" outlineLevel="1">
      <c r="A2649" s="17">
        <v>41471.0</v>
      </c>
      <c r="B2649" s="1"/>
      <c r="C2649" s="1" t="s">
        <v>339</v>
      </c>
      <c r="D2649" s="74"/>
      <c r="E2649" s="67"/>
      <c r="F2649" s="75"/>
      <c r="G2649" s="67"/>
      <c r="H2649" s="68"/>
      <c r="I2649" s="76"/>
      <c r="J2649" s="67"/>
      <c r="K2649" s="7" t="s">
        <v>1127</v>
      </c>
      <c r="L2649" s="77"/>
      <c r="M2649" s="79"/>
      <c r="N2649" s="1"/>
      <c r="O2649" s="1"/>
      <c r="P2649" s="1"/>
      <c r="Q2649" s="1"/>
      <c r="R2649" s="1"/>
      <c r="S2649" s="1"/>
      <c r="T2649" s="1"/>
      <c r="U2649" s="1"/>
      <c r="V2649" s="1"/>
      <c r="W2649" s="1"/>
      <c r="X2649" s="1"/>
      <c r="Y2649" s="1"/>
      <c r="Z2649" s="1"/>
      <c r="AA2649" s="1"/>
      <c r="AB2649" s="1"/>
      <c r="AC2649" s="1"/>
      <c r="AD2649" s="1"/>
      <c r="AE2649" s="1"/>
      <c r="AF2649" s="1"/>
      <c r="AG2649" s="1"/>
      <c r="AH2649" s="1"/>
    </row>
    <row r="2650" ht="12.75" hidden="1" customHeight="1" outlineLevel="1">
      <c r="A2650" s="17">
        <v>41471.0</v>
      </c>
      <c r="B2650" s="1"/>
      <c r="C2650" s="1" t="s">
        <v>429</v>
      </c>
      <c r="D2650" s="74"/>
      <c r="E2650" s="67"/>
      <c r="F2650" s="75"/>
      <c r="G2650" s="67"/>
      <c r="H2650" s="68"/>
      <c r="I2650" s="76"/>
      <c r="J2650" s="67"/>
      <c r="K2650" s="7" t="s">
        <v>1034</v>
      </c>
      <c r="L2650" s="77"/>
      <c r="M2650" s="79"/>
      <c r="N2650" s="1"/>
      <c r="O2650" s="1"/>
      <c r="P2650" s="1"/>
      <c r="Q2650" s="1"/>
      <c r="R2650" s="1"/>
      <c r="S2650" s="1"/>
      <c r="T2650" s="1"/>
      <c r="U2650" s="1"/>
      <c r="V2650" s="1"/>
      <c r="W2650" s="1"/>
      <c r="X2650" s="1"/>
      <c r="Y2650" s="1"/>
      <c r="Z2650" s="1"/>
      <c r="AA2650" s="1"/>
      <c r="AB2650" s="1"/>
      <c r="AC2650" s="1"/>
      <c r="AD2650" s="1"/>
      <c r="AE2650" s="1"/>
      <c r="AF2650" s="1"/>
      <c r="AG2650" s="1"/>
      <c r="AH2650" s="1"/>
    </row>
    <row r="2651" ht="12.75" hidden="1" customHeight="1" outlineLevel="1">
      <c r="A2651" s="17">
        <v>41471.0</v>
      </c>
      <c r="B2651" s="1"/>
      <c r="C2651" s="1" t="s">
        <v>431</v>
      </c>
      <c r="D2651" s="74"/>
      <c r="E2651" s="67"/>
      <c r="F2651" s="75"/>
      <c r="G2651" s="67"/>
      <c r="H2651" s="68"/>
      <c r="I2651" s="76"/>
      <c r="J2651" s="67"/>
      <c r="K2651" s="7" t="s">
        <v>1126</v>
      </c>
      <c r="L2651" s="77"/>
      <c r="M2651" s="79"/>
      <c r="N2651" s="1"/>
      <c r="O2651" s="1"/>
      <c r="P2651" s="1"/>
      <c r="Q2651" s="1"/>
      <c r="R2651" s="1"/>
      <c r="S2651" s="1"/>
      <c r="T2651" s="1"/>
      <c r="U2651" s="1"/>
      <c r="V2651" s="1"/>
      <c r="W2651" s="1"/>
      <c r="X2651" s="1"/>
      <c r="Y2651" s="1"/>
      <c r="Z2651" s="1"/>
      <c r="AA2651" s="1"/>
      <c r="AB2651" s="1"/>
      <c r="AC2651" s="1"/>
      <c r="AD2651" s="1"/>
      <c r="AE2651" s="1"/>
      <c r="AF2651" s="1"/>
      <c r="AG2651" s="1"/>
      <c r="AH2651" s="1"/>
    </row>
    <row r="2652" ht="12.75" hidden="1" customHeight="1" outlineLevel="1">
      <c r="A2652" s="17">
        <v>41471.0</v>
      </c>
      <c r="B2652" s="1"/>
      <c r="C2652" s="1" t="s">
        <v>433</v>
      </c>
      <c r="D2652" s="74"/>
      <c r="E2652" s="67"/>
      <c r="F2652" s="75"/>
      <c r="G2652" s="67"/>
      <c r="H2652" s="68"/>
      <c r="I2652" s="76"/>
      <c r="J2652" s="67"/>
      <c r="K2652" s="7" t="s">
        <v>1103</v>
      </c>
      <c r="L2652" s="77"/>
      <c r="M2652" s="79"/>
      <c r="N2652" s="1"/>
      <c r="O2652" s="1"/>
      <c r="P2652" s="1"/>
      <c r="Q2652" s="1"/>
      <c r="R2652" s="1"/>
      <c r="S2652" s="1"/>
      <c r="T2652" s="1"/>
      <c r="U2652" s="1"/>
      <c r="V2652" s="1"/>
      <c r="W2652" s="1"/>
      <c r="X2652" s="1"/>
      <c r="Y2652" s="1"/>
      <c r="Z2652" s="1"/>
      <c r="AA2652" s="1"/>
      <c r="AB2652" s="1"/>
      <c r="AC2652" s="1"/>
      <c r="AD2652" s="1"/>
      <c r="AE2652" s="1"/>
      <c r="AF2652" s="1"/>
      <c r="AG2652" s="1"/>
      <c r="AH2652" s="1"/>
    </row>
    <row r="2653" ht="12.75" hidden="1" customHeight="1" outlineLevel="1">
      <c r="A2653" s="17">
        <v>41471.0</v>
      </c>
      <c r="B2653" s="1"/>
      <c r="C2653" s="1" t="s">
        <v>435</v>
      </c>
      <c r="D2653" s="74"/>
      <c r="E2653" s="67"/>
      <c r="F2653" s="75"/>
      <c r="G2653" s="67"/>
      <c r="H2653" s="68"/>
      <c r="I2653" s="76"/>
      <c r="J2653" s="67"/>
      <c r="K2653" s="7" t="s">
        <v>1104</v>
      </c>
      <c r="L2653" s="77"/>
      <c r="M2653" s="79"/>
      <c r="N2653" s="1"/>
      <c r="O2653" s="1"/>
      <c r="P2653" s="1"/>
      <c r="Q2653" s="1"/>
      <c r="R2653" s="1"/>
      <c r="S2653" s="1"/>
      <c r="T2653" s="1"/>
      <c r="U2653" s="1"/>
      <c r="V2653" s="1"/>
      <c r="W2653" s="1"/>
      <c r="X2653" s="1"/>
      <c r="Y2653" s="1"/>
      <c r="Z2653" s="1"/>
      <c r="AA2653" s="1"/>
      <c r="AB2653" s="1"/>
      <c r="AC2653" s="1"/>
      <c r="AD2653" s="1"/>
      <c r="AE2653" s="1"/>
      <c r="AF2653" s="1"/>
      <c r="AG2653" s="1"/>
      <c r="AH2653" s="1"/>
    </row>
    <row r="2654" ht="12.75" hidden="1" customHeight="1" outlineLevel="1">
      <c r="A2654" s="17">
        <v>41472.0</v>
      </c>
      <c r="B2654" s="1" t="s">
        <v>347</v>
      </c>
      <c r="C2654" s="1" t="s">
        <v>1044</v>
      </c>
      <c r="D2654" s="74">
        <v>400.0</v>
      </c>
      <c r="E2654" s="67">
        <v>25.05</v>
      </c>
      <c r="F2654" s="75">
        <v>0.49364583333333334</v>
      </c>
      <c r="G2654" s="67" t="s">
        <v>453</v>
      </c>
      <c r="H2654" s="68">
        <v>1.8</v>
      </c>
      <c r="I2654" s="76"/>
      <c r="J2654" s="67">
        <f t="shared" ref="J2654:J2657" si="189">IF(B2654="SLD",D2654*E2654,-D2654*E2654)-H2654</f>
        <v>10018.2</v>
      </c>
      <c r="K2654" s="7"/>
      <c r="L2654" s="70"/>
      <c r="M2654" s="79"/>
      <c r="N2654" s="1"/>
      <c r="O2654" s="1"/>
      <c r="P2654" s="1"/>
      <c r="Q2654" s="1"/>
      <c r="R2654" s="1"/>
      <c r="S2654" s="1"/>
      <c r="T2654" s="1"/>
      <c r="U2654" s="1"/>
      <c r="V2654" s="1"/>
      <c r="W2654" s="1"/>
      <c r="X2654" s="1"/>
      <c r="Y2654" s="1"/>
      <c r="Z2654" s="1"/>
      <c r="AA2654" s="1"/>
      <c r="AB2654" s="1"/>
      <c r="AC2654" s="1"/>
      <c r="AD2654" s="1"/>
      <c r="AE2654" s="1"/>
      <c r="AF2654" s="1"/>
      <c r="AG2654" s="1"/>
      <c r="AH2654" s="1"/>
    </row>
    <row r="2655" ht="12.75" hidden="1" customHeight="1" outlineLevel="1">
      <c r="A2655" s="17">
        <v>41472.0</v>
      </c>
      <c r="B2655" s="1" t="s">
        <v>347</v>
      </c>
      <c r="C2655" s="1" t="s">
        <v>784</v>
      </c>
      <c r="D2655" s="74">
        <v>1000.0</v>
      </c>
      <c r="E2655" s="67">
        <v>14.22</v>
      </c>
      <c r="F2655" s="75">
        <v>0.4940162037037037</v>
      </c>
      <c r="G2655" s="67" t="s">
        <v>453</v>
      </c>
      <c r="H2655" s="68">
        <v>4.4</v>
      </c>
      <c r="I2655" s="76"/>
      <c r="J2655" s="67">
        <f t="shared" si="189"/>
        <v>14215.6</v>
      </c>
      <c r="K2655" s="7"/>
      <c r="L2655" s="70"/>
      <c r="M2655" s="79"/>
      <c r="N2655" s="1"/>
      <c r="O2655" s="1"/>
      <c r="P2655" s="1"/>
      <c r="Q2655" s="1"/>
      <c r="R2655" s="1"/>
      <c r="S2655" s="1"/>
      <c r="T2655" s="1"/>
      <c r="U2655" s="1"/>
      <c r="V2655" s="1"/>
      <c r="W2655" s="1"/>
      <c r="X2655" s="1"/>
      <c r="Y2655" s="1"/>
      <c r="Z2655" s="1"/>
      <c r="AA2655" s="1"/>
      <c r="AB2655" s="1"/>
      <c r="AC2655" s="1"/>
      <c r="AD2655" s="1"/>
      <c r="AE2655" s="1"/>
      <c r="AF2655" s="1"/>
      <c r="AG2655" s="1"/>
      <c r="AH2655" s="1"/>
    </row>
    <row r="2656" ht="12.75" hidden="1" customHeight="1" outlineLevel="1">
      <c r="A2656" s="17">
        <v>41472.0</v>
      </c>
      <c r="B2656" s="1" t="s">
        <v>347</v>
      </c>
      <c r="C2656" s="1" t="s">
        <v>369</v>
      </c>
      <c r="D2656" s="74">
        <v>600.0</v>
      </c>
      <c r="E2656" s="67">
        <v>17.63</v>
      </c>
      <c r="F2656" s="75">
        <v>0.49444444444444446</v>
      </c>
      <c r="G2656" s="67" t="s">
        <v>453</v>
      </c>
      <c r="H2656" s="68">
        <v>2.4</v>
      </c>
      <c r="I2656" s="76"/>
      <c r="J2656" s="67">
        <f t="shared" si="189"/>
        <v>10575.6</v>
      </c>
      <c r="K2656" s="7"/>
      <c r="L2656" s="70"/>
      <c r="M2656" s="79"/>
      <c r="N2656" s="1"/>
      <c r="O2656" s="1"/>
      <c r="P2656" s="1"/>
      <c r="Q2656" s="1"/>
      <c r="R2656" s="1"/>
      <c r="S2656" s="1"/>
      <c r="T2656" s="1"/>
      <c r="U2656" s="1"/>
      <c r="V2656" s="1"/>
      <c r="W2656" s="1"/>
      <c r="X2656" s="1"/>
      <c r="Y2656" s="1"/>
      <c r="Z2656" s="1"/>
      <c r="AA2656" s="1"/>
      <c r="AB2656" s="1"/>
      <c r="AC2656" s="1"/>
      <c r="AD2656" s="1"/>
      <c r="AE2656" s="1"/>
      <c r="AF2656" s="1"/>
      <c r="AG2656" s="1"/>
      <c r="AH2656" s="1"/>
    </row>
    <row r="2657" ht="12.75" hidden="1" customHeight="1" outlineLevel="1">
      <c r="A2657" s="17">
        <v>41472.0</v>
      </c>
      <c r="B2657" s="1" t="s">
        <v>347</v>
      </c>
      <c r="C2657" s="1" t="s">
        <v>1044</v>
      </c>
      <c r="D2657" s="74">
        <v>100.0</v>
      </c>
      <c r="E2657" s="67">
        <v>24.9</v>
      </c>
      <c r="F2657" s="75">
        <v>0.49862268518518515</v>
      </c>
      <c r="G2657" s="67" t="s">
        <v>453</v>
      </c>
      <c r="H2657" s="68">
        <v>1.0</v>
      </c>
      <c r="I2657" s="76"/>
      <c r="J2657" s="67">
        <f t="shared" si="189"/>
        <v>2489</v>
      </c>
      <c r="K2657" s="7"/>
      <c r="L2657" s="70"/>
      <c r="M2657" s="79"/>
      <c r="N2657" s="1"/>
      <c r="O2657" s="1"/>
      <c r="P2657" s="1"/>
      <c r="Q2657" s="1"/>
      <c r="R2657" s="1"/>
      <c r="S2657" s="1"/>
      <c r="T2657" s="1"/>
      <c r="U2657" s="1"/>
      <c r="V2657" s="1"/>
      <c r="W2657" s="1"/>
      <c r="X2657" s="1"/>
      <c r="Y2657" s="1"/>
      <c r="Z2657" s="1"/>
      <c r="AA2657" s="1"/>
      <c r="AB2657" s="1"/>
      <c r="AC2657" s="1"/>
      <c r="AD2657" s="1"/>
      <c r="AE2657" s="1"/>
      <c r="AF2657" s="1"/>
      <c r="AG2657" s="1"/>
      <c r="AH2657" s="1"/>
    </row>
    <row r="2658" ht="12.75" hidden="1" customHeight="1" outlineLevel="1">
      <c r="A2658" s="17">
        <v>41472.0</v>
      </c>
      <c r="B2658" s="1"/>
      <c r="C2658" s="1" t="s">
        <v>339</v>
      </c>
      <c r="D2658" s="74"/>
      <c r="E2658" s="67"/>
      <c r="F2658" s="75"/>
      <c r="G2658" s="67"/>
      <c r="H2658" s="68"/>
      <c r="I2658" s="76"/>
      <c r="J2658" s="67"/>
      <c r="K2658" s="7" t="s">
        <v>1129</v>
      </c>
      <c r="L2658" s="77"/>
      <c r="M2658" s="79"/>
      <c r="N2658" s="1"/>
      <c r="O2658" s="1"/>
      <c r="P2658" s="1"/>
      <c r="Q2658" s="1"/>
      <c r="R2658" s="1"/>
      <c r="S2658" s="1"/>
      <c r="T2658" s="1"/>
      <c r="U2658" s="1"/>
      <c r="V2658" s="1"/>
      <c r="W2658" s="1"/>
      <c r="X2658" s="1"/>
      <c r="Y2658" s="1"/>
      <c r="Z2658" s="1"/>
      <c r="AA2658" s="1"/>
      <c r="AB2658" s="1"/>
      <c r="AC2658" s="1"/>
      <c r="AD2658" s="1"/>
      <c r="AE2658" s="1"/>
      <c r="AF2658" s="1"/>
      <c r="AG2658" s="1"/>
      <c r="AH2658" s="1"/>
    </row>
    <row r="2659" ht="12.75" hidden="1" customHeight="1" outlineLevel="1">
      <c r="A2659" s="17">
        <v>41472.0</v>
      </c>
      <c r="B2659" s="1"/>
      <c r="C2659" s="1" t="s">
        <v>429</v>
      </c>
      <c r="D2659" s="74"/>
      <c r="E2659" s="67"/>
      <c r="F2659" s="75"/>
      <c r="G2659" s="67"/>
      <c r="H2659" s="68"/>
      <c r="I2659" s="76"/>
      <c r="J2659" s="67"/>
      <c r="K2659" s="7" t="s">
        <v>1034</v>
      </c>
      <c r="L2659" s="77"/>
      <c r="M2659" s="79"/>
      <c r="N2659" s="1"/>
      <c r="O2659" s="1"/>
      <c r="P2659" s="1"/>
      <c r="Q2659" s="1"/>
      <c r="R2659" s="1"/>
      <c r="S2659" s="1"/>
      <c r="T2659" s="1"/>
      <c r="U2659" s="1"/>
      <c r="V2659" s="1"/>
      <c r="W2659" s="1"/>
      <c r="X2659" s="1"/>
      <c r="Y2659" s="1"/>
      <c r="Z2659" s="1"/>
      <c r="AA2659" s="1"/>
      <c r="AB2659" s="1"/>
      <c r="AC2659" s="1"/>
      <c r="AD2659" s="1"/>
      <c r="AE2659" s="1"/>
      <c r="AF2659" s="1"/>
      <c r="AG2659" s="1"/>
      <c r="AH2659" s="1"/>
    </row>
    <row r="2660" ht="12.75" hidden="1" customHeight="1" outlineLevel="1">
      <c r="A2660" s="17">
        <v>41472.0</v>
      </c>
      <c r="B2660" s="1"/>
      <c r="C2660" s="1" t="s">
        <v>431</v>
      </c>
      <c r="D2660" s="74"/>
      <c r="E2660" s="67"/>
      <c r="F2660" s="75"/>
      <c r="G2660" s="67"/>
      <c r="H2660" s="68"/>
      <c r="I2660" s="76"/>
      <c r="J2660" s="67"/>
      <c r="K2660" s="7" t="s">
        <v>1126</v>
      </c>
      <c r="L2660" s="77"/>
      <c r="M2660" s="79"/>
      <c r="N2660" s="1"/>
      <c r="O2660" s="1"/>
      <c r="P2660" s="1"/>
      <c r="Q2660" s="1"/>
      <c r="R2660" s="1"/>
      <c r="S2660" s="1"/>
      <c r="T2660" s="1"/>
      <c r="U2660" s="1"/>
      <c r="V2660" s="1"/>
      <c r="W2660" s="1"/>
      <c r="X2660" s="1"/>
      <c r="Y2660" s="1"/>
      <c r="Z2660" s="1"/>
      <c r="AA2660" s="1"/>
      <c r="AB2660" s="1"/>
      <c r="AC2660" s="1"/>
      <c r="AD2660" s="1"/>
      <c r="AE2660" s="1"/>
      <c r="AF2660" s="1"/>
      <c r="AG2660" s="1"/>
      <c r="AH2660" s="1"/>
    </row>
    <row r="2661" ht="12.75" hidden="1" customHeight="1" outlineLevel="1">
      <c r="A2661" s="17">
        <v>41472.0</v>
      </c>
      <c r="B2661" s="1"/>
      <c r="C2661" s="1" t="s">
        <v>433</v>
      </c>
      <c r="D2661" s="74"/>
      <c r="E2661" s="67"/>
      <c r="F2661" s="75"/>
      <c r="G2661" s="67"/>
      <c r="H2661" s="68"/>
      <c r="I2661" s="76"/>
      <c r="J2661" s="67"/>
      <c r="K2661" s="7" t="s">
        <v>1103</v>
      </c>
      <c r="L2661" s="77"/>
      <c r="M2661" s="79"/>
      <c r="N2661" s="1"/>
      <c r="O2661" s="1"/>
      <c r="P2661" s="1"/>
      <c r="Q2661" s="1"/>
      <c r="R2661" s="1"/>
      <c r="S2661" s="1"/>
      <c r="T2661" s="1"/>
      <c r="U2661" s="1"/>
      <c r="V2661" s="1"/>
      <c r="W2661" s="1"/>
      <c r="X2661" s="1"/>
      <c r="Y2661" s="1"/>
      <c r="Z2661" s="1"/>
      <c r="AA2661" s="1"/>
      <c r="AB2661" s="1"/>
      <c r="AC2661" s="1"/>
      <c r="AD2661" s="1"/>
      <c r="AE2661" s="1"/>
      <c r="AF2661" s="1"/>
      <c r="AG2661" s="1"/>
      <c r="AH2661" s="1"/>
    </row>
    <row r="2662" ht="12.75" hidden="1" customHeight="1" outlineLevel="1">
      <c r="A2662" s="17">
        <v>41472.0</v>
      </c>
      <c r="B2662" s="1"/>
      <c r="C2662" s="1" t="s">
        <v>435</v>
      </c>
      <c r="D2662" s="74"/>
      <c r="E2662" s="67"/>
      <c r="F2662" s="75"/>
      <c r="G2662" s="67"/>
      <c r="H2662" s="68"/>
      <c r="I2662" s="76"/>
      <c r="J2662" s="67"/>
      <c r="K2662" s="7" t="s">
        <v>1104</v>
      </c>
      <c r="L2662" s="77"/>
      <c r="M2662" s="79"/>
      <c r="N2662" s="1"/>
      <c r="O2662" s="1"/>
      <c r="P2662" s="1"/>
      <c r="Q2662" s="1"/>
      <c r="R2662" s="1"/>
      <c r="S2662" s="1"/>
      <c r="T2662" s="1"/>
      <c r="U2662" s="1"/>
      <c r="V2662" s="1"/>
      <c r="W2662" s="1"/>
      <c r="X2662" s="1"/>
      <c r="Y2662" s="1"/>
      <c r="Z2662" s="1"/>
      <c r="AA2662" s="1"/>
      <c r="AB2662" s="1"/>
      <c r="AC2662" s="1"/>
      <c r="AD2662" s="1"/>
      <c r="AE2662" s="1"/>
      <c r="AF2662" s="1"/>
      <c r="AG2662" s="1"/>
      <c r="AH2662" s="1"/>
    </row>
    <row r="2663" ht="12.75" hidden="1" customHeight="1" outlineLevel="1">
      <c r="A2663" s="17">
        <v>41474.0</v>
      </c>
      <c r="B2663" s="1" t="s">
        <v>347</v>
      </c>
      <c r="C2663" s="1" t="s">
        <v>369</v>
      </c>
      <c r="D2663" s="74">
        <v>200.0</v>
      </c>
      <c r="E2663" s="67">
        <v>17.58</v>
      </c>
      <c r="F2663" s="75">
        <v>0.5138657407407408</v>
      </c>
      <c r="G2663" s="67" t="s">
        <v>453</v>
      </c>
      <c r="H2663" s="68">
        <v>1.0</v>
      </c>
      <c r="I2663" s="76"/>
      <c r="J2663" s="67">
        <f t="shared" ref="J2663:J2665" si="190">IF(B2663="SLD",D2663*E2663,-D2663*E2663)-H2663</f>
        <v>3515</v>
      </c>
      <c r="K2663" s="7"/>
      <c r="L2663" s="70"/>
      <c r="M2663" s="79"/>
      <c r="N2663" s="1"/>
      <c r="O2663" s="1"/>
      <c r="P2663" s="1"/>
      <c r="Q2663" s="1"/>
      <c r="R2663" s="1"/>
      <c r="S2663" s="1"/>
      <c r="T2663" s="1"/>
      <c r="U2663" s="1"/>
      <c r="V2663" s="1"/>
      <c r="W2663" s="1"/>
      <c r="X2663" s="1"/>
      <c r="Y2663" s="1"/>
      <c r="Z2663" s="1"/>
      <c r="AA2663" s="1"/>
      <c r="AB2663" s="1"/>
      <c r="AC2663" s="1"/>
      <c r="AD2663" s="1"/>
      <c r="AE2663" s="1"/>
      <c r="AF2663" s="1"/>
      <c r="AG2663" s="1"/>
      <c r="AH2663" s="1"/>
    </row>
    <row r="2664" ht="12.75" hidden="1" customHeight="1" outlineLevel="1">
      <c r="A2664" s="17">
        <v>41474.0</v>
      </c>
      <c r="B2664" s="1" t="s">
        <v>347</v>
      </c>
      <c r="C2664" s="1" t="s">
        <v>1044</v>
      </c>
      <c r="D2664" s="74">
        <v>200.0</v>
      </c>
      <c r="E2664" s="67">
        <v>25.29</v>
      </c>
      <c r="F2664" s="75">
        <v>0.5141666666666667</v>
      </c>
      <c r="G2664" s="67" t="s">
        <v>453</v>
      </c>
      <c r="H2664" s="68">
        <v>1.0</v>
      </c>
      <c r="I2664" s="76"/>
      <c r="J2664" s="67">
        <f t="shared" si="190"/>
        <v>5057</v>
      </c>
      <c r="K2664" s="7"/>
      <c r="L2664" s="70"/>
      <c r="M2664" s="79"/>
      <c r="N2664" s="1"/>
      <c r="O2664" s="1"/>
      <c r="P2664" s="1"/>
      <c r="Q2664" s="1"/>
      <c r="R2664" s="1"/>
      <c r="S2664" s="1"/>
      <c r="T2664" s="1"/>
      <c r="U2664" s="1"/>
      <c r="V2664" s="1"/>
      <c r="W2664" s="1"/>
      <c r="X2664" s="1"/>
      <c r="Y2664" s="1"/>
      <c r="Z2664" s="1"/>
      <c r="AA2664" s="1"/>
      <c r="AB2664" s="1"/>
      <c r="AC2664" s="1"/>
      <c r="AD2664" s="1"/>
      <c r="AE2664" s="1"/>
      <c r="AF2664" s="1"/>
      <c r="AG2664" s="1"/>
      <c r="AH2664" s="1"/>
    </row>
    <row r="2665" ht="12.75" hidden="1" customHeight="1" outlineLevel="1">
      <c r="A2665" s="17">
        <v>41474.0</v>
      </c>
      <c r="B2665" s="1" t="s">
        <v>347</v>
      </c>
      <c r="C2665" s="1" t="s">
        <v>784</v>
      </c>
      <c r="D2665" s="74">
        <v>300.0</v>
      </c>
      <c r="E2665" s="67">
        <v>13.93</v>
      </c>
      <c r="F2665" s="75">
        <v>0.5145023148148148</v>
      </c>
      <c r="G2665" s="67" t="s">
        <v>453</v>
      </c>
      <c r="H2665" s="68">
        <v>1.2</v>
      </c>
      <c r="I2665" s="76"/>
      <c r="J2665" s="67">
        <f t="shared" si="190"/>
        <v>4177.8</v>
      </c>
      <c r="K2665" s="7"/>
      <c r="L2665" s="70"/>
      <c r="M2665" s="79"/>
      <c r="N2665" s="1"/>
      <c r="O2665" s="1"/>
      <c r="P2665" s="1"/>
      <c r="Q2665" s="1"/>
      <c r="R2665" s="1"/>
      <c r="S2665" s="1"/>
      <c r="T2665" s="1"/>
      <c r="U2665" s="1"/>
      <c r="V2665" s="1"/>
      <c r="W2665" s="1"/>
      <c r="X2665" s="1"/>
      <c r="Y2665" s="1"/>
      <c r="Z2665" s="1"/>
      <c r="AA2665" s="1"/>
      <c r="AB2665" s="1"/>
      <c r="AC2665" s="1"/>
      <c r="AD2665" s="1"/>
      <c r="AE2665" s="1"/>
      <c r="AF2665" s="1"/>
      <c r="AG2665" s="1"/>
      <c r="AH2665" s="1"/>
    </row>
    <row r="2666" ht="12.75" hidden="1" customHeight="1" outlineLevel="1">
      <c r="A2666" s="17">
        <v>41474.0</v>
      </c>
      <c r="B2666" s="1"/>
      <c r="C2666" s="1" t="s">
        <v>339</v>
      </c>
      <c r="D2666" s="74"/>
      <c r="E2666" s="67"/>
      <c r="F2666" s="75"/>
      <c r="G2666" s="67"/>
      <c r="H2666" s="68"/>
      <c r="I2666" s="76"/>
      <c r="J2666" s="67"/>
      <c r="K2666" s="7" t="s">
        <v>1130</v>
      </c>
      <c r="L2666" s="77"/>
      <c r="M2666" s="79"/>
      <c r="N2666" s="1"/>
      <c r="O2666" s="1"/>
      <c r="P2666" s="1"/>
      <c r="Q2666" s="1"/>
      <c r="R2666" s="1"/>
      <c r="S2666" s="1"/>
      <c r="T2666" s="1"/>
      <c r="U2666" s="1"/>
      <c r="V2666" s="1"/>
      <c r="W2666" s="1"/>
      <c r="X2666" s="1"/>
      <c r="Y2666" s="1"/>
      <c r="Z2666" s="1"/>
      <c r="AA2666" s="1"/>
      <c r="AB2666" s="1"/>
      <c r="AC2666" s="1"/>
      <c r="AD2666" s="1"/>
      <c r="AE2666" s="1"/>
      <c r="AF2666" s="1"/>
      <c r="AG2666" s="1"/>
      <c r="AH2666" s="1"/>
    </row>
    <row r="2667" ht="12.75" hidden="1" customHeight="1" outlineLevel="1">
      <c r="A2667" s="17">
        <v>41474.0</v>
      </c>
      <c r="B2667" s="1"/>
      <c r="C2667" s="1" t="s">
        <v>429</v>
      </c>
      <c r="D2667" s="74"/>
      <c r="E2667" s="67"/>
      <c r="F2667" s="75"/>
      <c r="G2667" s="67"/>
      <c r="H2667" s="68"/>
      <c r="I2667" s="76"/>
      <c r="J2667" s="67"/>
      <c r="K2667" s="7" t="s">
        <v>1034</v>
      </c>
      <c r="L2667" s="77"/>
      <c r="M2667" s="79"/>
      <c r="N2667" s="1"/>
      <c r="O2667" s="1"/>
      <c r="P2667" s="1"/>
      <c r="Q2667" s="1"/>
      <c r="R2667" s="1"/>
      <c r="S2667" s="1"/>
      <c r="T2667" s="1"/>
      <c r="U2667" s="1"/>
      <c r="V2667" s="1"/>
      <c r="W2667" s="1"/>
      <c r="X2667" s="1"/>
      <c r="Y2667" s="1"/>
      <c r="Z2667" s="1"/>
      <c r="AA2667" s="1"/>
      <c r="AB2667" s="1"/>
      <c r="AC2667" s="1"/>
      <c r="AD2667" s="1"/>
      <c r="AE2667" s="1"/>
      <c r="AF2667" s="1"/>
      <c r="AG2667" s="1"/>
      <c r="AH2667" s="1"/>
    </row>
    <row r="2668" ht="12.75" hidden="1" customHeight="1" outlineLevel="1">
      <c r="A2668" s="17">
        <v>41474.0</v>
      </c>
      <c r="B2668" s="1"/>
      <c r="C2668" s="1" t="s">
        <v>431</v>
      </c>
      <c r="D2668" s="74"/>
      <c r="E2668" s="67"/>
      <c r="F2668" s="75"/>
      <c r="G2668" s="67"/>
      <c r="H2668" s="68"/>
      <c r="I2668" s="76"/>
      <c r="J2668" s="67"/>
      <c r="K2668" s="7" t="s">
        <v>1126</v>
      </c>
      <c r="L2668" s="77"/>
      <c r="M2668" s="79"/>
      <c r="N2668" s="1"/>
      <c r="O2668" s="1"/>
      <c r="P2668" s="1"/>
      <c r="Q2668" s="1"/>
      <c r="R2668" s="1"/>
      <c r="S2668" s="1"/>
      <c r="T2668" s="1"/>
      <c r="U2668" s="1"/>
      <c r="V2668" s="1"/>
      <c r="W2668" s="1"/>
      <c r="X2668" s="1"/>
      <c r="Y2668" s="1"/>
      <c r="Z2668" s="1"/>
      <c r="AA2668" s="1"/>
      <c r="AB2668" s="1"/>
      <c r="AC2668" s="1"/>
      <c r="AD2668" s="1"/>
      <c r="AE2668" s="1"/>
      <c r="AF2668" s="1"/>
      <c r="AG2668" s="1"/>
      <c r="AH2668" s="1"/>
    </row>
    <row r="2669" ht="12.75" hidden="1" customHeight="1" outlineLevel="1">
      <c r="A2669" s="17">
        <v>41474.0</v>
      </c>
      <c r="B2669" s="1"/>
      <c r="C2669" s="1" t="s">
        <v>433</v>
      </c>
      <c r="D2669" s="74"/>
      <c r="E2669" s="67"/>
      <c r="F2669" s="75"/>
      <c r="G2669" s="67"/>
      <c r="H2669" s="68"/>
      <c r="I2669" s="76"/>
      <c r="J2669" s="67"/>
      <c r="K2669" s="7" t="s">
        <v>1103</v>
      </c>
      <c r="L2669" s="77"/>
      <c r="M2669" s="79"/>
      <c r="N2669" s="1"/>
      <c r="O2669" s="1"/>
      <c r="P2669" s="1"/>
      <c r="Q2669" s="1"/>
      <c r="R2669" s="1"/>
      <c r="S2669" s="1"/>
      <c r="T2669" s="1"/>
      <c r="U2669" s="1"/>
      <c r="V2669" s="1"/>
      <c r="W2669" s="1"/>
      <c r="X2669" s="1"/>
      <c r="Y2669" s="1"/>
      <c r="Z2669" s="1"/>
      <c r="AA2669" s="1"/>
      <c r="AB2669" s="1"/>
      <c r="AC2669" s="1"/>
      <c r="AD2669" s="1"/>
      <c r="AE2669" s="1"/>
      <c r="AF2669" s="1"/>
      <c r="AG2669" s="1"/>
      <c r="AH2669" s="1"/>
    </row>
    <row r="2670" ht="12.75" hidden="1" customHeight="1" outlineLevel="1">
      <c r="A2670" s="17">
        <v>41474.0</v>
      </c>
      <c r="B2670" s="1"/>
      <c r="C2670" s="1" t="s">
        <v>435</v>
      </c>
      <c r="D2670" s="74"/>
      <c r="E2670" s="67"/>
      <c r="F2670" s="75"/>
      <c r="G2670" s="67"/>
      <c r="H2670" s="68"/>
      <c r="I2670" s="76"/>
      <c r="J2670" s="67"/>
      <c r="K2670" s="7" t="s">
        <v>1104</v>
      </c>
      <c r="L2670" s="77"/>
      <c r="M2670" s="79"/>
      <c r="N2670" s="1"/>
      <c r="O2670" s="1"/>
      <c r="P2670" s="1"/>
      <c r="Q2670" s="1"/>
      <c r="R2670" s="1"/>
      <c r="S2670" s="1"/>
      <c r="T2670" s="1"/>
      <c r="U2670" s="1"/>
      <c r="V2670" s="1"/>
      <c r="W2670" s="1"/>
      <c r="X2670" s="1"/>
      <c r="Y2670" s="1"/>
      <c r="Z2670" s="1"/>
      <c r="AA2670" s="1"/>
      <c r="AB2670" s="1"/>
      <c r="AC2670" s="1"/>
      <c r="AD2670" s="1"/>
      <c r="AE2670" s="1"/>
      <c r="AF2670" s="1"/>
      <c r="AG2670" s="1"/>
      <c r="AH2670" s="1"/>
    </row>
    <row r="2671" ht="12.75" hidden="1" customHeight="1" outlineLevel="1">
      <c r="A2671" s="17">
        <v>41478.0</v>
      </c>
      <c r="B2671" s="1" t="s">
        <v>343</v>
      </c>
      <c r="C2671" s="1" t="s">
        <v>369</v>
      </c>
      <c r="D2671" s="74">
        <v>1100.0</v>
      </c>
      <c r="E2671" s="67">
        <v>19.02</v>
      </c>
      <c r="F2671" s="75">
        <v>0.6348958333333333</v>
      </c>
      <c r="G2671" s="67" t="s">
        <v>453</v>
      </c>
      <c r="H2671" s="68">
        <v>4.6</v>
      </c>
      <c r="I2671" s="76"/>
      <c r="J2671" s="67">
        <f t="shared" ref="J2671:J2673" si="191">IF(B2671="SLD",D2671*E2671,-D2671*E2671)-H2671</f>
        <v>-20926.6</v>
      </c>
      <c r="K2671" s="7"/>
      <c r="L2671" s="70"/>
      <c r="M2671" s="79"/>
      <c r="N2671" s="1"/>
      <c r="O2671" s="1"/>
      <c r="P2671" s="1"/>
      <c r="Q2671" s="1"/>
      <c r="R2671" s="1"/>
      <c r="S2671" s="1"/>
      <c r="T2671" s="1"/>
      <c r="U2671" s="1"/>
      <c r="V2671" s="1"/>
      <c r="W2671" s="1"/>
      <c r="X2671" s="1"/>
      <c r="Y2671" s="1"/>
      <c r="Z2671" s="1"/>
      <c r="AA2671" s="1"/>
      <c r="AB2671" s="1"/>
      <c r="AC2671" s="1"/>
      <c r="AD2671" s="1"/>
      <c r="AE2671" s="1"/>
      <c r="AF2671" s="1"/>
      <c r="AG2671" s="1"/>
      <c r="AH2671" s="1"/>
    </row>
    <row r="2672" ht="12.75" hidden="1" customHeight="1" outlineLevel="1">
      <c r="A2672" s="17">
        <v>41478.0</v>
      </c>
      <c r="B2672" s="1" t="s">
        <v>343</v>
      </c>
      <c r="C2672" s="1" t="s">
        <v>1044</v>
      </c>
      <c r="D2672" s="74">
        <v>900.0</v>
      </c>
      <c r="E2672" s="67">
        <v>28.238</v>
      </c>
      <c r="F2672" s="75">
        <v>0.6350925925925927</v>
      </c>
      <c r="G2672" s="67" t="s">
        <v>453</v>
      </c>
      <c r="H2672" s="68">
        <v>4.0</v>
      </c>
      <c r="I2672" s="76"/>
      <c r="J2672" s="67">
        <f t="shared" si="191"/>
        <v>-25418.2</v>
      </c>
      <c r="K2672" s="7"/>
      <c r="L2672" s="70"/>
      <c r="M2672" s="79"/>
      <c r="N2672" s="1"/>
      <c r="O2672" s="1"/>
      <c r="P2672" s="1"/>
      <c r="Q2672" s="1"/>
      <c r="R2672" s="1"/>
      <c r="S2672" s="1"/>
      <c r="T2672" s="1"/>
      <c r="U2672" s="1"/>
      <c r="V2672" s="1"/>
      <c r="W2672" s="1"/>
      <c r="X2672" s="1"/>
      <c r="Y2672" s="1"/>
      <c r="Z2672" s="1"/>
      <c r="AA2672" s="1"/>
      <c r="AB2672" s="1"/>
      <c r="AC2672" s="1"/>
      <c r="AD2672" s="1"/>
      <c r="AE2672" s="1"/>
      <c r="AF2672" s="1"/>
      <c r="AG2672" s="1"/>
      <c r="AH2672" s="1"/>
    </row>
    <row r="2673" ht="12.75" hidden="1" customHeight="1" outlineLevel="1">
      <c r="A2673" s="17">
        <v>41478.0</v>
      </c>
      <c r="B2673" s="1" t="s">
        <v>343</v>
      </c>
      <c r="C2673" s="1" t="s">
        <v>784</v>
      </c>
      <c r="D2673" s="74">
        <v>1800.0</v>
      </c>
      <c r="E2673" s="67">
        <v>14.51</v>
      </c>
      <c r="F2673" s="75">
        <v>0.6352893518518519</v>
      </c>
      <c r="G2673" s="67" t="s">
        <v>453</v>
      </c>
      <c r="H2673" s="68">
        <v>7.2</v>
      </c>
      <c r="I2673" s="76"/>
      <c r="J2673" s="67">
        <f t="shared" si="191"/>
        <v>-26125.2</v>
      </c>
      <c r="K2673" s="7"/>
      <c r="L2673" s="70"/>
      <c r="M2673" s="79"/>
      <c r="N2673" s="1"/>
      <c r="O2673" s="1"/>
      <c r="P2673" s="1"/>
      <c r="Q2673" s="1"/>
      <c r="R2673" s="1"/>
      <c r="S2673" s="1"/>
      <c r="T2673" s="1"/>
      <c r="U2673" s="1"/>
      <c r="V2673" s="1"/>
      <c r="W2673" s="1"/>
      <c r="X2673" s="1"/>
      <c r="Y2673" s="1"/>
      <c r="Z2673" s="1"/>
      <c r="AA2673" s="1"/>
      <c r="AB2673" s="1"/>
      <c r="AC2673" s="1"/>
      <c r="AD2673" s="1"/>
      <c r="AE2673" s="1"/>
      <c r="AF2673" s="1"/>
      <c r="AG2673" s="1"/>
      <c r="AH2673" s="1"/>
    </row>
    <row r="2674" ht="12.75" hidden="1" customHeight="1" outlineLevel="1">
      <c r="A2674" s="17">
        <v>41478.0</v>
      </c>
      <c r="B2674" s="1"/>
      <c r="C2674" s="1" t="s">
        <v>339</v>
      </c>
      <c r="D2674" s="74"/>
      <c r="E2674" s="67"/>
      <c r="F2674" s="75"/>
      <c r="G2674" s="67"/>
      <c r="H2674" s="68"/>
      <c r="I2674" s="76"/>
      <c r="J2674" s="67"/>
      <c r="K2674" s="7" t="s">
        <v>1132</v>
      </c>
      <c r="L2674" s="77"/>
      <c r="M2674" s="79"/>
      <c r="N2674" s="1"/>
      <c r="O2674" s="1"/>
      <c r="P2674" s="1"/>
      <c r="Q2674" s="1"/>
      <c r="R2674" s="1"/>
      <c r="S2674" s="1"/>
      <c r="T2674" s="1"/>
      <c r="U2674" s="1"/>
      <c r="V2674" s="1"/>
      <c r="W2674" s="1"/>
      <c r="X2674" s="1"/>
      <c r="Y2674" s="1"/>
      <c r="Z2674" s="1"/>
      <c r="AA2674" s="1"/>
      <c r="AB2674" s="1"/>
      <c r="AC2674" s="1"/>
      <c r="AD2674" s="1"/>
      <c r="AE2674" s="1"/>
      <c r="AF2674" s="1"/>
      <c r="AG2674" s="1"/>
      <c r="AH2674" s="1"/>
    </row>
    <row r="2675" ht="12.75" hidden="1" customHeight="1" outlineLevel="1">
      <c r="A2675" s="17">
        <v>41478.0</v>
      </c>
      <c r="B2675" s="1"/>
      <c r="C2675" s="1" t="s">
        <v>429</v>
      </c>
      <c r="D2675" s="74"/>
      <c r="E2675" s="67"/>
      <c r="F2675" s="75"/>
      <c r="G2675" s="67"/>
      <c r="H2675" s="68"/>
      <c r="I2675" s="76"/>
      <c r="J2675" s="67"/>
      <c r="K2675" s="7" t="s">
        <v>1034</v>
      </c>
      <c r="L2675" s="77"/>
      <c r="M2675" s="79"/>
      <c r="N2675" s="1"/>
      <c r="O2675" s="1"/>
      <c r="P2675" s="1"/>
      <c r="Q2675" s="1"/>
      <c r="R2675" s="1"/>
      <c r="S2675" s="1"/>
      <c r="T2675" s="1"/>
      <c r="U2675" s="1"/>
      <c r="V2675" s="1"/>
      <c r="W2675" s="1"/>
      <c r="X2675" s="1"/>
      <c r="Y2675" s="1"/>
      <c r="Z2675" s="1"/>
      <c r="AA2675" s="1"/>
      <c r="AB2675" s="1"/>
      <c r="AC2675" s="1"/>
      <c r="AD2675" s="1"/>
      <c r="AE2675" s="1"/>
      <c r="AF2675" s="1"/>
      <c r="AG2675" s="1"/>
      <c r="AH2675" s="1"/>
    </row>
    <row r="2676" ht="12.75" hidden="1" customHeight="1" outlineLevel="1">
      <c r="A2676" s="17">
        <v>41478.0</v>
      </c>
      <c r="B2676" s="1"/>
      <c r="C2676" s="1" t="s">
        <v>431</v>
      </c>
      <c r="D2676" s="74"/>
      <c r="E2676" s="67"/>
      <c r="F2676" s="75"/>
      <c r="G2676" s="67"/>
      <c r="H2676" s="68"/>
      <c r="I2676" s="76"/>
      <c r="J2676" s="67"/>
      <c r="K2676" s="7" t="s">
        <v>1126</v>
      </c>
      <c r="L2676" s="77"/>
      <c r="M2676" s="79"/>
      <c r="N2676" s="1"/>
      <c r="O2676" s="1"/>
      <c r="P2676" s="1"/>
      <c r="Q2676" s="1"/>
      <c r="R2676" s="1"/>
      <c r="S2676" s="1"/>
      <c r="T2676" s="1"/>
      <c r="U2676" s="1"/>
      <c r="V2676" s="1"/>
      <c r="W2676" s="1"/>
      <c r="X2676" s="1"/>
      <c r="Y2676" s="1"/>
      <c r="Z2676" s="1"/>
      <c r="AA2676" s="1"/>
      <c r="AB2676" s="1"/>
      <c r="AC2676" s="1"/>
      <c r="AD2676" s="1"/>
      <c r="AE2676" s="1"/>
      <c r="AF2676" s="1"/>
      <c r="AG2676" s="1"/>
      <c r="AH2676" s="1"/>
    </row>
    <row r="2677" ht="12.75" hidden="1" customHeight="1" outlineLevel="1">
      <c r="A2677" s="17">
        <v>41478.0</v>
      </c>
      <c r="B2677" s="1"/>
      <c r="C2677" s="1" t="s">
        <v>433</v>
      </c>
      <c r="D2677" s="74"/>
      <c r="E2677" s="67"/>
      <c r="F2677" s="75"/>
      <c r="G2677" s="67"/>
      <c r="H2677" s="68"/>
      <c r="I2677" s="76"/>
      <c r="J2677" s="67"/>
      <c r="K2677" s="7" t="s">
        <v>1103</v>
      </c>
      <c r="L2677" s="77"/>
      <c r="M2677" s="79"/>
      <c r="N2677" s="1"/>
      <c r="O2677" s="1"/>
      <c r="P2677" s="1"/>
      <c r="Q2677" s="1"/>
      <c r="R2677" s="1"/>
      <c r="S2677" s="1"/>
      <c r="T2677" s="1"/>
      <c r="U2677" s="1"/>
      <c r="V2677" s="1"/>
      <c r="W2677" s="1"/>
      <c r="X2677" s="1"/>
      <c r="Y2677" s="1"/>
      <c r="Z2677" s="1"/>
      <c r="AA2677" s="1"/>
      <c r="AB2677" s="1"/>
      <c r="AC2677" s="1"/>
      <c r="AD2677" s="1"/>
      <c r="AE2677" s="1"/>
      <c r="AF2677" s="1"/>
      <c r="AG2677" s="1"/>
      <c r="AH2677" s="1"/>
    </row>
    <row r="2678" ht="12.75" hidden="1" customHeight="1" outlineLevel="1">
      <c r="A2678" s="17">
        <v>41478.0</v>
      </c>
      <c r="B2678" s="1"/>
      <c r="C2678" s="1" t="s">
        <v>435</v>
      </c>
      <c r="D2678" s="74"/>
      <c r="E2678" s="67"/>
      <c r="F2678" s="75"/>
      <c r="G2678" s="67"/>
      <c r="H2678" s="68"/>
      <c r="I2678" s="76"/>
      <c r="J2678" s="67"/>
      <c r="K2678" s="7" t="s">
        <v>1104</v>
      </c>
      <c r="L2678" s="77"/>
      <c r="M2678" s="79"/>
      <c r="N2678" s="1"/>
      <c r="O2678" s="1"/>
      <c r="P2678" s="1"/>
      <c r="Q2678" s="1"/>
      <c r="R2678" s="1"/>
      <c r="S2678" s="1"/>
      <c r="T2678" s="1"/>
      <c r="U2678" s="1"/>
      <c r="V2678" s="1"/>
      <c r="W2678" s="1"/>
      <c r="X2678" s="1"/>
      <c r="Y2678" s="1"/>
      <c r="Z2678" s="1"/>
      <c r="AA2678" s="1"/>
      <c r="AB2678" s="1"/>
      <c r="AC2678" s="1"/>
      <c r="AD2678" s="1"/>
      <c r="AE2678" s="1"/>
      <c r="AF2678" s="1"/>
      <c r="AG2678" s="1"/>
      <c r="AH2678" s="1"/>
    </row>
    <row r="2679" ht="12.75" hidden="1" customHeight="1" outlineLevel="1">
      <c r="A2679" s="17">
        <v>41480.0</v>
      </c>
      <c r="B2679" s="1"/>
      <c r="C2679" s="1" t="s">
        <v>339</v>
      </c>
      <c r="D2679" s="74"/>
      <c r="E2679" s="67"/>
      <c r="F2679" s="75"/>
      <c r="G2679" s="67"/>
      <c r="H2679" s="68"/>
      <c r="I2679" s="76"/>
      <c r="J2679" s="67"/>
      <c r="K2679" s="7" t="s">
        <v>1133</v>
      </c>
      <c r="L2679" s="77"/>
      <c r="M2679" s="79"/>
      <c r="N2679" s="1"/>
      <c r="O2679" s="1"/>
      <c r="P2679" s="1"/>
      <c r="Q2679" s="1"/>
      <c r="R2679" s="1"/>
      <c r="S2679" s="1"/>
      <c r="T2679" s="1"/>
      <c r="U2679" s="1"/>
      <c r="V2679" s="1"/>
      <c r="W2679" s="1"/>
      <c r="X2679" s="1"/>
      <c r="Y2679" s="1"/>
      <c r="Z2679" s="1"/>
      <c r="AA2679" s="1"/>
      <c r="AB2679" s="1"/>
      <c r="AC2679" s="1"/>
      <c r="AD2679" s="1"/>
      <c r="AE2679" s="1"/>
      <c r="AF2679" s="1"/>
      <c r="AG2679" s="1"/>
      <c r="AH2679" s="1"/>
    </row>
    <row r="2680" ht="12.75" hidden="1" customHeight="1" outlineLevel="1">
      <c r="A2680" s="17">
        <v>41480.0</v>
      </c>
      <c r="B2680" s="1"/>
      <c r="C2680" s="1" t="s">
        <v>429</v>
      </c>
      <c r="D2680" s="74"/>
      <c r="E2680" s="67"/>
      <c r="F2680" s="75"/>
      <c r="G2680" s="67"/>
      <c r="H2680" s="68"/>
      <c r="I2680" s="76"/>
      <c r="J2680" s="67"/>
      <c r="K2680" s="7" t="s">
        <v>1034</v>
      </c>
      <c r="L2680" s="77"/>
      <c r="M2680" s="79"/>
      <c r="N2680" s="1"/>
      <c r="O2680" s="1"/>
      <c r="P2680" s="1"/>
      <c r="Q2680" s="1"/>
      <c r="R2680" s="1"/>
      <c r="S2680" s="1"/>
      <c r="T2680" s="1"/>
      <c r="U2680" s="1"/>
      <c r="V2680" s="1"/>
      <c r="W2680" s="1"/>
      <c r="X2680" s="1"/>
      <c r="Y2680" s="1"/>
      <c r="Z2680" s="1"/>
      <c r="AA2680" s="1"/>
      <c r="AB2680" s="1"/>
      <c r="AC2680" s="1"/>
      <c r="AD2680" s="1"/>
      <c r="AE2680" s="1"/>
      <c r="AF2680" s="1"/>
      <c r="AG2680" s="1"/>
      <c r="AH2680" s="1"/>
    </row>
    <row r="2681" ht="12.75" hidden="1" customHeight="1" outlineLevel="1">
      <c r="A2681" s="17">
        <v>41480.0</v>
      </c>
      <c r="B2681" s="1"/>
      <c r="C2681" s="1" t="s">
        <v>431</v>
      </c>
      <c r="D2681" s="74"/>
      <c r="E2681" s="67"/>
      <c r="F2681" s="75"/>
      <c r="G2681" s="67"/>
      <c r="H2681" s="68"/>
      <c r="I2681" s="76"/>
      <c r="J2681" s="67"/>
      <c r="K2681" s="7" t="s">
        <v>1126</v>
      </c>
      <c r="L2681" s="77"/>
      <c r="M2681" s="79"/>
      <c r="N2681" s="1"/>
      <c r="O2681" s="1"/>
      <c r="P2681" s="1"/>
      <c r="Q2681" s="1"/>
      <c r="R2681" s="1"/>
      <c r="S2681" s="1"/>
      <c r="T2681" s="1"/>
      <c r="U2681" s="1"/>
      <c r="V2681" s="1"/>
      <c r="W2681" s="1"/>
      <c r="X2681" s="1"/>
      <c r="Y2681" s="1"/>
      <c r="Z2681" s="1"/>
      <c r="AA2681" s="1"/>
      <c r="AB2681" s="1"/>
      <c r="AC2681" s="1"/>
      <c r="AD2681" s="1"/>
      <c r="AE2681" s="1"/>
      <c r="AF2681" s="1"/>
      <c r="AG2681" s="1"/>
      <c r="AH2681" s="1"/>
    </row>
    <row r="2682" ht="12.75" hidden="1" customHeight="1" outlineLevel="1">
      <c r="A2682" s="17">
        <v>41480.0</v>
      </c>
      <c r="B2682" s="1"/>
      <c r="C2682" s="1" t="s">
        <v>433</v>
      </c>
      <c r="D2682" s="74"/>
      <c r="E2682" s="67"/>
      <c r="F2682" s="75"/>
      <c r="G2682" s="67"/>
      <c r="H2682" s="68"/>
      <c r="I2682" s="76"/>
      <c r="J2682" s="67"/>
      <c r="K2682" s="7" t="s">
        <v>1103</v>
      </c>
      <c r="L2682" s="77"/>
      <c r="M2682" s="79"/>
      <c r="N2682" s="1"/>
      <c r="O2682" s="1"/>
      <c r="P2682" s="1"/>
      <c r="Q2682" s="1"/>
      <c r="R2682" s="1"/>
      <c r="S2682" s="1"/>
      <c r="T2682" s="1"/>
      <c r="U2682" s="1"/>
      <c r="V2682" s="1"/>
      <c r="W2682" s="1"/>
      <c r="X2682" s="1"/>
      <c r="Y2682" s="1"/>
      <c r="Z2682" s="1"/>
      <c r="AA2682" s="1"/>
      <c r="AB2682" s="1"/>
      <c r="AC2682" s="1"/>
      <c r="AD2682" s="1"/>
      <c r="AE2682" s="1"/>
      <c r="AF2682" s="1"/>
      <c r="AG2682" s="1"/>
      <c r="AH2682" s="1"/>
    </row>
    <row r="2683" ht="12.75" hidden="1" customHeight="1" outlineLevel="1">
      <c r="A2683" s="17">
        <v>41480.0</v>
      </c>
      <c r="B2683" s="1"/>
      <c r="C2683" s="1" t="s">
        <v>435</v>
      </c>
      <c r="D2683" s="74"/>
      <c r="E2683" s="67"/>
      <c r="F2683" s="75"/>
      <c r="G2683" s="67"/>
      <c r="H2683" s="68"/>
      <c r="I2683" s="76"/>
      <c r="J2683" s="67"/>
      <c r="K2683" s="7" t="s">
        <v>1104</v>
      </c>
      <c r="L2683" s="77"/>
      <c r="M2683" s="79"/>
      <c r="N2683" s="1"/>
      <c r="O2683" s="1"/>
      <c r="P2683" s="1"/>
      <c r="Q2683" s="1"/>
      <c r="R2683" s="1"/>
      <c r="S2683" s="1"/>
      <c r="T2683" s="1"/>
      <c r="U2683" s="1"/>
      <c r="V2683" s="1"/>
      <c r="W2683" s="1"/>
      <c r="X2683" s="1"/>
      <c r="Y2683" s="1"/>
      <c r="Z2683" s="1"/>
      <c r="AA2683" s="1"/>
      <c r="AB2683" s="1"/>
      <c r="AC2683" s="1"/>
      <c r="AD2683" s="1"/>
      <c r="AE2683" s="1"/>
      <c r="AF2683" s="1"/>
      <c r="AG2683" s="1"/>
      <c r="AH2683" s="1"/>
    </row>
    <row r="2684" ht="12.75" hidden="1" customHeight="1" outlineLevel="1">
      <c r="A2684" s="17">
        <v>41481.0</v>
      </c>
      <c r="B2684" s="1"/>
      <c r="C2684" s="1" t="s">
        <v>339</v>
      </c>
      <c r="D2684" s="74"/>
      <c r="E2684" s="67"/>
      <c r="F2684" s="75"/>
      <c r="G2684" s="67"/>
      <c r="H2684" s="68"/>
      <c r="I2684" s="76"/>
      <c r="J2684" s="67"/>
      <c r="K2684" s="7" t="s">
        <v>1135</v>
      </c>
      <c r="L2684" s="77"/>
      <c r="M2684" s="79"/>
      <c r="N2684" s="1"/>
      <c r="O2684" s="1"/>
      <c r="P2684" s="1"/>
      <c r="Q2684" s="1"/>
      <c r="R2684" s="1"/>
      <c r="S2684" s="1"/>
      <c r="T2684" s="1"/>
      <c r="U2684" s="1"/>
      <c r="V2684" s="1"/>
      <c r="W2684" s="1"/>
      <c r="X2684" s="1"/>
      <c r="Y2684" s="1"/>
      <c r="Z2684" s="1"/>
      <c r="AA2684" s="1"/>
      <c r="AB2684" s="1"/>
      <c r="AC2684" s="1"/>
      <c r="AD2684" s="1"/>
      <c r="AE2684" s="1"/>
      <c r="AF2684" s="1"/>
      <c r="AG2684" s="1"/>
      <c r="AH2684" s="1"/>
    </row>
    <row r="2685" ht="12.75" hidden="1" customHeight="1" outlineLevel="1">
      <c r="A2685" s="17">
        <v>41481.0</v>
      </c>
      <c r="B2685" s="1"/>
      <c r="C2685" s="1" t="s">
        <v>429</v>
      </c>
      <c r="D2685" s="74"/>
      <c r="E2685" s="67"/>
      <c r="F2685" s="75"/>
      <c r="G2685" s="67"/>
      <c r="H2685" s="68"/>
      <c r="I2685" s="76"/>
      <c r="J2685" s="67"/>
      <c r="K2685" s="7" t="s">
        <v>1034</v>
      </c>
      <c r="L2685" s="77"/>
      <c r="M2685" s="79"/>
      <c r="N2685" s="1"/>
      <c r="O2685" s="1"/>
      <c r="P2685" s="1"/>
      <c r="Q2685" s="1"/>
      <c r="R2685" s="1"/>
      <c r="S2685" s="1"/>
      <c r="T2685" s="1"/>
      <c r="U2685" s="1"/>
      <c r="V2685" s="1"/>
      <c r="W2685" s="1"/>
      <c r="X2685" s="1"/>
      <c r="Y2685" s="1"/>
      <c r="Z2685" s="1"/>
      <c r="AA2685" s="1"/>
      <c r="AB2685" s="1"/>
      <c r="AC2685" s="1"/>
      <c r="AD2685" s="1"/>
      <c r="AE2685" s="1"/>
      <c r="AF2685" s="1"/>
      <c r="AG2685" s="1"/>
      <c r="AH2685" s="1"/>
    </row>
    <row r="2686" ht="12.75" hidden="1" customHeight="1" outlineLevel="1">
      <c r="A2686" s="17">
        <v>41481.0</v>
      </c>
      <c r="B2686" s="1"/>
      <c r="C2686" s="1" t="s">
        <v>431</v>
      </c>
      <c r="D2686" s="74"/>
      <c r="E2686" s="67"/>
      <c r="F2686" s="75"/>
      <c r="G2686" s="67"/>
      <c r="H2686" s="68"/>
      <c r="I2686" s="76"/>
      <c r="J2686" s="67"/>
      <c r="K2686" s="7" t="s">
        <v>1126</v>
      </c>
      <c r="L2686" s="77"/>
      <c r="M2686" s="79"/>
      <c r="N2686" s="1"/>
      <c r="O2686" s="1"/>
      <c r="P2686" s="1"/>
      <c r="Q2686" s="1"/>
      <c r="R2686" s="1"/>
      <c r="S2686" s="1"/>
      <c r="T2686" s="1"/>
      <c r="U2686" s="1"/>
      <c r="V2686" s="1"/>
      <c r="W2686" s="1"/>
      <c r="X2686" s="1"/>
      <c r="Y2686" s="1"/>
      <c r="Z2686" s="1"/>
      <c r="AA2686" s="1"/>
      <c r="AB2686" s="1"/>
      <c r="AC2686" s="1"/>
      <c r="AD2686" s="1"/>
      <c r="AE2686" s="1"/>
      <c r="AF2686" s="1"/>
      <c r="AG2686" s="1"/>
      <c r="AH2686" s="1"/>
    </row>
    <row r="2687" ht="12.75" hidden="1" customHeight="1" outlineLevel="1">
      <c r="A2687" s="17">
        <v>41481.0</v>
      </c>
      <c r="B2687" s="1"/>
      <c r="C2687" s="1" t="s">
        <v>433</v>
      </c>
      <c r="D2687" s="74"/>
      <c r="E2687" s="67"/>
      <c r="F2687" s="75"/>
      <c r="G2687" s="67"/>
      <c r="H2687" s="68"/>
      <c r="I2687" s="76"/>
      <c r="J2687" s="67"/>
      <c r="K2687" s="7" t="s">
        <v>1103</v>
      </c>
      <c r="L2687" s="77"/>
      <c r="M2687" s="79"/>
      <c r="N2687" s="1"/>
      <c r="O2687" s="1"/>
      <c r="P2687" s="1"/>
      <c r="Q2687" s="1"/>
      <c r="R2687" s="1"/>
      <c r="S2687" s="1"/>
      <c r="T2687" s="1"/>
      <c r="U2687" s="1"/>
      <c r="V2687" s="1"/>
      <c r="W2687" s="1"/>
      <c r="X2687" s="1"/>
      <c r="Y2687" s="1"/>
      <c r="Z2687" s="1"/>
      <c r="AA2687" s="1"/>
      <c r="AB2687" s="1"/>
      <c r="AC2687" s="1"/>
      <c r="AD2687" s="1"/>
      <c r="AE2687" s="1"/>
      <c r="AF2687" s="1"/>
      <c r="AG2687" s="1"/>
      <c r="AH2687" s="1"/>
    </row>
    <row r="2688" ht="12.75" hidden="1" customHeight="1" outlineLevel="1">
      <c r="A2688" s="17">
        <v>41481.0</v>
      </c>
      <c r="B2688" s="1"/>
      <c r="C2688" s="1" t="s">
        <v>435</v>
      </c>
      <c r="D2688" s="74"/>
      <c r="E2688" s="67"/>
      <c r="F2688" s="75"/>
      <c r="G2688" s="67"/>
      <c r="H2688" s="68"/>
      <c r="I2688" s="76"/>
      <c r="J2688" s="67"/>
      <c r="K2688" s="7" t="s">
        <v>1104</v>
      </c>
      <c r="L2688" s="77"/>
      <c r="M2688" s="79"/>
      <c r="N2688" s="1"/>
      <c r="O2688" s="1"/>
      <c r="P2688" s="1"/>
      <c r="Q2688" s="1"/>
      <c r="R2688" s="1"/>
      <c r="S2688" s="1"/>
      <c r="T2688" s="1"/>
      <c r="U2688" s="1"/>
      <c r="V2688" s="1"/>
      <c r="W2688" s="1"/>
      <c r="X2688" s="1"/>
      <c r="Y2688" s="1"/>
      <c r="Z2688" s="1"/>
      <c r="AA2688" s="1"/>
      <c r="AB2688" s="1"/>
      <c r="AC2688" s="1"/>
      <c r="AD2688" s="1"/>
      <c r="AE2688" s="1"/>
      <c r="AF2688" s="1"/>
      <c r="AG2688" s="1"/>
      <c r="AH2688" s="1"/>
    </row>
    <row r="2689" ht="12.75" hidden="1" customHeight="1" outlineLevel="1">
      <c r="A2689" s="17">
        <v>41481.0</v>
      </c>
      <c r="B2689" s="1" t="s">
        <v>343</v>
      </c>
      <c r="C2689" s="1" t="s">
        <v>1136</v>
      </c>
      <c r="D2689" s="74">
        <v>1000.0</v>
      </c>
      <c r="E2689" s="67">
        <v>168.4</v>
      </c>
      <c r="F2689" s="75">
        <v>0.5355555555555556</v>
      </c>
      <c r="G2689" s="67" t="s">
        <v>453</v>
      </c>
      <c r="H2689" s="68"/>
      <c r="I2689" s="76"/>
      <c r="J2689" s="67">
        <f t="shared" ref="J2689:J2695" si="192">IF(B2689="SLD",D2689*E2689,-D2689*E2689)-H2689</f>
        <v>-168400</v>
      </c>
      <c r="K2689" s="7"/>
      <c r="L2689" s="70"/>
      <c r="M2689" s="79"/>
      <c r="N2689" s="1"/>
      <c r="O2689" s="1"/>
      <c r="P2689" s="1"/>
      <c r="Q2689" s="1"/>
      <c r="R2689" s="1"/>
      <c r="S2689" s="1"/>
      <c r="T2689" s="1"/>
      <c r="U2689" s="1"/>
      <c r="V2689" s="1"/>
      <c r="W2689" s="1"/>
      <c r="X2689" s="1"/>
      <c r="Y2689" s="1"/>
      <c r="Z2689" s="1"/>
      <c r="AA2689" s="1"/>
      <c r="AB2689" s="1"/>
      <c r="AC2689" s="1"/>
      <c r="AD2689" s="1"/>
      <c r="AE2689" s="1"/>
      <c r="AF2689" s="1"/>
      <c r="AG2689" s="1"/>
      <c r="AH2689" s="1"/>
    </row>
    <row r="2690" ht="12.75" hidden="1" customHeight="1" outlineLevel="1">
      <c r="A2690" s="17">
        <v>41481.0</v>
      </c>
      <c r="B2690" s="1" t="s">
        <v>343</v>
      </c>
      <c r="C2690" s="1" t="s">
        <v>1093</v>
      </c>
      <c r="D2690" s="74">
        <v>100.0</v>
      </c>
      <c r="E2690" s="67">
        <v>43.61</v>
      </c>
      <c r="F2690" s="75">
        <v>0.6081828703703703</v>
      </c>
      <c r="G2690" s="67" t="s">
        <v>453</v>
      </c>
      <c r="H2690" s="68"/>
      <c r="I2690" s="76"/>
      <c r="J2690" s="67">
        <f t="shared" si="192"/>
        <v>-4361</v>
      </c>
      <c r="K2690" s="7"/>
      <c r="L2690" s="70"/>
      <c r="M2690" s="79"/>
      <c r="N2690" s="1"/>
      <c r="O2690" s="1"/>
      <c r="P2690" s="1"/>
      <c r="Q2690" s="1"/>
      <c r="R2690" s="1"/>
      <c r="S2690" s="1"/>
      <c r="T2690" s="1"/>
      <c r="U2690" s="1"/>
      <c r="V2690" s="1"/>
      <c r="W2690" s="1"/>
      <c r="X2690" s="1"/>
      <c r="Y2690" s="1"/>
      <c r="Z2690" s="1"/>
      <c r="AA2690" s="1"/>
      <c r="AB2690" s="1"/>
      <c r="AC2690" s="1"/>
      <c r="AD2690" s="1"/>
      <c r="AE2690" s="1"/>
      <c r="AF2690" s="1"/>
      <c r="AG2690" s="1"/>
      <c r="AH2690" s="1"/>
    </row>
    <row r="2691" ht="12.75" hidden="1" customHeight="1" outlineLevel="1">
      <c r="A2691" s="17">
        <v>41481.0</v>
      </c>
      <c r="B2691" s="1" t="s">
        <v>343</v>
      </c>
      <c r="C2691" s="1" t="s">
        <v>364</v>
      </c>
      <c r="D2691" s="74">
        <v>50.0</v>
      </c>
      <c r="E2691" s="67">
        <v>109.03</v>
      </c>
      <c r="F2691" s="75">
        <v>0.608587962962963</v>
      </c>
      <c r="G2691" s="67" t="s">
        <v>453</v>
      </c>
      <c r="H2691" s="68"/>
      <c r="I2691" s="76"/>
      <c r="J2691" s="67">
        <f t="shared" si="192"/>
        <v>-5451.5</v>
      </c>
      <c r="K2691" s="7"/>
      <c r="L2691" s="70"/>
      <c r="M2691" s="79"/>
      <c r="N2691" s="1"/>
      <c r="O2691" s="1"/>
      <c r="P2691" s="1"/>
      <c r="Q2691" s="1"/>
      <c r="R2691" s="1"/>
      <c r="S2691" s="1"/>
      <c r="T2691" s="1"/>
      <c r="U2691" s="1"/>
      <c r="V2691" s="1"/>
      <c r="W2691" s="1"/>
      <c r="X2691" s="1"/>
      <c r="Y2691" s="1"/>
      <c r="Z2691" s="1"/>
      <c r="AA2691" s="1"/>
      <c r="AB2691" s="1"/>
      <c r="AC2691" s="1"/>
      <c r="AD2691" s="1"/>
      <c r="AE2691" s="1"/>
      <c r="AF2691" s="1"/>
      <c r="AG2691" s="1"/>
      <c r="AH2691" s="1"/>
    </row>
    <row r="2692" ht="12.75" hidden="1" customHeight="1" outlineLevel="1">
      <c r="A2692" s="17">
        <v>41481.0</v>
      </c>
      <c r="B2692" s="1" t="s">
        <v>347</v>
      </c>
      <c r="C2692" s="1" t="s">
        <v>356</v>
      </c>
      <c r="D2692" s="74">
        <v>60.0</v>
      </c>
      <c r="E2692" s="67">
        <v>273.41</v>
      </c>
      <c r="F2692" s="75">
        <v>0.6096990740740741</v>
      </c>
      <c r="G2692" s="67" t="s">
        <v>453</v>
      </c>
      <c r="H2692" s="68"/>
      <c r="I2692" s="76"/>
      <c r="J2692" s="67">
        <f t="shared" si="192"/>
        <v>16404.6</v>
      </c>
      <c r="K2692" s="7"/>
      <c r="L2692" s="70"/>
      <c r="M2692" s="79"/>
      <c r="N2692" s="1"/>
      <c r="O2692" s="1"/>
      <c r="P2692" s="1"/>
      <c r="Q2692" s="1"/>
      <c r="R2692" s="1"/>
      <c r="S2692" s="1"/>
      <c r="T2692" s="1"/>
      <c r="U2692" s="1"/>
      <c r="V2692" s="1"/>
      <c r="W2692" s="1"/>
      <c r="X2692" s="1"/>
      <c r="Y2692" s="1"/>
      <c r="Z2692" s="1"/>
      <c r="AA2692" s="1"/>
      <c r="AB2692" s="1"/>
      <c r="AC2692" s="1"/>
      <c r="AD2692" s="1"/>
      <c r="AE2692" s="1"/>
      <c r="AF2692" s="1"/>
      <c r="AG2692" s="1"/>
      <c r="AH2692" s="1"/>
    </row>
    <row r="2693" ht="12.75" hidden="1" customHeight="1" outlineLevel="1">
      <c r="A2693" s="17">
        <v>41481.0</v>
      </c>
      <c r="B2693" s="1" t="s">
        <v>343</v>
      </c>
      <c r="C2693" s="1" t="s">
        <v>344</v>
      </c>
      <c r="D2693" s="74">
        <v>200.0</v>
      </c>
      <c r="E2693" s="67">
        <v>46.35</v>
      </c>
      <c r="F2693" s="75">
        <v>0.6108564814814815</v>
      </c>
      <c r="G2693" s="67" t="s">
        <v>453</v>
      </c>
      <c r="H2693" s="68"/>
      <c r="I2693" s="76"/>
      <c r="J2693" s="67">
        <f t="shared" si="192"/>
        <v>-9270</v>
      </c>
      <c r="K2693" s="7"/>
      <c r="L2693" s="70"/>
      <c r="M2693" s="79"/>
      <c r="N2693" s="1"/>
      <c r="O2693" s="1"/>
      <c r="P2693" s="1"/>
      <c r="Q2693" s="1"/>
      <c r="R2693" s="1"/>
      <c r="S2693" s="1"/>
      <c r="T2693" s="1"/>
      <c r="U2693" s="1"/>
      <c r="V2693" s="1"/>
      <c r="W2693" s="1"/>
      <c r="X2693" s="1"/>
      <c r="Y2693" s="1"/>
      <c r="Z2693" s="1"/>
      <c r="AA2693" s="1"/>
      <c r="AB2693" s="1"/>
      <c r="AC2693" s="1"/>
      <c r="AD2693" s="1"/>
      <c r="AE2693" s="1"/>
      <c r="AF2693" s="1"/>
      <c r="AG2693" s="1"/>
      <c r="AH2693" s="1"/>
    </row>
    <row r="2694" ht="12.75" hidden="1" customHeight="1" outlineLevel="1">
      <c r="A2694" s="17">
        <v>41481.0</v>
      </c>
      <c r="B2694" s="1" t="s">
        <v>343</v>
      </c>
      <c r="C2694" s="1" t="s">
        <v>458</v>
      </c>
      <c r="D2694" s="74">
        <v>100.0</v>
      </c>
      <c r="E2694" s="67">
        <v>52.92</v>
      </c>
      <c r="F2694" s="75">
        <v>0.611111111111111</v>
      </c>
      <c r="G2694" s="67" t="s">
        <v>453</v>
      </c>
      <c r="H2694" s="68"/>
      <c r="I2694" s="76"/>
      <c r="J2694" s="67">
        <f t="shared" si="192"/>
        <v>-5292</v>
      </c>
      <c r="K2694" s="7"/>
      <c r="L2694" s="70"/>
      <c r="M2694" s="79"/>
      <c r="N2694" s="1"/>
      <c r="O2694" s="1"/>
      <c r="P2694" s="1"/>
      <c r="Q2694" s="1"/>
      <c r="R2694" s="1"/>
      <c r="S2694" s="1"/>
      <c r="T2694" s="1"/>
      <c r="U2694" s="1"/>
      <c r="V2694" s="1"/>
      <c r="W2694" s="1"/>
      <c r="X2694" s="1"/>
      <c r="Y2694" s="1"/>
      <c r="Z2694" s="1"/>
      <c r="AA2694" s="1"/>
      <c r="AB2694" s="1"/>
      <c r="AC2694" s="1"/>
      <c r="AD2694" s="1"/>
      <c r="AE2694" s="1"/>
      <c r="AF2694" s="1"/>
      <c r="AG2694" s="1"/>
      <c r="AH2694" s="1"/>
    </row>
    <row r="2695" ht="12.75" hidden="1" customHeight="1" outlineLevel="1">
      <c r="A2695" s="17">
        <v>41481.0</v>
      </c>
      <c r="B2695" s="1" t="s">
        <v>343</v>
      </c>
      <c r="C2695" s="1" t="s">
        <v>1138</v>
      </c>
      <c r="D2695" s="74">
        <v>5000.0</v>
      </c>
      <c r="E2695" s="67">
        <v>3.28</v>
      </c>
      <c r="F2695" s="75">
        <v>0.6554976851851851</v>
      </c>
      <c r="G2695" s="67" t="s">
        <v>453</v>
      </c>
      <c r="H2695" s="68"/>
      <c r="I2695" s="76"/>
      <c r="J2695" s="67">
        <f t="shared" si="192"/>
        <v>-16400</v>
      </c>
      <c r="K2695" s="7"/>
      <c r="L2695" s="70"/>
      <c r="M2695" s="79"/>
      <c r="N2695" s="1"/>
      <c r="O2695" s="1"/>
      <c r="P2695" s="1"/>
      <c r="Q2695" s="1"/>
      <c r="R2695" s="1"/>
      <c r="S2695" s="1"/>
      <c r="T2695" s="1"/>
      <c r="U2695" s="1"/>
      <c r="V2695" s="1"/>
      <c r="W2695" s="1"/>
      <c r="X2695" s="1"/>
      <c r="Y2695" s="1"/>
      <c r="Z2695" s="1"/>
      <c r="AA2695" s="1"/>
      <c r="AB2695" s="1"/>
      <c r="AC2695" s="1"/>
      <c r="AD2695" s="1"/>
      <c r="AE2695" s="1"/>
      <c r="AF2695" s="1"/>
      <c r="AG2695" s="1"/>
      <c r="AH2695" s="1"/>
    </row>
    <row r="2696" ht="12.75" hidden="1" customHeight="1" outlineLevel="1">
      <c r="A2696" s="17">
        <v>41482.0</v>
      </c>
      <c r="B2696" s="1"/>
      <c r="C2696" s="1" t="s">
        <v>339</v>
      </c>
      <c r="D2696" s="74"/>
      <c r="E2696" s="67"/>
      <c r="F2696" s="75"/>
      <c r="G2696" s="67"/>
      <c r="H2696" s="68"/>
      <c r="I2696" s="76"/>
      <c r="J2696" s="67"/>
      <c r="K2696" s="7" t="s">
        <v>1139</v>
      </c>
      <c r="L2696" s="77"/>
      <c r="M2696" s="79"/>
      <c r="N2696" s="1"/>
      <c r="O2696" s="1"/>
      <c r="P2696" s="1"/>
      <c r="Q2696" s="1"/>
      <c r="R2696" s="1"/>
      <c r="S2696" s="1"/>
      <c r="T2696" s="1"/>
      <c r="U2696" s="1"/>
      <c r="V2696" s="1"/>
      <c r="W2696" s="1"/>
      <c r="X2696" s="1"/>
      <c r="Y2696" s="1"/>
      <c r="Z2696" s="1"/>
      <c r="AA2696" s="1"/>
      <c r="AB2696" s="1"/>
      <c r="AC2696" s="1"/>
      <c r="AD2696" s="1"/>
      <c r="AE2696" s="1"/>
      <c r="AF2696" s="1"/>
      <c r="AG2696" s="1"/>
      <c r="AH2696" s="1"/>
    </row>
    <row r="2697" ht="12.75" hidden="1" customHeight="1" outlineLevel="1">
      <c r="A2697" s="17">
        <v>41482.0</v>
      </c>
      <c r="B2697" s="1"/>
      <c r="C2697" s="1" t="s">
        <v>429</v>
      </c>
      <c r="D2697" s="74"/>
      <c r="E2697" s="67"/>
      <c r="F2697" s="75"/>
      <c r="G2697" s="67"/>
      <c r="H2697" s="68"/>
      <c r="I2697" s="76"/>
      <c r="J2697" s="67"/>
      <c r="K2697" s="7" t="s">
        <v>1034</v>
      </c>
      <c r="L2697" s="77"/>
      <c r="M2697" s="79"/>
      <c r="N2697" s="1"/>
      <c r="O2697" s="1"/>
      <c r="P2697" s="1"/>
      <c r="Q2697" s="1"/>
      <c r="R2697" s="1"/>
      <c r="S2697" s="1"/>
      <c r="T2697" s="1"/>
      <c r="U2697" s="1"/>
      <c r="V2697" s="1"/>
      <c r="W2697" s="1"/>
      <c r="X2697" s="1"/>
      <c r="Y2697" s="1"/>
      <c r="Z2697" s="1"/>
      <c r="AA2697" s="1"/>
      <c r="AB2697" s="1"/>
      <c r="AC2697" s="1"/>
      <c r="AD2697" s="1"/>
      <c r="AE2697" s="1"/>
      <c r="AF2697" s="1"/>
      <c r="AG2697" s="1"/>
      <c r="AH2697" s="1"/>
    </row>
    <row r="2698" ht="12.75" hidden="1" customHeight="1" outlineLevel="1">
      <c r="A2698" s="17">
        <v>41482.0</v>
      </c>
      <c r="B2698" s="1"/>
      <c r="C2698" s="1" t="s">
        <v>431</v>
      </c>
      <c r="D2698" s="74"/>
      <c r="E2698" s="67"/>
      <c r="F2698" s="75"/>
      <c r="G2698" s="67"/>
      <c r="H2698" s="68"/>
      <c r="I2698" s="76"/>
      <c r="J2698" s="67"/>
      <c r="K2698" s="7" t="s">
        <v>1126</v>
      </c>
      <c r="L2698" s="77"/>
      <c r="M2698" s="79"/>
      <c r="N2698" s="1"/>
      <c r="O2698" s="1"/>
      <c r="P2698" s="1"/>
      <c r="Q2698" s="1"/>
      <c r="R2698" s="1"/>
      <c r="S2698" s="1"/>
      <c r="T2698" s="1"/>
      <c r="U2698" s="1"/>
      <c r="V2698" s="1"/>
      <c r="W2698" s="1"/>
      <c r="X2698" s="1"/>
      <c r="Y2698" s="1"/>
      <c r="Z2698" s="1"/>
      <c r="AA2698" s="1"/>
      <c r="AB2698" s="1"/>
      <c r="AC2698" s="1"/>
      <c r="AD2698" s="1"/>
      <c r="AE2698" s="1"/>
      <c r="AF2698" s="1"/>
      <c r="AG2698" s="1"/>
      <c r="AH2698" s="1"/>
    </row>
    <row r="2699" ht="12.75" hidden="1" customHeight="1" outlineLevel="1">
      <c r="A2699" s="17">
        <v>41482.0</v>
      </c>
      <c r="B2699" s="1"/>
      <c r="C2699" s="1" t="s">
        <v>433</v>
      </c>
      <c r="D2699" s="74"/>
      <c r="E2699" s="67"/>
      <c r="F2699" s="75"/>
      <c r="G2699" s="67"/>
      <c r="H2699" s="68"/>
      <c r="I2699" s="76"/>
      <c r="J2699" s="67"/>
      <c r="K2699" s="7" t="s">
        <v>1103</v>
      </c>
      <c r="L2699" s="77"/>
      <c r="M2699" s="79"/>
      <c r="N2699" s="1"/>
      <c r="O2699" s="1"/>
      <c r="P2699" s="1"/>
      <c r="Q2699" s="1"/>
      <c r="R2699" s="1"/>
      <c r="S2699" s="1"/>
      <c r="T2699" s="1"/>
      <c r="U2699" s="1"/>
      <c r="V2699" s="1"/>
      <c r="W2699" s="1"/>
      <c r="X2699" s="1"/>
      <c r="Y2699" s="1"/>
      <c r="Z2699" s="1"/>
      <c r="AA2699" s="1"/>
      <c r="AB2699" s="1"/>
      <c r="AC2699" s="1"/>
      <c r="AD2699" s="1"/>
      <c r="AE2699" s="1"/>
      <c r="AF2699" s="1"/>
      <c r="AG2699" s="1"/>
      <c r="AH2699" s="1"/>
    </row>
    <row r="2700" ht="12.75" hidden="1" customHeight="1" outlineLevel="1">
      <c r="A2700" s="17">
        <v>41482.0</v>
      </c>
      <c r="B2700" s="1"/>
      <c r="C2700" s="1" t="s">
        <v>435</v>
      </c>
      <c r="D2700" s="74"/>
      <c r="E2700" s="67"/>
      <c r="F2700" s="75"/>
      <c r="G2700" s="67"/>
      <c r="H2700" s="68"/>
      <c r="I2700" s="76"/>
      <c r="J2700" s="67"/>
      <c r="K2700" s="7" t="s">
        <v>1104</v>
      </c>
      <c r="L2700" s="77"/>
      <c r="M2700" s="79"/>
      <c r="N2700" s="1"/>
      <c r="O2700" s="1"/>
      <c r="P2700" s="1"/>
      <c r="Q2700" s="1"/>
      <c r="R2700" s="1"/>
      <c r="S2700" s="1"/>
      <c r="T2700" s="1"/>
      <c r="U2700" s="1"/>
      <c r="V2700" s="1"/>
      <c r="W2700" s="1"/>
      <c r="X2700" s="1"/>
      <c r="Y2700" s="1"/>
      <c r="Z2700" s="1"/>
      <c r="AA2700" s="1"/>
      <c r="AB2700" s="1"/>
      <c r="AC2700" s="1"/>
      <c r="AD2700" s="1"/>
      <c r="AE2700" s="1"/>
      <c r="AF2700" s="1"/>
      <c r="AG2700" s="1"/>
      <c r="AH2700" s="1"/>
    </row>
    <row r="2701" ht="12.75" hidden="1" customHeight="1" outlineLevel="1">
      <c r="A2701" s="17">
        <v>41482.0</v>
      </c>
      <c r="B2701" s="1"/>
      <c r="C2701" s="1" t="s">
        <v>339</v>
      </c>
      <c r="D2701" s="74"/>
      <c r="E2701" s="67"/>
      <c r="F2701" s="75"/>
      <c r="G2701" s="67"/>
      <c r="H2701" s="68"/>
      <c r="I2701" s="76"/>
      <c r="J2701" s="67"/>
      <c r="K2701" s="7" t="s">
        <v>1140</v>
      </c>
      <c r="L2701" s="77"/>
      <c r="M2701" s="79"/>
      <c r="N2701" s="1"/>
      <c r="O2701" s="1"/>
      <c r="P2701" s="1"/>
      <c r="Q2701" s="1"/>
      <c r="R2701" s="1"/>
      <c r="S2701" s="1"/>
      <c r="T2701" s="1"/>
      <c r="U2701" s="1"/>
      <c r="V2701" s="1"/>
      <c r="W2701" s="1"/>
      <c r="X2701" s="1"/>
      <c r="Y2701" s="1"/>
      <c r="Z2701" s="1"/>
      <c r="AA2701" s="1"/>
      <c r="AB2701" s="1"/>
      <c r="AC2701" s="1"/>
      <c r="AD2701" s="1"/>
      <c r="AE2701" s="1"/>
      <c r="AF2701" s="1"/>
      <c r="AG2701" s="1"/>
      <c r="AH2701" s="1"/>
    </row>
    <row r="2702" ht="12.75" hidden="1" customHeight="1" outlineLevel="1">
      <c r="A2702" s="17">
        <v>41482.0</v>
      </c>
      <c r="B2702" s="1"/>
      <c r="C2702" s="1" t="s">
        <v>429</v>
      </c>
      <c r="D2702" s="74"/>
      <c r="E2702" s="67"/>
      <c r="F2702" s="75"/>
      <c r="G2702" s="67"/>
      <c r="H2702" s="68"/>
      <c r="I2702" s="76"/>
      <c r="J2702" s="67"/>
      <c r="K2702" s="7" t="s">
        <v>1034</v>
      </c>
      <c r="L2702" s="77"/>
      <c r="M2702" s="79"/>
      <c r="N2702" s="1"/>
      <c r="O2702" s="1"/>
      <c r="P2702" s="1"/>
      <c r="Q2702" s="1"/>
      <c r="R2702" s="1"/>
      <c r="S2702" s="1"/>
      <c r="T2702" s="1"/>
      <c r="U2702" s="1"/>
      <c r="V2702" s="1"/>
      <c r="W2702" s="1"/>
      <c r="X2702" s="1"/>
      <c r="Y2702" s="1"/>
      <c r="Z2702" s="1"/>
      <c r="AA2702" s="1"/>
      <c r="AB2702" s="1"/>
      <c r="AC2702" s="1"/>
      <c r="AD2702" s="1"/>
      <c r="AE2702" s="1"/>
      <c r="AF2702" s="1"/>
      <c r="AG2702" s="1"/>
      <c r="AH2702" s="1"/>
    </row>
    <row r="2703" ht="12.75" hidden="1" customHeight="1" outlineLevel="1">
      <c r="A2703" s="17">
        <v>41482.0</v>
      </c>
      <c r="B2703" s="1"/>
      <c r="C2703" s="1" t="s">
        <v>431</v>
      </c>
      <c r="D2703" s="74"/>
      <c r="E2703" s="67"/>
      <c r="F2703" s="75"/>
      <c r="G2703" s="67"/>
      <c r="H2703" s="68"/>
      <c r="I2703" s="76"/>
      <c r="J2703" s="67"/>
      <c r="K2703" s="7" t="s">
        <v>1126</v>
      </c>
      <c r="L2703" s="77"/>
      <c r="M2703" s="79"/>
      <c r="N2703" s="1"/>
      <c r="O2703" s="1"/>
      <c r="P2703" s="1"/>
      <c r="Q2703" s="1"/>
      <c r="R2703" s="1"/>
      <c r="S2703" s="1"/>
      <c r="T2703" s="1"/>
      <c r="U2703" s="1"/>
      <c r="V2703" s="1"/>
      <c r="W2703" s="1"/>
      <c r="X2703" s="1"/>
      <c r="Y2703" s="1"/>
      <c r="Z2703" s="1"/>
      <c r="AA2703" s="1"/>
      <c r="AB2703" s="1"/>
      <c r="AC2703" s="1"/>
      <c r="AD2703" s="1"/>
      <c r="AE2703" s="1"/>
      <c r="AF2703" s="1"/>
      <c r="AG2703" s="1"/>
      <c r="AH2703" s="1"/>
    </row>
    <row r="2704" ht="12.75" hidden="1" customHeight="1" outlineLevel="1">
      <c r="A2704" s="17">
        <v>41482.0</v>
      </c>
      <c r="B2704" s="1"/>
      <c r="C2704" s="1" t="s">
        <v>433</v>
      </c>
      <c r="D2704" s="74"/>
      <c r="E2704" s="67"/>
      <c r="F2704" s="75"/>
      <c r="G2704" s="67"/>
      <c r="H2704" s="68"/>
      <c r="I2704" s="76"/>
      <c r="J2704" s="67"/>
      <c r="K2704" s="7" t="s">
        <v>1103</v>
      </c>
      <c r="L2704" s="77"/>
      <c r="M2704" s="79"/>
      <c r="N2704" s="1"/>
      <c r="O2704" s="1"/>
      <c r="P2704" s="1"/>
      <c r="Q2704" s="1"/>
      <c r="R2704" s="1"/>
      <c r="S2704" s="1"/>
      <c r="T2704" s="1"/>
      <c r="U2704" s="1"/>
      <c r="V2704" s="1"/>
      <c r="W2704" s="1"/>
      <c r="X2704" s="1"/>
      <c r="Y2704" s="1"/>
      <c r="Z2704" s="1"/>
      <c r="AA2704" s="1"/>
      <c r="AB2704" s="1"/>
      <c r="AC2704" s="1"/>
      <c r="AD2704" s="1"/>
      <c r="AE2704" s="1"/>
      <c r="AF2704" s="1"/>
      <c r="AG2704" s="1"/>
      <c r="AH2704" s="1"/>
    </row>
    <row r="2705" ht="12.75" hidden="1" customHeight="1" outlineLevel="1">
      <c r="A2705" s="17">
        <v>41482.0</v>
      </c>
      <c r="B2705" s="1"/>
      <c r="C2705" s="1" t="s">
        <v>435</v>
      </c>
      <c r="D2705" s="74"/>
      <c r="E2705" s="67"/>
      <c r="F2705" s="75"/>
      <c r="G2705" s="67"/>
      <c r="H2705" s="68"/>
      <c r="I2705" s="76"/>
      <c r="J2705" s="67"/>
      <c r="K2705" s="7" t="s">
        <v>1104</v>
      </c>
      <c r="L2705" s="77"/>
      <c r="M2705" s="79"/>
      <c r="N2705" s="1"/>
      <c r="O2705" s="1"/>
      <c r="P2705" s="1"/>
      <c r="Q2705" s="1"/>
      <c r="R2705" s="1"/>
      <c r="S2705" s="1"/>
      <c r="T2705" s="1"/>
      <c r="U2705" s="1"/>
      <c r="V2705" s="1"/>
      <c r="W2705" s="1"/>
      <c r="X2705" s="1"/>
      <c r="Y2705" s="1"/>
      <c r="Z2705" s="1"/>
      <c r="AA2705" s="1"/>
      <c r="AB2705" s="1"/>
      <c r="AC2705" s="1"/>
      <c r="AD2705" s="1"/>
      <c r="AE2705" s="1"/>
      <c r="AF2705" s="1"/>
      <c r="AG2705" s="1"/>
      <c r="AH2705" s="1"/>
    </row>
    <row r="2706" ht="12.75" hidden="1" customHeight="1" outlineLevel="1">
      <c r="A2706" s="17">
        <v>41485.0</v>
      </c>
      <c r="B2706" s="1"/>
      <c r="C2706" s="1" t="s">
        <v>339</v>
      </c>
      <c r="D2706" s="74"/>
      <c r="E2706" s="67"/>
      <c r="F2706" s="75"/>
      <c r="G2706" s="67"/>
      <c r="H2706" s="68"/>
      <c r="I2706" s="76"/>
      <c r="J2706" s="67"/>
      <c r="K2706" s="7" t="s">
        <v>1140</v>
      </c>
      <c r="L2706" s="77"/>
      <c r="M2706" s="79"/>
      <c r="N2706" s="1"/>
      <c r="O2706" s="1"/>
      <c r="P2706" s="1"/>
      <c r="Q2706" s="1"/>
      <c r="R2706" s="1"/>
      <c r="S2706" s="1"/>
      <c r="T2706" s="1"/>
      <c r="U2706" s="1"/>
      <c r="V2706" s="1"/>
      <c r="W2706" s="1"/>
      <c r="X2706" s="1"/>
      <c r="Y2706" s="1"/>
      <c r="Z2706" s="1"/>
      <c r="AA2706" s="1"/>
      <c r="AB2706" s="1"/>
      <c r="AC2706" s="1"/>
      <c r="AD2706" s="1"/>
      <c r="AE2706" s="1"/>
      <c r="AF2706" s="1"/>
      <c r="AG2706" s="1"/>
      <c r="AH2706" s="1"/>
    </row>
    <row r="2707" ht="12.75" hidden="1" customHeight="1" outlineLevel="1">
      <c r="A2707" s="17">
        <v>41485.0</v>
      </c>
      <c r="B2707" s="1"/>
      <c r="C2707" s="1" t="s">
        <v>429</v>
      </c>
      <c r="D2707" s="74"/>
      <c r="E2707" s="67"/>
      <c r="F2707" s="75"/>
      <c r="G2707" s="67"/>
      <c r="H2707" s="68"/>
      <c r="I2707" s="76"/>
      <c r="J2707" s="67"/>
      <c r="K2707" s="7" t="s">
        <v>1034</v>
      </c>
      <c r="L2707" s="77"/>
      <c r="M2707" s="79"/>
      <c r="N2707" s="1"/>
      <c r="O2707" s="1"/>
      <c r="P2707" s="1"/>
      <c r="Q2707" s="1"/>
      <c r="R2707" s="1"/>
      <c r="S2707" s="1"/>
      <c r="T2707" s="1"/>
      <c r="U2707" s="1"/>
      <c r="V2707" s="1"/>
      <c r="W2707" s="1"/>
      <c r="X2707" s="1"/>
      <c r="Y2707" s="1"/>
      <c r="Z2707" s="1"/>
      <c r="AA2707" s="1"/>
      <c r="AB2707" s="1"/>
      <c r="AC2707" s="1"/>
      <c r="AD2707" s="1"/>
      <c r="AE2707" s="1"/>
      <c r="AF2707" s="1"/>
      <c r="AG2707" s="1"/>
      <c r="AH2707" s="1"/>
    </row>
    <row r="2708" ht="12.75" hidden="1" customHeight="1" outlineLevel="1">
      <c r="A2708" s="17">
        <v>41485.0</v>
      </c>
      <c r="B2708" s="1"/>
      <c r="C2708" s="1" t="s">
        <v>431</v>
      </c>
      <c r="D2708" s="74"/>
      <c r="E2708" s="67"/>
      <c r="F2708" s="75"/>
      <c r="G2708" s="67"/>
      <c r="H2708" s="68"/>
      <c r="I2708" s="76"/>
      <c r="J2708" s="67"/>
      <c r="K2708" s="7" t="s">
        <v>1126</v>
      </c>
      <c r="L2708" s="77"/>
      <c r="M2708" s="79"/>
      <c r="N2708" s="1"/>
      <c r="O2708" s="1"/>
      <c r="P2708" s="1"/>
      <c r="Q2708" s="1"/>
      <c r="R2708" s="1"/>
      <c r="S2708" s="1"/>
      <c r="T2708" s="1"/>
      <c r="U2708" s="1"/>
      <c r="V2708" s="1"/>
      <c r="W2708" s="1"/>
      <c r="X2708" s="1"/>
      <c r="Y2708" s="1"/>
      <c r="Z2708" s="1"/>
      <c r="AA2708" s="1"/>
      <c r="AB2708" s="1"/>
      <c r="AC2708" s="1"/>
      <c r="AD2708" s="1"/>
      <c r="AE2708" s="1"/>
      <c r="AF2708" s="1"/>
      <c r="AG2708" s="1"/>
      <c r="AH2708" s="1"/>
    </row>
    <row r="2709" ht="12.75" hidden="1" customHeight="1" outlineLevel="1">
      <c r="A2709" s="17">
        <v>41485.0</v>
      </c>
      <c r="B2709" s="1"/>
      <c r="C2709" s="1" t="s">
        <v>433</v>
      </c>
      <c r="D2709" s="74"/>
      <c r="E2709" s="67"/>
      <c r="F2709" s="75"/>
      <c r="G2709" s="67"/>
      <c r="H2709" s="68"/>
      <c r="I2709" s="76"/>
      <c r="J2709" s="67"/>
      <c r="K2709" s="7" t="s">
        <v>1103</v>
      </c>
      <c r="L2709" s="77"/>
      <c r="M2709" s="79"/>
      <c r="N2709" s="1"/>
      <c r="O2709" s="1"/>
      <c r="P2709" s="1"/>
      <c r="Q2709" s="1"/>
      <c r="R2709" s="1"/>
      <c r="S2709" s="1"/>
      <c r="T2709" s="1"/>
      <c r="U2709" s="1"/>
      <c r="V2709" s="1"/>
      <c r="W2709" s="1"/>
      <c r="X2709" s="1"/>
      <c r="Y2709" s="1"/>
      <c r="Z2709" s="1"/>
      <c r="AA2709" s="1"/>
      <c r="AB2709" s="1"/>
      <c r="AC2709" s="1"/>
      <c r="AD2709" s="1"/>
      <c r="AE2709" s="1"/>
      <c r="AF2709" s="1"/>
      <c r="AG2709" s="1"/>
      <c r="AH2709" s="1"/>
    </row>
    <row r="2710" ht="12.75" hidden="1" customHeight="1" outlineLevel="1">
      <c r="A2710" s="17">
        <v>41485.0</v>
      </c>
      <c r="B2710" s="1"/>
      <c r="C2710" s="1" t="s">
        <v>435</v>
      </c>
      <c r="D2710" s="74"/>
      <c r="E2710" s="67"/>
      <c r="F2710" s="75"/>
      <c r="G2710" s="67"/>
      <c r="H2710" s="68"/>
      <c r="I2710" s="76"/>
      <c r="J2710" s="67"/>
      <c r="K2710" s="7" t="s">
        <v>1104</v>
      </c>
      <c r="L2710" s="77"/>
      <c r="M2710" s="79"/>
      <c r="N2710" s="1"/>
      <c r="O2710" s="1"/>
      <c r="P2710" s="1"/>
      <c r="Q2710" s="1"/>
      <c r="R2710" s="1"/>
      <c r="S2710" s="1"/>
      <c r="T2710" s="1"/>
      <c r="U2710" s="1"/>
      <c r="V2710" s="1"/>
      <c r="W2710" s="1"/>
      <c r="X2710" s="1"/>
      <c r="Y2710" s="1"/>
      <c r="Z2710" s="1"/>
      <c r="AA2710" s="1"/>
      <c r="AB2710" s="1"/>
      <c r="AC2710" s="1"/>
      <c r="AD2710" s="1"/>
      <c r="AE2710" s="1"/>
      <c r="AF2710" s="1"/>
      <c r="AG2710" s="1"/>
      <c r="AH2710" s="1"/>
    </row>
    <row r="2711" ht="12.75" hidden="1" customHeight="1" outlineLevel="1">
      <c r="A2711" s="17">
        <v>41485.0</v>
      </c>
      <c r="B2711" s="1"/>
      <c r="C2711" s="1" t="s">
        <v>339</v>
      </c>
      <c r="D2711" s="74"/>
      <c r="E2711" s="67"/>
      <c r="F2711" s="75"/>
      <c r="G2711" s="67"/>
      <c r="H2711" s="68"/>
      <c r="I2711" s="76"/>
      <c r="J2711" s="67"/>
      <c r="K2711" s="7" t="s">
        <v>1142</v>
      </c>
      <c r="L2711" s="77"/>
      <c r="M2711" s="79"/>
      <c r="N2711" s="1"/>
      <c r="O2711" s="1"/>
      <c r="P2711" s="1"/>
      <c r="Q2711" s="1"/>
      <c r="R2711" s="1"/>
      <c r="S2711" s="1"/>
      <c r="T2711" s="1"/>
      <c r="U2711" s="1"/>
      <c r="V2711" s="1"/>
      <c r="W2711" s="1"/>
      <c r="X2711" s="1"/>
      <c r="Y2711" s="1"/>
      <c r="Z2711" s="1"/>
      <c r="AA2711" s="1"/>
      <c r="AB2711" s="1"/>
      <c r="AC2711" s="1"/>
      <c r="AD2711" s="1"/>
      <c r="AE2711" s="1"/>
      <c r="AF2711" s="1"/>
      <c r="AG2711" s="1"/>
      <c r="AH2711" s="1"/>
    </row>
    <row r="2712" ht="12.75" hidden="1" customHeight="1" outlineLevel="1">
      <c r="A2712" s="17">
        <v>41485.0</v>
      </c>
      <c r="B2712" s="1"/>
      <c r="C2712" s="1" t="s">
        <v>429</v>
      </c>
      <c r="D2712" s="74"/>
      <c r="E2712" s="67"/>
      <c r="F2712" s="75"/>
      <c r="G2712" s="67"/>
      <c r="H2712" s="68"/>
      <c r="I2712" s="76"/>
      <c r="J2712" s="67"/>
      <c r="K2712" s="7" t="s">
        <v>1034</v>
      </c>
      <c r="L2712" s="77"/>
      <c r="M2712" s="79"/>
      <c r="N2712" s="1"/>
      <c r="O2712" s="1"/>
      <c r="P2712" s="1"/>
      <c r="Q2712" s="1"/>
      <c r="R2712" s="1"/>
      <c r="S2712" s="1"/>
      <c r="T2712" s="1"/>
      <c r="U2712" s="1"/>
      <c r="V2712" s="1"/>
      <c r="W2712" s="1"/>
      <c r="X2712" s="1"/>
      <c r="Y2712" s="1"/>
      <c r="Z2712" s="1"/>
      <c r="AA2712" s="1"/>
      <c r="AB2712" s="1"/>
      <c r="AC2712" s="1"/>
      <c r="AD2712" s="1"/>
      <c r="AE2712" s="1"/>
      <c r="AF2712" s="1"/>
      <c r="AG2712" s="1"/>
      <c r="AH2712" s="1"/>
    </row>
    <row r="2713" ht="12.75" hidden="1" customHeight="1" outlineLevel="1">
      <c r="A2713" s="17">
        <v>41485.0</v>
      </c>
      <c r="B2713" s="1"/>
      <c r="C2713" s="1" t="s">
        <v>431</v>
      </c>
      <c r="D2713" s="74"/>
      <c r="E2713" s="67"/>
      <c r="F2713" s="75"/>
      <c r="G2713" s="67"/>
      <c r="H2713" s="68"/>
      <c r="I2713" s="76"/>
      <c r="J2713" s="67"/>
      <c r="K2713" s="7" t="s">
        <v>1126</v>
      </c>
      <c r="L2713" s="77"/>
      <c r="M2713" s="79"/>
      <c r="N2713" s="1"/>
      <c r="O2713" s="1"/>
      <c r="P2713" s="1"/>
      <c r="Q2713" s="1"/>
      <c r="R2713" s="1"/>
      <c r="S2713" s="1"/>
      <c r="T2713" s="1"/>
      <c r="U2713" s="1"/>
      <c r="V2713" s="1"/>
      <c r="W2713" s="1"/>
      <c r="X2713" s="1"/>
      <c r="Y2713" s="1"/>
      <c r="Z2713" s="1"/>
      <c r="AA2713" s="1"/>
      <c r="AB2713" s="1"/>
      <c r="AC2713" s="1"/>
      <c r="AD2713" s="1"/>
      <c r="AE2713" s="1"/>
      <c r="AF2713" s="1"/>
      <c r="AG2713" s="1"/>
      <c r="AH2713" s="1"/>
    </row>
    <row r="2714" ht="12.75" hidden="1" customHeight="1" outlineLevel="1">
      <c r="A2714" s="17">
        <v>41485.0</v>
      </c>
      <c r="B2714" s="1"/>
      <c r="C2714" s="1" t="s">
        <v>433</v>
      </c>
      <c r="D2714" s="74"/>
      <c r="E2714" s="67"/>
      <c r="F2714" s="75"/>
      <c r="G2714" s="67"/>
      <c r="H2714" s="68"/>
      <c r="I2714" s="76"/>
      <c r="J2714" s="67"/>
      <c r="K2714" s="7" t="s">
        <v>1103</v>
      </c>
      <c r="L2714" s="77"/>
      <c r="M2714" s="79"/>
      <c r="N2714" s="1"/>
      <c r="O2714" s="1"/>
      <c r="P2714" s="1"/>
      <c r="Q2714" s="1"/>
      <c r="R2714" s="1"/>
      <c r="S2714" s="1"/>
      <c r="T2714" s="1"/>
      <c r="U2714" s="1"/>
      <c r="V2714" s="1"/>
      <c r="W2714" s="1"/>
      <c r="X2714" s="1"/>
      <c r="Y2714" s="1"/>
      <c r="Z2714" s="1"/>
      <c r="AA2714" s="1"/>
      <c r="AB2714" s="1"/>
      <c r="AC2714" s="1"/>
      <c r="AD2714" s="1"/>
      <c r="AE2714" s="1"/>
      <c r="AF2714" s="1"/>
      <c r="AG2714" s="1"/>
      <c r="AH2714" s="1"/>
    </row>
    <row r="2715" ht="12.75" hidden="1" customHeight="1" outlineLevel="1">
      <c r="A2715" s="17">
        <v>41485.0</v>
      </c>
      <c r="B2715" s="1"/>
      <c r="C2715" s="1" t="s">
        <v>435</v>
      </c>
      <c r="D2715" s="74"/>
      <c r="E2715" s="67"/>
      <c r="F2715" s="75"/>
      <c r="G2715" s="67"/>
      <c r="H2715" s="68"/>
      <c r="I2715" s="76"/>
      <c r="J2715" s="67"/>
      <c r="K2715" s="7" t="s">
        <v>1104</v>
      </c>
      <c r="L2715" s="77"/>
      <c r="M2715" s="79"/>
      <c r="N2715" s="1"/>
      <c r="O2715" s="1"/>
      <c r="P2715" s="1"/>
      <c r="Q2715" s="1"/>
      <c r="R2715" s="1"/>
      <c r="S2715" s="1"/>
      <c r="T2715" s="1"/>
      <c r="U2715" s="1"/>
      <c r="V2715" s="1"/>
      <c r="W2715" s="1"/>
      <c r="X2715" s="1"/>
      <c r="Y2715" s="1"/>
      <c r="Z2715" s="1"/>
      <c r="AA2715" s="1"/>
      <c r="AB2715" s="1"/>
      <c r="AC2715" s="1"/>
      <c r="AD2715" s="1"/>
      <c r="AE2715" s="1"/>
      <c r="AF2715" s="1"/>
      <c r="AG2715" s="1"/>
      <c r="AH2715" s="1"/>
    </row>
    <row r="2716" ht="12.75" hidden="1" customHeight="1" outlineLevel="1">
      <c r="A2716" s="17">
        <v>41468.0</v>
      </c>
      <c r="B2716" s="1" t="s">
        <v>347</v>
      </c>
      <c r="C2716" s="1" t="s">
        <v>1136</v>
      </c>
      <c r="D2716" s="74">
        <v>1000.0</v>
      </c>
      <c r="E2716" s="67">
        <v>168.57</v>
      </c>
      <c r="F2716" s="75">
        <v>0.6631134259259259</v>
      </c>
      <c r="G2716" s="67" t="s">
        <v>453</v>
      </c>
      <c r="H2716" s="68">
        <v>4.6</v>
      </c>
      <c r="I2716" s="76"/>
      <c r="J2716" s="67">
        <f t="shared" ref="J2716:J2721" si="193">IF(B2716="SLD",D2716*E2716,-D2716*E2716)-H2716</f>
        <v>168565.4</v>
      </c>
      <c r="K2716" s="7"/>
      <c r="L2716" s="70"/>
      <c r="M2716" s="79"/>
      <c r="N2716" s="1"/>
      <c r="O2716" s="1"/>
      <c r="P2716" s="1"/>
      <c r="Q2716" s="1"/>
      <c r="R2716" s="1"/>
      <c r="S2716" s="1"/>
      <c r="T2716" s="1"/>
      <c r="U2716" s="1"/>
      <c r="V2716" s="1"/>
      <c r="W2716" s="1"/>
      <c r="X2716" s="1"/>
      <c r="Y2716" s="1"/>
      <c r="Z2716" s="1"/>
      <c r="AA2716" s="1"/>
      <c r="AB2716" s="1"/>
      <c r="AC2716" s="1"/>
      <c r="AD2716" s="1"/>
      <c r="AE2716" s="1"/>
      <c r="AF2716" s="1"/>
      <c r="AG2716" s="1"/>
      <c r="AH2716" s="1"/>
    </row>
    <row r="2717" ht="12.75" hidden="1" customHeight="1" outlineLevel="1">
      <c r="A2717" s="17">
        <v>41468.0</v>
      </c>
      <c r="B2717" s="1" t="s">
        <v>347</v>
      </c>
      <c r="C2717" s="1" t="s">
        <v>369</v>
      </c>
      <c r="D2717" s="74">
        <v>1100.0</v>
      </c>
      <c r="E2717" s="67">
        <v>19.47</v>
      </c>
      <c r="F2717" s="75">
        <v>0.6633912037037036</v>
      </c>
      <c r="G2717" s="67" t="s">
        <v>453</v>
      </c>
      <c r="H2717" s="68">
        <v>4.4</v>
      </c>
      <c r="I2717" s="76"/>
      <c r="J2717" s="67">
        <f t="shared" si="193"/>
        <v>21412.6</v>
      </c>
      <c r="K2717" s="7"/>
      <c r="L2717" s="70"/>
      <c r="M2717" s="79"/>
      <c r="N2717" s="1"/>
      <c r="O2717" s="1"/>
      <c r="P2717" s="1"/>
      <c r="Q2717" s="1"/>
      <c r="R2717" s="1"/>
      <c r="S2717" s="1"/>
      <c r="T2717" s="1"/>
      <c r="U2717" s="1"/>
      <c r="V2717" s="1"/>
      <c r="W2717" s="1"/>
      <c r="X2717" s="1"/>
      <c r="Y2717" s="1"/>
      <c r="Z2717" s="1"/>
      <c r="AA2717" s="1"/>
      <c r="AB2717" s="1"/>
      <c r="AC2717" s="1"/>
      <c r="AD2717" s="1"/>
      <c r="AE2717" s="1"/>
      <c r="AF2717" s="1"/>
      <c r="AG2717" s="1"/>
      <c r="AH2717" s="1"/>
    </row>
    <row r="2718" ht="12.75" hidden="1" customHeight="1" outlineLevel="1">
      <c r="A2718" s="17">
        <v>41468.0</v>
      </c>
      <c r="B2718" s="1" t="s">
        <v>347</v>
      </c>
      <c r="C2718" s="1" t="s">
        <v>784</v>
      </c>
      <c r="D2718" s="74">
        <v>1800.0</v>
      </c>
      <c r="E2718" s="67">
        <v>13.7</v>
      </c>
      <c r="F2718" s="75">
        <v>0.6636574074074074</v>
      </c>
      <c r="G2718" s="67" t="s">
        <v>453</v>
      </c>
      <c r="H2718" s="68">
        <v>8.3</v>
      </c>
      <c r="I2718" s="76"/>
      <c r="J2718" s="67">
        <f t="shared" si="193"/>
        <v>24651.7</v>
      </c>
      <c r="K2718" s="7"/>
      <c r="L2718" s="70"/>
      <c r="M2718" s="79"/>
      <c r="N2718" s="1"/>
      <c r="O2718" s="1"/>
      <c r="P2718" s="1"/>
      <c r="Q2718" s="1"/>
      <c r="R2718" s="1"/>
      <c r="S2718" s="1"/>
      <c r="T2718" s="1"/>
      <c r="U2718" s="1"/>
      <c r="V2718" s="1"/>
      <c r="W2718" s="1"/>
      <c r="X2718" s="1"/>
      <c r="Y2718" s="1"/>
      <c r="Z2718" s="1"/>
      <c r="AA2718" s="1"/>
      <c r="AB2718" s="1"/>
      <c r="AC2718" s="1"/>
      <c r="AD2718" s="1"/>
      <c r="AE2718" s="1"/>
      <c r="AF2718" s="1"/>
      <c r="AG2718" s="1"/>
      <c r="AH2718" s="1"/>
    </row>
    <row r="2719" ht="12.75" hidden="1" customHeight="1" outlineLevel="1">
      <c r="A2719" s="17">
        <v>41468.0</v>
      </c>
      <c r="B2719" s="1" t="s">
        <v>347</v>
      </c>
      <c r="C2719" s="1" t="s">
        <v>1044</v>
      </c>
      <c r="D2719" s="74">
        <v>900.0</v>
      </c>
      <c r="E2719" s="67">
        <v>27.01</v>
      </c>
      <c r="F2719" s="75">
        <v>0.6639930555555555</v>
      </c>
      <c r="G2719" s="67" t="s">
        <v>453</v>
      </c>
      <c r="H2719" s="68">
        <v>3.6</v>
      </c>
      <c r="I2719" s="76"/>
      <c r="J2719" s="67">
        <f t="shared" si="193"/>
        <v>24305.4</v>
      </c>
      <c r="K2719" s="7"/>
      <c r="L2719" s="70"/>
      <c r="M2719" s="79"/>
      <c r="N2719" s="1"/>
      <c r="O2719" s="1"/>
      <c r="P2719" s="1"/>
      <c r="Q2719" s="1"/>
      <c r="R2719" s="1"/>
      <c r="S2719" s="1"/>
      <c r="T2719" s="1"/>
      <c r="U2719" s="1"/>
      <c r="V2719" s="1"/>
      <c r="W2719" s="1"/>
      <c r="X2719" s="1"/>
      <c r="Y2719" s="1"/>
      <c r="Z2719" s="1"/>
      <c r="AA2719" s="1"/>
      <c r="AB2719" s="1"/>
      <c r="AC2719" s="1"/>
      <c r="AD2719" s="1"/>
      <c r="AE2719" s="1"/>
      <c r="AF2719" s="1"/>
      <c r="AG2719" s="1"/>
      <c r="AH2719" s="1"/>
    </row>
    <row r="2720" ht="12.75" hidden="1" customHeight="1" outlineLevel="1">
      <c r="A2720" s="17">
        <v>41468.0</v>
      </c>
      <c r="B2720" s="1" t="s">
        <v>347</v>
      </c>
      <c r="C2720" s="1" t="s">
        <v>857</v>
      </c>
      <c r="D2720" s="74">
        <v>3500.0</v>
      </c>
      <c r="E2720" s="67">
        <v>5.79</v>
      </c>
      <c r="F2720" s="75">
        <v>0.6654282407407407</v>
      </c>
      <c r="G2720" s="67" t="s">
        <v>453</v>
      </c>
      <c r="H2720" s="68">
        <v>16.3</v>
      </c>
      <c r="I2720" s="76"/>
      <c r="J2720" s="67">
        <f t="shared" si="193"/>
        <v>20248.7</v>
      </c>
      <c r="K2720" s="7"/>
      <c r="L2720" s="70"/>
      <c r="M2720" s="79"/>
      <c r="N2720" s="1"/>
      <c r="O2720" s="1"/>
      <c r="P2720" s="1"/>
      <c r="Q2720" s="1"/>
      <c r="R2720" s="1"/>
      <c r="S2720" s="1"/>
      <c r="T2720" s="1"/>
      <c r="U2720" s="1"/>
      <c r="V2720" s="1"/>
      <c r="W2720" s="1"/>
      <c r="X2720" s="1"/>
      <c r="Y2720" s="1"/>
      <c r="Z2720" s="1"/>
      <c r="AA2720" s="1"/>
      <c r="AB2720" s="1"/>
      <c r="AC2720" s="1"/>
      <c r="AD2720" s="1"/>
      <c r="AE2720" s="1"/>
      <c r="AF2720" s="1"/>
      <c r="AG2720" s="1"/>
      <c r="AH2720" s="1"/>
    </row>
    <row r="2721" ht="12.75" hidden="1" customHeight="1" outlineLevel="1">
      <c r="A2721" s="17">
        <v>41468.0</v>
      </c>
      <c r="B2721" s="1" t="s">
        <v>347</v>
      </c>
      <c r="C2721" s="1" t="s">
        <v>1100</v>
      </c>
      <c r="D2721" s="74">
        <v>3500.0</v>
      </c>
      <c r="E2721" s="67">
        <v>6.65</v>
      </c>
      <c r="F2721" s="75">
        <v>0.6655324074074074</v>
      </c>
      <c r="G2721" s="67" t="s">
        <v>453</v>
      </c>
      <c r="H2721" s="68">
        <v>17.1</v>
      </c>
      <c r="I2721" s="76"/>
      <c r="J2721" s="67">
        <f t="shared" si="193"/>
        <v>23257.9</v>
      </c>
      <c r="K2721" s="7"/>
      <c r="L2721" s="70"/>
      <c r="M2721" s="79"/>
      <c r="N2721" s="1"/>
      <c r="O2721" s="1"/>
      <c r="P2721" s="1"/>
      <c r="Q2721" s="1"/>
      <c r="R2721" s="1"/>
      <c r="S2721" s="1"/>
      <c r="T2721" s="1"/>
      <c r="U2721" s="1"/>
      <c r="V2721" s="1"/>
      <c r="W2721" s="1"/>
      <c r="X2721" s="1"/>
      <c r="Y2721" s="1"/>
      <c r="Z2721" s="1"/>
      <c r="AA2721" s="1"/>
      <c r="AB2721" s="1"/>
      <c r="AC2721" s="1"/>
      <c r="AD2721" s="1"/>
      <c r="AE2721" s="1"/>
      <c r="AF2721" s="1"/>
      <c r="AG2721" s="1"/>
      <c r="AH2721" s="1"/>
    </row>
    <row r="2722" ht="12.75" hidden="1" customHeight="1" outlineLevel="1">
      <c r="A2722" s="17">
        <v>41486.0</v>
      </c>
      <c r="B2722" s="1"/>
      <c r="C2722" s="1" t="s">
        <v>339</v>
      </c>
      <c r="D2722" s="74"/>
      <c r="E2722" s="67"/>
      <c r="F2722" s="75"/>
      <c r="G2722" s="67"/>
      <c r="H2722" s="68"/>
      <c r="I2722" s="76"/>
      <c r="J2722" s="67"/>
      <c r="K2722" s="7" t="s">
        <v>1144</v>
      </c>
      <c r="L2722" s="77"/>
      <c r="M2722" s="79"/>
      <c r="N2722" s="1"/>
      <c r="O2722" s="1"/>
      <c r="P2722" s="1"/>
      <c r="Q2722" s="1"/>
      <c r="R2722" s="1"/>
      <c r="S2722" s="1"/>
      <c r="T2722" s="1"/>
      <c r="U2722" s="1"/>
      <c r="V2722" s="1"/>
      <c r="W2722" s="1"/>
      <c r="X2722" s="1"/>
      <c r="Y2722" s="1"/>
      <c r="Z2722" s="1"/>
      <c r="AA2722" s="1"/>
      <c r="AB2722" s="1"/>
      <c r="AC2722" s="1"/>
      <c r="AD2722" s="1"/>
      <c r="AE2722" s="1"/>
      <c r="AF2722" s="1"/>
      <c r="AG2722" s="1"/>
      <c r="AH2722" s="1"/>
    </row>
    <row r="2723" ht="12.75" hidden="1" customHeight="1" outlineLevel="1">
      <c r="A2723" s="17">
        <v>41486.0</v>
      </c>
      <c r="B2723" s="1"/>
      <c r="C2723" s="1" t="s">
        <v>429</v>
      </c>
      <c r="D2723" s="74"/>
      <c r="E2723" s="67"/>
      <c r="F2723" s="75"/>
      <c r="G2723" s="67"/>
      <c r="H2723" s="68"/>
      <c r="I2723" s="76"/>
      <c r="J2723" s="67"/>
      <c r="K2723" s="7" t="s">
        <v>1034</v>
      </c>
      <c r="L2723" s="77"/>
      <c r="M2723" s="79"/>
      <c r="N2723" s="1"/>
      <c r="O2723" s="1"/>
      <c r="P2723" s="1"/>
      <c r="Q2723" s="1"/>
      <c r="R2723" s="1"/>
      <c r="S2723" s="1"/>
      <c r="T2723" s="1"/>
      <c r="U2723" s="1"/>
      <c r="V2723" s="1"/>
      <c r="W2723" s="1"/>
      <c r="X2723" s="1"/>
      <c r="Y2723" s="1"/>
      <c r="Z2723" s="1"/>
      <c r="AA2723" s="1"/>
      <c r="AB2723" s="1"/>
      <c r="AC2723" s="1"/>
      <c r="AD2723" s="1"/>
      <c r="AE2723" s="1"/>
      <c r="AF2723" s="1"/>
      <c r="AG2723" s="1"/>
      <c r="AH2723" s="1"/>
    </row>
    <row r="2724" ht="12.75" hidden="1" customHeight="1" outlineLevel="1">
      <c r="A2724" s="17">
        <v>41486.0</v>
      </c>
      <c r="B2724" s="1"/>
      <c r="C2724" s="1" t="s">
        <v>431</v>
      </c>
      <c r="D2724" s="74"/>
      <c r="E2724" s="67"/>
      <c r="F2724" s="75"/>
      <c r="G2724" s="67"/>
      <c r="H2724" s="68"/>
      <c r="I2724" s="76"/>
      <c r="J2724" s="67"/>
      <c r="K2724" s="7" t="s">
        <v>1126</v>
      </c>
      <c r="L2724" s="77"/>
      <c r="M2724" s="79"/>
      <c r="N2724" s="1"/>
      <c r="O2724" s="1"/>
      <c r="P2724" s="1"/>
      <c r="Q2724" s="1"/>
      <c r="R2724" s="1"/>
      <c r="S2724" s="1"/>
      <c r="T2724" s="1"/>
      <c r="U2724" s="1"/>
      <c r="V2724" s="1"/>
      <c r="W2724" s="1"/>
      <c r="X2724" s="1"/>
      <c r="Y2724" s="1"/>
      <c r="Z2724" s="1"/>
      <c r="AA2724" s="1"/>
      <c r="AB2724" s="1"/>
      <c r="AC2724" s="1"/>
      <c r="AD2724" s="1"/>
      <c r="AE2724" s="1"/>
      <c r="AF2724" s="1"/>
      <c r="AG2724" s="1"/>
      <c r="AH2724" s="1"/>
    </row>
    <row r="2725" ht="12.75" hidden="1" customHeight="1" outlineLevel="1">
      <c r="A2725" s="17">
        <v>41486.0</v>
      </c>
      <c r="B2725" s="1"/>
      <c r="C2725" s="1" t="s">
        <v>433</v>
      </c>
      <c r="D2725" s="74"/>
      <c r="E2725" s="67"/>
      <c r="F2725" s="75"/>
      <c r="G2725" s="67"/>
      <c r="H2725" s="68"/>
      <c r="I2725" s="76"/>
      <c r="J2725" s="67"/>
      <c r="K2725" s="7" t="s">
        <v>1103</v>
      </c>
      <c r="L2725" s="77"/>
      <c r="M2725" s="79"/>
      <c r="N2725" s="1"/>
      <c r="O2725" s="1"/>
      <c r="P2725" s="1"/>
      <c r="Q2725" s="1"/>
      <c r="R2725" s="1"/>
      <c r="S2725" s="1"/>
      <c r="T2725" s="1"/>
      <c r="U2725" s="1"/>
      <c r="V2725" s="1"/>
      <c r="W2725" s="1"/>
      <c r="X2725" s="1"/>
      <c r="Y2725" s="1"/>
      <c r="Z2725" s="1"/>
      <c r="AA2725" s="1"/>
      <c r="AB2725" s="1"/>
      <c r="AC2725" s="1"/>
      <c r="AD2725" s="1"/>
      <c r="AE2725" s="1"/>
      <c r="AF2725" s="1"/>
      <c r="AG2725" s="1"/>
      <c r="AH2725" s="1"/>
    </row>
    <row r="2726" ht="12.75" hidden="1" customHeight="1" outlineLevel="1">
      <c r="A2726" s="17">
        <v>41486.0</v>
      </c>
      <c r="B2726" s="1"/>
      <c r="C2726" s="1" t="s">
        <v>435</v>
      </c>
      <c r="D2726" s="74"/>
      <c r="E2726" s="67"/>
      <c r="F2726" s="75"/>
      <c r="G2726" s="67"/>
      <c r="H2726" s="68"/>
      <c r="I2726" s="76"/>
      <c r="J2726" s="67"/>
      <c r="K2726" s="7" t="s">
        <v>1104</v>
      </c>
      <c r="L2726" s="77"/>
      <c r="M2726" s="79"/>
      <c r="N2726" s="1"/>
      <c r="O2726" s="1"/>
      <c r="P2726" s="1"/>
      <c r="Q2726" s="1"/>
      <c r="R2726" s="1"/>
      <c r="S2726" s="1"/>
      <c r="T2726" s="1"/>
      <c r="U2726" s="1"/>
      <c r="V2726" s="1"/>
      <c r="W2726" s="1"/>
      <c r="X2726" s="1"/>
      <c r="Y2726" s="1"/>
      <c r="Z2726" s="1"/>
      <c r="AA2726" s="1"/>
      <c r="AB2726" s="1"/>
      <c r="AC2726" s="1"/>
      <c r="AD2726" s="1"/>
      <c r="AE2726" s="1"/>
      <c r="AF2726" s="1"/>
      <c r="AG2726" s="1"/>
      <c r="AH2726" s="1"/>
    </row>
    <row r="2727" ht="12.75" hidden="1" customHeight="1" outlineLevel="1">
      <c r="A2727" s="17">
        <v>41487.0</v>
      </c>
      <c r="B2727" s="1" t="s">
        <v>347</v>
      </c>
      <c r="C2727" s="1" t="s">
        <v>784</v>
      </c>
      <c r="D2727" s="74">
        <v>200.0</v>
      </c>
      <c r="E2727" s="67">
        <v>13.83</v>
      </c>
      <c r="F2727" s="75">
        <v>0.4527893518518518</v>
      </c>
      <c r="G2727" s="67" t="s">
        <v>453</v>
      </c>
      <c r="H2727" s="68">
        <v>1.0</v>
      </c>
      <c r="I2727" s="76"/>
      <c r="J2727" s="67">
        <f>IF(B2727="SLD",D2727*E2727,-D2727*E2727)-H2727</f>
        <v>2765</v>
      </c>
      <c r="K2727" s="7"/>
      <c r="L2727" s="70"/>
      <c r="M2727" s="79"/>
      <c r="N2727" s="1"/>
      <c r="O2727" s="1"/>
      <c r="P2727" s="1"/>
      <c r="Q2727" s="1"/>
      <c r="R2727" s="1"/>
      <c r="S2727" s="1"/>
      <c r="T2727" s="1"/>
      <c r="U2727" s="1"/>
      <c r="V2727" s="1"/>
      <c r="W2727" s="1"/>
      <c r="X2727" s="1"/>
      <c r="Y2727" s="1"/>
      <c r="Z2727" s="1"/>
      <c r="AA2727" s="1"/>
      <c r="AB2727" s="1"/>
      <c r="AC2727" s="1"/>
      <c r="AD2727" s="1"/>
      <c r="AE2727" s="1"/>
      <c r="AF2727" s="1"/>
      <c r="AG2727" s="1"/>
      <c r="AH2727" s="1"/>
    </row>
    <row r="2728" ht="12.75" hidden="1" customHeight="1" outlineLevel="1">
      <c r="A2728" s="17">
        <v>41487.0</v>
      </c>
      <c r="B2728" s="1"/>
      <c r="C2728" s="1" t="s">
        <v>339</v>
      </c>
      <c r="D2728" s="74"/>
      <c r="E2728" s="67"/>
      <c r="F2728" s="75"/>
      <c r="G2728" s="67"/>
      <c r="H2728" s="68"/>
      <c r="I2728" s="76"/>
      <c r="J2728" s="67"/>
      <c r="K2728" s="7" t="s">
        <v>1145</v>
      </c>
      <c r="L2728" s="77"/>
      <c r="M2728" s="79"/>
      <c r="N2728" s="1"/>
      <c r="O2728" s="1"/>
      <c r="P2728" s="1"/>
      <c r="Q2728" s="1"/>
      <c r="R2728" s="1"/>
      <c r="S2728" s="1"/>
      <c r="T2728" s="1"/>
      <c r="U2728" s="1"/>
      <c r="V2728" s="1"/>
      <c r="W2728" s="1"/>
      <c r="X2728" s="1"/>
      <c r="Y2728" s="1"/>
      <c r="Z2728" s="1"/>
      <c r="AA2728" s="1"/>
      <c r="AB2728" s="1"/>
      <c r="AC2728" s="1"/>
      <c r="AD2728" s="1"/>
      <c r="AE2728" s="1"/>
      <c r="AF2728" s="1"/>
      <c r="AG2728" s="1"/>
      <c r="AH2728" s="1"/>
    </row>
    <row r="2729" ht="12.75" hidden="1" customHeight="1" outlineLevel="1">
      <c r="A2729" s="17">
        <v>41487.0</v>
      </c>
      <c r="B2729" s="1"/>
      <c r="C2729" s="1" t="s">
        <v>429</v>
      </c>
      <c r="D2729" s="74"/>
      <c r="E2729" s="67"/>
      <c r="F2729" s="75"/>
      <c r="G2729" s="67"/>
      <c r="H2729" s="68"/>
      <c r="I2729" s="76"/>
      <c r="J2729" s="67"/>
      <c r="K2729" s="7" t="s">
        <v>1034</v>
      </c>
      <c r="L2729" s="77"/>
      <c r="M2729" s="79"/>
      <c r="N2729" s="1"/>
      <c r="O2729" s="1"/>
      <c r="P2729" s="1"/>
      <c r="Q2729" s="1"/>
      <c r="R2729" s="1"/>
      <c r="S2729" s="1"/>
      <c r="T2729" s="1"/>
      <c r="U2729" s="1"/>
      <c r="V2729" s="1"/>
      <c r="W2729" s="1"/>
      <c r="X2729" s="1"/>
      <c r="Y2729" s="1"/>
      <c r="Z2729" s="1"/>
      <c r="AA2729" s="1"/>
      <c r="AB2729" s="1"/>
      <c r="AC2729" s="1"/>
      <c r="AD2729" s="1"/>
      <c r="AE2729" s="1"/>
      <c r="AF2729" s="1"/>
      <c r="AG2729" s="1"/>
      <c r="AH2729" s="1"/>
    </row>
    <row r="2730" ht="12.75" hidden="1" customHeight="1" outlineLevel="1">
      <c r="A2730" s="17">
        <v>41487.0</v>
      </c>
      <c r="B2730" s="1"/>
      <c r="C2730" s="1" t="s">
        <v>431</v>
      </c>
      <c r="D2730" s="74"/>
      <c r="E2730" s="67"/>
      <c r="F2730" s="75"/>
      <c r="G2730" s="67"/>
      <c r="H2730" s="68"/>
      <c r="I2730" s="76"/>
      <c r="J2730" s="67"/>
      <c r="K2730" s="7" t="s">
        <v>1126</v>
      </c>
      <c r="L2730" s="77"/>
      <c r="M2730" s="79"/>
      <c r="N2730" s="1"/>
      <c r="O2730" s="1"/>
      <c r="P2730" s="1"/>
      <c r="Q2730" s="1"/>
      <c r="R2730" s="1"/>
      <c r="S2730" s="1"/>
      <c r="T2730" s="1"/>
      <c r="U2730" s="1"/>
      <c r="V2730" s="1"/>
      <c r="W2730" s="1"/>
      <c r="X2730" s="1"/>
      <c r="Y2730" s="1"/>
      <c r="Z2730" s="1"/>
      <c r="AA2730" s="1"/>
      <c r="AB2730" s="1"/>
      <c r="AC2730" s="1"/>
      <c r="AD2730" s="1"/>
      <c r="AE2730" s="1"/>
      <c r="AF2730" s="1"/>
      <c r="AG2730" s="1"/>
      <c r="AH2730" s="1"/>
    </row>
    <row r="2731" ht="12.75" hidden="1" customHeight="1" outlineLevel="1">
      <c r="A2731" s="17">
        <v>41487.0</v>
      </c>
      <c r="B2731" s="1"/>
      <c r="C2731" s="1" t="s">
        <v>433</v>
      </c>
      <c r="D2731" s="74"/>
      <c r="E2731" s="67"/>
      <c r="F2731" s="75"/>
      <c r="G2731" s="67"/>
      <c r="H2731" s="68"/>
      <c r="I2731" s="76"/>
      <c r="J2731" s="67"/>
      <c r="K2731" s="7" t="s">
        <v>1103</v>
      </c>
      <c r="L2731" s="77"/>
      <c r="M2731" s="79"/>
      <c r="N2731" s="1"/>
      <c r="O2731" s="1"/>
      <c r="P2731" s="1"/>
      <c r="Q2731" s="1"/>
      <c r="R2731" s="1"/>
      <c r="S2731" s="1"/>
      <c r="T2731" s="1"/>
      <c r="U2731" s="1"/>
      <c r="V2731" s="1"/>
      <c r="W2731" s="1"/>
      <c r="X2731" s="1"/>
      <c r="Y2731" s="1"/>
      <c r="Z2731" s="1"/>
      <c r="AA2731" s="1"/>
      <c r="AB2731" s="1"/>
      <c r="AC2731" s="1"/>
      <c r="AD2731" s="1"/>
      <c r="AE2731" s="1"/>
      <c r="AF2731" s="1"/>
      <c r="AG2731" s="1"/>
      <c r="AH2731" s="1"/>
    </row>
    <row r="2732" ht="12.75" hidden="1" customHeight="1" outlineLevel="1">
      <c r="A2732" s="17">
        <v>41487.0</v>
      </c>
      <c r="B2732" s="1"/>
      <c r="C2732" s="1" t="s">
        <v>435</v>
      </c>
      <c r="D2732" s="74"/>
      <c r="E2732" s="67"/>
      <c r="F2732" s="75"/>
      <c r="G2732" s="67"/>
      <c r="H2732" s="68"/>
      <c r="I2732" s="76"/>
      <c r="J2732" s="67"/>
      <c r="K2732" s="7" t="s">
        <v>1104</v>
      </c>
      <c r="L2732" s="77"/>
      <c r="M2732" s="79"/>
      <c r="N2732" s="1"/>
      <c r="O2732" s="1"/>
      <c r="P2732" s="1"/>
      <c r="Q2732" s="1"/>
      <c r="R2732" s="1"/>
      <c r="S2732" s="1"/>
      <c r="T2732" s="1"/>
      <c r="U2732" s="1"/>
      <c r="V2732" s="1"/>
      <c r="W2732" s="1"/>
      <c r="X2732" s="1"/>
      <c r="Y2732" s="1"/>
      <c r="Z2732" s="1"/>
      <c r="AA2732" s="1"/>
      <c r="AB2732" s="1"/>
      <c r="AC2732" s="1"/>
      <c r="AD2732" s="1"/>
      <c r="AE2732" s="1"/>
      <c r="AF2732" s="1"/>
      <c r="AG2732" s="1"/>
      <c r="AH2732" s="1"/>
    </row>
    <row r="2733" ht="12.75" hidden="1" customHeight="1" outlineLevel="1">
      <c r="A2733" s="17">
        <v>41488.0</v>
      </c>
      <c r="B2733" s="1" t="s">
        <v>343</v>
      </c>
      <c r="C2733" s="1" t="s">
        <v>734</v>
      </c>
      <c r="D2733" s="74">
        <v>200.0</v>
      </c>
      <c r="E2733" s="67">
        <v>25.3</v>
      </c>
      <c r="F2733" s="75">
        <v>0.40769675925925924</v>
      </c>
      <c r="G2733" s="67" t="s">
        <v>453</v>
      </c>
      <c r="H2733" s="68">
        <v>1.0</v>
      </c>
      <c r="I2733" s="76"/>
      <c r="J2733" s="67">
        <f t="shared" ref="J2733:J2738" si="194">IF(B2733="SLD",D2733*E2733,-D2733*E2733)-H2733</f>
        <v>-5061</v>
      </c>
      <c r="K2733" s="7"/>
      <c r="L2733" s="70"/>
      <c r="M2733" s="79"/>
      <c r="N2733" s="1"/>
      <c r="O2733" s="1"/>
      <c r="P2733" s="1"/>
      <c r="Q2733" s="1"/>
      <c r="R2733" s="1"/>
      <c r="S2733" s="1"/>
      <c r="T2733" s="1"/>
      <c r="U2733" s="1"/>
      <c r="V2733" s="1"/>
      <c r="W2733" s="1"/>
      <c r="X2733" s="1"/>
      <c r="Y2733" s="1"/>
      <c r="Z2733" s="1"/>
      <c r="AA2733" s="1"/>
      <c r="AB2733" s="1"/>
      <c r="AC2733" s="1"/>
      <c r="AD2733" s="1"/>
      <c r="AE2733" s="1"/>
      <c r="AF2733" s="1"/>
      <c r="AG2733" s="1"/>
      <c r="AH2733" s="1"/>
    </row>
    <row r="2734" ht="12.75" hidden="1" customHeight="1" outlineLevel="1">
      <c r="A2734" s="17">
        <v>41488.0</v>
      </c>
      <c r="B2734" s="1" t="s">
        <v>343</v>
      </c>
      <c r="C2734" s="1" t="s">
        <v>1138</v>
      </c>
      <c r="D2734" s="74">
        <v>1000.0</v>
      </c>
      <c r="E2734" s="67">
        <v>3.4</v>
      </c>
      <c r="F2734" s="75">
        <v>0.4400231481481482</v>
      </c>
      <c r="G2734" s="67" t="s">
        <v>453</v>
      </c>
      <c r="H2734" s="68">
        <v>5.0</v>
      </c>
      <c r="I2734" s="76"/>
      <c r="J2734" s="67">
        <f t="shared" si="194"/>
        <v>-3405</v>
      </c>
      <c r="K2734" s="7"/>
      <c r="L2734" s="70"/>
      <c r="M2734" s="79"/>
      <c r="N2734" s="1"/>
      <c r="O2734" s="1"/>
      <c r="P2734" s="1"/>
      <c r="Q2734" s="1"/>
      <c r="R2734" s="1"/>
      <c r="S2734" s="1"/>
      <c r="T2734" s="1"/>
      <c r="U2734" s="1"/>
      <c r="V2734" s="1"/>
      <c r="W2734" s="1"/>
      <c r="X2734" s="1"/>
      <c r="Y2734" s="1"/>
      <c r="Z2734" s="1"/>
      <c r="AA2734" s="1"/>
      <c r="AB2734" s="1"/>
      <c r="AC2734" s="1"/>
      <c r="AD2734" s="1"/>
      <c r="AE2734" s="1"/>
      <c r="AF2734" s="1"/>
      <c r="AG2734" s="1"/>
      <c r="AH2734" s="1"/>
    </row>
    <row r="2735" ht="12.75" hidden="1" customHeight="1" outlineLevel="1">
      <c r="A2735" s="17">
        <v>41488.0</v>
      </c>
      <c r="B2735" s="1" t="s">
        <v>343</v>
      </c>
      <c r="C2735" s="1" t="s">
        <v>1136</v>
      </c>
      <c r="D2735" s="74">
        <v>1000.0</v>
      </c>
      <c r="E2735" s="67">
        <v>170.21</v>
      </c>
      <c r="F2735" s="75">
        <v>0.4682175925925926</v>
      </c>
      <c r="G2735" s="67" t="s">
        <v>453</v>
      </c>
      <c r="H2735" s="68">
        <v>4.0</v>
      </c>
      <c r="I2735" s="76"/>
      <c r="J2735" s="67">
        <f t="shared" si="194"/>
        <v>-170214</v>
      </c>
      <c r="K2735" s="7"/>
      <c r="L2735" s="70"/>
      <c r="M2735" s="79"/>
      <c r="N2735" s="1"/>
      <c r="O2735" s="1"/>
      <c r="P2735" s="1"/>
      <c r="Q2735" s="1"/>
      <c r="R2735" s="1"/>
      <c r="S2735" s="1"/>
      <c r="T2735" s="1"/>
      <c r="U2735" s="1"/>
      <c r="V2735" s="1"/>
      <c r="W2735" s="1"/>
      <c r="X2735" s="1"/>
      <c r="Y2735" s="1"/>
      <c r="Z2735" s="1"/>
      <c r="AA2735" s="1"/>
      <c r="AB2735" s="1"/>
      <c r="AC2735" s="1"/>
      <c r="AD2735" s="1"/>
      <c r="AE2735" s="1"/>
      <c r="AF2735" s="1"/>
      <c r="AG2735" s="1"/>
      <c r="AH2735" s="1"/>
    </row>
    <row r="2736" ht="12.75" hidden="1" customHeight="1" outlineLevel="1">
      <c r="A2736" s="17">
        <v>41488.0</v>
      </c>
      <c r="B2736" s="1" t="s">
        <v>343</v>
      </c>
      <c r="C2736" s="1" t="s">
        <v>1136</v>
      </c>
      <c r="D2736" s="74">
        <v>500.0</v>
      </c>
      <c r="E2736" s="67">
        <v>170.36</v>
      </c>
      <c r="F2736" s="75">
        <v>0.4782523148148148</v>
      </c>
      <c r="G2736" s="67" t="s">
        <v>453</v>
      </c>
      <c r="H2736" s="68">
        <v>2.1</v>
      </c>
      <c r="I2736" s="76"/>
      <c r="J2736" s="67">
        <f t="shared" si="194"/>
        <v>-85182.1</v>
      </c>
      <c r="K2736" s="7"/>
      <c r="L2736" s="70"/>
      <c r="M2736" s="79"/>
      <c r="N2736" s="1"/>
      <c r="O2736" s="1"/>
      <c r="P2736" s="1"/>
      <c r="Q2736" s="1"/>
      <c r="R2736" s="1"/>
      <c r="S2736" s="1"/>
      <c r="T2736" s="1"/>
      <c r="U2736" s="1"/>
      <c r="V2736" s="1"/>
      <c r="W2736" s="1"/>
      <c r="X2736" s="1"/>
      <c r="Y2736" s="1"/>
      <c r="Z2736" s="1"/>
      <c r="AA2736" s="1"/>
      <c r="AB2736" s="1"/>
      <c r="AC2736" s="1"/>
      <c r="AD2736" s="1"/>
      <c r="AE2736" s="1"/>
      <c r="AF2736" s="1"/>
      <c r="AG2736" s="1"/>
      <c r="AH2736" s="1"/>
    </row>
    <row r="2737" ht="12.75" hidden="1" customHeight="1" outlineLevel="1">
      <c r="A2737" s="17">
        <v>41488.0</v>
      </c>
      <c r="B2737" s="1" t="s">
        <v>343</v>
      </c>
      <c r="C2737" s="1" t="s">
        <v>1100</v>
      </c>
      <c r="D2737" s="74">
        <v>3500.0</v>
      </c>
      <c r="E2737" s="67">
        <v>6.76</v>
      </c>
      <c r="F2737" s="75">
        <v>0.5785416666666666</v>
      </c>
      <c r="G2737" s="67" t="s">
        <v>453</v>
      </c>
      <c r="H2737" s="68">
        <v>14.3</v>
      </c>
      <c r="I2737" s="76"/>
      <c r="J2737" s="67">
        <f t="shared" si="194"/>
        <v>-23674.3</v>
      </c>
      <c r="K2737" s="7"/>
      <c r="L2737" s="70"/>
      <c r="M2737" s="79"/>
      <c r="N2737" s="1"/>
      <c r="O2737" s="1"/>
      <c r="P2737" s="1"/>
      <c r="Q2737" s="1"/>
      <c r="R2737" s="1"/>
      <c r="S2737" s="1"/>
      <c r="T2737" s="1"/>
      <c r="U2737" s="1"/>
      <c r="V2737" s="1"/>
      <c r="W2737" s="1"/>
      <c r="X2737" s="1"/>
      <c r="Y2737" s="1"/>
      <c r="Z2737" s="1"/>
      <c r="AA2737" s="1"/>
      <c r="AB2737" s="1"/>
      <c r="AC2737" s="1"/>
      <c r="AD2737" s="1"/>
      <c r="AE2737" s="1"/>
      <c r="AF2737" s="1"/>
      <c r="AG2737" s="1"/>
      <c r="AH2737" s="1"/>
    </row>
    <row r="2738" ht="12.75" hidden="1" customHeight="1" outlineLevel="1">
      <c r="A2738" s="17">
        <v>41488.0</v>
      </c>
      <c r="B2738" s="1" t="s">
        <v>343</v>
      </c>
      <c r="C2738" s="1" t="s">
        <v>857</v>
      </c>
      <c r="D2738" s="74">
        <v>3500.0</v>
      </c>
      <c r="E2738" s="67">
        <v>5.814</v>
      </c>
      <c r="F2738" s="75">
        <v>0.5788888888888889</v>
      </c>
      <c r="G2738" s="67" t="s">
        <v>453</v>
      </c>
      <c r="H2738" s="68">
        <v>16.3</v>
      </c>
      <c r="I2738" s="76"/>
      <c r="J2738" s="67">
        <f t="shared" si="194"/>
        <v>-20365.3</v>
      </c>
      <c r="K2738" s="7"/>
      <c r="L2738" s="70"/>
      <c r="M2738" s="79"/>
      <c r="N2738" s="1"/>
      <c r="O2738" s="1"/>
      <c r="P2738" s="1"/>
      <c r="Q2738" s="1"/>
      <c r="R2738" s="1"/>
      <c r="S2738" s="1"/>
      <c r="T2738" s="1"/>
      <c r="U2738" s="1"/>
      <c r="V2738" s="1"/>
      <c r="W2738" s="1"/>
      <c r="X2738" s="1"/>
      <c r="Y2738" s="1"/>
      <c r="Z2738" s="1"/>
      <c r="AA2738" s="1"/>
      <c r="AB2738" s="1"/>
      <c r="AC2738" s="1"/>
      <c r="AD2738" s="1"/>
      <c r="AE2738" s="1"/>
      <c r="AF2738" s="1"/>
      <c r="AG2738" s="1"/>
      <c r="AH2738" s="1"/>
    </row>
    <row r="2739" ht="12.75" hidden="1" customHeight="1" outlineLevel="1">
      <c r="A2739" s="17">
        <v>41488.0</v>
      </c>
      <c r="B2739" s="1"/>
      <c r="C2739" s="1" t="s">
        <v>339</v>
      </c>
      <c r="D2739" s="74"/>
      <c r="E2739" s="67"/>
      <c r="F2739" s="75"/>
      <c r="G2739" s="67"/>
      <c r="H2739" s="68"/>
      <c r="I2739" s="76"/>
      <c r="J2739" s="67"/>
      <c r="K2739" s="7" t="s">
        <v>1147</v>
      </c>
      <c r="L2739" s="77"/>
      <c r="M2739" s="79"/>
      <c r="N2739" s="1"/>
      <c r="O2739" s="1"/>
      <c r="P2739" s="1"/>
      <c r="Q2739" s="1"/>
      <c r="R2739" s="1"/>
      <c r="S2739" s="1"/>
      <c r="T2739" s="1"/>
      <c r="U2739" s="1"/>
      <c r="V2739" s="1"/>
      <c r="W2739" s="1"/>
      <c r="X2739" s="1"/>
      <c r="Y2739" s="1"/>
      <c r="Z2739" s="1"/>
      <c r="AA2739" s="1"/>
      <c r="AB2739" s="1"/>
      <c r="AC2739" s="1"/>
      <c r="AD2739" s="1"/>
      <c r="AE2739" s="1"/>
      <c r="AF2739" s="1"/>
      <c r="AG2739" s="1"/>
      <c r="AH2739" s="1"/>
    </row>
    <row r="2740" ht="12.75" hidden="1" customHeight="1" outlineLevel="1">
      <c r="A2740" s="17">
        <v>41488.0</v>
      </c>
      <c r="B2740" s="1"/>
      <c r="C2740" s="1" t="s">
        <v>429</v>
      </c>
      <c r="D2740" s="74"/>
      <c r="E2740" s="67"/>
      <c r="F2740" s="75"/>
      <c r="G2740" s="67"/>
      <c r="H2740" s="68"/>
      <c r="I2740" s="76"/>
      <c r="J2740" s="67"/>
      <c r="K2740" s="7" t="s">
        <v>1034</v>
      </c>
      <c r="L2740" s="77"/>
      <c r="M2740" s="79"/>
      <c r="N2740" s="1"/>
      <c r="O2740" s="1"/>
      <c r="P2740" s="1"/>
      <c r="Q2740" s="1"/>
      <c r="R2740" s="1"/>
      <c r="S2740" s="1"/>
      <c r="T2740" s="1"/>
      <c r="U2740" s="1"/>
      <c r="V2740" s="1"/>
      <c r="W2740" s="1"/>
      <c r="X2740" s="1"/>
      <c r="Y2740" s="1"/>
      <c r="Z2740" s="1"/>
      <c r="AA2740" s="1"/>
      <c r="AB2740" s="1"/>
      <c r="AC2740" s="1"/>
      <c r="AD2740" s="1"/>
      <c r="AE2740" s="1"/>
      <c r="AF2740" s="1"/>
      <c r="AG2740" s="1"/>
      <c r="AH2740" s="1"/>
    </row>
    <row r="2741" ht="12.75" hidden="1" customHeight="1" outlineLevel="1">
      <c r="A2741" s="17">
        <v>41488.0</v>
      </c>
      <c r="B2741" s="1"/>
      <c r="C2741" s="1" t="s">
        <v>431</v>
      </c>
      <c r="D2741" s="74"/>
      <c r="E2741" s="67"/>
      <c r="F2741" s="75"/>
      <c r="G2741" s="67"/>
      <c r="H2741" s="68"/>
      <c r="I2741" s="76"/>
      <c r="J2741" s="67"/>
      <c r="K2741" s="7" t="s">
        <v>1126</v>
      </c>
      <c r="L2741" s="77"/>
      <c r="M2741" s="79"/>
      <c r="N2741" s="1"/>
      <c r="O2741" s="1"/>
      <c r="P2741" s="1"/>
      <c r="Q2741" s="1"/>
      <c r="R2741" s="1"/>
      <c r="S2741" s="1"/>
      <c r="T2741" s="1"/>
      <c r="U2741" s="1"/>
      <c r="V2741" s="1"/>
      <c r="W2741" s="1"/>
      <c r="X2741" s="1"/>
      <c r="Y2741" s="1"/>
      <c r="Z2741" s="1"/>
      <c r="AA2741" s="1"/>
      <c r="AB2741" s="1"/>
      <c r="AC2741" s="1"/>
      <c r="AD2741" s="1"/>
      <c r="AE2741" s="1"/>
      <c r="AF2741" s="1"/>
      <c r="AG2741" s="1"/>
      <c r="AH2741" s="1"/>
    </row>
    <row r="2742" ht="12.75" hidden="1" customHeight="1" outlineLevel="1">
      <c r="A2742" s="17">
        <v>41488.0</v>
      </c>
      <c r="B2742" s="1"/>
      <c r="C2742" s="1" t="s">
        <v>433</v>
      </c>
      <c r="D2742" s="74"/>
      <c r="E2742" s="67"/>
      <c r="F2742" s="75"/>
      <c r="G2742" s="67"/>
      <c r="H2742" s="68"/>
      <c r="I2742" s="76"/>
      <c r="J2742" s="67"/>
      <c r="K2742" s="7" t="s">
        <v>1103</v>
      </c>
      <c r="L2742" s="77"/>
      <c r="M2742" s="79"/>
      <c r="N2742" s="1"/>
      <c r="O2742" s="1"/>
      <c r="P2742" s="1"/>
      <c r="Q2742" s="1"/>
      <c r="R2742" s="1"/>
      <c r="S2742" s="1"/>
      <c r="T2742" s="1"/>
      <c r="U2742" s="1"/>
      <c r="V2742" s="1"/>
      <c r="W2742" s="1"/>
      <c r="X2742" s="1"/>
      <c r="Y2742" s="1"/>
      <c r="Z2742" s="1"/>
      <c r="AA2742" s="1"/>
      <c r="AB2742" s="1"/>
      <c r="AC2742" s="1"/>
      <c r="AD2742" s="1"/>
      <c r="AE2742" s="1"/>
      <c r="AF2742" s="1"/>
      <c r="AG2742" s="1"/>
      <c r="AH2742" s="1"/>
    </row>
    <row r="2743" ht="12.75" hidden="1" customHeight="1" outlineLevel="1">
      <c r="A2743" s="17">
        <v>41488.0</v>
      </c>
      <c r="B2743" s="1"/>
      <c r="C2743" s="1" t="s">
        <v>435</v>
      </c>
      <c r="D2743" s="74"/>
      <c r="E2743" s="67"/>
      <c r="F2743" s="75"/>
      <c r="G2743" s="67"/>
      <c r="H2743" s="68"/>
      <c r="I2743" s="76"/>
      <c r="J2743" s="67"/>
      <c r="K2743" s="7" t="s">
        <v>1104</v>
      </c>
      <c r="L2743" s="77"/>
      <c r="M2743" s="79"/>
      <c r="N2743" s="1"/>
      <c r="O2743" s="1"/>
      <c r="P2743" s="1"/>
      <c r="Q2743" s="1"/>
      <c r="R2743" s="1"/>
      <c r="S2743" s="1"/>
      <c r="T2743" s="1"/>
      <c r="U2743" s="1"/>
      <c r="V2743" s="1"/>
      <c r="W2743" s="1"/>
      <c r="X2743" s="1"/>
      <c r="Y2743" s="1"/>
      <c r="Z2743" s="1"/>
      <c r="AA2743" s="1"/>
      <c r="AB2743" s="1"/>
      <c r="AC2743" s="1"/>
      <c r="AD2743" s="1"/>
      <c r="AE2743" s="1"/>
      <c r="AF2743" s="1"/>
      <c r="AG2743" s="1"/>
      <c r="AH2743" s="1"/>
    </row>
    <row r="2744" ht="12.75" hidden="1" customHeight="1" outlineLevel="1">
      <c r="A2744" s="17">
        <v>41490.0</v>
      </c>
      <c r="B2744" s="1"/>
      <c r="C2744" s="1" t="s">
        <v>339</v>
      </c>
      <c r="D2744" s="74"/>
      <c r="E2744" s="67"/>
      <c r="F2744" s="75"/>
      <c r="G2744" s="67"/>
      <c r="H2744" s="68"/>
      <c r="I2744" s="76"/>
      <c r="J2744" s="67"/>
      <c r="K2744" s="7" t="s">
        <v>1148</v>
      </c>
      <c r="L2744" s="77"/>
      <c r="M2744" s="79"/>
      <c r="N2744" s="1"/>
      <c r="O2744" s="1"/>
      <c r="P2744" s="1"/>
      <c r="Q2744" s="1"/>
      <c r="R2744" s="1"/>
      <c r="S2744" s="1"/>
      <c r="T2744" s="1"/>
      <c r="U2744" s="1"/>
      <c r="V2744" s="1"/>
      <c r="W2744" s="1"/>
      <c r="X2744" s="1"/>
      <c r="Y2744" s="1"/>
      <c r="Z2744" s="1"/>
      <c r="AA2744" s="1"/>
      <c r="AB2744" s="1"/>
      <c r="AC2744" s="1"/>
      <c r="AD2744" s="1"/>
      <c r="AE2744" s="1"/>
      <c r="AF2744" s="1"/>
      <c r="AG2744" s="1"/>
      <c r="AH2744" s="1"/>
    </row>
    <row r="2745" ht="12.75" hidden="1" customHeight="1" outlineLevel="1">
      <c r="A2745" s="17">
        <v>41490.0</v>
      </c>
      <c r="B2745" s="1"/>
      <c r="C2745" s="1" t="s">
        <v>429</v>
      </c>
      <c r="D2745" s="74"/>
      <c r="E2745" s="67"/>
      <c r="F2745" s="75"/>
      <c r="G2745" s="67"/>
      <c r="H2745" s="68"/>
      <c r="I2745" s="76"/>
      <c r="J2745" s="67"/>
      <c r="K2745" s="7" t="s">
        <v>1034</v>
      </c>
      <c r="L2745" s="77"/>
      <c r="M2745" s="79"/>
      <c r="N2745" s="1"/>
      <c r="O2745" s="1"/>
      <c r="P2745" s="1"/>
      <c r="Q2745" s="1"/>
      <c r="R2745" s="1"/>
      <c r="S2745" s="1"/>
      <c r="T2745" s="1"/>
      <c r="U2745" s="1"/>
      <c r="V2745" s="1"/>
      <c r="W2745" s="1"/>
      <c r="X2745" s="1"/>
      <c r="Y2745" s="1"/>
      <c r="Z2745" s="1"/>
      <c r="AA2745" s="1"/>
      <c r="AB2745" s="1"/>
      <c r="AC2745" s="1"/>
      <c r="AD2745" s="1"/>
      <c r="AE2745" s="1"/>
      <c r="AF2745" s="1"/>
      <c r="AG2745" s="1"/>
      <c r="AH2745" s="1"/>
    </row>
    <row r="2746" ht="12.75" hidden="1" customHeight="1" outlineLevel="1">
      <c r="A2746" s="17">
        <v>41490.0</v>
      </c>
      <c r="B2746" s="1"/>
      <c r="C2746" s="1" t="s">
        <v>431</v>
      </c>
      <c r="D2746" s="74"/>
      <c r="E2746" s="67"/>
      <c r="F2746" s="75"/>
      <c r="G2746" s="67"/>
      <c r="H2746" s="68"/>
      <c r="I2746" s="76"/>
      <c r="J2746" s="67"/>
      <c r="K2746" s="7" t="s">
        <v>1126</v>
      </c>
      <c r="L2746" s="77"/>
      <c r="M2746" s="79"/>
      <c r="N2746" s="1"/>
      <c r="O2746" s="1"/>
      <c r="P2746" s="1"/>
      <c r="Q2746" s="1"/>
      <c r="R2746" s="1"/>
      <c r="S2746" s="1"/>
      <c r="T2746" s="1"/>
      <c r="U2746" s="1"/>
      <c r="V2746" s="1"/>
      <c r="W2746" s="1"/>
      <c r="X2746" s="1"/>
      <c r="Y2746" s="1"/>
      <c r="Z2746" s="1"/>
      <c r="AA2746" s="1"/>
      <c r="AB2746" s="1"/>
      <c r="AC2746" s="1"/>
      <c r="AD2746" s="1"/>
      <c r="AE2746" s="1"/>
      <c r="AF2746" s="1"/>
      <c r="AG2746" s="1"/>
      <c r="AH2746" s="1"/>
    </row>
    <row r="2747" ht="12.75" hidden="1" customHeight="1" outlineLevel="1">
      <c r="A2747" s="17">
        <v>41490.0</v>
      </c>
      <c r="B2747" s="1"/>
      <c r="C2747" s="1" t="s">
        <v>433</v>
      </c>
      <c r="D2747" s="74"/>
      <c r="E2747" s="67"/>
      <c r="F2747" s="75"/>
      <c r="G2747" s="67"/>
      <c r="H2747" s="68"/>
      <c r="I2747" s="76"/>
      <c r="J2747" s="67"/>
      <c r="K2747" s="7" t="s">
        <v>1103</v>
      </c>
      <c r="L2747" s="77"/>
      <c r="M2747" s="79"/>
      <c r="N2747" s="1"/>
      <c r="O2747" s="1"/>
      <c r="P2747" s="1"/>
      <c r="Q2747" s="1"/>
      <c r="R2747" s="1"/>
      <c r="S2747" s="1"/>
      <c r="T2747" s="1"/>
      <c r="U2747" s="1"/>
      <c r="V2747" s="1"/>
      <c r="W2747" s="1"/>
      <c r="X2747" s="1"/>
      <c r="Y2747" s="1"/>
      <c r="Z2747" s="1"/>
      <c r="AA2747" s="1"/>
      <c r="AB2747" s="1"/>
      <c r="AC2747" s="1"/>
      <c r="AD2747" s="1"/>
      <c r="AE2747" s="1"/>
      <c r="AF2747" s="1"/>
      <c r="AG2747" s="1"/>
      <c r="AH2747" s="1"/>
    </row>
    <row r="2748" ht="12.75" hidden="1" customHeight="1" outlineLevel="1">
      <c r="A2748" s="17">
        <v>41490.0</v>
      </c>
      <c r="B2748" s="1"/>
      <c r="C2748" s="1" t="s">
        <v>435</v>
      </c>
      <c r="D2748" s="74"/>
      <c r="E2748" s="67"/>
      <c r="F2748" s="75"/>
      <c r="G2748" s="67"/>
      <c r="H2748" s="68"/>
      <c r="I2748" s="76"/>
      <c r="J2748" s="67"/>
      <c r="K2748" s="7" t="s">
        <v>1104</v>
      </c>
      <c r="L2748" s="77"/>
      <c r="M2748" s="79"/>
      <c r="N2748" s="1"/>
      <c r="O2748" s="1"/>
      <c r="P2748" s="1"/>
      <c r="Q2748" s="1"/>
      <c r="R2748" s="1"/>
      <c r="S2748" s="1"/>
      <c r="T2748" s="1"/>
      <c r="U2748" s="1"/>
      <c r="V2748" s="1"/>
      <c r="W2748" s="1"/>
      <c r="X2748" s="1"/>
      <c r="Y2748" s="1"/>
      <c r="Z2748" s="1"/>
      <c r="AA2748" s="1"/>
      <c r="AB2748" s="1"/>
      <c r="AC2748" s="1"/>
      <c r="AD2748" s="1"/>
      <c r="AE2748" s="1"/>
      <c r="AF2748" s="1"/>
      <c r="AG2748" s="1"/>
      <c r="AH2748" s="1"/>
    </row>
    <row r="2749" ht="12.75" hidden="1" customHeight="1" outlineLevel="1">
      <c r="A2749" s="17">
        <v>41491.0</v>
      </c>
      <c r="B2749" s="1" t="s">
        <v>343</v>
      </c>
      <c r="C2749" s="1" t="s">
        <v>779</v>
      </c>
      <c r="D2749" s="74">
        <v>125.0</v>
      </c>
      <c r="E2749" s="67">
        <v>193.25</v>
      </c>
      <c r="F2749" s="75">
        <v>0.4566666666666667</v>
      </c>
      <c r="G2749" s="67" t="s">
        <v>453</v>
      </c>
      <c r="H2749" s="68">
        <v>1.0</v>
      </c>
      <c r="I2749" s="76"/>
      <c r="J2749" s="67">
        <f>IF(B2749="SLD",D2749*E2749,-D2749*E2749)-H2749</f>
        <v>-24157.25</v>
      </c>
      <c r="K2749" s="7"/>
      <c r="L2749" s="70"/>
      <c r="M2749" s="79"/>
      <c r="N2749" s="1"/>
      <c r="O2749" s="1"/>
      <c r="P2749" s="1"/>
      <c r="Q2749" s="1"/>
      <c r="R2749" s="1"/>
      <c r="S2749" s="1"/>
      <c r="T2749" s="1"/>
      <c r="U2749" s="1"/>
      <c r="V2749" s="1"/>
      <c r="W2749" s="1"/>
      <c r="X2749" s="1"/>
      <c r="Y2749" s="1"/>
      <c r="Z2749" s="1"/>
      <c r="AA2749" s="1"/>
      <c r="AB2749" s="1"/>
      <c r="AC2749" s="1"/>
      <c r="AD2749" s="1"/>
      <c r="AE2749" s="1"/>
      <c r="AF2749" s="1"/>
      <c r="AG2749" s="1"/>
      <c r="AH2749" s="1"/>
    </row>
    <row r="2750" ht="12.75" hidden="1" customHeight="1" outlineLevel="1">
      <c r="A2750" s="17">
        <v>41491.0</v>
      </c>
      <c r="B2750" s="1"/>
      <c r="C2750" s="1" t="s">
        <v>339</v>
      </c>
      <c r="D2750" s="74"/>
      <c r="E2750" s="67"/>
      <c r="F2750" s="75"/>
      <c r="G2750" s="67"/>
      <c r="H2750" s="68"/>
      <c r="I2750" s="76"/>
      <c r="J2750" s="67"/>
      <c r="K2750" s="7" t="s">
        <v>1149</v>
      </c>
      <c r="L2750" s="77"/>
      <c r="M2750" s="79"/>
      <c r="N2750" s="1"/>
      <c r="O2750" s="1"/>
      <c r="P2750" s="1"/>
      <c r="Q2750" s="1"/>
      <c r="R2750" s="1"/>
      <c r="S2750" s="1"/>
      <c r="T2750" s="1"/>
      <c r="U2750" s="1"/>
      <c r="V2750" s="1"/>
      <c r="W2750" s="1"/>
      <c r="X2750" s="1"/>
      <c r="Y2750" s="1"/>
      <c r="Z2750" s="1"/>
      <c r="AA2750" s="1"/>
      <c r="AB2750" s="1"/>
      <c r="AC2750" s="1"/>
      <c r="AD2750" s="1"/>
      <c r="AE2750" s="1"/>
      <c r="AF2750" s="1"/>
      <c r="AG2750" s="1"/>
      <c r="AH2750" s="1"/>
    </row>
    <row r="2751" ht="12.75" hidden="1" customHeight="1" outlineLevel="1">
      <c r="A2751" s="17">
        <v>41491.0</v>
      </c>
      <c r="B2751" s="1"/>
      <c r="C2751" s="1" t="s">
        <v>429</v>
      </c>
      <c r="D2751" s="74"/>
      <c r="E2751" s="67"/>
      <c r="F2751" s="75"/>
      <c r="G2751" s="67"/>
      <c r="H2751" s="68"/>
      <c r="I2751" s="76"/>
      <c r="J2751" s="67"/>
      <c r="K2751" s="7" t="s">
        <v>1034</v>
      </c>
      <c r="L2751" s="77"/>
      <c r="M2751" s="79"/>
      <c r="N2751" s="1"/>
      <c r="O2751" s="1"/>
      <c r="P2751" s="1"/>
      <c r="Q2751" s="1"/>
      <c r="R2751" s="1"/>
      <c r="S2751" s="1"/>
      <c r="T2751" s="1"/>
      <c r="U2751" s="1"/>
      <c r="V2751" s="1"/>
      <c r="W2751" s="1"/>
      <c r="X2751" s="1"/>
      <c r="Y2751" s="1"/>
      <c r="Z2751" s="1"/>
      <c r="AA2751" s="1"/>
      <c r="AB2751" s="1"/>
      <c r="AC2751" s="1"/>
      <c r="AD2751" s="1"/>
      <c r="AE2751" s="1"/>
      <c r="AF2751" s="1"/>
      <c r="AG2751" s="1"/>
      <c r="AH2751" s="1"/>
    </row>
    <row r="2752" ht="12.75" hidden="1" customHeight="1" outlineLevel="1">
      <c r="A2752" s="17">
        <v>41491.0</v>
      </c>
      <c r="B2752" s="1"/>
      <c r="C2752" s="1" t="s">
        <v>431</v>
      </c>
      <c r="D2752" s="74"/>
      <c r="E2752" s="67"/>
      <c r="F2752" s="75"/>
      <c r="G2752" s="67"/>
      <c r="H2752" s="68"/>
      <c r="I2752" s="76"/>
      <c r="J2752" s="67"/>
      <c r="K2752" s="7" t="s">
        <v>1126</v>
      </c>
      <c r="L2752" s="77"/>
      <c r="M2752" s="79"/>
      <c r="N2752" s="1"/>
      <c r="O2752" s="1"/>
      <c r="P2752" s="1"/>
      <c r="Q2752" s="1"/>
      <c r="R2752" s="1"/>
      <c r="S2752" s="1"/>
      <c r="T2752" s="1"/>
      <c r="U2752" s="1"/>
      <c r="V2752" s="1"/>
      <c r="W2752" s="1"/>
      <c r="X2752" s="1"/>
      <c r="Y2752" s="1"/>
      <c r="Z2752" s="1"/>
      <c r="AA2752" s="1"/>
      <c r="AB2752" s="1"/>
      <c r="AC2752" s="1"/>
      <c r="AD2752" s="1"/>
      <c r="AE2752" s="1"/>
      <c r="AF2752" s="1"/>
      <c r="AG2752" s="1"/>
      <c r="AH2752" s="1"/>
    </row>
    <row r="2753" ht="12.75" hidden="1" customHeight="1" outlineLevel="1">
      <c r="A2753" s="17">
        <v>41491.0</v>
      </c>
      <c r="B2753" s="1"/>
      <c r="C2753" s="1" t="s">
        <v>433</v>
      </c>
      <c r="D2753" s="74"/>
      <c r="E2753" s="67"/>
      <c r="F2753" s="75"/>
      <c r="G2753" s="67"/>
      <c r="H2753" s="68"/>
      <c r="I2753" s="76"/>
      <c r="J2753" s="67"/>
      <c r="K2753" s="7" t="s">
        <v>1103</v>
      </c>
      <c r="L2753" s="77"/>
      <c r="M2753" s="79"/>
      <c r="N2753" s="1"/>
      <c r="O2753" s="1"/>
      <c r="P2753" s="1"/>
      <c r="Q2753" s="1"/>
      <c r="R2753" s="1"/>
      <c r="S2753" s="1"/>
      <c r="T2753" s="1"/>
      <c r="U2753" s="1"/>
      <c r="V2753" s="1"/>
      <c r="W2753" s="1"/>
      <c r="X2753" s="1"/>
      <c r="Y2753" s="1"/>
      <c r="Z2753" s="1"/>
      <c r="AA2753" s="1"/>
      <c r="AB2753" s="1"/>
      <c r="AC2753" s="1"/>
      <c r="AD2753" s="1"/>
      <c r="AE2753" s="1"/>
      <c r="AF2753" s="1"/>
      <c r="AG2753" s="1"/>
      <c r="AH2753" s="1"/>
    </row>
    <row r="2754" ht="12.75" hidden="1" customHeight="1" outlineLevel="1">
      <c r="A2754" s="17">
        <v>41491.0</v>
      </c>
      <c r="B2754" s="1"/>
      <c r="C2754" s="1" t="s">
        <v>435</v>
      </c>
      <c r="D2754" s="74"/>
      <c r="E2754" s="67"/>
      <c r="F2754" s="75"/>
      <c r="G2754" s="67"/>
      <c r="H2754" s="68"/>
      <c r="I2754" s="76"/>
      <c r="J2754" s="67"/>
      <c r="K2754" s="7" t="s">
        <v>1104</v>
      </c>
      <c r="L2754" s="77"/>
      <c r="M2754" s="79"/>
      <c r="N2754" s="1"/>
      <c r="O2754" s="1"/>
      <c r="P2754" s="1"/>
      <c r="Q2754" s="1"/>
      <c r="R2754" s="1"/>
      <c r="S2754" s="1"/>
      <c r="T2754" s="1"/>
      <c r="U2754" s="1"/>
      <c r="V2754" s="1"/>
      <c r="W2754" s="1"/>
      <c r="X2754" s="1"/>
      <c r="Y2754" s="1"/>
      <c r="Z2754" s="1"/>
      <c r="AA2754" s="1"/>
      <c r="AB2754" s="1"/>
      <c r="AC2754" s="1"/>
      <c r="AD2754" s="1"/>
      <c r="AE2754" s="1"/>
      <c r="AF2754" s="1"/>
      <c r="AG2754" s="1"/>
      <c r="AH2754" s="1"/>
    </row>
    <row r="2755" ht="12.75" hidden="1" customHeight="1" outlineLevel="1">
      <c r="A2755" s="17">
        <v>41492.0</v>
      </c>
      <c r="B2755" s="1"/>
      <c r="C2755" s="1" t="s">
        <v>339</v>
      </c>
      <c r="D2755" s="74"/>
      <c r="E2755" s="67"/>
      <c r="F2755" s="75"/>
      <c r="G2755" s="67"/>
      <c r="H2755" s="68"/>
      <c r="I2755" s="76"/>
      <c r="J2755" s="67"/>
      <c r="K2755" s="7" t="s">
        <v>1149</v>
      </c>
      <c r="L2755" s="77"/>
      <c r="M2755" s="79"/>
      <c r="N2755" s="1"/>
      <c r="O2755" s="1"/>
      <c r="P2755" s="1"/>
      <c r="Q2755" s="1"/>
      <c r="R2755" s="1"/>
      <c r="S2755" s="1"/>
      <c r="T2755" s="1"/>
      <c r="U2755" s="1"/>
      <c r="V2755" s="1"/>
      <c r="W2755" s="1"/>
      <c r="X2755" s="1"/>
      <c r="Y2755" s="1"/>
      <c r="Z2755" s="1"/>
      <c r="AA2755" s="1"/>
      <c r="AB2755" s="1"/>
      <c r="AC2755" s="1"/>
      <c r="AD2755" s="1"/>
      <c r="AE2755" s="1"/>
      <c r="AF2755" s="1"/>
      <c r="AG2755" s="1"/>
      <c r="AH2755" s="1"/>
    </row>
    <row r="2756" ht="12.75" hidden="1" customHeight="1" outlineLevel="1">
      <c r="A2756" s="17">
        <v>41492.0</v>
      </c>
      <c r="B2756" s="1"/>
      <c r="C2756" s="1" t="s">
        <v>429</v>
      </c>
      <c r="D2756" s="74"/>
      <c r="E2756" s="67"/>
      <c r="F2756" s="75"/>
      <c r="G2756" s="67"/>
      <c r="H2756" s="68"/>
      <c r="I2756" s="76"/>
      <c r="J2756" s="67"/>
      <c r="K2756" s="7" t="s">
        <v>1034</v>
      </c>
      <c r="L2756" s="77"/>
      <c r="M2756" s="79"/>
      <c r="N2756" s="1"/>
      <c r="O2756" s="1"/>
      <c r="P2756" s="1"/>
      <c r="Q2756" s="1"/>
      <c r="R2756" s="1"/>
      <c r="S2756" s="1"/>
      <c r="T2756" s="1"/>
      <c r="U2756" s="1"/>
      <c r="V2756" s="1"/>
      <c r="W2756" s="1"/>
      <c r="X2756" s="1"/>
      <c r="Y2756" s="1"/>
      <c r="Z2756" s="1"/>
      <c r="AA2756" s="1"/>
      <c r="AB2756" s="1"/>
      <c r="AC2756" s="1"/>
      <c r="AD2756" s="1"/>
      <c r="AE2756" s="1"/>
      <c r="AF2756" s="1"/>
      <c r="AG2756" s="1"/>
      <c r="AH2756" s="1"/>
    </row>
    <row r="2757" ht="12.75" hidden="1" customHeight="1" outlineLevel="1">
      <c r="A2757" s="17">
        <v>41492.0</v>
      </c>
      <c r="B2757" s="1"/>
      <c r="C2757" s="1" t="s">
        <v>431</v>
      </c>
      <c r="D2757" s="74"/>
      <c r="E2757" s="67"/>
      <c r="F2757" s="75"/>
      <c r="G2757" s="67"/>
      <c r="H2757" s="68"/>
      <c r="I2757" s="76"/>
      <c r="J2757" s="67"/>
      <c r="K2757" s="7" t="s">
        <v>1126</v>
      </c>
      <c r="L2757" s="77"/>
      <c r="M2757" s="79"/>
      <c r="N2757" s="1"/>
      <c r="O2757" s="1"/>
      <c r="P2757" s="1"/>
      <c r="Q2757" s="1"/>
      <c r="R2757" s="1"/>
      <c r="S2757" s="1"/>
      <c r="T2757" s="1"/>
      <c r="U2757" s="1"/>
      <c r="V2757" s="1"/>
      <c r="W2757" s="1"/>
      <c r="X2757" s="1"/>
      <c r="Y2757" s="1"/>
      <c r="Z2757" s="1"/>
      <c r="AA2757" s="1"/>
      <c r="AB2757" s="1"/>
      <c r="AC2757" s="1"/>
      <c r="AD2757" s="1"/>
      <c r="AE2757" s="1"/>
      <c r="AF2757" s="1"/>
      <c r="AG2757" s="1"/>
      <c r="AH2757" s="1"/>
    </row>
    <row r="2758" ht="12.75" hidden="1" customHeight="1" outlineLevel="1">
      <c r="A2758" s="17">
        <v>41492.0</v>
      </c>
      <c r="B2758" s="1"/>
      <c r="C2758" s="1" t="s">
        <v>433</v>
      </c>
      <c r="D2758" s="74"/>
      <c r="E2758" s="67"/>
      <c r="F2758" s="75"/>
      <c r="G2758" s="67"/>
      <c r="H2758" s="68"/>
      <c r="I2758" s="76"/>
      <c r="J2758" s="67"/>
      <c r="K2758" s="7" t="s">
        <v>1103</v>
      </c>
      <c r="L2758" s="77"/>
      <c r="M2758" s="79"/>
      <c r="N2758" s="1"/>
      <c r="O2758" s="1"/>
      <c r="P2758" s="1"/>
      <c r="Q2758" s="1"/>
      <c r="R2758" s="1"/>
      <c r="S2758" s="1"/>
      <c r="T2758" s="1"/>
      <c r="U2758" s="1"/>
      <c r="V2758" s="1"/>
      <c r="W2758" s="1"/>
      <c r="X2758" s="1"/>
      <c r="Y2758" s="1"/>
      <c r="Z2758" s="1"/>
      <c r="AA2758" s="1"/>
      <c r="AB2758" s="1"/>
      <c r="AC2758" s="1"/>
      <c r="AD2758" s="1"/>
      <c r="AE2758" s="1"/>
      <c r="AF2758" s="1"/>
      <c r="AG2758" s="1"/>
      <c r="AH2758" s="1"/>
    </row>
    <row r="2759" ht="12.75" hidden="1" customHeight="1" outlineLevel="1">
      <c r="A2759" s="17">
        <v>41492.0</v>
      </c>
      <c r="B2759" s="1"/>
      <c r="C2759" s="1" t="s">
        <v>435</v>
      </c>
      <c r="D2759" s="74"/>
      <c r="E2759" s="67"/>
      <c r="F2759" s="75"/>
      <c r="G2759" s="67"/>
      <c r="H2759" s="68"/>
      <c r="I2759" s="76"/>
      <c r="J2759" s="67"/>
      <c r="K2759" s="7" t="s">
        <v>1104</v>
      </c>
      <c r="L2759" s="77"/>
      <c r="M2759" s="79"/>
      <c r="N2759" s="1"/>
      <c r="O2759" s="1"/>
      <c r="P2759" s="1"/>
      <c r="Q2759" s="1"/>
      <c r="R2759" s="1"/>
      <c r="S2759" s="1"/>
      <c r="T2759" s="1"/>
      <c r="U2759" s="1"/>
      <c r="V2759" s="1"/>
      <c r="W2759" s="1"/>
      <c r="X2759" s="1"/>
      <c r="Y2759" s="1"/>
      <c r="Z2759" s="1"/>
      <c r="AA2759" s="1"/>
      <c r="AB2759" s="1"/>
      <c r="AC2759" s="1"/>
      <c r="AD2759" s="1"/>
      <c r="AE2759" s="1"/>
      <c r="AF2759" s="1"/>
      <c r="AG2759" s="1"/>
      <c r="AH2759" s="1"/>
    </row>
    <row r="2760" ht="12.75" hidden="1" customHeight="1" outlineLevel="1">
      <c r="A2760" s="17">
        <v>41493.0</v>
      </c>
      <c r="B2760" s="1" t="s">
        <v>343</v>
      </c>
      <c r="C2760" s="1" t="s">
        <v>1044</v>
      </c>
      <c r="D2760" s="74">
        <v>900.0</v>
      </c>
      <c r="E2760" s="67">
        <v>24.41</v>
      </c>
      <c r="F2760" s="75">
        <v>0.5620023148148149</v>
      </c>
      <c r="G2760" s="67" t="s">
        <v>453</v>
      </c>
      <c r="H2760" s="68">
        <v>3.6</v>
      </c>
      <c r="I2760" s="76"/>
      <c r="J2760" s="67">
        <f t="shared" ref="J2760:J2763" si="195">IF(B2760="SLD",D2760*E2760,-D2760*E2760)-H2760</f>
        <v>-21972.6</v>
      </c>
      <c r="K2760" s="7"/>
      <c r="L2760" s="70"/>
      <c r="M2760" s="79"/>
      <c r="N2760" s="1"/>
      <c r="O2760" s="1"/>
      <c r="P2760" s="1"/>
      <c r="Q2760" s="1"/>
      <c r="R2760" s="1"/>
      <c r="S2760" s="1"/>
      <c r="T2760" s="1"/>
      <c r="U2760" s="1"/>
      <c r="V2760" s="1"/>
      <c r="W2760" s="1"/>
      <c r="X2760" s="1"/>
      <c r="Y2760" s="1"/>
      <c r="Z2760" s="1"/>
      <c r="AA2760" s="1"/>
      <c r="AB2760" s="1"/>
      <c r="AC2760" s="1"/>
      <c r="AD2760" s="1"/>
      <c r="AE2760" s="1"/>
      <c r="AF2760" s="1"/>
      <c r="AG2760" s="1"/>
      <c r="AH2760" s="1"/>
    </row>
    <row r="2761" ht="12.75" hidden="1" customHeight="1" outlineLevel="1">
      <c r="A2761" s="17">
        <v>41493.0</v>
      </c>
      <c r="B2761" s="1" t="s">
        <v>343</v>
      </c>
      <c r="C2761" s="1" t="s">
        <v>369</v>
      </c>
      <c r="D2761" s="74">
        <v>1100.0</v>
      </c>
      <c r="E2761" s="67">
        <v>20.62</v>
      </c>
      <c r="F2761" s="75">
        <v>0.5623842592592593</v>
      </c>
      <c r="G2761" s="67" t="s">
        <v>453</v>
      </c>
      <c r="H2761" s="68">
        <v>5.5</v>
      </c>
      <c r="I2761" s="76"/>
      <c r="J2761" s="67">
        <f t="shared" si="195"/>
        <v>-22687.5</v>
      </c>
      <c r="K2761" s="7"/>
      <c r="L2761" s="70"/>
      <c r="M2761" s="79"/>
      <c r="N2761" s="1"/>
      <c r="O2761" s="1"/>
      <c r="P2761" s="1"/>
      <c r="Q2761" s="1"/>
      <c r="R2761" s="1"/>
      <c r="S2761" s="1"/>
      <c r="T2761" s="1"/>
      <c r="U2761" s="1"/>
      <c r="V2761" s="1"/>
      <c r="W2761" s="1"/>
      <c r="X2761" s="1"/>
      <c r="Y2761" s="1"/>
      <c r="Z2761" s="1"/>
      <c r="AA2761" s="1"/>
      <c r="AB2761" s="1"/>
      <c r="AC2761" s="1"/>
      <c r="AD2761" s="1"/>
      <c r="AE2761" s="1"/>
      <c r="AF2761" s="1"/>
      <c r="AG2761" s="1"/>
      <c r="AH2761" s="1"/>
    </row>
    <row r="2762" ht="12.75" hidden="1" customHeight="1" outlineLevel="1">
      <c r="A2762" s="17">
        <v>41493.0</v>
      </c>
      <c r="B2762" s="1" t="s">
        <v>343</v>
      </c>
      <c r="C2762" s="1" t="s">
        <v>784</v>
      </c>
      <c r="D2762" s="74">
        <v>2000.0</v>
      </c>
      <c r="E2762" s="67">
        <v>14.12</v>
      </c>
      <c r="F2762" s="75">
        <v>0.5625694444444445</v>
      </c>
      <c r="G2762" s="67" t="s">
        <v>453</v>
      </c>
      <c r="H2762" s="68">
        <v>9.6</v>
      </c>
      <c r="I2762" s="76"/>
      <c r="J2762" s="67">
        <f t="shared" si="195"/>
        <v>-28249.6</v>
      </c>
      <c r="K2762" s="7"/>
      <c r="L2762" s="70"/>
      <c r="M2762" s="79"/>
      <c r="N2762" s="1"/>
      <c r="O2762" s="1"/>
      <c r="P2762" s="1"/>
      <c r="Q2762" s="1"/>
      <c r="R2762" s="1"/>
      <c r="S2762" s="1"/>
      <c r="T2762" s="1"/>
      <c r="U2762" s="1"/>
      <c r="V2762" s="1"/>
      <c r="W2762" s="1"/>
      <c r="X2762" s="1"/>
      <c r="Y2762" s="1"/>
      <c r="Z2762" s="1"/>
      <c r="AA2762" s="1"/>
      <c r="AB2762" s="1"/>
      <c r="AC2762" s="1"/>
      <c r="AD2762" s="1"/>
      <c r="AE2762" s="1"/>
      <c r="AF2762" s="1"/>
      <c r="AG2762" s="1"/>
      <c r="AH2762" s="1"/>
    </row>
    <row r="2763" ht="12.75" hidden="1" customHeight="1" outlineLevel="1">
      <c r="A2763" s="17">
        <v>41493.0</v>
      </c>
      <c r="B2763" s="1" t="s">
        <v>347</v>
      </c>
      <c r="C2763" s="1" t="s">
        <v>855</v>
      </c>
      <c r="D2763" s="74">
        <v>150.0</v>
      </c>
      <c r="E2763" s="67">
        <v>113.15</v>
      </c>
      <c r="F2763" s="75">
        <v>0.5910069444444445</v>
      </c>
      <c r="G2763" s="67" t="s">
        <v>453</v>
      </c>
      <c r="H2763" s="68">
        <v>1.0</v>
      </c>
      <c r="I2763" s="76"/>
      <c r="J2763" s="67">
        <f t="shared" si="195"/>
        <v>16971.5</v>
      </c>
      <c r="K2763" s="7"/>
      <c r="L2763" s="70"/>
      <c r="M2763" s="79"/>
      <c r="N2763" s="1"/>
      <c r="O2763" s="1"/>
      <c r="P2763" s="1"/>
      <c r="Q2763" s="1"/>
      <c r="R2763" s="1"/>
      <c r="S2763" s="1"/>
      <c r="T2763" s="1"/>
      <c r="U2763" s="1"/>
      <c r="V2763" s="1"/>
      <c r="W2763" s="1"/>
      <c r="X2763" s="1"/>
      <c r="Y2763" s="1"/>
      <c r="Z2763" s="1"/>
      <c r="AA2763" s="1"/>
      <c r="AB2763" s="1"/>
      <c r="AC2763" s="1"/>
      <c r="AD2763" s="1"/>
      <c r="AE2763" s="1"/>
      <c r="AF2763" s="1"/>
      <c r="AG2763" s="1"/>
      <c r="AH2763" s="1"/>
    </row>
    <row r="2764" ht="12.75" hidden="1" customHeight="1" outlineLevel="1">
      <c r="A2764" s="17">
        <v>41493.0</v>
      </c>
      <c r="B2764" s="1"/>
      <c r="C2764" s="1" t="s">
        <v>339</v>
      </c>
      <c r="D2764" s="74"/>
      <c r="E2764" s="67"/>
      <c r="F2764" s="75"/>
      <c r="G2764" s="67"/>
      <c r="H2764" s="68"/>
      <c r="I2764" s="76"/>
      <c r="J2764" s="67"/>
      <c r="K2764" s="7" t="s">
        <v>1151</v>
      </c>
      <c r="L2764" s="77"/>
      <c r="M2764" s="79"/>
      <c r="N2764" s="1"/>
      <c r="O2764" s="1"/>
      <c r="P2764" s="1"/>
      <c r="Q2764" s="1"/>
      <c r="R2764" s="1"/>
      <c r="S2764" s="1"/>
      <c r="T2764" s="1"/>
      <c r="U2764" s="1"/>
      <c r="V2764" s="1"/>
      <c r="W2764" s="1"/>
      <c r="X2764" s="1"/>
      <c r="Y2764" s="1"/>
      <c r="Z2764" s="1"/>
      <c r="AA2764" s="1"/>
      <c r="AB2764" s="1"/>
      <c r="AC2764" s="1"/>
      <c r="AD2764" s="1"/>
      <c r="AE2764" s="1"/>
      <c r="AF2764" s="1"/>
      <c r="AG2764" s="1"/>
      <c r="AH2764" s="1"/>
    </row>
    <row r="2765" ht="12.75" hidden="1" customHeight="1" outlineLevel="1">
      <c r="A2765" s="17">
        <v>41493.0</v>
      </c>
      <c r="B2765" s="1"/>
      <c r="C2765" s="1" t="s">
        <v>429</v>
      </c>
      <c r="D2765" s="74"/>
      <c r="E2765" s="67"/>
      <c r="F2765" s="75"/>
      <c r="G2765" s="67"/>
      <c r="H2765" s="68"/>
      <c r="I2765" s="76"/>
      <c r="J2765" s="67"/>
      <c r="K2765" s="7" t="s">
        <v>1034</v>
      </c>
      <c r="L2765" s="77"/>
      <c r="M2765" s="79"/>
      <c r="N2765" s="1"/>
      <c r="O2765" s="1"/>
      <c r="P2765" s="1"/>
      <c r="Q2765" s="1"/>
      <c r="R2765" s="1"/>
      <c r="S2765" s="1"/>
      <c r="T2765" s="1"/>
      <c r="U2765" s="1"/>
      <c r="V2765" s="1"/>
      <c r="W2765" s="1"/>
      <c r="X2765" s="1"/>
      <c r="Y2765" s="1"/>
      <c r="Z2765" s="1"/>
      <c r="AA2765" s="1"/>
      <c r="AB2765" s="1"/>
      <c r="AC2765" s="1"/>
      <c r="AD2765" s="1"/>
      <c r="AE2765" s="1"/>
      <c r="AF2765" s="1"/>
      <c r="AG2765" s="1"/>
      <c r="AH2765" s="1"/>
    </row>
    <row r="2766" ht="12.75" hidden="1" customHeight="1" outlineLevel="1">
      <c r="A2766" s="17">
        <v>41493.0</v>
      </c>
      <c r="B2766" s="1"/>
      <c r="C2766" s="1" t="s">
        <v>431</v>
      </c>
      <c r="D2766" s="74"/>
      <c r="E2766" s="67"/>
      <c r="F2766" s="75"/>
      <c r="G2766" s="67"/>
      <c r="H2766" s="68"/>
      <c r="I2766" s="76"/>
      <c r="J2766" s="67"/>
      <c r="K2766" s="7" t="s">
        <v>1126</v>
      </c>
      <c r="L2766" s="77"/>
      <c r="M2766" s="79"/>
      <c r="N2766" s="1"/>
      <c r="O2766" s="1"/>
      <c r="P2766" s="1"/>
      <c r="Q2766" s="1"/>
      <c r="R2766" s="1"/>
      <c r="S2766" s="1"/>
      <c r="T2766" s="1"/>
      <c r="U2766" s="1"/>
      <c r="V2766" s="1"/>
      <c r="W2766" s="1"/>
      <c r="X2766" s="1"/>
      <c r="Y2766" s="1"/>
      <c r="Z2766" s="1"/>
      <c r="AA2766" s="1"/>
      <c r="AB2766" s="1"/>
      <c r="AC2766" s="1"/>
      <c r="AD2766" s="1"/>
      <c r="AE2766" s="1"/>
      <c r="AF2766" s="1"/>
      <c r="AG2766" s="1"/>
      <c r="AH2766" s="1"/>
    </row>
    <row r="2767" ht="12.75" hidden="1" customHeight="1" outlineLevel="1">
      <c r="A2767" s="17">
        <v>41493.0</v>
      </c>
      <c r="B2767" s="1"/>
      <c r="C2767" s="1" t="s">
        <v>433</v>
      </c>
      <c r="D2767" s="74"/>
      <c r="E2767" s="67"/>
      <c r="F2767" s="75"/>
      <c r="G2767" s="67"/>
      <c r="H2767" s="68"/>
      <c r="I2767" s="76"/>
      <c r="J2767" s="67"/>
      <c r="K2767" s="7" t="s">
        <v>1103</v>
      </c>
      <c r="L2767" s="77"/>
      <c r="M2767" s="79"/>
      <c r="N2767" s="1"/>
      <c r="O2767" s="1"/>
      <c r="P2767" s="1"/>
      <c r="Q2767" s="1"/>
      <c r="R2767" s="1"/>
      <c r="S2767" s="1"/>
      <c r="T2767" s="1"/>
      <c r="U2767" s="1"/>
      <c r="V2767" s="1"/>
      <c r="W2767" s="1"/>
      <c r="X2767" s="1"/>
      <c r="Y2767" s="1"/>
      <c r="Z2767" s="1"/>
      <c r="AA2767" s="1"/>
      <c r="AB2767" s="1"/>
      <c r="AC2767" s="1"/>
      <c r="AD2767" s="1"/>
      <c r="AE2767" s="1"/>
      <c r="AF2767" s="1"/>
      <c r="AG2767" s="1"/>
      <c r="AH2767" s="1"/>
    </row>
    <row r="2768" ht="12.75" hidden="1" customHeight="1" outlineLevel="1">
      <c r="A2768" s="17">
        <v>41493.0</v>
      </c>
      <c r="B2768" s="1"/>
      <c r="C2768" s="1" t="s">
        <v>435</v>
      </c>
      <c r="D2768" s="74"/>
      <c r="E2768" s="67"/>
      <c r="F2768" s="75"/>
      <c r="G2768" s="67"/>
      <c r="H2768" s="68"/>
      <c r="I2768" s="76"/>
      <c r="J2768" s="67"/>
      <c r="K2768" s="7" t="s">
        <v>1104</v>
      </c>
      <c r="L2768" s="77"/>
      <c r="M2768" s="79"/>
      <c r="N2768" s="1"/>
      <c r="O2768" s="1"/>
      <c r="P2768" s="1"/>
      <c r="Q2768" s="1"/>
      <c r="R2768" s="1"/>
      <c r="S2768" s="1"/>
      <c r="T2768" s="1"/>
      <c r="U2768" s="1"/>
      <c r="V2768" s="1"/>
      <c r="W2768" s="1"/>
      <c r="X2768" s="1"/>
      <c r="Y2768" s="1"/>
      <c r="Z2768" s="1"/>
      <c r="AA2768" s="1"/>
      <c r="AB2768" s="1"/>
      <c r="AC2768" s="1"/>
      <c r="AD2768" s="1"/>
      <c r="AE2768" s="1"/>
      <c r="AF2768" s="1"/>
      <c r="AG2768" s="1"/>
      <c r="AH2768" s="1"/>
    </row>
    <row r="2769" ht="12.75" hidden="1" customHeight="1" outlineLevel="1">
      <c r="A2769" s="17">
        <v>41494.0</v>
      </c>
      <c r="B2769" s="1" t="s">
        <v>343</v>
      </c>
      <c r="C2769" s="1" t="s">
        <v>1138</v>
      </c>
      <c r="D2769" s="74">
        <v>1500.0</v>
      </c>
      <c r="E2769" s="67">
        <v>3.35</v>
      </c>
      <c r="F2769" s="75">
        <v>0.41600694444444447</v>
      </c>
      <c r="G2769" s="67" t="s">
        <v>453</v>
      </c>
      <c r="H2769" s="68">
        <v>7.5</v>
      </c>
      <c r="I2769" s="76"/>
      <c r="J2769" s="67">
        <f t="shared" ref="J2769:J2771" si="196">IF(B2769="SLD",D2769*E2769,-D2769*E2769)-H2769</f>
        <v>-5032.5</v>
      </c>
      <c r="K2769" s="7"/>
      <c r="L2769" s="70"/>
      <c r="M2769" s="79"/>
      <c r="N2769" s="1"/>
      <c r="O2769" s="1"/>
      <c r="P2769" s="1"/>
      <c r="Q2769" s="1"/>
      <c r="R2769" s="1"/>
      <c r="S2769" s="1"/>
      <c r="T2769" s="1"/>
      <c r="U2769" s="1"/>
      <c r="V2769" s="1"/>
      <c r="W2769" s="1"/>
      <c r="X2769" s="1"/>
      <c r="Y2769" s="1"/>
      <c r="Z2769" s="1"/>
      <c r="AA2769" s="1"/>
      <c r="AB2769" s="1"/>
      <c r="AC2769" s="1"/>
      <c r="AD2769" s="1"/>
      <c r="AE2769" s="1"/>
      <c r="AF2769" s="1"/>
      <c r="AG2769" s="1"/>
      <c r="AH2769" s="1"/>
    </row>
    <row r="2770" ht="12.75" hidden="1" customHeight="1" outlineLevel="1">
      <c r="A2770" s="17">
        <v>41494.0</v>
      </c>
      <c r="B2770" s="1" t="s">
        <v>343</v>
      </c>
      <c r="C2770" s="1" t="s">
        <v>1006</v>
      </c>
      <c r="D2770" s="74">
        <v>200.0</v>
      </c>
      <c r="E2770" s="67">
        <v>34.5</v>
      </c>
      <c r="F2770" s="75">
        <v>0.4162847222222222</v>
      </c>
      <c r="G2770" s="67" t="s">
        <v>453</v>
      </c>
      <c r="H2770" s="68">
        <v>1.0</v>
      </c>
      <c r="I2770" s="76"/>
      <c r="J2770" s="67">
        <f t="shared" si="196"/>
        <v>-6901</v>
      </c>
      <c r="K2770" s="7"/>
      <c r="L2770" s="70"/>
      <c r="M2770" s="79"/>
      <c r="N2770" s="1"/>
      <c r="O2770" s="1"/>
      <c r="P2770" s="1"/>
      <c r="Q2770" s="1"/>
      <c r="R2770" s="1"/>
      <c r="S2770" s="1"/>
      <c r="T2770" s="1"/>
      <c r="U2770" s="1"/>
      <c r="V2770" s="1"/>
      <c r="W2770" s="1"/>
      <c r="X2770" s="1"/>
      <c r="Y2770" s="1"/>
      <c r="Z2770" s="1"/>
      <c r="AA2770" s="1"/>
      <c r="AB2770" s="1"/>
      <c r="AC2770" s="1"/>
      <c r="AD2770" s="1"/>
      <c r="AE2770" s="1"/>
      <c r="AF2770" s="1"/>
      <c r="AG2770" s="1"/>
      <c r="AH2770" s="1"/>
    </row>
    <row r="2771" ht="12.75" hidden="1" customHeight="1" outlineLevel="1">
      <c r="A2771" s="17">
        <v>41494.0</v>
      </c>
      <c r="B2771" s="1" t="s">
        <v>343</v>
      </c>
      <c r="C2771" s="1" t="s">
        <v>734</v>
      </c>
      <c r="D2771" s="74">
        <v>200.0</v>
      </c>
      <c r="E2771" s="67">
        <v>24.07</v>
      </c>
      <c r="F2771" s="75">
        <v>0.603275462962963</v>
      </c>
      <c r="G2771" s="67" t="s">
        <v>453</v>
      </c>
      <c r="H2771" s="68">
        <v>1.0</v>
      </c>
      <c r="I2771" s="76"/>
      <c r="J2771" s="67">
        <f t="shared" si="196"/>
        <v>-4815</v>
      </c>
      <c r="K2771" s="7"/>
      <c r="L2771" s="70"/>
      <c r="M2771" s="79"/>
      <c r="N2771" s="1"/>
      <c r="O2771" s="1"/>
      <c r="P2771" s="1"/>
      <c r="Q2771" s="1"/>
      <c r="R2771" s="1"/>
      <c r="S2771" s="1"/>
      <c r="T2771" s="1"/>
      <c r="U2771" s="1"/>
      <c r="V2771" s="1"/>
      <c r="W2771" s="1"/>
      <c r="X2771" s="1"/>
      <c r="Y2771" s="1"/>
      <c r="Z2771" s="1"/>
      <c r="AA2771" s="1"/>
      <c r="AB2771" s="1"/>
      <c r="AC2771" s="1"/>
      <c r="AD2771" s="1"/>
      <c r="AE2771" s="1"/>
      <c r="AF2771" s="1"/>
      <c r="AG2771" s="1"/>
      <c r="AH2771" s="1"/>
    </row>
    <row r="2772" ht="12.75" hidden="1" customHeight="1" outlineLevel="1">
      <c r="A2772" s="17">
        <v>41494.0</v>
      </c>
      <c r="B2772" s="1"/>
      <c r="C2772" s="1" t="s">
        <v>339</v>
      </c>
      <c r="D2772" s="74"/>
      <c r="E2772" s="67"/>
      <c r="F2772" s="75"/>
      <c r="G2772" s="67"/>
      <c r="H2772" s="68"/>
      <c r="I2772" s="76"/>
      <c r="J2772" s="67"/>
      <c r="K2772" s="7" t="s">
        <v>1153</v>
      </c>
      <c r="L2772" s="77"/>
      <c r="M2772" s="79"/>
      <c r="N2772" s="1"/>
      <c r="O2772" s="1"/>
      <c r="P2772" s="1"/>
      <c r="Q2772" s="1"/>
      <c r="R2772" s="1"/>
      <c r="S2772" s="1"/>
      <c r="T2772" s="1"/>
      <c r="U2772" s="1"/>
      <c r="V2772" s="1"/>
      <c r="W2772" s="1"/>
      <c r="X2772" s="1"/>
      <c r="Y2772" s="1"/>
      <c r="Z2772" s="1"/>
      <c r="AA2772" s="1"/>
      <c r="AB2772" s="1"/>
      <c r="AC2772" s="1"/>
      <c r="AD2772" s="1"/>
      <c r="AE2772" s="1"/>
      <c r="AF2772" s="1"/>
      <c r="AG2772" s="1"/>
      <c r="AH2772" s="1"/>
    </row>
    <row r="2773" ht="12.75" hidden="1" customHeight="1" outlineLevel="1">
      <c r="A2773" s="17">
        <v>41494.0</v>
      </c>
      <c r="B2773" s="1"/>
      <c r="C2773" s="1" t="s">
        <v>429</v>
      </c>
      <c r="D2773" s="74"/>
      <c r="E2773" s="67"/>
      <c r="F2773" s="75"/>
      <c r="G2773" s="67"/>
      <c r="H2773" s="68"/>
      <c r="I2773" s="76"/>
      <c r="J2773" s="67"/>
      <c r="K2773" s="7" t="s">
        <v>1034</v>
      </c>
      <c r="L2773" s="77"/>
      <c r="M2773" s="79"/>
      <c r="N2773" s="1"/>
      <c r="O2773" s="1"/>
      <c r="P2773" s="1"/>
      <c r="Q2773" s="1"/>
      <c r="R2773" s="1"/>
      <c r="S2773" s="1"/>
      <c r="T2773" s="1"/>
      <c r="U2773" s="1"/>
      <c r="V2773" s="1"/>
      <c r="W2773" s="1"/>
      <c r="X2773" s="1"/>
      <c r="Y2773" s="1"/>
      <c r="Z2773" s="1"/>
      <c r="AA2773" s="1"/>
      <c r="AB2773" s="1"/>
      <c r="AC2773" s="1"/>
      <c r="AD2773" s="1"/>
      <c r="AE2773" s="1"/>
      <c r="AF2773" s="1"/>
      <c r="AG2773" s="1"/>
      <c r="AH2773" s="1"/>
    </row>
    <row r="2774" ht="12.75" hidden="1" customHeight="1" outlineLevel="1">
      <c r="A2774" s="17">
        <v>41494.0</v>
      </c>
      <c r="B2774" s="1"/>
      <c r="C2774" s="1" t="s">
        <v>431</v>
      </c>
      <c r="D2774" s="74"/>
      <c r="E2774" s="67"/>
      <c r="F2774" s="75"/>
      <c r="G2774" s="67"/>
      <c r="H2774" s="68"/>
      <c r="I2774" s="76"/>
      <c r="J2774" s="67"/>
      <c r="K2774" s="7" t="s">
        <v>1126</v>
      </c>
      <c r="L2774" s="77"/>
      <c r="M2774" s="79"/>
      <c r="N2774" s="1"/>
      <c r="O2774" s="1"/>
      <c r="P2774" s="1"/>
      <c r="Q2774" s="1"/>
      <c r="R2774" s="1"/>
      <c r="S2774" s="1"/>
      <c r="T2774" s="1"/>
      <c r="U2774" s="1"/>
      <c r="V2774" s="1"/>
      <c r="W2774" s="1"/>
      <c r="X2774" s="1"/>
      <c r="Y2774" s="1"/>
      <c r="Z2774" s="1"/>
      <c r="AA2774" s="1"/>
      <c r="AB2774" s="1"/>
      <c r="AC2774" s="1"/>
      <c r="AD2774" s="1"/>
      <c r="AE2774" s="1"/>
      <c r="AF2774" s="1"/>
      <c r="AG2774" s="1"/>
      <c r="AH2774" s="1"/>
    </row>
    <row r="2775" ht="12.75" hidden="1" customHeight="1" outlineLevel="1">
      <c r="A2775" s="17">
        <v>41494.0</v>
      </c>
      <c r="B2775" s="1"/>
      <c r="C2775" s="1" t="s">
        <v>433</v>
      </c>
      <c r="D2775" s="74"/>
      <c r="E2775" s="67"/>
      <c r="F2775" s="75"/>
      <c r="G2775" s="67"/>
      <c r="H2775" s="68"/>
      <c r="I2775" s="76"/>
      <c r="J2775" s="67"/>
      <c r="K2775" s="7" t="s">
        <v>1103</v>
      </c>
      <c r="L2775" s="77"/>
      <c r="M2775" s="79"/>
      <c r="N2775" s="1"/>
      <c r="O2775" s="1"/>
      <c r="P2775" s="1"/>
      <c r="Q2775" s="1"/>
      <c r="R2775" s="1"/>
      <c r="S2775" s="1"/>
      <c r="T2775" s="1"/>
      <c r="U2775" s="1"/>
      <c r="V2775" s="1"/>
      <c r="W2775" s="1"/>
      <c r="X2775" s="1"/>
      <c r="Y2775" s="1"/>
      <c r="Z2775" s="1"/>
      <c r="AA2775" s="1"/>
      <c r="AB2775" s="1"/>
      <c r="AC2775" s="1"/>
      <c r="AD2775" s="1"/>
      <c r="AE2775" s="1"/>
      <c r="AF2775" s="1"/>
      <c r="AG2775" s="1"/>
      <c r="AH2775" s="1"/>
    </row>
    <row r="2776" ht="12.75" hidden="1" customHeight="1" outlineLevel="1">
      <c r="A2776" s="17">
        <v>41494.0</v>
      </c>
      <c r="B2776" s="1"/>
      <c r="C2776" s="1" t="s">
        <v>435</v>
      </c>
      <c r="D2776" s="74"/>
      <c r="E2776" s="67"/>
      <c r="F2776" s="75"/>
      <c r="G2776" s="67"/>
      <c r="H2776" s="68"/>
      <c r="I2776" s="76"/>
      <c r="J2776" s="67"/>
      <c r="K2776" s="7" t="s">
        <v>1104</v>
      </c>
      <c r="L2776" s="77"/>
      <c r="M2776" s="79"/>
      <c r="N2776" s="1"/>
      <c r="O2776" s="1"/>
      <c r="P2776" s="1"/>
      <c r="Q2776" s="1"/>
      <c r="R2776" s="1"/>
      <c r="S2776" s="1"/>
      <c r="T2776" s="1"/>
      <c r="U2776" s="1"/>
      <c r="V2776" s="1"/>
      <c r="W2776" s="1"/>
      <c r="X2776" s="1"/>
      <c r="Y2776" s="1"/>
      <c r="Z2776" s="1"/>
      <c r="AA2776" s="1"/>
      <c r="AB2776" s="1"/>
      <c r="AC2776" s="1"/>
      <c r="AD2776" s="1"/>
      <c r="AE2776" s="1"/>
      <c r="AF2776" s="1"/>
      <c r="AG2776" s="1"/>
      <c r="AH2776" s="1"/>
    </row>
    <row r="2777" ht="12.75" hidden="1" customHeight="1" outlineLevel="1">
      <c r="A2777" s="17">
        <v>41494.0</v>
      </c>
      <c r="B2777" s="1" t="s">
        <v>347</v>
      </c>
      <c r="C2777" s="1" t="s">
        <v>1136</v>
      </c>
      <c r="D2777" s="74">
        <v>1500.0</v>
      </c>
      <c r="E2777" s="67">
        <v>168.79</v>
      </c>
      <c r="F2777" s="75">
        <v>0.4766435185185185</v>
      </c>
      <c r="G2777" s="67" t="s">
        <v>453</v>
      </c>
      <c r="H2777" s="68">
        <v>6.5</v>
      </c>
      <c r="I2777" s="76"/>
      <c r="J2777" s="67">
        <f t="shared" ref="J2777:J2781" si="197">IF(B2777="SLD",D2777*E2777,-D2777*E2777)-H2777</f>
        <v>253178.5</v>
      </c>
      <c r="K2777" s="7"/>
      <c r="L2777" s="70"/>
      <c r="M2777" s="79"/>
      <c r="N2777" s="1"/>
      <c r="O2777" s="1"/>
      <c r="P2777" s="1"/>
      <c r="Q2777" s="1"/>
      <c r="R2777" s="1"/>
      <c r="S2777" s="1"/>
      <c r="T2777" s="1"/>
      <c r="U2777" s="1"/>
      <c r="V2777" s="1"/>
      <c r="W2777" s="1"/>
      <c r="X2777" s="1"/>
      <c r="Y2777" s="1"/>
      <c r="Z2777" s="1"/>
      <c r="AA2777" s="1"/>
      <c r="AB2777" s="1"/>
      <c r="AC2777" s="1"/>
      <c r="AD2777" s="1"/>
      <c r="AE2777" s="1"/>
      <c r="AF2777" s="1"/>
      <c r="AG2777" s="1"/>
      <c r="AH2777" s="1"/>
    </row>
    <row r="2778" ht="12.75" hidden="1" customHeight="1" outlineLevel="1">
      <c r="A2778" s="17">
        <v>41494.0</v>
      </c>
      <c r="B2778" s="1" t="s">
        <v>347</v>
      </c>
      <c r="C2778" s="1" t="s">
        <v>344</v>
      </c>
      <c r="D2778" s="74">
        <v>200.0</v>
      </c>
      <c r="E2778" s="67">
        <v>48.05</v>
      </c>
      <c r="F2778" s="75">
        <v>0.4778587962962963</v>
      </c>
      <c r="G2778" s="67" t="s">
        <v>453</v>
      </c>
      <c r="H2778" s="68">
        <v>1.0</v>
      </c>
      <c r="I2778" s="76"/>
      <c r="J2778" s="67">
        <f t="shared" si="197"/>
        <v>9609</v>
      </c>
      <c r="K2778" s="7"/>
      <c r="L2778" s="70"/>
      <c r="M2778" s="79"/>
      <c r="N2778" s="1"/>
      <c r="O2778" s="1"/>
      <c r="P2778" s="1"/>
      <c r="Q2778" s="1"/>
      <c r="R2778" s="1"/>
      <c r="S2778" s="1"/>
      <c r="T2778" s="1"/>
      <c r="U2778" s="1"/>
      <c r="V2778" s="1"/>
      <c r="W2778" s="1"/>
      <c r="X2778" s="1"/>
      <c r="Y2778" s="1"/>
      <c r="Z2778" s="1"/>
      <c r="AA2778" s="1"/>
      <c r="AB2778" s="1"/>
      <c r="AC2778" s="1"/>
      <c r="AD2778" s="1"/>
      <c r="AE2778" s="1"/>
      <c r="AF2778" s="1"/>
      <c r="AG2778" s="1"/>
      <c r="AH2778" s="1"/>
    </row>
    <row r="2779" ht="12.75" hidden="1" customHeight="1" outlineLevel="1">
      <c r="A2779" s="17">
        <v>41494.0</v>
      </c>
      <c r="B2779" s="1" t="s">
        <v>347</v>
      </c>
      <c r="C2779" s="1" t="s">
        <v>857</v>
      </c>
      <c r="D2779" s="74">
        <v>3500.0</v>
      </c>
      <c r="E2779" s="67">
        <v>5.72</v>
      </c>
      <c r="F2779" s="75">
        <v>0.4813310185185185</v>
      </c>
      <c r="G2779" s="67" t="s">
        <v>453</v>
      </c>
      <c r="H2779" s="68">
        <v>14.0</v>
      </c>
      <c r="I2779" s="76"/>
      <c r="J2779" s="67">
        <f t="shared" si="197"/>
        <v>20006</v>
      </c>
      <c r="K2779" s="7"/>
      <c r="L2779" s="70"/>
      <c r="M2779" s="79"/>
      <c r="N2779" s="1"/>
      <c r="O2779" s="1"/>
      <c r="P2779" s="1"/>
      <c r="Q2779" s="1"/>
      <c r="R2779" s="1"/>
      <c r="S2779" s="1"/>
      <c r="T2779" s="1"/>
      <c r="U2779" s="1"/>
      <c r="V2779" s="1"/>
      <c r="W2779" s="1"/>
      <c r="X2779" s="1"/>
      <c r="Y2779" s="1"/>
      <c r="Z2779" s="1"/>
      <c r="AA2779" s="1"/>
      <c r="AB2779" s="1"/>
      <c r="AC2779" s="1"/>
      <c r="AD2779" s="1"/>
      <c r="AE2779" s="1"/>
      <c r="AF2779" s="1"/>
      <c r="AG2779" s="1"/>
      <c r="AH2779" s="1"/>
    </row>
    <row r="2780" ht="12.75" hidden="1" customHeight="1" outlineLevel="1">
      <c r="A2780" s="17">
        <v>41494.0</v>
      </c>
      <c r="B2780" s="1" t="s">
        <v>347</v>
      </c>
      <c r="C2780" s="1" t="s">
        <v>1100</v>
      </c>
      <c r="D2780" s="74">
        <v>3500.0</v>
      </c>
      <c r="E2780" s="67">
        <v>6.726</v>
      </c>
      <c r="F2780" s="75">
        <v>0.48159722222222223</v>
      </c>
      <c r="G2780" s="67" t="s">
        <v>453</v>
      </c>
      <c r="H2780" s="68">
        <v>16.4</v>
      </c>
      <c r="I2780" s="76"/>
      <c r="J2780" s="67">
        <f t="shared" si="197"/>
        <v>23524.6</v>
      </c>
      <c r="K2780" s="7"/>
      <c r="L2780" s="70"/>
      <c r="M2780" s="79"/>
      <c r="N2780" s="1"/>
      <c r="O2780" s="1"/>
      <c r="P2780" s="1"/>
      <c r="Q2780" s="1"/>
      <c r="R2780" s="1"/>
      <c r="S2780" s="1"/>
      <c r="T2780" s="1"/>
      <c r="U2780" s="1"/>
      <c r="V2780" s="1"/>
      <c r="W2780" s="1"/>
      <c r="X2780" s="1"/>
      <c r="Y2780" s="1"/>
      <c r="Z2780" s="1"/>
      <c r="AA2780" s="1"/>
      <c r="AB2780" s="1"/>
      <c r="AC2780" s="1"/>
      <c r="AD2780" s="1"/>
      <c r="AE2780" s="1"/>
      <c r="AF2780" s="1"/>
      <c r="AG2780" s="1"/>
      <c r="AH2780" s="1"/>
    </row>
    <row r="2781" ht="12.75" hidden="1" customHeight="1" outlineLevel="1">
      <c r="A2781" s="17">
        <v>41494.0</v>
      </c>
      <c r="B2781" s="1" t="s">
        <v>347</v>
      </c>
      <c r="C2781" s="1" t="s">
        <v>1060</v>
      </c>
      <c r="D2781" s="74">
        <v>200.0</v>
      </c>
      <c r="E2781" s="67">
        <v>31.53</v>
      </c>
      <c r="F2781" s="75">
        <v>0.4838078703703704</v>
      </c>
      <c r="G2781" s="67" t="s">
        <v>453</v>
      </c>
      <c r="H2781" s="68">
        <v>1.0</v>
      </c>
      <c r="I2781" s="76"/>
      <c r="J2781" s="67">
        <f t="shared" si="197"/>
        <v>6305</v>
      </c>
      <c r="K2781" s="7"/>
      <c r="L2781" s="70"/>
      <c r="M2781" s="79"/>
      <c r="N2781" s="1"/>
      <c r="O2781" s="1"/>
      <c r="P2781" s="1"/>
      <c r="Q2781" s="1"/>
      <c r="R2781" s="1"/>
      <c r="S2781" s="1"/>
      <c r="T2781" s="1"/>
      <c r="U2781" s="1"/>
      <c r="V2781" s="1"/>
      <c r="W2781" s="1"/>
      <c r="X2781" s="1"/>
      <c r="Y2781" s="1"/>
      <c r="Z2781" s="1"/>
      <c r="AA2781" s="1"/>
      <c r="AB2781" s="1"/>
      <c r="AC2781" s="1"/>
      <c r="AD2781" s="1"/>
      <c r="AE2781" s="1"/>
      <c r="AF2781" s="1"/>
      <c r="AG2781" s="1"/>
      <c r="AH2781" s="1"/>
    </row>
    <row r="2782" ht="12.75" hidden="1" customHeight="1" outlineLevel="1">
      <c r="A2782" s="17">
        <v>41494.0</v>
      </c>
      <c r="B2782" s="1"/>
      <c r="C2782" s="1" t="s">
        <v>339</v>
      </c>
      <c r="D2782" s="74"/>
      <c r="E2782" s="67"/>
      <c r="F2782" s="75"/>
      <c r="G2782" s="67"/>
      <c r="H2782" s="68"/>
      <c r="I2782" s="76"/>
      <c r="J2782" s="67"/>
      <c r="K2782" s="7" t="s">
        <v>1155</v>
      </c>
      <c r="L2782" s="77"/>
      <c r="M2782" s="79"/>
      <c r="N2782" s="1"/>
      <c r="O2782" s="1"/>
      <c r="P2782" s="1"/>
      <c r="Q2782" s="1"/>
      <c r="R2782" s="1"/>
      <c r="S2782" s="1"/>
      <c r="T2782" s="1"/>
      <c r="U2782" s="1"/>
      <c r="V2782" s="1"/>
      <c r="W2782" s="1"/>
      <c r="X2782" s="1"/>
      <c r="Y2782" s="1"/>
      <c r="Z2782" s="1"/>
      <c r="AA2782" s="1"/>
      <c r="AB2782" s="1"/>
      <c r="AC2782" s="1"/>
      <c r="AD2782" s="1"/>
      <c r="AE2782" s="1"/>
      <c r="AF2782" s="1"/>
      <c r="AG2782" s="1"/>
      <c r="AH2782" s="1"/>
    </row>
    <row r="2783" ht="12.75" hidden="1" customHeight="1" outlineLevel="1">
      <c r="A2783" s="17">
        <v>41494.0</v>
      </c>
      <c r="B2783" s="1"/>
      <c r="C2783" s="1" t="s">
        <v>429</v>
      </c>
      <c r="D2783" s="74"/>
      <c r="E2783" s="67"/>
      <c r="F2783" s="75"/>
      <c r="G2783" s="67"/>
      <c r="H2783" s="68"/>
      <c r="I2783" s="76"/>
      <c r="J2783" s="67"/>
      <c r="K2783" s="7" t="s">
        <v>1156</v>
      </c>
      <c r="L2783" s="77"/>
      <c r="M2783" s="79"/>
      <c r="N2783" s="1"/>
      <c r="O2783" s="1"/>
      <c r="P2783" s="1"/>
      <c r="Q2783" s="1"/>
      <c r="R2783" s="1"/>
      <c r="S2783" s="1"/>
      <c r="T2783" s="1"/>
      <c r="U2783" s="1"/>
      <c r="V2783" s="1"/>
      <c r="W2783" s="1"/>
      <c r="X2783" s="1"/>
      <c r="Y2783" s="1"/>
      <c r="Z2783" s="1"/>
      <c r="AA2783" s="1"/>
      <c r="AB2783" s="1"/>
      <c r="AC2783" s="1"/>
      <c r="AD2783" s="1"/>
      <c r="AE2783" s="1"/>
      <c r="AF2783" s="1"/>
      <c r="AG2783" s="1"/>
      <c r="AH2783" s="1"/>
    </row>
    <row r="2784" ht="12.75" hidden="1" customHeight="1" outlineLevel="1">
      <c r="A2784" s="17">
        <v>41494.0</v>
      </c>
      <c r="B2784" s="1"/>
      <c r="C2784" s="1" t="s">
        <v>431</v>
      </c>
      <c r="D2784" s="74"/>
      <c r="E2784" s="67"/>
      <c r="F2784" s="75"/>
      <c r="G2784" s="67"/>
      <c r="H2784" s="68"/>
      <c r="I2784" s="76"/>
      <c r="J2784" s="67"/>
      <c r="K2784" s="7" t="s">
        <v>1126</v>
      </c>
      <c r="L2784" s="77"/>
      <c r="M2784" s="79"/>
      <c r="N2784" s="1"/>
      <c r="O2784" s="1"/>
      <c r="P2784" s="1"/>
      <c r="Q2784" s="1"/>
      <c r="R2784" s="1"/>
      <c r="S2784" s="1"/>
      <c r="T2784" s="1"/>
      <c r="U2784" s="1"/>
      <c r="V2784" s="1"/>
      <c r="W2784" s="1"/>
      <c r="X2784" s="1"/>
      <c r="Y2784" s="1"/>
      <c r="Z2784" s="1"/>
      <c r="AA2784" s="1"/>
      <c r="AB2784" s="1"/>
      <c r="AC2784" s="1"/>
      <c r="AD2784" s="1"/>
      <c r="AE2784" s="1"/>
      <c r="AF2784" s="1"/>
      <c r="AG2784" s="1"/>
      <c r="AH2784" s="1"/>
    </row>
    <row r="2785" ht="12.75" hidden="1" customHeight="1" outlineLevel="1">
      <c r="A2785" s="17">
        <v>41494.0</v>
      </c>
      <c r="B2785" s="1"/>
      <c r="C2785" s="1" t="s">
        <v>433</v>
      </c>
      <c r="D2785" s="74"/>
      <c r="E2785" s="67"/>
      <c r="F2785" s="75"/>
      <c r="G2785" s="67"/>
      <c r="H2785" s="68"/>
      <c r="I2785" s="76"/>
      <c r="J2785" s="67"/>
      <c r="K2785" s="7" t="s">
        <v>1103</v>
      </c>
      <c r="L2785" s="77"/>
      <c r="M2785" s="79"/>
      <c r="N2785" s="1"/>
      <c r="O2785" s="1"/>
      <c r="P2785" s="1"/>
      <c r="Q2785" s="1"/>
      <c r="R2785" s="1"/>
      <c r="S2785" s="1"/>
      <c r="T2785" s="1"/>
      <c r="U2785" s="1"/>
      <c r="V2785" s="1"/>
      <c r="W2785" s="1"/>
      <c r="X2785" s="1"/>
      <c r="Y2785" s="1"/>
      <c r="Z2785" s="1"/>
      <c r="AA2785" s="1"/>
      <c r="AB2785" s="1"/>
      <c r="AC2785" s="1"/>
      <c r="AD2785" s="1"/>
      <c r="AE2785" s="1"/>
      <c r="AF2785" s="1"/>
      <c r="AG2785" s="1"/>
      <c r="AH2785" s="1"/>
    </row>
    <row r="2786" ht="12.75" hidden="1" customHeight="1" outlineLevel="1">
      <c r="A2786" s="17">
        <v>41494.0</v>
      </c>
      <c r="B2786" s="1"/>
      <c r="C2786" s="1" t="s">
        <v>435</v>
      </c>
      <c r="D2786" s="74"/>
      <c r="E2786" s="67"/>
      <c r="F2786" s="75"/>
      <c r="G2786" s="67"/>
      <c r="H2786" s="68"/>
      <c r="I2786" s="76"/>
      <c r="J2786" s="67"/>
      <c r="K2786" s="7" t="s">
        <v>1104</v>
      </c>
      <c r="L2786" s="77"/>
      <c r="M2786" s="79"/>
      <c r="N2786" s="1"/>
      <c r="O2786" s="1"/>
      <c r="P2786" s="1"/>
      <c r="Q2786" s="1"/>
      <c r="R2786" s="1"/>
      <c r="S2786" s="1"/>
      <c r="T2786" s="1"/>
      <c r="U2786" s="1"/>
      <c r="V2786" s="1"/>
      <c r="W2786" s="1"/>
      <c r="X2786" s="1"/>
      <c r="Y2786" s="1"/>
      <c r="Z2786" s="1"/>
      <c r="AA2786" s="1"/>
      <c r="AB2786" s="1"/>
      <c r="AC2786" s="1"/>
      <c r="AD2786" s="1"/>
      <c r="AE2786" s="1"/>
      <c r="AF2786" s="1"/>
      <c r="AG2786" s="1"/>
      <c r="AH2786" s="1"/>
    </row>
    <row r="2787" ht="12.75" hidden="1" customHeight="1" outlineLevel="1">
      <c r="A2787" s="17">
        <v>41495.0</v>
      </c>
      <c r="B2787" s="1"/>
      <c r="C2787" s="1" t="s">
        <v>339</v>
      </c>
      <c r="D2787" s="74"/>
      <c r="E2787" s="67"/>
      <c r="F2787" s="75"/>
      <c r="G2787" s="67"/>
      <c r="H2787" s="68"/>
      <c r="I2787" s="76"/>
      <c r="J2787" s="67"/>
      <c r="K2787" s="7" t="s">
        <v>1157</v>
      </c>
      <c r="L2787" s="77"/>
      <c r="M2787" s="79"/>
      <c r="N2787" s="1"/>
      <c r="O2787" s="1"/>
      <c r="P2787" s="1"/>
      <c r="Q2787" s="1"/>
      <c r="R2787" s="1"/>
      <c r="S2787" s="1"/>
      <c r="T2787" s="1"/>
      <c r="U2787" s="1"/>
      <c r="V2787" s="1"/>
      <c r="W2787" s="1"/>
      <c r="X2787" s="1"/>
      <c r="Y2787" s="1"/>
      <c r="Z2787" s="1"/>
      <c r="AA2787" s="1"/>
      <c r="AB2787" s="1"/>
      <c r="AC2787" s="1"/>
      <c r="AD2787" s="1"/>
      <c r="AE2787" s="1"/>
      <c r="AF2787" s="1"/>
      <c r="AG2787" s="1"/>
      <c r="AH2787" s="1"/>
    </row>
    <row r="2788" ht="12.75" hidden="1" customHeight="1" outlineLevel="1">
      <c r="A2788" s="17">
        <v>41495.0</v>
      </c>
      <c r="B2788" s="1"/>
      <c r="C2788" s="1" t="s">
        <v>429</v>
      </c>
      <c r="D2788" s="74"/>
      <c r="E2788" s="67"/>
      <c r="F2788" s="75"/>
      <c r="G2788" s="67"/>
      <c r="H2788" s="68"/>
      <c r="I2788" s="76"/>
      <c r="J2788" s="67"/>
      <c r="K2788" s="7" t="s">
        <v>1156</v>
      </c>
      <c r="L2788" s="77"/>
      <c r="M2788" s="79"/>
      <c r="N2788" s="1"/>
      <c r="O2788" s="1"/>
      <c r="P2788" s="1"/>
      <c r="Q2788" s="1"/>
      <c r="R2788" s="1"/>
      <c r="S2788" s="1"/>
      <c r="T2788" s="1"/>
      <c r="U2788" s="1"/>
      <c r="V2788" s="1"/>
      <c r="W2788" s="1"/>
      <c r="X2788" s="1"/>
      <c r="Y2788" s="1"/>
      <c r="Z2788" s="1"/>
      <c r="AA2788" s="1"/>
      <c r="AB2788" s="1"/>
      <c r="AC2788" s="1"/>
      <c r="AD2788" s="1"/>
      <c r="AE2788" s="1"/>
      <c r="AF2788" s="1"/>
      <c r="AG2788" s="1"/>
      <c r="AH2788" s="1"/>
    </row>
    <row r="2789" ht="12.75" hidden="1" customHeight="1" outlineLevel="1">
      <c r="A2789" s="17">
        <v>41495.0</v>
      </c>
      <c r="B2789" s="1"/>
      <c r="C2789" s="1" t="s">
        <v>431</v>
      </c>
      <c r="D2789" s="74"/>
      <c r="E2789" s="67"/>
      <c r="F2789" s="75"/>
      <c r="G2789" s="67"/>
      <c r="H2789" s="68"/>
      <c r="I2789" s="76"/>
      <c r="J2789" s="67"/>
      <c r="K2789" s="7" t="s">
        <v>1126</v>
      </c>
      <c r="L2789" s="77"/>
      <c r="M2789" s="79"/>
      <c r="N2789" s="1"/>
      <c r="O2789" s="1"/>
      <c r="P2789" s="1"/>
      <c r="Q2789" s="1"/>
      <c r="R2789" s="1"/>
      <c r="S2789" s="1"/>
      <c r="T2789" s="1"/>
      <c r="U2789" s="1"/>
      <c r="V2789" s="1"/>
      <c r="W2789" s="1"/>
      <c r="X2789" s="1"/>
      <c r="Y2789" s="1"/>
      <c r="Z2789" s="1"/>
      <c r="AA2789" s="1"/>
      <c r="AB2789" s="1"/>
      <c r="AC2789" s="1"/>
      <c r="AD2789" s="1"/>
      <c r="AE2789" s="1"/>
      <c r="AF2789" s="1"/>
      <c r="AG2789" s="1"/>
      <c r="AH2789" s="1"/>
    </row>
    <row r="2790" ht="12.75" hidden="1" customHeight="1" outlineLevel="1">
      <c r="A2790" s="17">
        <v>41495.0</v>
      </c>
      <c r="B2790" s="1"/>
      <c r="C2790" s="1" t="s">
        <v>433</v>
      </c>
      <c r="D2790" s="74"/>
      <c r="E2790" s="67"/>
      <c r="F2790" s="75"/>
      <c r="G2790" s="67"/>
      <c r="H2790" s="68"/>
      <c r="I2790" s="76"/>
      <c r="J2790" s="67"/>
      <c r="K2790" s="7" t="s">
        <v>1103</v>
      </c>
      <c r="L2790" s="77"/>
      <c r="M2790" s="79"/>
      <c r="N2790" s="1"/>
      <c r="O2790" s="1"/>
      <c r="P2790" s="1"/>
      <c r="Q2790" s="1"/>
      <c r="R2790" s="1"/>
      <c r="S2790" s="1"/>
      <c r="T2790" s="1"/>
      <c r="U2790" s="1"/>
      <c r="V2790" s="1"/>
      <c r="W2790" s="1"/>
      <c r="X2790" s="1"/>
      <c r="Y2790" s="1"/>
      <c r="Z2790" s="1"/>
      <c r="AA2790" s="1"/>
      <c r="AB2790" s="1"/>
      <c r="AC2790" s="1"/>
      <c r="AD2790" s="1"/>
      <c r="AE2790" s="1"/>
      <c r="AF2790" s="1"/>
      <c r="AG2790" s="1"/>
      <c r="AH2790" s="1"/>
    </row>
    <row r="2791" ht="12.75" hidden="1" customHeight="1" outlineLevel="1">
      <c r="A2791" s="17">
        <v>41495.0</v>
      </c>
      <c r="B2791" s="1"/>
      <c r="C2791" s="1" t="s">
        <v>435</v>
      </c>
      <c r="D2791" s="74"/>
      <c r="E2791" s="67"/>
      <c r="F2791" s="75"/>
      <c r="G2791" s="67"/>
      <c r="H2791" s="68"/>
      <c r="I2791" s="76"/>
      <c r="J2791" s="67"/>
      <c r="K2791" s="7" t="s">
        <v>1104</v>
      </c>
      <c r="L2791" s="77"/>
      <c r="M2791" s="79"/>
      <c r="N2791" s="1"/>
      <c r="O2791" s="1"/>
      <c r="P2791" s="1"/>
      <c r="Q2791" s="1"/>
      <c r="R2791" s="1"/>
      <c r="S2791" s="1"/>
      <c r="T2791" s="1"/>
      <c r="U2791" s="1"/>
      <c r="V2791" s="1"/>
      <c r="W2791" s="1"/>
      <c r="X2791" s="1"/>
      <c r="Y2791" s="1"/>
      <c r="Z2791" s="1"/>
      <c r="AA2791" s="1"/>
      <c r="AB2791" s="1"/>
      <c r="AC2791" s="1"/>
      <c r="AD2791" s="1"/>
      <c r="AE2791" s="1"/>
      <c r="AF2791" s="1"/>
      <c r="AG2791" s="1"/>
      <c r="AH2791" s="1"/>
    </row>
    <row r="2792" ht="12.75" hidden="1" customHeight="1" outlineLevel="1">
      <c r="A2792" s="17">
        <v>41498.0</v>
      </c>
      <c r="B2792" s="1" t="s">
        <v>347</v>
      </c>
      <c r="C2792" s="1" t="s">
        <v>1093</v>
      </c>
      <c r="D2792" s="74">
        <v>400.0</v>
      </c>
      <c r="E2792" s="67">
        <v>41.8</v>
      </c>
      <c r="F2792" s="75">
        <v>0.6387037037037037</v>
      </c>
      <c r="G2792" s="67" t="s">
        <v>453</v>
      </c>
      <c r="H2792" s="68">
        <v>2.0</v>
      </c>
      <c r="I2792" s="76"/>
      <c r="J2792" s="67">
        <f t="shared" ref="J2792:J2793" si="198">IF(B2792="SLD",D2792*E2792,-D2792*E2792)-H2792</f>
        <v>16718</v>
      </c>
      <c r="K2792" s="7"/>
      <c r="L2792" s="70"/>
      <c r="M2792" s="79"/>
      <c r="N2792" s="1"/>
      <c r="O2792" s="1"/>
      <c r="P2792" s="1"/>
      <c r="Q2792" s="1"/>
      <c r="R2792" s="1"/>
      <c r="S2792" s="1"/>
      <c r="T2792" s="1"/>
      <c r="U2792" s="1"/>
      <c r="V2792" s="1"/>
      <c r="W2792" s="1"/>
      <c r="X2792" s="1"/>
      <c r="Y2792" s="1"/>
      <c r="Z2792" s="1"/>
      <c r="AA2792" s="1"/>
      <c r="AB2792" s="1"/>
      <c r="AC2792" s="1"/>
      <c r="AD2792" s="1"/>
      <c r="AE2792" s="1"/>
      <c r="AF2792" s="1"/>
      <c r="AG2792" s="1"/>
      <c r="AH2792" s="1"/>
    </row>
    <row r="2793" ht="12.75" hidden="1" customHeight="1" outlineLevel="1">
      <c r="A2793" s="17">
        <v>41498.0</v>
      </c>
      <c r="B2793" s="1" t="s">
        <v>347</v>
      </c>
      <c r="C2793" s="1" t="s">
        <v>1093</v>
      </c>
      <c r="D2793" s="74">
        <v>400.0</v>
      </c>
      <c r="E2793" s="67">
        <v>41.8</v>
      </c>
      <c r="F2793" s="75">
        <v>0.638900462962963</v>
      </c>
      <c r="G2793" s="67" t="s">
        <v>453</v>
      </c>
      <c r="H2793" s="68">
        <v>2.0</v>
      </c>
      <c r="I2793" s="76"/>
      <c r="J2793" s="67">
        <f t="shared" si="198"/>
        <v>16718</v>
      </c>
      <c r="K2793" s="7"/>
      <c r="L2793" s="70"/>
      <c r="M2793" s="79"/>
      <c r="N2793" s="1"/>
      <c r="O2793" s="1"/>
      <c r="P2793" s="1"/>
      <c r="Q2793" s="1"/>
      <c r="R2793" s="1"/>
      <c r="S2793" s="1"/>
      <c r="T2793" s="1"/>
      <c r="U2793" s="1"/>
      <c r="V2793" s="1"/>
      <c r="W2793" s="1"/>
      <c r="X2793" s="1"/>
      <c r="Y2793" s="1"/>
      <c r="Z2793" s="1"/>
      <c r="AA2793" s="1"/>
      <c r="AB2793" s="1"/>
      <c r="AC2793" s="1"/>
      <c r="AD2793" s="1"/>
      <c r="AE2793" s="1"/>
      <c r="AF2793" s="1"/>
      <c r="AG2793" s="1"/>
      <c r="AH2793" s="1"/>
    </row>
    <row r="2794" ht="12.75" hidden="1" customHeight="1" outlineLevel="1">
      <c r="A2794" s="17">
        <v>41498.0</v>
      </c>
      <c r="B2794" s="1"/>
      <c r="C2794" s="1" t="s">
        <v>339</v>
      </c>
      <c r="D2794" s="74"/>
      <c r="E2794" s="67"/>
      <c r="F2794" s="75"/>
      <c r="G2794" s="67"/>
      <c r="H2794" s="68"/>
      <c r="I2794" s="76"/>
      <c r="J2794" s="67"/>
      <c r="K2794" s="7" t="s">
        <v>1157</v>
      </c>
      <c r="L2794" s="77"/>
      <c r="M2794" s="79"/>
      <c r="N2794" s="1"/>
      <c r="O2794" s="1"/>
      <c r="P2794" s="1"/>
      <c r="Q2794" s="1"/>
      <c r="R2794" s="1"/>
      <c r="S2794" s="1"/>
      <c r="T2794" s="1"/>
      <c r="U2794" s="1"/>
      <c r="V2794" s="1"/>
      <c r="W2794" s="1"/>
      <c r="X2794" s="1"/>
      <c r="Y2794" s="1"/>
      <c r="Z2794" s="1"/>
      <c r="AA2794" s="1"/>
      <c r="AB2794" s="1"/>
      <c r="AC2794" s="1"/>
      <c r="AD2794" s="1"/>
      <c r="AE2794" s="1"/>
      <c r="AF2794" s="1"/>
      <c r="AG2794" s="1"/>
      <c r="AH2794" s="1"/>
    </row>
    <row r="2795" ht="12.75" hidden="1" customHeight="1" outlineLevel="1">
      <c r="A2795" s="17">
        <v>41498.0</v>
      </c>
      <c r="B2795" s="1"/>
      <c r="C2795" s="1" t="s">
        <v>429</v>
      </c>
      <c r="D2795" s="74"/>
      <c r="E2795" s="67"/>
      <c r="F2795" s="75"/>
      <c r="G2795" s="67"/>
      <c r="H2795" s="68"/>
      <c r="I2795" s="76"/>
      <c r="J2795" s="67"/>
      <c r="K2795" s="7" t="s">
        <v>1156</v>
      </c>
      <c r="L2795" s="77"/>
      <c r="M2795" s="79"/>
      <c r="N2795" s="1"/>
      <c r="O2795" s="1"/>
      <c r="P2795" s="1"/>
      <c r="Q2795" s="1"/>
      <c r="R2795" s="1"/>
      <c r="S2795" s="1"/>
      <c r="T2795" s="1"/>
      <c r="U2795" s="1"/>
      <c r="V2795" s="1"/>
      <c r="W2795" s="1"/>
      <c r="X2795" s="1"/>
      <c r="Y2795" s="1"/>
      <c r="Z2795" s="1"/>
      <c r="AA2795" s="1"/>
      <c r="AB2795" s="1"/>
      <c r="AC2795" s="1"/>
      <c r="AD2795" s="1"/>
      <c r="AE2795" s="1"/>
      <c r="AF2795" s="1"/>
      <c r="AG2795" s="1"/>
      <c r="AH2795" s="1"/>
    </row>
    <row r="2796" ht="12.75" hidden="1" customHeight="1" outlineLevel="1">
      <c r="A2796" s="17">
        <v>41498.0</v>
      </c>
      <c r="B2796" s="1"/>
      <c r="C2796" s="1" t="s">
        <v>431</v>
      </c>
      <c r="D2796" s="74"/>
      <c r="E2796" s="67"/>
      <c r="F2796" s="75"/>
      <c r="G2796" s="67"/>
      <c r="H2796" s="68"/>
      <c r="I2796" s="76"/>
      <c r="J2796" s="67"/>
      <c r="K2796" s="7" t="s">
        <v>1126</v>
      </c>
      <c r="L2796" s="77"/>
      <c r="M2796" s="79"/>
      <c r="N2796" s="1"/>
      <c r="O2796" s="1"/>
      <c r="P2796" s="1"/>
      <c r="Q2796" s="1"/>
      <c r="R2796" s="1"/>
      <c r="S2796" s="1"/>
      <c r="T2796" s="1"/>
      <c r="U2796" s="1"/>
      <c r="V2796" s="1"/>
      <c r="W2796" s="1"/>
      <c r="X2796" s="1"/>
      <c r="Y2796" s="1"/>
      <c r="Z2796" s="1"/>
      <c r="AA2796" s="1"/>
      <c r="AB2796" s="1"/>
      <c r="AC2796" s="1"/>
      <c r="AD2796" s="1"/>
      <c r="AE2796" s="1"/>
      <c r="AF2796" s="1"/>
      <c r="AG2796" s="1"/>
      <c r="AH2796" s="1"/>
    </row>
    <row r="2797" ht="12.75" hidden="1" customHeight="1" outlineLevel="1">
      <c r="A2797" s="17">
        <v>41498.0</v>
      </c>
      <c r="B2797" s="1"/>
      <c r="C2797" s="1" t="s">
        <v>433</v>
      </c>
      <c r="D2797" s="74"/>
      <c r="E2797" s="67"/>
      <c r="F2797" s="75"/>
      <c r="G2797" s="67"/>
      <c r="H2797" s="68"/>
      <c r="I2797" s="76"/>
      <c r="J2797" s="67"/>
      <c r="K2797" s="7" t="s">
        <v>1103</v>
      </c>
      <c r="L2797" s="77"/>
      <c r="M2797" s="79"/>
      <c r="N2797" s="1"/>
      <c r="O2797" s="1"/>
      <c r="P2797" s="1"/>
      <c r="Q2797" s="1"/>
      <c r="R2797" s="1"/>
      <c r="S2797" s="1"/>
      <c r="T2797" s="1"/>
      <c r="U2797" s="1"/>
      <c r="V2797" s="1"/>
      <c r="W2797" s="1"/>
      <c r="X2797" s="1"/>
      <c r="Y2797" s="1"/>
      <c r="Z2797" s="1"/>
      <c r="AA2797" s="1"/>
      <c r="AB2797" s="1"/>
      <c r="AC2797" s="1"/>
      <c r="AD2797" s="1"/>
      <c r="AE2797" s="1"/>
      <c r="AF2797" s="1"/>
      <c r="AG2797" s="1"/>
      <c r="AH2797" s="1"/>
    </row>
    <row r="2798" ht="12.75" hidden="1" customHeight="1" outlineLevel="1">
      <c r="A2798" s="17">
        <v>41498.0</v>
      </c>
      <c r="B2798" s="1"/>
      <c r="C2798" s="1" t="s">
        <v>435</v>
      </c>
      <c r="D2798" s="74"/>
      <c r="E2798" s="67"/>
      <c r="F2798" s="75"/>
      <c r="G2798" s="67"/>
      <c r="H2798" s="68"/>
      <c r="I2798" s="76"/>
      <c r="J2798" s="67"/>
      <c r="K2798" s="7" t="s">
        <v>1104</v>
      </c>
      <c r="L2798" s="77"/>
      <c r="M2798" s="79"/>
      <c r="N2798" s="1"/>
      <c r="O2798" s="1"/>
      <c r="P2798" s="1"/>
      <c r="Q2798" s="1"/>
      <c r="R2798" s="1"/>
      <c r="S2798" s="1"/>
      <c r="T2798" s="1"/>
      <c r="U2798" s="1"/>
      <c r="V2798" s="1"/>
      <c r="W2798" s="1"/>
      <c r="X2798" s="1"/>
      <c r="Y2798" s="1"/>
      <c r="Z2798" s="1"/>
      <c r="AA2798" s="1"/>
      <c r="AB2798" s="1"/>
      <c r="AC2798" s="1"/>
      <c r="AD2798" s="1"/>
      <c r="AE2798" s="1"/>
      <c r="AF2798" s="1"/>
      <c r="AG2798" s="1"/>
      <c r="AH2798" s="1"/>
    </row>
    <row r="2799" ht="12.75" hidden="1" customHeight="1" outlineLevel="1">
      <c r="A2799" s="17">
        <v>41499.0</v>
      </c>
      <c r="B2799" s="1" t="s">
        <v>343</v>
      </c>
      <c r="C2799" s="1" t="s">
        <v>870</v>
      </c>
      <c r="D2799" s="74">
        <v>400.0</v>
      </c>
      <c r="E2799" s="67">
        <v>73.51</v>
      </c>
      <c r="F2799" s="75">
        <v>0.5012731481481482</v>
      </c>
      <c r="G2799" s="67" t="s">
        <v>453</v>
      </c>
      <c r="H2799" s="68">
        <v>2.0</v>
      </c>
      <c r="I2799" s="76"/>
      <c r="J2799" s="67">
        <f t="shared" ref="J2799:J2806" si="199">IF(B2799="SLD",D2799*E2799,-D2799*E2799)-H2799</f>
        <v>-29406</v>
      </c>
      <c r="K2799" s="7"/>
      <c r="L2799" s="70"/>
      <c r="M2799" s="79"/>
      <c r="N2799" s="1"/>
      <c r="O2799" s="1"/>
      <c r="P2799" s="1"/>
      <c r="Q2799" s="1"/>
      <c r="R2799" s="1"/>
      <c r="S2799" s="1"/>
      <c r="T2799" s="1"/>
      <c r="U2799" s="1"/>
      <c r="V2799" s="1"/>
      <c r="W2799" s="1"/>
      <c r="X2799" s="1"/>
      <c r="Y2799" s="1"/>
      <c r="Z2799" s="1"/>
      <c r="AA2799" s="1"/>
      <c r="AB2799" s="1"/>
      <c r="AC2799" s="1"/>
      <c r="AD2799" s="1"/>
      <c r="AE2799" s="1"/>
      <c r="AF2799" s="1"/>
      <c r="AG2799" s="1"/>
      <c r="AH2799" s="1"/>
    </row>
    <row r="2800" ht="12.75" hidden="1" customHeight="1" outlineLevel="1">
      <c r="A2800" s="17">
        <v>41499.0</v>
      </c>
      <c r="B2800" s="1" t="s">
        <v>347</v>
      </c>
      <c r="C2800" s="1" t="s">
        <v>784</v>
      </c>
      <c r="D2800" s="74">
        <v>1800.0</v>
      </c>
      <c r="E2800" s="67">
        <v>15.56</v>
      </c>
      <c r="F2800" s="75">
        <v>0.5764467592592593</v>
      </c>
      <c r="G2800" s="67" t="s">
        <v>453</v>
      </c>
      <c r="H2800" s="68">
        <v>7.2</v>
      </c>
      <c r="I2800" s="76"/>
      <c r="J2800" s="67">
        <f t="shared" si="199"/>
        <v>28000.8</v>
      </c>
      <c r="K2800" s="7"/>
      <c r="L2800" s="70"/>
      <c r="M2800" s="79"/>
      <c r="N2800" s="1"/>
      <c r="O2800" s="1"/>
      <c r="P2800" s="1"/>
      <c r="Q2800" s="1"/>
      <c r="R2800" s="1"/>
      <c r="S2800" s="1"/>
      <c r="T2800" s="1"/>
      <c r="U2800" s="1"/>
      <c r="V2800" s="1"/>
      <c r="W2800" s="1"/>
      <c r="X2800" s="1"/>
      <c r="Y2800" s="1"/>
      <c r="Z2800" s="1"/>
      <c r="AA2800" s="1"/>
      <c r="AB2800" s="1"/>
      <c r="AC2800" s="1"/>
      <c r="AD2800" s="1"/>
      <c r="AE2800" s="1"/>
      <c r="AF2800" s="1"/>
      <c r="AG2800" s="1"/>
      <c r="AH2800" s="1"/>
    </row>
    <row r="2801" ht="12.75" hidden="1" customHeight="1" outlineLevel="1">
      <c r="A2801" s="17">
        <v>41499.0</v>
      </c>
      <c r="B2801" s="1" t="s">
        <v>347</v>
      </c>
      <c r="C2801" s="1" t="s">
        <v>369</v>
      </c>
      <c r="D2801" s="74">
        <v>1000.0</v>
      </c>
      <c r="E2801" s="67">
        <v>23.95</v>
      </c>
      <c r="F2801" s="75">
        <v>0.5768171296296296</v>
      </c>
      <c r="G2801" s="67" t="s">
        <v>453</v>
      </c>
      <c r="H2801" s="68">
        <v>5.0</v>
      </c>
      <c r="I2801" s="76"/>
      <c r="J2801" s="67">
        <f t="shared" si="199"/>
        <v>23945</v>
      </c>
      <c r="K2801" s="7"/>
      <c r="L2801" s="70"/>
      <c r="M2801" s="79"/>
      <c r="N2801" s="1"/>
      <c r="O2801" s="1"/>
      <c r="P2801" s="1"/>
      <c r="Q2801" s="1"/>
      <c r="R2801" s="1"/>
      <c r="S2801" s="1"/>
      <c r="T2801" s="1"/>
      <c r="U2801" s="1"/>
      <c r="V2801" s="1"/>
      <c r="W2801" s="1"/>
      <c r="X2801" s="1"/>
      <c r="Y2801" s="1"/>
      <c r="Z2801" s="1"/>
      <c r="AA2801" s="1"/>
      <c r="AB2801" s="1"/>
      <c r="AC2801" s="1"/>
      <c r="AD2801" s="1"/>
      <c r="AE2801" s="1"/>
      <c r="AF2801" s="1"/>
      <c r="AG2801" s="1"/>
      <c r="AH2801" s="1"/>
    </row>
    <row r="2802" ht="12.75" hidden="1" customHeight="1" outlineLevel="1">
      <c r="A2802" s="17">
        <v>41499.0</v>
      </c>
      <c r="B2802" s="1" t="s">
        <v>347</v>
      </c>
      <c r="C2802" s="1" t="s">
        <v>1044</v>
      </c>
      <c r="D2802" s="74">
        <v>1000.0</v>
      </c>
      <c r="E2802" s="67">
        <v>27.27</v>
      </c>
      <c r="F2802" s="75">
        <v>0.5772222222222222</v>
      </c>
      <c r="G2802" s="67" t="s">
        <v>453</v>
      </c>
      <c r="H2802" s="68">
        <v>4.0</v>
      </c>
      <c r="I2802" s="76"/>
      <c r="J2802" s="67">
        <f t="shared" si="199"/>
        <v>27266</v>
      </c>
      <c r="K2802" s="7"/>
      <c r="L2802" s="70"/>
      <c r="M2802" s="79"/>
      <c r="N2802" s="1"/>
      <c r="O2802" s="1"/>
      <c r="P2802" s="1"/>
      <c r="Q2802" s="1"/>
      <c r="R2802" s="1"/>
      <c r="S2802" s="1"/>
      <c r="T2802" s="1"/>
      <c r="U2802" s="1"/>
      <c r="V2802" s="1"/>
      <c r="W2802" s="1"/>
      <c r="X2802" s="1"/>
      <c r="Y2802" s="1"/>
      <c r="Z2802" s="1"/>
      <c r="AA2802" s="1"/>
      <c r="AB2802" s="1"/>
      <c r="AC2802" s="1"/>
      <c r="AD2802" s="1"/>
      <c r="AE2802" s="1"/>
      <c r="AF2802" s="1"/>
      <c r="AG2802" s="1"/>
      <c r="AH2802" s="1"/>
    </row>
    <row r="2803" ht="12.75" hidden="1" customHeight="1" outlineLevel="1">
      <c r="A2803" s="17">
        <v>41499.0</v>
      </c>
      <c r="B2803" s="1" t="s">
        <v>343</v>
      </c>
      <c r="C2803" s="1" t="s">
        <v>857</v>
      </c>
      <c r="D2803" s="74">
        <v>4000.0</v>
      </c>
      <c r="E2803" s="67">
        <v>5.62</v>
      </c>
      <c r="F2803" s="75">
        <v>0.5819328703703703</v>
      </c>
      <c r="G2803" s="67" t="s">
        <v>453</v>
      </c>
      <c r="H2803" s="68">
        <v>16.0</v>
      </c>
      <c r="I2803" s="76"/>
      <c r="J2803" s="67">
        <f t="shared" si="199"/>
        <v>-22496</v>
      </c>
      <c r="K2803" s="7"/>
      <c r="L2803" s="70"/>
      <c r="M2803" s="79"/>
      <c r="N2803" s="1"/>
      <c r="O2803" s="1"/>
      <c r="P2803" s="1"/>
      <c r="Q2803" s="1"/>
      <c r="R2803" s="1"/>
      <c r="S2803" s="1"/>
      <c r="T2803" s="1"/>
      <c r="U2803" s="1"/>
      <c r="V2803" s="1"/>
      <c r="W2803" s="1"/>
      <c r="X2803" s="1"/>
      <c r="Y2803" s="1"/>
      <c r="Z2803" s="1"/>
      <c r="AA2803" s="1"/>
      <c r="AB2803" s="1"/>
      <c r="AC2803" s="1"/>
      <c r="AD2803" s="1"/>
      <c r="AE2803" s="1"/>
      <c r="AF2803" s="1"/>
      <c r="AG2803" s="1"/>
      <c r="AH2803" s="1"/>
    </row>
    <row r="2804" ht="12.75" hidden="1" customHeight="1" outlineLevel="1">
      <c r="A2804" s="17">
        <v>41499.0</v>
      </c>
      <c r="B2804" s="1" t="s">
        <v>343</v>
      </c>
      <c r="C2804" s="1" t="s">
        <v>1100</v>
      </c>
      <c r="D2804" s="74">
        <v>4400.0</v>
      </c>
      <c r="E2804" s="67">
        <v>6.59</v>
      </c>
      <c r="F2804" s="75">
        <v>0.5840856481481481</v>
      </c>
      <c r="G2804" s="67" t="s">
        <v>453</v>
      </c>
      <c r="H2804" s="68">
        <v>19.7</v>
      </c>
      <c r="I2804" s="76"/>
      <c r="J2804" s="67">
        <f t="shared" si="199"/>
        <v>-29015.7</v>
      </c>
      <c r="K2804" s="7"/>
      <c r="L2804" s="70"/>
      <c r="M2804" s="79"/>
      <c r="N2804" s="1"/>
      <c r="O2804" s="1"/>
      <c r="P2804" s="1"/>
      <c r="Q2804" s="1"/>
      <c r="R2804" s="1"/>
      <c r="S2804" s="1"/>
      <c r="T2804" s="1"/>
      <c r="U2804" s="1"/>
      <c r="V2804" s="1"/>
      <c r="W2804" s="1"/>
      <c r="X2804" s="1"/>
      <c r="Y2804" s="1"/>
      <c r="Z2804" s="1"/>
      <c r="AA2804" s="1"/>
      <c r="AB2804" s="1"/>
      <c r="AC2804" s="1"/>
      <c r="AD2804" s="1"/>
      <c r="AE2804" s="1"/>
      <c r="AF2804" s="1"/>
      <c r="AG2804" s="1"/>
      <c r="AH2804" s="1"/>
    </row>
    <row r="2805" ht="12.75" hidden="1" customHeight="1" outlineLevel="1">
      <c r="A2805" s="17">
        <v>41499.0</v>
      </c>
      <c r="B2805" s="1" t="s">
        <v>343</v>
      </c>
      <c r="C2805" s="1" t="s">
        <v>857</v>
      </c>
      <c r="D2805" s="74">
        <v>400.0</v>
      </c>
      <c r="E2805" s="67">
        <v>5.61</v>
      </c>
      <c r="F2805" s="75">
        <v>0.5875810185185185</v>
      </c>
      <c r="G2805" s="67" t="s">
        <v>453</v>
      </c>
      <c r="H2805" s="68">
        <v>2.0</v>
      </c>
      <c r="I2805" s="76"/>
      <c r="J2805" s="67">
        <f t="shared" si="199"/>
        <v>-2246</v>
      </c>
      <c r="K2805" s="7"/>
      <c r="L2805" s="70"/>
      <c r="M2805" s="79"/>
      <c r="N2805" s="1"/>
      <c r="O2805" s="1"/>
      <c r="P2805" s="1"/>
      <c r="Q2805" s="1"/>
      <c r="R2805" s="1"/>
      <c r="S2805" s="1"/>
      <c r="T2805" s="1"/>
      <c r="U2805" s="1"/>
      <c r="V2805" s="1"/>
      <c r="W2805" s="1"/>
      <c r="X2805" s="1"/>
      <c r="Y2805" s="1"/>
      <c r="Z2805" s="1"/>
      <c r="AA2805" s="1"/>
      <c r="AB2805" s="1"/>
      <c r="AC2805" s="1"/>
      <c r="AD2805" s="1"/>
      <c r="AE2805" s="1"/>
      <c r="AF2805" s="1"/>
      <c r="AG2805" s="1"/>
      <c r="AH2805" s="1"/>
    </row>
    <row r="2806" ht="12.75" hidden="1" customHeight="1" outlineLevel="1">
      <c r="A2806" s="17">
        <v>41499.0</v>
      </c>
      <c r="B2806" s="1" t="s">
        <v>343</v>
      </c>
      <c r="C2806" s="1" t="s">
        <v>870</v>
      </c>
      <c r="D2806" s="74">
        <v>200.0</v>
      </c>
      <c r="E2806" s="67">
        <v>74.88</v>
      </c>
      <c r="F2806" s="75">
        <v>0.6651967592592593</v>
      </c>
      <c r="G2806" s="67" t="s">
        <v>453</v>
      </c>
      <c r="H2806" s="68">
        <v>1.0</v>
      </c>
      <c r="I2806" s="76"/>
      <c r="J2806" s="67">
        <f t="shared" si="199"/>
        <v>-14977</v>
      </c>
      <c r="K2806" s="7"/>
      <c r="L2806" s="70"/>
      <c r="M2806" s="79"/>
      <c r="N2806" s="1"/>
      <c r="O2806" s="1"/>
      <c r="P2806" s="1"/>
      <c r="Q2806" s="1"/>
      <c r="R2806" s="1"/>
      <c r="S2806" s="1"/>
      <c r="T2806" s="1"/>
      <c r="U2806" s="1"/>
      <c r="V2806" s="1"/>
      <c r="W2806" s="1"/>
      <c r="X2806" s="1"/>
      <c r="Y2806" s="1"/>
      <c r="Z2806" s="1"/>
      <c r="AA2806" s="1"/>
      <c r="AB2806" s="1"/>
      <c r="AC2806" s="1"/>
      <c r="AD2806" s="1"/>
      <c r="AE2806" s="1"/>
      <c r="AF2806" s="1"/>
      <c r="AG2806" s="1"/>
      <c r="AH2806" s="1"/>
    </row>
    <row r="2807" ht="12.75" hidden="1" customHeight="1" outlineLevel="1">
      <c r="A2807" s="17">
        <v>41499.0</v>
      </c>
      <c r="B2807" s="1"/>
      <c r="C2807" s="1" t="s">
        <v>339</v>
      </c>
      <c r="D2807" s="74"/>
      <c r="E2807" s="67"/>
      <c r="F2807" s="75"/>
      <c r="G2807" s="67"/>
      <c r="H2807" s="68"/>
      <c r="I2807" s="76"/>
      <c r="J2807" s="67"/>
      <c r="K2807" s="7" t="s">
        <v>1159</v>
      </c>
      <c r="L2807" s="77"/>
      <c r="M2807" s="79"/>
      <c r="N2807" s="1"/>
      <c r="O2807" s="1"/>
      <c r="P2807" s="1"/>
      <c r="Q2807" s="1"/>
      <c r="R2807" s="1"/>
      <c r="S2807" s="1"/>
      <c r="T2807" s="1"/>
      <c r="U2807" s="1"/>
      <c r="V2807" s="1"/>
      <c r="W2807" s="1"/>
      <c r="X2807" s="1"/>
      <c r="Y2807" s="1"/>
      <c r="Z2807" s="1"/>
      <c r="AA2807" s="1"/>
      <c r="AB2807" s="1"/>
      <c r="AC2807" s="1"/>
      <c r="AD2807" s="1"/>
      <c r="AE2807" s="1"/>
      <c r="AF2807" s="1"/>
      <c r="AG2807" s="1"/>
      <c r="AH2807" s="1"/>
    </row>
    <row r="2808" ht="12.75" hidden="1" customHeight="1" outlineLevel="1">
      <c r="A2808" s="17">
        <v>41499.0</v>
      </c>
      <c r="B2808" s="1"/>
      <c r="C2808" s="1" t="s">
        <v>429</v>
      </c>
      <c r="D2808" s="74"/>
      <c r="E2808" s="67"/>
      <c r="F2808" s="75"/>
      <c r="G2808" s="67"/>
      <c r="H2808" s="68"/>
      <c r="I2808" s="76"/>
      <c r="J2808" s="67"/>
      <c r="K2808" s="7" t="s">
        <v>1156</v>
      </c>
      <c r="L2808" s="77"/>
      <c r="M2808" s="79"/>
      <c r="N2808" s="1"/>
      <c r="O2808" s="1"/>
      <c r="P2808" s="1"/>
      <c r="Q2808" s="1"/>
      <c r="R2808" s="1"/>
      <c r="S2808" s="1"/>
      <c r="T2808" s="1"/>
      <c r="U2808" s="1"/>
      <c r="V2808" s="1"/>
      <c r="W2808" s="1"/>
      <c r="X2808" s="1"/>
      <c r="Y2808" s="1"/>
      <c r="Z2808" s="1"/>
      <c r="AA2808" s="1"/>
      <c r="AB2808" s="1"/>
      <c r="AC2808" s="1"/>
      <c r="AD2808" s="1"/>
      <c r="AE2808" s="1"/>
      <c r="AF2808" s="1"/>
      <c r="AG2808" s="1"/>
      <c r="AH2808" s="1"/>
    </row>
    <row r="2809" ht="12.75" hidden="1" customHeight="1" outlineLevel="1">
      <c r="A2809" s="17">
        <v>41499.0</v>
      </c>
      <c r="B2809" s="1"/>
      <c r="C2809" s="1" t="s">
        <v>431</v>
      </c>
      <c r="D2809" s="74"/>
      <c r="E2809" s="67"/>
      <c r="F2809" s="75"/>
      <c r="G2809" s="67"/>
      <c r="H2809" s="68"/>
      <c r="I2809" s="76"/>
      <c r="J2809" s="67"/>
      <c r="K2809" s="7" t="s">
        <v>1126</v>
      </c>
      <c r="L2809" s="77"/>
      <c r="M2809" s="79"/>
      <c r="N2809" s="1"/>
      <c r="O2809" s="1"/>
      <c r="P2809" s="1"/>
      <c r="Q2809" s="1"/>
      <c r="R2809" s="1"/>
      <c r="S2809" s="1"/>
      <c r="T2809" s="1"/>
      <c r="U2809" s="1"/>
      <c r="V2809" s="1"/>
      <c r="W2809" s="1"/>
      <c r="X2809" s="1"/>
      <c r="Y2809" s="1"/>
      <c r="Z2809" s="1"/>
      <c r="AA2809" s="1"/>
      <c r="AB2809" s="1"/>
      <c r="AC2809" s="1"/>
      <c r="AD2809" s="1"/>
      <c r="AE2809" s="1"/>
      <c r="AF2809" s="1"/>
      <c r="AG2809" s="1"/>
      <c r="AH2809" s="1"/>
    </row>
    <row r="2810" ht="12.75" hidden="1" customHeight="1" outlineLevel="1">
      <c r="A2810" s="17">
        <v>41499.0</v>
      </c>
      <c r="B2810" s="1"/>
      <c r="C2810" s="1" t="s">
        <v>433</v>
      </c>
      <c r="D2810" s="74"/>
      <c r="E2810" s="67"/>
      <c r="F2810" s="75"/>
      <c r="G2810" s="67"/>
      <c r="H2810" s="68"/>
      <c r="I2810" s="76"/>
      <c r="J2810" s="67"/>
      <c r="K2810" s="7" t="s">
        <v>1103</v>
      </c>
      <c r="L2810" s="77"/>
      <c r="M2810" s="79"/>
      <c r="N2810" s="1"/>
      <c r="O2810" s="1"/>
      <c r="P2810" s="1"/>
      <c r="Q2810" s="1"/>
      <c r="R2810" s="1"/>
      <c r="S2810" s="1"/>
      <c r="T2810" s="1"/>
      <c r="U2810" s="1"/>
      <c r="V2810" s="1"/>
      <c r="W2810" s="1"/>
      <c r="X2810" s="1"/>
      <c r="Y2810" s="1"/>
      <c r="Z2810" s="1"/>
      <c r="AA2810" s="1"/>
      <c r="AB2810" s="1"/>
      <c r="AC2810" s="1"/>
      <c r="AD2810" s="1"/>
      <c r="AE2810" s="1"/>
      <c r="AF2810" s="1"/>
      <c r="AG2810" s="1"/>
      <c r="AH2810" s="1"/>
    </row>
    <row r="2811" ht="12.75" hidden="1" customHeight="1" outlineLevel="1">
      <c r="A2811" s="17">
        <v>41499.0</v>
      </c>
      <c r="B2811" s="1"/>
      <c r="C2811" s="1" t="s">
        <v>435</v>
      </c>
      <c r="D2811" s="74"/>
      <c r="E2811" s="67"/>
      <c r="F2811" s="75"/>
      <c r="G2811" s="67"/>
      <c r="H2811" s="68"/>
      <c r="I2811" s="76"/>
      <c r="J2811" s="67"/>
      <c r="K2811" s="7" t="s">
        <v>1104</v>
      </c>
      <c r="L2811" s="77"/>
      <c r="M2811" s="79"/>
      <c r="N2811" s="1"/>
      <c r="O2811" s="1"/>
      <c r="P2811" s="1"/>
      <c r="Q2811" s="1"/>
      <c r="R2811" s="1"/>
      <c r="S2811" s="1"/>
      <c r="T2811" s="1"/>
      <c r="U2811" s="1"/>
      <c r="V2811" s="1"/>
      <c r="W2811" s="1"/>
      <c r="X2811" s="1"/>
      <c r="Y2811" s="1"/>
      <c r="Z2811" s="1"/>
      <c r="AA2811" s="1"/>
      <c r="AB2811" s="1"/>
      <c r="AC2811" s="1"/>
      <c r="AD2811" s="1"/>
      <c r="AE2811" s="1"/>
      <c r="AF2811" s="1"/>
      <c r="AG2811" s="1"/>
      <c r="AH2811" s="1"/>
    </row>
    <row r="2812" ht="12.75" hidden="1" customHeight="1" outlineLevel="1">
      <c r="A2812" s="17">
        <v>41499.0</v>
      </c>
      <c r="B2812" s="1"/>
      <c r="C2812" s="1" t="s">
        <v>339</v>
      </c>
      <c r="D2812" s="74"/>
      <c r="E2812" s="67"/>
      <c r="F2812" s="75"/>
      <c r="G2812" s="67"/>
      <c r="H2812" s="68"/>
      <c r="I2812" s="76"/>
      <c r="J2812" s="67"/>
      <c r="K2812" s="7" t="s">
        <v>1160</v>
      </c>
      <c r="L2812" s="77"/>
      <c r="M2812" s="79"/>
      <c r="N2812" s="1"/>
      <c r="O2812" s="1"/>
      <c r="P2812" s="1"/>
      <c r="Q2812" s="1"/>
      <c r="R2812" s="1"/>
      <c r="S2812" s="1"/>
      <c r="T2812" s="1"/>
      <c r="U2812" s="1"/>
      <c r="V2812" s="1"/>
      <c r="W2812" s="1"/>
      <c r="X2812" s="1"/>
      <c r="Y2812" s="1"/>
      <c r="Z2812" s="1"/>
      <c r="AA2812" s="1"/>
      <c r="AB2812" s="1"/>
      <c r="AC2812" s="1"/>
      <c r="AD2812" s="1"/>
      <c r="AE2812" s="1"/>
      <c r="AF2812" s="1"/>
      <c r="AG2812" s="1"/>
      <c r="AH2812" s="1"/>
    </row>
    <row r="2813" ht="12.75" hidden="1" customHeight="1" outlineLevel="1">
      <c r="A2813" s="17">
        <v>41499.0</v>
      </c>
      <c r="B2813" s="1"/>
      <c r="C2813" s="1" t="s">
        <v>429</v>
      </c>
      <c r="D2813" s="74"/>
      <c r="E2813" s="67"/>
      <c r="F2813" s="75"/>
      <c r="G2813" s="67"/>
      <c r="H2813" s="68"/>
      <c r="I2813" s="76"/>
      <c r="J2813" s="67"/>
      <c r="K2813" s="7" t="s">
        <v>1156</v>
      </c>
      <c r="L2813" s="77"/>
      <c r="M2813" s="79"/>
      <c r="N2813" s="1"/>
      <c r="O2813" s="1"/>
      <c r="P2813" s="1"/>
      <c r="Q2813" s="1"/>
      <c r="R2813" s="1"/>
      <c r="S2813" s="1"/>
      <c r="T2813" s="1"/>
      <c r="U2813" s="1"/>
      <c r="V2813" s="1"/>
      <c r="W2813" s="1"/>
      <c r="X2813" s="1"/>
      <c r="Y2813" s="1"/>
      <c r="Z2813" s="1"/>
      <c r="AA2813" s="1"/>
      <c r="AB2813" s="1"/>
      <c r="AC2813" s="1"/>
      <c r="AD2813" s="1"/>
      <c r="AE2813" s="1"/>
      <c r="AF2813" s="1"/>
      <c r="AG2813" s="1"/>
      <c r="AH2813" s="1"/>
    </row>
    <row r="2814" ht="12.75" hidden="1" customHeight="1" outlineLevel="1">
      <c r="A2814" s="17">
        <v>41499.0</v>
      </c>
      <c r="B2814" s="1"/>
      <c r="C2814" s="1" t="s">
        <v>431</v>
      </c>
      <c r="D2814" s="74"/>
      <c r="E2814" s="67"/>
      <c r="F2814" s="75"/>
      <c r="G2814" s="67"/>
      <c r="H2814" s="68"/>
      <c r="I2814" s="76"/>
      <c r="J2814" s="67"/>
      <c r="K2814" s="7" t="s">
        <v>1126</v>
      </c>
      <c r="L2814" s="77"/>
      <c r="M2814" s="79"/>
      <c r="N2814" s="1"/>
      <c r="O2814" s="1"/>
      <c r="P2814" s="1"/>
      <c r="Q2814" s="1"/>
      <c r="R2814" s="1"/>
      <c r="S2814" s="1"/>
      <c r="T2814" s="1"/>
      <c r="U2814" s="1"/>
      <c r="V2814" s="1"/>
      <c r="W2814" s="1"/>
      <c r="X2814" s="1"/>
      <c r="Y2814" s="1"/>
      <c r="Z2814" s="1"/>
      <c r="AA2814" s="1"/>
      <c r="AB2814" s="1"/>
      <c r="AC2814" s="1"/>
      <c r="AD2814" s="1"/>
      <c r="AE2814" s="1"/>
      <c r="AF2814" s="1"/>
      <c r="AG2814" s="1"/>
      <c r="AH2814" s="1"/>
    </row>
    <row r="2815" ht="12.75" hidden="1" customHeight="1" outlineLevel="1">
      <c r="A2815" s="17">
        <v>41499.0</v>
      </c>
      <c r="B2815" s="1"/>
      <c r="C2815" s="1" t="s">
        <v>433</v>
      </c>
      <c r="D2815" s="74"/>
      <c r="E2815" s="67"/>
      <c r="F2815" s="75"/>
      <c r="G2815" s="67"/>
      <c r="H2815" s="68"/>
      <c r="I2815" s="76"/>
      <c r="J2815" s="67"/>
      <c r="K2815" s="7" t="s">
        <v>1103</v>
      </c>
      <c r="L2815" s="77"/>
      <c r="M2815" s="79"/>
      <c r="N2815" s="1"/>
      <c r="O2815" s="1"/>
      <c r="P2815" s="1"/>
      <c r="Q2815" s="1"/>
      <c r="R2815" s="1"/>
      <c r="S2815" s="1"/>
      <c r="T2815" s="1"/>
      <c r="U2815" s="1"/>
      <c r="V2815" s="1"/>
      <c r="W2815" s="1"/>
      <c r="X2815" s="1"/>
      <c r="Y2815" s="1"/>
      <c r="Z2815" s="1"/>
      <c r="AA2815" s="1"/>
      <c r="AB2815" s="1"/>
      <c r="AC2815" s="1"/>
      <c r="AD2815" s="1"/>
      <c r="AE2815" s="1"/>
      <c r="AF2815" s="1"/>
      <c r="AG2815" s="1"/>
      <c r="AH2815" s="1"/>
    </row>
    <row r="2816" ht="12.75" hidden="1" customHeight="1" outlineLevel="1">
      <c r="A2816" s="17">
        <v>41499.0</v>
      </c>
      <c r="B2816" s="1"/>
      <c r="C2816" s="1" t="s">
        <v>435</v>
      </c>
      <c r="D2816" s="74"/>
      <c r="E2816" s="67"/>
      <c r="F2816" s="75"/>
      <c r="G2816" s="67"/>
      <c r="H2816" s="68"/>
      <c r="I2816" s="76"/>
      <c r="J2816" s="67"/>
      <c r="K2816" s="7" t="s">
        <v>1104</v>
      </c>
      <c r="L2816" s="77"/>
      <c r="M2816" s="79"/>
      <c r="N2816" s="1"/>
      <c r="O2816" s="1"/>
      <c r="P2816" s="1"/>
      <c r="Q2816" s="1"/>
      <c r="R2816" s="1"/>
      <c r="S2816" s="1"/>
      <c r="T2816" s="1"/>
      <c r="U2816" s="1"/>
      <c r="V2816" s="1"/>
      <c r="W2816" s="1"/>
      <c r="X2816" s="1"/>
      <c r="Y2816" s="1"/>
      <c r="Z2816" s="1"/>
      <c r="AA2816" s="1"/>
      <c r="AB2816" s="1"/>
      <c r="AC2816" s="1"/>
      <c r="AD2816" s="1"/>
      <c r="AE2816" s="1"/>
      <c r="AF2816" s="1"/>
      <c r="AG2816" s="1"/>
      <c r="AH2816" s="1"/>
    </row>
    <row r="2817" ht="12.75" hidden="1" customHeight="1" outlineLevel="1">
      <c r="A2817" s="17">
        <v>41500.0</v>
      </c>
      <c r="B2817" s="1"/>
      <c r="C2817" s="1" t="s">
        <v>339</v>
      </c>
      <c r="D2817" s="74"/>
      <c r="E2817" s="67"/>
      <c r="F2817" s="75"/>
      <c r="G2817" s="67"/>
      <c r="H2817" s="68"/>
      <c r="I2817" s="76"/>
      <c r="J2817" s="67"/>
      <c r="K2817" s="7" t="s">
        <v>1161</v>
      </c>
      <c r="L2817" s="77"/>
      <c r="M2817" s="79"/>
      <c r="N2817" s="1"/>
      <c r="O2817" s="1"/>
      <c r="P2817" s="1"/>
      <c r="Q2817" s="1"/>
      <c r="R2817" s="1"/>
      <c r="S2817" s="1"/>
      <c r="T2817" s="1"/>
      <c r="U2817" s="1"/>
      <c r="V2817" s="1"/>
      <c r="W2817" s="1"/>
      <c r="X2817" s="1"/>
      <c r="Y2817" s="1"/>
      <c r="Z2817" s="1"/>
      <c r="AA2817" s="1"/>
      <c r="AB2817" s="1"/>
      <c r="AC2817" s="1"/>
      <c r="AD2817" s="1"/>
      <c r="AE2817" s="1"/>
      <c r="AF2817" s="1"/>
      <c r="AG2817" s="1"/>
      <c r="AH2817" s="1"/>
    </row>
    <row r="2818" ht="12.75" hidden="1" customHeight="1" outlineLevel="1">
      <c r="A2818" s="17">
        <v>41500.0</v>
      </c>
      <c r="B2818" s="1"/>
      <c r="C2818" s="1" t="s">
        <v>429</v>
      </c>
      <c r="D2818" s="74"/>
      <c r="E2818" s="67"/>
      <c r="F2818" s="75"/>
      <c r="G2818" s="67"/>
      <c r="H2818" s="68"/>
      <c r="I2818" s="76"/>
      <c r="J2818" s="67"/>
      <c r="K2818" s="7" t="s">
        <v>1156</v>
      </c>
      <c r="L2818" s="77"/>
      <c r="M2818" s="79"/>
      <c r="N2818" s="1"/>
      <c r="O2818" s="1"/>
      <c r="P2818" s="1"/>
      <c r="Q2818" s="1"/>
      <c r="R2818" s="1"/>
      <c r="S2818" s="1"/>
      <c r="T2818" s="1"/>
      <c r="U2818" s="1"/>
      <c r="V2818" s="1"/>
      <c r="W2818" s="1"/>
      <c r="X2818" s="1"/>
      <c r="Y2818" s="1"/>
      <c r="Z2818" s="1"/>
      <c r="AA2818" s="1"/>
      <c r="AB2818" s="1"/>
      <c r="AC2818" s="1"/>
      <c r="AD2818" s="1"/>
      <c r="AE2818" s="1"/>
      <c r="AF2818" s="1"/>
      <c r="AG2818" s="1"/>
      <c r="AH2818" s="1"/>
    </row>
    <row r="2819" ht="12.75" hidden="1" customHeight="1" outlineLevel="1">
      <c r="A2819" s="17">
        <v>41500.0</v>
      </c>
      <c r="B2819" s="1"/>
      <c r="C2819" s="1" t="s">
        <v>431</v>
      </c>
      <c r="D2819" s="74"/>
      <c r="E2819" s="67"/>
      <c r="F2819" s="75"/>
      <c r="G2819" s="67"/>
      <c r="H2819" s="68"/>
      <c r="I2819" s="76"/>
      <c r="J2819" s="67"/>
      <c r="K2819" s="7" t="s">
        <v>1126</v>
      </c>
      <c r="L2819" s="77"/>
      <c r="M2819" s="79"/>
      <c r="N2819" s="1"/>
      <c r="O2819" s="1"/>
      <c r="P2819" s="1"/>
      <c r="Q2819" s="1"/>
      <c r="R2819" s="1"/>
      <c r="S2819" s="1"/>
      <c r="T2819" s="1"/>
      <c r="U2819" s="1"/>
      <c r="V2819" s="1"/>
      <c r="W2819" s="1"/>
      <c r="X2819" s="1"/>
      <c r="Y2819" s="1"/>
      <c r="Z2819" s="1"/>
      <c r="AA2819" s="1"/>
      <c r="AB2819" s="1"/>
      <c r="AC2819" s="1"/>
      <c r="AD2819" s="1"/>
      <c r="AE2819" s="1"/>
      <c r="AF2819" s="1"/>
      <c r="AG2819" s="1"/>
      <c r="AH2819" s="1"/>
    </row>
    <row r="2820" ht="12.75" hidden="1" customHeight="1" outlineLevel="1">
      <c r="A2820" s="17">
        <v>41500.0</v>
      </c>
      <c r="B2820" s="1"/>
      <c r="C2820" s="1" t="s">
        <v>433</v>
      </c>
      <c r="D2820" s="74"/>
      <c r="E2820" s="67"/>
      <c r="F2820" s="75"/>
      <c r="G2820" s="67"/>
      <c r="H2820" s="68"/>
      <c r="I2820" s="76"/>
      <c r="J2820" s="67"/>
      <c r="K2820" s="7" t="s">
        <v>1103</v>
      </c>
      <c r="L2820" s="77"/>
      <c r="M2820" s="79"/>
      <c r="N2820" s="1"/>
      <c r="O2820" s="1"/>
      <c r="P2820" s="1"/>
      <c r="Q2820" s="1"/>
      <c r="R2820" s="1"/>
      <c r="S2820" s="1"/>
      <c r="T2820" s="1"/>
      <c r="U2820" s="1"/>
      <c r="V2820" s="1"/>
      <c r="W2820" s="1"/>
      <c r="X2820" s="1"/>
      <c r="Y2820" s="1"/>
      <c r="Z2820" s="1"/>
      <c r="AA2820" s="1"/>
      <c r="AB2820" s="1"/>
      <c r="AC2820" s="1"/>
      <c r="AD2820" s="1"/>
      <c r="AE2820" s="1"/>
      <c r="AF2820" s="1"/>
      <c r="AG2820" s="1"/>
      <c r="AH2820" s="1"/>
    </row>
    <row r="2821" ht="12.75" hidden="1" customHeight="1" outlineLevel="1">
      <c r="A2821" s="17">
        <v>41500.0</v>
      </c>
      <c r="B2821" s="1"/>
      <c r="C2821" s="1" t="s">
        <v>435</v>
      </c>
      <c r="D2821" s="74"/>
      <c r="E2821" s="67"/>
      <c r="F2821" s="75"/>
      <c r="G2821" s="67"/>
      <c r="H2821" s="68"/>
      <c r="I2821" s="76"/>
      <c r="J2821" s="67"/>
      <c r="K2821" s="7" t="s">
        <v>1104</v>
      </c>
      <c r="L2821" s="77"/>
      <c r="M2821" s="79"/>
      <c r="N2821" s="1"/>
      <c r="O2821" s="1"/>
      <c r="P2821" s="1"/>
      <c r="Q2821" s="1"/>
      <c r="R2821" s="1"/>
      <c r="S2821" s="1"/>
      <c r="T2821" s="1"/>
      <c r="U2821" s="1"/>
      <c r="V2821" s="1"/>
      <c r="W2821" s="1"/>
      <c r="X2821" s="1"/>
      <c r="Y2821" s="1"/>
      <c r="Z2821" s="1"/>
      <c r="AA2821" s="1"/>
      <c r="AB2821" s="1"/>
      <c r="AC2821" s="1"/>
      <c r="AD2821" s="1"/>
      <c r="AE2821" s="1"/>
      <c r="AF2821" s="1"/>
      <c r="AG2821" s="1"/>
      <c r="AH2821" s="1"/>
    </row>
    <row r="2822" ht="12.75" hidden="1" customHeight="1" outlineLevel="1">
      <c r="A2822" s="17">
        <v>41501.0</v>
      </c>
      <c r="B2822" s="1"/>
      <c r="C2822" s="1" t="s">
        <v>339</v>
      </c>
      <c r="D2822" s="74"/>
      <c r="E2822" s="67"/>
      <c r="F2822" s="75"/>
      <c r="G2822" s="67"/>
      <c r="H2822" s="68"/>
      <c r="I2822" s="76"/>
      <c r="J2822" s="67"/>
      <c r="K2822" s="7" t="s">
        <v>1163</v>
      </c>
      <c r="L2822" s="77"/>
      <c r="M2822" s="79"/>
      <c r="N2822" s="1"/>
      <c r="O2822" s="1"/>
      <c r="P2822" s="1"/>
      <c r="Q2822" s="1"/>
      <c r="R2822" s="1"/>
      <c r="S2822" s="1"/>
      <c r="T2822" s="1"/>
      <c r="U2822" s="1"/>
      <c r="V2822" s="1"/>
      <c r="W2822" s="1"/>
      <c r="X2822" s="1"/>
      <c r="Y2822" s="1"/>
      <c r="Z2822" s="1"/>
      <c r="AA2822" s="1"/>
      <c r="AB2822" s="1"/>
      <c r="AC2822" s="1"/>
      <c r="AD2822" s="1"/>
      <c r="AE2822" s="1"/>
      <c r="AF2822" s="1"/>
      <c r="AG2822" s="1"/>
      <c r="AH2822" s="1"/>
    </row>
    <row r="2823" ht="12.75" hidden="1" customHeight="1" outlineLevel="1">
      <c r="A2823" s="17">
        <v>41501.0</v>
      </c>
      <c r="B2823" s="1"/>
      <c r="C2823" s="1" t="s">
        <v>429</v>
      </c>
      <c r="D2823" s="74"/>
      <c r="E2823" s="67"/>
      <c r="F2823" s="75"/>
      <c r="G2823" s="67"/>
      <c r="H2823" s="68"/>
      <c r="I2823" s="76"/>
      <c r="J2823" s="67"/>
      <c r="K2823" s="7" t="s">
        <v>1156</v>
      </c>
      <c r="L2823" s="77"/>
      <c r="M2823" s="79"/>
      <c r="N2823" s="1"/>
      <c r="O2823" s="1"/>
      <c r="P2823" s="1"/>
      <c r="Q2823" s="1"/>
      <c r="R2823" s="1"/>
      <c r="S2823" s="1"/>
      <c r="T2823" s="1"/>
      <c r="U2823" s="1"/>
      <c r="V2823" s="1"/>
      <c r="W2823" s="1"/>
      <c r="X2823" s="1"/>
      <c r="Y2823" s="1"/>
      <c r="Z2823" s="1"/>
      <c r="AA2823" s="1"/>
      <c r="AB2823" s="1"/>
      <c r="AC2823" s="1"/>
      <c r="AD2823" s="1"/>
      <c r="AE2823" s="1"/>
      <c r="AF2823" s="1"/>
      <c r="AG2823" s="1"/>
      <c r="AH2823" s="1"/>
    </row>
    <row r="2824" ht="12.75" hidden="1" customHeight="1" outlineLevel="1">
      <c r="A2824" s="17">
        <v>41501.0</v>
      </c>
      <c r="B2824" s="1"/>
      <c r="C2824" s="1" t="s">
        <v>431</v>
      </c>
      <c r="D2824" s="74"/>
      <c r="E2824" s="67"/>
      <c r="F2824" s="75"/>
      <c r="G2824" s="67"/>
      <c r="H2824" s="68"/>
      <c r="I2824" s="76"/>
      <c r="J2824" s="67"/>
      <c r="K2824" s="7" t="s">
        <v>1126</v>
      </c>
      <c r="L2824" s="77"/>
      <c r="M2824" s="79"/>
      <c r="N2824" s="1"/>
      <c r="O2824" s="1"/>
      <c r="P2824" s="1"/>
      <c r="Q2824" s="1"/>
      <c r="R2824" s="1"/>
      <c r="S2824" s="1"/>
      <c r="T2824" s="1"/>
      <c r="U2824" s="1"/>
      <c r="V2824" s="1"/>
      <c r="W2824" s="1"/>
      <c r="X2824" s="1"/>
      <c r="Y2824" s="1"/>
      <c r="Z2824" s="1"/>
      <c r="AA2824" s="1"/>
      <c r="AB2824" s="1"/>
      <c r="AC2824" s="1"/>
      <c r="AD2824" s="1"/>
      <c r="AE2824" s="1"/>
      <c r="AF2824" s="1"/>
      <c r="AG2824" s="1"/>
      <c r="AH2824" s="1"/>
    </row>
    <row r="2825" ht="12.75" hidden="1" customHeight="1" outlineLevel="1">
      <c r="A2825" s="17">
        <v>41501.0</v>
      </c>
      <c r="B2825" s="1"/>
      <c r="C2825" s="1" t="s">
        <v>433</v>
      </c>
      <c r="D2825" s="74"/>
      <c r="E2825" s="67"/>
      <c r="F2825" s="75"/>
      <c r="G2825" s="67"/>
      <c r="H2825" s="68"/>
      <c r="I2825" s="76"/>
      <c r="J2825" s="67"/>
      <c r="K2825" s="7" t="s">
        <v>1103</v>
      </c>
      <c r="L2825" s="77"/>
      <c r="M2825" s="79"/>
      <c r="N2825" s="1"/>
      <c r="O2825" s="1"/>
      <c r="P2825" s="1"/>
      <c r="Q2825" s="1"/>
      <c r="R2825" s="1"/>
      <c r="S2825" s="1"/>
      <c r="T2825" s="1"/>
      <c r="U2825" s="1"/>
      <c r="V2825" s="1"/>
      <c r="W2825" s="1"/>
      <c r="X2825" s="1"/>
      <c r="Y2825" s="1"/>
      <c r="Z2825" s="1"/>
      <c r="AA2825" s="1"/>
      <c r="AB2825" s="1"/>
      <c r="AC2825" s="1"/>
      <c r="AD2825" s="1"/>
      <c r="AE2825" s="1"/>
      <c r="AF2825" s="1"/>
      <c r="AG2825" s="1"/>
      <c r="AH2825" s="1"/>
    </row>
    <row r="2826" ht="12.75" hidden="1" customHeight="1" outlineLevel="1">
      <c r="A2826" s="17">
        <v>41501.0</v>
      </c>
      <c r="B2826" s="1"/>
      <c r="C2826" s="1" t="s">
        <v>435</v>
      </c>
      <c r="D2826" s="74"/>
      <c r="E2826" s="67"/>
      <c r="F2826" s="75"/>
      <c r="G2826" s="67"/>
      <c r="H2826" s="68"/>
      <c r="I2826" s="76"/>
      <c r="J2826" s="67"/>
      <c r="K2826" s="7" t="s">
        <v>1104</v>
      </c>
      <c r="L2826" s="77"/>
      <c r="M2826" s="79"/>
      <c r="N2826" s="1"/>
      <c r="O2826" s="1"/>
      <c r="P2826" s="1"/>
      <c r="Q2826" s="1"/>
      <c r="R2826" s="1"/>
      <c r="S2826" s="1"/>
      <c r="T2826" s="1"/>
      <c r="U2826" s="1"/>
      <c r="V2826" s="1"/>
      <c r="W2826" s="1"/>
      <c r="X2826" s="1"/>
      <c r="Y2826" s="1"/>
      <c r="Z2826" s="1"/>
      <c r="AA2826" s="1"/>
      <c r="AB2826" s="1"/>
      <c r="AC2826" s="1"/>
      <c r="AD2826" s="1"/>
      <c r="AE2826" s="1"/>
      <c r="AF2826" s="1"/>
      <c r="AG2826" s="1"/>
      <c r="AH2826" s="1"/>
    </row>
    <row r="2827" ht="12.75" hidden="1" customHeight="1" outlineLevel="1">
      <c r="A2827" s="17">
        <v>41502.0</v>
      </c>
      <c r="B2827" s="1" t="s">
        <v>343</v>
      </c>
      <c r="C2827" s="1" t="s">
        <v>364</v>
      </c>
      <c r="D2827" s="74">
        <v>50.0</v>
      </c>
      <c r="E2827" s="67">
        <v>104.71</v>
      </c>
      <c r="F2827" s="75">
        <v>41502.4109837963</v>
      </c>
      <c r="G2827" s="67" t="s">
        <v>453</v>
      </c>
      <c r="H2827" s="68">
        <v>1.0</v>
      </c>
      <c r="I2827" s="76"/>
      <c r="J2827" s="67">
        <f t="shared" ref="J2827:J2830" si="200">IF(B2827="SLD",D2827*E2827,-D2827*E2827)-H2827</f>
        <v>-5236.5</v>
      </c>
      <c r="K2827" s="7"/>
      <c r="L2827" s="70"/>
      <c r="M2827" s="79"/>
      <c r="N2827" s="1"/>
      <c r="O2827" s="1"/>
      <c r="P2827" s="1"/>
      <c r="Q2827" s="1"/>
      <c r="R2827" s="1"/>
      <c r="S2827" s="1"/>
      <c r="T2827" s="1"/>
      <c r="U2827" s="1"/>
      <c r="V2827" s="1"/>
      <c r="W2827" s="1"/>
      <c r="X2827" s="1"/>
      <c r="Y2827" s="1"/>
      <c r="Z2827" s="1"/>
      <c r="AA2827" s="1"/>
      <c r="AB2827" s="1"/>
      <c r="AC2827" s="1"/>
      <c r="AD2827" s="1"/>
      <c r="AE2827" s="1"/>
      <c r="AF2827" s="1"/>
      <c r="AG2827" s="1"/>
      <c r="AH2827" s="1"/>
    </row>
    <row r="2828" ht="12.75" hidden="1" customHeight="1" outlineLevel="1">
      <c r="A2828" s="17">
        <v>41502.0</v>
      </c>
      <c r="B2828" s="1" t="s">
        <v>347</v>
      </c>
      <c r="C2828" s="1" t="s">
        <v>870</v>
      </c>
      <c r="D2828" s="74">
        <v>600.0</v>
      </c>
      <c r="E2828" s="67">
        <v>69.41</v>
      </c>
      <c r="F2828" s="75">
        <v>41502.42704861111</v>
      </c>
      <c r="G2828" s="67" t="s">
        <v>453</v>
      </c>
      <c r="H2828" s="68">
        <v>2.4</v>
      </c>
      <c r="I2828" s="76"/>
      <c r="J2828" s="67">
        <f t="shared" si="200"/>
        <v>41643.6</v>
      </c>
      <c r="K2828" s="7"/>
      <c r="L2828" s="70"/>
      <c r="M2828" s="79"/>
      <c r="N2828" s="1"/>
      <c r="O2828" s="1"/>
      <c r="P2828" s="1"/>
      <c r="Q2828" s="1"/>
      <c r="R2828" s="1"/>
      <c r="S2828" s="1"/>
      <c r="T2828" s="1"/>
      <c r="U2828" s="1"/>
      <c r="V2828" s="1"/>
      <c r="W2828" s="1"/>
      <c r="X2828" s="1"/>
      <c r="Y2828" s="1"/>
      <c r="Z2828" s="1"/>
      <c r="AA2828" s="1"/>
      <c r="AB2828" s="1"/>
      <c r="AC2828" s="1"/>
      <c r="AD2828" s="1"/>
      <c r="AE2828" s="1"/>
      <c r="AF2828" s="1"/>
      <c r="AG2828" s="1"/>
      <c r="AH2828" s="1"/>
    </row>
    <row r="2829" ht="12.75" hidden="1" customHeight="1" outlineLevel="1">
      <c r="A2829" s="17">
        <v>41502.0</v>
      </c>
      <c r="B2829" s="1" t="s">
        <v>343</v>
      </c>
      <c r="C2829" s="1" t="s">
        <v>344</v>
      </c>
      <c r="D2829" s="74">
        <v>200.0</v>
      </c>
      <c r="E2829" s="67">
        <v>47.89</v>
      </c>
      <c r="F2829" s="75">
        <v>41502.445335648146</v>
      </c>
      <c r="G2829" s="67" t="s">
        <v>453</v>
      </c>
      <c r="H2829" s="68">
        <v>1.0</v>
      </c>
      <c r="I2829" s="76"/>
      <c r="J2829" s="67">
        <f t="shared" si="200"/>
        <v>-9579</v>
      </c>
      <c r="K2829" s="7"/>
      <c r="L2829" s="70"/>
      <c r="M2829" s="79"/>
      <c r="N2829" s="1"/>
      <c r="O2829" s="1"/>
      <c r="P2829" s="1"/>
      <c r="Q2829" s="1"/>
      <c r="R2829" s="1"/>
      <c r="S2829" s="1"/>
      <c r="T2829" s="1"/>
      <c r="U2829" s="1"/>
      <c r="V2829" s="1"/>
      <c r="W2829" s="1"/>
      <c r="X2829" s="1"/>
      <c r="Y2829" s="1"/>
      <c r="Z2829" s="1"/>
      <c r="AA2829" s="1"/>
      <c r="AB2829" s="1"/>
      <c r="AC2829" s="1"/>
      <c r="AD2829" s="1"/>
      <c r="AE2829" s="1"/>
      <c r="AF2829" s="1"/>
      <c r="AG2829" s="1"/>
      <c r="AH2829" s="1"/>
    </row>
    <row r="2830" ht="12.75" hidden="1" customHeight="1" outlineLevel="1">
      <c r="A2830" s="17">
        <v>41502.0</v>
      </c>
      <c r="B2830" s="1" t="s">
        <v>343</v>
      </c>
      <c r="C2830" s="1" t="s">
        <v>870</v>
      </c>
      <c r="D2830" s="74">
        <v>600.0</v>
      </c>
      <c r="E2830" s="67">
        <v>69.78</v>
      </c>
      <c r="F2830" s="75">
        <v>41502.4952662037</v>
      </c>
      <c r="G2830" s="67" t="s">
        <v>453</v>
      </c>
      <c r="H2830" s="68">
        <v>3.0</v>
      </c>
      <c r="I2830" s="76"/>
      <c r="J2830" s="67">
        <f t="shared" si="200"/>
        <v>-41871</v>
      </c>
      <c r="K2830" s="7"/>
      <c r="L2830" s="70"/>
      <c r="M2830" s="79"/>
      <c r="N2830" s="1"/>
      <c r="O2830" s="1"/>
      <c r="P2830" s="1"/>
      <c r="Q2830" s="1"/>
      <c r="R2830" s="1"/>
      <c r="S2830" s="1"/>
      <c r="T2830" s="1"/>
      <c r="U2830" s="1"/>
      <c r="V2830" s="1"/>
      <c r="W2830" s="1"/>
      <c r="X2830" s="1"/>
      <c r="Y2830" s="1"/>
      <c r="Z2830" s="1"/>
      <c r="AA2830" s="1"/>
      <c r="AB2830" s="1"/>
      <c r="AC2830" s="1"/>
      <c r="AD2830" s="1"/>
      <c r="AE2830" s="1"/>
      <c r="AF2830" s="1"/>
      <c r="AG2830" s="1"/>
      <c r="AH2830" s="1"/>
    </row>
    <row r="2831" ht="12.75" hidden="1" customHeight="1" outlineLevel="1">
      <c r="A2831" s="17">
        <v>41502.0</v>
      </c>
      <c r="B2831" s="1"/>
      <c r="C2831" s="1" t="s">
        <v>339</v>
      </c>
      <c r="D2831" s="74"/>
      <c r="E2831" s="67"/>
      <c r="F2831" s="75"/>
      <c r="G2831" s="67"/>
      <c r="H2831" s="68"/>
      <c r="I2831" s="76"/>
      <c r="J2831" s="67"/>
      <c r="K2831" s="7" t="s">
        <v>1165</v>
      </c>
      <c r="L2831" s="77"/>
      <c r="M2831" s="79"/>
      <c r="N2831" s="1"/>
      <c r="O2831" s="1"/>
      <c r="P2831" s="1"/>
      <c r="Q2831" s="1"/>
      <c r="R2831" s="1"/>
      <c r="S2831" s="1"/>
      <c r="T2831" s="1"/>
      <c r="U2831" s="1"/>
      <c r="V2831" s="1"/>
      <c r="W2831" s="1"/>
      <c r="X2831" s="1"/>
      <c r="Y2831" s="1"/>
      <c r="Z2831" s="1"/>
      <c r="AA2831" s="1"/>
      <c r="AB2831" s="1"/>
      <c r="AC2831" s="1"/>
      <c r="AD2831" s="1"/>
      <c r="AE2831" s="1"/>
      <c r="AF2831" s="1"/>
      <c r="AG2831" s="1"/>
      <c r="AH2831" s="1"/>
    </row>
    <row r="2832" ht="12.75" hidden="1" customHeight="1" outlineLevel="1">
      <c r="A2832" s="17">
        <v>41502.0</v>
      </c>
      <c r="B2832" s="1"/>
      <c r="C2832" s="1" t="s">
        <v>429</v>
      </c>
      <c r="D2832" s="74"/>
      <c r="E2832" s="67"/>
      <c r="F2832" s="75"/>
      <c r="G2832" s="67"/>
      <c r="H2832" s="68"/>
      <c r="I2832" s="76"/>
      <c r="J2832" s="67"/>
      <c r="K2832" s="7" t="s">
        <v>1156</v>
      </c>
      <c r="L2832" s="77"/>
      <c r="M2832" s="79"/>
      <c r="N2832" s="1"/>
      <c r="O2832" s="1"/>
      <c r="P2832" s="1"/>
      <c r="Q2832" s="1"/>
      <c r="R2832" s="1"/>
      <c r="S2832" s="1"/>
      <c r="T2832" s="1"/>
      <c r="U2832" s="1"/>
      <c r="V2832" s="1"/>
      <c r="W2832" s="1"/>
      <c r="X2832" s="1"/>
      <c r="Y2832" s="1"/>
      <c r="Z2832" s="1"/>
      <c r="AA2832" s="1"/>
      <c r="AB2832" s="1"/>
      <c r="AC2832" s="1"/>
      <c r="AD2832" s="1"/>
      <c r="AE2832" s="1"/>
      <c r="AF2832" s="1"/>
      <c r="AG2832" s="1"/>
      <c r="AH2832" s="1"/>
    </row>
    <row r="2833" ht="12.75" hidden="1" customHeight="1" outlineLevel="1">
      <c r="A2833" s="17">
        <v>41502.0</v>
      </c>
      <c r="B2833" s="1"/>
      <c r="C2833" s="1" t="s">
        <v>431</v>
      </c>
      <c r="D2833" s="74"/>
      <c r="E2833" s="67"/>
      <c r="F2833" s="75"/>
      <c r="G2833" s="67"/>
      <c r="H2833" s="68"/>
      <c r="I2833" s="76"/>
      <c r="J2833" s="67"/>
      <c r="K2833" s="7" t="s">
        <v>1126</v>
      </c>
      <c r="L2833" s="77"/>
      <c r="M2833" s="79"/>
      <c r="N2833" s="1"/>
      <c r="O2833" s="1"/>
      <c r="P2833" s="1"/>
      <c r="Q2833" s="1"/>
      <c r="R2833" s="1"/>
      <c r="S2833" s="1"/>
      <c r="T2833" s="1"/>
      <c r="U2833" s="1"/>
      <c r="V2833" s="1"/>
      <c r="W2833" s="1"/>
      <c r="X2833" s="1"/>
      <c r="Y2833" s="1"/>
      <c r="Z2833" s="1"/>
      <c r="AA2833" s="1"/>
      <c r="AB2833" s="1"/>
      <c r="AC2833" s="1"/>
      <c r="AD2833" s="1"/>
      <c r="AE2833" s="1"/>
      <c r="AF2833" s="1"/>
      <c r="AG2833" s="1"/>
      <c r="AH2833" s="1"/>
    </row>
    <row r="2834" ht="12.75" hidden="1" customHeight="1" outlineLevel="1">
      <c r="A2834" s="17">
        <v>41502.0</v>
      </c>
      <c r="B2834" s="1"/>
      <c r="C2834" s="1" t="s">
        <v>433</v>
      </c>
      <c r="D2834" s="74"/>
      <c r="E2834" s="67"/>
      <c r="F2834" s="75"/>
      <c r="G2834" s="67"/>
      <c r="H2834" s="68"/>
      <c r="I2834" s="76"/>
      <c r="J2834" s="67"/>
      <c r="K2834" s="7" t="s">
        <v>1103</v>
      </c>
      <c r="L2834" s="77"/>
      <c r="M2834" s="79"/>
      <c r="N2834" s="1"/>
      <c r="O2834" s="1"/>
      <c r="P2834" s="1"/>
      <c r="Q2834" s="1"/>
      <c r="R2834" s="1"/>
      <c r="S2834" s="1"/>
      <c r="T2834" s="1"/>
      <c r="U2834" s="1"/>
      <c r="V2834" s="1"/>
      <c r="W2834" s="1"/>
      <c r="X2834" s="1"/>
      <c r="Y2834" s="1"/>
      <c r="Z2834" s="1"/>
      <c r="AA2834" s="1"/>
      <c r="AB2834" s="1"/>
      <c r="AC2834" s="1"/>
      <c r="AD2834" s="1"/>
      <c r="AE2834" s="1"/>
      <c r="AF2834" s="1"/>
      <c r="AG2834" s="1"/>
      <c r="AH2834" s="1"/>
    </row>
    <row r="2835" ht="12.75" hidden="1" customHeight="1" outlineLevel="1">
      <c r="A2835" s="17">
        <v>41502.0</v>
      </c>
      <c r="B2835" s="1"/>
      <c r="C2835" s="1" t="s">
        <v>435</v>
      </c>
      <c r="D2835" s="74"/>
      <c r="E2835" s="67"/>
      <c r="F2835" s="75"/>
      <c r="G2835" s="67"/>
      <c r="H2835" s="68"/>
      <c r="I2835" s="76"/>
      <c r="J2835" s="67"/>
      <c r="K2835" s="7" t="s">
        <v>1104</v>
      </c>
      <c r="L2835" s="77"/>
      <c r="M2835" s="79"/>
      <c r="N2835" s="1"/>
      <c r="O2835" s="1"/>
      <c r="P2835" s="1"/>
      <c r="Q2835" s="1"/>
      <c r="R2835" s="1"/>
      <c r="S2835" s="1"/>
      <c r="T2835" s="1"/>
      <c r="U2835" s="1"/>
      <c r="V2835" s="1"/>
      <c r="W2835" s="1"/>
      <c r="X2835" s="1"/>
      <c r="Y2835" s="1"/>
      <c r="Z2835" s="1"/>
      <c r="AA2835" s="1"/>
      <c r="AB2835" s="1"/>
      <c r="AC2835" s="1"/>
      <c r="AD2835" s="1"/>
      <c r="AE2835" s="1"/>
      <c r="AF2835" s="1"/>
      <c r="AG2835" s="1"/>
      <c r="AH2835" s="1"/>
    </row>
    <row r="2836" ht="12.75" hidden="1" customHeight="1" outlineLevel="1">
      <c r="A2836" s="17">
        <v>41505.0</v>
      </c>
      <c r="B2836" s="1" t="s">
        <v>347</v>
      </c>
      <c r="C2836" s="1" t="s">
        <v>1118</v>
      </c>
      <c r="D2836" s="74">
        <v>770.0</v>
      </c>
      <c r="E2836" s="67">
        <v>39.331</v>
      </c>
      <c r="F2836" s="75">
        <v>0.6102314814814814</v>
      </c>
      <c r="G2836" s="67" t="s">
        <v>453</v>
      </c>
      <c r="H2836" s="68">
        <v>3.28</v>
      </c>
      <c r="I2836" s="76"/>
      <c r="J2836" s="67">
        <f t="shared" ref="J2836:J2841" si="201">IF(B2836="SLD",D2836*E2836,-D2836*E2836)-H2836</f>
        <v>30281.59</v>
      </c>
      <c r="K2836" s="7"/>
      <c r="L2836" s="70"/>
      <c r="M2836" s="79"/>
      <c r="N2836" s="1"/>
      <c r="O2836" s="1"/>
      <c r="P2836" s="1"/>
      <c r="Q2836" s="1"/>
      <c r="R2836" s="1"/>
      <c r="S2836" s="1"/>
      <c r="T2836" s="1"/>
      <c r="U2836" s="1"/>
      <c r="V2836" s="1"/>
      <c r="W2836" s="1"/>
      <c r="X2836" s="1"/>
      <c r="Y2836" s="1"/>
      <c r="Z2836" s="1"/>
      <c r="AA2836" s="1"/>
      <c r="AB2836" s="1"/>
      <c r="AC2836" s="1"/>
      <c r="AD2836" s="1"/>
      <c r="AE2836" s="1"/>
      <c r="AF2836" s="1"/>
      <c r="AG2836" s="1"/>
      <c r="AH2836" s="1"/>
    </row>
    <row r="2837" ht="12.75" hidden="1" customHeight="1" outlineLevel="1">
      <c r="A2837" s="17">
        <v>41505.0</v>
      </c>
      <c r="B2837" s="1" t="s">
        <v>347</v>
      </c>
      <c r="C2837" s="1" t="s">
        <v>1076</v>
      </c>
      <c r="D2837" s="74">
        <v>500.0</v>
      </c>
      <c r="E2837" s="67">
        <v>48.148</v>
      </c>
      <c r="F2837" s="75">
        <v>0.6110300925925926</v>
      </c>
      <c r="G2837" s="67" t="s">
        <v>453</v>
      </c>
      <c r="H2837" s="68">
        <v>2.9</v>
      </c>
      <c r="I2837" s="76"/>
      <c r="J2837" s="67">
        <f t="shared" si="201"/>
        <v>24071.1</v>
      </c>
      <c r="K2837" s="7"/>
      <c r="L2837" s="70"/>
      <c r="M2837" s="79"/>
      <c r="N2837" s="1"/>
      <c r="O2837" s="1"/>
      <c r="P2837" s="1"/>
      <c r="Q2837" s="1"/>
      <c r="R2837" s="1"/>
      <c r="S2837" s="1"/>
      <c r="T2837" s="1"/>
      <c r="U2837" s="1"/>
      <c r="V2837" s="1"/>
      <c r="W2837" s="1"/>
      <c r="X2837" s="1"/>
      <c r="Y2837" s="1"/>
      <c r="Z2837" s="1"/>
      <c r="AA2837" s="1"/>
      <c r="AB2837" s="1"/>
      <c r="AC2837" s="1"/>
      <c r="AD2837" s="1"/>
      <c r="AE2837" s="1"/>
      <c r="AF2837" s="1"/>
      <c r="AG2837" s="1"/>
      <c r="AH2837" s="1"/>
    </row>
    <row r="2838" ht="12.75" hidden="1" customHeight="1" outlineLevel="1">
      <c r="A2838" s="17">
        <v>41505.0</v>
      </c>
      <c r="B2838" s="1" t="s">
        <v>347</v>
      </c>
      <c r="C2838" s="1" t="s">
        <v>870</v>
      </c>
      <c r="D2838" s="74">
        <v>600.0</v>
      </c>
      <c r="E2838" s="67">
        <v>69.4</v>
      </c>
      <c r="F2838" s="75">
        <v>0.6430555555555556</v>
      </c>
      <c r="G2838" s="67" t="s">
        <v>453</v>
      </c>
      <c r="H2838" s="68">
        <v>2.4</v>
      </c>
      <c r="I2838" s="76"/>
      <c r="J2838" s="67">
        <f t="shared" si="201"/>
        <v>41637.6</v>
      </c>
      <c r="K2838" s="7" t="s">
        <v>1166</v>
      </c>
      <c r="L2838" s="70"/>
      <c r="M2838" s="79"/>
      <c r="N2838" s="1"/>
      <c r="O2838" s="1"/>
      <c r="P2838" s="1"/>
      <c r="Q2838" s="1"/>
      <c r="R2838" s="1"/>
      <c r="S2838" s="1"/>
      <c r="T2838" s="1"/>
      <c r="U2838" s="1"/>
      <c r="V2838" s="1"/>
      <c r="W2838" s="1"/>
      <c r="X2838" s="1"/>
      <c r="Y2838" s="1"/>
      <c r="Z2838" s="1"/>
      <c r="AA2838" s="1"/>
      <c r="AB2838" s="1"/>
      <c r="AC2838" s="1"/>
      <c r="AD2838" s="1"/>
      <c r="AE2838" s="1"/>
      <c r="AF2838" s="1"/>
      <c r="AG2838" s="1"/>
      <c r="AH2838" s="1"/>
    </row>
    <row r="2839" ht="12.75" hidden="1" customHeight="1" outlineLevel="1">
      <c r="A2839" s="17">
        <v>41505.0</v>
      </c>
      <c r="B2839" s="1" t="s">
        <v>347</v>
      </c>
      <c r="C2839" s="1" t="s">
        <v>857</v>
      </c>
      <c r="D2839" s="74">
        <v>4400.0</v>
      </c>
      <c r="E2839" s="67">
        <v>5.13</v>
      </c>
      <c r="F2839" s="75">
        <v>0.6444560185185185</v>
      </c>
      <c r="G2839" s="67" t="s">
        <v>453</v>
      </c>
      <c r="H2839" s="68">
        <v>17.6</v>
      </c>
      <c r="I2839" s="76"/>
      <c r="J2839" s="67">
        <f t="shared" si="201"/>
        <v>22554.4</v>
      </c>
      <c r="K2839" s="7" t="s">
        <v>1166</v>
      </c>
      <c r="L2839" s="70"/>
      <c r="M2839" s="79"/>
      <c r="N2839" s="1"/>
      <c r="O2839" s="1"/>
      <c r="P2839" s="1"/>
      <c r="Q2839" s="1"/>
      <c r="R2839" s="1"/>
      <c r="S2839" s="1"/>
      <c r="T2839" s="1"/>
      <c r="U2839" s="1"/>
      <c r="V2839" s="1"/>
      <c r="W2839" s="1"/>
      <c r="X2839" s="1"/>
      <c r="Y2839" s="1"/>
      <c r="Z2839" s="1"/>
      <c r="AA2839" s="1"/>
      <c r="AB2839" s="1"/>
      <c r="AC2839" s="1"/>
      <c r="AD2839" s="1"/>
      <c r="AE2839" s="1"/>
      <c r="AF2839" s="1"/>
      <c r="AG2839" s="1"/>
      <c r="AH2839" s="1"/>
    </row>
    <row r="2840" ht="12.75" hidden="1" customHeight="1" outlineLevel="1">
      <c r="A2840" s="17">
        <v>41505.0</v>
      </c>
      <c r="B2840" s="1" t="s">
        <v>347</v>
      </c>
      <c r="C2840" s="1" t="s">
        <v>1100</v>
      </c>
      <c r="D2840" s="74">
        <v>4400.0</v>
      </c>
      <c r="E2840" s="67">
        <v>6.11</v>
      </c>
      <c r="F2840" s="75">
        <v>0.6446064814814815</v>
      </c>
      <c r="G2840" s="67" t="s">
        <v>453</v>
      </c>
      <c r="H2840" s="68">
        <v>17.6</v>
      </c>
      <c r="I2840" s="76"/>
      <c r="J2840" s="67">
        <f t="shared" si="201"/>
        <v>26866.4</v>
      </c>
      <c r="K2840" s="7" t="s">
        <v>1166</v>
      </c>
      <c r="L2840" s="70"/>
      <c r="M2840" s="79"/>
      <c r="N2840" s="1"/>
      <c r="O2840" s="1"/>
      <c r="P2840" s="1"/>
      <c r="Q2840" s="1"/>
      <c r="R2840" s="1"/>
      <c r="S2840" s="1"/>
      <c r="T2840" s="1"/>
      <c r="U2840" s="1"/>
      <c r="V2840" s="1"/>
      <c r="W2840" s="1"/>
      <c r="X2840" s="1"/>
      <c r="Y2840" s="1"/>
      <c r="Z2840" s="1"/>
      <c r="AA2840" s="1"/>
      <c r="AB2840" s="1"/>
      <c r="AC2840" s="1"/>
      <c r="AD2840" s="1"/>
      <c r="AE2840" s="1"/>
      <c r="AF2840" s="1"/>
      <c r="AG2840" s="1"/>
      <c r="AH2840" s="1"/>
    </row>
    <row r="2841" ht="12.75" hidden="1" customHeight="1" outlineLevel="1">
      <c r="A2841" s="17">
        <v>41505.0</v>
      </c>
      <c r="B2841" s="1" t="s">
        <v>347</v>
      </c>
      <c r="C2841" s="1" t="s">
        <v>364</v>
      </c>
      <c r="D2841" s="74">
        <v>100.0</v>
      </c>
      <c r="E2841" s="67">
        <v>101.1</v>
      </c>
      <c r="F2841" s="75">
        <v>0.6554398148148148</v>
      </c>
      <c r="G2841" s="67" t="s">
        <v>453</v>
      </c>
      <c r="H2841" s="68">
        <v>1.0</v>
      </c>
      <c r="I2841" s="76"/>
      <c r="J2841" s="67">
        <f t="shared" si="201"/>
        <v>10109</v>
      </c>
      <c r="K2841" s="7" t="s">
        <v>1166</v>
      </c>
      <c r="L2841" s="70"/>
      <c r="M2841" s="79"/>
      <c r="N2841" s="1"/>
      <c r="O2841" s="1"/>
      <c r="P2841" s="1"/>
      <c r="Q2841" s="1"/>
      <c r="R2841" s="1"/>
      <c r="S2841" s="1"/>
      <c r="T2841" s="1"/>
      <c r="U2841" s="1"/>
      <c r="V2841" s="1"/>
      <c r="W2841" s="1"/>
      <c r="X2841" s="1"/>
      <c r="Y2841" s="1"/>
      <c r="Z2841" s="1"/>
      <c r="AA2841" s="1"/>
      <c r="AB2841" s="1"/>
      <c r="AC2841" s="1"/>
      <c r="AD2841" s="1"/>
      <c r="AE2841" s="1"/>
      <c r="AF2841" s="1"/>
      <c r="AG2841" s="1"/>
      <c r="AH2841" s="1"/>
    </row>
    <row r="2842" ht="12.75" hidden="1" customHeight="1" outlineLevel="1">
      <c r="A2842" s="17">
        <v>41505.0</v>
      </c>
      <c r="B2842" s="1"/>
      <c r="C2842" s="1" t="s">
        <v>339</v>
      </c>
      <c r="D2842" s="74"/>
      <c r="E2842" s="67"/>
      <c r="F2842" s="75"/>
      <c r="G2842" s="67"/>
      <c r="H2842" s="68"/>
      <c r="I2842" s="76"/>
      <c r="J2842" s="67"/>
      <c r="K2842" s="7" t="s">
        <v>1168</v>
      </c>
      <c r="L2842" s="77"/>
      <c r="M2842" s="79"/>
      <c r="N2842" s="1"/>
      <c r="O2842" s="1"/>
      <c r="P2842" s="1"/>
      <c r="Q2842" s="1"/>
      <c r="R2842" s="1"/>
      <c r="S2842" s="1"/>
      <c r="T2842" s="1"/>
      <c r="U2842" s="1"/>
      <c r="V2842" s="1"/>
      <c r="W2842" s="1"/>
      <c r="X2842" s="1"/>
      <c r="Y2842" s="1"/>
      <c r="Z2842" s="1"/>
      <c r="AA2842" s="1"/>
      <c r="AB2842" s="1"/>
      <c r="AC2842" s="1"/>
      <c r="AD2842" s="1"/>
      <c r="AE2842" s="1"/>
      <c r="AF2842" s="1"/>
      <c r="AG2842" s="1"/>
      <c r="AH2842" s="1"/>
    </row>
    <row r="2843" ht="12.75" hidden="1" customHeight="1" outlineLevel="1">
      <c r="A2843" s="17">
        <v>41505.0</v>
      </c>
      <c r="B2843" s="1"/>
      <c r="C2843" s="1" t="s">
        <v>429</v>
      </c>
      <c r="D2843" s="74"/>
      <c r="E2843" s="67"/>
      <c r="F2843" s="75"/>
      <c r="G2843" s="67"/>
      <c r="H2843" s="68"/>
      <c r="I2843" s="76"/>
      <c r="J2843" s="67"/>
      <c r="K2843" s="7" t="s">
        <v>1156</v>
      </c>
      <c r="L2843" s="77"/>
      <c r="M2843" s="79"/>
      <c r="N2843" s="1"/>
      <c r="O2843" s="1"/>
      <c r="P2843" s="1"/>
      <c r="Q2843" s="1"/>
      <c r="R2843" s="1"/>
      <c r="S2843" s="1"/>
      <c r="T2843" s="1"/>
      <c r="U2843" s="1"/>
      <c r="V2843" s="1"/>
      <c r="W2843" s="1"/>
      <c r="X2843" s="1"/>
      <c r="Y2843" s="1"/>
      <c r="Z2843" s="1"/>
      <c r="AA2843" s="1"/>
      <c r="AB2843" s="1"/>
      <c r="AC2843" s="1"/>
      <c r="AD2843" s="1"/>
      <c r="AE2843" s="1"/>
      <c r="AF2843" s="1"/>
      <c r="AG2843" s="1"/>
      <c r="AH2843" s="1"/>
    </row>
    <row r="2844" ht="12.75" hidden="1" customHeight="1" outlineLevel="1">
      <c r="A2844" s="17">
        <v>41505.0</v>
      </c>
      <c r="B2844" s="1"/>
      <c r="C2844" s="1" t="s">
        <v>431</v>
      </c>
      <c r="D2844" s="74"/>
      <c r="E2844" s="67"/>
      <c r="F2844" s="75"/>
      <c r="G2844" s="67"/>
      <c r="H2844" s="68"/>
      <c r="I2844" s="76"/>
      <c r="J2844" s="67"/>
      <c r="K2844" s="7" t="s">
        <v>1126</v>
      </c>
      <c r="L2844" s="77"/>
      <c r="M2844" s="79"/>
      <c r="N2844" s="1"/>
      <c r="O2844" s="1"/>
      <c r="P2844" s="1"/>
      <c r="Q2844" s="1"/>
      <c r="R2844" s="1"/>
      <c r="S2844" s="1"/>
      <c r="T2844" s="1"/>
      <c r="U2844" s="1"/>
      <c r="V2844" s="1"/>
      <c r="W2844" s="1"/>
      <c r="X2844" s="1"/>
      <c r="Y2844" s="1"/>
      <c r="Z2844" s="1"/>
      <c r="AA2844" s="1"/>
      <c r="AB2844" s="1"/>
      <c r="AC2844" s="1"/>
      <c r="AD2844" s="1"/>
      <c r="AE2844" s="1"/>
      <c r="AF2844" s="1"/>
      <c r="AG2844" s="1"/>
      <c r="AH2844" s="1"/>
    </row>
    <row r="2845" ht="12.75" hidden="1" customHeight="1" outlineLevel="1">
      <c r="A2845" s="17">
        <v>41505.0</v>
      </c>
      <c r="B2845" s="1"/>
      <c r="C2845" s="1" t="s">
        <v>433</v>
      </c>
      <c r="D2845" s="74"/>
      <c r="E2845" s="67"/>
      <c r="F2845" s="75"/>
      <c r="G2845" s="67"/>
      <c r="H2845" s="68"/>
      <c r="I2845" s="76"/>
      <c r="J2845" s="67"/>
      <c r="K2845" s="7" t="s">
        <v>1103</v>
      </c>
      <c r="L2845" s="77"/>
      <c r="M2845" s="79"/>
      <c r="N2845" s="1"/>
      <c r="O2845" s="1"/>
      <c r="P2845" s="1"/>
      <c r="Q2845" s="1"/>
      <c r="R2845" s="1"/>
      <c r="S2845" s="1"/>
      <c r="T2845" s="1"/>
      <c r="U2845" s="1"/>
      <c r="V2845" s="1"/>
      <c r="W2845" s="1"/>
      <c r="X2845" s="1"/>
      <c r="Y2845" s="1"/>
      <c r="Z2845" s="1"/>
      <c r="AA2845" s="1"/>
      <c r="AB2845" s="1"/>
      <c r="AC2845" s="1"/>
      <c r="AD2845" s="1"/>
      <c r="AE2845" s="1"/>
      <c r="AF2845" s="1"/>
      <c r="AG2845" s="1"/>
      <c r="AH2845" s="1"/>
    </row>
    <row r="2846" ht="12.75" hidden="1" customHeight="1" outlineLevel="1">
      <c r="A2846" s="17">
        <v>41505.0</v>
      </c>
      <c r="B2846" s="1"/>
      <c r="C2846" s="1" t="s">
        <v>435</v>
      </c>
      <c r="D2846" s="74"/>
      <c r="E2846" s="67"/>
      <c r="F2846" s="75"/>
      <c r="G2846" s="67"/>
      <c r="H2846" s="68"/>
      <c r="I2846" s="76"/>
      <c r="J2846" s="67"/>
      <c r="K2846" s="7" t="s">
        <v>1104</v>
      </c>
      <c r="L2846" s="77"/>
      <c r="M2846" s="79"/>
      <c r="N2846" s="1"/>
      <c r="O2846" s="1"/>
      <c r="P2846" s="1"/>
      <c r="Q2846" s="1"/>
      <c r="R2846" s="1"/>
      <c r="S2846" s="1"/>
      <c r="T2846" s="1"/>
      <c r="U2846" s="1"/>
      <c r="V2846" s="1"/>
      <c r="W2846" s="1"/>
      <c r="X2846" s="1"/>
      <c r="Y2846" s="1"/>
      <c r="Z2846" s="1"/>
      <c r="AA2846" s="1"/>
      <c r="AB2846" s="1"/>
      <c r="AC2846" s="1"/>
      <c r="AD2846" s="1"/>
      <c r="AE2846" s="1"/>
      <c r="AF2846" s="1"/>
      <c r="AG2846" s="1"/>
      <c r="AH2846" s="1"/>
    </row>
    <row r="2847" ht="12.75" hidden="1" customHeight="1" outlineLevel="1">
      <c r="A2847" s="17">
        <v>41506.0</v>
      </c>
      <c r="B2847" s="1" t="s">
        <v>347</v>
      </c>
      <c r="C2847" s="1" t="s">
        <v>1112</v>
      </c>
      <c r="D2847" s="74">
        <v>400.0</v>
      </c>
      <c r="E2847" s="67">
        <v>70.73</v>
      </c>
      <c r="F2847" s="75">
        <v>0.5234606481481482</v>
      </c>
      <c r="G2847" s="67" t="s">
        <v>453</v>
      </c>
      <c r="H2847" s="68">
        <v>1.7</v>
      </c>
      <c r="I2847" s="76"/>
      <c r="J2847" s="67">
        <f t="shared" ref="J2847:J2852" si="202">IF(B2847="SLD",D2847*E2847,-D2847*E2847)-H2847</f>
        <v>28290.3</v>
      </c>
      <c r="K2847" s="7"/>
      <c r="L2847" s="70"/>
      <c r="M2847" s="79"/>
      <c r="N2847" s="1"/>
      <c r="O2847" s="1"/>
      <c r="P2847" s="1"/>
      <c r="Q2847" s="1"/>
      <c r="R2847" s="1"/>
      <c r="S2847" s="1"/>
      <c r="T2847" s="1"/>
      <c r="U2847" s="1"/>
      <c r="V2847" s="1"/>
      <c r="W2847" s="1"/>
      <c r="X2847" s="1"/>
      <c r="Y2847" s="1"/>
      <c r="Z2847" s="1"/>
      <c r="AA2847" s="1"/>
      <c r="AB2847" s="1"/>
      <c r="AC2847" s="1"/>
      <c r="AD2847" s="1"/>
      <c r="AE2847" s="1"/>
      <c r="AF2847" s="1"/>
      <c r="AG2847" s="1"/>
      <c r="AH2847" s="1"/>
    </row>
    <row r="2848" ht="12.75" hidden="1" customHeight="1" outlineLevel="1">
      <c r="A2848" s="17">
        <v>41506.0</v>
      </c>
      <c r="B2848" s="1" t="s">
        <v>343</v>
      </c>
      <c r="C2848" s="1" t="s">
        <v>364</v>
      </c>
      <c r="D2848" s="74">
        <v>100.0</v>
      </c>
      <c r="E2848" s="67">
        <v>104.81</v>
      </c>
      <c r="F2848" s="75">
        <v>0.5704861111111111</v>
      </c>
      <c r="G2848" s="67" t="s">
        <v>453</v>
      </c>
      <c r="H2848" s="68">
        <v>1.0</v>
      </c>
      <c r="I2848" s="76"/>
      <c r="J2848" s="67">
        <f t="shared" si="202"/>
        <v>-10482</v>
      </c>
      <c r="K2848" s="7"/>
      <c r="L2848" s="70"/>
      <c r="M2848" s="79"/>
      <c r="N2848" s="1"/>
      <c r="O2848" s="1"/>
      <c r="P2848" s="1"/>
      <c r="Q2848" s="1"/>
      <c r="R2848" s="1"/>
      <c r="S2848" s="1"/>
      <c r="T2848" s="1"/>
      <c r="U2848" s="1"/>
      <c r="V2848" s="1"/>
      <c r="W2848" s="1"/>
      <c r="X2848" s="1"/>
      <c r="Y2848" s="1"/>
      <c r="Z2848" s="1"/>
      <c r="AA2848" s="1"/>
      <c r="AB2848" s="1"/>
      <c r="AC2848" s="1"/>
      <c r="AD2848" s="1"/>
      <c r="AE2848" s="1"/>
      <c r="AF2848" s="1"/>
      <c r="AG2848" s="1"/>
      <c r="AH2848" s="1"/>
    </row>
    <row r="2849" ht="12.75" hidden="1" customHeight="1" outlineLevel="1">
      <c r="A2849" s="17">
        <v>41506.0</v>
      </c>
      <c r="B2849" s="1" t="s">
        <v>343</v>
      </c>
      <c r="C2849" s="1" t="s">
        <v>1060</v>
      </c>
      <c r="D2849" s="74">
        <v>200.0</v>
      </c>
      <c r="E2849" s="67">
        <v>31.12</v>
      </c>
      <c r="F2849" s="75">
        <v>0.5776273148148149</v>
      </c>
      <c r="G2849" s="67" t="s">
        <v>453</v>
      </c>
      <c r="H2849" s="68">
        <v>1.0</v>
      </c>
      <c r="I2849" s="76"/>
      <c r="J2849" s="67">
        <f t="shared" si="202"/>
        <v>-6225</v>
      </c>
      <c r="K2849" s="7"/>
      <c r="L2849" s="70"/>
      <c r="M2849" s="79"/>
      <c r="N2849" s="1"/>
      <c r="O2849" s="1"/>
      <c r="P2849" s="1"/>
      <c r="Q2849" s="1"/>
      <c r="R2849" s="1"/>
      <c r="S2849" s="1"/>
      <c r="T2849" s="1"/>
      <c r="U2849" s="1"/>
      <c r="V2849" s="1"/>
      <c r="W2849" s="1"/>
      <c r="X2849" s="1"/>
      <c r="Y2849" s="1"/>
      <c r="Z2849" s="1"/>
      <c r="AA2849" s="1"/>
      <c r="AB2849" s="1"/>
      <c r="AC2849" s="1"/>
      <c r="AD2849" s="1"/>
      <c r="AE2849" s="1"/>
      <c r="AF2849" s="1"/>
      <c r="AG2849" s="1"/>
      <c r="AH2849" s="1"/>
    </row>
    <row r="2850" ht="12.75" hidden="1" customHeight="1" outlineLevel="1">
      <c r="A2850" s="17">
        <v>41506.0</v>
      </c>
      <c r="B2850" s="1" t="s">
        <v>343</v>
      </c>
      <c r="C2850" s="1" t="s">
        <v>1044</v>
      </c>
      <c r="D2850" s="74">
        <v>1000.0</v>
      </c>
      <c r="E2850" s="67">
        <v>30.39</v>
      </c>
      <c r="F2850" s="75">
        <v>0.5800925925925926</v>
      </c>
      <c r="G2850" s="67" t="s">
        <v>453</v>
      </c>
      <c r="H2850" s="68">
        <v>4.9</v>
      </c>
      <c r="I2850" s="76"/>
      <c r="J2850" s="67">
        <f t="shared" si="202"/>
        <v>-30394.9</v>
      </c>
      <c r="K2850" s="7"/>
      <c r="L2850" s="70"/>
      <c r="M2850" s="79"/>
      <c r="N2850" s="1"/>
      <c r="O2850" s="1"/>
      <c r="P2850" s="1"/>
      <c r="Q2850" s="1"/>
      <c r="R2850" s="1"/>
      <c r="S2850" s="1"/>
      <c r="T2850" s="1"/>
      <c r="U2850" s="1"/>
      <c r="V2850" s="1"/>
      <c r="W2850" s="1"/>
      <c r="X2850" s="1"/>
      <c r="Y2850" s="1"/>
      <c r="Z2850" s="1"/>
      <c r="AA2850" s="1"/>
      <c r="AB2850" s="1"/>
      <c r="AC2850" s="1"/>
      <c r="AD2850" s="1"/>
      <c r="AE2850" s="1"/>
      <c r="AF2850" s="1"/>
      <c r="AG2850" s="1"/>
      <c r="AH2850" s="1"/>
    </row>
    <row r="2851" ht="12.75" hidden="1" customHeight="1" outlineLevel="1">
      <c r="A2851" s="17">
        <v>41506.0</v>
      </c>
      <c r="B2851" s="1" t="s">
        <v>343</v>
      </c>
      <c r="C2851" s="1" t="s">
        <v>784</v>
      </c>
      <c r="D2851" s="74">
        <v>1800.0</v>
      </c>
      <c r="E2851" s="67">
        <v>15.01</v>
      </c>
      <c r="F2851" s="75">
        <v>0.5802314814814815</v>
      </c>
      <c r="G2851" s="67" t="s">
        <v>453</v>
      </c>
      <c r="H2851" s="68">
        <v>7.2</v>
      </c>
      <c r="I2851" s="76"/>
      <c r="J2851" s="67">
        <f t="shared" si="202"/>
        <v>-27025.2</v>
      </c>
      <c r="K2851" s="7"/>
      <c r="L2851" s="70"/>
      <c r="M2851" s="79"/>
      <c r="N2851" s="1"/>
      <c r="O2851" s="1"/>
      <c r="P2851" s="1"/>
      <c r="Q2851" s="1"/>
      <c r="R2851" s="1"/>
      <c r="S2851" s="1"/>
      <c r="T2851" s="1"/>
      <c r="U2851" s="1"/>
      <c r="V2851" s="1"/>
      <c r="W2851" s="1"/>
      <c r="X2851" s="1"/>
      <c r="Y2851" s="1"/>
      <c r="Z2851" s="1"/>
      <c r="AA2851" s="1"/>
      <c r="AB2851" s="1"/>
      <c r="AC2851" s="1"/>
      <c r="AD2851" s="1"/>
      <c r="AE2851" s="1"/>
      <c r="AF2851" s="1"/>
      <c r="AG2851" s="1"/>
      <c r="AH2851" s="1"/>
    </row>
    <row r="2852" ht="12.75" hidden="1" customHeight="1" outlineLevel="1">
      <c r="A2852" s="17">
        <v>41506.0</v>
      </c>
      <c r="B2852" s="1" t="s">
        <v>343</v>
      </c>
      <c r="C2852" s="1" t="s">
        <v>369</v>
      </c>
      <c r="D2852" s="74">
        <v>1000.0</v>
      </c>
      <c r="E2852" s="67">
        <v>22.07</v>
      </c>
      <c r="F2852" s="75">
        <v>0.5815393518518518</v>
      </c>
      <c r="G2852" s="67" t="s">
        <v>453</v>
      </c>
      <c r="H2852" s="68">
        <v>4.4</v>
      </c>
      <c r="I2852" s="76"/>
      <c r="J2852" s="67">
        <f t="shared" si="202"/>
        <v>-22074.4</v>
      </c>
      <c r="K2852" s="7"/>
      <c r="L2852" s="70"/>
      <c r="M2852" s="79"/>
      <c r="N2852" s="1"/>
      <c r="O2852" s="1"/>
      <c r="P2852" s="1"/>
      <c r="Q2852" s="1"/>
      <c r="R2852" s="1"/>
      <c r="S2852" s="1"/>
      <c r="T2852" s="1"/>
      <c r="U2852" s="1"/>
      <c r="V2852" s="1"/>
      <c r="W2852" s="1"/>
      <c r="X2852" s="1"/>
      <c r="Y2852" s="1"/>
      <c r="Z2852" s="1"/>
      <c r="AA2852" s="1"/>
      <c r="AB2852" s="1"/>
      <c r="AC2852" s="1"/>
      <c r="AD2852" s="1"/>
      <c r="AE2852" s="1"/>
      <c r="AF2852" s="1"/>
      <c r="AG2852" s="1"/>
      <c r="AH2852" s="1"/>
    </row>
    <row r="2853" ht="12.75" hidden="1" customHeight="1" outlineLevel="1">
      <c r="A2853" s="17">
        <v>41506.0</v>
      </c>
      <c r="B2853" s="1"/>
      <c r="C2853" s="1" t="s">
        <v>339</v>
      </c>
      <c r="D2853" s="74"/>
      <c r="E2853" s="67"/>
      <c r="F2853" s="75"/>
      <c r="G2853" s="67"/>
      <c r="H2853" s="68"/>
      <c r="I2853" s="76"/>
      <c r="J2853" s="67"/>
      <c r="K2853" s="7" t="s">
        <v>1170</v>
      </c>
      <c r="L2853" s="77"/>
      <c r="M2853" s="79"/>
      <c r="N2853" s="1"/>
      <c r="O2853" s="1"/>
      <c r="P2853" s="1"/>
      <c r="Q2853" s="1"/>
      <c r="R2853" s="1"/>
      <c r="S2853" s="1"/>
      <c r="T2853" s="1"/>
      <c r="U2853" s="1"/>
      <c r="V2853" s="1"/>
      <c r="W2853" s="1"/>
      <c r="X2853" s="1"/>
      <c r="Y2853" s="1"/>
      <c r="Z2853" s="1"/>
      <c r="AA2853" s="1"/>
      <c r="AB2853" s="1"/>
      <c r="AC2853" s="1"/>
      <c r="AD2853" s="1"/>
      <c r="AE2853" s="1"/>
      <c r="AF2853" s="1"/>
      <c r="AG2853" s="1"/>
      <c r="AH2853" s="1"/>
    </row>
    <row r="2854" ht="12.75" hidden="1" customHeight="1" outlineLevel="1">
      <c r="A2854" s="17">
        <v>41506.0</v>
      </c>
      <c r="B2854" s="1"/>
      <c r="C2854" s="1" t="s">
        <v>429</v>
      </c>
      <c r="D2854" s="74"/>
      <c r="E2854" s="67"/>
      <c r="F2854" s="75"/>
      <c r="G2854" s="67"/>
      <c r="H2854" s="68"/>
      <c r="I2854" s="76"/>
      <c r="J2854" s="67"/>
      <c r="K2854" s="7" t="s">
        <v>1156</v>
      </c>
      <c r="L2854" s="77"/>
      <c r="M2854" s="79"/>
      <c r="N2854" s="1"/>
      <c r="O2854" s="1"/>
      <c r="P2854" s="1"/>
      <c r="Q2854" s="1"/>
      <c r="R2854" s="1"/>
      <c r="S2854" s="1"/>
      <c r="T2854" s="1"/>
      <c r="U2854" s="1"/>
      <c r="V2854" s="1"/>
      <c r="W2854" s="1"/>
      <c r="X2854" s="1"/>
      <c r="Y2854" s="1"/>
      <c r="Z2854" s="1"/>
      <c r="AA2854" s="1"/>
      <c r="AB2854" s="1"/>
      <c r="AC2854" s="1"/>
      <c r="AD2854" s="1"/>
      <c r="AE2854" s="1"/>
      <c r="AF2854" s="1"/>
      <c r="AG2854" s="1"/>
      <c r="AH2854" s="1"/>
    </row>
    <row r="2855" ht="12.75" hidden="1" customHeight="1" outlineLevel="1">
      <c r="A2855" s="17">
        <v>41506.0</v>
      </c>
      <c r="B2855" s="1"/>
      <c r="C2855" s="1" t="s">
        <v>431</v>
      </c>
      <c r="D2855" s="74"/>
      <c r="E2855" s="67"/>
      <c r="F2855" s="75"/>
      <c r="G2855" s="67"/>
      <c r="H2855" s="68"/>
      <c r="I2855" s="76"/>
      <c r="J2855" s="67"/>
      <c r="K2855" s="7" t="s">
        <v>1126</v>
      </c>
      <c r="L2855" s="77"/>
      <c r="M2855" s="79"/>
      <c r="N2855" s="1"/>
      <c r="O2855" s="1"/>
      <c r="P2855" s="1"/>
      <c r="Q2855" s="1"/>
      <c r="R2855" s="1"/>
      <c r="S2855" s="1"/>
      <c r="T2855" s="1"/>
      <c r="U2855" s="1"/>
      <c r="V2855" s="1"/>
      <c r="W2855" s="1"/>
      <c r="X2855" s="1"/>
      <c r="Y2855" s="1"/>
      <c r="Z2855" s="1"/>
      <c r="AA2855" s="1"/>
      <c r="AB2855" s="1"/>
      <c r="AC2855" s="1"/>
      <c r="AD2855" s="1"/>
      <c r="AE2855" s="1"/>
      <c r="AF2855" s="1"/>
      <c r="AG2855" s="1"/>
      <c r="AH2855" s="1"/>
    </row>
    <row r="2856" ht="12.75" hidden="1" customHeight="1" outlineLevel="1">
      <c r="A2856" s="17">
        <v>41506.0</v>
      </c>
      <c r="B2856" s="1"/>
      <c r="C2856" s="1" t="s">
        <v>433</v>
      </c>
      <c r="D2856" s="74"/>
      <c r="E2856" s="67"/>
      <c r="F2856" s="75"/>
      <c r="G2856" s="67"/>
      <c r="H2856" s="68"/>
      <c r="I2856" s="76"/>
      <c r="J2856" s="67"/>
      <c r="K2856" s="7" t="s">
        <v>1103</v>
      </c>
      <c r="L2856" s="77"/>
      <c r="M2856" s="79"/>
      <c r="N2856" s="1"/>
      <c r="O2856" s="1"/>
      <c r="P2856" s="1"/>
      <c r="Q2856" s="1"/>
      <c r="R2856" s="1"/>
      <c r="S2856" s="1"/>
      <c r="T2856" s="1"/>
      <c r="U2856" s="1"/>
      <c r="V2856" s="1"/>
      <c r="W2856" s="1"/>
      <c r="X2856" s="1"/>
      <c r="Y2856" s="1"/>
      <c r="Z2856" s="1"/>
      <c r="AA2856" s="1"/>
      <c r="AB2856" s="1"/>
      <c r="AC2856" s="1"/>
      <c r="AD2856" s="1"/>
      <c r="AE2856" s="1"/>
      <c r="AF2856" s="1"/>
      <c r="AG2856" s="1"/>
      <c r="AH2856" s="1"/>
    </row>
    <row r="2857" ht="12.75" hidden="1" customHeight="1" outlineLevel="1">
      <c r="A2857" s="17">
        <v>41506.0</v>
      </c>
      <c r="B2857" s="1"/>
      <c r="C2857" s="1" t="s">
        <v>435</v>
      </c>
      <c r="D2857" s="74"/>
      <c r="E2857" s="67"/>
      <c r="F2857" s="75"/>
      <c r="G2857" s="67"/>
      <c r="H2857" s="68"/>
      <c r="I2857" s="76"/>
      <c r="J2857" s="67"/>
      <c r="K2857" s="7" t="s">
        <v>1104</v>
      </c>
      <c r="L2857" s="77"/>
      <c r="M2857" s="79"/>
      <c r="N2857" s="1"/>
      <c r="O2857" s="1"/>
      <c r="P2857" s="1"/>
      <c r="Q2857" s="1"/>
      <c r="R2857" s="1"/>
      <c r="S2857" s="1"/>
      <c r="T2857" s="1"/>
      <c r="U2857" s="1"/>
      <c r="V2857" s="1"/>
      <c r="W2857" s="1"/>
      <c r="X2857" s="1"/>
      <c r="Y2857" s="1"/>
      <c r="Z2857" s="1"/>
      <c r="AA2857" s="1"/>
      <c r="AB2857" s="1"/>
      <c r="AC2857" s="1"/>
      <c r="AD2857" s="1"/>
      <c r="AE2857" s="1"/>
      <c r="AF2857" s="1"/>
      <c r="AG2857" s="1"/>
      <c r="AH2857" s="1"/>
    </row>
    <row r="2858" ht="12.75" hidden="1" customHeight="1" outlineLevel="1">
      <c r="A2858" s="17">
        <v>41507.0</v>
      </c>
      <c r="B2858" s="1" t="s">
        <v>343</v>
      </c>
      <c r="C2858" s="1" t="s">
        <v>1049</v>
      </c>
      <c r="D2858" s="74">
        <v>50.0</v>
      </c>
      <c r="E2858" s="67">
        <v>517.183</v>
      </c>
      <c r="F2858" s="75">
        <v>0.4793055555555556</v>
      </c>
      <c r="G2858" s="67" t="s">
        <v>453</v>
      </c>
      <c r="H2858" s="68">
        <v>1.0</v>
      </c>
      <c r="I2858" s="76"/>
      <c r="J2858" s="67">
        <f>IF(B2858="SLD",D2858*E2858,-D2858*E2858)-H2858</f>
        <v>-25860.15</v>
      </c>
      <c r="K2858" s="7"/>
      <c r="L2858" s="70"/>
      <c r="M2858" s="79"/>
      <c r="N2858" s="1"/>
      <c r="O2858" s="1"/>
      <c r="P2858" s="1"/>
      <c r="Q2858" s="1"/>
      <c r="R2858" s="1"/>
      <c r="S2858" s="1"/>
      <c r="T2858" s="1"/>
      <c r="U2858" s="1"/>
      <c r="V2858" s="1"/>
      <c r="W2858" s="1"/>
      <c r="X2858" s="1"/>
      <c r="Y2858" s="1"/>
      <c r="Z2858" s="1"/>
      <c r="AA2858" s="1"/>
      <c r="AB2858" s="1"/>
      <c r="AC2858" s="1"/>
      <c r="AD2858" s="1"/>
      <c r="AE2858" s="1"/>
      <c r="AF2858" s="1"/>
      <c r="AG2858" s="1"/>
      <c r="AH2858" s="1"/>
    </row>
    <row r="2859" ht="12.75" hidden="1" customHeight="1" outlineLevel="1">
      <c r="A2859" s="17">
        <v>41507.0</v>
      </c>
      <c r="B2859" s="1"/>
      <c r="C2859" s="1" t="s">
        <v>339</v>
      </c>
      <c r="D2859" s="74"/>
      <c r="E2859" s="67"/>
      <c r="F2859" s="75"/>
      <c r="G2859" s="67"/>
      <c r="H2859" s="68"/>
      <c r="I2859" s="76"/>
      <c r="J2859" s="67"/>
      <c r="K2859" s="7" t="s">
        <v>1171</v>
      </c>
      <c r="L2859" s="77"/>
      <c r="M2859" s="79"/>
      <c r="N2859" s="1"/>
      <c r="O2859" s="1"/>
      <c r="P2859" s="1"/>
      <c r="Q2859" s="1"/>
      <c r="R2859" s="1"/>
      <c r="S2859" s="1"/>
      <c r="T2859" s="1"/>
      <c r="U2859" s="1"/>
      <c r="V2859" s="1"/>
      <c r="W2859" s="1"/>
      <c r="X2859" s="1"/>
      <c r="Y2859" s="1"/>
      <c r="Z2859" s="1"/>
      <c r="AA2859" s="1"/>
      <c r="AB2859" s="1"/>
      <c r="AC2859" s="1"/>
      <c r="AD2859" s="1"/>
      <c r="AE2859" s="1"/>
      <c r="AF2859" s="1"/>
      <c r="AG2859" s="1"/>
      <c r="AH2859" s="1"/>
    </row>
    <row r="2860" ht="12.75" hidden="1" customHeight="1" outlineLevel="1">
      <c r="A2860" s="17">
        <v>41507.0</v>
      </c>
      <c r="B2860" s="1"/>
      <c r="C2860" s="1" t="s">
        <v>429</v>
      </c>
      <c r="D2860" s="74"/>
      <c r="E2860" s="67"/>
      <c r="F2860" s="75"/>
      <c r="G2860" s="67"/>
      <c r="H2860" s="68"/>
      <c r="I2860" s="76"/>
      <c r="J2860" s="67"/>
      <c r="K2860" s="7" t="s">
        <v>1156</v>
      </c>
      <c r="L2860" s="77"/>
      <c r="M2860" s="79"/>
      <c r="N2860" s="1"/>
      <c r="O2860" s="1"/>
      <c r="P2860" s="1"/>
      <c r="Q2860" s="1"/>
      <c r="R2860" s="1"/>
      <c r="S2860" s="1"/>
      <c r="T2860" s="1"/>
      <c r="U2860" s="1"/>
      <c r="V2860" s="1"/>
      <c r="W2860" s="1"/>
      <c r="X2860" s="1"/>
      <c r="Y2860" s="1"/>
      <c r="Z2860" s="1"/>
      <c r="AA2860" s="1"/>
      <c r="AB2860" s="1"/>
      <c r="AC2860" s="1"/>
      <c r="AD2860" s="1"/>
      <c r="AE2860" s="1"/>
      <c r="AF2860" s="1"/>
      <c r="AG2860" s="1"/>
      <c r="AH2860" s="1"/>
    </row>
    <row r="2861" ht="12.75" hidden="1" customHeight="1" outlineLevel="1">
      <c r="A2861" s="17">
        <v>41507.0</v>
      </c>
      <c r="B2861" s="1"/>
      <c r="C2861" s="1" t="s">
        <v>431</v>
      </c>
      <c r="D2861" s="74"/>
      <c r="E2861" s="67"/>
      <c r="F2861" s="75"/>
      <c r="G2861" s="67"/>
      <c r="H2861" s="68"/>
      <c r="I2861" s="76"/>
      <c r="J2861" s="67"/>
      <c r="K2861" s="7" t="s">
        <v>1126</v>
      </c>
      <c r="L2861" s="77"/>
      <c r="M2861" s="79"/>
      <c r="N2861" s="1"/>
      <c r="O2861" s="1"/>
      <c r="P2861" s="1"/>
      <c r="Q2861" s="1"/>
      <c r="R2861" s="1"/>
      <c r="S2861" s="1"/>
      <c r="T2861" s="1"/>
      <c r="U2861" s="1"/>
      <c r="V2861" s="1"/>
      <c r="W2861" s="1"/>
      <c r="X2861" s="1"/>
      <c r="Y2861" s="1"/>
      <c r="Z2861" s="1"/>
      <c r="AA2861" s="1"/>
      <c r="AB2861" s="1"/>
      <c r="AC2861" s="1"/>
      <c r="AD2861" s="1"/>
      <c r="AE2861" s="1"/>
      <c r="AF2861" s="1"/>
      <c r="AG2861" s="1"/>
      <c r="AH2861" s="1"/>
    </row>
    <row r="2862" ht="12.75" hidden="1" customHeight="1" outlineLevel="1">
      <c r="A2862" s="17">
        <v>41507.0</v>
      </c>
      <c r="B2862" s="1"/>
      <c r="C2862" s="1" t="s">
        <v>433</v>
      </c>
      <c r="D2862" s="74"/>
      <c r="E2862" s="67"/>
      <c r="F2862" s="75"/>
      <c r="G2862" s="67"/>
      <c r="H2862" s="68"/>
      <c r="I2862" s="76"/>
      <c r="J2862" s="67"/>
      <c r="K2862" s="7" t="s">
        <v>1103</v>
      </c>
      <c r="L2862" s="77"/>
      <c r="M2862" s="79"/>
      <c r="N2862" s="1"/>
      <c r="O2862" s="1"/>
      <c r="P2862" s="1"/>
      <c r="Q2862" s="1"/>
      <c r="R2862" s="1"/>
      <c r="S2862" s="1"/>
      <c r="T2862" s="1"/>
      <c r="U2862" s="1"/>
      <c r="V2862" s="1"/>
      <c r="W2862" s="1"/>
      <c r="X2862" s="1"/>
      <c r="Y2862" s="1"/>
      <c r="Z2862" s="1"/>
      <c r="AA2862" s="1"/>
      <c r="AB2862" s="1"/>
      <c r="AC2862" s="1"/>
      <c r="AD2862" s="1"/>
      <c r="AE2862" s="1"/>
      <c r="AF2862" s="1"/>
      <c r="AG2862" s="1"/>
      <c r="AH2862" s="1"/>
    </row>
    <row r="2863" ht="12.75" hidden="1" customHeight="1" outlineLevel="1">
      <c r="A2863" s="17">
        <v>41507.0</v>
      </c>
      <c r="B2863" s="1"/>
      <c r="C2863" s="1" t="s">
        <v>435</v>
      </c>
      <c r="D2863" s="74"/>
      <c r="E2863" s="67"/>
      <c r="F2863" s="75"/>
      <c r="G2863" s="67"/>
      <c r="H2863" s="68"/>
      <c r="I2863" s="76"/>
      <c r="J2863" s="67"/>
      <c r="K2863" s="7" t="s">
        <v>1104</v>
      </c>
      <c r="L2863" s="77"/>
      <c r="M2863" s="79"/>
      <c r="N2863" s="1"/>
      <c r="O2863" s="1"/>
      <c r="P2863" s="1"/>
      <c r="Q2863" s="1"/>
      <c r="R2863" s="1"/>
      <c r="S2863" s="1"/>
      <c r="T2863" s="1"/>
      <c r="U2863" s="1"/>
      <c r="V2863" s="1"/>
      <c r="W2863" s="1"/>
      <c r="X2863" s="1"/>
      <c r="Y2863" s="1"/>
      <c r="Z2863" s="1"/>
      <c r="AA2863" s="1"/>
      <c r="AB2863" s="1"/>
      <c r="AC2863" s="1"/>
      <c r="AD2863" s="1"/>
      <c r="AE2863" s="1"/>
      <c r="AF2863" s="1"/>
      <c r="AG2863" s="1"/>
      <c r="AH2863" s="1"/>
    </row>
    <row r="2864" ht="12.75" hidden="1" customHeight="1" outlineLevel="1">
      <c r="A2864" s="17">
        <v>41508.0</v>
      </c>
      <c r="B2864" s="1" t="s">
        <v>343</v>
      </c>
      <c r="C2864" s="1" t="s">
        <v>1060</v>
      </c>
      <c r="D2864" s="74">
        <v>200.0</v>
      </c>
      <c r="E2864" s="67">
        <v>30.35</v>
      </c>
      <c r="F2864" s="75">
        <v>0.5147106481481482</v>
      </c>
      <c r="G2864" s="67" t="s">
        <v>453</v>
      </c>
      <c r="H2864" s="68">
        <v>1.0</v>
      </c>
      <c r="I2864" s="76"/>
      <c r="J2864" s="67">
        <f t="shared" ref="J2864:J2866" si="203">IF(B2864="SLD",D2864*E2864,-D2864*E2864)-H2864</f>
        <v>-6071</v>
      </c>
      <c r="K2864" s="7"/>
      <c r="L2864" s="70"/>
      <c r="M2864" s="79"/>
      <c r="N2864" s="1"/>
      <c r="O2864" s="1"/>
      <c r="P2864" s="1"/>
      <c r="Q2864" s="1"/>
      <c r="R2864" s="1"/>
      <c r="S2864" s="1"/>
      <c r="T2864" s="1"/>
      <c r="U2864" s="1"/>
      <c r="V2864" s="1"/>
      <c r="W2864" s="1"/>
      <c r="X2864" s="1"/>
      <c r="Y2864" s="1"/>
      <c r="Z2864" s="1"/>
      <c r="AA2864" s="1"/>
      <c r="AB2864" s="1"/>
      <c r="AC2864" s="1"/>
      <c r="AD2864" s="1"/>
      <c r="AE2864" s="1"/>
      <c r="AF2864" s="1"/>
      <c r="AG2864" s="1"/>
      <c r="AH2864" s="1"/>
    </row>
    <row r="2865" ht="12.75" hidden="1" customHeight="1" outlineLevel="1">
      <c r="A2865" s="17">
        <v>41508.0</v>
      </c>
      <c r="B2865" s="1" t="s">
        <v>343</v>
      </c>
      <c r="C2865" s="1" t="s">
        <v>344</v>
      </c>
      <c r="D2865" s="74">
        <v>200.0</v>
      </c>
      <c r="E2865" s="67">
        <v>47.2</v>
      </c>
      <c r="F2865" s="75">
        <v>0.5158680555555556</v>
      </c>
      <c r="G2865" s="67" t="s">
        <v>453</v>
      </c>
      <c r="H2865" s="68">
        <v>1.0</v>
      </c>
      <c r="I2865" s="76"/>
      <c r="J2865" s="67">
        <f t="shared" si="203"/>
        <v>-9441</v>
      </c>
      <c r="K2865" s="7"/>
      <c r="L2865" s="70"/>
      <c r="M2865" s="79"/>
      <c r="N2865" s="1"/>
      <c r="O2865" s="1"/>
      <c r="P2865" s="1"/>
      <c r="Q2865" s="1"/>
      <c r="R2865" s="1"/>
      <c r="S2865" s="1"/>
      <c r="T2865" s="1"/>
      <c r="U2865" s="1"/>
      <c r="V2865" s="1"/>
      <c r="W2865" s="1"/>
      <c r="X2865" s="1"/>
      <c r="Y2865" s="1"/>
      <c r="Z2865" s="1"/>
      <c r="AA2865" s="1"/>
      <c r="AB2865" s="1"/>
      <c r="AC2865" s="1"/>
      <c r="AD2865" s="1"/>
      <c r="AE2865" s="1"/>
      <c r="AF2865" s="1"/>
      <c r="AG2865" s="1"/>
      <c r="AH2865" s="1"/>
    </row>
    <row r="2866" ht="12.75" hidden="1" customHeight="1" outlineLevel="1">
      <c r="A2866" s="17">
        <v>41508.0</v>
      </c>
      <c r="B2866" s="1" t="s">
        <v>343</v>
      </c>
      <c r="C2866" s="1" t="s">
        <v>364</v>
      </c>
      <c r="D2866" s="74">
        <v>100.0</v>
      </c>
      <c r="E2866" s="67">
        <v>105.82</v>
      </c>
      <c r="F2866" s="75">
        <v>0.5178935185185185</v>
      </c>
      <c r="G2866" s="67" t="s">
        <v>453</v>
      </c>
      <c r="H2866" s="68">
        <v>1.0</v>
      </c>
      <c r="I2866" s="76"/>
      <c r="J2866" s="67">
        <f t="shared" si="203"/>
        <v>-10583</v>
      </c>
      <c r="K2866" s="7"/>
      <c r="L2866" s="70"/>
      <c r="M2866" s="79"/>
      <c r="N2866" s="1"/>
      <c r="O2866" s="1"/>
      <c r="P2866" s="1"/>
      <c r="Q2866" s="1"/>
      <c r="R2866" s="1"/>
      <c r="S2866" s="1"/>
      <c r="T2866" s="1"/>
      <c r="U2866" s="1"/>
      <c r="V2866" s="1"/>
      <c r="W2866" s="1"/>
      <c r="X2866" s="1"/>
      <c r="Y2866" s="1"/>
      <c r="Z2866" s="1"/>
      <c r="AA2866" s="1"/>
      <c r="AB2866" s="1"/>
      <c r="AC2866" s="1"/>
      <c r="AD2866" s="1"/>
      <c r="AE2866" s="1"/>
      <c r="AF2866" s="1"/>
      <c r="AG2866" s="1"/>
      <c r="AH2866" s="1"/>
    </row>
    <row r="2867" ht="12.75" hidden="1" customHeight="1" outlineLevel="1">
      <c r="A2867" s="17">
        <v>41508.0</v>
      </c>
      <c r="B2867" s="1"/>
      <c r="C2867" s="1" t="s">
        <v>339</v>
      </c>
      <c r="D2867" s="74"/>
      <c r="E2867" s="67"/>
      <c r="F2867" s="75"/>
      <c r="G2867" s="67"/>
      <c r="H2867" s="68"/>
      <c r="I2867" s="76"/>
      <c r="J2867" s="67"/>
      <c r="K2867" s="7" t="s">
        <v>1172</v>
      </c>
      <c r="L2867" s="77"/>
      <c r="M2867" s="79"/>
      <c r="N2867" s="1"/>
      <c r="O2867" s="1"/>
      <c r="P2867" s="1"/>
      <c r="Q2867" s="1"/>
      <c r="R2867" s="1"/>
      <c r="S2867" s="1"/>
      <c r="T2867" s="1"/>
      <c r="U2867" s="1"/>
      <c r="V2867" s="1"/>
      <c r="W2867" s="1"/>
      <c r="X2867" s="1"/>
      <c r="Y2867" s="1"/>
      <c r="Z2867" s="1"/>
      <c r="AA2867" s="1"/>
      <c r="AB2867" s="1"/>
      <c r="AC2867" s="1"/>
      <c r="AD2867" s="1"/>
      <c r="AE2867" s="1"/>
      <c r="AF2867" s="1"/>
      <c r="AG2867" s="1"/>
      <c r="AH2867" s="1"/>
    </row>
    <row r="2868" ht="12.75" hidden="1" customHeight="1" outlineLevel="1">
      <c r="A2868" s="17">
        <v>41508.0</v>
      </c>
      <c r="B2868" s="1"/>
      <c r="C2868" s="1" t="s">
        <v>429</v>
      </c>
      <c r="D2868" s="74"/>
      <c r="E2868" s="67"/>
      <c r="F2868" s="75"/>
      <c r="G2868" s="67"/>
      <c r="H2868" s="68"/>
      <c r="I2868" s="76"/>
      <c r="J2868" s="67"/>
      <c r="K2868" s="7" t="s">
        <v>1156</v>
      </c>
      <c r="L2868" s="77"/>
      <c r="M2868" s="79"/>
      <c r="N2868" s="1"/>
      <c r="O2868" s="1"/>
      <c r="P2868" s="1"/>
      <c r="Q2868" s="1"/>
      <c r="R2868" s="1"/>
      <c r="S2868" s="1"/>
      <c r="T2868" s="1"/>
      <c r="U2868" s="1"/>
      <c r="V2868" s="1"/>
      <c r="W2868" s="1"/>
      <c r="X2868" s="1"/>
      <c r="Y2868" s="1"/>
      <c r="Z2868" s="1"/>
      <c r="AA2868" s="1"/>
      <c r="AB2868" s="1"/>
      <c r="AC2868" s="1"/>
      <c r="AD2868" s="1"/>
      <c r="AE2868" s="1"/>
      <c r="AF2868" s="1"/>
      <c r="AG2868" s="1"/>
      <c r="AH2868" s="1"/>
    </row>
    <row r="2869" ht="12.75" hidden="1" customHeight="1" outlineLevel="1">
      <c r="A2869" s="17">
        <v>41508.0</v>
      </c>
      <c r="B2869" s="1"/>
      <c r="C2869" s="1" t="s">
        <v>431</v>
      </c>
      <c r="D2869" s="74"/>
      <c r="E2869" s="67"/>
      <c r="F2869" s="75"/>
      <c r="G2869" s="67"/>
      <c r="H2869" s="68"/>
      <c r="I2869" s="76"/>
      <c r="J2869" s="67"/>
      <c r="K2869" s="7" t="s">
        <v>1126</v>
      </c>
      <c r="L2869" s="77"/>
      <c r="M2869" s="79"/>
      <c r="N2869" s="1"/>
      <c r="O2869" s="1"/>
      <c r="P2869" s="1"/>
      <c r="Q2869" s="1"/>
      <c r="R2869" s="1"/>
      <c r="S2869" s="1"/>
      <c r="T2869" s="1"/>
      <c r="U2869" s="1"/>
      <c r="V2869" s="1"/>
      <c r="W2869" s="1"/>
      <c r="X2869" s="1"/>
      <c r="Y2869" s="1"/>
      <c r="Z2869" s="1"/>
      <c r="AA2869" s="1"/>
      <c r="AB2869" s="1"/>
      <c r="AC2869" s="1"/>
      <c r="AD2869" s="1"/>
      <c r="AE2869" s="1"/>
      <c r="AF2869" s="1"/>
      <c r="AG2869" s="1"/>
      <c r="AH2869" s="1"/>
    </row>
    <row r="2870" ht="12.75" hidden="1" customHeight="1" outlineLevel="1">
      <c r="A2870" s="17">
        <v>41508.0</v>
      </c>
      <c r="B2870" s="1"/>
      <c r="C2870" s="1" t="s">
        <v>433</v>
      </c>
      <c r="D2870" s="74"/>
      <c r="E2870" s="67"/>
      <c r="F2870" s="75"/>
      <c r="G2870" s="67"/>
      <c r="H2870" s="68"/>
      <c r="I2870" s="76"/>
      <c r="J2870" s="67"/>
      <c r="K2870" s="7" t="s">
        <v>1103</v>
      </c>
      <c r="L2870" s="77"/>
      <c r="M2870" s="79"/>
      <c r="N2870" s="1"/>
      <c r="O2870" s="1"/>
      <c r="P2870" s="1"/>
      <c r="Q2870" s="1"/>
      <c r="R2870" s="1"/>
      <c r="S2870" s="1"/>
      <c r="T2870" s="1"/>
      <c r="U2870" s="1"/>
      <c r="V2870" s="1"/>
      <c r="W2870" s="1"/>
      <c r="X2870" s="1"/>
      <c r="Y2870" s="1"/>
      <c r="Z2870" s="1"/>
      <c r="AA2870" s="1"/>
      <c r="AB2870" s="1"/>
      <c r="AC2870" s="1"/>
      <c r="AD2870" s="1"/>
      <c r="AE2870" s="1"/>
      <c r="AF2870" s="1"/>
      <c r="AG2870" s="1"/>
      <c r="AH2870" s="1"/>
    </row>
    <row r="2871" ht="12.75" hidden="1" customHeight="1" outlineLevel="1">
      <c r="A2871" s="17">
        <v>41508.0</v>
      </c>
      <c r="B2871" s="1"/>
      <c r="C2871" s="1" t="s">
        <v>435</v>
      </c>
      <c r="D2871" s="74"/>
      <c r="E2871" s="67"/>
      <c r="F2871" s="75"/>
      <c r="G2871" s="67"/>
      <c r="H2871" s="68"/>
      <c r="I2871" s="76"/>
      <c r="J2871" s="67"/>
      <c r="K2871" s="7" t="s">
        <v>1104</v>
      </c>
      <c r="L2871" s="77"/>
      <c r="M2871" s="79"/>
      <c r="N2871" s="1"/>
      <c r="O2871" s="1"/>
      <c r="P2871" s="1"/>
      <c r="Q2871" s="1"/>
      <c r="R2871" s="1"/>
      <c r="S2871" s="1"/>
      <c r="T2871" s="1"/>
      <c r="U2871" s="1"/>
      <c r="V2871" s="1"/>
      <c r="W2871" s="1"/>
      <c r="X2871" s="1"/>
      <c r="Y2871" s="1"/>
      <c r="Z2871" s="1"/>
      <c r="AA2871" s="1"/>
      <c r="AB2871" s="1"/>
      <c r="AC2871" s="1"/>
      <c r="AD2871" s="1"/>
      <c r="AE2871" s="1"/>
      <c r="AF2871" s="1"/>
      <c r="AG2871" s="1"/>
      <c r="AH2871" s="1"/>
    </row>
    <row r="2872" ht="12.75" hidden="1" customHeight="1" outlineLevel="1">
      <c r="A2872" s="17">
        <v>41510.0</v>
      </c>
      <c r="B2872" s="1"/>
      <c r="C2872" s="1" t="s">
        <v>339</v>
      </c>
      <c r="D2872" s="74"/>
      <c r="E2872" s="67"/>
      <c r="F2872" s="75"/>
      <c r="G2872" s="67"/>
      <c r="H2872" s="68"/>
      <c r="I2872" s="76"/>
      <c r="J2872" s="67"/>
      <c r="K2872" s="7" t="s">
        <v>1174</v>
      </c>
      <c r="L2872" s="77"/>
      <c r="M2872" s="79"/>
      <c r="N2872" s="1"/>
      <c r="O2872" s="1"/>
      <c r="P2872" s="1"/>
      <c r="Q2872" s="1"/>
      <c r="R2872" s="1"/>
      <c r="S2872" s="1"/>
      <c r="T2872" s="1"/>
      <c r="U2872" s="1"/>
      <c r="V2872" s="1"/>
      <c r="W2872" s="1"/>
      <c r="X2872" s="1"/>
      <c r="Y2872" s="1"/>
      <c r="Z2872" s="1"/>
      <c r="AA2872" s="1"/>
      <c r="AB2872" s="1"/>
      <c r="AC2872" s="1"/>
      <c r="AD2872" s="1"/>
      <c r="AE2872" s="1"/>
      <c r="AF2872" s="1"/>
      <c r="AG2872" s="1"/>
      <c r="AH2872" s="1"/>
    </row>
    <row r="2873" ht="12.75" hidden="1" customHeight="1" outlineLevel="1">
      <c r="A2873" s="17">
        <v>41510.0</v>
      </c>
      <c r="B2873" s="1"/>
      <c r="C2873" s="1" t="s">
        <v>429</v>
      </c>
      <c r="D2873" s="74"/>
      <c r="E2873" s="67"/>
      <c r="F2873" s="75"/>
      <c r="G2873" s="67"/>
      <c r="H2873" s="68"/>
      <c r="I2873" s="76"/>
      <c r="J2873" s="67"/>
      <c r="K2873" s="7" t="s">
        <v>1156</v>
      </c>
      <c r="L2873" s="77"/>
      <c r="M2873" s="79"/>
      <c r="N2873" s="1"/>
      <c r="O2873" s="1"/>
      <c r="P2873" s="1"/>
      <c r="Q2873" s="1"/>
      <c r="R2873" s="1"/>
      <c r="S2873" s="1"/>
      <c r="T2873" s="1"/>
      <c r="U2873" s="1"/>
      <c r="V2873" s="1"/>
      <c r="W2873" s="1"/>
      <c r="X2873" s="1"/>
      <c r="Y2873" s="1"/>
      <c r="Z2873" s="1"/>
      <c r="AA2873" s="1"/>
      <c r="AB2873" s="1"/>
      <c r="AC2873" s="1"/>
      <c r="AD2873" s="1"/>
      <c r="AE2873" s="1"/>
      <c r="AF2873" s="1"/>
      <c r="AG2873" s="1"/>
      <c r="AH2873" s="1"/>
    </row>
    <row r="2874" ht="12.75" hidden="1" customHeight="1" outlineLevel="1">
      <c r="A2874" s="17">
        <v>41510.0</v>
      </c>
      <c r="B2874" s="1"/>
      <c r="C2874" s="1" t="s">
        <v>431</v>
      </c>
      <c r="D2874" s="74"/>
      <c r="E2874" s="67"/>
      <c r="F2874" s="75"/>
      <c r="G2874" s="67"/>
      <c r="H2874" s="68"/>
      <c r="I2874" s="76"/>
      <c r="J2874" s="67"/>
      <c r="K2874" s="7" t="s">
        <v>1126</v>
      </c>
      <c r="L2874" s="77"/>
      <c r="M2874" s="79"/>
      <c r="N2874" s="1"/>
      <c r="O2874" s="1"/>
      <c r="P2874" s="1"/>
      <c r="Q2874" s="1"/>
      <c r="R2874" s="1"/>
      <c r="S2874" s="1"/>
      <c r="T2874" s="1"/>
      <c r="U2874" s="1"/>
      <c r="V2874" s="1"/>
      <c r="W2874" s="1"/>
      <c r="X2874" s="1"/>
      <c r="Y2874" s="1"/>
      <c r="Z2874" s="1"/>
      <c r="AA2874" s="1"/>
      <c r="AB2874" s="1"/>
      <c r="AC2874" s="1"/>
      <c r="AD2874" s="1"/>
      <c r="AE2874" s="1"/>
      <c r="AF2874" s="1"/>
      <c r="AG2874" s="1"/>
      <c r="AH2874" s="1"/>
    </row>
    <row r="2875" ht="12.75" hidden="1" customHeight="1" outlineLevel="1">
      <c r="A2875" s="17">
        <v>41510.0</v>
      </c>
      <c r="B2875" s="1"/>
      <c r="C2875" s="1" t="s">
        <v>433</v>
      </c>
      <c r="D2875" s="74"/>
      <c r="E2875" s="67"/>
      <c r="F2875" s="75"/>
      <c r="G2875" s="67"/>
      <c r="H2875" s="68"/>
      <c r="I2875" s="76"/>
      <c r="J2875" s="67"/>
      <c r="K2875" s="7" t="s">
        <v>1103</v>
      </c>
      <c r="L2875" s="77"/>
      <c r="M2875" s="79"/>
      <c r="N2875" s="1"/>
      <c r="O2875" s="1"/>
      <c r="P2875" s="1"/>
      <c r="Q2875" s="1"/>
      <c r="R2875" s="1"/>
      <c r="S2875" s="1"/>
      <c r="T2875" s="1"/>
      <c r="U2875" s="1"/>
      <c r="V2875" s="1"/>
      <c r="W2875" s="1"/>
      <c r="X2875" s="1"/>
      <c r="Y2875" s="1"/>
      <c r="Z2875" s="1"/>
      <c r="AA2875" s="1"/>
      <c r="AB2875" s="1"/>
      <c r="AC2875" s="1"/>
      <c r="AD2875" s="1"/>
      <c r="AE2875" s="1"/>
      <c r="AF2875" s="1"/>
      <c r="AG2875" s="1"/>
      <c r="AH2875" s="1"/>
    </row>
    <row r="2876" ht="12.75" hidden="1" customHeight="1" outlineLevel="1">
      <c r="A2876" s="17">
        <v>41510.0</v>
      </c>
      <c r="B2876" s="1"/>
      <c r="C2876" s="1" t="s">
        <v>435</v>
      </c>
      <c r="D2876" s="74"/>
      <c r="E2876" s="67"/>
      <c r="F2876" s="75"/>
      <c r="G2876" s="67"/>
      <c r="H2876" s="68"/>
      <c r="I2876" s="76"/>
      <c r="J2876" s="67"/>
      <c r="K2876" s="7" t="s">
        <v>1104</v>
      </c>
      <c r="L2876" s="77"/>
      <c r="M2876" s="79"/>
      <c r="N2876" s="1"/>
      <c r="O2876" s="1"/>
      <c r="P2876" s="1"/>
      <c r="Q2876" s="1"/>
      <c r="R2876" s="1"/>
      <c r="S2876" s="1"/>
      <c r="T2876" s="1"/>
      <c r="U2876" s="1"/>
      <c r="V2876" s="1"/>
      <c r="W2876" s="1"/>
      <c r="X2876" s="1"/>
      <c r="Y2876" s="1"/>
      <c r="Z2876" s="1"/>
      <c r="AA2876" s="1"/>
      <c r="AB2876" s="1"/>
      <c r="AC2876" s="1"/>
      <c r="AD2876" s="1"/>
      <c r="AE2876" s="1"/>
      <c r="AF2876" s="1"/>
      <c r="AG2876" s="1"/>
      <c r="AH2876" s="1"/>
    </row>
    <row r="2877" ht="12.75" hidden="1" customHeight="1" outlineLevel="1">
      <c r="A2877" s="17">
        <v>41512.0</v>
      </c>
      <c r="B2877" s="1" t="s">
        <v>343</v>
      </c>
      <c r="C2877" s="1" t="s">
        <v>413</v>
      </c>
      <c r="D2877" s="74">
        <v>350.0</v>
      </c>
      <c r="E2877" s="67">
        <v>64.949</v>
      </c>
      <c r="F2877" s="75">
        <v>0.4022337962962963</v>
      </c>
      <c r="G2877" s="67" t="s">
        <v>453</v>
      </c>
      <c r="H2877" s="68">
        <v>1.45</v>
      </c>
      <c r="I2877" s="76"/>
      <c r="J2877" s="67">
        <f t="shared" ref="J2877:J2881" si="204">IF(B2877="SLD",D2877*E2877,-D2877*E2877)-H2877</f>
        <v>-22733.6</v>
      </c>
      <c r="K2877" s="7"/>
      <c r="L2877" s="70"/>
      <c r="M2877" s="79"/>
      <c r="N2877" s="1"/>
      <c r="O2877" s="1"/>
      <c r="P2877" s="1"/>
      <c r="Q2877" s="1"/>
      <c r="R2877" s="1"/>
      <c r="S2877" s="1"/>
      <c r="T2877" s="1"/>
      <c r="U2877" s="1"/>
      <c r="V2877" s="1"/>
      <c r="W2877" s="1"/>
      <c r="X2877" s="1"/>
      <c r="Y2877" s="1"/>
      <c r="Z2877" s="1"/>
      <c r="AA2877" s="1"/>
      <c r="AB2877" s="1"/>
      <c r="AC2877" s="1"/>
      <c r="AD2877" s="1"/>
      <c r="AE2877" s="1"/>
      <c r="AF2877" s="1"/>
      <c r="AG2877" s="1"/>
      <c r="AH2877" s="1"/>
    </row>
    <row r="2878" ht="12.75" hidden="1" customHeight="1" outlineLevel="1">
      <c r="A2878" s="17">
        <v>41512.0</v>
      </c>
      <c r="B2878" s="1" t="s">
        <v>343</v>
      </c>
      <c r="C2878" s="1" t="s">
        <v>1067</v>
      </c>
      <c r="D2878" s="74">
        <v>325.0</v>
      </c>
      <c r="E2878" s="67">
        <v>72.32</v>
      </c>
      <c r="F2878" s="75">
        <v>0.40324074074074073</v>
      </c>
      <c r="G2878" s="67" t="s">
        <v>453</v>
      </c>
      <c r="H2878" s="68">
        <v>1.32</v>
      </c>
      <c r="I2878" s="76"/>
      <c r="J2878" s="67">
        <f t="shared" si="204"/>
        <v>-23505.32</v>
      </c>
      <c r="K2878" s="7"/>
      <c r="L2878" s="70"/>
      <c r="M2878" s="79"/>
      <c r="N2878" s="1"/>
      <c r="O2878" s="1"/>
      <c r="P2878" s="1"/>
      <c r="Q2878" s="1"/>
      <c r="R2878" s="1"/>
      <c r="S2878" s="1"/>
      <c r="T2878" s="1"/>
      <c r="U2878" s="1"/>
      <c r="V2878" s="1"/>
      <c r="W2878" s="1"/>
      <c r="X2878" s="1"/>
      <c r="Y2878" s="1"/>
      <c r="Z2878" s="1"/>
      <c r="AA2878" s="1"/>
      <c r="AB2878" s="1"/>
      <c r="AC2878" s="1"/>
      <c r="AD2878" s="1"/>
      <c r="AE2878" s="1"/>
      <c r="AF2878" s="1"/>
      <c r="AG2878" s="1"/>
      <c r="AH2878" s="1"/>
    </row>
    <row r="2879" ht="12.75" hidden="1" customHeight="1" outlineLevel="1">
      <c r="A2879" s="17">
        <v>41512.0</v>
      </c>
      <c r="B2879" s="1" t="s">
        <v>347</v>
      </c>
      <c r="C2879" s="1" t="s">
        <v>1060</v>
      </c>
      <c r="D2879" s="74">
        <v>200.0</v>
      </c>
      <c r="E2879" s="67">
        <v>29.79</v>
      </c>
      <c r="F2879" s="75">
        <v>0.6606597222222222</v>
      </c>
      <c r="G2879" s="67" t="s">
        <v>453</v>
      </c>
      <c r="H2879" s="68">
        <v>1.0</v>
      </c>
      <c r="I2879" s="76"/>
      <c r="J2879" s="67">
        <f t="shared" si="204"/>
        <v>5957</v>
      </c>
      <c r="K2879" s="7"/>
      <c r="L2879" s="70"/>
      <c r="M2879" s="79"/>
      <c r="N2879" s="1"/>
      <c r="O2879" s="1"/>
      <c r="P2879" s="1"/>
      <c r="Q2879" s="1"/>
      <c r="R2879" s="1"/>
      <c r="S2879" s="1"/>
      <c r="T2879" s="1"/>
      <c r="U2879" s="1"/>
      <c r="V2879" s="1"/>
      <c r="W2879" s="1"/>
      <c r="X2879" s="1"/>
      <c r="Y2879" s="1"/>
      <c r="Z2879" s="1"/>
      <c r="AA2879" s="1"/>
      <c r="AB2879" s="1"/>
      <c r="AC2879" s="1"/>
      <c r="AD2879" s="1"/>
      <c r="AE2879" s="1"/>
      <c r="AF2879" s="1"/>
      <c r="AG2879" s="1"/>
      <c r="AH2879" s="1"/>
    </row>
    <row r="2880" ht="12.75" hidden="1" customHeight="1" outlineLevel="1">
      <c r="A2880" s="17">
        <v>41512.0</v>
      </c>
      <c r="B2880" s="1" t="s">
        <v>347</v>
      </c>
      <c r="C2880" s="1" t="s">
        <v>344</v>
      </c>
      <c r="D2880" s="74">
        <v>200.0</v>
      </c>
      <c r="E2880" s="67">
        <v>47.34</v>
      </c>
      <c r="F2880" s="75">
        <v>0.6609143518518519</v>
      </c>
      <c r="G2880" s="67" t="s">
        <v>453</v>
      </c>
      <c r="H2880" s="68">
        <v>1.0</v>
      </c>
      <c r="I2880" s="76"/>
      <c r="J2880" s="67">
        <f t="shared" si="204"/>
        <v>9467</v>
      </c>
      <c r="K2880" s="7"/>
      <c r="L2880" s="70"/>
      <c r="M2880" s="79"/>
      <c r="N2880" s="1"/>
      <c r="O2880" s="1"/>
      <c r="P2880" s="1"/>
      <c r="Q2880" s="1"/>
      <c r="R2880" s="1"/>
      <c r="S2880" s="1"/>
      <c r="T2880" s="1"/>
      <c r="U2880" s="1"/>
      <c r="V2880" s="1"/>
      <c r="W2880" s="1"/>
      <c r="X2880" s="1"/>
      <c r="Y2880" s="1"/>
      <c r="Z2880" s="1"/>
      <c r="AA2880" s="1"/>
      <c r="AB2880" s="1"/>
      <c r="AC2880" s="1"/>
      <c r="AD2880" s="1"/>
      <c r="AE2880" s="1"/>
      <c r="AF2880" s="1"/>
      <c r="AG2880" s="1"/>
      <c r="AH2880" s="1"/>
    </row>
    <row r="2881" ht="12.75" hidden="1" customHeight="1" outlineLevel="1">
      <c r="A2881" s="17">
        <v>41512.0</v>
      </c>
      <c r="B2881" s="1" t="s">
        <v>347</v>
      </c>
      <c r="C2881" s="1" t="s">
        <v>364</v>
      </c>
      <c r="D2881" s="74">
        <v>100.0</v>
      </c>
      <c r="E2881" s="67">
        <v>106.719</v>
      </c>
      <c r="F2881" s="75">
        <v>0.6613657407407407</v>
      </c>
      <c r="G2881" s="67" t="s">
        <v>453</v>
      </c>
      <c r="H2881" s="68">
        <v>1.0</v>
      </c>
      <c r="I2881" s="76"/>
      <c r="J2881" s="67">
        <f t="shared" si="204"/>
        <v>10670.9</v>
      </c>
      <c r="K2881" s="7"/>
      <c r="L2881" s="70"/>
      <c r="M2881" s="79"/>
      <c r="N2881" s="1"/>
      <c r="O2881" s="1"/>
      <c r="P2881" s="1"/>
      <c r="Q2881" s="1"/>
      <c r="R2881" s="1"/>
      <c r="S2881" s="1"/>
      <c r="T2881" s="1"/>
      <c r="U2881" s="1"/>
      <c r="V2881" s="1"/>
      <c r="W2881" s="1"/>
      <c r="X2881" s="1"/>
      <c r="Y2881" s="1"/>
      <c r="Z2881" s="1"/>
      <c r="AA2881" s="1"/>
      <c r="AB2881" s="1"/>
      <c r="AC2881" s="1"/>
      <c r="AD2881" s="1"/>
      <c r="AE2881" s="1"/>
      <c r="AF2881" s="1"/>
      <c r="AG2881" s="1"/>
      <c r="AH2881" s="1"/>
    </row>
    <row r="2882" ht="12.75" hidden="1" customHeight="1" outlineLevel="1">
      <c r="A2882" s="17">
        <v>41512.0</v>
      </c>
      <c r="B2882" s="1"/>
      <c r="C2882" s="1" t="s">
        <v>339</v>
      </c>
      <c r="D2882" s="74"/>
      <c r="E2882" s="67"/>
      <c r="F2882" s="75"/>
      <c r="G2882" s="67"/>
      <c r="H2882" s="68"/>
      <c r="I2882" s="76"/>
      <c r="J2882" s="67"/>
      <c r="K2882" s="7" t="s">
        <v>1176</v>
      </c>
      <c r="L2882" s="77"/>
      <c r="M2882" s="79"/>
      <c r="N2882" s="1"/>
      <c r="O2882" s="1"/>
      <c r="P2882" s="1"/>
      <c r="Q2882" s="1"/>
      <c r="R2882" s="1"/>
      <c r="S2882" s="1"/>
      <c r="T2882" s="1"/>
      <c r="U2882" s="1"/>
      <c r="V2882" s="1"/>
      <c r="W2882" s="1"/>
      <c r="X2882" s="1"/>
      <c r="Y2882" s="1"/>
      <c r="Z2882" s="1"/>
      <c r="AA2882" s="1"/>
      <c r="AB2882" s="1"/>
      <c r="AC2882" s="1"/>
      <c r="AD2882" s="1"/>
      <c r="AE2882" s="1"/>
      <c r="AF2882" s="1"/>
      <c r="AG2882" s="1"/>
      <c r="AH2882" s="1"/>
    </row>
    <row r="2883" ht="12.75" hidden="1" customHeight="1" outlineLevel="1">
      <c r="A2883" s="17">
        <v>41512.0</v>
      </c>
      <c r="B2883" s="1"/>
      <c r="C2883" s="1" t="s">
        <v>429</v>
      </c>
      <c r="D2883" s="74"/>
      <c r="E2883" s="67"/>
      <c r="F2883" s="75"/>
      <c r="G2883" s="67"/>
      <c r="H2883" s="68"/>
      <c r="I2883" s="76"/>
      <c r="J2883" s="67"/>
      <c r="K2883" s="7" t="s">
        <v>1156</v>
      </c>
      <c r="L2883" s="77"/>
      <c r="M2883" s="79"/>
      <c r="N2883" s="1"/>
      <c r="O2883" s="1"/>
      <c r="P2883" s="1"/>
      <c r="Q2883" s="1"/>
      <c r="R2883" s="1"/>
      <c r="S2883" s="1"/>
      <c r="T2883" s="1"/>
      <c r="U2883" s="1"/>
      <c r="V2883" s="1"/>
      <c r="W2883" s="1"/>
      <c r="X2883" s="1"/>
      <c r="Y2883" s="1"/>
      <c r="Z2883" s="1"/>
      <c r="AA2883" s="1"/>
      <c r="AB2883" s="1"/>
      <c r="AC2883" s="1"/>
      <c r="AD2883" s="1"/>
      <c r="AE2883" s="1"/>
      <c r="AF2883" s="1"/>
      <c r="AG2883" s="1"/>
      <c r="AH2883" s="1"/>
    </row>
    <row r="2884" ht="12.75" hidden="1" customHeight="1" outlineLevel="1">
      <c r="A2884" s="17">
        <v>41512.0</v>
      </c>
      <c r="B2884" s="1"/>
      <c r="C2884" s="1" t="s">
        <v>431</v>
      </c>
      <c r="D2884" s="74"/>
      <c r="E2884" s="67"/>
      <c r="F2884" s="75"/>
      <c r="G2884" s="67"/>
      <c r="H2884" s="68"/>
      <c r="I2884" s="76"/>
      <c r="J2884" s="67"/>
      <c r="K2884" s="7" t="s">
        <v>1126</v>
      </c>
      <c r="L2884" s="77"/>
      <c r="M2884" s="79"/>
      <c r="N2884" s="1"/>
      <c r="O2884" s="1"/>
      <c r="P2884" s="1"/>
      <c r="Q2884" s="1"/>
      <c r="R2884" s="1"/>
      <c r="S2884" s="1"/>
      <c r="T2884" s="1"/>
      <c r="U2884" s="1"/>
      <c r="V2884" s="1"/>
      <c r="W2884" s="1"/>
      <c r="X2884" s="1"/>
      <c r="Y2884" s="1"/>
      <c r="Z2884" s="1"/>
      <c r="AA2884" s="1"/>
      <c r="AB2884" s="1"/>
      <c r="AC2884" s="1"/>
      <c r="AD2884" s="1"/>
      <c r="AE2884" s="1"/>
      <c r="AF2884" s="1"/>
      <c r="AG2884" s="1"/>
      <c r="AH2884" s="1"/>
    </row>
    <row r="2885" ht="12.75" hidden="1" customHeight="1" outlineLevel="1">
      <c r="A2885" s="17">
        <v>41512.0</v>
      </c>
      <c r="B2885" s="1"/>
      <c r="C2885" s="1" t="s">
        <v>433</v>
      </c>
      <c r="D2885" s="74"/>
      <c r="E2885" s="67"/>
      <c r="F2885" s="75"/>
      <c r="G2885" s="67"/>
      <c r="H2885" s="68"/>
      <c r="I2885" s="76"/>
      <c r="J2885" s="67"/>
      <c r="K2885" s="7" t="s">
        <v>1103</v>
      </c>
      <c r="L2885" s="77"/>
      <c r="M2885" s="79"/>
      <c r="N2885" s="1"/>
      <c r="O2885" s="1"/>
      <c r="P2885" s="1"/>
      <c r="Q2885" s="1"/>
      <c r="R2885" s="1"/>
      <c r="S2885" s="1"/>
      <c r="T2885" s="1"/>
      <c r="U2885" s="1"/>
      <c r="V2885" s="1"/>
      <c r="W2885" s="1"/>
      <c r="X2885" s="1"/>
      <c r="Y2885" s="1"/>
      <c r="Z2885" s="1"/>
      <c r="AA2885" s="1"/>
      <c r="AB2885" s="1"/>
      <c r="AC2885" s="1"/>
      <c r="AD2885" s="1"/>
      <c r="AE2885" s="1"/>
      <c r="AF2885" s="1"/>
      <c r="AG2885" s="1"/>
      <c r="AH2885" s="1"/>
    </row>
    <row r="2886" ht="12.75" hidden="1" customHeight="1" outlineLevel="1">
      <c r="A2886" s="17">
        <v>41512.0</v>
      </c>
      <c r="B2886" s="1"/>
      <c r="C2886" s="1" t="s">
        <v>435</v>
      </c>
      <c r="D2886" s="74"/>
      <c r="E2886" s="67"/>
      <c r="F2886" s="75"/>
      <c r="G2886" s="67"/>
      <c r="H2886" s="68"/>
      <c r="I2886" s="76"/>
      <c r="J2886" s="67"/>
      <c r="K2886" s="7" t="s">
        <v>1104</v>
      </c>
      <c r="L2886" s="77"/>
      <c r="M2886" s="79"/>
      <c r="N2886" s="1"/>
      <c r="O2886" s="1"/>
      <c r="P2886" s="1"/>
      <c r="Q2886" s="1"/>
      <c r="R2886" s="1"/>
      <c r="S2886" s="1"/>
      <c r="T2886" s="1"/>
      <c r="U2886" s="1"/>
      <c r="V2886" s="1"/>
      <c r="W2886" s="1"/>
      <c r="X2886" s="1"/>
      <c r="Y2886" s="1"/>
      <c r="Z2886" s="1"/>
      <c r="AA2886" s="1"/>
      <c r="AB2886" s="1"/>
      <c r="AC2886" s="1"/>
      <c r="AD2886" s="1"/>
      <c r="AE2886" s="1"/>
      <c r="AF2886" s="1"/>
      <c r="AG2886" s="1"/>
      <c r="AH2886" s="1"/>
    </row>
    <row r="2887" ht="12.75" hidden="1" customHeight="1" outlineLevel="1">
      <c r="A2887" s="17">
        <v>41515.0</v>
      </c>
      <c r="B2887" s="1" t="s">
        <v>347</v>
      </c>
      <c r="C2887" s="1" t="s">
        <v>369</v>
      </c>
      <c r="D2887" s="74">
        <v>1000.0</v>
      </c>
      <c r="E2887" s="67">
        <v>20.95</v>
      </c>
      <c r="F2887" s="75">
        <v>0.6380787037037037</v>
      </c>
      <c r="G2887" s="67" t="s">
        <v>453</v>
      </c>
      <c r="H2887" s="68">
        <v>4.0</v>
      </c>
      <c r="I2887" s="76"/>
      <c r="J2887" s="67">
        <f t="shared" ref="J2887:J2889" si="205">IF(B2887="SLD",D2887*E2887,-D2887*E2887)-H2887</f>
        <v>20946</v>
      </c>
      <c r="K2887" s="7"/>
      <c r="L2887" s="70"/>
      <c r="M2887" s="79"/>
      <c r="N2887" s="1"/>
      <c r="O2887" s="1"/>
      <c r="P2887" s="1"/>
      <c r="Q2887" s="1"/>
      <c r="R2887" s="1"/>
      <c r="S2887" s="1"/>
      <c r="T2887" s="1"/>
      <c r="U2887" s="1"/>
      <c r="V2887" s="1"/>
      <c r="W2887" s="1"/>
      <c r="X2887" s="1"/>
      <c r="Y2887" s="1"/>
      <c r="Z2887" s="1"/>
      <c r="AA2887" s="1"/>
      <c r="AB2887" s="1"/>
      <c r="AC2887" s="1"/>
      <c r="AD2887" s="1"/>
      <c r="AE2887" s="1"/>
      <c r="AF2887" s="1"/>
      <c r="AG2887" s="1"/>
      <c r="AH2887" s="1"/>
    </row>
    <row r="2888" ht="12.75" hidden="1" customHeight="1" outlineLevel="1">
      <c r="A2888" s="17">
        <v>41515.0</v>
      </c>
      <c r="B2888" s="1" t="s">
        <v>347</v>
      </c>
      <c r="C2888" s="1" t="s">
        <v>784</v>
      </c>
      <c r="D2888" s="74">
        <v>1800.0</v>
      </c>
      <c r="E2888" s="67">
        <v>14.45</v>
      </c>
      <c r="F2888" s="75">
        <v>0.6383333333333333</v>
      </c>
      <c r="G2888" s="67" t="s">
        <v>453</v>
      </c>
      <c r="H2888" s="68">
        <v>7.2</v>
      </c>
      <c r="I2888" s="76"/>
      <c r="J2888" s="67">
        <f t="shared" si="205"/>
        <v>26002.8</v>
      </c>
      <c r="K2888" s="7"/>
      <c r="L2888" s="70"/>
      <c r="M2888" s="79"/>
      <c r="N2888" s="1"/>
      <c r="O2888" s="1"/>
      <c r="P2888" s="1"/>
      <c r="Q2888" s="1"/>
      <c r="R2888" s="1"/>
      <c r="S2888" s="1"/>
      <c r="T2888" s="1"/>
      <c r="U2888" s="1"/>
      <c r="V2888" s="1"/>
      <c r="W2888" s="1"/>
      <c r="X2888" s="1"/>
      <c r="Y2888" s="1"/>
      <c r="Z2888" s="1"/>
      <c r="AA2888" s="1"/>
      <c r="AB2888" s="1"/>
      <c r="AC2888" s="1"/>
      <c r="AD2888" s="1"/>
      <c r="AE2888" s="1"/>
      <c r="AF2888" s="1"/>
      <c r="AG2888" s="1"/>
      <c r="AH2888" s="1"/>
    </row>
    <row r="2889" ht="12.75" hidden="1" customHeight="1" outlineLevel="1">
      <c r="A2889" s="17">
        <v>41515.0</v>
      </c>
      <c r="B2889" s="1" t="s">
        <v>347</v>
      </c>
      <c r="C2889" s="1" t="s">
        <v>1044</v>
      </c>
      <c r="D2889" s="74">
        <v>900.0</v>
      </c>
      <c r="E2889" s="67">
        <v>28.47</v>
      </c>
      <c r="F2889" s="75">
        <v>0.6384953703703703</v>
      </c>
      <c r="G2889" s="67" t="s">
        <v>453</v>
      </c>
      <c r="H2889" s="68">
        <v>3.6</v>
      </c>
      <c r="I2889" s="76"/>
      <c r="J2889" s="67">
        <f t="shared" si="205"/>
        <v>25619.4</v>
      </c>
      <c r="K2889" s="7"/>
      <c r="L2889" s="70"/>
      <c r="M2889" s="79"/>
      <c r="N2889" s="1"/>
      <c r="O2889" s="1"/>
      <c r="P2889" s="1"/>
      <c r="Q2889" s="1"/>
      <c r="R2889" s="1"/>
      <c r="S2889" s="1"/>
      <c r="T2889" s="1"/>
      <c r="U2889" s="1"/>
      <c r="V2889" s="1"/>
      <c r="W2889" s="1"/>
      <c r="X2889" s="1"/>
      <c r="Y2889" s="1"/>
      <c r="Z2889" s="1"/>
      <c r="AA2889" s="1"/>
      <c r="AB2889" s="1"/>
      <c r="AC2889" s="1"/>
      <c r="AD2889" s="1"/>
      <c r="AE2889" s="1"/>
      <c r="AF2889" s="1"/>
      <c r="AG2889" s="1"/>
      <c r="AH2889" s="1"/>
    </row>
    <row r="2890" ht="12.75" hidden="1" customHeight="1" outlineLevel="1">
      <c r="A2890" s="17">
        <v>41515.0</v>
      </c>
      <c r="B2890" s="1"/>
      <c r="C2890" s="1" t="s">
        <v>339</v>
      </c>
      <c r="D2890" s="74"/>
      <c r="E2890" s="67"/>
      <c r="F2890" s="75"/>
      <c r="G2890" s="67"/>
      <c r="H2890" s="68"/>
      <c r="I2890" s="76"/>
      <c r="J2890" s="67"/>
      <c r="K2890" s="7" t="s">
        <v>1178</v>
      </c>
      <c r="L2890" s="77"/>
      <c r="M2890" s="79"/>
      <c r="N2890" s="1"/>
      <c r="O2890" s="1"/>
      <c r="P2890" s="1"/>
      <c r="Q2890" s="1"/>
      <c r="R2890" s="1"/>
      <c r="S2890" s="1"/>
      <c r="T2890" s="1"/>
      <c r="U2890" s="1"/>
      <c r="V2890" s="1"/>
      <c r="W2890" s="1"/>
      <c r="X2890" s="1"/>
      <c r="Y2890" s="1"/>
      <c r="Z2890" s="1"/>
      <c r="AA2890" s="1"/>
      <c r="AB2890" s="1"/>
      <c r="AC2890" s="1"/>
      <c r="AD2890" s="1"/>
      <c r="AE2890" s="1"/>
      <c r="AF2890" s="1"/>
      <c r="AG2890" s="1"/>
      <c r="AH2890" s="1"/>
    </row>
    <row r="2891" ht="12.75" hidden="1" customHeight="1" outlineLevel="1">
      <c r="A2891" s="17">
        <v>41515.0</v>
      </c>
      <c r="B2891" s="1"/>
      <c r="C2891" s="1" t="s">
        <v>429</v>
      </c>
      <c r="D2891" s="74"/>
      <c r="E2891" s="67"/>
      <c r="F2891" s="75"/>
      <c r="G2891" s="67"/>
      <c r="H2891" s="68"/>
      <c r="I2891" s="76"/>
      <c r="J2891" s="67"/>
      <c r="K2891" s="7" t="s">
        <v>1156</v>
      </c>
      <c r="L2891" s="77"/>
      <c r="M2891" s="79"/>
      <c r="N2891" s="1"/>
      <c r="O2891" s="1"/>
      <c r="P2891" s="1"/>
      <c r="Q2891" s="1"/>
      <c r="R2891" s="1"/>
      <c r="S2891" s="1"/>
      <c r="T2891" s="1"/>
      <c r="U2891" s="1"/>
      <c r="V2891" s="1"/>
      <c r="W2891" s="1"/>
      <c r="X2891" s="1"/>
      <c r="Y2891" s="1"/>
      <c r="Z2891" s="1"/>
      <c r="AA2891" s="1"/>
      <c r="AB2891" s="1"/>
      <c r="AC2891" s="1"/>
      <c r="AD2891" s="1"/>
      <c r="AE2891" s="1"/>
      <c r="AF2891" s="1"/>
      <c r="AG2891" s="1"/>
      <c r="AH2891" s="1"/>
    </row>
    <row r="2892" ht="12.75" hidden="1" customHeight="1" outlineLevel="1">
      <c r="A2892" s="17">
        <v>41515.0</v>
      </c>
      <c r="B2892" s="1"/>
      <c r="C2892" s="1" t="s">
        <v>431</v>
      </c>
      <c r="D2892" s="74"/>
      <c r="E2892" s="67"/>
      <c r="F2892" s="75"/>
      <c r="G2892" s="67"/>
      <c r="H2892" s="68"/>
      <c r="I2892" s="76"/>
      <c r="J2892" s="67"/>
      <c r="K2892" s="7" t="s">
        <v>1126</v>
      </c>
      <c r="L2892" s="77"/>
      <c r="M2892" s="79"/>
      <c r="N2892" s="1"/>
      <c r="O2892" s="1"/>
      <c r="P2892" s="1"/>
      <c r="Q2892" s="1"/>
      <c r="R2892" s="1"/>
      <c r="S2892" s="1"/>
      <c r="T2892" s="1"/>
      <c r="U2892" s="1"/>
      <c r="V2892" s="1"/>
      <c r="W2892" s="1"/>
      <c r="X2892" s="1"/>
      <c r="Y2892" s="1"/>
      <c r="Z2892" s="1"/>
      <c r="AA2892" s="1"/>
      <c r="AB2892" s="1"/>
      <c r="AC2892" s="1"/>
      <c r="AD2892" s="1"/>
      <c r="AE2892" s="1"/>
      <c r="AF2892" s="1"/>
      <c r="AG2892" s="1"/>
      <c r="AH2892" s="1"/>
    </row>
    <row r="2893" ht="12.75" hidden="1" customHeight="1" outlineLevel="1">
      <c r="A2893" s="17">
        <v>41515.0</v>
      </c>
      <c r="B2893" s="1"/>
      <c r="C2893" s="1" t="s">
        <v>433</v>
      </c>
      <c r="D2893" s="74"/>
      <c r="E2893" s="67"/>
      <c r="F2893" s="75"/>
      <c r="G2893" s="67"/>
      <c r="H2893" s="68"/>
      <c r="I2893" s="76"/>
      <c r="J2893" s="67"/>
      <c r="K2893" s="7" t="s">
        <v>1103</v>
      </c>
      <c r="L2893" s="77"/>
      <c r="M2893" s="79"/>
      <c r="N2893" s="1"/>
      <c r="O2893" s="1"/>
      <c r="P2893" s="1"/>
      <c r="Q2893" s="1"/>
      <c r="R2893" s="1"/>
      <c r="S2893" s="1"/>
      <c r="T2893" s="1"/>
      <c r="U2893" s="1"/>
      <c r="V2893" s="1"/>
      <c r="W2893" s="1"/>
      <c r="X2893" s="1"/>
      <c r="Y2893" s="1"/>
      <c r="Z2893" s="1"/>
      <c r="AA2893" s="1"/>
      <c r="AB2893" s="1"/>
      <c r="AC2893" s="1"/>
      <c r="AD2893" s="1"/>
      <c r="AE2893" s="1"/>
      <c r="AF2893" s="1"/>
      <c r="AG2893" s="1"/>
      <c r="AH2893" s="1"/>
    </row>
    <row r="2894" ht="12.75" hidden="1" customHeight="1" outlineLevel="1">
      <c r="A2894" s="17">
        <v>41515.0</v>
      </c>
      <c r="B2894" s="1"/>
      <c r="C2894" s="1" t="s">
        <v>435</v>
      </c>
      <c r="D2894" s="74"/>
      <c r="E2894" s="67"/>
      <c r="F2894" s="75"/>
      <c r="G2894" s="67"/>
      <c r="H2894" s="68"/>
      <c r="I2894" s="76"/>
      <c r="J2894" s="67"/>
      <c r="K2894" s="7" t="s">
        <v>1104</v>
      </c>
      <c r="L2894" s="77"/>
      <c r="M2894" s="79"/>
      <c r="N2894" s="1"/>
      <c r="O2894" s="1"/>
      <c r="P2894" s="1"/>
      <c r="Q2894" s="1"/>
      <c r="R2894" s="1"/>
      <c r="S2894" s="1"/>
      <c r="T2894" s="1"/>
      <c r="U2894" s="1"/>
      <c r="V2894" s="1"/>
      <c r="W2894" s="1"/>
      <c r="X2894" s="1"/>
      <c r="Y2894" s="1"/>
      <c r="Z2894" s="1"/>
      <c r="AA2894" s="1"/>
      <c r="AB2894" s="1"/>
      <c r="AC2894" s="1"/>
      <c r="AD2894" s="1"/>
      <c r="AE2894" s="1"/>
      <c r="AF2894" s="1"/>
      <c r="AG2894" s="1"/>
      <c r="AH2894" s="1"/>
    </row>
    <row r="2895" ht="12.75" hidden="1" customHeight="1" outlineLevel="1">
      <c r="A2895" s="17">
        <v>41517.0</v>
      </c>
      <c r="B2895" s="1"/>
      <c r="C2895" s="1" t="s">
        <v>339</v>
      </c>
      <c r="D2895" s="74"/>
      <c r="E2895" s="67"/>
      <c r="F2895" s="75"/>
      <c r="G2895" s="67"/>
      <c r="H2895" s="68"/>
      <c r="I2895" s="76"/>
      <c r="J2895" s="67"/>
      <c r="K2895" s="7" t="s">
        <v>1179</v>
      </c>
      <c r="L2895" s="77"/>
      <c r="M2895" s="79"/>
      <c r="N2895" s="1"/>
      <c r="O2895" s="1"/>
      <c r="P2895" s="1"/>
      <c r="Q2895" s="1"/>
      <c r="R2895" s="1"/>
      <c r="S2895" s="1"/>
      <c r="T2895" s="1"/>
      <c r="U2895" s="1"/>
      <c r="V2895" s="1"/>
      <c r="W2895" s="1"/>
      <c r="X2895" s="1"/>
      <c r="Y2895" s="1"/>
      <c r="Z2895" s="1"/>
      <c r="AA2895" s="1"/>
      <c r="AB2895" s="1"/>
      <c r="AC2895" s="1"/>
      <c r="AD2895" s="1"/>
      <c r="AE2895" s="1"/>
      <c r="AF2895" s="1"/>
      <c r="AG2895" s="1"/>
      <c r="AH2895" s="1"/>
    </row>
    <row r="2896" ht="12.75" hidden="1" customHeight="1" outlineLevel="1">
      <c r="A2896" s="17">
        <v>41517.0</v>
      </c>
      <c r="B2896" s="1"/>
      <c r="C2896" s="1" t="s">
        <v>429</v>
      </c>
      <c r="D2896" s="74"/>
      <c r="E2896" s="67"/>
      <c r="F2896" s="75"/>
      <c r="G2896" s="67"/>
      <c r="H2896" s="68"/>
      <c r="I2896" s="76"/>
      <c r="J2896" s="67"/>
      <c r="K2896" s="7" t="s">
        <v>1156</v>
      </c>
      <c r="L2896" s="77"/>
      <c r="M2896" s="79"/>
      <c r="N2896" s="1"/>
      <c r="O2896" s="1"/>
      <c r="P2896" s="1"/>
      <c r="Q2896" s="1"/>
      <c r="R2896" s="1"/>
      <c r="S2896" s="1"/>
      <c r="T2896" s="1"/>
      <c r="U2896" s="1"/>
      <c r="V2896" s="1"/>
      <c r="W2896" s="1"/>
      <c r="X2896" s="1"/>
      <c r="Y2896" s="1"/>
      <c r="Z2896" s="1"/>
      <c r="AA2896" s="1"/>
      <c r="AB2896" s="1"/>
      <c r="AC2896" s="1"/>
      <c r="AD2896" s="1"/>
      <c r="AE2896" s="1"/>
      <c r="AF2896" s="1"/>
      <c r="AG2896" s="1"/>
      <c r="AH2896" s="1"/>
    </row>
    <row r="2897" ht="12.75" hidden="1" customHeight="1" outlineLevel="1">
      <c r="A2897" s="17">
        <v>41517.0</v>
      </c>
      <c r="B2897" s="1"/>
      <c r="C2897" s="1" t="s">
        <v>431</v>
      </c>
      <c r="D2897" s="74"/>
      <c r="E2897" s="67"/>
      <c r="F2897" s="75"/>
      <c r="G2897" s="67"/>
      <c r="H2897" s="68"/>
      <c r="I2897" s="76"/>
      <c r="J2897" s="67"/>
      <c r="K2897" s="7" t="s">
        <v>1126</v>
      </c>
      <c r="L2897" s="77"/>
      <c r="M2897" s="79"/>
      <c r="N2897" s="1"/>
      <c r="O2897" s="1"/>
      <c r="P2897" s="1"/>
      <c r="Q2897" s="1"/>
      <c r="R2897" s="1"/>
      <c r="S2897" s="1"/>
      <c r="T2897" s="1"/>
      <c r="U2897" s="1"/>
      <c r="V2897" s="1"/>
      <c r="W2897" s="1"/>
      <c r="X2897" s="1"/>
      <c r="Y2897" s="1"/>
      <c r="Z2897" s="1"/>
      <c r="AA2897" s="1"/>
      <c r="AB2897" s="1"/>
      <c r="AC2897" s="1"/>
      <c r="AD2897" s="1"/>
      <c r="AE2897" s="1"/>
      <c r="AF2897" s="1"/>
      <c r="AG2897" s="1"/>
      <c r="AH2897" s="1"/>
    </row>
    <row r="2898" ht="12.75" hidden="1" customHeight="1" outlineLevel="1">
      <c r="A2898" s="17">
        <v>41517.0</v>
      </c>
      <c r="B2898" s="1"/>
      <c r="C2898" s="1" t="s">
        <v>433</v>
      </c>
      <c r="D2898" s="74"/>
      <c r="E2898" s="67"/>
      <c r="F2898" s="75"/>
      <c r="G2898" s="67"/>
      <c r="H2898" s="68"/>
      <c r="I2898" s="76"/>
      <c r="J2898" s="67"/>
      <c r="K2898" s="7" t="s">
        <v>1103</v>
      </c>
      <c r="L2898" s="77"/>
      <c r="M2898" s="79"/>
      <c r="N2898" s="1"/>
      <c r="O2898" s="1"/>
      <c r="P2898" s="1"/>
      <c r="Q2898" s="1"/>
      <c r="R2898" s="1"/>
      <c r="S2898" s="1"/>
      <c r="T2898" s="1"/>
      <c r="U2898" s="1"/>
      <c r="V2898" s="1"/>
      <c r="W2898" s="1"/>
      <c r="X2898" s="1"/>
      <c r="Y2898" s="1"/>
      <c r="Z2898" s="1"/>
      <c r="AA2898" s="1"/>
      <c r="AB2898" s="1"/>
      <c r="AC2898" s="1"/>
      <c r="AD2898" s="1"/>
      <c r="AE2898" s="1"/>
      <c r="AF2898" s="1"/>
      <c r="AG2898" s="1"/>
      <c r="AH2898" s="1"/>
    </row>
    <row r="2899" ht="12.75" hidden="1" customHeight="1" outlineLevel="1">
      <c r="A2899" s="17">
        <v>41517.0</v>
      </c>
      <c r="B2899" s="1"/>
      <c r="C2899" s="1" t="s">
        <v>435</v>
      </c>
      <c r="D2899" s="74"/>
      <c r="E2899" s="67"/>
      <c r="F2899" s="75"/>
      <c r="G2899" s="67"/>
      <c r="H2899" s="68"/>
      <c r="I2899" s="76"/>
      <c r="J2899" s="67"/>
      <c r="K2899" s="7" t="s">
        <v>1104</v>
      </c>
      <c r="L2899" s="77"/>
      <c r="M2899" s="79"/>
      <c r="N2899" s="1"/>
      <c r="O2899" s="1"/>
      <c r="P2899" s="1"/>
      <c r="Q2899" s="1"/>
      <c r="R2899" s="1"/>
      <c r="S2899" s="1"/>
      <c r="T2899" s="1"/>
      <c r="U2899" s="1"/>
      <c r="V2899" s="1"/>
      <c r="W2899" s="1"/>
      <c r="X2899" s="1"/>
      <c r="Y2899" s="1"/>
      <c r="Z2899" s="1"/>
      <c r="AA2899" s="1"/>
      <c r="AB2899" s="1"/>
      <c r="AC2899" s="1"/>
      <c r="AD2899" s="1"/>
      <c r="AE2899" s="1"/>
      <c r="AF2899" s="1"/>
      <c r="AG2899" s="1"/>
      <c r="AH2899" s="1"/>
    </row>
    <row r="2900" ht="12.75" hidden="1" customHeight="1" outlineLevel="1">
      <c r="A2900" s="17">
        <v>41520.0</v>
      </c>
      <c r="B2900" s="1"/>
      <c r="C2900" s="1" t="s">
        <v>339</v>
      </c>
      <c r="D2900" s="74"/>
      <c r="E2900" s="67"/>
      <c r="F2900" s="75"/>
      <c r="G2900" s="67"/>
      <c r="H2900" s="68"/>
      <c r="I2900" s="76"/>
      <c r="J2900" s="67"/>
      <c r="K2900" s="7" t="s">
        <v>1180</v>
      </c>
      <c r="L2900" s="77"/>
      <c r="M2900" s="79"/>
      <c r="N2900" s="1"/>
      <c r="O2900" s="1"/>
      <c r="P2900" s="1"/>
      <c r="Q2900" s="1"/>
      <c r="R2900" s="1"/>
      <c r="S2900" s="1"/>
      <c r="T2900" s="1"/>
      <c r="U2900" s="1"/>
      <c r="V2900" s="1"/>
      <c r="W2900" s="1"/>
      <c r="X2900" s="1"/>
      <c r="Y2900" s="1"/>
      <c r="Z2900" s="1"/>
      <c r="AA2900" s="1"/>
      <c r="AB2900" s="1"/>
      <c r="AC2900" s="1"/>
      <c r="AD2900" s="1"/>
      <c r="AE2900" s="1"/>
      <c r="AF2900" s="1"/>
      <c r="AG2900" s="1"/>
      <c r="AH2900" s="1"/>
    </row>
    <row r="2901" ht="12.75" hidden="1" customHeight="1" outlineLevel="1">
      <c r="A2901" s="17">
        <v>41520.0</v>
      </c>
      <c r="B2901" s="1"/>
      <c r="C2901" s="1" t="s">
        <v>429</v>
      </c>
      <c r="D2901" s="74"/>
      <c r="E2901" s="67"/>
      <c r="F2901" s="75"/>
      <c r="G2901" s="67"/>
      <c r="H2901" s="68"/>
      <c r="I2901" s="76"/>
      <c r="J2901" s="67"/>
      <c r="K2901" s="7" t="s">
        <v>1156</v>
      </c>
      <c r="L2901" s="77"/>
      <c r="M2901" s="79"/>
      <c r="N2901" s="1"/>
      <c r="O2901" s="1"/>
      <c r="P2901" s="1"/>
      <c r="Q2901" s="1"/>
      <c r="R2901" s="1"/>
      <c r="S2901" s="1"/>
      <c r="T2901" s="1"/>
      <c r="U2901" s="1"/>
      <c r="V2901" s="1"/>
      <c r="W2901" s="1"/>
      <c r="X2901" s="1"/>
      <c r="Y2901" s="1"/>
      <c r="Z2901" s="1"/>
      <c r="AA2901" s="1"/>
      <c r="AB2901" s="1"/>
      <c r="AC2901" s="1"/>
      <c r="AD2901" s="1"/>
      <c r="AE2901" s="1"/>
      <c r="AF2901" s="1"/>
      <c r="AG2901" s="1"/>
      <c r="AH2901" s="1"/>
    </row>
    <row r="2902" ht="12.75" hidden="1" customHeight="1" outlineLevel="1">
      <c r="A2902" s="17">
        <v>41520.0</v>
      </c>
      <c r="B2902" s="1"/>
      <c r="C2902" s="1" t="s">
        <v>431</v>
      </c>
      <c r="D2902" s="74"/>
      <c r="E2902" s="67"/>
      <c r="F2902" s="75"/>
      <c r="G2902" s="67"/>
      <c r="H2902" s="68"/>
      <c r="I2902" s="76"/>
      <c r="J2902" s="67"/>
      <c r="K2902" s="7" t="s">
        <v>1126</v>
      </c>
      <c r="L2902" s="77"/>
      <c r="M2902" s="79"/>
      <c r="N2902" s="1"/>
      <c r="O2902" s="1"/>
      <c r="P2902" s="1"/>
      <c r="Q2902" s="1"/>
      <c r="R2902" s="1"/>
      <c r="S2902" s="1"/>
      <c r="T2902" s="1"/>
      <c r="U2902" s="1"/>
      <c r="V2902" s="1"/>
      <c r="W2902" s="1"/>
      <c r="X2902" s="1"/>
      <c r="Y2902" s="1"/>
      <c r="Z2902" s="1"/>
      <c r="AA2902" s="1"/>
      <c r="AB2902" s="1"/>
      <c r="AC2902" s="1"/>
      <c r="AD2902" s="1"/>
      <c r="AE2902" s="1"/>
      <c r="AF2902" s="1"/>
      <c r="AG2902" s="1"/>
      <c r="AH2902" s="1"/>
    </row>
    <row r="2903" ht="12.75" hidden="1" customHeight="1" outlineLevel="1">
      <c r="A2903" s="17">
        <v>41520.0</v>
      </c>
      <c r="B2903" s="1"/>
      <c r="C2903" s="1" t="s">
        <v>433</v>
      </c>
      <c r="D2903" s="74"/>
      <c r="E2903" s="67"/>
      <c r="F2903" s="75"/>
      <c r="G2903" s="67"/>
      <c r="H2903" s="68"/>
      <c r="I2903" s="76"/>
      <c r="J2903" s="67"/>
      <c r="K2903" s="7" t="s">
        <v>1103</v>
      </c>
      <c r="L2903" s="77"/>
      <c r="M2903" s="79"/>
      <c r="N2903" s="1"/>
      <c r="O2903" s="1"/>
      <c r="P2903" s="1"/>
      <c r="Q2903" s="1"/>
      <c r="R2903" s="1"/>
      <c r="S2903" s="1"/>
      <c r="T2903" s="1"/>
      <c r="U2903" s="1"/>
      <c r="V2903" s="1"/>
      <c r="W2903" s="1"/>
      <c r="X2903" s="1"/>
      <c r="Y2903" s="1"/>
      <c r="Z2903" s="1"/>
      <c r="AA2903" s="1"/>
      <c r="AB2903" s="1"/>
      <c r="AC2903" s="1"/>
      <c r="AD2903" s="1"/>
      <c r="AE2903" s="1"/>
      <c r="AF2903" s="1"/>
      <c r="AG2903" s="1"/>
      <c r="AH2903" s="1"/>
    </row>
    <row r="2904" ht="12.75" hidden="1" customHeight="1" outlineLevel="1">
      <c r="A2904" s="17">
        <v>41520.0</v>
      </c>
      <c r="B2904" s="1"/>
      <c r="C2904" s="1" t="s">
        <v>435</v>
      </c>
      <c r="D2904" s="74"/>
      <c r="E2904" s="67"/>
      <c r="F2904" s="75"/>
      <c r="G2904" s="67"/>
      <c r="H2904" s="68"/>
      <c r="I2904" s="76"/>
      <c r="J2904" s="67"/>
      <c r="K2904" s="7" t="s">
        <v>1104</v>
      </c>
      <c r="L2904" s="77"/>
      <c r="M2904" s="79"/>
      <c r="N2904" s="1"/>
      <c r="O2904" s="1"/>
      <c r="P2904" s="1"/>
      <c r="Q2904" s="1"/>
      <c r="R2904" s="1"/>
      <c r="S2904" s="1"/>
      <c r="T2904" s="1"/>
      <c r="U2904" s="1"/>
      <c r="V2904" s="1"/>
      <c r="W2904" s="1"/>
      <c r="X2904" s="1"/>
      <c r="Y2904" s="1"/>
      <c r="Z2904" s="1"/>
      <c r="AA2904" s="1"/>
      <c r="AB2904" s="1"/>
      <c r="AC2904" s="1"/>
      <c r="AD2904" s="1"/>
      <c r="AE2904" s="1"/>
      <c r="AF2904" s="1"/>
      <c r="AG2904" s="1"/>
      <c r="AH2904" s="1"/>
    </row>
    <row r="2905" ht="12.75" hidden="1" customHeight="1" outlineLevel="1">
      <c r="A2905" s="17">
        <v>41522.0</v>
      </c>
      <c r="B2905" s="1"/>
      <c r="C2905" s="1" t="s">
        <v>339</v>
      </c>
      <c r="D2905" s="74"/>
      <c r="E2905" s="67"/>
      <c r="F2905" s="75"/>
      <c r="G2905" s="67"/>
      <c r="H2905" s="68"/>
      <c r="I2905" s="76"/>
      <c r="J2905" s="67"/>
      <c r="K2905" s="7" t="s">
        <v>1181</v>
      </c>
      <c r="L2905" s="77"/>
      <c r="M2905" s="79"/>
      <c r="N2905" s="1"/>
      <c r="O2905" s="1"/>
      <c r="P2905" s="1"/>
      <c r="Q2905" s="1"/>
      <c r="R2905" s="1"/>
      <c r="S2905" s="1"/>
      <c r="T2905" s="1"/>
      <c r="U2905" s="1"/>
      <c r="V2905" s="1"/>
      <c r="W2905" s="1"/>
      <c r="X2905" s="1"/>
      <c r="Y2905" s="1"/>
      <c r="Z2905" s="1"/>
      <c r="AA2905" s="1"/>
      <c r="AB2905" s="1"/>
      <c r="AC2905" s="1"/>
      <c r="AD2905" s="1"/>
      <c r="AE2905" s="1"/>
      <c r="AF2905" s="1"/>
      <c r="AG2905" s="1"/>
      <c r="AH2905" s="1"/>
    </row>
    <row r="2906" ht="12.75" hidden="1" customHeight="1" outlineLevel="1">
      <c r="A2906" s="17">
        <v>41522.0</v>
      </c>
      <c r="B2906" s="1"/>
      <c r="C2906" s="1" t="s">
        <v>429</v>
      </c>
      <c r="D2906" s="74"/>
      <c r="E2906" s="67"/>
      <c r="F2906" s="75"/>
      <c r="G2906" s="67"/>
      <c r="H2906" s="68"/>
      <c r="I2906" s="76"/>
      <c r="J2906" s="67"/>
      <c r="K2906" s="7" t="s">
        <v>1156</v>
      </c>
      <c r="L2906" s="77"/>
      <c r="M2906" s="79"/>
      <c r="N2906" s="1"/>
      <c r="O2906" s="1"/>
      <c r="P2906" s="1"/>
      <c r="Q2906" s="1"/>
      <c r="R2906" s="1"/>
      <c r="S2906" s="1"/>
      <c r="T2906" s="1"/>
      <c r="U2906" s="1"/>
      <c r="V2906" s="1"/>
      <c r="W2906" s="1"/>
      <c r="X2906" s="1"/>
      <c r="Y2906" s="1"/>
      <c r="Z2906" s="1"/>
      <c r="AA2906" s="1"/>
      <c r="AB2906" s="1"/>
      <c r="AC2906" s="1"/>
      <c r="AD2906" s="1"/>
      <c r="AE2906" s="1"/>
      <c r="AF2906" s="1"/>
      <c r="AG2906" s="1"/>
      <c r="AH2906" s="1"/>
    </row>
    <row r="2907" ht="12.75" hidden="1" customHeight="1" outlineLevel="1">
      <c r="A2907" s="17">
        <v>41522.0</v>
      </c>
      <c r="B2907" s="1"/>
      <c r="C2907" s="1" t="s">
        <v>431</v>
      </c>
      <c r="D2907" s="74"/>
      <c r="E2907" s="67"/>
      <c r="F2907" s="75"/>
      <c r="G2907" s="67"/>
      <c r="H2907" s="68"/>
      <c r="I2907" s="76"/>
      <c r="J2907" s="67"/>
      <c r="K2907" s="7" t="s">
        <v>1126</v>
      </c>
      <c r="L2907" s="77"/>
      <c r="M2907" s="79"/>
      <c r="N2907" s="1"/>
      <c r="O2907" s="1"/>
      <c r="P2907" s="1"/>
      <c r="Q2907" s="1"/>
      <c r="R2907" s="1"/>
      <c r="S2907" s="1"/>
      <c r="T2907" s="1"/>
      <c r="U2907" s="1"/>
      <c r="V2907" s="1"/>
      <c r="W2907" s="1"/>
      <c r="X2907" s="1"/>
      <c r="Y2907" s="1"/>
      <c r="Z2907" s="1"/>
      <c r="AA2907" s="1"/>
      <c r="AB2907" s="1"/>
      <c r="AC2907" s="1"/>
      <c r="AD2907" s="1"/>
      <c r="AE2907" s="1"/>
      <c r="AF2907" s="1"/>
      <c r="AG2907" s="1"/>
      <c r="AH2907" s="1"/>
    </row>
    <row r="2908" ht="12.75" hidden="1" customHeight="1" outlineLevel="1">
      <c r="A2908" s="17">
        <v>41522.0</v>
      </c>
      <c r="B2908" s="1"/>
      <c r="C2908" s="1" t="s">
        <v>433</v>
      </c>
      <c r="D2908" s="74"/>
      <c r="E2908" s="67"/>
      <c r="F2908" s="75"/>
      <c r="G2908" s="67"/>
      <c r="H2908" s="68"/>
      <c r="I2908" s="76"/>
      <c r="J2908" s="67"/>
      <c r="K2908" s="7" t="s">
        <v>1103</v>
      </c>
      <c r="L2908" s="77"/>
      <c r="M2908" s="79"/>
      <c r="N2908" s="1"/>
      <c r="O2908" s="1"/>
      <c r="P2908" s="1"/>
      <c r="Q2908" s="1"/>
      <c r="R2908" s="1"/>
      <c r="S2908" s="1"/>
      <c r="T2908" s="1"/>
      <c r="U2908" s="1"/>
      <c r="V2908" s="1"/>
      <c r="W2908" s="1"/>
      <c r="X2908" s="1"/>
      <c r="Y2908" s="1"/>
      <c r="Z2908" s="1"/>
      <c r="AA2908" s="1"/>
      <c r="AB2908" s="1"/>
      <c r="AC2908" s="1"/>
      <c r="AD2908" s="1"/>
      <c r="AE2908" s="1"/>
      <c r="AF2908" s="1"/>
      <c r="AG2908" s="1"/>
      <c r="AH2908" s="1"/>
    </row>
    <row r="2909" ht="12.75" hidden="1" customHeight="1" outlineLevel="1">
      <c r="A2909" s="17">
        <v>41522.0</v>
      </c>
      <c r="B2909" s="1"/>
      <c r="C2909" s="1" t="s">
        <v>435</v>
      </c>
      <c r="D2909" s="74"/>
      <c r="E2909" s="67"/>
      <c r="F2909" s="75"/>
      <c r="G2909" s="67"/>
      <c r="H2909" s="68"/>
      <c r="I2909" s="76"/>
      <c r="J2909" s="67"/>
      <c r="K2909" s="7" t="s">
        <v>1104</v>
      </c>
      <c r="L2909" s="77"/>
      <c r="M2909" s="79"/>
      <c r="N2909" s="1"/>
      <c r="O2909" s="1"/>
      <c r="P2909" s="1"/>
      <c r="Q2909" s="1"/>
      <c r="R2909" s="1"/>
      <c r="S2909" s="1"/>
      <c r="T2909" s="1"/>
      <c r="U2909" s="1"/>
      <c r="V2909" s="1"/>
      <c r="W2909" s="1"/>
      <c r="X2909" s="1"/>
      <c r="Y2909" s="1"/>
      <c r="Z2909" s="1"/>
      <c r="AA2909" s="1"/>
      <c r="AB2909" s="1"/>
      <c r="AC2909" s="1"/>
      <c r="AD2909" s="1"/>
      <c r="AE2909" s="1"/>
      <c r="AF2909" s="1"/>
      <c r="AG2909" s="1"/>
      <c r="AH2909" s="1"/>
    </row>
    <row r="2910" ht="12.75" hidden="1" customHeight="1" outlineLevel="1">
      <c r="A2910" s="17">
        <v>41524.0</v>
      </c>
      <c r="B2910" s="1"/>
      <c r="C2910" s="1" t="s">
        <v>339</v>
      </c>
      <c r="D2910" s="74"/>
      <c r="E2910" s="67"/>
      <c r="F2910" s="75"/>
      <c r="G2910" s="67"/>
      <c r="H2910" s="68"/>
      <c r="I2910" s="76"/>
      <c r="J2910" s="67"/>
      <c r="K2910" s="7" t="s">
        <v>1181</v>
      </c>
      <c r="L2910" s="77"/>
      <c r="M2910" s="79"/>
      <c r="N2910" s="1"/>
      <c r="O2910" s="1"/>
      <c r="P2910" s="1"/>
      <c r="Q2910" s="1"/>
      <c r="R2910" s="1"/>
      <c r="S2910" s="1"/>
      <c r="T2910" s="1"/>
      <c r="U2910" s="1"/>
      <c r="V2910" s="1"/>
      <c r="W2910" s="1"/>
      <c r="X2910" s="1"/>
      <c r="Y2910" s="1"/>
      <c r="Z2910" s="1"/>
      <c r="AA2910" s="1"/>
      <c r="AB2910" s="1"/>
      <c r="AC2910" s="1"/>
      <c r="AD2910" s="1"/>
      <c r="AE2910" s="1"/>
      <c r="AF2910" s="1"/>
      <c r="AG2910" s="1"/>
      <c r="AH2910" s="1"/>
    </row>
    <row r="2911" ht="12.75" hidden="1" customHeight="1" outlineLevel="1">
      <c r="A2911" s="17">
        <v>41524.0</v>
      </c>
      <c r="B2911" s="1"/>
      <c r="C2911" s="1" t="s">
        <v>429</v>
      </c>
      <c r="D2911" s="74"/>
      <c r="E2911" s="67"/>
      <c r="F2911" s="75"/>
      <c r="G2911" s="67"/>
      <c r="H2911" s="68"/>
      <c r="I2911" s="76"/>
      <c r="J2911" s="67"/>
      <c r="K2911" s="7" t="s">
        <v>1156</v>
      </c>
      <c r="L2911" s="77"/>
      <c r="M2911" s="79"/>
      <c r="N2911" s="1"/>
      <c r="O2911" s="1"/>
      <c r="P2911" s="1"/>
      <c r="Q2911" s="1"/>
      <c r="R2911" s="1"/>
      <c r="S2911" s="1"/>
      <c r="T2911" s="1"/>
      <c r="U2911" s="1"/>
      <c r="V2911" s="1"/>
      <c r="W2911" s="1"/>
      <c r="X2911" s="1"/>
      <c r="Y2911" s="1"/>
      <c r="Z2911" s="1"/>
      <c r="AA2911" s="1"/>
      <c r="AB2911" s="1"/>
      <c r="AC2911" s="1"/>
      <c r="AD2911" s="1"/>
      <c r="AE2911" s="1"/>
      <c r="AF2911" s="1"/>
      <c r="AG2911" s="1"/>
      <c r="AH2911" s="1"/>
    </row>
    <row r="2912" ht="12.75" hidden="1" customHeight="1" outlineLevel="1">
      <c r="A2912" s="17">
        <v>41524.0</v>
      </c>
      <c r="B2912" s="1"/>
      <c r="C2912" s="1" t="s">
        <v>431</v>
      </c>
      <c r="D2912" s="74"/>
      <c r="E2912" s="67"/>
      <c r="F2912" s="75"/>
      <c r="G2912" s="67"/>
      <c r="H2912" s="68"/>
      <c r="I2912" s="76"/>
      <c r="J2912" s="67"/>
      <c r="K2912" s="7" t="s">
        <v>1126</v>
      </c>
      <c r="L2912" s="77"/>
      <c r="M2912" s="79"/>
      <c r="N2912" s="1"/>
      <c r="O2912" s="1"/>
      <c r="P2912" s="1"/>
      <c r="Q2912" s="1"/>
      <c r="R2912" s="1"/>
      <c r="S2912" s="1"/>
      <c r="T2912" s="1"/>
      <c r="U2912" s="1"/>
      <c r="V2912" s="1"/>
      <c r="W2912" s="1"/>
      <c r="X2912" s="1"/>
      <c r="Y2912" s="1"/>
      <c r="Z2912" s="1"/>
      <c r="AA2912" s="1"/>
      <c r="AB2912" s="1"/>
      <c r="AC2912" s="1"/>
      <c r="AD2912" s="1"/>
      <c r="AE2912" s="1"/>
      <c r="AF2912" s="1"/>
      <c r="AG2912" s="1"/>
      <c r="AH2912" s="1"/>
    </row>
    <row r="2913" ht="12.75" hidden="1" customHeight="1" outlineLevel="1">
      <c r="A2913" s="17">
        <v>41524.0</v>
      </c>
      <c r="B2913" s="1"/>
      <c r="C2913" s="1" t="s">
        <v>433</v>
      </c>
      <c r="D2913" s="74"/>
      <c r="E2913" s="67"/>
      <c r="F2913" s="75"/>
      <c r="G2913" s="67"/>
      <c r="H2913" s="68"/>
      <c r="I2913" s="76"/>
      <c r="J2913" s="67"/>
      <c r="K2913" s="7" t="s">
        <v>1103</v>
      </c>
      <c r="L2913" s="77"/>
      <c r="M2913" s="79"/>
      <c r="N2913" s="1"/>
      <c r="O2913" s="1"/>
      <c r="P2913" s="1"/>
      <c r="Q2913" s="1"/>
      <c r="R2913" s="1"/>
      <c r="S2913" s="1"/>
      <c r="T2913" s="1"/>
      <c r="U2913" s="1"/>
      <c r="V2913" s="1"/>
      <c r="W2913" s="1"/>
      <c r="X2913" s="1"/>
      <c r="Y2913" s="1"/>
      <c r="Z2913" s="1"/>
      <c r="AA2913" s="1"/>
      <c r="AB2913" s="1"/>
      <c r="AC2913" s="1"/>
      <c r="AD2913" s="1"/>
      <c r="AE2913" s="1"/>
      <c r="AF2913" s="1"/>
      <c r="AG2913" s="1"/>
      <c r="AH2913" s="1"/>
    </row>
    <row r="2914" ht="12.75" hidden="1" customHeight="1" outlineLevel="1">
      <c r="A2914" s="17">
        <v>41524.0</v>
      </c>
      <c r="B2914" s="1"/>
      <c r="C2914" s="1" t="s">
        <v>435</v>
      </c>
      <c r="D2914" s="74"/>
      <c r="E2914" s="67"/>
      <c r="F2914" s="75"/>
      <c r="G2914" s="67"/>
      <c r="H2914" s="68"/>
      <c r="I2914" s="76"/>
      <c r="J2914" s="67"/>
      <c r="K2914" s="7" t="s">
        <v>1104</v>
      </c>
      <c r="L2914" s="77"/>
      <c r="M2914" s="79"/>
      <c r="N2914" s="1"/>
      <c r="O2914" s="1"/>
      <c r="P2914" s="1"/>
      <c r="Q2914" s="1"/>
      <c r="R2914" s="1"/>
      <c r="S2914" s="1"/>
      <c r="T2914" s="1"/>
      <c r="U2914" s="1"/>
      <c r="V2914" s="1"/>
      <c r="W2914" s="1"/>
      <c r="X2914" s="1"/>
      <c r="Y2914" s="1"/>
      <c r="Z2914" s="1"/>
      <c r="AA2914" s="1"/>
      <c r="AB2914" s="1"/>
      <c r="AC2914" s="1"/>
      <c r="AD2914" s="1"/>
      <c r="AE2914" s="1"/>
      <c r="AF2914" s="1"/>
      <c r="AG2914" s="1"/>
      <c r="AH2914" s="1"/>
    </row>
    <row r="2915" ht="12.75" hidden="1" customHeight="1" outlineLevel="1">
      <c r="A2915" s="17">
        <v>41526.0</v>
      </c>
      <c r="B2915" s="1"/>
      <c r="C2915" s="1" t="s">
        <v>339</v>
      </c>
      <c r="D2915" s="74"/>
      <c r="E2915" s="67"/>
      <c r="F2915" s="75"/>
      <c r="G2915" s="67"/>
      <c r="H2915" s="68"/>
      <c r="I2915" s="76"/>
      <c r="J2915" s="67"/>
      <c r="K2915" s="7" t="s">
        <v>1183</v>
      </c>
      <c r="L2915" s="77"/>
      <c r="M2915" s="79"/>
      <c r="N2915" s="1"/>
      <c r="O2915" s="1"/>
      <c r="P2915" s="1"/>
      <c r="Q2915" s="1"/>
      <c r="R2915" s="1"/>
      <c r="S2915" s="1"/>
      <c r="T2915" s="1"/>
      <c r="U2915" s="1"/>
      <c r="V2915" s="1"/>
      <c r="W2915" s="1"/>
      <c r="X2915" s="1"/>
      <c r="Y2915" s="1"/>
      <c r="Z2915" s="1"/>
      <c r="AA2915" s="1"/>
      <c r="AB2915" s="1"/>
      <c r="AC2915" s="1"/>
      <c r="AD2915" s="1"/>
      <c r="AE2915" s="1"/>
      <c r="AF2915" s="1"/>
      <c r="AG2915" s="1"/>
      <c r="AH2915" s="1"/>
    </row>
    <row r="2916" ht="12.75" hidden="1" customHeight="1" outlineLevel="1">
      <c r="A2916" s="17">
        <v>41526.0</v>
      </c>
      <c r="B2916" s="1"/>
      <c r="C2916" s="1" t="s">
        <v>429</v>
      </c>
      <c r="D2916" s="74"/>
      <c r="E2916" s="67"/>
      <c r="F2916" s="75"/>
      <c r="G2916" s="67"/>
      <c r="H2916" s="68"/>
      <c r="I2916" s="76"/>
      <c r="J2916" s="67"/>
      <c r="K2916" s="7" t="s">
        <v>1156</v>
      </c>
      <c r="L2916" s="77"/>
      <c r="M2916" s="79"/>
      <c r="N2916" s="1"/>
      <c r="O2916" s="1"/>
      <c r="P2916" s="1"/>
      <c r="Q2916" s="1"/>
      <c r="R2916" s="1"/>
      <c r="S2916" s="1"/>
      <c r="T2916" s="1"/>
      <c r="U2916" s="1"/>
      <c r="V2916" s="1"/>
      <c r="W2916" s="1"/>
      <c r="X2916" s="1"/>
      <c r="Y2916" s="1"/>
      <c r="Z2916" s="1"/>
      <c r="AA2916" s="1"/>
      <c r="AB2916" s="1"/>
      <c r="AC2916" s="1"/>
      <c r="AD2916" s="1"/>
      <c r="AE2916" s="1"/>
      <c r="AF2916" s="1"/>
      <c r="AG2916" s="1"/>
      <c r="AH2916" s="1"/>
    </row>
    <row r="2917" ht="12.75" hidden="1" customHeight="1" outlineLevel="1">
      <c r="A2917" s="17">
        <v>41526.0</v>
      </c>
      <c r="B2917" s="1"/>
      <c r="C2917" s="1" t="s">
        <v>431</v>
      </c>
      <c r="D2917" s="74"/>
      <c r="E2917" s="67"/>
      <c r="F2917" s="75"/>
      <c r="G2917" s="67"/>
      <c r="H2917" s="68"/>
      <c r="I2917" s="76"/>
      <c r="J2917" s="67"/>
      <c r="K2917" s="7" t="s">
        <v>1126</v>
      </c>
      <c r="L2917" s="77"/>
      <c r="M2917" s="79"/>
      <c r="N2917" s="1"/>
      <c r="O2917" s="1"/>
      <c r="P2917" s="1"/>
      <c r="Q2917" s="1"/>
      <c r="R2917" s="1"/>
      <c r="S2917" s="1"/>
      <c r="T2917" s="1"/>
      <c r="U2917" s="1"/>
      <c r="V2917" s="1"/>
      <c r="W2917" s="1"/>
      <c r="X2917" s="1"/>
      <c r="Y2917" s="1"/>
      <c r="Z2917" s="1"/>
      <c r="AA2917" s="1"/>
      <c r="AB2917" s="1"/>
      <c r="AC2917" s="1"/>
      <c r="AD2917" s="1"/>
      <c r="AE2917" s="1"/>
      <c r="AF2917" s="1"/>
      <c r="AG2917" s="1"/>
      <c r="AH2917" s="1"/>
    </row>
    <row r="2918" ht="12.75" hidden="1" customHeight="1" outlineLevel="1">
      <c r="A2918" s="17">
        <v>41526.0</v>
      </c>
      <c r="B2918" s="1"/>
      <c r="C2918" s="1" t="s">
        <v>433</v>
      </c>
      <c r="D2918" s="74"/>
      <c r="E2918" s="67"/>
      <c r="F2918" s="75"/>
      <c r="G2918" s="67"/>
      <c r="H2918" s="68"/>
      <c r="I2918" s="76"/>
      <c r="J2918" s="67"/>
      <c r="K2918" s="7" t="s">
        <v>1103</v>
      </c>
      <c r="L2918" s="77"/>
      <c r="M2918" s="79"/>
      <c r="N2918" s="1"/>
      <c r="O2918" s="1"/>
      <c r="P2918" s="1"/>
      <c r="Q2918" s="1"/>
      <c r="R2918" s="1"/>
      <c r="S2918" s="1"/>
      <c r="T2918" s="1"/>
      <c r="U2918" s="1"/>
      <c r="V2918" s="1"/>
      <c r="W2918" s="1"/>
      <c r="X2918" s="1"/>
      <c r="Y2918" s="1"/>
      <c r="Z2918" s="1"/>
      <c r="AA2918" s="1"/>
      <c r="AB2918" s="1"/>
      <c r="AC2918" s="1"/>
      <c r="AD2918" s="1"/>
      <c r="AE2918" s="1"/>
      <c r="AF2918" s="1"/>
      <c r="AG2918" s="1"/>
      <c r="AH2918" s="1"/>
    </row>
    <row r="2919" ht="12.75" hidden="1" customHeight="1" outlineLevel="1">
      <c r="A2919" s="17">
        <v>41526.0</v>
      </c>
      <c r="B2919" s="1"/>
      <c r="C2919" s="1" t="s">
        <v>435</v>
      </c>
      <c r="D2919" s="74"/>
      <c r="E2919" s="67"/>
      <c r="F2919" s="75"/>
      <c r="G2919" s="67"/>
      <c r="H2919" s="68"/>
      <c r="I2919" s="76"/>
      <c r="J2919" s="67"/>
      <c r="K2919" s="7" t="s">
        <v>1104</v>
      </c>
      <c r="L2919" s="77"/>
      <c r="M2919" s="79"/>
      <c r="N2919" s="1"/>
      <c r="O2919" s="1"/>
      <c r="P2919" s="1"/>
      <c r="Q2919" s="1"/>
      <c r="R2919" s="1"/>
      <c r="S2919" s="1"/>
      <c r="T2919" s="1"/>
      <c r="U2919" s="1"/>
      <c r="V2919" s="1"/>
      <c r="W2919" s="1"/>
      <c r="X2919" s="1"/>
      <c r="Y2919" s="1"/>
      <c r="Z2919" s="1"/>
      <c r="AA2919" s="1"/>
      <c r="AB2919" s="1"/>
      <c r="AC2919" s="1"/>
      <c r="AD2919" s="1"/>
      <c r="AE2919" s="1"/>
      <c r="AF2919" s="1"/>
      <c r="AG2919" s="1"/>
      <c r="AH2919" s="1"/>
    </row>
    <row r="2920" ht="12.75" hidden="1" customHeight="1" outlineLevel="1">
      <c r="A2920" s="17">
        <v>41528.0</v>
      </c>
      <c r="B2920" s="1"/>
      <c r="C2920" s="1" t="s">
        <v>339</v>
      </c>
      <c r="D2920" s="74"/>
      <c r="E2920" s="67"/>
      <c r="F2920" s="75"/>
      <c r="G2920" s="67"/>
      <c r="H2920" s="68"/>
      <c r="I2920" s="76"/>
      <c r="J2920" s="67"/>
      <c r="K2920" s="7" t="s">
        <v>1184</v>
      </c>
      <c r="L2920" s="77"/>
      <c r="M2920" s="79"/>
      <c r="N2920" s="1"/>
      <c r="O2920" s="1"/>
      <c r="P2920" s="1"/>
      <c r="Q2920" s="1"/>
      <c r="R2920" s="1"/>
      <c r="S2920" s="1"/>
      <c r="T2920" s="1"/>
      <c r="U2920" s="1"/>
      <c r="V2920" s="1"/>
      <c r="W2920" s="1"/>
      <c r="X2920" s="1"/>
      <c r="Y2920" s="1"/>
      <c r="Z2920" s="1"/>
      <c r="AA2920" s="1"/>
      <c r="AB2920" s="1"/>
      <c r="AC2920" s="1"/>
      <c r="AD2920" s="1"/>
      <c r="AE2920" s="1"/>
      <c r="AF2920" s="1"/>
      <c r="AG2920" s="1"/>
      <c r="AH2920" s="1"/>
    </row>
    <row r="2921" ht="12.75" hidden="1" customHeight="1" outlineLevel="1">
      <c r="A2921" s="17">
        <v>41528.0</v>
      </c>
      <c r="B2921" s="1"/>
      <c r="C2921" s="1" t="s">
        <v>429</v>
      </c>
      <c r="D2921" s="74"/>
      <c r="E2921" s="67"/>
      <c r="F2921" s="75"/>
      <c r="G2921" s="67"/>
      <c r="H2921" s="68"/>
      <c r="I2921" s="76"/>
      <c r="J2921" s="67"/>
      <c r="K2921" s="7" t="s">
        <v>1156</v>
      </c>
      <c r="L2921" s="77"/>
      <c r="M2921" s="79"/>
      <c r="N2921" s="1"/>
      <c r="O2921" s="1"/>
      <c r="P2921" s="1"/>
      <c r="Q2921" s="1"/>
      <c r="R2921" s="1"/>
      <c r="S2921" s="1"/>
      <c r="T2921" s="1"/>
      <c r="U2921" s="1"/>
      <c r="V2921" s="1"/>
      <c r="W2921" s="1"/>
      <c r="X2921" s="1"/>
      <c r="Y2921" s="1"/>
      <c r="Z2921" s="1"/>
      <c r="AA2921" s="1"/>
      <c r="AB2921" s="1"/>
      <c r="AC2921" s="1"/>
      <c r="AD2921" s="1"/>
      <c r="AE2921" s="1"/>
      <c r="AF2921" s="1"/>
      <c r="AG2921" s="1"/>
      <c r="AH2921" s="1"/>
    </row>
    <row r="2922" ht="12.75" hidden="1" customHeight="1" outlineLevel="1">
      <c r="A2922" s="17">
        <v>41528.0</v>
      </c>
      <c r="B2922" s="1"/>
      <c r="C2922" s="1" t="s">
        <v>431</v>
      </c>
      <c r="D2922" s="74"/>
      <c r="E2922" s="67"/>
      <c r="F2922" s="75"/>
      <c r="G2922" s="67"/>
      <c r="H2922" s="68"/>
      <c r="I2922" s="76"/>
      <c r="J2922" s="67"/>
      <c r="K2922" s="7" t="s">
        <v>1126</v>
      </c>
      <c r="L2922" s="77"/>
      <c r="M2922" s="79"/>
      <c r="N2922" s="1"/>
      <c r="O2922" s="1"/>
      <c r="P2922" s="1"/>
      <c r="Q2922" s="1"/>
      <c r="R2922" s="1"/>
      <c r="S2922" s="1"/>
      <c r="T2922" s="1"/>
      <c r="U2922" s="1"/>
      <c r="V2922" s="1"/>
      <c r="W2922" s="1"/>
      <c r="X2922" s="1"/>
      <c r="Y2922" s="1"/>
      <c r="Z2922" s="1"/>
      <c r="AA2922" s="1"/>
      <c r="AB2922" s="1"/>
      <c r="AC2922" s="1"/>
      <c r="AD2922" s="1"/>
      <c r="AE2922" s="1"/>
      <c r="AF2922" s="1"/>
      <c r="AG2922" s="1"/>
      <c r="AH2922" s="1"/>
    </row>
    <row r="2923" ht="12.75" hidden="1" customHeight="1" outlineLevel="1">
      <c r="A2923" s="17">
        <v>41528.0</v>
      </c>
      <c r="B2923" s="1"/>
      <c r="C2923" s="1" t="s">
        <v>433</v>
      </c>
      <c r="D2923" s="74"/>
      <c r="E2923" s="67"/>
      <c r="F2923" s="75"/>
      <c r="G2923" s="67"/>
      <c r="H2923" s="68"/>
      <c r="I2923" s="76"/>
      <c r="J2923" s="67"/>
      <c r="K2923" s="7" t="s">
        <v>1103</v>
      </c>
      <c r="L2923" s="77"/>
      <c r="M2923" s="79"/>
      <c r="N2923" s="1"/>
      <c r="O2923" s="1"/>
      <c r="P2923" s="1"/>
      <c r="Q2923" s="1"/>
      <c r="R2923" s="1"/>
      <c r="S2923" s="1"/>
      <c r="T2923" s="1"/>
      <c r="U2923" s="1"/>
      <c r="V2923" s="1"/>
      <c r="W2923" s="1"/>
      <c r="X2923" s="1"/>
      <c r="Y2923" s="1"/>
      <c r="Z2923" s="1"/>
      <c r="AA2923" s="1"/>
      <c r="AB2923" s="1"/>
      <c r="AC2923" s="1"/>
      <c r="AD2923" s="1"/>
      <c r="AE2923" s="1"/>
      <c r="AF2923" s="1"/>
      <c r="AG2923" s="1"/>
      <c r="AH2923" s="1"/>
    </row>
    <row r="2924" ht="12.75" hidden="1" customHeight="1" outlineLevel="1">
      <c r="A2924" s="17">
        <v>41528.0</v>
      </c>
      <c r="B2924" s="1"/>
      <c r="C2924" s="1" t="s">
        <v>435</v>
      </c>
      <c r="D2924" s="74"/>
      <c r="E2924" s="67"/>
      <c r="F2924" s="75"/>
      <c r="G2924" s="67"/>
      <c r="H2924" s="68"/>
      <c r="I2924" s="76"/>
      <c r="J2924" s="67"/>
      <c r="K2924" s="7" t="s">
        <v>1104</v>
      </c>
      <c r="L2924" s="77"/>
      <c r="M2924" s="79"/>
      <c r="N2924" s="1"/>
      <c r="O2924" s="1"/>
      <c r="P2924" s="1"/>
      <c r="Q2924" s="1"/>
      <c r="R2924" s="1"/>
      <c r="S2924" s="1"/>
      <c r="T2924" s="1"/>
      <c r="U2924" s="1"/>
      <c r="V2924" s="1"/>
      <c r="W2924" s="1"/>
      <c r="X2924" s="1"/>
      <c r="Y2924" s="1"/>
      <c r="Z2924" s="1"/>
      <c r="AA2924" s="1"/>
      <c r="AB2924" s="1"/>
      <c r="AC2924" s="1"/>
      <c r="AD2924" s="1"/>
      <c r="AE2924" s="1"/>
      <c r="AF2924" s="1"/>
      <c r="AG2924" s="1"/>
      <c r="AH2924" s="1"/>
    </row>
    <row r="2925" ht="12.75" hidden="1" customHeight="1" outlineLevel="1">
      <c r="A2925" s="17">
        <v>41528.0</v>
      </c>
      <c r="B2925" s="1" t="s">
        <v>343</v>
      </c>
      <c r="C2925" s="1" t="s">
        <v>1185</v>
      </c>
      <c r="D2925" s="74">
        <v>125.0</v>
      </c>
      <c r="E2925" s="67">
        <v>168.55</v>
      </c>
      <c r="F2925" s="75">
        <v>0.5141550925925926</v>
      </c>
      <c r="G2925" s="67" t="s">
        <v>453</v>
      </c>
      <c r="H2925" s="68">
        <v>1.0</v>
      </c>
      <c r="I2925" s="76"/>
      <c r="J2925" s="67">
        <f>IF(B2925="SLD",D2925*E2925,-D2925*E2925)-H2925</f>
        <v>-21069.75</v>
      </c>
      <c r="K2925" s="7"/>
      <c r="L2925" s="70"/>
      <c r="M2925" s="79"/>
      <c r="N2925" s="1"/>
      <c r="O2925" s="1"/>
      <c r="P2925" s="1"/>
      <c r="Q2925" s="1"/>
      <c r="R2925" s="1"/>
      <c r="S2925" s="1"/>
      <c r="T2925" s="1"/>
      <c r="U2925" s="1"/>
      <c r="V2925" s="1"/>
      <c r="W2925" s="1"/>
      <c r="X2925" s="1"/>
      <c r="Y2925" s="1"/>
      <c r="Z2925" s="1"/>
      <c r="AA2925" s="1"/>
      <c r="AB2925" s="1"/>
      <c r="AC2925" s="1"/>
      <c r="AD2925" s="1"/>
      <c r="AE2925" s="1"/>
      <c r="AF2925" s="1"/>
      <c r="AG2925" s="1"/>
      <c r="AH2925" s="1"/>
    </row>
    <row r="2926" ht="12.75" hidden="1" customHeight="1" outlineLevel="1">
      <c r="A2926" s="17">
        <v>41528.0</v>
      </c>
      <c r="B2926" s="1"/>
      <c r="C2926" s="1" t="s">
        <v>339</v>
      </c>
      <c r="D2926" s="74"/>
      <c r="E2926" s="67"/>
      <c r="F2926" s="75"/>
      <c r="G2926" s="67"/>
      <c r="H2926" s="68"/>
      <c r="I2926" s="76"/>
      <c r="J2926" s="67"/>
      <c r="K2926" s="7" t="s">
        <v>1186</v>
      </c>
      <c r="L2926" s="77"/>
      <c r="M2926" s="79"/>
      <c r="N2926" s="1"/>
      <c r="O2926" s="1"/>
      <c r="P2926" s="1"/>
      <c r="Q2926" s="1"/>
      <c r="R2926" s="1"/>
      <c r="S2926" s="1"/>
      <c r="T2926" s="1"/>
      <c r="U2926" s="1"/>
      <c r="V2926" s="1"/>
      <c r="W2926" s="1"/>
      <c r="X2926" s="1"/>
      <c r="Y2926" s="1"/>
      <c r="Z2926" s="1"/>
      <c r="AA2926" s="1"/>
      <c r="AB2926" s="1"/>
      <c r="AC2926" s="1"/>
      <c r="AD2926" s="1"/>
      <c r="AE2926" s="1"/>
      <c r="AF2926" s="1"/>
      <c r="AG2926" s="1"/>
      <c r="AH2926" s="1"/>
    </row>
    <row r="2927" ht="12.75" hidden="1" customHeight="1" outlineLevel="1">
      <c r="A2927" s="17">
        <v>41528.0</v>
      </c>
      <c r="B2927" s="1"/>
      <c r="C2927" s="1" t="s">
        <v>429</v>
      </c>
      <c r="D2927" s="74"/>
      <c r="E2927" s="67"/>
      <c r="F2927" s="75"/>
      <c r="G2927" s="67"/>
      <c r="H2927" s="68"/>
      <c r="I2927" s="76"/>
      <c r="J2927" s="67"/>
      <c r="K2927" s="7" t="s">
        <v>1156</v>
      </c>
      <c r="L2927" s="77"/>
      <c r="M2927" s="79"/>
      <c r="N2927" s="1"/>
      <c r="O2927" s="1"/>
      <c r="P2927" s="1"/>
      <c r="Q2927" s="1"/>
      <c r="R2927" s="1"/>
      <c r="S2927" s="1"/>
      <c r="T2927" s="1"/>
      <c r="U2927" s="1"/>
      <c r="V2927" s="1"/>
      <c r="W2927" s="1"/>
      <c r="X2927" s="1"/>
      <c r="Y2927" s="1"/>
      <c r="Z2927" s="1"/>
      <c r="AA2927" s="1"/>
      <c r="AB2927" s="1"/>
      <c r="AC2927" s="1"/>
      <c r="AD2927" s="1"/>
      <c r="AE2927" s="1"/>
      <c r="AF2927" s="1"/>
      <c r="AG2927" s="1"/>
      <c r="AH2927" s="1"/>
    </row>
    <row r="2928" ht="12.75" hidden="1" customHeight="1" outlineLevel="1">
      <c r="A2928" s="17">
        <v>41528.0</v>
      </c>
      <c r="B2928" s="1"/>
      <c r="C2928" s="1" t="s">
        <v>431</v>
      </c>
      <c r="D2928" s="74"/>
      <c r="E2928" s="67"/>
      <c r="F2928" s="75"/>
      <c r="G2928" s="67"/>
      <c r="H2928" s="68"/>
      <c r="I2928" s="76"/>
      <c r="J2928" s="67"/>
      <c r="K2928" s="7" t="s">
        <v>1126</v>
      </c>
      <c r="L2928" s="77"/>
      <c r="M2928" s="79"/>
      <c r="N2928" s="1"/>
      <c r="O2928" s="1"/>
      <c r="P2928" s="1"/>
      <c r="Q2928" s="1"/>
      <c r="R2928" s="1"/>
      <c r="S2928" s="1"/>
      <c r="T2928" s="1"/>
      <c r="U2928" s="1"/>
      <c r="V2928" s="1"/>
      <c r="W2928" s="1"/>
      <c r="X2928" s="1"/>
      <c r="Y2928" s="1"/>
      <c r="Z2928" s="1"/>
      <c r="AA2928" s="1"/>
      <c r="AB2928" s="1"/>
      <c r="AC2928" s="1"/>
      <c r="AD2928" s="1"/>
      <c r="AE2928" s="1"/>
      <c r="AF2928" s="1"/>
      <c r="AG2928" s="1"/>
      <c r="AH2928" s="1"/>
    </row>
    <row r="2929" ht="12.75" hidden="1" customHeight="1" outlineLevel="1">
      <c r="A2929" s="17">
        <v>41528.0</v>
      </c>
      <c r="B2929" s="1"/>
      <c r="C2929" s="1" t="s">
        <v>433</v>
      </c>
      <c r="D2929" s="74"/>
      <c r="E2929" s="67"/>
      <c r="F2929" s="75"/>
      <c r="G2929" s="67"/>
      <c r="H2929" s="68"/>
      <c r="I2929" s="76"/>
      <c r="J2929" s="67"/>
      <c r="K2929" s="7" t="s">
        <v>1103</v>
      </c>
      <c r="L2929" s="77"/>
      <c r="M2929" s="79"/>
      <c r="N2929" s="1"/>
      <c r="O2929" s="1"/>
      <c r="P2929" s="1"/>
      <c r="Q2929" s="1"/>
      <c r="R2929" s="1"/>
      <c r="S2929" s="1"/>
      <c r="T2929" s="1"/>
      <c r="U2929" s="1"/>
      <c r="V2929" s="1"/>
      <c r="W2929" s="1"/>
      <c r="X2929" s="1"/>
      <c r="Y2929" s="1"/>
      <c r="Z2929" s="1"/>
      <c r="AA2929" s="1"/>
      <c r="AB2929" s="1"/>
      <c r="AC2929" s="1"/>
      <c r="AD2929" s="1"/>
      <c r="AE2929" s="1"/>
      <c r="AF2929" s="1"/>
      <c r="AG2929" s="1"/>
      <c r="AH2929" s="1"/>
    </row>
    <row r="2930" ht="12.75" hidden="1" customHeight="1" outlineLevel="1">
      <c r="A2930" s="17">
        <v>41528.0</v>
      </c>
      <c r="B2930" s="1"/>
      <c r="C2930" s="1" t="s">
        <v>435</v>
      </c>
      <c r="D2930" s="74"/>
      <c r="E2930" s="67"/>
      <c r="F2930" s="75"/>
      <c r="G2930" s="67"/>
      <c r="H2930" s="68"/>
      <c r="I2930" s="76"/>
      <c r="J2930" s="67"/>
      <c r="K2930" s="7" t="s">
        <v>1104</v>
      </c>
      <c r="L2930" s="77"/>
      <c r="M2930" s="79"/>
      <c r="N2930" s="1"/>
      <c r="O2930" s="1"/>
      <c r="P2930" s="1"/>
      <c r="Q2930" s="1"/>
      <c r="R2930" s="1"/>
      <c r="S2930" s="1"/>
      <c r="T2930" s="1"/>
      <c r="U2930" s="1"/>
      <c r="V2930" s="1"/>
      <c r="W2930" s="1"/>
      <c r="X2930" s="1"/>
      <c r="Y2930" s="1"/>
      <c r="Z2930" s="1"/>
      <c r="AA2930" s="1"/>
      <c r="AB2930" s="1"/>
      <c r="AC2930" s="1"/>
      <c r="AD2930" s="1"/>
      <c r="AE2930" s="1"/>
      <c r="AF2930" s="1"/>
      <c r="AG2930" s="1"/>
      <c r="AH2930" s="1"/>
    </row>
    <row r="2931" ht="12.75" hidden="1" customHeight="1" outlineLevel="1">
      <c r="A2931" s="17">
        <v>41529.0</v>
      </c>
      <c r="B2931" s="1"/>
      <c r="C2931" s="1" t="s">
        <v>339</v>
      </c>
      <c r="D2931" s="74"/>
      <c r="E2931" s="67"/>
      <c r="F2931" s="75"/>
      <c r="G2931" s="67"/>
      <c r="H2931" s="68"/>
      <c r="I2931" s="76"/>
      <c r="J2931" s="67"/>
      <c r="K2931" s="7" t="s">
        <v>1188</v>
      </c>
      <c r="L2931" s="77"/>
      <c r="M2931" s="79"/>
      <c r="N2931" s="1"/>
      <c r="O2931" s="1"/>
      <c r="P2931" s="1"/>
      <c r="Q2931" s="1"/>
      <c r="R2931" s="1"/>
      <c r="S2931" s="1"/>
      <c r="T2931" s="1"/>
      <c r="U2931" s="1"/>
      <c r="V2931" s="1"/>
      <c r="W2931" s="1"/>
      <c r="X2931" s="1"/>
      <c r="Y2931" s="1"/>
      <c r="Z2931" s="1"/>
      <c r="AA2931" s="1"/>
      <c r="AB2931" s="1"/>
      <c r="AC2931" s="1"/>
      <c r="AD2931" s="1"/>
      <c r="AE2931" s="1"/>
      <c r="AF2931" s="1"/>
      <c r="AG2931" s="1"/>
      <c r="AH2931" s="1"/>
    </row>
    <row r="2932" ht="12.75" hidden="1" customHeight="1" outlineLevel="1">
      <c r="A2932" s="17">
        <v>41529.0</v>
      </c>
      <c r="B2932" s="1"/>
      <c r="C2932" s="1" t="s">
        <v>429</v>
      </c>
      <c r="D2932" s="74"/>
      <c r="E2932" s="67"/>
      <c r="F2932" s="75"/>
      <c r="G2932" s="67"/>
      <c r="H2932" s="68"/>
      <c r="I2932" s="76"/>
      <c r="J2932" s="67"/>
      <c r="K2932" s="7" t="s">
        <v>1156</v>
      </c>
      <c r="L2932" s="77"/>
      <c r="M2932" s="79"/>
      <c r="N2932" s="1"/>
      <c r="O2932" s="1"/>
      <c r="P2932" s="1"/>
      <c r="Q2932" s="1"/>
      <c r="R2932" s="1"/>
      <c r="S2932" s="1"/>
      <c r="T2932" s="1"/>
      <c r="U2932" s="1"/>
      <c r="V2932" s="1"/>
      <c r="W2932" s="1"/>
      <c r="X2932" s="1"/>
      <c r="Y2932" s="1"/>
      <c r="Z2932" s="1"/>
      <c r="AA2932" s="1"/>
      <c r="AB2932" s="1"/>
      <c r="AC2932" s="1"/>
      <c r="AD2932" s="1"/>
      <c r="AE2932" s="1"/>
      <c r="AF2932" s="1"/>
      <c r="AG2932" s="1"/>
      <c r="AH2932" s="1"/>
    </row>
    <row r="2933" ht="12.75" hidden="1" customHeight="1" outlineLevel="1">
      <c r="A2933" s="17">
        <v>41529.0</v>
      </c>
      <c r="B2933" s="1"/>
      <c r="C2933" s="1" t="s">
        <v>431</v>
      </c>
      <c r="D2933" s="74"/>
      <c r="E2933" s="67"/>
      <c r="F2933" s="75"/>
      <c r="G2933" s="67"/>
      <c r="H2933" s="68"/>
      <c r="I2933" s="76"/>
      <c r="J2933" s="67"/>
      <c r="K2933" s="7" t="s">
        <v>1126</v>
      </c>
      <c r="L2933" s="77"/>
      <c r="M2933" s="79"/>
      <c r="N2933" s="1"/>
      <c r="O2933" s="1"/>
      <c r="P2933" s="1"/>
      <c r="Q2933" s="1"/>
      <c r="R2933" s="1"/>
      <c r="S2933" s="1"/>
      <c r="T2933" s="1"/>
      <c r="U2933" s="1"/>
      <c r="V2933" s="1"/>
      <c r="W2933" s="1"/>
      <c r="X2933" s="1"/>
      <c r="Y2933" s="1"/>
      <c r="Z2933" s="1"/>
      <c r="AA2933" s="1"/>
      <c r="AB2933" s="1"/>
      <c r="AC2933" s="1"/>
      <c r="AD2933" s="1"/>
      <c r="AE2933" s="1"/>
      <c r="AF2933" s="1"/>
      <c r="AG2933" s="1"/>
      <c r="AH2933" s="1"/>
    </row>
    <row r="2934" ht="12.75" hidden="1" customHeight="1" outlineLevel="1">
      <c r="A2934" s="17">
        <v>41529.0</v>
      </c>
      <c r="B2934" s="1"/>
      <c r="C2934" s="1" t="s">
        <v>433</v>
      </c>
      <c r="D2934" s="74"/>
      <c r="E2934" s="67"/>
      <c r="F2934" s="75"/>
      <c r="G2934" s="67"/>
      <c r="H2934" s="68"/>
      <c r="I2934" s="76"/>
      <c r="J2934" s="67"/>
      <c r="K2934" s="7" t="s">
        <v>1103</v>
      </c>
      <c r="L2934" s="77"/>
      <c r="M2934" s="79"/>
      <c r="N2934" s="1"/>
      <c r="O2934" s="1"/>
      <c r="P2934" s="1"/>
      <c r="Q2934" s="1"/>
      <c r="R2934" s="1"/>
      <c r="S2934" s="1"/>
      <c r="T2934" s="1"/>
      <c r="U2934" s="1"/>
      <c r="V2934" s="1"/>
      <c r="W2934" s="1"/>
      <c r="X2934" s="1"/>
      <c r="Y2934" s="1"/>
      <c r="Z2934" s="1"/>
      <c r="AA2934" s="1"/>
      <c r="AB2934" s="1"/>
      <c r="AC2934" s="1"/>
      <c r="AD2934" s="1"/>
      <c r="AE2934" s="1"/>
      <c r="AF2934" s="1"/>
      <c r="AG2934" s="1"/>
      <c r="AH2934" s="1"/>
    </row>
    <row r="2935" ht="12.75" hidden="1" customHeight="1" outlineLevel="1">
      <c r="A2935" s="17">
        <v>41529.0</v>
      </c>
      <c r="B2935" s="1"/>
      <c r="C2935" s="1" t="s">
        <v>435</v>
      </c>
      <c r="D2935" s="74"/>
      <c r="E2935" s="67"/>
      <c r="F2935" s="75"/>
      <c r="G2935" s="67"/>
      <c r="H2935" s="68"/>
      <c r="I2935" s="76"/>
      <c r="J2935" s="67"/>
      <c r="K2935" s="7" t="s">
        <v>1104</v>
      </c>
      <c r="L2935" s="77"/>
      <c r="M2935" s="79"/>
      <c r="N2935" s="1"/>
      <c r="O2935" s="1"/>
      <c r="P2935" s="1"/>
      <c r="Q2935" s="1"/>
      <c r="R2935" s="1"/>
      <c r="S2935" s="1"/>
      <c r="T2935" s="1"/>
      <c r="U2935" s="1"/>
      <c r="V2935" s="1"/>
      <c r="W2935" s="1"/>
      <c r="X2935" s="1"/>
      <c r="Y2935" s="1"/>
      <c r="Z2935" s="1"/>
      <c r="AA2935" s="1"/>
      <c r="AB2935" s="1"/>
      <c r="AC2935" s="1"/>
      <c r="AD2935" s="1"/>
      <c r="AE2935" s="1"/>
      <c r="AF2935" s="1"/>
      <c r="AG2935" s="1"/>
      <c r="AH2935" s="1"/>
    </row>
    <row r="2936" ht="12.75" hidden="1" customHeight="1" outlineLevel="1">
      <c r="A2936" s="17">
        <v>41530.0</v>
      </c>
      <c r="B2936" s="1"/>
      <c r="C2936" s="1" t="s">
        <v>339</v>
      </c>
      <c r="D2936" s="74"/>
      <c r="E2936" s="67"/>
      <c r="F2936" s="75"/>
      <c r="G2936" s="67"/>
      <c r="H2936" s="68"/>
      <c r="I2936" s="76"/>
      <c r="J2936" s="67"/>
      <c r="K2936" s="7" t="s">
        <v>1189</v>
      </c>
      <c r="L2936" s="77"/>
      <c r="M2936" s="79"/>
      <c r="N2936" s="1"/>
      <c r="O2936" s="1"/>
      <c r="P2936" s="1"/>
      <c r="Q2936" s="1"/>
      <c r="R2936" s="1"/>
      <c r="S2936" s="1"/>
      <c r="T2936" s="1"/>
      <c r="U2936" s="1"/>
      <c r="V2936" s="1"/>
      <c r="W2936" s="1"/>
      <c r="X2936" s="1"/>
      <c r="Y2936" s="1"/>
      <c r="Z2936" s="1"/>
      <c r="AA2936" s="1"/>
      <c r="AB2936" s="1"/>
      <c r="AC2936" s="1"/>
      <c r="AD2936" s="1"/>
      <c r="AE2936" s="1"/>
      <c r="AF2936" s="1"/>
      <c r="AG2936" s="1"/>
      <c r="AH2936" s="1"/>
    </row>
    <row r="2937" ht="12.75" hidden="1" customHeight="1" outlineLevel="1">
      <c r="A2937" s="17">
        <v>41530.0</v>
      </c>
      <c r="B2937" s="1"/>
      <c r="C2937" s="1" t="s">
        <v>429</v>
      </c>
      <c r="D2937" s="74"/>
      <c r="E2937" s="67"/>
      <c r="F2937" s="75"/>
      <c r="G2937" s="67"/>
      <c r="H2937" s="68"/>
      <c r="I2937" s="76"/>
      <c r="J2937" s="67"/>
      <c r="K2937" s="7" t="s">
        <v>1156</v>
      </c>
      <c r="L2937" s="77"/>
      <c r="M2937" s="79"/>
      <c r="N2937" s="1"/>
      <c r="O2937" s="1"/>
      <c r="P2937" s="1"/>
      <c r="Q2937" s="1"/>
      <c r="R2937" s="1"/>
      <c r="S2937" s="1"/>
      <c r="T2937" s="1"/>
      <c r="U2937" s="1"/>
      <c r="V2937" s="1"/>
      <c r="W2937" s="1"/>
      <c r="X2937" s="1"/>
      <c r="Y2937" s="1"/>
      <c r="Z2937" s="1"/>
      <c r="AA2937" s="1"/>
      <c r="AB2937" s="1"/>
      <c r="AC2937" s="1"/>
      <c r="AD2937" s="1"/>
      <c r="AE2937" s="1"/>
      <c r="AF2937" s="1"/>
      <c r="AG2937" s="1"/>
      <c r="AH2937" s="1"/>
    </row>
    <row r="2938" ht="12.75" hidden="1" customHeight="1" outlineLevel="1">
      <c r="A2938" s="17">
        <v>41530.0</v>
      </c>
      <c r="B2938" s="1"/>
      <c r="C2938" s="1" t="s">
        <v>431</v>
      </c>
      <c r="D2938" s="74"/>
      <c r="E2938" s="67"/>
      <c r="F2938" s="75"/>
      <c r="G2938" s="67"/>
      <c r="H2938" s="68"/>
      <c r="I2938" s="76"/>
      <c r="J2938" s="67"/>
      <c r="K2938" s="7" t="s">
        <v>1126</v>
      </c>
      <c r="L2938" s="77"/>
      <c r="M2938" s="79"/>
      <c r="N2938" s="1"/>
      <c r="O2938" s="1"/>
      <c r="P2938" s="1"/>
      <c r="Q2938" s="1"/>
      <c r="R2938" s="1"/>
      <c r="S2938" s="1"/>
      <c r="T2938" s="1"/>
      <c r="U2938" s="1"/>
      <c r="V2938" s="1"/>
      <c r="W2938" s="1"/>
      <c r="X2938" s="1"/>
      <c r="Y2938" s="1"/>
      <c r="Z2938" s="1"/>
      <c r="AA2938" s="1"/>
      <c r="AB2938" s="1"/>
      <c r="AC2938" s="1"/>
      <c r="AD2938" s="1"/>
      <c r="AE2938" s="1"/>
      <c r="AF2938" s="1"/>
      <c r="AG2938" s="1"/>
      <c r="AH2938" s="1"/>
    </row>
    <row r="2939" ht="12.75" hidden="1" customHeight="1" outlineLevel="1">
      <c r="A2939" s="17">
        <v>41530.0</v>
      </c>
      <c r="B2939" s="1"/>
      <c r="C2939" s="1" t="s">
        <v>433</v>
      </c>
      <c r="D2939" s="74"/>
      <c r="E2939" s="67"/>
      <c r="F2939" s="75"/>
      <c r="G2939" s="67"/>
      <c r="H2939" s="68"/>
      <c r="I2939" s="76"/>
      <c r="J2939" s="67"/>
      <c r="K2939" s="7" t="s">
        <v>1103</v>
      </c>
      <c r="L2939" s="77"/>
      <c r="M2939" s="79"/>
      <c r="N2939" s="1"/>
      <c r="O2939" s="1"/>
      <c r="P2939" s="1"/>
      <c r="Q2939" s="1"/>
      <c r="R2939" s="1"/>
      <c r="S2939" s="1"/>
      <c r="T2939" s="1"/>
      <c r="U2939" s="1"/>
      <c r="V2939" s="1"/>
      <c r="W2939" s="1"/>
      <c r="X2939" s="1"/>
      <c r="Y2939" s="1"/>
      <c r="Z2939" s="1"/>
      <c r="AA2939" s="1"/>
      <c r="AB2939" s="1"/>
      <c r="AC2939" s="1"/>
      <c r="AD2939" s="1"/>
      <c r="AE2939" s="1"/>
      <c r="AF2939" s="1"/>
      <c r="AG2939" s="1"/>
      <c r="AH2939" s="1"/>
    </row>
    <row r="2940" ht="12.75" hidden="1" customHeight="1" outlineLevel="1">
      <c r="A2940" s="17">
        <v>41530.0</v>
      </c>
      <c r="B2940" s="1"/>
      <c r="C2940" s="1" t="s">
        <v>435</v>
      </c>
      <c r="D2940" s="74"/>
      <c r="E2940" s="67"/>
      <c r="F2940" s="75"/>
      <c r="G2940" s="67"/>
      <c r="H2940" s="68"/>
      <c r="I2940" s="76"/>
      <c r="J2940" s="67"/>
      <c r="K2940" s="7" t="s">
        <v>1104</v>
      </c>
      <c r="L2940" s="77"/>
      <c r="M2940" s="79"/>
      <c r="N2940" s="1"/>
      <c r="O2940" s="1"/>
      <c r="P2940" s="1"/>
      <c r="Q2940" s="1"/>
      <c r="R2940" s="1"/>
      <c r="S2940" s="1"/>
      <c r="T2940" s="1"/>
      <c r="U2940" s="1"/>
      <c r="V2940" s="1"/>
      <c r="W2940" s="1"/>
      <c r="X2940" s="1"/>
      <c r="Y2940" s="1"/>
      <c r="Z2940" s="1"/>
      <c r="AA2940" s="1"/>
      <c r="AB2940" s="1"/>
      <c r="AC2940" s="1"/>
      <c r="AD2940" s="1"/>
      <c r="AE2940" s="1"/>
      <c r="AF2940" s="1"/>
      <c r="AG2940" s="1"/>
      <c r="AH2940" s="1"/>
    </row>
    <row r="2941" ht="12.75" hidden="1" customHeight="1" outlineLevel="1">
      <c r="A2941" s="17">
        <v>41531.0</v>
      </c>
      <c r="B2941" s="1"/>
      <c r="C2941" s="1" t="s">
        <v>339</v>
      </c>
      <c r="D2941" s="74"/>
      <c r="E2941" s="67"/>
      <c r="F2941" s="75"/>
      <c r="G2941" s="67"/>
      <c r="H2941" s="68"/>
      <c r="I2941" s="76"/>
      <c r="J2941" s="67"/>
      <c r="K2941" s="7" t="s">
        <v>1193</v>
      </c>
      <c r="L2941" s="77"/>
      <c r="M2941" s="79"/>
      <c r="N2941" s="1"/>
      <c r="O2941" s="1"/>
      <c r="P2941" s="1"/>
      <c r="Q2941" s="1"/>
      <c r="R2941" s="1"/>
      <c r="S2941" s="1"/>
      <c r="T2941" s="1"/>
      <c r="U2941" s="1"/>
      <c r="V2941" s="1"/>
      <c r="W2941" s="1"/>
      <c r="X2941" s="1"/>
      <c r="Y2941" s="1"/>
      <c r="Z2941" s="1"/>
      <c r="AA2941" s="1"/>
      <c r="AB2941" s="1"/>
      <c r="AC2941" s="1"/>
      <c r="AD2941" s="1"/>
      <c r="AE2941" s="1"/>
      <c r="AF2941" s="1"/>
      <c r="AG2941" s="1"/>
      <c r="AH2941" s="1"/>
    </row>
    <row r="2942" ht="12.75" hidden="1" customHeight="1" outlineLevel="1">
      <c r="A2942" s="17">
        <v>41531.0</v>
      </c>
      <c r="B2942" s="1"/>
      <c r="C2942" s="1" t="s">
        <v>429</v>
      </c>
      <c r="D2942" s="74"/>
      <c r="E2942" s="67"/>
      <c r="F2942" s="75"/>
      <c r="G2942" s="67"/>
      <c r="H2942" s="68"/>
      <c r="I2942" s="76"/>
      <c r="J2942" s="67"/>
      <c r="K2942" s="7" t="s">
        <v>1156</v>
      </c>
      <c r="L2942" s="77"/>
      <c r="M2942" s="79"/>
      <c r="N2942" s="1"/>
      <c r="O2942" s="1"/>
      <c r="P2942" s="1"/>
      <c r="Q2942" s="1"/>
      <c r="R2942" s="1"/>
      <c r="S2942" s="1"/>
      <c r="T2942" s="1"/>
      <c r="U2942" s="1"/>
      <c r="V2942" s="1"/>
      <c r="W2942" s="1"/>
      <c r="X2942" s="1"/>
      <c r="Y2942" s="1"/>
      <c r="Z2942" s="1"/>
      <c r="AA2942" s="1"/>
      <c r="AB2942" s="1"/>
      <c r="AC2942" s="1"/>
      <c r="AD2942" s="1"/>
      <c r="AE2942" s="1"/>
      <c r="AF2942" s="1"/>
      <c r="AG2942" s="1"/>
      <c r="AH2942" s="1"/>
    </row>
    <row r="2943" ht="12.75" hidden="1" customHeight="1" outlineLevel="1">
      <c r="A2943" s="17">
        <v>41531.0</v>
      </c>
      <c r="B2943" s="1"/>
      <c r="C2943" s="1" t="s">
        <v>431</v>
      </c>
      <c r="D2943" s="74"/>
      <c r="E2943" s="67"/>
      <c r="F2943" s="75"/>
      <c r="G2943" s="67"/>
      <c r="H2943" s="68"/>
      <c r="I2943" s="76"/>
      <c r="J2943" s="67"/>
      <c r="K2943" s="7" t="s">
        <v>1126</v>
      </c>
      <c r="L2943" s="77"/>
      <c r="M2943" s="79"/>
      <c r="N2943" s="1"/>
      <c r="O2943" s="1"/>
      <c r="P2943" s="1"/>
      <c r="Q2943" s="1"/>
      <c r="R2943" s="1"/>
      <c r="S2943" s="1"/>
      <c r="T2943" s="1"/>
      <c r="U2943" s="1"/>
      <c r="V2943" s="1"/>
      <c r="W2943" s="1"/>
      <c r="X2943" s="1"/>
      <c r="Y2943" s="1"/>
      <c r="Z2943" s="1"/>
      <c r="AA2943" s="1"/>
      <c r="AB2943" s="1"/>
      <c r="AC2943" s="1"/>
      <c r="AD2943" s="1"/>
      <c r="AE2943" s="1"/>
      <c r="AF2943" s="1"/>
      <c r="AG2943" s="1"/>
      <c r="AH2943" s="1"/>
    </row>
    <row r="2944" ht="12.75" hidden="1" customHeight="1" outlineLevel="1">
      <c r="A2944" s="17">
        <v>41531.0</v>
      </c>
      <c r="B2944" s="1"/>
      <c r="C2944" s="1" t="s">
        <v>433</v>
      </c>
      <c r="D2944" s="74"/>
      <c r="E2944" s="67"/>
      <c r="F2944" s="75"/>
      <c r="G2944" s="67"/>
      <c r="H2944" s="68"/>
      <c r="I2944" s="76"/>
      <c r="J2944" s="67"/>
      <c r="K2944" s="7" t="s">
        <v>1103</v>
      </c>
      <c r="L2944" s="77"/>
      <c r="M2944" s="79"/>
      <c r="N2944" s="1"/>
      <c r="O2944" s="1"/>
      <c r="P2944" s="1"/>
      <c r="Q2944" s="1"/>
      <c r="R2944" s="1"/>
      <c r="S2944" s="1"/>
      <c r="T2944" s="1"/>
      <c r="U2944" s="1"/>
      <c r="V2944" s="1"/>
      <c r="W2944" s="1"/>
      <c r="X2944" s="1"/>
      <c r="Y2944" s="1"/>
      <c r="Z2944" s="1"/>
      <c r="AA2944" s="1"/>
      <c r="AB2944" s="1"/>
      <c r="AC2944" s="1"/>
      <c r="AD2944" s="1"/>
      <c r="AE2944" s="1"/>
      <c r="AF2944" s="1"/>
      <c r="AG2944" s="1"/>
      <c r="AH2944" s="1"/>
    </row>
    <row r="2945" ht="12.75" hidden="1" customHeight="1" outlineLevel="1">
      <c r="A2945" s="17">
        <v>41531.0</v>
      </c>
      <c r="B2945" s="1"/>
      <c r="C2945" s="1" t="s">
        <v>435</v>
      </c>
      <c r="D2945" s="74"/>
      <c r="E2945" s="67"/>
      <c r="F2945" s="75"/>
      <c r="G2945" s="67"/>
      <c r="H2945" s="68"/>
      <c r="I2945" s="76"/>
      <c r="J2945" s="67"/>
      <c r="K2945" s="7" t="s">
        <v>1104</v>
      </c>
      <c r="L2945" s="77"/>
      <c r="M2945" s="79"/>
      <c r="N2945" s="1"/>
      <c r="O2945" s="1"/>
      <c r="P2945" s="1"/>
      <c r="Q2945" s="1"/>
      <c r="R2945" s="1"/>
      <c r="S2945" s="1"/>
      <c r="T2945" s="1"/>
      <c r="U2945" s="1"/>
      <c r="V2945" s="1"/>
      <c r="W2945" s="1"/>
      <c r="X2945" s="1"/>
      <c r="Y2945" s="1"/>
      <c r="Z2945" s="1"/>
      <c r="AA2945" s="1"/>
      <c r="AB2945" s="1"/>
      <c r="AC2945" s="1"/>
      <c r="AD2945" s="1"/>
      <c r="AE2945" s="1"/>
      <c r="AF2945" s="1"/>
      <c r="AG2945" s="1"/>
      <c r="AH2945" s="1"/>
    </row>
    <row r="2946" ht="12.75" hidden="1" customHeight="1" outlineLevel="1">
      <c r="A2946" s="17">
        <v>41533.0</v>
      </c>
      <c r="B2946" s="1"/>
      <c r="C2946" s="1" t="s">
        <v>339</v>
      </c>
      <c r="D2946" s="74"/>
      <c r="E2946" s="67"/>
      <c r="F2946" s="75"/>
      <c r="G2946" s="67"/>
      <c r="H2946" s="68"/>
      <c r="I2946" s="76"/>
      <c r="J2946" s="67"/>
      <c r="K2946" s="7" t="s">
        <v>1193</v>
      </c>
      <c r="L2946" s="77"/>
      <c r="M2946" s="79"/>
      <c r="N2946" s="1"/>
      <c r="O2946" s="1"/>
      <c r="P2946" s="1"/>
      <c r="Q2946" s="1"/>
      <c r="R2946" s="1"/>
      <c r="S2946" s="1"/>
      <c r="T2946" s="1"/>
      <c r="U2946" s="1"/>
      <c r="V2946" s="1"/>
      <c r="W2946" s="1"/>
      <c r="X2946" s="1"/>
      <c r="Y2946" s="1"/>
      <c r="Z2946" s="1"/>
      <c r="AA2946" s="1"/>
      <c r="AB2946" s="1"/>
      <c r="AC2946" s="1"/>
      <c r="AD2946" s="1"/>
      <c r="AE2946" s="1"/>
      <c r="AF2946" s="1"/>
      <c r="AG2946" s="1"/>
      <c r="AH2946" s="1"/>
    </row>
    <row r="2947" ht="12.75" hidden="1" customHeight="1" outlineLevel="1">
      <c r="A2947" s="17">
        <v>41533.0</v>
      </c>
      <c r="B2947" s="1"/>
      <c r="C2947" s="1" t="s">
        <v>429</v>
      </c>
      <c r="D2947" s="74"/>
      <c r="E2947" s="67"/>
      <c r="F2947" s="75"/>
      <c r="G2947" s="67"/>
      <c r="H2947" s="68"/>
      <c r="I2947" s="76"/>
      <c r="J2947" s="67"/>
      <c r="K2947" s="7" t="s">
        <v>1156</v>
      </c>
      <c r="L2947" s="77"/>
      <c r="M2947" s="79"/>
      <c r="N2947" s="1"/>
      <c r="O2947" s="1"/>
      <c r="P2947" s="1"/>
      <c r="Q2947" s="1"/>
      <c r="R2947" s="1"/>
      <c r="S2947" s="1"/>
      <c r="T2947" s="1"/>
      <c r="U2947" s="1"/>
      <c r="V2947" s="1"/>
      <c r="W2947" s="1"/>
      <c r="X2947" s="1"/>
      <c r="Y2947" s="1"/>
      <c r="Z2947" s="1"/>
      <c r="AA2947" s="1"/>
      <c r="AB2947" s="1"/>
      <c r="AC2947" s="1"/>
      <c r="AD2947" s="1"/>
      <c r="AE2947" s="1"/>
      <c r="AF2947" s="1"/>
      <c r="AG2947" s="1"/>
      <c r="AH2947" s="1"/>
    </row>
    <row r="2948" ht="12.75" hidden="1" customHeight="1" outlineLevel="1">
      <c r="A2948" s="17">
        <v>41533.0</v>
      </c>
      <c r="B2948" s="1"/>
      <c r="C2948" s="1" t="s">
        <v>431</v>
      </c>
      <c r="D2948" s="74"/>
      <c r="E2948" s="67"/>
      <c r="F2948" s="75"/>
      <c r="G2948" s="67"/>
      <c r="H2948" s="68"/>
      <c r="I2948" s="76"/>
      <c r="J2948" s="67"/>
      <c r="K2948" s="7" t="s">
        <v>1126</v>
      </c>
      <c r="L2948" s="77"/>
      <c r="M2948" s="79"/>
      <c r="N2948" s="1"/>
      <c r="O2948" s="1"/>
      <c r="P2948" s="1"/>
      <c r="Q2948" s="1"/>
      <c r="R2948" s="1"/>
      <c r="S2948" s="1"/>
      <c r="T2948" s="1"/>
      <c r="U2948" s="1"/>
      <c r="V2948" s="1"/>
      <c r="W2948" s="1"/>
      <c r="X2948" s="1"/>
      <c r="Y2948" s="1"/>
      <c r="Z2948" s="1"/>
      <c r="AA2948" s="1"/>
      <c r="AB2948" s="1"/>
      <c r="AC2948" s="1"/>
      <c r="AD2948" s="1"/>
      <c r="AE2948" s="1"/>
      <c r="AF2948" s="1"/>
      <c r="AG2948" s="1"/>
      <c r="AH2948" s="1"/>
    </row>
    <row r="2949" ht="12.75" hidden="1" customHeight="1" outlineLevel="1">
      <c r="A2949" s="17">
        <v>41533.0</v>
      </c>
      <c r="B2949" s="1"/>
      <c r="C2949" s="1" t="s">
        <v>433</v>
      </c>
      <c r="D2949" s="74"/>
      <c r="E2949" s="67"/>
      <c r="F2949" s="75"/>
      <c r="G2949" s="67"/>
      <c r="H2949" s="68"/>
      <c r="I2949" s="76"/>
      <c r="J2949" s="67"/>
      <c r="K2949" s="7" t="s">
        <v>1103</v>
      </c>
      <c r="L2949" s="77"/>
      <c r="M2949" s="79"/>
      <c r="N2949" s="1"/>
      <c r="O2949" s="1"/>
      <c r="P2949" s="1"/>
      <c r="Q2949" s="1"/>
      <c r="R2949" s="1"/>
      <c r="S2949" s="1"/>
      <c r="T2949" s="1"/>
      <c r="U2949" s="1"/>
      <c r="V2949" s="1"/>
      <c r="W2949" s="1"/>
      <c r="X2949" s="1"/>
      <c r="Y2949" s="1"/>
      <c r="Z2949" s="1"/>
      <c r="AA2949" s="1"/>
      <c r="AB2949" s="1"/>
      <c r="AC2949" s="1"/>
      <c r="AD2949" s="1"/>
      <c r="AE2949" s="1"/>
      <c r="AF2949" s="1"/>
      <c r="AG2949" s="1"/>
      <c r="AH2949" s="1"/>
    </row>
    <row r="2950" ht="12.75" hidden="1" customHeight="1" outlineLevel="1">
      <c r="A2950" s="17">
        <v>41533.0</v>
      </c>
      <c r="B2950" s="1"/>
      <c r="C2950" s="1" t="s">
        <v>435</v>
      </c>
      <c r="D2950" s="74"/>
      <c r="E2950" s="67"/>
      <c r="F2950" s="75"/>
      <c r="G2950" s="67"/>
      <c r="H2950" s="68"/>
      <c r="I2950" s="76"/>
      <c r="J2950" s="67"/>
      <c r="K2950" s="7" t="s">
        <v>1104</v>
      </c>
      <c r="L2950" s="77"/>
      <c r="M2950" s="79"/>
      <c r="N2950" s="1"/>
      <c r="O2950" s="1"/>
      <c r="P2950" s="1"/>
      <c r="Q2950" s="1"/>
      <c r="R2950" s="1"/>
      <c r="S2950" s="1"/>
      <c r="T2950" s="1"/>
      <c r="U2950" s="1"/>
      <c r="V2950" s="1"/>
      <c r="W2950" s="1"/>
      <c r="X2950" s="1"/>
      <c r="Y2950" s="1"/>
      <c r="Z2950" s="1"/>
      <c r="AA2950" s="1"/>
      <c r="AB2950" s="1"/>
      <c r="AC2950" s="1"/>
      <c r="AD2950" s="1"/>
      <c r="AE2950" s="1"/>
      <c r="AF2950" s="1"/>
      <c r="AG2950" s="1"/>
      <c r="AH2950" s="1"/>
    </row>
    <row r="2951" ht="12.75" hidden="1" customHeight="1" outlineLevel="1">
      <c r="A2951" s="17">
        <v>41534.0</v>
      </c>
      <c r="B2951" s="1"/>
      <c r="C2951" s="1" t="s">
        <v>339</v>
      </c>
      <c r="D2951" s="74"/>
      <c r="E2951" s="67"/>
      <c r="F2951" s="75"/>
      <c r="G2951" s="67"/>
      <c r="H2951" s="68"/>
      <c r="I2951" s="76"/>
      <c r="J2951" s="67"/>
      <c r="K2951" s="7" t="s">
        <v>1197</v>
      </c>
      <c r="L2951" s="77"/>
      <c r="M2951" s="79"/>
      <c r="N2951" s="1"/>
      <c r="O2951" s="1"/>
      <c r="P2951" s="1"/>
      <c r="Q2951" s="1"/>
      <c r="R2951" s="1"/>
      <c r="S2951" s="1"/>
      <c r="T2951" s="1"/>
      <c r="U2951" s="1"/>
      <c r="V2951" s="1"/>
      <c r="W2951" s="1"/>
      <c r="X2951" s="1"/>
      <c r="Y2951" s="1"/>
      <c r="Z2951" s="1"/>
      <c r="AA2951" s="1"/>
      <c r="AB2951" s="1"/>
      <c r="AC2951" s="1"/>
      <c r="AD2951" s="1"/>
      <c r="AE2951" s="1"/>
      <c r="AF2951" s="1"/>
      <c r="AG2951" s="1"/>
      <c r="AH2951" s="1"/>
    </row>
    <row r="2952" ht="12.75" hidden="1" customHeight="1" outlineLevel="1">
      <c r="A2952" s="17">
        <v>41534.0</v>
      </c>
      <c r="B2952" s="1"/>
      <c r="C2952" s="1" t="s">
        <v>429</v>
      </c>
      <c r="D2952" s="74"/>
      <c r="E2952" s="67"/>
      <c r="F2952" s="75"/>
      <c r="G2952" s="67"/>
      <c r="H2952" s="68"/>
      <c r="I2952" s="76"/>
      <c r="J2952" s="67"/>
      <c r="K2952" s="7" t="s">
        <v>1156</v>
      </c>
      <c r="L2952" s="77"/>
      <c r="M2952" s="79"/>
      <c r="N2952" s="1"/>
      <c r="O2952" s="1"/>
      <c r="P2952" s="1"/>
      <c r="Q2952" s="1"/>
      <c r="R2952" s="1"/>
      <c r="S2952" s="1"/>
      <c r="T2952" s="1"/>
      <c r="U2952" s="1"/>
      <c r="V2952" s="1"/>
      <c r="W2952" s="1"/>
      <c r="X2952" s="1"/>
      <c r="Y2952" s="1"/>
      <c r="Z2952" s="1"/>
      <c r="AA2952" s="1"/>
      <c r="AB2952" s="1"/>
      <c r="AC2952" s="1"/>
      <c r="AD2952" s="1"/>
      <c r="AE2952" s="1"/>
      <c r="AF2952" s="1"/>
      <c r="AG2952" s="1"/>
      <c r="AH2952" s="1"/>
    </row>
    <row r="2953" ht="12.75" hidden="1" customHeight="1" outlineLevel="1">
      <c r="A2953" s="17">
        <v>41534.0</v>
      </c>
      <c r="B2953" s="1"/>
      <c r="C2953" s="1" t="s">
        <v>431</v>
      </c>
      <c r="D2953" s="74"/>
      <c r="E2953" s="67"/>
      <c r="F2953" s="75"/>
      <c r="G2953" s="67"/>
      <c r="H2953" s="68"/>
      <c r="I2953" s="76"/>
      <c r="J2953" s="67"/>
      <c r="K2953" s="7" t="s">
        <v>1126</v>
      </c>
      <c r="L2953" s="77"/>
      <c r="M2953" s="79"/>
      <c r="N2953" s="1"/>
      <c r="O2953" s="1"/>
      <c r="P2953" s="1"/>
      <c r="Q2953" s="1"/>
      <c r="R2953" s="1"/>
      <c r="S2953" s="1"/>
      <c r="T2953" s="1"/>
      <c r="U2953" s="1"/>
      <c r="V2953" s="1"/>
      <c r="W2953" s="1"/>
      <c r="X2953" s="1"/>
      <c r="Y2953" s="1"/>
      <c r="Z2953" s="1"/>
      <c r="AA2953" s="1"/>
      <c r="AB2953" s="1"/>
      <c r="AC2953" s="1"/>
      <c r="AD2953" s="1"/>
      <c r="AE2953" s="1"/>
      <c r="AF2953" s="1"/>
      <c r="AG2953" s="1"/>
      <c r="AH2953" s="1"/>
    </row>
    <row r="2954" ht="12.75" hidden="1" customHeight="1" outlineLevel="1">
      <c r="A2954" s="17">
        <v>41534.0</v>
      </c>
      <c r="B2954" s="1"/>
      <c r="C2954" s="1" t="s">
        <v>433</v>
      </c>
      <c r="D2954" s="74"/>
      <c r="E2954" s="67"/>
      <c r="F2954" s="75"/>
      <c r="G2954" s="67"/>
      <c r="H2954" s="68"/>
      <c r="I2954" s="76"/>
      <c r="J2954" s="67"/>
      <c r="K2954" s="7" t="s">
        <v>1103</v>
      </c>
      <c r="L2954" s="77"/>
      <c r="M2954" s="79"/>
      <c r="N2954" s="1"/>
      <c r="O2954" s="1"/>
      <c r="P2954" s="1"/>
      <c r="Q2954" s="1"/>
      <c r="R2954" s="1"/>
      <c r="S2954" s="1"/>
      <c r="T2954" s="1"/>
      <c r="U2954" s="1"/>
      <c r="V2954" s="1"/>
      <c r="W2954" s="1"/>
      <c r="X2954" s="1"/>
      <c r="Y2954" s="1"/>
      <c r="Z2954" s="1"/>
      <c r="AA2954" s="1"/>
      <c r="AB2954" s="1"/>
      <c r="AC2954" s="1"/>
      <c r="AD2954" s="1"/>
      <c r="AE2954" s="1"/>
      <c r="AF2954" s="1"/>
      <c r="AG2954" s="1"/>
      <c r="AH2954" s="1"/>
    </row>
    <row r="2955" ht="12.75" hidden="1" customHeight="1" outlineLevel="1">
      <c r="A2955" s="17">
        <v>41534.0</v>
      </c>
      <c r="B2955" s="1"/>
      <c r="C2955" s="1" t="s">
        <v>435</v>
      </c>
      <c r="D2955" s="74"/>
      <c r="E2955" s="67"/>
      <c r="F2955" s="75"/>
      <c r="G2955" s="67"/>
      <c r="H2955" s="68"/>
      <c r="I2955" s="76"/>
      <c r="J2955" s="67"/>
      <c r="K2955" s="7" t="s">
        <v>1104</v>
      </c>
      <c r="L2955" s="77"/>
      <c r="M2955" s="79"/>
      <c r="N2955" s="1"/>
      <c r="O2955" s="1"/>
      <c r="P2955" s="1"/>
      <c r="Q2955" s="1"/>
      <c r="R2955" s="1"/>
      <c r="S2955" s="1"/>
      <c r="T2955" s="1"/>
      <c r="U2955" s="1"/>
      <c r="V2955" s="1"/>
      <c r="W2955" s="1"/>
      <c r="X2955" s="1"/>
      <c r="Y2955" s="1"/>
      <c r="Z2955" s="1"/>
      <c r="AA2955" s="1"/>
      <c r="AB2955" s="1"/>
      <c r="AC2955" s="1"/>
      <c r="AD2955" s="1"/>
      <c r="AE2955" s="1"/>
      <c r="AF2955" s="1"/>
      <c r="AG2955" s="1"/>
      <c r="AH2955" s="1"/>
    </row>
    <row r="2956" ht="12.75" hidden="1" customHeight="1" outlineLevel="1">
      <c r="A2956" s="17">
        <v>41535.0</v>
      </c>
      <c r="B2956" s="1" t="s">
        <v>343</v>
      </c>
      <c r="C2956" s="1" t="s">
        <v>784</v>
      </c>
      <c r="D2956" s="74">
        <v>900.0</v>
      </c>
      <c r="E2956" s="67">
        <v>16.71</v>
      </c>
      <c r="F2956" s="75">
        <v>0.6215856481481482</v>
      </c>
      <c r="G2956" s="67" t="s">
        <v>453</v>
      </c>
      <c r="H2956" s="68">
        <v>4.2</v>
      </c>
      <c r="I2956" s="76"/>
      <c r="J2956" s="67">
        <f t="shared" ref="J2956:J2965" si="206">IF(B2956="SLD",D2956*E2956,-D2956*E2956)-H2956</f>
        <v>-15043.2</v>
      </c>
      <c r="K2956" s="7" t="s">
        <v>1200</v>
      </c>
      <c r="L2956" s="70"/>
      <c r="M2956" s="79"/>
      <c r="N2956" s="1"/>
      <c r="O2956" s="1"/>
      <c r="P2956" s="1"/>
      <c r="Q2956" s="1"/>
      <c r="R2956" s="1"/>
      <c r="S2956" s="1"/>
      <c r="T2956" s="1"/>
      <c r="U2956" s="1"/>
      <c r="V2956" s="1"/>
      <c r="W2956" s="1"/>
      <c r="X2956" s="1"/>
      <c r="Y2956" s="1"/>
      <c r="Z2956" s="1"/>
      <c r="AA2956" s="1"/>
      <c r="AB2956" s="1"/>
      <c r="AC2956" s="1"/>
      <c r="AD2956" s="1"/>
      <c r="AE2956" s="1"/>
      <c r="AF2956" s="1"/>
      <c r="AG2956" s="1"/>
      <c r="AH2956" s="1"/>
    </row>
    <row r="2957" ht="12.75" hidden="1" customHeight="1" outlineLevel="1">
      <c r="A2957" s="17">
        <v>41535.0</v>
      </c>
      <c r="B2957" s="1" t="s">
        <v>343</v>
      </c>
      <c r="C2957" s="1" t="s">
        <v>1044</v>
      </c>
      <c r="D2957" s="74">
        <v>450.0</v>
      </c>
      <c r="E2957" s="67">
        <v>28.02</v>
      </c>
      <c r="F2957" s="75">
        <v>0.6218402777777777</v>
      </c>
      <c r="G2957" s="67" t="s">
        <v>453</v>
      </c>
      <c r="H2957" s="68">
        <v>2.25</v>
      </c>
      <c r="I2957" s="76"/>
      <c r="J2957" s="67">
        <f t="shared" si="206"/>
        <v>-12611.25</v>
      </c>
      <c r="K2957" s="7" t="s">
        <v>1200</v>
      </c>
      <c r="L2957" s="70"/>
      <c r="M2957" s="79"/>
      <c r="N2957" s="1"/>
      <c r="O2957" s="1"/>
      <c r="P2957" s="1"/>
      <c r="Q2957" s="1"/>
      <c r="R2957" s="1"/>
      <c r="S2957" s="1"/>
      <c r="T2957" s="1"/>
      <c r="U2957" s="1"/>
      <c r="V2957" s="1"/>
      <c r="W2957" s="1"/>
      <c r="X2957" s="1"/>
      <c r="Y2957" s="1"/>
      <c r="Z2957" s="1"/>
      <c r="AA2957" s="1"/>
      <c r="AB2957" s="1"/>
      <c r="AC2957" s="1"/>
      <c r="AD2957" s="1"/>
      <c r="AE2957" s="1"/>
      <c r="AF2957" s="1"/>
      <c r="AG2957" s="1"/>
      <c r="AH2957" s="1"/>
    </row>
    <row r="2958" ht="12.75" hidden="1" customHeight="1" outlineLevel="1">
      <c r="A2958" s="17">
        <v>41535.0</v>
      </c>
      <c r="B2958" s="1" t="s">
        <v>343</v>
      </c>
      <c r="C2958" s="1" t="s">
        <v>369</v>
      </c>
      <c r="D2958" s="74">
        <v>500.0</v>
      </c>
      <c r="E2958" s="67">
        <v>23.66</v>
      </c>
      <c r="F2958" s="75">
        <v>0.6219907407407407</v>
      </c>
      <c r="G2958" s="67" t="s">
        <v>453</v>
      </c>
      <c r="H2958" s="68">
        <v>2.4</v>
      </c>
      <c r="I2958" s="76"/>
      <c r="J2958" s="67">
        <f t="shared" si="206"/>
        <v>-11832.4</v>
      </c>
      <c r="K2958" s="7" t="s">
        <v>1200</v>
      </c>
      <c r="L2958" s="70"/>
      <c r="M2958" s="79"/>
      <c r="N2958" s="1"/>
      <c r="O2958" s="1"/>
      <c r="P2958" s="1"/>
      <c r="Q2958" s="1"/>
      <c r="R2958" s="1"/>
      <c r="S2958" s="1"/>
      <c r="T2958" s="1"/>
      <c r="U2958" s="1"/>
      <c r="V2958" s="1"/>
      <c r="W2958" s="1"/>
      <c r="X2958" s="1"/>
      <c r="Y2958" s="1"/>
      <c r="Z2958" s="1"/>
      <c r="AA2958" s="1"/>
      <c r="AB2958" s="1"/>
      <c r="AC2958" s="1"/>
      <c r="AD2958" s="1"/>
      <c r="AE2958" s="1"/>
      <c r="AF2958" s="1"/>
      <c r="AG2958" s="1"/>
      <c r="AH2958" s="1"/>
    </row>
    <row r="2959" ht="12.75" hidden="1" customHeight="1" outlineLevel="1">
      <c r="A2959" s="17">
        <v>41535.0</v>
      </c>
      <c r="B2959" s="1" t="s">
        <v>343</v>
      </c>
      <c r="C2959" s="1" t="s">
        <v>369</v>
      </c>
      <c r="D2959" s="74">
        <v>500.0</v>
      </c>
      <c r="E2959" s="67">
        <v>23.68</v>
      </c>
      <c r="F2959" s="75">
        <v>0.6528472222222222</v>
      </c>
      <c r="G2959" s="67" t="s">
        <v>453</v>
      </c>
      <c r="H2959" s="68">
        <v>2.0</v>
      </c>
      <c r="I2959" s="76"/>
      <c r="J2959" s="67">
        <f t="shared" si="206"/>
        <v>-11842</v>
      </c>
      <c r="K2959" s="7" t="s">
        <v>1200</v>
      </c>
      <c r="L2959" s="70"/>
      <c r="M2959" s="79"/>
      <c r="N2959" s="1"/>
      <c r="O2959" s="1"/>
      <c r="P2959" s="1"/>
      <c r="Q2959" s="1"/>
      <c r="R2959" s="1"/>
      <c r="S2959" s="1"/>
      <c r="T2959" s="1"/>
      <c r="U2959" s="1"/>
      <c r="V2959" s="1"/>
      <c r="W2959" s="1"/>
      <c r="X2959" s="1"/>
      <c r="Y2959" s="1"/>
      <c r="Z2959" s="1"/>
      <c r="AA2959" s="1"/>
      <c r="AB2959" s="1"/>
      <c r="AC2959" s="1"/>
      <c r="AD2959" s="1"/>
      <c r="AE2959" s="1"/>
      <c r="AF2959" s="1"/>
      <c r="AG2959" s="1"/>
      <c r="AH2959" s="1"/>
    </row>
    <row r="2960" ht="12.75" hidden="1" customHeight="1" outlineLevel="1">
      <c r="A2960" s="17">
        <v>41535.0</v>
      </c>
      <c r="B2960" s="1" t="s">
        <v>343</v>
      </c>
      <c r="C2960" s="1" t="s">
        <v>1044</v>
      </c>
      <c r="D2960" s="74">
        <v>450.0</v>
      </c>
      <c r="E2960" s="67">
        <v>28.49</v>
      </c>
      <c r="F2960" s="75">
        <v>0.6529861111111112</v>
      </c>
      <c r="G2960" s="67" t="s">
        <v>453</v>
      </c>
      <c r="H2960" s="68">
        <v>1.85</v>
      </c>
      <c r="I2960" s="76"/>
      <c r="J2960" s="67">
        <f t="shared" si="206"/>
        <v>-12822.35</v>
      </c>
      <c r="K2960" s="7" t="s">
        <v>1200</v>
      </c>
      <c r="L2960" s="70"/>
      <c r="M2960" s="79"/>
      <c r="N2960" s="1"/>
      <c r="O2960" s="1"/>
      <c r="P2960" s="1"/>
      <c r="Q2960" s="1"/>
      <c r="R2960" s="1"/>
      <c r="S2960" s="1"/>
      <c r="T2960" s="1"/>
      <c r="U2960" s="1"/>
      <c r="V2960" s="1"/>
      <c r="W2960" s="1"/>
      <c r="X2960" s="1"/>
      <c r="Y2960" s="1"/>
      <c r="Z2960" s="1"/>
      <c r="AA2960" s="1"/>
      <c r="AB2960" s="1"/>
      <c r="AC2960" s="1"/>
      <c r="AD2960" s="1"/>
      <c r="AE2960" s="1"/>
      <c r="AF2960" s="1"/>
      <c r="AG2960" s="1"/>
      <c r="AH2960" s="1"/>
    </row>
    <row r="2961" ht="12.75" hidden="1" customHeight="1" outlineLevel="1">
      <c r="A2961" s="17">
        <v>41535.0</v>
      </c>
      <c r="B2961" s="1" t="s">
        <v>343</v>
      </c>
      <c r="C2961" s="1" t="s">
        <v>784</v>
      </c>
      <c r="D2961" s="74">
        <v>900.0</v>
      </c>
      <c r="E2961" s="67">
        <v>16.79</v>
      </c>
      <c r="F2961" s="75">
        <v>0.6533680555555555</v>
      </c>
      <c r="G2961" s="67" t="s">
        <v>453</v>
      </c>
      <c r="H2961" s="68">
        <v>3.6</v>
      </c>
      <c r="I2961" s="76"/>
      <c r="J2961" s="67">
        <f t="shared" si="206"/>
        <v>-15114.6</v>
      </c>
      <c r="K2961" s="7" t="s">
        <v>1200</v>
      </c>
      <c r="L2961" s="70"/>
      <c r="M2961" s="79"/>
      <c r="N2961" s="1"/>
      <c r="O2961" s="1"/>
      <c r="P2961" s="1"/>
      <c r="Q2961" s="1"/>
      <c r="R2961" s="1"/>
      <c r="S2961" s="1"/>
      <c r="T2961" s="1"/>
      <c r="U2961" s="1"/>
      <c r="V2961" s="1"/>
      <c r="W2961" s="1"/>
      <c r="X2961" s="1"/>
      <c r="Y2961" s="1"/>
      <c r="Z2961" s="1"/>
      <c r="AA2961" s="1"/>
      <c r="AB2961" s="1"/>
      <c r="AC2961" s="1"/>
      <c r="AD2961" s="1"/>
      <c r="AE2961" s="1"/>
      <c r="AF2961" s="1"/>
      <c r="AG2961" s="1"/>
      <c r="AH2961" s="1"/>
    </row>
    <row r="2962" ht="12.75" hidden="1" customHeight="1" outlineLevel="1">
      <c r="A2962" s="17">
        <v>41535.0</v>
      </c>
      <c r="B2962" s="1" t="s">
        <v>343</v>
      </c>
      <c r="C2962" s="1" t="s">
        <v>631</v>
      </c>
      <c r="D2962" s="74">
        <v>16000.0</v>
      </c>
      <c r="E2962" s="67">
        <v>0.9491</v>
      </c>
      <c r="F2962" s="75">
        <v>0.6569444444444444</v>
      </c>
      <c r="G2962" s="67" t="s">
        <v>453</v>
      </c>
      <c r="H2962" s="68">
        <v>2.5</v>
      </c>
      <c r="I2962" s="76"/>
      <c r="J2962" s="67">
        <f t="shared" si="206"/>
        <v>-15188.1</v>
      </c>
      <c r="K2962" s="7" t="s">
        <v>1200</v>
      </c>
      <c r="L2962" s="70"/>
      <c r="M2962" s="79"/>
      <c r="N2962" s="1"/>
      <c r="O2962" s="1"/>
      <c r="P2962" s="1"/>
      <c r="Q2962" s="1"/>
      <c r="R2962" s="1"/>
      <c r="S2962" s="1"/>
      <c r="T2962" s="1"/>
      <c r="U2962" s="1"/>
      <c r="V2962" s="1"/>
      <c r="W2962" s="1"/>
      <c r="X2962" s="1"/>
      <c r="Y2962" s="1"/>
      <c r="Z2962" s="1"/>
      <c r="AA2962" s="1"/>
      <c r="AB2962" s="1"/>
      <c r="AC2962" s="1"/>
      <c r="AD2962" s="1"/>
      <c r="AE2962" s="1"/>
      <c r="AF2962" s="1"/>
      <c r="AG2962" s="1"/>
      <c r="AH2962" s="1"/>
    </row>
    <row r="2963" ht="12.75" hidden="1" customHeight="1" outlineLevel="1">
      <c r="A2963" s="17">
        <v>41535.0</v>
      </c>
      <c r="B2963" s="1" t="s">
        <v>347</v>
      </c>
      <c r="C2963" s="1" t="s">
        <v>413</v>
      </c>
      <c r="D2963" s="74">
        <v>350.0</v>
      </c>
      <c r="E2963" s="67">
        <v>63.04</v>
      </c>
      <c r="F2963" s="75">
        <v>0.6536458333333334</v>
      </c>
      <c r="G2963" s="67" t="s">
        <v>453</v>
      </c>
      <c r="H2963" s="68">
        <v>1.78</v>
      </c>
      <c r="I2963" s="76"/>
      <c r="J2963" s="67">
        <f t="shared" si="206"/>
        <v>22062.22</v>
      </c>
      <c r="K2963" s="7"/>
      <c r="L2963" s="70"/>
      <c r="M2963" s="79"/>
      <c r="N2963" s="1"/>
      <c r="O2963" s="1"/>
      <c r="P2963" s="1"/>
      <c r="Q2963" s="1"/>
      <c r="R2963" s="1"/>
      <c r="S2963" s="1"/>
      <c r="T2963" s="1"/>
      <c r="U2963" s="1"/>
      <c r="V2963" s="1"/>
      <c r="W2963" s="1"/>
      <c r="X2963" s="1"/>
      <c r="Y2963" s="1"/>
      <c r="Z2963" s="1"/>
      <c r="AA2963" s="1"/>
      <c r="AB2963" s="1"/>
      <c r="AC2963" s="1"/>
      <c r="AD2963" s="1"/>
      <c r="AE2963" s="1"/>
      <c r="AF2963" s="1"/>
      <c r="AG2963" s="1"/>
      <c r="AH2963" s="1"/>
    </row>
    <row r="2964" ht="12.75" hidden="1" customHeight="1" outlineLevel="1">
      <c r="A2964" s="17">
        <v>41535.0</v>
      </c>
      <c r="B2964" s="1" t="s">
        <v>347</v>
      </c>
      <c r="C2964" s="1" t="s">
        <v>1067</v>
      </c>
      <c r="D2964" s="74">
        <v>325.0</v>
      </c>
      <c r="E2964" s="67">
        <v>72.88</v>
      </c>
      <c r="F2964" s="75">
        <v>0.6538078703703704</v>
      </c>
      <c r="G2964" s="67" t="s">
        <v>453</v>
      </c>
      <c r="H2964" s="68">
        <v>1.84</v>
      </c>
      <c r="I2964" s="76"/>
      <c r="J2964" s="67">
        <f t="shared" si="206"/>
        <v>23684.16</v>
      </c>
      <c r="K2964" s="7"/>
      <c r="L2964" s="70"/>
      <c r="M2964" s="79"/>
      <c r="N2964" s="1"/>
      <c r="O2964" s="1"/>
      <c r="P2964" s="1"/>
      <c r="Q2964" s="1"/>
      <c r="R2964" s="1"/>
      <c r="S2964" s="1"/>
      <c r="T2964" s="1"/>
      <c r="U2964" s="1"/>
      <c r="V2964" s="1"/>
      <c r="W2964" s="1"/>
      <c r="X2964" s="1"/>
      <c r="Y2964" s="1"/>
      <c r="Z2964" s="1"/>
      <c r="AA2964" s="1"/>
      <c r="AB2964" s="1"/>
      <c r="AC2964" s="1"/>
      <c r="AD2964" s="1"/>
      <c r="AE2964" s="1"/>
      <c r="AF2964" s="1"/>
      <c r="AG2964" s="1"/>
      <c r="AH2964" s="1"/>
    </row>
    <row r="2965" ht="12.75" hidden="1" customHeight="1" outlineLevel="1">
      <c r="A2965" s="17">
        <v>41535.0</v>
      </c>
      <c r="B2965" s="1" t="s">
        <v>347</v>
      </c>
      <c r="C2965" s="1" t="s">
        <v>1138</v>
      </c>
      <c r="D2965" s="74">
        <v>7500.0</v>
      </c>
      <c r="E2965" s="67">
        <v>3.3</v>
      </c>
      <c r="F2965" s="75">
        <v>0.6539699074074073</v>
      </c>
      <c r="G2965" s="67" t="s">
        <v>453</v>
      </c>
      <c r="H2965" s="68">
        <v>31.03</v>
      </c>
      <c r="I2965" s="76"/>
      <c r="J2965" s="67">
        <f t="shared" si="206"/>
        <v>24718.97</v>
      </c>
      <c r="K2965" s="7"/>
      <c r="L2965" s="70"/>
      <c r="M2965" s="79"/>
      <c r="N2965" s="1"/>
      <c r="O2965" s="1"/>
      <c r="P2965" s="1"/>
      <c r="Q2965" s="1"/>
      <c r="R2965" s="1"/>
      <c r="S2965" s="1"/>
      <c r="T2965" s="1"/>
      <c r="U2965" s="1"/>
      <c r="V2965" s="1"/>
      <c r="W2965" s="1"/>
      <c r="X2965" s="1"/>
      <c r="Y2965" s="1"/>
      <c r="Z2965" s="1"/>
      <c r="AA2965" s="1"/>
      <c r="AB2965" s="1"/>
      <c r="AC2965" s="1"/>
      <c r="AD2965" s="1"/>
      <c r="AE2965" s="1"/>
      <c r="AF2965" s="1"/>
      <c r="AG2965" s="1"/>
      <c r="AH2965" s="1"/>
    </row>
    <row r="2966" ht="12.75" hidden="1" customHeight="1" outlineLevel="1">
      <c r="A2966" s="17">
        <v>41535.0</v>
      </c>
      <c r="B2966" s="1"/>
      <c r="C2966" s="1" t="s">
        <v>339</v>
      </c>
      <c r="D2966" s="74"/>
      <c r="E2966" s="67"/>
      <c r="F2966" s="75"/>
      <c r="G2966" s="67"/>
      <c r="H2966" s="68"/>
      <c r="I2966" s="76"/>
      <c r="J2966" s="67"/>
      <c r="K2966" s="7" t="s">
        <v>1214</v>
      </c>
      <c r="L2966" s="77"/>
      <c r="M2966" s="79"/>
      <c r="N2966" s="1"/>
      <c r="O2966" s="1"/>
      <c r="P2966" s="1"/>
      <c r="Q2966" s="1"/>
      <c r="R2966" s="1"/>
      <c r="S2966" s="1"/>
      <c r="T2966" s="1"/>
      <c r="U2966" s="1"/>
      <c r="V2966" s="1"/>
      <c r="W2966" s="1"/>
      <c r="X2966" s="1"/>
      <c r="Y2966" s="1"/>
      <c r="Z2966" s="1"/>
      <c r="AA2966" s="1"/>
      <c r="AB2966" s="1"/>
      <c r="AC2966" s="1"/>
      <c r="AD2966" s="1"/>
      <c r="AE2966" s="1"/>
      <c r="AF2966" s="1"/>
      <c r="AG2966" s="1"/>
      <c r="AH2966" s="1"/>
    </row>
    <row r="2967" ht="12.75" hidden="1" customHeight="1" outlineLevel="1">
      <c r="A2967" s="17">
        <v>41535.0</v>
      </c>
      <c r="B2967" s="1"/>
      <c r="C2967" s="1" t="s">
        <v>429</v>
      </c>
      <c r="D2967" s="74"/>
      <c r="E2967" s="67"/>
      <c r="F2967" s="75"/>
      <c r="G2967" s="67"/>
      <c r="H2967" s="68"/>
      <c r="I2967" s="76"/>
      <c r="J2967" s="67"/>
      <c r="K2967" s="7" t="s">
        <v>1156</v>
      </c>
      <c r="L2967" s="77"/>
      <c r="M2967" s="79"/>
      <c r="N2967" s="1"/>
      <c r="O2967" s="1"/>
      <c r="P2967" s="1"/>
      <c r="Q2967" s="1"/>
      <c r="R2967" s="1"/>
      <c r="S2967" s="1"/>
      <c r="T2967" s="1"/>
      <c r="U2967" s="1"/>
      <c r="V2967" s="1"/>
      <c r="W2967" s="1"/>
      <c r="X2967" s="1"/>
      <c r="Y2967" s="1"/>
      <c r="Z2967" s="1"/>
      <c r="AA2967" s="1"/>
      <c r="AB2967" s="1"/>
      <c r="AC2967" s="1"/>
      <c r="AD2967" s="1"/>
      <c r="AE2967" s="1"/>
      <c r="AF2967" s="1"/>
      <c r="AG2967" s="1"/>
      <c r="AH2967" s="1"/>
    </row>
    <row r="2968" ht="12.75" hidden="1" customHeight="1" outlineLevel="1">
      <c r="A2968" s="17">
        <v>41535.0</v>
      </c>
      <c r="B2968" s="1"/>
      <c r="C2968" s="1" t="s">
        <v>431</v>
      </c>
      <c r="D2968" s="74"/>
      <c r="E2968" s="67"/>
      <c r="F2968" s="75"/>
      <c r="G2968" s="67"/>
      <c r="H2968" s="68"/>
      <c r="I2968" s="76"/>
      <c r="J2968" s="67"/>
      <c r="K2968" s="7" t="s">
        <v>1126</v>
      </c>
      <c r="L2968" s="77"/>
      <c r="M2968" s="79"/>
      <c r="N2968" s="1"/>
      <c r="O2968" s="1"/>
      <c r="P2968" s="1"/>
      <c r="Q2968" s="1"/>
      <c r="R2968" s="1"/>
      <c r="S2968" s="1"/>
      <c r="T2968" s="1"/>
      <c r="U2968" s="1"/>
      <c r="V2968" s="1"/>
      <c r="W2968" s="1"/>
      <c r="X2968" s="1"/>
      <c r="Y2968" s="1"/>
      <c r="Z2968" s="1"/>
      <c r="AA2968" s="1"/>
      <c r="AB2968" s="1"/>
      <c r="AC2968" s="1"/>
      <c r="AD2968" s="1"/>
      <c r="AE2968" s="1"/>
      <c r="AF2968" s="1"/>
      <c r="AG2968" s="1"/>
      <c r="AH2968" s="1"/>
    </row>
    <row r="2969" ht="12.75" hidden="1" customHeight="1" outlineLevel="1">
      <c r="A2969" s="17">
        <v>41535.0</v>
      </c>
      <c r="B2969" s="1"/>
      <c r="C2969" s="1" t="s">
        <v>433</v>
      </c>
      <c r="D2969" s="74"/>
      <c r="E2969" s="67"/>
      <c r="F2969" s="75"/>
      <c r="G2969" s="67"/>
      <c r="H2969" s="68"/>
      <c r="I2969" s="76"/>
      <c r="J2969" s="67"/>
      <c r="K2969" s="7" t="s">
        <v>1103</v>
      </c>
      <c r="L2969" s="77"/>
      <c r="M2969" s="79"/>
      <c r="N2969" s="1"/>
      <c r="O2969" s="1"/>
      <c r="P2969" s="1"/>
      <c r="Q2969" s="1"/>
      <c r="R2969" s="1"/>
      <c r="S2969" s="1"/>
      <c r="T2969" s="1"/>
      <c r="U2969" s="1"/>
      <c r="V2969" s="1"/>
      <c r="W2969" s="1"/>
      <c r="X2969" s="1"/>
      <c r="Y2969" s="1"/>
      <c r="Z2969" s="1"/>
      <c r="AA2969" s="1"/>
      <c r="AB2969" s="1"/>
      <c r="AC2969" s="1"/>
      <c r="AD2969" s="1"/>
      <c r="AE2969" s="1"/>
      <c r="AF2969" s="1"/>
      <c r="AG2969" s="1"/>
      <c r="AH2969" s="1"/>
    </row>
    <row r="2970" ht="12.75" hidden="1" customHeight="1" outlineLevel="1">
      <c r="A2970" s="17">
        <v>41535.0</v>
      </c>
      <c r="B2970" s="1"/>
      <c r="C2970" s="1" t="s">
        <v>435</v>
      </c>
      <c r="D2970" s="74"/>
      <c r="E2970" s="67"/>
      <c r="F2970" s="75"/>
      <c r="G2970" s="67"/>
      <c r="H2970" s="68"/>
      <c r="I2970" s="76"/>
      <c r="J2970" s="67"/>
      <c r="K2970" s="7" t="s">
        <v>1104</v>
      </c>
      <c r="L2970" s="77"/>
      <c r="M2970" s="79"/>
      <c r="N2970" s="1"/>
      <c r="O2970" s="1"/>
      <c r="P2970" s="1"/>
      <c r="Q2970" s="1"/>
      <c r="R2970" s="1"/>
      <c r="S2970" s="1"/>
      <c r="T2970" s="1"/>
      <c r="U2970" s="1"/>
      <c r="V2970" s="1"/>
      <c r="W2970" s="1"/>
      <c r="X2970" s="1"/>
      <c r="Y2970" s="1"/>
      <c r="Z2970" s="1"/>
      <c r="AA2970" s="1"/>
      <c r="AB2970" s="1"/>
      <c r="AC2970" s="1"/>
      <c r="AD2970" s="1"/>
      <c r="AE2970" s="1"/>
      <c r="AF2970" s="1"/>
      <c r="AG2970" s="1"/>
      <c r="AH2970" s="1"/>
    </row>
    <row r="2971" ht="12.75" hidden="1" customHeight="1" outlineLevel="1">
      <c r="A2971" s="17">
        <v>41536.0</v>
      </c>
      <c r="B2971" s="1" t="s">
        <v>347</v>
      </c>
      <c r="C2971" s="1" t="s">
        <v>344</v>
      </c>
      <c r="D2971" s="74">
        <v>100.0</v>
      </c>
      <c r="E2971" s="67">
        <v>49.93</v>
      </c>
      <c r="F2971" s="75">
        <v>41536.56365740741</v>
      </c>
      <c r="G2971" s="67" t="s">
        <v>453</v>
      </c>
      <c r="H2971" s="68">
        <v>1.09</v>
      </c>
      <c r="I2971" s="76"/>
      <c r="J2971" s="67">
        <f t="shared" ref="J2971:J2972" si="207">IF(B2971="SLD",D2971*E2971,-D2971*E2971)-H2971</f>
        <v>4991.91</v>
      </c>
      <c r="K2971" s="7"/>
      <c r="L2971" s="70"/>
      <c r="M2971" s="79"/>
      <c r="N2971" s="1"/>
      <c r="O2971" s="1"/>
      <c r="P2971" s="1"/>
      <c r="Q2971" s="1"/>
      <c r="R2971" s="1"/>
      <c r="S2971" s="1"/>
      <c r="T2971" s="1"/>
      <c r="U2971" s="1"/>
      <c r="V2971" s="1"/>
      <c r="W2971" s="1"/>
      <c r="X2971" s="1"/>
      <c r="Y2971" s="1"/>
      <c r="Z2971" s="1"/>
      <c r="AA2971" s="1"/>
      <c r="AB2971" s="1"/>
      <c r="AC2971" s="1"/>
      <c r="AD2971" s="1"/>
      <c r="AE2971" s="1"/>
      <c r="AF2971" s="1"/>
      <c r="AG2971" s="1"/>
      <c r="AH2971" s="1"/>
    </row>
    <row r="2972" ht="12.75" hidden="1" customHeight="1" outlineLevel="1">
      <c r="A2972" s="17">
        <v>41536.0</v>
      </c>
      <c r="B2972" s="1" t="s">
        <v>347</v>
      </c>
      <c r="C2972" s="1" t="s">
        <v>364</v>
      </c>
      <c r="D2972" s="74">
        <v>50.0</v>
      </c>
      <c r="E2972" s="67">
        <v>110.32</v>
      </c>
      <c r="F2972" s="75">
        <v>41536.57040509259</v>
      </c>
      <c r="G2972" s="67" t="s">
        <v>453</v>
      </c>
      <c r="H2972" s="68">
        <v>1.1</v>
      </c>
      <c r="I2972" s="76"/>
      <c r="J2972" s="67">
        <f t="shared" si="207"/>
        <v>5514.9</v>
      </c>
      <c r="K2972" s="7"/>
      <c r="L2972" s="70"/>
      <c r="M2972" s="79"/>
      <c r="N2972" s="1"/>
      <c r="O2972" s="1"/>
      <c r="P2972" s="1"/>
      <c r="Q2972" s="1"/>
      <c r="R2972" s="1"/>
      <c r="S2972" s="1"/>
      <c r="T2972" s="1"/>
      <c r="U2972" s="1"/>
      <c r="V2972" s="1"/>
      <c r="W2972" s="1"/>
      <c r="X2972" s="1"/>
      <c r="Y2972" s="1"/>
      <c r="Z2972" s="1"/>
      <c r="AA2972" s="1"/>
      <c r="AB2972" s="1"/>
      <c r="AC2972" s="1"/>
      <c r="AD2972" s="1"/>
      <c r="AE2972" s="1"/>
      <c r="AF2972" s="1"/>
      <c r="AG2972" s="1"/>
      <c r="AH2972" s="1"/>
    </row>
    <row r="2973" ht="12.75" hidden="1" customHeight="1" outlineLevel="1">
      <c r="A2973" s="17">
        <v>41536.0</v>
      </c>
      <c r="B2973" s="1"/>
      <c r="C2973" s="1" t="s">
        <v>339</v>
      </c>
      <c r="D2973" s="74"/>
      <c r="E2973" s="67"/>
      <c r="F2973" s="75"/>
      <c r="G2973" s="67"/>
      <c r="H2973" s="68"/>
      <c r="I2973" s="76"/>
      <c r="J2973" s="67"/>
      <c r="K2973" s="7" t="s">
        <v>1216</v>
      </c>
      <c r="L2973" s="77"/>
      <c r="M2973" s="79"/>
      <c r="N2973" s="1"/>
      <c r="O2973" s="1"/>
      <c r="P2973" s="1"/>
      <c r="Q2973" s="1"/>
      <c r="R2973" s="1"/>
      <c r="S2973" s="1"/>
      <c r="T2973" s="1"/>
      <c r="U2973" s="1"/>
      <c r="V2973" s="1"/>
      <c r="W2973" s="1"/>
      <c r="X2973" s="1"/>
      <c r="Y2973" s="1"/>
      <c r="Z2973" s="1"/>
      <c r="AA2973" s="1"/>
      <c r="AB2973" s="1"/>
      <c r="AC2973" s="1"/>
      <c r="AD2973" s="1"/>
      <c r="AE2973" s="1"/>
      <c r="AF2973" s="1"/>
      <c r="AG2973" s="1"/>
      <c r="AH2973" s="1"/>
    </row>
    <row r="2974" ht="12.75" hidden="1" customHeight="1" outlineLevel="1">
      <c r="A2974" s="17">
        <v>41536.0</v>
      </c>
      <c r="B2974" s="1"/>
      <c r="C2974" s="1" t="s">
        <v>429</v>
      </c>
      <c r="D2974" s="74"/>
      <c r="E2974" s="67"/>
      <c r="F2974" s="75"/>
      <c r="G2974" s="67"/>
      <c r="H2974" s="68"/>
      <c r="I2974" s="76"/>
      <c r="J2974" s="67"/>
      <c r="K2974" s="7" t="s">
        <v>1156</v>
      </c>
      <c r="L2974" s="77"/>
      <c r="M2974" s="79"/>
      <c r="N2974" s="1"/>
      <c r="O2974" s="1"/>
      <c r="P2974" s="1"/>
      <c r="Q2974" s="1"/>
      <c r="R2974" s="1"/>
      <c r="S2974" s="1"/>
      <c r="T2974" s="1"/>
      <c r="U2974" s="1"/>
      <c r="V2974" s="1"/>
      <c r="W2974" s="1"/>
      <c r="X2974" s="1"/>
      <c r="Y2974" s="1"/>
      <c r="Z2974" s="1"/>
      <c r="AA2974" s="1"/>
      <c r="AB2974" s="1"/>
      <c r="AC2974" s="1"/>
      <c r="AD2974" s="1"/>
      <c r="AE2974" s="1"/>
      <c r="AF2974" s="1"/>
      <c r="AG2974" s="1"/>
      <c r="AH2974" s="1"/>
    </row>
    <row r="2975" ht="12.75" hidden="1" customHeight="1" outlineLevel="1">
      <c r="A2975" s="17">
        <v>41536.0</v>
      </c>
      <c r="B2975" s="1"/>
      <c r="C2975" s="1" t="s">
        <v>431</v>
      </c>
      <c r="D2975" s="74"/>
      <c r="E2975" s="67"/>
      <c r="F2975" s="75"/>
      <c r="G2975" s="67"/>
      <c r="H2975" s="68"/>
      <c r="I2975" s="76"/>
      <c r="J2975" s="67"/>
      <c r="K2975" s="7" t="s">
        <v>1126</v>
      </c>
      <c r="L2975" s="77"/>
      <c r="M2975" s="79"/>
      <c r="N2975" s="1"/>
      <c r="O2975" s="1"/>
      <c r="P2975" s="1"/>
      <c r="Q2975" s="1"/>
      <c r="R2975" s="1"/>
      <c r="S2975" s="1"/>
      <c r="T2975" s="1"/>
      <c r="U2975" s="1"/>
      <c r="V2975" s="1"/>
      <c r="W2975" s="1"/>
      <c r="X2975" s="1"/>
      <c r="Y2975" s="1"/>
      <c r="Z2975" s="1"/>
      <c r="AA2975" s="1"/>
      <c r="AB2975" s="1"/>
      <c r="AC2975" s="1"/>
      <c r="AD2975" s="1"/>
      <c r="AE2975" s="1"/>
      <c r="AF2975" s="1"/>
      <c r="AG2975" s="1"/>
      <c r="AH2975" s="1"/>
    </row>
    <row r="2976" ht="12.75" hidden="1" customHeight="1" outlineLevel="1">
      <c r="A2976" s="17">
        <v>41536.0</v>
      </c>
      <c r="B2976" s="1"/>
      <c r="C2976" s="1" t="s">
        <v>433</v>
      </c>
      <c r="D2976" s="74"/>
      <c r="E2976" s="67"/>
      <c r="F2976" s="75"/>
      <c r="G2976" s="67"/>
      <c r="H2976" s="68"/>
      <c r="I2976" s="76"/>
      <c r="J2976" s="67"/>
      <c r="K2976" s="7" t="s">
        <v>1103</v>
      </c>
      <c r="L2976" s="77"/>
      <c r="M2976" s="79"/>
      <c r="N2976" s="1"/>
      <c r="O2976" s="1"/>
      <c r="P2976" s="1"/>
      <c r="Q2976" s="1"/>
      <c r="R2976" s="1"/>
      <c r="S2976" s="1"/>
      <c r="T2976" s="1"/>
      <c r="U2976" s="1"/>
      <c r="V2976" s="1"/>
      <c r="W2976" s="1"/>
      <c r="X2976" s="1"/>
      <c r="Y2976" s="1"/>
      <c r="Z2976" s="1"/>
      <c r="AA2976" s="1"/>
      <c r="AB2976" s="1"/>
      <c r="AC2976" s="1"/>
      <c r="AD2976" s="1"/>
      <c r="AE2976" s="1"/>
      <c r="AF2976" s="1"/>
      <c r="AG2976" s="1"/>
      <c r="AH2976" s="1"/>
    </row>
    <row r="2977" ht="12.75" hidden="1" customHeight="1" outlineLevel="1">
      <c r="A2977" s="17">
        <v>41536.0</v>
      </c>
      <c r="B2977" s="1"/>
      <c r="C2977" s="1" t="s">
        <v>435</v>
      </c>
      <c r="D2977" s="74"/>
      <c r="E2977" s="67"/>
      <c r="F2977" s="75"/>
      <c r="G2977" s="67"/>
      <c r="H2977" s="68"/>
      <c r="I2977" s="76"/>
      <c r="J2977" s="67"/>
      <c r="K2977" s="7" t="s">
        <v>1104</v>
      </c>
      <c r="L2977" s="77"/>
      <c r="M2977" s="79"/>
      <c r="N2977" s="1"/>
      <c r="O2977" s="1"/>
      <c r="P2977" s="1"/>
      <c r="Q2977" s="1"/>
      <c r="R2977" s="1"/>
      <c r="S2977" s="1"/>
      <c r="T2977" s="1"/>
      <c r="U2977" s="1"/>
      <c r="V2977" s="1"/>
      <c r="W2977" s="1"/>
      <c r="X2977" s="1"/>
      <c r="Y2977" s="1"/>
      <c r="Z2977" s="1"/>
      <c r="AA2977" s="1"/>
      <c r="AB2977" s="1"/>
      <c r="AC2977" s="1"/>
      <c r="AD2977" s="1"/>
      <c r="AE2977" s="1"/>
      <c r="AF2977" s="1"/>
      <c r="AG2977" s="1"/>
      <c r="AH2977" s="1"/>
    </row>
    <row r="2978" ht="12.75" hidden="1" customHeight="1" outlineLevel="1">
      <c r="A2978" s="17">
        <v>41536.0</v>
      </c>
      <c r="B2978" s="1"/>
      <c r="C2978" s="1" t="s">
        <v>339</v>
      </c>
      <c r="D2978" s="74"/>
      <c r="E2978" s="67"/>
      <c r="F2978" s="75"/>
      <c r="G2978" s="67"/>
      <c r="H2978" s="68"/>
      <c r="I2978" s="76"/>
      <c r="J2978" s="67"/>
      <c r="K2978" s="7" t="s">
        <v>1217</v>
      </c>
      <c r="L2978" s="77"/>
      <c r="M2978" s="79"/>
      <c r="N2978" s="1"/>
      <c r="O2978" s="1"/>
      <c r="P2978" s="1"/>
      <c r="Q2978" s="1"/>
      <c r="R2978" s="1"/>
      <c r="S2978" s="1"/>
      <c r="T2978" s="1"/>
      <c r="U2978" s="1"/>
      <c r="V2978" s="1"/>
      <c r="W2978" s="1"/>
      <c r="X2978" s="1"/>
      <c r="Y2978" s="1"/>
      <c r="Z2978" s="1"/>
      <c r="AA2978" s="1"/>
      <c r="AB2978" s="1"/>
      <c r="AC2978" s="1"/>
      <c r="AD2978" s="1"/>
      <c r="AE2978" s="1"/>
      <c r="AF2978" s="1"/>
      <c r="AG2978" s="1"/>
      <c r="AH2978" s="1"/>
    </row>
    <row r="2979" ht="12.75" hidden="1" customHeight="1" outlineLevel="1">
      <c r="A2979" s="17">
        <v>41536.0</v>
      </c>
      <c r="B2979" s="1"/>
      <c r="C2979" s="1" t="s">
        <v>429</v>
      </c>
      <c r="D2979" s="74"/>
      <c r="E2979" s="67"/>
      <c r="F2979" s="75"/>
      <c r="G2979" s="67"/>
      <c r="H2979" s="68"/>
      <c r="I2979" s="76"/>
      <c r="J2979" s="67"/>
      <c r="K2979" s="7" t="s">
        <v>1156</v>
      </c>
      <c r="L2979" s="77"/>
      <c r="M2979" s="79"/>
      <c r="N2979" s="1"/>
      <c r="O2979" s="1"/>
      <c r="P2979" s="1"/>
      <c r="Q2979" s="1"/>
      <c r="R2979" s="1"/>
      <c r="S2979" s="1"/>
      <c r="T2979" s="1"/>
      <c r="U2979" s="1"/>
      <c r="V2979" s="1"/>
      <c r="W2979" s="1"/>
      <c r="X2979" s="1"/>
      <c r="Y2979" s="1"/>
      <c r="Z2979" s="1"/>
      <c r="AA2979" s="1"/>
      <c r="AB2979" s="1"/>
      <c r="AC2979" s="1"/>
      <c r="AD2979" s="1"/>
      <c r="AE2979" s="1"/>
      <c r="AF2979" s="1"/>
      <c r="AG2979" s="1"/>
      <c r="AH2979" s="1"/>
    </row>
    <row r="2980" ht="12.75" hidden="1" customHeight="1" outlineLevel="1">
      <c r="A2980" s="17">
        <v>41536.0</v>
      </c>
      <c r="B2980" s="1"/>
      <c r="C2980" s="1" t="s">
        <v>431</v>
      </c>
      <c r="D2980" s="74"/>
      <c r="E2980" s="67"/>
      <c r="F2980" s="75"/>
      <c r="G2980" s="67"/>
      <c r="H2980" s="68"/>
      <c r="I2980" s="76"/>
      <c r="J2980" s="67"/>
      <c r="K2980" s="7" t="s">
        <v>1126</v>
      </c>
      <c r="L2980" s="77"/>
      <c r="M2980" s="79"/>
      <c r="N2980" s="1"/>
      <c r="O2980" s="1"/>
      <c r="P2980" s="1"/>
      <c r="Q2980" s="1"/>
      <c r="R2980" s="1"/>
      <c r="S2980" s="1"/>
      <c r="T2980" s="1"/>
      <c r="U2980" s="1"/>
      <c r="V2980" s="1"/>
      <c r="W2980" s="1"/>
      <c r="X2980" s="1"/>
      <c r="Y2980" s="1"/>
      <c r="Z2980" s="1"/>
      <c r="AA2980" s="1"/>
      <c r="AB2980" s="1"/>
      <c r="AC2980" s="1"/>
      <c r="AD2980" s="1"/>
      <c r="AE2980" s="1"/>
      <c r="AF2980" s="1"/>
      <c r="AG2980" s="1"/>
      <c r="AH2980" s="1"/>
    </row>
    <row r="2981" ht="12.75" hidden="1" customHeight="1" outlineLevel="1">
      <c r="A2981" s="17">
        <v>41536.0</v>
      </c>
      <c r="B2981" s="1"/>
      <c r="C2981" s="1" t="s">
        <v>433</v>
      </c>
      <c r="D2981" s="74"/>
      <c r="E2981" s="67"/>
      <c r="F2981" s="75"/>
      <c r="G2981" s="67"/>
      <c r="H2981" s="68"/>
      <c r="I2981" s="76"/>
      <c r="J2981" s="67"/>
      <c r="K2981" s="7" t="s">
        <v>1103</v>
      </c>
      <c r="L2981" s="77"/>
      <c r="M2981" s="79"/>
      <c r="N2981" s="1"/>
      <c r="O2981" s="1"/>
      <c r="P2981" s="1"/>
      <c r="Q2981" s="1"/>
      <c r="R2981" s="1"/>
      <c r="S2981" s="1"/>
      <c r="T2981" s="1"/>
      <c r="U2981" s="1"/>
      <c r="V2981" s="1"/>
      <c r="W2981" s="1"/>
      <c r="X2981" s="1"/>
      <c r="Y2981" s="1"/>
      <c r="Z2981" s="1"/>
      <c r="AA2981" s="1"/>
      <c r="AB2981" s="1"/>
      <c r="AC2981" s="1"/>
      <c r="AD2981" s="1"/>
      <c r="AE2981" s="1"/>
      <c r="AF2981" s="1"/>
      <c r="AG2981" s="1"/>
      <c r="AH2981" s="1"/>
    </row>
    <row r="2982" ht="12.75" hidden="1" customHeight="1" outlineLevel="1">
      <c r="A2982" s="17">
        <v>41536.0</v>
      </c>
      <c r="B2982" s="1"/>
      <c r="C2982" s="1" t="s">
        <v>435</v>
      </c>
      <c r="D2982" s="74"/>
      <c r="E2982" s="67"/>
      <c r="F2982" s="75"/>
      <c r="G2982" s="67"/>
      <c r="H2982" s="68"/>
      <c r="I2982" s="76"/>
      <c r="J2982" s="67"/>
      <c r="K2982" s="7" t="s">
        <v>1104</v>
      </c>
      <c r="L2982" s="77"/>
      <c r="M2982" s="79"/>
      <c r="N2982" s="1"/>
      <c r="O2982" s="1"/>
      <c r="P2982" s="1"/>
      <c r="Q2982" s="1"/>
      <c r="R2982" s="1"/>
      <c r="S2982" s="1"/>
      <c r="T2982" s="1"/>
      <c r="U2982" s="1"/>
      <c r="V2982" s="1"/>
      <c r="W2982" s="1"/>
      <c r="X2982" s="1"/>
      <c r="Y2982" s="1"/>
      <c r="Z2982" s="1"/>
      <c r="AA2982" s="1"/>
      <c r="AB2982" s="1"/>
      <c r="AC2982" s="1"/>
      <c r="AD2982" s="1"/>
      <c r="AE2982" s="1"/>
      <c r="AF2982" s="1"/>
      <c r="AG2982" s="1"/>
      <c r="AH2982" s="1"/>
    </row>
    <row r="2983" ht="12.75" hidden="1" customHeight="1" outlineLevel="1">
      <c r="A2983" s="17">
        <v>41540.0</v>
      </c>
      <c r="B2983" s="1" t="s">
        <v>343</v>
      </c>
      <c r="C2983" s="1" t="s">
        <v>1220</v>
      </c>
      <c r="D2983" s="74">
        <v>300.0</v>
      </c>
      <c r="E2983" s="67">
        <v>85.65</v>
      </c>
      <c r="F2983" s="75">
        <v>0.49539351851851854</v>
      </c>
      <c r="G2983" s="67" t="s">
        <v>453</v>
      </c>
      <c r="H2983" s="68">
        <v>1.3</v>
      </c>
      <c r="I2983" s="76"/>
      <c r="J2983" s="67">
        <f t="shared" ref="J2983:J2988" si="208">IF(B2983="SLD",D2983*E2983,-D2983*E2983)-H2983</f>
        <v>-25696.3</v>
      </c>
      <c r="K2983" s="7"/>
      <c r="L2983" s="70"/>
      <c r="M2983" s="79"/>
      <c r="N2983" s="1"/>
      <c r="O2983" s="1"/>
      <c r="P2983" s="1"/>
      <c r="Q2983" s="1"/>
      <c r="R2983" s="1"/>
      <c r="S2983" s="1"/>
      <c r="T2983" s="1"/>
      <c r="U2983" s="1"/>
      <c r="V2983" s="1"/>
      <c r="W2983" s="1"/>
      <c r="X2983" s="1"/>
      <c r="Y2983" s="1"/>
      <c r="Z2983" s="1"/>
      <c r="AA2983" s="1"/>
      <c r="AB2983" s="1"/>
      <c r="AC2983" s="1"/>
      <c r="AD2983" s="1"/>
      <c r="AE2983" s="1"/>
      <c r="AF2983" s="1"/>
      <c r="AG2983" s="1"/>
      <c r="AH2983" s="1"/>
    </row>
    <row r="2984" ht="12.75" hidden="1" customHeight="1" outlineLevel="1">
      <c r="A2984" s="17">
        <v>41540.0</v>
      </c>
      <c r="B2984" s="1" t="s">
        <v>343</v>
      </c>
      <c r="C2984" s="1" t="s">
        <v>1222</v>
      </c>
      <c r="D2984" s="74">
        <v>220.0</v>
      </c>
      <c r="E2984" s="67">
        <v>109.84</v>
      </c>
      <c r="F2984" s="75">
        <v>0.4960879629629629</v>
      </c>
      <c r="G2984" s="67" t="s">
        <v>453</v>
      </c>
      <c r="H2984" s="68">
        <v>1.1</v>
      </c>
      <c r="I2984" s="76"/>
      <c r="J2984" s="67">
        <f t="shared" si="208"/>
        <v>-24165.9</v>
      </c>
      <c r="K2984" s="7"/>
      <c r="L2984" s="70"/>
      <c r="M2984" s="79"/>
      <c r="N2984" s="1"/>
      <c r="O2984" s="1"/>
      <c r="P2984" s="1"/>
      <c r="Q2984" s="1"/>
      <c r="R2984" s="1"/>
      <c r="S2984" s="1"/>
      <c r="T2984" s="1"/>
      <c r="U2984" s="1"/>
      <c r="V2984" s="1"/>
      <c r="W2984" s="1"/>
      <c r="X2984" s="1"/>
      <c r="Y2984" s="1"/>
      <c r="Z2984" s="1"/>
      <c r="AA2984" s="1"/>
      <c r="AB2984" s="1"/>
      <c r="AC2984" s="1"/>
      <c r="AD2984" s="1"/>
      <c r="AE2984" s="1"/>
      <c r="AF2984" s="1"/>
      <c r="AG2984" s="1"/>
      <c r="AH2984" s="1"/>
    </row>
    <row r="2985" ht="12.75" hidden="1" customHeight="1" outlineLevel="1">
      <c r="A2985" s="17">
        <v>41540.0</v>
      </c>
      <c r="B2985" s="1" t="s">
        <v>343</v>
      </c>
      <c r="C2985" s="1" t="s">
        <v>356</v>
      </c>
      <c r="D2985" s="74">
        <v>80.0</v>
      </c>
      <c r="E2985" s="67">
        <v>280.4287</v>
      </c>
      <c r="F2985" s="75">
        <v>0.5293518518518519</v>
      </c>
      <c r="G2985" s="67" t="s">
        <v>453</v>
      </c>
      <c r="H2985" s="68">
        <v>1.0</v>
      </c>
      <c r="I2985" s="76"/>
      <c r="J2985" s="67">
        <f t="shared" si="208"/>
        <v>-22435.296</v>
      </c>
      <c r="K2985" s="7"/>
      <c r="L2985" s="70"/>
      <c r="M2985" s="79"/>
      <c r="N2985" s="1"/>
      <c r="O2985" s="1"/>
      <c r="P2985" s="1"/>
      <c r="Q2985" s="1"/>
      <c r="R2985" s="1"/>
      <c r="S2985" s="1"/>
      <c r="T2985" s="1"/>
      <c r="U2985" s="1"/>
      <c r="V2985" s="1"/>
      <c r="W2985" s="1"/>
      <c r="X2985" s="1"/>
      <c r="Y2985" s="1"/>
      <c r="Z2985" s="1"/>
      <c r="AA2985" s="1"/>
      <c r="AB2985" s="1"/>
      <c r="AC2985" s="1"/>
      <c r="AD2985" s="1"/>
      <c r="AE2985" s="1"/>
      <c r="AF2985" s="1"/>
      <c r="AG2985" s="1"/>
      <c r="AH2985" s="1"/>
    </row>
    <row r="2986" ht="12.75" hidden="1" customHeight="1" outlineLevel="1">
      <c r="A2986" s="17">
        <v>41540.0</v>
      </c>
      <c r="B2986" s="1" t="s">
        <v>347</v>
      </c>
      <c r="C2986" s="1" t="s">
        <v>369</v>
      </c>
      <c r="D2986" s="74">
        <v>1000.0</v>
      </c>
      <c r="E2986" s="67">
        <v>21.95</v>
      </c>
      <c r="F2986" s="75">
        <v>0.4852546296296296</v>
      </c>
      <c r="G2986" s="67" t="s">
        <v>453</v>
      </c>
      <c r="H2986" s="68">
        <v>4.38</v>
      </c>
      <c r="I2986" s="76"/>
      <c r="J2986" s="67">
        <f t="shared" si="208"/>
        <v>21945.62</v>
      </c>
      <c r="K2986" s="7"/>
      <c r="L2986" s="70"/>
      <c r="M2986" s="79"/>
      <c r="N2986" s="1"/>
      <c r="O2986" s="1"/>
      <c r="P2986" s="1"/>
      <c r="Q2986" s="1"/>
      <c r="R2986" s="1"/>
      <c r="S2986" s="1"/>
      <c r="T2986" s="1"/>
      <c r="U2986" s="1"/>
      <c r="V2986" s="1"/>
      <c r="W2986" s="1"/>
      <c r="X2986" s="1"/>
      <c r="Y2986" s="1"/>
      <c r="Z2986" s="1"/>
      <c r="AA2986" s="1"/>
      <c r="AB2986" s="1"/>
      <c r="AC2986" s="1"/>
      <c r="AD2986" s="1"/>
      <c r="AE2986" s="1"/>
      <c r="AF2986" s="1"/>
      <c r="AG2986" s="1"/>
      <c r="AH2986" s="1"/>
    </row>
    <row r="2987" ht="12.75" hidden="1" customHeight="1" outlineLevel="1">
      <c r="A2987" s="17">
        <v>41540.0</v>
      </c>
      <c r="B2987" s="1" t="s">
        <v>347</v>
      </c>
      <c r="C2987" s="1" t="s">
        <v>784</v>
      </c>
      <c r="D2987" s="74">
        <v>1800.0</v>
      </c>
      <c r="E2987" s="67">
        <v>16.44</v>
      </c>
      <c r="F2987" s="75">
        <v>0.4856481481481481</v>
      </c>
      <c r="G2987" s="67" t="s">
        <v>453</v>
      </c>
      <c r="H2987" s="68">
        <v>9.01</v>
      </c>
      <c r="I2987" s="76"/>
      <c r="J2987" s="67">
        <f t="shared" si="208"/>
        <v>29582.99</v>
      </c>
      <c r="K2987" s="7"/>
      <c r="L2987" s="70"/>
      <c r="M2987" s="79"/>
      <c r="N2987" s="1"/>
      <c r="O2987" s="1"/>
      <c r="P2987" s="1"/>
      <c r="Q2987" s="1"/>
      <c r="R2987" s="1"/>
      <c r="S2987" s="1"/>
      <c r="T2987" s="1"/>
      <c r="U2987" s="1"/>
      <c r="V2987" s="1"/>
      <c r="W2987" s="1"/>
      <c r="X2987" s="1"/>
      <c r="Y2987" s="1"/>
      <c r="Z2987" s="1"/>
      <c r="AA2987" s="1"/>
      <c r="AB2987" s="1"/>
      <c r="AC2987" s="1"/>
      <c r="AD2987" s="1"/>
      <c r="AE2987" s="1"/>
      <c r="AF2987" s="1"/>
      <c r="AG2987" s="1"/>
      <c r="AH2987" s="1"/>
    </row>
    <row r="2988" ht="12.75" hidden="1" customHeight="1" outlineLevel="1">
      <c r="A2988" s="17">
        <v>41540.0</v>
      </c>
      <c r="B2988" s="1" t="s">
        <v>347</v>
      </c>
      <c r="C2988" s="1" t="s">
        <v>1044</v>
      </c>
      <c r="D2988" s="74">
        <v>900.0</v>
      </c>
      <c r="E2988" s="67">
        <v>25.788</v>
      </c>
      <c r="F2988" s="75">
        <v>0.48614583333333333</v>
      </c>
      <c r="G2988" s="67" t="s">
        <v>453</v>
      </c>
      <c r="H2988" s="68">
        <v>4.2</v>
      </c>
      <c r="I2988" s="76"/>
      <c r="J2988" s="67">
        <f t="shared" si="208"/>
        <v>23205</v>
      </c>
      <c r="K2988" s="7"/>
      <c r="L2988" s="70"/>
      <c r="M2988" s="79"/>
      <c r="N2988" s="1"/>
      <c r="O2988" s="1"/>
      <c r="P2988" s="1"/>
      <c r="Q2988" s="1"/>
      <c r="R2988" s="1"/>
      <c r="S2988" s="1"/>
      <c r="T2988" s="1"/>
      <c r="U2988" s="1"/>
      <c r="V2988" s="1"/>
      <c r="W2988" s="1"/>
      <c r="X2988" s="1"/>
      <c r="Y2988" s="1"/>
      <c r="Z2988" s="1"/>
      <c r="AA2988" s="1"/>
      <c r="AB2988" s="1"/>
      <c r="AC2988" s="1"/>
      <c r="AD2988" s="1"/>
      <c r="AE2988" s="1"/>
      <c r="AF2988" s="1"/>
      <c r="AG2988" s="1"/>
      <c r="AH2988" s="1"/>
    </row>
    <row r="2989" ht="12.75" hidden="1" customHeight="1" outlineLevel="1">
      <c r="A2989" s="17">
        <v>41540.0</v>
      </c>
      <c r="B2989" s="1"/>
      <c r="C2989" s="1" t="s">
        <v>339</v>
      </c>
      <c r="D2989" s="74"/>
      <c r="E2989" s="67"/>
      <c r="F2989" s="75"/>
      <c r="G2989" s="67"/>
      <c r="H2989" s="68"/>
      <c r="I2989" s="76"/>
      <c r="J2989" s="67"/>
      <c r="K2989" s="7" t="s">
        <v>1225</v>
      </c>
      <c r="L2989" s="77"/>
      <c r="M2989" s="79"/>
      <c r="N2989" s="1"/>
      <c r="O2989" s="1"/>
      <c r="P2989" s="1"/>
      <c r="Q2989" s="1"/>
      <c r="R2989" s="1"/>
      <c r="S2989" s="1"/>
      <c r="T2989" s="1"/>
      <c r="U2989" s="1"/>
      <c r="V2989" s="1"/>
      <c r="W2989" s="1"/>
      <c r="X2989" s="1"/>
      <c r="Y2989" s="1"/>
      <c r="Z2989" s="1"/>
      <c r="AA2989" s="1"/>
      <c r="AB2989" s="1"/>
      <c r="AC2989" s="1"/>
      <c r="AD2989" s="1"/>
      <c r="AE2989" s="1"/>
      <c r="AF2989" s="1"/>
      <c r="AG2989" s="1"/>
      <c r="AH2989" s="1"/>
    </row>
    <row r="2990" ht="12.75" hidden="1" customHeight="1" outlineLevel="1">
      <c r="A2990" s="17">
        <v>41540.0</v>
      </c>
      <c r="B2990" s="1"/>
      <c r="C2990" s="1" t="s">
        <v>429</v>
      </c>
      <c r="D2990" s="74"/>
      <c r="E2990" s="67"/>
      <c r="F2990" s="75"/>
      <c r="G2990" s="67"/>
      <c r="H2990" s="68"/>
      <c r="I2990" s="76"/>
      <c r="J2990" s="67"/>
      <c r="K2990" s="7" t="s">
        <v>1156</v>
      </c>
      <c r="L2990" s="77"/>
      <c r="M2990" s="79"/>
      <c r="N2990" s="1"/>
      <c r="O2990" s="1"/>
      <c r="P2990" s="1"/>
      <c r="Q2990" s="1"/>
      <c r="R2990" s="1"/>
      <c r="S2990" s="1"/>
      <c r="T2990" s="1"/>
      <c r="U2990" s="1"/>
      <c r="V2990" s="1"/>
      <c r="W2990" s="1"/>
      <c r="X2990" s="1"/>
      <c r="Y2990" s="1"/>
      <c r="Z2990" s="1"/>
      <c r="AA2990" s="1"/>
      <c r="AB2990" s="1"/>
      <c r="AC2990" s="1"/>
      <c r="AD2990" s="1"/>
      <c r="AE2990" s="1"/>
      <c r="AF2990" s="1"/>
      <c r="AG2990" s="1"/>
      <c r="AH2990" s="1"/>
    </row>
    <row r="2991" ht="12.75" hidden="1" customHeight="1" outlineLevel="1">
      <c r="A2991" s="17">
        <v>41540.0</v>
      </c>
      <c r="B2991" s="1"/>
      <c r="C2991" s="1" t="s">
        <v>431</v>
      </c>
      <c r="D2991" s="74"/>
      <c r="E2991" s="67"/>
      <c r="F2991" s="75"/>
      <c r="G2991" s="67"/>
      <c r="H2991" s="68"/>
      <c r="I2991" s="76"/>
      <c r="J2991" s="67"/>
      <c r="K2991" s="7" t="s">
        <v>1126</v>
      </c>
      <c r="L2991" s="77"/>
      <c r="M2991" s="79"/>
      <c r="N2991" s="1"/>
      <c r="O2991" s="1"/>
      <c r="P2991" s="1"/>
      <c r="Q2991" s="1"/>
      <c r="R2991" s="1"/>
      <c r="S2991" s="1"/>
      <c r="T2991" s="1"/>
      <c r="U2991" s="1"/>
      <c r="V2991" s="1"/>
      <c r="W2991" s="1"/>
      <c r="X2991" s="1"/>
      <c r="Y2991" s="1"/>
      <c r="Z2991" s="1"/>
      <c r="AA2991" s="1"/>
      <c r="AB2991" s="1"/>
      <c r="AC2991" s="1"/>
      <c r="AD2991" s="1"/>
      <c r="AE2991" s="1"/>
      <c r="AF2991" s="1"/>
      <c r="AG2991" s="1"/>
      <c r="AH2991" s="1"/>
    </row>
    <row r="2992" ht="12.75" hidden="1" customHeight="1" outlineLevel="1">
      <c r="A2992" s="17">
        <v>41540.0</v>
      </c>
      <c r="B2992" s="1"/>
      <c r="C2992" s="1" t="s">
        <v>433</v>
      </c>
      <c r="D2992" s="74"/>
      <c r="E2992" s="67"/>
      <c r="F2992" s="75"/>
      <c r="G2992" s="67"/>
      <c r="H2992" s="68"/>
      <c r="I2992" s="76"/>
      <c r="J2992" s="67"/>
      <c r="K2992" s="7" t="s">
        <v>1103</v>
      </c>
      <c r="L2992" s="77"/>
      <c r="M2992" s="79"/>
      <c r="N2992" s="1"/>
      <c r="O2992" s="1"/>
      <c r="P2992" s="1"/>
      <c r="Q2992" s="1"/>
      <c r="R2992" s="1"/>
      <c r="S2992" s="1"/>
      <c r="T2992" s="1"/>
      <c r="U2992" s="1"/>
      <c r="V2992" s="1"/>
      <c r="W2992" s="1"/>
      <c r="X2992" s="1"/>
      <c r="Y2992" s="1"/>
      <c r="Z2992" s="1"/>
      <c r="AA2992" s="1"/>
      <c r="AB2992" s="1"/>
      <c r="AC2992" s="1"/>
      <c r="AD2992" s="1"/>
      <c r="AE2992" s="1"/>
      <c r="AF2992" s="1"/>
      <c r="AG2992" s="1"/>
      <c r="AH2992" s="1"/>
    </row>
    <row r="2993" ht="12.75" hidden="1" customHeight="1" outlineLevel="1">
      <c r="A2993" s="17">
        <v>41540.0</v>
      </c>
      <c r="B2993" s="1"/>
      <c r="C2993" s="1" t="s">
        <v>435</v>
      </c>
      <c r="D2993" s="74"/>
      <c r="E2993" s="67"/>
      <c r="F2993" s="75"/>
      <c r="G2993" s="67"/>
      <c r="H2993" s="68"/>
      <c r="I2993" s="76"/>
      <c r="J2993" s="67"/>
      <c r="K2993" s="7" t="s">
        <v>1104</v>
      </c>
      <c r="L2993" s="77"/>
      <c r="M2993" s="79"/>
      <c r="N2993" s="1"/>
      <c r="O2993" s="1"/>
      <c r="P2993" s="1"/>
      <c r="Q2993" s="1"/>
      <c r="R2993" s="1"/>
      <c r="S2993" s="1"/>
      <c r="T2993" s="1"/>
      <c r="U2993" s="1"/>
      <c r="V2993" s="1"/>
      <c r="W2993" s="1"/>
      <c r="X2993" s="1"/>
      <c r="Y2993" s="1"/>
      <c r="Z2993" s="1"/>
      <c r="AA2993" s="1"/>
      <c r="AB2993" s="1"/>
      <c r="AC2993" s="1"/>
      <c r="AD2993" s="1"/>
      <c r="AE2993" s="1"/>
      <c r="AF2993" s="1"/>
      <c r="AG2993" s="1"/>
      <c r="AH2993" s="1"/>
    </row>
    <row r="2994" ht="12.75" hidden="1" customHeight="1" outlineLevel="1">
      <c r="A2994" s="17">
        <v>41541.0</v>
      </c>
      <c r="B2994" s="1"/>
      <c r="C2994" s="1" t="s">
        <v>339</v>
      </c>
      <c r="D2994" s="74"/>
      <c r="E2994" s="67"/>
      <c r="F2994" s="75"/>
      <c r="G2994" s="67"/>
      <c r="H2994" s="68"/>
      <c r="I2994" s="76"/>
      <c r="J2994" s="67"/>
      <c r="K2994" s="7" t="s">
        <v>1228</v>
      </c>
      <c r="L2994" s="77"/>
      <c r="M2994" s="79"/>
      <c r="N2994" s="1"/>
      <c r="O2994" s="1"/>
      <c r="P2994" s="1"/>
      <c r="Q2994" s="1"/>
      <c r="R2994" s="1"/>
      <c r="S2994" s="1"/>
      <c r="T2994" s="1"/>
      <c r="U2994" s="1"/>
      <c r="V2994" s="1"/>
      <c r="W2994" s="1"/>
      <c r="X2994" s="1"/>
      <c r="Y2994" s="1"/>
      <c r="Z2994" s="1"/>
      <c r="AA2994" s="1"/>
      <c r="AB2994" s="1"/>
      <c r="AC2994" s="1"/>
      <c r="AD2994" s="1"/>
      <c r="AE2994" s="1"/>
      <c r="AF2994" s="1"/>
      <c r="AG2994" s="1"/>
      <c r="AH2994" s="1"/>
    </row>
    <row r="2995" ht="12.75" hidden="1" customHeight="1" outlineLevel="1">
      <c r="A2995" s="17">
        <v>41541.0</v>
      </c>
      <c r="B2995" s="1"/>
      <c r="C2995" s="1" t="s">
        <v>429</v>
      </c>
      <c r="D2995" s="74"/>
      <c r="E2995" s="67"/>
      <c r="F2995" s="75"/>
      <c r="G2995" s="67"/>
      <c r="H2995" s="68"/>
      <c r="I2995" s="76"/>
      <c r="J2995" s="67"/>
      <c r="K2995" s="7" t="s">
        <v>1156</v>
      </c>
      <c r="L2995" s="77"/>
      <c r="M2995" s="79"/>
      <c r="N2995" s="1"/>
      <c r="O2995" s="1"/>
      <c r="P2995" s="1"/>
      <c r="Q2995" s="1"/>
      <c r="R2995" s="1"/>
      <c r="S2995" s="1"/>
      <c r="T2995" s="1"/>
      <c r="U2995" s="1"/>
      <c r="V2995" s="1"/>
      <c r="W2995" s="1"/>
      <c r="X2995" s="1"/>
      <c r="Y2995" s="1"/>
      <c r="Z2995" s="1"/>
      <c r="AA2995" s="1"/>
      <c r="AB2995" s="1"/>
      <c r="AC2995" s="1"/>
      <c r="AD2995" s="1"/>
      <c r="AE2995" s="1"/>
      <c r="AF2995" s="1"/>
      <c r="AG2995" s="1"/>
      <c r="AH2995" s="1"/>
    </row>
    <row r="2996" ht="12.75" hidden="1" customHeight="1" outlineLevel="1">
      <c r="A2996" s="17">
        <v>41541.0</v>
      </c>
      <c r="B2996" s="1"/>
      <c r="C2996" s="1" t="s">
        <v>431</v>
      </c>
      <c r="D2996" s="74"/>
      <c r="E2996" s="67"/>
      <c r="F2996" s="75"/>
      <c r="G2996" s="67"/>
      <c r="H2996" s="68"/>
      <c r="I2996" s="76"/>
      <c r="J2996" s="67"/>
      <c r="K2996" s="7" t="s">
        <v>1126</v>
      </c>
      <c r="L2996" s="77"/>
      <c r="M2996" s="79"/>
      <c r="N2996" s="1"/>
      <c r="O2996" s="1"/>
      <c r="P2996" s="1"/>
      <c r="Q2996" s="1"/>
      <c r="R2996" s="1"/>
      <c r="S2996" s="1"/>
      <c r="T2996" s="1"/>
      <c r="U2996" s="1"/>
      <c r="V2996" s="1"/>
      <c r="W2996" s="1"/>
      <c r="X2996" s="1"/>
      <c r="Y2996" s="1"/>
      <c r="Z2996" s="1"/>
      <c r="AA2996" s="1"/>
      <c r="AB2996" s="1"/>
      <c r="AC2996" s="1"/>
      <c r="AD2996" s="1"/>
      <c r="AE2996" s="1"/>
      <c r="AF2996" s="1"/>
      <c r="AG2996" s="1"/>
      <c r="AH2996" s="1"/>
    </row>
    <row r="2997" ht="12.75" hidden="1" customHeight="1" outlineLevel="1">
      <c r="A2997" s="17">
        <v>41541.0</v>
      </c>
      <c r="B2997" s="1"/>
      <c r="C2997" s="1" t="s">
        <v>433</v>
      </c>
      <c r="D2997" s="74"/>
      <c r="E2997" s="67"/>
      <c r="F2997" s="75"/>
      <c r="G2997" s="67"/>
      <c r="H2997" s="68"/>
      <c r="I2997" s="76"/>
      <c r="J2997" s="67"/>
      <c r="K2997" s="7" t="s">
        <v>1103</v>
      </c>
      <c r="L2997" s="77"/>
      <c r="M2997" s="79"/>
      <c r="N2997" s="1"/>
      <c r="O2997" s="1"/>
      <c r="P2997" s="1"/>
      <c r="Q2997" s="1"/>
      <c r="R2997" s="1"/>
      <c r="S2997" s="1"/>
      <c r="T2997" s="1"/>
      <c r="U2997" s="1"/>
      <c r="V2997" s="1"/>
      <c r="W2997" s="1"/>
      <c r="X2997" s="1"/>
      <c r="Y2997" s="1"/>
      <c r="Z2997" s="1"/>
      <c r="AA2997" s="1"/>
      <c r="AB2997" s="1"/>
      <c r="AC2997" s="1"/>
      <c r="AD2997" s="1"/>
      <c r="AE2997" s="1"/>
      <c r="AF2997" s="1"/>
      <c r="AG2997" s="1"/>
      <c r="AH2997" s="1"/>
    </row>
    <row r="2998" ht="12.75" hidden="1" customHeight="1" outlineLevel="1">
      <c r="A2998" s="17">
        <v>41541.0</v>
      </c>
      <c r="B2998" s="1"/>
      <c r="C2998" s="1" t="s">
        <v>435</v>
      </c>
      <c r="D2998" s="74"/>
      <c r="E2998" s="67"/>
      <c r="F2998" s="75"/>
      <c r="G2998" s="67"/>
      <c r="H2998" s="68"/>
      <c r="I2998" s="76"/>
      <c r="J2998" s="67"/>
      <c r="K2998" s="7" t="s">
        <v>1104</v>
      </c>
      <c r="L2998" s="77"/>
      <c r="M2998" s="79"/>
      <c r="N2998" s="1"/>
      <c r="O2998" s="1"/>
      <c r="P2998" s="1"/>
      <c r="Q2998" s="1"/>
      <c r="R2998" s="1"/>
      <c r="S2998" s="1"/>
      <c r="T2998" s="1"/>
      <c r="U2998" s="1"/>
      <c r="V2998" s="1"/>
      <c r="W2998" s="1"/>
      <c r="X2998" s="1"/>
      <c r="Y2998" s="1"/>
      <c r="Z2998" s="1"/>
      <c r="AA2998" s="1"/>
      <c r="AB2998" s="1"/>
      <c r="AC2998" s="1"/>
      <c r="AD2998" s="1"/>
      <c r="AE2998" s="1"/>
      <c r="AF2998" s="1"/>
      <c r="AG2998" s="1"/>
      <c r="AH2998" s="1"/>
    </row>
    <row r="2999" ht="12.75" hidden="1" customHeight="1" outlineLevel="1">
      <c r="A2999" s="17">
        <v>41542.0</v>
      </c>
      <c r="B2999" s="1"/>
      <c r="C2999" s="1" t="s">
        <v>339</v>
      </c>
      <c r="D2999" s="74"/>
      <c r="E2999" s="67"/>
      <c r="F2999" s="75"/>
      <c r="G2999" s="67"/>
      <c r="H2999" s="68"/>
      <c r="I2999" s="76"/>
      <c r="J2999" s="67"/>
      <c r="K2999" s="7" t="s">
        <v>1230</v>
      </c>
      <c r="L2999" s="77"/>
      <c r="M2999" s="79"/>
      <c r="N2999" s="1"/>
      <c r="O2999" s="1"/>
      <c r="P2999" s="1"/>
      <c r="Q2999" s="1"/>
      <c r="R2999" s="1"/>
      <c r="S2999" s="1"/>
      <c r="T2999" s="1"/>
      <c r="U2999" s="1"/>
      <c r="V2999" s="1"/>
      <c r="W2999" s="1"/>
      <c r="X2999" s="1"/>
      <c r="Y2999" s="1"/>
      <c r="Z2999" s="1"/>
      <c r="AA2999" s="1"/>
      <c r="AB2999" s="1"/>
      <c r="AC2999" s="1"/>
      <c r="AD2999" s="1"/>
      <c r="AE2999" s="1"/>
      <c r="AF2999" s="1"/>
      <c r="AG2999" s="1"/>
      <c r="AH2999" s="1"/>
    </row>
    <row r="3000" ht="12.75" hidden="1" customHeight="1" outlineLevel="1">
      <c r="A3000" s="17">
        <v>41542.0</v>
      </c>
      <c r="B3000" s="1"/>
      <c r="C3000" s="1" t="s">
        <v>429</v>
      </c>
      <c r="D3000" s="74"/>
      <c r="E3000" s="67"/>
      <c r="F3000" s="75"/>
      <c r="G3000" s="67"/>
      <c r="H3000" s="68"/>
      <c r="I3000" s="76"/>
      <c r="J3000" s="67"/>
      <c r="K3000" s="7" t="s">
        <v>1156</v>
      </c>
      <c r="L3000" s="77"/>
      <c r="M3000" s="79"/>
      <c r="N3000" s="1"/>
      <c r="O3000" s="1"/>
      <c r="P3000" s="1"/>
      <c r="Q3000" s="1"/>
      <c r="R3000" s="1"/>
      <c r="S3000" s="1"/>
      <c r="T3000" s="1"/>
      <c r="U3000" s="1"/>
      <c r="V3000" s="1"/>
      <c r="W3000" s="1"/>
      <c r="X3000" s="1"/>
      <c r="Y3000" s="1"/>
      <c r="Z3000" s="1"/>
      <c r="AA3000" s="1"/>
      <c r="AB3000" s="1"/>
      <c r="AC3000" s="1"/>
      <c r="AD3000" s="1"/>
      <c r="AE3000" s="1"/>
      <c r="AF3000" s="1"/>
      <c r="AG3000" s="1"/>
      <c r="AH3000" s="1"/>
    </row>
    <row r="3001" ht="12.75" hidden="1" customHeight="1" outlineLevel="1">
      <c r="A3001" s="17">
        <v>41542.0</v>
      </c>
      <c r="B3001" s="1"/>
      <c r="C3001" s="1" t="s">
        <v>431</v>
      </c>
      <c r="D3001" s="74"/>
      <c r="E3001" s="67"/>
      <c r="F3001" s="75"/>
      <c r="G3001" s="67"/>
      <c r="H3001" s="68"/>
      <c r="I3001" s="76"/>
      <c r="J3001" s="67"/>
      <c r="K3001" s="7" t="s">
        <v>1126</v>
      </c>
      <c r="L3001" s="77"/>
      <c r="M3001" s="79"/>
      <c r="N3001" s="1"/>
      <c r="O3001" s="1"/>
      <c r="P3001" s="1"/>
      <c r="Q3001" s="1"/>
      <c r="R3001" s="1"/>
      <c r="S3001" s="1"/>
      <c r="T3001" s="1"/>
      <c r="U3001" s="1"/>
      <c r="V3001" s="1"/>
      <c r="W3001" s="1"/>
      <c r="X3001" s="1"/>
      <c r="Y3001" s="1"/>
      <c r="Z3001" s="1"/>
      <c r="AA3001" s="1"/>
      <c r="AB3001" s="1"/>
      <c r="AC3001" s="1"/>
      <c r="AD3001" s="1"/>
      <c r="AE3001" s="1"/>
      <c r="AF3001" s="1"/>
      <c r="AG3001" s="1"/>
      <c r="AH3001" s="1"/>
    </row>
    <row r="3002" ht="12.75" hidden="1" customHeight="1" outlineLevel="1">
      <c r="A3002" s="17">
        <v>41542.0</v>
      </c>
      <c r="B3002" s="1"/>
      <c r="C3002" s="1" t="s">
        <v>433</v>
      </c>
      <c r="D3002" s="74"/>
      <c r="E3002" s="67"/>
      <c r="F3002" s="75"/>
      <c r="G3002" s="67"/>
      <c r="H3002" s="68"/>
      <c r="I3002" s="76"/>
      <c r="J3002" s="67"/>
      <c r="K3002" s="7" t="s">
        <v>1103</v>
      </c>
      <c r="L3002" s="77"/>
      <c r="M3002" s="79"/>
      <c r="N3002" s="1"/>
      <c r="O3002" s="1"/>
      <c r="P3002" s="1"/>
      <c r="Q3002" s="1"/>
      <c r="R3002" s="1"/>
      <c r="S3002" s="1"/>
      <c r="T3002" s="1"/>
      <c r="U3002" s="1"/>
      <c r="V3002" s="1"/>
      <c r="W3002" s="1"/>
      <c r="X3002" s="1"/>
      <c r="Y3002" s="1"/>
      <c r="Z3002" s="1"/>
      <c r="AA3002" s="1"/>
      <c r="AB3002" s="1"/>
      <c r="AC3002" s="1"/>
      <c r="AD3002" s="1"/>
      <c r="AE3002" s="1"/>
      <c r="AF3002" s="1"/>
      <c r="AG3002" s="1"/>
      <c r="AH3002" s="1"/>
    </row>
    <row r="3003" ht="12.75" hidden="1" customHeight="1" outlineLevel="1">
      <c r="A3003" s="17">
        <v>41542.0</v>
      </c>
      <c r="B3003" s="1"/>
      <c r="C3003" s="1" t="s">
        <v>435</v>
      </c>
      <c r="D3003" s="74"/>
      <c r="E3003" s="67"/>
      <c r="F3003" s="75"/>
      <c r="G3003" s="67"/>
      <c r="H3003" s="68"/>
      <c r="I3003" s="76"/>
      <c r="J3003" s="67"/>
      <c r="K3003" s="7" t="s">
        <v>1104</v>
      </c>
      <c r="L3003" s="77"/>
      <c r="M3003" s="79"/>
      <c r="N3003" s="1"/>
      <c r="O3003" s="1"/>
      <c r="P3003" s="1"/>
      <c r="Q3003" s="1"/>
      <c r="R3003" s="1"/>
      <c r="S3003" s="1"/>
      <c r="T3003" s="1"/>
      <c r="U3003" s="1"/>
      <c r="V3003" s="1"/>
      <c r="W3003" s="1"/>
      <c r="X3003" s="1"/>
      <c r="Y3003" s="1"/>
      <c r="Z3003" s="1"/>
      <c r="AA3003" s="1"/>
      <c r="AB3003" s="1"/>
      <c r="AC3003" s="1"/>
      <c r="AD3003" s="1"/>
      <c r="AE3003" s="1"/>
      <c r="AF3003" s="1"/>
      <c r="AG3003" s="1"/>
      <c r="AH3003" s="1"/>
    </row>
    <row r="3004" ht="12.75" hidden="1" customHeight="1" outlineLevel="1">
      <c r="A3004" s="17">
        <v>41543.0</v>
      </c>
      <c r="B3004" s="1"/>
      <c r="C3004" s="1" t="s">
        <v>339</v>
      </c>
      <c r="D3004" s="74"/>
      <c r="E3004" s="67"/>
      <c r="F3004" s="75"/>
      <c r="G3004" s="67"/>
      <c r="H3004" s="68"/>
      <c r="I3004" s="76"/>
      <c r="J3004" s="67"/>
      <c r="K3004" s="7" t="s">
        <v>1234</v>
      </c>
      <c r="L3004" s="77"/>
      <c r="M3004" s="79"/>
      <c r="N3004" s="1"/>
      <c r="O3004" s="1"/>
      <c r="P3004" s="1"/>
      <c r="Q3004" s="1"/>
      <c r="R3004" s="1"/>
      <c r="S3004" s="1"/>
      <c r="T3004" s="1"/>
      <c r="U3004" s="1"/>
      <c r="V3004" s="1"/>
      <c r="W3004" s="1"/>
      <c r="X3004" s="1"/>
      <c r="Y3004" s="1"/>
      <c r="Z3004" s="1"/>
      <c r="AA3004" s="1"/>
      <c r="AB3004" s="1"/>
      <c r="AC3004" s="1"/>
      <c r="AD3004" s="1"/>
      <c r="AE3004" s="1"/>
      <c r="AF3004" s="1"/>
      <c r="AG3004" s="1"/>
      <c r="AH3004" s="1"/>
    </row>
    <row r="3005" ht="12.75" hidden="1" customHeight="1" outlineLevel="1">
      <c r="A3005" s="17">
        <v>41543.0</v>
      </c>
      <c r="B3005" s="1"/>
      <c r="C3005" s="1" t="s">
        <v>429</v>
      </c>
      <c r="D3005" s="74"/>
      <c r="E3005" s="67"/>
      <c r="F3005" s="75"/>
      <c r="G3005" s="67"/>
      <c r="H3005" s="68"/>
      <c r="I3005" s="76"/>
      <c r="J3005" s="67"/>
      <c r="K3005" s="7" t="s">
        <v>1156</v>
      </c>
      <c r="L3005" s="77"/>
      <c r="M3005" s="79"/>
      <c r="N3005" s="1"/>
      <c r="O3005" s="1"/>
      <c r="P3005" s="1"/>
      <c r="Q3005" s="1"/>
      <c r="R3005" s="1"/>
      <c r="S3005" s="1"/>
      <c r="T3005" s="1"/>
      <c r="U3005" s="1"/>
      <c r="V3005" s="1"/>
      <c r="W3005" s="1"/>
      <c r="X3005" s="1"/>
      <c r="Y3005" s="1"/>
      <c r="Z3005" s="1"/>
      <c r="AA3005" s="1"/>
      <c r="AB3005" s="1"/>
      <c r="AC3005" s="1"/>
      <c r="AD3005" s="1"/>
      <c r="AE3005" s="1"/>
      <c r="AF3005" s="1"/>
      <c r="AG3005" s="1"/>
      <c r="AH3005" s="1"/>
    </row>
    <row r="3006" ht="12.75" hidden="1" customHeight="1" outlineLevel="1">
      <c r="A3006" s="17">
        <v>41543.0</v>
      </c>
      <c r="B3006" s="1"/>
      <c r="C3006" s="1" t="s">
        <v>431</v>
      </c>
      <c r="D3006" s="74"/>
      <c r="E3006" s="67"/>
      <c r="F3006" s="75"/>
      <c r="G3006" s="67"/>
      <c r="H3006" s="68"/>
      <c r="I3006" s="76"/>
      <c r="J3006" s="67"/>
      <c r="K3006" s="7" t="s">
        <v>1126</v>
      </c>
      <c r="L3006" s="77"/>
      <c r="M3006" s="79"/>
      <c r="N3006" s="1"/>
      <c r="O3006" s="1"/>
      <c r="P3006" s="1"/>
      <c r="Q3006" s="1"/>
      <c r="R3006" s="1"/>
      <c r="S3006" s="1"/>
      <c r="T3006" s="1"/>
      <c r="U3006" s="1"/>
      <c r="V3006" s="1"/>
      <c r="W3006" s="1"/>
      <c r="X3006" s="1"/>
      <c r="Y3006" s="1"/>
      <c r="Z3006" s="1"/>
      <c r="AA3006" s="1"/>
      <c r="AB3006" s="1"/>
      <c r="AC3006" s="1"/>
      <c r="AD3006" s="1"/>
      <c r="AE3006" s="1"/>
      <c r="AF3006" s="1"/>
      <c r="AG3006" s="1"/>
      <c r="AH3006" s="1"/>
    </row>
    <row r="3007" ht="12.75" hidden="1" customHeight="1" outlineLevel="1">
      <c r="A3007" s="17">
        <v>41543.0</v>
      </c>
      <c r="B3007" s="1"/>
      <c r="C3007" s="1" t="s">
        <v>433</v>
      </c>
      <c r="D3007" s="74"/>
      <c r="E3007" s="67"/>
      <c r="F3007" s="75"/>
      <c r="G3007" s="67"/>
      <c r="H3007" s="68"/>
      <c r="I3007" s="76"/>
      <c r="J3007" s="67"/>
      <c r="K3007" s="7" t="s">
        <v>1103</v>
      </c>
      <c r="L3007" s="77"/>
      <c r="M3007" s="79"/>
      <c r="N3007" s="1"/>
      <c r="O3007" s="1"/>
      <c r="P3007" s="1"/>
      <c r="Q3007" s="1"/>
      <c r="R3007" s="1"/>
      <c r="S3007" s="1"/>
      <c r="T3007" s="1"/>
      <c r="U3007" s="1"/>
      <c r="V3007" s="1"/>
      <c r="W3007" s="1"/>
      <c r="X3007" s="1"/>
      <c r="Y3007" s="1"/>
      <c r="Z3007" s="1"/>
      <c r="AA3007" s="1"/>
      <c r="AB3007" s="1"/>
      <c r="AC3007" s="1"/>
      <c r="AD3007" s="1"/>
      <c r="AE3007" s="1"/>
      <c r="AF3007" s="1"/>
      <c r="AG3007" s="1"/>
      <c r="AH3007" s="1"/>
    </row>
    <row r="3008" ht="12.75" hidden="1" customHeight="1" outlineLevel="1">
      <c r="A3008" s="17">
        <v>41543.0</v>
      </c>
      <c r="B3008" s="1"/>
      <c r="C3008" s="1" t="s">
        <v>435</v>
      </c>
      <c r="D3008" s="74"/>
      <c r="E3008" s="67"/>
      <c r="F3008" s="75"/>
      <c r="G3008" s="67"/>
      <c r="H3008" s="68"/>
      <c r="I3008" s="76"/>
      <c r="J3008" s="67"/>
      <c r="K3008" s="7" t="s">
        <v>1104</v>
      </c>
      <c r="L3008" s="77"/>
      <c r="M3008" s="79"/>
      <c r="N3008" s="1"/>
      <c r="O3008" s="1"/>
      <c r="P3008" s="1"/>
      <c r="Q3008" s="1"/>
      <c r="R3008" s="1"/>
      <c r="S3008" s="1"/>
      <c r="T3008" s="1"/>
      <c r="U3008" s="1"/>
      <c r="V3008" s="1"/>
      <c r="W3008" s="1"/>
      <c r="X3008" s="1"/>
      <c r="Y3008" s="1"/>
      <c r="Z3008" s="1"/>
      <c r="AA3008" s="1"/>
      <c r="AB3008" s="1"/>
      <c r="AC3008" s="1"/>
      <c r="AD3008" s="1"/>
      <c r="AE3008" s="1"/>
      <c r="AF3008" s="1"/>
      <c r="AG3008" s="1"/>
      <c r="AH3008" s="1"/>
    </row>
    <row r="3009" ht="12.75" hidden="1" customHeight="1" outlineLevel="1">
      <c r="A3009" s="17">
        <v>41544.0</v>
      </c>
      <c r="B3009" s="1"/>
      <c r="C3009" s="1" t="s">
        <v>339</v>
      </c>
      <c r="D3009" s="74"/>
      <c r="E3009" s="67"/>
      <c r="F3009" s="75"/>
      <c r="G3009" s="67"/>
      <c r="H3009" s="68"/>
      <c r="I3009" s="76"/>
      <c r="J3009" s="67"/>
      <c r="K3009" s="7" t="s">
        <v>1236</v>
      </c>
      <c r="L3009" s="77"/>
      <c r="M3009" s="79"/>
      <c r="N3009" s="1"/>
      <c r="O3009" s="1"/>
      <c r="P3009" s="1"/>
      <c r="Q3009" s="1"/>
      <c r="R3009" s="1"/>
      <c r="S3009" s="1"/>
      <c r="T3009" s="1"/>
      <c r="U3009" s="1"/>
      <c r="V3009" s="1"/>
      <c r="W3009" s="1"/>
      <c r="X3009" s="1"/>
      <c r="Y3009" s="1"/>
      <c r="Z3009" s="1"/>
      <c r="AA3009" s="1"/>
      <c r="AB3009" s="1"/>
      <c r="AC3009" s="1"/>
      <c r="AD3009" s="1"/>
      <c r="AE3009" s="1"/>
      <c r="AF3009" s="1"/>
      <c r="AG3009" s="1"/>
      <c r="AH3009" s="1"/>
    </row>
    <row r="3010" ht="12.75" hidden="1" customHeight="1" outlineLevel="1">
      <c r="A3010" s="17">
        <v>41544.0</v>
      </c>
      <c r="B3010" s="1"/>
      <c r="C3010" s="1" t="s">
        <v>429</v>
      </c>
      <c r="D3010" s="74"/>
      <c r="E3010" s="67"/>
      <c r="F3010" s="75"/>
      <c r="G3010" s="67"/>
      <c r="H3010" s="68"/>
      <c r="I3010" s="76"/>
      <c r="J3010" s="67"/>
      <c r="K3010" s="7" t="s">
        <v>1156</v>
      </c>
      <c r="L3010" s="77"/>
      <c r="M3010" s="79"/>
      <c r="N3010" s="1"/>
      <c r="O3010" s="1"/>
      <c r="P3010" s="1"/>
      <c r="Q3010" s="1"/>
      <c r="R3010" s="1"/>
      <c r="S3010" s="1"/>
      <c r="T3010" s="1"/>
      <c r="U3010" s="1"/>
      <c r="V3010" s="1"/>
      <c r="W3010" s="1"/>
      <c r="X3010" s="1"/>
      <c r="Y3010" s="1"/>
      <c r="Z3010" s="1"/>
      <c r="AA3010" s="1"/>
      <c r="AB3010" s="1"/>
      <c r="AC3010" s="1"/>
      <c r="AD3010" s="1"/>
      <c r="AE3010" s="1"/>
      <c r="AF3010" s="1"/>
      <c r="AG3010" s="1"/>
      <c r="AH3010" s="1"/>
    </row>
    <row r="3011" ht="12.75" hidden="1" customHeight="1" outlineLevel="1">
      <c r="A3011" s="17">
        <v>41544.0</v>
      </c>
      <c r="B3011" s="1"/>
      <c r="C3011" s="1" t="s">
        <v>431</v>
      </c>
      <c r="D3011" s="74"/>
      <c r="E3011" s="67"/>
      <c r="F3011" s="75"/>
      <c r="G3011" s="67"/>
      <c r="H3011" s="68"/>
      <c r="I3011" s="76"/>
      <c r="J3011" s="67"/>
      <c r="K3011" s="7" t="s">
        <v>1126</v>
      </c>
      <c r="L3011" s="77"/>
      <c r="M3011" s="79"/>
      <c r="N3011" s="1"/>
      <c r="O3011" s="1"/>
      <c r="P3011" s="1"/>
      <c r="Q3011" s="1"/>
      <c r="R3011" s="1"/>
      <c r="S3011" s="1"/>
      <c r="T3011" s="1"/>
      <c r="U3011" s="1"/>
      <c r="V3011" s="1"/>
      <c r="W3011" s="1"/>
      <c r="X3011" s="1"/>
      <c r="Y3011" s="1"/>
      <c r="Z3011" s="1"/>
      <c r="AA3011" s="1"/>
      <c r="AB3011" s="1"/>
      <c r="AC3011" s="1"/>
      <c r="AD3011" s="1"/>
      <c r="AE3011" s="1"/>
      <c r="AF3011" s="1"/>
      <c r="AG3011" s="1"/>
      <c r="AH3011" s="1"/>
    </row>
    <row r="3012" ht="12.75" hidden="1" customHeight="1" outlineLevel="1">
      <c r="A3012" s="17">
        <v>41544.0</v>
      </c>
      <c r="B3012" s="1"/>
      <c r="C3012" s="1" t="s">
        <v>433</v>
      </c>
      <c r="D3012" s="74"/>
      <c r="E3012" s="67"/>
      <c r="F3012" s="75"/>
      <c r="G3012" s="67"/>
      <c r="H3012" s="68"/>
      <c r="I3012" s="76"/>
      <c r="J3012" s="67"/>
      <c r="K3012" s="7" t="s">
        <v>1103</v>
      </c>
      <c r="L3012" s="77"/>
      <c r="M3012" s="79"/>
      <c r="N3012" s="1"/>
      <c r="O3012" s="1"/>
      <c r="P3012" s="1"/>
      <c r="Q3012" s="1"/>
      <c r="R3012" s="1"/>
      <c r="S3012" s="1"/>
      <c r="T3012" s="1"/>
      <c r="U3012" s="1"/>
      <c r="V3012" s="1"/>
      <c r="W3012" s="1"/>
      <c r="X3012" s="1"/>
      <c r="Y3012" s="1"/>
      <c r="Z3012" s="1"/>
      <c r="AA3012" s="1"/>
      <c r="AB3012" s="1"/>
      <c r="AC3012" s="1"/>
      <c r="AD3012" s="1"/>
      <c r="AE3012" s="1"/>
      <c r="AF3012" s="1"/>
      <c r="AG3012" s="1"/>
      <c r="AH3012" s="1"/>
    </row>
    <row r="3013" ht="12.75" hidden="1" customHeight="1" outlineLevel="1">
      <c r="A3013" s="17">
        <v>41544.0</v>
      </c>
      <c r="B3013" s="1"/>
      <c r="C3013" s="1" t="s">
        <v>435</v>
      </c>
      <c r="D3013" s="74"/>
      <c r="E3013" s="67"/>
      <c r="F3013" s="75"/>
      <c r="G3013" s="67"/>
      <c r="H3013" s="68"/>
      <c r="I3013" s="76"/>
      <c r="J3013" s="67"/>
      <c r="K3013" s="7" t="s">
        <v>1104</v>
      </c>
      <c r="L3013" s="77"/>
      <c r="M3013" s="79"/>
      <c r="N3013" s="1"/>
      <c r="O3013" s="1"/>
      <c r="P3013" s="1"/>
      <c r="Q3013" s="1"/>
      <c r="R3013" s="1"/>
      <c r="S3013" s="1"/>
      <c r="T3013" s="1"/>
      <c r="U3013" s="1"/>
      <c r="V3013" s="1"/>
      <c r="W3013" s="1"/>
      <c r="X3013" s="1"/>
      <c r="Y3013" s="1"/>
      <c r="Z3013" s="1"/>
      <c r="AA3013" s="1"/>
      <c r="AB3013" s="1"/>
      <c r="AC3013" s="1"/>
      <c r="AD3013" s="1"/>
      <c r="AE3013" s="1"/>
      <c r="AF3013" s="1"/>
      <c r="AG3013" s="1"/>
      <c r="AH3013" s="1"/>
    </row>
    <row r="3014" ht="12.75" hidden="1" customHeight="1" outlineLevel="1">
      <c r="A3014" s="17">
        <v>41547.0</v>
      </c>
      <c r="B3014" s="1" t="s">
        <v>347</v>
      </c>
      <c r="C3014" s="1" t="s">
        <v>1044</v>
      </c>
      <c r="D3014" s="74">
        <v>150.0</v>
      </c>
      <c r="E3014" s="67">
        <v>24.97</v>
      </c>
      <c r="F3014" s="75">
        <v>0.41931712962962964</v>
      </c>
      <c r="G3014" s="67" t="s">
        <v>453</v>
      </c>
      <c r="H3014" s="68">
        <v>1.07</v>
      </c>
      <c r="I3014" s="76"/>
      <c r="J3014" s="67">
        <f t="shared" ref="J3014:J3015" si="209">IF(B3014="SLD",D3014*E3014,-D3014*E3014)-H3014</f>
        <v>3744.43</v>
      </c>
      <c r="K3014" s="7"/>
      <c r="L3014" s="70"/>
      <c r="M3014" s="79"/>
      <c r="N3014" s="1"/>
      <c r="O3014" s="1"/>
      <c r="P3014" s="1"/>
      <c r="Q3014" s="1"/>
      <c r="R3014" s="1"/>
      <c r="S3014" s="1"/>
      <c r="T3014" s="1"/>
      <c r="U3014" s="1"/>
      <c r="V3014" s="1"/>
      <c r="W3014" s="1"/>
      <c r="X3014" s="1"/>
      <c r="Y3014" s="1"/>
      <c r="Z3014" s="1"/>
      <c r="AA3014" s="1"/>
      <c r="AB3014" s="1"/>
      <c r="AC3014" s="1"/>
      <c r="AD3014" s="1"/>
      <c r="AE3014" s="1"/>
      <c r="AF3014" s="1"/>
      <c r="AG3014" s="1"/>
      <c r="AH3014" s="1"/>
    </row>
    <row r="3015" ht="12.75" hidden="1" customHeight="1" outlineLevel="1">
      <c r="A3015" s="17">
        <v>41547.0</v>
      </c>
      <c r="B3015" s="1" t="s">
        <v>347</v>
      </c>
      <c r="C3015" s="1" t="s">
        <v>369</v>
      </c>
      <c r="D3015" s="74">
        <v>200.0</v>
      </c>
      <c r="E3015" s="67">
        <v>20.72</v>
      </c>
      <c r="F3015" s="75">
        <v>0.4194097222222222</v>
      </c>
      <c r="G3015" s="67" t="s">
        <v>453</v>
      </c>
      <c r="H3015" s="68">
        <v>1.07</v>
      </c>
      <c r="I3015" s="76"/>
      <c r="J3015" s="67">
        <f t="shared" si="209"/>
        <v>4142.93</v>
      </c>
      <c r="K3015" s="7"/>
      <c r="L3015" s="70"/>
      <c r="M3015" s="79"/>
      <c r="N3015" s="1"/>
      <c r="O3015" s="1"/>
      <c r="P3015" s="1"/>
      <c r="Q3015" s="1"/>
      <c r="R3015" s="1"/>
      <c r="S3015" s="1"/>
      <c r="T3015" s="1"/>
      <c r="U3015" s="1"/>
      <c r="V3015" s="1"/>
      <c r="W3015" s="1"/>
      <c r="X3015" s="1"/>
      <c r="Y3015" s="1"/>
      <c r="Z3015" s="1"/>
      <c r="AA3015" s="1"/>
      <c r="AB3015" s="1"/>
      <c r="AC3015" s="1"/>
      <c r="AD3015" s="1"/>
      <c r="AE3015" s="1"/>
      <c r="AF3015" s="1"/>
      <c r="AG3015" s="1"/>
      <c r="AH3015" s="1"/>
    </row>
    <row r="3016" ht="12.75" hidden="1" customHeight="1" outlineLevel="1">
      <c r="A3016" s="17">
        <v>41547.0</v>
      </c>
      <c r="B3016" s="1"/>
      <c r="C3016" s="1" t="s">
        <v>339</v>
      </c>
      <c r="D3016" s="74"/>
      <c r="E3016" s="67"/>
      <c r="F3016" s="75"/>
      <c r="G3016" s="67"/>
      <c r="H3016" s="68"/>
      <c r="I3016" s="76"/>
      <c r="J3016" s="67"/>
      <c r="K3016" s="7" t="s">
        <v>1239</v>
      </c>
      <c r="L3016" s="77"/>
      <c r="M3016" s="79"/>
      <c r="N3016" s="1"/>
      <c r="O3016" s="1"/>
      <c r="P3016" s="1"/>
      <c r="Q3016" s="1"/>
      <c r="R3016" s="1"/>
      <c r="S3016" s="1"/>
      <c r="T3016" s="1"/>
      <c r="U3016" s="1"/>
      <c r="V3016" s="1"/>
      <c r="W3016" s="1"/>
      <c r="X3016" s="1"/>
      <c r="Y3016" s="1"/>
      <c r="Z3016" s="1"/>
      <c r="AA3016" s="1"/>
      <c r="AB3016" s="1"/>
      <c r="AC3016" s="1"/>
      <c r="AD3016" s="1"/>
      <c r="AE3016" s="1"/>
      <c r="AF3016" s="1"/>
      <c r="AG3016" s="1"/>
      <c r="AH3016" s="1"/>
    </row>
    <row r="3017" ht="12.75" hidden="1" customHeight="1" outlineLevel="1">
      <c r="A3017" s="17">
        <v>41547.0</v>
      </c>
      <c r="B3017" s="1"/>
      <c r="C3017" s="1" t="s">
        <v>429</v>
      </c>
      <c r="D3017" s="74"/>
      <c r="E3017" s="67"/>
      <c r="F3017" s="75"/>
      <c r="G3017" s="67"/>
      <c r="H3017" s="68"/>
      <c r="I3017" s="76"/>
      <c r="J3017" s="67"/>
      <c r="K3017" s="7" t="s">
        <v>1156</v>
      </c>
      <c r="L3017" s="77"/>
      <c r="M3017" s="79"/>
      <c r="N3017" s="1"/>
      <c r="O3017" s="1"/>
      <c r="P3017" s="1"/>
      <c r="Q3017" s="1"/>
      <c r="R3017" s="1"/>
      <c r="S3017" s="1"/>
      <c r="T3017" s="1"/>
      <c r="U3017" s="1"/>
      <c r="V3017" s="1"/>
      <c r="W3017" s="1"/>
      <c r="X3017" s="1"/>
      <c r="Y3017" s="1"/>
      <c r="Z3017" s="1"/>
      <c r="AA3017" s="1"/>
      <c r="AB3017" s="1"/>
      <c r="AC3017" s="1"/>
      <c r="AD3017" s="1"/>
      <c r="AE3017" s="1"/>
      <c r="AF3017" s="1"/>
      <c r="AG3017" s="1"/>
      <c r="AH3017" s="1"/>
    </row>
    <row r="3018" ht="12.75" hidden="1" customHeight="1" outlineLevel="1">
      <c r="A3018" s="17">
        <v>41547.0</v>
      </c>
      <c r="B3018" s="1"/>
      <c r="C3018" s="1" t="s">
        <v>431</v>
      </c>
      <c r="D3018" s="74"/>
      <c r="E3018" s="67"/>
      <c r="F3018" s="75"/>
      <c r="G3018" s="67"/>
      <c r="H3018" s="68"/>
      <c r="I3018" s="76"/>
      <c r="J3018" s="67"/>
      <c r="K3018" s="7" t="s">
        <v>1126</v>
      </c>
      <c r="L3018" s="77"/>
      <c r="M3018" s="79"/>
      <c r="N3018" s="1"/>
      <c r="O3018" s="1"/>
      <c r="P3018" s="1"/>
      <c r="Q3018" s="1"/>
      <c r="R3018" s="1"/>
      <c r="S3018" s="1"/>
      <c r="T3018" s="1"/>
      <c r="U3018" s="1"/>
      <c r="V3018" s="1"/>
      <c r="W3018" s="1"/>
      <c r="X3018" s="1"/>
      <c r="Y3018" s="1"/>
      <c r="Z3018" s="1"/>
      <c r="AA3018" s="1"/>
      <c r="AB3018" s="1"/>
      <c r="AC3018" s="1"/>
      <c r="AD3018" s="1"/>
      <c r="AE3018" s="1"/>
      <c r="AF3018" s="1"/>
      <c r="AG3018" s="1"/>
      <c r="AH3018" s="1"/>
    </row>
    <row r="3019" ht="12.75" hidden="1" customHeight="1" outlineLevel="1">
      <c r="A3019" s="17">
        <v>41547.0</v>
      </c>
      <c r="B3019" s="1"/>
      <c r="C3019" s="1" t="s">
        <v>433</v>
      </c>
      <c r="D3019" s="74"/>
      <c r="E3019" s="67"/>
      <c r="F3019" s="75"/>
      <c r="G3019" s="67"/>
      <c r="H3019" s="68"/>
      <c r="I3019" s="76"/>
      <c r="J3019" s="67"/>
      <c r="K3019" s="7" t="s">
        <v>1103</v>
      </c>
      <c r="L3019" s="77"/>
      <c r="M3019" s="79"/>
      <c r="N3019" s="1"/>
      <c r="O3019" s="1"/>
      <c r="P3019" s="1"/>
      <c r="Q3019" s="1"/>
      <c r="R3019" s="1"/>
      <c r="S3019" s="1"/>
      <c r="T3019" s="1"/>
      <c r="U3019" s="1"/>
      <c r="V3019" s="1"/>
      <c r="W3019" s="1"/>
      <c r="X3019" s="1"/>
      <c r="Y3019" s="1"/>
      <c r="Z3019" s="1"/>
      <c r="AA3019" s="1"/>
      <c r="AB3019" s="1"/>
      <c r="AC3019" s="1"/>
      <c r="AD3019" s="1"/>
      <c r="AE3019" s="1"/>
      <c r="AF3019" s="1"/>
      <c r="AG3019" s="1"/>
      <c r="AH3019" s="1"/>
    </row>
    <row r="3020" ht="12.75" hidden="1" customHeight="1" outlineLevel="1">
      <c r="A3020" s="17">
        <v>41547.0</v>
      </c>
      <c r="B3020" s="1"/>
      <c r="C3020" s="1" t="s">
        <v>435</v>
      </c>
      <c r="D3020" s="74"/>
      <c r="E3020" s="67"/>
      <c r="F3020" s="75"/>
      <c r="G3020" s="67"/>
      <c r="H3020" s="68"/>
      <c r="I3020" s="76"/>
      <c r="J3020" s="67"/>
      <c r="K3020" s="7" t="s">
        <v>1104</v>
      </c>
      <c r="L3020" s="77"/>
      <c r="M3020" s="79"/>
      <c r="N3020" s="1"/>
      <c r="O3020" s="1"/>
      <c r="P3020" s="1"/>
      <c r="Q3020" s="1"/>
      <c r="R3020" s="1"/>
      <c r="S3020" s="1"/>
      <c r="T3020" s="1"/>
      <c r="U3020" s="1"/>
      <c r="V3020" s="1"/>
      <c r="W3020" s="1"/>
      <c r="X3020" s="1"/>
      <c r="Y3020" s="1"/>
      <c r="Z3020" s="1"/>
      <c r="AA3020" s="1"/>
      <c r="AB3020" s="1"/>
      <c r="AC3020" s="1"/>
      <c r="AD3020" s="1"/>
      <c r="AE3020" s="1"/>
      <c r="AF3020" s="1"/>
      <c r="AG3020" s="1"/>
      <c r="AH3020" s="1"/>
    </row>
    <row r="3021" ht="12.75" hidden="1" customHeight="1" outlineLevel="1">
      <c r="A3021" s="17">
        <v>41548.0</v>
      </c>
      <c r="B3021" s="1"/>
      <c r="C3021" s="1" t="s">
        <v>339</v>
      </c>
      <c r="D3021" s="74"/>
      <c r="E3021" s="67"/>
      <c r="F3021" s="75"/>
      <c r="G3021" s="67"/>
      <c r="H3021" s="68"/>
      <c r="I3021" s="76"/>
      <c r="J3021" s="67"/>
      <c r="K3021" s="7" t="s">
        <v>1242</v>
      </c>
      <c r="L3021" s="77"/>
      <c r="M3021" s="79"/>
      <c r="N3021" s="1"/>
      <c r="O3021" s="1"/>
      <c r="P3021" s="1"/>
      <c r="Q3021" s="1"/>
      <c r="R3021" s="1"/>
      <c r="S3021" s="1"/>
      <c r="T3021" s="1"/>
      <c r="U3021" s="1"/>
      <c r="V3021" s="1"/>
      <c r="W3021" s="1"/>
      <c r="X3021" s="1"/>
      <c r="Y3021" s="1"/>
      <c r="Z3021" s="1"/>
      <c r="AA3021" s="1"/>
      <c r="AB3021" s="1"/>
      <c r="AC3021" s="1"/>
      <c r="AD3021" s="1"/>
      <c r="AE3021" s="1"/>
      <c r="AF3021" s="1"/>
      <c r="AG3021" s="1"/>
      <c r="AH3021" s="1"/>
    </row>
    <row r="3022" ht="12.75" hidden="1" customHeight="1" outlineLevel="1">
      <c r="A3022" s="17">
        <v>41548.0</v>
      </c>
      <c r="B3022" s="1"/>
      <c r="C3022" s="1" t="s">
        <v>429</v>
      </c>
      <c r="D3022" s="74"/>
      <c r="E3022" s="67"/>
      <c r="F3022" s="75"/>
      <c r="G3022" s="67"/>
      <c r="H3022" s="68"/>
      <c r="I3022" s="76"/>
      <c r="J3022" s="67"/>
      <c r="K3022" s="7" t="s">
        <v>1156</v>
      </c>
      <c r="L3022" s="77"/>
      <c r="M3022" s="79"/>
      <c r="N3022" s="1"/>
      <c r="O3022" s="1"/>
      <c r="P3022" s="1"/>
      <c r="Q3022" s="1"/>
      <c r="R3022" s="1"/>
      <c r="S3022" s="1"/>
      <c r="T3022" s="1"/>
      <c r="U3022" s="1"/>
      <c r="V3022" s="1"/>
      <c r="W3022" s="1"/>
      <c r="X3022" s="1"/>
      <c r="Y3022" s="1"/>
      <c r="Z3022" s="1"/>
      <c r="AA3022" s="1"/>
      <c r="AB3022" s="1"/>
      <c r="AC3022" s="1"/>
      <c r="AD3022" s="1"/>
      <c r="AE3022" s="1"/>
      <c r="AF3022" s="1"/>
      <c r="AG3022" s="1"/>
      <c r="AH3022" s="1"/>
    </row>
    <row r="3023" ht="12.75" hidden="1" customHeight="1" outlineLevel="1">
      <c r="A3023" s="17">
        <v>41548.0</v>
      </c>
      <c r="B3023" s="1"/>
      <c r="C3023" s="1" t="s">
        <v>431</v>
      </c>
      <c r="D3023" s="74"/>
      <c r="E3023" s="67"/>
      <c r="F3023" s="75"/>
      <c r="G3023" s="67"/>
      <c r="H3023" s="68"/>
      <c r="I3023" s="76"/>
      <c r="J3023" s="67"/>
      <c r="K3023" s="7" t="s">
        <v>1126</v>
      </c>
      <c r="L3023" s="77"/>
      <c r="M3023" s="79"/>
      <c r="N3023" s="1"/>
      <c r="O3023" s="1"/>
      <c r="P3023" s="1"/>
      <c r="Q3023" s="1"/>
      <c r="R3023" s="1"/>
      <c r="S3023" s="1"/>
      <c r="T3023" s="1"/>
      <c r="U3023" s="1"/>
      <c r="V3023" s="1"/>
      <c r="W3023" s="1"/>
      <c r="X3023" s="1"/>
      <c r="Y3023" s="1"/>
      <c r="Z3023" s="1"/>
      <c r="AA3023" s="1"/>
      <c r="AB3023" s="1"/>
      <c r="AC3023" s="1"/>
      <c r="AD3023" s="1"/>
      <c r="AE3023" s="1"/>
      <c r="AF3023" s="1"/>
      <c r="AG3023" s="1"/>
      <c r="AH3023" s="1"/>
    </row>
    <row r="3024" ht="12.75" hidden="1" customHeight="1" outlineLevel="1">
      <c r="A3024" s="17">
        <v>41548.0</v>
      </c>
      <c r="B3024" s="1"/>
      <c r="C3024" s="1" t="s">
        <v>433</v>
      </c>
      <c r="D3024" s="74"/>
      <c r="E3024" s="67"/>
      <c r="F3024" s="75"/>
      <c r="G3024" s="67"/>
      <c r="H3024" s="68"/>
      <c r="I3024" s="76"/>
      <c r="J3024" s="67"/>
      <c r="K3024" s="7" t="s">
        <v>1103</v>
      </c>
      <c r="L3024" s="77"/>
      <c r="M3024" s="79"/>
      <c r="N3024" s="1"/>
      <c r="O3024" s="1"/>
      <c r="P3024" s="1"/>
      <c r="Q3024" s="1"/>
      <c r="R3024" s="1"/>
      <c r="S3024" s="1"/>
      <c r="T3024" s="1"/>
      <c r="U3024" s="1"/>
      <c r="V3024" s="1"/>
      <c r="W3024" s="1"/>
      <c r="X3024" s="1"/>
      <c r="Y3024" s="1"/>
      <c r="Z3024" s="1"/>
      <c r="AA3024" s="1"/>
      <c r="AB3024" s="1"/>
      <c r="AC3024" s="1"/>
      <c r="AD3024" s="1"/>
      <c r="AE3024" s="1"/>
      <c r="AF3024" s="1"/>
      <c r="AG3024" s="1"/>
      <c r="AH3024" s="1"/>
    </row>
    <row r="3025" ht="12.75" hidden="1" customHeight="1" outlineLevel="1">
      <c r="A3025" s="17">
        <v>41548.0</v>
      </c>
      <c r="B3025" s="1"/>
      <c r="C3025" s="1" t="s">
        <v>435</v>
      </c>
      <c r="D3025" s="74"/>
      <c r="E3025" s="67"/>
      <c r="F3025" s="75"/>
      <c r="G3025" s="67"/>
      <c r="H3025" s="68"/>
      <c r="I3025" s="76"/>
      <c r="J3025" s="67"/>
      <c r="K3025" s="7" t="s">
        <v>1104</v>
      </c>
      <c r="L3025" s="77"/>
      <c r="M3025" s="79"/>
      <c r="N3025" s="1"/>
      <c r="O3025" s="1"/>
      <c r="P3025" s="1"/>
      <c r="Q3025" s="1"/>
      <c r="R3025" s="1"/>
      <c r="S3025" s="1"/>
      <c r="T3025" s="1"/>
      <c r="U3025" s="1"/>
      <c r="V3025" s="1"/>
      <c r="W3025" s="1"/>
      <c r="X3025" s="1"/>
      <c r="Y3025" s="1"/>
      <c r="Z3025" s="1"/>
      <c r="AA3025" s="1"/>
      <c r="AB3025" s="1"/>
      <c r="AC3025" s="1"/>
      <c r="AD3025" s="1"/>
      <c r="AE3025" s="1"/>
      <c r="AF3025" s="1"/>
      <c r="AG3025" s="1"/>
      <c r="AH3025" s="1"/>
    </row>
    <row r="3026" ht="12.75" hidden="1" customHeight="1" outlineLevel="1">
      <c r="A3026" s="17">
        <v>41548.0</v>
      </c>
      <c r="B3026" s="1" t="s">
        <v>343</v>
      </c>
      <c r="C3026" s="1" t="s">
        <v>734</v>
      </c>
      <c r="D3026" s="74">
        <v>200.0</v>
      </c>
      <c r="E3026" s="67">
        <v>22.58</v>
      </c>
      <c r="F3026" s="75">
        <v>0.6352199074074074</v>
      </c>
      <c r="G3026" s="67" t="s">
        <v>453</v>
      </c>
      <c r="H3026" s="68">
        <v>1.0</v>
      </c>
      <c r="I3026" s="76"/>
      <c r="J3026" s="67">
        <f t="shared" ref="J3026:J3029" si="210">IF(B3026="SLD",D3026*E3026,-D3026*E3026)-H3026</f>
        <v>-4517</v>
      </c>
      <c r="K3026" s="7"/>
      <c r="L3026" s="70"/>
      <c r="M3026" s="79"/>
      <c r="N3026" s="1"/>
      <c r="O3026" s="1"/>
      <c r="P3026" s="1"/>
      <c r="Q3026" s="1"/>
      <c r="R3026" s="1"/>
      <c r="S3026" s="1"/>
      <c r="T3026" s="1"/>
      <c r="U3026" s="1"/>
      <c r="V3026" s="1"/>
      <c r="W3026" s="1"/>
      <c r="X3026" s="1"/>
      <c r="Y3026" s="1"/>
      <c r="Z3026" s="1"/>
      <c r="AA3026" s="1"/>
      <c r="AB3026" s="1"/>
      <c r="AC3026" s="1"/>
      <c r="AD3026" s="1"/>
      <c r="AE3026" s="1"/>
      <c r="AF3026" s="1"/>
      <c r="AG3026" s="1"/>
      <c r="AH3026" s="1"/>
    </row>
    <row r="3027" ht="12.75" hidden="1" customHeight="1" outlineLevel="1">
      <c r="A3027" s="17">
        <v>41548.0</v>
      </c>
      <c r="B3027" s="1" t="s">
        <v>343</v>
      </c>
      <c r="C3027" s="1" t="s">
        <v>1060</v>
      </c>
      <c r="D3027" s="74">
        <v>150.0</v>
      </c>
      <c r="E3027" s="67">
        <v>29.63</v>
      </c>
      <c r="F3027" s="75">
        <v>0.6437037037037037</v>
      </c>
      <c r="G3027" s="67" t="s">
        <v>453</v>
      </c>
      <c r="H3027" s="68">
        <v>1.0</v>
      </c>
      <c r="I3027" s="76"/>
      <c r="J3027" s="67">
        <f t="shared" si="210"/>
        <v>-4445.5</v>
      </c>
      <c r="K3027" s="7"/>
      <c r="L3027" s="70"/>
      <c r="M3027" s="79"/>
      <c r="N3027" s="1"/>
      <c r="O3027" s="1"/>
      <c r="P3027" s="1"/>
      <c r="Q3027" s="1"/>
      <c r="R3027" s="1"/>
      <c r="S3027" s="1"/>
      <c r="T3027" s="1"/>
      <c r="U3027" s="1"/>
      <c r="V3027" s="1"/>
      <c r="W3027" s="1"/>
      <c r="X3027" s="1"/>
      <c r="Y3027" s="1"/>
      <c r="Z3027" s="1"/>
      <c r="AA3027" s="1"/>
      <c r="AB3027" s="1"/>
      <c r="AC3027" s="1"/>
      <c r="AD3027" s="1"/>
      <c r="AE3027" s="1"/>
      <c r="AF3027" s="1"/>
      <c r="AG3027" s="1"/>
      <c r="AH3027" s="1"/>
    </row>
    <row r="3028" ht="12.75" hidden="1" customHeight="1" outlineLevel="1">
      <c r="A3028" s="17">
        <v>41548.0</v>
      </c>
      <c r="B3028" s="1" t="s">
        <v>343</v>
      </c>
      <c r="C3028" s="1" t="s">
        <v>1185</v>
      </c>
      <c r="D3028" s="74">
        <v>25.0</v>
      </c>
      <c r="E3028" s="67">
        <v>187.11</v>
      </c>
      <c r="F3028" s="75">
        <v>0.6555555555555556</v>
      </c>
      <c r="G3028" s="67" t="s">
        <v>453</v>
      </c>
      <c r="H3028" s="68">
        <v>1.0</v>
      </c>
      <c r="I3028" s="76"/>
      <c r="J3028" s="67">
        <f t="shared" si="210"/>
        <v>-4678.75</v>
      </c>
      <c r="K3028" s="7"/>
      <c r="L3028" s="70"/>
      <c r="M3028" s="79"/>
      <c r="N3028" s="1"/>
      <c r="O3028" s="1"/>
      <c r="P3028" s="1"/>
      <c r="Q3028" s="1"/>
      <c r="R3028" s="1"/>
      <c r="S3028" s="1"/>
      <c r="T3028" s="1"/>
      <c r="U3028" s="1"/>
      <c r="V3028" s="1"/>
      <c r="W3028" s="1"/>
      <c r="X3028" s="1"/>
      <c r="Y3028" s="1"/>
      <c r="Z3028" s="1"/>
      <c r="AA3028" s="1"/>
      <c r="AB3028" s="1"/>
      <c r="AC3028" s="1"/>
      <c r="AD3028" s="1"/>
      <c r="AE3028" s="1"/>
      <c r="AF3028" s="1"/>
      <c r="AG3028" s="1"/>
      <c r="AH3028" s="1"/>
    </row>
    <row r="3029" ht="12.75" hidden="1" customHeight="1" outlineLevel="1">
      <c r="A3029" s="17">
        <v>41548.0</v>
      </c>
      <c r="B3029" s="1" t="s">
        <v>343</v>
      </c>
      <c r="C3029" s="1" t="s">
        <v>1006</v>
      </c>
      <c r="D3029" s="74">
        <v>100.0</v>
      </c>
      <c r="E3029" s="67">
        <v>36.2</v>
      </c>
      <c r="F3029" s="75">
        <v>0.655787037037037</v>
      </c>
      <c r="G3029" s="67" t="s">
        <v>453</v>
      </c>
      <c r="H3029" s="68">
        <v>1.0</v>
      </c>
      <c r="I3029" s="76"/>
      <c r="J3029" s="67">
        <f t="shared" si="210"/>
        <v>-3621</v>
      </c>
      <c r="K3029" s="7"/>
      <c r="L3029" s="70"/>
      <c r="M3029" s="79"/>
      <c r="N3029" s="1"/>
      <c r="O3029" s="1"/>
      <c r="P3029" s="1"/>
      <c r="Q3029" s="1"/>
      <c r="R3029" s="1"/>
      <c r="S3029" s="1"/>
      <c r="T3029" s="1"/>
      <c r="U3029" s="1"/>
      <c r="V3029" s="1"/>
      <c r="W3029" s="1"/>
      <c r="X3029" s="1"/>
      <c r="Y3029" s="1"/>
      <c r="Z3029" s="1"/>
      <c r="AA3029" s="1"/>
      <c r="AB3029" s="1"/>
      <c r="AC3029" s="1"/>
      <c r="AD3029" s="1"/>
      <c r="AE3029" s="1"/>
      <c r="AF3029" s="1"/>
      <c r="AG3029" s="1"/>
      <c r="AH3029" s="1"/>
    </row>
    <row r="3030" ht="12.75" hidden="1" customHeight="1" outlineLevel="1">
      <c r="A3030" s="17">
        <v>41548.0</v>
      </c>
      <c r="B3030" s="1"/>
      <c r="C3030" s="1" t="s">
        <v>339</v>
      </c>
      <c r="D3030" s="74"/>
      <c r="E3030" s="67"/>
      <c r="F3030" s="75"/>
      <c r="G3030" s="67"/>
      <c r="H3030" s="68"/>
      <c r="I3030" s="76"/>
      <c r="J3030" s="67"/>
      <c r="K3030" s="7" t="s">
        <v>1245</v>
      </c>
      <c r="L3030" s="77"/>
      <c r="M3030" s="79"/>
      <c r="N3030" s="1"/>
      <c r="O3030" s="1"/>
      <c r="P3030" s="1"/>
      <c r="Q3030" s="1"/>
      <c r="R3030" s="1"/>
      <c r="S3030" s="1"/>
      <c r="T3030" s="1"/>
      <c r="U3030" s="1"/>
      <c r="V3030" s="1"/>
      <c r="W3030" s="1"/>
      <c r="X3030" s="1"/>
      <c r="Y3030" s="1"/>
      <c r="Z3030" s="1"/>
      <c r="AA3030" s="1"/>
      <c r="AB3030" s="1"/>
      <c r="AC3030" s="1"/>
      <c r="AD3030" s="1"/>
      <c r="AE3030" s="1"/>
      <c r="AF3030" s="1"/>
      <c r="AG3030" s="1"/>
      <c r="AH3030" s="1"/>
    </row>
    <row r="3031" ht="12.75" hidden="1" customHeight="1" outlineLevel="1">
      <c r="A3031" s="17">
        <v>41548.0</v>
      </c>
      <c r="B3031" s="1"/>
      <c r="C3031" s="1" t="s">
        <v>429</v>
      </c>
      <c r="D3031" s="74"/>
      <c r="E3031" s="67"/>
      <c r="F3031" s="75"/>
      <c r="G3031" s="67"/>
      <c r="H3031" s="68"/>
      <c r="I3031" s="76"/>
      <c r="J3031" s="67"/>
      <c r="K3031" s="7" t="s">
        <v>1156</v>
      </c>
      <c r="L3031" s="77"/>
      <c r="M3031" s="79"/>
      <c r="N3031" s="1"/>
      <c r="O3031" s="1"/>
      <c r="P3031" s="1"/>
      <c r="Q3031" s="1"/>
      <c r="R3031" s="1"/>
      <c r="S3031" s="1"/>
      <c r="T3031" s="1"/>
      <c r="U3031" s="1"/>
      <c r="V3031" s="1"/>
      <c r="W3031" s="1"/>
      <c r="X3031" s="1"/>
      <c r="Y3031" s="1"/>
      <c r="Z3031" s="1"/>
      <c r="AA3031" s="1"/>
      <c r="AB3031" s="1"/>
      <c r="AC3031" s="1"/>
      <c r="AD3031" s="1"/>
      <c r="AE3031" s="1"/>
      <c r="AF3031" s="1"/>
      <c r="AG3031" s="1"/>
      <c r="AH3031" s="1"/>
    </row>
    <row r="3032" ht="12.75" hidden="1" customHeight="1" outlineLevel="1">
      <c r="A3032" s="17">
        <v>41548.0</v>
      </c>
      <c r="B3032" s="1"/>
      <c r="C3032" s="1" t="s">
        <v>431</v>
      </c>
      <c r="D3032" s="74"/>
      <c r="E3032" s="67"/>
      <c r="F3032" s="75"/>
      <c r="G3032" s="67"/>
      <c r="H3032" s="68"/>
      <c r="I3032" s="76"/>
      <c r="J3032" s="67"/>
      <c r="K3032" s="7" t="s">
        <v>1126</v>
      </c>
      <c r="L3032" s="77"/>
      <c r="M3032" s="79"/>
      <c r="N3032" s="1"/>
      <c r="O3032" s="1"/>
      <c r="P3032" s="1"/>
      <c r="Q3032" s="1"/>
      <c r="R3032" s="1"/>
      <c r="S3032" s="1"/>
      <c r="T3032" s="1"/>
      <c r="U3032" s="1"/>
      <c r="V3032" s="1"/>
      <c r="W3032" s="1"/>
      <c r="X3032" s="1"/>
      <c r="Y3032" s="1"/>
      <c r="Z3032" s="1"/>
      <c r="AA3032" s="1"/>
      <c r="AB3032" s="1"/>
      <c r="AC3032" s="1"/>
      <c r="AD3032" s="1"/>
      <c r="AE3032" s="1"/>
      <c r="AF3032" s="1"/>
      <c r="AG3032" s="1"/>
      <c r="AH3032" s="1"/>
    </row>
    <row r="3033" ht="12.75" hidden="1" customHeight="1" outlineLevel="1">
      <c r="A3033" s="17">
        <v>41548.0</v>
      </c>
      <c r="B3033" s="1"/>
      <c r="C3033" s="1" t="s">
        <v>433</v>
      </c>
      <c r="D3033" s="74"/>
      <c r="E3033" s="67"/>
      <c r="F3033" s="75"/>
      <c r="G3033" s="67"/>
      <c r="H3033" s="68"/>
      <c r="I3033" s="76"/>
      <c r="J3033" s="67"/>
      <c r="K3033" s="7" t="s">
        <v>1103</v>
      </c>
      <c r="L3033" s="77"/>
      <c r="M3033" s="79"/>
      <c r="N3033" s="1"/>
      <c r="O3033" s="1"/>
      <c r="P3033" s="1"/>
      <c r="Q3033" s="1"/>
      <c r="R3033" s="1"/>
      <c r="S3033" s="1"/>
      <c r="T3033" s="1"/>
      <c r="U3033" s="1"/>
      <c r="V3033" s="1"/>
      <c r="W3033" s="1"/>
      <c r="X3033" s="1"/>
      <c r="Y3033" s="1"/>
      <c r="Z3033" s="1"/>
      <c r="AA3033" s="1"/>
      <c r="AB3033" s="1"/>
      <c r="AC3033" s="1"/>
      <c r="AD3033" s="1"/>
      <c r="AE3033" s="1"/>
      <c r="AF3033" s="1"/>
      <c r="AG3033" s="1"/>
      <c r="AH3033" s="1"/>
    </row>
    <row r="3034" ht="12.75" hidden="1" customHeight="1" outlineLevel="1">
      <c r="A3034" s="17">
        <v>41548.0</v>
      </c>
      <c r="B3034" s="1"/>
      <c r="C3034" s="1" t="s">
        <v>435</v>
      </c>
      <c r="D3034" s="74"/>
      <c r="E3034" s="67"/>
      <c r="F3034" s="75"/>
      <c r="G3034" s="67"/>
      <c r="H3034" s="68"/>
      <c r="I3034" s="76"/>
      <c r="J3034" s="67"/>
      <c r="K3034" s="7" t="s">
        <v>1104</v>
      </c>
      <c r="L3034" s="77"/>
      <c r="M3034" s="79"/>
      <c r="N3034" s="1"/>
      <c r="O3034" s="1"/>
      <c r="P3034" s="1"/>
      <c r="Q3034" s="1"/>
      <c r="R3034" s="1"/>
      <c r="S3034" s="1"/>
      <c r="T3034" s="1"/>
      <c r="U3034" s="1"/>
      <c r="V3034" s="1"/>
      <c r="W3034" s="1"/>
      <c r="X3034" s="1"/>
      <c r="Y3034" s="1"/>
      <c r="Z3034" s="1"/>
      <c r="AA3034" s="1"/>
      <c r="AB3034" s="1"/>
      <c r="AC3034" s="1"/>
      <c r="AD3034" s="1"/>
      <c r="AE3034" s="1"/>
      <c r="AF3034" s="1"/>
      <c r="AG3034" s="1"/>
      <c r="AH3034" s="1"/>
    </row>
    <row r="3035" ht="12.75" hidden="1" customHeight="1" outlineLevel="1">
      <c r="A3035" s="17">
        <v>41550.0</v>
      </c>
      <c r="B3035" s="1" t="s">
        <v>343</v>
      </c>
      <c r="C3035" s="1" t="s">
        <v>1185</v>
      </c>
      <c r="D3035" s="74">
        <v>20.0</v>
      </c>
      <c r="E3035" s="67">
        <v>192.32</v>
      </c>
      <c r="F3035" s="75">
        <v>0.5140046296296296</v>
      </c>
      <c r="G3035" s="67" t="s">
        <v>453</v>
      </c>
      <c r="H3035" s="68">
        <v>1.0</v>
      </c>
      <c r="I3035" s="76"/>
      <c r="J3035" s="67">
        <f t="shared" ref="J3035:J3036" si="211">IF(B3035="SLD",D3035*E3035,-D3035*E3035)-H3035</f>
        <v>-3847.4</v>
      </c>
      <c r="K3035" s="7"/>
      <c r="L3035" s="70"/>
      <c r="M3035" s="79"/>
      <c r="N3035" s="1"/>
      <c r="O3035" s="1"/>
      <c r="P3035" s="1"/>
      <c r="Q3035" s="1"/>
      <c r="R3035" s="1"/>
      <c r="S3035" s="1"/>
      <c r="T3035" s="1"/>
      <c r="U3035" s="1"/>
      <c r="V3035" s="1"/>
      <c r="W3035" s="1"/>
      <c r="X3035" s="1"/>
      <c r="Y3035" s="1"/>
      <c r="Z3035" s="1"/>
      <c r="AA3035" s="1"/>
      <c r="AB3035" s="1"/>
      <c r="AC3035" s="1"/>
      <c r="AD3035" s="1"/>
      <c r="AE3035" s="1"/>
      <c r="AF3035" s="1"/>
      <c r="AG3035" s="1"/>
      <c r="AH3035" s="1"/>
    </row>
    <row r="3036" ht="12.75" hidden="1" customHeight="1" outlineLevel="1">
      <c r="A3036" s="17">
        <v>41550.0</v>
      </c>
      <c r="B3036" s="1" t="s">
        <v>343</v>
      </c>
      <c r="C3036" s="1" t="s">
        <v>1006</v>
      </c>
      <c r="D3036" s="74">
        <v>100.0</v>
      </c>
      <c r="E3036" s="67">
        <v>36.04</v>
      </c>
      <c r="F3036" s="75">
        <v>0.5144444444444445</v>
      </c>
      <c r="G3036" s="67" t="s">
        <v>453</v>
      </c>
      <c r="H3036" s="68">
        <v>1.0</v>
      </c>
      <c r="I3036" s="76"/>
      <c r="J3036" s="67">
        <f t="shared" si="211"/>
        <v>-3605</v>
      </c>
      <c r="K3036" s="7"/>
      <c r="L3036" s="70"/>
      <c r="M3036" s="79"/>
      <c r="N3036" s="1"/>
      <c r="O3036" s="1"/>
      <c r="P3036" s="1"/>
      <c r="Q3036" s="1"/>
      <c r="R3036" s="1"/>
      <c r="S3036" s="1"/>
      <c r="T3036" s="1"/>
      <c r="U3036" s="1"/>
      <c r="V3036" s="1"/>
      <c r="W3036" s="1"/>
      <c r="X3036" s="1"/>
      <c r="Y3036" s="1"/>
      <c r="Z3036" s="1"/>
      <c r="AA3036" s="1"/>
      <c r="AB3036" s="1"/>
      <c r="AC3036" s="1"/>
      <c r="AD3036" s="1"/>
      <c r="AE3036" s="1"/>
      <c r="AF3036" s="1"/>
      <c r="AG3036" s="1"/>
      <c r="AH3036" s="1"/>
    </row>
    <row r="3037" ht="12.75" hidden="1" customHeight="1" outlineLevel="1">
      <c r="A3037" s="17">
        <v>41550.0</v>
      </c>
      <c r="B3037" s="1"/>
      <c r="C3037" s="1" t="s">
        <v>339</v>
      </c>
      <c r="D3037" s="74"/>
      <c r="E3037" s="67"/>
      <c r="F3037" s="75"/>
      <c r="G3037" s="67"/>
      <c r="H3037" s="68"/>
      <c r="I3037" s="76"/>
      <c r="J3037" s="67"/>
      <c r="K3037" s="7" t="s">
        <v>1247</v>
      </c>
      <c r="L3037" s="77"/>
      <c r="M3037" s="79"/>
      <c r="N3037" s="1"/>
      <c r="O3037" s="1"/>
      <c r="P3037" s="1"/>
      <c r="Q3037" s="1"/>
      <c r="R3037" s="1"/>
      <c r="S3037" s="1"/>
      <c r="T3037" s="1"/>
      <c r="U3037" s="1"/>
      <c r="V3037" s="1"/>
      <c r="W3037" s="1"/>
      <c r="X3037" s="1"/>
      <c r="Y3037" s="1"/>
      <c r="Z3037" s="1"/>
      <c r="AA3037" s="1"/>
      <c r="AB3037" s="1"/>
      <c r="AC3037" s="1"/>
      <c r="AD3037" s="1"/>
      <c r="AE3037" s="1"/>
      <c r="AF3037" s="1"/>
      <c r="AG3037" s="1"/>
      <c r="AH3037" s="1"/>
    </row>
    <row r="3038" ht="12.75" hidden="1" customHeight="1" outlineLevel="1">
      <c r="A3038" s="17">
        <v>41550.0</v>
      </c>
      <c r="B3038" s="1"/>
      <c r="C3038" s="1" t="s">
        <v>429</v>
      </c>
      <c r="D3038" s="74"/>
      <c r="E3038" s="67"/>
      <c r="F3038" s="75"/>
      <c r="G3038" s="67"/>
      <c r="H3038" s="68"/>
      <c r="I3038" s="76"/>
      <c r="J3038" s="67"/>
      <c r="K3038" s="7" t="s">
        <v>1156</v>
      </c>
      <c r="L3038" s="77"/>
      <c r="M3038" s="79"/>
      <c r="N3038" s="1"/>
      <c r="O3038" s="1"/>
      <c r="P3038" s="1"/>
      <c r="Q3038" s="1"/>
      <c r="R3038" s="1"/>
      <c r="S3038" s="1"/>
      <c r="T3038" s="1"/>
      <c r="U3038" s="1"/>
      <c r="V3038" s="1"/>
      <c r="W3038" s="1"/>
      <c r="X3038" s="1"/>
      <c r="Y3038" s="1"/>
      <c r="Z3038" s="1"/>
      <c r="AA3038" s="1"/>
      <c r="AB3038" s="1"/>
      <c r="AC3038" s="1"/>
      <c r="AD3038" s="1"/>
      <c r="AE3038" s="1"/>
      <c r="AF3038" s="1"/>
      <c r="AG3038" s="1"/>
      <c r="AH3038" s="1"/>
    </row>
    <row r="3039" ht="12.75" hidden="1" customHeight="1" outlineLevel="1">
      <c r="A3039" s="17">
        <v>41550.0</v>
      </c>
      <c r="B3039" s="1"/>
      <c r="C3039" s="1" t="s">
        <v>431</v>
      </c>
      <c r="D3039" s="74"/>
      <c r="E3039" s="67"/>
      <c r="F3039" s="75"/>
      <c r="G3039" s="67"/>
      <c r="H3039" s="68"/>
      <c r="I3039" s="76"/>
      <c r="J3039" s="67"/>
      <c r="K3039" s="7" t="s">
        <v>1126</v>
      </c>
      <c r="L3039" s="77"/>
      <c r="M3039" s="79"/>
      <c r="N3039" s="1"/>
      <c r="O3039" s="1"/>
      <c r="P3039" s="1"/>
      <c r="Q3039" s="1"/>
      <c r="R3039" s="1"/>
      <c r="S3039" s="1"/>
      <c r="T3039" s="1"/>
      <c r="U3039" s="1"/>
      <c r="V3039" s="1"/>
      <c r="W3039" s="1"/>
      <c r="X3039" s="1"/>
      <c r="Y3039" s="1"/>
      <c r="Z3039" s="1"/>
      <c r="AA3039" s="1"/>
      <c r="AB3039" s="1"/>
      <c r="AC3039" s="1"/>
      <c r="AD3039" s="1"/>
      <c r="AE3039" s="1"/>
      <c r="AF3039" s="1"/>
      <c r="AG3039" s="1"/>
      <c r="AH3039" s="1"/>
    </row>
    <row r="3040" ht="12.75" hidden="1" customHeight="1" outlineLevel="1">
      <c r="A3040" s="17">
        <v>41550.0</v>
      </c>
      <c r="B3040" s="1"/>
      <c r="C3040" s="1" t="s">
        <v>433</v>
      </c>
      <c r="D3040" s="74"/>
      <c r="E3040" s="67"/>
      <c r="F3040" s="75"/>
      <c r="G3040" s="67"/>
      <c r="H3040" s="68"/>
      <c r="I3040" s="76"/>
      <c r="J3040" s="67"/>
      <c r="K3040" s="7" t="s">
        <v>1103</v>
      </c>
      <c r="L3040" s="77"/>
      <c r="M3040" s="79"/>
      <c r="N3040" s="1"/>
      <c r="O3040" s="1"/>
      <c r="P3040" s="1"/>
      <c r="Q3040" s="1"/>
      <c r="R3040" s="1"/>
      <c r="S3040" s="1"/>
      <c r="T3040" s="1"/>
      <c r="U3040" s="1"/>
      <c r="V3040" s="1"/>
      <c r="W3040" s="1"/>
      <c r="X3040" s="1"/>
      <c r="Y3040" s="1"/>
      <c r="Z3040" s="1"/>
      <c r="AA3040" s="1"/>
      <c r="AB3040" s="1"/>
      <c r="AC3040" s="1"/>
      <c r="AD3040" s="1"/>
      <c r="AE3040" s="1"/>
      <c r="AF3040" s="1"/>
      <c r="AG3040" s="1"/>
      <c r="AH3040" s="1"/>
    </row>
    <row r="3041" ht="12.75" hidden="1" customHeight="1" outlineLevel="1">
      <c r="A3041" s="17">
        <v>41550.0</v>
      </c>
      <c r="B3041" s="1"/>
      <c r="C3041" s="1" t="s">
        <v>435</v>
      </c>
      <c r="D3041" s="74"/>
      <c r="E3041" s="67"/>
      <c r="F3041" s="75"/>
      <c r="G3041" s="67"/>
      <c r="H3041" s="68"/>
      <c r="I3041" s="76"/>
      <c r="J3041" s="67"/>
      <c r="K3041" s="7" t="s">
        <v>1104</v>
      </c>
      <c r="L3041" s="77"/>
      <c r="M3041" s="79"/>
      <c r="N3041" s="1"/>
      <c r="O3041" s="1"/>
      <c r="P3041" s="1"/>
      <c r="Q3041" s="1"/>
      <c r="R3041" s="1"/>
      <c r="S3041" s="1"/>
      <c r="T3041" s="1"/>
      <c r="U3041" s="1"/>
      <c r="V3041" s="1"/>
      <c r="W3041" s="1"/>
      <c r="X3041" s="1"/>
      <c r="Y3041" s="1"/>
      <c r="Z3041" s="1"/>
      <c r="AA3041" s="1"/>
      <c r="AB3041" s="1"/>
      <c r="AC3041" s="1"/>
      <c r="AD3041" s="1"/>
      <c r="AE3041" s="1"/>
      <c r="AF3041" s="1"/>
      <c r="AG3041" s="1"/>
      <c r="AH3041" s="1"/>
    </row>
    <row r="3042" ht="12.75" hidden="1" customHeight="1" outlineLevel="1">
      <c r="A3042" s="17">
        <v>41551.0</v>
      </c>
      <c r="B3042" s="1"/>
      <c r="C3042" s="1" t="s">
        <v>339</v>
      </c>
      <c r="D3042" s="74"/>
      <c r="E3042" s="67"/>
      <c r="F3042" s="75"/>
      <c r="G3042" s="67"/>
      <c r="H3042" s="68"/>
      <c r="I3042" s="76"/>
      <c r="J3042" s="67"/>
      <c r="K3042" s="7" t="s">
        <v>1251</v>
      </c>
      <c r="L3042" s="77"/>
      <c r="M3042" s="79"/>
      <c r="N3042" s="1"/>
      <c r="O3042" s="1"/>
      <c r="P3042" s="1"/>
      <c r="Q3042" s="1"/>
      <c r="R3042" s="1"/>
      <c r="S3042" s="1"/>
      <c r="T3042" s="1"/>
      <c r="U3042" s="1"/>
      <c r="V3042" s="1"/>
      <c r="W3042" s="1"/>
      <c r="X3042" s="1"/>
      <c r="Y3042" s="1"/>
      <c r="Z3042" s="1"/>
      <c r="AA3042" s="1"/>
      <c r="AB3042" s="1"/>
      <c r="AC3042" s="1"/>
      <c r="AD3042" s="1"/>
      <c r="AE3042" s="1"/>
      <c r="AF3042" s="1"/>
      <c r="AG3042" s="1"/>
      <c r="AH3042" s="1"/>
    </row>
    <row r="3043" ht="12.75" hidden="1" customHeight="1" outlineLevel="1">
      <c r="A3043" s="17">
        <v>41551.0</v>
      </c>
      <c r="B3043" s="1"/>
      <c r="C3043" s="1" t="s">
        <v>429</v>
      </c>
      <c r="D3043" s="74"/>
      <c r="E3043" s="67"/>
      <c r="F3043" s="75"/>
      <c r="G3043" s="67"/>
      <c r="H3043" s="68"/>
      <c r="I3043" s="76"/>
      <c r="J3043" s="67"/>
      <c r="K3043" s="7" t="s">
        <v>1156</v>
      </c>
      <c r="L3043" s="77"/>
      <c r="M3043" s="79"/>
      <c r="N3043" s="1"/>
      <c r="O3043" s="1"/>
      <c r="P3043" s="1"/>
      <c r="Q3043" s="1"/>
      <c r="R3043" s="1"/>
      <c r="S3043" s="1"/>
      <c r="T3043" s="1"/>
      <c r="U3043" s="1"/>
      <c r="V3043" s="1"/>
      <c r="W3043" s="1"/>
      <c r="X3043" s="1"/>
      <c r="Y3043" s="1"/>
      <c r="Z3043" s="1"/>
      <c r="AA3043" s="1"/>
      <c r="AB3043" s="1"/>
      <c r="AC3043" s="1"/>
      <c r="AD3043" s="1"/>
      <c r="AE3043" s="1"/>
      <c r="AF3043" s="1"/>
      <c r="AG3043" s="1"/>
      <c r="AH3043" s="1"/>
    </row>
    <row r="3044" ht="12.75" hidden="1" customHeight="1" outlineLevel="1">
      <c r="A3044" s="17">
        <v>41551.0</v>
      </c>
      <c r="B3044" s="1"/>
      <c r="C3044" s="1" t="s">
        <v>431</v>
      </c>
      <c r="D3044" s="74"/>
      <c r="E3044" s="67"/>
      <c r="F3044" s="75"/>
      <c r="G3044" s="67"/>
      <c r="H3044" s="68"/>
      <c r="I3044" s="76"/>
      <c r="J3044" s="67"/>
      <c r="K3044" s="7" t="s">
        <v>1126</v>
      </c>
      <c r="L3044" s="77"/>
      <c r="M3044" s="79"/>
      <c r="N3044" s="1"/>
      <c r="O3044" s="1"/>
      <c r="P3044" s="1"/>
      <c r="Q3044" s="1"/>
      <c r="R3044" s="1"/>
      <c r="S3044" s="1"/>
      <c r="T3044" s="1"/>
      <c r="U3044" s="1"/>
      <c r="V3044" s="1"/>
      <c r="W3044" s="1"/>
      <c r="X3044" s="1"/>
      <c r="Y3044" s="1"/>
      <c r="Z3044" s="1"/>
      <c r="AA3044" s="1"/>
      <c r="AB3044" s="1"/>
      <c r="AC3044" s="1"/>
      <c r="AD3044" s="1"/>
      <c r="AE3044" s="1"/>
      <c r="AF3044" s="1"/>
      <c r="AG3044" s="1"/>
      <c r="AH3044" s="1"/>
    </row>
    <row r="3045" ht="12.75" hidden="1" customHeight="1" outlineLevel="1">
      <c r="A3045" s="17">
        <v>41551.0</v>
      </c>
      <c r="B3045" s="1"/>
      <c r="C3045" s="1" t="s">
        <v>433</v>
      </c>
      <c r="D3045" s="74"/>
      <c r="E3045" s="67"/>
      <c r="F3045" s="75"/>
      <c r="G3045" s="67"/>
      <c r="H3045" s="68"/>
      <c r="I3045" s="76"/>
      <c r="J3045" s="67"/>
      <c r="K3045" s="7" t="s">
        <v>1103</v>
      </c>
      <c r="L3045" s="77"/>
      <c r="M3045" s="79"/>
      <c r="N3045" s="1"/>
      <c r="O3045" s="1"/>
      <c r="P3045" s="1"/>
      <c r="Q3045" s="1"/>
      <c r="R3045" s="1"/>
      <c r="S3045" s="1"/>
      <c r="T3045" s="1"/>
      <c r="U3045" s="1"/>
      <c r="V3045" s="1"/>
      <c r="W3045" s="1"/>
      <c r="X3045" s="1"/>
      <c r="Y3045" s="1"/>
      <c r="Z3045" s="1"/>
      <c r="AA3045" s="1"/>
      <c r="AB3045" s="1"/>
      <c r="AC3045" s="1"/>
      <c r="AD3045" s="1"/>
      <c r="AE3045" s="1"/>
      <c r="AF3045" s="1"/>
      <c r="AG3045" s="1"/>
      <c r="AH3045" s="1"/>
    </row>
    <row r="3046" ht="12.75" hidden="1" customHeight="1" outlineLevel="1">
      <c r="A3046" s="17">
        <v>41551.0</v>
      </c>
      <c r="B3046" s="1"/>
      <c r="C3046" s="1" t="s">
        <v>435</v>
      </c>
      <c r="D3046" s="74"/>
      <c r="E3046" s="67"/>
      <c r="F3046" s="75"/>
      <c r="G3046" s="67"/>
      <c r="H3046" s="68"/>
      <c r="I3046" s="76"/>
      <c r="J3046" s="67"/>
      <c r="K3046" s="7" t="s">
        <v>1104</v>
      </c>
      <c r="L3046" s="77"/>
      <c r="M3046" s="79"/>
      <c r="N3046" s="1"/>
      <c r="O3046" s="1"/>
      <c r="P3046" s="1"/>
      <c r="Q3046" s="1"/>
      <c r="R3046" s="1"/>
      <c r="S3046" s="1"/>
      <c r="T3046" s="1"/>
      <c r="U3046" s="1"/>
      <c r="V3046" s="1"/>
      <c r="W3046" s="1"/>
      <c r="X3046" s="1"/>
      <c r="Y3046" s="1"/>
      <c r="Z3046" s="1"/>
      <c r="AA3046" s="1"/>
      <c r="AB3046" s="1"/>
      <c r="AC3046" s="1"/>
      <c r="AD3046" s="1"/>
      <c r="AE3046" s="1"/>
      <c r="AF3046" s="1"/>
      <c r="AG3046" s="1"/>
      <c r="AH3046" s="1"/>
    </row>
    <row r="3047" ht="12.75" hidden="1" customHeight="1" outlineLevel="1">
      <c r="A3047" s="17">
        <v>41554.0</v>
      </c>
      <c r="B3047" s="1"/>
      <c r="C3047" s="1" t="s">
        <v>339</v>
      </c>
      <c r="D3047" s="74"/>
      <c r="E3047" s="67"/>
      <c r="F3047" s="75"/>
      <c r="G3047" s="67"/>
      <c r="H3047" s="68"/>
      <c r="I3047" s="76"/>
      <c r="J3047" s="67"/>
      <c r="K3047" s="7" t="s">
        <v>1253</v>
      </c>
      <c r="L3047" s="77"/>
      <c r="M3047" s="79"/>
      <c r="N3047" s="1"/>
      <c r="O3047" s="1"/>
      <c r="P3047" s="1"/>
      <c r="Q3047" s="1"/>
      <c r="R3047" s="1"/>
      <c r="S3047" s="1"/>
      <c r="T3047" s="1"/>
      <c r="U3047" s="1"/>
      <c r="V3047" s="1"/>
      <c r="W3047" s="1"/>
      <c r="X3047" s="1"/>
      <c r="Y3047" s="1"/>
      <c r="Z3047" s="1"/>
      <c r="AA3047" s="1"/>
      <c r="AB3047" s="1"/>
      <c r="AC3047" s="1"/>
      <c r="AD3047" s="1"/>
      <c r="AE3047" s="1"/>
      <c r="AF3047" s="1"/>
      <c r="AG3047" s="1"/>
      <c r="AH3047" s="1"/>
    </row>
    <row r="3048" ht="12.75" hidden="1" customHeight="1" outlineLevel="1">
      <c r="A3048" s="17">
        <v>41554.0</v>
      </c>
      <c r="B3048" s="1"/>
      <c r="C3048" s="1" t="s">
        <v>429</v>
      </c>
      <c r="D3048" s="74"/>
      <c r="E3048" s="67"/>
      <c r="F3048" s="75"/>
      <c r="G3048" s="67"/>
      <c r="H3048" s="68"/>
      <c r="I3048" s="76"/>
      <c r="J3048" s="67"/>
      <c r="K3048" s="7" t="s">
        <v>1156</v>
      </c>
      <c r="L3048" s="77"/>
      <c r="M3048" s="79"/>
      <c r="N3048" s="1"/>
      <c r="O3048" s="1"/>
      <c r="P3048" s="1"/>
      <c r="Q3048" s="1"/>
      <c r="R3048" s="1"/>
      <c r="S3048" s="1"/>
      <c r="T3048" s="1"/>
      <c r="U3048" s="1"/>
      <c r="V3048" s="1"/>
      <c r="W3048" s="1"/>
      <c r="X3048" s="1"/>
      <c r="Y3048" s="1"/>
      <c r="Z3048" s="1"/>
      <c r="AA3048" s="1"/>
      <c r="AB3048" s="1"/>
      <c r="AC3048" s="1"/>
      <c r="AD3048" s="1"/>
      <c r="AE3048" s="1"/>
      <c r="AF3048" s="1"/>
      <c r="AG3048" s="1"/>
      <c r="AH3048" s="1"/>
    </row>
    <row r="3049" ht="12.75" hidden="1" customHeight="1" outlineLevel="1">
      <c r="A3049" s="17">
        <v>41554.0</v>
      </c>
      <c r="B3049" s="1"/>
      <c r="C3049" s="1" t="s">
        <v>431</v>
      </c>
      <c r="D3049" s="74"/>
      <c r="E3049" s="67"/>
      <c r="F3049" s="75"/>
      <c r="G3049" s="67"/>
      <c r="H3049" s="68"/>
      <c r="I3049" s="76"/>
      <c r="J3049" s="67"/>
      <c r="K3049" s="7" t="s">
        <v>1126</v>
      </c>
      <c r="L3049" s="77"/>
      <c r="M3049" s="79"/>
      <c r="N3049" s="1"/>
      <c r="O3049" s="1"/>
      <c r="P3049" s="1"/>
      <c r="Q3049" s="1"/>
      <c r="R3049" s="1"/>
      <c r="S3049" s="1"/>
      <c r="T3049" s="1"/>
      <c r="U3049" s="1"/>
      <c r="V3049" s="1"/>
      <c r="W3049" s="1"/>
      <c r="X3049" s="1"/>
      <c r="Y3049" s="1"/>
      <c r="Z3049" s="1"/>
      <c r="AA3049" s="1"/>
      <c r="AB3049" s="1"/>
      <c r="AC3049" s="1"/>
      <c r="AD3049" s="1"/>
      <c r="AE3049" s="1"/>
      <c r="AF3049" s="1"/>
      <c r="AG3049" s="1"/>
      <c r="AH3049" s="1"/>
    </row>
    <row r="3050" ht="12.75" hidden="1" customHeight="1" outlineLevel="1">
      <c r="A3050" s="17">
        <v>41554.0</v>
      </c>
      <c r="B3050" s="1"/>
      <c r="C3050" s="1" t="s">
        <v>433</v>
      </c>
      <c r="D3050" s="74"/>
      <c r="E3050" s="67"/>
      <c r="F3050" s="75"/>
      <c r="G3050" s="67"/>
      <c r="H3050" s="68"/>
      <c r="I3050" s="76"/>
      <c r="J3050" s="67"/>
      <c r="K3050" s="7" t="s">
        <v>1103</v>
      </c>
      <c r="L3050" s="77"/>
      <c r="M3050" s="79"/>
      <c r="N3050" s="1"/>
      <c r="O3050" s="1"/>
      <c r="P3050" s="1"/>
      <c r="Q3050" s="1"/>
      <c r="R3050" s="1"/>
      <c r="S3050" s="1"/>
      <c r="T3050" s="1"/>
      <c r="U3050" s="1"/>
      <c r="V3050" s="1"/>
      <c r="W3050" s="1"/>
      <c r="X3050" s="1"/>
      <c r="Y3050" s="1"/>
      <c r="Z3050" s="1"/>
      <c r="AA3050" s="1"/>
      <c r="AB3050" s="1"/>
      <c r="AC3050" s="1"/>
      <c r="AD3050" s="1"/>
      <c r="AE3050" s="1"/>
      <c r="AF3050" s="1"/>
      <c r="AG3050" s="1"/>
      <c r="AH3050" s="1"/>
    </row>
    <row r="3051" ht="12.75" hidden="1" customHeight="1" outlineLevel="1">
      <c r="A3051" s="17">
        <v>41554.0</v>
      </c>
      <c r="B3051" s="1"/>
      <c r="C3051" s="1" t="s">
        <v>435</v>
      </c>
      <c r="D3051" s="74"/>
      <c r="E3051" s="67"/>
      <c r="F3051" s="75"/>
      <c r="G3051" s="67"/>
      <c r="H3051" s="68"/>
      <c r="I3051" s="76"/>
      <c r="J3051" s="67"/>
      <c r="K3051" s="7" t="s">
        <v>1104</v>
      </c>
      <c r="L3051" s="77"/>
      <c r="M3051" s="79"/>
      <c r="N3051" s="1"/>
      <c r="O3051" s="1"/>
      <c r="P3051" s="1"/>
      <c r="Q3051" s="1"/>
      <c r="R3051" s="1"/>
      <c r="S3051" s="1"/>
      <c r="T3051" s="1"/>
      <c r="U3051" s="1"/>
      <c r="V3051" s="1"/>
      <c r="W3051" s="1"/>
      <c r="X3051" s="1"/>
      <c r="Y3051" s="1"/>
      <c r="Z3051" s="1"/>
      <c r="AA3051" s="1"/>
      <c r="AB3051" s="1"/>
      <c r="AC3051" s="1"/>
      <c r="AD3051" s="1"/>
      <c r="AE3051" s="1"/>
      <c r="AF3051" s="1"/>
      <c r="AG3051" s="1"/>
      <c r="AH3051" s="1"/>
    </row>
    <row r="3052" ht="12.75" hidden="1" customHeight="1" outlineLevel="1">
      <c r="A3052" s="17">
        <v>41555.0</v>
      </c>
      <c r="B3052" s="1" t="s">
        <v>343</v>
      </c>
      <c r="C3052" s="1" t="s">
        <v>1256</v>
      </c>
      <c r="D3052" s="74">
        <v>900.0</v>
      </c>
      <c r="E3052" s="67">
        <v>24.91</v>
      </c>
      <c r="F3052" s="75">
        <v>0.640613425925926</v>
      </c>
      <c r="G3052" s="67" t="s">
        <v>453</v>
      </c>
      <c r="H3052" s="68">
        <v>4.1</v>
      </c>
      <c r="I3052" s="76"/>
      <c r="J3052" s="67">
        <f>IF(B3052="SLD",D3052*E3052,-D3052*E3052)-H3052</f>
        <v>-22423.1</v>
      </c>
      <c r="K3052" s="7"/>
      <c r="L3052" s="70"/>
      <c r="M3052" s="79"/>
      <c r="N3052" s="1"/>
      <c r="O3052" s="1"/>
      <c r="P3052" s="1"/>
      <c r="Q3052" s="1"/>
      <c r="R3052" s="1"/>
      <c r="S3052" s="1"/>
      <c r="T3052" s="1"/>
      <c r="U3052" s="1"/>
      <c r="V3052" s="1"/>
      <c r="W3052" s="1"/>
      <c r="X3052" s="1"/>
      <c r="Y3052" s="1"/>
      <c r="Z3052" s="1"/>
      <c r="AA3052" s="1"/>
      <c r="AB3052" s="1"/>
      <c r="AC3052" s="1"/>
      <c r="AD3052" s="1"/>
      <c r="AE3052" s="1"/>
      <c r="AF3052" s="1"/>
      <c r="AG3052" s="1"/>
      <c r="AH3052" s="1"/>
    </row>
    <row r="3053" ht="12.75" hidden="1" customHeight="1" outlineLevel="1">
      <c r="A3053" s="17">
        <v>41555.0</v>
      </c>
      <c r="B3053" s="1"/>
      <c r="C3053" s="1" t="s">
        <v>339</v>
      </c>
      <c r="D3053" s="74"/>
      <c r="E3053" s="67"/>
      <c r="F3053" s="75"/>
      <c r="G3053" s="67"/>
      <c r="H3053" s="68"/>
      <c r="I3053" s="76"/>
      <c r="J3053" s="67"/>
      <c r="K3053" s="7" t="s">
        <v>1253</v>
      </c>
      <c r="L3053" s="77"/>
      <c r="M3053" s="79"/>
      <c r="N3053" s="1"/>
      <c r="O3053" s="1"/>
      <c r="P3053" s="1"/>
      <c r="Q3053" s="1"/>
      <c r="R3053" s="1"/>
      <c r="S3053" s="1"/>
      <c r="T3053" s="1"/>
      <c r="U3053" s="1"/>
      <c r="V3053" s="1"/>
      <c r="W3053" s="1"/>
      <c r="X3053" s="1"/>
      <c r="Y3053" s="1"/>
      <c r="Z3053" s="1"/>
      <c r="AA3053" s="1"/>
      <c r="AB3053" s="1"/>
      <c r="AC3053" s="1"/>
      <c r="AD3053" s="1"/>
      <c r="AE3053" s="1"/>
      <c r="AF3053" s="1"/>
      <c r="AG3053" s="1"/>
      <c r="AH3053" s="1"/>
    </row>
    <row r="3054" ht="12.75" hidden="1" customHeight="1" outlineLevel="1">
      <c r="A3054" s="17">
        <v>41555.0</v>
      </c>
      <c r="B3054" s="1"/>
      <c r="C3054" s="1" t="s">
        <v>429</v>
      </c>
      <c r="D3054" s="74"/>
      <c r="E3054" s="67"/>
      <c r="F3054" s="75"/>
      <c r="G3054" s="67"/>
      <c r="H3054" s="68"/>
      <c r="I3054" s="76"/>
      <c r="J3054" s="67"/>
      <c r="K3054" s="7" t="s">
        <v>1156</v>
      </c>
      <c r="L3054" s="77"/>
      <c r="M3054" s="79"/>
      <c r="N3054" s="1"/>
      <c r="O3054" s="1"/>
      <c r="P3054" s="1"/>
      <c r="Q3054" s="1"/>
      <c r="R3054" s="1"/>
      <c r="S3054" s="1"/>
      <c r="T3054" s="1"/>
      <c r="U3054" s="1"/>
      <c r="V3054" s="1"/>
      <c r="W3054" s="1"/>
      <c r="X3054" s="1"/>
      <c r="Y3054" s="1"/>
      <c r="Z3054" s="1"/>
      <c r="AA3054" s="1"/>
      <c r="AB3054" s="1"/>
      <c r="AC3054" s="1"/>
      <c r="AD3054" s="1"/>
      <c r="AE3054" s="1"/>
      <c r="AF3054" s="1"/>
      <c r="AG3054" s="1"/>
      <c r="AH3054" s="1"/>
    </row>
    <row r="3055" ht="12.75" hidden="1" customHeight="1" outlineLevel="1">
      <c r="A3055" s="17">
        <v>41555.0</v>
      </c>
      <c r="B3055" s="1"/>
      <c r="C3055" s="1" t="s">
        <v>431</v>
      </c>
      <c r="D3055" s="74"/>
      <c r="E3055" s="67"/>
      <c r="F3055" s="75"/>
      <c r="G3055" s="67"/>
      <c r="H3055" s="68"/>
      <c r="I3055" s="76"/>
      <c r="J3055" s="67"/>
      <c r="K3055" s="7" t="s">
        <v>1126</v>
      </c>
      <c r="L3055" s="77"/>
      <c r="M3055" s="79"/>
      <c r="N3055" s="1"/>
      <c r="O3055" s="1"/>
      <c r="P3055" s="1"/>
      <c r="Q3055" s="1"/>
      <c r="R3055" s="1"/>
      <c r="S3055" s="1"/>
      <c r="T3055" s="1"/>
      <c r="U3055" s="1"/>
      <c r="V3055" s="1"/>
      <c r="W3055" s="1"/>
      <c r="X3055" s="1"/>
      <c r="Y3055" s="1"/>
      <c r="Z3055" s="1"/>
      <c r="AA3055" s="1"/>
      <c r="AB3055" s="1"/>
      <c r="AC3055" s="1"/>
      <c r="AD3055" s="1"/>
      <c r="AE3055" s="1"/>
      <c r="AF3055" s="1"/>
      <c r="AG3055" s="1"/>
      <c r="AH3055" s="1"/>
    </row>
    <row r="3056" ht="12.75" hidden="1" customHeight="1" outlineLevel="1">
      <c r="A3056" s="17">
        <v>41555.0</v>
      </c>
      <c r="B3056" s="1"/>
      <c r="C3056" s="1" t="s">
        <v>433</v>
      </c>
      <c r="D3056" s="74"/>
      <c r="E3056" s="67"/>
      <c r="F3056" s="75"/>
      <c r="G3056" s="67"/>
      <c r="H3056" s="68"/>
      <c r="I3056" s="76"/>
      <c r="J3056" s="67"/>
      <c r="K3056" s="7" t="s">
        <v>1103</v>
      </c>
      <c r="L3056" s="77"/>
      <c r="M3056" s="79"/>
      <c r="N3056" s="1"/>
      <c r="O3056" s="1"/>
      <c r="P3056" s="1"/>
      <c r="Q3056" s="1"/>
      <c r="R3056" s="1"/>
      <c r="S3056" s="1"/>
      <c r="T3056" s="1"/>
      <c r="U3056" s="1"/>
      <c r="V3056" s="1"/>
      <c r="W3056" s="1"/>
      <c r="X3056" s="1"/>
      <c r="Y3056" s="1"/>
      <c r="Z3056" s="1"/>
      <c r="AA3056" s="1"/>
      <c r="AB3056" s="1"/>
      <c r="AC3056" s="1"/>
      <c r="AD3056" s="1"/>
      <c r="AE3056" s="1"/>
      <c r="AF3056" s="1"/>
      <c r="AG3056" s="1"/>
      <c r="AH3056" s="1"/>
    </row>
    <row r="3057" ht="12.75" hidden="1" customHeight="1" outlineLevel="1">
      <c r="A3057" s="17">
        <v>41555.0</v>
      </c>
      <c r="B3057" s="1"/>
      <c r="C3057" s="1" t="s">
        <v>435</v>
      </c>
      <c r="D3057" s="74"/>
      <c r="E3057" s="67"/>
      <c r="F3057" s="75"/>
      <c r="G3057" s="67"/>
      <c r="H3057" s="68"/>
      <c r="I3057" s="76"/>
      <c r="J3057" s="67"/>
      <c r="K3057" s="7" t="s">
        <v>1104</v>
      </c>
      <c r="L3057" s="77"/>
      <c r="M3057" s="79"/>
      <c r="N3057" s="1"/>
      <c r="O3057" s="1"/>
      <c r="P3057" s="1"/>
      <c r="Q3057" s="1"/>
      <c r="R3057" s="1"/>
      <c r="S3057" s="1"/>
      <c r="T3057" s="1"/>
      <c r="U3057" s="1"/>
      <c r="V3057" s="1"/>
      <c r="W3057" s="1"/>
      <c r="X3057" s="1"/>
      <c r="Y3057" s="1"/>
      <c r="Z3057" s="1"/>
      <c r="AA3057" s="1"/>
      <c r="AB3057" s="1"/>
      <c r="AC3057" s="1"/>
      <c r="AD3057" s="1"/>
      <c r="AE3057" s="1"/>
      <c r="AF3057" s="1"/>
      <c r="AG3057" s="1"/>
      <c r="AH3057" s="1"/>
    </row>
    <row r="3058" ht="12.75" hidden="1" customHeight="1" outlineLevel="1">
      <c r="A3058" s="17">
        <v>41556.0</v>
      </c>
      <c r="B3058" s="1"/>
      <c r="C3058" s="1" t="s">
        <v>339</v>
      </c>
      <c r="D3058" s="74"/>
      <c r="E3058" s="67"/>
      <c r="F3058" s="75"/>
      <c r="G3058" s="67"/>
      <c r="H3058" s="68"/>
      <c r="I3058" s="76"/>
      <c r="J3058" s="67"/>
      <c r="K3058" s="7" t="s">
        <v>1259</v>
      </c>
      <c r="L3058" s="77"/>
      <c r="M3058" s="79"/>
      <c r="N3058" s="1"/>
      <c r="O3058" s="1"/>
      <c r="P3058" s="1"/>
      <c r="Q3058" s="1"/>
      <c r="R3058" s="1"/>
      <c r="S3058" s="1"/>
      <c r="T3058" s="1"/>
      <c r="U3058" s="1"/>
      <c r="V3058" s="1"/>
      <c r="W3058" s="1"/>
      <c r="X3058" s="1"/>
      <c r="Y3058" s="1"/>
      <c r="Z3058" s="1"/>
      <c r="AA3058" s="1"/>
      <c r="AB3058" s="1"/>
      <c r="AC3058" s="1"/>
      <c r="AD3058" s="1"/>
      <c r="AE3058" s="1"/>
      <c r="AF3058" s="1"/>
      <c r="AG3058" s="1"/>
      <c r="AH3058" s="1"/>
    </row>
    <row r="3059" ht="12.75" hidden="1" customHeight="1" outlineLevel="1">
      <c r="A3059" s="17">
        <v>41556.0</v>
      </c>
      <c r="B3059" s="1"/>
      <c r="C3059" s="1" t="s">
        <v>429</v>
      </c>
      <c r="D3059" s="74"/>
      <c r="E3059" s="67"/>
      <c r="F3059" s="75"/>
      <c r="G3059" s="67"/>
      <c r="H3059" s="68"/>
      <c r="I3059" s="76"/>
      <c r="J3059" s="67"/>
      <c r="K3059" s="7" t="s">
        <v>1156</v>
      </c>
      <c r="L3059" s="77"/>
      <c r="M3059" s="79"/>
      <c r="N3059" s="1"/>
      <c r="O3059" s="1"/>
      <c r="P3059" s="1"/>
      <c r="Q3059" s="1"/>
      <c r="R3059" s="1"/>
      <c r="S3059" s="1"/>
      <c r="T3059" s="1"/>
      <c r="U3059" s="1"/>
      <c r="V3059" s="1"/>
      <c r="W3059" s="1"/>
      <c r="X3059" s="1"/>
      <c r="Y3059" s="1"/>
      <c r="Z3059" s="1"/>
      <c r="AA3059" s="1"/>
      <c r="AB3059" s="1"/>
      <c r="AC3059" s="1"/>
      <c r="AD3059" s="1"/>
      <c r="AE3059" s="1"/>
      <c r="AF3059" s="1"/>
      <c r="AG3059" s="1"/>
      <c r="AH3059" s="1"/>
    </row>
    <row r="3060" ht="12.75" hidden="1" customHeight="1" outlineLevel="1">
      <c r="A3060" s="17">
        <v>41556.0</v>
      </c>
      <c r="B3060" s="1"/>
      <c r="C3060" s="1" t="s">
        <v>431</v>
      </c>
      <c r="D3060" s="74"/>
      <c r="E3060" s="67"/>
      <c r="F3060" s="75"/>
      <c r="G3060" s="67"/>
      <c r="H3060" s="68"/>
      <c r="I3060" s="76"/>
      <c r="J3060" s="67"/>
      <c r="K3060" s="7" t="s">
        <v>1126</v>
      </c>
      <c r="L3060" s="77"/>
      <c r="M3060" s="79"/>
      <c r="N3060" s="1"/>
      <c r="O3060" s="1"/>
      <c r="P3060" s="1"/>
      <c r="Q3060" s="1"/>
      <c r="R3060" s="1"/>
      <c r="S3060" s="1"/>
      <c r="T3060" s="1"/>
      <c r="U3060" s="1"/>
      <c r="V3060" s="1"/>
      <c r="W3060" s="1"/>
      <c r="X3060" s="1"/>
      <c r="Y3060" s="1"/>
      <c r="Z3060" s="1"/>
      <c r="AA3060" s="1"/>
      <c r="AB3060" s="1"/>
      <c r="AC3060" s="1"/>
      <c r="AD3060" s="1"/>
      <c r="AE3060" s="1"/>
      <c r="AF3060" s="1"/>
      <c r="AG3060" s="1"/>
      <c r="AH3060" s="1"/>
    </row>
    <row r="3061" ht="12.75" hidden="1" customHeight="1" outlineLevel="1">
      <c r="A3061" s="17">
        <v>41556.0</v>
      </c>
      <c r="B3061" s="1"/>
      <c r="C3061" s="1" t="s">
        <v>433</v>
      </c>
      <c r="D3061" s="74"/>
      <c r="E3061" s="67"/>
      <c r="F3061" s="75"/>
      <c r="G3061" s="67"/>
      <c r="H3061" s="68"/>
      <c r="I3061" s="76"/>
      <c r="J3061" s="67"/>
      <c r="K3061" s="7" t="s">
        <v>1103</v>
      </c>
      <c r="L3061" s="77"/>
      <c r="M3061" s="79"/>
      <c r="N3061" s="1"/>
      <c r="O3061" s="1"/>
      <c r="P3061" s="1"/>
      <c r="Q3061" s="1"/>
      <c r="R3061" s="1"/>
      <c r="S3061" s="1"/>
      <c r="T3061" s="1"/>
      <c r="U3061" s="1"/>
      <c r="V3061" s="1"/>
      <c r="W3061" s="1"/>
      <c r="X3061" s="1"/>
      <c r="Y3061" s="1"/>
      <c r="Z3061" s="1"/>
      <c r="AA3061" s="1"/>
      <c r="AB3061" s="1"/>
      <c r="AC3061" s="1"/>
      <c r="AD3061" s="1"/>
      <c r="AE3061" s="1"/>
      <c r="AF3061" s="1"/>
      <c r="AG3061" s="1"/>
      <c r="AH3061" s="1"/>
    </row>
    <row r="3062" ht="12.75" hidden="1" customHeight="1" outlineLevel="1">
      <c r="A3062" s="17">
        <v>41556.0</v>
      </c>
      <c r="B3062" s="1"/>
      <c r="C3062" s="1" t="s">
        <v>435</v>
      </c>
      <c r="D3062" s="74"/>
      <c r="E3062" s="67"/>
      <c r="F3062" s="75"/>
      <c r="G3062" s="67"/>
      <c r="H3062" s="68"/>
      <c r="I3062" s="76"/>
      <c r="J3062" s="67"/>
      <c r="K3062" s="7" t="s">
        <v>1104</v>
      </c>
      <c r="L3062" s="77"/>
      <c r="M3062" s="79"/>
      <c r="N3062" s="1"/>
      <c r="O3062" s="1"/>
      <c r="P3062" s="1"/>
      <c r="Q3062" s="1"/>
      <c r="R3062" s="1"/>
      <c r="S3062" s="1"/>
      <c r="T3062" s="1"/>
      <c r="U3062" s="1"/>
      <c r="V3062" s="1"/>
      <c r="W3062" s="1"/>
      <c r="X3062" s="1"/>
      <c r="Y3062" s="1"/>
      <c r="Z3062" s="1"/>
      <c r="AA3062" s="1"/>
      <c r="AB3062" s="1"/>
      <c r="AC3062" s="1"/>
      <c r="AD3062" s="1"/>
      <c r="AE3062" s="1"/>
      <c r="AF3062" s="1"/>
      <c r="AG3062" s="1"/>
      <c r="AH3062" s="1"/>
    </row>
    <row r="3063" ht="12.75" hidden="1" customHeight="1" outlineLevel="1">
      <c r="A3063" s="17">
        <v>41557.0</v>
      </c>
      <c r="B3063" s="1"/>
      <c r="C3063" s="1" t="s">
        <v>339</v>
      </c>
      <c r="D3063" s="74"/>
      <c r="E3063" s="67"/>
      <c r="F3063" s="75"/>
      <c r="G3063" s="67"/>
      <c r="H3063" s="68"/>
      <c r="I3063" s="76"/>
      <c r="J3063" s="67"/>
      <c r="K3063" s="7" t="s">
        <v>1264</v>
      </c>
      <c r="L3063" s="77"/>
      <c r="M3063" s="79"/>
      <c r="N3063" s="1"/>
      <c r="O3063" s="1"/>
      <c r="P3063" s="1"/>
      <c r="Q3063" s="1"/>
      <c r="R3063" s="1"/>
      <c r="S3063" s="1"/>
      <c r="T3063" s="1"/>
      <c r="U3063" s="1"/>
      <c r="V3063" s="1"/>
      <c r="W3063" s="1"/>
      <c r="X3063" s="1"/>
      <c r="Y3063" s="1"/>
      <c r="Z3063" s="1"/>
      <c r="AA3063" s="1"/>
      <c r="AB3063" s="1"/>
      <c r="AC3063" s="1"/>
      <c r="AD3063" s="1"/>
      <c r="AE3063" s="1"/>
      <c r="AF3063" s="1"/>
      <c r="AG3063" s="1"/>
      <c r="AH3063" s="1"/>
    </row>
    <row r="3064" ht="12.75" hidden="1" customHeight="1" outlineLevel="1">
      <c r="A3064" s="17">
        <v>41557.0</v>
      </c>
      <c r="B3064" s="1"/>
      <c r="C3064" s="1" t="s">
        <v>429</v>
      </c>
      <c r="D3064" s="74"/>
      <c r="E3064" s="67"/>
      <c r="F3064" s="75"/>
      <c r="G3064" s="67"/>
      <c r="H3064" s="68"/>
      <c r="I3064" s="76"/>
      <c r="J3064" s="67"/>
      <c r="K3064" s="7" t="s">
        <v>1156</v>
      </c>
      <c r="L3064" s="77"/>
      <c r="M3064" s="79"/>
      <c r="N3064" s="1"/>
      <c r="O3064" s="1"/>
      <c r="P3064" s="1"/>
      <c r="Q3064" s="1"/>
      <c r="R3064" s="1"/>
      <c r="S3064" s="1"/>
      <c r="T3064" s="1"/>
      <c r="U3064" s="1"/>
      <c r="V3064" s="1"/>
      <c r="W3064" s="1"/>
      <c r="X3064" s="1"/>
      <c r="Y3064" s="1"/>
      <c r="Z3064" s="1"/>
      <c r="AA3064" s="1"/>
      <c r="AB3064" s="1"/>
      <c r="AC3064" s="1"/>
      <c r="AD3064" s="1"/>
      <c r="AE3064" s="1"/>
      <c r="AF3064" s="1"/>
      <c r="AG3064" s="1"/>
      <c r="AH3064" s="1"/>
    </row>
    <row r="3065" ht="12.75" hidden="1" customHeight="1" outlineLevel="1">
      <c r="A3065" s="17">
        <v>41557.0</v>
      </c>
      <c r="B3065" s="1"/>
      <c r="C3065" s="1" t="s">
        <v>431</v>
      </c>
      <c r="D3065" s="74"/>
      <c r="E3065" s="67"/>
      <c r="F3065" s="75"/>
      <c r="G3065" s="67"/>
      <c r="H3065" s="68"/>
      <c r="I3065" s="76"/>
      <c r="J3065" s="67"/>
      <c r="K3065" s="7" t="s">
        <v>1126</v>
      </c>
      <c r="L3065" s="77"/>
      <c r="M3065" s="79"/>
      <c r="N3065" s="1"/>
      <c r="O3065" s="1"/>
      <c r="P3065" s="1"/>
      <c r="Q3065" s="1"/>
      <c r="R3065" s="1"/>
      <c r="S3065" s="1"/>
      <c r="T3065" s="1"/>
      <c r="U3065" s="1"/>
      <c r="V3065" s="1"/>
      <c r="W3065" s="1"/>
      <c r="X3065" s="1"/>
      <c r="Y3065" s="1"/>
      <c r="Z3065" s="1"/>
      <c r="AA3065" s="1"/>
      <c r="AB3065" s="1"/>
      <c r="AC3065" s="1"/>
      <c r="AD3065" s="1"/>
      <c r="AE3065" s="1"/>
      <c r="AF3065" s="1"/>
      <c r="AG3065" s="1"/>
      <c r="AH3065" s="1"/>
    </row>
    <row r="3066" ht="12.75" hidden="1" customHeight="1" outlineLevel="1">
      <c r="A3066" s="17">
        <v>41557.0</v>
      </c>
      <c r="B3066" s="1"/>
      <c r="C3066" s="1" t="s">
        <v>433</v>
      </c>
      <c r="D3066" s="74"/>
      <c r="E3066" s="67"/>
      <c r="F3066" s="75"/>
      <c r="G3066" s="67"/>
      <c r="H3066" s="68"/>
      <c r="I3066" s="76"/>
      <c r="J3066" s="67"/>
      <c r="K3066" s="7" t="s">
        <v>1103</v>
      </c>
      <c r="L3066" s="77"/>
      <c r="M3066" s="79"/>
      <c r="N3066" s="1"/>
      <c r="O3066" s="1"/>
      <c r="P3066" s="1"/>
      <c r="Q3066" s="1"/>
      <c r="R3066" s="1"/>
      <c r="S3066" s="1"/>
      <c r="T3066" s="1"/>
      <c r="U3066" s="1"/>
      <c r="V3066" s="1"/>
      <c r="W3066" s="1"/>
      <c r="X3066" s="1"/>
      <c r="Y3066" s="1"/>
      <c r="Z3066" s="1"/>
      <c r="AA3066" s="1"/>
      <c r="AB3066" s="1"/>
      <c r="AC3066" s="1"/>
      <c r="AD3066" s="1"/>
      <c r="AE3066" s="1"/>
      <c r="AF3066" s="1"/>
      <c r="AG3066" s="1"/>
      <c r="AH3066" s="1"/>
    </row>
    <row r="3067" ht="12.75" hidden="1" customHeight="1" outlineLevel="1">
      <c r="A3067" s="17">
        <v>41557.0</v>
      </c>
      <c r="B3067" s="1"/>
      <c r="C3067" s="1" t="s">
        <v>435</v>
      </c>
      <c r="D3067" s="74"/>
      <c r="E3067" s="67"/>
      <c r="F3067" s="75"/>
      <c r="G3067" s="67"/>
      <c r="H3067" s="68"/>
      <c r="I3067" s="76"/>
      <c r="J3067" s="67"/>
      <c r="K3067" s="7" t="s">
        <v>1104</v>
      </c>
      <c r="L3067" s="77"/>
      <c r="M3067" s="79"/>
      <c r="N3067" s="1"/>
      <c r="O3067" s="1"/>
      <c r="P3067" s="1"/>
      <c r="Q3067" s="1"/>
      <c r="R3067" s="1"/>
      <c r="S3067" s="1"/>
      <c r="T3067" s="1"/>
      <c r="U3067" s="1"/>
      <c r="V3067" s="1"/>
      <c r="W3067" s="1"/>
      <c r="X3067" s="1"/>
      <c r="Y3067" s="1"/>
      <c r="Z3067" s="1"/>
      <c r="AA3067" s="1"/>
      <c r="AB3067" s="1"/>
      <c r="AC3067" s="1"/>
      <c r="AD3067" s="1"/>
      <c r="AE3067" s="1"/>
      <c r="AF3067" s="1"/>
      <c r="AG3067" s="1"/>
      <c r="AH3067" s="1"/>
    </row>
    <row r="3068" ht="12.75" hidden="1" customHeight="1" outlineLevel="1">
      <c r="A3068" s="17">
        <v>41558.0</v>
      </c>
      <c r="B3068" s="1" t="s">
        <v>343</v>
      </c>
      <c r="C3068" s="1" t="s">
        <v>734</v>
      </c>
      <c r="D3068" s="74">
        <v>200.0</v>
      </c>
      <c r="E3068" s="67">
        <v>22.23</v>
      </c>
      <c r="F3068" s="75">
        <v>0.5190277777777778</v>
      </c>
      <c r="G3068" s="67" t="s">
        <v>453</v>
      </c>
      <c r="H3068" s="68">
        <v>1.0</v>
      </c>
      <c r="I3068" s="76"/>
      <c r="J3068" s="67">
        <f>IF(B3068="SLD",D3068*E3068,-D3068*E3068)-H3068</f>
        <v>-4447</v>
      </c>
      <c r="K3068" s="7"/>
      <c r="L3068" s="70"/>
      <c r="M3068" s="79"/>
      <c r="N3068" s="1"/>
      <c r="O3068" s="1"/>
      <c r="P3068" s="1"/>
      <c r="Q3068" s="1"/>
      <c r="R3068" s="1"/>
      <c r="S3068" s="1"/>
      <c r="T3068" s="1"/>
      <c r="U3068" s="1"/>
      <c r="V3068" s="1"/>
      <c r="W3068" s="1"/>
      <c r="X3068" s="1"/>
      <c r="Y3068" s="1"/>
      <c r="Z3068" s="1"/>
      <c r="AA3068" s="1"/>
      <c r="AB3068" s="1"/>
      <c r="AC3068" s="1"/>
      <c r="AD3068" s="1"/>
      <c r="AE3068" s="1"/>
      <c r="AF3068" s="1"/>
      <c r="AG3068" s="1"/>
      <c r="AH3068" s="1"/>
    </row>
    <row r="3069" ht="12.75" hidden="1" customHeight="1" outlineLevel="1">
      <c r="A3069" s="17">
        <v>41557.0</v>
      </c>
      <c r="B3069" s="1"/>
      <c r="C3069" s="1" t="s">
        <v>339</v>
      </c>
      <c r="D3069" s="74"/>
      <c r="E3069" s="67"/>
      <c r="F3069" s="75"/>
      <c r="G3069" s="67"/>
      <c r="H3069" s="68"/>
      <c r="I3069" s="76"/>
      <c r="J3069" s="67"/>
      <c r="K3069" s="7" t="s">
        <v>1268</v>
      </c>
      <c r="L3069" s="77"/>
      <c r="M3069" s="79"/>
      <c r="N3069" s="1"/>
      <c r="O3069" s="1"/>
      <c r="P3069" s="1"/>
      <c r="Q3069" s="1"/>
      <c r="R3069" s="1"/>
      <c r="S3069" s="1"/>
      <c r="T3069" s="1"/>
      <c r="U3069" s="1"/>
      <c r="V3069" s="1"/>
      <c r="W3069" s="1"/>
      <c r="X3069" s="1"/>
      <c r="Y3069" s="1"/>
      <c r="Z3069" s="1"/>
      <c r="AA3069" s="1"/>
      <c r="AB3069" s="1"/>
      <c r="AC3069" s="1"/>
      <c r="AD3069" s="1"/>
      <c r="AE3069" s="1"/>
      <c r="AF3069" s="1"/>
      <c r="AG3069" s="1"/>
      <c r="AH3069" s="1"/>
    </row>
    <row r="3070" ht="12.75" hidden="1" customHeight="1" outlineLevel="1">
      <c r="A3070" s="17">
        <v>41557.0</v>
      </c>
      <c r="B3070" s="1"/>
      <c r="C3070" s="1" t="s">
        <v>429</v>
      </c>
      <c r="D3070" s="74"/>
      <c r="E3070" s="67"/>
      <c r="F3070" s="75"/>
      <c r="G3070" s="67"/>
      <c r="H3070" s="68"/>
      <c r="I3070" s="76"/>
      <c r="J3070" s="67"/>
      <c r="K3070" s="7" t="s">
        <v>1156</v>
      </c>
      <c r="L3070" s="77"/>
      <c r="M3070" s="79"/>
      <c r="N3070" s="1"/>
      <c r="O3070" s="1"/>
      <c r="P3070" s="1"/>
      <c r="Q3070" s="1"/>
      <c r="R3070" s="1"/>
      <c r="S3070" s="1"/>
      <c r="T3070" s="1"/>
      <c r="U3070" s="1"/>
      <c r="V3070" s="1"/>
      <c r="W3070" s="1"/>
      <c r="X3070" s="1"/>
      <c r="Y3070" s="1"/>
      <c r="Z3070" s="1"/>
      <c r="AA3070" s="1"/>
      <c r="AB3070" s="1"/>
      <c r="AC3070" s="1"/>
      <c r="AD3070" s="1"/>
      <c r="AE3070" s="1"/>
      <c r="AF3070" s="1"/>
      <c r="AG3070" s="1"/>
      <c r="AH3070" s="1"/>
    </row>
    <row r="3071" ht="12.75" hidden="1" customHeight="1" outlineLevel="1">
      <c r="A3071" s="17">
        <v>41557.0</v>
      </c>
      <c r="B3071" s="1"/>
      <c r="C3071" s="1" t="s">
        <v>431</v>
      </c>
      <c r="D3071" s="74"/>
      <c r="E3071" s="67"/>
      <c r="F3071" s="75"/>
      <c r="G3071" s="67"/>
      <c r="H3071" s="68"/>
      <c r="I3071" s="76"/>
      <c r="J3071" s="67"/>
      <c r="K3071" s="7" t="s">
        <v>1126</v>
      </c>
      <c r="L3071" s="77"/>
      <c r="M3071" s="79"/>
      <c r="N3071" s="1"/>
      <c r="O3071" s="1"/>
      <c r="P3071" s="1"/>
      <c r="Q3071" s="1"/>
      <c r="R3071" s="1"/>
      <c r="S3071" s="1"/>
      <c r="T3071" s="1"/>
      <c r="U3071" s="1"/>
      <c r="V3071" s="1"/>
      <c r="W3071" s="1"/>
      <c r="X3071" s="1"/>
      <c r="Y3071" s="1"/>
      <c r="Z3071" s="1"/>
      <c r="AA3071" s="1"/>
      <c r="AB3071" s="1"/>
      <c r="AC3071" s="1"/>
      <c r="AD3071" s="1"/>
      <c r="AE3071" s="1"/>
      <c r="AF3071" s="1"/>
      <c r="AG3071" s="1"/>
      <c r="AH3071" s="1"/>
    </row>
    <row r="3072" ht="12.75" hidden="1" customHeight="1" outlineLevel="1">
      <c r="A3072" s="17">
        <v>41557.0</v>
      </c>
      <c r="B3072" s="1"/>
      <c r="C3072" s="1" t="s">
        <v>433</v>
      </c>
      <c r="D3072" s="74"/>
      <c r="E3072" s="67"/>
      <c r="F3072" s="75"/>
      <c r="G3072" s="67"/>
      <c r="H3072" s="68"/>
      <c r="I3072" s="76"/>
      <c r="J3072" s="67"/>
      <c r="K3072" s="7" t="s">
        <v>1103</v>
      </c>
      <c r="L3072" s="77"/>
      <c r="M3072" s="79"/>
      <c r="N3072" s="1"/>
      <c r="O3072" s="1"/>
      <c r="P3072" s="1"/>
      <c r="Q3072" s="1"/>
      <c r="R3072" s="1"/>
      <c r="S3072" s="1"/>
      <c r="T3072" s="1"/>
      <c r="U3072" s="1"/>
      <c r="V3072" s="1"/>
      <c r="W3072" s="1"/>
      <c r="X3072" s="1"/>
      <c r="Y3072" s="1"/>
      <c r="Z3072" s="1"/>
      <c r="AA3072" s="1"/>
      <c r="AB3072" s="1"/>
      <c r="AC3072" s="1"/>
      <c r="AD3072" s="1"/>
      <c r="AE3072" s="1"/>
      <c r="AF3072" s="1"/>
      <c r="AG3072" s="1"/>
      <c r="AH3072" s="1"/>
    </row>
    <row r="3073" ht="12.75" hidden="1" customHeight="1" outlineLevel="1">
      <c r="A3073" s="17">
        <v>41557.0</v>
      </c>
      <c r="B3073" s="1"/>
      <c r="C3073" s="1" t="s">
        <v>435</v>
      </c>
      <c r="D3073" s="74"/>
      <c r="E3073" s="67"/>
      <c r="F3073" s="75"/>
      <c r="G3073" s="67"/>
      <c r="H3073" s="68"/>
      <c r="I3073" s="76"/>
      <c r="J3073" s="67"/>
      <c r="K3073" s="7" t="s">
        <v>1104</v>
      </c>
      <c r="L3073" s="77"/>
      <c r="M3073" s="79"/>
      <c r="N3073" s="1"/>
      <c r="O3073" s="1"/>
      <c r="P3073" s="1"/>
      <c r="Q3073" s="1"/>
      <c r="R3073" s="1"/>
      <c r="S3073" s="1"/>
      <c r="T3073" s="1"/>
      <c r="U3073" s="1"/>
      <c r="V3073" s="1"/>
      <c r="W3073" s="1"/>
      <c r="X3073" s="1"/>
      <c r="Y3073" s="1"/>
      <c r="Z3073" s="1"/>
      <c r="AA3073" s="1"/>
      <c r="AB3073" s="1"/>
      <c r="AC3073" s="1"/>
      <c r="AD3073" s="1"/>
      <c r="AE3073" s="1"/>
      <c r="AF3073" s="1"/>
      <c r="AG3073" s="1"/>
      <c r="AH3073" s="1"/>
    </row>
    <row r="3074" ht="12.75" hidden="1" customHeight="1" outlineLevel="1">
      <c r="A3074" s="17">
        <v>41562.0</v>
      </c>
      <c r="B3074" s="1" t="s">
        <v>343</v>
      </c>
      <c r="C3074" s="1" t="s">
        <v>369</v>
      </c>
      <c r="D3074" s="74">
        <v>1200.0</v>
      </c>
      <c r="E3074" s="67">
        <v>22.8</v>
      </c>
      <c r="F3074" s="75">
        <v>0.6255092592592593</v>
      </c>
      <c r="G3074" s="67" t="s">
        <v>453</v>
      </c>
      <c r="H3074" s="68">
        <v>4.8</v>
      </c>
      <c r="I3074" s="76"/>
      <c r="J3074" s="67">
        <f t="shared" ref="J3074:J3078" si="212">IF(B3074="SLD",D3074*E3074,-D3074*E3074)-H3074</f>
        <v>-27364.8</v>
      </c>
      <c r="K3074" s="1"/>
      <c r="L3074" s="70"/>
      <c r="M3074" s="79"/>
      <c r="N3074" s="1"/>
      <c r="O3074" s="1"/>
      <c r="P3074" s="1"/>
      <c r="Q3074" s="1"/>
      <c r="R3074" s="1"/>
      <c r="S3074" s="1"/>
      <c r="T3074" s="1"/>
      <c r="U3074" s="1"/>
      <c r="V3074" s="1"/>
      <c r="W3074" s="1"/>
      <c r="X3074" s="1"/>
      <c r="Y3074" s="1"/>
      <c r="Z3074" s="1"/>
      <c r="AA3074" s="1"/>
      <c r="AB3074" s="1"/>
      <c r="AC3074" s="1"/>
      <c r="AD3074" s="1"/>
      <c r="AE3074" s="1"/>
      <c r="AF3074" s="1"/>
      <c r="AG3074" s="1"/>
      <c r="AH3074" s="1"/>
    </row>
    <row r="3075" ht="12.75" hidden="1" customHeight="1" outlineLevel="1">
      <c r="A3075" s="17">
        <v>41562.0</v>
      </c>
      <c r="B3075" s="1" t="s">
        <v>343</v>
      </c>
      <c r="C3075" s="1" t="s">
        <v>784</v>
      </c>
      <c r="D3075" s="74">
        <v>1800.0</v>
      </c>
      <c r="E3075" s="67">
        <v>16.33</v>
      </c>
      <c r="F3075" s="75">
        <v>0.6262268518518518</v>
      </c>
      <c r="G3075" s="67" t="s">
        <v>453</v>
      </c>
      <c r="H3075" s="68">
        <v>7.2</v>
      </c>
      <c r="I3075" s="76"/>
      <c r="J3075" s="67">
        <f t="shared" si="212"/>
        <v>-29401.2</v>
      </c>
      <c r="K3075" s="7"/>
      <c r="L3075" s="70"/>
      <c r="M3075" s="79"/>
      <c r="N3075" s="1"/>
      <c r="O3075" s="1"/>
      <c r="P3075" s="1"/>
      <c r="Q3075" s="1"/>
      <c r="R3075" s="1"/>
      <c r="S3075" s="1"/>
      <c r="T3075" s="1"/>
      <c r="U3075" s="1"/>
      <c r="V3075" s="1"/>
      <c r="W3075" s="1"/>
      <c r="X3075" s="1"/>
      <c r="Y3075" s="1"/>
      <c r="Z3075" s="1"/>
      <c r="AA3075" s="1"/>
      <c r="AB3075" s="1"/>
      <c r="AC3075" s="1"/>
      <c r="AD3075" s="1"/>
      <c r="AE3075" s="1"/>
      <c r="AF3075" s="1"/>
      <c r="AG3075" s="1"/>
      <c r="AH3075" s="1"/>
    </row>
    <row r="3076" ht="12.75" hidden="1" customHeight="1" outlineLevel="1">
      <c r="A3076" s="17">
        <v>41562.0</v>
      </c>
      <c r="B3076" s="1" t="s">
        <v>343</v>
      </c>
      <c r="C3076" s="1" t="s">
        <v>1044</v>
      </c>
      <c r="D3076" s="74">
        <v>1050.0</v>
      </c>
      <c r="E3076" s="67">
        <v>23.69</v>
      </c>
      <c r="F3076" s="75">
        <v>0.6265625</v>
      </c>
      <c r="G3076" s="67" t="s">
        <v>453</v>
      </c>
      <c r="H3076" s="68">
        <v>4.55</v>
      </c>
      <c r="I3076" s="76"/>
      <c r="J3076" s="67">
        <f t="shared" si="212"/>
        <v>-24879.05</v>
      </c>
      <c r="K3076" s="7"/>
      <c r="L3076" s="70"/>
      <c r="M3076" s="79"/>
      <c r="N3076" s="1"/>
      <c r="O3076" s="1"/>
      <c r="P3076" s="1"/>
      <c r="Q3076" s="1"/>
      <c r="R3076" s="1"/>
      <c r="S3076" s="1"/>
      <c r="T3076" s="1"/>
      <c r="U3076" s="1"/>
      <c r="V3076" s="1"/>
      <c r="W3076" s="1"/>
      <c r="X3076" s="1"/>
      <c r="Y3076" s="1"/>
      <c r="Z3076" s="1"/>
      <c r="AA3076" s="1"/>
      <c r="AB3076" s="1"/>
      <c r="AC3076" s="1"/>
      <c r="AD3076" s="1"/>
      <c r="AE3076" s="1"/>
      <c r="AF3076" s="1"/>
      <c r="AG3076" s="1"/>
      <c r="AH3076" s="1"/>
    </row>
    <row r="3077" ht="12.75" hidden="1" customHeight="1" outlineLevel="1">
      <c r="A3077" s="17">
        <v>41562.0</v>
      </c>
      <c r="B3077" s="1" t="s">
        <v>347</v>
      </c>
      <c r="C3077" s="1" t="s">
        <v>364</v>
      </c>
      <c r="D3077" s="74">
        <v>50.0</v>
      </c>
      <c r="E3077" s="67">
        <v>111.8</v>
      </c>
      <c r="F3077" s="75">
        <v>0.6281018518518519</v>
      </c>
      <c r="G3077" s="67" t="s">
        <v>453</v>
      </c>
      <c r="H3077" s="68">
        <v>1.1</v>
      </c>
      <c r="I3077" s="76"/>
      <c r="J3077" s="67">
        <f t="shared" si="212"/>
        <v>5588.9</v>
      </c>
      <c r="K3077" s="7"/>
      <c r="L3077" s="70"/>
      <c r="M3077" s="79"/>
      <c r="N3077" s="1"/>
      <c r="O3077" s="1"/>
      <c r="P3077" s="1"/>
      <c r="Q3077" s="1"/>
      <c r="R3077" s="1"/>
      <c r="S3077" s="1"/>
      <c r="T3077" s="1"/>
      <c r="U3077" s="1"/>
      <c r="V3077" s="1"/>
      <c r="W3077" s="1"/>
      <c r="X3077" s="1"/>
      <c r="Y3077" s="1"/>
      <c r="Z3077" s="1"/>
      <c r="AA3077" s="1"/>
      <c r="AB3077" s="1"/>
      <c r="AC3077" s="1"/>
      <c r="AD3077" s="1"/>
      <c r="AE3077" s="1"/>
      <c r="AF3077" s="1"/>
      <c r="AG3077" s="1"/>
      <c r="AH3077" s="1"/>
    </row>
    <row r="3078" ht="12.75" hidden="1" customHeight="1" outlineLevel="1">
      <c r="A3078" s="17">
        <v>41562.0</v>
      </c>
      <c r="B3078" s="1" t="s">
        <v>347</v>
      </c>
      <c r="C3078" s="1" t="s">
        <v>344</v>
      </c>
      <c r="D3078" s="74">
        <v>100.0</v>
      </c>
      <c r="E3078" s="67">
        <v>50.08</v>
      </c>
      <c r="F3078" s="75">
        <v>0.6282291666666667</v>
      </c>
      <c r="G3078" s="67" t="s">
        <v>453</v>
      </c>
      <c r="H3078" s="68">
        <v>1.09</v>
      </c>
      <c r="I3078" s="76"/>
      <c r="J3078" s="67">
        <f t="shared" si="212"/>
        <v>5006.91</v>
      </c>
      <c r="K3078" s="7"/>
      <c r="L3078" s="70"/>
      <c r="M3078" s="79"/>
      <c r="N3078" s="1"/>
      <c r="O3078" s="1"/>
      <c r="P3078" s="1"/>
      <c r="Q3078" s="1"/>
      <c r="R3078" s="1"/>
      <c r="S3078" s="1"/>
      <c r="T3078" s="1"/>
      <c r="U3078" s="1"/>
      <c r="V3078" s="1"/>
      <c r="W3078" s="1"/>
      <c r="X3078" s="1"/>
      <c r="Y3078" s="1"/>
      <c r="Z3078" s="1"/>
      <c r="AA3078" s="1"/>
      <c r="AB3078" s="1"/>
      <c r="AC3078" s="1"/>
      <c r="AD3078" s="1"/>
      <c r="AE3078" s="1"/>
      <c r="AF3078" s="1"/>
      <c r="AG3078" s="1"/>
      <c r="AH3078" s="1"/>
    </row>
    <row r="3079" ht="12.75" hidden="1" customHeight="1" outlineLevel="1">
      <c r="A3079" s="17">
        <v>41562.0</v>
      </c>
      <c r="B3079" s="1"/>
      <c r="C3079" s="1" t="s">
        <v>339</v>
      </c>
      <c r="D3079" s="74"/>
      <c r="E3079" s="67"/>
      <c r="F3079" s="75"/>
      <c r="G3079" s="67"/>
      <c r="H3079" s="68"/>
      <c r="I3079" s="76"/>
      <c r="J3079" s="67"/>
      <c r="K3079" s="7" t="s">
        <v>1268</v>
      </c>
      <c r="L3079" s="77"/>
      <c r="M3079" s="79"/>
      <c r="N3079" s="1"/>
      <c r="O3079" s="1"/>
      <c r="P3079" s="1"/>
      <c r="Q3079" s="1"/>
      <c r="R3079" s="1"/>
      <c r="S3079" s="1"/>
      <c r="T3079" s="1"/>
      <c r="U3079" s="1"/>
      <c r="V3079" s="1"/>
      <c r="W3079" s="1"/>
      <c r="X3079" s="1"/>
      <c r="Y3079" s="1"/>
      <c r="Z3079" s="1"/>
      <c r="AA3079" s="1"/>
      <c r="AB3079" s="1"/>
      <c r="AC3079" s="1"/>
      <c r="AD3079" s="1"/>
      <c r="AE3079" s="1"/>
      <c r="AF3079" s="1"/>
      <c r="AG3079" s="1"/>
      <c r="AH3079" s="1"/>
    </row>
    <row r="3080" ht="12.75" hidden="1" customHeight="1" outlineLevel="1">
      <c r="A3080" s="17">
        <v>41562.0</v>
      </c>
      <c r="B3080" s="1"/>
      <c r="C3080" s="1" t="s">
        <v>429</v>
      </c>
      <c r="D3080" s="74"/>
      <c r="E3080" s="67"/>
      <c r="F3080" s="75"/>
      <c r="G3080" s="67"/>
      <c r="H3080" s="68"/>
      <c r="I3080" s="76"/>
      <c r="J3080" s="67"/>
      <c r="K3080" s="7" t="s">
        <v>1156</v>
      </c>
      <c r="L3080" s="77"/>
      <c r="M3080" s="79"/>
      <c r="N3080" s="1"/>
      <c r="O3080" s="1"/>
      <c r="P3080" s="1"/>
      <c r="Q3080" s="1"/>
      <c r="R3080" s="1"/>
      <c r="S3080" s="1"/>
      <c r="T3080" s="1"/>
      <c r="U3080" s="1"/>
      <c r="V3080" s="1"/>
      <c r="W3080" s="1"/>
      <c r="X3080" s="1"/>
      <c r="Y3080" s="1"/>
      <c r="Z3080" s="1"/>
      <c r="AA3080" s="1"/>
      <c r="AB3080" s="1"/>
      <c r="AC3080" s="1"/>
      <c r="AD3080" s="1"/>
      <c r="AE3080" s="1"/>
      <c r="AF3080" s="1"/>
      <c r="AG3080" s="1"/>
      <c r="AH3080" s="1"/>
    </row>
    <row r="3081" ht="12.75" hidden="1" customHeight="1" outlineLevel="1">
      <c r="A3081" s="17">
        <v>41562.0</v>
      </c>
      <c r="B3081" s="1"/>
      <c r="C3081" s="1" t="s">
        <v>431</v>
      </c>
      <c r="D3081" s="74"/>
      <c r="E3081" s="67"/>
      <c r="F3081" s="75"/>
      <c r="G3081" s="67"/>
      <c r="H3081" s="68"/>
      <c r="I3081" s="76"/>
      <c r="J3081" s="67"/>
      <c r="K3081" s="7" t="s">
        <v>1126</v>
      </c>
      <c r="L3081" s="77"/>
      <c r="M3081" s="79"/>
      <c r="N3081" s="1"/>
      <c r="O3081" s="1"/>
      <c r="P3081" s="1"/>
      <c r="Q3081" s="1"/>
      <c r="R3081" s="1"/>
      <c r="S3081" s="1"/>
      <c r="T3081" s="1"/>
      <c r="U3081" s="1"/>
      <c r="V3081" s="1"/>
      <c r="W3081" s="1"/>
      <c r="X3081" s="1"/>
      <c r="Y3081" s="1"/>
      <c r="Z3081" s="1"/>
      <c r="AA3081" s="1"/>
      <c r="AB3081" s="1"/>
      <c r="AC3081" s="1"/>
      <c r="AD3081" s="1"/>
      <c r="AE3081" s="1"/>
      <c r="AF3081" s="1"/>
      <c r="AG3081" s="1"/>
      <c r="AH3081" s="1"/>
    </row>
    <row r="3082" ht="12.75" hidden="1" customHeight="1" outlineLevel="1">
      <c r="A3082" s="17">
        <v>41562.0</v>
      </c>
      <c r="B3082" s="1"/>
      <c r="C3082" s="1" t="s">
        <v>433</v>
      </c>
      <c r="D3082" s="74"/>
      <c r="E3082" s="67"/>
      <c r="F3082" s="75"/>
      <c r="G3082" s="67"/>
      <c r="H3082" s="68"/>
      <c r="I3082" s="76"/>
      <c r="J3082" s="67"/>
      <c r="K3082" s="7" t="s">
        <v>1103</v>
      </c>
      <c r="L3082" s="77"/>
      <c r="M3082" s="79"/>
      <c r="N3082" s="1"/>
      <c r="O3082" s="1"/>
      <c r="P3082" s="1"/>
      <c r="Q3082" s="1"/>
      <c r="R3082" s="1"/>
      <c r="S3082" s="1"/>
      <c r="T3082" s="1"/>
      <c r="U3082" s="1"/>
      <c r="V3082" s="1"/>
      <c r="W3082" s="1"/>
      <c r="X3082" s="1"/>
      <c r="Y3082" s="1"/>
      <c r="Z3082" s="1"/>
      <c r="AA3082" s="1"/>
      <c r="AB3082" s="1"/>
      <c r="AC3082" s="1"/>
      <c r="AD3082" s="1"/>
      <c r="AE3082" s="1"/>
      <c r="AF3082" s="1"/>
      <c r="AG3082" s="1"/>
      <c r="AH3082" s="1"/>
    </row>
    <row r="3083" ht="12.75" hidden="1" customHeight="1" outlineLevel="1">
      <c r="A3083" s="17">
        <v>41562.0</v>
      </c>
      <c r="B3083" s="1"/>
      <c r="C3083" s="1" t="s">
        <v>435</v>
      </c>
      <c r="D3083" s="74"/>
      <c r="E3083" s="67"/>
      <c r="F3083" s="75"/>
      <c r="G3083" s="67"/>
      <c r="H3083" s="68"/>
      <c r="I3083" s="76"/>
      <c r="J3083" s="67"/>
      <c r="K3083" s="7" t="s">
        <v>1104</v>
      </c>
      <c r="L3083" s="77"/>
      <c r="M3083" s="79"/>
      <c r="N3083" s="1"/>
      <c r="O3083" s="1"/>
      <c r="P3083" s="1"/>
      <c r="Q3083" s="1"/>
      <c r="R3083" s="1"/>
      <c r="S3083" s="1"/>
      <c r="T3083" s="1"/>
      <c r="U3083" s="1"/>
      <c r="V3083" s="1"/>
      <c r="W3083" s="1"/>
      <c r="X3083" s="1"/>
      <c r="Y3083" s="1"/>
      <c r="Z3083" s="1"/>
      <c r="AA3083" s="1"/>
      <c r="AB3083" s="1"/>
      <c r="AC3083" s="1"/>
      <c r="AD3083" s="1"/>
      <c r="AE3083" s="1"/>
      <c r="AF3083" s="1"/>
      <c r="AG3083" s="1"/>
      <c r="AH3083" s="1"/>
    </row>
    <row r="3084" ht="12.75" hidden="1" customHeight="1" outlineLevel="1">
      <c r="A3084" s="17">
        <v>41563.0</v>
      </c>
      <c r="B3084" s="1" t="s">
        <v>343</v>
      </c>
      <c r="C3084" s="1" t="s">
        <v>1082</v>
      </c>
      <c r="D3084" s="74">
        <v>50.0</v>
      </c>
      <c r="E3084" s="67">
        <v>423.71</v>
      </c>
      <c r="F3084" s="75">
        <v>0.5322800925925926</v>
      </c>
      <c r="G3084" s="67" t="s">
        <v>453</v>
      </c>
      <c r="H3084" s="68">
        <v>1.0</v>
      </c>
      <c r="I3084" s="76"/>
      <c r="J3084" s="67">
        <f t="shared" ref="J3084:J3085" si="213">IF(B3084="SLD",D3084*E3084,-D3084*E3084)-H3084</f>
        <v>-21186.5</v>
      </c>
      <c r="K3084" s="7"/>
      <c r="L3084" s="70"/>
      <c r="M3084" s="79"/>
      <c r="N3084" s="1"/>
      <c r="O3084" s="1"/>
      <c r="P3084" s="1"/>
      <c r="Q3084" s="1"/>
      <c r="R3084" s="1"/>
      <c r="S3084" s="1"/>
      <c r="T3084" s="1"/>
      <c r="U3084" s="1"/>
      <c r="V3084" s="1"/>
      <c r="W3084" s="1"/>
      <c r="X3084" s="1"/>
      <c r="Y3084" s="1"/>
      <c r="Z3084" s="1"/>
      <c r="AA3084" s="1"/>
      <c r="AB3084" s="1"/>
      <c r="AC3084" s="1"/>
      <c r="AD3084" s="1"/>
      <c r="AE3084" s="1"/>
      <c r="AF3084" s="1"/>
      <c r="AG3084" s="1"/>
      <c r="AH3084" s="1"/>
    </row>
    <row r="3085" ht="12.75" hidden="1" customHeight="1" outlineLevel="1">
      <c r="A3085" s="17">
        <v>41563.0</v>
      </c>
      <c r="B3085" s="1" t="s">
        <v>343</v>
      </c>
      <c r="C3085" s="1" t="s">
        <v>1275</v>
      </c>
      <c r="D3085" s="74">
        <v>650.0</v>
      </c>
      <c r="E3085" s="67">
        <v>32.52</v>
      </c>
      <c r="F3085" s="75">
        <v>0.5357407407407407</v>
      </c>
      <c r="G3085" s="67" t="s">
        <v>453</v>
      </c>
      <c r="H3085" s="68">
        <v>3.25</v>
      </c>
      <c r="I3085" s="76"/>
      <c r="J3085" s="67">
        <f t="shared" si="213"/>
        <v>-21141.25</v>
      </c>
      <c r="K3085" s="7"/>
      <c r="L3085" s="70"/>
      <c r="M3085" s="79"/>
      <c r="N3085" s="1"/>
      <c r="O3085" s="1"/>
      <c r="P3085" s="1"/>
      <c r="Q3085" s="1"/>
      <c r="R3085" s="1"/>
      <c r="S3085" s="1"/>
      <c r="T3085" s="1"/>
      <c r="U3085" s="1"/>
      <c r="V3085" s="1"/>
      <c r="W3085" s="1"/>
      <c r="X3085" s="1"/>
      <c r="Y3085" s="1"/>
      <c r="Z3085" s="1"/>
      <c r="AA3085" s="1"/>
      <c r="AB3085" s="1"/>
      <c r="AC3085" s="1"/>
      <c r="AD3085" s="1"/>
      <c r="AE3085" s="1"/>
      <c r="AF3085" s="1"/>
      <c r="AG3085" s="1"/>
      <c r="AH3085" s="1"/>
    </row>
    <row r="3086" ht="12.75" hidden="1" customHeight="1" outlineLevel="1">
      <c r="A3086" s="17">
        <v>41563.0</v>
      </c>
      <c r="B3086" s="1"/>
      <c r="C3086" s="1" t="s">
        <v>339</v>
      </c>
      <c r="D3086" s="74"/>
      <c r="E3086" s="67"/>
      <c r="F3086" s="75"/>
      <c r="G3086" s="67"/>
      <c r="H3086" s="68"/>
      <c r="I3086" s="76"/>
      <c r="J3086" s="67"/>
      <c r="K3086" s="7" t="s">
        <v>1276</v>
      </c>
      <c r="L3086" s="77"/>
      <c r="M3086" s="79"/>
      <c r="N3086" s="1"/>
      <c r="O3086" s="1"/>
      <c r="P3086" s="1"/>
      <c r="Q3086" s="1"/>
      <c r="R3086" s="1"/>
      <c r="S3086" s="1"/>
      <c r="T3086" s="1"/>
      <c r="U3086" s="1"/>
      <c r="V3086" s="1"/>
      <c r="W3086" s="1"/>
      <c r="X3086" s="1"/>
      <c r="Y3086" s="1"/>
      <c r="Z3086" s="1"/>
      <c r="AA3086" s="1"/>
      <c r="AB3086" s="1"/>
      <c r="AC3086" s="1"/>
      <c r="AD3086" s="1"/>
      <c r="AE3086" s="1"/>
      <c r="AF3086" s="1"/>
      <c r="AG3086" s="1"/>
      <c r="AH3086" s="1"/>
    </row>
    <row r="3087" ht="12.75" hidden="1" customHeight="1" outlineLevel="1">
      <c r="A3087" s="17">
        <v>41563.0</v>
      </c>
      <c r="B3087" s="1"/>
      <c r="C3087" s="1" t="s">
        <v>429</v>
      </c>
      <c r="D3087" s="74"/>
      <c r="E3087" s="67"/>
      <c r="F3087" s="75"/>
      <c r="G3087" s="67"/>
      <c r="H3087" s="68"/>
      <c r="I3087" s="76"/>
      <c r="J3087" s="67"/>
      <c r="K3087" s="7" t="s">
        <v>1156</v>
      </c>
      <c r="L3087" s="77"/>
      <c r="M3087" s="79"/>
      <c r="N3087" s="1"/>
      <c r="O3087" s="1"/>
      <c r="P3087" s="1"/>
      <c r="Q3087" s="1"/>
      <c r="R3087" s="1"/>
      <c r="S3087" s="1"/>
      <c r="T3087" s="1"/>
      <c r="U3087" s="1"/>
      <c r="V3087" s="1"/>
      <c r="W3087" s="1"/>
      <c r="X3087" s="1"/>
      <c r="Y3087" s="1"/>
      <c r="Z3087" s="1"/>
      <c r="AA3087" s="1"/>
      <c r="AB3087" s="1"/>
      <c r="AC3087" s="1"/>
      <c r="AD3087" s="1"/>
      <c r="AE3087" s="1"/>
      <c r="AF3087" s="1"/>
      <c r="AG3087" s="1"/>
      <c r="AH3087" s="1"/>
    </row>
    <row r="3088" ht="12.75" hidden="1" customHeight="1" outlineLevel="1">
      <c r="A3088" s="17">
        <v>41563.0</v>
      </c>
      <c r="B3088" s="1"/>
      <c r="C3088" s="1" t="s">
        <v>431</v>
      </c>
      <c r="D3088" s="74"/>
      <c r="E3088" s="67"/>
      <c r="F3088" s="75"/>
      <c r="G3088" s="67"/>
      <c r="H3088" s="68"/>
      <c r="I3088" s="76"/>
      <c r="J3088" s="67"/>
      <c r="K3088" s="7" t="s">
        <v>1126</v>
      </c>
      <c r="L3088" s="77"/>
      <c r="M3088" s="79"/>
      <c r="N3088" s="1"/>
      <c r="O3088" s="1"/>
      <c r="P3088" s="1"/>
      <c r="Q3088" s="1"/>
      <c r="R3088" s="1"/>
      <c r="S3088" s="1"/>
      <c r="T3088" s="1"/>
      <c r="U3088" s="1"/>
      <c r="V3088" s="1"/>
      <c r="W3088" s="1"/>
      <c r="X3088" s="1"/>
      <c r="Y3088" s="1"/>
      <c r="Z3088" s="1"/>
      <c r="AA3088" s="1"/>
      <c r="AB3088" s="1"/>
      <c r="AC3088" s="1"/>
      <c r="AD3088" s="1"/>
      <c r="AE3088" s="1"/>
      <c r="AF3088" s="1"/>
      <c r="AG3088" s="1"/>
      <c r="AH3088" s="1"/>
    </row>
    <row r="3089" ht="12.75" hidden="1" customHeight="1" outlineLevel="1">
      <c r="A3089" s="17">
        <v>41563.0</v>
      </c>
      <c r="B3089" s="1"/>
      <c r="C3089" s="1" t="s">
        <v>433</v>
      </c>
      <c r="D3089" s="74"/>
      <c r="E3089" s="67"/>
      <c r="F3089" s="75"/>
      <c r="G3089" s="67"/>
      <c r="H3089" s="68"/>
      <c r="I3089" s="76"/>
      <c r="J3089" s="67"/>
      <c r="K3089" s="7" t="s">
        <v>1103</v>
      </c>
      <c r="L3089" s="77"/>
      <c r="M3089" s="79"/>
      <c r="N3089" s="1"/>
      <c r="O3089" s="1"/>
      <c r="P3089" s="1"/>
      <c r="Q3089" s="1"/>
      <c r="R3089" s="1"/>
      <c r="S3089" s="1"/>
      <c r="T3089" s="1"/>
      <c r="U3089" s="1"/>
      <c r="V3089" s="1"/>
      <c r="W3089" s="1"/>
      <c r="X3089" s="1"/>
      <c r="Y3089" s="1"/>
      <c r="Z3089" s="1"/>
      <c r="AA3089" s="1"/>
      <c r="AB3089" s="1"/>
      <c r="AC3089" s="1"/>
      <c r="AD3089" s="1"/>
      <c r="AE3089" s="1"/>
      <c r="AF3089" s="1"/>
      <c r="AG3089" s="1"/>
      <c r="AH3089" s="1"/>
    </row>
    <row r="3090" ht="12.75" hidden="1" customHeight="1" outlineLevel="1">
      <c r="A3090" s="17">
        <v>41563.0</v>
      </c>
      <c r="B3090" s="1"/>
      <c r="C3090" s="1" t="s">
        <v>435</v>
      </c>
      <c r="D3090" s="74"/>
      <c r="E3090" s="67"/>
      <c r="F3090" s="75"/>
      <c r="G3090" s="67"/>
      <c r="H3090" s="68"/>
      <c r="I3090" s="76"/>
      <c r="J3090" s="67"/>
      <c r="K3090" s="7" t="s">
        <v>1104</v>
      </c>
      <c r="L3090" s="77"/>
      <c r="M3090" s="79"/>
      <c r="N3090" s="1"/>
      <c r="O3090" s="1"/>
      <c r="P3090" s="1"/>
      <c r="Q3090" s="1"/>
      <c r="R3090" s="1"/>
      <c r="S3090" s="1"/>
      <c r="T3090" s="1"/>
      <c r="U3090" s="1"/>
      <c r="V3090" s="1"/>
      <c r="W3090" s="1"/>
      <c r="X3090" s="1"/>
      <c r="Y3090" s="1"/>
      <c r="Z3090" s="1"/>
      <c r="AA3090" s="1"/>
      <c r="AB3090" s="1"/>
      <c r="AC3090" s="1"/>
      <c r="AD3090" s="1"/>
      <c r="AE3090" s="1"/>
      <c r="AF3090" s="1"/>
      <c r="AG3090" s="1"/>
      <c r="AH3090" s="1"/>
    </row>
    <row r="3091" ht="12.75" hidden="1" customHeight="1" outlineLevel="1">
      <c r="A3091" s="17">
        <v>41564.0</v>
      </c>
      <c r="B3091" s="1" t="s">
        <v>343</v>
      </c>
      <c r="C3091" s="1" t="s">
        <v>1049</v>
      </c>
      <c r="D3091" s="74">
        <v>10.0</v>
      </c>
      <c r="E3091" s="67">
        <v>520.015</v>
      </c>
      <c r="F3091" s="75">
        <v>0.5233564814814815</v>
      </c>
      <c r="G3091" s="67" t="s">
        <v>453</v>
      </c>
      <c r="H3091" s="68">
        <v>1.0</v>
      </c>
      <c r="I3091" s="76"/>
      <c r="J3091" s="67">
        <f>IF(B3091="SLD",D3091*E3091,-D3091*E3091)-H3091</f>
        <v>-5201.15</v>
      </c>
      <c r="K3091" s="7"/>
      <c r="L3091" s="70"/>
      <c r="M3091" s="79"/>
      <c r="N3091" s="1"/>
      <c r="O3091" s="1"/>
      <c r="P3091" s="1"/>
      <c r="Q3091" s="1"/>
      <c r="R3091" s="1"/>
      <c r="S3091" s="1"/>
      <c r="T3091" s="1"/>
      <c r="U3091" s="1"/>
      <c r="V3091" s="1"/>
      <c r="W3091" s="1"/>
      <c r="X3091" s="1"/>
      <c r="Y3091" s="1"/>
      <c r="Z3091" s="1"/>
      <c r="AA3091" s="1"/>
      <c r="AB3091" s="1"/>
      <c r="AC3091" s="1"/>
      <c r="AD3091" s="1"/>
      <c r="AE3091" s="1"/>
      <c r="AF3091" s="1"/>
      <c r="AG3091" s="1"/>
      <c r="AH3091" s="1"/>
    </row>
    <row r="3092" ht="12.75" hidden="1" customHeight="1" outlineLevel="1">
      <c r="A3092" s="17">
        <v>41564.0</v>
      </c>
      <c r="B3092" s="1"/>
      <c r="C3092" s="1" t="s">
        <v>339</v>
      </c>
      <c r="D3092" s="74"/>
      <c r="E3092" s="67"/>
      <c r="F3092" s="75"/>
      <c r="G3092" s="67"/>
      <c r="H3092" s="68"/>
      <c r="I3092" s="76"/>
      <c r="J3092" s="67"/>
      <c r="K3092" s="7" t="s">
        <v>1277</v>
      </c>
      <c r="L3092" s="77"/>
      <c r="M3092" s="79"/>
      <c r="N3092" s="1"/>
      <c r="O3092" s="1"/>
      <c r="P3092" s="1"/>
      <c r="Q3092" s="1"/>
      <c r="R3092" s="1"/>
      <c r="S3092" s="1"/>
      <c r="T3092" s="1"/>
      <c r="U3092" s="1"/>
      <c r="V3092" s="1"/>
      <c r="W3092" s="1"/>
      <c r="X3092" s="1"/>
      <c r="Y3092" s="1"/>
      <c r="Z3092" s="1"/>
      <c r="AA3092" s="1"/>
      <c r="AB3092" s="1"/>
      <c r="AC3092" s="1"/>
      <c r="AD3092" s="1"/>
      <c r="AE3092" s="1"/>
      <c r="AF3092" s="1"/>
      <c r="AG3092" s="1"/>
      <c r="AH3092" s="1"/>
    </row>
    <row r="3093" ht="12.75" hidden="1" customHeight="1" outlineLevel="1">
      <c r="A3093" s="17">
        <v>41564.0</v>
      </c>
      <c r="B3093" s="1"/>
      <c r="C3093" s="1" t="s">
        <v>429</v>
      </c>
      <c r="D3093" s="74"/>
      <c r="E3093" s="67"/>
      <c r="F3093" s="75"/>
      <c r="G3093" s="67"/>
      <c r="H3093" s="68"/>
      <c r="I3093" s="76"/>
      <c r="J3093" s="67"/>
      <c r="K3093" s="7" t="s">
        <v>1156</v>
      </c>
      <c r="L3093" s="77"/>
      <c r="M3093" s="79"/>
      <c r="N3093" s="1"/>
      <c r="O3093" s="1"/>
      <c r="P3093" s="1"/>
      <c r="Q3093" s="1"/>
      <c r="R3093" s="1"/>
      <c r="S3093" s="1"/>
      <c r="T3093" s="1"/>
      <c r="U3093" s="1"/>
      <c r="V3093" s="1"/>
      <c r="W3093" s="1"/>
      <c r="X3093" s="1"/>
      <c r="Y3093" s="1"/>
      <c r="Z3093" s="1"/>
      <c r="AA3093" s="1"/>
      <c r="AB3093" s="1"/>
      <c r="AC3093" s="1"/>
      <c r="AD3093" s="1"/>
      <c r="AE3093" s="1"/>
      <c r="AF3093" s="1"/>
      <c r="AG3093" s="1"/>
      <c r="AH3093" s="1"/>
    </row>
    <row r="3094" ht="12.75" hidden="1" customHeight="1" outlineLevel="1">
      <c r="A3094" s="17">
        <v>41564.0</v>
      </c>
      <c r="B3094" s="1"/>
      <c r="C3094" s="1" t="s">
        <v>431</v>
      </c>
      <c r="D3094" s="74"/>
      <c r="E3094" s="67"/>
      <c r="F3094" s="75"/>
      <c r="G3094" s="67"/>
      <c r="H3094" s="68"/>
      <c r="I3094" s="76"/>
      <c r="J3094" s="67"/>
      <c r="K3094" s="7" t="s">
        <v>1126</v>
      </c>
      <c r="L3094" s="77"/>
      <c r="M3094" s="79"/>
      <c r="N3094" s="1"/>
      <c r="O3094" s="1"/>
      <c r="P3094" s="1"/>
      <c r="Q3094" s="1"/>
      <c r="R3094" s="1"/>
      <c r="S3094" s="1"/>
      <c r="T3094" s="1"/>
      <c r="U3094" s="1"/>
      <c r="V3094" s="1"/>
      <c r="W3094" s="1"/>
      <c r="X3094" s="1"/>
      <c r="Y3094" s="1"/>
      <c r="Z3094" s="1"/>
      <c r="AA3094" s="1"/>
      <c r="AB3094" s="1"/>
      <c r="AC3094" s="1"/>
      <c r="AD3094" s="1"/>
      <c r="AE3094" s="1"/>
      <c r="AF3094" s="1"/>
      <c r="AG3094" s="1"/>
      <c r="AH3094" s="1"/>
    </row>
    <row r="3095" ht="12.75" hidden="1" customHeight="1" outlineLevel="1">
      <c r="A3095" s="17">
        <v>41564.0</v>
      </c>
      <c r="B3095" s="1"/>
      <c r="C3095" s="1" t="s">
        <v>433</v>
      </c>
      <c r="D3095" s="74"/>
      <c r="E3095" s="67"/>
      <c r="F3095" s="75"/>
      <c r="G3095" s="67"/>
      <c r="H3095" s="68"/>
      <c r="I3095" s="76"/>
      <c r="J3095" s="67"/>
      <c r="K3095" s="7" t="s">
        <v>1103</v>
      </c>
      <c r="L3095" s="77"/>
      <c r="M3095" s="79"/>
      <c r="N3095" s="1"/>
      <c r="O3095" s="1"/>
      <c r="P3095" s="1"/>
      <c r="Q3095" s="1"/>
      <c r="R3095" s="1"/>
      <c r="S3095" s="1"/>
      <c r="T3095" s="1"/>
      <c r="U3095" s="1"/>
      <c r="V3095" s="1"/>
      <c r="W3095" s="1"/>
      <c r="X3095" s="1"/>
      <c r="Y3095" s="1"/>
      <c r="Z3095" s="1"/>
      <c r="AA3095" s="1"/>
      <c r="AB3095" s="1"/>
      <c r="AC3095" s="1"/>
      <c r="AD3095" s="1"/>
      <c r="AE3095" s="1"/>
      <c r="AF3095" s="1"/>
      <c r="AG3095" s="1"/>
      <c r="AH3095" s="1"/>
    </row>
    <row r="3096" ht="12.75" hidden="1" customHeight="1" outlineLevel="1">
      <c r="A3096" s="17">
        <v>41564.0</v>
      </c>
      <c r="B3096" s="1"/>
      <c r="C3096" s="1" t="s">
        <v>435</v>
      </c>
      <c r="D3096" s="74"/>
      <c r="E3096" s="67"/>
      <c r="F3096" s="75"/>
      <c r="G3096" s="67"/>
      <c r="H3096" s="68"/>
      <c r="I3096" s="76"/>
      <c r="J3096" s="67"/>
      <c r="K3096" s="7" t="s">
        <v>1104</v>
      </c>
      <c r="L3096" s="77"/>
      <c r="M3096" s="79"/>
      <c r="N3096" s="1"/>
      <c r="O3096" s="1"/>
      <c r="P3096" s="1"/>
      <c r="Q3096" s="1"/>
      <c r="R3096" s="1"/>
      <c r="S3096" s="1"/>
      <c r="T3096" s="1"/>
      <c r="U3096" s="1"/>
      <c r="V3096" s="1"/>
      <c r="W3096" s="1"/>
      <c r="X3096" s="1"/>
      <c r="Y3096" s="1"/>
      <c r="Z3096" s="1"/>
      <c r="AA3096" s="1"/>
      <c r="AB3096" s="1"/>
      <c r="AC3096" s="1"/>
      <c r="AD3096" s="1"/>
      <c r="AE3096" s="1"/>
      <c r="AF3096" s="1"/>
      <c r="AG3096" s="1"/>
      <c r="AH3096" s="1"/>
    </row>
    <row r="3097" ht="12.75" hidden="1" customHeight="1" outlineLevel="1">
      <c r="A3097" s="17">
        <v>41565.0</v>
      </c>
      <c r="B3097" s="1" t="s">
        <v>343</v>
      </c>
      <c r="C3097" s="1" t="s">
        <v>1082</v>
      </c>
      <c r="D3097" s="74">
        <v>15.0</v>
      </c>
      <c r="E3097" s="67">
        <v>429.71</v>
      </c>
      <c r="F3097" s="75">
        <v>0.44873842592592594</v>
      </c>
      <c r="G3097" s="67" t="s">
        <v>453</v>
      </c>
      <c r="H3097" s="68">
        <v>1.0</v>
      </c>
      <c r="I3097" s="76"/>
      <c r="J3097" s="67">
        <f>IF(B3097="SLD",D3097*E3097,-D3097*E3097)-H3097</f>
        <v>-6446.65</v>
      </c>
      <c r="K3097" s="7"/>
      <c r="L3097" s="70"/>
      <c r="M3097" s="79"/>
      <c r="N3097" s="1"/>
      <c r="O3097" s="1"/>
      <c r="P3097" s="1"/>
      <c r="Q3097" s="1"/>
      <c r="R3097" s="1"/>
      <c r="S3097" s="1"/>
      <c r="T3097" s="1"/>
      <c r="U3097" s="1"/>
      <c r="V3097" s="1"/>
      <c r="W3097" s="1"/>
      <c r="X3097" s="1"/>
      <c r="Y3097" s="1"/>
      <c r="Z3097" s="1"/>
      <c r="AA3097" s="1"/>
      <c r="AB3097" s="1"/>
      <c r="AC3097" s="1"/>
      <c r="AD3097" s="1"/>
      <c r="AE3097" s="1"/>
      <c r="AF3097" s="1"/>
      <c r="AG3097" s="1"/>
      <c r="AH3097" s="1"/>
    </row>
    <row r="3098" ht="12.75" hidden="1" customHeight="1" outlineLevel="1">
      <c r="A3098" s="17">
        <v>41565.0</v>
      </c>
      <c r="B3098" s="1"/>
      <c r="C3098" s="1" t="s">
        <v>339</v>
      </c>
      <c r="D3098" s="74"/>
      <c r="E3098" s="67"/>
      <c r="F3098" s="75"/>
      <c r="G3098" s="67"/>
      <c r="H3098" s="68"/>
      <c r="I3098" s="76"/>
      <c r="J3098" s="67"/>
      <c r="K3098" s="7" t="s">
        <v>1278</v>
      </c>
      <c r="L3098" s="77"/>
      <c r="M3098" s="79"/>
      <c r="N3098" s="1"/>
      <c r="O3098" s="1"/>
      <c r="P3098" s="1"/>
      <c r="Q3098" s="1"/>
      <c r="R3098" s="1"/>
      <c r="S3098" s="1"/>
      <c r="T3098" s="1"/>
      <c r="U3098" s="1"/>
      <c r="V3098" s="1"/>
      <c r="W3098" s="1"/>
      <c r="X3098" s="1"/>
      <c r="Y3098" s="1"/>
      <c r="Z3098" s="1"/>
      <c r="AA3098" s="1"/>
      <c r="AB3098" s="1"/>
      <c r="AC3098" s="1"/>
      <c r="AD3098" s="1"/>
      <c r="AE3098" s="1"/>
      <c r="AF3098" s="1"/>
      <c r="AG3098" s="1"/>
      <c r="AH3098" s="1"/>
    </row>
    <row r="3099" ht="12.75" hidden="1" customHeight="1" outlineLevel="1">
      <c r="A3099" s="17">
        <v>41565.0</v>
      </c>
      <c r="B3099" s="1"/>
      <c r="C3099" s="1" t="s">
        <v>429</v>
      </c>
      <c r="D3099" s="74"/>
      <c r="E3099" s="67"/>
      <c r="F3099" s="75"/>
      <c r="G3099" s="67"/>
      <c r="H3099" s="68"/>
      <c r="I3099" s="76"/>
      <c r="J3099" s="67"/>
      <c r="K3099" s="7" t="s">
        <v>1156</v>
      </c>
      <c r="L3099" s="77"/>
      <c r="M3099" s="79"/>
      <c r="N3099" s="1"/>
      <c r="O3099" s="1"/>
      <c r="P3099" s="1"/>
      <c r="Q3099" s="1"/>
      <c r="R3099" s="1"/>
      <c r="S3099" s="1"/>
      <c r="T3099" s="1"/>
      <c r="U3099" s="1"/>
      <c r="V3099" s="1"/>
      <c r="W3099" s="1"/>
      <c r="X3099" s="1"/>
      <c r="Y3099" s="1"/>
      <c r="Z3099" s="1"/>
      <c r="AA3099" s="1"/>
      <c r="AB3099" s="1"/>
      <c r="AC3099" s="1"/>
      <c r="AD3099" s="1"/>
      <c r="AE3099" s="1"/>
      <c r="AF3099" s="1"/>
      <c r="AG3099" s="1"/>
      <c r="AH3099" s="1"/>
    </row>
    <row r="3100" ht="12.75" hidden="1" customHeight="1" outlineLevel="1">
      <c r="A3100" s="17">
        <v>41565.0</v>
      </c>
      <c r="B3100" s="1"/>
      <c r="C3100" s="1" t="s">
        <v>431</v>
      </c>
      <c r="D3100" s="74"/>
      <c r="E3100" s="67"/>
      <c r="F3100" s="75"/>
      <c r="G3100" s="67"/>
      <c r="H3100" s="68"/>
      <c r="I3100" s="76"/>
      <c r="J3100" s="67"/>
      <c r="K3100" s="7" t="s">
        <v>1126</v>
      </c>
      <c r="L3100" s="77"/>
      <c r="M3100" s="79"/>
      <c r="N3100" s="1"/>
      <c r="O3100" s="1"/>
      <c r="P3100" s="1"/>
      <c r="Q3100" s="1"/>
      <c r="R3100" s="1"/>
      <c r="S3100" s="1"/>
      <c r="T3100" s="1"/>
      <c r="U3100" s="1"/>
      <c r="V3100" s="1"/>
      <c r="W3100" s="1"/>
      <c r="X3100" s="1"/>
      <c r="Y3100" s="1"/>
      <c r="Z3100" s="1"/>
      <c r="AA3100" s="1"/>
      <c r="AB3100" s="1"/>
      <c r="AC3100" s="1"/>
      <c r="AD3100" s="1"/>
      <c r="AE3100" s="1"/>
      <c r="AF3100" s="1"/>
      <c r="AG3100" s="1"/>
      <c r="AH3100" s="1"/>
    </row>
    <row r="3101" ht="12.75" hidden="1" customHeight="1" outlineLevel="1">
      <c r="A3101" s="17">
        <v>41565.0</v>
      </c>
      <c r="B3101" s="1"/>
      <c r="C3101" s="1" t="s">
        <v>433</v>
      </c>
      <c r="D3101" s="74"/>
      <c r="E3101" s="67"/>
      <c r="F3101" s="75"/>
      <c r="G3101" s="67"/>
      <c r="H3101" s="68"/>
      <c r="I3101" s="76"/>
      <c r="J3101" s="67"/>
      <c r="K3101" s="7" t="s">
        <v>1103</v>
      </c>
      <c r="L3101" s="77"/>
      <c r="M3101" s="79"/>
      <c r="N3101" s="1"/>
      <c r="O3101" s="1"/>
      <c r="P3101" s="1"/>
      <c r="Q3101" s="1"/>
      <c r="R3101" s="1"/>
      <c r="S3101" s="1"/>
      <c r="T3101" s="1"/>
      <c r="U3101" s="1"/>
      <c r="V3101" s="1"/>
      <c r="W3101" s="1"/>
      <c r="X3101" s="1"/>
      <c r="Y3101" s="1"/>
      <c r="Z3101" s="1"/>
      <c r="AA3101" s="1"/>
      <c r="AB3101" s="1"/>
      <c r="AC3101" s="1"/>
      <c r="AD3101" s="1"/>
      <c r="AE3101" s="1"/>
      <c r="AF3101" s="1"/>
      <c r="AG3101" s="1"/>
      <c r="AH3101" s="1"/>
    </row>
    <row r="3102" ht="12.75" hidden="1" customHeight="1" outlineLevel="1">
      <c r="A3102" s="17">
        <v>41565.0</v>
      </c>
      <c r="B3102" s="1"/>
      <c r="C3102" s="1" t="s">
        <v>435</v>
      </c>
      <c r="D3102" s="74"/>
      <c r="E3102" s="67"/>
      <c r="F3102" s="75"/>
      <c r="G3102" s="67"/>
      <c r="H3102" s="68"/>
      <c r="I3102" s="76"/>
      <c r="J3102" s="67"/>
      <c r="K3102" s="7" t="s">
        <v>1104</v>
      </c>
      <c r="L3102" s="77"/>
      <c r="M3102" s="79"/>
      <c r="N3102" s="1"/>
      <c r="O3102" s="1"/>
      <c r="P3102" s="1"/>
      <c r="Q3102" s="1"/>
      <c r="R3102" s="1"/>
      <c r="S3102" s="1"/>
      <c r="T3102" s="1"/>
      <c r="U3102" s="1"/>
      <c r="V3102" s="1"/>
      <c r="W3102" s="1"/>
      <c r="X3102" s="1"/>
      <c r="Y3102" s="1"/>
      <c r="Z3102" s="1"/>
      <c r="AA3102" s="1"/>
      <c r="AB3102" s="1"/>
      <c r="AC3102" s="1"/>
      <c r="AD3102" s="1"/>
      <c r="AE3102" s="1"/>
      <c r="AF3102" s="1"/>
      <c r="AG3102" s="1"/>
      <c r="AH3102" s="1"/>
    </row>
    <row r="3103" ht="12.75" hidden="1" customHeight="1" outlineLevel="1">
      <c r="A3103" s="17">
        <v>41567.0</v>
      </c>
      <c r="B3103" s="1"/>
      <c r="C3103" s="1" t="s">
        <v>339</v>
      </c>
      <c r="D3103" s="74"/>
      <c r="E3103" s="67"/>
      <c r="F3103" s="75"/>
      <c r="G3103" s="67"/>
      <c r="H3103" s="68"/>
      <c r="I3103" s="76"/>
      <c r="J3103" s="67"/>
      <c r="K3103" s="7" t="s">
        <v>1280</v>
      </c>
      <c r="L3103" s="77"/>
      <c r="M3103" s="79"/>
      <c r="N3103" s="1"/>
      <c r="O3103" s="1"/>
      <c r="P3103" s="1"/>
      <c r="Q3103" s="1"/>
      <c r="R3103" s="1"/>
      <c r="S3103" s="1"/>
      <c r="T3103" s="1"/>
      <c r="U3103" s="1"/>
      <c r="V3103" s="1"/>
      <c r="W3103" s="1"/>
      <c r="X3103" s="1"/>
      <c r="Y3103" s="1"/>
      <c r="Z3103" s="1"/>
      <c r="AA3103" s="1"/>
      <c r="AB3103" s="1"/>
      <c r="AC3103" s="1"/>
      <c r="AD3103" s="1"/>
      <c r="AE3103" s="1"/>
      <c r="AF3103" s="1"/>
      <c r="AG3103" s="1"/>
      <c r="AH3103" s="1"/>
    </row>
    <row r="3104" ht="12.75" hidden="1" customHeight="1" outlineLevel="1">
      <c r="A3104" s="17">
        <v>41567.0</v>
      </c>
      <c r="B3104" s="1"/>
      <c r="C3104" s="1" t="s">
        <v>429</v>
      </c>
      <c r="D3104" s="74"/>
      <c r="E3104" s="67"/>
      <c r="F3104" s="75"/>
      <c r="G3104" s="67"/>
      <c r="H3104" s="68"/>
      <c r="I3104" s="76"/>
      <c r="J3104" s="67"/>
      <c r="K3104" s="7" t="s">
        <v>1156</v>
      </c>
      <c r="L3104" s="77"/>
      <c r="M3104" s="79"/>
      <c r="N3104" s="1"/>
      <c r="O3104" s="1"/>
      <c r="P3104" s="1"/>
      <c r="Q3104" s="1"/>
      <c r="R3104" s="1"/>
      <c r="S3104" s="1"/>
      <c r="T3104" s="1"/>
      <c r="U3104" s="1"/>
      <c r="V3104" s="1"/>
      <c r="W3104" s="1"/>
      <c r="X3104" s="1"/>
      <c r="Y3104" s="1"/>
      <c r="Z3104" s="1"/>
      <c r="AA3104" s="1"/>
      <c r="AB3104" s="1"/>
      <c r="AC3104" s="1"/>
      <c r="AD3104" s="1"/>
      <c r="AE3104" s="1"/>
      <c r="AF3104" s="1"/>
      <c r="AG3104" s="1"/>
      <c r="AH3104" s="1"/>
    </row>
    <row r="3105" ht="12.75" hidden="1" customHeight="1" outlineLevel="1">
      <c r="A3105" s="17">
        <v>41567.0</v>
      </c>
      <c r="B3105" s="1"/>
      <c r="C3105" s="1" t="s">
        <v>431</v>
      </c>
      <c r="D3105" s="74"/>
      <c r="E3105" s="67"/>
      <c r="F3105" s="75"/>
      <c r="G3105" s="67"/>
      <c r="H3105" s="68"/>
      <c r="I3105" s="76"/>
      <c r="J3105" s="67"/>
      <c r="K3105" s="7" t="s">
        <v>1126</v>
      </c>
      <c r="L3105" s="77"/>
      <c r="M3105" s="79"/>
      <c r="N3105" s="1"/>
      <c r="O3105" s="1"/>
      <c r="P3105" s="1"/>
      <c r="Q3105" s="1"/>
      <c r="R3105" s="1"/>
      <c r="S3105" s="1"/>
      <c r="T3105" s="1"/>
      <c r="U3105" s="1"/>
      <c r="V3105" s="1"/>
      <c r="W3105" s="1"/>
      <c r="X3105" s="1"/>
      <c r="Y3105" s="1"/>
      <c r="Z3105" s="1"/>
      <c r="AA3105" s="1"/>
      <c r="AB3105" s="1"/>
      <c r="AC3105" s="1"/>
      <c r="AD3105" s="1"/>
      <c r="AE3105" s="1"/>
      <c r="AF3105" s="1"/>
      <c r="AG3105" s="1"/>
      <c r="AH3105" s="1"/>
    </row>
    <row r="3106" ht="12.75" hidden="1" customHeight="1" outlineLevel="1">
      <c r="A3106" s="17">
        <v>41567.0</v>
      </c>
      <c r="B3106" s="1"/>
      <c r="C3106" s="1" t="s">
        <v>433</v>
      </c>
      <c r="D3106" s="74"/>
      <c r="E3106" s="67"/>
      <c r="F3106" s="75"/>
      <c r="G3106" s="67"/>
      <c r="H3106" s="68"/>
      <c r="I3106" s="76"/>
      <c r="J3106" s="67"/>
      <c r="K3106" s="7" t="s">
        <v>1103</v>
      </c>
      <c r="L3106" s="77"/>
      <c r="M3106" s="79"/>
      <c r="N3106" s="1"/>
      <c r="O3106" s="1"/>
      <c r="P3106" s="1"/>
      <c r="Q3106" s="1"/>
      <c r="R3106" s="1"/>
      <c r="S3106" s="1"/>
      <c r="T3106" s="1"/>
      <c r="U3106" s="1"/>
      <c r="V3106" s="1"/>
      <c r="W3106" s="1"/>
      <c r="X3106" s="1"/>
      <c r="Y3106" s="1"/>
      <c r="Z3106" s="1"/>
      <c r="AA3106" s="1"/>
      <c r="AB3106" s="1"/>
      <c r="AC3106" s="1"/>
      <c r="AD3106" s="1"/>
      <c r="AE3106" s="1"/>
      <c r="AF3106" s="1"/>
      <c r="AG3106" s="1"/>
      <c r="AH3106" s="1"/>
    </row>
    <row r="3107" ht="12.75" hidden="1" customHeight="1" outlineLevel="1">
      <c r="A3107" s="17">
        <v>41567.0</v>
      </c>
      <c r="B3107" s="1"/>
      <c r="C3107" s="1" t="s">
        <v>435</v>
      </c>
      <c r="D3107" s="74"/>
      <c r="E3107" s="67"/>
      <c r="F3107" s="75"/>
      <c r="G3107" s="67"/>
      <c r="H3107" s="68"/>
      <c r="I3107" s="76"/>
      <c r="J3107" s="67"/>
      <c r="K3107" s="7" t="s">
        <v>1104</v>
      </c>
      <c r="L3107" s="77"/>
      <c r="M3107" s="79"/>
      <c r="N3107" s="1"/>
      <c r="O3107" s="1"/>
      <c r="P3107" s="1"/>
      <c r="Q3107" s="1"/>
      <c r="R3107" s="1"/>
      <c r="S3107" s="1"/>
      <c r="T3107" s="1"/>
      <c r="U3107" s="1"/>
      <c r="V3107" s="1"/>
      <c r="W3107" s="1"/>
      <c r="X3107" s="1"/>
      <c r="Y3107" s="1"/>
      <c r="Z3107" s="1"/>
      <c r="AA3107" s="1"/>
      <c r="AB3107" s="1"/>
      <c r="AC3107" s="1"/>
      <c r="AD3107" s="1"/>
      <c r="AE3107" s="1"/>
      <c r="AF3107" s="1"/>
      <c r="AG3107" s="1"/>
      <c r="AH3107" s="1"/>
    </row>
    <row r="3108" ht="12.75" hidden="1" customHeight="1" outlineLevel="1">
      <c r="A3108" s="17">
        <v>41568.0</v>
      </c>
      <c r="B3108" s="1"/>
      <c r="C3108" s="1" t="s">
        <v>339</v>
      </c>
      <c r="D3108" s="74"/>
      <c r="E3108" s="67"/>
      <c r="F3108" s="75"/>
      <c r="G3108" s="67"/>
      <c r="H3108" s="68"/>
      <c r="I3108" s="76"/>
      <c r="J3108" s="67"/>
      <c r="K3108" s="7" t="s">
        <v>1281</v>
      </c>
      <c r="L3108" s="77"/>
      <c r="M3108" s="79"/>
      <c r="N3108" s="1"/>
      <c r="O3108" s="1"/>
      <c r="P3108" s="1"/>
      <c r="Q3108" s="1"/>
      <c r="R3108" s="1"/>
      <c r="S3108" s="1"/>
      <c r="T3108" s="1"/>
      <c r="U3108" s="1"/>
      <c r="V3108" s="1"/>
      <c r="W3108" s="1"/>
      <c r="X3108" s="1"/>
      <c r="Y3108" s="1"/>
      <c r="Z3108" s="1"/>
      <c r="AA3108" s="1"/>
      <c r="AB3108" s="1"/>
      <c r="AC3108" s="1"/>
      <c r="AD3108" s="1"/>
      <c r="AE3108" s="1"/>
      <c r="AF3108" s="1"/>
      <c r="AG3108" s="1"/>
      <c r="AH3108" s="1"/>
    </row>
    <row r="3109" ht="12.75" hidden="1" customHeight="1" outlineLevel="1">
      <c r="A3109" s="17">
        <v>41568.0</v>
      </c>
      <c r="B3109" s="1"/>
      <c r="C3109" s="1" t="s">
        <v>429</v>
      </c>
      <c r="D3109" s="74"/>
      <c r="E3109" s="67"/>
      <c r="F3109" s="75"/>
      <c r="G3109" s="67"/>
      <c r="H3109" s="68"/>
      <c r="I3109" s="76"/>
      <c r="J3109" s="67"/>
      <c r="K3109" s="7" t="s">
        <v>1156</v>
      </c>
      <c r="L3109" s="77"/>
      <c r="M3109" s="79"/>
      <c r="N3109" s="1"/>
      <c r="O3109" s="1"/>
      <c r="P3109" s="1"/>
      <c r="Q3109" s="1"/>
      <c r="R3109" s="1"/>
      <c r="S3109" s="1"/>
      <c r="T3109" s="1"/>
      <c r="U3109" s="1"/>
      <c r="V3109" s="1"/>
      <c r="W3109" s="1"/>
      <c r="X3109" s="1"/>
      <c r="Y3109" s="1"/>
      <c r="Z3109" s="1"/>
      <c r="AA3109" s="1"/>
      <c r="AB3109" s="1"/>
      <c r="AC3109" s="1"/>
      <c r="AD3109" s="1"/>
      <c r="AE3109" s="1"/>
      <c r="AF3109" s="1"/>
      <c r="AG3109" s="1"/>
      <c r="AH3109" s="1"/>
    </row>
    <row r="3110" ht="12.75" hidden="1" customHeight="1" outlineLevel="1">
      <c r="A3110" s="17">
        <v>41568.0</v>
      </c>
      <c r="B3110" s="1"/>
      <c r="C3110" s="1" t="s">
        <v>431</v>
      </c>
      <c r="D3110" s="74"/>
      <c r="E3110" s="67"/>
      <c r="F3110" s="75"/>
      <c r="G3110" s="67"/>
      <c r="H3110" s="68"/>
      <c r="I3110" s="76"/>
      <c r="J3110" s="67"/>
      <c r="K3110" s="7" t="s">
        <v>1126</v>
      </c>
      <c r="L3110" s="77"/>
      <c r="M3110" s="79"/>
      <c r="N3110" s="1"/>
      <c r="O3110" s="1"/>
      <c r="P3110" s="1"/>
      <c r="Q3110" s="1"/>
      <c r="R3110" s="1"/>
      <c r="S3110" s="1"/>
      <c r="T3110" s="1"/>
      <c r="U3110" s="1"/>
      <c r="V3110" s="1"/>
      <c r="W3110" s="1"/>
      <c r="X3110" s="1"/>
      <c r="Y3110" s="1"/>
      <c r="Z3110" s="1"/>
      <c r="AA3110" s="1"/>
      <c r="AB3110" s="1"/>
      <c r="AC3110" s="1"/>
      <c r="AD3110" s="1"/>
      <c r="AE3110" s="1"/>
      <c r="AF3110" s="1"/>
      <c r="AG3110" s="1"/>
      <c r="AH3110" s="1"/>
    </row>
    <row r="3111" ht="12.75" hidden="1" customHeight="1" outlineLevel="1">
      <c r="A3111" s="17">
        <v>41568.0</v>
      </c>
      <c r="B3111" s="1"/>
      <c r="C3111" s="1" t="s">
        <v>433</v>
      </c>
      <c r="D3111" s="74"/>
      <c r="E3111" s="67"/>
      <c r="F3111" s="75"/>
      <c r="G3111" s="67"/>
      <c r="H3111" s="68"/>
      <c r="I3111" s="76"/>
      <c r="J3111" s="67"/>
      <c r="K3111" s="7" t="s">
        <v>1103</v>
      </c>
      <c r="L3111" s="77"/>
      <c r="M3111" s="79"/>
      <c r="N3111" s="1"/>
      <c r="O3111" s="1"/>
      <c r="P3111" s="1"/>
      <c r="Q3111" s="1"/>
      <c r="R3111" s="1"/>
      <c r="S3111" s="1"/>
      <c r="T3111" s="1"/>
      <c r="U3111" s="1"/>
      <c r="V3111" s="1"/>
      <c r="W3111" s="1"/>
      <c r="X3111" s="1"/>
      <c r="Y3111" s="1"/>
      <c r="Z3111" s="1"/>
      <c r="AA3111" s="1"/>
      <c r="AB3111" s="1"/>
      <c r="AC3111" s="1"/>
      <c r="AD3111" s="1"/>
      <c r="AE3111" s="1"/>
      <c r="AF3111" s="1"/>
      <c r="AG3111" s="1"/>
      <c r="AH3111" s="1"/>
    </row>
    <row r="3112" ht="12.75" hidden="1" customHeight="1" outlineLevel="1">
      <c r="A3112" s="17">
        <v>41568.0</v>
      </c>
      <c r="B3112" s="1"/>
      <c r="C3112" s="1" t="s">
        <v>435</v>
      </c>
      <c r="D3112" s="74"/>
      <c r="E3112" s="67"/>
      <c r="F3112" s="75"/>
      <c r="G3112" s="67"/>
      <c r="H3112" s="68"/>
      <c r="I3112" s="76"/>
      <c r="J3112" s="67"/>
      <c r="K3112" s="7" t="s">
        <v>1104</v>
      </c>
      <c r="L3112" s="77"/>
      <c r="M3112" s="79"/>
      <c r="N3112" s="1"/>
      <c r="O3112" s="1"/>
      <c r="P3112" s="1"/>
      <c r="Q3112" s="1"/>
      <c r="R3112" s="1"/>
      <c r="S3112" s="1"/>
      <c r="T3112" s="1"/>
      <c r="U3112" s="1"/>
      <c r="V3112" s="1"/>
      <c r="W3112" s="1"/>
      <c r="X3112" s="1"/>
      <c r="Y3112" s="1"/>
      <c r="Z3112" s="1"/>
      <c r="AA3112" s="1"/>
      <c r="AB3112" s="1"/>
      <c r="AC3112" s="1"/>
      <c r="AD3112" s="1"/>
      <c r="AE3112" s="1"/>
      <c r="AF3112" s="1"/>
      <c r="AG3112" s="1"/>
      <c r="AH3112" s="1"/>
    </row>
    <row r="3113" ht="12.75" hidden="1" customHeight="1" outlineLevel="1">
      <c r="A3113" s="17">
        <v>41569.0</v>
      </c>
      <c r="B3113" s="1"/>
      <c r="C3113" s="1" t="s">
        <v>339</v>
      </c>
      <c r="D3113" s="74"/>
      <c r="E3113" s="67"/>
      <c r="F3113" s="75"/>
      <c r="G3113" s="67"/>
      <c r="H3113" s="68"/>
      <c r="I3113" s="76"/>
      <c r="J3113" s="67"/>
      <c r="K3113" s="7" t="s">
        <v>1282</v>
      </c>
      <c r="L3113" s="77"/>
      <c r="M3113" s="79"/>
      <c r="N3113" s="1"/>
      <c r="O3113" s="1"/>
      <c r="P3113" s="1"/>
      <c r="Q3113" s="1"/>
      <c r="R3113" s="1"/>
      <c r="S3113" s="1"/>
      <c r="T3113" s="1"/>
      <c r="U3113" s="1"/>
      <c r="V3113" s="1"/>
      <c r="W3113" s="1"/>
      <c r="X3113" s="1"/>
      <c r="Y3113" s="1"/>
      <c r="Z3113" s="1"/>
      <c r="AA3113" s="1"/>
      <c r="AB3113" s="1"/>
      <c r="AC3113" s="1"/>
      <c r="AD3113" s="1"/>
      <c r="AE3113" s="1"/>
      <c r="AF3113" s="1"/>
      <c r="AG3113" s="1"/>
      <c r="AH3113" s="1"/>
    </row>
    <row r="3114" ht="12.75" hidden="1" customHeight="1" outlineLevel="1">
      <c r="A3114" s="17">
        <v>41569.0</v>
      </c>
      <c r="B3114" s="1"/>
      <c r="C3114" s="1" t="s">
        <v>429</v>
      </c>
      <c r="D3114" s="74"/>
      <c r="E3114" s="67"/>
      <c r="F3114" s="75"/>
      <c r="G3114" s="67"/>
      <c r="H3114" s="68"/>
      <c r="I3114" s="76"/>
      <c r="J3114" s="67"/>
      <c r="K3114" s="7" t="s">
        <v>1156</v>
      </c>
      <c r="L3114" s="77"/>
      <c r="M3114" s="79"/>
      <c r="N3114" s="1"/>
      <c r="O3114" s="1"/>
      <c r="P3114" s="1"/>
      <c r="Q3114" s="1"/>
      <c r="R3114" s="1"/>
      <c r="S3114" s="1"/>
      <c r="T3114" s="1"/>
      <c r="U3114" s="1"/>
      <c r="V3114" s="1"/>
      <c r="W3114" s="1"/>
      <c r="X3114" s="1"/>
      <c r="Y3114" s="1"/>
      <c r="Z3114" s="1"/>
      <c r="AA3114" s="1"/>
      <c r="AB3114" s="1"/>
      <c r="AC3114" s="1"/>
      <c r="AD3114" s="1"/>
      <c r="AE3114" s="1"/>
      <c r="AF3114" s="1"/>
      <c r="AG3114" s="1"/>
      <c r="AH3114" s="1"/>
    </row>
    <row r="3115" ht="12.75" hidden="1" customHeight="1" outlineLevel="1">
      <c r="A3115" s="17">
        <v>41569.0</v>
      </c>
      <c r="B3115" s="1"/>
      <c r="C3115" s="1" t="s">
        <v>431</v>
      </c>
      <c r="D3115" s="74"/>
      <c r="E3115" s="67"/>
      <c r="F3115" s="75"/>
      <c r="G3115" s="67"/>
      <c r="H3115" s="68"/>
      <c r="I3115" s="76"/>
      <c r="J3115" s="67"/>
      <c r="K3115" s="7" t="s">
        <v>1126</v>
      </c>
      <c r="L3115" s="77"/>
      <c r="M3115" s="79"/>
      <c r="N3115" s="1"/>
      <c r="O3115" s="1"/>
      <c r="P3115" s="1"/>
      <c r="Q3115" s="1"/>
      <c r="R3115" s="1"/>
      <c r="S3115" s="1"/>
      <c r="T3115" s="1"/>
      <c r="U3115" s="1"/>
      <c r="V3115" s="1"/>
      <c r="W3115" s="1"/>
      <c r="X3115" s="1"/>
      <c r="Y3115" s="1"/>
      <c r="Z3115" s="1"/>
      <c r="AA3115" s="1"/>
      <c r="AB3115" s="1"/>
      <c r="AC3115" s="1"/>
      <c r="AD3115" s="1"/>
      <c r="AE3115" s="1"/>
      <c r="AF3115" s="1"/>
      <c r="AG3115" s="1"/>
      <c r="AH3115" s="1"/>
    </row>
    <row r="3116" ht="12.75" hidden="1" customHeight="1" outlineLevel="1">
      <c r="A3116" s="17">
        <v>41569.0</v>
      </c>
      <c r="B3116" s="1"/>
      <c r="C3116" s="1" t="s">
        <v>433</v>
      </c>
      <c r="D3116" s="74"/>
      <c r="E3116" s="67"/>
      <c r="F3116" s="75"/>
      <c r="G3116" s="67"/>
      <c r="H3116" s="68"/>
      <c r="I3116" s="76"/>
      <c r="J3116" s="67"/>
      <c r="K3116" s="7" t="s">
        <v>1103</v>
      </c>
      <c r="L3116" s="77"/>
      <c r="M3116" s="79"/>
      <c r="N3116" s="1"/>
      <c r="O3116" s="1"/>
      <c r="P3116" s="1"/>
      <c r="Q3116" s="1"/>
      <c r="R3116" s="1"/>
      <c r="S3116" s="1"/>
      <c r="T3116" s="1"/>
      <c r="U3116" s="1"/>
      <c r="V3116" s="1"/>
      <c r="W3116" s="1"/>
      <c r="X3116" s="1"/>
      <c r="Y3116" s="1"/>
      <c r="Z3116" s="1"/>
      <c r="AA3116" s="1"/>
      <c r="AB3116" s="1"/>
      <c r="AC3116" s="1"/>
      <c r="AD3116" s="1"/>
      <c r="AE3116" s="1"/>
      <c r="AF3116" s="1"/>
      <c r="AG3116" s="1"/>
      <c r="AH3116" s="1"/>
    </row>
    <row r="3117" ht="12.75" hidden="1" customHeight="1" outlineLevel="1">
      <c r="A3117" s="17">
        <v>41569.0</v>
      </c>
      <c r="B3117" s="1"/>
      <c r="C3117" s="1" t="s">
        <v>435</v>
      </c>
      <c r="D3117" s="74"/>
      <c r="E3117" s="67"/>
      <c r="F3117" s="75"/>
      <c r="G3117" s="67"/>
      <c r="H3117" s="68"/>
      <c r="I3117" s="76"/>
      <c r="J3117" s="67"/>
      <c r="K3117" s="7" t="s">
        <v>1104</v>
      </c>
      <c r="L3117" s="77"/>
      <c r="M3117" s="79"/>
      <c r="N3117" s="1"/>
      <c r="O3117" s="1"/>
      <c r="P3117" s="1"/>
      <c r="Q3117" s="1"/>
      <c r="R3117" s="1"/>
      <c r="S3117" s="1"/>
      <c r="T3117" s="1"/>
      <c r="U3117" s="1"/>
      <c r="V3117" s="1"/>
      <c r="W3117" s="1"/>
      <c r="X3117" s="1"/>
      <c r="Y3117" s="1"/>
      <c r="Z3117" s="1"/>
      <c r="AA3117" s="1"/>
      <c r="AB3117" s="1"/>
      <c r="AC3117" s="1"/>
      <c r="AD3117" s="1"/>
      <c r="AE3117" s="1"/>
      <c r="AF3117" s="1"/>
      <c r="AG3117" s="1"/>
      <c r="AH3117" s="1"/>
    </row>
    <row r="3118" ht="12.75" hidden="1" customHeight="1" outlineLevel="1">
      <c r="A3118" s="17">
        <v>41570.0</v>
      </c>
      <c r="B3118" s="1"/>
      <c r="C3118" s="1" t="s">
        <v>339</v>
      </c>
      <c r="D3118" s="74"/>
      <c r="E3118" s="67"/>
      <c r="F3118" s="75"/>
      <c r="G3118" s="67"/>
      <c r="H3118" s="68"/>
      <c r="I3118" s="76"/>
      <c r="J3118" s="67"/>
      <c r="K3118" s="7" t="s">
        <v>1283</v>
      </c>
      <c r="L3118" s="77"/>
      <c r="M3118" s="79"/>
      <c r="N3118" s="1"/>
      <c r="O3118" s="1"/>
      <c r="P3118" s="1"/>
      <c r="Q3118" s="1"/>
      <c r="R3118" s="1"/>
      <c r="S3118" s="1"/>
      <c r="T3118" s="1"/>
      <c r="U3118" s="1"/>
      <c r="V3118" s="1"/>
      <c r="W3118" s="1"/>
      <c r="X3118" s="1"/>
      <c r="Y3118" s="1"/>
      <c r="Z3118" s="1"/>
      <c r="AA3118" s="1"/>
      <c r="AB3118" s="1"/>
      <c r="AC3118" s="1"/>
      <c r="AD3118" s="1"/>
      <c r="AE3118" s="1"/>
      <c r="AF3118" s="1"/>
      <c r="AG3118" s="1"/>
      <c r="AH3118" s="1"/>
    </row>
    <row r="3119" ht="12.75" hidden="1" customHeight="1" outlineLevel="1">
      <c r="A3119" s="17">
        <v>41570.0</v>
      </c>
      <c r="B3119" s="1"/>
      <c r="C3119" s="1" t="s">
        <v>429</v>
      </c>
      <c r="D3119" s="74"/>
      <c r="E3119" s="67"/>
      <c r="F3119" s="75"/>
      <c r="G3119" s="67"/>
      <c r="H3119" s="68"/>
      <c r="I3119" s="76"/>
      <c r="J3119" s="67"/>
      <c r="K3119" s="7" t="s">
        <v>1156</v>
      </c>
      <c r="L3119" s="77"/>
      <c r="M3119" s="79"/>
      <c r="N3119" s="1"/>
      <c r="O3119" s="1"/>
      <c r="P3119" s="1"/>
      <c r="Q3119" s="1"/>
      <c r="R3119" s="1"/>
      <c r="S3119" s="1"/>
      <c r="T3119" s="1"/>
      <c r="U3119" s="1"/>
      <c r="V3119" s="1"/>
      <c r="W3119" s="1"/>
      <c r="X3119" s="1"/>
      <c r="Y3119" s="1"/>
      <c r="Z3119" s="1"/>
      <c r="AA3119" s="1"/>
      <c r="AB3119" s="1"/>
      <c r="AC3119" s="1"/>
      <c r="AD3119" s="1"/>
      <c r="AE3119" s="1"/>
      <c r="AF3119" s="1"/>
      <c r="AG3119" s="1"/>
      <c r="AH3119" s="1"/>
    </row>
    <row r="3120" ht="12.75" hidden="1" customHeight="1" outlineLevel="1">
      <c r="A3120" s="17">
        <v>41570.0</v>
      </c>
      <c r="B3120" s="1"/>
      <c r="C3120" s="1" t="s">
        <v>431</v>
      </c>
      <c r="D3120" s="74"/>
      <c r="E3120" s="67"/>
      <c r="F3120" s="75"/>
      <c r="G3120" s="67"/>
      <c r="H3120" s="68"/>
      <c r="I3120" s="76"/>
      <c r="J3120" s="67"/>
      <c r="K3120" s="7" t="s">
        <v>1126</v>
      </c>
      <c r="L3120" s="77"/>
      <c r="M3120" s="79"/>
      <c r="N3120" s="1"/>
      <c r="O3120" s="1"/>
      <c r="P3120" s="1"/>
      <c r="Q3120" s="1"/>
      <c r="R3120" s="1"/>
      <c r="S3120" s="1"/>
      <c r="T3120" s="1"/>
      <c r="U3120" s="1"/>
      <c r="V3120" s="1"/>
      <c r="W3120" s="1"/>
      <c r="X3120" s="1"/>
      <c r="Y3120" s="1"/>
      <c r="Z3120" s="1"/>
      <c r="AA3120" s="1"/>
      <c r="AB3120" s="1"/>
      <c r="AC3120" s="1"/>
      <c r="AD3120" s="1"/>
      <c r="AE3120" s="1"/>
      <c r="AF3120" s="1"/>
      <c r="AG3120" s="1"/>
      <c r="AH3120" s="1"/>
    </row>
    <row r="3121" ht="12.75" hidden="1" customHeight="1" outlineLevel="1">
      <c r="A3121" s="17">
        <v>41570.0</v>
      </c>
      <c r="B3121" s="1"/>
      <c r="C3121" s="1" t="s">
        <v>433</v>
      </c>
      <c r="D3121" s="74"/>
      <c r="E3121" s="67"/>
      <c r="F3121" s="75"/>
      <c r="G3121" s="67"/>
      <c r="H3121" s="68"/>
      <c r="I3121" s="76"/>
      <c r="J3121" s="67"/>
      <c r="K3121" s="7" t="s">
        <v>1103</v>
      </c>
      <c r="L3121" s="77"/>
      <c r="M3121" s="79"/>
      <c r="N3121" s="1"/>
      <c r="O3121" s="1"/>
      <c r="P3121" s="1"/>
      <c r="Q3121" s="1"/>
      <c r="R3121" s="1"/>
      <c r="S3121" s="1"/>
      <c r="T3121" s="1"/>
      <c r="U3121" s="1"/>
      <c r="V3121" s="1"/>
      <c r="W3121" s="1"/>
      <c r="X3121" s="1"/>
      <c r="Y3121" s="1"/>
      <c r="Z3121" s="1"/>
      <c r="AA3121" s="1"/>
      <c r="AB3121" s="1"/>
      <c r="AC3121" s="1"/>
      <c r="AD3121" s="1"/>
      <c r="AE3121" s="1"/>
      <c r="AF3121" s="1"/>
      <c r="AG3121" s="1"/>
      <c r="AH3121" s="1"/>
    </row>
    <row r="3122" ht="12.75" hidden="1" customHeight="1" outlineLevel="1">
      <c r="A3122" s="17">
        <v>41570.0</v>
      </c>
      <c r="B3122" s="1"/>
      <c r="C3122" s="1" t="s">
        <v>435</v>
      </c>
      <c r="D3122" s="74"/>
      <c r="E3122" s="67"/>
      <c r="F3122" s="75"/>
      <c r="G3122" s="67"/>
      <c r="H3122" s="68"/>
      <c r="I3122" s="76"/>
      <c r="J3122" s="67"/>
      <c r="K3122" s="7" t="s">
        <v>1104</v>
      </c>
      <c r="L3122" s="77"/>
      <c r="M3122" s="79"/>
      <c r="N3122" s="1"/>
      <c r="O3122" s="1"/>
      <c r="P3122" s="1"/>
      <c r="Q3122" s="1"/>
      <c r="R3122" s="1"/>
      <c r="S3122" s="1"/>
      <c r="T3122" s="1"/>
      <c r="U3122" s="1"/>
      <c r="V3122" s="1"/>
      <c r="W3122" s="1"/>
      <c r="X3122" s="1"/>
      <c r="Y3122" s="1"/>
      <c r="Z3122" s="1"/>
      <c r="AA3122" s="1"/>
      <c r="AB3122" s="1"/>
      <c r="AC3122" s="1"/>
      <c r="AD3122" s="1"/>
      <c r="AE3122" s="1"/>
      <c r="AF3122" s="1"/>
      <c r="AG3122" s="1"/>
      <c r="AH3122" s="1"/>
    </row>
    <row r="3123" ht="12.75" hidden="1" customHeight="1" outlineLevel="1">
      <c r="A3123" s="17">
        <v>41570.0</v>
      </c>
      <c r="B3123" s="1" t="s">
        <v>347</v>
      </c>
      <c r="C3123" s="1" t="s">
        <v>784</v>
      </c>
      <c r="D3123" s="74">
        <v>1800.0</v>
      </c>
      <c r="E3123" s="67">
        <v>16.12</v>
      </c>
      <c r="F3123" s="75">
        <v>0.591875</v>
      </c>
      <c r="G3123" s="67" t="s">
        <v>453</v>
      </c>
      <c r="H3123" s="68">
        <v>9.2</v>
      </c>
      <c r="I3123" s="76"/>
      <c r="J3123" s="67">
        <f t="shared" ref="J3123:J3125" si="214">IF(B3123="SLD",D3123*E3123,-D3123*E3123)-H3123</f>
        <v>29006.8</v>
      </c>
      <c r="K3123" s="7"/>
      <c r="L3123" s="70"/>
      <c r="M3123" s="79"/>
      <c r="N3123" s="1"/>
      <c r="O3123" s="1"/>
      <c r="P3123" s="1"/>
      <c r="Q3123" s="1"/>
      <c r="R3123" s="1"/>
      <c r="S3123" s="1"/>
      <c r="T3123" s="1"/>
      <c r="U3123" s="1"/>
      <c r="V3123" s="1"/>
      <c r="W3123" s="1"/>
      <c r="X3123" s="1"/>
      <c r="Y3123" s="1"/>
      <c r="Z3123" s="1"/>
      <c r="AA3123" s="1"/>
      <c r="AB3123" s="1"/>
      <c r="AC3123" s="1"/>
      <c r="AD3123" s="1"/>
      <c r="AE3123" s="1"/>
      <c r="AF3123" s="1"/>
      <c r="AG3123" s="1"/>
      <c r="AH3123" s="1"/>
    </row>
    <row r="3124" ht="12.75" hidden="1" customHeight="1" outlineLevel="1">
      <c r="A3124" s="17">
        <v>41570.0</v>
      </c>
      <c r="B3124" s="1" t="s">
        <v>347</v>
      </c>
      <c r="C3124" s="1" t="s">
        <v>1044</v>
      </c>
      <c r="D3124" s="74">
        <v>1000.0</v>
      </c>
      <c r="E3124" s="67">
        <v>25.31</v>
      </c>
      <c r="F3124" s="75">
        <v>0.5928125</v>
      </c>
      <c r="G3124" s="67" t="s">
        <v>453</v>
      </c>
      <c r="H3124" s="68">
        <v>4.78</v>
      </c>
      <c r="I3124" s="76"/>
      <c r="J3124" s="67">
        <f t="shared" si="214"/>
        <v>25305.22</v>
      </c>
      <c r="K3124" s="7"/>
      <c r="L3124" s="70"/>
      <c r="M3124" s="79"/>
      <c r="N3124" s="1"/>
      <c r="O3124" s="1"/>
      <c r="P3124" s="1"/>
      <c r="Q3124" s="1"/>
      <c r="R3124" s="1"/>
      <c r="S3124" s="1"/>
      <c r="T3124" s="1"/>
      <c r="U3124" s="1"/>
      <c r="V3124" s="1"/>
      <c r="W3124" s="1"/>
      <c r="X3124" s="1"/>
      <c r="Y3124" s="1"/>
      <c r="Z3124" s="1"/>
      <c r="AA3124" s="1"/>
      <c r="AB3124" s="1"/>
      <c r="AC3124" s="1"/>
      <c r="AD3124" s="1"/>
      <c r="AE3124" s="1"/>
      <c r="AF3124" s="1"/>
      <c r="AG3124" s="1"/>
      <c r="AH3124" s="1"/>
    </row>
    <row r="3125" ht="12.75" hidden="1" customHeight="1" outlineLevel="1">
      <c r="A3125" s="17">
        <v>41570.0</v>
      </c>
      <c r="B3125" s="1" t="s">
        <v>347</v>
      </c>
      <c r="C3125" s="1" t="s">
        <v>369</v>
      </c>
      <c r="D3125" s="74">
        <v>1000.0</v>
      </c>
      <c r="E3125" s="67">
        <v>23.61</v>
      </c>
      <c r="F3125" s="75">
        <v>0.5930439814814815</v>
      </c>
      <c r="G3125" s="67" t="s">
        <v>453</v>
      </c>
      <c r="H3125" s="68">
        <v>4.41</v>
      </c>
      <c r="I3125" s="76"/>
      <c r="J3125" s="67">
        <f t="shared" si="214"/>
        <v>23605.59</v>
      </c>
      <c r="K3125" s="7"/>
      <c r="L3125" s="70"/>
      <c r="M3125" s="79"/>
      <c r="N3125" s="1"/>
      <c r="O3125" s="1"/>
      <c r="P3125" s="1"/>
      <c r="Q3125" s="1"/>
      <c r="R3125" s="1"/>
      <c r="S3125" s="1"/>
      <c r="T3125" s="1"/>
      <c r="U3125" s="1"/>
      <c r="V3125" s="1"/>
      <c r="W3125" s="1"/>
      <c r="X3125" s="1"/>
      <c r="Y3125" s="1"/>
      <c r="Z3125" s="1"/>
      <c r="AA3125" s="1"/>
      <c r="AB3125" s="1"/>
      <c r="AC3125" s="1"/>
      <c r="AD3125" s="1"/>
      <c r="AE3125" s="1"/>
      <c r="AF3125" s="1"/>
      <c r="AG3125" s="1"/>
      <c r="AH3125" s="1"/>
    </row>
    <row r="3126" ht="12.75" hidden="1" customHeight="1" outlineLevel="1">
      <c r="A3126" s="17">
        <v>41570.0</v>
      </c>
      <c r="B3126" s="1"/>
      <c r="C3126" s="1" t="s">
        <v>339</v>
      </c>
      <c r="D3126" s="74"/>
      <c r="E3126" s="67"/>
      <c r="F3126" s="75"/>
      <c r="G3126" s="67"/>
      <c r="H3126" s="68"/>
      <c r="I3126" s="76"/>
      <c r="J3126" s="67"/>
      <c r="K3126" s="7" t="s">
        <v>1284</v>
      </c>
      <c r="L3126" s="77"/>
      <c r="M3126" s="79"/>
      <c r="N3126" s="1"/>
      <c r="O3126" s="1"/>
      <c r="P3126" s="1"/>
      <c r="Q3126" s="1"/>
      <c r="R3126" s="1"/>
      <c r="S3126" s="1"/>
      <c r="T3126" s="1"/>
      <c r="U3126" s="1"/>
      <c r="V3126" s="1"/>
      <c r="W3126" s="1"/>
      <c r="X3126" s="1"/>
      <c r="Y3126" s="1"/>
      <c r="Z3126" s="1"/>
      <c r="AA3126" s="1"/>
      <c r="AB3126" s="1"/>
      <c r="AC3126" s="1"/>
      <c r="AD3126" s="1"/>
      <c r="AE3126" s="1"/>
      <c r="AF3126" s="1"/>
      <c r="AG3126" s="1"/>
      <c r="AH3126" s="1"/>
    </row>
    <row r="3127" ht="12.75" hidden="1" customHeight="1" outlineLevel="1">
      <c r="A3127" s="17">
        <v>41570.0</v>
      </c>
      <c r="B3127" s="1"/>
      <c r="C3127" s="1" t="s">
        <v>429</v>
      </c>
      <c r="D3127" s="74"/>
      <c r="E3127" s="67"/>
      <c r="F3127" s="75"/>
      <c r="G3127" s="67"/>
      <c r="H3127" s="68"/>
      <c r="I3127" s="76"/>
      <c r="J3127" s="67"/>
      <c r="K3127" s="7" t="s">
        <v>1156</v>
      </c>
      <c r="L3127" s="77"/>
      <c r="M3127" s="79"/>
      <c r="N3127" s="1"/>
      <c r="O3127" s="1"/>
      <c r="P3127" s="1"/>
      <c r="Q3127" s="1"/>
      <c r="R3127" s="1"/>
      <c r="S3127" s="1"/>
      <c r="T3127" s="1"/>
      <c r="U3127" s="1"/>
      <c r="V3127" s="1"/>
      <c r="W3127" s="1"/>
      <c r="X3127" s="1"/>
      <c r="Y3127" s="1"/>
      <c r="Z3127" s="1"/>
      <c r="AA3127" s="1"/>
      <c r="AB3127" s="1"/>
      <c r="AC3127" s="1"/>
      <c r="AD3127" s="1"/>
      <c r="AE3127" s="1"/>
      <c r="AF3127" s="1"/>
      <c r="AG3127" s="1"/>
      <c r="AH3127" s="1"/>
    </row>
    <row r="3128" ht="12.75" hidden="1" customHeight="1" outlineLevel="1">
      <c r="A3128" s="17">
        <v>41570.0</v>
      </c>
      <c r="B3128" s="1"/>
      <c r="C3128" s="1" t="s">
        <v>431</v>
      </c>
      <c r="D3128" s="74"/>
      <c r="E3128" s="67"/>
      <c r="F3128" s="75"/>
      <c r="G3128" s="67"/>
      <c r="H3128" s="68"/>
      <c r="I3128" s="76"/>
      <c r="J3128" s="67"/>
      <c r="K3128" s="7" t="s">
        <v>1126</v>
      </c>
      <c r="L3128" s="77"/>
      <c r="M3128" s="79"/>
      <c r="N3128" s="1"/>
      <c r="O3128" s="1"/>
      <c r="P3128" s="1"/>
      <c r="Q3128" s="1"/>
      <c r="R3128" s="1"/>
      <c r="S3128" s="1"/>
      <c r="T3128" s="1"/>
      <c r="U3128" s="1"/>
      <c r="V3128" s="1"/>
      <c r="W3128" s="1"/>
      <c r="X3128" s="1"/>
      <c r="Y3128" s="1"/>
      <c r="Z3128" s="1"/>
      <c r="AA3128" s="1"/>
      <c r="AB3128" s="1"/>
      <c r="AC3128" s="1"/>
      <c r="AD3128" s="1"/>
      <c r="AE3128" s="1"/>
      <c r="AF3128" s="1"/>
      <c r="AG3128" s="1"/>
      <c r="AH3128" s="1"/>
    </row>
    <row r="3129" ht="12.75" hidden="1" customHeight="1" outlineLevel="1">
      <c r="A3129" s="17">
        <v>41570.0</v>
      </c>
      <c r="B3129" s="1"/>
      <c r="C3129" s="1" t="s">
        <v>433</v>
      </c>
      <c r="D3129" s="74"/>
      <c r="E3129" s="67"/>
      <c r="F3129" s="75"/>
      <c r="G3129" s="67"/>
      <c r="H3129" s="68"/>
      <c r="I3129" s="76"/>
      <c r="J3129" s="67"/>
      <c r="K3129" s="7" t="s">
        <v>1103</v>
      </c>
      <c r="L3129" s="77"/>
      <c r="M3129" s="79"/>
      <c r="N3129" s="1"/>
      <c r="O3129" s="1"/>
      <c r="P3129" s="1"/>
      <c r="Q3129" s="1"/>
      <c r="R3129" s="1"/>
      <c r="S3129" s="1"/>
      <c r="T3129" s="1"/>
      <c r="U3129" s="1"/>
      <c r="V3129" s="1"/>
      <c r="W3129" s="1"/>
      <c r="X3129" s="1"/>
      <c r="Y3129" s="1"/>
      <c r="Z3129" s="1"/>
      <c r="AA3129" s="1"/>
      <c r="AB3129" s="1"/>
      <c r="AC3129" s="1"/>
      <c r="AD3129" s="1"/>
      <c r="AE3129" s="1"/>
      <c r="AF3129" s="1"/>
      <c r="AG3129" s="1"/>
      <c r="AH3129" s="1"/>
    </row>
    <row r="3130" ht="12.75" hidden="1" customHeight="1" outlineLevel="1">
      <c r="A3130" s="17">
        <v>41570.0</v>
      </c>
      <c r="B3130" s="1"/>
      <c r="C3130" s="1" t="s">
        <v>435</v>
      </c>
      <c r="D3130" s="74"/>
      <c r="E3130" s="67"/>
      <c r="F3130" s="75"/>
      <c r="G3130" s="67"/>
      <c r="H3130" s="68"/>
      <c r="I3130" s="76"/>
      <c r="J3130" s="67"/>
      <c r="K3130" s="7" t="s">
        <v>1104</v>
      </c>
      <c r="L3130" s="77"/>
      <c r="M3130" s="79"/>
      <c r="N3130" s="1"/>
      <c r="O3130" s="1"/>
      <c r="P3130" s="1"/>
      <c r="Q3130" s="1"/>
      <c r="R3130" s="1"/>
      <c r="S3130" s="1"/>
      <c r="T3130" s="1"/>
      <c r="U3130" s="1"/>
      <c r="V3130" s="1"/>
      <c r="W3130" s="1"/>
      <c r="X3130" s="1"/>
      <c r="Y3130" s="1"/>
      <c r="Z3130" s="1"/>
      <c r="AA3130" s="1"/>
      <c r="AB3130" s="1"/>
      <c r="AC3130" s="1"/>
      <c r="AD3130" s="1"/>
      <c r="AE3130" s="1"/>
      <c r="AF3130" s="1"/>
      <c r="AG3130" s="1"/>
      <c r="AH3130" s="1"/>
    </row>
    <row r="3131" ht="12.75" hidden="1" customHeight="1" outlineLevel="1">
      <c r="A3131" s="17">
        <v>41571.0</v>
      </c>
      <c r="B3131" s="1"/>
      <c r="C3131" s="1" t="s">
        <v>339</v>
      </c>
      <c r="D3131" s="74"/>
      <c r="E3131" s="67"/>
      <c r="F3131" s="75"/>
      <c r="G3131" s="67"/>
      <c r="H3131" s="68"/>
      <c r="I3131" s="76"/>
      <c r="J3131" s="67"/>
      <c r="K3131" s="7" t="s">
        <v>1285</v>
      </c>
      <c r="L3131" s="77"/>
      <c r="M3131" s="79"/>
      <c r="N3131" s="1"/>
      <c r="O3131" s="1"/>
      <c r="P3131" s="1"/>
      <c r="Q3131" s="1"/>
      <c r="R3131" s="1"/>
      <c r="S3131" s="1"/>
      <c r="T3131" s="1"/>
      <c r="U3131" s="1"/>
      <c r="V3131" s="1"/>
      <c r="W3131" s="1"/>
      <c r="X3131" s="1"/>
      <c r="Y3131" s="1"/>
      <c r="Z3131" s="1"/>
      <c r="AA3131" s="1"/>
      <c r="AB3131" s="1"/>
      <c r="AC3131" s="1"/>
      <c r="AD3131" s="1"/>
      <c r="AE3131" s="1"/>
      <c r="AF3131" s="1"/>
      <c r="AG3131" s="1"/>
      <c r="AH3131" s="1"/>
    </row>
    <row r="3132" ht="12.75" hidden="1" customHeight="1" outlineLevel="1">
      <c r="A3132" s="17">
        <v>41571.0</v>
      </c>
      <c r="B3132" s="1"/>
      <c r="C3132" s="1" t="s">
        <v>429</v>
      </c>
      <c r="D3132" s="74"/>
      <c r="E3132" s="67"/>
      <c r="F3132" s="75"/>
      <c r="G3132" s="67"/>
      <c r="H3132" s="68"/>
      <c r="I3132" s="76"/>
      <c r="J3132" s="67"/>
      <c r="K3132" s="7" t="s">
        <v>1156</v>
      </c>
      <c r="L3132" s="77"/>
      <c r="M3132" s="79"/>
      <c r="N3132" s="1"/>
      <c r="O3132" s="1"/>
      <c r="P3132" s="1"/>
      <c r="Q3132" s="1"/>
      <c r="R3132" s="1"/>
      <c r="S3132" s="1"/>
      <c r="T3132" s="1"/>
      <c r="U3132" s="1"/>
      <c r="V3132" s="1"/>
      <c r="W3132" s="1"/>
      <c r="X3132" s="1"/>
      <c r="Y3132" s="1"/>
      <c r="Z3132" s="1"/>
      <c r="AA3132" s="1"/>
      <c r="AB3132" s="1"/>
      <c r="AC3132" s="1"/>
      <c r="AD3132" s="1"/>
      <c r="AE3132" s="1"/>
      <c r="AF3132" s="1"/>
      <c r="AG3132" s="1"/>
      <c r="AH3132" s="1"/>
    </row>
    <row r="3133" ht="12.75" hidden="1" customHeight="1" outlineLevel="1">
      <c r="A3133" s="17">
        <v>41571.0</v>
      </c>
      <c r="B3133" s="1"/>
      <c r="C3133" s="1" t="s">
        <v>431</v>
      </c>
      <c r="D3133" s="74"/>
      <c r="E3133" s="67"/>
      <c r="F3133" s="75"/>
      <c r="G3133" s="67"/>
      <c r="H3133" s="68"/>
      <c r="I3133" s="76"/>
      <c r="J3133" s="67"/>
      <c r="K3133" s="7" t="s">
        <v>1126</v>
      </c>
      <c r="L3133" s="77"/>
      <c r="M3133" s="79"/>
      <c r="N3133" s="1"/>
      <c r="O3133" s="1"/>
      <c r="P3133" s="1"/>
      <c r="Q3133" s="1"/>
      <c r="R3133" s="1"/>
      <c r="S3133" s="1"/>
      <c r="T3133" s="1"/>
      <c r="U3133" s="1"/>
      <c r="V3133" s="1"/>
      <c r="W3133" s="1"/>
      <c r="X3133" s="1"/>
      <c r="Y3133" s="1"/>
      <c r="Z3133" s="1"/>
      <c r="AA3133" s="1"/>
      <c r="AB3133" s="1"/>
      <c r="AC3133" s="1"/>
      <c r="AD3133" s="1"/>
      <c r="AE3133" s="1"/>
      <c r="AF3133" s="1"/>
      <c r="AG3133" s="1"/>
      <c r="AH3133" s="1"/>
    </row>
    <row r="3134" ht="12.75" hidden="1" customHeight="1" outlineLevel="1">
      <c r="A3134" s="17">
        <v>41571.0</v>
      </c>
      <c r="B3134" s="1"/>
      <c r="C3134" s="1" t="s">
        <v>433</v>
      </c>
      <c r="D3134" s="74"/>
      <c r="E3134" s="67"/>
      <c r="F3134" s="75"/>
      <c r="G3134" s="67"/>
      <c r="H3134" s="68"/>
      <c r="I3134" s="76"/>
      <c r="J3134" s="67"/>
      <c r="K3134" s="7" t="s">
        <v>1103</v>
      </c>
      <c r="L3134" s="77"/>
      <c r="M3134" s="79"/>
      <c r="N3134" s="1"/>
      <c r="O3134" s="1"/>
      <c r="P3134" s="1"/>
      <c r="Q3134" s="1"/>
      <c r="R3134" s="1"/>
      <c r="S3134" s="1"/>
      <c r="T3134" s="1"/>
      <c r="U3134" s="1"/>
      <c r="V3134" s="1"/>
      <c r="W3134" s="1"/>
      <c r="X3134" s="1"/>
      <c r="Y3134" s="1"/>
      <c r="Z3134" s="1"/>
      <c r="AA3134" s="1"/>
      <c r="AB3134" s="1"/>
      <c r="AC3134" s="1"/>
      <c r="AD3134" s="1"/>
      <c r="AE3134" s="1"/>
      <c r="AF3134" s="1"/>
      <c r="AG3134" s="1"/>
      <c r="AH3134" s="1"/>
    </row>
    <row r="3135" ht="12.75" hidden="1" customHeight="1" outlineLevel="1">
      <c r="A3135" s="17">
        <v>41571.0</v>
      </c>
      <c r="B3135" s="1"/>
      <c r="C3135" s="1" t="s">
        <v>435</v>
      </c>
      <c r="D3135" s="74"/>
      <c r="E3135" s="67"/>
      <c r="F3135" s="75"/>
      <c r="G3135" s="67"/>
      <c r="H3135" s="68"/>
      <c r="I3135" s="76"/>
      <c r="J3135" s="67"/>
      <c r="K3135" s="7" t="s">
        <v>1104</v>
      </c>
      <c r="L3135" s="77"/>
      <c r="M3135" s="79"/>
      <c r="N3135" s="1"/>
      <c r="O3135" s="1"/>
      <c r="P3135" s="1"/>
      <c r="Q3135" s="1"/>
      <c r="R3135" s="1"/>
      <c r="S3135" s="1"/>
      <c r="T3135" s="1"/>
      <c r="U3135" s="1"/>
      <c r="V3135" s="1"/>
      <c r="W3135" s="1"/>
      <c r="X3135" s="1"/>
      <c r="Y3135" s="1"/>
      <c r="Z3135" s="1"/>
      <c r="AA3135" s="1"/>
      <c r="AB3135" s="1"/>
      <c r="AC3135" s="1"/>
      <c r="AD3135" s="1"/>
      <c r="AE3135" s="1"/>
      <c r="AF3135" s="1"/>
      <c r="AG3135" s="1"/>
      <c r="AH3135" s="1"/>
    </row>
    <row r="3136" ht="12.75" hidden="1" customHeight="1" outlineLevel="1">
      <c r="A3136" s="17">
        <v>41571.0</v>
      </c>
      <c r="B3136" s="1" t="s">
        <v>343</v>
      </c>
      <c r="C3136" s="1" t="s">
        <v>1044</v>
      </c>
      <c r="D3136" s="74">
        <v>1000.0</v>
      </c>
      <c r="E3136" s="67">
        <v>26.17</v>
      </c>
      <c r="F3136" s="75">
        <v>0.48552083333333335</v>
      </c>
      <c r="G3136" s="67" t="s">
        <v>453</v>
      </c>
      <c r="H3136" s="68">
        <v>4.5</v>
      </c>
      <c r="I3136" s="76"/>
      <c r="J3136" s="67">
        <f t="shared" ref="J3136:J3138" si="215">IF(B3136="SLD",D3136*E3136,-D3136*E3136)-H3136</f>
        <v>-26174.5</v>
      </c>
      <c r="K3136" s="7" t="s">
        <v>1287</v>
      </c>
      <c r="L3136" s="70"/>
      <c r="M3136" s="79"/>
      <c r="N3136" s="1"/>
      <c r="O3136" s="1"/>
      <c r="P3136" s="1"/>
      <c r="Q3136" s="1"/>
      <c r="R3136" s="1"/>
      <c r="S3136" s="1"/>
      <c r="T3136" s="1"/>
      <c r="U3136" s="1"/>
      <c r="V3136" s="1"/>
      <c r="W3136" s="1"/>
      <c r="X3136" s="1"/>
      <c r="Y3136" s="1"/>
      <c r="Z3136" s="1"/>
      <c r="AA3136" s="1"/>
      <c r="AB3136" s="1"/>
      <c r="AC3136" s="1"/>
      <c r="AD3136" s="1"/>
      <c r="AE3136" s="1"/>
      <c r="AF3136" s="1"/>
      <c r="AG3136" s="1"/>
      <c r="AH3136" s="1"/>
    </row>
    <row r="3137" ht="12.75" hidden="1" customHeight="1" outlineLevel="1">
      <c r="A3137" s="17">
        <v>41571.0</v>
      </c>
      <c r="B3137" s="1" t="s">
        <v>343</v>
      </c>
      <c r="C3137" s="1" t="s">
        <v>369</v>
      </c>
      <c r="D3137" s="74">
        <v>1000.0</v>
      </c>
      <c r="E3137" s="67">
        <v>23.47</v>
      </c>
      <c r="F3137" s="75">
        <v>0.48575231481481485</v>
      </c>
      <c r="G3137" s="67" t="s">
        <v>453</v>
      </c>
      <c r="H3137" s="68">
        <v>4.0</v>
      </c>
      <c r="I3137" s="76"/>
      <c r="J3137" s="67">
        <f t="shared" si="215"/>
        <v>-23474</v>
      </c>
      <c r="K3137" s="7" t="s">
        <v>1287</v>
      </c>
      <c r="L3137" s="70"/>
      <c r="M3137" s="79"/>
      <c r="N3137" s="1"/>
      <c r="O3137" s="1"/>
      <c r="P3137" s="1"/>
      <c r="Q3137" s="1"/>
      <c r="R3137" s="1"/>
      <c r="S3137" s="1"/>
      <c r="T3137" s="1"/>
      <c r="U3137" s="1"/>
      <c r="V3137" s="1"/>
      <c r="W3137" s="1"/>
      <c r="X3137" s="1"/>
      <c r="Y3137" s="1"/>
      <c r="Z3137" s="1"/>
      <c r="AA3137" s="1"/>
      <c r="AB3137" s="1"/>
      <c r="AC3137" s="1"/>
      <c r="AD3137" s="1"/>
      <c r="AE3137" s="1"/>
      <c r="AF3137" s="1"/>
      <c r="AG3137" s="1"/>
      <c r="AH3137" s="1"/>
    </row>
    <row r="3138" ht="12.75" hidden="1" customHeight="1" outlineLevel="1">
      <c r="A3138" s="17">
        <v>41571.0</v>
      </c>
      <c r="B3138" s="1" t="s">
        <v>343</v>
      </c>
      <c r="C3138" s="1" t="s">
        <v>784</v>
      </c>
      <c r="D3138" s="74">
        <v>1800.0</v>
      </c>
      <c r="E3138" s="67">
        <v>15.99</v>
      </c>
      <c r="F3138" s="75">
        <v>0.4859490740740741</v>
      </c>
      <c r="G3138" s="67" t="s">
        <v>453</v>
      </c>
      <c r="H3138" s="68">
        <v>8.2</v>
      </c>
      <c r="I3138" s="76"/>
      <c r="J3138" s="67">
        <f t="shared" si="215"/>
        <v>-28790.2</v>
      </c>
      <c r="K3138" s="7" t="s">
        <v>1287</v>
      </c>
      <c r="L3138" s="70"/>
      <c r="M3138" s="79"/>
      <c r="N3138" s="1"/>
      <c r="O3138" s="1"/>
      <c r="P3138" s="1"/>
      <c r="Q3138" s="1"/>
      <c r="R3138" s="1"/>
      <c r="S3138" s="1"/>
      <c r="T3138" s="1"/>
      <c r="U3138" s="1"/>
      <c r="V3138" s="1"/>
      <c r="W3138" s="1"/>
      <c r="X3138" s="1"/>
      <c r="Y3138" s="1"/>
      <c r="Z3138" s="1"/>
      <c r="AA3138" s="1"/>
      <c r="AB3138" s="1"/>
      <c r="AC3138" s="1"/>
      <c r="AD3138" s="1"/>
      <c r="AE3138" s="1"/>
      <c r="AF3138" s="1"/>
      <c r="AG3138" s="1"/>
      <c r="AH3138" s="1"/>
    </row>
    <row r="3139" ht="12.75" hidden="1" customHeight="1" outlineLevel="1">
      <c r="A3139" s="17">
        <v>41571.0</v>
      </c>
      <c r="B3139" s="1"/>
      <c r="C3139" s="1" t="s">
        <v>339</v>
      </c>
      <c r="D3139" s="74"/>
      <c r="E3139" s="67"/>
      <c r="F3139" s="75"/>
      <c r="G3139" s="67"/>
      <c r="H3139" s="68"/>
      <c r="I3139" s="76"/>
      <c r="J3139" s="67"/>
      <c r="K3139" s="7" t="s">
        <v>1288</v>
      </c>
      <c r="L3139" s="77"/>
      <c r="M3139" s="79"/>
      <c r="N3139" s="1"/>
      <c r="O3139" s="1"/>
      <c r="P3139" s="1"/>
      <c r="Q3139" s="1"/>
      <c r="R3139" s="1"/>
      <c r="S3139" s="1"/>
      <c r="T3139" s="1"/>
      <c r="U3139" s="1"/>
      <c r="V3139" s="1"/>
      <c r="W3139" s="1"/>
      <c r="X3139" s="1"/>
      <c r="Y3139" s="1"/>
      <c r="Z3139" s="1"/>
      <c r="AA3139" s="1"/>
      <c r="AB3139" s="1"/>
      <c r="AC3139" s="1"/>
      <c r="AD3139" s="1"/>
      <c r="AE3139" s="1"/>
      <c r="AF3139" s="1"/>
      <c r="AG3139" s="1"/>
      <c r="AH3139" s="1"/>
    </row>
    <row r="3140" ht="12.75" hidden="1" customHeight="1" outlineLevel="1">
      <c r="A3140" s="17">
        <v>41571.0</v>
      </c>
      <c r="B3140" s="1"/>
      <c r="C3140" s="1" t="s">
        <v>429</v>
      </c>
      <c r="D3140" s="74"/>
      <c r="E3140" s="67"/>
      <c r="F3140" s="75"/>
      <c r="G3140" s="67"/>
      <c r="H3140" s="68"/>
      <c r="I3140" s="76"/>
      <c r="J3140" s="67"/>
      <c r="K3140" s="7" t="s">
        <v>1156</v>
      </c>
      <c r="L3140" s="77"/>
      <c r="M3140" s="79"/>
      <c r="N3140" s="1"/>
      <c r="O3140" s="1"/>
      <c r="P3140" s="1"/>
      <c r="Q3140" s="1"/>
      <c r="R3140" s="1"/>
      <c r="S3140" s="1"/>
      <c r="T3140" s="1"/>
      <c r="U3140" s="1"/>
      <c r="V3140" s="1"/>
      <c r="W3140" s="1"/>
      <c r="X3140" s="1"/>
      <c r="Y3140" s="1"/>
      <c r="Z3140" s="1"/>
      <c r="AA3140" s="1"/>
      <c r="AB3140" s="1"/>
      <c r="AC3140" s="1"/>
      <c r="AD3140" s="1"/>
      <c r="AE3140" s="1"/>
      <c r="AF3140" s="1"/>
      <c r="AG3140" s="1"/>
      <c r="AH3140" s="1"/>
    </row>
    <row r="3141" ht="12.75" hidden="1" customHeight="1" outlineLevel="1">
      <c r="A3141" s="17">
        <v>41571.0</v>
      </c>
      <c r="B3141" s="1"/>
      <c r="C3141" s="1" t="s">
        <v>431</v>
      </c>
      <c r="D3141" s="74"/>
      <c r="E3141" s="67"/>
      <c r="F3141" s="75"/>
      <c r="G3141" s="67"/>
      <c r="H3141" s="68"/>
      <c r="I3141" s="76"/>
      <c r="J3141" s="67"/>
      <c r="K3141" s="7" t="s">
        <v>1126</v>
      </c>
      <c r="L3141" s="77"/>
      <c r="M3141" s="79"/>
      <c r="N3141" s="1"/>
      <c r="O3141" s="1"/>
      <c r="P3141" s="1"/>
      <c r="Q3141" s="1"/>
      <c r="R3141" s="1"/>
      <c r="S3141" s="1"/>
      <c r="T3141" s="1"/>
      <c r="U3141" s="1"/>
      <c r="V3141" s="1"/>
      <c r="W3141" s="1"/>
      <c r="X3141" s="1"/>
      <c r="Y3141" s="1"/>
      <c r="Z3141" s="1"/>
      <c r="AA3141" s="1"/>
      <c r="AB3141" s="1"/>
      <c r="AC3141" s="1"/>
      <c r="AD3141" s="1"/>
      <c r="AE3141" s="1"/>
      <c r="AF3141" s="1"/>
      <c r="AG3141" s="1"/>
      <c r="AH3141" s="1"/>
    </row>
    <row r="3142" ht="12.75" hidden="1" customHeight="1" outlineLevel="1">
      <c r="A3142" s="17">
        <v>41571.0</v>
      </c>
      <c r="B3142" s="1"/>
      <c r="C3142" s="1" t="s">
        <v>433</v>
      </c>
      <c r="D3142" s="74"/>
      <c r="E3142" s="67"/>
      <c r="F3142" s="75"/>
      <c r="G3142" s="67"/>
      <c r="H3142" s="68"/>
      <c r="I3142" s="76"/>
      <c r="J3142" s="67"/>
      <c r="K3142" s="7" t="s">
        <v>1103</v>
      </c>
      <c r="L3142" s="77"/>
      <c r="M3142" s="79"/>
      <c r="N3142" s="1"/>
      <c r="O3142" s="1"/>
      <c r="P3142" s="1"/>
      <c r="Q3142" s="1"/>
      <c r="R3142" s="1"/>
      <c r="S3142" s="1"/>
      <c r="T3142" s="1"/>
      <c r="U3142" s="1"/>
      <c r="V3142" s="1"/>
      <c r="W3142" s="1"/>
      <c r="X3142" s="1"/>
      <c r="Y3142" s="1"/>
      <c r="Z3142" s="1"/>
      <c r="AA3142" s="1"/>
      <c r="AB3142" s="1"/>
      <c r="AC3142" s="1"/>
      <c r="AD3142" s="1"/>
      <c r="AE3142" s="1"/>
      <c r="AF3142" s="1"/>
      <c r="AG3142" s="1"/>
      <c r="AH3142" s="1"/>
    </row>
    <row r="3143" ht="12.75" hidden="1" customHeight="1" outlineLevel="1">
      <c r="A3143" s="17">
        <v>41571.0</v>
      </c>
      <c r="B3143" s="1"/>
      <c r="C3143" s="1" t="s">
        <v>435</v>
      </c>
      <c r="D3143" s="74"/>
      <c r="E3143" s="67"/>
      <c r="F3143" s="75"/>
      <c r="G3143" s="67"/>
      <c r="H3143" s="68"/>
      <c r="I3143" s="76"/>
      <c r="J3143" s="67"/>
      <c r="K3143" s="7" t="s">
        <v>1104</v>
      </c>
      <c r="L3143" s="77"/>
      <c r="M3143" s="79"/>
      <c r="N3143" s="1"/>
      <c r="O3143" s="1"/>
      <c r="P3143" s="1"/>
      <c r="Q3143" s="1"/>
      <c r="R3143" s="1"/>
      <c r="S3143" s="1"/>
      <c r="T3143" s="1"/>
      <c r="U3143" s="1"/>
      <c r="V3143" s="1"/>
      <c r="W3143" s="1"/>
      <c r="X3143" s="1"/>
      <c r="Y3143" s="1"/>
      <c r="Z3143" s="1"/>
      <c r="AA3143" s="1"/>
      <c r="AB3143" s="1"/>
      <c r="AC3143" s="1"/>
      <c r="AD3143" s="1"/>
      <c r="AE3143" s="1"/>
      <c r="AF3143" s="1"/>
      <c r="AG3143" s="1"/>
      <c r="AH3143" s="1"/>
    </row>
    <row r="3144" ht="12.75" hidden="1" customHeight="1" outlineLevel="1">
      <c r="A3144" s="17">
        <v>41573.0</v>
      </c>
      <c r="B3144" s="1"/>
      <c r="C3144" s="1" t="s">
        <v>339</v>
      </c>
      <c r="D3144" s="74"/>
      <c r="E3144" s="67"/>
      <c r="F3144" s="75"/>
      <c r="G3144" s="67"/>
      <c r="H3144" s="68"/>
      <c r="I3144" s="76"/>
      <c r="J3144" s="67"/>
      <c r="K3144" s="7" t="s">
        <v>1291</v>
      </c>
      <c r="L3144" s="77"/>
      <c r="M3144" s="79"/>
      <c r="N3144" s="1"/>
      <c r="O3144" s="1"/>
      <c r="P3144" s="1"/>
      <c r="Q3144" s="1"/>
      <c r="R3144" s="1"/>
      <c r="S3144" s="1"/>
      <c r="T3144" s="1"/>
      <c r="U3144" s="1"/>
      <c r="V3144" s="1"/>
      <c r="W3144" s="1"/>
      <c r="X3144" s="1"/>
      <c r="Y3144" s="1"/>
      <c r="Z3144" s="1"/>
      <c r="AA3144" s="1"/>
      <c r="AB3144" s="1"/>
      <c r="AC3144" s="1"/>
      <c r="AD3144" s="1"/>
      <c r="AE3144" s="1"/>
      <c r="AF3144" s="1"/>
      <c r="AG3144" s="1"/>
      <c r="AH3144" s="1"/>
    </row>
    <row r="3145" ht="12.75" hidden="1" customHeight="1" outlineLevel="1">
      <c r="A3145" s="17">
        <v>41573.0</v>
      </c>
      <c r="B3145" s="1"/>
      <c r="C3145" s="1" t="s">
        <v>429</v>
      </c>
      <c r="D3145" s="74"/>
      <c r="E3145" s="67"/>
      <c r="F3145" s="75"/>
      <c r="G3145" s="67"/>
      <c r="H3145" s="68"/>
      <c r="I3145" s="76"/>
      <c r="J3145" s="67"/>
      <c r="K3145" s="7" t="s">
        <v>1156</v>
      </c>
      <c r="L3145" s="77"/>
      <c r="M3145" s="79"/>
      <c r="N3145" s="1"/>
      <c r="O3145" s="1"/>
      <c r="P3145" s="1"/>
      <c r="Q3145" s="1"/>
      <c r="R3145" s="1"/>
      <c r="S3145" s="1"/>
      <c r="T3145" s="1"/>
      <c r="U3145" s="1"/>
      <c r="V3145" s="1"/>
      <c r="W3145" s="1"/>
      <c r="X3145" s="1"/>
      <c r="Y3145" s="1"/>
      <c r="Z3145" s="1"/>
      <c r="AA3145" s="1"/>
      <c r="AB3145" s="1"/>
      <c r="AC3145" s="1"/>
      <c r="AD3145" s="1"/>
      <c r="AE3145" s="1"/>
      <c r="AF3145" s="1"/>
      <c r="AG3145" s="1"/>
      <c r="AH3145" s="1"/>
    </row>
    <row r="3146" ht="12.75" hidden="1" customHeight="1" outlineLevel="1">
      <c r="A3146" s="17">
        <v>41573.0</v>
      </c>
      <c r="B3146" s="1"/>
      <c r="C3146" s="1" t="s">
        <v>431</v>
      </c>
      <c r="D3146" s="74"/>
      <c r="E3146" s="67"/>
      <c r="F3146" s="75"/>
      <c r="G3146" s="67"/>
      <c r="H3146" s="68"/>
      <c r="I3146" s="76"/>
      <c r="J3146" s="67"/>
      <c r="K3146" s="7" t="s">
        <v>1126</v>
      </c>
      <c r="L3146" s="77"/>
      <c r="M3146" s="79"/>
      <c r="N3146" s="1"/>
      <c r="O3146" s="1"/>
      <c r="P3146" s="1"/>
      <c r="Q3146" s="1"/>
      <c r="R3146" s="1"/>
      <c r="S3146" s="1"/>
      <c r="T3146" s="1"/>
      <c r="U3146" s="1"/>
      <c r="V3146" s="1"/>
      <c r="W3146" s="1"/>
      <c r="X3146" s="1"/>
      <c r="Y3146" s="1"/>
      <c r="Z3146" s="1"/>
      <c r="AA3146" s="1"/>
      <c r="AB3146" s="1"/>
      <c r="AC3146" s="1"/>
      <c r="AD3146" s="1"/>
      <c r="AE3146" s="1"/>
      <c r="AF3146" s="1"/>
      <c r="AG3146" s="1"/>
      <c r="AH3146" s="1"/>
    </row>
    <row r="3147" ht="12.75" hidden="1" customHeight="1" outlineLevel="1">
      <c r="A3147" s="17">
        <v>41573.0</v>
      </c>
      <c r="B3147" s="1"/>
      <c r="C3147" s="1" t="s">
        <v>433</v>
      </c>
      <c r="D3147" s="74"/>
      <c r="E3147" s="67"/>
      <c r="F3147" s="75"/>
      <c r="G3147" s="67"/>
      <c r="H3147" s="68"/>
      <c r="I3147" s="76"/>
      <c r="J3147" s="67"/>
      <c r="K3147" s="7" t="s">
        <v>1103</v>
      </c>
      <c r="L3147" s="77"/>
      <c r="M3147" s="79"/>
      <c r="N3147" s="1"/>
      <c r="O3147" s="1"/>
      <c r="P3147" s="1"/>
      <c r="Q3147" s="1"/>
      <c r="R3147" s="1"/>
      <c r="S3147" s="1"/>
      <c r="T3147" s="1"/>
      <c r="U3147" s="1"/>
      <c r="V3147" s="1"/>
      <c r="W3147" s="1"/>
      <c r="X3147" s="1"/>
      <c r="Y3147" s="1"/>
      <c r="Z3147" s="1"/>
      <c r="AA3147" s="1"/>
      <c r="AB3147" s="1"/>
      <c r="AC3147" s="1"/>
      <c r="AD3147" s="1"/>
      <c r="AE3147" s="1"/>
      <c r="AF3147" s="1"/>
      <c r="AG3147" s="1"/>
      <c r="AH3147" s="1"/>
    </row>
    <row r="3148" ht="12.75" hidden="1" customHeight="1" outlineLevel="1">
      <c r="A3148" s="17">
        <v>41573.0</v>
      </c>
      <c r="B3148" s="1"/>
      <c r="C3148" s="1" t="s">
        <v>435</v>
      </c>
      <c r="D3148" s="74"/>
      <c r="E3148" s="67"/>
      <c r="F3148" s="75"/>
      <c r="G3148" s="67"/>
      <c r="H3148" s="68"/>
      <c r="I3148" s="76"/>
      <c r="J3148" s="67"/>
      <c r="K3148" s="7" t="s">
        <v>1104</v>
      </c>
      <c r="L3148" s="77"/>
      <c r="M3148" s="79"/>
      <c r="N3148" s="1"/>
      <c r="O3148" s="1"/>
      <c r="P3148" s="1"/>
      <c r="Q3148" s="1"/>
      <c r="R3148" s="1"/>
      <c r="S3148" s="1"/>
      <c r="T3148" s="1"/>
      <c r="U3148" s="1"/>
      <c r="V3148" s="1"/>
      <c r="W3148" s="1"/>
      <c r="X3148" s="1"/>
      <c r="Y3148" s="1"/>
      <c r="Z3148" s="1"/>
      <c r="AA3148" s="1"/>
      <c r="AB3148" s="1"/>
      <c r="AC3148" s="1"/>
      <c r="AD3148" s="1"/>
      <c r="AE3148" s="1"/>
      <c r="AF3148" s="1"/>
      <c r="AG3148" s="1"/>
      <c r="AH3148" s="1"/>
    </row>
    <row r="3149" ht="12.75" hidden="1" customHeight="1" outlineLevel="1">
      <c r="A3149" s="17">
        <v>41575.0</v>
      </c>
      <c r="B3149" s="1"/>
      <c r="C3149" s="1" t="s">
        <v>339</v>
      </c>
      <c r="D3149" s="74"/>
      <c r="E3149" s="67"/>
      <c r="F3149" s="75"/>
      <c r="G3149" s="67"/>
      <c r="H3149" s="68"/>
      <c r="I3149" s="76"/>
      <c r="J3149" s="67"/>
      <c r="K3149" s="7" t="s">
        <v>1295</v>
      </c>
      <c r="L3149" s="77"/>
      <c r="M3149" s="79"/>
      <c r="N3149" s="1"/>
      <c r="O3149" s="1"/>
      <c r="P3149" s="1"/>
      <c r="Q3149" s="1"/>
      <c r="R3149" s="1"/>
      <c r="S3149" s="1"/>
      <c r="T3149" s="1"/>
      <c r="U3149" s="1"/>
      <c r="V3149" s="1"/>
      <c r="W3149" s="1"/>
      <c r="X3149" s="1"/>
      <c r="Y3149" s="1"/>
      <c r="Z3149" s="1"/>
      <c r="AA3149" s="1"/>
      <c r="AB3149" s="1"/>
      <c r="AC3149" s="1"/>
      <c r="AD3149" s="1"/>
      <c r="AE3149" s="1"/>
      <c r="AF3149" s="1"/>
      <c r="AG3149" s="1"/>
      <c r="AH3149" s="1"/>
    </row>
    <row r="3150" ht="12.75" hidden="1" customHeight="1" outlineLevel="1">
      <c r="A3150" s="17">
        <v>41575.0</v>
      </c>
      <c r="B3150" s="1"/>
      <c r="C3150" s="1" t="s">
        <v>429</v>
      </c>
      <c r="D3150" s="74"/>
      <c r="E3150" s="67"/>
      <c r="F3150" s="75"/>
      <c r="G3150" s="67"/>
      <c r="H3150" s="68"/>
      <c r="I3150" s="76"/>
      <c r="J3150" s="67"/>
      <c r="K3150" s="7" t="s">
        <v>1156</v>
      </c>
      <c r="L3150" s="77"/>
      <c r="M3150" s="79"/>
      <c r="N3150" s="1"/>
      <c r="O3150" s="1"/>
      <c r="P3150" s="1"/>
      <c r="Q3150" s="1"/>
      <c r="R3150" s="1"/>
      <c r="S3150" s="1"/>
      <c r="T3150" s="1"/>
      <c r="U3150" s="1"/>
      <c r="V3150" s="1"/>
      <c r="W3150" s="1"/>
      <c r="X3150" s="1"/>
      <c r="Y3150" s="1"/>
      <c r="Z3150" s="1"/>
      <c r="AA3150" s="1"/>
      <c r="AB3150" s="1"/>
      <c r="AC3150" s="1"/>
      <c r="AD3150" s="1"/>
      <c r="AE3150" s="1"/>
      <c r="AF3150" s="1"/>
      <c r="AG3150" s="1"/>
      <c r="AH3150" s="1"/>
    </row>
    <row r="3151" ht="12.75" hidden="1" customHeight="1" outlineLevel="1">
      <c r="A3151" s="17">
        <v>41575.0</v>
      </c>
      <c r="B3151" s="1"/>
      <c r="C3151" s="1" t="s">
        <v>431</v>
      </c>
      <c r="D3151" s="74"/>
      <c r="E3151" s="67"/>
      <c r="F3151" s="75"/>
      <c r="G3151" s="67"/>
      <c r="H3151" s="68"/>
      <c r="I3151" s="76"/>
      <c r="J3151" s="67"/>
      <c r="K3151" s="7" t="s">
        <v>1126</v>
      </c>
      <c r="L3151" s="77"/>
      <c r="M3151" s="79"/>
      <c r="N3151" s="1"/>
      <c r="O3151" s="1"/>
      <c r="P3151" s="1"/>
      <c r="Q3151" s="1"/>
      <c r="R3151" s="1"/>
      <c r="S3151" s="1"/>
      <c r="T3151" s="1"/>
      <c r="U3151" s="1"/>
      <c r="V3151" s="1"/>
      <c r="W3151" s="1"/>
      <c r="X3151" s="1"/>
      <c r="Y3151" s="1"/>
      <c r="Z3151" s="1"/>
      <c r="AA3151" s="1"/>
      <c r="AB3151" s="1"/>
      <c r="AC3151" s="1"/>
      <c r="AD3151" s="1"/>
      <c r="AE3151" s="1"/>
      <c r="AF3151" s="1"/>
      <c r="AG3151" s="1"/>
      <c r="AH3151" s="1"/>
    </row>
    <row r="3152" ht="12.75" hidden="1" customHeight="1" outlineLevel="1">
      <c r="A3152" s="17">
        <v>41575.0</v>
      </c>
      <c r="B3152" s="1"/>
      <c r="C3152" s="1" t="s">
        <v>433</v>
      </c>
      <c r="D3152" s="74"/>
      <c r="E3152" s="67"/>
      <c r="F3152" s="75"/>
      <c r="G3152" s="67"/>
      <c r="H3152" s="68"/>
      <c r="I3152" s="76"/>
      <c r="J3152" s="67"/>
      <c r="K3152" s="7" t="s">
        <v>1103</v>
      </c>
      <c r="L3152" s="77"/>
      <c r="M3152" s="79"/>
      <c r="N3152" s="1"/>
      <c r="O3152" s="1"/>
      <c r="P3152" s="1"/>
      <c r="Q3152" s="1"/>
      <c r="R3152" s="1"/>
      <c r="S3152" s="1"/>
      <c r="T3152" s="1"/>
      <c r="U3152" s="1"/>
      <c r="V3152" s="1"/>
      <c r="W3152" s="1"/>
      <c r="X3152" s="1"/>
      <c r="Y3152" s="1"/>
      <c r="Z3152" s="1"/>
      <c r="AA3152" s="1"/>
      <c r="AB3152" s="1"/>
      <c r="AC3152" s="1"/>
      <c r="AD3152" s="1"/>
      <c r="AE3152" s="1"/>
      <c r="AF3152" s="1"/>
      <c r="AG3152" s="1"/>
      <c r="AH3152" s="1"/>
    </row>
    <row r="3153" ht="12.75" hidden="1" customHeight="1" outlineLevel="1">
      <c r="A3153" s="17">
        <v>41575.0</v>
      </c>
      <c r="B3153" s="1"/>
      <c r="C3153" s="1" t="s">
        <v>435</v>
      </c>
      <c r="D3153" s="74"/>
      <c r="E3153" s="67"/>
      <c r="F3153" s="75"/>
      <c r="G3153" s="67"/>
      <c r="H3153" s="68"/>
      <c r="I3153" s="76"/>
      <c r="J3153" s="67"/>
      <c r="K3153" s="7" t="s">
        <v>1104</v>
      </c>
      <c r="L3153" s="77"/>
      <c r="M3153" s="79"/>
      <c r="N3153" s="1"/>
      <c r="O3153" s="1"/>
      <c r="P3153" s="1"/>
      <c r="Q3153" s="1"/>
      <c r="R3153" s="1"/>
      <c r="S3153" s="1"/>
      <c r="T3153" s="1"/>
      <c r="U3153" s="1"/>
      <c r="V3153" s="1"/>
      <c r="W3153" s="1"/>
      <c r="X3153" s="1"/>
      <c r="Y3153" s="1"/>
      <c r="Z3153" s="1"/>
      <c r="AA3153" s="1"/>
      <c r="AB3153" s="1"/>
      <c r="AC3153" s="1"/>
      <c r="AD3153" s="1"/>
      <c r="AE3153" s="1"/>
      <c r="AF3153" s="1"/>
      <c r="AG3153" s="1"/>
      <c r="AH3153" s="1"/>
    </row>
    <row r="3154" ht="12.75" hidden="1" customHeight="1" outlineLevel="1">
      <c r="A3154" s="17">
        <v>41575.0</v>
      </c>
      <c r="B3154" s="1" t="s">
        <v>343</v>
      </c>
      <c r="C3154" s="1" t="s">
        <v>1092</v>
      </c>
      <c r="D3154" s="74">
        <v>1200.0</v>
      </c>
      <c r="E3154" s="67">
        <v>6.73</v>
      </c>
      <c r="F3154" s="75">
        <v>0.6590277777777778</v>
      </c>
      <c r="G3154" s="67" t="s">
        <v>453</v>
      </c>
      <c r="H3154" s="68">
        <v>6.0</v>
      </c>
      <c r="I3154" s="76"/>
      <c r="J3154" s="67">
        <f t="shared" ref="J3154:J3157" si="216">IF(B3154="SLD",D3154*E3154,-D3154*E3154)-H3154</f>
        <v>-8082</v>
      </c>
      <c r="K3154" s="7"/>
      <c r="L3154" s="70"/>
      <c r="M3154" s="79"/>
      <c r="N3154" s="1"/>
      <c r="O3154" s="1"/>
      <c r="P3154" s="1"/>
      <c r="Q3154" s="1"/>
      <c r="R3154" s="1"/>
      <c r="S3154" s="1"/>
      <c r="T3154" s="1"/>
      <c r="U3154" s="1"/>
      <c r="V3154" s="1"/>
      <c r="W3154" s="1"/>
      <c r="X3154" s="1"/>
      <c r="Y3154" s="1"/>
      <c r="Z3154" s="1"/>
      <c r="AA3154" s="1"/>
      <c r="AB3154" s="1"/>
      <c r="AC3154" s="1"/>
      <c r="AD3154" s="1"/>
      <c r="AE3154" s="1"/>
      <c r="AF3154" s="1"/>
      <c r="AG3154" s="1"/>
      <c r="AH3154" s="1"/>
    </row>
    <row r="3155" ht="12.75" hidden="1" customHeight="1" outlineLevel="1">
      <c r="A3155" s="17">
        <v>41575.0</v>
      </c>
      <c r="B3155" s="1" t="s">
        <v>347</v>
      </c>
      <c r="C3155" s="1" t="s">
        <v>734</v>
      </c>
      <c r="D3155" s="74">
        <v>200.0</v>
      </c>
      <c r="E3155" s="67">
        <v>23.84</v>
      </c>
      <c r="F3155" s="75">
        <v>0.6627546296296296</v>
      </c>
      <c r="G3155" s="67" t="s">
        <v>453</v>
      </c>
      <c r="H3155" s="68">
        <v>1.08</v>
      </c>
      <c r="I3155" s="76"/>
      <c r="J3155" s="67">
        <f t="shared" si="216"/>
        <v>4766.92</v>
      </c>
      <c r="K3155" s="7"/>
      <c r="L3155" s="70"/>
      <c r="M3155" s="79"/>
      <c r="N3155" s="1"/>
      <c r="O3155" s="1"/>
      <c r="P3155" s="1"/>
      <c r="Q3155" s="1"/>
      <c r="R3155" s="1"/>
      <c r="S3155" s="1"/>
      <c r="T3155" s="1"/>
      <c r="U3155" s="1"/>
      <c r="V3155" s="1"/>
      <c r="W3155" s="1"/>
      <c r="X3155" s="1"/>
      <c r="Y3155" s="1"/>
      <c r="Z3155" s="1"/>
      <c r="AA3155" s="1"/>
      <c r="AB3155" s="1"/>
      <c r="AC3155" s="1"/>
      <c r="AD3155" s="1"/>
      <c r="AE3155" s="1"/>
      <c r="AF3155" s="1"/>
      <c r="AG3155" s="1"/>
      <c r="AH3155" s="1"/>
    </row>
    <row r="3156" ht="12.75" hidden="1" customHeight="1" outlineLevel="1">
      <c r="A3156" s="17">
        <v>41575.0</v>
      </c>
      <c r="B3156" s="1" t="s">
        <v>347</v>
      </c>
      <c r="C3156" s="1" t="s">
        <v>344</v>
      </c>
      <c r="D3156" s="74">
        <v>100.0</v>
      </c>
      <c r="E3156" s="67">
        <v>51.36</v>
      </c>
      <c r="F3156" s="75">
        <v>0.6640972222222222</v>
      </c>
      <c r="G3156" s="67" t="s">
        <v>453</v>
      </c>
      <c r="H3156" s="68">
        <v>1.09</v>
      </c>
      <c r="I3156" s="76"/>
      <c r="J3156" s="67">
        <f t="shared" si="216"/>
        <v>5134.91</v>
      </c>
      <c r="K3156" s="7"/>
      <c r="L3156" s="70"/>
      <c r="M3156" s="79"/>
      <c r="N3156" s="1"/>
      <c r="O3156" s="1"/>
      <c r="P3156" s="1"/>
      <c r="Q3156" s="1"/>
      <c r="R3156" s="1"/>
      <c r="S3156" s="1"/>
      <c r="T3156" s="1"/>
      <c r="U3156" s="1"/>
      <c r="V3156" s="1"/>
      <c r="W3156" s="1"/>
      <c r="X3156" s="1"/>
      <c r="Y3156" s="1"/>
      <c r="Z3156" s="1"/>
      <c r="AA3156" s="1"/>
      <c r="AB3156" s="1"/>
      <c r="AC3156" s="1"/>
      <c r="AD3156" s="1"/>
      <c r="AE3156" s="1"/>
      <c r="AF3156" s="1"/>
      <c r="AG3156" s="1"/>
      <c r="AH3156" s="1"/>
    </row>
    <row r="3157" ht="12.75" hidden="1" customHeight="1" outlineLevel="1">
      <c r="A3157" s="17">
        <v>41575.0</v>
      </c>
      <c r="B3157" s="1" t="s">
        <v>347</v>
      </c>
      <c r="C3157" s="1" t="s">
        <v>734</v>
      </c>
      <c r="D3157" s="74">
        <v>200.0</v>
      </c>
      <c r="E3157" s="67">
        <v>23.81</v>
      </c>
      <c r="F3157" s="75">
        <v>0.6646296296296296</v>
      </c>
      <c r="G3157" s="67" t="s">
        <v>453</v>
      </c>
      <c r="H3157" s="68">
        <v>1.08</v>
      </c>
      <c r="I3157" s="76"/>
      <c r="J3157" s="67">
        <f t="shared" si="216"/>
        <v>4760.92</v>
      </c>
      <c r="K3157" s="7"/>
      <c r="L3157" s="70"/>
      <c r="M3157" s="79"/>
      <c r="N3157" s="1"/>
      <c r="O3157" s="1"/>
      <c r="P3157" s="1"/>
      <c r="Q3157" s="1"/>
      <c r="R3157" s="1"/>
      <c r="S3157" s="1"/>
      <c r="T3157" s="1"/>
      <c r="U3157" s="1"/>
      <c r="V3157" s="1"/>
      <c r="W3157" s="1"/>
      <c r="X3157" s="1"/>
      <c r="Y3157" s="1"/>
      <c r="Z3157" s="1"/>
      <c r="AA3157" s="1"/>
      <c r="AB3157" s="1"/>
      <c r="AC3157" s="1"/>
      <c r="AD3157" s="1"/>
      <c r="AE3157" s="1"/>
      <c r="AF3157" s="1"/>
      <c r="AG3157" s="1"/>
      <c r="AH3157" s="1"/>
    </row>
    <row r="3158" ht="12.75" hidden="1" customHeight="1" outlineLevel="1">
      <c r="A3158" s="17">
        <v>41575.0</v>
      </c>
      <c r="B3158" s="1"/>
      <c r="C3158" s="1" t="s">
        <v>339</v>
      </c>
      <c r="D3158" s="74"/>
      <c r="E3158" s="67"/>
      <c r="F3158" s="75"/>
      <c r="G3158" s="67"/>
      <c r="H3158" s="68"/>
      <c r="I3158" s="76"/>
      <c r="J3158" s="67"/>
      <c r="K3158" s="7" t="s">
        <v>1298</v>
      </c>
      <c r="L3158" s="77"/>
      <c r="M3158" s="79"/>
      <c r="N3158" s="1"/>
      <c r="O3158" s="1"/>
      <c r="P3158" s="1"/>
      <c r="Q3158" s="1"/>
      <c r="R3158" s="1"/>
      <c r="S3158" s="1"/>
      <c r="T3158" s="1"/>
      <c r="U3158" s="1"/>
      <c r="V3158" s="1"/>
      <c r="W3158" s="1"/>
      <c r="X3158" s="1"/>
      <c r="Y3158" s="1"/>
      <c r="Z3158" s="1"/>
      <c r="AA3158" s="1"/>
      <c r="AB3158" s="1"/>
      <c r="AC3158" s="1"/>
      <c r="AD3158" s="1"/>
      <c r="AE3158" s="1"/>
      <c r="AF3158" s="1"/>
      <c r="AG3158" s="1"/>
      <c r="AH3158" s="1"/>
    </row>
    <row r="3159" ht="12.75" hidden="1" customHeight="1" outlineLevel="1">
      <c r="A3159" s="17">
        <v>41575.0</v>
      </c>
      <c r="B3159" s="1"/>
      <c r="C3159" s="1" t="s">
        <v>429</v>
      </c>
      <c r="D3159" s="74"/>
      <c r="E3159" s="67"/>
      <c r="F3159" s="75"/>
      <c r="G3159" s="67"/>
      <c r="H3159" s="68"/>
      <c r="I3159" s="76"/>
      <c r="J3159" s="67"/>
      <c r="K3159" s="7" t="s">
        <v>1156</v>
      </c>
      <c r="L3159" s="77"/>
      <c r="M3159" s="79"/>
      <c r="N3159" s="1"/>
      <c r="O3159" s="1"/>
      <c r="P3159" s="1"/>
      <c r="Q3159" s="1"/>
      <c r="R3159" s="1"/>
      <c r="S3159" s="1"/>
      <c r="T3159" s="1"/>
      <c r="U3159" s="1"/>
      <c r="V3159" s="1"/>
      <c r="W3159" s="1"/>
      <c r="X3159" s="1"/>
      <c r="Y3159" s="1"/>
      <c r="Z3159" s="1"/>
      <c r="AA3159" s="1"/>
      <c r="AB3159" s="1"/>
      <c r="AC3159" s="1"/>
      <c r="AD3159" s="1"/>
      <c r="AE3159" s="1"/>
      <c r="AF3159" s="1"/>
      <c r="AG3159" s="1"/>
      <c r="AH3159" s="1"/>
    </row>
    <row r="3160" ht="12.75" hidden="1" customHeight="1" outlineLevel="1">
      <c r="A3160" s="17">
        <v>41575.0</v>
      </c>
      <c r="B3160" s="1"/>
      <c r="C3160" s="1" t="s">
        <v>431</v>
      </c>
      <c r="D3160" s="74"/>
      <c r="E3160" s="67"/>
      <c r="F3160" s="75"/>
      <c r="G3160" s="67"/>
      <c r="H3160" s="68"/>
      <c r="I3160" s="76"/>
      <c r="J3160" s="67"/>
      <c r="K3160" s="7" t="s">
        <v>1126</v>
      </c>
      <c r="L3160" s="77"/>
      <c r="M3160" s="79"/>
      <c r="N3160" s="1"/>
      <c r="O3160" s="1"/>
      <c r="P3160" s="1"/>
      <c r="Q3160" s="1"/>
      <c r="R3160" s="1"/>
      <c r="S3160" s="1"/>
      <c r="T3160" s="1"/>
      <c r="U3160" s="1"/>
      <c r="V3160" s="1"/>
      <c r="W3160" s="1"/>
      <c r="X3160" s="1"/>
      <c r="Y3160" s="1"/>
      <c r="Z3160" s="1"/>
      <c r="AA3160" s="1"/>
      <c r="AB3160" s="1"/>
      <c r="AC3160" s="1"/>
      <c r="AD3160" s="1"/>
      <c r="AE3160" s="1"/>
      <c r="AF3160" s="1"/>
      <c r="AG3160" s="1"/>
      <c r="AH3160" s="1"/>
    </row>
    <row r="3161" ht="12.75" hidden="1" customHeight="1" outlineLevel="1">
      <c r="A3161" s="17">
        <v>41575.0</v>
      </c>
      <c r="B3161" s="1"/>
      <c r="C3161" s="1" t="s">
        <v>433</v>
      </c>
      <c r="D3161" s="74"/>
      <c r="E3161" s="67"/>
      <c r="F3161" s="75"/>
      <c r="G3161" s="67"/>
      <c r="H3161" s="68"/>
      <c r="I3161" s="76"/>
      <c r="J3161" s="67"/>
      <c r="K3161" s="7" t="s">
        <v>1103</v>
      </c>
      <c r="L3161" s="77"/>
      <c r="M3161" s="79"/>
      <c r="N3161" s="1"/>
      <c r="O3161" s="1"/>
      <c r="P3161" s="1"/>
      <c r="Q3161" s="1"/>
      <c r="R3161" s="1"/>
      <c r="S3161" s="1"/>
      <c r="T3161" s="1"/>
      <c r="U3161" s="1"/>
      <c r="V3161" s="1"/>
      <c r="W3161" s="1"/>
      <c r="X3161" s="1"/>
      <c r="Y3161" s="1"/>
      <c r="Z3161" s="1"/>
      <c r="AA3161" s="1"/>
      <c r="AB3161" s="1"/>
      <c r="AC3161" s="1"/>
      <c r="AD3161" s="1"/>
      <c r="AE3161" s="1"/>
      <c r="AF3161" s="1"/>
      <c r="AG3161" s="1"/>
      <c r="AH3161" s="1"/>
    </row>
    <row r="3162" ht="12.75" hidden="1" customHeight="1" outlineLevel="1">
      <c r="A3162" s="17">
        <v>41575.0</v>
      </c>
      <c r="B3162" s="1"/>
      <c r="C3162" s="1" t="s">
        <v>435</v>
      </c>
      <c r="D3162" s="74"/>
      <c r="E3162" s="67"/>
      <c r="F3162" s="75"/>
      <c r="G3162" s="67"/>
      <c r="H3162" s="68"/>
      <c r="I3162" s="76"/>
      <c r="J3162" s="67"/>
      <c r="K3162" s="7" t="s">
        <v>1104</v>
      </c>
      <c r="L3162" s="77"/>
      <c r="M3162" s="79"/>
      <c r="N3162" s="1"/>
      <c r="O3162" s="1"/>
      <c r="P3162" s="1"/>
      <c r="Q3162" s="1"/>
      <c r="R3162" s="1"/>
      <c r="S3162" s="1"/>
      <c r="T3162" s="1"/>
      <c r="U3162" s="1"/>
      <c r="V3162" s="1"/>
      <c r="W3162" s="1"/>
      <c r="X3162" s="1"/>
      <c r="Y3162" s="1"/>
      <c r="Z3162" s="1"/>
      <c r="AA3162" s="1"/>
      <c r="AB3162" s="1"/>
      <c r="AC3162" s="1"/>
      <c r="AD3162" s="1"/>
      <c r="AE3162" s="1"/>
      <c r="AF3162" s="1"/>
      <c r="AG3162" s="1"/>
      <c r="AH3162" s="1"/>
    </row>
    <row r="3163" ht="12.75" hidden="1" customHeight="1" outlineLevel="1">
      <c r="A3163" s="17">
        <v>41576.0</v>
      </c>
      <c r="B3163" s="1"/>
      <c r="C3163" s="1" t="s">
        <v>339</v>
      </c>
      <c r="D3163" s="74"/>
      <c r="E3163" s="67"/>
      <c r="F3163" s="75"/>
      <c r="G3163" s="67"/>
      <c r="H3163" s="68"/>
      <c r="I3163" s="76"/>
      <c r="J3163" s="67"/>
      <c r="K3163" s="7" t="s">
        <v>1301</v>
      </c>
      <c r="L3163" s="77"/>
      <c r="M3163" s="79"/>
      <c r="N3163" s="1"/>
      <c r="O3163" s="1"/>
      <c r="P3163" s="1"/>
      <c r="Q3163" s="1"/>
      <c r="R3163" s="1"/>
      <c r="S3163" s="1"/>
      <c r="T3163" s="1"/>
      <c r="U3163" s="1"/>
      <c r="V3163" s="1"/>
      <c r="W3163" s="1"/>
      <c r="X3163" s="1"/>
      <c r="Y3163" s="1"/>
      <c r="Z3163" s="1"/>
      <c r="AA3163" s="1"/>
      <c r="AB3163" s="1"/>
      <c r="AC3163" s="1"/>
      <c r="AD3163" s="1"/>
      <c r="AE3163" s="1"/>
      <c r="AF3163" s="1"/>
      <c r="AG3163" s="1"/>
      <c r="AH3163" s="1"/>
    </row>
    <row r="3164" ht="12.75" hidden="1" customHeight="1" outlineLevel="1">
      <c r="A3164" s="17">
        <v>41576.0</v>
      </c>
      <c r="B3164" s="1"/>
      <c r="C3164" s="1" t="s">
        <v>429</v>
      </c>
      <c r="D3164" s="74"/>
      <c r="E3164" s="67"/>
      <c r="F3164" s="75"/>
      <c r="G3164" s="67"/>
      <c r="H3164" s="68"/>
      <c r="I3164" s="76"/>
      <c r="J3164" s="67"/>
      <c r="K3164" s="7" t="s">
        <v>1156</v>
      </c>
      <c r="L3164" s="77"/>
      <c r="M3164" s="79"/>
      <c r="N3164" s="1"/>
      <c r="O3164" s="1"/>
      <c r="P3164" s="1"/>
      <c r="Q3164" s="1"/>
      <c r="R3164" s="1"/>
      <c r="S3164" s="1"/>
      <c r="T3164" s="1"/>
      <c r="U3164" s="1"/>
      <c r="V3164" s="1"/>
      <c r="W3164" s="1"/>
      <c r="X3164" s="1"/>
      <c r="Y3164" s="1"/>
      <c r="Z3164" s="1"/>
      <c r="AA3164" s="1"/>
      <c r="AB3164" s="1"/>
      <c r="AC3164" s="1"/>
      <c r="AD3164" s="1"/>
      <c r="AE3164" s="1"/>
      <c r="AF3164" s="1"/>
      <c r="AG3164" s="1"/>
      <c r="AH3164" s="1"/>
    </row>
    <row r="3165" ht="12.75" hidden="1" customHeight="1" outlineLevel="1">
      <c r="A3165" s="17">
        <v>41576.0</v>
      </c>
      <c r="B3165" s="1"/>
      <c r="C3165" s="1" t="s">
        <v>431</v>
      </c>
      <c r="D3165" s="74"/>
      <c r="E3165" s="67"/>
      <c r="F3165" s="75"/>
      <c r="G3165" s="67"/>
      <c r="H3165" s="68"/>
      <c r="I3165" s="76"/>
      <c r="J3165" s="67"/>
      <c r="K3165" s="7" t="s">
        <v>1126</v>
      </c>
      <c r="L3165" s="77"/>
      <c r="M3165" s="79"/>
      <c r="N3165" s="1"/>
      <c r="O3165" s="1"/>
      <c r="P3165" s="1"/>
      <c r="Q3165" s="1"/>
      <c r="R3165" s="1"/>
      <c r="S3165" s="1"/>
      <c r="T3165" s="1"/>
      <c r="U3165" s="1"/>
      <c r="V3165" s="1"/>
      <c r="W3165" s="1"/>
      <c r="X3165" s="1"/>
      <c r="Y3165" s="1"/>
      <c r="Z3165" s="1"/>
      <c r="AA3165" s="1"/>
      <c r="AB3165" s="1"/>
      <c r="AC3165" s="1"/>
      <c r="AD3165" s="1"/>
      <c r="AE3165" s="1"/>
      <c r="AF3165" s="1"/>
      <c r="AG3165" s="1"/>
      <c r="AH3165" s="1"/>
    </row>
    <row r="3166" ht="12.75" hidden="1" customHeight="1" outlineLevel="1">
      <c r="A3166" s="17">
        <v>41576.0</v>
      </c>
      <c r="B3166" s="1"/>
      <c r="C3166" s="1" t="s">
        <v>433</v>
      </c>
      <c r="D3166" s="74"/>
      <c r="E3166" s="67"/>
      <c r="F3166" s="75"/>
      <c r="G3166" s="67"/>
      <c r="H3166" s="68"/>
      <c r="I3166" s="76"/>
      <c r="J3166" s="67"/>
      <c r="K3166" s="7" t="s">
        <v>1103</v>
      </c>
      <c r="L3166" s="77"/>
      <c r="M3166" s="79"/>
      <c r="N3166" s="1"/>
      <c r="O3166" s="1"/>
      <c r="P3166" s="1"/>
      <c r="Q3166" s="1"/>
      <c r="R3166" s="1"/>
      <c r="S3166" s="1"/>
      <c r="T3166" s="1"/>
      <c r="U3166" s="1"/>
      <c r="V3166" s="1"/>
      <c r="W3166" s="1"/>
      <c r="X3166" s="1"/>
      <c r="Y3166" s="1"/>
      <c r="Z3166" s="1"/>
      <c r="AA3166" s="1"/>
      <c r="AB3166" s="1"/>
      <c r="AC3166" s="1"/>
      <c r="AD3166" s="1"/>
      <c r="AE3166" s="1"/>
      <c r="AF3166" s="1"/>
      <c r="AG3166" s="1"/>
      <c r="AH3166" s="1"/>
    </row>
    <row r="3167" ht="12.75" hidden="1" customHeight="1" outlineLevel="1">
      <c r="A3167" s="17">
        <v>41576.0</v>
      </c>
      <c r="B3167" s="1"/>
      <c r="C3167" s="1" t="s">
        <v>435</v>
      </c>
      <c r="D3167" s="74"/>
      <c r="E3167" s="67"/>
      <c r="F3167" s="75"/>
      <c r="G3167" s="67"/>
      <c r="H3167" s="68"/>
      <c r="I3167" s="76"/>
      <c r="J3167" s="67"/>
      <c r="K3167" s="7" t="s">
        <v>1104</v>
      </c>
      <c r="L3167" s="77"/>
      <c r="M3167" s="79"/>
      <c r="N3167" s="1"/>
      <c r="O3167" s="1"/>
      <c r="P3167" s="1"/>
      <c r="Q3167" s="1"/>
      <c r="R3167" s="1"/>
      <c r="S3167" s="1"/>
      <c r="T3167" s="1"/>
      <c r="U3167" s="1"/>
      <c r="V3167" s="1"/>
      <c r="W3167" s="1"/>
      <c r="X3167" s="1"/>
      <c r="Y3167" s="1"/>
      <c r="Z3167" s="1"/>
      <c r="AA3167" s="1"/>
      <c r="AB3167" s="1"/>
      <c r="AC3167" s="1"/>
      <c r="AD3167" s="1"/>
      <c r="AE3167" s="1"/>
      <c r="AF3167" s="1"/>
      <c r="AG3167" s="1"/>
      <c r="AH3167" s="1"/>
    </row>
    <row r="3168" ht="12.75" hidden="1" customHeight="1" outlineLevel="1">
      <c r="A3168" s="17">
        <v>41577.0</v>
      </c>
      <c r="B3168" s="1" t="s">
        <v>347</v>
      </c>
      <c r="C3168" s="1" t="s">
        <v>1060</v>
      </c>
      <c r="D3168" s="74">
        <v>200.0</v>
      </c>
      <c r="E3168" s="67">
        <v>31.2</v>
      </c>
      <c r="F3168" s="75">
        <v>0.666400462962963</v>
      </c>
      <c r="G3168" s="67" t="s">
        <v>453</v>
      </c>
      <c r="H3168" s="68">
        <v>1.11</v>
      </c>
      <c r="I3168" s="76"/>
      <c r="J3168" s="67">
        <f>IF(B3168="SLD",D3168*E3168,-D3168*E3168)-H3168</f>
        <v>6238.89</v>
      </c>
      <c r="K3168" s="7"/>
      <c r="L3168" s="70"/>
      <c r="M3168" s="79"/>
      <c r="N3168" s="1"/>
      <c r="O3168" s="1"/>
      <c r="P3168" s="1"/>
      <c r="Q3168" s="1"/>
      <c r="R3168" s="1"/>
      <c r="S3168" s="1"/>
      <c r="T3168" s="1"/>
      <c r="U3168" s="1"/>
      <c r="V3168" s="1"/>
      <c r="W3168" s="1"/>
      <c r="X3168" s="1"/>
      <c r="Y3168" s="1"/>
      <c r="Z3168" s="1"/>
      <c r="AA3168" s="1"/>
      <c r="AB3168" s="1"/>
      <c r="AC3168" s="1"/>
      <c r="AD3168" s="1"/>
      <c r="AE3168" s="1"/>
      <c r="AF3168" s="1"/>
      <c r="AG3168" s="1"/>
      <c r="AH3168" s="1"/>
    </row>
    <row r="3169" ht="12.75" hidden="1" customHeight="1" outlineLevel="1">
      <c r="A3169" s="17">
        <v>41577.0</v>
      </c>
      <c r="B3169" s="1"/>
      <c r="C3169" s="1" t="s">
        <v>339</v>
      </c>
      <c r="D3169" s="74"/>
      <c r="E3169" s="67"/>
      <c r="F3169" s="75"/>
      <c r="G3169" s="67"/>
      <c r="H3169" s="68"/>
      <c r="I3169" s="76"/>
      <c r="J3169" s="67"/>
      <c r="K3169" s="7" t="s">
        <v>1305</v>
      </c>
      <c r="L3169" s="77"/>
      <c r="M3169" s="79"/>
      <c r="N3169" s="1"/>
      <c r="O3169" s="1"/>
      <c r="P3169" s="1"/>
      <c r="Q3169" s="1"/>
      <c r="R3169" s="1"/>
      <c r="S3169" s="1"/>
      <c r="T3169" s="1"/>
      <c r="U3169" s="1"/>
      <c r="V3169" s="1"/>
      <c r="W3169" s="1"/>
      <c r="X3169" s="1"/>
      <c r="Y3169" s="1"/>
      <c r="Z3169" s="1"/>
      <c r="AA3169" s="1"/>
      <c r="AB3169" s="1"/>
      <c r="AC3169" s="1"/>
      <c r="AD3169" s="1"/>
      <c r="AE3169" s="1"/>
      <c r="AF3169" s="1"/>
      <c r="AG3169" s="1"/>
      <c r="AH3169" s="1"/>
    </row>
    <row r="3170" ht="12.75" hidden="1" customHeight="1" outlineLevel="1">
      <c r="A3170" s="17">
        <v>41577.0</v>
      </c>
      <c r="B3170" s="1"/>
      <c r="C3170" s="1" t="s">
        <v>429</v>
      </c>
      <c r="D3170" s="74"/>
      <c r="E3170" s="67"/>
      <c r="F3170" s="75"/>
      <c r="G3170" s="67"/>
      <c r="H3170" s="68"/>
      <c r="I3170" s="76"/>
      <c r="J3170" s="67"/>
      <c r="K3170" s="7" t="s">
        <v>1156</v>
      </c>
      <c r="L3170" s="77"/>
      <c r="M3170" s="79"/>
      <c r="N3170" s="1"/>
      <c r="O3170" s="1"/>
      <c r="P3170" s="1"/>
      <c r="Q3170" s="1"/>
      <c r="R3170" s="1"/>
      <c r="S3170" s="1"/>
      <c r="T3170" s="1"/>
      <c r="U3170" s="1"/>
      <c r="V3170" s="1"/>
      <c r="W3170" s="1"/>
      <c r="X3170" s="1"/>
      <c r="Y3170" s="1"/>
      <c r="Z3170" s="1"/>
      <c r="AA3170" s="1"/>
      <c r="AB3170" s="1"/>
      <c r="AC3170" s="1"/>
      <c r="AD3170" s="1"/>
      <c r="AE3170" s="1"/>
      <c r="AF3170" s="1"/>
      <c r="AG3170" s="1"/>
      <c r="AH3170" s="1"/>
    </row>
    <row r="3171" ht="12.75" hidden="1" customHeight="1" outlineLevel="1">
      <c r="A3171" s="17">
        <v>41577.0</v>
      </c>
      <c r="B3171" s="1"/>
      <c r="C3171" s="1" t="s">
        <v>431</v>
      </c>
      <c r="D3171" s="74"/>
      <c r="E3171" s="67"/>
      <c r="F3171" s="75"/>
      <c r="G3171" s="67"/>
      <c r="H3171" s="68"/>
      <c r="I3171" s="76"/>
      <c r="J3171" s="67"/>
      <c r="K3171" s="7" t="s">
        <v>1126</v>
      </c>
      <c r="L3171" s="77"/>
      <c r="M3171" s="79"/>
      <c r="N3171" s="1"/>
      <c r="O3171" s="1"/>
      <c r="P3171" s="1"/>
      <c r="Q3171" s="1"/>
      <c r="R3171" s="1"/>
      <c r="S3171" s="1"/>
      <c r="T3171" s="1"/>
      <c r="U3171" s="1"/>
      <c r="V3171" s="1"/>
      <c r="W3171" s="1"/>
      <c r="X3171" s="1"/>
      <c r="Y3171" s="1"/>
      <c r="Z3171" s="1"/>
      <c r="AA3171" s="1"/>
      <c r="AB3171" s="1"/>
      <c r="AC3171" s="1"/>
      <c r="AD3171" s="1"/>
      <c r="AE3171" s="1"/>
      <c r="AF3171" s="1"/>
      <c r="AG3171" s="1"/>
      <c r="AH3171" s="1"/>
    </row>
    <row r="3172" ht="12.75" hidden="1" customHeight="1" outlineLevel="1">
      <c r="A3172" s="17">
        <v>41577.0</v>
      </c>
      <c r="B3172" s="1"/>
      <c r="C3172" s="1" t="s">
        <v>433</v>
      </c>
      <c r="D3172" s="74"/>
      <c r="E3172" s="67"/>
      <c r="F3172" s="75"/>
      <c r="G3172" s="67"/>
      <c r="H3172" s="68"/>
      <c r="I3172" s="76"/>
      <c r="J3172" s="67"/>
      <c r="K3172" s="7" t="s">
        <v>1103</v>
      </c>
      <c r="L3172" s="77"/>
      <c r="M3172" s="79"/>
      <c r="N3172" s="1"/>
      <c r="O3172" s="1"/>
      <c r="P3172" s="1"/>
      <c r="Q3172" s="1"/>
      <c r="R3172" s="1"/>
      <c r="S3172" s="1"/>
      <c r="T3172" s="1"/>
      <c r="U3172" s="1"/>
      <c r="V3172" s="1"/>
      <c r="W3172" s="1"/>
      <c r="X3172" s="1"/>
      <c r="Y3172" s="1"/>
      <c r="Z3172" s="1"/>
      <c r="AA3172" s="1"/>
      <c r="AB3172" s="1"/>
      <c r="AC3172" s="1"/>
      <c r="AD3172" s="1"/>
      <c r="AE3172" s="1"/>
      <c r="AF3172" s="1"/>
      <c r="AG3172" s="1"/>
      <c r="AH3172" s="1"/>
    </row>
    <row r="3173" ht="12.75" hidden="1" customHeight="1" outlineLevel="1">
      <c r="A3173" s="17">
        <v>41577.0</v>
      </c>
      <c r="B3173" s="1"/>
      <c r="C3173" s="1" t="s">
        <v>435</v>
      </c>
      <c r="D3173" s="74"/>
      <c r="E3173" s="67"/>
      <c r="F3173" s="75"/>
      <c r="G3173" s="67"/>
      <c r="H3173" s="68"/>
      <c r="I3173" s="76"/>
      <c r="J3173" s="67"/>
      <c r="K3173" s="7" t="s">
        <v>1104</v>
      </c>
      <c r="L3173" s="77"/>
      <c r="M3173" s="79"/>
      <c r="N3173" s="1"/>
      <c r="O3173" s="1"/>
      <c r="P3173" s="1"/>
      <c r="Q3173" s="1"/>
      <c r="R3173" s="1"/>
      <c r="S3173" s="1"/>
      <c r="T3173" s="1"/>
      <c r="U3173" s="1"/>
      <c r="V3173" s="1"/>
      <c r="W3173" s="1"/>
      <c r="X3173" s="1"/>
      <c r="Y3173" s="1"/>
      <c r="Z3173" s="1"/>
      <c r="AA3173" s="1"/>
      <c r="AB3173" s="1"/>
      <c r="AC3173" s="1"/>
      <c r="AD3173" s="1"/>
      <c r="AE3173" s="1"/>
      <c r="AF3173" s="1"/>
      <c r="AG3173" s="1"/>
      <c r="AH3173" s="1"/>
    </row>
    <row r="3174" ht="12.75" hidden="1" customHeight="1" outlineLevel="1">
      <c r="A3174" s="17">
        <v>41578.0</v>
      </c>
      <c r="B3174" s="1" t="s">
        <v>347</v>
      </c>
      <c r="C3174" s="1" t="s">
        <v>364</v>
      </c>
      <c r="D3174" s="74">
        <v>50.0</v>
      </c>
      <c r="E3174" s="67">
        <v>116.27</v>
      </c>
      <c r="F3174" s="75">
        <v>0.44886574074074076</v>
      </c>
      <c r="G3174" s="67" t="s">
        <v>453</v>
      </c>
      <c r="H3174" s="68">
        <v>1.1</v>
      </c>
      <c r="I3174" s="76"/>
      <c r="J3174" s="67">
        <f t="shared" ref="J3174:J3182" si="217">IF(B3174="SLD",D3174*E3174,-D3174*E3174)-H3174</f>
        <v>5812.4</v>
      </c>
      <c r="K3174" s="7"/>
      <c r="L3174" s="70"/>
      <c r="M3174" s="79"/>
      <c r="N3174" s="1"/>
      <c r="O3174" s="1"/>
      <c r="P3174" s="1"/>
      <c r="Q3174" s="1"/>
      <c r="R3174" s="1"/>
      <c r="S3174" s="1"/>
      <c r="T3174" s="1"/>
      <c r="U3174" s="1"/>
      <c r="V3174" s="1"/>
      <c r="W3174" s="1"/>
      <c r="X3174" s="1"/>
      <c r="Y3174" s="1"/>
      <c r="Z3174" s="1"/>
      <c r="AA3174" s="1"/>
      <c r="AB3174" s="1"/>
      <c r="AC3174" s="1"/>
      <c r="AD3174" s="1"/>
      <c r="AE3174" s="1"/>
      <c r="AF3174" s="1"/>
      <c r="AG3174" s="1"/>
      <c r="AH3174" s="1"/>
    </row>
    <row r="3175" ht="12.75" hidden="1" customHeight="1" outlineLevel="1">
      <c r="A3175" s="17">
        <v>41578.0</v>
      </c>
      <c r="B3175" s="1" t="s">
        <v>347</v>
      </c>
      <c r="C3175" s="1" t="s">
        <v>458</v>
      </c>
      <c r="D3175" s="74">
        <v>100.0</v>
      </c>
      <c r="E3175" s="67">
        <v>58.34</v>
      </c>
      <c r="F3175" s="75">
        <v>0.45587962962962963</v>
      </c>
      <c r="G3175" s="67" t="s">
        <v>453</v>
      </c>
      <c r="H3175" s="68">
        <v>1.1</v>
      </c>
      <c r="I3175" s="76"/>
      <c r="J3175" s="67">
        <f t="shared" si="217"/>
        <v>5832.9</v>
      </c>
      <c r="K3175" s="7"/>
      <c r="L3175" s="70"/>
      <c r="M3175" s="79"/>
      <c r="N3175" s="1"/>
      <c r="O3175" s="1"/>
      <c r="P3175" s="1"/>
      <c r="Q3175" s="1"/>
      <c r="R3175" s="1"/>
      <c r="S3175" s="1"/>
      <c r="T3175" s="1"/>
      <c r="U3175" s="1"/>
      <c r="V3175" s="1"/>
      <c r="W3175" s="1"/>
      <c r="X3175" s="1"/>
      <c r="Y3175" s="1"/>
      <c r="Z3175" s="1"/>
      <c r="AA3175" s="1"/>
      <c r="AB3175" s="1"/>
      <c r="AC3175" s="1"/>
      <c r="AD3175" s="1"/>
      <c r="AE3175" s="1"/>
      <c r="AF3175" s="1"/>
      <c r="AG3175" s="1"/>
      <c r="AH3175" s="1"/>
    </row>
    <row r="3176" ht="12.75" hidden="1" customHeight="1" outlineLevel="1">
      <c r="A3176" s="17">
        <v>41578.0</v>
      </c>
      <c r="B3176" s="1" t="s">
        <v>347</v>
      </c>
      <c r="C3176" s="1" t="s">
        <v>1275</v>
      </c>
      <c r="D3176" s="74">
        <v>650.0</v>
      </c>
      <c r="E3176" s="67">
        <v>32.219</v>
      </c>
      <c r="F3176" s="75">
        <v>0.46738425925925925</v>
      </c>
      <c r="G3176" s="67" t="s">
        <v>453</v>
      </c>
      <c r="H3176" s="68">
        <v>2.96</v>
      </c>
      <c r="I3176" s="76"/>
      <c r="J3176" s="67">
        <f t="shared" si="217"/>
        <v>20939.39</v>
      </c>
      <c r="K3176" s="7"/>
      <c r="L3176" s="70"/>
      <c r="M3176" s="79"/>
      <c r="N3176" s="1"/>
      <c r="O3176" s="1"/>
      <c r="P3176" s="1"/>
      <c r="Q3176" s="1"/>
      <c r="R3176" s="1"/>
      <c r="S3176" s="1"/>
      <c r="T3176" s="1"/>
      <c r="U3176" s="1"/>
      <c r="V3176" s="1"/>
      <c r="W3176" s="1"/>
      <c r="X3176" s="1"/>
      <c r="Y3176" s="1"/>
      <c r="Z3176" s="1"/>
      <c r="AA3176" s="1"/>
      <c r="AB3176" s="1"/>
      <c r="AC3176" s="1"/>
      <c r="AD3176" s="1"/>
      <c r="AE3176" s="1"/>
      <c r="AF3176" s="1"/>
      <c r="AG3176" s="1"/>
      <c r="AH3176" s="1"/>
    </row>
    <row r="3177" ht="12.75" hidden="1" customHeight="1" outlineLevel="1">
      <c r="A3177" s="17">
        <v>41578.0</v>
      </c>
      <c r="B3177" s="1" t="s">
        <v>347</v>
      </c>
      <c r="C3177" s="1" t="s">
        <v>1256</v>
      </c>
      <c r="D3177" s="74">
        <v>900.0</v>
      </c>
      <c r="E3177" s="67">
        <v>24.143</v>
      </c>
      <c r="F3177" s="75">
        <v>0.4683333333333333</v>
      </c>
      <c r="G3177" s="67" t="s">
        <v>453</v>
      </c>
      <c r="H3177" s="68">
        <v>5.05</v>
      </c>
      <c r="I3177" s="76"/>
      <c r="J3177" s="67">
        <f t="shared" si="217"/>
        <v>21723.65</v>
      </c>
      <c r="K3177" s="7"/>
      <c r="L3177" s="70"/>
      <c r="M3177" s="79"/>
      <c r="N3177" s="1"/>
      <c r="O3177" s="1"/>
      <c r="P3177" s="1"/>
      <c r="Q3177" s="1"/>
      <c r="R3177" s="1"/>
      <c r="S3177" s="1"/>
      <c r="T3177" s="1"/>
      <c r="U3177" s="1"/>
      <c r="V3177" s="1"/>
      <c r="W3177" s="1"/>
      <c r="X3177" s="1"/>
      <c r="Y3177" s="1"/>
      <c r="Z3177" s="1"/>
      <c r="AA3177" s="1"/>
      <c r="AB3177" s="1"/>
      <c r="AC3177" s="1"/>
      <c r="AD3177" s="1"/>
      <c r="AE3177" s="1"/>
      <c r="AF3177" s="1"/>
      <c r="AG3177" s="1"/>
      <c r="AH3177" s="1"/>
    </row>
    <row r="3178" ht="12.75" hidden="1" customHeight="1" outlineLevel="1">
      <c r="A3178" s="17">
        <v>41578.0</v>
      </c>
      <c r="B3178" s="1" t="s">
        <v>347</v>
      </c>
      <c r="C3178" s="1" t="s">
        <v>1060</v>
      </c>
      <c r="D3178" s="74">
        <v>250.0</v>
      </c>
      <c r="E3178" s="67">
        <v>31.02</v>
      </c>
      <c r="F3178" s="75">
        <v>0.4708912037037037</v>
      </c>
      <c r="G3178" s="67" t="s">
        <v>453</v>
      </c>
      <c r="H3178" s="68">
        <v>1.13</v>
      </c>
      <c r="I3178" s="76"/>
      <c r="J3178" s="67">
        <f t="shared" si="217"/>
        <v>7753.87</v>
      </c>
      <c r="K3178" s="7"/>
      <c r="L3178" s="70"/>
      <c r="M3178" s="79"/>
      <c r="N3178" s="1"/>
      <c r="O3178" s="1"/>
      <c r="P3178" s="1"/>
      <c r="Q3178" s="1"/>
      <c r="R3178" s="1"/>
      <c r="S3178" s="1"/>
      <c r="T3178" s="1"/>
      <c r="U3178" s="1"/>
      <c r="V3178" s="1"/>
      <c r="W3178" s="1"/>
      <c r="X3178" s="1"/>
      <c r="Y3178" s="1"/>
      <c r="Z3178" s="1"/>
      <c r="AA3178" s="1"/>
      <c r="AB3178" s="1"/>
      <c r="AC3178" s="1"/>
      <c r="AD3178" s="1"/>
      <c r="AE3178" s="1"/>
      <c r="AF3178" s="1"/>
      <c r="AG3178" s="1"/>
      <c r="AH3178" s="1"/>
    </row>
    <row r="3179" ht="12.75" hidden="1" customHeight="1" outlineLevel="1">
      <c r="A3179" s="17">
        <v>41578.0</v>
      </c>
      <c r="B3179" s="1" t="s">
        <v>347</v>
      </c>
      <c r="C3179" s="1" t="s">
        <v>734</v>
      </c>
      <c r="D3179" s="74">
        <v>300.0</v>
      </c>
      <c r="E3179" s="67">
        <v>23.7</v>
      </c>
      <c r="F3179" s="75">
        <v>0.4726736111111111</v>
      </c>
      <c r="G3179" s="67" t="s">
        <v>453</v>
      </c>
      <c r="H3179" s="68">
        <v>1.52</v>
      </c>
      <c r="I3179" s="76"/>
      <c r="J3179" s="67">
        <f t="shared" si="217"/>
        <v>7108.48</v>
      </c>
      <c r="K3179" s="7"/>
      <c r="L3179" s="70"/>
      <c r="M3179" s="79"/>
      <c r="N3179" s="1"/>
      <c r="O3179" s="1"/>
      <c r="P3179" s="1"/>
      <c r="Q3179" s="1"/>
      <c r="R3179" s="1"/>
      <c r="S3179" s="1"/>
      <c r="T3179" s="1"/>
      <c r="U3179" s="1"/>
      <c r="V3179" s="1"/>
      <c r="W3179" s="1"/>
      <c r="X3179" s="1"/>
      <c r="Y3179" s="1"/>
      <c r="Z3179" s="1"/>
      <c r="AA3179" s="1"/>
      <c r="AB3179" s="1"/>
      <c r="AC3179" s="1"/>
      <c r="AD3179" s="1"/>
      <c r="AE3179" s="1"/>
      <c r="AF3179" s="1"/>
      <c r="AG3179" s="1"/>
      <c r="AH3179" s="1"/>
    </row>
    <row r="3180" ht="12.75" hidden="1" customHeight="1" outlineLevel="1">
      <c r="A3180" s="17">
        <v>41578.0</v>
      </c>
      <c r="B3180" s="1" t="s">
        <v>347</v>
      </c>
      <c r="C3180" s="1" t="s">
        <v>364</v>
      </c>
      <c r="D3180" s="74">
        <v>50.0</v>
      </c>
      <c r="E3180" s="67">
        <v>117.4</v>
      </c>
      <c r="F3180" s="75">
        <v>0.4883912037037037</v>
      </c>
      <c r="G3180" s="67" t="s">
        <v>453</v>
      </c>
      <c r="H3180" s="68">
        <v>1.1</v>
      </c>
      <c r="I3180" s="76"/>
      <c r="J3180" s="67">
        <f t="shared" si="217"/>
        <v>5868.9</v>
      </c>
      <c r="K3180" s="7"/>
      <c r="L3180" s="70"/>
      <c r="M3180" s="79"/>
      <c r="N3180" s="1"/>
      <c r="O3180" s="1"/>
      <c r="P3180" s="1"/>
      <c r="Q3180" s="1"/>
      <c r="R3180" s="1"/>
      <c r="S3180" s="1"/>
      <c r="T3180" s="1"/>
      <c r="U3180" s="1"/>
      <c r="V3180" s="1"/>
      <c r="W3180" s="1"/>
      <c r="X3180" s="1"/>
      <c r="Y3180" s="1"/>
      <c r="Z3180" s="1"/>
      <c r="AA3180" s="1"/>
      <c r="AB3180" s="1"/>
      <c r="AC3180" s="1"/>
      <c r="AD3180" s="1"/>
      <c r="AE3180" s="1"/>
      <c r="AF3180" s="1"/>
      <c r="AG3180" s="1"/>
      <c r="AH3180" s="1"/>
    </row>
    <row r="3181" ht="12.75" hidden="1" customHeight="1" outlineLevel="1">
      <c r="A3181" s="17">
        <v>41578.0</v>
      </c>
      <c r="B3181" s="1" t="s">
        <v>347</v>
      </c>
      <c r="C3181" s="1" t="s">
        <v>1060</v>
      </c>
      <c r="D3181" s="74">
        <v>200.0</v>
      </c>
      <c r="E3181" s="67">
        <v>31.05</v>
      </c>
      <c r="F3181" s="75">
        <v>0.4930439814814815</v>
      </c>
      <c r="G3181" s="67" t="s">
        <v>453</v>
      </c>
      <c r="H3181" s="68">
        <v>1.11</v>
      </c>
      <c r="I3181" s="76"/>
      <c r="J3181" s="67">
        <f t="shared" si="217"/>
        <v>6208.89</v>
      </c>
      <c r="K3181" s="7"/>
      <c r="L3181" s="70"/>
      <c r="M3181" s="79"/>
      <c r="N3181" s="1"/>
      <c r="O3181" s="1"/>
      <c r="P3181" s="1"/>
      <c r="Q3181" s="1"/>
      <c r="R3181" s="1"/>
      <c r="S3181" s="1"/>
      <c r="T3181" s="1"/>
      <c r="U3181" s="1"/>
      <c r="V3181" s="1"/>
      <c r="W3181" s="1"/>
      <c r="X3181" s="1"/>
      <c r="Y3181" s="1"/>
      <c r="Z3181" s="1"/>
      <c r="AA3181" s="1"/>
      <c r="AB3181" s="1"/>
      <c r="AC3181" s="1"/>
      <c r="AD3181" s="1"/>
      <c r="AE3181" s="1"/>
      <c r="AF3181" s="1"/>
      <c r="AG3181" s="1"/>
      <c r="AH3181" s="1"/>
    </row>
    <row r="3182" ht="12.75" hidden="1" customHeight="1" outlineLevel="1">
      <c r="A3182" s="17">
        <v>41578.0</v>
      </c>
      <c r="B3182" s="1" t="s">
        <v>347</v>
      </c>
      <c r="C3182" s="1" t="s">
        <v>734</v>
      </c>
      <c r="D3182" s="74">
        <v>300.0</v>
      </c>
      <c r="E3182" s="67">
        <v>23.48</v>
      </c>
      <c r="F3182" s="75">
        <v>0.603761574074074</v>
      </c>
      <c r="G3182" s="67" t="s">
        <v>453</v>
      </c>
      <c r="H3182" s="68">
        <v>1.32</v>
      </c>
      <c r="I3182" s="76"/>
      <c r="J3182" s="67">
        <f t="shared" si="217"/>
        <v>7042.68</v>
      </c>
      <c r="K3182" s="7"/>
      <c r="L3182" s="70"/>
      <c r="M3182" s="79"/>
      <c r="N3182" s="1"/>
      <c r="O3182" s="1"/>
      <c r="P3182" s="1"/>
      <c r="Q3182" s="1"/>
      <c r="R3182" s="1"/>
      <c r="S3182" s="1"/>
      <c r="T3182" s="1"/>
      <c r="U3182" s="1"/>
      <c r="V3182" s="1"/>
      <c r="W3182" s="1"/>
      <c r="X3182" s="1"/>
      <c r="Y3182" s="1"/>
      <c r="Z3182" s="1"/>
      <c r="AA3182" s="1"/>
      <c r="AB3182" s="1"/>
      <c r="AC3182" s="1"/>
      <c r="AD3182" s="1"/>
      <c r="AE3182" s="1"/>
      <c r="AF3182" s="1"/>
      <c r="AG3182" s="1"/>
      <c r="AH3182" s="1"/>
    </row>
    <row r="3183" ht="12.75" hidden="1" customHeight="1" outlineLevel="1">
      <c r="A3183" s="17">
        <v>41578.0</v>
      </c>
      <c r="B3183" s="1"/>
      <c r="C3183" s="1" t="s">
        <v>339</v>
      </c>
      <c r="D3183" s="74"/>
      <c r="E3183" s="67"/>
      <c r="F3183" s="75"/>
      <c r="G3183" s="67"/>
      <c r="H3183" s="68"/>
      <c r="I3183" s="76"/>
      <c r="J3183" s="67"/>
      <c r="K3183" s="7" t="s">
        <v>1314</v>
      </c>
      <c r="L3183" s="77"/>
      <c r="M3183" s="79"/>
      <c r="N3183" s="1"/>
      <c r="O3183" s="1"/>
      <c r="P3183" s="1"/>
      <c r="Q3183" s="1"/>
      <c r="R3183" s="1"/>
      <c r="S3183" s="1"/>
      <c r="T3183" s="1"/>
      <c r="U3183" s="1"/>
      <c r="V3183" s="1"/>
      <c r="W3183" s="1"/>
      <c r="X3183" s="1"/>
      <c r="Y3183" s="1"/>
      <c r="Z3183" s="1"/>
      <c r="AA3183" s="1"/>
      <c r="AB3183" s="1"/>
      <c r="AC3183" s="1"/>
      <c r="AD3183" s="1"/>
      <c r="AE3183" s="1"/>
      <c r="AF3183" s="1"/>
      <c r="AG3183" s="1"/>
      <c r="AH3183" s="1"/>
    </row>
    <row r="3184" ht="12.75" hidden="1" customHeight="1" outlineLevel="1">
      <c r="A3184" s="17">
        <v>41578.0</v>
      </c>
      <c r="B3184" s="1"/>
      <c r="C3184" s="1" t="s">
        <v>429</v>
      </c>
      <c r="D3184" s="74"/>
      <c r="E3184" s="67"/>
      <c r="F3184" s="75"/>
      <c r="G3184" s="67"/>
      <c r="H3184" s="68"/>
      <c r="I3184" s="76"/>
      <c r="J3184" s="67"/>
      <c r="K3184" s="7" t="s">
        <v>1156</v>
      </c>
      <c r="L3184" s="77"/>
      <c r="M3184" s="79"/>
      <c r="N3184" s="1"/>
      <c r="O3184" s="1"/>
      <c r="P3184" s="1"/>
      <c r="Q3184" s="1"/>
      <c r="R3184" s="1"/>
      <c r="S3184" s="1"/>
      <c r="T3184" s="1"/>
      <c r="U3184" s="1"/>
      <c r="V3184" s="1"/>
      <c r="W3184" s="1"/>
      <c r="X3184" s="1"/>
      <c r="Y3184" s="1"/>
      <c r="Z3184" s="1"/>
      <c r="AA3184" s="1"/>
      <c r="AB3184" s="1"/>
      <c r="AC3184" s="1"/>
      <c r="AD3184" s="1"/>
      <c r="AE3184" s="1"/>
      <c r="AF3184" s="1"/>
      <c r="AG3184" s="1"/>
      <c r="AH3184" s="1"/>
    </row>
    <row r="3185" ht="12.75" hidden="1" customHeight="1" outlineLevel="1">
      <c r="A3185" s="17">
        <v>41578.0</v>
      </c>
      <c r="B3185" s="1"/>
      <c r="C3185" s="1" t="s">
        <v>431</v>
      </c>
      <c r="D3185" s="74"/>
      <c r="E3185" s="67"/>
      <c r="F3185" s="75"/>
      <c r="G3185" s="67"/>
      <c r="H3185" s="68"/>
      <c r="I3185" s="76"/>
      <c r="J3185" s="67"/>
      <c r="K3185" s="7" t="s">
        <v>1126</v>
      </c>
      <c r="L3185" s="77"/>
      <c r="M3185" s="79"/>
      <c r="N3185" s="1"/>
      <c r="O3185" s="1"/>
      <c r="P3185" s="1"/>
      <c r="Q3185" s="1"/>
      <c r="R3185" s="1"/>
      <c r="S3185" s="1"/>
      <c r="T3185" s="1"/>
      <c r="U3185" s="1"/>
      <c r="V3185" s="1"/>
      <c r="W3185" s="1"/>
      <c r="X3185" s="1"/>
      <c r="Y3185" s="1"/>
      <c r="Z3185" s="1"/>
      <c r="AA3185" s="1"/>
      <c r="AB3185" s="1"/>
      <c r="AC3185" s="1"/>
      <c r="AD3185" s="1"/>
      <c r="AE3185" s="1"/>
      <c r="AF3185" s="1"/>
      <c r="AG3185" s="1"/>
      <c r="AH3185" s="1"/>
    </row>
    <row r="3186" ht="12.75" hidden="1" customHeight="1" outlineLevel="1">
      <c r="A3186" s="17">
        <v>41578.0</v>
      </c>
      <c r="B3186" s="1"/>
      <c r="C3186" s="1" t="s">
        <v>433</v>
      </c>
      <c r="D3186" s="74"/>
      <c r="E3186" s="67"/>
      <c r="F3186" s="75"/>
      <c r="G3186" s="67"/>
      <c r="H3186" s="68"/>
      <c r="I3186" s="76"/>
      <c r="J3186" s="67"/>
      <c r="K3186" s="7" t="s">
        <v>1103</v>
      </c>
      <c r="L3186" s="77"/>
      <c r="M3186" s="79"/>
      <c r="N3186" s="1"/>
      <c r="O3186" s="1"/>
      <c r="P3186" s="1"/>
      <c r="Q3186" s="1"/>
      <c r="R3186" s="1"/>
      <c r="S3186" s="1"/>
      <c r="T3186" s="1"/>
      <c r="U3186" s="1"/>
      <c r="V3186" s="1"/>
      <c r="W3186" s="1"/>
      <c r="X3186" s="1"/>
      <c r="Y3186" s="1"/>
      <c r="Z3186" s="1"/>
      <c r="AA3186" s="1"/>
      <c r="AB3186" s="1"/>
      <c r="AC3186" s="1"/>
      <c r="AD3186" s="1"/>
      <c r="AE3186" s="1"/>
      <c r="AF3186" s="1"/>
      <c r="AG3186" s="1"/>
      <c r="AH3186" s="1"/>
    </row>
    <row r="3187" ht="12.75" hidden="1" customHeight="1" outlineLevel="1">
      <c r="A3187" s="17">
        <v>41578.0</v>
      </c>
      <c r="B3187" s="1"/>
      <c r="C3187" s="1" t="s">
        <v>435</v>
      </c>
      <c r="D3187" s="74"/>
      <c r="E3187" s="67"/>
      <c r="F3187" s="75"/>
      <c r="G3187" s="67"/>
      <c r="H3187" s="68"/>
      <c r="I3187" s="76"/>
      <c r="J3187" s="67"/>
      <c r="K3187" s="7" t="s">
        <v>1104</v>
      </c>
      <c r="L3187" s="77"/>
      <c r="M3187" s="79"/>
      <c r="N3187" s="1"/>
      <c r="O3187" s="1"/>
      <c r="P3187" s="1"/>
      <c r="Q3187" s="1"/>
      <c r="R3187" s="1"/>
      <c r="S3187" s="1"/>
      <c r="T3187" s="1"/>
      <c r="U3187" s="1"/>
      <c r="V3187" s="1"/>
      <c r="W3187" s="1"/>
      <c r="X3187" s="1"/>
      <c r="Y3187" s="1"/>
      <c r="Z3187" s="1"/>
      <c r="AA3187" s="1"/>
      <c r="AB3187" s="1"/>
      <c r="AC3187" s="1"/>
      <c r="AD3187" s="1"/>
      <c r="AE3187" s="1"/>
      <c r="AF3187" s="1"/>
      <c r="AG3187" s="1"/>
      <c r="AH3187" s="1"/>
    </row>
    <row r="3188" ht="12.75" hidden="1" customHeight="1" outlineLevel="1">
      <c r="A3188" s="17">
        <v>41579.0</v>
      </c>
      <c r="B3188" s="1" t="s">
        <v>343</v>
      </c>
      <c r="C3188" s="1" t="s">
        <v>1049</v>
      </c>
      <c r="D3188" s="74">
        <v>10.0</v>
      </c>
      <c r="E3188" s="67">
        <v>533.23</v>
      </c>
      <c r="F3188" s="75">
        <v>0.4148958333333333</v>
      </c>
      <c r="G3188" s="67" t="s">
        <v>453</v>
      </c>
      <c r="H3188" s="68">
        <v>1.0</v>
      </c>
      <c r="I3188" s="76"/>
      <c r="J3188" s="67">
        <f t="shared" ref="J3188:J3193" si="218">IF(B3188="SLD",D3188*E3188,-D3188*E3188)-H3188</f>
        <v>-5333.3</v>
      </c>
      <c r="K3188" s="7"/>
      <c r="L3188" s="70"/>
      <c r="M3188" s="79"/>
      <c r="N3188" s="1"/>
      <c r="O3188" s="1"/>
      <c r="P3188" s="1"/>
      <c r="Q3188" s="1"/>
      <c r="R3188" s="1"/>
      <c r="S3188" s="1"/>
      <c r="T3188" s="1"/>
      <c r="U3188" s="1"/>
      <c r="V3188" s="1"/>
      <c r="W3188" s="1"/>
      <c r="X3188" s="1"/>
      <c r="Y3188" s="1"/>
      <c r="Z3188" s="1"/>
      <c r="AA3188" s="1"/>
      <c r="AB3188" s="1"/>
      <c r="AC3188" s="1"/>
      <c r="AD3188" s="1"/>
      <c r="AE3188" s="1"/>
      <c r="AF3188" s="1"/>
      <c r="AG3188" s="1"/>
      <c r="AH3188" s="1"/>
    </row>
    <row r="3189" ht="12.75" hidden="1" customHeight="1" outlineLevel="1">
      <c r="A3189" s="17">
        <v>41579.0</v>
      </c>
      <c r="B3189" s="1" t="s">
        <v>343</v>
      </c>
      <c r="C3189" s="1" t="s">
        <v>1082</v>
      </c>
      <c r="D3189" s="74">
        <v>15.0</v>
      </c>
      <c r="E3189" s="67">
        <v>435.52</v>
      </c>
      <c r="F3189" s="75">
        <v>0.41509259259259257</v>
      </c>
      <c r="G3189" s="67" t="s">
        <v>453</v>
      </c>
      <c r="H3189" s="68">
        <v>1.0</v>
      </c>
      <c r="I3189" s="76"/>
      <c r="J3189" s="67">
        <f t="shared" si="218"/>
        <v>-6533.8</v>
      </c>
      <c r="K3189" s="7"/>
      <c r="L3189" s="70"/>
      <c r="M3189" s="79"/>
      <c r="N3189" s="1"/>
      <c r="O3189" s="1"/>
      <c r="P3189" s="1"/>
      <c r="Q3189" s="1"/>
      <c r="R3189" s="1"/>
      <c r="S3189" s="1"/>
      <c r="T3189" s="1"/>
      <c r="U3189" s="1"/>
      <c r="V3189" s="1"/>
      <c r="W3189" s="1"/>
      <c r="X3189" s="1"/>
      <c r="Y3189" s="1"/>
      <c r="Z3189" s="1"/>
      <c r="AA3189" s="1"/>
      <c r="AB3189" s="1"/>
      <c r="AC3189" s="1"/>
      <c r="AD3189" s="1"/>
      <c r="AE3189" s="1"/>
      <c r="AF3189" s="1"/>
      <c r="AG3189" s="1"/>
      <c r="AH3189" s="1"/>
    </row>
    <row r="3190" ht="12.75" hidden="1" customHeight="1" outlineLevel="1">
      <c r="A3190" s="17">
        <v>41579.0</v>
      </c>
      <c r="B3190" s="1" t="s">
        <v>347</v>
      </c>
      <c r="C3190" s="1" t="s">
        <v>1060</v>
      </c>
      <c r="D3190" s="74">
        <v>200.0</v>
      </c>
      <c r="E3190" s="67">
        <v>30.98</v>
      </c>
      <c r="F3190" s="75">
        <v>0.41421296296296295</v>
      </c>
      <c r="G3190" s="67" t="s">
        <v>453</v>
      </c>
      <c r="H3190" s="68">
        <v>1.11</v>
      </c>
      <c r="I3190" s="76"/>
      <c r="J3190" s="67">
        <f t="shared" si="218"/>
        <v>6194.89</v>
      </c>
      <c r="K3190" s="7"/>
      <c r="L3190" s="70"/>
      <c r="M3190" s="79"/>
      <c r="N3190" s="1"/>
      <c r="O3190" s="1"/>
      <c r="P3190" s="1"/>
      <c r="Q3190" s="1"/>
      <c r="R3190" s="1"/>
      <c r="S3190" s="1"/>
      <c r="T3190" s="1"/>
      <c r="U3190" s="1"/>
      <c r="V3190" s="1"/>
      <c r="W3190" s="1"/>
      <c r="X3190" s="1"/>
      <c r="Y3190" s="1"/>
      <c r="Z3190" s="1"/>
      <c r="AA3190" s="1"/>
      <c r="AB3190" s="1"/>
      <c r="AC3190" s="1"/>
      <c r="AD3190" s="1"/>
      <c r="AE3190" s="1"/>
      <c r="AF3190" s="1"/>
      <c r="AG3190" s="1"/>
      <c r="AH3190" s="1"/>
    </row>
    <row r="3191" ht="12.75" hidden="1" customHeight="1" outlineLevel="1">
      <c r="A3191" s="17">
        <v>41579.0</v>
      </c>
      <c r="B3191" s="1" t="s">
        <v>347</v>
      </c>
      <c r="C3191" s="1" t="s">
        <v>734</v>
      </c>
      <c r="D3191" s="74">
        <v>300.0</v>
      </c>
      <c r="E3191" s="67">
        <v>23.73</v>
      </c>
      <c r="F3191" s="75">
        <v>0.41454861111111113</v>
      </c>
      <c r="G3191" s="67" t="s">
        <v>453</v>
      </c>
      <c r="H3191" s="68">
        <v>1.62</v>
      </c>
      <c r="I3191" s="76"/>
      <c r="J3191" s="67">
        <f t="shared" si="218"/>
        <v>7117.38</v>
      </c>
      <c r="K3191" s="7"/>
      <c r="L3191" s="70"/>
      <c r="M3191" s="79"/>
      <c r="N3191" s="1"/>
      <c r="O3191" s="1"/>
      <c r="P3191" s="1"/>
      <c r="Q3191" s="1"/>
      <c r="R3191" s="1"/>
      <c r="S3191" s="1"/>
      <c r="T3191" s="1"/>
      <c r="U3191" s="1"/>
      <c r="V3191" s="1"/>
      <c r="W3191" s="1"/>
      <c r="X3191" s="1"/>
      <c r="Y3191" s="1"/>
      <c r="Z3191" s="1"/>
      <c r="AA3191" s="1"/>
      <c r="AB3191" s="1"/>
      <c r="AC3191" s="1"/>
      <c r="AD3191" s="1"/>
      <c r="AE3191" s="1"/>
      <c r="AF3191" s="1"/>
      <c r="AG3191" s="1"/>
      <c r="AH3191" s="1"/>
    </row>
    <row r="3192" ht="12.75" hidden="1" customHeight="1" outlineLevel="1">
      <c r="A3192" s="17">
        <v>41579.0</v>
      </c>
      <c r="B3192" s="1" t="s">
        <v>347</v>
      </c>
      <c r="C3192" s="1" t="s">
        <v>734</v>
      </c>
      <c r="D3192" s="74">
        <v>200.0</v>
      </c>
      <c r="E3192" s="67">
        <v>23.5</v>
      </c>
      <c r="F3192" s="75">
        <v>0.4410416666666667</v>
      </c>
      <c r="G3192" s="67" t="s">
        <v>453</v>
      </c>
      <c r="H3192" s="68">
        <v>1.08</v>
      </c>
      <c r="I3192" s="76"/>
      <c r="J3192" s="67">
        <f t="shared" si="218"/>
        <v>4698.92</v>
      </c>
      <c r="K3192" s="7"/>
      <c r="L3192" s="70"/>
      <c r="M3192" s="79"/>
      <c r="N3192" s="1"/>
      <c r="O3192" s="1"/>
      <c r="P3192" s="1"/>
      <c r="Q3192" s="1"/>
      <c r="R3192" s="1"/>
      <c r="S3192" s="1"/>
      <c r="T3192" s="1"/>
      <c r="U3192" s="1"/>
      <c r="V3192" s="1"/>
      <c r="W3192" s="1"/>
      <c r="X3192" s="1"/>
      <c r="Y3192" s="1"/>
      <c r="Z3192" s="1"/>
      <c r="AA3192" s="1"/>
      <c r="AB3192" s="1"/>
      <c r="AC3192" s="1"/>
      <c r="AD3192" s="1"/>
      <c r="AE3192" s="1"/>
      <c r="AF3192" s="1"/>
      <c r="AG3192" s="1"/>
      <c r="AH3192" s="1"/>
    </row>
    <row r="3193" ht="12.75" hidden="1" customHeight="1" outlineLevel="1">
      <c r="A3193" s="17">
        <v>41579.0</v>
      </c>
      <c r="B3193" s="1" t="s">
        <v>347</v>
      </c>
      <c r="C3193" s="1" t="s">
        <v>1222</v>
      </c>
      <c r="D3193" s="74">
        <v>220.0</v>
      </c>
      <c r="E3193" s="67">
        <v>113.01</v>
      </c>
      <c r="F3193" s="75">
        <v>0.44482638888888887</v>
      </c>
      <c r="G3193" s="67" t="s">
        <v>453</v>
      </c>
      <c r="H3193" s="68">
        <v>1.53</v>
      </c>
      <c r="I3193" s="76"/>
      <c r="J3193" s="67">
        <f t="shared" si="218"/>
        <v>24860.67</v>
      </c>
      <c r="K3193" s="7"/>
      <c r="L3193" s="70"/>
      <c r="M3193" s="79"/>
      <c r="N3193" s="1"/>
      <c r="O3193" s="1"/>
      <c r="P3193" s="1"/>
      <c r="Q3193" s="1"/>
      <c r="R3193" s="1"/>
      <c r="S3193" s="1"/>
      <c r="T3193" s="1"/>
      <c r="U3193" s="1"/>
      <c r="V3193" s="1"/>
      <c r="W3193" s="1"/>
      <c r="X3193" s="1"/>
      <c r="Y3193" s="1"/>
      <c r="Z3193" s="1"/>
      <c r="AA3193" s="1"/>
      <c r="AB3193" s="1"/>
      <c r="AC3193" s="1"/>
      <c r="AD3193" s="1"/>
      <c r="AE3193" s="1"/>
      <c r="AF3193" s="1"/>
      <c r="AG3193" s="1"/>
      <c r="AH3193" s="1"/>
    </row>
    <row r="3194" ht="12.75" hidden="1" customHeight="1" outlineLevel="1">
      <c r="A3194" s="17">
        <v>41579.0</v>
      </c>
      <c r="B3194" s="1"/>
      <c r="C3194" s="1" t="s">
        <v>339</v>
      </c>
      <c r="D3194" s="74"/>
      <c r="E3194" s="67"/>
      <c r="F3194" s="75"/>
      <c r="G3194" s="67"/>
      <c r="H3194" s="68"/>
      <c r="I3194" s="76"/>
      <c r="J3194" s="67"/>
      <c r="K3194" s="7" t="s">
        <v>1321</v>
      </c>
      <c r="L3194" s="77"/>
      <c r="M3194" s="79"/>
      <c r="N3194" s="1"/>
      <c r="O3194" s="1"/>
      <c r="P3194" s="1"/>
      <c r="Q3194" s="1"/>
      <c r="R3194" s="1"/>
      <c r="S3194" s="1"/>
      <c r="T3194" s="1"/>
      <c r="U3194" s="1"/>
      <c r="V3194" s="1"/>
      <c r="W3194" s="1"/>
      <c r="X3194" s="1"/>
      <c r="Y3194" s="1"/>
      <c r="Z3194" s="1"/>
      <c r="AA3194" s="1"/>
      <c r="AB3194" s="1"/>
      <c r="AC3194" s="1"/>
      <c r="AD3194" s="1"/>
      <c r="AE3194" s="1"/>
      <c r="AF3194" s="1"/>
      <c r="AG3194" s="1"/>
      <c r="AH3194" s="1"/>
    </row>
    <row r="3195" ht="12.75" hidden="1" customHeight="1" outlineLevel="1">
      <c r="A3195" s="17">
        <v>41579.0</v>
      </c>
      <c r="B3195" s="1"/>
      <c r="C3195" s="1" t="s">
        <v>429</v>
      </c>
      <c r="D3195" s="74"/>
      <c r="E3195" s="67"/>
      <c r="F3195" s="75"/>
      <c r="G3195" s="67"/>
      <c r="H3195" s="68"/>
      <c r="I3195" s="76"/>
      <c r="J3195" s="67"/>
      <c r="K3195" s="7" t="s">
        <v>1322</v>
      </c>
      <c r="L3195" s="77"/>
      <c r="M3195" s="79"/>
      <c r="N3195" s="1"/>
      <c r="O3195" s="1"/>
      <c r="P3195" s="1"/>
      <c r="Q3195" s="1"/>
      <c r="R3195" s="1"/>
      <c r="S3195" s="1"/>
      <c r="T3195" s="1"/>
      <c r="U3195" s="1"/>
      <c r="V3195" s="1"/>
      <c r="W3195" s="1"/>
      <c r="X3195" s="1"/>
      <c r="Y3195" s="1"/>
      <c r="Z3195" s="1"/>
      <c r="AA3195" s="1"/>
      <c r="AB3195" s="1"/>
      <c r="AC3195" s="1"/>
      <c r="AD3195" s="1"/>
      <c r="AE3195" s="1"/>
      <c r="AF3195" s="1"/>
      <c r="AG3195" s="1"/>
      <c r="AH3195" s="1"/>
    </row>
    <row r="3196" ht="12.75" hidden="1" customHeight="1" outlineLevel="1">
      <c r="A3196" s="17">
        <v>41579.0</v>
      </c>
      <c r="B3196" s="1"/>
      <c r="C3196" s="1" t="s">
        <v>431</v>
      </c>
      <c r="D3196" s="74"/>
      <c r="E3196" s="67"/>
      <c r="F3196" s="75"/>
      <c r="G3196" s="67"/>
      <c r="H3196" s="68"/>
      <c r="I3196" s="76"/>
      <c r="J3196" s="67"/>
      <c r="K3196" s="7" t="s">
        <v>1126</v>
      </c>
      <c r="L3196" s="77"/>
      <c r="M3196" s="79"/>
      <c r="N3196" s="1"/>
      <c r="O3196" s="1"/>
      <c r="P3196" s="1"/>
      <c r="Q3196" s="1"/>
      <c r="R3196" s="1"/>
      <c r="S3196" s="1"/>
      <c r="T3196" s="1"/>
      <c r="U3196" s="1"/>
      <c r="V3196" s="1"/>
      <c r="W3196" s="1"/>
      <c r="X3196" s="1"/>
      <c r="Y3196" s="1"/>
      <c r="Z3196" s="1"/>
      <c r="AA3196" s="1"/>
      <c r="AB3196" s="1"/>
      <c r="AC3196" s="1"/>
      <c r="AD3196" s="1"/>
      <c r="AE3196" s="1"/>
      <c r="AF3196" s="1"/>
      <c r="AG3196" s="1"/>
      <c r="AH3196" s="1"/>
    </row>
    <row r="3197" ht="12.75" hidden="1" customHeight="1" outlineLevel="1">
      <c r="A3197" s="17">
        <v>41579.0</v>
      </c>
      <c r="B3197" s="1"/>
      <c r="C3197" s="1" t="s">
        <v>433</v>
      </c>
      <c r="D3197" s="74"/>
      <c r="E3197" s="67"/>
      <c r="F3197" s="75"/>
      <c r="G3197" s="67"/>
      <c r="H3197" s="68"/>
      <c r="I3197" s="76"/>
      <c r="J3197" s="67"/>
      <c r="K3197" s="7" t="s">
        <v>1103</v>
      </c>
      <c r="L3197" s="77"/>
      <c r="M3197" s="79"/>
      <c r="N3197" s="1"/>
      <c r="O3197" s="1"/>
      <c r="P3197" s="1"/>
      <c r="Q3197" s="1"/>
      <c r="R3197" s="1"/>
      <c r="S3197" s="1"/>
      <c r="T3197" s="1"/>
      <c r="U3197" s="1"/>
      <c r="V3197" s="1"/>
      <c r="W3197" s="1"/>
      <c r="X3197" s="1"/>
      <c r="Y3197" s="1"/>
      <c r="Z3197" s="1"/>
      <c r="AA3197" s="1"/>
      <c r="AB3197" s="1"/>
      <c r="AC3197" s="1"/>
      <c r="AD3197" s="1"/>
      <c r="AE3197" s="1"/>
      <c r="AF3197" s="1"/>
      <c r="AG3197" s="1"/>
      <c r="AH3197" s="1"/>
    </row>
    <row r="3198" ht="12.75" hidden="1" customHeight="1" outlineLevel="1">
      <c r="A3198" s="17">
        <v>41579.0</v>
      </c>
      <c r="B3198" s="1"/>
      <c r="C3198" s="1" t="s">
        <v>435</v>
      </c>
      <c r="D3198" s="74"/>
      <c r="E3198" s="67"/>
      <c r="F3198" s="75"/>
      <c r="G3198" s="67"/>
      <c r="H3198" s="68"/>
      <c r="I3198" s="76"/>
      <c r="J3198" s="67"/>
      <c r="K3198" s="7" t="s">
        <v>1104</v>
      </c>
      <c r="L3198" s="77"/>
      <c r="M3198" s="79"/>
      <c r="N3198" s="1"/>
      <c r="O3198" s="1"/>
      <c r="P3198" s="1"/>
      <c r="Q3198" s="1"/>
      <c r="R3198" s="1"/>
      <c r="S3198" s="1"/>
      <c r="T3198" s="1"/>
      <c r="U3198" s="1"/>
      <c r="V3198" s="1"/>
      <c r="W3198" s="1"/>
      <c r="X3198" s="1"/>
      <c r="Y3198" s="1"/>
      <c r="Z3198" s="1"/>
      <c r="AA3198" s="1"/>
      <c r="AB3198" s="1"/>
      <c r="AC3198" s="1"/>
      <c r="AD3198" s="1"/>
      <c r="AE3198" s="1"/>
      <c r="AF3198" s="1"/>
      <c r="AG3198" s="1"/>
      <c r="AH3198" s="1"/>
    </row>
    <row r="3199" ht="12.75" hidden="1" customHeight="1" outlineLevel="1">
      <c r="A3199" s="17">
        <v>41582.0</v>
      </c>
      <c r="B3199" s="1" t="s">
        <v>343</v>
      </c>
      <c r="C3199" s="1" t="s">
        <v>1092</v>
      </c>
      <c r="D3199" s="74">
        <v>600.0</v>
      </c>
      <c r="E3199" s="67">
        <v>7.43</v>
      </c>
      <c r="F3199" s="75">
        <v>0.4942013888888889</v>
      </c>
      <c r="G3199" s="67" t="s">
        <v>453</v>
      </c>
      <c r="H3199" s="68">
        <v>3.0</v>
      </c>
      <c r="I3199" s="76"/>
      <c r="J3199" s="67">
        <f t="shared" ref="J3199:J3200" si="219">IF(B3199="SLD",D3199*E3199,-D3199*E3199)-H3199</f>
        <v>-4461</v>
      </c>
      <c r="K3199" s="7"/>
      <c r="L3199" s="70"/>
      <c r="M3199" s="79"/>
      <c r="N3199" s="1"/>
      <c r="O3199" s="1"/>
      <c r="P3199" s="1"/>
      <c r="Q3199" s="1"/>
      <c r="R3199" s="1"/>
      <c r="S3199" s="1"/>
      <c r="T3199" s="1"/>
      <c r="U3199" s="1"/>
      <c r="V3199" s="1"/>
      <c r="W3199" s="1"/>
      <c r="X3199" s="1"/>
      <c r="Y3199" s="1"/>
      <c r="Z3199" s="1"/>
      <c r="AA3199" s="1"/>
      <c r="AB3199" s="1"/>
      <c r="AC3199" s="1"/>
      <c r="AD3199" s="1"/>
      <c r="AE3199" s="1"/>
      <c r="AF3199" s="1"/>
      <c r="AG3199" s="1"/>
      <c r="AH3199" s="1"/>
    </row>
    <row r="3200" ht="12.75" hidden="1" customHeight="1" outlineLevel="1">
      <c r="A3200" s="17">
        <v>41582.0</v>
      </c>
      <c r="B3200" s="1" t="s">
        <v>343</v>
      </c>
      <c r="C3200" s="1" t="s">
        <v>1060</v>
      </c>
      <c r="D3200" s="74">
        <v>400.0</v>
      </c>
      <c r="E3200" s="67">
        <v>31.1</v>
      </c>
      <c r="F3200" s="75">
        <v>0.6199074074074075</v>
      </c>
      <c r="G3200" s="67" t="s">
        <v>453</v>
      </c>
      <c r="H3200" s="68">
        <v>2.0</v>
      </c>
      <c r="I3200" s="76"/>
      <c r="J3200" s="67">
        <f t="shared" si="219"/>
        <v>-12442</v>
      </c>
      <c r="K3200" s="7"/>
      <c r="L3200" s="70"/>
      <c r="M3200" s="79"/>
      <c r="N3200" s="1"/>
      <c r="O3200" s="1"/>
      <c r="P3200" s="1"/>
      <c r="Q3200" s="1"/>
      <c r="R3200" s="1"/>
      <c r="S3200" s="1"/>
      <c r="T3200" s="1"/>
      <c r="U3200" s="1"/>
      <c r="V3200" s="1"/>
      <c r="W3200" s="1"/>
      <c r="X3200" s="1"/>
      <c r="Y3200" s="1"/>
      <c r="Z3200" s="1"/>
      <c r="AA3200" s="1"/>
      <c r="AB3200" s="1"/>
      <c r="AC3200" s="1"/>
      <c r="AD3200" s="1"/>
      <c r="AE3200" s="1"/>
      <c r="AF3200" s="1"/>
      <c r="AG3200" s="1"/>
      <c r="AH3200" s="1"/>
    </row>
    <row r="3201" ht="12.75" hidden="1" customHeight="1" outlineLevel="1">
      <c r="A3201" s="17">
        <v>41582.0</v>
      </c>
      <c r="B3201" s="1"/>
      <c r="C3201" s="1" t="s">
        <v>339</v>
      </c>
      <c r="D3201" s="74"/>
      <c r="E3201" s="67"/>
      <c r="F3201" s="75"/>
      <c r="G3201" s="67"/>
      <c r="H3201" s="68"/>
      <c r="I3201" s="76"/>
      <c r="J3201" s="67"/>
      <c r="K3201" s="7" t="s">
        <v>1329</v>
      </c>
      <c r="L3201" s="77"/>
      <c r="M3201" s="79"/>
      <c r="N3201" s="1"/>
      <c r="O3201" s="1"/>
      <c r="P3201" s="1"/>
      <c r="Q3201" s="1"/>
      <c r="R3201" s="1"/>
      <c r="S3201" s="1"/>
      <c r="T3201" s="1"/>
      <c r="U3201" s="1"/>
      <c r="V3201" s="1"/>
      <c r="W3201" s="1"/>
      <c r="X3201" s="1"/>
      <c r="Y3201" s="1"/>
      <c r="Z3201" s="1"/>
      <c r="AA3201" s="1"/>
      <c r="AB3201" s="1"/>
      <c r="AC3201" s="1"/>
      <c r="AD3201" s="1"/>
      <c r="AE3201" s="1"/>
      <c r="AF3201" s="1"/>
      <c r="AG3201" s="1"/>
      <c r="AH3201" s="1"/>
    </row>
    <row r="3202" ht="12.75" hidden="1" customHeight="1" outlineLevel="1">
      <c r="A3202" s="17">
        <v>41582.0</v>
      </c>
      <c r="B3202" s="1"/>
      <c r="C3202" s="1" t="s">
        <v>429</v>
      </c>
      <c r="D3202" s="74"/>
      <c r="E3202" s="67"/>
      <c r="F3202" s="75"/>
      <c r="G3202" s="67"/>
      <c r="H3202" s="68"/>
      <c r="I3202" s="76"/>
      <c r="J3202" s="67"/>
      <c r="K3202" s="7" t="s">
        <v>1322</v>
      </c>
      <c r="L3202" s="77"/>
      <c r="M3202" s="79"/>
      <c r="N3202" s="1"/>
      <c r="O3202" s="1"/>
      <c r="P3202" s="1"/>
      <c r="Q3202" s="1"/>
      <c r="R3202" s="1"/>
      <c r="S3202" s="1"/>
      <c r="T3202" s="1"/>
      <c r="U3202" s="1"/>
      <c r="V3202" s="1"/>
      <c r="W3202" s="1"/>
      <c r="X3202" s="1"/>
      <c r="Y3202" s="1"/>
      <c r="Z3202" s="1"/>
      <c r="AA3202" s="1"/>
      <c r="AB3202" s="1"/>
      <c r="AC3202" s="1"/>
      <c r="AD3202" s="1"/>
      <c r="AE3202" s="1"/>
      <c r="AF3202" s="1"/>
      <c r="AG3202" s="1"/>
      <c r="AH3202" s="1"/>
    </row>
    <row r="3203" ht="12.75" hidden="1" customHeight="1" outlineLevel="1">
      <c r="A3203" s="17">
        <v>41582.0</v>
      </c>
      <c r="B3203" s="1"/>
      <c r="C3203" s="1" t="s">
        <v>431</v>
      </c>
      <c r="D3203" s="74"/>
      <c r="E3203" s="67"/>
      <c r="F3203" s="75"/>
      <c r="G3203" s="67"/>
      <c r="H3203" s="68"/>
      <c r="I3203" s="76"/>
      <c r="J3203" s="67"/>
      <c r="K3203" s="7" t="s">
        <v>1126</v>
      </c>
      <c r="L3203" s="77"/>
      <c r="M3203" s="79"/>
      <c r="N3203" s="1"/>
      <c r="O3203" s="1"/>
      <c r="P3203" s="1"/>
      <c r="Q3203" s="1"/>
      <c r="R3203" s="1"/>
      <c r="S3203" s="1"/>
      <c r="T3203" s="1"/>
      <c r="U3203" s="1"/>
      <c r="V3203" s="1"/>
      <c r="W3203" s="1"/>
      <c r="X3203" s="1"/>
      <c r="Y3203" s="1"/>
      <c r="Z3203" s="1"/>
      <c r="AA3203" s="1"/>
      <c r="AB3203" s="1"/>
      <c r="AC3203" s="1"/>
      <c r="AD3203" s="1"/>
      <c r="AE3203" s="1"/>
      <c r="AF3203" s="1"/>
      <c r="AG3203" s="1"/>
      <c r="AH3203" s="1"/>
    </row>
    <row r="3204" ht="12.75" hidden="1" customHeight="1" outlineLevel="1">
      <c r="A3204" s="17">
        <v>41582.0</v>
      </c>
      <c r="B3204" s="1"/>
      <c r="C3204" s="1" t="s">
        <v>433</v>
      </c>
      <c r="D3204" s="74"/>
      <c r="E3204" s="67"/>
      <c r="F3204" s="75"/>
      <c r="G3204" s="67"/>
      <c r="H3204" s="68"/>
      <c r="I3204" s="76"/>
      <c r="J3204" s="67"/>
      <c r="K3204" s="7" t="s">
        <v>1103</v>
      </c>
      <c r="L3204" s="77"/>
      <c r="M3204" s="79"/>
      <c r="N3204" s="1"/>
      <c r="O3204" s="1"/>
      <c r="P3204" s="1"/>
      <c r="Q3204" s="1"/>
      <c r="R3204" s="1"/>
      <c r="S3204" s="1"/>
      <c r="T3204" s="1"/>
      <c r="U3204" s="1"/>
      <c r="V3204" s="1"/>
      <c r="W3204" s="1"/>
      <c r="X3204" s="1"/>
      <c r="Y3204" s="1"/>
      <c r="Z3204" s="1"/>
      <c r="AA3204" s="1"/>
      <c r="AB3204" s="1"/>
      <c r="AC3204" s="1"/>
      <c r="AD3204" s="1"/>
      <c r="AE3204" s="1"/>
      <c r="AF3204" s="1"/>
      <c r="AG3204" s="1"/>
      <c r="AH3204" s="1"/>
    </row>
    <row r="3205" ht="12.75" hidden="1" customHeight="1" outlineLevel="1">
      <c r="A3205" s="17">
        <v>41582.0</v>
      </c>
      <c r="B3205" s="1"/>
      <c r="C3205" s="1" t="s">
        <v>435</v>
      </c>
      <c r="D3205" s="74"/>
      <c r="E3205" s="67"/>
      <c r="F3205" s="75"/>
      <c r="G3205" s="67"/>
      <c r="H3205" s="68"/>
      <c r="I3205" s="76"/>
      <c r="J3205" s="67"/>
      <c r="K3205" s="7" t="s">
        <v>1104</v>
      </c>
      <c r="L3205" s="77"/>
      <c r="M3205" s="79"/>
      <c r="N3205" s="1"/>
      <c r="O3205" s="1"/>
      <c r="P3205" s="1"/>
      <c r="Q3205" s="1"/>
      <c r="R3205" s="1"/>
      <c r="S3205" s="1"/>
      <c r="T3205" s="1"/>
      <c r="U3205" s="1"/>
      <c r="V3205" s="1"/>
      <c r="W3205" s="1"/>
      <c r="X3205" s="1"/>
      <c r="Y3205" s="1"/>
      <c r="Z3205" s="1"/>
      <c r="AA3205" s="1"/>
      <c r="AB3205" s="1"/>
      <c r="AC3205" s="1"/>
      <c r="AD3205" s="1"/>
      <c r="AE3205" s="1"/>
      <c r="AF3205" s="1"/>
      <c r="AG3205" s="1"/>
      <c r="AH3205" s="1"/>
    </row>
    <row r="3206" ht="12.75" hidden="1" customHeight="1" outlineLevel="1">
      <c r="A3206" s="17">
        <v>41583.0</v>
      </c>
      <c r="B3206" s="1" t="s">
        <v>343</v>
      </c>
      <c r="C3206" s="1" t="s">
        <v>734</v>
      </c>
      <c r="D3206" s="74">
        <v>300.0</v>
      </c>
      <c r="E3206" s="67">
        <v>23.46</v>
      </c>
      <c r="F3206" s="75">
        <v>0.49400462962962965</v>
      </c>
      <c r="G3206" s="67" t="s">
        <v>453</v>
      </c>
      <c r="H3206" s="68">
        <v>1.2</v>
      </c>
      <c r="I3206" s="76"/>
      <c r="J3206" s="67">
        <f t="shared" ref="J3206:J3207" si="220">IF(B3206="SLD",D3206*E3206,-D3206*E3206)-H3206</f>
        <v>-7039.2</v>
      </c>
      <c r="K3206" s="7"/>
      <c r="L3206" s="70"/>
      <c r="M3206" s="79"/>
      <c r="N3206" s="1"/>
      <c r="O3206" s="1"/>
      <c r="P3206" s="1"/>
      <c r="Q3206" s="1"/>
      <c r="R3206" s="1"/>
      <c r="S3206" s="1"/>
      <c r="T3206" s="1"/>
      <c r="U3206" s="1"/>
      <c r="V3206" s="1"/>
      <c r="W3206" s="1"/>
      <c r="X3206" s="1"/>
      <c r="Y3206" s="1"/>
      <c r="Z3206" s="1"/>
      <c r="AA3206" s="1"/>
      <c r="AB3206" s="1"/>
      <c r="AC3206" s="1"/>
      <c r="AD3206" s="1"/>
      <c r="AE3206" s="1"/>
      <c r="AF3206" s="1"/>
      <c r="AG3206" s="1"/>
      <c r="AH3206" s="1"/>
    </row>
    <row r="3207" ht="12.75" hidden="1" customHeight="1" outlineLevel="1">
      <c r="A3207" s="17">
        <v>41583.0</v>
      </c>
      <c r="B3207" s="1" t="s">
        <v>343</v>
      </c>
      <c r="C3207" s="1" t="s">
        <v>1060</v>
      </c>
      <c r="D3207" s="74">
        <v>300.0</v>
      </c>
      <c r="E3207" s="67">
        <v>31.19</v>
      </c>
      <c r="F3207" s="75">
        <v>0.49413194444444447</v>
      </c>
      <c r="G3207" s="67" t="s">
        <v>453</v>
      </c>
      <c r="H3207" s="68">
        <v>1.2</v>
      </c>
      <c r="I3207" s="76"/>
      <c r="J3207" s="67">
        <f t="shared" si="220"/>
        <v>-9358.2</v>
      </c>
      <c r="K3207" s="7"/>
      <c r="L3207" s="70"/>
      <c r="M3207" s="79"/>
      <c r="N3207" s="1"/>
      <c r="O3207" s="1"/>
      <c r="P3207" s="1"/>
      <c r="Q3207" s="1"/>
      <c r="R3207" s="1"/>
      <c r="S3207" s="1"/>
      <c r="T3207" s="1"/>
      <c r="U3207" s="1"/>
      <c r="V3207" s="1"/>
      <c r="W3207" s="1"/>
      <c r="X3207" s="1"/>
      <c r="Y3207" s="1"/>
      <c r="Z3207" s="1"/>
      <c r="AA3207" s="1"/>
      <c r="AB3207" s="1"/>
      <c r="AC3207" s="1"/>
      <c r="AD3207" s="1"/>
      <c r="AE3207" s="1"/>
      <c r="AF3207" s="1"/>
      <c r="AG3207" s="1"/>
      <c r="AH3207" s="1"/>
    </row>
    <row r="3208" ht="12.75" hidden="1" customHeight="1" outlineLevel="1">
      <c r="A3208" s="17">
        <v>41583.0</v>
      </c>
      <c r="B3208" s="1"/>
      <c r="C3208" s="1" t="s">
        <v>339</v>
      </c>
      <c r="D3208" s="74"/>
      <c r="E3208" s="67"/>
      <c r="F3208" s="75"/>
      <c r="G3208" s="67"/>
      <c r="H3208" s="68"/>
      <c r="I3208" s="76"/>
      <c r="J3208" s="67"/>
      <c r="K3208" s="7" t="s">
        <v>1335</v>
      </c>
      <c r="L3208" s="77"/>
      <c r="M3208" s="79"/>
      <c r="N3208" s="1"/>
      <c r="O3208" s="1"/>
      <c r="P3208" s="1"/>
      <c r="Q3208" s="1"/>
      <c r="R3208" s="1"/>
      <c r="S3208" s="1"/>
      <c r="T3208" s="1"/>
      <c r="U3208" s="1"/>
      <c r="V3208" s="1"/>
      <c r="W3208" s="1"/>
      <c r="X3208" s="1"/>
      <c r="Y3208" s="1"/>
      <c r="Z3208" s="1"/>
      <c r="AA3208" s="1"/>
      <c r="AB3208" s="1"/>
      <c r="AC3208" s="1"/>
      <c r="AD3208" s="1"/>
      <c r="AE3208" s="1"/>
      <c r="AF3208" s="1"/>
      <c r="AG3208" s="1"/>
      <c r="AH3208" s="1"/>
    </row>
    <row r="3209" ht="12.75" hidden="1" customHeight="1" outlineLevel="1">
      <c r="A3209" s="17">
        <v>41583.0</v>
      </c>
      <c r="B3209" s="1"/>
      <c r="C3209" s="1" t="s">
        <v>429</v>
      </c>
      <c r="D3209" s="74"/>
      <c r="E3209" s="67"/>
      <c r="F3209" s="75"/>
      <c r="G3209" s="67"/>
      <c r="H3209" s="68"/>
      <c r="I3209" s="76"/>
      <c r="J3209" s="67"/>
      <c r="K3209" s="7" t="s">
        <v>1322</v>
      </c>
      <c r="L3209" s="77"/>
      <c r="M3209" s="79"/>
      <c r="N3209" s="1"/>
      <c r="O3209" s="1"/>
      <c r="P3209" s="1"/>
      <c r="Q3209" s="1"/>
      <c r="R3209" s="1"/>
      <c r="S3209" s="1"/>
      <c r="T3209" s="1"/>
      <c r="U3209" s="1"/>
      <c r="V3209" s="1"/>
      <c r="W3209" s="1"/>
      <c r="X3209" s="1"/>
      <c r="Y3209" s="1"/>
      <c r="Z3209" s="1"/>
      <c r="AA3209" s="1"/>
      <c r="AB3209" s="1"/>
      <c r="AC3209" s="1"/>
      <c r="AD3209" s="1"/>
      <c r="AE3209" s="1"/>
      <c r="AF3209" s="1"/>
      <c r="AG3209" s="1"/>
      <c r="AH3209" s="1"/>
    </row>
    <row r="3210" ht="12.75" hidden="1" customHeight="1" outlineLevel="1">
      <c r="A3210" s="17">
        <v>41583.0</v>
      </c>
      <c r="B3210" s="1"/>
      <c r="C3210" s="1" t="s">
        <v>431</v>
      </c>
      <c r="D3210" s="74"/>
      <c r="E3210" s="67"/>
      <c r="F3210" s="75"/>
      <c r="G3210" s="67"/>
      <c r="H3210" s="68"/>
      <c r="I3210" s="76"/>
      <c r="J3210" s="67"/>
      <c r="K3210" s="7" t="s">
        <v>1126</v>
      </c>
      <c r="L3210" s="77"/>
      <c r="M3210" s="79"/>
      <c r="N3210" s="1"/>
      <c r="O3210" s="1"/>
      <c r="P3210" s="1"/>
      <c r="Q3210" s="1"/>
      <c r="R3210" s="1"/>
      <c r="S3210" s="1"/>
      <c r="T3210" s="1"/>
      <c r="U3210" s="1"/>
      <c r="V3210" s="1"/>
      <c r="W3210" s="1"/>
      <c r="X3210" s="1"/>
      <c r="Y3210" s="1"/>
      <c r="Z3210" s="1"/>
      <c r="AA3210" s="1"/>
      <c r="AB3210" s="1"/>
      <c r="AC3210" s="1"/>
      <c r="AD3210" s="1"/>
      <c r="AE3210" s="1"/>
      <c r="AF3210" s="1"/>
      <c r="AG3210" s="1"/>
      <c r="AH3210" s="1"/>
    </row>
    <row r="3211" ht="12.75" hidden="1" customHeight="1" outlineLevel="1">
      <c r="A3211" s="17">
        <v>41583.0</v>
      </c>
      <c r="B3211" s="1"/>
      <c r="C3211" s="1" t="s">
        <v>433</v>
      </c>
      <c r="D3211" s="74"/>
      <c r="E3211" s="67"/>
      <c r="F3211" s="75"/>
      <c r="G3211" s="67"/>
      <c r="H3211" s="68"/>
      <c r="I3211" s="76"/>
      <c r="J3211" s="67"/>
      <c r="K3211" s="7" t="s">
        <v>1103</v>
      </c>
      <c r="L3211" s="77"/>
      <c r="M3211" s="79"/>
      <c r="N3211" s="1"/>
      <c r="O3211" s="1"/>
      <c r="P3211" s="1"/>
      <c r="Q3211" s="1"/>
      <c r="R3211" s="1"/>
      <c r="S3211" s="1"/>
      <c r="T3211" s="1"/>
      <c r="U3211" s="1"/>
      <c r="V3211" s="1"/>
      <c r="W3211" s="1"/>
      <c r="X3211" s="1"/>
      <c r="Y3211" s="1"/>
      <c r="Z3211" s="1"/>
      <c r="AA3211" s="1"/>
      <c r="AB3211" s="1"/>
      <c r="AC3211" s="1"/>
      <c r="AD3211" s="1"/>
      <c r="AE3211" s="1"/>
      <c r="AF3211" s="1"/>
      <c r="AG3211" s="1"/>
      <c r="AH3211" s="1"/>
    </row>
    <row r="3212" ht="12.75" hidden="1" customHeight="1" outlineLevel="1">
      <c r="A3212" s="17">
        <v>41583.0</v>
      </c>
      <c r="B3212" s="1"/>
      <c r="C3212" s="1" t="s">
        <v>435</v>
      </c>
      <c r="D3212" s="74"/>
      <c r="E3212" s="67"/>
      <c r="F3212" s="75"/>
      <c r="G3212" s="67"/>
      <c r="H3212" s="68"/>
      <c r="I3212" s="76"/>
      <c r="J3212" s="67"/>
      <c r="K3212" s="7" t="s">
        <v>1104</v>
      </c>
      <c r="L3212" s="77"/>
      <c r="M3212" s="79"/>
      <c r="N3212" s="1"/>
      <c r="O3212" s="1"/>
      <c r="P3212" s="1"/>
      <c r="Q3212" s="1"/>
      <c r="R3212" s="1"/>
      <c r="S3212" s="1"/>
      <c r="T3212" s="1"/>
      <c r="U3212" s="1"/>
      <c r="V3212" s="1"/>
      <c r="W3212" s="1"/>
      <c r="X3212" s="1"/>
      <c r="Y3212" s="1"/>
      <c r="Z3212" s="1"/>
      <c r="AA3212" s="1"/>
      <c r="AB3212" s="1"/>
      <c r="AC3212" s="1"/>
      <c r="AD3212" s="1"/>
      <c r="AE3212" s="1"/>
      <c r="AF3212" s="1"/>
      <c r="AG3212" s="1"/>
      <c r="AH3212" s="1"/>
    </row>
    <row r="3213" ht="12.75" hidden="1" customHeight="1" outlineLevel="1">
      <c r="A3213" s="17">
        <v>41584.0</v>
      </c>
      <c r="B3213" s="1"/>
      <c r="C3213" s="1" t="s">
        <v>339</v>
      </c>
      <c r="D3213" s="74"/>
      <c r="E3213" s="67"/>
      <c r="F3213" s="75"/>
      <c r="G3213" s="67"/>
      <c r="H3213" s="68"/>
      <c r="I3213" s="76"/>
      <c r="J3213" s="67"/>
      <c r="K3213" s="7" t="s">
        <v>1339</v>
      </c>
      <c r="L3213" s="77"/>
      <c r="M3213" s="79"/>
      <c r="N3213" s="1"/>
      <c r="O3213" s="1"/>
      <c r="P3213" s="1"/>
      <c r="Q3213" s="1"/>
      <c r="R3213" s="1"/>
      <c r="S3213" s="1"/>
      <c r="T3213" s="1"/>
      <c r="U3213" s="1"/>
      <c r="V3213" s="1"/>
      <c r="W3213" s="1"/>
      <c r="X3213" s="1"/>
      <c r="Y3213" s="1"/>
      <c r="Z3213" s="1"/>
      <c r="AA3213" s="1"/>
      <c r="AB3213" s="1"/>
      <c r="AC3213" s="1"/>
      <c r="AD3213" s="1"/>
      <c r="AE3213" s="1"/>
      <c r="AF3213" s="1"/>
      <c r="AG3213" s="1"/>
      <c r="AH3213" s="1"/>
    </row>
    <row r="3214" ht="12.75" hidden="1" customHeight="1" outlineLevel="1">
      <c r="A3214" s="17">
        <v>41584.0</v>
      </c>
      <c r="B3214" s="1"/>
      <c r="C3214" s="1" t="s">
        <v>429</v>
      </c>
      <c r="D3214" s="74"/>
      <c r="E3214" s="67"/>
      <c r="F3214" s="75"/>
      <c r="G3214" s="67"/>
      <c r="H3214" s="68"/>
      <c r="I3214" s="76"/>
      <c r="J3214" s="67"/>
      <c r="K3214" s="7" t="s">
        <v>1322</v>
      </c>
      <c r="L3214" s="77"/>
      <c r="M3214" s="79"/>
      <c r="N3214" s="1"/>
      <c r="O3214" s="1"/>
      <c r="P3214" s="1"/>
      <c r="Q3214" s="1"/>
      <c r="R3214" s="1"/>
      <c r="S3214" s="1"/>
      <c r="T3214" s="1"/>
      <c r="U3214" s="1"/>
      <c r="V3214" s="1"/>
      <c r="W3214" s="1"/>
      <c r="X3214" s="1"/>
      <c r="Y3214" s="1"/>
      <c r="Z3214" s="1"/>
      <c r="AA3214" s="1"/>
      <c r="AB3214" s="1"/>
      <c r="AC3214" s="1"/>
      <c r="AD3214" s="1"/>
      <c r="AE3214" s="1"/>
      <c r="AF3214" s="1"/>
      <c r="AG3214" s="1"/>
      <c r="AH3214" s="1"/>
    </row>
    <row r="3215" ht="12.75" hidden="1" customHeight="1" outlineLevel="1">
      <c r="A3215" s="17">
        <v>41584.0</v>
      </c>
      <c r="B3215" s="1"/>
      <c r="C3215" s="1" t="s">
        <v>431</v>
      </c>
      <c r="D3215" s="74"/>
      <c r="E3215" s="67"/>
      <c r="F3215" s="75"/>
      <c r="G3215" s="67"/>
      <c r="H3215" s="68"/>
      <c r="I3215" s="76"/>
      <c r="J3215" s="67"/>
      <c r="K3215" s="7" t="s">
        <v>1126</v>
      </c>
      <c r="L3215" s="77"/>
      <c r="M3215" s="79"/>
      <c r="N3215" s="1"/>
      <c r="O3215" s="1"/>
      <c r="P3215" s="1"/>
      <c r="Q3215" s="1"/>
      <c r="R3215" s="1"/>
      <c r="S3215" s="1"/>
      <c r="T3215" s="1"/>
      <c r="U3215" s="1"/>
      <c r="V3215" s="1"/>
      <c r="W3215" s="1"/>
      <c r="X3215" s="1"/>
      <c r="Y3215" s="1"/>
      <c r="Z3215" s="1"/>
      <c r="AA3215" s="1"/>
      <c r="AB3215" s="1"/>
      <c r="AC3215" s="1"/>
      <c r="AD3215" s="1"/>
      <c r="AE3215" s="1"/>
      <c r="AF3215" s="1"/>
      <c r="AG3215" s="1"/>
      <c r="AH3215" s="1"/>
    </row>
    <row r="3216" ht="12.75" hidden="1" customHeight="1" outlineLevel="1">
      <c r="A3216" s="17">
        <v>41584.0</v>
      </c>
      <c r="B3216" s="1"/>
      <c r="C3216" s="1" t="s">
        <v>433</v>
      </c>
      <c r="D3216" s="74"/>
      <c r="E3216" s="67"/>
      <c r="F3216" s="75"/>
      <c r="G3216" s="67"/>
      <c r="H3216" s="68"/>
      <c r="I3216" s="76"/>
      <c r="J3216" s="67"/>
      <c r="K3216" s="7" t="s">
        <v>1103</v>
      </c>
      <c r="L3216" s="77"/>
      <c r="M3216" s="79"/>
      <c r="N3216" s="1"/>
      <c r="O3216" s="1"/>
      <c r="P3216" s="1"/>
      <c r="Q3216" s="1"/>
      <c r="R3216" s="1"/>
      <c r="S3216" s="1"/>
      <c r="T3216" s="1"/>
      <c r="U3216" s="1"/>
      <c r="V3216" s="1"/>
      <c r="W3216" s="1"/>
      <c r="X3216" s="1"/>
      <c r="Y3216" s="1"/>
      <c r="Z3216" s="1"/>
      <c r="AA3216" s="1"/>
      <c r="AB3216" s="1"/>
      <c r="AC3216" s="1"/>
      <c r="AD3216" s="1"/>
      <c r="AE3216" s="1"/>
      <c r="AF3216" s="1"/>
      <c r="AG3216" s="1"/>
      <c r="AH3216" s="1"/>
    </row>
    <row r="3217" ht="12.75" hidden="1" customHeight="1" outlineLevel="1">
      <c r="A3217" s="17">
        <v>41584.0</v>
      </c>
      <c r="B3217" s="1"/>
      <c r="C3217" s="1" t="s">
        <v>435</v>
      </c>
      <c r="D3217" s="74"/>
      <c r="E3217" s="67"/>
      <c r="F3217" s="75"/>
      <c r="G3217" s="67"/>
      <c r="H3217" s="68"/>
      <c r="I3217" s="76"/>
      <c r="J3217" s="67"/>
      <c r="K3217" s="7" t="s">
        <v>1104</v>
      </c>
      <c r="L3217" s="77"/>
      <c r="M3217" s="79"/>
      <c r="N3217" s="1"/>
      <c r="O3217" s="1"/>
      <c r="P3217" s="1"/>
      <c r="Q3217" s="1"/>
      <c r="R3217" s="1"/>
      <c r="S3217" s="1"/>
      <c r="T3217" s="1"/>
      <c r="U3217" s="1"/>
      <c r="V3217" s="1"/>
      <c r="W3217" s="1"/>
      <c r="X3217" s="1"/>
      <c r="Y3217" s="1"/>
      <c r="Z3217" s="1"/>
      <c r="AA3217" s="1"/>
      <c r="AB3217" s="1"/>
      <c r="AC3217" s="1"/>
      <c r="AD3217" s="1"/>
      <c r="AE3217" s="1"/>
      <c r="AF3217" s="1"/>
      <c r="AG3217" s="1"/>
      <c r="AH3217" s="1"/>
    </row>
    <row r="3218" ht="12.75" hidden="1" customHeight="1" outlineLevel="1">
      <c r="A3218" s="17">
        <v>41585.0</v>
      </c>
      <c r="B3218" s="1" t="s">
        <v>347</v>
      </c>
      <c r="C3218" s="1" t="s">
        <v>1220</v>
      </c>
      <c r="D3218" s="74">
        <v>300.0</v>
      </c>
      <c r="E3218" s="67">
        <v>84.67</v>
      </c>
      <c r="F3218" s="75">
        <v>0.6617476851851852</v>
      </c>
      <c r="G3218" s="67" t="s">
        <v>453</v>
      </c>
      <c r="H3218" s="68">
        <v>1.74</v>
      </c>
      <c r="I3218" s="76"/>
      <c r="J3218" s="67">
        <f>IF(B3218="SLD",D3218*E3218,-D3218*E3218)-H3218</f>
        <v>25399.26</v>
      </c>
      <c r="K3218" s="7" t="s">
        <v>1343</v>
      </c>
      <c r="L3218" s="70"/>
      <c r="M3218" s="79"/>
      <c r="N3218" s="1"/>
      <c r="O3218" s="1"/>
      <c r="P3218" s="1"/>
      <c r="Q3218" s="1"/>
      <c r="R3218" s="1"/>
      <c r="S3218" s="1"/>
      <c r="T3218" s="1"/>
      <c r="U3218" s="1"/>
      <c r="V3218" s="1"/>
      <c r="W3218" s="1"/>
      <c r="X3218" s="1"/>
      <c r="Y3218" s="1"/>
      <c r="Z3218" s="1"/>
      <c r="AA3218" s="1"/>
      <c r="AB3218" s="1"/>
      <c r="AC3218" s="1"/>
      <c r="AD3218" s="1"/>
      <c r="AE3218" s="1"/>
      <c r="AF3218" s="1"/>
      <c r="AG3218" s="1"/>
      <c r="AH3218" s="1"/>
    </row>
    <row r="3219" ht="12.75" hidden="1" customHeight="1" outlineLevel="1">
      <c r="A3219" s="17">
        <v>41585.0</v>
      </c>
      <c r="B3219" s="1"/>
      <c r="C3219" s="1" t="s">
        <v>339</v>
      </c>
      <c r="D3219" s="74"/>
      <c r="E3219" s="67"/>
      <c r="F3219" s="75"/>
      <c r="G3219" s="67"/>
      <c r="H3219" s="68"/>
      <c r="I3219" s="76"/>
      <c r="J3219" s="67"/>
      <c r="K3219" s="7" t="s">
        <v>1346</v>
      </c>
      <c r="L3219" s="77"/>
      <c r="M3219" s="79"/>
      <c r="N3219" s="1"/>
      <c r="O3219" s="1"/>
      <c r="P3219" s="1"/>
      <c r="Q3219" s="1"/>
      <c r="R3219" s="1"/>
      <c r="S3219" s="1"/>
      <c r="T3219" s="1"/>
      <c r="U3219" s="1"/>
      <c r="V3219" s="1"/>
      <c r="W3219" s="1"/>
      <c r="X3219" s="1"/>
      <c r="Y3219" s="1"/>
      <c r="Z3219" s="1"/>
      <c r="AA3219" s="1"/>
      <c r="AB3219" s="1"/>
      <c r="AC3219" s="1"/>
      <c r="AD3219" s="1"/>
      <c r="AE3219" s="1"/>
      <c r="AF3219" s="1"/>
      <c r="AG3219" s="1"/>
      <c r="AH3219" s="1"/>
    </row>
    <row r="3220" ht="12.75" hidden="1" customHeight="1" outlineLevel="1">
      <c r="A3220" s="17">
        <v>41585.0</v>
      </c>
      <c r="B3220" s="1"/>
      <c r="C3220" s="1" t="s">
        <v>429</v>
      </c>
      <c r="D3220" s="74"/>
      <c r="E3220" s="67"/>
      <c r="F3220" s="75"/>
      <c r="G3220" s="67"/>
      <c r="H3220" s="68"/>
      <c r="I3220" s="76"/>
      <c r="J3220" s="67"/>
      <c r="K3220" s="7" t="s">
        <v>1322</v>
      </c>
      <c r="L3220" s="77"/>
      <c r="M3220" s="79"/>
      <c r="N3220" s="1"/>
      <c r="O3220" s="1"/>
      <c r="P3220" s="1"/>
      <c r="Q3220" s="1"/>
      <c r="R3220" s="1"/>
      <c r="S3220" s="1"/>
      <c r="T3220" s="1"/>
      <c r="U3220" s="1"/>
      <c r="V3220" s="1"/>
      <c r="W3220" s="1"/>
      <c r="X3220" s="1"/>
      <c r="Y3220" s="1"/>
      <c r="Z3220" s="1"/>
      <c r="AA3220" s="1"/>
      <c r="AB3220" s="1"/>
      <c r="AC3220" s="1"/>
      <c r="AD3220" s="1"/>
      <c r="AE3220" s="1"/>
      <c r="AF3220" s="1"/>
      <c r="AG3220" s="1"/>
      <c r="AH3220" s="1"/>
    </row>
    <row r="3221" ht="12.75" hidden="1" customHeight="1" outlineLevel="1">
      <c r="A3221" s="17">
        <v>41585.0</v>
      </c>
      <c r="B3221" s="1"/>
      <c r="C3221" s="1" t="s">
        <v>431</v>
      </c>
      <c r="D3221" s="74"/>
      <c r="E3221" s="67"/>
      <c r="F3221" s="75"/>
      <c r="G3221" s="67"/>
      <c r="H3221" s="68"/>
      <c r="I3221" s="76"/>
      <c r="J3221" s="67"/>
      <c r="K3221" s="7" t="s">
        <v>1126</v>
      </c>
      <c r="L3221" s="77"/>
      <c r="M3221" s="79"/>
      <c r="N3221" s="1"/>
      <c r="O3221" s="1"/>
      <c r="P3221" s="1"/>
      <c r="Q3221" s="1"/>
      <c r="R3221" s="1"/>
      <c r="S3221" s="1"/>
      <c r="T3221" s="1"/>
      <c r="U3221" s="1"/>
      <c r="V3221" s="1"/>
      <c r="W3221" s="1"/>
      <c r="X3221" s="1"/>
      <c r="Y3221" s="1"/>
      <c r="Z3221" s="1"/>
      <c r="AA3221" s="1"/>
      <c r="AB3221" s="1"/>
      <c r="AC3221" s="1"/>
      <c r="AD3221" s="1"/>
      <c r="AE3221" s="1"/>
      <c r="AF3221" s="1"/>
      <c r="AG3221" s="1"/>
      <c r="AH3221" s="1"/>
    </row>
    <row r="3222" ht="12.75" hidden="1" customHeight="1" outlineLevel="1">
      <c r="A3222" s="17">
        <v>41585.0</v>
      </c>
      <c r="B3222" s="1"/>
      <c r="C3222" s="1" t="s">
        <v>433</v>
      </c>
      <c r="D3222" s="74"/>
      <c r="E3222" s="67"/>
      <c r="F3222" s="75"/>
      <c r="G3222" s="67"/>
      <c r="H3222" s="68"/>
      <c r="I3222" s="76"/>
      <c r="J3222" s="67"/>
      <c r="K3222" s="7" t="s">
        <v>1103</v>
      </c>
      <c r="L3222" s="77"/>
      <c r="M3222" s="79"/>
      <c r="N3222" s="1"/>
      <c r="O3222" s="1"/>
      <c r="P3222" s="1"/>
      <c r="Q3222" s="1"/>
      <c r="R3222" s="1"/>
      <c r="S3222" s="1"/>
      <c r="T3222" s="1"/>
      <c r="U3222" s="1"/>
      <c r="V3222" s="1"/>
      <c r="W3222" s="1"/>
      <c r="X3222" s="1"/>
      <c r="Y3222" s="1"/>
      <c r="Z3222" s="1"/>
      <c r="AA3222" s="1"/>
      <c r="AB3222" s="1"/>
      <c r="AC3222" s="1"/>
      <c r="AD3222" s="1"/>
      <c r="AE3222" s="1"/>
      <c r="AF3222" s="1"/>
      <c r="AG3222" s="1"/>
      <c r="AH3222" s="1"/>
    </row>
    <row r="3223" ht="12.75" hidden="1" customHeight="1" outlineLevel="1">
      <c r="A3223" s="17">
        <v>41585.0</v>
      </c>
      <c r="B3223" s="1"/>
      <c r="C3223" s="1" t="s">
        <v>435</v>
      </c>
      <c r="D3223" s="74"/>
      <c r="E3223" s="67"/>
      <c r="F3223" s="75"/>
      <c r="G3223" s="67"/>
      <c r="H3223" s="68"/>
      <c r="I3223" s="76"/>
      <c r="J3223" s="67"/>
      <c r="K3223" s="7" t="s">
        <v>1104</v>
      </c>
      <c r="L3223" s="77"/>
      <c r="M3223" s="79"/>
      <c r="N3223" s="1"/>
      <c r="O3223" s="1"/>
      <c r="P3223" s="1"/>
      <c r="Q3223" s="1"/>
      <c r="R3223" s="1"/>
      <c r="S3223" s="1"/>
      <c r="T3223" s="1"/>
      <c r="U3223" s="1"/>
      <c r="V3223" s="1"/>
      <c r="W3223" s="1"/>
      <c r="X3223" s="1"/>
      <c r="Y3223" s="1"/>
      <c r="Z3223" s="1"/>
      <c r="AA3223" s="1"/>
      <c r="AB3223" s="1"/>
      <c r="AC3223" s="1"/>
      <c r="AD3223" s="1"/>
      <c r="AE3223" s="1"/>
      <c r="AF3223" s="1"/>
      <c r="AG3223" s="1"/>
      <c r="AH3223" s="1"/>
    </row>
    <row r="3224" ht="12.75" hidden="1" customHeight="1" outlineLevel="1">
      <c r="A3224" s="17">
        <v>41586.0</v>
      </c>
      <c r="B3224" s="1" t="s">
        <v>343</v>
      </c>
      <c r="C3224" s="1" t="s">
        <v>344</v>
      </c>
      <c r="D3224" s="74">
        <v>100.0</v>
      </c>
      <c r="E3224" s="67">
        <v>48.64</v>
      </c>
      <c r="F3224" s="75">
        <v>0.4454050925925926</v>
      </c>
      <c r="G3224" s="67" t="s">
        <v>453</v>
      </c>
      <c r="H3224" s="68">
        <v>1.0</v>
      </c>
      <c r="I3224" s="76"/>
      <c r="J3224" s="67">
        <f>IF(B3224="SLD",D3224*E3224,-D3224*E3224)-H3224</f>
        <v>-4865</v>
      </c>
      <c r="K3224" s="7"/>
      <c r="L3224" s="70"/>
      <c r="M3224" s="79"/>
      <c r="N3224" s="1"/>
      <c r="O3224" s="1"/>
      <c r="P3224" s="1"/>
      <c r="Q3224" s="1"/>
      <c r="R3224" s="1"/>
      <c r="S3224" s="1"/>
      <c r="T3224" s="1"/>
      <c r="U3224" s="1"/>
      <c r="V3224" s="1"/>
      <c r="W3224" s="1"/>
      <c r="X3224" s="1"/>
      <c r="Y3224" s="1"/>
      <c r="Z3224" s="1"/>
      <c r="AA3224" s="1"/>
      <c r="AB3224" s="1"/>
      <c r="AC3224" s="1"/>
      <c r="AD3224" s="1"/>
      <c r="AE3224" s="1"/>
      <c r="AF3224" s="1"/>
      <c r="AG3224" s="1"/>
      <c r="AH3224" s="1"/>
    </row>
    <row r="3225" ht="12.75" hidden="1" customHeight="1" outlineLevel="1">
      <c r="A3225" s="17">
        <v>41586.0</v>
      </c>
      <c r="B3225" s="1"/>
      <c r="C3225" s="1" t="s">
        <v>339</v>
      </c>
      <c r="D3225" s="74"/>
      <c r="E3225" s="67"/>
      <c r="F3225" s="75"/>
      <c r="G3225" s="67"/>
      <c r="H3225" s="68"/>
      <c r="I3225" s="76"/>
      <c r="J3225" s="67"/>
      <c r="K3225" s="7" t="s">
        <v>1350</v>
      </c>
      <c r="L3225" s="77"/>
      <c r="M3225" s="79"/>
      <c r="N3225" s="1"/>
      <c r="O3225" s="1"/>
      <c r="P3225" s="1"/>
      <c r="Q3225" s="1"/>
      <c r="R3225" s="1"/>
      <c r="S3225" s="1"/>
      <c r="T3225" s="1"/>
      <c r="U3225" s="1"/>
      <c r="V3225" s="1"/>
      <c r="W3225" s="1"/>
      <c r="X3225" s="1"/>
      <c r="Y3225" s="1"/>
      <c r="Z3225" s="1"/>
      <c r="AA3225" s="1"/>
      <c r="AB3225" s="1"/>
      <c r="AC3225" s="1"/>
      <c r="AD3225" s="1"/>
      <c r="AE3225" s="1"/>
      <c r="AF3225" s="1"/>
      <c r="AG3225" s="1"/>
      <c r="AH3225" s="1"/>
    </row>
    <row r="3226" ht="12.75" hidden="1" customHeight="1" outlineLevel="1">
      <c r="A3226" s="17">
        <v>41586.0</v>
      </c>
      <c r="B3226" s="1"/>
      <c r="C3226" s="1" t="s">
        <v>429</v>
      </c>
      <c r="D3226" s="74"/>
      <c r="E3226" s="67"/>
      <c r="F3226" s="75"/>
      <c r="G3226" s="67"/>
      <c r="H3226" s="68"/>
      <c r="I3226" s="76"/>
      <c r="J3226" s="67"/>
      <c r="K3226" s="7" t="s">
        <v>1352</v>
      </c>
      <c r="L3226" s="77"/>
      <c r="M3226" s="79"/>
      <c r="N3226" s="1"/>
      <c r="O3226" s="1"/>
      <c r="P3226" s="1"/>
      <c r="Q3226" s="1"/>
      <c r="R3226" s="1"/>
      <c r="S3226" s="1"/>
      <c r="T3226" s="1"/>
      <c r="U3226" s="1"/>
      <c r="V3226" s="1"/>
      <c r="W3226" s="1"/>
      <c r="X3226" s="1"/>
      <c r="Y3226" s="1"/>
      <c r="Z3226" s="1"/>
      <c r="AA3226" s="1"/>
      <c r="AB3226" s="1"/>
      <c r="AC3226" s="1"/>
      <c r="AD3226" s="1"/>
      <c r="AE3226" s="1"/>
      <c r="AF3226" s="1"/>
      <c r="AG3226" s="1"/>
      <c r="AH3226" s="1"/>
    </row>
    <row r="3227" ht="12.75" hidden="1" customHeight="1" outlineLevel="1">
      <c r="A3227" s="17">
        <v>41586.0</v>
      </c>
      <c r="B3227" s="1"/>
      <c r="C3227" s="1" t="s">
        <v>431</v>
      </c>
      <c r="D3227" s="74"/>
      <c r="E3227" s="67"/>
      <c r="F3227" s="75"/>
      <c r="G3227" s="67"/>
      <c r="H3227" s="68"/>
      <c r="I3227" s="76"/>
      <c r="J3227" s="67"/>
      <c r="K3227" s="7" t="s">
        <v>1126</v>
      </c>
      <c r="L3227" s="77"/>
      <c r="M3227" s="79"/>
      <c r="N3227" s="1"/>
      <c r="O3227" s="1"/>
      <c r="P3227" s="1"/>
      <c r="Q3227" s="1"/>
      <c r="R3227" s="1"/>
      <c r="S3227" s="1"/>
      <c r="T3227" s="1"/>
      <c r="U3227" s="1"/>
      <c r="V3227" s="1"/>
      <c r="W3227" s="1"/>
      <c r="X3227" s="1"/>
      <c r="Y3227" s="1"/>
      <c r="Z3227" s="1"/>
      <c r="AA3227" s="1"/>
      <c r="AB3227" s="1"/>
      <c r="AC3227" s="1"/>
      <c r="AD3227" s="1"/>
      <c r="AE3227" s="1"/>
      <c r="AF3227" s="1"/>
      <c r="AG3227" s="1"/>
      <c r="AH3227" s="1"/>
    </row>
    <row r="3228" ht="12.75" hidden="1" customHeight="1" outlineLevel="1">
      <c r="A3228" s="17">
        <v>41586.0</v>
      </c>
      <c r="B3228" s="1"/>
      <c r="C3228" s="1" t="s">
        <v>433</v>
      </c>
      <c r="D3228" s="74"/>
      <c r="E3228" s="67"/>
      <c r="F3228" s="75"/>
      <c r="G3228" s="67"/>
      <c r="H3228" s="68"/>
      <c r="I3228" s="76"/>
      <c r="J3228" s="67"/>
      <c r="K3228" s="7" t="s">
        <v>1103</v>
      </c>
      <c r="L3228" s="77"/>
      <c r="M3228" s="79"/>
      <c r="N3228" s="1"/>
      <c r="O3228" s="1"/>
      <c r="P3228" s="1"/>
      <c r="Q3228" s="1"/>
      <c r="R3228" s="1"/>
      <c r="S3228" s="1"/>
      <c r="T3228" s="1"/>
      <c r="U3228" s="1"/>
      <c r="V3228" s="1"/>
      <c r="W3228" s="1"/>
      <c r="X3228" s="1"/>
      <c r="Y3228" s="1"/>
      <c r="Z3228" s="1"/>
      <c r="AA3228" s="1"/>
      <c r="AB3228" s="1"/>
      <c r="AC3228" s="1"/>
      <c r="AD3228" s="1"/>
      <c r="AE3228" s="1"/>
      <c r="AF3228" s="1"/>
      <c r="AG3228" s="1"/>
      <c r="AH3228" s="1"/>
    </row>
    <row r="3229" ht="12.75" hidden="1" customHeight="1" outlineLevel="1">
      <c r="A3229" s="17">
        <v>41586.0</v>
      </c>
      <c r="B3229" s="1"/>
      <c r="C3229" s="1" t="s">
        <v>435</v>
      </c>
      <c r="D3229" s="74"/>
      <c r="E3229" s="67"/>
      <c r="F3229" s="75"/>
      <c r="G3229" s="67"/>
      <c r="H3229" s="68"/>
      <c r="I3229" s="76"/>
      <c r="J3229" s="67"/>
      <c r="K3229" s="7" t="s">
        <v>1354</v>
      </c>
      <c r="L3229" s="77"/>
      <c r="M3229" s="79"/>
      <c r="N3229" s="1"/>
      <c r="O3229" s="1"/>
      <c r="P3229" s="1"/>
      <c r="Q3229" s="1"/>
      <c r="R3229" s="1"/>
      <c r="S3229" s="1"/>
      <c r="T3229" s="1"/>
      <c r="U3229" s="1"/>
      <c r="V3229" s="1"/>
      <c r="W3229" s="1"/>
      <c r="X3229" s="1"/>
      <c r="Y3229" s="1"/>
      <c r="Z3229" s="1"/>
      <c r="AA3229" s="1"/>
      <c r="AB3229" s="1"/>
      <c r="AC3229" s="1"/>
      <c r="AD3229" s="1"/>
      <c r="AE3229" s="1"/>
      <c r="AF3229" s="1"/>
      <c r="AG3229" s="1"/>
      <c r="AH3229" s="1"/>
    </row>
    <row r="3230" ht="12.75" hidden="1" customHeight="1" outlineLevel="1">
      <c r="A3230" s="17">
        <v>41587.0</v>
      </c>
      <c r="B3230" s="1"/>
      <c r="C3230" s="1" t="s">
        <v>339</v>
      </c>
      <c r="D3230" s="74"/>
      <c r="E3230" s="67"/>
      <c r="F3230" s="75"/>
      <c r="G3230" s="67"/>
      <c r="H3230" s="68"/>
      <c r="I3230" s="76"/>
      <c r="J3230" s="67"/>
      <c r="K3230" s="7" t="s">
        <v>1355</v>
      </c>
      <c r="L3230" s="77"/>
      <c r="M3230" s="79"/>
      <c r="N3230" s="1"/>
      <c r="O3230" s="1"/>
      <c r="P3230" s="1"/>
      <c r="Q3230" s="1"/>
      <c r="R3230" s="1"/>
      <c r="S3230" s="1"/>
      <c r="T3230" s="1"/>
      <c r="U3230" s="1"/>
      <c r="V3230" s="1"/>
      <c r="W3230" s="1"/>
      <c r="X3230" s="1"/>
      <c r="Y3230" s="1"/>
      <c r="Z3230" s="1"/>
      <c r="AA3230" s="1"/>
      <c r="AB3230" s="1"/>
      <c r="AC3230" s="1"/>
      <c r="AD3230" s="1"/>
      <c r="AE3230" s="1"/>
      <c r="AF3230" s="1"/>
      <c r="AG3230" s="1"/>
      <c r="AH3230" s="1"/>
    </row>
    <row r="3231" ht="12.75" hidden="1" customHeight="1" outlineLevel="1">
      <c r="A3231" s="17">
        <v>41587.0</v>
      </c>
      <c r="B3231" s="1"/>
      <c r="C3231" s="1" t="s">
        <v>429</v>
      </c>
      <c r="D3231" s="74"/>
      <c r="E3231" s="67"/>
      <c r="F3231" s="75"/>
      <c r="G3231" s="67"/>
      <c r="H3231" s="68"/>
      <c r="I3231" s="76"/>
      <c r="J3231" s="67"/>
      <c r="K3231" s="7" t="s">
        <v>1352</v>
      </c>
      <c r="L3231" s="77"/>
      <c r="M3231" s="79"/>
      <c r="N3231" s="1"/>
      <c r="O3231" s="1"/>
      <c r="P3231" s="1"/>
      <c r="Q3231" s="1"/>
      <c r="R3231" s="1"/>
      <c r="S3231" s="1"/>
      <c r="T3231" s="1"/>
      <c r="U3231" s="1"/>
      <c r="V3231" s="1"/>
      <c r="W3231" s="1"/>
      <c r="X3231" s="1"/>
      <c r="Y3231" s="1"/>
      <c r="Z3231" s="1"/>
      <c r="AA3231" s="1"/>
      <c r="AB3231" s="1"/>
      <c r="AC3231" s="1"/>
      <c r="AD3231" s="1"/>
      <c r="AE3231" s="1"/>
      <c r="AF3231" s="1"/>
      <c r="AG3231" s="1"/>
      <c r="AH3231" s="1"/>
    </row>
    <row r="3232" ht="12.75" hidden="1" customHeight="1" outlineLevel="1">
      <c r="A3232" s="17">
        <v>41587.0</v>
      </c>
      <c r="B3232" s="1"/>
      <c r="C3232" s="1" t="s">
        <v>431</v>
      </c>
      <c r="D3232" s="74"/>
      <c r="E3232" s="67"/>
      <c r="F3232" s="75"/>
      <c r="G3232" s="67"/>
      <c r="H3232" s="68"/>
      <c r="I3232" s="76"/>
      <c r="J3232" s="67"/>
      <c r="K3232" s="7" t="s">
        <v>1126</v>
      </c>
      <c r="L3232" s="77"/>
      <c r="M3232" s="79"/>
      <c r="N3232" s="1"/>
      <c r="O3232" s="1"/>
      <c r="P3232" s="1"/>
      <c r="Q3232" s="1"/>
      <c r="R3232" s="1"/>
      <c r="S3232" s="1"/>
      <c r="T3232" s="1"/>
      <c r="U3232" s="1"/>
      <c r="V3232" s="1"/>
      <c r="W3232" s="1"/>
      <c r="X3232" s="1"/>
      <c r="Y3232" s="1"/>
      <c r="Z3232" s="1"/>
      <c r="AA3232" s="1"/>
      <c r="AB3232" s="1"/>
      <c r="AC3232" s="1"/>
      <c r="AD3232" s="1"/>
      <c r="AE3232" s="1"/>
      <c r="AF3232" s="1"/>
      <c r="AG3232" s="1"/>
      <c r="AH3232" s="1"/>
    </row>
    <row r="3233" ht="12.75" hidden="1" customHeight="1" outlineLevel="1">
      <c r="A3233" s="17">
        <v>41587.0</v>
      </c>
      <c r="B3233" s="1"/>
      <c r="C3233" s="1" t="s">
        <v>433</v>
      </c>
      <c r="D3233" s="74"/>
      <c r="E3233" s="67"/>
      <c r="F3233" s="75"/>
      <c r="G3233" s="67"/>
      <c r="H3233" s="68"/>
      <c r="I3233" s="76"/>
      <c r="J3233" s="67"/>
      <c r="K3233" s="7" t="s">
        <v>1103</v>
      </c>
      <c r="L3233" s="77"/>
      <c r="M3233" s="79"/>
      <c r="N3233" s="1"/>
      <c r="O3233" s="1"/>
      <c r="P3233" s="1"/>
      <c r="Q3233" s="1"/>
      <c r="R3233" s="1"/>
      <c r="S3233" s="1"/>
      <c r="T3233" s="1"/>
      <c r="U3233" s="1"/>
      <c r="V3233" s="1"/>
      <c r="W3233" s="1"/>
      <c r="X3233" s="1"/>
      <c r="Y3233" s="1"/>
      <c r="Z3233" s="1"/>
      <c r="AA3233" s="1"/>
      <c r="AB3233" s="1"/>
      <c r="AC3233" s="1"/>
      <c r="AD3233" s="1"/>
      <c r="AE3233" s="1"/>
      <c r="AF3233" s="1"/>
      <c r="AG3233" s="1"/>
      <c r="AH3233" s="1"/>
    </row>
    <row r="3234" ht="12.75" hidden="1" customHeight="1" outlineLevel="1">
      <c r="A3234" s="17">
        <v>41587.0</v>
      </c>
      <c r="B3234" s="1"/>
      <c r="C3234" s="1" t="s">
        <v>435</v>
      </c>
      <c r="D3234" s="74"/>
      <c r="E3234" s="67"/>
      <c r="F3234" s="75"/>
      <c r="G3234" s="67"/>
      <c r="H3234" s="68"/>
      <c r="I3234" s="76"/>
      <c r="J3234" s="67"/>
      <c r="K3234" s="7" t="s">
        <v>1354</v>
      </c>
      <c r="L3234" s="77"/>
      <c r="M3234" s="79"/>
      <c r="N3234" s="1"/>
      <c r="O3234" s="1"/>
      <c r="P3234" s="1"/>
      <c r="Q3234" s="1"/>
      <c r="R3234" s="1"/>
      <c r="S3234" s="1"/>
      <c r="T3234" s="1"/>
      <c r="U3234" s="1"/>
      <c r="V3234" s="1"/>
      <c r="W3234" s="1"/>
      <c r="X3234" s="1"/>
      <c r="Y3234" s="1"/>
      <c r="Z3234" s="1"/>
      <c r="AA3234" s="1"/>
      <c r="AB3234" s="1"/>
      <c r="AC3234" s="1"/>
      <c r="AD3234" s="1"/>
      <c r="AE3234" s="1"/>
      <c r="AF3234" s="1"/>
      <c r="AG3234" s="1"/>
      <c r="AH3234" s="1"/>
    </row>
    <row r="3235" ht="12.75" hidden="1" customHeight="1" outlineLevel="1">
      <c r="A3235" s="17">
        <v>41589.0</v>
      </c>
      <c r="B3235" s="1" t="s">
        <v>343</v>
      </c>
      <c r="C3235" s="1" t="s">
        <v>1357</v>
      </c>
      <c r="D3235" s="74">
        <v>220.0</v>
      </c>
      <c r="E3235" s="67">
        <v>110.44</v>
      </c>
      <c r="F3235" s="75">
        <v>0.4053935185185185</v>
      </c>
      <c r="G3235" s="67" t="s">
        <v>453</v>
      </c>
      <c r="H3235" s="68">
        <v>1.1</v>
      </c>
      <c r="I3235" s="76"/>
      <c r="J3235" s="67">
        <f t="shared" ref="J3235:J3237" si="221">IF(B3235="SLD",D3235*E3235,-D3235*E3235)-H3235</f>
        <v>-24297.9</v>
      </c>
      <c r="K3235" s="7"/>
      <c r="L3235" s="70"/>
      <c r="M3235" s="79"/>
      <c r="N3235" s="1"/>
      <c r="O3235" s="1"/>
      <c r="P3235" s="1"/>
      <c r="Q3235" s="1"/>
      <c r="R3235" s="1"/>
      <c r="S3235" s="1"/>
      <c r="T3235" s="1"/>
      <c r="U3235" s="1"/>
      <c r="V3235" s="1"/>
      <c r="W3235" s="1"/>
      <c r="X3235" s="1"/>
      <c r="Y3235" s="1"/>
      <c r="Z3235" s="1"/>
      <c r="AA3235" s="1"/>
      <c r="AB3235" s="1"/>
      <c r="AC3235" s="1"/>
      <c r="AD3235" s="1"/>
      <c r="AE3235" s="1"/>
      <c r="AF3235" s="1"/>
      <c r="AG3235" s="1"/>
      <c r="AH3235" s="1"/>
    </row>
    <row r="3236" ht="12.75" hidden="1" customHeight="1" outlineLevel="1">
      <c r="A3236" s="17">
        <v>41589.0</v>
      </c>
      <c r="B3236" s="1" t="s">
        <v>343</v>
      </c>
      <c r="C3236" s="1" t="s">
        <v>387</v>
      </c>
      <c r="D3236" s="74">
        <v>300.0</v>
      </c>
      <c r="E3236" s="67">
        <v>82.53</v>
      </c>
      <c r="F3236" s="75">
        <v>0.40643518518518523</v>
      </c>
      <c r="G3236" s="67" t="s">
        <v>453</v>
      </c>
      <c r="H3236" s="68">
        <v>1.5</v>
      </c>
      <c r="I3236" s="76"/>
      <c r="J3236" s="67">
        <f t="shared" si="221"/>
        <v>-24760.5</v>
      </c>
      <c r="K3236" s="7"/>
      <c r="L3236" s="70"/>
      <c r="M3236" s="79"/>
      <c r="N3236" s="1"/>
      <c r="O3236" s="1"/>
      <c r="P3236" s="1"/>
      <c r="Q3236" s="1"/>
      <c r="R3236" s="1"/>
      <c r="S3236" s="1"/>
      <c r="T3236" s="1"/>
      <c r="U3236" s="1"/>
      <c r="V3236" s="1"/>
      <c r="W3236" s="1"/>
      <c r="X3236" s="1"/>
      <c r="Y3236" s="1"/>
      <c r="Z3236" s="1"/>
      <c r="AA3236" s="1"/>
      <c r="AB3236" s="1"/>
      <c r="AC3236" s="1"/>
      <c r="AD3236" s="1"/>
      <c r="AE3236" s="1"/>
      <c r="AF3236" s="1"/>
      <c r="AG3236" s="1"/>
      <c r="AH3236" s="1"/>
    </row>
    <row r="3237" ht="12.75" hidden="1" customHeight="1" outlineLevel="1">
      <c r="A3237" s="17">
        <v>41589.0</v>
      </c>
      <c r="B3237" s="1" t="s">
        <v>343</v>
      </c>
      <c r="C3237" s="1" t="s">
        <v>364</v>
      </c>
      <c r="D3237" s="74">
        <v>100.0</v>
      </c>
      <c r="E3237" s="67">
        <v>113.74</v>
      </c>
      <c r="F3237" s="75">
        <v>0.40791666666666665</v>
      </c>
      <c r="G3237" s="67" t="s">
        <v>453</v>
      </c>
      <c r="H3237" s="68">
        <v>1.0</v>
      </c>
      <c r="I3237" s="76"/>
      <c r="J3237" s="67">
        <f t="shared" si="221"/>
        <v>-11375</v>
      </c>
      <c r="K3237" s="7"/>
      <c r="L3237" s="70"/>
      <c r="M3237" s="79"/>
      <c r="N3237" s="1"/>
      <c r="O3237" s="1"/>
      <c r="P3237" s="1"/>
      <c r="Q3237" s="1"/>
      <c r="R3237" s="1"/>
      <c r="S3237" s="1"/>
      <c r="T3237" s="1"/>
      <c r="U3237" s="1"/>
      <c r="V3237" s="1"/>
      <c r="W3237" s="1"/>
      <c r="X3237" s="1"/>
      <c r="Y3237" s="1"/>
      <c r="Z3237" s="1"/>
      <c r="AA3237" s="1"/>
      <c r="AB3237" s="1"/>
      <c r="AC3237" s="1"/>
      <c r="AD3237" s="1"/>
      <c r="AE3237" s="1"/>
      <c r="AF3237" s="1"/>
      <c r="AG3237" s="1"/>
      <c r="AH3237" s="1"/>
    </row>
    <row r="3238" ht="12.75" hidden="1" customHeight="1" outlineLevel="1">
      <c r="A3238" s="17">
        <v>41589.0</v>
      </c>
      <c r="B3238" s="1"/>
      <c r="C3238" s="1" t="s">
        <v>339</v>
      </c>
      <c r="D3238" s="74"/>
      <c r="E3238" s="67"/>
      <c r="F3238" s="75"/>
      <c r="G3238" s="67"/>
      <c r="H3238" s="68"/>
      <c r="I3238" s="76"/>
      <c r="J3238" s="67"/>
      <c r="K3238" s="7" t="s">
        <v>1359</v>
      </c>
      <c r="L3238" s="77"/>
      <c r="M3238" s="79"/>
      <c r="N3238" s="1"/>
      <c r="O3238" s="1"/>
      <c r="P3238" s="1"/>
      <c r="Q3238" s="1"/>
      <c r="R3238" s="1"/>
      <c r="S3238" s="1"/>
      <c r="T3238" s="1"/>
      <c r="U3238" s="1"/>
      <c r="V3238" s="1"/>
      <c r="W3238" s="1"/>
      <c r="X3238" s="1"/>
      <c r="Y3238" s="1"/>
      <c r="Z3238" s="1"/>
      <c r="AA3238" s="1"/>
      <c r="AB3238" s="1"/>
      <c r="AC3238" s="1"/>
      <c r="AD3238" s="1"/>
      <c r="AE3238" s="1"/>
      <c r="AF3238" s="1"/>
      <c r="AG3238" s="1"/>
      <c r="AH3238" s="1"/>
    </row>
    <row r="3239" ht="12.75" hidden="1" customHeight="1" outlineLevel="1">
      <c r="A3239" s="17">
        <v>41589.0</v>
      </c>
      <c r="B3239" s="1"/>
      <c r="C3239" s="1" t="s">
        <v>429</v>
      </c>
      <c r="D3239" s="74"/>
      <c r="E3239" s="67"/>
      <c r="F3239" s="75"/>
      <c r="G3239" s="67"/>
      <c r="H3239" s="68"/>
      <c r="I3239" s="76"/>
      <c r="J3239" s="67"/>
      <c r="K3239" s="7" t="s">
        <v>1352</v>
      </c>
      <c r="L3239" s="77"/>
      <c r="M3239" s="79"/>
      <c r="N3239" s="1"/>
      <c r="O3239" s="1"/>
      <c r="P3239" s="1"/>
      <c r="Q3239" s="1"/>
      <c r="R3239" s="1"/>
      <c r="S3239" s="1"/>
      <c r="T3239" s="1"/>
      <c r="U3239" s="1"/>
      <c r="V3239" s="1"/>
      <c r="W3239" s="1"/>
      <c r="X3239" s="1"/>
      <c r="Y3239" s="1"/>
      <c r="Z3239" s="1"/>
      <c r="AA3239" s="1"/>
      <c r="AB3239" s="1"/>
      <c r="AC3239" s="1"/>
      <c r="AD3239" s="1"/>
      <c r="AE3239" s="1"/>
      <c r="AF3239" s="1"/>
      <c r="AG3239" s="1"/>
      <c r="AH3239" s="1"/>
    </row>
    <row r="3240" ht="12.75" hidden="1" customHeight="1" outlineLevel="1">
      <c r="A3240" s="17">
        <v>41589.0</v>
      </c>
      <c r="B3240" s="1"/>
      <c r="C3240" s="1" t="s">
        <v>431</v>
      </c>
      <c r="D3240" s="74"/>
      <c r="E3240" s="67"/>
      <c r="F3240" s="75"/>
      <c r="G3240" s="67"/>
      <c r="H3240" s="68"/>
      <c r="I3240" s="76"/>
      <c r="J3240" s="67"/>
      <c r="K3240" s="7" t="s">
        <v>1126</v>
      </c>
      <c r="L3240" s="77"/>
      <c r="M3240" s="79"/>
      <c r="N3240" s="1"/>
      <c r="O3240" s="1"/>
      <c r="P3240" s="1"/>
      <c r="Q3240" s="1"/>
      <c r="R3240" s="1"/>
      <c r="S3240" s="1"/>
      <c r="T3240" s="1"/>
      <c r="U3240" s="1"/>
      <c r="V3240" s="1"/>
      <c r="W3240" s="1"/>
      <c r="X3240" s="1"/>
      <c r="Y3240" s="1"/>
      <c r="Z3240" s="1"/>
      <c r="AA3240" s="1"/>
      <c r="AB3240" s="1"/>
      <c r="AC3240" s="1"/>
      <c r="AD3240" s="1"/>
      <c r="AE3240" s="1"/>
      <c r="AF3240" s="1"/>
      <c r="AG3240" s="1"/>
      <c r="AH3240" s="1"/>
    </row>
    <row r="3241" ht="12.75" hidden="1" customHeight="1" outlineLevel="1">
      <c r="A3241" s="17">
        <v>41589.0</v>
      </c>
      <c r="B3241" s="1"/>
      <c r="C3241" s="1" t="s">
        <v>433</v>
      </c>
      <c r="D3241" s="74"/>
      <c r="E3241" s="67"/>
      <c r="F3241" s="75"/>
      <c r="G3241" s="67"/>
      <c r="H3241" s="68"/>
      <c r="I3241" s="76"/>
      <c r="J3241" s="67"/>
      <c r="K3241" s="7" t="s">
        <v>1103</v>
      </c>
      <c r="L3241" s="77"/>
      <c r="M3241" s="79"/>
      <c r="N3241" s="1"/>
      <c r="O3241" s="1"/>
      <c r="P3241" s="1"/>
      <c r="Q3241" s="1"/>
      <c r="R3241" s="1"/>
      <c r="S3241" s="1"/>
      <c r="T3241" s="1"/>
      <c r="U3241" s="1"/>
      <c r="V3241" s="1"/>
      <c r="W3241" s="1"/>
      <c r="X3241" s="1"/>
      <c r="Y3241" s="1"/>
      <c r="Z3241" s="1"/>
      <c r="AA3241" s="1"/>
      <c r="AB3241" s="1"/>
      <c r="AC3241" s="1"/>
      <c r="AD3241" s="1"/>
      <c r="AE3241" s="1"/>
      <c r="AF3241" s="1"/>
      <c r="AG3241" s="1"/>
      <c r="AH3241" s="1"/>
    </row>
    <row r="3242" ht="12.75" hidden="1" customHeight="1" outlineLevel="1">
      <c r="A3242" s="17">
        <v>41589.0</v>
      </c>
      <c r="B3242" s="1"/>
      <c r="C3242" s="1" t="s">
        <v>435</v>
      </c>
      <c r="D3242" s="74"/>
      <c r="E3242" s="67"/>
      <c r="F3242" s="75"/>
      <c r="G3242" s="67"/>
      <c r="H3242" s="68"/>
      <c r="I3242" s="76"/>
      <c r="J3242" s="67"/>
      <c r="K3242" s="7" t="s">
        <v>1354</v>
      </c>
      <c r="L3242" s="77"/>
      <c r="M3242" s="79"/>
      <c r="N3242" s="1"/>
      <c r="O3242" s="1"/>
      <c r="P3242" s="1"/>
      <c r="Q3242" s="1"/>
      <c r="R3242" s="1"/>
      <c r="S3242" s="1"/>
      <c r="T3242" s="1"/>
      <c r="U3242" s="1"/>
      <c r="V3242" s="1"/>
      <c r="W3242" s="1"/>
      <c r="X3242" s="1"/>
      <c r="Y3242" s="1"/>
      <c r="Z3242" s="1"/>
      <c r="AA3242" s="1"/>
      <c r="AB3242" s="1"/>
      <c r="AC3242" s="1"/>
      <c r="AD3242" s="1"/>
      <c r="AE3242" s="1"/>
      <c r="AF3242" s="1"/>
      <c r="AG3242" s="1"/>
      <c r="AH3242" s="1"/>
    </row>
    <row r="3243" ht="12.75" hidden="1" customHeight="1" outlineLevel="1">
      <c r="A3243" s="17">
        <v>41590.0</v>
      </c>
      <c r="B3243" s="1"/>
      <c r="C3243" s="1" t="s">
        <v>339</v>
      </c>
      <c r="D3243" s="74"/>
      <c r="E3243" s="67"/>
      <c r="F3243" s="75"/>
      <c r="G3243" s="67"/>
      <c r="H3243" s="68"/>
      <c r="I3243" s="76"/>
      <c r="J3243" s="67"/>
      <c r="K3243" s="7" t="s">
        <v>1360</v>
      </c>
      <c r="L3243" s="77"/>
      <c r="M3243" s="79"/>
      <c r="N3243" s="1"/>
      <c r="O3243" s="1"/>
      <c r="P3243" s="1"/>
      <c r="Q3243" s="1"/>
      <c r="R3243" s="1"/>
      <c r="S3243" s="1"/>
      <c r="T3243" s="1"/>
      <c r="U3243" s="1"/>
      <c r="V3243" s="1"/>
      <c r="W3243" s="1"/>
      <c r="X3243" s="1"/>
      <c r="Y3243" s="1"/>
      <c r="Z3243" s="1"/>
      <c r="AA3243" s="1"/>
      <c r="AB3243" s="1"/>
      <c r="AC3243" s="1"/>
      <c r="AD3243" s="1"/>
      <c r="AE3243" s="1"/>
      <c r="AF3243" s="1"/>
      <c r="AG3243" s="1"/>
      <c r="AH3243" s="1"/>
    </row>
    <row r="3244" ht="12.75" hidden="1" customHeight="1" outlineLevel="1">
      <c r="A3244" s="17">
        <v>41590.0</v>
      </c>
      <c r="B3244" s="1"/>
      <c r="C3244" s="1" t="s">
        <v>429</v>
      </c>
      <c r="D3244" s="74"/>
      <c r="E3244" s="67"/>
      <c r="F3244" s="75"/>
      <c r="G3244" s="67"/>
      <c r="H3244" s="68"/>
      <c r="I3244" s="76"/>
      <c r="J3244" s="67"/>
      <c r="K3244" s="7" t="s">
        <v>1352</v>
      </c>
      <c r="L3244" s="77"/>
      <c r="M3244" s="79"/>
      <c r="N3244" s="1"/>
      <c r="O3244" s="1"/>
      <c r="P3244" s="1"/>
      <c r="Q3244" s="1"/>
      <c r="R3244" s="1"/>
      <c r="S3244" s="1"/>
      <c r="T3244" s="1"/>
      <c r="U3244" s="1"/>
      <c r="V3244" s="1"/>
      <c r="W3244" s="1"/>
      <c r="X3244" s="1"/>
      <c r="Y3244" s="1"/>
      <c r="Z3244" s="1"/>
      <c r="AA3244" s="1"/>
      <c r="AB3244" s="1"/>
      <c r="AC3244" s="1"/>
      <c r="AD3244" s="1"/>
      <c r="AE3244" s="1"/>
      <c r="AF3244" s="1"/>
      <c r="AG3244" s="1"/>
      <c r="AH3244" s="1"/>
    </row>
    <row r="3245" ht="12.75" hidden="1" customHeight="1" outlineLevel="1">
      <c r="A3245" s="17">
        <v>41590.0</v>
      </c>
      <c r="B3245" s="1"/>
      <c r="C3245" s="1" t="s">
        <v>431</v>
      </c>
      <c r="D3245" s="74"/>
      <c r="E3245" s="67"/>
      <c r="F3245" s="75"/>
      <c r="G3245" s="67"/>
      <c r="H3245" s="68"/>
      <c r="I3245" s="76"/>
      <c r="J3245" s="67"/>
      <c r="K3245" s="7" t="s">
        <v>1126</v>
      </c>
      <c r="L3245" s="77"/>
      <c r="M3245" s="79"/>
      <c r="N3245" s="1"/>
      <c r="O3245" s="1"/>
      <c r="P3245" s="1"/>
      <c r="Q3245" s="1"/>
      <c r="R3245" s="1"/>
      <c r="S3245" s="1"/>
      <c r="T3245" s="1"/>
      <c r="U3245" s="1"/>
      <c r="V3245" s="1"/>
      <c r="W3245" s="1"/>
      <c r="X3245" s="1"/>
      <c r="Y3245" s="1"/>
      <c r="Z3245" s="1"/>
      <c r="AA3245" s="1"/>
      <c r="AB3245" s="1"/>
      <c r="AC3245" s="1"/>
      <c r="AD3245" s="1"/>
      <c r="AE3245" s="1"/>
      <c r="AF3245" s="1"/>
      <c r="AG3245" s="1"/>
      <c r="AH3245" s="1"/>
    </row>
    <row r="3246" ht="12.75" hidden="1" customHeight="1" outlineLevel="1">
      <c r="A3246" s="17">
        <v>41590.0</v>
      </c>
      <c r="B3246" s="1"/>
      <c r="C3246" s="1" t="s">
        <v>433</v>
      </c>
      <c r="D3246" s="74"/>
      <c r="E3246" s="67"/>
      <c r="F3246" s="75"/>
      <c r="G3246" s="67"/>
      <c r="H3246" s="68"/>
      <c r="I3246" s="76"/>
      <c r="J3246" s="67"/>
      <c r="K3246" s="7" t="s">
        <v>1103</v>
      </c>
      <c r="L3246" s="77"/>
      <c r="M3246" s="79"/>
      <c r="N3246" s="1"/>
      <c r="O3246" s="1"/>
      <c r="P3246" s="1"/>
      <c r="Q3246" s="1"/>
      <c r="R3246" s="1"/>
      <c r="S3246" s="1"/>
      <c r="T3246" s="1"/>
      <c r="U3246" s="1"/>
      <c r="V3246" s="1"/>
      <c r="W3246" s="1"/>
      <c r="X3246" s="1"/>
      <c r="Y3246" s="1"/>
      <c r="Z3246" s="1"/>
      <c r="AA3246" s="1"/>
      <c r="AB3246" s="1"/>
      <c r="AC3246" s="1"/>
      <c r="AD3246" s="1"/>
      <c r="AE3246" s="1"/>
      <c r="AF3246" s="1"/>
      <c r="AG3246" s="1"/>
      <c r="AH3246" s="1"/>
    </row>
    <row r="3247" ht="12.75" hidden="1" customHeight="1" outlineLevel="1">
      <c r="A3247" s="17">
        <v>41590.0</v>
      </c>
      <c r="B3247" s="1"/>
      <c r="C3247" s="1" t="s">
        <v>435</v>
      </c>
      <c r="D3247" s="74"/>
      <c r="E3247" s="67"/>
      <c r="F3247" s="75"/>
      <c r="G3247" s="67"/>
      <c r="H3247" s="68"/>
      <c r="I3247" s="76"/>
      <c r="J3247" s="67"/>
      <c r="K3247" s="7" t="s">
        <v>1354</v>
      </c>
      <c r="L3247" s="77"/>
      <c r="M3247" s="79"/>
      <c r="N3247" s="1"/>
      <c r="O3247" s="1"/>
      <c r="P3247" s="1"/>
      <c r="Q3247" s="1"/>
      <c r="R3247" s="1"/>
      <c r="S3247" s="1"/>
      <c r="T3247" s="1"/>
      <c r="U3247" s="1"/>
      <c r="V3247" s="1"/>
      <c r="W3247" s="1"/>
      <c r="X3247" s="1"/>
      <c r="Y3247" s="1"/>
      <c r="Z3247" s="1"/>
      <c r="AA3247" s="1"/>
      <c r="AB3247" s="1"/>
      <c r="AC3247" s="1"/>
      <c r="AD3247" s="1"/>
      <c r="AE3247" s="1"/>
      <c r="AF3247" s="1"/>
      <c r="AG3247" s="1"/>
      <c r="AH3247" s="1"/>
    </row>
    <row r="3248" ht="12.75" hidden="1" customHeight="1" outlineLevel="1">
      <c r="A3248" s="17">
        <v>41591.0</v>
      </c>
      <c r="B3248" s="1"/>
      <c r="C3248" s="1" t="s">
        <v>339</v>
      </c>
      <c r="D3248" s="74"/>
      <c r="E3248" s="67"/>
      <c r="F3248" s="75"/>
      <c r="G3248" s="67"/>
      <c r="H3248" s="68"/>
      <c r="I3248" s="76"/>
      <c r="J3248" s="67"/>
      <c r="K3248" s="7" t="s">
        <v>1361</v>
      </c>
      <c r="L3248" s="77"/>
      <c r="M3248" s="79"/>
      <c r="N3248" s="1"/>
      <c r="O3248" s="1"/>
      <c r="P3248" s="1"/>
      <c r="Q3248" s="1"/>
      <c r="R3248" s="1"/>
      <c r="S3248" s="1"/>
      <c r="T3248" s="1"/>
      <c r="U3248" s="1"/>
      <c r="V3248" s="1"/>
      <c r="W3248" s="1"/>
      <c r="X3248" s="1"/>
      <c r="Y3248" s="1"/>
      <c r="Z3248" s="1"/>
      <c r="AA3248" s="1"/>
      <c r="AB3248" s="1"/>
      <c r="AC3248" s="1"/>
      <c r="AD3248" s="1"/>
      <c r="AE3248" s="1"/>
      <c r="AF3248" s="1"/>
      <c r="AG3248" s="1"/>
      <c r="AH3248" s="1"/>
    </row>
    <row r="3249" ht="12.75" hidden="1" customHeight="1" outlineLevel="1">
      <c r="A3249" s="17">
        <v>41591.0</v>
      </c>
      <c r="B3249" s="1"/>
      <c r="C3249" s="1" t="s">
        <v>429</v>
      </c>
      <c r="D3249" s="74"/>
      <c r="E3249" s="67"/>
      <c r="F3249" s="75"/>
      <c r="G3249" s="67"/>
      <c r="H3249" s="68"/>
      <c r="I3249" s="76"/>
      <c r="J3249" s="67"/>
      <c r="K3249" s="7" t="s">
        <v>1352</v>
      </c>
      <c r="L3249" s="77"/>
      <c r="M3249" s="79"/>
      <c r="N3249" s="1"/>
      <c r="O3249" s="1"/>
      <c r="P3249" s="1"/>
      <c r="Q3249" s="1"/>
      <c r="R3249" s="1"/>
      <c r="S3249" s="1"/>
      <c r="T3249" s="1"/>
      <c r="U3249" s="1"/>
      <c r="V3249" s="1"/>
      <c r="W3249" s="1"/>
      <c r="X3249" s="1"/>
      <c r="Y3249" s="1"/>
      <c r="Z3249" s="1"/>
      <c r="AA3249" s="1"/>
      <c r="AB3249" s="1"/>
      <c r="AC3249" s="1"/>
      <c r="AD3249" s="1"/>
      <c r="AE3249" s="1"/>
      <c r="AF3249" s="1"/>
      <c r="AG3249" s="1"/>
      <c r="AH3249" s="1"/>
    </row>
    <row r="3250" ht="12.75" hidden="1" customHeight="1" outlineLevel="1">
      <c r="A3250" s="17">
        <v>41591.0</v>
      </c>
      <c r="B3250" s="1"/>
      <c r="C3250" s="1" t="s">
        <v>431</v>
      </c>
      <c r="D3250" s="74"/>
      <c r="E3250" s="67"/>
      <c r="F3250" s="75"/>
      <c r="G3250" s="67"/>
      <c r="H3250" s="68"/>
      <c r="I3250" s="76"/>
      <c r="J3250" s="67"/>
      <c r="K3250" s="7" t="s">
        <v>1126</v>
      </c>
      <c r="L3250" s="77"/>
      <c r="M3250" s="79"/>
      <c r="N3250" s="1"/>
      <c r="O3250" s="1"/>
      <c r="P3250" s="1"/>
      <c r="Q3250" s="1"/>
      <c r="R3250" s="1"/>
      <c r="S3250" s="1"/>
      <c r="T3250" s="1"/>
      <c r="U3250" s="1"/>
      <c r="V3250" s="1"/>
      <c r="W3250" s="1"/>
      <c r="X3250" s="1"/>
      <c r="Y3250" s="1"/>
      <c r="Z3250" s="1"/>
      <c r="AA3250" s="1"/>
      <c r="AB3250" s="1"/>
      <c r="AC3250" s="1"/>
      <c r="AD3250" s="1"/>
      <c r="AE3250" s="1"/>
      <c r="AF3250" s="1"/>
      <c r="AG3250" s="1"/>
      <c r="AH3250" s="1"/>
    </row>
    <row r="3251" ht="12.75" hidden="1" customHeight="1" outlineLevel="1">
      <c r="A3251" s="17">
        <v>41591.0</v>
      </c>
      <c r="B3251" s="1"/>
      <c r="C3251" s="1" t="s">
        <v>433</v>
      </c>
      <c r="D3251" s="74"/>
      <c r="E3251" s="67"/>
      <c r="F3251" s="75"/>
      <c r="G3251" s="67"/>
      <c r="H3251" s="68"/>
      <c r="I3251" s="76"/>
      <c r="J3251" s="67"/>
      <c r="K3251" s="7" t="s">
        <v>1103</v>
      </c>
      <c r="L3251" s="77"/>
      <c r="M3251" s="79"/>
      <c r="N3251" s="1"/>
      <c r="O3251" s="1"/>
      <c r="P3251" s="1"/>
      <c r="Q3251" s="1"/>
      <c r="R3251" s="1"/>
      <c r="S3251" s="1"/>
      <c r="T3251" s="1"/>
      <c r="U3251" s="1"/>
      <c r="V3251" s="1"/>
      <c r="W3251" s="1"/>
      <c r="X3251" s="1"/>
      <c r="Y3251" s="1"/>
      <c r="Z3251" s="1"/>
      <c r="AA3251" s="1"/>
      <c r="AB3251" s="1"/>
      <c r="AC3251" s="1"/>
      <c r="AD3251" s="1"/>
      <c r="AE3251" s="1"/>
      <c r="AF3251" s="1"/>
      <c r="AG3251" s="1"/>
      <c r="AH3251" s="1"/>
    </row>
    <row r="3252" ht="12.75" hidden="1" customHeight="1" outlineLevel="1">
      <c r="A3252" s="17">
        <v>41591.0</v>
      </c>
      <c r="B3252" s="1"/>
      <c r="C3252" s="1" t="s">
        <v>435</v>
      </c>
      <c r="D3252" s="74"/>
      <c r="E3252" s="67"/>
      <c r="F3252" s="75"/>
      <c r="G3252" s="67"/>
      <c r="H3252" s="68"/>
      <c r="I3252" s="76"/>
      <c r="J3252" s="67"/>
      <c r="K3252" s="7" t="s">
        <v>1354</v>
      </c>
      <c r="L3252" s="77"/>
      <c r="M3252" s="79"/>
      <c r="N3252" s="1"/>
      <c r="O3252" s="1"/>
      <c r="P3252" s="1"/>
      <c r="Q3252" s="1"/>
      <c r="R3252" s="1"/>
      <c r="S3252" s="1"/>
      <c r="T3252" s="1"/>
      <c r="U3252" s="1"/>
      <c r="V3252" s="1"/>
      <c r="W3252" s="1"/>
      <c r="X3252" s="1"/>
      <c r="Y3252" s="1"/>
      <c r="Z3252" s="1"/>
      <c r="AA3252" s="1"/>
      <c r="AB3252" s="1"/>
      <c r="AC3252" s="1"/>
      <c r="AD3252" s="1"/>
      <c r="AE3252" s="1"/>
      <c r="AF3252" s="1"/>
      <c r="AG3252" s="1"/>
      <c r="AH3252" s="1"/>
    </row>
    <row r="3253" ht="12.75" hidden="1" customHeight="1" outlineLevel="1">
      <c r="A3253" s="17">
        <v>41592.0</v>
      </c>
      <c r="B3253" s="1" t="s">
        <v>343</v>
      </c>
      <c r="C3253" s="1" t="s">
        <v>1220</v>
      </c>
      <c r="D3253" s="74">
        <v>300.0</v>
      </c>
      <c r="E3253" s="67">
        <v>85.17</v>
      </c>
      <c r="F3253" s="75">
        <v>0.41465277777777776</v>
      </c>
      <c r="G3253" s="67" t="s">
        <v>453</v>
      </c>
      <c r="H3253" s="68">
        <v>1.5</v>
      </c>
      <c r="I3253" s="76"/>
      <c r="J3253" s="67">
        <f t="shared" ref="J3253:J3259" si="222">IF(B3253="SLD",D3253*E3253,-D3253*E3253)-H3253</f>
        <v>-25552.5</v>
      </c>
      <c r="K3253" s="7"/>
      <c r="L3253" s="70"/>
      <c r="M3253" s="79"/>
      <c r="N3253" s="1"/>
      <c r="O3253" s="1"/>
      <c r="P3253" s="1"/>
      <c r="Q3253" s="1"/>
      <c r="R3253" s="1"/>
      <c r="S3253" s="1"/>
      <c r="T3253" s="1"/>
      <c r="U3253" s="1"/>
      <c r="V3253" s="1"/>
      <c r="W3253" s="1"/>
      <c r="X3253" s="1"/>
      <c r="Y3253" s="1"/>
      <c r="Z3253" s="1"/>
      <c r="AA3253" s="1"/>
      <c r="AB3253" s="1"/>
      <c r="AC3253" s="1"/>
      <c r="AD3253" s="1"/>
      <c r="AE3253" s="1"/>
      <c r="AF3253" s="1"/>
      <c r="AG3253" s="1"/>
      <c r="AH3253" s="1"/>
    </row>
    <row r="3254" ht="12.75" hidden="1" customHeight="1" outlineLevel="1">
      <c r="A3254" s="17">
        <v>41592.0</v>
      </c>
      <c r="B3254" s="1" t="s">
        <v>343</v>
      </c>
      <c r="C3254" s="1" t="s">
        <v>1222</v>
      </c>
      <c r="D3254" s="74">
        <v>220.0</v>
      </c>
      <c r="E3254" s="67">
        <v>111.77</v>
      </c>
      <c r="F3254" s="75">
        <v>0.4146990740740741</v>
      </c>
      <c r="G3254" s="67" t="s">
        <v>453</v>
      </c>
      <c r="H3254" s="68">
        <v>1.0</v>
      </c>
      <c r="I3254" s="76"/>
      <c r="J3254" s="67">
        <f t="shared" si="222"/>
        <v>-24590.4</v>
      </c>
      <c r="K3254" s="7"/>
      <c r="L3254" s="70"/>
      <c r="M3254" s="79"/>
      <c r="N3254" s="1"/>
      <c r="O3254" s="1"/>
      <c r="P3254" s="1"/>
      <c r="Q3254" s="1"/>
      <c r="R3254" s="1"/>
      <c r="S3254" s="1"/>
      <c r="T3254" s="1"/>
      <c r="U3254" s="1"/>
      <c r="V3254" s="1"/>
      <c r="W3254" s="1"/>
      <c r="X3254" s="1"/>
      <c r="Y3254" s="1"/>
      <c r="Z3254" s="1"/>
      <c r="AA3254" s="1"/>
      <c r="AB3254" s="1"/>
      <c r="AC3254" s="1"/>
      <c r="AD3254" s="1"/>
      <c r="AE3254" s="1"/>
      <c r="AF3254" s="1"/>
      <c r="AG3254" s="1"/>
      <c r="AH3254" s="1"/>
    </row>
    <row r="3255" ht="12.75" hidden="1" customHeight="1" outlineLevel="1">
      <c r="A3255" s="17">
        <v>41592.0</v>
      </c>
      <c r="B3255" s="1" t="s">
        <v>343</v>
      </c>
      <c r="C3255" s="1" t="s">
        <v>605</v>
      </c>
      <c r="D3255" s="74">
        <v>300.0</v>
      </c>
      <c r="E3255" s="67">
        <v>67.49</v>
      </c>
      <c r="F3255" s="75">
        <v>0.449375</v>
      </c>
      <c r="G3255" s="67" t="s">
        <v>453</v>
      </c>
      <c r="H3255" s="68">
        <v>1.2</v>
      </c>
      <c r="I3255" s="76"/>
      <c r="J3255" s="67">
        <f t="shared" si="222"/>
        <v>-20248.2</v>
      </c>
      <c r="K3255" s="7"/>
      <c r="L3255" s="70"/>
      <c r="M3255" s="79"/>
      <c r="N3255" s="1"/>
      <c r="O3255" s="1"/>
      <c r="P3255" s="1"/>
      <c r="Q3255" s="1"/>
      <c r="R3255" s="1"/>
      <c r="S3255" s="1"/>
      <c r="T3255" s="1"/>
      <c r="U3255" s="1"/>
      <c r="V3255" s="1"/>
      <c r="W3255" s="1"/>
      <c r="X3255" s="1"/>
      <c r="Y3255" s="1"/>
      <c r="Z3255" s="1"/>
      <c r="AA3255" s="1"/>
      <c r="AB3255" s="1"/>
      <c r="AC3255" s="1"/>
      <c r="AD3255" s="1"/>
      <c r="AE3255" s="1"/>
      <c r="AF3255" s="1"/>
      <c r="AG3255" s="1"/>
      <c r="AH3255" s="1"/>
    </row>
    <row r="3256" ht="12.75" hidden="1" customHeight="1" outlineLevel="1">
      <c r="A3256" s="17">
        <v>41592.0</v>
      </c>
      <c r="B3256" s="1" t="s">
        <v>343</v>
      </c>
      <c r="C3256" s="1" t="s">
        <v>870</v>
      </c>
      <c r="D3256" s="74">
        <v>250.0</v>
      </c>
      <c r="E3256" s="67">
        <v>77.53</v>
      </c>
      <c r="F3256" s="75">
        <v>0.46222222222222226</v>
      </c>
      <c r="G3256" s="67" t="s">
        <v>453</v>
      </c>
      <c r="H3256" s="68">
        <v>1.25</v>
      </c>
      <c r="I3256" s="76"/>
      <c r="J3256" s="67">
        <f t="shared" si="222"/>
        <v>-19383.75</v>
      </c>
      <c r="K3256" s="7"/>
      <c r="L3256" s="70"/>
      <c r="M3256" s="79"/>
      <c r="N3256" s="1"/>
      <c r="O3256" s="1"/>
      <c r="P3256" s="1"/>
      <c r="Q3256" s="1"/>
      <c r="R3256" s="1"/>
      <c r="S3256" s="1"/>
      <c r="T3256" s="1"/>
      <c r="U3256" s="1"/>
      <c r="V3256" s="1"/>
      <c r="W3256" s="1"/>
      <c r="X3256" s="1"/>
      <c r="Y3256" s="1"/>
      <c r="Z3256" s="1"/>
      <c r="AA3256" s="1"/>
      <c r="AB3256" s="1"/>
      <c r="AC3256" s="1"/>
      <c r="AD3256" s="1"/>
      <c r="AE3256" s="1"/>
      <c r="AF3256" s="1"/>
      <c r="AG3256" s="1"/>
      <c r="AH3256" s="1"/>
    </row>
    <row r="3257" ht="12.75" hidden="1" customHeight="1" outlineLevel="1">
      <c r="A3257" s="17">
        <v>41592.0</v>
      </c>
      <c r="B3257" s="1" t="s">
        <v>343</v>
      </c>
      <c r="C3257" s="1" t="s">
        <v>1325</v>
      </c>
      <c r="D3257" s="74">
        <v>350.0</v>
      </c>
      <c r="E3257" s="67">
        <v>61.054</v>
      </c>
      <c r="F3257" s="75">
        <v>0.46878472222222217</v>
      </c>
      <c r="G3257" s="67" t="s">
        <v>453</v>
      </c>
      <c r="H3257" s="68">
        <v>1.55</v>
      </c>
      <c r="I3257" s="76"/>
      <c r="J3257" s="67">
        <f t="shared" si="222"/>
        <v>-21370.45</v>
      </c>
      <c r="K3257" s="7"/>
      <c r="L3257" s="70"/>
      <c r="M3257" s="79"/>
      <c r="N3257" s="1"/>
      <c r="O3257" s="1"/>
      <c r="P3257" s="1"/>
      <c r="Q3257" s="1"/>
      <c r="R3257" s="1"/>
      <c r="S3257" s="1"/>
      <c r="T3257" s="1"/>
      <c r="U3257" s="1"/>
      <c r="V3257" s="1"/>
      <c r="W3257" s="1"/>
      <c r="X3257" s="1"/>
      <c r="Y3257" s="1"/>
      <c r="Z3257" s="1"/>
      <c r="AA3257" s="1"/>
      <c r="AB3257" s="1"/>
      <c r="AC3257" s="1"/>
      <c r="AD3257" s="1"/>
      <c r="AE3257" s="1"/>
      <c r="AF3257" s="1"/>
      <c r="AG3257" s="1"/>
      <c r="AH3257" s="1"/>
    </row>
    <row r="3258" ht="12.75" hidden="1" customHeight="1" outlineLevel="1">
      <c r="A3258" s="17">
        <v>41592.0</v>
      </c>
      <c r="B3258" s="1" t="s">
        <v>343</v>
      </c>
      <c r="C3258" s="1" t="s">
        <v>779</v>
      </c>
      <c r="D3258" s="74">
        <v>25.0</v>
      </c>
      <c r="E3258" s="67">
        <v>219.45</v>
      </c>
      <c r="F3258" s="75">
        <v>0.4721875</v>
      </c>
      <c r="G3258" s="67" t="s">
        <v>453</v>
      </c>
      <c r="H3258" s="68">
        <v>1.0</v>
      </c>
      <c r="I3258" s="76"/>
      <c r="J3258" s="67">
        <f t="shared" si="222"/>
        <v>-5487.25</v>
      </c>
      <c r="K3258" s="7"/>
      <c r="L3258" s="70"/>
      <c r="M3258" s="79"/>
      <c r="N3258" s="1"/>
      <c r="O3258" s="1"/>
      <c r="P3258" s="1"/>
      <c r="Q3258" s="1"/>
      <c r="R3258" s="1"/>
      <c r="S3258" s="1"/>
      <c r="T3258" s="1"/>
      <c r="U3258" s="1"/>
      <c r="V3258" s="1"/>
      <c r="W3258" s="1"/>
      <c r="X3258" s="1"/>
      <c r="Y3258" s="1"/>
      <c r="Z3258" s="1"/>
      <c r="AA3258" s="1"/>
      <c r="AB3258" s="1"/>
      <c r="AC3258" s="1"/>
      <c r="AD3258" s="1"/>
      <c r="AE3258" s="1"/>
      <c r="AF3258" s="1"/>
      <c r="AG3258" s="1"/>
      <c r="AH3258" s="1"/>
    </row>
    <row r="3259" ht="12.75" hidden="1" customHeight="1" outlineLevel="1">
      <c r="A3259" s="17">
        <v>41592.0</v>
      </c>
      <c r="B3259" s="1" t="s">
        <v>343</v>
      </c>
      <c r="C3259" s="1" t="s">
        <v>344</v>
      </c>
      <c r="D3259" s="74">
        <v>100.0</v>
      </c>
      <c r="E3259" s="67">
        <v>48.82</v>
      </c>
      <c r="F3259" s="75">
        <v>0.47392361111111114</v>
      </c>
      <c r="G3259" s="67" t="s">
        <v>453</v>
      </c>
      <c r="H3259" s="68">
        <v>1.0</v>
      </c>
      <c r="I3259" s="76"/>
      <c r="J3259" s="67">
        <f t="shared" si="222"/>
        <v>-4883</v>
      </c>
      <c r="K3259" s="7"/>
      <c r="L3259" s="70"/>
      <c r="M3259" s="79"/>
      <c r="N3259" s="1"/>
      <c r="O3259" s="1"/>
      <c r="P3259" s="1"/>
      <c r="Q3259" s="1"/>
      <c r="R3259" s="1"/>
      <c r="S3259" s="1"/>
      <c r="T3259" s="1"/>
      <c r="U3259" s="1"/>
      <c r="V3259" s="1"/>
      <c r="W3259" s="1"/>
      <c r="X3259" s="1"/>
      <c r="Y3259" s="1"/>
      <c r="Z3259" s="1"/>
      <c r="AA3259" s="1"/>
      <c r="AB3259" s="1"/>
      <c r="AC3259" s="1"/>
      <c r="AD3259" s="1"/>
      <c r="AE3259" s="1"/>
      <c r="AF3259" s="1"/>
      <c r="AG3259" s="1"/>
      <c r="AH3259" s="1"/>
    </row>
    <row r="3260" ht="12.75" hidden="1" customHeight="1" outlineLevel="1">
      <c r="A3260" s="17">
        <v>41592.0</v>
      </c>
      <c r="B3260" s="1"/>
      <c r="C3260" s="1" t="s">
        <v>339</v>
      </c>
      <c r="D3260" s="74"/>
      <c r="E3260" s="67"/>
      <c r="F3260" s="75"/>
      <c r="G3260" s="67"/>
      <c r="H3260" s="68"/>
      <c r="I3260" s="76"/>
      <c r="J3260" s="67"/>
      <c r="K3260" s="7" t="s">
        <v>1364</v>
      </c>
      <c r="L3260" s="77"/>
      <c r="M3260" s="79"/>
      <c r="N3260" s="1"/>
      <c r="O3260" s="1"/>
      <c r="P3260" s="1"/>
      <c r="Q3260" s="1"/>
      <c r="R3260" s="1"/>
      <c r="S3260" s="1"/>
      <c r="T3260" s="1"/>
      <c r="U3260" s="1"/>
      <c r="V3260" s="1"/>
      <c r="W3260" s="1"/>
      <c r="X3260" s="1"/>
      <c r="Y3260" s="1"/>
      <c r="Z3260" s="1"/>
      <c r="AA3260" s="1"/>
      <c r="AB3260" s="1"/>
      <c r="AC3260" s="1"/>
      <c r="AD3260" s="1"/>
      <c r="AE3260" s="1"/>
      <c r="AF3260" s="1"/>
      <c r="AG3260" s="1"/>
      <c r="AH3260" s="1"/>
    </row>
    <row r="3261" ht="12.75" hidden="1" customHeight="1" outlineLevel="1">
      <c r="A3261" s="17">
        <v>41592.0</v>
      </c>
      <c r="B3261" s="1"/>
      <c r="C3261" s="1" t="s">
        <v>429</v>
      </c>
      <c r="D3261" s="74"/>
      <c r="E3261" s="67"/>
      <c r="F3261" s="75"/>
      <c r="G3261" s="67"/>
      <c r="H3261" s="68"/>
      <c r="I3261" s="76"/>
      <c r="J3261" s="67"/>
      <c r="K3261" s="7" t="s">
        <v>1352</v>
      </c>
      <c r="L3261" s="77"/>
      <c r="M3261" s="79"/>
      <c r="N3261" s="1"/>
      <c r="O3261" s="1"/>
      <c r="P3261" s="1"/>
      <c r="Q3261" s="1"/>
      <c r="R3261" s="1"/>
      <c r="S3261" s="1"/>
      <c r="T3261" s="1"/>
      <c r="U3261" s="1"/>
      <c r="V3261" s="1"/>
      <c r="W3261" s="1"/>
      <c r="X3261" s="1"/>
      <c r="Y3261" s="1"/>
      <c r="Z3261" s="1"/>
      <c r="AA3261" s="1"/>
      <c r="AB3261" s="1"/>
      <c r="AC3261" s="1"/>
      <c r="AD3261" s="1"/>
      <c r="AE3261" s="1"/>
      <c r="AF3261" s="1"/>
      <c r="AG3261" s="1"/>
      <c r="AH3261" s="1"/>
    </row>
    <row r="3262" ht="12.75" hidden="1" customHeight="1" outlineLevel="1">
      <c r="A3262" s="17">
        <v>41592.0</v>
      </c>
      <c r="B3262" s="1"/>
      <c r="C3262" s="1" t="s">
        <v>431</v>
      </c>
      <c r="D3262" s="74"/>
      <c r="E3262" s="67"/>
      <c r="F3262" s="75"/>
      <c r="G3262" s="67"/>
      <c r="H3262" s="68"/>
      <c r="I3262" s="76"/>
      <c r="J3262" s="67"/>
      <c r="K3262" s="7" t="s">
        <v>1126</v>
      </c>
      <c r="L3262" s="77"/>
      <c r="M3262" s="79"/>
      <c r="N3262" s="1"/>
      <c r="O3262" s="1"/>
      <c r="P3262" s="1"/>
      <c r="Q3262" s="1"/>
      <c r="R3262" s="1"/>
      <c r="S3262" s="1"/>
      <c r="T3262" s="1"/>
      <c r="U3262" s="1"/>
      <c r="V3262" s="1"/>
      <c r="W3262" s="1"/>
      <c r="X3262" s="1"/>
      <c r="Y3262" s="1"/>
      <c r="Z3262" s="1"/>
      <c r="AA3262" s="1"/>
      <c r="AB3262" s="1"/>
      <c r="AC3262" s="1"/>
      <c r="AD3262" s="1"/>
      <c r="AE3262" s="1"/>
      <c r="AF3262" s="1"/>
      <c r="AG3262" s="1"/>
      <c r="AH3262" s="1"/>
    </row>
    <row r="3263" ht="12.75" hidden="1" customHeight="1" outlineLevel="1">
      <c r="A3263" s="17">
        <v>41592.0</v>
      </c>
      <c r="B3263" s="1"/>
      <c r="C3263" s="1" t="s">
        <v>433</v>
      </c>
      <c r="D3263" s="74"/>
      <c r="E3263" s="67"/>
      <c r="F3263" s="75"/>
      <c r="G3263" s="67"/>
      <c r="H3263" s="68"/>
      <c r="I3263" s="76"/>
      <c r="J3263" s="67"/>
      <c r="K3263" s="7" t="s">
        <v>1103</v>
      </c>
      <c r="L3263" s="77"/>
      <c r="M3263" s="79"/>
      <c r="N3263" s="1"/>
      <c r="O3263" s="1"/>
      <c r="P3263" s="1"/>
      <c r="Q3263" s="1"/>
      <c r="R3263" s="1"/>
      <c r="S3263" s="1"/>
      <c r="T3263" s="1"/>
      <c r="U3263" s="1"/>
      <c r="V3263" s="1"/>
      <c r="W3263" s="1"/>
      <c r="X3263" s="1"/>
      <c r="Y3263" s="1"/>
      <c r="Z3263" s="1"/>
      <c r="AA3263" s="1"/>
      <c r="AB3263" s="1"/>
      <c r="AC3263" s="1"/>
      <c r="AD3263" s="1"/>
      <c r="AE3263" s="1"/>
      <c r="AF3263" s="1"/>
      <c r="AG3263" s="1"/>
      <c r="AH3263" s="1"/>
    </row>
    <row r="3264" ht="12.75" hidden="1" customHeight="1" outlineLevel="1">
      <c r="A3264" s="17">
        <v>41592.0</v>
      </c>
      <c r="B3264" s="1"/>
      <c r="C3264" s="1" t="s">
        <v>435</v>
      </c>
      <c r="D3264" s="74"/>
      <c r="E3264" s="67"/>
      <c r="F3264" s="75"/>
      <c r="G3264" s="67"/>
      <c r="H3264" s="68"/>
      <c r="I3264" s="76"/>
      <c r="J3264" s="67"/>
      <c r="K3264" s="7" t="s">
        <v>1354</v>
      </c>
      <c r="L3264" s="77"/>
      <c r="M3264" s="79"/>
      <c r="N3264" s="1"/>
      <c r="O3264" s="1"/>
      <c r="P3264" s="1"/>
      <c r="Q3264" s="1"/>
      <c r="R3264" s="1"/>
      <c r="S3264" s="1"/>
      <c r="T3264" s="1"/>
      <c r="U3264" s="1"/>
      <c r="V3264" s="1"/>
      <c r="W3264" s="1"/>
      <c r="X3264" s="1"/>
      <c r="Y3264" s="1"/>
      <c r="Z3264" s="1"/>
      <c r="AA3264" s="1"/>
      <c r="AB3264" s="1"/>
      <c r="AC3264" s="1"/>
      <c r="AD3264" s="1"/>
      <c r="AE3264" s="1"/>
      <c r="AF3264" s="1"/>
      <c r="AG3264" s="1"/>
      <c r="AH3264" s="1"/>
    </row>
    <row r="3265" ht="12.75" hidden="1" customHeight="1" outlineLevel="1">
      <c r="A3265" s="17">
        <v>41593.0</v>
      </c>
      <c r="B3265" s="1"/>
      <c r="C3265" s="1" t="s">
        <v>339</v>
      </c>
      <c r="D3265" s="74"/>
      <c r="E3265" s="67"/>
      <c r="F3265" s="75"/>
      <c r="G3265" s="67"/>
      <c r="H3265" s="68"/>
      <c r="I3265" s="76"/>
      <c r="J3265" s="67"/>
      <c r="K3265" s="7" t="s">
        <v>1365</v>
      </c>
      <c r="L3265" s="77"/>
      <c r="M3265" s="79"/>
      <c r="N3265" s="1"/>
      <c r="O3265" s="1"/>
      <c r="P3265" s="1"/>
      <c r="Q3265" s="1"/>
      <c r="R3265" s="1"/>
      <c r="S3265" s="1"/>
      <c r="T3265" s="1"/>
      <c r="U3265" s="1"/>
      <c r="V3265" s="1"/>
      <c r="W3265" s="1"/>
      <c r="X3265" s="1"/>
      <c r="Y3265" s="1"/>
      <c r="Z3265" s="1"/>
      <c r="AA3265" s="1"/>
      <c r="AB3265" s="1"/>
      <c r="AC3265" s="1"/>
      <c r="AD3265" s="1"/>
      <c r="AE3265" s="1"/>
      <c r="AF3265" s="1"/>
      <c r="AG3265" s="1"/>
      <c r="AH3265" s="1"/>
    </row>
    <row r="3266" ht="12.75" hidden="1" customHeight="1" outlineLevel="1">
      <c r="A3266" s="17">
        <v>41593.0</v>
      </c>
      <c r="B3266" s="1"/>
      <c r="C3266" s="1" t="s">
        <v>429</v>
      </c>
      <c r="D3266" s="74"/>
      <c r="E3266" s="67"/>
      <c r="F3266" s="75"/>
      <c r="G3266" s="67"/>
      <c r="H3266" s="68"/>
      <c r="I3266" s="76"/>
      <c r="J3266" s="67"/>
      <c r="K3266" s="7" t="s">
        <v>1352</v>
      </c>
      <c r="L3266" s="77"/>
      <c r="M3266" s="79"/>
      <c r="N3266" s="1"/>
      <c r="O3266" s="1"/>
      <c r="P3266" s="1"/>
      <c r="Q3266" s="1"/>
      <c r="R3266" s="1"/>
      <c r="S3266" s="1"/>
      <c r="T3266" s="1"/>
      <c r="U3266" s="1"/>
      <c r="V3266" s="1"/>
      <c r="W3266" s="1"/>
      <c r="X3266" s="1"/>
      <c r="Y3266" s="1"/>
      <c r="Z3266" s="1"/>
      <c r="AA3266" s="1"/>
      <c r="AB3266" s="1"/>
      <c r="AC3266" s="1"/>
      <c r="AD3266" s="1"/>
      <c r="AE3266" s="1"/>
      <c r="AF3266" s="1"/>
      <c r="AG3266" s="1"/>
      <c r="AH3266" s="1"/>
    </row>
    <row r="3267" ht="12.75" hidden="1" customHeight="1" outlineLevel="1">
      <c r="A3267" s="17">
        <v>41593.0</v>
      </c>
      <c r="B3267" s="1"/>
      <c r="C3267" s="1" t="s">
        <v>431</v>
      </c>
      <c r="D3267" s="74"/>
      <c r="E3267" s="67"/>
      <c r="F3267" s="75"/>
      <c r="G3267" s="67"/>
      <c r="H3267" s="68"/>
      <c r="I3267" s="76"/>
      <c r="J3267" s="67"/>
      <c r="K3267" s="7" t="s">
        <v>1126</v>
      </c>
      <c r="L3267" s="77"/>
      <c r="M3267" s="79"/>
      <c r="N3267" s="1"/>
      <c r="O3267" s="1"/>
      <c r="P3267" s="1"/>
      <c r="Q3267" s="1"/>
      <c r="R3267" s="1"/>
      <c r="S3267" s="1"/>
      <c r="T3267" s="1"/>
      <c r="U3267" s="1"/>
      <c r="V3267" s="1"/>
      <c r="W3267" s="1"/>
      <c r="X3267" s="1"/>
      <c r="Y3267" s="1"/>
      <c r="Z3267" s="1"/>
      <c r="AA3267" s="1"/>
      <c r="AB3267" s="1"/>
      <c r="AC3267" s="1"/>
      <c r="AD3267" s="1"/>
      <c r="AE3267" s="1"/>
      <c r="AF3267" s="1"/>
      <c r="AG3267" s="1"/>
      <c r="AH3267" s="1"/>
    </row>
    <row r="3268" ht="12.75" hidden="1" customHeight="1" outlineLevel="1">
      <c r="A3268" s="17">
        <v>41593.0</v>
      </c>
      <c r="B3268" s="1"/>
      <c r="C3268" s="1" t="s">
        <v>433</v>
      </c>
      <c r="D3268" s="74"/>
      <c r="E3268" s="67"/>
      <c r="F3268" s="75"/>
      <c r="G3268" s="67"/>
      <c r="H3268" s="68"/>
      <c r="I3268" s="76"/>
      <c r="J3268" s="67"/>
      <c r="K3268" s="7" t="s">
        <v>1103</v>
      </c>
      <c r="L3268" s="77"/>
      <c r="M3268" s="79"/>
      <c r="N3268" s="1"/>
      <c r="O3268" s="1"/>
      <c r="P3268" s="1"/>
      <c r="Q3268" s="1"/>
      <c r="R3268" s="1"/>
      <c r="S3268" s="1"/>
      <c r="T3268" s="1"/>
      <c r="U3268" s="1"/>
      <c r="V3268" s="1"/>
      <c r="W3268" s="1"/>
      <c r="X3268" s="1"/>
      <c r="Y3268" s="1"/>
      <c r="Z3268" s="1"/>
      <c r="AA3268" s="1"/>
      <c r="AB3268" s="1"/>
      <c r="AC3268" s="1"/>
      <c r="AD3268" s="1"/>
      <c r="AE3268" s="1"/>
      <c r="AF3268" s="1"/>
      <c r="AG3268" s="1"/>
      <c r="AH3268" s="1"/>
    </row>
    <row r="3269" ht="12.75" hidden="1" customHeight="1" outlineLevel="1">
      <c r="A3269" s="17">
        <v>41593.0</v>
      </c>
      <c r="B3269" s="1"/>
      <c r="C3269" s="1" t="s">
        <v>435</v>
      </c>
      <c r="D3269" s="74"/>
      <c r="E3269" s="67"/>
      <c r="F3269" s="75"/>
      <c r="G3269" s="67"/>
      <c r="H3269" s="68"/>
      <c r="I3269" s="76"/>
      <c r="J3269" s="67"/>
      <c r="K3269" s="7" t="s">
        <v>1354</v>
      </c>
      <c r="L3269" s="77"/>
      <c r="M3269" s="79"/>
      <c r="N3269" s="1"/>
      <c r="O3269" s="1"/>
      <c r="P3269" s="1"/>
      <c r="Q3269" s="1"/>
      <c r="R3269" s="1"/>
      <c r="S3269" s="1"/>
      <c r="T3269" s="1"/>
      <c r="U3269" s="1"/>
      <c r="V3269" s="1"/>
      <c r="W3269" s="1"/>
      <c r="X3269" s="1"/>
      <c r="Y3269" s="1"/>
      <c r="Z3269" s="1"/>
      <c r="AA3269" s="1"/>
      <c r="AB3269" s="1"/>
      <c r="AC3269" s="1"/>
      <c r="AD3269" s="1"/>
      <c r="AE3269" s="1"/>
      <c r="AF3269" s="1"/>
      <c r="AG3269" s="1"/>
      <c r="AH3269" s="1"/>
    </row>
    <row r="3270" ht="12.75" hidden="1" customHeight="1" outlineLevel="1">
      <c r="A3270" s="17">
        <v>41596.0</v>
      </c>
      <c r="B3270" s="1" t="s">
        <v>347</v>
      </c>
      <c r="C3270" s="1" t="s">
        <v>870</v>
      </c>
      <c r="D3270" s="74">
        <v>250.0</v>
      </c>
      <c r="E3270" s="67">
        <v>77.29</v>
      </c>
      <c r="F3270" s="75">
        <v>0.6654282407407407</v>
      </c>
      <c r="G3270" s="67" t="s">
        <v>453</v>
      </c>
      <c r="H3270" s="68">
        <v>1.49</v>
      </c>
      <c r="I3270" s="76"/>
      <c r="J3270" s="67">
        <f t="shared" ref="J3270:J3271" si="223">IF(B3270="SLD",D3270*E3270,-D3270*E3270)-H3270</f>
        <v>19321.01</v>
      </c>
      <c r="K3270" s="7"/>
      <c r="L3270" s="70"/>
      <c r="M3270" s="79"/>
      <c r="N3270" s="1"/>
      <c r="O3270" s="1"/>
      <c r="P3270" s="1"/>
      <c r="Q3270" s="1"/>
      <c r="R3270" s="1"/>
      <c r="S3270" s="1"/>
      <c r="T3270" s="1"/>
      <c r="U3270" s="1"/>
      <c r="V3270" s="1"/>
      <c r="W3270" s="1"/>
      <c r="X3270" s="1"/>
      <c r="Y3270" s="1"/>
      <c r="Z3270" s="1"/>
      <c r="AA3270" s="1"/>
      <c r="AB3270" s="1"/>
      <c r="AC3270" s="1"/>
      <c r="AD3270" s="1"/>
      <c r="AE3270" s="1"/>
      <c r="AF3270" s="1"/>
      <c r="AG3270" s="1"/>
      <c r="AH3270" s="1"/>
    </row>
    <row r="3271" ht="12.75" hidden="1" customHeight="1" outlineLevel="1">
      <c r="A3271" s="17">
        <v>41596.0</v>
      </c>
      <c r="B3271" s="1" t="s">
        <v>347</v>
      </c>
      <c r="C3271" s="1" t="s">
        <v>605</v>
      </c>
      <c r="D3271" s="74">
        <v>300.0</v>
      </c>
      <c r="E3271" s="67">
        <v>67.14</v>
      </c>
      <c r="F3271" s="75">
        <v>0.6655902777777778</v>
      </c>
      <c r="G3271" s="67" t="s">
        <v>453</v>
      </c>
      <c r="H3271" s="68">
        <v>1.55</v>
      </c>
      <c r="I3271" s="76"/>
      <c r="J3271" s="67">
        <f t="shared" si="223"/>
        <v>20140.45</v>
      </c>
      <c r="K3271" s="7"/>
      <c r="L3271" s="70"/>
      <c r="M3271" s="79"/>
      <c r="N3271" s="1"/>
      <c r="O3271" s="1"/>
      <c r="P3271" s="1"/>
      <c r="Q3271" s="1"/>
      <c r="R3271" s="1"/>
      <c r="S3271" s="1"/>
      <c r="T3271" s="1"/>
      <c r="U3271" s="1"/>
      <c r="V3271" s="1"/>
      <c r="W3271" s="1"/>
      <c r="X3271" s="1"/>
      <c r="Y3271" s="1"/>
      <c r="Z3271" s="1"/>
      <c r="AA3271" s="1"/>
      <c r="AB3271" s="1"/>
      <c r="AC3271" s="1"/>
      <c r="AD3271" s="1"/>
      <c r="AE3271" s="1"/>
      <c r="AF3271" s="1"/>
      <c r="AG3271" s="1"/>
      <c r="AH3271" s="1"/>
    </row>
    <row r="3272" ht="12.75" hidden="1" customHeight="1" outlineLevel="1">
      <c r="A3272" s="17">
        <v>41596.0</v>
      </c>
      <c r="B3272" s="1"/>
      <c r="C3272" s="1" t="s">
        <v>339</v>
      </c>
      <c r="D3272" s="74"/>
      <c r="E3272" s="67"/>
      <c r="F3272" s="75"/>
      <c r="G3272" s="67"/>
      <c r="H3272" s="68"/>
      <c r="I3272" s="76"/>
      <c r="J3272" s="67"/>
      <c r="K3272" s="7" t="s">
        <v>1367</v>
      </c>
      <c r="L3272" s="77"/>
      <c r="M3272" s="79"/>
      <c r="N3272" s="1"/>
      <c r="O3272" s="1"/>
      <c r="P3272" s="1"/>
      <c r="Q3272" s="1"/>
      <c r="R3272" s="1"/>
      <c r="S3272" s="1"/>
      <c r="T3272" s="1"/>
      <c r="U3272" s="1"/>
      <c r="V3272" s="1"/>
      <c r="W3272" s="1"/>
      <c r="X3272" s="1"/>
      <c r="Y3272" s="1"/>
      <c r="Z3272" s="1"/>
      <c r="AA3272" s="1"/>
      <c r="AB3272" s="1"/>
      <c r="AC3272" s="1"/>
      <c r="AD3272" s="1"/>
      <c r="AE3272" s="1"/>
      <c r="AF3272" s="1"/>
      <c r="AG3272" s="1"/>
      <c r="AH3272" s="1"/>
    </row>
    <row r="3273" ht="12.75" hidden="1" customHeight="1" outlineLevel="1">
      <c r="A3273" s="17">
        <v>41596.0</v>
      </c>
      <c r="B3273" s="1"/>
      <c r="C3273" s="1" t="s">
        <v>429</v>
      </c>
      <c r="D3273" s="74"/>
      <c r="E3273" s="67"/>
      <c r="F3273" s="75"/>
      <c r="G3273" s="67"/>
      <c r="H3273" s="68"/>
      <c r="I3273" s="76"/>
      <c r="J3273" s="67"/>
      <c r="K3273" s="7" t="s">
        <v>1352</v>
      </c>
      <c r="L3273" s="77"/>
      <c r="M3273" s="79"/>
      <c r="N3273" s="1"/>
      <c r="O3273" s="1"/>
      <c r="P3273" s="1"/>
      <c r="Q3273" s="1"/>
      <c r="R3273" s="1"/>
      <c r="S3273" s="1"/>
      <c r="T3273" s="1"/>
      <c r="U3273" s="1"/>
      <c r="V3273" s="1"/>
      <c r="W3273" s="1"/>
      <c r="X3273" s="1"/>
      <c r="Y3273" s="1"/>
      <c r="Z3273" s="1"/>
      <c r="AA3273" s="1"/>
      <c r="AB3273" s="1"/>
      <c r="AC3273" s="1"/>
      <c r="AD3273" s="1"/>
      <c r="AE3273" s="1"/>
      <c r="AF3273" s="1"/>
      <c r="AG3273" s="1"/>
      <c r="AH3273" s="1"/>
    </row>
    <row r="3274" ht="12.75" hidden="1" customHeight="1" outlineLevel="1">
      <c r="A3274" s="17">
        <v>41596.0</v>
      </c>
      <c r="B3274" s="1"/>
      <c r="C3274" s="1" t="s">
        <v>431</v>
      </c>
      <c r="D3274" s="74"/>
      <c r="E3274" s="67"/>
      <c r="F3274" s="75"/>
      <c r="G3274" s="67"/>
      <c r="H3274" s="68"/>
      <c r="I3274" s="76"/>
      <c r="J3274" s="67"/>
      <c r="K3274" s="7" t="s">
        <v>1126</v>
      </c>
      <c r="L3274" s="77"/>
      <c r="M3274" s="79"/>
      <c r="N3274" s="1"/>
      <c r="O3274" s="1"/>
      <c r="P3274" s="1"/>
      <c r="Q3274" s="1"/>
      <c r="R3274" s="1"/>
      <c r="S3274" s="1"/>
      <c r="T3274" s="1"/>
      <c r="U3274" s="1"/>
      <c r="V3274" s="1"/>
      <c r="W3274" s="1"/>
      <c r="X3274" s="1"/>
      <c r="Y3274" s="1"/>
      <c r="Z3274" s="1"/>
      <c r="AA3274" s="1"/>
      <c r="AB3274" s="1"/>
      <c r="AC3274" s="1"/>
      <c r="AD3274" s="1"/>
      <c r="AE3274" s="1"/>
      <c r="AF3274" s="1"/>
      <c r="AG3274" s="1"/>
      <c r="AH3274" s="1"/>
    </row>
    <row r="3275" ht="12.75" hidden="1" customHeight="1" outlineLevel="1">
      <c r="A3275" s="17">
        <v>41596.0</v>
      </c>
      <c r="B3275" s="1"/>
      <c r="C3275" s="1" t="s">
        <v>433</v>
      </c>
      <c r="D3275" s="74"/>
      <c r="E3275" s="67"/>
      <c r="F3275" s="75"/>
      <c r="G3275" s="67"/>
      <c r="H3275" s="68"/>
      <c r="I3275" s="76"/>
      <c r="J3275" s="67"/>
      <c r="K3275" s="7" t="s">
        <v>1103</v>
      </c>
      <c r="L3275" s="77"/>
      <c r="M3275" s="79"/>
      <c r="N3275" s="1"/>
      <c r="O3275" s="1"/>
      <c r="P3275" s="1"/>
      <c r="Q3275" s="1"/>
      <c r="R3275" s="1"/>
      <c r="S3275" s="1"/>
      <c r="T3275" s="1"/>
      <c r="U3275" s="1"/>
      <c r="V3275" s="1"/>
      <c r="W3275" s="1"/>
      <c r="X3275" s="1"/>
      <c r="Y3275" s="1"/>
      <c r="Z3275" s="1"/>
      <c r="AA3275" s="1"/>
      <c r="AB3275" s="1"/>
      <c r="AC3275" s="1"/>
      <c r="AD3275" s="1"/>
      <c r="AE3275" s="1"/>
      <c r="AF3275" s="1"/>
      <c r="AG3275" s="1"/>
      <c r="AH3275" s="1"/>
    </row>
    <row r="3276" ht="12.75" hidden="1" customHeight="1" outlineLevel="1">
      <c r="A3276" s="17">
        <v>41596.0</v>
      </c>
      <c r="B3276" s="1"/>
      <c r="C3276" s="1" t="s">
        <v>435</v>
      </c>
      <c r="D3276" s="74"/>
      <c r="E3276" s="67"/>
      <c r="F3276" s="75"/>
      <c r="G3276" s="67"/>
      <c r="H3276" s="68"/>
      <c r="I3276" s="76"/>
      <c r="J3276" s="67"/>
      <c r="K3276" s="7" t="s">
        <v>1354</v>
      </c>
      <c r="L3276" s="77"/>
      <c r="M3276" s="79"/>
      <c r="N3276" s="1"/>
      <c r="O3276" s="1"/>
      <c r="P3276" s="1"/>
      <c r="Q3276" s="1"/>
      <c r="R3276" s="1"/>
      <c r="S3276" s="1"/>
      <c r="T3276" s="1"/>
      <c r="U3276" s="1"/>
      <c r="V3276" s="1"/>
      <c r="W3276" s="1"/>
      <c r="X3276" s="1"/>
      <c r="Y3276" s="1"/>
      <c r="Z3276" s="1"/>
      <c r="AA3276" s="1"/>
      <c r="AB3276" s="1"/>
      <c r="AC3276" s="1"/>
      <c r="AD3276" s="1"/>
      <c r="AE3276" s="1"/>
      <c r="AF3276" s="1"/>
      <c r="AG3276" s="1"/>
      <c r="AH3276" s="1"/>
    </row>
    <row r="3277" ht="12.75" hidden="1" customHeight="1" outlineLevel="1">
      <c r="A3277" s="17">
        <v>41597.0</v>
      </c>
      <c r="B3277" s="1" t="s">
        <v>343</v>
      </c>
      <c r="C3277" s="1" t="s">
        <v>605</v>
      </c>
      <c r="D3277" s="74">
        <v>300.0</v>
      </c>
      <c r="E3277" s="67">
        <v>67.09</v>
      </c>
      <c r="F3277" s="75">
        <v>0.403125</v>
      </c>
      <c r="G3277" s="67" t="s">
        <v>453</v>
      </c>
      <c r="H3277" s="68">
        <v>1.5</v>
      </c>
      <c r="I3277" s="76"/>
      <c r="J3277" s="67">
        <f t="shared" ref="J3277:J3284" si="224">IF(B3277="SLD",D3277*E3277,-D3277*E3277)-H3277</f>
        <v>-20128.5</v>
      </c>
      <c r="K3277" s="7"/>
      <c r="L3277" s="70"/>
      <c r="M3277" s="79"/>
      <c r="N3277" s="1"/>
      <c r="O3277" s="1"/>
      <c r="P3277" s="1"/>
      <c r="Q3277" s="1"/>
      <c r="R3277" s="1"/>
      <c r="S3277" s="1"/>
      <c r="T3277" s="1"/>
      <c r="U3277" s="1"/>
      <c r="V3277" s="1"/>
      <c r="W3277" s="1"/>
      <c r="X3277" s="1"/>
      <c r="Y3277" s="1"/>
      <c r="Z3277" s="1"/>
      <c r="AA3277" s="1"/>
      <c r="AB3277" s="1"/>
      <c r="AC3277" s="1"/>
      <c r="AD3277" s="1"/>
      <c r="AE3277" s="1"/>
      <c r="AF3277" s="1"/>
      <c r="AG3277" s="1"/>
      <c r="AH3277" s="1"/>
    </row>
    <row r="3278" ht="12.75" hidden="1" customHeight="1" outlineLevel="1">
      <c r="A3278" s="17">
        <v>41597.0</v>
      </c>
      <c r="B3278" s="1" t="s">
        <v>343</v>
      </c>
      <c r="C3278" s="1" t="s">
        <v>1275</v>
      </c>
      <c r="D3278" s="74">
        <v>650.0</v>
      </c>
      <c r="E3278" s="67">
        <v>32.88</v>
      </c>
      <c r="F3278" s="75">
        <v>0.4033449074074074</v>
      </c>
      <c r="G3278" s="67" t="s">
        <v>453</v>
      </c>
      <c r="H3278" s="68">
        <v>3.25</v>
      </c>
      <c r="I3278" s="76"/>
      <c r="J3278" s="67">
        <f t="shared" si="224"/>
        <v>-21375.25</v>
      </c>
      <c r="K3278" s="7"/>
      <c r="L3278" s="70"/>
      <c r="M3278" s="79"/>
      <c r="N3278" s="1"/>
      <c r="O3278" s="1"/>
      <c r="P3278" s="1"/>
      <c r="Q3278" s="1"/>
      <c r="R3278" s="1"/>
      <c r="S3278" s="1"/>
      <c r="T3278" s="1"/>
      <c r="U3278" s="1"/>
      <c r="V3278" s="1"/>
      <c r="W3278" s="1"/>
      <c r="X3278" s="1"/>
      <c r="Y3278" s="1"/>
      <c r="Z3278" s="1"/>
      <c r="AA3278" s="1"/>
      <c r="AB3278" s="1"/>
      <c r="AC3278" s="1"/>
      <c r="AD3278" s="1"/>
      <c r="AE3278" s="1"/>
      <c r="AF3278" s="1"/>
      <c r="AG3278" s="1"/>
      <c r="AH3278" s="1"/>
    </row>
    <row r="3279" ht="12.75" hidden="1" customHeight="1" outlineLevel="1">
      <c r="A3279" s="17">
        <v>41597.0</v>
      </c>
      <c r="B3279" s="1" t="s">
        <v>343</v>
      </c>
      <c r="C3279" s="1" t="s">
        <v>870</v>
      </c>
      <c r="D3279" s="74">
        <v>250.0</v>
      </c>
      <c r="E3279" s="67">
        <v>77.27</v>
      </c>
      <c r="F3279" s="75">
        <v>0.4033680555555556</v>
      </c>
      <c r="G3279" s="67" t="s">
        <v>453</v>
      </c>
      <c r="H3279" s="68">
        <v>1.25</v>
      </c>
      <c r="I3279" s="76"/>
      <c r="J3279" s="67">
        <f t="shared" si="224"/>
        <v>-19318.75</v>
      </c>
      <c r="K3279" s="7"/>
      <c r="L3279" s="70"/>
      <c r="M3279" s="79"/>
      <c r="N3279" s="1"/>
      <c r="O3279" s="1"/>
      <c r="P3279" s="1"/>
      <c r="Q3279" s="1"/>
      <c r="R3279" s="1"/>
      <c r="S3279" s="1"/>
      <c r="T3279" s="1"/>
      <c r="U3279" s="1"/>
      <c r="V3279" s="1"/>
      <c r="W3279" s="1"/>
      <c r="X3279" s="1"/>
      <c r="Y3279" s="1"/>
      <c r="Z3279" s="1"/>
      <c r="AA3279" s="1"/>
      <c r="AB3279" s="1"/>
      <c r="AC3279" s="1"/>
      <c r="AD3279" s="1"/>
      <c r="AE3279" s="1"/>
      <c r="AF3279" s="1"/>
      <c r="AG3279" s="1"/>
      <c r="AH3279" s="1"/>
    </row>
    <row r="3280" ht="12.75" hidden="1" customHeight="1" outlineLevel="1">
      <c r="A3280" s="17">
        <v>41597.0</v>
      </c>
      <c r="B3280" s="1" t="s">
        <v>343</v>
      </c>
      <c r="C3280" s="1" t="s">
        <v>1092</v>
      </c>
      <c r="D3280" s="74">
        <v>200.0</v>
      </c>
      <c r="E3280" s="67">
        <v>8.3</v>
      </c>
      <c r="F3280" s="75">
        <v>0.4186574074074074</v>
      </c>
      <c r="G3280" s="67" t="s">
        <v>453</v>
      </c>
      <c r="H3280" s="68">
        <v>1.0</v>
      </c>
      <c r="I3280" s="76"/>
      <c r="J3280" s="67">
        <f t="shared" si="224"/>
        <v>-1661</v>
      </c>
      <c r="K3280" s="7"/>
      <c r="L3280" s="70"/>
      <c r="M3280" s="79"/>
      <c r="N3280" s="1"/>
      <c r="O3280" s="1"/>
      <c r="P3280" s="1"/>
      <c r="Q3280" s="1"/>
      <c r="R3280" s="1"/>
      <c r="S3280" s="1"/>
      <c r="T3280" s="1"/>
      <c r="U3280" s="1"/>
      <c r="V3280" s="1"/>
      <c r="W3280" s="1"/>
      <c r="X3280" s="1"/>
      <c r="Y3280" s="1"/>
      <c r="Z3280" s="1"/>
      <c r="AA3280" s="1"/>
      <c r="AB3280" s="1"/>
      <c r="AC3280" s="1"/>
      <c r="AD3280" s="1"/>
      <c r="AE3280" s="1"/>
      <c r="AF3280" s="1"/>
      <c r="AG3280" s="1"/>
      <c r="AH3280" s="1"/>
    </row>
    <row r="3281" ht="12.75" hidden="1" customHeight="1" outlineLevel="1">
      <c r="A3281" s="17">
        <v>41597.0</v>
      </c>
      <c r="B3281" s="1" t="s">
        <v>343</v>
      </c>
      <c r="C3281" s="1" t="s">
        <v>1369</v>
      </c>
      <c r="D3281" s="74">
        <v>1500.0</v>
      </c>
      <c r="E3281" s="67">
        <v>13.18</v>
      </c>
      <c r="F3281" s="75">
        <v>0.44031250000000005</v>
      </c>
      <c r="G3281" s="67" t="s">
        <v>453</v>
      </c>
      <c r="H3281" s="68">
        <v>6.0</v>
      </c>
      <c r="I3281" s="76"/>
      <c r="J3281" s="67">
        <f t="shared" si="224"/>
        <v>-19776</v>
      </c>
      <c r="K3281" s="7"/>
      <c r="L3281" s="70"/>
      <c r="M3281" s="79"/>
      <c r="N3281" s="1"/>
      <c r="O3281" s="1"/>
      <c r="P3281" s="1"/>
      <c r="Q3281" s="1"/>
      <c r="R3281" s="1"/>
      <c r="S3281" s="1"/>
      <c r="T3281" s="1"/>
      <c r="U3281" s="1"/>
      <c r="V3281" s="1"/>
      <c r="W3281" s="1"/>
      <c r="X3281" s="1"/>
      <c r="Y3281" s="1"/>
      <c r="Z3281" s="1"/>
      <c r="AA3281" s="1"/>
      <c r="AB3281" s="1"/>
      <c r="AC3281" s="1"/>
      <c r="AD3281" s="1"/>
      <c r="AE3281" s="1"/>
      <c r="AF3281" s="1"/>
      <c r="AG3281" s="1"/>
      <c r="AH3281" s="1"/>
    </row>
    <row r="3282" ht="12.75" hidden="1" customHeight="1" outlineLevel="1">
      <c r="A3282" s="17">
        <v>41597.0</v>
      </c>
      <c r="B3282" s="1" t="s">
        <v>343</v>
      </c>
      <c r="C3282" s="1" t="s">
        <v>1370</v>
      </c>
      <c r="D3282" s="74">
        <v>350.0</v>
      </c>
      <c r="E3282" s="67">
        <v>59.79</v>
      </c>
      <c r="F3282" s="75">
        <v>0.44037037037037036</v>
      </c>
      <c r="G3282" s="67" t="s">
        <v>453</v>
      </c>
      <c r="H3282" s="68">
        <v>1.75</v>
      </c>
      <c r="I3282" s="76"/>
      <c r="J3282" s="67">
        <f t="shared" si="224"/>
        <v>-20928.25</v>
      </c>
      <c r="K3282" s="7"/>
      <c r="L3282" s="70"/>
      <c r="M3282" s="79"/>
      <c r="N3282" s="1"/>
      <c r="O3282" s="1"/>
      <c r="P3282" s="1"/>
      <c r="Q3282" s="1"/>
      <c r="R3282" s="1"/>
      <c r="S3282" s="1"/>
      <c r="T3282" s="1"/>
      <c r="U3282" s="1"/>
      <c r="V3282" s="1"/>
      <c r="W3282" s="1"/>
      <c r="X3282" s="1"/>
      <c r="Y3282" s="1"/>
      <c r="Z3282" s="1"/>
      <c r="AA3282" s="1"/>
      <c r="AB3282" s="1"/>
      <c r="AC3282" s="1"/>
      <c r="AD3282" s="1"/>
      <c r="AE3282" s="1"/>
      <c r="AF3282" s="1"/>
      <c r="AG3282" s="1"/>
      <c r="AH3282" s="1"/>
    </row>
    <row r="3283" ht="12.75" hidden="1" customHeight="1" outlineLevel="1">
      <c r="A3283" s="17">
        <v>41597.0</v>
      </c>
      <c r="B3283" s="1" t="s">
        <v>343</v>
      </c>
      <c r="C3283" s="1" t="s">
        <v>1371</v>
      </c>
      <c r="D3283" s="74">
        <v>450.0</v>
      </c>
      <c r="E3283" s="67">
        <v>53.242</v>
      </c>
      <c r="F3283" s="75">
        <v>0.617037037037037</v>
      </c>
      <c r="G3283" s="67" t="s">
        <v>453</v>
      </c>
      <c r="H3283" s="68">
        <v>2.25</v>
      </c>
      <c r="I3283" s="76"/>
      <c r="J3283" s="67">
        <f t="shared" si="224"/>
        <v>-23961.15</v>
      </c>
      <c r="K3283" s="7"/>
      <c r="L3283" s="70"/>
      <c r="M3283" s="79"/>
      <c r="N3283" s="1"/>
      <c r="O3283" s="1"/>
      <c r="P3283" s="1"/>
      <c r="Q3283" s="1"/>
      <c r="R3283" s="1"/>
      <c r="S3283" s="1"/>
      <c r="T3283" s="1"/>
      <c r="U3283" s="1"/>
      <c r="V3283" s="1"/>
      <c r="W3283" s="1"/>
      <c r="X3283" s="1"/>
      <c r="Y3283" s="1"/>
      <c r="Z3283" s="1"/>
      <c r="AA3283" s="1"/>
      <c r="AB3283" s="1"/>
      <c r="AC3283" s="1"/>
      <c r="AD3283" s="1"/>
      <c r="AE3283" s="1"/>
      <c r="AF3283" s="1"/>
      <c r="AG3283" s="1"/>
      <c r="AH3283" s="1"/>
    </row>
    <row r="3284" ht="12.75" hidden="1" customHeight="1" outlineLevel="1">
      <c r="A3284" s="17">
        <v>41597.0</v>
      </c>
      <c r="B3284" s="1" t="s">
        <v>343</v>
      </c>
      <c r="C3284" s="1" t="s">
        <v>354</v>
      </c>
      <c r="D3284" s="74">
        <v>150.0</v>
      </c>
      <c r="E3284" s="67">
        <v>153.01</v>
      </c>
      <c r="F3284" s="75">
        <v>0.6183564814814815</v>
      </c>
      <c r="G3284" s="67" t="s">
        <v>453</v>
      </c>
      <c r="H3284" s="68">
        <v>1.0</v>
      </c>
      <c r="I3284" s="76"/>
      <c r="J3284" s="67">
        <f t="shared" si="224"/>
        <v>-22952.5</v>
      </c>
      <c r="K3284" s="7"/>
      <c r="L3284" s="70"/>
      <c r="M3284" s="79"/>
      <c r="N3284" s="1"/>
      <c r="O3284" s="1"/>
      <c r="P3284" s="1"/>
      <c r="Q3284" s="1"/>
      <c r="R3284" s="1"/>
      <c r="S3284" s="1"/>
      <c r="T3284" s="1"/>
      <c r="U3284" s="1"/>
      <c r="V3284" s="1"/>
      <c r="W3284" s="1"/>
      <c r="X3284" s="1"/>
      <c r="Y3284" s="1"/>
      <c r="Z3284" s="1"/>
      <c r="AA3284" s="1"/>
      <c r="AB3284" s="1"/>
      <c r="AC3284" s="1"/>
      <c r="AD3284" s="1"/>
      <c r="AE3284" s="1"/>
      <c r="AF3284" s="1"/>
      <c r="AG3284" s="1"/>
      <c r="AH3284" s="1"/>
    </row>
    <row r="3285" ht="12.75" hidden="1" customHeight="1" outlineLevel="1">
      <c r="A3285" s="17">
        <v>41597.0</v>
      </c>
      <c r="B3285" s="1"/>
      <c r="C3285" s="1" t="s">
        <v>339</v>
      </c>
      <c r="D3285" s="74"/>
      <c r="E3285" s="67"/>
      <c r="F3285" s="75"/>
      <c r="G3285" s="67"/>
      <c r="H3285" s="68"/>
      <c r="I3285" s="76"/>
      <c r="J3285" s="67"/>
      <c r="K3285" s="7" t="s">
        <v>1374</v>
      </c>
      <c r="L3285" s="77"/>
      <c r="M3285" s="79"/>
      <c r="N3285" s="1"/>
      <c r="O3285" s="1"/>
      <c r="P3285" s="1"/>
      <c r="Q3285" s="1"/>
      <c r="R3285" s="1"/>
      <c r="S3285" s="1"/>
      <c r="T3285" s="1"/>
      <c r="U3285" s="1"/>
      <c r="V3285" s="1"/>
      <c r="W3285" s="1"/>
      <c r="X3285" s="1"/>
      <c r="Y3285" s="1"/>
      <c r="Z3285" s="1"/>
      <c r="AA3285" s="1"/>
      <c r="AB3285" s="1"/>
      <c r="AC3285" s="1"/>
      <c r="AD3285" s="1"/>
      <c r="AE3285" s="1"/>
      <c r="AF3285" s="1"/>
      <c r="AG3285" s="1"/>
      <c r="AH3285" s="1"/>
    </row>
    <row r="3286" ht="12.75" hidden="1" customHeight="1" outlineLevel="1">
      <c r="A3286" s="17">
        <v>41597.0</v>
      </c>
      <c r="B3286" s="1"/>
      <c r="C3286" s="1" t="s">
        <v>429</v>
      </c>
      <c r="D3286" s="74"/>
      <c r="E3286" s="67"/>
      <c r="F3286" s="75"/>
      <c r="G3286" s="67"/>
      <c r="H3286" s="68"/>
      <c r="I3286" s="76"/>
      <c r="J3286" s="67"/>
      <c r="K3286" s="7" t="s">
        <v>1352</v>
      </c>
      <c r="L3286" s="77"/>
      <c r="M3286" s="79"/>
      <c r="N3286" s="1"/>
      <c r="O3286" s="1"/>
      <c r="P3286" s="1"/>
      <c r="Q3286" s="1"/>
      <c r="R3286" s="1"/>
      <c r="S3286" s="1"/>
      <c r="T3286" s="1"/>
      <c r="U3286" s="1"/>
      <c r="V3286" s="1"/>
      <c r="W3286" s="1"/>
      <c r="X3286" s="1"/>
      <c r="Y3286" s="1"/>
      <c r="Z3286" s="1"/>
      <c r="AA3286" s="1"/>
      <c r="AB3286" s="1"/>
      <c r="AC3286" s="1"/>
      <c r="AD3286" s="1"/>
      <c r="AE3286" s="1"/>
      <c r="AF3286" s="1"/>
      <c r="AG3286" s="1"/>
      <c r="AH3286" s="1"/>
    </row>
    <row r="3287" ht="12.75" hidden="1" customHeight="1" outlineLevel="1">
      <c r="A3287" s="17">
        <v>41597.0</v>
      </c>
      <c r="B3287" s="1"/>
      <c r="C3287" s="1" t="s">
        <v>431</v>
      </c>
      <c r="D3287" s="74"/>
      <c r="E3287" s="67"/>
      <c r="F3287" s="75"/>
      <c r="G3287" s="67"/>
      <c r="H3287" s="68"/>
      <c r="I3287" s="76"/>
      <c r="J3287" s="67"/>
      <c r="K3287" s="7" t="s">
        <v>1126</v>
      </c>
      <c r="L3287" s="77"/>
      <c r="M3287" s="79"/>
      <c r="N3287" s="1"/>
      <c r="O3287" s="1"/>
      <c r="P3287" s="1"/>
      <c r="Q3287" s="1"/>
      <c r="R3287" s="1"/>
      <c r="S3287" s="1"/>
      <c r="T3287" s="1"/>
      <c r="U3287" s="1"/>
      <c r="V3287" s="1"/>
      <c r="W3287" s="1"/>
      <c r="X3287" s="1"/>
      <c r="Y3287" s="1"/>
      <c r="Z3287" s="1"/>
      <c r="AA3287" s="1"/>
      <c r="AB3287" s="1"/>
      <c r="AC3287" s="1"/>
      <c r="AD3287" s="1"/>
      <c r="AE3287" s="1"/>
      <c r="AF3287" s="1"/>
      <c r="AG3287" s="1"/>
      <c r="AH3287" s="1"/>
    </row>
    <row r="3288" ht="12.75" hidden="1" customHeight="1" outlineLevel="1">
      <c r="A3288" s="17">
        <v>41597.0</v>
      </c>
      <c r="B3288" s="1"/>
      <c r="C3288" s="1" t="s">
        <v>433</v>
      </c>
      <c r="D3288" s="74"/>
      <c r="E3288" s="67"/>
      <c r="F3288" s="75"/>
      <c r="G3288" s="67"/>
      <c r="H3288" s="68"/>
      <c r="I3288" s="76"/>
      <c r="J3288" s="67"/>
      <c r="K3288" s="7" t="s">
        <v>1103</v>
      </c>
      <c r="L3288" s="77"/>
      <c r="M3288" s="79"/>
      <c r="N3288" s="1"/>
      <c r="O3288" s="1"/>
      <c r="P3288" s="1"/>
      <c r="Q3288" s="1"/>
      <c r="R3288" s="1"/>
      <c r="S3288" s="1"/>
      <c r="T3288" s="1"/>
      <c r="U3288" s="1"/>
      <c r="V3288" s="1"/>
      <c r="W3288" s="1"/>
      <c r="X3288" s="1"/>
      <c r="Y3288" s="1"/>
      <c r="Z3288" s="1"/>
      <c r="AA3288" s="1"/>
      <c r="AB3288" s="1"/>
      <c r="AC3288" s="1"/>
      <c r="AD3288" s="1"/>
      <c r="AE3288" s="1"/>
      <c r="AF3288" s="1"/>
      <c r="AG3288" s="1"/>
      <c r="AH3288" s="1"/>
    </row>
    <row r="3289" ht="12.75" hidden="1" customHeight="1" outlineLevel="1">
      <c r="A3289" s="17">
        <v>41597.0</v>
      </c>
      <c r="B3289" s="1"/>
      <c r="C3289" s="1" t="s">
        <v>435</v>
      </c>
      <c r="D3289" s="74"/>
      <c r="E3289" s="67"/>
      <c r="F3289" s="75"/>
      <c r="G3289" s="67"/>
      <c r="H3289" s="68"/>
      <c r="I3289" s="76"/>
      <c r="J3289" s="67"/>
      <c r="K3289" s="7" t="s">
        <v>1354</v>
      </c>
      <c r="L3289" s="77"/>
      <c r="M3289" s="79"/>
      <c r="N3289" s="1"/>
      <c r="O3289" s="1"/>
      <c r="P3289" s="1"/>
      <c r="Q3289" s="1"/>
      <c r="R3289" s="1"/>
      <c r="S3289" s="1"/>
      <c r="T3289" s="1"/>
      <c r="U3289" s="1"/>
      <c r="V3289" s="1"/>
      <c r="W3289" s="1"/>
      <c r="X3289" s="1"/>
      <c r="Y3289" s="1"/>
      <c r="Z3289" s="1"/>
      <c r="AA3289" s="1"/>
      <c r="AB3289" s="1"/>
      <c r="AC3289" s="1"/>
      <c r="AD3289" s="1"/>
      <c r="AE3289" s="1"/>
      <c r="AF3289" s="1"/>
      <c r="AG3289" s="1"/>
      <c r="AH3289" s="1"/>
    </row>
    <row r="3290" ht="12.75" hidden="1" customHeight="1" outlineLevel="1">
      <c r="A3290" s="17">
        <v>41598.0</v>
      </c>
      <c r="B3290" s="1"/>
      <c r="C3290" s="1" t="s">
        <v>339</v>
      </c>
      <c r="D3290" s="74"/>
      <c r="E3290" s="67"/>
      <c r="F3290" s="75"/>
      <c r="G3290" s="67"/>
      <c r="H3290" s="68"/>
      <c r="I3290" s="76"/>
      <c r="J3290" s="67"/>
      <c r="K3290" s="7" t="s">
        <v>1375</v>
      </c>
      <c r="L3290" s="77"/>
      <c r="M3290" s="79"/>
      <c r="N3290" s="1"/>
      <c r="O3290" s="1"/>
      <c r="P3290" s="1"/>
      <c r="Q3290" s="1"/>
      <c r="R3290" s="1"/>
      <c r="S3290" s="1"/>
      <c r="T3290" s="1"/>
      <c r="U3290" s="1"/>
      <c r="V3290" s="1"/>
      <c r="W3290" s="1"/>
      <c r="X3290" s="1"/>
      <c r="Y3290" s="1"/>
      <c r="Z3290" s="1"/>
      <c r="AA3290" s="1"/>
      <c r="AB3290" s="1"/>
      <c r="AC3290" s="1"/>
      <c r="AD3290" s="1"/>
      <c r="AE3290" s="1"/>
      <c r="AF3290" s="1"/>
      <c r="AG3290" s="1"/>
      <c r="AH3290" s="1"/>
    </row>
    <row r="3291" ht="12.75" hidden="1" customHeight="1" outlineLevel="1">
      <c r="A3291" s="17">
        <v>41598.0</v>
      </c>
      <c r="B3291" s="1"/>
      <c r="C3291" s="1" t="s">
        <v>429</v>
      </c>
      <c r="D3291" s="74"/>
      <c r="E3291" s="67"/>
      <c r="F3291" s="75"/>
      <c r="G3291" s="67"/>
      <c r="H3291" s="68"/>
      <c r="I3291" s="76"/>
      <c r="J3291" s="67"/>
      <c r="K3291" s="7" t="s">
        <v>1352</v>
      </c>
      <c r="L3291" s="77"/>
      <c r="M3291" s="79"/>
      <c r="N3291" s="1"/>
      <c r="O3291" s="1"/>
      <c r="P3291" s="1"/>
      <c r="Q3291" s="1"/>
      <c r="R3291" s="1"/>
      <c r="S3291" s="1"/>
      <c r="T3291" s="1"/>
      <c r="U3291" s="1"/>
      <c r="V3291" s="1"/>
      <c r="W3291" s="1"/>
      <c r="X3291" s="1"/>
      <c r="Y3291" s="1"/>
      <c r="Z3291" s="1"/>
      <c r="AA3291" s="1"/>
      <c r="AB3291" s="1"/>
      <c r="AC3291" s="1"/>
      <c r="AD3291" s="1"/>
      <c r="AE3291" s="1"/>
      <c r="AF3291" s="1"/>
      <c r="AG3291" s="1"/>
      <c r="AH3291" s="1"/>
    </row>
    <row r="3292" ht="12.75" hidden="1" customHeight="1" outlineLevel="1">
      <c r="A3292" s="17">
        <v>41598.0</v>
      </c>
      <c r="B3292" s="1"/>
      <c r="C3292" s="1" t="s">
        <v>431</v>
      </c>
      <c r="D3292" s="74"/>
      <c r="E3292" s="67"/>
      <c r="F3292" s="75"/>
      <c r="G3292" s="67"/>
      <c r="H3292" s="68"/>
      <c r="I3292" s="76"/>
      <c r="J3292" s="67"/>
      <c r="K3292" s="7" t="s">
        <v>1126</v>
      </c>
      <c r="L3292" s="77"/>
      <c r="M3292" s="79"/>
      <c r="N3292" s="1"/>
      <c r="O3292" s="1"/>
      <c r="P3292" s="1"/>
      <c r="Q3292" s="1"/>
      <c r="R3292" s="1"/>
      <c r="S3292" s="1"/>
      <c r="T3292" s="1"/>
      <c r="U3292" s="1"/>
      <c r="V3292" s="1"/>
      <c r="W3292" s="1"/>
      <c r="X3292" s="1"/>
      <c r="Y3292" s="1"/>
      <c r="Z3292" s="1"/>
      <c r="AA3292" s="1"/>
      <c r="AB3292" s="1"/>
      <c r="AC3292" s="1"/>
      <c r="AD3292" s="1"/>
      <c r="AE3292" s="1"/>
      <c r="AF3292" s="1"/>
      <c r="AG3292" s="1"/>
      <c r="AH3292" s="1"/>
    </row>
    <row r="3293" ht="12.75" hidden="1" customHeight="1" outlineLevel="1">
      <c r="A3293" s="17">
        <v>41598.0</v>
      </c>
      <c r="B3293" s="1"/>
      <c r="C3293" s="1" t="s">
        <v>433</v>
      </c>
      <c r="D3293" s="74"/>
      <c r="E3293" s="67"/>
      <c r="F3293" s="75"/>
      <c r="G3293" s="67"/>
      <c r="H3293" s="68"/>
      <c r="I3293" s="76"/>
      <c r="J3293" s="67"/>
      <c r="K3293" s="7" t="s">
        <v>1103</v>
      </c>
      <c r="L3293" s="77"/>
      <c r="M3293" s="79"/>
      <c r="N3293" s="1"/>
      <c r="O3293" s="1"/>
      <c r="P3293" s="1"/>
      <c r="Q3293" s="1"/>
      <c r="R3293" s="1"/>
      <c r="S3293" s="1"/>
      <c r="T3293" s="1"/>
      <c r="U3293" s="1"/>
      <c r="V3293" s="1"/>
      <c r="W3293" s="1"/>
      <c r="X3293" s="1"/>
      <c r="Y3293" s="1"/>
      <c r="Z3293" s="1"/>
      <c r="AA3293" s="1"/>
      <c r="AB3293" s="1"/>
      <c r="AC3293" s="1"/>
      <c r="AD3293" s="1"/>
      <c r="AE3293" s="1"/>
      <c r="AF3293" s="1"/>
      <c r="AG3293" s="1"/>
      <c r="AH3293" s="1"/>
    </row>
    <row r="3294" ht="12.75" hidden="1" customHeight="1" outlineLevel="1">
      <c r="A3294" s="17">
        <v>41598.0</v>
      </c>
      <c r="B3294" s="1"/>
      <c r="C3294" s="1" t="s">
        <v>435</v>
      </c>
      <c r="D3294" s="74"/>
      <c r="E3294" s="67"/>
      <c r="F3294" s="75"/>
      <c r="G3294" s="67"/>
      <c r="H3294" s="68"/>
      <c r="I3294" s="76"/>
      <c r="J3294" s="67"/>
      <c r="K3294" s="7" t="s">
        <v>1354</v>
      </c>
      <c r="L3294" s="77"/>
      <c r="M3294" s="79"/>
      <c r="N3294" s="1"/>
      <c r="O3294" s="1"/>
      <c r="P3294" s="1"/>
      <c r="Q3294" s="1"/>
      <c r="R3294" s="1"/>
      <c r="S3294" s="1"/>
      <c r="T3294" s="1"/>
      <c r="U3294" s="1"/>
      <c r="V3294" s="1"/>
      <c r="W3294" s="1"/>
      <c r="X3294" s="1"/>
      <c r="Y3294" s="1"/>
      <c r="Z3294" s="1"/>
      <c r="AA3294" s="1"/>
      <c r="AB3294" s="1"/>
      <c r="AC3294" s="1"/>
      <c r="AD3294" s="1"/>
      <c r="AE3294" s="1"/>
      <c r="AF3294" s="1"/>
      <c r="AG3294" s="1"/>
      <c r="AH3294" s="1"/>
    </row>
    <row r="3295" ht="12.75" hidden="1" customHeight="1" outlineLevel="1">
      <c r="A3295" s="17">
        <v>41599.0</v>
      </c>
      <c r="B3295" s="1"/>
      <c r="C3295" s="1" t="s">
        <v>339</v>
      </c>
      <c r="D3295" s="74"/>
      <c r="E3295" s="67"/>
      <c r="F3295" s="75"/>
      <c r="G3295" s="67"/>
      <c r="H3295" s="68"/>
      <c r="I3295" s="76"/>
      <c r="J3295" s="67"/>
      <c r="K3295" s="7" t="s">
        <v>1379</v>
      </c>
      <c r="L3295" s="77"/>
      <c r="M3295" s="79"/>
      <c r="N3295" s="1"/>
      <c r="O3295" s="1"/>
      <c r="P3295" s="1"/>
      <c r="Q3295" s="1"/>
      <c r="R3295" s="1"/>
      <c r="S3295" s="1"/>
      <c r="T3295" s="1"/>
      <c r="U3295" s="1"/>
      <c r="V3295" s="1"/>
      <c r="W3295" s="1"/>
      <c r="X3295" s="1"/>
      <c r="Y3295" s="1"/>
      <c r="Z3295" s="1"/>
      <c r="AA3295" s="1"/>
      <c r="AB3295" s="1"/>
      <c r="AC3295" s="1"/>
      <c r="AD3295" s="1"/>
      <c r="AE3295" s="1"/>
      <c r="AF3295" s="1"/>
      <c r="AG3295" s="1"/>
      <c r="AH3295" s="1"/>
    </row>
    <row r="3296" ht="12.75" hidden="1" customHeight="1" outlineLevel="1">
      <c r="A3296" s="17">
        <v>41599.0</v>
      </c>
      <c r="B3296" s="1"/>
      <c r="C3296" s="1" t="s">
        <v>429</v>
      </c>
      <c r="D3296" s="74"/>
      <c r="E3296" s="67"/>
      <c r="F3296" s="75"/>
      <c r="G3296" s="67"/>
      <c r="H3296" s="68"/>
      <c r="I3296" s="76"/>
      <c r="J3296" s="67"/>
      <c r="K3296" s="7" t="s">
        <v>1352</v>
      </c>
      <c r="L3296" s="77"/>
      <c r="M3296" s="79"/>
      <c r="N3296" s="1"/>
      <c r="O3296" s="1"/>
      <c r="P3296" s="1"/>
      <c r="Q3296" s="1"/>
      <c r="R3296" s="1"/>
      <c r="S3296" s="1"/>
      <c r="T3296" s="1"/>
      <c r="U3296" s="1"/>
      <c r="V3296" s="1"/>
      <c r="W3296" s="1"/>
      <c r="X3296" s="1"/>
      <c r="Y3296" s="1"/>
      <c r="Z3296" s="1"/>
      <c r="AA3296" s="1"/>
      <c r="AB3296" s="1"/>
      <c r="AC3296" s="1"/>
      <c r="AD3296" s="1"/>
      <c r="AE3296" s="1"/>
      <c r="AF3296" s="1"/>
      <c r="AG3296" s="1"/>
      <c r="AH3296" s="1"/>
    </row>
    <row r="3297" ht="12.75" hidden="1" customHeight="1" outlineLevel="1">
      <c r="A3297" s="17">
        <v>41599.0</v>
      </c>
      <c r="B3297" s="1"/>
      <c r="C3297" s="1" t="s">
        <v>431</v>
      </c>
      <c r="D3297" s="74"/>
      <c r="E3297" s="67"/>
      <c r="F3297" s="75"/>
      <c r="G3297" s="67"/>
      <c r="H3297" s="68"/>
      <c r="I3297" s="76"/>
      <c r="J3297" s="67"/>
      <c r="K3297" s="7" t="s">
        <v>1126</v>
      </c>
      <c r="L3297" s="77"/>
      <c r="M3297" s="79"/>
      <c r="N3297" s="1"/>
      <c r="O3297" s="1"/>
      <c r="P3297" s="1"/>
      <c r="Q3297" s="1"/>
      <c r="R3297" s="1"/>
      <c r="S3297" s="1"/>
      <c r="T3297" s="1"/>
      <c r="U3297" s="1"/>
      <c r="V3297" s="1"/>
      <c r="W3297" s="1"/>
      <c r="X3297" s="1"/>
      <c r="Y3297" s="1"/>
      <c r="Z3297" s="1"/>
      <c r="AA3297" s="1"/>
      <c r="AB3297" s="1"/>
      <c r="AC3297" s="1"/>
      <c r="AD3297" s="1"/>
      <c r="AE3297" s="1"/>
      <c r="AF3297" s="1"/>
      <c r="AG3297" s="1"/>
      <c r="AH3297" s="1"/>
    </row>
    <row r="3298" ht="12.75" hidden="1" customHeight="1" outlineLevel="1">
      <c r="A3298" s="17">
        <v>41599.0</v>
      </c>
      <c r="B3298" s="1"/>
      <c r="C3298" s="1" t="s">
        <v>433</v>
      </c>
      <c r="D3298" s="74"/>
      <c r="E3298" s="67"/>
      <c r="F3298" s="75"/>
      <c r="G3298" s="67"/>
      <c r="H3298" s="68"/>
      <c r="I3298" s="76"/>
      <c r="J3298" s="67"/>
      <c r="K3298" s="7" t="s">
        <v>1103</v>
      </c>
      <c r="L3298" s="77"/>
      <c r="M3298" s="79"/>
      <c r="N3298" s="1"/>
      <c r="O3298" s="1"/>
      <c r="P3298" s="1"/>
      <c r="Q3298" s="1"/>
      <c r="R3298" s="1"/>
      <c r="S3298" s="1"/>
      <c r="T3298" s="1"/>
      <c r="U3298" s="1"/>
      <c r="V3298" s="1"/>
      <c r="W3298" s="1"/>
      <c r="X3298" s="1"/>
      <c r="Y3298" s="1"/>
      <c r="Z3298" s="1"/>
      <c r="AA3298" s="1"/>
      <c r="AB3298" s="1"/>
      <c r="AC3298" s="1"/>
      <c r="AD3298" s="1"/>
      <c r="AE3298" s="1"/>
      <c r="AF3298" s="1"/>
      <c r="AG3298" s="1"/>
      <c r="AH3298" s="1"/>
    </row>
    <row r="3299" ht="12.75" hidden="1" customHeight="1" outlineLevel="1">
      <c r="A3299" s="17">
        <v>41599.0</v>
      </c>
      <c r="B3299" s="1"/>
      <c r="C3299" s="1" t="s">
        <v>435</v>
      </c>
      <c r="D3299" s="74"/>
      <c r="E3299" s="67"/>
      <c r="F3299" s="75"/>
      <c r="G3299" s="67"/>
      <c r="H3299" s="68"/>
      <c r="I3299" s="76"/>
      <c r="J3299" s="67"/>
      <c r="K3299" s="7" t="s">
        <v>1354</v>
      </c>
      <c r="L3299" s="77"/>
      <c r="M3299" s="79"/>
      <c r="N3299" s="1"/>
      <c r="O3299" s="1"/>
      <c r="P3299" s="1"/>
      <c r="Q3299" s="1"/>
      <c r="R3299" s="1"/>
      <c r="S3299" s="1"/>
      <c r="T3299" s="1"/>
      <c r="U3299" s="1"/>
      <c r="V3299" s="1"/>
      <c r="W3299" s="1"/>
      <c r="X3299" s="1"/>
      <c r="Y3299" s="1"/>
      <c r="Z3299" s="1"/>
      <c r="AA3299" s="1"/>
      <c r="AB3299" s="1"/>
      <c r="AC3299" s="1"/>
      <c r="AD3299" s="1"/>
      <c r="AE3299" s="1"/>
      <c r="AF3299" s="1"/>
      <c r="AG3299" s="1"/>
      <c r="AH3299" s="1"/>
    </row>
    <row r="3300" ht="12.75" hidden="1" customHeight="1" outlineLevel="1">
      <c r="A3300" s="17">
        <v>41600.0</v>
      </c>
      <c r="B3300" s="1"/>
      <c r="C3300" s="1" t="s">
        <v>339</v>
      </c>
      <c r="D3300" s="74"/>
      <c r="E3300" s="67"/>
      <c r="F3300" s="75"/>
      <c r="G3300" s="67"/>
      <c r="H3300" s="68"/>
      <c r="I3300" s="76"/>
      <c r="J3300" s="67"/>
      <c r="K3300" s="7" t="s">
        <v>1383</v>
      </c>
      <c r="L3300" s="77"/>
      <c r="M3300" s="79"/>
      <c r="N3300" s="1"/>
      <c r="O3300" s="1"/>
      <c r="P3300" s="1"/>
      <c r="Q3300" s="1"/>
      <c r="R3300" s="1"/>
      <c r="S3300" s="1"/>
      <c r="T3300" s="1"/>
      <c r="U3300" s="1"/>
      <c r="V3300" s="1"/>
      <c r="W3300" s="1"/>
      <c r="X3300" s="1"/>
      <c r="Y3300" s="1"/>
      <c r="Z3300" s="1"/>
      <c r="AA3300" s="1"/>
      <c r="AB3300" s="1"/>
      <c r="AC3300" s="1"/>
      <c r="AD3300" s="1"/>
      <c r="AE3300" s="1"/>
      <c r="AF3300" s="1"/>
      <c r="AG3300" s="1"/>
      <c r="AH3300" s="1"/>
    </row>
    <row r="3301" ht="12.75" hidden="1" customHeight="1" outlineLevel="1">
      <c r="A3301" s="17">
        <v>41600.0</v>
      </c>
      <c r="B3301" s="1"/>
      <c r="C3301" s="1" t="s">
        <v>429</v>
      </c>
      <c r="D3301" s="74"/>
      <c r="E3301" s="67"/>
      <c r="F3301" s="75"/>
      <c r="G3301" s="67"/>
      <c r="H3301" s="68"/>
      <c r="I3301" s="76"/>
      <c r="J3301" s="67"/>
      <c r="K3301" s="7" t="s">
        <v>1352</v>
      </c>
      <c r="L3301" s="77"/>
      <c r="M3301" s="79"/>
      <c r="N3301" s="1"/>
      <c r="O3301" s="1"/>
      <c r="P3301" s="1"/>
      <c r="Q3301" s="1"/>
      <c r="R3301" s="1"/>
      <c r="S3301" s="1"/>
      <c r="T3301" s="1"/>
      <c r="U3301" s="1"/>
      <c r="V3301" s="1"/>
      <c r="W3301" s="1"/>
      <c r="X3301" s="1"/>
      <c r="Y3301" s="1"/>
      <c r="Z3301" s="1"/>
      <c r="AA3301" s="1"/>
      <c r="AB3301" s="1"/>
      <c r="AC3301" s="1"/>
      <c r="AD3301" s="1"/>
      <c r="AE3301" s="1"/>
      <c r="AF3301" s="1"/>
      <c r="AG3301" s="1"/>
      <c r="AH3301" s="1"/>
    </row>
    <row r="3302" ht="12.75" hidden="1" customHeight="1" outlineLevel="1">
      <c r="A3302" s="17">
        <v>41600.0</v>
      </c>
      <c r="B3302" s="1"/>
      <c r="C3302" s="1" t="s">
        <v>431</v>
      </c>
      <c r="D3302" s="74"/>
      <c r="E3302" s="67"/>
      <c r="F3302" s="75"/>
      <c r="G3302" s="67"/>
      <c r="H3302" s="68"/>
      <c r="I3302" s="76"/>
      <c r="J3302" s="67"/>
      <c r="K3302" s="7" t="s">
        <v>1126</v>
      </c>
      <c r="L3302" s="77"/>
      <c r="M3302" s="79"/>
      <c r="N3302" s="1"/>
      <c r="O3302" s="1"/>
      <c r="P3302" s="1"/>
      <c r="Q3302" s="1"/>
      <c r="R3302" s="1"/>
      <c r="S3302" s="1"/>
      <c r="T3302" s="1"/>
      <c r="U3302" s="1"/>
      <c r="V3302" s="1"/>
      <c r="W3302" s="1"/>
      <c r="X3302" s="1"/>
      <c r="Y3302" s="1"/>
      <c r="Z3302" s="1"/>
      <c r="AA3302" s="1"/>
      <c r="AB3302" s="1"/>
      <c r="AC3302" s="1"/>
      <c r="AD3302" s="1"/>
      <c r="AE3302" s="1"/>
      <c r="AF3302" s="1"/>
      <c r="AG3302" s="1"/>
      <c r="AH3302" s="1"/>
    </row>
    <row r="3303" ht="12.75" hidden="1" customHeight="1" outlineLevel="1">
      <c r="A3303" s="17">
        <v>41600.0</v>
      </c>
      <c r="B3303" s="1"/>
      <c r="C3303" s="1" t="s">
        <v>433</v>
      </c>
      <c r="D3303" s="74"/>
      <c r="E3303" s="67"/>
      <c r="F3303" s="75"/>
      <c r="G3303" s="67"/>
      <c r="H3303" s="68"/>
      <c r="I3303" s="76"/>
      <c r="J3303" s="67"/>
      <c r="K3303" s="7" t="s">
        <v>1103</v>
      </c>
      <c r="L3303" s="77"/>
      <c r="M3303" s="79"/>
      <c r="N3303" s="1"/>
      <c r="O3303" s="1"/>
      <c r="P3303" s="1"/>
      <c r="Q3303" s="1"/>
      <c r="R3303" s="1"/>
      <c r="S3303" s="1"/>
      <c r="T3303" s="1"/>
      <c r="U3303" s="1"/>
      <c r="V3303" s="1"/>
      <c r="W3303" s="1"/>
      <c r="X3303" s="1"/>
      <c r="Y3303" s="1"/>
      <c r="Z3303" s="1"/>
      <c r="AA3303" s="1"/>
      <c r="AB3303" s="1"/>
      <c r="AC3303" s="1"/>
      <c r="AD3303" s="1"/>
      <c r="AE3303" s="1"/>
      <c r="AF3303" s="1"/>
      <c r="AG3303" s="1"/>
      <c r="AH3303" s="1"/>
    </row>
    <row r="3304" ht="12.75" hidden="1" customHeight="1" outlineLevel="1">
      <c r="A3304" s="17">
        <v>41600.0</v>
      </c>
      <c r="B3304" s="1"/>
      <c r="C3304" s="1" t="s">
        <v>435</v>
      </c>
      <c r="D3304" s="74"/>
      <c r="E3304" s="67"/>
      <c r="F3304" s="75"/>
      <c r="G3304" s="67"/>
      <c r="H3304" s="68"/>
      <c r="I3304" s="76"/>
      <c r="J3304" s="67"/>
      <c r="K3304" s="7" t="s">
        <v>1354</v>
      </c>
      <c r="L3304" s="77"/>
      <c r="M3304" s="79"/>
      <c r="N3304" s="1"/>
      <c r="O3304" s="1"/>
      <c r="P3304" s="1"/>
      <c r="Q3304" s="1"/>
      <c r="R3304" s="1"/>
      <c r="S3304" s="1"/>
      <c r="T3304" s="1"/>
      <c r="U3304" s="1"/>
      <c r="V3304" s="1"/>
      <c r="W3304" s="1"/>
      <c r="X3304" s="1"/>
      <c r="Y3304" s="1"/>
      <c r="Z3304" s="1"/>
      <c r="AA3304" s="1"/>
      <c r="AB3304" s="1"/>
      <c r="AC3304" s="1"/>
      <c r="AD3304" s="1"/>
      <c r="AE3304" s="1"/>
      <c r="AF3304" s="1"/>
      <c r="AG3304" s="1"/>
      <c r="AH3304" s="1"/>
    </row>
    <row r="3305" ht="12.75" hidden="1" customHeight="1" outlineLevel="1">
      <c r="A3305" s="17">
        <v>41601.0</v>
      </c>
      <c r="B3305" s="1"/>
      <c r="C3305" s="1" t="s">
        <v>339</v>
      </c>
      <c r="D3305" s="74"/>
      <c r="E3305" s="67"/>
      <c r="F3305" s="75"/>
      <c r="G3305" s="67"/>
      <c r="H3305" s="68"/>
      <c r="I3305" s="76"/>
      <c r="J3305" s="67"/>
      <c r="K3305" s="7" t="s">
        <v>1388</v>
      </c>
      <c r="L3305" s="77"/>
      <c r="M3305" s="79"/>
      <c r="N3305" s="1"/>
      <c r="O3305" s="1"/>
      <c r="P3305" s="1"/>
      <c r="Q3305" s="1"/>
      <c r="R3305" s="1"/>
      <c r="S3305" s="1"/>
      <c r="T3305" s="1"/>
      <c r="U3305" s="1"/>
      <c r="V3305" s="1"/>
      <c r="W3305" s="1"/>
      <c r="X3305" s="1"/>
      <c r="Y3305" s="1"/>
      <c r="Z3305" s="1"/>
      <c r="AA3305" s="1"/>
      <c r="AB3305" s="1"/>
      <c r="AC3305" s="1"/>
      <c r="AD3305" s="1"/>
      <c r="AE3305" s="1"/>
      <c r="AF3305" s="1"/>
      <c r="AG3305" s="1"/>
      <c r="AH3305" s="1"/>
    </row>
    <row r="3306" ht="12.75" hidden="1" customHeight="1" outlineLevel="1">
      <c r="A3306" s="17">
        <v>41601.0</v>
      </c>
      <c r="B3306" s="1"/>
      <c r="C3306" s="1" t="s">
        <v>429</v>
      </c>
      <c r="D3306" s="74"/>
      <c r="E3306" s="67"/>
      <c r="F3306" s="75"/>
      <c r="G3306" s="67"/>
      <c r="H3306" s="68"/>
      <c r="I3306" s="76"/>
      <c r="J3306" s="67"/>
      <c r="K3306" s="7" t="s">
        <v>1352</v>
      </c>
      <c r="L3306" s="77"/>
      <c r="M3306" s="79"/>
      <c r="N3306" s="1"/>
      <c r="O3306" s="1"/>
      <c r="P3306" s="1"/>
      <c r="Q3306" s="1"/>
      <c r="R3306" s="1"/>
      <c r="S3306" s="1"/>
      <c r="T3306" s="1"/>
      <c r="U3306" s="1"/>
      <c r="V3306" s="1"/>
      <c r="W3306" s="1"/>
      <c r="X3306" s="1"/>
      <c r="Y3306" s="1"/>
      <c r="Z3306" s="1"/>
      <c r="AA3306" s="1"/>
      <c r="AB3306" s="1"/>
      <c r="AC3306" s="1"/>
      <c r="AD3306" s="1"/>
      <c r="AE3306" s="1"/>
      <c r="AF3306" s="1"/>
      <c r="AG3306" s="1"/>
      <c r="AH3306" s="1"/>
    </row>
    <row r="3307" ht="12.75" hidden="1" customHeight="1" outlineLevel="1">
      <c r="A3307" s="17">
        <v>41601.0</v>
      </c>
      <c r="B3307" s="1"/>
      <c r="C3307" s="1" t="s">
        <v>431</v>
      </c>
      <c r="D3307" s="74"/>
      <c r="E3307" s="67"/>
      <c r="F3307" s="75"/>
      <c r="G3307" s="67"/>
      <c r="H3307" s="68"/>
      <c r="I3307" s="76"/>
      <c r="J3307" s="67"/>
      <c r="K3307" s="7" t="s">
        <v>1126</v>
      </c>
      <c r="L3307" s="77"/>
      <c r="M3307" s="79"/>
      <c r="N3307" s="1"/>
      <c r="O3307" s="1"/>
      <c r="P3307" s="1"/>
      <c r="Q3307" s="1"/>
      <c r="R3307" s="1"/>
      <c r="S3307" s="1"/>
      <c r="T3307" s="1"/>
      <c r="U3307" s="1"/>
      <c r="V3307" s="1"/>
      <c r="W3307" s="1"/>
      <c r="X3307" s="1"/>
      <c r="Y3307" s="1"/>
      <c r="Z3307" s="1"/>
      <c r="AA3307" s="1"/>
      <c r="AB3307" s="1"/>
      <c r="AC3307" s="1"/>
      <c r="AD3307" s="1"/>
      <c r="AE3307" s="1"/>
      <c r="AF3307" s="1"/>
      <c r="AG3307" s="1"/>
      <c r="AH3307" s="1"/>
    </row>
    <row r="3308" ht="12.75" hidden="1" customHeight="1" outlineLevel="1">
      <c r="A3308" s="17">
        <v>41601.0</v>
      </c>
      <c r="B3308" s="1"/>
      <c r="C3308" s="1" t="s">
        <v>433</v>
      </c>
      <c r="D3308" s="74"/>
      <c r="E3308" s="67"/>
      <c r="F3308" s="75"/>
      <c r="G3308" s="67"/>
      <c r="H3308" s="68"/>
      <c r="I3308" s="76"/>
      <c r="J3308" s="67"/>
      <c r="K3308" s="7" t="s">
        <v>1103</v>
      </c>
      <c r="L3308" s="77"/>
      <c r="M3308" s="79"/>
      <c r="N3308" s="1"/>
      <c r="O3308" s="1"/>
      <c r="P3308" s="1"/>
      <c r="Q3308" s="1"/>
      <c r="R3308" s="1"/>
      <c r="S3308" s="1"/>
      <c r="T3308" s="1"/>
      <c r="U3308" s="1"/>
      <c r="V3308" s="1"/>
      <c r="W3308" s="1"/>
      <c r="X3308" s="1"/>
      <c r="Y3308" s="1"/>
      <c r="Z3308" s="1"/>
      <c r="AA3308" s="1"/>
      <c r="AB3308" s="1"/>
      <c r="AC3308" s="1"/>
      <c r="AD3308" s="1"/>
      <c r="AE3308" s="1"/>
      <c r="AF3308" s="1"/>
      <c r="AG3308" s="1"/>
      <c r="AH3308" s="1"/>
    </row>
    <row r="3309" ht="12.75" hidden="1" customHeight="1" outlineLevel="1">
      <c r="A3309" s="17">
        <v>41601.0</v>
      </c>
      <c r="B3309" s="1"/>
      <c r="C3309" s="1" t="s">
        <v>435</v>
      </c>
      <c r="D3309" s="74"/>
      <c r="E3309" s="67"/>
      <c r="F3309" s="75"/>
      <c r="G3309" s="67"/>
      <c r="H3309" s="68"/>
      <c r="I3309" s="76"/>
      <c r="J3309" s="67"/>
      <c r="K3309" s="7" t="s">
        <v>1354</v>
      </c>
      <c r="L3309" s="77"/>
      <c r="M3309" s="79"/>
      <c r="N3309" s="1"/>
      <c r="O3309" s="1"/>
      <c r="P3309" s="1"/>
      <c r="Q3309" s="1"/>
      <c r="R3309" s="1"/>
      <c r="S3309" s="1"/>
      <c r="T3309" s="1"/>
      <c r="U3309" s="1"/>
      <c r="V3309" s="1"/>
      <c r="W3309" s="1"/>
      <c r="X3309" s="1"/>
      <c r="Y3309" s="1"/>
      <c r="Z3309" s="1"/>
      <c r="AA3309" s="1"/>
      <c r="AB3309" s="1"/>
      <c r="AC3309" s="1"/>
      <c r="AD3309" s="1"/>
      <c r="AE3309" s="1"/>
      <c r="AF3309" s="1"/>
      <c r="AG3309" s="1"/>
      <c r="AH3309" s="1"/>
    </row>
    <row r="3310" ht="12.75" hidden="1" customHeight="1" outlineLevel="1">
      <c r="A3310" s="17">
        <v>41602.0</v>
      </c>
      <c r="B3310" s="1"/>
      <c r="C3310" s="1" t="s">
        <v>339</v>
      </c>
      <c r="D3310" s="74"/>
      <c r="E3310" s="67"/>
      <c r="F3310" s="75"/>
      <c r="G3310" s="67"/>
      <c r="H3310" s="68"/>
      <c r="I3310" s="76"/>
      <c r="J3310" s="67"/>
      <c r="K3310" s="7" t="s">
        <v>1391</v>
      </c>
      <c r="L3310" s="77"/>
      <c r="M3310" s="79"/>
      <c r="N3310" s="1"/>
      <c r="O3310" s="1"/>
      <c r="P3310" s="1"/>
      <c r="Q3310" s="1"/>
      <c r="R3310" s="1"/>
      <c r="S3310" s="1"/>
      <c r="T3310" s="1"/>
      <c r="U3310" s="1"/>
      <c r="V3310" s="1"/>
      <c r="W3310" s="1"/>
      <c r="X3310" s="1"/>
      <c r="Y3310" s="1"/>
      <c r="Z3310" s="1"/>
      <c r="AA3310" s="1"/>
      <c r="AB3310" s="1"/>
      <c r="AC3310" s="1"/>
      <c r="AD3310" s="1"/>
      <c r="AE3310" s="1"/>
      <c r="AF3310" s="1"/>
      <c r="AG3310" s="1"/>
      <c r="AH3310" s="1"/>
    </row>
    <row r="3311" ht="12.75" hidden="1" customHeight="1" outlineLevel="1">
      <c r="A3311" s="17">
        <v>41602.0</v>
      </c>
      <c r="B3311" s="1"/>
      <c r="C3311" s="1" t="s">
        <v>429</v>
      </c>
      <c r="D3311" s="74"/>
      <c r="E3311" s="67"/>
      <c r="F3311" s="75"/>
      <c r="G3311" s="67"/>
      <c r="H3311" s="68"/>
      <c r="I3311" s="76"/>
      <c r="J3311" s="67"/>
      <c r="K3311" s="7" t="s">
        <v>1352</v>
      </c>
      <c r="L3311" s="77"/>
      <c r="M3311" s="79"/>
      <c r="N3311" s="1"/>
      <c r="O3311" s="1"/>
      <c r="P3311" s="1"/>
      <c r="Q3311" s="1"/>
      <c r="R3311" s="1"/>
      <c r="S3311" s="1"/>
      <c r="T3311" s="1"/>
      <c r="U3311" s="1"/>
      <c r="V3311" s="1"/>
      <c r="W3311" s="1"/>
      <c r="X3311" s="1"/>
      <c r="Y3311" s="1"/>
      <c r="Z3311" s="1"/>
      <c r="AA3311" s="1"/>
      <c r="AB3311" s="1"/>
      <c r="AC3311" s="1"/>
      <c r="AD3311" s="1"/>
      <c r="AE3311" s="1"/>
      <c r="AF3311" s="1"/>
      <c r="AG3311" s="1"/>
      <c r="AH3311" s="1"/>
    </row>
    <row r="3312" ht="12.75" hidden="1" customHeight="1" outlineLevel="1">
      <c r="A3312" s="17">
        <v>41602.0</v>
      </c>
      <c r="B3312" s="1"/>
      <c r="C3312" s="1" t="s">
        <v>431</v>
      </c>
      <c r="D3312" s="74"/>
      <c r="E3312" s="67"/>
      <c r="F3312" s="75"/>
      <c r="G3312" s="67"/>
      <c r="H3312" s="68"/>
      <c r="I3312" s="76"/>
      <c r="J3312" s="67"/>
      <c r="K3312" s="7" t="s">
        <v>1126</v>
      </c>
      <c r="L3312" s="77"/>
      <c r="M3312" s="79"/>
      <c r="N3312" s="1"/>
      <c r="O3312" s="1"/>
      <c r="P3312" s="1"/>
      <c r="Q3312" s="1"/>
      <c r="R3312" s="1"/>
      <c r="S3312" s="1"/>
      <c r="T3312" s="1"/>
      <c r="U3312" s="1"/>
      <c r="V3312" s="1"/>
      <c r="W3312" s="1"/>
      <c r="X3312" s="1"/>
      <c r="Y3312" s="1"/>
      <c r="Z3312" s="1"/>
      <c r="AA3312" s="1"/>
      <c r="AB3312" s="1"/>
      <c r="AC3312" s="1"/>
      <c r="AD3312" s="1"/>
      <c r="AE3312" s="1"/>
      <c r="AF3312" s="1"/>
      <c r="AG3312" s="1"/>
      <c r="AH3312" s="1"/>
    </row>
    <row r="3313" ht="12.75" hidden="1" customHeight="1" outlineLevel="1">
      <c r="A3313" s="17">
        <v>41602.0</v>
      </c>
      <c r="B3313" s="1"/>
      <c r="C3313" s="1" t="s">
        <v>433</v>
      </c>
      <c r="D3313" s="74"/>
      <c r="E3313" s="67"/>
      <c r="F3313" s="75"/>
      <c r="G3313" s="67"/>
      <c r="H3313" s="68"/>
      <c r="I3313" s="76"/>
      <c r="J3313" s="67"/>
      <c r="K3313" s="7" t="s">
        <v>1103</v>
      </c>
      <c r="L3313" s="77"/>
      <c r="M3313" s="79"/>
      <c r="N3313" s="1"/>
      <c r="O3313" s="1"/>
      <c r="P3313" s="1"/>
      <c r="Q3313" s="1"/>
      <c r="R3313" s="1"/>
      <c r="S3313" s="1"/>
      <c r="T3313" s="1"/>
      <c r="U3313" s="1"/>
      <c r="V3313" s="1"/>
      <c r="W3313" s="1"/>
      <c r="X3313" s="1"/>
      <c r="Y3313" s="1"/>
      <c r="Z3313" s="1"/>
      <c r="AA3313" s="1"/>
      <c r="AB3313" s="1"/>
      <c r="AC3313" s="1"/>
      <c r="AD3313" s="1"/>
      <c r="AE3313" s="1"/>
      <c r="AF3313" s="1"/>
      <c r="AG3313" s="1"/>
      <c r="AH3313" s="1"/>
    </row>
    <row r="3314" ht="12.75" hidden="1" customHeight="1" outlineLevel="1">
      <c r="A3314" s="17">
        <v>41602.0</v>
      </c>
      <c r="B3314" s="1"/>
      <c r="C3314" s="1" t="s">
        <v>435</v>
      </c>
      <c r="D3314" s="74"/>
      <c r="E3314" s="67"/>
      <c r="F3314" s="75"/>
      <c r="G3314" s="67"/>
      <c r="H3314" s="68"/>
      <c r="I3314" s="76"/>
      <c r="J3314" s="67"/>
      <c r="K3314" s="7" t="s">
        <v>1354</v>
      </c>
      <c r="L3314" s="77"/>
      <c r="M3314" s="79"/>
      <c r="N3314" s="1"/>
      <c r="O3314" s="1"/>
      <c r="P3314" s="1"/>
      <c r="Q3314" s="1"/>
      <c r="R3314" s="1"/>
      <c r="S3314" s="1"/>
      <c r="T3314" s="1"/>
      <c r="U3314" s="1"/>
      <c r="V3314" s="1"/>
      <c r="W3314" s="1"/>
      <c r="X3314" s="1"/>
      <c r="Y3314" s="1"/>
      <c r="Z3314" s="1"/>
      <c r="AA3314" s="1"/>
      <c r="AB3314" s="1"/>
      <c r="AC3314" s="1"/>
      <c r="AD3314" s="1"/>
      <c r="AE3314" s="1"/>
      <c r="AF3314" s="1"/>
      <c r="AG3314" s="1"/>
      <c r="AH3314" s="1"/>
    </row>
    <row r="3315" ht="12.75" hidden="1" customHeight="1" outlineLevel="1">
      <c r="A3315" s="17">
        <v>41603.0</v>
      </c>
      <c r="B3315" s="1" t="s">
        <v>343</v>
      </c>
      <c r="C3315" s="1" t="s">
        <v>354</v>
      </c>
      <c r="D3315" s="74">
        <v>50.0</v>
      </c>
      <c r="E3315" s="67">
        <v>152.25</v>
      </c>
      <c r="F3315" s="75">
        <v>0.40521990740740743</v>
      </c>
      <c r="G3315" s="67" t="s">
        <v>453</v>
      </c>
      <c r="H3315" s="68">
        <v>1.0</v>
      </c>
      <c r="I3315" s="76"/>
      <c r="J3315" s="67">
        <f t="shared" ref="J3315:J3319" si="225">IF(B3315="SLD",D3315*E3315,-D3315*E3315)-H3315</f>
        <v>-7613.5</v>
      </c>
      <c r="K3315" s="7"/>
      <c r="L3315" s="70"/>
      <c r="M3315" s="79"/>
      <c r="N3315" s="1"/>
      <c r="O3315" s="1"/>
      <c r="P3315" s="1"/>
      <c r="Q3315" s="1"/>
      <c r="R3315" s="1"/>
      <c r="S3315" s="1"/>
      <c r="T3315" s="1"/>
      <c r="U3315" s="1"/>
      <c r="V3315" s="1"/>
      <c r="W3315" s="1"/>
      <c r="X3315" s="1"/>
      <c r="Y3315" s="1"/>
      <c r="Z3315" s="1"/>
      <c r="AA3315" s="1"/>
      <c r="AB3315" s="1"/>
      <c r="AC3315" s="1"/>
      <c r="AD3315" s="1"/>
      <c r="AE3315" s="1"/>
      <c r="AF3315" s="1"/>
      <c r="AG3315" s="1"/>
      <c r="AH3315" s="1"/>
    </row>
    <row r="3316" ht="12.75" hidden="1" customHeight="1" outlineLevel="1">
      <c r="A3316" s="17">
        <v>41603.0</v>
      </c>
      <c r="B3316" s="1" t="s">
        <v>343</v>
      </c>
      <c r="C3316" s="1" t="s">
        <v>604</v>
      </c>
      <c r="D3316" s="74">
        <v>2000.0</v>
      </c>
      <c r="E3316" s="67">
        <v>2.83</v>
      </c>
      <c r="F3316" s="75">
        <v>0.45428240740740744</v>
      </c>
      <c r="G3316" s="67" t="s">
        <v>453</v>
      </c>
      <c r="H3316" s="68">
        <v>10.0</v>
      </c>
      <c r="I3316" s="76"/>
      <c r="J3316" s="67">
        <f t="shared" si="225"/>
        <v>-5670</v>
      </c>
      <c r="K3316" s="7"/>
      <c r="L3316" s="70"/>
      <c r="M3316" s="79"/>
      <c r="N3316" s="1"/>
      <c r="O3316" s="1"/>
      <c r="P3316" s="1"/>
      <c r="Q3316" s="1"/>
      <c r="R3316" s="1"/>
      <c r="S3316" s="1"/>
      <c r="T3316" s="1"/>
      <c r="U3316" s="1"/>
      <c r="V3316" s="1"/>
      <c r="W3316" s="1"/>
      <c r="X3316" s="1"/>
      <c r="Y3316" s="1"/>
      <c r="Z3316" s="1"/>
      <c r="AA3316" s="1"/>
      <c r="AB3316" s="1"/>
      <c r="AC3316" s="1"/>
      <c r="AD3316" s="1"/>
      <c r="AE3316" s="1"/>
      <c r="AF3316" s="1"/>
      <c r="AG3316" s="1"/>
      <c r="AH3316" s="1"/>
    </row>
    <row r="3317" ht="12.75" hidden="1" customHeight="1" outlineLevel="1">
      <c r="A3317" s="17">
        <v>41603.0</v>
      </c>
      <c r="B3317" s="1" t="s">
        <v>343</v>
      </c>
      <c r="C3317" s="1" t="s">
        <v>354</v>
      </c>
      <c r="D3317" s="74">
        <v>100.0</v>
      </c>
      <c r="E3317" s="67">
        <v>152.99</v>
      </c>
      <c r="F3317" s="75">
        <v>0.5283217592592593</v>
      </c>
      <c r="G3317" s="67" t="s">
        <v>453</v>
      </c>
      <c r="H3317" s="68">
        <v>1.0</v>
      </c>
      <c r="I3317" s="76"/>
      <c r="J3317" s="67">
        <f t="shared" si="225"/>
        <v>-15300</v>
      </c>
      <c r="K3317" s="7"/>
      <c r="L3317" s="70"/>
      <c r="M3317" s="79"/>
      <c r="N3317" s="1"/>
      <c r="O3317" s="1"/>
      <c r="P3317" s="1"/>
      <c r="Q3317" s="1"/>
      <c r="R3317" s="1"/>
      <c r="S3317" s="1"/>
      <c r="T3317" s="1"/>
      <c r="U3317" s="1"/>
      <c r="V3317" s="1"/>
      <c r="W3317" s="1"/>
      <c r="X3317" s="1"/>
      <c r="Y3317" s="1"/>
      <c r="Z3317" s="1"/>
      <c r="AA3317" s="1"/>
      <c r="AB3317" s="1"/>
      <c r="AC3317" s="1"/>
      <c r="AD3317" s="1"/>
      <c r="AE3317" s="1"/>
      <c r="AF3317" s="1"/>
      <c r="AG3317" s="1"/>
      <c r="AH3317" s="1"/>
    </row>
    <row r="3318" ht="12.75" hidden="1" customHeight="1" outlineLevel="1">
      <c r="A3318" s="17">
        <v>41603.0</v>
      </c>
      <c r="B3318" s="1" t="s">
        <v>347</v>
      </c>
      <c r="C3318" s="1" t="s">
        <v>784</v>
      </c>
      <c r="D3318" s="74">
        <v>1800.0</v>
      </c>
      <c r="E3318" s="67">
        <v>15.16</v>
      </c>
      <c r="F3318" s="75">
        <v>0.5849652777777777</v>
      </c>
      <c r="G3318" s="67" t="s">
        <v>453</v>
      </c>
      <c r="H3318" s="68">
        <v>7.67</v>
      </c>
      <c r="I3318" s="76"/>
      <c r="J3318" s="67">
        <f t="shared" si="225"/>
        <v>27280.33</v>
      </c>
      <c r="K3318" s="7"/>
      <c r="L3318" s="70"/>
      <c r="M3318" s="79"/>
      <c r="N3318" s="1"/>
      <c r="O3318" s="1"/>
      <c r="P3318" s="1"/>
      <c r="Q3318" s="1"/>
      <c r="R3318" s="1"/>
      <c r="S3318" s="1"/>
      <c r="T3318" s="1"/>
      <c r="U3318" s="1"/>
      <c r="V3318" s="1"/>
      <c r="W3318" s="1"/>
      <c r="X3318" s="1"/>
      <c r="Y3318" s="1"/>
      <c r="Z3318" s="1"/>
      <c r="AA3318" s="1"/>
      <c r="AB3318" s="1"/>
      <c r="AC3318" s="1"/>
      <c r="AD3318" s="1"/>
      <c r="AE3318" s="1"/>
      <c r="AF3318" s="1"/>
      <c r="AG3318" s="1"/>
      <c r="AH3318" s="1"/>
    </row>
    <row r="3319" ht="12.75" hidden="1" customHeight="1" outlineLevel="1">
      <c r="A3319" s="17">
        <v>41603.0</v>
      </c>
      <c r="B3319" s="1" t="s">
        <v>347</v>
      </c>
      <c r="C3319" s="1" t="s">
        <v>1044</v>
      </c>
      <c r="D3319" s="74">
        <v>900.0</v>
      </c>
      <c r="E3319" s="67">
        <v>21.67</v>
      </c>
      <c r="F3319" s="75">
        <v>0.5854513888888889</v>
      </c>
      <c r="G3319" s="67" t="s">
        <v>453</v>
      </c>
      <c r="H3319" s="68">
        <v>3.94</v>
      </c>
      <c r="I3319" s="76"/>
      <c r="J3319" s="67">
        <f t="shared" si="225"/>
        <v>19499.06</v>
      </c>
      <c r="K3319" s="7" t="s">
        <v>1401</v>
      </c>
      <c r="L3319" s="70"/>
      <c r="M3319" s="79"/>
      <c r="N3319" s="1"/>
      <c r="O3319" s="1"/>
      <c r="P3319" s="1"/>
      <c r="Q3319" s="1"/>
      <c r="R3319" s="1"/>
      <c r="S3319" s="1"/>
      <c r="T3319" s="1"/>
      <c r="U3319" s="1"/>
      <c r="V3319" s="1"/>
      <c r="W3319" s="1"/>
      <c r="X3319" s="1"/>
      <c r="Y3319" s="1"/>
      <c r="Z3319" s="1"/>
      <c r="AA3319" s="1"/>
      <c r="AB3319" s="1"/>
      <c r="AC3319" s="1"/>
      <c r="AD3319" s="1"/>
      <c r="AE3319" s="1"/>
      <c r="AF3319" s="1"/>
      <c r="AG3319" s="1"/>
      <c r="AH3319" s="1"/>
    </row>
    <row r="3320" ht="12.75" hidden="1" customHeight="1" outlineLevel="1">
      <c r="A3320" s="17">
        <v>41603.0</v>
      </c>
      <c r="B3320" s="1"/>
      <c r="C3320" s="1" t="s">
        <v>339</v>
      </c>
      <c r="D3320" s="74"/>
      <c r="E3320" s="67"/>
      <c r="F3320" s="75"/>
      <c r="G3320" s="67"/>
      <c r="H3320" s="68"/>
      <c r="I3320" s="76"/>
      <c r="J3320" s="67"/>
      <c r="K3320" s="7" t="s">
        <v>1403</v>
      </c>
      <c r="L3320" s="77"/>
      <c r="M3320" s="79"/>
      <c r="N3320" s="1"/>
      <c r="O3320" s="1"/>
      <c r="P3320" s="1"/>
      <c r="Q3320" s="1"/>
      <c r="R3320" s="1"/>
      <c r="S3320" s="1"/>
      <c r="T3320" s="1"/>
      <c r="U3320" s="1"/>
      <c r="V3320" s="1"/>
      <c r="W3320" s="1"/>
      <c r="X3320" s="1"/>
      <c r="Y3320" s="1"/>
      <c r="Z3320" s="1"/>
      <c r="AA3320" s="1"/>
      <c r="AB3320" s="1"/>
      <c r="AC3320" s="1"/>
      <c r="AD3320" s="1"/>
      <c r="AE3320" s="1"/>
      <c r="AF3320" s="1"/>
      <c r="AG3320" s="1"/>
      <c r="AH3320" s="1"/>
    </row>
    <row r="3321" ht="12.75" hidden="1" customHeight="1" outlineLevel="1">
      <c r="A3321" s="17">
        <v>41603.0</v>
      </c>
      <c r="B3321" s="1"/>
      <c r="C3321" s="1" t="s">
        <v>429</v>
      </c>
      <c r="D3321" s="74"/>
      <c r="E3321" s="67"/>
      <c r="F3321" s="75"/>
      <c r="G3321" s="67"/>
      <c r="H3321" s="68"/>
      <c r="I3321" s="76"/>
      <c r="J3321" s="67"/>
      <c r="K3321" s="7" t="s">
        <v>1352</v>
      </c>
      <c r="L3321" s="77"/>
      <c r="M3321" s="79"/>
      <c r="N3321" s="1"/>
      <c r="O3321" s="1"/>
      <c r="P3321" s="1"/>
      <c r="Q3321" s="1"/>
      <c r="R3321" s="1"/>
      <c r="S3321" s="1"/>
      <c r="T3321" s="1"/>
      <c r="U3321" s="1"/>
      <c r="V3321" s="1"/>
      <c r="W3321" s="1"/>
      <c r="X3321" s="1"/>
      <c r="Y3321" s="1"/>
      <c r="Z3321" s="1"/>
      <c r="AA3321" s="1"/>
      <c r="AB3321" s="1"/>
      <c r="AC3321" s="1"/>
      <c r="AD3321" s="1"/>
      <c r="AE3321" s="1"/>
      <c r="AF3321" s="1"/>
      <c r="AG3321" s="1"/>
      <c r="AH3321" s="1"/>
    </row>
    <row r="3322" ht="12.75" hidden="1" customHeight="1" outlineLevel="1">
      <c r="A3322" s="17">
        <v>41603.0</v>
      </c>
      <c r="B3322" s="1"/>
      <c r="C3322" s="1" t="s">
        <v>431</v>
      </c>
      <c r="D3322" s="74"/>
      <c r="E3322" s="67"/>
      <c r="F3322" s="75"/>
      <c r="G3322" s="67"/>
      <c r="H3322" s="68"/>
      <c r="I3322" s="76"/>
      <c r="J3322" s="67"/>
      <c r="K3322" s="7" t="s">
        <v>1126</v>
      </c>
      <c r="L3322" s="77"/>
      <c r="M3322" s="79"/>
      <c r="N3322" s="1"/>
      <c r="O3322" s="1"/>
      <c r="P3322" s="1"/>
      <c r="Q3322" s="1"/>
      <c r="R3322" s="1"/>
      <c r="S3322" s="1"/>
      <c r="T3322" s="1"/>
      <c r="U3322" s="1"/>
      <c r="V3322" s="1"/>
      <c r="W3322" s="1"/>
      <c r="X3322" s="1"/>
      <c r="Y3322" s="1"/>
      <c r="Z3322" s="1"/>
      <c r="AA3322" s="1"/>
      <c r="AB3322" s="1"/>
      <c r="AC3322" s="1"/>
      <c r="AD3322" s="1"/>
      <c r="AE3322" s="1"/>
      <c r="AF3322" s="1"/>
      <c r="AG3322" s="1"/>
      <c r="AH3322" s="1"/>
    </row>
    <row r="3323" ht="12.75" hidden="1" customHeight="1" outlineLevel="1">
      <c r="A3323" s="17">
        <v>41603.0</v>
      </c>
      <c r="B3323" s="1"/>
      <c r="C3323" s="1" t="s">
        <v>433</v>
      </c>
      <c r="D3323" s="74"/>
      <c r="E3323" s="67"/>
      <c r="F3323" s="75"/>
      <c r="G3323" s="67"/>
      <c r="H3323" s="68"/>
      <c r="I3323" s="76"/>
      <c r="J3323" s="67"/>
      <c r="K3323" s="7" t="s">
        <v>1103</v>
      </c>
      <c r="L3323" s="77"/>
      <c r="M3323" s="79"/>
      <c r="N3323" s="1"/>
      <c r="O3323" s="1"/>
      <c r="P3323" s="1"/>
      <c r="Q3323" s="1"/>
      <c r="R3323" s="1"/>
      <c r="S3323" s="1"/>
      <c r="T3323" s="1"/>
      <c r="U3323" s="1"/>
      <c r="V3323" s="1"/>
      <c r="W3323" s="1"/>
      <c r="X3323" s="1"/>
      <c r="Y3323" s="1"/>
      <c r="Z3323" s="1"/>
      <c r="AA3323" s="1"/>
      <c r="AB3323" s="1"/>
      <c r="AC3323" s="1"/>
      <c r="AD3323" s="1"/>
      <c r="AE3323" s="1"/>
      <c r="AF3323" s="1"/>
      <c r="AG3323" s="1"/>
      <c r="AH3323" s="1"/>
    </row>
    <row r="3324" ht="12.75" hidden="1" customHeight="1" outlineLevel="1">
      <c r="A3324" s="17">
        <v>41603.0</v>
      </c>
      <c r="B3324" s="1"/>
      <c r="C3324" s="1" t="s">
        <v>435</v>
      </c>
      <c r="D3324" s="74"/>
      <c r="E3324" s="67"/>
      <c r="F3324" s="75"/>
      <c r="G3324" s="67"/>
      <c r="H3324" s="68"/>
      <c r="I3324" s="76"/>
      <c r="J3324" s="67"/>
      <c r="K3324" s="7" t="s">
        <v>1354</v>
      </c>
      <c r="L3324" s="77"/>
      <c r="M3324" s="79"/>
      <c r="N3324" s="1"/>
      <c r="O3324" s="1"/>
      <c r="P3324" s="1"/>
      <c r="Q3324" s="1"/>
      <c r="R3324" s="1"/>
      <c r="S3324" s="1"/>
      <c r="T3324" s="1"/>
      <c r="U3324" s="1"/>
      <c r="V3324" s="1"/>
      <c r="W3324" s="1"/>
      <c r="X3324" s="1"/>
      <c r="Y3324" s="1"/>
      <c r="Z3324" s="1"/>
      <c r="AA3324" s="1"/>
      <c r="AB3324" s="1"/>
      <c r="AC3324" s="1"/>
      <c r="AD3324" s="1"/>
      <c r="AE3324" s="1"/>
      <c r="AF3324" s="1"/>
      <c r="AG3324" s="1"/>
      <c r="AH3324" s="1"/>
    </row>
    <row r="3325" ht="12.75" hidden="1" customHeight="1" outlineLevel="1">
      <c r="A3325" s="17">
        <v>41604.0</v>
      </c>
      <c r="B3325" s="1" t="s">
        <v>343</v>
      </c>
      <c r="C3325" s="1" t="s">
        <v>354</v>
      </c>
      <c r="D3325" s="74">
        <v>100.0</v>
      </c>
      <c r="E3325" s="67">
        <v>153.01</v>
      </c>
      <c r="F3325" s="75">
        <v>0.4892592592592593</v>
      </c>
      <c r="G3325" s="67" t="s">
        <v>453</v>
      </c>
      <c r="H3325" s="68">
        <v>1.0</v>
      </c>
      <c r="I3325" s="76"/>
      <c r="J3325" s="67">
        <f>IF(B3325="SLD",D3325*E3325,-D3325*E3325)-H3325</f>
        <v>-15302</v>
      </c>
      <c r="K3325" s="7"/>
      <c r="L3325" s="70"/>
      <c r="M3325" s="79"/>
      <c r="N3325" s="1"/>
      <c r="O3325" s="1"/>
      <c r="P3325" s="1"/>
      <c r="Q3325" s="1"/>
      <c r="R3325" s="1"/>
      <c r="S3325" s="1"/>
      <c r="T3325" s="1"/>
      <c r="U3325" s="1"/>
      <c r="V3325" s="1"/>
      <c r="W3325" s="1"/>
      <c r="X3325" s="1"/>
      <c r="Y3325" s="1"/>
      <c r="Z3325" s="1"/>
      <c r="AA3325" s="1"/>
      <c r="AB3325" s="1"/>
      <c r="AC3325" s="1"/>
      <c r="AD3325" s="1"/>
      <c r="AE3325" s="1"/>
      <c r="AF3325" s="1"/>
      <c r="AG3325" s="1"/>
      <c r="AH3325" s="1"/>
    </row>
    <row r="3326" ht="12.75" hidden="1" customHeight="1" outlineLevel="1">
      <c r="A3326" s="17">
        <v>41604.0</v>
      </c>
      <c r="B3326" s="1"/>
      <c r="C3326" s="1" t="s">
        <v>339</v>
      </c>
      <c r="D3326" s="74"/>
      <c r="E3326" s="67"/>
      <c r="F3326" s="75"/>
      <c r="G3326" s="67"/>
      <c r="H3326" s="68"/>
      <c r="I3326" s="76"/>
      <c r="J3326" s="67"/>
      <c r="K3326" s="7" t="s">
        <v>1407</v>
      </c>
      <c r="L3326" s="77"/>
      <c r="M3326" s="79"/>
      <c r="N3326" s="1"/>
      <c r="O3326" s="1"/>
      <c r="P3326" s="1"/>
      <c r="Q3326" s="1"/>
      <c r="R3326" s="1"/>
      <c r="S3326" s="1"/>
      <c r="T3326" s="1"/>
      <c r="U3326" s="1"/>
      <c r="V3326" s="1"/>
      <c r="W3326" s="1"/>
      <c r="X3326" s="1"/>
      <c r="Y3326" s="1"/>
      <c r="Z3326" s="1"/>
      <c r="AA3326" s="1"/>
      <c r="AB3326" s="1"/>
      <c r="AC3326" s="1"/>
      <c r="AD3326" s="1"/>
      <c r="AE3326" s="1"/>
      <c r="AF3326" s="1"/>
      <c r="AG3326" s="1"/>
      <c r="AH3326" s="1"/>
    </row>
    <row r="3327" ht="12.75" hidden="1" customHeight="1" outlineLevel="1">
      <c r="A3327" s="17">
        <v>41604.0</v>
      </c>
      <c r="B3327" s="1"/>
      <c r="C3327" s="1" t="s">
        <v>429</v>
      </c>
      <c r="D3327" s="74"/>
      <c r="E3327" s="67"/>
      <c r="F3327" s="75"/>
      <c r="G3327" s="67"/>
      <c r="H3327" s="68"/>
      <c r="I3327" s="76"/>
      <c r="J3327" s="67"/>
      <c r="K3327" s="7" t="s">
        <v>1352</v>
      </c>
      <c r="L3327" s="77"/>
      <c r="M3327" s="79"/>
      <c r="N3327" s="1"/>
      <c r="O3327" s="1"/>
      <c r="P3327" s="1"/>
      <c r="Q3327" s="1"/>
      <c r="R3327" s="1"/>
      <c r="S3327" s="1"/>
      <c r="T3327" s="1"/>
      <c r="U3327" s="1"/>
      <c r="V3327" s="1"/>
      <c r="W3327" s="1"/>
      <c r="X3327" s="1"/>
      <c r="Y3327" s="1"/>
      <c r="Z3327" s="1"/>
      <c r="AA3327" s="1"/>
      <c r="AB3327" s="1"/>
      <c r="AC3327" s="1"/>
      <c r="AD3327" s="1"/>
      <c r="AE3327" s="1"/>
      <c r="AF3327" s="1"/>
      <c r="AG3327" s="1"/>
      <c r="AH3327" s="1"/>
    </row>
    <row r="3328" ht="12.75" hidden="1" customHeight="1" outlineLevel="1">
      <c r="A3328" s="17">
        <v>41604.0</v>
      </c>
      <c r="B3328" s="1"/>
      <c r="C3328" s="1" t="s">
        <v>431</v>
      </c>
      <c r="D3328" s="74"/>
      <c r="E3328" s="67"/>
      <c r="F3328" s="75"/>
      <c r="G3328" s="67"/>
      <c r="H3328" s="68"/>
      <c r="I3328" s="76"/>
      <c r="J3328" s="67"/>
      <c r="K3328" s="7" t="s">
        <v>1126</v>
      </c>
      <c r="L3328" s="77"/>
      <c r="M3328" s="79"/>
      <c r="N3328" s="1"/>
      <c r="O3328" s="1"/>
      <c r="P3328" s="1"/>
      <c r="Q3328" s="1"/>
      <c r="R3328" s="1"/>
      <c r="S3328" s="1"/>
      <c r="T3328" s="1"/>
      <c r="U3328" s="1"/>
      <c r="V3328" s="1"/>
      <c r="W3328" s="1"/>
      <c r="X3328" s="1"/>
      <c r="Y3328" s="1"/>
      <c r="Z3328" s="1"/>
      <c r="AA3328" s="1"/>
      <c r="AB3328" s="1"/>
      <c r="AC3328" s="1"/>
      <c r="AD3328" s="1"/>
      <c r="AE3328" s="1"/>
      <c r="AF3328" s="1"/>
      <c r="AG3328" s="1"/>
      <c r="AH3328" s="1"/>
    </row>
    <row r="3329" ht="12.75" hidden="1" customHeight="1" outlineLevel="1">
      <c r="A3329" s="17">
        <v>41604.0</v>
      </c>
      <c r="B3329" s="1"/>
      <c r="C3329" s="1" t="s">
        <v>433</v>
      </c>
      <c r="D3329" s="74"/>
      <c r="E3329" s="67"/>
      <c r="F3329" s="75"/>
      <c r="G3329" s="67"/>
      <c r="H3329" s="68"/>
      <c r="I3329" s="76"/>
      <c r="J3329" s="67"/>
      <c r="K3329" s="7" t="s">
        <v>1103</v>
      </c>
      <c r="L3329" s="77"/>
      <c r="M3329" s="79"/>
      <c r="N3329" s="1"/>
      <c r="O3329" s="1"/>
      <c r="P3329" s="1"/>
      <c r="Q3329" s="1"/>
      <c r="R3329" s="1"/>
      <c r="S3329" s="1"/>
      <c r="T3329" s="1"/>
      <c r="U3329" s="1"/>
      <c r="V3329" s="1"/>
      <c r="W3329" s="1"/>
      <c r="X3329" s="1"/>
      <c r="Y3329" s="1"/>
      <c r="Z3329" s="1"/>
      <c r="AA3329" s="1"/>
      <c r="AB3329" s="1"/>
      <c r="AC3329" s="1"/>
      <c r="AD3329" s="1"/>
      <c r="AE3329" s="1"/>
      <c r="AF3329" s="1"/>
      <c r="AG3329" s="1"/>
      <c r="AH3329" s="1"/>
    </row>
    <row r="3330" ht="12.75" hidden="1" customHeight="1" outlineLevel="1">
      <c r="A3330" s="17">
        <v>41604.0</v>
      </c>
      <c r="B3330" s="1"/>
      <c r="C3330" s="1" t="s">
        <v>435</v>
      </c>
      <c r="D3330" s="74"/>
      <c r="E3330" s="67"/>
      <c r="F3330" s="75"/>
      <c r="G3330" s="67"/>
      <c r="H3330" s="68"/>
      <c r="I3330" s="76"/>
      <c r="J3330" s="67"/>
      <c r="K3330" s="7" t="s">
        <v>1354</v>
      </c>
      <c r="L3330" s="77"/>
      <c r="M3330" s="79"/>
      <c r="N3330" s="1"/>
      <c r="O3330" s="1"/>
      <c r="P3330" s="1"/>
      <c r="Q3330" s="1"/>
      <c r="R3330" s="1"/>
      <c r="S3330" s="1"/>
      <c r="T3330" s="1"/>
      <c r="U3330" s="1"/>
      <c r="V3330" s="1"/>
      <c r="W3330" s="1"/>
      <c r="X3330" s="1"/>
      <c r="Y3330" s="1"/>
      <c r="Z3330" s="1"/>
      <c r="AA3330" s="1"/>
      <c r="AB3330" s="1"/>
      <c r="AC3330" s="1"/>
      <c r="AD3330" s="1"/>
      <c r="AE3330" s="1"/>
      <c r="AF3330" s="1"/>
      <c r="AG3330" s="1"/>
      <c r="AH3330" s="1"/>
    </row>
    <row r="3331" ht="12.75" hidden="1" customHeight="1" outlineLevel="1">
      <c r="A3331" s="17">
        <v>41605.0</v>
      </c>
      <c r="B3331" s="1" t="s">
        <v>343</v>
      </c>
      <c r="C3331" s="1" t="s">
        <v>1044</v>
      </c>
      <c r="D3331" s="74">
        <v>900.0</v>
      </c>
      <c r="E3331" s="67">
        <v>21.772</v>
      </c>
      <c r="F3331" s="75">
        <v>0.44593750000000004</v>
      </c>
      <c r="G3331" s="67" t="s">
        <v>453</v>
      </c>
      <c r="H3331" s="68">
        <v>3.8</v>
      </c>
      <c r="I3331" s="76"/>
      <c r="J3331" s="67">
        <f t="shared" ref="J3331:J3332" si="226">IF(B3331="SLD",D3331*E3331,-D3331*E3331)-H3331</f>
        <v>-19598.6</v>
      </c>
      <c r="K3331" s="7"/>
      <c r="L3331" s="70"/>
      <c r="M3331" s="79"/>
      <c r="N3331" s="1"/>
      <c r="O3331" s="1"/>
      <c r="P3331" s="1"/>
      <c r="Q3331" s="1"/>
      <c r="R3331" s="1"/>
      <c r="S3331" s="1"/>
      <c r="T3331" s="1"/>
      <c r="U3331" s="1"/>
      <c r="V3331" s="1"/>
      <c r="W3331" s="1"/>
      <c r="X3331" s="1"/>
      <c r="Y3331" s="1"/>
      <c r="Z3331" s="1"/>
      <c r="AA3331" s="1"/>
      <c r="AB3331" s="1"/>
      <c r="AC3331" s="1"/>
      <c r="AD3331" s="1"/>
      <c r="AE3331" s="1"/>
      <c r="AF3331" s="1"/>
      <c r="AG3331" s="1"/>
      <c r="AH3331" s="1"/>
    </row>
    <row r="3332" ht="12.75" hidden="1" customHeight="1" outlineLevel="1">
      <c r="A3332" s="17">
        <v>41605.0</v>
      </c>
      <c r="B3332" s="1" t="s">
        <v>343</v>
      </c>
      <c r="C3332" s="1" t="s">
        <v>784</v>
      </c>
      <c r="D3332" s="74">
        <v>1800.0</v>
      </c>
      <c r="E3332" s="67">
        <v>14.99</v>
      </c>
      <c r="F3332" s="75">
        <v>0.4465856481481481</v>
      </c>
      <c r="G3332" s="67" t="s">
        <v>453</v>
      </c>
      <c r="H3332" s="68">
        <v>7.2</v>
      </c>
      <c r="I3332" s="76"/>
      <c r="J3332" s="67">
        <f t="shared" si="226"/>
        <v>-26989.2</v>
      </c>
      <c r="K3332" s="7"/>
      <c r="L3332" s="70"/>
      <c r="M3332" s="79"/>
      <c r="N3332" s="1"/>
      <c r="O3332" s="1"/>
      <c r="P3332" s="1"/>
      <c r="Q3332" s="1"/>
      <c r="R3332" s="1"/>
      <c r="S3332" s="1"/>
      <c r="T3332" s="1"/>
      <c r="U3332" s="1"/>
      <c r="V3332" s="1"/>
      <c r="W3332" s="1"/>
      <c r="X3332" s="1"/>
      <c r="Y3332" s="1"/>
      <c r="Z3332" s="1"/>
      <c r="AA3332" s="1"/>
      <c r="AB3332" s="1"/>
      <c r="AC3332" s="1"/>
      <c r="AD3332" s="1"/>
      <c r="AE3332" s="1"/>
      <c r="AF3332" s="1"/>
      <c r="AG3332" s="1"/>
      <c r="AH3332" s="1"/>
    </row>
    <row r="3333" ht="12.75" hidden="1" customHeight="1" outlineLevel="1">
      <c r="A3333" s="17">
        <v>41605.0</v>
      </c>
      <c r="B3333" s="1"/>
      <c r="C3333" s="1" t="s">
        <v>339</v>
      </c>
      <c r="D3333" s="74"/>
      <c r="E3333" s="67"/>
      <c r="F3333" s="75"/>
      <c r="G3333" s="67"/>
      <c r="H3333" s="68"/>
      <c r="I3333" s="76"/>
      <c r="J3333" s="67"/>
      <c r="K3333" s="7" t="s">
        <v>1409</v>
      </c>
      <c r="L3333" s="77"/>
      <c r="M3333" s="79"/>
      <c r="N3333" s="1"/>
      <c r="O3333" s="1"/>
      <c r="P3333" s="1"/>
      <c r="Q3333" s="1"/>
      <c r="R3333" s="1"/>
      <c r="S3333" s="1"/>
      <c r="T3333" s="1"/>
      <c r="U3333" s="1"/>
      <c r="V3333" s="1"/>
      <c r="W3333" s="1"/>
      <c r="X3333" s="1"/>
      <c r="Y3333" s="1"/>
      <c r="Z3333" s="1"/>
      <c r="AA3333" s="1"/>
      <c r="AB3333" s="1"/>
      <c r="AC3333" s="1"/>
      <c r="AD3333" s="1"/>
      <c r="AE3333" s="1"/>
      <c r="AF3333" s="1"/>
      <c r="AG3333" s="1"/>
      <c r="AH3333" s="1"/>
    </row>
    <row r="3334" ht="12.75" hidden="1" customHeight="1" outlineLevel="1">
      <c r="A3334" s="17">
        <v>41605.0</v>
      </c>
      <c r="B3334" s="1"/>
      <c r="C3334" s="1" t="s">
        <v>429</v>
      </c>
      <c r="D3334" s="74"/>
      <c r="E3334" s="67"/>
      <c r="F3334" s="75"/>
      <c r="G3334" s="67"/>
      <c r="H3334" s="68"/>
      <c r="I3334" s="76"/>
      <c r="J3334" s="67"/>
      <c r="K3334" s="7" t="s">
        <v>1352</v>
      </c>
      <c r="L3334" s="77"/>
      <c r="M3334" s="79"/>
      <c r="N3334" s="1"/>
      <c r="O3334" s="1"/>
      <c r="P3334" s="1"/>
      <c r="Q3334" s="1"/>
      <c r="R3334" s="1"/>
      <c r="S3334" s="1"/>
      <c r="T3334" s="1"/>
      <c r="U3334" s="1"/>
      <c r="V3334" s="1"/>
      <c r="W3334" s="1"/>
      <c r="X3334" s="1"/>
      <c r="Y3334" s="1"/>
      <c r="Z3334" s="1"/>
      <c r="AA3334" s="1"/>
      <c r="AB3334" s="1"/>
      <c r="AC3334" s="1"/>
      <c r="AD3334" s="1"/>
      <c r="AE3334" s="1"/>
      <c r="AF3334" s="1"/>
      <c r="AG3334" s="1"/>
      <c r="AH3334" s="1"/>
    </row>
    <row r="3335" ht="12.75" hidden="1" customHeight="1" outlineLevel="1">
      <c r="A3335" s="17">
        <v>41605.0</v>
      </c>
      <c r="B3335" s="1"/>
      <c r="C3335" s="1" t="s">
        <v>431</v>
      </c>
      <c r="D3335" s="74"/>
      <c r="E3335" s="67"/>
      <c r="F3335" s="75"/>
      <c r="G3335" s="67"/>
      <c r="H3335" s="68"/>
      <c r="I3335" s="76"/>
      <c r="J3335" s="67"/>
      <c r="K3335" s="7" t="s">
        <v>1126</v>
      </c>
      <c r="L3335" s="77"/>
      <c r="M3335" s="79"/>
      <c r="N3335" s="1"/>
      <c r="O3335" s="1"/>
      <c r="P3335" s="1"/>
      <c r="Q3335" s="1"/>
      <c r="R3335" s="1"/>
      <c r="S3335" s="1"/>
      <c r="T3335" s="1"/>
      <c r="U3335" s="1"/>
      <c r="V3335" s="1"/>
      <c r="W3335" s="1"/>
      <c r="X3335" s="1"/>
      <c r="Y3335" s="1"/>
      <c r="Z3335" s="1"/>
      <c r="AA3335" s="1"/>
      <c r="AB3335" s="1"/>
      <c r="AC3335" s="1"/>
      <c r="AD3335" s="1"/>
      <c r="AE3335" s="1"/>
      <c r="AF3335" s="1"/>
      <c r="AG3335" s="1"/>
      <c r="AH3335" s="1"/>
    </row>
    <row r="3336" ht="12.75" hidden="1" customHeight="1" outlineLevel="1">
      <c r="A3336" s="17">
        <v>41605.0</v>
      </c>
      <c r="B3336" s="1"/>
      <c r="C3336" s="1" t="s">
        <v>433</v>
      </c>
      <c r="D3336" s="74"/>
      <c r="E3336" s="67"/>
      <c r="F3336" s="75"/>
      <c r="G3336" s="67"/>
      <c r="H3336" s="68"/>
      <c r="I3336" s="76"/>
      <c r="J3336" s="67"/>
      <c r="K3336" s="7" t="s">
        <v>1103</v>
      </c>
      <c r="L3336" s="77"/>
      <c r="M3336" s="79"/>
      <c r="N3336" s="1"/>
      <c r="O3336" s="1"/>
      <c r="P3336" s="1"/>
      <c r="Q3336" s="1"/>
      <c r="R3336" s="1"/>
      <c r="S3336" s="1"/>
      <c r="T3336" s="1"/>
      <c r="U3336" s="1"/>
      <c r="V3336" s="1"/>
      <c r="W3336" s="1"/>
      <c r="X3336" s="1"/>
      <c r="Y3336" s="1"/>
      <c r="Z3336" s="1"/>
      <c r="AA3336" s="1"/>
      <c r="AB3336" s="1"/>
      <c r="AC3336" s="1"/>
      <c r="AD3336" s="1"/>
      <c r="AE3336" s="1"/>
      <c r="AF3336" s="1"/>
      <c r="AG3336" s="1"/>
      <c r="AH3336" s="1"/>
    </row>
    <row r="3337" ht="12.75" hidden="1" customHeight="1" outlineLevel="1">
      <c r="A3337" s="17">
        <v>41605.0</v>
      </c>
      <c r="B3337" s="1"/>
      <c r="C3337" s="1" t="s">
        <v>435</v>
      </c>
      <c r="D3337" s="74"/>
      <c r="E3337" s="67"/>
      <c r="F3337" s="75"/>
      <c r="G3337" s="67"/>
      <c r="H3337" s="68"/>
      <c r="I3337" s="76"/>
      <c r="J3337" s="67"/>
      <c r="K3337" s="7" t="s">
        <v>1354</v>
      </c>
      <c r="L3337" s="77"/>
      <c r="M3337" s="79"/>
      <c r="N3337" s="1"/>
      <c r="O3337" s="1"/>
      <c r="P3337" s="1"/>
      <c r="Q3337" s="1"/>
      <c r="R3337" s="1"/>
      <c r="S3337" s="1"/>
      <c r="T3337" s="1"/>
      <c r="U3337" s="1"/>
      <c r="V3337" s="1"/>
      <c r="W3337" s="1"/>
      <c r="X3337" s="1"/>
      <c r="Y3337" s="1"/>
      <c r="Z3337" s="1"/>
      <c r="AA3337" s="1"/>
      <c r="AB3337" s="1"/>
      <c r="AC3337" s="1"/>
      <c r="AD3337" s="1"/>
      <c r="AE3337" s="1"/>
      <c r="AF3337" s="1"/>
      <c r="AG3337" s="1"/>
      <c r="AH3337" s="1"/>
    </row>
    <row r="3338" ht="12.75" hidden="1" customHeight="1" outlineLevel="1">
      <c r="A3338" s="17">
        <v>41607.0</v>
      </c>
      <c r="B3338" s="1"/>
      <c r="C3338" s="1" t="s">
        <v>339</v>
      </c>
      <c r="D3338" s="74"/>
      <c r="E3338" s="67"/>
      <c r="F3338" s="75"/>
      <c r="G3338" s="67"/>
      <c r="H3338" s="68"/>
      <c r="I3338" s="76"/>
      <c r="J3338" s="67"/>
      <c r="K3338" s="7" t="s">
        <v>1410</v>
      </c>
      <c r="L3338" s="77"/>
      <c r="M3338" s="79"/>
      <c r="N3338" s="1"/>
      <c r="O3338" s="1"/>
      <c r="P3338" s="1"/>
      <c r="Q3338" s="1"/>
      <c r="R3338" s="1"/>
      <c r="S3338" s="1"/>
      <c r="T3338" s="1"/>
      <c r="U3338" s="1"/>
      <c r="V3338" s="1"/>
      <c r="W3338" s="1"/>
      <c r="X3338" s="1"/>
      <c r="Y3338" s="1"/>
      <c r="Z3338" s="1"/>
      <c r="AA3338" s="1"/>
      <c r="AB3338" s="1"/>
      <c r="AC3338" s="1"/>
      <c r="AD3338" s="1"/>
      <c r="AE3338" s="1"/>
      <c r="AF3338" s="1"/>
      <c r="AG3338" s="1"/>
      <c r="AH3338" s="1"/>
    </row>
    <row r="3339" ht="12.75" hidden="1" customHeight="1" outlineLevel="1">
      <c r="A3339" s="17">
        <v>41607.0</v>
      </c>
      <c r="B3339" s="1"/>
      <c r="C3339" s="1" t="s">
        <v>429</v>
      </c>
      <c r="D3339" s="74"/>
      <c r="E3339" s="67"/>
      <c r="F3339" s="75"/>
      <c r="G3339" s="67"/>
      <c r="H3339" s="68"/>
      <c r="I3339" s="76"/>
      <c r="J3339" s="67"/>
      <c r="K3339" s="7" t="s">
        <v>1352</v>
      </c>
      <c r="L3339" s="77"/>
      <c r="M3339" s="79"/>
      <c r="N3339" s="1"/>
      <c r="O3339" s="1"/>
      <c r="P3339" s="1"/>
      <c r="Q3339" s="1"/>
      <c r="R3339" s="1"/>
      <c r="S3339" s="1"/>
      <c r="T3339" s="1"/>
      <c r="U3339" s="1"/>
      <c r="V3339" s="1"/>
      <c r="W3339" s="1"/>
      <c r="X3339" s="1"/>
      <c r="Y3339" s="1"/>
      <c r="Z3339" s="1"/>
      <c r="AA3339" s="1"/>
      <c r="AB3339" s="1"/>
      <c r="AC3339" s="1"/>
      <c r="AD3339" s="1"/>
      <c r="AE3339" s="1"/>
      <c r="AF3339" s="1"/>
      <c r="AG3339" s="1"/>
      <c r="AH3339" s="1"/>
    </row>
    <row r="3340" ht="12.75" hidden="1" customHeight="1" outlineLevel="1">
      <c r="A3340" s="17">
        <v>41607.0</v>
      </c>
      <c r="B3340" s="1"/>
      <c r="C3340" s="1" t="s">
        <v>431</v>
      </c>
      <c r="D3340" s="74"/>
      <c r="E3340" s="67"/>
      <c r="F3340" s="75"/>
      <c r="G3340" s="67"/>
      <c r="H3340" s="68"/>
      <c r="I3340" s="76"/>
      <c r="J3340" s="67"/>
      <c r="K3340" s="7" t="s">
        <v>1126</v>
      </c>
      <c r="L3340" s="77"/>
      <c r="M3340" s="79"/>
      <c r="N3340" s="1"/>
      <c r="O3340" s="1"/>
      <c r="P3340" s="1"/>
      <c r="Q3340" s="1"/>
      <c r="R3340" s="1"/>
      <c r="S3340" s="1"/>
      <c r="T3340" s="1"/>
      <c r="U3340" s="1"/>
      <c r="V3340" s="1"/>
      <c r="W3340" s="1"/>
      <c r="X3340" s="1"/>
      <c r="Y3340" s="1"/>
      <c r="Z3340" s="1"/>
      <c r="AA3340" s="1"/>
      <c r="AB3340" s="1"/>
      <c r="AC3340" s="1"/>
      <c r="AD3340" s="1"/>
      <c r="AE3340" s="1"/>
      <c r="AF3340" s="1"/>
      <c r="AG3340" s="1"/>
      <c r="AH3340" s="1"/>
    </row>
    <row r="3341" ht="12.75" hidden="1" customHeight="1" outlineLevel="1">
      <c r="A3341" s="17">
        <v>41607.0</v>
      </c>
      <c r="B3341" s="1"/>
      <c r="C3341" s="1" t="s">
        <v>433</v>
      </c>
      <c r="D3341" s="74"/>
      <c r="E3341" s="67"/>
      <c r="F3341" s="75"/>
      <c r="G3341" s="67"/>
      <c r="H3341" s="68"/>
      <c r="I3341" s="76"/>
      <c r="J3341" s="67"/>
      <c r="K3341" s="7" t="s">
        <v>1103</v>
      </c>
      <c r="L3341" s="77"/>
      <c r="M3341" s="79"/>
      <c r="N3341" s="1"/>
      <c r="O3341" s="1"/>
      <c r="P3341" s="1"/>
      <c r="Q3341" s="1"/>
      <c r="R3341" s="1"/>
      <c r="S3341" s="1"/>
      <c r="T3341" s="1"/>
      <c r="U3341" s="1"/>
      <c r="V3341" s="1"/>
      <c r="W3341" s="1"/>
      <c r="X3341" s="1"/>
      <c r="Y3341" s="1"/>
      <c r="Z3341" s="1"/>
      <c r="AA3341" s="1"/>
      <c r="AB3341" s="1"/>
      <c r="AC3341" s="1"/>
      <c r="AD3341" s="1"/>
      <c r="AE3341" s="1"/>
      <c r="AF3341" s="1"/>
      <c r="AG3341" s="1"/>
      <c r="AH3341" s="1"/>
    </row>
    <row r="3342" ht="12.75" hidden="1" customHeight="1" outlineLevel="1">
      <c r="A3342" s="17">
        <v>41607.0</v>
      </c>
      <c r="B3342" s="1"/>
      <c r="C3342" s="1" t="s">
        <v>435</v>
      </c>
      <c r="D3342" s="74"/>
      <c r="E3342" s="67"/>
      <c r="F3342" s="75"/>
      <c r="G3342" s="67"/>
      <c r="H3342" s="68"/>
      <c r="I3342" s="76"/>
      <c r="J3342" s="67"/>
      <c r="K3342" s="7" t="s">
        <v>1354</v>
      </c>
      <c r="L3342" s="77"/>
      <c r="M3342" s="79"/>
      <c r="N3342" s="1"/>
      <c r="O3342" s="1"/>
      <c r="P3342" s="1"/>
      <c r="Q3342" s="1"/>
      <c r="R3342" s="1"/>
      <c r="S3342" s="1"/>
      <c r="T3342" s="1"/>
      <c r="U3342" s="1"/>
      <c r="V3342" s="1"/>
      <c r="W3342" s="1"/>
      <c r="X3342" s="1"/>
      <c r="Y3342" s="1"/>
      <c r="Z3342" s="1"/>
      <c r="AA3342" s="1"/>
      <c r="AB3342" s="1"/>
      <c r="AC3342" s="1"/>
      <c r="AD3342" s="1"/>
      <c r="AE3342" s="1"/>
      <c r="AF3342" s="1"/>
      <c r="AG3342" s="1"/>
      <c r="AH3342" s="1"/>
    </row>
    <row r="3343" ht="12.75" hidden="1" customHeight="1" outlineLevel="1">
      <c r="A3343" s="17">
        <v>41608.0</v>
      </c>
      <c r="B3343" s="1"/>
      <c r="C3343" s="1" t="s">
        <v>339</v>
      </c>
      <c r="D3343" s="74"/>
      <c r="E3343" s="67"/>
      <c r="F3343" s="75"/>
      <c r="G3343" s="67"/>
      <c r="H3343" s="68"/>
      <c r="I3343" s="76"/>
      <c r="J3343" s="67"/>
      <c r="K3343" s="7" t="s">
        <v>1410</v>
      </c>
      <c r="L3343" s="77"/>
      <c r="M3343" s="79"/>
      <c r="N3343" s="1"/>
      <c r="O3343" s="1"/>
      <c r="P3343" s="1"/>
      <c r="Q3343" s="1"/>
      <c r="R3343" s="1"/>
      <c r="S3343" s="1"/>
      <c r="T3343" s="1"/>
      <c r="U3343" s="1"/>
      <c r="V3343" s="1"/>
      <c r="W3343" s="1"/>
      <c r="X3343" s="1"/>
      <c r="Y3343" s="1"/>
      <c r="Z3343" s="1"/>
      <c r="AA3343" s="1"/>
      <c r="AB3343" s="1"/>
      <c r="AC3343" s="1"/>
      <c r="AD3343" s="1"/>
      <c r="AE3343" s="1"/>
      <c r="AF3343" s="1"/>
      <c r="AG3343" s="1"/>
      <c r="AH3343" s="1"/>
    </row>
    <row r="3344" ht="12.75" hidden="1" customHeight="1" outlineLevel="1">
      <c r="A3344" s="17">
        <v>41608.0</v>
      </c>
      <c r="B3344" s="1"/>
      <c r="C3344" s="1" t="s">
        <v>429</v>
      </c>
      <c r="D3344" s="74"/>
      <c r="E3344" s="67"/>
      <c r="F3344" s="75"/>
      <c r="G3344" s="67"/>
      <c r="H3344" s="68"/>
      <c r="I3344" s="76"/>
      <c r="J3344" s="67"/>
      <c r="K3344" s="7" t="s">
        <v>1352</v>
      </c>
      <c r="L3344" s="77"/>
      <c r="M3344" s="79"/>
      <c r="N3344" s="1"/>
      <c r="O3344" s="1"/>
      <c r="P3344" s="1"/>
      <c r="Q3344" s="1"/>
      <c r="R3344" s="1"/>
      <c r="S3344" s="1"/>
      <c r="T3344" s="1"/>
      <c r="U3344" s="1"/>
      <c r="V3344" s="1"/>
      <c r="W3344" s="1"/>
      <c r="X3344" s="1"/>
      <c r="Y3344" s="1"/>
      <c r="Z3344" s="1"/>
      <c r="AA3344" s="1"/>
      <c r="AB3344" s="1"/>
      <c r="AC3344" s="1"/>
      <c r="AD3344" s="1"/>
      <c r="AE3344" s="1"/>
      <c r="AF3344" s="1"/>
      <c r="AG3344" s="1"/>
      <c r="AH3344" s="1"/>
    </row>
    <row r="3345" ht="12.75" hidden="1" customHeight="1" outlineLevel="1">
      <c r="A3345" s="17">
        <v>41608.0</v>
      </c>
      <c r="B3345" s="1"/>
      <c r="C3345" s="1" t="s">
        <v>431</v>
      </c>
      <c r="D3345" s="74"/>
      <c r="E3345" s="67"/>
      <c r="F3345" s="75"/>
      <c r="G3345" s="67"/>
      <c r="H3345" s="68"/>
      <c r="I3345" s="76"/>
      <c r="J3345" s="67"/>
      <c r="K3345" s="7" t="s">
        <v>1126</v>
      </c>
      <c r="L3345" s="77"/>
      <c r="M3345" s="79"/>
      <c r="N3345" s="1"/>
      <c r="O3345" s="1"/>
      <c r="P3345" s="1"/>
      <c r="Q3345" s="1"/>
      <c r="R3345" s="1"/>
      <c r="S3345" s="1"/>
      <c r="T3345" s="1"/>
      <c r="U3345" s="1"/>
      <c r="V3345" s="1"/>
      <c r="W3345" s="1"/>
      <c r="X3345" s="1"/>
      <c r="Y3345" s="1"/>
      <c r="Z3345" s="1"/>
      <c r="AA3345" s="1"/>
      <c r="AB3345" s="1"/>
      <c r="AC3345" s="1"/>
      <c r="AD3345" s="1"/>
      <c r="AE3345" s="1"/>
      <c r="AF3345" s="1"/>
      <c r="AG3345" s="1"/>
      <c r="AH3345" s="1"/>
    </row>
    <row r="3346" ht="12.75" hidden="1" customHeight="1" outlineLevel="1">
      <c r="A3346" s="17">
        <v>41608.0</v>
      </c>
      <c r="B3346" s="1"/>
      <c r="C3346" s="1" t="s">
        <v>433</v>
      </c>
      <c r="D3346" s="74"/>
      <c r="E3346" s="67"/>
      <c r="F3346" s="75"/>
      <c r="G3346" s="67"/>
      <c r="H3346" s="68"/>
      <c r="I3346" s="76"/>
      <c r="J3346" s="67"/>
      <c r="K3346" s="7" t="s">
        <v>1103</v>
      </c>
      <c r="L3346" s="77"/>
      <c r="M3346" s="79"/>
      <c r="N3346" s="1"/>
      <c r="O3346" s="1"/>
      <c r="P3346" s="1"/>
      <c r="Q3346" s="1"/>
      <c r="R3346" s="1"/>
      <c r="S3346" s="1"/>
      <c r="T3346" s="1"/>
      <c r="U3346" s="1"/>
      <c r="V3346" s="1"/>
      <c r="W3346" s="1"/>
      <c r="X3346" s="1"/>
      <c r="Y3346" s="1"/>
      <c r="Z3346" s="1"/>
      <c r="AA3346" s="1"/>
      <c r="AB3346" s="1"/>
      <c r="AC3346" s="1"/>
      <c r="AD3346" s="1"/>
      <c r="AE3346" s="1"/>
      <c r="AF3346" s="1"/>
      <c r="AG3346" s="1"/>
      <c r="AH3346" s="1"/>
    </row>
    <row r="3347" ht="12.75" hidden="1" customHeight="1" outlineLevel="1">
      <c r="A3347" s="17">
        <v>41608.0</v>
      </c>
      <c r="B3347" s="1"/>
      <c r="C3347" s="1" t="s">
        <v>435</v>
      </c>
      <c r="D3347" s="74"/>
      <c r="E3347" s="67"/>
      <c r="F3347" s="75"/>
      <c r="G3347" s="67"/>
      <c r="H3347" s="68"/>
      <c r="I3347" s="76"/>
      <c r="J3347" s="67"/>
      <c r="K3347" s="7" t="s">
        <v>1354</v>
      </c>
      <c r="L3347" s="77"/>
      <c r="M3347" s="79"/>
      <c r="N3347" s="1"/>
      <c r="O3347" s="1"/>
      <c r="P3347" s="1"/>
      <c r="Q3347" s="1"/>
      <c r="R3347" s="1"/>
      <c r="S3347" s="1"/>
      <c r="T3347" s="1"/>
      <c r="U3347" s="1"/>
      <c r="V3347" s="1"/>
      <c r="W3347" s="1"/>
      <c r="X3347" s="1"/>
      <c r="Y3347" s="1"/>
      <c r="Z3347" s="1"/>
      <c r="AA3347" s="1"/>
      <c r="AB3347" s="1"/>
      <c r="AC3347" s="1"/>
      <c r="AD3347" s="1"/>
      <c r="AE3347" s="1"/>
      <c r="AF3347" s="1"/>
      <c r="AG3347" s="1"/>
      <c r="AH3347" s="1"/>
    </row>
    <row r="3348" ht="12.75" hidden="1" customHeight="1" outlineLevel="1">
      <c r="A3348" s="17">
        <v>41610.0</v>
      </c>
      <c r="B3348" s="1"/>
      <c r="C3348" s="1" t="s">
        <v>339</v>
      </c>
      <c r="D3348" s="74"/>
      <c r="E3348" s="67"/>
      <c r="F3348" s="75"/>
      <c r="G3348" s="67"/>
      <c r="H3348" s="68"/>
      <c r="I3348" s="76"/>
      <c r="J3348" s="67"/>
      <c r="K3348" s="7" t="s">
        <v>1412</v>
      </c>
      <c r="L3348" s="77"/>
      <c r="M3348" s="79"/>
      <c r="N3348" s="1"/>
      <c r="O3348" s="1"/>
      <c r="P3348" s="1"/>
      <c r="Q3348" s="1"/>
      <c r="R3348" s="1"/>
      <c r="S3348" s="1"/>
      <c r="T3348" s="1"/>
      <c r="U3348" s="1"/>
      <c r="V3348" s="1"/>
      <c r="W3348" s="1"/>
      <c r="X3348" s="1"/>
      <c r="Y3348" s="1"/>
      <c r="Z3348" s="1"/>
      <c r="AA3348" s="1"/>
      <c r="AB3348" s="1"/>
      <c r="AC3348" s="1"/>
      <c r="AD3348" s="1"/>
      <c r="AE3348" s="1"/>
      <c r="AF3348" s="1"/>
      <c r="AG3348" s="1"/>
      <c r="AH3348" s="1"/>
    </row>
    <row r="3349" ht="12.75" hidden="1" customHeight="1" outlineLevel="1">
      <c r="A3349" s="17">
        <v>41610.0</v>
      </c>
      <c r="B3349" s="1"/>
      <c r="C3349" s="1" t="s">
        <v>429</v>
      </c>
      <c r="D3349" s="74"/>
      <c r="E3349" s="67"/>
      <c r="F3349" s="75"/>
      <c r="G3349" s="67"/>
      <c r="H3349" s="68"/>
      <c r="I3349" s="76"/>
      <c r="J3349" s="67"/>
      <c r="K3349" s="7" t="s">
        <v>1352</v>
      </c>
      <c r="L3349" s="77"/>
      <c r="M3349" s="79"/>
      <c r="N3349" s="1"/>
      <c r="O3349" s="1"/>
      <c r="P3349" s="1"/>
      <c r="Q3349" s="1"/>
      <c r="R3349" s="1"/>
      <c r="S3349" s="1"/>
      <c r="T3349" s="1"/>
      <c r="U3349" s="1"/>
      <c r="V3349" s="1"/>
      <c r="W3349" s="1"/>
      <c r="X3349" s="1"/>
      <c r="Y3349" s="1"/>
      <c r="Z3349" s="1"/>
      <c r="AA3349" s="1"/>
      <c r="AB3349" s="1"/>
      <c r="AC3349" s="1"/>
      <c r="AD3349" s="1"/>
      <c r="AE3349" s="1"/>
      <c r="AF3349" s="1"/>
      <c r="AG3349" s="1"/>
      <c r="AH3349" s="1"/>
    </row>
    <row r="3350" ht="12.75" hidden="1" customHeight="1" outlineLevel="1">
      <c r="A3350" s="17">
        <v>41610.0</v>
      </c>
      <c r="B3350" s="1"/>
      <c r="C3350" s="1" t="s">
        <v>431</v>
      </c>
      <c r="D3350" s="74"/>
      <c r="E3350" s="67"/>
      <c r="F3350" s="75"/>
      <c r="G3350" s="67"/>
      <c r="H3350" s="68"/>
      <c r="I3350" s="76"/>
      <c r="J3350" s="67"/>
      <c r="K3350" s="7" t="s">
        <v>1126</v>
      </c>
      <c r="L3350" s="77"/>
      <c r="M3350" s="79"/>
      <c r="N3350" s="1"/>
      <c r="O3350" s="1"/>
      <c r="P3350" s="1"/>
      <c r="Q3350" s="1"/>
      <c r="R3350" s="1"/>
      <c r="S3350" s="1"/>
      <c r="T3350" s="1"/>
      <c r="U3350" s="1"/>
      <c r="V3350" s="1"/>
      <c r="W3350" s="1"/>
      <c r="X3350" s="1"/>
      <c r="Y3350" s="1"/>
      <c r="Z3350" s="1"/>
      <c r="AA3350" s="1"/>
      <c r="AB3350" s="1"/>
      <c r="AC3350" s="1"/>
      <c r="AD3350" s="1"/>
      <c r="AE3350" s="1"/>
      <c r="AF3350" s="1"/>
      <c r="AG3350" s="1"/>
      <c r="AH3350" s="1"/>
    </row>
    <row r="3351" ht="12.75" hidden="1" customHeight="1" outlineLevel="1">
      <c r="A3351" s="17">
        <v>41610.0</v>
      </c>
      <c r="B3351" s="1"/>
      <c r="C3351" s="1" t="s">
        <v>433</v>
      </c>
      <c r="D3351" s="74"/>
      <c r="E3351" s="67"/>
      <c r="F3351" s="75"/>
      <c r="G3351" s="67"/>
      <c r="H3351" s="68"/>
      <c r="I3351" s="76"/>
      <c r="J3351" s="67"/>
      <c r="K3351" s="7" t="s">
        <v>1103</v>
      </c>
      <c r="L3351" s="77"/>
      <c r="M3351" s="79"/>
      <c r="N3351" s="1"/>
      <c r="O3351" s="1"/>
      <c r="P3351" s="1"/>
      <c r="Q3351" s="1"/>
      <c r="R3351" s="1"/>
      <c r="S3351" s="1"/>
      <c r="T3351" s="1"/>
      <c r="U3351" s="1"/>
      <c r="V3351" s="1"/>
      <c r="W3351" s="1"/>
      <c r="X3351" s="1"/>
      <c r="Y3351" s="1"/>
      <c r="Z3351" s="1"/>
      <c r="AA3351" s="1"/>
      <c r="AB3351" s="1"/>
      <c r="AC3351" s="1"/>
      <c r="AD3351" s="1"/>
      <c r="AE3351" s="1"/>
      <c r="AF3351" s="1"/>
      <c r="AG3351" s="1"/>
      <c r="AH3351" s="1"/>
    </row>
    <row r="3352" ht="12.75" hidden="1" customHeight="1" outlineLevel="1">
      <c r="A3352" s="17">
        <v>41610.0</v>
      </c>
      <c r="B3352" s="1"/>
      <c r="C3352" s="1" t="s">
        <v>435</v>
      </c>
      <c r="D3352" s="74"/>
      <c r="E3352" s="67"/>
      <c r="F3352" s="75"/>
      <c r="G3352" s="67"/>
      <c r="H3352" s="68"/>
      <c r="I3352" s="76"/>
      <c r="J3352" s="67"/>
      <c r="K3352" s="7" t="s">
        <v>1354</v>
      </c>
      <c r="L3352" s="77"/>
      <c r="M3352" s="79"/>
      <c r="N3352" s="1"/>
      <c r="O3352" s="1"/>
      <c r="P3352" s="1"/>
      <c r="Q3352" s="1"/>
      <c r="R3352" s="1"/>
      <c r="S3352" s="1"/>
      <c r="T3352" s="1"/>
      <c r="U3352" s="1"/>
      <c r="V3352" s="1"/>
      <c r="W3352" s="1"/>
      <c r="X3352" s="1"/>
      <c r="Y3352" s="1"/>
      <c r="Z3352" s="1"/>
      <c r="AA3352" s="1"/>
      <c r="AB3352" s="1"/>
      <c r="AC3352" s="1"/>
      <c r="AD3352" s="1"/>
      <c r="AE3352" s="1"/>
      <c r="AF3352" s="1"/>
      <c r="AG3352" s="1"/>
      <c r="AH3352" s="1"/>
    </row>
    <row r="3353" ht="12.75" hidden="1" customHeight="1" outlineLevel="1">
      <c r="A3353" s="17">
        <v>41611.0</v>
      </c>
      <c r="B3353" s="1"/>
      <c r="C3353" s="1" t="s">
        <v>339</v>
      </c>
      <c r="D3353" s="74"/>
      <c r="E3353" s="67"/>
      <c r="F3353" s="75"/>
      <c r="G3353" s="67"/>
      <c r="H3353" s="68"/>
      <c r="I3353" s="76"/>
      <c r="J3353" s="67"/>
      <c r="K3353" s="7" t="s">
        <v>1413</v>
      </c>
      <c r="L3353" s="77"/>
      <c r="M3353" s="79"/>
      <c r="N3353" s="1"/>
      <c r="O3353" s="1"/>
      <c r="P3353" s="1"/>
      <c r="Q3353" s="1"/>
      <c r="R3353" s="1"/>
      <c r="S3353" s="1"/>
      <c r="T3353" s="1"/>
      <c r="U3353" s="1"/>
      <c r="V3353" s="1"/>
      <c r="W3353" s="1"/>
      <c r="X3353" s="1"/>
      <c r="Y3353" s="1"/>
      <c r="Z3353" s="1"/>
      <c r="AA3353" s="1"/>
      <c r="AB3353" s="1"/>
      <c r="AC3353" s="1"/>
      <c r="AD3353" s="1"/>
      <c r="AE3353" s="1"/>
      <c r="AF3353" s="1"/>
      <c r="AG3353" s="1"/>
      <c r="AH3353" s="1"/>
    </row>
    <row r="3354" ht="12.75" hidden="1" customHeight="1" outlineLevel="1">
      <c r="A3354" s="17">
        <v>41611.0</v>
      </c>
      <c r="B3354" s="1"/>
      <c r="C3354" s="1" t="s">
        <v>429</v>
      </c>
      <c r="D3354" s="74"/>
      <c r="E3354" s="67"/>
      <c r="F3354" s="75"/>
      <c r="G3354" s="67"/>
      <c r="H3354" s="68"/>
      <c r="I3354" s="76"/>
      <c r="J3354" s="67"/>
      <c r="K3354" s="7" t="s">
        <v>1352</v>
      </c>
      <c r="L3354" s="77"/>
      <c r="M3354" s="79"/>
      <c r="N3354" s="1"/>
      <c r="O3354" s="1"/>
      <c r="P3354" s="1"/>
      <c r="Q3354" s="1"/>
      <c r="R3354" s="1"/>
      <c r="S3354" s="1"/>
      <c r="T3354" s="1"/>
      <c r="U3354" s="1"/>
      <c r="V3354" s="1"/>
      <c r="W3354" s="1"/>
      <c r="X3354" s="1"/>
      <c r="Y3354" s="1"/>
      <c r="Z3354" s="1"/>
      <c r="AA3354" s="1"/>
      <c r="AB3354" s="1"/>
      <c r="AC3354" s="1"/>
      <c r="AD3354" s="1"/>
      <c r="AE3354" s="1"/>
      <c r="AF3354" s="1"/>
      <c r="AG3354" s="1"/>
      <c r="AH3354" s="1"/>
    </row>
    <row r="3355" ht="12.75" hidden="1" customHeight="1" outlineLevel="1">
      <c r="A3355" s="17">
        <v>41611.0</v>
      </c>
      <c r="B3355" s="1"/>
      <c r="C3355" s="1" t="s">
        <v>431</v>
      </c>
      <c r="D3355" s="74"/>
      <c r="E3355" s="67"/>
      <c r="F3355" s="75"/>
      <c r="G3355" s="67"/>
      <c r="H3355" s="68"/>
      <c r="I3355" s="76"/>
      <c r="J3355" s="67"/>
      <c r="K3355" s="7" t="s">
        <v>1126</v>
      </c>
      <c r="L3355" s="77"/>
      <c r="M3355" s="79"/>
      <c r="N3355" s="1"/>
      <c r="O3355" s="1"/>
      <c r="P3355" s="1"/>
      <c r="Q3355" s="1"/>
      <c r="R3355" s="1"/>
      <c r="S3355" s="1"/>
      <c r="T3355" s="1"/>
      <c r="U3355" s="1"/>
      <c r="V3355" s="1"/>
      <c r="W3355" s="1"/>
      <c r="X3355" s="1"/>
      <c r="Y3355" s="1"/>
      <c r="Z3355" s="1"/>
      <c r="AA3355" s="1"/>
      <c r="AB3355" s="1"/>
      <c r="AC3355" s="1"/>
      <c r="AD3355" s="1"/>
      <c r="AE3355" s="1"/>
      <c r="AF3355" s="1"/>
      <c r="AG3355" s="1"/>
      <c r="AH3355" s="1"/>
    </row>
    <row r="3356" ht="12.75" hidden="1" customHeight="1" outlineLevel="1">
      <c r="A3356" s="17">
        <v>41611.0</v>
      </c>
      <c r="B3356" s="1"/>
      <c r="C3356" s="1" t="s">
        <v>433</v>
      </c>
      <c r="D3356" s="74"/>
      <c r="E3356" s="67"/>
      <c r="F3356" s="75"/>
      <c r="G3356" s="67"/>
      <c r="H3356" s="68"/>
      <c r="I3356" s="76"/>
      <c r="J3356" s="67"/>
      <c r="K3356" s="7" t="s">
        <v>1103</v>
      </c>
      <c r="L3356" s="77"/>
      <c r="M3356" s="79"/>
      <c r="N3356" s="1"/>
      <c r="O3356" s="1"/>
      <c r="P3356" s="1"/>
      <c r="Q3356" s="1"/>
      <c r="R3356" s="1"/>
      <c r="S3356" s="1"/>
      <c r="T3356" s="1"/>
      <c r="U3356" s="1"/>
      <c r="V3356" s="1"/>
      <c r="W3356" s="1"/>
      <c r="X3356" s="1"/>
      <c r="Y3356" s="1"/>
      <c r="Z3356" s="1"/>
      <c r="AA3356" s="1"/>
      <c r="AB3356" s="1"/>
      <c r="AC3356" s="1"/>
      <c r="AD3356" s="1"/>
      <c r="AE3356" s="1"/>
      <c r="AF3356" s="1"/>
      <c r="AG3356" s="1"/>
      <c r="AH3356" s="1"/>
    </row>
    <row r="3357" ht="12.75" hidden="1" customHeight="1" outlineLevel="1">
      <c r="A3357" s="17">
        <v>41611.0</v>
      </c>
      <c r="B3357" s="1"/>
      <c r="C3357" s="1" t="s">
        <v>435</v>
      </c>
      <c r="D3357" s="74"/>
      <c r="E3357" s="67"/>
      <c r="F3357" s="75"/>
      <c r="G3357" s="67"/>
      <c r="H3357" s="68"/>
      <c r="I3357" s="76"/>
      <c r="J3357" s="67"/>
      <c r="K3357" s="7" t="s">
        <v>1354</v>
      </c>
      <c r="L3357" s="77"/>
      <c r="M3357" s="79"/>
      <c r="N3357" s="1"/>
      <c r="O3357" s="1"/>
      <c r="P3357" s="1"/>
      <c r="Q3357" s="1"/>
      <c r="R3357" s="1"/>
      <c r="S3357" s="1"/>
      <c r="T3357" s="1"/>
      <c r="U3357" s="1"/>
      <c r="V3357" s="1"/>
      <c r="W3357" s="1"/>
      <c r="X3357" s="1"/>
      <c r="Y3357" s="1"/>
      <c r="Z3357" s="1"/>
      <c r="AA3357" s="1"/>
      <c r="AB3357" s="1"/>
      <c r="AC3357" s="1"/>
      <c r="AD3357" s="1"/>
      <c r="AE3357" s="1"/>
      <c r="AF3357" s="1"/>
      <c r="AG3357" s="1"/>
      <c r="AH3357" s="1"/>
    </row>
    <row r="3358" ht="12.75" hidden="1" customHeight="1" outlineLevel="1">
      <c r="A3358" s="17">
        <v>41612.0</v>
      </c>
      <c r="B3358" s="1" t="s">
        <v>347</v>
      </c>
      <c r="C3358" s="1" t="s">
        <v>1060</v>
      </c>
      <c r="D3358" s="74">
        <v>500.0</v>
      </c>
      <c r="E3358" s="67">
        <v>33.352</v>
      </c>
      <c r="F3358" s="75">
        <v>0.5644675925925926</v>
      </c>
      <c r="G3358" s="67" t="s">
        <v>453</v>
      </c>
      <c r="H3358" s="68">
        <v>2.49</v>
      </c>
      <c r="I3358" s="76"/>
      <c r="J3358" s="67">
        <f t="shared" ref="J3358:J3368" si="227">IF(B3358="SLD",D3358*E3358,-D3358*E3358)-H3358</f>
        <v>16673.51</v>
      </c>
      <c r="K3358" s="7"/>
      <c r="L3358" s="70"/>
      <c r="M3358" s="79"/>
      <c r="N3358" s="1"/>
      <c r="O3358" s="1"/>
      <c r="P3358" s="1"/>
      <c r="Q3358" s="1"/>
      <c r="R3358" s="1"/>
      <c r="S3358" s="1"/>
      <c r="T3358" s="1"/>
      <c r="U3358" s="1"/>
      <c r="V3358" s="1"/>
      <c r="W3358" s="1"/>
      <c r="X3358" s="1"/>
      <c r="Y3358" s="1"/>
      <c r="Z3358" s="1"/>
      <c r="AA3358" s="1"/>
      <c r="AB3358" s="1"/>
      <c r="AC3358" s="1"/>
      <c r="AD3358" s="1"/>
      <c r="AE3358" s="1"/>
      <c r="AF3358" s="1"/>
      <c r="AG3358" s="1"/>
      <c r="AH3358" s="1"/>
    </row>
    <row r="3359" ht="12.75" hidden="1" customHeight="1" outlineLevel="1">
      <c r="A3359" s="17">
        <v>41612.0</v>
      </c>
      <c r="B3359" s="1" t="s">
        <v>347</v>
      </c>
      <c r="C3359" s="1" t="s">
        <v>605</v>
      </c>
      <c r="D3359" s="74">
        <v>300.0</v>
      </c>
      <c r="E3359" s="67">
        <v>69.1</v>
      </c>
      <c r="F3359" s="75">
        <v>0.5649421296296296</v>
      </c>
      <c r="G3359" s="67" t="s">
        <v>453</v>
      </c>
      <c r="H3359" s="68">
        <v>1.86</v>
      </c>
      <c r="I3359" s="76"/>
      <c r="J3359" s="67">
        <f t="shared" si="227"/>
        <v>20728.14</v>
      </c>
      <c r="K3359" s="7"/>
      <c r="L3359" s="70"/>
      <c r="M3359" s="79"/>
      <c r="N3359" s="1"/>
      <c r="O3359" s="1"/>
      <c r="P3359" s="1"/>
      <c r="Q3359" s="1"/>
      <c r="R3359" s="1"/>
      <c r="S3359" s="1"/>
      <c r="T3359" s="1"/>
      <c r="U3359" s="1"/>
      <c r="V3359" s="1"/>
      <c r="W3359" s="1"/>
      <c r="X3359" s="1"/>
      <c r="Y3359" s="1"/>
      <c r="Z3359" s="1"/>
      <c r="AA3359" s="1"/>
      <c r="AB3359" s="1"/>
      <c r="AC3359" s="1"/>
      <c r="AD3359" s="1"/>
      <c r="AE3359" s="1"/>
      <c r="AF3359" s="1"/>
      <c r="AG3359" s="1"/>
      <c r="AH3359" s="1"/>
    </row>
    <row r="3360" ht="12.75" hidden="1" customHeight="1" outlineLevel="1">
      <c r="A3360" s="17">
        <v>41612.0</v>
      </c>
      <c r="B3360" s="1" t="s">
        <v>347</v>
      </c>
      <c r="C3360" s="1" t="s">
        <v>870</v>
      </c>
      <c r="D3360" s="74">
        <v>250.0</v>
      </c>
      <c r="E3360" s="67">
        <v>83.438</v>
      </c>
      <c r="F3360" s="75">
        <v>0.5652893518518519</v>
      </c>
      <c r="G3360" s="67" t="s">
        <v>453</v>
      </c>
      <c r="H3360" s="68">
        <v>1.36</v>
      </c>
      <c r="I3360" s="76"/>
      <c r="J3360" s="67">
        <f t="shared" si="227"/>
        <v>20858.14</v>
      </c>
      <c r="K3360" s="7"/>
      <c r="L3360" s="70"/>
      <c r="M3360" s="79"/>
      <c r="N3360" s="1"/>
      <c r="O3360" s="1"/>
      <c r="P3360" s="1"/>
      <c r="Q3360" s="1"/>
      <c r="R3360" s="1"/>
      <c r="S3360" s="1"/>
      <c r="T3360" s="1"/>
      <c r="U3360" s="1"/>
      <c r="V3360" s="1"/>
      <c r="W3360" s="1"/>
      <c r="X3360" s="1"/>
      <c r="Y3360" s="1"/>
      <c r="Z3360" s="1"/>
      <c r="AA3360" s="1"/>
      <c r="AB3360" s="1"/>
      <c r="AC3360" s="1"/>
      <c r="AD3360" s="1"/>
      <c r="AE3360" s="1"/>
      <c r="AF3360" s="1"/>
      <c r="AG3360" s="1"/>
      <c r="AH3360" s="1"/>
    </row>
    <row r="3361" ht="12.75" hidden="1" customHeight="1" outlineLevel="1">
      <c r="A3361" s="17">
        <v>41612.0</v>
      </c>
      <c r="B3361" s="1" t="s">
        <v>347</v>
      </c>
      <c r="C3361" s="1" t="s">
        <v>1185</v>
      </c>
      <c r="D3361" s="74">
        <v>40.0</v>
      </c>
      <c r="E3361" s="67">
        <v>216.01</v>
      </c>
      <c r="F3361" s="75">
        <v>0.5661574074074074</v>
      </c>
      <c r="G3361" s="67" t="s">
        <v>453</v>
      </c>
      <c r="H3361" s="68">
        <v>1.15</v>
      </c>
      <c r="I3361" s="76"/>
      <c r="J3361" s="67">
        <f t="shared" si="227"/>
        <v>8639.25</v>
      </c>
      <c r="K3361" s="7" t="s">
        <v>444</v>
      </c>
      <c r="L3361" s="70"/>
      <c r="M3361" s="79"/>
      <c r="N3361" s="1"/>
      <c r="O3361" s="1"/>
      <c r="P3361" s="1"/>
      <c r="Q3361" s="1"/>
      <c r="R3361" s="1"/>
      <c r="S3361" s="1"/>
      <c r="T3361" s="1"/>
      <c r="U3361" s="1"/>
      <c r="V3361" s="1"/>
      <c r="W3361" s="1"/>
      <c r="X3361" s="1"/>
      <c r="Y3361" s="1"/>
      <c r="Z3361" s="1"/>
      <c r="AA3361" s="1"/>
      <c r="AB3361" s="1"/>
      <c r="AC3361" s="1"/>
      <c r="AD3361" s="1"/>
      <c r="AE3361" s="1"/>
      <c r="AF3361" s="1"/>
      <c r="AG3361" s="1"/>
      <c r="AH3361" s="1"/>
    </row>
    <row r="3362" ht="12.75" hidden="1" customHeight="1" outlineLevel="1">
      <c r="A3362" s="17">
        <v>41612.0</v>
      </c>
      <c r="B3362" s="1" t="s">
        <v>347</v>
      </c>
      <c r="C3362" s="1" t="s">
        <v>387</v>
      </c>
      <c r="D3362" s="74">
        <v>300.0</v>
      </c>
      <c r="E3362" s="67">
        <v>81.25</v>
      </c>
      <c r="F3362" s="75">
        <v>0.5670023148148148</v>
      </c>
      <c r="G3362" s="67" t="s">
        <v>453</v>
      </c>
      <c r="H3362" s="68">
        <v>1.62</v>
      </c>
      <c r="I3362" s="76"/>
      <c r="J3362" s="67">
        <f t="shared" si="227"/>
        <v>24373.38</v>
      </c>
      <c r="K3362" s="7"/>
      <c r="L3362" s="70"/>
      <c r="M3362" s="79"/>
      <c r="N3362" s="1"/>
      <c r="O3362" s="1"/>
      <c r="P3362" s="1"/>
      <c r="Q3362" s="1"/>
      <c r="R3362" s="1"/>
      <c r="S3362" s="1"/>
      <c r="T3362" s="1"/>
      <c r="U3362" s="1"/>
      <c r="V3362" s="1"/>
      <c r="W3362" s="1"/>
      <c r="X3362" s="1"/>
      <c r="Y3362" s="1"/>
      <c r="Z3362" s="1"/>
      <c r="AA3362" s="1"/>
      <c r="AB3362" s="1"/>
      <c r="AC3362" s="1"/>
      <c r="AD3362" s="1"/>
      <c r="AE3362" s="1"/>
      <c r="AF3362" s="1"/>
      <c r="AG3362" s="1"/>
      <c r="AH3362" s="1"/>
    </row>
    <row r="3363" ht="12.75" hidden="1" customHeight="1" outlineLevel="1">
      <c r="A3363" s="17">
        <v>41612.0</v>
      </c>
      <c r="B3363" s="1" t="s">
        <v>347</v>
      </c>
      <c r="C3363" s="1" t="s">
        <v>1357</v>
      </c>
      <c r="D3363" s="74">
        <v>220.0</v>
      </c>
      <c r="E3363" s="67">
        <v>108.73</v>
      </c>
      <c r="F3363" s="75">
        <v>0.569224537037037</v>
      </c>
      <c r="G3363" s="67" t="s">
        <v>453</v>
      </c>
      <c r="H3363" s="68">
        <v>1.52</v>
      </c>
      <c r="I3363" s="76"/>
      <c r="J3363" s="67">
        <f t="shared" si="227"/>
        <v>23919.08</v>
      </c>
      <c r="K3363" s="7"/>
      <c r="L3363" s="70"/>
      <c r="M3363" s="79"/>
      <c r="N3363" s="1"/>
      <c r="O3363" s="1"/>
      <c r="P3363" s="1"/>
      <c r="Q3363" s="1"/>
      <c r="R3363" s="1"/>
      <c r="S3363" s="1"/>
      <c r="T3363" s="1"/>
      <c r="U3363" s="1"/>
      <c r="V3363" s="1"/>
      <c r="W3363" s="1"/>
      <c r="X3363" s="1"/>
      <c r="Y3363" s="1"/>
      <c r="Z3363" s="1"/>
      <c r="AA3363" s="1"/>
      <c r="AB3363" s="1"/>
      <c r="AC3363" s="1"/>
      <c r="AD3363" s="1"/>
      <c r="AE3363" s="1"/>
      <c r="AF3363" s="1"/>
      <c r="AG3363" s="1"/>
      <c r="AH3363" s="1"/>
    </row>
    <row r="3364" ht="12.75" hidden="1" customHeight="1" outlineLevel="1">
      <c r="A3364" s="17">
        <v>41612.0</v>
      </c>
      <c r="B3364" s="1" t="s">
        <v>347</v>
      </c>
      <c r="C3364" s="1" t="s">
        <v>1082</v>
      </c>
      <c r="D3364" s="74">
        <v>20.0</v>
      </c>
      <c r="E3364" s="67">
        <v>455.65</v>
      </c>
      <c r="F3364" s="75">
        <v>0.570787037037037</v>
      </c>
      <c r="G3364" s="67" t="s">
        <v>453</v>
      </c>
      <c r="H3364" s="68">
        <v>1.16</v>
      </c>
      <c r="I3364" s="76"/>
      <c r="J3364" s="67">
        <f t="shared" si="227"/>
        <v>9111.84</v>
      </c>
      <c r="K3364" s="7"/>
      <c r="L3364" s="70"/>
      <c r="M3364" s="79"/>
      <c r="N3364" s="1"/>
      <c r="O3364" s="1"/>
      <c r="P3364" s="1"/>
      <c r="Q3364" s="1"/>
      <c r="R3364" s="1"/>
      <c r="S3364" s="1"/>
      <c r="T3364" s="1"/>
      <c r="U3364" s="1"/>
      <c r="V3364" s="1"/>
      <c r="W3364" s="1"/>
      <c r="X3364" s="1"/>
      <c r="Y3364" s="1"/>
      <c r="Z3364" s="1"/>
      <c r="AA3364" s="1"/>
      <c r="AB3364" s="1"/>
      <c r="AC3364" s="1"/>
      <c r="AD3364" s="1"/>
      <c r="AE3364" s="1"/>
      <c r="AF3364" s="1"/>
      <c r="AG3364" s="1"/>
      <c r="AH3364" s="1"/>
    </row>
    <row r="3365" ht="12.75" hidden="1" customHeight="1" outlineLevel="1">
      <c r="A3365" s="17">
        <v>41612.0</v>
      </c>
      <c r="B3365" s="1" t="s">
        <v>347</v>
      </c>
      <c r="C3365" s="1" t="s">
        <v>458</v>
      </c>
      <c r="D3365" s="74">
        <v>400.0</v>
      </c>
      <c r="E3365" s="67">
        <v>54.9</v>
      </c>
      <c r="F3365" s="75">
        <v>0.5731018518518519</v>
      </c>
      <c r="G3365" s="67" t="s">
        <v>453</v>
      </c>
      <c r="H3365" s="68">
        <v>1.98</v>
      </c>
      <c r="I3365" s="76"/>
      <c r="J3365" s="67">
        <f t="shared" si="227"/>
        <v>21958.02</v>
      </c>
      <c r="K3365" s="7"/>
      <c r="L3365" s="70"/>
      <c r="M3365" s="79"/>
      <c r="N3365" s="1"/>
      <c r="O3365" s="1"/>
      <c r="P3365" s="1"/>
      <c r="Q3365" s="1"/>
      <c r="R3365" s="1"/>
      <c r="S3365" s="1"/>
      <c r="T3365" s="1"/>
      <c r="U3365" s="1"/>
      <c r="V3365" s="1"/>
      <c r="W3365" s="1"/>
      <c r="X3365" s="1"/>
      <c r="Y3365" s="1"/>
      <c r="Z3365" s="1"/>
      <c r="AA3365" s="1"/>
      <c r="AB3365" s="1"/>
      <c r="AC3365" s="1"/>
      <c r="AD3365" s="1"/>
      <c r="AE3365" s="1"/>
      <c r="AF3365" s="1"/>
      <c r="AG3365" s="1"/>
      <c r="AH3365" s="1"/>
    </row>
    <row r="3366" ht="12.75" hidden="1" customHeight="1" outlineLevel="1">
      <c r="A3366" s="17">
        <v>41612.0</v>
      </c>
      <c r="B3366" s="1" t="s">
        <v>347</v>
      </c>
      <c r="C3366" s="1" t="s">
        <v>1222</v>
      </c>
      <c r="D3366" s="74">
        <v>220.0</v>
      </c>
      <c r="E3366" s="67">
        <v>113.06</v>
      </c>
      <c r="F3366" s="75">
        <v>0.5738657407407407</v>
      </c>
      <c r="G3366" s="67" t="s">
        <v>453</v>
      </c>
      <c r="H3366" s="68">
        <v>1.43</v>
      </c>
      <c r="I3366" s="76"/>
      <c r="J3366" s="67">
        <f t="shared" si="227"/>
        <v>24871.77</v>
      </c>
      <c r="K3366" s="7"/>
      <c r="L3366" s="70"/>
      <c r="M3366" s="79"/>
      <c r="N3366" s="1"/>
      <c r="O3366" s="1"/>
      <c r="P3366" s="1"/>
      <c r="Q3366" s="1"/>
      <c r="R3366" s="1"/>
      <c r="S3366" s="1"/>
      <c r="T3366" s="1"/>
      <c r="U3366" s="1"/>
      <c r="V3366" s="1"/>
      <c r="W3366" s="1"/>
      <c r="X3366" s="1"/>
      <c r="Y3366" s="1"/>
      <c r="Z3366" s="1"/>
      <c r="AA3366" s="1"/>
      <c r="AB3366" s="1"/>
      <c r="AC3366" s="1"/>
      <c r="AD3366" s="1"/>
      <c r="AE3366" s="1"/>
      <c r="AF3366" s="1"/>
      <c r="AG3366" s="1"/>
      <c r="AH3366" s="1"/>
    </row>
    <row r="3367" ht="12.75" hidden="1" customHeight="1" outlineLevel="1">
      <c r="A3367" s="17">
        <v>41612.0</v>
      </c>
      <c r="B3367" s="1" t="s">
        <v>347</v>
      </c>
      <c r="C3367" s="1" t="s">
        <v>1370</v>
      </c>
      <c r="D3367" s="74">
        <v>350.0</v>
      </c>
      <c r="E3367" s="67">
        <v>62.41</v>
      </c>
      <c r="F3367" s="75">
        <v>0.5812499999999999</v>
      </c>
      <c r="G3367" s="67" t="s">
        <v>453</v>
      </c>
      <c r="H3367" s="68">
        <v>1.78</v>
      </c>
      <c r="I3367" s="76"/>
      <c r="J3367" s="67">
        <f t="shared" si="227"/>
        <v>21841.72</v>
      </c>
      <c r="K3367" s="7"/>
      <c r="L3367" s="70"/>
      <c r="M3367" s="79"/>
      <c r="N3367" s="1"/>
      <c r="O3367" s="1"/>
      <c r="P3367" s="1"/>
      <c r="Q3367" s="1"/>
      <c r="R3367" s="1"/>
      <c r="S3367" s="1"/>
      <c r="T3367" s="1"/>
      <c r="U3367" s="1"/>
      <c r="V3367" s="1"/>
      <c r="W3367" s="1"/>
      <c r="X3367" s="1"/>
      <c r="Y3367" s="1"/>
      <c r="Z3367" s="1"/>
      <c r="AA3367" s="1"/>
      <c r="AB3367" s="1"/>
      <c r="AC3367" s="1"/>
      <c r="AD3367" s="1"/>
      <c r="AE3367" s="1"/>
      <c r="AF3367" s="1"/>
      <c r="AG3367" s="1"/>
      <c r="AH3367" s="1"/>
    </row>
    <row r="3368" ht="12.75" hidden="1" customHeight="1" outlineLevel="1">
      <c r="A3368" s="17">
        <v>41612.0</v>
      </c>
      <c r="B3368" s="1" t="s">
        <v>347</v>
      </c>
      <c r="C3368" s="1" t="s">
        <v>364</v>
      </c>
      <c r="D3368" s="74">
        <v>100.0</v>
      </c>
      <c r="E3368" s="67">
        <v>111.31</v>
      </c>
      <c r="F3368" s="75">
        <v>0.605474537037037</v>
      </c>
      <c r="G3368" s="67" t="s">
        <v>453</v>
      </c>
      <c r="H3368" s="68">
        <v>1.19</v>
      </c>
      <c r="I3368" s="76"/>
      <c r="J3368" s="67">
        <f t="shared" si="227"/>
        <v>11129.81</v>
      </c>
      <c r="K3368" s="7"/>
      <c r="L3368" s="70"/>
      <c r="M3368" s="79"/>
      <c r="N3368" s="1"/>
      <c r="O3368" s="1"/>
      <c r="P3368" s="1"/>
      <c r="Q3368" s="1"/>
      <c r="R3368" s="1"/>
      <c r="S3368" s="1"/>
      <c r="T3368" s="1"/>
      <c r="U3368" s="1"/>
      <c r="V3368" s="1"/>
      <c r="W3368" s="1"/>
      <c r="X3368" s="1"/>
      <c r="Y3368" s="1"/>
      <c r="Z3368" s="1"/>
      <c r="AA3368" s="1"/>
      <c r="AB3368" s="1"/>
      <c r="AC3368" s="1"/>
      <c r="AD3368" s="1"/>
      <c r="AE3368" s="1"/>
      <c r="AF3368" s="1"/>
      <c r="AG3368" s="1"/>
      <c r="AH3368" s="1"/>
    </row>
    <row r="3369" ht="12.75" hidden="1" customHeight="1" outlineLevel="1">
      <c r="A3369" s="17">
        <v>41612.0</v>
      </c>
      <c r="B3369" s="1"/>
      <c r="C3369" s="1" t="s">
        <v>339</v>
      </c>
      <c r="D3369" s="74"/>
      <c r="E3369" s="67"/>
      <c r="F3369" s="75"/>
      <c r="G3369" s="67"/>
      <c r="H3369" s="68"/>
      <c r="I3369" s="76"/>
      <c r="J3369" s="67"/>
      <c r="K3369" s="7" t="s">
        <v>1415</v>
      </c>
      <c r="L3369" s="77"/>
      <c r="M3369" s="79"/>
      <c r="N3369" s="1"/>
      <c r="O3369" s="1"/>
      <c r="P3369" s="1"/>
      <c r="Q3369" s="1"/>
      <c r="R3369" s="1"/>
      <c r="S3369" s="1"/>
      <c r="T3369" s="1"/>
      <c r="U3369" s="1"/>
      <c r="V3369" s="1"/>
      <c r="W3369" s="1"/>
      <c r="X3369" s="1"/>
      <c r="Y3369" s="1"/>
      <c r="Z3369" s="1"/>
      <c r="AA3369" s="1"/>
      <c r="AB3369" s="1"/>
      <c r="AC3369" s="1"/>
      <c r="AD3369" s="1"/>
      <c r="AE3369" s="1"/>
      <c r="AF3369" s="1"/>
      <c r="AG3369" s="1"/>
      <c r="AH3369" s="1"/>
    </row>
    <row r="3370" ht="12.75" hidden="1" customHeight="1" outlineLevel="1">
      <c r="A3370" s="17">
        <v>41612.0</v>
      </c>
      <c r="B3370" s="1"/>
      <c r="C3370" s="1" t="s">
        <v>429</v>
      </c>
      <c r="D3370" s="74"/>
      <c r="E3370" s="67"/>
      <c r="F3370" s="75"/>
      <c r="G3370" s="67"/>
      <c r="H3370" s="68"/>
      <c r="I3370" s="76"/>
      <c r="J3370" s="67"/>
      <c r="K3370" s="7" t="s">
        <v>1352</v>
      </c>
      <c r="L3370" s="77"/>
      <c r="M3370" s="79"/>
      <c r="N3370" s="1"/>
      <c r="O3370" s="1"/>
      <c r="P3370" s="1"/>
      <c r="Q3370" s="1"/>
      <c r="R3370" s="1"/>
      <c r="S3370" s="1"/>
      <c r="T3370" s="1"/>
      <c r="U3370" s="1"/>
      <c r="V3370" s="1"/>
      <c r="W3370" s="1"/>
      <c r="X3370" s="1"/>
      <c r="Y3370" s="1"/>
      <c r="Z3370" s="1"/>
      <c r="AA3370" s="1"/>
      <c r="AB3370" s="1"/>
      <c r="AC3370" s="1"/>
      <c r="AD3370" s="1"/>
      <c r="AE3370" s="1"/>
      <c r="AF3370" s="1"/>
      <c r="AG3370" s="1"/>
      <c r="AH3370" s="1"/>
    </row>
    <row r="3371" ht="12.75" hidden="1" customHeight="1" outlineLevel="1">
      <c r="A3371" s="17">
        <v>41612.0</v>
      </c>
      <c r="B3371" s="1"/>
      <c r="C3371" s="1" t="s">
        <v>431</v>
      </c>
      <c r="D3371" s="74"/>
      <c r="E3371" s="67"/>
      <c r="F3371" s="75"/>
      <c r="G3371" s="67"/>
      <c r="H3371" s="68"/>
      <c r="I3371" s="76"/>
      <c r="J3371" s="67"/>
      <c r="K3371" s="7" t="s">
        <v>1126</v>
      </c>
      <c r="L3371" s="77"/>
      <c r="M3371" s="79"/>
      <c r="N3371" s="1"/>
      <c r="O3371" s="1"/>
      <c r="P3371" s="1"/>
      <c r="Q3371" s="1"/>
      <c r="R3371" s="1"/>
      <c r="S3371" s="1"/>
      <c r="T3371" s="1"/>
      <c r="U3371" s="1"/>
      <c r="V3371" s="1"/>
      <c r="W3371" s="1"/>
      <c r="X3371" s="1"/>
      <c r="Y3371" s="1"/>
      <c r="Z3371" s="1"/>
      <c r="AA3371" s="1"/>
      <c r="AB3371" s="1"/>
      <c r="AC3371" s="1"/>
      <c r="AD3371" s="1"/>
      <c r="AE3371" s="1"/>
      <c r="AF3371" s="1"/>
      <c r="AG3371" s="1"/>
      <c r="AH3371" s="1"/>
    </row>
    <row r="3372" ht="12.75" hidden="1" customHeight="1" outlineLevel="1">
      <c r="A3372" s="17">
        <v>41612.0</v>
      </c>
      <c r="B3372" s="1"/>
      <c r="C3372" s="1" t="s">
        <v>433</v>
      </c>
      <c r="D3372" s="74"/>
      <c r="E3372" s="67"/>
      <c r="F3372" s="75"/>
      <c r="G3372" s="67"/>
      <c r="H3372" s="68"/>
      <c r="I3372" s="76"/>
      <c r="J3372" s="67"/>
      <c r="K3372" s="7" t="s">
        <v>1103</v>
      </c>
      <c r="L3372" s="77"/>
      <c r="M3372" s="79"/>
      <c r="N3372" s="1"/>
      <c r="O3372" s="1"/>
      <c r="P3372" s="1"/>
      <c r="Q3372" s="1"/>
      <c r="R3372" s="1"/>
      <c r="S3372" s="1"/>
      <c r="T3372" s="1"/>
      <c r="U3372" s="1"/>
      <c r="V3372" s="1"/>
      <c r="W3372" s="1"/>
      <c r="X3372" s="1"/>
      <c r="Y3372" s="1"/>
      <c r="Z3372" s="1"/>
      <c r="AA3372" s="1"/>
      <c r="AB3372" s="1"/>
      <c r="AC3372" s="1"/>
      <c r="AD3372" s="1"/>
      <c r="AE3372" s="1"/>
      <c r="AF3372" s="1"/>
      <c r="AG3372" s="1"/>
      <c r="AH3372" s="1"/>
    </row>
    <row r="3373" ht="12.75" hidden="1" customHeight="1" outlineLevel="1">
      <c r="A3373" s="17">
        <v>41612.0</v>
      </c>
      <c r="B3373" s="1"/>
      <c r="C3373" s="1" t="s">
        <v>435</v>
      </c>
      <c r="D3373" s="74"/>
      <c r="E3373" s="67"/>
      <c r="F3373" s="75"/>
      <c r="G3373" s="67"/>
      <c r="H3373" s="68"/>
      <c r="I3373" s="76"/>
      <c r="J3373" s="67"/>
      <c r="K3373" s="7" t="s">
        <v>1354</v>
      </c>
      <c r="L3373" s="77"/>
      <c r="M3373" s="79"/>
      <c r="N3373" s="1"/>
      <c r="O3373" s="1"/>
      <c r="P3373" s="1"/>
      <c r="Q3373" s="1"/>
      <c r="R3373" s="1"/>
      <c r="S3373" s="1"/>
      <c r="T3373" s="1"/>
      <c r="U3373" s="1"/>
      <c r="V3373" s="1"/>
      <c r="W3373" s="1"/>
      <c r="X3373" s="1"/>
      <c r="Y3373" s="1"/>
      <c r="Z3373" s="1"/>
      <c r="AA3373" s="1"/>
      <c r="AB3373" s="1"/>
      <c r="AC3373" s="1"/>
      <c r="AD3373" s="1"/>
      <c r="AE3373" s="1"/>
      <c r="AF3373" s="1"/>
      <c r="AG3373" s="1"/>
      <c r="AH3373" s="1"/>
    </row>
    <row r="3374" ht="12.75" hidden="1" customHeight="1" outlineLevel="1">
      <c r="A3374" s="17">
        <v>41613.0</v>
      </c>
      <c r="B3374" s="1" t="s">
        <v>343</v>
      </c>
      <c r="C3374" s="1" t="s">
        <v>458</v>
      </c>
      <c r="D3374" s="74">
        <v>500.0</v>
      </c>
      <c r="E3374" s="67">
        <v>55.39</v>
      </c>
      <c r="F3374" s="75">
        <v>0.6509143518518519</v>
      </c>
      <c r="G3374" s="67" t="s">
        <v>453</v>
      </c>
      <c r="H3374" s="68">
        <v>2.0</v>
      </c>
      <c r="I3374" s="76"/>
      <c r="J3374" s="67">
        <f t="shared" ref="J3374:J3387" si="228">IF(B3374="SLD",D3374*E3374,-D3374*E3374)-H3374</f>
        <v>-27697</v>
      </c>
      <c r="K3374" s="7"/>
      <c r="L3374" s="70"/>
      <c r="M3374" s="79"/>
      <c r="N3374" s="1"/>
      <c r="O3374" s="1"/>
      <c r="P3374" s="1"/>
      <c r="Q3374" s="1"/>
      <c r="R3374" s="1"/>
      <c r="S3374" s="1"/>
      <c r="T3374" s="1"/>
      <c r="U3374" s="1"/>
      <c r="V3374" s="1"/>
      <c r="W3374" s="1"/>
      <c r="X3374" s="1"/>
      <c r="Y3374" s="1"/>
      <c r="Z3374" s="1"/>
      <c r="AA3374" s="1"/>
      <c r="AB3374" s="1"/>
      <c r="AC3374" s="1"/>
      <c r="AD3374" s="1"/>
      <c r="AE3374" s="1"/>
      <c r="AF3374" s="1"/>
      <c r="AG3374" s="1"/>
      <c r="AH3374" s="1"/>
    </row>
    <row r="3375" ht="12.75" hidden="1" customHeight="1" outlineLevel="1">
      <c r="A3375" s="17">
        <v>41613.0</v>
      </c>
      <c r="B3375" s="1" t="s">
        <v>343</v>
      </c>
      <c r="C3375" s="1" t="s">
        <v>1417</v>
      </c>
      <c r="D3375" s="74">
        <v>300.0</v>
      </c>
      <c r="E3375" s="67">
        <v>80.47</v>
      </c>
      <c r="F3375" s="75">
        <v>0.6520949074074074</v>
      </c>
      <c r="G3375" s="67" t="s">
        <v>453</v>
      </c>
      <c r="H3375" s="68">
        <v>1.2</v>
      </c>
      <c r="I3375" s="76"/>
      <c r="J3375" s="67">
        <f t="shared" si="228"/>
        <v>-24142.2</v>
      </c>
      <c r="K3375" s="7"/>
      <c r="L3375" s="70"/>
      <c r="M3375" s="79"/>
      <c r="N3375" s="1"/>
      <c r="O3375" s="1"/>
      <c r="P3375" s="1"/>
      <c r="Q3375" s="1"/>
      <c r="R3375" s="1"/>
      <c r="S3375" s="1"/>
      <c r="T3375" s="1"/>
      <c r="U3375" s="1"/>
      <c r="V3375" s="1"/>
      <c r="W3375" s="1"/>
      <c r="X3375" s="1"/>
      <c r="Y3375" s="1"/>
      <c r="Z3375" s="1"/>
      <c r="AA3375" s="1"/>
      <c r="AB3375" s="1"/>
      <c r="AC3375" s="1"/>
      <c r="AD3375" s="1"/>
      <c r="AE3375" s="1"/>
      <c r="AF3375" s="1"/>
      <c r="AG3375" s="1"/>
      <c r="AH3375" s="1"/>
    </row>
    <row r="3376" ht="12.75" hidden="1" customHeight="1" outlineLevel="1">
      <c r="A3376" s="17">
        <v>41613.0</v>
      </c>
      <c r="B3376" s="1" t="s">
        <v>343</v>
      </c>
      <c r="C3376" s="1" t="s">
        <v>387</v>
      </c>
      <c r="D3376" s="74">
        <v>300.0</v>
      </c>
      <c r="E3376" s="67">
        <v>81.64</v>
      </c>
      <c r="F3376" s="75">
        <v>0.6523148148148148</v>
      </c>
      <c r="G3376" s="67" t="s">
        <v>453</v>
      </c>
      <c r="H3376" s="68">
        <v>1.2</v>
      </c>
      <c r="I3376" s="76"/>
      <c r="J3376" s="67">
        <f t="shared" si="228"/>
        <v>-24493.2</v>
      </c>
      <c r="K3376" s="7"/>
      <c r="L3376" s="70"/>
      <c r="M3376" s="79"/>
      <c r="N3376" s="1"/>
      <c r="O3376" s="1"/>
      <c r="P3376" s="1"/>
      <c r="Q3376" s="1"/>
      <c r="R3376" s="1"/>
      <c r="S3376" s="1"/>
      <c r="T3376" s="1"/>
      <c r="U3376" s="1"/>
      <c r="V3376" s="1"/>
      <c r="W3376" s="1"/>
      <c r="X3376" s="1"/>
      <c r="Y3376" s="1"/>
      <c r="Z3376" s="1"/>
      <c r="AA3376" s="1"/>
      <c r="AB3376" s="1"/>
      <c r="AC3376" s="1"/>
      <c r="AD3376" s="1"/>
      <c r="AE3376" s="1"/>
      <c r="AF3376" s="1"/>
      <c r="AG3376" s="1"/>
      <c r="AH3376" s="1"/>
    </row>
    <row r="3377" ht="12.75" hidden="1" customHeight="1" outlineLevel="1">
      <c r="A3377" s="17">
        <v>41613.0</v>
      </c>
      <c r="B3377" s="1" t="s">
        <v>343</v>
      </c>
      <c r="C3377" s="1" t="s">
        <v>364</v>
      </c>
      <c r="D3377" s="74">
        <v>100.0</v>
      </c>
      <c r="E3377" s="67">
        <v>110.976</v>
      </c>
      <c r="F3377" s="75">
        <v>0.653287037037037</v>
      </c>
      <c r="G3377" s="67" t="s">
        <v>453</v>
      </c>
      <c r="H3377" s="68">
        <v>2.0</v>
      </c>
      <c r="I3377" s="76"/>
      <c r="J3377" s="67">
        <f t="shared" si="228"/>
        <v>-11099.6</v>
      </c>
      <c r="K3377" s="7"/>
      <c r="L3377" s="70"/>
      <c r="M3377" s="79"/>
      <c r="N3377" s="1"/>
      <c r="O3377" s="1"/>
      <c r="P3377" s="1"/>
      <c r="Q3377" s="1"/>
      <c r="R3377" s="1"/>
      <c r="S3377" s="1"/>
      <c r="T3377" s="1"/>
      <c r="U3377" s="1"/>
      <c r="V3377" s="1"/>
      <c r="W3377" s="1"/>
      <c r="X3377" s="1"/>
      <c r="Y3377" s="1"/>
      <c r="Z3377" s="1"/>
      <c r="AA3377" s="1"/>
      <c r="AB3377" s="1"/>
      <c r="AC3377" s="1"/>
      <c r="AD3377" s="1"/>
      <c r="AE3377" s="1"/>
      <c r="AF3377" s="1"/>
      <c r="AG3377" s="1"/>
      <c r="AH3377" s="1"/>
    </row>
    <row r="3378" ht="12.75" hidden="1" customHeight="1" outlineLevel="1">
      <c r="A3378" s="17">
        <v>41613.0</v>
      </c>
      <c r="B3378" s="1" t="s">
        <v>343</v>
      </c>
      <c r="C3378" s="1" t="s">
        <v>1418</v>
      </c>
      <c r="D3378" s="74">
        <v>1000.0</v>
      </c>
      <c r="E3378" s="67">
        <v>24.05</v>
      </c>
      <c r="F3378" s="75">
        <v>0.653599537037037</v>
      </c>
      <c r="G3378" s="67" t="s">
        <v>453</v>
      </c>
      <c r="H3378" s="68">
        <v>4.3</v>
      </c>
      <c r="I3378" s="76"/>
      <c r="J3378" s="67">
        <f t="shared" si="228"/>
        <v>-24054.3</v>
      </c>
      <c r="K3378" s="7"/>
      <c r="L3378" s="70"/>
      <c r="M3378" s="79"/>
      <c r="N3378" s="1"/>
      <c r="O3378" s="1"/>
      <c r="P3378" s="1"/>
      <c r="Q3378" s="1"/>
      <c r="R3378" s="1"/>
      <c r="S3378" s="1"/>
      <c r="T3378" s="1"/>
      <c r="U3378" s="1"/>
      <c r="V3378" s="1"/>
      <c r="W3378" s="1"/>
      <c r="X3378" s="1"/>
      <c r="Y3378" s="1"/>
      <c r="Z3378" s="1"/>
      <c r="AA3378" s="1"/>
      <c r="AB3378" s="1"/>
      <c r="AC3378" s="1"/>
      <c r="AD3378" s="1"/>
      <c r="AE3378" s="1"/>
      <c r="AF3378" s="1"/>
      <c r="AG3378" s="1"/>
      <c r="AH3378" s="1"/>
    </row>
    <row r="3379" ht="12.75" hidden="1" customHeight="1" outlineLevel="1">
      <c r="A3379" s="17">
        <v>41613.0</v>
      </c>
      <c r="B3379" s="1" t="s">
        <v>343</v>
      </c>
      <c r="C3379" s="1" t="s">
        <v>1357</v>
      </c>
      <c r="D3379" s="74">
        <v>220.0</v>
      </c>
      <c r="E3379" s="67">
        <v>107.99</v>
      </c>
      <c r="F3379" s="75">
        <v>0.6543171296296296</v>
      </c>
      <c r="G3379" s="67" t="s">
        <v>453</v>
      </c>
      <c r="H3379" s="68">
        <v>1.1</v>
      </c>
      <c r="I3379" s="76"/>
      <c r="J3379" s="67">
        <f t="shared" si="228"/>
        <v>-23758.9</v>
      </c>
      <c r="K3379" s="7"/>
      <c r="L3379" s="70"/>
      <c r="M3379" s="79"/>
      <c r="N3379" s="1"/>
      <c r="O3379" s="1"/>
      <c r="P3379" s="1"/>
      <c r="Q3379" s="1"/>
      <c r="R3379" s="1"/>
      <c r="S3379" s="1"/>
      <c r="T3379" s="1"/>
      <c r="U3379" s="1"/>
      <c r="V3379" s="1"/>
      <c r="W3379" s="1"/>
      <c r="X3379" s="1"/>
      <c r="Y3379" s="1"/>
      <c r="Z3379" s="1"/>
      <c r="AA3379" s="1"/>
      <c r="AB3379" s="1"/>
      <c r="AC3379" s="1"/>
      <c r="AD3379" s="1"/>
      <c r="AE3379" s="1"/>
      <c r="AF3379" s="1"/>
      <c r="AG3379" s="1"/>
      <c r="AH3379" s="1"/>
    </row>
    <row r="3380" ht="12.75" hidden="1" customHeight="1" outlineLevel="1">
      <c r="A3380" s="17">
        <v>41613.0</v>
      </c>
      <c r="B3380" s="1" t="s">
        <v>343</v>
      </c>
      <c r="C3380" s="1" t="s">
        <v>1060</v>
      </c>
      <c r="D3380" s="74">
        <v>500.0</v>
      </c>
      <c r="E3380" s="67">
        <v>34.01</v>
      </c>
      <c r="F3380" s="75">
        <v>0.6575810185185186</v>
      </c>
      <c r="G3380" s="67" t="s">
        <v>453</v>
      </c>
      <c r="H3380" s="68">
        <v>2.0</v>
      </c>
      <c r="I3380" s="76"/>
      <c r="J3380" s="67">
        <f t="shared" si="228"/>
        <v>-17007</v>
      </c>
      <c r="K3380" s="7"/>
      <c r="L3380" s="70"/>
      <c r="M3380" s="79"/>
      <c r="N3380" s="1"/>
      <c r="O3380" s="1"/>
      <c r="P3380" s="1"/>
      <c r="Q3380" s="1"/>
      <c r="R3380" s="1"/>
      <c r="S3380" s="1"/>
      <c r="T3380" s="1"/>
      <c r="U3380" s="1"/>
      <c r="V3380" s="1"/>
      <c r="W3380" s="1"/>
      <c r="X3380" s="1"/>
      <c r="Y3380" s="1"/>
      <c r="Z3380" s="1"/>
      <c r="AA3380" s="1"/>
      <c r="AB3380" s="1"/>
      <c r="AC3380" s="1"/>
      <c r="AD3380" s="1"/>
      <c r="AE3380" s="1"/>
      <c r="AF3380" s="1"/>
      <c r="AG3380" s="1"/>
      <c r="AH3380" s="1"/>
    </row>
    <row r="3381" ht="12.75" hidden="1" customHeight="1" outlineLevel="1">
      <c r="A3381" s="17">
        <v>41613.0</v>
      </c>
      <c r="B3381" s="1" t="s">
        <v>343</v>
      </c>
      <c r="C3381" s="1" t="s">
        <v>1185</v>
      </c>
      <c r="D3381" s="74">
        <v>50.0</v>
      </c>
      <c r="E3381" s="67">
        <v>221.58</v>
      </c>
      <c r="F3381" s="75">
        <v>0.6578472222222222</v>
      </c>
      <c r="G3381" s="67" t="s">
        <v>453</v>
      </c>
      <c r="H3381" s="68">
        <v>1.0</v>
      </c>
      <c r="I3381" s="76"/>
      <c r="J3381" s="67">
        <f t="shared" si="228"/>
        <v>-11080</v>
      </c>
      <c r="K3381" s="7"/>
      <c r="L3381" s="70"/>
      <c r="M3381" s="79"/>
      <c r="N3381" s="1"/>
      <c r="O3381" s="1"/>
      <c r="P3381" s="1"/>
      <c r="Q3381" s="1"/>
      <c r="R3381" s="1"/>
      <c r="S3381" s="1"/>
      <c r="T3381" s="1"/>
      <c r="U3381" s="1"/>
      <c r="V3381" s="1"/>
      <c r="W3381" s="1"/>
      <c r="X3381" s="1"/>
      <c r="Y3381" s="1"/>
      <c r="Z3381" s="1"/>
      <c r="AA3381" s="1"/>
      <c r="AB3381" s="1"/>
      <c r="AC3381" s="1"/>
      <c r="AD3381" s="1"/>
      <c r="AE3381" s="1"/>
      <c r="AF3381" s="1"/>
      <c r="AG3381" s="1"/>
      <c r="AH3381" s="1"/>
    </row>
    <row r="3382" ht="12.75" hidden="1" customHeight="1" outlineLevel="1">
      <c r="A3382" s="17">
        <v>41613.0</v>
      </c>
      <c r="B3382" s="1" t="s">
        <v>343</v>
      </c>
      <c r="C3382" s="1" t="s">
        <v>1370</v>
      </c>
      <c r="D3382" s="74">
        <v>350.0</v>
      </c>
      <c r="E3382" s="67">
        <v>62.88</v>
      </c>
      <c r="F3382" s="75">
        <v>0.658900462962963</v>
      </c>
      <c r="G3382" s="67" t="s">
        <v>453</v>
      </c>
      <c r="H3382" s="68">
        <v>1.75</v>
      </c>
      <c r="I3382" s="76"/>
      <c r="J3382" s="67">
        <f t="shared" si="228"/>
        <v>-22009.75</v>
      </c>
      <c r="K3382" s="7"/>
      <c r="L3382" s="70"/>
      <c r="M3382" s="79"/>
      <c r="N3382" s="1"/>
      <c r="O3382" s="1"/>
      <c r="P3382" s="1"/>
      <c r="Q3382" s="1"/>
      <c r="R3382" s="1"/>
      <c r="S3382" s="1"/>
      <c r="T3382" s="1"/>
      <c r="U3382" s="1"/>
      <c r="V3382" s="1"/>
      <c r="W3382" s="1"/>
      <c r="X3382" s="1"/>
      <c r="Y3382" s="1"/>
      <c r="Z3382" s="1"/>
      <c r="AA3382" s="1"/>
      <c r="AB3382" s="1"/>
      <c r="AC3382" s="1"/>
      <c r="AD3382" s="1"/>
      <c r="AE3382" s="1"/>
      <c r="AF3382" s="1"/>
      <c r="AG3382" s="1"/>
      <c r="AH3382" s="1"/>
    </row>
    <row r="3383" ht="12.75" hidden="1" customHeight="1" outlineLevel="1">
      <c r="A3383" s="17">
        <v>41613.0</v>
      </c>
      <c r="B3383" s="1" t="s">
        <v>343</v>
      </c>
      <c r="C3383" s="1" t="s">
        <v>1222</v>
      </c>
      <c r="D3383" s="74">
        <v>220.0</v>
      </c>
      <c r="E3383" s="67">
        <v>112.9</v>
      </c>
      <c r="F3383" s="75">
        <v>0.6604513888888889</v>
      </c>
      <c r="G3383" s="67" t="s">
        <v>453</v>
      </c>
      <c r="H3383" s="68">
        <v>1.0</v>
      </c>
      <c r="I3383" s="76"/>
      <c r="J3383" s="67">
        <f t="shared" si="228"/>
        <v>-24839</v>
      </c>
      <c r="K3383" s="7"/>
      <c r="L3383" s="70"/>
      <c r="M3383" s="79"/>
      <c r="N3383" s="1"/>
      <c r="O3383" s="1"/>
      <c r="P3383" s="1"/>
      <c r="Q3383" s="1"/>
      <c r="R3383" s="1"/>
      <c r="S3383" s="1"/>
      <c r="T3383" s="1"/>
      <c r="U3383" s="1"/>
      <c r="V3383" s="1"/>
      <c r="W3383" s="1"/>
      <c r="X3383" s="1"/>
      <c r="Y3383" s="1"/>
      <c r="Z3383" s="1"/>
      <c r="AA3383" s="1"/>
      <c r="AB3383" s="1"/>
      <c r="AC3383" s="1"/>
      <c r="AD3383" s="1"/>
      <c r="AE3383" s="1"/>
      <c r="AF3383" s="1"/>
      <c r="AG3383" s="1"/>
      <c r="AH3383" s="1"/>
    </row>
    <row r="3384" ht="12.75" hidden="1" customHeight="1" outlineLevel="1">
      <c r="A3384" s="17">
        <v>41613.0</v>
      </c>
      <c r="B3384" s="1" t="s">
        <v>343</v>
      </c>
      <c r="C3384" s="1" t="s">
        <v>870</v>
      </c>
      <c r="D3384" s="74">
        <v>250.0</v>
      </c>
      <c r="E3384" s="67">
        <v>83.91</v>
      </c>
      <c r="F3384" s="75">
        <v>0.6646180555555555</v>
      </c>
      <c r="G3384" s="67" t="s">
        <v>453</v>
      </c>
      <c r="H3384" s="68">
        <v>1.05</v>
      </c>
      <c r="I3384" s="76"/>
      <c r="J3384" s="67">
        <f t="shared" si="228"/>
        <v>-20978.55</v>
      </c>
      <c r="K3384" s="7"/>
      <c r="L3384" s="70"/>
      <c r="M3384" s="79"/>
      <c r="N3384" s="1"/>
      <c r="O3384" s="1"/>
      <c r="P3384" s="1"/>
      <c r="Q3384" s="1"/>
      <c r="R3384" s="1"/>
      <c r="S3384" s="1"/>
      <c r="T3384" s="1"/>
      <c r="U3384" s="1"/>
      <c r="V3384" s="1"/>
      <c r="W3384" s="1"/>
      <c r="X3384" s="1"/>
      <c r="Y3384" s="1"/>
      <c r="Z3384" s="1"/>
      <c r="AA3384" s="1"/>
      <c r="AB3384" s="1"/>
      <c r="AC3384" s="1"/>
      <c r="AD3384" s="1"/>
      <c r="AE3384" s="1"/>
      <c r="AF3384" s="1"/>
      <c r="AG3384" s="1"/>
      <c r="AH3384" s="1"/>
    </row>
    <row r="3385" ht="12.75" hidden="1" customHeight="1" outlineLevel="1">
      <c r="A3385" s="17">
        <v>41613.0</v>
      </c>
      <c r="B3385" s="1" t="s">
        <v>343</v>
      </c>
      <c r="C3385" s="1" t="s">
        <v>605</v>
      </c>
      <c r="D3385" s="74">
        <v>300.0</v>
      </c>
      <c r="E3385" s="67">
        <v>69.71</v>
      </c>
      <c r="F3385" s="75">
        <v>0.6649074074074074</v>
      </c>
      <c r="G3385" s="67" t="s">
        <v>453</v>
      </c>
      <c r="H3385" s="68">
        <v>1.4</v>
      </c>
      <c r="I3385" s="76"/>
      <c r="J3385" s="67">
        <f t="shared" si="228"/>
        <v>-20914.4</v>
      </c>
      <c r="K3385" s="7"/>
      <c r="L3385" s="70"/>
      <c r="M3385" s="79"/>
      <c r="N3385" s="1"/>
      <c r="O3385" s="1"/>
      <c r="P3385" s="1"/>
      <c r="Q3385" s="1"/>
      <c r="R3385" s="1"/>
      <c r="S3385" s="1"/>
      <c r="T3385" s="1"/>
      <c r="U3385" s="1"/>
      <c r="V3385" s="1"/>
      <c r="W3385" s="1"/>
      <c r="X3385" s="1"/>
      <c r="Y3385" s="1"/>
      <c r="Z3385" s="1"/>
      <c r="AA3385" s="1"/>
      <c r="AB3385" s="1"/>
      <c r="AC3385" s="1"/>
      <c r="AD3385" s="1"/>
      <c r="AE3385" s="1"/>
      <c r="AF3385" s="1"/>
      <c r="AG3385" s="1"/>
      <c r="AH3385" s="1"/>
    </row>
    <row r="3386" ht="12.75" hidden="1" customHeight="1" outlineLevel="1">
      <c r="A3386" s="17">
        <v>41613.0</v>
      </c>
      <c r="B3386" s="1" t="s">
        <v>343</v>
      </c>
      <c r="C3386" s="1" t="s">
        <v>1006</v>
      </c>
      <c r="D3386" s="74">
        <v>100.0</v>
      </c>
      <c r="E3386" s="67">
        <v>45.37</v>
      </c>
      <c r="F3386" s="75">
        <v>0.6653125</v>
      </c>
      <c r="G3386" s="67" t="s">
        <v>453</v>
      </c>
      <c r="H3386" s="68">
        <v>1.0</v>
      </c>
      <c r="I3386" s="76"/>
      <c r="J3386" s="67">
        <f t="shared" si="228"/>
        <v>-4538</v>
      </c>
      <c r="K3386" s="7"/>
      <c r="L3386" s="70"/>
      <c r="M3386" s="79"/>
      <c r="N3386" s="1"/>
      <c r="O3386" s="1"/>
      <c r="P3386" s="1"/>
      <c r="Q3386" s="1"/>
      <c r="R3386" s="1"/>
      <c r="S3386" s="1"/>
      <c r="T3386" s="1"/>
      <c r="U3386" s="1"/>
      <c r="V3386" s="1"/>
      <c r="W3386" s="1"/>
      <c r="X3386" s="1"/>
      <c r="Y3386" s="1"/>
      <c r="Z3386" s="1"/>
      <c r="AA3386" s="1"/>
      <c r="AB3386" s="1"/>
      <c r="AC3386" s="1"/>
      <c r="AD3386" s="1"/>
      <c r="AE3386" s="1"/>
      <c r="AF3386" s="1"/>
      <c r="AG3386" s="1"/>
      <c r="AH3386" s="1"/>
    </row>
    <row r="3387" ht="12.75" hidden="1" customHeight="1" outlineLevel="1">
      <c r="A3387" s="17">
        <v>41613.0</v>
      </c>
      <c r="B3387" s="1" t="s">
        <v>343</v>
      </c>
      <c r="C3387" s="1" t="s">
        <v>1082</v>
      </c>
      <c r="D3387" s="74">
        <v>30.0</v>
      </c>
      <c r="E3387" s="67">
        <v>459.88</v>
      </c>
      <c r="F3387" s="75">
        <v>0.6660879629629629</v>
      </c>
      <c r="G3387" s="67" t="s">
        <v>453</v>
      </c>
      <c r="H3387" s="68">
        <v>1.0</v>
      </c>
      <c r="I3387" s="76"/>
      <c r="J3387" s="67">
        <f t="shared" si="228"/>
        <v>-13797.4</v>
      </c>
      <c r="K3387" s="7"/>
      <c r="L3387" s="70"/>
      <c r="M3387" s="79"/>
      <c r="N3387" s="1"/>
      <c r="O3387" s="1"/>
      <c r="P3387" s="1"/>
      <c r="Q3387" s="1"/>
      <c r="R3387" s="1"/>
      <c r="S3387" s="1"/>
      <c r="T3387" s="1"/>
      <c r="U3387" s="1"/>
      <c r="V3387" s="1"/>
      <c r="W3387" s="1"/>
      <c r="X3387" s="1"/>
      <c r="Y3387" s="1"/>
      <c r="Z3387" s="1"/>
      <c r="AA3387" s="1"/>
      <c r="AB3387" s="1"/>
      <c r="AC3387" s="1"/>
      <c r="AD3387" s="1"/>
      <c r="AE3387" s="1"/>
      <c r="AF3387" s="1"/>
      <c r="AG3387" s="1"/>
      <c r="AH3387" s="1"/>
    </row>
    <row r="3388" ht="12.75" hidden="1" customHeight="1" outlineLevel="1">
      <c r="A3388" s="17">
        <v>41613.0</v>
      </c>
      <c r="B3388" s="1"/>
      <c r="C3388" s="1" t="s">
        <v>339</v>
      </c>
      <c r="D3388" s="74"/>
      <c r="E3388" s="67"/>
      <c r="F3388" s="75"/>
      <c r="G3388" s="67"/>
      <c r="H3388" s="68"/>
      <c r="I3388" s="76"/>
      <c r="J3388" s="67"/>
      <c r="K3388" s="7" t="s">
        <v>1423</v>
      </c>
      <c r="L3388" s="77"/>
      <c r="M3388" s="79"/>
      <c r="N3388" s="1"/>
      <c r="O3388" s="1"/>
      <c r="P3388" s="1"/>
      <c r="Q3388" s="1"/>
      <c r="R3388" s="1"/>
      <c r="S3388" s="1"/>
      <c r="T3388" s="1"/>
      <c r="U3388" s="1"/>
      <c r="V3388" s="1"/>
      <c r="W3388" s="1"/>
      <c r="X3388" s="1"/>
      <c r="Y3388" s="1"/>
      <c r="Z3388" s="1"/>
      <c r="AA3388" s="1"/>
      <c r="AB3388" s="1"/>
      <c r="AC3388" s="1"/>
      <c r="AD3388" s="1"/>
      <c r="AE3388" s="1"/>
      <c r="AF3388" s="1"/>
      <c r="AG3388" s="1"/>
      <c r="AH3388" s="1"/>
    </row>
    <row r="3389" ht="12.75" hidden="1" customHeight="1" outlineLevel="1">
      <c r="A3389" s="17">
        <v>41613.0</v>
      </c>
      <c r="B3389" s="1"/>
      <c r="C3389" s="1" t="s">
        <v>429</v>
      </c>
      <c r="D3389" s="74"/>
      <c r="E3389" s="67"/>
      <c r="F3389" s="75"/>
      <c r="G3389" s="67"/>
      <c r="H3389" s="68"/>
      <c r="I3389" s="76"/>
      <c r="J3389" s="67"/>
      <c r="K3389" s="7" t="s">
        <v>1352</v>
      </c>
      <c r="L3389" s="77"/>
      <c r="M3389" s="79"/>
      <c r="N3389" s="1"/>
      <c r="O3389" s="1"/>
      <c r="P3389" s="1"/>
      <c r="Q3389" s="1"/>
      <c r="R3389" s="1"/>
      <c r="S3389" s="1"/>
      <c r="T3389" s="1"/>
      <c r="U3389" s="1"/>
      <c r="V3389" s="1"/>
      <c r="W3389" s="1"/>
      <c r="X3389" s="1"/>
      <c r="Y3389" s="1"/>
      <c r="Z3389" s="1"/>
      <c r="AA3389" s="1"/>
      <c r="AB3389" s="1"/>
      <c r="AC3389" s="1"/>
      <c r="AD3389" s="1"/>
      <c r="AE3389" s="1"/>
      <c r="AF3389" s="1"/>
      <c r="AG3389" s="1"/>
      <c r="AH3389" s="1"/>
    </row>
    <row r="3390" ht="12.75" hidden="1" customHeight="1" outlineLevel="1">
      <c r="A3390" s="17">
        <v>41613.0</v>
      </c>
      <c r="B3390" s="1"/>
      <c r="C3390" s="1" t="s">
        <v>431</v>
      </c>
      <c r="D3390" s="74"/>
      <c r="E3390" s="67"/>
      <c r="F3390" s="75"/>
      <c r="G3390" s="67"/>
      <c r="H3390" s="68"/>
      <c r="I3390" s="76"/>
      <c r="J3390" s="67"/>
      <c r="K3390" s="7" t="s">
        <v>1126</v>
      </c>
      <c r="L3390" s="77"/>
      <c r="M3390" s="79"/>
      <c r="N3390" s="1"/>
      <c r="O3390" s="1"/>
      <c r="P3390" s="1"/>
      <c r="Q3390" s="1"/>
      <c r="R3390" s="1"/>
      <c r="S3390" s="1"/>
      <c r="T3390" s="1"/>
      <c r="U3390" s="1"/>
      <c r="V3390" s="1"/>
      <c r="W3390" s="1"/>
      <c r="X3390" s="1"/>
      <c r="Y3390" s="1"/>
      <c r="Z3390" s="1"/>
      <c r="AA3390" s="1"/>
      <c r="AB3390" s="1"/>
      <c r="AC3390" s="1"/>
      <c r="AD3390" s="1"/>
      <c r="AE3390" s="1"/>
      <c r="AF3390" s="1"/>
      <c r="AG3390" s="1"/>
      <c r="AH3390" s="1"/>
    </row>
    <row r="3391" ht="12.75" hidden="1" customHeight="1" outlineLevel="1">
      <c r="A3391" s="17">
        <v>41613.0</v>
      </c>
      <c r="B3391" s="1"/>
      <c r="C3391" s="1" t="s">
        <v>433</v>
      </c>
      <c r="D3391" s="74"/>
      <c r="E3391" s="67"/>
      <c r="F3391" s="75"/>
      <c r="G3391" s="67"/>
      <c r="H3391" s="68"/>
      <c r="I3391" s="76"/>
      <c r="J3391" s="67"/>
      <c r="K3391" s="7" t="s">
        <v>1103</v>
      </c>
      <c r="L3391" s="77"/>
      <c r="M3391" s="79"/>
      <c r="N3391" s="1"/>
      <c r="O3391" s="1"/>
      <c r="P3391" s="1"/>
      <c r="Q3391" s="1"/>
      <c r="R3391" s="1"/>
      <c r="S3391" s="1"/>
      <c r="T3391" s="1"/>
      <c r="U3391" s="1"/>
      <c r="V3391" s="1"/>
      <c r="W3391" s="1"/>
      <c r="X3391" s="1"/>
      <c r="Y3391" s="1"/>
      <c r="Z3391" s="1"/>
      <c r="AA3391" s="1"/>
      <c r="AB3391" s="1"/>
      <c r="AC3391" s="1"/>
      <c r="AD3391" s="1"/>
      <c r="AE3391" s="1"/>
      <c r="AF3391" s="1"/>
      <c r="AG3391" s="1"/>
      <c r="AH3391" s="1"/>
    </row>
    <row r="3392" ht="12.75" hidden="1" customHeight="1" outlineLevel="1">
      <c r="A3392" s="17">
        <v>41613.0</v>
      </c>
      <c r="B3392" s="1"/>
      <c r="C3392" s="1" t="s">
        <v>435</v>
      </c>
      <c r="D3392" s="74"/>
      <c r="E3392" s="67"/>
      <c r="F3392" s="75"/>
      <c r="G3392" s="67"/>
      <c r="H3392" s="68"/>
      <c r="I3392" s="76"/>
      <c r="J3392" s="67"/>
      <c r="K3392" s="7" t="s">
        <v>1354</v>
      </c>
      <c r="L3392" s="77"/>
      <c r="M3392" s="79"/>
      <c r="N3392" s="1"/>
      <c r="O3392" s="1"/>
      <c r="P3392" s="1"/>
      <c r="Q3392" s="1"/>
      <c r="R3392" s="1"/>
      <c r="S3392" s="1"/>
      <c r="T3392" s="1"/>
      <c r="U3392" s="1"/>
      <c r="V3392" s="1"/>
      <c r="W3392" s="1"/>
      <c r="X3392" s="1"/>
      <c r="Y3392" s="1"/>
      <c r="Z3392" s="1"/>
      <c r="AA3392" s="1"/>
      <c r="AB3392" s="1"/>
      <c r="AC3392" s="1"/>
      <c r="AD3392" s="1"/>
      <c r="AE3392" s="1"/>
      <c r="AF3392" s="1"/>
      <c r="AG3392" s="1"/>
      <c r="AH3392" s="1"/>
    </row>
    <row r="3393" ht="12.75" hidden="1" customHeight="1" outlineLevel="1">
      <c r="A3393" s="17">
        <v>41615.0</v>
      </c>
      <c r="B3393" s="1"/>
      <c r="C3393" s="1" t="s">
        <v>339</v>
      </c>
      <c r="D3393" s="74"/>
      <c r="E3393" s="67"/>
      <c r="F3393" s="75"/>
      <c r="G3393" s="67"/>
      <c r="H3393" s="68"/>
      <c r="I3393" s="76"/>
      <c r="J3393" s="67"/>
      <c r="K3393" s="7" t="s">
        <v>1427</v>
      </c>
      <c r="L3393" s="77"/>
      <c r="M3393" s="79"/>
      <c r="N3393" s="1"/>
      <c r="O3393" s="1"/>
      <c r="P3393" s="1"/>
      <c r="Q3393" s="1"/>
      <c r="R3393" s="1"/>
      <c r="S3393" s="1"/>
      <c r="T3393" s="1"/>
      <c r="U3393" s="1"/>
      <c r="V3393" s="1"/>
      <c r="W3393" s="1"/>
      <c r="X3393" s="1"/>
      <c r="Y3393" s="1"/>
      <c r="Z3393" s="1"/>
      <c r="AA3393" s="1"/>
      <c r="AB3393" s="1"/>
      <c r="AC3393" s="1"/>
      <c r="AD3393" s="1"/>
      <c r="AE3393" s="1"/>
      <c r="AF3393" s="1"/>
      <c r="AG3393" s="1"/>
      <c r="AH3393" s="1"/>
    </row>
    <row r="3394" ht="12.75" hidden="1" customHeight="1" outlineLevel="1">
      <c r="A3394" s="17">
        <v>41615.0</v>
      </c>
      <c r="B3394" s="1"/>
      <c r="C3394" s="1" t="s">
        <v>429</v>
      </c>
      <c r="D3394" s="74"/>
      <c r="E3394" s="67"/>
      <c r="F3394" s="75"/>
      <c r="G3394" s="67"/>
      <c r="H3394" s="68"/>
      <c r="I3394" s="76"/>
      <c r="J3394" s="67"/>
      <c r="K3394" s="7" t="s">
        <v>1352</v>
      </c>
      <c r="L3394" s="77"/>
      <c r="M3394" s="79"/>
      <c r="N3394" s="1"/>
      <c r="O3394" s="1"/>
      <c r="P3394" s="1"/>
      <c r="Q3394" s="1"/>
      <c r="R3394" s="1"/>
      <c r="S3394" s="1"/>
      <c r="T3394" s="1"/>
      <c r="U3394" s="1"/>
      <c r="V3394" s="1"/>
      <c r="W3394" s="1"/>
      <c r="X3394" s="1"/>
      <c r="Y3394" s="1"/>
      <c r="Z3394" s="1"/>
      <c r="AA3394" s="1"/>
      <c r="AB3394" s="1"/>
      <c r="AC3394" s="1"/>
      <c r="AD3394" s="1"/>
      <c r="AE3394" s="1"/>
      <c r="AF3394" s="1"/>
      <c r="AG3394" s="1"/>
      <c r="AH3394" s="1"/>
    </row>
    <row r="3395" ht="12.75" hidden="1" customHeight="1" outlineLevel="1">
      <c r="A3395" s="17">
        <v>41615.0</v>
      </c>
      <c r="B3395" s="1"/>
      <c r="C3395" s="1" t="s">
        <v>431</v>
      </c>
      <c r="D3395" s="74"/>
      <c r="E3395" s="67"/>
      <c r="F3395" s="75"/>
      <c r="G3395" s="67"/>
      <c r="H3395" s="68"/>
      <c r="I3395" s="76"/>
      <c r="J3395" s="67"/>
      <c r="K3395" s="7" t="s">
        <v>1126</v>
      </c>
      <c r="L3395" s="77"/>
      <c r="M3395" s="79"/>
      <c r="N3395" s="1"/>
      <c r="O3395" s="1"/>
      <c r="P3395" s="1"/>
      <c r="Q3395" s="1"/>
      <c r="R3395" s="1"/>
      <c r="S3395" s="1"/>
      <c r="T3395" s="1"/>
      <c r="U3395" s="1"/>
      <c r="V3395" s="1"/>
      <c r="W3395" s="1"/>
      <c r="X3395" s="1"/>
      <c r="Y3395" s="1"/>
      <c r="Z3395" s="1"/>
      <c r="AA3395" s="1"/>
      <c r="AB3395" s="1"/>
      <c r="AC3395" s="1"/>
      <c r="AD3395" s="1"/>
      <c r="AE3395" s="1"/>
      <c r="AF3395" s="1"/>
      <c r="AG3395" s="1"/>
      <c r="AH3395" s="1"/>
    </row>
    <row r="3396" ht="12.75" hidden="1" customHeight="1" outlineLevel="1">
      <c r="A3396" s="17">
        <v>41615.0</v>
      </c>
      <c r="B3396" s="1"/>
      <c r="C3396" s="1" t="s">
        <v>433</v>
      </c>
      <c r="D3396" s="74"/>
      <c r="E3396" s="67"/>
      <c r="F3396" s="75"/>
      <c r="G3396" s="67"/>
      <c r="H3396" s="68"/>
      <c r="I3396" s="76"/>
      <c r="J3396" s="67"/>
      <c r="K3396" s="7" t="s">
        <v>1103</v>
      </c>
      <c r="L3396" s="77"/>
      <c r="M3396" s="79"/>
      <c r="N3396" s="1"/>
      <c r="O3396" s="1"/>
      <c r="P3396" s="1"/>
      <c r="Q3396" s="1"/>
      <c r="R3396" s="1"/>
      <c r="S3396" s="1"/>
      <c r="T3396" s="1"/>
      <c r="U3396" s="1"/>
      <c r="V3396" s="1"/>
      <c r="W3396" s="1"/>
      <c r="X3396" s="1"/>
      <c r="Y3396" s="1"/>
      <c r="Z3396" s="1"/>
      <c r="AA3396" s="1"/>
      <c r="AB3396" s="1"/>
      <c r="AC3396" s="1"/>
      <c r="AD3396" s="1"/>
      <c r="AE3396" s="1"/>
      <c r="AF3396" s="1"/>
      <c r="AG3396" s="1"/>
      <c r="AH3396" s="1"/>
    </row>
    <row r="3397" ht="12.75" hidden="1" customHeight="1" outlineLevel="1">
      <c r="A3397" s="17">
        <v>41615.0</v>
      </c>
      <c r="B3397" s="1"/>
      <c r="C3397" s="1" t="s">
        <v>435</v>
      </c>
      <c r="D3397" s="74"/>
      <c r="E3397" s="67"/>
      <c r="F3397" s="75"/>
      <c r="G3397" s="67"/>
      <c r="H3397" s="68"/>
      <c r="I3397" s="76"/>
      <c r="J3397" s="67"/>
      <c r="K3397" s="7" t="s">
        <v>1354</v>
      </c>
      <c r="L3397" s="77"/>
      <c r="M3397" s="79"/>
      <c r="N3397" s="1"/>
      <c r="O3397" s="1"/>
      <c r="P3397" s="1"/>
      <c r="Q3397" s="1"/>
      <c r="R3397" s="1"/>
      <c r="S3397" s="1"/>
      <c r="T3397" s="1"/>
      <c r="U3397" s="1"/>
      <c r="V3397" s="1"/>
      <c r="W3397" s="1"/>
      <c r="X3397" s="1"/>
      <c r="Y3397" s="1"/>
      <c r="Z3397" s="1"/>
      <c r="AA3397" s="1"/>
      <c r="AB3397" s="1"/>
      <c r="AC3397" s="1"/>
      <c r="AD3397" s="1"/>
      <c r="AE3397" s="1"/>
      <c r="AF3397" s="1"/>
      <c r="AG3397" s="1"/>
      <c r="AH3397" s="1"/>
    </row>
    <row r="3398" ht="12.75" hidden="1" customHeight="1" outlineLevel="1">
      <c r="A3398" s="17">
        <v>41617.0</v>
      </c>
      <c r="B3398" s="1"/>
      <c r="C3398" s="1" t="s">
        <v>339</v>
      </c>
      <c r="D3398" s="74"/>
      <c r="E3398" s="67"/>
      <c r="F3398" s="75"/>
      <c r="G3398" s="67"/>
      <c r="H3398" s="68"/>
      <c r="I3398" s="76"/>
      <c r="J3398" s="67"/>
      <c r="K3398" s="7" t="s">
        <v>1430</v>
      </c>
      <c r="L3398" s="77"/>
      <c r="M3398" s="79"/>
      <c r="N3398" s="1"/>
      <c r="O3398" s="1"/>
      <c r="P3398" s="1"/>
      <c r="Q3398" s="1"/>
      <c r="R3398" s="1"/>
      <c r="S3398" s="1"/>
      <c r="T3398" s="1"/>
      <c r="U3398" s="1"/>
      <c r="V3398" s="1"/>
      <c r="W3398" s="1"/>
      <c r="X3398" s="1"/>
      <c r="Y3398" s="1"/>
      <c r="Z3398" s="1"/>
      <c r="AA3398" s="1"/>
      <c r="AB3398" s="1"/>
      <c r="AC3398" s="1"/>
      <c r="AD3398" s="1"/>
      <c r="AE3398" s="1"/>
      <c r="AF3398" s="1"/>
      <c r="AG3398" s="1"/>
      <c r="AH3398" s="1"/>
    </row>
    <row r="3399" ht="12.75" hidden="1" customHeight="1" outlineLevel="1">
      <c r="A3399" s="17">
        <v>41617.0</v>
      </c>
      <c r="B3399" s="1"/>
      <c r="C3399" s="1" t="s">
        <v>429</v>
      </c>
      <c r="D3399" s="74"/>
      <c r="E3399" s="67"/>
      <c r="F3399" s="75"/>
      <c r="G3399" s="67"/>
      <c r="H3399" s="68"/>
      <c r="I3399" s="76"/>
      <c r="J3399" s="67"/>
      <c r="K3399" s="7" t="s">
        <v>1352</v>
      </c>
      <c r="L3399" s="77"/>
      <c r="M3399" s="79"/>
      <c r="N3399" s="1"/>
      <c r="O3399" s="1"/>
      <c r="P3399" s="1"/>
      <c r="Q3399" s="1"/>
      <c r="R3399" s="1"/>
      <c r="S3399" s="1"/>
      <c r="T3399" s="1"/>
      <c r="U3399" s="1"/>
      <c r="V3399" s="1"/>
      <c r="W3399" s="1"/>
      <c r="X3399" s="1"/>
      <c r="Y3399" s="1"/>
      <c r="Z3399" s="1"/>
      <c r="AA3399" s="1"/>
      <c r="AB3399" s="1"/>
      <c r="AC3399" s="1"/>
      <c r="AD3399" s="1"/>
      <c r="AE3399" s="1"/>
      <c r="AF3399" s="1"/>
      <c r="AG3399" s="1"/>
      <c r="AH3399" s="1"/>
    </row>
    <row r="3400" ht="12.75" hidden="1" customHeight="1" outlineLevel="1">
      <c r="A3400" s="17">
        <v>41617.0</v>
      </c>
      <c r="B3400" s="1"/>
      <c r="C3400" s="1" t="s">
        <v>431</v>
      </c>
      <c r="D3400" s="74"/>
      <c r="E3400" s="67"/>
      <c r="F3400" s="75"/>
      <c r="G3400" s="67"/>
      <c r="H3400" s="68"/>
      <c r="I3400" s="76"/>
      <c r="J3400" s="67"/>
      <c r="K3400" s="7" t="s">
        <v>1126</v>
      </c>
      <c r="L3400" s="77"/>
      <c r="M3400" s="79"/>
      <c r="N3400" s="1"/>
      <c r="O3400" s="1"/>
      <c r="P3400" s="1"/>
      <c r="Q3400" s="1"/>
      <c r="R3400" s="1"/>
      <c r="S3400" s="1"/>
      <c r="T3400" s="1"/>
      <c r="U3400" s="1"/>
      <c r="V3400" s="1"/>
      <c r="W3400" s="1"/>
      <c r="X3400" s="1"/>
      <c r="Y3400" s="1"/>
      <c r="Z3400" s="1"/>
      <c r="AA3400" s="1"/>
      <c r="AB3400" s="1"/>
      <c r="AC3400" s="1"/>
      <c r="AD3400" s="1"/>
      <c r="AE3400" s="1"/>
      <c r="AF3400" s="1"/>
      <c r="AG3400" s="1"/>
      <c r="AH3400" s="1"/>
    </row>
    <row r="3401" ht="12.75" hidden="1" customHeight="1" outlineLevel="1">
      <c r="A3401" s="17">
        <v>41617.0</v>
      </c>
      <c r="B3401" s="1"/>
      <c r="C3401" s="1" t="s">
        <v>433</v>
      </c>
      <c r="D3401" s="74"/>
      <c r="E3401" s="67"/>
      <c r="F3401" s="75"/>
      <c r="G3401" s="67"/>
      <c r="H3401" s="68"/>
      <c r="I3401" s="76"/>
      <c r="J3401" s="67"/>
      <c r="K3401" s="7" t="s">
        <v>1103</v>
      </c>
      <c r="L3401" s="77"/>
      <c r="M3401" s="79"/>
      <c r="N3401" s="1"/>
      <c r="O3401" s="1"/>
      <c r="P3401" s="1"/>
      <c r="Q3401" s="1"/>
      <c r="R3401" s="1"/>
      <c r="S3401" s="1"/>
      <c r="T3401" s="1"/>
      <c r="U3401" s="1"/>
      <c r="V3401" s="1"/>
      <c r="W3401" s="1"/>
      <c r="X3401" s="1"/>
      <c r="Y3401" s="1"/>
      <c r="Z3401" s="1"/>
      <c r="AA3401" s="1"/>
      <c r="AB3401" s="1"/>
      <c r="AC3401" s="1"/>
      <c r="AD3401" s="1"/>
      <c r="AE3401" s="1"/>
      <c r="AF3401" s="1"/>
      <c r="AG3401" s="1"/>
      <c r="AH3401" s="1"/>
    </row>
    <row r="3402" ht="12.75" hidden="1" customHeight="1" outlineLevel="1">
      <c r="A3402" s="17">
        <v>41617.0</v>
      </c>
      <c r="B3402" s="1"/>
      <c r="C3402" s="1" t="s">
        <v>435</v>
      </c>
      <c r="D3402" s="74"/>
      <c r="E3402" s="67"/>
      <c r="F3402" s="75"/>
      <c r="G3402" s="67"/>
      <c r="H3402" s="68"/>
      <c r="I3402" s="76"/>
      <c r="J3402" s="67"/>
      <c r="K3402" s="7" t="s">
        <v>1354</v>
      </c>
      <c r="L3402" s="77"/>
      <c r="M3402" s="79"/>
      <c r="N3402" s="1"/>
      <c r="O3402" s="1"/>
      <c r="P3402" s="1"/>
      <c r="Q3402" s="1"/>
      <c r="R3402" s="1"/>
      <c r="S3402" s="1"/>
      <c r="T3402" s="1"/>
      <c r="U3402" s="1"/>
      <c r="V3402" s="1"/>
      <c r="W3402" s="1"/>
      <c r="X3402" s="1"/>
      <c r="Y3402" s="1"/>
      <c r="Z3402" s="1"/>
      <c r="AA3402" s="1"/>
      <c r="AB3402" s="1"/>
      <c r="AC3402" s="1"/>
      <c r="AD3402" s="1"/>
      <c r="AE3402" s="1"/>
      <c r="AF3402" s="1"/>
      <c r="AG3402" s="1"/>
      <c r="AH3402" s="1"/>
    </row>
    <row r="3403" ht="12.75" hidden="1" customHeight="1" outlineLevel="1">
      <c r="A3403" s="17">
        <v>41617.0</v>
      </c>
      <c r="B3403" s="1" t="s">
        <v>343</v>
      </c>
      <c r="C3403" s="1" t="s">
        <v>458</v>
      </c>
      <c r="D3403" s="74">
        <v>100.0</v>
      </c>
      <c r="E3403" s="67">
        <v>55.41</v>
      </c>
      <c r="F3403" s="75">
        <v>0.6236226851851852</v>
      </c>
      <c r="G3403" s="67" t="s">
        <v>453</v>
      </c>
      <c r="H3403" s="68">
        <v>1.0</v>
      </c>
      <c r="I3403" s="76"/>
      <c r="J3403" s="67">
        <f t="shared" ref="J3403:J3406" si="229">IF(B3403="SLD",D3403*E3403,-D3403*E3403)-H3403</f>
        <v>-5542</v>
      </c>
      <c r="K3403" s="7"/>
      <c r="L3403" s="70"/>
      <c r="M3403" s="79"/>
      <c r="N3403" s="1"/>
      <c r="O3403" s="1"/>
      <c r="P3403" s="1"/>
      <c r="Q3403" s="1"/>
      <c r="R3403" s="1"/>
      <c r="S3403" s="1"/>
      <c r="T3403" s="1"/>
      <c r="U3403" s="1"/>
      <c r="V3403" s="1"/>
      <c r="W3403" s="1"/>
      <c r="X3403" s="1"/>
      <c r="Y3403" s="1"/>
      <c r="Z3403" s="1"/>
      <c r="AA3403" s="1"/>
      <c r="AB3403" s="1"/>
      <c r="AC3403" s="1"/>
      <c r="AD3403" s="1"/>
      <c r="AE3403" s="1"/>
      <c r="AF3403" s="1"/>
      <c r="AG3403" s="1"/>
      <c r="AH3403" s="1"/>
    </row>
    <row r="3404" ht="12.75" hidden="1" customHeight="1" outlineLevel="1">
      <c r="A3404" s="17">
        <v>41617.0</v>
      </c>
      <c r="B3404" s="1" t="s">
        <v>347</v>
      </c>
      <c r="C3404" s="1" t="s">
        <v>1418</v>
      </c>
      <c r="D3404" s="74">
        <v>1000.0</v>
      </c>
      <c r="E3404" s="67">
        <v>24.05</v>
      </c>
      <c r="F3404" s="75">
        <v>0.6431944444444445</v>
      </c>
      <c r="G3404" s="67" t="s">
        <v>453</v>
      </c>
      <c r="H3404" s="68">
        <v>4.52</v>
      </c>
      <c r="I3404" s="76"/>
      <c r="J3404" s="67">
        <f t="shared" si="229"/>
        <v>24045.48</v>
      </c>
      <c r="K3404" s="7"/>
      <c r="L3404" s="70"/>
      <c r="M3404" s="79"/>
      <c r="N3404" s="1"/>
      <c r="O3404" s="1"/>
      <c r="P3404" s="1"/>
      <c r="Q3404" s="1"/>
      <c r="R3404" s="1"/>
      <c r="S3404" s="1"/>
      <c r="T3404" s="1"/>
      <c r="U3404" s="1"/>
      <c r="V3404" s="1"/>
      <c r="W3404" s="1"/>
      <c r="X3404" s="1"/>
      <c r="Y3404" s="1"/>
      <c r="Z3404" s="1"/>
      <c r="AA3404" s="1"/>
      <c r="AB3404" s="1"/>
      <c r="AC3404" s="1"/>
      <c r="AD3404" s="1"/>
      <c r="AE3404" s="1"/>
      <c r="AF3404" s="1"/>
      <c r="AG3404" s="1"/>
      <c r="AH3404" s="1"/>
    </row>
    <row r="3405" ht="12.75" hidden="1" customHeight="1" outlineLevel="1">
      <c r="A3405" s="17">
        <v>41617.0</v>
      </c>
      <c r="B3405" s="1" t="s">
        <v>347</v>
      </c>
      <c r="C3405" s="1" t="s">
        <v>387</v>
      </c>
      <c r="D3405" s="74">
        <v>300.0</v>
      </c>
      <c r="E3405" s="67">
        <v>80.21</v>
      </c>
      <c r="F3405" s="75">
        <v>0.6433680555555555</v>
      </c>
      <c r="G3405" s="67" t="s">
        <v>453</v>
      </c>
      <c r="H3405" s="68">
        <v>1.92</v>
      </c>
      <c r="I3405" s="76"/>
      <c r="J3405" s="67">
        <f t="shared" si="229"/>
        <v>24061.08</v>
      </c>
      <c r="K3405" s="7"/>
      <c r="L3405" s="70"/>
      <c r="M3405" s="79"/>
      <c r="N3405" s="1"/>
      <c r="O3405" s="1"/>
      <c r="P3405" s="1"/>
      <c r="Q3405" s="1"/>
      <c r="R3405" s="1"/>
      <c r="S3405" s="1"/>
      <c r="T3405" s="1"/>
      <c r="U3405" s="1"/>
      <c r="V3405" s="1"/>
      <c r="W3405" s="1"/>
      <c r="X3405" s="1"/>
      <c r="Y3405" s="1"/>
      <c r="Z3405" s="1"/>
      <c r="AA3405" s="1"/>
      <c r="AB3405" s="1"/>
      <c r="AC3405" s="1"/>
      <c r="AD3405" s="1"/>
      <c r="AE3405" s="1"/>
      <c r="AF3405" s="1"/>
      <c r="AG3405" s="1"/>
      <c r="AH3405" s="1"/>
    </row>
    <row r="3406" ht="12.75" hidden="1" customHeight="1" outlineLevel="1">
      <c r="A3406" s="17">
        <v>41617.0</v>
      </c>
      <c r="B3406" s="1" t="s">
        <v>347</v>
      </c>
      <c r="C3406" s="1" t="s">
        <v>1417</v>
      </c>
      <c r="D3406" s="74">
        <v>300.0</v>
      </c>
      <c r="E3406" s="67">
        <v>79.28</v>
      </c>
      <c r="F3406" s="75">
        <v>0.6454513888888889</v>
      </c>
      <c r="G3406" s="67" t="s">
        <v>453</v>
      </c>
      <c r="H3406" s="68">
        <v>1.61</v>
      </c>
      <c r="I3406" s="76"/>
      <c r="J3406" s="67">
        <f t="shared" si="229"/>
        <v>23782.39</v>
      </c>
      <c r="K3406" s="7"/>
      <c r="L3406" s="70"/>
      <c r="M3406" s="79"/>
      <c r="N3406" s="1"/>
      <c r="O3406" s="1"/>
      <c r="P3406" s="1"/>
      <c r="Q3406" s="1"/>
      <c r="R3406" s="1"/>
      <c r="S3406" s="1"/>
      <c r="T3406" s="1"/>
      <c r="U3406" s="1"/>
      <c r="V3406" s="1"/>
      <c r="W3406" s="1"/>
      <c r="X3406" s="1"/>
      <c r="Y3406" s="1"/>
      <c r="Z3406" s="1"/>
      <c r="AA3406" s="1"/>
      <c r="AB3406" s="1"/>
      <c r="AC3406" s="1"/>
      <c r="AD3406" s="1"/>
      <c r="AE3406" s="1"/>
      <c r="AF3406" s="1"/>
      <c r="AG3406" s="1"/>
      <c r="AH3406" s="1"/>
    </row>
    <row r="3407" ht="12.75" hidden="1" customHeight="1" outlineLevel="1">
      <c r="A3407" s="17">
        <v>41617.0</v>
      </c>
      <c r="B3407" s="1"/>
      <c r="C3407" s="1" t="s">
        <v>339</v>
      </c>
      <c r="D3407" s="74"/>
      <c r="E3407" s="67"/>
      <c r="F3407" s="75"/>
      <c r="G3407" s="67"/>
      <c r="H3407" s="68"/>
      <c r="I3407" s="76"/>
      <c r="J3407" s="67"/>
      <c r="K3407" s="7" t="s">
        <v>1436</v>
      </c>
      <c r="L3407" s="77"/>
      <c r="M3407" s="79"/>
      <c r="N3407" s="1"/>
      <c r="O3407" s="1"/>
      <c r="P3407" s="1"/>
      <c r="Q3407" s="1"/>
      <c r="R3407" s="1"/>
      <c r="S3407" s="1"/>
      <c r="T3407" s="1"/>
      <c r="U3407" s="1"/>
      <c r="V3407" s="1"/>
      <c r="W3407" s="1"/>
      <c r="X3407" s="1"/>
      <c r="Y3407" s="1"/>
      <c r="Z3407" s="1"/>
      <c r="AA3407" s="1"/>
      <c r="AB3407" s="1"/>
      <c r="AC3407" s="1"/>
      <c r="AD3407" s="1"/>
      <c r="AE3407" s="1"/>
      <c r="AF3407" s="1"/>
      <c r="AG3407" s="1"/>
      <c r="AH3407" s="1"/>
    </row>
    <row r="3408" ht="12.75" hidden="1" customHeight="1" outlineLevel="1">
      <c r="A3408" s="17">
        <v>41617.0</v>
      </c>
      <c r="B3408" s="1"/>
      <c r="C3408" s="1" t="s">
        <v>429</v>
      </c>
      <c r="D3408" s="74"/>
      <c r="E3408" s="67"/>
      <c r="F3408" s="75"/>
      <c r="G3408" s="67"/>
      <c r="H3408" s="68"/>
      <c r="I3408" s="76"/>
      <c r="J3408" s="67"/>
      <c r="K3408" s="7" t="s">
        <v>1352</v>
      </c>
      <c r="L3408" s="77"/>
      <c r="M3408" s="79"/>
      <c r="N3408" s="1"/>
      <c r="O3408" s="1"/>
      <c r="P3408" s="1"/>
      <c r="Q3408" s="1"/>
      <c r="R3408" s="1"/>
      <c r="S3408" s="1"/>
      <c r="T3408" s="1"/>
      <c r="U3408" s="1"/>
      <c r="V3408" s="1"/>
      <c r="W3408" s="1"/>
      <c r="X3408" s="1"/>
      <c r="Y3408" s="1"/>
      <c r="Z3408" s="1"/>
      <c r="AA3408" s="1"/>
      <c r="AB3408" s="1"/>
      <c r="AC3408" s="1"/>
      <c r="AD3408" s="1"/>
      <c r="AE3408" s="1"/>
      <c r="AF3408" s="1"/>
      <c r="AG3408" s="1"/>
      <c r="AH3408" s="1"/>
    </row>
    <row r="3409" ht="12.75" hidden="1" customHeight="1" outlineLevel="1">
      <c r="A3409" s="17">
        <v>41617.0</v>
      </c>
      <c r="B3409" s="1"/>
      <c r="C3409" s="1" t="s">
        <v>431</v>
      </c>
      <c r="D3409" s="74"/>
      <c r="E3409" s="67"/>
      <c r="F3409" s="75"/>
      <c r="G3409" s="67"/>
      <c r="H3409" s="68"/>
      <c r="I3409" s="76"/>
      <c r="J3409" s="67"/>
      <c r="K3409" s="7" t="s">
        <v>1126</v>
      </c>
      <c r="L3409" s="77"/>
      <c r="M3409" s="79"/>
      <c r="N3409" s="1"/>
      <c r="O3409" s="1"/>
      <c r="P3409" s="1"/>
      <c r="Q3409" s="1"/>
      <c r="R3409" s="1"/>
      <c r="S3409" s="1"/>
      <c r="T3409" s="1"/>
      <c r="U3409" s="1"/>
      <c r="V3409" s="1"/>
      <c r="W3409" s="1"/>
      <c r="X3409" s="1"/>
      <c r="Y3409" s="1"/>
      <c r="Z3409" s="1"/>
      <c r="AA3409" s="1"/>
      <c r="AB3409" s="1"/>
      <c r="AC3409" s="1"/>
      <c r="AD3409" s="1"/>
      <c r="AE3409" s="1"/>
      <c r="AF3409" s="1"/>
      <c r="AG3409" s="1"/>
      <c r="AH3409" s="1"/>
    </row>
    <row r="3410" ht="12.75" hidden="1" customHeight="1" outlineLevel="1">
      <c r="A3410" s="17">
        <v>41617.0</v>
      </c>
      <c r="B3410" s="1"/>
      <c r="C3410" s="1" t="s">
        <v>433</v>
      </c>
      <c r="D3410" s="74"/>
      <c r="E3410" s="67"/>
      <c r="F3410" s="75"/>
      <c r="G3410" s="67"/>
      <c r="H3410" s="68"/>
      <c r="I3410" s="76"/>
      <c r="J3410" s="67"/>
      <c r="K3410" s="7" t="s">
        <v>1103</v>
      </c>
      <c r="L3410" s="77"/>
      <c r="M3410" s="79"/>
      <c r="N3410" s="1"/>
      <c r="O3410" s="1"/>
      <c r="P3410" s="1"/>
      <c r="Q3410" s="1"/>
      <c r="R3410" s="1"/>
      <c r="S3410" s="1"/>
      <c r="T3410" s="1"/>
      <c r="U3410" s="1"/>
      <c r="V3410" s="1"/>
      <c r="W3410" s="1"/>
      <c r="X3410" s="1"/>
      <c r="Y3410" s="1"/>
      <c r="Z3410" s="1"/>
      <c r="AA3410" s="1"/>
      <c r="AB3410" s="1"/>
      <c r="AC3410" s="1"/>
      <c r="AD3410" s="1"/>
      <c r="AE3410" s="1"/>
      <c r="AF3410" s="1"/>
      <c r="AG3410" s="1"/>
      <c r="AH3410" s="1"/>
    </row>
    <row r="3411" ht="12.75" hidden="1" customHeight="1" outlineLevel="1">
      <c r="A3411" s="17">
        <v>41617.0</v>
      </c>
      <c r="B3411" s="1"/>
      <c r="C3411" s="1" t="s">
        <v>435</v>
      </c>
      <c r="D3411" s="74"/>
      <c r="E3411" s="67"/>
      <c r="F3411" s="75"/>
      <c r="G3411" s="67"/>
      <c r="H3411" s="68"/>
      <c r="I3411" s="76"/>
      <c r="J3411" s="67"/>
      <c r="K3411" s="7" t="s">
        <v>1354</v>
      </c>
      <c r="L3411" s="77"/>
      <c r="M3411" s="79"/>
      <c r="N3411" s="1"/>
      <c r="O3411" s="1"/>
      <c r="P3411" s="1"/>
      <c r="Q3411" s="1"/>
      <c r="R3411" s="1"/>
      <c r="S3411" s="1"/>
      <c r="T3411" s="1"/>
      <c r="U3411" s="1"/>
      <c r="V3411" s="1"/>
      <c r="W3411" s="1"/>
      <c r="X3411" s="1"/>
      <c r="Y3411" s="1"/>
      <c r="Z3411" s="1"/>
      <c r="AA3411" s="1"/>
      <c r="AB3411" s="1"/>
      <c r="AC3411" s="1"/>
      <c r="AD3411" s="1"/>
      <c r="AE3411" s="1"/>
      <c r="AF3411" s="1"/>
      <c r="AG3411" s="1"/>
      <c r="AH3411" s="1"/>
    </row>
    <row r="3412" ht="12.75" hidden="1" customHeight="1" outlineLevel="1">
      <c r="A3412" s="17">
        <v>41618.0</v>
      </c>
      <c r="B3412" s="1" t="s">
        <v>343</v>
      </c>
      <c r="C3412" s="1" t="s">
        <v>458</v>
      </c>
      <c r="D3412" s="74">
        <v>100.0</v>
      </c>
      <c r="E3412" s="67">
        <v>55.78</v>
      </c>
      <c r="F3412" s="75">
        <v>0.6472569444444444</v>
      </c>
      <c r="G3412" s="67" t="s">
        <v>453</v>
      </c>
      <c r="H3412" s="68">
        <v>1.0</v>
      </c>
      <c r="I3412" s="76"/>
      <c r="J3412" s="67">
        <f>IF(B3412="SLD",D3412*E3412,-D3412*E3412)-H3412</f>
        <v>-5579</v>
      </c>
      <c r="K3412" s="7"/>
      <c r="L3412" s="70"/>
      <c r="M3412" s="79"/>
      <c r="N3412" s="1"/>
      <c r="O3412" s="1"/>
      <c r="P3412" s="1"/>
      <c r="Q3412" s="1"/>
      <c r="R3412" s="1"/>
      <c r="S3412" s="1"/>
      <c r="T3412" s="1"/>
      <c r="U3412" s="1"/>
      <c r="V3412" s="1"/>
      <c r="W3412" s="1"/>
      <c r="X3412" s="1"/>
      <c r="Y3412" s="1"/>
      <c r="Z3412" s="1"/>
      <c r="AA3412" s="1"/>
      <c r="AB3412" s="1"/>
      <c r="AC3412" s="1"/>
      <c r="AD3412" s="1"/>
      <c r="AE3412" s="1"/>
      <c r="AF3412" s="1"/>
      <c r="AG3412" s="1"/>
      <c r="AH3412" s="1"/>
    </row>
    <row r="3413" ht="12.75" hidden="1" customHeight="1" outlineLevel="1">
      <c r="A3413" s="17">
        <v>41618.0</v>
      </c>
      <c r="B3413" s="1"/>
      <c r="C3413" s="1" t="s">
        <v>339</v>
      </c>
      <c r="D3413" s="74"/>
      <c r="E3413" s="67"/>
      <c r="F3413" s="75"/>
      <c r="G3413" s="67"/>
      <c r="H3413" s="68"/>
      <c r="I3413" s="76"/>
      <c r="J3413" s="67"/>
      <c r="K3413" s="7" t="s">
        <v>1443</v>
      </c>
      <c r="L3413" s="77"/>
      <c r="M3413" s="79"/>
      <c r="N3413" s="1"/>
      <c r="O3413" s="1"/>
      <c r="P3413" s="1"/>
      <c r="Q3413" s="1"/>
      <c r="R3413" s="1"/>
      <c r="S3413" s="1"/>
      <c r="T3413" s="1"/>
      <c r="U3413" s="1"/>
      <c r="V3413" s="1"/>
      <c r="W3413" s="1"/>
      <c r="X3413" s="1"/>
      <c r="Y3413" s="1"/>
      <c r="Z3413" s="1"/>
      <c r="AA3413" s="1"/>
      <c r="AB3413" s="1"/>
      <c r="AC3413" s="1"/>
      <c r="AD3413" s="1"/>
      <c r="AE3413" s="1"/>
      <c r="AF3413" s="1"/>
      <c r="AG3413" s="1"/>
      <c r="AH3413" s="1"/>
    </row>
    <row r="3414" ht="12.75" hidden="1" customHeight="1" outlineLevel="1">
      <c r="A3414" s="17">
        <v>41618.0</v>
      </c>
      <c r="B3414" s="1"/>
      <c r="C3414" s="1" t="s">
        <v>429</v>
      </c>
      <c r="D3414" s="74"/>
      <c r="E3414" s="67"/>
      <c r="F3414" s="75"/>
      <c r="G3414" s="67"/>
      <c r="H3414" s="68"/>
      <c r="I3414" s="76"/>
      <c r="J3414" s="67"/>
      <c r="K3414" s="7" t="s">
        <v>1352</v>
      </c>
      <c r="L3414" s="77"/>
      <c r="M3414" s="79"/>
      <c r="N3414" s="1"/>
      <c r="O3414" s="1"/>
      <c r="P3414" s="1"/>
      <c r="Q3414" s="1"/>
      <c r="R3414" s="1"/>
      <c r="S3414" s="1"/>
      <c r="T3414" s="1"/>
      <c r="U3414" s="1"/>
      <c r="V3414" s="1"/>
      <c r="W3414" s="1"/>
      <c r="X3414" s="1"/>
      <c r="Y3414" s="1"/>
      <c r="Z3414" s="1"/>
      <c r="AA3414" s="1"/>
      <c r="AB3414" s="1"/>
      <c r="AC3414" s="1"/>
      <c r="AD3414" s="1"/>
      <c r="AE3414" s="1"/>
      <c r="AF3414" s="1"/>
      <c r="AG3414" s="1"/>
      <c r="AH3414" s="1"/>
    </row>
    <row r="3415" ht="12.75" hidden="1" customHeight="1" outlineLevel="1">
      <c r="A3415" s="17">
        <v>41618.0</v>
      </c>
      <c r="B3415" s="1"/>
      <c r="C3415" s="1" t="s">
        <v>431</v>
      </c>
      <c r="D3415" s="74"/>
      <c r="E3415" s="67"/>
      <c r="F3415" s="75"/>
      <c r="G3415" s="67"/>
      <c r="H3415" s="68"/>
      <c r="I3415" s="76"/>
      <c r="J3415" s="67"/>
      <c r="K3415" s="7" t="s">
        <v>1126</v>
      </c>
      <c r="L3415" s="77"/>
      <c r="M3415" s="79"/>
      <c r="N3415" s="1"/>
      <c r="O3415" s="1"/>
      <c r="P3415" s="1"/>
      <c r="Q3415" s="1"/>
      <c r="R3415" s="1"/>
      <c r="S3415" s="1"/>
      <c r="T3415" s="1"/>
      <c r="U3415" s="1"/>
      <c r="V3415" s="1"/>
      <c r="W3415" s="1"/>
      <c r="X3415" s="1"/>
      <c r="Y3415" s="1"/>
      <c r="Z3415" s="1"/>
      <c r="AA3415" s="1"/>
      <c r="AB3415" s="1"/>
      <c r="AC3415" s="1"/>
      <c r="AD3415" s="1"/>
      <c r="AE3415" s="1"/>
      <c r="AF3415" s="1"/>
      <c r="AG3415" s="1"/>
      <c r="AH3415" s="1"/>
    </row>
    <row r="3416" ht="12.75" hidden="1" customHeight="1" outlineLevel="1">
      <c r="A3416" s="17">
        <v>41618.0</v>
      </c>
      <c r="B3416" s="1"/>
      <c r="C3416" s="1" t="s">
        <v>433</v>
      </c>
      <c r="D3416" s="74"/>
      <c r="E3416" s="67"/>
      <c r="F3416" s="75"/>
      <c r="G3416" s="67"/>
      <c r="H3416" s="68"/>
      <c r="I3416" s="76"/>
      <c r="J3416" s="67"/>
      <c r="K3416" s="7" t="s">
        <v>1103</v>
      </c>
      <c r="L3416" s="77"/>
      <c r="M3416" s="79"/>
      <c r="N3416" s="1"/>
      <c r="O3416" s="1"/>
      <c r="P3416" s="1"/>
      <c r="Q3416" s="1"/>
      <c r="R3416" s="1"/>
      <c r="S3416" s="1"/>
      <c r="T3416" s="1"/>
      <c r="U3416" s="1"/>
      <c r="V3416" s="1"/>
      <c r="W3416" s="1"/>
      <c r="X3416" s="1"/>
      <c r="Y3416" s="1"/>
      <c r="Z3416" s="1"/>
      <c r="AA3416" s="1"/>
      <c r="AB3416" s="1"/>
      <c r="AC3416" s="1"/>
      <c r="AD3416" s="1"/>
      <c r="AE3416" s="1"/>
      <c r="AF3416" s="1"/>
      <c r="AG3416" s="1"/>
      <c r="AH3416" s="1"/>
    </row>
    <row r="3417" ht="12.75" hidden="1" customHeight="1" outlineLevel="1">
      <c r="A3417" s="17">
        <v>41618.0</v>
      </c>
      <c r="B3417" s="1"/>
      <c r="C3417" s="1" t="s">
        <v>435</v>
      </c>
      <c r="D3417" s="74"/>
      <c r="E3417" s="67"/>
      <c r="F3417" s="75"/>
      <c r="G3417" s="67"/>
      <c r="H3417" s="68"/>
      <c r="I3417" s="76"/>
      <c r="J3417" s="67"/>
      <c r="K3417" s="7" t="s">
        <v>1354</v>
      </c>
      <c r="L3417" s="77"/>
      <c r="M3417" s="79"/>
      <c r="N3417" s="1"/>
      <c r="O3417" s="1"/>
      <c r="P3417" s="1"/>
      <c r="Q3417" s="1"/>
      <c r="R3417" s="1"/>
      <c r="S3417" s="1"/>
      <c r="T3417" s="1"/>
      <c r="U3417" s="1"/>
      <c r="V3417" s="1"/>
      <c r="W3417" s="1"/>
      <c r="X3417" s="1"/>
      <c r="Y3417" s="1"/>
      <c r="Z3417" s="1"/>
      <c r="AA3417" s="1"/>
      <c r="AB3417" s="1"/>
      <c r="AC3417" s="1"/>
      <c r="AD3417" s="1"/>
      <c r="AE3417" s="1"/>
      <c r="AF3417" s="1"/>
      <c r="AG3417" s="1"/>
      <c r="AH3417" s="1"/>
    </row>
    <row r="3418" ht="12.75" hidden="1" customHeight="1" outlineLevel="1">
      <c r="A3418" s="17">
        <v>41619.0</v>
      </c>
      <c r="B3418" s="1"/>
      <c r="C3418" s="1" t="s">
        <v>339</v>
      </c>
      <c r="D3418" s="74"/>
      <c r="E3418" s="67"/>
      <c r="F3418" s="75"/>
      <c r="G3418" s="67"/>
      <c r="H3418" s="68"/>
      <c r="I3418" s="76"/>
      <c r="J3418" s="67"/>
      <c r="K3418" s="7" t="s">
        <v>1447</v>
      </c>
      <c r="L3418" s="77"/>
      <c r="M3418" s="79"/>
      <c r="N3418" s="1"/>
      <c r="O3418" s="1"/>
      <c r="P3418" s="1"/>
      <c r="Q3418" s="1"/>
      <c r="R3418" s="1"/>
      <c r="S3418" s="1"/>
      <c r="T3418" s="1"/>
      <c r="U3418" s="1"/>
      <c r="V3418" s="1"/>
      <c r="W3418" s="1"/>
      <c r="X3418" s="1"/>
      <c r="Y3418" s="1"/>
      <c r="Z3418" s="1"/>
      <c r="AA3418" s="1"/>
      <c r="AB3418" s="1"/>
      <c r="AC3418" s="1"/>
      <c r="AD3418" s="1"/>
      <c r="AE3418" s="1"/>
      <c r="AF3418" s="1"/>
      <c r="AG3418" s="1"/>
      <c r="AH3418" s="1"/>
    </row>
    <row r="3419" ht="12.75" hidden="1" customHeight="1" outlineLevel="1">
      <c r="A3419" s="17">
        <v>41619.0</v>
      </c>
      <c r="B3419" s="1"/>
      <c r="C3419" s="1" t="s">
        <v>429</v>
      </c>
      <c r="D3419" s="74"/>
      <c r="E3419" s="67"/>
      <c r="F3419" s="75"/>
      <c r="G3419" s="67"/>
      <c r="H3419" s="68"/>
      <c r="I3419" s="76"/>
      <c r="J3419" s="67"/>
      <c r="K3419" s="7" t="s">
        <v>1352</v>
      </c>
      <c r="L3419" s="77"/>
      <c r="M3419" s="79"/>
      <c r="N3419" s="1"/>
      <c r="O3419" s="1"/>
      <c r="P3419" s="1"/>
      <c r="Q3419" s="1"/>
      <c r="R3419" s="1"/>
      <c r="S3419" s="1"/>
      <c r="T3419" s="1"/>
      <c r="U3419" s="1"/>
      <c r="V3419" s="1"/>
      <c r="W3419" s="1"/>
      <c r="X3419" s="1"/>
      <c r="Y3419" s="1"/>
      <c r="Z3419" s="1"/>
      <c r="AA3419" s="1"/>
      <c r="AB3419" s="1"/>
      <c r="AC3419" s="1"/>
      <c r="AD3419" s="1"/>
      <c r="AE3419" s="1"/>
      <c r="AF3419" s="1"/>
      <c r="AG3419" s="1"/>
      <c r="AH3419" s="1"/>
    </row>
    <row r="3420" ht="12.75" hidden="1" customHeight="1" outlineLevel="1">
      <c r="A3420" s="17">
        <v>41619.0</v>
      </c>
      <c r="B3420" s="1"/>
      <c r="C3420" s="1" t="s">
        <v>431</v>
      </c>
      <c r="D3420" s="74"/>
      <c r="E3420" s="67"/>
      <c r="F3420" s="75"/>
      <c r="G3420" s="67"/>
      <c r="H3420" s="68"/>
      <c r="I3420" s="76"/>
      <c r="J3420" s="67"/>
      <c r="K3420" s="7" t="s">
        <v>1126</v>
      </c>
      <c r="L3420" s="77"/>
      <c r="M3420" s="79"/>
      <c r="N3420" s="1"/>
      <c r="O3420" s="1"/>
      <c r="P3420" s="1"/>
      <c r="Q3420" s="1"/>
      <c r="R3420" s="1"/>
      <c r="S3420" s="1"/>
      <c r="T3420" s="1"/>
      <c r="U3420" s="1"/>
      <c r="V3420" s="1"/>
      <c r="W3420" s="1"/>
      <c r="X3420" s="1"/>
      <c r="Y3420" s="1"/>
      <c r="Z3420" s="1"/>
      <c r="AA3420" s="1"/>
      <c r="AB3420" s="1"/>
      <c r="AC3420" s="1"/>
      <c r="AD3420" s="1"/>
      <c r="AE3420" s="1"/>
      <c r="AF3420" s="1"/>
      <c r="AG3420" s="1"/>
      <c r="AH3420" s="1"/>
    </row>
    <row r="3421" ht="12.75" hidden="1" customHeight="1" outlineLevel="1">
      <c r="A3421" s="17">
        <v>41619.0</v>
      </c>
      <c r="B3421" s="1"/>
      <c r="C3421" s="1" t="s">
        <v>433</v>
      </c>
      <c r="D3421" s="74"/>
      <c r="E3421" s="67"/>
      <c r="F3421" s="75"/>
      <c r="G3421" s="67"/>
      <c r="H3421" s="68"/>
      <c r="I3421" s="76"/>
      <c r="J3421" s="67"/>
      <c r="K3421" s="7" t="s">
        <v>1103</v>
      </c>
      <c r="L3421" s="77"/>
      <c r="M3421" s="79"/>
      <c r="N3421" s="1"/>
      <c r="O3421" s="1"/>
      <c r="P3421" s="1"/>
      <c r="Q3421" s="1"/>
      <c r="R3421" s="1"/>
      <c r="S3421" s="1"/>
      <c r="T3421" s="1"/>
      <c r="U3421" s="1"/>
      <c r="V3421" s="1"/>
      <c r="W3421" s="1"/>
      <c r="X3421" s="1"/>
      <c r="Y3421" s="1"/>
      <c r="Z3421" s="1"/>
      <c r="AA3421" s="1"/>
      <c r="AB3421" s="1"/>
      <c r="AC3421" s="1"/>
      <c r="AD3421" s="1"/>
      <c r="AE3421" s="1"/>
      <c r="AF3421" s="1"/>
      <c r="AG3421" s="1"/>
      <c r="AH3421" s="1"/>
    </row>
    <row r="3422" ht="12.75" hidden="1" customHeight="1" outlineLevel="1">
      <c r="A3422" s="17">
        <v>41619.0</v>
      </c>
      <c r="B3422" s="1"/>
      <c r="C3422" s="1" t="s">
        <v>435</v>
      </c>
      <c r="D3422" s="74"/>
      <c r="E3422" s="67"/>
      <c r="F3422" s="75"/>
      <c r="G3422" s="67"/>
      <c r="H3422" s="68"/>
      <c r="I3422" s="76"/>
      <c r="J3422" s="67"/>
      <c r="K3422" s="7" t="s">
        <v>1354</v>
      </c>
      <c r="L3422" s="77"/>
      <c r="M3422" s="79"/>
      <c r="N3422" s="1"/>
      <c r="O3422" s="1"/>
      <c r="P3422" s="1"/>
      <c r="Q3422" s="1"/>
      <c r="R3422" s="1"/>
      <c r="S3422" s="1"/>
      <c r="T3422" s="1"/>
      <c r="U3422" s="1"/>
      <c r="V3422" s="1"/>
      <c r="W3422" s="1"/>
      <c r="X3422" s="1"/>
      <c r="Y3422" s="1"/>
      <c r="Z3422" s="1"/>
      <c r="AA3422" s="1"/>
      <c r="AB3422" s="1"/>
      <c r="AC3422" s="1"/>
      <c r="AD3422" s="1"/>
      <c r="AE3422" s="1"/>
      <c r="AF3422" s="1"/>
      <c r="AG3422" s="1"/>
      <c r="AH3422" s="1"/>
    </row>
    <row r="3423" ht="12.75" hidden="1" customHeight="1" outlineLevel="1">
      <c r="A3423" s="17">
        <v>41620.0</v>
      </c>
      <c r="B3423" s="1" t="s">
        <v>343</v>
      </c>
      <c r="C3423" s="1" t="s">
        <v>1451</v>
      </c>
      <c r="D3423" s="74">
        <v>1200.0</v>
      </c>
      <c r="E3423" s="67">
        <v>17.49</v>
      </c>
      <c r="F3423" s="75">
        <v>0.5575462962962963</v>
      </c>
      <c r="G3423" s="67" t="s">
        <v>453</v>
      </c>
      <c r="H3423" s="68">
        <v>4.8</v>
      </c>
      <c r="I3423" s="76"/>
      <c r="J3423" s="67">
        <f t="shared" ref="J3423:J3424" si="230">IF(B3423="SLD",D3423*E3423,-D3423*E3423)-H3423</f>
        <v>-20992.8</v>
      </c>
      <c r="K3423" s="7"/>
      <c r="L3423" s="70"/>
      <c r="M3423" s="79"/>
      <c r="N3423" s="1"/>
      <c r="O3423" s="1"/>
      <c r="P3423" s="1"/>
      <c r="Q3423" s="1"/>
      <c r="R3423" s="1"/>
      <c r="S3423" s="1"/>
      <c r="T3423" s="1"/>
      <c r="U3423" s="1"/>
      <c r="V3423" s="1"/>
      <c r="W3423" s="1"/>
      <c r="X3423" s="1"/>
      <c r="Y3423" s="1"/>
      <c r="Z3423" s="1"/>
      <c r="AA3423" s="1"/>
      <c r="AB3423" s="1"/>
      <c r="AC3423" s="1"/>
      <c r="AD3423" s="1"/>
      <c r="AE3423" s="1"/>
      <c r="AF3423" s="1"/>
      <c r="AG3423" s="1"/>
      <c r="AH3423" s="1"/>
    </row>
    <row r="3424" ht="12.75" hidden="1" customHeight="1" outlineLevel="1">
      <c r="A3424" s="17">
        <v>41620.0</v>
      </c>
      <c r="B3424" s="1" t="s">
        <v>343</v>
      </c>
      <c r="C3424" s="1" t="s">
        <v>344</v>
      </c>
      <c r="D3424" s="74">
        <v>100.0</v>
      </c>
      <c r="E3424" s="67">
        <v>49.82</v>
      </c>
      <c r="F3424" s="75">
        <v>0.5577083333333334</v>
      </c>
      <c r="G3424" s="67" t="s">
        <v>453</v>
      </c>
      <c r="H3424" s="68">
        <v>1.0</v>
      </c>
      <c r="I3424" s="76"/>
      <c r="J3424" s="67">
        <f t="shared" si="230"/>
        <v>-4983</v>
      </c>
      <c r="K3424" s="7"/>
      <c r="L3424" s="70"/>
      <c r="M3424" s="79"/>
      <c r="N3424" s="1"/>
      <c r="O3424" s="1"/>
      <c r="P3424" s="1"/>
      <c r="Q3424" s="1"/>
      <c r="R3424" s="1"/>
      <c r="S3424" s="1"/>
      <c r="T3424" s="1"/>
      <c r="U3424" s="1"/>
      <c r="V3424" s="1"/>
      <c r="W3424" s="1"/>
      <c r="X3424" s="1"/>
      <c r="Y3424" s="1"/>
      <c r="Z3424" s="1"/>
      <c r="AA3424" s="1"/>
      <c r="AB3424" s="1"/>
      <c r="AC3424" s="1"/>
      <c r="AD3424" s="1"/>
      <c r="AE3424" s="1"/>
      <c r="AF3424" s="1"/>
      <c r="AG3424" s="1"/>
      <c r="AH3424" s="1"/>
    </row>
    <row r="3425" ht="12.75" hidden="1" customHeight="1" outlineLevel="1">
      <c r="A3425" s="17">
        <v>41620.0</v>
      </c>
      <c r="B3425" s="1"/>
      <c r="C3425" s="1" t="s">
        <v>339</v>
      </c>
      <c r="D3425" s="74"/>
      <c r="E3425" s="67"/>
      <c r="F3425" s="75"/>
      <c r="G3425" s="67"/>
      <c r="H3425" s="68"/>
      <c r="I3425" s="76"/>
      <c r="J3425" s="67"/>
      <c r="K3425" s="7" t="s">
        <v>1456</v>
      </c>
      <c r="L3425" s="77"/>
      <c r="M3425" s="79"/>
      <c r="N3425" s="1"/>
      <c r="O3425" s="1"/>
      <c r="P3425" s="1"/>
      <c r="Q3425" s="1"/>
      <c r="R3425" s="1"/>
      <c r="S3425" s="1"/>
      <c r="T3425" s="1"/>
      <c r="U3425" s="1"/>
      <c r="V3425" s="1"/>
      <c r="W3425" s="1"/>
      <c r="X3425" s="1"/>
      <c r="Y3425" s="1"/>
      <c r="Z3425" s="1"/>
      <c r="AA3425" s="1"/>
      <c r="AB3425" s="1"/>
      <c r="AC3425" s="1"/>
      <c r="AD3425" s="1"/>
      <c r="AE3425" s="1"/>
      <c r="AF3425" s="1"/>
      <c r="AG3425" s="1"/>
      <c r="AH3425" s="1"/>
    </row>
    <row r="3426" ht="12.75" hidden="1" customHeight="1" outlineLevel="1">
      <c r="A3426" s="17">
        <v>41620.0</v>
      </c>
      <c r="B3426" s="1"/>
      <c r="C3426" s="1" t="s">
        <v>429</v>
      </c>
      <c r="D3426" s="74"/>
      <c r="E3426" s="67"/>
      <c r="F3426" s="75"/>
      <c r="G3426" s="67"/>
      <c r="H3426" s="68"/>
      <c r="I3426" s="76"/>
      <c r="J3426" s="67"/>
      <c r="K3426" s="7" t="s">
        <v>1352</v>
      </c>
      <c r="L3426" s="77"/>
      <c r="M3426" s="79"/>
      <c r="N3426" s="1"/>
      <c r="O3426" s="1"/>
      <c r="P3426" s="1"/>
      <c r="Q3426" s="1"/>
      <c r="R3426" s="1"/>
      <c r="S3426" s="1"/>
      <c r="T3426" s="1"/>
      <c r="U3426" s="1"/>
      <c r="V3426" s="1"/>
      <c r="W3426" s="1"/>
      <c r="X3426" s="1"/>
      <c r="Y3426" s="1"/>
      <c r="Z3426" s="1"/>
      <c r="AA3426" s="1"/>
      <c r="AB3426" s="1"/>
      <c r="AC3426" s="1"/>
      <c r="AD3426" s="1"/>
      <c r="AE3426" s="1"/>
      <c r="AF3426" s="1"/>
      <c r="AG3426" s="1"/>
      <c r="AH3426" s="1"/>
    </row>
    <row r="3427" ht="12.75" hidden="1" customHeight="1" outlineLevel="1">
      <c r="A3427" s="17">
        <v>41620.0</v>
      </c>
      <c r="B3427" s="1"/>
      <c r="C3427" s="1" t="s">
        <v>431</v>
      </c>
      <c r="D3427" s="74"/>
      <c r="E3427" s="67"/>
      <c r="F3427" s="75"/>
      <c r="G3427" s="67"/>
      <c r="H3427" s="68"/>
      <c r="I3427" s="76"/>
      <c r="J3427" s="67"/>
      <c r="K3427" s="7" t="s">
        <v>1126</v>
      </c>
      <c r="L3427" s="77"/>
      <c r="M3427" s="79"/>
      <c r="N3427" s="1"/>
      <c r="O3427" s="1"/>
      <c r="P3427" s="1"/>
      <c r="Q3427" s="1"/>
      <c r="R3427" s="1"/>
      <c r="S3427" s="1"/>
      <c r="T3427" s="1"/>
      <c r="U3427" s="1"/>
      <c r="V3427" s="1"/>
      <c r="W3427" s="1"/>
      <c r="X3427" s="1"/>
      <c r="Y3427" s="1"/>
      <c r="Z3427" s="1"/>
      <c r="AA3427" s="1"/>
      <c r="AB3427" s="1"/>
      <c r="AC3427" s="1"/>
      <c r="AD3427" s="1"/>
      <c r="AE3427" s="1"/>
      <c r="AF3427" s="1"/>
      <c r="AG3427" s="1"/>
      <c r="AH3427" s="1"/>
    </row>
    <row r="3428" ht="12.75" hidden="1" customHeight="1" outlineLevel="1">
      <c r="A3428" s="17">
        <v>41620.0</v>
      </c>
      <c r="B3428" s="1"/>
      <c r="C3428" s="1" t="s">
        <v>433</v>
      </c>
      <c r="D3428" s="74"/>
      <c r="E3428" s="67"/>
      <c r="F3428" s="75"/>
      <c r="G3428" s="67"/>
      <c r="H3428" s="68"/>
      <c r="I3428" s="76"/>
      <c r="J3428" s="67"/>
      <c r="K3428" s="7" t="s">
        <v>1103</v>
      </c>
      <c r="L3428" s="77"/>
      <c r="M3428" s="79"/>
      <c r="N3428" s="1"/>
      <c r="O3428" s="1"/>
      <c r="P3428" s="1"/>
      <c r="Q3428" s="1"/>
      <c r="R3428" s="1"/>
      <c r="S3428" s="1"/>
      <c r="T3428" s="1"/>
      <c r="U3428" s="1"/>
      <c r="V3428" s="1"/>
      <c r="W3428" s="1"/>
      <c r="X3428" s="1"/>
      <c r="Y3428" s="1"/>
      <c r="Z3428" s="1"/>
      <c r="AA3428" s="1"/>
      <c r="AB3428" s="1"/>
      <c r="AC3428" s="1"/>
      <c r="AD3428" s="1"/>
      <c r="AE3428" s="1"/>
      <c r="AF3428" s="1"/>
      <c r="AG3428" s="1"/>
      <c r="AH3428" s="1"/>
    </row>
    <row r="3429" ht="12.75" hidden="1" customHeight="1" outlineLevel="1">
      <c r="A3429" s="17">
        <v>41620.0</v>
      </c>
      <c r="B3429" s="1"/>
      <c r="C3429" s="1" t="s">
        <v>435</v>
      </c>
      <c r="D3429" s="74"/>
      <c r="E3429" s="67"/>
      <c r="F3429" s="75"/>
      <c r="G3429" s="67"/>
      <c r="H3429" s="68"/>
      <c r="I3429" s="76"/>
      <c r="J3429" s="67"/>
      <c r="K3429" s="7" t="s">
        <v>1354</v>
      </c>
      <c r="L3429" s="77"/>
      <c r="M3429" s="79"/>
      <c r="N3429" s="1"/>
      <c r="O3429" s="1"/>
      <c r="P3429" s="1"/>
      <c r="Q3429" s="1"/>
      <c r="R3429" s="1"/>
      <c r="S3429" s="1"/>
      <c r="T3429" s="1"/>
      <c r="U3429" s="1"/>
      <c r="V3429" s="1"/>
      <c r="W3429" s="1"/>
      <c r="X3429" s="1"/>
      <c r="Y3429" s="1"/>
      <c r="Z3429" s="1"/>
      <c r="AA3429" s="1"/>
      <c r="AB3429" s="1"/>
      <c r="AC3429" s="1"/>
      <c r="AD3429" s="1"/>
      <c r="AE3429" s="1"/>
      <c r="AF3429" s="1"/>
      <c r="AG3429" s="1"/>
      <c r="AH3429" s="1"/>
    </row>
    <row r="3430" ht="12.75" hidden="1" customHeight="1" outlineLevel="1">
      <c r="A3430" s="17">
        <v>41621.0</v>
      </c>
      <c r="B3430" s="1"/>
      <c r="C3430" s="1" t="s">
        <v>339</v>
      </c>
      <c r="D3430" s="74"/>
      <c r="E3430" s="67"/>
      <c r="F3430" s="75"/>
      <c r="G3430" s="67"/>
      <c r="H3430" s="68"/>
      <c r="I3430" s="76"/>
      <c r="J3430" s="67"/>
      <c r="K3430" s="7" t="s">
        <v>1458</v>
      </c>
      <c r="L3430" s="77"/>
      <c r="M3430" s="79"/>
      <c r="N3430" s="1"/>
      <c r="O3430" s="1"/>
      <c r="P3430" s="1"/>
      <c r="Q3430" s="1"/>
      <c r="R3430" s="1"/>
      <c r="S3430" s="1"/>
      <c r="T3430" s="1"/>
      <c r="U3430" s="1"/>
      <c r="V3430" s="1"/>
      <c r="W3430" s="1"/>
      <c r="X3430" s="1"/>
      <c r="Y3430" s="1"/>
      <c r="Z3430" s="1"/>
      <c r="AA3430" s="1"/>
      <c r="AB3430" s="1"/>
      <c r="AC3430" s="1"/>
      <c r="AD3430" s="1"/>
      <c r="AE3430" s="1"/>
      <c r="AF3430" s="1"/>
      <c r="AG3430" s="1"/>
      <c r="AH3430" s="1"/>
    </row>
    <row r="3431" ht="12.75" hidden="1" customHeight="1" outlineLevel="1">
      <c r="A3431" s="17">
        <v>41621.0</v>
      </c>
      <c r="B3431" s="1"/>
      <c r="C3431" s="1" t="s">
        <v>429</v>
      </c>
      <c r="D3431" s="74"/>
      <c r="E3431" s="67"/>
      <c r="F3431" s="75"/>
      <c r="G3431" s="67"/>
      <c r="H3431" s="68"/>
      <c r="I3431" s="76"/>
      <c r="J3431" s="67"/>
      <c r="K3431" s="7" t="s">
        <v>1352</v>
      </c>
      <c r="L3431" s="77"/>
      <c r="M3431" s="79"/>
      <c r="N3431" s="1"/>
      <c r="O3431" s="1"/>
      <c r="P3431" s="1"/>
      <c r="Q3431" s="1"/>
      <c r="R3431" s="1"/>
      <c r="S3431" s="1"/>
      <c r="T3431" s="1"/>
      <c r="U3431" s="1"/>
      <c r="V3431" s="1"/>
      <c r="W3431" s="1"/>
      <c r="X3431" s="1"/>
      <c r="Y3431" s="1"/>
      <c r="Z3431" s="1"/>
      <c r="AA3431" s="1"/>
      <c r="AB3431" s="1"/>
      <c r="AC3431" s="1"/>
      <c r="AD3431" s="1"/>
      <c r="AE3431" s="1"/>
      <c r="AF3431" s="1"/>
      <c r="AG3431" s="1"/>
      <c r="AH3431" s="1"/>
    </row>
    <row r="3432" ht="12.75" hidden="1" customHeight="1" outlineLevel="1">
      <c r="A3432" s="17">
        <v>41621.0</v>
      </c>
      <c r="B3432" s="1"/>
      <c r="C3432" s="1" t="s">
        <v>431</v>
      </c>
      <c r="D3432" s="74"/>
      <c r="E3432" s="67"/>
      <c r="F3432" s="75"/>
      <c r="G3432" s="67"/>
      <c r="H3432" s="68"/>
      <c r="I3432" s="76"/>
      <c r="J3432" s="67"/>
      <c r="K3432" s="7" t="s">
        <v>1126</v>
      </c>
      <c r="L3432" s="77"/>
      <c r="M3432" s="79"/>
      <c r="N3432" s="1"/>
      <c r="O3432" s="1"/>
      <c r="P3432" s="1"/>
      <c r="Q3432" s="1"/>
      <c r="R3432" s="1"/>
      <c r="S3432" s="1"/>
      <c r="T3432" s="1"/>
      <c r="U3432" s="1"/>
      <c r="V3432" s="1"/>
      <c r="W3432" s="1"/>
      <c r="X3432" s="1"/>
      <c r="Y3432" s="1"/>
      <c r="Z3432" s="1"/>
      <c r="AA3432" s="1"/>
      <c r="AB3432" s="1"/>
      <c r="AC3432" s="1"/>
      <c r="AD3432" s="1"/>
      <c r="AE3432" s="1"/>
      <c r="AF3432" s="1"/>
      <c r="AG3432" s="1"/>
      <c r="AH3432" s="1"/>
    </row>
    <row r="3433" ht="12.75" hidden="1" customHeight="1" outlineLevel="1">
      <c r="A3433" s="17">
        <v>41621.0</v>
      </c>
      <c r="B3433" s="1"/>
      <c r="C3433" s="1" t="s">
        <v>433</v>
      </c>
      <c r="D3433" s="74"/>
      <c r="E3433" s="67"/>
      <c r="F3433" s="75"/>
      <c r="G3433" s="67"/>
      <c r="H3433" s="68"/>
      <c r="I3433" s="76"/>
      <c r="J3433" s="67"/>
      <c r="K3433" s="7" t="s">
        <v>1103</v>
      </c>
      <c r="L3433" s="77"/>
      <c r="M3433" s="79"/>
      <c r="N3433" s="1"/>
      <c r="O3433" s="1"/>
      <c r="P3433" s="1"/>
      <c r="Q3433" s="1"/>
      <c r="R3433" s="1"/>
      <c r="S3433" s="1"/>
      <c r="T3433" s="1"/>
      <c r="U3433" s="1"/>
      <c r="V3433" s="1"/>
      <c r="W3433" s="1"/>
      <c r="X3433" s="1"/>
      <c r="Y3433" s="1"/>
      <c r="Z3433" s="1"/>
      <c r="AA3433" s="1"/>
      <c r="AB3433" s="1"/>
      <c r="AC3433" s="1"/>
      <c r="AD3433" s="1"/>
      <c r="AE3433" s="1"/>
      <c r="AF3433" s="1"/>
      <c r="AG3433" s="1"/>
      <c r="AH3433" s="1"/>
    </row>
    <row r="3434" ht="12.75" hidden="1" customHeight="1" outlineLevel="1">
      <c r="A3434" s="17">
        <v>41621.0</v>
      </c>
      <c r="B3434" s="1"/>
      <c r="C3434" s="1" t="s">
        <v>435</v>
      </c>
      <c r="D3434" s="74"/>
      <c r="E3434" s="67"/>
      <c r="F3434" s="75"/>
      <c r="G3434" s="67"/>
      <c r="H3434" s="68"/>
      <c r="I3434" s="76"/>
      <c r="J3434" s="67"/>
      <c r="K3434" s="7" t="s">
        <v>1354</v>
      </c>
      <c r="L3434" s="77"/>
      <c r="M3434" s="79"/>
      <c r="N3434" s="1"/>
      <c r="O3434" s="1"/>
      <c r="P3434" s="1"/>
      <c r="Q3434" s="1"/>
      <c r="R3434" s="1"/>
      <c r="S3434" s="1"/>
      <c r="T3434" s="1"/>
      <c r="U3434" s="1"/>
      <c r="V3434" s="1"/>
      <c r="W3434" s="1"/>
      <c r="X3434" s="1"/>
      <c r="Y3434" s="1"/>
      <c r="Z3434" s="1"/>
      <c r="AA3434" s="1"/>
      <c r="AB3434" s="1"/>
      <c r="AC3434" s="1"/>
      <c r="AD3434" s="1"/>
      <c r="AE3434" s="1"/>
      <c r="AF3434" s="1"/>
      <c r="AG3434" s="1"/>
      <c r="AH3434" s="1"/>
    </row>
    <row r="3435" ht="12.75" hidden="1" customHeight="1" outlineLevel="1">
      <c r="A3435" s="17">
        <v>41623.0</v>
      </c>
      <c r="B3435" s="1"/>
      <c r="C3435" s="1" t="s">
        <v>339</v>
      </c>
      <c r="D3435" s="74"/>
      <c r="E3435" s="67"/>
      <c r="F3435" s="75"/>
      <c r="G3435" s="67"/>
      <c r="H3435" s="68"/>
      <c r="I3435" s="76"/>
      <c r="J3435" s="67"/>
      <c r="K3435" s="7" t="s">
        <v>1464</v>
      </c>
      <c r="L3435" s="77"/>
      <c r="M3435" s="79"/>
      <c r="N3435" s="1"/>
      <c r="O3435" s="1"/>
      <c r="P3435" s="1"/>
      <c r="Q3435" s="1"/>
      <c r="R3435" s="1"/>
      <c r="S3435" s="1"/>
      <c r="T3435" s="1"/>
      <c r="U3435" s="1"/>
      <c r="V3435" s="1"/>
      <c r="W3435" s="1"/>
      <c r="X3435" s="1"/>
      <c r="Y3435" s="1"/>
      <c r="Z3435" s="1"/>
      <c r="AA3435" s="1"/>
      <c r="AB3435" s="1"/>
      <c r="AC3435" s="1"/>
      <c r="AD3435" s="1"/>
      <c r="AE3435" s="1"/>
      <c r="AF3435" s="1"/>
      <c r="AG3435" s="1"/>
      <c r="AH3435" s="1"/>
    </row>
    <row r="3436" ht="12.75" hidden="1" customHeight="1" outlineLevel="1">
      <c r="A3436" s="17">
        <v>41623.0</v>
      </c>
      <c r="B3436" s="1"/>
      <c r="C3436" s="1" t="s">
        <v>429</v>
      </c>
      <c r="D3436" s="74"/>
      <c r="E3436" s="67"/>
      <c r="F3436" s="75"/>
      <c r="G3436" s="67"/>
      <c r="H3436" s="68"/>
      <c r="I3436" s="76"/>
      <c r="J3436" s="67"/>
      <c r="K3436" s="7" t="s">
        <v>1352</v>
      </c>
      <c r="L3436" s="77"/>
      <c r="M3436" s="79"/>
      <c r="N3436" s="1"/>
      <c r="O3436" s="1"/>
      <c r="P3436" s="1"/>
      <c r="Q3436" s="1"/>
      <c r="R3436" s="1"/>
      <c r="S3436" s="1"/>
      <c r="T3436" s="1"/>
      <c r="U3436" s="1"/>
      <c r="V3436" s="1"/>
      <c r="W3436" s="1"/>
      <c r="X3436" s="1"/>
      <c r="Y3436" s="1"/>
      <c r="Z3436" s="1"/>
      <c r="AA3436" s="1"/>
      <c r="AB3436" s="1"/>
      <c r="AC3436" s="1"/>
      <c r="AD3436" s="1"/>
      <c r="AE3436" s="1"/>
      <c r="AF3436" s="1"/>
      <c r="AG3436" s="1"/>
      <c r="AH3436" s="1"/>
    </row>
    <row r="3437" ht="12.75" hidden="1" customHeight="1" outlineLevel="1">
      <c r="A3437" s="17">
        <v>41623.0</v>
      </c>
      <c r="B3437" s="1"/>
      <c r="C3437" s="1" t="s">
        <v>431</v>
      </c>
      <c r="D3437" s="74"/>
      <c r="E3437" s="67"/>
      <c r="F3437" s="75"/>
      <c r="G3437" s="67"/>
      <c r="H3437" s="68"/>
      <c r="I3437" s="76"/>
      <c r="J3437" s="67"/>
      <c r="K3437" s="7" t="s">
        <v>1126</v>
      </c>
      <c r="L3437" s="77"/>
      <c r="M3437" s="79"/>
      <c r="N3437" s="1"/>
      <c r="O3437" s="1"/>
      <c r="P3437" s="1"/>
      <c r="Q3437" s="1"/>
      <c r="R3437" s="1"/>
      <c r="S3437" s="1"/>
      <c r="T3437" s="1"/>
      <c r="U3437" s="1"/>
      <c r="V3437" s="1"/>
      <c r="W3437" s="1"/>
      <c r="X3437" s="1"/>
      <c r="Y3437" s="1"/>
      <c r="Z3437" s="1"/>
      <c r="AA3437" s="1"/>
      <c r="AB3437" s="1"/>
      <c r="AC3437" s="1"/>
      <c r="AD3437" s="1"/>
      <c r="AE3437" s="1"/>
      <c r="AF3437" s="1"/>
      <c r="AG3437" s="1"/>
      <c r="AH3437" s="1"/>
    </row>
    <row r="3438" ht="12.75" hidden="1" customHeight="1" outlineLevel="1">
      <c r="A3438" s="17">
        <v>41623.0</v>
      </c>
      <c r="B3438" s="1"/>
      <c r="C3438" s="1" t="s">
        <v>433</v>
      </c>
      <c r="D3438" s="74"/>
      <c r="E3438" s="67"/>
      <c r="F3438" s="75"/>
      <c r="G3438" s="67"/>
      <c r="H3438" s="68"/>
      <c r="I3438" s="76"/>
      <c r="J3438" s="67"/>
      <c r="K3438" s="7" t="s">
        <v>1103</v>
      </c>
      <c r="L3438" s="77"/>
      <c r="M3438" s="79"/>
      <c r="N3438" s="1"/>
      <c r="O3438" s="1"/>
      <c r="P3438" s="1"/>
      <c r="Q3438" s="1"/>
      <c r="R3438" s="1"/>
      <c r="S3438" s="1"/>
      <c r="T3438" s="1"/>
      <c r="U3438" s="1"/>
      <c r="V3438" s="1"/>
      <c r="W3438" s="1"/>
      <c r="X3438" s="1"/>
      <c r="Y3438" s="1"/>
      <c r="Z3438" s="1"/>
      <c r="AA3438" s="1"/>
      <c r="AB3438" s="1"/>
      <c r="AC3438" s="1"/>
      <c r="AD3438" s="1"/>
      <c r="AE3438" s="1"/>
      <c r="AF3438" s="1"/>
      <c r="AG3438" s="1"/>
      <c r="AH3438" s="1"/>
    </row>
    <row r="3439" ht="12.75" hidden="1" customHeight="1" outlineLevel="1">
      <c r="A3439" s="17">
        <v>41623.0</v>
      </c>
      <c r="B3439" s="1"/>
      <c r="C3439" s="1" t="s">
        <v>435</v>
      </c>
      <c r="D3439" s="74"/>
      <c r="E3439" s="67"/>
      <c r="F3439" s="75"/>
      <c r="G3439" s="67"/>
      <c r="H3439" s="68"/>
      <c r="I3439" s="76"/>
      <c r="J3439" s="67"/>
      <c r="K3439" s="7" t="s">
        <v>1354</v>
      </c>
      <c r="L3439" s="77"/>
      <c r="M3439" s="79"/>
      <c r="N3439" s="1"/>
      <c r="O3439" s="1"/>
      <c r="P3439" s="1"/>
      <c r="Q3439" s="1"/>
      <c r="R3439" s="1"/>
      <c r="S3439" s="1"/>
      <c r="T3439" s="1"/>
      <c r="U3439" s="1"/>
      <c r="V3439" s="1"/>
      <c r="W3439" s="1"/>
      <c r="X3439" s="1"/>
      <c r="Y3439" s="1"/>
      <c r="Z3439" s="1"/>
      <c r="AA3439" s="1"/>
      <c r="AB3439" s="1"/>
      <c r="AC3439" s="1"/>
      <c r="AD3439" s="1"/>
      <c r="AE3439" s="1"/>
      <c r="AF3439" s="1"/>
      <c r="AG3439" s="1"/>
      <c r="AH3439" s="1"/>
    </row>
    <row r="3440" ht="12.75" hidden="1" customHeight="1" outlineLevel="1">
      <c r="A3440" s="17">
        <v>41624.0</v>
      </c>
      <c r="B3440" s="1"/>
      <c r="C3440" s="1" t="s">
        <v>339</v>
      </c>
      <c r="D3440" s="74"/>
      <c r="E3440" s="67"/>
      <c r="F3440" s="75"/>
      <c r="G3440" s="67"/>
      <c r="H3440" s="68"/>
      <c r="I3440" s="76"/>
      <c r="J3440" s="67"/>
      <c r="K3440" s="7" t="s">
        <v>1464</v>
      </c>
      <c r="L3440" s="77"/>
      <c r="M3440" s="79"/>
      <c r="N3440" s="1"/>
      <c r="O3440" s="1"/>
      <c r="P3440" s="1"/>
      <c r="Q3440" s="1"/>
      <c r="R3440" s="1"/>
      <c r="S3440" s="1"/>
      <c r="T3440" s="1"/>
      <c r="U3440" s="1"/>
      <c r="V3440" s="1"/>
      <c r="W3440" s="1"/>
      <c r="X3440" s="1"/>
      <c r="Y3440" s="1"/>
      <c r="Z3440" s="1"/>
      <c r="AA3440" s="1"/>
      <c r="AB3440" s="1"/>
      <c r="AC3440" s="1"/>
      <c r="AD3440" s="1"/>
      <c r="AE3440" s="1"/>
      <c r="AF3440" s="1"/>
      <c r="AG3440" s="1"/>
      <c r="AH3440" s="1"/>
    </row>
    <row r="3441" ht="12.75" hidden="1" customHeight="1" outlineLevel="1">
      <c r="A3441" s="17">
        <v>41624.0</v>
      </c>
      <c r="B3441" s="1"/>
      <c r="C3441" s="1" t="s">
        <v>429</v>
      </c>
      <c r="D3441" s="74"/>
      <c r="E3441" s="67"/>
      <c r="F3441" s="75"/>
      <c r="G3441" s="67"/>
      <c r="H3441" s="68"/>
      <c r="I3441" s="76"/>
      <c r="J3441" s="67"/>
      <c r="K3441" s="7" t="s">
        <v>1352</v>
      </c>
      <c r="L3441" s="77"/>
      <c r="M3441" s="79"/>
      <c r="N3441" s="1"/>
      <c r="O3441" s="1"/>
      <c r="P3441" s="1"/>
      <c r="Q3441" s="1"/>
      <c r="R3441" s="1"/>
      <c r="S3441" s="1"/>
      <c r="T3441" s="1"/>
      <c r="U3441" s="1"/>
      <c r="V3441" s="1"/>
      <c r="W3441" s="1"/>
      <c r="X3441" s="1"/>
      <c r="Y3441" s="1"/>
      <c r="Z3441" s="1"/>
      <c r="AA3441" s="1"/>
      <c r="AB3441" s="1"/>
      <c r="AC3441" s="1"/>
      <c r="AD3441" s="1"/>
      <c r="AE3441" s="1"/>
      <c r="AF3441" s="1"/>
      <c r="AG3441" s="1"/>
      <c r="AH3441" s="1"/>
    </row>
    <row r="3442" ht="12.75" hidden="1" customHeight="1" outlineLevel="1">
      <c r="A3442" s="17">
        <v>41624.0</v>
      </c>
      <c r="B3442" s="1"/>
      <c r="C3442" s="1" t="s">
        <v>431</v>
      </c>
      <c r="D3442" s="74"/>
      <c r="E3442" s="67"/>
      <c r="F3442" s="75"/>
      <c r="G3442" s="67"/>
      <c r="H3442" s="68"/>
      <c r="I3442" s="76"/>
      <c r="J3442" s="67"/>
      <c r="K3442" s="7" t="s">
        <v>1126</v>
      </c>
      <c r="L3442" s="77"/>
      <c r="M3442" s="79"/>
      <c r="N3442" s="1"/>
      <c r="O3442" s="1"/>
      <c r="P3442" s="1"/>
      <c r="Q3442" s="1"/>
      <c r="R3442" s="1"/>
      <c r="S3442" s="1"/>
      <c r="T3442" s="1"/>
      <c r="U3442" s="1"/>
      <c r="V3442" s="1"/>
      <c r="W3442" s="1"/>
      <c r="X3442" s="1"/>
      <c r="Y3442" s="1"/>
      <c r="Z3442" s="1"/>
      <c r="AA3442" s="1"/>
      <c r="AB3442" s="1"/>
      <c r="AC3442" s="1"/>
      <c r="AD3442" s="1"/>
      <c r="AE3442" s="1"/>
      <c r="AF3442" s="1"/>
      <c r="AG3442" s="1"/>
      <c r="AH3442" s="1"/>
    </row>
    <row r="3443" ht="12.75" hidden="1" customHeight="1" outlineLevel="1">
      <c r="A3443" s="17">
        <v>41624.0</v>
      </c>
      <c r="B3443" s="1"/>
      <c r="C3443" s="1" t="s">
        <v>433</v>
      </c>
      <c r="D3443" s="74"/>
      <c r="E3443" s="67"/>
      <c r="F3443" s="75"/>
      <c r="G3443" s="67"/>
      <c r="H3443" s="68"/>
      <c r="I3443" s="76"/>
      <c r="J3443" s="67"/>
      <c r="K3443" s="7" t="s">
        <v>1103</v>
      </c>
      <c r="L3443" s="77"/>
      <c r="M3443" s="79"/>
      <c r="N3443" s="1"/>
      <c r="O3443" s="1"/>
      <c r="P3443" s="1"/>
      <c r="Q3443" s="1"/>
      <c r="R3443" s="1"/>
      <c r="S3443" s="1"/>
      <c r="T3443" s="1"/>
      <c r="U3443" s="1"/>
      <c r="V3443" s="1"/>
      <c r="W3443" s="1"/>
      <c r="X3443" s="1"/>
      <c r="Y3443" s="1"/>
      <c r="Z3443" s="1"/>
      <c r="AA3443" s="1"/>
      <c r="AB3443" s="1"/>
      <c r="AC3443" s="1"/>
      <c r="AD3443" s="1"/>
      <c r="AE3443" s="1"/>
      <c r="AF3443" s="1"/>
      <c r="AG3443" s="1"/>
      <c r="AH3443" s="1"/>
    </row>
    <row r="3444" ht="12.75" hidden="1" customHeight="1" outlineLevel="1">
      <c r="A3444" s="17">
        <v>41624.0</v>
      </c>
      <c r="B3444" s="1"/>
      <c r="C3444" s="1" t="s">
        <v>435</v>
      </c>
      <c r="D3444" s="74"/>
      <c r="E3444" s="67"/>
      <c r="F3444" s="75"/>
      <c r="G3444" s="67"/>
      <c r="H3444" s="68"/>
      <c r="I3444" s="76"/>
      <c r="J3444" s="67"/>
      <c r="K3444" s="7" t="s">
        <v>1354</v>
      </c>
      <c r="L3444" s="77"/>
      <c r="M3444" s="79"/>
      <c r="N3444" s="1"/>
      <c r="O3444" s="1"/>
      <c r="P3444" s="1"/>
      <c r="Q3444" s="1"/>
      <c r="R3444" s="1"/>
      <c r="S3444" s="1"/>
      <c r="T3444" s="1"/>
      <c r="U3444" s="1"/>
      <c r="V3444" s="1"/>
      <c r="W3444" s="1"/>
      <c r="X3444" s="1"/>
      <c r="Y3444" s="1"/>
      <c r="Z3444" s="1"/>
      <c r="AA3444" s="1"/>
      <c r="AB3444" s="1"/>
      <c r="AC3444" s="1"/>
      <c r="AD3444" s="1"/>
      <c r="AE3444" s="1"/>
      <c r="AF3444" s="1"/>
      <c r="AG3444" s="1"/>
      <c r="AH3444" s="1"/>
    </row>
    <row r="3445" ht="12.75" hidden="1" customHeight="1" outlineLevel="1">
      <c r="A3445" s="17">
        <v>41624.0</v>
      </c>
      <c r="B3445" s="1" t="s">
        <v>343</v>
      </c>
      <c r="C3445" s="1" t="s">
        <v>1470</v>
      </c>
      <c r="D3445" s="74">
        <v>210.0</v>
      </c>
      <c r="E3445" s="67">
        <v>95.795</v>
      </c>
      <c r="F3445" s="75">
        <v>0.6616782407407408</v>
      </c>
      <c r="G3445" s="67" t="s">
        <v>453</v>
      </c>
      <c r="H3445" s="68">
        <v>1.05</v>
      </c>
      <c r="I3445" s="76"/>
      <c r="J3445" s="67">
        <f t="shared" ref="J3445:J3446" si="231">IF(B3445="SLD",D3445*E3445,-D3445*E3445)-H3445</f>
        <v>-20118</v>
      </c>
      <c r="K3445" s="7"/>
      <c r="L3445" s="70"/>
      <c r="M3445" s="79"/>
      <c r="N3445" s="1"/>
      <c r="O3445" s="1"/>
      <c r="P3445" s="1"/>
      <c r="Q3445" s="1"/>
      <c r="R3445" s="1"/>
      <c r="S3445" s="1"/>
      <c r="T3445" s="1"/>
      <c r="U3445" s="1"/>
      <c r="V3445" s="1"/>
      <c r="W3445" s="1"/>
      <c r="X3445" s="1"/>
      <c r="Y3445" s="1"/>
      <c r="Z3445" s="1"/>
      <c r="AA3445" s="1"/>
      <c r="AB3445" s="1"/>
      <c r="AC3445" s="1"/>
      <c r="AD3445" s="1"/>
      <c r="AE3445" s="1"/>
      <c r="AF3445" s="1"/>
      <c r="AG3445" s="1"/>
      <c r="AH3445" s="1"/>
    </row>
    <row r="3446" ht="12.75" hidden="1" customHeight="1" outlineLevel="1">
      <c r="A3446" s="17">
        <v>41624.0</v>
      </c>
      <c r="B3446" s="1" t="s">
        <v>343</v>
      </c>
      <c r="C3446" s="1" t="s">
        <v>1442</v>
      </c>
      <c r="D3446" s="74">
        <v>1600.0</v>
      </c>
      <c r="E3446" s="67">
        <v>12.474</v>
      </c>
      <c r="F3446" s="75">
        <v>0.6627546296296296</v>
      </c>
      <c r="G3446" s="67" t="s">
        <v>453</v>
      </c>
      <c r="H3446" s="68">
        <v>7.4</v>
      </c>
      <c r="I3446" s="76"/>
      <c r="J3446" s="67">
        <f t="shared" si="231"/>
        <v>-19965.8</v>
      </c>
      <c r="K3446" s="7"/>
      <c r="L3446" s="70"/>
      <c r="M3446" s="79"/>
      <c r="N3446" s="1"/>
      <c r="O3446" s="1"/>
      <c r="P3446" s="1"/>
      <c r="Q3446" s="1"/>
      <c r="R3446" s="1"/>
      <c r="S3446" s="1"/>
      <c r="T3446" s="1"/>
      <c r="U3446" s="1"/>
      <c r="V3446" s="1"/>
      <c r="W3446" s="1"/>
      <c r="X3446" s="1"/>
      <c r="Y3446" s="1"/>
      <c r="Z3446" s="1"/>
      <c r="AA3446" s="1"/>
      <c r="AB3446" s="1"/>
      <c r="AC3446" s="1"/>
      <c r="AD3446" s="1"/>
      <c r="AE3446" s="1"/>
      <c r="AF3446" s="1"/>
      <c r="AG3446" s="1"/>
      <c r="AH3446" s="1"/>
    </row>
    <row r="3447" ht="12.75" hidden="1" customHeight="1" outlineLevel="1">
      <c r="A3447" s="17">
        <v>41624.0</v>
      </c>
      <c r="B3447" s="1"/>
      <c r="C3447" s="1" t="s">
        <v>339</v>
      </c>
      <c r="D3447" s="74"/>
      <c r="E3447" s="67"/>
      <c r="F3447" s="75"/>
      <c r="G3447" s="67"/>
      <c r="H3447" s="68"/>
      <c r="I3447" s="76"/>
      <c r="J3447" s="67"/>
      <c r="K3447" s="7" t="s">
        <v>1473</v>
      </c>
      <c r="L3447" s="77"/>
      <c r="M3447" s="79"/>
      <c r="N3447" s="1"/>
      <c r="O3447" s="1"/>
      <c r="P3447" s="1"/>
      <c r="Q3447" s="1"/>
      <c r="R3447" s="1"/>
      <c r="S3447" s="1"/>
      <c r="T3447" s="1"/>
      <c r="U3447" s="1"/>
      <c r="V3447" s="1"/>
      <c r="W3447" s="1"/>
      <c r="X3447" s="1"/>
      <c r="Y3447" s="1"/>
      <c r="Z3447" s="1"/>
      <c r="AA3447" s="1"/>
      <c r="AB3447" s="1"/>
      <c r="AC3447" s="1"/>
      <c r="AD3447" s="1"/>
      <c r="AE3447" s="1"/>
      <c r="AF3447" s="1"/>
      <c r="AG3447" s="1"/>
      <c r="AH3447" s="1"/>
    </row>
    <row r="3448" ht="12.75" hidden="1" customHeight="1" outlineLevel="1">
      <c r="A3448" s="17">
        <v>41624.0</v>
      </c>
      <c r="B3448" s="1"/>
      <c r="C3448" s="1" t="s">
        <v>429</v>
      </c>
      <c r="D3448" s="74"/>
      <c r="E3448" s="67"/>
      <c r="F3448" s="75"/>
      <c r="G3448" s="67"/>
      <c r="H3448" s="68"/>
      <c r="I3448" s="76"/>
      <c r="J3448" s="67"/>
      <c r="K3448" s="7" t="s">
        <v>1352</v>
      </c>
      <c r="L3448" s="77"/>
      <c r="M3448" s="79"/>
      <c r="N3448" s="1"/>
      <c r="O3448" s="1"/>
      <c r="P3448" s="1"/>
      <c r="Q3448" s="1"/>
      <c r="R3448" s="1"/>
      <c r="S3448" s="1"/>
      <c r="T3448" s="1"/>
      <c r="U3448" s="1"/>
      <c r="V3448" s="1"/>
      <c r="W3448" s="1"/>
      <c r="X3448" s="1"/>
      <c r="Y3448" s="1"/>
      <c r="Z3448" s="1"/>
      <c r="AA3448" s="1"/>
      <c r="AB3448" s="1"/>
      <c r="AC3448" s="1"/>
      <c r="AD3448" s="1"/>
      <c r="AE3448" s="1"/>
      <c r="AF3448" s="1"/>
      <c r="AG3448" s="1"/>
      <c r="AH3448" s="1"/>
    </row>
    <row r="3449" ht="12.75" hidden="1" customHeight="1" outlineLevel="1">
      <c r="A3449" s="17">
        <v>41624.0</v>
      </c>
      <c r="B3449" s="1"/>
      <c r="C3449" s="1" t="s">
        <v>431</v>
      </c>
      <c r="D3449" s="74"/>
      <c r="E3449" s="67"/>
      <c r="F3449" s="75"/>
      <c r="G3449" s="67"/>
      <c r="H3449" s="68"/>
      <c r="I3449" s="76"/>
      <c r="J3449" s="67"/>
      <c r="K3449" s="7" t="s">
        <v>1126</v>
      </c>
      <c r="L3449" s="77"/>
      <c r="M3449" s="79"/>
      <c r="N3449" s="1"/>
      <c r="O3449" s="1"/>
      <c r="P3449" s="1"/>
      <c r="Q3449" s="1"/>
      <c r="R3449" s="1"/>
      <c r="S3449" s="1"/>
      <c r="T3449" s="1"/>
      <c r="U3449" s="1"/>
      <c r="V3449" s="1"/>
      <c r="W3449" s="1"/>
      <c r="X3449" s="1"/>
      <c r="Y3449" s="1"/>
      <c r="Z3449" s="1"/>
      <c r="AA3449" s="1"/>
      <c r="AB3449" s="1"/>
      <c r="AC3449" s="1"/>
      <c r="AD3449" s="1"/>
      <c r="AE3449" s="1"/>
      <c r="AF3449" s="1"/>
      <c r="AG3449" s="1"/>
      <c r="AH3449" s="1"/>
    </row>
    <row r="3450" ht="12.75" hidden="1" customHeight="1" outlineLevel="1">
      <c r="A3450" s="17">
        <v>41624.0</v>
      </c>
      <c r="B3450" s="1"/>
      <c r="C3450" s="1" t="s">
        <v>433</v>
      </c>
      <c r="D3450" s="74"/>
      <c r="E3450" s="67"/>
      <c r="F3450" s="75"/>
      <c r="G3450" s="67"/>
      <c r="H3450" s="68"/>
      <c r="I3450" s="76"/>
      <c r="J3450" s="67"/>
      <c r="K3450" s="7" t="s">
        <v>1103</v>
      </c>
      <c r="L3450" s="77"/>
      <c r="M3450" s="79"/>
      <c r="N3450" s="1"/>
      <c r="O3450" s="1"/>
      <c r="P3450" s="1"/>
      <c r="Q3450" s="1"/>
      <c r="R3450" s="1"/>
      <c r="S3450" s="1"/>
      <c r="T3450" s="1"/>
      <c r="U3450" s="1"/>
      <c r="V3450" s="1"/>
      <c r="W3450" s="1"/>
      <c r="X3450" s="1"/>
      <c r="Y3450" s="1"/>
      <c r="Z3450" s="1"/>
      <c r="AA3450" s="1"/>
      <c r="AB3450" s="1"/>
      <c r="AC3450" s="1"/>
      <c r="AD3450" s="1"/>
      <c r="AE3450" s="1"/>
      <c r="AF3450" s="1"/>
      <c r="AG3450" s="1"/>
      <c r="AH3450" s="1"/>
    </row>
    <row r="3451" ht="12.75" hidden="1" customHeight="1" outlineLevel="1">
      <c r="A3451" s="17">
        <v>41624.0</v>
      </c>
      <c r="B3451" s="1"/>
      <c r="C3451" s="1" t="s">
        <v>435</v>
      </c>
      <c r="D3451" s="74"/>
      <c r="E3451" s="67"/>
      <c r="F3451" s="75"/>
      <c r="G3451" s="67"/>
      <c r="H3451" s="68"/>
      <c r="I3451" s="76"/>
      <c r="J3451" s="67"/>
      <c r="K3451" s="7" t="s">
        <v>1354</v>
      </c>
      <c r="L3451" s="77"/>
      <c r="M3451" s="79"/>
      <c r="N3451" s="1"/>
      <c r="O3451" s="1"/>
      <c r="P3451" s="1"/>
      <c r="Q3451" s="1"/>
      <c r="R3451" s="1"/>
      <c r="S3451" s="1"/>
      <c r="T3451" s="1"/>
      <c r="U3451" s="1"/>
      <c r="V3451" s="1"/>
      <c r="W3451" s="1"/>
      <c r="X3451" s="1"/>
      <c r="Y3451" s="1"/>
      <c r="Z3451" s="1"/>
      <c r="AA3451" s="1"/>
      <c r="AB3451" s="1"/>
      <c r="AC3451" s="1"/>
      <c r="AD3451" s="1"/>
      <c r="AE3451" s="1"/>
      <c r="AF3451" s="1"/>
      <c r="AG3451" s="1"/>
      <c r="AH3451" s="1"/>
    </row>
    <row r="3452" ht="12.75" hidden="1" customHeight="1" outlineLevel="1">
      <c r="A3452" s="17">
        <v>41625.0</v>
      </c>
      <c r="B3452" s="1"/>
      <c r="C3452" s="1" t="s">
        <v>339</v>
      </c>
      <c r="D3452" s="74"/>
      <c r="E3452" s="67"/>
      <c r="F3452" s="75"/>
      <c r="G3452" s="67"/>
      <c r="H3452" s="68"/>
      <c r="I3452" s="76"/>
      <c r="J3452" s="67"/>
      <c r="K3452" s="7" t="s">
        <v>1477</v>
      </c>
      <c r="L3452" s="77"/>
      <c r="M3452" s="79"/>
      <c r="N3452" s="1"/>
      <c r="O3452" s="1"/>
      <c r="P3452" s="1"/>
      <c r="Q3452" s="1"/>
      <c r="R3452" s="1"/>
      <c r="S3452" s="1"/>
      <c r="T3452" s="1"/>
      <c r="U3452" s="1"/>
      <c r="V3452" s="1"/>
      <c r="W3452" s="1"/>
      <c r="X3452" s="1"/>
      <c r="Y3452" s="1"/>
      <c r="Z3452" s="1"/>
      <c r="AA3452" s="1"/>
      <c r="AB3452" s="1"/>
      <c r="AC3452" s="1"/>
      <c r="AD3452" s="1"/>
      <c r="AE3452" s="1"/>
      <c r="AF3452" s="1"/>
      <c r="AG3452" s="1"/>
      <c r="AH3452" s="1"/>
    </row>
    <row r="3453" ht="12.75" hidden="1" customHeight="1" outlineLevel="1">
      <c r="A3453" s="17">
        <v>41625.0</v>
      </c>
      <c r="B3453" s="1"/>
      <c r="C3453" s="1" t="s">
        <v>429</v>
      </c>
      <c r="D3453" s="74"/>
      <c r="E3453" s="67"/>
      <c r="F3453" s="75"/>
      <c r="G3453" s="67"/>
      <c r="H3453" s="68"/>
      <c r="I3453" s="76"/>
      <c r="J3453" s="67"/>
      <c r="K3453" s="7" t="s">
        <v>1352</v>
      </c>
      <c r="L3453" s="77"/>
      <c r="M3453" s="79"/>
      <c r="N3453" s="1"/>
      <c r="O3453" s="1"/>
      <c r="P3453" s="1"/>
      <c r="Q3453" s="1"/>
      <c r="R3453" s="1"/>
      <c r="S3453" s="1"/>
      <c r="T3453" s="1"/>
      <c r="U3453" s="1"/>
      <c r="V3453" s="1"/>
      <c r="W3453" s="1"/>
      <c r="X3453" s="1"/>
      <c r="Y3453" s="1"/>
      <c r="Z3453" s="1"/>
      <c r="AA3453" s="1"/>
      <c r="AB3453" s="1"/>
      <c r="AC3453" s="1"/>
      <c r="AD3453" s="1"/>
      <c r="AE3453" s="1"/>
      <c r="AF3453" s="1"/>
      <c r="AG3453" s="1"/>
      <c r="AH3453" s="1"/>
    </row>
    <row r="3454" ht="12.75" hidden="1" customHeight="1" outlineLevel="1">
      <c r="A3454" s="17">
        <v>41625.0</v>
      </c>
      <c r="B3454" s="1"/>
      <c r="C3454" s="1" t="s">
        <v>431</v>
      </c>
      <c r="D3454" s="74"/>
      <c r="E3454" s="67"/>
      <c r="F3454" s="75"/>
      <c r="G3454" s="67"/>
      <c r="H3454" s="68"/>
      <c r="I3454" s="76"/>
      <c r="J3454" s="67"/>
      <c r="K3454" s="7" t="s">
        <v>1126</v>
      </c>
      <c r="L3454" s="77"/>
      <c r="M3454" s="79"/>
      <c r="N3454" s="1"/>
      <c r="O3454" s="1"/>
      <c r="P3454" s="1"/>
      <c r="Q3454" s="1"/>
      <c r="R3454" s="1"/>
      <c r="S3454" s="1"/>
      <c r="T3454" s="1"/>
      <c r="U3454" s="1"/>
      <c r="V3454" s="1"/>
      <c r="W3454" s="1"/>
      <c r="X3454" s="1"/>
      <c r="Y3454" s="1"/>
      <c r="Z3454" s="1"/>
      <c r="AA3454" s="1"/>
      <c r="AB3454" s="1"/>
      <c r="AC3454" s="1"/>
      <c r="AD3454" s="1"/>
      <c r="AE3454" s="1"/>
      <c r="AF3454" s="1"/>
      <c r="AG3454" s="1"/>
      <c r="AH3454" s="1"/>
    </row>
    <row r="3455" ht="12.75" hidden="1" customHeight="1" outlineLevel="1">
      <c r="A3455" s="17">
        <v>41625.0</v>
      </c>
      <c r="B3455" s="1"/>
      <c r="C3455" s="1" t="s">
        <v>433</v>
      </c>
      <c r="D3455" s="74"/>
      <c r="E3455" s="67"/>
      <c r="F3455" s="75"/>
      <c r="G3455" s="67"/>
      <c r="H3455" s="68"/>
      <c r="I3455" s="76"/>
      <c r="J3455" s="67"/>
      <c r="K3455" s="7" t="s">
        <v>1103</v>
      </c>
      <c r="L3455" s="77"/>
      <c r="M3455" s="79"/>
      <c r="N3455" s="1"/>
      <c r="O3455" s="1"/>
      <c r="P3455" s="1"/>
      <c r="Q3455" s="1"/>
      <c r="R3455" s="1"/>
      <c r="S3455" s="1"/>
      <c r="T3455" s="1"/>
      <c r="U3455" s="1"/>
      <c r="V3455" s="1"/>
      <c r="W3455" s="1"/>
      <c r="X3455" s="1"/>
      <c r="Y3455" s="1"/>
      <c r="Z3455" s="1"/>
      <c r="AA3455" s="1"/>
      <c r="AB3455" s="1"/>
      <c r="AC3455" s="1"/>
      <c r="AD3455" s="1"/>
      <c r="AE3455" s="1"/>
      <c r="AF3455" s="1"/>
      <c r="AG3455" s="1"/>
      <c r="AH3455" s="1"/>
    </row>
    <row r="3456" ht="12.75" hidden="1" customHeight="1" outlineLevel="1">
      <c r="A3456" s="17">
        <v>41625.0</v>
      </c>
      <c r="B3456" s="1"/>
      <c r="C3456" s="1" t="s">
        <v>435</v>
      </c>
      <c r="D3456" s="74"/>
      <c r="E3456" s="67"/>
      <c r="F3456" s="75"/>
      <c r="G3456" s="67"/>
      <c r="H3456" s="68"/>
      <c r="I3456" s="76"/>
      <c r="J3456" s="67"/>
      <c r="K3456" s="7" t="s">
        <v>1354</v>
      </c>
      <c r="L3456" s="77"/>
      <c r="M3456" s="79"/>
      <c r="N3456" s="1"/>
      <c r="O3456" s="1"/>
      <c r="P3456" s="1"/>
      <c r="Q3456" s="1"/>
      <c r="R3456" s="1"/>
      <c r="S3456" s="1"/>
      <c r="T3456" s="1"/>
      <c r="U3456" s="1"/>
      <c r="V3456" s="1"/>
      <c r="W3456" s="1"/>
      <c r="X3456" s="1"/>
      <c r="Y3456" s="1"/>
      <c r="Z3456" s="1"/>
      <c r="AA3456" s="1"/>
      <c r="AB3456" s="1"/>
      <c r="AC3456" s="1"/>
      <c r="AD3456" s="1"/>
      <c r="AE3456" s="1"/>
      <c r="AF3456" s="1"/>
      <c r="AG3456" s="1"/>
      <c r="AH3456" s="1"/>
    </row>
    <row r="3457" ht="12.75" hidden="1" customHeight="1" outlineLevel="1">
      <c r="A3457" s="17">
        <v>41626.0</v>
      </c>
      <c r="B3457" s="1"/>
      <c r="C3457" s="1" t="s">
        <v>339</v>
      </c>
      <c r="D3457" s="74"/>
      <c r="E3457" s="67"/>
      <c r="F3457" s="75"/>
      <c r="G3457" s="67"/>
      <c r="H3457" s="68"/>
      <c r="I3457" s="76"/>
      <c r="J3457" s="67"/>
      <c r="K3457" s="7" t="s">
        <v>1478</v>
      </c>
      <c r="L3457" s="77"/>
      <c r="M3457" s="79"/>
      <c r="N3457" s="1"/>
      <c r="O3457" s="1"/>
      <c r="P3457" s="1"/>
      <c r="Q3457" s="1"/>
      <c r="R3457" s="1"/>
      <c r="S3457" s="1"/>
      <c r="T3457" s="1"/>
      <c r="U3457" s="1"/>
      <c r="V3457" s="1"/>
      <c r="W3457" s="1"/>
      <c r="X3457" s="1"/>
      <c r="Y3457" s="1"/>
      <c r="Z3457" s="1"/>
      <c r="AA3457" s="1"/>
      <c r="AB3457" s="1"/>
      <c r="AC3457" s="1"/>
      <c r="AD3457" s="1"/>
      <c r="AE3457" s="1"/>
      <c r="AF3457" s="1"/>
      <c r="AG3457" s="1"/>
      <c r="AH3457" s="1"/>
    </row>
    <row r="3458" ht="12.75" hidden="1" customHeight="1" outlineLevel="1">
      <c r="A3458" s="17">
        <v>41626.0</v>
      </c>
      <c r="B3458" s="1"/>
      <c r="C3458" s="1" t="s">
        <v>429</v>
      </c>
      <c r="D3458" s="74"/>
      <c r="E3458" s="67"/>
      <c r="F3458" s="75"/>
      <c r="G3458" s="67"/>
      <c r="H3458" s="68"/>
      <c r="I3458" s="76"/>
      <c r="J3458" s="67"/>
      <c r="K3458" s="7" t="s">
        <v>1352</v>
      </c>
      <c r="L3458" s="77"/>
      <c r="M3458" s="79"/>
      <c r="N3458" s="1"/>
      <c r="O3458" s="1"/>
      <c r="P3458" s="1"/>
      <c r="Q3458" s="1"/>
      <c r="R3458" s="1"/>
      <c r="S3458" s="1"/>
      <c r="T3458" s="1"/>
      <c r="U3458" s="1"/>
      <c r="V3458" s="1"/>
      <c r="W3458" s="1"/>
      <c r="X3458" s="1"/>
      <c r="Y3458" s="1"/>
      <c r="Z3458" s="1"/>
      <c r="AA3458" s="1"/>
      <c r="AB3458" s="1"/>
      <c r="AC3458" s="1"/>
      <c r="AD3458" s="1"/>
      <c r="AE3458" s="1"/>
      <c r="AF3458" s="1"/>
      <c r="AG3458" s="1"/>
      <c r="AH3458" s="1"/>
    </row>
    <row r="3459" ht="12.75" hidden="1" customHeight="1" outlineLevel="1">
      <c r="A3459" s="17">
        <v>41626.0</v>
      </c>
      <c r="B3459" s="1"/>
      <c r="C3459" s="1" t="s">
        <v>431</v>
      </c>
      <c r="D3459" s="74"/>
      <c r="E3459" s="67"/>
      <c r="F3459" s="75"/>
      <c r="G3459" s="67"/>
      <c r="H3459" s="68"/>
      <c r="I3459" s="76"/>
      <c r="J3459" s="67"/>
      <c r="K3459" s="7" t="s">
        <v>1126</v>
      </c>
      <c r="L3459" s="77"/>
      <c r="M3459" s="79"/>
      <c r="N3459" s="1"/>
      <c r="O3459" s="1"/>
      <c r="P3459" s="1"/>
      <c r="Q3459" s="1"/>
      <c r="R3459" s="1"/>
      <c r="S3459" s="1"/>
      <c r="T3459" s="1"/>
      <c r="U3459" s="1"/>
      <c r="V3459" s="1"/>
      <c r="W3459" s="1"/>
      <c r="X3459" s="1"/>
      <c r="Y3459" s="1"/>
      <c r="Z3459" s="1"/>
      <c r="AA3459" s="1"/>
      <c r="AB3459" s="1"/>
      <c r="AC3459" s="1"/>
      <c r="AD3459" s="1"/>
      <c r="AE3459" s="1"/>
      <c r="AF3459" s="1"/>
      <c r="AG3459" s="1"/>
      <c r="AH3459" s="1"/>
    </row>
    <row r="3460" ht="12.75" hidden="1" customHeight="1" outlineLevel="1">
      <c r="A3460" s="17">
        <v>41626.0</v>
      </c>
      <c r="B3460" s="1"/>
      <c r="C3460" s="1" t="s">
        <v>433</v>
      </c>
      <c r="D3460" s="74"/>
      <c r="E3460" s="67"/>
      <c r="F3460" s="75"/>
      <c r="G3460" s="67"/>
      <c r="H3460" s="68"/>
      <c r="I3460" s="76"/>
      <c r="J3460" s="67"/>
      <c r="K3460" s="7" t="s">
        <v>1103</v>
      </c>
      <c r="L3460" s="77"/>
      <c r="M3460" s="79"/>
      <c r="N3460" s="1"/>
      <c r="O3460" s="1"/>
      <c r="P3460" s="1"/>
      <c r="Q3460" s="1"/>
      <c r="R3460" s="1"/>
      <c r="S3460" s="1"/>
      <c r="T3460" s="1"/>
      <c r="U3460" s="1"/>
      <c r="V3460" s="1"/>
      <c r="W3460" s="1"/>
      <c r="X3460" s="1"/>
      <c r="Y3460" s="1"/>
      <c r="Z3460" s="1"/>
      <c r="AA3460" s="1"/>
      <c r="AB3460" s="1"/>
      <c r="AC3460" s="1"/>
      <c r="AD3460" s="1"/>
      <c r="AE3460" s="1"/>
      <c r="AF3460" s="1"/>
      <c r="AG3460" s="1"/>
      <c r="AH3460" s="1"/>
    </row>
    <row r="3461" ht="12.75" hidden="1" customHeight="1" outlineLevel="1">
      <c r="A3461" s="17">
        <v>41626.0</v>
      </c>
      <c r="B3461" s="1"/>
      <c r="C3461" s="1" t="s">
        <v>435</v>
      </c>
      <c r="D3461" s="74"/>
      <c r="E3461" s="67"/>
      <c r="F3461" s="75"/>
      <c r="G3461" s="67"/>
      <c r="H3461" s="68"/>
      <c r="I3461" s="76"/>
      <c r="J3461" s="67"/>
      <c r="K3461" s="7" t="s">
        <v>1354</v>
      </c>
      <c r="L3461" s="77"/>
      <c r="M3461" s="79"/>
      <c r="N3461" s="1"/>
      <c r="O3461" s="1"/>
      <c r="P3461" s="1"/>
      <c r="Q3461" s="1"/>
      <c r="R3461" s="1"/>
      <c r="S3461" s="1"/>
      <c r="T3461" s="1"/>
      <c r="U3461" s="1"/>
      <c r="V3461" s="1"/>
      <c r="W3461" s="1"/>
      <c r="X3461" s="1"/>
      <c r="Y3461" s="1"/>
      <c r="Z3461" s="1"/>
      <c r="AA3461" s="1"/>
      <c r="AB3461" s="1"/>
      <c r="AC3461" s="1"/>
      <c r="AD3461" s="1"/>
      <c r="AE3461" s="1"/>
      <c r="AF3461" s="1"/>
      <c r="AG3461" s="1"/>
      <c r="AH3461" s="1"/>
    </row>
    <row r="3462" ht="12.75" hidden="1" customHeight="1" outlineLevel="1">
      <c r="A3462" s="17">
        <v>41626.0</v>
      </c>
      <c r="B3462" s="1" t="s">
        <v>343</v>
      </c>
      <c r="C3462" s="1" t="s">
        <v>1483</v>
      </c>
      <c r="D3462" s="74">
        <v>1500.0</v>
      </c>
      <c r="E3462" s="67">
        <v>2.68</v>
      </c>
      <c r="F3462" s="75">
        <v>0.5907407407407407</v>
      </c>
      <c r="G3462" s="67" t="s">
        <v>453</v>
      </c>
      <c r="H3462" s="68">
        <v>7.5</v>
      </c>
      <c r="I3462" s="76"/>
      <c r="J3462" s="67">
        <f t="shared" ref="J3462:J3463" si="232">IF(B3462="SLD",D3462*E3462,-D3462*E3462)-H3462</f>
        <v>-4027.5</v>
      </c>
      <c r="K3462" s="7"/>
      <c r="L3462" s="70"/>
      <c r="M3462" s="79"/>
      <c r="N3462" s="1"/>
      <c r="O3462" s="1"/>
      <c r="P3462" s="1"/>
      <c r="Q3462" s="1"/>
      <c r="R3462" s="1"/>
      <c r="S3462" s="1"/>
      <c r="T3462" s="1"/>
      <c r="U3462" s="1"/>
      <c r="V3462" s="1"/>
      <c r="W3462" s="1"/>
      <c r="X3462" s="1"/>
      <c r="Y3462" s="1"/>
      <c r="Z3462" s="1"/>
      <c r="AA3462" s="1"/>
      <c r="AB3462" s="1"/>
      <c r="AC3462" s="1"/>
      <c r="AD3462" s="1"/>
      <c r="AE3462" s="1"/>
      <c r="AF3462" s="1"/>
      <c r="AG3462" s="1"/>
      <c r="AH3462" s="1"/>
    </row>
    <row r="3463" ht="12.75" hidden="1" customHeight="1" outlineLevel="1">
      <c r="A3463" s="17">
        <v>41626.0</v>
      </c>
      <c r="B3463" s="1" t="s">
        <v>343</v>
      </c>
      <c r="C3463" s="1" t="s">
        <v>1485</v>
      </c>
      <c r="D3463" s="74">
        <v>1500.0</v>
      </c>
      <c r="E3463" s="67">
        <v>8.58</v>
      </c>
      <c r="F3463" s="75">
        <v>0.6012615740740741</v>
      </c>
      <c r="G3463" s="67" t="s">
        <v>453</v>
      </c>
      <c r="H3463" s="68">
        <v>7.5</v>
      </c>
      <c r="I3463" s="76"/>
      <c r="J3463" s="67">
        <f t="shared" si="232"/>
        <v>-12877.5</v>
      </c>
      <c r="K3463" s="7"/>
      <c r="L3463" s="70"/>
      <c r="M3463" s="79"/>
      <c r="N3463" s="1"/>
      <c r="O3463" s="1"/>
      <c r="P3463" s="1"/>
      <c r="Q3463" s="1"/>
      <c r="R3463" s="1"/>
      <c r="S3463" s="1"/>
      <c r="T3463" s="1"/>
      <c r="U3463" s="1"/>
      <c r="V3463" s="1"/>
      <c r="W3463" s="1"/>
      <c r="X3463" s="1"/>
      <c r="Y3463" s="1"/>
      <c r="Z3463" s="1"/>
      <c r="AA3463" s="1"/>
      <c r="AB3463" s="1"/>
      <c r="AC3463" s="1"/>
      <c r="AD3463" s="1"/>
      <c r="AE3463" s="1"/>
      <c r="AF3463" s="1"/>
      <c r="AG3463" s="1"/>
      <c r="AH3463" s="1"/>
    </row>
    <row r="3464" ht="12.75" hidden="1" customHeight="1" outlineLevel="1">
      <c r="A3464" s="17">
        <v>41627.0</v>
      </c>
      <c r="B3464" s="1"/>
      <c r="C3464" s="1" t="s">
        <v>339</v>
      </c>
      <c r="D3464" s="74"/>
      <c r="E3464" s="67"/>
      <c r="F3464" s="75"/>
      <c r="G3464" s="67"/>
      <c r="H3464" s="68"/>
      <c r="I3464" s="76"/>
      <c r="J3464" s="67"/>
      <c r="K3464" s="7" t="s">
        <v>1487</v>
      </c>
      <c r="L3464" s="77"/>
      <c r="M3464" s="79"/>
      <c r="N3464" s="1"/>
      <c r="O3464" s="1"/>
      <c r="P3464" s="1"/>
      <c r="Q3464" s="1"/>
      <c r="R3464" s="1"/>
      <c r="S3464" s="1"/>
      <c r="T3464" s="1"/>
      <c r="U3464" s="1"/>
      <c r="V3464" s="1"/>
      <c r="W3464" s="1"/>
      <c r="X3464" s="1"/>
      <c r="Y3464" s="1"/>
      <c r="Z3464" s="1"/>
      <c r="AA3464" s="1"/>
      <c r="AB3464" s="1"/>
      <c r="AC3464" s="1"/>
      <c r="AD3464" s="1"/>
      <c r="AE3464" s="1"/>
      <c r="AF3464" s="1"/>
      <c r="AG3464" s="1"/>
      <c r="AH3464" s="1"/>
    </row>
    <row r="3465" ht="12.75" hidden="1" customHeight="1" outlineLevel="1">
      <c r="A3465" s="17">
        <v>41627.0</v>
      </c>
      <c r="B3465" s="1"/>
      <c r="C3465" s="1" t="s">
        <v>429</v>
      </c>
      <c r="D3465" s="74"/>
      <c r="E3465" s="67"/>
      <c r="F3465" s="75"/>
      <c r="G3465" s="67"/>
      <c r="H3465" s="68"/>
      <c r="I3465" s="76"/>
      <c r="J3465" s="67"/>
      <c r="K3465" s="7" t="s">
        <v>1352</v>
      </c>
      <c r="L3465" s="77"/>
      <c r="M3465" s="79"/>
      <c r="N3465" s="1"/>
      <c r="O3465" s="1"/>
      <c r="P3465" s="1"/>
      <c r="Q3465" s="1"/>
      <c r="R3465" s="1"/>
      <c r="S3465" s="1"/>
      <c r="T3465" s="1"/>
      <c r="U3465" s="1"/>
      <c r="V3465" s="1"/>
      <c r="W3465" s="1"/>
      <c r="X3465" s="1"/>
      <c r="Y3465" s="1"/>
      <c r="Z3465" s="1"/>
      <c r="AA3465" s="1"/>
      <c r="AB3465" s="1"/>
      <c r="AC3465" s="1"/>
      <c r="AD3465" s="1"/>
      <c r="AE3465" s="1"/>
      <c r="AF3465" s="1"/>
      <c r="AG3465" s="1"/>
      <c r="AH3465" s="1"/>
    </row>
    <row r="3466" ht="12.75" hidden="1" customHeight="1" outlineLevel="1">
      <c r="A3466" s="17">
        <v>41627.0</v>
      </c>
      <c r="B3466" s="1"/>
      <c r="C3466" s="1" t="s">
        <v>431</v>
      </c>
      <c r="D3466" s="74"/>
      <c r="E3466" s="67"/>
      <c r="F3466" s="75"/>
      <c r="G3466" s="67"/>
      <c r="H3466" s="68"/>
      <c r="I3466" s="76"/>
      <c r="J3466" s="67"/>
      <c r="K3466" s="7" t="s">
        <v>1126</v>
      </c>
      <c r="L3466" s="77"/>
      <c r="M3466" s="79"/>
      <c r="N3466" s="1"/>
      <c r="O3466" s="1"/>
      <c r="P3466" s="1"/>
      <c r="Q3466" s="1"/>
      <c r="R3466" s="1"/>
      <c r="S3466" s="1"/>
      <c r="T3466" s="1"/>
      <c r="U3466" s="1"/>
      <c r="V3466" s="1"/>
      <c r="W3466" s="1"/>
      <c r="X3466" s="1"/>
      <c r="Y3466" s="1"/>
      <c r="Z3466" s="1"/>
      <c r="AA3466" s="1"/>
      <c r="AB3466" s="1"/>
      <c r="AC3466" s="1"/>
      <c r="AD3466" s="1"/>
      <c r="AE3466" s="1"/>
      <c r="AF3466" s="1"/>
      <c r="AG3466" s="1"/>
      <c r="AH3466" s="1"/>
    </row>
    <row r="3467" ht="12.75" hidden="1" customHeight="1" outlineLevel="1">
      <c r="A3467" s="17">
        <v>41627.0</v>
      </c>
      <c r="B3467" s="1"/>
      <c r="C3467" s="1" t="s">
        <v>433</v>
      </c>
      <c r="D3467" s="74"/>
      <c r="E3467" s="67"/>
      <c r="F3467" s="75"/>
      <c r="G3467" s="67"/>
      <c r="H3467" s="68"/>
      <c r="I3467" s="76"/>
      <c r="J3467" s="67"/>
      <c r="K3467" s="7" t="s">
        <v>1103</v>
      </c>
      <c r="L3467" s="77"/>
      <c r="M3467" s="79"/>
      <c r="N3467" s="1"/>
      <c r="O3467" s="1"/>
      <c r="P3467" s="1"/>
      <c r="Q3467" s="1"/>
      <c r="R3467" s="1"/>
      <c r="S3467" s="1"/>
      <c r="T3467" s="1"/>
      <c r="U3467" s="1"/>
      <c r="V3467" s="1"/>
      <c r="W3467" s="1"/>
      <c r="X3467" s="1"/>
      <c r="Y3467" s="1"/>
      <c r="Z3467" s="1"/>
      <c r="AA3467" s="1"/>
      <c r="AB3467" s="1"/>
      <c r="AC3467" s="1"/>
      <c r="AD3467" s="1"/>
      <c r="AE3467" s="1"/>
      <c r="AF3467" s="1"/>
      <c r="AG3467" s="1"/>
      <c r="AH3467" s="1"/>
    </row>
    <row r="3468" ht="12.75" hidden="1" customHeight="1" outlineLevel="1">
      <c r="A3468" s="17">
        <v>41627.0</v>
      </c>
      <c r="B3468" s="1"/>
      <c r="C3468" s="1" t="s">
        <v>435</v>
      </c>
      <c r="D3468" s="74"/>
      <c r="E3468" s="67"/>
      <c r="F3468" s="75"/>
      <c r="G3468" s="67"/>
      <c r="H3468" s="68"/>
      <c r="I3468" s="76"/>
      <c r="J3468" s="67"/>
      <c r="K3468" s="7" t="s">
        <v>1354</v>
      </c>
      <c r="L3468" s="77"/>
      <c r="M3468" s="79"/>
      <c r="N3468" s="1"/>
      <c r="O3468" s="1"/>
      <c r="P3468" s="1"/>
      <c r="Q3468" s="1"/>
      <c r="R3468" s="1"/>
      <c r="S3468" s="1"/>
      <c r="T3468" s="1"/>
      <c r="U3468" s="1"/>
      <c r="V3468" s="1"/>
      <c r="W3468" s="1"/>
      <c r="X3468" s="1"/>
      <c r="Y3468" s="1"/>
      <c r="Z3468" s="1"/>
      <c r="AA3468" s="1"/>
      <c r="AB3468" s="1"/>
      <c r="AC3468" s="1"/>
      <c r="AD3468" s="1"/>
      <c r="AE3468" s="1"/>
      <c r="AF3468" s="1"/>
      <c r="AG3468" s="1"/>
      <c r="AH3468" s="1"/>
    </row>
    <row r="3469" ht="12.75" hidden="1" customHeight="1" outlineLevel="1">
      <c r="A3469" s="17">
        <v>41628.0</v>
      </c>
      <c r="B3469" s="1"/>
      <c r="C3469" s="1" t="s">
        <v>339</v>
      </c>
      <c r="D3469" s="74"/>
      <c r="E3469" s="67"/>
      <c r="F3469" s="75"/>
      <c r="G3469" s="67"/>
      <c r="H3469" s="68"/>
      <c r="I3469" s="76"/>
      <c r="J3469" s="67"/>
      <c r="K3469" s="7" t="s">
        <v>1491</v>
      </c>
      <c r="L3469" s="77"/>
      <c r="M3469" s="79"/>
      <c r="N3469" s="1"/>
      <c r="O3469" s="1"/>
      <c r="P3469" s="1"/>
      <c r="Q3469" s="1"/>
      <c r="R3469" s="1"/>
      <c r="S3469" s="1"/>
      <c r="T3469" s="1"/>
      <c r="U3469" s="1"/>
      <c r="V3469" s="1"/>
      <c r="W3469" s="1"/>
      <c r="X3469" s="1"/>
      <c r="Y3469" s="1"/>
      <c r="Z3469" s="1"/>
      <c r="AA3469" s="1"/>
      <c r="AB3469" s="1"/>
      <c r="AC3469" s="1"/>
      <c r="AD3469" s="1"/>
      <c r="AE3469" s="1"/>
      <c r="AF3469" s="1"/>
      <c r="AG3469" s="1"/>
      <c r="AH3469" s="1"/>
    </row>
    <row r="3470" ht="12.75" hidden="1" customHeight="1" outlineLevel="1">
      <c r="A3470" s="17">
        <v>41628.0</v>
      </c>
      <c r="B3470" s="1"/>
      <c r="C3470" s="1" t="s">
        <v>429</v>
      </c>
      <c r="D3470" s="74"/>
      <c r="E3470" s="67"/>
      <c r="F3470" s="75"/>
      <c r="G3470" s="67"/>
      <c r="H3470" s="68"/>
      <c r="I3470" s="76"/>
      <c r="J3470" s="67"/>
      <c r="K3470" s="7" t="s">
        <v>1352</v>
      </c>
      <c r="L3470" s="77"/>
      <c r="M3470" s="79"/>
      <c r="N3470" s="1"/>
      <c r="O3470" s="1"/>
      <c r="P3470" s="1"/>
      <c r="Q3470" s="1"/>
      <c r="R3470" s="1"/>
      <c r="S3470" s="1"/>
      <c r="T3470" s="1"/>
      <c r="U3470" s="1"/>
      <c r="V3470" s="1"/>
      <c r="W3470" s="1"/>
      <c r="X3470" s="1"/>
      <c r="Y3470" s="1"/>
      <c r="Z3470" s="1"/>
      <c r="AA3470" s="1"/>
      <c r="AB3470" s="1"/>
      <c r="AC3470" s="1"/>
      <c r="AD3470" s="1"/>
      <c r="AE3470" s="1"/>
      <c r="AF3470" s="1"/>
      <c r="AG3470" s="1"/>
      <c r="AH3470" s="1"/>
    </row>
    <row r="3471" ht="12.75" hidden="1" customHeight="1" outlineLevel="1">
      <c r="A3471" s="17">
        <v>41628.0</v>
      </c>
      <c r="B3471" s="1"/>
      <c r="C3471" s="1" t="s">
        <v>431</v>
      </c>
      <c r="D3471" s="74"/>
      <c r="E3471" s="67"/>
      <c r="F3471" s="75"/>
      <c r="G3471" s="67"/>
      <c r="H3471" s="68"/>
      <c r="I3471" s="76"/>
      <c r="J3471" s="67"/>
      <c r="K3471" s="7" t="s">
        <v>1126</v>
      </c>
      <c r="L3471" s="77"/>
      <c r="M3471" s="79"/>
      <c r="N3471" s="1"/>
      <c r="O3471" s="1"/>
      <c r="P3471" s="1"/>
      <c r="Q3471" s="1"/>
      <c r="R3471" s="1"/>
      <c r="S3471" s="1"/>
      <c r="T3471" s="1"/>
      <c r="U3471" s="1"/>
      <c r="V3471" s="1"/>
      <c r="W3471" s="1"/>
      <c r="X3471" s="1"/>
      <c r="Y3471" s="1"/>
      <c r="Z3471" s="1"/>
      <c r="AA3471" s="1"/>
      <c r="AB3471" s="1"/>
      <c r="AC3471" s="1"/>
      <c r="AD3471" s="1"/>
      <c r="AE3471" s="1"/>
      <c r="AF3471" s="1"/>
      <c r="AG3471" s="1"/>
      <c r="AH3471" s="1"/>
    </row>
    <row r="3472" ht="12.75" hidden="1" customHeight="1" outlineLevel="1">
      <c r="A3472" s="17">
        <v>41628.0</v>
      </c>
      <c r="B3472" s="1"/>
      <c r="C3472" s="1" t="s">
        <v>433</v>
      </c>
      <c r="D3472" s="74"/>
      <c r="E3472" s="67"/>
      <c r="F3472" s="75"/>
      <c r="G3472" s="67"/>
      <c r="H3472" s="68"/>
      <c r="I3472" s="76"/>
      <c r="J3472" s="67"/>
      <c r="K3472" s="7" t="s">
        <v>1103</v>
      </c>
      <c r="L3472" s="77"/>
      <c r="M3472" s="79"/>
      <c r="N3472" s="1"/>
      <c r="O3472" s="1"/>
      <c r="P3472" s="1"/>
      <c r="Q3472" s="1"/>
      <c r="R3472" s="1"/>
      <c r="S3472" s="1"/>
      <c r="T3472" s="1"/>
      <c r="U3472" s="1"/>
      <c r="V3472" s="1"/>
      <c r="W3472" s="1"/>
      <c r="X3472" s="1"/>
      <c r="Y3472" s="1"/>
      <c r="Z3472" s="1"/>
      <c r="AA3472" s="1"/>
      <c r="AB3472" s="1"/>
      <c r="AC3472" s="1"/>
      <c r="AD3472" s="1"/>
      <c r="AE3472" s="1"/>
      <c r="AF3472" s="1"/>
      <c r="AG3472" s="1"/>
      <c r="AH3472" s="1"/>
    </row>
    <row r="3473" ht="12.75" hidden="1" customHeight="1" outlineLevel="1">
      <c r="A3473" s="17">
        <v>41628.0</v>
      </c>
      <c r="B3473" s="1"/>
      <c r="C3473" s="1" t="s">
        <v>435</v>
      </c>
      <c r="D3473" s="74"/>
      <c r="E3473" s="67"/>
      <c r="F3473" s="75"/>
      <c r="G3473" s="67"/>
      <c r="H3473" s="68"/>
      <c r="I3473" s="76"/>
      <c r="J3473" s="67"/>
      <c r="K3473" s="7" t="s">
        <v>1354</v>
      </c>
      <c r="L3473" s="77"/>
      <c r="M3473" s="79"/>
      <c r="N3473" s="1"/>
      <c r="O3473" s="1"/>
      <c r="P3473" s="1"/>
      <c r="Q3473" s="1"/>
      <c r="R3473" s="1"/>
      <c r="S3473" s="1"/>
      <c r="T3473" s="1"/>
      <c r="U3473" s="1"/>
      <c r="V3473" s="1"/>
      <c r="W3473" s="1"/>
      <c r="X3473" s="1"/>
      <c r="Y3473" s="1"/>
      <c r="Z3473" s="1"/>
      <c r="AA3473" s="1"/>
      <c r="AB3473" s="1"/>
      <c r="AC3473" s="1"/>
      <c r="AD3473" s="1"/>
      <c r="AE3473" s="1"/>
      <c r="AF3473" s="1"/>
      <c r="AG3473" s="1"/>
      <c r="AH3473" s="1"/>
    </row>
    <row r="3474" ht="12.75" hidden="1" customHeight="1" outlineLevel="1">
      <c r="A3474" s="17">
        <v>41628.0</v>
      </c>
      <c r="B3474" s="1" t="s">
        <v>343</v>
      </c>
      <c r="C3474" s="1" t="s">
        <v>1118</v>
      </c>
      <c r="D3474" s="74">
        <v>700.0</v>
      </c>
      <c r="E3474" s="67">
        <v>30.84</v>
      </c>
      <c r="F3474" s="75">
        <v>0.4728472222222222</v>
      </c>
      <c r="G3474" s="67" t="s">
        <v>453</v>
      </c>
      <c r="H3474" s="68">
        <v>3.5</v>
      </c>
      <c r="I3474" s="76"/>
      <c r="J3474" s="67">
        <f>IF(B3474="SLD",D3474*E3474,-D3474*E3474)-H3474</f>
        <v>-21591.5</v>
      </c>
      <c r="K3474" s="7"/>
      <c r="L3474" s="70"/>
      <c r="M3474" s="79"/>
      <c r="N3474" s="1"/>
      <c r="O3474" s="1"/>
      <c r="P3474" s="1"/>
      <c r="Q3474" s="1"/>
      <c r="R3474" s="1"/>
      <c r="S3474" s="1"/>
      <c r="T3474" s="1"/>
      <c r="U3474" s="1"/>
      <c r="V3474" s="1"/>
      <c r="W3474" s="1"/>
      <c r="X3474" s="1"/>
      <c r="Y3474" s="1"/>
      <c r="Z3474" s="1"/>
      <c r="AA3474" s="1"/>
      <c r="AB3474" s="1"/>
      <c r="AC3474" s="1"/>
      <c r="AD3474" s="1"/>
      <c r="AE3474" s="1"/>
      <c r="AF3474" s="1"/>
      <c r="AG3474" s="1"/>
      <c r="AH3474" s="1"/>
    </row>
    <row r="3475" ht="12.75" hidden="1" customHeight="1" outlineLevel="1">
      <c r="A3475" s="17">
        <v>41628.0</v>
      </c>
      <c r="B3475" s="1"/>
      <c r="C3475" s="1" t="s">
        <v>339</v>
      </c>
      <c r="D3475" s="74"/>
      <c r="E3475" s="67"/>
      <c r="F3475" s="75"/>
      <c r="G3475" s="67"/>
      <c r="H3475" s="68"/>
      <c r="I3475" s="76"/>
      <c r="J3475" s="67"/>
      <c r="K3475" s="7" t="s">
        <v>1492</v>
      </c>
      <c r="L3475" s="77"/>
      <c r="M3475" s="79"/>
      <c r="N3475" s="1"/>
      <c r="O3475" s="1"/>
      <c r="P3475" s="1"/>
      <c r="Q3475" s="1"/>
      <c r="R3475" s="1"/>
      <c r="S3475" s="1"/>
      <c r="T3475" s="1"/>
      <c r="U3475" s="1"/>
      <c r="V3475" s="1"/>
      <c r="W3475" s="1"/>
      <c r="X3475" s="1"/>
      <c r="Y3475" s="1"/>
      <c r="Z3475" s="1"/>
      <c r="AA3475" s="1"/>
      <c r="AB3475" s="1"/>
      <c r="AC3475" s="1"/>
      <c r="AD3475" s="1"/>
      <c r="AE3475" s="1"/>
      <c r="AF3475" s="1"/>
      <c r="AG3475" s="1"/>
      <c r="AH3475" s="1"/>
    </row>
    <row r="3476" ht="12.75" hidden="1" customHeight="1" outlineLevel="1">
      <c r="A3476" s="17">
        <v>41628.0</v>
      </c>
      <c r="B3476" s="1"/>
      <c r="C3476" s="1" t="s">
        <v>429</v>
      </c>
      <c r="D3476" s="74"/>
      <c r="E3476" s="67"/>
      <c r="F3476" s="75"/>
      <c r="G3476" s="67"/>
      <c r="H3476" s="68"/>
      <c r="I3476" s="76"/>
      <c r="J3476" s="67"/>
      <c r="K3476" s="7" t="s">
        <v>1352</v>
      </c>
      <c r="L3476" s="77"/>
      <c r="M3476" s="79"/>
      <c r="N3476" s="1"/>
      <c r="O3476" s="1"/>
      <c r="P3476" s="1"/>
      <c r="Q3476" s="1"/>
      <c r="R3476" s="1"/>
      <c r="S3476" s="1"/>
      <c r="T3476" s="1"/>
      <c r="U3476" s="1"/>
      <c r="V3476" s="1"/>
      <c r="W3476" s="1"/>
      <c r="X3476" s="1"/>
      <c r="Y3476" s="1"/>
      <c r="Z3476" s="1"/>
      <c r="AA3476" s="1"/>
      <c r="AB3476" s="1"/>
      <c r="AC3476" s="1"/>
      <c r="AD3476" s="1"/>
      <c r="AE3476" s="1"/>
      <c r="AF3476" s="1"/>
      <c r="AG3476" s="1"/>
      <c r="AH3476" s="1"/>
    </row>
    <row r="3477" ht="12.75" hidden="1" customHeight="1" outlineLevel="1">
      <c r="A3477" s="17">
        <v>41628.0</v>
      </c>
      <c r="B3477" s="1"/>
      <c r="C3477" s="1" t="s">
        <v>431</v>
      </c>
      <c r="D3477" s="74"/>
      <c r="E3477" s="67"/>
      <c r="F3477" s="75"/>
      <c r="G3477" s="67"/>
      <c r="H3477" s="68"/>
      <c r="I3477" s="76"/>
      <c r="J3477" s="67"/>
      <c r="K3477" s="7" t="s">
        <v>1126</v>
      </c>
      <c r="L3477" s="77"/>
      <c r="M3477" s="79"/>
      <c r="N3477" s="1"/>
      <c r="O3477" s="1"/>
      <c r="P3477" s="1"/>
      <c r="Q3477" s="1"/>
      <c r="R3477" s="1"/>
      <c r="S3477" s="1"/>
      <c r="T3477" s="1"/>
      <c r="U3477" s="1"/>
      <c r="V3477" s="1"/>
      <c r="W3477" s="1"/>
      <c r="X3477" s="1"/>
      <c r="Y3477" s="1"/>
      <c r="Z3477" s="1"/>
      <c r="AA3477" s="1"/>
      <c r="AB3477" s="1"/>
      <c r="AC3477" s="1"/>
      <c r="AD3477" s="1"/>
      <c r="AE3477" s="1"/>
      <c r="AF3477" s="1"/>
      <c r="AG3477" s="1"/>
      <c r="AH3477" s="1"/>
    </row>
    <row r="3478" ht="12.75" hidden="1" customHeight="1" outlineLevel="1">
      <c r="A3478" s="17">
        <v>41628.0</v>
      </c>
      <c r="B3478" s="1"/>
      <c r="C3478" s="1" t="s">
        <v>433</v>
      </c>
      <c r="D3478" s="74"/>
      <c r="E3478" s="67"/>
      <c r="F3478" s="75"/>
      <c r="G3478" s="67"/>
      <c r="H3478" s="68"/>
      <c r="I3478" s="76"/>
      <c r="J3478" s="67"/>
      <c r="K3478" s="7" t="s">
        <v>1103</v>
      </c>
      <c r="L3478" s="77"/>
      <c r="M3478" s="79"/>
      <c r="N3478" s="1"/>
      <c r="O3478" s="1"/>
      <c r="P3478" s="1"/>
      <c r="Q3478" s="1"/>
      <c r="R3478" s="1"/>
      <c r="S3478" s="1"/>
      <c r="T3478" s="1"/>
      <c r="U3478" s="1"/>
      <c r="V3478" s="1"/>
      <c r="W3478" s="1"/>
      <c r="X3478" s="1"/>
      <c r="Y3478" s="1"/>
      <c r="Z3478" s="1"/>
      <c r="AA3478" s="1"/>
      <c r="AB3478" s="1"/>
      <c r="AC3478" s="1"/>
      <c r="AD3478" s="1"/>
      <c r="AE3478" s="1"/>
      <c r="AF3478" s="1"/>
      <c r="AG3478" s="1"/>
      <c r="AH3478" s="1"/>
    </row>
    <row r="3479" ht="12.75" hidden="1" customHeight="1" outlineLevel="1">
      <c r="A3479" s="17">
        <v>41628.0</v>
      </c>
      <c r="B3479" s="1"/>
      <c r="C3479" s="1" t="s">
        <v>435</v>
      </c>
      <c r="D3479" s="74"/>
      <c r="E3479" s="67"/>
      <c r="F3479" s="75"/>
      <c r="G3479" s="67"/>
      <c r="H3479" s="68"/>
      <c r="I3479" s="76"/>
      <c r="J3479" s="67"/>
      <c r="K3479" s="7" t="s">
        <v>1354</v>
      </c>
      <c r="L3479" s="77"/>
      <c r="M3479" s="79"/>
      <c r="N3479" s="1"/>
      <c r="O3479" s="1"/>
      <c r="P3479" s="1"/>
      <c r="Q3479" s="1"/>
      <c r="R3479" s="1"/>
      <c r="S3479" s="1"/>
      <c r="T3479" s="1"/>
      <c r="U3479" s="1"/>
      <c r="V3479" s="1"/>
      <c r="W3479" s="1"/>
      <c r="X3479" s="1"/>
      <c r="Y3479" s="1"/>
      <c r="Z3479" s="1"/>
      <c r="AA3479" s="1"/>
      <c r="AB3479" s="1"/>
      <c r="AC3479" s="1"/>
      <c r="AD3479" s="1"/>
      <c r="AE3479" s="1"/>
      <c r="AF3479" s="1"/>
      <c r="AG3479" s="1"/>
      <c r="AH3479" s="1"/>
    </row>
    <row r="3480" ht="12.75" hidden="1" customHeight="1" outlineLevel="1">
      <c r="A3480" s="17">
        <v>41631.0</v>
      </c>
      <c r="B3480" s="1" t="s">
        <v>343</v>
      </c>
      <c r="C3480" s="1" t="s">
        <v>1493</v>
      </c>
      <c r="D3480" s="74">
        <v>500.0</v>
      </c>
      <c r="E3480" s="67">
        <v>42.801</v>
      </c>
      <c r="F3480" s="75">
        <v>0.40130787037037036</v>
      </c>
      <c r="G3480" s="67" t="s">
        <v>453</v>
      </c>
      <c r="H3480" s="68">
        <v>3.38</v>
      </c>
      <c r="I3480" s="76"/>
      <c r="J3480" s="67">
        <f t="shared" ref="J3480:J3484" si="233">IF(B3480="SLD",D3480*E3480,-D3480*E3480)-H3480</f>
        <v>-21403.88</v>
      </c>
      <c r="K3480" s="7"/>
      <c r="L3480" s="70"/>
      <c r="M3480" s="79"/>
      <c r="N3480" s="1"/>
      <c r="O3480" s="1"/>
      <c r="P3480" s="1"/>
      <c r="Q3480" s="1"/>
      <c r="R3480" s="1"/>
      <c r="S3480" s="1"/>
      <c r="T3480" s="1"/>
      <c r="U3480" s="1"/>
      <c r="V3480" s="1"/>
      <c r="W3480" s="1"/>
      <c r="X3480" s="1"/>
      <c r="Y3480" s="1"/>
      <c r="Z3480" s="1"/>
      <c r="AA3480" s="1"/>
      <c r="AB3480" s="1"/>
      <c r="AC3480" s="1"/>
      <c r="AD3480" s="1"/>
      <c r="AE3480" s="1"/>
      <c r="AF3480" s="1"/>
      <c r="AG3480" s="1"/>
      <c r="AH3480" s="1"/>
    </row>
    <row r="3481" ht="12.75" hidden="1" customHeight="1" outlineLevel="1">
      <c r="A3481" s="17">
        <v>41631.0</v>
      </c>
      <c r="B3481" s="1" t="s">
        <v>347</v>
      </c>
      <c r="C3481" s="1" t="s">
        <v>355</v>
      </c>
      <c r="D3481" s="74">
        <v>1500.0</v>
      </c>
      <c r="E3481" s="67">
        <v>15.09</v>
      </c>
      <c r="F3481" s="75">
        <v>0.399525462962963</v>
      </c>
      <c r="G3481" s="67" t="s">
        <v>453</v>
      </c>
      <c r="H3481" s="68">
        <v>6.39</v>
      </c>
      <c r="I3481" s="76"/>
      <c r="J3481" s="67">
        <f t="shared" si="233"/>
        <v>22628.61</v>
      </c>
      <c r="K3481" s="7" t="s">
        <v>1496</v>
      </c>
      <c r="L3481" s="70"/>
      <c r="M3481" s="79"/>
      <c r="N3481" s="1"/>
      <c r="O3481" s="1"/>
      <c r="P3481" s="1"/>
      <c r="Q3481" s="1"/>
      <c r="R3481" s="1"/>
      <c r="S3481" s="1"/>
      <c r="T3481" s="1"/>
      <c r="U3481" s="1"/>
      <c r="V3481" s="1"/>
      <c r="W3481" s="1"/>
      <c r="X3481" s="1"/>
      <c r="Y3481" s="1"/>
      <c r="Z3481" s="1"/>
      <c r="AA3481" s="1"/>
      <c r="AB3481" s="1"/>
      <c r="AC3481" s="1"/>
      <c r="AD3481" s="1"/>
      <c r="AE3481" s="1"/>
      <c r="AF3481" s="1"/>
      <c r="AG3481" s="1"/>
      <c r="AH3481" s="1"/>
    </row>
    <row r="3482" ht="12.75" hidden="1" customHeight="1" outlineLevel="1">
      <c r="A3482" s="17">
        <v>41631.0</v>
      </c>
      <c r="B3482" s="1" t="s">
        <v>347</v>
      </c>
      <c r="C3482" s="1" t="s">
        <v>369</v>
      </c>
      <c r="D3482" s="74">
        <v>1000.0</v>
      </c>
      <c r="E3482" s="67">
        <v>24.05</v>
      </c>
      <c r="F3482" s="75">
        <v>0.39886574074074077</v>
      </c>
      <c r="G3482" s="67" t="s">
        <v>453</v>
      </c>
      <c r="H3482" s="68">
        <v>4.42</v>
      </c>
      <c r="I3482" s="76"/>
      <c r="J3482" s="67">
        <f t="shared" si="233"/>
        <v>24045.58</v>
      </c>
      <c r="K3482" s="7" t="s">
        <v>1496</v>
      </c>
      <c r="L3482" s="70"/>
      <c r="M3482" s="79"/>
      <c r="N3482" s="1"/>
      <c r="O3482" s="1"/>
      <c r="P3482" s="1"/>
      <c r="Q3482" s="1"/>
      <c r="R3482" s="1"/>
      <c r="S3482" s="1"/>
      <c r="T3482" s="1"/>
      <c r="U3482" s="1"/>
      <c r="V3482" s="1"/>
      <c r="W3482" s="1"/>
      <c r="X3482" s="1"/>
      <c r="Y3482" s="1"/>
      <c r="Z3482" s="1"/>
      <c r="AA3482" s="1"/>
      <c r="AB3482" s="1"/>
      <c r="AC3482" s="1"/>
      <c r="AD3482" s="1"/>
      <c r="AE3482" s="1"/>
      <c r="AF3482" s="1"/>
      <c r="AG3482" s="1"/>
      <c r="AH3482" s="1"/>
    </row>
    <row r="3483" ht="12.75" hidden="1" customHeight="1" outlineLevel="1">
      <c r="A3483" s="17">
        <v>41631.0</v>
      </c>
      <c r="B3483" s="1" t="s">
        <v>347</v>
      </c>
      <c r="C3483" s="1" t="s">
        <v>784</v>
      </c>
      <c r="D3483" s="74">
        <v>2000.0</v>
      </c>
      <c r="E3483" s="67">
        <v>14.47</v>
      </c>
      <c r="F3483" s="75">
        <v>0.39846064814814813</v>
      </c>
      <c r="G3483" s="67" t="s">
        <v>453</v>
      </c>
      <c r="H3483" s="68">
        <v>8.5</v>
      </c>
      <c r="I3483" s="76"/>
      <c r="J3483" s="67">
        <f t="shared" si="233"/>
        <v>28931.5</v>
      </c>
      <c r="K3483" s="7" t="s">
        <v>1496</v>
      </c>
      <c r="L3483" s="70"/>
      <c r="M3483" s="79"/>
      <c r="N3483" s="1"/>
      <c r="O3483" s="1"/>
      <c r="P3483" s="1"/>
      <c r="Q3483" s="1"/>
      <c r="R3483" s="1"/>
      <c r="S3483" s="1"/>
      <c r="T3483" s="1"/>
      <c r="U3483" s="1"/>
      <c r="V3483" s="1"/>
      <c r="W3483" s="1"/>
      <c r="X3483" s="1"/>
      <c r="Y3483" s="1"/>
      <c r="Z3483" s="1"/>
      <c r="AA3483" s="1"/>
      <c r="AB3483" s="1"/>
      <c r="AC3483" s="1"/>
      <c r="AD3483" s="1"/>
      <c r="AE3483" s="1"/>
      <c r="AF3483" s="1"/>
      <c r="AG3483" s="1"/>
      <c r="AH3483" s="1"/>
    </row>
    <row r="3484" ht="12.75" hidden="1" customHeight="1" outlineLevel="1">
      <c r="A3484" s="17">
        <v>41631.0</v>
      </c>
      <c r="B3484" s="1" t="s">
        <v>347</v>
      </c>
      <c r="C3484" s="1" t="s">
        <v>1044</v>
      </c>
      <c r="D3484" s="74">
        <v>1200.0</v>
      </c>
      <c r="E3484" s="67">
        <v>20.27</v>
      </c>
      <c r="F3484" s="75">
        <v>0.3980787037037037</v>
      </c>
      <c r="G3484" s="67" t="s">
        <v>453</v>
      </c>
      <c r="H3484" s="68">
        <v>5.22</v>
      </c>
      <c r="I3484" s="76"/>
      <c r="J3484" s="67">
        <f t="shared" si="233"/>
        <v>24318.78</v>
      </c>
      <c r="K3484" s="7" t="s">
        <v>1496</v>
      </c>
      <c r="L3484" s="70"/>
      <c r="M3484" s="79"/>
      <c r="N3484" s="1"/>
      <c r="O3484" s="1"/>
      <c r="P3484" s="1"/>
      <c r="Q3484" s="1"/>
      <c r="R3484" s="1"/>
      <c r="S3484" s="1"/>
      <c r="T3484" s="1"/>
      <c r="U3484" s="1"/>
      <c r="V3484" s="1"/>
      <c r="W3484" s="1"/>
      <c r="X3484" s="1"/>
      <c r="Y3484" s="1"/>
      <c r="Z3484" s="1"/>
      <c r="AA3484" s="1"/>
      <c r="AB3484" s="1"/>
      <c r="AC3484" s="1"/>
      <c r="AD3484" s="1"/>
      <c r="AE3484" s="1"/>
      <c r="AF3484" s="1"/>
      <c r="AG3484" s="1"/>
      <c r="AH3484" s="1"/>
    </row>
    <row r="3485" ht="12.75" hidden="1" customHeight="1" outlineLevel="1">
      <c r="A3485" s="17">
        <v>41631.0</v>
      </c>
      <c r="B3485" s="1"/>
      <c r="C3485" s="1" t="s">
        <v>339</v>
      </c>
      <c r="D3485" s="74"/>
      <c r="E3485" s="67"/>
      <c r="F3485" s="75"/>
      <c r="G3485" s="67"/>
      <c r="H3485" s="68"/>
      <c r="I3485" s="76"/>
      <c r="J3485" s="67"/>
      <c r="K3485" s="7" t="s">
        <v>1497</v>
      </c>
      <c r="L3485" s="77"/>
      <c r="M3485" s="79"/>
      <c r="N3485" s="1"/>
      <c r="O3485" s="1"/>
      <c r="P3485" s="1"/>
      <c r="Q3485" s="1"/>
      <c r="R3485" s="1"/>
      <c r="S3485" s="1"/>
      <c r="T3485" s="1"/>
      <c r="U3485" s="1"/>
      <c r="V3485" s="1"/>
      <c r="W3485" s="1"/>
      <c r="X3485" s="1"/>
      <c r="Y3485" s="1"/>
      <c r="Z3485" s="1"/>
      <c r="AA3485" s="1"/>
      <c r="AB3485" s="1"/>
      <c r="AC3485" s="1"/>
      <c r="AD3485" s="1"/>
      <c r="AE3485" s="1"/>
      <c r="AF3485" s="1"/>
      <c r="AG3485" s="1"/>
      <c r="AH3485" s="1"/>
    </row>
    <row r="3486" ht="12.75" hidden="1" customHeight="1" outlineLevel="1">
      <c r="A3486" s="17">
        <v>41631.0</v>
      </c>
      <c r="B3486" s="1"/>
      <c r="C3486" s="1" t="s">
        <v>429</v>
      </c>
      <c r="D3486" s="74"/>
      <c r="E3486" s="67"/>
      <c r="F3486" s="75"/>
      <c r="G3486" s="67"/>
      <c r="H3486" s="68"/>
      <c r="I3486" s="76"/>
      <c r="J3486" s="67"/>
      <c r="K3486" s="7" t="s">
        <v>1352</v>
      </c>
      <c r="L3486" s="77"/>
      <c r="M3486" s="79"/>
      <c r="N3486" s="1"/>
      <c r="O3486" s="1"/>
      <c r="P3486" s="1"/>
      <c r="Q3486" s="1"/>
      <c r="R3486" s="1"/>
      <c r="S3486" s="1"/>
      <c r="T3486" s="1"/>
      <c r="U3486" s="1"/>
      <c r="V3486" s="1"/>
      <c r="W3486" s="1"/>
      <c r="X3486" s="1"/>
      <c r="Y3486" s="1"/>
      <c r="Z3486" s="1"/>
      <c r="AA3486" s="1"/>
      <c r="AB3486" s="1"/>
      <c r="AC3486" s="1"/>
      <c r="AD3486" s="1"/>
      <c r="AE3486" s="1"/>
      <c r="AF3486" s="1"/>
      <c r="AG3486" s="1"/>
      <c r="AH3486" s="1"/>
    </row>
    <row r="3487" ht="12.75" hidden="1" customHeight="1" outlineLevel="1">
      <c r="A3487" s="17">
        <v>41631.0</v>
      </c>
      <c r="B3487" s="1"/>
      <c r="C3487" s="1" t="s">
        <v>431</v>
      </c>
      <c r="D3487" s="74"/>
      <c r="E3487" s="67"/>
      <c r="F3487" s="75"/>
      <c r="G3487" s="67"/>
      <c r="H3487" s="68"/>
      <c r="I3487" s="76"/>
      <c r="J3487" s="67"/>
      <c r="K3487" s="7" t="s">
        <v>1126</v>
      </c>
      <c r="L3487" s="77"/>
      <c r="M3487" s="79"/>
      <c r="N3487" s="1"/>
      <c r="O3487" s="1"/>
      <c r="P3487" s="1"/>
      <c r="Q3487" s="1"/>
      <c r="R3487" s="1"/>
      <c r="S3487" s="1"/>
      <c r="T3487" s="1"/>
      <c r="U3487" s="1"/>
      <c r="V3487" s="1"/>
      <c r="W3487" s="1"/>
      <c r="X3487" s="1"/>
      <c r="Y3487" s="1"/>
      <c r="Z3487" s="1"/>
      <c r="AA3487" s="1"/>
      <c r="AB3487" s="1"/>
      <c r="AC3487" s="1"/>
      <c r="AD3487" s="1"/>
      <c r="AE3487" s="1"/>
      <c r="AF3487" s="1"/>
      <c r="AG3487" s="1"/>
      <c r="AH3487" s="1"/>
    </row>
    <row r="3488" ht="12.75" hidden="1" customHeight="1" outlineLevel="1">
      <c r="A3488" s="17">
        <v>41631.0</v>
      </c>
      <c r="B3488" s="1"/>
      <c r="C3488" s="1" t="s">
        <v>433</v>
      </c>
      <c r="D3488" s="74"/>
      <c r="E3488" s="67"/>
      <c r="F3488" s="75"/>
      <c r="G3488" s="67"/>
      <c r="H3488" s="68"/>
      <c r="I3488" s="76"/>
      <c r="J3488" s="67"/>
      <c r="K3488" s="7" t="s">
        <v>1103</v>
      </c>
      <c r="L3488" s="77"/>
      <c r="M3488" s="79"/>
      <c r="N3488" s="1"/>
      <c r="O3488" s="1"/>
      <c r="P3488" s="1"/>
      <c r="Q3488" s="1"/>
      <c r="R3488" s="1"/>
      <c r="S3488" s="1"/>
      <c r="T3488" s="1"/>
      <c r="U3488" s="1"/>
      <c r="V3488" s="1"/>
      <c r="W3488" s="1"/>
      <c r="X3488" s="1"/>
      <c r="Y3488" s="1"/>
      <c r="Z3488" s="1"/>
      <c r="AA3488" s="1"/>
      <c r="AB3488" s="1"/>
      <c r="AC3488" s="1"/>
      <c r="AD3488" s="1"/>
      <c r="AE3488" s="1"/>
      <c r="AF3488" s="1"/>
      <c r="AG3488" s="1"/>
      <c r="AH3488" s="1"/>
    </row>
    <row r="3489" ht="12.75" hidden="1" customHeight="1" outlineLevel="1">
      <c r="A3489" s="17">
        <v>41631.0</v>
      </c>
      <c r="B3489" s="1"/>
      <c r="C3489" s="1" t="s">
        <v>435</v>
      </c>
      <c r="D3489" s="74"/>
      <c r="E3489" s="67"/>
      <c r="F3489" s="75"/>
      <c r="G3489" s="67"/>
      <c r="H3489" s="68"/>
      <c r="I3489" s="76"/>
      <c r="J3489" s="67"/>
      <c r="K3489" s="7" t="s">
        <v>1354</v>
      </c>
      <c r="L3489" s="77"/>
      <c r="M3489" s="79"/>
      <c r="N3489" s="1"/>
      <c r="O3489" s="1"/>
      <c r="P3489" s="1"/>
      <c r="Q3489" s="1"/>
      <c r="R3489" s="1"/>
      <c r="S3489" s="1"/>
      <c r="T3489" s="1"/>
      <c r="U3489" s="1"/>
      <c r="V3489" s="1"/>
      <c r="W3489" s="1"/>
      <c r="X3489" s="1"/>
      <c r="Y3489" s="1"/>
      <c r="Z3489" s="1"/>
      <c r="AA3489" s="1"/>
      <c r="AB3489" s="1"/>
      <c r="AC3489" s="1"/>
      <c r="AD3489" s="1"/>
      <c r="AE3489" s="1"/>
      <c r="AF3489" s="1"/>
      <c r="AG3489" s="1"/>
      <c r="AH3489" s="1"/>
    </row>
    <row r="3490" ht="12.75" hidden="1" customHeight="1" outlineLevel="1">
      <c r="A3490" s="17">
        <v>41632.0</v>
      </c>
      <c r="B3490" s="1"/>
      <c r="C3490" s="1" t="s">
        <v>339</v>
      </c>
      <c r="D3490" s="74"/>
      <c r="E3490" s="67"/>
      <c r="F3490" s="75"/>
      <c r="G3490" s="67"/>
      <c r="H3490" s="68"/>
      <c r="I3490" s="76"/>
      <c r="J3490" s="67"/>
      <c r="K3490" s="7" t="s">
        <v>1499</v>
      </c>
      <c r="L3490" s="77"/>
      <c r="M3490" s="79"/>
      <c r="N3490" s="1"/>
      <c r="O3490" s="1"/>
      <c r="P3490" s="1"/>
      <c r="Q3490" s="1"/>
      <c r="R3490" s="1"/>
      <c r="S3490" s="1"/>
      <c r="T3490" s="1"/>
      <c r="U3490" s="1"/>
      <c r="V3490" s="1"/>
      <c r="W3490" s="1"/>
      <c r="X3490" s="1"/>
      <c r="Y3490" s="1"/>
      <c r="Z3490" s="1"/>
      <c r="AA3490" s="1"/>
      <c r="AB3490" s="1"/>
      <c r="AC3490" s="1"/>
      <c r="AD3490" s="1"/>
      <c r="AE3490" s="1"/>
      <c r="AF3490" s="1"/>
      <c r="AG3490" s="1"/>
      <c r="AH3490" s="1"/>
    </row>
    <row r="3491" ht="12.75" hidden="1" customHeight="1" outlineLevel="1">
      <c r="A3491" s="17">
        <v>41632.0</v>
      </c>
      <c r="B3491" s="1"/>
      <c r="C3491" s="1" t="s">
        <v>429</v>
      </c>
      <c r="D3491" s="74"/>
      <c r="E3491" s="67"/>
      <c r="F3491" s="75"/>
      <c r="G3491" s="67"/>
      <c r="H3491" s="68"/>
      <c r="I3491" s="76"/>
      <c r="J3491" s="67"/>
      <c r="K3491" s="7" t="s">
        <v>1352</v>
      </c>
      <c r="L3491" s="77"/>
      <c r="M3491" s="79"/>
      <c r="N3491" s="1"/>
      <c r="O3491" s="1"/>
      <c r="P3491" s="1"/>
      <c r="Q3491" s="1"/>
      <c r="R3491" s="1"/>
      <c r="S3491" s="1"/>
      <c r="T3491" s="1"/>
      <c r="U3491" s="1"/>
      <c r="V3491" s="1"/>
      <c r="W3491" s="1"/>
      <c r="X3491" s="1"/>
      <c r="Y3491" s="1"/>
      <c r="Z3491" s="1"/>
      <c r="AA3491" s="1"/>
      <c r="AB3491" s="1"/>
      <c r="AC3491" s="1"/>
      <c r="AD3491" s="1"/>
      <c r="AE3491" s="1"/>
      <c r="AF3491" s="1"/>
      <c r="AG3491" s="1"/>
      <c r="AH3491" s="1"/>
    </row>
    <row r="3492" ht="12.75" hidden="1" customHeight="1" outlineLevel="1">
      <c r="A3492" s="17">
        <v>41632.0</v>
      </c>
      <c r="B3492" s="1"/>
      <c r="C3492" s="1" t="s">
        <v>431</v>
      </c>
      <c r="D3492" s="74"/>
      <c r="E3492" s="67"/>
      <c r="F3492" s="75"/>
      <c r="G3492" s="67"/>
      <c r="H3492" s="68"/>
      <c r="I3492" s="76"/>
      <c r="J3492" s="67"/>
      <c r="K3492" s="7" t="s">
        <v>1126</v>
      </c>
      <c r="L3492" s="77"/>
      <c r="M3492" s="79"/>
      <c r="N3492" s="1"/>
      <c r="O3492" s="1"/>
      <c r="P3492" s="1"/>
      <c r="Q3492" s="1"/>
      <c r="R3492" s="1"/>
      <c r="S3492" s="1"/>
      <c r="T3492" s="1"/>
      <c r="U3492" s="1"/>
      <c r="V3492" s="1"/>
      <c r="W3492" s="1"/>
      <c r="X3492" s="1"/>
      <c r="Y3492" s="1"/>
      <c r="Z3492" s="1"/>
      <c r="AA3492" s="1"/>
      <c r="AB3492" s="1"/>
      <c r="AC3492" s="1"/>
      <c r="AD3492" s="1"/>
      <c r="AE3492" s="1"/>
      <c r="AF3492" s="1"/>
      <c r="AG3492" s="1"/>
      <c r="AH3492" s="1"/>
    </row>
    <row r="3493" ht="12.75" hidden="1" customHeight="1" outlineLevel="1">
      <c r="A3493" s="17">
        <v>41632.0</v>
      </c>
      <c r="B3493" s="1"/>
      <c r="C3493" s="1" t="s">
        <v>433</v>
      </c>
      <c r="D3493" s="74"/>
      <c r="E3493" s="67"/>
      <c r="F3493" s="75"/>
      <c r="G3493" s="67"/>
      <c r="H3493" s="68"/>
      <c r="I3493" s="76"/>
      <c r="J3493" s="67"/>
      <c r="K3493" s="7" t="s">
        <v>1103</v>
      </c>
      <c r="L3493" s="77"/>
      <c r="M3493" s="79"/>
      <c r="N3493" s="1"/>
      <c r="O3493" s="1"/>
      <c r="P3493" s="1"/>
      <c r="Q3493" s="1"/>
      <c r="R3493" s="1"/>
      <c r="S3493" s="1"/>
      <c r="T3493" s="1"/>
      <c r="U3493" s="1"/>
      <c r="V3493" s="1"/>
      <c r="W3493" s="1"/>
      <c r="X3493" s="1"/>
      <c r="Y3493" s="1"/>
      <c r="Z3493" s="1"/>
      <c r="AA3493" s="1"/>
      <c r="AB3493" s="1"/>
      <c r="AC3493" s="1"/>
      <c r="AD3493" s="1"/>
      <c r="AE3493" s="1"/>
      <c r="AF3493" s="1"/>
      <c r="AG3493" s="1"/>
      <c r="AH3493" s="1"/>
    </row>
    <row r="3494" ht="12.75" hidden="1" customHeight="1" outlineLevel="1">
      <c r="A3494" s="17">
        <v>41632.0</v>
      </c>
      <c r="B3494" s="1"/>
      <c r="C3494" s="1" t="s">
        <v>435</v>
      </c>
      <c r="D3494" s="74"/>
      <c r="E3494" s="67"/>
      <c r="F3494" s="75"/>
      <c r="G3494" s="67"/>
      <c r="H3494" s="68"/>
      <c r="I3494" s="76"/>
      <c r="J3494" s="67"/>
      <c r="K3494" s="7" t="s">
        <v>1354</v>
      </c>
      <c r="L3494" s="77"/>
      <c r="M3494" s="79"/>
      <c r="N3494" s="1"/>
      <c r="O3494" s="1"/>
      <c r="P3494" s="1"/>
      <c r="Q3494" s="1"/>
      <c r="R3494" s="1"/>
      <c r="S3494" s="1"/>
      <c r="T3494" s="1"/>
      <c r="U3494" s="1"/>
      <c r="V3494" s="1"/>
      <c r="W3494" s="1"/>
      <c r="X3494" s="1"/>
      <c r="Y3494" s="1"/>
      <c r="Z3494" s="1"/>
      <c r="AA3494" s="1"/>
      <c r="AB3494" s="1"/>
      <c r="AC3494" s="1"/>
      <c r="AD3494" s="1"/>
      <c r="AE3494" s="1"/>
      <c r="AF3494" s="1"/>
      <c r="AG3494" s="1"/>
      <c r="AH3494" s="1"/>
    </row>
    <row r="3495" ht="12.75" hidden="1" customHeight="1" outlineLevel="1">
      <c r="A3495" s="17">
        <v>41634.0</v>
      </c>
      <c r="B3495" s="1"/>
      <c r="C3495" s="1" t="s">
        <v>339</v>
      </c>
      <c r="D3495" s="74"/>
      <c r="E3495" s="67"/>
      <c r="F3495" s="75"/>
      <c r="G3495" s="67"/>
      <c r="H3495" s="68"/>
      <c r="I3495" s="76"/>
      <c r="J3495" s="67"/>
      <c r="K3495" s="7" t="s">
        <v>1500</v>
      </c>
      <c r="L3495" s="77"/>
      <c r="M3495" s="79"/>
      <c r="N3495" s="1"/>
      <c r="O3495" s="1"/>
      <c r="P3495" s="1"/>
      <c r="Q3495" s="1"/>
      <c r="R3495" s="1"/>
      <c r="S3495" s="1"/>
      <c r="T3495" s="1"/>
      <c r="U3495" s="1"/>
      <c r="V3495" s="1"/>
      <c r="W3495" s="1"/>
      <c r="X3495" s="1"/>
      <c r="Y3495" s="1"/>
      <c r="Z3495" s="1"/>
      <c r="AA3495" s="1"/>
      <c r="AB3495" s="1"/>
      <c r="AC3495" s="1"/>
      <c r="AD3495" s="1"/>
      <c r="AE3495" s="1"/>
      <c r="AF3495" s="1"/>
      <c r="AG3495" s="1"/>
      <c r="AH3495" s="1"/>
    </row>
    <row r="3496" ht="12.75" hidden="1" customHeight="1" outlineLevel="1">
      <c r="A3496" s="17">
        <v>41634.0</v>
      </c>
      <c r="B3496" s="1"/>
      <c r="C3496" s="1" t="s">
        <v>429</v>
      </c>
      <c r="D3496" s="74"/>
      <c r="E3496" s="67"/>
      <c r="F3496" s="75"/>
      <c r="G3496" s="67"/>
      <c r="H3496" s="68"/>
      <c r="I3496" s="76"/>
      <c r="J3496" s="67"/>
      <c r="K3496" s="7" t="s">
        <v>1352</v>
      </c>
      <c r="L3496" s="77"/>
      <c r="M3496" s="79"/>
      <c r="N3496" s="1"/>
      <c r="O3496" s="1"/>
      <c r="P3496" s="1"/>
      <c r="Q3496" s="1"/>
      <c r="R3496" s="1"/>
      <c r="S3496" s="1"/>
      <c r="T3496" s="1"/>
      <c r="U3496" s="1"/>
      <c r="V3496" s="1"/>
      <c r="W3496" s="1"/>
      <c r="X3496" s="1"/>
      <c r="Y3496" s="1"/>
      <c r="Z3496" s="1"/>
      <c r="AA3496" s="1"/>
      <c r="AB3496" s="1"/>
      <c r="AC3496" s="1"/>
      <c r="AD3496" s="1"/>
      <c r="AE3496" s="1"/>
      <c r="AF3496" s="1"/>
      <c r="AG3496" s="1"/>
      <c r="AH3496" s="1"/>
    </row>
    <row r="3497" ht="12.75" hidden="1" customHeight="1" outlineLevel="1">
      <c r="A3497" s="17">
        <v>41634.0</v>
      </c>
      <c r="B3497" s="1"/>
      <c r="C3497" s="1" t="s">
        <v>431</v>
      </c>
      <c r="D3497" s="74"/>
      <c r="E3497" s="67"/>
      <c r="F3497" s="75"/>
      <c r="G3497" s="67"/>
      <c r="H3497" s="68"/>
      <c r="I3497" s="76"/>
      <c r="J3497" s="67"/>
      <c r="K3497" s="7" t="s">
        <v>1126</v>
      </c>
      <c r="L3497" s="77"/>
      <c r="M3497" s="79"/>
      <c r="N3497" s="1"/>
      <c r="O3497" s="1"/>
      <c r="P3497" s="1"/>
      <c r="Q3497" s="1"/>
      <c r="R3497" s="1"/>
      <c r="S3497" s="1"/>
      <c r="T3497" s="1"/>
      <c r="U3497" s="1"/>
      <c r="V3497" s="1"/>
      <c r="W3497" s="1"/>
      <c r="X3497" s="1"/>
      <c r="Y3497" s="1"/>
      <c r="Z3497" s="1"/>
      <c r="AA3497" s="1"/>
      <c r="AB3497" s="1"/>
      <c r="AC3497" s="1"/>
      <c r="AD3497" s="1"/>
      <c r="AE3497" s="1"/>
      <c r="AF3497" s="1"/>
      <c r="AG3497" s="1"/>
      <c r="AH3497" s="1"/>
    </row>
    <row r="3498" ht="12.75" hidden="1" customHeight="1" outlineLevel="1">
      <c r="A3498" s="17">
        <v>41634.0</v>
      </c>
      <c r="B3498" s="1"/>
      <c r="C3498" s="1" t="s">
        <v>433</v>
      </c>
      <c r="D3498" s="74"/>
      <c r="E3498" s="67"/>
      <c r="F3498" s="75"/>
      <c r="G3498" s="67"/>
      <c r="H3498" s="68"/>
      <c r="I3498" s="76"/>
      <c r="J3498" s="67"/>
      <c r="K3498" s="7" t="s">
        <v>1103</v>
      </c>
      <c r="L3498" s="77"/>
      <c r="M3498" s="79"/>
      <c r="N3498" s="1"/>
      <c r="O3498" s="1"/>
      <c r="P3498" s="1"/>
      <c r="Q3498" s="1"/>
      <c r="R3498" s="1"/>
      <c r="S3498" s="1"/>
      <c r="T3498" s="1"/>
      <c r="U3498" s="1"/>
      <c r="V3498" s="1"/>
      <c r="W3498" s="1"/>
      <c r="X3498" s="1"/>
      <c r="Y3498" s="1"/>
      <c r="Z3498" s="1"/>
      <c r="AA3498" s="1"/>
      <c r="AB3498" s="1"/>
      <c r="AC3498" s="1"/>
      <c r="AD3498" s="1"/>
      <c r="AE3498" s="1"/>
      <c r="AF3498" s="1"/>
      <c r="AG3498" s="1"/>
      <c r="AH3498" s="1"/>
    </row>
    <row r="3499" ht="12.75" hidden="1" customHeight="1" outlineLevel="1">
      <c r="A3499" s="17">
        <v>41634.0</v>
      </c>
      <c r="B3499" s="1"/>
      <c r="C3499" s="1" t="s">
        <v>435</v>
      </c>
      <c r="D3499" s="74"/>
      <c r="E3499" s="67"/>
      <c r="F3499" s="75"/>
      <c r="G3499" s="67"/>
      <c r="H3499" s="68"/>
      <c r="I3499" s="76"/>
      <c r="J3499" s="67"/>
      <c r="K3499" s="7" t="s">
        <v>1354</v>
      </c>
      <c r="L3499" s="77"/>
      <c r="M3499" s="79"/>
      <c r="N3499" s="1"/>
      <c r="O3499" s="1"/>
      <c r="P3499" s="1"/>
      <c r="Q3499" s="1"/>
      <c r="R3499" s="1"/>
      <c r="S3499" s="1"/>
      <c r="T3499" s="1"/>
      <c r="U3499" s="1"/>
      <c r="V3499" s="1"/>
      <c r="W3499" s="1"/>
      <c r="X3499" s="1"/>
      <c r="Y3499" s="1"/>
      <c r="Z3499" s="1"/>
      <c r="AA3499" s="1"/>
      <c r="AB3499" s="1"/>
      <c r="AC3499" s="1"/>
      <c r="AD3499" s="1"/>
      <c r="AE3499" s="1"/>
      <c r="AF3499" s="1"/>
      <c r="AG3499" s="1"/>
      <c r="AH3499" s="1"/>
    </row>
    <row r="3500" ht="12.75" hidden="1" customHeight="1" outlineLevel="1">
      <c r="A3500" s="17">
        <v>41635.0</v>
      </c>
      <c r="B3500" s="1" t="s">
        <v>343</v>
      </c>
      <c r="C3500" s="1" t="s">
        <v>1044</v>
      </c>
      <c r="D3500" s="74">
        <v>1200.0</v>
      </c>
      <c r="E3500" s="67">
        <v>21.22</v>
      </c>
      <c r="F3500" s="75">
        <v>0.6663194444444445</v>
      </c>
      <c r="G3500" s="67" t="s">
        <v>453</v>
      </c>
      <c r="H3500" s="68">
        <v>6.0</v>
      </c>
      <c r="I3500" s="76"/>
      <c r="J3500" s="67">
        <f t="shared" ref="J3500:J3503" si="234">IF(B3500="SLD",D3500*E3500,-D3500*E3500)-H3500</f>
        <v>-25470</v>
      </c>
      <c r="K3500" s="7"/>
      <c r="L3500" s="70"/>
      <c r="M3500" s="79"/>
      <c r="N3500" s="1"/>
      <c r="O3500" s="1"/>
      <c r="P3500" s="1"/>
      <c r="Q3500" s="1"/>
      <c r="R3500" s="1"/>
      <c r="S3500" s="1"/>
      <c r="T3500" s="1"/>
      <c r="U3500" s="1"/>
      <c r="V3500" s="1"/>
      <c r="W3500" s="1"/>
      <c r="X3500" s="1"/>
      <c r="Y3500" s="1"/>
      <c r="Z3500" s="1"/>
      <c r="AA3500" s="1"/>
      <c r="AB3500" s="1"/>
      <c r="AC3500" s="1"/>
      <c r="AD3500" s="1"/>
      <c r="AE3500" s="1"/>
      <c r="AF3500" s="1"/>
      <c r="AG3500" s="1"/>
      <c r="AH3500" s="1"/>
    </row>
    <row r="3501" ht="12.75" hidden="1" customHeight="1" outlineLevel="1">
      <c r="A3501" s="17">
        <v>41635.0</v>
      </c>
      <c r="B3501" s="1" t="s">
        <v>343</v>
      </c>
      <c r="C3501" s="1" t="s">
        <v>784</v>
      </c>
      <c r="D3501" s="74">
        <v>2000.0</v>
      </c>
      <c r="E3501" s="67">
        <v>15.22</v>
      </c>
      <c r="F3501" s="75">
        <v>0.6661111111111111</v>
      </c>
      <c r="G3501" s="67" t="s">
        <v>453</v>
      </c>
      <c r="H3501" s="68">
        <v>8.0</v>
      </c>
      <c r="I3501" s="76"/>
      <c r="J3501" s="67">
        <f t="shared" si="234"/>
        <v>-30448</v>
      </c>
      <c r="K3501" s="7"/>
      <c r="L3501" s="70"/>
      <c r="M3501" s="79"/>
      <c r="N3501" s="1"/>
      <c r="O3501" s="1"/>
      <c r="P3501" s="1"/>
      <c r="Q3501" s="1"/>
      <c r="R3501" s="1"/>
      <c r="S3501" s="1"/>
      <c r="T3501" s="1"/>
      <c r="U3501" s="1"/>
      <c r="V3501" s="1"/>
      <c r="W3501" s="1"/>
      <c r="X3501" s="1"/>
      <c r="Y3501" s="1"/>
      <c r="Z3501" s="1"/>
      <c r="AA3501" s="1"/>
      <c r="AB3501" s="1"/>
      <c r="AC3501" s="1"/>
      <c r="AD3501" s="1"/>
      <c r="AE3501" s="1"/>
      <c r="AF3501" s="1"/>
      <c r="AG3501" s="1"/>
      <c r="AH3501" s="1"/>
    </row>
    <row r="3502" ht="12.75" hidden="1" customHeight="1" outlineLevel="1">
      <c r="A3502" s="17">
        <v>41635.0</v>
      </c>
      <c r="B3502" s="1" t="s">
        <v>343</v>
      </c>
      <c r="C3502" s="1" t="s">
        <v>369</v>
      </c>
      <c r="D3502" s="74">
        <v>1000.0</v>
      </c>
      <c r="E3502" s="67">
        <v>26.54</v>
      </c>
      <c r="F3502" s="75">
        <v>0.6655671296296296</v>
      </c>
      <c r="G3502" s="67" t="s">
        <v>453</v>
      </c>
      <c r="H3502" s="68">
        <v>4.5</v>
      </c>
      <c r="I3502" s="76"/>
      <c r="J3502" s="67">
        <f t="shared" si="234"/>
        <v>-26544.5</v>
      </c>
      <c r="K3502" s="7"/>
      <c r="L3502" s="70"/>
      <c r="M3502" s="79"/>
      <c r="N3502" s="1"/>
      <c r="O3502" s="1"/>
      <c r="P3502" s="1"/>
      <c r="Q3502" s="1"/>
      <c r="R3502" s="1"/>
      <c r="S3502" s="1"/>
      <c r="T3502" s="1"/>
      <c r="U3502" s="1"/>
      <c r="V3502" s="1"/>
      <c r="W3502" s="1"/>
      <c r="X3502" s="1"/>
      <c r="Y3502" s="1"/>
      <c r="Z3502" s="1"/>
      <c r="AA3502" s="1"/>
      <c r="AB3502" s="1"/>
      <c r="AC3502" s="1"/>
      <c r="AD3502" s="1"/>
      <c r="AE3502" s="1"/>
      <c r="AF3502" s="1"/>
      <c r="AG3502" s="1"/>
      <c r="AH3502" s="1"/>
    </row>
    <row r="3503" ht="12.75" hidden="1" customHeight="1" outlineLevel="1">
      <c r="A3503" s="17">
        <v>41635.0</v>
      </c>
      <c r="B3503" s="1" t="s">
        <v>343</v>
      </c>
      <c r="C3503" s="1" t="s">
        <v>355</v>
      </c>
      <c r="D3503" s="74">
        <v>1500.0</v>
      </c>
      <c r="E3503" s="67">
        <v>16.73</v>
      </c>
      <c r="F3503" s="75">
        <v>0.6652314814814815</v>
      </c>
      <c r="G3503" s="67" t="s">
        <v>453</v>
      </c>
      <c r="H3503" s="68">
        <v>6.7</v>
      </c>
      <c r="I3503" s="76"/>
      <c r="J3503" s="67">
        <f t="shared" si="234"/>
        <v>-25101.7</v>
      </c>
      <c r="K3503" s="7"/>
      <c r="L3503" s="70"/>
      <c r="M3503" s="79"/>
      <c r="N3503" s="1"/>
      <c r="O3503" s="1"/>
      <c r="P3503" s="1"/>
      <c r="Q3503" s="1"/>
      <c r="R3503" s="1"/>
      <c r="S3503" s="1"/>
      <c r="T3503" s="1"/>
      <c r="U3503" s="1"/>
      <c r="V3503" s="1"/>
      <c r="W3503" s="1"/>
      <c r="X3503" s="1"/>
      <c r="Y3503" s="1"/>
      <c r="Z3503" s="1"/>
      <c r="AA3503" s="1"/>
      <c r="AB3503" s="1"/>
      <c r="AC3503" s="1"/>
      <c r="AD3503" s="1"/>
      <c r="AE3503" s="1"/>
      <c r="AF3503" s="1"/>
      <c r="AG3503" s="1"/>
      <c r="AH3503" s="1"/>
    </row>
    <row r="3504" ht="12.75" hidden="1" customHeight="1" outlineLevel="1">
      <c r="A3504" s="17">
        <v>41636.0</v>
      </c>
      <c r="B3504" s="1"/>
      <c r="C3504" s="1" t="s">
        <v>339</v>
      </c>
      <c r="D3504" s="74"/>
      <c r="E3504" s="67"/>
      <c r="F3504" s="75"/>
      <c r="G3504" s="67"/>
      <c r="H3504" s="68"/>
      <c r="I3504" s="76"/>
      <c r="J3504" s="67"/>
      <c r="K3504" s="7" t="s">
        <v>1502</v>
      </c>
      <c r="L3504" s="77"/>
      <c r="M3504" s="79"/>
      <c r="N3504" s="1"/>
      <c r="O3504" s="1"/>
      <c r="P3504" s="1"/>
      <c r="Q3504" s="1"/>
      <c r="R3504" s="1"/>
      <c r="S3504" s="1"/>
      <c r="T3504" s="1"/>
      <c r="U3504" s="1"/>
      <c r="V3504" s="1"/>
      <c r="W3504" s="1"/>
      <c r="X3504" s="1"/>
      <c r="Y3504" s="1"/>
      <c r="Z3504" s="1"/>
      <c r="AA3504" s="1"/>
      <c r="AB3504" s="1"/>
      <c r="AC3504" s="1"/>
      <c r="AD3504" s="1"/>
      <c r="AE3504" s="1"/>
      <c r="AF3504" s="1"/>
      <c r="AG3504" s="1"/>
      <c r="AH3504" s="1"/>
    </row>
    <row r="3505" ht="12.75" hidden="1" customHeight="1" outlineLevel="1">
      <c r="A3505" s="17">
        <v>41636.0</v>
      </c>
      <c r="B3505" s="1"/>
      <c r="C3505" s="1" t="s">
        <v>429</v>
      </c>
      <c r="D3505" s="74"/>
      <c r="E3505" s="67"/>
      <c r="F3505" s="75"/>
      <c r="G3505" s="67"/>
      <c r="H3505" s="68"/>
      <c r="I3505" s="76"/>
      <c r="J3505" s="67"/>
      <c r="K3505" s="7" t="s">
        <v>1352</v>
      </c>
      <c r="L3505" s="77"/>
      <c r="M3505" s="79"/>
      <c r="N3505" s="1"/>
      <c r="O3505" s="1"/>
      <c r="P3505" s="1"/>
      <c r="Q3505" s="1"/>
      <c r="R3505" s="1"/>
      <c r="S3505" s="1"/>
      <c r="T3505" s="1"/>
      <c r="U3505" s="1"/>
      <c r="V3505" s="1"/>
      <c r="W3505" s="1"/>
      <c r="X3505" s="1"/>
      <c r="Y3505" s="1"/>
      <c r="Z3505" s="1"/>
      <c r="AA3505" s="1"/>
      <c r="AB3505" s="1"/>
      <c r="AC3505" s="1"/>
      <c r="AD3505" s="1"/>
      <c r="AE3505" s="1"/>
      <c r="AF3505" s="1"/>
      <c r="AG3505" s="1"/>
      <c r="AH3505" s="1"/>
    </row>
    <row r="3506" ht="12.75" hidden="1" customHeight="1" outlineLevel="1">
      <c r="A3506" s="17">
        <v>41636.0</v>
      </c>
      <c r="B3506" s="1"/>
      <c r="C3506" s="1" t="s">
        <v>431</v>
      </c>
      <c r="D3506" s="74"/>
      <c r="E3506" s="67"/>
      <c r="F3506" s="75"/>
      <c r="G3506" s="67"/>
      <c r="H3506" s="68"/>
      <c r="I3506" s="76"/>
      <c r="J3506" s="67"/>
      <c r="K3506" s="7" t="s">
        <v>1126</v>
      </c>
      <c r="L3506" s="77"/>
      <c r="M3506" s="79"/>
      <c r="N3506" s="1"/>
      <c r="O3506" s="1"/>
      <c r="P3506" s="1"/>
      <c r="Q3506" s="1"/>
      <c r="R3506" s="1"/>
      <c r="S3506" s="1"/>
      <c r="T3506" s="1"/>
      <c r="U3506" s="1"/>
      <c r="V3506" s="1"/>
      <c r="W3506" s="1"/>
      <c r="X3506" s="1"/>
      <c r="Y3506" s="1"/>
      <c r="Z3506" s="1"/>
      <c r="AA3506" s="1"/>
      <c r="AB3506" s="1"/>
      <c r="AC3506" s="1"/>
      <c r="AD3506" s="1"/>
      <c r="AE3506" s="1"/>
      <c r="AF3506" s="1"/>
      <c r="AG3506" s="1"/>
      <c r="AH3506" s="1"/>
    </row>
    <row r="3507" ht="12.75" hidden="1" customHeight="1" outlineLevel="1">
      <c r="A3507" s="17">
        <v>41636.0</v>
      </c>
      <c r="B3507" s="1"/>
      <c r="C3507" s="1" t="s">
        <v>433</v>
      </c>
      <c r="D3507" s="74"/>
      <c r="E3507" s="67"/>
      <c r="F3507" s="75"/>
      <c r="G3507" s="67"/>
      <c r="H3507" s="68"/>
      <c r="I3507" s="76"/>
      <c r="J3507" s="67"/>
      <c r="K3507" s="7" t="s">
        <v>1103</v>
      </c>
      <c r="L3507" s="77"/>
      <c r="M3507" s="79"/>
      <c r="N3507" s="1"/>
      <c r="O3507" s="1"/>
      <c r="P3507" s="1"/>
      <c r="Q3507" s="1"/>
      <c r="R3507" s="1"/>
      <c r="S3507" s="1"/>
      <c r="T3507" s="1"/>
      <c r="U3507" s="1"/>
      <c r="V3507" s="1"/>
      <c r="W3507" s="1"/>
      <c r="X3507" s="1"/>
      <c r="Y3507" s="1"/>
      <c r="Z3507" s="1"/>
      <c r="AA3507" s="1"/>
      <c r="AB3507" s="1"/>
      <c r="AC3507" s="1"/>
      <c r="AD3507" s="1"/>
      <c r="AE3507" s="1"/>
      <c r="AF3507" s="1"/>
      <c r="AG3507" s="1"/>
      <c r="AH3507" s="1"/>
    </row>
    <row r="3508" ht="12.75" hidden="1" customHeight="1" outlineLevel="1">
      <c r="A3508" s="17">
        <v>41636.0</v>
      </c>
      <c r="B3508" s="1"/>
      <c r="C3508" s="1" t="s">
        <v>435</v>
      </c>
      <c r="D3508" s="74"/>
      <c r="E3508" s="67"/>
      <c r="F3508" s="75"/>
      <c r="G3508" s="67"/>
      <c r="H3508" s="68"/>
      <c r="I3508" s="76"/>
      <c r="J3508" s="67"/>
      <c r="K3508" s="7" t="s">
        <v>1354</v>
      </c>
      <c r="L3508" s="77"/>
      <c r="M3508" s="79"/>
      <c r="N3508" s="1"/>
      <c r="O3508" s="1"/>
      <c r="P3508" s="1"/>
      <c r="Q3508" s="1"/>
      <c r="R3508" s="1"/>
      <c r="S3508" s="1"/>
      <c r="T3508" s="1"/>
      <c r="U3508" s="1"/>
      <c r="V3508" s="1"/>
      <c r="W3508" s="1"/>
      <c r="X3508" s="1"/>
      <c r="Y3508" s="1"/>
      <c r="Z3508" s="1"/>
      <c r="AA3508" s="1"/>
      <c r="AB3508" s="1"/>
      <c r="AC3508" s="1"/>
      <c r="AD3508" s="1"/>
      <c r="AE3508" s="1"/>
      <c r="AF3508" s="1"/>
      <c r="AG3508" s="1"/>
      <c r="AH3508" s="1"/>
    </row>
    <row r="3509" ht="12.75" hidden="1" customHeight="1" outlineLevel="1">
      <c r="A3509" s="17">
        <v>41638.0</v>
      </c>
      <c r="B3509" s="1"/>
      <c r="C3509" s="1" t="s">
        <v>339</v>
      </c>
      <c r="D3509" s="74"/>
      <c r="E3509" s="67"/>
      <c r="F3509" s="75"/>
      <c r="G3509" s="67"/>
      <c r="H3509" s="68"/>
      <c r="I3509" s="76"/>
      <c r="J3509" s="67"/>
      <c r="K3509" s="7" t="s">
        <v>1503</v>
      </c>
      <c r="L3509" s="77"/>
      <c r="M3509" s="79"/>
      <c r="N3509" s="1"/>
      <c r="O3509" s="1"/>
      <c r="P3509" s="1"/>
      <c r="Q3509" s="1"/>
      <c r="R3509" s="1"/>
      <c r="S3509" s="1"/>
      <c r="T3509" s="1"/>
      <c r="U3509" s="1"/>
      <c r="V3509" s="1"/>
      <c r="W3509" s="1"/>
      <c r="X3509" s="1"/>
      <c r="Y3509" s="1"/>
      <c r="Z3509" s="1"/>
      <c r="AA3509" s="1"/>
      <c r="AB3509" s="1"/>
      <c r="AC3509" s="1"/>
      <c r="AD3509" s="1"/>
      <c r="AE3509" s="1"/>
      <c r="AF3509" s="1"/>
      <c r="AG3509" s="1"/>
      <c r="AH3509" s="1"/>
    </row>
    <row r="3510" ht="12.75" hidden="1" customHeight="1" outlineLevel="1">
      <c r="A3510" s="17">
        <v>41638.0</v>
      </c>
      <c r="B3510" s="1"/>
      <c r="C3510" s="1" t="s">
        <v>429</v>
      </c>
      <c r="D3510" s="74"/>
      <c r="E3510" s="67"/>
      <c r="F3510" s="75"/>
      <c r="G3510" s="67"/>
      <c r="H3510" s="68"/>
      <c r="I3510" s="76"/>
      <c r="J3510" s="67"/>
      <c r="K3510" s="7" t="s">
        <v>1352</v>
      </c>
      <c r="L3510" s="77"/>
      <c r="M3510" s="79"/>
      <c r="N3510" s="1"/>
      <c r="O3510" s="1"/>
      <c r="P3510" s="1"/>
      <c r="Q3510" s="1"/>
      <c r="R3510" s="1"/>
      <c r="S3510" s="1"/>
      <c r="T3510" s="1"/>
      <c r="U3510" s="1"/>
      <c r="V3510" s="1"/>
      <c r="W3510" s="1"/>
      <c r="X3510" s="1"/>
      <c r="Y3510" s="1"/>
      <c r="Z3510" s="1"/>
      <c r="AA3510" s="1"/>
      <c r="AB3510" s="1"/>
      <c r="AC3510" s="1"/>
      <c r="AD3510" s="1"/>
      <c r="AE3510" s="1"/>
      <c r="AF3510" s="1"/>
      <c r="AG3510" s="1"/>
      <c r="AH3510" s="1"/>
    </row>
    <row r="3511" ht="12.75" hidden="1" customHeight="1" outlineLevel="1">
      <c r="A3511" s="17">
        <v>41638.0</v>
      </c>
      <c r="B3511" s="1"/>
      <c r="C3511" s="1" t="s">
        <v>431</v>
      </c>
      <c r="D3511" s="74"/>
      <c r="E3511" s="67"/>
      <c r="F3511" s="75"/>
      <c r="G3511" s="67"/>
      <c r="H3511" s="68"/>
      <c r="I3511" s="76"/>
      <c r="J3511" s="67"/>
      <c r="K3511" s="7" t="s">
        <v>1126</v>
      </c>
      <c r="L3511" s="77"/>
      <c r="M3511" s="79"/>
      <c r="N3511" s="1"/>
      <c r="O3511" s="1"/>
      <c r="P3511" s="1"/>
      <c r="Q3511" s="1"/>
      <c r="R3511" s="1"/>
      <c r="S3511" s="1"/>
      <c r="T3511" s="1"/>
      <c r="U3511" s="1"/>
      <c r="V3511" s="1"/>
      <c r="W3511" s="1"/>
      <c r="X3511" s="1"/>
      <c r="Y3511" s="1"/>
      <c r="Z3511" s="1"/>
      <c r="AA3511" s="1"/>
      <c r="AB3511" s="1"/>
      <c r="AC3511" s="1"/>
      <c r="AD3511" s="1"/>
      <c r="AE3511" s="1"/>
      <c r="AF3511" s="1"/>
      <c r="AG3511" s="1"/>
      <c r="AH3511" s="1"/>
    </row>
    <row r="3512" ht="12.75" hidden="1" customHeight="1" outlineLevel="1">
      <c r="A3512" s="17">
        <v>41638.0</v>
      </c>
      <c r="B3512" s="1"/>
      <c r="C3512" s="1" t="s">
        <v>433</v>
      </c>
      <c r="D3512" s="74"/>
      <c r="E3512" s="67"/>
      <c r="F3512" s="75"/>
      <c r="G3512" s="67"/>
      <c r="H3512" s="68"/>
      <c r="I3512" s="76"/>
      <c r="J3512" s="67"/>
      <c r="K3512" s="7" t="s">
        <v>1103</v>
      </c>
      <c r="L3512" s="77"/>
      <c r="M3512" s="79"/>
      <c r="N3512" s="1"/>
      <c r="O3512" s="1"/>
      <c r="P3512" s="1"/>
      <c r="Q3512" s="1"/>
      <c r="R3512" s="1"/>
      <c r="S3512" s="1"/>
      <c r="T3512" s="1"/>
      <c r="U3512" s="1"/>
      <c r="V3512" s="1"/>
      <c r="W3512" s="1"/>
      <c r="X3512" s="1"/>
      <c r="Y3512" s="1"/>
      <c r="Z3512" s="1"/>
      <c r="AA3512" s="1"/>
      <c r="AB3512" s="1"/>
      <c r="AC3512" s="1"/>
      <c r="AD3512" s="1"/>
      <c r="AE3512" s="1"/>
      <c r="AF3512" s="1"/>
      <c r="AG3512" s="1"/>
      <c r="AH3512" s="1"/>
    </row>
    <row r="3513" ht="12.75" hidden="1" customHeight="1" outlineLevel="1">
      <c r="A3513" s="17">
        <v>41638.0</v>
      </c>
      <c r="B3513" s="1"/>
      <c r="C3513" s="1" t="s">
        <v>435</v>
      </c>
      <c r="D3513" s="74"/>
      <c r="E3513" s="67"/>
      <c r="F3513" s="75"/>
      <c r="G3513" s="67"/>
      <c r="H3513" s="68"/>
      <c r="I3513" s="76"/>
      <c r="J3513" s="67"/>
      <c r="K3513" s="7" t="s">
        <v>1354</v>
      </c>
      <c r="L3513" s="77"/>
      <c r="M3513" s="79"/>
      <c r="N3513" s="1"/>
      <c r="O3513" s="1"/>
      <c r="P3513" s="1"/>
      <c r="Q3513" s="1"/>
      <c r="R3513" s="1"/>
      <c r="S3513" s="1"/>
      <c r="T3513" s="1"/>
      <c r="U3513" s="1"/>
      <c r="V3513" s="1"/>
      <c r="W3513" s="1"/>
      <c r="X3513" s="1"/>
      <c r="Y3513" s="1"/>
      <c r="Z3513" s="1"/>
      <c r="AA3513" s="1"/>
      <c r="AB3513" s="1"/>
      <c r="AC3513" s="1"/>
      <c r="AD3513" s="1"/>
      <c r="AE3513" s="1"/>
      <c r="AF3513" s="1"/>
      <c r="AG3513" s="1"/>
      <c r="AH3513" s="1"/>
    </row>
    <row r="3514" ht="12.75" hidden="1" customHeight="1" outlineLevel="1">
      <c r="A3514" s="17">
        <v>41639.0</v>
      </c>
      <c r="B3514" s="1"/>
      <c r="C3514" s="1" t="s">
        <v>339</v>
      </c>
      <c r="D3514" s="74"/>
      <c r="E3514" s="67"/>
      <c r="F3514" s="75"/>
      <c r="G3514" s="67"/>
      <c r="H3514" s="68"/>
      <c r="I3514" s="76"/>
      <c r="J3514" s="67"/>
      <c r="K3514" s="7" t="s">
        <v>1504</v>
      </c>
      <c r="L3514" s="77"/>
      <c r="M3514" s="79"/>
      <c r="N3514" s="1"/>
      <c r="O3514" s="1"/>
      <c r="P3514" s="1"/>
      <c r="Q3514" s="1"/>
      <c r="R3514" s="1"/>
      <c r="S3514" s="1"/>
      <c r="T3514" s="1"/>
      <c r="U3514" s="1"/>
      <c r="V3514" s="1"/>
      <c r="W3514" s="1"/>
      <c r="X3514" s="1"/>
      <c r="Y3514" s="1"/>
      <c r="Z3514" s="1"/>
      <c r="AA3514" s="1"/>
      <c r="AB3514" s="1"/>
      <c r="AC3514" s="1"/>
      <c r="AD3514" s="1"/>
      <c r="AE3514" s="1"/>
      <c r="AF3514" s="1"/>
      <c r="AG3514" s="1"/>
      <c r="AH3514" s="1"/>
    </row>
    <row r="3515" ht="12.75" hidden="1" customHeight="1" outlineLevel="1">
      <c r="A3515" s="17">
        <v>41639.0</v>
      </c>
      <c r="B3515" s="1"/>
      <c r="C3515" s="1" t="s">
        <v>429</v>
      </c>
      <c r="D3515" s="74"/>
      <c r="E3515" s="67"/>
      <c r="F3515" s="75"/>
      <c r="G3515" s="67"/>
      <c r="H3515" s="68"/>
      <c r="I3515" s="76"/>
      <c r="J3515" s="67"/>
      <c r="K3515" s="7" t="s">
        <v>1505</v>
      </c>
      <c r="L3515" s="77"/>
      <c r="M3515" s="79"/>
      <c r="N3515" s="1"/>
      <c r="O3515" s="1"/>
      <c r="P3515" s="1"/>
      <c r="Q3515" s="1"/>
      <c r="R3515" s="1"/>
      <c r="S3515" s="1"/>
      <c r="T3515" s="1"/>
      <c r="U3515" s="1"/>
      <c r="V3515" s="1"/>
      <c r="W3515" s="1"/>
      <c r="X3515" s="1"/>
      <c r="Y3515" s="1"/>
      <c r="Z3515" s="1"/>
      <c r="AA3515" s="1"/>
      <c r="AB3515" s="1"/>
      <c r="AC3515" s="1"/>
      <c r="AD3515" s="1"/>
      <c r="AE3515" s="1"/>
      <c r="AF3515" s="1"/>
      <c r="AG3515" s="1"/>
      <c r="AH3515" s="1"/>
    </row>
    <row r="3516" ht="12.75" hidden="1" customHeight="1" outlineLevel="1">
      <c r="A3516" s="17">
        <v>41639.0</v>
      </c>
      <c r="B3516" s="1"/>
      <c r="C3516" s="1" t="s">
        <v>431</v>
      </c>
      <c r="D3516" s="74"/>
      <c r="E3516" s="67"/>
      <c r="F3516" s="75"/>
      <c r="G3516" s="67"/>
      <c r="H3516" s="68"/>
      <c r="I3516" s="76"/>
      <c r="J3516" s="67"/>
      <c r="K3516" s="7" t="s">
        <v>1126</v>
      </c>
      <c r="L3516" s="77"/>
      <c r="M3516" s="79"/>
      <c r="N3516" s="1"/>
      <c r="O3516" s="1"/>
      <c r="P3516" s="1"/>
      <c r="Q3516" s="1"/>
      <c r="R3516" s="1"/>
      <c r="S3516" s="1"/>
      <c r="T3516" s="1"/>
      <c r="U3516" s="1"/>
      <c r="V3516" s="1"/>
      <c r="W3516" s="1"/>
      <c r="X3516" s="1"/>
      <c r="Y3516" s="1"/>
      <c r="Z3516" s="1"/>
      <c r="AA3516" s="1"/>
      <c r="AB3516" s="1"/>
      <c r="AC3516" s="1"/>
      <c r="AD3516" s="1"/>
      <c r="AE3516" s="1"/>
      <c r="AF3516" s="1"/>
      <c r="AG3516" s="1"/>
      <c r="AH3516" s="1"/>
    </row>
    <row r="3517" ht="12.75" hidden="1" customHeight="1" outlineLevel="1">
      <c r="A3517" s="17">
        <v>41639.0</v>
      </c>
      <c r="B3517" s="1"/>
      <c r="C3517" s="1" t="s">
        <v>433</v>
      </c>
      <c r="D3517" s="74"/>
      <c r="E3517" s="67"/>
      <c r="F3517" s="75"/>
      <c r="G3517" s="67"/>
      <c r="H3517" s="68"/>
      <c r="I3517" s="76"/>
      <c r="J3517" s="67"/>
      <c r="K3517" s="7" t="s">
        <v>1103</v>
      </c>
      <c r="L3517" s="77"/>
      <c r="M3517" s="79"/>
      <c r="N3517" s="1"/>
      <c r="O3517" s="1"/>
      <c r="P3517" s="1"/>
      <c r="Q3517" s="1"/>
      <c r="R3517" s="1"/>
      <c r="S3517" s="1"/>
      <c r="T3517" s="1"/>
      <c r="U3517" s="1"/>
      <c r="V3517" s="1"/>
      <c r="W3517" s="1"/>
      <c r="X3517" s="1"/>
      <c r="Y3517" s="1"/>
      <c r="Z3517" s="1"/>
      <c r="AA3517" s="1"/>
      <c r="AB3517" s="1"/>
      <c r="AC3517" s="1"/>
      <c r="AD3517" s="1"/>
      <c r="AE3517" s="1"/>
      <c r="AF3517" s="1"/>
      <c r="AG3517" s="1"/>
      <c r="AH3517" s="1"/>
    </row>
    <row r="3518" ht="12.75" hidden="1" customHeight="1" outlineLevel="1">
      <c r="A3518" s="17">
        <v>41639.0</v>
      </c>
      <c r="B3518" s="1"/>
      <c r="C3518" s="1" t="s">
        <v>435</v>
      </c>
      <c r="D3518" s="74"/>
      <c r="E3518" s="67"/>
      <c r="F3518" s="75"/>
      <c r="G3518" s="67"/>
      <c r="H3518" s="68"/>
      <c r="I3518" s="76"/>
      <c r="J3518" s="67"/>
      <c r="K3518" s="7" t="s">
        <v>1507</v>
      </c>
      <c r="L3518" s="77"/>
      <c r="M3518" s="79"/>
      <c r="N3518" s="1"/>
      <c r="O3518" s="1"/>
      <c r="P3518" s="1"/>
      <c r="Q3518" s="1"/>
      <c r="R3518" s="1"/>
      <c r="S3518" s="1"/>
      <c r="T3518" s="1"/>
      <c r="U3518" s="1"/>
      <c r="V3518" s="1"/>
      <c r="W3518" s="1"/>
      <c r="X3518" s="1"/>
      <c r="Y3518" s="1"/>
      <c r="Z3518" s="1"/>
      <c r="AA3518" s="1"/>
      <c r="AB3518" s="1"/>
      <c r="AC3518" s="1"/>
      <c r="AD3518" s="1"/>
      <c r="AE3518" s="1"/>
      <c r="AF3518" s="1"/>
      <c r="AG3518" s="1"/>
      <c r="AH3518" s="1"/>
    </row>
    <row r="3519" ht="12.75" hidden="1" customHeight="1" outlineLevel="1">
      <c r="A3519" s="17">
        <v>41641.0</v>
      </c>
      <c r="B3519" s="1"/>
      <c r="C3519" s="1" t="s">
        <v>339</v>
      </c>
      <c r="D3519" s="74"/>
      <c r="E3519" s="67"/>
      <c r="F3519" s="75"/>
      <c r="G3519" s="67"/>
      <c r="H3519" s="68"/>
      <c r="I3519" s="76"/>
      <c r="J3519" s="67"/>
      <c r="K3519" s="7" t="s">
        <v>1508</v>
      </c>
      <c r="L3519" s="77"/>
      <c r="M3519" s="79"/>
      <c r="N3519" s="1"/>
      <c r="O3519" s="1"/>
      <c r="P3519" s="1"/>
      <c r="Q3519" s="1"/>
      <c r="R3519" s="1"/>
      <c r="S3519" s="1"/>
      <c r="T3519" s="1"/>
      <c r="U3519" s="1"/>
      <c r="V3519" s="1"/>
      <c r="W3519" s="1"/>
      <c r="X3519" s="1"/>
      <c r="Y3519" s="1"/>
      <c r="Z3519" s="1"/>
      <c r="AA3519" s="1"/>
      <c r="AB3519" s="1"/>
      <c r="AC3519" s="1"/>
      <c r="AD3519" s="1"/>
      <c r="AE3519" s="1"/>
      <c r="AF3519" s="1"/>
      <c r="AG3519" s="1"/>
      <c r="AH3519" s="1"/>
    </row>
    <row r="3520" ht="12.75" hidden="1" customHeight="1" outlineLevel="1">
      <c r="A3520" s="17">
        <v>41641.0</v>
      </c>
      <c r="B3520" s="1"/>
      <c r="C3520" s="1" t="s">
        <v>429</v>
      </c>
      <c r="D3520" s="74"/>
      <c r="E3520" s="67"/>
      <c r="F3520" s="75"/>
      <c r="G3520" s="67"/>
      <c r="H3520" s="68"/>
      <c r="I3520" s="76"/>
      <c r="J3520" s="67"/>
      <c r="K3520" s="7" t="s">
        <v>1505</v>
      </c>
      <c r="L3520" s="77"/>
      <c r="M3520" s="79"/>
      <c r="N3520" s="1"/>
      <c r="O3520" s="1"/>
      <c r="P3520" s="1"/>
      <c r="Q3520" s="1"/>
      <c r="R3520" s="1"/>
      <c r="S3520" s="1"/>
      <c r="T3520" s="1"/>
      <c r="U3520" s="1"/>
      <c r="V3520" s="1"/>
      <c r="W3520" s="1"/>
      <c r="X3520" s="1"/>
      <c r="Y3520" s="1"/>
      <c r="Z3520" s="1"/>
      <c r="AA3520" s="1"/>
      <c r="AB3520" s="1"/>
      <c r="AC3520" s="1"/>
      <c r="AD3520" s="1"/>
      <c r="AE3520" s="1"/>
      <c r="AF3520" s="1"/>
      <c r="AG3520" s="1"/>
      <c r="AH3520" s="1"/>
    </row>
    <row r="3521" ht="12.75" hidden="1" customHeight="1" outlineLevel="1">
      <c r="A3521" s="17">
        <v>41641.0</v>
      </c>
      <c r="B3521" s="1"/>
      <c r="C3521" s="1" t="s">
        <v>431</v>
      </c>
      <c r="D3521" s="74"/>
      <c r="E3521" s="67"/>
      <c r="F3521" s="75"/>
      <c r="G3521" s="67"/>
      <c r="H3521" s="68"/>
      <c r="I3521" s="76"/>
      <c r="J3521" s="67"/>
      <c r="K3521" s="7" t="s">
        <v>1126</v>
      </c>
      <c r="L3521" s="77"/>
      <c r="M3521" s="79"/>
      <c r="N3521" s="1"/>
      <c r="O3521" s="1"/>
      <c r="P3521" s="1"/>
      <c r="Q3521" s="1"/>
      <c r="R3521" s="1"/>
      <c r="S3521" s="1"/>
      <c r="T3521" s="1"/>
      <c r="U3521" s="1"/>
      <c r="V3521" s="1"/>
      <c r="W3521" s="1"/>
      <c r="X3521" s="1"/>
      <c r="Y3521" s="1"/>
      <c r="Z3521" s="1"/>
      <c r="AA3521" s="1"/>
      <c r="AB3521" s="1"/>
      <c r="AC3521" s="1"/>
      <c r="AD3521" s="1"/>
      <c r="AE3521" s="1"/>
      <c r="AF3521" s="1"/>
      <c r="AG3521" s="1"/>
      <c r="AH3521" s="1"/>
    </row>
    <row r="3522" ht="12.75" hidden="1" customHeight="1" outlineLevel="1">
      <c r="A3522" s="17">
        <v>41641.0</v>
      </c>
      <c r="B3522" s="1"/>
      <c r="C3522" s="1" t="s">
        <v>433</v>
      </c>
      <c r="D3522" s="74"/>
      <c r="E3522" s="67"/>
      <c r="F3522" s="75"/>
      <c r="G3522" s="67"/>
      <c r="H3522" s="68"/>
      <c r="I3522" s="76"/>
      <c r="J3522" s="67"/>
      <c r="K3522" s="7" t="s">
        <v>1103</v>
      </c>
      <c r="L3522" s="77"/>
      <c r="M3522" s="79"/>
      <c r="N3522" s="1"/>
      <c r="O3522" s="1"/>
      <c r="P3522" s="1"/>
      <c r="Q3522" s="1"/>
      <c r="R3522" s="1"/>
      <c r="S3522" s="1"/>
      <c r="T3522" s="1"/>
      <c r="U3522" s="1"/>
      <c r="V3522" s="1"/>
      <c r="W3522" s="1"/>
      <c r="X3522" s="1"/>
      <c r="Y3522" s="1"/>
      <c r="Z3522" s="1"/>
      <c r="AA3522" s="1"/>
      <c r="AB3522" s="1"/>
      <c r="AC3522" s="1"/>
      <c r="AD3522" s="1"/>
      <c r="AE3522" s="1"/>
      <c r="AF3522" s="1"/>
      <c r="AG3522" s="1"/>
      <c r="AH3522" s="1"/>
    </row>
    <row r="3523" ht="12.75" hidden="1" customHeight="1" outlineLevel="1">
      <c r="A3523" s="17">
        <v>41641.0</v>
      </c>
      <c r="B3523" s="1"/>
      <c r="C3523" s="1" t="s">
        <v>435</v>
      </c>
      <c r="D3523" s="74"/>
      <c r="E3523" s="67"/>
      <c r="F3523" s="75"/>
      <c r="G3523" s="67"/>
      <c r="H3523" s="68"/>
      <c r="I3523" s="76"/>
      <c r="J3523" s="67"/>
      <c r="K3523" s="7" t="s">
        <v>1507</v>
      </c>
      <c r="L3523" s="77"/>
      <c r="M3523" s="79"/>
      <c r="N3523" s="1"/>
      <c r="O3523" s="1"/>
      <c r="P3523" s="1"/>
      <c r="Q3523" s="1"/>
      <c r="R3523" s="1"/>
      <c r="S3523" s="1"/>
      <c r="T3523" s="1"/>
      <c r="U3523" s="1"/>
      <c r="V3523" s="1"/>
      <c r="W3523" s="1"/>
      <c r="X3523" s="1"/>
      <c r="Y3523" s="1"/>
      <c r="Z3523" s="1"/>
      <c r="AA3523" s="1"/>
      <c r="AB3523" s="1"/>
      <c r="AC3523" s="1"/>
      <c r="AD3523" s="1"/>
      <c r="AE3523" s="1"/>
      <c r="AF3523" s="1"/>
      <c r="AG3523" s="1"/>
      <c r="AH3523" s="1"/>
    </row>
    <row r="3524" ht="12.75" hidden="1" customHeight="1" outlineLevel="1">
      <c r="A3524" s="17">
        <v>41643.0</v>
      </c>
      <c r="B3524" s="1"/>
      <c r="C3524" s="1" t="s">
        <v>339</v>
      </c>
      <c r="D3524" s="74"/>
      <c r="E3524" s="67"/>
      <c r="F3524" s="75"/>
      <c r="G3524" s="67"/>
      <c r="H3524" s="68"/>
      <c r="I3524" s="76"/>
      <c r="J3524" s="67"/>
      <c r="K3524" s="7" t="s">
        <v>1509</v>
      </c>
      <c r="L3524" s="77"/>
      <c r="M3524" s="79"/>
      <c r="N3524" s="1"/>
      <c r="O3524" s="1"/>
      <c r="P3524" s="1"/>
      <c r="Q3524" s="1"/>
      <c r="R3524" s="1"/>
      <c r="S3524" s="1"/>
      <c r="T3524" s="1"/>
      <c r="U3524" s="1"/>
      <c r="V3524" s="1"/>
      <c r="W3524" s="1"/>
      <c r="X3524" s="1"/>
      <c r="Y3524" s="1"/>
      <c r="Z3524" s="1"/>
      <c r="AA3524" s="1"/>
      <c r="AB3524" s="1"/>
      <c r="AC3524" s="1"/>
      <c r="AD3524" s="1"/>
      <c r="AE3524" s="1"/>
      <c r="AF3524" s="1"/>
      <c r="AG3524" s="1"/>
      <c r="AH3524" s="1"/>
    </row>
    <row r="3525" ht="12.75" hidden="1" customHeight="1" outlineLevel="1">
      <c r="A3525" s="17">
        <v>41643.0</v>
      </c>
      <c r="B3525" s="1"/>
      <c r="C3525" s="1" t="s">
        <v>429</v>
      </c>
      <c r="D3525" s="74"/>
      <c r="E3525" s="67"/>
      <c r="F3525" s="75"/>
      <c r="G3525" s="67"/>
      <c r="H3525" s="68"/>
      <c r="I3525" s="76"/>
      <c r="J3525" s="67"/>
      <c r="K3525" s="7" t="s">
        <v>1505</v>
      </c>
      <c r="L3525" s="77"/>
      <c r="M3525" s="79"/>
      <c r="N3525" s="1"/>
      <c r="O3525" s="1"/>
      <c r="P3525" s="1"/>
      <c r="Q3525" s="1"/>
      <c r="R3525" s="1"/>
      <c r="S3525" s="1"/>
      <c r="T3525" s="1"/>
      <c r="U3525" s="1"/>
      <c r="V3525" s="1"/>
      <c r="W3525" s="1"/>
      <c r="X3525" s="1"/>
      <c r="Y3525" s="1"/>
      <c r="Z3525" s="1"/>
      <c r="AA3525" s="1"/>
      <c r="AB3525" s="1"/>
      <c r="AC3525" s="1"/>
      <c r="AD3525" s="1"/>
      <c r="AE3525" s="1"/>
      <c r="AF3525" s="1"/>
      <c r="AG3525" s="1"/>
      <c r="AH3525" s="1"/>
    </row>
    <row r="3526" ht="12.75" hidden="1" customHeight="1" outlineLevel="1">
      <c r="A3526" s="17">
        <v>41643.0</v>
      </c>
      <c r="B3526" s="1"/>
      <c r="C3526" s="1" t="s">
        <v>431</v>
      </c>
      <c r="D3526" s="74"/>
      <c r="E3526" s="67"/>
      <c r="F3526" s="75"/>
      <c r="G3526" s="67"/>
      <c r="H3526" s="68"/>
      <c r="I3526" s="76"/>
      <c r="J3526" s="67"/>
      <c r="K3526" s="7" t="s">
        <v>1126</v>
      </c>
      <c r="L3526" s="77"/>
      <c r="M3526" s="79"/>
      <c r="N3526" s="1"/>
      <c r="O3526" s="1"/>
      <c r="P3526" s="1"/>
      <c r="Q3526" s="1"/>
      <c r="R3526" s="1"/>
      <c r="S3526" s="1"/>
      <c r="T3526" s="1"/>
      <c r="U3526" s="1"/>
      <c r="V3526" s="1"/>
      <c r="W3526" s="1"/>
      <c r="X3526" s="1"/>
      <c r="Y3526" s="1"/>
      <c r="Z3526" s="1"/>
      <c r="AA3526" s="1"/>
      <c r="AB3526" s="1"/>
      <c r="AC3526" s="1"/>
      <c r="AD3526" s="1"/>
      <c r="AE3526" s="1"/>
      <c r="AF3526" s="1"/>
      <c r="AG3526" s="1"/>
      <c r="AH3526" s="1"/>
    </row>
    <row r="3527" ht="12.75" hidden="1" customHeight="1" outlineLevel="1">
      <c r="A3527" s="17">
        <v>41643.0</v>
      </c>
      <c r="B3527" s="1"/>
      <c r="C3527" s="1" t="s">
        <v>433</v>
      </c>
      <c r="D3527" s="74"/>
      <c r="E3527" s="67"/>
      <c r="F3527" s="75"/>
      <c r="G3527" s="67"/>
      <c r="H3527" s="68"/>
      <c r="I3527" s="76"/>
      <c r="J3527" s="67"/>
      <c r="K3527" s="7" t="s">
        <v>1103</v>
      </c>
      <c r="L3527" s="77"/>
      <c r="M3527" s="79"/>
      <c r="N3527" s="1"/>
      <c r="O3527" s="1"/>
      <c r="P3527" s="1"/>
      <c r="Q3527" s="1"/>
      <c r="R3527" s="1"/>
      <c r="S3527" s="1"/>
      <c r="T3527" s="1"/>
      <c r="U3527" s="1"/>
      <c r="V3527" s="1"/>
      <c r="W3527" s="1"/>
      <c r="X3527" s="1"/>
      <c r="Y3527" s="1"/>
      <c r="Z3527" s="1"/>
      <c r="AA3527" s="1"/>
      <c r="AB3527" s="1"/>
      <c r="AC3527" s="1"/>
      <c r="AD3527" s="1"/>
      <c r="AE3527" s="1"/>
      <c r="AF3527" s="1"/>
      <c r="AG3527" s="1"/>
      <c r="AH3527" s="1"/>
    </row>
    <row r="3528" ht="12.75" hidden="1" customHeight="1" outlineLevel="1">
      <c r="A3528" s="17">
        <v>41643.0</v>
      </c>
      <c r="B3528" s="1"/>
      <c r="C3528" s="1" t="s">
        <v>435</v>
      </c>
      <c r="D3528" s="74"/>
      <c r="E3528" s="67"/>
      <c r="F3528" s="75"/>
      <c r="G3528" s="67"/>
      <c r="H3528" s="68"/>
      <c r="I3528" s="76"/>
      <c r="J3528" s="67"/>
      <c r="K3528" s="7" t="s">
        <v>1507</v>
      </c>
      <c r="L3528" s="77"/>
      <c r="M3528" s="79"/>
      <c r="N3528" s="1"/>
      <c r="O3528" s="1"/>
      <c r="P3528" s="1"/>
      <c r="Q3528" s="1"/>
      <c r="R3528" s="1"/>
      <c r="S3528" s="1"/>
      <c r="T3528" s="1"/>
      <c r="U3528" s="1"/>
      <c r="V3528" s="1"/>
      <c r="W3528" s="1"/>
      <c r="X3528" s="1"/>
      <c r="Y3528" s="1"/>
      <c r="Z3528" s="1"/>
      <c r="AA3528" s="1"/>
      <c r="AB3528" s="1"/>
      <c r="AC3528" s="1"/>
      <c r="AD3528" s="1"/>
      <c r="AE3528" s="1"/>
      <c r="AF3528" s="1"/>
      <c r="AG3528" s="1"/>
      <c r="AH3528" s="1"/>
    </row>
    <row r="3529" ht="12.75" hidden="1" customHeight="1" outlineLevel="1">
      <c r="A3529" s="17">
        <v>41645.0</v>
      </c>
      <c r="B3529" s="1"/>
      <c r="C3529" s="1" t="s">
        <v>339</v>
      </c>
      <c r="D3529" s="74"/>
      <c r="E3529" s="67"/>
      <c r="F3529" s="75"/>
      <c r="G3529" s="67"/>
      <c r="H3529" s="68"/>
      <c r="I3529" s="76"/>
      <c r="J3529" s="67"/>
      <c r="K3529" s="7" t="s">
        <v>1510</v>
      </c>
      <c r="L3529" s="77"/>
      <c r="M3529" s="79"/>
      <c r="N3529" s="1"/>
      <c r="O3529" s="1"/>
      <c r="P3529" s="1"/>
      <c r="Q3529" s="1"/>
      <c r="R3529" s="1"/>
      <c r="S3529" s="1"/>
      <c r="T3529" s="1"/>
      <c r="U3529" s="1"/>
      <c r="V3529" s="1"/>
      <c r="W3529" s="1"/>
      <c r="X3529" s="1"/>
      <c r="Y3529" s="1"/>
      <c r="Z3529" s="1"/>
      <c r="AA3529" s="1"/>
      <c r="AB3529" s="1"/>
      <c r="AC3529" s="1"/>
      <c r="AD3529" s="1"/>
      <c r="AE3529" s="1"/>
      <c r="AF3529" s="1"/>
      <c r="AG3529" s="1"/>
      <c r="AH3529" s="1"/>
    </row>
    <row r="3530" ht="12.75" hidden="1" customHeight="1" outlineLevel="1">
      <c r="A3530" s="17">
        <v>41645.0</v>
      </c>
      <c r="B3530" s="1"/>
      <c r="C3530" s="1" t="s">
        <v>429</v>
      </c>
      <c r="D3530" s="74"/>
      <c r="E3530" s="67"/>
      <c r="F3530" s="75"/>
      <c r="G3530" s="67"/>
      <c r="H3530" s="68"/>
      <c r="I3530" s="76"/>
      <c r="J3530" s="67"/>
      <c r="K3530" s="7" t="s">
        <v>1505</v>
      </c>
      <c r="L3530" s="77"/>
      <c r="M3530" s="79"/>
      <c r="N3530" s="1"/>
      <c r="O3530" s="1"/>
      <c r="P3530" s="1"/>
      <c r="Q3530" s="1"/>
      <c r="R3530" s="1"/>
      <c r="S3530" s="1"/>
      <c r="T3530" s="1"/>
      <c r="U3530" s="1"/>
      <c r="V3530" s="1"/>
      <c r="W3530" s="1"/>
      <c r="X3530" s="1"/>
      <c r="Y3530" s="1"/>
      <c r="Z3530" s="1"/>
      <c r="AA3530" s="1"/>
      <c r="AB3530" s="1"/>
      <c r="AC3530" s="1"/>
      <c r="AD3530" s="1"/>
      <c r="AE3530" s="1"/>
      <c r="AF3530" s="1"/>
      <c r="AG3530" s="1"/>
      <c r="AH3530" s="1"/>
    </row>
    <row r="3531" ht="12.75" hidden="1" customHeight="1" outlineLevel="1">
      <c r="A3531" s="17">
        <v>41645.0</v>
      </c>
      <c r="B3531" s="1"/>
      <c r="C3531" s="1" t="s">
        <v>431</v>
      </c>
      <c r="D3531" s="74"/>
      <c r="E3531" s="67"/>
      <c r="F3531" s="75"/>
      <c r="G3531" s="67"/>
      <c r="H3531" s="68"/>
      <c r="I3531" s="76"/>
      <c r="J3531" s="67"/>
      <c r="K3531" s="7" t="s">
        <v>1126</v>
      </c>
      <c r="L3531" s="77"/>
      <c r="M3531" s="79"/>
      <c r="N3531" s="1"/>
      <c r="O3531" s="1"/>
      <c r="P3531" s="1"/>
      <c r="Q3531" s="1"/>
      <c r="R3531" s="1"/>
      <c r="S3531" s="1"/>
      <c r="T3531" s="1"/>
      <c r="U3531" s="1"/>
      <c r="V3531" s="1"/>
      <c r="W3531" s="1"/>
      <c r="X3531" s="1"/>
      <c r="Y3531" s="1"/>
      <c r="Z3531" s="1"/>
      <c r="AA3531" s="1"/>
      <c r="AB3531" s="1"/>
      <c r="AC3531" s="1"/>
      <c r="AD3531" s="1"/>
      <c r="AE3531" s="1"/>
      <c r="AF3531" s="1"/>
      <c r="AG3531" s="1"/>
      <c r="AH3531" s="1"/>
    </row>
    <row r="3532" ht="12.75" hidden="1" customHeight="1" outlineLevel="1">
      <c r="A3532" s="17">
        <v>41645.0</v>
      </c>
      <c r="B3532" s="1"/>
      <c r="C3532" s="1" t="s">
        <v>433</v>
      </c>
      <c r="D3532" s="74"/>
      <c r="E3532" s="67"/>
      <c r="F3532" s="75"/>
      <c r="G3532" s="67"/>
      <c r="H3532" s="68"/>
      <c r="I3532" s="76"/>
      <c r="J3532" s="67"/>
      <c r="K3532" s="7" t="s">
        <v>1103</v>
      </c>
      <c r="L3532" s="77"/>
      <c r="M3532" s="79"/>
      <c r="N3532" s="1"/>
      <c r="O3532" s="1"/>
      <c r="P3532" s="1"/>
      <c r="Q3532" s="1"/>
      <c r="R3532" s="1"/>
      <c r="S3532" s="1"/>
      <c r="T3532" s="1"/>
      <c r="U3532" s="1"/>
      <c r="V3532" s="1"/>
      <c r="W3532" s="1"/>
      <c r="X3532" s="1"/>
      <c r="Y3532" s="1"/>
      <c r="Z3532" s="1"/>
      <c r="AA3532" s="1"/>
      <c r="AB3532" s="1"/>
      <c r="AC3532" s="1"/>
      <c r="AD3532" s="1"/>
      <c r="AE3532" s="1"/>
      <c r="AF3532" s="1"/>
      <c r="AG3532" s="1"/>
      <c r="AH3532" s="1"/>
    </row>
    <row r="3533" ht="12.75" hidden="1" customHeight="1" outlineLevel="1">
      <c r="A3533" s="17">
        <v>41645.0</v>
      </c>
      <c r="B3533" s="1"/>
      <c r="C3533" s="1" t="s">
        <v>435</v>
      </c>
      <c r="D3533" s="74"/>
      <c r="E3533" s="67"/>
      <c r="F3533" s="75"/>
      <c r="G3533" s="67"/>
      <c r="H3533" s="68"/>
      <c r="I3533" s="76"/>
      <c r="J3533" s="67"/>
      <c r="K3533" s="7" t="s">
        <v>1507</v>
      </c>
      <c r="L3533" s="77"/>
      <c r="M3533" s="79"/>
      <c r="N3533" s="1"/>
      <c r="O3533" s="1"/>
      <c r="P3533" s="1"/>
      <c r="Q3533" s="1"/>
      <c r="R3533" s="1"/>
      <c r="S3533" s="1"/>
      <c r="T3533" s="1"/>
      <c r="U3533" s="1"/>
      <c r="V3533" s="1"/>
      <c r="W3533" s="1"/>
      <c r="X3533" s="1"/>
      <c r="Y3533" s="1"/>
      <c r="Z3533" s="1"/>
      <c r="AA3533" s="1"/>
      <c r="AB3533" s="1"/>
      <c r="AC3533" s="1"/>
      <c r="AD3533" s="1"/>
      <c r="AE3533" s="1"/>
      <c r="AF3533" s="1"/>
      <c r="AG3533" s="1"/>
      <c r="AH3533" s="1"/>
    </row>
    <row r="3534" ht="12.75" hidden="1" customHeight="1" outlineLevel="1">
      <c r="A3534" s="17">
        <v>41646.0</v>
      </c>
      <c r="B3534" s="1"/>
      <c r="C3534" s="1" t="s">
        <v>339</v>
      </c>
      <c r="D3534" s="74"/>
      <c r="E3534" s="67"/>
      <c r="F3534" s="75"/>
      <c r="G3534" s="67"/>
      <c r="H3534" s="68"/>
      <c r="I3534" s="76"/>
      <c r="J3534" s="67"/>
      <c r="K3534" s="7" t="s">
        <v>1511</v>
      </c>
      <c r="L3534" s="77"/>
      <c r="M3534" s="79"/>
      <c r="N3534" s="1"/>
      <c r="O3534" s="1"/>
      <c r="P3534" s="1"/>
      <c r="Q3534" s="1"/>
      <c r="R3534" s="1"/>
      <c r="S3534" s="1"/>
      <c r="T3534" s="1"/>
      <c r="U3534" s="1"/>
      <c r="V3534" s="1"/>
      <c r="W3534" s="1"/>
      <c r="X3534" s="1"/>
      <c r="Y3534" s="1"/>
      <c r="Z3534" s="1"/>
      <c r="AA3534" s="1"/>
      <c r="AB3534" s="1"/>
      <c r="AC3534" s="1"/>
      <c r="AD3534" s="1"/>
      <c r="AE3534" s="1"/>
      <c r="AF3534" s="1"/>
      <c r="AG3534" s="1"/>
      <c r="AH3534" s="1"/>
    </row>
    <row r="3535" ht="12.75" hidden="1" customHeight="1" outlineLevel="1">
      <c r="A3535" s="17">
        <v>41646.0</v>
      </c>
      <c r="B3535" s="1"/>
      <c r="C3535" s="1" t="s">
        <v>429</v>
      </c>
      <c r="D3535" s="74"/>
      <c r="E3535" s="67"/>
      <c r="F3535" s="75"/>
      <c r="G3535" s="67"/>
      <c r="H3535" s="68"/>
      <c r="I3535" s="76"/>
      <c r="J3535" s="67"/>
      <c r="K3535" s="7" t="s">
        <v>1505</v>
      </c>
      <c r="L3535" s="77"/>
      <c r="M3535" s="79"/>
      <c r="N3535" s="1"/>
      <c r="O3535" s="1"/>
      <c r="P3535" s="1"/>
      <c r="Q3535" s="1"/>
      <c r="R3535" s="1"/>
      <c r="S3535" s="1"/>
      <c r="T3535" s="1"/>
      <c r="U3535" s="1"/>
      <c r="V3535" s="1"/>
      <c r="W3535" s="1"/>
      <c r="X3535" s="1"/>
      <c r="Y3535" s="1"/>
      <c r="Z3535" s="1"/>
      <c r="AA3535" s="1"/>
      <c r="AB3535" s="1"/>
      <c r="AC3535" s="1"/>
      <c r="AD3535" s="1"/>
      <c r="AE3535" s="1"/>
      <c r="AF3535" s="1"/>
      <c r="AG3535" s="1"/>
      <c r="AH3535" s="1"/>
    </row>
    <row r="3536" ht="12.75" hidden="1" customHeight="1" outlineLevel="1">
      <c r="A3536" s="17">
        <v>41646.0</v>
      </c>
      <c r="B3536" s="1"/>
      <c r="C3536" s="1" t="s">
        <v>431</v>
      </c>
      <c r="D3536" s="74"/>
      <c r="E3536" s="67"/>
      <c r="F3536" s="75"/>
      <c r="G3536" s="67"/>
      <c r="H3536" s="68"/>
      <c r="I3536" s="76"/>
      <c r="J3536" s="67"/>
      <c r="K3536" s="7" t="s">
        <v>1126</v>
      </c>
      <c r="L3536" s="77"/>
      <c r="M3536" s="79"/>
      <c r="N3536" s="1"/>
      <c r="O3536" s="1"/>
      <c r="P3536" s="1"/>
      <c r="Q3536" s="1"/>
      <c r="R3536" s="1"/>
      <c r="S3536" s="1"/>
      <c r="T3536" s="1"/>
      <c r="U3536" s="1"/>
      <c r="V3536" s="1"/>
      <c r="W3536" s="1"/>
      <c r="X3536" s="1"/>
      <c r="Y3536" s="1"/>
      <c r="Z3536" s="1"/>
      <c r="AA3536" s="1"/>
      <c r="AB3536" s="1"/>
      <c r="AC3536" s="1"/>
      <c r="AD3536" s="1"/>
      <c r="AE3536" s="1"/>
      <c r="AF3536" s="1"/>
      <c r="AG3536" s="1"/>
      <c r="AH3536" s="1"/>
    </row>
    <row r="3537" ht="12.75" hidden="1" customHeight="1" outlineLevel="1">
      <c r="A3537" s="17">
        <v>41646.0</v>
      </c>
      <c r="B3537" s="1"/>
      <c r="C3537" s="1" t="s">
        <v>433</v>
      </c>
      <c r="D3537" s="74"/>
      <c r="E3537" s="67"/>
      <c r="F3537" s="75"/>
      <c r="G3537" s="67"/>
      <c r="H3537" s="68"/>
      <c r="I3537" s="76"/>
      <c r="J3537" s="67"/>
      <c r="K3537" s="7" t="s">
        <v>1103</v>
      </c>
      <c r="L3537" s="77"/>
      <c r="M3537" s="79"/>
      <c r="N3537" s="1"/>
      <c r="O3537" s="1"/>
      <c r="P3537" s="1"/>
      <c r="Q3537" s="1"/>
      <c r="R3537" s="1"/>
      <c r="S3537" s="1"/>
      <c r="T3537" s="1"/>
      <c r="U3537" s="1"/>
      <c r="V3537" s="1"/>
      <c r="W3537" s="1"/>
      <c r="X3537" s="1"/>
      <c r="Y3537" s="1"/>
      <c r="Z3537" s="1"/>
      <c r="AA3537" s="1"/>
      <c r="AB3537" s="1"/>
      <c r="AC3537" s="1"/>
      <c r="AD3537" s="1"/>
      <c r="AE3537" s="1"/>
      <c r="AF3537" s="1"/>
      <c r="AG3537" s="1"/>
      <c r="AH3537" s="1"/>
    </row>
    <row r="3538" ht="12.75" hidden="1" customHeight="1" outlineLevel="1">
      <c r="A3538" s="17">
        <v>41646.0</v>
      </c>
      <c r="B3538" s="1"/>
      <c r="C3538" s="1" t="s">
        <v>435</v>
      </c>
      <c r="D3538" s="74"/>
      <c r="E3538" s="67"/>
      <c r="F3538" s="75"/>
      <c r="G3538" s="67"/>
      <c r="H3538" s="68"/>
      <c r="I3538" s="76"/>
      <c r="J3538" s="67"/>
      <c r="K3538" s="7" t="s">
        <v>1507</v>
      </c>
      <c r="L3538" s="77"/>
      <c r="M3538" s="79"/>
      <c r="N3538" s="1"/>
      <c r="O3538" s="1"/>
      <c r="P3538" s="1"/>
      <c r="Q3538" s="1"/>
      <c r="R3538" s="1"/>
      <c r="S3538" s="1"/>
      <c r="T3538" s="1"/>
      <c r="U3538" s="1"/>
      <c r="V3538" s="1"/>
      <c r="W3538" s="1"/>
      <c r="X3538" s="1"/>
      <c r="Y3538" s="1"/>
      <c r="Z3538" s="1"/>
      <c r="AA3538" s="1"/>
      <c r="AB3538" s="1"/>
      <c r="AC3538" s="1"/>
      <c r="AD3538" s="1"/>
      <c r="AE3538" s="1"/>
      <c r="AF3538" s="1"/>
      <c r="AG3538" s="1"/>
      <c r="AH3538" s="1"/>
    </row>
    <row r="3539" ht="12.75" hidden="1" customHeight="1" outlineLevel="1">
      <c r="A3539" s="17">
        <v>41646.0</v>
      </c>
      <c r="B3539" s="1" t="s">
        <v>347</v>
      </c>
      <c r="C3539" s="1" t="s">
        <v>355</v>
      </c>
      <c r="D3539" s="74">
        <v>1500.0</v>
      </c>
      <c r="E3539" s="67">
        <v>15.26</v>
      </c>
      <c r="F3539" s="75">
        <v>0.433900462962963</v>
      </c>
      <c r="G3539" s="67" t="s">
        <v>453</v>
      </c>
      <c r="H3539" s="68">
        <v>6.5</v>
      </c>
      <c r="I3539" s="76"/>
      <c r="J3539" s="67">
        <f t="shared" ref="J3539:J3542" si="235">IF(B3539="SLD",D3539*E3539,-D3539*E3539)-H3539</f>
        <v>22883.5</v>
      </c>
      <c r="K3539" s="7"/>
      <c r="L3539" s="70"/>
      <c r="M3539" s="79"/>
      <c r="N3539" s="1"/>
      <c r="O3539" s="1"/>
      <c r="P3539" s="1"/>
      <c r="Q3539" s="1"/>
      <c r="R3539" s="1"/>
      <c r="S3539" s="1"/>
      <c r="T3539" s="1"/>
      <c r="U3539" s="1"/>
      <c r="V3539" s="1"/>
      <c r="W3539" s="1"/>
      <c r="X3539" s="1"/>
      <c r="Y3539" s="1"/>
      <c r="Z3539" s="1"/>
      <c r="AA3539" s="1"/>
      <c r="AB3539" s="1"/>
      <c r="AC3539" s="1"/>
      <c r="AD3539" s="1"/>
      <c r="AE3539" s="1"/>
      <c r="AF3539" s="1"/>
      <c r="AG3539" s="1"/>
      <c r="AH3539" s="1"/>
    </row>
    <row r="3540" ht="12.75" hidden="1" customHeight="1" outlineLevel="1">
      <c r="A3540" s="17">
        <v>41646.0</v>
      </c>
      <c r="B3540" s="1" t="s">
        <v>347</v>
      </c>
      <c r="C3540" s="1" t="s">
        <v>369</v>
      </c>
      <c r="D3540" s="74">
        <v>1000.0</v>
      </c>
      <c r="E3540" s="67">
        <v>24.34</v>
      </c>
      <c r="F3540" s="75">
        <v>0.4335995370370371</v>
      </c>
      <c r="G3540" s="67" t="s">
        <v>453</v>
      </c>
      <c r="H3540" s="68">
        <v>5.42</v>
      </c>
      <c r="I3540" s="76"/>
      <c r="J3540" s="67">
        <f t="shared" si="235"/>
        <v>24334.58</v>
      </c>
      <c r="K3540" s="7"/>
      <c r="L3540" s="70"/>
      <c r="M3540" s="79"/>
      <c r="N3540" s="1"/>
      <c r="O3540" s="1"/>
      <c r="P3540" s="1"/>
      <c r="Q3540" s="1"/>
      <c r="R3540" s="1"/>
      <c r="S3540" s="1"/>
      <c r="T3540" s="1"/>
      <c r="U3540" s="1"/>
      <c r="V3540" s="1"/>
      <c r="W3540" s="1"/>
      <c r="X3540" s="1"/>
      <c r="Y3540" s="1"/>
      <c r="Z3540" s="1"/>
      <c r="AA3540" s="1"/>
      <c r="AB3540" s="1"/>
      <c r="AC3540" s="1"/>
      <c r="AD3540" s="1"/>
      <c r="AE3540" s="1"/>
      <c r="AF3540" s="1"/>
      <c r="AG3540" s="1"/>
      <c r="AH3540" s="1"/>
    </row>
    <row r="3541" ht="12.75" hidden="1" customHeight="1" outlineLevel="1">
      <c r="A3541" s="17">
        <v>41646.0</v>
      </c>
      <c r="B3541" s="1" t="s">
        <v>347</v>
      </c>
      <c r="C3541" s="1" t="s">
        <v>784</v>
      </c>
      <c r="D3541" s="74">
        <v>2000.0</v>
      </c>
      <c r="E3541" s="67">
        <v>14.22</v>
      </c>
      <c r="F3541" s="75">
        <v>0.4329050925925926</v>
      </c>
      <c r="G3541" s="67" t="s">
        <v>453</v>
      </c>
      <c r="H3541" s="68">
        <v>8.59</v>
      </c>
      <c r="I3541" s="76"/>
      <c r="J3541" s="67">
        <f t="shared" si="235"/>
        <v>28431.41</v>
      </c>
      <c r="K3541" s="7"/>
      <c r="L3541" s="70"/>
      <c r="M3541" s="79"/>
      <c r="N3541" s="1"/>
      <c r="O3541" s="1"/>
      <c r="P3541" s="1"/>
      <c r="Q3541" s="1"/>
      <c r="R3541" s="1"/>
      <c r="S3541" s="1"/>
      <c r="T3541" s="1"/>
      <c r="U3541" s="1"/>
      <c r="V3541" s="1"/>
      <c r="W3541" s="1"/>
      <c r="X3541" s="1"/>
      <c r="Y3541" s="1"/>
      <c r="Z3541" s="1"/>
      <c r="AA3541" s="1"/>
      <c r="AB3541" s="1"/>
      <c r="AC3541" s="1"/>
      <c r="AD3541" s="1"/>
      <c r="AE3541" s="1"/>
      <c r="AF3541" s="1"/>
      <c r="AG3541" s="1"/>
      <c r="AH3541" s="1"/>
    </row>
    <row r="3542" ht="12.75" hidden="1" customHeight="1" outlineLevel="1">
      <c r="A3542" s="17">
        <v>41646.0</v>
      </c>
      <c r="B3542" s="1" t="s">
        <v>347</v>
      </c>
      <c r="C3542" s="1" t="s">
        <v>1044</v>
      </c>
      <c r="D3542" s="74">
        <v>1200.0</v>
      </c>
      <c r="E3542" s="67">
        <v>21.69</v>
      </c>
      <c r="F3542" s="75">
        <v>0.4326273148148148</v>
      </c>
      <c r="G3542" s="67" t="s">
        <v>453</v>
      </c>
      <c r="H3542" s="68">
        <v>5.25</v>
      </c>
      <c r="I3542" s="76"/>
      <c r="J3542" s="67">
        <f t="shared" si="235"/>
        <v>26022.75</v>
      </c>
      <c r="K3542" s="7"/>
      <c r="L3542" s="70"/>
      <c r="M3542" s="79"/>
      <c r="N3542" s="1"/>
      <c r="O3542" s="1"/>
      <c r="P3542" s="1"/>
      <c r="Q3542" s="1"/>
      <c r="R3542" s="1"/>
      <c r="S3542" s="1"/>
      <c r="T3542" s="1"/>
      <c r="U3542" s="1"/>
      <c r="V3542" s="1"/>
      <c r="W3542" s="1"/>
      <c r="X3542" s="1"/>
      <c r="Y3542" s="1"/>
      <c r="Z3542" s="1"/>
      <c r="AA3542" s="1"/>
      <c r="AB3542" s="1"/>
      <c r="AC3542" s="1"/>
      <c r="AD3542" s="1"/>
      <c r="AE3542" s="1"/>
      <c r="AF3542" s="1"/>
      <c r="AG3542" s="1"/>
      <c r="AH3542" s="1"/>
    </row>
    <row r="3543" ht="12.75" hidden="1" customHeight="1" outlineLevel="1">
      <c r="A3543" s="17">
        <v>41646.0</v>
      </c>
      <c r="B3543" s="1"/>
      <c r="C3543" s="1" t="s">
        <v>339</v>
      </c>
      <c r="D3543" s="74"/>
      <c r="E3543" s="67"/>
      <c r="F3543" s="75"/>
      <c r="G3543" s="67"/>
      <c r="H3543" s="68"/>
      <c r="I3543" s="76"/>
      <c r="J3543" s="67"/>
      <c r="K3543" s="7" t="s">
        <v>1512</v>
      </c>
      <c r="L3543" s="77"/>
      <c r="M3543" s="79"/>
      <c r="N3543" s="1"/>
      <c r="O3543" s="1"/>
      <c r="P3543" s="1"/>
      <c r="Q3543" s="1"/>
      <c r="R3543" s="1"/>
      <c r="S3543" s="1"/>
      <c r="T3543" s="1"/>
      <c r="U3543" s="1"/>
      <c r="V3543" s="1"/>
      <c r="W3543" s="1"/>
      <c r="X3543" s="1"/>
      <c r="Y3543" s="1"/>
      <c r="Z3543" s="1"/>
      <c r="AA3543" s="1"/>
      <c r="AB3543" s="1"/>
      <c r="AC3543" s="1"/>
      <c r="AD3543" s="1"/>
      <c r="AE3543" s="1"/>
      <c r="AF3543" s="1"/>
      <c r="AG3543" s="1"/>
      <c r="AH3543" s="1"/>
    </row>
    <row r="3544" ht="12.75" hidden="1" customHeight="1" outlineLevel="1">
      <c r="A3544" s="17">
        <v>41646.0</v>
      </c>
      <c r="B3544" s="1"/>
      <c r="C3544" s="1" t="s">
        <v>429</v>
      </c>
      <c r="D3544" s="74"/>
      <c r="E3544" s="67"/>
      <c r="F3544" s="75"/>
      <c r="G3544" s="67"/>
      <c r="H3544" s="68"/>
      <c r="I3544" s="76"/>
      <c r="J3544" s="67"/>
      <c r="K3544" s="7" t="s">
        <v>1505</v>
      </c>
      <c r="L3544" s="77"/>
      <c r="M3544" s="79"/>
      <c r="N3544" s="1"/>
      <c r="O3544" s="1"/>
      <c r="P3544" s="1"/>
      <c r="Q3544" s="1"/>
      <c r="R3544" s="1"/>
      <c r="S3544" s="1"/>
      <c r="T3544" s="1"/>
      <c r="U3544" s="1"/>
      <c r="V3544" s="1"/>
      <c r="W3544" s="1"/>
      <c r="X3544" s="1"/>
      <c r="Y3544" s="1"/>
      <c r="Z3544" s="1"/>
      <c r="AA3544" s="1"/>
      <c r="AB3544" s="1"/>
      <c r="AC3544" s="1"/>
      <c r="AD3544" s="1"/>
      <c r="AE3544" s="1"/>
      <c r="AF3544" s="1"/>
      <c r="AG3544" s="1"/>
      <c r="AH3544" s="1"/>
    </row>
    <row r="3545" ht="12.75" hidden="1" customHeight="1" outlineLevel="1">
      <c r="A3545" s="17">
        <v>41646.0</v>
      </c>
      <c r="B3545" s="1"/>
      <c r="C3545" s="1" t="s">
        <v>431</v>
      </c>
      <c r="D3545" s="74"/>
      <c r="E3545" s="67"/>
      <c r="F3545" s="75"/>
      <c r="G3545" s="67"/>
      <c r="H3545" s="68"/>
      <c r="I3545" s="76"/>
      <c r="J3545" s="67"/>
      <c r="K3545" s="7" t="s">
        <v>1126</v>
      </c>
      <c r="L3545" s="77"/>
      <c r="M3545" s="79"/>
      <c r="N3545" s="1"/>
      <c r="O3545" s="1"/>
      <c r="P3545" s="1"/>
      <c r="Q3545" s="1"/>
      <c r="R3545" s="1"/>
      <c r="S3545" s="1"/>
      <c r="T3545" s="1"/>
      <c r="U3545" s="1"/>
      <c r="V3545" s="1"/>
      <c r="W3545" s="1"/>
      <c r="X3545" s="1"/>
      <c r="Y3545" s="1"/>
      <c r="Z3545" s="1"/>
      <c r="AA3545" s="1"/>
      <c r="AB3545" s="1"/>
      <c r="AC3545" s="1"/>
      <c r="AD3545" s="1"/>
      <c r="AE3545" s="1"/>
      <c r="AF3545" s="1"/>
      <c r="AG3545" s="1"/>
      <c r="AH3545" s="1"/>
    </row>
    <row r="3546" ht="12.75" hidden="1" customHeight="1" outlineLevel="1">
      <c r="A3546" s="17">
        <v>41646.0</v>
      </c>
      <c r="B3546" s="1"/>
      <c r="C3546" s="1" t="s">
        <v>433</v>
      </c>
      <c r="D3546" s="74"/>
      <c r="E3546" s="67"/>
      <c r="F3546" s="75"/>
      <c r="G3546" s="67"/>
      <c r="H3546" s="68"/>
      <c r="I3546" s="76"/>
      <c r="J3546" s="67"/>
      <c r="K3546" s="7" t="s">
        <v>1103</v>
      </c>
      <c r="L3546" s="77"/>
      <c r="M3546" s="79"/>
      <c r="N3546" s="1"/>
      <c r="O3546" s="1"/>
      <c r="P3546" s="1"/>
      <c r="Q3546" s="1"/>
      <c r="R3546" s="1"/>
      <c r="S3546" s="1"/>
      <c r="T3546" s="1"/>
      <c r="U3546" s="1"/>
      <c r="V3546" s="1"/>
      <c r="W3546" s="1"/>
      <c r="X3546" s="1"/>
      <c r="Y3546" s="1"/>
      <c r="Z3546" s="1"/>
      <c r="AA3546" s="1"/>
      <c r="AB3546" s="1"/>
      <c r="AC3546" s="1"/>
      <c r="AD3546" s="1"/>
      <c r="AE3546" s="1"/>
      <c r="AF3546" s="1"/>
      <c r="AG3546" s="1"/>
      <c r="AH3546" s="1"/>
    </row>
    <row r="3547" ht="12.75" hidden="1" customHeight="1" outlineLevel="1">
      <c r="A3547" s="17">
        <v>41646.0</v>
      </c>
      <c r="B3547" s="1"/>
      <c r="C3547" s="1" t="s">
        <v>435</v>
      </c>
      <c r="D3547" s="74"/>
      <c r="E3547" s="67"/>
      <c r="F3547" s="75"/>
      <c r="G3547" s="67"/>
      <c r="H3547" s="68"/>
      <c r="I3547" s="76"/>
      <c r="J3547" s="67"/>
      <c r="K3547" s="7" t="s">
        <v>1507</v>
      </c>
      <c r="L3547" s="77"/>
      <c r="M3547" s="79"/>
      <c r="N3547" s="1"/>
      <c r="O3547" s="1"/>
      <c r="P3547" s="1"/>
      <c r="Q3547" s="1"/>
      <c r="R3547" s="1"/>
      <c r="S3547" s="1"/>
      <c r="T3547" s="1"/>
      <c r="U3547" s="1"/>
      <c r="V3547" s="1"/>
      <c r="W3547" s="1"/>
      <c r="X3547" s="1"/>
      <c r="Y3547" s="1"/>
      <c r="Z3547" s="1"/>
      <c r="AA3547" s="1"/>
      <c r="AB3547" s="1"/>
      <c r="AC3547" s="1"/>
      <c r="AD3547" s="1"/>
      <c r="AE3547" s="1"/>
      <c r="AF3547" s="1"/>
      <c r="AG3547" s="1"/>
      <c r="AH3547" s="1"/>
    </row>
    <row r="3548" ht="12.75" hidden="1" customHeight="1" outlineLevel="1">
      <c r="A3548" s="17">
        <v>41647.0</v>
      </c>
      <c r="B3548" s="1"/>
      <c r="C3548" s="1" t="s">
        <v>339</v>
      </c>
      <c r="D3548" s="74"/>
      <c r="E3548" s="67"/>
      <c r="F3548" s="75"/>
      <c r="G3548" s="67"/>
      <c r="H3548" s="68"/>
      <c r="I3548" s="76"/>
      <c r="J3548" s="67"/>
      <c r="K3548" s="7" t="s">
        <v>1513</v>
      </c>
      <c r="L3548" s="77"/>
      <c r="M3548" s="79"/>
      <c r="N3548" s="1"/>
      <c r="O3548" s="1"/>
      <c r="P3548" s="1"/>
      <c r="Q3548" s="1"/>
      <c r="R3548" s="1"/>
      <c r="S3548" s="1"/>
      <c r="T3548" s="1"/>
      <c r="U3548" s="1"/>
      <c r="V3548" s="1"/>
      <c r="W3548" s="1"/>
      <c r="X3548" s="1"/>
      <c r="Y3548" s="1"/>
      <c r="Z3548" s="1"/>
      <c r="AA3548" s="1"/>
      <c r="AB3548" s="1"/>
      <c r="AC3548" s="1"/>
      <c r="AD3548" s="1"/>
      <c r="AE3548" s="1"/>
      <c r="AF3548" s="1"/>
      <c r="AG3548" s="1"/>
      <c r="AH3548" s="1"/>
    </row>
    <row r="3549" ht="12.75" hidden="1" customHeight="1" outlineLevel="1">
      <c r="A3549" s="17">
        <v>41647.0</v>
      </c>
      <c r="B3549" s="1"/>
      <c r="C3549" s="1" t="s">
        <v>429</v>
      </c>
      <c r="D3549" s="74"/>
      <c r="E3549" s="67"/>
      <c r="F3549" s="75"/>
      <c r="G3549" s="67"/>
      <c r="H3549" s="68"/>
      <c r="I3549" s="76"/>
      <c r="J3549" s="67"/>
      <c r="K3549" s="7" t="s">
        <v>1505</v>
      </c>
      <c r="L3549" s="77"/>
      <c r="M3549" s="79"/>
      <c r="N3549" s="1"/>
      <c r="O3549" s="1"/>
      <c r="P3549" s="1"/>
      <c r="Q3549" s="1"/>
      <c r="R3549" s="1"/>
      <c r="S3549" s="1"/>
      <c r="T3549" s="1"/>
      <c r="U3549" s="1"/>
      <c r="V3549" s="1"/>
      <c r="W3549" s="1"/>
      <c r="X3549" s="1"/>
      <c r="Y3549" s="1"/>
      <c r="Z3549" s="1"/>
      <c r="AA3549" s="1"/>
      <c r="AB3549" s="1"/>
      <c r="AC3549" s="1"/>
      <c r="AD3549" s="1"/>
      <c r="AE3549" s="1"/>
      <c r="AF3549" s="1"/>
      <c r="AG3549" s="1"/>
      <c r="AH3549" s="1"/>
    </row>
    <row r="3550" ht="12.75" hidden="1" customHeight="1" outlineLevel="1">
      <c r="A3550" s="17">
        <v>41647.0</v>
      </c>
      <c r="B3550" s="1"/>
      <c r="C3550" s="1" t="s">
        <v>431</v>
      </c>
      <c r="D3550" s="74"/>
      <c r="E3550" s="67"/>
      <c r="F3550" s="75"/>
      <c r="G3550" s="67"/>
      <c r="H3550" s="68"/>
      <c r="I3550" s="76"/>
      <c r="J3550" s="67"/>
      <c r="K3550" s="7" t="s">
        <v>1126</v>
      </c>
      <c r="L3550" s="77"/>
      <c r="M3550" s="79"/>
      <c r="N3550" s="1"/>
      <c r="O3550" s="1"/>
      <c r="P3550" s="1"/>
      <c r="Q3550" s="1"/>
      <c r="R3550" s="1"/>
      <c r="S3550" s="1"/>
      <c r="T3550" s="1"/>
      <c r="U3550" s="1"/>
      <c r="V3550" s="1"/>
      <c r="W3550" s="1"/>
      <c r="X3550" s="1"/>
      <c r="Y3550" s="1"/>
      <c r="Z3550" s="1"/>
      <c r="AA3550" s="1"/>
      <c r="AB3550" s="1"/>
      <c r="AC3550" s="1"/>
      <c r="AD3550" s="1"/>
      <c r="AE3550" s="1"/>
      <c r="AF3550" s="1"/>
      <c r="AG3550" s="1"/>
      <c r="AH3550" s="1"/>
    </row>
    <row r="3551" ht="12.75" hidden="1" customHeight="1" outlineLevel="1">
      <c r="A3551" s="17">
        <v>41647.0</v>
      </c>
      <c r="B3551" s="1"/>
      <c r="C3551" s="1" t="s">
        <v>433</v>
      </c>
      <c r="D3551" s="74"/>
      <c r="E3551" s="67"/>
      <c r="F3551" s="75"/>
      <c r="G3551" s="67"/>
      <c r="H3551" s="68"/>
      <c r="I3551" s="76"/>
      <c r="J3551" s="67"/>
      <c r="K3551" s="7" t="s">
        <v>1103</v>
      </c>
      <c r="L3551" s="77"/>
      <c r="M3551" s="79"/>
      <c r="N3551" s="1"/>
      <c r="O3551" s="1"/>
      <c r="P3551" s="1"/>
      <c r="Q3551" s="1"/>
      <c r="R3551" s="1"/>
      <c r="S3551" s="1"/>
      <c r="T3551" s="1"/>
      <c r="U3551" s="1"/>
      <c r="V3551" s="1"/>
      <c r="W3551" s="1"/>
      <c r="X3551" s="1"/>
      <c r="Y3551" s="1"/>
      <c r="Z3551" s="1"/>
      <c r="AA3551" s="1"/>
      <c r="AB3551" s="1"/>
      <c r="AC3551" s="1"/>
      <c r="AD3551" s="1"/>
      <c r="AE3551" s="1"/>
      <c r="AF3551" s="1"/>
      <c r="AG3551" s="1"/>
      <c r="AH3551" s="1"/>
    </row>
    <row r="3552" ht="12.75" hidden="1" customHeight="1" outlineLevel="1">
      <c r="A3552" s="17">
        <v>41647.0</v>
      </c>
      <c r="B3552" s="1"/>
      <c r="C3552" s="1" t="s">
        <v>435</v>
      </c>
      <c r="D3552" s="74"/>
      <c r="E3552" s="67"/>
      <c r="F3552" s="75"/>
      <c r="G3552" s="67"/>
      <c r="H3552" s="68"/>
      <c r="I3552" s="76"/>
      <c r="J3552" s="67"/>
      <c r="K3552" s="7" t="s">
        <v>1507</v>
      </c>
      <c r="L3552" s="77"/>
      <c r="M3552" s="79"/>
      <c r="N3552" s="1"/>
      <c r="O3552" s="1"/>
      <c r="P3552" s="1"/>
      <c r="Q3552" s="1"/>
      <c r="R3552" s="1"/>
      <c r="S3552" s="1"/>
      <c r="T3552" s="1"/>
      <c r="U3552" s="1"/>
      <c r="V3552" s="1"/>
      <c r="W3552" s="1"/>
      <c r="X3552" s="1"/>
      <c r="Y3552" s="1"/>
      <c r="Z3552" s="1"/>
      <c r="AA3552" s="1"/>
      <c r="AB3552" s="1"/>
      <c r="AC3552" s="1"/>
      <c r="AD3552" s="1"/>
      <c r="AE3552" s="1"/>
      <c r="AF3552" s="1"/>
      <c r="AG3552" s="1"/>
      <c r="AH3552" s="1"/>
    </row>
    <row r="3553" ht="12.75" hidden="1" customHeight="1" outlineLevel="1">
      <c r="A3553" s="17">
        <v>41647.0</v>
      </c>
      <c r="B3553" s="1" t="s">
        <v>343</v>
      </c>
      <c r="C3553" s="1" t="s">
        <v>1158</v>
      </c>
      <c r="D3553" s="74">
        <v>800.0</v>
      </c>
      <c r="E3553" s="67">
        <v>29.95</v>
      </c>
      <c r="F3553" s="75">
        <v>0.626400462962963</v>
      </c>
      <c r="G3553" s="67" t="s">
        <v>453</v>
      </c>
      <c r="H3553" s="68">
        <v>3.2</v>
      </c>
      <c r="I3553" s="76"/>
      <c r="J3553" s="67">
        <f>IF(B3553="SLD",D3553*E3553,-D3553*E3553)-H3553</f>
        <v>-23963.2</v>
      </c>
      <c r="K3553" s="7"/>
      <c r="L3553" s="70"/>
      <c r="M3553" s="79"/>
      <c r="N3553" s="1"/>
      <c r="O3553" s="1"/>
      <c r="P3553" s="1"/>
      <c r="Q3553" s="1"/>
      <c r="R3553" s="1"/>
      <c r="S3553" s="1"/>
      <c r="T3553" s="1"/>
      <c r="U3553" s="1"/>
      <c r="V3553" s="1"/>
      <c r="W3553" s="1"/>
      <c r="X3553" s="1"/>
      <c r="Y3553" s="1"/>
      <c r="Z3553" s="1"/>
      <c r="AA3553" s="1"/>
      <c r="AB3553" s="1"/>
      <c r="AC3553" s="1"/>
      <c r="AD3553" s="1"/>
      <c r="AE3553" s="1"/>
      <c r="AF3553" s="1"/>
      <c r="AG3553" s="1"/>
      <c r="AH3553" s="1"/>
    </row>
    <row r="3554" ht="12.75" hidden="1" customHeight="1" outlineLevel="1">
      <c r="A3554" s="17">
        <v>41648.0</v>
      </c>
      <c r="B3554" s="1"/>
      <c r="C3554" s="1" t="s">
        <v>339</v>
      </c>
      <c r="D3554" s="74"/>
      <c r="E3554" s="67"/>
      <c r="F3554" s="75"/>
      <c r="G3554" s="67"/>
      <c r="H3554" s="68"/>
      <c r="I3554" s="76"/>
      <c r="J3554" s="67"/>
      <c r="K3554" s="7" t="s">
        <v>1514</v>
      </c>
      <c r="L3554" s="77"/>
      <c r="M3554" s="79"/>
      <c r="N3554" s="1"/>
      <c r="O3554" s="1"/>
      <c r="P3554" s="1"/>
      <c r="Q3554" s="1"/>
      <c r="R3554" s="1"/>
      <c r="S3554" s="1"/>
      <c r="T3554" s="1"/>
      <c r="U3554" s="1"/>
      <c r="V3554" s="1"/>
      <c r="W3554" s="1"/>
      <c r="X3554" s="1"/>
      <c r="Y3554" s="1"/>
      <c r="Z3554" s="1"/>
      <c r="AA3554" s="1"/>
      <c r="AB3554" s="1"/>
      <c r="AC3554" s="1"/>
      <c r="AD3554" s="1"/>
      <c r="AE3554" s="1"/>
      <c r="AF3554" s="1"/>
      <c r="AG3554" s="1"/>
      <c r="AH3554" s="1"/>
    </row>
    <row r="3555" ht="12.75" hidden="1" customHeight="1" outlineLevel="1">
      <c r="A3555" s="17">
        <v>41648.0</v>
      </c>
      <c r="B3555" s="1"/>
      <c r="C3555" s="1" t="s">
        <v>429</v>
      </c>
      <c r="D3555" s="74"/>
      <c r="E3555" s="67"/>
      <c r="F3555" s="75"/>
      <c r="G3555" s="67"/>
      <c r="H3555" s="68"/>
      <c r="I3555" s="76"/>
      <c r="J3555" s="67"/>
      <c r="K3555" s="7" t="s">
        <v>1505</v>
      </c>
      <c r="L3555" s="77"/>
      <c r="M3555" s="79"/>
      <c r="N3555" s="1"/>
      <c r="O3555" s="1"/>
      <c r="P3555" s="1"/>
      <c r="Q3555" s="1"/>
      <c r="R3555" s="1"/>
      <c r="S3555" s="1"/>
      <c r="T3555" s="1"/>
      <c r="U3555" s="1"/>
      <c r="V3555" s="1"/>
      <c r="W3555" s="1"/>
      <c r="X3555" s="1"/>
      <c r="Y3555" s="1"/>
      <c r="Z3555" s="1"/>
      <c r="AA3555" s="1"/>
      <c r="AB3555" s="1"/>
      <c r="AC3555" s="1"/>
      <c r="AD3555" s="1"/>
      <c r="AE3555" s="1"/>
      <c r="AF3555" s="1"/>
      <c r="AG3555" s="1"/>
      <c r="AH3555" s="1"/>
    </row>
    <row r="3556" ht="12.75" hidden="1" customHeight="1" outlineLevel="1">
      <c r="A3556" s="17">
        <v>41648.0</v>
      </c>
      <c r="B3556" s="1"/>
      <c r="C3556" s="1" t="s">
        <v>431</v>
      </c>
      <c r="D3556" s="74"/>
      <c r="E3556" s="67"/>
      <c r="F3556" s="75"/>
      <c r="G3556" s="67"/>
      <c r="H3556" s="68"/>
      <c r="I3556" s="76"/>
      <c r="J3556" s="67"/>
      <c r="K3556" s="7" t="s">
        <v>1126</v>
      </c>
      <c r="L3556" s="77"/>
      <c r="M3556" s="79"/>
      <c r="N3556" s="1"/>
      <c r="O3556" s="1"/>
      <c r="P3556" s="1"/>
      <c r="Q3556" s="1"/>
      <c r="R3556" s="1"/>
      <c r="S3556" s="1"/>
      <c r="T3556" s="1"/>
      <c r="U3556" s="1"/>
      <c r="V3556" s="1"/>
      <c r="W3556" s="1"/>
      <c r="X3556" s="1"/>
      <c r="Y3556" s="1"/>
      <c r="Z3556" s="1"/>
      <c r="AA3556" s="1"/>
      <c r="AB3556" s="1"/>
      <c r="AC3556" s="1"/>
      <c r="AD3556" s="1"/>
      <c r="AE3556" s="1"/>
      <c r="AF3556" s="1"/>
      <c r="AG3556" s="1"/>
      <c r="AH3556" s="1"/>
    </row>
    <row r="3557" ht="12.75" hidden="1" customHeight="1" outlineLevel="1">
      <c r="A3557" s="17">
        <v>41648.0</v>
      </c>
      <c r="B3557" s="1"/>
      <c r="C3557" s="1" t="s">
        <v>433</v>
      </c>
      <c r="D3557" s="74"/>
      <c r="E3557" s="67"/>
      <c r="F3557" s="75"/>
      <c r="G3557" s="67"/>
      <c r="H3557" s="68"/>
      <c r="I3557" s="76"/>
      <c r="J3557" s="67"/>
      <c r="K3557" s="7" t="s">
        <v>1103</v>
      </c>
      <c r="L3557" s="77"/>
      <c r="M3557" s="79"/>
      <c r="N3557" s="1"/>
      <c r="O3557" s="1"/>
      <c r="P3557" s="1"/>
      <c r="Q3557" s="1"/>
      <c r="R3557" s="1"/>
      <c r="S3557" s="1"/>
      <c r="T3557" s="1"/>
      <c r="U3557" s="1"/>
      <c r="V3557" s="1"/>
      <c r="W3557" s="1"/>
      <c r="X3557" s="1"/>
      <c r="Y3557" s="1"/>
      <c r="Z3557" s="1"/>
      <c r="AA3557" s="1"/>
      <c r="AB3557" s="1"/>
      <c r="AC3557" s="1"/>
      <c r="AD3557" s="1"/>
      <c r="AE3557" s="1"/>
      <c r="AF3557" s="1"/>
      <c r="AG3557" s="1"/>
      <c r="AH3557" s="1"/>
    </row>
    <row r="3558" ht="12.75" hidden="1" customHeight="1" outlineLevel="1">
      <c r="A3558" s="17">
        <v>41648.0</v>
      </c>
      <c r="B3558" s="1"/>
      <c r="C3558" s="1" t="s">
        <v>435</v>
      </c>
      <c r="D3558" s="74"/>
      <c r="E3558" s="67"/>
      <c r="F3558" s="75"/>
      <c r="G3558" s="67"/>
      <c r="H3558" s="68"/>
      <c r="I3558" s="76"/>
      <c r="J3558" s="67"/>
      <c r="K3558" s="7" t="s">
        <v>1507</v>
      </c>
      <c r="L3558" s="77"/>
      <c r="M3558" s="79"/>
      <c r="N3558" s="1"/>
      <c r="O3558" s="1"/>
      <c r="P3558" s="1"/>
      <c r="Q3558" s="1"/>
      <c r="R3558" s="1"/>
      <c r="S3558" s="1"/>
      <c r="T3558" s="1"/>
      <c r="U3558" s="1"/>
      <c r="V3558" s="1"/>
      <c r="W3558" s="1"/>
      <c r="X3558" s="1"/>
      <c r="Y3558" s="1"/>
      <c r="Z3558" s="1"/>
      <c r="AA3558" s="1"/>
      <c r="AB3558" s="1"/>
      <c r="AC3558" s="1"/>
      <c r="AD3558" s="1"/>
      <c r="AE3558" s="1"/>
      <c r="AF3558" s="1"/>
      <c r="AG3558" s="1"/>
      <c r="AH3558" s="1"/>
    </row>
    <row r="3559" ht="12.75" hidden="1" customHeight="1" outlineLevel="1">
      <c r="A3559" s="17">
        <v>41649.0</v>
      </c>
      <c r="B3559" s="1"/>
      <c r="C3559" s="1" t="s">
        <v>339</v>
      </c>
      <c r="D3559" s="74"/>
      <c r="E3559" s="67"/>
      <c r="F3559" s="75"/>
      <c r="G3559" s="67"/>
      <c r="H3559" s="68"/>
      <c r="I3559" s="76"/>
      <c r="J3559" s="67"/>
      <c r="K3559" s="7" t="s">
        <v>1515</v>
      </c>
      <c r="L3559" s="77"/>
      <c r="M3559" s="79"/>
      <c r="N3559" s="1"/>
      <c r="O3559" s="1"/>
      <c r="P3559" s="1"/>
      <c r="Q3559" s="1"/>
      <c r="R3559" s="1"/>
      <c r="S3559" s="1"/>
      <c r="T3559" s="1"/>
      <c r="U3559" s="1"/>
      <c r="V3559" s="1"/>
      <c r="W3559" s="1"/>
      <c r="X3559" s="1"/>
      <c r="Y3559" s="1"/>
      <c r="Z3559" s="1"/>
      <c r="AA3559" s="1"/>
      <c r="AB3559" s="1"/>
      <c r="AC3559" s="1"/>
      <c r="AD3559" s="1"/>
      <c r="AE3559" s="1"/>
      <c r="AF3559" s="1"/>
      <c r="AG3559" s="1"/>
      <c r="AH3559" s="1"/>
    </row>
    <row r="3560" ht="12.75" hidden="1" customHeight="1" outlineLevel="1">
      <c r="A3560" s="17">
        <v>41649.0</v>
      </c>
      <c r="B3560" s="1"/>
      <c r="C3560" s="1" t="s">
        <v>429</v>
      </c>
      <c r="D3560" s="74"/>
      <c r="E3560" s="67"/>
      <c r="F3560" s="75"/>
      <c r="G3560" s="67"/>
      <c r="H3560" s="68"/>
      <c r="I3560" s="76"/>
      <c r="J3560" s="67"/>
      <c r="K3560" s="7" t="s">
        <v>1505</v>
      </c>
      <c r="L3560" s="77"/>
      <c r="M3560" s="79"/>
      <c r="N3560" s="1"/>
      <c r="O3560" s="1"/>
      <c r="P3560" s="1"/>
      <c r="Q3560" s="1"/>
      <c r="R3560" s="1"/>
      <c r="S3560" s="1"/>
      <c r="T3560" s="1"/>
      <c r="U3560" s="1"/>
      <c r="V3560" s="1"/>
      <c r="W3560" s="1"/>
      <c r="X3560" s="1"/>
      <c r="Y3560" s="1"/>
      <c r="Z3560" s="1"/>
      <c r="AA3560" s="1"/>
      <c r="AB3560" s="1"/>
      <c r="AC3560" s="1"/>
      <c r="AD3560" s="1"/>
      <c r="AE3560" s="1"/>
      <c r="AF3560" s="1"/>
      <c r="AG3560" s="1"/>
      <c r="AH3560" s="1"/>
    </row>
    <row r="3561" ht="12.75" hidden="1" customHeight="1" outlineLevel="1">
      <c r="A3561" s="17">
        <v>41649.0</v>
      </c>
      <c r="B3561" s="1"/>
      <c r="C3561" s="1" t="s">
        <v>431</v>
      </c>
      <c r="D3561" s="74"/>
      <c r="E3561" s="67"/>
      <c r="F3561" s="75"/>
      <c r="G3561" s="67"/>
      <c r="H3561" s="68"/>
      <c r="I3561" s="76"/>
      <c r="J3561" s="67"/>
      <c r="K3561" s="7" t="s">
        <v>1126</v>
      </c>
      <c r="L3561" s="77"/>
      <c r="M3561" s="79"/>
      <c r="N3561" s="1"/>
      <c r="O3561" s="1"/>
      <c r="P3561" s="1"/>
      <c r="Q3561" s="1"/>
      <c r="R3561" s="1"/>
      <c r="S3561" s="1"/>
      <c r="T3561" s="1"/>
      <c r="U3561" s="1"/>
      <c r="V3561" s="1"/>
      <c r="W3561" s="1"/>
      <c r="X3561" s="1"/>
      <c r="Y3561" s="1"/>
      <c r="Z3561" s="1"/>
      <c r="AA3561" s="1"/>
      <c r="AB3561" s="1"/>
      <c r="AC3561" s="1"/>
      <c r="AD3561" s="1"/>
      <c r="AE3561" s="1"/>
      <c r="AF3561" s="1"/>
      <c r="AG3561" s="1"/>
      <c r="AH3561" s="1"/>
    </row>
    <row r="3562" ht="12.75" hidden="1" customHeight="1" outlineLevel="1">
      <c r="A3562" s="17">
        <v>41649.0</v>
      </c>
      <c r="B3562" s="1"/>
      <c r="C3562" s="1" t="s">
        <v>433</v>
      </c>
      <c r="D3562" s="74"/>
      <c r="E3562" s="67"/>
      <c r="F3562" s="75"/>
      <c r="G3562" s="67"/>
      <c r="H3562" s="68"/>
      <c r="I3562" s="76"/>
      <c r="J3562" s="67"/>
      <c r="K3562" s="7" t="s">
        <v>1103</v>
      </c>
      <c r="L3562" s="77"/>
      <c r="M3562" s="79"/>
      <c r="N3562" s="1"/>
      <c r="O3562" s="1"/>
      <c r="P3562" s="1"/>
      <c r="Q3562" s="1"/>
      <c r="R3562" s="1"/>
      <c r="S3562" s="1"/>
      <c r="T3562" s="1"/>
      <c r="U3562" s="1"/>
      <c r="V3562" s="1"/>
      <c r="W3562" s="1"/>
      <c r="X3562" s="1"/>
      <c r="Y3562" s="1"/>
      <c r="Z3562" s="1"/>
      <c r="AA3562" s="1"/>
      <c r="AB3562" s="1"/>
      <c r="AC3562" s="1"/>
      <c r="AD3562" s="1"/>
      <c r="AE3562" s="1"/>
      <c r="AF3562" s="1"/>
      <c r="AG3562" s="1"/>
      <c r="AH3562" s="1"/>
    </row>
    <row r="3563" ht="12.75" hidden="1" customHeight="1" outlineLevel="1">
      <c r="A3563" s="17">
        <v>41649.0</v>
      </c>
      <c r="B3563" s="1"/>
      <c r="C3563" s="1" t="s">
        <v>435</v>
      </c>
      <c r="D3563" s="74"/>
      <c r="E3563" s="67"/>
      <c r="F3563" s="75"/>
      <c r="G3563" s="67"/>
      <c r="H3563" s="68"/>
      <c r="I3563" s="76"/>
      <c r="J3563" s="67"/>
      <c r="K3563" s="7" t="s">
        <v>1507</v>
      </c>
      <c r="L3563" s="77"/>
      <c r="M3563" s="79"/>
      <c r="N3563" s="1"/>
      <c r="O3563" s="1"/>
      <c r="P3563" s="1"/>
      <c r="Q3563" s="1"/>
      <c r="R3563" s="1"/>
      <c r="S3563" s="1"/>
      <c r="T3563" s="1"/>
      <c r="U3563" s="1"/>
      <c r="V3563" s="1"/>
      <c r="W3563" s="1"/>
      <c r="X3563" s="1"/>
      <c r="Y3563" s="1"/>
      <c r="Z3563" s="1"/>
      <c r="AA3563" s="1"/>
      <c r="AB3563" s="1"/>
      <c r="AC3563" s="1"/>
      <c r="AD3563" s="1"/>
      <c r="AE3563" s="1"/>
      <c r="AF3563" s="1"/>
      <c r="AG3563" s="1"/>
      <c r="AH3563" s="1"/>
    </row>
    <row r="3564" ht="12.75" hidden="1" customHeight="1" outlineLevel="1">
      <c r="A3564" s="17">
        <v>41649.0</v>
      </c>
      <c r="B3564" s="1" t="s">
        <v>343</v>
      </c>
      <c r="C3564" s="1" t="s">
        <v>1112</v>
      </c>
      <c r="D3564" s="74">
        <v>300.0</v>
      </c>
      <c r="E3564" s="67">
        <v>84.17</v>
      </c>
      <c r="F3564" s="75">
        <v>0.4348726851851852</v>
      </c>
      <c r="G3564" s="67" t="s">
        <v>453</v>
      </c>
      <c r="H3564" s="68">
        <v>1.5</v>
      </c>
      <c r="I3564" s="76"/>
      <c r="J3564" s="67">
        <f>IF(B3564="SLD",D3564*E3564,-D3564*E3564)-H3564</f>
        <v>-25252.5</v>
      </c>
      <c r="K3564" s="7"/>
      <c r="L3564" s="70"/>
      <c r="M3564" s="79"/>
      <c r="N3564" s="1"/>
      <c r="O3564" s="1"/>
      <c r="P3564" s="1"/>
      <c r="Q3564" s="1"/>
      <c r="R3564" s="1"/>
      <c r="S3564" s="1"/>
      <c r="T3564" s="1"/>
      <c r="U3564" s="1"/>
      <c r="V3564" s="1"/>
      <c r="W3564" s="1"/>
      <c r="X3564" s="1"/>
      <c r="Y3564" s="1"/>
      <c r="Z3564" s="1"/>
      <c r="AA3564" s="1"/>
      <c r="AB3564" s="1"/>
      <c r="AC3564" s="1"/>
      <c r="AD3564" s="1"/>
      <c r="AE3564" s="1"/>
      <c r="AF3564" s="1"/>
      <c r="AG3564" s="1"/>
      <c r="AH3564" s="1"/>
    </row>
    <row r="3565" ht="12.75" hidden="1" customHeight="1" outlineLevel="1">
      <c r="A3565" s="17">
        <v>41649.0</v>
      </c>
      <c r="B3565" s="1"/>
      <c r="C3565" s="1" t="s">
        <v>339</v>
      </c>
      <c r="D3565" s="74"/>
      <c r="E3565" s="67"/>
      <c r="F3565" s="75"/>
      <c r="G3565" s="67"/>
      <c r="H3565" s="68"/>
      <c r="I3565" s="76"/>
      <c r="J3565" s="67"/>
      <c r="K3565" s="7" t="s">
        <v>1519</v>
      </c>
      <c r="L3565" s="77"/>
      <c r="M3565" s="79"/>
      <c r="N3565" s="1"/>
      <c r="O3565" s="1"/>
      <c r="P3565" s="1"/>
      <c r="Q3565" s="1"/>
      <c r="R3565" s="1"/>
      <c r="S3565" s="1"/>
      <c r="T3565" s="1"/>
      <c r="U3565" s="1"/>
      <c r="V3565" s="1"/>
      <c r="W3565" s="1"/>
      <c r="X3565" s="1"/>
      <c r="Y3565" s="1"/>
      <c r="Z3565" s="1"/>
      <c r="AA3565" s="1"/>
      <c r="AB3565" s="1"/>
      <c r="AC3565" s="1"/>
      <c r="AD3565" s="1"/>
      <c r="AE3565" s="1"/>
      <c r="AF3565" s="1"/>
      <c r="AG3565" s="1"/>
      <c r="AH3565" s="1"/>
    </row>
    <row r="3566" ht="12.75" hidden="1" customHeight="1" outlineLevel="1">
      <c r="A3566" s="17">
        <v>41649.0</v>
      </c>
      <c r="B3566" s="1"/>
      <c r="C3566" s="1" t="s">
        <v>429</v>
      </c>
      <c r="D3566" s="74"/>
      <c r="E3566" s="67"/>
      <c r="F3566" s="75"/>
      <c r="G3566" s="67"/>
      <c r="H3566" s="68"/>
      <c r="I3566" s="76"/>
      <c r="J3566" s="67"/>
      <c r="K3566" s="7" t="s">
        <v>1505</v>
      </c>
      <c r="L3566" s="77"/>
      <c r="M3566" s="79"/>
      <c r="N3566" s="1"/>
      <c r="O3566" s="1"/>
      <c r="P3566" s="1"/>
      <c r="Q3566" s="1"/>
      <c r="R3566" s="1"/>
      <c r="S3566" s="1"/>
      <c r="T3566" s="1"/>
      <c r="U3566" s="1"/>
      <c r="V3566" s="1"/>
      <c r="W3566" s="1"/>
      <c r="X3566" s="1"/>
      <c r="Y3566" s="1"/>
      <c r="Z3566" s="1"/>
      <c r="AA3566" s="1"/>
      <c r="AB3566" s="1"/>
      <c r="AC3566" s="1"/>
      <c r="AD3566" s="1"/>
      <c r="AE3566" s="1"/>
      <c r="AF3566" s="1"/>
      <c r="AG3566" s="1"/>
      <c r="AH3566" s="1"/>
    </row>
    <row r="3567" ht="12.75" hidden="1" customHeight="1" outlineLevel="1">
      <c r="A3567" s="17">
        <v>41649.0</v>
      </c>
      <c r="B3567" s="1"/>
      <c r="C3567" s="1" t="s">
        <v>431</v>
      </c>
      <c r="D3567" s="74"/>
      <c r="E3567" s="67"/>
      <c r="F3567" s="75"/>
      <c r="G3567" s="67"/>
      <c r="H3567" s="68"/>
      <c r="I3567" s="76"/>
      <c r="J3567" s="67"/>
      <c r="K3567" s="7" t="s">
        <v>1126</v>
      </c>
      <c r="L3567" s="77"/>
      <c r="M3567" s="79"/>
      <c r="N3567" s="1"/>
      <c r="O3567" s="1"/>
      <c r="P3567" s="1"/>
      <c r="Q3567" s="1"/>
      <c r="R3567" s="1"/>
      <c r="S3567" s="1"/>
      <c r="T3567" s="1"/>
      <c r="U3567" s="1"/>
      <c r="V3567" s="1"/>
      <c r="W3567" s="1"/>
      <c r="X3567" s="1"/>
      <c r="Y3567" s="1"/>
      <c r="Z3567" s="1"/>
      <c r="AA3567" s="1"/>
      <c r="AB3567" s="1"/>
      <c r="AC3567" s="1"/>
      <c r="AD3567" s="1"/>
      <c r="AE3567" s="1"/>
      <c r="AF3567" s="1"/>
      <c r="AG3567" s="1"/>
      <c r="AH3567" s="1"/>
    </row>
    <row r="3568" ht="12.75" hidden="1" customHeight="1" outlineLevel="1">
      <c r="A3568" s="17">
        <v>41649.0</v>
      </c>
      <c r="B3568" s="1"/>
      <c r="C3568" s="1" t="s">
        <v>433</v>
      </c>
      <c r="D3568" s="74"/>
      <c r="E3568" s="67"/>
      <c r="F3568" s="75"/>
      <c r="G3568" s="67"/>
      <c r="H3568" s="68"/>
      <c r="I3568" s="76"/>
      <c r="J3568" s="67"/>
      <c r="K3568" s="7" t="s">
        <v>1103</v>
      </c>
      <c r="L3568" s="77"/>
      <c r="M3568" s="79"/>
      <c r="N3568" s="1"/>
      <c r="O3568" s="1"/>
      <c r="P3568" s="1"/>
      <c r="Q3568" s="1"/>
      <c r="R3568" s="1"/>
      <c r="S3568" s="1"/>
      <c r="T3568" s="1"/>
      <c r="U3568" s="1"/>
      <c r="V3568" s="1"/>
      <c r="W3568" s="1"/>
      <c r="X3568" s="1"/>
      <c r="Y3568" s="1"/>
      <c r="Z3568" s="1"/>
      <c r="AA3568" s="1"/>
      <c r="AB3568" s="1"/>
      <c r="AC3568" s="1"/>
      <c r="AD3568" s="1"/>
      <c r="AE3568" s="1"/>
      <c r="AF3568" s="1"/>
      <c r="AG3568" s="1"/>
      <c r="AH3568" s="1"/>
    </row>
    <row r="3569" ht="12.75" hidden="1" customHeight="1" outlineLevel="1">
      <c r="A3569" s="17">
        <v>41649.0</v>
      </c>
      <c r="B3569" s="1"/>
      <c r="C3569" s="1" t="s">
        <v>435</v>
      </c>
      <c r="D3569" s="74"/>
      <c r="E3569" s="67"/>
      <c r="F3569" s="75"/>
      <c r="G3569" s="67"/>
      <c r="H3569" s="68"/>
      <c r="I3569" s="76"/>
      <c r="J3569" s="67"/>
      <c r="K3569" s="7" t="s">
        <v>1507</v>
      </c>
      <c r="L3569" s="77"/>
      <c r="M3569" s="79"/>
      <c r="N3569" s="1"/>
      <c r="O3569" s="1"/>
      <c r="P3569" s="1"/>
      <c r="Q3569" s="1"/>
      <c r="R3569" s="1"/>
      <c r="S3569" s="1"/>
      <c r="T3569" s="1"/>
      <c r="U3569" s="1"/>
      <c r="V3569" s="1"/>
      <c r="W3569" s="1"/>
      <c r="X3569" s="1"/>
      <c r="Y3569" s="1"/>
      <c r="Z3569" s="1"/>
      <c r="AA3569" s="1"/>
      <c r="AB3569" s="1"/>
      <c r="AC3569" s="1"/>
      <c r="AD3569" s="1"/>
      <c r="AE3569" s="1"/>
      <c r="AF3569" s="1"/>
      <c r="AG3569" s="1"/>
      <c r="AH3569" s="1"/>
    </row>
    <row r="3570" ht="12.75" hidden="1" customHeight="1" outlineLevel="1">
      <c r="A3570" s="17">
        <v>41651.0</v>
      </c>
      <c r="B3570" s="1"/>
      <c r="C3570" s="1" t="s">
        <v>339</v>
      </c>
      <c r="D3570" s="74"/>
      <c r="E3570" s="67"/>
      <c r="F3570" s="75"/>
      <c r="G3570" s="67"/>
      <c r="H3570" s="68"/>
      <c r="I3570" s="76"/>
      <c r="J3570" s="67"/>
      <c r="K3570" s="7" t="s">
        <v>1522</v>
      </c>
      <c r="L3570" s="77"/>
      <c r="M3570" s="79"/>
      <c r="N3570" s="1"/>
      <c r="O3570" s="1"/>
      <c r="P3570" s="1"/>
      <c r="Q3570" s="1"/>
      <c r="R3570" s="1"/>
      <c r="S3570" s="1"/>
      <c r="T3570" s="1"/>
      <c r="U3570" s="1"/>
      <c r="V3570" s="1"/>
      <c r="W3570" s="1"/>
      <c r="X3570" s="1"/>
      <c r="Y3570" s="1"/>
      <c r="Z3570" s="1"/>
      <c r="AA3570" s="1"/>
      <c r="AB3570" s="1"/>
      <c r="AC3570" s="1"/>
      <c r="AD3570" s="1"/>
      <c r="AE3570" s="1"/>
      <c r="AF3570" s="1"/>
      <c r="AG3570" s="1"/>
      <c r="AH3570" s="1"/>
    </row>
    <row r="3571" ht="12.75" hidden="1" customHeight="1" outlineLevel="1">
      <c r="A3571" s="17">
        <v>41651.0</v>
      </c>
      <c r="B3571" s="1"/>
      <c r="C3571" s="1" t="s">
        <v>429</v>
      </c>
      <c r="D3571" s="74"/>
      <c r="E3571" s="67"/>
      <c r="F3571" s="75"/>
      <c r="G3571" s="67"/>
      <c r="H3571" s="68"/>
      <c r="I3571" s="76"/>
      <c r="J3571" s="67"/>
      <c r="K3571" s="7" t="s">
        <v>1505</v>
      </c>
      <c r="L3571" s="77"/>
      <c r="M3571" s="79"/>
      <c r="N3571" s="1"/>
      <c r="O3571" s="1"/>
      <c r="P3571" s="1"/>
      <c r="Q3571" s="1"/>
      <c r="R3571" s="1"/>
      <c r="S3571" s="1"/>
      <c r="T3571" s="1"/>
      <c r="U3571" s="1"/>
      <c r="V3571" s="1"/>
      <c r="W3571" s="1"/>
      <c r="X3571" s="1"/>
      <c r="Y3571" s="1"/>
      <c r="Z3571" s="1"/>
      <c r="AA3571" s="1"/>
      <c r="AB3571" s="1"/>
      <c r="AC3571" s="1"/>
      <c r="AD3571" s="1"/>
      <c r="AE3571" s="1"/>
      <c r="AF3571" s="1"/>
      <c r="AG3571" s="1"/>
      <c r="AH3571" s="1"/>
    </row>
    <row r="3572" ht="12.75" hidden="1" customHeight="1" outlineLevel="1">
      <c r="A3572" s="17">
        <v>41651.0</v>
      </c>
      <c r="B3572" s="1"/>
      <c r="C3572" s="1" t="s">
        <v>431</v>
      </c>
      <c r="D3572" s="74"/>
      <c r="E3572" s="67"/>
      <c r="F3572" s="75"/>
      <c r="G3572" s="67"/>
      <c r="H3572" s="68"/>
      <c r="I3572" s="76"/>
      <c r="J3572" s="67"/>
      <c r="K3572" s="7" t="s">
        <v>1126</v>
      </c>
      <c r="L3572" s="77"/>
      <c r="M3572" s="79"/>
      <c r="N3572" s="1"/>
      <c r="O3572" s="1"/>
      <c r="P3572" s="1"/>
      <c r="Q3572" s="1"/>
      <c r="R3572" s="1"/>
      <c r="S3572" s="1"/>
      <c r="T3572" s="1"/>
      <c r="U3572" s="1"/>
      <c r="V3572" s="1"/>
      <c r="W3572" s="1"/>
      <c r="X3572" s="1"/>
      <c r="Y3572" s="1"/>
      <c r="Z3572" s="1"/>
      <c r="AA3572" s="1"/>
      <c r="AB3572" s="1"/>
      <c r="AC3572" s="1"/>
      <c r="AD3572" s="1"/>
      <c r="AE3572" s="1"/>
      <c r="AF3572" s="1"/>
      <c r="AG3572" s="1"/>
      <c r="AH3572" s="1"/>
    </row>
    <row r="3573" ht="12.75" hidden="1" customHeight="1" outlineLevel="1">
      <c r="A3573" s="17">
        <v>41651.0</v>
      </c>
      <c r="B3573" s="1"/>
      <c r="C3573" s="1" t="s">
        <v>433</v>
      </c>
      <c r="D3573" s="74"/>
      <c r="E3573" s="67"/>
      <c r="F3573" s="75"/>
      <c r="G3573" s="67"/>
      <c r="H3573" s="68"/>
      <c r="I3573" s="76"/>
      <c r="J3573" s="67"/>
      <c r="K3573" s="7" t="s">
        <v>1103</v>
      </c>
      <c r="L3573" s="77"/>
      <c r="M3573" s="79"/>
      <c r="N3573" s="1"/>
      <c r="O3573" s="1"/>
      <c r="P3573" s="1"/>
      <c r="Q3573" s="1"/>
      <c r="R3573" s="1"/>
      <c r="S3573" s="1"/>
      <c r="T3573" s="1"/>
      <c r="U3573" s="1"/>
      <c r="V3573" s="1"/>
      <c r="W3573" s="1"/>
      <c r="X3573" s="1"/>
      <c r="Y3573" s="1"/>
      <c r="Z3573" s="1"/>
      <c r="AA3573" s="1"/>
      <c r="AB3573" s="1"/>
      <c r="AC3573" s="1"/>
      <c r="AD3573" s="1"/>
      <c r="AE3573" s="1"/>
      <c r="AF3573" s="1"/>
      <c r="AG3573" s="1"/>
      <c r="AH3573" s="1"/>
    </row>
    <row r="3574" ht="12.75" hidden="1" customHeight="1" outlineLevel="1">
      <c r="A3574" s="17">
        <v>41651.0</v>
      </c>
      <c r="B3574" s="1"/>
      <c r="C3574" s="1" t="s">
        <v>435</v>
      </c>
      <c r="D3574" s="74"/>
      <c r="E3574" s="67"/>
      <c r="F3574" s="75"/>
      <c r="G3574" s="67"/>
      <c r="H3574" s="68"/>
      <c r="I3574" s="76"/>
      <c r="J3574" s="67"/>
      <c r="K3574" s="7" t="s">
        <v>1507</v>
      </c>
      <c r="L3574" s="77"/>
      <c r="M3574" s="79"/>
      <c r="N3574" s="1"/>
      <c r="O3574" s="1"/>
      <c r="P3574" s="1"/>
      <c r="Q3574" s="1"/>
      <c r="R3574" s="1"/>
      <c r="S3574" s="1"/>
      <c r="T3574" s="1"/>
      <c r="U3574" s="1"/>
      <c r="V3574" s="1"/>
      <c r="W3574" s="1"/>
      <c r="X3574" s="1"/>
      <c r="Y3574" s="1"/>
      <c r="Z3574" s="1"/>
      <c r="AA3574" s="1"/>
      <c r="AB3574" s="1"/>
      <c r="AC3574" s="1"/>
      <c r="AD3574" s="1"/>
      <c r="AE3574" s="1"/>
      <c r="AF3574" s="1"/>
      <c r="AG3574" s="1"/>
      <c r="AH3574" s="1"/>
    </row>
    <row r="3575" ht="12.75" hidden="1" customHeight="1" outlineLevel="1">
      <c r="A3575" s="17">
        <v>41652.0</v>
      </c>
      <c r="B3575" s="1"/>
      <c r="C3575" s="1" t="s">
        <v>339</v>
      </c>
      <c r="D3575" s="74"/>
      <c r="E3575" s="67"/>
      <c r="F3575" s="75"/>
      <c r="G3575" s="67"/>
      <c r="H3575" s="68"/>
      <c r="I3575" s="76"/>
      <c r="J3575" s="67"/>
      <c r="K3575" s="7" t="s">
        <v>1523</v>
      </c>
      <c r="L3575" s="77"/>
      <c r="M3575" s="79"/>
      <c r="N3575" s="1"/>
      <c r="O3575" s="1"/>
      <c r="P3575" s="1"/>
      <c r="Q3575" s="1"/>
      <c r="R3575" s="1"/>
      <c r="S3575" s="1"/>
      <c r="T3575" s="1"/>
      <c r="U3575" s="1"/>
      <c r="V3575" s="1"/>
      <c r="W3575" s="1"/>
      <c r="X3575" s="1"/>
      <c r="Y3575" s="1"/>
      <c r="Z3575" s="1"/>
      <c r="AA3575" s="1"/>
      <c r="AB3575" s="1"/>
      <c r="AC3575" s="1"/>
      <c r="AD3575" s="1"/>
      <c r="AE3575" s="1"/>
      <c r="AF3575" s="1"/>
      <c r="AG3575" s="1"/>
      <c r="AH3575" s="1"/>
    </row>
    <row r="3576" ht="12.75" hidden="1" customHeight="1" outlineLevel="1">
      <c r="A3576" s="17">
        <v>41652.0</v>
      </c>
      <c r="B3576" s="1"/>
      <c r="C3576" s="1" t="s">
        <v>429</v>
      </c>
      <c r="D3576" s="74"/>
      <c r="E3576" s="67"/>
      <c r="F3576" s="75"/>
      <c r="G3576" s="67"/>
      <c r="H3576" s="68"/>
      <c r="I3576" s="76"/>
      <c r="J3576" s="67"/>
      <c r="K3576" s="7" t="s">
        <v>1505</v>
      </c>
      <c r="L3576" s="77"/>
      <c r="M3576" s="79"/>
      <c r="N3576" s="1"/>
      <c r="O3576" s="1"/>
      <c r="P3576" s="1"/>
      <c r="Q3576" s="1"/>
      <c r="R3576" s="1"/>
      <c r="S3576" s="1"/>
      <c r="T3576" s="1"/>
      <c r="U3576" s="1"/>
      <c r="V3576" s="1"/>
      <c r="W3576" s="1"/>
      <c r="X3576" s="1"/>
      <c r="Y3576" s="1"/>
      <c r="Z3576" s="1"/>
      <c r="AA3576" s="1"/>
      <c r="AB3576" s="1"/>
      <c r="AC3576" s="1"/>
      <c r="AD3576" s="1"/>
      <c r="AE3576" s="1"/>
      <c r="AF3576" s="1"/>
      <c r="AG3576" s="1"/>
      <c r="AH3576" s="1"/>
    </row>
    <row r="3577" ht="12.75" hidden="1" customHeight="1" outlineLevel="1">
      <c r="A3577" s="17">
        <v>41652.0</v>
      </c>
      <c r="B3577" s="1"/>
      <c r="C3577" s="1" t="s">
        <v>431</v>
      </c>
      <c r="D3577" s="74"/>
      <c r="E3577" s="67"/>
      <c r="F3577" s="75"/>
      <c r="G3577" s="67"/>
      <c r="H3577" s="68"/>
      <c r="I3577" s="76"/>
      <c r="J3577" s="67"/>
      <c r="K3577" s="7" t="s">
        <v>1126</v>
      </c>
      <c r="L3577" s="77"/>
      <c r="M3577" s="79"/>
      <c r="N3577" s="1"/>
      <c r="O3577" s="1"/>
      <c r="P3577" s="1"/>
      <c r="Q3577" s="1"/>
      <c r="R3577" s="1"/>
      <c r="S3577" s="1"/>
      <c r="T3577" s="1"/>
      <c r="U3577" s="1"/>
      <c r="V3577" s="1"/>
      <c r="W3577" s="1"/>
      <c r="X3577" s="1"/>
      <c r="Y3577" s="1"/>
      <c r="Z3577" s="1"/>
      <c r="AA3577" s="1"/>
      <c r="AB3577" s="1"/>
      <c r="AC3577" s="1"/>
      <c r="AD3577" s="1"/>
      <c r="AE3577" s="1"/>
      <c r="AF3577" s="1"/>
      <c r="AG3577" s="1"/>
      <c r="AH3577" s="1"/>
    </row>
    <row r="3578" ht="12.75" hidden="1" customHeight="1" outlineLevel="1">
      <c r="A3578" s="17">
        <v>41652.0</v>
      </c>
      <c r="B3578" s="1"/>
      <c r="C3578" s="1" t="s">
        <v>433</v>
      </c>
      <c r="D3578" s="74"/>
      <c r="E3578" s="67"/>
      <c r="F3578" s="75"/>
      <c r="G3578" s="67"/>
      <c r="H3578" s="68"/>
      <c r="I3578" s="76"/>
      <c r="J3578" s="67"/>
      <c r="K3578" s="7" t="s">
        <v>1103</v>
      </c>
      <c r="L3578" s="77"/>
      <c r="M3578" s="79"/>
      <c r="N3578" s="1"/>
      <c r="O3578" s="1"/>
      <c r="P3578" s="1"/>
      <c r="Q3578" s="1"/>
      <c r="R3578" s="1"/>
      <c r="S3578" s="1"/>
      <c r="T3578" s="1"/>
      <c r="U3578" s="1"/>
      <c r="V3578" s="1"/>
      <c r="W3578" s="1"/>
      <c r="X3578" s="1"/>
      <c r="Y3578" s="1"/>
      <c r="Z3578" s="1"/>
      <c r="AA3578" s="1"/>
      <c r="AB3578" s="1"/>
      <c r="AC3578" s="1"/>
      <c r="AD3578" s="1"/>
      <c r="AE3578" s="1"/>
      <c r="AF3578" s="1"/>
      <c r="AG3578" s="1"/>
      <c r="AH3578" s="1"/>
    </row>
    <row r="3579" ht="12.75" hidden="1" customHeight="1" outlineLevel="1">
      <c r="A3579" s="17">
        <v>41652.0</v>
      </c>
      <c r="B3579" s="1"/>
      <c r="C3579" s="1" t="s">
        <v>435</v>
      </c>
      <c r="D3579" s="74"/>
      <c r="E3579" s="67"/>
      <c r="F3579" s="75"/>
      <c r="G3579" s="67"/>
      <c r="H3579" s="68"/>
      <c r="I3579" s="76"/>
      <c r="J3579" s="67"/>
      <c r="K3579" s="7" t="s">
        <v>1507</v>
      </c>
      <c r="L3579" s="77"/>
      <c r="M3579" s="79"/>
      <c r="N3579" s="1"/>
      <c r="O3579" s="1"/>
      <c r="P3579" s="1"/>
      <c r="Q3579" s="1"/>
      <c r="R3579" s="1"/>
      <c r="S3579" s="1"/>
      <c r="T3579" s="1"/>
      <c r="U3579" s="1"/>
      <c r="V3579" s="1"/>
      <c r="W3579" s="1"/>
      <c r="X3579" s="1"/>
      <c r="Y3579" s="1"/>
      <c r="Z3579" s="1"/>
      <c r="AA3579" s="1"/>
      <c r="AB3579" s="1"/>
      <c r="AC3579" s="1"/>
      <c r="AD3579" s="1"/>
      <c r="AE3579" s="1"/>
      <c r="AF3579" s="1"/>
      <c r="AG3579" s="1"/>
      <c r="AH3579" s="1"/>
    </row>
    <row r="3580" ht="12.75" hidden="1" customHeight="1" outlineLevel="1">
      <c r="A3580" s="17">
        <v>41652.0</v>
      </c>
      <c r="B3580" s="1" t="s">
        <v>347</v>
      </c>
      <c r="C3580" s="1" t="s">
        <v>790</v>
      </c>
      <c r="D3580" s="74">
        <v>1500.0</v>
      </c>
      <c r="E3580" s="67">
        <v>12.77</v>
      </c>
      <c r="F3580" s="75">
        <v>0.4015740740740741</v>
      </c>
      <c r="G3580" s="67" t="s">
        <v>453</v>
      </c>
      <c r="H3580" s="68">
        <v>6.33</v>
      </c>
      <c r="I3580" s="76"/>
      <c r="J3580" s="67">
        <f t="shared" ref="J3580:J3599" si="236">IF(B3580="SLD",D3580*E3580,-D3580*E3580)-H3580</f>
        <v>19148.67</v>
      </c>
      <c r="K3580" s="7"/>
      <c r="L3580" s="70"/>
      <c r="M3580" s="79"/>
      <c r="N3580" s="1"/>
      <c r="O3580" s="1"/>
      <c r="P3580" s="1"/>
      <c r="Q3580" s="1"/>
      <c r="R3580" s="1"/>
      <c r="S3580" s="1"/>
      <c r="T3580" s="1"/>
      <c r="U3580" s="1"/>
      <c r="V3580" s="1"/>
      <c r="W3580" s="1"/>
      <c r="X3580" s="1"/>
      <c r="Y3580" s="1"/>
      <c r="Z3580" s="1"/>
      <c r="AA3580" s="1"/>
      <c r="AB3580" s="1"/>
      <c r="AC3580" s="1"/>
      <c r="AD3580" s="1"/>
      <c r="AE3580" s="1"/>
      <c r="AF3580" s="1"/>
      <c r="AG3580" s="1"/>
      <c r="AH3580" s="1"/>
    </row>
    <row r="3581" ht="12.75" hidden="1" customHeight="1" outlineLevel="1">
      <c r="A3581" s="17">
        <v>41652.0</v>
      </c>
      <c r="B3581" s="1" t="s">
        <v>347</v>
      </c>
      <c r="C3581" s="1" t="s">
        <v>1442</v>
      </c>
      <c r="D3581" s="74">
        <v>200.0</v>
      </c>
      <c r="E3581" s="67">
        <v>13.04</v>
      </c>
      <c r="F3581" s="75">
        <v>0.4926388888888889</v>
      </c>
      <c r="G3581" s="67" t="s">
        <v>453</v>
      </c>
      <c r="H3581" s="68">
        <v>1.05</v>
      </c>
      <c r="I3581" s="76"/>
      <c r="J3581" s="67">
        <f t="shared" si="236"/>
        <v>2606.95</v>
      </c>
      <c r="K3581" s="7"/>
      <c r="L3581" s="70"/>
      <c r="M3581" s="79"/>
      <c r="N3581" s="1"/>
      <c r="O3581" s="1"/>
      <c r="P3581" s="1"/>
      <c r="Q3581" s="1"/>
      <c r="R3581" s="1"/>
      <c r="S3581" s="1"/>
      <c r="T3581" s="1"/>
      <c r="U3581" s="1"/>
      <c r="V3581" s="1"/>
      <c r="W3581" s="1"/>
      <c r="X3581" s="1"/>
      <c r="Y3581" s="1"/>
      <c r="Z3581" s="1"/>
      <c r="AA3581" s="1"/>
      <c r="AB3581" s="1"/>
      <c r="AC3581" s="1"/>
      <c r="AD3581" s="1"/>
      <c r="AE3581" s="1"/>
      <c r="AF3581" s="1"/>
      <c r="AG3581" s="1"/>
      <c r="AH3581" s="1"/>
    </row>
    <row r="3582" ht="12.75" hidden="1" customHeight="1" outlineLevel="1">
      <c r="A3582" s="17">
        <v>41652.0</v>
      </c>
      <c r="B3582" s="1" t="s">
        <v>347</v>
      </c>
      <c r="C3582" s="1" t="s">
        <v>1442</v>
      </c>
      <c r="D3582" s="74">
        <v>400.0</v>
      </c>
      <c r="E3582" s="67">
        <v>13.045</v>
      </c>
      <c r="F3582" s="75">
        <v>0.49569444444444444</v>
      </c>
      <c r="G3582" s="67" t="s">
        <v>453</v>
      </c>
      <c r="H3582" s="68">
        <v>1.99</v>
      </c>
      <c r="I3582" s="76"/>
      <c r="J3582" s="67">
        <f t="shared" si="236"/>
        <v>5216.01</v>
      </c>
      <c r="K3582" s="7"/>
      <c r="L3582" s="70"/>
      <c r="M3582" s="79"/>
      <c r="N3582" s="1"/>
      <c r="O3582" s="1"/>
      <c r="P3582" s="1"/>
      <c r="Q3582" s="1"/>
      <c r="R3582" s="1"/>
      <c r="S3582" s="1"/>
      <c r="T3582" s="1"/>
      <c r="U3582" s="1"/>
      <c r="V3582" s="1"/>
      <c r="W3582" s="1"/>
      <c r="X3582" s="1"/>
      <c r="Y3582" s="1"/>
      <c r="Z3582" s="1"/>
      <c r="AA3582" s="1"/>
      <c r="AB3582" s="1"/>
      <c r="AC3582" s="1"/>
      <c r="AD3582" s="1"/>
      <c r="AE3582" s="1"/>
      <c r="AF3582" s="1"/>
      <c r="AG3582" s="1"/>
      <c r="AH3582" s="1"/>
    </row>
    <row r="3583" ht="12.75" hidden="1" customHeight="1" outlineLevel="1">
      <c r="A3583" s="17">
        <v>41652.0</v>
      </c>
      <c r="B3583" s="1" t="s">
        <v>347</v>
      </c>
      <c r="C3583" s="1" t="s">
        <v>1442</v>
      </c>
      <c r="D3583" s="74">
        <v>490.0</v>
      </c>
      <c r="E3583" s="67">
        <v>13.018</v>
      </c>
      <c r="F3583" s="75">
        <v>0.5044907407407407</v>
      </c>
      <c r="G3583" s="67" t="s">
        <v>453</v>
      </c>
      <c r="H3583" s="68">
        <v>2.56</v>
      </c>
      <c r="I3583" s="76"/>
      <c r="J3583" s="67">
        <f t="shared" si="236"/>
        <v>6376.26</v>
      </c>
      <c r="K3583" s="7"/>
      <c r="L3583" s="70"/>
      <c r="M3583" s="79"/>
      <c r="N3583" s="1"/>
      <c r="O3583" s="1"/>
      <c r="P3583" s="1"/>
      <c r="Q3583" s="1"/>
      <c r="R3583" s="1"/>
      <c r="S3583" s="1"/>
      <c r="T3583" s="1"/>
      <c r="U3583" s="1"/>
      <c r="V3583" s="1"/>
      <c r="W3583" s="1"/>
      <c r="X3583" s="1"/>
      <c r="Y3583" s="1"/>
      <c r="Z3583" s="1"/>
      <c r="AA3583" s="1"/>
      <c r="AB3583" s="1"/>
      <c r="AC3583" s="1"/>
      <c r="AD3583" s="1"/>
      <c r="AE3583" s="1"/>
      <c r="AF3583" s="1"/>
      <c r="AG3583" s="1"/>
      <c r="AH3583" s="1"/>
    </row>
    <row r="3584" ht="12.75" hidden="1" customHeight="1" outlineLevel="1">
      <c r="A3584" s="17">
        <v>41652.0</v>
      </c>
      <c r="B3584" s="1" t="s">
        <v>347</v>
      </c>
      <c r="C3584" s="1" t="s">
        <v>1442</v>
      </c>
      <c r="D3584" s="74">
        <v>510.0</v>
      </c>
      <c r="E3584" s="67">
        <v>12.99</v>
      </c>
      <c r="F3584" s="75">
        <v>0.5152662037037037</v>
      </c>
      <c r="G3584" s="67" t="s">
        <v>453</v>
      </c>
      <c r="H3584" s="68">
        <v>2.52</v>
      </c>
      <c r="I3584" s="76"/>
      <c r="J3584" s="67">
        <f t="shared" si="236"/>
        <v>6622.38</v>
      </c>
      <c r="K3584" s="7"/>
      <c r="L3584" s="70"/>
      <c r="M3584" s="79"/>
      <c r="N3584" s="1"/>
      <c r="O3584" s="1"/>
      <c r="P3584" s="1"/>
      <c r="Q3584" s="1"/>
      <c r="R3584" s="1"/>
      <c r="S3584" s="1"/>
      <c r="T3584" s="1"/>
      <c r="U3584" s="1"/>
      <c r="V3584" s="1"/>
      <c r="W3584" s="1"/>
      <c r="X3584" s="1"/>
      <c r="Y3584" s="1"/>
      <c r="Z3584" s="1"/>
      <c r="AA3584" s="1"/>
      <c r="AB3584" s="1"/>
      <c r="AC3584" s="1"/>
      <c r="AD3584" s="1"/>
      <c r="AE3584" s="1"/>
      <c r="AF3584" s="1"/>
      <c r="AG3584" s="1"/>
      <c r="AH3584" s="1"/>
    </row>
    <row r="3585" ht="12.75" hidden="1" customHeight="1" outlineLevel="1">
      <c r="A3585" s="17">
        <v>41652.0</v>
      </c>
      <c r="B3585" s="1" t="s">
        <v>343</v>
      </c>
      <c r="C3585" s="1" t="s">
        <v>1044</v>
      </c>
      <c r="D3585" s="74">
        <v>1200.0</v>
      </c>
      <c r="E3585" s="67">
        <v>22.5</v>
      </c>
      <c r="F3585" s="75">
        <v>0.5555324074074074</v>
      </c>
      <c r="G3585" s="67" t="s">
        <v>453</v>
      </c>
      <c r="H3585" s="68">
        <v>4.8</v>
      </c>
      <c r="I3585" s="76"/>
      <c r="J3585" s="67">
        <f t="shared" si="236"/>
        <v>-27004.8</v>
      </c>
      <c r="K3585" s="7"/>
      <c r="L3585" s="70"/>
      <c r="M3585" s="79"/>
      <c r="N3585" s="1"/>
      <c r="O3585" s="1"/>
      <c r="P3585" s="1"/>
      <c r="Q3585" s="1"/>
      <c r="R3585" s="1"/>
      <c r="S3585" s="1"/>
      <c r="T3585" s="1"/>
      <c r="U3585" s="1"/>
      <c r="V3585" s="1"/>
      <c r="W3585" s="1"/>
      <c r="X3585" s="1"/>
      <c r="Y3585" s="1"/>
      <c r="Z3585" s="1"/>
      <c r="AA3585" s="1"/>
      <c r="AB3585" s="1"/>
      <c r="AC3585" s="1"/>
      <c r="AD3585" s="1"/>
      <c r="AE3585" s="1"/>
      <c r="AF3585" s="1"/>
      <c r="AG3585" s="1"/>
      <c r="AH3585" s="1"/>
    </row>
    <row r="3586" ht="12.75" hidden="1" customHeight="1" outlineLevel="1">
      <c r="A3586" s="17">
        <v>41652.0</v>
      </c>
      <c r="B3586" s="1" t="s">
        <v>347</v>
      </c>
      <c r="C3586" s="1" t="s">
        <v>870</v>
      </c>
      <c r="D3586" s="74">
        <v>125.0</v>
      </c>
      <c r="E3586" s="67">
        <v>89.35</v>
      </c>
      <c r="F3586" s="75">
        <v>0.5805902777777777</v>
      </c>
      <c r="G3586" s="67" t="s">
        <v>453</v>
      </c>
      <c r="H3586" s="68">
        <v>1.19</v>
      </c>
      <c r="I3586" s="76"/>
      <c r="J3586" s="67">
        <f t="shared" si="236"/>
        <v>11167.56</v>
      </c>
      <c r="K3586" s="7"/>
      <c r="L3586" s="70"/>
      <c r="M3586" s="79"/>
      <c r="N3586" s="1"/>
      <c r="O3586" s="1"/>
      <c r="P3586" s="1"/>
      <c r="Q3586" s="1"/>
      <c r="R3586" s="1"/>
      <c r="S3586" s="1"/>
      <c r="T3586" s="1"/>
      <c r="U3586" s="1"/>
      <c r="V3586" s="1"/>
      <c r="W3586" s="1"/>
      <c r="X3586" s="1"/>
      <c r="Y3586" s="1"/>
      <c r="Z3586" s="1"/>
      <c r="AA3586" s="1"/>
      <c r="AB3586" s="1"/>
      <c r="AC3586" s="1"/>
      <c r="AD3586" s="1"/>
      <c r="AE3586" s="1"/>
      <c r="AF3586" s="1"/>
      <c r="AG3586" s="1"/>
      <c r="AH3586" s="1"/>
    </row>
    <row r="3587" ht="12.75" hidden="1" customHeight="1" outlineLevel="1">
      <c r="A3587" s="17">
        <v>41652.0</v>
      </c>
      <c r="B3587" s="1" t="s">
        <v>347</v>
      </c>
      <c r="C3587" s="1" t="s">
        <v>605</v>
      </c>
      <c r="D3587" s="74">
        <v>150.0</v>
      </c>
      <c r="E3587" s="67">
        <v>76.3</v>
      </c>
      <c r="F3587" s="75">
        <v>0.5810648148148149</v>
      </c>
      <c r="G3587" s="67" t="s">
        <v>453</v>
      </c>
      <c r="H3587" s="68">
        <v>1.2</v>
      </c>
      <c r="I3587" s="76"/>
      <c r="J3587" s="67">
        <f t="shared" si="236"/>
        <v>11443.8</v>
      </c>
      <c r="K3587" s="7"/>
      <c r="L3587" s="70"/>
      <c r="M3587" s="79"/>
      <c r="N3587" s="1"/>
      <c r="O3587" s="1"/>
      <c r="P3587" s="1"/>
      <c r="Q3587" s="1"/>
      <c r="R3587" s="1"/>
      <c r="S3587" s="1"/>
      <c r="T3587" s="1"/>
      <c r="U3587" s="1"/>
      <c r="V3587" s="1"/>
      <c r="W3587" s="1"/>
      <c r="X3587" s="1"/>
      <c r="Y3587" s="1"/>
      <c r="Z3587" s="1"/>
      <c r="AA3587" s="1"/>
      <c r="AB3587" s="1"/>
      <c r="AC3587" s="1"/>
      <c r="AD3587" s="1"/>
      <c r="AE3587" s="1"/>
      <c r="AF3587" s="1"/>
      <c r="AG3587" s="1"/>
      <c r="AH3587" s="1"/>
    </row>
    <row r="3588" ht="12.75" hidden="1" customHeight="1" outlineLevel="1">
      <c r="A3588" s="17">
        <v>41652.0</v>
      </c>
      <c r="B3588" s="1" t="s">
        <v>347</v>
      </c>
      <c r="C3588" s="1" t="s">
        <v>1222</v>
      </c>
      <c r="D3588" s="74">
        <v>220.0</v>
      </c>
      <c r="E3588" s="67">
        <v>114.419</v>
      </c>
      <c r="F3588" s="75">
        <v>0.586400462962963</v>
      </c>
      <c r="G3588" s="67" t="s">
        <v>453</v>
      </c>
      <c r="H3588" s="68">
        <v>1.44</v>
      </c>
      <c r="I3588" s="76"/>
      <c r="J3588" s="67">
        <f t="shared" si="236"/>
        <v>25170.74</v>
      </c>
      <c r="K3588" s="7"/>
      <c r="L3588" s="70"/>
      <c r="M3588" s="79"/>
      <c r="N3588" s="1"/>
      <c r="O3588" s="1"/>
      <c r="P3588" s="1"/>
      <c r="Q3588" s="1"/>
      <c r="R3588" s="1"/>
      <c r="S3588" s="1"/>
      <c r="T3588" s="1"/>
      <c r="U3588" s="1"/>
      <c r="V3588" s="1"/>
      <c r="W3588" s="1"/>
      <c r="X3588" s="1"/>
      <c r="Y3588" s="1"/>
      <c r="Z3588" s="1"/>
      <c r="AA3588" s="1"/>
      <c r="AB3588" s="1"/>
      <c r="AC3588" s="1"/>
      <c r="AD3588" s="1"/>
      <c r="AE3588" s="1"/>
      <c r="AF3588" s="1"/>
      <c r="AG3588" s="1"/>
      <c r="AH3588" s="1"/>
    </row>
    <row r="3589" ht="12.75" hidden="1" customHeight="1" outlineLevel="1">
      <c r="A3589" s="17">
        <v>41652.0</v>
      </c>
      <c r="B3589" s="1" t="s">
        <v>347</v>
      </c>
      <c r="C3589" s="1" t="s">
        <v>1112</v>
      </c>
      <c r="D3589" s="74">
        <v>300.0</v>
      </c>
      <c r="E3589" s="67">
        <v>83.63</v>
      </c>
      <c r="F3589" s="75">
        <v>0.5865277777777778</v>
      </c>
      <c r="G3589" s="67" t="s">
        <v>453</v>
      </c>
      <c r="H3589" s="68">
        <v>1.64</v>
      </c>
      <c r="I3589" s="76"/>
      <c r="J3589" s="67">
        <f t="shared" si="236"/>
        <v>25087.36</v>
      </c>
      <c r="K3589" s="7"/>
      <c r="L3589" s="70"/>
      <c r="M3589" s="79"/>
      <c r="N3589" s="1"/>
      <c r="O3589" s="1"/>
      <c r="P3589" s="1"/>
      <c r="Q3589" s="1"/>
      <c r="R3589" s="1"/>
      <c r="S3589" s="1"/>
      <c r="T3589" s="1"/>
      <c r="U3589" s="1"/>
      <c r="V3589" s="1"/>
      <c r="W3589" s="1"/>
      <c r="X3589" s="1"/>
      <c r="Y3589" s="1"/>
      <c r="Z3589" s="1"/>
      <c r="AA3589" s="1"/>
      <c r="AB3589" s="1"/>
      <c r="AC3589" s="1"/>
      <c r="AD3589" s="1"/>
      <c r="AE3589" s="1"/>
      <c r="AF3589" s="1"/>
      <c r="AG3589" s="1"/>
      <c r="AH3589" s="1"/>
    </row>
    <row r="3590" ht="12.75" hidden="1" customHeight="1" outlineLevel="1">
      <c r="A3590" s="17">
        <v>41652.0</v>
      </c>
      <c r="B3590" s="1" t="s">
        <v>347</v>
      </c>
      <c r="C3590" s="1" t="s">
        <v>1060</v>
      </c>
      <c r="D3590" s="74">
        <v>300.0</v>
      </c>
      <c r="E3590" s="67">
        <v>35.653</v>
      </c>
      <c r="F3590" s="75">
        <v>0.6293865740740741</v>
      </c>
      <c r="G3590" s="67" t="s">
        <v>453</v>
      </c>
      <c r="H3590" s="68">
        <v>1.59</v>
      </c>
      <c r="I3590" s="76"/>
      <c r="J3590" s="67">
        <f t="shared" si="236"/>
        <v>10694.31</v>
      </c>
      <c r="K3590" s="7"/>
      <c r="L3590" s="70"/>
      <c r="M3590" s="79"/>
      <c r="N3590" s="1"/>
      <c r="O3590" s="1"/>
      <c r="P3590" s="1"/>
      <c r="Q3590" s="1"/>
      <c r="R3590" s="1"/>
      <c r="S3590" s="1"/>
      <c r="T3590" s="1"/>
      <c r="U3590" s="1"/>
      <c r="V3590" s="1"/>
      <c r="W3590" s="1"/>
      <c r="X3590" s="1"/>
      <c r="Y3590" s="1"/>
      <c r="Z3590" s="1"/>
      <c r="AA3590" s="1"/>
      <c r="AB3590" s="1"/>
      <c r="AC3590" s="1"/>
      <c r="AD3590" s="1"/>
      <c r="AE3590" s="1"/>
      <c r="AF3590" s="1"/>
      <c r="AG3590" s="1"/>
      <c r="AH3590" s="1"/>
    </row>
    <row r="3591" ht="12.75" hidden="1" customHeight="1" outlineLevel="1">
      <c r="A3591" s="17">
        <v>41652.0</v>
      </c>
      <c r="B3591" s="1" t="s">
        <v>347</v>
      </c>
      <c r="C3591" s="1" t="s">
        <v>354</v>
      </c>
      <c r="D3591" s="74">
        <v>200.0</v>
      </c>
      <c r="E3591" s="67">
        <v>159.1</v>
      </c>
      <c r="F3591" s="75">
        <v>0.6298263888888889</v>
      </c>
      <c r="G3591" s="67" t="s">
        <v>453</v>
      </c>
      <c r="H3591" s="68">
        <v>1.55</v>
      </c>
      <c r="I3591" s="76"/>
      <c r="J3591" s="67">
        <f t="shared" si="236"/>
        <v>31818.45</v>
      </c>
      <c r="K3591" s="7"/>
      <c r="L3591" s="70"/>
      <c r="M3591" s="79"/>
      <c r="N3591" s="1"/>
      <c r="O3591" s="1"/>
      <c r="P3591" s="1"/>
      <c r="Q3591" s="1"/>
      <c r="R3591" s="1"/>
      <c r="S3591" s="1"/>
      <c r="T3591" s="1"/>
      <c r="U3591" s="1"/>
      <c r="V3591" s="1"/>
      <c r="W3591" s="1"/>
      <c r="X3591" s="1"/>
      <c r="Y3591" s="1"/>
      <c r="Z3591" s="1"/>
      <c r="AA3591" s="1"/>
      <c r="AB3591" s="1"/>
      <c r="AC3591" s="1"/>
      <c r="AD3591" s="1"/>
      <c r="AE3591" s="1"/>
      <c r="AF3591" s="1"/>
      <c r="AG3591" s="1"/>
      <c r="AH3591" s="1"/>
    </row>
    <row r="3592" ht="12.75" hidden="1" customHeight="1" outlineLevel="1">
      <c r="A3592" s="17">
        <v>41652.0</v>
      </c>
      <c r="B3592" s="1" t="s">
        <v>347</v>
      </c>
      <c r="C3592" s="1" t="s">
        <v>344</v>
      </c>
      <c r="D3592" s="74">
        <v>100.0</v>
      </c>
      <c r="E3592" s="67">
        <v>51.66</v>
      </c>
      <c r="F3592" s="75">
        <v>0.6300925925925925</v>
      </c>
      <c r="G3592" s="67" t="s">
        <v>453</v>
      </c>
      <c r="H3592" s="68">
        <v>1.09</v>
      </c>
      <c r="I3592" s="76"/>
      <c r="J3592" s="67">
        <f t="shared" si="236"/>
        <v>5164.91</v>
      </c>
      <c r="K3592" s="7"/>
      <c r="L3592" s="70"/>
      <c r="M3592" s="79"/>
      <c r="N3592" s="1"/>
      <c r="O3592" s="1"/>
      <c r="P3592" s="1"/>
      <c r="Q3592" s="1"/>
      <c r="R3592" s="1"/>
      <c r="S3592" s="1"/>
      <c r="T3592" s="1"/>
      <c r="U3592" s="1"/>
      <c r="V3592" s="1"/>
      <c r="W3592" s="1"/>
      <c r="X3592" s="1"/>
      <c r="Y3592" s="1"/>
      <c r="Z3592" s="1"/>
      <c r="AA3592" s="1"/>
      <c r="AB3592" s="1"/>
      <c r="AC3592" s="1"/>
      <c r="AD3592" s="1"/>
      <c r="AE3592" s="1"/>
      <c r="AF3592" s="1"/>
      <c r="AG3592" s="1"/>
      <c r="AH3592" s="1"/>
    </row>
    <row r="3593" ht="12.75" hidden="1" customHeight="1" outlineLevel="1">
      <c r="A3593" s="17">
        <v>41652.0</v>
      </c>
      <c r="B3593" s="1" t="s">
        <v>347</v>
      </c>
      <c r="C3593" s="1" t="s">
        <v>364</v>
      </c>
      <c r="D3593" s="74">
        <v>50.0</v>
      </c>
      <c r="E3593" s="67">
        <v>120.03</v>
      </c>
      <c r="F3593" s="75">
        <v>0.6364930555555556</v>
      </c>
      <c r="G3593" s="67" t="s">
        <v>453</v>
      </c>
      <c r="H3593" s="68">
        <v>1.1</v>
      </c>
      <c r="I3593" s="76"/>
      <c r="J3593" s="67">
        <f t="shared" si="236"/>
        <v>6000.4</v>
      </c>
      <c r="K3593" s="7"/>
      <c r="L3593" s="70"/>
      <c r="M3593" s="79"/>
      <c r="N3593" s="1"/>
      <c r="O3593" s="1"/>
      <c r="P3593" s="1"/>
      <c r="Q3593" s="1"/>
      <c r="R3593" s="1"/>
      <c r="S3593" s="1"/>
      <c r="T3593" s="1"/>
      <c r="U3593" s="1"/>
      <c r="V3593" s="1"/>
      <c r="W3593" s="1"/>
      <c r="X3593" s="1"/>
      <c r="Y3593" s="1"/>
      <c r="Z3593" s="1"/>
      <c r="AA3593" s="1"/>
      <c r="AB3593" s="1"/>
      <c r="AC3593" s="1"/>
      <c r="AD3593" s="1"/>
      <c r="AE3593" s="1"/>
      <c r="AF3593" s="1"/>
      <c r="AG3593" s="1"/>
      <c r="AH3593" s="1"/>
    </row>
    <row r="3594" ht="12.75" hidden="1" customHeight="1" outlineLevel="1">
      <c r="A3594" s="17">
        <v>41652.0</v>
      </c>
      <c r="B3594" s="1" t="s">
        <v>347</v>
      </c>
      <c r="C3594" s="1" t="s">
        <v>1369</v>
      </c>
      <c r="D3594" s="74">
        <v>1500.0</v>
      </c>
      <c r="E3594" s="67">
        <v>14.87</v>
      </c>
      <c r="F3594" s="75">
        <v>0.6375694444444444</v>
      </c>
      <c r="G3594" s="67" t="s">
        <v>453</v>
      </c>
      <c r="H3594" s="68">
        <v>6.39</v>
      </c>
      <c r="I3594" s="76"/>
      <c r="J3594" s="67">
        <f t="shared" si="236"/>
        <v>22298.61</v>
      </c>
      <c r="K3594" s="7"/>
      <c r="L3594" s="70"/>
      <c r="M3594" s="79"/>
      <c r="N3594" s="1"/>
      <c r="O3594" s="1"/>
      <c r="P3594" s="1"/>
      <c r="Q3594" s="1"/>
      <c r="R3594" s="1"/>
      <c r="S3594" s="1"/>
      <c r="T3594" s="1"/>
      <c r="U3594" s="1"/>
      <c r="V3594" s="1"/>
      <c r="W3594" s="1"/>
      <c r="X3594" s="1"/>
      <c r="Y3594" s="1"/>
      <c r="Z3594" s="1"/>
      <c r="AA3594" s="1"/>
      <c r="AB3594" s="1"/>
      <c r="AC3594" s="1"/>
      <c r="AD3594" s="1"/>
      <c r="AE3594" s="1"/>
      <c r="AF3594" s="1"/>
      <c r="AG3594" s="1"/>
      <c r="AH3594" s="1"/>
    </row>
    <row r="3595" ht="12.75" hidden="1" customHeight="1" outlineLevel="1">
      <c r="A3595" s="17">
        <v>41652.0</v>
      </c>
      <c r="B3595" s="1" t="s">
        <v>347</v>
      </c>
      <c r="C3595" s="1" t="s">
        <v>1493</v>
      </c>
      <c r="D3595" s="74">
        <v>500.0</v>
      </c>
      <c r="E3595" s="67">
        <v>41.79</v>
      </c>
      <c r="F3595" s="75">
        <v>0.6388194444444445</v>
      </c>
      <c r="G3595" s="67" t="s">
        <v>453</v>
      </c>
      <c r="H3595" s="68">
        <v>2.36</v>
      </c>
      <c r="I3595" s="76"/>
      <c r="J3595" s="67">
        <f t="shared" si="236"/>
        <v>20892.64</v>
      </c>
      <c r="K3595" s="7"/>
      <c r="L3595" s="70"/>
      <c r="M3595" s="79"/>
      <c r="N3595" s="1"/>
      <c r="O3595" s="1"/>
      <c r="P3595" s="1"/>
      <c r="Q3595" s="1"/>
      <c r="R3595" s="1"/>
      <c r="S3595" s="1"/>
      <c r="T3595" s="1"/>
      <c r="U3595" s="1"/>
      <c r="V3595" s="1"/>
      <c r="W3595" s="1"/>
      <c r="X3595" s="1"/>
      <c r="Y3595" s="1"/>
      <c r="Z3595" s="1"/>
      <c r="AA3595" s="1"/>
      <c r="AB3595" s="1"/>
      <c r="AC3595" s="1"/>
      <c r="AD3595" s="1"/>
      <c r="AE3595" s="1"/>
      <c r="AF3595" s="1"/>
      <c r="AG3595" s="1"/>
      <c r="AH3595" s="1"/>
    </row>
    <row r="3596" ht="12.75" hidden="1" customHeight="1" outlineLevel="1">
      <c r="A3596" s="17">
        <v>41652.0</v>
      </c>
      <c r="B3596" s="1" t="s">
        <v>347</v>
      </c>
      <c r="C3596" s="1" t="s">
        <v>1357</v>
      </c>
      <c r="D3596" s="74">
        <v>220.0</v>
      </c>
      <c r="E3596" s="67">
        <v>107.361</v>
      </c>
      <c r="F3596" s="75">
        <v>0.6491782407407407</v>
      </c>
      <c r="G3596" s="67" t="s">
        <v>453</v>
      </c>
      <c r="H3596" s="68">
        <v>1.41</v>
      </c>
      <c r="I3596" s="76"/>
      <c r="J3596" s="67">
        <f t="shared" si="236"/>
        <v>23618.01</v>
      </c>
      <c r="K3596" s="7"/>
      <c r="L3596" s="70"/>
      <c r="M3596" s="79"/>
      <c r="N3596" s="1"/>
      <c r="O3596" s="1"/>
      <c r="P3596" s="1"/>
      <c r="Q3596" s="1"/>
      <c r="R3596" s="1"/>
      <c r="S3596" s="1"/>
      <c r="T3596" s="1"/>
      <c r="U3596" s="1"/>
      <c r="V3596" s="1"/>
      <c r="W3596" s="1"/>
      <c r="X3596" s="1"/>
      <c r="Y3596" s="1"/>
      <c r="Z3596" s="1"/>
      <c r="AA3596" s="1"/>
      <c r="AB3596" s="1"/>
      <c r="AC3596" s="1"/>
      <c r="AD3596" s="1"/>
      <c r="AE3596" s="1"/>
      <c r="AF3596" s="1"/>
      <c r="AG3596" s="1"/>
      <c r="AH3596" s="1"/>
    </row>
    <row r="3597" ht="12.75" hidden="1" customHeight="1" outlineLevel="1">
      <c r="A3597" s="17">
        <v>41652.0</v>
      </c>
      <c r="B3597" s="1" t="s">
        <v>347</v>
      </c>
      <c r="C3597" s="1" t="s">
        <v>1220</v>
      </c>
      <c r="D3597" s="74">
        <v>100.0</v>
      </c>
      <c r="E3597" s="67">
        <v>91.46</v>
      </c>
      <c r="F3597" s="75">
        <v>0.6496064814814815</v>
      </c>
      <c r="G3597" s="67" t="s">
        <v>453</v>
      </c>
      <c r="H3597" s="68">
        <v>1.16</v>
      </c>
      <c r="I3597" s="76"/>
      <c r="J3597" s="67">
        <f t="shared" si="236"/>
        <v>9144.84</v>
      </c>
      <c r="K3597" s="7"/>
      <c r="L3597" s="70"/>
      <c r="M3597" s="79"/>
      <c r="N3597" s="1"/>
      <c r="O3597" s="1"/>
      <c r="P3597" s="1"/>
      <c r="Q3597" s="1"/>
      <c r="R3597" s="1"/>
      <c r="S3597" s="1"/>
      <c r="T3597" s="1"/>
      <c r="U3597" s="1"/>
      <c r="V3597" s="1"/>
      <c r="W3597" s="1"/>
      <c r="X3597" s="1"/>
      <c r="Y3597" s="1"/>
      <c r="Z3597" s="1"/>
      <c r="AA3597" s="1"/>
      <c r="AB3597" s="1"/>
      <c r="AC3597" s="1"/>
      <c r="AD3597" s="1"/>
      <c r="AE3597" s="1"/>
      <c r="AF3597" s="1"/>
      <c r="AG3597" s="1"/>
      <c r="AH3597" s="1"/>
    </row>
    <row r="3598" ht="12.75" hidden="1" customHeight="1" outlineLevel="1">
      <c r="A3598" s="17">
        <v>41652.0</v>
      </c>
      <c r="B3598" s="1" t="s">
        <v>347</v>
      </c>
      <c r="C3598" s="1" t="s">
        <v>1275</v>
      </c>
      <c r="D3598" s="74">
        <v>150.0</v>
      </c>
      <c r="E3598" s="67">
        <v>35.7</v>
      </c>
      <c r="F3598" s="75">
        <v>0.6528935185185185</v>
      </c>
      <c r="G3598" s="67" t="s">
        <v>453</v>
      </c>
      <c r="H3598" s="68">
        <v>1.09</v>
      </c>
      <c r="I3598" s="76"/>
      <c r="J3598" s="67">
        <f t="shared" si="236"/>
        <v>5353.91</v>
      </c>
      <c r="K3598" s="7"/>
      <c r="L3598" s="70"/>
      <c r="M3598" s="79"/>
      <c r="N3598" s="1"/>
      <c r="O3598" s="1"/>
      <c r="P3598" s="1"/>
      <c r="Q3598" s="1"/>
      <c r="R3598" s="1"/>
      <c r="S3598" s="1"/>
      <c r="T3598" s="1"/>
      <c r="U3598" s="1"/>
      <c r="V3598" s="1"/>
      <c r="W3598" s="1"/>
      <c r="X3598" s="1"/>
      <c r="Y3598" s="1"/>
      <c r="Z3598" s="1"/>
      <c r="AA3598" s="1"/>
      <c r="AB3598" s="1"/>
      <c r="AC3598" s="1"/>
      <c r="AD3598" s="1"/>
      <c r="AE3598" s="1"/>
      <c r="AF3598" s="1"/>
      <c r="AG3598" s="1"/>
      <c r="AH3598" s="1"/>
    </row>
    <row r="3599" ht="12.75" hidden="1" customHeight="1" outlineLevel="1">
      <c r="A3599" s="17">
        <v>41652.0</v>
      </c>
      <c r="B3599" s="1" t="s">
        <v>347</v>
      </c>
      <c r="C3599" s="1" t="s">
        <v>1275</v>
      </c>
      <c r="D3599" s="74">
        <v>500.0</v>
      </c>
      <c r="E3599" s="67">
        <v>35.69</v>
      </c>
      <c r="F3599" s="75">
        <v>0.6546643518518519</v>
      </c>
      <c r="G3599" s="67" t="s">
        <v>453</v>
      </c>
      <c r="H3599" s="68">
        <v>2.71</v>
      </c>
      <c r="I3599" s="76"/>
      <c r="J3599" s="67">
        <f t="shared" si="236"/>
        <v>17842.29</v>
      </c>
      <c r="K3599" s="7"/>
      <c r="L3599" s="70"/>
      <c r="M3599" s="79"/>
      <c r="N3599" s="1"/>
      <c r="O3599" s="1"/>
      <c r="P3599" s="1"/>
      <c r="Q3599" s="1"/>
      <c r="R3599" s="1"/>
      <c r="S3599" s="1"/>
      <c r="T3599" s="1"/>
      <c r="U3599" s="1"/>
      <c r="V3599" s="1"/>
      <c r="W3599" s="1"/>
      <c r="X3599" s="1"/>
      <c r="Y3599" s="1"/>
      <c r="Z3599" s="1"/>
      <c r="AA3599" s="1"/>
      <c r="AB3599" s="1"/>
      <c r="AC3599" s="1"/>
      <c r="AD3599" s="1"/>
      <c r="AE3599" s="1"/>
      <c r="AF3599" s="1"/>
      <c r="AG3599" s="1"/>
      <c r="AH3599" s="1"/>
    </row>
    <row r="3600" ht="12.75" hidden="1" customHeight="1" outlineLevel="1">
      <c r="A3600" s="17">
        <v>41652.0</v>
      </c>
      <c r="B3600" s="1"/>
      <c r="C3600" s="1" t="s">
        <v>339</v>
      </c>
      <c r="D3600" s="74"/>
      <c r="E3600" s="67"/>
      <c r="F3600" s="75"/>
      <c r="G3600" s="67"/>
      <c r="H3600" s="68"/>
      <c r="I3600" s="76"/>
      <c r="J3600" s="67"/>
      <c r="K3600" s="7" t="s">
        <v>1526</v>
      </c>
      <c r="L3600" s="77"/>
      <c r="M3600" s="79"/>
      <c r="N3600" s="1"/>
      <c r="O3600" s="1"/>
      <c r="P3600" s="1"/>
      <c r="Q3600" s="1"/>
      <c r="R3600" s="1"/>
      <c r="S3600" s="1"/>
      <c r="T3600" s="1"/>
      <c r="U3600" s="1"/>
      <c r="V3600" s="1"/>
      <c r="W3600" s="1"/>
      <c r="X3600" s="1"/>
      <c r="Y3600" s="1"/>
      <c r="Z3600" s="1"/>
      <c r="AA3600" s="1"/>
      <c r="AB3600" s="1"/>
      <c r="AC3600" s="1"/>
      <c r="AD3600" s="1"/>
      <c r="AE3600" s="1"/>
      <c r="AF3600" s="1"/>
      <c r="AG3600" s="1"/>
      <c r="AH3600" s="1"/>
    </row>
    <row r="3601" ht="12.75" hidden="1" customHeight="1" outlineLevel="1">
      <c r="A3601" s="17">
        <v>41652.0</v>
      </c>
      <c r="B3601" s="1"/>
      <c r="C3601" s="1" t="s">
        <v>429</v>
      </c>
      <c r="D3601" s="74"/>
      <c r="E3601" s="67"/>
      <c r="F3601" s="75"/>
      <c r="G3601" s="67"/>
      <c r="H3601" s="68"/>
      <c r="I3601" s="76"/>
      <c r="J3601" s="67"/>
      <c r="K3601" s="7" t="s">
        <v>1034</v>
      </c>
      <c r="L3601" s="77"/>
      <c r="M3601" s="79"/>
      <c r="N3601" s="1"/>
      <c r="O3601" s="1"/>
      <c r="P3601" s="1"/>
      <c r="Q3601" s="1"/>
      <c r="R3601" s="1"/>
      <c r="S3601" s="1"/>
      <c r="T3601" s="1"/>
      <c r="U3601" s="1"/>
      <c r="V3601" s="1"/>
      <c r="W3601" s="1"/>
      <c r="X3601" s="1"/>
      <c r="Y3601" s="1"/>
      <c r="Z3601" s="1"/>
      <c r="AA3601" s="1"/>
      <c r="AB3601" s="1"/>
      <c r="AC3601" s="1"/>
      <c r="AD3601" s="1"/>
      <c r="AE3601" s="1"/>
      <c r="AF3601" s="1"/>
      <c r="AG3601" s="1"/>
      <c r="AH3601" s="1"/>
    </row>
    <row r="3602" ht="12.75" hidden="1" customHeight="1" outlineLevel="1">
      <c r="A3602" s="17">
        <v>41652.0</v>
      </c>
      <c r="B3602" s="1"/>
      <c r="C3602" s="1" t="s">
        <v>431</v>
      </c>
      <c r="D3602" s="74"/>
      <c r="E3602" s="67"/>
      <c r="F3602" s="75"/>
      <c r="G3602" s="67"/>
      <c r="H3602" s="68"/>
      <c r="I3602" s="76"/>
      <c r="J3602" s="67"/>
      <c r="K3602" s="7" t="s">
        <v>1126</v>
      </c>
      <c r="L3602" s="77"/>
      <c r="M3602" s="79"/>
      <c r="N3602" s="1"/>
      <c r="O3602" s="1"/>
      <c r="P3602" s="1"/>
      <c r="Q3602" s="1"/>
      <c r="R3602" s="1"/>
      <c r="S3602" s="1"/>
      <c r="T3602" s="1"/>
      <c r="U3602" s="1"/>
      <c r="V3602" s="1"/>
      <c r="W3602" s="1"/>
      <c r="X3602" s="1"/>
      <c r="Y3602" s="1"/>
      <c r="Z3602" s="1"/>
      <c r="AA3602" s="1"/>
      <c r="AB3602" s="1"/>
      <c r="AC3602" s="1"/>
      <c r="AD3602" s="1"/>
      <c r="AE3602" s="1"/>
      <c r="AF3602" s="1"/>
      <c r="AG3602" s="1"/>
      <c r="AH3602" s="1"/>
    </row>
    <row r="3603" ht="12.75" hidden="1" customHeight="1" outlineLevel="1">
      <c r="A3603" s="17">
        <v>41652.0</v>
      </c>
      <c r="B3603" s="1"/>
      <c r="C3603" s="1" t="s">
        <v>433</v>
      </c>
      <c r="D3603" s="74"/>
      <c r="E3603" s="67"/>
      <c r="F3603" s="75"/>
      <c r="G3603" s="67"/>
      <c r="H3603" s="68"/>
      <c r="I3603" s="76"/>
      <c r="J3603" s="67"/>
      <c r="K3603" s="7" t="s">
        <v>1103</v>
      </c>
      <c r="L3603" s="77"/>
      <c r="M3603" s="79"/>
      <c r="N3603" s="1"/>
      <c r="O3603" s="1"/>
      <c r="P3603" s="1"/>
      <c r="Q3603" s="1"/>
      <c r="R3603" s="1"/>
      <c r="S3603" s="1"/>
      <c r="T3603" s="1"/>
      <c r="U3603" s="1"/>
      <c r="V3603" s="1"/>
      <c r="W3603" s="1"/>
      <c r="X3603" s="1"/>
      <c r="Y3603" s="1"/>
      <c r="Z3603" s="1"/>
      <c r="AA3603" s="1"/>
      <c r="AB3603" s="1"/>
      <c r="AC3603" s="1"/>
      <c r="AD3603" s="1"/>
      <c r="AE3603" s="1"/>
      <c r="AF3603" s="1"/>
      <c r="AG3603" s="1"/>
      <c r="AH3603" s="1"/>
    </row>
    <row r="3604" ht="12.75" hidden="1" customHeight="1" outlineLevel="1">
      <c r="A3604" s="17">
        <v>41652.0</v>
      </c>
      <c r="B3604" s="1"/>
      <c r="C3604" s="1" t="s">
        <v>435</v>
      </c>
      <c r="D3604" s="74"/>
      <c r="E3604" s="67"/>
      <c r="F3604" s="75"/>
      <c r="G3604" s="67"/>
      <c r="H3604" s="68"/>
      <c r="I3604" s="76"/>
      <c r="J3604" s="67"/>
      <c r="K3604" s="7" t="s">
        <v>1507</v>
      </c>
      <c r="L3604" s="77"/>
      <c r="M3604" s="79"/>
      <c r="N3604" s="1"/>
      <c r="O3604" s="1"/>
      <c r="P3604" s="1"/>
      <c r="Q3604" s="1"/>
      <c r="R3604" s="1"/>
      <c r="S3604" s="1"/>
      <c r="T3604" s="1"/>
      <c r="U3604" s="1"/>
      <c r="V3604" s="1"/>
      <c r="W3604" s="1"/>
      <c r="X3604" s="1"/>
      <c r="Y3604" s="1"/>
      <c r="Z3604" s="1"/>
      <c r="AA3604" s="1"/>
      <c r="AB3604" s="1"/>
      <c r="AC3604" s="1"/>
      <c r="AD3604" s="1"/>
      <c r="AE3604" s="1"/>
      <c r="AF3604" s="1"/>
      <c r="AG3604" s="1"/>
      <c r="AH3604" s="1"/>
    </row>
    <row r="3605" ht="12.75" hidden="1" customHeight="1" outlineLevel="1">
      <c r="A3605" s="17">
        <v>41653.0</v>
      </c>
      <c r="B3605" s="1"/>
      <c r="C3605" s="1" t="s">
        <v>339</v>
      </c>
      <c r="D3605" s="74"/>
      <c r="E3605" s="67"/>
      <c r="F3605" s="75"/>
      <c r="G3605" s="67"/>
      <c r="H3605" s="68"/>
      <c r="I3605" s="76"/>
      <c r="J3605" s="67"/>
      <c r="K3605" s="7" t="s">
        <v>1528</v>
      </c>
      <c r="L3605" s="77"/>
      <c r="M3605" s="79"/>
      <c r="N3605" s="1"/>
      <c r="O3605" s="1"/>
      <c r="P3605" s="1"/>
      <c r="Q3605" s="1"/>
      <c r="R3605" s="1"/>
      <c r="S3605" s="1"/>
      <c r="T3605" s="1"/>
      <c r="U3605" s="1"/>
      <c r="V3605" s="1"/>
      <c r="W3605" s="1"/>
      <c r="X3605" s="1"/>
      <c r="Y3605" s="1"/>
      <c r="Z3605" s="1"/>
      <c r="AA3605" s="1"/>
      <c r="AB3605" s="1"/>
      <c r="AC3605" s="1"/>
      <c r="AD3605" s="1"/>
      <c r="AE3605" s="1"/>
      <c r="AF3605" s="1"/>
      <c r="AG3605" s="1"/>
      <c r="AH3605" s="1"/>
    </row>
    <row r="3606" ht="12.75" hidden="1" customHeight="1" outlineLevel="1">
      <c r="A3606" s="17">
        <v>41653.0</v>
      </c>
      <c r="B3606" s="1"/>
      <c r="C3606" s="1" t="s">
        <v>429</v>
      </c>
      <c r="D3606" s="74"/>
      <c r="E3606" s="67"/>
      <c r="F3606" s="75"/>
      <c r="G3606" s="67"/>
      <c r="H3606" s="68"/>
      <c r="I3606" s="76"/>
      <c r="J3606" s="67"/>
      <c r="K3606" s="7" t="s">
        <v>1034</v>
      </c>
      <c r="L3606" s="77"/>
      <c r="M3606" s="79"/>
      <c r="N3606" s="1"/>
      <c r="O3606" s="1"/>
      <c r="P3606" s="1"/>
      <c r="Q3606" s="1"/>
      <c r="R3606" s="1"/>
      <c r="S3606" s="1"/>
      <c r="T3606" s="1"/>
      <c r="U3606" s="1"/>
      <c r="V3606" s="1"/>
      <c r="W3606" s="1"/>
      <c r="X3606" s="1"/>
      <c r="Y3606" s="1"/>
      <c r="Z3606" s="1"/>
      <c r="AA3606" s="1"/>
      <c r="AB3606" s="1"/>
      <c r="AC3606" s="1"/>
      <c r="AD3606" s="1"/>
      <c r="AE3606" s="1"/>
      <c r="AF3606" s="1"/>
      <c r="AG3606" s="1"/>
      <c r="AH3606" s="1"/>
    </row>
    <row r="3607" ht="12.75" hidden="1" customHeight="1" outlineLevel="1">
      <c r="A3607" s="17">
        <v>41653.0</v>
      </c>
      <c r="B3607" s="1"/>
      <c r="C3607" s="1" t="s">
        <v>431</v>
      </c>
      <c r="D3607" s="74"/>
      <c r="E3607" s="67"/>
      <c r="F3607" s="75"/>
      <c r="G3607" s="67"/>
      <c r="H3607" s="68"/>
      <c r="I3607" s="76"/>
      <c r="J3607" s="67"/>
      <c r="K3607" s="7" t="s">
        <v>1126</v>
      </c>
      <c r="L3607" s="77"/>
      <c r="M3607" s="79"/>
      <c r="N3607" s="1"/>
      <c r="O3607" s="1"/>
      <c r="P3607" s="1"/>
      <c r="Q3607" s="1"/>
      <c r="R3607" s="1"/>
      <c r="S3607" s="1"/>
      <c r="T3607" s="1"/>
      <c r="U3607" s="1"/>
      <c r="V3607" s="1"/>
      <c r="W3607" s="1"/>
      <c r="X3607" s="1"/>
      <c r="Y3607" s="1"/>
      <c r="Z3607" s="1"/>
      <c r="AA3607" s="1"/>
      <c r="AB3607" s="1"/>
      <c r="AC3607" s="1"/>
      <c r="AD3607" s="1"/>
      <c r="AE3607" s="1"/>
      <c r="AF3607" s="1"/>
      <c r="AG3607" s="1"/>
      <c r="AH3607" s="1"/>
    </row>
    <row r="3608" ht="12.75" hidden="1" customHeight="1" outlineLevel="1">
      <c r="A3608" s="17">
        <v>41653.0</v>
      </c>
      <c r="B3608" s="1"/>
      <c r="C3608" s="1" t="s">
        <v>433</v>
      </c>
      <c r="D3608" s="74"/>
      <c r="E3608" s="67"/>
      <c r="F3608" s="75"/>
      <c r="G3608" s="67"/>
      <c r="H3608" s="68"/>
      <c r="I3608" s="76"/>
      <c r="J3608" s="67"/>
      <c r="K3608" s="7" t="s">
        <v>1103</v>
      </c>
      <c r="L3608" s="77"/>
      <c r="M3608" s="79"/>
      <c r="N3608" s="1"/>
      <c r="O3608" s="1"/>
      <c r="P3608" s="1"/>
      <c r="Q3608" s="1"/>
      <c r="R3608" s="1"/>
      <c r="S3608" s="1"/>
      <c r="T3608" s="1"/>
      <c r="U3608" s="1"/>
      <c r="V3608" s="1"/>
      <c r="W3608" s="1"/>
      <c r="X3608" s="1"/>
      <c r="Y3608" s="1"/>
      <c r="Z3608" s="1"/>
      <c r="AA3608" s="1"/>
      <c r="AB3608" s="1"/>
      <c r="AC3608" s="1"/>
      <c r="AD3608" s="1"/>
      <c r="AE3608" s="1"/>
      <c r="AF3608" s="1"/>
      <c r="AG3608" s="1"/>
      <c r="AH3608" s="1"/>
    </row>
    <row r="3609" ht="12.75" hidden="1" customHeight="1" outlineLevel="1">
      <c r="A3609" s="17">
        <v>41653.0</v>
      </c>
      <c r="B3609" s="1"/>
      <c r="C3609" s="1" t="s">
        <v>435</v>
      </c>
      <c r="D3609" s="74"/>
      <c r="E3609" s="67"/>
      <c r="F3609" s="75"/>
      <c r="G3609" s="67"/>
      <c r="H3609" s="68"/>
      <c r="I3609" s="76"/>
      <c r="J3609" s="67"/>
      <c r="K3609" s="7" t="s">
        <v>1507</v>
      </c>
      <c r="L3609" s="77"/>
      <c r="M3609" s="79"/>
      <c r="N3609" s="1"/>
      <c r="O3609" s="1"/>
      <c r="P3609" s="1"/>
      <c r="Q3609" s="1"/>
      <c r="R3609" s="1"/>
      <c r="S3609" s="1"/>
      <c r="T3609" s="1"/>
      <c r="U3609" s="1"/>
      <c r="V3609" s="1"/>
      <c r="W3609" s="1"/>
      <c r="X3609" s="1"/>
      <c r="Y3609" s="1"/>
      <c r="Z3609" s="1"/>
      <c r="AA3609" s="1"/>
      <c r="AB3609" s="1"/>
      <c r="AC3609" s="1"/>
      <c r="AD3609" s="1"/>
      <c r="AE3609" s="1"/>
      <c r="AF3609" s="1"/>
      <c r="AG3609" s="1"/>
      <c r="AH3609" s="1"/>
    </row>
    <row r="3610" ht="12.75" hidden="1" customHeight="1" outlineLevel="1">
      <c r="A3610" s="17">
        <v>41653.0</v>
      </c>
      <c r="B3610" s="1" t="s">
        <v>347</v>
      </c>
      <c r="C3610" s="1" t="s">
        <v>1044</v>
      </c>
      <c r="D3610" s="74">
        <v>1200.0</v>
      </c>
      <c r="E3610" s="67">
        <v>22.53</v>
      </c>
      <c r="F3610" s="75">
        <v>0.47082175925925923</v>
      </c>
      <c r="G3610" s="67" t="s">
        <v>453</v>
      </c>
      <c r="H3610" s="68">
        <v>6.17</v>
      </c>
      <c r="I3610" s="76"/>
      <c r="J3610" s="67">
        <f t="shared" ref="J3610:J3612" si="237">IF(B3610="SLD",D3610*E3610,-D3610*E3610)-H3610</f>
        <v>27029.83</v>
      </c>
      <c r="K3610" s="7"/>
      <c r="L3610" s="70"/>
      <c r="M3610" s="79"/>
      <c r="N3610" s="1"/>
      <c r="O3610" s="1"/>
      <c r="P3610" s="1"/>
      <c r="Q3610" s="1"/>
      <c r="R3610" s="1"/>
      <c r="S3610" s="1"/>
      <c r="T3610" s="1"/>
      <c r="U3610" s="1"/>
      <c r="V3610" s="1"/>
      <c r="W3610" s="1"/>
      <c r="X3610" s="1"/>
      <c r="Y3610" s="1"/>
      <c r="Z3610" s="1"/>
      <c r="AA3610" s="1"/>
      <c r="AB3610" s="1"/>
      <c r="AC3610" s="1"/>
      <c r="AD3610" s="1"/>
      <c r="AE3610" s="1"/>
      <c r="AF3610" s="1"/>
      <c r="AG3610" s="1"/>
      <c r="AH3610" s="1"/>
    </row>
    <row r="3611" ht="12.75" hidden="1" customHeight="1" outlineLevel="1">
      <c r="A3611" s="17">
        <v>41653.0</v>
      </c>
      <c r="B3611" s="1" t="s">
        <v>347</v>
      </c>
      <c r="C3611" s="1" t="s">
        <v>1370</v>
      </c>
      <c r="D3611" s="74">
        <v>350.0</v>
      </c>
      <c r="E3611" s="67">
        <v>63.31</v>
      </c>
      <c r="F3611" s="75">
        <v>0.5526273148148148</v>
      </c>
      <c r="G3611" s="67" t="s">
        <v>453</v>
      </c>
      <c r="H3611" s="68">
        <v>2.04</v>
      </c>
      <c r="I3611" s="76"/>
      <c r="J3611" s="67">
        <f t="shared" si="237"/>
        <v>22156.46</v>
      </c>
      <c r="K3611" s="7"/>
      <c r="L3611" s="70"/>
      <c r="M3611" s="79"/>
      <c r="N3611" s="1"/>
      <c r="O3611" s="1"/>
      <c r="P3611" s="1"/>
      <c r="Q3611" s="1"/>
      <c r="R3611" s="1"/>
      <c r="S3611" s="1"/>
      <c r="T3611" s="1"/>
      <c r="U3611" s="1"/>
      <c r="V3611" s="1"/>
      <c r="W3611" s="1"/>
      <c r="X3611" s="1"/>
      <c r="Y3611" s="1"/>
      <c r="Z3611" s="1"/>
      <c r="AA3611" s="1"/>
      <c r="AB3611" s="1"/>
      <c r="AC3611" s="1"/>
      <c r="AD3611" s="1"/>
      <c r="AE3611" s="1"/>
      <c r="AF3611" s="1"/>
      <c r="AG3611" s="1"/>
      <c r="AH3611" s="1"/>
    </row>
    <row r="3612" ht="12.75" hidden="1" customHeight="1" outlineLevel="1">
      <c r="A3612" s="17">
        <v>41653.0</v>
      </c>
      <c r="B3612" s="1" t="s">
        <v>347</v>
      </c>
      <c r="C3612" s="1" t="s">
        <v>734</v>
      </c>
      <c r="D3612" s="74">
        <v>300.0</v>
      </c>
      <c r="E3612" s="67">
        <v>22.501</v>
      </c>
      <c r="F3612" s="75">
        <v>0.6597222222222222</v>
      </c>
      <c r="G3612" s="67" t="s">
        <v>453</v>
      </c>
      <c r="H3612" s="68">
        <v>1.32</v>
      </c>
      <c r="I3612" s="76"/>
      <c r="J3612" s="67">
        <f t="shared" si="237"/>
        <v>6748.98</v>
      </c>
      <c r="K3612" s="7"/>
      <c r="L3612" s="70"/>
      <c r="M3612" s="79"/>
      <c r="N3612" s="1"/>
      <c r="O3612" s="1"/>
      <c r="P3612" s="1"/>
      <c r="Q3612" s="1"/>
      <c r="R3612" s="1"/>
      <c r="S3612" s="1"/>
      <c r="T3612" s="1"/>
      <c r="U3612" s="1"/>
      <c r="V3612" s="1"/>
      <c r="W3612" s="1"/>
      <c r="X3612" s="1"/>
      <c r="Y3612" s="1"/>
      <c r="Z3612" s="1"/>
      <c r="AA3612" s="1"/>
      <c r="AB3612" s="1"/>
      <c r="AC3612" s="1"/>
      <c r="AD3612" s="1"/>
      <c r="AE3612" s="1"/>
      <c r="AF3612" s="1"/>
      <c r="AG3612" s="1"/>
      <c r="AH3612" s="1"/>
    </row>
    <row r="3613" ht="12.75" hidden="1" customHeight="1" outlineLevel="1">
      <c r="A3613" s="17">
        <v>41653.0</v>
      </c>
      <c r="B3613" s="1"/>
      <c r="C3613" s="1" t="s">
        <v>339</v>
      </c>
      <c r="D3613" s="74"/>
      <c r="E3613" s="67"/>
      <c r="F3613" s="75"/>
      <c r="G3613" s="67"/>
      <c r="H3613" s="68"/>
      <c r="I3613" s="76"/>
      <c r="J3613" s="67"/>
      <c r="K3613" s="7" t="s">
        <v>1529</v>
      </c>
      <c r="L3613" s="77"/>
      <c r="M3613" s="79"/>
      <c r="N3613" s="1"/>
      <c r="O3613" s="1"/>
      <c r="P3613" s="1"/>
      <c r="Q3613" s="1"/>
      <c r="R3613" s="1"/>
      <c r="S3613" s="1"/>
      <c r="T3613" s="1"/>
      <c r="U3613" s="1"/>
      <c r="V3613" s="1"/>
      <c r="W3613" s="1"/>
      <c r="X3613" s="1"/>
      <c r="Y3613" s="1"/>
      <c r="Z3613" s="1"/>
      <c r="AA3613" s="1"/>
      <c r="AB3613" s="1"/>
      <c r="AC3613" s="1"/>
      <c r="AD3613" s="1"/>
      <c r="AE3613" s="1"/>
      <c r="AF3613" s="1"/>
      <c r="AG3613" s="1"/>
      <c r="AH3613" s="1"/>
    </row>
    <row r="3614" ht="12.75" hidden="1" customHeight="1" outlineLevel="1">
      <c r="A3614" s="17">
        <v>41653.0</v>
      </c>
      <c r="B3614" s="1"/>
      <c r="C3614" s="1" t="s">
        <v>429</v>
      </c>
      <c r="D3614" s="74"/>
      <c r="E3614" s="67"/>
      <c r="F3614" s="75"/>
      <c r="G3614" s="67"/>
      <c r="H3614" s="68"/>
      <c r="I3614" s="76"/>
      <c r="J3614" s="67"/>
      <c r="K3614" s="7" t="s">
        <v>1034</v>
      </c>
      <c r="L3614" s="77"/>
      <c r="M3614" s="79"/>
      <c r="N3614" s="1"/>
      <c r="O3614" s="1"/>
      <c r="P3614" s="1"/>
      <c r="Q3614" s="1"/>
      <c r="R3614" s="1"/>
      <c r="S3614" s="1"/>
      <c r="T3614" s="1"/>
      <c r="U3614" s="1"/>
      <c r="V3614" s="1"/>
      <c r="W3614" s="1"/>
      <c r="X3614" s="1"/>
      <c r="Y3614" s="1"/>
      <c r="Z3614" s="1"/>
      <c r="AA3614" s="1"/>
      <c r="AB3614" s="1"/>
      <c r="AC3614" s="1"/>
      <c r="AD3614" s="1"/>
      <c r="AE3614" s="1"/>
      <c r="AF3614" s="1"/>
      <c r="AG3614" s="1"/>
      <c r="AH3614" s="1"/>
    </row>
    <row r="3615" ht="12.75" hidden="1" customHeight="1" outlineLevel="1">
      <c r="A3615" s="17">
        <v>41653.0</v>
      </c>
      <c r="B3615" s="1"/>
      <c r="C3615" s="1" t="s">
        <v>431</v>
      </c>
      <c r="D3615" s="74"/>
      <c r="E3615" s="67"/>
      <c r="F3615" s="75"/>
      <c r="G3615" s="67"/>
      <c r="H3615" s="68"/>
      <c r="I3615" s="76"/>
      <c r="J3615" s="67"/>
      <c r="K3615" s="7" t="s">
        <v>1126</v>
      </c>
      <c r="L3615" s="77"/>
      <c r="M3615" s="79"/>
      <c r="N3615" s="1"/>
      <c r="O3615" s="1"/>
      <c r="P3615" s="1"/>
      <c r="Q3615" s="1"/>
      <c r="R3615" s="1"/>
      <c r="S3615" s="1"/>
      <c r="T3615" s="1"/>
      <c r="U3615" s="1"/>
      <c r="V3615" s="1"/>
      <c r="W3615" s="1"/>
      <c r="X3615" s="1"/>
      <c r="Y3615" s="1"/>
      <c r="Z3615" s="1"/>
      <c r="AA3615" s="1"/>
      <c r="AB3615" s="1"/>
      <c r="AC3615" s="1"/>
      <c r="AD3615" s="1"/>
      <c r="AE3615" s="1"/>
      <c r="AF3615" s="1"/>
      <c r="AG3615" s="1"/>
      <c r="AH3615" s="1"/>
    </row>
    <row r="3616" ht="12.75" hidden="1" customHeight="1" outlineLevel="1">
      <c r="A3616" s="17">
        <v>41653.0</v>
      </c>
      <c r="B3616" s="1"/>
      <c r="C3616" s="1" t="s">
        <v>433</v>
      </c>
      <c r="D3616" s="74"/>
      <c r="E3616" s="67"/>
      <c r="F3616" s="75"/>
      <c r="G3616" s="67"/>
      <c r="H3616" s="68"/>
      <c r="I3616" s="76"/>
      <c r="J3616" s="67"/>
      <c r="K3616" s="7" t="s">
        <v>1103</v>
      </c>
      <c r="L3616" s="77"/>
      <c r="M3616" s="79"/>
      <c r="N3616" s="1"/>
      <c r="O3616" s="1"/>
      <c r="P3616" s="1"/>
      <c r="Q3616" s="1"/>
      <c r="R3616" s="1"/>
      <c r="S3616" s="1"/>
      <c r="T3616" s="1"/>
      <c r="U3616" s="1"/>
      <c r="V3616" s="1"/>
      <c r="W3616" s="1"/>
      <c r="X3616" s="1"/>
      <c r="Y3616" s="1"/>
      <c r="Z3616" s="1"/>
      <c r="AA3616" s="1"/>
      <c r="AB3616" s="1"/>
      <c r="AC3616" s="1"/>
      <c r="AD3616" s="1"/>
      <c r="AE3616" s="1"/>
      <c r="AF3616" s="1"/>
      <c r="AG3616" s="1"/>
      <c r="AH3616" s="1"/>
    </row>
    <row r="3617" ht="12.75" hidden="1" customHeight="1" outlineLevel="1">
      <c r="A3617" s="17">
        <v>41653.0</v>
      </c>
      <c r="B3617" s="1"/>
      <c r="C3617" s="1" t="s">
        <v>435</v>
      </c>
      <c r="D3617" s="74"/>
      <c r="E3617" s="67"/>
      <c r="F3617" s="75"/>
      <c r="G3617" s="67"/>
      <c r="H3617" s="68"/>
      <c r="I3617" s="76"/>
      <c r="J3617" s="67"/>
      <c r="K3617" s="7" t="s">
        <v>1507</v>
      </c>
      <c r="L3617" s="77"/>
      <c r="M3617" s="79"/>
      <c r="N3617" s="1"/>
      <c r="O3617" s="1"/>
      <c r="P3617" s="1"/>
      <c r="Q3617" s="1"/>
      <c r="R3617" s="1"/>
      <c r="S3617" s="1"/>
      <c r="T3617" s="1"/>
      <c r="U3617" s="1"/>
      <c r="V3617" s="1"/>
      <c r="W3617" s="1"/>
      <c r="X3617" s="1"/>
      <c r="Y3617" s="1"/>
      <c r="Z3617" s="1"/>
      <c r="AA3617" s="1"/>
      <c r="AB3617" s="1"/>
      <c r="AC3617" s="1"/>
      <c r="AD3617" s="1"/>
      <c r="AE3617" s="1"/>
      <c r="AF3617" s="1"/>
      <c r="AG3617" s="1"/>
      <c r="AH3617" s="1"/>
    </row>
    <row r="3618" ht="12.75" hidden="1" customHeight="1" outlineLevel="1">
      <c r="A3618" s="17">
        <v>41654.0</v>
      </c>
      <c r="B3618" s="1"/>
      <c r="C3618" s="1" t="s">
        <v>339</v>
      </c>
      <c r="D3618" s="74"/>
      <c r="E3618" s="67"/>
      <c r="F3618" s="75"/>
      <c r="G3618" s="67"/>
      <c r="H3618" s="68"/>
      <c r="I3618" s="76"/>
      <c r="J3618" s="67"/>
      <c r="K3618" s="7" t="s">
        <v>1531</v>
      </c>
      <c r="L3618" s="77"/>
      <c r="M3618" s="79"/>
      <c r="N3618" s="1"/>
      <c r="O3618" s="1"/>
      <c r="P3618" s="1"/>
      <c r="Q3618" s="1"/>
      <c r="R3618" s="1"/>
      <c r="S3618" s="1"/>
      <c r="T3618" s="1"/>
      <c r="U3618" s="1"/>
      <c r="V3618" s="1"/>
      <c r="W3618" s="1"/>
      <c r="X3618" s="1"/>
      <c r="Y3618" s="1"/>
      <c r="Z3618" s="1"/>
      <c r="AA3618" s="1"/>
      <c r="AB3618" s="1"/>
      <c r="AC3618" s="1"/>
      <c r="AD3618" s="1"/>
      <c r="AE3618" s="1"/>
      <c r="AF3618" s="1"/>
      <c r="AG3618" s="1"/>
      <c r="AH3618" s="1"/>
    </row>
    <row r="3619" ht="12.75" hidden="1" customHeight="1" outlineLevel="1">
      <c r="A3619" s="17">
        <v>41654.0</v>
      </c>
      <c r="B3619" s="1"/>
      <c r="C3619" s="1" t="s">
        <v>429</v>
      </c>
      <c r="D3619" s="74"/>
      <c r="E3619" s="67"/>
      <c r="F3619" s="75"/>
      <c r="G3619" s="67"/>
      <c r="H3619" s="68"/>
      <c r="I3619" s="76"/>
      <c r="J3619" s="67"/>
      <c r="K3619" s="7" t="s">
        <v>1034</v>
      </c>
      <c r="L3619" s="77"/>
      <c r="M3619" s="79"/>
      <c r="N3619" s="1"/>
      <c r="O3619" s="1"/>
      <c r="P3619" s="1"/>
      <c r="Q3619" s="1"/>
      <c r="R3619" s="1"/>
      <c r="S3619" s="1"/>
      <c r="T3619" s="1"/>
      <c r="U3619" s="1"/>
      <c r="V3619" s="1"/>
      <c r="W3619" s="1"/>
      <c r="X3619" s="1"/>
      <c r="Y3619" s="1"/>
      <c r="Z3619" s="1"/>
      <c r="AA3619" s="1"/>
      <c r="AB3619" s="1"/>
      <c r="AC3619" s="1"/>
      <c r="AD3619" s="1"/>
      <c r="AE3619" s="1"/>
      <c r="AF3619" s="1"/>
      <c r="AG3619" s="1"/>
      <c r="AH3619" s="1"/>
    </row>
    <row r="3620" ht="12.75" hidden="1" customHeight="1" outlineLevel="1">
      <c r="A3620" s="17">
        <v>41654.0</v>
      </c>
      <c r="B3620" s="1"/>
      <c r="C3620" s="1" t="s">
        <v>431</v>
      </c>
      <c r="D3620" s="74"/>
      <c r="E3620" s="67"/>
      <c r="F3620" s="75"/>
      <c r="G3620" s="67"/>
      <c r="H3620" s="68"/>
      <c r="I3620" s="76"/>
      <c r="J3620" s="67"/>
      <c r="K3620" s="7" t="s">
        <v>1126</v>
      </c>
      <c r="L3620" s="77"/>
      <c r="M3620" s="79"/>
      <c r="N3620" s="1"/>
      <c r="O3620" s="1"/>
      <c r="P3620" s="1"/>
      <c r="Q3620" s="1"/>
      <c r="R3620" s="1"/>
      <c r="S3620" s="1"/>
      <c r="T3620" s="1"/>
      <c r="U3620" s="1"/>
      <c r="V3620" s="1"/>
      <c r="W3620" s="1"/>
      <c r="X3620" s="1"/>
      <c r="Y3620" s="1"/>
      <c r="Z3620" s="1"/>
      <c r="AA3620" s="1"/>
      <c r="AB3620" s="1"/>
      <c r="AC3620" s="1"/>
      <c r="AD3620" s="1"/>
      <c r="AE3620" s="1"/>
      <c r="AF3620" s="1"/>
      <c r="AG3620" s="1"/>
      <c r="AH3620" s="1"/>
    </row>
    <row r="3621" ht="12.75" hidden="1" customHeight="1" outlineLevel="1">
      <c r="A3621" s="17">
        <v>41654.0</v>
      </c>
      <c r="B3621" s="1"/>
      <c r="C3621" s="1" t="s">
        <v>433</v>
      </c>
      <c r="D3621" s="74"/>
      <c r="E3621" s="67"/>
      <c r="F3621" s="75"/>
      <c r="G3621" s="67"/>
      <c r="H3621" s="68"/>
      <c r="I3621" s="76"/>
      <c r="J3621" s="67"/>
      <c r="K3621" s="7" t="s">
        <v>1103</v>
      </c>
      <c r="L3621" s="77"/>
      <c r="M3621" s="79"/>
      <c r="N3621" s="1"/>
      <c r="O3621" s="1"/>
      <c r="P3621" s="1"/>
      <c r="Q3621" s="1"/>
      <c r="R3621" s="1"/>
      <c r="S3621" s="1"/>
      <c r="T3621" s="1"/>
      <c r="U3621" s="1"/>
      <c r="V3621" s="1"/>
      <c r="W3621" s="1"/>
      <c r="X3621" s="1"/>
      <c r="Y3621" s="1"/>
      <c r="Z3621" s="1"/>
      <c r="AA3621" s="1"/>
      <c r="AB3621" s="1"/>
      <c r="AC3621" s="1"/>
      <c r="AD3621" s="1"/>
      <c r="AE3621" s="1"/>
      <c r="AF3621" s="1"/>
      <c r="AG3621" s="1"/>
      <c r="AH3621" s="1"/>
    </row>
    <row r="3622" ht="12.75" hidden="1" customHeight="1" outlineLevel="1">
      <c r="A3622" s="17">
        <v>41654.0</v>
      </c>
      <c r="B3622" s="1"/>
      <c r="C3622" s="1" t="s">
        <v>435</v>
      </c>
      <c r="D3622" s="74"/>
      <c r="E3622" s="67"/>
      <c r="F3622" s="75"/>
      <c r="G3622" s="67"/>
      <c r="H3622" s="68"/>
      <c r="I3622" s="76"/>
      <c r="J3622" s="67"/>
      <c r="K3622" s="7" t="s">
        <v>1507</v>
      </c>
      <c r="L3622" s="77"/>
      <c r="M3622" s="79"/>
      <c r="N3622" s="1"/>
      <c r="O3622" s="1"/>
      <c r="P3622" s="1"/>
      <c r="Q3622" s="1"/>
      <c r="R3622" s="1"/>
      <c r="S3622" s="1"/>
      <c r="T3622" s="1"/>
      <c r="U3622" s="1"/>
      <c r="V3622" s="1"/>
      <c r="W3622" s="1"/>
      <c r="X3622" s="1"/>
      <c r="Y3622" s="1"/>
      <c r="Z3622" s="1"/>
      <c r="AA3622" s="1"/>
      <c r="AB3622" s="1"/>
      <c r="AC3622" s="1"/>
      <c r="AD3622" s="1"/>
      <c r="AE3622" s="1"/>
      <c r="AF3622" s="1"/>
      <c r="AG3622" s="1"/>
      <c r="AH3622" s="1"/>
    </row>
    <row r="3623" ht="12.75" hidden="1" customHeight="1" outlineLevel="1">
      <c r="A3623" s="17">
        <v>41654.0</v>
      </c>
      <c r="B3623" s="1" t="s">
        <v>343</v>
      </c>
      <c r="C3623" s="1" t="s">
        <v>1357</v>
      </c>
      <c r="D3623" s="74">
        <v>275.0</v>
      </c>
      <c r="E3623" s="67">
        <v>108.71</v>
      </c>
      <c r="F3623" s="75">
        <v>0.41050925925925924</v>
      </c>
      <c r="G3623" s="67" t="s">
        <v>453</v>
      </c>
      <c r="H3623" s="68">
        <v>1.38</v>
      </c>
      <c r="I3623" s="76"/>
      <c r="J3623" s="67">
        <f t="shared" ref="J3623:J3627" si="238">IF(B3623="SLD",D3623*E3623,-D3623*E3623)-H3623</f>
        <v>-29896.63</v>
      </c>
      <c r="K3623" s="7"/>
      <c r="L3623" s="70"/>
      <c r="M3623" s="79"/>
      <c r="N3623" s="1"/>
      <c r="O3623" s="1"/>
      <c r="P3623" s="1"/>
      <c r="Q3623" s="1"/>
      <c r="R3623" s="1"/>
      <c r="S3623" s="1"/>
      <c r="T3623" s="1"/>
      <c r="U3623" s="1"/>
      <c r="V3623" s="1"/>
      <c r="W3623" s="1"/>
      <c r="X3623" s="1"/>
      <c r="Y3623" s="1"/>
      <c r="Z3623" s="1"/>
      <c r="AA3623" s="1"/>
      <c r="AB3623" s="1"/>
      <c r="AC3623" s="1"/>
      <c r="AD3623" s="1"/>
      <c r="AE3623" s="1"/>
      <c r="AF3623" s="1"/>
      <c r="AG3623" s="1"/>
      <c r="AH3623" s="1"/>
    </row>
    <row r="3624" ht="12.75" hidden="1" customHeight="1" outlineLevel="1">
      <c r="A3624" s="17">
        <v>41654.0</v>
      </c>
      <c r="B3624" s="1" t="s">
        <v>343</v>
      </c>
      <c r="C3624" s="1" t="s">
        <v>1370</v>
      </c>
      <c r="D3624" s="74">
        <v>350.0</v>
      </c>
      <c r="E3624" s="67">
        <v>63.87</v>
      </c>
      <c r="F3624" s="75">
        <v>0.4109027777777778</v>
      </c>
      <c r="G3624" s="67" t="s">
        <v>453</v>
      </c>
      <c r="H3624" s="68">
        <v>1.65</v>
      </c>
      <c r="I3624" s="76"/>
      <c r="J3624" s="67">
        <f t="shared" si="238"/>
        <v>-22356.15</v>
      </c>
      <c r="K3624" s="7"/>
      <c r="L3624" s="70"/>
      <c r="M3624" s="79"/>
      <c r="N3624" s="1"/>
      <c r="O3624" s="1"/>
      <c r="P3624" s="1"/>
      <c r="Q3624" s="1"/>
      <c r="R3624" s="1"/>
      <c r="S3624" s="1"/>
      <c r="T3624" s="1"/>
      <c r="U3624" s="1"/>
      <c r="V3624" s="1"/>
      <c r="W3624" s="1"/>
      <c r="X3624" s="1"/>
      <c r="Y3624" s="1"/>
      <c r="Z3624" s="1"/>
      <c r="AA3624" s="1"/>
      <c r="AB3624" s="1"/>
      <c r="AC3624" s="1"/>
      <c r="AD3624" s="1"/>
      <c r="AE3624" s="1"/>
      <c r="AF3624" s="1"/>
      <c r="AG3624" s="1"/>
      <c r="AH3624" s="1"/>
    </row>
    <row r="3625" ht="12.75" hidden="1" customHeight="1" outlineLevel="1">
      <c r="A3625" s="17">
        <v>41654.0</v>
      </c>
      <c r="B3625" s="1" t="s">
        <v>347</v>
      </c>
      <c r="C3625" s="1" t="s">
        <v>870</v>
      </c>
      <c r="D3625" s="74">
        <v>125.0</v>
      </c>
      <c r="E3625" s="67">
        <v>85.34</v>
      </c>
      <c r="F3625" s="75">
        <v>0.5543171296296296</v>
      </c>
      <c r="G3625" s="67" t="s">
        <v>453</v>
      </c>
      <c r="H3625" s="68">
        <v>1.19</v>
      </c>
      <c r="I3625" s="76"/>
      <c r="J3625" s="67">
        <f t="shared" si="238"/>
        <v>10666.31</v>
      </c>
      <c r="K3625" s="7"/>
      <c r="L3625" s="70"/>
      <c r="M3625" s="79"/>
      <c r="N3625" s="1"/>
      <c r="O3625" s="1"/>
      <c r="P3625" s="1"/>
      <c r="Q3625" s="1"/>
      <c r="R3625" s="1"/>
      <c r="S3625" s="1"/>
      <c r="T3625" s="1"/>
      <c r="U3625" s="1"/>
      <c r="V3625" s="1"/>
      <c r="W3625" s="1"/>
      <c r="X3625" s="1"/>
      <c r="Y3625" s="1"/>
      <c r="Z3625" s="1"/>
      <c r="AA3625" s="1"/>
      <c r="AB3625" s="1"/>
      <c r="AC3625" s="1"/>
      <c r="AD3625" s="1"/>
      <c r="AE3625" s="1"/>
      <c r="AF3625" s="1"/>
      <c r="AG3625" s="1"/>
      <c r="AH3625" s="1"/>
    </row>
    <row r="3626" ht="12.75" hidden="1" customHeight="1" outlineLevel="1">
      <c r="A3626" s="17">
        <v>41654.0</v>
      </c>
      <c r="B3626" s="1" t="s">
        <v>347</v>
      </c>
      <c r="C3626" s="1" t="s">
        <v>605</v>
      </c>
      <c r="D3626" s="74">
        <v>150.0</v>
      </c>
      <c r="E3626" s="67">
        <v>74.917</v>
      </c>
      <c r="F3626" s="75">
        <v>0.554675925925926</v>
      </c>
      <c r="G3626" s="67" t="s">
        <v>453</v>
      </c>
      <c r="H3626" s="68">
        <v>1.2</v>
      </c>
      <c r="I3626" s="76"/>
      <c r="J3626" s="67">
        <f t="shared" si="238"/>
        <v>11236.35</v>
      </c>
      <c r="K3626" s="7"/>
      <c r="L3626" s="70"/>
      <c r="M3626" s="79"/>
      <c r="N3626" s="1"/>
      <c r="O3626" s="1"/>
      <c r="P3626" s="1"/>
      <c r="Q3626" s="1"/>
      <c r="R3626" s="1"/>
      <c r="S3626" s="1"/>
      <c r="T3626" s="1"/>
      <c r="U3626" s="1"/>
      <c r="V3626" s="1"/>
      <c r="W3626" s="1"/>
      <c r="X3626" s="1"/>
      <c r="Y3626" s="1"/>
      <c r="Z3626" s="1"/>
      <c r="AA3626" s="1"/>
      <c r="AB3626" s="1"/>
      <c r="AC3626" s="1"/>
      <c r="AD3626" s="1"/>
      <c r="AE3626" s="1"/>
      <c r="AF3626" s="1"/>
      <c r="AG3626" s="1"/>
      <c r="AH3626" s="1"/>
    </row>
    <row r="3627" ht="12.75" hidden="1" customHeight="1" outlineLevel="1">
      <c r="A3627" s="17">
        <v>41654.0</v>
      </c>
      <c r="B3627" s="1" t="s">
        <v>347</v>
      </c>
      <c r="C3627" s="1" t="s">
        <v>1220</v>
      </c>
      <c r="D3627" s="74">
        <v>200.0</v>
      </c>
      <c r="E3627" s="67">
        <v>93.03</v>
      </c>
      <c r="F3627" s="75">
        <v>0.5895370370370371</v>
      </c>
      <c r="G3627" s="67" t="s">
        <v>453</v>
      </c>
      <c r="H3627" s="68">
        <v>1.32</v>
      </c>
      <c r="I3627" s="76"/>
      <c r="J3627" s="67">
        <f t="shared" si="238"/>
        <v>18604.68</v>
      </c>
      <c r="K3627" s="7"/>
      <c r="L3627" s="70"/>
      <c r="M3627" s="79"/>
      <c r="N3627" s="1"/>
      <c r="O3627" s="1"/>
      <c r="P3627" s="1"/>
      <c r="Q3627" s="1"/>
      <c r="R3627" s="1"/>
      <c r="S3627" s="1"/>
      <c r="T3627" s="1"/>
      <c r="U3627" s="1"/>
      <c r="V3627" s="1"/>
      <c r="W3627" s="1"/>
      <c r="X3627" s="1"/>
      <c r="Y3627" s="1"/>
      <c r="Z3627" s="1"/>
      <c r="AA3627" s="1"/>
      <c r="AB3627" s="1"/>
      <c r="AC3627" s="1"/>
      <c r="AD3627" s="1"/>
      <c r="AE3627" s="1"/>
      <c r="AF3627" s="1"/>
      <c r="AG3627" s="1"/>
      <c r="AH3627" s="1"/>
    </row>
    <row r="3628" ht="12.75" hidden="1" customHeight="1" outlineLevel="1">
      <c r="A3628" s="17">
        <v>41654.0</v>
      </c>
      <c r="B3628" s="1"/>
      <c r="C3628" s="1" t="s">
        <v>339</v>
      </c>
      <c r="D3628" s="74"/>
      <c r="E3628" s="67"/>
      <c r="F3628" s="75"/>
      <c r="G3628" s="67"/>
      <c r="H3628" s="68"/>
      <c r="I3628" s="76"/>
      <c r="J3628" s="67"/>
      <c r="K3628" s="7" t="s">
        <v>1538</v>
      </c>
      <c r="L3628" s="77"/>
      <c r="M3628" s="79"/>
      <c r="N3628" s="1"/>
      <c r="O3628" s="1"/>
      <c r="P3628" s="1"/>
      <c r="Q3628" s="1"/>
      <c r="R3628" s="1"/>
      <c r="S3628" s="1"/>
      <c r="T3628" s="1"/>
      <c r="U3628" s="1"/>
      <c r="V3628" s="1"/>
      <c r="W3628" s="1"/>
      <c r="X3628" s="1"/>
      <c r="Y3628" s="1"/>
      <c r="Z3628" s="1"/>
      <c r="AA3628" s="1"/>
      <c r="AB3628" s="1"/>
      <c r="AC3628" s="1"/>
      <c r="AD3628" s="1"/>
      <c r="AE3628" s="1"/>
      <c r="AF3628" s="1"/>
      <c r="AG3628" s="1"/>
      <c r="AH3628" s="1"/>
    </row>
    <row r="3629" ht="12.75" hidden="1" customHeight="1" outlineLevel="1">
      <c r="A3629" s="17">
        <v>41654.0</v>
      </c>
      <c r="B3629" s="1"/>
      <c r="C3629" s="1" t="s">
        <v>429</v>
      </c>
      <c r="D3629" s="74"/>
      <c r="E3629" s="67"/>
      <c r="F3629" s="75"/>
      <c r="G3629" s="67"/>
      <c r="H3629" s="68"/>
      <c r="I3629" s="76"/>
      <c r="J3629" s="67"/>
      <c r="K3629" s="7" t="s">
        <v>1034</v>
      </c>
      <c r="L3629" s="77"/>
      <c r="M3629" s="79"/>
      <c r="N3629" s="1"/>
      <c r="O3629" s="1"/>
      <c r="P3629" s="1"/>
      <c r="Q3629" s="1"/>
      <c r="R3629" s="1"/>
      <c r="S3629" s="1"/>
      <c r="T3629" s="1"/>
      <c r="U3629" s="1"/>
      <c r="V3629" s="1"/>
      <c r="W3629" s="1"/>
      <c r="X3629" s="1"/>
      <c r="Y3629" s="1"/>
      <c r="Z3629" s="1"/>
      <c r="AA3629" s="1"/>
      <c r="AB3629" s="1"/>
      <c r="AC3629" s="1"/>
      <c r="AD3629" s="1"/>
      <c r="AE3629" s="1"/>
      <c r="AF3629" s="1"/>
      <c r="AG3629" s="1"/>
      <c r="AH3629" s="1"/>
    </row>
    <row r="3630" ht="12.75" hidden="1" customHeight="1" outlineLevel="1">
      <c r="A3630" s="17">
        <v>41654.0</v>
      </c>
      <c r="B3630" s="1"/>
      <c r="C3630" s="1" t="s">
        <v>431</v>
      </c>
      <c r="D3630" s="74"/>
      <c r="E3630" s="67"/>
      <c r="F3630" s="75"/>
      <c r="G3630" s="67"/>
      <c r="H3630" s="68"/>
      <c r="I3630" s="76"/>
      <c r="J3630" s="67"/>
      <c r="K3630" s="7" t="s">
        <v>1126</v>
      </c>
      <c r="L3630" s="77"/>
      <c r="M3630" s="79"/>
      <c r="N3630" s="1"/>
      <c r="O3630" s="1"/>
      <c r="P3630" s="1"/>
      <c r="Q3630" s="1"/>
      <c r="R3630" s="1"/>
      <c r="S3630" s="1"/>
      <c r="T3630" s="1"/>
      <c r="U3630" s="1"/>
      <c r="V3630" s="1"/>
      <c r="W3630" s="1"/>
      <c r="X3630" s="1"/>
      <c r="Y3630" s="1"/>
      <c r="Z3630" s="1"/>
      <c r="AA3630" s="1"/>
      <c r="AB3630" s="1"/>
      <c r="AC3630" s="1"/>
      <c r="AD3630" s="1"/>
      <c r="AE3630" s="1"/>
      <c r="AF3630" s="1"/>
      <c r="AG3630" s="1"/>
      <c r="AH3630" s="1"/>
    </row>
    <row r="3631" ht="12.75" hidden="1" customHeight="1" outlineLevel="1">
      <c r="A3631" s="17">
        <v>41654.0</v>
      </c>
      <c r="B3631" s="1"/>
      <c r="C3631" s="1" t="s">
        <v>433</v>
      </c>
      <c r="D3631" s="74"/>
      <c r="E3631" s="67"/>
      <c r="F3631" s="75"/>
      <c r="G3631" s="67"/>
      <c r="H3631" s="68"/>
      <c r="I3631" s="76"/>
      <c r="J3631" s="67"/>
      <c r="K3631" s="7" t="s">
        <v>1103</v>
      </c>
      <c r="L3631" s="77"/>
      <c r="M3631" s="79"/>
      <c r="N3631" s="1"/>
      <c r="O3631" s="1"/>
      <c r="P3631" s="1"/>
      <c r="Q3631" s="1"/>
      <c r="R3631" s="1"/>
      <c r="S3631" s="1"/>
      <c r="T3631" s="1"/>
      <c r="U3631" s="1"/>
      <c r="V3631" s="1"/>
      <c r="W3631" s="1"/>
      <c r="X3631" s="1"/>
      <c r="Y3631" s="1"/>
      <c r="Z3631" s="1"/>
      <c r="AA3631" s="1"/>
      <c r="AB3631" s="1"/>
      <c r="AC3631" s="1"/>
      <c r="AD3631" s="1"/>
      <c r="AE3631" s="1"/>
      <c r="AF3631" s="1"/>
      <c r="AG3631" s="1"/>
      <c r="AH3631" s="1"/>
    </row>
    <row r="3632" ht="12.75" hidden="1" customHeight="1" outlineLevel="1">
      <c r="A3632" s="17">
        <v>41654.0</v>
      </c>
      <c r="B3632" s="1"/>
      <c r="C3632" s="1" t="s">
        <v>435</v>
      </c>
      <c r="D3632" s="74"/>
      <c r="E3632" s="67"/>
      <c r="F3632" s="75"/>
      <c r="G3632" s="67"/>
      <c r="H3632" s="68"/>
      <c r="I3632" s="76"/>
      <c r="J3632" s="67"/>
      <c r="K3632" s="7" t="s">
        <v>1507</v>
      </c>
      <c r="L3632" s="77"/>
      <c r="M3632" s="79"/>
      <c r="N3632" s="1"/>
      <c r="O3632" s="1"/>
      <c r="P3632" s="1"/>
      <c r="Q3632" s="1"/>
      <c r="R3632" s="1"/>
      <c r="S3632" s="1"/>
      <c r="T3632" s="1"/>
      <c r="U3632" s="1"/>
      <c r="V3632" s="1"/>
      <c r="W3632" s="1"/>
      <c r="X3632" s="1"/>
      <c r="Y3632" s="1"/>
      <c r="Z3632" s="1"/>
      <c r="AA3632" s="1"/>
      <c r="AB3632" s="1"/>
      <c r="AC3632" s="1"/>
      <c r="AD3632" s="1"/>
      <c r="AE3632" s="1"/>
      <c r="AF3632" s="1"/>
      <c r="AG3632" s="1"/>
      <c r="AH3632" s="1"/>
    </row>
    <row r="3633" ht="12.75" hidden="1" customHeight="1" outlineLevel="1">
      <c r="A3633" s="17">
        <v>41655.0</v>
      </c>
      <c r="B3633" s="1"/>
      <c r="C3633" s="1" t="s">
        <v>339</v>
      </c>
      <c r="D3633" s="74"/>
      <c r="E3633" s="67"/>
      <c r="F3633" s="75"/>
      <c r="G3633" s="67"/>
      <c r="H3633" s="68"/>
      <c r="I3633" s="76"/>
      <c r="J3633" s="67"/>
      <c r="K3633" s="7" t="s">
        <v>1540</v>
      </c>
      <c r="L3633" s="77"/>
      <c r="M3633" s="79"/>
      <c r="N3633" s="1"/>
      <c r="O3633" s="1"/>
      <c r="P3633" s="1"/>
      <c r="Q3633" s="1"/>
      <c r="R3633" s="1"/>
      <c r="S3633" s="1"/>
      <c r="T3633" s="1"/>
      <c r="U3633" s="1"/>
      <c r="V3633" s="1"/>
      <c r="W3633" s="1"/>
      <c r="X3633" s="1"/>
      <c r="Y3633" s="1"/>
      <c r="Z3633" s="1"/>
      <c r="AA3633" s="1"/>
      <c r="AB3633" s="1"/>
      <c r="AC3633" s="1"/>
      <c r="AD3633" s="1"/>
      <c r="AE3633" s="1"/>
      <c r="AF3633" s="1"/>
      <c r="AG3633" s="1"/>
      <c r="AH3633" s="1"/>
    </row>
    <row r="3634" ht="12.75" hidden="1" customHeight="1" outlineLevel="1">
      <c r="A3634" s="17">
        <v>41655.0</v>
      </c>
      <c r="B3634" s="1"/>
      <c r="C3634" s="1" t="s">
        <v>429</v>
      </c>
      <c r="D3634" s="74"/>
      <c r="E3634" s="67"/>
      <c r="F3634" s="75"/>
      <c r="G3634" s="67"/>
      <c r="H3634" s="68"/>
      <c r="I3634" s="76"/>
      <c r="J3634" s="67"/>
      <c r="K3634" s="7" t="s">
        <v>1034</v>
      </c>
      <c r="L3634" s="77"/>
      <c r="M3634" s="79"/>
      <c r="N3634" s="1"/>
      <c r="O3634" s="1"/>
      <c r="P3634" s="1"/>
      <c r="Q3634" s="1"/>
      <c r="R3634" s="1"/>
      <c r="S3634" s="1"/>
      <c r="T3634" s="1"/>
      <c r="U3634" s="1"/>
      <c r="V3634" s="1"/>
      <c r="W3634" s="1"/>
      <c r="X3634" s="1"/>
      <c r="Y3634" s="1"/>
      <c r="Z3634" s="1"/>
      <c r="AA3634" s="1"/>
      <c r="AB3634" s="1"/>
      <c r="AC3634" s="1"/>
      <c r="AD3634" s="1"/>
      <c r="AE3634" s="1"/>
      <c r="AF3634" s="1"/>
      <c r="AG3634" s="1"/>
      <c r="AH3634" s="1"/>
    </row>
    <row r="3635" ht="12.75" hidden="1" customHeight="1" outlineLevel="1">
      <c r="A3635" s="17">
        <v>41655.0</v>
      </c>
      <c r="B3635" s="1"/>
      <c r="C3635" s="1" t="s">
        <v>431</v>
      </c>
      <c r="D3635" s="74"/>
      <c r="E3635" s="67"/>
      <c r="F3635" s="75"/>
      <c r="G3635" s="67"/>
      <c r="H3635" s="68"/>
      <c r="I3635" s="76"/>
      <c r="J3635" s="67"/>
      <c r="K3635" s="7" t="s">
        <v>1126</v>
      </c>
      <c r="L3635" s="77"/>
      <c r="M3635" s="79"/>
      <c r="N3635" s="1"/>
      <c r="O3635" s="1"/>
      <c r="P3635" s="1"/>
      <c r="Q3635" s="1"/>
      <c r="R3635" s="1"/>
      <c r="S3635" s="1"/>
      <c r="T3635" s="1"/>
      <c r="U3635" s="1"/>
      <c r="V3635" s="1"/>
      <c r="W3635" s="1"/>
      <c r="X3635" s="1"/>
      <c r="Y3635" s="1"/>
      <c r="Z3635" s="1"/>
      <c r="AA3635" s="1"/>
      <c r="AB3635" s="1"/>
      <c r="AC3635" s="1"/>
      <c r="AD3635" s="1"/>
      <c r="AE3635" s="1"/>
      <c r="AF3635" s="1"/>
      <c r="AG3635" s="1"/>
      <c r="AH3635" s="1"/>
    </row>
    <row r="3636" ht="12.75" hidden="1" customHeight="1" outlineLevel="1">
      <c r="A3636" s="17">
        <v>41655.0</v>
      </c>
      <c r="B3636" s="1"/>
      <c r="C3636" s="1" t="s">
        <v>433</v>
      </c>
      <c r="D3636" s="74"/>
      <c r="E3636" s="67"/>
      <c r="F3636" s="75"/>
      <c r="G3636" s="67"/>
      <c r="H3636" s="68"/>
      <c r="I3636" s="76"/>
      <c r="J3636" s="67"/>
      <c r="K3636" s="7" t="s">
        <v>1103</v>
      </c>
      <c r="L3636" s="77"/>
      <c r="M3636" s="79"/>
      <c r="N3636" s="1"/>
      <c r="O3636" s="1"/>
      <c r="P3636" s="1"/>
      <c r="Q3636" s="1"/>
      <c r="R3636" s="1"/>
      <c r="S3636" s="1"/>
      <c r="T3636" s="1"/>
      <c r="U3636" s="1"/>
      <c r="V3636" s="1"/>
      <c r="W3636" s="1"/>
      <c r="X3636" s="1"/>
      <c r="Y3636" s="1"/>
      <c r="Z3636" s="1"/>
      <c r="AA3636" s="1"/>
      <c r="AB3636" s="1"/>
      <c r="AC3636" s="1"/>
      <c r="AD3636" s="1"/>
      <c r="AE3636" s="1"/>
      <c r="AF3636" s="1"/>
      <c r="AG3636" s="1"/>
      <c r="AH3636" s="1"/>
    </row>
    <row r="3637" ht="12.75" hidden="1" customHeight="1" outlineLevel="1">
      <c r="A3637" s="17">
        <v>41655.0</v>
      </c>
      <c r="B3637" s="1"/>
      <c r="C3637" s="1" t="s">
        <v>435</v>
      </c>
      <c r="D3637" s="74"/>
      <c r="E3637" s="67"/>
      <c r="F3637" s="75"/>
      <c r="G3637" s="67"/>
      <c r="H3637" s="68"/>
      <c r="I3637" s="76"/>
      <c r="J3637" s="67"/>
      <c r="K3637" s="7" t="s">
        <v>1507</v>
      </c>
      <c r="L3637" s="77"/>
      <c r="M3637" s="79"/>
      <c r="N3637" s="1"/>
      <c r="O3637" s="1"/>
      <c r="P3637" s="1"/>
      <c r="Q3637" s="1"/>
      <c r="R3637" s="1"/>
      <c r="S3637" s="1"/>
      <c r="T3637" s="1"/>
      <c r="U3637" s="1"/>
      <c r="V3637" s="1"/>
      <c r="W3637" s="1"/>
      <c r="X3637" s="1"/>
      <c r="Y3637" s="1"/>
      <c r="Z3637" s="1"/>
      <c r="AA3637" s="1"/>
      <c r="AB3637" s="1"/>
      <c r="AC3637" s="1"/>
      <c r="AD3637" s="1"/>
      <c r="AE3637" s="1"/>
      <c r="AF3637" s="1"/>
      <c r="AG3637" s="1"/>
      <c r="AH3637" s="1"/>
    </row>
    <row r="3638" ht="12.75" hidden="1" customHeight="1" outlineLevel="1">
      <c r="A3638" s="17">
        <v>41655.0</v>
      </c>
      <c r="B3638" s="1" t="s">
        <v>343</v>
      </c>
      <c r="C3638" s="1" t="s">
        <v>354</v>
      </c>
      <c r="D3638" s="74">
        <v>100.0</v>
      </c>
      <c r="E3638" s="67">
        <v>155.5</v>
      </c>
      <c r="F3638" s="75">
        <v>0.5973263888888889</v>
      </c>
      <c r="G3638" s="67" t="s">
        <v>453</v>
      </c>
      <c r="H3638" s="68">
        <v>1.0</v>
      </c>
      <c r="I3638" s="76"/>
      <c r="J3638" s="67">
        <f t="shared" ref="J3638:J3642" si="239">IF(B3638="SLD",D3638*E3638,-D3638*E3638)-H3638</f>
        <v>-15551</v>
      </c>
      <c r="K3638" s="7"/>
      <c r="L3638" s="70"/>
      <c r="M3638" s="79"/>
      <c r="N3638" s="1"/>
      <c r="O3638" s="1"/>
      <c r="P3638" s="1"/>
      <c r="Q3638" s="1"/>
      <c r="R3638" s="1"/>
      <c r="S3638" s="1"/>
      <c r="T3638" s="1"/>
      <c r="U3638" s="1"/>
      <c r="V3638" s="1"/>
      <c r="W3638" s="1"/>
      <c r="X3638" s="1"/>
      <c r="Y3638" s="1"/>
      <c r="Z3638" s="1"/>
      <c r="AA3638" s="1"/>
      <c r="AB3638" s="1"/>
      <c r="AC3638" s="1"/>
      <c r="AD3638" s="1"/>
      <c r="AE3638" s="1"/>
      <c r="AF3638" s="1"/>
      <c r="AG3638" s="1"/>
      <c r="AH3638" s="1"/>
    </row>
    <row r="3639" ht="12.75" hidden="1" customHeight="1" outlineLevel="1">
      <c r="A3639" s="17">
        <v>41655.0</v>
      </c>
      <c r="B3639" s="1" t="s">
        <v>343</v>
      </c>
      <c r="C3639" s="1" t="s">
        <v>1371</v>
      </c>
      <c r="D3639" s="74">
        <v>150.0</v>
      </c>
      <c r="E3639" s="67">
        <v>51.18</v>
      </c>
      <c r="F3639" s="75">
        <v>0.5975231481481481</v>
      </c>
      <c r="G3639" s="67" t="s">
        <v>453</v>
      </c>
      <c r="H3639" s="68">
        <v>1.0</v>
      </c>
      <c r="I3639" s="76"/>
      <c r="J3639" s="67">
        <f t="shared" si="239"/>
        <v>-7678</v>
      </c>
      <c r="K3639" s="7"/>
      <c r="L3639" s="70"/>
      <c r="M3639" s="79"/>
      <c r="N3639" s="1"/>
      <c r="O3639" s="1"/>
      <c r="P3639" s="1"/>
      <c r="Q3639" s="1"/>
      <c r="R3639" s="1"/>
      <c r="S3639" s="1"/>
      <c r="T3639" s="1"/>
      <c r="U3639" s="1"/>
      <c r="V3639" s="1"/>
      <c r="W3639" s="1"/>
      <c r="X3639" s="1"/>
      <c r="Y3639" s="1"/>
      <c r="Z3639" s="1"/>
      <c r="AA3639" s="1"/>
      <c r="AB3639" s="1"/>
      <c r="AC3639" s="1"/>
      <c r="AD3639" s="1"/>
      <c r="AE3639" s="1"/>
      <c r="AF3639" s="1"/>
      <c r="AG3639" s="1"/>
      <c r="AH3639" s="1"/>
    </row>
    <row r="3640" ht="12.75" hidden="1" customHeight="1" outlineLevel="1">
      <c r="A3640" s="17">
        <v>41655.0</v>
      </c>
      <c r="B3640" s="1" t="s">
        <v>343</v>
      </c>
      <c r="C3640" s="1" t="s">
        <v>1369</v>
      </c>
      <c r="D3640" s="74">
        <v>2000.0</v>
      </c>
      <c r="E3640" s="67">
        <v>15.706</v>
      </c>
      <c r="F3640" s="75">
        <v>0.6446643518518519</v>
      </c>
      <c r="G3640" s="67" t="s">
        <v>453</v>
      </c>
      <c r="H3640" s="68">
        <v>8.3</v>
      </c>
      <c r="I3640" s="76"/>
      <c r="J3640" s="67">
        <f t="shared" si="239"/>
        <v>-31420.3</v>
      </c>
      <c r="K3640" s="7"/>
      <c r="L3640" s="70"/>
      <c r="M3640" s="79"/>
      <c r="N3640" s="1"/>
      <c r="O3640" s="1"/>
      <c r="P3640" s="1"/>
      <c r="Q3640" s="1"/>
      <c r="R3640" s="1"/>
      <c r="S3640" s="1"/>
      <c r="T3640" s="1"/>
      <c r="U3640" s="1"/>
      <c r="V3640" s="1"/>
      <c r="W3640" s="1"/>
      <c r="X3640" s="1"/>
      <c r="Y3640" s="1"/>
      <c r="Z3640" s="1"/>
      <c r="AA3640" s="1"/>
      <c r="AB3640" s="1"/>
      <c r="AC3640" s="1"/>
      <c r="AD3640" s="1"/>
      <c r="AE3640" s="1"/>
      <c r="AF3640" s="1"/>
      <c r="AG3640" s="1"/>
      <c r="AH3640" s="1"/>
    </row>
    <row r="3641" ht="12.75" hidden="1" customHeight="1" outlineLevel="1">
      <c r="A3641" s="17">
        <v>41655.0</v>
      </c>
      <c r="B3641" s="1" t="s">
        <v>343</v>
      </c>
      <c r="C3641" s="1" t="s">
        <v>890</v>
      </c>
      <c r="D3641" s="74">
        <v>1600.0</v>
      </c>
      <c r="E3641" s="67">
        <v>17.04</v>
      </c>
      <c r="F3641" s="75">
        <v>0.6559490740740741</v>
      </c>
      <c r="G3641" s="67" t="s">
        <v>453</v>
      </c>
      <c r="H3641" s="68">
        <v>6.4</v>
      </c>
      <c r="I3641" s="76"/>
      <c r="J3641" s="67">
        <f t="shared" si="239"/>
        <v>-27270.4</v>
      </c>
      <c r="K3641" s="7"/>
      <c r="L3641" s="70"/>
      <c r="M3641" s="79"/>
      <c r="N3641" s="1"/>
      <c r="O3641" s="1"/>
      <c r="P3641" s="1"/>
      <c r="Q3641" s="1"/>
      <c r="R3641" s="1"/>
      <c r="S3641" s="1"/>
      <c r="T3641" s="1"/>
      <c r="U3641" s="1"/>
      <c r="V3641" s="1"/>
      <c r="W3641" s="1"/>
      <c r="X3641" s="1"/>
      <c r="Y3641" s="1"/>
      <c r="Z3641" s="1"/>
      <c r="AA3641" s="1"/>
      <c r="AB3641" s="1"/>
      <c r="AC3641" s="1"/>
      <c r="AD3641" s="1"/>
      <c r="AE3641" s="1"/>
      <c r="AF3641" s="1"/>
      <c r="AG3641" s="1"/>
      <c r="AH3641" s="1"/>
    </row>
    <row r="3642" ht="12.75" hidden="1" customHeight="1" outlineLevel="1">
      <c r="A3642" s="17">
        <v>41655.0</v>
      </c>
      <c r="B3642" s="1" t="s">
        <v>343</v>
      </c>
      <c r="C3642" s="1" t="s">
        <v>352</v>
      </c>
      <c r="D3642" s="74">
        <v>600.0</v>
      </c>
      <c r="E3642" s="67">
        <v>46.38</v>
      </c>
      <c r="F3642" s="75">
        <v>0.6562037037037037</v>
      </c>
      <c r="G3642" s="67" t="s">
        <v>453</v>
      </c>
      <c r="H3642" s="68">
        <v>3.0</v>
      </c>
      <c r="I3642" s="76"/>
      <c r="J3642" s="67">
        <f t="shared" si="239"/>
        <v>-27831</v>
      </c>
      <c r="K3642" s="7"/>
      <c r="L3642" s="70"/>
      <c r="M3642" s="79"/>
      <c r="N3642" s="1"/>
      <c r="O3642" s="1"/>
      <c r="P3642" s="1"/>
      <c r="Q3642" s="1"/>
      <c r="R3642" s="1"/>
      <c r="S3642" s="1"/>
      <c r="T3642" s="1"/>
      <c r="U3642" s="1"/>
      <c r="V3642" s="1"/>
      <c r="W3642" s="1"/>
      <c r="X3642" s="1"/>
      <c r="Y3642" s="1"/>
      <c r="Z3642" s="1"/>
      <c r="AA3642" s="1"/>
      <c r="AB3642" s="1"/>
      <c r="AC3642" s="1"/>
      <c r="AD3642" s="1"/>
      <c r="AE3642" s="1"/>
      <c r="AF3642" s="1"/>
      <c r="AG3642" s="1"/>
      <c r="AH3642" s="1"/>
    </row>
    <row r="3643" ht="12.75" hidden="1" customHeight="1" outlineLevel="1">
      <c r="A3643" s="17">
        <v>41655.0</v>
      </c>
      <c r="B3643" s="1"/>
      <c r="C3643" s="1" t="s">
        <v>339</v>
      </c>
      <c r="D3643" s="74"/>
      <c r="E3643" s="67"/>
      <c r="F3643" s="75"/>
      <c r="G3643" s="67"/>
      <c r="H3643" s="68"/>
      <c r="I3643" s="76"/>
      <c r="J3643" s="67"/>
      <c r="K3643" s="7" t="s">
        <v>1540</v>
      </c>
      <c r="L3643" s="77"/>
      <c r="M3643" s="79"/>
      <c r="N3643" s="1"/>
      <c r="O3643" s="1"/>
      <c r="P3643" s="1"/>
      <c r="Q3643" s="1"/>
      <c r="R3643" s="1"/>
      <c r="S3643" s="1"/>
      <c r="T3643" s="1"/>
      <c r="U3643" s="1"/>
      <c r="V3643" s="1"/>
      <c r="W3643" s="1"/>
      <c r="X3643" s="1"/>
      <c r="Y3643" s="1"/>
      <c r="Z3643" s="1"/>
      <c r="AA3643" s="1"/>
      <c r="AB3643" s="1"/>
      <c r="AC3643" s="1"/>
      <c r="AD3643" s="1"/>
      <c r="AE3643" s="1"/>
      <c r="AF3643" s="1"/>
      <c r="AG3643" s="1"/>
      <c r="AH3643" s="1"/>
    </row>
    <row r="3644" ht="12.75" hidden="1" customHeight="1" outlineLevel="1">
      <c r="A3644" s="17">
        <v>41655.0</v>
      </c>
      <c r="B3644" s="1"/>
      <c r="C3644" s="1" t="s">
        <v>429</v>
      </c>
      <c r="D3644" s="74"/>
      <c r="E3644" s="67"/>
      <c r="F3644" s="75"/>
      <c r="G3644" s="67"/>
      <c r="H3644" s="68"/>
      <c r="I3644" s="76"/>
      <c r="J3644" s="67"/>
      <c r="K3644" s="7" t="s">
        <v>1034</v>
      </c>
      <c r="L3644" s="77"/>
      <c r="M3644" s="79"/>
      <c r="N3644" s="1"/>
      <c r="O3644" s="1"/>
      <c r="P3644" s="1"/>
      <c r="Q3644" s="1"/>
      <c r="R3644" s="1"/>
      <c r="S3644" s="1"/>
      <c r="T3644" s="1"/>
      <c r="U3644" s="1"/>
      <c r="V3644" s="1"/>
      <c r="W3644" s="1"/>
      <c r="X3644" s="1"/>
      <c r="Y3644" s="1"/>
      <c r="Z3644" s="1"/>
      <c r="AA3644" s="1"/>
      <c r="AB3644" s="1"/>
      <c r="AC3644" s="1"/>
      <c r="AD3644" s="1"/>
      <c r="AE3644" s="1"/>
      <c r="AF3644" s="1"/>
      <c r="AG3644" s="1"/>
      <c r="AH3644" s="1"/>
    </row>
    <row r="3645" ht="12.75" hidden="1" customHeight="1" outlineLevel="1">
      <c r="A3645" s="17">
        <v>41655.0</v>
      </c>
      <c r="B3645" s="1"/>
      <c r="C3645" s="1" t="s">
        <v>431</v>
      </c>
      <c r="D3645" s="74"/>
      <c r="E3645" s="67"/>
      <c r="F3645" s="75"/>
      <c r="G3645" s="67"/>
      <c r="H3645" s="68"/>
      <c r="I3645" s="76"/>
      <c r="J3645" s="67"/>
      <c r="K3645" s="7" t="s">
        <v>1126</v>
      </c>
      <c r="L3645" s="77"/>
      <c r="M3645" s="79"/>
      <c r="N3645" s="1"/>
      <c r="O3645" s="1"/>
      <c r="P3645" s="1"/>
      <c r="Q3645" s="1"/>
      <c r="R3645" s="1"/>
      <c r="S3645" s="1"/>
      <c r="T3645" s="1"/>
      <c r="U3645" s="1"/>
      <c r="V3645" s="1"/>
      <c r="W3645" s="1"/>
      <c r="X3645" s="1"/>
      <c r="Y3645" s="1"/>
      <c r="Z3645" s="1"/>
      <c r="AA3645" s="1"/>
      <c r="AB3645" s="1"/>
      <c r="AC3645" s="1"/>
      <c r="AD3645" s="1"/>
      <c r="AE3645" s="1"/>
      <c r="AF3645" s="1"/>
      <c r="AG3645" s="1"/>
      <c r="AH3645" s="1"/>
    </row>
    <row r="3646" ht="12.75" hidden="1" customHeight="1" outlineLevel="1">
      <c r="A3646" s="17">
        <v>41655.0</v>
      </c>
      <c r="B3646" s="1"/>
      <c r="C3646" s="1" t="s">
        <v>433</v>
      </c>
      <c r="D3646" s="74"/>
      <c r="E3646" s="67"/>
      <c r="F3646" s="75"/>
      <c r="G3646" s="67"/>
      <c r="H3646" s="68"/>
      <c r="I3646" s="76"/>
      <c r="J3646" s="67"/>
      <c r="K3646" s="7" t="s">
        <v>1103</v>
      </c>
      <c r="L3646" s="77"/>
      <c r="M3646" s="79"/>
      <c r="N3646" s="1"/>
      <c r="O3646" s="1"/>
      <c r="P3646" s="1"/>
      <c r="Q3646" s="1"/>
      <c r="R3646" s="1"/>
      <c r="S3646" s="1"/>
      <c r="T3646" s="1"/>
      <c r="U3646" s="1"/>
      <c r="V3646" s="1"/>
      <c r="W3646" s="1"/>
      <c r="X3646" s="1"/>
      <c r="Y3646" s="1"/>
      <c r="Z3646" s="1"/>
      <c r="AA3646" s="1"/>
      <c r="AB3646" s="1"/>
      <c r="AC3646" s="1"/>
      <c r="AD3646" s="1"/>
      <c r="AE3646" s="1"/>
      <c r="AF3646" s="1"/>
      <c r="AG3646" s="1"/>
      <c r="AH3646" s="1"/>
    </row>
    <row r="3647" ht="12.75" hidden="1" customHeight="1" outlineLevel="1">
      <c r="A3647" s="17">
        <v>41655.0</v>
      </c>
      <c r="B3647" s="1"/>
      <c r="C3647" s="1" t="s">
        <v>435</v>
      </c>
      <c r="D3647" s="74"/>
      <c r="E3647" s="67"/>
      <c r="F3647" s="75"/>
      <c r="G3647" s="67"/>
      <c r="H3647" s="68"/>
      <c r="I3647" s="76"/>
      <c r="J3647" s="67"/>
      <c r="K3647" s="7" t="s">
        <v>1507</v>
      </c>
      <c r="L3647" s="77"/>
      <c r="M3647" s="79"/>
      <c r="N3647" s="1"/>
      <c r="O3647" s="1"/>
      <c r="P3647" s="1"/>
      <c r="Q3647" s="1"/>
      <c r="R3647" s="1"/>
      <c r="S3647" s="1"/>
      <c r="T3647" s="1"/>
      <c r="U3647" s="1"/>
      <c r="V3647" s="1"/>
      <c r="W3647" s="1"/>
      <c r="X3647" s="1"/>
      <c r="Y3647" s="1"/>
      <c r="Z3647" s="1"/>
      <c r="AA3647" s="1"/>
      <c r="AB3647" s="1"/>
      <c r="AC3647" s="1"/>
      <c r="AD3647" s="1"/>
      <c r="AE3647" s="1"/>
      <c r="AF3647" s="1"/>
      <c r="AG3647" s="1"/>
      <c r="AH3647" s="1"/>
    </row>
    <row r="3648" ht="12.75" hidden="1" customHeight="1" outlineLevel="1">
      <c r="A3648" s="17">
        <v>41656.0</v>
      </c>
      <c r="B3648" s="1"/>
      <c r="C3648" s="1" t="s">
        <v>339</v>
      </c>
      <c r="D3648" s="74"/>
      <c r="E3648" s="67"/>
      <c r="F3648" s="75"/>
      <c r="G3648" s="67"/>
      <c r="H3648" s="68"/>
      <c r="I3648" s="76"/>
      <c r="J3648" s="67"/>
      <c r="K3648" s="7" t="s">
        <v>1549</v>
      </c>
      <c r="L3648" s="77"/>
      <c r="M3648" s="79"/>
      <c r="N3648" s="1"/>
      <c r="O3648" s="1"/>
      <c r="P3648" s="1"/>
      <c r="Q3648" s="1"/>
      <c r="R3648" s="1"/>
      <c r="S3648" s="1"/>
      <c r="T3648" s="1"/>
      <c r="U3648" s="1"/>
      <c r="V3648" s="1"/>
      <c r="W3648" s="1"/>
      <c r="X3648" s="1"/>
      <c r="Y3648" s="1"/>
      <c r="Z3648" s="1"/>
      <c r="AA3648" s="1"/>
      <c r="AB3648" s="1"/>
      <c r="AC3648" s="1"/>
      <c r="AD3648" s="1"/>
      <c r="AE3648" s="1"/>
      <c r="AF3648" s="1"/>
      <c r="AG3648" s="1"/>
      <c r="AH3648" s="1"/>
    </row>
    <row r="3649" ht="12.75" hidden="1" customHeight="1" outlineLevel="1">
      <c r="A3649" s="17">
        <v>41656.0</v>
      </c>
      <c r="B3649" s="1"/>
      <c r="C3649" s="1" t="s">
        <v>429</v>
      </c>
      <c r="D3649" s="74"/>
      <c r="E3649" s="67"/>
      <c r="F3649" s="75"/>
      <c r="G3649" s="67"/>
      <c r="H3649" s="68"/>
      <c r="I3649" s="76"/>
      <c r="J3649" s="67"/>
      <c r="K3649" s="7" t="s">
        <v>1034</v>
      </c>
      <c r="L3649" s="77"/>
      <c r="M3649" s="79"/>
      <c r="N3649" s="1"/>
      <c r="O3649" s="1"/>
      <c r="P3649" s="1"/>
      <c r="Q3649" s="1"/>
      <c r="R3649" s="1"/>
      <c r="S3649" s="1"/>
      <c r="T3649" s="1"/>
      <c r="U3649" s="1"/>
      <c r="V3649" s="1"/>
      <c r="W3649" s="1"/>
      <c r="X3649" s="1"/>
      <c r="Y3649" s="1"/>
      <c r="Z3649" s="1"/>
      <c r="AA3649" s="1"/>
      <c r="AB3649" s="1"/>
      <c r="AC3649" s="1"/>
      <c r="AD3649" s="1"/>
      <c r="AE3649" s="1"/>
      <c r="AF3649" s="1"/>
      <c r="AG3649" s="1"/>
      <c r="AH3649" s="1"/>
    </row>
    <row r="3650" ht="12.75" hidden="1" customHeight="1" outlineLevel="1">
      <c r="A3650" s="17">
        <v>41656.0</v>
      </c>
      <c r="B3650" s="1"/>
      <c r="C3650" s="1" t="s">
        <v>431</v>
      </c>
      <c r="D3650" s="74"/>
      <c r="E3650" s="67"/>
      <c r="F3650" s="75"/>
      <c r="G3650" s="67"/>
      <c r="H3650" s="68"/>
      <c r="I3650" s="76"/>
      <c r="J3650" s="67"/>
      <c r="K3650" s="7" t="s">
        <v>1126</v>
      </c>
      <c r="L3650" s="77"/>
      <c r="M3650" s="79"/>
      <c r="N3650" s="1"/>
      <c r="O3650" s="1"/>
      <c r="P3650" s="1"/>
      <c r="Q3650" s="1"/>
      <c r="R3650" s="1"/>
      <c r="S3650" s="1"/>
      <c r="T3650" s="1"/>
      <c r="U3650" s="1"/>
      <c r="V3650" s="1"/>
      <c r="W3650" s="1"/>
      <c r="X3650" s="1"/>
      <c r="Y3650" s="1"/>
      <c r="Z3650" s="1"/>
      <c r="AA3650" s="1"/>
      <c r="AB3650" s="1"/>
      <c r="AC3650" s="1"/>
      <c r="AD3650" s="1"/>
      <c r="AE3650" s="1"/>
      <c r="AF3650" s="1"/>
      <c r="AG3650" s="1"/>
      <c r="AH3650" s="1"/>
    </row>
    <row r="3651" ht="12.75" hidden="1" customHeight="1" outlineLevel="1">
      <c r="A3651" s="17">
        <v>41656.0</v>
      </c>
      <c r="B3651" s="1"/>
      <c r="C3651" s="1" t="s">
        <v>433</v>
      </c>
      <c r="D3651" s="74"/>
      <c r="E3651" s="67"/>
      <c r="F3651" s="75"/>
      <c r="G3651" s="67"/>
      <c r="H3651" s="68"/>
      <c r="I3651" s="76"/>
      <c r="J3651" s="67"/>
      <c r="K3651" s="7" t="s">
        <v>1103</v>
      </c>
      <c r="L3651" s="77"/>
      <c r="M3651" s="79"/>
      <c r="N3651" s="1"/>
      <c r="O3651" s="1"/>
      <c r="P3651" s="1"/>
      <c r="Q3651" s="1"/>
      <c r="R3651" s="1"/>
      <c r="S3651" s="1"/>
      <c r="T3651" s="1"/>
      <c r="U3651" s="1"/>
      <c r="V3651" s="1"/>
      <c r="W3651" s="1"/>
      <c r="X3651" s="1"/>
      <c r="Y3651" s="1"/>
      <c r="Z3651" s="1"/>
      <c r="AA3651" s="1"/>
      <c r="AB3651" s="1"/>
      <c r="AC3651" s="1"/>
      <c r="AD3651" s="1"/>
      <c r="AE3651" s="1"/>
      <c r="AF3651" s="1"/>
      <c r="AG3651" s="1"/>
      <c r="AH3651" s="1"/>
    </row>
    <row r="3652" ht="12.75" hidden="1" customHeight="1" outlineLevel="1">
      <c r="A3652" s="17">
        <v>41656.0</v>
      </c>
      <c r="B3652" s="1"/>
      <c r="C3652" s="1" t="s">
        <v>435</v>
      </c>
      <c r="D3652" s="74"/>
      <c r="E3652" s="67"/>
      <c r="F3652" s="75"/>
      <c r="G3652" s="67"/>
      <c r="H3652" s="68"/>
      <c r="I3652" s="76"/>
      <c r="J3652" s="67"/>
      <c r="K3652" s="7" t="s">
        <v>1507</v>
      </c>
      <c r="L3652" s="77"/>
      <c r="M3652" s="79"/>
      <c r="N3652" s="1"/>
      <c r="O3652" s="1"/>
      <c r="P3652" s="1"/>
      <c r="Q3652" s="1"/>
      <c r="R3652" s="1"/>
      <c r="S3652" s="1"/>
      <c r="T3652" s="1"/>
      <c r="U3652" s="1"/>
      <c r="V3652" s="1"/>
      <c r="W3652" s="1"/>
      <c r="X3652" s="1"/>
      <c r="Y3652" s="1"/>
      <c r="Z3652" s="1"/>
      <c r="AA3652" s="1"/>
      <c r="AB3652" s="1"/>
      <c r="AC3652" s="1"/>
      <c r="AD3652" s="1"/>
      <c r="AE3652" s="1"/>
      <c r="AF3652" s="1"/>
      <c r="AG3652" s="1"/>
      <c r="AH3652" s="1"/>
    </row>
    <row r="3653" ht="12.75" hidden="1" customHeight="1" outlineLevel="1">
      <c r="A3653" s="17">
        <v>41656.0</v>
      </c>
      <c r="B3653" s="1" t="s">
        <v>343</v>
      </c>
      <c r="C3653" s="1" t="s">
        <v>1222</v>
      </c>
      <c r="D3653" s="74">
        <v>220.0</v>
      </c>
      <c r="E3653" s="67">
        <v>114.41</v>
      </c>
      <c r="F3653" s="75">
        <v>0.39842592592592596</v>
      </c>
      <c r="G3653" s="67" t="s">
        <v>453</v>
      </c>
      <c r="H3653" s="68">
        <v>1.1</v>
      </c>
      <c r="I3653" s="76"/>
      <c r="J3653" s="67">
        <f t="shared" ref="J3653:J3657" si="240">IF(B3653="SLD",D3653*E3653,-D3653*E3653)-H3653</f>
        <v>-25171.3</v>
      </c>
      <c r="K3653" s="7"/>
      <c r="L3653" s="70"/>
      <c r="M3653" s="79"/>
      <c r="N3653" s="1"/>
      <c r="O3653" s="1"/>
      <c r="P3653" s="1"/>
      <c r="Q3653" s="1"/>
      <c r="R3653" s="1"/>
      <c r="S3653" s="1"/>
      <c r="T3653" s="1"/>
      <c r="U3653" s="1"/>
      <c r="V3653" s="1"/>
      <c r="W3653" s="1"/>
      <c r="X3653" s="1"/>
      <c r="Y3653" s="1"/>
      <c r="Z3653" s="1"/>
      <c r="AA3653" s="1"/>
      <c r="AB3653" s="1"/>
      <c r="AC3653" s="1"/>
      <c r="AD3653" s="1"/>
      <c r="AE3653" s="1"/>
      <c r="AF3653" s="1"/>
      <c r="AG3653" s="1"/>
      <c r="AH3653" s="1"/>
    </row>
    <row r="3654" ht="12.75" hidden="1" customHeight="1" outlineLevel="1">
      <c r="A3654" s="17">
        <v>41656.0</v>
      </c>
      <c r="B3654" s="1" t="s">
        <v>343</v>
      </c>
      <c r="C3654" s="1" t="s">
        <v>1112</v>
      </c>
      <c r="D3654" s="74">
        <v>300.0</v>
      </c>
      <c r="E3654" s="67">
        <v>84.24</v>
      </c>
      <c r="F3654" s="75">
        <v>0.40042824074074074</v>
      </c>
      <c r="G3654" s="67" t="s">
        <v>453</v>
      </c>
      <c r="H3654" s="68">
        <v>1.4</v>
      </c>
      <c r="I3654" s="76"/>
      <c r="J3654" s="67">
        <f t="shared" si="240"/>
        <v>-25273.4</v>
      </c>
      <c r="K3654" s="7"/>
      <c r="L3654" s="70"/>
      <c r="M3654" s="79"/>
      <c r="N3654" s="1"/>
      <c r="O3654" s="1"/>
      <c r="P3654" s="1"/>
      <c r="Q3654" s="1"/>
      <c r="R3654" s="1"/>
      <c r="S3654" s="1"/>
      <c r="T3654" s="1"/>
      <c r="U3654" s="1"/>
      <c r="V3654" s="1"/>
      <c r="W3654" s="1"/>
      <c r="X3654" s="1"/>
      <c r="Y3654" s="1"/>
      <c r="Z3654" s="1"/>
      <c r="AA3654" s="1"/>
      <c r="AB3654" s="1"/>
      <c r="AC3654" s="1"/>
      <c r="AD3654" s="1"/>
      <c r="AE3654" s="1"/>
      <c r="AF3654" s="1"/>
      <c r="AG3654" s="1"/>
      <c r="AH3654" s="1"/>
    </row>
    <row r="3655" ht="12.75" hidden="1" customHeight="1" outlineLevel="1">
      <c r="A3655" s="17">
        <v>41656.0</v>
      </c>
      <c r="B3655" s="1" t="s">
        <v>343</v>
      </c>
      <c r="C3655" s="1" t="s">
        <v>904</v>
      </c>
      <c r="D3655" s="74">
        <v>450.0</v>
      </c>
      <c r="E3655" s="67">
        <v>52.52</v>
      </c>
      <c r="F3655" s="75">
        <v>0.40068287037037037</v>
      </c>
      <c r="G3655" s="67" t="s">
        <v>453</v>
      </c>
      <c r="H3655" s="68">
        <v>2.25</v>
      </c>
      <c r="I3655" s="76"/>
      <c r="J3655" s="67">
        <f t="shared" si="240"/>
        <v>-23636.25</v>
      </c>
      <c r="K3655" s="7"/>
      <c r="L3655" s="70"/>
      <c r="M3655" s="79"/>
      <c r="N3655" s="1"/>
      <c r="O3655" s="1"/>
      <c r="P3655" s="1"/>
      <c r="Q3655" s="1"/>
      <c r="R3655" s="1"/>
      <c r="S3655" s="1"/>
      <c r="T3655" s="1"/>
      <c r="U3655" s="1"/>
      <c r="V3655" s="1"/>
      <c r="W3655" s="1"/>
      <c r="X3655" s="1"/>
      <c r="Y3655" s="1"/>
      <c r="Z3655" s="1"/>
      <c r="AA3655" s="1"/>
      <c r="AB3655" s="1"/>
      <c r="AC3655" s="1"/>
      <c r="AD3655" s="1"/>
      <c r="AE3655" s="1"/>
      <c r="AF3655" s="1"/>
      <c r="AG3655" s="1"/>
      <c r="AH3655" s="1"/>
    </row>
    <row r="3656" ht="12.75" hidden="1" customHeight="1" outlineLevel="1">
      <c r="A3656" s="17">
        <v>41656.0</v>
      </c>
      <c r="B3656" s="1" t="s">
        <v>343</v>
      </c>
      <c r="C3656" s="1" t="s">
        <v>1044</v>
      </c>
      <c r="D3656" s="74">
        <v>1200.0</v>
      </c>
      <c r="E3656" s="67">
        <v>23.3</v>
      </c>
      <c r="F3656" s="75">
        <v>0.48336805555555556</v>
      </c>
      <c r="G3656" s="67" t="s">
        <v>453</v>
      </c>
      <c r="H3656" s="68">
        <v>6.0</v>
      </c>
      <c r="I3656" s="76"/>
      <c r="J3656" s="67">
        <f t="shared" si="240"/>
        <v>-27966</v>
      </c>
      <c r="K3656" s="7"/>
      <c r="L3656" s="70"/>
      <c r="M3656" s="79"/>
      <c r="N3656" s="1"/>
      <c r="O3656" s="1"/>
      <c r="P3656" s="1"/>
      <c r="Q3656" s="1"/>
      <c r="R3656" s="1"/>
      <c r="S3656" s="1"/>
      <c r="T3656" s="1"/>
      <c r="U3656" s="1"/>
      <c r="V3656" s="1"/>
      <c r="W3656" s="1"/>
      <c r="X3656" s="1"/>
      <c r="Y3656" s="1"/>
      <c r="Z3656" s="1"/>
      <c r="AA3656" s="1"/>
      <c r="AB3656" s="1"/>
      <c r="AC3656" s="1"/>
      <c r="AD3656" s="1"/>
      <c r="AE3656" s="1"/>
      <c r="AF3656" s="1"/>
      <c r="AG3656" s="1"/>
      <c r="AH3656" s="1"/>
    </row>
    <row r="3657" ht="12.75" hidden="1" customHeight="1" outlineLevel="1">
      <c r="A3657" s="17">
        <v>41656.0</v>
      </c>
      <c r="B3657" s="1" t="s">
        <v>347</v>
      </c>
      <c r="C3657" s="1" t="s">
        <v>1044</v>
      </c>
      <c r="D3657" s="74">
        <v>1200.0</v>
      </c>
      <c r="E3657" s="67">
        <v>23.33</v>
      </c>
      <c r="F3657" s="75">
        <v>0.5604976851851852</v>
      </c>
      <c r="G3657" s="67" t="s">
        <v>453</v>
      </c>
      <c r="H3657" s="68">
        <v>5.79</v>
      </c>
      <c r="I3657" s="76"/>
      <c r="J3657" s="67">
        <f t="shared" si="240"/>
        <v>27990.21</v>
      </c>
      <c r="K3657" s="7"/>
      <c r="L3657" s="70"/>
      <c r="M3657" s="79"/>
      <c r="N3657" s="1"/>
      <c r="O3657" s="1"/>
      <c r="P3657" s="1"/>
      <c r="Q3657" s="1"/>
      <c r="R3657" s="1"/>
      <c r="S3657" s="1"/>
      <c r="T3657" s="1"/>
      <c r="U3657" s="1"/>
      <c r="V3657" s="1"/>
      <c r="W3657" s="1"/>
      <c r="X3657" s="1"/>
      <c r="Y3657" s="1"/>
      <c r="Z3657" s="1"/>
      <c r="AA3657" s="1"/>
      <c r="AB3657" s="1"/>
      <c r="AC3657" s="1"/>
      <c r="AD3657" s="1"/>
      <c r="AE3657" s="1"/>
      <c r="AF3657" s="1"/>
      <c r="AG3657" s="1"/>
      <c r="AH3657" s="1"/>
    </row>
    <row r="3658" ht="12.75" hidden="1" customHeight="1" outlineLevel="1">
      <c r="A3658" s="17">
        <v>41656.0</v>
      </c>
      <c r="B3658" s="1"/>
      <c r="C3658" s="1" t="s">
        <v>339</v>
      </c>
      <c r="D3658" s="74"/>
      <c r="E3658" s="67"/>
      <c r="F3658" s="75"/>
      <c r="G3658" s="67"/>
      <c r="H3658" s="68"/>
      <c r="I3658" s="76"/>
      <c r="J3658" s="67"/>
      <c r="K3658" s="7" t="s">
        <v>1552</v>
      </c>
      <c r="L3658" s="77"/>
      <c r="M3658" s="79"/>
      <c r="N3658" s="1"/>
      <c r="O3658" s="1"/>
      <c r="P3658" s="1"/>
      <c r="Q3658" s="1"/>
      <c r="R3658" s="1"/>
      <c r="S3658" s="1"/>
      <c r="T3658" s="1"/>
      <c r="U3658" s="1"/>
      <c r="V3658" s="1"/>
      <c r="W3658" s="1"/>
      <c r="X3658" s="1"/>
      <c r="Y3658" s="1"/>
      <c r="Z3658" s="1"/>
      <c r="AA3658" s="1"/>
      <c r="AB3658" s="1"/>
      <c r="AC3658" s="1"/>
      <c r="AD3658" s="1"/>
      <c r="AE3658" s="1"/>
      <c r="AF3658" s="1"/>
      <c r="AG3658" s="1"/>
      <c r="AH3658" s="1"/>
    </row>
    <row r="3659" ht="12.75" hidden="1" customHeight="1" outlineLevel="1">
      <c r="A3659" s="17">
        <v>41656.0</v>
      </c>
      <c r="B3659" s="1"/>
      <c r="C3659" s="1" t="s">
        <v>429</v>
      </c>
      <c r="D3659" s="74"/>
      <c r="E3659" s="67"/>
      <c r="F3659" s="75"/>
      <c r="G3659" s="67"/>
      <c r="H3659" s="68"/>
      <c r="I3659" s="76"/>
      <c r="J3659" s="67"/>
      <c r="K3659" s="7" t="s">
        <v>1553</v>
      </c>
      <c r="L3659" s="77"/>
      <c r="M3659" s="79"/>
      <c r="N3659" s="1"/>
      <c r="O3659" s="1"/>
      <c r="P3659" s="1"/>
      <c r="Q3659" s="1"/>
      <c r="R3659" s="1"/>
      <c r="S3659" s="1"/>
      <c r="T3659" s="1"/>
      <c r="U3659" s="1"/>
      <c r="V3659" s="1"/>
      <c r="W3659" s="1"/>
      <c r="X3659" s="1"/>
      <c r="Y3659" s="1"/>
      <c r="Z3659" s="1"/>
      <c r="AA3659" s="1"/>
      <c r="AB3659" s="1"/>
      <c r="AC3659" s="1"/>
      <c r="AD3659" s="1"/>
      <c r="AE3659" s="1"/>
      <c r="AF3659" s="1"/>
      <c r="AG3659" s="1"/>
      <c r="AH3659" s="1"/>
    </row>
    <row r="3660" ht="12.75" hidden="1" customHeight="1" outlineLevel="1">
      <c r="A3660" s="17">
        <v>41656.0</v>
      </c>
      <c r="B3660" s="1"/>
      <c r="C3660" s="1" t="s">
        <v>431</v>
      </c>
      <c r="D3660" s="74"/>
      <c r="E3660" s="67"/>
      <c r="F3660" s="75"/>
      <c r="G3660" s="67"/>
      <c r="H3660" s="68"/>
      <c r="I3660" s="76"/>
      <c r="J3660" s="67"/>
      <c r="K3660" s="7" t="s">
        <v>1126</v>
      </c>
      <c r="L3660" s="77"/>
      <c r="M3660" s="79"/>
      <c r="N3660" s="1"/>
      <c r="O3660" s="1"/>
      <c r="P3660" s="1"/>
      <c r="Q3660" s="1"/>
      <c r="R3660" s="1"/>
      <c r="S3660" s="1"/>
      <c r="T3660" s="1"/>
      <c r="U3660" s="1"/>
      <c r="V3660" s="1"/>
      <c r="W3660" s="1"/>
      <c r="X3660" s="1"/>
      <c r="Y3660" s="1"/>
      <c r="Z3660" s="1"/>
      <c r="AA3660" s="1"/>
      <c r="AB3660" s="1"/>
      <c r="AC3660" s="1"/>
      <c r="AD3660" s="1"/>
      <c r="AE3660" s="1"/>
      <c r="AF3660" s="1"/>
      <c r="AG3660" s="1"/>
      <c r="AH3660" s="1"/>
    </row>
    <row r="3661" ht="12.75" hidden="1" customHeight="1" outlineLevel="1">
      <c r="A3661" s="17">
        <v>41656.0</v>
      </c>
      <c r="B3661" s="1"/>
      <c r="C3661" s="1" t="s">
        <v>433</v>
      </c>
      <c r="D3661" s="74"/>
      <c r="E3661" s="67"/>
      <c r="F3661" s="75"/>
      <c r="G3661" s="67"/>
      <c r="H3661" s="68"/>
      <c r="I3661" s="76"/>
      <c r="J3661" s="67"/>
      <c r="K3661" s="7" t="s">
        <v>1103</v>
      </c>
      <c r="L3661" s="77"/>
      <c r="M3661" s="79"/>
      <c r="N3661" s="1"/>
      <c r="O3661" s="1"/>
      <c r="P3661" s="1"/>
      <c r="Q3661" s="1"/>
      <c r="R3661" s="1"/>
      <c r="S3661" s="1"/>
      <c r="T3661" s="1"/>
      <c r="U3661" s="1"/>
      <c r="V3661" s="1"/>
      <c r="W3661" s="1"/>
      <c r="X3661" s="1"/>
      <c r="Y3661" s="1"/>
      <c r="Z3661" s="1"/>
      <c r="AA3661" s="1"/>
      <c r="AB3661" s="1"/>
      <c r="AC3661" s="1"/>
      <c r="AD3661" s="1"/>
      <c r="AE3661" s="1"/>
      <c r="AF3661" s="1"/>
      <c r="AG3661" s="1"/>
      <c r="AH3661" s="1"/>
    </row>
    <row r="3662" ht="12.75" hidden="1" customHeight="1" outlineLevel="1">
      <c r="A3662" s="17">
        <v>41656.0</v>
      </c>
      <c r="B3662" s="1"/>
      <c r="C3662" s="1" t="s">
        <v>435</v>
      </c>
      <c r="D3662" s="74"/>
      <c r="E3662" s="67"/>
      <c r="F3662" s="75"/>
      <c r="G3662" s="67"/>
      <c r="H3662" s="68"/>
      <c r="I3662" s="76"/>
      <c r="J3662" s="67"/>
      <c r="K3662" s="7" t="s">
        <v>1507</v>
      </c>
      <c r="L3662" s="77"/>
      <c r="M3662" s="79"/>
      <c r="N3662" s="1"/>
      <c r="O3662" s="1"/>
      <c r="P3662" s="1"/>
      <c r="Q3662" s="1"/>
      <c r="R3662" s="1"/>
      <c r="S3662" s="1"/>
      <c r="T3662" s="1"/>
      <c r="U3662" s="1"/>
      <c r="V3662" s="1"/>
      <c r="W3662" s="1"/>
      <c r="X3662" s="1"/>
      <c r="Y3662" s="1"/>
      <c r="Z3662" s="1"/>
      <c r="AA3662" s="1"/>
      <c r="AB3662" s="1"/>
      <c r="AC3662" s="1"/>
      <c r="AD3662" s="1"/>
      <c r="AE3662" s="1"/>
      <c r="AF3662" s="1"/>
      <c r="AG3662" s="1"/>
      <c r="AH3662" s="1"/>
    </row>
    <row r="3663" ht="12.75" hidden="1" customHeight="1" outlineLevel="1">
      <c r="A3663" s="17">
        <v>41660.0</v>
      </c>
      <c r="B3663" s="1"/>
      <c r="C3663" s="1" t="s">
        <v>339</v>
      </c>
      <c r="D3663" s="74"/>
      <c r="E3663" s="67"/>
      <c r="F3663" s="75"/>
      <c r="G3663" s="67"/>
      <c r="H3663" s="68"/>
      <c r="I3663" s="76"/>
      <c r="J3663" s="67"/>
      <c r="K3663" s="7" t="s">
        <v>1554</v>
      </c>
      <c r="L3663" s="77"/>
      <c r="M3663" s="79"/>
      <c r="N3663" s="1"/>
      <c r="O3663" s="1"/>
      <c r="P3663" s="1"/>
      <c r="Q3663" s="1"/>
      <c r="R3663" s="1"/>
      <c r="S3663" s="1"/>
      <c r="T3663" s="1"/>
      <c r="U3663" s="1"/>
      <c r="V3663" s="1"/>
      <c r="W3663" s="1"/>
      <c r="X3663" s="1"/>
      <c r="Y3663" s="1"/>
      <c r="Z3663" s="1"/>
      <c r="AA3663" s="1"/>
      <c r="AB3663" s="1"/>
      <c r="AC3663" s="1"/>
      <c r="AD3663" s="1"/>
      <c r="AE3663" s="1"/>
      <c r="AF3663" s="1"/>
      <c r="AG3663" s="1"/>
      <c r="AH3663" s="1"/>
    </row>
    <row r="3664" ht="12.75" hidden="1" customHeight="1" outlineLevel="1">
      <c r="A3664" s="17">
        <v>41660.0</v>
      </c>
      <c r="B3664" s="1"/>
      <c r="C3664" s="1" t="s">
        <v>429</v>
      </c>
      <c r="D3664" s="74"/>
      <c r="E3664" s="67"/>
      <c r="F3664" s="75"/>
      <c r="G3664" s="67"/>
      <c r="H3664" s="68"/>
      <c r="I3664" s="76"/>
      <c r="J3664" s="67"/>
      <c r="K3664" s="7" t="s">
        <v>1553</v>
      </c>
      <c r="L3664" s="77"/>
      <c r="M3664" s="79"/>
      <c r="N3664" s="1"/>
      <c r="O3664" s="1"/>
      <c r="P3664" s="1"/>
      <c r="Q3664" s="1"/>
      <c r="R3664" s="1"/>
      <c r="S3664" s="1"/>
      <c r="T3664" s="1"/>
      <c r="U3664" s="1"/>
      <c r="V3664" s="1"/>
      <c r="W3664" s="1"/>
      <c r="X3664" s="1"/>
      <c r="Y3664" s="1"/>
      <c r="Z3664" s="1"/>
      <c r="AA3664" s="1"/>
      <c r="AB3664" s="1"/>
      <c r="AC3664" s="1"/>
      <c r="AD3664" s="1"/>
      <c r="AE3664" s="1"/>
      <c r="AF3664" s="1"/>
      <c r="AG3664" s="1"/>
      <c r="AH3664" s="1"/>
    </row>
    <row r="3665" ht="12.75" hidden="1" customHeight="1" outlineLevel="1">
      <c r="A3665" s="17">
        <v>41660.0</v>
      </c>
      <c r="B3665" s="1"/>
      <c r="C3665" s="1" t="s">
        <v>431</v>
      </c>
      <c r="D3665" s="74"/>
      <c r="E3665" s="67"/>
      <c r="F3665" s="75"/>
      <c r="G3665" s="67"/>
      <c r="H3665" s="68"/>
      <c r="I3665" s="76"/>
      <c r="J3665" s="67"/>
      <c r="K3665" s="7" t="s">
        <v>1126</v>
      </c>
      <c r="L3665" s="77"/>
      <c r="M3665" s="79"/>
      <c r="N3665" s="1"/>
      <c r="O3665" s="1"/>
      <c r="P3665" s="1"/>
      <c r="Q3665" s="1"/>
      <c r="R3665" s="1"/>
      <c r="S3665" s="1"/>
      <c r="T3665" s="1"/>
      <c r="U3665" s="1"/>
      <c r="V3665" s="1"/>
      <c r="W3665" s="1"/>
      <c r="X3665" s="1"/>
      <c r="Y3665" s="1"/>
      <c r="Z3665" s="1"/>
      <c r="AA3665" s="1"/>
      <c r="AB3665" s="1"/>
      <c r="AC3665" s="1"/>
      <c r="AD3665" s="1"/>
      <c r="AE3665" s="1"/>
      <c r="AF3665" s="1"/>
      <c r="AG3665" s="1"/>
      <c r="AH3665" s="1"/>
    </row>
    <row r="3666" ht="12.75" hidden="1" customHeight="1" outlineLevel="1">
      <c r="A3666" s="17">
        <v>41660.0</v>
      </c>
      <c r="B3666" s="1"/>
      <c r="C3666" s="1" t="s">
        <v>433</v>
      </c>
      <c r="D3666" s="74"/>
      <c r="E3666" s="67"/>
      <c r="F3666" s="75"/>
      <c r="G3666" s="67"/>
      <c r="H3666" s="68"/>
      <c r="I3666" s="76"/>
      <c r="J3666" s="67"/>
      <c r="K3666" s="7" t="s">
        <v>1103</v>
      </c>
      <c r="L3666" s="77"/>
      <c r="M3666" s="79"/>
      <c r="N3666" s="1"/>
      <c r="O3666" s="1"/>
      <c r="P3666" s="1"/>
      <c r="Q3666" s="1"/>
      <c r="R3666" s="1"/>
      <c r="S3666" s="1"/>
      <c r="T3666" s="1"/>
      <c r="U3666" s="1"/>
      <c r="V3666" s="1"/>
      <c r="W3666" s="1"/>
      <c r="X3666" s="1"/>
      <c r="Y3666" s="1"/>
      <c r="Z3666" s="1"/>
      <c r="AA3666" s="1"/>
      <c r="AB3666" s="1"/>
      <c r="AC3666" s="1"/>
      <c r="AD3666" s="1"/>
      <c r="AE3666" s="1"/>
      <c r="AF3666" s="1"/>
      <c r="AG3666" s="1"/>
      <c r="AH3666" s="1"/>
    </row>
    <row r="3667" ht="12.75" hidden="1" customHeight="1" outlineLevel="1">
      <c r="A3667" s="17">
        <v>41660.0</v>
      </c>
      <c r="B3667" s="1"/>
      <c r="C3667" s="1" t="s">
        <v>435</v>
      </c>
      <c r="D3667" s="74"/>
      <c r="E3667" s="67"/>
      <c r="F3667" s="75"/>
      <c r="G3667" s="67"/>
      <c r="H3667" s="68"/>
      <c r="I3667" s="76"/>
      <c r="J3667" s="67"/>
      <c r="K3667" s="7" t="s">
        <v>1507</v>
      </c>
      <c r="L3667" s="77"/>
      <c r="M3667" s="79"/>
      <c r="N3667" s="1"/>
      <c r="O3667" s="1"/>
      <c r="P3667" s="1"/>
      <c r="Q3667" s="1"/>
      <c r="R3667" s="1"/>
      <c r="S3667" s="1"/>
      <c r="T3667" s="1"/>
      <c r="U3667" s="1"/>
      <c r="V3667" s="1"/>
      <c r="W3667" s="1"/>
      <c r="X3667" s="1"/>
      <c r="Y3667" s="1"/>
      <c r="Z3667" s="1"/>
      <c r="AA3667" s="1"/>
      <c r="AB3667" s="1"/>
      <c r="AC3667" s="1"/>
      <c r="AD3667" s="1"/>
      <c r="AE3667" s="1"/>
      <c r="AF3667" s="1"/>
      <c r="AG3667" s="1"/>
      <c r="AH3667" s="1"/>
    </row>
    <row r="3668" ht="12.75" hidden="1" customHeight="1" outlineLevel="1">
      <c r="A3668" s="17">
        <v>41660.0</v>
      </c>
      <c r="B3668" s="1" t="s">
        <v>343</v>
      </c>
      <c r="C3668" s="1" t="s">
        <v>356</v>
      </c>
      <c r="D3668" s="74">
        <v>30.0</v>
      </c>
      <c r="E3668" s="67">
        <v>331.43</v>
      </c>
      <c r="F3668" s="75">
        <v>0.47671296296296295</v>
      </c>
      <c r="G3668" s="67" t="s">
        <v>453</v>
      </c>
      <c r="H3668" s="68">
        <v>1.0</v>
      </c>
      <c r="I3668" s="76"/>
      <c r="J3668" s="67">
        <f>IF(B3668="SLD",D3668*E3668,-D3668*E3668)-H3668</f>
        <v>-9943.9</v>
      </c>
      <c r="K3668" s="7"/>
      <c r="L3668" s="70"/>
      <c r="M3668" s="79"/>
      <c r="N3668" s="1"/>
      <c r="O3668" s="1"/>
      <c r="P3668" s="1"/>
      <c r="Q3668" s="1"/>
      <c r="R3668" s="1"/>
      <c r="S3668" s="1"/>
      <c r="T3668" s="1"/>
      <c r="U3668" s="1"/>
      <c r="V3668" s="1"/>
      <c r="W3668" s="1"/>
      <c r="X3668" s="1"/>
      <c r="Y3668" s="1"/>
      <c r="Z3668" s="1"/>
      <c r="AA3668" s="1"/>
      <c r="AB3668" s="1"/>
      <c r="AC3668" s="1"/>
      <c r="AD3668" s="1"/>
      <c r="AE3668" s="1"/>
      <c r="AF3668" s="1"/>
      <c r="AG3668" s="1"/>
      <c r="AH3668" s="1"/>
    </row>
    <row r="3669" ht="12.75" hidden="1" customHeight="1" outlineLevel="1">
      <c r="A3669" s="17">
        <v>41660.0</v>
      </c>
      <c r="B3669" s="1"/>
      <c r="C3669" s="1" t="s">
        <v>339</v>
      </c>
      <c r="D3669" s="74"/>
      <c r="E3669" s="67"/>
      <c r="F3669" s="75"/>
      <c r="G3669" s="67"/>
      <c r="H3669" s="68"/>
      <c r="I3669" s="76"/>
      <c r="J3669" s="67"/>
      <c r="K3669" s="7" t="s">
        <v>1558</v>
      </c>
      <c r="L3669" s="77"/>
      <c r="M3669" s="79"/>
      <c r="N3669" s="1"/>
      <c r="O3669" s="1"/>
      <c r="P3669" s="1"/>
      <c r="Q3669" s="1"/>
      <c r="R3669" s="1"/>
      <c r="S3669" s="1"/>
      <c r="T3669" s="1"/>
      <c r="U3669" s="1"/>
      <c r="V3669" s="1"/>
      <c r="W3669" s="1"/>
      <c r="X3669" s="1"/>
      <c r="Y3669" s="1"/>
      <c r="Z3669" s="1"/>
      <c r="AA3669" s="1"/>
      <c r="AB3669" s="1"/>
      <c r="AC3669" s="1"/>
      <c r="AD3669" s="1"/>
      <c r="AE3669" s="1"/>
      <c r="AF3669" s="1"/>
      <c r="AG3669" s="1"/>
      <c r="AH3669" s="1"/>
    </row>
    <row r="3670" ht="12.75" hidden="1" customHeight="1" outlineLevel="1">
      <c r="A3670" s="17">
        <v>41660.0</v>
      </c>
      <c r="B3670" s="1"/>
      <c r="C3670" s="1" t="s">
        <v>429</v>
      </c>
      <c r="D3670" s="74"/>
      <c r="E3670" s="67"/>
      <c r="F3670" s="75"/>
      <c r="G3670" s="67"/>
      <c r="H3670" s="68"/>
      <c r="I3670" s="76"/>
      <c r="J3670" s="67"/>
      <c r="K3670" s="7" t="s">
        <v>1553</v>
      </c>
      <c r="L3670" s="77"/>
      <c r="M3670" s="79"/>
      <c r="N3670" s="1"/>
      <c r="O3670" s="1"/>
      <c r="P3670" s="1"/>
      <c r="Q3670" s="1"/>
      <c r="R3670" s="1"/>
      <c r="S3670" s="1"/>
      <c r="T3670" s="1"/>
      <c r="U3670" s="1"/>
      <c r="V3670" s="1"/>
      <c r="W3670" s="1"/>
      <c r="X3670" s="1"/>
      <c r="Y3670" s="1"/>
      <c r="Z3670" s="1"/>
      <c r="AA3670" s="1"/>
      <c r="AB3670" s="1"/>
      <c r="AC3670" s="1"/>
      <c r="AD3670" s="1"/>
      <c r="AE3670" s="1"/>
      <c r="AF3670" s="1"/>
      <c r="AG3670" s="1"/>
      <c r="AH3670" s="1"/>
    </row>
    <row r="3671" ht="12.75" hidden="1" customHeight="1" outlineLevel="1">
      <c r="A3671" s="17">
        <v>41660.0</v>
      </c>
      <c r="B3671" s="1"/>
      <c r="C3671" s="1" t="s">
        <v>431</v>
      </c>
      <c r="D3671" s="74"/>
      <c r="E3671" s="67"/>
      <c r="F3671" s="75"/>
      <c r="G3671" s="67"/>
      <c r="H3671" s="68"/>
      <c r="I3671" s="76"/>
      <c r="J3671" s="67"/>
      <c r="K3671" s="7" t="s">
        <v>1126</v>
      </c>
      <c r="L3671" s="77"/>
      <c r="M3671" s="79"/>
      <c r="N3671" s="1"/>
      <c r="O3671" s="1"/>
      <c r="P3671" s="1"/>
      <c r="Q3671" s="1"/>
      <c r="R3671" s="1"/>
      <c r="S3671" s="1"/>
      <c r="T3671" s="1"/>
      <c r="U3671" s="1"/>
      <c r="V3671" s="1"/>
      <c r="W3671" s="1"/>
      <c r="X3671" s="1"/>
      <c r="Y3671" s="1"/>
      <c r="Z3671" s="1"/>
      <c r="AA3671" s="1"/>
      <c r="AB3671" s="1"/>
      <c r="AC3671" s="1"/>
      <c r="AD3671" s="1"/>
      <c r="AE3671" s="1"/>
      <c r="AF3671" s="1"/>
      <c r="AG3671" s="1"/>
      <c r="AH3671" s="1"/>
    </row>
    <row r="3672" ht="12.75" hidden="1" customHeight="1" outlineLevel="1">
      <c r="A3672" s="17">
        <v>41660.0</v>
      </c>
      <c r="B3672" s="1"/>
      <c r="C3672" s="1" t="s">
        <v>433</v>
      </c>
      <c r="D3672" s="74"/>
      <c r="E3672" s="67"/>
      <c r="F3672" s="75"/>
      <c r="G3672" s="67"/>
      <c r="H3672" s="68"/>
      <c r="I3672" s="76"/>
      <c r="J3672" s="67"/>
      <c r="K3672" s="7" t="s">
        <v>1103</v>
      </c>
      <c r="L3672" s="77"/>
      <c r="M3672" s="79"/>
      <c r="N3672" s="1"/>
      <c r="O3672" s="1"/>
      <c r="P3672" s="1"/>
      <c r="Q3672" s="1"/>
      <c r="R3672" s="1"/>
      <c r="S3672" s="1"/>
      <c r="T3672" s="1"/>
      <c r="U3672" s="1"/>
      <c r="V3672" s="1"/>
      <c r="W3672" s="1"/>
      <c r="X3672" s="1"/>
      <c r="Y3672" s="1"/>
      <c r="Z3672" s="1"/>
      <c r="AA3672" s="1"/>
      <c r="AB3672" s="1"/>
      <c r="AC3672" s="1"/>
      <c r="AD3672" s="1"/>
      <c r="AE3672" s="1"/>
      <c r="AF3672" s="1"/>
      <c r="AG3672" s="1"/>
      <c r="AH3672" s="1"/>
    </row>
    <row r="3673" ht="12.75" hidden="1" customHeight="1" outlineLevel="1">
      <c r="A3673" s="17">
        <v>41660.0</v>
      </c>
      <c r="B3673" s="1"/>
      <c r="C3673" s="1" t="s">
        <v>435</v>
      </c>
      <c r="D3673" s="74"/>
      <c r="E3673" s="67"/>
      <c r="F3673" s="75"/>
      <c r="G3673" s="67"/>
      <c r="H3673" s="68"/>
      <c r="I3673" s="76"/>
      <c r="J3673" s="67"/>
      <c r="K3673" s="7" t="s">
        <v>1507</v>
      </c>
      <c r="L3673" s="77"/>
      <c r="M3673" s="79"/>
      <c r="N3673" s="1"/>
      <c r="O3673" s="1"/>
      <c r="P3673" s="1"/>
      <c r="Q3673" s="1"/>
      <c r="R3673" s="1"/>
      <c r="S3673" s="1"/>
      <c r="T3673" s="1"/>
      <c r="U3673" s="1"/>
      <c r="V3673" s="1"/>
      <c r="W3673" s="1"/>
      <c r="X3673" s="1"/>
      <c r="Y3673" s="1"/>
      <c r="Z3673" s="1"/>
      <c r="AA3673" s="1"/>
      <c r="AB3673" s="1"/>
      <c r="AC3673" s="1"/>
      <c r="AD3673" s="1"/>
      <c r="AE3673" s="1"/>
      <c r="AF3673" s="1"/>
      <c r="AG3673" s="1"/>
      <c r="AH3673" s="1"/>
    </row>
    <row r="3674" ht="12.75" hidden="1" customHeight="1" outlineLevel="1">
      <c r="A3674" s="17">
        <v>41661.0</v>
      </c>
      <c r="B3674" s="1"/>
      <c r="C3674" s="1" t="s">
        <v>339</v>
      </c>
      <c r="D3674" s="74"/>
      <c r="E3674" s="67"/>
      <c r="F3674" s="75"/>
      <c r="G3674" s="67"/>
      <c r="H3674" s="68"/>
      <c r="I3674" s="76"/>
      <c r="J3674" s="67"/>
      <c r="K3674" s="7" t="s">
        <v>1567</v>
      </c>
      <c r="L3674" s="77"/>
      <c r="M3674" s="79"/>
      <c r="N3674" s="1"/>
      <c r="O3674" s="1"/>
      <c r="P3674" s="1"/>
      <c r="Q3674" s="1"/>
      <c r="R3674" s="1"/>
      <c r="S3674" s="1"/>
      <c r="T3674" s="1"/>
      <c r="U3674" s="1"/>
      <c r="V3674" s="1"/>
      <c r="W3674" s="1"/>
      <c r="X3674" s="1"/>
      <c r="Y3674" s="1"/>
      <c r="Z3674" s="1"/>
      <c r="AA3674" s="1"/>
      <c r="AB3674" s="1"/>
      <c r="AC3674" s="1"/>
      <c r="AD3674" s="1"/>
      <c r="AE3674" s="1"/>
      <c r="AF3674" s="1"/>
      <c r="AG3674" s="1"/>
      <c r="AH3674" s="1"/>
    </row>
    <row r="3675" ht="12.75" hidden="1" customHeight="1" outlineLevel="1">
      <c r="A3675" s="17">
        <v>41661.0</v>
      </c>
      <c r="B3675" s="1"/>
      <c r="C3675" s="1" t="s">
        <v>429</v>
      </c>
      <c r="D3675" s="74"/>
      <c r="E3675" s="67"/>
      <c r="F3675" s="75"/>
      <c r="G3675" s="67"/>
      <c r="H3675" s="68"/>
      <c r="I3675" s="76"/>
      <c r="J3675" s="67"/>
      <c r="K3675" s="7" t="s">
        <v>1553</v>
      </c>
      <c r="L3675" s="77"/>
      <c r="M3675" s="79"/>
      <c r="N3675" s="1"/>
      <c r="O3675" s="1"/>
      <c r="P3675" s="1"/>
      <c r="Q3675" s="1"/>
      <c r="R3675" s="1"/>
      <c r="S3675" s="1"/>
      <c r="T3675" s="1"/>
      <c r="U3675" s="1"/>
      <c r="V3675" s="1"/>
      <c r="W3675" s="1"/>
      <c r="X3675" s="1"/>
      <c r="Y3675" s="1"/>
      <c r="Z3675" s="1"/>
      <c r="AA3675" s="1"/>
      <c r="AB3675" s="1"/>
      <c r="AC3675" s="1"/>
      <c r="AD3675" s="1"/>
      <c r="AE3675" s="1"/>
      <c r="AF3675" s="1"/>
      <c r="AG3675" s="1"/>
      <c r="AH3675" s="1"/>
    </row>
    <row r="3676" ht="12.75" hidden="1" customHeight="1" outlineLevel="1">
      <c r="A3676" s="17">
        <v>41661.0</v>
      </c>
      <c r="B3676" s="1"/>
      <c r="C3676" s="1" t="s">
        <v>431</v>
      </c>
      <c r="D3676" s="74"/>
      <c r="E3676" s="67"/>
      <c r="F3676" s="75"/>
      <c r="G3676" s="67"/>
      <c r="H3676" s="68"/>
      <c r="I3676" s="76"/>
      <c r="J3676" s="67"/>
      <c r="K3676" s="7" t="s">
        <v>1126</v>
      </c>
      <c r="L3676" s="77"/>
      <c r="M3676" s="79"/>
      <c r="N3676" s="1"/>
      <c r="O3676" s="1"/>
      <c r="P3676" s="1"/>
      <c r="Q3676" s="1"/>
      <c r="R3676" s="1"/>
      <c r="S3676" s="1"/>
      <c r="T3676" s="1"/>
      <c r="U3676" s="1"/>
      <c r="V3676" s="1"/>
      <c r="W3676" s="1"/>
      <c r="X3676" s="1"/>
      <c r="Y3676" s="1"/>
      <c r="Z3676" s="1"/>
      <c r="AA3676" s="1"/>
      <c r="AB3676" s="1"/>
      <c r="AC3676" s="1"/>
      <c r="AD3676" s="1"/>
      <c r="AE3676" s="1"/>
      <c r="AF3676" s="1"/>
      <c r="AG3676" s="1"/>
      <c r="AH3676" s="1"/>
    </row>
    <row r="3677" ht="12.75" hidden="1" customHeight="1" outlineLevel="1">
      <c r="A3677" s="17">
        <v>41661.0</v>
      </c>
      <c r="B3677" s="1"/>
      <c r="C3677" s="1" t="s">
        <v>433</v>
      </c>
      <c r="D3677" s="74"/>
      <c r="E3677" s="67"/>
      <c r="F3677" s="75"/>
      <c r="G3677" s="67"/>
      <c r="H3677" s="68"/>
      <c r="I3677" s="76"/>
      <c r="J3677" s="67"/>
      <c r="K3677" s="7" t="s">
        <v>1103</v>
      </c>
      <c r="L3677" s="77"/>
      <c r="M3677" s="79"/>
      <c r="N3677" s="1"/>
      <c r="O3677" s="1"/>
      <c r="P3677" s="1"/>
      <c r="Q3677" s="1"/>
      <c r="R3677" s="1"/>
      <c r="S3677" s="1"/>
      <c r="T3677" s="1"/>
      <c r="U3677" s="1"/>
      <c r="V3677" s="1"/>
      <c r="W3677" s="1"/>
      <c r="X3677" s="1"/>
      <c r="Y3677" s="1"/>
      <c r="Z3677" s="1"/>
      <c r="AA3677" s="1"/>
      <c r="AB3677" s="1"/>
      <c r="AC3677" s="1"/>
      <c r="AD3677" s="1"/>
      <c r="AE3677" s="1"/>
      <c r="AF3677" s="1"/>
      <c r="AG3677" s="1"/>
      <c r="AH3677" s="1"/>
    </row>
    <row r="3678" ht="12.75" hidden="1" customHeight="1" outlineLevel="1">
      <c r="A3678" s="17">
        <v>41661.0</v>
      </c>
      <c r="B3678" s="1"/>
      <c r="C3678" s="1" t="s">
        <v>435</v>
      </c>
      <c r="D3678" s="74"/>
      <c r="E3678" s="67"/>
      <c r="F3678" s="75"/>
      <c r="G3678" s="67"/>
      <c r="H3678" s="68"/>
      <c r="I3678" s="76"/>
      <c r="J3678" s="67"/>
      <c r="K3678" s="7" t="s">
        <v>1507</v>
      </c>
      <c r="L3678" s="77"/>
      <c r="M3678" s="79"/>
      <c r="N3678" s="1"/>
      <c r="O3678" s="1"/>
      <c r="P3678" s="1"/>
      <c r="Q3678" s="1"/>
      <c r="R3678" s="1"/>
      <c r="S3678" s="1"/>
      <c r="T3678" s="1"/>
      <c r="U3678" s="1"/>
      <c r="V3678" s="1"/>
      <c r="W3678" s="1"/>
      <c r="X3678" s="1"/>
      <c r="Y3678" s="1"/>
      <c r="Z3678" s="1"/>
      <c r="AA3678" s="1"/>
      <c r="AB3678" s="1"/>
      <c r="AC3678" s="1"/>
      <c r="AD3678" s="1"/>
      <c r="AE3678" s="1"/>
      <c r="AF3678" s="1"/>
      <c r="AG3678" s="1"/>
      <c r="AH3678" s="1"/>
    </row>
    <row r="3679" ht="12.75" hidden="1" customHeight="1" outlineLevel="1">
      <c r="A3679" s="17">
        <v>41661.0</v>
      </c>
      <c r="B3679" s="1" t="s">
        <v>343</v>
      </c>
      <c r="C3679" s="1" t="s">
        <v>605</v>
      </c>
      <c r="D3679" s="74">
        <v>300.0</v>
      </c>
      <c r="E3679" s="67">
        <v>76.71</v>
      </c>
      <c r="F3679" s="75">
        <v>0.5149768518518518</v>
      </c>
      <c r="G3679" s="67" t="s">
        <v>453</v>
      </c>
      <c r="H3679" s="68">
        <v>1.2</v>
      </c>
      <c r="I3679" s="76"/>
      <c r="J3679" s="67">
        <f t="shared" ref="J3679:J3684" si="241">IF(B3679="SLD",D3679*E3679,-D3679*E3679)-H3679</f>
        <v>-23014.2</v>
      </c>
      <c r="K3679" s="7"/>
      <c r="L3679" s="70"/>
      <c r="M3679" s="79"/>
      <c r="N3679" s="1"/>
      <c r="O3679" s="1"/>
      <c r="P3679" s="1"/>
      <c r="Q3679" s="1"/>
      <c r="R3679" s="1"/>
      <c r="S3679" s="1"/>
      <c r="T3679" s="1"/>
      <c r="U3679" s="1"/>
      <c r="V3679" s="1"/>
      <c r="W3679" s="1"/>
      <c r="X3679" s="1"/>
      <c r="Y3679" s="1"/>
      <c r="Z3679" s="1"/>
      <c r="AA3679" s="1"/>
      <c r="AB3679" s="1"/>
      <c r="AC3679" s="1"/>
      <c r="AD3679" s="1"/>
      <c r="AE3679" s="1"/>
      <c r="AF3679" s="1"/>
      <c r="AG3679" s="1"/>
      <c r="AH3679" s="1"/>
    </row>
    <row r="3680" ht="12.75" hidden="1" customHeight="1" outlineLevel="1">
      <c r="A3680" s="17">
        <v>41661.0</v>
      </c>
      <c r="B3680" s="1" t="s">
        <v>343</v>
      </c>
      <c r="C3680" s="1" t="s">
        <v>870</v>
      </c>
      <c r="D3680" s="74">
        <v>250.0</v>
      </c>
      <c r="E3680" s="67">
        <v>85.17</v>
      </c>
      <c r="F3680" s="75">
        <v>0.5151388888888889</v>
      </c>
      <c r="G3680" s="67" t="s">
        <v>453</v>
      </c>
      <c r="H3680" s="68">
        <v>1.25</v>
      </c>
      <c r="I3680" s="76"/>
      <c r="J3680" s="67">
        <f t="shared" si="241"/>
        <v>-21293.75</v>
      </c>
      <c r="K3680" s="7"/>
      <c r="L3680" s="70"/>
      <c r="M3680" s="79"/>
      <c r="N3680" s="1"/>
      <c r="O3680" s="1"/>
      <c r="P3680" s="1"/>
      <c r="Q3680" s="1"/>
      <c r="R3680" s="1"/>
      <c r="S3680" s="1"/>
      <c r="T3680" s="1"/>
      <c r="U3680" s="1"/>
      <c r="V3680" s="1"/>
      <c r="W3680" s="1"/>
      <c r="X3680" s="1"/>
      <c r="Y3680" s="1"/>
      <c r="Z3680" s="1"/>
      <c r="AA3680" s="1"/>
      <c r="AB3680" s="1"/>
      <c r="AC3680" s="1"/>
      <c r="AD3680" s="1"/>
      <c r="AE3680" s="1"/>
      <c r="AF3680" s="1"/>
      <c r="AG3680" s="1"/>
      <c r="AH3680" s="1"/>
    </row>
    <row r="3681" ht="12.75" hidden="1" customHeight="1" outlineLevel="1">
      <c r="A3681" s="17">
        <v>41661.0</v>
      </c>
      <c r="B3681" s="1" t="s">
        <v>343</v>
      </c>
      <c r="C3681" s="1" t="s">
        <v>1275</v>
      </c>
      <c r="D3681" s="74">
        <v>650.0</v>
      </c>
      <c r="E3681" s="67">
        <v>35.985</v>
      </c>
      <c r="F3681" s="75">
        <v>0.5151851851851852</v>
      </c>
      <c r="G3681" s="67" t="s">
        <v>453</v>
      </c>
      <c r="H3681" s="68">
        <v>2.75</v>
      </c>
      <c r="I3681" s="76"/>
      <c r="J3681" s="67">
        <f t="shared" si="241"/>
        <v>-23393</v>
      </c>
      <c r="K3681" s="7"/>
      <c r="L3681" s="70"/>
      <c r="M3681" s="79"/>
      <c r="N3681" s="1"/>
      <c r="O3681" s="1"/>
      <c r="P3681" s="1"/>
      <c r="Q3681" s="1"/>
      <c r="R3681" s="1"/>
      <c r="S3681" s="1"/>
      <c r="T3681" s="1"/>
      <c r="U3681" s="1"/>
      <c r="V3681" s="1"/>
      <c r="W3681" s="1"/>
      <c r="X3681" s="1"/>
      <c r="Y3681" s="1"/>
      <c r="Z3681" s="1"/>
      <c r="AA3681" s="1"/>
      <c r="AB3681" s="1"/>
      <c r="AC3681" s="1"/>
      <c r="AD3681" s="1"/>
      <c r="AE3681" s="1"/>
      <c r="AF3681" s="1"/>
      <c r="AG3681" s="1"/>
      <c r="AH3681" s="1"/>
    </row>
    <row r="3682" ht="12.75" hidden="1" customHeight="1" outlineLevel="1">
      <c r="A3682" s="17">
        <v>41661.0</v>
      </c>
      <c r="B3682" s="1" t="s">
        <v>343</v>
      </c>
      <c r="C3682" s="1" t="s">
        <v>1220</v>
      </c>
      <c r="D3682" s="74">
        <v>300.0</v>
      </c>
      <c r="E3682" s="67">
        <v>93.63</v>
      </c>
      <c r="F3682" s="75">
        <v>0.5155208333333333</v>
      </c>
      <c r="G3682" s="67" t="s">
        <v>453</v>
      </c>
      <c r="H3682" s="68">
        <v>1.5</v>
      </c>
      <c r="I3682" s="76"/>
      <c r="J3682" s="67">
        <f t="shared" si="241"/>
        <v>-28090.5</v>
      </c>
      <c r="K3682" s="7"/>
      <c r="L3682" s="70"/>
      <c r="M3682" s="79"/>
      <c r="N3682" s="1"/>
      <c r="O3682" s="1"/>
      <c r="P3682" s="1"/>
      <c r="Q3682" s="1"/>
      <c r="R3682" s="1"/>
      <c r="S3682" s="1"/>
      <c r="T3682" s="1"/>
      <c r="U3682" s="1"/>
      <c r="V3682" s="1"/>
      <c r="W3682" s="1"/>
      <c r="X3682" s="1"/>
      <c r="Y3682" s="1"/>
      <c r="Z3682" s="1"/>
      <c r="AA3682" s="1"/>
      <c r="AB3682" s="1"/>
      <c r="AC3682" s="1"/>
      <c r="AD3682" s="1"/>
      <c r="AE3682" s="1"/>
      <c r="AF3682" s="1"/>
      <c r="AG3682" s="1"/>
      <c r="AH3682" s="1"/>
    </row>
    <row r="3683" ht="12.75" hidden="1" customHeight="1" outlineLevel="1">
      <c r="A3683" s="17">
        <v>41661.0</v>
      </c>
      <c r="B3683" s="1" t="s">
        <v>347</v>
      </c>
      <c r="C3683" s="1" t="s">
        <v>734</v>
      </c>
      <c r="D3683" s="74">
        <v>500.0</v>
      </c>
      <c r="E3683" s="67">
        <v>22.25</v>
      </c>
      <c r="F3683" s="75">
        <v>0.5526273148148148</v>
      </c>
      <c r="G3683" s="67" t="s">
        <v>453</v>
      </c>
      <c r="H3683" s="68">
        <v>2.19</v>
      </c>
      <c r="I3683" s="76"/>
      <c r="J3683" s="67">
        <f t="shared" si="241"/>
        <v>11122.81</v>
      </c>
      <c r="K3683" s="7"/>
      <c r="L3683" s="70"/>
      <c r="M3683" s="79"/>
      <c r="N3683" s="1"/>
      <c r="O3683" s="1"/>
      <c r="P3683" s="1"/>
      <c r="Q3683" s="1"/>
      <c r="R3683" s="1"/>
      <c r="S3683" s="1"/>
      <c r="T3683" s="1"/>
      <c r="U3683" s="1"/>
      <c r="V3683" s="1"/>
      <c r="W3683" s="1"/>
      <c r="X3683" s="1"/>
      <c r="Y3683" s="1"/>
      <c r="Z3683" s="1"/>
      <c r="AA3683" s="1"/>
      <c r="AB3683" s="1"/>
      <c r="AC3683" s="1"/>
      <c r="AD3683" s="1"/>
      <c r="AE3683" s="1"/>
      <c r="AF3683" s="1"/>
      <c r="AG3683" s="1"/>
      <c r="AH3683" s="1"/>
    </row>
    <row r="3684" ht="12.75" hidden="1" customHeight="1" outlineLevel="1">
      <c r="A3684" s="17">
        <v>41661.0</v>
      </c>
      <c r="B3684" s="1" t="s">
        <v>343</v>
      </c>
      <c r="C3684" s="1" t="s">
        <v>784</v>
      </c>
      <c r="D3684" s="74">
        <v>4000.0</v>
      </c>
      <c r="E3684" s="67">
        <v>1.18</v>
      </c>
      <c r="F3684" s="75">
        <v>0.6363773148148147</v>
      </c>
      <c r="G3684" s="67" t="s">
        <v>453</v>
      </c>
      <c r="H3684" s="68">
        <v>23.56</v>
      </c>
      <c r="I3684" s="76"/>
      <c r="J3684" s="67">
        <f t="shared" si="241"/>
        <v>-4743.56</v>
      </c>
      <c r="K3684" s="7" t="s">
        <v>1571</v>
      </c>
      <c r="L3684" s="70"/>
      <c r="M3684" s="79"/>
      <c r="N3684" s="1"/>
      <c r="O3684" s="1"/>
      <c r="P3684" s="1"/>
      <c r="Q3684" s="1"/>
      <c r="R3684" s="1"/>
      <c r="S3684" s="1"/>
      <c r="T3684" s="1"/>
      <c r="U3684" s="1"/>
      <c r="V3684" s="1"/>
      <c r="W3684" s="1"/>
      <c r="X3684" s="1"/>
      <c r="Y3684" s="1"/>
      <c r="Z3684" s="1"/>
      <c r="AA3684" s="1"/>
      <c r="AB3684" s="1"/>
      <c r="AC3684" s="1"/>
      <c r="AD3684" s="1"/>
      <c r="AE3684" s="1"/>
      <c r="AF3684" s="1"/>
      <c r="AG3684" s="1"/>
      <c r="AH3684" s="1"/>
    </row>
    <row r="3685" ht="12.75" hidden="1" customHeight="1" outlineLevel="1">
      <c r="A3685" s="17">
        <v>41661.0</v>
      </c>
      <c r="B3685" s="1"/>
      <c r="C3685" s="1" t="s">
        <v>339</v>
      </c>
      <c r="D3685" s="74"/>
      <c r="E3685" s="67"/>
      <c r="F3685" s="75"/>
      <c r="G3685" s="67"/>
      <c r="H3685" s="68"/>
      <c r="I3685" s="76"/>
      <c r="J3685" s="67"/>
      <c r="K3685" s="7" t="s">
        <v>1572</v>
      </c>
      <c r="L3685" s="77"/>
      <c r="M3685" s="79"/>
      <c r="N3685" s="1"/>
      <c r="O3685" s="1"/>
      <c r="P3685" s="1"/>
      <c r="Q3685" s="1"/>
      <c r="R3685" s="1"/>
      <c r="S3685" s="1"/>
      <c r="T3685" s="1"/>
      <c r="U3685" s="1"/>
      <c r="V3685" s="1"/>
      <c r="W3685" s="1"/>
      <c r="X3685" s="1"/>
      <c r="Y3685" s="1"/>
      <c r="Z3685" s="1"/>
      <c r="AA3685" s="1"/>
      <c r="AB3685" s="1"/>
      <c r="AC3685" s="1"/>
      <c r="AD3685" s="1"/>
      <c r="AE3685" s="1"/>
      <c r="AF3685" s="1"/>
      <c r="AG3685" s="1"/>
      <c r="AH3685" s="1"/>
    </row>
    <row r="3686" ht="12.75" hidden="1" customHeight="1" outlineLevel="1">
      <c r="A3686" s="17">
        <v>41661.0</v>
      </c>
      <c r="B3686" s="1"/>
      <c r="C3686" s="1" t="s">
        <v>429</v>
      </c>
      <c r="D3686" s="74"/>
      <c r="E3686" s="67"/>
      <c r="F3686" s="75"/>
      <c r="G3686" s="67"/>
      <c r="H3686" s="68"/>
      <c r="I3686" s="76"/>
      <c r="J3686" s="67"/>
      <c r="K3686" s="7" t="s">
        <v>1553</v>
      </c>
      <c r="L3686" s="77"/>
      <c r="M3686" s="79"/>
      <c r="N3686" s="1"/>
      <c r="O3686" s="1"/>
      <c r="P3686" s="1"/>
      <c r="Q3686" s="1"/>
      <c r="R3686" s="1"/>
      <c r="S3686" s="1"/>
      <c r="T3686" s="1"/>
      <c r="U3686" s="1"/>
      <c r="V3686" s="1"/>
      <c r="W3686" s="1"/>
      <c r="X3686" s="1"/>
      <c r="Y3686" s="1"/>
      <c r="Z3686" s="1"/>
      <c r="AA3686" s="1"/>
      <c r="AB3686" s="1"/>
      <c r="AC3686" s="1"/>
      <c r="AD3686" s="1"/>
      <c r="AE3686" s="1"/>
      <c r="AF3686" s="1"/>
      <c r="AG3686" s="1"/>
      <c r="AH3686" s="1"/>
    </row>
    <row r="3687" ht="12.75" hidden="1" customHeight="1" outlineLevel="1">
      <c r="A3687" s="17">
        <v>41661.0</v>
      </c>
      <c r="B3687" s="1"/>
      <c r="C3687" s="1" t="s">
        <v>431</v>
      </c>
      <c r="D3687" s="74"/>
      <c r="E3687" s="67"/>
      <c r="F3687" s="75"/>
      <c r="G3687" s="67"/>
      <c r="H3687" s="68"/>
      <c r="I3687" s="76"/>
      <c r="J3687" s="67"/>
      <c r="K3687" s="7" t="s">
        <v>1126</v>
      </c>
      <c r="L3687" s="77"/>
      <c r="M3687" s="79"/>
      <c r="N3687" s="1"/>
      <c r="O3687" s="1"/>
      <c r="P3687" s="1"/>
      <c r="Q3687" s="1"/>
      <c r="R3687" s="1"/>
      <c r="S3687" s="1"/>
      <c r="T3687" s="1"/>
      <c r="U3687" s="1"/>
      <c r="V3687" s="1"/>
      <c r="W3687" s="1"/>
      <c r="X3687" s="1"/>
      <c r="Y3687" s="1"/>
      <c r="Z3687" s="1"/>
      <c r="AA3687" s="1"/>
      <c r="AB3687" s="1"/>
      <c r="AC3687" s="1"/>
      <c r="AD3687" s="1"/>
      <c r="AE3687" s="1"/>
      <c r="AF3687" s="1"/>
      <c r="AG3687" s="1"/>
      <c r="AH3687" s="1"/>
    </row>
    <row r="3688" ht="12.75" hidden="1" customHeight="1" outlineLevel="1">
      <c r="A3688" s="17">
        <v>41661.0</v>
      </c>
      <c r="B3688" s="1"/>
      <c r="C3688" s="1" t="s">
        <v>433</v>
      </c>
      <c r="D3688" s="74"/>
      <c r="E3688" s="67"/>
      <c r="F3688" s="75"/>
      <c r="G3688" s="67"/>
      <c r="H3688" s="68"/>
      <c r="I3688" s="76"/>
      <c r="J3688" s="67"/>
      <c r="K3688" s="7" t="s">
        <v>1103</v>
      </c>
      <c r="L3688" s="77"/>
      <c r="M3688" s="79"/>
      <c r="N3688" s="1"/>
      <c r="O3688" s="1"/>
      <c r="P3688" s="1"/>
      <c r="Q3688" s="1"/>
      <c r="R3688" s="1"/>
      <c r="S3688" s="1"/>
      <c r="T3688" s="1"/>
      <c r="U3688" s="1"/>
      <c r="V3688" s="1"/>
      <c r="W3688" s="1"/>
      <c r="X3688" s="1"/>
      <c r="Y3688" s="1"/>
      <c r="Z3688" s="1"/>
      <c r="AA3688" s="1"/>
      <c r="AB3688" s="1"/>
      <c r="AC3688" s="1"/>
      <c r="AD3688" s="1"/>
      <c r="AE3688" s="1"/>
      <c r="AF3688" s="1"/>
      <c r="AG3688" s="1"/>
      <c r="AH3688" s="1"/>
    </row>
    <row r="3689" ht="12.75" hidden="1" customHeight="1" outlineLevel="1">
      <c r="A3689" s="17">
        <v>41661.0</v>
      </c>
      <c r="B3689" s="1"/>
      <c r="C3689" s="1" t="s">
        <v>435</v>
      </c>
      <c r="D3689" s="74"/>
      <c r="E3689" s="67"/>
      <c r="F3689" s="75"/>
      <c r="G3689" s="67"/>
      <c r="H3689" s="68"/>
      <c r="I3689" s="76"/>
      <c r="J3689" s="67"/>
      <c r="K3689" s="7" t="s">
        <v>1507</v>
      </c>
      <c r="L3689" s="77"/>
      <c r="M3689" s="79"/>
      <c r="N3689" s="1"/>
      <c r="O3689" s="1"/>
      <c r="P3689" s="1"/>
      <c r="Q3689" s="1"/>
      <c r="R3689" s="1"/>
      <c r="S3689" s="1"/>
      <c r="T3689" s="1"/>
      <c r="U3689" s="1"/>
      <c r="V3689" s="1"/>
      <c r="W3689" s="1"/>
      <c r="X3689" s="1"/>
      <c r="Y3689" s="1"/>
      <c r="Z3689" s="1"/>
      <c r="AA3689" s="1"/>
      <c r="AB3689" s="1"/>
      <c r="AC3689" s="1"/>
      <c r="AD3689" s="1"/>
      <c r="AE3689" s="1"/>
      <c r="AF3689" s="1"/>
      <c r="AG3689" s="1"/>
      <c r="AH3689" s="1"/>
    </row>
    <row r="3690" ht="12.75" hidden="1" customHeight="1" outlineLevel="1">
      <c r="A3690" s="17">
        <v>41662.0</v>
      </c>
      <c r="B3690" s="1"/>
      <c r="C3690" s="1" t="s">
        <v>339</v>
      </c>
      <c r="D3690" s="74"/>
      <c r="E3690" s="67"/>
      <c r="F3690" s="75"/>
      <c r="G3690" s="67"/>
      <c r="H3690" s="68"/>
      <c r="I3690" s="76"/>
      <c r="J3690" s="67"/>
      <c r="K3690" s="7" t="s">
        <v>1574</v>
      </c>
      <c r="L3690" s="77"/>
      <c r="M3690" s="79"/>
      <c r="N3690" s="1"/>
      <c r="O3690" s="1"/>
      <c r="P3690" s="1"/>
      <c r="Q3690" s="1"/>
      <c r="R3690" s="1"/>
      <c r="S3690" s="1"/>
      <c r="T3690" s="1"/>
      <c r="U3690" s="1"/>
      <c r="V3690" s="1"/>
      <c r="W3690" s="1"/>
      <c r="X3690" s="1"/>
      <c r="Y3690" s="1"/>
      <c r="Z3690" s="1"/>
      <c r="AA3690" s="1"/>
      <c r="AB3690" s="1"/>
      <c r="AC3690" s="1"/>
      <c r="AD3690" s="1"/>
      <c r="AE3690" s="1"/>
      <c r="AF3690" s="1"/>
      <c r="AG3690" s="1"/>
      <c r="AH3690" s="1"/>
    </row>
    <row r="3691" ht="12.75" hidden="1" customHeight="1" outlineLevel="1">
      <c r="A3691" s="17">
        <v>41662.0</v>
      </c>
      <c r="B3691" s="1"/>
      <c r="C3691" s="1" t="s">
        <v>429</v>
      </c>
      <c r="D3691" s="74"/>
      <c r="E3691" s="67"/>
      <c r="F3691" s="75"/>
      <c r="G3691" s="67"/>
      <c r="H3691" s="68"/>
      <c r="I3691" s="76"/>
      <c r="J3691" s="67"/>
      <c r="K3691" s="7" t="s">
        <v>1553</v>
      </c>
      <c r="L3691" s="77"/>
      <c r="M3691" s="79"/>
      <c r="N3691" s="1"/>
      <c r="O3691" s="1"/>
      <c r="P3691" s="1"/>
      <c r="Q3691" s="1"/>
      <c r="R3691" s="1"/>
      <c r="S3691" s="1"/>
      <c r="T3691" s="1"/>
      <c r="U3691" s="1"/>
      <c r="V3691" s="1"/>
      <c r="W3691" s="1"/>
      <c r="X3691" s="1"/>
      <c r="Y3691" s="1"/>
      <c r="Z3691" s="1"/>
      <c r="AA3691" s="1"/>
      <c r="AB3691" s="1"/>
      <c r="AC3691" s="1"/>
      <c r="AD3691" s="1"/>
      <c r="AE3691" s="1"/>
      <c r="AF3691" s="1"/>
      <c r="AG3691" s="1"/>
      <c r="AH3691" s="1"/>
    </row>
    <row r="3692" ht="12.75" hidden="1" customHeight="1" outlineLevel="1">
      <c r="A3692" s="17">
        <v>41662.0</v>
      </c>
      <c r="B3692" s="1"/>
      <c r="C3692" s="1" t="s">
        <v>431</v>
      </c>
      <c r="D3692" s="74"/>
      <c r="E3692" s="67"/>
      <c r="F3692" s="75"/>
      <c r="G3692" s="67"/>
      <c r="H3692" s="68"/>
      <c r="I3692" s="76"/>
      <c r="J3692" s="67"/>
      <c r="K3692" s="7" t="s">
        <v>1126</v>
      </c>
      <c r="L3692" s="77"/>
      <c r="M3692" s="79"/>
      <c r="N3692" s="1"/>
      <c r="O3692" s="1"/>
      <c r="P3692" s="1"/>
      <c r="Q3692" s="1"/>
      <c r="R3692" s="1"/>
      <c r="S3692" s="1"/>
      <c r="T3692" s="1"/>
      <c r="U3692" s="1"/>
      <c r="V3692" s="1"/>
      <c r="W3692" s="1"/>
      <c r="X3692" s="1"/>
      <c r="Y3692" s="1"/>
      <c r="Z3692" s="1"/>
      <c r="AA3692" s="1"/>
      <c r="AB3692" s="1"/>
      <c r="AC3692" s="1"/>
      <c r="AD3692" s="1"/>
      <c r="AE3692" s="1"/>
      <c r="AF3692" s="1"/>
      <c r="AG3692" s="1"/>
      <c r="AH3692" s="1"/>
    </row>
    <row r="3693" ht="12.75" hidden="1" customHeight="1" outlineLevel="1">
      <c r="A3693" s="17">
        <v>41662.0</v>
      </c>
      <c r="B3693" s="1"/>
      <c r="C3693" s="1" t="s">
        <v>433</v>
      </c>
      <c r="D3693" s="74"/>
      <c r="E3693" s="67"/>
      <c r="F3693" s="75"/>
      <c r="G3693" s="67"/>
      <c r="H3693" s="68"/>
      <c r="I3693" s="76"/>
      <c r="J3693" s="67"/>
      <c r="K3693" s="7" t="s">
        <v>1103</v>
      </c>
      <c r="L3693" s="77"/>
      <c r="M3693" s="79"/>
      <c r="N3693" s="1"/>
      <c r="O3693" s="1"/>
      <c r="P3693" s="1"/>
      <c r="Q3693" s="1"/>
      <c r="R3693" s="1"/>
      <c r="S3693" s="1"/>
      <c r="T3693" s="1"/>
      <c r="U3693" s="1"/>
      <c r="V3693" s="1"/>
      <c r="W3693" s="1"/>
      <c r="X3693" s="1"/>
      <c r="Y3693" s="1"/>
      <c r="Z3693" s="1"/>
      <c r="AA3693" s="1"/>
      <c r="AB3693" s="1"/>
      <c r="AC3693" s="1"/>
      <c r="AD3693" s="1"/>
      <c r="AE3693" s="1"/>
      <c r="AF3693" s="1"/>
      <c r="AG3693" s="1"/>
      <c r="AH3693" s="1"/>
    </row>
    <row r="3694" ht="12.75" hidden="1" customHeight="1" outlineLevel="1">
      <c r="A3694" s="17">
        <v>41662.0</v>
      </c>
      <c r="B3694" s="1"/>
      <c r="C3694" s="1" t="s">
        <v>435</v>
      </c>
      <c r="D3694" s="74"/>
      <c r="E3694" s="67"/>
      <c r="F3694" s="75"/>
      <c r="G3694" s="67"/>
      <c r="H3694" s="68"/>
      <c r="I3694" s="76"/>
      <c r="J3694" s="67"/>
      <c r="K3694" s="7" t="s">
        <v>1507</v>
      </c>
      <c r="L3694" s="77"/>
      <c r="M3694" s="79"/>
      <c r="N3694" s="1"/>
      <c r="O3694" s="1"/>
      <c r="P3694" s="1"/>
      <c r="Q3694" s="1"/>
      <c r="R3694" s="1"/>
      <c r="S3694" s="1"/>
      <c r="T3694" s="1"/>
      <c r="U3694" s="1"/>
      <c r="V3694" s="1"/>
      <c r="W3694" s="1"/>
      <c r="X3694" s="1"/>
      <c r="Y3694" s="1"/>
      <c r="Z3694" s="1"/>
      <c r="AA3694" s="1"/>
      <c r="AB3694" s="1"/>
      <c r="AC3694" s="1"/>
      <c r="AD3694" s="1"/>
      <c r="AE3694" s="1"/>
      <c r="AF3694" s="1"/>
      <c r="AG3694" s="1"/>
      <c r="AH3694" s="1"/>
    </row>
    <row r="3695" ht="12.75" hidden="1" customHeight="1" outlineLevel="1">
      <c r="A3695" s="17">
        <v>41662.0</v>
      </c>
      <c r="B3695" s="1"/>
      <c r="C3695" s="1" t="s">
        <v>339</v>
      </c>
      <c r="D3695" s="74"/>
      <c r="E3695" s="67"/>
      <c r="F3695" s="75"/>
      <c r="G3695" s="67"/>
      <c r="H3695" s="68"/>
      <c r="I3695" s="76"/>
      <c r="J3695" s="67"/>
      <c r="K3695" s="7" t="s">
        <v>1577</v>
      </c>
      <c r="L3695" s="77"/>
      <c r="M3695" s="79"/>
      <c r="N3695" s="1"/>
      <c r="O3695" s="1"/>
      <c r="P3695" s="1"/>
      <c r="Q3695" s="1"/>
      <c r="R3695" s="1"/>
      <c r="S3695" s="1"/>
      <c r="T3695" s="1"/>
      <c r="U3695" s="1"/>
      <c r="V3695" s="1"/>
      <c r="W3695" s="1"/>
      <c r="X3695" s="1"/>
      <c r="Y3695" s="1"/>
      <c r="Z3695" s="1"/>
      <c r="AA3695" s="1"/>
      <c r="AB3695" s="1"/>
      <c r="AC3695" s="1"/>
      <c r="AD3695" s="1"/>
      <c r="AE3695" s="1"/>
      <c r="AF3695" s="1"/>
      <c r="AG3695" s="1"/>
      <c r="AH3695" s="1"/>
    </row>
    <row r="3696" ht="12.75" hidden="1" customHeight="1" outlineLevel="1">
      <c r="A3696" s="17">
        <v>41662.0</v>
      </c>
      <c r="B3696" s="1"/>
      <c r="C3696" s="1" t="s">
        <v>429</v>
      </c>
      <c r="D3696" s="74"/>
      <c r="E3696" s="67"/>
      <c r="F3696" s="75"/>
      <c r="G3696" s="67"/>
      <c r="H3696" s="68"/>
      <c r="I3696" s="76"/>
      <c r="J3696" s="67"/>
      <c r="K3696" s="7" t="s">
        <v>1553</v>
      </c>
      <c r="L3696" s="77"/>
      <c r="M3696" s="79"/>
      <c r="N3696" s="1"/>
      <c r="O3696" s="1"/>
      <c r="P3696" s="1"/>
      <c r="Q3696" s="1"/>
      <c r="R3696" s="1"/>
      <c r="S3696" s="1"/>
      <c r="T3696" s="1"/>
      <c r="U3696" s="1"/>
      <c r="V3696" s="1"/>
      <c r="W3696" s="1"/>
      <c r="X3696" s="1"/>
      <c r="Y3696" s="1"/>
      <c r="Z3696" s="1"/>
      <c r="AA3696" s="1"/>
      <c r="AB3696" s="1"/>
      <c r="AC3696" s="1"/>
      <c r="AD3696" s="1"/>
      <c r="AE3696" s="1"/>
      <c r="AF3696" s="1"/>
      <c r="AG3696" s="1"/>
      <c r="AH3696" s="1"/>
    </row>
    <row r="3697" ht="12.75" hidden="1" customHeight="1" outlineLevel="1">
      <c r="A3697" s="17">
        <v>41662.0</v>
      </c>
      <c r="B3697" s="1"/>
      <c r="C3697" s="1" t="s">
        <v>431</v>
      </c>
      <c r="D3697" s="74"/>
      <c r="E3697" s="67"/>
      <c r="F3697" s="75"/>
      <c r="G3697" s="67"/>
      <c r="H3697" s="68"/>
      <c r="I3697" s="76"/>
      <c r="J3697" s="67"/>
      <c r="K3697" s="7" t="s">
        <v>1126</v>
      </c>
      <c r="L3697" s="77"/>
      <c r="M3697" s="79"/>
      <c r="N3697" s="1"/>
      <c r="O3697" s="1"/>
      <c r="P3697" s="1"/>
      <c r="Q3697" s="1"/>
      <c r="R3697" s="1"/>
      <c r="S3697" s="1"/>
      <c r="T3697" s="1"/>
      <c r="U3697" s="1"/>
      <c r="V3697" s="1"/>
      <c r="W3697" s="1"/>
      <c r="X3697" s="1"/>
      <c r="Y3697" s="1"/>
      <c r="Z3697" s="1"/>
      <c r="AA3697" s="1"/>
      <c r="AB3697" s="1"/>
      <c r="AC3697" s="1"/>
      <c r="AD3697" s="1"/>
      <c r="AE3697" s="1"/>
      <c r="AF3697" s="1"/>
      <c r="AG3697" s="1"/>
      <c r="AH3697" s="1"/>
    </row>
    <row r="3698" ht="12.75" hidden="1" customHeight="1" outlineLevel="1">
      <c r="A3698" s="17">
        <v>41662.0</v>
      </c>
      <c r="B3698" s="1"/>
      <c r="C3698" s="1" t="s">
        <v>433</v>
      </c>
      <c r="D3698" s="74"/>
      <c r="E3698" s="67"/>
      <c r="F3698" s="75"/>
      <c r="G3698" s="67"/>
      <c r="H3698" s="68"/>
      <c r="I3698" s="76"/>
      <c r="J3698" s="67"/>
      <c r="K3698" s="7" t="s">
        <v>1103</v>
      </c>
      <c r="L3698" s="77"/>
      <c r="M3698" s="79"/>
      <c r="N3698" s="1"/>
      <c r="O3698" s="1"/>
      <c r="P3698" s="1"/>
      <c r="Q3698" s="1"/>
      <c r="R3698" s="1"/>
      <c r="S3698" s="1"/>
      <c r="T3698" s="1"/>
      <c r="U3698" s="1"/>
      <c r="V3698" s="1"/>
      <c r="W3698" s="1"/>
      <c r="X3698" s="1"/>
      <c r="Y3698" s="1"/>
      <c r="Z3698" s="1"/>
      <c r="AA3698" s="1"/>
      <c r="AB3698" s="1"/>
      <c r="AC3698" s="1"/>
      <c r="AD3698" s="1"/>
      <c r="AE3698" s="1"/>
      <c r="AF3698" s="1"/>
      <c r="AG3698" s="1"/>
      <c r="AH3698" s="1"/>
    </row>
    <row r="3699" ht="12.75" hidden="1" customHeight="1" outlineLevel="1">
      <c r="A3699" s="17">
        <v>41662.0</v>
      </c>
      <c r="B3699" s="1"/>
      <c r="C3699" s="1" t="s">
        <v>435</v>
      </c>
      <c r="D3699" s="74"/>
      <c r="E3699" s="67"/>
      <c r="F3699" s="75"/>
      <c r="G3699" s="67"/>
      <c r="H3699" s="68"/>
      <c r="I3699" s="76"/>
      <c r="J3699" s="67"/>
      <c r="K3699" s="7" t="s">
        <v>1507</v>
      </c>
      <c r="L3699" s="77"/>
      <c r="M3699" s="79"/>
      <c r="N3699" s="1"/>
      <c r="O3699" s="1"/>
      <c r="P3699" s="1"/>
      <c r="Q3699" s="1"/>
      <c r="R3699" s="1"/>
      <c r="S3699" s="1"/>
      <c r="T3699" s="1"/>
      <c r="U3699" s="1"/>
      <c r="V3699" s="1"/>
      <c r="W3699" s="1"/>
      <c r="X3699" s="1"/>
      <c r="Y3699" s="1"/>
      <c r="Z3699" s="1"/>
      <c r="AA3699" s="1"/>
      <c r="AB3699" s="1"/>
      <c r="AC3699" s="1"/>
      <c r="AD3699" s="1"/>
      <c r="AE3699" s="1"/>
      <c r="AF3699" s="1"/>
      <c r="AG3699" s="1"/>
      <c r="AH3699" s="1"/>
    </row>
    <row r="3700" ht="12.75" hidden="1" customHeight="1" outlineLevel="1">
      <c r="A3700" s="17">
        <v>41663.0</v>
      </c>
      <c r="B3700" s="1"/>
      <c r="C3700" s="1" t="s">
        <v>339</v>
      </c>
      <c r="D3700" s="74"/>
      <c r="E3700" s="67"/>
      <c r="F3700" s="75"/>
      <c r="G3700" s="67"/>
      <c r="H3700" s="68"/>
      <c r="I3700" s="76"/>
      <c r="J3700" s="67"/>
      <c r="K3700" s="7" t="s">
        <v>1577</v>
      </c>
      <c r="L3700" s="77"/>
      <c r="M3700" s="79"/>
      <c r="N3700" s="1"/>
      <c r="O3700" s="1"/>
      <c r="P3700" s="1"/>
      <c r="Q3700" s="1"/>
      <c r="R3700" s="1"/>
      <c r="S3700" s="1"/>
      <c r="T3700" s="1"/>
      <c r="U3700" s="1"/>
      <c r="V3700" s="1"/>
      <c r="W3700" s="1"/>
      <c r="X3700" s="1"/>
      <c r="Y3700" s="1"/>
      <c r="Z3700" s="1"/>
      <c r="AA3700" s="1"/>
      <c r="AB3700" s="1"/>
      <c r="AC3700" s="1"/>
      <c r="AD3700" s="1"/>
      <c r="AE3700" s="1"/>
      <c r="AF3700" s="1"/>
      <c r="AG3700" s="1"/>
      <c r="AH3700" s="1"/>
    </row>
    <row r="3701" ht="12.75" hidden="1" customHeight="1" outlineLevel="1">
      <c r="A3701" s="17">
        <v>41663.0</v>
      </c>
      <c r="B3701" s="1"/>
      <c r="C3701" s="1" t="s">
        <v>429</v>
      </c>
      <c r="D3701" s="74"/>
      <c r="E3701" s="67"/>
      <c r="F3701" s="75"/>
      <c r="G3701" s="67"/>
      <c r="H3701" s="68"/>
      <c r="I3701" s="76"/>
      <c r="J3701" s="67"/>
      <c r="K3701" s="7" t="s">
        <v>1553</v>
      </c>
      <c r="L3701" s="77"/>
      <c r="M3701" s="79"/>
      <c r="N3701" s="1"/>
      <c r="O3701" s="1"/>
      <c r="P3701" s="1"/>
      <c r="Q3701" s="1"/>
      <c r="R3701" s="1"/>
      <c r="S3701" s="1"/>
      <c r="T3701" s="1"/>
      <c r="U3701" s="1"/>
      <c r="V3701" s="1"/>
      <c r="W3701" s="1"/>
      <c r="X3701" s="1"/>
      <c r="Y3701" s="1"/>
      <c r="Z3701" s="1"/>
      <c r="AA3701" s="1"/>
      <c r="AB3701" s="1"/>
      <c r="AC3701" s="1"/>
      <c r="AD3701" s="1"/>
      <c r="AE3701" s="1"/>
      <c r="AF3701" s="1"/>
      <c r="AG3701" s="1"/>
      <c r="AH3701" s="1"/>
    </row>
    <row r="3702" ht="12.75" hidden="1" customHeight="1" outlineLevel="1">
      <c r="A3702" s="17">
        <v>41663.0</v>
      </c>
      <c r="B3702" s="1"/>
      <c r="C3702" s="1" t="s">
        <v>431</v>
      </c>
      <c r="D3702" s="74"/>
      <c r="E3702" s="67"/>
      <c r="F3702" s="75"/>
      <c r="G3702" s="67"/>
      <c r="H3702" s="68"/>
      <c r="I3702" s="76"/>
      <c r="J3702" s="67"/>
      <c r="K3702" s="7" t="s">
        <v>1126</v>
      </c>
      <c r="L3702" s="77"/>
      <c r="M3702" s="79"/>
      <c r="N3702" s="1"/>
      <c r="O3702" s="1"/>
      <c r="P3702" s="1"/>
      <c r="Q3702" s="1"/>
      <c r="R3702" s="1"/>
      <c r="S3702" s="1"/>
      <c r="T3702" s="1"/>
      <c r="U3702" s="1"/>
      <c r="V3702" s="1"/>
      <c r="W3702" s="1"/>
      <c r="X3702" s="1"/>
      <c r="Y3702" s="1"/>
      <c r="Z3702" s="1"/>
      <c r="AA3702" s="1"/>
      <c r="AB3702" s="1"/>
      <c r="AC3702" s="1"/>
      <c r="AD3702" s="1"/>
      <c r="AE3702" s="1"/>
      <c r="AF3702" s="1"/>
      <c r="AG3702" s="1"/>
      <c r="AH3702" s="1"/>
    </row>
    <row r="3703" ht="12.75" hidden="1" customHeight="1" outlineLevel="1">
      <c r="A3703" s="17">
        <v>41663.0</v>
      </c>
      <c r="B3703" s="1"/>
      <c r="C3703" s="1" t="s">
        <v>433</v>
      </c>
      <c r="D3703" s="74"/>
      <c r="E3703" s="67"/>
      <c r="F3703" s="75"/>
      <c r="G3703" s="67"/>
      <c r="H3703" s="68"/>
      <c r="I3703" s="76"/>
      <c r="J3703" s="67"/>
      <c r="K3703" s="7" t="s">
        <v>1103</v>
      </c>
      <c r="L3703" s="77"/>
      <c r="M3703" s="79"/>
      <c r="N3703" s="1"/>
      <c r="O3703" s="1"/>
      <c r="P3703" s="1"/>
      <c r="Q3703" s="1"/>
      <c r="R3703" s="1"/>
      <c r="S3703" s="1"/>
      <c r="T3703" s="1"/>
      <c r="U3703" s="1"/>
      <c r="V3703" s="1"/>
      <c r="W3703" s="1"/>
      <c r="X3703" s="1"/>
      <c r="Y3703" s="1"/>
      <c r="Z3703" s="1"/>
      <c r="AA3703" s="1"/>
      <c r="AB3703" s="1"/>
      <c r="AC3703" s="1"/>
      <c r="AD3703" s="1"/>
      <c r="AE3703" s="1"/>
      <c r="AF3703" s="1"/>
      <c r="AG3703" s="1"/>
      <c r="AH3703" s="1"/>
    </row>
    <row r="3704" ht="12.75" hidden="1" customHeight="1" outlineLevel="1">
      <c r="A3704" s="17">
        <v>41663.0</v>
      </c>
      <c r="B3704" s="1"/>
      <c r="C3704" s="1" t="s">
        <v>435</v>
      </c>
      <c r="D3704" s="74"/>
      <c r="E3704" s="67"/>
      <c r="F3704" s="75"/>
      <c r="G3704" s="67"/>
      <c r="H3704" s="68"/>
      <c r="I3704" s="76"/>
      <c r="J3704" s="67"/>
      <c r="K3704" s="7" t="s">
        <v>1507</v>
      </c>
      <c r="L3704" s="77"/>
      <c r="M3704" s="79"/>
      <c r="N3704" s="1"/>
      <c r="O3704" s="1"/>
      <c r="P3704" s="1"/>
      <c r="Q3704" s="1"/>
      <c r="R3704" s="1"/>
      <c r="S3704" s="1"/>
      <c r="T3704" s="1"/>
      <c r="U3704" s="1"/>
      <c r="V3704" s="1"/>
      <c r="W3704" s="1"/>
      <c r="X3704" s="1"/>
      <c r="Y3704" s="1"/>
      <c r="Z3704" s="1"/>
      <c r="AA3704" s="1"/>
      <c r="AB3704" s="1"/>
      <c r="AC3704" s="1"/>
      <c r="AD3704" s="1"/>
      <c r="AE3704" s="1"/>
      <c r="AF3704" s="1"/>
      <c r="AG3704" s="1"/>
      <c r="AH3704" s="1"/>
    </row>
    <row r="3705" ht="12.75" hidden="1" customHeight="1" outlineLevel="1">
      <c r="A3705" s="17">
        <v>41663.0</v>
      </c>
      <c r="B3705" s="1" t="s">
        <v>347</v>
      </c>
      <c r="C3705" s="1" t="s">
        <v>904</v>
      </c>
      <c r="D3705" s="74">
        <v>450.0</v>
      </c>
      <c r="E3705" s="67">
        <v>49.11</v>
      </c>
      <c r="F3705" s="75">
        <v>0.5250231481481481</v>
      </c>
      <c r="G3705" s="67" t="s">
        <v>453</v>
      </c>
      <c r="H3705" s="68">
        <v>2.53</v>
      </c>
      <c r="I3705" s="76"/>
      <c r="J3705" s="67">
        <f t="shared" ref="J3705:J3736" si="242">IF(B3705="SLD",D3705*E3705,-D3705*E3705)-H3705</f>
        <v>22096.97</v>
      </c>
      <c r="K3705" s="7"/>
      <c r="L3705" s="70"/>
      <c r="M3705" s="79"/>
      <c r="N3705" s="1"/>
      <c r="O3705" s="1"/>
      <c r="P3705" s="1"/>
      <c r="Q3705" s="1"/>
      <c r="R3705" s="1"/>
      <c r="S3705" s="1"/>
      <c r="T3705" s="1"/>
      <c r="U3705" s="1"/>
      <c r="V3705" s="1"/>
      <c r="W3705" s="1"/>
      <c r="X3705" s="1"/>
      <c r="Y3705" s="1"/>
      <c r="Z3705" s="1"/>
      <c r="AA3705" s="1"/>
      <c r="AB3705" s="1"/>
      <c r="AC3705" s="1"/>
      <c r="AD3705" s="1"/>
      <c r="AE3705" s="1"/>
      <c r="AF3705" s="1"/>
      <c r="AG3705" s="1"/>
      <c r="AH3705" s="1"/>
    </row>
    <row r="3706" ht="12.75" hidden="1" customHeight="1" outlineLevel="1">
      <c r="A3706" s="17">
        <v>41663.0</v>
      </c>
      <c r="B3706" s="1" t="s">
        <v>347</v>
      </c>
      <c r="C3706" s="1" t="s">
        <v>890</v>
      </c>
      <c r="D3706" s="74">
        <v>1600.0</v>
      </c>
      <c r="E3706" s="67">
        <v>16.52</v>
      </c>
      <c r="F3706" s="75">
        <v>0.527962962962963</v>
      </c>
      <c r="G3706" s="67" t="s">
        <v>453</v>
      </c>
      <c r="H3706" s="68">
        <v>6.96</v>
      </c>
      <c r="I3706" s="76"/>
      <c r="J3706" s="67">
        <f t="shared" si="242"/>
        <v>26425.04</v>
      </c>
      <c r="K3706" s="7"/>
      <c r="L3706" s="70"/>
      <c r="M3706" s="79"/>
      <c r="N3706" s="1"/>
      <c r="O3706" s="1"/>
      <c r="P3706" s="1"/>
      <c r="Q3706" s="1"/>
      <c r="R3706" s="1"/>
      <c r="S3706" s="1"/>
      <c r="T3706" s="1"/>
      <c r="U3706" s="1"/>
      <c r="V3706" s="1"/>
      <c r="W3706" s="1"/>
      <c r="X3706" s="1"/>
      <c r="Y3706" s="1"/>
      <c r="Z3706" s="1"/>
      <c r="AA3706" s="1"/>
      <c r="AB3706" s="1"/>
      <c r="AC3706" s="1"/>
      <c r="AD3706" s="1"/>
      <c r="AE3706" s="1"/>
      <c r="AF3706" s="1"/>
      <c r="AG3706" s="1"/>
      <c r="AH3706" s="1"/>
    </row>
    <row r="3707" ht="12.75" hidden="1" customHeight="1" outlineLevel="1">
      <c r="A3707" s="17">
        <v>41663.0</v>
      </c>
      <c r="B3707" s="1" t="s">
        <v>347</v>
      </c>
      <c r="C3707" s="1" t="s">
        <v>352</v>
      </c>
      <c r="D3707" s="74">
        <v>600.0</v>
      </c>
      <c r="E3707" s="67">
        <v>45.83</v>
      </c>
      <c r="F3707" s="75">
        <v>0.5282060185185186</v>
      </c>
      <c r="G3707" s="67" t="s">
        <v>453</v>
      </c>
      <c r="H3707" s="68">
        <v>2.88</v>
      </c>
      <c r="I3707" s="76"/>
      <c r="J3707" s="67">
        <f t="shared" si="242"/>
        <v>27495.12</v>
      </c>
      <c r="K3707" s="7"/>
      <c r="L3707" s="70"/>
      <c r="M3707" s="79"/>
      <c r="N3707" s="1"/>
      <c r="O3707" s="1"/>
      <c r="P3707" s="1"/>
      <c r="Q3707" s="1"/>
      <c r="R3707" s="1"/>
      <c r="S3707" s="1"/>
      <c r="T3707" s="1"/>
      <c r="U3707" s="1"/>
      <c r="V3707" s="1"/>
      <c r="W3707" s="1"/>
      <c r="X3707" s="1"/>
      <c r="Y3707" s="1"/>
      <c r="Z3707" s="1"/>
      <c r="AA3707" s="1"/>
      <c r="AB3707" s="1"/>
      <c r="AC3707" s="1"/>
      <c r="AD3707" s="1"/>
      <c r="AE3707" s="1"/>
      <c r="AF3707" s="1"/>
      <c r="AG3707" s="1"/>
      <c r="AH3707" s="1"/>
    </row>
    <row r="3708" ht="12.75" hidden="1" customHeight="1" outlineLevel="1">
      <c r="A3708" s="17">
        <v>41663.0</v>
      </c>
      <c r="B3708" s="1" t="s">
        <v>347</v>
      </c>
      <c r="C3708" s="1" t="s">
        <v>1220</v>
      </c>
      <c r="D3708" s="74">
        <v>300.0</v>
      </c>
      <c r="E3708" s="67">
        <v>91.63</v>
      </c>
      <c r="F3708" s="75">
        <v>0.5289583333333333</v>
      </c>
      <c r="G3708" s="67" t="s">
        <v>453</v>
      </c>
      <c r="H3708" s="68">
        <v>1.98</v>
      </c>
      <c r="I3708" s="76"/>
      <c r="J3708" s="67">
        <f t="shared" si="242"/>
        <v>27487.02</v>
      </c>
      <c r="K3708" s="7"/>
      <c r="L3708" s="70"/>
      <c r="M3708" s="79"/>
      <c r="N3708" s="1"/>
      <c r="O3708" s="1"/>
      <c r="P3708" s="1"/>
      <c r="Q3708" s="1"/>
      <c r="R3708" s="1"/>
      <c r="S3708" s="1"/>
      <c r="T3708" s="1"/>
      <c r="U3708" s="1"/>
      <c r="V3708" s="1"/>
      <c r="W3708" s="1"/>
      <c r="X3708" s="1"/>
      <c r="Y3708" s="1"/>
      <c r="Z3708" s="1"/>
      <c r="AA3708" s="1"/>
      <c r="AB3708" s="1"/>
      <c r="AC3708" s="1"/>
      <c r="AD3708" s="1"/>
      <c r="AE3708" s="1"/>
      <c r="AF3708" s="1"/>
      <c r="AG3708" s="1"/>
      <c r="AH3708" s="1"/>
    </row>
    <row r="3709" ht="12.75" hidden="1" customHeight="1" outlineLevel="1">
      <c r="A3709" s="17">
        <v>41663.0</v>
      </c>
      <c r="B3709" s="1" t="s">
        <v>347</v>
      </c>
      <c r="C3709" s="1" t="s">
        <v>1222</v>
      </c>
      <c r="D3709" s="74">
        <v>220.0</v>
      </c>
      <c r="E3709" s="67">
        <v>111.306</v>
      </c>
      <c r="F3709" s="75">
        <v>0.5299074074074074</v>
      </c>
      <c r="G3709" s="67" t="s">
        <v>453</v>
      </c>
      <c r="H3709" s="68">
        <v>2.43</v>
      </c>
      <c r="I3709" s="76"/>
      <c r="J3709" s="67">
        <f t="shared" si="242"/>
        <v>24484.89</v>
      </c>
      <c r="K3709" s="7"/>
      <c r="L3709" s="70"/>
      <c r="M3709" s="79"/>
      <c r="N3709" s="1"/>
      <c r="O3709" s="1"/>
      <c r="P3709" s="1"/>
      <c r="Q3709" s="1"/>
      <c r="R3709" s="1"/>
      <c r="S3709" s="1"/>
      <c r="T3709" s="1"/>
      <c r="U3709" s="1"/>
      <c r="V3709" s="1"/>
      <c r="W3709" s="1"/>
      <c r="X3709" s="1"/>
      <c r="Y3709" s="1"/>
      <c r="Z3709" s="1"/>
      <c r="AA3709" s="1"/>
      <c r="AB3709" s="1"/>
      <c r="AC3709" s="1"/>
      <c r="AD3709" s="1"/>
      <c r="AE3709" s="1"/>
      <c r="AF3709" s="1"/>
      <c r="AG3709" s="1"/>
      <c r="AH3709" s="1"/>
    </row>
    <row r="3710" ht="12.75" hidden="1" customHeight="1" outlineLevel="1">
      <c r="A3710" s="17">
        <v>41663.0</v>
      </c>
      <c r="B3710" s="1" t="s">
        <v>347</v>
      </c>
      <c r="C3710" s="1" t="s">
        <v>734</v>
      </c>
      <c r="D3710" s="74">
        <v>500.0</v>
      </c>
      <c r="E3710" s="67">
        <v>21.42</v>
      </c>
      <c r="F3710" s="75">
        <v>0.5304861111111111</v>
      </c>
      <c r="G3710" s="67" t="s">
        <v>453</v>
      </c>
      <c r="H3710" s="68">
        <v>2.19</v>
      </c>
      <c r="I3710" s="76"/>
      <c r="J3710" s="67">
        <f t="shared" si="242"/>
        <v>10707.81</v>
      </c>
      <c r="K3710" s="7"/>
      <c r="L3710" s="70"/>
      <c r="M3710" s="79"/>
      <c r="N3710" s="1"/>
      <c r="O3710" s="1"/>
      <c r="P3710" s="1"/>
      <c r="Q3710" s="1"/>
      <c r="R3710" s="1"/>
      <c r="S3710" s="1"/>
      <c r="T3710" s="1"/>
      <c r="U3710" s="1"/>
      <c r="V3710" s="1"/>
      <c r="W3710" s="1"/>
      <c r="X3710" s="1"/>
      <c r="Y3710" s="1"/>
      <c r="Z3710" s="1"/>
      <c r="AA3710" s="1"/>
      <c r="AB3710" s="1"/>
      <c r="AC3710" s="1"/>
      <c r="AD3710" s="1"/>
      <c r="AE3710" s="1"/>
      <c r="AF3710" s="1"/>
      <c r="AG3710" s="1"/>
      <c r="AH3710" s="1"/>
    </row>
    <row r="3711" ht="12.75" hidden="1" customHeight="1" outlineLevel="1">
      <c r="A3711" s="17">
        <v>41663.0</v>
      </c>
      <c r="B3711" s="1" t="s">
        <v>347</v>
      </c>
      <c r="C3711" s="1" t="s">
        <v>1325</v>
      </c>
      <c r="D3711" s="74">
        <v>350.0</v>
      </c>
      <c r="E3711" s="67">
        <v>64.63</v>
      </c>
      <c r="F3711" s="75">
        <v>0.5354282407407408</v>
      </c>
      <c r="G3711" s="67" t="s">
        <v>453</v>
      </c>
      <c r="H3711" s="68">
        <v>1.79</v>
      </c>
      <c r="I3711" s="76"/>
      <c r="J3711" s="67">
        <f t="shared" si="242"/>
        <v>22618.71</v>
      </c>
      <c r="K3711" s="7"/>
      <c r="L3711" s="70"/>
      <c r="M3711" s="79"/>
      <c r="N3711" s="1"/>
      <c r="O3711" s="1"/>
      <c r="P3711" s="1"/>
      <c r="Q3711" s="1"/>
      <c r="R3711" s="1"/>
      <c r="S3711" s="1"/>
      <c r="T3711" s="1"/>
      <c r="U3711" s="1"/>
      <c r="V3711" s="1"/>
      <c r="W3711" s="1"/>
      <c r="X3711" s="1"/>
      <c r="Y3711" s="1"/>
      <c r="Z3711" s="1"/>
      <c r="AA3711" s="1"/>
      <c r="AB3711" s="1"/>
      <c r="AC3711" s="1"/>
      <c r="AD3711" s="1"/>
      <c r="AE3711" s="1"/>
      <c r="AF3711" s="1"/>
      <c r="AG3711" s="1"/>
      <c r="AH3711" s="1"/>
    </row>
    <row r="3712" ht="12.75" hidden="1" customHeight="1" outlineLevel="1">
      <c r="A3712" s="17">
        <v>41663.0</v>
      </c>
      <c r="B3712" s="1" t="s">
        <v>347</v>
      </c>
      <c r="C3712" s="1" t="s">
        <v>1275</v>
      </c>
      <c r="D3712" s="74">
        <v>650.0</v>
      </c>
      <c r="E3712" s="67">
        <v>34.82</v>
      </c>
      <c r="F3712" s="75">
        <v>0.5355787037037038</v>
      </c>
      <c r="G3712" s="67" t="s">
        <v>453</v>
      </c>
      <c r="H3712" s="68">
        <v>3.54</v>
      </c>
      <c r="I3712" s="76"/>
      <c r="J3712" s="67">
        <f t="shared" si="242"/>
        <v>22629.46</v>
      </c>
      <c r="K3712" s="7"/>
      <c r="L3712" s="70"/>
      <c r="M3712" s="79"/>
      <c r="N3712" s="1"/>
      <c r="O3712" s="1"/>
      <c r="P3712" s="1"/>
      <c r="Q3712" s="1"/>
      <c r="R3712" s="1"/>
      <c r="S3712" s="1"/>
      <c r="T3712" s="1"/>
      <c r="U3712" s="1"/>
      <c r="V3712" s="1"/>
      <c r="W3712" s="1"/>
      <c r="X3712" s="1"/>
      <c r="Y3712" s="1"/>
      <c r="Z3712" s="1"/>
      <c r="AA3712" s="1"/>
      <c r="AB3712" s="1"/>
      <c r="AC3712" s="1"/>
      <c r="AD3712" s="1"/>
      <c r="AE3712" s="1"/>
      <c r="AF3712" s="1"/>
      <c r="AG3712" s="1"/>
      <c r="AH3712" s="1"/>
    </row>
    <row r="3713" ht="12.75" hidden="1" customHeight="1" outlineLevel="1">
      <c r="A3713" s="17">
        <v>41663.0</v>
      </c>
      <c r="B3713" s="1" t="s">
        <v>347</v>
      </c>
      <c r="C3713" s="1" t="s">
        <v>605</v>
      </c>
      <c r="D3713" s="74">
        <v>300.0</v>
      </c>
      <c r="E3713" s="67">
        <v>75.01</v>
      </c>
      <c r="F3713" s="75">
        <v>0.5358564814814815</v>
      </c>
      <c r="G3713" s="67" t="s">
        <v>453</v>
      </c>
      <c r="H3713" s="68">
        <v>1.79</v>
      </c>
      <c r="I3713" s="76"/>
      <c r="J3713" s="67">
        <f t="shared" si="242"/>
        <v>22501.21</v>
      </c>
      <c r="K3713" s="7"/>
      <c r="L3713" s="70"/>
      <c r="M3713" s="79"/>
      <c r="N3713" s="1"/>
      <c r="O3713" s="1"/>
      <c r="P3713" s="1"/>
      <c r="Q3713" s="1"/>
      <c r="R3713" s="1"/>
      <c r="S3713" s="1"/>
      <c r="T3713" s="1"/>
      <c r="U3713" s="1"/>
      <c r="V3713" s="1"/>
      <c r="W3713" s="1"/>
      <c r="X3713" s="1"/>
      <c r="Y3713" s="1"/>
      <c r="Z3713" s="1"/>
      <c r="AA3713" s="1"/>
      <c r="AB3713" s="1"/>
      <c r="AC3713" s="1"/>
      <c r="AD3713" s="1"/>
      <c r="AE3713" s="1"/>
      <c r="AF3713" s="1"/>
      <c r="AG3713" s="1"/>
      <c r="AH3713" s="1"/>
    </row>
    <row r="3714" ht="12.75" hidden="1" customHeight="1" outlineLevel="1">
      <c r="A3714" s="17">
        <v>41663.0</v>
      </c>
      <c r="B3714" s="1" t="s">
        <v>347</v>
      </c>
      <c r="C3714" s="1" t="s">
        <v>870</v>
      </c>
      <c r="D3714" s="74">
        <v>250.0</v>
      </c>
      <c r="E3714" s="67">
        <v>83.21</v>
      </c>
      <c r="F3714" s="75">
        <v>0.5360763888888889</v>
      </c>
      <c r="G3714" s="67" t="s">
        <v>453</v>
      </c>
      <c r="H3714" s="68">
        <v>1.51</v>
      </c>
      <c r="I3714" s="76"/>
      <c r="J3714" s="67">
        <f t="shared" si="242"/>
        <v>20800.99</v>
      </c>
      <c r="K3714" s="7"/>
      <c r="L3714" s="70"/>
      <c r="M3714" s="79"/>
      <c r="N3714" s="1"/>
      <c r="O3714" s="1"/>
      <c r="P3714" s="1"/>
      <c r="Q3714" s="1"/>
      <c r="R3714" s="1"/>
      <c r="S3714" s="1"/>
      <c r="T3714" s="1"/>
      <c r="U3714" s="1"/>
      <c r="V3714" s="1"/>
      <c r="W3714" s="1"/>
      <c r="X3714" s="1"/>
      <c r="Y3714" s="1"/>
      <c r="Z3714" s="1"/>
      <c r="AA3714" s="1"/>
      <c r="AB3714" s="1"/>
      <c r="AC3714" s="1"/>
      <c r="AD3714" s="1"/>
      <c r="AE3714" s="1"/>
      <c r="AF3714" s="1"/>
      <c r="AG3714" s="1"/>
      <c r="AH3714" s="1"/>
    </row>
    <row r="3715" ht="12.75" hidden="1" customHeight="1" outlineLevel="1">
      <c r="A3715" s="17">
        <v>41663.0</v>
      </c>
      <c r="B3715" s="1" t="s">
        <v>347</v>
      </c>
      <c r="C3715" s="1" t="s">
        <v>344</v>
      </c>
      <c r="D3715" s="74">
        <v>200.0</v>
      </c>
      <c r="E3715" s="67">
        <v>48.14</v>
      </c>
      <c r="F3715" s="75">
        <v>0.536875</v>
      </c>
      <c r="G3715" s="67" t="s">
        <v>453</v>
      </c>
      <c r="H3715" s="68">
        <v>1.17</v>
      </c>
      <c r="I3715" s="76"/>
      <c r="J3715" s="67">
        <f t="shared" si="242"/>
        <v>9626.83</v>
      </c>
      <c r="K3715" s="7"/>
      <c r="L3715" s="70"/>
      <c r="M3715" s="79"/>
      <c r="N3715" s="1"/>
      <c r="O3715" s="1"/>
      <c r="P3715" s="1"/>
      <c r="Q3715" s="1"/>
      <c r="R3715" s="1"/>
      <c r="S3715" s="1"/>
      <c r="T3715" s="1"/>
      <c r="U3715" s="1"/>
      <c r="V3715" s="1"/>
      <c r="W3715" s="1"/>
      <c r="X3715" s="1"/>
      <c r="Y3715" s="1"/>
      <c r="Z3715" s="1"/>
      <c r="AA3715" s="1"/>
      <c r="AB3715" s="1"/>
      <c r="AC3715" s="1"/>
      <c r="AD3715" s="1"/>
      <c r="AE3715" s="1"/>
      <c r="AF3715" s="1"/>
      <c r="AG3715" s="1"/>
      <c r="AH3715" s="1"/>
    </row>
    <row r="3716" ht="12.75" hidden="1" customHeight="1" outlineLevel="1">
      <c r="A3716" s="17">
        <v>41663.0</v>
      </c>
      <c r="B3716" s="1" t="s">
        <v>347</v>
      </c>
      <c r="C3716" s="1" t="s">
        <v>1470</v>
      </c>
      <c r="D3716" s="74">
        <v>210.0</v>
      </c>
      <c r="E3716" s="67">
        <v>104.555</v>
      </c>
      <c r="F3716" s="75">
        <v>0.5380787037037037</v>
      </c>
      <c r="G3716" s="67" t="s">
        <v>453</v>
      </c>
      <c r="H3716" s="68">
        <v>1.38</v>
      </c>
      <c r="I3716" s="76"/>
      <c r="J3716" s="67">
        <f t="shared" si="242"/>
        <v>21955.17</v>
      </c>
      <c r="K3716" s="7"/>
      <c r="L3716" s="70"/>
      <c r="M3716" s="79"/>
      <c r="N3716" s="1"/>
      <c r="O3716" s="1"/>
      <c r="P3716" s="1"/>
      <c r="Q3716" s="1"/>
      <c r="R3716" s="1"/>
      <c r="S3716" s="1"/>
      <c r="T3716" s="1"/>
      <c r="U3716" s="1"/>
      <c r="V3716" s="1"/>
      <c r="W3716" s="1"/>
      <c r="X3716" s="1"/>
      <c r="Y3716" s="1"/>
      <c r="Z3716" s="1"/>
      <c r="AA3716" s="1"/>
      <c r="AB3716" s="1"/>
      <c r="AC3716" s="1"/>
      <c r="AD3716" s="1"/>
      <c r="AE3716" s="1"/>
      <c r="AF3716" s="1"/>
      <c r="AG3716" s="1"/>
      <c r="AH3716" s="1"/>
    </row>
    <row r="3717" ht="12.75" hidden="1" customHeight="1" outlineLevel="1">
      <c r="A3717" s="17">
        <v>41663.0</v>
      </c>
      <c r="B3717" s="1" t="s">
        <v>347</v>
      </c>
      <c r="C3717" s="1" t="s">
        <v>1112</v>
      </c>
      <c r="D3717" s="74">
        <v>300.0</v>
      </c>
      <c r="E3717" s="67">
        <v>79.927</v>
      </c>
      <c r="F3717" s="75">
        <v>0.538912037037037</v>
      </c>
      <c r="G3717" s="67" t="s">
        <v>453</v>
      </c>
      <c r="H3717" s="68">
        <v>1.72</v>
      </c>
      <c r="I3717" s="76"/>
      <c r="J3717" s="67">
        <f t="shared" si="242"/>
        <v>23976.38</v>
      </c>
      <c r="K3717" s="7"/>
      <c r="L3717" s="70"/>
      <c r="M3717" s="79"/>
      <c r="N3717" s="1"/>
      <c r="O3717" s="1"/>
      <c r="P3717" s="1"/>
      <c r="Q3717" s="1"/>
      <c r="R3717" s="1"/>
      <c r="S3717" s="1"/>
      <c r="T3717" s="1"/>
      <c r="U3717" s="1"/>
      <c r="V3717" s="1"/>
      <c r="W3717" s="1"/>
      <c r="X3717" s="1"/>
      <c r="Y3717" s="1"/>
      <c r="Z3717" s="1"/>
      <c r="AA3717" s="1"/>
      <c r="AB3717" s="1"/>
      <c r="AC3717" s="1"/>
      <c r="AD3717" s="1"/>
      <c r="AE3717" s="1"/>
      <c r="AF3717" s="1"/>
      <c r="AG3717" s="1"/>
      <c r="AH3717" s="1"/>
    </row>
    <row r="3718" ht="12.75" hidden="1" customHeight="1" outlineLevel="1">
      <c r="A3718" s="17">
        <v>41663.0</v>
      </c>
      <c r="B3718" s="1" t="s">
        <v>347</v>
      </c>
      <c r="C3718" s="1" t="s">
        <v>1370</v>
      </c>
      <c r="D3718" s="74">
        <v>350.0</v>
      </c>
      <c r="E3718" s="67">
        <v>63.5</v>
      </c>
      <c r="F3718" s="75">
        <v>0.5397916666666667</v>
      </c>
      <c r="G3718" s="67" t="s">
        <v>453</v>
      </c>
      <c r="H3718" s="68">
        <v>2.04</v>
      </c>
      <c r="I3718" s="76"/>
      <c r="J3718" s="67">
        <f t="shared" si="242"/>
        <v>22222.96</v>
      </c>
      <c r="K3718" s="7"/>
      <c r="L3718" s="70"/>
      <c r="M3718" s="79"/>
      <c r="N3718" s="1"/>
      <c r="O3718" s="1"/>
      <c r="P3718" s="1"/>
      <c r="Q3718" s="1"/>
      <c r="R3718" s="1"/>
      <c r="S3718" s="1"/>
      <c r="T3718" s="1"/>
      <c r="U3718" s="1"/>
      <c r="V3718" s="1"/>
      <c r="W3718" s="1"/>
      <c r="X3718" s="1"/>
      <c r="Y3718" s="1"/>
      <c r="Z3718" s="1"/>
      <c r="AA3718" s="1"/>
      <c r="AB3718" s="1"/>
      <c r="AC3718" s="1"/>
      <c r="AD3718" s="1"/>
      <c r="AE3718" s="1"/>
      <c r="AF3718" s="1"/>
      <c r="AG3718" s="1"/>
      <c r="AH3718" s="1"/>
    </row>
    <row r="3719" ht="12.75" hidden="1" customHeight="1" outlineLevel="1">
      <c r="A3719" s="17">
        <v>41663.0</v>
      </c>
      <c r="B3719" s="1" t="s">
        <v>347</v>
      </c>
      <c r="C3719" s="1" t="s">
        <v>364</v>
      </c>
      <c r="D3719" s="74">
        <v>50.0</v>
      </c>
      <c r="E3719" s="67">
        <v>123.4</v>
      </c>
      <c r="F3719" s="75">
        <v>0.5404050925925926</v>
      </c>
      <c r="G3719" s="67" t="s">
        <v>453</v>
      </c>
      <c r="H3719" s="68">
        <v>1.11</v>
      </c>
      <c r="I3719" s="76"/>
      <c r="J3719" s="67">
        <f t="shared" si="242"/>
        <v>6168.89</v>
      </c>
      <c r="K3719" s="7"/>
      <c r="L3719" s="70"/>
      <c r="M3719" s="79"/>
      <c r="N3719" s="1"/>
      <c r="O3719" s="1"/>
      <c r="P3719" s="1"/>
      <c r="Q3719" s="1"/>
      <c r="R3719" s="1"/>
      <c r="S3719" s="1"/>
      <c r="T3719" s="1"/>
      <c r="U3719" s="1"/>
      <c r="V3719" s="1"/>
      <c r="W3719" s="1"/>
      <c r="X3719" s="1"/>
      <c r="Y3719" s="1"/>
      <c r="Z3719" s="1"/>
      <c r="AA3719" s="1"/>
      <c r="AB3719" s="1"/>
      <c r="AC3719" s="1"/>
      <c r="AD3719" s="1"/>
      <c r="AE3719" s="1"/>
      <c r="AF3719" s="1"/>
      <c r="AG3719" s="1"/>
      <c r="AH3719" s="1"/>
    </row>
    <row r="3720" ht="12.75" hidden="1" customHeight="1" outlineLevel="1">
      <c r="A3720" s="17">
        <v>41663.0</v>
      </c>
      <c r="B3720" s="1" t="s">
        <v>347</v>
      </c>
      <c r="C3720" s="1" t="s">
        <v>1158</v>
      </c>
      <c r="D3720" s="74">
        <v>800.0</v>
      </c>
      <c r="E3720" s="67">
        <v>31.41</v>
      </c>
      <c r="F3720" s="75">
        <v>0.5410185185185185</v>
      </c>
      <c r="G3720" s="67" t="s">
        <v>453</v>
      </c>
      <c r="H3720" s="68">
        <v>3.74</v>
      </c>
      <c r="I3720" s="76"/>
      <c r="J3720" s="67">
        <f t="shared" si="242"/>
        <v>25124.26</v>
      </c>
      <c r="K3720" s="7"/>
      <c r="L3720" s="70"/>
      <c r="M3720" s="79"/>
      <c r="N3720" s="1"/>
      <c r="O3720" s="1"/>
      <c r="P3720" s="1"/>
      <c r="Q3720" s="1"/>
      <c r="R3720" s="1"/>
      <c r="S3720" s="1"/>
      <c r="T3720" s="1"/>
      <c r="U3720" s="1"/>
      <c r="V3720" s="1"/>
      <c r="W3720" s="1"/>
      <c r="X3720" s="1"/>
      <c r="Y3720" s="1"/>
      <c r="Z3720" s="1"/>
      <c r="AA3720" s="1"/>
      <c r="AB3720" s="1"/>
      <c r="AC3720" s="1"/>
      <c r="AD3720" s="1"/>
      <c r="AE3720" s="1"/>
      <c r="AF3720" s="1"/>
      <c r="AG3720" s="1"/>
      <c r="AH3720" s="1"/>
    </row>
    <row r="3721" ht="12.75" hidden="1" customHeight="1" outlineLevel="1">
      <c r="A3721" s="17">
        <v>41663.0</v>
      </c>
      <c r="B3721" s="1" t="s">
        <v>347</v>
      </c>
      <c r="C3721" s="1" t="s">
        <v>1357</v>
      </c>
      <c r="D3721" s="74">
        <v>275.0</v>
      </c>
      <c r="E3721" s="67">
        <v>104.01</v>
      </c>
      <c r="F3721" s="75">
        <v>0.5413425925925927</v>
      </c>
      <c r="G3721" s="67" t="s">
        <v>453</v>
      </c>
      <c r="H3721" s="68">
        <v>1.87</v>
      </c>
      <c r="I3721" s="76"/>
      <c r="J3721" s="67">
        <f t="shared" si="242"/>
        <v>28600.88</v>
      </c>
      <c r="K3721" s="7"/>
      <c r="L3721" s="70"/>
      <c r="M3721" s="79"/>
      <c r="N3721" s="1"/>
      <c r="O3721" s="1"/>
      <c r="P3721" s="1"/>
      <c r="Q3721" s="1"/>
      <c r="R3721" s="1"/>
      <c r="S3721" s="1"/>
      <c r="T3721" s="1"/>
      <c r="U3721" s="1"/>
      <c r="V3721" s="1"/>
      <c r="W3721" s="1"/>
      <c r="X3721" s="1"/>
      <c r="Y3721" s="1"/>
      <c r="Z3721" s="1"/>
      <c r="AA3721" s="1"/>
      <c r="AB3721" s="1"/>
      <c r="AC3721" s="1"/>
      <c r="AD3721" s="1"/>
      <c r="AE3721" s="1"/>
      <c r="AF3721" s="1"/>
      <c r="AG3721" s="1"/>
      <c r="AH3721" s="1"/>
    </row>
    <row r="3722" ht="12.75" hidden="1" customHeight="1" outlineLevel="1">
      <c r="A3722" s="17">
        <v>41663.0</v>
      </c>
      <c r="B3722" s="1" t="s">
        <v>347</v>
      </c>
      <c r="C3722" s="1" t="s">
        <v>1118</v>
      </c>
      <c r="D3722" s="74">
        <v>700.0</v>
      </c>
      <c r="E3722" s="67">
        <v>32.55</v>
      </c>
      <c r="F3722" s="75">
        <v>0.5474652777777778</v>
      </c>
      <c r="G3722" s="67" t="s">
        <v>453</v>
      </c>
      <c r="H3722" s="68">
        <v>3.3</v>
      </c>
      <c r="I3722" s="76"/>
      <c r="J3722" s="67">
        <f t="shared" si="242"/>
        <v>22781.7</v>
      </c>
      <c r="K3722" s="7"/>
      <c r="L3722" s="70"/>
      <c r="M3722" s="79"/>
      <c r="N3722" s="1"/>
      <c r="O3722" s="1"/>
      <c r="P3722" s="1"/>
      <c r="Q3722" s="1"/>
      <c r="R3722" s="1"/>
      <c r="S3722" s="1"/>
      <c r="T3722" s="1"/>
      <c r="U3722" s="1"/>
      <c r="V3722" s="1"/>
      <c r="W3722" s="1"/>
      <c r="X3722" s="1"/>
      <c r="Y3722" s="1"/>
      <c r="Z3722" s="1"/>
      <c r="AA3722" s="1"/>
      <c r="AB3722" s="1"/>
      <c r="AC3722" s="1"/>
      <c r="AD3722" s="1"/>
      <c r="AE3722" s="1"/>
      <c r="AF3722" s="1"/>
      <c r="AG3722" s="1"/>
      <c r="AH3722" s="1"/>
    </row>
    <row r="3723" ht="12.75" hidden="1" customHeight="1" outlineLevel="1">
      <c r="A3723" s="17">
        <v>41663.0</v>
      </c>
      <c r="B3723" s="1" t="s">
        <v>347</v>
      </c>
      <c r="C3723" s="1" t="s">
        <v>344</v>
      </c>
      <c r="D3723" s="74">
        <v>700.0</v>
      </c>
      <c r="E3723" s="67">
        <v>48.31</v>
      </c>
      <c r="F3723" s="75">
        <v>0.5516898148148148</v>
      </c>
      <c r="G3723" s="67" t="s">
        <v>453</v>
      </c>
      <c r="H3723" s="68">
        <v>3.39</v>
      </c>
      <c r="I3723" s="76"/>
      <c r="J3723" s="67">
        <f t="shared" si="242"/>
        <v>33813.61</v>
      </c>
      <c r="K3723" s="7"/>
      <c r="L3723" s="70"/>
      <c r="M3723" s="79"/>
      <c r="N3723" s="1"/>
      <c r="O3723" s="1"/>
      <c r="P3723" s="1"/>
      <c r="Q3723" s="1"/>
      <c r="R3723" s="1"/>
      <c r="S3723" s="1"/>
      <c r="T3723" s="1"/>
      <c r="U3723" s="1"/>
      <c r="V3723" s="1"/>
      <c r="W3723" s="1"/>
      <c r="X3723" s="1"/>
      <c r="Y3723" s="1"/>
      <c r="Z3723" s="1"/>
      <c r="AA3723" s="1"/>
      <c r="AB3723" s="1"/>
      <c r="AC3723" s="1"/>
      <c r="AD3723" s="1"/>
      <c r="AE3723" s="1"/>
      <c r="AF3723" s="1"/>
      <c r="AG3723" s="1"/>
      <c r="AH3723" s="1"/>
    </row>
    <row r="3724" ht="12.75" hidden="1" customHeight="1" outlineLevel="1">
      <c r="A3724" s="17">
        <v>41663.0</v>
      </c>
      <c r="B3724" s="1" t="s">
        <v>347</v>
      </c>
      <c r="C3724" s="1" t="s">
        <v>734</v>
      </c>
      <c r="D3724" s="74">
        <v>500.0</v>
      </c>
      <c r="E3724" s="67">
        <v>21.43</v>
      </c>
      <c r="F3724" s="75">
        <v>0.5524537037037037</v>
      </c>
      <c r="G3724" s="67" t="s">
        <v>453</v>
      </c>
      <c r="H3724" s="68">
        <v>2.69</v>
      </c>
      <c r="I3724" s="76"/>
      <c r="J3724" s="67">
        <f t="shared" si="242"/>
        <v>10712.31</v>
      </c>
      <c r="K3724" s="7"/>
      <c r="L3724" s="70"/>
      <c r="M3724" s="79"/>
      <c r="N3724" s="1"/>
      <c r="O3724" s="1"/>
      <c r="P3724" s="1"/>
      <c r="Q3724" s="1"/>
      <c r="R3724" s="1"/>
      <c r="S3724" s="1"/>
      <c r="T3724" s="1"/>
      <c r="U3724" s="1"/>
      <c r="V3724" s="1"/>
      <c r="W3724" s="1"/>
      <c r="X3724" s="1"/>
      <c r="Y3724" s="1"/>
      <c r="Z3724" s="1"/>
      <c r="AA3724" s="1"/>
      <c r="AB3724" s="1"/>
      <c r="AC3724" s="1"/>
      <c r="AD3724" s="1"/>
      <c r="AE3724" s="1"/>
      <c r="AF3724" s="1"/>
      <c r="AG3724" s="1"/>
      <c r="AH3724" s="1"/>
    </row>
    <row r="3725" ht="12.75" hidden="1" customHeight="1" outlineLevel="1">
      <c r="A3725" s="17">
        <v>41663.0</v>
      </c>
      <c r="B3725" s="1" t="s">
        <v>347</v>
      </c>
      <c r="C3725" s="1" t="s">
        <v>1185</v>
      </c>
      <c r="D3725" s="74">
        <v>30.0</v>
      </c>
      <c r="E3725" s="67">
        <v>228.92</v>
      </c>
      <c r="F3725" s="75">
        <v>0.5582523148148147</v>
      </c>
      <c r="G3725" s="67" t="s">
        <v>453</v>
      </c>
      <c r="H3725" s="68">
        <v>1.12</v>
      </c>
      <c r="I3725" s="76"/>
      <c r="J3725" s="67">
        <f t="shared" si="242"/>
        <v>6866.48</v>
      </c>
      <c r="K3725" s="7"/>
      <c r="L3725" s="70"/>
      <c r="M3725" s="79"/>
      <c r="N3725" s="1"/>
      <c r="O3725" s="1"/>
      <c r="P3725" s="1"/>
      <c r="Q3725" s="1"/>
      <c r="R3725" s="1"/>
      <c r="S3725" s="1"/>
      <c r="T3725" s="1"/>
      <c r="U3725" s="1"/>
      <c r="V3725" s="1"/>
      <c r="W3725" s="1"/>
      <c r="X3725" s="1"/>
      <c r="Y3725" s="1"/>
      <c r="Z3725" s="1"/>
      <c r="AA3725" s="1"/>
      <c r="AB3725" s="1"/>
      <c r="AC3725" s="1"/>
      <c r="AD3725" s="1"/>
      <c r="AE3725" s="1"/>
      <c r="AF3725" s="1"/>
      <c r="AG3725" s="1"/>
      <c r="AH3725" s="1"/>
    </row>
    <row r="3726" ht="12.75" hidden="1" customHeight="1" outlineLevel="1">
      <c r="A3726" s="17">
        <v>41663.0</v>
      </c>
      <c r="B3726" s="1" t="s">
        <v>343</v>
      </c>
      <c r="C3726" s="1" t="s">
        <v>1044</v>
      </c>
      <c r="D3726" s="74">
        <v>1200.0</v>
      </c>
      <c r="E3726" s="67">
        <v>23.62</v>
      </c>
      <c r="F3726" s="75">
        <v>0.5670717592592592</v>
      </c>
      <c r="G3726" s="67" t="s">
        <v>453</v>
      </c>
      <c r="H3726" s="68">
        <v>5.9</v>
      </c>
      <c r="I3726" s="76"/>
      <c r="J3726" s="67">
        <f t="shared" si="242"/>
        <v>-28349.9</v>
      </c>
      <c r="K3726" s="7"/>
      <c r="L3726" s="70"/>
      <c r="M3726" s="79"/>
      <c r="N3726" s="1"/>
      <c r="O3726" s="1"/>
      <c r="P3726" s="1"/>
      <c r="Q3726" s="1"/>
      <c r="R3726" s="1"/>
      <c r="S3726" s="1"/>
      <c r="T3726" s="1"/>
      <c r="U3726" s="1"/>
      <c r="V3726" s="1"/>
      <c r="W3726" s="1"/>
      <c r="X3726" s="1"/>
      <c r="Y3726" s="1"/>
      <c r="Z3726" s="1"/>
      <c r="AA3726" s="1"/>
      <c r="AB3726" s="1"/>
      <c r="AC3726" s="1"/>
      <c r="AD3726" s="1"/>
      <c r="AE3726" s="1"/>
      <c r="AF3726" s="1"/>
      <c r="AG3726" s="1"/>
      <c r="AH3726" s="1"/>
    </row>
    <row r="3727" ht="12.75" hidden="1" customHeight="1" outlineLevel="1">
      <c r="A3727" s="17">
        <v>41663.0</v>
      </c>
      <c r="B3727" s="1" t="s">
        <v>347</v>
      </c>
      <c r="C3727" s="1" t="s">
        <v>1060</v>
      </c>
      <c r="D3727" s="74">
        <v>400.0</v>
      </c>
      <c r="E3727" s="67">
        <v>33.61</v>
      </c>
      <c r="F3727" s="75">
        <v>0.5690740740740741</v>
      </c>
      <c r="G3727" s="67" t="s">
        <v>453</v>
      </c>
      <c r="H3727" s="68">
        <v>1.83</v>
      </c>
      <c r="I3727" s="76"/>
      <c r="J3727" s="67">
        <f t="shared" si="242"/>
        <v>13442.17</v>
      </c>
      <c r="K3727" s="7"/>
      <c r="L3727" s="70"/>
      <c r="M3727" s="79"/>
      <c r="N3727" s="1"/>
      <c r="O3727" s="1"/>
      <c r="P3727" s="1"/>
      <c r="Q3727" s="1"/>
      <c r="R3727" s="1"/>
      <c r="S3727" s="1"/>
      <c r="T3727" s="1"/>
      <c r="U3727" s="1"/>
      <c r="V3727" s="1"/>
      <c r="W3727" s="1"/>
      <c r="X3727" s="1"/>
      <c r="Y3727" s="1"/>
      <c r="Z3727" s="1"/>
      <c r="AA3727" s="1"/>
      <c r="AB3727" s="1"/>
      <c r="AC3727" s="1"/>
      <c r="AD3727" s="1"/>
      <c r="AE3727" s="1"/>
      <c r="AF3727" s="1"/>
      <c r="AG3727" s="1"/>
      <c r="AH3727" s="1"/>
    </row>
    <row r="3728" ht="12.75" hidden="1" customHeight="1" outlineLevel="1">
      <c r="A3728" s="17">
        <v>41663.0</v>
      </c>
      <c r="B3728" s="1" t="s">
        <v>347</v>
      </c>
      <c r="C3728" s="1" t="s">
        <v>1060</v>
      </c>
      <c r="D3728" s="74">
        <v>300.0</v>
      </c>
      <c r="E3728" s="67">
        <v>33.55</v>
      </c>
      <c r="F3728" s="75">
        <v>0.6118402777777777</v>
      </c>
      <c r="G3728" s="67" t="s">
        <v>453</v>
      </c>
      <c r="H3728" s="68">
        <v>1.68</v>
      </c>
      <c r="I3728" s="76"/>
      <c r="J3728" s="67">
        <f t="shared" si="242"/>
        <v>10063.32</v>
      </c>
      <c r="K3728" s="7"/>
      <c r="L3728" s="70"/>
      <c r="M3728" s="79"/>
      <c r="N3728" s="1"/>
      <c r="O3728" s="1"/>
      <c r="P3728" s="1"/>
      <c r="Q3728" s="1"/>
      <c r="R3728" s="1"/>
      <c r="S3728" s="1"/>
      <c r="T3728" s="1"/>
      <c r="U3728" s="1"/>
      <c r="V3728" s="1"/>
      <c r="W3728" s="1"/>
      <c r="X3728" s="1"/>
      <c r="Y3728" s="1"/>
      <c r="Z3728" s="1"/>
      <c r="AA3728" s="1"/>
      <c r="AB3728" s="1"/>
      <c r="AC3728" s="1"/>
      <c r="AD3728" s="1"/>
      <c r="AE3728" s="1"/>
      <c r="AF3728" s="1"/>
      <c r="AG3728" s="1"/>
      <c r="AH3728" s="1"/>
    </row>
    <row r="3729" ht="12.75" hidden="1" customHeight="1" outlineLevel="1">
      <c r="A3729" s="17">
        <v>41663.0</v>
      </c>
      <c r="B3729" s="1" t="s">
        <v>347</v>
      </c>
      <c r="C3729" s="1" t="s">
        <v>1049</v>
      </c>
      <c r="D3729" s="74">
        <v>20.0</v>
      </c>
      <c r="E3729" s="67">
        <v>551.1614</v>
      </c>
      <c r="F3729" s="75">
        <v>0.6128587962962962</v>
      </c>
      <c r="G3729" s="67" t="s">
        <v>453</v>
      </c>
      <c r="H3729" s="68">
        <v>1.19</v>
      </c>
      <c r="I3729" s="76"/>
      <c r="J3729" s="67">
        <f t="shared" si="242"/>
        <v>11022.038</v>
      </c>
      <c r="K3729" s="7"/>
      <c r="L3729" s="70"/>
      <c r="M3729" s="79"/>
      <c r="N3729" s="1"/>
      <c r="O3729" s="1"/>
      <c r="P3729" s="1"/>
      <c r="Q3729" s="1"/>
      <c r="R3729" s="1"/>
      <c r="S3729" s="1"/>
      <c r="T3729" s="1"/>
      <c r="U3729" s="1"/>
      <c r="V3729" s="1"/>
      <c r="W3729" s="1"/>
      <c r="X3729" s="1"/>
      <c r="Y3729" s="1"/>
      <c r="Z3729" s="1"/>
      <c r="AA3729" s="1"/>
      <c r="AB3729" s="1"/>
      <c r="AC3729" s="1"/>
      <c r="AD3729" s="1"/>
      <c r="AE3729" s="1"/>
      <c r="AF3729" s="1"/>
      <c r="AG3729" s="1"/>
      <c r="AH3729" s="1"/>
    </row>
    <row r="3730" ht="12.75" hidden="1" customHeight="1" outlineLevel="1">
      <c r="A3730" s="17">
        <v>41663.0</v>
      </c>
      <c r="B3730" s="1" t="s">
        <v>347</v>
      </c>
      <c r="C3730" s="1" t="s">
        <v>1369</v>
      </c>
      <c r="D3730" s="74">
        <v>500.0</v>
      </c>
      <c r="E3730" s="67">
        <v>14.85</v>
      </c>
      <c r="F3730" s="75">
        <v>0.613113425925926</v>
      </c>
      <c r="G3730" s="67" t="s">
        <v>453</v>
      </c>
      <c r="H3730" s="68">
        <v>2.53</v>
      </c>
      <c r="I3730" s="76"/>
      <c r="J3730" s="67">
        <f t="shared" si="242"/>
        <v>7422.47</v>
      </c>
      <c r="K3730" s="7"/>
      <c r="L3730" s="70"/>
      <c r="M3730" s="79"/>
      <c r="N3730" s="1"/>
      <c r="O3730" s="1"/>
      <c r="P3730" s="1"/>
      <c r="Q3730" s="1"/>
      <c r="R3730" s="1"/>
      <c r="S3730" s="1"/>
      <c r="T3730" s="1"/>
      <c r="U3730" s="1"/>
      <c r="V3730" s="1"/>
      <c r="W3730" s="1"/>
      <c r="X3730" s="1"/>
      <c r="Y3730" s="1"/>
      <c r="Z3730" s="1"/>
      <c r="AA3730" s="1"/>
      <c r="AB3730" s="1"/>
      <c r="AC3730" s="1"/>
      <c r="AD3730" s="1"/>
      <c r="AE3730" s="1"/>
      <c r="AF3730" s="1"/>
      <c r="AG3730" s="1"/>
      <c r="AH3730" s="1"/>
    </row>
    <row r="3731" ht="12.75" hidden="1" customHeight="1" outlineLevel="1">
      <c r="A3731" s="17">
        <v>41663.0</v>
      </c>
      <c r="B3731" s="1" t="s">
        <v>347</v>
      </c>
      <c r="C3731" s="1" t="s">
        <v>356</v>
      </c>
      <c r="D3731" s="74">
        <v>30.0</v>
      </c>
      <c r="E3731" s="67">
        <v>320.2</v>
      </c>
      <c r="F3731" s="75">
        <v>0.6211805555555555</v>
      </c>
      <c r="G3731" s="67" t="s">
        <v>453</v>
      </c>
      <c r="H3731" s="68">
        <v>1.17</v>
      </c>
      <c r="I3731" s="76"/>
      <c r="J3731" s="67">
        <f t="shared" si="242"/>
        <v>9604.83</v>
      </c>
      <c r="K3731" s="7"/>
      <c r="L3731" s="70"/>
      <c r="M3731" s="79"/>
      <c r="N3731" s="1"/>
      <c r="O3731" s="1"/>
      <c r="P3731" s="1"/>
      <c r="Q3731" s="1"/>
      <c r="R3731" s="1"/>
      <c r="S3731" s="1"/>
      <c r="T3731" s="1"/>
      <c r="U3731" s="1"/>
      <c r="V3731" s="1"/>
      <c r="W3731" s="1"/>
      <c r="X3731" s="1"/>
      <c r="Y3731" s="1"/>
      <c r="Z3731" s="1"/>
      <c r="AA3731" s="1"/>
      <c r="AB3731" s="1"/>
      <c r="AC3731" s="1"/>
      <c r="AD3731" s="1"/>
      <c r="AE3731" s="1"/>
      <c r="AF3731" s="1"/>
      <c r="AG3731" s="1"/>
      <c r="AH3731" s="1"/>
    </row>
    <row r="3732" ht="12.75" hidden="1" customHeight="1" outlineLevel="1">
      <c r="A3732" s="17">
        <v>41663.0</v>
      </c>
      <c r="B3732" s="1" t="s">
        <v>347</v>
      </c>
      <c r="C3732" s="1" t="s">
        <v>458</v>
      </c>
      <c r="D3732" s="74">
        <v>200.0</v>
      </c>
      <c r="E3732" s="67">
        <v>51.685</v>
      </c>
      <c r="F3732" s="75">
        <v>0.62625</v>
      </c>
      <c r="G3732" s="67" t="s">
        <v>453</v>
      </c>
      <c r="H3732" s="68">
        <v>1.18</v>
      </c>
      <c r="I3732" s="76"/>
      <c r="J3732" s="67">
        <f t="shared" si="242"/>
        <v>10335.82</v>
      </c>
      <c r="K3732" s="7"/>
      <c r="L3732" s="70"/>
      <c r="M3732" s="79"/>
      <c r="N3732" s="1"/>
      <c r="O3732" s="1"/>
      <c r="P3732" s="1"/>
      <c r="Q3732" s="1"/>
      <c r="R3732" s="1"/>
      <c r="S3732" s="1"/>
      <c r="T3732" s="1"/>
      <c r="U3732" s="1"/>
      <c r="V3732" s="1"/>
      <c r="W3732" s="1"/>
      <c r="X3732" s="1"/>
      <c r="Y3732" s="1"/>
      <c r="Z3732" s="1"/>
      <c r="AA3732" s="1"/>
      <c r="AB3732" s="1"/>
      <c r="AC3732" s="1"/>
      <c r="AD3732" s="1"/>
      <c r="AE3732" s="1"/>
      <c r="AF3732" s="1"/>
      <c r="AG3732" s="1"/>
      <c r="AH3732" s="1"/>
    </row>
    <row r="3733" ht="12.75" hidden="1" customHeight="1" outlineLevel="1">
      <c r="A3733" s="17">
        <v>41663.0</v>
      </c>
      <c r="B3733" s="1" t="s">
        <v>347</v>
      </c>
      <c r="C3733" s="1" t="s">
        <v>1371</v>
      </c>
      <c r="D3733" s="74">
        <v>100.0</v>
      </c>
      <c r="E3733" s="67">
        <v>47.14</v>
      </c>
      <c r="F3733" s="75">
        <v>0.6270138888888889</v>
      </c>
      <c r="G3733" s="67" t="s">
        <v>453</v>
      </c>
      <c r="H3733" s="68">
        <v>1.08</v>
      </c>
      <c r="I3733" s="76"/>
      <c r="J3733" s="67">
        <f t="shared" si="242"/>
        <v>4712.92</v>
      </c>
      <c r="K3733" s="7"/>
      <c r="L3733" s="70"/>
      <c r="M3733" s="79"/>
      <c r="N3733" s="1"/>
      <c r="O3733" s="1"/>
      <c r="P3733" s="1"/>
      <c r="Q3733" s="1"/>
      <c r="R3733" s="1"/>
      <c r="S3733" s="1"/>
      <c r="T3733" s="1"/>
      <c r="U3733" s="1"/>
      <c r="V3733" s="1"/>
      <c r="W3733" s="1"/>
      <c r="X3733" s="1"/>
      <c r="Y3733" s="1"/>
      <c r="Z3733" s="1"/>
      <c r="AA3733" s="1"/>
      <c r="AB3733" s="1"/>
      <c r="AC3733" s="1"/>
      <c r="AD3733" s="1"/>
      <c r="AE3733" s="1"/>
      <c r="AF3733" s="1"/>
      <c r="AG3733" s="1"/>
      <c r="AH3733" s="1"/>
    </row>
    <row r="3734" ht="12.75" hidden="1" customHeight="1" outlineLevel="1">
      <c r="A3734" s="17">
        <v>41663.0</v>
      </c>
      <c r="B3734" s="1" t="s">
        <v>347</v>
      </c>
      <c r="C3734" s="1" t="s">
        <v>354</v>
      </c>
      <c r="D3734" s="74">
        <v>100.0</v>
      </c>
      <c r="E3734" s="67">
        <v>138.25</v>
      </c>
      <c r="F3734" s="75">
        <v>0.6271527777777778</v>
      </c>
      <c r="G3734" s="67" t="s">
        <v>453</v>
      </c>
      <c r="H3734" s="68">
        <v>1.24</v>
      </c>
      <c r="I3734" s="76"/>
      <c r="J3734" s="67">
        <f t="shared" si="242"/>
        <v>13823.76</v>
      </c>
      <c r="K3734" s="7"/>
      <c r="L3734" s="70"/>
      <c r="M3734" s="79"/>
      <c r="N3734" s="1"/>
      <c r="O3734" s="1"/>
      <c r="P3734" s="1"/>
      <c r="Q3734" s="1"/>
      <c r="R3734" s="1"/>
      <c r="S3734" s="1"/>
      <c r="T3734" s="1"/>
      <c r="U3734" s="1"/>
      <c r="V3734" s="1"/>
      <c r="W3734" s="1"/>
      <c r="X3734" s="1"/>
      <c r="Y3734" s="1"/>
      <c r="Z3734" s="1"/>
      <c r="AA3734" s="1"/>
      <c r="AB3734" s="1"/>
      <c r="AC3734" s="1"/>
      <c r="AD3734" s="1"/>
      <c r="AE3734" s="1"/>
      <c r="AF3734" s="1"/>
      <c r="AG3734" s="1"/>
      <c r="AH3734" s="1"/>
    </row>
    <row r="3735" ht="12.75" hidden="1" customHeight="1" outlineLevel="1">
      <c r="A3735" s="17">
        <v>41663.0</v>
      </c>
      <c r="B3735" s="1" t="s">
        <v>347</v>
      </c>
      <c r="C3735" s="1" t="s">
        <v>1082</v>
      </c>
      <c r="D3735" s="74">
        <v>20.0</v>
      </c>
      <c r="E3735" s="67">
        <v>502.33</v>
      </c>
      <c r="F3735" s="75">
        <v>0.6291435185185185</v>
      </c>
      <c r="G3735" s="67" t="s">
        <v>453</v>
      </c>
      <c r="H3735" s="68">
        <v>1.17</v>
      </c>
      <c r="I3735" s="76"/>
      <c r="J3735" s="67">
        <f t="shared" si="242"/>
        <v>10045.43</v>
      </c>
      <c r="K3735" s="7"/>
      <c r="L3735" s="70"/>
      <c r="M3735" s="79"/>
      <c r="N3735" s="1"/>
      <c r="O3735" s="1"/>
      <c r="P3735" s="1"/>
      <c r="Q3735" s="1"/>
      <c r="R3735" s="1"/>
      <c r="S3735" s="1"/>
      <c r="T3735" s="1"/>
      <c r="U3735" s="1"/>
      <c r="V3735" s="1"/>
      <c r="W3735" s="1"/>
      <c r="X3735" s="1"/>
      <c r="Y3735" s="1"/>
      <c r="Z3735" s="1"/>
      <c r="AA3735" s="1"/>
      <c r="AB3735" s="1"/>
      <c r="AC3735" s="1"/>
      <c r="AD3735" s="1"/>
      <c r="AE3735" s="1"/>
      <c r="AF3735" s="1"/>
      <c r="AG3735" s="1"/>
      <c r="AH3735" s="1"/>
    </row>
    <row r="3736" ht="12.75" hidden="1" customHeight="1" outlineLevel="1">
      <c r="A3736" s="17">
        <v>41663.0</v>
      </c>
      <c r="B3736" s="1" t="s">
        <v>347</v>
      </c>
      <c r="C3736" s="1" t="s">
        <v>1006</v>
      </c>
      <c r="D3736" s="74">
        <v>100.0</v>
      </c>
      <c r="E3736" s="67">
        <v>53.65</v>
      </c>
      <c r="F3736" s="75">
        <v>0.665775462962963</v>
      </c>
      <c r="G3736" s="67" t="s">
        <v>453</v>
      </c>
      <c r="H3736" s="68">
        <v>1.09</v>
      </c>
      <c r="I3736" s="76"/>
      <c r="J3736" s="67">
        <f t="shared" si="242"/>
        <v>5363.91</v>
      </c>
      <c r="K3736" s="7"/>
      <c r="L3736" s="70"/>
      <c r="M3736" s="79"/>
      <c r="N3736" s="1"/>
      <c r="O3736" s="1"/>
      <c r="P3736" s="1"/>
      <c r="Q3736" s="1"/>
      <c r="R3736" s="1"/>
      <c r="S3736" s="1"/>
      <c r="T3736" s="1"/>
      <c r="U3736" s="1"/>
      <c r="V3736" s="1"/>
      <c r="W3736" s="1"/>
      <c r="X3736" s="1"/>
      <c r="Y3736" s="1"/>
      <c r="Z3736" s="1"/>
      <c r="AA3736" s="1"/>
      <c r="AB3736" s="1"/>
      <c r="AC3736" s="1"/>
      <c r="AD3736" s="1"/>
      <c r="AE3736" s="1"/>
      <c r="AF3736" s="1"/>
      <c r="AG3736" s="1"/>
      <c r="AH3736" s="1"/>
    </row>
    <row r="3737" ht="12.75" hidden="1" customHeight="1" outlineLevel="1">
      <c r="A3737" s="17">
        <v>41663.0</v>
      </c>
      <c r="B3737" s="1"/>
      <c r="C3737" s="1" t="s">
        <v>339</v>
      </c>
      <c r="D3737" s="74"/>
      <c r="E3737" s="67"/>
      <c r="F3737" s="75"/>
      <c r="G3737" s="67"/>
      <c r="H3737" s="68"/>
      <c r="I3737" s="76"/>
      <c r="J3737" s="67"/>
      <c r="K3737" s="7" t="s">
        <v>1622</v>
      </c>
      <c r="L3737" s="77"/>
      <c r="M3737" s="79"/>
      <c r="N3737" s="1"/>
      <c r="O3737" s="1"/>
      <c r="P3737" s="1"/>
      <c r="Q3737" s="1"/>
      <c r="R3737" s="1"/>
      <c r="S3737" s="1"/>
      <c r="T3737" s="1"/>
      <c r="U3737" s="1"/>
      <c r="V3737" s="1"/>
      <c r="W3737" s="1"/>
      <c r="X3737" s="1"/>
      <c r="Y3737" s="1"/>
      <c r="Z3737" s="1"/>
      <c r="AA3737" s="1"/>
      <c r="AB3737" s="1"/>
      <c r="AC3737" s="1"/>
      <c r="AD3737" s="1"/>
      <c r="AE3737" s="1"/>
      <c r="AF3737" s="1"/>
      <c r="AG3737" s="1"/>
      <c r="AH3737" s="1"/>
    </row>
    <row r="3738" ht="12.75" hidden="1" customHeight="1" outlineLevel="1">
      <c r="A3738" s="17">
        <v>41663.0</v>
      </c>
      <c r="B3738" s="1"/>
      <c r="C3738" s="1" t="s">
        <v>429</v>
      </c>
      <c r="D3738" s="74"/>
      <c r="E3738" s="67"/>
      <c r="F3738" s="75"/>
      <c r="G3738" s="67"/>
      <c r="H3738" s="68"/>
      <c r="I3738" s="76"/>
      <c r="J3738" s="67"/>
      <c r="K3738" s="7" t="s">
        <v>1553</v>
      </c>
      <c r="L3738" s="77"/>
      <c r="M3738" s="79"/>
      <c r="N3738" s="1"/>
      <c r="O3738" s="1"/>
      <c r="P3738" s="1"/>
      <c r="Q3738" s="1"/>
      <c r="R3738" s="1"/>
      <c r="S3738" s="1"/>
      <c r="T3738" s="1"/>
      <c r="U3738" s="1"/>
      <c r="V3738" s="1"/>
      <c r="W3738" s="1"/>
      <c r="X3738" s="1"/>
      <c r="Y3738" s="1"/>
      <c r="Z3738" s="1"/>
      <c r="AA3738" s="1"/>
      <c r="AB3738" s="1"/>
      <c r="AC3738" s="1"/>
      <c r="AD3738" s="1"/>
      <c r="AE3738" s="1"/>
      <c r="AF3738" s="1"/>
      <c r="AG3738" s="1"/>
      <c r="AH3738" s="1"/>
    </row>
    <row r="3739" ht="12.75" hidden="1" customHeight="1" outlineLevel="1">
      <c r="A3739" s="17">
        <v>41663.0</v>
      </c>
      <c r="B3739" s="1"/>
      <c r="C3739" s="1" t="s">
        <v>431</v>
      </c>
      <c r="D3739" s="74"/>
      <c r="E3739" s="67"/>
      <c r="F3739" s="75"/>
      <c r="G3739" s="67"/>
      <c r="H3739" s="68"/>
      <c r="I3739" s="76"/>
      <c r="J3739" s="67"/>
      <c r="K3739" s="7" t="s">
        <v>1126</v>
      </c>
      <c r="L3739" s="77"/>
      <c r="M3739" s="79"/>
      <c r="N3739" s="1"/>
      <c r="O3739" s="1"/>
      <c r="P3739" s="1"/>
      <c r="Q3739" s="1"/>
      <c r="R3739" s="1"/>
      <c r="S3739" s="1"/>
      <c r="T3739" s="1"/>
      <c r="U3739" s="1"/>
      <c r="V3739" s="1"/>
      <c r="W3739" s="1"/>
      <c r="X3739" s="1"/>
      <c r="Y3739" s="1"/>
      <c r="Z3739" s="1"/>
      <c r="AA3739" s="1"/>
      <c r="AB3739" s="1"/>
      <c r="AC3739" s="1"/>
      <c r="AD3739" s="1"/>
      <c r="AE3739" s="1"/>
      <c r="AF3739" s="1"/>
      <c r="AG3739" s="1"/>
      <c r="AH3739" s="1"/>
    </row>
    <row r="3740" ht="12.75" hidden="1" customHeight="1" outlineLevel="1">
      <c r="A3740" s="17">
        <v>41663.0</v>
      </c>
      <c r="B3740" s="1"/>
      <c r="C3740" s="1" t="s">
        <v>433</v>
      </c>
      <c r="D3740" s="74"/>
      <c r="E3740" s="67"/>
      <c r="F3740" s="75"/>
      <c r="G3740" s="67"/>
      <c r="H3740" s="68"/>
      <c r="I3740" s="76"/>
      <c r="J3740" s="67"/>
      <c r="K3740" s="7" t="s">
        <v>1103</v>
      </c>
      <c r="L3740" s="77"/>
      <c r="M3740" s="79"/>
      <c r="N3740" s="1"/>
      <c r="O3740" s="1"/>
      <c r="P3740" s="1"/>
      <c r="Q3740" s="1"/>
      <c r="R3740" s="1"/>
      <c r="S3740" s="1"/>
      <c r="T3740" s="1"/>
      <c r="U3740" s="1"/>
      <c r="V3740" s="1"/>
      <c r="W3740" s="1"/>
      <c r="X3740" s="1"/>
      <c r="Y3740" s="1"/>
      <c r="Z3740" s="1"/>
      <c r="AA3740" s="1"/>
      <c r="AB3740" s="1"/>
      <c r="AC3740" s="1"/>
      <c r="AD3740" s="1"/>
      <c r="AE3740" s="1"/>
      <c r="AF3740" s="1"/>
      <c r="AG3740" s="1"/>
      <c r="AH3740" s="1"/>
    </row>
    <row r="3741" ht="12.75" hidden="1" customHeight="1" outlineLevel="1">
      <c r="A3741" s="17">
        <v>41663.0</v>
      </c>
      <c r="B3741" s="1"/>
      <c r="C3741" s="1" t="s">
        <v>435</v>
      </c>
      <c r="D3741" s="74"/>
      <c r="E3741" s="67"/>
      <c r="F3741" s="75"/>
      <c r="G3741" s="67"/>
      <c r="H3741" s="68"/>
      <c r="I3741" s="76"/>
      <c r="J3741" s="67"/>
      <c r="K3741" s="7" t="s">
        <v>1507</v>
      </c>
      <c r="L3741" s="77"/>
      <c r="M3741" s="79"/>
      <c r="N3741" s="1"/>
      <c r="O3741" s="1"/>
      <c r="P3741" s="1"/>
      <c r="Q3741" s="1"/>
      <c r="R3741" s="1"/>
      <c r="S3741" s="1"/>
      <c r="T3741" s="1"/>
      <c r="U3741" s="1"/>
      <c r="V3741" s="1"/>
      <c r="W3741" s="1"/>
      <c r="X3741" s="1"/>
      <c r="Y3741" s="1"/>
      <c r="Z3741" s="1"/>
      <c r="AA3741" s="1"/>
      <c r="AB3741" s="1"/>
      <c r="AC3741" s="1"/>
      <c r="AD3741" s="1"/>
      <c r="AE3741" s="1"/>
      <c r="AF3741" s="1"/>
      <c r="AG3741" s="1"/>
      <c r="AH3741" s="1"/>
    </row>
    <row r="3742" ht="12.75" hidden="1" customHeight="1" outlineLevel="1">
      <c r="A3742" s="17">
        <v>41666.0</v>
      </c>
      <c r="B3742" s="1"/>
      <c r="C3742" s="1" t="s">
        <v>339</v>
      </c>
      <c r="D3742" s="74"/>
      <c r="E3742" s="67"/>
      <c r="F3742" s="75"/>
      <c r="G3742" s="67"/>
      <c r="H3742" s="68"/>
      <c r="I3742" s="76"/>
      <c r="J3742" s="67"/>
      <c r="K3742" s="7" t="s">
        <v>1624</v>
      </c>
      <c r="L3742" s="77"/>
      <c r="M3742" s="79"/>
      <c r="N3742" s="1"/>
      <c r="O3742" s="1"/>
      <c r="P3742" s="1"/>
      <c r="Q3742" s="1"/>
      <c r="R3742" s="1"/>
      <c r="S3742" s="1"/>
      <c r="T3742" s="1"/>
      <c r="U3742" s="1"/>
      <c r="V3742" s="1"/>
      <c r="W3742" s="1"/>
      <c r="X3742" s="1"/>
      <c r="Y3742" s="1"/>
      <c r="Z3742" s="1"/>
      <c r="AA3742" s="1"/>
      <c r="AB3742" s="1"/>
      <c r="AC3742" s="1"/>
      <c r="AD3742" s="1"/>
      <c r="AE3742" s="1"/>
      <c r="AF3742" s="1"/>
      <c r="AG3742" s="1"/>
      <c r="AH3742" s="1"/>
    </row>
    <row r="3743" ht="12.75" hidden="1" customHeight="1" outlineLevel="1">
      <c r="A3743" s="17">
        <v>41666.0</v>
      </c>
      <c r="B3743" s="1"/>
      <c r="C3743" s="1" t="s">
        <v>429</v>
      </c>
      <c r="D3743" s="74"/>
      <c r="E3743" s="67"/>
      <c r="F3743" s="75"/>
      <c r="G3743" s="67"/>
      <c r="H3743" s="68"/>
      <c r="I3743" s="76"/>
      <c r="J3743" s="67"/>
      <c r="K3743" s="7" t="s">
        <v>1553</v>
      </c>
      <c r="L3743" s="77"/>
      <c r="M3743" s="79"/>
      <c r="N3743" s="1"/>
      <c r="O3743" s="1"/>
      <c r="P3743" s="1"/>
      <c r="Q3743" s="1"/>
      <c r="R3743" s="1"/>
      <c r="S3743" s="1"/>
      <c r="T3743" s="1"/>
      <c r="U3743" s="1"/>
      <c r="V3743" s="1"/>
      <c r="W3743" s="1"/>
      <c r="X3743" s="1"/>
      <c r="Y3743" s="1"/>
      <c r="Z3743" s="1"/>
      <c r="AA3743" s="1"/>
      <c r="AB3743" s="1"/>
      <c r="AC3743" s="1"/>
      <c r="AD3743" s="1"/>
      <c r="AE3743" s="1"/>
      <c r="AF3743" s="1"/>
      <c r="AG3743" s="1"/>
      <c r="AH3743" s="1"/>
    </row>
    <row r="3744" ht="12.75" hidden="1" customHeight="1" outlineLevel="1">
      <c r="A3744" s="17">
        <v>41666.0</v>
      </c>
      <c r="B3744" s="1"/>
      <c r="C3744" s="1" t="s">
        <v>431</v>
      </c>
      <c r="D3744" s="74"/>
      <c r="E3744" s="67"/>
      <c r="F3744" s="75"/>
      <c r="G3744" s="67"/>
      <c r="H3744" s="68"/>
      <c r="I3744" s="76"/>
      <c r="J3744" s="67"/>
      <c r="K3744" s="7" t="s">
        <v>1126</v>
      </c>
      <c r="L3744" s="77"/>
      <c r="M3744" s="79"/>
      <c r="N3744" s="1"/>
      <c r="O3744" s="1"/>
      <c r="P3744" s="1"/>
      <c r="Q3744" s="1"/>
      <c r="R3744" s="1"/>
      <c r="S3744" s="1"/>
      <c r="T3744" s="1"/>
      <c r="U3744" s="1"/>
      <c r="V3744" s="1"/>
      <c r="W3744" s="1"/>
      <c r="X3744" s="1"/>
      <c r="Y3744" s="1"/>
      <c r="Z3744" s="1"/>
      <c r="AA3744" s="1"/>
      <c r="AB3744" s="1"/>
      <c r="AC3744" s="1"/>
      <c r="AD3744" s="1"/>
      <c r="AE3744" s="1"/>
      <c r="AF3744" s="1"/>
      <c r="AG3744" s="1"/>
      <c r="AH3744" s="1"/>
    </row>
    <row r="3745" ht="12.75" hidden="1" customHeight="1" outlineLevel="1">
      <c r="A3745" s="17">
        <v>41666.0</v>
      </c>
      <c r="B3745" s="1"/>
      <c r="C3745" s="1" t="s">
        <v>433</v>
      </c>
      <c r="D3745" s="74"/>
      <c r="E3745" s="67"/>
      <c r="F3745" s="75"/>
      <c r="G3745" s="67"/>
      <c r="H3745" s="68"/>
      <c r="I3745" s="76"/>
      <c r="J3745" s="67"/>
      <c r="K3745" s="7" t="s">
        <v>1103</v>
      </c>
      <c r="L3745" s="77"/>
      <c r="M3745" s="79"/>
      <c r="N3745" s="1"/>
      <c r="O3745" s="1"/>
      <c r="P3745" s="1"/>
      <c r="Q3745" s="1"/>
      <c r="R3745" s="1"/>
      <c r="S3745" s="1"/>
      <c r="T3745" s="1"/>
      <c r="U3745" s="1"/>
      <c r="V3745" s="1"/>
      <c r="W3745" s="1"/>
      <c r="X3745" s="1"/>
      <c r="Y3745" s="1"/>
      <c r="Z3745" s="1"/>
      <c r="AA3745" s="1"/>
      <c r="AB3745" s="1"/>
      <c r="AC3745" s="1"/>
      <c r="AD3745" s="1"/>
      <c r="AE3745" s="1"/>
      <c r="AF3745" s="1"/>
      <c r="AG3745" s="1"/>
      <c r="AH3745" s="1"/>
    </row>
    <row r="3746" ht="12.75" hidden="1" customHeight="1" outlineLevel="1">
      <c r="A3746" s="17">
        <v>41666.0</v>
      </c>
      <c r="B3746" s="1"/>
      <c r="C3746" s="1" t="s">
        <v>435</v>
      </c>
      <c r="D3746" s="74"/>
      <c r="E3746" s="67"/>
      <c r="F3746" s="75"/>
      <c r="G3746" s="67"/>
      <c r="H3746" s="68"/>
      <c r="I3746" s="76"/>
      <c r="J3746" s="67"/>
      <c r="K3746" s="7" t="s">
        <v>1507</v>
      </c>
      <c r="L3746" s="77"/>
      <c r="M3746" s="79"/>
      <c r="N3746" s="1"/>
      <c r="O3746" s="1"/>
      <c r="P3746" s="1"/>
      <c r="Q3746" s="1"/>
      <c r="R3746" s="1"/>
      <c r="S3746" s="1"/>
      <c r="T3746" s="1"/>
      <c r="U3746" s="1"/>
      <c r="V3746" s="1"/>
      <c r="W3746" s="1"/>
      <c r="X3746" s="1"/>
      <c r="Y3746" s="1"/>
      <c r="Z3746" s="1"/>
      <c r="AA3746" s="1"/>
      <c r="AB3746" s="1"/>
      <c r="AC3746" s="1"/>
      <c r="AD3746" s="1"/>
      <c r="AE3746" s="1"/>
      <c r="AF3746" s="1"/>
      <c r="AG3746" s="1"/>
      <c r="AH3746" s="1"/>
    </row>
    <row r="3747" ht="12.75" hidden="1" customHeight="1" outlineLevel="1">
      <c r="A3747" s="17">
        <v>41666.0</v>
      </c>
      <c r="B3747" s="1"/>
      <c r="C3747" s="1" t="s">
        <v>339</v>
      </c>
      <c r="D3747" s="74"/>
      <c r="E3747" s="67"/>
      <c r="F3747" s="75"/>
      <c r="G3747" s="67"/>
      <c r="H3747" s="68"/>
      <c r="I3747" s="76"/>
      <c r="J3747" s="67"/>
      <c r="K3747" s="7" t="s">
        <v>1625</v>
      </c>
      <c r="L3747" s="77"/>
      <c r="M3747" s="79"/>
      <c r="N3747" s="1"/>
      <c r="O3747" s="1"/>
      <c r="P3747" s="1"/>
      <c r="Q3747" s="1"/>
      <c r="R3747" s="1"/>
      <c r="S3747" s="1"/>
      <c r="T3747" s="1"/>
      <c r="U3747" s="1"/>
      <c r="V3747" s="1"/>
      <c r="W3747" s="1"/>
      <c r="X3747" s="1"/>
      <c r="Y3747" s="1"/>
      <c r="Z3747" s="1"/>
      <c r="AA3747" s="1"/>
      <c r="AB3747" s="1"/>
      <c r="AC3747" s="1"/>
      <c r="AD3747" s="1"/>
      <c r="AE3747" s="1"/>
      <c r="AF3747" s="1"/>
      <c r="AG3747" s="1"/>
      <c r="AH3747" s="1"/>
    </row>
    <row r="3748" ht="12.75" hidden="1" customHeight="1" outlineLevel="1">
      <c r="A3748" s="17">
        <v>41666.0</v>
      </c>
      <c r="B3748" s="1"/>
      <c r="C3748" s="1" t="s">
        <v>429</v>
      </c>
      <c r="D3748" s="74"/>
      <c r="E3748" s="67"/>
      <c r="F3748" s="75"/>
      <c r="G3748" s="67"/>
      <c r="H3748" s="68"/>
      <c r="I3748" s="76"/>
      <c r="J3748" s="67"/>
      <c r="K3748" s="7" t="s">
        <v>1553</v>
      </c>
      <c r="L3748" s="77"/>
      <c r="M3748" s="79"/>
      <c r="N3748" s="1"/>
      <c r="O3748" s="1"/>
      <c r="P3748" s="1"/>
      <c r="Q3748" s="1"/>
      <c r="R3748" s="1"/>
      <c r="S3748" s="1"/>
      <c r="T3748" s="1"/>
      <c r="U3748" s="1"/>
      <c r="V3748" s="1"/>
      <c r="W3748" s="1"/>
      <c r="X3748" s="1"/>
      <c r="Y3748" s="1"/>
      <c r="Z3748" s="1"/>
      <c r="AA3748" s="1"/>
      <c r="AB3748" s="1"/>
      <c r="AC3748" s="1"/>
      <c r="AD3748" s="1"/>
      <c r="AE3748" s="1"/>
      <c r="AF3748" s="1"/>
      <c r="AG3748" s="1"/>
      <c r="AH3748" s="1"/>
    </row>
    <row r="3749" ht="12.75" hidden="1" customHeight="1" outlineLevel="1">
      <c r="A3749" s="17">
        <v>41666.0</v>
      </c>
      <c r="B3749" s="1"/>
      <c r="C3749" s="1" t="s">
        <v>431</v>
      </c>
      <c r="D3749" s="74"/>
      <c r="E3749" s="67"/>
      <c r="F3749" s="75"/>
      <c r="G3749" s="67"/>
      <c r="H3749" s="68"/>
      <c r="I3749" s="76"/>
      <c r="J3749" s="67"/>
      <c r="K3749" s="7" t="s">
        <v>1126</v>
      </c>
      <c r="L3749" s="77"/>
      <c r="M3749" s="79"/>
      <c r="N3749" s="1"/>
      <c r="O3749" s="1"/>
      <c r="P3749" s="1"/>
      <c r="Q3749" s="1"/>
      <c r="R3749" s="1"/>
      <c r="S3749" s="1"/>
      <c r="T3749" s="1"/>
      <c r="U3749" s="1"/>
      <c r="V3749" s="1"/>
      <c r="W3749" s="1"/>
      <c r="X3749" s="1"/>
      <c r="Y3749" s="1"/>
      <c r="Z3749" s="1"/>
      <c r="AA3749" s="1"/>
      <c r="AB3749" s="1"/>
      <c r="AC3749" s="1"/>
      <c r="AD3749" s="1"/>
      <c r="AE3749" s="1"/>
      <c r="AF3749" s="1"/>
      <c r="AG3749" s="1"/>
      <c r="AH3749" s="1"/>
    </row>
    <row r="3750" ht="12.75" hidden="1" customHeight="1" outlineLevel="1">
      <c r="A3750" s="17">
        <v>41666.0</v>
      </c>
      <c r="B3750" s="1"/>
      <c r="C3750" s="1" t="s">
        <v>433</v>
      </c>
      <c r="D3750" s="74"/>
      <c r="E3750" s="67"/>
      <c r="F3750" s="75"/>
      <c r="G3750" s="67"/>
      <c r="H3750" s="68"/>
      <c r="I3750" s="76"/>
      <c r="J3750" s="67"/>
      <c r="K3750" s="7" t="s">
        <v>1103</v>
      </c>
      <c r="L3750" s="77"/>
      <c r="M3750" s="79"/>
      <c r="N3750" s="1"/>
      <c r="O3750" s="1"/>
      <c r="P3750" s="1"/>
      <c r="Q3750" s="1"/>
      <c r="R3750" s="1"/>
      <c r="S3750" s="1"/>
      <c r="T3750" s="1"/>
      <c r="U3750" s="1"/>
      <c r="V3750" s="1"/>
      <c r="W3750" s="1"/>
      <c r="X3750" s="1"/>
      <c r="Y3750" s="1"/>
      <c r="Z3750" s="1"/>
      <c r="AA3750" s="1"/>
      <c r="AB3750" s="1"/>
      <c r="AC3750" s="1"/>
      <c r="AD3750" s="1"/>
      <c r="AE3750" s="1"/>
      <c r="AF3750" s="1"/>
      <c r="AG3750" s="1"/>
      <c r="AH3750" s="1"/>
    </row>
    <row r="3751" ht="12.75" hidden="1" customHeight="1" outlineLevel="1">
      <c r="A3751" s="17">
        <v>41666.0</v>
      </c>
      <c r="B3751" s="1"/>
      <c r="C3751" s="1" t="s">
        <v>435</v>
      </c>
      <c r="D3751" s="74"/>
      <c r="E3751" s="67"/>
      <c r="F3751" s="75"/>
      <c r="G3751" s="67"/>
      <c r="H3751" s="68"/>
      <c r="I3751" s="76"/>
      <c r="J3751" s="67"/>
      <c r="K3751" s="7" t="s">
        <v>1507</v>
      </c>
      <c r="L3751" s="77"/>
      <c r="M3751" s="79"/>
      <c r="N3751" s="1"/>
      <c r="O3751" s="1"/>
      <c r="P3751" s="1"/>
      <c r="Q3751" s="1"/>
      <c r="R3751" s="1"/>
      <c r="S3751" s="1"/>
      <c r="T3751" s="1"/>
      <c r="U3751" s="1"/>
      <c r="V3751" s="1"/>
      <c r="W3751" s="1"/>
      <c r="X3751" s="1"/>
      <c r="Y3751" s="1"/>
      <c r="Z3751" s="1"/>
      <c r="AA3751" s="1"/>
      <c r="AB3751" s="1"/>
      <c r="AC3751" s="1"/>
      <c r="AD3751" s="1"/>
      <c r="AE3751" s="1"/>
      <c r="AF3751" s="1"/>
      <c r="AG3751" s="1"/>
      <c r="AH3751" s="1"/>
    </row>
    <row r="3752" ht="12.75" hidden="1" customHeight="1" outlineLevel="1">
      <c r="A3752" s="17">
        <v>41666.0</v>
      </c>
      <c r="B3752" s="1" t="s">
        <v>347</v>
      </c>
      <c r="C3752" s="1" t="s">
        <v>779</v>
      </c>
      <c r="D3752" s="74">
        <v>50.0</v>
      </c>
      <c r="E3752" s="67">
        <v>232.87</v>
      </c>
      <c r="F3752" s="75">
        <v>0.4272800925925926</v>
      </c>
      <c r="G3752" s="67" t="s">
        <v>453</v>
      </c>
      <c r="H3752" s="68">
        <v>1.2</v>
      </c>
      <c r="I3752" s="76"/>
      <c r="J3752" s="67">
        <f t="shared" ref="J3752:J3757" si="243">IF(B3752="SLD",D3752*E3752,-D3752*E3752)-H3752</f>
        <v>11642.3</v>
      </c>
      <c r="K3752" s="7"/>
      <c r="L3752" s="70"/>
      <c r="M3752" s="79"/>
      <c r="N3752" s="1"/>
      <c r="O3752" s="1"/>
      <c r="P3752" s="1"/>
      <c r="Q3752" s="1"/>
      <c r="R3752" s="1"/>
      <c r="S3752" s="1"/>
      <c r="T3752" s="1"/>
      <c r="U3752" s="1"/>
      <c r="V3752" s="1"/>
      <c r="W3752" s="1"/>
      <c r="X3752" s="1"/>
      <c r="Y3752" s="1"/>
      <c r="Z3752" s="1"/>
      <c r="AA3752" s="1"/>
      <c r="AB3752" s="1"/>
      <c r="AC3752" s="1"/>
      <c r="AD3752" s="1"/>
      <c r="AE3752" s="1"/>
      <c r="AF3752" s="1"/>
      <c r="AG3752" s="1"/>
      <c r="AH3752" s="1"/>
    </row>
    <row r="3753" ht="12.75" hidden="1" customHeight="1" outlineLevel="1">
      <c r="A3753" s="17">
        <v>41666.0</v>
      </c>
      <c r="B3753" s="1" t="s">
        <v>347</v>
      </c>
      <c r="C3753" s="1" t="s">
        <v>1044</v>
      </c>
      <c r="D3753" s="74">
        <v>1200.0</v>
      </c>
      <c r="E3753" s="67">
        <v>23.28</v>
      </c>
      <c r="F3753" s="75">
        <v>0.4700231481481481</v>
      </c>
      <c r="G3753" s="67" t="s">
        <v>453</v>
      </c>
      <c r="H3753" s="68">
        <v>5.29</v>
      </c>
      <c r="I3753" s="76"/>
      <c r="J3753" s="67">
        <f t="shared" si="243"/>
        <v>27930.71</v>
      </c>
      <c r="K3753" s="7"/>
      <c r="L3753" s="70"/>
      <c r="M3753" s="79"/>
      <c r="N3753" s="1"/>
      <c r="O3753" s="1"/>
      <c r="P3753" s="1"/>
      <c r="Q3753" s="1"/>
      <c r="R3753" s="1"/>
      <c r="S3753" s="1"/>
      <c r="T3753" s="1"/>
      <c r="U3753" s="1"/>
      <c r="V3753" s="1"/>
      <c r="W3753" s="1"/>
      <c r="X3753" s="1"/>
      <c r="Y3753" s="1"/>
      <c r="Z3753" s="1"/>
      <c r="AA3753" s="1"/>
      <c r="AB3753" s="1"/>
      <c r="AC3753" s="1"/>
      <c r="AD3753" s="1"/>
      <c r="AE3753" s="1"/>
      <c r="AF3753" s="1"/>
      <c r="AG3753" s="1"/>
      <c r="AH3753" s="1"/>
    </row>
    <row r="3754" ht="12.75" hidden="1" customHeight="1" outlineLevel="1">
      <c r="A3754" s="17">
        <v>41666.0</v>
      </c>
      <c r="B3754" s="1" t="s">
        <v>347</v>
      </c>
      <c r="C3754" s="1" t="s">
        <v>1082</v>
      </c>
      <c r="D3754" s="74">
        <v>20.0</v>
      </c>
      <c r="E3754" s="67">
        <v>498.31</v>
      </c>
      <c r="F3754" s="75">
        <v>0.5187847222222223</v>
      </c>
      <c r="G3754" s="67" t="s">
        <v>453</v>
      </c>
      <c r="H3754" s="68">
        <v>1.17</v>
      </c>
      <c r="I3754" s="76"/>
      <c r="J3754" s="67">
        <f t="shared" si="243"/>
        <v>9965.03</v>
      </c>
      <c r="K3754" s="7"/>
      <c r="L3754" s="70"/>
      <c r="M3754" s="79"/>
      <c r="N3754" s="1"/>
      <c r="O3754" s="1"/>
      <c r="P3754" s="1"/>
      <c r="Q3754" s="1"/>
      <c r="R3754" s="1"/>
      <c r="S3754" s="1"/>
      <c r="T3754" s="1"/>
      <c r="U3754" s="1"/>
      <c r="V3754" s="1"/>
      <c r="W3754" s="1"/>
      <c r="X3754" s="1"/>
      <c r="Y3754" s="1"/>
      <c r="Z3754" s="1"/>
      <c r="AA3754" s="1"/>
      <c r="AB3754" s="1"/>
      <c r="AC3754" s="1"/>
      <c r="AD3754" s="1"/>
      <c r="AE3754" s="1"/>
      <c r="AF3754" s="1"/>
      <c r="AG3754" s="1"/>
      <c r="AH3754" s="1"/>
    </row>
    <row r="3755" ht="12.75" hidden="1" customHeight="1" outlineLevel="1">
      <c r="A3755" s="17">
        <v>41666.0</v>
      </c>
      <c r="B3755" s="1" t="s">
        <v>347</v>
      </c>
      <c r="C3755" s="1" t="s">
        <v>1185</v>
      </c>
      <c r="D3755" s="74">
        <v>50.0</v>
      </c>
      <c r="E3755" s="67">
        <v>222.51</v>
      </c>
      <c r="F3755" s="75">
        <v>0.5189699074074073</v>
      </c>
      <c r="G3755" s="67" t="s">
        <v>453</v>
      </c>
      <c r="H3755" s="68">
        <v>1.19</v>
      </c>
      <c r="I3755" s="76"/>
      <c r="J3755" s="67">
        <f t="shared" si="243"/>
        <v>11124.31</v>
      </c>
      <c r="K3755" s="7"/>
      <c r="L3755" s="70"/>
      <c r="M3755" s="79"/>
      <c r="N3755" s="1"/>
      <c r="O3755" s="1"/>
      <c r="P3755" s="1"/>
      <c r="Q3755" s="1"/>
      <c r="R3755" s="1"/>
      <c r="S3755" s="1"/>
      <c r="T3755" s="1"/>
      <c r="U3755" s="1"/>
      <c r="V3755" s="1"/>
      <c r="W3755" s="1"/>
      <c r="X3755" s="1"/>
      <c r="Y3755" s="1"/>
      <c r="Z3755" s="1"/>
      <c r="AA3755" s="1"/>
      <c r="AB3755" s="1"/>
      <c r="AC3755" s="1"/>
      <c r="AD3755" s="1"/>
      <c r="AE3755" s="1"/>
      <c r="AF3755" s="1"/>
      <c r="AG3755" s="1"/>
      <c r="AH3755" s="1"/>
    </row>
    <row r="3756" ht="12.75" hidden="1" customHeight="1" outlineLevel="1">
      <c r="A3756" s="17">
        <v>41666.0</v>
      </c>
      <c r="B3756" s="1" t="s">
        <v>347</v>
      </c>
      <c r="C3756" s="1" t="s">
        <v>734</v>
      </c>
      <c r="D3756" s="74">
        <v>1000.0</v>
      </c>
      <c r="E3756" s="67">
        <v>21.17</v>
      </c>
      <c r="F3756" s="75">
        <v>0.5259837962962963</v>
      </c>
      <c r="G3756" s="67" t="s">
        <v>453</v>
      </c>
      <c r="H3756" s="68">
        <v>4.37</v>
      </c>
      <c r="I3756" s="76"/>
      <c r="J3756" s="67">
        <f t="shared" si="243"/>
        <v>21165.63</v>
      </c>
      <c r="K3756" s="7"/>
      <c r="L3756" s="70"/>
      <c r="M3756" s="79"/>
      <c r="N3756" s="1"/>
      <c r="O3756" s="1"/>
      <c r="P3756" s="1"/>
      <c r="Q3756" s="1"/>
      <c r="R3756" s="1"/>
      <c r="S3756" s="1"/>
      <c r="T3756" s="1"/>
      <c r="U3756" s="1"/>
      <c r="V3756" s="1"/>
      <c r="W3756" s="1"/>
      <c r="X3756" s="1"/>
      <c r="Y3756" s="1"/>
      <c r="Z3756" s="1"/>
      <c r="AA3756" s="1"/>
      <c r="AB3756" s="1"/>
      <c r="AC3756" s="1"/>
      <c r="AD3756" s="1"/>
      <c r="AE3756" s="1"/>
      <c r="AF3756" s="1"/>
      <c r="AG3756" s="1"/>
      <c r="AH3756" s="1"/>
    </row>
    <row r="3757" ht="12.75" hidden="1" customHeight="1" outlineLevel="1">
      <c r="A3757" s="17">
        <v>41666.0</v>
      </c>
      <c r="B3757" s="1" t="s">
        <v>347</v>
      </c>
      <c r="C3757" s="1" t="s">
        <v>1451</v>
      </c>
      <c r="D3757" s="74">
        <v>1200.0</v>
      </c>
      <c r="E3757" s="67">
        <v>18.314</v>
      </c>
      <c r="F3757" s="75">
        <v>0.5264467592592593</v>
      </c>
      <c r="G3757" s="67" t="s">
        <v>453</v>
      </c>
      <c r="H3757" s="68">
        <v>6.89</v>
      </c>
      <c r="I3757" s="76"/>
      <c r="J3757" s="67">
        <f t="shared" si="243"/>
        <v>21969.91</v>
      </c>
      <c r="K3757" s="7"/>
      <c r="L3757" s="70"/>
      <c r="M3757" s="79"/>
      <c r="N3757" s="1"/>
      <c r="O3757" s="1"/>
      <c r="P3757" s="1"/>
      <c r="Q3757" s="1"/>
      <c r="R3757" s="1"/>
      <c r="S3757" s="1"/>
      <c r="T3757" s="1"/>
      <c r="U3757" s="1"/>
      <c r="V3757" s="1"/>
      <c r="W3757" s="1"/>
      <c r="X3757" s="1"/>
      <c r="Y3757" s="1"/>
      <c r="Z3757" s="1"/>
      <c r="AA3757" s="1"/>
      <c r="AB3757" s="1"/>
      <c r="AC3757" s="1"/>
      <c r="AD3757" s="1"/>
      <c r="AE3757" s="1"/>
      <c r="AF3757" s="1"/>
      <c r="AG3757" s="1"/>
      <c r="AH3757" s="1"/>
    </row>
    <row r="3758" ht="12.75" hidden="1" customHeight="1" outlineLevel="1">
      <c r="A3758" s="17">
        <v>41666.0</v>
      </c>
      <c r="B3758" s="1"/>
      <c r="C3758" s="1" t="s">
        <v>339</v>
      </c>
      <c r="D3758" s="74"/>
      <c r="E3758" s="67"/>
      <c r="F3758" s="75"/>
      <c r="G3758" s="67"/>
      <c r="H3758" s="68"/>
      <c r="I3758" s="76"/>
      <c r="J3758" s="67"/>
      <c r="K3758" s="7" t="s">
        <v>1625</v>
      </c>
      <c r="L3758" s="77"/>
      <c r="M3758" s="79"/>
      <c r="N3758" s="1"/>
      <c r="O3758" s="1"/>
      <c r="P3758" s="1"/>
      <c r="Q3758" s="1"/>
      <c r="R3758" s="1"/>
      <c r="S3758" s="1"/>
      <c r="T3758" s="1"/>
      <c r="U3758" s="1"/>
      <c r="V3758" s="1"/>
      <c r="W3758" s="1"/>
      <c r="X3758" s="1"/>
      <c r="Y3758" s="1"/>
      <c r="Z3758" s="1"/>
      <c r="AA3758" s="1"/>
      <c r="AB3758" s="1"/>
      <c r="AC3758" s="1"/>
      <c r="AD3758" s="1"/>
      <c r="AE3758" s="1"/>
      <c r="AF3758" s="1"/>
      <c r="AG3758" s="1"/>
      <c r="AH3758" s="1"/>
    </row>
    <row r="3759" ht="12.75" hidden="1" customHeight="1" outlineLevel="1">
      <c r="A3759" s="17">
        <v>41666.0</v>
      </c>
      <c r="B3759" s="1"/>
      <c r="C3759" s="1" t="s">
        <v>429</v>
      </c>
      <c r="D3759" s="74"/>
      <c r="E3759" s="67"/>
      <c r="F3759" s="75"/>
      <c r="G3759" s="67"/>
      <c r="H3759" s="68"/>
      <c r="I3759" s="76"/>
      <c r="J3759" s="67"/>
      <c r="K3759" s="7" t="s">
        <v>1553</v>
      </c>
      <c r="L3759" s="77"/>
      <c r="M3759" s="79"/>
      <c r="N3759" s="1"/>
      <c r="O3759" s="1"/>
      <c r="P3759" s="1"/>
      <c r="Q3759" s="1"/>
      <c r="R3759" s="1"/>
      <c r="S3759" s="1"/>
      <c r="T3759" s="1"/>
      <c r="U3759" s="1"/>
      <c r="V3759" s="1"/>
      <c r="W3759" s="1"/>
      <c r="X3759" s="1"/>
      <c r="Y3759" s="1"/>
      <c r="Z3759" s="1"/>
      <c r="AA3759" s="1"/>
      <c r="AB3759" s="1"/>
      <c r="AC3759" s="1"/>
      <c r="AD3759" s="1"/>
      <c r="AE3759" s="1"/>
      <c r="AF3759" s="1"/>
      <c r="AG3759" s="1"/>
      <c r="AH3759" s="1"/>
    </row>
    <row r="3760" ht="12.75" hidden="1" customHeight="1" outlineLevel="1">
      <c r="A3760" s="17">
        <v>41666.0</v>
      </c>
      <c r="B3760" s="1"/>
      <c r="C3760" s="1" t="s">
        <v>431</v>
      </c>
      <c r="D3760" s="74"/>
      <c r="E3760" s="67"/>
      <c r="F3760" s="75"/>
      <c r="G3760" s="67"/>
      <c r="H3760" s="68"/>
      <c r="I3760" s="76"/>
      <c r="J3760" s="67"/>
      <c r="K3760" s="7" t="s">
        <v>1126</v>
      </c>
      <c r="L3760" s="77"/>
      <c r="M3760" s="79"/>
      <c r="N3760" s="1"/>
      <c r="O3760" s="1"/>
      <c r="P3760" s="1"/>
      <c r="Q3760" s="1"/>
      <c r="R3760" s="1"/>
      <c r="S3760" s="1"/>
      <c r="T3760" s="1"/>
      <c r="U3760" s="1"/>
      <c r="V3760" s="1"/>
      <c r="W3760" s="1"/>
      <c r="X3760" s="1"/>
      <c r="Y3760" s="1"/>
      <c r="Z3760" s="1"/>
      <c r="AA3760" s="1"/>
      <c r="AB3760" s="1"/>
      <c r="AC3760" s="1"/>
      <c r="AD3760" s="1"/>
      <c r="AE3760" s="1"/>
      <c r="AF3760" s="1"/>
      <c r="AG3760" s="1"/>
      <c r="AH3760" s="1"/>
    </row>
    <row r="3761" ht="12.75" hidden="1" customHeight="1" outlineLevel="1">
      <c r="A3761" s="17">
        <v>41666.0</v>
      </c>
      <c r="B3761" s="1"/>
      <c r="C3761" s="1" t="s">
        <v>433</v>
      </c>
      <c r="D3761" s="74"/>
      <c r="E3761" s="67"/>
      <c r="F3761" s="75"/>
      <c r="G3761" s="67"/>
      <c r="H3761" s="68"/>
      <c r="I3761" s="76"/>
      <c r="J3761" s="67"/>
      <c r="K3761" s="7" t="s">
        <v>1103</v>
      </c>
      <c r="L3761" s="77"/>
      <c r="M3761" s="79"/>
      <c r="N3761" s="1"/>
      <c r="O3761" s="1"/>
      <c r="P3761" s="1"/>
      <c r="Q3761" s="1"/>
      <c r="R3761" s="1"/>
      <c r="S3761" s="1"/>
      <c r="T3761" s="1"/>
      <c r="U3761" s="1"/>
      <c r="V3761" s="1"/>
      <c r="W3761" s="1"/>
      <c r="X3761" s="1"/>
      <c r="Y3761" s="1"/>
      <c r="Z3761" s="1"/>
      <c r="AA3761" s="1"/>
      <c r="AB3761" s="1"/>
      <c r="AC3761" s="1"/>
      <c r="AD3761" s="1"/>
      <c r="AE3761" s="1"/>
      <c r="AF3761" s="1"/>
      <c r="AG3761" s="1"/>
      <c r="AH3761" s="1"/>
    </row>
    <row r="3762" ht="12.75" hidden="1" customHeight="1" outlineLevel="1">
      <c r="A3762" s="17">
        <v>41666.0</v>
      </c>
      <c r="B3762" s="1"/>
      <c r="C3762" s="1" t="s">
        <v>435</v>
      </c>
      <c r="D3762" s="74"/>
      <c r="E3762" s="67"/>
      <c r="F3762" s="75"/>
      <c r="G3762" s="67"/>
      <c r="H3762" s="68"/>
      <c r="I3762" s="76"/>
      <c r="J3762" s="67"/>
      <c r="K3762" s="7" t="s">
        <v>1507</v>
      </c>
      <c r="L3762" s="77"/>
      <c r="M3762" s="79"/>
      <c r="N3762" s="1"/>
      <c r="O3762" s="1"/>
      <c r="P3762" s="1"/>
      <c r="Q3762" s="1"/>
      <c r="R3762" s="1"/>
      <c r="S3762" s="1"/>
      <c r="T3762" s="1"/>
      <c r="U3762" s="1"/>
      <c r="V3762" s="1"/>
      <c r="W3762" s="1"/>
      <c r="X3762" s="1"/>
      <c r="Y3762" s="1"/>
      <c r="Z3762" s="1"/>
      <c r="AA3762" s="1"/>
      <c r="AB3762" s="1"/>
      <c r="AC3762" s="1"/>
      <c r="AD3762" s="1"/>
      <c r="AE3762" s="1"/>
      <c r="AF3762" s="1"/>
      <c r="AG3762" s="1"/>
      <c r="AH3762" s="1"/>
    </row>
    <row r="3763" ht="12.75" hidden="1" customHeight="1" outlineLevel="1">
      <c r="A3763" s="17">
        <v>41667.0</v>
      </c>
      <c r="B3763" s="1"/>
      <c r="C3763" s="1" t="s">
        <v>339</v>
      </c>
      <c r="D3763" s="74"/>
      <c r="E3763" s="67"/>
      <c r="F3763" s="75"/>
      <c r="G3763" s="67"/>
      <c r="H3763" s="68"/>
      <c r="I3763" s="76"/>
      <c r="J3763" s="67"/>
      <c r="K3763" s="7" t="s">
        <v>1627</v>
      </c>
      <c r="L3763" s="77"/>
      <c r="M3763" s="79"/>
      <c r="N3763" s="1"/>
      <c r="O3763" s="1"/>
      <c r="P3763" s="1"/>
      <c r="Q3763" s="1"/>
      <c r="R3763" s="1"/>
      <c r="S3763" s="1"/>
      <c r="T3763" s="1"/>
      <c r="U3763" s="1"/>
      <c r="V3763" s="1"/>
      <c r="W3763" s="1"/>
      <c r="X3763" s="1"/>
      <c r="Y3763" s="1"/>
      <c r="Z3763" s="1"/>
      <c r="AA3763" s="1"/>
      <c r="AB3763" s="1"/>
      <c r="AC3763" s="1"/>
      <c r="AD3763" s="1"/>
      <c r="AE3763" s="1"/>
      <c r="AF3763" s="1"/>
      <c r="AG3763" s="1"/>
      <c r="AH3763" s="1"/>
    </row>
    <row r="3764" ht="12.75" hidden="1" customHeight="1" outlineLevel="1">
      <c r="A3764" s="17">
        <v>41667.0</v>
      </c>
      <c r="B3764" s="1"/>
      <c r="C3764" s="1" t="s">
        <v>429</v>
      </c>
      <c r="D3764" s="74"/>
      <c r="E3764" s="67"/>
      <c r="F3764" s="75"/>
      <c r="G3764" s="67"/>
      <c r="H3764" s="68"/>
      <c r="I3764" s="76"/>
      <c r="J3764" s="67"/>
      <c r="K3764" s="7" t="s">
        <v>1553</v>
      </c>
      <c r="L3764" s="77"/>
      <c r="M3764" s="79"/>
      <c r="N3764" s="1"/>
      <c r="O3764" s="1"/>
      <c r="P3764" s="1"/>
      <c r="Q3764" s="1"/>
      <c r="R3764" s="1"/>
      <c r="S3764" s="1"/>
      <c r="T3764" s="1"/>
      <c r="U3764" s="1"/>
      <c r="V3764" s="1"/>
      <c r="W3764" s="1"/>
      <c r="X3764" s="1"/>
      <c r="Y3764" s="1"/>
      <c r="Z3764" s="1"/>
      <c r="AA3764" s="1"/>
      <c r="AB3764" s="1"/>
      <c r="AC3764" s="1"/>
      <c r="AD3764" s="1"/>
      <c r="AE3764" s="1"/>
      <c r="AF3764" s="1"/>
      <c r="AG3764" s="1"/>
      <c r="AH3764" s="1"/>
    </row>
    <row r="3765" ht="12.75" hidden="1" customHeight="1" outlineLevel="1">
      <c r="A3765" s="17">
        <v>41667.0</v>
      </c>
      <c r="B3765" s="1"/>
      <c r="C3765" s="1" t="s">
        <v>431</v>
      </c>
      <c r="D3765" s="74"/>
      <c r="E3765" s="67"/>
      <c r="F3765" s="75"/>
      <c r="G3765" s="67"/>
      <c r="H3765" s="68"/>
      <c r="I3765" s="76"/>
      <c r="J3765" s="67"/>
      <c r="K3765" s="7" t="s">
        <v>1126</v>
      </c>
      <c r="L3765" s="77"/>
      <c r="M3765" s="79"/>
      <c r="N3765" s="1"/>
      <c r="O3765" s="1"/>
      <c r="P3765" s="1"/>
      <c r="Q3765" s="1"/>
      <c r="R3765" s="1"/>
      <c r="S3765" s="1"/>
      <c r="T3765" s="1"/>
      <c r="U3765" s="1"/>
      <c r="V3765" s="1"/>
      <c r="W3765" s="1"/>
      <c r="X3765" s="1"/>
      <c r="Y3765" s="1"/>
      <c r="Z3765" s="1"/>
      <c r="AA3765" s="1"/>
      <c r="AB3765" s="1"/>
      <c r="AC3765" s="1"/>
      <c r="AD3765" s="1"/>
      <c r="AE3765" s="1"/>
      <c r="AF3765" s="1"/>
      <c r="AG3765" s="1"/>
      <c r="AH3765" s="1"/>
    </row>
    <row r="3766" ht="12.75" hidden="1" customHeight="1" outlineLevel="1">
      <c r="A3766" s="17">
        <v>41667.0</v>
      </c>
      <c r="B3766" s="1"/>
      <c r="C3766" s="1" t="s">
        <v>433</v>
      </c>
      <c r="D3766" s="74"/>
      <c r="E3766" s="67"/>
      <c r="F3766" s="75"/>
      <c r="G3766" s="67"/>
      <c r="H3766" s="68"/>
      <c r="I3766" s="76"/>
      <c r="J3766" s="67"/>
      <c r="K3766" s="7" t="s">
        <v>1103</v>
      </c>
      <c r="L3766" s="77"/>
      <c r="M3766" s="79"/>
      <c r="N3766" s="1"/>
      <c r="O3766" s="1"/>
      <c r="P3766" s="1"/>
      <c r="Q3766" s="1"/>
      <c r="R3766" s="1"/>
      <c r="S3766" s="1"/>
      <c r="T3766" s="1"/>
      <c r="U3766" s="1"/>
      <c r="V3766" s="1"/>
      <c r="W3766" s="1"/>
      <c r="X3766" s="1"/>
      <c r="Y3766" s="1"/>
      <c r="Z3766" s="1"/>
      <c r="AA3766" s="1"/>
      <c r="AB3766" s="1"/>
      <c r="AC3766" s="1"/>
      <c r="AD3766" s="1"/>
      <c r="AE3766" s="1"/>
      <c r="AF3766" s="1"/>
      <c r="AG3766" s="1"/>
      <c r="AH3766" s="1"/>
    </row>
    <row r="3767" ht="12.75" hidden="1" customHeight="1" outlineLevel="1">
      <c r="A3767" s="17">
        <v>41667.0</v>
      </c>
      <c r="B3767" s="1"/>
      <c r="C3767" s="1" t="s">
        <v>435</v>
      </c>
      <c r="D3767" s="74"/>
      <c r="E3767" s="67"/>
      <c r="F3767" s="75"/>
      <c r="G3767" s="67"/>
      <c r="H3767" s="68"/>
      <c r="I3767" s="76"/>
      <c r="J3767" s="67"/>
      <c r="K3767" s="7" t="s">
        <v>1507</v>
      </c>
      <c r="L3767" s="77"/>
      <c r="M3767" s="79"/>
      <c r="N3767" s="1"/>
      <c r="O3767" s="1"/>
      <c r="P3767" s="1"/>
      <c r="Q3767" s="1"/>
      <c r="R3767" s="1"/>
      <c r="S3767" s="1"/>
      <c r="T3767" s="1"/>
      <c r="U3767" s="1"/>
      <c r="V3767" s="1"/>
      <c r="W3767" s="1"/>
      <c r="X3767" s="1"/>
      <c r="Y3767" s="1"/>
      <c r="Z3767" s="1"/>
      <c r="AA3767" s="1"/>
      <c r="AB3767" s="1"/>
      <c r="AC3767" s="1"/>
      <c r="AD3767" s="1"/>
      <c r="AE3767" s="1"/>
      <c r="AF3767" s="1"/>
      <c r="AG3767" s="1"/>
      <c r="AH3767" s="1"/>
    </row>
    <row r="3768" ht="12.75" hidden="1" customHeight="1" outlineLevel="1">
      <c r="A3768" s="17">
        <v>41667.0</v>
      </c>
      <c r="B3768" s="1" t="s">
        <v>347</v>
      </c>
      <c r="C3768" s="1" t="s">
        <v>1006</v>
      </c>
      <c r="D3768" s="74">
        <v>100.0</v>
      </c>
      <c r="E3768" s="67">
        <v>53.0501</v>
      </c>
      <c r="F3768" s="75">
        <v>0.45089120370370367</v>
      </c>
      <c r="G3768" s="67" t="s">
        <v>453</v>
      </c>
      <c r="H3768" s="68">
        <v>1.09</v>
      </c>
      <c r="I3768" s="76"/>
      <c r="J3768" s="67">
        <f>IF(B3768="SLD",D3768*E3768,-D3768*E3768)-H3768</f>
        <v>5303.92</v>
      </c>
      <c r="K3768" s="7"/>
      <c r="L3768" s="70"/>
      <c r="M3768" s="79"/>
      <c r="N3768" s="1"/>
      <c r="O3768" s="1"/>
      <c r="P3768" s="1"/>
      <c r="Q3768" s="1"/>
      <c r="R3768" s="1"/>
      <c r="S3768" s="1"/>
      <c r="T3768" s="1"/>
      <c r="U3768" s="1"/>
      <c r="V3768" s="1"/>
      <c r="W3768" s="1"/>
      <c r="X3768" s="1"/>
      <c r="Y3768" s="1"/>
      <c r="Z3768" s="1"/>
      <c r="AA3768" s="1"/>
      <c r="AB3768" s="1"/>
      <c r="AC3768" s="1"/>
      <c r="AD3768" s="1"/>
      <c r="AE3768" s="1"/>
      <c r="AF3768" s="1"/>
      <c r="AG3768" s="1"/>
      <c r="AH3768" s="1"/>
    </row>
    <row r="3769" ht="12.75" hidden="1" customHeight="1" outlineLevel="1">
      <c r="A3769" s="17">
        <v>41667.0</v>
      </c>
      <c r="B3769" s="1"/>
      <c r="C3769" s="1" t="s">
        <v>339</v>
      </c>
      <c r="D3769" s="74"/>
      <c r="E3769" s="67"/>
      <c r="F3769" s="75"/>
      <c r="G3769" s="67"/>
      <c r="H3769" s="68"/>
      <c r="I3769" s="76"/>
      <c r="J3769" s="67"/>
      <c r="K3769" s="7" t="s">
        <v>1628</v>
      </c>
      <c r="L3769" s="77"/>
      <c r="M3769" s="79"/>
      <c r="N3769" s="1"/>
      <c r="O3769" s="1"/>
      <c r="P3769" s="1"/>
      <c r="Q3769" s="1"/>
      <c r="R3769" s="1"/>
      <c r="S3769" s="1"/>
      <c r="T3769" s="1"/>
      <c r="U3769" s="1"/>
      <c r="V3769" s="1"/>
      <c r="W3769" s="1"/>
      <c r="X3769" s="1"/>
      <c r="Y3769" s="1"/>
      <c r="Z3769" s="1"/>
      <c r="AA3769" s="1"/>
      <c r="AB3769" s="1"/>
      <c r="AC3769" s="1"/>
      <c r="AD3769" s="1"/>
      <c r="AE3769" s="1"/>
      <c r="AF3769" s="1"/>
      <c r="AG3769" s="1"/>
      <c r="AH3769" s="1"/>
    </row>
    <row r="3770" ht="12.75" hidden="1" customHeight="1" outlineLevel="1">
      <c r="A3770" s="17">
        <v>41667.0</v>
      </c>
      <c r="B3770" s="1"/>
      <c r="C3770" s="1" t="s">
        <v>429</v>
      </c>
      <c r="D3770" s="74"/>
      <c r="E3770" s="67"/>
      <c r="F3770" s="75"/>
      <c r="G3770" s="67"/>
      <c r="H3770" s="68"/>
      <c r="I3770" s="76"/>
      <c r="J3770" s="67"/>
      <c r="K3770" s="7" t="s">
        <v>1553</v>
      </c>
      <c r="L3770" s="77"/>
      <c r="M3770" s="79"/>
      <c r="N3770" s="1"/>
      <c r="O3770" s="1"/>
      <c r="P3770" s="1"/>
      <c r="Q3770" s="1"/>
      <c r="R3770" s="1"/>
      <c r="S3770" s="1"/>
      <c r="T3770" s="1"/>
      <c r="U3770" s="1"/>
      <c r="V3770" s="1"/>
      <c r="W3770" s="1"/>
      <c r="X3770" s="1"/>
      <c r="Y3770" s="1"/>
      <c r="Z3770" s="1"/>
      <c r="AA3770" s="1"/>
      <c r="AB3770" s="1"/>
      <c r="AC3770" s="1"/>
      <c r="AD3770" s="1"/>
      <c r="AE3770" s="1"/>
      <c r="AF3770" s="1"/>
      <c r="AG3770" s="1"/>
      <c r="AH3770" s="1"/>
    </row>
    <row r="3771" ht="12.75" hidden="1" customHeight="1" outlineLevel="1">
      <c r="A3771" s="17">
        <v>41667.0</v>
      </c>
      <c r="B3771" s="1"/>
      <c r="C3771" s="1" t="s">
        <v>431</v>
      </c>
      <c r="D3771" s="74"/>
      <c r="E3771" s="67"/>
      <c r="F3771" s="75"/>
      <c r="G3771" s="67"/>
      <c r="H3771" s="68"/>
      <c r="I3771" s="76"/>
      <c r="J3771" s="67"/>
      <c r="K3771" s="7" t="s">
        <v>1126</v>
      </c>
      <c r="L3771" s="77"/>
      <c r="M3771" s="79"/>
      <c r="N3771" s="1"/>
      <c r="O3771" s="1"/>
      <c r="P3771" s="1"/>
      <c r="Q3771" s="1"/>
      <c r="R3771" s="1"/>
      <c r="S3771" s="1"/>
      <c r="T3771" s="1"/>
      <c r="U3771" s="1"/>
      <c r="V3771" s="1"/>
      <c r="W3771" s="1"/>
      <c r="X3771" s="1"/>
      <c r="Y3771" s="1"/>
      <c r="Z3771" s="1"/>
      <c r="AA3771" s="1"/>
      <c r="AB3771" s="1"/>
      <c r="AC3771" s="1"/>
      <c r="AD3771" s="1"/>
      <c r="AE3771" s="1"/>
      <c r="AF3771" s="1"/>
      <c r="AG3771" s="1"/>
      <c r="AH3771" s="1"/>
    </row>
    <row r="3772" ht="12.75" hidden="1" customHeight="1" outlineLevel="1">
      <c r="A3772" s="17">
        <v>41667.0</v>
      </c>
      <c r="B3772" s="1"/>
      <c r="C3772" s="1" t="s">
        <v>433</v>
      </c>
      <c r="D3772" s="74"/>
      <c r="E3772" s="67"/>
      <c r="F3772" s="75"/>
      <c r="G3772" s="67"/>
      <c r="H3772" s="68"/>
      <c r="I3772" s="76"/>
      <c r="J3772" s="67"/>
      <c r="K3772" s="7" t="s">
        <v>1103</v>
      </c>
      <c r="L3772" s="77"/>
      <c r="M3772" s="79"/>
      <c r="N3772" s="1"/>
      <c r="O3772" s="1"/>
      <c r="P3772" s="1"/>
      <c r="Q3772" s="1"/>
      <c r="R3772" s="1"/>
      <c r="S3772" s="1"/>
      <c r="T3772" s="1"/>
      <c r="U3772" s="1"/>
      <c r="V3772" s="1"/>
      <c r="W3772" s="1"/>
      <c r="X3772" s="1"/>
      <c r="Y3772" s="1"/>
      <c r="Z3772" s="1"/>
      <c r="AA3772" s="1"/>
      <c r="AB3772" s="1"/>
      <c r="AC3772" s="1"/>
      <c r="AD3772" s="1"/>
      <c r="AE3772" s="1"/>
      <c r="AF3772" s="1"/>
      <c r="AG3772" s="1"/>
      <c r="AH3772" s="1"/>
    </row>
    <row r="3773" ht="12.75" hidden="1" customHeight="1" outlineLevel="1">
      <c r="A3773" s="17">
        <v>41667.0</v>
      </c>
      <c r="B3773" s="1"/>
      <c r="C3773" s="1" t="s">
        <v>435</v>
      </c>
      <c r="D3773" s="74"/>
      <c r="E3773" s="67"/>
      <c r="F3773" s="75"/>
      <c r="G3773" s="67"/>
      <c r="H3773" s="68"/>
      <c r="I3773" s="76"/>
      <c r="J3773" s="67"/>
      <c r="K3773" s="7" t="s">
        <v>1507</v>
      </c>
      <c r="L3773" s="77"/>
      <c r="M3773" s="79"/>
      <c r="N3773" s="1"/>
      <c r="O3773" s="1"/>
      <c r="P3773" s="1"/>
      <c r="Q3773" s="1"/>
      <c r="R3773" s="1"/>
      <c r="S3773" s="1"/>
      <c r="T3773" s="1"/>
      <c r="U3773" s="1"/>
      <c r="V3773" s="1"/>
      <c r="W3773" s="1"/>
      <c r="X3773" s="1"/>
      <c r="Y3773" s="1"/>
      <c r="Z3773" s="1"/>
      <c r="AA3773" s="1"/>
      <c r="AB3773" s="1"/>
      <c r="AC3773" s="1"/>
      <c r="AD3773" s="1"/>
      <c r="AE3773" s="1"/>
      <c r="AF3773" s="1"/>
      <c r="AG3773" s="1"/>
      <c r="AH3773" s="1"/>
    </row>
    <row r="3774" ht="12.75" hidden="1" customHeight="1" outlineLevel="1">
      <c r="A3774" s="17">
        <v>41668.0</v>
      </c>
      <c r="B3774" s="1" t="s">
        <v>343</v>
      </c>
      <c r="C3774" s="1" t="s">
        <v>1044</v>
      </c>
      <c r="D3774" s="74">
        <v>1200.0</v>
      </c>
      <c r="E3774" s="67">
        <v>24.0</v>
      </c>
      <c r="F3774" s="75">
        <v>0.6651157407407408</v>
      </c>
      <c r="G3774" s="67" t="s">
        <v>453</v>
      </c>
      <c r="H3774" s="68">
        <v>4.8</v>
      </c>
      <c r="I3774" s="76"/>
      <c r="J3774" s="67">
        <f t="shared" ref="J3774:J3776" si="244">IF(B3774="SLD",D3774*E3774,-D3774*E3774)-H3774</f>
        <v>-28804.8</v>
      </c>
      <c r="K3774" s="7"/>
      <c r="L3774" s="70"/>
      <c r="M3774" s="79"/>
      <c r="N3774" s="1"/>
      <c r="O3774" s="1"/>
      <c r="P3774" s="1"/>
      <c r="Q3774" s="1"/>
      <c r="R3774" s="1"/>
      <c r="S3774" s="1"/>
      <c r="T3774" s="1"/>
      <c r="U3774" s="1"/>
      <c r="V3774" s="1"/>
      <c r="W3774" s="1"/>
      <c r="X3774" s="1"/>
      <c r="Y3774" s="1"/>
      <c r="Z3774" s="1"/>
      <c r="AA3774" s="1"/>
      <c r="AB3774" s="1"/>
      <c r="AC3774" s="1"/>
      <c r="AD3774" s="1"/>
      <c r="AE3774" s="1"/>
      <c r="AF3774" s="1"/>
      <c r="AG3774" s="1"/>
      <c r="AH3774" s="1"/>
    </row>
    <row r="3775" ht="12.75" hidden="1" customHeight="1" outlineLevel="1">
      <c r="A3775" s="17">
        <v>41668.0</v>
      </c>
      <c r="B3775" s="1" t="s">
        <v>343</v>
      </c>
      <c r="C3775" s="1" t="s">
        <v>784</v>
      </c>
      <c r="D3775" s="74">
        <v>1000.0</v>
      </c>
      <c r="E3775" s="67">
        <v>13.59</v>
      </c>
      <c r="F3775" s="75">
        <v>0.6663541666666667</v>
      </c>
      <c r="G3775" s="67" t="s">
        <v>453</v>
      </c>
      <c r="H3775" s="68">
        <v>4.0</v>
      </c>
      <c r="I3775" s="76"/>
      <c r="J3775" s="67">
        <f t="shared" si="244"/>
        <v>-13594</v>
      </c>
      <c r="K3775" s="7"/>
      <c r="L3775" s="70"/>
      <c r="M3775" s="79"/>
      <c r="N3775" s="1"/>
      <c r="O3775" s="1"/>
      <c r="P3775" s="1"/>
      <c r="Q3775" s="1"/>
      <c r="R3775" s="1"/>
      <c r="S3775" s="1"/>
      <c r="T3775" s="1"/>
      <c r="U3775" s="1"/>
      <c r="V3775" s="1"/>
      <c r="W3775" s="1"/>
      <c r="X3775" s="1"/>
      <c r="Y3775" s="1"/>
      <c r="Z3775" s="1"/>
      <c r="AA3775" s="1"/>
      <c r="AB3775" s="1"/>
      <c r="AC3775" s="1"/>
      <c r="AD3775" s="1"/>
      <c r="AE3775" s="1"/>
      <c r="AF3775" s="1"/>
      <c r="AG3775" s="1"/>
      <c r="AH3775" s="1"/>
    </row>
    <row r="3776" ht="12.75" hidden="1" customHeight="1" outlineLevel="1">
      <c r="A3776" s="17">
        <v>41668.0</v>
      </c>
      <c r="B3776" s="1" t="s">
        <v>343</v>
      </c>
      <c r="C3776" s="1" t="s">
        <v>369</v>
      </c>
      <c r="D3776" s="74">
        <v>500.0</v>
      </c>
      <c r="E3776" s="67">
        <v>20.141</v>
      </c>
      <c r="F3776" s="75">
        <v>0.6678240740740741</v>
      </c>
      <c r="G3776" s="67" t="s">
        <v>453</v>
      </c>
      <c r="H3776" s="68">
        <v>2.5</v>
      </c>
      <c r="I3776" s="76"/>
      <c r="J3776" s="67">
        <f t="shared" si="244"/>
        <v>-10073</v>
      </c>
      <c r="K3776" s="7"/>
      <c r="L3776" s="70"/>
      <c r="M3776" s="79"/>
      <c r="N3776" s="1"/>
      <c r="O3776" s="1"/>
      <c r="P3776" s="1"/>
      <c r="Q3776" s="1"/>
      <c r="R3776" s="1"/>
      <c r="S3776" s="1"/>
      <c r="T3776" s="1"/>
      <c r="U3776" s="1"/>
      <c r="V3776" s="1"/>
      <c r="W3776" s="1"/>
      <c r="X3776" s="1"/>
      <c r="Y3776" s="1"/>
      <c r="Z3776" s="1"/>
      <c r="AA3776" s="1"/>
      <c r="AB3776" s="1"/>
      <c r="AC3776" s="1"/>
      <c r="AD3776" s="1"/>
      <c r="AE3776" s="1"/>
      <c r="AF3776" s="1"/>
      <c r="AG3776" s="1"/>
      <c r="AH3776" s="1"/>
    </row>
    <row r="3777" ht="12.75" hidden="1" customHeight="1" outlineLevel="1">
      <c r="A3777" s="17">
        <v>41668.0</v>
      </c>
      <c r="B3777" s="1"/>
      <c r="C3777" s="1" t="s">
        <v>339</v>
      </c>
      <c r="D3777" s="74"/>
      <c r="E3777" s="67"/>
      <c r="F3777" s="75"/>
      <c r="G3777" s="67"/>
      <c r="H3777" s="68"/>
      <c r="I3777" s="76"/>
      <c r="J3777" s="67"/>
      <c r="K3777" s="7" t="s">
        <v>1630</v>
      </c>
      <c r="L3777" s="77"/>
      <c r="M3777" s="79"/>
      <c r="N3777" s="1"/>
      <c r="O3777" s="1"/>
      <c r="P3777" s="1"/>
      <c r="Q3777" s="1"/>
      <c r="R3777" s="1"/>
      <c r="S3777" s="1"/>
      <c r="T3777" s="1"/>
      <c r="U3777" s="1"/>
      <c r="V3777" s="1"/>
      <c r="W3777" s="1"/>
      <c r="X3777" s="1"/>
      <c r="Y3777" s="1"/>
      <c r="Z3777" s="1"/>
      <c r="AA3777" s="1"/>
      <c r="AB3777" s="1"/>
      <c r="AC3777" s="1"/>
      <c r="AD3777" s="1"/>
      <c r="AE3777" s="1"/>
      <c r="AF3777" s="1"/>
      <c r="AG3777" s="1"/>
      <c r="AH3777" s="1"/>
    </row>
    <row r="3778" ht="12.75" hidden="1" customHeight="1" outlineLevel="1">
      <c r="A3778" s="17">
        <v>41668.0</v>
      </c>
      <c r="B3778" s="1"/>
      <c r="C3778" s="1" t="s">
        <v>429</v>
      </c>
      <c r="D3778" s="74"/>
      <c r="E3778" s="67"/>
      <c r="F3778" s="75"/>
      <c r="G3778" s="67"/>
      <c r="H3778" s="68"/>
      <c r="I3778" s="76"/>
      <c r="J3778" s="67"/>
      <c r="K3778" s="7" t="s">
        <v>1553</v>
      </c>
      <c r="L3778" s="77"/>
      <c r="M3778" s="79"/>
      <c r="N3778" s="1"/>
      <c r="O3778" s="1"/>
      <c r="P3778" s="1"/>
      <c r="Q3778" s="1"/>
      <c r="R3778" s="1"/>
      <c r="S3778" s="1"/>
      <c r="T3778" s="1"/>
      <c r="U3778" s="1"/>
      <c r="V3778" s="1"/>
      <c r="W3778" s="1"/>
      <c r="X3778" s="1"/>
      <c r="Y3778" s="1"/>
      <c r="Z3778" s="1"/>
      <c r="AA3778" s="1"/>
      <c r="AB3778" s="1"/>
      <c r="AC3778" s="1"/>
      <c r="AD3778" s="1"/>
      <c r="AE3778" s="1"/>
      <c r="AF3778" s="1"/>
      <c r="AG3778" s="1"/>
      <c r="AH3778" s="1"/>
    </row>
    <row r="3779" ht="12.75" hidden="1" customHeight="1" outlineLevel="1">
      <c r="A3779" s="17">
        <v>41668.0</v>
      </c>
      <c r="B3779" s="1"/>
      <c r="C3779" s="1" t="s">
        <v>431</v>
      </c>
      <c r="D3779" s="74"/>
      <c r="E3779" s="67"/>
      <c r="F3779" s="75"/>
      <c r="G3779" s="67"/>
      <c r="H3779" s="68"/>
      <c r="I3779" s="76"/>
      <c r="J3779" s="67"/>
      <c r="K3779" s="7" t="s">
        <v>1126</v>
      </c>
      <c r="L3779" s="77"/>
      <c r="M3779" s="79"/>
      <c r="N3779" s="1"/>
      <c r="O3779" s="1"/>
      <c r="P3779" s="1"/>
      <c r="Q3779" s="1"/>
      <c r="R3779" s="1"/>
      <c r="S3779" s="1"/>
      <c r="T3779" s="1"/>
      <c r="U3779" s="1"/>
      <c r="V3779" s="1"/>
      <c r="W3779" s="1"/>
      <c r="X3779" s="1"/>
      <c r="Y3779" s="1"/>
      <c r="Z3779" s="1"/>
      <c r="AA3779" s="1"/>
      <c r="AB3779" s="1"/>
      <c r="AC3779" s="1"/>
      <c r="AD3779" s="1"/>
      <c r="AE3779" s="1"/>
      <c r="AF3779" s="1"/>
      <c r="AG3779" s="1"/>
      <c r="AH3779" s="1"/>
    </row>
    <row r="3780" ht="12.75" hidden="1" customHeight="1" outlineLevel="1">
      <c r="A3780" s="17">
        <v>41668.0</v>
      </c>
      <c r="B3780" s="1"/>
      <c r="C3780" s="1" t="s">
        <v>433</v>
      </c>
      <c r="D3780" s="74"/>
      <c r="E3780" s="67"/>
      <c r="F3780" s="75"/>
      <c r="G3780" s="67"/>
      <c r="H3780" s="68"/>
      <c r="I3780" s="76"/>
      <c r="J3780" s="67"/>
      <c r="K3780" s="7" t="s">
        <v>1103</v>
      </c>
      <c r="L3780" s="77"/>
      <c r="M3780" s="79"/>
      <c r="N3780" s="1"/>
      <c r="O3780" s="1"/>
      <c r="P3780" s="1"/>
      <c r="Q3780" s="1"/>
      <c r="R3780" s="1"/>
      <c r="S3780" s="1"/>
      <c r="T3780" s="1"/>
      <c r="U3780" s="1"/>
      <c r="V3780" s="1"/>
      <c r="W3780" s="1"/>
      <c r="X3780" s="1"/>
      <c r="Y3780" s="1"/>
      <c r="Z3780" s="1"/>
      <c r="AA3780" s="1"/>
      <c r="AB3780" s="1"/>
      <c r="AC3780" s="1"/>
      <c r="AD3780" s="1"/>
      <c r="AE3780" s="1"/>
      <c r="AF3780" s="1"/>
      <c r="AG3780" s="1"/>
      <c r="AH3780" s="1"/>
    </row>
    <row r="3781" ht="12.75" hidden="1" customHeight="1" outlineLevel="1">
      <c r="A3781" s="17">
        <v>41668.0</v>
      </c>
      <c r="B3781" s="1"/>
      <c r="C3781" s="1" t="s">
        <v>435</v>
      </c>
      <c r="D3781" s="74"/>
      <c r="E3781" s="67"/>
      <c r="F3781" s="75"/>
      <c r="G3781" s="67"/>
      <c r="H3781" s="68"/>
      <c r="I3781" s="76"/>
      <c r="J3781" s="67"/>
      <c r="K3781" s="7" t="s">
        <v>1507</v>
      </c>
      <c r="L3781" s="77"/>
      <c r="M3781" s="79"/>
      <c r="N3781" s="1"/>
      <c r="O3781" s="1"/>
      <c r="P3781" s="1"/>
      <c r="Q3781" s="1"/>
      <c r="R3781" s="1"/>
      <c r="S3781" s="1"/>
      <c r="T3781" s="1"/>
      <c r="U3781" s="1"/>
      <c r="V3781" s="1"/>
      <c r="W3781" s="1"/>
      <c r="X3781" s="1"/>
      <c r="Y3781" s="1"/>
      <c r="Z3781" s="1"/>
      <c r="AA3781" s="1"/>
      <c r="AB3781" s="1"/>
      <c r="AC3781" s="1"/>
      <c r="AD3781" s="1"/>
      <c r="AE3781" s="1"/>
      <c r="AF3781" s="1"/>
      <c r="AG3781" s="1"/>
      <c r="AH3781" s="1"/>
    </row>
    <row r="3782" ht="12.75" hidden="1" customHeight="1" outlineLevel="1">
      <c r="A3782" s="17">
        <v>41669.0</v>
      </c>
      <c r="B3782" s="1"/>
      <c r="C3782" s="1" t="s">
        <v>339</v>
      </c>
      <c r="D3782" s="74"/>
      <c r="E3782" s="67"/>
      <c r="F3782" s="75"/>
      <c r="G3782" s="67"/>
      <c r="H3782" s="68"/>
      <c r="I3782" s="76"/>
      <c r="J3782" s="67"/>
      <c r="K3782" s="7" t="s">
        <v>1631</v>
      </c>
      <c r="L3782" s="77"/>
      <c r="M3782" s="79"/>
      <c r="N3782" s="1"/>
      <c r="O3782" s="1"/>
      <c r="P3782" s="1"/>
      <c r="Q3782" s="1"/>
      <c r="R3782" s="1"/>
      <c r="S3782" s="1"/>
      <c r="T3782" s="1"/>
      <c r="U3782" s="1"/>
      <c r="V3782" s="1"/>
      <c r="W3782" s="1"/>
      <c r="X3782" s="1"/>
      <c r="Y3782" s="1"/>
      <c r="Z3782" s="1"/>
      <c r="AA3782" s="1"/>
      <c r="AB3782" s="1"/>
      <c r="AC3782" s="1"/>
      <c r="AD3782" s="1"/>
      <c r="AE3782" s="1"/>
      <c r="AF3782" s="1"/>
      <c r="AG3782" s="1"/>
      <c r="AH3782" s="1"/>
    </row>
    <row r="3783" ht="12.75" hidden="1" customHeight="1" outlineLevel="1">
      <c r="A3783" s="17">
        <v>41669.0</v>
      </c>
      <c r="B3783" s="1"/>
      <c r="C3783" s="1" t="s">
        <v>429</v>
      </c>
      <c r="D3783" s="74"/>
      <c r="E3783" s="67"/>
      <c r="F3783" s="75"/>
      <c r="G3783" s="67"/>
      <c r="H3783" s="68"/>
      <c r="I3783" s="76"/>
      <c r="J3783" s="67"/>
      <c r="K3783" s="7" t="s">
        <v>1553</v>
      </c>
      <c r="L3783" s="77"/>
      <c r="M3783" s="79"/>
      <c r="N3783" s="1"/>
      <c r="O3783" s="1"/>
      <c r="P3783" s="1"/>
      <c r="Q3783" s="1"/>
      <c r="R3783" s="1"/>
      <c r="S3783" s="1"/>
      <c r="T3783" s="1"/>
      <c r="U3783" s="1"/>
      <c r="V3783" s="1"/>
      <c r="W3783" s="1"/>
      <c r="X3783" s="1"/>
      <c r="Y3783" s="1"/>
      <c r="Z3783" s="1"/>
      <c r="AA3783" s="1"/>
      <c r="AB3783" s="1"/>
      <c r="AC3783" s="1"/>
      <c r="AD3783" s="1"/>
      <c r="AE3783" s="1"/>
      <c r="AF3783" s="1"/>
      <c r="AG3783" s="1"/>
      <c r="AH3783" s="1"/>
    </row>
    <row r="3784" ht="12.75" hidden="1" customHeight="1" outlineLevel="1">
      <c r="A3784" s="17">
        <v>41669.0</v>
      </c>
      <c r="B3784" s="1"/>
      <c r="C3784" s="1" t="s">
        <v>431</v>
      </c>
      <c r="D3784" s="74"/>
      <c r="E3784" s="67"/>
      <c r="F3784" s="75"/>
      <c r="G3784" s="67"/>
      <c r="H3784" s="68"/>
      <c r="I3784" s="76"/>
      <c r="J3784" s="67"/>
      <c r="K3784" s="7" t="s">
        <v>1126</v>
      </c>
      <c r="L3784" s="77"/>
      <c r="M3784" s="79"/>
      <c r="N3784" s="1"/>
      <c r="O3784" s="1"/>
      <c r="P3784" s="1"/>
      <c r="Q3784" s="1"/>
      <c r="R3784" s="1"/>
      <c r="S3784" s="1"/>
      <c r="T3784" s="1"/>
      <c r="U3784" s="1"/>
      <c r="V3784" s="1"/>
      <c r="W3784" s="1"/>
      <c r="X3784" s="1"/>
      <c r="Y3784" s="1"/>
      <c r="Z3784" s="1"/>
      <c r="AA3784" s="1"/>
      <c r="AB3784" s="1"/>
      <c r="AC3784" s="1"/>
      <c r="AD3784" s="1"/>
      <c r="AE3784" s="1"/>
      <c r="AF3784" s="1"/>
      <c r="AG3784" s="1"/>
      <c r="AH3784" s="1"/>
    </row>
    <row r="3785" ht="12.75" hidden="1" customHeight="1" outlineLevel="1">
      <c r="A3785" s="17">
        <v>41669.0</v>
      </c>
      <c r="B3785" s="1"/>
      <c r="C3785" s="1" t="s">
        <v>433</v>
      </c>
      <c r="D3785" s="74"/>
      <c r="E3785" s="67"/>
      <c r="F3785" s="75"/>
      <c r="G3785" s="67"/>
      <c r="H3785" s="68"/>
      <c r="I3785" s="76"/>
      <c r="J3785" s="67"/>
      <c r="K3785" s="7" t="s">
        <v>1103</v>
      </c>
      <c r="L3785" s="77"/>
      <c r="M3785" s="79"/>
      <c r="N3785" s="1"/>
      <c r="O3785" s="1"/>
      <c r="P3785" s="1"/>
      <c r="Q3785" s="1"/>
      <c r="R3785" s="1"/>
      <c r="S3785" s="1"/>
      <c r="T3785" s="1"/>
      <c r="U3785" s="1"/>
      <c r="V3785" s="1"/>
      <c r="W3785" s="1"/>
      <c r="X3785" s="1"/>
      <c r="Y3785" s="1"/>
      <c r="Z3785" s="1"/>
      <c r="AA3785" s="1"/>
      <c r="AB3785" s="1"/>
      <c r="AC3785" s="1"/>
      <c r="AD3785" s="1"/>
      <c r="AE3785" s="1"/>
      <c r="AF3785" s="1"/>
      <c r="AG3785" s="1"/>
      <c r="AH3785" s="1"/>
    </row>
    <row r="3786" ht="12.75" hidden="1" customHeight="1" outlineLevel="1">
      <c r="A3786" s="17">
        <v>41669.0</v>
      </c>
      <c r="B3786" s="1"/>
      <c r="C3786" s="1" t="s">
        <v>435</v>
      </c>
      <c r="D3786" s="74"/>
      <c r="E3786" s="67"/>
      <c r="F3786" s="75"/>
      <c r="G3786" s="67"/>
      <c r="H3786" s="68"/>
      <c r="I3786" s="76"/>
      <c r="J3786" s="67"/>
      <c r="K3786" s="7" t="s">
        <v>1507</v>
      </c>
      <c r="L3786" s="77"/>
      <c r="M3786" s="79"/>
      <c r="N3786" s="1"/>
      <c r="O3786" s="1"/>
      <c r="P3786" s="1"/>
      <c r="Q3786" s="1"/>
      <c r="R3786" s="1"/>
      <c r="S3786" s="1"/>
      <c r="T3786" s="1"/>
      <c r="U3786" s="1"/>
      <c r="V3786" s="1"/>
      <c r="W3786" s="1"/>
      <c r="X3786" s="1"/>
      <c r="Y3786" s="1"/>
      <c r="Z3786" s="1"/>
      <c r="AA3786" s="1"/>
      <c r="AB3786" s="1"/>
      <c r="AC3786" s="1"/>
      <c r="AD3786" s="1"/>
      <c r="AE3786" s="1"/>
      <c r="AF3786" s="1"/>
      <c r="AG3786" s="1"/>
      <c r="AH3786" s="1"/>
    </row>
    <row r="3787" ht="12.75" hidden="1" customHeight="1" outlineLevel="1">
      <c r="A3787" s="17">
        <v>41669.0</v>
      </c>
      <c r="B3787" s="1"/>
      <c r="C3787" s="1" t="s">
        <v>339</v>
      </c>
      <c r="D3787" s="74"/>
      <c r="E3787" s="67"/>
      <c r="F3787" s="75"/>
      <c r="G3787" s="67"/>
      <c r="H3787" s="68"/>
      <c r="I3787" s="76"/>
      <c r="J3787" s="67"/>
      <c r="K3787" s="7" t="s">
        <v>1634</v>
      </c>
      <c r="L3787" s="77"/>
      <c r="M3787" s="79"/>
      <c r="N3787" s="1"/>
      <c r="O3787" s="1"/>
      <c r="P3787" s="1"/>
      <c r="Q3787" s="1"/>
      <c r="R3787" s="1"/>
      <c r="S3787" s="1"/>
      <c r="T3787" s="1"/>
      <c r="U3787" s="1"/>
      <c r="V3787" s="1"/>
      <c r="W3787" s="1"/>
      <c r="X3787" s="1"/>
      <c r="Y3787" s="1"/>
      <c r="Z3787" s="1"/>
      <c r="AA3787" s="1"/>
      <c r="AB3787" s="1"/>
      <c r="AC3787" s="1"/>
      <c r="AD3787" s="1"/>
      <c r="AE3787" s="1"/>
      <c r="AF3787" s="1"/>
      <c r="AG3787" s="1"/>
      <c r="AH3787" s="1"/>
    </row>
    <row r="3788" ht="12.75" hidden="1" customHeight="1" outlineLevel="1">
      <c r="A3788" s="17">
        <v>41669.0</v>
      </c>
      <c r="B3788" s="1"/>
      <c r="C3788" s="1" t="s">
        <v>429</v>
      </c>
      <c r="D3788" s="74"/>
      <c r="E3788" s="67"/>
      <c r="F3788" s="75"/>
      <c r="G3788" s="67"/>
      <c r="H3788" s="68"/>
      <c r="I3788" s="76"/>
      <c r="J3788" s="67"/>
      <c r="K3788" s="7" t="s">
        <v>1553</v>
      </c>
      <c r="L3788" s="77"/>
      <c r="M3788" s="79"/>
      <c r="N3788" s="1"/>
      <c r="O3788" s="1"/>
      <c r="P3788" s="1"/>
      <c r="Q3788" s="1"/>
      <c r="R3788" s="1"/>
      <c r="S3788" s="1"/>
      <c r="T3788" s="1"/>
      <c r="U3788" s="1"/>
      <c r="V3788" s="1"/>
      <c r="W3788" s="1"/>
      <c r="X3788" s="1"/>
      <c r="Y3788" s="1"/>
      <c r="Z3788" s="1"/>
      <c r="AA3788" s="1"/>
      <c r="AB3788" s="1"/>
      <c r="AC3788" s="1"/>
      <c r="AD3788" s="1"/>
      <c r="AE3788" s="1"/>
      <c r="AF3788" s="1"/>
      <c r="AG3788" s="1"/>
      <c r="AH3788" s="1"/>
    </row>
    <row r="3789" ht="12.75" hidden="1" customHeight="1" outlineLevel="1">
      <c r="A3789" s="17">
        <v>41669.0</v>
      </c>
      <c r="B3789" s="1"/>
      <c r="C3789" s="1" t="s">
        <v>431</v>
      </c>
      <c r="D3789" s="74"/>
      <c r="E3789" s="67"/>
      <c r="F3789" s="75"/>
      <c r="G3789" s="67"/>
      <c r="H3789" s="68"/>
      <c r="I3789" s="76"/>
      <c r="J3789" s="67"/>
      <c r="K3789" s="7" t="s">
        <v>1126</v>
      </c>
      <c r="L3789" s="77"/>
      <c r="M3789" s="79"/>
      <c r="N3789" s="1"/>
      <c r="O3789" s="1"/>
      <c r="P3789" s="1"/>
      <c r="Q3789" s="1"/>
      <c r="R3789" s="1"/>
      <c r="S3789" s="1"/>
      <c r="T3789" s="1"/>
      <c r="U3789" s="1"/>
      <c r="V3789" s="1"/>
      <c r="W3789" s="1"/>
      <c r="X3789" s="1"/>
      <c r="Y3789" s="1"/>
      <c r="Z3789" s="1"/>
      <c r="AA3789" s="1"/>
      <c r="AB3789" s="1"/>
      <c r="AC3789" s="1"/>
      <c r="AD3789" s="1"/>
      <c r="AE3789" s="1"/>
      <c r="AF3789" s="1"/>
      <c r="AG3789" s="1"/>
      <c r="AH3789" s="1"/>
    </row>
    <row r="3790" ht="12.75" hidden="1" customHeight="1" outlineLevel="1">
      <c r="A3790" s="17">
        <v>41669.0</v>
      </c>
      <c r="B3790" s="1"/>
      <c r="C3790" s="1" t="s">
        <v>433</v>
      </c>
      <c r="D3790" s="74"/>
      <c r="E3790" s="67"/>
      <c r="F3790" s="75"/>
      <c r="G3790" s="67"/>
      <c r="H3790" s="68"/>
      <c r="I3790" s="76"/>
      <c r="J3790" s="67"/>
      <c r="K3790" s="7" t="s">
        <v>1103</v>
      </c>
      <c r="L3790" s="77"/>
      <c r="M3790" s="79"/>
      <c r="N3790" s="1"/>
      <c r="O3790" s="1"/>
      <c r="P3790" s="1"/>
      <c r="Q3790" s="1"/>
      <c r="R3790" s="1"/>
      <c r="S3790" s="1"/>
      <c r="T3790" s="1"/>
      <c r="U3790" s="1"/>
      <c r="V3790" s="1"/>
      <c r="W3790" s="1"/>
      <c r="X3790" s="1"/>
      <c r="Y3790" s="1"/>
      <c r="Z3790" s="1"/>
      <c r="AA3790" s="1"/>
      <c r="AB3790" s="1"/>
      <c r="AC3790" s="1"/>
      <c r="AD3790" s="1"/>
      <c r="AE3790" s="1"/>
      <c r="AF3790" s="1"/>
      <c r="AG3790" s="1"/>
      <c r="AH3790" s="1"/>
    </row>
    <row r="3791" ht="12.75" hidden="1" customHeight="1" outlineLevel="1">
      <c r="A3791" s="17">
        <v>41669.0</v>
      </c>
      <c r="B3791" s="1"/>
      <c r="C3791" s="1" t="s">
        <v>435</v>
      </c>
      <c r="D3791" s="74"/>
      <c r="E3791" s="67"/>
      <c r="F3791" s="75"/>
      <c r="G3791" s="67"/>
      <c r="H3791" s="68"/>
      <c r="I3791" s="76"/>
      <c r="J3791" s="67"/>
      <c r="K3791" s="7" t="s">
        <v>1507</v>
      </c>
      <c r="L3791" s="77"/>
      <c r="M3791" s="79"/>
      <c r="N3791" s="1"/>
      <c r="O3791" s="1"/>
      <c r="P3791" s="1"/>
      <c r="Q3791" s="1"/>
      <c r="R3791" s="1"/>
      <c r="S3791" s="1"/>
      <c r="T3791" s="1"/>
      <c r="U3791" s="1"/>
      <c r="V3791" s="1"/>
      <c r="W3791" s="1"/>
      <c r="X3791" s="1"/>
      <c r="Y3791" s="1"/>
      <c r="Z3791" s="1"/>
      <c r="AA3791" s="1"/>
      <c r="AB3791" s="1"/>
      <c r="AC3791" s="1"/>
      <c r="AD3791" s="1"/>
      <c r="AE3791" s="1"/>
      <c r="AF3791" s="1"/>
      <c r="AG3791" s="1"/>
      <c r="AH3791" s="1"/>
    </row>
    <row r="3792" ht="12.75" hidden="1" customHeight="1" outlineLevel="1">
      <c r="A3792" s="17">
        <v>41669.0</v>
      </c>
      <c r="B3792" s="1" t="s">
        <v>347</v>
      </c>
      <c r="C3792" s="1" t="s">
        <v>369</v>
      </c>
      <c r="D3792" s="74">
        <v>750.0</v>
      </c>
      <c r="E3792" s="67">
        <v>19.63</v>
      </c>
      <c r="F3792" s="75">
        <v>41669.437743055554</v>
      </c>
      <c r="G3792" s="67" t="s">
        <v>453</v>
      </c>
      <c r="H3792" s="68">
        <v>3.26</v>
      </c>
      <c r="I3792" s="76"/>
      <c r="J3792" s="67">
        <f t="shared" ref="J3792:J3802" si="245">IF(B3792="SLD",D3792*E3792,-D3792*E3792)-H3792</f>
        <v>14719.24</v>
      </c>
      <c r="K3792" s="7"/>
      <c r="L3792" s="70"/>
      <c r="M3792" s="79"/>
      <c r="N3792" s="1"/>
      <c r="O3792" s="1"/>
      <c r="P3792" s="1"/>
      <c r="Q3792" s="1"/>
      <c r="R3792" s="1"/>
      <c r="S3792" s="1"/>
      <c r="T3792" s="1"/>
      <c r="U3792" s="1"/>
      <c r="V3792" s="1"/>
      <c r="W3792" s="1"/>
      <c r="X3792" s="1"/>
      <c r="Y3792" s="1"/>
      <c r="Z3792" s="1"/>
      <c r="AA3792" s="1"/>
      <c r="AB3792" s="1"/>
      <c r="AC3792" s="1"/>
      <c r="AD3792" s="1"/>
      <c r="AE3792" s="1"/>
      <c r="AF3792" s="1"/>
      <c r="AG3792" s="1"/>
      <c r="AH3792" s="1"/>
    </row>
    <row r="3793" ht="12.75" hidden="1" customHeight="1" outlineLevel="1">
      <c r="A3793" s="17">
        <v>41669.0</v>
      </c>
      <c r="B3793" s="1" t="s">
        <v>347</v>
      </c>
      <c r="C3793" s="1" t="s">
        <v>784</v>
      </c>
      <c r="D3793" s="74">
        <v>1200.0</v>
      </c>
      <c r="E3793" s="67">
        <v>13.42</v>
      </c>
      <c r="F3793" s="75">
        <v>41669.438425925924</v>
      </c>
      <c r="G3793" s="67" t="s">
        <v>453</v>
      </c>
      <c r="H3793" s="68">
        <v>5.08</v>
      </c>
      <c r="I3793" s="76"/>
      <c r="J3793" s="67">
        <f t="shared" si="245"/>
        <v>16098.92</v>
      </c>
      <c r="K3793" s="7"/>
      <c r="L3793" s="70"/>
      <c r="M3793" s="79"/>
      <c r="N3793" s="1"/>
      <c r="O3793" s="1"/>
      <c r="P3793" s="1"/>
      <c r="Q3793" s="1"/>
      <c r="R3793" s="1"/>
      <c r="S3793" s="1"/>
      <c r="T3793" s="1"/>
      <c r="U3793" s="1"/>
      <c r="V3793" s="1"/>
      <c r="W3793" s="1"/>
      <c r="X3793" s="1"/>
      <c r="Y3793" s="1"/>
      <c r="Z3793" s="1"/>
      <c r="AA3793" s="1"/>
      <c r="AB3793" s="1"/>
      <c r="AC3793" s="1"/>
      <c r="AD3793" s="1"/>
      <c r="AE3793" s="1"/>
      <c r="AF3793" s="1"/>
      <c r="AG3793" s="1"/>
      <c r="AH3793" s="1"/>
    </row>
    <row r="3794" ht="12.75" hidden="1" customHeight="1" outlineLevel="1">
      <c r="A3794" s="17">
        <v>41669.0</v>
      </c>
      <c r="B3794" s="1" t="s">
        <v>347</v>
      </c>
      <c r="C3794" s="1" t="s">
        <v>355</v>
      </c>
      <c r="D3794" s="74">
        <v>750.0</v>
      </c>
      <c r="E3794" s="67">
        <v>11.31</v>
      </c>
      <c r="F3794" s="75">
        <v>41669.43954861111</v>
      </c>
      <c r="G3794" s="67" t="s">
        <v>453</v>
      </c>
      <c r="H3794" s="68">
        <v>3.2</v>
      </c>
      <c r="I3794" s="76"/>
      <c r="J3794" s="67">
        <f t="shared" si="245"/>
        <v>8479.3</v>
      </c>
      <c r="K3794" s="7"/>
      <c r="L3794" s="70"/>
      <c r="M3794" s="79"/>
      <c r="N3794" s="1"/>
      <c r="O3794" s="1"/>
      <c r="P3794" s="1"/>
      <c r="Q3794" s="1"/>
      <c r="R3794" s="1"/>
      <c r="S3794" s="1"/>
      <c r="T3794" s="1"/>
      <c r="U3794" s="1"/>
      <c r="V3794" s="1"/>
      <c r="W3794" s="1"/>
      <c r="X3794" s="1"/>
      <c r="Y3794" s="1"/>
      <c r="Z3794" s="1"/>
      <c r="AA3794" s="1"/>
      <c r="AB3794" s="1"/>
      <c r="AC3794" s="1"/>
      <c r="AD3794" s="1"/>
      <c r="AE3794" s="1"/>
      <c r="AF3794" s="1"/>
      <c r="AG3794" s="1"/>
      <c r="AH3794" s="1"/>
    </row>
    <row r="3795" ht="12.75" hidden="1" customHeight="1" outlineLevel="1">
      <c r="A3795" s="17">
        <v>41669.0</v>
      </c>
      <c r="B3795" s="1" t="s">
        <v>347</v>
      </c>
      <c r="C3795" s="1" t="s">
        <v>790</v>
      </c>
      <c r="D3795" s="74">
        <v>500.0</v>
      </c>
      <c r="E3795" s="67">
        <v>11.34</v>
      </c>
      <c r="F3795" s="75">
        <v>41669.44162037037</v>
      </c>
      <c r="G3795" s="67" t="s">
        <v>453</v>
      </c>
      <c r="H3795" s="68">
        <v>2.1</v>
      </c>
      <c r="I3795" s="76"/>
      <c r="J3795" s="67">
        <f t="shared" si="245"/>
        <v>5667.9</v>
      </c>
      <c r="K3795" s="7"/>
      <c r="L3795" s="70"/>
      <c r="M3795" s="79"/>
      <c r="N3795" s="1"/>
      <c r="O3795" s="1"/>
      <c r="P3795" s="1"/>
      <c r="Q3795" s="1"/>
      <c r="R3795" s="1"/>
      <c r="S3795" s="1"/>
      <c r="T3795" s="1"/>
      <c r="U3795" s="1"/>
      <c r="V3795" s="1"/>
      <c r="W3795" s="1"/>
      <c r="X3795" s="1"/>
      <c r="Y3795" s="1"/>
      <c r="Z3795" s="1"/>
      <c r="AA3795" s="1"/>
      <c r="AB3795" s="1"/>
      <c r="AC3795" s="1"/>
      <c r="AD3795" s="1"/>
      <c r="AE3795" s="1"/>
      <c r="AF3795" s="1"/>
      <c r="AG3795" s="1"/>
      <c r="AH3795" s="1"/>
    </row>
    <row r="3796" ht="12.75" hidden="1" customHeight="1" outlineLevel="1">
      <c r="A3796" s="17">
        <v>41669.0</v>
      </c>
      <c r="B3796" s="1" t="s">
        <v>347</v>
      </c>
      <c r="C3796" s="1" t="s">
        <v>1044</v>
      </c>
      <c r="D3796" s="74">
        <v>1200.0</v>
      </c>
      <c r="E3796" s="67">
        <v>23.4</v>
      </c>
      <c r="F3796" s="75">
        <v>41669.442083333335</v>
      </c>
      <c r="G3796" s="67" t="s">
        <v>453</v>
      </c>
      <c r="H3796" s="68">
        <v>5.69</v>
      </c>
      <c r="I3796" s="76"/>
      <c r="J3796" s="67">
        <f t="shared" si="245"/>
        <v>28074.31</v>
      </c>
      <c r="K3796" s="7"/>
      <c r="L3796" s="70"/>
      <c r="M3796" s="79"/>
      <c r="N3796" s="1"/>
      <c r="O3796" s="1"/>
      <c r="P3796" s="1"/>
      <c r="Q3796" s="1"/>
      <c r="R3796" s="1"/>
      <c r="S3796" s="1"/>
      <c r="T3796" s="1"/>
      <c r="U3796" s="1"/>
      <c r="V3796" s="1"/>
      <c r="W3796" s="1"/>
      <c r="X3796" s="1"/>
      <c r="Y3796" s="1"/>
      <c r="Z3796" s="1"/>
      <c r="AA3796" s="1"/>
      <c r="AB3796" s="1"/>
      <c r="AC3796" s="1"/>
      <c r="AD3796" s="1"/>
      <c r="AE3796" s="1"/>
      <c r="AF3796" s="1"/>
      <c r="AG3796" s="1"/>
      <c r="AH3796" s="1"/>
    </row>
    <row r="3797" ht="12.75" hidden="1" customHeight="1" outlineLevel="1">
      <c r="A3797" s="17">
        <v>41669.0</v>
      </c>
      <c r="B3797" s="1" t="s">
        <v>343</v>
      </c>
      <c r="C3797" s="1" t="s">
        <v>1357</v>
      </c>
      <c r="D3797" s="74">
        <v>275.0</v>
      </c>
      <c r="E3797" s="67">
        <v>103.21</v>
      </c>
      <c r="F3797" s="75">
        <v>41669.44552083333</v>
      </c>
      <c r="G3797" s="67" t="s">
        <v>453</v>
      </c>
      <c r="H3797" s="68">
        <v>1.38</v>
      </c>
      <c r="I3797" s="76"/>
      <c r="J3797" s="67">
        <f t="shared" si="245"/>
        <v>-28384.13</v>
      </c>
      <c r="K3797" s="7"/>
      <c r="L3797" s="70"/>
      <c r="M3797" s="79"/>
      <c r="N3797" s="1"/>
      <c r="O3797" s="1"/>
      <c r="P3797" s="1"/>
      <c r="Q3797" s="1"/>
      <c r="R3797" s="1"/>
      <c r="S3797" s="1"/>
      <c r="T3797" s="1"/>
      <c r="U3797" s="1"/>
      <c r="V3797" s="1"/>
      <c r="W3797" s="1"/>
      <c r="X3797" s="1"/>
      <c r="Y3797" s="1"/>
      <c r="Z3797" s="1"/>
      <c r="AA3797" s="1"/>
      <c r="AB3797" s="1"/>
      <c r="AC3797" s="1"/>
      <c r="AD3797" s="1"/>
      <c r="AE3797" s="1"/>
      <c r="AF3797" s="1"/>
      <c r="AG3797" s="1"/>
      <c r="AH3797" s="1"/>
    </row>
    <row r="3798" ht="12.75" hidden="1" customHeight="1" outlineLevel="1">
      <c r="A3798" s="17">
        <v>41669.0</v>
      </c>
      <c r="B3798" s="1" t="s">
        <v>343</v>
      </c>
      <c r="C3798" s="1" t="s">
        <v>1370</v>
      </c>
      <c r="D3798" s="74">
        <v>400.0</v>
      </c>
      <c r="E3798" s="67">
        <v>63.868</v>
      </c>
      <c r="F3798" s="75">
        <v>41669.44988425926</v>
      </c>
      <c r="G3798" s="67" t="s">
        <v>453</v>
      </c>
      <c r="H3798" s="68">
        <v>3.27</v>
      </c>
      <c r="I3798" s="76"/>
      <c r="J3798" s="67">
        <f t="shared" si="245"/>
        <v>-25550.47</v>
      </c>
      <c r="K3798" s="7"/>
      <c r="L3798" s="70"/>
      <c r="M3798" s="79"/>
      <c r="N3798" s="1"/>
      <c r="O3798" s="1"/>
      <c r="P3798" s="1"/>
      <c r="Q3798" s="1"/>
      <c r="R3798" s="1"/>
      <c r="S3798" s="1"/>
      <c r="T3798" s="1"/>
      <c r="U3798" s="1"/>
      <c r="V3798" s="1"/>
      <c r="W3798" s="1"/>
      <c r="X3798" s="1"/>
      <c r="Y3798" s="1"/>
      <c r="Z3798" s="1"/>
      <c r="AA3798" s="1"/>
      <c r="AB3798" s="1"/>
      <c r="AC3798" s="1"/>
      <c r="AD3798" s="1"/>
      <c r="AE3798" s="1"/>
      <c r="AF3798" s="1"/>
      <c r="AG3798" s="1"/>
      <c r="AH3798" s="1"/>
    </row>
    <row r="3799" ht="12.75" hidden="1" customHeight="1" outlineLevel="1">
      <c r="A3799" s="17">
        <v>41669.0</v>
      </c>
      <c r="B3799" s="1" t="s">
        <v>343</v>
      </c>
      <c r="C3799" s="1" t="s">
        <v>1371</v>
      </c>
      <c r="D3799" s="74">
        <v>150.0</v>
      </c>
      <c r="E3799" s="67">
        <v>45.99</v>
      </c>
      <c r="F3799" s="75">
        <v>41669.45142361111</v>
      </c>
      <c r="G3799" s="67" t="s">
        <v>453</v>
      </c>
      <c r="H3799" s="68">
        <v>1.0</v>
      </c>
      <c r="I3799" s="76"/>
      <c r="J3799" s="67">
        <f t="shared" si="245"/>
        <v>-6899.5</v>
      </c>
      <c r="K3799" s="7"/>
      <c r="L3799" s="70"/>
      <c r="M3799" s="79"/>
      <c r="N3799" s="1"/>
      <c r="O3799" s="1"/>
      <c r="P3799" s="1"/>
      <c r="Q3799" s="1"/>
      <c r="R3799" s="1"/>
      <c r="S3799" s="1"/>
      <c r="T3799" s="1"/>
      <c r="U3799" s="1"/>
      <c r="V3799" s="1"/>
      <c r="W3799" s="1"/>
      <c r="X3799" s="1"/>
      <c r="Y3799" s="1"/>
      <c r="Z3799" s="1"/>
      <c r="AA3799" s="1"/>
      <c r="AB3799" s="1"/>
      <c r="AC3799" s="1"/>
      <c r="AD3799" s="1"/>
      <c r="AE3799" s="1"/>
      <c r="AF3799" s="1"/>
      <c r="AG3799" s="1"/>
      <c r="AH3799" s="1"/>
    </row>
    <row r="3800" ht="12.75" hidden="1" customHeight="1" outlineLevel="1">
      <c r="A3800" s="17">
        <v>41669.0</v>
      </c>
      <c r="B3800" s="1" t="s">
        <v>343</v>
      </c>
      <c r="C3800" s="1" t="s">
        <v>354</v>
      </c>
      <c r="D3800" s="74">
        <v>100.0</v>
      </c>
      <c r="E3800" s="67">
        <v>131.91</v>
      </c>
      <c r="F3800" s="75">
        <v>41669.451828703706</v>
      </c>
      <c r="G3800" s="67" t="s">
        <v>453</v>
      </c>
      <c r="H3800" s="68">
        <v>1.0</v>
      </c>
      <c r="I3800" s="76"/>
      <c r="J3800" s="67">
        <f t="shared" si="245"/>
        <v>-13192</v>
      </c>
      <c r="K3800" s="7"/>
      <c r="L3800" s="70"/>
      <c r="M3800" s="79"/>
      <c r="N3800" s="1"/>
      <c r="O3800" s="1"/>
      <c r="P3800" s="1"/>
      <c r="Q3800" s="1"/>
      <c r="R3800" s="1"/>
      <c r="S3800" s="1"/>
      <c r="T3800" s="1"/>
      <c r="U3800" s="1"/>
      <c r="V3800" s="1"/>
      <c r="W3800" s="1"/>
      <c r="X3800" s="1"/>
      <c r="Y3800" s="1"/>
      <c r="Z3800" s="1"/>
      <c r="AA3800" s="1"/>
      <c r="AB3800" s="1"/>
      <c r="AC3800" s="1"/>
      <c r="AD3800" s="1"/>
      <c r="AE3800" s="1"/>
      <c r="AF3800" s="1"/>
      <c r="AG3800" s="1"/>
      <c r="AH3800" s="1"/>
    </row>
    <row r="3801" ht="12.75" hidden="1" customHeight="1" outlineLevel="1">
      <c r="A3801" s="17">
        <v>41669.0</v>
      </c>
      <c r="B3801" s="1" t="s">
        <v>343</v>
      </c>
      <c r="C3801" s="1" t="s">
        <v>458</v>
      </c>
      <c r="D3801" s="74">
        <v>200.0</v>
      </c>
      <c r="E3801" s="67">
        <v>50.99</v>
      </c>
      <c r="F3801" s="75">
        <v>41669.457766203705</v>
      </c>
      <c r="G3801" s="67" t="s">
        <v>453</v>
      </c>
      <c r="H3801" s="68">
        <v>1.0</v>
      </c>
      <c r="I3801" s="76"/>
      <c r="J3801" s="67">
        <f t="shared" si="245"/>
        <v>-10199</v>
      </c>
      <c r="K3801" s="7"/>
      <c r="L3801" s="70"/>
      <c r="M3801" s="79"/>
      <c r="N3801" s="1"/>
      <c r="O3801" s="1"/>
      <c r="P3801" s="1"/>
      <c r="Q3801" s="1"/>
      <c r="R3801" s="1"/>
      <c r="S3801" s="1"/>
      <c r="T3801" s="1"/>
      <c r="U3801" s="1"/>
      <c r="V3801" s="1"/>
      <c r="W3801" s="1"/>
      <c r="X3801" s="1"/>
      <c r="Y3801" s="1"/>
      <c r="Z3801" s="1"/>
      <c r="AA3801" s="1"/>
      <c r="AB3801" s="1"/>
      <c r="AC3801" s="1"/>
      <c r="AD3801" s="1"/>
      <c r="AE3801" s="1"/>
      <c r="AF3801" s="1"/>
      <c r="AG3801" s="1"/>
      <c r="AH3801" s="1"/>
    </row>
    <row r="3802" ht="12.75" hidden="1" customHeight="1" outlineLevel="1">
      <c r="A3802" s="17">
        <v>41669.0</v>
      </c>
      <c r="B3802" s="1" t="s">
        <v>343</v>
      </c>
      <c r="C3802" s="1" t="s">
        <v>356</v>
      </c>
      <c r="D3802" s="74">
        <v>30.0</v>
      </c>
      <c r="E3802" s="67">
        <v>317.89</v>
      </c>
      <c r="F3802" s="75">
        <v>41669.45795138889</v>
      </c>
      <c r="G3802" s="67" t="s">
        <v>453</v>
      </c>
      <c r="H3802" s="68">
        <v>1.0</v>
      </c>
      <c r="I3802" s="76"/>
      <c r="J3802" s="67">
        <f t="shared" si="245"/>
        <v>-9537.7</v>
      </c>
      <c r="K3802" s="7"/>
      <c r="L3802" s="70"/>
      <c r="M3802" s="79"/>
      <c r="N3802" s="1"/>
      <c r="O3802" s="1"/>
      <c r="P3802" s="1"/>
      <c r="Q3802" s="1"/>
      <c r="R3802" s="1"/>
      <c r="S3802" s="1"/>
      <c r="T3802" s="1"/>
      <c r="U3802" s="1"/>
      <c r="V3802" s="1"/>
      <c r="W3802" s="1"/>
      <c r="X3802" s="1"/>
      <c r="Y3802" s="1"/>
      <c r="Z3802" s="1"/>
      <c r="AA3802" s="1"/>
      <c r="AB3802" s="1"/>
      <c r="AC3802" s="1"/>
      <c r="AD3802" s="1"/>
      <c r="AE3802" s="1"/>
      <c r="AF3802" s="1"/>
      <c r="AG3802" s="1"/>
      <c r="AH3802" s="1"/>
    </row>
    <row r="3803" ht="12.75" hidden="1" customHeight="1" outlineLevel="1">
      <c r="A3803" s="17">
        <v>41670.0</v>
      </c>
      <c r="B3803" s="1"/>
      <c r="C3803" s="1" t="s">
        <v>339</v>
      </c>
      <c r="D3803" s="74"/>
      <c r="E3803" s="67"/>
      <c r="F3803" s="75"/>
      <c r="G3803" s="67"/>
      <c r="H3803" s="68"/>
      <c r="I3803" s="76"/>
      <c r="J3803" s="67"/>
      <c r="K3803" s="7" t="s">
        <v>1638</v>
      </c>
      <c r="L3803" s="77"/>
      <c r="M3803" s="79"/>
      <c r="N3803" s="1"/>
      <c r="O3803" s="1"/>
      <c r="P3803" s="1"/>
      <c r="Q3803" s="1"/>
      <c r="R3803" s="1"/>
      <c r="S3803" s="1"/>
      <c r="T3803" s="1"/>
      <c r="U3803" s="1"/>
      <c r="V3803" s="1"/>
      <c r="W3803" s="1"/>
      <c r="X3803" s="1"/>
      <c r="Y3803" s="1"/>
      <c r="Z3803" s="1"/>
      <c r="AA3803" s="1"/>
      <c r="AB3803" s="1"/>
      <c r="AC3803" s="1"/>
      <c r="AD3803" s="1"/>
      <c r="AE3803" s="1"/>
      <c r="AF3803" s="1"/>
      <c r="AG3803" s="1"/>
      <c r="AH3803" s="1"/>
    </row>
    <row r="3804" ht="12.75" hidden="1" customHeight="1" outlineLevel="1">
      <c r="A3804" s="17">
        <v>41670.0</v>
      </c>
      <c r="B3804" s="1"/>
      <c r="C3804" s="1" t="s">
        <v>429</v>
      </c>
      <c r="D3804" s="74"/>
      <c r="E3804" s="67"/>
      <c r="F3804" s="75"/>
      <c r="G3804" s="67"/>
      <c r="H3804" s="68"/>
      <c r="I3804" s="76"/>
      <c r="J3804" s="67"/>
      <c r="K3804" s="7" t="s">
        <v>1553</v>
      </c>
      <c r="L3804" s="77"/>
      <c r="M3804" s="79"/>
      <c r="N3804" s="1"/>
      <c r="O3804" s="1"/>
      <c r="P3804" s="1"/>
      <c r="Q3804" s="1"/>
      <c r="R3804" s="1"/>
      <c r="S3804" s="1"/>
      <c r="T3804" s="1"/>
      <c r="U3804" s="1"/>
      <c r="V3804" s="1"/>
      <c r="W3804" s="1"/>
      <c r="X3804" s="1"/>
      <c r="Y3804" s="1"/>
      <c r="Z3804" s="1"/>
      <c r="AA3804" s="1"/>
      <c r="AB3804" s="1"/>
      <c r="AC3804" s="1"/>
      <c r="AD3804" s="1"/>
      <c r="AE3804" s="1"/>
      <c r="AF3804" s="1"/>
      <c r="AG3804" s="1"/>
      <c r="AH3804" s="1"/>
    </row>
    <row r="3805" ht="12.75" hidden="1" customHeight="1" outlineLevel="1">
      <c r="A3805" s="17">
        <v>41670.0</v>
      </c>
      <c r="B3805" s="1"/>
      <c r="C3805" s="1" t="s">
        <v>431</v>
      </c>
      <c r="D3805" s="74"/>
      <c r="E3805" s="67"/>
      <c r="F3805" s="75"/>
      <c r="G3805" s="67"/>
      <c r="H3805" s="68"/>
      <c r="I3805" s="76"/>
      <c r="J3805" s="67"/>
      <c r="K3805" s="7" t="s">
        <v>1126</v>
      </c>
      <c r="L3805" s="77"/>
      <c r="M3805" s="79"/>
      <c r="N3805" s="1"/>
      <c r="O3805" s="1"/>
      <c r="P3805" s="1"/>
      <c r="Q3805" s="1"/>
      <c r="R3805" s="1"/>
      <c r="S3805" s="1"/>
      <c r="T3805" s="1"/>
      <c r="U3805" s="1"/>
      <c r="V3805" s="1"/>
      <c r="W3805" s="1"/>
      <c r="X3805" s="1"/>
      <c r="Y3805" s="1"/>
      <c r="Z3805" s="1"/>
      <c r="AA3805" s="1"/>
      <c r="AB3805" s="1"/>
      <c r="AC3805" s="1"/>
      <c r="AD3805" s="1"/>
      <c r="AE3805" s="1"/>
      <c r="AF3805" s="1"/>
      <c r="AG3805" s="1"/>
      <c r="AH3805" s="1"/>
    </row>
    <row r="3806" ht="12.75" hidden="1" customHeight="1" outlineLevel="1">
      <c r="A3806" s="17">
        <v>41670.0</v>
      </c>
      <c r="B3806" s="1"/>
      <c r="C3806" s="1" t="s">
        <v>433</v>
      </c>
      <c r="D3806" s="74"/>
      <c r="E3806" s="67"/>
      <c r="F3806" s="75"/>
      <c r="G3806" s="67"/>
      <c r="H3806" s="68"/>
      <c r="I3806" s="76"/>
      <c r="J3806" s="67"/>
      <c r="K3806" s="7" t="s">
        <v>1103</v>
      </c>
      <c r="L3806" s="77"/>
      <c r="M3806" s="79"/>
      <c r="N3806" s="1"/>
      <c r="O3806" s="1"/>
      <c r="P3806" s="1"/>
      <c r="Q3806" s="1"/>
      <c r="R3806" s="1"/>
      <c r="S3806" s="1"/>
      <c r="T3806" s="1"/>
      <c r="U3806" s="1"/>
      <c r="V3806" s="1"/>
      <c r="W3806" s="1"/>
      <c r="X3806" s="1"/>
      <c r="Y3806" s="1"/>
      <c r="Z3806" s="1"/>
      <c r="AA3806" s="1"/>
      <c r="AB3806" s="1"/>
      <c r="AC3806" s="1"/>
      <c r="AD3806" s="1"/>
      <c r="AE3806" s="1"/>
      <c r="AF3806" s="1"/>
      <c r="AG3806" s="1"/>
      <c r="AH3806" s="1"/>
    </row>
    <row r="3807" ht="12.75" hidden="1" customHeight="1" outlineLevel="1">
      <c r="A3807" s="17">
        <v>41670.0</v>
      </c>
      <c r="B3807" s="1"/>
      <c r="C3807" s="1" t="s">
        <v>435</v>
      </c>
      <c r="D3807" s="74"/>
      <c r="E3807" s="67"/>
      <c r="F3807" s="75"/>
      <c r="G3807" s="67"/>
      <c r="H3807" s="68"/>
      <c r="I3807" s="76"/>
      <c r="J3807" s="67"/>
      <c r="K3807" s="7" t="s">
        <v>1507</v>
      </c>
      <c r="L3807" s="77"/>
      <c r="M3807" s="79"/>
      <c r="N3807" s="1"/>
      <c r="O3807" s="1"/>
      <c r="P3807" s="1"/>
      <c r="Q3807" s="1"/>
      <c r="R3807" s="1"/>
      <c r="S3807" s="1"/>
      <c r="T3807" s="1"/>
      <c r="U3807" s="1"/>
      <c r="V3807" s="1"/>
      <c r="W3807" s="1"/>
      <c r="X3807" s="1"/>
      <c r="Y3807" s="1"/>
      <c r="Z3807" s="1"/>
      <c r="AA3807" s="1"/>
      <c r="AB3807" s="1"/>
      <c r="AC3807" s="1"/>
      <c r="AD3807" s="1"/>
      <c r="AE3807" s="1"/>
      <c r="AF3807" s="1"/>
      <c r="AG3807" s="1"/>
      <c r="AH3807" s="1"/>
    </row>
    <row r="3808" ht="12.75" hidden="1" customHeight="1" outlineLevel="1">
      <c r="A3808" s="17">
        <v>41672.0</v>
      </c>
      <c r="B3808" s="1"/>
      <c r="C3808" s="1" t="s">
        <v>339</v>
      </c>
      <c r="D3808" s="74"/>
      <c r="E3808" s="67"/>
      <c r="F3808" s="75"/>
      <c r="G3808" s="67"/>
      <c r="H3808" s="68"/>
      <c r="I3808" s="76"/>
      <c r="J3808" s="67"/>
      <c r="K3808" s="7" t="s">
        <v>1641</v>
      </c>
      <c r="L3808" s="77"/>
      <c r="M3808" s="79"/>
      <c r="N3808" s="1"/>
      <c r="O3808" s="1"/>
      <c r="P3808" s="1"/>
      <c r="Q3808" s="1"/>
      <c r="R3808" s="1"/>
      <c r="S3808" s="1"/>
      <c r="T3808" s="1"/>
      <c r="U3808" s="1"/>
      <c r="V3808" s="1"/>
      <c r="W3808" s="1"/>
      <c r="X3808" s="1"/>
      <c r="Y3808" s="1"/>
      <c r="Z3808" s="1"/>
      <c r="AA3808" s="1"/>
      <c r="AB3808" s="1"/>
      <c r="AC3808" s="1"/>
      <c r="AD3808" s="1"/>
      <c r="AE3808" s="1"/>
      <c r="AF3808" s="1"/>
      <c r="AG3808" s="1"/>
      <c r="AH3808" s="1"/>
    </row>
    <row r="3809" ht="12.75" hidden="1" customHeight="1" outlineLevel="1">
      <c r="A3809" s="17">
        <v>41672.0</v>
      </c>
      <c r="B3809" s="1"/>
      <c r="C3809" s="1" t="s">
        <v>429</v>
      </c>
      <c r="D3809" s="74"/>
      <c r="E3809" s="67"/>
      <c r="F3809" s="75"/>
      <c r="G3809" s="67"/>
      <c r="H3809" s="68"/>
      <c r="I3809" s="76"/>
      <c r="J3809" s="67"/>
      <c r="K3809" s="7" t="s">
        <v>1553</v>
      </c>
      <c r="L3809" s="77"/>
      <c r="M3809" s="79"/>
      <c r="N3809" s="1"/>
      <c r="O3809" s="1"/>
      <c r="P3809" s="1"/>
      <c r="Q3809" s="1"/>
      <c r="R3809" s="1"/>
      <c r="S3809" s="1"/>
      <c r="T3809" s="1"/>
      <c r="U3809" s="1"/>
      <c r="V3809" s="1"/>
      <c r="W3809" s="1"/>
      <c r="X3809" s="1"/>
      <c r="Y3809" s="1"/>
      <c r="Z3809" s="1"/>
      <c r="AA3809" s="1"/>
      <c r="AB3809" s="1"/>
      <c r="AC3809" s="1"/>
      <c r="AD3809" s="1"/>
      <c r="AE3809" s="1"/>
      <c r="AF3809" s="1"/>
      <c r="AG3809" s="1"/>
      <c r="AH3809" s="1"/>
    </row>
    <row r="3810" ht="12.75" hidden="1" customHeight="1" outlineLevel="1">
      <c r="A3810" s="17">
        <v>41672.0</v>
      </c>
      <c r="B3810" s="1"/>
      <c r="C3810" s="1" t="s">
        <v>431</v>
      </c>
      <c r="D3810" s="74"/>
      <c r="E3810" s="67"/>
      <c r="F3810" s="75"/>
      <c r="G3810" s="67"/>
      <c r="H3810" s="68"/>
      <c r="I3810" s="76"/>
      <c r="J3810" s="67"/>
      <c r="K3810" s="7" t="s">
        <v>1126</v>
      </c>
      <c r="L3810" s="77"/>
      <c r="M3810" s="79"/>
      <c r="N3810" s="1"/>
      <c r="O3810" s="1"/>
      <c r="P3810" s="1"/>
      <c r="Q3810" s="1"/>
      <c r="R3810" s="1"/>
      <c r="S3810" s="1"/>
      <c r="T3810" s="1"/>
      <c r="U3810" s="1"/>
      <c r="V3810" s="1"/>
      <c r="W3810" s="1"/>
      <c r="X3810" s="1"/>
      <c r="Y3810" s="1"/>
      <c r="Z3810" s="1"/>
      <c r="AA3810" s="1"/>
      <c r="AB3810" s="1"/>
      <c r="AC3810" s="1"/>
      <c r="AD3810" s="1"/>
      <c r="AE3810" s="1"/>
      <c r="AF3810" s="1"/>
      <c r="AG3810" s="1"/>
      <c r="AH3810" s="1"/>
    </row>
    <row r="3811" ht="12.75" hidden="1" customHeight="1" outlineLevel="1">
      <c r="A3811" s="17">
        <v>41672.0</v>
      </c>
      <c r="B3811" s="1"/>
      <c r="C3811" s="1" t="s">
        <v>433</v>
      </c>
      <c r="D3811" s="74"/>
      <c r="E3811" s="67"/>
      <c r="F3811" s="75"/>
      <c r="G3811" s="67"/>
      <c r="H3811" s="68"/>
      <c r="I3811" s="76"/>
      <c r="J3811" s="67"/>
      <c r="K3811" s="7" t="s">
        <v>1103</v>
      </c>
      <c r="L3811" s="77"/>
      <c r="M3811" s="79"/>
      <c r="N3811" s="1"/>
      <c r="O3811" s="1"/>
      <c r="P3811" s="1"/>
      <c r="Q3811" s="1"/>
      <c r="R3811" s="1"/>
      <c r="S3811" s="1"/>
      <c r="T3811" s="1"/>
      <c r="U3811" s="1"/>
      <c r="V3811" s="1"/>
      <c r="W3811" s="1"/>
      <c r="X3811" s="1"/>
      <c r="Y3811" s="1"/>
      <c r="Z3811" s="1"/>
      <c r="AA3811" s="1"/>
      <c r="AB3811" s="1"/>
      <c r="AC3811" s="1"/>
      <c r="AD3811" s="1"/>
      <c r="AE3811" s="1"/>
      <c r="AF3811" s="1"/>
      <c r="AG3811" s="1"/>
      <c r="AH3811" s="1"/>
    </row>
    <row r="3812" ht="12.75" hidden="1" customHeight="1" outlineLevel="1">
      <c r="A3812" s="17">
        <v>41672.0</v>
      </c>
      <c r="B3812" s="1"/>
      <c r="C3812" s="1" t="s">
        <v>435</v>
      </c>
      <c r="D3812" s="74"/>
      <c r="E3812" s="67"/>
      <c r="F3812" s="75"/>
      <c r="G3812" s="67"/>
      <c r="H3812" s="68"/>
      <c r="I3812" s="76"/>
      <c r="J3812" s="67"/>
      <c r="K3812" s="7" t="s">
        <v>1507</v>
      </c>
      <c r="L3812" s="77"/>
      <c r="M3812" s="79"/>
      <c r="N3812" s="1"/>
      <c r="O3812" s="1"/>
      <c r="P3812" s="1"/>
      <c r="Q3812" s="1"/>
      <c r="R3812" s="1"/>
      <c r="S3812" s="1"/>
      <c r="T3812" s="1"/>
      <c r="U3812" s="1"/>
      <c r="V3812" s="1"/>
      <c r="W3812" s="1"/>
      <c r="X3812" s="1"/>
      <c r="Y3812" s="1"/>
      <c r="Z3812" s="1"/>
      <c r="AA3812" s="1"/>
      <c r="AB3812" s="1"/>
      <c r="AC3812" s="1"/>
      <c r="AD3812" s="1"/>
      <c r="AE3812" s="1"/>
      <c r="AF3812" s="1"/>
      <c r="AG3812" s="1"/>
      <c r="AH3812" s="1"/>
    </row>
    <row r="3813" ht="12.75" hidden="1" customHeight="1" outlineLevel="1">
      <c r="A3813" s="17">
        <v>41673.0</v>
      </c>
      <c r="B3813" s="1"/>
      <c r="C3813" s="1" t="s">
        <v>339</v>
      </c>
      <c r="D3813" s="74"/>
      <c r="E3813" s="67"/>
      <c r="F3813" s="75"/>
      <c r="G3813" s="67"/>
      <c r="H3813" s="68"/>
      <c r="I3813" s="76"/>
      <c r="J3813" s="67"/>
      <c r="K3813" s="7" t="s">
        <v>1643</v>
      </c>
      <c r="L3813" s="77"/>
      <c r="M3813" s="79"/>
      <c r="N3813" s="1"/>
      <c r="O3813" s="1"/>
      <c r="P3813" s="1"/>
      <c r="Q3813" s="1"/>
      <c r="R3813" s="1"/>
      <c r="S3813" s="1"/>
      <c r="T3813" s="1"/>
      <c r="U3813" s="1"/>
      <c r="V3813" s="1"/>
      <c r="W3813" s="1"/>
      <c r="X3813" s="1"/>
      <c r="Y3813" s="1"/>
      <c r="Z3813" s="1"/>
      <c r="AA3813" s="1"/>
      <c r="AB3813" s="1"/>
      <c r="AC3813" s="1"/>
      <c r="AD3813" s="1"/>
      <c r="AE3813" s="1"/>
      <c r="AF3813" s="1"/>
      <c r="AG3813" s="1"/>
      <c r="AH3813" s="1"/>
    </row>
    <row r="3814" ht="12.75" hidden="1" customHeight="1" outlineLevel="1">
      <c r="A3814" s="17">
        <v>41673.0</v>
      </c>
      <c r="B3814" s="1"/>
      <c r="C3814" s="1" t="s">
        <v>429</v>
      </c>
      <c r="D3814" s="74"/>
      <c r="E3814" s="67"/>
      <c r="F3814" s="75"/>
      <c r="G3814" s="67"/>
      <c r="H3814" s="68"/>
      <c r="I3814" s="76"/>
      <c r="J3814" s="67"/>
      <c r="K3814" s="7" t="s">
        <v>1553</v>
      </c>
      <c r="L3814" s="77"/>
      <c r="M3814" s="79"/>
      <c r="N3814" s="1"/>
      <c r="O3814" s="1"/>
      <c r="P3814" s="1"/>
      <c r="Q3814" s="1"/>
      <c r="R3814" s="1"/>
      <c r="S3814" s="1"/>
      <c r="T3814" s="1"/>
      <c r="U3814" s="1"/>
      <c r="V3814" s="1"/>
      <c r="W3814" s="1"/>
      <c r="X3814" s="1"/>
      <c r="Y3814" s="1"/>
      <c r="Z3814" s="1"/>
      <c r="AA3814" s="1"/>
      <c r="AB3814" s="1"/>
      <c r="AC3814" s="1"/>
      <c r="AD3814" s="1"/>
      <c r="AE3814" s="1"/>
      <c r="AF3814" s="1"/>
      <c r="AG3814" s="1"/>
      <c r="AH3814" s="1"/>
    </row>
    <row r="3815" ht="12.75" hidden="1" customHeight="1" outlineLevel="1">
      <c r="A3815" s="17">
        <v>41673.0</v>
      </c>
      <c r="B3815" s="1"/>
      <c r="C3815" s="1" t="s">
        <v>431</v>
      </c>
      <c r="D3815" s="74"/>
      <c r="E3815" s="67"/>
      <c r="F3815" s="75"/>
      <c r="G3815" s="67"/>
      <c r="H3815" s="68"/>
      <c r="I3815" s="76"/>
      <c r="J3815" s="67"/>
      <c r="K3815" s="7" t="s">
        <v>1126</v>
      </c>
      <c r="L3815" s="77"/>
      <c r="M3815" s="79"/>
      <c r="N3815" s="1"/>
      <c r="O3815" s="1"/>
      <c r="P3815" s="1"/>
      <c r="Q3815" s="1"/>
      <c r="R3815" s="1"/>
      <c r="S3815" s="1"/>
      <c r="T3815" s="1"/>
      <c r="U3815" s="1"/>
      <c r="V3815" s="1"/>
      <c r="W3815" s="1"/>
      <c r="X3815" s="1"/>
      <c r="Y3815" s="1"/>
      <c r="Z3815" s="1"/>
      <c r="AA3815" s="1"/>
      <c r="AB3815" s="1"/>
      <c r="AC3815" s="1"/>
      <c r="AD3815" s="1"/>
      <c r="AE3815" s="1"/>
      <c r="AF3815" s="1"/>
      <c r="AG3815" s="1"/>
      <c r="AH3815" s="1"/>
    </row>
    <row r="3816" ht="12.75" hidden="1" customHeight="1" outlineLevel="1">
      <c r="A3816" s="17">
        <v>41673.0</v>
      </c>
      <c r="B3816" s="1"/>
      <c r="C3816" s="1" t="s">
        <v>433</v>
      </c>
      <c r="D3816" s="74"/>
      <c r="E3816" s="67"/>
      <c r="F3816" s="75"/>
      <c r="G3816" s="67"/>
      <c r="H3816" s="68"/>
      <c r="I3816" s="76"/>
      <c r="J3816" s="67"/>
      <c r="K3816" s="7" t="s">
        <v>1103</v>
      </c>
      <c r="L3816" s="77"/>
      <c r="M3816" s="79"/>
      <c r="N3816" s="1"/>
      <c r="O3816" s="1"/>
      <c r="P3816" s="1"/>
      <c r="Q3816" s="1"/>
      <c r="R3816" s="1"/>
      <c r="S3816" s="1"/>
      <c r="T3816" s="1"/>
      <c r="U3816" s="1"/>
      <c r="V3816" s="1"/>
      <c r="W3816" s="1"/>
      <c r="X3816" s="1"/>
      <c r="Y3816" s="1"/>
      <c r="Z3816" s="1"/>
      <c r="AA3816" s="1"/>
      <c r="AB3816" s="1"/>
      <c r="AC3816" s="1"/>
      <c r="AD3816" s="1"/>
      <c r="AE3816" s="1"/>
      <c r="AF3816" s="1"/>
      <c r="AG3816" s="1"/>
      <c r="AH3816" s="1"/>
    </row>
    <row r="3817" ht="12.75" hidden="1" customHeight="1" outlineLevel="1">
      <c r="A3817" s="17">
        <v>41673.0</v>
      </c>
      <c r="B3817" s="1"/>
      <c r="C3817" s="1" t="s">
        <v>435</v>
      </c>
      <c r="D3817" s="74"/>
      <c r="E3817" s="67"/>
      <c r="F3817" s="75"/>
      <c r="G3817" s="67"/>
      <c r="H3817" s="68"/>
      <c r="I3817" s="76"/>
      <c r="J3817" s="67"/>
      <c r="K3817" s="7" t="s">
        <v>1507</v>
      </c>
      <c r="L3817" s="77"/>
      <c r="M3817" s="79"/>
      <c r="N3817" s="1"/>
      <c r="O3817" s="1"/>
      <c r="P3817" s="1"/>
      <c r="Q3817" s="1"/>
      <c r="R3817" s="1"/>
      <c r="S3817" s="1"/>
      <c r="T3817" s="1"/>
      <c r="U3817" s="1"/>
      <c r="V3817" s="1"/>
      <c r="W3817" s="1"/>
      <c r="X3817" s="1"/>
      <c r="Y3817" s="1"/>
      <c r="Z3817" s="1"/>
      <c r="AA3817" s="1"/>
      <c r="AB3817" s="1"/>
      <c r="AC3817" s="1"/>
      <c r="AD3817" s="1"/>
      <c r="AE3817" s="1"/>
      <c r="AF3817" s="1"/>
      <c r="AG3817" s="1"/>
      <c r="AH3817" s="1"/>
    </row>
    <row r="3818" ht="12.75" hidden="1" customHeight="1" outlineLevel="1">
      <c r="A3818" s="17">
        <v>41674.0</v>
      </c>
      <c r="B3818" s="1"/>
      <c r="C3818" s="1" t="s">
        <v>339</v>
      </c>
      <c r="D3818" s="74"/>
      <c r="E3818" s="67"/>
      <c r="F3818" s="75"/>
      <c r="G3818" s="67"/>
      <c r="H3818" s="68"/>
      <c r="I3818" s="76"/>
      <c r="J3818" s="67"/>
      <c r="K3818" s="7" t="s">
        <v>1646</v>
      </c>
      <c r="L3818" s="77"/>
      <c r="M3818" s="79"/>
      <c r="N3818" s="1"/>
      <c r="O3818" s="1"/>
      <c r="P3818" s="1"/>
      <c r="Q3818" s="1"/>
      <c r="R3818" s="1"/>
      <c r="S3818" s="1"/>
      <c r="T3818" s="1"/>
      <c r="U3818" s="1"/>
      <c r="V3818" s="1"/>
      <c r="W3818" s="1"/>
      <c r="X3818" s="1"/>
      <c r="Y3818" s="1"/>
      <c r="Z3818" s="1"/>
      <c r="AA3818" s="1"/>
      <c r="AB3818" s="1"/>
      <c r="AC3818" s="1"/>
      <c r="AD3818" s="1"/>
      <c r="AE3818" s="1"/>
      <c r="AF3818" s="1"/>
      <c r="AG3818" s="1"/>
      <c r="AH3818" s="1"/>
    </row>
    <row r="3819" ht="12.75" hidden="1" customHeight="1" outlineLevel="1">
      <c r="A3819" s="17">
        <v>41674.0</v>
      </c>
      <c r="B3819" s="1"/>
      <c r="C3819" s="1" t="s">
        <v>429</v>
      </c>
      <c r="D3819" s="74"/>
      <c r="E3819" s="67"/>
      <c r="F3819" s="75"/>
      <c r="G3819" s="67"/>
      <c r="H3819" s="68"/>
      <c r="I3819" s="76"/>
      <c r="J3819" s="67"/>
      <c r="K3819" s="7" t="s">
        <v>1553</v>
      </c>
      <c r="L3819" s="77"/>
      <c r="M3819" s="79"/>
      <c r="N3819" s="1"/>
      <c r="O3819" s="1"/>
      <c r="P3819" s="1"/>
      <c r="Q3819" s="1"/>
      <c r="R3819" s="1"/>
      <c r="S3819" s="1"/>
      <c r="T3819" s="1"/>
      <c r="U3819" s="1"/>
      <c r="V3819" s="1"/>
      <c r="W3819" s="1"/>
      <c r="X3819" s="1"/>
      <c r="Y3819" s="1"/>
      <c r="Z3819" s="1"/>
      <c r="AA3819" s="1"/>
      <c r="AB3819" s="1"/>
      <c r="AC3819" s="1"/>
      <c r="AD3819" s="1"/>
      <c r="AE3819" s="1"/>
      <c r="AF3819" s="1"/>
      <c r="AG3819" s="1"/>
      <c r="AH3819" s="1"/>
    </row>
    <row r="3820" ht="12.75" hidden="1" customHeight="1" outlineLevel="1">
      <c r="A3820" s="17">
        <v>41674.0</v>
      </c>
      <c r="B3820" s="1"/>
      <c r="C3820" s="1" t="s">
        <v>431</v>
      </c>
      <c r="D3820" s="74"/>
      <c r="E3820" s="67"/>
      <c r="F3820" s="75"/>
      <c r="G3820" s="67"/>
      <c r="H3820" s="68"/>
      <c r="I3820" s="76"/>
      <c r="J3820" s="67"/>
      <c r="K3820" s="7" t="s">
        <v>1126</v>
      </c>
      <c r="L3820" s="77"/>
      <c r="M3820" s="79"/>
      <c r="N3820" s="1"/>
      <c r="O3820" s="1"/>
      <c r="P3820" s="1"/>
      <c r="Q3820" s="1"/>
      <c r="R3820" s="1"/>
      <c r="S3820" s="1"/>
      <c r="T3820" s="1"/>
      <c r="U3820" s="1"/>
      <c r="V3820" s="1"/>
      <c r="W3820" s="1"/>
      <c r="X3820" s="1"/>
      <c r="Y3820" s="1"/>
      <c r="Z3820" s="1"/>
      <c r="AA3820" s="1"/>
      <c r="AB3820" s="1"/>
      <c r="AC3820" s="1"/>
      <c r="AD3820" s="1"/>
      <c r="AE3820" s="1"/>
      <c r="AF3820" s="1"/>
      <c r="AG3820" s="1"/>
      <c r="AH3820" s="1"/>
    </row>
    <row r="3821" ht="12.75" hidden="1" customHeight="1" outlineLevel="1">
      <c r="A3821" s="17">
        <v>41674.0</v>
      </c>
      <c r="B3821" s="1"/>
      <c r="C3821" s="1" t="s">
        <v>433</v>
      </c>
      <c r="D3821" s="74"/>
      <c r="E3821" s="67"/>
      <c r="F3821" s="75"/>
      <c r="G3821" s="67"/>
      <c r="H3821" s="68"/>
      <c r="I3821" s="76"/>
      <c r="J3821" s="67"/>
      <c r="K3821" s="7" t="s">
        <v>1103</v>
      </c>
      <c r="L3821" s="77"/>
      <c r="M3821" s="79"/>
      <c r="N3821" s="1"/>
      <c r="O3821" s="1"/>
      <c r="P3821" s="1"/>
      <c r="Q3821" s="1"/>
      <c r="R3821" s="1"/>
      <c r="S3821" s="1"/>
      <c r="T3821" s="1"/>
      <c r="U3821" s="1"/>
      <c r="V3821" s="1"/>
      <c r="W3821" s="1"/>
      <c r="X3821" s="1"/>
      <c r="Y3821" s="1"/>
      <c r="Z3821" s="1"/>
      <c r="AA3821" s="1"/>
      <c r="AB3821" s="1"/>
      <c r="AC3821" s="1"/>
      <c r="AD3821" s="1"/>
      <c r="AE3821" s="1"/>
      <c r="AF3821" s="1"/>
      <c r="AG3821" s="1"/>
      <c r="AH3821" s="1"/>
    </row>
    <row r="3822" ht="12.75" hidden="1" customHeight="1" outlineLevel="1">
      <c r="A3822" s="17">
        <v>41674.0</v>
      </c>
      <c r="B3822" s="1"/>
      <c r="C3822" s="1" t="s">
        <v>435</v>
      </c>
      <c r="D3822" s="74"/>
      <c r="E3822" s="67"/>
      <c r="F3822" s="75"/>
      <c r="G3822" s="67"/>
      <c r="H3822" s="68"/>
      <c r="I3822" s="76"/>
      <c r="J3822" s="67"/>
      <c r="K3822" s="7" t="s">
        <v>1507</v>
      </c>
      <c r="L3822" s="77"/>
      <c r="M3822" s="79"/>
      <c r="N3822" s="1"/>
      <c r="O3822" s="1"/>
      <c r="P3822" s="1"/>
      <c r="Q3822" s="1"/>
      <c r="R3822" s="1"/>
      <c r="S3822" s="1"/>
      <c r="T3822" s="1"/>
      <c r="U3822" s="1"/>
      <c r="V3822" s="1"/>
      <c r="W3822" s="1"/>
      <c r="X3822" s="1"/>
      <c r="Y3822" s="1"/>
      <c r="Z3822" s="1"/>
      <c r="AA3822" s="1"/>
      <c r="AB3822" s="1"/>
      <c r="AC3822" s="1"/>
      <c r="AD3822" s="1"/>
      <c r="AE3822" s="1"/>
      <c r="AF3822" s="1"/>
      <c r="AG3822" s="1"/>
      <c r="AH3822" s="1"/>
    </row>
    <row r="3823" ht="12.75" hidden="1" customHeight="1" outlineLevel="1">
      <c r="A3823" s="17">
        <v>41675.0</v>
      </c>
      <c r="B3823" s="1"/>
      <c r="C3823" s="1" t="s">
        <v>339</v>
      </c>
      <c r="D3823" s="74"/>
      <c r="E3823" s="67"/>
      <c r="F3823" s="75"/>
      <c r="G3823" s="67"/>
      <c r="H3823" s="68"/>
      <c r="I3823" s="76"/>
      <c r="J3823" s="67"/>
      <c r="K3823" s="7" t="s">
        <v>1647</v>
      </c>
      <c r="L3823" s="77"/>
      <c r="M3823" s="79"/>
      <c r="N3823" s="1"/>
      <c r="O3823" s="1"/>
      <c r="P3823" s="1"/>
      <c r="Q3823" s="1"/>
      <c r="R3823" s="1"/>
      <c r="S3823" s="1"/>
      <c r="T3823" s="1"/>
      <c r="U3823" s="1"/>
      <c r="V3823" s="1"/>
      <c r="W3823" s="1"/>
      <c r="X3823" s="1"/>
      <c r="Y3823" s="1"/>
      <c r="Z3823" s="1"/>
      <c r="AA3823" s="1"/>
      <c r="AB3823" s="1"/>
      <c r="AC3823" s="1"/>
      <c r="AD3823" s="1"/>
      <c r="AE3823" s="1"/>
      <c r="AF3823" s="1"/>
      <c r="AG3823" s="1"/>
      <c r="AH3823" s="1"/>
    </row>
    <row r="3824" ht="12.75" hidden="1" customHeight="1" outlineLevel="1">
      <c r="A3824" s="17">
        <v>41675.0</v>
      </c>
      <c r="B3824" s="1"/>
      <c r="C3824" s="1" t="s">
        <v>429</v>
      </c>
      <c r="D3824" s="74"/>
      <c r="E3824" s="67"/>
      <c r="F3824" s="75"/>
      <c r="G3824" s="67"/>
      <c r="H3824" s="68"/>
      <c r="I3824" s="76"/>
      <c r="J3824" s="67"/>
      <c r="K3824" s="7" t="s">
        <v>1553</v>
      </c>
      <c r="L3824" s="77"/>
      <c r="M3824" s="79"/>
      <c r="N3824" s="1"/>
      <c r="O3824" s="1"/>
      <c r="P3824" s="1"/>
      <c r="Q3824" s="1"/>
      <c r="R3824" s="1"/>
      <c r="S3824" s="1"/>
      <c r="T3824" s="1"/>
      <c r="U3824" s="1"/>
      <c r="V3824" s="1"/>
      <c r="W3824" s="1"/>
      <c r="X3824" s="1"/>
      <c r="Y3824" s="1"/>
      <c r="Z3824" s="1"/>
      <c r="AA3824" s="1"/>
      <c r="AB3824" s="1"/>
      <c r="AC3824" s="1"/>
      <c r="AD3824" s="1"/>
      <c r="AE3824" s="1"/>
      <c r="AF3824" s="1"/>
      <c r="AG3824" s="1"/>
      <c r="AH3824" s="1"/>
    </row>
    <row r="3825" ht="12.75" hidden="1" customHeight="1" outlineLevel="1">
      <c r="A3825" s="17">
        <v>41675.0</v>
      </c>
      <c r="B3825" s="1"/>
      <c r="C3825" s="1" t="s">
        <v>431</v>
      </c>
      <c r="D3825" s="74"/>
      <c r="E3825" s="67"/>
      <c r="F3825" s="75"/>
      <c r="G3825" s="67"/>
      <c r="H3825" s="68"/>
      <c r="I3825" s="76"/>
      <c r="J3825" s="67"/>
      <c r="K3825" s="7" t="s">
        <v>1126</v>
      </c>
      <c r="L3825" s="77"/>
      <c r="M3825" s="79"/>
      <c r="N3825" s="1"/>
      <c r="O3825" s="1"/>
      <c r="P3825" s="1"/>
      <c r="Q3825" s="1"/>
      <c r="R3825" s="1"/>
      <c r="S3825" s="1"/>
      <c r="T3825" s="1"/>
      <c r="U3825" s="1"/>
      <c r="V3825" s="1"/>
      <c r="W3825" s="1"/>
      <c r="X3825" s="1"/>
      <c r="Y3825" s="1"/>
      <c r="Z3825" s="1"/>
      <c r="AA3825" s="1"/>
      <c r="AB3825" s="1"/>
      <c r="AC3825" s="1"/>
      <c r="AD3825" s="1"/>
      <c r="AE3825" s="1"/>
      <c r="AF3825" s="1"/>
      <c r="AG3825" s="1"/>
      <c r="AH3825" s="1"/>
    </row>
    <row r="3826" ht="12.75" hidden="1" customHeight="1" outlineLevel="1">
      <c r="A3826" s="17">
        <v>41675.0</v>
      </c>
      <c r="B3826" s="1"/>
      <c r="C3826" s="1" t="s">
        <v>433</v>
      </c>
      <c r="D3826" s="74"/>
      <c r="E3826" s="67"/>
      <c r="F3826" s="75"/>
      <c r="G3826" s="67"/>
      <c r="H3826" s="68"/>
      <c r="I3826" s="76"/>
      <c r="J3826" s="67"/>
      <c r="K3826" s="7" t="s">
        <v>1103</v>
      </c>
      <c r="L3826" s="77"/>
      <c r="M3826" s="79"/>
      <c r="N3826" s="1"/>
      <c r="O3826" s="1"/>
      <c r="P3826" s="1"/>
      <c r="Q3826" s="1"/>
      <c r="R3826" s="1"/>
      <c r="S3826" s="1"/>
      <c r="T3826" s="1"/>
      <c r="U3826" s="1"/>
      <c r="V3826" s="1"/>
      <c r="W3826" s="1"/>
      <c r="X3826" s="1"/>
      <c r="Y3826" s="1"/>
      <c r="Z3826" s="1"/>
      <c r="AA3826" s="1"/>
      <c r="AB3826" s="1"/>
      <c r="AC3826" s="1"/>
      <c r="AD3826" s="1"/>
      <c r="AE3826" s="1"/>
      <c r="AF3826" s="1"/>
      <c r="AG3826" s="1"/>
      <c r="AH3826" s="1"/>
    </row>
    <row r="3827" ht="12.75" hidden="1" customHeight="1" outlineLevel="1">
      <c r="A3827" s="17">
        <v>41675.0</v>
      </c>
      <c r="B3827" s="1"/>
      <c r="C3827" s="1" t="s">
        <v>435</v>
      </c>
      <c r="D3827" s="74"/>
      <c r="E3827" s="67"/>
      <c r="F3827" s="75"/>
      <c r="G3827" s="67"/>
      <c r="H3827" s="68"/>
      <c r="I3827" s="76"/>
      <c r="J3827" s="67"/>
      <c r="K3827" s="7" t="s">
        <v>1507</v>
      </c>
      <c r="L3827" s="77"/>
      <c r="M3827" s="79"/>
      <c r="N3827" s="1"/>
      <c r="O3827" s="1"/>
      <c r="P3827" s="1"/>
      <c r="Q3827" s="1"/>
      <c r="R3827" s="1"/>
      <c r="S3827" s="1"/>
      <c r="T3827" s="1"/>
      <c r="U3827" s="1"/>
      <c r="V3827" s="1"/>
      <c r="W3827" s="1"/>
      <c r="X3827" s="1"/>
      <c r="Y3827" s="1"/>
      <c r="Z3827" s="1"/>
      <c r="AA3827" s="1"/>
      <c r="AB3827" s="1"/>
      <c r="AC3827" s="1"/>
      <c r="AD3827" s="1"/>
      <c r="AE3827" s="1"/>
      <c r="AF3827" s="1"/>
      <c r="AG3827" s="1"/>
      <c r="AH3827" s="1"/>
    </row>
    <row r="3828" ht="12.75" hidden="1" customHeight="1" outlineLevel="1">
      <c r="A3828" s="17">
        <v>41675.0</v>
      </c>
      <c r="B3828" s="1" t="s">
        <v>343</v>
      </c>
      <c r="C3828" s="1" t="s">
        <v>354</v>
      </c>
      <c r="D3828" s="74">
        <v>100.0</v>
      </c>
      <c r="E3828" s="67">
        <v>130.11</v>
      </c>
      <c r="F3828" s="75">
        <v>0.48614583333333333</v>
      </c>
      <c r="G3828" s="67" t="s">
        <v>453</v>
      </c>
      <c r="H3828" s="68">
        <v>1.0</v>
      </c>
      <c r="I3828" s="76"/>
      <c r="J3828" s="67">
        <f t="shared" ref="J3828:J3834" si="246">IF(B3828="SLD",D3828*E3828,-D3828*E3828)-H3828</f>
        <v>-13012</v>
      </c>
      <c r="K3828" s="7"/>
      <c r="L3828" s="70"/>
      <c r="M3828" s="79"/>
      <c r="N3828" s="1"/>
      <c r="O3828" s="1"/>
      <c r="P3828" s="1"/>
      <c r="Q3828" s="1"/>
      <c r="R3828" s="1"/>
      <c r="S3828" s="1"/>
      <c r="T3828" s="1"/>
      <c r="U3828" s="1"/>
      <c r="V3828" s="1"/>
      <c r="W3828" s="1"/>
      <c r="X3828" s="1"/>
      <c r="Y3828" s="1"/>
      <c r="Z3828" s="1"/>
      <c r="AA3828" s="1"/>
      <c r="AB3828" s="1"/>
      <c r="AC3828" s="1"/>
      <c r="AD3828" s="1"/>
      <c r="AE3828" s="1"/>
      <c r="AF3828" s="1"/>
      <c r="AG3828" s="1"/>
      <c r="AH3828" s="1"/>
    </row>
    <row r="3829" ht="12.75" hidden="1" customHeight="1" outlineLevel="1">
      <c r="A3829" s="17">
        <v>41675.0</v>
      </c>
      <c r="B3829" s="1" t="s">
        <v>343</v>
      </c>
      <c r="C3829" s="1" t="s">
        <v>1371</v>
      </c>
      <c r="D3829" s="74">
        <v>150.0</v>
      </c>
      <c r="E3829" s="67">
        <v>43.107</v>
      </c>
      <c r="F3829" s="75">
        <v>0.48760416666666667</v>
      </c>
      <c r="G3829" s="67" t="s">
        <v>453</v>
      </c>
      <c r="H3829" s="68">
        <v>1.0</v>
      </c>
      <c r="I3829" s="76"/>
      <c r="J3829" s="67">
        <f t="shared" si="246"/>
        <v>-6467.05</v>
      </c>
      <c r="K3829" s="7"/>
      <c r="L3829" s="70"/>
      <c r="M3829" s="79"/>
      <c r="N3829" s="1"/>
      <c r="O3829" s="1"/>
      <c r="P3829" s="1"/>
      <c r="Q3829" s="1"/>
      <c r="R3829" s="1"/>
      <c r="S3829" s="1"/>
      <c r="T3829" s="1"/>
      <c r="U3829" s="1"/>
      <c r="V3829" s="1"/>
      <c r="W3829" s="1"/>
      <c r="X3829" s="1"/>
      <c r="Y3829" s="1"/>
      <c r="Z3829" s="1"/>
      <c r="AA3829" s="1"/>
      <c r="AB3829" s="1"/>
      <c r="AC3829" s="1"/>
      <c r="AD3829" s="1"/>
      <c r="AE3829" s="1"/>
      <c r="AF3829" s="1"/>
      <c r="AG3829" s="1"/>
      <c r="AH3829" s="1"/>
    </row>
    <row r="3830" ht="12.75" hidden="1" customHeight="1" outlineLevel="1">
      <c r="A3830" s="17">
        <v>41675.0</v>
      </c>
      <c r="B3830" s="1" t="s">
        <v>343</v>
      </c>
      <c r="C3830" s="1" t="s">
        <v>605</v>
      </c>
      <c r="D3830" s="74">
        <v>300.0</v>
      </c>
      <c r="E3830" s="67">
        <v>71.11</v>
      </c>
      <c r="F3830" s="75">
        <v>0.49865740740740744</v>
      </c>
      <c r="G3830" s="67" t="s">
        <v>453</v>
      </c>
      <c r="H3830" s="68">
        <v>1.4</v>
      </c>
      <c r="I3830" s="76"/>
      <c r="J3830" s="67">
        <f t="shared" si="246"/>
        <v>-21334.4</v>
      </c>
      <c r="K3830" s="7"/>
      <c r="L3830" s="70"/>
      <c r="M3830" s="79"/>
      <c r="N3830" s="1"/>
      <c r="O3830" s="1"/>
      <c r="P3830" s="1"/>
      <c r="Q3830" s="1"/>
      <c r="R3830" s="1"/>
      <c r="S3830" s="1"/>
      <c r="T3830" s="1"/>
      <c r="U3830" s="1"/>
      <c r="V3830" s="1"/>
      <c r="W3830" s="1"/>
      <c r="X3830" s="1"/>
      <c r="Y3830" s="1"/>
      <c r="Z3830" s="1"/>
      <c r="AA3830" s="1"/>
      <c r="AB3830" s="1"/>
      <c r="AC3830" s="1"/>
      <c r="AD3830" s="1"/>
      <c r="AE3830" s="1"/>
      <c r="AF3830" s="1"/>
      <c r="AG3830" s="1"/>
      <c r="AH3830" s="1"/>
    </row>
    <row r="3831" ht="12.75" hidden="1" customHeight="1" outlineLevel="1">
      <c r="A3831" s="17">
        <v>41675.0</v>
      </c>
      <c r="B3831" s="1" t="s">
        <v>343</v>
      </c>
      <c r="C3831" s="1" t="s">
        <v>870</v>
      </c>
      <c r="D3831" s="74">
        <v>250.0</v>
      </c>
      <c r="E3831" s="67">
        <v>82.91</v>
      </c>
      <c r="F3831" s="75">
        <v>0.5029050925925925</v>
      </c>
      <c r="G3831" s="67" t="s">
        <v>453</v>
      </c>
      <c r="H3831" s="68">
        <v>1.0</v>
      </c>
      <c r="I3831" s="76"/>
      <c r="J3831" s="67">
        <f t="shared" si="246"/>
        <v>-20728.5</v>
      </c>
      <c r="K3831" s="7"/>
      <c r="L3831" s="70"/>
      <c r="M3831" s="79"/>
      <c r="N3831" s="1"/>
      <c r="O3831" s="1"/>
      <c r="P3831" s="1"/>
      <c r="Q3831" s="1"/>
      <c r="R3831" s="1"/>
      <c r="S3831" s="1"/>
      <c r="T3831" s="1"/>
      <c r="U3831" s="1"/>
      <c r="V3831" s="1"/>
      <c r="W3831" s="1"/>
      <c r="X3831" s="1"/>
      <c r="Y3831" s="1"/>
      <c r="Z3831" s="1"/>
      <c r="AA3831" s="1"/>
      <c r="AB3831" s="1"/>
      <c r="AC3831" s="1"/>
      <c r="AD3831" s="1"/>
      <c r="AE3831" s="1"/>
      <c r="AF3831" s="1"/>
      <c r="AG3831" s="1"/>
      <c r="AH3831" s="1"/>
    </row>
    <row r="3832" ht="12.75" hidden="1" customHeight="1" outlineLevel="1">
      <c r="A3832" s="17">
        <v>41675.0</v>
      </c>
      <c r="B3832" s="1" t="s">
        <v>343</v>
      </c>
      <c r="C3832" s="1" t="s">
        <v>1357</v>
      </c>
      <c r="D3832" s="74">
        <v>50.0</v>
      </c>
      <c r="E3832" s="67">
        <v>99.9999</v>
      </c>
      <c r="F3832" s="75">
        <v>0.5235763888888889</v>
      </c>
      <c r="G3832" s="67" t="s">
        <v>453</v>
      </c>
      <c r="H3832" s="68">
        <v>1.0</v>
      </c>
      <c r="I3832" s="76"/>
      <c r="J3832" s="67">
        <f t="shared" si="246"/>
        <v>-5000.995</v>
      </c>
      <c r="K3832" s="7"/>
      <c r="L3832" s="70"/>
      <c r="M3832" s="79"/>
      <c r="N3832" s="1"/>
      <c r="O3832" s="1"/>
      <c r="P3832" s="1"/>
      <c r="Q3832" s="1"/>
      <c r="R3832" s="1"/>
      <c r="S3832" s="1"/>
      <c r="T3832" s="1"/>
      <c r="U3832" s="1"/>
      <c r="V3832" s="1"/>
      <c r="W3832" s="1"/>
      <c r="X3832" s="1"/>
      <c r="Y3832" s="1"/>
      <c r="Z3832" s="1"/>
      <c r="AA3832" s="1"/>
      <c r="AB3832" s="1"/>
      <c r="AC3832" s="1"/>
      <c r="AD3832" s="1"/>
      <c r="AE3832" s="1"/>
      <c r="AF3832" s="1"/>
      <c r="AG3832" s="1"/>
      <c r="AH3832" s="1"/>
    </row>
    <row r="3833" ht="12.75" hidden="1" customHeight="1" outlineLevel="1">
      <c r="A3833" s="17">
        <v>41675.0</v>
      </c>
      <c r="B3833" s="1" t="s">
        <v>343</v>
      </c>
      <c r="C3833" s="1" t="s">
        <v>1185</v>
      </c>
      <c r="D3833" s="74">
        <v>50.0</v>
      </c>
      <c r="E3833" s="67">
        <v>215.11</v>
      </c>
      <c r="F3833" s="75">
        <v>0.5241203703703704</v>
      </c>
      <c r="G3833" s="67" t="s">
        <v>453</v>
      </c>
      <c r="H3833" s="68">
        <v>2.0</v>
      </c>
      <c r="I3833" s="76"/>
      <c r="J3833" s="67">
        <f t="shared" si="246"/>
        <v>-10757.5</v>
      </c>
      <c r="K3833" s="7"/>
      <c r="L3833" s="70"/>
      <c r="M3833" s="79"/>
      <c r="N3833" s="1"/>
      <c r="O3833" s="1"/>
      <c r="P3833" s="1"/>
      <c r="Q3833" s="1"/>
      <c r="R3833" s="1"/>
      <c r="S3833" s="1"/>
      <c r="T3833" s="1"/>
      <c r="U3833" s="1"/>
      <c r="V3833" s="1"/>
      <c r="W3833" s="1"/>
      <c r="X3833" s="1"/>
      <c r="Y3833" s="1"/>
      <c r="Z3833" s="1"/>
      <c r="AA3833" s="1"/>
      <c r="AB3833" s="1"/>
      <c r="AC3833" s="1"/>
      <c r="AD3833" s="1"/>
      <c r="AE3833" s="1"/>
      <c r="AF3833" s="1"/>
      <c r="AG3833" s="1"/>
      <c r="AH3833" s="1"/>
    </row>
    <row r="3834" ht="12.75" hidden="1" customHeight="1" outlineLevel="1">
      <c r="A3834" s="17">
        <v>41675.0</v>
      </c>
      <c r="B3834" s="1" t="s">
        <v>343</v>
      </c>
      <c r="C3834" s="1" t="s">
        <v>1158</v>
      </c>
      <c r="D3834" s="74">
        <v>700.0</v>
      </c>
      <c r="E3834" s="67">
        <v>29.88</v>
      </c>
      <c r="F3834" s="75">
        <v>0.6269560185185185</v>
      </c>
      <c r="G3834" s="67" t="s">
        <v>453</v>
      </c>
      <c r="H3834" s="68">
        <v>3.5</v>
      </c>
      <c r="I3834" s="76"/>
      <c r="J3834" s="67">
        <f t="shared" si="246"/>
        <v>-20919.5</v>
      </c>
      <c r="K3834" s="7"/>
      <c r="L3834" s="70"/>
      <c r="M3834" s="79"/>
      <c r="N3834" s="1"/>
      <c r="O3834" s="1"/>
      <c r="P3834" s="1"/>
      <c r="Q3834" s="1"/>
      <c r="R3834" s="1"/>
      <c r="S3834" s="1"/>
      <c r="T3834" s="1"/>
      <c r="U3834" s="1"/>
      <c r="V3834" s="1"/>
      <c r="W3834" s="1"/>
      <c r="X3834" s="1"/>
      <c r="Y3834" s="1"/>
      <c r="Z3834" s="1"/>
      <c r="AA3834" s="1"/>
      <c r="AB3834" s="1"/>
      <c r="AC3834" s="1"/>
      <c r="AD3834" s="1"/>
      <c r="AE3834" s="1"/>
      <c r="AF3834" s="1"/>
      <c r="AG3834" s="1"/>
      <c r="AH3834" s="1"/>
    </row>
    <row r="3835" ht="12.75" hidden="1" customHeight="1" outlineLevel="1">
      <c r="A3835" s="17">
        <v>41675.0</v>
      </c>
      <c r="B3835" s="1"/>
      <c r="C3835" s="1" t="s">
        <v>339</v>
      </c>
      <c r="D3835" s="74"/>
      <c r="E3835" s="67"/>
      <c r="F3835" s="75"/>
      <c r="G3835" s="67"/>
      <c r="H3835" s="68"/>
      <c r="I3835" s="76"/>
      <c r="J3835" s="67"/>
      <c r="K3835" s="7" t="s">
        <v>1650</v>
      </c>
      <c r="L3835" s="77"/>
      <c r="M3835" s="79"/>
      <c r="N3835" s="1"/>
      <c r="O3835" s="1"/>
      <c r="P3835" s="1"/>
      <c r="Q3835" s="1"/>
      <c r="R3835" s="1"/>
      <c r="S3835" s="1"/>
      <c r="T3835" s="1"/>
      <c r="U3835" s="1"/>
      <c r="V3835" s="1"/>
      <c r="W3835" s="1"/>
      <c r="X3835" s="1"/>
      <c r="Y3835" s="1"/>
      <c r="Z3835" s="1"/>
      <c r="AA3835" s="1"/>
      <c r="AB3835" s="1"/>
      <c r="AC3835" s="1"/>
      <c r="AD3835" s="1"/>
      <c r="AE3835" s="1"/>
      <c r="AF3835" s="1"/>
      <c r="AG3835" s="1"/>
      <c r="AH3835" s="1"/>
    </row>
    <row r="3836" ht="12.75" hidden="1" customHeight="1" outlineLevel="1">
      <c r="A3836" s="17">
        <v>41675.0</v>
      </c>
      <c r="B3836" s="1"/>
      <c r="C3836" s="1" t="s">
        <v>429</v>
      </c>
      <c r="D3836" s="74"/>
      <c r="E3836" s="67"/>
      <c r="F3836" s="75"/>
      <c r="G3836" s="67"/>
      <c r="H3836" s="68"/>
      <c r="I3836" s="76"/>
      <c r="J3836" s="67"/>
      <c r="K3836" s="7" t="s">
        <v>1553</v>
      </c>
      <c r="L3836" s="77"/>
      <c r="M3836" s="79"/>
      <c r="N3836" s="1"/>
      <c r="O3836" s="1"/>
      <c r="P3836" s="1"/>
      <c r="Q3836" s="1"/>
      <c r="R3836" s="1"/>
      <c r="S3836" s="1"/>
      <c r="T3836" s="1"/>
      <c r="U3836" s="1"/>
      <c r="V3836" s="1"/>
      <c r="W3836" s="1"/>
      <c r="X3836" s="1"/>
      <c r="Y3836" s="1"/>
      <c r="Z3836" s="1"/>
      <c r="AA3836" s="1"/>
      <c r="AB3836" s="1"/>
      <c r="AC3836" s="1"/>
      <c r="AD3836" s="1"/>
      <c r="AE3836" s="1"/>
      <c r="AF3836" s="1"/>
      <c r="AG3836" s="1"/>
      <c r="AH3836" s="1"/>
    </row>
    <row r="3837" ht="12.75" hidden="1" customHeight="1" outlineLevel="1">
      <c r="A3837" s="17">
        <v>41675.0</v>
      </c>
      <c r="B3837" s="1"/>
      <c r="C3837" s="1" t="s">
        <v>431</v>
      </c>
      <c r="D3837" s="74"/>
      <c r="E3837" s="67"/>
      <c r="F3837" s="75"/>
      <c r="G3837" s="67"/>
      <c r="H3837" s="68"/>
      <c r="I3837" s="76"/>
      <c r="J3837" s="67"/>
      <c r="K3837" s="7" t="s">
        <v>1126</v>
      </c>
      <c r="L3837" s="77"/>
      <c r="M3837" s="79"/>
      <c r="N3837" s="1"/>
      <c r="O3837" s="1"/>
      <c r="P3837" s="1"/>
      <c r="Q3837" s="1"/>
      <c r="R3837" s="1"/>
      <c r="S3837" s="1"/>
      <c r="T3837" s="1"/>
      <c r="U3837" s="1"/>
      <c r="V3837" s="1"/>
      <c r="W3837" s="1"/>
      <c r="X3837" s="1"/>
      <c r="Y3837" s="1"/>
      <c r="Z3837" s="1"/>
      <c r="AA3837" s="1"/>
      <c r="AB3837" s="1"/>
      <c r="AC3837" s="1"/>
      <c r="AD3837" s="1"/>
      <c r="AE3837" s="1"/>
      <c r="AF3837" s="1"/>
      <c r="AG3837" s="1"/>
      <c r="AH3837" s="1"/>
    </row>
    <row r="3838" ht="12.75" hidden="1" customHeight="1" outlineLevel="1">
      <c r="A3838" s="17">
        <v>41675.0</v>
      </c>
      <c r="B3838" s="1"/>
      <c r="C3838" s="1" t="s">
        <v>433</v>
      </c>
      <c r="D3838" s="74"/>
      <c r="E3838" s="67"/>
      <c r="F3838" s="75"/>
      <c r="G3838" s="67"/>
      <c r="H3838" s="68"/>
      <c r="I3838" s="76"/>
      <c r="J3838" s="67"/>
      <c r="K3838" s="7" t="s">
        <v>1103</v>
      </c>
      <c r="L3838" s="77"/>
      <c r="M3838" s="79"/>
      <c r="N3838" s="1"/>
      <c r="O3838" s="1"/>
      <c r="P3838" s="1"/>
      <c r="Q3838" s="1"/>
      <c r="R3838" s="1"/>
      <c r="S3838" s="1"/>
      <c r="T3838" s="1"/>
      <c r="U3838" s="1"/>
      <c r="V3838" s="1"/>
      <c r="W3838" s="1"/>
      <c r="X3838" s="1"/>
      <c r="Y3838" s="1"/>
      <c r="Z3838" s="1"/>
      <c r="AA3838" s="1"/>
      <c r="AB3838" s="1"/>
      <c r="AC3838" s="1"/>
      <c r="AD3838" s="1"/>
      <c r="AE3838" s="1"/>
      <c r="AF3838" s="1"/>
      <c r="AG3838" s="1"/>
      <c r="AH3838" s="1"/>
    </row>
    <row r="3839" ht="12.75" hidden="1" customHeight="1" outlineLevel="1">
      <c r="A3839" s="17">
        <v>41675.0</v>
      </c>
      <c r="B3839" s="1"/>
      <c r="C3839" s="1" t="s">
        <v>435</v>
      </c>
      <c r="D3839" s="74"/>
      <c r="E3839" s="67"/>
      <c r="F3839" s="75"/>
      <c r="G3839" s="67"/>
      <c r="H3839" s="68"/>
      <c r="I3839" s="76"/>
      <c r="J3839" s="67"/>
      <c r="K3839" s="7" t="s">
        <v>1507</v>
      </c>
      <c r="L3839" s="77"/>
      <c r="M3839" s="79"/>
      <c r="N3839" s="1"/>
      <c r="O3839" s="1"/>
      <c r="P3839" s="1"/>
      <c r="Q3839" s="1"/>
      <c r="R3839" s="1"/>
      <c r="S3839" s="1"/>
      <c r="T3839" s="1"/>
      <c r="U3839" s="1"/>
      <c r="V3839" s="1"/>
      <c r="W3839" s="1"/>
      <c r="X3839" s="1"/>
      <c r="Y3839" s="1"/>
      <c r="Z3839" s="1"/>
      <c r="AA3839" s="1"/>
      <c r="AB3839" s="1"/>
      <c r="AC3839" s="1"/>
      <c r="AD3839" s="1"/>
      <c r="AE3839" s="1"/>
      <c r="AF3839" s="1"/>
      <c r="AG3839" s="1"/>
      <c r="AH3839" s="1"/>
    </row>
    <row r="3840" ht="12.75" hidden="1" customHeight="1" outlineLevel="1">
      <c r="A3840" s="17">
        <v>41675.0</v>
      </c>
      <c r="B3840" s="1"/>
      <c r="C3840" s="1" t="s">
        <v>339</v>
      </c>
      <c r="D3840" s="74"/>
      <c r="E3840" s="67"/>
      <c r="F3840" s="75"/>
      <c r="G3840" s="67"/>
      <c r="H3840" s="68"/>
      <c r="I3840" s="76"/>
      <c r="J3840" s="67"/>
      <c r="K3840" s="7" t="s">
        <v>1653</v>
      </c>
      <c r="L3840" s="77"/>
      <c r="M3840" s="79"/>
      <c r="N3840" s="1"/>
      <c r="O3840" s="1"/>
      <c r="P3840" s="1"/>
      <c r="Q3840" s="1"/>
      <c r="R3840" s="1"/>
      <c r="S3840" s="1"/>
      <c r="T3840" s="1"/>
      <c r="U3840" s="1"/>
      <c r="V3840" s="1"/>
      <c r="W3840" s="1"/>
      <c r="X3840" s="1"/>
      <c r="Y3840" s="1"/>
      <c r="Z3840" s="1"/>
      <c r="AA3840" s="1"/>
      <c r="AB3840" s="1"/>
      <c r="AC3840" s="1"/>
      <c r="AD3840" s="1"/>
      <c r="AE3840" s="1"/>
      <c r="AF3840" s="1"/>
      <c r="AG3840" s="1"/>
      <c r="AH3840" s="1"/>
    </row>
    <row r="3841" ht="12.75" hidden="1" customHeight="1" outlineLevel="1">
      <c r="A3841" s="17">
        <v>41675.0</v>
      </c>
      <c r="B3841" s="1"/>
      <c r="C3841" s="1" t="s">
        <v>429</v>
      </c>
      <c r="D3841" s="74"/>
      <c r="E3841" s="67"/>
      <c r="F3841" s="75"/>
      <c r="G3841" s="67"/>
      <c r="H3841" s="68"/>
      <c r="I3841" s="76"/>
      <c r="J3841" s="67"/>
      <c r="K3841" s="7" t="s">
        <v>1553</v>
      </c>
      <c r="L3841" s="77"/>
      <c r="M3841" s="79"/>
      <c r="N3841" s="1"/>
      <c r="O3841" s="1"/>
      <c r="P3841" s="1"/>
      <c r="Q3841" s="1"/>
      <c r="R3841" s="1"/>
      <c r="S3841" s="1"/>
      <c r="T3841" s="1"/>
      <c r="U3841" s="1"/>
      <c r="V3841" s="1"/>
      <c r="W3841" s="1"/>
      <c r="X3841" s="1"/>
      <c r="Y3841" s="1"/>
      <c r="Z3841" s="1"/>
      <c r="AA3841" s="1"/>
      <c r="AB3841" s="1"/>
      <c r="AC3841" s="1"/>
      <c r="AD3841" s="1"/>
      <c r="AE3841" s="1"/>
      <c r="AF3841" s="1"/>
      <c r="AG3841" s="1"/>
      <c r="AH3841" s="1"/>
    </row>
    <row r="3842" ht="12.75" hidden="1" customHeight="1" outlineLevel="1">
      <c r="A3842" s="17">
        <v>41675.0</v>
      </c>
      <c r="B3842" s="1"/>
      <c r="C3842" s="1" t="s">
        <v>431</v>
      </c>
      <c r="D3842" s="74"/>
      <c r="E3842" s="67"/>
      <c r="F3842" s="75"/>
      <c r="G3842" s="67"/>
      <c r="H3842" s="68"/>
      <c r="I3842" s="76"/>
      <c r="J3842" s="67"/>
      <c r="K3842" s="7" t="s">
        <v>1126</v>
      </c>
      <c r="L3842" s="77"/>
      <c r="M3842" s="79"/>
      <c r="N3842" s="1"/>
      <c r="O3842" s="1"/>
      <c r="P3842" s="1"/>
      <c r="Q3842" s="1"/>
      <c r="R3842" s="1"/>
      <c r="S3842" s="1"/>
      <c r="T3842" s="1"/>
      <c r="U3842" s="1"/>
      <c r="V3842" s="1"/>
      <c r="W3842" s="1"/>
      <c r="X3842" s="1"/>
      <c r="Y3842" s="1"/>
      <c r="Z3842" s="1"/>
      <c r="AA3842" s="1"/>
      <c r="AB3842" s="1"/>
      <c r="AC3842" s="1"/>
      <c r="AD3842" s="1"/>
      <c r="AE3842" s="1"/>
      <c r="AF3842" s="1"/>
      <c r="AG3842" s="1"/>
      <c r="AH3842" s="1"/>
    </row>
    <row r="3843" ht="12.75" hidden="1" customHeight="1" outlineLevel="1">
      <c r="A3843" s="17">
        <v>41675.0</v>
      </c>
      <c r="B3843" s="1"/>
      <c r="C3843" s="1" t="s">
        <v>433</v>
      </c>
      <c r="D3843" s="74"/>
      <c r="E3843" s="67"/>
      <c r="F3843" s="75"/>
      <c r="G3843" s="67"/>
      <c r="H3843" s="68"/>
      <c r="I3843" s="76"/>
      <c r="J3843" s="67"/>
      <c r="K3843" s="7" t="s">
        <v>1103</v>
      </c>
      <c r="L3843" s="77"/>
      <c r="M3843" s="79"/>
      <c r="N3843" s="1"/>
      <c r="O3843" s="1"/>
      <c r="P3843" s="1"/>
      <c r="Q3843" s="1"/>
      <c r="R3843" s="1"/>
      <c r="S3843" s="1"/>
      <c r="T3843" s="1"/>
      <c r="U3843" s="1"/>
      <c r="V3843" s="1"/>
      <c r="W3843" s="1"/>
      <c r="X3843" s="1"/>
      <c r="Y3843" s="1"/>
      <c r="Z3843" s="1"/>
      <c r="AA3843" s="1"/>
      <c r="AB3843" s="1"/>
      <c r="AC3843" s="1"/>
      <c r="AD3843" s="1"/>
      <c r="AE3843" s="1"/>
      <c r="AF3843" s="1"/>
      <c r="AG3843" s="1"/>
      <c r="AH3843" s="1"/>
    </row>
    <row r="3844" ht="12.75" hidden="1" customHeight="1" outlineLevel="1">
      <c r="A3844" s="17">
        <v>41675.0</v>
      </c>
      <c r="B3844" s="1"/>
      <c r="C3844" s="1" t="s">
        <v>435</v>
      </c>
      <c r="D3844" s="74"/>
      <c r="E3844" s="67"/>
      <c r="F3844" s="75"/>
      <c r="G3844" s="67"/>
      <c r="H3844" s="68"/>
      <c r="I3844" s="76"/>
      <c r="J3844" s="67"/>
      <c r="K3844" s="7" t="s">
        <v>1507</v>
      </c>
      <c r="L3844" s="77"/>
      <c r="M3844" s="79"/>
      <c r="N3844" s="1"/>
      <c r="O3844" s="1"/>
      <c r="P3844" s="1"/>
      <c r="Q3844" s="1"/>
      <c r="R3844" s="1"/>
      <c r="S3844" s="1"/>
      <c r="T3844" s="1"/>
      <c r="U3844" s="1"/>
      <c r="V3844" s="1"/>
      <c r="W3844" s="1"/>
      <c r="X3844" s="1"/>
      <c r="Y3844" s="1"/>
      <c r="Z3844" s="1"/>
      <c r="AA3844" s="1"/>
      <c r="AB3844" s="1"/>
      <c r="AC3844" s="1"/>
      <c r="AD3844" s="1"/>
      <c r="AE3844" s="1"/>
      <c r="AF3844" s="1"/>
      <c r="AG3844" s="1"/>
      <c r="AH3844" s="1"/>
    </row>
    <row r="3845" ht="12.75" hidden="1" customHeight="1" outlineLevel="1">
      <c r="A3845" s="17">
        <v>41676.0</v>
      </c>
      <c r="B3845" s="1"/>
      <c r="C3845" s="1" t="s">
        <v>339</v>
      </c>
      <c r="D3845" s="74"/>
      <c r="E3845" s="67"/>
      <c r="F3845" s="75"/>
      <c r="G3845" s="67"/>
      <c r="H3845" s="68"/>
      <c r="I3845" s="76"/>
      <c r="J3845" s="67"/>
      <c r="K3845" s="7" t="s">
        <v>1655</v>
      </c>
      <c r="L3845" s="77"/>
      <c r="M3845" s="79"/>
      <c r="N3845" s="1"/>
      <c r="O3845" s="1"/>
      <c r="P3845" s="1"/>
      <c r="Q3845" s="1"/>
      <c r="R3845" s="1"/>
      <c r="S3845" s="1"/>
      <c r="T3845" s="1"/>
      <c r="U3845" s="1"/>
      <c r="V3845" s="1"/>
      <c r="W3845" s="1"/>
      <c r="X3845" s="1"/>
      <c r="Y3845" s="1"/>
      <c r="Z3845" s="1"/>
      <c r="AA3845" s="1"/>
      <c r="AB3845" s="1"/>
      <c r="AC3845" s="1"/>
      <c r="AD3845" s="1"/>
      <c r="AE3845" s="1"/>
      <c r="AF3845" s="1"/>
      <c r="AG3845" s="1"/>
      <c r="AH3845" s="1"/>
    </row>
    <row r="3846" ht="12.75" hidden="1" customHeight="1" outlineLevel="1">
      <c r="A3846" s="17">
        <v>41676.0</v>
      </c>
      <c r="B3846" s="1"/>
      <c r="C3846" s="1" t="s">
        <v>429</v>
      </c>
      <c r="D3846" s="74"/>
      <c r="E3846" s="67"/>
      <c r="F3846" s="75"/>
      <c r="G3846" s="67"/>
      <c r="H3846" s="68"/>
      <c r="I3846" s="76"/>
      <c r="J3846" s="67"/>
      <c r="K3846" s="7" t="s">
        <v>1553</v>
      </c>
      <c r="L3846" s="77"/>
      <c r="M3846" s="79"/>
      <c r="N3846" s="1"/>
      <c r="O3846" s="1"/>
      <c r="P3846" s="1"/>
      <c r="Q3846" s="1"/>
      <c r="R3846" s="1"/>
      <c r="S3846" s="1"/>
      <c r="T3846" s="1"/>
      <c r="U3846" s="1"/>
      <c r="V3846" s="1"/>
      <c r="W3846" s="1"/>
      <c r="X3846" s="1"/>
      <c r="Y3846" s="1"/>
      <c r="Z3846" s="1"/>
      <c r="AA3846" s="1"/>
      <c r="AB3846" s="1"/>
      <c r="AC3846" s="1"/>
      <c r="AD3846" s="1"/>
      <c r="AE3846" s="1"/>
      <c r="AF3846" s="1"/>
      <c r="AG3846" s="1"/>
      <c r="AH3846" s="1"/>
    </row>
    <row r="3847" ht="12.75" hidden="1" customHeight="1" outlineLevel="1">
      <c r="A3847" s="17">
        <v>41676.0</v>
      </c>
      <c r="B3847" s="1"/>
      <c r="C3847" s="1" t="s">
        <v>431</v>
      </c>
      <c r="D3847" s="74"/>
      <c r="E3847" s="67"/>
      <c r="F3847" s="75"/>
      <c r="G3847" s="67"/>
      <c r="H3847" s="68"/>
      <c r="I3847" s="76"/>
      <c r="J3847" s="67"/>
      <c r="K3847" s="7" t="s">
        <v>1126</v>
      </c>
      <c r="L3847" s="77"/>
      <c r="M3847" s="79"/>
      <c r="N3847" s="1"/>
      <c r="O3847" s="1"/>
      <c r="P3847" s="1"/>
      <c r="Q3847" s="1"/>
      <c r="R3847" s="1"/>
      <c r="S3847" s="1"/>
      <c r="T3847" s="1"/>
      <c r="U3847" s="1"/>
      <c r="V3847" s="1"/>
      <c r="W3847" s="1"/>
      <c r="X3847" s="1"/>
      <c r="Y3847" s="1"/>
      <c r="Z3847" s="1"/>
      <c r="AA3847" s="1"/>
      <c r="AB3847" s="1"/>
      <c r="AC3847" s="1"/>
      <c r="AD3847" s="1"/>
      <c r="AE3847" s="1"/>
      <c r="AF3847" s="1"/>
      <c r="AG3847" s="1"/>
      <c r="AH3847" s="1"/>
    </row>
    <row r="3848" ht="12.75" hidden="1" customHeight="1" outlineLevel="1">
      <c r="A3848" s="17">
        <v>41676.0</v>
      </c>
      <c r="B3848" s="1"/>
      <c r="C3848" s="1" t="s">
        <v>433</v>
      </c>
      <c r="D3848" s="74"/>
      <c r="E3848" s="67"/>
      <c r="F3848" s="75"/>
      <c r="G3848" s="67"/>
      <c r="H3848" s="68"/>
      <c r="I3848" s="76"/>
      <c r="J3848" s="67"/>
      <c r="K3848" s="7" t="s">
        <v>1103</v>
      </c>
      <c r="L3848" s="77"/>
      <c r="M3848" s="79"/>
      <c r="N3848" s="1"/>
      <c r="O3848" s="1"/>
      <c r="P3848" s="1"/>
      <c r="Q3848" s="1"/>
      <c r="R3848" s="1"/>
      <c r="S3848" s="1"/>
      <c r="T3848" s="1"/>
      <c r="U3848" s="1"/>
      <c r="V3848" s="1"/>
      <c r="W3848" s="1"/>
      <c r="X3848" s="1"/>
      <c r="Y3848" s="1"/>
      <c r="Z3848" s="1"/>
      <c r="AA3848" s="1"/>
      <c r="AB3848" s="1"/>
      <c r="AC3848" s="1"/>
      <c r="AD3848" s="1"/>
      <c r="AE3848" s="1"/>
      <c r="AF3848" s="1"/>
      <c r="AG3848" s="1"/>
      <c r="AH3848" s="1"/>
    </row>
    <row r="3849" ht="12.75" hidden="1" customHeight="1" outlineLevel="1">
      <c r="A3849" s="17">
        <v>41676.0</v>
      </c>
      <c r="B3849" s="1"/>
      <c r="C3849" s="1" t="s">
        <v>435</v>
      </c>
      <c r="D3849" s="74"/>
      <c r="E3849" s="67"/>
      <c r="F3849" s="75"/>
      <c r="G3849" s="67"/>
      <c r="H3849" s="68"/>
      <c r="I3849" s="76"/>
      <c r="J3849" s="67"/>
      <c r="K3849" s="7" t="s">
        <v>1507</v>
      </c>
      <c r="L3849" s="77"/>
      <c r="M3849" s="79"/>
      <c r="N3849" s="1"/>
      <c r="O3849" s="1"/>
      <c r="P3849" s="1"/>
      <c r="Q3849" s="1"/>
      <c r="R3849" s="1"/>
      <c r="S3849" s="1"/>
      <c r="T3849" s="1"/>
      <c r="U3849" s="1"/>
      <c r="V3849" s="1"/>
      <c r="W3849" s="1"/>
      <c r="X3849" s="1"/>
      <c r="Y3849" s="1"/>
      <c r="Z3849" s="1"/>
      <c r="AA3849" s="1"/>
      <c r="AB3849" s="1"/>
      <c r="AC3849" s="1"/>
      <c r="AD3849" s="1"/>
      <c r="AE3849" s="1"/>
      <c r="AF3849" s="1"/>
      <c r="AG3849" s="1"/>
      <c r="AH3849" s="1"/>
    </row>
    <row r="3850" ht="12.75" hidden="1" customHeight="1" outlineLevel="1">
      <c r="A3850" s="17">
        <v>41676.0</v>
      </c>
      <c r="B3850" s="1" t="s">
        <v>343</v>
      </c>
      <c r="C3850" s="1" t="s">
        <v>1118</v>
      </c>
      <c r="D3850" s="74">
        <v>700.0</v>
      </c>
      <c r="E3850" s="67">
        <v>31.881</v>
      </c>
      <c r="F3850" s="75">
        <v>0.45716435185185184</v>
      </c>
      <c r="G3850" s="67" t="s">
        <v>453</v>
      </c>
      <c r="H3850" s="68">
        <v>3.2</v>
      </c>
      <c r="I3850" s="76"/>
      <c r="J3850" s="67">
        <f t="shared" ref="J3850:J3851" si="247">IF(B3850="SLD",D3850*E3850,-D3850*E3850)-H3850</f>
        <v>-22319.9</v>
      </c>
      <c r="K3850" s="7"/>
      <c r="L3850" s="70"/>
      <c r="M3850" s="79"/>
      <c r="N3850" s="1"/>
      <c r="O3850" s="1"/>
      <c r="P3850" s="1"/>
      <c r="Q3850" s="1"/>
      <c r="R3850" s="1"/>
      <c r="S3850" s="1"/>
      <c r="T3850" s="1"/>
      <c r="U3850" s="1"/>
      <c r="V3850" s="1"/>
      <c r="W3850" s="1"/>
      <c r="X3850" s="1"/>
      <c r="Y3850" s="1"/>
      <c r="Z3850" s="1"/>
      <c r="AA3850" s="1"/>
      <c r="AB3850" s="1"/>
      <c r="AC3850" s="1"/>
      <c r="AD3850" s="1"/>
      <c r="AE3850" s="1"/>
      <c r="AF3850" s="1"/>
      <c r="AG3850" s="1"/>
      <c r="AH3850" s="1"/>
    </row>
    <row r="3851" ht="12.75" hidden="1" customHeight="1" outlineLevel="1">
      <c r="A3851" s="17">
        <v>41676.0</v>
      </c>
      <c r="B3851" s="1" t="s">
        <v>343</v>
      </c>
      <c r="C3851" s="1" t="s">
        <v>1112</v>
      </c>
      <c r="D3851" s="74">
        <v>300.0</v>
      </c>
      <c r="E3851" s="67">
        <v>80.15</v>
      </c>
      <c r="F3851" s="75">
        <v>0.5772106481481482</v>
      </c>
      <c r="G3851" s="67" t="s">
        <v>453</v>
      </c>
      <c r="H3851" s="68">
        <v>1.5</v>
      </c>
      <c r="I3851" s="76"/>
      <c r="J3851" s="67">
        <f t="shared" si="247"/>
        <v>-24046.5</v>
      </c>
      <c r="K3851" s="7"/>
      <c r="L3851" s="70"/>
      <c r="M3851" s="79"/>
      <c r="N3851" s="1"/>
      <c r="O3851" s="1"/>
      <c r="P3851" s="1"/>
      <c r="Q3851" s="1"/>
      <c r="R3851" s="1"/>
      <c r="S3851" s="1"/>
      <c r="T3851" s="1"/>
      <c r="U3851" s="1"/>
      <c r="V3851" s="1"/>
      <c r="W3851" s="1"/>
      <c r="X3851" s="1"/>
      <c r="Y3851" s="1"/>
      <c r="Z3851" s="1"/>
      <c r="AA3851" s="1"/>
      <c r="AB3851" s="1"/>
      <c r="AC3851" s="1"/>
      <c r="AD3851" s="1"/>
      <c r="AE3851" s="1"/>
      <c r="AF3851" s="1"/>
      <c r="AG3851" s="1"/>
      <c r="AH3851" s="1"/>
    </row>
    <row r="3852" ht="12.75" hidden="1" customHeight="1" outlineLevel="1">
      <c r="A3852" s="17">
        <v>41676.0</v>
      </c>
      <c r="B3852" s="1"/>
      <c r="C3852" s="1" t="s">
        <v>339</v>
      </c>
      <c r="D3852" s="74"/>
      <c r="E3852" s="67"/>
      <c r="F3852" s="75"/>
      <c r="G3852" s="67"/>
      <c r="H3852" s="68"/>
      <c r="I3852" s="76"/>
      <c r="J3852" s="67"/>
      <c r="K3852" s="7" t="s">
        <v>1659</v>
      </c>
      <c r="L3852" s="77"/>
      <c r="M3852" s="79"/>
      <c r="N3852" s="1"/>
      <c r="O3852" s="1"/>
      <c r="P3852" s="1"/>
      <c r="Q3852" s="1"/>
      <c r="R3852" s="1"/>
      <c r="S3852" s="1"/>
      <c r="T3852" s="1"/>
      <c r="U3852" s="1"/>
      <c r="V3852" s="1"/>
      <c r="W3852" s="1"/>
      <c r="X3852" s="1"/>
      <c r="Y3852" s="1"/>
      <c r="Z3852" s="1"/>
      <c r="AA3852" s="1"/>
      <c r="AB3852" s="1"/>
      <c r="AC3852" s="1"/>
      <c r="AD3852" s="1"/>
      <c r="AE3852" s="1"/>
      <c r="AF3852" s="1"/>
      <c r="AG3852" s="1"/>
      <c r="AH3852" s="1"/>
    </row>
    <row r="3853" ht="12.75" hidden="1" customHeight="1" outlineLevel="1">
      <c r="A3853" s="17">
        <v>41676.0</v>
      </c>
      <c r="B3853" s="1"/>
      <c r="C3853" s="1" t="s">
        <v>429</v>
      </c>
      <c r="D3853" s="74"/>
      <c r="E3853" s="67"/>
      <c r="F3853" s="75"/>
      <c r="G3853" s="67"/>
      <c r="H3853" s="68"/>
      <c r="I3853" s="76"/>
      <c r="J3853" s="67"/>
      <c r="K3853" s="7" t="s">
        <v>1553</v>
      </c>
      <c r="L3853" s="77"/>
      <c r="M3853" s="79"/>
      <c r="N3853" s="1"/>
      <c r="O3853" s="1"/>
      <c r="P3853" s="1"/>
      <c r="Q3853" s="1"/>
      <c r="R3853" s="1"/>
      <c r="S3853" s="1"/>
      <c r="T3853" s="1"/>
      <c r="U3853" s="1"/>
      <c r="V3853" s="1"/>
      <c r="W3853" s="1"/>
      <c r="X3853" s="1"/>
      <c r="Y3853" s="1"/>
      <c r="Z3853" s="1"/>
      <c r="AA3853" s="1"/>
      <c r="AB3853" s="1"/>
      <c r="AC3853" s="1"/>
      <c r="AD3853" s="1"/>
      <c r="AE3853" s="1"/>
      <c r="AF3853" s="1"/>
      <c r="AG3853" s="1"/>
      <c r="AH3853" s="1"/>
    </row>
    <row r="3854" ht="12.75" hidden="1" customHeight="1" outlineLevel="1">
      <c r="A3854" s="17">
        <v>41676.0</v>
      </c>
      <c r="B3854" s="1"/>
      <c r="C3854" s="1" t="s">
        <v>431</v>
      </c>
      <c r="D3854" s="74"/>
      <c r="E3854" s="67"/>
      <c r="F3854" s="75"/>
      <c r="G3854" s="67"/>
      <c r="H3854" s="68"/>
      <c r="I3854" s="76"/>
      <c r="J3854" s="67"/>
      <c r="K3854" s="7" t="s">
        <v>1126</v>
      </c>
      <c r="L3854" s="77"/>
      <c r="M3854" s="79"/>
      <c r="N3854" s="1"/>
      <c r="O3854" s="1"/>
      <c r="P3854" s="1"/>
      <c r="Q3854" s="1"/>
      <c r="R3854" s="1"/>
      <c r="S3854" s="1"/>
      <c r="T3854" s="1"/>
      <c r="U3854" s="1"/>
      <c r="V3854" s="1"/>
      <c r="W3854" s="1"/>
      <c r="X3854" s="1"/>
      <c r="Y3854" s="1"/>
      <c r="Z3854" s="1"/>
      <c r="AA3854" s="1"/>
      <c r="AB3854" s="1"/>
      <c r="AC3854" s="1"/>
      <c r="AD3854" s="1"/>
      <c r="AE3854" s="1"/>
      <c r="AF3854" s="1"/>
      <c r="AG3854" s="1"/>
      <c r="AH3854" s="1"/>
    </row>
    <row r="3855" ht="12.75" hidden="1" customHeight="1" outlineLevel="1">
      <c r="A3855" s="17">
        <v>41676.0</v>
      </c>
      <c r="B3855" s="1"/>
      <c r="C3855" s="1" t="s">
        <v>433</v>
      </c>
      <c r="D3855" s="74"/>
      <c r="E3855" s="67"/>
      <c r="F3855" s="75"/>
      <c r="G3855" s="67"/>
      <c r="H3855" s="68"/>
      <c r="I3855" s="76"/>
      <c r="J3855" s="67"/>
      <c r="K3855" s="7" t="s">
        <v>1103</v>
      </c>
      <c r="L3855" s="77"/>
      <c r="M3855" s="79"/>
      <c r="N3855" s="1"/>
      <c r="O3855" s="1"/>
      <c r="P3855" s="1"/>
      <c r="Q3855" s="1"/>
      <c r="R3855" s="1"/>
      <c r="S3855" s="1"/>
      <c r="T3855" s="1"/>
      <c r="U3855" s="1"/>
      <c r="V3855" s="1"/>
      <c r="W3855" s="1"/>
      <c r="X3855" s="1"/>
      <c r="Y3855" s="1"/>
      <c r="Z3855" s="1"/>
      <c r="AA3855" s="1"/>
      <c r="AB3855" s="1"/>
      <c r="AC3855" s="1"/>
      <c r="AD3855" s="1"/>
      <c r="AE3855" s="1"/>
      <c r="AF3855" s="1"/>
      <c r="AG3855" s="1"/>
      <c r="AH3855" s="1"/>
    </row>
    <row r="3856" ht="12.75" hidden="1" customHeight="1" outlineLevel="1">
      <c r="A3856" s="17">
        <v>41676.0</v>
      </c>
      <c r="B3856" s="1"/>
      <c r="C3856" s="1" t="s">
        <v>435</v>
      </c>
      <c r="D3856" s="74"/>
      <c r="E3856" s="67"/>
      <c r="F3856" s="75"/>
      <c r="G3856" s="67"/>
      <c r="H3856" s="68"/>
      <c r="I3856" s="76"/>
      <c r="J3856" s="67"/>
      <c r="K3856" s="7" t="s">
        <v>1507</v>
      </c>
      <c r="L3856" s="77"/>
      <c r="M3856" s="79"/>
      <c r="N3856" s="1"/>
      <c r="O3856" s="1"/>
      <c r="P3856" s="1"/>
      <c r="Q3856" s="1"/>
      <c r="R3856" s="1"/>
      <c r="S3856" s="1"/>
      <c r="T3856" s="1"/>
      <c r="U3856" s="1"/>
      <c r="V3856" s="1"/>
      <c r="W3856" s="1"/>
      <c r="X3856" s="1"/>
      <c r="Y3856" s="1"/>
      <c r="Z3856" s="1"/>
      <c r="AA3856" s="1"/>
      <c r="AB3856" s="1"/>
      <c r="AC3856" s="1"/>
      <c r="AD3856" s="1"/>
      <c r="AE3856" s="1"/>
      <c r="AF3856" s="1"/>
      <c r="AG3856" s="1"/>
      <c r="AH3856" s="1"/>
    </row>
    <row r="3857" ht="12.75" hidden="1" customHeight="1" outlineLevel="1">
      <c r="A3857" s="17">
        <v>41677.0</v>
      </c>
      <c r="B3857" s="1"/>
      <c r="C3857" s="1" t="s">
        <v>339</v>
      </c>
      <c r="D3857" s="74"/>
      <c r="E3857" s="67"/>
      <c r="F3857" s="75"/>
      <c r="G3857" s="67"/>
      <c r="H3857" s="68"/>
      <c r="I3857" s="76"/>
      <c r="J3857" s="67"/>
      <c r="K3857" s="7" t="s">
        <v>1661</v>
      </c>
      <c r="L3857" s="77"/>
      <c r="M3857" s="79"/>
      <c r="N3857" s="1"/>
      <c r="O3857" s="1"/>
      <c r="P3857" s="1"/>
      <c r="Q3857" s="1"/>
      <c r="R3857" s="1"/>
      <c r="S3857" s="1"/>
      <c r="T3857" s="1"/>
      <c r="U3857" s="1"/>
      <c r="V3857" s="1"/>
      <c r="W3857" s="1"/>
      <c r="X3857" s="1"/>
      <c r="Y3857" s="1"/>
      <c r="Z3857" s="1"/>
      <c r="AA3857" s="1"/>
      <c r="AB3857" s="1"/>
      <c r="AC3857" s="1"/>
      <c r="AD3857" s="1"/>
      <c r="AE3857" s="1"/>
      <c r="AF3857" s="1"/>
      <c r="AG3857" s="1"/>
      <c r="AH3857" s="1"/>
    </row>
    <row r="3858" ht="12.75" hidden="1" customHeight="1" outlineLevel="1">
      <c r="A3858" s="17">
        <v>41677.0</v>
      </c>
      <c r="B3858" s="1"/>
      <c r="C3858" s="1" t="s">
        <v>429</v>
      </c>
      <c r="D3858" s="74"/>
      <c r="E3858" s="67"/>
      <c r="F3858" s="75"/>
      <c r="G3858" s="67"/>
      <c r="H3858" s="68"/>
      <c r="I3858" s="76"/>
      <c r="J3858" s="67"/>
      <c r="K3858" s="7" t="s">
        <v>1553</v>
      </c>
      <c r="L3858" s="77"/>
      <c r="M3858" s="79"/>
      <c r="N3858" s="1"/>
      <c r="O3858" s="1"/>
      <c r="P3858" s="1"/>
      <c r="Q3858" s="1"/>
      <c r="R3858" s="1"/>
      <c r="S3858" s="1"/>
      <c r="T3858" s="1"/>
      <c r="U3858" s="1"/>
      <c r="V3858" s="1"/>
      <c r="W3858" s="1"/>
      <c r="X3858" s="1"/>
      <c r="Y3858" s="1"/>
      <c r="Z3858" s="1"/>
      <c r="AA3858" s="1"/>
      <c r="AB3858" s="1"/>
      <c r="AC3858" s="1"/>
      <c r="AD3858" s="1"/>
      <c r="AE3858" s="1"/>
      <c r="AF3858" s="1"/>
      <c r="AG3858" s="1"/>
      <c r="AH3858" s="1"/>
    </row>
    <row r="3859" ht="12.75" hidden="1" customHeight="1" outlineLevel="1">
      <c r="A3859" s="17">
        <v>41677.0</v>
      </c>
      <c r="B3859" s="1"/>
      <c r="C3859" s="1" t="s">
        <v>431</v>
      </c>
      <c r="D3859" s="74"/>
      <c r="E3859" s="67"/>
      <c r="F3859" s="75"/>
      <c r="G3859" s="67"/>
      <c r="H3859" s="68"/>
      <c r="I3859" s="76"/>
      <c r="J3859" s="67"/>
      <c r="K3859" s="7" t="s">
        <v>1126</v>
      </c>
      <c r="L3859" s="77"/>
      <c r="M3859" s="79"/>
      <c r="N3859" s="1"/>
      <c r="O3859" s="1"/>
      <c r="P3859" s="1"/>
      <c r="Q3859" s="1"/>
      <c r="R3859" s="1"/>
      <c r="S3859" s="1"/>
      <c r="T3859" s="1"/>
      <c r="U3859" s="1"/>
      <c r="V3859" s="1"/>
      <c r="W3859" s="1"/>
      <c r="X3859" s="1"/>
      <c r="Y3859" s="1"/>
      <c r="Z3859" s="1"/>
      <c r="AA3859" s="1"/>
      <c r="AB3859" s="1"/>
      <c r="AC3859" s="1"/>
      <c r="AD3859" s="1"/>
      <c r="AE3859" s="1"/>
      <c r="AF3859" s="1"/>
      <c r="AG3859" s="1"/>
      <c r="AH3859" s="1"/>
    </row>
    <row r="3860" ht="12.75" hidden="1" customHeight="1" outlineLevel="1">
      <c r="A3860" s="17">
        <v>41677.0</v>
      </c>
      <c r="B3860" s="1"/>
      <c r="C3860" s="1" t="s">
        <v>433</v>
      </c>
      <c r="D3860" s="74"/>
      <c r="E3860" s="67"/>
      <c r="F3860" s="75"/>
      <c r="G3860" s="67"/>
      <c r="H3860" s="68"/>
      <c r="I3860" s="76"/>
      <c r="J3860" s="67"/>
      <c r="K3860" s="7" t="s">
        <v>1103</v>
      </c>
      <c r="L3860" s="77"/>
      <c r="M3860" s="79"/>
      <c r="N3860" s="1"/>
      <c r="O3860" s="1"/>
      <c r="P3860" s="1"/>
      <c r="Q3860" s="1"/>
      <c r="R3860" s="1"/>
      <c r="S3860" s="1"/>
      <c r="T3860" s="1"/>
      <c r="U3860" s="1"/>
      <c r="V3860" s="1"/>
      <c r="W3860" s="1"/>
      <c r="X3860" s="1"/>
      <c r="Y3860" s="1"/>
      <c r="Z3860" s="1"/>
      <c r="AA3860" s="1"/>
      <c r="AB3860" s="1"/>
      <c r="AC3860" s="1"/>
      <c r="AD3860" s="1"/>
      <c r="AE3860" s="1"/>
      <c r="AF3860" s="1"/>
      <c r="AG3860" s="1"/>
      <c r="AH3860" s="1"/>
    </row>
    <row r="3861" ht="12.75" hidden="1" customHeight="1" outlineLevel="1">
      <c r="A3861" s="17">
        <v>41677.0</v>
      </c>
      <c r="B3861" s="1"/>
      <c r="C3861" s="1" t="s">
        <v>435</v>
      </c>
      <c r="D3861" s="74"/>
      <c r="E3861" s="67"/>
      <c r="F3861" s="75"/>
      <c r="G3861" s="67"/>
      <c r="H3861" s="68"/>
      <c r="I3861" s="76"/>
      <c r="J3861" s="67"/>
      <c r="K3861" s="7" t="s">
        <v>1507</v>
      </c>
      <c r="L3861" s="77"/>
      <c r="M3861" s="79"/>
      <c r="N3861" s="1"/>
      <c r="O3861" s="1"/>
      <c r="P3861" s="1"/>
      <c r="Q3861" s="1"/>
      <c r="R3861" s="1"/>
      <c r="S3861" s="1"/>
      <c r="T3861" s="1"/>
      <c r="U3861" s="1"/>
      <c r="V3861" s="1"/>
      <c r="W3861" s="1"/>
      <c r="X3861" s="1"/>
      <c r="Y3861" s="1"/>
      <c r="Z3861" s="1"/>
      <c r="AA3861" s="1"/>
      <c r="AB3861" s="1"/>
      <c r="AC3861" s="1"/>
      <c r="AD3861" s="1"/>
      <c r="AE3861" s="1"/>
      <c r="AF3861" s="1"/>
      <c r="AG3861" s="1"/>
      <c r="AH3861" s="1"/>
    </row>
    <row r="3862" ht="12.75" hidden="1" customHeight="1" outlineLevel="1">
      <c r="A3862" s="17">
        <v>41680.0</v>
      </c>
      <c r="B3862" s="1"/>
      <c r="C3862" s="1" t="s">
        <v>339</v>
      </c>
      <c r="D3862" s="74"/>
      <c r="E3862" s="67"/>
      <c r="F3862" s="75"/>
      <c r="G3862" s="67"/>
      <c r="H3862" s="68"/>
      <c r="I3862" s="76"/>
      <c r="J3862" s="67"/>
      <c r="K3862" s="7" t="s">
        <v>1664</v>
      </c>
      <c r="L3862" s="77"/>
      <c r="M3862" s="79"/>
      <c r="N3862" s="1"/>
      <c r="O3862" s="1"/>
      <c r="P3862" s="1"/>
      <c r="Q3862" s="1"/>
      <c r="R3862" s="1"/>
      <c r="S3862" s="1"/>
      <c r="T3862" s="1"/>
      <c r="U3862" s="1"/>
      <c r="V3862" s="1"/>
      <c r="W3862" s="1"/>
      <c r="X3862" s="1"/>
      <c r="Y3862" s="1"/>
      <c r="Z3862" s="1"/>
      <c r="AA3862" s="1"/>
      <c r="AB3862" s="1"/>
      <c r="AC3862" s="1"/>
      <c r="AD3862" s="1"/>
      <c r="AE3862" s="1"/>
      <c r="AF3862" s="1"/>
      <c r="AG3862" s="1"/>
      <c r="AH3862" s="1"/>
    </row>
    <row r="3863" ht="12.75" hidden="1" customHeight="1" outlineLevel="1">
      <c r="A3863" s="17">
        <v>41680.0</v>
      </c>
      <c r="B3863" s="1"/>
      <c r="C3863" s="1" t="s">
        <v>429</v>
      </c>
      <c r="D3863" s="74"/>
      <c r="E3863" s="67"/>
      <c r="F3863" s="75"/>
      <c r="G3863" s="67"/>
      <c r="H3863" s="68"/>
      <c r="I3863" s="76"/>
      <c r="J3863" s="67"/>
      <c r="K3863" s="7" t="s">
        <v>1553</v>
      </c>
      <c r="L3863" s="77"/>
      <c r="M3863" s="79"/>
      <c r="N3863" s="1"/>
      <c r="O3863" s="1"/>
      <c r="P3863" s="1"/>
      <c r="Q3863" s="1"/>
      <c r="R3863" s="1"/>
      <c r="S3863" s="1"/>
      <c r="T3863" s="1"/>
      <c r="U3863" s="1"/>
      <c r="V3863" s="1"/>
      <c r="W3863" s="1"/>
      <c r="X3863" s="1"/>
      <c r="Y3863" s="1"/>
      <c r="Z3863" s="1"/>
      <c r="AA3863" s="1"/>
      <c r="AB3863" s="1"/>
      <c r="AC3863" s="1"/>
      <c r="AD3863" s="1"/>
      <c r="AE3863" s="1"/>
      <c r="AF3863" s="1"/>
      <c r="AG3863" s="1"/>
      <c r="AH3863" s="1"/>
    </row>
    <row r="3864" ht="12.75" hidden="1" customHeight="1" outlineLevel="1">
      <c r="A3864" s="17">
        <v>41680.0</v>
      </c>
      <c r="B3864" s="1"/>
      <c r="C3864" s="1" t="s">
        <v>431</v>
      </c>
      <c r="D3864" s="74"/>
      <c r="E3864" s="67"/>
      <c r="F3864" s="75"/>
      <c r="G3864" s="67"/>
      <c r="H3864" s="68"/>
      <c r="I3864" s="76"/>
      <c r="J3864" s="67"/>
      <c r="K3864" s="7" t="s">
        <v>1126</v>
      </c>
      <c r="L3864" s="77"/>
      <c r="M3864" s="79"/>
      <c r="N3864" s="1"/>
      <c r="O3864" s="1"/>
      <c r="P3864" s="1"/>
      <c r="Q3864" s="1"/>
      <c r="R3864" s="1"/>
      <c r="S3864" s="1"/>
      <c r="T3864" s="1"/>
      <c r="U3864" s="1"/>
      <c r="V3864" s="1"/>
      <c r="W3864" s="1"/>
      <c r="X3864" s="1"/>
      <c r="Y3864" s="1"/>
      <c r="Z3864" s="1"/>
      <c r="AA3864" s="1"/>
      <c r="AB3864" s="1"/>
      <c r="AC3864" s="1"/>
      <c r="AD3864" s="1"/>
      <c r="AE3864" s="1"/>
      <c r="AF3864" s="1"/>
      <c r="AG3864" s="1"/>
      <c r="AH3864" s="1"/>
    </row>
    <row r="3865" ht="12.75" hidden="1" customHeight="1" outlineLevel="1">
      <c r="A3865" s="17">
        <v>41680.0</v>
      </c>
      <c r="B3865" s="1"/>
      <c r="C3865" s="1" t="s">
        <v>433</v>
      </c>
      <c r="D3865" s="74"/>
      <c r="E3865" s="67"/>
      <c r="F3865" s="75"/>
      <c r="G3865" s="67"/>
      <c r="H3865" s="68"/>
      <c r="I3865" s="76"/>
      <c r="J3865" s="67"/>
      <c r="K3865" s="7" t="s">
        <v>1103</v>
      </c>
      <c r="L3865" s="77"/>
      <c r="M3865" s="79"/>
      <c r="N3865" s="1"/>
      <c r="O3865" s="1"/>
      <c r="P3865" s="1"/>
      <c r="Q3865" s="1"/>
      <c r="R3865" s="1"/>
      <c r="S3865" s="1"/>
      <c r="T3865" s="1"/>
      <c r="U3865" s="1"/>
      <c r="V3865" s="1"/>
      <c r="W3865" s="1"/>
      <c r="X3865" s="1"/>
      <c r="Y3865" s="1"/>
      <c r="Z3865" s="1"/>
      <c r="AA3865" s="1"/>
      <c r="AB3865" s="1"/>
      <c r="AC3865" s="1"/>
      <c r="AD3865" s="1"/>
      <c r="AE3865" s="1"/>
      <c r="AF3865" s="1"/>
      <c r="AG3865" s="1"/>
      <c r="AH3865" s="1"/>
    </row>
    <row r="3866" ht="12.75" hidden="1" customHeight="1" outlineLevel="1">
      <c r="A3866" s="17">
        <v>41680.0</v>
      </c>
      <c r="B3866" s="1"/>
      <c r="C3866" s="1" t="s">
        <v>435</v>
      </c>
      <c r="D3866" s="74"/>
      <c r="E3866" s="67"/>
      <c r="F3866" s="75"/>
      <c r="G3866" s="67"/>
      <c r="H3866" s="68"/>
      <c r="I3866" s="76"/>
      <c r="J3866" s="67"/>
      <c r="K3866" s="7" t="s">
        <v>1507</v>
      </c>
      <c r="L3866" s="77"/>
      <c r="M3866" s="79"/>
      <c r="N3866" s="1"/>
      <c r="O3866" s="1"/>
      <c r="P3866" s="1"/>
      <c r="Q3866" s="1"/>
      <c r="R3866" s="1"/>
      <c r="S3866" s="1"/>
      <c r="T3866" s="1"/>
      <c r="U3866" s="1"/>
      <c r="V3866" s="1"/>
      <c r="W3866" s="1"/>
      <c r="X3866" s="1"/>
      <c r="Y3866" s="1"/>
      <c r="Z3866" s="1"/>
      <c r="AA3866" s="1"/>
      <c r="AB3866" s="1"/>
      <c r="AC3866" s="1"/>
      <c r="AD3866" s="1"/>
      <c r="AE3866" s="1"/>
      <c r="AF3866" s="1"/>
      <c r="AG3866" s="1"/>
      <c r="AH3866" s="1"/>
    </row>
    <row r="3867" ht="12.75" hidden="1" customHeight="1" outlineLevel="1">
      <c r="A3867" s="17">
        <v>41680.0</v>
      </c>
      <c r="B3867" s="1" t="s">
        <v>347</v>
      </c>
      <c r="C3867" s="1" t="s">
        <v>1118</v>
      </c>
      <c r="D3867" s="74">
        <v>700.0</v>
      </c>
      <c r="E3867" s="67">
        <v>30.997</v>
      </c>
      <c r="F3867" s="75">
        <v>0.5736458333333333</v>
      </c>
      <c r="G3867" s="67" t="s">
        <v>453</v>
      </c>
      <c r="H3867" s="68">
        <v>3.18</v>
      </c>
      <c r="I3867" s="76"/>
      <c r="J3867" s="67">
        <f t="shared" ref="J3867:J3870" si="248">IF(B3867="SLD",D3867*E3867,-D3867*E3867)-H3867</f>
        <v>21694.72</v>
      </c>
      <c r="K3867" s="7"/>
      <c r="L3867" s="70"/>
      <c r="M3867" s="79"/>
      <c r="N3867" s="1"/>
      <c r="O3867" s="1"/>
      <c r="P3867" s="1"/>
      <c r="Q3867" s="1"/>
      <c r="R3867" s="1"/>
      <c r="S3867" s="1"/>
      <c r="T3867" s="1"/>
      <c r="U3867" s="1"/>
      <c r="V3867" s="1"/>
      <c r="W3867" s="1"/>
      <c r="X3867" s="1"/>
      <c r="Y3867" s="1"/>
      <c r="Z3867" s="1"/>
      <c r="AA3867" s="1"/>
      <c r="AB3867" s="1"/>
      <c r="AC3867" s="1"/>
      <c r="AD3867" s="1"/>
      <c r="AE3867" s="1"/>
      <c r="AF3867" s="1"/>
      <c r="AG3867" s="1"/>
      <c r="AH3867" s="1"/>
    </row>
    <row r="3868" ht="12.75" hidden="1" customHeight="1" outlineLevel="1">
      <c r="A3868" s="17">
        <v>41680.0</v>
      </c>
      <c r="B3868" s="1" t="s">
        <v>347</v>
      </c>
      <c r="C3868" s="1" t="s">
        <v>870</v>
      </c>
      <c r="D3868" s="74">
        <v>250.0</v>
      </c>
      <c r="E3868" s="67">
        <v>82.318</v>
      </c>
      <c r="F3868" s="75">
        <v>0.5738194444444444</v>
      </c>
      <c r="G3868" s="67" t="s">
        <v>453</v>
      </c>
      <c r="H3868" s="68">
        <v>1.41</v>
      </c>
      <c r="I3868" s="76"/>
      <c r="J3868" s="67">
        <f t="shared" si="248"/>
        <v>20578.09</v>
      </c>
      <c r="K3868" s="7"/>
      <c r="L3868" s="70"/>
      <c r="M3868" s="79"/>
      <c r="N3868" s="1"/>
      <c r="O3868" s="1"/>
      <c r="P3868" s="1"/>
      <c r="Q3868" s="1"/>
      <c r="R3868" s="1"/>
      <c r="S3868" s="1"/>
      <c r="T3868" s="1"/>
      <c r="U3868" s="1"/>
      <c r="V3868" s="1"/>
      <c r="W3868" s="1"/>
      <c r="X3868" s="1"/>
      <c r="Y3868" s="1"/>
      <c r="Z3868" s="1"/>
      <c r="AA3868" s="1"/>
      <c r="AB3868" s="1"/>
      <c r="AC3868" s="1"/>
      <c r="AD3868" s="1"/>
      <c r="AE3868" s="1"/>
      <c r="AF3868" s="1"/>
      <c r="AG3868" s="1"/>
      <c r="AH3868" s="1"/>
    </row>
    <row r="3869" ht="12.75" hidden="1" customHeight="1" outlineLevel="1">
      <c r="A3869" s="17">
        <v>41680.0</v>
      </c>
      <c r="B3869" s="1" t="s">
        <v>347</v>
      </c>
      <c r="C3869" s="1" t="s">
        <v>605</v>
      </c>
      <c r="D3869" s="74">
        <v>300.0</v>
      </c>
      <c r="E3869" s="67">
        <v>72.81</v>
      </c>
      <c r="F3869" s="75">
        <v>0.5740393518518518</v>
      </c>
      <c r="G3869" s="67" t="s">
        <v>453</v>
      </c>
      <c r="H3869" s="68">
        <v>1.58</v>
      </c>
      <c r="I3869" s="76"/>
      <c r="J3869" s="67">
        <f t="shared" si="248"/>
        <v>21841.42</v>
      </c>
      <c r="K3869" s="7"/>
      <c r="L3869" s="70"/>
      <c r="M3869" s="79"/>
      <c r="N3869" s="1"/>
      <c r="O3869" s="1"/>
      <c r="P3869" s="1"/>
      <c r="Q3869" s="1"/>
      <c r="R3869" s="1"/>
      <c r="S3869" s="1"/>
      <c r="T3869" s="1"/>
      <c r="U3869" s="1"/>
      <c r="V3869" s="1"/>
      <c r="W3869" s="1"/>
      <c r="X3869" s="1"/>
      <c r="Y3869" s="1"/>
      <c r="Z3869" s="1"/>
      <c r="AA3869" s="1"/>
      <c r="AB3869" s="1"/>
      <c r="AC3869" s="1"/>
      <c r="AD3869" s="1"/>
      <c r="AE3869" s="1"/>
      <c r="AF3869" s="1"/>
      <c r="AG3869" s="1"/>
      <c r="AH3869" s="1"/>
    </row>
    <row r="3870" ht="12.75" hidden="1" customHeight="1" outlineLevel="1">
      <c r="A3870" s="17">
        <v>41680.0</v>
      </c>
      <c r="B3870" s="1" t="s">
        <v>343</v>
      </c>
      <c r="C3870" s="1" t="s">
        <v>1044</v>
      </c>
      <c r="D3870" s="74">
        <v>1200.0</v>
      </c>
      <c r="E3870" s="67">
        <v>24.71</v>
      </c>
      <c r="F3870" s="75">
        <v>0.6335185185185185</v>
      </c>
      <c r="G3870" s="67" t="s">
        <v>453</v>
      </c>
      <c r="H3870" s="68">
        <v>6.0</v>
      </c>
      <c r="I3870" s="76"/>
      <c r="J3870" s="67">
        <f t="shared" si="248"/>
        <v>-29658</v>
      </c>
      <c r="K3870" s="7"/>
      <c r="L3870" s="70"/>
      <c r="M3870" s="79"/>
      <c r="N3870" s="1"/>
      <c r="O3870" s="1"/>
      <c r="P3870" s="1"/>
      <c r="Q3870" s="1"/>
      <c r="R3870" s="1"/>
      <c r="S3870" s="1"/>
      <c r="T3870" s="1"/>
      <c r="U3870" s="1"/>
      <c r="V3870" s="1"/>
      <c r="W3870" s="1"/>
      <c r="X3870" s="1"/>
      <c r="Y3870" s="1"/>
      <c r="Z3870" s="1"/>
      <c r="AA3870" s="1"/>
      <c r="AB3870" s="1"/>
      <c r="AC3870" s="1"/>
      <c r="AD3870" s="1"/>
      <c r="AE3870" s="1"/>
      <c r="AF3870" s="1"/>
      <c r="AG3870" s="1"/>
      <c r="AH3870" s="1"/>
    </row>
    <row r="3871" ht="12.75" hidden="1" customHeight="1" outlineLevel="1">
      <c r="A3871" s="17">
        <v>41680.0</v>
      </c>
      <c r="B3871" s="1"/>
      <c r="C3871" s="1" t="s">
        <v>339</v>
      </c>
      <c r="D3871" s="74"/>
      <c r="E3871" s="67"/>
      <c r="F3871" s="75"/>
      <c r="G3871" s="67"/>
      <c r="H3871" s="68"/>
      <c r="I3871" s="76"/>
      <c r="J3871" s="67"/>
      <c r="K3871" s="7" t="s">
        <v>1668</v>
      </c>
      <c r="L3871" s="77"/>
      <c r="M3871" s="79"/>
      <c r="N3871" s="1"/>
      <c r="O3871" s="1"/>
      <c r="P3871" s="1"/>
      <c r="Q3871" s="1"/>
      <c r="R3871" s="1"/>
      <c r="S3871" s="1"/>
      <c r="T3871" s="1"/>
      <c r="U3871" s="1"/>
      <c r="V3871" s="1"/>
      <c r="W3871" s="1"/>
      <c r="X3871" s="1"/>
      <c r="Y3871" s="1"/>
      <c r="Z3871" s="1"/>
      <c r="AA3871" s="1"/>
      <c r="AB3871" s="1"/>
      <c r="AC3871" s="1"/>
      <c r="AD3871" s="1"/>
      <c r="AE3871" s="1"/>
      <c r="AF3871" s="1"/>
      <c r="AG3871" s="1"/>
      <c r="AH3871" s="1"/>
    </row>
    <row r="3872" ht="12.75" hidden="1" customHeight="1" outlineLevel="1">
      <c r="A3872" s="17">
        <v>41680.0</v>
      </c>
      <c r="B3872" s="1"/>
      <c r="C3872" s="1" t="s">
        <v>429</v>
      </c>
      <c r="D3872" s="74"/>
      <c r="E3872" s="67"/>
      <c r="F3872" s="75"/>
      <c r="G3872" s="67"/>
      <c r="H3872" s="68"/>
      <c r="I3872" s="76"/>
      <c r="J3872" s="67"/>
      <c r="K3872" s="7" t="s">
        <v>1553</v>
      </c>
      <c r="L3872" s="77"/>
      <c r="M3872" s="79"/>
      <c r="N3872" s="1"/>
      <c r="O3872" s="1"/>
      <c r="P3872" s="1"/>
      <c r="Q3872" s="1"/>
      <c r="R3872" s="1"/>
      <c r="S3872" s="1"/>
      <c r="T3872" s="1"/>
      <c r="U3872" s="1"/>
      <c r="V3872" s="1"/>
      <c r="W3872" s="1"/>
      <c r="X3872" s="1"/>
      <c r="Y3872" s="1"/>
      <c r="Z3872" s="1"/>
      <c r="AA3872" s="1"/>
      <c r="AB3872" s="1"/>
      <c r="AC3872" s="1"/>
      <c r="AD3872" s="1"/>
      <c r="AE3872" s="1"/>
      <c r="AF3872" s="1"/>
      <c r="AG3872" s="1"/>
      <c r="AH3872" s="1"/>
    </row>
    <row r="3873" ht="12.75" hidden="1" customHeight="1" outlineLevel="1">
      <c r="A3873" s="17">
        <v>41680.0</v>
      </c>
      <c r="B3873" s="1"/>
      <c r="C3873" s="1" t="s">
        <v>431</v>
      </c>
      <c r="D3873" s="74"/>
      <c r="E3873" s="67"/>
      <c r="F3873" s="75"/>
      <c r="G3873" s="67"/>
      <c r="H3873" s="68"/>
      <c r="I3873" s="76"/>
      <c r="J3873" s="67"/>
      <c r="K3873" s="7" t="s">
        <v>1126</v>
      </c>
      <c r="L3873" s="77"/>
      <c r="M3873" s="79"/>
      <c r="N3873" s="1"/>
      <c r="O3873" s="1"/>
      <c r="P3873" s="1"/>
      <c r="Q3873" s="1"/>
      <c r="R3873" s="1"/>
      <c r="S3873" s="1"/>
      <c r="T3873" s="1"/>
      <c r="U3873" s="1"/>
      <c r="V3873" s="1"/>
      <c r="W3873" s="1"/>
      <c r="X3873" s="1"/>
      <c r="Y3873" s="1"/>
      <c r="Z3873" s="1"/>
      <c r="AA3873" s="1"/>
      <c r="AB3873" s="1"/>
      <c r="AC3873" s="1"/>
      <c r="AD3873" s="1"/>
      <c r="AE3873" s="1"/>
      <c r="AF3873" s="1"/>
      <c r="AG3873" s="1"/>
      <c r="AH3873" s="1"/>
    </row>
    <row r="3874" ht="12.75" hidden="1" customHeight="1" outlineLevel="1">
      <c r="A3874" s="17">
        <v>41680.0</v>
      </c>
      <c r="B3874" s="1"/>
      <c r="C3874" s="1" t="s">
        <v>433</v>
      </c>
      <c r="D3874" s="74"/>
      <c r="E3874" s="67"/>
      <c r="F3874" s="75"/>
      <c r="G3874" s="67"/>
      <c r="H3874" s="68"/>
      <c r="I3874" s="76"/>
      <c r="J3874" s="67"/>
      <c r="K3874" s="7" t="s">
        <v>1103</v>
      </c>
      <c r="L3874" s="77"/>
      <c r="M3874" s="79"/>
      <c r="N3874" s="1"/>
      <c r="O3874" s="1"/>
      <c r="P3874" s="1"/>
      <c r="Q3874" s="1"/>
      <c r="R3874" s="1"/>
      <c r="S3874" s="1"/>
      <c r="T3874" s="1"/>
      <c r="U3874" s="1"/>
      <c r="V3874" s="1"/>
      <c r="W3874" s="1"/>
      <c r="X3874" s="1"/>
      <c r="Y3874" s="1"/>
      <c r="Z3874" s="1"/>
      <c r="AA3874" s="1"/>
      <c r="AB3874" s="1"/>
      <c r="AC3874" s="1"/>
      <c r="AD3874" s="1"/>
      <c r="AE3874" s="1"/>
      <c r="AF3874" s="1"/>
      <c r="AG3874" s="1"/>
      <c r="AH3874" s="1"/>
    </row>
    <row r="3875" ht="12.75" hidden="1" customHeight="1" outlineLevel="1">
      <c r="A3875" s="17">
        <v>41680.0</v>
      </c>
      <c r="B3875" s="1"/>
      <c r="C3875" s="1" t="s">
        <v>435</v>
      </c>
      <c r="D3875" s="74"/>
      <c r="E3875" s="67"/>
      <c r="F3875" s="75"/>
      <c r="G3875" s="67"/>
      <c r="H3875" s="68"/>
      <c r="I3875" s="76"/>
      <c r="J3875" s="67"/>
      <c r="K3875" s="7" t="s">
        <v>1507</v>
      </c>
      <c r="L3875" s="77"/>
      <c r="M3875" s="79"/>
      <c r="N3875" s="1"/>
      <c r="O3875" s="1"/>
      <c r="P3875" s="1"/>
      <c r="Q3875" s="1"/>
      <c r="R3875" s="1"/>
      <c r="S3875" s="1"/>
      <c r="T3875" s="1"/>
      <c r="U3875" s="1"/>
      <c r="V3875" s="1"/>
      <c r="W3875" s="1"/>
      <c r="X3875" s="1"/>
      <c r="Y3875" s="1"/>
      <c r="Z3875" s="1"/>
      <c r="AA3875" s="1"/>
      <c r="AB3875" s="1"/>
      <c r="AC3875" s="1"/>
      <c r="AD3875" s="1"/>
      <c r="AE3875" s="1"/>
      <c r="AF3875" s="1"/>
      <c r="AG3875" s="1"/>
      <c r="AH3875" s="1"/>
    </row>
    <row r="3876" ht="12.75" hidden="1" customHeight="1" outlineLevel="1">
      <c r="A3876" s="17">
        <v>41680.0</v>
      </c>
      <c r="B3876" s="1"/>
      <c r="C3876" s="1" t="s">
        <v>339</v>
      </c>
      <c r="D3876" s="74"/>
      <c r="E3876" s="67"/>
      <c r="F3876" s="75"/>
      <c r="G3876" s="67"/>
      <c r="H3876" s="68"/>
      <c r="I3876" s="76"/>
      <c r="J3876" s="67"/>
      <c r="K3876" s="7" t="s">
        <v>1673</v>
      </c>
      <c r="L3876" s="77"/>
      <c r="M3876" s="79"/>
      <c r="N3876" s="1"/>
      <c r="O3876" s="1"/>
      <c r="P3876" s="1"/>
      <c r="Q3876" s="1"/>
      <c r="R3876" s="1"/>
      <c r="S3876" s="1"/>
      <c r="T3876" s="1"/>
      <c r="U3876" s="1"/>
      <c r="V3876" s="1"/>
      <c r="W3876" s="1"/>
      <c r="X3876" s="1"/>
      <c r="Y3876" s="1"/>
      <c r="Z3876" s="1"/>
      <c r="AA3876" s="1"/>
      <c r="AB3876" s="1"/>
      <c r="AC3876" s="1"/>
      <c r="AD3876" s="1"/>
      <c r="AE3876" s="1"/>
      <c r="AF3876" s="1"/>
      <c r="AG3876" s="1"/>
      <c r="AH3876" s="1"/>
    </row>
    <row r="3877" ht="12.75" hidden="1" customHeight="1" outlineLevel="1">
      <c r="A3877" s="17">
        <v>41680.0</v>
      </c>
      <c r="B3877" s="1"/>
      <c r="C3877" s="1" t="s">
        <v>429</v>
      </c>
      <c r="D3877" s="74"/>
      <c r="E3877" s="67"/>
      <c r="F3877" s="75"/>
      <c r="G3877" s="67"/>
      <c r="H3877" s="68"/>
      <c r="I3877" s="76"/>
      <c r="J3877" s="67"/>
      <c r="K3877" s="7" t="s">
        <v>1553</v>
      </c>
      <c r="L3877" s="77"/>
      <c r="M3877" s="79"/>
      <c r="N3877" s="1"/>
      <c r="O3877" s="1"/>
      <c r="P3877" s="1"/>
      <c r="Q3877" s="1"/>
      <c r="R3877" s="1"/>
      <c r="S3877" s="1"/>
      <c r="T3877" s="1"/>
      <c r="U3877" s="1"/>
      <c r="V3877" s="1"/>
      <c r="W3877" s="1"/>
      <c r="X3877" s="1"/>
      <c r="Y3877" s="1"/>
      <c r="Z3877" s="1"/>
      <c r="AA3877" s="1"/>
      <c r="AB3877" s="1"/>
      <c r="AC3877" s="1"/>
      <c r="AD3877" s="1"/>
      <c r="AE3877" s="1"/>
      <c r="AF3877" s="1"/>
      <c r="AG3877" s="1"/>
      <c r="AH3877" s="1"/>
    </row>
    <row r="3878" ht="12.75" hidden="1" customHeight="1" outlineLevel="1">
      <c r="A3878" s="17">
        <v>41680.0</v>
      </c>
      <c r="B3878" s="1"/>
      <c r="C3878" s="1" t="s">
        <v>431</v>
      </c>
      <c r="D3878" s="74"/>
      <c r="E3878" s="67"/>
      <c r="F3878" s="75"/>
      <c r="G3878" s="67"/>
      <c r="H3878" s="68"/>
      <c r="I3878" s="76"/>
      <c r="J3878" s="67"/>
      <c r="K3878" s="7" t="s">
        <v>1126</v>
      </c>
      <c r="L3878" s="77"/>
      <c r="M3878" s="79"/>
      <c r="N3878" s="1"/>
      <c r="O3878" s="1"/>
      <c r="P3878" s="1"/>
      <c r="Q3878" s="1"/>
      <c r="R3878" s="1"/>
      <c r="S3878" s="1"/>
      <c r="T3878" s="1"/>
      <c r="U3878" s="1"/>
      <c r="V3878" s="1"/>
      <c r="W3878" s="1"/>
      <c r="X3878" s="1"/>
      <c r="Y3878" s="1"/>
      <c r="Z3878" s="1"/>
      <c r="AA3878" s="1"/>
      <c r="AB3878" s="1"/>
      <c r="AC3878" s="1"/>
      <c r="AD3878" s="1"/>
      <c r="AE3878" s="1"/>
      <c r="AF3878" s="1"/>
      <c r="AG3878" s="1"/>
      <c r="AH3878" s="1"/>
    </row>
    <row r="3879" ht="12.75" hidden="1" customHeight="1" outlineLevel="1">
      <c r="A3879" s="17">
        <v>41680.0</v>
      </c>
      <c r="B3879" s="1"/>
      <c r="C3879" s="1" t="s">
        <v>433</v>
      </c>
      <c r="D3879" s="74"/>
      <c r="E3879" s="67"/>
      <c r="F3879" s="75"/>
      <c r="G3879" s="67"/>
      <c r="H3879" s="68"/>
      <c r="I3879" s="76"/>
      <c r="J3879" s="67"/>
      <c r="K3879" s="7" t="s">
        <v>1103</v>
      </c>
      <c r="L3879" s="77"/>
      <c r="M3879" s="79"/>
      <c r="N3879" s="1"/>
      <c r="O3879" s="1"/>
      <c r="P3879" s="1"/>
      <c r="Q3879" s="1"/>
      <c r="R3879" s="1"/>
      <c r="S3879" s="1"/>
      <c r="T3879" s="1"/>
      <c r="U3879" s="1"/>
      <c r="V3879" s="1"/>
      <c r="W3879" s="1"/>
      <c r="X3879" s="1"/>
      <c r="Y3879" s="1"/>
      <c r="Z3879" s="1"/>
      <c r="AA3879" s="1"/>
      <c r="AB3879" s="1"/>
      <c r="AC3879" s="1"/>
      <c r="AD3879" s="1"/>
      <c r="AE3879" s="1"/>
      <c r="AF3879" s="1"/>
      <c r="AG3879" s="1"/>
      <c r="AH3879" s="1"/>
    </row>
    <row r="3880" ht="12.75" hidden="1" customHeight="1" outlineLevel="1">
      <c r="A3880" s="17">
        <v>41680.0</v>
      </c>
      <c r="B3880" s="1"/>
      <c r="C3880" s="1" t="s">
        <v>435</v>
      </c>
      <c r="D3880" s="74"/>
      <c r="E3880" s="67"/>
      <c r="F3880" s="75"/>
      <c r="G3880" s="67"/>
      <c r="H3880" s="68"/>
      <c r="I3880" s="76"/>
      <c r="J3880" s="67"/>
      <c r="K3880" s="7" t="s">
        <v>1507</v>
      </c>
      <c r="L3880" s="77"/>
      <c r="M3880" s="79"/>
      <c r="N3880" s="1"/>
      <c r="O3880" s="1"/>
      <c r="P3880" s="1"/>
      <c r="Q3880" s="1"/>
      <c r="R3880" s="1"/>
      <c r="S3880" s="1"/>
      <c r="T3880" s="1"/>
      <c r="U3880" s="1"/>
      <c r="V3880" s="1"/>
      <c r="W3880" s="1"/>
      <c r="X3880" s="1"/>
      <c r="Y3880" s="1"/>
      <c r="Z3880" s="1"/>
      <c r="AA3880" s="1"/>
      <c r="AB3880" s="1"/>
      <c r="AC3880" s="1"/>
      <c r="AD3880" s="1"/>
      <c r="AE3880" s="1"/>
      <c r="AF3880" s="1"/>
      <c r="AG3880" s="1"/>
      <c r="AH3880" s="1"/>
    </row>
    <row r="3881" ht="12.75" hidden="1" customHeight="1" outlineLevel="1">
      <c r="A3881" s="17">
        <v>41681.0</v>
      </c>
      <c r="B3881" s="1" t="s">
        <v>343</v>
      </c>
      <c r="C3881" s="1" t="s">
        <v>784</v>
      </c>
      <c r="D3881" s="74">
        <v>2200.0</v>
      </c>
      <c r="E3881" s="67">
        <v>14.36</v>
      </c>
      <c r="F3881" s="75">
        <v>0.5626736111111111</v>
      </c>
      <c r="G3881" s="67" t="s">
        <v>453</v>
      </c>
      <c r="H3881" s="68">
        <v>9.2</v>
      </c>
      <c r="I3881" s="76"/>
      <c r="J3881" s="67">
        <f t="shared" ref="J3881:J3889" si="249">IF(B3881="SLD",D3881*E3881,-D3881*E3881)-H3881</f>
        <v>-31601.2</v>
      </c>
      <c r="K3881" s="7"/>
      <c r="L3881" s="70"/>
      <c r="M3881" s="79"/>
      <c r="N3881" s="1"/>
      <c r="O3881" s="1"/>
      <c r="P3881" s="1"/>
      <c r="Q3881" s="1"/>
      <c r="R3881" s="1"/>
      <c r="S3881" s="1"/>
      <c r="T3881" s="1"/>
      <c r="U3881" s="1"/>
      <c r="V3881" s="1"/>
      <c r="W3881" s="1"/>
      <c r="X3881" s="1"/>
      <c r="Y3881" s="1"/>
      <c r="Z3881" s="1"/>
      <c r="AA3881" s="1"/>
      <c r="AB3881" s="1"/>
      <c r="AC3881" s="1"/>
      <c r="AD3881" s="1"/>
      <c r="AE3881" s="1"/>
      <c r="AF3881" s="1"/>
      <c r="AG3881" s="1"/>
      <c r="AH3881" s="1"/>
    </row>
    <row r="3882" ht="12.75" hidden="1" customHeight="1" outlineLevel="1">
      <c r="A3882" s="17">
        <v>41681.0</v>
      </c>
      <c r="B3882" s="1" t="s">
        <v>343</v>
      </c>
      <c r="C3882" s="1" t="s">
        <v>369</v>
      </c>
      <c r="D3882" s="74">
        <v>1250.0</v>
      </c>
      <c r="E3882" s="67">
        <v>21.31</v>
      </c>
      <c r="F3882" s="75">
        <v>0.5628935185185185</v>
      </c>
      <c r="G3882" s="67" t="s">
        <v>453</v>
      </c>
      <c r="H3882" s="68">
        <v>5.0</v>
      </c>
      <c r="I3882" s="76"/>
      <c r="J3882" s="67">
        <f t="shared" si="249"/>
        <v>-26642.5</v>
      </c>
      <c r="K3882" s="7"/>
      <c r="L3882" s="70"/>
      <c r="M3882" s="79"/>
      <c r="N3882" s="1"/>
      <c r="O3882" s="1"/>
      <c r="P3882" s="1"/>
      <c r="Q3882" s="1"/>
      <c r="R3882" s="1"/>
      <c r="S3882" s="1"/>
      <c r="T3882" s="1"/>
      <c r="U3882" s="1"/>
      <c r="V3882" s="1"/>
      <c r="W3882" s="1"/>
      <c r="X3882" s="1"/>
      <c r="Y3882" s="1"/>
      <c r="Z3882" s="1"/>
      <c r="AA3882" s="1"/>
      <c r="AB3882" s="1"/>
      <c r="AC3882" s="1"/>
      <c r="AD3882" s="1"/>
      <c r="AE3882" s="1"/>
      <c r="AF3882" s="1"/>
      <c r="AG3882" s="1"/>
      <c r="AH3882" s="1"/>
    </row>
    <row r="3883" ht="12.75" hidden="1" customHeight="1" outlineLevel="1">
      <c r="A3883" s="17">
        <v>41681.0</v>
      </c>
      <c r="B3883" s="1" t="s">
        <v>343</v>
      </c>
      <c r="C3883" s="1" t="s">
        <v>355</v>
      </c>
      <c r="D3883" s="74">
        <v>2250.0</v>
      </c>
      <c r="E3883" s="67">
        <v>11.096</v>
      </c>
      <c r="F3883" s="75">
        <v>0.5631597222222222</v>
      </c>
      <c r="G3883" s="67" t="s">
        <v>453</v>
      </c>
      <c r="H3883" s="68">
        <v>11.05</v>
      </c>
      <c r="I3883" s="76"/>
      <c r="J3883" s="67">
        <f t="shared" si="249"/>
        <v>-24977.05</v>
      </c>
      <c r="K3883" s="7"/>
      <c r="L3883" s="70"/>
      <c r="M3883" s="79"/>
      <c r="N3883" s="1"/>
      <c r="O3883" s="1"/>
      <c r="P3883" s="1"/>
      <c r="Q3883" s="1"/>
      <c r="R3883" s="1"/>
      <c r="S3883" s="1"/>
      <c r="T3883" s="1"/>
      <c r="U3883" s="1"/>
      <c r="V3883" s="1"/>
      <c r="W3883" s="1"/>
      <c r="X3883" s="1"/>
      <c r="Y3883" s="1"/>
      <c r="Z3883" s="1"/>
      <c r="AA3883" s="1"/>
      <c r="AB3883" s="1"/>
      <c r="AC3883" s="1"/>
      <c r="AD3883" s="1"/>
      <c r="AE3883" s="1"/>
      <c r="AF3883" s="1"/>
      <c r="AG3883" s="1"/>
      <c r="AH3883" s="1"/>
    </row>
    <row r="3884" ht="12.75" hidden="1" customHeight="1" outlineLevel="1">
      <c r="A3884" s="17">
        <v>41681.0</v>
      </c>
      <c r="B3884" s="1" t="s">
        <v>343</v>
      </c>
      <c r="C3884" s="1" t="s">
        <v>790</v>
      </c>
      <c r="D3884" s="74">
        <v>2000.0</v>
      </c>
      <c r="E3884" s="67">
        <v>11.67</v>
      </c>
      <c r="F3884" s="75">
        <v>0.5632754629629629</v>
      </c>
      <c r="G3884" s="67" t="s">
        <v>453</v>
      </c>
      <c r="H3884" s="68">
        <v>8.0</v>
      </c>
      <c r="I3884" s="76"/>
      <c r="J3884" s="67">
        <f t="shared" si="249"/>
        <v>-23348</v>
      </c>
      <c r="K3884" s="7"/>
      <c r="L3884" s="70"/>
      <c r="M3884" s="79"/>
      <c r="N3884" s="1"/>
      <c r="O3884" s="1"/>
      <c r="P3884" s="1"/>
      <c r="Q3884" s="1"/>
      <c r="R3884" s="1"/>
      <c r="S3884" s="1"/>
      <c r="T3884" s="1"/>
      <c r="U3884" s="1"/>
      <c r="V3884" s="1"/>
      <c r="W3884" s="1"/>
      <c r="X3884" s="1"/>
      <c r="Y3884" s="1"/>
      <c r="Z3884" s="1"/>
      <c r="AA3884" s="1"/>
      <c r="AB3884" s="1"/>
      <c r="AC3884" s="1"/>
      <c r="AD3884" s="1"/>
      <c r="AE3884" s="1"/>
      <c r="AF3884" s="1"/>
      <c r="AG3884" s="1"/>
      <c r="AH3884" s="1"/>
    </row>
    <row r="3885" ht="12.75" hidden="1" customHeight="1" outlineLevel="1">
      <c r="A3885" s="17">
        <v>41681.0</v>
      </c>
      <c r="B3885" s="1" t="s">
        <v>347</v>
      </c>
      <c r="C3885" s="1" t="s">
        <v>1370</v>
      </c>
      <c r="D3885" s="74">
        <v>400.0</v>
      </c>
      <c r="E3885" s="67">
        <v>61.98</v>
      </c>
      <c r="F3885" s="75">
        <v>0.5762384259259259</v>
      </c>
      <c r="G3885" s="67" t="s">
        <v>453</v>
      </c>
      <c r="H3885" s="68">
        <v>3.42</v>
      </c>
      <c r="I3885" s="76"/>
      <c r="J3885" s="67">
        <f t="shared" si="249"/>
        <v>24788.58</v>
      </c>
      <c r="K3885" s="7"/>
      <c r="L3885" s="70"/>
      <c r="M3885" s="79"/>
      <c r="N3885" s="1"/>
      <c r="O3885" s="1"/>
      <c r="P3885" s="1"/>
      <c r="Q3885" s="1"/>
      <c r="R3885" s="1"/>
      <c r="S3885" s="1"/>
      <c r="T3885" s="1"/>
      <c r="U3885" s="1"/>
      <c r="V3885" s="1"/>
      <c r="W3885" s="1"/>
      <c r="X3885" s="1"/>
      <c r="Y3885" s="1"/>
      <c r="Z3885" s="1"/>
      <c r="AA3885" s="1"/>
      <c r="AB3885" s="1"/>
      <c r="AC3885" s="1"/>
      <c r="AD3885" s="1"/>
      <c r="AE3885" s="1"/>
      <c r="AF3885" s="1"/>
      <c r="AG3885" s="1"/>
      <c r="AH3885" s="1"/>
    </row>
    <row r="3886" ht="12.75" hidden="1" customHeight="1" outlineLevel="1">
      <c r="A3886" s="17">
        <v>41681.0</v>
      </c>
      <c r="B3886" s="1" t="s">
        <v>347</v>
      </c>
      <c r="C3886" s="1" t="s">
        <v>1371</v>
      </c>
      <c r="D3886" s="74">
        <v>800.0</v>
      </c>
      <c r="E3886" s="67">
        <v>39.65</v>
      </c>
      <c r="F3886" s="75">
        <v>0.5832291666666667</v>
      </c>
      <c r="G3886" s="67" t="s">
        <v>453</v>
      </c>
      <c r="H3886" s="68">
        <v>3.75</v>
      </c>
      <c r="I3886" s="76"/>
      <c r="J3886" s="67">
        <f t="shared" si="249"/>
        <v>31716.25</v>
      </c>
      <c r="K3886" s="7"/>
      <c r="L3886" s="70"/>
      <c r="M3886" s="79"/>
      <c r="N3886" s="1"/>
      <c r="O3886" s="1"/>
      <c r="P3886" s="1"/>
      <c r="Q3886" s="1"/>
      <c r="R3886" s="1"/>
      <c r="S3886" s="1"/>
      <c r="T3886" s="1"/>
      <c r="U3886" s="1"/>
      <c r="V3886" s="1"/>
      <c r="W3886" s="1"/>
      <c r="X3886" s="1"/>
      <c r="Y3886" s="1"/>
      <c r="Z3886" s="1"/>
      <c r="AA3886" s="1"/>
      <c r="AB3886" s="1"/>
      <c r="AC3886" s="1"/>
      <c r="AD3886" s="1"/>
      <c r="AE3886" s="1"/>
      <c r="AF3886" s="1"/>
      <c r="AG3886" s="1"/>
      <c r="AH3886" s="1"/>
    </row>
    <row r="3887" ht="12.75" hidden="1" customHeight="1" outlineLevel="1">
      <c r="A3887" s="17">
        <v>41681.0</v>
      </c>
      <c r="B3887" s="1" t="s">
        <v>347</v>
      </c>
      <c r="C3887" s="1" t="s">
        <v>354</v>
      </c>
      <c r="D3887" s="74">
        <v>400.0</v>
      </c>
      <c r="E3887" s="67">
        <v>120.9</v>
      </c>
      <c r="F3887" s="75">
        <v>0.5834722222222223</v>
      </c>
      <c r="G3887" s="67" t="s">
        <v>453</v>
      </c>
      <c r="H3887" s="68">
        <v>2.44</v>
      </c>
      <c r="I3887" s="76"/>
      <c r="J3887" s="67">
        <f t="shared" si="249"/>
        <v>48357.56</v>
      </c>
      <c r="K3887" s="7"/>
      <c r="L3887" s="70"/>
      <c r="M3887" s="79"/>
      <c r="N3887" s="1"/>
      <c r="O3887" s="1"/>
      <c r="P3887" s="1"/>
      <c r="Q3887" s="1"/>
      <c r="R3887" s="1"/>
      <c r="S3887" s="1"/>
      <c r="T3887" s="1"/>
      <c r="U3887" s="1"/>
      <c r="V3887" s="1"/>
      <c r="W3887" s="1"/>
      <c r="X3887" s="1"/>
      <c r="Y3887" s="1"/>
      <c r="Z3887" s="1"/>
      <c r="AA3887" s="1"/>
      <c r="AB3887" s="1"/>
      <c r="AC3887" s="1"/>
      <c r="AD3887" s="1"/>
      <c r="AE3887" s="1"/>
      <c r="AF3887" s="1"/>
      <c r="AG3887" s="1"/>
      <c r="AH3887" s="1"/>
    </row>
    <row r="3888" ht="12.75" hidden="1" customHeight="1" outlineLevel="1">
      <c r="A3888" s="17">
        <v>41681.0</v>
      </c>
      <c r="B3888" s="1" t="s">
        <v>347</v>
      </c>
      <c r="C3888" s="1" t="s">
        <v>1158</v>
      </c>
      <c r="D3888" s="74">
        <v>700.0</v>
      </c>
      <c r="E3888" s="67">
        <v>31.3</v>
      </c>
      <c r="F3888" s="75">
        <v>0.6349884259259259</v>
      </c>
      <c r="G3888" s="67" t="s">
        <v>453</v>
      </c>
      <c r="H3888" s="68">
        <v>3.28</v>
      </c>
      <c r="I3888" s="76"/>
      <c r="J3888" s="67">
        <f t="shared" si="249"/>
        <v>21906.72</v>
      </c>
      <c r="K3888" s="7"/>
      <c r="L3888" s="70"/>
      <c r="M3888" s="79"/>
      <c r="N3888" s="1"/>
      <c r="O3888" s="1"/>
      <c r="P3888" s="1"/>
      <c r="Q3888" s="1"/>
      <c r="R3888" s="1"/>
      <c r="S3888" s="1"/>
      <c r="T3888" s="1"/>
      <c r="U3888" s="1"/>
      <c r="V3888" s="1"/>
      <c r="W3888" s="1"/>
      <c r="X3888" s="1"/>
      <c r="Y3888" s="1"/>
      <c r="Z3888" s="1"/>
      <c r="AA3888" s="1"/>
      <c r="AB3888" s="1"/>
      <c r="AC3888" s="1"/>
      <c r="AD3888" s="1"/>
      <c r="AE3888" s="1"/>
      <c r="AF3888" s="1"/>
      <c r="AG3888" s="1"/>
      <c r="AH3888" s="1"/>
    </row>
    <row r="3889" ht="12.75" hidden="1" customHeight="1" outlineLevel="1">
      <c r="A3889" s="17">
        <v>41681.0</v>
      </c>
      <c r="B3889" s="1" t="s">
        <v>347</v>
      </c>
      <c r="C3889" s="1" t="s">
        <v>1369</v>
      </c>
      <c r="D3889" s="74">
        <v>1500.0</v>
      </c>
      <c r="E3889" s="67">
        <v>15.77</v>
      </c>
      <c r="F3889" s="75">
        <v>0.6351620370370371</v>
      </c>
      <c r="G3889" s="67" t="s">
        <v>453</v>
      </c>
      <c r="H3889" s="68">
        <v>7.01</v>
      </c>
      <c r="I3889" s="76"/>
      <c r="J3889" s="67">
        <f t="shared" si="249"/>
        <v>23647.99</v>
      </c>
      <c r="K3889" s="7"/>
      <c r="L3889" s="70"/>
      <c r="M3889" s="79"/>
      <c r="N3889" s="1"/>
      <c r="O3889" s="1"/>
      <c r="P3889" s="1"/>
      <c r="Q3889" s="1"/>
      <c r="R3889" s="1"/>
      <c r="S3889" s="1"/>
      <c r="T3889" s="1"/>
      <c r="U3889" s="1"/>
      <c r="V3889" s="1"/>
      <c r="W3889" s="1"/>
      <c r="X3889" s="1"/>
      <c r="Y3889" s="1"/>
      <c r="Z3889" s="1"/>
      <c r="AA3889" s="1"/>
      <c r="AB3889" s="1"/>
      <c r="AC3889" s="1"/>
      <c r="AD3889" s="1"/>
      <c r="AE3889" s="1"/>
      <c r="AF3889" s="1"/>
      <c r="AG3889" s="1"/>
      <c r="AH3889" s="1"/>
    </row>
    <row r="3890" ht="12.75" hidden="1" customHeight="1" outlineLevel="1">
      <c r="A3890" s="17">
        <v>41681.0</v>
      </c>
      <c r="B3890" s="1"/>
      <c r="C3890" s="1" t="s">
        <v>339</v>
      </c>
      <c r="D3890" s="74"/>
      <c r="E3890" s="67"/>
      <c r="F3890" s="75"/>
      <c r="G3890" s="67"/>
      <c r="H3890" s="68"/>
      <c r="I3890" s="76"/>
      <c r="J3890" s="67"/>
      <c r="K3890" s="7" t="s">
        <v>1680</v>
      </c>
      <c r="L3890" s="77"/>
      <c r="M3890" s="79"/>
      <c r="N3890" s="1"/>
      <c r="O3890" s="1"/>
      <c r="P3890" s="1"/>
      <c r="Q3890" s="1"/>
      <c r="R3890" s="1"/>
      <c r="S3890" s="1"/>
      <c r="T3890" s="1"/>
      <c r="U3890" s="1"/>
      <c r="V3890" s="1"/>
      <c r="W3890" s="1"/>
      <c r="X3890" s="1"/>
      <c r="Y3890" s="1"/>
      <c r="Z3890" s="1"/>
      <c r="AA3890" s="1"/>
      <c r="AB3890" s="1"/>
      <c r="AC3890" s="1"/>
      <c r="AD3890" s="1"/>
      <c r="AE3890" s="1"/>
      <c r="AF3890" s="1"/>
      <c r="AG3890" s="1"/>
      <c r="AH3890" s="1"/>
    </row>
    <row r="3891" ht="12.75" hidden="1" customHeight="1" outlineLevel="1">
      <c r="A3891" s="17">
        <v>41681.0</v>
      </c>
      <c r="B3891" s="1"/>
      <c r="C3891" s="1" t="s">
        <v>429</v>
      </c>
      <c r="D3891" s="74"/>
      <c r="E3891" s="67"/>
      <c r="F3891" s="75"/>
      <c r="G3891" s="67"/>
      <c r="H3891" s="68"/>
      <c r="I3891" s="76"/>
      <c r="J3891" s="67"/>
      <c r="K3891" s="7" t="s">
        <v>1553</v>
      </c>
      <c r="L3891" s="77"/>
      <c r="M3891" s="79"/>
      <c r="N3891" s="1"/>
      <c r="O3891" s="1"/>
      <c r="P3891" s="1"/>
      <c r="Q3891" s="1"/>
      <c r="R3891" s="1"/>
      <c r="S3891" s="1"/>
      <c r="T3891" s="1"/>
      <c r="U3891" s="1"/>
      <c r="V3891" s="1"/>
      <c r="W3891" s="1"/>
      <c r="X3891" s="1"/>
      <c r="Y3891" s="1"/>
      <c r="Z3891" s="1"/>
      <c r="AA3891" s="1"/>
      <c r="AB3891" s="1"/>
      <c r="AC3891" s="1"/>
      <c r="AD3891" s="1"/>
      <c r="AE3891" s="1"/>
      <c r="AF3891" s="1"/>
      <c r="AG3891" s="1"/>
      <c r="AH3891" s="1"/>
    </row>
    <row r="3892" ht="12.75" hidden="1" customHeight="1" outlineLevel="1">
      <c r="A3892" s="17">
        <v>41681.0</v>
      </c>
      <c r="B3892" s="1"/>
      <c r="C3892" s="1" t="s">
        <v>431</v>
      </c>
      <c r="D3892" s="74"/>
      <c r="E3892" s="67"/>
      <c r="F3892" s="75"/>
      <c r="G3892" s="67"/>
      <c r="H3892" s="68"/>
      <c r="I3892" s="76"/>
      <c r="J3892" s="67"/>
      <c r="K3892" s="7" t="s">
        <v>1126</v>
      </c>
      <c r="L3892" s="77"/>
      <c r="M3892" s="79"/>
      <c r="N3892" s="1"/>
      <c r="O3892" s="1"/>
      <c r="P3892" s="1"/>
      <c r="Q3892" s="1"/>
      <c r="R3892" s="1"/>
      <c r="S3892" s="1"/>
      <c r="T3892" s="1"/>
      <c r="U3892" s="1"/>
      <c r="V3892" s="1"/>
      <c r="W3892" s="1"/>
      <c r="X3892" s="1"/>
      <c r="Y3892" s="1"/>
      <c r="Z3892" s="1"/>
      <c r="AA3892" s="1"/>
      <c r="AB3892" s="1"/>
      <c r="AC3892" s="1"/>
      <c r="AD3892" s="1"/>
      <c r="AE3892" s="1"/>
      <c r="AF3892" s="1"/>
      <c r="AG3892" s="1"/>
      <c r="AH3892" s="1"/>
    </row>
    <row r="3893" ht="12.75" hidden="1" customHeight="1" outlineLevel="1">
      <c r="A3893" s="17">
        <v>41681.0</v>
      </c>
      <c r="B3893" s="1"/>
      <c r="C3893" s="1" t="s">
        <v>433</v>
      </c>
      <c r="D3893" s="74"/>
      <c r="E3893" s="67"/>
      <c r="F3893" s="75"/>
      <c r="G3893" s="67"/>
      <c r="H3893" s="68"/>
      <c r="I3893" s="76"/>
      <c r="J3893" s="67"/>
      <c r="K3893" s="7" t="s">
        <v>1103</v>
      </c>
      <c r="L3893" s="77"/>
      <c r="M3893" s="79"/>
      <c r="N3893" s="1"/>
      <c r="O3893" s="1"/>
      <c r="P3893" s="1"/>
      <c r="Q3893" s="1"/>
      <c r="R3893" s="1"/>
      <c r="S3893" s="1"/>
      <c r="T3893" s="1"/>
      <c r="U3893" s="1"/>
      <c r="V3893" s="1"/>
      <c r="W3893" s="1"/>
      <c r="X3893" s="1"/>
      <c r="Y3893" s="1"/>
      <c r="Z3893" s="1"/>
      <c r="AA3893" s="1"/>
      <c r="AB3893" s="1"/>
      <c r="AC3893" s="1"/>
      <c r="AD3893" s="1"/>
      <c r="AE3893" s="1"/>
      <c r="AF3893" s="1"/>
      <c r="AG3893" s="1"/>
      <c r="AH3893" s="1"/>
    </row>
    <row r="3894" ht="12.75" hidden="1" customHeight="1" outlineLevel="1">
      <c r="A3894" s="17">
        <v>41681.0</v>
      </c>
      <c r="B3894" s="1"/>
      <c r="C3894" s="1" t="s">
        <v>435</v>
      </c>
      <c r="D3894" s="74"/>
      <c r="E3894" s="67"/>
      <c r="F3894" s="75"/>
      <c r="G3894" s="67"/>
      <c r="H3894" s="68"/>
      <c r="I3894" s="76"/>
      <c r="J3894" s="67"/>
      <c r="K3894" s="7" t="s">
        <v>1507</v>
      </c>
      <c r="L3894" s="77"/>
      <c r="M3894" s="79"/>
      <c r="N3894" s="1"/>
      <c r="O3894" s="1"/>
      <c r="P3894" s="1"/>
      <c r="Q3894" s="1"/>
      <c r="R3894" s="1"/>
      <c r="S3894" s="1"/>
      <c r="T3894" s="1"/>
      <c r="U3894" s="1"/>
      <c r="V3894" s="1"/>
      <c r="W3894" s="1"/>
      <c r="X3894" s="1"/>
      <c r="Y3894" s="1"/>
      <c r="Z3894" s="1"/>
      <c r="AA3894" s="1"/>
      <c r="AB3894" s="1"/>
      <c r="AC3894" s="1"/>
      <c r="AD3894" s="1"/>
      <c r="AE3894" s="1"/>
      <c r="AF3894" s="1"/>
      <c r="AG3894" s="1"/>
      <c r="AH3894" s="1"/>
    </row>
    <row r="3895" ht="12.75" hidden="1" customHeight="1" outlineLevel="1">
      <c r="A3895" s="17">
        <v>41682.0</v>
      </c>
      <c r="B3895" s="1"/>
      <c r="C3895" s="1" t="s">
        <v>339</v>
      </c>
      <c r="D3895" s="74"/>
      <c r="E3895" s="67"/>
      <c r="F3895" s="75"/>
      <c r="G3895" s="67"/>
      <c r="H3895" s="68"/>
      <c r="I3895" s="76"/>
      <c r="J3895" s="67"/>
      <c r="K3895" s="7" t="s">
        <v>1682</v>
      </c>
      <c r="L3895" s="77"/>
      <c r="M3895" s="79"/>
      <c r="N3895" s="1"/>
      <c r="O3895" s="1"/>
      <c r="P3895" s="1"/>
      <c r="Q3895" s="1"/>
      <c r="R3895" s="1"/>
      <c r="S3895" s="1"/>
      <c r="T3895" s="1"/>
      <c r="U3895" s="1"/>
      <c r="V3895" s="1"/>
      <c r="W3895" s="1"/>
      <c r="X3895" s="1"/>
      <c r="Y3895" s="1"/>
      <c r="Z3895" s="1"/>
      <c r="AA3895" s="1"/>
      <c r="AB3895" s="1"/>
      <c r="AC3895" s="1"/>
      <c r="AD3895" s="1"/>
      <c r="AE3895" s="1"/>
      <c r="AF3895" s="1"/>
      <c r="AG3895" s="1"/>
      <c r="AH3895" s="1"/>
    </row>
    <row r="3896" ht="12.75" hidden="1" customHeight="1" outlineLevel="1">
      <c r="A3896" s="17">
        <v>41682.0</v>
      </c>
      <c r="B3896" s="1"/>
      <c r="C3896" s="1" t="s">
        <v>429</v>
      </c>
      <c r="D3896" s="74"/>
      <c r="E3896" s="67"/>
      <c r="F3896" s="75"/>
      <c r="G3896" s="67"/>
      <c r="H3896" s="68"/>
      <c r="I3896" s="76"/>
      <c r="J3896" s="67"/>
      <c r="K3896" s="7" t="s">
        <v>1553</v>
      </c>
      <c r="L3896" s="77"/>
      <c r="M3896" s="79"/>
      <c r="N3896" s="1"/>
      <c r="O3896" s="1"/>
      <c r="P3896" s="1"/>
      <c r="Q3896" s="1"/>
      <c r="R3896" s="1"/>
      <c r="S3896" s="1"/>
      <c r="T3896" s="1"/>
      <c r="U3896" s="1"/>
      <c r="V3896" s="1"/>
      <c r="W3896" s="1"/>
      <c r="X3896" s="1"/>
      <c r="Y3896" s="1"/>
      <c r="Z3896" s="1"/>
      <c r="AA3896" s="1"/>
      <c r="AB3896" s="1"/>
      <c r="AC3896" s="1"/>
      <c r="AD3896" s="1"/>
      <c r="AE3896" s="1"/>
      <c r="AF3896" s="1"/>
      <c r="AG3896" s="1"/>
      <c r="AH3896" s="1"/>
    </row>
    <row r="3897" ht="12.75" hidden="1" customHeight="1" outlineLevel="1">
      <c r="A3897" s="17">
        <v>41682.0</v>
      </c>
      <c r="B3897" s="1"/>
      <c r="C3897" s="1" t="s">
        <v>431</v>
      </c>
      <c r="D3897" s="74"/>
      <c r="E3897" s="67"/>
      <c r="F3897" s="75"/>
      <c r="G3897" s="67"/>
      <c r="H3897" s="68"/>
      <c r="I3897" s="76"/>
      <c r="J3897" s="67"/>
      <c r="K3897" s="7" t="s">
        <v>1126</v>
      </c>
      <c r="L3897" s="77"/>
      <c r="M3897" s="79"/>
      <c r="N3897" s="1"/>
      <c r="O3897" s="1"/>
      <c r="P3897" s="1"/>
      <c r="Q3897" s="1"/>
      <c r="R3897" s="1"/>
      <c r="S3897" s="1"/>
      <c r="T3897" s="1"/>
      <c r="U3897" s="1"/>
      <c r="V3897" s="1"/>
      <c r="W3897" s="1"/>
      <c r="X3897" s="1"/>
      <c r="Y3897" s="1"/>
      <c r="Z3897" s="1"/>
      <c r="AA3897" s="1"/>
      <c r="AB3897" s="1"/>
      <c r="AC3897" s="1"/>
      <c r="AD3897" s="1"/>
      <c r="AE3897" s="1"/>
      <c r="AF3897" s="1"/>
      <c r="AG3897" s="1"/>
      <c r="AH3897" s="1"/>
    </row>
    <row r="3898" ht="12.75" hidden="1" customHeight="1" outlineLevel="1">
      <c r="A3898" s="17">
        <v>41682.0</v>
      </c>
      <c r="B3898" s="1"/>
      <c r="C3898" s="1" t="s">
        <v>433</v>
      </c>
      <c r="D3898" s="74"/>
      <c r="E3898" s="67"/>
      <c r="F3898" s="75"/>
      <c r="G3898" s="67"/>
      <c r="H3898" s="68"/>
      <c r="I3898" s="76"/>
      <c r="J3898" s="67"/>
      <c r="K3898" s="7" t="s">
        <v>1103</v>
      </c>
      <c r="L3898" s="77"/>
      <c r="M3898" s="79"/>
      <c r="N3898" s="1"/>
      <c r="O3898" s="1"/>
      <c r="P3898" s="1"/>
      <c r="Q3898" s="1"/>
      <c r="R3898" s="1"/>
      <c r="S3898" s="1"/>
      <c r="T3898" s="1"/>
      <c r="U3898" s="1"/>
      <c r="V3898" s="1"/>
      <c r="W3898" s="1"/>
      <c r="X3898" s="1"/>
      <c r="Y3898" s="1"/>
      <c r="Z3898" s="1"/>
      <c r="AA3898" s="1"/>
      <c r="AB3898" s="1"/>
      <c r="AC3898" s="1"/>
      <c r="AD3898" s="1"/>
      <c r="AE3898" s="1"/>
      <c r="AF3898" s="1"/>
      <c r="AG3898" s="1"/>
      <c r="AH3898" s="1"/>
    </row>
    <row r="3899" ht="12.75" hidden="1" customHeight="1" outlineLevel="1">
      <c r="A3899" s="17">
        <v>41682.0</v>
      </c>
      <c r="B3899" s="1"/>
      <c r="C3899" s="1" t="s">
        <v>435</v>
      </c>
      <c r="D3899" s="74"/>
      <c r="E3899" s="67"/>
      <c r="F3899" s="75"/>
      <c r="G3899" s="67"/>
      <c r="H3899" s="68"/>
      <c r="I3899" s="76"/>
      <c r="J3899" s="67"/>
      <c r="K3899" s="7" t="s">
        <v>1507</v>
      </c>
      <c r="L3899" s="77"/>
      <c r="M3899" s="79"/>
      <c r="N3899" s="1"/>
      <c r="O3899" s="1"/>
      <c r="P3899" s="1"/>
      <c r="Q3899" s="1"/>
      <c r="R3899" s="1"/>
      <c r="S3899" s="1"/>
      <c r="T3899" s="1"/>
      <c r="U3899" s="1"/>
      <c r="V3899" s="1"/>
      <c r="W3899" s="1"/>
      <c r="X3899" s="1"/>
      <c r="Y3899" s="1"/>
      <c r="Z3899" s="1"/>
      <c r="AA3899" s="1"/>
      <c r="AB3899" s="1"/>
      <c r="AC3899" s="1"/>
      <c r="AD3899" s="1"/>
      <c r="AE3899" s="1"/>
      <c r="AF3899" s="1"/>
      <c r="AG3899" s="1"/>
      <c r="AH3899" s="1"/>
    </row>
    <row r="3900" ht="12.75" hidden="1" customHeight="1" outlineLevel="1">
      <c r="A3900" s="17">
        <v>41682.0</v>
      </c>
      <c r="B3900" s="1" t="s">
        <v>343</v>
      </c>
      <c r="C3900" s="1" t="s">
        <v>354</v>
      </c>
      <c r="D3900" s="74">
        <v>400.0</v>
      </c>
      <c r="E3900" s="67">
        <v>118.252</v>
      </c>
      <c r="F3900" s="75">
        <v>0.6232407407407408</v>
      </c>
      <c r="G3900" s="67" t="s">
        <v>453</v>
      </c>
      <c r="H3900" s="68">
        <v>1.7</v>
      </c>
      <c r="I3900" s="76"/>
      <c r="J3900" s="67">
        <f t="shared" ref="J3900:J3906" si="250">IF(B3900="SLD",D3900*E3900,-D3900*E3900)-H3900</f>
        <v>-47302.5</v>
      </c>
      <c r="K3900" s="7"/>
      <c r="L3900" s="70"/>
      <c r="M3900" s="79"/>
      <c r="N3900" s="1"/>
      <c r="O3900" s="1"/>
      <c r="P3900" s="1"/>
      <c r="Q3900" s="1"/>
      <c r="R3900" s="1"/>
      <c r="S3900" s="1"/>
      <c r="T3900" s="1"/>
      <c r="U3900" s="1"/>
      <c r="V3900" s="1"/>
      <c r="W3900" s="1"/>
      <c r="X3900" s="1"/>
      <c r="Y3900" s="1"/>
      <c r="Z3900" s="1"/>
      <c r="AA3900" s="1"/>
      <c r="AB3900" s="1"/>
      <c r="AC3900" s="1"/>
      <c r="AD3900" s="1"/>
      <c r="AE3900" s="1"/>
      <c r="AF3900" s="1"/>
      <c r="AG3900" s="1"/>
      <c r="AH3900" s="1"/>
    </row>
    <row r="3901" ht="12.75" hidden="1" customHeight="1" outlineLevel="1">
      <c r="A3901" s="17">
        <v>41682.0</v>
      </c>
      <c r="B3901" s="1" t="s">
        <v>343</v>
      </c>
      <c r="C3901" s="1" t="s">
        <v>1371</v>
      </c>
      <c r="D3901" s="74">
        <v>800.0</v>
      </c>
      <c r="E3901" s="67">
        <v>39.82</v>
      </c>
      <c r="F3901" s="75">
        <v>0.6233333333333334</v>
      </c>
      <c r="G3901" s="67" t="s">
        <v>453</v>
      </c>
      <c r="H3901" s="68">
        <v>3.2</v>
      </c>
      <c r="I3901" s="76"/>
      <c r="J3901" s="67">
        <f t="shared" si="250"/>
        <v>-31859.2</v>
      </c>
      <c r="K3901" s="7"/>
      <c r="L3901" s="70"/>
      <c r="M3901" s="79"/>
      <c r="N3901" s="1"/>
      <c r="O3901" s="1"/>
      <c r="P3901" s="1"/>
      <c r="Q3901" s="1"/>
      <c r="R3901" s="1"/>
      <c r="S3901" s="1"/>
      <c r="T3901" s="1"/>
      <c r="U3901" s="1"/>
      <c r="V3901" s="1"/>
      <c r="W3901" s="1"/>
      <c r="X3901" s="1"/>
      <c r="Y3901" s="1"/>
      <c r="Z3901" s="1"/>
      <c r="AA3901" s="1"/>
      <c r="AB3901" s="1"/>
      <c r="AC3901" s="1"/>
      <c r="AD3901" s="1"/>
      <c r="AE3901" s="1"/>
      <c r="AF3901" s="1"/>
      <c r="AG3901" s="1"/>
      <c r="AH3901" s="1"/>
    </row>
    <row r="3902" ht="12.75" hidden="1" customHeight="1" outlineLevel="1">
      <c r="A3902" s="17">
        <v>41682.0</v>
      </c>
      <c r="B3902" s="1" t="s">
        <v>347</v>
      </c>
      <c r="C3902" s="1" t="s">
        <v>369</v>
      </c>
      <c r="D3902" s="74">
        <v>1250.0</v>
      </c>
      <c r="E3902" s="67">
        <v>21.9</v>
      </c>
      <c r="F3902" s="75">
        <v>0.6238657407407407</v>
      </c>
      <c r="G3902" s="67" t="s">
        <v>453</v>
      </c>
      <c r="H3902" s="68">
        <v>6.73</v>
      </c>
      <c r="I3902" s="76"/>
      <c r="J3902" s="67">
        <f t="shared" si="250"/>
        <v>27368.27</v>
      </c>
      <c r="K3902" s="7"/>
      <c r="L3902" s="70"/>
      <c r="M3902" s="79"/>
      <c r="N3902" s="1"/>
      <c r="O3902" s="1"/>
      <c r="P3902" s="1"/>
      <c r="Q3902" s="1"/>
      <c r="R3902" s="1"/>
      <c r="S3902" s="1"/>
      <c r="T3902" s="1"/>
      <c r="U3902" s="1"/>
      <c r="V3902" s="1"/>
      <c r="W3902" s="1"/>
      <c r="X3902" s="1"/>
      <c r="Y3902" s="1"/>
      <c r="Z3902" s="1"/>
      <c r="AA3902" s="1"/>
      <c r="AB3902" s="1"/>
      <c r="AC3902" s="1"/>
      <c r="AD3902" s="1"/>
      <c r="AE3902" s="1"/>
      <c r="AF3902" s="1"/>
      <c r="AG3902" s="1"/>
      <c r="AH3902" s="1"/>
    </row>
    <row r="3903" ht="12.75" hidden="1" customHeight="1" outlineLevel="1">
      <c r="A3903" s="17">
        <v>41682.0</v>
      </c>
      <c r="B3903" s="1" t="s">
        <v>347</v>
      </c>
      <c r="C3903" s="1" t="s">
        <v>790</v>
      </c>
      <c r="D3903" s="74">
        <v>2000.0</v>
      </c>
      <c r="E3903" s="67">
        <v>11.45</v>
      </c>
      <c r="F3903" s="75">
        <v>0.6240162037037037</v>
      </c>
      <c r="G3903" s="67" t="s">
        <v>453</v>
      </c>
      <c r="H3903" s="68">
        <v>8.4</v>
      </c>
      <c r="I3903" s="76"/>
      <c r="J3903" s="67">
        <f t="shared" si="250"/>
        <v>22891.6</v>
      </c>
      <c r="K3903" s="7"/>
      <c r="L3903" s="70"/>
      <c r="M3903" s="79"/>
      <c r="N3903" s="1"/>
      <c r="O3903" s="1"/>
      <c r="P3903" s="1"/>
      <c r="Q3903" s="1"/>
      <c r="R3903" s="1"/>
      <c r="S3903" s="1"/>
      <c r="T3903" s="1"/>
      <c r="U3903" s="1"/>
      <c r="V3903" s="1"/>
      <c r="W3903" s="1"/>
      <c r="X3903" s="1"/>
      <c r="Y3903" s="1"/>
      <c r="Z3903" s="1"/>
      <c r="AA3903" s="1"/>
      <c r="AB3903" s="1"/>
      <c r="AC3903" s="1"/>
      <c r="AD3903" s="1"/>
      <c r="AE3903" s="1"/>
      <c r="AF3903" s="1"/>
      <c r="AG3903" s="1"/>
      <c r="AH3903" s="1"/>
    </row>
    <row r="3904" ht="12.75" hidden="1" customHeight="1" outlineLevel="1">
      <c r="A3904" s="17">
        <v>41682.0</v>
      </c>
      <c r="B3904" s="1" t="s">
        <v>347</v>
      </c>
      <c r="C3904" s="1" t="s">
        <v>784</v>
      </c>
      <c r="D3904" s="74">
        <v>2200.0</v>
      </c>
      <c r="E3904" s="67">
        <v>14.17</v>
      </c>
      <c r="F3904" s="75">
        <v>0.6240972222222222</v>
      </c>
      <c r="G3904" s="67" t="s">
        <v>453</v>
      </c>
      <c r="H3904" s="68">
        <v>9.54</v>
      </c>
      <c r="I3904" s="76"/>
      <c r="J3904" s="67">
        <f t="shared" si="250"/>
        <v>31164.46</v>
      </c>
      <c r="K3904" s="7"/>
      <c r="L3904" s="70"/>
      <c r="M3904" s="79"/>
      <c r="N3904" s="1"/>
      <c r="O3904" s="1"/>
      <c r="P3904" s="1"/>
      <c r="Q3904" s="1"/>
      <c r="R3904" s="1"/>
      <c r="S3904" s="1"/>
      <c r="T3904" s="1"/>
      <c r="U3904" s="1"/>
      <c r="V3904" s="1"/>
      <c r="W3904" s="1"/>
      <c r="X3904" s="1"/>
      <c r="Y3904" s="1"/>
      <c r="Z3904" s="1"/>
      <c r="AA3904" s="1"/>
      <c r="AB3904" s="1"/>
      <c r="AC3904" s="1"/>
      <c r="AD3904" s="1"/>
      <c r="AE3904" s="1"/>
      <c r="AF3904" s="1"/>
      <c r="AG3904" s="1"/>
      <c r="AH3904" s="1"/>
    </row>
    <row r="3905" ht="12.75" hidden="1" customHeight="1" outlineLevel="1">
      <c r="A3905" s="17">
        <v>41682.0</v>
      </c>
      <c r="B3905" s="1" t="s">
        <v>347</v>
      </c>
      <c r="C3905" s="1" t="s">
        <v>355</v>
      </c>
      <c r="D3905" s="74">
        <v>2250.0</v>
      </c>
      <c r="E3905" s="67">
        <v>11.076</v>
      </c>
      <c r="F3905" s="75">
        <v>0.6241666666666666</v>
      </c>
      <c r="G3905" s="67" t="s">
        <v>453</v>
      </c>
      <c r="H3905" s="68">
        <v>9.88</v>
      </c>
      <c r="I3905" s="76"/>
      <c r="J3905" s="67">
        <f t="shared" si="250"/>
        <v>24911.12</v>
      </c>
      <c r="K3905" s="7"/>
      <c r="L3905" s="70"/>
      <c r="M3905" s="79"/>
      <c r="N3905" s="1"/>
      <c r="O3905" s="1"/>
      <c r="P3905" s="1"/>
      <c r="Q3905" s="1"/>
      <c r="R3905" s="1"/>
      <c r="S3905" s="1"/>
      <c r="T3905" s="1"/>
      <c r="U3905" s="1"/>
      <c r="V3905" s="1"/>
      <c r="W3905" s="1"/>
      <c r="X3905" s="1"/>
      <c r="Y3905" s="1"/>
      <c r="Z3905" s="1"/>
      <c r="AA3905" s="1"/>
      <c r="AB3905" s="1"/>
      <c r="AC3905" s="1"/>
      <c r="AD3905" s="1"/>
      <c r="AE3905" s="1"/>
      <c r="AF3905" s="1"/>
      <c r="AG3905" s="1"/>
      <c r="AH3905" s="1"/>
    </row>
    <row r="3906" ht="12.75" hidden="1" customHeight="1" outlineLevel="1">
      <c r="A3906" s="17">
        <v>41682.0</v>
      </c>
      <c r="B3906" s="1" t="s">
        <v>347</v>
      </c>
      <c r="C3906" s="1" t="s">
        <v>1044</v>
      </c>
      <c r="D3906" s="74">
        <v>1200.0</v>
      </c>
      <c r="E3906" s="67">
        <v>24.91</v>
      </c>
      <c r="F3906" s="75">
        <v>0.6242592592592593</v>
      </c>
      <c r="G3906" s="67" t="s">
        <v>453</v>
      </c>
      <c r="H3906" s="68">
        <v>5.32</v>
      </c>
      <c r="I3906" s="76"/>
      <c r="J3906" s="67">
        <f t="shared" si="250"/>
        <v>29886.68</v>
      </c>
      <c r="K3906" s="7"/>
      <c r="L3906" s="70"/>
      <c r="M3906" s="79"/>
      <c r="N3906" s="1"/>
      <c r="O3906" s="1"/>
      <c r="P3906" s="1"/>
      <c r="Q3906" s="1"/>
      <c r="R3906" s="1"/>
      <c r="S3906" s="1"/>
      <c r="T3906" s="1"/>
      <c r="U3906" s="1"/>
      <c r="V3906" s="1"/>
      <c r="W3906" s="1"/>
      <c r="X3906" s="1"/>
      <c r="Y3906" s="1"/>
      <c r="Z3906" s="1"/>
      <c r="AA3906" s="1"/>
      <c r="AB3906" s="1"/>
      <c r="AC3906" s="1"/>
      <c r="AD3906" s="1"/>
      <c r="AE3906" s="1"/>
      <c r="AF3906" s="1"/>
      <c r="AG3906" s="1"/>
      <c r="AH3906" s="1"/>
    </row>
    <row r="3907" ht="12.75" hidden="1" customHeight="1" outlineLevel="1">
      <c r="A3907" s="17">
        <v>41683.0</v>
      </c>
      <c r="B3907" s="1"/>
      <c r="C3907" s="1" t="s">
        <v>339</v>
      </c>
      <c r="D3907" s="74"/>
      <c r="E3907" s="67"/>
      <c r="F3907" s="75"/>
      <c r="G3907" s="67"/>
      <c r="H3907" s="68"/>
      <c r="I3907" s="76"/>
      <c r="J3907" s="67"/>
      <c r="K3907" s="7" t="s">
        <v>1683</v>
      </c>
      <c r="L3907" s="77"/>
      <c r="M3907" s="79"/>
      <c r="N3907" s="1"/>
      <c r="O3907" s="1"/>
      <c r="P3907" s="1"/>
      <c r="Q3907" s="1"/>
      <c r="R3907" s="1"/>
      <c r="S3907" s="1"/>
      <c r="T3907" s="1"/>
      <c r="U3907" s="1"/>
      <c r="V3907" s="1"/>
      <c r="W3907" s="1"/>
      <c r="X3907" s="1"/>
      <c r="Y3907" s="1"/>
      <c r="Z3907" s="1"/>
      <c r="AA3907" s="1"/>
      <c r="AB3907" s="1"/>
      <c r="AC3907" s="1"/>
      <c r="AD3907" s="1"/>
      <c r="AE3907" s="1"/>
      <c r="AF3907" s="1"/>
      <c r="AG3907" s="1"/>
      <c r="AH3907" s="1"/>
    </row>
    <row r="3908" ht="12.75" hidden="1" customHeight="1" outlineLevel="1">
      <c r="A3908" s="17">
        <v>41683.0</v>
      </c>
      <c r="B3908" s="1"/>
      <c r="C3908" s="1" t="s">
        <v>429</v>
      </c>
      <c r="D3908" s="74"/>
      <c r="E3908" s="67"/>
      <c r="F3908" s="75"/>
      <c r="G3908" s="67"/>
      <c r="H3908" s="68"/>
      <c r="I3908" s="76"/>
      <c r="J3908" s="67"/>
      <c r="K3908" s="7" t="s">
        <v>1553</v>
      </c>
      <c r="L3908" s="77"/>
      <c r="M3908" s="79"/>
      <c r="N3908" s="1"/>
      <c r="O3908" s="1"/>
      <c r="P3908" s="1"/>
      <c r="Q3908" s="1"/>
      <c r="R3908" s="1"/>
      <c r="S3908" s="1"/>
      <c r="T3908" s="1"/>
      <c r="U3908" s="1"/>
      <c r="V3908" s="1"/>
      <c r="W3908" s="1"/>
      <c r="X3908" s="1"/>
      <c r="Y3908" s="1"/>
      <c r="Z3908" s="1"/>
      <c r="AA3908" s="1"/>
      <c r="AB3908" s="1"/>
      <c r="AC3908" s="1"/>
      <c r="AD3908" s="1"/>
      <c r="AE3908" s="1"/>
      <c r="AF3908" s="1"/>
      <c r="AG3908" s="1"/>
      <c r="AH3908" s="1"/>
    </row>
    <row r="3909" ht="12.75" hidden="1" customHeight="1" outlineLevel="1">
      <c r="A3909" s="17">
        <v>41683.0</v>
      </c>
      <c r="B3909" s="1"/>
      <c r="C3909" s="1" t="s">
        <v>431</v>
      </c>
      <c r="D3909" s="74"/>
      <c r="E3909" s="67"/>
      <c r="F3909" s="75"/>
      <c r="G3909" s="67"/>
      <c r="H3909" s="68"/>
      <c r="I3909" s="76"/>
      <c r="J3909" s="67"/>
      <c r="K3909" s="7" t="s">
        <v>1126</v>
      </c>
      <c r="L3909" s="77"/>
      <c r="M3909" s="79"/>
      <c r="N3909" s="1"/>
      <c r="O3909" s="1"/>
      <c r="P3909" s="1"/>
      <c r="Q3909" s="1"/>
      <c r="R3909" s="1"/>
      <c r="S3909" s="1"/>
      <c r="T3909" s="1"/>
      <c r="U3909" s="1"/>
      <c r="V3909" s="1"/>
      <c r="W3909" s="1"/>
      <c r="X3909" s="1"/>
      <c r="Y3909" s="1"/>
      <c r="Z3909" s="1"/>
      <c r="AA3909" s="1"/>
      <c r="AB3909" s="1"/>
      <c r="AC3909" s="1"/>
      <c r="AD3909" s="1"/>
      <c r="AE3909" s="1"/>
      <c r="AF3909" s="1"/>
      <c r="AG3909" s="1"/>
      <c r="AH3909" s="1"/>
    </row>
    <row r="3910" ht="12.75" hidden="1" customHeight="1" outlineLevel="1">
      <c r="A3910" s="17">
        <v>41683.0</v>
      </c>
      <c r="B3910" s="1"/>
      <c r="C3910" s="1" t="s">
        <v>433</v>
      </c>
      <c r="D3910" s="74"/>
      <c r="E3910" s="67"/>
      <c r="F3910" s="75"/>
      <c r="G3910" s="67"/>
      <c r="H3910" s="68"/>
      <c r="I3910" s="76"/>
      <c r="J3910" s="67"/>
      <c r="K3910" s="7" t="s">
        <v>1103</v>
      </c>
      <c r="L3910" s="77"/>
      <c r="M3910" s="79"/>
      <c r="N3910" s="1"/>
      <c r="O3910" s="1"/>
      <c r="P3910" s="1"/>
      <c r="Q3910" s="1"/>
      <c r="R3910" s="1"/>
      <c r="S3910" s="1"/>
      <c r="T3910" s="1"/>
      <c r="U3910" s="1"/>
      <c r="V3910" s="1"/>
      <c r="W3910" s="1"/>
      <c r="X3910" s="1"/>
      <c r="Y3910" s="1"/>
      <c r="Z3910" s="1"/>
      <c r="AA3910" s="1"/>
      <c r="AB3910" s="1"/>
      <c r="AC3910" s="1"/>
      <c r="AD3910" s="1"/>
      <c r="AE3910" s="1"/>
      <c r="AF3910" s="1"/>
      <c r="AG3910" s="1"/>
      <c r="AH3910" s="1"/>
    </row>
    <row r="3911" ht="12.75" hidden="1" customHeight="1" outlineLevel="1">
      <c r="A3911" s="17">
        <v>41683.0</v>
      </c>
      <c r="B3911" s="1"/>
      <c r="C3911" s="1" t="s">
        <v>435</v>
      </c>
      <c r="D3911" s="74"/>
      <c r="E3911" s="67"/>
      <c r="F3911" s="75"/>
      <c r="G3911" s="67"/>
      <c r="H3911" s="68"/>
      <c r="I3911" s="76"/>
      <c r="J3911" s="67"/>
      <c r="K3911" s="7" t="s">
        <v>1507</v>
      </c>
      <c r="L3911" s="77"/>
      <c r="M3911" s="79"/>
      <c r="N3911" s="1"/>
      <c r="O3911" s="1"/>
      <c r="P3911" s="1"/>
      <c r="Q3911" s="1"/>
      <c r="R3911" s="1"/>
      <c r="S3911" s="1"/>
      <c r="T3911" s="1"/>
      <c r="U3911" s="1"/>
      <c r="V3911" s="1"/>
      <c r="W3911" s="1"/>
      <c r="X3911" s="1"/>
      <c r="Y3911" s="1"/>
      <c r="Z3911" s="1"/>
      <c r="AA3911" s="1"/>
      <c r="AB3911" s="1"/>
      <c r="AC3911" s="1"/>
      <c r="AD3911" s="1"/>
      <c r="AE3911" s="1"/>
      <c r="AF3911" s="1"/>
      <c r="AG3911" s="1"/>
      <c r="AH3911" s="1"/>
    </row>
    <row r="3912" ht="12.75" hidden="1" customHeight="1" outlineLevel="1">
      <c r="A3912" s="17">
        <v>41683.0</v>
      </c>
      <c r="B3912" s="1" t="s">
        <v>343</v>
      </c>
      <c r="C3912" s="1" t="s">
        <v>605</v>
      </c>
      <c r="D3912" s="74">
        <v>300.0</v>
      </c>
      <c r="E3912" s="67">
        <v>73.89</v>
      </c>
      <c r="F3912" s="75">
        <v>0.410462962962963</v>
      </c>
      <c r="G3912" s="67" t="s">
        <v>453</v>
      </c>
      <c r="H3912" s="68">
        <v>1.2</v>
      </c>
      <c r="I3912" s="76"/>
      <c r="J3912" s="67">
        <f t="shared" ref="J3912:J3913" si="251">IF(B3912="SLD",D3912*E3912,-D3912*E3912)-H3912</f>
        <v>-22168.2</v>
      </c>
      <c r="K3912" s="7"/>
      <c r="L3912" s="70"/>
      <c r="M3912" s="79"/>
      <c r="N3912" s="1"/>
      <c r="O3912" s="1"/>
      <c r="P3912" s="1"/>
      <c r="Q3912" s="1"/>
      <c r="R3912" s="1"/>
      <c r="S3912" s="1"/>
      <c r="T3912" s="1"/>
      <c r="U3912" s="1"/>
      <c r="V3912" s="1"/>
      <c r="W3912" s="1"/>
      <c r="X3912" s="1"/>
      <c r="Y3912" s="1"/>
      <c r="Z3912" s="1"/>
      <c r="AA3912" s="1"/>
      <c r="AB3912" s="1"/>
      <c r="AC3912" s="1"/>
      <c r="AD3912" s="1"/>
      <c r="AE3912" s="1"/>
      <c r="AF3912" s="1"/>
      <c r="AG3912" s="1"/>
      <c r="AH3912" s="1"/>
    </row>
    <row r="3913" ht="12.75" hidden="1" customHeight="1" outlineLevel="1">
      <c r="A3913" s="17">
        <v>41683.0</v>
      </c>
      <c r="B3913" s="1" t="s">
        <v>343</v>
      </c>
      <c r="C3913" s="1" t="s">
        <v>870</v>
      </c>
      <c r="D3913" s="74">
        <v>250.0</v>
      </c>
      <c r="E3913" s="67">
        <v>85.19</v>
      </c>
      <c r="F3913" s="75">
        <v>0.4109606481481482</v>
      </c>
      <c r="G3913" s="67" t="s">
        <v>453</v>
      </c>
      <c r="H3913" s="68">
        <v>1.25</v>
      </c>
      <c r="I3913" s="76"/>
      <c r="J3913" s="67">
        <f t="shared" si="251"/>
        <v>-21298.75</v>
      </c>
      <c r="K3913" s="7"/>
      <c r="L3913" s="70"/>
      <c r="M3913" s="79"/>
      <c r="N3913" s="1"/>
      <c r="O3913" s="1"/>
      <c r="P3913" s="1"/>
      <c r="Q3913" s="1"/>
      <c r="R3913" s="1"/>
      <c r="S3913" s="1"/>
      <c r="T3913" s="1"/>
      <c r="U3913" s="1"/>
      <c r="V3913" s="1"/>
      <c r="W3913" s="1"/>
      <c r="X3913" s="1"/>
      <c r="Y3913" s="1"/>
      <c r="Z3913" s="1"/>
      <c r="AA3913" s="1"/>
      <c r="AB3913" s="1"/>
      <c r="AC3913" s="1"/>
      <c r="AD3913" s="1"/>
      <c r="AE3913" s="1"/>
      <c r="AF3913" s="1"/>
      <c r="AG3913" s="1"/>
      <c r="AH3913" s="1"/>
    </row>
    <row r="3914" ht="12.75" hidden="1" customHeight="1" outlineLevel="1">
      <c r="A3914" s="17">
        <v>41683.0</v>
      </c>
      <c r="B3914" s="1"/>
      <c r="C3914" s="1" t="s">
        <v>339</v>
      </c>
      <c r="D3914" s="74"/>
      <c r="E3914" s="67"/>
      <c r="F3914" s="75"/>
      <c r="G3914" s="67"/>
      <c r="H3914" s="68"/>
      <c r="I3914" s="76"/>
      <c r="J3914" s="67"/>
      <c r="K3914" s="7" t="s">
        <v>1684</v>
      </c>
      <c r="L3914" s="77"/>
      <c r="M3914" s="79"/>
      <c r="N3914" s="1"/>
      <c r="O3914" s="1"/>
      <c r="P3914" s="1"/>
      <c r="Q3914" s="1"/>
      <c r="R3914" s="1"/>
      <c r="S3914" s="1"/>
      <c r="T3914" s="1"/>
      <c r="U3914" s="1"/>
      <c r="V3914" s="1"/>
      <c r="W3914" s="1"/>
      <c r="X3914" s="1"/>
      <c r="Y3914" s="1"/>
      <c r="Z3914" s="1"/>
      <c r="AA3914" s="1"/>
      <c r="AB3914" s="1"/>
      <c r="AC3914" s="1"/>
      <c r="AD3914" s="1"/>
      <c r="AE3914" s="1"/>
      <c r="AF3914" s="1"/>
      <c r="AG3914" s="1"/>
      <c r="AH3914" s="1"/>
    </row>
    <row r="3915" ht="12.75" hidden="1" customHeight="1" outlineLevel="1">
      <c r="A3915" s="17">
        <v>41683.0</v>
      </c>
      <c r="B3915" s="1"/>
      <c r="C3915" s="1" t="s">
        <v>429</v>
      </c>
      <c r="D3915" s="74"/>
      <c r="E3915" s="67"/>
      <c r="F3915" s="75"/>
      <c r="G3915" s="67"/>
      <c r="H3915" s="68"/>
      <c r="I3915" s="76"/>
      <c r="J3915" s="67"/>
      <c r="K3915" s="7" t="s">
        <v>1553</v>
      </c>
      <c r="L3915" s="77"/>
      <c r="M3915" s="79"/>
      <c r="N3915" s="1"/>
      <c r="O3915" s="1"/>
      <c r="P3915" s="1"/>
      <c r="Q3915" s="1"/>
      <c r="R3915" s="1"/>
      <c r="S3915" s="1"/>
      <c r="T3915" s="1"/>
      <c r="U3915" s="1"/>
      <c r="V3915" s="1"/>
      <c r="W3915" s="1"/>
      <c r="X3915" s="1"/>
      <c r="Y3915" s="1"/>
      <c r="Z3915" s="1"/>
      <c r="AA3915" s="1"/>
      <c r="AB3915" s="1"/>
      <c r="AC3915" s="1"/>
      <c r="AD3915" s="1"/>
      <c r="AE3915" s="1"/>
      <c r="AF3915" s="1"/>
      <c r="AG3915" s="1"/>
      <c r="AH3915" s="1"/>
    </row>
    <row r="3916" ht="12.75" hidden="1" customHeight="1" outlineLevel="1">
      <c r="A3916" s="17">
        <v>41683.0</v>
      </c>
      <c r="B3916" s="1"/>
      <c r="C3916" s="1" t="s">
        <v>431</v>
      </c>
      <c r="D3916" s="74"/>
      <c r="E3916" s="67"/>
      <c r="F3916" s="75"/>
      <c r="G3916" s="67"/>
      <c r="H3916" s="68"/>
      <c r="I3916" s="76"/>
      <c r="J3916" s="67"/>
      <c r="K3916" s="7" t="s">
        <v>1126</v>
      </c>
      <c r="L3916" s="77"/>
      <c r="M3916" s="79"/>
      <c r="N3916" s="1"/>
      <c r="O3916" s="1"/>
      <c r="P3916" s="1"/>
      <c r="Q3916" s="1"/>
      <c r="R3916" s="1"/>
      <c r="S3916" s="1"/>
      <c r="T3916" s="1"/>
      <c r="U3916" s="1"/>
      <c r="V3916" s="1"/>
      <c r="W3916" s="1"/>
      <c r="X3916" s="1"/>
      <c r="Y3916" s="1"/>
      <c r="Z3916" s="1"/>
      <c r="AA3916" s="1"/>
      <c r="AB3916" s="1"/>
      <c r="AC3916" s="1"/>
      <c r="AD3916" s="1"/>
      <c r="AE3916" s="1"/>
      <c r="AF3916" s="1"/>
      <c r="AG3916" s="1"/>
      <c r="AH3916" s="1"/>
    </row>
    <row r="3917" ht="12.75" hidden="1" customHeight="1" outlineLevel="1">
      <c r="A3917" s="17">
        <v>41683.0</v>
      </c>
      <c r="B3917" s="1"/>
      <c r="C3917" s="1" t="s">
        <v>433</v>
      </c>
      <c r="D3917" s="74"/>
      <c r="E3917" s="67"/>
      <c r="F3917" s="75"/>
      <c r="G3917" s="67"/>
      <c r="H3917" s="68"/>
      <c r="I3917" s="76"/>
      <c r="J3917" s="67"/>
      <c r="K3917" s="7" t="s">
        <v>1103</v>
      </c>
      <c r="L3917" s="77"/>
      <c r="M3917" s="79"/>
      <c r="N3917" s="1"/>
      <c r="O3917" s="1"/>
      <c r="P3917" s="1"/>
      <c r="Q3917" s="1"/>
      <c r="R3917" s="1"/>
      <c r="S3917" s="1"/>
      <c r="T3917" s="1"/>
      <c r="U3917" s="1"/>
      <c r="V3917" s="1"/>
      <c r="W3917" s="1"/>
      <c r="X3917" s="1"/>
      <c r="Y3917" s="1"/>
      <c r="Z3917" s="1"/>
      <c r="AA3917" s="1"/>
      <c r="AB3917" s="1"/>
      <c r="AC3917" s="1"/>
      <c r="AD3917" s="1"/>
      <c r="AE3917" s="1"/>
      <c r="AF3917" s="1"/>
      <c r="AG3917" s="1"/>
      <c r="AH3917" s="1"/>
    </row>
    <row r="3918" ht="12.75" hidden="1" customHeight="1" outlineLevel="1">
      <c r="A3918" s="17">
        <v>41683.0</v>
      </c>
      <c r="B3918" s="1"/>
      <c r="C3918" s="1" t="s">
        <v>435</v>
      </c>
      <c r="D3918" s="74"/>
      <c r="E3918" s="67"/>
      <c r="F3918" s="75"/>
      <c r="G3918" s="67"/>
      <c r="H3918" s="68"/>
      <c r="I3918" s="76"/>
      <c r="J3918" s="67"/>
      <c r="K3918" s="7" t="s">
        <v>1507</v>
      </c>
      <c r="L3918" s="77"/>
      <c r="M3918" s="79"/>
      <c r="N3918" s="1"/>
      <c r="O3918" s="1"/>
      <c r="P3918" s="1"/>
      <c r="Q3918" s="1"/>
      <c r="R3918" s="1"/>
      <c r="S3918" s="1"/>
      <c r="T3918" s="1"/>
      <c r="U3918" s="1"/>
      <c r="V3918" s="1"/>
      <c r="W3918" s="1"/>
      <c r="X3918" s="1"/>
      <c r="Y3918" s="1"/>
      <c r="Z3918" s="1"/>
      <c r="AA3918" s="1"/>
      <c r="AB3918" s="1"/>
      <c r="AC3918" s="1"/>
      <c r="AD3918" s="1"/>
      <c r="AE3918" s="1"/>
      <c r="AF3918" s="1"/>
      <c r="AG3918" s="1"/>
      <c r="AH3918" s="1"/>
    </row>
    <row r="3919" ht="12.75" hidden="1" customHeight="1" outlineLevel="1">
      <c r="A3919" s="17">
        <v>41683.0</v>
      </c>
      <c r="B3919" s="1"/>
      <c r="C3919" s="1" t="s">
        <v>339</v>
      </c>
      <c r="D3919" s="74"/>
      <c r="E3919" s="67"/>
      <c r="F3919" s="75"/>
      <c r="G3919" s="67"/>
      <c r="H3919" s="68"/>
      <c r="I3919" s="76"/>
      <c r="J3919" s="67"/>
      <c r="K3919" s="7" t="s">
        <v>1685</v>
      </c>
      <c r="L3919" s="77"/>
      <c r="M3919" s="79"/>
      <c r="N3919" s="1"/>
      <c r="O3919" s="1"/>
      <c r="P3919" s="1"/>
      <c r="Q3919" s="1"/>
      <c r="R3919" s="1"/>
      <c r="S3919" s="1"/>
      <c r="T3919" s="1"/>
      <c r="U3919" s="1"/>
      <c r="V3919" s="1"/>
      <c r="W3919" s="1"/>
      <c r="X3919" s="1"/>
      <c r="Y3919" s="1"/>
      <c r="Z3919" s="1"/>
      <c r="AA3919" s="1"/>
      <c r="AB3919" s="1"/>
      <c r="AC3919" s="1"/>
      <c r="AD3919" s="1"/>
      <c r="AE3919" s="1"/>
      <c r="AF3919" s="1"/>
      <c r="AG3919" s="1"/>
      <c r="AH3919" s="1"/>
    </row>
    <row r="3920" ht="12.75" hidden="1" customHeight="1" outlineLevel="1">
      <c r="A3920" s="17">
        <v>41683.0</v>
      </c>
      <c r="B3920" s="1"/>
      <c r="C3920" s="1" t="s">
        <v>429</v>
      </c>
      <c r="D3920" s="74"/>
      <c r="E3920" s="67"/>
      <c r="F3920" s="75"/>
      <c r="G3920" s="67"/>
      <c r="H3920" s="68"/>
      <c r="I3920" s="76"/>
      <c r="J3920" s="67"/>
      <c r="K3920" s="7" t="s">
        <v>1686</v>
      </c>
      <c r="L3920" s="77"/>
      <c r="M3920" s="79"/>
      <c r="N3920" s="1"/>
      <c r="O3920" s="1"/>
      <c r="P3920" s="1"/>
      <c r="Q3920" s="1"/>
      <c r="R3920" s="1"/>
      <c r="S3920" s="1"/>
      <c r="T3920" s="1"/>
      <c r="U3920" s="1"/>
      <c r="V3920" s="1"/>
      <c r="W3920" s="1"/>
      <c r="X3920" s="1"/>
      <c r="Y3920" s="1"/>
      <c r="Z3920" s="1"/>
      <c r="AA3920" s="1"/>
      <c r="AB3920" s="1"/>
      <c r="AC3920" s="1"/>
      <c r="AD3920" s="1"/>
      <c r="AE3920" s="1"/>
      <c r="AF3920" s="1"/>
      <c r="AG3920" s="1"/>
      <c r="AH3920" s="1"/>
    </row>
    <row r="3921" ht="12.75" hidden="1" customHeight="1" outlineLevel="1">
      <c r="A3921" s="17">
        <v>41683.0</v>
      </c>
      <c r="B3921" s="1"/>
      <c r="C3921" s="1" t="s">
        <v>431</v>
      </c>
      <c r="D3921" s="74"/>
      <c r="E3921" s="67"/>
      <c r="F3921" s="75"/>
      <c r="G3921" s="67"/>
      <c r="H3921" s="68"/>
      <c r="I3921" s="76"/>
      <c r="J3921" s="67"/>
      <c r="K3921" s="7" t="s">
        <v>1126</v>
      </c>
      <c r="L3921" s="77"/>
      <c r="M3921" s="79"/>
      <c r="N3921" s="1"/>
      <c r="O3921" s="1"/>
      <c r="P3921" s="1"/>
      <c r="Q3921" s="1"/>
      <c r="R3921" s="1"/>
      <c r="S3921" s="1"/>
      <c r="T3921" s="1"/>
      <c r="U3921" s="1"/>
      <c r="V3921" s="1"/>
      <c r="W3921" s="1"/>
      <c r="X3921" s="1"/>
      <c r="Y3921" s="1"/>
      <c r="Z3921" s="1"/>
      <c r="AA3921" s="1"/>
      <c r="AB3921" s="1"/>
      <c r="AC3921" s="1"/>
      <c r="AD3921" s="1"/>
      <c r="AE3921" s="1"/>
      <c r="AF3921" s="1"/>
      <c r="AG3921" s="1"/>
      <c r="AH3921" s="1"/>
    </row>
    <row r="3922" ht="12.75" hidden="1" customHeight="1" outlineLevel="1">
      <c r="A3922" s="17">
        <v>41683.0</v>
      </c>
      <c r="B3922" s="1"/>
      <c r="C3922" s="1" t="s">
        <v>433</v>
      </c>
      <c r="D3922" s="74"/>
      <c r="E3922" s="67"/>
      <c r="F3922" s="75"/>
      <c r="G3922" s="67"/>
      <c r="H3922" s="68"/>
      <c r="I3922" s="76"/>
      <c r="J3922" s="67"/>
      <c r="K3922" s="7" t="s">
        <v>1103</v>
      </c>
      <c r="L3922" s="77"/>
      <c r="M3922" s="79"/>
      <c r="N3922" s="1"/>
      <c r="O3922" s="1"/>
      <c r="P3922" s="1"/>
      <c r="Q3922" s="1"/>
      <c r="R3922" s="1"/>
      <c r="S3922" s="1"/>
      <c r="T3922" s="1"/>
      <c r="U3922" s="1"/>
      <c r="V3922" s="1"/>
      <c r="W3922" s="1"/>
      <c r="X3922" s="1"/>
      <c r="Y3922" s="1"/>
      <c r="Z3922" s="1"/>
      <c r="AA3922" s="1"/>
      <c r="AB3922" s="1"/>
      <c r="AC3922" s="1"/>
      <c r="AD3922" s="1"/>
      <c r="AE3922" s="1"/>
      <c r="AF3922" s="1"/>
      <c r="AG3922" s="1"/>
      <c r="AH3922" s="1"/>
    </row>
    <row r="3923" ht="12.75" hidden="1" customHeight="1" outlineLevel="1">
      <c r="A3923" s="17">
        <v>41683.0</v>
      </c>
      <c r="B3923" s="1"/>
      <c r="C3923" s="1" t="s">
        <v>435</v>
      </c>
      <c r="D3923" s="74"/>
      <c r="E3923" s="67"/>
      <c r="F3923" s="75"/>
      <c r="G3923" s="67"/>
      <c r="H3923" s="68"/>
      <c r="I3923" s="76"/>
      <c r="J3923" s="67"/>
      <c r="K3923" s="7" t="s">
        <v>1507</v>
      </c>
      <c r="L3923" s="77"/>
      <c r="M3923" s="79"/>
      <c r="N3923" s="1"/>
      <c r="O3923" s="1"/>
      <c r="P3923" s="1"/>
      <c r="Q3923" s="1"/>
      <c r="R3923" s="1"/>
      <c r="S3923" s="1"/>
      <c r="T3923" s="1"/>
      <c r="U3923" s="1"/>
      <c r="V3923" s="1"/>
      <c r="W3923" s="1"/>
      <c r="X3923" s="1"/>
      <c r="Y3923" s="1"/>
      <c r="Z3923" s="1"/>
      <c r="AA3923" s="1"/>
      <c r="AB3923" s="1"/>
      <c r="AC3923" s="1"/>
      <c r="AD3923" s="1"/>
      <c r="AE3923" s="1"/>
      <c r="AF3923" s="1"/>
      <c r="AG3923" s="1"/>
      <c r="AH3923" s="1"/>
    </row>
    <row r="3924" ht="12.75" hidden="1" customHeight="1" outlineLevel="1">
      <c r="A3924" s="17">
        <v>41684.0</v>
      </c>
      <c r="B3924" s="1"/>
      <c r="C3924" s="1" t="s">
        <v>339</v>
      </c>
      <c r="D3924" s="74"/>
      <c r="E3924" s="67"/>
      <c r="F3924" s="75"/>
      <c r="G3924" s="67"/>
      <c r="H3924" s="68"/>
      <c r="I3924" s="76"/>
      <c r="J3924" s="67"/>
      <c r="K3924" s="7" t="s">
        <v>1687</v>
      </c>
      <c r="L3924" s="77"/>
      <c r="M3924" s="79"/>
      <c r="N3924" s="1"/>
      <c r="O3924" s="1"/>
      <c r="P3924" s="1"/>
      <c r="Q3924" s="1"/>
      <c r="R3924" s="1"/>
      <c r="S3924" s="1"/>
      <c r="T3924" s="1"/>
      <c r="U3924" s="1"/>
      <c r="V3924" s="1"/>
      <c r="W3924" s="1"/>
      <c r="X3924" s="1"/>
      <c r="Y3924" s="1"/>
      <c r="Z3924" s="1"/>
      <c r="AA3924" s="1"/>
      <c r="AB3924" s="1"/>
      <c r="AC3924" s="1"/>
      <c r="AD3924" s="1"/>
      <c r="AE3924" s="1"/>
      <c r="AF3924" s="1"/>
      <c r="AG3924" s="1"/>
      <c r="AH3924" s="1"/>
    </row>
    <row r="3925" ht="12.75" hidden="1" customHeight="1" outlineLevel="1">
      <c r="A3925" s="17">
        <v>41684.0</v>
      </c>
      <c r="B3925" s="1"/>
      <c r="C3925" s="1" t="s">
        <v>429</v>
      </c>
      <c r="D3925" s="74"/>
      <c r="E3925" s="67"/>
      <c r="F3925" s="75"/>
      <c r="G3925" s="67"/>
      <c r="H3925" s="68"/>
      <c r="I3925" s="76"/>
      <c r="J3925" s="67"/>
      <c r="K3925" s="7" t="s">
        <v>1686</v>
      </c>
      <c r="L3925" s="77"/>
      <c r="M3925" s="79"/>
      <c r="N3925" s="1"/>
      <c r="O3925" s="1"/>
      <c r="P3925" s="1"/>
      <c r="Q3925" s="1"/>
      <c r="R3925" s="1"/>
      <c r="S3925" s="1"/>
      <c r="T3925" s="1"/>
      <c r="U3925" s="1"/>
      <c r="V3925" s="1"/>
      <c r="W3925" s="1"/>
      <c r="X3925" s="1"/>
      <c r="Y3925" s="1"/>
      <c r="Z3925" s="1"/>
      <c r="AA3925" s="1"/>
      <c r="AB3925" s="1"/>
      <c r="AC3925" s="1"/>
      <c r="AD3925" s="1"/>
      <c r="AE3925" s="1"/>
      <c r="AF3925" s="1"/>
      <c r="AG3925" s="1"/>
      <c r="AH3925" s="1"/>
    </row>
    <row r="3926" ht="12.75" hidden="1" customHeight="1" outlineLevel="1">
      <c r="A3926" s="17">
        <v>41684.0</v>
      </c>
      <c r="B3926" s="1"/>
      <c r="C3926" s="1" t="s">
        <v>431</v>
      </c>
      <c r="D3926" s="74"/>
      <c r="E3926" s="67"/>
      <c r="F3926" s="75"/>
      <c r="G3926" s="67"/>
      <c r="H3926" s="68"/>
      <c r="I3926" s="76"/>
      <c r="J3926" s="67"/>
      <c r="K3926" s="7" t="s">
        <v>1126</v>
      </c>
      <c r="L3926" s="77"/>
      <c r="M3926" s="79"/>
      <c r="N3926" s="1"/>
      <c r="O3926" s="1"/>
      <c r="P3926" s="1"/>
      <c r="Q3926" s="1"/>
      <c r="R3926" s="1"/>
      <c r="S3926" s="1"/>
      <c r="T3926" s="1"/>
      <c r="U3926" s="1"/>
      <c r="V3926" s="1"/>
      <c r="W3926" s="1"/>
      <c r="X3926" s="1"/>
      <c r="Y3926" s="1"/>
      <c r="Z3926" s="1"/>
      <c r="AA3926" s="1"/>
      <c r="AB3926" s="1"/>
      <c r="AC3926" s="1"/>
      <c r="AD3926" s="1"/>
      <c r="AE3926" s="1"/>
      <c r="AF3926" s="1"/>
      <c r="AG3926" s="1"/>
      <c r="AH3926" s="1"/>
    </row>
    <row r="3927" ht="12.75" hidden="1" customHeight="1" outlineLevel="1">
      <c r="A3927" s="17">
        <v>41684.0</v>
      </c>
      <c r="B3927" s="1"/>
      <c r="C3927" s="1" t="s">
        <v>433</v>
      </c>
      <c r="D3927" s="74"/>
      <c r="E3927" s="67"/>
      <c r="F3927" s="75"/>
      <c r="G3927" s="67"/>
      <c r="H3927" s="68"/>
      <c r="I3927" s="76"/>
      <c r="J3927" s="67"/>
      <c r="K3927" s="7" t="s">
        <v>1103</v>
      </c>
      <c r="L3927" s="77"/>
      <c r="M3927" s="79"/>
      <c r="N3927" s="1"/>
      <c r="O3927" s="1"/>
      <c r="P3927" s="1"/>
      <c r="Q3927" s="1"/>
      <c r="R3927" s="1"/>
      <c r="S3927" s="1"/>
      <c r="T3927" s="1"/>
      <c r="U3927" s="1"/>
      <c r="V3927" s="1"/>
      <c r="W3927" s="1"/>
      <c r="X3927" s="1"/>
      <c r="Y3927" s="1"/>
      <c r="Z3927" s="1"/>
      <c r="AA3927" s="1"/>
      <c r="AB3927" s="1"/>
      <c r="AC3927" s="1"/>
      <c r="AD3927" s="1"/>
      <c r="AE3927" s="1"/>
      <c r="AF3927" s="1"/>
      <c r="AG3927" s="1"/>
      <c r="AH3927" s="1"/>
    </row>
    <row r="3928" ht="12.75" hidden="1" customHeight="1" outlineLevel="1">
      <c r="A3928" s="17">
        <v>41684.0</v>
      </c>
      <c r="B3928" s="1"/>
      <c r="C3928" s="1" t="s">
        <v>435</v>
      </c>
      <c r="D3928" s="74"/>
      <c r="E3928" s="67"/>
      <c r="F3928" s="75"/>
      <c r="G3928" s="67"/>
      <c r="H3928" s="68"/>
      <c r="I3928" s="76"/>
      <c r="J3928" s="67"/>
      <c r="K3928" s="7" t="s">
        <v>1507</v>
      </c>
      <c r="L3928" s="77"/>
      <c r="M3928" s="79"/>
      <c r="N3928" s="1"/>
      <c r="O3928" s="1"/>
      <c r="P3928" s="1"/>
      <c r="Q3928" s="1"/>
      <c r="R3928" s="1"/>
      <c r="S3928" s="1"/>
      <c r="T3928" s="1"/>
      <c r="U3928" s="1"/>
      <c r="V3928" s="1"/>
      <c r="W3928" s="1"/>
      <c r="X3928" s="1"/>
      <c r="Y3928" s="1"/>
      <c r="Z3928" s="1"/>
      <c r="AA3928" s="1"/>
      <c r="AB3928" s="1"/>
      <c r="AC3928" s="1"/>
      <c r="AD3928" s="1"/>
      <c r="AE3928" s="1"/>
      <c r="AF3928" s="1"/>
      <c r="AG3928" s="1"/>
      <c r="AH3928" s="1"/>
    </row>
    <row r="3929" ht="12.75" hidden="1" customHeight="1" outlineLevel="1">
      <c r="A3929" s="17">
        <v>41684.0</v>
      </c>
      <c r="B3929" s="1" t="s">
        <v>343</v>
      </c>
      <c r="C3929" s="1" t="s">
        <v>1370</v>
      </c>
      <c r="D3929" s="74">
        <v>400.0</v>
      </c>
      <c r="E3929" s="67">
        <v>63.47</v>
      </c>
      <c r="F3929" s="75">
        <v>0.5760416666666667</v>
      </c>
      <c r="G3929" s="67" t="s">
        <v>453</v>
      </c>
      <c r="H3929" s="68">
        <v>1.8</v>
      </c>
      <c r="I3929" s="76"/>
      <c r="J3929" s="67">
        <f t="shared" ref="J3929:J3930" si="252">IF(B3929="SLD",D3929*E3929,-D3929*E3929)-H3929</f>
        <v>-25389.8</v>
      </c>
      <c r="K3929" s="7"/>
      <c r="L3929" s="70"/>
      <c r="M3929" s="79"/>
      <c r="N3929" s="1"/>
      <c r="O3929" s="1"/>
      <c r="P3929" s="1"/>
      <c r="Q3929" s="1"/>
      <c r="R3929" s="1"/>
      <c r="S3929" s="1"/>
      <c r="T3929" s="1"/>
      <c r="U3929" s="1"/>
      <c r="V3929" s="1"/>
      <c r="W3929" s="1"/>
      <c r="X3929" s="1"/>
      <c r="Y3929" s="1"/>
      <c r="Z3929" s="1"/>
      <c r="AA3929" s="1"/>
      <c r="AB3929" s="1"/>
      <c r="AC3929" s="1"/>
      <c r="AD3929" s="1"/>
      <c r="AE3929" s="1"/>
      <c r="AF3929" s="1"/>
      <c r="AG3929" s="1"/>
      <c r="AH3929" s="1"/>
    </row>
    <row r="3930" ht="12.75" hidden="1" customHeight="1" outlineLevel="1">
      <c r="A3930" s="17">
        <v>41684.0</v>
      </c>
      <c r="B3930" s="1" t="s">
        <v>343</v>
      </c>
      <c r="C3930" s="1" t="s">
        <v>1275</v>
      </c>
      <c r="D3930" s="74">
        <v>700.0</v>
      </c>
      <c r="E3930" s="67">
        <v>34.4</v>
      </c>
      <c r="F3930" s="75">
        <v>0.5767592592592593</v>
      </c>
      <c r="G3930" s="67" t="s">
        <v>453</v>
      </c>
      <c r="H3930" s="68">
        <v>2.8</v>
      </c>
      <c r="I3930" s="76"/>
      <c r="J3930" s="67">
        <f t="shared" si="252"/>
        <v>-24082.8</v>
      </c>
      <c r="K3930" s="7"/>
      <c r="L3930" s="70"/>
      <c r="M3930" s="79"/>
      <c r="N3930" s="1"/>
      <c r="O3930" s="1"/>
      <c r="P3930" s="1"/>
      <c r="Q3930" s="1"/>
      <c r="R3930" s="1"/>
      <c r="S3930" s="1"/>
      <c r="T3930" s="1"/>
      <c r="U3930" s="1"/>
      <c r="V3930" s="1"/>
      <c r="W3930" s="1"/>
      <c r="X3930" s="1"/>
      <c r="Y3930" s="1"/>
      <c r="Z3930" s="1"/>
      <c r="AA3930" s="1"/>
      <c r="AB3930" s="1"/>
      <c r="AC3930" s="1"/>
      <c r="AD3930" s="1"/>
      <c r="AE3930" s="1"/>
      <c r="AF3930" s="1"/>
      <c r="AG3930" s="1"/>
      <c r="AH3930" s="1"/>
    </row>
    <row r="3931" ht="12.75" hidden="1" customHeight="1" outlineLevel="1">
      <c r="A3931" s="17">
        <v>41684.0</v>
      </c>
      <c r="B3931" s="1"/>
      <c r="C3931" s="1" t="s">
        <v>339</v>
      </c>
      <c r="D3931" s="74"/>
      <c r="E3931" s="67"/>
      <c r="F3931" s="75"/>
      <c r="G3931" s="67"/>
      <c r="H3931" s="68"/>
      <c r="I3931" s="76"/>
      <c r="J3931" s="67"/>
      <c r="K3931" s="7" t="s">
        <v>1688</v>
      </c>
      <c r="L3931" s="77"/>
      <c r="M3931" s="79"/>
      <c r="N3931" s="1"/>
      <c r="O3931" s="1"/>
      <c r="P3931" s="1"/>
      <c r="Q3931" s="1"/>
      <c r="R3931" s="1"/>
      <c r="S3931" s="1"/>
      <c r="T3931" s="1"/>
      <c r="U3931" s="1"/>
      <c r="V3931" s="1"/>
      <c r="W3931" s="1"/>
      <c r="X3931" s="1"/>
      <c r="Y3931" s="1"/>
      <c r="Z3931" s="1"/>
      <c r="AA3931" s="1"/>
      <c r="AB3931" s="1"/>
      <c r="AC3931" s="1"/>
      <c r="AD3931" s="1"/>
      <c r="AE3931" s="1"/>
      <c r="AF3931" s="1"/>
      <c r="AG3931" s="1"/>
      <c r="AH3931" s="1"/>
    </row>
    <row r="3932" ht="12.75" hidden="1" customHeight="1" outlineLevel="1">
      <c r="A3932" s="17">
        <v>41684.0</v>
      </c>
      <c r="B3932" s="1"/>
      <c r="C3932" s="1" t="s">
        <v>429</v>
      </c>
      <c r="D3932" s="74"/>
      <c r="E3932" s="67"/>
      <c r="F3932" s="75"/>
      <c r="G3932" s="67"/>
      <c r="H3932" s="68"/>
      <c r="I3932" s="76"/>
      <c r="J3932" s="67"/>
      <c r="K3932" s="7" t="s">
        <v>1686</v>
      </c>
      <c r="L3932" s="77"/>
      <c r="M3932" s="79"/>
      <c r="N3932" s="1"/>
      <c r="O3932" s="1"/>
      <c r="P3932" s="1"/>
      <c r="Q3932" s="1"/>
      <c r="R3932" s="1"/>
      <c r="S3932" s="1"/>
      <c r="T3932" s="1"/>
      <c r="U3932" s="1"/>
      <c r="V3932" s="1"/>
      <c r="W3932" s="1"/>
      <c r="X3932" s="1"/>
      <c r="Y3932" s="1"/>
      <c r="Z3932" s="1"/>
      <c r="AA3932" s="1"/>
      <c r="AB3932" s="1"/>
      <c r="AC3932" s="1"/>
      <c r="AD3932" s="1"/>
      <c r="AE3932" s="1"/>
      <c r="AF3932" s="1"/>
      <c r="AG3932" s="1"/>
      <c r="AH3932" s="1"/>
    </row>
    <row r="3933" ht="12.75" hidden="1" customHeight="1" outlineLevel="1">
      <c r="A3933" s="17">
        <v>41684.0</v>
      </c>
      <c r="B3933" s="1"/>
      <c r="C3933" s="1" t="s">
        <v>431</v>
      </c>
      <c r="D3933" s="74"/>
      <c r="E3933" s="67"/>
      <c r="F3933" s="75"/>
      <c r="G3933" s="67"/>
      <c r="H3933" s="68"/>
      <c r="I3933" s="76"/>
      <c r="J3933" s="67"/>
      <c r="K3933" s="7" t="s">
        <v>1126</v>
      </c>
      <c r="L3933" s="77"/>
      <c r="M3933" s="79"/>
      <c r="N3933" s="1"/>
      <c r="O3933" s="1"/>
      <c r="P3933" s="1"/>
      <c r="Q3933" s="1"/>
      <c r="R3933" s="1"/>
      <c r="S3933" s="1"/>
      <c r="T3933" s="1"/>
      <c r="U3933" s="1"/>
      <c r="V3933" s="1"/>
      <c r="W3933" s="1"/>
      <c r="X3933" s="1"/>
      <c r="Y3933" s="1"/>
      <c r="Z3933" s="1"/>
      <c r="AA3933" s="1"/>
      <c r="AB3933" s="1"/>
      <c r="AC3933" s="1"/>
      <c r="AD3933" s="1"/>
      <c r="AE3933" s="1"/>
      <c r="AF3933" s="1"/>
      <c r="AG3933" s="1"/>
      <c r="AH3933" s="1"/>
    </row>
    <row r="3934" ht="12.75" hidden="1" customHeight="1" outlineLevel="1">
      <c r="A3934" s="17">
        <v>41684.0</v>
      </c>
      <c r="B3934" s="1"/>
      <c r="C3934" s="1" t="s">
        <v>433</v>
      </c>
      <c r="D3934" s="74"/>
      <c r="E3934" s="67"/>
      <c r="F3934" s="75"/>
      <c r="G3934" s="67"/>
      <c r="H3934" s="68"/>
      <c r="I3934" s="76"/>
      <c r="J3934" s="67"/>
      <c r="K3934" s="7" t="s">
        <v>1103</v>
      </c>
      <c r="L3934" s="77"/>
      <c r="M3934" s="79"/>
      <c r="N3934" s="1"/>
      <c r="O3934" s="1"/>
      <c r="P3934" s="1"/>
      <c r="Q3934" s="1"/>
      <c r="R3934" s="1"/>
      <c r="S3934" s="1"/>
      <c r="T3934" s="1"/>
      <c r="U3934" s="1"/>
      <c r="V3934" s="1"/>
      <c r="W3934" s="1"/>
      <c r="X3934" s="1"/>
      <c r="Y3934" s="1"/>
      <c r="Z3934" s="1"/>
      <c r="AA3934" s="1"/>
      <c r="AB3934" s="1"/>
      <c r="AC3934" s="1"/>
      <c r="AD3934" s="1"/>
      <c r="AE3934" s="1"/>
      <c r="AF3934" s="1"/>
      <c r="AG3934" s="1"/>
      <c r="AH3934" s="1"/>
    </row>
    <row r="3935" ht="12.75" hidden="1" customHeight="1" outlineLevel="1">
      <c r="A3935" s="17">
        <v>41684.0</v>
      </c>
      <c r="B3935" s="1"/>
      <c r="C3935" s="1" t="s">
        <v>435</v>
      </c>
      <c r="D3935" s="74"/>
      <c r="E3935" s="67"/>
      <c r="F3935" s="75"/>
      <c r="G3935" s="67"/>
      <c r="H3935" s="68"/>
      <c r="I3935" s="76"/>
      <c r="J3935" s="67"/>
      <c r="K3935" s="7" t="s">
        <v>1507</v>
      </c>
      <c r="L3935" s="77"/>
      <c r="M3935" s="79"/>
      <c r="N3935" s="1"/>
      <c r="O3935" s="1"/>
      <c r="P3935" s="1"/>
      <c r="Q3935" s="1"/>
      <c r="R3935" s="1"/>
      <c r="S3935" s="1"/>
      <c r="T3935" s="1"/>
      <c r="U3935" s="1"/>
      <c r="V3935" s="1"/>
      <c r="W3935" s="1"/>
      <c r="X3935" s="1"/>
      <c r="Y3935" s="1"/>
      <c r="Z3935" s="1"/>
      <c r="AA3935" s="1"/>
      <c r="AB3935" s="1"/>
      <c r="AC3935" s="1"/>
      <c r="AD3935" s="1"/>
      <c r="AE3935" s="1"/>
      <c r="AF3935" s="1"/>
      <c r="AG3935" s="1"/>
      <c r="AH3935" s="1"/>
    </row>
    <row r="3936" ht="12.75" hidden="1" customHeight="1" outlineLevel="1">
      <c r="A3936" s="17">
        <v>41688.0</v>
      </c>
      <c r="B3936" s="1"/>
      <c r="C3936" s="1" t="s">
        <v>339</v>
      </c>
      <c r="D3936" s="74"/>
      <c r="E3936" s="67"/>
      <c r="F3936" s="75"/>
      <c r="G3936" s="67"/>
      <c r="H3936" s="68"/>
      <c r="I3936" s="76"/>
      <c r="J3936" s="67"/>
      <c r="K3936" s="7" t="s">
        <v>1689</v>
      </c>
      <c r="L3936" s="77"/>
      <c r="M3936" s="79"/>
      <c r="N3936" s="1"/>
      <c r="O3936" s="1"/>
      <c r="P3936" s="1"/>
      <c r="Q3936" s="1"/>
      <c r="R3936" s="1"/>
      <c r="S3936" s="1"/>
      <c r="T3936" s="1"/>
      <c r="U3936" s="1"/>
      <c r="V3936" s="1"/>
      <c r="W3936" s="1"/>
      <c r="X3936" s="1"/>
      <c r="Y3936" s="1"/>
      <c r="Z3936" s="1"/>
      <c r="AA3936" s="1"/>
      <c r="AB3936" s="1"/>
      <c r="AC3936" s="1"/>
      <c r="AD3936" s="1"/>
      <c r="AE3936" s="1"/>
      <c r="AF3936" s="1"/>
      <c r="AG3936" s="1"/>
      <c r="AH3936" s="1"/>
    </row>
    <row r="3937" ht="12.75" hidden="1" customHeight="1" outlineLevel="1">
      <c r="A3937" s="17">
        <v>41688.0</v>
      </c>
      <c r="B3937" s="1"/>
      <c r="C3937" s="1" t="s">
        <v>429</v>
      </c>
      <c r="D3937" s="74"/>
      <c r="E3937" s="67"/>
      <c r="F3937" s="75"/>
      <c r="G3937" s="67"/>
      <c r="H3937" s="68"/>
      <c r="I3937" s="76"/>
      <c r="J3937" s="67"/>
      <c r="K3937" s="7" t="s">
        <v>1686</v>
      </c>
      <c r="L3937" s="77"/>
      <c r="M3937" s="79"/>
      <c r="N3937" s="1"/>
      <c r="O3937" s="1"/>
      <c r="P3937" s="1"/>
      <c r="Q3937" s="1"/>
      <c r="R3937" s="1"/>
      <c r="S3937" s="1"/>
      <c r="T3937" s="1"/>
      <c r="U3937" s="1"/>
      <c r="V3937" s="1"/>
      <c r="W3937" s="1"/>
      <c r="X3937" s="1"/>
      <c r="Y3937" s="1"/>
      <c r="Z3937" s="1"/>
      <c r="AA3937" s="1"/>
      <c r="AB3937" s="1"/>
      <c r="AC3937" s="1"/>
      <c r="AD3937" s="1"/>
      <c r="AE3937" s="1"/>
      <c r="AF3937" s="1"/>
      <c r="AG3937" s="1"/>
      <c r="AH3937" s="1"/>
    </row>
    <row r="3938" ht="12.75" hidden="1" customHeight="1" outlineLevel="1">
      <c r="A3938" s="17">
        <v>41688.0</v>
      </c>
      <c r="B3938" s="1"/>
      <c r="C3938" s="1" t="s">
        <v>431</v>
      </c>
      <c r="D3938" s="74"/>
      <c r="E3938" s="67"/>
      <c r="F3938" s="75"/>
      <c r="G3938" s="67"/>
      <c r="H3938" s="68"/>
      <c r="I3938" s="76"/>
      <c r="J3938" s="67"/>
      <c r="K3938" s="7" t="s">
        <v>1126</v>
      </c>
      <c r="L3938" s="77"/>
      <c r="M3938" s="79"/>
      <c r="N3938" s="1"/>
      <c r="O3938" s="1"/>
      <c r="P3938" s="1"/>
      <c r="Q3938" s="1"/>
      <c r="R3938" s="1"/>
      <c r="S3938" s="1"/>
      <c r="T3938" s="1"/>
      <c r="U3938" s="1"/>
      <c r="V3938" s="1"/>
      <c r="W3938" s="1"/>
      <c r="X3938" s="1"/>
      <c r="Y3938" s="1"/>
      <c r="Z3938" s="1"/>
      <c r="AA3938" s="1"/>
      <c r="AB3938" s="1"/>
      <c r="AC3938" s="1"/>
      <c r="AD3938" s="1"/>
      <c r="AE3938" s="1"/>
      <c r="AF3938" s="1"/>
      <c r="AG3938" s="1"/>
      <c r="AH3938" s="1"/>
    </row>
    <row r="3939" ht="12.75" hidden="1" customHeight="1" outlineLevel="1">
      <c r="A3939" s="17">
        <v>41688.0</v>
      </c>
      <c r="B3939" s="1"/>
      <c r="C3939" s="1" t="s">
        <v>433</v>
      </c>
      <c r="D3939" s="74"/>
      <c r="E3939" s="67"/>
      <c r="F3939" s="75"/>
      <c r="G3939" s="67"/>
      <c r="H3939" s="68"/>
      <c r="I3939" s="76"/>
      <c r="J3939" s="67"/>
      <c r="K3939" s="7" t="s">
        <v>1103</v>
      </c>
      <c r="L3939" s="77"/>
      <c r="M3939" s="79"/>
      <c r="N3939" s="1"/>
      <c r="O3939" s="1"/>
      <c r="P3939" s="1"/>
      <c r="Q3939" s="1"/>
      <c r="R3939" s="1"/>
      <c r="S3939" s="1"/>
      <c r="T3939" s="1"/>
      <c r="U3939" s="1"/>
      <c r="V3939" s="1"/>
      <c r="W3939" s="1"/>
      <c r="X3939" s="1"/>
      <c r="Y3939" s="1"/>
      <c r="Z3939" s="1"/>
      <c r="AA3939" s="1"/>
      <c r="AB3939" s="1"/>
      <c r="AC3939" s="1"/>
      <c r="AD3939" s="1"/>
      <c r="AE3939" s="1"/>
      <c r="AF3939" s="1"/>
      <c r="AG3939" s="1"/>
      <c r="AH3939" s="1"/>
    </row>
    <row r="3940" ht="12.75" hidden="1" customHeight="1" outlineLevel="1">
      <c r="A3940" s="17">
        <v>41688.0</v>
      </c>
      <c r="B3940" s="1"/>
      <c r="C3940" s="1" t="s">
        <v>435</v>
      </c>
      <c r="D3940" s="74"/>
      <c r="E3940" s="67"/>
      <c r="F3940" s="75"/>
      <c r="G3940" s="67"/>
      <c r="H3940" s="68"/>
      <c r="I3940" s="76"/>
      <c r="J3940" s="67"/>
      <c r="K3940" s="7" t="s">
        <v>1507</v>
      </c>
      <c r="L3940" s="77"/>
      <c r="M3940" s="79"/>
      <c r="N3940" s="1"/>
      <c r="O3940" s="1"/>
      <c r="P3940" s="1"/>
      <c r="Q3940" s="1"/>
      <c r="R3940" s="1"/>
      <c r="S3940" s="1"/>
      <c r="T3940" s="1"/>
      <c r="U3940" s="1"/>
      <c r="V3940" s="1"/>
      <c r="W3940" s="1"/>
      <c r="X3940" s="1"/>
      <c r="Y3940" s="1"/>
      <c r="Z3940" s="1"/>
      <c r="AA3940" s="1"/>
      <c r="AB3940" s="1"/>
      <c r="AC3940" s="1"/>
      <c r="AD3940" s="1"/>
      <c r="AE3940" s="1"/>
      <c r="AF3940" s="1"/>
      <c r="AG3940" s="1"/>
      <c r="AH3940" s="1"/>
    </row>
    <row r="3941" ht="12.75" hidden="1" customHeight="1" outlineLevel="1">
      <c r="A3941" s="17">
        <v>41688.0</v>
      </c>
      <c r="B3941" s="1" t="s">
        <v>347</v>
      </c>
      <c r="C3941" s="1" t="s">
        <v>1275</v>
      </c>
      <c r="D3941" s="74">
        <v>700.0</v>
      </c>
      <c r="E3941" s="67">
        <v>34.07</v>
      </c>
      <c r="F3941" s="75">
        <v>0.5172453703703704</v>
      </c>
      <c r="G3941" s="67" t="s">
        <v>453</v>
      </c>
      <c r="H3941" s="68">
        <v>3.31</v>
      </c>
      <c r="I3941" s="76"/>
      <c r="J3941" s="67">
        <f t="shared" ref="J3941:J3948" si="253">IF(B3941="SLD",D3941*E3941,-D3941*E3941)-H3941</f>
        <v>23845.69</v>
      </c>
      <c r="K3941" s="7"/>
      <c r="L3941" s="70"/>
      <c r="M3941" s="79"/>
      <c r="N3941" s="1"/>
      <c r="O3941" s="1"/>
      <c r="P3941" s="1"/>
      <c r="Q3941" s="1"/>
      <c r="R3941" s="1"/>
      <c r="S3941" s="1"/>
      <c r="T3941" s="1"/>
      <c r="U3941" s="1"/>
      <c r="V3941" s="1"/>
      <c r="W3941" s="1"/>
      <c r="X3941" s="1"/>
      <c r="Y3941" s="1"/>
      <c r="Z3941" s="1"/>
      <c r="AA3941" s="1"/>
      <c r="AB3941" s="1"/>
      <c r="AC3941" s="1"/>
      <c r="AD3941" s="1"/>
      <c r="AE3941" s="1"/>
      <c r="AF3941" s="1"/>
      <c r="AG3941" s="1"/>
      <c r="AH3941" s="1"/>
    </row>
    <row r="3942" ht="12.75" hidden="1" customHeight="1" outlineLevel="1">
      <c r="A3942" s="17">
        <v>41688.0</v>
      </c>
      <c r="B3942" s="1" t="s">
        <v>347</v>
      </c>
      <c r="C3942" s="1" t="s">
        <v>1370</v>
      </c>
      <c r="D3942" s="74">
        <v>400.0</v>
      </c>
      <c r="E3942" s="67">
        <v>61.41</v>
      </c>
      <c r="F3942" s="75">
        <v>0.5174189814814815</v>
      </c>
      <c r="G3942" s="67" t="s">
        <v>453</v>
      </c>
      <c r="H3942" s="68">
        <v>2.23</v>
      </c>
      <c r="I3942" s="76"/>
      <c r="J3942" s="67">
        <f t="shared" si="253"/>
        <v>24561.77</v>
      </c>
      <c r="K3942" s="7"/>
      <c r="L3942" s="70"/>
      <c r="M3942" s="79"/>
      <c r="N3942" s="1"/>
      <c r="O3942" s="1"/>
      <c r="P3942" s="1"/>
      <c r="Q3942" s="1"/>
      <c r="R3942" s="1"/>
      <c r="S3942" s="1"/>
      <c r="T3942" s="1"/>
      <c r="U3942" s="1"/>
      <c r="V3942" s="1"/>
      <c r="W3942" s="1"/>
      <c r="X3942" s="1"/>
      <c r="Y3942" s="1"/>
      <c r="Z3942" s="1"/>
      <c r="AA3942" s="1"/>
      <c r="AB3942" s="1"/>
      <c r="AC3942" s="1"/>
      <c r="AD3942" s="1"/>
      <c r="AE3942" s="1"/>
      <c r="AF3942" s="1"/>
      <c r="AG3942" s="1"/>
      <c r="AH3942" s="1"/>
    </row>
    <row r="3943" ht="12.75" hidden="1" customHeight="1" outlineLevel="1">
      <c r="A3943" s="17">
        <v>41688.0</v>
      </c>
      <c r="B3943" s="1" t="s">
        <v>347</v>
      </c>
      <c r="C3943" s="1" t="s">
        <v>1112</v>
      </c>
      <c r="D3943" s="74">
        <v>300.0</v>
      </c>
      <c r="E3943" s="67">
        <v>86.14</v>
      </c>
      <c r="F3943" s="75">
        <v>0.5218634259259259</v>
      </c>
      <c r="G3943" s="67" t="s">
        <v>453</v>
      </c>
      <c r="H3943" s="68">
        <v>1.65</v>
      </c>
      <c r="I3943" s="76"/>
      <c r="J3943" s="67">
        <f t="shared" si="253"/>
        <v>25840.35</v>
      </c>
      <c r="K3943" s="7"/>
      <c r="L3943" s="70"/>
      <c r="M3943" s="79"/>
      <c r="N3943" s="1"/>
      <c r="O3943" s="1"/>
      <c r="P3943" s="1"/>
      <c r="Q3943" s="1"/>
      <c r="R3943" s="1"/>
      <c r="S3943" s="1"/>
      <c r="T3943" s="1"/>
      <c r="U3943" s="1"/>
      <c r="V3943" s="1"/>
      <c r="W3943" s="1"/>
      <c r="X3943" s="1"/>
      <c r="Y3943" s="1"/>
      <c r="Z3943" s="1"/>
      <c r="AA3943" s="1"/>
      <c r="AB3943" s="1"/>
      <c r="AC3943" s="1"/>
      <c r="AD3943" s="1"/>
      <c r="AE3943" s="1"/>
      <c r="AF3943" s="1"/>
      <c r="AG3943" s="1"/>
      <c r="AH3943" s="1"/>
    </row>
    <row r="3944" ht="12.75" hidden="1" customHeight="1" outlineLevel="1">
      <c r="A3944" s="17">
        <v>41688.0</v>
      </c>
      <c r="B3944" s="1" t="s">
        <v>347</v>
      </c>
      <c r="C3944" s="1" t="s">
        <v>354</v>
      </c>
      <c r="D3944" s="74">
        <v>200.0</v>
      </c>
      <c r="E3944" s="67">
        <v>114.51</v>
      </c>
      <c r="F3944" s="75">
        <v>0.527962962962963</v>
      </c>
      <c r="G3944" s="67" t="s">
        <v>453</v>
      </c>
      <c r="H3944" s="68">
        <v>1.4</v>
      </c>
      <c r="I3944" s="76"/>
      <c r="J3944" s="67">
        <f t="shared" si="253"/>
        <v>22900.6</v>
      </c>
      <c r="K3944" s="7"/>
      <c r="L3944" s="70"/>
      <c r="M3944" s="79"/>
      <c r="N3944" s="1"/>
      <c r="O3944" s="1"/>
      <c r="P3944" s="1"/>
      <c r="Q3944" s="1"/>
      <c r="R3944" s="1"/>
      <c r="S3944" s="1"/>
      <c r="T3944" s="1"/>
      <c r="U3944" s="1"/>
      <c r="V3944" s="1"/>
      <c r="W3944" s="1"/>
      <c r="X3944" s="1"/>
      <c r="Y3944" s="1"/>
      <c r="Z3944" s="1"/>
      <c r="AA3944" s="1"/>
      <c r="AB3944" s="1"/>
      <c r="AC3944" s="1"/>
      <c r="AD3944" s="1"/>
      <c r="AE3944" s="1"/>
      <c r="AF3944" s="1"/>
      <c r="AG3944" s="1"/>
      <c r="AH3944" s="1"/>
    </row>
    <row r="3945" ht="12.75" hidden="1" customHeight="1" outlineLevel="1">
      <c r="A3945" s="17">
        <v>41688.0</v>
      </c>
      <c r="B3945" s="1" t="s">
        <v>347</v>
      </c>
      <c r="C3945" s="1" t="s">
        <v>1371</v>
      </c>
      <c r="D3945" s="74">
        <v>800.0</v>
      </c>
      <c r="E3945" s="67">
        <v>36.82</v>
      </c>
      <c r="F3945" s="75">
        <v>0.5283564814814815</v>
      </c>
      <c r="G3945" s="67" t="s">
        <v>453</v>
      </c>
      <c r="H3945" s="68">
        <v>3.71</v>
      </c>
      <c r="I3945" s="76"/>
      <c r="J3945" s="67">
        <f t="shared" si="253"/>
        <v>29452.29</v>
      </c>
      <c r="K3945" s="7"/>
      <c r="L3945" s="70"/>
      <c r="M3945" s="79"/>
      <c r="N3945" s="1"/>
      <c r="O3945" s="1"/>
      <c r="P3945" s="1"/>
      <c r="Q3945" s="1"/>
      <c r="R3945" s="1"/>
      <c r="S3945" s="1"/>
      <c r="T3945" s="1"/>
      <c r="U3945" s="1"/>
      <c r="V3945" s="1"/>
      <c r="W3945" s="1"/>
      <c r="X3945" s="1"/>
      <c r="Y3945" s="1"/>
      <c r="Z3945" s="1"/>
      <c r="AA3945" s="1"/>
      <c r="AB3945" s="1"/>
      <c r="AC3945" s="1"/>
      <c r="AD3945" s="1"/>
      <c r="AE3945" s="1"/>
      <c r="AF3945" s="1"/>
      <c r="AG3945" s="1"/>
      <c r="AH3945" s="1"/>
    </row>
    <row r="3946" ht="12.75" hidden="1" customHeight="1" outlineLevel="1">
      <c r="A3946" s="17">
        <v>41688.0</v>
      </c>
      <c r="B3946" s="1" t="s">
        <v>347</v>
      </c>
      <c r="C3946" s="1" t="s">
        <v>354</v>
      </c>
      <c r="D3946" s="74">
        <v>200.0</v>
      </c>
      <c r="E3946" s="67">
        <v>114.25</v>
      </c>
      <c r="F3946" s="75">
        <v>0.5314467592592592</v>
      </c>
      <c r="G3946" s="67" t="s">
        <v>453</v>
      </c>
      <c r="H3946" s="68">
        <v>1.4</v>
      </c>
      <c r="I3946" s="76"/>
      <c r="J3946" s="67">
        <f t="shared" si="253"/>
        <v>22848.6</v>
      </c>
      <c r="K3946" s="7"/>
      <c r="L3946" s="70"/>
      <c r="M3946" s="79"/>
      <c r="N3946" s="1"/>
      <c r="O3946" s="1"/>
      <c r="P3946" s="1"/>
      <c r="Q3946" s="1"/>
      <c r="R3946" s="1"/>
      <c r="S3946" s="1"/>
      <c r="T3946" s="1"/>
      <c r="U3946" s="1"/>
      <c r="V3946" s="1"/>
      <c r="W3946" s="1"/>
      <c r="X3946" s="1"/>
      <c r="Y3946" s="1"/>
      <c r="Z3946" s="1"/>
      <c r="AA3946" s="1"/>
      <c r="AB3946" s="1"/>
      <c r="AC3946" s="1"/>
      <c r="AD3946" s="1"/>
      <c r="AE3946" s="1"/>
      <c r="AF3946" s="1"/>
      <c r="AG3946" s="1"/>
      <c r="AH3946" s="1"/>
    </row>
    <row r="3947" ht="12.75" hidden="1" customHeight="1" outlineLevel="1">
      <c r="A3947" s="17">
        <v>41688.0</v>
      </c>
      <c r="B3947" s="1" t="s">
        <v>347</v>
      </c>
      <c r="C3947" s="1" t="s">
        <v>870</v>
      </c>
      <c r="D3947" s="74">
        <v>250.0</v>
      </c>
      <c r="E3947" s="67">
        <v>87.57</v>
      </c>
      <c r="F3947" s="75">
        <v>0.5668634259259259</v>
      </c>
      <c r="G3947" s="67" t="s">
        <v>453</v>
      </c>
      <c r="H3947" s="68">
        <v>1.53</v>
      </c>
      <c r="I3947" s="76"/>
      <c r="J3947" s="67">
        <f t="shared" si="253"/>
        <v>21890.97</v>
      </c>
      <c r="K3947" s="7"/>
      <c r="L3947" s="70"/>
      <c r="M3947" s="79"/>
      <c r="N3947" s="1"/>
      <c r="O3947" s="1"/>
      <c r="P3947" s="1"/>
      <c r="Q3947" s="1"/>
      <c r="R3947" s="1"/>
      <c r="S3947" s="1"/>
      <c r="T3947" s="1"/>
      <c r="U3947" s="1"/>
      <c r="V3947" s="1"/>
      <c r="W3947" s="1"/>
      <c r="X3947" s="1"/>
      <c r="Y3947" s="1"/>
      <c r="Z3947" s="1"/>
      <c r="AA3947" s="1"/>
      <c r="AB3947" s="1"/>
      <c r="AC3947" s="1"/>
      <c r="AD3947" s="1"/>
      <c r="AE3947" s="1"/>
      <c r="AF3947" s="1"/>
      <c r="AG3947" s="1"/>
      <c r="AH3947" s="1"/>
    </row>
    <row r="3948" ht="12.75" hidden="1" customHeight="1" outlineLevel="1">
      <c r="A3948" s="17">
        <v>41688.0</v>
      </c>
      <c r="B3948" s="1" t="s">
        <v>347</v>
      </c>
      <c r="C3948" s="1" t="s">
        <v>605</v>
      </c>
      <c r="D3948" s="74">
        <v>300.0</v>
      </c>
      <c r="E3948" s="67">
        <v>76.213</v>
      </c>
      <c r="F3948" s="75">
        <v>0.567037037037037</v>
      </c>
      <c r="G3948" s="67" t="s">
        <v>453</v>
      </c>
      <c r="H3948" s="68">
        <v>1.9</v>
      </c>
      <c r="I3948" s="76"/>
      <c r="J3948" s="67">
        <f t="shared" si="253"/>
        <v>22862</v>
      </c>
      <c r="K3948" s="7"/>
      <c r="L3948" s="70"/>
      <c r="M3948" s="79"/>
      <c r="N3948" s="1"/>
      <c r="O3948" s="1"/>
      <c r="P3948" s="1"/>
      <c r="Q3948" s="1"/>
      <c r="R3948" s="1"/>
      <c r="S3948" s="1"/>
      <c r="T3948" s="1"/>
      <c r="U3948" s="1"/>
      <c r="V3948" s="1"/>
      <c r="W3948" s="1"/>
      <c r="X3948" s="1"/>
      <c r="Y3948" s="1"/>
      <c r="Z3948" s="1"/>
      <c r="AA3948" s="1"/>
      <c r="AB3948" s="1"/>
      <c r="AC3948" s="1"/>
      <c r="AD3948" s="1"/>
      <c r="AE3948" s="1"/>
      <c r="AF3948" s="1"/>
      <c r="AG3948" s="1"/>
      <c r="AH3948" s="1"/>
    </row>
    <row r="3949" ht="12.75" hidden="1" customHeight="1" outlineLevel="1">
      <c r="A3949" s="17">
        <v>41688.0</v>
      </c>
      <c r="B3949" s="1"/>
      <c r="C3949" s="1" t="s">
        <v>339</v>
      </c>
      <c r="D3949" s="74"/>
      <c r="E3949" s="67"/>
      <c r="F3949" s="75"/>
      <c r="G3949" s="67"/>
      <c r="H3949" s="68"/>
      <c r="I3949" s="76"/>
      <c r="J3949" s="67"/>
      <c r="K3949" s="7" t="s">
        <v>1690</v>
      </c>
      <c r="L3949" s="77"/>
      <c r="M3949" s="79"/>
      <c r="N3949" s="1"/>
      <c r="O3949" s="1"/>
      <c r="P3949" s="1"/>
      <c r="Q3949" s="1"/>
      <c r="R3949" s="1"/>
      <c r="S3949" s="1"/>
      <c r="T3949" s="1"/>
      <c r="U3949" s="1"/>
      <c r="V3949" s="1"/>
      <c r="W3949" s="1"/>
      <c r="X3949" s="1"/>
      <c r="Y3949" s="1"/>
      <c r="Z3949" s="1"/>
      <c r="AA3949" s="1"/>
      <c r="AB3949" s="1"/>
      <c r="AC3949" s="1"/>
      <c r="AD3949" s="1"/>
      <c r="AE3949" s="1"/>
      <c r="AF3949" s="1"/>
      <c r="AG3949" s="1"/>
      <c r="AH3949" s="1"/>
    </row>
    <row r="3950" ht="12.75" hidden="1" customHeight="1" outlineLevel="1">
      <c r="A3950" s="17">
        <v>41688.0</v>
      </c>
      <c r="B3950" s="1"/>
      <c r="C3950" s="1" t="s">
        <v>429</v>
      </c>
      <c r="D3950" s="74"/>
      <c r="E3950" s="67"/>
      <c r="F3950" s="75"/>
      <c r="G3950" s="67"/>
      <c r="H3950" s="68"/>
      <c r="I3950" s="76"/>
      <c r="J3950" s="67"/>
      <c r="K3950" s="7" t="s">
        <v>1686</v>
      </c>
      <c r="L3950" s="77"/>
      <c r="M3950" s="79"/>
      <c r="N3950" s="1"/>
      <c r="O3950" s="1"/>
      <c r="P3950" s="1"/>
      <c r="Q3950" s="1"/>
      <c r="R3950" s="1"/>
      <c r="S3950" s="1"/>
      <c r="T3950" s="1"/>
      <c r="U3950" s="1"/>
      <c r="V3950" s="1"/>
      <c r="W3950" s="1"/>
      <c r="X3950" s="1"/>
      <c r="Y3950" s="1"/>
      <c r="Z3950" s="1"/>
      <c r="AA3950" s="1"/>
      <c r="AB3950" s="1"/>
      <c r="AC3950" s="1"/>
      <c r="AD3950" s="1"/>
      <c r="AE3950" s="1"/>
      <c r="AF3950" s="1"/>
      <c r="AG3950" s="1"/>
      <c r="AH3950" s="1"/>
    </row>
    <row r="3951" ht="12.75" hidden="1" customHeight="1" outlineLevel="1">
      <c r="A3951" s="17">
        <v>41688.0</v>
      </c>
      <c r="B3951" s="1"/>
      <c r="C3951" s="1" t="s">
        <v>431</v>
      </c>
      <c r="D3951" s="74"/>
      <c r="E3951" s="67"/>
      <c r="F3951" s="75"/>
      <c r="G3951" s="67"/>
      <c r="H3951" s="68"/>
      <c r="I3951" s="76"/>
      <c r="J3951" s="67"/>
      <c r="K3951" s="7" t="s">
        <v>1126</v>
      </c>
      <c r="L3951" s="77"/>
      <c r="M3951" s="79"/>
      <c r="N3951" s="1"/>
      <c r="O3951" s="1"/>
      <c r="P3951" s="1"/>
      <c r="Q3951" s="1"/>
      <c r="R3951" s="1"/>
      <c r="S3951" s="1"/>
      <c r="T3951" s="1"/>
      <c r="U3951" s="1"/>
      <c r="V3951" s="1"/>
      <c r="W3951" s="1"/>
      <c r="X3951" s="1"/>
      <c r="Y3951" s="1"/>
      <c r="Z3951" s="1"/>
      <c r="AA3951" s="1"/>
      <c r="AB3951" s="1"/>
      <c r="AC3951" s="1"/>
      <c r="AD3951" s="1"/>
      <c r="AE3951" s="1"/>
      <c r="AF3951" s="1"/>
      <c r="AG3951" s="1"/>
      <c r="AH3951" s="1"/>
    </row>
    <row r="3952" ht="12.75" hidden="1" customHeight="1" outlineLevel="1">
      <c r="A3952" s="17">
        <v>41688.0</v>
      </c>
      <c r="B3952" s="1"/>
      <c r="C3952" s="1" t="s">
        <v>433</v>
      </c>
      <c r="D3952" s="74"/>
      <c r="E3952" s="67"/>
      <c r="F3952" s="75"/>
      <c r="G3952" s="67"/>
      <c r="H3952" s="68"/>
      <c r="I3952" s="76"/>
      <c r="J3952" s="67"/>
      <c r="K3952" s="7" t="s">
        <v>1103</v>
      </c>
      <c r="L3952" s="77"/>
      <c r="M3952" s="79"/>
      <c r="N3952" s="1"/>
      <c r="O3952" s="1"/>
      <c r="P3952" s="1"/>
      <c r="Q3952" s="1"/>
      <c r="R3952" s="1"/>
      <c r="S3952" s="1"/>
      <c r="T3952" s="1"/>
      <c r="U3952" s="1"/>
      <c r="V3952" s="1"/>
      <c r="W3952" s="1"/>
      <c r="X3952" s="1"/>
      <c r="Y3952" s="1"/>
      <c r="Z3952" s="1"/>
      <c r="AA3952" s="1"/>
      <c r="AB3952" s="1"/>
      <c r="AC3952" s="1"/>
      <c r="AD3952" s="1"/>
      <c r="AE3952" s="1"/>
      <c r="AF3952" s="1"/>
      <c r="AG3952" s="1"/>
      <c r="AH3952" s="1"/>
    </row>
    <row r="3953" ht="12.75" hidden="1" customHeight="1" outlineLevel="1">
      <c r="A3953" s="17">
        <v>41688.0</v>
      </c>
      <c r="B3953" s="1"/>
      <c r="C3953" s="1" t="s">
        <v>435</v>
      </c>
      <c r="D3953" s="74"/>
      <c r="E3953" s="67"/>
      <c r="F3953" s="75"/>
      <c r="G3953" s="67"/>
      <c r="H3953" s="68"/>
      <c r="I3953" s="76"/>
      <c r="J3953" s="67"/>
      <c r="K3953" s="7" t="s">
        <v>1507</v>
      </c>
      <c r="L3953" s="77"/>
      <c r="M3953" s="79"/>
      <c r="N3953" s="1"/>
      <c r="O3953" s="1"/>
      <c r="P3953" s="1"/>
      <c r="Q3953" s="1"/>
      <c r="R3953" s="1"/>
      <c r="S3953" s="1"/>
      <c r="T3953" s="1"/>
      <c r="U3953" s="1"/>
      <c r="V3953" s="1"/>
      <c r="W3953" s="1"/>
      <c r="X3953" s="1"/>
      <c r="Y3953" s="1"/>
      <c r="Z3953" s="1"/>
      <c r="AA3953" s="1"/>
      <c r="AB3953" s="1"/>
      <c r="AC3953" s="1"/>
      <c r="AD3953" s="1"/>
      <c r="AE3953" s="1"/>
      <c r="AF3953" s="1"/>
      <c r="AG3953" s="1"/>
      <c r="AH3953" s="1"/>
    </row>
    <row r="3954" ht="12.75" hidden="1" customHeight="1" outlineLevel="1">
      <c r="A3954" s="17">
        <v>41689.0</v>
      </c>
      <c r="B3954" s="1" t="s">
        <v>347</v>
      </c>
      <c r="C3954" s="1" t="s">
        <v>1006</v>
      </c>
      <c r="D3954" s="74">
        <v>100.0</v>
      </c>
      <c r="E3954" s="67">
        <v>53.51</v>
      </c>
      <c r="F3954" s="75">
        <v>0.6478125</v>
      </c>
      <c r="G3954" s="67" t="s">
        <v>453</v>
      </c>
      <c r="H3954" s="68">
        <v>1.09</v>
      </c>
      <c r="I3954" s="76"/>
      <c r="J3954" s="67">
        <f>IF(B3954="SLD",D3954*E3954,-D3954*E3954)-H3954</f>
        <v>5349.91</v>
      </c>
      <c r="K3954" s="7"/>
      <c r="L3954" s="70"/>
      <c r="M3954" s="79"/>
      <c r="N3954" s="1"/>
      <c r="O3954" s="1"/>
      <c r="P3954" s="1"/>
      <c r="Q3954" s="1"/>
      <c r="R3954" s="1"/>
      <c r="S3954" s="1"/>
      <c r="T3954" s="1"/>
      <c r="U3954" s="1"/>
      <c r="V3954" s="1"/>
      <c r="W3954" s="1"/>
      <c r="X3954" s="1"/>
      <c r="Y3954" s="1"/>
      <c r="Z3954" s="1"/>
      <c r="AA3954" s="1"/>
      <c r="AB3954" s="1"/>
      <c r="AC3954" s="1"/>
      <c r="AD3954" s="1"/>
      <c r="AE3954" s="1"/>
      <c r="AF3954" s="1"/>
      <c r="AG3954" s="1"/>
      <c r="AH3954" s="1"/>
    </row>
    <row r="3955" ht="12.75" hidden="1" customHeight="1" outlineLevel="1">
      <c r="A3955" s="17">
        <v>41689.0</v>
      </c>
      <c r="B3955" s="1"/>
      <c r="C3955" s="1" t="s">
        <v>339</v>
      </c>
      <c r="D3955" s="74"/>
      <c r="E3955" s="67"/>
      <c r="F3955" s="75"/>
      <c r="G3955" s="67"/>
      <c r="H3955" s="68"/>
      <c r="I3955" s="76"/>
      <c r="J3955" s="67"/>
      <c r="K3955" s="7" t="s">
        <v>1691</v>
      </c>
      <c r="L3955" s="77"/>
      <c r="M3955" s="79"/>
      <c r="N3955" s="1"/>
      <c r="O3955" s="1"/>
      <c r="P3955" s="1"/>
      <c r="Q3955" s="1"/>
      <c r="R3955" s="1"/>
      <c r="S3955" s="1"/>
      <c r="T3955" s="1"/>
      <c r="U3955" s="1"/>
      <c r="V3955" s="1"/>
      <c r="W3955" s="1"/>
      <c r="X3955" s="1"/>
      <c r="Y3955" s="1"/>
      <c r="Z3955" s="1"/>
      <c r="AA3955" s="1"/>
      <c r="AB3955" s="1"/>
      <c r="AC3955" s="1"/>
      <c r="AD3955" s="1"/>
      <c r="AE3955" s="1"/>
      <c r="AF3955" s="1"/>
      <c r="AG3955" s="1"/>
      <c r="AH3955" s="1"/>
    </row>
    <row r="3956" ht="12.75" hidden="1" customHeight="1" outlineLevel="1">
      <c r="A3956" s="17">
        <v>41689.0</v>
      </c>
      <c r="B3956" s="1"/>
      <c r="C3956" s="1" t="s">
        <v>429</v>
      </c>
      <c r="D3956" s="74"/>
      <c r="E3956" s="67"/>
      <c r="F3956" s="75"/>
      <c r="G3956" s="67"/>
      <c r="H3956" s="68"/>
      <c r="I3956" s="76"/>
      <c r="J3956" s="67"/>
      <c r="K3956" s="7" t="s">
        <v>1686</v>
      </c>
      <c r="L3956" s="77"/>
      <c r="M3956" s="79"/>
      <c r="N3956" s="1"/>
      <c r="O3956" s="1"/>
      <c r="P3956" s="1"/>
      <c r="Q3956" s="1"/>
      <c r="R3956" s="1"/>
      <c r="S3956" s="1"/>
      <c r="T3956" s="1"/>
      <c r="U3956" s="1"/>
      <c r="V3956" s="1"/>
      <c r="W3956" s="1"/>
      <c r="X3956" s="1"/>
      <c r="Y3956" s="1"/>
      <c r="Z3956" s="1"/>
      <c r="AA3956" s="1"/>
      <c r="AB3956" s="1"/>
      <c r="AC3956" s="1"/>
      <c r="AD3956" s="1"/>
      <c r="AE3956" s="1"/>
      <c r="AF3956" s="1"/>
      <c r="AG3956" s="1"/>
      <c r="AH3956" s="1"/>
    </row>
    <row r="3957" ht="12.75" hidden="1" customHeight="1" outlineLevel="1">
      <c r="A3957" s="17">
        <v>41689.0</v>
      </c>
      <c r="B3957" s="1"/>
      <c r="C3957" s="1" t="s">
        <v>431</v>
      </c>
      <c r="D3957" s="74"/>
      <c r="E3957" s="67"/>
      <c r="F3957" s="75"/>
      <c r="G3957" s="67"/>
      <c r="H3957" s="68"/>
      <c r="I3957" s="76"/>
      <c r="J3957" s="67"/>
      <c r="K3957" s="7" t="s">
        <v>1126</v>
      </c>
      <c r="L3957" s="77"/>
      <c r="M3957" s="79"/>
      <c r="N3957" s="1"/>
      <c r="O3957" s="1"/>
      <c r="P3957" s="1"/>
      <c r="Q3957" s="1"/>
      <c r="R3957" s="1"/>
      <c r="S3957" s="1"/>
      <c r="T3957" s="1"/>
      <c r="U3957" s="1"/>
      <c r="V3957" s="1"/>
      <c r="W3957" s="1"/>
      <c r="X3957" s="1"/>
      <c r="Y3957" s="1"/>
      <c r="Z3957" s="1"/>
      <c r="AA3957" s="1"/>
      <c r="AB3957" s="1"/>
      <c r="AC3957" s="1"/>
      <c r="AD3957" s="1"/>
      <c r="AE3957" s="1"/>
      <c r="AF3957" s="1"/>
      <c r="AG3957" s="1"/>
      <c r="AH3957" s="1"/>
    </row>
    <row r="3958" ht="12.75" hidden="1" customHeight="1" outlineLevel="1">
      <c r="A3958" s="17">
        <v>41689.0</v>
      </c>
      <c r="B3958" s="1"/>
      <c r="C3958" s="1" t="s">
        <v>433</v>
      </c>
      <c r="D3958" s="74"/>
      <c r="E3958" s="67"/>
      <c r="F3958" s="75"/>
      <c r="G3958" s="67"/>
      <c r="H3958" s="68"/>
      <c r="I3958" s="76"/>
      <c r="J3958" s="67"/>
      <c r="K3958" s="7" t="s">
        <v>1103</v>
      </c>
      <c r="L3958" s="77"/>
      <c r="M3958" s="79"/>
      <c r="N3958" s="1"/>
      <c r="O3958" s="1"/>
      <c r="P3958" s="1"/>
      <c r="Q3958" s="1"/>
      <c r="R3958" s="1"/>
      <c r="S3958" s="1"/>
      <c r="T3958" s="1"/>
      <c r="U3958" s="1"/>
      <c r="V3958" s="1"/>
      <c r="W3958" s="1"/>
      <c r="X3958" s="1"/>
      <c r="Y3958" s="1"/>
      <c r="Z3958" s="1"/>
      <c r="AA3958" s="1"/>
      <c r="AB3958" s="1"/>
      <c r="AC3958" s="1"/>
      <c r="AD3958" s="1"/>
      <c r="AE3958" s="1"/>
      <c r="AF3958" s="1"/>
      <c r="AG3958" s="1"/>
      <c r="AH3958" s="1"/>
    </row>
    <row r="3959" ht="12.75" hidden="1" customHeight="1" outlineLevel="1">
      <c r="A3959" s="17">
        <v>41689.0</v>
      </c>
      <c r="B3959" s="1"/>
      <c r="C3959" s="1" t="s">
        <v>435</v>
      </c>
      <c r="D3959" s="74"/>
      <c r="E3959" s="67"/>
      <c r="F3959" s="75"/>
      <c r="G3959" s="67"/>
      <c r="H3959" s="68"/>
      <c r="I3959" s="76"/>
      <c r="J3959" s="67"/>
      <c r="K3959" s="7" t="s">
        <v>1507</v>
      </c>
      <c r="L3959" s="77"/>
      <c r="M3959" s="79"/>
      <c r="N3959" s="1"/>
      <c r="O3959" s="1"/>
      <c r="P3959" s="1"/>
      <c r="Q3959" s="1"/>
      <c r="R3959" s="1"/>
      <c r="S3959" s="1"/>
      <c r="T3959" s="1"/>
      <c r="U3959" s="1"/>
      <c r="V3959" s="1"/>
      <c r="W3959" s="1"/>
      <c r="X3959" s="1"/>
      <c r="Y3959" s="1"/>
      <c r="Z3959" s="1"/>
      <c r="AA3959" s="1"/>
      <c r="AB3959" s="1"/>
      <c r="AC3959" s="1"/>
      <c r="AD3959" s="1"/>
      <c r="AE3959" s="1"/>
      <c r="AF3959" s="1"/>
      <c r="AG3959" s="1"/>
      <c r="AH3959" s="1"/>
    </row>
    <row r="3960" ht="12.75" hidden="1" customHeight="1" outlineLevel="1">
      <c r="A3960" s="17">
        <v>41690.0</v>
      </c>
      <c r="B3960" s="1"/>
      <c r="C3960" s="1" t="s">
        <v>339</v>
      </c>
      <c r="D3960" s="74"/>
      <c r="E3960" s="67"/>
      <c r="F3960" s="75"/>
      <c r="G3960" s="67"/>
      <c r="H3960" s="68"/>
      <c r="I3960" s="76"/>
      <c r="J3960" s="67"/>
      <c r="K3960" s="7" t="s">
        <v>1692</v>
      </c>
      <c r="L3960" s="77"/>
      <c r="M3960" s="79"/>
      <c r="N3960" s="1"/>
      <c r="O3960" s="1"/>
      <c r="P3960" s="1"/>
      <c r="Q3960" s="1"/>
      <c r="R3960" s="1"/>
      <c r="S3960" s="1"/>
      <c r="T3960" s="1"/>
      <c r="U3960" s="1"/>
      <c r="V3960" s="1"/>
      <c r="W3960" s="1"/>
      <c r="X3960" s="1"/>
      <c r="Y3960" s="1"/>
      <c r="Z3960" s="1"/>
      <c r="AA3960" s="1"/>
      <c r="AB3960" s="1"/>
      <c r="AC3960" s="1"/>
      <c r="AD3960" s="1"/>
      <c r="AE3960" s="1"/>
      <c r="AF3960" s="1"/>
      <c r="AG3960" s="1"/>
      <c r="AH3960" s="1"/>
    </row>
    <row r="3961" ht="12.75" hidden="1" customHeight="1" outlineLevel="1">
      <c r="A3961" s="17">
        <v>41690.0</v>
      </c>
      <c r="B3961" s="1"/>
      <c r="C3961" s="1" t="s">
        <v>429</v>
      </c>
      <c r="D3961" s="74"/>
      <c r="E3961" s="67"/>
      <c r="F3961" s="75"/>
      <c r="G3961" s="67"/>
      <c r="H3961" s="68"/>
      <c r="I3961" s="76"/>
      <c r="J3961" s="67"/>
      <c r="K3961" s="7" t="s">
        <v>1686</v>
      </c>
      <c r="L3961" s="77"/>
      <c r="M3961" s="79"/>
      <c r="N3961" s="1"/>
      <c r="O3961" s="1"/>
      <c r="P3961" s="1"/>
      <c r="Q3961" s="1"/>
      <c r="R3961" s="1"/>
      <c r="S3961" s="1"/>
      <c r="T3961" s="1"/>
      <c r="U3961" s="1"/>
      <c r="V3961" s="1"/>
      <c r="W3961" s="1"/>
      <c r="X3961" s="1"/>
      <c r="Y3961" s="1"/>
      <c r="Z3961" s="1"/>
      <c r="AA3961" s="1"/>
      <c r="AB3961" s="1"/>
      <c r="AC3961" s="1"/>
      <c r="AD3961" s="1"/>
      <c r="AE3961" s="1"/>
      <c r="AF3961" s="1"/>
      <c r="AG3961" s="1"/>
      <c r="AH3961" s="1"/>
    </row>
    <row r="3962" ht="12.75" hidden="1" customHeight="1" outlineLevel="1">
      <c r="A3962" s="17">
        <v>41690.0</v>
      </c>
      <c r="B3962" s="1"/>
      <c r="C3962" s="1" t="s">
        <v>431</v>
      </c>
      <c r="D3962" s="74"/>
      <c r="E3962" s="67"/>
      <c r="F3962" s="75"/>
      <c r="G3962" s="67"/>
      <c r="H3962" s="68"/>
      <c r="I3962" s="76"/>
      <c r="J3962" s="67"/>
      <c r="K3962" s="7" t="s">
        <v>1126</v>
      </c>
      <c r="L3962" s="77"/>
      <c r="M3962" s="79"/>
      <c r="N3962" s="1"/>
      <c r="O3962" s="1"/>
      <c r="P3962" s="1"/>
      <c r="Q3962" s="1"/>
      <c r="R3962" s="1"/>
      <c r="S3962" s="1"/>
      <c r="T3962" s="1"/>
      <c r="U3962" s="1"/>
      <c r="V3962" s="1"/>
      <c r="W3962" s="1"/>
      <c r="X3962" s="1"/>
      <c r="Y3962" s="1"/>
      <c r="Z3962" s="1"/>
      <c r="AA3962" s="1"/>
      <c r="AB3962" s="1"/>
      <c r="AC3962" s="1"/>
      <c r="AD3962" s="1"/>
      <c r="AE3962" s="1"/>
      <c r="AF3962" s="1"/>
      <c r="AG3962" s="1"/>
      <c r="AH3962" s="1"/>
    </row>
    <row r="3963" ht="12.75" hidden="1" customHeight="1" outlineLevel="1">
      <c r="A3963" s="17">
        <v>41690.0</v>
      </c>
      <c r="B3963" s="1"/>
      <c r="C3963" s="1" t="s">
        <v>433</v>
      </c>
      <c r="D3963" s="74"/>
      <c r="E3963" s="67"/>
      <c r="F3963" s="75"/>
      <c r="G3963" s="67"/>
      <c r="H3963" s="68"/>
      <c r="I3963" s="76"/>
      <c r="J3963" s="67"/>
      <c r="K3963" s="7" t="s">
        <v>1103</v>
      </c>
      <c r="L3963" s="77"/>
      <c r="M3963" s="79"/>
      <c r="N3963" s="1"/>
      <c r="O3963" s="1"/>
      <c r="P3963" s="1"/>
      <c r="Q3963" s="1"/>
      <c r="R3963" s="1"/>
      <c r="S3963" s="1"/>
      <c r="T3963" s="1"/>
      <c r="U3963" s="1"/>
      <c r="V3963" s="1"/>
      <c r="W3963" s="1"/>
      <c r="X3963" s="1"/>
      <c r="Y3963" s="1"/>
      <c r="Z3963" s="1"/>
      <c r="AA3963" s="1"/>
      <c r="AB3963" s="1"/>
      <c r="AC3963" s="1"/>
      <c r="AD3963" s="1"/>
      <c r="AE3963" s="1"/>
      <c r="AF3963" s="1"/>
      <c r="AG3963" s="1"/>
      <c r="AH3963" s="1"/>
    </row>
    <row r="3964" ht="12.75" hidden="1" customHeight="1" outlineLevel="1">
      <c r="A3964" s="17">
        <v>41690.0</v>
      </c>
      <c r="B3964" s="1"/>
      <c r="C3964" s="1" t="s">
        <v>435</v>
      </c>
      <c r="D3964" s="74"/>
      <c r="E3964" s="67"/>
      <c r="F3964" s="75"/>
      <c r="G3964" s="67"/>
      <c r="H3964" s="68"/>
      <c r="I3964" s="76"/>
      <c r="J3964" s="67"/>
      <c r="K3964" s="7" t="s">
        <v>1507</v>
      </c>
      <c r="L3964" s="77"/>
      <c r="M3964" s="79"/>
      <c r="N3964" s="1"/>
      <c r="O3964" s="1"/>
      <c r="P3964" s="1"/>
      <c r="Q3964" s="1"/>
      <c r="R3964" s="1"/>
      <c r="S3964" s="1"/>
      <c r="T3964" s="1"/>
      <c r="U3964" s="1"/>
      <c r="V3964" s="1"/>
      <c r="W3964" s="1"/>
      <c r="X3964" s="1"/>
      <c r="Y3964" s="1"/>
      <c r="Z3964" s="1"/>
      <c r="AA3964" s="1"/>
      <c r="AB3964" s="1"/>
      <c r="AC3964" s="1"/>
      <c r="AD3964" s="1"/>
      <c r="AE3964" s="1"/>
      <c r="AF3964" s="1"/>
      <c r="AG3964" s="1"/>
      <c r="AH3964" s="1"/>
    </row>
    <row r="3965" ht="12.75" hidden="1" customHeight="1" outlineLevel="1">
      <c r="A3965" s="17">
        <v>41690.0</v>
      </c>
      <c r="B3965" s="1"/>
      <c r="C3965" s="1" t="s">
        <v>339</v>
      </c>
      <c r="D3965" s="74"/>
      <c r="E3965" s="67"/>
      <c r="F3965" s="75"/>
      <c r="G3965" s="67"/>
      <c r="H3965" s="68"/>
      <c r="I3965" s="76"/>
      <c r="J3965" s="67"/>
      <c r="K3965" s="7" t="s">
        <v>1693</v>
      </c>
      <c r="L3965" s="77"/>
      <c r="M3965" s="79"/>
      <c r="N3965" s="1"/>
      <c r="O3965" s="1"/>
      <c r="P3965" s="1"/>
      <c r="Q3965" s="1"/>
      <c r="R3965" s="1"/>
      <c r="S3965" s="1"/>
      <c r="T3965" s="1"/>
      <c r="U3965" s="1"/>
      <c r="V3965" s="1"/>
      <c r="W3965" s="1"/>
      <c r="X3965" s="1"/>
      <c r="Y3965" s="1"/>
      <c r="Z3965" s="1"/>
      <c r="AA3965" s="1"/>
      <c r="AB3965" s="1"/>
      <c r="AC3965" s="1"/>
      <c r="AD3965" s="1"/>
      <c r="AE3965" s="1"/>
      <c r="AF3965" s="1"/>
      <c r="AG3965" s="1"/>
      <c r="AH3965" s="1"/>
    </row>
    <row r="3966" ht="12.75" hidden="1" customHeight="1" outlineLevel="1">
      <c r="A3966" s="17">
        <v>41690.0</v>
      </c>
      <c r="B3966" s="1"/>
      <c r="C3966" s="1" t="s">
        <v>429</v>
      </c>
      <c r="D3966" s="74"/>
      <c r="E3966" s="67"/>
      <c r="F3966" s="75"/>
      <c r="G3966" s="67"/>
      <c r="H3966" s="68"/>
      <c r="I3966" s="76"/>
      <c r="J3966" s="67"/>
      <c r="K3966" s="7" t="s">
        <v>1686</v>
      </c>
      <c r="L3966" s="77"/>
      <c r="M3966" s="79"/>
      <c r="N3966" s="1"/>
      <c r="O3966" s="1"/>
      <c r="P3966" s="1"/>
      <c r="Q3966" s="1"/>
      <c r="R3966" s="1"/>
      <c r="S3966" s="1"/>
      <c r="T3966" s="1"/>
      <c r="U3966" s="1"/>
      <c r="V3966" s="1"/>
      <c r="W3966" s="1"/>
      <c r="X3966" s="1"/>
      <c r="Y3966" s="1"/>
      <c r="Z3966" s="1"/>
      <c r="AA3966" s="1"/>
      <c r="AB3966" s="1"/>
      <c r="AC3966" s="1"/>
      <c r="AD3966" s="1"/>
      <c r="AE3966" s="1"/>
      <c r="AF3966" s="1"/>
      <c r="AG3966" s="1"/>
      <c r="AH3966" s="1"/>
    </row>
    <row r="3967" ht="12.75" hidden="1" customHeight="1" outlineLevel="1">
      <c r="A3967" s="17">
        <v>41690.0</v>
      </c>
      <c r="B3967" s="1"/>
      <c r="C3967" s="1" t="s">
        <v>431</v>
      </c>
      <c r="D3967" s="74"/>
      <c r="E3967" s="67"/>
      <c r="F3967" s="75"/>
      <c r="G3967" s="67"/>
      <c r="H3967" s="68"/>
      <c r="I3967" s="76"/>
      <c r="J3967" s="67"/>
      <c r="K3967" s="7" t="s">
        <v>1126</v>
      </c>
      <c r="L3967" s="77"/>
      <c r="M3967" s="79"/>
      <c r="N3967" s="1"/>
      <c r="O3967" s="1"/>
      <c r="P3967" s="1"/>
      <c r="Q3967" s="1"/>
      <c r="R3967" s="1"/>
      <c r="S3967" s="1"/>
      <c r="T3967" s="1"/>
      <c r="U3967" s="1"/>
      <c r="V3967" s="1"/>
      <c r="W3967" s="1"/>
      <c r="X3967" s="1"/>
      <c r="Y3967" s="1"/>
      <c r="Z3967" s="1"/>
      <c r="AA3967" s="1"/>
      <c r="AB3967" s="1"/>
      <c r="AC3967" s="1"/>
      <c r="AD3967" s="1"/>
      <c r="AE3967" s="1"/>
      <c r="AF3967" s="1"/>
      <c r="AG3967" s="1"/>
      <c r="AH3967" s="1"/>
    </row>
    <row r="3968" ht="12.75" hidden="1" customHeight="1" outlineLevel="1">
      <c r="A3968" s="17">
        <v>41690.0</v>
      </c>
      <c r="B3968" s="1"/>
      <c r="C3968" s="1" t="s">
        <v>433</v>
      </c>
      <c r="D3968" s="74"/>
      <c r="E3968" s="67"/>
      <c r="F3968" s="75"/>
      <c r="G3968" s="67"/>
      <c r="H3968" s="68"/>
      <c r="I3968" s="76"/>
      <c r="J3968" s="67"/>
      <c r="K3968" s="7" t="s">
        <v>1103</v>
      </c>
      <c r="L3968" s="77"/>
      <c r="M3968" s="79"/>
      <c r="N3968" s="1"/>
      <c r="O3968" s="1"/>
      <c r="P3968" s="1"/>
      <c r="Q3968" s="1"/>
      <c r="R3968" s="1"/>
      <c r="S3968" s="1"/>
      <c r="T3968" s="1"/>
      <c r="U3968" s="1"/>
      <c r="V3968" s="1"/>
      <c r="W3968" s="1"/>
      <c r="X3968" s="1"/>
      <c r="Y3968" s="1"/>
      <c r="Z3968" s="1"/>
      <c r="AA3968" s="1"/>
      <c r="AB3968" s="1"/>
      <c r="AC3968" s="1"/>
      <c r="AD3968" s="1"/>
      <c r="AE3968" s="1"/>
      <c r="AF3968" s="1"/>
      <c r="AG3968" s="1"/>
      <c r="AH3968" s="1"/>
    </row>
    <row r="3969" ht="12.75" hidden="1" customHeight="1" outlineLevel="1">
      <c r="A3969" s="17">
        <v>41690.0</v>
      </c>
      <c r="B3969" s="1"/>
      <c r="C3969" s="1" t="s">
        <v>435</v>
      </c>
      <c r="D3969" s="74"/>
      <c r="E3969" s="67"/>
      <c r="F3969" s="75"/>
      <c r="G3969" s="67"/>
      <c r="H3969" s="68"/>
      <c r="I3969" s="76"/>
      <c r="J3969" s="67"/>
      <c r="K3969" s="7" t="s">
        <v>1507</v>
      </c>
      <c r="L3969" s="77"/>
      <c r="M3969" s="79"/>
      <c r="N3969" s="1"/>
      <c r="O3969" s="1"/>
      <c r="P3969" s="1"/>
      <c r="Q3969" s="1"/>
      <c r="R3969" s="1"/>
      <c r="S3969" s="1"/>
      <c r="T3969" s="1"/>
      <c r="U3969" s="1"/>
      <c r="V3969" s="1"/>
      <c r="W3969" s="1"/>
      <c r="X3969" s="1"/>
      <c r="Y3969" s="1"/>
      <c r="Z3969" s="1"/>
      <c r="AA3969" s="1"/>
      <c r="AB3969" s="1"/>
      <c r="AC3969" s="1"/>
      <c r="AD3969" s="1"/>
      <c r="AE3969" s="1"/>
      <c r="AF3969" s="1"/>
      <c r="AG3969" s="1"/>
      <c r="AH3969" s="1"/>
    </row>
    <row r="3970" ht="12.75" hidden="1" customHeight="1" outlineLevel="1">
      <c r="A3970" s="17">
        <v>41691.0</v>
      </c>
      <c r="B3970" s="1" t="s">
        <v>343</v>
      </c>
      <c r="C3970" s="1" t="s">
        <v>1371</v>
      </c>
      <c r="D3970" s="74">
        <v>800.0</v>
      </c>
      <c r="E3970" s="67">
        <v>35.91</v>
      </c>
      <c r="F3970" s="75">
        <v>0.5018055555555555</v>
      </c>
      <c r="G3970" s="67" t="s">
        <v>453</v>
      </c>
      <c r="H3970" s="68">
        <v>4.0</v>
      </c>
      <c r="I3970" s="76"/>
      <c r="J3970" s="67">
        <f t="shared" ref="J3970:J3973" si="254">IF(B3970="SLD",D3970*E3970,-D3970*E3970)-H3970</f>
        <v>-28732</v>
      </c>
      <c r="K3970" s="7"/>
      <c r="L3970" s="70"/>
      <c r="M3970" s="79"/>
      <c r="N3970" s="1"/>
      <c r="O3970" s="1"/>
      <c r="P3970" s="1"/>
      <c r="Q3970" s="1"/>
      <c r="R3970" s="1"/>
      <c r="S3970" s="1"/>
      <c r="T3970" s="1"/>
      <c r="U3970" s="1"/>
      <c r="V3970" s="1"/>
      <c r="W3970" s="1"/>
      <c r="X3970" s="1"/>
      <c r="Y3970" s="1"/>
      <c r="Z3970" s="1"/>
      <c r="AA3970" s="1"/>
      <c r="AB3970" s="1"/>
      <c r="AC3970" s="1"/>
      <c r="AD3970" s="1"/>
      <c r="AE3970" s="1"/>
      <c r="AF3970" s="1"/>
      <c r="AG3970" s="1"/>
      <c r="AH3970" s="1"/>
    </row>
    <row r="3971" ht="12.75" hidden="1" customHeight="1" outlineLevel="1">
      <c r="A3971" s="17">
        <v>41691.0</v>
      </c>
      <c r="B3971" s="1" t="s">
        <v>343</v>
      </c>
      <c r="C3971" s="1" t="s">
        <v>354</v>
      </c>
      <c r="D3971" s="74">
        <v>400.0</v>
      </c>
      <c r="E3971" s="67">
        <v>108.396</v>
      </c>
      <c r="F3971" s="75">
        <v>0.5033564814814815</v>
      </c>
      <c r="G3971" s="67" t="s">
        <v>453</v>
      </c>
      <c r="H3971" s="68">
        <v>2.28</v>
      </c>
      <c r="I3971" s="76"/>
      <c r="J3971" s="67">
        <f t="shared" si="254"/>
        <v>-43360.68</v>
      </c>
      <c r="K3971" s="7"/>
      <c r="L3971" s="70"/>
      <c r="M3971" s="79"/>
      <c r="N3971" s="1"/>
      <c r="O3971" s="1"/>
      <c r="P3971" s="1"/>
      <c r="Q3971" s="1"/>
      <c r="R3971" s="1"/>
      <c r="S3971" s="1"/>
      <c r="T3971" s="1"/>
      <c r="U3971" s="1"/>
      <c r="V3971" s="1"/>
      <c r="W3971" s="1"/>
      <c r="X3971" s="1"/>
      <c r="Y3971" s="1"/>
      <c r="Z3971" s="1"/>
      <c r="AA3971" s="1"/>
      <c r="AB3971" s="1"/>
      <c r="AC3971" s="1"/>
      <c r="AD3971" s="1"/>
      <c r="AE3971" s="1"/>
      <c r="AF3971" s="1"/>
      <c r="AG3971" s="1"/>
      <c r="AH3971" s="1"/>
    </row>
    <row r="3972" ht="12.75" hidden="1" customHeight="1" outlineLevel="1">
      <c r="A3972" s="17">
        <v>41691.0</v>
      </c>
      <c r="B3972" s="1" t="s">
        <v>343</v>
      </c>
      <c r="C3972" s="1" t="s">
        <v>605</v>
      </c>
      <c r="D3972" s="74">
        <v>300.0</v>
      </c>
      <c r="E3972" s="67">
        <v>75.45</v>
      </c>
      <c r="F3972" s="75">
        <v>0.5143518518518518</v>
      </c>
      <c r="G3972" s="67" t="s">
        <v>453</v>
      </c>
      <c r="H3972" s="68">
        <v>1.49</v>
      </c>
      <c r="I3972" s="76"/>
      <c r="J3972" s="67">
        <f t="shared" si="254"/>
        <v>-22636.49</v>
      </c>
      <c r="K3972" s="7"/>
      <c r="L3972" s="70"/>
      <c r="M3972" s="79"/>
      <c r="N3972" s="1"/>
      <c r="O3972" s="1"/>
      <c r="P3972" s="1"/>
      <c r="Q3972" s="1"/>
      <c r="R3972" s="1"/>
      <c r="S3972" s="1"/>
      <c r="T3972" s="1"/>
      <c r="U3972" s="1"/>
      <c r="V3972" s="1"/>
      <c r="W3972" s="1"/>
      <c r="X3972" s="1"/>
      <c r="Y3972" s="1"/>
      <c r="Z3972" s="1"/>
      <c r="AA3972" s="1"/>
      <c r="AB3972" s="1"/>
      <c r="AC3972" s="1"/>
      <c r="AD3972" s="1"/>
      <c r="AE3972" s="1"/>
      <c r="AF3972" s="1"/>
      <c r="AG3972" s="1"/>
      <c r="AH3972" s="1"/>
    </row>
    <row r="3973" ht="12.75" hidden="1" customHeight="1" outlineLevel="1">
      <c r="A3973" s="17">
        <v>41691.0</v>
      </c>
      <c r="B3973" s="1" t="s">
        <v>343</v>
      </c>
      <c r="C3973" s="1" t="s">
        <v>870</v>
      </c>
      <c r="D3973" s="74">
        <v>250.0</v>
      </c>
      <c r="E3973" s="67">
        <v>88.44</v>
      </c>
      <c r="F3973" s="75">
        <v>0.5146527777777777</v>
      </c>
      <c r="G3973" s="67" t="s">
        <v>453</v>
      </c>
      <c r="H3973" s="68">
        <v>1.25</v>
      </c>
      <c r="I3973" s="76"/>
      <c r="J3973" s="67">
        <f t="shared" si="254"/>
        <v>-22111.25</v>
      </c>
      <c r="K3973" s="7"/>
      <c r="L3973" s="70"/>
      <c r="M3973" s="79"/>
      <c r="N3973" s="1"/>
      <c r="O3973" s="1"/>
      <c r="P3973" s="1"/>
      <c r="Q3973" s="1"/>
      <c r="R3973" s="1"/>
      <c r="S3973" s="1"/>
      <c r="T3973" s="1"/>
      <c r="U3973" s="1"/>
      <c r="V3973" s="1"/>
      <c r="W3973" s="1"/>
      <c r="X3973" s="1"/>
      <c r="Y3973" s="1"/>
      <c r="Z3973" s="1"/>
      <c r="AA3973" s="1"/>
      <c r="AB3973" s="1"/>
      <c r="AC3973" s="1"/>
      <c r="AD3973" s="1"/>
      <c r="AE3973" s="1"/>
      <c r="AF3973" s="1"/>
      <c r="AG3973" s="1"/>
      <c r="AH3973" s="1"/>
    </row>
    <row r="3974" ht="12.75" hidden="1" customHeight="1" outlineLevel="1">
      <c r="A3974" s="17">
        <v>41691.0</v>
      </c>
      <c r="B3974" s="1"/>
      <c r="C3974" s="1" t="s">
        <v>339</v>
      </c>
      <c r="D3974" s="74"/>
      <c r="E3974" s="67"/>
      <c r="F3974" s="75"/>
      <c r="G3974" s="67"/>
      <c r="H3974" s="68"/>
      <c r="I3974" s="76"/>
      <c r="J3974" s="67"/>
      <c r="K3974" s="7" t="s">
        <v>1698</v>
      </c>
      <c r="L3974" s="77"/>
      <c r="M3974" s="79"/>
      <c r="N3974" s="1"/>
      <c r="O3974" s="1"/>
      <c r="P3974" s="1"/>
      <c r="Q3974" s="1"/>
      <c r="R3974" s="1"/>
      <c r="S3974" s="1"/>
      <c r="T3974" s="1"/>
      <c r="U3974" s="1"/>
      <c r="V3974" s="1"/>
      <c r="W3974" s="1"/>
      <c r="X3974" s="1"/>
      <c r="Y3974" s="1"/>
      <c r="Z3974" s="1"/>
      <c r="AA3974" s="1"/>
      <c r="AB3974" s="1"/>
      <c r="AC3974" s="1"/>
      <c r="AD3974" s="1"/>
      <c r="AE3974" s="1"/>
      <c r="AF3974" s="1"/>
      <c r="AG3974" s="1"/>
      <c r="AH3974" s="1"/>
    </row>
    <row r="3975" ht="12.75" hidden="1" customHeight="1" outlineLevel="1">
      <c r="A3975" s="17">
        <v>41691.0</v>
      </c>
      <c r="B3975" s="1"/>
      <c r="C3975" s="1" t="s">
        <v>429</v>
      </c>
      <c r="D3975" s="74"/>
      <c r="E3975" s="67"/>
      <c r="F3975" s="75"/>
      <c r="G3975" s="67"/>
      <c r="H3975" s="68"/>
      <c r="I3975" s="76"/>
      <c r="J3975" s="67"/>
      <c r="K3975" s="7" t="s">
        <v>1686</v>
      </c>
      <c r="L3975" s="77"/>
      <c r="M3975" s="79"/>
      <c r="N3975" s="1"/>
      <c r="O3975" s="1"/>
      <c r="P3975" s="1"/>
      <c r="Q3975" s="1"/>
      <c r="R3975" s="1"/>
      <c r="S3975" s="1"/>
      <c r="T3975" s="1"/>
      <c r="U3975" s="1"/>
      <c r="V3975" s="1"/>
      <c r="W3975" s="1"/>
      <c r="X3975" s="1"/>
      <c r="Y3975" s="1"/>
      <c r="Z3975" s="1"/>
      <c r="AA3975" s="1"/>
      <c r="AB3975" s="1"/>
      <c r="AC3975" s="1"/>
      <c r="AD3975" s="1"/>
      <c r="AE3975" s="1"/>
      <c r="AF3975" s="1"/>
      <c r="AG3975" s="1"/>
      <c r="AH3975" s="1"/>
    </row>
    <row r="3976" ht="12.75" hidden="1" customHeight="1" outlineLevel="1">
      <c r="A3976" s="17">
        <v>41691.0</v>
      </c>
      <c r="B3976" s="1"/>
      <c r="C3976" s="1" t="s">
        <v>431</v>
      </c>
      <c r="D3976" s="74"/>
      <c r="E3976" s="67"/>
      <c r="F3976" s="75"/>
      <c r="G3976" s="67"/>
      <c r="H3976" s="68"/>
      <c r="I3976" s="76"/>
      <c r="J3976" s="67"/>
      <c r="K3976" s="7" t="s">
        <v>1126</v>
      </c>
      <c r="L3976" s="77"/>
      <c r="M3976" s="79"/>
      <c r="N3976" s="1"/>
      <c r="O3976" s="1"/>
      <c r="P3976" s="1"/>
      <c r="Q3976" s="1"/>
      <c r="R3976" s="1"/>
      <c r="S3976" s="1"/>
      <c r="T3976" s="1"/>
      <c r="U3976" s="1"/>
      <c r="V3976" s="1"/>
      <c r="W3976" s="1"/>
      <c r="X3976" s="1"/>
      <c r="Y3976" s="1"/>
      <c r="Z3976" s="1"/>
      <c r="AA3976" s="1"/>
      <c r="AB3976" s="1"/>
      <c r="AC3976" s="1"/>
      <c r="AD3976" s="1"/>
      <c r="AE3976" s="1"/>
      <c r="AF3976" s="1"/>
      <c r="AG3976" s="1"/>
      <c r="AH3976" s="1"/>
    </row>
    <row r="3977" ht="12.75" hidden="1" customHeight="1" outlineLevel="1">
      <c r="A3977" s="17">
        <v>41691.0</v>
      </c>
      <c r="B3977" s="1"/>
      <c r="C3977" s="1" t="s">
        <v>433</v>
      </c>
      <c r="D3977" s="74"/>
      <c r="E3977" s="67"/>
      <c r="F3977" s="75"/>
      <c r="G3977" s="67"/>
      <c r="H3977" s="68"/>
      <c r="I3977" s="76"/>
      <c r="J3977" s="67"/>
      <c r="K3977" s="7" t="s">
        <v>1103</v>
      </c>
      <c r="L3977" s="77"/>
      <c r="M3977" s="79"/>
      <c r="N3977" s="1"/>
      <c r="O3977" s="1"/>
      <c r="P3977" s="1"/>
      <c r="Q3977" s="1"/>
      <c r="R3977" s="1"/>
      <c r="S3977" s="1"/>
      <c r="T3977" s="1"/>
      <c r="U3977" s="1"/>
      <c r="V3977" s="1"/>
      <c r="W3977" s="1"/>
      <c r="X3977" s="1"/>
      <c r="Y3977" s="1"/>
      <c r="Z3977" s="1"/>
      <c r="AA3977" s="1"/>
      <c r="AB3977" s="1"/>
      <c r="AC3977" s="1"/>
      <c r="AD3977" s="1"/>
      <c r="AE3977" s="1"/>
      <c r="AF3977" s="1"/>
      <c r="AG3977" s="1"/>
      <c r="AH3977" s="1"/>
    </row>
    <row r="3978" ht="12.75" hidden="1" customHeight="1" outlineLevel="1">
      <c r="A3978" s="17">
        <v>41691.0</v>
      </c>
      <c r="B3978" s="1"/>
      <c r="C3978" s="1" t="s">
        <v>435</v>
      </c>
      <c r="D3978" s="74"/>
      <c r="E3978" s="67"/>
      <c r="F3978" s="75"/>
      <c r="G3978" s="67"/>
      <c r="H3978" s="68"/>
      <c r="I3978" s="76"/>
      <c r="J3978" s="67"/>
      <c r="K3978" s="7" t="s">
        <v>1507</v>
      </c>
      <c r="L3978" s="77"/>
      <c r="M3978" s="79"/>
      <c r="N3978" s="1"/>
      <c r="O3978" s="1"/>
      <c r="P3978" s="1"/>
      <c r="Q3978" s="1"/>
      <c r="R3978" s="1"/>
      <c r="S3978" s="1"/>
      <c r="T3978" s="1"/>
      <c r="U3978" s="1"/>
      <c r="V3978" s="1"/>
      <c r="W3978" s="1"/>
      <c r="X3978" s="1"/>
      <c r="Y3978" s="1"/>
      <c r="Z3978" s="1"/>
      <c r="AA3978" s="1"/>
      <c r="AB3978" s="1"/>
      <c r="AC3978" s="1"/>
      <c r="AD3978" s="1"/>
      <c r="AE3978" s="1"/>
      <c r="AF3978" s="1"/>
      <c r="AG3978" s="1"/>
      <c r="AH3978" s="1"/>
    </row>
    <row r="3979" ht="12.75" hidden="1" customHeight="1" outlineLevel="1">
      <c r="A3979" s="17">
        <v>41694.0</v>
      </c>
      <c r="B3979" s="1"/>
      <c r="C3979" s="1" t="s">
        <v>339</v>
      </c>
      <c r="D3979" s="74"/>
      <c r="E3979" s="67"/>
      <c r="F3979" s="75"/>
      <c r="G3979" s="67"/>
      <c r="H3979" s="68"/>
      <c r="I3979" s="76"/>
      <c r="J3979" s="67"/>
      <c r="K3979" s="7" t="s">
        <v>1701</v>
      </c>
      <c r="L3979" s="77"/>
      <c r="M3979" s="79"/>
      <c r="N3979" s="1"/>
      <c r="O3979" s="1"/>
      <c r="P3979" s="1"/>
      <c r="Q3979" s="1"/>
      <c r="R3979" s="1"/>
      <c r="S3979" s="1"/>
      <c r="T3979" s="1"/>
      <c r="U3979" s="1"/>
      <c r="V3979" s="1"/>
      <c r="W3979" s="1"/>
      <c r="X3979" s="1"/>
      <c r="Y3979" s="1"/>
      <c r="Z3979" s="1"/>
      <c r="AA3979" s="1"/>
      <c r="AB3979" s="1"/>
      <c r="AC3979" s="1"/>
      <c r="AD3979" s="1"/>
      <c r="AE3979" s="1"/>
      <c r="AF3979" s="1"/>
      <c r="AG3979" s="1"/>
      <c r="AH3979" s="1"/>
    </row>
    <row r="3980" ht="12.75" hidden="1" customHeight="1" outlineLevel="1">
      <c r="A3980" s="17">
        <v>41694.0</v>
      </c>
      <c r="B3980" s="1"/>
      <c r="C3980" s="1" t="s">
        <v>429</v>
      </c>
      <c r="D3980" s="74"/>
      <c r="E3980" s="67"/>
      <c r="F3980" s="75"/>
      <c r="G3980" s="67"/>
      <c r="H3980" s="68"/>
      <c r="I3980" s="76"/>
      <c r="J3980" s="67"/>
      <c r="K3980" s="7" t="s">
        <v>1686</v>
      </c>
      <c r="L3980" s="77"/>
      <c r="M3980" s="79"/>
      <c r="N3980" s="1"/>
      <c r="O3980" s="1"/>
      <c r="P3980" s="1"/>
      <c r="Q3980" s="1"/>
      <c r="R3980" s="1"/>
      <c r="S3980" s="1"/>
      <c r="T3980" s="1"/>
      <c r="U3980" s="1"/>
      <c r="V3980" s="1"/>
      <c r="W3980" s="1"/>
      <c r="X3980" s="1"/>
      <c r="Y3980" s="1"/>
      <c r="Z3980" s="1"/>
      <c r="AA3980" s="1"/>
      <c r="AB3980" s="1"/>
      <c r="AC3980" s="1"/>
      <c r="AD3980" s="1"/>
      <c r="AE3980" s="1"/>
      <c r="AF3980" s="1"/>
      <c r="AG3980" s="1"/>
      <c r="AH3980" s="1"/>
    </row>
    <row r="3981" ht="12.75" hidden="1" customHeight="1" outlineLevel="1">
      <c r="A3981" s="17">
        <v>41694.0</v>
      </c>
      <c r="B3981" s="1"/>
      <c r="C3981" s="1" t="s">
        <v>431</v>
      </c>
      <c r="D3981" s="74"/>
      <c r="E3981" s="67"/>
      <c r="F3981" s="75"/>
      <c r="G3981" s="67"/>
      <c r="H3981" s="68"/>
      <c r="I3981" s="76"/>
      <c r="J3981" s="67"/>
      <c r="K3981" s="7" t="s">
        <v>1126</v>
      </c>
      <c r="L3981" s="77"/>
      <c r="M3981" s="79"/>
      <c r="N3981" s="1"/>
      <c r="O3981" s="1"/>
      <c r="P3981" s="1"/>
      <c r="Q3981" s="1"/>
      <c r="R3981" s="1"/>
      <c r="S3981" s="1"/>
      <c r="T3981" s="1"/>
      <c r="U3981" s="1"/>
      <c r="V3981" s="1"/>
      <c r="W3981" s="1"/>
      <c r="X3981" s="1"/>
      <c r="Y3981" s="1"/>
      <c r="Z3981" s="1"/>
      <c r="AA3981" s="1"/>
      <c r="AB3981" s="1"/>
      <c r="AC3981" s="1"/>
      <c r="AD3981" s="1"/>
      <c r="AE3981" s="1"/>
      <c r="AF3981" s="1"/>
      <c r="AG3981" s="1"/>
      <c r="AH3981" s="1"/>
    </row>
    <row r="3982" ht="12.75" hidden="1" customHeight="1" outlineLevel="1">
      <c r="A3982" s="17">
        <v>41694.0</v>
      </c>
      <c r="B3982" s="1"/>
      <c r="C3982" s="1" t="s">
        <v>433</v>
      </c>
      <c r="D3982" s="74"/>
      <c r="E3982" s="67"/>
      <c r="F3982" s="75"/>
      <c r="G3982" s="67"/>
      <c r="H3982" s="68"/>
      <c r="I3982" s="76"/>
      <c r="J3982" s="67"/>
      <c r="K3982" s="7" t="s">
        <v>1103</v>
      </c>
      <c r="L3982" s="77"/>
      <c r="M3982" s="79"/>
      <c r="N3982" s="1"/>
      <c r="O3982" s="1"/>
      <c r="P3982" s="1"/>
      <c r="Q3982" s="1"/>
      <c r="R3982" s="1"/>
      <c r="S3982" s="1"/>
      <c r="T3982" s="1"/>
      <c r="U3982" s="1"/>
      <c r="V3982" s="1"/>
      <c r="W3982" s="1"/>
      <c r="X3982" s="1"/>
      <c r="Y3982" s="1"/>
      <c r="Z3982" s="1"/>
      <c r="AA3982" s="1"/>
      <c r="AB3982" s="1"/>
      <c r="AC3982" s="1"/>
      <c r="AD3982" s="1"/>
      <c r="AE3982" s="1"/>
      <c r="AF3982" s="1"/>
      <c r="AG3982" s="1"/>
      <c r="AH3982" s="1"/>
    </row>
    <row r="3983" ht="12.75" hidden="1" customHeight="1" outlineLevel="1">
      <c r="A3983" s="17">
        <v>41694.0</v>
      </c>
      <c r="B3983" s="1"/>
      <c r="C3983" s="1" t="s">
        <v>435</v>
      </c>
      <c r="D3983" s="74"/>
      <c r="E3983" s="67"/>
      <c r="F3983" s="75"/>
      <c r="G3983" s="67"/>
      <c r="H3983" s="68"/>
      <c r="I3983" s="76"/>
      <c r="J3983" s="67"/>
      <c r="K3983" s="7" t="s">
        <v>1507</v>
      </c>
      <c r="L3983" s="77"/>
      <c r="M3983" s="79"/>
      <c r="N3983" s="1"/>
      <c r="O3983" s="1"/>
      <c r="P3983" s="1"/>
      <c r="Q3983" s="1"/>
      <c r="R3983" s="1"/>
      <c r="S3983" s="1"/>
      <c r="T3983" s="1"/>
      <c r="U3983" s="1"/>
      <c r="V3983" s="1"/>
      <c r="W3983" s="1"/>
      <c r="X3983" s="1"/>
      <c r="Y3983" s="1"/>
      <c r="Z3983" s="1"/>
      <c r="AA3983" s="1"/>
      <c r="AB3983" s="1"/>
      <c r="AC3983" s="1"/>
      <c r="AD3983" s="1"/>
      <c r="AE3983" s="1"/>
      <c r="AF3983" s="1"/>
      <c r="AG3983" s="1"/>
      <c r="AH3983" s="1"/>
    </row>
    <row r="3984" ht="12.75" hidden="1" customHeight="1" outlineLevel="1">
      <c r="A3984" s="17">
        <v>41694.0</v>
      </c>
      <c r="B3984" s="1" t="s">
        <v>343</v>
      </c>
      <c r="C3984" s="1" t="s">
        <v>354</v>
      </c>
      <c r="D3984" s="74">
        <v>100.0</v>
      </c>
      <c r="E3984" s="67">
        <v>115.32</v>
      </c>
      <c r="F3984" s="75">
        <v>0.5277777777777778</v>
      </c>
      <c r="G3984" s="67" t="s">
        <v>453</v>
      </c>
      <c r="H3984" s="68">
        <v>1.0</v>
      </c>
      <c r="I3984" s="76"/>
      <c r="J3984" s="67">
        <f t="shared" ref="J3984:J3987" si="255">IF(B3984="SLD",D3984*E3984,-D3984*E3984)-H3984</f>
        <v>-11533</v>
      </c>
      <c r="K3984" s="7"/>
      <c r="L3984" s="70"/>
      <c r="M3984" s="79"/>
      <c r="N3984" s="1"/>
      <c r="O3984" s="1"/>
      <c r="P3984" s="1"/>
      <c r="Q3984" s="1"/>
      <c r="R3984" s="1"/>
      <c r="S3984" s="1"/>
      <c r="T3984" s="1"/>
      <c r="U3984" s="1"/>
      <c r="V3984" s="1"/>
      <c r="W3984" s="1"/>
      <c r="X3984" s="1"/>
      <c r="Y3984" s="1"/>
      <c r="Z3984" s="1"/>
      <c r="AA3984" s="1"/>
      <c r="AB3984" s="1"/>
      <c r="AC3984" s="1"/>
      <c r="AD3984" s="1"/>
      <c r="AE3984" s="1"/>
      <c r="AF3984" s="1"/>
      <c r="AG3984" s="1"/>
      <c r="AH3984" s="1"/>
    </row>
    <row r="3985" ht="12.75" hidden="1" customHeight="1" outlineLevel="1">
      <c r="A3985" s="17">
        <v>41694.0</v>
      </c>
      <c r="B3985" s="1" t="s">
        <v>343</v>
      </c>
      <c r="C3985" s="1" t="s">
        <v>1371</v>
      </c>
      <c r="D3985" s="74">
        <v>200.0</v>
      </c>
      <c r="E3985" s="67">
        <v>38.88</v>
      </c>
      <c r="F3985" s="75">
        <v>0.5281134259259259</v>
      </c>
      <c r="G3985" s="67" t="s">
        <v>453</v>
      </c>
      <c r="H3985" s="68">
        <v>1.0</v>
      </c>
      <c r="I3985" s="76"/>
      <c r="J3985" s="67">
        <f t="shared" si="255"/>
        <v>-7777</v>
      </c>
      <c r="K3985" s="7"/>
      <c r="L3985" s="70"/>
      <c r="M3985" s="79"/>
      <c r="N3985" s="1"/>
      <c r="O3985" s="1"/>
      <c r="P3985" s="1"/>
      <c r="Q3985" s="1"/>
      <c r="R3985" s="1"/>
      <c r="S3985" s="1"/>
      <c r="T3985" s="1"/>
      <c r="U3985" s="1"/>
      <c r="V3985" s="1"/>
      <c r="W3985" s="1"/>
      <c r="X3985" s="1"/>
      <c r="Y3985" s="1"/>
      <c r="Z3985" s="1"/>
      <c r="AA3985" s="1"/>
      <c r="AB3985" s="1"/>
      <c r="AC3985" s="1"/>
      <c r="AD3985" s="1"/>
      <c r="AE3985" s="1"/>
      <c r="AF3985" s="1"/>
      <c r="AG3985" s="1"/>
      <c r="AH3985" s="1"/>
    </row>
    <row r="3986" ht="12.75" hidden="1" customHeight="1" outlineLevel="1">
      <c r="A3986" s="17">
        <v>41694.0</v>
      </c>
      <c r="B3986" s="1" t="s">
        <v>347</v>
      </c>
      <c r="C3986" s="1" t="s">
        <v>605</v>
      </c>
      <c r="D3986" s="74">
        <v>300.0</v>
      </c>
      <c r="E3986" s="67">
        <v>76.29</v>
      </c>
      <c r="F3986" s="75">
        <v>0.6660763888888889</v>
      </c>
      <c r="G3986" s="67" t="s">
        <v>453</v>
      </c>
      <c r="H3986" s="68">
        <v>1.6</v>
      </c>
      <c r="I3986" s="76"/>
      <c r="J3986" s="67">
        <f t="shared" si="255"/>
        <v>22885.4</v>
      </c>
      <c r="K3986" s="7"/>
      <c r="L3986" s="70"/>
      <c r="M3986" s="79"/>
      <c r="N3986" s="1"/>
      <c r="O3986" s="1"/>
      <c r="P3986" s="1"/>
      <c r="Q3986" s="1"/>
      <c r="R3986" s="1"/>
      <c r="S3986" s="1"/>
      <c r="T3986" s="1"/>
      <c r="U3986" s="1"/>
      <c r="V3986" s="1"/>
      <c r="W3986" s="1"/>
      <c r="X3986" s="1"/>
      <c r="Y3986" s="1"/>
      <c r="Z3986" s="1"/>
      <c r="AA3986" s="1"/>
      <c r="AB3986" s="1"/>
      <c r="AC3986" s="1"/>
      <c r="AD3986" s="1"/>
      <c r="AE3986" s="1"/>
      <c r="AF3986" s="1"/>
      <c r="AG3986" s="1"/>
      <c r="AH3986" s="1"/>
    </row>
    <row r="3987" ht="12.75" hidden="1" customHeight="1" outlineLevel="1">
      <c r="A3987" s="17">
        <v>41694.0</v>
      </c>
      <c r="B3987" s="1" t="s">
        <v>347</v>
      </c>
      <c r="C3987" s="1" t="s">
        <v>870</v>
      </c>
      <c r="D3987" s="74">
        <v>250.0</v>
      </c>
      <c r="E3987" s="67">
        <v>88.14</v>
      </c>
      <c r="F3987" s="75">
        <v>0.6663773148148148</v>
      </c>
      <c r="G3987" s="67" t="s">
        <v>453</v>
      </c>
      <c r="H3987" s="68">
        <v>1.63</v>
      </c>
      <c r="I3987" s="76"/>
      <c r="J3987" s="67">
        <f t="shared" si="255"/>
        <v>22033.37</v>
      </c>
      <c r="K3987" s="7"/>
      <c r="L3987" s="70"/>
      <c r="M3987" s="79"/>
      <c r="N3987" s="1"/>
      <c r="O3987" s="1"/>
      <c r="P3987" s="1"/>
      <c r="Q3987" s="1"/>
      <c r="R3987" s="1"/>
      <c r="S3987" s="1"/>
      <c r="T3987" s="1"/>
      <c r="U3987" s="1"/>
      <c r="V3987" s="1"/>
      <c r="W3987" s="1"/>
      <c r="X3987" s="1"/>
      <c r="Y3987" s="1"/>
      <c r="Z3987" s="1"/>
      <c r="AA3987" s="1"/>
      <c r="AB3987" s="1"/>
      <c r="AC3987" s="1"/>
      <c r="AD3987" s="1"/>
      <c r="AE3987" s="1"/>
      <c r="AF3987" s="1"/>
      <c r="AG3987" s="1"/>
      <c r="AH3987" s="1"/>
    </row>
    <row r="3988" ht="12.75" hidden="1" customHeight="1" outlineLevel="1">
      <c r="A3988" s="17">
        <v>41694.0</v>
      </c>
      <c r="B3988" s="1"/>
      <c r="C3988" s="1" t="s">
        <v>339</v>
      </c>
      <c r="D3988" s="74"/>
      <c r="E3988" s="67"/>
      <c r="F3988" s="75"/>
      <c r="G3988" s="67"/>
      <c r="H3988" s="68"/>
      <c r="I3988" s="76"/>
      <c r="J3988" s="67"/>
      <c r="K3988" s="7" t="s">
        <v>1703</v>
      </c>
      <c r="L3988" s="77"/>
      <c r="M3988" s="79"/>
      <c r="N3988" s="1"/>
      <c r="O3988" s="1"/>
      <c r="P3988" s="1"/>
      <c r="Q3988" s="1"/>
      <c r="R3988" s="1"/>
      <c r="S3988" s="1"/>
      <c r="T3988" s="1"/>
      <c r="U3988" s="1"/>
      <c r="V3988" s="1"/>
      <c r="W3988" s="1"/>
      <c r="X3988" s="1"/>
      <c r="Y3988" s="1"/>
      <c r="Z3988" s="1"/>
      <c r="AA3988" s="1"/>
      <c r="AB3988" s="1"/>
      <c r="AC3988" s="1"/>
      <c r="AD3988" s="1"/>
      <c r="AE3988" s="1"/>
      <c r="AF3988" s="1"/>
      <c r="AG3988" s="1"/>
      <c r="AH3988" s="1"/>
    </row>
    <row r="3989" ht="12.75" hidden="1" customHeight="1" outlineLevel="1">
      <c r="A3989" s="17">
        <v>41694.0</v>
      </c>
      <c r="B3989" s="1"/>
      <c r="C3989" s="1" t="s">
        <v>429</v>
      </c>
      <c r="D3989" s="74"/>
      <c r="E3989" s="67"/>
      <c r="F3989" s="75"/>
      <c r="G3989" s="67"/>
      <c r="H3989" s="68"/>
      <c r="I3989" s="76"/>
      <c r="J3989" s="67"/>
      <c r="K3989" s="7" t="s">
        <v>1686</v>
      </c>
      <c r="L3989" s="77"/>
      <c r="M3989" s="79"/>
      <c r="N3989" s="1"/>
      <c r="O3989" s="1"/>
      <c r="P3989" s="1"/>
      <c r="Q3989" s="1"/>
      <c r="R3989" s="1"/>
      <c r="S3989" s="1"/>
      <c r="T3989" s="1"/>
      <c r="U3989" s="1"/>
      <c r="V3989" s="1"/>
      <c r="W3989" s="1"/>
      <c r="X3989" s="1"/>
      <c r="Y3989" s="1"/>
      <c r="Z3989" s="1"/>
      <c r="AA3989" s="1"/>
      <c r="AB3989" s="1"/>
      <c r="AC3989" s="1"/>
      <c r="AD3989" s="1"/>
      <c r="AE3989" s="1"/>
      <c r="AF3989" s="1"/>
      <c r="AG3989" s="1"/>
      <c r="AH3989" s="1"/>
    </row>
    <row r="3990" ht="12.75" hidden="1" customHeight="1" outlineLevel="1">
      <c r="A3990" s="17">
        <v>41694.0</v>
      </c>
      <c r="B3990" s="1"/>
      <c r="C3990" s="1" t="s">
        <v>431</v>
      </c>
      <c r="D3990" s="74"/>
      <c r="E3990" s="67"/>
      <c r="F3990" s="75"/>
      <c r="G3990" s="67"/>
      <c r="H3990" s="68"/>
      <c r="I3990" s="76"/>
      <c r="J3990" s="67"/>
      <c r="K3990" s="7" t="s">
        <v>1126</v>
      </c>
      <c r="L3990" s="77"/>
      <c r="M3990" s="79"/>
      <c r="N3990" s="1"/>
      <c r="O3990" s="1"/>
      <c r="P3990" s="1"/>
      <c r="Q3990" s="1"/>
      <c r="R3990" s="1"/>
      <c r="S3990" s="1"/>
      <c r="T3990" s="1"/>
      <c r="U3990" s="1"/>
      <c r="V3990" s="1"/>
      <c r="W3990" s="1"/>
      <c r="X3990" s="1"/>
      <c r="Y3990" s="1"/>
      <c r="Z3990" s="1"/>
      <c r="AA3990" s="1"/>
      <c r="AB3990" s="1"/>
      <c r="AC3990" s="1"/>
      <c r="AD3990" s="1"/>
      <c r="AE3990" s="1"/>
      <c r="AF3990" s="1"/>
      <c r="AG3990" s="1"/>
      <c r="AH3990" s="1"/>
    </row>
    <row r="3991" ht="12.75" hidden="1" customHeight="1" outlineLevel="1">
      <c r="A3991" s="17">
        <v>41694.0</v>
      </c>
      <c r="B3991" s="1"/>
      <c r="C3991" s="1" t="s">
        <v>433</v>
      </c>
      <c r="D3991" s="74"/>
      <c r="E3991" s="67"/>
      <c r="F3991" s="75"/>
      <c r="G3991" s="67"/>
      <c r="H3991" s="68"/>
      <c r="I3991" s="76"/>
      <c r="J3991" s="67"/>
      <c r="K3991" s="7" t="s">
        <v>1103</v>
      </c>
      <c r="L3991" s="77"/>
      <c r="M3991" s="79"/>
      <c r="N3991" s="1"/>
      <c r="O3991" s="1"/>
      <c r="P3991" s="1"/>
      <c r="Q3991" s="1"/>
      <c r="R3991" s="1"/>
      <c r="S3991" s="1"/>
      <c r="T3991" s="1"/>
      <c r="U3991" s="1"/>
      <c r="V3991" s="1"/>
      <c r="W3991" s="1"/>
      <c r="X3991" s="1"/>
      <c r="Y3991" s="1"/>
      <c r="Z3991" s="1"/>
      <c r="AA3991" s="1"/>
      <c r="AB3991" s="1"/>
      <c r="AC3991" s="1"/>
      <c r="AD3991" s="1"/>
      <c r="AE3991" s="1"/>
      <c r="AF3991" s="1"/>
      <c r="AG3991" s="1"/>
      <c r="AH3991" s="1"/>
    </row>
    <row r="3992" ht="12.75" hidden="1" customHeight="1" outlineLevel="1">
      <c r="A3992" s="17">
        <v>41694.0</v>
      </c>
      <c r="B3992" s="1"/>
      <c r="C3992" s="1" t="s">
        <v>435</v>
      </c>
      <c r="D3992" s="74"/>
      <c r="E3992" s="67"/>
      <c r="F3992" s="75"/>
      <c r="G3992" s="67"/>
      <c r="H3992" s="68"/>
      <c r="I3992" s="76"/>
      <c r="J3992" s="67"/>
      <c r="K3992" s="7" t="s">
        <v>1507</v>
      </c>
      <c r="L3992" s="77"/>
      <c r="M3992" s="79"/>
      <c r="N3992" s="1"/>
      <c r="O3992" s="1"/>
      <c r="P3992" s="1"/>
      <c r="Q3992" s="1"/>
      <c r="R3992" s="1"/>
      <c r="S3992" s="1"/>
      <c r="T3992" s="1"/>
      <c r="U3992" s="1"/>
      <c r="V3992" s="1"/>
      <c r="W3992" s="1"/>
      <c r="X3992" s="1"/>
      <c r="Y3992" s="1"/>
      <c r="Z3992" s="1"/>
      <c r="AA3992" s="1"/>
      <c r="AB3992" s="1"/>
      <c r="AC3992" s="1"/>
      <c r="AD3992" s="1"/>
      <c r="AE3992" s="1"/>
      <c r="AF3992" s="1"/>
      <c r="AG3992" s="1"/>
      <c r="AH3992" s="1"/>
    </row>
    <row r="3993" ht="12.75" hidden="1" customHeight="1" outlineLevel="1">
      <c r="A3993" s="17">
        <v>41695.0</v>
      </c>
      <c r="B3993" s="1" t="s">
        <v>343</v>
      </c>
      <c r="C3993" s="1" t="s">
        <v>605</v>
      </c>
      <c r="D3993" s="74">
        <v>425.0</v>
      </c>
      <c r="E3993" s="67">
        <v>77.01</v>
      </c>
      <c r="F3993" s="75">
        <v>0.44905092592592594</v>
      </c>
      <c r="G3993" s="67" t="s">
        <v>453</v>
      </c>
      <c r="H3993" s="68">
        <v>2.12</v>
      </c>
      <c r="I3993" s="76"/>
      <c r="J3993" s="67">
        <f t="shared" ref="J3993:J3997" si="256">IF(B3993="SLD",D3993*E3993,-D3993*E3993)-H3993</f>
        <v>-32731.37</v>
      </c>
      <c r="K3993" s="7"/>
      <c r="L3993" s="70"/>
      <c r="M3993" s="79"/>
      <c r="N3993" s="1"/>
      <c r="O3993" s="1"/>
      <c r="P3993" s="1"/>
      <c r="Q3993" s="1"/>
      <c r="R3993" s="1"/>
      <c r="S3993" s="1"/>
      <c r="T3993" s="1"/>
      <c r="U3993" s="1"/>
      <c r="V3993" s="1"/>
      <c r="W3993" s="1"/>
      <c r="X3993" s="1"/>
      <c r="Y3993" s="1"/>
      <c r="Z3993" s="1"/>
      <c r="AA3993" s="1"/>
      <c r="AB3993" s="1"/>
      <c r="AC3993" s="1"/>
      <c r="AD3993" s="1"/>
      <c r="AE3993" s="1"/>
      <c r="AF3993" s="1"/>
      <c r="AG3993" s="1"/>
      <c r="AH3993" s="1"/>
    </row>
    <row r="3994" ht="12.75" hidden="1" customHeight="1" outlineLevel="1">
      <c r="A3994" s="17">
        <v>41695.0</v>
      </c>
      <c r="B3994" s="1" t="s">
        <v>343</v>
      </c>
      <c r="C3994" s="1" t="s">
        <v>870</v>
      </c>
      <c r="D3994" s="74">
        <v>350.0</v>
      </c>
      <c r="E3994" s="67">
        <v>90.27</v>
      </c>
      <c r="F3994" s="75">
        <v>0.44905092592592594</v>
      </c>
      <c r="G3994" s="67" t="s">
        <v>453</v>
      </c>
      <c r="H3994" s="68">
        <v>1.4</v>
      </c>
      <c r="I3994" s="76"/>
      <c r="J3994" s="67">
        <f t="shared" si="256"/>
        <v>-31595.9</v>
      </c>
      <c r="K3994" s="7"/>
      <c r="L3994" s="70"/>
      <c r="M3994" s="79"/>
      <c r="N3994" s="1"/>
      <c r="O3994" s="1"/>
      <c r="P3994" s="1"/>
      <c r="Q3994" s="1"/>
      <c r="R3994" s="1"/>
      <c r="S3994" s="1"/>
      <c r="T3994" s="1"/>
      <c r="U3994" s="1"/>
      <c r="V3994" s="1"/>
      <c r="W3994" s="1"/>
      <c r="X3994" s="1"/>
      <c r="Y3994" s="1"/>
      <c r="Z3994" s="1"/>
      <c r="AA3994" s="1"/>
      <c r="AB3994" s="1"/>
      <c r="AC3994" s="1"/>
      <c r="AD3994" s="1"/>
      <c r="AE3994" s="1"/>
      <c r="AF3994" s="1"/>
      <c r="AG3994" s="1"/>
      <c r="AH3994" s="1"/>
    </row>
    <row r="3995" ht="12.75" hidden="1" customHeight="1" outlineLevel="1">
      <c r="A3995" s="17">
        <v>41695.0</v>
      </c>
      <c r="B3995" s="1" t="s">
        <v>343</v>
      </c>
      <c r="C3995" s="1" t="s">
        <v>1049</v>
      </c>
      <c r="D3995" s="74">
        <v>20.0</v>
      </c>
      <c r="E3995" s="67">
        <v>580.2</v>
      </c>
      <c r="F3995" s="75">
        <v>0.4552777777777777</v>
      </c>
      <c r="G3995" s="67" t="s">
        <v>453</v>
      </c>
      <c r="H3995" s="68">
        <v>1.0</v>
      </c>
      <c r="I3995" s="76"/>
      <c r="J3995" s="67">
        <f t="shared" si="256"/>
        <v>-11605</v>
      </c>
      <c r="K3995" s="7"/>
      <c r="L3995" s="70"/>
      <c r="M3995" s="79"/>
      <c r="N3995" s="1"/>
      <c r="O3995" s="1"/>
      <c r="P3995" s="1"/>
      <c r="Q3995" s="1"/>
      <c r="R3995" s="1"/>
      <c r="S3995" s="1"/>
      <c r="T3995" s="1"/>
      <c r="U3995" s="1"/>
      <c r="V3995" s="1"/>
      <c r="W3995" s="1"/>
      <c r="X3995" s="1"/>
      <c r="Y3995" s="1"/>
      <c r="Z3995" s="1"/>
      <c r="AA3995" s="1"/>
      <c r="AB3995" s="1"/>
      <c r="AC3995" s="1"/>
      <c r="AD3995" s="1"/>
      <c r="AE3995" s="1"/>
      <c r="AF3995" s="1"/>
      <c r="AG3995" s="1"/>
      <c r="AH3995" s="1"/>
    </row>
    <row r="3996" ht="12.75" hidden="1" customHeight="1" outlineLevel="1">
      <c r="A3996" s="17">
        <v>41695.0</v>
      </c>
      <c r="B3996" s="1" t="s">
        <v>343</v>
      </c>
      <c r="C3996" s="1" t="s">
        <v>1092</v>
      </c>
      <c r="D3996" s="74">
        <v>500.0</v>
      </c>
      <c r="E3996" s="67">
        <v>10.45</v>
      </c>
      <c r="F3996" s="75">
        <v>0.5269907407407407</v>
      </c>
      <c r="G3996" s="67" t="s">
        <v>453</v>
      </c>
      <c r="H3996" s="68">
        <v>2.5</v>
      </c>
      <c r="I3996" s="76"/>
      <c r="J3996" s="67">
        <f t="shared" si="256"/>
        <v>-5227.5</v>
      </c>
      <c r="K3996" s="7"/>
      <c r="L3996" s="70"/>
      <c r="M3996" s="79"/>
      <c r="N3996" s="1"/>
      <c r="O3996" s="1"/>
      <c r="P3996" s="1"/>
      <c r="Q3996" s="1"/>
      <c r="R3996" s="1"/>
      <c r="S3996" s="1"/>
      <c r="T3996" s="1"/>
      <c r="U3996" s="1"/>
      <c r="V3996" s="1"/>
      <c r="W3996" s="1"/>
      <c r="X3996" s="1"/>
      <c r="Y3996" s="1"/>
      <c r="Z3996" s="1"/>
      <c r="AA3996" s="1"/>
      <c r="AB3996" s="1"/>
      <c r="AC3996" s="1"/>
      <c r="AD3996" s="1"/>
      <c r="AE3996" s="1"/>
      <c r="AF3996" s="1"/>
      <c r="AG3996" s="1"/>
      <c r="AH3996" s="1"/>
    </row>
    <row r="3997" ht="12.75" hidden="1" customHeight="1" outlineLevel="1">
      <c r="A3997" s="17">
        <v>41695.0</v>
      </c>
      <c r="B3997" s="1" t="s">
        <v>343</v>
      </c>
      <c r="C3997" s="1" t="s">
        <v>1485</v>
      </c>
      <c r="D3997" s="74">
        <v>500.0</v>
      </c>
      <c r="E3997" s="67">
        <v>10.8</v>
      </c>
      <c r="F3997" s="75">
        <v>0.5271990740740741</v>
      </c>
      <c r="G3997" s="67" t="s">
        <v>453</v>
      </c>
      <c r="H3997" s="68">
        <v>2.5</v>
      </c>
      <c r="I3997" s="76"/>
      <c r="J3997" s="67">
        <f t="shared" si="256"/>
        <v>-5402.5</v>
      </c>
      <c r="K3997" s="7"/>
      <c r="L3997" s="70"/>
      <c r="M3997" s="79"/>
      <c r="N3997" s="1"/>
      <c r="O3997" s="1"/>
      <c r="P3997" s="1"/>
      <c r="Q3997" s="1"/>
      <c r="R3997" s="1"/>
      <c r="S3997" s="1"/>
      <c r="T3997" s="1"/>
      <c r="U3997" s="1"/>
      <c r="V3997" s="1"/>
      <c r="W3997" s="1"/>
      <c r="X3997" s="1"/>
      <c r="Y3997" s="1"/>
      <c r="Z3997" s="1"/>
      <c r="AA3997" s="1"/>
      <c r="AB3997" s="1"/>
      <c r="AC3997" s="1"/>
      <c r="AD3997" s="1"/>
      <c r="AE3997" s="1"/>
      <c r="AF3997" s="1"/>
      <c r="AG3997" s="1"/>
      <c r="AH3997" s="1"/>
    </row>
    <row r="3998" ht="12.75" hidden="1" customHeight="1" outlineLevel="1">
      <c r="A3998" s="17">
        <v>41695.0</v>
      </c>
      <c r="B3998" s="1"/>
      <c r="C3998" s="1" t="s">
        <v>339</v>
      </c>
      <c r="D3998" s="74"/>
      <c r="E3998" s="67"/>
      <c r="F3998" s="75"/>
      <c r="G3998" s="67"/>
      <c r="H3998" s="68"/>
      <c r="I3998" s="76"/>
      <c r="J3998" s="67"/>
      <c r="K3998" s="7" t="s">
        <v>1704</v>
      </c>
      <c r="L3998" s="77"/>
      <c r="M3998" s="79"/>
      <c r="N3998" s="1"/>
      <c r="O3998" s="1"/>
      <c r="P3998" s="1"/>
      <c r="Q3998" s="1"/>
      <c r="R3998" s="1"/>
      <c r="S3998" s="1"/>
      <c r="T3998" s="1"/>
      <c r="U3998" s="1"/>
      <c r="V3998" s="1"/>
      <c r="W3998" s="1"/>
      <c r="X3998" s="1"/>
      <c r="Y3998" s="1"/>
      <c r="Z3998" s="1"/>
      <c r="AA3998" s="1"/>
      <c r="AB3998" s="1"/>
      <c r="AC3998" s="1"/>
      <c r="AD3998" s="1"/>
      <c r="AE3998" s="1"/>
      <c r="AF3998" s="1"/>
      <c r="AG3998" s="1"/>
      <c r="AH3998" s="1"/>
    </row>
    <row r="3999" ht="12.75" hidden="1" customHeight="1" outlineLevel="1">
      <c r="A3999" s="17">
        <v>41695.0</v>
      </c>
      <c r="B3999" s="1"/>
      <c r="C3999" s="1" t="s">
        <v>429</v>
      </c>
      <c r="D3999" s="74"/>
      <c r="E3999" s="67"/>
      <c r="F3999" s="75"/>
      <c r="G3999" s="67"/>
      <c r="H3999" s="68"/>
      <c r="I3999" s="76"/>
      <c r="J3999" s="67"/>
      <c r="K3999" s="7" t="s">
        <v>1686</v>
      </c>
      <c r="L3999" s="77"/>
      <c r="M3999" s="79"/>
      <c r="N3999" s="1"/>
      <c r="O3999" s="1"/>
      <c r="P3999" s="1"/>
      <c r="Q3999" s="1"/>
      <c r="R3999" s="1"/>
      <c r="S3999" s="1"/>
      <c r="T3999" s="1"/>
      <c r="U3999" s="1"/>
      <c r="V3999" s="1"/>
      <c r="W3999" s="1"/>
      <c r="X3999" s="1"/>
      <c r="Y3999" s="1"/>
      <c r="Z3999" s="1"/>
      <c r="AA3999" s="1"/>
      <c r="AB3999" s="1"/>
      <c r="AC3999" s="1"/>
      <c r="AD3999" s="1"/>
      <c r="AE3999" s="1"/>
      <c r="AF3999" s="1"/>
      <c r="AG3999" s="1"/>
      <c r="AH3999" s="1"/>
    </row>
    <row r="4000" ht="12.75" hidden="1" customHeight="1" outlineLevel="1">
      <c r="A4000" s="17">
        <v>41695.0</v>
      </c>
      <c r="B4000" s="1"/>
      <c r="C4000" s="1" t="s">
        <v>431</v>
      </c>
      <c r="D4000" s="74"/>
      <c r="E4000" s="67"/>
      <c r="F4000" s="75"/>
      <c r="G4000" s="67"/>
      <c r="H4000" s="68"/>
      <c r="I4000" s="76"/>
      <c r="J4000" s="67"/>
      <c r="K4000" s="7" t="s">
        <v>1126</v>
      </c>
      <c r="L4000" s="77"/>
      <c r="M4000" s="79"/>
      <c r="N4000" s="1"/>
      <c r="O4000" s="1"/>
      <c r="P4000" s="1"/>
      <c r="Q4000" s="1"/>
      <c r="R4000" s="1"/>
      <c r="S4000" s="1"/>
      <c r="T4000" s="1"/>
      <c r="U4000" s="1"/>
      <c r="V4000" s="1"/>
      <c r="W4000" s="1"/>
      <c r="X4000" s="1"/>
      <c r="Y4000" s="1"/>
      <c r="Z4000" s="1"/>
      <c r="AA4000" s="1"/>
      <c r="AB4000" s="1"/>
      <c r="AC4000" s="1"/>
      <c r="AD4000" s="1"/>
      <c r="AE4000" s="1"/>
      <c r="AF4000" s="1"/>
      <c r="AG4000" s="1"/>
      <c r="AH4000" s="1"/>
    </row>
    <row r="4001" ht="12.75" hidden="1" customHeight="1" outlineLevel="1">
      <c r="A4001" s="17">
        <v>41695.0</v>
      </c>
      <c r="B4001" s="1"/>
      <c r="C4001" s="1" t="s">
        <v>433</v>
      </c>
      <c r="D4001" s="74"/>
      <c r="E4001" s="67"/>
      <c r="F4001" s="75"/>
      <c r="G4001" s="67"/>
      <c r="H4001" s="68"/>
      <c r="I4001" s="76"/>
      <c r="J4001" s="67"/>
      <c r="K4001" s="7" t="s">
        <v>1103</v>
      </c>
      <c r="L4001" s="77"/>
      <c r="M4001" s="79"/>
      <c r="N4001" s="1"/>
      <c r="O4001" s="1"/>
      <c r="P4001" s="1"/>
      <c r="Q4001" s="1"/>
      <c r="R4001" s="1"/>
      <c r="S4001" s="1"/>
      <c r="T4001" s="1"/>
      <c r="U4001" s="1"/>
      <c r="V4001" s="1"/>
      <c r="W4001" s="1"/>
      <c r="X4001" s="1"/>
      <c r="Y4001" s="1"/>
      <c r="Z4001" s="1"/>
      <c r="AA4001" s="1"/>
      <c r="AB4001" s="1"/>
      <c r="AC4001" s="1"/>
      <c r="AD4001" s="1"/>
      <c r="AE4001" s="1"/>
      <c r="AF4001" s="1"/>
      <c r="AG4001" s="1"/>
      <c r="AH4001" s="1"/>
    </row>
    <row r="4002" ht="12.75" hidden="1" customHeight="1" outlineLevel="1">
      <c r="A4002" s="17">
        <v>41695.0</v>
      </c>
      <c r="B4002" s="1"/>
      <c r="C4002" s="1" t="s">
        <v>435</v>
      </c>
      <c r="D4002" s="74"/>
      <c r="E4002" s="67"/>
      <c r="F4002" s="75"/>
      <c r="G4002" s="67"/>
      <c r="H4002" s="68"/>
      <c r="I4002" s="76"/>
      <c r="J4002" s="67"/>
      <c r="K4002" s="7" t="s">
        <v>1507</v>
      </c>
      <c r="L4002" s="77"/>
      <c r="M4002" s="79"/>
      <c r="N4002" s="1"/>
      <c r="O4002" s="1"/>
      <c r="P4002" s="1"/>
      <c r="Q4002" s="1"/>
      <c r="R4002" s="1"/>
      <c r="S4002" s="1"/>
      <c r="T4002" s="1"/>
      <c r="U4002" s="1"/>
      <c r="V4002" s="1"/>
      <c r="W4002" s="1"/>
      <c r="X4002" s="1"/>
      <c r="Y4002" s="1"/>
      <c r="Z4002" s="1"/>
      <c r="AA4002" s="1"/>
      <c r="AB4002" s="1"/>
      <c r="AC4002" s="1"/>
      <c r="AD4002" s="1"/>
      <c r="AE4002" s="1"/>
      <c r="AF4002" s="1"/>
      <c r="AG4002" s="1"/>
      <c r="AH4002" s="1"/>
    </row>
    <row r="4003" ht="12.75" hidden="1" customHeight="1" outlineLevel="1">
      <c r="A4003" s="17">
        <v>41696.0</v>
      </c>
      <c r="B4003" s="1"/>
      <c r="C4003" s="1" t="s">
        <v>339</v>
      </c>
      <c r="D4003" s="74"/>
      <c r="E4003" s="67"/>
      <c r="F4003" s="75"/>
      <c r="G4003" s="67"/>
      <c r="H4003" s="68"/>
      <c r="I4003" s="76"/>
      <c r="J4003" s="67"/>
      <c r="K4003" s="7" t="s">
        <v>1705</v>
      </c>
      <c r="L4003" s="77"/>
      <c r="M4003" s="79"/>
      <c r="N4003" s="1"/>
      <c r="O4003" s="1"/>
      <c r="P4003" s="1"/>
      <c r="Q4003" s="1"/>
      <c r="R4003" s="1"/>
      <c r="S4003" s="1"/>
      <c r="T4003" s="1"/>
      <c r="U4003" s="1"/>
      <c r="V4003" s="1"/>
      <c r="W4003" s="1"/>
      <c r="X4003" s="1"/>
      <c r="Y4003" s="1"/>
      <c r="Z4003" s="1"/>
      <c r="AA4003" s="1"/>
      <c r="AB4003" s="1"/>
      <c r="AC4003" s="1"/>
      <c r="AD4003" s="1"/>
      <c r="AE4003" s="1"/>
      <c r="AF4003" s="1"/>
      <c r="AG4003" s="1"/>
      <c r="AH4003" s="1"/>
    </row>
    <row r="4004" ht="12.75" hidden="1" customHeight="1" outlineLevel="1">
      <c r="A4004" s="17">
        <v>41696.0</v>
      </c>
      <c r="B4004" s="1"/>
      <c r="C4004" s="1" t="s">
        <v>429</v>
      </c>
      <c r="D4004" s="74"/>
      <c r="E4004" s="67"/>
      <c r="F4004" s="75"/>
      <c r="G4004" s="67"/>
      <c r="H4004" s="68"/>
      <c r="I4004" s="76"/>
      <c r="J4004" s="67"/>
      <c r="K4004" s="7" t="s">
        <v>1686</v>
      </c>
      <c r="L4004" s="77"/>
      <c r="M4004" s="79"/>
      <c r="N4004" s="1"/>
      <c r="O4004" s="1"/>
      <c r="P4004" s="1"/>
      <c r="Q4004" s="1"/>
      <c r="R4004" s="1"/>
      <c r="S4004" s="1"/>
      <c r="T4004" s="1"/>
      <c r="U4004" s="1"/>
      <c r="V4004" s="1"/>
      <c r="W4004" s="1"/>
      <c r="X4004" s="1"/>
      <c r="Y4004" s="1"/>
      <c r="Z4004" s="1"/>
      <c r="AA4004" s="1"/>
      <c r="AB4004" s="1"/>
      <c r="AC4004" s="1"/>
      <c r="AD4004" s="1"/>
      <c r="AE4004" s="1"/>
      <c r="AF4004" s="1"/>
      <c r="AG4004" s="1"/>
      <c r="AH4004" s="1"/>
    </row>
    <row r="4005" ht="12.75" hidden="1" customHeight="1" outlineLevel="1">
      <c r="A4005" s="17">
        <v>41696.0</v>
      </c>
      <c r="B4005" s="1"/>
      <c r="C4005" s="1" t="s">
        <v>431</v>
      </c>
      <c r="D4005" s="74"/>
      <c r="E4005" s="67"/>
      <c r="F4005" s="75"/>
      <c r="G4005" s="67"/>
      <c r="H4005" s="68"/>
      <c r="I4005" s="76"/>
      <c r="J4005" s="67"/>
      <c r="K4005" s="7" t="s">
        <v>1126</v>
      </c>
      <c r="L4005" s="77"/>
      <c r="M4005" s="79"/>
      <c r="N4005" s="1"/>
      <c r="O4005" s="1"/>
      <c r="P4005" s="1"/>
      <c r="Q4005" s="1"/>
      <c r="R4005" s="1"/>
      <c r="S4005" s="1"/>
      <c r="T4005" s="1"/>
      <c r="U4005" s="1"/>
      <c r="V4005" s="1"/>
      <c r="W4005" s="1"/>
      <c r="X4005" s="1"/>
      <c r="Y4005" s="1"/>
      <c r="Z4005" s="1"/>
      <c r="AA4005" s="1"/>
      <c r="AB4005" s="1"/>
      <c r="AC4005" s="1"/>
      <c r="AD4005" s="1"/>
      <c r="AE4005" s="1"/>
      <c r="AF4005" s="1"/>
      <c r="AG4005" s="1"/>
      <c r="AH4005" s="1"/>
    </row>
    <row r="4006" ht="12.75" hidden="1" customHeight="1" outlineLevel="1">
      <c r="A4006" s="17">
        <v>41696.0</v>
      </c>
      <c r="B4006" s="1"/>
      <c r="C4006" s="1" t="s">
        <v>433</v>
      </c>
      <c r="D4006" s="74"/>
      <c r="E4006" s="67"/>
      <c r="F4006" s="75"/>
      <c r="G4006" s="67"/>
      <c r="H4006" s="68"/>
      <c r="I4006" s="76"/>
      <c r="J4006" s="67"/>
      <c r="K4006" s="7" t="s">
        <v>1103</v>
      </c>
      <c r="L4006" s="77"/>
      <c r="M4006" s="79"/>
      <c r="N4006" s="1"/>
      <c r="O4006" s="1"/>
      <c r="P4006" s="1"/>
      <c r="Q4006" s="1"/>
      <c r="R4006" s="1"/>
      <c r="S4006" s="1"/>
      <c r="T4006" s="1"/>
      <c r="U4006" s="1"/>
      <c r="V4006" s="1"/>
      <c r="W4006" s="1"/>
      <c r="X4006" s="1"/>
      <c r="Y4006" s="1"/>
      <c r="Z4006" s="1"/>
      <c r="AA4006" s="1"/>
      <c r="AB4006" s="1"/>
      <c r="AC4006" s="1"/>
      <c r="AD4006" s="1"/>
      <c r="AE4006" s="1"/>
      <c r="AF4006" s="1"/>
      <c r="AG4006" s="1"/>
      <c r="AH4006" s="1"/>
    </row>
    <row r="4007" ht="12.75" hidden="1" customHeight="1" outlineLevel="1">
      <c r="A4007" s="17">
        <v>41696.0</v>
      </c>
      <c r="B4007" s="1"/>
      <c r="C4007" s="1" t="s">
        <v>435</v>
      </c>
      <c r="D4007" s="74"/>
      <c r="E4007" s="67"/>
      <c r="F4007" s="75"/>
      <c r="G4007" s="67"/>
      <c r="H4007" s="68"/>
      <c r="I4007" s="76"/>
      <c r="J4007" s="67"/>
      <c r="K4007" s="7" t="s">
        <v>1507</v>
      </c>
      <c r="L4007" s="77"/>
      <c r="M4007" s="79"/>
      <c r="N4007" s="1"/>
      <c r="O4007" s="1"/>
      <c r="P4007" s="1"/>
      <c r="Q4007" s="1"/>
      <c r="R4007" s="1"/>
      <c r="S4007" s="1"/>
      <c r="T4007" s="1"/>
      <c r="U4007" s="1"/>
      <c r="V4007" s="1"/>
      <c r="W4007" s="1"/>
      <c r="X4007" s="1"/>
      <c r="Y4007" s="1"/>
      <c r="Z4007" s="1"/>
      <c r="AA4007" s="1"/>
      <c r="AB4007" s="1"/>
      <c r="AC4007" s="1"/>
      <c r="AD4007" s="1"/>
      <c r="AE4007" s="1"/>
      <c r="AF4007" s="1"/>
      <c r="AG4007" s="1"/>
      <c r="AH4007" s="1"/>
    </row>
    <row r="4008" ht="12.75" hidden="1" customHeight="1" outlineLevel="1">
      <c r="A4008" s="17">
        <v>41696.0</v>
      </c>
      <c r="B4008" s="1" t="s">
        <v>347</v>
      </c>
      <c r="C4008" s="1" t="s">
        <v>1049</v>
      </c>
      <c r="D4008" s="74">
        <v>20.0</v>
      </c>
      <c r="E4008" s="67">
        <v>572.51</v>
      </c>
      <c r="F4008" s="75">
        <v>0.6027893518518518</v>
      </c>
      <c r="G4008" s="67" t="s">
        <v>453</v>
      </c>
      <c r="H4008" s="68">
        <v>1.2</v>
      </c>
      <c r="I4008" s="76"/>
      <c r="J4008" s="67">
        <f t="shared" ref="J4008:J4010" si="257">IF(B4008="SLD",D4008*E4008,-D4008*E4008)-H4008</f>
        <v>11449</v>
      </c>
      <c r="K4008" s="7"/>
      <c r="L4008" s="70"/>
      <c r="M4008" s="79"/>
      <c r="N4008" s="1"/>
      <c r="O4008" s="1"/>
      <c r="P4008" s="1"/>
      <c r="Q4008" s="1"/>
      <c r="R4008" s="1"/>
      <c r="S4008" s="1"/>
      <c r="T4008" s="1"/>
      <c r="U4008" s="1"/>
      <c r="V4008" s="1"/>
      <c r="W4008" s="1"/>
      <c r="X4008" s="1"/>
      <c r="Y4008" s="1"/>
      <c r="Z4008" s="1"/>
      <c r="AA4008" s="1"/>
      <c r="AB4008" s="1"/>
      <c r="AC4008" s="1"/>
      <c r="AD4008" s="1"/>
      <c r="AE4008" s="1"/>
      <c r="AF4008" s="1"/>
      <c r="AG4008" s="1"/>
      <c r="AH4008" s="1"/>
    </row>
    <row r="4009" ht="12.75" hidden="1" customHeight="1" outlineLevel="1">
      <c r="A4009" s="17">
        <v>41696.0</v>
      </c>
      <c r="B4009" s="1" t="s">
        <v>347</v>
      </c>
      <c r="C4009" s="1" t="s">
        <v>870</v>
      </c>
      <c r="D4009" s="74">
        <v>350.0</v>
      </c>
      <c r="E4009" s="67">
        <v>87.75</v>
      </c>
      <c r="F4009" s="75">
        <v>0.6037037037037037</v>
      </c>
      <c r="G4009" s="67" t="s">
        <v>453</v>
      </c>
      <c r="H4009" s="68">
        <v>2.28</v>
      </c>
      <c r="I4009" s="76"/>
      <c r="J4009" s="67">
        <f t="shared" si="257"/>
        <v>30710.22</v>
      </c>
      <c r="K4009" s="7"/>
      <c r="L4009" s="70"/>
      <c r="M4009" s="79"/>
      <c r="N4009" s="1"/>
      <c r="O4009" s="1"/>
      <c r="P4009" s="1"/>
      <c r="Q4009" s="1"/>
      <c r="R4009" s="1"/>
      <c r="S4009" s="1"/>
      <c r="T4009" s="1"/>
      <c r="U4009" s="1"/>
      <c r="V4009" s="1"/>
      <c r="W4009" s="1"/>
      <c r="X4009" s="1"/>
      <c r="Y4009" s="1"/>
      <c r="Z4009" s="1"/>
      <c r="AA4009" s="1"/>
      <c r="AB4009" s="1"/>
      <c r="AC4009" s="1"/>
      <c r="AD4009" s="1"/>
      <c r="AE4009" s="1"/>
      <c r="AF4009" s="1"/>
      <c r="AG4009" s="1"/>
      <c r="AH4009" s="1"/>
    </row>
    <row r="4010" ht="12.75" hidden="1" customHeight="1" outlineLevel="1">
      <c r="A4010" s="17">
        <v>41696.0</v>
      </c>
      <c r="B4010" s="1" t="s">
        <v>347</v>
      </c>
      <c r="C4010" s="1" t="s">
        <v>605</v>
      </c>
      <c r="D4010" s="74">
        <v>425.0</v>
      </c>
      <c r="E4010" s="67">
        <v>76.49</v>
      </c>
      <c r="F4010" s="75">
        <v>0.6040393518518519</v>
      </c>
      <c r="G4010" s="67" t="s">
        <v>453</v>
      </c>
      <c r="H4010" s="68">
        <v>2.29</v>
      </c>
      <c r="I4010" s="76"/>
      <c r="J4010" s="67">
        <f t="shared" si="257"/>
        <v>32505.96</v>
      </c>
      <c r="K4010" s="7"/>
      <c r="L4010" s="70"/>
      <c r="M4010" s="79"/>
      <c r="N4010" s="1"/>
      <c r="O4010" s="1"/>
      <c r="P4010" s="1"/>
      <c r="Q4010" s="1"/>
      <c r="R4010" s="1"/>
      <c r="S4010" s="1"/>
      <c r="T4010" s="1"/>
      <c r="U4010" s="1"/>
      <c r="V4010" s="1"/>
      <c r="W4010" s="1"/>
      <c r="X4010" s="1"/>
      <c r="Y4010" s="1"/>
      <c r="Z4010" s="1"/>
      <c r="AA4010" s="1"/>
      <c r="AB4010" s="1"/>
      <c r="AC4010" s="1"/>
      <c r="AD4010" s="1"/>
      <c r="AE4010" s="1"/>
      <c r="AF4010" s="1"/>
      <c r="AG4010" s="1"/>
      <c r="AH4010" s="1"/>
    </row>
    <row r="4011" ht="12.75" hidden="1" customHeight="1" outlineLevel="1">
      <c r="A4011" s="17">
        <v>41696.0</v>
      </c>
      <c r="B4011" s="1"/>
      <c r="C4011" s="1" t="s">
        <v>339</v>
      </c>
      <c r="D4011" s="74"/>
      <c r="E4011" s="67"/>
      <c r="F4011" s="75"/>
      <c r="G4011" s="67"/>
      <c r="H4011" s="68"/>
      <c r="I4011" s="76"/>
      <c r="J4011" s="67"/>
      <c r="K4011" s="7" t="s">
        <v>1706</v>
      </c>
      <c r="L4011" s="77"/>
      <c r="M4011" s="79"/>
      <c r="N4011" s="1"/>
      <c r="O4011" s="1"/>
      <c r="P4011" s="1"/>
      <c r="Q4011" s="1"/>
      <c r="R4011" s="1"/>
      <c r="S4011" s="1"/>
      <c r="T4011" s="1"/>
      <c r="U4011" s="1"/>
      <c r="V4011" s="1"/>
      <c r="W4011" s="1"/>
      <c r="X4011" s="1"/>
      <c r="Y4011" s="1"/>
      <c r="Z4011" s="1"/>
      <c r="AA4011" s="1"/>
      <c r="AB4011" s="1"/>
      <c r="AC4011" s="1"/>
      <c r="AD4011" s="1"/>
      <c r="AE4011" s="1"/>
      <c r="AF4011" s="1"/>
      <c r="AG4011" s="1"/>
      <c r="AH4011" s="1"/>
    </row>
    <row r="4012" ht="12.75" hidden="1" customHeight="1" outlineLevel="1">
      <c r="A4012" s="17">
        <v>41696.0</v>
      </c>
      <c r="B4012" s="1"/>
      <c r="C4012" s="1" t="s">
        <v>429</v>
      </c>
      <c r="D4012" s="74"/>
      <c r="E4012" s="67"/>
      <c r="F4012" s="75"/>
      <c r="G4012" s="67"/>
      <c r="H4012" s="68"/>
      <c r="I4012" s="76"/>
      <c r="J4012" s="67"/>
      <c r="K4012" s="7" t="s">
        <v>1686</v>
      </c>
      <c r="L4012" s="77"/>
      <c r="M4012" s="79"/>
      <c r="N4012" s="1"/>
      <c r="O4012" s="1"/>
      <c r="P4012" s="1"/>
      <c r="Q4012" s="1"/>
      <c r="R4012" s="1"/>
      <c r="S4012" s="1"/>
      <c r="T4012" s="1"/>
      <c r="U4012" s="1"/>
      <c r="V4012" s="1"/>
      <c r="W4012" s="1"/>
      <c r="X4012" s="1"/>
      <c r="Y4012" s="1"/>
      <c r="Z4012" s="1"/>
      <c r="AA4012" s="1"/>
      <c r="AB4012" s="1"/>
      <c r="AC4012" s="1"/>
      <c r="AD4012" s="1"/>
      <c r="AE4012" s="1"/>
      <c r="AF4012" s="1"/>
      <c r="AG4012" s="1"/>
      <c r="AH4012" s="1"/>
    </row>
    <row r="4013" ht="12.75" hidden="1" customHeight="1" outlineLevel="1">
      <c r="A4013" s="17">
        <v>41696.0</v>
      </c>
      <c r="B4013" s="1"/>
      <c r="C4013" s="1" t="s">
        <v>431</v>
      </c>
      <c r="D4013" s="74"/>
      <c r="E4013" s="67"/>
      <c r="F4013" s="75"/>
      <c r="G4013" s="67"/>
      <c r="H4013" s="68"/>
      <c r="I4013" s="76"/>
      <c r="J4013" s="67"/>
      <c r="K4013" s="7" t="s">
        <v>1126</v>
      </c>
      <c r="L4013" s="77"/>
      <c r="M4013" s="79"/>
      <c r="N4013" s="1"/>
      <c r="O4013" s="1"/>
      <c r="P4013" s="1"/>
      <c r="Q4013" s="1"/>
      <c r="R4013" s="1"/>
      <c r="S4013" s="1"/>
      <c r="T4013" s="1"/>
      <c r="U4013" s="1"/>
      <c r="V4013" s="1"/>
      <c r="W4013" s="1"/>
      <c r="X4013" s="1"/>
      <c r="Y4013" s="1"/>
      <c r="Z4013" s="1"/>
      <c r="AA4013" s="1"/>
      <c r="AB4013" s="1"/>
      <c r="AC4013" s="1"/>
      <c r="AD4013" s="1"/>
      <c r="AE4013" s="1"/>
      <c r="AF4013" s="1"/>
      <c r="AG4013" s="1"/>
      <c r="AH4013" s="1"/>
    </row>
    <row r="4014" ht="12.75" hidden="1" customHeight="1" outlineLevel="1">
      <c r="A4014" s="17">
        <v>41696.0</v>
      </c>
      <c r="B4014" s="1"/>
      <c r="C4014" s="1" t="s">
        <v>433</v>
      </c>
      <c r="D4014" s="74"/>
      <c r="E4014" s="67"/>
      <c r="F4014" s="75"/>
      <c r="G4014" s="67"/>
      <c r="H4014" s="68"/>
      <c r="I4014" s="76"/>
      <c r="J4014" s="67"/>
      <c r="K4014" s="7" t="s">
        <v>1103</v>
      </c>
      <c r="L4014" s="77"/>
      <c r="M4014" s="79"/>
      <c r="N4014" s="1"/>
      <c r="O4014" s="1"/>
      <c r="P4014" s="1"/>
      <c r="Q4014" s="1"/>
      <c r="R4014" s="1"/>
      <c r="S4014" s="1"/>
      <c r="T4014" s="1"/>
      <c r="U4014" s="1"/>
      <c r="V4014" s="1"/>
      <c r="W4014" s="1"/>
      <c r="X4014" s="1"/>
      <c r="Y4014" s="1"/>
      <c r="Z4014" s="1"/>
      <c r="AA4014" s="1"/>
      <c r="AB4014" s="1"/>
      <c r="AC4014" s="1"/>
      <c r="AD4014" s="1"/>
      <c r="AE4014" s="1"/>
      <c r="AF4014" s="1"/>
      <c r="AG4014" s="1"/>
      <c r="AH4014" s="1"/>
    </row>
    <row r="4015" ht="12.75" hidden="1" customHeight="1" outlineLevel="1">
      <c r="A4015" s="17">
        <v>41696.0</v>
      </c>
      <c r="B4015" s="1"/>
      <c r="C4015" s="1" t="s">
        <v>435</v>
      </c>
      <c r="D4015" s="74"/>
      <c r="E4015" s="67"/>
      <c r="F4015" s="75"/>
      <c r="G4015" s="67"/>
      <c r="H4015" s="68"/>
      <c r="I4015" s="76"/>
      <c r="J4015" s="67"/>
      <c r="K4015" s="7" t="s">
        <v>1507</v>
      </c>
      <c r="L4015" s="77"/>
      <c r="M4015" s="79"/>
      <c r="N4015" s="1"/>
      <c r="O4015" s="1"/>
      <c r="P4015" s="1"/>
      <c r="Q4015" s="1"/>
      <c r="R4015" s="1"/>
      <c r="S4015" s="1"/>
      <c r="T4015" s="1"/>
      <c r="U4015" s="1"/>
      <c r="V4015" s="1"/>
      <c r="W4015" s="1"/>
      <c r="X4015" s="1"/>
      <c r="Y4015" s="1"/>
      <c r="Z4015" s="1"/>
      <c r="AA4015" s="1"/>
      <c r="AB4015" s="1"/>
      <c r="AC4015" s="1"/>
      <c r="AD4015" s="1"/>
      <c r="AE4015" s="1"/>
      <c r="AF4015" s="1"/>
      <c r="AG4015" s="1"/>
      <c r="AH4015" s="1"/>
    </row>
    <row r="4016" ht="12.75" hidden="1" customHeight="1" outlineLevel="1">
      <c r="A4016" s="17">
        <v>41697.0</v>
      </c>
      <c r="B4016" s="1"/>
      <c r="C4016" s="1" t="s">
        <v>339</v>
      </c>
      <c r="D4016" s="74"/>
      <c r="E4016" s="67"/>
      <c r="F4016" s="75"/>
      <c r="G4016" s="67"/>
      <c r="H4016" s="68"/>
      <c r="I4016" s="76"/>
      <c r="J4016" s="67"/>
      <c r="K4016" s="7" t="s">
        <v>1707</v>
      </c>
      <c r="L4016" s="77"/>
      <c r="M4016" s="79"/>
      <c r="N4016" s="1"/>
      <c r="O4016" s="1"/>
      <c r="P4016" s="1"/>
      <c r="Q4016" s="1"/>
      <c r="R4016" s="1"/>
      <c r="S4016" s="1"/>
      <c r="T4016" s="1"/>
      <c r="U4016" s="1"/>
      <c r="V4016" s="1"/>
      <c r="W4016" s="1"/>
      <c r="X4016" s="1"/>
      <c r="Y4016" s="1"/>
      <c r="Z4016" s="1"/>
      <c r="AA4016" s="1"/>
      <c r="AB4016" s="1"/>
      <c r="AC4016" s="1"/>
      <c r="AD4016" s="1"/>
      <c r="AE4016" s="1"/>
      <c r="AF4016" s="1"/>
      <c r="AG4016" s="1"/>
      <c r="AH4016" s="1"/>
    </row>
    <row r="4017" ht="12.75" hidden="1" customHeight="1" outlineLevel="1">
      <c r="A4017" s="17">
        <v>41697.0</v>
      </c>
      <c r="B4017" s="1"/>
      <c r="C4017" s="1" t="s">
        <v>429</v>
      </c>
      <c r="D4017" s="74"/>
      <c r="E4017" s="67"/>
      <c r="F4017" s="75"/>
      <c r="G4017" s="67"/>
      <c r="H4017" s="68"/>
      <c r="I4017" s="76"/>
      <c r="J4017" s="67"/>
      <c r="K4017" s="7" t="s">
        <v>1686</v>
      </c>
      <c r="L4017" s="77"/>
      <c r="M4017" s="79"/>
      <c r="N4017" s="1"/>
      <c r="O4017" s="1"/>
      <c r="P4017" s="1"/>
      <c r="Q4017" s="1"/>
      <c r="R4017" s="1"/>
      <c r="S4017" s="1"/>
      <c r="T4017" s="1"/>
      <c r="U4017" s="1"/>
      <c r="V4017" s="1"/>
      <c r="W4017" s="1"/>
      <c r="X4017" s="1"/>
      <c r="Y4017" s="1"/>
      <c r="Z4017" s="1"/>
      <c r="AA4017" s="1"/>
      <c r="AB4017" s="1"/>
      <c r="AC4017" s="1"/>
      <c r="AD4017" s="1"/>
      <c r="AE4017" s="1"/>
      <c r="AF4017" s="1"/>
      <c r="AG4017" s="1"/>
      <c r="AH4017" s="1"/>
    </row>
    <row r="4018" ht="12.75" hidden="1" customHeight="1" outlineLevel="1">
      <c r="A4018" s="17">
        <v>41697.0</v>
      </c>
      <c r="B4018" s="1"/>
      <c r="C4018" s="1" t="s">
        <v>431</v>
      </c>
      <c r="D4018" s="74"/>
      <c r="E4018" s="67"/>
      <c r="F4018" s="75"/>
      <c r="G4018" s="67"/>
      <c r="H4018" s="68"/>
      <c r="I4018" s="76"/>
      <c r="J4018" s="67"/>
      <c r="K4018" s="7" t="s">
        <v>1126</v>
      </c>
      <c r="L4018" s="77"/>
      <c r="M4018" s="79"/>
      <c r="N4018" s="1"/>
      <c r="O4018" s="1"/>
      <c r="P4018" s="1"/>
      <c r="Q4018" s="1"/>
      <c r="R4018" s="1"/>
      <c r="S4018" s="1"/>
      <c r="T4018" s="1"/>
      <c r="U4018" s="1"/>
      <c r="V4018" s="1"/>
      <c r="W4018" s="1"/>
      <c r="X4018" s="1"/>
      <c r="Y4018" s="1"/>
      <c r="Z4018" s="1"/>
      <c r="AA4018" s="1"/>
      <c r="AB4018" s="1"/>
      <c r="AC4018" s="1"/>
      <c r="AD4018" s="1"/>
      <c r="AE4018" s="1"/>
      <c r="AF4018" s="1"/>
      <c r="AG4018" s="1"/>
      <c r="AH4018" s="1"/>
    </row>
    <row r="4019" ht="12.75" hidden="1" customHeight="1" outlineLevel="1">
      <c r="A4019" s="17">
        <v>41697.0</v>
      </c>
      <c r="B4019" s="1"/>
      <c r="C4019" s="1" t="s">
        <v>433</v>
      </c>
      <c r="D4019" s="74"/>
      <c r="E4019" s="67"/>
      <c r="F4019" s="75"/>
      <c r="G4019" s="67"/>
      <c r="H4019" s="68"/>
      <c r="I4019" s="76"/>
      <c r="J4019" s="67"/>
      <c r="K4019" s="7" t="s">
        <v>1103</v>
      </c>
      <c r="L4019" s="77"/>
      <c r="M4019" s="79"/>
      <c r="N4019" s="1"/>
      <c r="O4019" s="1"/>
      <c r="P4019" s="1"/>
      <c r="Q4019" s="1"/>
      <c r="R4019" s="1"/>
      <c r="S4019" s="1"/>
      <c r="T4019" s="1"/>
      <c r="U4019" s="1"/>
      <c r="V4019" s="1"/>
      <c r="W4019" s="1"/>
      <c r="X4019" s="1"/>
      <c r="Y4019" s="1"/>
      <c r="Z4019" s="1"/>
      <c r="AA4019" s="1"/>
      <c r="AB4019" s="1"/>
      <c r="AC4019" s="1"/>
      <c r="AD4019" s="1"/>
      <c r="AE4019" s="1"/>
      <c r="AF4019" s="1"/>
      <c r="AG4019" s="1"/>
      <c r="AH4019" s="1"/>
    </row>
    <row r="4020" ht="12.75" hidden="1" customHeight="1" outlineLevel="1">
      <c r="A4020" s="17">
        <v>41697.0</v>
      </c>
      <c r="B4020" s="1"/>
      <c r="C4020" s="1" t="s">
        <v>435</v>
      </c>
      <c r="D4020" s="74"/>
      <c r="E4020" s="67"/>
      <c r="F4020" s="75"/>
      <c r="G4020" s="67"/>
      <c r="H4020" s="68"/>
      <c r="I4020" s="76"/>
      <c r="J4020" s="67"/>
      <c r="K4020" s="7" t="s">
        <v>1507</v>
      </c>
      <c r="L4020" s="77"/>
      <c r="M4020" s="79"/>
      <c r="N4020" s="1"/>
      <c r="O4020" s="1"/>
      <c r="P4020" s="1"/>
      <c r="Q4020" s="1"/>
      <c r="R4020" s="1"/>
      <c r="S4020" s="1"/>
      <c r="T4020" s="1"/>
      <c r="U4020" s="1"/>
      <c r="V4020" s="1"/>
      <c r="W4020" s="1"/>
      <c r="X4020" s="1"/>
      <c r="Y4020" s="1"/>
      <c r="Z4020" s="1"/>
      <c r="AA4020" s="1"/>
      <c r="AB4020" s="1"/>
      <c r="AC4020" s="1"/>
      <c r="AD4020" s="1"/>
      <c r="AE4020" s="1"/>
      <c r="AF4020" s="1"/>
      <c r="AG4020" s="1"/>
      <c r="AH4020" s="1"/>
    </row>
    <row r="4021" ht="12.75" hidden="1" customHeight="1" outlineLevel="1">
      <c r="A4021" s="17">
        <v>41698.0</v>
      </c>
      <c r="B4021" s="1"/>
      <c r="C4021" s="1" t="s">
        <v>339</v>
      </c>
      <c r="D4021" s="74"/>
      <c r="E4021" s="67"/>
      <c r="F4021" s="75"/>
      <c r="G4021" s="67"/>
      <c r="H4021" s="68"/>
      <c r="I4021" s="76"/>
      <c r="J4021" s="67"/>
      <c r="K4021" s="7" t="s">
        <v>1708</v>
      </c>
      <c r="L4021" s="77"/>
      <c r="M4021" s="79"/>
      <c r="N4021" s="1"/>
      <c r="O4021" s="1"/>
      <c r="P4021" s="1"/>
      <c r="Q4021" s="1"/>
      <c r="R4021" s="1"/>
      <c r="S4021" s="1"/>
      <c r="T4021" s="1"/>
      <c r="U4021" s="1"/>
      <c r="V4021" s="1"/>
      <c r="W4021" s="1"/>
      <c r="X4021" s="1"/>
      <c r="Y4021" s="1"/>
      <c r="Z4021" s="1"/>
      <c r="AA4021" s="1"/>
      <c r="AB4021" s="1"/>
      <c r="AC4021" s="1"/>
      <c r="AD4021" s="1"/>
      <c r="AE4021" s="1"/>
      <c r="AF4021" s="1"/>
      <c r="AG4021" s="1"/>
      <c r="AH4021" s="1"/>
    </row>
    <row r="4022" ht="12.75" hidden="1" customHeight="1" outlineLevel="1">
      <c r="A4022" s="17">
        <v>41698.0</v>
      </c>
      <c r="B4022" s="1"/>
      <c r="C4022" s="1" t="s">
        <v>429</v>
      </c>
      <c r="D4022" s="74"/>
      <c r="E4022" s="67"/>
      <c r="F4022" s="75"/>
      <c r="G4022" s="67"/>
      <c r="H4022" s="68"/>
      <c r="I4022" s="76"/>
      <c r="J4022" s="67"/>
      <c r="K4022" s="7" t="s">
        <v>1686</v>
      </c>
      <c r="L4022" s="77"/>
      <c r="M4022" s="79"/>
      <c r="N4022" s="1"/>
      <c r="O4022" s="1"/>
      <c r="P4022" s="1"/>
      <c r="Q4022" s="1"/>
      <c r="R4022" s="1"/>
      <c r="S4022" s="1"/>
      <c r="T4022" s="1"/>
      <c r="U4022" s="1"/>
      <c r="V4022" s="1"/>
      <c r="W4022" s="1"/>
      <c r="X4022" s="1"/>
      <c r="Y4022" s="1"/>
      <c r="Z4022" s="1"/>
      <c r="AA4022" s="1"/>
      <c r="AB4022" s="1"/>
      <c r="AC4022" s="1"/>
      <c r="AD4022" s="1"/>
      <c r="AE4022" s="1"/>
      <c r="AF4022" s="1"/>
      <c r="AG4022" s="1"/>
      <c r="AH4022" s="1"/>
    </row>
    <row r="4023" ht="12.75" hidden="1" customHeight="1" outlineLevel="1">
      <c r="A4023" s="17">
        <v>41698.0</v>
      </c>
      <c r="B4023" s="1"/>
      <c r="C4023" s="1" t="s">
        <v>431</v>
      </c>
      <c r="D4023" s="74"/>
      <c r="E4023" s="67"/>
      <c r="F4023" s="75"/>
      <c r="G4023" s="67"/>
      <c r="H4023" s="68"/>
      <c r="I4023" s="76"/>
      <c r="J4023" s="67"/>
      <c r="K4023" s="7" t="s">
        <v>1126</v>
      </c>
      <c r="L4023" s="77"/>
      <c r="M4023" s="79"/>
      <c r="N4023" s="1"/>
      <c r="O4023" s="1"/>
      <c r="P4023" s="1"/>
      <c r="Q4023" s="1"/>
      <c r="R4023" s="1"/>
      <c r="S4023" s="1"/>
      <c r="T4023" s="1"/>
      <c r="U4023" s="1"/>
      <c r="V4023" s="1"/>
      <c r="W4023" s="1"/>
      <c r="X4023" s="1"/>
      <c r="Y4023" s="1"/>
      <c r="Z4023" s="1"/>
      <c r="AA4023" s="1"/>
      <c r="AB4023" s="1"/>
      <c r="AC4023" s="1"/>
      <c r="AD4023" s="1"/>
      <c r="AE4023" s="1"/>
      <c r="AF4023" s="1"/>
      <c r="AG4023" s="1"/>
      <c r="AH4023" s="1"/>
    </row>
    <row r="4024" ht="12.75" hidden="1" customHeight="1" outlineLevel="1">
      <c r="A4024" s="17">
        <v>41698.0</v>
      </c>
      <c r="B4024" s="1"/>
      <c r="C4024" s="1" t="s">
        <v>433</v>
      </c>
      <c r="D4024" s="74"/>
      <c r="E4024" s="67"/>
      <c r="F4024" s="75"/>
      <c r="G4024" s="67"/>
      <c r="H4024" s="68"/>
      <c r="I4024" s="76"/>
      <c r="J4024" s="67"/>
      <c r="K4024" s="7" t="s">
        <v>1103</v>
      </c>
      <c r="L4024" s="77"/>
      <c r="M4024" s="79"/>
      <c r="N4024" s="1"/>
      <c r="O4024" s="1"/>
      <c r="P4024" s="1"/>
      <c r="Q4024" s="1"/>
      <c r="R4024" s="1"/>
      <c r="S4024" s="1"/>
      <c r="T4024" s="1"/>
      <c r="U4024" s="1"/>
      <c r="V4024" s="1"/>
      <c r="W4024" s="1"/>
      <c r="X4024" s="1"/>
      <c r="Y4024" s="1"/>
      <c r="Z4024" s="1"/>
      <c r="AA4024" s="1"/>
      <c r="AB4024" s="1"/>
      <c r="AC4024" s="1"/>
      <c r="AD4024" s="1"/>
      <c r="AE4024" s="1"/>
      <c r="AF4024" s="1"/>
      <c r="AG4024" s="1"/>
      <c r="AH4024" s="1"/>
    </row>
    <row r="4025" ht="12.75" hidden="1" customHeight="1" outlineLevel="1">
      <c r="A4025" s="17">
        <v>41698.0</v>
      </c>
      <c r="B4025" s="1"/>
      <c r="C4025" s="1" t="s">
        <v>435</v>
      </c>
      <c r="D4025" s="74"/>
      <c r="E4025" s="67"/>
      <c r="F4025" s="75"/>
      <c r="G4025" s="67"/>
      <c r="H4025" s="68"/>
      <c r="I4025" s="76"/>
      <c r="J4025" s="67"/>
      <c r="K4025" s="7" t="s">
        <v>1507</v>
      </c>
      <c r="L4025" s="77"/>
      <c r="M4025" s="79"/>
      <c r="N4025" s="1"/>
      <c r="O4025" s="1"/>
      <c r="P4025" s="1"/>
      <c r="Q4025" s="1"/>
      <c r="R4025" s="1"/>
      <c r="S4025" s="1"/>
      <c r="T4025" s="1"/>
      <c r="U4025" s="1"/>
      <c r="V4025" s="1"/>
      <c r="W4025" s="1"/>
      <c r="X4025" s="1"/>
      <c r="Y4025" s="1"/>
      <c r="Z4025" s="1"/>
      <c r="AA4025" s="1"/>
      <c r="AB4025" s="1"/>
      <c r="AC4025" s="1"/>
      <c r="AD4025" s="1"/>
      <c r="AE4025" s="1"/>
      <c r="AF4025" s="1"/>
      <c r="AG4025" s="1"/>
      <c r="AH4025" s="1"/>
    </row>
    <row r="4026" ht="12.75" hidden="1" customHeight="1" outlineLevel="1">
      <c r="A4026" s="17">
        <v>41698.0</v>
      </c>
      <c r="B4026" s="1" t="s">
        <v>343</v>
      </c>
      <c r="C4026" s="1" t="s">
        <v>1357</v>
      </c>
      <c r="D4026" s="74">
        <v>50.0</v>
      </c>
      <c r="E4026" s="67">
        <v>100.1</v>
      </c>
      <c r="F4026" s="75">
        <v>0.4057291666666667</v>
      </c>
      <c r="G4026" s="67" t="s">
        <v>453</v>
      </c>
      <c r="H4026" s="68">
        <v>1.0</v>
      </c>
      <c r="I4026" s="76"/>
      <c r="J4026" s="67">
        <f t="shared" ref="J4026:J4029" si="258">IF(B4026="SLD",D4026*E4026,-D4026*E4026)-H4026</f>
        <v>-5006</v>
      </c>
      <c r="K4026" s="7"/>
      <c r="L4026" s="70"/>
      <c r="M4026" s="79"/>
      <c r="N4026" s="1"/>
      <c r="O4026" s="1"/>
      <c r="P4026" s="1"/>
      <c r="Q4026" s="1"/>
      <c r="R4026" s="1"/>
      <c r="S4026" s="1"/>
      <c r="T4026" s="1"/>
      <c r="U4026" s="1"/>
      <c r="V4026" s="1"/>
      <c r="W4026" s="1"/>
      <c r="X4026" s="1"/>
      <c r="Y4026" s="1"/>
      <c r="Z4026" s="1"/>
      <c r="AA4026" s="1"/>
      <c r="AB4026" s="1"/>
      <c r="AC4026" s="1"/>
      <c r="AD4026" s="1"/>
      <c r="AE4026" s="1"/>
      <c r="AF4026" s="1"/>
      <c r="AG4026" s="1"/>
      <c r="AH4026" s="1"/>
    </row>
    <row r="4027" ht="12.75" hidden="1" customHeight="1" outlineLevel="1">
      <c r="A4027" s="17">
        <v>41698.0</v>
      </c>
      <c r="B4027" s="1" t="s">
        <v>343</v>
      </c>
      <c r="C4027" s="1" t="s">
        <v>1049</v>
      </c>
      <c r="D4027" s="74">
        <v>10.0</v>
      </c>
      <c r="E4027" s="67">
        <v>572.49</v>
      </c>
      <c r="F4027" s="75">
        <v>0.4070486111111111</v>
      </c>
      <c r="G4027" s="67" t="s">
        <v>453</v>
      </c>
      <c r="H4027" s="68">
        <v>1.0</v>
      </c>
      <c r="I4027" s="76"/>
      <c r="J4027" s="67">
        <f t="shared" si="258"/>
        <v>-5725.9</v>
      </c>
      <c r="K4027" s="7"/>
      <c r="L4027" s="70"/>
      <c r="M4027" s="79"/>
      <c r="N4027" s="1"/>
      <c r="O4027" s="1"/>
      <c r="P4027" s="1"/>
      <c r="Q4027" s="1"/>
      <c r="R4027" s="1"/>
      <c r="S4027" s="1"/>
      <c r="T4027" s="1"/>
      <c r="U4027" s="1"/>
      <c r="V4027" s="1"/>
      <c r="W4027" s="1"/>
      <c r="X4027" s="1"/>
      <c r="Y4027" s="1"/>
      <c r="Z4027" s="1"/>
      <c r="AA4027" s="1"/>
      <c r="AB4027" s="1"/>
      <c r="AC4027" s="1"/>
      <c r="AD4027" s="1"/>
      <c r="AE4027" s="1"/>
      <c r="AF4027" s="1"/>
      <c r="AG4027" s="1"/>
      <c r="AH4027" s="1"/>
    </row>
    <row r="4028" ht="12.75" hidden="1" customHeight="1" outlineLevel="1">
      <c r="A4028" s="17">
        <v>41698.0</v>
      </c>
      <c r="B4028" s="1" t="s">
        <v>343</v>
      </c>
      <c r="C4028" s="1" t="s">
        <v>354</v>
      </c>
      <c r="D4028" s="74">
        <v>50.0</v>
      </c>
      <c r="E4028" s="67">
        <v>98.01</v>
      </c>
      <c r="F4028" s="75">
        <v>0.4702314814814815</v>
      </c>
      <c r="G4028" s="67" t="s">
        <v>453</v>
      </c>
      <c r="H4028" s="68">
        <v>1.0</v>
      </c>
      <c r="I4028" s="76"/>
      <c r="J4028" s="67">
        <f t="shared" si="258"/>
        <v>-4901.5</v>
      </c>
      <c r="K4028" s="7"/>
      <c r="L4028" s="70"/>
      <c r="M4028" s="79"/>
      <c r="N4028" s="1"/>
      <c r="O4028" s="1"/>
      <c r="P4028" s="1"/>
      <c r="Q4028" s="1"/>
      <c r="R4028" s="1"/>
      <c r="S4028" s="1"/>
      <c r="T4028" s="1"/>
      <c r="U4028" s="1"/>
      <c r="V4028" s="1"/>
      <c r="W4028" s="1"/>
      <c r="X4028" s="1"/>
      <c r="Y4028" s="1"/>
      <c r="Z4028" s="1"/>
      <c r="AA4028" s="1"/>
      <c r="AB4028" s="1"/>
      <c r="AC4028" s="1"/>
      <c r="AD4028" s="1"/>
      <c r="AE4028" s="1"/>
      <c r="AF4028" s="1"/>
      <c r="AG4028" s="1"/>
      <c r="AH4028" s="1"/>
    </row>
    <row r="4029" ht="12.75" hidden="1" customHeight="1" outlineLevel="1">
      <c r="A4029" s="17">
        <v>41698.0</v>
      </c>
      <c r="B4029" s="1" t="s">
        <v>343</v>
      </c>
      <c r="C4029" s="1" t="s">
        <v>1371</v>
      </c>
      <c r="D4029" s="74">
        <v>100.0</v>
      </c>
      <c r="E4029" s="67">
        <v>38.06</v>
      </c>
      <c r="F4029" s="75">
        <v>0.4709375</v>
      </c>
      <c r="G4029" s="67" t="s">
        <v>453</v>
      </c>
      <c r="H4029" s="68">
        <v>1.0</v>
      </c>
      <c r="I4029" s="76"/>
      <c r="J4029" s="67">
        <f t="shared" si="258"/>
        <v>-3807</v>
      </c>
      <c r="K4029" s="7"/>
      <c r="L4029" s="70"/>
      <c r="M4029" s="79"/>
      <c r="N4029" s="1"/>
      <c r="O4029" s="1"/>
      <c r="P4029" s="1"/>
      <c r="Q4029" s="1"/>
      <c r="R4029" s="1"/>
      <c r="S4029" s="1"/>
      <c r="T4029" s="1"/>
      <c r="U4029" s="1"/>
      <c r="V4029" s="1"/>
      <c r="W4029" s="1"/>
      <c r="X4029" s="1"/>
      <c r="Y4029" s="1"/>
      <c r="Z4029" s="1"/>
      <c r="AA4029" s="1"/>
      <c r="AB4029" s="1"/>
      <c r="AC4029" s="1"/>
      <c r="AD4029" s="1"/>
      <c r="AE4029" s="1"/>
      <c r="AF4029" s="1"/>
      <c r="AG4029" s="1"/>
      <c r="AH4029" s="1"/>
    </row>
    <row r="4030" ht="12.75" hidden="1" customHeight="1" outlineLevel="1">
      <c r="A4030" s="17">
        <v>41698.0</v>
      </c>
      <c r="B4030" s="1"/>
      <c r="C4030" s="1" t="s">
        <v>339</v>
      </c>
      <c r="D4030" s="74"/>
      <c r="E4030" s="67"/>
      <c r="F4030" s="75"/>
      <c r="G4030" s="67"/>
      <c r="H4030" s="68"/>
      <c r="I4030" s="76"/>
      <c r="J4030" s="67"/>
      <c r="K4030" s="7" t="s">
        <v>1709</v>
      </c>
      <c r="L4030" s="77"/>
      <c r="M4030" s="79"/>
      <c r="N4030" s="1"/>
      <c r="O4030" s="1"/>
      <c r="P4030" s="1"/>
      <c r="Q4030" s="1"/>
      <c r="R4030" s="1"/>
      <c r="S4030" s="1"/>
      <c r="T4030" s="1"/>
      <c r="U4030" s="1"/>
      <c r="V4030" s="1"/>
      <c r="W4030" s="1"/>
      <c r="X4030" s="1"/>
      <c r="Y4030" s="1"/>
      <c r="Z4030" s="1"/>
      <c r="AA4030" s="1"/>
      <c r="AB4030" s="1"/>
      <c r="AC4030" s="1"/>
      <c r="AD4030" s="1"/>
      <c r="AE4030" s="1"/>
      <c r="AF4030" s="1"/>
      <c r="AG4030" s="1"/>
      <c r="AH4030" s="1"/>
    </row>
    <row r="4031" ht="12.75" hidden="1" customHeight="1" outlineLevel="1">
      <c r="A4031" s="17">
        <v>41698.0</v>
      </c>
      <c r="B4031" s="1"/>
      <c r="C4031" s="1" t="s">
        <v>429</v>
      </c>
      <c r="D4031" s="74"/>
      <c r="E4031" s="67"/>
      <c r="F4031" s="75"/>
      <c r="G4031" s="67"/>
      <c r="H4031" s="68"/>
      <c r="I4031" s="76"/>
      <c r="J4031" s="67"/>
      <c r="K4031" s="7" t="s">
        <v>1686</v>
      </c>
      <c r="L4031" s="77"/>
      <c r="M4031" s="79"/>
      <c r="N4031" s="1"/>
      <c r="O4031" s="1"/>
      <c r="P4031" s="1"/>
      <c r="Q4031" s="1"/>
      <c r="R4031" s="1"/>
      <c r="S4031" s="1"/>
      <c r="T4031" s="1"/>
      <c r="U4031" s="1"/>
      <c r="V4031" s="1"/>
      <c r="W4031" s="1"/>
      <c r="X4031" s="1"/>
      <c r="Y4031" s="1"/>
      <c r="Z4031" s="1"/>
      <c r="AA4031" s="1"/>
      <c r="AB4031" s="1"/>
      <c r="AC4031" s="1"/>
      <c r="AD4031" s="1"/>
      <c r="AE4031" s="1"/>
      <c r="AF4031" s="1"/>
      <c r="AG4031" s="1"/>
      <c r="AH4031" s="1"/>
    </row>
    <row r="4032" ht="12.75" hidden="1" customHeight="1" outlineLevel="1">
      <c r="A4032" s="17">
        <v>41698.0</v>
      </c>
      <c r="B4032" s="1"/>
      <c r="C4032" s="1" t="s">
        <v>431</v>
      </c>
      <c r="D4032" s="74"/>
      <c r="E4032" s="67"/>
      <c r="F4032" s="75"/>
      <c r="G4032" s="67"/>
      <c r="H4032" s="68"/>
      <c r="I4032" s="76"/>
      <c r="J4032" s="67"/>
      <c r="K4032" s="7" t="s">
        <v>1126</v>
      </c>
      <c r="L4032" s="77"/>
      <c r="M4032" s="79"/>
      <c r="N4032" s="1"/>
      <c r="O4032" s="1"/>
      <c r="P4032" s="1"/>
      <c r="Q4032" s="1"/>
      <c r="R4032" s="1"/>
      <c r="S4032" s="1"/>
      <c r="T4032" s="1"/>
      <c r="U4032" s="1"/>
      <c r="V4032" s="1"/>
      <c r="W4032" s="1"/>
      <c r="X4032" s="1"/>
      <c r="Y4032" s="1"/>
      <c r="Z4032" s="1"/>
      <c r="AA4032" s="1"/>
      <c r="AB4032" s="1"/>
      <c r="AC4032" s="1"/>
      <c r="AD4032" s="1"/>
      <c r="AE4032" s="1"/>
      <c r="AF4032" s="1"/>
      <c r="AG4032" s="1"/>
      <c r="AH4032" s="1"/>
    </row>
    <row r="4033" ht="12.75" hidden="1" customHeight="1" outlineLevel="1">
      <c r="A4033" s="17">
        <v>41698.0</v>
      </c>
      <c r="B4033" s="1"/>
      <c r="C4033" s="1" t="s">
        <v>433</v>
      </c>
      <c r="D4033" s="74"/>
      <c r="E4033" s="67"/>
      <c r="F4033" s="75"/>
      <c r="G4033" s="67"/>
      <c r="H4033" s="68"/>
      <c r="I4033" s="76"/>
      <c r="J4033" s="67"/>
      <c r="K4033" s="7" t="s">
        <v>1103</v>
      </c>
      <c r="L4033" s="77"/>
      <c r="M4033" s="79"/>
      <c r="N4033" s="1"/>
      <c r="O4033" s="1"/>
      <c r="P4033" s="1"/>
      <c r="Q4033" s="1"/>
      <c r="R4033" s="1"/>
      <c r="S4033" s="1"/>
      <c r="T4033" s="1"/>
      <c r="U4033" s="1"/>
      <c r="V4033" s="1"/>
      <c r="W4033" s="1"/>
      <c r="X4033" s="1"/>
      <c r="Y4033" s="1"/>
      <c r="Z4033" s="1"/>
      <c r="AA4033" s="1"/>
      <c r="AB4033" s="1"/>
      <c r="AC4033" s="1"/>
      <c r="AD4033" s="1"/>
      <c r="AE4033" s="1"/>
      <c r="AF4033" s="1"/>
      <c r="AG4033" s="1"/>
      <c r="AH4033" s="1"/>
    </row>
    <row r="4034" ht="12.75" hidden="1" customHeight="1" outlineLevel="1">
      <c r="A4034" s="17">
        <v>41698.0</v>
      </c>
      <c r="B4034" s="1"/>
      <c r="C4034" s="1" t="s">
        <v>435</v>
      </c>
      <c r="D4034" s="74"/>
      <c r="E4034" s="67"/>
      <c r="F4034" s="75"/>
      <c r="G4034" s="67"/>
      <c r="H4034" s="68"/>
      <c r="I4034" s="76"/>
      <c r="J4034" s="67"/>
      <c r="K4034" s="7" t="s">
        <v>1507</v>
      </c>
      <c r="L4034" s="77"/>
      <c r="M4034" s="79"/>
      <c r="N4034" s="1"/>
      <c r="O4034" s="1"/>
      <c r="P4034" s="1"/>
      <c r="Q4034" s="1"/>
      <c r="R4034" s="1"/>
      <c r="S4034" s="1"/>
      <c r="T4034" s="1"/>
      <c r="U4034" s="1"/>
      <c r="V4034" s="1"/>
      <c r="W4034" s="1"/>
      <c r="X4034" s="1"/>
      <c r="Y4034" s="1"/>
      <c r="Z4034" s="1"/>
      <c r="AA4034" s="1"/>
      <c r="AB4034" s="1"/>
      <c r="AC4034" s="1"/>
      <c r="AD4034" s="1"/>
      <c r="AE4034" s="1"/>
      <c r="AF4034" s="1"/>
      <c r="AG4034" s="1"/>
      <c r="AH4034" s="1"/>
    </row>
    <row r="4035" ht="12.75" hidden="1" customHeight="1" outlineLevel="1">
      <c r="A4035" s="17">
        <v>41698.0</v>
      </c>
      <c r="B4035" s="1"/>
      <c r="C4035" s="1" t="s">
        <v>339</v>
      </c>
      <c r="D4035" s="74"/>
      <c r="E4035" s="67"/>
      <c r="F4035" s="75"/>
      <c r="G4035" s="67"/>
      <c r="H4035" s="68"/>
      <c r="I4035" s="76"/>
      <c r="J4035" s="67"/>
      <c r="K4035" s="7" t="s">
        <v>1710</v>
      </c>
      <c r="L4035" s="77"/>
      <c r="M4035" s="79"/>
      <c r="N4035" s="1"/>
      <c r="O4035" s="1"/>
      <c r="P4035" s="1"/>
      <c r="Q4035" s="1"/>
      <c r="R4035" s="1"/>
      <c r="S4035" s="1"/>
      <c r="T4035" s="1"/>
      <c r="U4035" s="1"/>
      <c r="V4035" s="1"/>
      <c r="W4035" s="1"/>
      <c r="X4035" s="1"/>
      <c r="Y4035" s="1"/>
      <c r="Z4035" s="1"/>
      <c r="AA4035" s="1"/>
      <c r="AB4035" s="1"/>
      <c r="AC4035" s="1"/>
      <c r="AD4035" s="1"/>
      <c r="AE4035" s="1"/>
      <c r="AF4035" s="1"/>
      <c r="AG4035" s="1"/>
      <c r="AH4035" s="1"/>
    </row>
    <row r="4036" ht="12.75" hidden="1" customHeight="1" outlineLevel="1">
      <c r="A4036" s="17">
        <v>41698.0</v>
      </c>
      <c r="B4036" s="1"/>
      <c r="C4036" s="1" t="s">
        <v>429</v>
      </c>
      <c r="D4036" s="74"/>
      <c r="E4036" s="67"/>
      <c r="F4036" s="75"/>
      <c r="G4036" s="67"/>
      <c r="H4036" s="68"/>
      <c r="I4036" s="76"/>
      <c r="J4036" s="67"/>
      <c r="K4036" s="7" t="s">
        <v>1686</v>
      </c>
      <c r="L4036" s="77"/>
      <c r="M4036" s="79"/>
      <c r="N4036" s="1"/>
      <c r="O4036" s="1"/>
      <c r="P4036" s="1"/>
      <c r="Q4036" s="1"/>
      <c r="R4036" s="1"/>
      <c r="S4036" s="1"/>
      <c r="T4036" s="1"/>
      <c r="U4036" s="1"/>
      <c r="V4036" s="1"/>
      <c r="W4036" s="1"/>
      <c r="X4036" s="1"/>
      <c r="Y4036" s="1"/>
      <c r="Z4036" s="1"/>
      <c r="AA4036" s="1"/>
      <c r="AB4036" s="1"/>
      <c r="AC4036" s="1"/>
      <c r="AD4036" s="1"/>
      <c r="AE4036" s="1"/>
      <c r="AF4036" s="1"/>
      <c r="AG4036" s="1"/>
      <c r="AH4036" s="1"/>
    </row>
    <row r="4037" ht="12.75" hidden="1" customHeight="1" outlineLevel="1">
      <c r="A4037" s="17">
        <v>41698.0</v>
      </c>
      <c r="B4037" s="1"/>
      <c r="C4037" s="1" t="s">
        <v>431</v>
      </c>
      <c r="D4037" s="74"/>
      <c r="E4037" s="67"/>
      <c r="F4037" s="75"/>
      <c r="G4037" s="67"/>
      <c r="H4037" s="68"/>
      <c r="I4037" s="76"/>
      <c r="J4037" s="67"/>
      <c r="K4037" s="7" t="s">
        <v>1126</v>
      </c>
      <c r="L4037" s="77"/>
      <c r="M4037" s="79"/>
      <c r="N4037" s="1"/>
      <c r="O4037" s="1"/>
      <c r="P4037" s="1"/>
      <c r="Q4037" s="1"/>
      <c r="R4037" s="1"/>
      <c r="S4037" s="1"/>
      <c r="T4037" s="1"/>
      <c r="U4037" s="1"/>
      <c r="V4037" s="1"/>
      <c r="W4037" s="1"/>
      <c r="X4037" s="1"/>
      <c r="Y4037" s="1"/>
      <c r="Z4037" s="1"/>
      <c r="AA4037" s="1"/>
      <c r="AB4037" s="1"/>
      <c r="AC4037" s="1"/>
      <c r="AD4037" s="1"/>
      <c r="AE4037" s="1"/>
      <c r="AF4037" s="1"/>
      <c r="AG4037" s="1"/>
      <c r="AH4037" s="1"/>
    </row>
    <row r="4038" ht="12.75" hidden="1" customHeight="1" outlineLevel="1">
      <c r="A4038" s="17">
        <v>41698.0</v>
      </c>
      <c r="B4038" s="1"/>
      <c r="C4038" s="1" t="s">
        <v>433</v>
      </c>
      <c r="D4038" s="74"/>
      <c r="E4038" s="67"/>
      <c r="F4038" s="75"/>
      <c r="G4038" s="67"/>
      <c r="H4038" s="68"/>
      <c r="I4038" s="76"/>
      <c r="J4038" s="67"/>
      <c r="K4038" s="7" t="s">
        <v>1103</v>
      </c>
      <c r="L4038" s="77"/>
      <c r="M4038" s="79"/>
      <c r="N4038" s="1"/>
      <c r="O4038" s="1"/>
      <c r="P4038" s="1"/>
      <c r="Q4038" s="1"/>
      <c r="R4038" s="1"/>
      <c r="S4038" s="1"/>
      <c r="T4038" s="1"/>
      <c r="U4038" s="1"/>
      <c r="V4038" s="1"/>
      <c r="W4038" s="1"/>
      <c r="X4038" s="1"/>
      <c r="Y4038" s="1"/>
      <c r="Z4038" s="1"/>
      <c r="AA4038" s="1"/>
      <c r="AB4038" s="1"/>
      <c r="AC4038" s="1"/>
      <c r="AD4038" s="1"/>
      <c r="AE4038" s="1"/>
      <c r="AF4038" s="1"/>
      <c r="AG4038" s="1"/>
      <c r="AH4038" s="1"/>
    </row>
    <row r="4039" ht="12.75" hidden="1" customHeight="1" outlineLevel="1">
      <c r="A4039" s="17">
        <v>41698.0</v>
      </c>
      <c r="B4039" s="1"/>
      <c r="C4039" s="1" t="s">
        <v>435</v>
      </c>
      <c r="D4039" s="74"/>
      <c r="E4039" s="67"/>
      <c r="F4039" s="75"/>
      <c r="G4039" s="67"/>
      <c r="H4039" s="68"/>
      <c r="I4039" s="76"/>
      <c r="J4039" s="67"/>
      <c r="K4039" s="7" t="s">
        <v>1507</v>
      </c>
      <c r="L4039" s="77"/>
      <c r="M4039" s="79"/>
      <c r="N4039" s="1"/>
      <c r="O4039" s="1"/>
      <c r="P4039" s="1"/>
      <c r="Q4039" s="1"/>
      <c r="R4039" s="1"/>
      <c r="S4039" s="1"/>
      <c r="T4039" s="1"/>
      <c r="U4039" s="1"/>
      <c r="V4039" s="1"/>
      <c r="W4039" s="1"/>
      <c r="X4039" s="1"/>
      <c r="Y4039" s="1"/>
      <c r="Z4039" s="1"/>
      <c r="AA4039" s="1"/>
      <c r="AB4039" s="1"/>
      <c r="AC4039" s="1"/>
      <c r="AD4039" s="1"/>
      <c r="AE4039" s="1"/>
      <c r="AF4039" s="1"/>
      <c r="AG4039" s="1"/>
      <c r="AH4039" s="1"/>
    </row>
    <row r="4040" ht="12.75" hidden="1" customHeight="1" outlineLevel="1">
      <c r="A4040" s="17">
        <v>41701.0</v>
      </c>
      <c r="B4040" s="1"/>
      <c r="C4040" s="1" t="s">
        <v>339</v>
      </c>
      <c r="D4040" s="74"/>
      <c r="E4040" s="67"/>
      <c r="F4040" s="75"/>
      <c r="G4040" s="67"/>
      <c r="H4040" s="68"/>
      <c r="I4040" s="76"/>
      <c r="J4040" s="67"/>
      <c r="K4040" s="7" t="s">
        <v>1711</v>
      </c>
      <c r="L4040" s="77"/>
      <c r="M4040" s="79"/>
      <c r="N4040" s="1"/>
      <c r="O4040" s="1"/>
      <c r="P4040" s="1"/>
      <c r="Q4040" s="1"/>
      <c r="R4040" s="1"/>
      <c r="S4040" s="1"/>
      <c r="T4040" s="1"/>
      <c r="U4040" s="1"/>
      <c r="V4040" s="1"/>
      <c r="W4040" s="1"/>
      <c r="X4040" s="1"/>
      <c r="Y4040" s="1"/>
      <c r="Z4040" s="1"/>
      <c r="AA4040" s="1"/>
      <c r="AB4040" s="1"/>
      <c r="AC4040" s="1"/>
      <c r="AD4040" s="1"/>
      <c r="AE4040" s="1"/>
      <c r="AF4040" s="1"/>
      <c r="AG4040" s="1"/>
      <c r="AH4040" s="1"/>
    </row>
    <row r="4041" ht="12.75" hidden="1" customHeight="1" outlineLevel="1">
      <c r="A4041" s="17">
        <v>41701.0</v>
      </c>
      <c r="B4041" s="1"/>
      <c r="C4041" s="1" t="s">
        <v>429</v>
      </c>
      <c r="D4041" s="74"/>
      <c r="E4041" s="67"/>
      <c r="F4041" s="75"/>
      <c r="G4041" s="67"/>
      <c r="H4041" s="68"/>
      <c r="I4041" s="76"/>
      <c r="J4041" s="67"/>
      <c r="K4041" s="7" t="s">
        <v>1686</v>
      </c>
      <c r="L4041" s="77"/>
      <c r="M4041" s="79"/>
      <c r="N4041" s="1"/>
      <c r="O4041" s="1"/>
      <c r="P4041" s="1"/>
      <c r="Q4041" s="1"/>
      <c r="R4041" s="1"/>
      <c r="S4041" s="1"/>
      <c r="T4041" s="1"/>
      <c r="U4041" s="1"/>
      <c r="V4041" s="1"/>
      <c r="W4041" s="1"/>
      <c r="X4041" s="1"/>
      <c r="Y4041" s="1"/>
      <c r="Z4041" s="1"/>
      <c r="AA4041" s="1"/>
      <c r="AB4041" s="1"/>
      <c r="AC4041" s="1"/>
      <c r="AD4041" s="1"/>
      <c r="AE4041" s="1"/>
      <c r="AF4041" s="1"/>
      <c r="AG4041" s="1"/>
      <c r="AH4041" s="1"/>
    </row>
    <row r="4042" ht="12.75" hidden="1" customHeight="1" outlineLevel="1">
      <c r="A4042" s="17">
        <v>41701.0</v>
      </c>
      <c r="B4042" s="1"/>
      <c r="C4042" s="1" t="s">
        <v>431</v>
      </c>
      <c r="D4042" s="74"/>
      <c r="E4042" s="67"/>
      <c r="F4042" s="75"/>
      <c r="G4042" s="67"/>
      <c r="H4042" s="68"/>
      <c r="I4042" s="76"/>
      <c r="J4042" s="67"/>
      <c r="K4042" s="7" t="s">
        <v>1126</v>
      </c>
      <c r="L4042" s="77"/>
      <c r="M4042" s="79"/>
      <c r="N4042" s="1"/>
      <c r="O4042" s="1"/>
      <c r="P4042" s="1"/>
      <c r="Q4042" s="1"/>
      <c r="R4042" s="1"/>
      <c r="S4042" s="1"/>
      <c r="T4042" s="1"/>
      <c r="U4042" s="1"/>
      <c r="V4042" s="1"/>
      <c r="W4042" s="1"/>
      <c r="X4042" s="1"/>
      <c r="Y4042" s="1"/>
      <c r="Z4042" s="1"/>
      <c r="AA4042" s="1"/>
      <c r="AB4042" s="1"/>
      <c r="AC4042" s="1"/>
      <c r="AD4042" s="1"/>
      <c r="AE4042" s="1"/>
      <c r="AF4042" s="1"/>
      <c r="AG4042" s="1"/>
      <c r="AH4042" s="1"/>
    </row>
    <row r="4043" ht="12.75" hidden="1" customHeight="1" outlineLevel="1">
      <c r="A4043" s="17">
        <v>41701.0</v>
      </c>
      <c r="B4043" s="1"/>
      <c r="C4043" s="1" t="s">
        <v>433</v>
      </c>
      <c r="D4043" s="74"/>
      <c r="E4043" s="67"/>
      <c r="F4043" s="75"/>
      <c r="G4043" s="67"/>
      <c r="H4043" s="68"/>
      <c r="I4043" s="76"/>
      <c r="J4043" s="67"/>
      <c r="K4043" s="7" t="s">
        <v>1103</v>
      </c>
      <c r="L4043" s="77"/>
      <c r="M4043" s="79"/>
      <c r="N4043" s="1"/>
      <c r="O4043" s="1"/>
      <c r="P4043" s="1"/>
      <c r="Q4043" s="1"/>
      <c r="R4043" s="1"/>
      <c r="S4043" s="1"/>
      <c r="T4043" s="1"/>
      <c r="U4043" s="1"/>
      <c r="V4043" s="1"/>
      <c r="W4043" s="1"/>
      <c r="X4043" s="1"/>
      <c r="Y4043" s="1"/>
      <c r="Z4043" s="1"/>
      <c r="AA4043" s="1"/>
      <c r="AB4043" s="1"/>
      <c r="AC4043" s="1"/>
      <c r="AD4043" s="1"/>
      <c r="AE4043" s="1"/>
      <c r="AF4043" s="1"/>
      <c r="AG4043" s="1"/>
      <c r="AH4043" s="1"/>
    </row>
    <row r="4044" ht="12.75" hidden="1" customHeight="1" outlineLevel="1">
      <c r="A4044" s="17">
        <v>41701.0</v>
      </c>
      <c r="B4044" s="1"/>
      <c r="C4044" s="1" t="s">
        <v>435</v>
      </c>
      <c r="D4044" s="74"/>
      <c r="E4044" s="67"/>
      <c r="F4044" s="75"/>
      <c r="G4044" s="67"/>
      <c r="H4044" s="68"/>
      <c r="I4044" s="76"/>
      <c r="J4044" s="67"/>
      <c r="K4044" s="7" t="s">
        <v>1507</v>
      </c>
      <c r="L4044" s="77"/>
      <c r="M4044" s="79"/>
      <c r="N4044" s="1"/>
      <c r="O4044" s="1"/>
      <c r="P4044" s="1"/>
      <c r="Q4044" s="1"/>
      <c r="R4044" s="1"/>
      <c r="S4044" s="1"/>
      <c r="T4044" s="1"/>
      <c r="U4044" s="1"/>
      <c r="V4044" s="1"/>
      <c r="W4044" s="1"/>
      <c r="X4044" s="1"/>
      <c r="Y4044" s="1"/>
      <c r="Z4044" s="1"/>
      <c r="AA4044" s="1"/>
      <c r="AB4044" s="1"/>
      <c r="AC4044" s="1"/>
      <c r="AD4044" s="1"/>
      <c r="AE4044" s="1"/>
      <c r="AF4044" s="1"/>
      <c r="AG4044" s="1"/>
      <c r="AH4044" s="1"/>
    </row>
    <row r="4045" ht="12.75" hidden="1" customHeight="1" outlineLevel="1">
      <c r="A4045" s="17">
        <v>41702.0</v>
      </c>
      <c r="B4045" s="1"/>
      <c r="C4045" s="1" t="s">
        <v>339</v>
      </c>
      <c r="D4045" s="74"/>
      <c r="E4045" s="67"/>
      <c r="F4045" s="75"/>
      <c r="G4045" s="67"/>
      <c r="H4045" s="68"/>
      <c r="I4045" s="76"/>
      <c r="J4045" s="67"/>
      <c r="K4045" s="7" t="s">
        <v>1712</v>
      </c>
      <c r="L4045" s="77"/>
      <c r="M4045" s="79"/>
      <c r="N4045" s="1"/>
      <c r="O4045" s="1"/>
      <c r="P4045" s="1"/>
      <c r="Q4045" s="1"/>
      <c r="R4045" s="1"/>
      <c r="S4045" s="1"/>
      <c r="T4045" s="1"/>
      <c r="U4045" s="1"/>
      <c r="V4045" s="1"/>
      <c r="W4045" s="1"/>
      <c r="X4045" s="1"/>
      <c r="Y4045" s="1"/>
      <c r="Z4045" s="1"/>
      <c r="AA4045" s="1"/>
      <c r="AB4045" s="1"/>
      <c r="AC4045" s="1"/>
      <c r="AD4045" s="1"/>
      <c r="AE4045" s="1"/>
      <c r="AF4045" s="1"/>
      <c r="AG4045" s="1"/>
      <c r="AH4045" s="1"/>
    </row>
    <row r="4046" ht="12.75" hidden="1" customHeight="1" outlineLevel="1">
      <c r="A4046" s="17">
        <v>41702.0</v>
      </c>
      <c r="B4046" s="1"/>
      <c r="C4046" s="1" t="s">
        <v>429</v>
      </c>
      <c r="D4046" s="74"/>
      <c r="E4046" s="67"/>
      <c r="F4046" s="75"/>
      <c r="G4046" s="67"/>
      <c r="H4046" s="68"/>
      <c r="I4046" s="76"/>
      <c r="J4046" s="67"/>
      <c r="K4046" s="7" t="s">
        <v>1686</v>
      </c>
      <c r="L4046" s="77"/>
      <c r="M4046" s="79"/>
      <c r="N4046" s="1"/>
      <c r="O4046" s="1"/>
      <c r="P4046" s="1"/>
      <c r="Q4046" s="1"/>
      <c r="R4046" s="1"/>
      <c r="S4046" s="1"/>
      <c r="T4046" s="1"/>
      <c r="U4046" s="1"/>
      <c r="V4046" s="1"/>
      <c r="W4046" s="1"/>
      <c r="X4046" s="1"/>
      <c r="Y4046" s="1"/>
      <c r="Z4046" s="1"/>
      <c r="AA4046" s="1"/>
      <c r="AB4046" s="1"/>
      <c r="AC4046" s="1"/>
      <c r="AD4046" s="1"/>
      <c r="AE4046" s="1"/>
      <c r="AF4046" s="1"/>
      <c r="AG4046" s="1"/>
      <c r="AH4046" s="1"/>
    </row>
    <row r="4047" ht="12.75" hidden="1" customHeight="1" outlineLevel="1">
      <c r="A4047" s="17">
        <v>41702.0</v>
      </c>
      <c r="B4047" s="1"/>
      <c r="C4047" s="1" t="s">
        <v>431</v>
      </c>
      <c r="D4047" s="74"/>
      <c r="E4047" s="67"/>
      <c r="F4047" s="75"/>
      <c r="G4047" s="67"/>
      <c r="H4047" s="68"/>
      <c r="I4047" s="76"/>
      <c r="J4047" s="67"/>
      <c r="K4047" s="7" t="s">
        <v>1126</v>
      </c>
      <c r="L4047" s="77"/>
      <c r="M4047" s="79"/>
      <c r="N4047" s="1"/>
      <c r="O4047" s="1"/>
      <c r="P4047" s="1"/>
      <c r="Q4047" s="1"/>
      <c r="R4047" s="1"/>
      <c r="S4047" s="1"/>
      <c r="T4047" s="1"/>
      <c r="U4047" s="1"/>
      <c r="V4047" s="1"/>
      <c r="W4047" s="1"/>
      <c r="X4047" s="1"/>
      <c r="Y4047" s="1"/>
      <c r="Z4047" s="1"/>
      <c r="AA4047" s="1"/>
      <c r="AB4047" s="1"/>
      <c r="AC4047" s="1"/>
      <c r="AD4047" s="1"/>
      <c r="AE4047" s="1"/>
      <c r="AF4047" s="1"/>
      <c r="AG4047" s="1"/>
      <c r="AH4047" s="1"/>
    </row>
    <row r="4048" ht="12.75" hidden="1" customHeight="1" outlineLevel="1">
      <c r="A4048" s="17">
        <v>41702.0</v>
      </c>
      <c r="B4048" s="1"/>
      <c r="C4048" s="1" t="s">
        <v>433</v>
      </c>
      <c r="D4048" s="74"/>
      <c r="E4048" s="67"/>
      <c r="F4048" s="75"/>
      <c r="G4048" s="67"/>
      <c r="H4048" s="68"/>
      <c r="I4048" s="76"/>
      <c r="J4048" s="67"/>
      <c r="K4048" s="7" t="s">
        <v>1103</v>
      </c>
      <c r="L4048" s="77"/>
      <c r="M4048" s="79"/>
      <c r="N4048" s="1"/>
      <c r="O4048" s="1"/>
      <c r="P4048" s="1"/>
      <c r="Q4048" s="1"/>
      <c r="R4048" s="1"/>
      <c r="S4048" s="1"/>
      <c r="T4048" s="1"/>
      <c r="U4048" s="1"/>
      <c r="V4048" s="1"/>
      <c r="W4048" s="1"/>
      <c r="X4048" s="1"/>
      <c r="Y4048" s="1"/>
      <c r="Z4048" s="1"/>
      <c r="AA4048" s="1"/>
      <c r="AB4048" s="1"/>
      <c r="AC4048" s="1"/>
      <c r="AD4048" s="1"/>
      <c r="AE4048" s="1"/>
      <c r="AF4048" s="1"/>
      <c r="AG4048" s="1"/>
      <c r="AH4048" s="1"/>
    </row>
    <row r="4049" ht="12.75" hidden="1" customHeight="1" outlineLevel="1">
      <c r="A4049" s="17">
        <v>41702.0</v>
      </c>
      <c r="B4049" s="1"/>
      <c r="C4049" s="1" t="s">
        <v>435</v>
      </c>
      <c r="D4049" s="74"/>
      <c r="E4049" s="67"/>
      <c r="F4049" s="75"/>
      <c r="G4049" s="67"/>
      <c r="H4049" s="68"/>
      <c r="I4049" s="76"/>
      <c r="J4049" s="67"/>
      <c r="K4049" s="7" t="s">
        <v>1507</v>
      </c>
      <c r="L4049" s="77"/>
      <c r="M4049" s="79"/>
      <c r="N4049" s="1"/>
      <c r="O4049" s="1"/>
      <c r="P4049" s="1"/>
      <c r="Q4049" s="1"/>
      <c r="R4049" s="1"/>
      <c r="S4049" s="1"/>
      <c r="T4049" s="1"/>
      <c r="U4049" s="1"/>
      <c r="V4049" s="1"/>
      <c r="W4049" s="1"/>
      <c r="X4049" s="1"/>
      <c r="Y4049" s="1"/>
      <c r="Z4049" s="1"/>
      <c r="AA4049" s="1"/>
      <c r="AB4049" s="1"/>
      <c r="AC4049" s="1"/>
      <c r="AD4049" s="1"/>
      <c r="AE4049" s="1"/>
      <c r="AF4049" s="1"/>
      <c r="AG4049" s="1"/>
      <c r="AH4049" s="1"/>
    </row>
    <row r="4050" ht="12.75" hidden="1" customHeight="1" outlineLevel="1">
      <c r="A4050" s="17">
        <v>41704.0</v>
      </c>
      <c r="B4050" s="1"/>
      <c r="C4050" s="1" t="s">
        <v>339</v>
      </c>
      <c r="D4050" s="74"/>
      <c r="E4050" s="67"/>
      <c r="F4050" s="75"/>
      <c r="G4050" s="67"/>
      <c r="H4050" s="68"/>
      <c r="I4050" s="76"/>
      <c r="J4050" s="67"/>
      <c r="K4050" s="7" t="s">
        <v>1713</v>
      </c>
      <c r="L4050" s="77"/>
      <c r="M4050" s="79"/>
      <c r="N4050" s="1"/>
      <c r="O4050" s="1"/>
      <c r="P4050" s="1"/>
      <c r="Q4050" s="1"/>
      <c r="R4050" s="1"/>
      <c r="S4050" s="1"/>
      <c r="T4050" s="1"/>
      <c r="U4050" s="1"/>
      <c r="V4050" s="1"/>
      <c r="W4050" s="1"/>
      <c r="X4050" s="1"/>
      <c r="Y4050" s="1"/>
      <c r="Z4050" s="1"/>
      <c r="AA4050" s="1"/>
      <c r="AB4050" s="1"/>
      <c r="AC4050" s="1"/>
      <c r="AD4050" s="1"/>
      <c r="AE4050" s="1"/>
      <c r="AF4050" s="1"/>
      <c r="AG4050" s="1"/>
      <c r="AH4050" s="1"/>
    </row>
    <row r="4051" ht="12.75" hidden="1" customHeight="1" outlineLevel="1">
      <c r="A4051" s="17">
        <v>41704.0</v>
      </c>
      <c r="B4051" s="1"/>
      <c r="C4051" s="1" t="s">
        <v>429</v>
      </c>
      <c r="D4051" s="74"/>
      <c r="E4051" s="67"/>
      <c r="F4051" s="75"/>
      <c r="G4051" s="67"/>
      <c r="H4051" s="68"/>
      <c r="I4051" s="76"/>
      <c r="J4051" s="67"/>
      <c r="K4051" s="7" t="s">
        <v>1686</v>
      </c>
      <c r="L4051" s="77"/>
      <c r="M4051" s="79"/>
      <c r="N4051" s="1"/>
      <c r="O4051" s="1"/>
      <c r="P4051" s="1"/>
      <c r="Q4051" s="1"/>
      <c r="R4051" s="1"/>
      <c r="S4051" s="1"/>
      <c r="T4051" s="1"/>
      <c r="U4051" s="1"/>
      <c r="V4051" s="1"/>
      <c r="W4051" s="1"/>
      <c r="X4051" s="1"/>
      <c r="Y4051" s="1"/>
      <c r="Z4051" s="1"/>
      <c r="AA4051" s="1"/>
      <c r="AB4051" s="1"/>
      <c r="AC4051" s="1"/>
      <c r="AD4051" s="1"/>
      <c r="AE4051" s="1"/>
      <c r="AF4051" s="1"/>
      <c r="AG4051" s="1"/>
      <c r="AH4051" s="1"/>
    </row>
    <row r="4052" ht="12.75" hidden="1" customHeight="1" outlineLevel="1">
      <c r="A4052" s="17">
        <v>41704.0</v>
      </c>
      <c r="B4052" s="1"/>
      <c r="C4052" s="1" t="s">
        <v>431</v>
      </c>
      <c r="D4052" s="74"/>
      <c r="E4052" s="67"/>
      <c r="F4052" s="75"/>
      <c r="G4052" s="67"/>
      <c r="H4052" s="68"/>
      <c r="I4052" s="76"/>
      <c r="J4052" s="67"/>
      <c r="K4052" s="7" t="s">
        <v>1126</v>
      </c>
      <c r="L4052" s="77"/>
      <c r="M4052" s="79"/>
      <c r="N4052" s="1"/>
      <c r="O4052" s="1"/>
      <c r="P4052" s="1"/>
      <c r="Q4052" s="1"/>
      <c r="R4052" s="1"/>
      <c r="S4052" s="1"/>
      <c r="T4052" s="1"/>
      <c r="U4052" s="1"/>
      <c r="V4052" s="1"/>
      <c r="W4052" s="1"/>
      <c r="X4052" s="1"/>
      <c r="Y4052" s="1"/>
      <c r="Z4052" s="1"/>
      <c r="AA4052" s="1"/>
      <c r="AB4052" s="1"/>
      <c r="AC4052" s="1"/>
      <c r="AD4052" s="1"/>
      <c r="AE4052" s="1"/>
      <c r="AF4052" s="1"/>
      <c r="AG4052" s="1"/>
      <c r="AH4052" s="1"/>
    </row>
    <row r="4053" ht="12.75" hidden="1" customHeight="1" outlineLevel="1">
      <c r="A4053" s="17">
        <v>41704.0</v>
      </c>
      <c r="B4053" s="1"/>
      <c r="C4053" s="1" t="s">
        <v>433</v>
      </c>
      <c r="D4053" s="74"/>
      <c r="E4053" s="67"/>
      <c r="F4053" s="75"/>
      <c r="G4053" s="67"/>
      <c r="H4053" s="68"/>
      <c r="I4053" s="76"/>
      <c r="J4053" s="67"/>
      <c r="K4053" s="7" t="s">
        <v>1103</v>
      </c>
      <c r="L4053" s="77"/>
      <c r="M4053" s="79"/>
      <c r="N4053" s="1"/>
      <c r="O4053" s="1"/>
      <c r="P4053" s="1"/>
      <c r="Q4053" s="1"/>
      <c r="R4053" s="1"/>
      <c r="S4053" s="1"/>
      <c r="T4053" s="1"/>
      <c r="U4053" s="1"/>
      <c r="V4053" s="1"/>
      <c r="W4053" s="1"/>
      <c r="X4053" s="1"/>
      <c r="Y4053" s="1"/>
      <c r="Z4053" s="1"/>
      <c r="AA4053" s="1"/>
      <c r="AB4053" s="1"/>
      <c r="AC4053" s="1"/>
      <c r="AD4053" s="1"/>
      <c r="AE4053" s="1"/>
      <c r="AF4053" s="1"/>
      <c r="AG4053" s="1"/>
      <c r="AH4053" s="1"/>
    </row>
    <row r="4054" ht="12.75" hidden="1" customHeight="1" outlineLevel="1">
      <c r="A4054" s="17">
        <v>41704.0</v>
      </c>
      <c r="B4054" s="1"/>
      <c r="C4054" s="1" t="s">
        <v>435</v>
      </c>
      <c r="D4054" s="74"/>
      <c r="E4054" s="67"/>
      <c r="F4054" s="75"/>
      <c r="G4054" s="67"/>
      <c r="H4054" s="68"/>
      <c r="I4054" s="76"/>
      <c r="J4054" s="67"/>
      <c r="K4054" s="7" t="s">
        <v>1507</v>
      </c>
      <c r="L4054" s="77"/>
      <c r="M4054" s="79"/>
      <c r="N4054" s="1"/>
      <c r="O4054" s="1"/>
      <c r="P4054" s="1"/>
      <c r="Q4054" s="1"/>
      <c r="R4054" s="1"/>
      <c r="S4054" s="1"/>
      <c r="T4054" s="1"/>
      <c r="U4054" s="1"/>
      <c r="V4054" s="1"/>
      <c r="W4054" s="1"/>
      <c r="X4054" s="1"/>
      <c r="Y4054" s="1"/>
      <c r="Z4054" s="1"/>
      <c r="AA4054" s="1"/>
      <c r="AB4054" s="1"/>
      <c r="AC4054" s="1"/>
      <c r="AD4054" s="1"/>
      <c r="AE4054" s="1"/>
      <c r="AF4054" s="1"/>
      <c r="AG4054" s="1"/>
      <c r="AH4054" s="1"/>
    </row>
    <row r="4055" ht="12.75" hidden="1" customHeight="1" outlineLevel="1">
      <c r="A4055" s="17">
        <v>41711.0</v>
      </c>
      <c r="B4055" s="1" t="s">
        <v>347</v>
      </c>
      <c r="C4055" s="1" t="s">
        <v>458</v>
      </c>
      <c r="D4055" s="74">
        <v>200.0</v>
      </c>
      <c r="E4055" s="67">
        <v>54.13</v>
      </c>
      <c r="F4055" s="75">
        <v>0.6551736111111112</v>
      </c>
      <c r="G4055" s="67" t="s">
        <v>453</v>
      </c>
      <c r="H4055" s="68">
        <v>1.24</v>
      </c>
      <c r="I4055" s="76"/>
      <c r="J4055" s="67">
        <f>IF(B4055="SLD",D4055*E4055,-D4055*E4055)-H4055</f>
        <v>10824.76</v>
      </c>
      <c r="K4055" s="7"/>
      <c r="L4055" s="70"/>
      <c r="M4055" s="79"/>
      <c r="N4055" s="1"/>
      <c r="O4055" s="1"/>
      <c r="P4055" s="1"/>
      <c r="Q4055" s="1"/>
      <c r="R4055" s="1"/>
      <c r="S4055" s="1"/>
      <c r="T4055" s="1"/>
      <c r="U4055" s="1"/>
      <c r="V4055" s="1"/>
      <c r="W4055" s="1"/>
      <c r="X4055" s="1"/>
      <c r="Y4055" s="1"/>
      <c r="Z4055" s="1"/>
      <c r="AA4055" s="1"/>
      <c r="AB4055" s="1"/>
      <c r="AC4055" s="1"/>
      <c r="AD4055" s="1"/>
      <c r="AE4055" s="1"/>
      <c r="AF4055" s="1"/>
      <c r="AG4055" s="1"/>
      <c r="AH4055" s="1"/>
    </row>
    <row r="4056" ht="12.75" hidden="1" customHeight="1" outlineLevel="1">
      <c r="A4056" s="17">
        <v>41711.0</v>
      </c>
      <c r="B4056" s="1"/>
      <c r="C4056" s="1" t="s">
        <v>339</v>
      </c>
      <c r="D4056" s="74"/>
      <c r="E4056" s="67"/>
      <c r="F4056" s="75"/>
      <c r="G4056" s="67"/>
      <c r="H4056" s="68"/>
      <c r="I4056" s="76"/>
      <c r="J4056" s="67"/>
      <c r="K4056" s="7" t="s">
        <v>1715</v>
      </c>
      <c r="L4056" s="77"/>
      <c r="M4056" s="79"/>
      <c r="N4056" s="1"/>
      <c r="O4056" s="1"/>
      <c r="P4056" s="1"/>
      <c r="Q4056" s="1"/>
      <c r="R4056" s="1"/>
      <c r="S4056" s="1"/>
      <c r="T4056" s="1"/>
      <c r="U4056" s="1"/>
      <c r="V4056" s="1"/>
      <c r="W4056" s="1"/>
      <c r="X4056" s="1"/>
      <c r="Y4056" s="1"/>
      <c r="Z4056" s="1"/>
      <c r="AA4056" s="1"/>
      <c r="AB4056" s="1"/>
      <c r="AC4056" s="1"/>
      <c r="AD4056" s="1"/>
      <c r="AE4056" s="1"/>
      <c r="AF4056" s="1"/>
      <c r="AG4056" s="1"/>
      <c r="AH4056" s="1"/>
    </row>
    <row r="4057" ht="12.75" hidden="1" customHeight="1" outlineLevel="1">
      <c r="A4057" s="17">
        <v>41711.0</v>
      </c>
      <c r="B4057" s="1"/>
      <c r="C4057" s="1" t="s">
        <v>429</v>
      </c>
      <c r="D4057" s="74"/>
      <c r="E4057" s="67"/>
      <c r="F4057" s="75"/>
      <c r="G4057" s="67"/>
      <c r="H4057" s="68"/>
      <c r="I4057" s="76"/>
      <c r="J4057" s="67"/>
      <c r="K4057" s="7" t="s">
        <v>1686</v>
      </c>
      <c r="L4057" s="77"/>
      <c r="M4057" s="79"/>
      <c r="N4057" s="1"/>
      <c r="O4057" s="1"/>
      <c r="P4057" s="1"/>
      <c r="Q4057" s="1"/>
      <c r="R4057" s="1"/>
      <c r="S4057" s="1"/>
      <c r="T4057" s="1"/>
      <c r="U4057" s="1"/>
      <c r="V4057" s="1"/>
      <c r="W4057" s="1"/>
      <c r="X4057" s="1"/>
      <c r="Y4057" s="1"/>
      <c r="Z4057" s="1"/>
      <c r="AA4057" s="1"/>
      <c r="AB4057" s="1"/>
      <c r="AC4057" s="1"/>
      <c r="AD4057" s="1"/>
      <c r="AE4057" s="1"/>
      <c r="AF4057" s="1"/>
      <c r="AG4057" s="1"/>
      <c r="AH4057" s="1"/>
    </row>
    <row r="4058" ht="12.75" hidden="1" customHeight="1" outlineLevel="1">
      <c r="A4058" s="17">
        <v>41711.0</v>
      </c>
      <c r="B4058" s="1"/>
      <c r="C4058" s="1" t="s">
        <v>431</v>
      </c>
      <c r="D4058" s="74"/>
      <c r="E4058" s="67"/>
      <c r="F4058" s="75"/>
      <c r="G4058" s="67"/>
      <c r="H4058" s="68"/>
      <c r="I4058" s="76"/>
      <c r="J4058" s="67"/>
      <c r="K4058" s="7" t="s">
        <v>1126</v>
      </c>
      <c r="L4058" s="77"/>
      <c r="M4058" s="79"/>
      <c r="N4058" s="1"/>
      <c r="O4058" s="1"/>
      <c r="P4058" s="1"/>
      <c r="Q4058" s="1"/>
      <c r="R4058" s="1"/>
      <c r="S4058" s="1"/>
      <c r="T4058" s="1"/>
      <c r="U4058" s="1"/>
      <c r="V4058" s="1"/>
      <c r="W4058" s="1"/>
      <c r="X4058" s="1"/>
      <c r="Y4058" s="1"/>
      <c r="Z4058" s="1"/>
      <c r="AA4058" s="1"/>
      <c r="AB4058" s="1"/>
      <c r="AC4058" s="1"/>
      <c r="AD4058" s="1"/>
      <c r="AE4058" s="1"/>
      <c r="AF4058" s="1"/>
      <c r="AG4058" s="1"/>
      <c r="AH4058" s="1"/>
    </row>
    <row r="4059" ht="12.75" hidden="1" customHeight="1" outlineLevel="1">
      <c r="A4059" s="17">
        <v>41711.0</v>
      </c>
      <c r="B4059" s="1"/>
      <c r="C4059" s="1" t="s">
        <v>433</v>
      </c>
      <c r="D4059" s="74"/>
      <c r="E4059" s="67"/>
      <c r="F4059" s="75"/>
      <c r="G4059" s="67"/>
      <c r="H4059" s="68"/>
      <c r="I4059" s="76"/>
      <c r="J4059" s="67"/>
      <c r="K4059" s="7" t="s">
        <v>1103</v>
      </c>
      <c r="L4059" s="77"/>
      <c r="M4059" s="79"/>
      <c r="N4059" s="1"/>
      <c r="O4059" s="1"/>
      <c r="P4059" s="1"/>
      <c r="Q4059" s="1"/>
      <c r="R4059" s="1"/>
      <c r="S4059" s="1"/>
      <c r="T4059" s="1"/>
      <c r="U4059" s="1"/>
      <c r="V4059" s="1"/>
      <c r="W4059" s="1"/>
      <c r="X4059" s="1"/>
      <c r="Y4059" s="1"/>
      <c r="Z4059" s="1"/>
      <c r="AA4059" s="1"/>
      <c r="AB4059" s="1"/>
      <c r="AC4059" s="1"/>
      <c r="AD4059" s="1"/>
      <c r="AE4059" s="1"/>
      <c r="AF4059" s="1"/>
      <c r="AG4059" s="1"/>
      <c r="AH4059" s="1"/>
    </row>
    <row r="4060" ht="12.75" hidden="1" customHeight="1" outlineLevel="1">
      <c r="A4060" s="17">
        <v>41711.0</v>
      </c>
      <c r="B4060" s="1"/>
      <c r="C4060" s="1" t="s">
        <v>435</v>
      </c>
      <c r="D4060" s="74"/>
      <c r="E4060" s="67"/>
      <c r="F4060" s="75"/>
      <c r="G4060" s="67"/>
      <c r="H4060" s="68"/>
      <c r="I4060" s="76"/>
      <c r="J4060" s="67"/>
      <c r="K4060" s="7" t="s">
        <v>1507</v>
      </c>
      <c r="L4060" s="77"/>
      <c r="M4060" s="79"/>
      <c r="N4060" s="1"/>
      <c r="O4060" s="1"/>
      <c r="P4060" s="1"/>
      <c r="Q4060" s="1"/>
      <c r="R4060" s="1"/>
      <c r="S4060" s="1"/>
      <c r="T4060" s="1"/>
      <c r="U4060" s="1"/>
      <c r="V4060" s="1"/>
      <c r="W4060" s="1"/>
      <c r="X4060" s="1"/>
      <c r="Y4060" s="1"/>
      <c r="Z4060" s="1"/>
      <c r="AA4060" s="1"/>
      <c r="AB4060" s="1"/>
      <c r="AC4060" s="1"/>
      <c r="AD4060" s="1"/>
      <c r="AE4060" s="1"/>
      <c r="AF4060" s="1"/>
      <c r="AG4060" s="1"/>
      <c r="AH4060" s="1"/>
    </row>
    <row r="4061" ht="12.75" hidden="1" customHeight="1" outlineLevel="1">
      <c r="A4061" s="17">
        <v>41712.0</v>
      </c>
      <c r="B4061" s="1"/>
      <c r="C4061" s="1" t="s">
        <v>339</v>
      </c>
      <c r="D4061" s="74"/>
      <c r="E4061" s="67"/>
      <c r="F4061" s="75"/>
      <c r="G4061" s="67"/>
      <c r="H4061" s="68"/>
      <c r="I4061" s="76"/>
      <c r="J4061" s="67"/>
      <c r="K4061" s="7" t="s">
        <v>1715</v>
      </c>
      <c r="L4061" s="77"/>
      <c r="M4061" s="79"/>
      <c r="N4061" s="1"/>
      <c r="O4061" s="1"/>
      <c r="P4061" s="1"/>
      <c r="Q4061" s="1"/>
      <c r="R4061" s="1"/>
      <c r="S4061" s="1"/>
      <c r="T4061" s="1"/>
      <c r="U4061" s="1"/>
      <c r="V4061" s="1"/>
      <c r="W4061" s="1"/>
      <c r="X4061" s="1"/>
      <c r="Y4061" s="1"/>
      <c r="Z4061" s="1"/>
      <c r="AA4061" s="1"/>
      <c r="AB4061" s="1"/>
      <c r="AC4061" s="1"/>
      <c r="AD4061" s="1"/>
      <c r="AE4061" s="1"/>
      <c r="AF4061" s="1"/>
      <c r="AG4061" s="1"/>
      <c r="AH4061" s="1"/>
    </row>
    <row r="4062" ht="12.75" hidden="1" customHeight="1" outlineLevel="1">
      <c r="A4062" s="17">
        <v>41712.0</v>
      </c>
      <c r="B4062" s="1"/>
      <c r="C4062" s="1" t="s">
        <v>429</v>
      </c>
      <c r="D4062" s="74"/>
      <c r="E4062" s="67"/>
      <c r="F4062" s="75"/>
      <c r="G4062" s="67"/>
      <c r="H4062" s="68"/>
      <c r="I4062" s="76"/>
      <c r="J4062" s="67"/>
      <c r="K4062" s="7" t="s">
        <v>1686</v>
      </c>
      <c r="L4062" s="77"/>
      <c r="M4062" s="79"/>
      <c r="N4062" s="1"/>
      <c r="O4062" s="1"/>
      <c r="P4062" s="1"/>
      <c r="Q4062" s="1"/>
      <c r="R4062" s="1"/>
      <c r="S4062" s="1"/>
      <c r="T4062" s="1"/>
      <c r="U4062" s="1"/>
      <c r="V4062" s="1"/>
      <c r="W4062" s="1"/>
      <c r="X4062" s="1"/>
      <c r="Y4062" s="1"/>
      <c r="Z4062" s="1"/>
      <c r="AA4062" s="1"/>
      <c r="AB4062" s="1"/>
      <c r="AC4062" s="1"/>
      <c r="AD4062" s="1"/>
      <c r="AE4062" s="1"/>
      <c r="AF4062" s="1"/>
      <c r="AG4062" s="1"/>
      <c r="AH4062" s="1"/>
    </row>
    <row r="4063" ht="12.75" hidden="1" customHeight="1" outlineLevel="1">
      <c r="A4063" s="17">
        <v>41712.0</v>
      </c>
      <c r="B4063" s="1"/>
      <c r="C4063" s="1" t="s">
        <v>431</v>
      </c>
      <c r="D4063" s="74"/>
      <c r="E4063" s="67"/>
      <c r="F4063" s="75"/>
      <c r="G4063" s="67"/>
      <c r="H4063" s="68"/>
      <c r="I4063" s="76"/>
      <c r="J4063" s="67"/>
      <c r="K4063" s="7" t="s">
        <v>1126</v>
      </c>
      <c r="L4063" s="77"/>
      <c r="M4063" s="79"/>
      <c r="N4063" s="1"/>
      <c r="O4063" s="1"/>
      <c r="P4063" s="1"/>
      <c r="Q4063" s="1"/>
      <c r="R4063" s="1"/>
      <c r="S4063" s="1"/>
      <c r="T4063" s="1"/>
      <c r="U4063" s="1"/>
      <c r="V4063" s="1"/>
      <c r="W4063" s="1"/>
      <c r="X4063" s="1"/>
      <c r="Y4063" s="1"/>
      <c r="Z4063" s="1"/>
      <c r="AA4063" s="1"/>
      <c r="AB4063" s="1"/>
      <c r="AC4063" s="1"/>
      <c r="AD4063" s="1"/>
      <c r="AE4063" s="1"/>
      <c r="AF4063" s="1"/>
      <c r="AG4063" s="1"/>
      <c r="AH4063" s="1"/>
    </row>
    <row r="4064" ht="12.75" hidden="1" customHeight="1" outlineLevel="1">
      <c r="A4064" s="17">
        <v>41712.0</v>
      </c>
      <c r="B4064" s="1"/>
      <c r="C4064" s="1" t="s">
        <v>433</v>
      </c>
      <c r="D4064" s="74"/>
      <c r="E4064" s="67"/>
      <c r="F4064" s="75"/>
      <c r="G4064" s="67"/>
      <c r="H4064" s="68"/>
      <c r="I4064" s="76"/>
      <c r="J4064" s="67"/>
      <c r="K4064" s="7" t="s">
        <v>1103</v>
      </c>
      <c r="L4064" s="77"/>
      <c r="M4064" s="79"/>
      <c r="N4064" s="1"/>
      <c r="O4064" s="1"/>
      <c r="P4064" s="1"/>
      <c r="Q4064" s="1"/>
      <c r="R4064" s="1"/>
      <c r="S4064" s="1"/>
      <c r="T4064" s="1"/>
      <c r="U4064" s="1"/>
      <c r="V4064" s="1"/>
      <c r="W4064" s="1"/>
      <c r="X4064" s="1"/>
      <c r="Y4064" s="1"/>
      <c r="Z4064" s="1"/>
      <c r="AA4064" s="1"/>
      <c r="AB4064" s="1"/>
      <c r="AC4064" s="1"/>
      <c r="AD4064" s="1"/>
      <c r="AE4064" s="1"/>
      <c r="AF4064" s="1"/>
      <c r="AG4064" s="1"/>
      <c r="AH4064" s="1"/>
    </row>
    <row r="4065" ht="12.75" hidden="1" customHeight="1" outlineLevel="1">
      <c r="A4065" s="17">
        <v>41712.0</v>
      </c>
      <c r="B4065" s="1"/>
      <c r="C4065" s="1" t="s">
        <v>435</v>
      </c>
      <c r="D4065" s="74"/>
      <c r="E4065" s="67"/>
      <c r="F4065" s="75"/>
      <c r="G4065" s="67"/>
      <c r="H4065" s="68"/>
      <c r="I4065" s="76"/>
      <c r="J4065" s="67"/>
      <c r="K4065" s="7" t="s">
        <v>1507</v>
      </c>
      <c r="L4065" s="77"/>
      <c r="M4065" s="79"/>
      <c r="N4065" s="1"/>
      <c r="O4065" s="1"/>
      <c r="P4065" s="1"/>
      <c r="Q4065" s="1"/>
      <c r="R4065" s="1"/>
      <c r="S4065" s="1"/>
      <c r="T4065" s="1"/>
      <c r="U4065" s="1"/>
      <c r="V4065" s="1"/>
      <c r="W4065" s="1"/>
      <c r="X4065" s="1"/>
      <c r="Y4065" s="1"/>
      <c r="Z4065" s="1"/>
      <c r="AA4065" s="1"/>
      <c r="AB4065" s="1"/>
      <c r="AC4065" s="1"/>
      <c r="AD4065" s="1"/>
      <c r="AE4065" s="1"/>
      <c r="AF4065" s="1"/>
      <c r="AG4065" s="1"/>
      <c r="AH4065" s="1"/>
    </row>
    <row r="4066" ht="12.75" hidden="1" customHeight="1" outlineLevel="1">
      <c r="A4066" s="17">
        <v>41712.0</v>
      </c>
      <c r="B4066" s="1"/>
      <c r="C4066" s="1" t="s">
        <v>339</v>
      </c>
      <c r="D4066" s="74"/>
      <c r="E4066" s="67"/>
      <c r="F4066" s="75"/>
      <c r="G4066" s="67"/>
      <c r="H4066" s="68"/>
      <c r="I4066" s="76"/>
      <c r="J4066" s="67"/>
      <c r="K4066" s="7" t="s">
        <v>1715</v>
      </c>
      <c r="L4066" s="77"/>
      <c r="M4066" s="79"/>
      <c r="N4066" s="1"/>
      <c r="O4066" s="1"/>
      <c r="P4066" s="1"/>
      <c r="Q4066" s="1"/>
      <c r="R4066" s="1"/>
      <c r="S4066" s="1"/>
      <c r="T4066" s="1"/>
      <c r="U4066" s="1"/>
      <c r="V4066" s="1"/>
      <c r="W4066" s="1"/>
      <c r="X4066" s="1"/>
      <c r="Y4066" s="1"/>
      <c r="Z4066" s="1"/>
      <c r="AA4066" s="1"/>
      <c r="AB4066" s="1"/>
      <c r="AC4066" s="1"/>
      <c r="AD4066" s="1"/>
      <c r="AE4066" s="1"/>
      <c r="AF4066" s="1"/>
      <c r="AG4066" s="1"/>
      <c r="AH4066" s="1"/>
    </row>
    <row r="4067" ht="12.75" hidden="1" customHeight="1" outlineLevel="1">
      <c r="A4067" s="17">
        <v>41712.0</v>
      </c>
      <c r="B4067" s="1"/>
      <c r="C4067" s="1" t="s">
        <v>429</v>
      </c>
      <c r="D4067" s="74"/>
      <c r="E4067" s="67"/>
      <c r="F4067" s="75"/>
      <c r="G4067" s="67"/>
      <c r="H4067" s="68"/>
      <c r="I4067" s="76"/>
      <c r="J4067" s="67"/>
      <c r="K4067" s="7" t="s">
        <v>1686</v>
      </c>
      <c r="L4067" s="77"/>
      <c r="M4067" s="79"/>
      <c r="N4067" s="1"/>
      <c r="O4067" s="1"/>
      <c r="P4067" s="1"/>
      <c r="Q4067" s="1"/>
      <c r="R4067" s="1"/>
      <c r="S4067" s="1"/>
      <c r="T4067" s="1"/>
      <c r="U4067" s="1"/>
      <c r="V4067" s="1"/>
      <c r="W4067" s="1"/>
      <c r="X4067" s="1"/>
      <c r="Y4067" s="1"/>
      <c r="Z4067" s="1"/>
      <c r="AA4067" s="1"/>
      <c r="AB4067" s="1"/>
      <c r="AC4067" s="1"/>
      <c r="AD4067" s="1"/>
      <c r="AE4067" s="1"/>
      <c r="AF4067" s="1"/>
      <c r="AG4067" s="1"/>
      <c r="AH4067" s="1"/>
    </row>
    <row r="4068" ht="12.75" hidden="1" customHeight="1" outlineLevel="1">
      <c r="A4068" s="17">
        <v>41712.0</v>
      </c>
      <c r="B4068" s="1"/>
      <c r="C4068" s="1" t="s">
        <v>431</v>
      </c>
      <c r="D4068" s="74"/>
      <c r="E4068" s="67"/>
      <c r="F4068" s="75"/>
      <c r="G4068" s="67"/>
      <c r="H4068" s="68"/>
      <c r="I4068" s="76"/>
      <c r="J4068" s="67"/>
      <c r="K4068" s="7" t="s">
        <v>1126</v>
      </c>
      <c r="L4068" s="77"/>
      <c r="M4068" s="79"/>
      <c r="N4068" s="1"/>
      <c r="O4068" s="1"/>
      <c r="P4068" s="1"/>
      <c r="Q4068" s="1"/>
      <c r="R4068" s="1"/>
      <c r="S4068" s="1"/>
      <c r="T4068" s="1"/>
      <c r="U4068" s="1"/>
      <c r="V4068" s="1"/>
      <c r="W4068" s="1"/>
      <c r="X4068" s="1"/>
      <c r="Y4068" s="1"/>
      <c r="Z4068" s="1"/>
      <c r="AA4068" s="1"/>
      <c r="AB4068" s="1"/>
      <c r="AC4068" s="1"/>
      <c r="AD4068" s="1"/>
      <c r="AE4068" s="1"/>
      <c r="AF4068" s="1"/>
      <c r="AG4068" s="1"/>
      <c r="AH4068" s="1"/>
    </row>
    <row r="4069" ht="12.75" hidden="1" customHeight="1" outlineLevel="1">
      <c r="A4069" s="17">
        <v>41712.0</v>
      </c>
      <c r="B4069" s="1"/>
      <c r="C4069" s="1" t="s">
        <v>433</v>
      </c>
      <c r="D4069" s="74"/>
      <c r="E4069" s="67"/>
      <c r="F4069" s="75"/>
      <c r="G4069" s="67"/>
      <c r="H4069" s="68"/>
      <c r="I4069" s="76"/>
      <c r="J4069" s="67"/>
      <c r="K4069" s="7" t="s">
        <v>1103</v>
      </c>
      <c r="L4069" s="77"/>
      <c r="M4069" s="79"/>
      <c r="N4069" s="1"/>
      <c r="O4069" s="1"/>
      <c r="P4069" s="1"/>
      <c r="Q4069" s="1"/>
      <c r="R4069" s="1"/>
      <c r="S4069" s="1"/>
      <c r="T4069" s="1"/>
      <c r="U4069" s="1"/>
      <c r="V4069" s="1"/>
      <c r="W4069" s="1"/>
      <c r="X4069" s="1"/>
      <c r="Y4069" s="1"/>
      <c r="Z4069" s="1"/>
      <c r="AA4069" s="1"/>
      <c r="AB4069" s="1"/>
      <c r="AC4069" s="1"/>
      <c r="AD4069" s="1"/>
      <c r="AE4069" s="1"/>
      <c r="AF4069" s="1"/>
      <c r="AG4069" s="1"/>
      <c r="AH4069" s="1"/>
    </row>
    <row r="4070" ht="12.75" hidden="1" customHeight="1" outlineLevel="1">
      <c r="A4070" s="17">
        <v>41712.0</v>
      </c>
      <c r="B4070" s="1"/>
      <c r="C4070" s="1" t="s">
        <v>435</v>
      </c>
      <c r="D4070" s="74"/>
      <c r="E4070" s="67"/>
      <c r="F4070" s="75"/>
      <c r="G4070" s="67"/>
      <c r="H4070" s="68"/>
      <c r="I4070" s="76"/>
      <c r="J4070" s="67"/>
      <c r="K4070" s="7" t="s">
        <v>1507</v>
      </c>
      <c r="L4070" s="77"/>
      <c r="M4070" s="79"/>
      <c r="N4070" s="1"/>
      <c r="O4070" s="1"/>
      <c r="P4070" s="1"/>
      <c r="Q4070" s="1"/>
      <c r="R4070" s="1"/>
      <c r="S4070" s="1"/>
      <c r="T4070" s="1"/>
      <c r="U4070" s="1"/>
      <c r="V4070" s="1"/>
      <c r="W4070" s="1"/>
      <c r="X4070" s="1"/>
      <c r="Y4070" s="1"/>
      <c r="Z4070" s="1"/>
      <c r="AA4070" s="1"/>
      <c r="AB4070" s="1"/>
      <c r="AC4070" s="1"/>
      <c r="AD4070" s="1"/>
      <c r="AE4070" s="1"/>
      <c r="AF4070" s="1"/>
      <c r="AG4070" s="1"/>
      <c r="AH4070" s="1"/>
    </row>
    <row r="4071" ht="12.75" hidden="1" customHeight="1" outlineLevel="1">
      <c r="A4071" s="17">
        <v>41712.0</v>
      </c>
      <c r="B4071" s="1" t="s">
        <v>347</v>
      </c>
      <c r="C4071" s="1" t="s">
        <v>355</v>
      </c>
      <c r="D4071" s="74">
        <v>750.0</v>
      </c>
      <c r="E4071" s="67">
        <v>9.0</v>
      </c>
      <c r="F4071" s="75">
        <v>0.4114814814814815</v>
      </c>
      <c r="G4071" s="67" t="s">
        <v>453</v>
      </c>
      <c r="H4071" s="68">
        <v>3.2</v>
      </c>
      <c r="I4071" s="76"/>
      <c r="J4071" s="67">
        <f t="shared" ref="J4071:J4074" si="259">IF(B4071="SLD",D4071*E4071,-D4071*E4071)-H4071</f>
        <v>6746.8</v>
      </c>
      <c r="K4071" s="7"/>
      <c r="L4071" s="70"/>
      <c r="M4071" s="79"/>
      <c r="N4071" s="1"/>
      <c r="O4071" s="1"/>
      <c r="P4071" s="1"/>
      <c r="Q4071" s="1"/>
      <c r="R4071" s="1"/>
      <c r="S4071" s="1"/>
      <c r="T4071" s="1"/>
      <c r="U4071" s="1"/>
      <c r="V4071" s="1"/>
      <c r="W4071" s="1"/>
      <c r="X4071" s="1"/>
      <c r="Y4071" s="1"/>
      <c r="Z4071" s="1"/>
      <c r="AA4071" s="1"/>
      <c r="AB4071" s="1"/>
      <c r="AC4071" s="1"/>
      <c r="AD4071" s="1"/>
      <c r="AE4071" s="1"/>
      <c r="AF4071" s="1"/>
      <c r="AG4071" s="1"/>
      <c r="AH4071" s="1"/>
    </row>
    <row r="4072" ht="12.75" hidden="1" customHeight="1" outlineLevel="1">
      <c r="A4072" s="17">
        <v>41712.0</v>
      </c>
      <c r="B4072" s="1" t="s">
        <v>347</v>
      </c>
      <c r="C4072" s="1" t="s">
        <v>790</v>
      </c>
      <c r="D4072" s="74">
        <v>500.0</v>
      </c>
      <c r="E4072" s="67">
        <v>10.4</v>
      </c>
      <c r="F4072" s="75">
        <v>0.41164351851851855</v>
      </c>
      <c r="G4072" s="67" t="s">
        <v>453</v>
      </c>
      <c r="H4072" s="68">
        <v>2.11</v>
      </c>
      <c r="I4072" s="76"/>
      <c r="J4072" s="67">
        <f t="shared" si="259"/>
        <v>5197.89</v>
      </c>
      <c r="K4072" s="7"/>
      <c r="L4072" s="70"/>
      <c r="M4072" s="79"/>
      <c r="N4072" s="1"/>
      <c r="O4072" s="1"/>
      <c r="P4072" s="1"/>
      <c r="Q4072" s="1"/>
      <c r="R4072" s="1"/>
      <c r="S4072" s="1"/>
      <c r="T4072" s="1"/>
      <c r="U4072" s="1"/>
      <c r="V4072" s="1"/>
      <c r="W4072" s="1"/>
      <c r="X4072" s="1"/>
      <c r="Y4072" s="1"/>
      <c r="Z4072" s="1"/>
      <c r="AA4072" s="1"/>
      <c r="AB4072" s="1"/>
      <c r="AC4072" s="1"/>
      <c r="AD4072" s="1"/>
      <c r="AE4072" s="1"/>
      <c r="AF4072" s="1"/>
      <c r="AG4072" s="1"/>
      <c r="AH4072" s="1"/>
    </row>
    <row r="4073" ht="12.75" hidden="1" customHeight="1" outlineLevel="1">
      <c r="A4073" s="17">
        <v>41712.0</v>
      </c>
      <c r="B4073" s="1" t="s">
        <v>347</v>
      </c>
      <c r="C4073" s="1" t="s">
        <v>369</v>
      </c>
      <c r="D4073" s="74">
        <v>350.0</v>
      </c>
      <c r="E4073" s="67">
        <v>18.44</v>
      </c>
      <c r="F4073" s="75">
        <v>0.41194444444444445</v>
      </c>
      <c r="G4073" s="67" t="s">
        <v>453</v>
      </c>
      <c r="H4073" s="68">
        <v>1.64</v>
      </c>
      <c r="I4073" s="76"/>
      <c r="J4073" s="67">
        <f t="shared" si="259"/>
        <v>6452.36</v>
      </c>
      <c r="K4073" s="7"/>
      <c r="L4073" s="70"/>
      <c r="M4073" s="79"/>
      <c r="N4073" s="1"/>
      <c r="O4073" s="1"/>
      <c r="P4073" s="1"/>
      <c r="Q4073" s="1"/>
      <c r="R4073" s="1"/>
      <c r="S4073" s="1"/>
      <c r="T4073" s="1"/>
      <c r="U4073" s="1"/>
      <c r="V4073" s="1"/>
      <c r="W4073" s="1"/>
      <c r="X4073" s="1"/>
      <c r="Y4073" s="1"/>
      <c r="Z4073" s="1"/>
      <c r="AA4073" s="1"/>
      <c r="AB4073" s="1"/>
      <c r="AC4073" s="1"/>
      <c r="AD4073" s="1"/>
      <c r="AE4073" s="1"/>
      <c r="AF4073" s="1"/>
      <c r="AG4073" s="1"/>
      <c r="AH4073" s="1"/>
    </row>
    <row r="4074" ht="12.75" hidden="1" customHeight="1" outlineLevel="1">
      <c r="A4074" s="17">
        <v>41712.0</v>
      </c>
      <c r="B4074" s="1" t="s">
        <v>347</v>
      </c>
      <c r="C4074" s="1" t="s">
        <v>784</v>
      </c>
      <c r="D4074" s="74">
        <v>400.0</v>
      </c>
      <c r="E4074" s="67">
        <v>12.48</v>
      </c>
      <c r="F4074" s="75">
        <v>0.4121527777777778</v>
      </c>
      <c r="G4074" s="67" t="s">
        <v>453</v>
      </c>
      <c r="H4074" s="68">
        <v>2.11</v>
      </c>
      <c r="I4074" s="76"/>
      <c r="J4074" s="67">
        <f t="shared" si="259"/>
        <v>4989.89</v>
      </c>
      <c r="K4074" s="7"/>
      <c r="L4074" s="70"/>
      <c r="M4074" s="79"/>
      <c r="N4074" s="1"/>
      <c r="O4074" s="1"/>
      <c r="P4074" s="1"/>
      <c r="Q4074" s="1"/>
      <c r="R4074" s="1"/>
      <c r="S4074" s="1"/>
      <c r="T4074" s="1"/>
      <c r="U4074" s="1"/>
      <c r="V4074" s="1"/>
      <c r="W4074" s="1"/>
      <c r="X4074" s="1"/>
      <c r="Y4074" s="1"/>
      <c r="Z4074" s="1"/>
      <c r="AA4074" s="1"/>
      <c r="AB4074" s="1"/>
      <c r="AC4074" s="1"/>
      <c r="AD4074" s="1"/>
      <c r="AE4074" s="1"/>
      <c r="AF4074" s="1"/>
      <c r="AG4074" s="1"/>
      <c r="AH4074" s="1"/>
    </row>
    <row r="4075" ht="12.75" hidden="1" customHeight="1" outlineLevel="1">
      <c r="A4075" s="17">
        <v>41713.0</v>
      </c>
      <c r="B4075" s="1"/>
      <c r="C4075" s="1" t="s">
        <v>339</v>
      </c>
      <c r="D4075" s="74"/>
      <c r="E4075" s="67"/>
      <c r="F4075" s="75"/>
      <c r="G4075" s="67"/>
      <c r="H4075" s="68"/>
      <c r="I4075" s="76"/>
      <c r="J4075" s="67"/>
      <c r="K4075" s="7" t="s">
        <v>1717</v>
      </c>
      <c r="L4075" s="77"/>
      <c r="M4075" s="79"/>
      <c r="N4075" s="1"/>
      <c r="O4075" s="1"/>
      <c r="P4075" s="1"/>
      <c r="Q4075" s="1"/>
      <c r="R4075" s="1"/>
      <c r="S4075" s="1"/>
      <c r="T4075" s="1"/>
      <c r="U4075" s="1"/>
      <c r="V4075" s="1"/>
      <c r="W4075" s="1"/>
      <c r="X4075" s="1"/>
      <c r="Y4075" s="1"/>
      <c r="Z4075" s="1"/>
      <c r="AA4075" s="1"/>
      <c r="AB4075" s="1"/>
      <c r="AC4075" s="1"/>
      <c r="AD4075" s="1"/>
      <c r="AE4075" s="1"/>
      <c r="AF4075" s="1"/>
      <c r="AG4075" s="1"/>
      <c r="AH4075" s="1"/>
    </row>
    <row r="4076" ht="12.75" hidden="1" customHeight="1" outlineLevel="1">
      <c r="A4076" s="17">
        <v>41713.0</v>
      </c>
      <c r="B4076" s="1"/>
      <c r="C4076" s="1" t="s">
        <v>429</v>
      </c>
      <c r="D4076" s="74"/>
      <c r="E4076" s="67"/>
      <c r="F4076" s="75"/>
      <c r="G4076" s="67"/>
      <c r="H4076" s="68"/>
      <c r="I4076" s="76"/>
      <c r="J4076" s="67"/>
      <c r="K4076" s="7" t="s">
        <v>1686</v>
      </c>
      <c r="L4076" s="77"/>
      <c r="M4076" s="79"/>
      <c r="N4076" s="1"/>
      <c r="O4076" s="1"/>
      <c r="P4076" s="1"/>
      <c r="Q4076" s="1"/>
      <c r="R4076" s="1"/>
      <c r="S4076" s="1"/>
      <c r="T4076" s="1"/>
      <c r="U4076" s="1"/>
      <c r="V4076" s="1"/>
      <c r="W4076" s="1"/>
      <c r="X4076" s="1"/>
      <c r="Y4076" s="1"/>
      <c r="Z4076" s="1"/>
      <c r="AA4076" s="1"/>
      <c r="AB4076" s="1"/>
      <c r="AC4076" s="1"/>
      <c r="AD4076" s="1"/>
      <c r="AE4076" s="1"/>
      <c r="AF4076" s="1"/>
      <c r="AG4076" s="1"/>
      <c r="AH4076" s="1"/>
    </row>
    <row r="4077" ht="12.75" hidden="1" customHeight="1" outlineLevel="1">
      <c r="A4077" s="17">
        <v>41713.0</v>
      </c>
      <c r="B4077" s="1"/>
      <c r="C4077" s="1" t="s">
        <v>431</v>
      </c>
      <c r="D4077" s="74"/>
      <c r="E4077" s="67"/>
      <c r="F4077" s="75"/>
      <c r="G4077" s="67"/>
      <c r="H4077" s="68"/>
      <c r="I4077" s="76"/>
      <c r="J4077" s="67"/>
      <c r="K4077" s="7" t="s">
        <v>1126</v>
      </c>
      <c r="L4077" s="77"/>
      <c r="M4077" s="79"/>
      <c r="N4077" s="1"/>
      <c r="O4077" s="1"/>
      <c r="P4077" s="1"/>
      <c r="Q4077" s="1"/>
      <c r="R4077" s="1"/>
      <c r="S4077" s="1"/>
      <c r="T4077" s="1"/>
      <c r="U4077" s="1"/>
      <c r="V4077" s="1"/>
      <c r="W4077" s="1"/>
      <c r="X4077" s="1"/>
      <c r="Y4077" s="1"/>
      <c r="Z4077" s="1"/>
      <c r="AA4077" s="1"/>
      <c r="AB4077" s="1"/>
      <c r="AC4077" s="1"/>
      <c r="AD4077" s="1"/>
      <c r="AE4077" s="1"/>
      <c r="AF4077" s="1"/>
      <c r="AG4077" s="1"/>
      <c r="AH4077" s="1"/>
    </row>
    <row r="4078" ht="12.75" hidden="1" customHeight="1" outlineLevel="1">
      <c r="A4078" s="17">
        <v>41713.0</v>
      </c>
      <c r="B4078" s="1"/>
      <c r="C4078" s="1" t="s">
        <v>433</v>
      </c>
      <c r="D4078" s="74"/>
      <c r="E4078" s="67"/>
      <c r="F4078" s="75"/>
      <c r="G4078" s="67"/>
      <c r="H4078" s="68"/>
      <c r="I4078" s="76"/>
      <c r="J4078" s="67"/>
      <c r="K4078" s="7" t="s">
        <v>1103</v>
      </c>
      <c r="L4078" s="77"/>
      <c r="M4078" s="79"/>
      <c r="N4078" s="1"/>
      <c r="O4078" s="1"/>
      <c r="P4078" s="1"/>
      <c r="Q4078" s="1"/>
      <c r="R4078" s="1"/>
      <c r="S4078" s="1"/>
      <c r="T4078" s="1"/>
      <c r="U4078" s="1"/>
      <c r="V4078" s="1"/>
      <c r="W4078" s="1"/>
      <c r="X4078" s="1"/>
      <c r="Y4078" s="1"/>
      <c r="Z4078" s="1"/>
      <c r="AA4078" s="1"/>
      <c r="AB4078" s="1"/>
      <c r="AC4078" s="1"/>
      <c r="AD4078" s="1"/>
      <c r="AE4078" s="1"/>
      <c r="AF4078" s="1"/>
      <c r="AG4078" s="1"/>
      <c r="AH4078" s="1"/>
    </row>
    <row r="4079" ht="12.75" hidden="1" customHeight="1" outlineLevel="1">
      <c r="A4079" s="17">
        <v>41713.0</v>
      </c>
      <c r="B4079" s="1"/>
      <c r="C4079" s="1" t="s">
        <v>435</v>
      </c>
      <c r="D4079" s="74"/>
      <c r="E4079" s="67"/>
      <c r="F4079" s="75"/>
      <c r="G4079" s="67"/>
      <c r="H4079" s="68"/>
      <c r="I4079" s="76"/>
      <c r="J4079" s="67"/>
      <c r="K4079" s="7" t="s">
        <v>1507</v>
      </c>
      <c r="L4079" s="77"/>
      <c r="M4079" s="79"/>
      <c r="N4079" s="1"/>
      <c r="O4079" s="1"/>
      <c r="P4079" s="1"/>
      <c r="Q4079" s="1"/>
      <c r="R4079" s="1"/>
      <c r="S4079" s="1"/>
      <c r="T4079" s="1"/>
      <c r="U4079" s="1"/>
      <c r="V4079" s="1"/>
      <c r="W4079" s="1"/>
      <c r="X4079" s="1"/>
      <c r="Y4079" s="1"/>
      <c r="Z4079" s="1"/>
      <c r="AA4079" s="1"/>
      <c r="AB4079" s="1"/>
      <c r="AC4079" s="1"/>
      <c r="AD4079" s="1"/>
      <c r="AE4079" s="1"/>
      <c r="AF4079" s="1"/>
      <c r="AG4079" s="1"/>
      <c r="AH4079" s="1"/>
    </row>
    <row r="4080" ht="12.75" hidden="1" customHeight="1" outlineLevel="1">
      <c r="A4080" s="17">
        <v>41716.0</v>
      </c>
      <c r="B4080" s="1"/>
      <c r="C4080" s="1" t="s">
        <v>339</v>
      </c>
      <c r="D4080" s="74"/>
      <c r="E4080" s="67"/>
      <c r="F4080" s="75"/>
      <c r="G4080" s="67"/>
      <c r="H4080" s="68"/>
      <c r="I4080" s="76"/>
      <c r="J4080" s="67"/>
      <c r="K4080" s="7" t="s">
        <v>1718</v>
      </c>
      <c r="L4080" s="77"/>
      <c r="M4080" s="79"/>
      <c r="N4080" s="1"/>
      <c r="O4080" s="1"/>
      <c r="P4080" s="1"/>
      <c r="Q4080" s="1"/>
      <c r="R4080" s="1"/>
      <c r="S4080" s="1"/>
      <c r="T4080" s="1"/>
      <c r="U4080" s="1"/>
      <c r="V4080" s="1"/>
      <c r="W4080" s="1"/>
      <c r="X4080" s="1"/>
      <c r="Y4080" s="1"/>
      <c r="Z4080" s="1"/>
      <c r="AA4080" s="1"/>
      <c r="AB4080" s="1"/>
      <c r="AC4080" s="1"/>
      <c r="AD4080" s="1"/>
      <c r="AE4080" s="1"/>
      <c r="AF4080" s="1"/>
      <c r="AG4080" s="1"/>
      <c r="AH4080" s="1"/>
    </row>
    <row r="4081" ht="12.75" hidden="1" customHeight="1" outlineLevel="1">
      <c r="A4081" s="17">
        <v>41716.0</v>
      </c>
      <c r="B4081" s="1"/>
      <c r="C4081" s="1" t="s">
        <v>429</v>
      </c>
      <c r="D4081" s="74"/>
      <c r="E4081" s="67"/>
      <c r="F4081" s="75"/>
      <c r="G4081" s="67"/>
      <c r="H4081" s="68"/>
      <c r="I4081" s="76"/>
      <c r="J4081" s="67"/>
      <c r="K4081" s="7" t="s">
        <v>1686</v>
      </c>
      <c r="L4081" s="77"/>
      <c r="M4081" s="79"/>
      <c r="N4081" s="1"/>
      <c r="O4081" s="1"/>
      <c r="P4081" s="1"/>
      <c r="Q4081" s="1"/>
      <c r="R4081" s="1"/>
      <c r="S4081" s="1"/>
      <c r="T4081" s="1"/>
      <c r="U4081" s="1"/>
      <c r="V4081" s="1"/>
      <c r="W4081" s="1"/>
      <c r="X4081" s="1"/>
      <c r="Y4081" s="1"/>
      <c r="Z4081" s="1"/>
      <c r="AA4081" s="1"/>
      <c r="AB4081" s="1"/>
      <c r="AC4081" s="1"/>
      <c r="AD4081" s="1"/>
      <c r="AE4081" s="1"/>
      <c r="AF4081" s="1"/>
      <c r="AG4081" s="1"/>
      <c r="AH4081" s="1"/>
    </row>
    <row r="4082" ht="12.75" hidden="1" customHeight="1" outlineLevel="1">
      <c r="A4082" s="17">
        <v>41716.0</v>
      </c>
      <c r="B4082" s="1"/>
      <c r="C4082" s="1" t="s">
        <v>431</v>
      </c>
      <c r="D4082" s="74"/>
      <c r="E4082" s="67"/>
      <c r="F4082" s="75"/>
      <c r="G4082" s="67"/>
      <c r="H4082" s="68"/>
      <c r="I4082" s="76"/>
      <c r="J4082" s="67"/>
      <c r="K4082" s="7" t="s">
        <v>1126</v>
      </c>
      <c r="L4082" s="77"/>
      <c r="M4082" s="79"/>
      <c r="N4082" s="1"/>
      <c r="O4082" s="1"/>
      <c r="P4082" s="1"/>
      <c r="Q4082" s="1"/>
      <c r="R4082" s="1"/>
      <c r="S4082" s="1"/>
      <c r="T4082" s="1"/>
      <c r="U4082" s="1"/>
      <c r="V4082" s="1"/>
      <c r="W4082" s="1"/>
      <c r="X4082" s="1"/>
      <c r="Y4082" s="1"/>
      <c r="Z4082" s="1"/>
      <c r="AA4082" s="1"/>
      <c r="AB4082" s="1"/>
      <c r="AC4082" s="1"/>
      <c r="AD4082" s="1"/>
      <c r="AE4082" s="1"/>
      <c r="AF4082" s="1"/>
      <c r="AG4082" s="1"/>
      <c r="AH4082" s="1"/>
    </row>
    <row r="4083" ht="12.75" hidden="1" customHeight="1" outlineLevel="1">
      <c r="A4083" s="17">
        <v>41716.0</v>
      </c>
      <c r="B4083" s="1"/>
      <c r="C4083" s="1" t="s">
        <v>433</v>
      </c>
      <c r="D4083" s="74"/>
      <c r="E4083" s="67"/>
      <c r="F4083" s="75"/>
      <c r="G4083" s="67"/>
      <c r="H4083" s="68"/>
      <c r="I4083" s="76"/>
      <c r="J4083" s="67"/>
      <c r="K4083" s="7" t="s">
        <v>1103</v>
      </c>
      <c r="L4083" s="77"/>
      <c r="M4083" s="79"/>
      <c r="N4083" s="1"/>
      <c r="O4083" s="1"/>
      <c r="P4083" s="1"/>
      <c r="Q4083" s="1"/>
      <c r="R4083" s="1"/>
      <c r="S4083" s="1"/>
      <c r="T4083" s="1"/>
      <c r="U4083" s="1"/>
      <c r="V4083" s="1"/>
      <c r="W4083" s="1"/>
      <c r="X4083" s="1"/>
      <c r="Y4083" s="1"/>
      <c r="Z4083" s="1"/>
      <c r="AA4083" s="1"/>
      <c r="AB4083" s="1"/>
      <c r="AC4083" s="1"/>
      <c r="AD4083" s="1"/>
      <c r="AE4083" s="1"/>
      <c r="AF4083" s="1"/>
      <c r="AG4083" s="1"/>
      <c r="AH4083" s="1"/>
    </row>
    <row r="4084" ht="12.75" hidden="1" customHeight="1" outlineLevel="1">
      <c r="A4084" s="17">
        <v>41716.0</v>
      </c>
      <c r="B4084" s="1"/>
      <c r="C4084" s="1" t="s">
        <v>435</v>
      </c>
      <c r="D4084" s="74"/>
      <c r="E4084" s="67"/>
      <c r="F4084" s="75"/>
      <c r="G4084" s="67"/>
      <c r="H4084" s="68"/>
      <c r="I4084" s="76"/>
      <c r="J4084" s="67"/>
      <c r="K4084" s="7" t="s">
        <v>1507</v>
      </c>
      <c r="L4084" s="77"/>
      <c r="M4084" s="79"/>
      <c r="N4084" s="1"/>
      <c r="O4084" s="1"/>
      <c r="P4084" s="1"/>
      <c r="Q4084" s="1"/>
      <c r="R4084" s="1"/>
      <c r="S4084" s="1"/>
      <c r="T4084" s="1"/>
      <c r="U4084" s="1"/>
      <c r="V4084" s="1"/>
      <c r="W4084" s="1"/>
      <c r="X4084" s="1"/>
      <c r="Y4084" s="1"/>
      <c r="Z4084" s="1"/>
      <c r="AA4084" s="1"/>
      <c r="AB4084" s="1"/>
      <c r="AC4084" s="1"/>
      <c r="AD4084" s="1"/>
      <c r="AE4084" s="1"/>
      <c r="AF4084" s="1"/>
      <c r="AG4084" s="1"/>
      <c r="AH4084" s="1"/>
    </row>
    <row r="4085" ht="12.75" hidden="1" customHeight="1" outlineLevel="1">
      <c r="A4085" s="17">
        <v>41719.0</v>
      </c>
      <c r="B4085" s="1"/>
      <c r="C4085" s="1" t="s">
        <v>339</v>
      </c>
      <c r="D4085" s="74"/>
      <c r="E4085" s="67"/>
      <c r="F4085" s="75"/>
      <c r="G4085" s="67"/>
      <c r="H4085" s="68"/>
      <c r="I4085" s="76"/>
      <c r="J4085" s="67"/>
      <c r="K4085" s="7" t="s">
        <v>1719</v>
      </c>
      <c r="L4085" s="77"/>
      <c r="M4085" s="79"/>
      <c r="N4085" s="1"/>
      <c r="O4085" s="1"/>
      <c r="P4085" s="1"/>
      <c r="Q4085" s="1"/>
      <c r="R4085" s="1"/>
      <c r="S4085" s="1"/>
      <c r="T4085" s="1"/>
      <c r="U4085" s="1"/>
      <c r="V4085" s="1"/>
      <c r="W4085" s="1"/>
      <c r="X4085" s="1"/>
      <c r="Y4085" s="1"/>
      <c r="Z4085" s="1"/>
      <c r="AA4085" s="1"/>
      <c r="AB4085" s="1"/>
      <c r="AC4085" s="1"/>
      <c r="AD4085" s="1"/>
      <c r="AE4085" s="1"/>
      <c r="AF4085" s="1"/>
      <c r="AG4085" s="1"/>
      <c r="AH4085" s="1"/>
    </row>
    <row r="4086" ht="12.75" hidden="1" customHeight="1" outlineLevel="1">
      <c r="A4086" s="17">
        <v>41719.0</v>
      </c>
      <c r="B4086" s="1"/>
      <c r="C4086" s="1" t="s">
        <v>429</v>
      </c>
      <c r="D4086" s="74"/>
      <c r="E4086" s="67"/>
      <c r="F4086" s="75"/>
      <c r="G4086" s="67"/>
      <c r="H4086" s="68"/>
      <c r="I4086" s="76"/>
      <c r="J4086" s="67"/>
      <c r="K4086" s="7" t="s">
        <v>1686</v>
      </c>
      <c r="L4086" s="77"/>
      <c r="M4086" s="79"/>
      <c r="N4086" s="1"/>
      <c r="O4086" s="1"/>
      <c r="P4086" s="1"/>
      <c r="Q4086" s="1"/>
      <c r="R4086" s="1"/>
      <c r="S4086" s="1"/>
      <c r="T4086" s="1"/>
      <c r="U4086" s="1"/>
      <c r="V4086" s="1"/>
      <c r="W4086" s="1"/>
      <c r="X4086" s="1"/>
      <c r="Y4086" s="1"/>
      <c r="Z4086" s="1"/>
      <c r="AA4086" s="1"/>
      <c r="AB4086" s="1"/>
      <c r="AC4086" s="1"/>
      <c r="AD4086" s="1"/>
      <c r="AE4086" s="1"/>
      <c r="AF4086" s="1"/>
      <c r="AG4086" s="1"/>
      <c r="AH4086" s="1"/>
    </row>
    <row r="4087" ht="12.75" hidden="1" customHeight="1" outlineLevel="1">
      <c r="A4087" s="17">
        <v>41719.0</v>
      </c>
      <c r="B4087" s="1"/>
      <c r="C4087" s="1" t="s">
        <v>431</v>
      </c>
      <c r="D4087" s="74"/>
      <c r="E4087" s="67"/>
      <c r="F4087" s="75"/>
      <c r="G4087" s="67"/>
      <c r="H4087" s="68"/>
      <c r="I4087" s="76"/>
      <c r="J4087" s="67"/>
      <c r="K4087" s="7" t="s">
        <v>1126</v>
      </c>
      <c r="L4087" s="77"/>
      <c r="M4087" s="79"/>
      <c r="N4087" s="1"/>
      <c r="O4087" s="1"/>
      <c r="P4087" s="1"/>
      <c r="Q4087" s="1"/>
      <c r="R4087" s="1"/>
      <c r="S4087" s="1"/>
      <c r="T4087" s="1"/>
      <c r="U4087" s="1"/>
      <c r="V4087" s="1"/>
      <c r="W4087" s="1"/>
      <c r="X4087" s="1"/>
      <c r="Y4087" s="1"/>
      <c r="Z4087" s="1"/>
      <c r="AA4087" s="1"/>
      <c r="AB4087" s="1"/>
      <c r="AC4087" s="1"/>
      <c r="AD4087" s="1"/>
      <c r="AE4087" s="1"/>
      <c r="AF4087" s="1"/>
      <c r="AG4087" s="1"/>
      <c r="AH4087" s="1"/>
    </row>
    <row r="4088" ht="12.75" hidden="1" customHeight="1" outlineLevel="1">
      <c r="A4088" s="17">
        <v>41719.0</v>
      </c>
      <c r="B4088" s="1"/>
      <c r="C4088" s="1" t="s">
        <v>433</v>
      </c>
      <c r="D4088" s="74"/>
      <c r="E4088" s="67"/>
      <c r="F4088" s="75"/>
      <c r="G4088" s="67"/>
      <c r="H4088" s="68"/>
      <c r="I4088" s="76"/>
      <c r="J4088" s="67"/>
      <c r="K4088" s="7" t="s">
        <v>1103</v>
      </c>
      <c r="L4088" s="77"/>
      <c r="M4088" s="79"/>
      <c r="N4088" s="1"/>
      <c r="O4088" s="1"/>
      <c r="P4088" s="1"/>
      <c r="Q4088" s="1"/>
      <c r="R4088" s="1"/>
      <c r="S4088" s="1"/>
      <c r="T4088" s="1"/>
      <c r="U4088" s="1"/>
      <c r="V4088" s="1"/>
      <c r="W4088" s="1"/>
      <c r="X4088" s="1"/>
      <c r="Y4088" s="1"/>
      <c r="Z4088" s="1"/>
      <c r="AA4088" s="1"/>
      <c r="AB4088" s="1"/>
      <c r="AC4088" s="1"/>
      <c r="AD4088" s="1"/>
      <c r="AE4088" s="1"/>
      <c r="AF4088" s="1"/>
      <c r="AG4088" s="1"/>
      <c r="AH4088" s="1"/>
    </row>
    <row r="4089" ht="12.75" hidden="1" customHeight="1" outlineLevel="1">
      <c r="A4089" s="17">
        <v>41719.0</v>
      </c>
      <c r="B4089" s="1"/>
      <c r="C4089" s="1" t="s">
        <v>435</v>
      </c>
      <c r="D4089" s="74"/>
      <c r="E4089" s="67"/>
      <c r="F4089" s="75"/>
      <c r="G4089" s="67"/>
      <c r="H4089" s="68"/>
      <c r="I4089" s="76"/>
      <c r="J4089" s="67"/>
      <c r="K4089" s="7" t="s">
        <v>1507</v>
      </c>
      <c r="L4089" s="77"/>
      <c r="M4089" s="79"/>
      <c r="N4089" s="1"/>
      <c r="O4089" s="1"/>
      <c r="P4089" s="1"/>
      <c r="Q4089" s="1"/>
      <c r="R4089" s="1"/>
      <c r="S4089" s="1"/>
      <c r="T4089" s="1"/>
      <c r="U4089" s="1"/>
      <c r="V4089" s="1"/>
      <c r="W4089" s="1"/>
      <c r="X4089" s="1"/>
      <c r="Y4089" s="1"/>
      <c r="Z4089" s="1"/>
      <c r="AA4089" s="1"/>
      <c r="AB4089" s="1"/>
      <c r="AC4089" s="1"/>
      <c r="AD4089" s="1"/>
      <c r="AE4089" s="1"/>
      <c r="AF4089" s="1"/>
      <c r="AG4089" s="1"/>
      <c r="AH4089" s="1"/>
    </row>
    <row r="4090" ht="12.75" hidden="1" customHeight="1" outlineLevel="1">
      <c r="A4090" s="17">
        <v>41723.0</v>
      </c>
      <c r="B4090" s="1"/>
      <c r="C4090" s="1" t="s">
        <v>339</v>
      </c>
      <c r="D4090" s="74"/>
      <c r="E4090" s="67"/>
      <c r="F4090" s="75"/>
      <c r="G4090" s="67"/>
      <c r="H4090" s="68"/>
      <c r="I4090" s="76"/>
      <c r="J4090" s="67"/>
      <c r="K4090" s="7" t="s">
        <v>1720</v>
      </c>
      <c r="L4090" s="77"/>
      <c r="M4090" s="79"/>
      <c r="N4090" s="1"/>
      <c r="O4090" s="1"/>
      <c r="P4090" s="1"/>
      <c r="Q4090" s="1"/>
      <c r="R4090" s="1"/>
      <c r="S4090" s="1"/>
      <c r="T4090" s="1"/>
      <c r="U4090" s="1"/>
      <c r="V4090" s="1"/>
      <c r="W4090" s="1"/>
      <c r="X4090" s="1"/>
      <c r="Y4090" s="1"/>
      <c r="Z4090" s="1"/>
      <c r="AA4090" s="1"/>
      <c r="AB4090" s="1"/>
      <c r="AC4090" s="1"/>
      <c r="AD4090" s="1"/>
      <c r="AE4090" s="1"/>
      <c r="AF4090" s="1"/>
      <c r="AG4090" s="1"/>
      <c r="AH4090" s="1"/>
    </row>
    <row r="4091" ht="12.75" hidden="1" customHeight="1" outlineLevel="1">
      <c r="A4091" s="17">
        <v>41723.0</v>
      </c>
      <c r="B4091" s="1"/>
      <c r="C4091" s="1" t="s">
        <v>429</v>
      </c>
      <c r="D4091" s="74"/>
      <c r="E4091" s="67"/>
      <c r="F4091" s="75"/>
      <c r="G4091" s="67"/>
      <c r="H4091" s="68"/>
      <c r="I4091" s="76"/>
      <c r="J4091" s="67"/>
      <c r="K4091" s="7" t="s">
        <v>1686</v>
      </c>
      <c r="L4091" s="77"/>
      <c r="M4091" s="79"/>
      <c r="N4091" s="1"/>
      <c r="O4091" s="1"/>
      <c r="P4091" s="1"/>
      <c r="Q4091" s="1"/>
      <c r="R4091" s="1"/>
      <c r="S4091" s="1"/>
      <c r="T4091" s="1"/>
      <c r="U4091" s="1"/>
      <c r="V4091" s="1"/>
      <c r="W4091" s="1"/>
      <c r="X4091" s="1"/>
      <c r="Y4091" s="1"/>
      <c r="Z4091" s="1"/>
      <c r="AA4091" s="1"/>
      <c r="AB4091" s="1"/>
      <c r="AC4091" s="1"/>
      <c r="AD4091" s="1"/>
      <c r="AE4091" s="1"/>
      <c r="AF4091" s="1"/>
      <c r="AG4091" s="1"/>
      <c r="AH4091" s="1"/>
    </row>
    <row r="4092" ht="12.75" hidden="1" customHeight="1" outlineLevel="1">
      <c r="A4092" s="17">
        <v>41723.0</v>
      </c>
      <c r="B4092" s="1"/>
      <c r="C4092" s="1" t="s">
        <v>431</v>
      </c>
      <c r="D4092" s="74"/>
      <c r="E4092" s="67"/>
      <c r="F4092" s="75"/>
      <c r="G4092" s="67"/>
      <c r="H4092" s="68"/>
      <c r="I4092" s="76"/>
      <c r="J4092" s="67"/>
      <c r="K4092" s="7" t="s">
        <v>1126</v>
      </c>
      <c r="L4092" s="77"/>
      <c r="M4092" s="79"/>
      <c r="N4092" s="1"/>
      <c r="O4092" s="1"/>
      <c r="P4092" s="1"/>
      <c r="Q4092" s="1"/>
      <c r="R4092" s="1"/>
      <c r="S4092" s="1"/>
      <c r="T4092" s="1"/>
      <c r="U4092" s="1"/>
      <c r="V4092" s="1"/>
      <c r="W4092" s="1"/>
      <c r="X4092" s="1"/>
      <c r="Y4092" s="1"/>
      <c r="Z4092" s="1"/>
      <c r="AA4092" s="1"/>
      <c r="AB4092" s="1"/>
      <c r="AC4092" s="1"/>
      <c r="AD4092" s="1"/>
      <c r="AE4092" s="1"/>
      <c r="AF4092" s="1"/>
      <c r="AG4092" s="1"/>
      <c r="AH4092" s="1"/>
    </row>
    <row r="4093" ht="12.75" hidden="1" customHeight="1" outlineLevel="1">
      <c r="A4093" s="17">
        <v>41723.0</v>
      </c>
      <c r="B4093" s="1"/>
      <c r="C4093" s="1" t="s">
        <v>433</v>
      </c>
      <c r="D4093" s="74"/>
      <c r="E4093" s="67"/>
      <c r="F4093" s="75"/>
      <c r="G4093" s="67"/>
      <c r="H4093" s="68"/>
      <c r="I4093" s="76"/>
      <c r="J4093" s="67"/>
      <c r="K4093" s="7" t="s">
        <v>1103</v>
      </c>
      <c r="L4093" s="77"/>
      <c r="M4093" s="79"/>
      <c r="N4093" s="1"/>
      <c r="O4093" s="1"/>
      <c r="P4093" s="1"/>
      <c r="Q4093" s="1"/>
      <c r="R4093" s="1"/>
      <c r="S4093" s="1"/>
      <c r="T4093" s="1"/>
      <c r="U4093" s="1"/>
      <c r="V4093" s="1"/>
      <c r="W4093" s="1"/>
      <c r="X4093" s="1"/>
      <c r="Y4093" s="1"/>
      <c r="Z4093" s="1"/>
      <c r="AA4093" s="1"/>
      <c r="AB4093" s="1"/>
      <c r="AC4093" s="1"/>
      <c r="AD4093" s="1"/>
      <c r="AE4093" s="1"/>
      <c r="AF4093" s="1"/>
      <c r="AG4093" s="1"/>
      <c r="AH4093" s="1"/>
    </row>
    <row r="4094" ht="12.75" hidden="1" customHeight="1" outlineLevel="1">
      <c r="A4094" s="17">
        <v>41723.0</v>
      </c>
      <c r="B4094" s="1"/>
      <c r="C4094" s="1" t="s">
        <v>435</v>
      </c>
      <c r="D4094" s="74"/>
      <c r="E4094" s="67"/>
      <c r="F4094" s="75"/>
      <c r="G4094" s="67"/>
      <c r="H4094" s="68"/>
      <c r="I4094" s="76"/>
      <c r="J4094" s="67"/>
      <c r="K4094" s="7" t="s">
        <v>1507</v>
      </c>
      <c r="L4094" s="77"/>
      <c r="M4094" s="79"/>
      <c r="N4094" s="1"/>
      <c r="O4094" s="1"/>
      <c r="P4094" s="1"/>
      <c r="Q4094" s="1"/>
      <c r="R4094" s="1"/>
      <c r="S4094" s="1"/>
      <c r="T4094" s="1"/>
      <c r="U4094" s="1"/>
      <c r="V4094" s="1"/>
      <c r="W4094" s="1"/>
      <c r="X4094" s="1"/>
      <c r="Y4094" s="1"/>
      <c r="Z4094" s="1"/>
      <c r="AA4094" s="1"/>
      <c r="AB4094" s="1"/>
      <c r="AC4094" s="1"/>
      <c r="AD4094" s="1"/>
      <c r="AE4094" s="1"/>
      <c r="AF4094" s="1"/>
      <c r="AG4094" s="1"/>
      <c r="AH4094" s="1"/>
    </row>
    <row r="4095" ht="12.75" hidden="1" customHeight="1" outlineLevel="1">
      <c r="A4095" s="17">
        <v>41724.0</v>
      </c>
      <c r="B4095" s="1"/>
      <c r="C4095" s="1" t="s">
        <v>339</v>
      </c>
      <c r="D4095" s="74"/>
      <c r="E4095" s="67"/>
      <c r="F4095" s="75"/>
      <c r="G4095" s="67"/>
      <c r="H4095" s="68"/>
      <c r="I4095" s="76"/>
      <c r="J4095" s="67"/>
      <c r="K4095" s="7" t="s">
        <v>1721</v>
      </c>
      <c r="L4095" s="77"/>
      <c r="M4095" s="79"/>
      <c r="N4095" s="1"/>
      <c r="O4095" s="1"/>
      <c r="P4095" s="1"/>
      <c r="Q4095" s="1"/>
      <c r="R4095" s="1"/>
      <c r="S4095" s="1"/>
      <c r="T4095" s="1"/>
      <c r="U4095" s="1"/>
      <c r="V4095" s="1"/>
      <c r="W4095" s="1"/>
      <c r="X4095" s="1"/>
      <c r="Y4095" s="1"/>
      <c r="Z4095" s="1"/>
      <c r="AA4095" s="1"/>
      <c r="AB4095" s="1"/>
      <c r="AC4095" s="1"/>
      <c r="AD4095" s="1"/>
      <c r="AE4095" s="1"/>
      <c r="AF4095" s="1"/>
      <c r="AG4095" s="1"/>
      <c r="AH4095" s="1"/>
    </row>
    <row r="4096" ht="12.75" hidden="1" customHeight="1" outlineLevel="1">
      <c r="A4096" s="17">
        <v>41724.0</v>
      </c>
      <c r="B4096" s="1"/>
      <c r="C4096" s="1" t="s">
        <v>429</v>
      </c>
      <c r="D4096" s="74"/>
      <c r="E4096" s="67"/>
      <c r="F4096" s="75"/>
      <c r="G4096" s="67"/>
      <c r="H4096" s="68"/>
      <c r="I4096" s="76"/>
      <c r="J4096" s="67"/>
      <c r="K4096" s="7" t="s">
        <v>1686</v>
      </c>
      <c r="L4096" s="77"/>
      <c r="M4096" s="79"/>
      <c r="N4096" s="1"/>
      <c r="O4096" s="1"/>
      <c r="P4096" s="1"/>
      <c r="Q4096" s="1"/>
      <c r="R4096" s="1"/>
      <c r="S4096" s="1"/>
      <c r="T4096" s="1"/>
      <c r="U4096" s="1"/>
      <c r="V4096" s="1"/>
      <c r="W4096" s="1"/>
      <c r="X4096" s="1"/>
      <c r="Y4096" s="1"/>
      <c r="Z4096" s="1"/>
      <c r="AA4096" s="1"/>
      <c r="AB4096" s="1"/>
      <c r="AC4096" s="1"/>
      <c r="AD4096" s="1"/>
      <c r="AE4096" s="1"/>
      <c r="AF4096" s="1"/>
      <c r="AG4096" s="1"/>
      <c r="AH4096" s="1"/>
    </row>
    <row r="4097" ht="12.75" hidden="1" customHeight="1" outlineLevel="1">
      <c r="A4097" s="17">
        <v>41724.0</v>
      </c>
      <c r="B4097" s="1"/>
      <c r="C4097" s="1" t="s">
        <v>431</v>
      </c>
      <c r="D4097" s="74"/>
      <c r="E4097" s="67"/>
      <c r="F4097" s="75"/>
      <c r="G4097" s="67"/>
      <c r="H4097" s="68"/>
      <c r="I4097" s="76"/>
      <c r="J4097" s="67"/>
      <c r="K4097" s="7" t="s">
        <v>1126</v>
      </c>
      <c r="L4097" s="77"/>
      <c r="M4097" s="79"/>
      <c r="N4097" s="1"/>
      <c r="O4097" s="1"/>
      <c r="P4097" s="1"/>
      <c r="Q4097" s="1"/>
      <c r="R4097" s="1"/>
      <c r="S4097" s="1"/>
      <c r="T4097" s="1"/>
      <c r="U4097" s="1"/>
      <c r="V4097" s="1"/>
      <c r="W4097" s="1"/>
      <c r="X4097" s="1"/>
      <c r="Y4097" s="1"/>
      <c r="Z4097" s="1"/>
      <c r="AA4097" s="1"/>
      <c r="AB4097" s="1"/>
      <c r="AC4097" s="1"/>
      <c r="AD4097" s="1"/>
      <c r="AE4097" s="1"/>
      <c r="AF4097" s="1"/>
      <c r="AG4097" s="1"/>
      <c r="AH4097" s="1"/>
    </row>
    <row r="4098" ht="12.75" hidden="1" customHeight="1" outlineLevel="1">
      <c r="A4098" s="17">
        <v>41724.0</v>
      </c>
      <c r="B4098" s="1"/>
      <c r="C4098" s="1" t="s">
        <v>433</v>
      </c>
      <c r="D4098" s="74"/>
      <c r="E4098" s="67"/>
      <c r="F4098" s="75"/>
      <c r="G4098" s="67"/>
      <c r="H4098" s="68"/>
      <c r="I4098" s="76"/>
      <c r="J4098" s="67"/>
      <c r="K4098" s="7" t="s">
        <v>1103</v>
      </c>
      <c r="L4098" s="77"/>
      <c r="M4098" s="79"/>
      <c r="N4098" s="1"/>
      <c r="O4098" s="1"/>
      <c r="P4098" s="1"/>
      <c r="Q4098" s="1"/>
      <c r="R4098" s="1"/>
      <c r="S4098" s="1"/>
      <c r="T4098" s="1"/>
      <c r="U4098" s="1"/>
      <c r="V4098" s="1"/>
      <c r="W4098" s="1"/>
      <c r="X4098" s="1"/>
      <c r="Y4098" s="1"/>
      <c r="Z4098" s="1"/>
      <c r="AA4098" s="1"/>
      <c r="AB4098" s="1"/>
      <c r="AC4098" s="1"/>
      <c r="AD4098" s="1"/>
      <c r="AE4098" s="1"/>
      <c r="AF4098" s="1"/>
      <c r="AG4098" s="1"/>
      <c r="AH4098" s="1"/>
    </row>
    <row r="4099" ht="12.75" hidden="1" customHeight="1" outlineLevel="1">
      <c r="A4099" s="17">
        <v>41724.0</v>
      </c>
      <c r="B4099" s="1"/>
      <c r="C4099" s="1" t="s">
        <v>435</v>
      </c>
      <c r="D4099" s="74"/>
      <c r="E4099" s="67"/>
      <c r="F4099" s="75"/>
      <c r="G4099" s="67"/>
      <c r="H4099" s="68"/>
      <c r="I4099" s="76"/>
      <c r="J4099" s="67"/>
      <c r="K4099" s="7" t="s">
        <v>1507</v>
      </c>
      <c r="L4099" s="77"/>
      <c r="M4099" s="79"/>
      <c r="N4099" s="1"/>
      <c r="O4099" s="1"/>
      <c r="P4099" s="1"/>
      <c r="Q4099" s="1"/>
      <c r="R4099" s="1"/>
      <c r="S4099" s="1"/>
      <c r="T4099" s="1"/>
      <c r="U4099" s="1"/>
      <c r="V4099" s="1"/>
      <c r="W4099" s="1"/>
      <c r="X4099" s="1"/>
      <c r="Y4099" s="1"/>
      <c r="Z4099" s="1"/>
      <c r="AA4099" s="1"/>
      <c r="AB4099" s="1"/>
      <c r="AC4099" s="1"/>
      <c r="AD4099" s="1"/>
      <c r="AE4099" s="1"/>
      <c r="AF4099" s="1"/>
      <c r="AG4099" s="1"/>
      <c r="AH4099" s="1"/>
    </row>
    <row r="4100" ht="12.75" hidden="1" customHeight="1" outlineLevel="1">
      <c r="A4100" s="17">
        <v>41725.0</v>
      </c>
      <c r="B4100" s="1" t="s">
        <v>347</v>
      </c>
      <c r="C4100" s="1" t="s">
        <v>458</v>
      </c>
      <c r="D4100" s="74">
        <v>500.0</v>
      </c>
      <c r="E4100" s="67">
        <v>51.44</v>
      </c>
      <c r="F4100" s="75">
        <v>0.45840277777777777</v>
      </c>
      <c r="G4100" s="67" t="s">
        <v>453</v>
      </c>
      <c r="H4100" s="68">
        <v>3.07</v>
      </c>
      <c r="I4100" s="76"/>
      <c r="J4100" s="67">
        <f>IF(B4100="SLD",D4100*E4100,-D4100*E4100)-H4100</f>
        <v>25716.93</v>
      </c>
      <c r="K4100" s="7"/>
      <c r="L4100" s="70"/>
      <c r="M4100" s="79"/>
      <c r="N4100" s="1"/>
      <c r="O4100" s="1"/>
      <c r="P4100" s="1"/>
      <c r="Q4100" s="1"/>
      <c r="R4100" s="1"/>
      <c r="S4100" s="1"/>
      <c r="T4100" s="1"/>
      <c r="U4100" s="1"/>
      <c r="V4100" s="1"/>
      <c r="W4100" s="1"/>
      <c r="X4100" s="1"/>
      <c r="Y4100" s="1"/>
      <c r="Z4100" s="1"/>
      <c r="AA4100" s="1"/>
      <c r="AB4100" s="1"/>
      <c r="AC4100" s="1"/>
      <c r="AD4100" s="1"/>
      <c r="AE4100" s="1"/>
      <c r="AF4100" s="1"/>
      <c r="AG4100" s="1"/>
      <c r="AH4100" s="1"/>
    </row>
    <row r="4101" ht="12.75" hidden="1" customHeight="1" outlineLevel="1">
      <c r="A4101" s="17">
        <v>41725.0</v>
      </c>
      <c r="B4101" s="1"/>
      <c r="C4101" s="1" t="s">
        <v>339</v>
      </c>
      <c r="D4101" s="74"/>
      <c r="E4101" s="67"/>
      <c r="F4101" s="75"/>
      <c r="G4101" s="67"/>
      <c r="H4101" s="68"/>
      <c r="I4101" s="76"/>
      <c r="J4101" s="67"/>
      <c r="K4101" s="7" t="s">
        <v>1722</v>
      </c>
      <c r="L4101" s="77"/>
      <c r="M4101" s="79"/>
      <c r="N4101" s="1"/>
      <c r="O4101" s="1"/>
      <c r="P4101" s="1"/>
      <c r="Q4101" s="1"/>
      <c r="R4101" s="1"/>
      <c r="S4101" s="1"/>
      <c r="T4101" s="1"/>
      <c r="U4101" s="1"/>
      <c r="V4101" s="1"/>
      <c r="W4101" s="1"/>
      <c r="X4101" s="1"/>
      <c r="Y4101" s="1"/>
      <c r="Z4101" s="1"/>
      <c r="AA4101" s="1"/>
      <c r="AB4101" s="1"/>
      <c r="AC4101" s="1"/>
      <c r="AD4101" s="1"/>
      <c r="AE4101" s="1"/>
      <c r="AF4101" s="1"/>
      <c r="AG4101" s="1"/>
      <c r="AH4101" s="1"/>
    </row>
    <row r="4102" ht="12.75" hidden="1" customHeight="1" outlineLevel="1">
      <c r="A4102" s="17">
        <v>41725.0</v>
      </c>
      <c r="B4102" s="1"/>
      <c r="C4102" s="1" t="s">
        <v>429</v>
      </c>
      <c r="D4102" s="74"/>
      <c r="E4102" s="67"/>
      <c r="F4102" s="75"/>
      <c r="G4102" s="67"/>
      <c r="H4102" s="68"/>
      <c r="I4102" s="76"/>
      <c r="J4102" s="67"/>
      <c r="K4102" s="7" t="s">
        <v>1686</v>
      </c>
      <c r="L4102" s="77"/>
      <c r="M4102" s="79"/>
      <c r="N4102" s="1"/>
      <c r="O4102" s="1"/>
      <c r="P4102" s="1"/>
      <c r="Q4102" s="1"/>
      <c r="R4102" s="1"/>
      <c r="S4102" s="1"/>
      <c r="T4102" s="1"/>
      <c r="U4102" s="1"/>
      <c r="V4102" s="1"/>
      <c r="W4102" s="1"/>
      <c r="X4102" s="1"/>
      <c r="Y4102" s="1"/>
      <c r="Z4102" s="1"/>
      <c r="AA4102" s="1"/>
      <c r="AB4102" s="1"/>
      <c r="AC4102" s="1"/>
      <c r="AD4102" s="1"/>
      <c r="AE4102" s="1"/>
      <c r="AF4102" s="1"/>
      <c r="AG4102" s="1"/>
      <c r="AH4102" s="1"/>
    </row>
    <row r="4103" ht="12.75" hidden="1" customHeight="1" outlineLevel="1">
      <c r="A4103" s="17">
        <v>41725.0</v>
      </c>
      <c r="B4103" s="1"/>
      <c r="C4103" s="1" t="s">
        <v>431</v>
      </c>
      <c r="D4103" s="74"/>
      <c r="E4103" s="67"/>
      <c r="F4103" s="75"/>
      <c r="G4103" s="67"/>
      <c r="H4103" s="68"/>
      <c r="I4103" s="76"/>
      <c r="J4103" s="67"/>
      <c r="K4103" s="7" t="s">
        <v>1126</v>
      </c>
      <c r="L4103" s="77"/>
      <c r="M4103" s="79"/>
      <c r="N4103" s="1"/>
      <c r="O4103" s="1"/>
      <c r="P4103" s="1"/>
      <c r="Q4103" s="1"/>
      <c r="R4103" s="1"/>
      <c r="S4103" s="1"/>
      <c r="T4103" s="1"/>
      <c r="U4103" s="1"/>
      <c r="V4103" s="1"/>
      <c r="W4103" s="1"/>
      <c r="X4103" s="1"/>
      <c r="Y4103" s="1"/>
      <c r="Z4103" s="1"/>
      <c r="AA4103" s="1"/>
      <c r="AB4103" s="1"/>
      <c r="AC4103" s="1"/>
      <c r="AD4103" s="1"/>
      <c r="AE4103" s="1"/>
      <c r="AF4103" s="1"/>
      <c r="AG4103" s="1"/>
      <c r="AH4103" s="1"/>
    </row>
    <row r="4104" ht="12.75" hidden="1" customHeight="1" outlineLevel="1">
      <c r="A4104" s="17">
        <v>41725.0</v>
      </c>
      <c r="B4104" s="1"/>
      <c r="C4104" s="1" t="s">
        <v>433</v>
      </c>
      <c r="D4104" s="74"/>
      <c r="E4104" s="67"/>
      <c r="F4104" s="75"/>
      <c r="G4104" s="67"/>
      <c r="H4104" s="68"/>
      <c r="I4104" s="76"/>
      <c r="J4104" s="67"/>
      <c r="K4104" s="7" t="s">
        <v>1103</v>
      </c>
      <c r="L4104" s="77"/>
      <c r="M4104" s="79"/>
      <c r="N4104" s="1"/>
      <c r="O4104" s="1"/>
      <c r="P4104" s="1"/>
      <c r="Q4104" s="1"/>
      <c r="R4104" s="1"/>
      <c r="S4104" s="1"/>
      <c r="T4104" s="1"/>
      <c r="U4104" s="1"/>
      <c r="V4104" s="1"/>
      <c r="W4104" s="1"/>
      <c r="X4104" s="1"/>
      <c r="Y4104" s="1"/>
      <c r="Z4104" s="1"/>
      <c r="AA4104" s="1"/>
      <c r="AB4104" s="1"/>
      <c r="AC4104" s="1"/>
      <c r="AD4104" s="1"/>
      <c r="AE4104" s="1"/>
      <c r="AF4104" s="1"/>
      <c r="AG4104" s="1"/>
      <c r="AH4104" s="1"/>
    </row>
    <row r="4105" ht="12.75" hidden="1" customHeight="1" outlineLevel="1">
      <c r="A4105" s="17">
        <v>41725.0</v>
      </c>
      <c r="B4105" s="1"/>
      <c r="C4105" s="1" t="s">
        <v>435</v>
      </c>
      <c r="D4105" s="74"/>
      <c r="E4105" s="67"/>
      <c r="F4105" s="75"/>
      <c r="G4105" s="67"/>
      <c r="H4105" s="68"/>
      <c r="I4105" s="76"/>
      <c r="J4105" s="67"/>
      <c r="K4105" s="7" t="s">
        <v>1507</v>
      </c>
      <c r="L4105" s="77"/>
      <c r="M4105" s="79"/>
      <c r="N4105" s="1"/>
      <c r="O4105" s="1"/>
      <c r="P4105" s="1"/>
      <c r="Q4105" s="1"/>
      <c r="R4105" s="1"/>
      <c r="S4105" s="1"/>
      <c r="T4105" s="1"/>
      <c r="U4105" s="1"/>
      <c r="V4105" s="1"/>
      <c r="W4105" s="1"/>
      <c r="X4105" s="1"/>
      <c r="Y4105" s="1"/>
      <c r="Z4105" s="1"/>
      <c r="AA4105" s="1"/>
      <c r="AB4105" s="1"/>
      <c r="AC4105" s="1"/>
      <c r="AD4105" s="1"/>
      <c r="AE4105" s="1"/>
      <c r="AF4105" s="1"/>
      <c r="AG4105" s="1"/>
      <c r="AH4105" s="1"/>
    </row>
    <row r="4106" ht="12.75" hidden="1" customHeight="1" outlineLevel="1">
      <c r="A4106" s="17">
        <v>41729.0</v>
      </c>
      <c r="B4106" s="1"/>
      <c r="C4106" s="1" t="s">
        <v>339</v>
      </c>
      <c r="D4106" s="74"/>
      <c r="E4106" s="67"/>
      <c r="F4106" s="75"/>
      <c r="G4106" s="67"/>
      <c r="H4106" s="68"/>
      <c r="I4106" s="76"/>
      <c r="J4106" s="67"/>
      <c r="K4106" s="7" t="s">
        <v>1723</v>
      </c>
      <c r="L4106" s="77"/>
      <c r="M4106" s="79"/>
      <c r="N4106" s="1"/>
      <c r="O4106" s="1"/>
      <c r="P4106" s="1"/>
      <c r="Q4106" s="1"/>
      <c r="R4106" s="1"/>
      <c r="S4106" s="1"/>
      <c r="T4106" s="1"/>
      <c r="U4106" s="1"/>
      <c r="V4106" s="1"/>
      <c r="W4106" s="1"/>
      <c r="X4106" s="1"/>
      <c r="Y4106" s="1"/>
      <c r="Z4106" s="1"/>
      <c r="AA4106" s="1"/>
      <c r="AB4106" s="1"/>
      <c r="AC4106" s="1"/>
      <c r="AD4106" s="1"/>
      <c r="AE4106" s="1"/>
      <c r="AF4106" s="1"/>
      <c r="AG4106" s="1"/>
      <c r="AH4106" s="1"/>
    </row>
    <row r="4107" ht="12.75" hidden="1" customHeight="1" outlineLevel="1">
      <c r="A4107" s="17">
        <v>41729.0</v>
      </c>
      <c r="B4107" s="1"/>
      <c r="C4107" s="1" t="s">
        <v>429</v>
      </c>
      <c r="D4107" s="74"/>
      <c r="E4107" s="67"/>
      <c r="F4107" s="75"/>
      <c r="G4107" s="67"/>
      <c r="H4107" s="68"/>
      <c r="I4107" s="76"/>
      <c r="J4107" s="67"/>
      <c r="K4107" s="7" t="s">
        <v>1686</v>
      </c>
      <c r="L4107" s="77"/>
      <c r="M4107" s="79"/>
      <c r="N4107" s="1"/>
      <c r="O4107" s="1"/>
      <c r="P4107" s="1"/>
      <c r="Q4107" s="1"/>
      <c r="R4107" s="1"/>
      <c r="S4107" s="1"/>
      <c r="T4107" s="1"/>
      <c r="U4107" s="1"/>
      <c r="V4107" s="1"/>
      <c r="W4107" s="1"/>
      <c r="X4107" s="1"/>
      <c r="Y4107" s="1"/>
      <c r="Z4107" s="1"/>
      <c r="AA4107" s="1"/>
      <c r="AB4107" s="1"/>
      <c r="AC4107" s="1"/>
      <c r="AD4107" s="1"/>
      <c r="AE4107" s="1"/>
      <c r="AF4107" s="1"/>
      <c r="AG4107" s="1"/>
      <c r="AH4107" s="1"/>
    </row>
    <row r="4108" ht="12.75" hidden="1" customHeight="1" outlineLevel="1">
      <c r="A4108" s="17">
        <v>41729.0</v>
      </c>
      <c r="B4108" s="1"/>
      <c r="C4108" s="1" t="s">
        <v>431</v>
      </c>
      <c r="D4108" s="74"/>
      <c r="E4108" s="67"/>
      <c r="F4108" s="75"/>
      <c r="G4108" s="67"/>
      <c r="H4108" s="68"/>
      <c r="I4108" s="76"/>
      <c r="J4108" s="67"/>
      <c r="K4108" s="7" t="s">
        <v>1126</v>
      </c>
      <c r="L4108" s="77"/>
      <c r="M4108" s="79"/>
      <c r="N4108" s="1"/>
      <c r="O4108" s="1"/>
      <c r="P4108" s="1"/>
      <c r="Q4108" s="1"/>
      <c r="R4108" s="1"/>
      <c r="S4108" s="1"/>
      <c r="T4108" s="1"/>
      <c r="U4108" s="1"/>
      <c r="V4108" s="1"/>
      <c r="W4108" s="1"/>
      <c r="X4108" s="1"/>
      <c r="Y4108" s="1"/>
      <c r="Z4108" s="1"/>
      <c r="AA4108" s="1"/>
      <c r="AB4108" s="1"/>
      <c r="AC4108" s="1"/>
      <c r="AD4108" s="1"/>
      <c r="AE4108" s="1"/>
      <c r="AF4108" s="1"/>
      <c r="AG4108" s="1"/>
      <c r="AH4108" s="1"/>
    </row>
    <row r="4109" ht="12.75" hidden="1" customHeight="1" outlineLevel="1">
      <c r="A4109" s="17">
        <v>41729.0</v>
      </c>
      <c r="B4109" s="1"/>
      <c r="C4109" s="1" t="s">
        <v>433</v>
      </c>
      <c r="D4109" s="74"/>
      <c r="E4109" s="67"/>
      <c r="F4109" s="75"/>
      <c r="G4109" s="67"/>
      <c r="H4109" s="68"/>
      <c r="I4109" s="76"/>
      <c r="J4109" s="67"/>
      <c r="K4109" s="7" t="s">
        <v>1103</v>
      </c>
      <c r="L4109" s="77"/>
      <c r="M4109" s="79"/>
      <c r="N4109" s="1"/>
      <c r="O4109" s="1"/>
      <c r="P4109" s="1"/>
      <c r="Q4109" s="1"/>
      <c r="R4109" s="1"/>
      <c r="S4109" s="1"/>
      <c r="T4109" s="1"/>
      <c r="U4109" s="1"/>
      <c r="V4109" s="1"/>
      <c r="W4109" s="1"/>
      <c r="X4109" s="1"/>
      <c r="Y4109" s="1"/>
      <c r="Z4109" s="1"/>
      <c r="AA4109" s="1"/>
      <c r="AB4109" s="1"/>
      <c r="AC4109" s="1"/>
      <c r="AD4109" s="1"/>
      <c r="AE4109" s="1"/>
      <c r="AF4109" s="1"/>
      <c r="AG4109" s="1"/>
      <c r="AH4109" s="1"/>
    </row>
    <row r="4110" ht="12.75" hidden="1" customHeight="1" outlineLevel="1">
      <c r="A4110" s="17">
        <v>41729.0</v>
      </c>
      <c r="B4110" s="1"/>
      <c r="C4110" s="1" t="s">
        <v>435</v>
      </c>
      <c r="D4110" s="74"/>
      <c r="E4110" s="67"/>
      <c r="F4110" s="75"/>
      <c r="G4110" s="67"/>
      <c r="H4110" s="68"/>
      <c r="I4110" s="76"/>
      <c r="J4110" s="67"/>
      <c r="K4110" s="7" t="s">
        <v>1507</v>
      </c>
      <c r="L4110" s="77"/>
      <c r="M4110" s="79"/>
      <c r="N4110" s="1"/>
      <c r="O4110" s="1"/>
      <c r="P4110" s="1"/>
      <c r="Q4110" s="1"/>
      <c r="R4110" s="1"/>
      <c r="S4110" s="1"/>
      <c r="T4110" s="1"/>
      <c r="U4110" s="1"/>
      <c r="V4110" s="1"/>
      <c r="W4110" s="1"/>
      <c r="X4110" s="1"/>
      <c r="Y4110" s="1"/>
      <c r="Z4110" s="1"/>
      <c r="AA4110" s="1"/>
      <c r="AB4110" s="1"/>
      <c r="AC4110" s="1"/>
      <c r="AD4110" s="1"/>
      <c r="AE4110" s="1"/>
      <c r="AF4110" s="1"/>
      <c r="AG4110" s="1"/>
      <c r="AH4110" s="1"/>
    </row>
    <row r="4111" ht="12.75" hidden="1" customHeight="1" outlineLevel="1">
      <c r="A4111" s="17">
        <v>41730.0</v>
      </c>
      <c r="B4111" s="1" t="s">
        <v>343</v>
      </c>
      <c r="C4111" s="1" t="s">
        <v>1371</v>
      </c>
      <c r="D4111" s="74">
        <v>200.0</v>
      </c>
      <c r="E4111" s="67">
        <v>39.49</v>
      </c>
      <c r="F4111" s="75">
        <v>0.40747685185185184</v>
      </c>
      <c r="G4111" s="67" t="s">
        <v>453</v>
      </c>
      <c r="H4111" s="68">
        <v>1.0</v>
      </c>
      <c r="I4111" s="76"/>
      <c r="J4111" s="67">
        <f t="shared" ref="J4111:J4116" si="260">IF(B4111="SLD",D4111*E4111,-D4111*E4111)-H4111</f>
        <v>-7899</v>
      </c>
      <c r="K4111" s="7"/>
      <c r="L4111" s="70"/>
      <c r="M4111" s="79"/>
      <c r="N4111" s="1"/>
      <c r="O4111" s="1"/>
      <c r="P4111" s="1"/>
      <c r="Q4111" s="1"/>
      <c r="R4111" s="1"/>
      <c r="S4111" s="1"/>
      <c r="T4111" s="1"/>
      <c r="U4111" s="1"/>
      <c r="V4111" s="1"/>
      <c r="W4111" s="1"/>
      <c r="X4111" s="1"/>
      <c r="Y4111" s="1"/>
      <c r="Z4111" s="1"/>
      <c r="AA4111" s="1"/>
      <c r="AB4111" s="1"/>
      <c r="AC4111" s="1"/>
      <c r="AD4111" s="1"/>
      <c r="AE4111" s="1"/>
      <c r="AF4111" s="1"/>
      <c r="AG4111" s="1"/>
      <c r="AH4111" s="1"/>
    </row>
    <row r="4112" ht="12.75" hidden="1" customHeight="1" outlineLevel="1">
      <c r="A4112" s="17">
        <v>41730.0</v>
      </c>
      <c r="B4112" s="1" t="s">
        <v>343</v>
      </c>
      <c r="C4112" s="1" t="s">
        <v>354</v>
      </c>
      <c r="D4112" s="74">
        <v>50.0</v>
      </c>
      <c r="E4112" s="67">
        <v>122.41</v>
      </c>
      <c r="F4112" s="75">
        <v>0.4077662037037037</v>
      </c>
      <c r="G4112" s="67" t="s">
        <v>453</v>
      </c>
      <c r="H4112" s="68">
        <v>1.0</v>
      </c>
      <c r="I4112" s="76"/>
      <c r="J4112" s="67">
        <f t="shared" si="260"/>
        <v>-6121.5</v>
      </c>
      <c r="K4112" s="7"/>
      <c r="L4112" s="70"/>
      <c r="M4112" s="79"/>
      <c r="N4112" s="1"/>
      <c r="O4112" s="1"/>
      <c r="P4112" s="1"/>
      <c r="Q4112" s="1"/>
      <c r="R4112" s="1"/>
      <c r="S4112" s="1"/>
      <c r="T4112" s="1"/>
      <c r="U4112" s="1"/>
      <c r="V4112" s="1"/>
      <c r="W4112" s="1"/>
      <c r="X4112" s="1"/>
      <c r="Y4112" s="1"/>
      <c r="Z4112" s="1"/>
      <c r="AA4112" s="1"/>
      <c r="AB4112" s="1"/>
      <c r="AC4112" s="1"/>
      <c r="AD4112" s="1"/>
      <c r="AE4112" s="1"/>
      <c r="AF4112" s="1"/>
      <c r="AG4112" s="1"/>
      <c r="AH4112" s="1"/>
    </row>
    <row r="4113" ht="12.75" hidden="1" customHeight="1" outlineLevel="1">
      <c r="A4113" s="17">
        <v>41730.0</v>
      </c>
      <c r="B4113" s="1" t="s">
        <v>343</v>
      </c>
      <c r="C4113" s="1" t="s">
        <v>1092</v>
      </c>
      <c r="D4113" s="74">
        <v>500.0</v>
      </c>
      <c r="E4113" s="67">
        <v>10.65</v>
      </c>
      <c r="F4113" s="75">
        <v>0.41363425925925923</v>
      </c>
      <c r="G4113" s="67" t="s">
        <v>453</v>
      </c>
      <c r="H4113" s="68">
        <v>2.5</v>
      </c>
      <c r="I4113" s="76"/>
      <c r="J4113" s="67">
        <f t="shared" si="260"/>
        <v>-5327.5</v>
      </c>
      <c r="K4113" s="7"/>
      <c r="L4113" s="70"/>
      <c r="M4113" s="79"/>
      <c r="N4113" s="1"/>
      <c r="O4113" s="1"/>
      <c r="P4113" s="1"/>
      <c r="Q4113" s="1"/>
      <c r="R4113" s="1"/>
      <c r="S4113" s="1"/>
      <c r="T4113" s="1"/>
      <c r="U4113" s="1"/>
      <c r="V4113" s="1"/>
      <c r="W4113" s="1"/>
      <c r="X4113" s="1"/>
      <c r="Y4113" s="1"/>
      <c r="Z4113" s="1"/>
      <c r="AA4113" s="1"/>
      <c r="AB4113" s="1"/>
      <c r="AC4113" s="1"/>
      <c r="AD4113" s="1"/>
      <c r="AE4113" s="1"/>
      <c r="AF4113" s="1"/>
      <c r="AG4113" s="1"/>
      <c r="AH4113" s="1"/>
    </row>
    <row r="4114" ht="12.75" hidden="1" customHeight="1" outlineLevel="1">
      <c r="A4114" s="17">
        <v>41730.0</v>
      </c>
      <c r="B4114" s="1" t="s">
        <v>343</v>
      </c>
      <c r="C4114" s="1" t="s">
        <v>604</v>
      </c>
      <c r="D4114" s="74">
        <v>500.0</v>
      </c>
      <c r="E4114" s="67">
        <v>4.06</v>
      </c>
      <c r="F4114" s="75">
        <v>0.41427083333333337</v>
      </c>
      <c r="G4114" s="67" t="s">
        <v>453</v>
      </c>
      <c r="H4114" s="68">
        <v>2.5</v>
      </c>
      <c r="I4114" s="76"/>
      <c r="J4114" s="67">
        <f t="shared" si="260"/>
        <v>-2032.5</v>
      </c>
      <c r="K4114" s="7"/>
      <c r="L4114" s="70"/>
      <c r="M4114" s="79"/>
      <c r="N4114" s="1"/>
      <c r="O4114" s="1"/>
      <c r="P4114" s="1"/>
      <c r="Q4114" s="1"/>
      <c r="R4114" s="1"/>
      <c r="S4114" s="1"/>
      <c r="T4114" s="1"/>
      <c r="U4114" s="1"/>
      <c r="V4114" s="1"/>
      <c r="W4114" s="1"/>
      <c r="X4114" s="1"/>
      <c r="Y4114" s="1"/>
      <c r="Z4114" s="1"/>
      <c r="AA4114" s="1"/>
      <c r="AB4114" s="1"/>
      <c r="AC4114" s="1"/>
      <c r="AD4114" s="1"/>
      <c r="AE4114" s="1"/>
      <c r="AF4114" s="1"/>
      <c r="AG4114" s="1"/>
      <c r="AH4114" s="1"/>
    </row>
    <row r="4115" ht="12.75" hidden="1" customHeight="1" outlineLevel="1">
      <c r="A4115" s="17">
        <v>41730.0</v>
      </c>
      <c r="B4115" s="1" t="s">
        <v>343</v>
      </c>
      <c r="C4115" s="1" t="s">
        <v>1483</v>
      </c>
      <c r="D4115" s="74">
        <v>500.0</v>
      </c>
      <c r="E4115" s="67">
        <v>4.03</v>
      </c>
      <c r="F4115" s="75">
        <v>0.4146412037037037</v>
      </c>
      <c r="G4115" s="67" t="s">
        <v>453</v>
      </c>
      <c r="H4115" s="68">
        <v>2.5</v>
      </c>
      <c r="I4115" s="76"/>
      <c r="J4115" s="67">
        <f t="shared" si="260"/>
        <v>-2017.5</v>
      </c>
      <c r="K4115" s="7"/>
      <c r="L4115" s="70"/>
      <c r="M4115" s="79"/>
      <c r="N4115" s="1"/>
      <c r="O4115" s="1"/>
      <c r="P4115" s="1"/>
      <c r="Q4115" s="1"/>
      <c r="R4115" s="1"/>
      <c r="S4115" s="1"/>
      <c r="T4115" s="1"/>
      <c r="U4115" s="1"/>
      <c r="V4115" s="1"/>
      <c r="W4115" s="1"/>
      <c r="X4115" s="1"/>
      <c r="Y4115" s="1"/>
      <c r="Z4115" s="1"/>
      <c r="AA4115" s="1"/>
      <c r="AB4115" s="1"/>
      <c r="AC4115" s="1"/>
      <c r="AD4115" s="1"/>
      <c r="AE4115" s="1"/>
      <c r="AF4115" s="1"/>
      <c r="AG4115" s="1"/>
      <c r="AH4115" s="1"/>
    </row>
    <row r="4116" ht="12.75" hidden="1" customHeight="1" outlineLevel="1">
      <c r="A4116" s="17">
        <v>41730.0</v>
      </c>
      <c r="B4116" s="1" t="s">
        <v>343</v>
      </c>
      <c r="C4116" s="1" t="s">
        <v>1485</v>
      </c>
      <c r="D4116" s="74">
        <v>500.0</v>
      </c>
      <c r="E4116" s="67">
        <v>11.1</v>
      </c>
      <c r="F4116" s="75">
        <v>0.4151736111111111</v>
      </c>
      <c r="G4116" s="67" t="s">
        <v>453</v>
      </c>
      <c r="H4116" s="68">
        <v>2.5</v>
      </c>
      <c r="I4116" s="76"/>
      <c r="J4116" s="67">
        <f t="shared" si="260"/>
        <v>-5552.5</v>
      </c>
      <c r="K4116" s="7"/>
      <c r="L4116" s="70"/>
      <c r="M4116" s="79"/>
      <c r="N4116" s="1"/>
      <c r="O4116" s="1"/>
      <c r="P4116" s="1"/>
      <c r="Q4116" s="1"/>
      <c r="R4116" s="1"/>
      <c r="S4116" s="1"/>
      <c r="T4116" s="1"/>
      <c r="U4116" s="1"/>
      <c r="V4116" s="1"/>
      <c r="W4116" s="1"/>
      <c r="X4116" s="1"/>
      <c r="Y4116" s="1"/>
      <c r="Z4116" s="1"/>
      <c r="AA4116" s="1"/>
      <c r="AB4116" s="1"/>
      <c r="AC4116" s="1"/>
      <c r="AD4116" s="1"/>
      <c r="AE4116" s="1"/>
      <c r="AF4116" s="1"/>
      <c r="AG4116" s="1"/>
      <c r="AH4116" s="1"/>
    </row>
    <row r="4117" ht="12.75" hidden="1" customHeight="1" outlineLevel="1">
      <c r="A4117" s="17">
        <v>41730.0</v>
      </c>
      <c r="B4117" s="1"/>
      <c r="C4117" s="1" t="s">
        <v>339</v>
      </c>
      <c r="D4117" s="74"/>
      <c r="E4117" s="67"/>
      <c r="F4117" s="75"/>
      <c r="G4117" s="67"/>
      <c r="H4117" s="68"/>
      <c r="I4117" s="76"/>
      <c r="J4117" s="67"/>
      <c r="K4117" s="7" t="s">
        <v>1723</v>
      </c>
      <c r="L4117" s="77"/>
      <c r="M4117" s="79"/>
      <c r="N4117" s="1"/>
      <c r="O4117" s="1"/>
      <c r="P4117" s="1"/>
      <c r="Q4117" s="1"/>
      <c r="R4117" s="1"/>
      <c r="S4117" s="1"/>
      <c r="T4117" s="1"/>
      <c r="U4117" s="1"/>
      <c r="V4117" s="1"/>
      <c r="W4117" s="1"/>
      <c r="X4117" s="1"/>
      <c r="Y4117" s="1"/>
      <c r="Z4117" s="1"/>
      <c r="AA4117" s="1"/>
      <c r="AB4117" s="1"/>
      <c r="AC4117" s="1"/>
      <c r="AD4117" s="1"/>
      <c r="AE4117" s="1"/>
      <c r="AF4117" s="1"/>
      <c r="AG4117" s="1"/>
      <c r="AH4117" s="1"/>
    </row>
    <row r="4118" ht="12.75" hidden="1" customHeight="1" outlineLevel="1">
      <c r="A4118" s="17">
        <v>41730.0</v>
      </c>
      <c r="B4118" s="1"/>
      <c r="C4118" s="1" t="s">
        <v>429</v>
      </c>
      <c r="D4118" s="74"/>
      <c r="E4118" s="67"/>
      <c r="F4118" s="75"/>
      <c r="G4118" s="67"/>
      <c r="H4118" s="68"/>
      <c r="I4118" s="76"/>
      <c r="J4118" s="67"/>
      <c r="K4118" s="7" t="s">
        <v>1686</v>
      </c>
      <c r="L4118" s="77"/>
      <c r="M4118" s="79"/>
      <c r="N4118" s="1"/>
      <c r="O4118" s="1"/>
      <c r="P4118" s="1"/>
      <c r="Q4118" s="1"/>
      <c r="R4118" s="1"/>
      <c r="S4118" s="1"/>
      <c r="T4118" s="1"/>
      <c r="U4118" s="1"/>
      <c r="V4118" s="1"/>
      <c r="W4118" s="1"/>
      <c r="X4118" s="1"/>
      <c r="Y4118" s="1"/>
      <c r="Z4118" s="1"/>
      <c r="AA4118" s="1"/>
      <c r="AB4118" s="1"/>
      <c r="AC4118" s="1"/>
      <c r="AD4118" s="1"/>
      <c r="AE4118" s="1"/>
      <c r="AF4118" s="1"/>
      <c r="AG4118" s="1"/>
      <c r="AH4118" s="1"/>
    </row>
    <row r="4119" ht="12.75" hidden="1" customHeight="1" outlineLevel="1">
      <c r="A4119" s="17">
        <v>41730.0</v>
      </c>
      <c r="B4119" s="1"/>
      <c r="C4119" s="1" t="s">
        <v>431</v>
      </c>
      <c r="D4119" s="74"/>
      <c r="E4119" s="67"/>
      <c r="F4119" s="75"/>
      <c r="G4119" s="67"/>
      <c r="H4119" s="68"/>
      <c r="I4119" s="76"/>
      <c r="J4119" s="67"/>
      <c r="K4119" s="7" t="s">
        <v>1126</v>
      </c>
      <c r="L4119" s="77"/>
      <c r="M4119" s="79"/>
      <c r="N4119" s="1"/>
      <c r="O4119" s="1"/>
      <c r="P4119" s="1"/>
      <c r="Q4119" s="1"/>
      <c r="R4119" s="1"/>
      <c r="S4119" s="1"/>
      <c r="T4119" s="1"/>
      <c r="U4119" s="1"/>
      <c r="V4119" s="1"/>
      <c r="W4119" s="1"/>
      <c r="X4119" s="1"/>
      <c r="Y4119" s="1"/>
      <c r="Z4119" s="1"/>
      <c r="AA4119" s="1"/>
      <c r="AB4119" s="1"/>
      <c r="AC4119" s="1"/>
      <c r="AD4119" s="1"/>
      <c r="AE4119" s="1"/>
      <c r="AF4119" s="1"/>
      <c r="AG4119" s="1"/>
      <c r="AH4119" s="1"/>
    </row>
    <row r="4120" ht="12.75" hidden="1" customHeight="1" outlineLevel="1">
      <c r="A4120" s="17">
        <v>41730.0</v>
      </c>
      <c r="B4120" s="1"/>
      <c r="C4120" s="1" t="s">
        <v>433</v>
      </c>
      <c r="D4120" s="74"/>
      <c r="E4120" s="67"/>
      <c r="F4120" s="75"/>
      <c r="G4120" s="67"/>
      <c r="H4120" s="68"/>
      <c r="I4120" s="76"/>
      <c r="J4120" s="67"/>
      <c r="K4120" s="7" t="s">
        <v>1103</v>
      </c>
      <c r="L4120" s="77"/>
      <c r="M4120" s="79"/>
      <c r="N4120" s="1"/>
      <c r="O4120" s="1"/>
      <c r="P4120" s="1"/>
      <c r="Q4120" s="1"/>
      <c r="R4120" s="1"/>
      <c r="S4120" s="1"/>
      <c r="T4120" s="1"/>
      <c r="U4120" s="1"/>
      <c r="V4120" s="1"/>
      <c r="W4120" s="1"/>
      <c r="X4120" s="1"/>
      <c r="Y4120" s="1"/>
      <c r="Z4120" s="1"/>
      <c r="AA4120" s="1"/>
      <c r="AB4120" s="1"/>
      <c r="AC4120" s="1"/>
      <c r="AD4120" s="1"/>
      <c r="AE4120" s="1"/>
      <c r="AF4120" s="1"/>
      <c r="AG4120" s="1"/>
      <c r="AH4120" s="1"/>
    </row>
    <row r="4121" ht="12.75" hidden="1" customHeight="1" outlineLevel="1">
      <c r="A4121" s="17">
        <v>41730.0</v>
      </c>
      <c r="B4121" s="1"/>
      <c r="C4121" s="1" t="s">
        <v>435</v>
      </c>
      <c r="D4121" s="74"/>
      <c r="E4121" s="67"/>
      <c r="F4121" s="75"/>
      <c r="G4121" s="67"/>
      <c r="H4121" s="68"/>
      <c r="I4121" s="76"/>
      <c r="J4121" s="67"/>
      <c r="K4121" s="7" t="s">
        <v>1507</v>
      </c>
      <c r="L4121" s="77"/>
      <c r="M4121" s="79"/>
      <c r="N4121" s="1"/>
      <c r="O4121" s="1"/>
      <c r="P4121" s="1"/>
      <c r="Q4121" s="1"/>
      <c r="R4121" s="1"/>
      <c r="S4121" s="1"/>
      <c r="T4121" s="1"/>
      <c r="U4121" s="1"/>
      <c r="V4121" s="1"/>
      <c r="W4121" s="1"/>
      <c r="X4121" s="1"/>
      <c r="Y4121" s="1"/>
      <c r="Z4121" s="1"/>
      <c r="AA4121" s="1"/>
      <c r="AB4121" s="1"/>
      <c r="AC4121" s="1"/>
      <c r="AD4121" s="1"/>
      <c r="AE4121" s="1"/>
      <c r="AF4121" s="1"/>
      <c r="AG4121" s="1"/>
      <c r="AH4121" s="1"/>
    </row>
    <row r="4122" ht="12.75" hidden="1" customHeight="1" outlineLevel="1">
      <c r="A4122" s="17">
        <v>41731.0</v>
      </c>
      <c r="B4122" s="1"/>
      <c r="C4122" s="1" t="s">
        <v>339</v>
      </c>
      <c r="D4122" s="74"/>
      <c r="E4122" s="67"/>
      <c r="F4122" s="75"/>
      <c r="G4122" s="67"/>
      <c r="H4122" s="68"/>
      <c r="I4122" s="76"/>
      <c r="J4122" s="67"/>
      <c r="K4122" s="7" t="s">
        <v>1724</v>
      </c>
      <c r="L4122" s="77"/>
      <c r="M4122" s="79"/>
      <c r="N4122" s="1"/>
      <c r="O4122" s="1"/>
      <c r="P4122" s="1"/>
      <c r="Q4122" s="1"/>
      <c r="R4122" s="1"/>
      <c r="S4122" s="1"/>
      <c r="T4122" s="1"/>
      <c r="U4122" s="1"/>
      <c r="V4122" s="1"/>
      <c r="W4122" s="1"/>
      <c r="X4122" s="1"/>
      <c r="Y4122" s="1"/>
      <c r="Z4122" s="1"/>
      <c r="AA4122" s="1"/>
      <c r="AB4122" s="1"/>
      <c r="AC4122" s="1"/>
      <c r="AD4122" s="1"/>
      <c r="AE4122" s="1"/>
      <c r="AF4122" s="1"/>
      <c r="AG4122" s="1"/>
      <c r="AH4122" s="1"/>
    </row>
    <row r="4123" ht="12.75" hidden="1" customHeight="1" outlineLevel="1">
      <c r="A4123" s="17">
        <v>41731.0</v>
      </c>
      <c r="B4123" s="1"/>
      <c r="C4123" s="1" t="s">
        <v>429</v>
      </c>
      <c r="D4123" s="74"/>
      <c r="E4123" s="67"/>
      <c r="F4123" s="75"/>
      <c r="G4123" s="67"/>
      <c r="H4123" s="68"/>
      <c r="I4123" s="76"/>
      <c r="J4123" s="67"/>
      <c r="K4123" s="7" t="s">
        <v>1686</v>
      </c>
      <c r="L4123" s="77"/>
      <c r="M4123" s="79"/>
      <c r="N4123" s="1"/>
      <c r="O4123" s="1"/>
      <c r="P4123" s="1"/>
      <c r="Q4123" s="1"/>
      <c r="R4123" s="1"/>
      <c r="S4123" s="1"/>
      <c r="T4123" s="1"/>
      <c r="U4123" s="1"/>
      <c r="V4123" s="1"/>
      <c r="W4123" s="1"/>
      <c r="X4123" s="1"/>
      <c r="Y4123" s="1"/>
      <c r="Z4123" s="1"/>
      <c r="AA4123" s="1"/>
      <c r="AB4123" s="1"/>
      <c r="AC4123" s="1"/>
      <c r="AD4123" s="1"/>
      <c r="AE4123" s="1"/>
      <c r="AF4123" s="1"/>
      <c r="AG4123" s="1"/>
      <c r="AH4123" s="1"/>
    </row>
    <row r="4124" ht="12.75" hidden="1" customHeight="1" outlineLevel="1">
      <c r="A4124" s="17">
        <v>41731.0</v>
      </c>
      <c r="B4124" s="1"/>
      <c r="C4124" s="1" t="s">
        <v>431</v>
      </c>
      <c r="D4124" s="74"/>
      <c r="E4124" s="67"/>
      <c r="F4124" s="75"/>
      <c r="G4124" s="67"/>
      <c r="H4124" s="68"/>
      <c r="I4124" s="76"/>
      <c r="J4124" s="67"/>
      <c r="K4124" s="7" t="s">
        <v>1126</v>
      </c>
      <c r="L4124" s="77"/>
      <c r="M4124" s="79"/>
      <c r="N4124" s="1"/>
      <c r="O4124" s="1"/>
      <c r="P4124" s="1"/>
      <c r="Q4124" s="1"/>
      <c r="R4124" s="1"/>
      <c r="S4124" s="1"/>
      <c r="T4124" s="1"/>
      <c r="U4124" s="1"/>
      <c r="V4124" s="1"/>
      <c r="W4124" s="1"/>
      <c r="X4124" s="1"/>
      <c r="Y4124" s="1"/>
      <c r="Z4124" s="1"/>
      <c r="AA4124" s="1"/>
      <c r="AB4124" s="1"/>
      <c r="AC4124" s="1"/>
      <c r="AD4124" s="1"/>
      <c r="AE4124" s="1"/>
      <c r="AF4124" s="1"/>
      <c r="AG4124" s="1"/>
      <c r="AH4124" s="1"/>
    </row>
    <row r="4125" ht="12.75" hidden="1" customHeight="1" outlineLevel="1">
      <c r="A4125" s="17">
        <v>41731.0</v>
      </c>
      <c r="B4125" s="1"/>
      <c r="C4125" s="1" t="s">
        <v>433</v>
      </c>
      <c r="D4125" s="74"/>
      <c r="E4125" s="67"/>
      <c r="F4125" s="75"/>
      <c r="G4125" s="67"/>
      <c r="H4125" s="68"/>
      <c r="I4125" s="76"/>
      <c r="J4125" s="67"/>
      <c r="K4125" s="7" t="s">
        <v>1103</v>
      </c>
      <c r="L4125" s="77"/>
      <c r="M4125" s="79"/>
      <c r="N4125" s="1"/>
      <c r="O4125" s="1"/>
      <c r="P4125" s="1"/>
      <c r="Q4125" s="1"/>
      <c r="R4125" s="1"/>
      <c r="S4125" s="1"/>
      <c r="T4125" s="1"/>
      <c r="U4125" s="1"/>
      <c r="V4125" s="1"/>
      <c r="W4125" s="1"/>
      <c r="X4125" s="1"/>
      <c r="Y4125" s="1"/>
      <c r="Z4125" s="1"/>
      <c r="AA4125" s="1"/>
      <c r="AB4125" s="1"/>
      <c r="AC4125" s="1"/>
      <c r="AD4125" s="1"/>
      <c r="AE4125" s="1"/>
      <c r="AF4125" s="1"/>
      <c r="AG4125" s="1"/>
      <c r="AH4125" s="1"/>
    </row>
    <row r="4126" ht="12.75" hidden="1" customHeight="1" outlineLevel="1">
      <c r="A4126" s="17">
        <v>41731.0</v>
      </c>
      <c r="B4126" s="1"/>
      <c r="C4126" s="1" t="s">
        <v>435</v>
      </c>
      <c r="D4126" s="74"/>
      <c r="E4126" s="67"/>
      <c r="F4126" s="75"/>
      <c r="G4126" s="67"/>
      <c r="H4126" s="68"/>
      <c r="I4126" s="76"/>
      <c r="J4126" s="67"/>
      <c r="K4126" s="7" t="s">
        <v>1507</v>
      </c>
      <c r="L4126" s="77"/>
      <c r="M4126" s="79"/>
      <c r="N4126" s="1"/>
      <c r="O4126" s="1"/>
      <c r="P4126" s="1"/>
      <c r="Q4126" s="1"/>
      <c r="R4126" s="1"/>
      <c r="S4126" s="1"/>
      <c r="T4126" s="1"/>
      <c r="U4126" s="1"/>
      <c r="V4126" s="1"/>
      <c r="W4126" s="1"/>
      <c r="X4126" s="1"/>
      <c r="Y4126" s="1"/>
      <c r="Z4126" s="1"/>
      <c r="AA4126" s="1"/>
      <c r="AB4126" s="1"/>
      <c r="AC4126" s="1"/>
      <c r="AD4126" s="1"/>
      <c r="AE4126" s="1"/>
      <c r="AF4126" s="1"/>
      <c r="AG4126" s="1"/>
      <c r="AH4126" s="1"/>
    </row>
    <row r="4127" ht="12.75" hidden="1" customHeight="1" outlineLevel="1">
      <c r="A4127" s="17">
        <v>41731.0</v>
      </c>
      <c r="B4127" s="1" t="s">
        <v>347</v>
      </c>
      <c r="C4127" s="1" t="s">
        <v>1725</v>
      </c>
      <c r="D4127" s="74">
        <v>800.0</v>
      </c>
      <c r="E4127" s="67">
        <v>23.438</v>
      </c>
      <c r="F4127" s="75">
        <v>0.4252430555555555</v>
      </c>
      <c r="G4127" s="67" t="s">
        <v>453</v>
      </c>
      <c r="H4127" s="68">
        <v>4.28</v>
      </c>
      <c r="I4127" s="76"/>
      <c r="J4127" s="67">
        <f t="shared" ref="J4127:J4134" si="261">IF(B4127="SLD",D4127*E4127,-D4127*E4127)-H4127</f>
        <v>18746.12</v>
      </c>
      <c r="K4127" s="7"/>
      <c r="L4127" s="70"/>
      <c r="M4127" s="79"/>
      <c r="N4127" s="1"/>
      <c r="O4127" s="1"/>
      <c r="P4127" s="1"/>
      <c r="Q4127" s="1"/>
      <c r="R4127" s="1"/>
      <c r="S4127" s="1"/>
      <c r="T4127" s="1"/>
      <c r="U4127" s="1"/>
      <c r="V4127" s="1"/>
      <c r="W4127" s="1"/>
      <c r="X4127" s="1"/>
      <c r="Y4127" s="1"/>
      <c r="Z4127" s="1"/>
      <c r="AA4127" s="1"/>
      <c r="AB4127" s="1"/>
      <c r="AC4127" s="1"/>
      <c r="AD4127" s="1"/>
      <c r="AE4127" s="1"/>
      <c r="AF4127" s="1"/>
      <c r="AG4127" s="1"/>
      <c r="AH4127" s="1"/>
    </row>
    <row r="4128" ht="12.75" hidden="1" customHeight="1" outlineLevel="1">
      <c r="A4128" s="17">
        <v>41731.0</v>
      </c>
      <c r="B4128" s="1" t="s">
        <v>343</v>
      </c>
      <c r="C4128" s="1" t="s">
        <v>790</v>
      </c>
      <c r="D4128" s="74">
        <v>2500.0</v>
      </c>
      <c r="E4128" s="67">
        <v>13.93</v>
      </c>
      <c r="F4128" s="75">
        <v>0.5166550925925926</v>
      </c>
      <c r="G4128" s="67" t="s">
        <v>453</v>
      </c>
      <c r="H4128" s="68">
        <v>11.9</v>
      </c>
      <c r="I4128" s="76"/>
      <c r="J4128" s="67">
        <f t="shared" si="261"/>
        <v>-34836.9</v>
      </c>
      <c r="K4128" s="7"/>
      <c r="L4128" s="70"/>
      <c r="M4128" s="79"/>
      <c r="N4128" s="1"/>
      <c r="O4128" s="1"/>
      <c r="P4128" s="1"/>
      <c r="Q4128" s="1"/>
      <c r="R4128" s="1"/>
      <c r="S4128" s="1"/>
      <c r="T4128" s="1"/>
      <c r="U4128" s="1"/>
      <c r="V4128" s="1"/>
      <c r="W4128" s="1"/>
      <c r="X4128" s="1"/>
      <c r="Y4128" s="1"/>
      <c r="Z4128" s="1"/>
      <c r="AA4128" s="1"/>
      <c r="AB4128" s="1"/>
      <c r="AC4128" s="1"/>
      <c r="AD4128" s="1"/>
      <c r="AE4128" s="1"/>
      <c r="AF4128" s="1"/>
      <c r="AG4128" s="1"/>
      <c r="AH4128" s="1"/>
    </row>
    <row r="4129" ht="12.75" hidden="1" customHeight="1" outlineLevel="1">
      <c r="A4129" s="17">
        <v>41731.0</v>
      </c>
      <c r="B4129" s="1" t="s">
        <v>343</v>
      </c>
      <c r="C4129" s="1" t="s">
        <v>784</v>
      </c>
      <c r="D4129" s="74">
        <v>2600.0</v>
      </c>
      <c r="E4129" s="67">
        <v>14.16</v>
      </c>
      <c r="F4129" s="75">
        <v>0.5171296296296296</v>
      </c>
      <c r="G4129" s="67" t="s">
        <v>453</v>
      </c>
      <c r="H4129" s="68">
        <v>10.4</v>
      </c>
      <c r="I4129" s="76"/>
      <c r="J4129" s="67">
        <f t="shared" si="261"/>
        <v>-36826.4</v>
      </c>
      <c r="K4129" s="7"/>
      <c r="L4129" s="70"/>
      <c r="M4129" s="79"/>
      <c r="N4129" s="1"/>
      <c r="O4129" s="1"/>
      <c r="P4129" s="1"/>
      <c r="Q4129" s="1"/>
      <c r="R4129" s="1"/>
      <c r="S4129" s="1"/>
      <c r="T4129" s="1"/>
      <c r="U4129" s="1"/>
      <c r="V4129" s="1"/>
      <c r="W4129" s="1"/>
      <c r="X4129" s="1"/>
      <c r="Y4129" s="1"/>
      <c r="Z4129" s="1"/>
      <c r="AA4129" s="1"/>
      <c r="AB4129" s="1"/>
      <c r="AC4129" s="1"/>
      <c r="AD4129" s="1"/>
      <c r="AE4129" s="1"/>
      <c r="AF4129" s="1"/>
      <c r="AG4129" s="1"/>
      <c r="AH4129" s="1"/>
    </row>
    <row r="4130" ht="12.75" hidden="1" customHeight="1" outlineLevel="1">
      <c r="A4130" s="17">
        <v>41731.0</v>
      </c>
      <c r="B4130" s="1" t="s">
        <v>343</v>
      </c>
      <c r="C4130" s="1" t="s">
        <v>369</v>
      </c>
      <c r="D4130" s="74">
        <v>1600.0</v>
      </c>
      <c r="E4130" s="67">
        <v>20.14</v>
      </c>
      <c r="F4130" s="75">
        <v>0.5541087962962963</v>
      </c>
      <c r="G4130" s="67" t="s">
        <v>453</v>
      </c>
      <c r="H4130" s="68">
        <v>6.4</v>
      </c>
      <c r="I4130" s="76"/>
      <c r="J4130" s="67">
        <f t="shared" si="261"/>
        <v>-32230.4</v>
      </c>
      <c r="K4130" s="7"/>
      <c r="L4130" s="70"/>
      <c r="M4130" s="79"/>
      <c r="N4130" s="1"/>
      <c r="O4130" s="1"/>
      <c r="P4130" s="1"/>
      <c r="Q4130" s="1"/>
      <c r="R4130" s="1"/>
      <c r="S4130" s="1"/>
      <c r="T4130" s="1"/>
      <c r="U4130" s="1"/>
      <c r="V4130" s="1"/>
      <c r="W4130" s="1"/>
      <c r="X4130" s="1"/>
      <c r="Y4130" s="1"/>
      <c r="Z4130" s="1"/>
      <c r="AA4130" s="1"/>
      <c r="AB4130" s="1"/>
      <c r="AC4130" s="1"/>
      <c r="AD4130" s="1"/>
      <c r="AE4130" s="1"/>
      <c r="AF4130" s="1"/>
      <c r="AG4130" s="1"/>
      <c r="AH4130" s="1"/>
    </row>
    <row r="4131" ht="12.75" hidden="1" customHeight="1" outlineLevel="1">
      <c r="A4131" s="17">
        <v>41731.0</v>
      </c>
      <c r="B4131" s="1" t="s">
        <v>343</v>
      </c>
      <c r="C4131" s="1" t="s">
        <v>1044</v>
      </c>
      <c r="D4131" s="74">
        <v>1200.0</v>
      </c>
      <c r="E4131" s="67">
        <v>24.43</v>
      </c>
      <c r="F4131" s="75">
        <v>0.5543518518518519</v>
      </c>
      <c r="G4131" s="67" t="s">
        <v>453</v>
      </c>
      <c r="H4131" s="68">
        <v>4.8</v>
      </c>
      <c r="I4131" s="76"/>
      <c r="J4131" s="67">
        <f t="shared" si="261"/>
        <v>-29320.8</v>
      </c>
      <c r="K4131" s="7"/>
      <c r="L4131" s="70"/>
      <c r="M4131" s="79"/>
      <c r="N4131" s="1"/>
      <c r="O4131" s="1"/>
      <c r="P4131" s="1"/>
      <c r="Q4131" s="1"/>
      <c r="R4131" s="1"/>
      <c r="S4131" s="1"/>
      <c r="T4131" s="1"/>
      <c r="U4131" s="1"/>
      <c r="V4131" s="1"/>
      <c r="W4131" s="1"/>
      <c r="X4131" s="1"/>
      <c r="Y4131" s="1"/>
      <c r="Z4131" s="1"/>
      <c r="AA4131" s="1"/>
      <c r="AB4131" s="1"/>
      <c r="AC4131" s="1"/>
      <c r="AD4131" s="1"/>
      <c r="AE4131" s="1"/>
      <c r="AF4131" s="1"/>
      <c r="AG4131" s="1"/>
      <c r="AH4131" s="1"/>
    </row>
    <row r="4132" ht="12.75" hidden="1" customHeight="1" outlineLevel="1">
      <c r="A4132" s="17">
        <v>41731.0</v>
      </c>
      <c r="B4132" s="1" t="s">
        <v>343</v>
      </c>
      <c r="C4132" s="1" t="s">
        <v>355</v>
      </c>
      <c r="D4132" s="74">
        <v>3000.0</v>
      </c>
      <c r="E4132" s="67">
        <v>7.85</v>
      </c>
      <c r="F4132" s="75">
        <v>0.5547685185185185</v>
      </c>
      <c r="G4132" s="67" t="s">
        <v>453</v>
      </c>
      <c r="H4132" s="68">
        <v>12.3</v>
      </c>
      <c r="I4132" s="76"/>
      <c r="J4132" s="67">
        <f t="shared" si="261"/>
        <v>-23562.3</v>
      </c>
      <c r="K4132" s="7"/>
      <c r="L4132" s="70"/>
      <c r="M4132" s="79"/>
      <c r="N4132" s="1"/>
      <c r="O4132" s="1"/>
      <c r="P4132" s="1"/>
      <c r="Q4132" s="1"/>
      <c r="R4132" s="1"/>
      <c r="S4132" s="1"/>
      <c r="T4132" s="1"/>
      <c r="U4132" s="1"/>
      <c r="V4132" s="1"/>
      <c r="W4132" s="1"/>
      <c r="X4132" s="1"/>
      <c r="Y4132" s="1"/>
      <c r="Z4132" s="1"/>
      <c r="AA4132" s="1"/>
      <c r="AB4132" s="1"/>
      <c r="AC4132" s="1"/>
      <c r="AD4132" s="1"/>
      <c r="AE4132" s="1"/>
      <c r="AF4132" s="1"/>
      <c r="AG4132" s="1"/>
      <c r="AH4132" s="1"/>
    </row>
    <row r="4133" ht="12.75" hidden="1" customHeight="1" outlineLevel="1">
      <c r="A4133" s="17">
        <v>41731.0</v>
      </c>
      <c r="B4133" s="1" t="s">
        <v>347</v>
      </c>
      <c r="C4133" s="1" t="s">
        <v>605</v>
      </c>
      <c r="D4133" s="74">
        <v>300.0</v>
      </c>
      <c r="E4133" s="67">
        <v>78.5</v>
      </c>
      <c r="F4133" s="75">
        <v>0.5590972222222222</v>
      </c>
      <c r="G4133" s="67" t="s">
        <v>453</v>
      </c>
      <c r="H4133" s="68">
        <v>1.72</v>
      </c>
      <c r="I4133" s="76"/>
      <c r="J4133" s="67">
        <f t="shared" si="261"/>
        <v>23548.28</v>
      </c>
      <c r="K4133" s="7"/>
      <c r="L4133" s="70"/>
      <c r="M4133" s="79"/>
      <c r="N4133" s="1"/>
      <c r="O4133" s="1"/>
      <c r="P4133" s="1"/>
      <c r="Q4133" s="1"/>
      <c r="R4133" s="1"/>
      <c r="S4133" s="1"/>
      <c r="T4133" s="1"/>
      <c r="U4133" s="1"/>
      <c r="V4133" s="1"/>
      <c r="W4133" s="1"/>
      <c r="X4133" s="1"/>
      <c r="Y4133" s="1"/>
      <c r="Z4133" s="1"/>
      <c r="AA4133" s="1"/>
      <c r="AB4133" s="1"/>
      <c r="AC4133" s="1"/>
      <c r="AD4133" s="1"/>
      <c r="AE4133" s="1"/>
      <c r="AF4133" s="1"/>
      <c r="AG4133" s="1"/>
      <c r="AH4133" s="1"/>
    </row>
    <row r="4134" ht="12.75" hidden="1" customHeight="1" outlineLevel="1">
      <c r="A4134" s="17">
        <v>41731.0</v>
      </c>
      <c r="B4134" s="1" t="s">
        <v>347</v>
      </c>
      <c r="C4134" s="1" t="s">
        <v>870</v>
      </c>
      <c r="D4134" s="74">
        <v>250.0</v>
      </c>
      <c r="E4134" s="67">
        <v>87.04</v>
      </c>
      <c r="F4134" s="75">
        <v>0.5594444444444444</v>
      </c>
      <c r="G4134" s="67" t="s">
        <v>453</v>
      </c>
      <c r="H4134" s="68">
        <v>1.53</v>
      </c>
      <c r="I4134" s="76"/>
      <c r="J4134" s="67">
        <f t="shared" si="261"/>
        <v>21758.47</v>
      </c>
      <c r="K4134" s="7"/>
      <c r="L4134" s="70"/>
      <c r="M4134" s="79"/>
      <c r="N4134" s="1"/>
      <c r="O4134" s="1"/>
      <c r="P4134" s="1"/>
      <c r="Q4134" s="1"/>
      <c r="R4134" s="1"/>
      <c r="S4134" s="1"/>
      <c r="T4134" s="1"/>
      <c r="U4134" s="1"/>
      <c r="V4134" s="1"/>
      <c r="W4134" s="1"/>
      <c r="X4134" s="1"/>
      <c r="Y4134" s="1"/>
      <c r="Z4134" s="1"/>
      <c r="AA4134" s="1"/>
      <c r="AB4134" s="1"/>
      <c r="AC4134" s="1"/>
      <c r="AD4134" s="1"/>
      <c r="AE4134" s="1"/>
      <c r="AF4134" s="1"/>
      <c r="AG4134" s="1"/>
      <c r="AH4134" s="1"/>
    </row>
    <row r="4135" ht="12.75" hidden="1" customHeight="1" outlineLevel="1">
      <c r="A4135" s="17">
        <v>41731.0</v>
      </c>
      <c r="B4135" s="1"/>
      <c r="C4135" s="1" t="s">
        <v>339</v>
      </c>
      <c r="D4135" s="74"/>
      <c r="E4135" s="67"/>
      <c r="F4135" s="75"/>
      <c r="G4135" s="67"/>
      <c r="H4135" s="68"/>
      <c r="I4135" s="76"/>
      <c r="J4135" s="67"/>
      <c r="K4135" s="7" t="s">
        <v>1728</v>
      </c>
      <c r="L4135" s="77"/>
      <c r="M4135" s="79"/>
      <c r="N4135" s="1"/>
      <c r="O4135" s="1"/>
      <c r="P4135" s="1"/>
      <c r="Q4135" s="1"/>
      <c r="R4135" s="1"/>
      <c r="S4135" s="1"/>
      <c r="T4135" s="1"/>
      <c r="U4135" s="1"/>
      <c r="V4135" s="1"/>
      <c r="W4135" s="1"/>
      <c r="X4135" s="1"/>
      <c r="Y4135" s="1"/>
      <c r="Z4135" s="1"/>
      <c r="AA4135" s="1"/>
      <c r="AB4135" s="1"/>
      <c r="AC4135" s="1"/>
      <c r="AD4135" s="1"/>
      <c r="AE4135" s="1"/>
      <c r="AF4135" s="1"/>
      <c r="AG4135" s="1"/>
      <c r="AH4135" s="1"/>
    </row>
    <row r="4136" ht="12.75" hidden="1" customHeight="1" outlineLevel="1">
      <c r="A4136" s="17">
        <v>41731.0</v>
      </c>
      <c r="B4136" s="1"/>
      <c r="C4136" s="1" t="s">
        <v>429</v>
      </c>
      <c r="D4136" s="74"/>
      <c r="E4136" s="67"/>
      <c r="F4136" s="75"/>
      <c r="G4136" s="67"/>
      <c r="H4136" s="68"/>
      <c r="I4136" s="76"/>
      <c r="J4136" s="67"/>
      <c r="K4136" s="7" t="s">
        <v>1686</v>
      </c>
      <c r="L4136" s="77"/>
      <c r="M4136" s="79"/>
      <c r="N4136" s="1"/>
      <c r="O4136" s="1"/>
      <c r="P4136" s="1"/>
      <c r="Q4136" s="1"/>
      <c r="R4136" s="1"/>
      <c r="S4136" s="1"/>
      <c r="T4136" s="1"/>
      <c r="U4136" s="1"/>
      <c r="V4136" s="1"/>
      <c r="W4136" s="1"/>
      <c r="X4136" s="1"/>
      <c r="Y4136" s="1"/>
      <c r="Z4136" s="1"/>
      <c r="AA4136" s="1"/>
      <c r="AB4136" s="1"/>
      <c r="AC4136" s="1"/>
      <c r="AD4136" s="1"/>
      <c r="AE4136" s="1"/>
      <c r="AF4136" s="1"/>
      <c r="AG4136" s="1"/>
      <c r="AH4136" s="1"/>
    </row>
    <row r="4137" ht="12.75" hidden="1" customHeight="1" outlineLevel="1">
      <c r="A4137" s="17">
        <v>41731.0</v>
      </c>
      <c r="B4137" s="1"/>
      <c r="C4137" s="1" t="s">
        <v>431</v>
      </c>
      <c r="D4137" s="74"/>
      <c r="E4137" s="67"/>
      <c r="F4137" s="75"/>
      <c r="G4137" s="67"/>
      <c r="H4137" s="68"/>
      <c r="I4137" s="76"/>
      <c r="J4137" s="67"/>
      <c r="K4137" s="7" t="s">
        <v>1126</v>
      </c>
      <c r="L4137" s="77"/>
      <c r="M4137" s="79"/>
      <c r="N4137" s="1"/>
      <c r="O4137" s="1"/>
      <c r="P4137" s="1"/>
      <c r="Q4137" s="1"/>
      <c r="R4137" s="1"/>
      <c r="S4137" s="1"/>
      <c r="T4137" s="1"/>
      <c r="U4137" s="1"/>
      <c r="V4137" s="1"/>
      <c r="W4137" s="1"/>
      <c r="X4137" s="1"/>
      <c r="Y4137" s="1"/>
      <c r="Z4137" s="1"/>
      <c r="AA4137" s="1"/>
      <c r="AB4137" s="1"/>
      <c r="AC4137" s="1"/>
      <c r="AD4137" s="1"/>
      <c r="AE4137" s="1"/>
      <c r="AF4137" s="1"/>
      <c r="AG4137" s="1"/>
      <c r="AH4137" s="1"/>
    </row>
    <row r="4138" ht="12.75" hidden="1" customHeight="1" outlineLevel="1">
      <c r="A4138" s="17">
        <v>41731.0</v>
      </c>
      <c r="B4138" s="1"/>
      <c r="C4138" s="1" t="s">
        <v>433</v>
      </c>
      <c r="D4138" s="74"/>
      <c r="E4138" s="67"/>
      <c r="F4138" s="75"/>
      <c r="G4138" s="67"/>
      <c r="H4138" s="68"/>
      <c r="I4138" s="76"/>
      <c r="J4138" s="67"/>
      <c r="K4138" s="7" t="s">
        <v>1103</v>
      </c>
      <c r="L4138" s="77"/>
      <c r="M4138" s="79"/>
      <c r="N4138" s="1"/>
      <c r="O4138" s="1"/>
      <c r="P4138" s="1"/>
      <c r="Q4138" s="1"/>
      <c r="R4138" s="1"/>
      <c r="S4138" s="1"/>
      <c r="T4138" s="1"/>
      <c r="U4138" s="1"/>
      <c r="V4138" s="1"/>
      <c r="W4138" s="1"/>
      <c r="X4138" s="1"/>
      <c r="Y4138" s="1"/>
      <c r="Z4138" s="1"/>
      <c r="AA4138" s="1"/>
      <c r="AB4138" s="1"/>
      <c r="AC4138" s="1"/>
      <c r="AD4138" s="1"/>
      <c r="AE4138" s="1"/>
      <c r="AF4138" s="1"/>
      <c r="AG4138" s="1"/>
      <c r="AH4138" s="1"/>
    </row>
    <row r="4139" ht="12.75" hidden="1" customHeight="1" outlineLevel="1">
      <c r="A4139" s="17">
        <v>41731.0</v>
      </c>
      <c r="B4139" s="1"/>
      <c r="C4139" s="1" t="s">
        <v>435</v>
      </c>
      <c r="D4139" s="74"/>
      <c r="E4139" s="67"/>
      <c r="F4139" s="75"/>
      <c r="G4139" s="67"/>
      <c r="H4139" s="68"/>
      <c r="I4139" s="76"/>
      <c r="J4139" s="67"/>
      <c r="K4139" s="7" t="s">
        <v>1507</v>
      </c>
      <c r="L4139" s="77"/>
      <c r="M4139" s="79"/>
      <c r="N4139" s="1"/>
      <c r="O4139" s="1"/>
      <c r="P4139" s="1"/>
      <c r="Q4139" s="1"/>
      <c r="R4139" s="1"/>
      <c r="S4139" s="1"/>
      <c r="T4139" s="1"/>
      <c r="U4139" s="1"/>
      <c r="V4139" s="1"/>
      <c r="W4139" s="1"/>
      <c r="X4139" s="1"/>
      <c r="Y4139" s="1"/>
      <c r="Z4139" s="1"/>
      <c r="AA4139" s="1"/>
      <c r="AB4139" s="1"/>
      <c r="AC4139" s="1"/>
      <c r="AD4139" s="1"/>
      <c r="AE4139" s="1"/>
      <c r="AF4139" s="1"/>
      <c r="AG4139" s="1"/>
      <c r="AH4139" s="1"/>
    </row>
    <row r="4140" ht="12.75" hidden="1" customHeight="1" outlineLevel="1">
      <c r="A4140" s="17">
        <v>41732.0</v>
      </c>
      <c r="B4140" s="1"/>
      <c r="C4140" s="1" t="s">
        <v>339</v>
      </c>
      <c r="D4140" s="74"/>
      <c r="E4140" s="67"/>
      <c r="F4140" s="75"/>
      <c r="G4140" s="67"/>
      <c r="H4140" s="68"/>
      <c r="I4140" s="76"/>
      <c r="J4140" s="67"/>
      <c r="K4140" s="7" t="s">
        <v>1730</v>
      </c>
      <c r="L4140" s="77"/>
      <c r="M4140" s="79"/>
      <c r="N4140" s="1"/>
      <c r="O4140" s="1"/>
      <c r="P4140" s="1"/>
      <c r="Q4140" s="1"/>
      <c r="R4140" s="1"/>
      <c r="S4140" s="1"/>
      <c r="T4140" s="1"/>
      <c r="U4140" s="1"/>
      <c r="V4140" s="1"/>
      <c r="W4140" s="1"/>
      <c r="X4140" s="1"/>
      <c r="Y4140" s="1"/>
      <c r="Z4140" s="1"/>
      <c r="AA4140" s="1"/>
      <c r="AB4140" s="1"/>
      <c r="AC4140" s="1"/>
      <c r="AD4140" s="1"/>
      <c r="AE4140" s="1"/>
      <c r="AF4140" s="1"/>
      <c r="AG4140" s="1"/>
      <c r="AH4140" s="1"/>
    </row>
    <row r="4141" ht="12.75" hidden="1" customHeight="1" outlineLevel="1">
      <c r="A4141" s="17">
        <v>41732.0</v>
      </c>
      <c r="B4141" s="1"/>
      <c r="C4141" s="1" t="s">
        <v>429</v>
      </c>
      <c r="D4141" s="74"/>
      <c r="E4141" s="67"/>
      <c r="F4141" s="75"/>
      <c r="G4141" s="67"/>
      <c r="H4141" s="68"/>
      <c r="I4141" s="76"/>
      <c r="J4141" s="67"/>
      <c r="K4141" s="7" t="s">
        <v>1686</v>
      </c>
      <c r="L4141" s="77"/>
      <c r="M4141" s="79"/>
      <c r="N4141" s="1"/>
      <c r="O4141" s="1"/>
      <c r="P4141" s="1"/>
      <c r="Q4141" s="1"/>
      <c r="R4141" s="1"/>
      <c r="S4141" s="1"/>
      <c r="T4141" s="1"/>
      <c r="U4141" s="1"/>
      <c r="V4141" s="1"/>
      <c r="W4141" s="1"/>
      <c r="X4141" s="1"/>
      <c r="Y4141" s="1"/>
      <c r="Z4141" s="1"/>
      <c r="AA4141" s="1"/>
      <c r="AB4141" s="1"/>
      <c r="AC4141" s="1"/>
      <c r="AD4141" s="1"/>
      <c r="AE4141" s="1"/>
      <c r="AF4141" s="1"/>
      <c r="AG4141" s="1"/>
      <c r="AH4141" s="1"/>
    </row>
    <row r="4142" ht="12.75" hidden="1" customHeight="1" outlineLevel="1">
      <c r="A4142" s="17">
        <v>41732.0</v>
      </c>
      <c r="B4142" s="1"/>
      <c r="C4142" s="1" t="s">
        <v>431</v>
      </c>
      <c r="D4142" s="74"/>
      <c r="E4142" s="67"/>
      <c r="F4142" s="75"/>
      <c r="G4142" s="67"/>
      <c r="H4142" s="68"/>
      <c r="I4142" s="76"/>
      <c r="J4142" s="67"/>
      <c r="K4142" s="7" t="s">
        <v>1126</v>
      </c>
      <c r="L4142" s="77"/>
      <c r="M4142" s="79"/>
      <c r="N4142" s="1"/>
      <c r="O4142" s="1"/>
      <c r="P4142" s="1"/>
      <c r="Q4142" s="1"/>
      <c r="R4142" s="1"/>
      <c r="S4142" s="1"/>
      <c r="T4142" s="1"/>
      <c r="U4142" s="1"/>
      <c r="V4142" s="1"/>
      <c r="W4142" s="1"/>
      <c r="X4142" s="1"/>
      <c r="Y4142" s="1"/>
      <c r="Z4142" s="1"/>
      <c r="AA4142" s="1"/>
      <c r="AB4142" s="1"/>
      <c r="AC4142" s="1"/>
      <c r="AD4142" s="1"/>
      <c r="AE4142" s="1"/>
      <c r="AF4142" s="1"/>
      <c r="AG4142" s="1"/>
      <c r="AH4142" s="1"/>
    </row>
    <row r="4143" ht="12.75" hidden="1" customHeight="1" outlineLevel="1">
      <c r="A4143" s="17">
        <v>41732.0</v>
      </c>
      <c r="B4143" s="1"/>
      <c r="C4143" s="1" t="s">
        <v>433</v>
      </c>
      <c r="D4143" s="74"/>
      <c r="E4143" s="67"/>
      <c r="F4143" s="75"/>
      <c r="G4143" s="67"/>
      <c r="H4143" s="68"/>
      <c r="I4143" s="76"/>
      <c r="J4143" s="67"/>
      <c r="K4143" s="7" t="s">
        <v>1103</v>
      </c>
      <c r="L4143" s="77"/>
      <c r="M4143" s="79"/>
      <c r="N4143" s="1"/>
      <c r="O4143" s="1"/>
      <c r="P4143" s="1"/>
      <c r="Q4143" s="1"/>
      <c r="R4143" s="1"/>
      <c r="S4143" s="1"/>
      <c r="T4143" s="1"/>
      <c r="U4143" s="1"/>
      <c r="V4143" s="1"/>
      <c r="W4143" s="1"/>
      <c r="X4143" s="1"/>
      <c r="Y4143" s="1"/>
      <c r="Z4143" s="1"/>
      <c r="AA4143" s="1"/>
      <c r="AB4143" s="1"/>
      <c r="AC4143" s="1"/>
      <c r="AD4143" s="1"/>
      <c r="AE4143" s="1"/>
      <c r="AF4143" s="1"/>
      <c r="AG4143" s="1"/>
      <c r="AH4143" s="1"/>
    </row>
    <row r="4144" ht="12.75" hidden="1" customHeight="1" outlineLevel="1">
      <c r="A4144" s="17">
        <v>41732.0</v>
      </c>
      <c r="B4144" s="1"/>
      <c r="C4144" s="1" t="s">
        <v>435</v>
      </c>
      <c r="D4144" s="74"/>
      <c r="E4144" s="67"/>
      <c r="F4144" s="75"/>
      <c r="G4144" s="67"/>
      <c r="H4144" s="68"/>
      <c r="I4144" s="76"/>
      <c r="J4144" s="67"/>
      <c r="K4144" s="7" t="s">
        <v>1507</v>
      </c>
      <c r="L4144" s="77"/>
      <c r="M4144" s="79"/>
      <c r="N4144" s="1"/>
      <c r="O4144" s="1"/>
      <c r="P4144" s="1"/>
      <c r="Q4144" s="1"/>
      <c r="R4144" s="1"/>
      <c r="S4144" s="1"/>
      <c r="T4144" s="1"/>
      <c r="U4144" s="1"/>
      <c r="V4144" s="1"/>
      <c r="W4144" s="1"/>
      <c r="X4144" s="1"/>
      <c r="Y4144" s="1"/>
      <c r="Z4144" s="1"/>
      <c r="AA4144" s="1"/>
      <c r="AB4144" s="1"/>
      <c r="AC4144" s="1"/>
      <c r="AD4144" s="1"/>
      <c r="AE4144" s="1"/>
      <c r="AF4144" s="1"/>
      <c r="AG4144" s="1"/>
      <c r="AH4144" s="1"/>
    </row>
    <row r="4145" ht="12.75" hidden="1" customHeight="1" outlineLevel="1">
      <c r="A4145" s="17">
        <v>41732.0</v>
      </c>
      <c r="B4145" s="1" t="s">
        <v>347</v>
      </c>
      <c r="C4145" s="1" t="s">
        <v>790</v>
      </c>
      <c r="D4145" s="74">
        <v>2600.0</v>
      </c>
      <c r="E4145" s="67">
        <v>13.01</v>
      </c>
      <c r="F4145" s="75">
        <v>41732.43922453704</v>
      </c>
      <c r="G4145" s="67" t="s">
        <v>453</v>
      </c>
      <c r="H4145" s="68">
        <v>13.55</v>
      </c>
      <c r="I4145" s="76"/>
      <c r="J4145" s="67">
        <f t="shared" ref="J4145:J4150" si="262">IF(B4145="SLD",D4145*E4145,-D4145*E4145)-H4145</f>
        <v>33812.45</v>
      </c>
      <c r="K4145" s="7"/>
      <c r="L4145" s="70"/>
      <c r="M4145" s="79"/>
      <c r="N4145" s="1"/>
      <c r="O4145" s="1"/>
      <c r="P4145" s="1"/>
      <c r="Q4145" s="1"/>
      <c r="R4145" s="1"/>
      <c r="S4145" s="1"/>
      <c r="T4145" s="1"/>
      <c r="U4145" s="1"/>
      <c r="V4145" s="1"/>
      <c r="W4145" s="1"/>
      <c r="X4145" s="1"/>
      <c r="Y4145" s="1"/>
      <c r="Z4145" s="1"/>
      <c r="AA4145" s="1"/>
      <c r="AB4145" s="1"/>
      <c r="AC4145" s="1"/>
      <c r="AD4145" s="1"/>
      <c r="AE4145" s="1"/>
      <c r="AF4145" s="1"/>
      <c r="AG4145" s="1"/>
      <c r="AH4145" s="1"/>
    </row>
    <row r="4146" ht="12.75" hidden="1" customHeight="1" outlineLevel="1">
      <c r="A4146" s="17">
        <v>41732.0</v>
      </c>
      <c r="B4146" s="1" t="s">
        <v>347</v>
      </c>
      <c r="C4146" s="1" t="s">
        <v>784</v>
      </c>
      <c r="D4146" s="74">
        <v>2800.0</v>
      </c>
      <c r="E4146" s="67">
        <v>14.21</v>
      </c>
      <c r="F4146" s="75">
        <v>41732.43969907407</v>
      </c>
      <c r="G4146" s="67" t="s">
        <v>453</v>
      </c>
      <c r="H4146" s="68">
        <v>14.68</v>
      </c>
      <c r="I4146" s="76"/>
      <c r="J4146" s="67">
        <f t="shared" si="262"/>
        <v>39773.32</v>
      </c>
      <c r="K4146" s="7"/>
      <c r="L4146" s="70"/>
      <c r="M4146" s="79"/>
      <c r="N4146" s="1"/>
      <c r="O4146" s="1"/>
      <c r="P4146" s="1"/>
      <c r="Q4146" s="1"/>
      <c r="R4146" s="1"/>
      <c r="S4146" s="1"/>
      <c r="T4146" s="1"/>
      <c r="U4146" s="1"/>
      <c r="V4146" s="1"/>
      <c r="W4146" s="1"/>
      <c r="X4146" s="1"/>
      <c r="Y4146" s="1"/>
      <c r="Z4146" s="1"/>
      <c r="AA4146" s="1"/>
      <c r="AB4146" s="1"/>
      <c r="AC4146" s="1"/>
      <c r="AD4146" s="1"/>
      <c r="AE4146" s="1"/>
      <c r="AF4146" s="1"/>
      <c r="AG4146" s="1"/>
      <c r="AH4146" s="1"/>
    </row>
    <row r="4147" ht="12.75" hidden="1" customHeight="1" outlineLevel="1">
      <c r="A4147" s="17">
        <v>41732.0</v>
      </c>
      <c r="B4147" s="1" t="s">
        <v>347</v>
      </c>
      <c r="C4147" s="1" t="s">
        <v>355</v>
      </c>
      <c r="D4147" s="74">
        <v>3300.0</v>
      </c>
      <c r="E4147" s="67">
        <v>7.938</v>
      </c>
      <c r="F4147" s="75">
        <v>41732.439988425926</v>
      </c>
      <c r="G4147" s="67" t="s">
        <v>453</v>
      </c>
      <c r="H4147" s="68">
        <v>13.78</v>
      </c>
      <c r="I4147" s="76"/>
      <c r="J4147" s="67">
        <f t="shared" si="262"/>
        <v>26181.62</v>
      </c>
      <c r="K4147" s="7"/>
      <c r="L4147" s="70"/>
      <c r="M4147" s="79"/>
      <c r="N4147" s="1"/>
      <c r="O4147" s="1"/>
      <c r="P4147" s="1"/>
      <c r="Q4147" s="1"/>
      <c r="R4147" s="1"/>
      <c r="S4147" s="1"/>
      <c r="T4147" s="1"/>
      <c r="U4147" s="1"/>
      <c r="V4147" s="1"/>
      <c r="W4147" s="1"/>
      <c r="X4147" s="1"/>
      <c r="Y4147" s="1"/>
      <c r="Z4147" s="1"/>
      <c r="AA4147" s="1"/>
      <c r="AB4147" s="1"/>
      <c r="AC4147" s="1"/>
      <c r="AD4147" s="1"/>
      <c r="AE4147" s="1"/>
      <c r="AF4147" s="1"/>
      <c r="AG4147" s="1"/>
      <c r="AH4147" s="1"/>
    </row>
    <row r="4148" ht="12.75" hidden="1" customHeight="1" outlineLevel="1">
      <c r="A4148" s="17">
        <v>41732.0</v>
      </c>
      <c r="B4148" s="1" t="s">
        <v>347</v>
      </c>
      <c r="C4148" s="1" t="s">
        <v>369</v>
      </c>
      <c r="D4148" s="74">
        <v>1800.0</v>
      </c>
      <c r="E4148" s="67">
        <v>20.53</v>
      </c>
      <c r="F4148" s="75">
        <v>41732.440833333334</v>
      </c>
      <c r="G4148" s="67" t="s">
        <v>453</v>
      </c>
      <c r="H4148" s="68">
        <v>8.12</v>
      </c>
      <c r="I4148" s="76"/>
      <c r="J4148" s="67">
        <f t="shared" si="262"/>
        <v>36945.88</v>
      </c>
      <c r="K4148" s="7"/>
      <c r="L4148" s="70"/>
      <c r="M4148" s="79"/>
      <c r="N4148" s="1"/>
      <c r="O4148" s="1"/>
      <c r="P4148" s="1"/>
      <c r="Q4148" s="1"/>
      <c r="R4148" s="1"/>
      <c r="S4148" s="1"/>
      <c r="T4148" s="1"/>
      <c r="U4148" s="1"/>
      <c r="V4148" s="1"/>
      <c r="W4148" s="1"/>
      <c r="X4148" s="1"/>
      <c r="Y4148" s="1"/>
      <c r="Z4148" s="1"/>
      <c r="AA4148" s="1"/>
      <c r="AB4148" s="1"/>
      <c r="AC4148" s="1"/>
      <c r="AD4148" s="1"/>
      <c r="AE4148" s="1"/>
      <c r="AF4148" s="1"/>
      <c r="AG4148" s="1"/>
      <c r="AH4148" s="1"/>
    </row>
    <row r="4149" ht="12.75" hidden="1" customHeight="1" outlineLevel="1">
      <c r="A4149" s="17">
        <v>41732.0</v>
      </c>
      <c r="B4149" s="1" t="s">
        <v>347</v>
      </c>
      <c r="C4149" s="1" t="s">
        <v>1044</v>
      </c>
      <c r="D4149" s="74">
        <v>1400.0</v>
      </c>
      <c r="E4149" s="67">
        <v>23.93</v>
      </c>
      <c r="F4149" s="75">
        <v>41732.44128472222</v>
      </c>
      <c r="G4149" s="67" t="s">
        <v>453</v>
      </c>
      <c r="H4149" s="68">
        <v>7.34</v>
      </c>
      <c r="I4149" s="76"/>
      <c r="J4149" s="67">
        <f t="shared" si="262"/>
        <v>33494.66</v>
      </c>
      <c r="K4149" s="7"/>
      <c r="L4149" s="70"/>
      <c r="M4149" s="79"/>
      <c r="N4149" s="1"/>
      <c r="O4149" s="1"/>
      <c r="P4149" s="1"/>
      <c r="Q4149" s="1"/>
      <c r="R4149" s="1"/>
      <c r="S4149" s="1"/>
      <c r="T4149" s="1"/>
      <c r="U4149" s="1"/>
      <c r="V4149" s="1"/>
      <c r="W4149" s="1"/>
      <c r="X4149" s="1"/>
      <c r="Y4149" s="1"/>
      <c r="Z4149" s="1"/>
      <c r="AA4149" s="1"/>
      <c r="AB4149" s="1"/>
      <c r="AC4149" s="1"/>
      <c r="AD4149" s="1"/>
      <c r="AE4149" s="1"/>
      <c r="AF4149" s="1"/>
      <c r="AG4149" s="1"/>
      <c r="AH4149" s="1"/>
    </row>
    <row r="4150" ht="12.75" hidden="1" customHeight="1" outlineLevel="1">
      <c r="A4150" s="17">
        <v>41732.0</v>
      </c>
      <c r="B4150" s="1" t="s">
        <v>347</v>
      </c>
      <c r="C4150" s="1" t="s">
        <v>1725</v>
      </c>
      <c r="D4150" s="74">
        <v>200.0</v>
      </c>
      <c r="E4150" s="67">
        <v>23.32</v>
      </c>
      <c r="F4150" s="75">
        <v>41732.4425</v>
      </c>
      <c r="G4150" s="67" t="s">
        <v>453</v>
      </c>
      <c r="H4150" s="68">
        <v>1.1</v>
      </c>
      <c r="I4150" s="76"/>
      <c r="J4150" s="67">
        <f t="shared" si="262"/>
        <v>4662.9</v>
      </c>
      <c r="K4150" s="7"/>
      <c r="L4150" s="70"/>
      <c r="M4150" s="79"/>
      <c r="N4150" s="1"/>
      <c r="O4150" s="1"/>
      <c r="P4150" s="1"/>
      <c r="Q4150" s="1"/>
      <c r="R4150" s="1"/>
      <c r="S4150" s="1"/>
      <c r="T4150" s="1"/>
      <c r="U4150" s="1"/>
      <c r="V4150" s="1"/>
      <c r="W4150" s="1"/>
      <c r="X4150" s="1"/>
      <c r="Y4150" s="1"/>
      <c r="Z4150" s="1"/>
      <c r="AA4150" s="1"/>
      <c r="AB4150" s="1"/>
      <c r="AC4150" s="1"/>
      <c r="AD4150" s="1"/>
      <c r="AE4150" s="1"/>
      <c r="AF4150" s="1"/>
      <c r="AG4150" s="1"/>
      <c r="AH4150" s="1"/>
    </row>
    <row r="4151" ht="12.75" hidden="1" customHeight="1" outlineLevel="1">
      <c r="A4151" s="17">
        <v>41733.0</v>
      </c>
      <c r="B4151" s="1"/>
      <c r="C4151" s="1" t="s">
        <v>339</v>
      </c>
      <c r="D4151" s="74"/>
      <c r="E4151" s="67"/>
      <c r="F4151" s="75"/>
      <c r="G4151" s="67"/>
      <c r="H4151" s="68"/>
      <c r="I4151" s="76"/>
      <c r="J4151" s="67"/>
      <c r="K4151" s="7" t="s">
        <v>1730</v>
      </c>
      <c r="L4151" s="77"/>
      <c r="M4151" s="79"/>
      <c r="N4151" s="1"/>
      <c r="O4151" s="1"/>
      <c r="P4151" s="1"/>
      <c r="Q4151" s="1"/>
      <c r="R4151" s="1"/>
      <c r="S4151" s="1"/>
      <c r="T4151" s="1"/>
      <c r="U4151" s="1"/>
      <c r="V4151" s="1"/>
      <c r="W4151" s="1"/>
      <c r="X4151" s="1"/>
      <c r="Y4151" s="1"/>
      <c r="Z4151" s="1"/>
      <c r="AA4151" s="1"/>
      <c r="AB4151" s="1"/>
      <c r="AC4151" s="1"/>
      <c r="AD4151" s="1"/>
      <c r="AE4151" s="1"/>
      <c r="AF4151" s="1"/>
      <c r="AG4151" s="1"/>
      <c r="AH4151" s="1"/>
    </row>
    <row r="4152" ht="12.75" hidden="1" customHeight="1" outlineLevel="1">
      <c r="A4152" s="17">
        <v>41733.0</v>
      </c>
      <c r="B4152" s="1"/>
      <c r="C4152" s="1" t="s">
        <v>429</v>
      </c>
      <c r="D4152" s="74"/>
      <c r="E4152" s="67"/>
      <c r="F4152" s="75"/>
      <c r="G4152" s="67"/>
      <c r="H4152" s="68"/>
      <c r="I4152" s="76"/>
      <c r="J4152" s="67"/>
      <c r="K4152" s="7" t="s">
        <v>1686</v>
      </c>
      <c r="L4152" s="77"/>
      <c r="M4152" s="79"/>
      <c r="N4152" s="1"/>
      <c r="O4152" s="1"/>
      <c r="P4152" s="1"/>
      <c r="Q4152" s="1"/>
      <c r="R4152" s="1"/>
      <c r="S4152" s="1"/>
      <c r="T4152" s="1"/>
      <c r="U4152" s="1"/>
      <c r="V4152" s="1"/>
      <c r="W4152" s="1"/>
      <c r="X4152" s="1"/>
      <c r="Y4152" s="1"/>
      <c r="Z4152" s="1"/>
      <c r="AA4152" s="1"/>
      <c r="AB4152" s="1"/>
      <c r="AC4152" s="1"/>
      <c r="AD4152" s="1"/>
      <c r="AE4152" s="1"/>
      <c r="AF4152" s="1"/>
      <c r="AG4152" s="1"/>
      <c r="AH4152" s="1"/>
    </row>
    <row r="4153" ht="12.75" hidden="1" customHeight="1" outlineLevel="1">
      <c r="A4153" s="17">
        <v>41733.0</v>
      </c>
      <c r="B4153" s="1"/>
      <c r="C4153" s="1" t="s">
        <v>431</v>
      </c>
      <c r="D4153" s="74"/>
      <c r="E4153" s="67"/>
      <c r="F4153" s="75"/>
      <c r="G4153" s="67"/>
      <c r="H4153" s="68"/>
      <c r="I4153" s="76"/>
      <c r="J4153" s="67"/>
      <c r="K4153" s="7" t="s">
        <v>1126</v>
      </c>
      <c r="L4153" s="77"/>
      <c r="M4153" s="79"/>
      <c r="N4153" s="1"/>
      <c r="O4153" s="1"/>
      <c r="P4153" s="1"/>
      <c r="Q4153" s="1"/>
      <c r="R4153" s="1"/>
      <c r="S4153" s="1"/>
      <c r="T4153" s="1"/>
      <c r="U4153" s="1"/>
      <c r="V4153" s="1"/>
      <c r="W4153" s="1"/>
      <c r="X4153" s="1"/>
      <c r="Y4153" s="1"/>
      <c r="Z4153" s="1"/>
      <c r="AA4153" s="1"/>
      <c r="AB4153" s="1"/>
      <c r="AC4153" s="1"/>
      <c r="AD4153" s="1"/>
      <c r="AE4153" s="1"/>
      <c r="AF4153" s="1"/>
      <c r="AG4153" s="1"/>
      <c r="AH4153" s="1"/>
    </row>
    <row r="4154" ht="12.75" hidden="1" customHeight="1" outlineLevel="1">
      <c r="A4154" s="17">
        <v>41733.0</v>
      </c>
      <c r="B4154" s="1"/>
      <c r="C4154" s="1" t="s">
        <v>433</v>
      </c>
      <c r="D4154" s="74"/>
      <c r="E4154" s="67"/>
      <c r="F4154" s="75"/>
      <c r="G4154" s="67"/>
      <c r="H4154" s="68"/>
      <c r="I4154" s="76"/>
      <c r="J4154" s="67"/>
      <c r="K4154" s="7" t="s">
        <v>1103</v>
      </c>
      <c r="L4154" s="77"/>
      <c r="M4154" s="79"/>
      <c r="N4154" s="1"/>
      <c r="O4154" s="1"/>
      <c r="P4154" s="1"/>
      <c r="Q4154" s="1"/>
      <c r="R4154" s="1"/>
      <c r="S4154" s="1"/>
      <c r="T4154" s="1"/>
      <c r="U4154" s="1"/>
      <c r="V4154" s="1"/>
      <c r="W4154" s="1"/>
      <c r="X4154" s="1"/>
      <c r="Y4154" s="1"/>
      <c r="Z4154" s="1"/>
      <c r="AA4154" s="1"/>
      <c r="AB4154" s="1"/>
      <c r="AC4154" s="1"/>
      <c r="AD4154" s="1"/>
      <c r="AE4154" s="1"/>
      <c r="AF4154" s="1"/>
      <c r="AG4154" s="1"/>
      <c r="AH4154" s="1"/>
    </row>
    <row r="4155" ht="12.75" hidden="1" customHeight="1" outlineLevel="1">
      <c r="A4155" s="17">
        <v>41733.0</v>
      </c>
      <c r="B4155" s="1"/>
      <c r="C4155" s="1" t="s">
        <v>435</v>
      </c>
      <c r="D4155" s="74"/>
      <c r="E4155" s="67"/>
      <c r="F4155" s="75"/>
      <c r="G4155" s="67"/>
      <c r="H4155" s="68"/>
      <c r="I4155" s="76"/>
      <c r="J4155" s="67"/>
      <c r="K4155" s="7" t="s">
        <v>1507</v>
      </c>
      <c r="L4155" s="77"/>
      <c r="M4155" s="79"/>
      <c r="N4155" s="1"/>
      <c r="O4155" s="1"/>
      <c r="P4155" s="1"/>
      <c r="Q4155" s="1"/>
      <c r="R4155" s="1"/>
      <c r="S4155" s="1"/>
      <c r="T4155" s="1"/>
      <c r="U4155" s="1"/>
      <c r="V4155" s="1"/>
      <c r="W4155" s="1"/>
      <c r="X4155" s="1"/>
      <c r="Y4155" s="1"/>
      <c r="Z4155" s="1"/>
      <c r="AA4155" s="1"/>
      <c r="AB4155" s="1"/>
      <c r="AC4155" s="1"/>
      <c r="AD4155" s="1"/>
      <c r="AE4155" s="1"/>
      <c r="AF4155" s="1"/>
      <c r="AG4155" s="1"/>
      <c r="AH4155" s="1"/>
    </row>
    <row r="4156" ht="12.75" hidden="1" customHeight="1" outlineLevel="1">
      <c r="A4156" s="17">
        <v>41736.0</v>
      </c>
      <c r="B4156" s="1"/>
      <c r="C4156" s="1" t="s">
        <v>339</v>
      </c>
      <c r="D4156" s="74"/>
      <c r="E4156" s="67"/>
      <c r="F4156" s="75"/>
      <c r="G4156" s="67"/>
      <c r="H4156" s="68"/>
      <c r="I4156" s="76"/>
      <c r="J4156" s="67"/>
      <c r="K4156" s="7" t="s">
        <v>1737</v>
      </c>
      <c r="L4156" s="77"/>
      <c r="M4156" s="79"/>
      <c r="N4156" s="1"/>
      <c r="O4156" s="1"/>
      <c r="P4156" s="1"/>
      <c r="Q4156" s="1"/>
      <c r="R4156" s="1"/>
      <c r="S4156" s="1"/>
      <c r="T4156" s="1"/>
      <c r="U4156" s="1"/>
      <c r="V4156" s="1"/>
      <c r="W4156" s="1"/>
      <c r="X4156" s="1"/>
      <c r="Y4156" s="1"/>
      <c r="Z4156" s="1"/>
      <c r="AA4156" s="1"/>
      <c r="AB4156" s="1"/>
      <c r="AC4156" s="1"/>
      <c r="AD4156" s="1"/>
      <c r="AE4156" s="1"/>
      <c r="AF4156" s="1"/>
      <c r="AG4156" s="1"/>
      <c r="AH4156" s="1"/>
    </row>
    <row r="4157" ht="12.75" hidden="1" customHeight="1" outlineLevel="1">
      <c r="A4157" s="17">
        <v>41736.0</v>
      </c>
      <c r="B4157" s="1"/>
      <c r="C4157" s="1" t="s">
        <v>429</v>
      </c>
      <c r="D4157" s="74"/>
      <c r="E4157" s="67"/>
      <c r="F4157" s="75"/>
      <c r="G4157" s="67"/>
      <c r="H4157" s="68"/>
      <c r="I4157" s="76"/>
      <c r="J4157" s="67"/>
      <c r="K4157" s="7" t="s">
        <v>1686</v>
      </c>
      <c r="L4157" s="77"/>
      <c r="M4157" s="79"/>
      <c r="N4157" s="1"/>
      <c r="O4157" s="1"/>
      <c r="P4157" s="1"/>
      <c r="Q4157" s="1"/>
      <c r="R4157" s="1"/>
      <c r="S4157" s="1"/>
      <c r="T4157" s="1"/>
      <c r="U4157" s="1"/>
      <c r="V4157" s="1"/>
      <c r="W4157" s="1"/>
      <c r="X4157" s="1"/>
      <c r="Y4157" s="1"/>
      <c r="Z4157" s="1"/>
      <c r="AA4157" s="1"/>
      <c r="AB4157" s="1"/>
      <c r="AC4157" s="1"/>
      <c r="AD4157" s="1"/>
      <c r="AE4157" s="1"/>
      <c r="AF4157" s="1"/>
      <c r="AG4157" s="1"/>
      <c r="AH4157" s="1"/>
    </row>
    <row r="4158" ht="12.75" hidden="1" customHeight="1" outlineLevel="1">
      <c r="A4158" s="17">
        <v>41736.0</v>
      </c>
      <c r="B4158" s="1"/>
      <c r="C4158" s="1" t="s">
        <v>431</v>
      </c>
      <c r="D4158" s="74"/>
      <c r="E4158" s="67"/>
      <c r="F4158" s="75"/>
      <c r="G4158" s="67"/>
      <c r="H4158" s="68"/>
      <c r="I4158" s="76"/>
      <c r="J4158" s="67"/>
      <c r="K4158" s="7" t="s">
        <v>1126</v>
      </c>
      <c r="L4158" s="77"/>
      <c r="M4158" s="79"/>
      <c r="N4158" s="1"/>
      <c r="O4158" s="1"/>
      <c r="P4158" s="1"/>
      <c r="Q4158" s="1"/>
      <c r="R4158" s="1"/>
      <c r="S4158" s="1"/>
      <c r="T4158" s="1"/>
      <c r="U4158" s="1"/>
      <c r="V4158" s="1"/>
      <c r="W4158" s="1"/>
      <c r="X4158" s="1"/>
      <c r="Y4158" s="1"/>
      <c r="Z4158" s="1"/>
      <c r="AA4158" s="1"/>
      <c r="AB4158" s="1"/>
      <c r="AC4158" s="1"/>
      <c r="AD4158" s="1"/>
      <c r="AE4158" s="1"/>
      <c r="AF4158" s="1"/>
      <c r="AG4158" s="1"/>
      <c r="AH4158" s="1"/>
    </row>
    <row r="4159" ht="12.75" hidden="1" customHeight="1" outlineLevel="1">
      <c r="A4159" s="17">
        <v>41736.0</v>
      </c>
      <c r="B4159" s="1"/>
      <c r="C4159" s="1" t="s">
        <v>433</v>
      </c>
      <c r="D4159" s="74"/>
      <c r="E4159" s="67"/>
      <c r="F4159" s="75"/>
      <c r="G4159" s="67"/>
      <c r="H4159" s="68"/>
      <c r="I4159" s="76"/>
      <c r="J4159" s="67"/>
      <c r="K4159" s="7" t="s">
        <v>1103</v>
      </c>
      <c r="L4159" s="77"/>
      <c r="M4159" s="79"/>
      <c r="N4159" s="1"/>
      <c r="O4159" s="1"/>
      <c r="P4159" s="1"/>
      <c r="Q4159" s="1"/>
      <c r="R4159" s="1"/>
      <c r="S4159" s="1"/>
      <c r="T4159" s="1"/>
      <c r="U4159" s="1"/>
      <c r="V4159" s="1"/>
      <c r="W4159" s="1"/>
      <c r="X4159" s="1"/>
      <c r="Y4159" s="1"/>
      <c r="Z4159" s="1"/>
      <c r="AA4159" s="1"/>
      <c r="AB4159" s="1"/>
      <c r="AC4159" s="1"/>
      <c r="AD4159" s="1"/>
      <c r="AE4159" s="1"/>
      <c r="AF4159" s="1"/>
      <c r="AG4159" s="1"/>
      <c r="AH4159" s="1"/>
    </row>
    <row r="4160" ht="12.75" hidden="1" customHeight="1" outlineLevel="1">
      <c r="A4160" s="17">
        <v>41736.0</v>
      </c>
      <c r="B4160" s="1"/>
      <c r="C4160" s="1" t="s">
        <v>435</v>
      </c>
      <c r="D4160" s="74"/>
      <c r="E4160" s="67"/>
      <c r="F4160" s="75"/>
      <c r="G4160" s="67"/>
      <c r="H4160" s="68"/>
      <c r="I4160" s="76"/>
      <c r="J4160" s="67"/>
      <c r="K4160" s="7" t="s">
        <v>1507</v>
      </c>
      <c r="L4160" s="77"/>
      <c r="M4160" s="79"/>
      <c r="N4160" s="1"/>
      <c r="O4160" s="1"/>
      <c r="P4160" s="1"/>
      <c r="Q4160" s="1"/>
      <c r="R4160" s="1"/>
      <c r="S4160" s="1"/>
      <c r="T4160" s="1"/>
      <c r="U4160" s="1"/>
      <c r="V4160" s="1"/>
      <c r="W4160" s="1"/>
      <c r="X4160" s="1"/>
      <c r="Y4160" s="1"/>
      <c r="Z4160" s="1"/>
      <c r="AA4160" s="1"/>
      <c r="AB4160" s="1"/>
      <c r="AC4160" s="1"/>
      <c r="AD4160" s="1"/>
      <c r="AE4160" s="1"/>
      <c r="AF4160" s="1"/>
      <c r="AG4160" s="1"/>
      <c r="AH4160" s="1"/>
    </row>
    <row r="4161" ht="12.75" hidden="1" customHeight="1" outlineLevel="1">
      <c r="A4161" s="17">
        <v>41737.0</v>
      </c>
      <c r="B4161" s="1"/>
      <c r="C4161" s="1" t="s">
        <v>339</v>
      </c>
      <c r="D4161" s="74"/>
      <c r="E4161" s="67"/>
      <c r="F4161" s="75"/>
      <c r="G4161" s="67"/>
      <c r="H4161" s="68"/>
      <c r="I4161" s="76"/>
      <c r="J4161" s="67"/>
      <c r="K4161" s="7" t="s">
        <v>1740</v>
      </c>
      <c r="L4161" s="77"/>
      <c r="M4161" s="79"/>
      <c r="N4161" s="1"/>
      <c r="O4161" s="1"/>
      <c r="P4161" s="1"/>
      <c r="Q4161" s="1"/>
      <c r="R4161" s="1"/>
      <c r="S4161" s="1"/>
      <c r="T4161" s="1"/>
      <c r="U4161" s="1"/>
      <c r="V4161" s="1"/>
      <c r="W4161" s="1"/>
      <c r="X4161" s="1"/>
      <c r="Y4161" s="1"/>
      <c r="Z4161" s="1"/>
      <c r="AA4161" s="1"/>
      <c r="AB4161" s="1"/>
      <c r="AC4161" s="1"/>
      <c r="AD4161" s="1"/>
      <c r="AE4161" s="1"/>
      <c r="AF4161" s="1"/>
      <c r="AG4161" s="1"/>
      <c r="AH4161" s="1"/>
    </row>
    <row r="4162" ht="12.75" hidden="1" customHeight="1" outlineLevel="1">
      <c r="A4162" s="17">
        <v>41737.0</v>
      </c>
      <c r="B4162" s="1"/>
      <c r="C4162" s="1" t="s">
        <v>429</v>
      </c>
      <c r="D4162" s="74"/>
      <c r="E4162" s="67"/>
      <c r="F4162" s="75"/>
      <c r="G4162" s="67"/>
      <c r="H4162" s="68"/>
      <c r="I4162" s="76"/>
      <c r="J4162" s="67"/>
      <c r="K4162" s="7" t="s">
        <v>1686</v>
      </c>
      <c r="L4162" s="77"/>
      <c r="M4162" s="79"/>
      <c r="N4162" s="1"/>
      <c r="O4162" s="1"/>
      <c r="P4162" s="1"/>
      <c r="Q4162" s="1"/>
      <c r="R4162" s="1"/>
      <c r="S4162" s="1"/>
      <c r="T4162" s="1"/>
      <c r="U4162" s="1"/>
      <c r="V4162" s="1"/>
      <c r="W4162" s="1"/>
      <c r="X4162" s="1"/>
      <c r="Y4162" s="1"/>
      <c r="Z4162" s="1"/>
      <c r="AA4162" s="1"/>
      <c r="AB4162" s="1"/>
      <c r="AC4162" s="1"/>
      <c r="AD4162" s="1"/>
      <c r="AE4162" s="1"/>
      <c r="AF4162" s="1"/>
      <c r="AG4162" s="1"/>
      <c r="AH4162" s="1"/>
    </row>
    <row r="4163" ht="12.75" hidden="1" customHeight="1" outlineLevel="1">
      <c r="A4163" s="17">
        <v>41737.0</v>
      </c>
      <c r="B4163" s="1"/>
      <c r="C4163" s="1" t="s">
        <v>431</v>
      </c>
      <c r="D4163" s="74"/>
      <c r="E4163" s="67"/>
      <c r="F4163" s="75"/>
      <c r="G4163" s="67"/>
      <c r="H4163" s="68"/>
      <c r="I4163" s="76"/>
      <c r="J4163" s="67"/>
      <c r="K4163" s="7" t="s">
        <v>1126</v>
      </c>
      <c r="L4163" s="77"/>
      <c r="M4163" s="79"/>
      <c r="N4163" s="1"/>
      <c r="O4163" s="1"/>
      <c r="P4163" s="1"/>
      <c r="Q4163" s="1"/>
      <c r="R4163" s="1"/>
      <c r="S4163" s="1"/>
      <c r="T4163" s="1"/>
      <c r="U4163" s="1"/>
      <c r="V4163" s="1"/>
      <c r="W4163" s="1"/>
      <c r="X4163" s="1"/>
      <c r="Y4163" s="1"/>
      <c r="Z4163" s="1"/>
      <c r="AA4163" s="1"/>
      <c r="AB4163" s="1"/>
      <c r="AC4163" s="1"/>
      <c r="AD4163" s="1"/>
      <c r="AE4163" s="1"/>
      <c r="AF4163" s="1"/>
      <c r="AG4163" s="1"/>
      <c r="AH4163" s="1"/>
    </row>
    <row r="4164" ht="12.75" hidden="1" customHeight="1" outlineLevel="1">
      <c r="A4164" s="17">
        <v>41737.0</v>
      </c>
      <c r="B4164" s="1"/>
      <c r="C4164" s="1" t="s">
        <v>433</v>
      </c>
      <c r="D4164" s="74"/>
      <c r="E4164" s="67"/>
      <c r="F4164" s="75"/>
      <c r="G4164" s="67"/>
      <c r="H4164" s="68"/>
      <c r="I4164" s="76"/>
      <c r="J4164" s="67"/>
      <c r="K4164" s="7" t="s">
        <v>1103</v>
      </c>
      <c r="L4164" s="77"/>
      <c r="M4164" s="79"/>
      <c r="N4164" s="1"/>
      <c r="O4164" s="1"/>
      <c r="P4164" s="1"/>
      <c r="Q4164" s="1"/>
      <c r="R4164" s="1"/>
      <c r="S4164" s="1"/>
      <c r="T4164" s="1"/>
      <c r="U4164" s="1"/>
      <c r="V4164" s="1"/>
      <c r="W4164" s="1"/>
      <c r="X4164" s="1"/>
      <c r="Y4164" s="1"/>
      <c r="Z4164" s="1"/>
      <c r="AA4164" s="1"/>
      <c r="AB4164" s="1"/>
      <c r="AC4164" s="1"/>
      <c r="AD4164" s="1"/>
      <c r="AE4164" s="1"/>
      <c r="AF4164" s="1"/>
      <c r="AG4164" s="1"/>
      <c r="AH4164" s="1"/>
    </row>
    <row r="4165" ht="12.75" hidden="1" customHeight="1" outlineLevel="1">
      <c r="A4165" s="17">
        <v>41737.0</v>
      </c>
      <c r="B4165" s="1"/>
      <c r="C4165" s="1" t="s">
        <v>435</v>
      </c>
      <c r="D4165" s="74"/>
      <c r="E4165" s="67"/>
      <c r="F4165" s="75"/>
      <c r="G4165" s="67"/>
      <c r="H4165" s="68"/>
      <c r="I4165" s="76"/>
      <c r="J4165" s="67"/>
      <c r="K4165" s="7" t="s">
        <v>1507</v>
      </c>
      <c r="L4165" s="77"/>
      <c r="M4165" s="79"/>
      <c r="N4165" s="1"/>
      <c r="O4165" s="1"/>
      <c r="P4165" s="1"/>
      <c r="Q4165" s="1"/>
      <c r="R4165" s="1"/>
      <c r="S4165" s="1"/>
      <c r="T4165" s="1"/>
      <c r="U4165" s="1"/>
      <c r="V4165" s="1"/>
      <c r="W4165" s="1"/>
      <c r="X4165" s="1"/>
      <c r="Y4165" s="1"/>
      <c r="Z4165" s="1"/>
      <c r="AA4165" s="1"/>
      <c r="AB4165" s="1"/>
      <c r="AC4165" s="1"/>
      <c r="AD4165" s="1"/>
      <c r="AE4165" s="1"/>
      <c r="AF4165" s="1"/>
      <c r="AG4165" s="1"/>
      <c r="AH4165" s="1"/>
    </row>
    <row r="4166" ht="12.75" hidden="1" customHeight="1" outlineLevel="1">
      <c r="A4166" s="17">
        <v>41738.0</v>
      </c>
      <c r="B4166" s="1"/>
      <c r="C4166" s="1" t="s">
        <v>339</v>
      </c>
      <c r="D4166" s="74"/>
      <c r="E4166" s="67"/>
      <c r="F4166" s="75"/>
      <c r="G4166" s="67"/>
      <c r="H4166" s="68"/>
      <c r="I4166" s="76"/>
      <c r="J4166" s="67"/>
      <c r="K4166" s="7" t="s">
        <v>1742</v>
      </c>
      <c r="L4166" s="77"/>
      <c r="M4166" s="79"/>
      <c r="N4166" s="1"/>
      <c r="O4166" s="1"/>
      <c r="P4166" s="1"/>
      <c r="Q4166" s="1"/>
      <c r="R4166" s="1"/>
      <c r="S4166" s="1"/>
      <c r="T4166" s="1"/>
      <c r="U4166" s="1"/>
      <c r="V4166" s="1"/>
      <c r="W4166" s="1"/>
      <c r="X4166" s="1"/>
      <c r="Y4166" s="1"/>
      <c r="Z4166" s="1"/>
      <c r="AA4166" s="1"/>
      <c r="AB4166" s="1"/>
      <c r="AC4166" s="1"/>
      <c r="AD4166" s="1"/>
      <c r="AE4166" s="1"/>
      <c r="AF4166" s="1"/>
      <c r="AG4166" s="1"/>
      <c r="AH4166" s="1"/>
    </row>
    <row r="4167" ht="12.75" hidden="1" customHeight="1" outlineLevel="1">
      <c r="A4167" s="17">
        <v>41738.0</v>
      </c>
      <c r="B4167" s="1"/>
      <c r="C4167" s="1" t="s">
        <v>429</v>
      </c>
      <c r="D4167" s="74"/>
      <c r="E4167" s="67"/>
      <c r="F4167" s="75"/>
      <c r="G4167" s="67"/>
      <c r="H4167" s="68"/>
      <c r="I4167" s="76"/>
      <c r="J4167" s="67"/>
      <c r="K4167" s="7" t="s">
        <v>1686</v>
      </c>
      <c r="L4167" s="77"/>
      <c r="M4167" s="79"/>
      <c r="N4167" s="1"/>
      <c r="O4167" s="1"/>
      <c r="P4167" s="1"/>
      <c r="Q4167" s="1"/>
      <c r="R4167" s="1"/>
      <c r="S4167" s="1"/>
      <c r="T4167" s="1"/>
      <c r="U4167" s="1"/>
      <c r="V4167" s="1"/>
      <c r="W4167" s="1"/>
      <c r="X4167" s="1"/>
      <c r="Y4167" s="1"/>
      <c r="Z4167" s="1"/>
      <c r="AA4167" s="1"/>
      <c r="AB4167" s="1"/>
      <c r="AC4167" s="1"/>
      <c r="AD4167" s="1"/>
      <c r="AE4167" s="1"/>
      <c r="AF4167" s="1"/>
      <c r="AG4167" s="1"/>
      <c r="AH4167" s="1"/>
    </row>
    <row r="4168" ht="12.75" hidden="1" customHeight="1" outlineLevel="1">
      <c r="A4168" s="17">
        <v>41738.0</v>
      </c>
      <c r="B4168" s="1"/>
      <c r="C4168" s="1" t="s">
        <v>431</v>
      </c>
      <c r="D4168" s="74"/>
      <c r="E4168" s="67"/>
      <c r="F4168" s="75"/>
      <c r="G4168" s="67"/>
      <c r="H4168" s="68"/>
      <c r="I4168" s="76"/>
      <c r="J4168" s="67"/>
      <c r="K4168" s="7" t="s">
        <v>1126</v>
      </c>
      <c r="L4168" s="77"/>
      <c r="M4168" s="79"/>
      <c r="N4168" s="1"/>
      <c r="O4168" s="1"/>
      <c r="P4168" s="1"/>
      <c r="Q4168" s="1"/>
      <c r="R4168" s="1"/>
      <c r="S4168" s="1"/>
      <c r="T4168" s="1"/>
      <c r="U4168" s="1"/>
      <c r="V4168" s="1"/>
      <c r="W4168" s="1"/>
      <c r="X4168" s="1"/>
      <c r="Y4168" s="1"/>
      <c r="Z4168" s="1"/>
      <c r="AA4168" s="1"/>
      <c r="AB4168" s="1"/>
      <c r="AC4168" s="1"/>
      <c r="AD4168" s="1"/>
      <c r="AE4168" s="1"/>
      <c r="AF4168" s="1"/>
      <c r="AG4168" s="1"/>
      <c r="AH4168" s="1"/>
    </row>
    <row r="4169" ht="12.75" hidden="1" customHeight="1" outlineLevel="1">
      <c r="A4169" s="17">
        <v>41738.0</v>
      </c>
      <c r="B4169" s="1"/>
      <c r="C4169" s="1" t="s">
        <v>433</v>
      </c>
      <c r="D4169" s="74"/>
      <c r="E4169" s="67"/>
      <c r="F4169" s="75"/>
      <c r="G4169" s="67"/>
      <c r="H4169" s="68"/>
      <c r="I4169" s="76"/>
      <c r="J4169" s="67"/>
      <c r="K4169" s="7" t="s">
        <v>1103</v>
      </c>
      <c r="L4169" s="77"/>
      <c r="M4169" s="79"/>
      <c r="N4169" s="1"/>
      <c r="O4169" s="1"/>
      <c r="P4169" s="1"/>
      <c r="Q4169" s="1"/>
      <c r="R4169" s="1"/>
      <c r="S4169" s="1"/>
      <c r="T4169" s="1"/>
      <c r="U4169" s="1"/>
      <c r="V4169" s="1"/>
      <c r="W4169" s="1"/>
      <c r="X4169" s="1"/>
      <c r="Y4169" s="1"/>
      <c r="Z4169" s="1"/>
      <c r="AA4169" s="1"/>
      <c r="AB4169" s="1"/>
      <c r="AC4169" s="1"/>
      <c r="AD4169" s="1"/>
      <c r="AE4169" s="1"/>
      <c r="AF4169" s="1"/>
      <c r="AG4169" s="1"/>
      <c r="AH4169" s="1"/>
    </row>
    <row r="4170" ht="12.75" hidden="1" customHeight="1" outlineLevel="1">
      <c r="A4170" s="17">
        <v>41738.0</v>
      </c>
      <c r="B4170" s="1"/>
      <c r="C4170" s="1" t="s">
        <v>435</v>
      </c>
      <c r="D4170" s="74"/>
      <c r="E4170" s="67"/>
      <c r="F4170" s="75"/>
      <c r="G4170" s="67"/>
      <c r="H4170" s="68"/>
      <c r="I4170" s="76"/>
      <c r="J4170" s="67"/>
      <c r="K4170" s="7" t="s">
        <v>1507</v>
      </c>
      <c r="L4170" s="77"/>
      <c r="M4170" s="79"/>
      <c r="N4170" s="1"/>
      <c r="O4170" s="1"/>
      <c r="P4170" s="1"/>
      <c r="Q4170" s="1"/>
      <c r="R4170" s="1"/>
      <c r="S4170" s="1"/>
      <c r="T4170" s="1"/>
      <c r="U4170" s="1"/>
      <c r="V4170" s="1"/>
      <c r="W4170" s="1"/>
      <c r="X4170" s="1"/>
      <c r="Y4170" s="1"/>
      <c r="Z4170" s="1"/>
      <c r="AA4170" s="1"/>
      <c r="AB4170" s="1"/>
      <c r="AC4170" s="1"/>
      <c r="AD4170" s="1"/>
      <c r="AE4170" s="1"/>
      <c r="AF4170" s="1"/>
      <c r="AG4170" s="1"/>
      <c r="AH4170" s="1"/>
    </row>
    <row r="4171" ht="12.75" hidden="1" customHeight="1" outlineLevel="1">
      <c r="A4171" s="17">
        <v>41738.0</v>
      </c>
      <c r="B4171" s="1" t="s">
        <v>343</v>
      </c>
      <c r="C4171" s="1" t="s">
        <v>605</v>
      </c>
      <c r="D4171" s="74">
        <v>300.0</v>
      </c>
      <c r="E4171" s="67">
        <v>78.16</v>
      </c>
      <c r="F4171" s="75">
        <v>0.5140972222222222</v>
      </c>
      <c r="G4171" s="67" t="s">
        <v>453</v>
      </c>
      <c r="H4171" s="68">
        <v>1.5</v>
      </c>
      <c r="I4171" s="76"/>
      <c r="J4171" s="67">
        <f t="shared" ref="J4171:J4173" si="263">IF(B4171="SLD",D4171*E4171,-D4171*E4171)-H4171</f>
        <v>-23449.5</v>
      </c>
      <c r="K4171" s="7"/>
      <c r="L4171" s="70"/>
      <c r="M4171" s="79"/>
      <c r="N4171" s="1"/>
      <c r="O4171" s="1"/>
      <c r="P4171" s="1"/>
      <c r="Q4171" s="1"/>
      <c r="R4171" s="1"/>
      <c r="S4171" s="1"/>
      <c r="T4171" s="1"/>
      <c r="U4171" s="1"/>
      <c r="V4171" s="1"/>
      <c r="W4171" s="1"/>
      <c r="X4171" s="1"/>
      <c r="Y4171" s="1"/>
      <c r="Z4171" s="1"/>
      <c r="AA4171" s="1"/>
      <c r="AB4171" s="1"/>
      <c r="AC4171" s="1"/>
      <c r="AD4171" s="1"/>
      <c r="AE4171" s="1"/>
      <c r="AF4171" s="1"/>
      <c r="AG4171" s="1"/>
      <c r="AH4171" s="1"/>
    </row>
    <row r="4172" ht="12.75" hidden="1" customHeight="1" outlineLevel="1">
      <c r="A4172" s="17">
        <v>41738.0</v>
      </c>
      <c r="B4172" s="1" t="s">
        <v>343</v>
      </c>
      <c r="C4172" s="1" t="s">
        <v>870</v>
      </c>
      <c r="D4172" s="74">
        <v>250.0</v>
      </c>
      <c r="E4172" s="67">
        <v>85.25</v>
      </c>
      <c r="F4172" s="75">
        <v>0.5142476851851852</v>
      </c>
      <c r="G4172" s="67" t="s">
        <v>453</v>
      </c>
      <c r="H4172" s="68">
        <v>1.25</v>
      </c>
      <c r="I4172" s="76"/>
      <c r="J4172" s="67">
        <f t="shared" si="263"/>
        <v>-21313.75</v>
      </c>
      <c r="K4172" s="7"/>
      <c r="L4172" s="70"/>
      <c r="M4172" s="79"/>
      <c r="N4172" s="1"/>
      <c r="O4172" s="1"/>
      <c r="P4172" s="1"/>
      <c r="Q4172" s="1"/>
      <c r="R4172" s="1"/>
      <c r="S4172" s="1"/>
      <c r="T4172" s="1"/>
      <c r="U4172" s="1"/>
      <c r="V4172" s="1"/>
      <c r="W4172" s="1"/>
      <c r="X4172" s="1"/>
      <c r="Y4172" s="1"/>
      <c r="Z4172" s="1"/>
      <c r="AA4172" s="1"/>
      <c r="AB4172" s="1"/>
      <c r="AC4172" s="1"/>
      <c r="AD4172" s="1"/>
      <c r="AE4172" s="1"/>
      <c r="AF4172" s="1"/>
      <c r="AG4172" s="1"/>
      <c r="AH4172" s="1"/>
    </row>
    <row r="4173" ht="12.75" hidden="1" customHeight="1" outlineLevel="1">
      <c r="A4173" s="17">
        <v>41738.0</v>
      </c>
      <c r="B4173" s="1" t="s">
        <v>343</v>
      </c>
      <c r="C4173" s="1" t="s">
        <v>1082</v>
      </c>
      <c r="D4173" s="74">
        <v>10.0</v>
      </c>
      <c r="E4173" s="67">
        <v>525.81</v>
      </c>
      <c r="F4173" s="75">
        <v>0.5201157407407407</v>
      </c>
      <c r="G4173" s="67" t="s">
        <v>453</v>
      </c>
      <c r="H4173" s="68">
        <v>1.0</v>
      </c>
      <c r="I4173" s="76"/>
      <c r="J4173" s="67">
        <f t="shared" si="263"/>
        <v>-5259.1</v>
      </c>
      <c r="K4173" s="7"/>
      <c r="L4173" s="70"/>
      <c r="M4173" s="79"/>
      <c r="N4173" s="1"/>
      <c r="O4173" s="1"/>
      <c r="P4173" s="1"/>
      <c r="Q4173" s="1"/>
      <c r="R4173" s="1"/>
      <c r="S4173" s="1"/>
      <c r="T4173" s="1"/>
      <c r="U4173" s="1"/>
      <c r="V4173" s="1"/>
      <c r="W4173" s="1"/>
      <c r="X4173" s="1"/>
      <c r="Y4173" s="1"/>
      <c r="Z4173" s="1"/>
      <c r="AA4173" s="1"/>
      <c r="AB4173" s="1"/>
      <c r="AC4173" s="1"/>
      <c r="AD4173" s="1"/>
      <c r="AE4173" s="1"/>
      <c r="AF4173" s="1"/>
      <c r="AG4173" s="1"/>
      <c r="AH4173" s="1"/>
    </row>
    <row r="4174" ht="12.75" hidden="1" customHeight="1" outlineLevel="1">
      <c r="A4174" s="17">
        <v>41739.0</v>
      </c>
      <c r="B4174" s="1"/>
      <c r="C4174" s="1" t="s">
        <v>339</v>
      </c>
      <c r="D4174" s="74"/>
      <c r="E4174" s="67"/>
      <c r="F4174" s="75"/>
      <c r="G4174" s="67"/>
      <c r="H4174" s="68"/>
      <c r="I4174" s="76"/>
      <c r="J4174" s="67"/>
      <c r="K4174" s="7" t="s">
        <v>1746</v>
      </c>
      <c r="L4174" s="77"/>
      <c r="M4174" s="79"/>
      <c r="N4174" s="1"/>
      <c r="O4174" s="1"/>
      <c r="P4174" s="1"/>
      <c r="Q4174" s="1"/>
      <c r="R4174" s="1"/>
      <c r="S4174" s="1"/>
      <c r="T4174" s="1"/>
      <c r="U4174" s="1"/>
      <c r="V4174" s="1"/>
      <c r="W4174" s="1"/>
      <c r="X4174" s="1"/>
      <c r="Y4174" s="1"/>
      <c r="Z4174" s="1"/>
      <c r="AA4174" s="1"/>
      <c r="AB4174" s="1"/>
      <c r="AC4174" s="1"/>
      <c r="AD4174" s="1"/>
      <c r="AE4174" s="1"/>
      <c r="AF4174" s="1"/>
      <c r="AG4174" s="1"/>
      <c r="AH4174" s="1"/>
    </row>
    <row r="4175" ht="12.75" hidden="1" customHeight="1" outlineLevel="1">
      <c r="A4175" s="17">
        <v>41739.0</v>
      </c>
      <c r="B4175" s="1"/>
      <c r="C4175" s="1" t="s">
        <v>429</v>
      </c>
      <c r="D4175" s="74"/>
      <c r="E4175" s="67"/>
      <c r="F4175" s="75"/>
      <c r="G4175" s="67"/>
      <c r="H4175" s="68"/>
      <c r="I4175" s="76"/>
      <c r="J4175" s="67"/>
      <c r="K4175" s="7" t="s">
        <v>1686</v>
      </c>
      <c r="L4175" s="77"/>
      <c r="M4175" s="79"/>
      <c r="N4175" s="1"/>
      <c r="O4175" s="1"/>
      <c r="P4175" s="1"/>
      <c r="Q4175" s="1"/>
      <c r="R4175" s="1"/>
      <c r="S4175" s="1"/>
      <c r="T4175" s="1"/>
      <c r="U4175" s="1"/>
      <c r="V4175" s="1"/>
      <c r="W4175" s="1"/>
      <c r="X4175" s="1"/>
      <c r="Y4175" s="1"/>
      <c r="Z4175" s="1"/>
      <c r="AA4175" s="1"/>
      <c r="AB4175" s="1"/>
      <c r="AC4175" s="1"/>
      <c r="AD4175" s="1"/>
      <c r="AE4175" s="1"/>
      <c r="AF4175" s="1"/>
      <c r="AG4175" s="1"/>
      <c r="AH4175" s="1"/>
    </row>
    <row r="4176" ht="12.75" hidden="1" customHeight="1" outlineLevel="1">
      <c r="A4176" s="17">
        <v>41739.0</v>
      </c>
      <c r="B4176" s="1"/>
      <c r="C4176" s="1" t="s">
        <v>431</v>
      </c>
      <c r="D4176" s="74"/>
      <c r="E4176" s="67"/>
      <c r="F4176" s="75"/>
      <c r="G4176" s="67"/>
      <c r="H4176" s="68"/>
      <c r="I4176" s="76"/>
      <c r="J4176" s="67"/>
      <c r="K4176" s="7" t="s">
        <v>1126</v>
      </c>
      <c r="L4176" s="77"/>
      <c r="M4176" s="79"/>
      <c r="N4176" s="1"/>
      <c r="O4176" s="1"/>
      <c r="P4176" s="1"/>
      <c r="Q4176" s="1"/>
      <c r="R4176" s="1"/>
      <c r="S4176" s="1"/>
      <c r="T4176" s="1"/>
      <c r="U4176" s="1"/>
      <c r="V4176" s="1"/>
      <c r="W4176" s="1"/>
      <c r="X4176" s="1"/>
      <c r="Y4176" s="1"/>
      <c r="Z4176" s="1"/>
      <c r="AA4176" s="1"/>
      <c r="AB4176" s="1"/>
      <c r="AC4176" s="1"/>
      <c r="AD4176" s="1"/>
      <c r="AE4176" s="1"/>
      <c r="AF4176" s="1"/>
      <c r="AG4176" s="1"/>
      <c r="AH4176" s="1"/>
    </row>
    <row r="4177" ht="12.75" hidden="1" customHeight="1" outlineLevel="1">
      <c r="A4177" s="17">
        <v>41739.0</v>
      </c>
      <c r="B4177" s="1"/>
      <c r="C4177" s="1" t="s">
        <v>433</v>
      </c>
      <c r="D4177" s="74"/>
      <c r="E4177" s="67"/>
      <c r="F4177" s="75"/>
      <c r="G4177" s="67"/>
      <c r="H4177" s="68"/>
      <c r="I4177" s="76"/>
      <c r="J4177" s="67"/>
      <c r="K4177" s="7" t="s">
        <v>1103</v>
      </c>
      <c r="L4177" s="77"/>
      <c r="M4177" s="79"/>
      <c r="N4177" s="1"/>
      <c r="O4177" s="1"/>
      <c r="P4177" s="1"/>
      <c r="Q4177" s="1"/>
      <c r="R4177" s="1"/>
      <c r="S4177" s="1"/>
      <c r="T4177" s="1"/>
      <c r="U4177" s="1"/>
      <c r="V4177" s="1"/>
      <c r="W4177" s="1"/>
      <c r="X4177" s="1"/>
      <c r="Y4177" s="1"/>
      <c r="Z4177" s="1"/>
      <c r="AA4177" s="1"/>
      <c r="AB4177" s="1"/>
      <c r="AC4177" s="1"/>
      <c r="AD4177" s="1"/>
      <c r="AE4177" s="1"/>
      <c r="AF4177" s="1"/>
      <c r="AG4177" s="1"/>
      <c r="AH4177" s="1"/>
    </row>
    <row r="4178" ht="12.75" hidden="1" customHeight="1" outlineLevel="1">
      <c r="A4178" s="17">
        <v>41739.0</v>
      </c>
      <c r="B4178" s="1"/>
      <c r="C4178" s="1" t="s">
        <v>435</v>
      </c>
      <c r="D4178" s="74"/>
      <c r="E4178" s="67"/>
      <c r="F4178" s="75"/>
      <c r="G4178" s="67"/>
      <c r="H4178" s="68"/>
      <c r="I4178" s="76"/>
      <c r="J4178" s="67"/>
      <c r="K4178" s="7" t="s">
        <v>1507</v>
      </c>
      <c r="L4178" s="77"/>
      <c r="M4178" s="79"/>
      <c r="N4178" s="1"/>
      <c r="O4178" s="1"/>
      <c r="P4178" s="1"/>
      <c r="Q4178" s="1"/>
      <c r="R4178" s="1"/>
      <c r="S4178" s="1"/>
      <c r="T4178" s="1"/>
      <c r="U4178" s="1"/>
      <c r="V4178" s="1"/>
      <c r="W4178" s="1"/>
      <c r="X4178" s="1"/>
      <c r="Y4178" s="1"/>
      <c r="Z4178" s="1"/>
      <c r="AA4178" s="1"/>
      <c r="AB4178" s="1"/>
      <c r="AC4178" s="1"/>
      <c r="AD4178" s="1"/>
      <c r="AE4178" s="1"/>
      <c r="AF4178" s="1"/>
      <c r="AG4178" s="1"/>
      <c r="AH4178" s="1"/>
    </row>
    <row r="4179" ht="12.75" hidden="1" customHeight="1" outlineLevel="1">
      <c r="A4179" s="17">
        <v>41739.0</v>
      </c>
      <c r="B4179" s="1" t="s">
        <v>347</v>
      </c>
      <c r="C4179" s="1" t="s">
        <v>1725</v>
      </c>
      <c r="D4179" s="74">
        <v>200.0</v>
      </c>
      <c r="E4179" s="67">
        <v>18.5</v>
      </c>
      <c r="F4179" s="75">
        <v>0.45943287037037034</v>
      </c>
      <c r="G4179" s="67" t="s">
        <v>453</v>
      </c>
      <c r="H4179" s="68">
        <v>1.08</v>
      </c>
      <c r="I4179" s="76"/>
      <c r="J4179" s="67">
        <f>IF(B4179="SLD",D4179*E4179,-D4179*E4179)-H4179</f>
        <v>3698.92</v>
      </c>
      <c r="K4179" s="7"/>
      <c r="L4179" s="70"/>
      <c r="M4179" s="79"/>
      <c r="N4179" s="1"/>
      <c r="O4179" s="1"/>
      <c r="P4179" s="1"/>
      <c r="Q4179" s="1"/>
      <c r="R4179" s="1"/>
      <c r="S4179" s="1"/>
      <c r="T4179" s="1"/>
      <c r="U4179" s="1"/>
      <c r="V4179" s="1"/>
      <c r="W4179" s="1"/>
      <c r="X4179" s="1"/>
      <c r="Y4179" s="1"/>
      <c r="Z4179" s="1"/>
      <c r="AA4179" s="1"/>
      <c r="AB4179" s="1"/>
      <c r="AC4179" s="1"/>
      <c r="AD4179" s="1"/>
      <c r="AE4179" s="1"/>
      <c r="AF4179" s="1"/>
      <c r="AG4179" s="1"/>
      <c r="AH4179" s="1"/>
    </row>
    <row r="4180" ht="12.75" hidden="1" customHeight="1" outlineLevel="1">
      <c r="A4180" s="17">
        <v>41739.0</v>
      </c>
      <c r="B4180" s="1"/>
      <c r="C4180" s="1" t="s">
        <v>339</v>
      </c>
      <c r="D4180" s="74"/>
      <c r="E4180" s="67"/>
      <c r="F4180" s="75"/>
      <c r="G4180" s="67"/>
      <c r="H4180" s="68"/>
      <c r="I4180" s="76"/>
      <c r="J4180" s="67"/>
      <c r="K4180" s="7" t="s">
        <v>1747</v>
      </c>
      <c r="L4180" s="77"/>
      <c r="M4180" s="79"/>
      <c r="N4180" s="1"/>
      <c r="O4180" s="1"/>
      <c r="P4180" s="1"/>
      <c r="Q4180" s="1"/>
      <c r="R4180" s="1"/>
      <c r="S4180" s="1"/>
      <c r="T4180" s="1"/>
      <c r="U4180" s="1"/>
      <c r="V4180" s="1"/>
      <c r="W4180" s="1"/>
      <c r="X4180" s="1"/>
      <c r="Y4180" s="1"/>
      <c r="Z4180" s="1"/>
      <c r="AA4180" s="1"/>
      <c r="AB4180" s="1"/>
      <c r="AC4180" s="1"/>
      <c r="AD4180" s="1"/>
      <c r="AE4180" s="1"/>
      <c r="AF4180" s="1"/>
      <c r="AG4180" s="1"/>
      <c r="AH4180" s="1"/>
    </row>
    <row r="4181" ht="12.75" hidden="1" customHeight="1" outlineLevel="1">
      <c r="A4181" s="17">
        <v>41739.0</v>
      </c>
      <c r="B4181" s="1"/>
      <c r="C4181" s="1" t="s">
        <v>429</v>
      </c>
      <c r="D4181" s="74"/>
      <c r="E4181" s="67"/>
      <c r="F4181" s="75"/>
      <c r="G4181" s="67"/>
      <c r="H4181" s="68"/>
      <c r="I4181" s="76"/>
      <c r="J4181" s="67"/>
      <c r="K4181" s="7" t="s">
        <v>1686</v>
      </c>
      <c r="L4181" s="77"/>
      <c r="M4181" s="79"/>
      <c r="N4181" s="1"/>
      <c r="O4181" s="1"/>
      <c r="P4181" s="1"/>
      <c r="Q4181" s="1"/>
      <c r="R4181" s="1"/>
      <c r="S4181" s="1"/>
      <c r="T4181" s="1"/>
      <c r="U4181" s="1"/>
      <c r="V4181" s="1"/>
      <c r="W4181" s="1"/>
      <c r="X4181" s="1"/>
      <c r="Y4181" s="1"/>
      <c r="Z4181" s="1"/>
      <c r="AA4181" s="1"/>
      <c r="AB4181" s="1"/>
      <c r="AC4181" s="1"/>
      <c r="AD4181" s="1"/>
      <c r="AE4181" s="1"/>
      <c r="AF4181" s="1"/>
      <c r="AG4181" s="1"/>
      <c r="AH4181" s="1"/>
    </row>
    <row r="4182" ht="12.75" hidden="1" customHeight="1" outlineLevel="1">
      <c r="A4182" s="17">
        <v>41739.0</v>
      </c>
      <c r="B4182" s="1"/>
      <c r="C4182" s="1" t="s">
        <v>431</v>
      </c>
      <c r="D4182" s="74"/>
      <c r="E4182" s="67"/>
      <c r="F4182" s="75"/>
      <c r="G4182" s="67"/>
      <c r="H4182" s="68"/>
      <c r="I4182" s="76"/>
      <c r="J4182" s="67"/>
      <c r="K4182" s="7" t="s">
        <v>1126</v>
      </c>
      <c r="L4182" s="77"/>
      <c r="M4182" s="79"/>
      <c r="N4182" s="1"/>
      <c r="O4182" s="1"/>
      <c r="P4182" s="1"/>
      <c r="Q4182" s="1"/>
      <c r="R4182" s="1"/>
      <c r="S4182" s="1"/>
      <c r="T4182" s="1"/>
      <c r="U4182" s="1"/>
      <c r="V4182" s="1"/>
      <c r="W4182" s="1"/>
      <c r="X4182" s="1"/>
      <c r="Y4182" s="1"/>
      <c r="Z4182" s="1"/>
      <c r="AA4182" s="1"/>
      <c r="AB4182" s="1"/>
      <c r="AC4182" s="1"/>
      <c r="AD4182" s="1"/>
      <c r="AE4182" s="1"/>
      <c r="AF4182" s="1"/>
      <c r="AG4182" s="1"/>
      <c r="AH4182" s="1"/>
    </row>
    <row r="4183" ht="12.75" hidden="1" customHeight="1" outlineLevel="1">
      <c r="A4183" s="17">
        <v>41739.0</v>
      </c>
      <c r="B4183" s="1"/>
      <c r="C4183" s="1" t="s">
        <v>433</v>
      </c>
      <c r="D4183" s="74"/>
      <c r="E4183" s="67"/>
      <c r="F4183" s="75"/>
      <c r="G4183" s="67"/>
      <c r="H4183" s="68"/>
      <c r="I4183" s="76"/>
      <c r="J4183" s="67"/>
      <c r="K4183" s="7" t="s">
        <v>1103</v>
      </c>
      <c r="L4183" s="77"/>
      <c r="M4183" s="79"/>
      <c r="N4183" s="1"/>
      <c r="O4183" s="1"/>
      <c r="P4183" s="1"/>
      <c r="Q4183" s="1"/>
      <c r="R4183" s="1"/>
      <c r="S4183" s="1"/>
      <c r="T4183" s="1"/>
      <c r="U4183" s="1"/>
      <c r="V4183" s="1"/>
      <c r="W4183" s="1"/>
      <c r="X4183" s="1"/>
      <c r="Y4183" s="1"/>
      <c r="Z4183" s="1"/>
      <c r="AA4183" s="1"/>
      <c r="AB4183" s="1"/>
      <c r="AC4183" s="1"/>
      <c r="AD4183" s="1"/>
      <c r="AE4183" s="1"/>
      <c r="AF4183" s="1"/>
      <c r="AG4183" s="1"/>
      <c r="AH4183" s="1"/>
    </row>
    <row r="4184" ht="12.75" hidden="1" customHeight="1" outlineLevel="1">
      <c r="A4184" s="17">
        <v>41739.0</v>
      </c>
      <c r="B4184" s="1"/>
      <c r="C4184" s="1" t="s">
        <v>435</v>
      </c>
      <c r="D4184" s="74"/>
      <c r="E4184" s="67"/>
      <c r="F4184" s="75"/>
      <c r="G4184" s="67"/>
      <c r="H4184" s="68"/>
      <c r="I4184" s="76"/>
      <c r="J4184" s="67"/>
      <c r="K4184" s="7" t="s">
        <v>1507</v>
      </c>
      <c r="L4184" s="77"/>
      <c r="M4184" s="79"/>
      <c r="N4184" s="1"/>
      <c r="O4184" s="1"/>
      <c r="P4184" s="1"/>
      <c r="Q4184" s="1"/>
      <c r="R4184" s="1"/>
      <c r="S4184" s="1"/>
      <c r="T4184" s="1"/>
      <c r="U4184" s="1"/>
      <c r="V4184" s="1"/>
      <c r="W4184" s="1"/>
      <c r="X4184" s="1"/>
      <c r="Y4184" s="1"/>
      <c r="Z4184" s="1"/>
      <c r="AA4184" s="1"/>
      <c r="AB4184" s="1"/>
      <c r="AC4184" s="1"/>
      <c r="AD4184" s="1"/>
      <c r="AE4184" s="1"/>
      <c r="AF4184" s="1"/>
      <c r="AG4184" s="1"/>
      <c r="AH4184" s="1"/>
    </row>
    <row r="4185" ht="12.75" hidden="1" customHeight="1" outlineLevel="1">
      <c r="A4185" s="17">
        <v>41743.0</v>
      </c>
      <c r="B4185" s="1" t="s">
        <v>347</v>
      </c>
      <c r="C4185" s="1" t="s">
        <v>1725</v>
      </c>
      <c r="D4185" s="74">
        <v>300.0</v>
      </c>
      <c r="E4185" s="67">
        <v>16.58</v>
      </c>
      <c r="F4185" s="75">
        <v>0.5708564814814815</v>
      </c>
      <c r="G4185" s="67" t="s">
        <v>453</v>
      </c>
      <c r="H4185" s="68">
        <v>1.31</v>
      </c>
      <c r="I4185" s="76"/>
      <c r="J4185" s="67">
        <f>IF(B4185="SLD",D4185*E4185,-D4185*E4185)-H4185</f>
        <v>4972.69</v>
      </c>
      <c r="K4185" s="7"/>
      <c r="L4185" s="70"/>
      <c r="M4185" s="79"/>
      <c r="N4185" s="1"/>
      <c r="O4185" s="1"/>
      <c r="P4185" s="1"/>
      <c r="Q4185" s="1"/>
      <c r="R4185" s="1"/>
      <c r="S4185" s="1"/>
      <c r="T4185" s="1"/>
      <c r="U4185" s="1"/>
      <c r="V4185" s="1"/>
      <c r="W4185" s="1"/>
      <c r="X4185" s="1"/>
      <c r="Y4185" s="1"/>
      <c r="Z4185" s="1"/>
      <c r="AA4185" s="1"/>
      <c r="AB4185" s="1"/>
      <c r="AC4185" s="1"/>
      <c r="AD4185" s="1"/>
      <c r="AE4185" s="1"/>
      <c r="AF4185" s="1"/>
      <c r="AG4185" s="1"/>
      <c r="AH4185" s="1"/>
    </row>
    <row r="4186" ht="12.75" hidden="1" customHeight="1" outlineLevel="1">
      <c r="A4186" s="17">
        <v>41743.0</v>
      </c>
      <c r="B4186" s="1"/>
      <c r="C4186" s="1" t="s">
        <v>339</v>
      </c>
      <c r="D4186" s="74"/>
      <c r="E4186" s="67"/>
      <c r="F4186" s="75"/>
      <c r="G4186" s="67"/>
      <c r="H4186" s="68"/>
      <c r="I4186" s="76"/>
      <c r="J4186" s="67"/>
      <c r="K4186" s="7" t="s">
        <v>1748</v>
      </c>
      <c r="L4186" s="77"/>
      <c r="M4186" s="79"/>
      <c r="N4186" s="1"/>
      <c r="O4186" s="1"/>
      <c r="P4186" s="1"/>
      <c r="Q4186" s="1"/>
      <c r="R4186" s="1"/>
      <c r="S4186" s="1"/>
      <c r="T4186" s="1"/>
      <c r="U4186" s="1"/>
      <c r="V4186" s="1"/>
      <c r="W4186" s="1"/>
      <c r="X4186" s="1"/>
      <c r="Y4186" s="1"/>
      <c r="Z4186" s="1"/>
      <c r="AA4186" s="1"/>
      <c r="AB4186" s="1"/>
      <c r="AC4186" s="1"/>
      <c r="AD4186" s="1"/>
      <c r="AE4186" s="1"/>
      <c r="AF4186" s="1"/>
      <c r="AG4186" s="1"/>
      <c r="AH4186" s="1"/>
    </row>
    <row r="4187" ht="12.75" hidden="1" customHeight="1" outlineLevel="1">
      <c r="A4187" s="17">
        <v>41743.0</v>
      </c>
      <c r="B4187" s="1"/>
      <c r="C4187" s="1" t="s">
        <v>429</v>
      </c>
      <c r="D4187" s="74"/>
      <c r="E4187" s="67"/>
      <c r="F4187" s="75"/>
      <c r="G4187" s="67"/>
      <c r="H4187" s="68"/>
      <c r="I4187" s="76"/>
      <c r="J4187" s="67"/>
      <c r="K4187" s="7" t="s">
        <v>1686</v>
      </c>
      <c r="L4187" s="77"/>
      <c r="M4187" s="79"/>
      <c r="N4187" s="1"/>
      <c r="O4187" s="1"/>
      <c r="P4187" s="1"/>
      <c r="Q4187" s="1"/>
      <c r="R4187" s="1"/>
      <c r="S4187" s="1"/>
      <c r="T4187" s="1"/>
      <c r="U4187" s="1"/>
      <c r="V4187" s="1"/>
      <c r="W4187" s="1"/>
      <c r="X4187" s="1"/>
      <c r="Y4187" s="1"/>
      <c r="Z4187" s="1"/>
      <c r="AA4187" s="1"/>
      <c r="AB4187" s="1"/>
      <c r="AC4187" s="1"/>
      <c r="AD4187" s="1"/>
      <c r="AE4187" s="1"/>
      <c r="AF4187" s="1"/>
      <c r="AG4187" s="1"/>
      <c r="AH4187" s="1"/>
    </row>
    <row r="4188" ht="12.75" hidden="1" customHeight="1" outlineLevel="1">
      <c r="A4188" s="17">
        <v>41743.0</v>
      </c>
      <c r="B4188" s="1"/>
      <c r="C4188" s="1" t="s">
        <v>431</v>
      </c>
      <c r="D4188" s="74"/>
      <c r="E4188" s="67"/>
      <c r="F4188" s="75"/>
      <c r="G4188" s="67"/>
      <c r="H4188" s="68"/>
      <c r="I4188" s="76"/>
      <c r="J4188" s="67"/>
      <c r="K4188" s="7" t="s">
        <v>1126</v>
      </c>
      <c r="L4188" s="77"/>
      <c r="M4188" s="79"/>
      <c r="N4188" s="1"/>
      <c r="O4188" s="1"/>
      <c r="P4188" s="1"/>
      <c r="Q4188" s="1"/>
      <c r="R4188" s="1"/>
      <c r="S4188" s="1"/>
      <c r="T4188" s="1"/>
      <c r="U4188" s="1"/>
      <c r="V4188" s="1"/>
      <c r="W4188" s="1"/>
      <c r="X4188" s="1"/>
      <c r="Y4188" s="1"/>
      <c r="Z4188" s="1"/>
      <c r="AA4188" s="1"/>
      <c r="AB4188" s="1"/>
      <c r="AC4188" s="1"/>
      <c r="AD4188" s="1"/>
      <c r="AE4188" s="1"/>
      <c r="AF4188" s="1"/>
      <c r="AG4188" s="1"/>
      <c r="AH4188" s="1"/>
    </row>
    <row r="4189" ht="12.75" hidden="1" customHeight="1" outlineLevel="1">
      <c r="A4189" s="17">
        <v>41743.0</v>
      </c>
      <c r="B4189" s="1"/>
      <c r="C4189" s="1" t="s">
        <v>433</v>
      </c>
      <c r="D4189" s="74"/>
      <c r="E4189" s="67"/>
      <c r="F4189" s="75"/>
      <c r="G4189" s="67"/>
      <c r="H4189" s="68"/>
      <c r="I4189" s="76"/>
      <c r="J4189" s="67"/>
      <c r="K4189" s="7" t="s">
        <v>1103</v>
      </c>
      <c r="L4189" s="77"/>
      <c r="M4189" s="79"/>
      <c r="N4189" s="1"/>
      <c r="O4189" s="1"/>
      <c r="P4189" s="1"/>
      <c r="Q4189" s="1"/>
      <c r="R4189" s="1"/>
      <c r="S4189" s="1"/>
      <c r="T4189" s="1"/>
      <c r="U4189" s="1"/>
      <c r="V4189" s="1"/>
      <c r="W4189" s="1"/>
      <c r="X4189" s="1"/>
      <c r="Y4189" s="1"/>
      <c r="Z4189" s="1"/>
      <c r="AA4189" s="1"/>
      <c r="AB4189" s="1"/>
      <c r="AC4189" s="1"/>
      <c r="AD4189" s="1"/>
      <c r="AE4189" s="1"/>
      <c r="AF4189" s="1"/>
      <c r="AG4189" s="1"/>
      <c r="AH4189" s="1"/>
    </row>
    <row r="4190" ht="12.75" hidden="1" customHeight="1" outlineLevel="1">
      <c r="A4190" s="17">
        <v>41743.0</v>
      </c>
      <c r="B4190" s="1"/>
      <c r="C4190" s="1" t="s">
        <v>435</v>
      </c>
      <c r="D4190" s="74"/>
      <c r="E4190" s="67"/>
      <c r="F4190" s="75"/>
      <c r="G4190" s="67"/>
      <c r="H4190" s="68"/>
      <c r="I4190" s="76"/>
      <c r="J4190" s="67"/>
      <c r="K4190" s="7" t="s">
        <v>1507</v>
      </c>
      <c r="L4190" s="77"/>
      <c r="M4190" s="79"/>
      <c r="N4190" s="1"/>
      <c r="O4190" s="1"/>
      <c r="P4190" s="1"/>
      <c r="Q4190" s="1"/>
      <c r="R4190" s="1"/>
      <c r="S4190" s="1"/>
      <c r="T4190" s="1"/>
      <c r="U4190" s="1"/>
      <c r="V4190" s="1"/>
      <c r="W4190" s="1"/>
      <c r="X4190" s="1"/>
      <c r="Y4190" s="1"/>
      <c r="Z4190" s="1"/>
      <c r="AA4190" s="1"/>
      <c r="AB4190" s="1"/>
      <c r="AC4190" s="1"/>
      <c r="AD4190" s="1"/>
      <c r="AE4190" s="1"/>
      <c r="AF4190" s="1"/>
      <c r="AG4190" s="1"/>
      <c r="AH4190" s="1"/>
    </row>
    <row r="4191" ht="12.75" hidden="1" customHeight="1" outlineLevel="1">
      <c r="A4191" s="17">
        <v>41744.0</v>
      </c>
      <c r="B4191" s="1"/>
      <c r="C4191" s="1" t="s">
        <v>339</v>
      </c>
      <c r="D4191" s="74"/>
      <c r="E4191" s="67"/>
      <c r="F4191" s="75"/>
      <c r="G4191" s="67"/>
      <c r="H4191" s="68"/>
      <c r="I4191" s="76"/>
      <c r="J4191" s="67"/>
      <c r="K4191" s="7" t="s">
        <v>1749</v>
      </c>
      <c r="L4191" s="77"/>
      <c r="M4191" s="79"/>
      <c r="N4191" s="1"/>
      <c r="O4191" s="1"/>
      <c r="P4191" s="1"/>
      <c r="Q4191" s="1"/>
      <c r="R4191" s="1"/>
      <c r="S4191" s="1"/>
      <c r="T4191" s="1"/>
      <c r="U4191" s="1"/>
      <c r="V4191" s="1"/>
      <c r="W4191" s="1"/>
      <c r="X4191" s="1"/>
      <c r="Y4191" s="1"/>
      <c r="Z4191" s="1"/>
      <c r="AA4191" s="1"/>
      <c r="AB4191" s="1"/>
      <c r="AC4191" s="1"/>
      <c r="AD4191" s="1"/>
      <c r="AE4191" s="1"/>
      <c r="AF4191" s="1"/>
      <c r="AG4191" s="1"/>
      <c r="AH4191" s="1"/>
    </row>
    <row r="4192" ht="12.75" hidden="1" customHeight="1" outlineLevel="1">
      <c r="A4192" s="17">
        <v>41744.0</v>
      </c>
      <c r="B4192" s="1"/>
      <c r="C4192" s="1" t="s">
        <v>429</v>
      </c>
      <c r="D4192" s="74"/>
      <c r="E4192" s="67"/>
      <c r="F4192" s="75"/>
      <c r="G4192" s="67"/>
      <c r="H4192" s="68"/>
      <c r="I4192" s="76"/>
      <c r="J4192" s="67"/>
      <c r="K4192" s="7" t="s">
        <v>1686</v>
      </c>
      <c r="L4192" s="77"/>
      <c r="M4192" s="79"/>
      <c r="N4192" s="1"/>
      <c r="O4192" s="1"/>
      <c r="P4192" s="1"/>
      <c r="Q4192" s="1"/>
      <c r="R4192" s="1"/>
      <c r="S4192" s="1"/>
      <c r="T4192" s="1"/>
      <c r="U4192" s="1"/>
      <c r="V4192" s="1"/>
      <c r="W4192" s="1"/>
      <c r="X4192" s="1"/>
      <c r="Y4192" s="1"/>
      <c r="Z4192" s="1"/>
      <c r="AA4192" s="1"/>
      <c r="AB4192" s="1"/>
      <c r="AC4192" s="1"/>
      <c r="AD4192" s="1"/>
      <c r="AE4192" s="1"/>
      <c r="AF4192" s="1"/>
      <c r="AG4192" s="1"/>
      <c r="AH4192" s="1"/>
    </row>
    <row r="4193" ht="12.75" hidden="1" customHeight="1" outlineLevel="1">
      <c r="A4193" s="17">
        <v>41744.0</v>
      </c>
      <c r="B4193" s="1"/>
      <c r="C4193" s="1" t="s">
        <v>431</v>
      </c>
      <c r="D4193" s="74"/>
      <c r="E4193" s="67"/>
      <c r="F4193" s="75"/>
      <c r="G4193" s="67"/>
      <c r="H4193" s="68"/>
      <c r="I4193" s="76"/>
      <c r="J4193" s="67"/>
      <c r="K4193" s="7" t="s">
        <v>1126</v>
      </c>
      <c r="L4193" s="77"/>
      <c r="M4193" s="79"/>
      <c r="N4193" s="1"/>
      <c r="O4193" s="1"/>
      <c r="P4193" s="1"/>
      <c r="Q4193" s="1"/>
      <c r="R4193" s="1"/>
      <c r="S4193" s="1"/>
      <c r="T4193" s="1"/>
      <c r="U4193" s="1"/>
      <c r="V4193" s="1"/>
      <c r="W4193" s="1"/>
      <c r="X4193" s="1"/>
      <c r="Y4193" s="1"/>
      <c r="Z4193" s="1"/>
      <c r="AA4193" s="1"/>
      <c r="AB4193" s="1"/>
      <c r="AC4193" s="1"/>
      <c r="AD4193" s="1"/>
      <c r="AE4193" s="1"/>
      <c r="AF4193" s="1"/>
      <c r="AG4193" s="1"/>
      <c r="AH4193" s="1"/>
    </row>
    <row r="4194" ht="12.75" hidden="1" customHeight="1" outlineLevel="1">
      <c r="A4194" s="17">
        <v>41744.0</v>
      </c>
      <c r="B4194" s="1"/>
      <c r="C4194" s="1" t="s">
        <v>433</v>
      </c>
      <c r="D4194" s="74"/>
      <c r="E4194" s="67"/>
      <c r="F4194" s="75"/>
      <c r="G4194" s="67"/>
      <c r="H4194" s="68"/>
      <c r="I4194" s="76"/>
      <c r="J4194" s="67"/>
      <c r="K4194" s="7" t="s">
        <v>1103</v>
      </c>
      <c r="L4194" s="77"/>
      <c r="M4194" s="79"/>
      <c r="N4194" s="1"/>
      <c r="O4194" s="1"/>
      <c r="P4194" s="1"/>
      <c r="Q4194" s="1"/>
      <c r="R4194" s="1"/>
      <c r="S4194" s="1"/>
      <c r="T4194" s="1"/>
      <c r="U4194" s="1"/>
      <c r="V4194" s="1"/>
      <c r="W4194" s="1"/>
      <c r="X4194" s="1"/>
      <c r="Y4194" s="1"/>
      <c r="Z4194" s="1"/>
      <c r="AA4194" s="1"/>
      <c r="AB4194" s="1"/>
      <c r="AC4194" s="1"/>
      <c r="AD4194" s="1"/>
      <c r="AE4194" s="1"/>
      <c r="AF4194" s="1"/>
      <c r="AG4194" s="1"/>
      <c r="AH4194" s="1"/>
    </row>
    <row r="4195" ht="12.75" hidden="1" customHeight="1" outlineLevel="1">
      <c r="A4195" s="17">
        <v>41744.0</v>
      </c>
      <c r="B4195" s="1"/>
      <c r="C4195" s="1" t="s">
        <v>435</v>
      </c>
      <c r="D4195" s="74"/>
      <c r="E4195" s="67"/>
      <c r="F4195" s="75"/>
      <c r="G4195" s="67"/>
      <c r="H4195" s="68"/>
      <c r="I4195" s="76"/>
      <c r="J4195" s="67"/>
      <c r="K4195" s="7" t="s">
        <v>1507</v>
      </c>
      <c r="L4195" s="77"/>
      <c r="M4195" s="79"/>
      <c r="N4195" s="1"/>
      <c r="O4195" s="1"/>
      <c r="P4195" s="1"/>
      <c r="Q4195" s="1"/>
      <c r="R4195" s="1"/>
      <c r="S4195" s="1"/>
      <c r="T4195" s="1"/>
      <c r="U4195" s="1"/>
      <c r="V4195" s="1"/>
      <c r="W4195" s="1"/>
      <c r="X4195" s="1"/>
      <c r="Y4195" s="1"/>
      <c r="Z4195" s="1"/>
      <c r="AA4195" s="1"/>
      <c r="AB4195" s="1"/>
      <c r="AC4195" s="1"/>
      <c r="AD4195" s="1"/>
      <c r="AE4195" s="1"/>
      <c r="AF4195" s="1"/>
      <c r="AG4195" s="1"/>
      <c r="AH4195" s="1"/>
    </row>
    <row r="4196" ht="12.75" hidden="1" customHeight="1" outlineLevel="1">
      <c r="A4196" s="17">
        <v>41745.0</v>
      </c>
      <c r="B4196" s="1"/>
      <c r="C4196" s="1" t="s">
        <v>339</v>
      </c>
      <c r="D4196" s="74"/>
      <c r="E4196" s="67"/>
      <c r="F4196" s="75"/>
      <c r="G4196" s="67"/>
      <c r="H4196" s="68"/>
      <c r="I4196" s="76"/>
      <c r="J4196" s="67"/>
      <c r="K4196" s="7" t="s">
        <v>1750</v>
      </c>
      <c r="L4196" s="77"/>
      <c r="M4196" s="79"/>
      <c r="N4196" s="1"/>
      <c r="O4196" s="1"/>
      <c r="P4196" s="1"/>
      <c r="Q4196" s="1"/>
      <c r="R4196" s="1"/>
      <c r="S4196" s="1"/>
      <c r="T4196" s="1"/>
      <c r="U4196" s="1"/>
      <c r="V4196" s="1"/>
      <c r="W4196" s="1"/>
      <c r="X4196" s="1"/>
      <c r="Y4196" s="1"/>
      <c r="Z4196" s="1"/>
      <c r="AA4196" s="1"/>
      <c r="AB4196" s="1"/>
      <c r="AC4196" s="1"/>
      <c r="AD4196" s="1"/>
      <c r="AE4196" s="1"/>
      <c r="AF4196" s="1"/>
      <c r="AG4196" s="1"/>
      <c r="AH4196" s="1"/>
    </row>
    <row r="4197" ht="12.75" hidden="1" customHeight="1" outlineLevel="1">
      <c r="A4197" s="17">
        <v>41745.0</v>
      </c>
      <c r="B4197" s="1"/>
      <c r="C4197" s="1" t="s">
        <v>429</v>
      </c>
      <c r="D4197" s="74"/>
      <c r="E4197" s="67"/>
      <c r="F4197" s="75"/>
      <c r="G4197" s="67"/>
      <c r="H4197" s="68"/>
      <c r="I4197" s="76"/>
      <c r="J4197" s="67"/>
      <c r="K4197" s="7" t="s">
        <v>1686</v>
      </c>
      <c r="L4197" s="77"/>
      <c r="M4197" s="79"/>
      <c r="N4197" s="1"/>
      <c r="O4197" s="1"/>
      <c r="P4197" s="1"/>
      <c r="Q4197" s="1"/>
      <c r="R4197" s="1"/>
      <c r="S4197" s="1"/>
      <c r="T4197" s="1"/>
      <c r="U4197" s="1"/>
      <c r="V4197" s="1"/>
      <c r="W4197" s="1"/>
      <c r="X4197" s="1"/>
      <c r="Y4197" s="1"/>
      <c r="Z4197" s="1"/>
      <c r="AA4197" s="1"/>
      <c r="AB4197" s="1"/>
      <c r="AC4197" s="1"/>
      <c r="AD4197" s="1"/>
      <c r="AE4197" s="1"/>
      <c r="AF4197" s="1"/>
      <c r="AG4197" s="1"/>
      <c r="AH4197" s="1"/>
    </row>
    <row r="4198" ht="12.75" hidden="1" customHeight="1" outlineLevel="1">
      <c r="A4198" s="17">
        <v>41745.0</v>
      </c>
      <c r="B4198" s="1"/>
      <c r="C4198" s="1" t="s">
        <v>431</v>
      </c>
      <c r="D4198" s="74"/>
      <c r="E4198" s="67"/>
      <c r="F4198" s="75"/>
      <c r="G4198" s="67"/>
      <c r="H4198" s="68"/>
      <c r="I4198" s="76"/>
      <c r="J4198" s="67"/>
      <c r="K4198" s="7" t="s">
        <v>1126</v>
      </c>
      <c r="L4198" s="77"/>
      <c r="M4198" s="79"/>
      <c r="N4198" s="1"/>
      <c r="O4198" s="1"/>
      <c r="P4198" s="1"/>
      <c r="Q4198" s="1"/>
      <c r="R4198" s="1"/>
      <c r="S4198" s="1"/>
      <c r="T4198" s="1"/>
      <c r="U4198" s="1"/>
      <c r="V4198" s="1"/>
      <c r="W4198" s="1"/>
      <c r="X4198" s="1"/>
      <c r="Y4198" s="1"/>
      <c r="Z4198" s="1"/>
      <c r="AA4198" s="1"/>
      <c r="AB4198" s="1"/>
      <c r="AC4198" s="1"/>
      <c r="AD4198" s="1"/>
      <c r="AE4198" s="1"/>
      <c r="AF4198" s="1"/>
      <c r="AG4198" s="1"/>
      <c r="AH4198" s="1"/>
    </row>
    <row r="4199" ht="12.75" hidden="1" customHeight="1" outlineLevel="1">
      <c r="A4199" s="17">
        <v>41745.0</v>
      </c>
      <c r="B4199" s="1"/>
      <c r="C4199" s="1" t="s">
        <v>433</v>
      </c>
      <c r="D4199" s="74"/>
      <c r="E4199" s="67"/>
      <c r="F4199" s="75"/>
      <c r="G4199" s="67"/>
      <c r="H4199" s="68"/>
      <c r="I4199" s="76"/>
      <c r="J4199" s="67"/>
      <c r="K4199" s="7" t="s">
        <v>1103</v>
      </c>
      <c r="L4199" s="77"/>
      <c r="M4199" s="79"/>
      <c r="N4199" s="1"/>
      <c r="O4199" s="1"/>
      <c r="P4199" s="1"/>
      <c r="Q4199" s="1"/>
      <c r="R4199" s="1"/>
      <c r="S4199" s="1"/>
      <c r="T4199" s="1"/>
      <c r="U4199" s="1"/>
      <c r="V4199" s="1"/>
      <c r="W4199" s="1"/>
      <c r="X4199" s="1"/>
      <c r="Y4199" s="1"/>
      <c r="Z4199" s="1"/>
      <c r="AA4199" s="1"/>
      <c r="AB4199" s="1"/>
      <c r="AC4199" s="1"/>
      <c r="AD4199" s="1"/>
      <c r="AE4199" s="1"/>
      <c r="AF4199" s="1"/>
      <c r="AG4199" s="1"/>
      <c r="AH4199" s="1"/>
    </row>
    <row r="4200" ht="12.75" hidden="1" customHeight="1" outlineLevel="1">
      <c r="A4200" s="17">
        <v>41745.0</v>
      </c>
      <c r="B4200" s="1"/>
      <c r="C4200" s="1" t="s">
        <v>435</v>
      </c>
      <c r="D4200" s="74"/>
      <c r="E4200" s="67"/>
      <c r="F4200" s="75"/>
      <c r="G4200" s="67"/>
      <c r="H4200" s="68"/>
      <c r="I4200" s="76"/>
      <c r="J4200" s="67"/>
      <c r="K4200" s="7" t="s">
        <v>1507</v>
      </c>
      <c r="L4200" s="77"/>
      <c r="M4200" s="79"/>
      <c r="N4200" s="1"/>
      <c r="O4200" s="1"/>
      <c r="P4200" s="1"/>
      <c r="Q4200" s="1"/>
      <c r="R4200" s="1"/>
      <c r="S4200" s="1"/>
      <c r="T4200" s="1"/>
      <c r="U4200" s="1"/>
      <c r="V4200" s="1"/>
      <c r="W4200" s="1"/>
      <c r="X4200" s="1"/>
      <c r="Y4200" s="1"/>
      <c r="Z4200" s="1"/>
      <c r="AA4200" s="1"/>
      <c r="AB4200" s="1"/>
      <c r="AC4200" s="1"/>
      <c r="AD4200" s="1"/>
      <c r="AE4200" s="1"/>
      <c r="AF4200" s="1"/>
      <c r="AG4200" s="1"/>
      <c r="AH4200" s="1"/>
    </row>
    <row r="4201" ht="12.75" hidden="1" customHeight="1" outlineLevel="1">
      <c r="A4201" s="17">
        <v>41746.0</v>
      </c>
      <c r="B4201" s="1"/>
      <c r="C4201" s="1" t="s">
        <v>339</v>
      </c>
      <c r="D4201" s="74"/>
      <c r="E4201" s="67"/>
      <c r="F4201" s="75"/>
      <c r="G4201" s="67"/>
      <c r="H4201" s="68"/>
      <c r="I4201" s="76"/>
      <c r="J4201" s="67"/>
      <c r="K4201" s="7" t="s">
        <v>1751</v>
      </c>
      <c r="L4201" s="77"/>
      <c r="M4201" s="79"/>
      <c r="N4201" s="1"/>
      <c r="O4201" s="1"/>
      <c r="P4201" s="1"/>
      <c r="Q4201" s="1"/>
      <c r="R4201" s="1"/>
      <c r="S4201" s="1"/>
      <c r="T4201" s="1"/>
      <c r="U4201" s="1"/>
      <c r="V4201" s="1"/>
      <c r="W4201" s="1"/>
      <c r="X4201" s="1"/>
      <c r="Y4201" s="1"/>
      <c r="Z4201" s="1"/>
      <c r="AA4201" s="1"/>
      <c r="AB4201" s="1"/>
      <c r="AC4201" s="1"/>
      <c r="AD4201" s="1"/>
      <c r="AE4201" s="1"/>
      <c r="AF4201" s="1"/>
      <c r="AG4201" s="1"/>
      <c r="AH4201" s="1"/>
    </row>
    <row r="4202" ht="12.75" hidden="1" customHeight="1" outlineLevel="1">
      <c r="A4202" s="17">
        <v>41746.0</v>
      </c>
      <c r="B4202" s="1"/>
      <c r="C4202" s="1" t="s">
        <v>429</v>
      </c>
      <c r="D4202" s="74"/>
      <c r="E4202" s="67"/>
      <c r="F4202" s="75"/>
      <c r="G4202" s="67"/>
      <c r="H4202" s="68"/>
      <c r="I4202" s="76"/>
      <c r="J4202" s="67"/>
      <c r="K4202" s="7" t="s">
        <v>1686</v>
      </c>
      <c r="L4202" s="77"/>
      <c r="M4202" s="79"/>
      <c r="N4202" s="1"/>
      <c r="O4202" s="1"/>
      <c r="P4202" s="1"/>
      <c r="Q4202" s="1"/>
      <c r="R4202" s="1"/>
      <c r="S4202" s="1"/>
      <c r="T4202" s="1"/>
      <c r="U4202" s="1"/>
      <c r="V4202" s="1"/>
      <c r="W4202" s="1"/>
      <c r="X4202" s="1"/>
      <c r="Y4202" s="1"/>
      <c r="Z4202" s="1"/>
      <c r="AA4202" s="1"/>
      <c r="AB4202" s="1"/>
      <c r="AC4202" s="1"/>
      <c r="AD4202" s="1"/>
      <c r="AE4202" s="1"/>
      <c r="AF4202" s="1"/>
      <c r="AG4202" s="1"/>
      <c r="AH4202" s="1"/>
    </row>
    <row r="4203" ht="12.75" hidden="1" customHeight="1" outlineLevel="1">
      <c r="A4203" s="17">
        <v>41746.0</v>
      </c>
      <c r="B4203" s="1"/>
      <c r="C4203" s="1" t="s">
        <v>431</v>
      </c>
      <c r="D4203" s="74"/>
      <c r="E4203" s="67"/>
      <c r="F4203" s="75"/>
      <c r="G4203" s="67"/>
      <c r="H4203" s="68"/>
      <c r="I4203" s="76"/>
      <c r="J4203" s="67"/>
      <c r="K4203" s="7" t="s">
        <v>1126</v>
      </c>
      <c r="L4203" s="77"/>
      <c r="M4203" s="79"/>
      <c r="N4203" s="1"/>
      <c r="O4203" s="1"/>
      <c r="P4203" s="1"/>
      <c r="Q4203" s="1"/>
      <c r="R4203" s="1"/>
      <c r="S4203" s="1"/>
      <c r="T4203" s="1"/>
      <c r="U4203" s="1"/>
      <c r="V4203" s="1"/>
      <c r="W4203" s="1"/>
      <c r="X4203" s="1"/>
      <c r="Y4203" s="1"/>
      <c r="Z4203" s="1"/>
      <c r="AA4203" s="1"/>
      <c r="AB4203" s="1"/>
      <c r="AC4203" s="1"/>
      <c r="AD4203" s="1"/>
      <c r="AE4203" s="1"/>
      <c r="AF4203" s="1"/>
      <c r="AG4203" s="1"/>
      <c r="AH4203" s="1"/>
    </row>
    <row r="4204" ht="12.75" hidden="1" customHeight="1" outlineLevel="1">
      <c r="A4204" s="17">
        <v>41746.0</v>
      </c>
      <c r="B4204" s="1"/>
      <c r="C4204" s="1" t="s">
        <v>433</v>
      </c>
      <c r="D4204" s="74"/>
      <c r="E4204" s="67"/>
      <c r="F4204" s="75"/>
      <c r="G4204" s="67"/>
      <c r="H4204" s="68"/>
      <c r="I4204" s="76"/>
      <c r="J4204" s="67"/>
      <c r="K4204" s="7" t="s">
        <v>1103</v>
      </c>
      <c r="L4204" s="77"/>
      <c r="M4204" s="79"/>
      <c r="N4204" s="1"/>
      <c r="O4204" s="1"/>
      <c r="P4204" s="1"/>
      <c r="Q4204" s="1"/>
      <c r="R4204" s="1"/>
      <c r="S4204" s="1"/>
      <c r="T4204" s="1"/>
      <c r="U4204" s="1"/>
      <c r="V4204" s="1"/>
      <c r="W4204" s="1"/>
      <c r="X4204" s="1"/>
      <c r="Y4204" s="1"/>
      <c r="Z4204" s="1"/>
      <c r="AA4204" s="1"/>
      <c r="AB4204" s="1"/>
      <c r="AC4204" s="1"/>
      <c r="AD4204" s="1"/>
      <c r="AE4204" s="1"/>
      <c r="AF4204" s="1"/>
      <c r="AG4204" s="1"/>
      <c r="AH4204" s="1"/>
    </row>
    <row r="4205" ht="12.75" hidden="1" customHeight="1" outlineLevel="1">
      <c r="A4205" s="17">
        <v>41746.0</v>
      </c>
      <c r="B4205" s="1"/>
      <c r="C4205" s="1" t="s">
        <v>435</v>
      </c>
      <c r="D4205" s="74"/>
      <c r="E4205" s="67"/>
      <c r="F4205" s="75"/>
      <c r="G4205" s="67"/>
      <c r="H4205" s="68"/>
      <c r="I4205" s="76"/>
      <c r="J4205" s="67"/>
      <c r="K4205" s="7" t="s">
        <v>1507</v>
      </c>
      <c r="L4205" s="77"/>
      <c r="M4205" s="79"/>
      <c r="N4205" s="1"/>
      <c r="O4205" s="1"/>
      <c r="P4205" s="1"/>
      <c r="Q4205" s="1"/>
      <c r="R4205" s="1"/>
      <c r="S4205" s="1"/>
      <c r="T4205" s="1"/>
      <c r="U4205" s="1"/>
      <c r="V4205" s="1"/>
      <c r="W4205" s="1"/>
      <c r="X4205" s="1"/>
      <c r="Y4205" s="1"/>
      <c r="Z4205" s="1"/>
      <c r="AA4205" s="1"/>
      <c r="AB4205" s="1"/>
      <c r="AC4205" s="1"/>
      <c r="AD4205" s="1"/>
      <c r="AE4205" s="1"/>
      <c r="AF4205" s="1"/>
      <c r="AG4205" s="1"/>
      <c r="AH4205" s="1"/>
    </row>
    <row r="4206" ht="12.75" hidden="1" customHeight="1" outlineLevel="1">
      <c r="A4206" s="17">
        <v>41747.0</v>
      </c>
      <c r="B4206" s="1"/>
      <c r="C4206" s="1" t="s">
        <v>339</v>
      </c>
      <c r="D4206" s="74"/>
      <c r="E4206" s="67"/>
      <c r="F4206" s="75"/>
      <c r="G4206" s="67"/>
      <c r="H4206" s="68"/>
      <c r="I4206" s="76"/>
      <c r="J4206" s="67"/>
      <c r="K4206" s="7" t="s">
        <v>1752</v>
      </c>
      <c r="L4206" s="77"/>
      <c r="M4206" s="79"/>
      <c r="N4206" s="1"/>
      <c r="O4206" s="1"/>
      <c r="P4206" s="1"/>
      <c r="Q4206" s="1"/>
      <c r="R4206" s="1"/>
      <c r="S4206" s="1"/>
      <c r="T4206" s="1"/>
      <c r="U4206" s="1"/>
      <c r="V4206" s="1"/>
      <c r="W4206" s="1"/>
      <c r="X4206" s="1"/>
      <c r="Y4206" s="1"/>
      <c r="Z4206" s="1"/>
      <c r="AA4206" s="1"/>
      <c r="AB4206" s="1"/>
      <c r="AC4206" s="1"/>
      <c r="AD4206" s="1"/>
      <c r="AE4206" s="1"/>
      <c r="AF4206" s="1"/>
      <c r="AG4206" s="1"/>
      <c r="AH4206" s="1"/>
    </row>
    <row r="4207" ht="12.75" hidden="1" customHeight="1" outlineLevel="1">
      <c r="A4207" s="17">
        <v>41747.0</v>
      </c>
      <c r="B4207" s="1"/>
      <c r="C4207" s="1" t="s">
        <v>429</v>
      </c>
      <c r="D4207" s="74"/>
      <c r="E4207" s="67"/>
      <c r="F4207" s="75"/>
      <c r="G4207" s="67"/>
      <c r="H4207" s="68"/>
      <c r="I4207" s="76"/>
      <c r="J4207" s="67"/>
      <c r="K4207" s="7" t="s">
        <v>1686</v>
      </c>
      <c r="L4207" s="77"/>
      <c r="M4207" s="79"/>
      <c r="N4207" s="1"/>
      <c r="O4207" s="1"/>
      <c r="P4207" s="1"/>
      <c r="Q4207" s="1"/>
      <c r="R4207" s="1"/>
      <c r="S4207" s="1"/>
      <c r="T4207" s="1"/>
      <c r="U4207" s="1"/>
      <c r="V4207" s="1"/>
      <c r="W4207" s="1"/>
      <c r="X4207" s="1"/>
      <c r="Y4207" s="1"/>
      <c r="Z4207" s="1"/>
      <c r="AA4207" s="1"/>
      <c r="AB4207" s="1"/>
      <c r="AC4207" s="1"/>
      <c r="AD4207" s="1"/>
      <c r="AE4207" s="1"/>
      <c r="AF4207" s="1"/>
      <c r="AG4207" s="1"/>
      <c r="AH4207" s="1"/>
    </row>
    <row r="4208" ht="12.75" hidden="1" customHeight="1" outlineLevel="1">
      <c r="A4208" s="17">
        <v>41747.0</v>
      </c>
      <c r="B4208" s="1"/>
      <c r="C4208" s="1" t="s">
        <v>431</v>
      </c>
      <c r="D4208" s="74"/>
      <c r="E4208" s="67"/>
      <c r="F4208" s="75"/>
      <c r="G4208" s="67"/>
      <c r="H4208" s="68"/>
      <c r="I4208" s="76"/>
      <c r="J4208" s="67"/>
      <c r="K4208" s="7" t="s">
        <v>1126</v>
      </c>
      <c r="L4208" s="77"/>
      <c r="M4208" s="79"/>
      <c r="N4208" s="1"/>
      <c r="O4208" s="1"/>
      <c r="P4208" s="1"/>
      <c r="Q4208" s="1"/>
      <c r="R4208" s="1"/>
      <c r="S4208" s="1"/>
      <c r="T4208" s="1"/>
      <c r="U4208" s="1"/>
      <c r="V4208" s="1"/>
      <c r="W4208" s="1"/>
      <c r="X4208" s="1"/>
      <c r="Y4208" s="1"/>
      <c r="Z4208" s="1"/>
      <c r="AA4208" s="1"/>
      <c r="AB4208" s="1"/>
      <c r="AC4208" s="1"/>
      <c r="AD4208" s="1"/>
      <c r="AE4208" s="1"/>
      <c r="AF4208" s="1"/>
      <c r="AG4208" s="1"/>
      <c r="AH4208" s="1"/>
    </row>
    <row r="4209" ht="12.75" hidden="1" customHeight="1" outlineLevel="1">
      <c r="A4209" s="17">
        <v>41747.0</v>
      </c>
      <c r="B4209" s="1"/>
      <c r="C4209" s="1" t="s">
        <v>433</v>
      </c>
      <c r="D4209" s="74"/>
      <c r="E4209" s="67"/>
      <c r="F4209" s="75"/>
      <c r="G4209" s="67"/>
      <c r="H4209" s="68"/>
      <c r="I4209" s="76"/>
      <c r="J4209" s="67"/>
      <c r="K4209" s="7" t="s">
        <v>1103</v>
      </c>
      <c r="L4209" s="77"/>
      <c r="M4209" s="79"/>
      <c r="N4209" s="1"/>
      <c r="O4209" s="1"/>
      <c r="P4209" s="1"/>
      <c r="Q4209" s="1"/>
      <c r="R4209" s="1"/>
      <c r="S4209" s="1"/>
      <c r="T4209" s="1"/>
      <c r="U4209" s="1"/>
      <c r="V4209" s="1"/>
      <c r="W4209" s="1"/>
      <c r="X4209" s="1"/>
      <c r="Y4209" s="1"/>
      <c r="Z4209" s="1"/>
      <c r="AA4209" s="1"/>
      <c r="AB4209" s="1"/>
      <c r="AC4209" s="1"/>
      <c r="AD4209" s="1"/>
      <c r="AE4209" s="1"/>
      <c r="AF4209" s="1"/>
      <c r="AG4209" s="1"/>
      <c r="AH4209" s="1"/>
    </row>
    <row r="4210" ht="12.75" hidden="1" customHeight="1" outlineLevel="1">
      <c r="A4210" s="17">
        <v>41747.0</v>
      </c>
      <c r="B4210" s="1"/>
      <c r="C4210" s="1" t="s">
        <v>435</v>
      </c>
      <c r="D4210" s="74"/>
      <c r="E4210" s="67"/>
      <c r="F4210" s="75"/>
      <c r="G4210" s="67"/>
      <c r="H4210" s="68"/>
      <c r="I4210" s="76"/>
      <c r="J4210" s="67"/>
      <c r="K4210" s="7" t="s">
        <v>1507</v>
      </c>
      <c r="L4210" s="77"/>
      <c r="M4210" s="79"/>
      <c r="N4210" s="1"/>
      <c r="O4210" s="1"/>
      <c r="P4210" s="1"/>
      <c r="Q4210" s="1"/>
      <c r="R4210" s="1"/>
      <c r="S4210" s="1"/>
      <c r="T4210" s="1"/>
      <c r="U4210" s="1"/>
      <c r="V4210" s="1"/>
      <c r="W4210" s="1"/>
      <c r="X4210" s="1"/>
      <c r="Y4210" s="1"/>
      <c r="Z4210" s="1"/>
      <c r="AA4210" s="1"/>
      <c r="AB4210" s="1"/>
      <c r="AC4210" s="1"/>
      <c r="AD4210" s="1"/>
      <c r="AE4210" s="1"/>
      <c r="AF4210" s="1"/>
      <c r="AG4210" s="1"/>
      <c r="AH4210" s="1"/>
    </row>
    <row r="4211" ht="12.75" hidden="1" customHeight="1" outlineLevel="1">
      <c r="A4211" s="17">
        <v>41751.0</v>
      </c>
      <c r="B4211" s="1" t="s">
        <v>347</v>
      </c>
      <c r="C4211" s="1" t="s">
        <v>1725</v>
      </c>
      <c r="D4211" s="74">
        <v>200.0</v>
      </c>
      <c r="E4211" s="67">
        <v>16.95</v>
      </c>
      <c r="F4211" s="75">
        <v>0.6491087962962964</v>
      </c>
      <c r="G4211" s="67" t="s">
        <v>453</v>
      </c>
      <c r="H4211" s="68">
        <v>1.07</v>
      </c>
      <c r="I4211" s="76"/>
      <c r="J4211" s="67">
        <f>IF(B4211="SLD",D4211*E4211,-D4211*E4211)-H4211</f>
        <v>3388.93</v>
      </c>
      <c r="K4211" s="7"/>
      <c r="L4211" s="70"/>
      <c r="M4211" s="79"/>
      <c r="N4211" s="1"/>
      <c r="O4211" s="1"/>
      <c r="P4211" s="1"/>
      <c r="Q4211" s="1"/>
      <c r="R4211" s="1"/>
      <c r="S4211" s="1"/>
      <c r="T4211" s="1"/>
      <c r="U4211" s="1"/>
      <c r="V4211" s="1"/>
      <c r="W4211" s="1"/>
      <c r="X4211" s="1"/>
      <c r="Y4211" s="1"/>
      <c r="Z4211" s="1"/>
      <c r="AA4211" s="1"/>
      <c r="AB4211" s="1"/>
      <c r="AC4211" s="1"/>
      <c r="AD4211" s="1"/>
      <c r="AE4211" s="1"/>
      <c r="AF4211" s="1"/>
      <c r="AG4211" s="1"/>
      <c r="AH4211" s="1"/>
    </row>
    <row r="4212" ht="12.75" hidden="1" customHeight="1" outlineLevel="1">
      <c r="A4212" s="17">
        <v>41751.0</v>
      </c>
      <c r="B4212" s="1"/>
      <c r="C4212" s="1" t="s">
        <v>339</v>
      </c>
      <c r="D4212" s="74"/>
      <c r="E4212" s="67"/>
      <c r="F4212" s="75"/>
      <c r="G4212" s="67"/>
      <c r="H4212" s="68"/>
      <c r="I4212" s="76"/>
      <c r="J4212" s="67"/>
      <c r="K4212" s="7" t="s">
        <v>1753</v>
      </c>
      <c r="L4212" s="77"/>
      <c r="M4212" s="79"/>
      <c r="N4212" s="1"/>
      <c r="O4212" s="1"/>
      <c r="P4212" s="1"/>
      <c r="Q4212" s="1"/>
      <c r="R4212" s="1"/>
      <c r="S4212" s="1"/>
      <c r="T4212" s="1"/>
      <c r="U4212" s="1"/>
      <c r="V4212" s="1"/>
      <c r="W4212" s="1"/>
      <c r="X4212" s="1"/>
      <c r="Y4212" s="1"/>
      <c r="Z4212" s="1"/>
      <c r="AA4212" s="1"/>
      <c r="AB4212" s="1"/>
      <c r="AC4212" s="1"/>
      <c r="AD4212" s="1"/>
      <c r="AE4212" s="1"/>
      <c r="AF4212" s="1"/>
      <c r="AG4212" s="1"/>
      <c r="AH4212" s="1"/>
    </row>
    <row r="4213" ht="12.75" hidden="1" customHeight="1" outlineLevel="1">
      <c r="A4213" s="17">
        <v>41751.0</v>
      </c>
      <c r="B4213" s="1"/>
      <c r="C4213" s="1" t="s">
        <v>429</v>
      </c>
      <c r="D4213" s="74"/>
      <c r="E4213" s="67"/>
      <c r="F4213" s="75"/>
      <c r="G4213" s="67"/>
      <c r="H4213" s="68"/>
      <c r="I4213" s="76"/>
      <c r="J4213" s="67"/>
      <c r="K4213" s="7" t="s">
        <v>1686</v>
      </c>
      <c r="L4213" s="77"/>
      <c r="M4213" s="79"/>
      <c r="N4213" s="1"/>
      <c r="O4213" s="1"/>
      <c r="P4213" s="1"/>
      <c r="Q4213" s="1"/>
      <c r="R4213" s="1"/>
      <c r="S4213" s="1"/>
      <c r="T4213" s="1"/>
      <c r="U4213" s="1"/>
      <c r="V4213" s="1"/>
      <c r="W4213" s="1"/>
      <c r="X4213" s="1"/>
      <c r="Y4213" s="1"/>
      <c r="Z4213" s="1"/>
      <c r="AA4213" s="1"/>
      <c r="AB4213" s="1"/>
      <c r="AC4213" s="1"/>
      <c r="AD4213" s="1"/>
      <c r="AE4213" s="1"/>
      <c r="AF4213" s="1"/>
      <c r="AG4213" s="1"/>
      <c r="AH4213" s="1"/>
    </row>
    <row r="4214" ht="12.75" hidden="1" customHeight="1" outlineLevel="1">
      <c r="A4214" s="17">
        <v>41751.0</v>
      </c>
      <c r="B4214" s="1"/>
      <c r="C4214" s="1" t="s">
        <v>431</v>
      </c>
      <c r="D4214" s="74"/>
      <c r="E4214" s="67"/>
      <c r="F4214" s="75"/>
      <c r="G4214" s="67"/>
      <c r="H4214" s="68"/>
      <c r="I4214" s="76"/>
      <c r="J4214" s="67"/>
      <c r="K4214" s="7" t="s">
        <v>1126</v>
      </c>
      <c r="L4214" s="77"/>
      <c r="M4214" s="79"/>
      <c r="N4214" s="1"/>
      <c r="O4214" s="1"/>
      <c r="P4214" s="1"/>
      <c r="Q4214" s="1"/>
      <c r="R4214" s="1"/>
      <c r="S4214" s="1"/>
      <c r="T4214" s="1"/>
      <c r="U4214" s="1"/>
      <c r="V4214" s="1"/>
      <c r="W4214" s="1"/>
      <c r="X4214" s="1"/>
      <c r="Y4214" s="1"/>
      <c r="Z4214" s="1"/>
      <c r="AA4214" s="1"/>
      <c r="AB4214" s="1"/>
      <c r="AC4214" s="1"/>
      <c r="AD4214" s="1"/>
      <c r="AE4214" s="1"/>
      <c r="AF4214" s="1"/>
      <c r="AG4214" s="1"/>
      <c r="AH4214" s="1"/>
    </row>
    <row r="4215" ht="12.75" hidden="1" customHeight="1" outlineLevel="1">
      <c r="A4215" s="17">
        <v>41751.0</v>
      </c>
      <c r="B4215" s="1"/>
      <c r="C4215" s="1" t="s">
        <v>433</v>
      </c>
      <c r="D4215" s="74"/>
      <c r="E4215" s="67"/>
      <c r="F4215" s="75"/>
      <c r="G4215" s="67"/>
      <c r="H4215" s="68"/>
      <c r="I4215" s="76"/>
      <c r="J4215" s="67"/>
      <c r="K4215" s="7" t="s">
        <v>1103</v>
      </c>
      <c r="L4215" s="77"/>
      <c r="M4215" s="79"/>
      <c r="N4215" s="1"/>
      <c r="O4215" s="1"/>
      <c r="P4215" s="1"/>
      <c r="Q4215" s="1"/>
      <c r="R4215" s="1"/>
      <c r="S4215" s="1"/>
      <c r="T4215" s="1"/>
      <c r="U4215" s="1"/>
      <c r="V4215" s="1"/>
      <c r="W4215" s="1"/>
      <c r="X4215" s="1"/>
      <c r="Y4215" s="1"/>
      <c r="Z4215" s="1"/>
      <c r="AA4215" s="1"/>
      <c r="AB4215" s="1"/>
      <c r="AC4215" s="1"/>
      <c r="AD4215" s="1"/>
      <c r="AE4215" s="1"/>
      <c r="AF4215" s="1"/>
      <c r="AG4215" s="1"/>
      <c r="AH4215" s="1"/>
    </row>
    <row r="4216" ht="12.75" hidden="1" customHeight="1" outlineLevel="1">
      <c r="A4216" s="17">
        <v>41751.0</v>
      </c>
      <c r="B4216" s="1"/>
      <c r="C4216" s="1" t="s">
        <v>435</v>
      </c>
      <c r="D4216" s="74"/>
      <c r="E4216" s="67"/>
      <c r="F4216" s="75"/>
      <c r="G4216" s="67"/>
      <c r="H4216" s="68"/>
      <c r="I4216" s="76"/>
      <c r="J4216" s="67"/>
      <c r="K4216" s="7" t="s">
        <v>1507</v>
      </c>
      <c r="L4216" s="77"/>
      <c r="M4216" s="79"/>
      <c r="N4216" s="1"/>
      <c r="O4216" s="1"/>
      <c r="P4216" s="1"/>
      <c r="Q4216" s="1"/>
      <c r="R4216" s="1"/>
      <c r="S4216" s="1"/>
      <c r="T4216" s="1"/>
      <c r="U4216" s="1"/>
      <c r="V4216" s="1"/>
      <c r="W4216" s="1"/>
      <c r="X4216" s="1"/>
      <c r="Y4216" s="1"/>
      <c r="Z4216" s="1"/>
      <c r="AA4216" s="1"/>
      <c r="AB4216" s="1"/>
      <c r="AC4216" s="1"/>
      <c r="AD4216" s="1"/>
      <c r="AE4216" s="1"/>
      <c r="AF4216" s="1"/>
      <c r="AG4216" s="1"/>
      <c r="AH4216" s="1"/>
    </row>
    <row r="4217" ht="12.75" hidden="1" customHeight="1" outlineLevel="1">
      <c r="A4217" s="17">
        <v>41752.0</v>
      </c>
      <c r="B4217" s="1"/>
      <c r="C4217" s="1" t="s">
        <v>339</v>
      </c>
      <c r="D4217" s="74"/>
      <c r="E4217" s="67"/>
      <c r="F4217" s="75"/>
      <c r="G4217" s="67"/>
      <c r="H4217" s="68"/>
      <c r="I4217" s="76"/>
      <c r="J4217" s="67"/>
      <c r="K4217" s="7" t="s">
        <v>1754</v>
      </c>
      <c r="L4217" s="77"/>
      <c r="M4217" s="79"/>
      <c r="N4217" s="1"/>
      <c r="O4217" s="1"/>
      <c r="P4217" s="1"/>
      <c r="Q4217" s="1"/>
      <c r="R4217" s="1"/>
      <c r="S4217" s="1"/>
      <c r="T4217" s="1"/>
      <c r="U4217" s="1"/>
      <c r="V4217" s="1"/>
      <c r="W4217" s="1"/>
      <c r="X4217" s="1"/>
      <c r="Y4217" s="1"/>
      <c r="Z4217" s="1"/>
      <c r="AA4217" s="1"/>
      <c r="AB4217" s="1"/>
      <c r="AC4217" s="1"/>
      <c r="AD4217" s="1"/>
      <c r="AE4217" s="1"/>
      <c r="AF4217" s="1"/>
      <c r="AG4217" s="1"/>
      <c r="AH4217" s="1"/>
    </row>
    <row r="4218" ht="12.75" hidden="1" customHeight="1" outlineLevel="1">
      <c r="A4218" s="17">
        <v>41752.0</v>
      </c>
      <c r="B4218" s="1"/>
      <c r="C4218" s="1" t="s">
        <v>429</v>
      </c>
      <c r="D4218" s="74"/>
      <c r="E4218" s="67"/>
      <c r="F4218" s="75"/>
      <c r="G4218" s="67"/>
      <c r="H4218" s="68"/>
      <c r="I4218" s="76"/>
      <c r="J4218" s="67"/>
      <c r="K4218" s="7" t="s">
        <v>1686</v>
      </c>
      <c r="L4218" s="77"/>
      <c r="M4218" s="79"/>
      <c r="N4218" s="1"/>
      <c r="O4218" s="1"/>
      <c r="P4218" s="1"/>
      <c r="Q4218" s="1"/>
      <c r="R4218" s="1"/>
      <c r="S4218" s="1"/>
      <c r="T4218" s="1"/>
      <c r="U4218" s="1"/>
      <c r="V4218" s="1"/>
      <c r="W4218" s="1"/>
      <c r="X4218" s="1"/>
      <c r="Y4218" s="1"/>
      <c r="Z4218" s="1"/>
      <c r="AA4218" s="1"/>
      <c r="AB4218" s="1"/>
      <c r="AC4218" s="1"/>
      <c r="AD4218" s="1"/>
      <c r="AE4218" s="1"/>
      <c r="AF4218" s="1"/>
      <c r="AG4218" s="1"/>
      <c r="AH4218" s="1"/>
    </row>
    <row r="4219" ht="12.75" hidden="1" customHeight="1" outlineLevel="1">
      <c r="A4219" s="17">
        <v>41752.0</v>
      </c>
      <c r="B4219" s="1"/>
      <c r="C4219" s="1" t="s">
        <v>431</v>
      </c>
      <c r="D4219" s="74"/>
      <c r="E4219" s="67"/>
      <c r="F4219" s="75"/>
      <c r="G4219" s="67"/>
      <c r="H4219" s="68"/>
      <c r="I4219" s="76"/>
      <c r="J4219" s="67"/>
      <c r="K4219" s="7" t="s">
        <v>1126</v>
      </c>
      <c r="L4219" s="77"/>
      <c r="M4219" s="79"/>
      <c r="N4219" s="1"/>
      <c r="O4219" s="1"/>
      <c r="P4219" s="1"/>
      <c r="Q4219" s="1"/>
      <c r="R4219" s="1"/>
      <c r="S4219" s="1"/>
      <c r="T4219" s="1"/>
      <c r="U4219" s="1"/>
      <c r="V4219" s="1"/>
      <c r="W4219" s="1"/>
      <c r="X4219" s="1"/>
      <c r="Y4219" s="1"/>
      <c r="Z4219" s="1"/>
      <c r="AA4219" s="1"/>
      <c r="AB4219" s="1"/>
      <c r="AC4219" s="1"/>
      <c r="AD4219" s="1"/>
      <c r="AE4219" s="1"/>
      <c r="AF4219" s="1"/>
      <c r="AG4219" s="1"/>
      <c r="AH4219" s="1"/>
    </row>
    <row r="4220" ht="12.75" hidden="1" customHeight="1" outlineLevel="1">
      <c r="A4220" s="17">
        <v>41752.0</v>
      </c>
      <c r="B4220" s="1"/>
      <c r="C4220" s="1" t="s">
        <v>433</v>
      </c>
      <c r="D4220" s="74"/>
      <c r="E4220" s="67"/>
      <c r="F4220" s="75"/>
      <c r="G4220" s="67"/>
      <c r="H4220" s="68"/>
      <c r="I4220" s="76"/>
      <c r="J4220" s="67"/>
      <c r="K4220" s="7" t="s">
        <v>1103</v>
      </c>
      <c r="L4220" s="77"/>
      <c r="M4220" s="79"/>
      <c r="N4220" s="1"/>
      <c r="O4220" s="1"/>
      <c r="P4220" s="1"/>
      <c r="Q4220" s="1"/>
      <c r="R4220" s="1"/>
      <c r="S4220" s="1"/>
      <c r="T4220" s="1"/>
      <c r="U4220" s="1"/>
      <c r="V4220" s="1"/>
      <c r="W4220" s="1"/>
      <c r="X4220" s="1"/>
      <c r="Y4220" s="1"/>
      <c r="Z4220" s="1"/>
      <c r="AA4220" s="1"/>
      <c r="AB4220" s="1"/>
      <c r="AC4220" s="1"/>
      <c r="AD4220" s="1"/>
      <c r="AE4220" s="1"/>
      <c r="AF4220" s="1"/>
      <c r="AG4220" s="1"/>
      <c r="AH4220" s="1"/>
    </row>
    <row r="4221" ht="12.75" hidden="1" customHeight="1" outlineLevel="1">
      <c r="A4221" s="17">
        <v>41752.0</v>
      </c>
      <c r="B4221" s="1"/>
      <c r="C4221" s="1" t="s">
        <v>435</v>
      </c>
      <c r="D4221" s="74"/>
      <c r="E4221" s="67"/>
      <c r="F4221" s="75"/>
      <c r="G4221" s="67"/>
      <c r="H4221" s="68"/>
      <c r="I4221" s="76"/>
      <c r="J4221" s="67"/>
      <c r="K4221" s="7" t="s">
        <v>1507</v>
      </c>
      <c r="L4221" s="77"/>
      <c r="M4221" s="79"/>
      <c r="N4221" s="1"/>
      <c r="O4221" s="1"/>
      <c r="P4221" s="1"/>
      <c r="Q4221" s="1"/>
      <c r="R4221" s="1"/>
      <c r="S4221" s="1"/>
      <c r="T4221" s="1"/>
      <c r="U4221" s="1"/>
      <c r="V4221" s="1"/>
      <c r="W4221" s="1"/>
      <c r="X4221" s="1"/>
      <c r="Y4221" s="1"/>
      <c r="Z4221" s="1"/>
      <c r="AA4221" s="1"/>
      <c r="AB4221" s="1"/>
      <c r="AC4221" s="1"/>
      <c r="AD4221" s="1"/>
      <c r="AE4221" s="1"/>
      <c r="AF4221" s="1"/>
      <c r="AG4221" s="1"/>
      <c r="AH4221" s="1"/>
    </row>
    <row r="4222" ht="12.75" hidden="1" customHeight="1" outlineLevel="1">
      <c r="A4222" s="17">
        <v>41754.0</v>
      </c>
      <c r="B4222" s="1"/>
      <c r="C4222" s="1" t="s">
        <v>339</v>
      </c>
      <c r="D4222" s="74"/>
      <c r="E4222" s="67"/>
      <c r="F4222" s="75"/>
      <c r="G4222" s="67"/>
      <c r="H4222" s="68"/>
      <c r="I4222" s="76"/>
      <c r="J4222" s="67"/>
      <c r="K4222" s="7" t="s">
        <v>1755</v>
      </c>
      <c r="L4222" s="77"/>
      <c r="M4222" s="79"/>
      <c r="N4222" s="1"/>
      <c r="O4222" s="1"/>
      <c r="P4222" s="1"/>
      <c r="Q4222" s="1"/>
      <c r="R4222" s="1"/>
      <c r="S4222" s="1"/>
      <c r="T4222" s="1"/>
      <c r="U4222" s="1"/>
      <c r="V4222" s="1"/>
      <c r="W4222" s="1"/>
      <c r="X4222" s="1"/>
      <c r="Y4222" s="1"/>
      <c r="Z4222" s="1"/>
      <c r="AA4222" s="1"/>
      <c r="AB4222" s="1"/>
      <c r="AC4222" s="1"/>
      <c r="AD4222" s="1"/>
      <c r="AE4222" s="1"/>
      <c r="AF4222" s="1"/>
      <c r="AG4222" s="1"/>
      <c r="AH4222" s="1"/>
    </row>
    <row r="4223" ht="12.75" hidden="1" customHeight="1" outlineLevel="1">
      <c r="A4223" s="17">
        <v>41754.0</v>
      </c>
      <c r="B4223" s="1"/>
      <c r="C4223" s="1" t="s">
        <v>429</v>
      </c>
      <c r="D4223" s="74"/>
      <c r="E4223" s="67"/>
      <c r="F4223" s="75"/>
      <c r="G4223" s="67"/>
      <c r="H4223" s="68"/>
      <c r="I4223" s="76"/>
      <c r="J4223" s="67"/>
      <c r="K4223" s="7" t="s">
        <v>1686</v>
      </c>
      <c r="L4223" s="77"/>
      <c r="M4223" s="79"/>
      <c r="N4223" s="1"/>
      <c r="O4223" s="1"/>
      <c r="P4223" s="1"/>
      <c r="Q4223" s="1"/>
      <c r="R4223" s="1"/>
      <c r="S4223" s="1"/>
      <c r="T4223" s="1"/>
      <c r="U4223" s="1"/>
      <c r="V4223" s="1"/>
      <c r="W4223" s="1"/>
      <c r="X4223" s="1"/>
      <c r="Y4223" s="1"/>
      <c r="Z4223" s="1"/>
      <c r="AA4223" s="1"/>
      <c r="AB4223" s="1"/>
      <c r="AC4223" s="1"/>
      <c r="AD4223" s="1"/>
      <c r="AE4223" s="1"/>
      <c r="AF4223" s="1"/>
      <c r="AG4223" s="1"/>
      <c r="AH4223" s="1"/>
    </row>
    <row r="4224" ht="12.75" hidden="1" customHeight="1" outlineLevel="1">
      <c r="A4224" s="17">
        <v>41754.0</v>
      </c>
      <c r="B4224" s="1"/>
      <c r="C4224" s="1" t="s">
        <v>431</v>
      </c>
      <c r="D4224" s="74"/>
      <c r="E4224" s="67"/>
      <c r="F4224" s="75"/>
      <c r="G4224" s="67"/>
      <c r="H4224" s="68"/>
      <c r="I4224" s="76"/>
      <c r="J4224" s="67"/>
      <c r="K4224" s="7" t="s">
        <v>1126</v>
      </c>
      <c r="L4224" s="77"/>
      <c r="M4224" s="79"/>
      <c r="N4224" s="1"/>
      <c r="O4224" s="1"/>
      <c r="P4224" s="1"/>
      <c r="Q4224" s="1"/>
      <c r="R4224" s="1"/>
      <c r="S4224" s="1"/>
      <c r="T4224" s="1"/>
      <c r="U4224" s="1"/>
      <c r="V4224" s="1"/>
      <c r="W4224" s="1"/>
      <c r="X4224" s="1"/>
      <c r="Y4224" s="1"/>
      <c r="Z4224" s="1"/>
      <c r="AA4224" s="1"/>
      <c r="AB4224" s="1"/>
      <c r="AC4224" s="1"/>
      <c r="AD4224" s="1"/>
      <c r="AE4224" s="1"/>
      <c r="AF4224" s="1"/>
      <c r="AG4224" s="1"/>
      <c r="AH4224" s="1"/>
    </row>
    <row r="4225" ht="12.75" hidden="1" customHeight="1" outlineLevel="1">
      <c r="A4225" s="17">
        <v>41754.0</v>
      </c>
      <c r="B4225" s="1"/>
      <c r="C4225" s="1" t="s">
        <v>433</v>
      </c>
      <c r="D4225" s="74"/>
      <c r="E4225" s="67"/>
      <c r="F4225" s="75"/>
      <c r="G4225" s="67"/>
      <c r="H4225" s="68"/>
      <c r="I4225" s="76"/>
      <c r="J4225" s="67"/>
      <c r="K4225" s="7" t="s">
        <v>1103</v>
      </c>
      <c r="L4225" s="77"/>
      <c r="M4225" s="79"/>
      <c r="N4225" s="1"/>
      <c r="O4225" s="1"/>
      <c r="P4225" s="1"/>
      <c r="Q4225" s="1"/>
      <c r="R4225" s="1"/>
      <c r="S4225" s="1"/>
      <c r="T4225" s="1"/>
      <c r="U4225" s="1"/>
      <c r="V4225" s="1"/>
      <c r="W4225" s="1"/>
      <c r="X4225" s="1"/>
      <c r="Y4225" s="1"/>
      <c r="Z4225" s="1"/>
      <c r="AA4225" s="1"/>
      <c r="AB4225" s="1"/>
      <c r="AC4225" s="1"/>
      <c r="AD4225" s="1"/>
      <c r="AE4225" s="1"/>
      <c r="AF4225" s="1"/>
      <c r="AG4225" s="1"/>
      <c r="AH4225" s="1"/>
    </row>
    <row r="4226" ht="12.75" hidden="1" customHeight="1" outlineLevel="1">
      <c r="A4226" s="17">
        <v>41754.0</v>
      </c>
      <c r="B4226" s="1"/>
      <c r="C4226" s="1" t="s">
        <v>435</v>
      </c>
      <c r="D4226" s="74"/>
      <c r="E4226" s="67"/>
      <c r="F4226" s="75"/>
      <c r="G4226" s="67"/>
      <c r="H4226" s="68"/>
      <c r="I4226" s="76"/>
      <c r="J4226" s="67"/>
      <c r="K4226" s="7" t="s">
        <v>1507</v>
      </c>
      <c r="L4226" s="77"/>
      <c r="M4226" s="79"/>
      <c r="N4226" s="1"/>
      <c r="O4226" s="1"/>
      <c r="P4226" s="1"/>
      <c r="Q4226" s="1"/>
      <c r="R4226" s="1"/>
      <c r="S4226" s="1"/>
      <c r="T4226" s="1"/>
      <c r="U4226" s="1"/>
      <c r="V4226" s="1"/>
      <c r="W4226" s="1"/>
      <c r="X4226" s="1"/>
      <c r="Y4226" s="1"/>
      <c r="Z4226" s="1"/>
      <c r="AA4226" s="1"/>
      <c r="AB4226" s="1"/>
      <c r="AC4226" s="1"/>
      <c r="AD4226" s="1"/>
      <c r="AE4226" s="1"/>
      <c r="AF4226" s="1"/>
      <c r="AG4226" s="1"/>
      <c r="AH4226" s="1"/>
    </row>
    <row r="4227" ht="12.75" hidden="1" customHeight="1" outlineLevel="1">
      <c r="A4227" s="17">
        <v>41758.0</v>
      </c>
      <c r="B4227" s="1" t="s">
        <v>347</v>
      </c>
      <c r="C4227" s="1" t="s">
        <v>1756</v>
      </c>
      <c r="D4227" s="74">
        <v>1400.0</v>
      </c>
      <c r="E4227" s="67">
        <v>14.41</v>
      </c>
      <c r="F4227" s="75">
        <v>0.45070601851851855</v>
      </c>
      <c r="G4227" s="67" t="s">
        <v>453</v>
      </c>
      <c r="H4227" s="68">
        <v>6.15</v>
      </c>
      <c r="I4227" s="76"/>
      <c r="J4227" s="67">
        <f>IF(B4227="SLD",D4227*E4227,-D4227*E4227)-H4227</f>
        <v>20167.85</v>
      </c>
      <c r="K4227" s="7"/>
      <c r="L4227" s="70"/>
      <c r="M4227" s="79"/>
      <c r="N4227" s="1"/>
      <c r="O4227" s="1"/>
      <c r="P4227" s="1"/>
      <c r="Q4227" s="1"/>
      <c r="R4227" s="1"/>
      <c r="S4227" s="1"/>
      <c r="T4227" s="1"/>
      <c r="U4227" s="1"/>
      <c r="V4227" s="1"/>
      <c r="W4227" s="1"/>
      <c r="X4227" s="1"/>
      <c r="Y4227" s="1"/>
      <c r="Z4227" s="1"/>
      <c r="AA4227" s="1"/>
      <c r="AB4227" s="1"/>
      <c r="AC4227" s="1"/>
      <c r="AD4227" s="1"/>
      <c r="AE4227" s="1"/>
      <c r="AF4227" s="1"/>
      <c r="AG4227" s="1"/>
      <c r="AH4227" s="1"/>
    </row>
    <row r="4228" ht="12.75" hidden="1" customHeight="1" outlineLevel="1">
      <c r="A4228" s="17">
        <v>41758.0</v>
      </c>
      <c r="B4228" s="1"/>
      <c r="C4228" s="1" t="s">
        <v>339</v>
      </c>
      <c r="D4228" s="74"/>
      <c r="E4228" s="67"/>
      <c r="F4228" s="75"/>
      <c r="G4228" s="67"/>
      <c r="H4228" s="68"/>
      <c r="I4228" s="76"/>
      <c r="J4228" s="67"/>
      <c r="K4228" s="7" t="s">
        <v>1757</v>
      </c>
      <c r="L4228" s="77"/>
      <c r="M4228" s="79"/>
      <c r="N4228" s="1"/>
      <c r="O4228" s="1"/>
      <c r="P4228" s="1"/>
      <c r="Q4228" s="1"/>
      <c r="R4228" s="1"/>
      <c r="S4228" s="1"/>
      <c r="T4228" s="1"/>
      <c r="U4228" s="1"/>
      <c r="V4228" s="1"/>
      <c r="W4228" s="1"/>
      <c r="X4228" s="1"/>
      <c r="Y4228" s="1"/>
      <c r="Z4228" s="1"/>
      <c r="AA4228" s="1"/>
      <c r="AB4228" s="1"/>
      <c r="AC4228" s="1"/>
      <c r="AD4228" s="1"/>
      <c r="AE4228" s="1"/>
      <c r="AF4228" s="1"/>
      <c r="AG4228" s="1"/>
      <c r="AH4228" s="1"/>
    </row>
    <row r="4229" ht="12.75" hidden="1" customHeight="1" outlineLevel="1">
      <c r="A4229" s="17">
        <v>41758.0</v>
      </c>
      <c r="B4229" s="1"/>
      <c r="C4229" s="1" t="s">
        <v>429</v>
      </c>
      <c r="D4229" s="74"/>
      <c r="E4229" s="67"/>
      <c r="F4229" s="75"/>
      <c r="G4229" s="67"/>
      <c r="H4229" s="68"/>
      <c r="I4229" s="76"/>
      <c r="J4229" s="67"/>
      <c r="K4229" s="7" t="s">
        <v>1686</v>
      </c>
      <c r="L4229" s="77"/>
      <c r="M4229" s="79"/>
      <c r="N4229" s="1"/>
      <c r="O4229" s="1"/>
      <c r="P4229" s="1"/>
      <c r="Q4229" s="1"/>
      <c r="R4229" s="1"/>
      <c r="S4229" s="1"/>
      <c r="T4229" s="1"/>
      <c r="U4229" s="1"/>
      <c r="V4229" s="1"/>
      <c r="W4229" s="1"/>
      <c r="X4229" s="1"/>
      <c r="Y4229" s="1"/>
      <c r="Z4229" s="1"/>
      <c r="AA4229" s="1"/>
      <c r="AB4229" s="1"/>
      <c r="AC4229" s="1"/>
      <c r="AD4229" s="1"/>
      <c r="AE4229" s="1"/>
      <c r="AF4229" s="1"/>
      <c r="AG4229" s="1"/>
      <c r="AH4229" s="1"/>
    </row>
    <row r="4230" ht="12.75" hidden="1" customHeight="1" outlineLevel="1">
      <c r="A4230" s="17">
        <v>41758.0</v>
      </c>
      <c r="B4230" s="1"/>
      <c r="C4230" s="1" t="s">
        <v>431</v>
      </c>
      <c r="D4230" s="74"/>
      <c r="E4230" s="67"/>
      <c r="F4230" s="75"/>
      <c r="G4230" s="67"/>
      <c r="H4230" s="68"/>
      <c r="I4230" s="76"/>
      <c r="J4230" s="67"/>
      <c r="K4230" s="7" t="s">
        <v>1126</v>
      </c>
      <c r="L4230" s="77"/>
      <c r="M4230" s="79"/>
      <c r="N4230" s="1"/>
      <c r="O4230" s="1"/>
      <c r="P4230" s="1"/>
      <c r="Q4230" s="1"/>
      <c r="R4230" s="1"/>
      <c r="S4230" s="1"/>
      <c r="T4230" s="1"/>
      <c r="U4230" s="1"/>
      <c r="V4230" s="1"/>
      <c r="W4230" s="1"/>
      <c r="X4230" s="1"/>
      <c r="Y4230" s="1"/>
      <c r="Z4230" s="1"/>
      <c r="AA4230" s="1"/>
      <c r="AB4230" s="1"/>
      <c r="AC4230" s="1"/>
      <c r="AD4230" s="1"/>
      <c r="AE4230" s="1"/>
      <c r="AF4230" s="1"/>
      <c r="AG4230" s="1"/>
      <c r="AH4230" s="1"/>
    </row>
    <row r="4231" ht="12.75" hidden="1" customHeight="1" outlineLevel="1">
      <c r="A4231" s="17">
        <v>41758.0</v>
      </c>
      <c r="B4231" s="1"/>
      <c r="C4231" s="1" t="s">
        <v>433</v>
      </c>
      <c r="D4231" s="74"/>
      <c r="E4231" s="67"/>
      <c r="F4231" s="75"/>
      <c r="G4231" s="67"/>
      <c r="H4231" s="68"/>
      <c r="I4231" s="76"/>
      <c r="J4231" s="67"/>
      <c r="K4231" s="7" t="s">
        <v>1103</v>
      </c>
      <c r="L4231" s="77"/>
      <c r="M4231" s="79"/>
      <c r="N4231" s="1"/>
      <c r="O4231" s="1"/>
      <c r="P4231" s="1"/>
      <c r="Q4231" s="1"/>
      <c r="R4231" s="1"/>
      <c r="S4231" s="1"/>
      <c r="T4231" s="1"/>
      <c r="U4231" s="1"/>
      <c r="V4231" s="1"/>
      <c r="W4231" s="1"/>
      <c r="X4231" s="1"/>
      <c r="Y4231" s="1"/>
      <c r="Z4231" s="1"/>
      <c r="AA4231" s="1"/>
      <c r="AB4231" s="1"/>
      <c r="AC4231" s="1"/>
      <c r="AD4231" s="1"/>
      <c r="AE4231" s="1"/>
      <c r="AF4231" s="1"/>
      <c r="AG4231" s="1"/>
      <c r="AH4231" s="1"/>
    </row>
    <row r="4232" ht="12.75" hidden="1" customHeight="1" outlineLevel="1">
      <c r="A4232" s="17">
        <v>41758.0</v>
      </c>
      <c r="B4232" s="1"/>
      <c r="C4232" s="1" t="s">
        <v>435</v>
      </c>
      <c r="D4232" s="74"/>
      <c r="E4232" s="67"/>
      <c r="F4232" s="75"/>
      <c r="G4232" s="67"/>
      <c r="H4232" s="68"/>
      <c r="I4232" s="76"/>
      <c r="J4232" s="67"/>
      <c r="K4232" s="7" t="s">
        <v>1507</v>
      </c>
      <c r="L4232" s="77"/>
      <c r="M4232" s="79"/>
      <c r="N4232" s="1"/>
      <c r="O4232" s="1"/>
      <c r="P4232" s="1"/>
      <c r="Q4232" s="1"/>
      <c r="R4232" s="1"/>
      <c r="S4232" s="1"/>
      <c r="T4232" s="1"/>
      <c r="U4232" s="1"/>
      <c r="V4232" s="1"/>
      <c r="W4232" s="1"/>
      <c r="X4232" s="1"/>
      <c r="Y4232" s="1"/>
      <c r="Z4232" s="1"/>
      <c r="AA4232" s="1"/>
      <c r="AB4232" s="1"/>
      <c r="AC4232" s="1"/>
      <c r="AD4232" s="1"/>
      <c r="AE4232" s="1"/>
      <c r="AF4232" s="1"/>
      <c r="AG4232" s="1"/>
      <c r="AH4232" s="1"/>
    </row>
    <row r="4233" ht="12.75" hidden="1" customHeight="1" outlineLevel="1">
      <c r="A4233" s="17">
        <v>41761.0</v>
      </c>
      <c r="B4233" s="1" t="s">
        <v>343</v>
      </c>
      <c r="C4233" s="1" t="s">
        <v>790</v>
      </c>
      <c r="D4233" s="74">
        <v>1300.0</v>
      </c>
      <c r="E4233" s="67">
        <v>14.68</v>
      </c>
      <c r="F4233" s="75">
        <v>0.5771875</v>
      </c>
      <c r="G4233" s="67" t="s">
        <v>453</v>
      </c>
      <c r="H4233" s="68">
        <v>5.8</v>
      </c>
      <c r="I4233" s="76"/>
      <c r="J4233" s="67">
        <f t="shared" ref="J4233:J4234" si="264">IF(B4233="SLD",D4233*E4233,-D4233*E4233)-H4233</f>
        <v>-19089.8</v>
      </c>
      <c r="K4233" s="7"/>
      <c r="L4233" s="70"/>
      <c r="M4233" s="79"/>
      <c r="N4233" s="1"/>
      <c r="O4233" s="1"/>
      <c r="P4233" s="1"/>
      <c r="Q4233" s="1"/>
      <c r="R4233" s="1"/>
      <c r="S4233" s="1"/>
      <c r="T4233" s="1"/>
      <c r="U4233" s="1"/>
      <c r="V4233" s="1"/>
      <c r="W4233" s="1"/>
      <c r="X4233" s="1"/>
      <c r="Y4233" s="1"/>
      <c r="Z4233" s="1"/>
      <c r="AA4233" s="1"/>
      <c r="AB4233" s="1"/>
      <c r="AC4233" s="1"/>
      <c r="AD4233" s="1"/>
      <c r="AE4233" s="1"/>
      <c r="AF4233" s="1"/>
      <c r="AG4233" s="1"/>
      <c r="AH4233" s="1"/>
    </row>
    <row r="4234" ht="12.75" hidden="1" customHeight="1" outlineLevel="1">
      <c r="A4234" s="17">
        <v>41761.0</v>
      </c>
      <c r="B4234" s="1" t="s">
        <v>343</v>
      </c>
      <c r="C4234" s="1" t="s">
        <v>790</v>
      </c>
      <c r="D4234" s="74">
        <v>1300.0</v>
      </c>
      <c r="E4234" s="67">
        <v>14.6</v>
      </c>
      <c r="F4234" s="75">
        <v>0.6109027777777778</v>
      </c>
      <c r="G4234" s="67" t="s">
        <v>453</v>
      </c>
      <c r="H4234" s="68">
        <v>5.8</v>
      </c>
      <c r="I4234" s="76"/>
      <c r="J4234" s="67">
        <f t="shared" si="264"/>
        <v>-18985.8</v>
      </c>
      <c r="K4234" s="7"/>
      <c r="L4234" s="70"/>
      <c r="M4234" s="79"/>
      <c r="N4234" s="1"/>
      <c r="O4234" s="1"/>
      <c r="P4234" s="1"/>
      <c r="Q4234" s="1"/>
      <c r="R4234" s="1"/>
      <c r="S4234" s="1"/>
      <c r="T4234" s="1"/>
      <c r="U4234" s="1"/>
      <c r="V4234" s="1"/>
      <c r="W4234" s="1"/>
      <c r="X4234" s="1"/>
      <c r="Y4234" s="1"/>
      <c r="Z4234" s="1"/>
      <c r="AA4234" s="1"/>
      <c r="AB4234" s="1"/>
      <c r="AC4234" s="1"/>
      <c r="AD4234" s="1"/>
      <c r="AE4234" s="1"/>
      <c r="AF4234" s="1"/>
      <c r="AG4234" s="1"/>
      <c r="AH4234" s="1"/>
    </row>
    <row r="4235" ht="12.75" hidden="1" customHeight="1" outlineLevel="1">
      <c r="A4235" s="17">
        <v>41761.0</v>
      </c>
      <c r="B4235" s="1"/>
      <c r="C4235" s="1" t="s">
        <v>339</v>
      </c>
      <c r="D4235" s="74"/>
      <c r="E4235" s="67"/>
      <c r="F4235" s="75"/>
      <c r="G4235" s="67"/>
      <c r="H4235" s="68"/>
      <c r="I4235" s="76"/>
      <c r="J4235" s="67"/>
      <c r="K4235" s="7" t="s">
        <v>1758</v>
      </c>
      <c r="L4235" s="77"/>
      <c r="M4235" s="79"/>
      <c r="N4235" s="1"/>
      <c r="O4235" s="1"/>
      <c r="P4235" s="1"/>
      <c r="Q4235" s="1"/>
      <c r="R4235" s="1"/>
      <c r="S4235" s="1"/>
      <c r="T4235" s="1"/>
      <c r="U4235" s="1"/>
      <c r="V4235" s="1"/>
      <c r="W4235" s="1"/>
      <c r="X4235" s="1"/>
      <c r="Y4235" s="1"/>
      <c r="Z4235" s="1"/>
      <c r="AA4235" s="1"/>
      <c r="AB4235" s="1"/>
      <c r="AC4235" s="1"/>
      <c r="AD4235" s="1"/>
      <c r="AE4235" s="1"/>
      <c r="AF4235" s="1"/>
      <c r="AG4235" s="1"/>
      <c r="AH4235" s="1"/>
    </row>
    <row r="4236" ht="12.75" hidden="1" customHeight="1" outlineLevel="1">
      <c r="A4236" s="17">
        <v>41761.0</v>
      </c>
      <c r="B4236" s="1"/>
      <c r="C4236" s="1" t="s">
        <v>429</v>
      </c>
      <c r="D4236" s="74"/>
      <c r="E4236" s="67"/>
      <c r="F4236" s="75"/>
      <c r="G4236" s="67"/>
      <c r="H4236" s="68"/>
      <c r="I4236" s="76"/>
      <c r="J4236" s="67"/>
      <c r="K4236" s="7" t="s">
        <v>1686</v>
      </c>
      <c r="L4236" s="77"/>
      <c r="M4236" s="79"/>
      <c r="N4236" s="1"/>
      <c r="O4236" s="1"/>
      <c r="P4236" s="1"/>
      <c r="Q4236" s="1"/>
      <c r="R4236" s="1"/>
      <c r="S4236" s="1"/>
      <c r="T4236" s="1"/>
      <c r="U4236" s="1"/>
      <c r="V4236" s="1"/>
      <c r="W4236" s="1"/>
      <c r="X4236" s="1"/>
      <c r="Y4236" s="1"/>
      <c r="Z4236" s="1"/>
      <c r="AA4236" s="1"/>
      <c r="AB4236" s="1"/>
      <c r="AC4236" s="1"/>
      <c r="AD4236" s="1"/>
      <c r="AE4236" s="1"/>
      <c r="AF4236" s="1"/>
      <c r="AG4236" s="1"/>
      <c r="AH4236" s="1"/>
    </row>
    <row r="4237" ht="12.75" hidden="1" customHeight="1" outlineLevel="1">
      <c r="A4237" s="17">
        <v>41761.0</v>
      </c>
      <c r="B4237" s="1"/>
      <c r="C4237" s="1" t="s">
        <v>431</v>
      </c>
      <c r="D4237" s="74"/>
      <c r="E4237" s="67"/>
      <c r="F4237" s="75"/>
      <c r="G4237" s="67"/>
      <c r="H4237" s="68"/>
      <c r="I4237" s="76"/>
      <c r="J4237" s="67"/>
      <c r="K4237" s="7" t="s">
        <v>1126</v>
      </c>
      <c r="L4237" s="77"/>
      <c r="M4237" s="79"/>
      <c r="N4237" s="1"/>
      <c r="O4237" s="1"/>
      <c r="P4237" s="1"/>
      <c r="Q4237" s="1"/>
      <c r="R4237" s="1"/>
      <c r="S4237" s="1"/>
      <c r="T4237" s="1"/>
      <c r="U4237" s="1"/>
      <c r="V4237" s="1"/>
      <c r="W4237" s="1"/>
      <c r="X4237" s="1"/>
      <c r="Y4237" s="1"/>
      <c r="Z4237" s="1"/>
      <c r="AA4237" s="1"/>
      <c r="AB4237" s="1"/>
      <c r="AC4237" s="1"/>
      <c r="AD4237" s="1"/>
      <c r="AE4237" s="1"/>
      <c r="AF4237" s="1"/>
      <c r="AG4237" s="1"/>
      <c r="AH4237" s="1"/>
    </row>
    <row r="4238" ht="12.75" hidden="1" customHeight="1" outlineLevel="1">
      <c r="A4238" s="17">
        <v>41761.0</v>
      </c>
      <c r="B4238" s="1"/>
      <c r="C4238" s="1" t="s">
        <v>433</v>
      </c>
      <c r="D4238" s="74"/>
      <c r="E4238" s="67"/>
      <c r="F4238" s="75"/>
      <c r="G4238" s="67"/>
      <c r="H4238" s="68"/>
      <c r="I4238" s="76"/>
      <c r="J4238" s="67"/>
      <c r="K4238" s="7" t="s">
        <v>1103</v>
      </c>
      <c r="L4238" s="77"/>
      <c r="M4238" s="79"/>
      <c r="N4238" s="1"/>
      <c r="O4238" s="1"/>
      <c r="P4238" s="1"/>
      <c r="Q4238" s="1"/>
      <c r="R4238" s="1"/>
      <c r="S4238" s="1"/>
      <c r="T4238" s="1"/>
      <c r="U4238" s="1"/>
      <c r="V4238" s="1"/>
      <c r="W4238" s="1"/>
      <c r="X4238" s="1"/>
      <c r="Y4238" s="1"/>
      <c r="Z4238" s="1"/>
      <c r="AA4238" s="1"/>
      <c r="AB4238" s="1"/>
      <c r="AC4238" s="1"/>
      <c r="AD4238" s="1"/>
      <c r="AE4238" s="1"/>
      <c r="AF4238" s="1"/>
      <c r="AG4238" s="1"/>
      <c r="AH4238" s="1"/>
    </row>
    <row r="4239" ht="12.75" hidden="1" customHeight="1" outlineLevel="1">
      <c r="A4239" s="17">
        <v>41761.0</v>
      </c>
      <c r="B4239" s="1"/>
      <c r="C4239" s="1" t="s">
        <v>435</v>
      </c>
      <c r="D4239" s="74"/>
      <c r="E4239" s="67"/>
      <c r="F4239" s="75"/>
      <c r="G4239" s="67"/>
      <c r="H4239" s="68"/>
      <c r="I4239" s="76"/>
      <c r="J4239" s="67"/>
      <c r="K4239" s="7" t="s">
        <v>1507</v>
      </c>
      <c r="L4239" s="77"/>
      <c r="M4239" s="79"/>
      <c r="N4239" s="1"/>
      <c r="O4239" s="1"/>
      <c r="P4239" s="1"/>
      <c r="Q4239" s="1"/>
      <c r="R4239" s="1"/>
      <c r="S4239" s="1"/>
      <c r="T4239" s="1"/>
      <c r="U4239" s="1"/>
      <c r="V4239" s="1"/>
      <c r="W4239" s="1"/>
      <c r="X4239" s="1"/>
      <c r="Y4239" s="1"/>
      <c r="Z4239" s="1"/>
      <c r="AA4239" s="1"/>
      <c r="AB4239" s="1"/>
      <c r="AC4239" s="1"/>
      <c r="AD4239" s="1"/>
      <c r="AE4239" s="1"/>
      <c r="AF4239" s="1"/>
      <c r="AG4239" s="1"/>
      <c r="AH4239" s="1"/>
    </row>
    <row r="4240" ht="12.75" hidden="1" customHeight="1" outlineLevel="1">
      <c r="A4240" s="17">
        <v>41762.0</v>
      </c>
      <c r="B4240" s="1"/>
      <c r="C4240" s="1" t="s">
        <v>339</v>
      </c>
      <c r="D4240" s="74"/>
      <c r="E4240" s="67"/>
      <c r="F4240" s="75"/>
      <c r="G4240" s="67"/>
      <c r="H4240" s="68"/>
      <c r="I4240" s="76"/>
      <c r="J4240" s="67"/>
      <c r="K4240" s="7" t="s">
        <v>1759</v>
      </c>
      <c r="L4240" s="77"/>
      <c r="M4240" s="79"/>
      <c r="N4240" s="1"/>
      <c r="O4240" s="1"/>
      <c r="P4240" s="1"/>
      <c r="Q4240" s="1"/>
      <c r="R4240" s="1"/>
      <c r="S4240" s="1"/>
      <c r="T4240" s="1"/>
      <c r="U4240" s="1"/>
      <c r="V4240" s="1"/>
      <c r="W4240" s="1"/>
      <c r="X4240" s="1"/>
      <c r="Y4240" s="1"/>
      <c r="Z4240" s="1"/>
      <c r="AA4240" s="1"/>
      <c r="AB4240" s="1"/>
      <c r="AC4240" s="1"/>
      <c r="AD4240" s="1"/>
      <c r="AE4240" s="1"/>
      <c r="AF4240" s="1"/>
      <c r="AG4240" s="1"/>
      <c r="AH4240" s="1"/>
    </row>
    <row r="4241" ht="12.75" hidden="1" customHeight="1" outlineLevel="1">
      <c r="A4241" s="17">
        <v>41762.0</v>
      </c>
      <c r="B4241" s="1"/>
      <c r="C4241" s="1" t="s">
        <v>429</v>
      </c>
      <c r="D4241" s="74"/>
      <c r="E4241" s="67"/>
      <c r="F4241" s="75"/>
      <c r="G4241" s="67"/>
      <c r="H4241" s="68"/>
      <c r="I4241" s="76"/>
      <c r="J4241" s="67"/>
      <c r="K4241" s="7" t="s">
        <v>1686</v>
      </c>
      <c r="L4241" s="77"/>
      <c r="M4241" s="79"/>
      <c r="N4241" s="1"/>
      <c r="O4241" s="1"/>
      <c r="P4241" s="1"/>
      <c r="Q4241" s="1"/>
      <c r="R4241" s="1"/>
      <c r="S4241" s="1"/>
      <c r="T4241" s="1"/>
      <c r="U4241" s="1"/>
      <c r="V4241" s="1"/>
      <c r="W4241" s="1"/>
      <c r="X4241" s="1"/>
      <c r="Y4241" s="1"/>
      <c r="Z4241" s="1"/>
      <c r="AA4241" s="1"/>
      <c r="AB4241" s="1"/>
      <c r="AC4241" s="1"/>
      <c r="AD4241" s="1"/>
      <c r="AE4241" s="1"/>
      <c r="AF4241" s="1"/>
      <c r="AG4241" s="1"/>
      <c r="AH4241" s="1"/>
    </row>
    <row r="4242" ht="12.75" hidden="1" customHeight="1" outlineLevel="1">
      <c r="A4242" s="17">
        <v>41762.0</v>
      </c>
      <c r="B4242" s="1"/>
      <c r="C4242" s="1" t="s">
        <v>431</v>
      </c>
      <c r="D4242" s="74"/>
      <c r="E4242" s="67"/>
      <c r="F4242" s="75"/>
      <c r="G4242" s="67"/>
      <c r="H4242" s="68"/>
      <c r="I4242" s="76"/>
      <c r="J4242" s="67"/>
      <c r="K4242" s="7" t="s">
        <v>1126</v>
      </c>
      <c r="L4242" s="77"/>
      <c r="M4242" s="79"/>
      <c r="N4242" s="1"/>
      <c r="O4242" s="1"/>
      <c r="P4242" s="1"/>
      <c r="Q4242" s="1"/>
      <c r="R4242" s="1"/>
      <c r="S4242" s="1"/>
      <c r="T4242" s="1"/>
      <c r="U4242" s="1"/>
      <c r="V4242" s="1"/>
      <c r="W4242" s="1"/>
      <c r="X4242" s="1"/>
      <c r="Y4242" s="1"/>
      <c r="Z4242" s="1"/>
      <c r="AA4242" s="1"/>
      <c r="AB4242" s="1"/>
      <c r="AC4242" s="1"/>
      <c r="AD4242" s="1"/>
      <c r="AE4242" s="1"/>
      <c r="AF4242" s="1"/>
      <c r="AG4242" s="1"/>
      <c r="AH4242" s="1"/>
    </row>
    <row r="4243" ht="12.75" hidden="1" customHeight="1" outlineLevel="1">
      <c r="A4243" s="17">
        <v>41762.0</v>
      </c>
      <c r="B4243" s="1"/>
      <c r="C4243" s="1" t="s">
        <v>433</v>
      </c>
      <c r="D4243" s="74"/>
      <c r="E4243" s="67"/>
      <c r="F4243" s="75"/>
      <c r="G4243" s="67"/>
      <c r="H4243" s="68"/>
      <c r="I4243" s="76"/>
      <c r="J4243" s="67"/>
      <c r="K4243" s="7" t="s">
        <v>1103</v>
      </c>
      <c r="L4243" s="77"/>
      <c r="M4243" s="79"/>
      <c r="N4243" s="1"/>
      <c r="O4243" s="1"/>
      <c r="P4243" s="1"/>
      <c r="Q4243" s="1"/>
      <c r="R4243" s="1"/>
      <c r="S4243" s="1"/>
      <c r="T4243" s="1"/>
      <c r="U4243" s="1"/>
      <c r="V4243" s="1"/>
      <c r="W4243" s="1"/>
      <c r="X4243" s="1"/>
      <c r="Y4243" s="1"/>
      <c r="Z4243" s="1"/>
      <c r="AA4243" s="1"/>
      <c r="AB4243" s="1"/>
      <c r="AC4243" s="1"/>
      <c r="AD4243" s="1"/>
      <c r="AE4243" s="1"/>
      <c r="AF4243" s="1"/>
      <c r="AG4243" s="1"/>
      <c r="AH4243" s="1"/>
    </row>
    <row r="4244" ht="12.75" hidden="1" customHeight="1" outlineLevel="1">
      <c r="A4244" s="17">
        <v>41762.0</v>
      </c>
      <c r="B4244" s="1"/>
      <c r="C4244" s="1" t="s">
        <v>435</v>
      </c>
      <c r="D4244" s="74"/>
      <c r="E4244" s="67"/>
      <c r="F4244" s="75"/>
      <c r="G4244" s="67"/>
      <c r="H4244" s="68"/>
      <c r="I4244" s="76"/>
      <c r="J4244" s="67"/>
      <c r="K4244" s="7" t="s">
        <v>1507</v>
      </c>
      <c r="L4244" s="77"/>
      <c r="M4244" s="79"/>
      <c r="N4244" s="1"/>
      <c r="O4244" s="1"/>
      <c r="P4244" s="1"/>
      <c r="Q4244" s="1"/>
      <c r="R4244" s="1"/>
      <c r="S4244" s="1"/>
      <c r="T4244" s="1"/>
      <c r="U4244" s="1"/>
      <c r="V4244" s="1"/>
      <c r="W4244" s="1"/>
      <c r="X4244" s="1"/>
      <c r="Y4244" s="1"/>
      <c r="Z4244" s="1"/>
      <c r="AA4244" s="1"/>
      <c r="AB4244" s="1"/>
      <c r="AC4244" s="1"/>
      <c r="AD4244" s="1"/>
      <c r="AE4244" s="1"/>
      <c r="AF4244" s="1"/>
      <c r="AG4244" s="1"/>
      <c r="AH4244" s="1"/>
    </row>
    <row r="4245" ht="12.75" hidden="1" customHeight="1" outlineLevel="1">
      <c r="A4245" s="17">
        <v>41763.0</v>
      </c>
      <c r="B4245" s="1"/>
      <c r="C4245" s="1" t="s">
        <v>339</v>
      </c>
      <c r="D4245" s="74"/>
      <c r="E4245" s="67"/>
      <c r="F4245" s="75"/>
      <c r="G4245" s="67"/>
      <c r="H4245" s="68"/>
      <c r="I4245" s="76"/>
      <c r="J4245" s="67"/>
      <c r="K4245" s="7" t="s">
        <v>1760</v>
      </c>
      <c r="L4245" s="77"/>
      <c r="M4245" s="79"/>
      <c r="N4245" s="1"/>
      <c r="O4245" s="1"/>
      <c r="P4245" s="1"/>
      <c r="Q4245" s="1"/>
      <c r="R4245" s="1"/>
      <c r="S4245" s="1"/>
      <c r="T4245" s="1"/>
      <c r="U4245" s="1"/>
      <c r="V4245" s="1"/>
      <c r="W4245" s="1"/>
      <c r="X4245" s="1"/>
      <c r="Y4245" s="1"/>
      <c r="Z4245" s="1"/>
      <c r="AA4245" s="1"/>
      <c r="AB4245" s="1"/>
      <c r="AC4245" s="1"/>
      <c r="AD4245" s="1"/>
      <c r="AE4245" s="1"/>
      <c r="AF4245" s="1"/>
      <c r="AG4245" s="1"/>
      <c r="AH4245" s="1"/>
    </row>
    <row r="4246" ht="12.75" hidden="1" customHeight="1" outlineLevel="1">
      <c r="A4246" s="17">
        <v>41763.0</v>
      </c>
      <c r="B4246" s="1"/>
      <c r="C4246" s="1" t="s">
        <v>429</v>
      </c>
      <c r="D4246" s="74"/>
      <c r="E4246" s="67"/>
      <c r="F4246" s="75"/>
      <c r="G4246" s="67"/>
      <c r="H4246" s="68"/>
      <c r="I4246" s="76"/>
      <c r="J4246" s="67"/>
      <c r="K4246" s="7" t="s">
        <v>1761</v>
      </c>
      <c r="L4246" s="77"/>
      <c r="M4246" s="79"/>
      <c r="N4246" s="1"/>
      <c r="O4246" s="1"/>
      <c r="P4246" s="1"/>
      <c r="Q4246" s="1"/>
      <c r="R4246" s="1"/>
      <c r="S4246" s="1"/>
      <c r="T4246" s="1"/>
      <c r="U4246" s="1"/>
      <c r="V4246" s="1"/>
      <c r="W4246" s="1"/>
      <c r="X4246" s="1"/>
      <c r="Y4246" s="1"/>
      <c r="Z4246" s="1"/>
      <c r="AA4246" s="1"/>
      <c r="AB4246" s="1"/>
      <c r="AC4246" s="1"/>
      <c r="AD4246" s="1"/>
      <c r="AE4246" s="1"/>
      <c r="AF4246" s="1"/>
      <c r="AG4246" s="1"/>
      <c r="AH4246" s="1"/>
    </row>
    <row r="4247" ht="12.75" hidden="1" customHeight="1" outlineLevel="1">
      <c r="A4247" s="17">
        <v>41763.0</v>
      </c>
      <c r="B4247" s="1"/>
      <c r="C4247" s="1" t="s">
        <v>431</v>
      </c>
      <c r="D4247" s="74"/>
      <c r="E4247" s="67"/>
      <c r="F4247" s="75"/>
      <c r="G4247" s="67"/>
      <c r="H4247" s="68"/>
      <c r="I4247" s="76"/>
      <c r="J4247" s="67"/>
      <c r="K4247" s="7" t="s">
        <v>1126</v>
      </c>
      <c r="L4247" s="77"/>
      <c r="M4247" s="79"/>
      <c r="N4247" s="1"/>
      <c r="O4247" s="1"/>
      <c r="P4247" s="1"/>
      <c r="Q4247" s="1"/>
      <c r="R4247" s="1"/>
      <c r="S4247" s="1"/>
      <c r="T4247" s="1"/>
      <c r="U4247" s="1"/>
      <c r="V4247" s="1"/>
      <c r="W4247" s="1"/>
      <c r="X4247" s="1"/>
      <c r="Y4247" s="1"/>
      <c r="Z4247" s="1"/>
      <c r="AA4247" s="1"/>
      <c r="AB4247" s="1"/>
      <c r="AC4247" s="1"/>
      <c r="AD4247" s="1"/>
      <c r="AE4247" s="1"/>
      <c r="AF4247" s="1"/>
      <c r="AG4247" s="1"/>
      <c r="AH4247" s="1"/>
    </row>
    <row r="4248" ht="12.75" hidden="1" customHeight="1" outlineLevel="1">
      <c r="A4248" s="17">
        <v>41763.0</v>
      </c>
      <c r="B4248" s="1"/>
      <c r="C4248" s="1" t="s">
        <v>433</v>
      </c>
      <c r="D4248" s="74"/>
      <c r="E4248" s="67"/>
      <c r="F4248" s="75"/>
      <c r="G4248" s="67"/>
      <c r="H4248" s="68"/>
      <c r="I4248" s="76"/>
      <c r="J4248" s="67"/>
      <c r="K4248" s="7" t="s">
        <v>1103</v>
      </c>
      <c r="L4248" s="77"/>
      <c r="M4248" s="79"/>
      <c r="N4248" s="1"/>
      <c r="O4248" s="1"/>
      <c r="P4248" s="1"/>
      <c r="Q4248" s="1"/>
      <c r="R4248" s="1"/>
      <c r="S4248" s="1"/>
      <c r="T4248" s="1"/>
      <c r="U4248" s="1"/>
      <c r="V4248" s="1"/>
      <c r="W4248" s="1"/>
      <c r="X4248" s="1"/>
      <c r="Y4248" s="1"/>
      <c r="Z4248" s="1"/>
      <c r="AA4248" s="1"/>
      <c r="AB4248" s="1"/>
      <c r="AC4248" s="1"/>
      <c r="AD4248" s="1"/>
      <c r="AE4248" s="1"/>
      <c r="AF4248" s="1"/>
      <c r="AG4248" s="1"/>
      <c r="AH4248" s="1"/>
    </row>
    <row r="4249" ht="12.75" hidden="1" customHeight="1" outlineLevel="1">
      <c r="A4249" s="17">
        <v>41763.0</v>
      </c>
      <c r="B4249" s="1"/>
      <c r="C4249" s="1" t="s">
        <v>435</v>
      </c>
      <c r="D4249" s="74"/>
      <c r="E4249" s="67"/>
      <c r="F4249" s="75"/>
      <c r="G4249" s="67"/>
      <c r="H4249" s="68"/>
      <c r="I4249" s="76"/>
      <c r="J4249" s="67"/>
      <c r="K4249" s="7" t="s">
        <v>1507</v>
      </c>
      <c r="L4249" s="77"/>
      <c r="M4249" s="79"/>
      <c r="N4249" s="1"/>
      <c r="O4249" s="1"/>
      <c r="P4249" s="1"/>
      <c r="Q4249" s="1"/>
      <c r="R4249" s="1"/>
      <c r="S4249" s="1"/>
      <c r="T4249" s="1"/>
      <c r="U4249" s="1"/>
      <c r="V4249" s="1"/>
      <c r="W4249" s="1"/>
      <c r="X4249" s="1"/>
      <c r="Y4249" s="1"/>
      <c r="Z4249" s="1"/>
      <c r="AA4249" s="1"/>
      <c r="AB4249" s="1"/>
      <c r="AC4249" s="1"/>
      <c r="AD4249" s="1"/>
      <c r="AE4249" s="1"/>
      <c r="AF4249" s="1"/>
      <c r="AG4249" s="1"/>
      <c r="AH4249" s="1"/>
    </row>
    <row r="4250" ht="12.75" hidden="1" customHeight="1" outlineLevel="1">
      <c r="A4250" s="17">
        <v>41764.0</v>
      </c>
      <c r="B4250" s="1"/>
      <c r="C4250" s="1" t="s">
        <v>339</v>
      </c>
      <c r="D4250" s="74"/>
      <c r="E4250" s="67"/>
      <c r="F4250" s="75"/>
      <c r="G4250" s="67"/>
      <c r="H4250" s="68"/>
      <c r="I4250" s="76"/>
      <c r="J4250" s="67"/>
      <c r="K4250" s="7" t="s">
        <v>1762</v>
      </c>
      <c r="L4250" s="77"/>
      <c r="M4250" s="79"/>
      <c r="N4250" s="1"/>
      <c r="O4250" s="1"/>
      <c r="P4250" s="1"/>
      <c r="Q4250" s="1"/>
      <c r="R4250" s="1"/>
      <c r="S4250" s="1"/>
      <c r="T4250" s="1"/>
      <c r="U4250" s="1"/>
      <c r="V4250" s="1"/>
      <c r="W4250" s="1"/>
      <c r="X4250" s="1"/>
      <c r="Y4250" s="1"/>
      <c r="Z4250" s="1"/>
      <c r="AA4250" s="1"/>
      <c r="AB4250" s="1"/>
      <c r="AC4250" s="1"/>
      <c r="AD4250" s="1"/>
      <c r="AE4250" s="1"/>
      <c r="AF4250" s="1"/>
      <c r="AG4250" s="1"/>
      <c r="AH4250" s="1"/>
    </row>
    <row r="4251" ht="12.75" hidden="1" customHeight="1" outlineLevel="1">
      <c r="A4251" s="17">
        <v>41764.0</v>
      </c>
      <c r="B4251" s="1"/>
      <c r="C4251" s="1" t="s">
        <v>429</v>
      </c>
      <c r="D4251" s="74"/>
      <c r="E4251" s="67"/>
      <c r="F4251" s="75"/>
      <c r="G4251" s="67"/>
      <c r="H4251" s="68"/>
      <c r="I4251" s="76"/>
      <c r="J4251" s="67"/>
      <c r="K4251" s="7" t="s">
        <v>1761</v>
      </c>
      <c r="L4251" s="77"/>
      <c r="M4251" s="79"/>
      <c r="N4251" s="1"/>
      <c r="O4251" s="1"/>
      <c r="P4251" s="1"/>
      <c r="Q4251" s="1"/>
      <c r="R4251" s="1"/>
      <c r="S4251" s="1"/>
      <c r="T4251" s="1"/>
      <c r="U4251" s="1"/>
      <c r="V4251" s="1"/>
      <c r="W4251" s="1"/>
      <c r="X4251" s="1"/>
      <c r="Y4251" s="1"/>
      <c r="Z4251" s="1"/>
      <c r="AA4251" s="1"/>
      <c r="AB4251" s="1"/>
      <c r="AC4251" s="1"/>
      <c r="AD4251" s="1"/>
      <c r="AE4251" s="1"/>
      <c r="AF4251" s="1"/>
      <c r="AG4251" s="1"/>
      <c r="AH4251" s="1"/>
    </row>
    <row r="4252" ht="12.75" hidden="1" customHeight="1" outlineLevel="1">
      <c r="A4252" s="17">
        <v>41764.0</v>
      </c>
      <c r="B4252" s="1"/>
      <c r="C4252" s="1" t="s">
        <v>431</v>
      </c>
      <c r="D4252" s="74"/>
      <c r="E4252" s="67"/>
      <c r="F4252" s="75"/>
      <c r="G4252" s="67"/>
      <c r="H4252" s="68"/>
      <c r="I4252" s="76"/>
      <c r="J4252" s="67"/>
      <c r="K4252" s="7" t="s">
        <v>1126</v>
      </c>
      <c r="L4252" s="77"/>
      <c r="M4252" s="79"/>
      <c r="N4252" s="1"/>
      <c r="O4252" s="1"/>
      <c r="P4252" s="1"/>
      <c r="Q4252" s="1"/>
      <c r="R4252" s="1"/>
      <c r="S4252" s="1"/>
      <c r="T4252" s="1"/>
      <c r="U4252" s="1"/>
      <c r="V4252" s="1"/>
      <c r="W4252" s="1"/>
      <c r="X4252" s="1"/>
      <c r="Y4252" s="1"/>
      <c r="Z4252" s="1"/>
      <c r="AA4252" s="1"/>
      <c r="AB4252" s="1"/>
      <c r="AC4252" s="1"/>
      <c r="AD4252" s="1"/>
      <c r="AE4252" s="1"/>
      <c r="AF4252" s="1"/>
      <c r="AG4252" s="1"/>
      <c r="AH4252" s="1"/>
    </row>
    <row r="4253" ht="12.75" hidden="1" customHeight="1" outlineLevel="1">
      <c r="A4253" s="17">
        <v>41764.0</v>
      </c>
      <c r="B4253" s="1"/>
      <c r="C4253" s="1" t="s">
        <v>433</v>
      </c>
      <c r="D4253" s="74"/>
      <c r="E4253" s="67"/>
      <c r="F4253" s="75"/>
      <c r="G4253" s="67"/>
      <c r="H4253" s="68"/>
      <c r="I4253" s="76"/>
      <c r="J4253" s="67"/>
      <c r="K4253" s="7" t="s">
        <v>1103</v>
      </c>
      <c r="L4253" s="77"/>
      <c r="M4253" s="79"/>
      <c r="N4253" s="1"/>
      <c r="O4253" s="1"/>
      <c r="P4253" s="1"/>
      <c r="Q4253" s="1"/>
      <c r="R4253" s="1"/>
      <c r="S4253" s="1"/>
      <c r="T4253" s="1"/>
      <c r="U4253" s="1"/>
      <c r="V4253" s="1"/>
      <c r="W4253" s="1"/>
      <c r="X4253" s="1"/>
      <c r="Y4253" s="1"/>
      <c r="Z4253" s="1"/>
      <c r="AA4253" s="1"/>
      <c r="AB4253" s="1"/>
      <c r="AC4253" s="1"/>
      <c r="AD4253" s="1"/>
      <c r="AE4253" s="1"/>
      <c r="AF4253" s="1"/>
      <c r="AG4253" s="1"/>
      <c r="AH4253" s="1"/>
    </row>
    <row r="4254" ht="12.75" hidden="1" customHeight="1" outlineLevel="1">
      <c r="A4254" s="17">
        <v>41764.0</v>
      </c>
      <c r="B4254" s="1"/>
      <c r="C4254" s="1" t="s">
        <v>435</v>
      </c>
      <c r="D4254" s="74"/>
      <c r="E4254" s="67"/>
      <c r="F4254" s="75"/>
      <c r="G4254" s="67"/>
      <c r="H4254" s="68"/>
      <c r="I4254" s="76"/>
      <c r="J4254" s="67"/>
      <c r="K4254" s="7" t="s">
        <v>1507</v>
      </c>
      <c r="L4254" s="77"/>
      <c r="M4254" s="79"/>
      <c r="N4254" s="1"/>
      <c r="O4254" s="1"/>
      <c r="P4254" s="1"/>
      <c r="Q4254" s="1"/>
      <c r="R4254" s="1"/>
      <c r="S4254" s="1"/>
      <c r="T4254" s="1"/>
      <c r="U4254" s="1"/>
      <c r="V4254" s="1"/>
      <c r="W4254" s="1"/>
      <c r="X4254" s="1"/>
      <c r="Y4254" s="1"/>
      <c r="Z4254" s="1"/>
      <c r="AA4254" s="1"/>
      <c r="AB4254" s="1"/>
      <c r="AC4254" s="1"/>
      <c r="AD4254" s="1"/>
      <c r="AE4254" s="1"/>
      <c r="AF4254" s="1"/>
      <c r="AG4254" s="1"/>
      <c r="AH4254" s="1"/>
    </row>
    <row r="4255" ht="12.75" hidden="1" customHeight="1" outlineLevel="1">
      <c r="A4255" s="17">
        <v>41764.0</v>
      </c>
      <c r="B4255" s="1" t="s">
        <v>347</v>
      </c>
      <c r="C4255" s="1" t="s">
        <v>1763</v>
      </c>
      <c r="D4255" s="74">
        <v>4600.0</v>
      </c>
      <c r="E4255" s="67">
        <v>4.33</v>
      </c>
      <c r="F4255" s="75">
        <v>0.3999652777777778</v>
      </c>
      <c r="G4255" s="67" t="s">
        <v>453</v>
      </c>
      <c r="H4255" s="68">
        <v>18.84</v>
      </c>
      <c r="I4255" s="76"/>
      <c r="J4255" s="67">
        <f t="shared" ref="J4255:J4264" si="265">IF(B4255="SLD",D4255*E4255,-D4255*E4255)-H4255</f>
        <v>19899.16</v>
      </c>
      <c r="K4255" s="7"/>
      <c r="L4255" s="70"/>
      <c r="M4255" s="79"/>
      <c r="N4255" s="1"/>
      <c r="O4255" s="1"/>
      <c r="P4255" s="1"/>
      <c r="Q4255" s="1"/>
      <c r="R4255" s="1"/>
      <c r="S4255" s="1"/>
      <c r="T4255" s="1"/>
      <c r="U4255" s="1"/>
      <c r="V4255" s="1"/>
      <c r="W4255" s="1"/>
      <c r="X4255" s="1"/>
      <c r="Y4255" s="1"/>
      <c r="Z4255" s="1"/>
      <c r="AA4255" s="1"/>
      <c r="AB4255" s="1"/>
      <c r="AC4255" s="1"/>
      <c r="AD4255" s="1"/>
      <c r="AE4255" s="1"/>
      <c r="AF4255" s="1"/>
      <c r="AG4255" s="1"/>
      <c r="AH4255" s="1"/>
    </row>
    <row r="4256" ht="12.75" hidden="1" customHeight="1" outlineLevel="1">
      <c r="A4256" s="17">
        <v>41764.0</v>
      </c>
      <c r="B4256" s="1" t="s">
        <v>347</v>
      </c>
      <c r="C4256" s="1" t="s">
        <v>1370</v>
      </c>
      <c r="D4256" s="74">
        <v>400.0</v>
      </c>
      <c r="E4256" s="67">
        <v>55.55</v>
      </c>
      <c r="F4256" s="75">
        <v>0.40964120370370366</v>
      </c>
      <c r="G4256" s="67" t="s">
        <v>453</v>
      </c>
      <c r="H4256" s="68">
        <v>2.29</v>
      </c>
      <c r="I4256" s="76"/>
      <c r="J4256" s="67">
        <f t="shared" si="265"/>
        <v>22217.71</v>
      </c>
      <c r="K4256" s="7"/>
      <c r="L4256" s="70"/>
      <c r="M4256" s="79"/>
      <c r="N4256" s="1"/>
      <c r="O4256" s="1"/>
      <c r="P4256" s="1"/>
      <c r="Q4256" s="1"/>
      <c r="R4256" s="1"/>
      <c r="S4256" s="1"/>
      <c r="T4256" s="1"/>
      <c r="U4256" s="1"/>
      <c r="V4256" s="1"/>
      <c r="W4256" s="1"/>
      <c r="X4256" s="1"/>
      <c r="Y4256" s="1"/>
      <c r="Z4256" s="1"/>
      <c r="AA4256" s="1"/>
      <c r="AB4256" s="1"/>
      <c r="AC4256" s="1"/>
      <c r="AD4256" s="1"/>
      <c r="AE4256" s="1"/>
      <c r="AF4256" s="1"/>
      <c r="AG4256" s="1"/>
      <c r="AH4256" s="1"/>
    </row>
    <row r="4257" ht="12.75" hidden="1" customHeight="1" outlineLevel="1">
      <c r="A4257" s="17">
        <v>41764.0</v>
      </c>
      <c r="B4257" s="1" t="s">
        <v>343</v>
      </c>
      <c r="C4257" s="1" t="s">
        <v>1082</v>
      </c>
      <c r="D4257" s="74">
        <v>15.0</v>
      </c>
      <c r="E4257" s="67">
        <v>526.12</v>
      </c>
      <c r="F4257" s="75">
        <v>0.4099305555555555</v>
      </c>
      <c r="G4257" s="67" t="s">
        <v>453</v>
      </c>
      <c r="H4257" s="68">
        <v>1.0</v>
      </c>
      <c r="I4257" s="76"/>
      <c r="J4257" s="67">
        <f t="shared" si="265"/>
        <v>-7892.8</v>
      </c>
      <c r="K4257" s="7"/>
      <c r="L4257" s="70"/>
      <c r="M4257" s="79"/>
      <c r="N4257" s="1"/>
      <c r="O4257" s="1"/>
      <c r="P4257" s="1"/>
      <c r="Q4257" s="1"/>
      <c r="R4257" s="1"/>
      <c r="S4257" s="1"/>
      <c r="T4257" s="1"/>
      <c r="U4257" s="1"/>
      <c r="V4257" s="1"/>
      <c r="W4257" s="1"/>
      <c r="X4257" s="1"/>
      <c r="Y4257" s="1"/>
      <c r="Z4257" s="1"/>
      <c r="AA4257" s="1"/>
      <c r="AB4257" s="1"/>
      <c r="AC4257" s="1"/>
      <c r="AD4257" s="1"/>
      <c r="AE4257" s="1"/>
      <c r="AF4257" s="1"/>
      <c r="AG4257" s="1"/>
      <c r="AH4257" s="1"/>
    </row>
    <row r="4258" ht="12.75" hidden="1" customHeight="1" outlineLevel="1">
      <c r="A4258" s="17">
        <v>41764.0</v>
      </c>
      <c r="B4258" s="1" t="s">
        <v>343</v>
      </c>
      <c r="C4258" s="1" t="s">
        <v>1766</v>
      </c>
      <c r="D4258" s="74">
        <v>400.0</v>
      </c>
      <c r="E4258" s="67">
        <v>66.82</v>
      </c>
      <c r="F4258" s="75">
        <v>0.4164583333333333</v>
      </c>
      <c r="G4258" s="67" t="s">
        <v>453</v>
      </c>
      <c r="H4258" s="68">
        <v>1.8</v>
      </c>
      <c r="I4258" s="76"/>
      <c r="J4258" s="67">
        <f t="shared" si="265"/>
        <v>-26729.8</v>
      </c>
      <c r="K4258" s="7"/>
      <c r="L4258" s="70"/>
      <c r="M4258" s="79"/>
      <c r="N4258" s="1"/>
      <c r="O4258" s="1"/>
      <c r="P4258" s="1"/>
      <c r="Q4258" s="1"/>
      <c r="R4258" s="1"/>
      <c r="S4258" s="1"/>
      <c r="T4258" s="1"/>
      <c r="U4258" s="1"/>
      <c r="V4258" s="1"/>
      <c r="W4258" s="1"/>
      <c r="X4258" s="1"/>
      <c r="Y4258" s="1"/>
      <c r="Z4258" s="1"/>
      <c r="AA4258" s="1"/>
      <c r="AB4258" s="1"/>
      <c r="AC4258" s="1"/>
      <c r="AD4258" s="1"/>
      <c r="AE4258" s="1"/>
      <c r="AF4258" s="1"/>
      <c r="AG4258" s="1"/>
      <c r="AH4258" s="1"/>
    </row>
    <row r="4259" ht="12.75" hidden="1" customHeight="1" outlineLevel="1">
      <c r="A4259" s="17">
        <v>41764.0</v>
      </c>
      <c r="B4259" s="1" t="s">
        <v>347</v>
      </c>
      <c r="C4259" s="1" t="s">
        <v>1371</v>
      </c>
      <c r="D4259" s="74">
        <v>600.0</v>
      </c>
      <c r="E4259" s="67">
        <v>33.791</v>
      </c>
      <c r="F4259" s="75">
        <v>0.4395486111111111</v>
      </c>
      <c r="G4259" s="67" t="s">
        <v>453</v>
      </c>
      <c r="H4259" s="68">
        <v>3.35</v>
      </c>
      <c r="I4259" s="76"/>
      <c r="J4259" s="67">
        <f t="shared" si="265"/>
        <v>20271.25</v>
      </c>
      <c r="K4259" s="7"/>
      <c r="L4259" s="70"/>
      <c r="M4259" s="79"/>
      <c r="N4259" s="1"/>
      <c r="O4259" s="1"/>
      <c r="P4259" s="1"/>
      <c r="Q4259" s="1"/>
      <c r="R4259" s="1"/>
      <c r="S4259" s="1"/>
      <c r="T4259" s="1"/>
      <c r="U4259" s="1"/>
      <c r="V4259" s="1"/>
      <c r="W4259" s="1"/>
      <c r="X4259" s="1"/>
      <c r="Y4259" s="1"/>
      <c r="Z4259" s="1"/>
      <c r="AA4259" s="1"/>
      <c r="AB4259" s="1"/>
      <c r="AC4259" s="1"/>
      <c r="AD4259" s="1"/>
      <c r="AE4259" s="1"/>
      <c r="AF4259" s="1"/>
      <c r="AG4259" s="1"/>
      <c r="AH4259" s="1"/>
    </row>
    <row r="4260" ht="12.75" hidden="1" customHeight="1" outlineLevel="1">
      <c r="A4260" s="17">
        <v>41764.0</v>
      </c>
      <c r="B4260" s="1" t="s">
        <v>347</v>
      </c>
      <c r="C4260" s="1" t="s">
        <v>354</v>
      </c>
      <c r="D4260" s="74">
        <v>300.0</v>
      </c>
      <c r="E4260" s="67">
        <v>100.883</v>
      </c>
      <c r="F4260" s="75">
        <v>0.4398611111111111</v>
      </c>
      <c r="G4260" s="67" t="s">
        <v>453</v>
      </c>
      <c r="H4260" s="68">
        <v>1.97</v>
      </c>
      <c r="I4260" s="76"/>
      <c r="J4260" s="67">
        <f t="shared" si="265"/>
        <v>30262.93</v>
      </c>
      <c r="K4260" s="7"/>
      <c r="L4260" s="70"/>
      <c r="M4260" s="79"/>
      <c r="N4260" s="1"/>
      <c r="O4260" s="1"/>
      <c r="P4260" s="1"/>
      <c r="Q4260" s="1"/>
      <c r="R4260" s="1"/>
      <c r="S4260" s="1"/>
      <c r="T4260" s="1"/>
      <c r="U4260" s="1"/>
      <c r="V4260" s="1"/>
      <c r="W4260" s="1"/>
      <c r="X4260" s="1"/>
      <c r="Y4260" s="1"/>
      <c r="Z4260" s="1"/>
      <c r="AA4260" s="1"/>
      <c r="AB4260" s="1"/>
      <c r="AC4260" s="1"/>
      <c r="AD4260" s="1"/>
      <c r="AE4260" s="1"/>
      <c r="AF4260" s="1"/>
      <c r="AG4260" s="1"/>
      <c r="AH4260" s="1"/>
    </row>
    <row r="4261" ht="12.75" hidden="1" customHeight="1" outlineLevel="1">
      <c r="A4261" s="17">
        <v>41764.0</v>
      </c>
      <c r="B4261" s="1" t="s">
        <v>347</v>
      </c>
      <c r="C4261" s="1" t="s">
        <v>354</v>
      </c>
      <c r="D4261" s="74">
        <v>300.0</v>
      </c>
      <c r="E4261" s="67">
        <v>101.473</v>
      </c>
      <c r="F4261" s="75">
        <v>0.48553240740740744</v>
      </c>
      <c r="G4261" s="67" t="s">
        <v>453</v>
      </c>
      <c r="H4261" s="68">
        <v>1.87</v>
      </c>
      <c r="I4261" s="76"/>
      <c r="J4261" s="67">
        <f t="shared" si="265"/>
        <v>30440.03</v>
      </c>
      <c r="K4261" s="7"/>
      <c r="L4261" s="70"/>
      <c r="M4261" s="79"/>
      <c r="N4261" s="1"/>
      <c r="O4261" s="1"/>
      <c r="P4261" s="1"/>
      <c r="Q4261" s="1"/>
      <c r="R4261" s="1"/>
      <c r="S4261" s="1"/>
      <c r="T4261" s="1"/>
      <c r="U4261" s="1"/>
      <c r="V4261" s="1"/>
      <c r="W4261" s="1"/>
      <c r="X4261" s="1"/>
      <c r="Y4261" s="1"/>
      <c r="Z4261" s="1"/>
      <c r="AA4261" s="1"/>
      <c r="AB4261" s="1"/>
      <c r="AC4261" s="1"/>
      <c r="AD4261" s="1"/>
      <c r="AE4261" s="1"/>
      <c r="AF4261" s="1"/>
      <c r="AG4261" s="1"/>
      <c r="AH4261" s="1"/>
    </row>
    <row r="4262" ht="12.75" hidden="1" customHeight="1" outlineLevel="1">
      <c r="A4262" s="17">
        <v>41764.0</v>
      </c>
      <c r="B4262" s="1" t="s">
        <v>347</v>
      </c>
      <c r="C4262" s="1" t="s">
        <v>1371</v>
      </c>
      <c r="D4262" s="74">
        <v>700.0</v>
      </c>
      <c r="E4262" s="67">
        <v>33.598</v>
      </c>
      <c r="F4262" s="75">
        <v>0.4862037037037037</v>
      </c>
      <c r="G4262" s="67" t="s">
        <v>453</v>
      </c>
      <c r="H4262" s="68">
        <v>3.72</v>
      </c>
      <c r="I4262" s="76"/>
      <c r="J4262" s="67">
        <f t="shared" si="265"/>
        <v>23514.88</v>
      </c>
      <c r="K4262" s="7"/>
      <c r="L4262" s="70"/>
      <c r="M4262" s="79"/>
      <c r="N4262" s="1"/>
      <c r="O4262" s="1"/>
      <c r="P4262" s="1"/>
      <c r="Q4262" s="1"/>
      <c r="R4262" s="1"/>
      <c r="S4262" s="1"/>
      <c r="T4262" s="1"/>
      <c r="U4262" s="1"/>
      <c r="V4262" s="1"/>
      <c r="W4262" s="1"/>
      <c r="X4262" s="1"/>
      <c r="Y4262" s="1"/>
      <c r="Z4262" s="1"/>
      <c r="AA4262" s="1"/>
      <c r="AB4262" s="1"/>
      <c r="AC4262" s="1"/>
      <c r="AD4262" s="1"/>
      <c r="AE4262" s="1"/>
      <c r="AF4262" s="1"/>
      <c r="AG4262" s="1"/>
      <c r="AH4262" s="1"/>
    </row>
    <row r="4263" ht="12.75" hidden="1" customHeight="1" outlineLevel="1">
      <c r="A4263" s="17">
        <v>41764.0</v>
      </c>
      <c r="B4263" s="1" t="s">
        <v>347</v>
      </c>
      <c r="C4263" s="1" t="s">
        <v>790</v>
      </c>
      <c r="D4263" s="74">
        <v>2600.0</v>
      </c>
      <c r="E4263" s="67">
        <v>14.56</v>
      </c>
      <c r="F4263" s="75">
        <v>0.4979861111111111</v>
      </c>
      <c r="G4263" s="67" t="s">
        <v>453</v>
      </c>
      <c r="H4263" s="68">
        <v>12.84</v>
      </c>
      <c r="I4263" s="76"/>
      <c r="J4263" s="67">
        <f t="shared" si="265"/>
        <v>37843.16</v>
      </c>
      <c r="K4263" s="7"/>
      <c r="L4263" s="70"/>
      <c r="M4263" s="79"/>
      <c r="N4263" s="1"/>
      <c r="O4263" s="1"/>
      <c r="P4263" s="1"/>
      <c r="Q4263" s="1"/>
      <c r="R4263" s="1"/>
      <c r="S4263" s="1"/>
      <c r="T4263" s="1"/>
      <c r="U4263" s="1"/>
      <c r="V4263" s="1"/>
      <c r="W4263" s="1"/>
      <c r="X4263" s="1"/>
      <c r="Y4263" s="1"/>
      <c r="Z4263" s="1"/>
      <c r="AA4263" s="1"/>
      <c r="AB4263" s="1"/>
      <c r="AC4263" s="1"/>
      <c r="AD4263" s="1"/>
      <c r="AE4263" s="1"/>
      <c r="AF4263" s="1"/>
      <c r="AG4263" s="1"/>
      <c r="AH4263" s="1"/>
    </row>
    <row r="4264" ht="12.75" hidden="1" customHeight="1" outlineLevel="1">
      <c r="A4264" s="17">
        <v>41764.0</v>
      </c>
      <c r="B4264" s="1" t="s">
        <v>347</v>
      </c>
      <c r="C4264" s="1" t="s">
        <v>784</v>
      </c>
      <c r="D4264" s="74">
        <v>400.0</v>
      </c>
      <c r="E4264" s="67">
        <v>13.36</v>
      </c>
      <c r="F4264" s="75">
        <v>0.4998611111111111</v>
      </c>
      <c r="G4264" s="67" t="s">
        <v>453</v>
      </c>
      <c r="H4264" s="68">
        <v>1.82</v>
      </c>
      <c r="I4264" s="76"/>
      <c r="J4264" s="67">
        <f t="shared" si="265"/>
        <v>5342.18</v>
      </c>
      <c r="K4264" s="7"/>
      <c r="L4264" s="70"/>
      <c r="M4264" s="79"/>
      <c r="N4264" s="1"/>
      <c r="O4264" s="1"/>
      <c r="P4264" s="1"/>
      <c r="Q4264" s="1"/>
      <c r="R4264" s="1"/>
      <c r="S4264" s="1"/>
      <c r="T4264" s="1"/>
      <c r="U4264" s="1"/>
      <c r="V4264" s="1"/>
      <c r="W4264" s="1"/>
      <c r="X4264" s="1"/>
      <c r="Y4264" s="1"/>
      <c r="Z4264" s="1"/>
      <c r="AA4264" s="1"/>
      <c r="AB4264" s="1"/>
      <c r="AC4264" s="1"/>
      <c r="AD4264" s="1"/>
      <c r="AE4264" s="1"/>
      <c r="AF4264" s="1"/>
      <c r="AG4264" s="1"/>
      <c r="AH4264" s="1"/>
    </row>
    <row r="4265" ht="12.75" hidden="1" customHeight="1" outlineLevel="1">
      <c r="A4265" s="17">
        <v>41765.0</v>
      </c>
      <c r="B4265" s="1"/>
      <c r="C4265" s="1" t="s">
        <v>339</v>
      </c>
      <c r="D4265" s="74"/>
      <c r="E4265" s="67"/>
      <c r="F4265" s="75"/>
      <c r="G4265" s="67"/>
      <c r="H4265" s="68"/>
      <c r="I4265" s="76"/>
      <c r="J4265" s="67"/>
      <c r="K4265" s="7" t="s">
        <v>1770</v>
      </c>
      <c r="L4265" s="77"/>
      <c r="M4265" s="79"/>
      <c r="N4265" s="1"/>
      <c r="O4265" s="1"/>
      <c r="P4265" s="1"/>
      <c r="Q4265" s="1"/>
      <c r="R4265" s="1"/>
      <c r="S4265" s="1"/>
      <c r="T4265" s="1"/>
      <c r="U4265" s="1"/>
      <c r="V4265" s="1"/>
      <c r="W4265" s="1"/>
      <c r="X4265" s="1"/>
      <c r="Y4265" s="1"/>
      <c r="Z4265" s="1"/>
      <c r="AA4265" s="1"/>
      <c r="AB4265" s="1"/>
      <c r="AC4265" s="1"/>
      <c r="AD4265" s="1"/>
      <c r="AE4265" s="1"/>
      <c r="AF4265" s="1"/>
      <c r="AG4265" s="1"/>
      <c r="AH4265" s="1"/>
    </row>
    <row r="4266" ht="12.75" hidden="1" customHeight="1" outlineLevel="1">
      <c r="A4266" s="17">
        <v>41765.0</v>
      </c>
      <c r="B4266" s="1"/>
      <c r="C4266" s="1" t="s">
        <v>429</v>
      </c>
      <c r="D4266" s="74"/>
      <c r="E4266" s="67"/>
      <c r="F4266" s="75"/>
      <c r="G4266" s="67"/>
      <c r="H4266" s="68"/>
      <c r="I4266" s="76"/>
      <c r="J4266" s="67"/>
      <c r="K4266" s="7" t="s">
        <v>1761</v>
      </c>
      <c r="L4266" s="77"/>
      <c r="M4266" s="79"/>
      <c r="N4266" s="1"/>
      <c r="O4266" s="1"/>
      <c r="P4266" s="1"/>
      <c r="Q4266" s="1"/>
      <c r="R4266" s="1"/>
      <c r="S4266" s="1"/>
      <c r="T4266" s="1"/>
      <c r="U4266" s="1"/>
      <c r="V4266" s="1"/>
      <c r="W4266" s="1"/>
      <c r="X4266" s="1"/>
      <c r="Y4266" s="1"/>
      <c r="Z4266" s="1"/>
      <c r="AA4266" s="1"/>
      <c r="AB4266" s="1"/>
      <c r="AC4266" s="1"/>
      <c r="AD4266" s="1"/>
      <c r="AE4266" s="1"/>
      <c r="AF4266" s="1"/>
      <c r="AG4266" s="1"/>
      <c r="AH4266" s="1"/>
    </row>
    <row r="4267" ht="12.75" hidden="1" customHeight="1" outlineLevel="1">
      <c r="A4267" s="17">
        <v>41765.0</v>
      </c>
      <c r="B4267" s="1"/>
      <c r="C4267" s="1" t="s">
        <v>431</v>
      </c>
      <c r="D4267" s="74"/>
      <c r="E4267" s="67"/>
      <c r="F4267" s="75"/>
      <c r="G4267" s="67"/>
      <c r="H4267" s="68"/>
      <c r="I4267" s="76"/>
      <c r="J4267" s="67"/>
      <c r="K4267" s="7" t="s">
        <v>1126</v>
      </c>
      <c r="L4267" s="77"/>
      <c r="M4267" s="79"/>
      <c r="N4267" s="1"/>
      <c r="O4267" s="1"/>
      <c r="P4267" s="1"/>
      <c r="Q4267" s="1"/>
      <c r="R4267" s="1"/>
      <c r="S4267" s="1"/>
      <c r="T4267" s="1"/>
      <c r="U4267" s="1"/>
      <c r="V4267" s="1"/>
      <c r="W4267" s="1"/>
      <c r="X4267" s="1"/>
      <c r="Y4267" s="1"/>
      <c r="Z4267" s="1"/>
      <c r="AA4267" s="1"/>
      <c r="AB4267" s="1"/>
      <c r="AC4267" s="1"/>
      <c r="AD4267" s="1"/>
      <c r="AE4267" s="1"/>
      <c r="AF4267" s="1"/>
      <c r="AG4267" s="1"/>
      <c r="AH4267" s="1"/>
    </row>
    <row r="4268" ht="12.75" hidden="1" customHeight="1" outlineLevel="1">
      <c r="A4268" s="17">
        <v>41765.0</v>
      </c>
      <c r="B4268" s="1"/>
      <c r="C4268" s="1" t="s">
        <v>433</v>
      </c>
      <c r="D4268" s="74"/>
      <c r="E4268" s="67"/>
      <c r="F4268" s="75"/>
      <c r="G4268" s="67"/>
      <c r="H4268" s="68"/>
      <c r="I4268" s="76"/>
      <c r="J4268" s="67"/>
      <c r="K4268" s="7" t="s">
        <v>1103</v>
      </c>
      <c r="L4268" s="77"/>
      <c r="M4268" s="79"/>
      <c r="N4268" s="1"/>
      <c r="O4268" s="1"/>
      <c r="P4268" s="1"/>
      <c r="Q4268" s="1"/>
      <c r="R4268" s="1"/>
      <c r="S4268" s="1"/>
      <c r="T4268" s="1"/>
      <c r="U4268" s="1"/>
      <c r="V4268" s="1"/>
      <c r="W4268" s="1"/>
      <c r="X4268" s="1"/>
      <c r="Y4268" s="1"/>
      <c r="Z4268" s="1"/>
      <c r="AA4268" s="1"/>
      <c r="AB4268" s="1"/>
      <c r="AC4268" s="1"/>
      <c r="AD4268" s="1"/>
      <c r="AE4268" s="1"/>
      <c r="AF4268" s="1"/>
      <c r="AG4268" s="1"/>
      <c r="AH4268" s="1"/>
    </row>
    <row r="4269" ht="12.75" hidden="1" customHeight="1" outlineLevel="1">
      <c r="A4269" s="17">
        <v>41765.0</v>
      </c>
      <c r="B4269" s="1"/>
      <c r="C4269" s="1" t="s">
        <v>435</v>
      </c>
      <c r="D4269" s="74"/>
      <c r="E4269" s="67"/>
      <c r="F4269" s="75"/>
      <c r="G4269" s="67"/>
      <c r="H4269" s="68"/>
      <c r="I4269" s="76"/>
      <c r="J4269" s="67"/>
      <c r="K4269" s="7" t="s">
        <v>1507</v>
      </c>
      <c r="L4269" s="77"/>
      <c r="M4269" s="79"/>
      <c r="N4269" s="1"/>
      <c r="O4269" s="1"/>
      <c r="P4269" s="1"/>
      <c r="Q4269" s="1"/>
      <c r="R4269" s="1"/>
      <c r="S4269" s="1"/>
      <c r="T4269" s="1"/>
      <c r="U4269" s="1"/>
      <c r="V4269" s="1"/>
      <c r="W4269" s="1"/>
      <c r="X4269" s="1"/>
      <c r="Y4269" s="1"/>
      <c r="Z4269" s="1"/>
      <c r="AA4269" s="1"/>
      <c r="AB4269" s="1"/>
      <c r="AC4269" s="1"/>
      <c r="AD4269" s="1"/>
      <c r="AE4269" s="1"/>
      <c r="AF4269" s="1"/>
      <c r="AG4269" s="1"/>
      <c r="AH4269" s="1"/>
    </row>
    <row r="4270" ht="12.75" hidden="1" customHeight="1" outlineLevel="1">
      <c r="A4270" s="17">
        <v>41765.0</v>
      </c>
      <c r="B4270" s="1" t="s">
        <v>343</v>
      </c>
      <c r="C4270" s="1" t="s">
        <v>790</v>
      </c>
      <c r="D4270" s="74">
        <v>2600.0</v>
      </c>
      <c r="E4270" s="67">
        <v>14.85</v>
      </c>
      <c r="F4270" s="75">
        <v>0.4164467592592593</v>
      </c>
      <c r="G4270" s="67" t="s">
        <v>453</v>
      </c>
      <c r="H4270" s="68">
        <v>10.5</v>
      </c>
      <c r="I4270" s="76"/>
      <c r="J4270" s="67">
        <f>IF(B4270="SLD",D4270*E4270,-D4270*E4270)-H4270</f>
        <v>-38620.5</v>
      </c>
      <c r="K4270" s="7"/>
      <c r="L4270" s="70"/>
      <c r="M4270" s="79"/>
      <c r="N4270" s="1"/>
      <c r="O4270" s="1"/>
      <c r="P4270" s="1"/>
      <c r="Q4270" s="1"/>
      <c r="R4270" s="1"/>
      <c r="S4270" s="1"/>
      <c r="T4270" s="1"/>
      <c r="U4270" s="1"/>
      <c r="V4270" s="1"/>
      <c r="W4270" s="1"/>
      <c r="X4270" s="1"/>
      <c r="Y4270" s="1"/>
      <c r="Z4270" s="1"/>
      <c r="AA4270" s="1"/>
      <c r="AB4270" s="1"/>
      <c r="AC4270" s="1"/>
      <c r="AD4270" s="1"/>
      <c r="AE4270" s="1"/>
      <c r="AF4270" s="1"/>
      <c r="AG4270" s="1"/>
      <c r="AH4270" s="1"/>
    </row>
    <row r="4271" ht="12.75" hidden="1" customHeight="1" outlineLevel="1">
      <c r="A4271" s="17">
        <v>41765.0</v>
      </c>
      <c r="B4271" s="1"/>
      <c r="C4271" s="1" t="s">
        <v>339</v>
      </c>
      <c r="D4271" s="74"/>
      <c r="E4271" s="67"/>
      <c r="F4271" s="75"/>
      <c r="G4271" s="67"/>
      <c r="H4271" s="68"/>
      <c r="I4271" s="76"/>
      <c r="J4271" s="67"/>
      <c r="K4271" s="7" t="s">
        <v>1772</v>
      </c>
      <c r="L4271" s="77"/>
      <c r="M4271" s="79"/>
      <c r="N4271" s="1"/>
      <c r="O4271" s="1"/>
      <c r="P4271" s="1"/>
      <c r="Q4271" s="1"/>
      <c r="R4271" s="1"/>
      <c r="S4271" s="1"/>
      <c r="T4271" s="1"/>
      <c r="U4271" s="1"/>
      <c r="V4271" s="1"/>
      <c r="W4271" s="1"/>
      <c r="X4271" s="1"/>
      <c r="Y4271" s="1"/>
      <c r="Z4271" s="1"/>
      <c r="AA4271" s="1"/>
      <c r="AB4271" s="1"/>
      <c r="AC4271" s="1"/>
      <c r="AD4271" s="1"/>
      <c r="AE4271" s="1"/>
      <c r="AF4271" s="1"/>
      <c r="AG4271" s="1"/>
      <c r="AH4271" s="1"/>
    </row>
    <row r="4272" ht="12.75" hidden="1" customHeight="1" outlineLevel="1">
      <c r="A4272" s="17">
        <v>41765.0</v>
      </c>
      <c r="B4272" s="1"/>
      <c r="C4272" s="1" t="s">
        <v>429</v>
      </c>
      <c r="D4272" s="74"/>
      <c r="E4272" s="67"/>
      <c r="F4272" s="75"/>
      <c r="G4272" s="67"/>
      <c r="H4272" s="68"/>
      <c r="I4272" s="76"/>
      <c r="J4272" s="67"/>
      <c r="K4272" s="7" t="s">
        <v>1761</v>
      </c>
      <c r="L4272" s="77"/>
      <c r="M4272" s="79"/>
      <c r="N4272" s="1"/>
      <c r="O4272" s="1"/>
      <c r="P4272" s="1"/>
      <c r="Q4272" s="1"/>
      <c r="R4272" s="1"/>
      <c r="S4272" s="1"/>
      <c r="T4272" s="1"/>
      <c r="U4272" s="1"/>
      <c r="V4272" s="1"/>
      <c r="W4272" s="1"/>
      <c r="X4272" s="1"/>
      <c r="Y4272" s="1"/>
      <c r="Z4272" s="1"/>
      <c r="AA4272" s="1"/>
      <c r="AB4272" s="1"/>
      <c r="AC4272" s="1"/>
      <c r="AD4272" s="1"/>
      <c r="AE4272" s="1"/>
      <c r="AF4272" s="1"/>
      <c r="AG4272" s="1"/>
      <c r="AH4272" s="1"/>
    </row>
    <row r="4273" ht="12.75" hidden="1" customHeight="1" outlineLevel="1">
      <c r="A4273" s="17">
        <v>41765.0</v>
      </c>
      <c r="B4273" s="1"/>
      <c r="C4273" s="1" t="s">
        <v>431</v>
      </c>
      <c r="D4273" s="74"/>
      <c r="E4273" s="67"/>
      <c r="F4273" s="75"/>
      <c r="G4273" s="67"/>
      <c r="H4273" s="68"/>
      <c r="I4273" s="76"/>
      <c r="J4273" s="67"/>
      <c r="K4273" s="7" t="s">
        <v>1126</v>
      </c>
      <c r="L4273" s="77"/>
      <c r="M4273" s="79"/>
      <c r="N4273" s="1"/>
      <c r="O4273" s="1"/>
      <c r="P4273" s="1"/>
      <c r="Q4273" s="1"/>
      <c r="R4273" s="1"/>
      <c r="S4273" s="1"/>
      <c r="T4273" s="1"/>
      <c r="U4273" s="1"/>
      <c r="V4273" s="1"/>
      <c r="W4273" s="1"/>
      <c r="X4273" s="1"/>
      <c r="Y4273" s="1"/>
      <c r="Z4273" s="1"/>
      <c r="AA4273" s="1"/>
      <c r="AB4273" s="1"/>
      <c r="AC4273" s="1"/>
      <c r="AD4273" s="1"/>
      <c r="AE4273" s="1"/>
      <c r="AF4273" s="1"/>
      <c r="AG4273" s="1"/>
      <c r="AH4273" s="1"/>
    </row>
    <row r="4274" ht="12.75" hidden="1" customHeight="1" outlineLevel="1">
      <c r="A4274" s="17">
        <v>41765.0</v>
      </c>
      <c r="B4274" s="1"/>
      <c r="C4274" s="1" t="s">
        <v>433</v>
      </c>
      <c r="D4274" s="74"/>
      <c r="E4274" s="67"/>
      <c r="F4274" s="75"/>
      <c r="G4274" s="67"/>
      <c r="H4274" s="68"/>
      <c r="I4274" s="76"/>
      <c r="J4274" s="67"/>
      <c r="K4274" s="7" t="s">
        <v>1103</v>
      </c>
      <c r="L4274" s="77"/>
      <c r="M4274" s="79"/>
      <c r="N4274" s="1"/>
      <c r="O4274" s="1"/>
      <c r="P4274" s="1"/>
      <c r="Q4274" s="1"/>
      <c r="R4274" s="1"/>
      <c r="S4274" s="1"/>
      <c r="T4274" s="1"/>
      <c r="U4274" s="1"/>
      <c r="V4274" s="1"/>
      <c r="W4274" s="1"/>
      <c r="X4274" s="1"/>
      <c r="Y4274" s="1"/>
      <c r="Z4274" s="1"/>
      <c r="AA4274" s="1"/>
      <c r="AB4274" s="1"/>
      <c r="AC4274" s="1"/>
      <c r="AD4274" s="1"/>
      <c r="AE4274" s="1"/>
      <c r="AF4274" s="1"/>
      <c r="AG4274" s="1"/>
      <c r="AH4274" s="1"/>
    </row>
    <row r="4275" ht="12.75" hidden="1" customHeight="1" outlineLevel="1">
      <c r="A4275" s="17">
        <v>41765.0</v>
      </c>
      <c r="B4275" s="1"/>
      <c r="C4275" s="1" t="s">
        <v>435</v>
      </c>
      <c r="D4275" s="74"/>
      <c r="E4275" s="67"/>
      <c r="F4275" s="75"/>
      <c r="G4275" s="67"/>
      <c r="H4275" s="68"/>
      <c r="I4275" s="76"/>
      <c r="J4275" s="67"/>
      <c r="K4275" s="7" t="s">
        <v>1507</v>
      </c>
      <c r="L4275" s="77"/>
      <c r="M4275" s="79"/>
      <c r="N4275" s="1"/>
      <c r="O4275" s="1"/>
      <c r="P4275" s="1"/>
      <c r="Q4275" s="1"/>
      <c r="R4275" s="1"/>
      <c r="S4275" s="1"/>
      <c r="T4275" s="1"/>
      <c r="U4275" s="1"/>
      <c r="V4275" s="1"/>
      <c r="W4275" s="1"/>
      <c r="X4275" s="1"/>
      <c r="Y4275" s="1"/>
      <c r="Z4275" s="1"/>
      <c r="AA4275" s="1"/>
      <c r="AB4275" s="1"/>
      <c r="AC4275" s="1"/>
      <c r="AD4275" s="1"/>
      <c r="AE4275" s="1"/>
      <c r="AF4275" s="1"/>
      <c r="AG4275" s="1"/>
      <c r="AH4275" s="1"/>
    </row>
    <row r="4276" ht="12.75" hidden="1" customHeight="1" outlineLevel="1">
      <c r="A4276" s="17">
        <v>41766.0</v>
      </c>
      <c r="B4276" s="1" t="s">
        <v>347</v>
      </c>
      <c r="C4276" s="1" t="s">
        <v>1763</v>
      </c>
      <c r="D4276" s="74">
        <v>1400.0</v>
      </c>
      <c r="E4276" s="67">
        <v>3.779</v>
      </c>
      <c r="F4276" s="75">
        <v>0.4154513888888889</v>
      </c>
      <c r="G4276" s="67" t="s">
        <v>453</v>
      </c>
      <c r="H4276" s="68">
        <v>5.82</v>
      </c>
      <c r="I4276" s="76"/>
      <c r="J4276" s="67">
        <f t="shared" ref="J4276:J4280" si="266">IF(B4276="SLD",D4276*E4276,-D4276*E4276)-H4276</f>
        <v>5284.78</v>
      </c>
      <c r="K4276" s="7"/>
      <c r="L4276" s="70"/>
      <c r="M4276" s="79"/>
      <c r="N4276" s="1"/>
      <c r="O4276" s="1"/>
      <c r="P4276" s="1"/>
      <c r="Q4276" s="1"/>
      <c r="R4276" s="1"/>
      <c r="S4276" s="1"/>
      <c r="T4276" s="1"/>
      <c r="U4276" s="1"/>
      <c r="V4276" s="1"/>
      <c r="W4276" s="1"/>
      <c r="X4276" s="1"/>
      <c r="Y4276" s="1"/>
      <c r="Z4276" s="1"/>
      <c r="AA4276" s="1"/>
      <c r="AB4276" s="1"/>
      <c r="AC4276" s="1"/>
      <c r="AD4276" s="1"/>
      <c r="AE4276" s="1"/>
      <c r="AF4276" s="1"/>
      <c r="AG4276" s="1"/>
      <c r="AH4276" s="1"/>
    </row>
    <row r="4277" ht="12.75" hidden="1" customHeight="1" outlineLevel="1">
      <c r="A4277" s="17">
        <v>41766.0</v>
      </c>
      <c r="B4277" s="1" t="s">
        <v>347</v>
      </c>
      <c r="C4277" s="1" t="s">
        <v>1756</v>
      </c>
      <c r="D4277" s="74">
        <v>400.0</v>
      </c>
      <c r="E4277" s="67">
        <v>14.622</v>
      </c>
      <c r="F4277" s="75">
        <v>0.4159143518518518</v>
      </c>
      <c r="G4277" s="67" t="s">
        <v>453</v>
      </c>
      <c r="H4277" s="68">
        <v>1.73</v>
      </c>
      <c r="I4277" s="76"/>
      <c r="J4277" s="67">
        <f t="shared" si="266"/>
        <v>5847.07</v>
      </c>
      <c r="K4277" s="7"/>
      <c r="L4277" s="70"/>
      <c r="M4277" s="79"/>
      <c r="N4277" s="1"/>
      <c r="O4277" s="1"/>
      <c r="P4277" s="1"/>
      <c r="Q4277" s="1"/>
      <c r="R4277" s="1"/>
      <c r="S4277" s="1"/>
      <c r="T4277" s="1"/>
      <c r="U4277" s="1"/>
      <c r="V4277" s="1"/>
      <c r="W4277" s="1"/>
      <c r="X4277" s="1"/>
      <c r="Y4277" s="1"/>
      <c r="Z4277" s="1"/>
      <c r="AA4277" s="1"/>
      <c r="AB4277" s="1"/>
      <c r="AC4277" s="1"/>
      <c r="AD4277" s="1"/>
      <c r="AE4277" s="1"/>
      <c r="AF4277" s="1"/>
      <c r="AG4277" s="1"/>
      <c r="AH4277" s="1"/>
    </row>
    <row r="4278" ht="12.75" hidden="1" customHeight="1" outlineLevel="1">
      <c r="A4278" s="17">
        <v>41766.0</v>
      </c>
      <c r="B4278" s="1" t="s">
        <v>347</v>
      </c>
      <c r="C4278" s="1" t="s">
        <v>355</v>
      </c>
      <c r="D4278" s="74">
        <v>1000.0</v>
      </c>
      <c r="E4278" s="67">
        <v>6.748</v>
      </c>
      <c r="F4278" s="75">
        <v>0.41651620370370374</v>
      </c>
      <c r="G4278" s="67" t="s">
        <v>453</v>
      </c>
      <c r="H4278" s="68">
        <v>4.15</v>
      </c>
      <c r="I4278" s="76"/>
      <c r="J4278" s="67">
        <f t="shared" si="266"/>
        <v>6743.85</v>
      </c>
      <c r="K4278" s="7"/>
      <c r="L4278" s="70"/>
      <c r="M4278" s="79"/>
      <c r="N4278" s="1"/>
      <c r="O4278" s="1"/>
      <c r="P4278" s="1"/>
      <c r="Q4278" s="1"/>
      <c r="R4278" s="1"/>
      <c r="S4278" s="1"/>
      <c r="T4278" s="1"/>
      <c r="U4278" s="1"/>
      <c r="V4278" s="1"/>
      <c r="W4278" s="1"/>
      <c r="X4278" s="1"/>
      <c r="Y4278" s="1"/>
      <c r="Z4278" s="1"/>
      <c r="AA4278" s="1"/>
      <c r="AB4278" s="1"/>
      <c r="AC4278" s="1"/>
      <c r="AD4278" s="1"/>
      <c r="AE4278" s="1"/>
      <c r="AF4278" s="1"/>
      <c r="AG4278" s="1"/>
      <c r="AH4278" s="1"/>
    </row>
    <row r="4279" ht="12.75" hidden="1" customHeight="1" outlineLevel="1">
      <c r="A4279" s="17">
        <v>41766.0</v>
      </c>
      <c r="B4279" s="1" t="s">
        <v>347</v>
      </c>
      <c r="C4279" s="1" t="s">
        <v>1725</v>
      </c>
      <c r="D4279" s="74">
        <v>600.0</v>
      </c>
      <c r="E4279" s="67">
        <v>13.5</v>
      </c>
      <c r="F4279" s="75">
        <v>0.41748842592592594</v>
      </c>
      <c r="G4279" s="67" t="s">
        <v>453</v>
      </c>
      <c r="H4279" s="68">
        <v>2.58</v>
      </c>
      <c r="I4279" s="76"/>
      <c r="J4279" s="67">
        <f t="shared" si="266"/>
        <v>8097.42</v>
      </c>
      <c r="K4279" s="7"/>
      <c r="L4279" s="70"/>
      <c r="M4279" s="79"/>
      <c r="N4279" s="1"/>
      <c r="O4279" s="1"/>
      <c r="P4279" s="1"/>
      <c r="Q4279" s="1"/>
      <c r="R4279" s="1"/>
      <c r="S4279" s="1"/>
      <c r="T4279" s="1"/>
      <c r="U4279" s="1"/>
      <c r="V4279" s="1"/>
      <c r="W4279" s="1"/>
      <c r="X4279" s="1"/>
      <c r="Y4279" s="1"/>
      <c r="Z4279" s="1"/>
      <c r="AA4279" s="1"/>
      <c r="AB4279" s="1"/>
      <c r="AC4279" s="1"/>
      <c r="AD4279" s="1"/>
      <c r="AE4279" s="1"/>
      <c r="AF4279" s="1"/>
      <c r="AG4279" s="1"/>
      <c r="AH4279" s="1"/>
    </row>
    <row r="4280" ht="12.75" hidden="1" customHeight="1" outlineLevel="1">
      <c r="A4280" s="17">
        <v>41766.0</v>
      </c>
      <c r="B4280" s="1" t="s">
        <v>347</v>
      </c>
      <c r="C4280" s="1" t="s">
        <v>790</v>
      </c>
      <c r="D4280" s="74">
        <v>2600.0</v>
      </c>
      <c r="E4280" s="67">
        <v>15.3</v>
      </c>
      <c r="F4280" s="75">
        <v>0.4185069444444445</v>
      </c>
      <c r="G4280" s="67" t="s">
        <v>453</v>
      </c>
      <c r="H4280" s="68">
        <v>13.78</v>
      </c>
      <c r="I4280" s="76"/>
      <c r="J4280" s="67">
        <f t="shared" si="266"/>
        <v>39766.22</v>
      </c>
      <c r="K4280" s="7"/>
      <c r="L4280" s="70"/>
      <c r="M4280" s="79"/>
      <c r="N4280" s="1"/>
      <c r="O4280" s="1"/>
      <c r="P4280" s="1"/>
      <c r="Q4280" s="1"/>
      <c r="R4280" s="1"/>
      <c r="S4280" s="1"/>
      <c r="T4280" s="1"/>
      <c r="U4280" s="1"/>
      <c r="V4280" s="1"/>
      <c r="W4280" s="1"/>
      <c r="X4280" s="1"/>
      <c r="Y4280" s="1"/>
      <c r="Z4280" s="1"/>
      <c r="AA4280" s="1"/>
      <c r="AB4280" s="1"/>
      <c r="AC4280" s="1"/>
      <c r="AD4280" s="1"/>
      <c r="AE4280" s="1"/>
      <c r="AF4280" s="1"/>
      <c r="AG4280" s="1"/>
      <c r="AH4280" s="1"/>
    </row>
    <row r="4281" ht="12.75" hidden="1" customHeight="1" outlineLevel="1">
      <c r="A4281" s="17">
        <v>41766.0</v>
      </c>
      <c r="B4281" s="1"/>
      <c r="C4281" s="1" t="s">
        <v>339</v>
      </c>
      <c r="D4281" s="74"/>
      <c r="E4281" s="67"/>
      <c r="F4281" s="75"/>
      <c r="G4281" s="67"/>
      <c r="H4281" s="68"/>
      <c r="I4281" s="76"/>
      <c r="J4281" s="67"/>
      <c r="K4281" s="7" t="s">
        <v>1774</v>
      </c>
      <c r="L4281" s="77"/>
      <c r="M4281" s="79"/>
      <c r="N4281" s="1"/>
      <c r="O4281" s="1"/>
      <c r="P4281" s="1"/>
      <c r="Q4281" s="1"/>
      <c r="R4281" s="1"/>
      <c r="S4281" s="1"/>
      <c r="T4281" s="1"/>
      <c r="U4281" s="1"/>
      <c r="V4281" s="1"/>
      <c r="W4281" s="1"/>
      <c r="X4281" s="1"/>
      <c r="Y4281" s="1"/>
      <c r="Z4281" s="1"/>
      <c r="AA4281" s="1"/>
      <c r="AB4281" s="1"/>
      <c r="AC4281" s="1"/>
      <c r="AD4281" s="1"/>
      <c r="AE4281" s="1"/>
      <c r="AF4281" s="1"/>
      <c r="AG4281" s="1"/>
      <c r="AH4281" s="1"/>
    </row>
    <row r="4282" ht="12.75" hidden="1" customHeight="1" outlineLevel="1">
      <c r="A4282" s="17">
        <v>41766.0</v>
      </c>
      <c r="B4282" s="1"/>
      <c r="C4282" s="1" t="s">
        <v>429</v>
      </c>
      <c r="D4282" s="74"/>
      <c r="E4282" s="67"/>
      <c r="F4282" s="75"/>
      <c r="G4282" s="67"/>
      <c r="H4282" s="68"/>
      <c r="I4282" s="76"/>
      <c r="J4282" s="67"/>
      <c r="K4282" s="7" t="s">
        <v>1761</v>
      </c>
      <c r="L4282" s="77"/>
      <c r="M4282" s="79"/>
      <c r="N4282" s="1"/>
      <c r="O4282" s="1"/>
      <c r="P4282" s="1"/>
      <c r="Q4282" s="1"/>
      <c r="R4282" s="1"/>
      <c r="S4282" s="1"/>
      <c r="T4282" s="1"/>
      <c r="U4282" s="1"/>
      <c r="V4282" s="1"/>
      <c r="W4282" s="1"/>
      <c r="X4282" s="1"/>
      <c r="Y4282" s="1"/>
      <c r="Z4282" s="1"/>
      <c r="AA4282" s="1"/>
      <c r="AB4282" s="1"/>
      <c r="AC4282" s="1"/>
      <c r="AD4282" s="1"/>
      <c r="AE4282" s="1"/>
      <c r="AF4282" s="1"/>
      <c r="AG4282" s="1"/>
      <c r="AH4282" s="1"/>
    </row>
    <row r="4283" ht="12.75" hidden="1" customHeight="1" outlineLevel="1">
      <c r="A4283" s="17">
        <v>41766.0</v>
      </c>
      <c r="B4283" s="1"/>
      <c r="C4283" s="1" t="s">
        <v>431</v>
      </c>
      <c r="D4283" s="74"/>
      <c r="E4283" s="67"/>
      <c r="F4283" s="75"/>
      <c r="G4283" s="67"/>
      <c r="H4283" s="68"/>
      <c r="I4283" s="76"/>
      <c r="J4283" s="67"/>
      <c r="K4283" s="7" t="s">
        <v>1126</v>
      </c>
      <c r="L4283" s="77"/>
      <c r="M4283" s="79"/>
      <c r="N4283" s="1"/>
      <c r="O4283" s="1"/>
      <c r="P4283" s="1"/>
      <c r="Q4283" s="1"/>
      <c r="R4283" s="1"/>
      <c r="S4283" s="1"/>
      <c r="T4283" s="1"/>
      <c r="U4283" s="1"/>
      <c r="V4283" s="1"/>
      <c r="W4283" s="1"/>
      <c r="X4283" s="1"/>
      <c r="Y4283" s="1"/>
      <c r="Z4283" s="1"/>
      <c r="AA4283" s="1"/>
      <c r="AB4283" s="1"/>
      <c r="AC4283" s="1"/>
      <c r="AD4283" s="1"/>
      <c r="AE4283" s="1"/>
      <c r="AF4283" s="1"/>
      <c r="AG4283" s="1"/>
      <c r="AH4283" s="1"/>
    </row>
    <row r="4284" ht="12.75" hidden="1" customHeight="1" outlineLevel="1">
      <c r="A4284" s="17">
        <v>41766.0</v>
      </c>
      <c r="B4284" s="1"/>
      <c r="C4284" s="1" t="s">
        <v>433</v>
      </c>
      <c r="D4284" s="74"/>
      <c r="E4284" s="67"/>
      <c r="F4284" s="75"/>
      <c r="G4284" s="67"/>
      <c r="H4284" s="68"/>
      <c r="I4284" s="76"/>
      <c r="J4284" s="67"/>
      <c r="K4284" s="7" t="s">
        <v>1103</v>
      </c>
      <c r="L4284" s="77"/>
      <c r="M4284" s="79"/>
      <c r="N4284" s="1"/>
      <c r="O4284" s="1"/>
      <c r="P4284" s="1"/>
      <c r="Q4284" s="1"/>
      <c r="R4284" s="1"/>
      <c r="S4284" s="1"/>
      <c r="T4284" s="1"/>
      <c r="U4284" s="1"/>
      <c r="V4284" s="1"/>
      <c r="W4284" s="1"/>
      <c r="X4284" s="1"/>
      <c r="Y4284" s="1"/>
      <c r="Z4284" s="1"/>
      <c r="AA4284" s="1"/>
      <c r="AB4284" s="1"/>
      <c r="AC4284" s="1"/>
      <c r="AD4284" s="1"/>
      <c r="AE4284" s="1"/>
      <c r="AF4284" s="1"/>
      <c r="AG4284" s="1"/>
      <c r="AH4284" s="1"/>
    </row>
    <row r="4285" ht="12.75" hidden="1" customHeight="1" outlineLevel="1">
      <c r="A4285" s="17">
        <v>41766.0</v>
      </c>
      <c r="B4285" s="1"/>
      <c r="C4285" s="1" t="s">
        <v>435</v>
      </c>
      <c r="D4285" s="74"/>
      <c r="E4285" s="67"/>
      <c r="F4285" s="75"/>
      <c r="G4285" s="67"/>
      <c r="H4285" s="68"/>
      <c r="I4285" s="76"/>
      <c r="J4285" s="67"/>
      <c r="K4285" s="7" t="s">
        <v>1507</v>
      </c>
      <c r="L4285" s="77"/>
      <c r="M4285" s="79"/>
      <c r="N4285" s="1"/>
      <c r="O4285" s="1"/>
      <c r="P4285" s="1"/>
      <c r="Q4285" s="1"/>
      <c r="R4285" s="1"/>
      <c r="S4285" s="1"/>
      <c r="T4285" s="1"/>
      <c r="U4285" s="1"/>
      <c r="V4285" s="1"/>
      <c r="W4285" s="1"/>
      <c r="X4285" s="1"/>
      <c r="Y4285" s="1"/>
      <c r="Z4285" s="1"/>
      <c r="AA4285" s="1"/>
      <c r="AB4285" s="1"/>
      <c r="AC4285" s="1"/>
      <c r="AD4285" s="1"/>
      <c r="AE4285" s="1"/>
      <c r="AF4285" s="1"/>
      <c r="AG4285" s="1"/>
      <c r="AH4285" s="1"/>
    </row>
    <row r="4286" ht="12.75" hidden="1" customHeight="1" outlineLevel="1">
      <c r="A4286" s="17">
        <v>41767.0</v>
      </c>
      <c r="B4286" s="1" t="s">
        <v>347</v>
      </c>
      <c r="C4286" s="1" t="s">
        <v>1725</v>
      </c>
      <c r="D4286" s="74">
        <v>200.0</v>
      </c>
      <c r="E4286" s="67">
        <v>11.56</v>
      </c>
      <c r="F4286" s="75">
        <v>0.39944444444444444</v>
      </c>
      <c r="G4286" s="67" t="s">
        <v>453</v>
      </c>
      <c r="H4286" s="68">
        <v>1.05</v>
      </c>
      <c r="I4286" s="76"/>
      <c r="J4286" s="67">
        <f t="shared" ref="J4286:J4293" si="267">IF(B4286="SLD",D4286*E4286,-D4286*E4286)-H4286</f>
        <v>2310.95</v>
      </c>
      <c r="K4286" s="7"/>
      <c r="L4286" s="70"/>
      <c r="M4286" s="79"/>
      <c r="N4286" s="1"/>
      <c r="O4286" s="1"/>
      <c r="P4286" s="1"/>
      <c r="Q4286" s="1"/>
      <c r="R4286" s="1"/>
      <c r="S4286" s="1"/>
      <c r="T4286" s="1"/>
      <c r="U4286" s="1"/>
      <c r="V4286" s="1"/>
      <c r="W4286" s="1"/>
      <c r="X4286" s="1"/>
      <c r="Y4286" s="1"/>
      <c r="Z4286" s="1"/>
      <c r="AA4286" s="1"/>
      <c r="AB4286" s="1"/>
      <c r="AC4286" s="1"/>
      <c r="AD4286" s="1"/>
      <c r="AE4286" s="1"/>
      <c r="AF4286" s="1"/>
      <c r="AG4286" s="1"/>
      <c r="AH4286" s="1"/>
    </row>
    <row r="4287" ht="12.75" hidden="1" customHeight="1" outlineLevel="1">
      <c r="A4287" s="17">
        <v>41767.0</v>
      </c>
      <c r="B4287" s="1" t="s">
        <v>347</v>
      </c>
      <c r="C4287" s="1" t="s">
        <v>355</v>
      </c>
      <c r="D4287" s="74">
        <v>1300.0</v>
      </c>
      <c r="E4287" s="67">
        <v>6.59</v>
      </c>
      <c r="F4287" s="75">
        <v>0.4012731481481482</v>
      </c>
      <c r="G4287" s="67" t="s">
        <v>453</v>
      </c>
      <c r="H4287" s="68">
        <v>5.59</v>
      </c>
      <c r="I4287" s="76"/>
      <c r="J4287" s="67">
        <f t="shared" si="267"/>
        <v>8561.41</v>
      </c>
      <c r="K4287" s="7"/>
      <c r="L4287" s="70"/>
      <c r="M4287" s="79"/>
      <c r="N4287" s="1"/>
      <c r="O4287" s="1"/>
      <c r="P4287" s="1"/>
      <c r="Q4287" s="1"/>
      <c r="R4287" s="1"/>
      <c r="S4287" s="1"/>
      <c r="T4287" s="1"/>
      <c r="U4287" s="1"/>
      <c r="V4287" s="1"/>
      <c r="W4287" s="1"/>
      <c r="X4287" s="1"/>
      <c r="Y4287" s="1"/>
      <c r="Z4287" s="1"/>
      <c r="AA4287" s="1"/>
      <c r="AB4287" s="1"/>
      <c r="AC4287" s="1"/>
      <c r="AD4287" s="1"/>
      <c r="AE4287" s="1"/>
      <c r="AF4287" s="1"/>
      <c r="AG4287" s="1"/>
      <c r="AH4287" s="1"/>
    </row>
    <row r="4288" ht="12.75" hidden="1" customHeight="1" outlineLevel="1">
      <c r="A4288" s="17">
        <v>41767.0</v>
      </c>
      <c r="B4288" s="1" t="s">
        <v>347</v>
      </c>
      <c r="C4288" s="1" t="s">
        <v>1725</v>
      </c>
      <c r="D4288" s="74">
        <v>300.0</v>
      </c>
      <c r="E4288" s="67">
        <v>11.42</v>
      </c>
      <c r="F4288" s="75">
        <v>0.40182870370370366</v>
      </c>
      <c r="G4288" s="67" t="s">
        <v>453</v>
      </c>
      <c r="H4288" s="68">
        <v>1.48</v>
      </c>
      <c r="I4288" s="76"/>
      <c r="J4288" s="67">
        <f t="shared" si="267"/>
        <v>3424.52</v>
      </c>
      <c r="K4288" s="7"/>
      <c r="L4288" s="70"/>
      <c r="M4288" s="79"/>
      <c r="N4288" s="1"/>
      <c r="O4288" s="1"/>
      <c r="P4288" s="1"/>
      <c r="Q4288" s="1"/>
      <c r="R4288" s="1"/>
      <c r="S4288" s="1"/>
      <c r="T4288" s="1"/>
      <c r="U4288" s="1"/>
      <c r="V4288" s="1"/>
      <c r="W4288" s="1"/>
      <c r="X4288" s="1"/>
      <c r="Y4288" s="1"/>
      <c r="Z4288" s="1"/>
      <c r="AA4288" s="1"/>
      <c r="AB4288" s="1"/>
      <c r="AC4288" s="1"/>
      <c r="AD4288" s="1"/>
      <c r="AE4288" s="1"/>
      <c r="AF4288" s="1"/>
      <c r="AG4288" s="1"/>
      <c r="AH4288" s="1"/>
    </row>
    <row r="4289" ht="12.75" hidden="1" customHeight="1" outlineLevel="1">
      <c r="A4289" s="17">
        <v>41767.0</v>
      </c>
      <c r="B4289" s="1" t="s">
        <v>347</v>
      </c>
      <c r="C4289" s="1" t="s">
        <v>1756</v>
      </c>
      <c r="D4289" s="74">
        <v>500.0</v>
      </c>
      <c r="E4289" s="67">
        <v>14.408</v>
      </c>
      <c r="F4289" s="75">
        <v>0.40224537037037034</v>
      </c>
      <c r="G4289" s="67" t="s">
        <v>453</v>
      </c>
      <c r="H4289" s="68">
        <v>2.66</v>
      </c>
      <c r="I4289" s="76"/>
      <c r="J4289" s="67">
        <f t="shared" si="267"/>
        <v>7201.34</v>
      </c>
      <c r="K4289" s="7"/>
      <c r="L4289" s="70"/>
      <c r="M4289" s="79"/>
      <c r="N4289" s="1"/>
      <c r="O4289" s="1"/>
      <c r="P4289" s="1"/>
      <c r="Q4289" s="1"/>
      <c r="R4289" s="1"/>
      <c r="S4289" s="1"/>
      <c r="T4289" s="1"/>
      <c r="U4289" s="1"/>
      <c r="V4289" s="1"/>
      <c r="W4289" s="1"/>
      <c r="X4289" s="1"/>
      <c r="Y4289" s="1"/>
      <c r="Z4289" s="1"/>
      <c r="AA4289" s="1"/>
      <c r="AB4289" s="1"/>
      <c r="AC4289" s="1"/>
      <c r="AD4289" s="1"/>
      <c r="AE4289" s="1"/>
      <c r="AF4289" s="1"/>
      <c r="AG4289" s="1"/>
      <c r="AH4289" s="1"/>
    </row>
    <row r="4290" ht="12.75" hidden="1" customHeight="1" outlineLevel="1">
      <c r="A4290" s="17">
        <v>41767.0</v>
      </c>
      <c r="B4290" s="1" t="s">
        <v>347</v>
      </c>
      <c r="C4290" s="1" t="s">
        <v>1725</v>
      </c>
      <c r="D4290" s="74">
        <v>500.0</v>
      </c>
      <c r="E4290" s="67">
        <v>11.51</v>
      </c>
      <c r="F4290" s="75">
        <v>0.40531249999999996</v>
      </c>
      <c r="G4290" s="67" t="s">
        <v>453</v>
      </c>
      <c r="H4290" s="68">
        <v>2.43</v>
      </c>
      <c r="I4290" s="76"/>
      <c r="J4290" s="67">
        <f t="shared" si="267"/>
        <v>5752.57</v>
      </c>
      <c r="K4290" s="7"/>
      <c r="L4290" s="70"/>
      <c r="M4290" s="79"/>
      <c r="N4290" s="1"/>
      <c r="O4290" s="1"/>
      <c r="P4290" s="1"/>
      <c r="Q4290" s="1"/>
      <c r="R4290" s="1"/>
      <c r="S4290" s="1"/>
      <c r="T4290" s="1"/>
      <c r="U4290" s="1"/>
      <c r="V4290" s="1"/>
      <c r="W4290" s="1"/>
      <c r="X4290" s="1"/>
      <c r="Y4290" s="1"/>
      <c r="Z4290" s="1"/>
      <c r="AA4290" s="1"/>
      <c r="AB4290" s="1"/>
      <c r="AC4290" s="1"/>
      <c r="AD4290" s="1"/>
      <c r="AE4290" s="1"/>
      <c r="AF4290" s="1"/>
      <c r="AG4290" s="1"/>
      <c r="AH4290" s="1"/>
    </row>
    <row r="4291" ht="12.75" hidden="1" customHeight="1" outlineLevel="1">
      <c r="A4291" s="17">
        <v>41767.0</v>
      </c>
      <c r="B4291" s="1" t="s">
        <v>343</v>
      </c>
      <c r="C4291" s="1" t="s">
        <v>354</v>
      </c>
      <c r="D4291" s="74">
        <v>600.0</v>
      </c>
      <c r="E4291" s="67">
        <v>100.71</v>
      </c>
      <c r="F4291" s="75">
        <v>0.5843171296296296</v>
      </c>
      <c r="G4291" s="67" t="s">
        <v>453</v>
      </c>
      <c r="H4291" s="68">
        <v>2.7</v>
      </c>
      <c r="I4291" s="76"/>
      <c r="J4291" s="67">
        <f t="shared" si="267"/>
        <v>-60428.7</v>
      </c>
      <c r="K4291" s="7"/>
      <c r="L4291" s="70"/>
      <c r="M4291" s="79"/>
      <c r="N4291" s="1"/>
      <c r="O4291" s="1"/>
      <c r="P4291" s="1"/>
      <c r="Q4291" s="1"/>
      <c r="R4291" s="1"/>
      <c r="S4291" s="1"/>
      <c r="T4291" s="1"/>
      <c r="U4291" s="1"/>
      <c r="V4291" s="1"/>
      <c r="W4291" s="1"/>
      <c r="X4291" s="1"/>
      <c r="Y4291" s="1"/>
      <c r="Z4291" s="1"/>
      <c r="AA4291" s="1"/>
      <c r="AB4291" s="1"/>
      <c r="AC4291" s="1"/>
      <c r="AD4291" s="1"/>
      <c r="AE4291" s="1"/>
      <c r="AF4291" s="1"/>
      <c r="AG4291" s="1"/>
      <c r="AH4291" s="1"/>
    </row>
    <row r="4292" ht="12.75" hidden="1" customHeight="1" outlineLevel="1">
      <c r="A4292" s="17">
        <v>41767.0</v>
      </c>
      <c r="B4292" s="1" t="s">
        <v>343</v>
      </c>
      <c r="C4292" s="1" t="s">
        <v>1371</v>
      </c>
      <c r="D4292" s="74">
        <v>1300.0</v>
      </c>
      <c r="E4292" s="67">
        <v>33.147</v>
      </c>
      <c r="F4292" s="75">
        <v>0.5846875</v>
      </c>
      <c r="G4292" s="67" t="s">
        <v>453</v>
      </c>
      <c r="H4292" s="68">
        <v>6.5</v>
      </c>
      <c r="I4292" s="76"/>
      <c r="J4292" s="67">
        <f t="shared" si="267"/>
        <v>-43097.6</v>
      </c>
      <c r="K4292" s="7"/>
      <c r="L4292" s="70"/>
      <c r="M4292" s="79"/>
      <c r="N4292" s="1"/>
      <c r="O4292" s="1"/>
      <c r="P4292" s="1"/>
      <c r="Q4292" s="1"/>
      <c r="R4292" s="1"/>
      <c r="S4292" s="1"/>
      <c r="T4292" s="1"/>
      <c r="U4292" s="1"/>
      <c r="V4292" s="1"/>
      <c r="W4292" s="1"/>
      <c r="X4292" s="1"/>
      <c r="Y4292" s="1"/>
      <c r="Z4292" s="1"/>
      <c r="AA4292" s="1"/>
      <c r="AB4292" s="1"/>
      <c r="AC4292" s="1"/>
      <c r="AD4292" s="1"/>
      <c r="AE4292" s="1"/>
      <c r="AF4292" s="1"/>
      <c r="AG4292" s="1"/>
      <c r="AH4292" s="1"/>
    </row>
    <row r="4293" ht="12.75" hidden="1" customHeight="1" outlineLevel="1">
      <c r="A4293" s="17">
        <v>41767.0</v>
      </c>
      <c r="B4293" s="1" t="s">
        <v>347</v>
      </c>
      <c r="C4293" s="1" t="s">
        <v>1763</v>
      </c>
      <c r="D4293" s="74">
        <v>2000.0</v>
      </c>
      <c r="E4293" s="67">
        <v>3.75</v>
      </c>
      <c r="F4293" s="75">
        <v>0.597037037037037</v>
      </c>
      <c r="G4293" s="67" t="s">
        <v>453</v>
      </c>
      <c r="H4293" s="68">
        <v>8.37</v>
      </c>
      <c r="I4293" s="76"/>
      <c r="J4293" s="67">
        <f t="shared" si="267"/>
        <v>7491.63</v>
      </c>
      <c r="K4293" s="7"/>
      <c r="L4293" s="70"/>
      <c r="M4293" s="79"/>
      <c r="N4293" s="1"/>
      <c r="O4293" s="1"/>
      <c r="P4293" s="1"/>
      <c r="Q4293" s="1"/>
      <c r="R4293" s="1"/>
      <c r="S4293" s="1"/>
      <c r="T4293" s="1"/>
      <c r="U4293" s="1"/>
      <c r="V4293" s="1"/>
      <c r="W4293" s="1"/>
      <c r="X4293" s="1"/>
      <c r="Y4293" s="1"/>
      <c r="Z4293" s="1"/>
      <c r="AA4293" s="1"/>
      <c r="AB4293" s="1"/>
      <c r="AC4293" s="1"/>
      <c r="AD4293" s="1"/>
      <c r="AE4293" s="1"/>
      <c r="AF4293" s="1"/>
      <c r="AG4293" s="1"/>
      <c r="AH4293" s="1"/>
    </row>
    <row r="4294" ht="12.75" hidden="1" customHeight="1" outlineLevel="1">
      <c r="A4294" s="17">
        <v>41767.0</v>
      </c>
      <c r="B4294" s="1"/>
      <c r="C4294" s="1" t="s">
        <v>339</v>
      </c>
      <c r="D4294" s="74"/>
      <c r="E4294" s="67"/>
      <c r="F4294" s="75"/>
      <c r="G4294" s="67"/>
      <c r="H4294" s="68"/>
      <c r="I4294" s="76"/>
      <c r="J4294" s="67"/>
      <c r="K4294" s="7" t="s">
        <v>1775</v>
      </c>
      <c r="L4294" s="77"/>
      <c r="M4294" s="79"/>
      <c r="N4294" s="1"/>
      <c r="O4294" s="1"/>
      <c r="P4294" s="1"/>
      <c r="Q4294" s="1"/>
      <c r="R4294" s="1"/>
      <c r="S4294" s="1"/>
      <c r="T4294" s="1"/>
      <c r="U4294" s="1"/>
      <c r="V4294" s="1"/>
      <c r="W4294" s="1"/>
      <c r="X4294" s="1"/>
      <c r="Y4294" s="1"/>
      <c r="Z4294" s="1"/>
      <c r="AA4294" s="1"/>
      <c r="AB4294" s="1"/>
      <c r="AC4294" s="1"/>
      <c r="AD4294" s="1"/>
      <c r="AE4294" s="1"/>
      <c r="AF4294" s="1"/>
      <c r="AG4294" s="1"/>
      <c r="AH4294" s="1"/>
    </row>
    <row r="4295" ht="12.75" hidden="1" customHeight="1" outlineLevel="1">
      <c r="A4295" s="17">
        <v>41767.0</v>
      </c>
      <c r="B4295" s="1"/>
      <c r="C4295" s="1" t="s">
        <v>429</v>
      </c>
      <c r="D4295" s="74"/>
      <c r="E4295" s="67"/>
      <c r="F4295" s="75"/>
      <c r="G4295" s="67"/>
      <c r="H4295" s="68"/>
      <c r="I4295" s="76"/>
      <c r="J4295" s="67"/>
      <c r="K4295" s="7" t="s">
        <v>1761</v>
      </c>
      <c r="L4295" s="77"/>
      <c r="M4295" s="79"/>
      <c r="N4295" s="1"/>
      <c r="O4295" s="1"/>
      <c r="P4295" s="1"/>
      <c r="Q4295" s="1"/>
      <c r="R4295" s="1"/>
      <c r="S4295" s="1"/>
      <c r="T4295" s="1"/>
      <c r="U4295" s="1"/>
      <c r="V4295" s="1"/>
      <c r="W4295" s="1"/>
      <c r="X4295" s="1"/>
      <c r="Y4295" s="1"/>
      <c r="Z4295" s="1"/>
      <c r="AA4295" s="1"/>
      <c r="AB4295" s="1"/>
      <c r="AC4295" s="1"/>
      <c r="AD4295" s="1"/>
      <c r="AE4295" s="1"/>
      <c r="AF4295" s="1"/>
      <c r="AG4295" s="1"/>
      <c r="AH4295" s="1"/>
    </row>
    <row r="4296" ht="12.75" hidden="1" customHeight="1" outlineLevel="1">
      <c r="A4296" s="17">
        <v>41767.0</v>
      </c>
      <c r="B4296" s="1"/>
      <c r="C4296" s="1" t="s">
        <v>431</v>
      </c>
      <c r="D4296" s="74"/>
      <c r="E4296" s="67"/>
      <c r="F4296" s="75"/>
      <c r="G4296" s="67"/>
      <c r="H4296" s="68"/>
      <c r="I4296" s="76"/>
      <c r="J4296" s="67"/>
      <c r="K4296" s="7" t="s">
        <v>1126</v>
      </c>
      <c r="L4296" s="77"/>
      <c r="M4296" s="79"/>
      <c r="N4296" s="1"/>
      <c r="O4296" s="1"/>
      <c r="P4296" s="1"/>
      <c r="Q4296" s="1"/>
      <c r="R4296" s="1"/>
      <c r="S4296" s="1"/>
      <c r="T4296" s="1"/>
      <c r="U4296" s="1"/>
      <c r="V4296" s="1"/>
      <c r="W4296" s="1"/>
      <c r="X4296" s="1"/>
      <c r="Y4296" s="1"/>
      <c r="Z4296" s="1"/>
      <c r="AA4296" s="1"/>
      <c r="AB4296" s="1"/>
      <c r="AC4296" s="1"/>
      <c r="AD4296" s="1"/>
      <c r="AE4296" s="1"/>
      <c r="AF4296" s="1"/>
      <c r="AG4296" s="1"/>
      <c r="AH4296" s="1"/>
    </row>
    <row r="4297" ht="12.75" hidden="1" customHeight="1" outlineLevel="1">
      <c r="A4297" s="17">
        <v>41767.0</v>
      </c>
      <c r="B4297" s="1"/>
      <c r="C4297" s="1" t="s">
        <v>433</v>
      </c>
      <c r="D4297" s="74"/>
      <c r="E4297" s="67"/>
      <c r="F4297" s="75"/>
      <c r="G4297" s="67"/>
      <c r="H4297" s="68"/>
      <c r="I4297" s="76"/>
      <c r="J4297" s="67"/>
      <c r="K4297" s="7" t="s">
        <v>1103</v>
      </c>
      <c r="L4297" s="77"/>
      <c r="M4297" s="79"/>
      <c r="N4297" s="1"/>
      <c r="O4297" s="1"/>
      <c r="P4297" s="1"/>
      <c r="Q4297" s="1"/>
      <c r="R4297" s="1"/>
      <c r="S4297" s="1"/>
      <c r="T4297" s="1"/>
      <c r="U4297" s="1"/>
      <c r="V4297" s="1"/>
      <c r="W4297" s="1"/>
      <c r="X4297" s="1"/>
      <c r="Y4297" s="1"/>
      <c r="Z4297" s="1"/>
      <c r="AA4297" s="1"/>
      <c r="AB4297" s="1"/>
      <c r="AC4297" s="1"/>
      <c r="AD4297" s="1"/>
      <c r="AE4297" s="1"/>
      <c r="AF4297" s="1"/>
      <c r="AG4297" s="1"/>
      <c r="AH4297" s="1"/>
    </row>
    <row r="4298" ht="12.75" hidden="1" customHeight="1" outlineLevel="1">
      <c r="A4298" s="17">
        <v>41767.0</v>
      </c>
      <c r="B4298" s="1"/>
      <c r="C4298" s="1" t="s">
        <v>435</v>
      </c>
      <c r="D4298" s="74"/>
      <c r="E4298" s="67"/>
      <c r="F4298" s="75"/>
      <c r="G4298" s="67"/>
      <c r="H4298" s="68"/>
      <c r="I4298" s="76"/>
      <c r="J4298" s="67"/>
      <c r="K4298" s="7" t="s">
        <v>1507</v>
      </c>
      <c r="L4298" s="77"/>
      <c r="M4298" s="79"/>
      <c r="N4298" s="1"/>
      <c r="O4298" s="1"/>
      <c r="P4298" s="1"/>
      <c r="Q4298" s="1"/>
      <c r="R4298" s="1"/>
      <c r="S4298" s="1"/>
      <c r="T4298" s="1"/>
      <c r="U4298" s="1"/>
      <c r="V4298" s="1"/>
      <c r="W4298" s="1"/>
      <c r="X4298" s="1"/>
      <c r="Y4298" s="1"/>
      <c r="Z4298" s="1"/>
      <c r="AA4298" s="1"/>
      <c r="AB4298" s="1"/>
      <c r="AC4298" s="1"/>
      <c r="AD4298" s="1"/>
      <c r="AE4298" s="1"/>
      <c r="AF4298" s="1"/>
      <c r="AG4298" s="1"/>
      <c r="AH4298" s="1"/>
    </row>
    <row r="4299" ht="12.75" hidden="1" customHeight="1" outlineLevel="1">
      <c r="A4299" s="17">
        <v>41768.0</v>
      </c>
      <c r="B4299" s="1" t="s">
        <v>343</v>
      </c>
      <c r="C4299" s="1" t="s">
        <v>605</v>
      </c>
      <c r="D4299" s="74">
        <v>100.0</v>
      </c>
      <c r="E4299" s="67">
        <v>81.32</v>
      </c>
      <c r="F4299" s="75">
        <v>0.4323726851851852</v>
      </c>
      <c r="G4299" s="67" t="s">
        <v>453</v>
      </c>
      <c r="H4299" s="68">
        <v>1.0</v>
      </c>
      <c r="I4299" s="76"/>
      <c r="J4299" s="67">
        <f t="shared" ref="J4299:J4301" si="268">IF(B4299="SLD",D4299*E4299,-D4299*E4299)-H4299</f>
        <v>-8133</v>
      </c>
      <c r="K4299" s="7"/>
      <c r="L4299" s="70"/>
      <c r="M4299" s="79"/>
      <c r="N4299" s="1"/>
      <c r="O4299" s="1"/>
      <c r="P4299" s="1"/>
      <c r="Q4299" s="1"/>
      <c r="R4299" s="1"/>
      <c r="S4299" s="1"/>
      <c r="T4299" s="1"/>
      <c r="U4299" s="1"/>
      <c r="V4299" s="1"/>
      <c r="W4299" s="1"/>
      <c r="X4299" s="1"/>
      <c r="Y4299" s="1"/>
      <c r="Z4299" s="1"/>
      <c r="AA4299" s="1"/>
      <c r="AB4299" s="1"/>
      <c r="AC4299" s="1"/>
      <c r="AD4299" s="1"/>
      <c r="AE4299" s="1"/>
      <c r="AF4299" s="1"/>
      <c r="AG4299" s="1"/>
      <c r="AH4299" s="1"/>
    </row>
    <row r="4300" ht="12.75" hidden="1" customHeight="1" outlineLevel="1">
      <c r="A4300" s="17">
        <v>41768.0</v>
      </c>
      <c r="B4300" s="1" t="s">
        <v>343</v>
      </c>
      <c r="C4300" s="1" t="s">
        <v>779</v>
      </c>
      <c r="D4300" s="74">
        <v>25.0</v>
      </c>
      <c r="E4300" s="67">
        <v>239.1</v>
      </c>
      <c r="F4300" s="75">
        <v>0.48300925925925925</v>
      </c>
      <c r="G4300" s="67" t="s">
        <v>453</v>
      </c>
      <c r="H4300" s="68">
        <v>1.0</v>
      </c>
      <c r="I4300" s="76"/>
      <c r="J4300" s="67">
        <f t="shared" si="268"/>
        <v>-5978.5</v>
      </c>
      <c r="K4300" s="7"/>
      <c r="L4300" s="70"/>
      <c r="M4300" s="79"/>
      <c r="N4300" s="1"/>
      <c r="O4300" s="1"/>
      <c r="P4300" s="1"/>
      <c r="Q4300" s="1"/>
      <c r="R4300" s="1"/>
      <c r="S4300" s="1"/>
      <c r="T4300" s="1"/>
      <c r="U4300" s="1"/>
      <c r="V4300" s="1"/>
      <c r="W4300" s="1"/>
      <c r="X4300" s="1"/>
      <c r="Y4300" s="1"/>
      <c r="Z4300" s="1"/>
      <c r="AA4300" s="1"/>
      <c r="AB4300" s="1"/>
      <c r="AC4300" s="1"/>
      <c r="AD4300" s="1"/>
      <c r="AE4300" s="1"/>
      <c r="AF4300" s="1"/>
      <c r="AG4300" s="1"/>
      <c r="AH4300" s="1"/>
    </row>
    <row r="4301" ht="12.75" hidden="1" customHeight="1" outlineLevel="1">
      <c r="A4301" s="17">
        <v>41768.0</v>
      </c>
      <c r="B4301" s="1" t="s">
        <v>343</v>
      </c>
      <c r="C4301" s="1" t="s">
        <v>870</v>
      </c>
      <c r="D4301" s="74">
        <v>100.0</v>
      </c>
      <c r="E4301" s="67">
        <v>91.46</v>
      </c>
      <c r="F4301" s="75">
        <v>0.4840625</v>
      </c>
      <c r="G4301" s="67" t="s">
        <v>453</v>
      </c>
      <c r="H4301" s="68">
        <v>1.0</v>
      </c>
      <c r="I4301" s="76"/>
      <c r="J4301" s="67">
        <f t="shared" si="268"/>
        <v>-9147</v>
      </c>
      <c r="K4301" s="7"/>
      <c r="L4301" s="70"/>
      <c r="M4301" s="79"/>
      <c r="N4301" s="1"/>
      <c r="O4301" s="1"/>
      <c r="P4301" s="1"/>
      <c r="Q4301" s="1"/>
      <c r="R4301" s="1"/>
      <c r="S4301" s="1"/>
      <c r="T4301" s="1"/>
      <c r="U4301" s="1"/>
      <c r="V4301" s="1"/>
      <c r="W4301" s="1"/>
      <c r="X4301" s="1"/>
      <c r="Y4301" s="1"/>
      <c r="Z4301" s="1"/>
      <c r="AA4301" s="1"/>
      <c r="AB4301" s="1"/>
      <c r="AC4301" s="1"/>
      <c r="AD4301" s="1"/>
      <c r="AE4301" s="1"/>
      <c r="AF4301" s="1"/>
      <c r="AG4301" s="1"/>
      <c r="AH4301" s="1"/>
    </row>
    <row r="4302" ht="12.75" hidden="1" customHeight="1" outlineLevel="1">
      <c r="A4302" s="17">
        <v>41768.0</v>
      </c>
      <c r="B4302" s="1"/>
      <c r="C4302" s="1" t="s">
        <v>339</v>
      </c>
      <c r="D4302" s="74"/>
      <c r="E4302" s="67"/>
      <c r="F4302" s="75"/>
      <c r="G4302" s="67"/>
      <c r="H4302" s="68"/>
      <c r="I4302" s="76"/>
      <c r="J4302" s="67"/>
      <c r="K4302" s="7" t="s">
        <v>1776</v>
      </c>
      <c r="L4302" s="77"/>
      <c r="M4302" s="79"/>
      <c r="N4302" s="1"/>
      <c r="O4302" s="1"/>
      <c r="P4302" s="1"/>
      <c r="Q4302" s="1"/>
      <c r="R4302" s="1"/>
      <c r="S4302" s="1"/>
      <c r="T4302" s="1"/>
      <c r="U4302" s="1"/>
      <c r="V4302" s="1"/>
      <c r="W4302" s="1"/>
      <c r="X4302" s="1"/>
      <c r="Y4302" s="1"/>
      <c r="Z4302" s="1"/>
      <c r="AA4302" s="1"/>
      <c r="AB4302" s="1"/>
      <c r="AC4302" s="1"/>
      <c r="AD4302" s="1"/>
      <c r="AE4302" s="1"/>
      <c r="AF4302" s="1"/>
      <c r="AG4302" s="1"/>
      <c r="AH4302" s="1"/>
    </row>
    <row r="4303" ht="12.75" hidden="1" customHeight="1" outlineLevel="1">
      <c r="A4303" s="17">
        <v>41768.0</v>
      </c>
      <c r="B4303" s="1"/>
      <c r="C4303" s="1" t="s">
        <v>429</v>
      </c>
      <c r="D4303" s="74"/>
      <c r="E4303" s="67"/>
      <c r="F4303" s="75"/>
      <c r="G4303" s="67"/>
      <c r="H4303" s="68"/>
      <c r="I4303" s="76"/>
      <c r="J4303" s="67"/>
      <c r="K4303" s="7" t="s">
        <v>1761</v>
      </c>
      <c r="L4303" s="77"/>
      <c r="M4303" s="79"/>
      <c r="N4303" s="1"/>
      <c r="O4303" s="1"/>
      <c r="P4303" s="1"/>
      <c r="Q4303" s="1"/>
      <c r="R4303" s="1"/>
      <c r="S4303" s="1"/>
      <c r="T4303" s="1"/>
      <c r="U4303" s="1"/>
      <c r="V4303" s="1"/>
      <c r="W4303" s="1"/>
      <c r="X4303" s="1"/>
      <c r="Y4303" s="1"/>
      <c r="Z4303" s="1"/>
      <c r="AA4303" s="1"/>
      <c r="AB4303" s="1"/>
      <c r="AC4303" s="1"/>
      <c r="AD4303" s="1"/>
      <c r="AE4303" s="1"/>
      <c r="AF4303" s="1"/>
      <c r="AG4303" s="1"/>
      <c r="AH4303" s="1"/>
    </row>
    <row r="4304" ht="12.75" hidden="1" customHeight="1" outlineLevel="1">
      <c r="A4304" s="17">
        <v>41768.0</v>
      </c>
      <c r="B4304" s="1"/>
      <c r="C4304" s="1" t="s">
        <v>431</v>
      </c>
      <c r="D4304" s="74"/>
      <c r="E4304" s="67"/>
      <c r="F4304" s="75"/>
      <c r="G4304" s="67"/>
      <c r="H4304" s="68"/>
      <c r="I4304" s="76"/>
      <c r="J4304" s="67"/>
      <c r="K4304" s="7" t="s">
        <v>1126</v>
      </c>
      <c r="L4304" s="77"/>
      <c r="M4304" s="79"/>
      <c r="N4304" s="1"/>
      <c r="O4304" s="1"/>
      <c r="P4304" s="1"/>
      <c r="Q4304" s="1"/>
      <c r="R4304" s="1"/>
      <c r="S4304" s="1"/>
      <c r="T4304" s="1"/>
      <c r="U4304" s="1"/>
      <c r="V4304" s="1"/>
      <c r="W4304" s="1"/>
      <c r="X4304" s="1"/>
      <c r="Y4304" s="1"/>
      <c r="Z4304" s="1"/>
      <c r="AA4304" s="1"/>
      <c r="AB4304" s="1"/>
      <c r="AC4304" s="1"/>
      <c r="AD4304" s="1"/>
      <c r="AE4304" s="1"/>
      <c r="AF4304" s="1"/>
      <c r="AG4304" s="1"/>
      <c r="AH4304" s="1"/>
    </row>
    <row r="4305" ht="12.75" hidden="1" customHeight="1" outlineLevel="1">
      <c r="A4305" s="17">
        <v>41768.0</v>
      </c>
      <c r="B4305" s="1"/>
      <c r="C4305" s="1" t="s">
        <v>433</v>
      </c>
      <c r="D4305" s="74"/>
      <c r="E4305" s="67"/>
      <c r="F4305" s="75"/>
      <c r="G4305" s="67"/>
      <c r="H4305" s="68"/>
      <c r="I4305" s="76"/>
      <c r="J4305" s="67"/>
      <c r="K4305" s="7" t="s">
        <v>1103</v>
      </c>
      <c r="L4305" s="77"/>
      <c r="M4305" s="79"/>
      <c r="N4305" s="1"/>
      <c r="O4305" s="1"/>
      <c r="P4305" s="1"/>
      <c r="Q4305" s="1"/>
      <c r="R4305" s="1"/>
      <c r="S4305" s="1"/>
      <c r="T4305" s="1"/>
      <c r="U4305" s="1"/>
      <c r="V4305" s="1"/>
      <c r="W4305" s="1"/>
      <c r="X4305" s="1"/>
      <c r="Y4305" s="1"/>
      <c r="Z4305" s="1"/>
      <c r="AA4305" s="1"/>
      <c r="AB4305" s="1"/>
      <c r="AC4305" s="1"/>
      <c r="AD4305" s="1"/>
      <c r="AE4305" s="1"/>
      <c r="AF4305" s="1"/>
      <c r="AG4305" s="1"/>
      <c r="AH4305" s="1"/>
    </row>
    <row r="4306" ht="12.75" hidden="1" customHeight="1" outlineLevel="1">
      <c r="A4306" s="17">
        <v>41768.0</v>
      </c>
      <c r="B4306" s="1"/>
      <c r="C4306" s="1" t="s">
        <v>435</v>
      </c>
      <c r="D4306" s="74"/>
      <c r="E4306" s="67"/>
      <c r="F4306" s="75"/>
      <c r="G4306" s="67"/>
      <c r="H4306" s="68"/>
      <c r="I4306" s="76"/>
      <c r="J4306" s="67"/>
      <c r="K4306" s="7" t="s">
        <v>1507</v>
      </c>
      <c r="L4306" s="77"/>
      <c r="M4306" s="79"/>
      <c r="N4306" s="1"/>
      <c r="O4306" s="1"/>
      <c r="P4306" s="1"/>
      <c r="Q4306" s="1"/>
      <c r="R4306" s="1"/>
      <c r="S4306" s="1"/>
      <c r="T4306" s="1"/>
      <c r="U4306" s="1"/>
      <c r="V4306" s="1"/>
      <c r="W4306" s="1"/>
      <c r="X4306" s="1"/>
      <c r="Y4306" s="1"/>
      <c r="Z4306" s="1"/>
      <c r="AA4306" s="1"/>
      <c r="AB4306" s="1"/>
      <c r="AC4306" s="1"/>
      <c r="AD4306" s="1"/>
      <c r="AE4306" s="1"/>
      <c r="AF4306" s="1"/>
      <c r="AG4306" s="1"/>
      <c r="AH4306" s="1"/>
    </row>
    <row r="4307" ht="12.75" hidden="1" customHeight="1" outlineLevel="1">
      <c r="A4307" s="17">
        <v>41772.0</v>
      </c>
      <c r="B4307" s="1"/>
      <c r="C4307" s="1" t="s">
        <v>339</v>
      </c>
      <c r="D4307" s="74"/>
      <c r="E4307" s="67"/>
      <c r="F4307" s="75"/>
      <c r="G4307" s="67"/>
      <c r="H4307" s="68"/>
      <c r="I4307" s="76"/>
      <c r="J4307" s="67"/>
      <c r="K4307" s="7" t="s">
        <v>1776</v>
      </c>
      <c r="L4307" s="77"/>
      <c r="M4307" s="79"/>
      <c r="N4307" s="1"/>
      <c r="O4307" s="1"/>
      <c r="P4307" s="1"/>
      <c r="Q4307" s="1"/>
      <c r="R4307" s="1"/>
      <c r="S4307" s="1"/>
      <c r="T4307" s="1"/>
      <c r="U4307" s="1"/>
      <c r="V4307" s="1"/>
      <c r="W4307" s="1"/>
      <c r="X4307" s="1"/>
      <c r="Y4307" s="1"/>
      <c r="Z4307" s="1"/>
      <c r="AA4307" s="1"/>
      <c r="AB4307" s="1"/>
      <c r="AC4307" s="1"/>
      <c r="AD4307" s="1"/>
      <c r="AE4307" s="1"/>
      <c r="AF4307" s="1"/>
      <c r="AG4307" s="1"/>
      <c r="AH4307" s="1"/>
    </row>
    <row r="4308" ht="12.75" hidden="1" customHeight="1" outlineLevel="1">
      <c r="A4308" s="17">
        <v>41772.0</v>
      </c>
      <c r="B4308" s="1"/>
      <c r="C4308" s="1" t="s">
        <v>429</v>
      </c>
      <c r="D4308" s="74"/>
      <c r="E4308" s="67"/>
      <c r="F4308" s="75"/>
      <c r="G4308" s="67"/>
      <c r="H4308" s="68"/>
      <c r="I4308" s="76"/>
      <c r="J4308" s="67"/>
      <c r="K4308" s="7" t="s">
        <v>1761</v>
      </c>
      <c r="L4308" s="77"/>
      <c r="M4308" s="79"/>
      <c r="N4308" s="1"/>
      <c r="O4308" s="1"/>
      <c r="P4308" s="1"/>
      <c r="Q4308" s="1"/>
      <c r="R4308" s="1"/>
      <c r="S4308" s="1"/>
      <c r="T4308" s="1"/>
      <c r="U4308" s="1"/>
      <c r="V4308" s="1"/>
      <c r="W4308" s="1"/>
      <c r="X4308" s="1"/>
      <c r="Y4308" s="1"/>
      <c r="Z4308" s="1"/>
      <c r="AA4308" s="1"/>
      <c r="AB4308" s="1"/>
      <c r="AC4308" s="1"/>
      <c r="AD4308" s="1"/>
      <c r="AE4308" s="1"/>
      <c r="AF4308" s="1"/>
      <c r="AG4308" s="1"/>
      <c r="AH4308" s="1"/>
    </row>
    <row r="4309" ht="12.75" hidden="1" customHeight="1" outlineLevel="1">
      <c r="A4309" s="17">
        <v>41772.0</v>
      </c>
      <c r="B4309" s="1"/>
      <c r="C4309" s="1" t="s">
        <v>431</v>
      </c>
      <c r="D4309" s="74"/>
      <c r="E4309" s="67"/>
      <c r="F4309" s="75"/>
      <c r="G4309" s="67"/>
      <c r="H4309" s="68"/>
      <c r="I4309" s="76"/>
      <c r="J4309" s="67"/>
      <c r="K4309" s="7" t="s">
        <v>1126</v>
      </c>
      <c r="L4309" s="77"/>
      <c r="M4309" s="79"/>
      <c r="N4309" s="1"/>
      <c r="O4309" s="1"/>
      <c r="P4309" s="1"/>
      <c r="Q4309" s="1"/>
      <c r="R4309" s="1"/>
      <c r="S4309" s="1"/>
      <c r="T4309" s="1"/>
      <c r="U4309" s="1"/>
      <c r="V4309" s="1"/>
      <c r="W4309" s="1"/>
      <c r="X4309" s="1"/>
      <c r="Y4309" s="1"/>
      <c r="Z4309" s="1"/>
      <c r="AA4309" s="1"/>
      <c r="AB4309" s="1"/>
      <c r="AC4309" s="1"/>
      <c r="AD4309" s="1"/>
      <c r="AE4309" s="1"/>
      <c r="AF4309" s="1"/>
      <c r="AG4309" s="1"/>
      <c r="AH4309" s="1"/>
    </row>
    <row r="4310" ht="12.75" hidden="1" customHeight="1" outlineLevel="1">
      <c r="A4310" s="17">
        <v>41772.0</v>
      </c>
      <c r="B4310" s="1"/>
      <c r="C4310" s="1" t="s">
        <v>433</v>
      </c>
      <c r="D4310" s="74"/>
      <c r="E4310" s="67"/>
      <c r="F4310" s="75"/>
      <c r="G4310" s="67"/>
      <c r="H4310" s="68"/>
      <c r="I4310" s="76"/>
      <c r="J4310" s="67"/>
      <c r="K4310" s="7" t="s">
        <v>1103</v>
      </c>
      <c r="L4310" s="77"/>
      <c r="M4310" s="79"/>
      <c r="N4310" s="1"/>
      <c r="O4310" s="1"/>
      <c r="P4310" s="1"/>
      <c r="Q4310" s="1"/>
      <c r="R4310" s="1"/>
      <c r="S4310" s="1"/>
      <c r="T4310" s="1"/>
      <c r="U4310" s="1"/>
      <c r="V4310" s="1"/>
      <c r="W4310" s="1"/>
      <c r="X4310" s="1"/>
      <c r="Y4310" s="1"/>
      <c r="Z4310" s="1"/>
      <c r="AA4310" s="1"/>
      <c r="AB4310" s="1"/>
      <c r="AC4310" s="1"/>
      <c r="AD4310" s="1"/>
      <c r="AE4310" s="1"/>
      <c r="AF4310" s="1"/>
      <c r="AG4310" s="1"/>
      <c r="AH4310" s="1"/>
    </row>
    <row r="4311" ht="12.75" hidden="1" customHeight="1" outlineLevel="1">
      <c r="A4311" s="17">
        <v>41772.0</v>
      </c>
      <c r="B4311" s="1"/>
      <c r="C4311" s="1" t="s">
        <v>435</v>
      </c>
      <c r="D4311" s="74"/>
      <c r="E4311" s="67"/>
      <c r="F4311" s="75"/>
      <c r="G4311" s="67"/>
      <c r="H4311" s="68"/>
      <c r="I4311" s="76"/>
      <c r="J4311" s="67"/>
      <c r="K4311" s="7" t="s">
        <v>1507</v>
      </c>
      <c r="L4311" s="77"/>
      <c r="M4311" s="79"/>
      <c r="N4311" s="1"/>
      <c r="O4311" s="1"/>
      <c r="P4311" s="1"/>
      <c r="Q4311" s="1"/>
      <c r="R4311" s="1"/>
      <c r="S4311" s="1"/>
      <c r="T4311" s="1"/>
      <c r="U4311" s="1"/>
      <c r="V4311" s="1"/>
      <c r="W4311" s="1"/>
      <c r="X4311" s="1"/>
      <c r="Y4311" s="1"/>
      <c r="Z4311" s="1"/>
      <c r="AA4311" s="1"/>
      <c r="AB4311" s="1"/>
      <c r="AC4311" s="1"/>
      <c r="AD4311" s="1"/>
      <c r="AE4311" s="1"/>
      <c r="AF4311" s="1"/>
      <c r="AG4311" s="1"/>
      <c r="AH4311" s="1"/>
    </row>
    <row r="4312" ht="12.75" hidden="1" customHeight="1" outlineLevel="1">
      <c r="A4312" s="17">
        <v>41773.0</v>
      </c>
      <c r="B4312" s="1"/>
      <c r="C4312" s="1" t="s">
        <v>339</v>
      </c>
      <c r="D4312" s="74"/>
      <c r="E4312" s="67"/>
      <c r="F4312" s="75"/>
      <c r="G4312" s="67"/>
      <c r="H4312" s="68"/>
      <c r="I4312" s="76"/>
      <c r="J4312" s="67"/>
      <c r="K4312" s="7" t="s">
        <v>1777</v>
      </c>
      <c r="L4312" s="77"/>
      <c r="M4312" s="79"/>
      <c r="N4312" s="1"/>
      <c r="O4312" s="1"/>
      <c r="P4312" s="1"/>
      <c r="Q4312" s="1"/>
      <c r="R4312" s="1"/>
      <c r="S4312" s="1"/>
      <c r="T4312" s="1"/>
      <c r="U4312" s="1"/>
      <c r="V4312" s="1"/>
      <c r="W4312" s="1"/>
      <c r="X4312" s="1"/>
      <c r="Y4312" s="1"/>
      <c r="Z4312" s="1"/>
      <c r="AA4312" s="1"/>
      <c r="AB4312" s="1"/>
      <c r="AC4312" s="1"/>
      <c r="AD4312" s="1"/>
      <c r="AE4312" s="1"/>
      <c r="AF4312" s="1"/>
      <c r="AG4312" s="1"/>
      <c r="AH4312" s="1"/>
    </row>
    <row r="4313" ht="12.75" hidden="1" customHeight="1" outlineLevel="1">
      <c r="A4313" s="17">
        <v>41773.0</v>
      </c>
      <c r="B4313" s="1"/>
      <c r="C4313" s="1" t="s">
        <v>429</v>
      </c>
      <c r="D4313" s="74"/>
      <c r="E4313" s="67"/>
      <c r="F4313" s="75"/>
      <c r="G4313" s="67"/>
      <c r="H4313" s="68"/>
      <c r="I4313" s="76"/>
      <c r="J4313" s="67"/>
      <c r="K4313" s="7" t="s">
        <v>1761</v>
      </c>
      <c r="L4313" s="77"/>
      <c r="M4313" s="79"/>
      <c r="N4313" s="1"/>
      <c r="O4313" s="1"/>
      <c r="P4313" s="1"/>
      <c r="Q4313" s="1"/>
      <c r="R4313" s="1"/>
      <c r="S4313" s="1"/>
      <c r="T4313" s="1"/>
      <c r="U4313" s="1"/>
      <c r="V4313" s="1"/>
      <c r="W4313" s="1"/>
      <c r="X4313" s="1"/>
      <c r="Y4313" s="1"/>
      <c r="Z4313" s="1"/>
      <c r="AA4313" s="1"/>
      <c r="AB4313" s="1"/>
      <c r="AC4313" s="1"/>
      <c r="AD4313" s="1"/>
      <c r="AE4313" s="1"/>
      <c r="AF4313" s="1"/>
      <c r="AG4313" s="1"/>
      <c r="AH4313" s="1"/>
    </row>
    <row r="4314" ht="12.75" hidden="1" customHeight="1" outlineLevel="1">
      <c r="A4314" s="17">
        <v>41773.0</v>
      </c>
      <c r="B4314" s="1"/>
      <c r="C4314" s="1" t="s">
        <v>431</v>
      </c>
      <c r="D4314" s="74"/>
      <c r="E4314" s="67"/>
      <c r="F4314" s="75"/>
      <c r="G4314" s="67"/>
      <c r="H4314" s="68"/>
      <c r="I4314" s="76"/>
      <c r="J4314" s="67"/>
      <c r="K4314" s="7" t="s">
        <v>1126</v>
      </c>
      <c r="L4314" s="77"/>
      <c r="M4314" s="79"/>
      <c r="N4314" s="1"/>
      <c r="O4314" s="1"/>
      <c r="P4314" s="1"/>
      <c r="Q4314" s="1"/>
      <c r="R4314" s="1"/>
      <c r="S4314" s="1"/>
      <c r="T4314" s="1"/>
      <c r="U4314" s="1"/>
      <c r="V4314" s="1"/>
      <c r="W4314" s="1"/>
      <c r="X4314" s="1"/>
      <c r="Y4314" s="1"/>
      <c r="Z4314" s="1"/>
      <c r="AA4314" s="1"/>
      <c r="AB4314" s="1"/>
      <c r="AC4314" s="1"/>
      <c r="AD4314" s="1"/>
      <c r="AE4314" s="1"/>
      <c r="AF4314" s="1"/>
      <c r="AG4314" s="1"/>
      <c r="AH4314" s="1"/>
    </row>
    <row r="4315" ht="12.75" hidden="1" customHeight="1" outlineLevel="1">
      <c r="A4315" s="17">
        <v>41773.0</v>
      </c>
      <c r="B4315" s="1"/>
      <c r="C4315" s="1" t="s">
        <v>433</v>
      </c>
      <c r="D4315" s="74"/>
      <c r="E4315" s="67"/>
      <c r="F4315" s="75"/>
      <c r="G4315" s="67"/>
      <c r="H4315" s="68"/>
      <c r="I4315" s="76"/>
      <c r="J4315" s="67"/>
      <c r="K4315" s="7" t="s">
        <v>1103</v>
      </c>
      <c r="L4315" s="77"/>
      <c r="M4315" s="79"/>
      <c r="N4315" s="1"/>
      <c r="O4315" s="1"/>
      <c r="P4315" s="1"/>
      <c r="Q4315" s="1"/>
      <c r="R4315" s="1"/>
      <c r="S4315" s="1"/>
      <c r="T4315" s="1"/>
      <c r="U4315" s="1"/>
      <c r="V4315" s="1"/>
      <c r="W4315" s="1"/>
      <c r="X4315" s="1"/>
      <c r="Y4315" s="1"/>
      <c r="Z4315" s="1"/>
      <c r="AA4315" s="1"/>
      <c r="AB4315" s="1"/>
      <c r="AC4315" s="1"/>
      <c r="AD4315" s="1"/>
      <c r="AE4315" s="1"/>
      <c r="AF4315" s="1"/>
      <c r="AG4315" s="1"/>
      <c r="AH4315" s="1"/>
    </row>
    <row r="4316" ht="12.75" hidden="1" customHeight="1" outlineLevel="1">
      <c r="A4316" s="17">
        <v>41773.0</v>
      </c>
      <c r="B4316" s="1"/>
      <c r="C4316" s="1" t="s">
        <v>435</v>
      </c>
      <c r="D4316" s="74"/>
      <c r="E4316" s="67"/>
      <c r="F4316" s="75"/>
      <c r="G4316" s="67"/>
      <c r="H4316" s="68"/>
      <c r="I4316" s="76"/>
      <c r="J4316" s="67"/>
      <c r="K4316" s="7" t="s">
        <v>1507</v>
      </c>
      <c r="L4316" s="77"/>
      <c r="M4316" s="79"/>
      <c r="N4316" s="1"/>
      <c r="O4316" s="1"/>
      <c r="P4316" s="1"/>
      <c r="Q4316" s="1"/>
      <c r="R4316" s="1"/>
      <c r="S4316" s="1"/>
      <c r="T4316" s="1"/>
      <c r="U4316" s="1"/>
      <c r="V4316" s="1"/>
      <c r="W4316" s="1"/>
      <c r="X4316" s="1"/>
      <c r="Y4316" s="1"/>
      <c r="Z4316" s="1"/>
      <c r="AA4316" s="1"/>
      <c r="AB4316" s="1"/>
      <c r="AC4316" s="1"/>
      <c r="AD4316" s="1"/>
      <c r="AE4316" s="1"/>
      <c r="AF4316" s="1"/>
      <c r="AG4316" s="1"/>
      <c r="AH4316" s="1"/>
    </row>
    <row r="4317" ht="12.75" hidden="1" customHeight="1" outlineLevel="1">
      <c r="A4317" s="17">
        <v>41774.0</v>
      </c>
      <c r="B4317" s="1"/>
      <c r="C4317" s="1" t="s">
        <v>339</v>
      </c>
      <c r="D4317" s="74"/>
      <c r="E4317" s="67"/>
      <c r="F4317" s="75"/>
      <c r="G4317" s="67"/>
      <c r="H4317" s="68"/>
      <c r="I4317" s="76"/>
      <c r="J4317" s="67"/>
      <c r="K4317" s="7" t="s">
        <v>1778</v>
      </c>
      <c r="L4317" s="77"/>
      <c r="M4317" s="79"/>
      <c r="N4317" s="1"/>
      <c r="O4317" s="1"/>
      <c r="P4317" s="1"/>
      <c r="Q4317" s="1"/>
      <c r="R4317" s="1"/>
      <c r="S4317" s="1"/>
      <c r="T4317" s="1"/>
      <c r="U4317" s="1"/>
      <c r="V4317" s="1"/>
      <c r="W4317" s="1"/>
      <c r="X4317" s="1"/>
      <c r="Y4317" s="1"/>
      <c r="Z4317" s="1"/>
      <c r="AA4317" s="1"/>
      <c r="AB4317" s="1"/>
      <c r="AC4317" s="1"/>
      <c r="AD4317" s="1"/>
      <c r="AE4317" s="1"/>
      <c r="AF4317" s="1"/>
      <c r="AG4317" s="1"/>
      <c r="AH4317" s="1"/>
    </row>
    <row r="4318" ht="12.75" hidden="1" customHeight="1" outlineLevel="1">
      <c r="A4318" s="17">
        <v>41774.0</v>
      </c>
      <c r="B4318" s="1"/>
      <c r="C4318" s="1" t="s">
        <v>429</v>
      </c>
      <c r="D4318" s="74"/>
      <c r="E4318" s="67"/>
      <c r="F4318" s="75"/>
      <c r="G4318" s="67"/>
      <c r="H4318" s="68"/>
      <c r="I4318" s="76"/>
      <c r="J4318" s="67"/>
      <c r="K4318" s="7" t="s">
        <v>1761</v>
      </c>
      <c r="L4318" s="77"/>
      <c r="M4318" s="79"/>
      <c r="N4318" s="1"/>
      <c r="O4318" s="1"/>
      <c r="P4318" s="1"/>
      <c r="Q4318" s="1"/>
      <c r="R4318" s="1"/>
      <c r="S4318" s="1"/>
      <c r="T4318" s="1"/>
      <c r="U4318" s="1"/>
      <c r="V4318" s="1"/>
      <c r="W4318" s="1"/>
      <c r="X4318" s="1"/>
      <c r="Y4318" s="1"/>
      <c r="Z4318" s="1"/>
      <c r="AA4318" s="1"/>
      <c r="AB4318" s="1"/>
      <c r="AC4318" s="1"/>
      <c r="AD4318" s="1"/>
      <c r="AE4318" s="1"/>
      <c r="AF4318" s="1"/>
      <c r="AG4318" s="1"/>
      <c r="AH4318" s="1"/>
    </row>
    <row r="4319" ht="12.75" hidden="1" customHeight="1" outlineLevel="1">
      <c r="A4319" s="17">
        <v>41774.0</v>
      </c>
      <c r="B4319" s="1"/>
      <c r="C4319" s="1" t="s">
        <v>431</v>
      </c>
      <c r="D4319" s="74"/>
      <c r="E4319" s="67"/>
      <c r="F4319" s="75"/>
      <c r="G4319" s="67"/>
      <c r="H4319" s="68"/>
      <c r="I4319" s="76"/>
      <c r="J4319" s="67"/>
      <c r="K4319" s="7" t="s">
        <v>1126</v>
      </c>
      <c r="L4319" s="77"/>
      <c r="M4319" s="79"/>
      <c r="N4319" s="1"/>
      <c r="O4319" s="1"/>
      <c r="P4319" s="1"/>
      <c r="Q4319" s="1"/>
      <c r="R4319" s="1"/>
      <c r="S4319" s="1"/>
      <c r="T4319" s="1"/>
      <c r="U4319" s="1"/>
      <c r="V4319" s="1"/>
      <c r="W4319" s="1"/>
      <c r="X4319" s="1"/>
      <c r="Y4319" s="1"/>
      <c r="Z4319" s="1"/>
      <c r="AA4319" s="1"/>
      <c r="AB4319" s="1"/>
      <c r="AC4319" s="1"/>
      <c r="AD4319" s="1"/>
      <c r="AE4319" s="1"/>
      <c r="AF4319" s="1"/>
      <c r="AG4319" s="1"/>
      <c r="AH4319" s="1"/>
    </row>
    <row r="4320" ht="12.75" hidden="1" customHeight="1" outlineLevel="1">
      <c r="A4320" s="17">
        <v>41774.0</v>
      </c>
      <c r="B4320" s="1"/>
      <c r="C4320" s="1" t="s">
        <v>433</v>
      </c>
      <c r="D4320" s="74"/>
      <c r="E4320" s="67"/>
      <c r="F4320" s="75"/>
      <c r="G4320" s="67"/>
      <c r="H4320" s="68"/>
      <c r="I4320" s="76"/>
      <c r="J4320" s="67"/>
      <c r="K4320" s="7" t="s">
        <v>1103</v>
      </c>
      <c r="L4320" s="77"/>
      <c r="M4320" s="79"/>
      <c r="N4320" s="1"/>
      <c r="O4320" s="1"/>
      <c r="P4320" s="1"/>
      <c r="Q4320" s="1"/>
      <c r="R4320" s="1"/>
      <c r="S4320" s="1"/>
      <c r="T4320" s="1"/>
      <c r="U4320" s="1"/>
      <c r="V4320" s="1"/>
      <c r="W4320" s="1"/>
      <c r="X4320" s="1"/>
      <c r="Y4320" s="1"/>
      <c r="Z4320" s="1"/>
      <c r="AA4320" s="1"/>
      <c r="AB4320" s="1"/>
      <c r="AC4320" s="1"/>
      <c r="AD4320" s="1"/>
      <c r="AE4320" s="1"/>
      <c r="AF4320" s="1"/>
      <c r="AG4320" s="1"/>
      <c r="AH4320" s="1"/>
    </row>
    <row r="4321" ht="12.75" hidden="1" customHeight="1" outlineLevel="1">
      <c r="A4321" s="17">
        <v>41774.0</v>
      </c>
      <c r="B4321" s="1"/>
      <c r="C4321" s="1" t="s">
        <v>435</v>
      </c>
      <c r="D4321" s="74"/>
      <c r="E4321" s="67"/>
      <c r="F4321" s="75"/>
      <c r="G4321" s="67"/>
      <c r="H4321" s="68"/>
      <c r="I4321" s="76"/>
      <c r="J4321" s="67"/>
      <c r="K4321" s="7" t="s">
        <v>1507</v>
      </c>
      <c r="L4321" s="77"/>
      <c r="M4321" s="79"/>
      <c r="N4321" s="1"/>
      <c r="O4321" s="1"/>
      <c r="P4321" s="1"/>
      <c r="Q4321" s="1"/>
      <c r="R4321" s="1"/>
      <c r="S4321" s="1"/>
      <c r="T4321" s="1"/>
      <c r="U4321" s="1"/>
      <c r="V4321" s="1"/>
      <c r="W4321" s="1"/>
      <c r="X4321" s="1"/>
      <c r="Y4321" s="1"/>
      <c r="Z4321" s="1"/>
      <c r="AA4321" s="1"/>
      <c r="AB4321" s="1"/>
      <c r="AC4321" s="1"/>
      <c r="AD4321" s="1"/>
      <c r="AE4321" s="1"/>
      <c r="AF4321" s="1"/>
      <c r="AG4321" s="1"/>
      <c r="AH4321" s="1"/>
    </row>
    <row r="4322" ht="12.75" hidden="1" customHeight="1" outlineLevel="1">
      <c r="A4322" s="17">
        <v>41774.0</v>
      </c>
      <c r="B4322" s="1"/>
      <c r="C4322" s="1" t="s">
        <v>339</v>
      </c>
      <c r="D4322" s="74"/>
      <c r="E4322" s="67"/>
      <c r="F4322" s="75"/>
      <c r="G4322" s="67"/>
      <c r="H4322" s="68"/>
      <c r="I4322" s="76"/>
      <c r="J4322" s="67"/>
      <c r="K4322" s="7" t="s">
        <v>1778</v>
      </c>
      <c r="L4322" s="77"/>
      <c r="M4322" s="79"/>
      <c r="N4322" s="1"/>
      <c r="O4322" s="1"/>
      <c r="P4322" s="1"/>
      <c r="Q4322" s="1"/>
      <c r="R4322" s="1"/>
      <c r="S4322" s="1"/>
      <c r="T4322" s="1"/>
      <c r="U4322" s="1"/>
      <c r="V4322" s="1"/>
      <c r="W4322" s="1"/>
      <c r="X4322" s="1"/>
      <c r="Y4322" s="1"/>
      <c r="Z4322" s="1"/>
      <c r="AA4322" s="1"/>
      <c r="AB4322" s="1"/>
      <c r="AC4322" s="1"/>
      <c r="AD4322" s="1"/>
      <c r="AE4322" s="1"/>
      <c r="AF4322" s="1"/>
      <c r="AG4322" s="1"/>
      <c r="AH4322" s="1"/>
    </row>
    <row r="4323" ht="12.75" hidden="1" customHeight="1" outlineLevel="1">
      <c r="A4323" s="17">
        <v>41774.0</v>
      </c>
      <c r="B4323" s="1"/>
      <c r="C4323" s="1" t="s">
        <v>429</v>
      </c>
      <c r="D4323" s="74"/>
      <c r="E4323" s="67"/>
      <c r="F4323" s="75"/>
      <c r="G4323" s="67"/>
      <c r="H4323" s="68"/>
      <c r="I4323" s="76"/>
      <c r="J4323" s="67"/>
      <c r="K4323" s="7" t="s">
        <v>1761</v>
      </c>
      <c r="L4323" s="77"/>
      <c r="M4323" s="79"/>
      <c r="N4323" s="1"/>
      <c r="O4323" s="1"/>
      <c r="P4323" s="1"/>
      <c r="Q4323" s="1"/>
      <c r="R4323" s="1"/>
      <c r="S4323" s="1"/>
      <c r="T4323" s="1"/>
      <c r="U4323" s="1"/>
      <c r="V4323" s="1"/>
      <c r="W4323" s="1"/>
      <c r="X4323" s="1"/>
      <c r="Y4323" s="1"/>
      <c r="Z4323" s="1"/>
      <c r="AA4323" s="1"/>
      <c r="AB4323" s="1"/>
      <c r="AC4323" s="1"/>
      <c r="AD4323" s="1"/>
      <c r="AE4323" s="1"/>
      <c r="AF4323" s="1"/>
      <c r="AG4323" s="1"/>
      <c r="AH4323" s="1"/>
    </row>
    <row r="4324" ht="12.75" hidden="1" customHeight="1" outlineLevel="1">
      <c r="A4324" s="17">
        <v>41774.0</v>
      </c>
      <c r="B4324" s="1"/>
      <c r="C4324" s="1" t="s">
        <v>431</v>
      </c>
      <c r="D4324" s="74"/>
      <c r="E4324" s="67"/>
      <c r="F4324" s="75"/>
      <c r="G4324" s="67"/>
      <c r="H4324" s="68"/>
      <c r="I4324" s="76"/>
      <c r="J4324" s="67"/>
      <c r="K4324" s="7" t="s">
        <v>1126</v>
      </c>
      <c r="L4324" s="77"/>
      <c r="M4324" s="79"/>
      <c r="N4324" s="1"/>
      <c r="O4324" s="1"/>
      <c r="P4324" s="1"/>
      <c r="Q4324" s="1"/>
      <c r="R4324" s="1"/>
      <c r="S4324" s="1"/>
      <c r="T4324" s="1"/>
      <c r="U4324" s="1"/>
      <c r="V4324" s="1"/>
      <c r="W4324" s="1"/>
      <c r="X4324" s="1"/>
      <c r="Y4324" s="1"/>
      <c r="Z4324" s="1"/>
      <c r="AA4324" s="1"/>
      <c r="AB4324" s="1"/>
      <c r="AC4324" s="1"/>
      <c r="AD4324" s="1"/>
      <c r="AE4324" s="1"/>
      <c r="AF4324" s="1"/>
      <c r="AG4324" s="1"/>
      <c r="AH4324" s="1"/>
    </row>
    <row r="4325" ht="12.75" hidden="1" customHeight="1" outlineLevel="1">
      <c r="A4325" s="17">
        <v>41774.0</v>
      </c>
      <c r="B4325" s="1"/>
      <c r="C4325" s="1" t="s">
        <v>433</v>
      </c>
      <c r="D4325" s="74"/>
      <c r="E4325" s="67"/>
      <c r="F4325" s="75"/>
      <c r="G4325" s="67"/>
      <c r="H4325" s="68"/>
      <c r="I4325" s="76"/>
      <c r="J4325" s="67"/>
      <c r="K4325" s="7" t="s">
        <v>1103</v>
      </c>
      <c r="L4325" s="77"/>
      <c r="M4325" s="79"/>
      <c r="N4325" s="1"/>
      <c r="O4325" s="1"/>
      <c r="P4325" s="1"/>
      <c r="Q4325" s="1"/>
      <c r="R4325" s="1"/>
      <c r="S4325" s="1"/>
      <c r="T4325" s="1"/>
      <c r="U4325" s="1"/>
      <c r="V4325" s="1"/>
      <c r="W4325" s="1"/>
      <c r="X4325" s="1"/>
      <c r="Y4325" s="1"/>
      <c r="Z4325" s="1"/>
      <c r="AA4325" s="1"/>
      <c r="AB4325" s="1"/>
      <c r="AC4325" s="1"/>
      <c r="AD4325" s="1"/>
      <c r="AE4325" s="1"/>
      <c r="AF4325" s="1"/>
      <c r="AG4325" s="1"/>
      <c r="AH4325" s="1"/>
    </row>
    <row r="4326" ht="12.75" hidden="1" customHeight="1" outlineLevel="1">
      <c r="A4326" s="17">
        <v>41774.0</v>
      </c>
      <c r="B4326" s="1"/>
      <c r="C4326" s="1" t="s">
        <v>435</v>
      </c>
      <c r="D4326" s="74"/>
      <c r="E4326" s="67"/>
      <c r="F4326" s="75"/>
      <c r="G4326" s="67"/>
      <c r="H4326" s="68"/>
      <c r="I4326" s="76"/>
      <c r="J4326" s="67"/>
      <c r="K4326" s="7" t="s">
        <v>1507</v>
      </c>
      <c r="L4326" s="77"/>
      <c r="M4326" s="79"/>
      <c r="N4326" s="1"/>
      <c r="O4326" s="1"/>
      <c r="P4326" s="1"/>
      <c r="Q4326" s="1"/>
      <c r="R4326" s="1"/>
      <c r="S4326" s="1"/>
      <c r="T4326" s="1"/>
      <c r="U4326" s="1"/>
      <c r="V4326" s="1"/>
      <c r="W4326" s="1"/>
      <c r="X4326" s="1"/>
      <c r="Y4326" s="1"/>
      <c r="Z4326" s="1"/>
      <c r="AA4326" s="1"/>
      <c r="AB4326" s="1"/>
      <c r="AC4326" s="1"/>
      <c r="AD4326" s="1"/>
      <c r="AE4326" s="1"/>
      <c r="AF4326" s="1"/>
      <c r="AG4326" s="1"/>
      <c r="AH4326" s="1"/>
    </row>
    <row r="4327" ht="12.75" hidden="1" customHeight="1" outlineLevel="1">
      <c r="A4327" s="17">
        <v>41775.0</v>
      </c>
      <c r="B4327" s="1" t="s">
        <v>347</v>
      </c>
      <c r="C4327" s="1" t="s">
        <v>355</v>
      </c>
      <c r="D4327" s="74">
        <v>1400.0</v>
      </c>
      <c r="E4327" s="67">
        <v>6.57</v>
      </c>
      <c r="F4327" s="75">
        <v>0.40182870370370366</v>
      </c>
      <c r="G4327" s="67" t="s">
        <v>453</v>
      </c>
      <c r="H4327" s="68">
        <v>5.8</v>
      </c>
      <c r="I4327" s="76"/>
      <c r="J4327" s="67">
        <f t="shared" ref="J4327:J4334" si="269">IF(B4327="SLD",D4327*E4327,-D4327*E4327)-H4327</f>
        <v>9192.2</v>
      </c>
      <c r="K4327" s="7"/>
      <c r="L4327" s="70"/>
      <c r="M4327" s="79"/>
      <c r="N4327" s="1"/>
      <c r="O4327" s="1"/>
      <c r="P4327" s="1"/>
      <c r="Q4327" s="1"/>
      <c r="R4327" s="1"/>
      <c r="S4327" s="1"/>
      <c r="T4327" s="1"/>
      <c r="U4327" s="1"/>
      <c r="V4327" s="1"/>
      <c r="W4327" s="1"/>
      <c r="X4327" s="1"/>
      <c r="Y4327" s="1"/>
      <c r="Z4327" s="1"/>
      <c r="AA4327" s="1"/>
      <c r="AB4327" s="1"/>
      <c r="AC4327" s="1"/>
      <c r="AD4327" s="1"/>
      <c r="AE4327" s="1"/>
      <c r="AF4327" s="1"/>
      <c r="AG4327" s="1"/>
      <c r="AH4327" s="1"/>
    </row>
    <row r="4328" ht="12.75" hidden="1" customHeight="1" outlineLevel="1">
      <c r="A4328" s="17">
        <v>41775.0</v>
      </c>
      <c r="B4328" s="1" t="s">
        <v>347</v>
      </c>
      <c r="C4328" s="1" t="s">
        <v>784</v>
      </c>
      <c r="D4328" s="74">
        <v>500.0</v>
      </c>
      <c r="E4328" s="67">
        <v>13.8</v>
      </c>
      <c r="F4328" s="75">
        <v>0.40221064814814816</v>
      </c>
      <c r="G4328" s="67" t="s">
        <v>453</v>
      </c>
      <c r="H4328" s="68">
        <v>2.35</v>
      </c>
      <c r="I4328" s="76"/>
      <c r="J4328" s="67">
        <f t="shared" si="269"/>
        <v>6897.65</v>
      </c>
      <c r="K4328" s="7"/>
      <c r="L4328" s="70"/>
      <c r="M4328" s="79"/>
      <c r="N4328" s="1"/>
      <c r="O4328" s="1"/>
      <c r="P4328" s="1"/>
      <c r="Q4328" s="1"/>
      <c r="R4328" s="1"/>
      <c r="S4328" s="1"/>
      <c r="T4328" s="1"/>
      <c r="U4328" s="1"/>
      <c r="V4328" s="1"/>
      <c r="W4328" s="1"/>
      <c r="X4328" s="1"/>
      <c r="Y4328" s="1"/>
      <c r="Z4328" s="1"/>
      <c r="AA4328" s="1"/>
      <c r="AB4328" s="1"/>
      <c r="AC4328" s="1"/>
      <c r="AD4328" s="1"/>
      <c r="AE4328" s="1"/>
      <c r="AF4328" s="1"/>
      <c r="AG4328" s="1"/>
      <c r="AH4328" s="1"/>
    </row>
    <row r="4329" ht="12.75" hidden="1" customHeight="1" outlineLevel="1">
      <c r="A4329" s="17">
        <v>41775.0</v>
      </c>
      <c r="B4329" s="1" t="s">
        <v>347</v>
      </c>
      <c r="C4329" s="1" t="s">
        <v>1756</v>
      </c>
      <c r="D4329" s="74">
        <v>500.0</v>
      </c>
      <c r="E4329" s="67">
        <v>13.1</v>
      </c>
      <c r="F4329" s="75">
        <v>0.4025925925925926</v>
      </c>
      <c r="G4329" s="67" t="s">
        <v>453</v>
      </c>
      <c r="H4329" s="68">
        <v>2.44</v>
      </c>
      <c r="I4329" s="76"/>
      <c r="J4329" s="67">
        <f t="shared" si="269"/>
        <v>6547.56</v>
      </c>
      <c r="K4329" s="7"/>
      <c r="L4329" s="70"/>
      <c r="M4329" s="79"/>
      <c r="N4329" s="1"/>
      <c r="O4329" s="1"/>
      <c r="P4329" s="1"/>
      <c r="Q4329" s="1"/>
      <c r="R4329" s="1"/>
      <c r="S4329" s="1"/>
      <c r="T4329" s="1"/>
      <c r="U4329" s="1"/>
      <c r="V4329" s="1"/>
      <c r="W4329" s="1"/>
      <c r="X4329" s="1"/>
      <c r="Y4329" s="1"/>
      <c r="Z4329" s="1"/>
      <c r="AA4329" s="1"/>
      <c r="AB4329" s="1"/>
      <c r="AC4329" s="1"/>
      <c r="AD4329" s="1"/>
      <c r="AE4329" s="1"/>
      <c r="AF4329" s="1"/>
      <c r="AG4329" s="1"/>
      <c r="AH4329" s="1"/>
    </row>
    <row r="4330" ht="12.75" hidden="1" customHeight="1" outlineLevel="1">
      <c r="A4330" s="17">
        <v>41775.0</v>
      </c>
      <c r="B4330" s="1" t="s">
        <v>347</v>
      </c>
      <c r="C4330" s="1" t="s">
        <v>369</v>
      </c>
      <c r="D4330" s="74">
        <v>400.0</v>
      </c>
      <c r="E4330" s="67">
        <v>16.68</v>
      </c>
      <c r="F4330" s="75">
        <v>0.40285879629629634</v>
      </c>
      <c r="G4330" s="67" t="s">
        <v>453</v>
      </c>
      <c r="H4330" s="68">
        <v>2.15</v>
      </c>
      <c r="I4330" s="76"/>
      <c r="J4330" s="67">
        <f t="shared" si="269"/>
        <v>6669.85</v>
      </c>
      <c r="K4330" s="7"/>
      <c r="L4330" s="70"/>
      <c r="M4330" s="79"/>
      <c r="N4330" s="1"/>
      <c r="O4330" s="1"/>
      <c r="P4330" s="1"/>
      <c r="Q4330" s="1"/>
      <c r="R4330" s="1"/>
      <c r="S4330" s="1"/>
      <c r="T4330" s="1"/>
      <c r="U4330" s="1"/>
      <c r="V4330" s="1"/>
      <c r="W4330" s="1"/>
      <c r="X4330" s="1"/>
      <c r="Y4330" s="1"/>
      <c r="Z4330" s="1"/>
      <c r="AA4330" s="1"/>
      <c r="AB4330" s="1"/>
      <c r="AC4330" s="1"/>
      <c r="AD4330" s="1"/>
      <c r="AE4330" s="1"/>
      <c r="AF4330" s="1"/>
      <c r="AG4330" s="1"/>
      <c r="AH4330" s="1"/>
    </row>
    <row r="4331" ht="12.75" hidden="1" customHeight="1" outlineLevel="1">
      <c r="A4331" s="17">
        <v>41775.0</v>
      </c>
      <c r="B4331" s="1" t="s">
        <v>347</v>
      </c>
      <c r="C4331" s="1" t="s">
        <v>1763</v>
      </c>
      <c r="D4331" s="74">
        <v>2000.0</v>
      </c>
      <c r="E4331" s="67">
        <v>4.09</v>
      </c>
      <c r="F4331" s="75">
        <v>0.40326388888888887</v>
      </c>
      <c r="G4331" s="67" t="s">
        <v>453</v>
      </c>
      <c r="H4331" s="68">
        <v>8.18</v>
      </c>
      <c r="I4331" s="76"/>
      <c r="J4331" s="67">
        <f t="shared" si="269"/>
        <v>8171.82</v>
      </c>
      <c r="K4331" s="7"/>
      <c r="L4331" s="70"/>
      <c r="M4331" s="79"/>
      <c r="N4331" s="1"/>
      <c r="O4331" s="1"/>
      <c r="P4331" s="1"/>
      <c r="Q4331" s="1"/>
      <c r="R4331" s="1"/>
      <c r="S4331" s="1"/>
      <c r="T4331" s="1"/>
      <c r="U4331" s="1"/>
      <c r="V4331" s="1"/>
      <c r="W4331" s="1"/>
      <c r="X4331" s="1"/>
      <c r="Y4331" s="1"/>
      <c r="Z4331" s="1"/>
      <c r="AA4331" s="1"/>
      <c r="AB4331" s="1"/>
      <c r="AC4331" s="1"/>
      <c r="AD4331" s="1"/>
      <c r="AE4331" s="1"/>
      <c r="AF4331" s="1"/>
      <c r="AG4331" s="1"/>
      <c r="AH4331" s="1"/>
    </row>
    <row r="4332" ht="12.75" hidden="1" customHeight="1" outlineLevel="1">
      <c r="A4332" s="17">
        <v>41775.0</v>
      </c>
      <c r="B4332" s="1" t="s">
        <v>347</v>
      </c>
      <c r="C4332" s="1" t="s">
        <v>790</v>
      </c>
      <c r="D4332" s="74">
        <v>400.0</v>
      </c>
      <c r="E4332" s="67">
        <v>15.32</v>
      </c>
      <c r="F4332" s="75">
        <v>0.4064814814814815</v>
      </c>
      <c r="G4332" s="67" t="s">
        <v>453</v>
      </c>
      <c r="H4332" s="68">
        <v>1.94</v>
      </c>
      <c r="I4332" s="76"/>
      <c r="J4332" s="67">
        <f t="shared" si="269"/>
        <v>6126.06</v>
      </c>
      <c r="K4332" s="7"/>
      <c r="L4332" s="70"/>
      <c r="M4332" s="79"/>
      <c r="N4332" s="1"/>
      <c r="O4332" s="1"/>
      <c r="P4332" s="1"/>
      <c r="Q4332" s="1"/>
      <c r="R4332" s="1"/>
      <c r="S4332" s="1"/>
      <c r="T4332" s="1"/>
      <c r="U4332" s="1"/>
      <c r="V4332" s="1"/>
      <c r="W4332" s="1"/>
      <c r="X4332" s="1"/>
      <c r="Y4332" s="1"/>
      <c r="Z4332" s="1"/>
      <c r="AA4332" s="1"/>
      <c r="AB4332" s="1"/>
      <c r="AC4332" s="1"/>
      <c r="AD4332" s="1"/>
      <c r="AE4332" s="1"/>
      <c r="AF4332" s="1"/>
      <c r="AG4332" s="1"/>
      <c r="AH4332" s="1"/>
    </row>
    <row r="4333" ht="12.75" hidden="1" customHeight="1" outlineLevel="1">
      <c r="A4333" s="17">
        <v>41775.0</v>
      </c>
      <c r="B4333" s="1" t="s">
        <v>347</v>
      </c>
      <c r="C4333" s="1" t="s">
        <v>1044</v>
      </c>
      <c r="D4333" s="74">
        <v>300.0</v>
      </c>
      <c r="E4333" s="67">
        <v>23.49</v>
      </c>
      <c r="F4333" s="75">
        <v>0.4066666666666667</v>
      </c>
      <c r="G4333" s="67" t="s">
        <v>453</v>
      </c>
      <c r="H4333" s="68">
        <v>1.36</v>
      </c>
      <c r="I4333" s="76"/>
      <c r="J4333" s="67">
        <f t="shared" si="269"/>
        <v>7045.64</v>
      </c>
      <c r="K4333" s="7"/>
      <c r="L4333" s="70"/>
      <c r="M4333" s="79"/>
      <c r="N4333" s="1"/>
      <c r="O4333" s="1"/>
      <c r="P4333" s="1"/>
      <c r="Q4333" s="1"/>
      <c r="R4333" s="1"/>
      <c r="S4333" s="1"/>
      <c r="T4333" s="1"/>
      <c r="U4333" s="1"/>
      <c r="V4333" s="1"/>
      <c r="W4333" s="1"/>
      <c r="X4333" s="1"/>
      <c r="Y4333" s="1"/>
      <c r="Z4333" s="1"/>
      <c r="AA4333" s="1"/>
      <c r="AB4333" s="1"/>
      <c r="AC4333" s="1"/>
      <c r="AD4333" s="1"/>
      <c r="AE4333" s="1"/>
      <c r="AF4333" s="1"/>
      <c r="AG4333" s="1"/>
      <c r="AH4333" s="1"/>
    </row>
    <row r="4334" ht="12.75" hidden="1" customHeight="1" outlineLevel="1">
      <c r="A4334" s="17">
        <v>41775.0</v>
      </c>
      <c r="B4334" s="1" t="s">
        <v>347</v>
      </c>
      <c r="C4334" s="1" t="s">
        <v>1725</v>
      </c>
      <c r="D4334" s="74">
        <v>300.0</v>
      </c>
      <c r="E4334" s="67">
        <v>14.91</v>
      </c>
      <c r="F4334" s="75">
        <v>0.40718750000000004</v>
      </c>
      <c r="G4334" s="67" t="s">
        <v>453</v>
      </c>
      <c r="H4334" s="68">
        <v>1.4</v>
      </c>
      <c r="I4334" s="76"/>
      <c r="J4334" s="67">
        <f t="shared" si="269"/>
        <v>4471.6</v>
      </c>
      <c r="K4334" s="7"/>
      <c r="L4334" s="70"/>
      <c r="M4334" s="79"/>
      <c r="N4334" s="1"/>
      <c r="O4334" s="1"/>
      <c r="P4334" s="1"/>
      <c r="Q4334" s="1"/>
      <c r="R4334" s="1"/>
      <c r="S4334" s="1"/>
      <c r="T4334" s="1"/>
      <c r="U4334" s="1"/>
      <c r="V4334" s="1"/>
      <c r="W4334" s="1"/>
      <c r="X4334" s="1"/>
      <c r="Y4334" s="1"/>
      <c r="Z4334" s="1"/>
      <c r="AA4334" s="1"/>
      <c r="AB4334" s="1"/>
      <c r="AC4334" s="1"/>
      <c r="AD4334" s="1"/>
      <c r="AE4334" s="1"/>
      <c r="AF4334" s="1"/>
      <c r="AG4334" s="1"/>
      <c r="AH4334" s="1"/>
    </row>
    <row r="4335" ht="12.75" hidden="1" customHeight="1" outlineLevel="1">
      <c r="A4335" s="17">
        <v>41776.0</v>
      </c>
      <c r="B4335" s="1"/>
      <c r="C4335" s="1" t="s">
        <v>339</v>
      </c>
      <c r="D4335" s="74"/>
      <c r="E4335" s="67"/>
      <c r="F4335" s="75"/>
      <c r="G4335" s="67"/>
      <c r="H4335" s="68"/>
      <c r="I4335" s="76"/>
      <c r="J4335" s="67"/>
      <c r="K4335" s="7" t="s">
        <v>1783</v>
      </c>
      <c r="L4335" s="77"/>
      <c r="M4335" s="79"/>
      <c r="N4335" s="1"/>
      <c r="O4335" s="1"/>
      <c r="P4335" s="1"/>
      <c r="Q4335" s="1"/>
      <c r="R4335" s="1"/>
      <c r="S4335" s="1"/>
      <c r="T4335" s="1"/>
      <c r="U4335" s="1"/>
      <c r="V4335" s="1"/>
      <c r="W4335" s="1"/>
      <c r="X4335" s="1"/>
      <c r="Y4335" s="1"/>
      <c r="Z4335" s="1"/>
      <c r="AA4335" s="1"/>
      <c r="AB4335" s="1"/>
      <c r="AC4335" s="1"/>
      <c r="AD4335" s="1"/>
      <c r="AE4335" s="1"/>
      <c r="AF4335" s="1"/>
      <c r="AG4335" s="1"/>
      <c r="AH4335" s="1"/>
    </row>
    <row r="4336" ht="12.75" hidden="1" customHeight="1" outlineLevel="1">
      <c r="A4336" s="17">
        <v>41776.0</v>
      </c>
      <c r="B4336" s="1"/>
      <c r="C4336" s="1" t="s">
        <v>429</v>
      </c>
      <c r="D4336" s="74"/>
      <c r="E4336" s="67"/>
      <c r="F4336" s="75"/>
      <c r="G4336" s="67"/>
      <c r="H4336" s="68"/>
      <c r="I4336" s="76"/>
      <c r="J4336" s="67"/>
      <c r="K4336" s="7" t="s">
        <v>1761</v>
      </c>
      <c r="L4336" s="77"/>
      <c r="M4336" s="79"/>
      <c r="N4336" s="1"/>
      <c r="O4336" s="1"/>
      <c r="P4336" s="1"/>
      <c r="Q4336" s="1"/>
      <c r="R4336" s="1"/>
      <c r="S4336" s="1"/>
      <c r="T4336" s="1"/>
      <c r="U4336" s="1"/>
      <c r="V4336" s="1"/>
      <c r="W4336" s="1"/>
      <c r="X4336" s="1"/>
      <c r="Y4336" s="1"/>
      <c r="Z4336" s="1"/>
      <c r="AA4336" s="1"/>
      <c r="AB4336" s="1"/>
      <c r="AC4336" s="1"/>
      <c r="AD4336" s="1"/>
      <c r="AE4336" s="1"/>
      <c r="AF4336" s="1"/>
      <c r="AG4336" s="1"/>
      <c r="AH4336" s="1"/>
    </row>
    <row r="4337" ht="12.75" hidden="1" customHeight="1" outlineLevel="1">
      <c r="A4337" s="17">
        <v>41776.0</v>
      </c>
      <c r="B4337" s="1"/>
      <c r="C4337" s="1" t="s">
        <v>431</v>
      </c>
      <c r="D4337" s="74"/>
      <c r="E4337" s="67"/>
      <c r="F4337" s="75"/>
      <c r="G4337" s="67"/>
      <c r="H4337" s="68"/>
      <c r="I4337" s="76"/>
      <c r="J4337" s="67"/>
      <c r="K4337" s="7" t="s">
        <v>1126</v>
      </c>
      <c r="L4337" s="77"/>
      <c r="M4337" s="79"/>
      <c r="N4337" s="1"/>
      <c r="O4337" s="1"/>
      <c r="P4337" s="1"/>
      <c r="Q4337" s="1"/>
      <c r="R4337" s="1"/>
      <c r="S4337" s="1"/>
      <c r="T4337" s="1"/>
      <c r="U4337" s="1"/>
      <c r="V4337" s="1"/>
      <c r="W4337" s="1"/>
      <c r="X4337" s="1"/>
      <c r="Y4337" s="1"/>
      <c r="Z4337" s="1"/>
      <c r="AA4337" s="1"/>
      <c r="AB4337" s="1"/>
      <c r="AC4337" s="1"/>
      <c r="AD4337" s="1"/>
      <c r="AE4337" s="1"/>
      <c r="AF4337" s="1"/>
      <c r="AG4337" s="1"/>
      <c r="AH4337" s="1"/>
    </row>
    <row r="4338" ht="12.75" hidden="1" customHeight="1" outlineLevel="1">
      <c r="A4338" s="17">
        <v>41776.0</v>
      </c>
      <c r="B4338" s="1"/>
      <c r="C4338" s="1" t="s">
        <v>433</v>
      </c>
      <c r="D4338" s="74"/>
      <c r="E4338" s="67"/>
      <c r="F4338" s="75"/>
      <c r="G4338" s="67"/>
      <c r="H4338" s="68"/>
      <c r="I4338" s="76"/>
      <c r="J4338" s="67"/>
      <c r="K4338" s="7" t="s">
        <v>1103</v>
      </c>
      <c r="L4338" s="77"/>
      <c r="M4338" s="79"/>
      <c r="N4338" s="1"/>
      <c r="O4338" s="1"/>
      <c r="P4338" s="1"/>
      <c r="Q4338" s="1"/>
      <c r="R4338" s="1"/>
      <c r="S4338" s="1"/>
      <c r="T4338" s="1"/>
      <c r="U4338" s="1"/>
      <c r="V4338" s="1"/>
      <c r="W4338" s="1"/>
      <c r="X4338" s="1"/>
      <c r="Y4338" s="1"/>
      <c r="Z4338" s="1"/>
      <c r="AA4338" s="1"/>
      <c r="AB4338" s="1"/>
      <c r="AC4338" s="1"/>
      <c r="AD4338" s="1"/>
      <c r="AE4338" s="1"/>
      <c r="AF4338" s="1"/>
      <c r="AG4338" s="1"/>
      <c r="AH4338" s="1"/>
    </row>
    <row r="4339" ht="12.75" hidden="1" customHeight="1" outlineLevel="1">
      <c r="A4339" s="17">
        <v>41776.0</v>
      </c>
      <c r="B4339" s="1"/>
      <c r="C4339" s="1" t="s">
        <v>435</v>
      </c>
      <c r="D4339" s="74"/>
      <c r="E4339" s="67"/>
      <c r="F4339" s="75"/>
      <c r="G4339" s="67"/>
      <c r="H4339" s="68"/>
      <c r="I4339" s="76"/>
      <c r="J4339" s="67"/>
      <c r="K4339" s="7" t="s">
        <v>1507</v>
      </c>
      <c r="L4339" s="77"/>
      <c r="M4339" s="79"/>
      <c r="N4339" s="1"/>
      <c r="O4339" s="1"/>
      <c r="P4339" s="1"/>
      <c r="Q4339" s="1"/>
      <c r="R4339" s="1"/>
      <c r="S4339" s="1"/>
      <c r="T4339" s="1"/>
      <c r="U4339" s="1"/>
      <c r="V4339" s="1"/>
      <c r="W4339" s="1"/>
      <c r="X4339" s="1"/>
      <c r="Y4339" s="1"/>
      <c r="Z4339" s="1"/>
      <c r="AA4339" s="1"/>
      <c r="AB4339" s="1"/>
      <c r="AC4339" s="1"/>
      <c r="AD4339" s="1"/>
      <c r="AE4339" s="1"/>
      <c r="AF4339" s="1"/>
      <c r="AG4339" s="1"/>
      <c r="AH4339" s="1"/>
    </row>
    <row r="4340" ht="12.75" hidden="1" customHeight="1" outlineLevel="1">
      <c r="A4340" s="17">
        <v>41779.0</v>
      </c>
      <c r="B4340" s="1"/>
      <c r="C4340" s="1" t="s">
        <v>339</v>
      </c>
      <c r="D4340" s="74"/>
      <c r="E4340" s="67"/>
      <c r="F4340" s="75"/>
      <c r="G4340" s="67"/>
      <c r="H4340" s="68"/>
      <c r="I4340" s="76"/>
      <c r="J4340" s="67"/>
      <c r="K4340" s="7" t="s">
        <v>1786</v>
      </c>
      <c r="L4340" s="77"/>
      <c r="M4340" s="79"/>
      <c r="N4340" s="1"/>
      <c r="O4340" s="1"/>
      <c r="P4340" s="1"/>
      <c r="Q4340" s="1"/>
      <c r="R4340" s="1"/>
      <c r="S4340" s="1"/>
      <c r="T4340" s="1"/>
      <c r="U4340" s="1"/>
      <c r="V4340" s="1"/>
      <c r="W4340" s="1"/>
      <c r="X4340" s="1"/>
      <c r="Y4340" s="1"/>
      <c r="Z4340" s="1"/>
      <c r="AA4340" s="1"/>
      <c r="AB4340" s="1"/>
      <c r="AC4340" s="1"/>
      <c r="AD4340" s="1"/>
      <c r="AE4340" s="1"/>
      <c r="AF4340" s="1"/>
      <c r="AG4340" s="1"/>
      <c r="AH4340" s="1"/>
    </row>
    <row r="4341" ht="12.75" hidden="1" customHeight="1" outlineLevel="1">
      <c r="A4341" s="17">
        <v>41779.0</v>
      </c>
      <c r="B4341" s="1"/>
      <c r="C4341" s="1" t="s">
        <v>429</v>
      </c>
      <c r="D4341" s="74"/>
      <c r="E4341" s="67"/>
      <c r="F4341" s="75"/>
      <c r="G4341" s="67"/>
      <c r="H4341" s="68"/>
      <c r="I4341" s="76"/>
      <c r="J4341" s="67"/>
      <c r="K4341" s="7" t="s">
        <v>1761</v>
      </c>
      <c r="L4341" s="77"/>
      <c r="M4341" s="79"/>
      <c r="N4341" s="1"/>
      <c r="O4341" s="1"/>
      <c r="P4341" s="1"/>
      <c r="Q4341" s="1"/>
      <c r="R4341" s="1"/>
      <c r="S4341" s="1"/>
      <c r="T4341" s="1"/>
      <c r="U4341" s="1"/>
      <c r="V4341" s="1"/>
      <c r="W4341" s="1"/>
      <c r="X4341" s="1"/>
      <c r="Y4341" s="1"/>
      <c r="Z4341" s="1"/>
      <c r="AA4341" s="1"/>
      <c r="AB4341" s="1"/>
      <c r="AC4341" s="1"/>
      <c r="AD4341" s="1"/>
      <c r="AE4341" s="1"/>
      <c r="AF4341" s="1"/>
      <c r="AG4341" s="1"/>
      <c r="AH4341" s="1"/>
    </row>
    <row r="4342" ht="12.75" hidden="1" customHeight="1" outlineLevel="1">
      <c r="A4342" s="17">
        <v>41779.0</v>
      </c>
      <c r="B4342" s="1"/>
      <c r="C4342" s="1" t="s">
        <v>431</v>
      </c>
      <c r="D4342" s="74"/>
      <c r="E4342" s="67"/>
      <c r="F4342" s="75"/>
      <c r="G4342" s="67"/>
      <c r="H4342" s="68"/>
      <c r="I4342" s="76"/>
      <c r="J4342" s="67"/>
      <c r="K4342" s="7" t="s">
        <v>1126</v>
      </c>
      <c r="L4342" s="77"/>
      <c r="M4342" s="79"/>
      <c r="N4342" s="1"/>
      <c r="O4342" s="1"/>
      <c r="P4342" s="1"/>
      <c r="Q4342" s="1"/>
      <c r="R4342" s="1"/>
      <c r="S4342" s="1"/>
      <c r="T4342" s="1"/>
      <c r="U4342" s="1"/>
      <c r="V4342" s="1"/>
      <c r="W4342" s="1"/>
      <c r="X4342" s="1"/>
      <c r="Y4342" s="1"/>
      <c r="Z4342" s="1"/>
      <c r="AA4342" s="1"/>
      <c r="AB4342" s="1"/>
      <c r="AC4342" s="1"/>
      <c r="AD4342" s="1"/>
      <c r="AE4342" s="1"/>
      <c r="AF4342" s="1"/>
      <c r="AG4342" s="1"/>
      <c r="AH4342" s="1"/>
    </row>
    <row r="4343" ht="12.75" hidden="1" customHeight="1" outlineLevel="1">
      <c r="A4343" s="17">
        <v>41779.0</v>
      </c>
      <c r="B4343" s="1"/>
      <c r="C4343" s="1" t="s">
        <v>433</v>
      </c>
      <c r="D4343" s="74"/>
      <c r="E4343" s="67"/>
      <c r="F4343" s="75"/>
      <c r="G4343" s="67"/>
      <c r="H4343" s="68"/>
      <c r="I4343" s="76"/>
      <c r="J4343" s="67"/>
      <c r="K4343" s="7" t="s">
        <v>1103</v>
      </c>
      <c r="L4343" s="77"/>
      <c r="M4343" s="79"/>
      <c r="N4343" s="1"/>
      <c r="O4343" s="1"/>
      <c r="P4343" s="1"/>
      <c r="Q4343" s="1"/>
      <c r="R4343" s="1"/>
      <c r="S4343" s="1"/>
      <c r="T4343" s="1"/>
      <c r="U4343" s="1"/>
      <c r="V4343" s="1"/>
      <c r="W4343" s="1"/>
      <c r="X4343" s="1"/>
      <c r="Y4343" s="1"/>
      <c r="Z4343" s="1"/>
      <c r="AA4343" s="1"/>
      <c r="AB4343" s="1"/>
      <c r="AC4343" s="1"/>
      <c r="AD4343" s="1"/>
      <c r="AE4343" s="1"/>
      <c r="AF4343" s="1"/>
      <c r="AG4343" s="1"/>
      <c r="AH4343" s="1"/>
    </row>
    <row r="4344" ht="12.75" hidden="1" customHeight="1" outlineLevel="1">
      <c r="A4344" s="17">
        <v>41779.0</v>
      </c>
      <c r="B4344" s="1"/>
      <c r="C4344" s="1" t="s">
        <v>435</v>
      </c>
      <c r="D4344" s="74"/>
      <c r="E4344" s="67"/>
      <c r="F4344" s="75"/>
      <c r="G4344" s="67"/>
      <c r="H4344" s="68"/>
      <c r="I4344" s="76"/>
      <c r="J4344" s="67"/>
      <c r="K4344" s="7" t="s">
        <v>1507</v>
      </c>
      <c r="L4344" s="77"/>
      <c r="M4344" s="79"/>
      <c r="N4344" s="1"/>
      <c r="O4344" s="1"/>
      <c r="P4344" s="1"/>
      <c r="Q4344" s="1"/>
      <c r="R4344" s="1"/>
      <c r="S4344" s="1"/>
      <c r="T4344" s="1"/>
      <c r="U4344" s="1"/>
      <c r="V4344" s="1"/>
      <c r="W4344" s="1"/>
      <c r="X4344" s="1"/>
      <c r="Y4344" s="1"/>
      <c r="Z4344" s="1"/>
      <c r="AA4344" s="1"/>
      <c r="AB4344" s="1"/>
      <c r="AC4344" s="1"/>
      <c r="AD4344" s="1"/>
      <c r="AE4344" s="1"/>
      <c r="AF4344" s="1"/>
      <c r="AG4344" s="1"/>
      <c r="AH4344" s="1"/>
    </row>
    <row r="4345" ht="12.75" hidden="1" customHeight="1" outlineLevel="1">
      <c r="A4345" s="17">
        <v>41780.0</v>
      </c>
      <c r="B4345" s="1"/>
      <c r="C4345" s="1" t="s">
        <v>339</v>
      </c>
      <c r="D4345" s="74"/>
      <c r="E4345" s="67"/>
      <c r="F4345" s="75"/>
      <c r="G4345" s="67"/>
      <c r="H4345" s="68"/>
      <c r="I4345" s="76"/>
      <c r="J4345" s="67"/>
      <c r="K4345" s="7" t="s">
        <v>1791</v>
      </c>
      <c r="L4345" s="77"/>
      <c r="M4345" s="79"/>
      <c r="N4345" s="1"/>
      <c r="O4345" s="1"/>
      <c r="P4345" s="1"/>
      <c r="Q4345" s="1"/>
      <c r="R4345" s="1"/>
      <c r="S4345" s="1"/>
      <c r="T4345" s="1"/>
      <c r="U4345" s="1"/>
      <c r="V4345" s="1"/>
      <c r="W4345" s="1"/>
      <c r="X4345" s="1"/>
      <c r="Y4345" s="1"/>
      <c r="Z4345" s="1"/>
      <c r="AA4345" s="1"/>
      <c r="AB4345" s="1"/>
      <c r="AC4345" s="1"/>
      <c r="AD4345" s="1"/>
      <c r="AE4345" s="1"/>
      <c r="AF4345" s="1"/>
      <c r="AG4345" s="1"/>
      <c r="AH4345" s="1"/>
    </row>
    <row r="4346" ht="12.75" hidden="1" customHeight="1" outlineLevel="1">
      <c r="A4346" s="17">
        <v>41780.0</v>
      </c>
      <c r="B4346" s="1"/>
      <c r="C4346" s="1" t="s">
        <v>429</v>
      </c>
      <c r="D4346" s="74"/>
      <c r="E4346" s="67"/>
      <c r="F4346" s="75"/>
      <c r="G4346" s="67"/>
      <c r="H4346" s="68"/>
      <c r="I4346" s="76"/>
      <c r="J4346" s="67"/>
      <c r="K4346" s="7" t="s">
        <v>1761</v>
      </c>
      <c r="L4346" s="77"/>
      <c r="M4346" s="79"/>
      <c r="N4346" s="1"/>
      <c r="O4346" s="1"/>
      <c r="P4346" s="1"/>
      <c r="Q4346" s="1"/>
      <c r="R4346" s="1"/>
      <c r="S4346" s="1"/>
      <c r="T4346" s="1"/>
      <c r="U4346" s="1"/>
      <c r="V4346" s="1"/>
      <c r="W4346" s="1"/>
      <c r="X4346" s="1"/>
      <c r="Y4346" s="1"/>
      <c r="Z4346" s="1"/>
      <c r="AA4346" s="1"/>
      <c r="AB4346" s="1"/>
      <c r="AC4346" s="1"/>
      <c r="AD4346" s="1"/>
      <c r="AE4346" s="1"/>
      <c r="AF4346" s="1"/>
      <c r="AG4346" s="1"/>
      <c r="AH4346" s="1"/>
    </row>
    <row r="4347" ht="12.75" hidden="1" customHeight="1" outlineLevel="1">
      <c r="A4347" s="17">
        <v>41780.0</v>
      </c>
      <c r="B4347" s="1"/>
      <c r="C4347" s="1" t="s">
        <v>431</v>
      </c>
      <c r="D4347" s="74"/>
      <c r="E4347" s="67"/>
      <c r="F4347" s="75"/>
      <c r="G4347" s="67"/>
      <c r="H4347" s="68"/>
      <c r="I4347" s="76"/>
      <c r="J4347" s="67"/>
      <c r="K4347" s="7" t="s">
        <v>1126</v>
      </c>
      <c r="L4347" s="77"/>
      <c r="M4347" s="79"/>
      <c r="N4347" s="1"/>
      <c r="O4347" s="1"/>
      <c r="P4347" s="1"/>
      <c r="Q4347" s="1"/>
      <c r="R4347" s="1"/>
      <c r="S4347" s="1"/>
      <c r="T4347" s="1"/>
      <c r="U4347" s="1"/>
      <c r="V4347" s="1"/>
      <c r="W4347" s="1"/>
      <c r="X4347" s="1"/>
      <c r="Y4347" s="1"/>
      <c r="Z4347" s="1"/>
      <c r="AA4347" s="1"/>
      <c r="AB4347" s="1"/>
      <c r="AC4347" s="1"/>
      <c r="AD4347" s="1"/>
      <c r="AE4347" s="1"/>
      <c r="AF4347" s="1"/>
      <c r="AG4347" s="1"/>
      <c r="AH4347" s="1"/>
    </row>
    <row r="4348" ht="12.75" hidden="1" customHeight="1" outlineLevel="1">
      <c r="A4348" s="17">
        <v>41780.0</v>
      </c>
      <c r="B4348" s="1"/>
      <c r="C4348" s="1" t="s">
        <v>433</v>
      </c>
      <c r="D4348" s="74"/>
      <c r="E4348" s="67"/>
      <c r="F4348" s="75"/>
      <c r="G4348" s="67"/>
      <c r="H4348" s="68"/>
      <c r="I4348" s="76"/>
      <c r="J4348" s="67"/>
      <c r="K4348" s="7" t="s">
        <v>1103</v>
      </c>
      <c r="L4348" s="77"/>
      <c r="M4348" s="79"/>
      <c r="N4348" s="1"/>
      <c r="O4348" s="1"/>
      <c r="P4348" s="1"/>
      <c r="Q4348" s="1"/>
      <c r="R4348" s="1"/>
      <c r="S4348" s="1"/>
      <c r="T4348" s="1"/>
      <c r="U4348" s="1"/>
      <c r="V4348" s="1"/>
      <c r="W4348" s="1"/>
      <c r="X4348" s="1"/>
      <c r="Y4348" s="1"/>
      <c r="Z4348" s="1"/>
      <c r="AA4348" s="1"/>
      <c r="AB4348" s="1"/>
      <c r="AC4348" s="1"/>
      <c r="AD4348" s="1"/>
      <c r="AE4348" s="1"/>
      <c r="AF4348" s="1"/>
      <c r="AG4348" s="1"/>
      <c r="AH4348" s="1"/>
    </row>
    <row r="4349" ht="12.75" hidden="1" customHeight="1" outlineLevel="1">
      <c r="A4349" s="17">
        <v>41780.0</v>
      </c>
      <c r="B4349" s="1"/>
      <c r="C4349" s="1" t="s">
        <v>435</v>
      </c>
      <c r="D4349" s="74"/>
      <c r="E4349" s="67"/>
      <c r="F4349" s="75"/>
      <c r="G4349" s="67"/>
      <c r="H4349" s="68"/>
      <c r="I4349" s="76"/>
      <c r="J4349" s="67"/>
      <c r="K4349" s="7" t="s">
        <v>1507</v>
      </c>
      <c r="L4349" s="77"/>
      <c r="M4349" s="79"/>
      <c r="N4349" s="1"/>
      <c r="O4349" s="1"/>
      <c r="P4349" s="1"/>
      <c r="Q4349" s="1"/>
      <c r="R4349" s="1"/>
      <c r="S4349" s="1"/>
      <c r="T4349" s="1"/>
      <c r="U4349" s="1"/>
      <c r="V4349" s="1"/>
      <c r="W4349" s="1"/>
      <c r="X4349" s="1"/>
      <c r="Y4349" s="1"/>
      <c r="Z4349" s="1"/>
      <c r="AA4349" s="1"/>
      <c r="AB4349" s="1"/>
      <c r="AC4349" s="1"/>
      <c r="AD4349" s="1"/>
      <c r="AE4349" s="1"/>
      <c r="AF4349" s="1"/>
      <c r="AG4349" s="1"/>
      <c r="AH4349" s="1"/>
    </row>
    <row r="4350" ht="12.75" hidden="1" customHeight="1" outlineLevel="1">
      <c r="A4350" s="17">
        <v>41782.0</v>
      </c>
      <c r="B4350" s="1" t="s">
        <v>343</v>
      </c>
      <c r="C4350" s="1" t="s">
        <v>354</v>
      </c>
      <c r="D4350" s="74">
        <v>50.0</v>
      </c>
      <c r="E4350" s="67">
        <v>104.05</v>
      </c>
      <c r="F4350" s="75">
        <v>0.6069560185185185</v>
      </c>
      <c r="G4350" s="67" t="s">
        <v>453</v>
      </c>
      <c r="H4350" s="68">
        <v>1.0</v>
      </c>
      <c r="I4350" s="76"/>
      <c r="J4350" s="67">
        <f t="shared" ref="J4350:J4351" si="270">IF(B4350="SLD",D4350*E4350,-D4350*E4350)-H4350</f>
        <v>-5203.5</v>
      </c>
      <c r="K4350" s="7"/>
      <c r="L4350" s="70"/>
      <c r="M4350" s="79"/>
      <c r="N4350" s="1"/>
      <c r="O4350" s="1"/>
      <c r="P4350" s="1"/>
      <c r="Q4350" s="1"/>
      <c r="R4350" s="1"/>
      <c r="S4350" s="1"/>
      <c r="T4350" s="1"/>
      <c r="U4350" s="1"/>
      <c r="V4350" s="1"/>
      <c r="W4350" s="1"/>
      <c r="X4350" s="1"/>
      <c r="Y4350" s="1"/>
      <c r="Z4350" s="1"/>
      <c r="AA4350" s="1"/>
      <c r="AB4350" s="1"/>
      <c r="AC4350" s="1"/>
      <c r="AD4350" s="1"/>
      <c r="AE4350" s="1"/>
      <c r="AF4350" s="1"/>
      <c r="AG4350" s="1"/>
      <c r="AH4350" s="1"/>
    </row>
    <row r="4351" ht="12.75" hidden="1" customHeight="1" outlineLevel="1">
      <c r="A4351" s="17">
        <v>41782.0</v>
      </c>
      <c r="B4351" s="1" t="s">
        <v>343</v>
      </c>
      <c r="C4351" s="1" t="s">
        <v>1371</v>
      </c>
      <c r="D4351" s="74">
        <v>150.0</v>
      </c>
      <c r="E4351" s="67">
        <v>34.02</v>
      </c>
      <c r="F4351" s="75">
        <v>0.6072569444444444</v>
      </c>
      <c r="G4351" s="67" t="s">
        <v>453</v>
      </c>
      <c r="H4351" s="68">
        <v>1.0</v>
      </c>
      <c r="I4351" s="76"/>
      <c r="J4351" s="67">
        <f t="shared" si="270"/>
        <v>-5104</v>
      </c>
      <c r="K4351" s="7"/>
      <c r="L4351" s="70"/>
      <c r="M4351" s="79"/>
      <c r="N4351" s="1"/>
      <c r="O4351" s="1"/>
      <c r="P4351" s="1"/>
      <c r="Q4351" s="1"/>
      <c r="R4351" s="1"/>
      <c r="S4351" s="1"/>
      <c r="T4351" s="1"/>
      <c r="U4351" s="1"/>
      <c r="V4351" s="1"/>
      <c r="W4351" s="1"/>
      <c r="X4351" s="1"/>
      <c r="Y4351" s="1"/>
      <c r="Z4351" s="1"/>
      <c r="AA4351" s="1"/>
      <c r="AB4351" s="1"/>
      <c r="AC4351" s="1"/>
      <c r="AD4351" s="1"/>
      <c r="AE4351" s="1"/>
      <c r="AF4351" s="1"/>
      <c r="AG4351" s="1"/>
      <c r="AH4351" s="1"/>
    </row>
    <row r="4352" ht="12.75" hidden="1" customHeight="1" outlineLevel="1">
      <c r="A4352" s="17">
        <v>41782.0</v>
      </c>
      <c r="B4352" s="1"/>
      <c r="C4352" s="1" t="s">
        <v>339</v>
      </c>
      <c r="D4352" s="74"/>
      <c r="E4352" s="67"/>
      <c r="F4352" s="75"/>
      <c r="G4352" s="67"/>
      <c r="H4352" s="68"/>
      <c r="I4352" s="76"/>
      <c r="J4352" s="67"/>
      <c r="K4352" s="7" t="s">
        <v>1799</v>
      </c>
      <c r="L4352" s="77"/>
      <c r="M4352" s="79"/>
      <c r="N4352" s="1"/>
      <c r="O4352" s="1"/>
      <c r="P4352" s="1"/>
      <c r="Q4352" s="1"/>
      <c r="R4352" s="1"/>
      <c r="S4352" s="1"/>
      <c r="T4352" s="1"/>
      <c r="U4352" s="1"/>
      <c r="V4352" s="1"/>
      <c r="W4352" s="1"/>
      <c r="X4352" s="1"/>
      <c r="Y4352" s="1"/>
      <c r="Z4352" s="1"/>
      <c r="AA4352" s="1"/>
      <c r="AB4352" s="1"/>
      <c r="AC4352" s="1"/>
      <c r="AD4352" s="1"/>
      <c r="AE4352" s="1"/>
      <c r="AF4352" s="1"/>
      <c r="AG4352" s="1"/>
      <c r="AH4352" s="1"/>
    </row>
    <row r="4353" ht="12.75" hidden="1" customHeight="1" outlineLevel="1">
      <c r="A4353" s="17">
        <v>41782.0</v>
      </c>
      <c r="B4353" s="1"/>
      <c r="C4353" s="1" t="s">
        <v>429</v>
      </c>
      <c r="D4353" s="74"/>
      <c r="E4353" s="67"/>
      <c r="F4353" s="75"/>
      <c r="G4353" s="67"/>
      <c r="H4353" s="68"/>
      <c r="I4353" s="76"/>
      <c r="J4353" s="67"/>
      <c r="K4353" s="7" t="s">
        <v>1761</v>
      </c>
      <c r="L4353" s="77"/>
      <c r="M4353" s="79"/>
      <c r="N4353" s="1"/>
      <c r="O4353" s="1"/>
      <c r="P4353" s="1"/>
      <c r="Q4353" s="1"/>
      <c r="R4353" s="1"/>
      <c r="S4353" s="1"/>
      <c r="T4353" s="1"/>
      <c r="U4353" s="1"/>
      <c r="V4353" s="1"/>
      <c r="W4353" s="1"/>
      <c r="X4353" s="1"/>
      <c r="Y4353" s="1"/>
      <c r="Z4353" s="1"/>
      <c r="AA4353" s="1"/>
      <c r="AB4353" s="1"/>
      <c r="AC4353" s="1"/>
      <c r="AD4353" s="1"/>
      <c r="AE4353" s="1"/>
      <c r="AF4353" s="1"/>
      <c r="AG4353" s="1"/>
      <c r="AH4353" s="1"/>
    </row>
    <row r="4354" ht="12.75" hidden="1" customHeight="1" outlineLevel="1">
      <c r="A4354" s="17">
        <v>41782.0</v>
      </c>
      <c r="B4354" s="1"/>
      <c r="C4354" s="1" t="s">
        <v>431</v>
      </c>
      <c r="D4354" s="74"/>
      <c r="E4354" s="67"/>
      <c r="F4354" s="75"/>
      <c r="G4354" s="67"/>
      <c r="H4354" s="68"/>
      <c r="I4354" s="76"/>
      <c r="J4354" s="67"/>
      <c r="K4354" s="7" t="s">
        <v>1126</v>
      </c>
      <c r="L4354" s="77"/>
      <c r="M4354" s="79"/>
      <c r="N4354" s="1"/>
      <c r="O4354" s="1"/>
      <c r="P4354" s="1"/>
      <c r="Q4354" s="1"/>
      <c r="R4354" s="1"/>
      <c r="S4354" s="1"/>
      <c r="T4354" s="1"/>
      <c r="U4354" s="1"/>
      <c r="V4354" s="1"/>
      <c r="W4354" s="1"/>
      <c r="X4354" s="1"/>
      <c r="Y4354" s="1"/>
      <c r="Z4354" s="1"/>
      <c r="AA4354" s="1"/>
      <c r="AB4354" s="1"/>
      <c r="AC4354" s="1"/>
      <c r="AD4354" s="1"/>
      <c r="AE4354" s="1"/>
      <c r="AF4354" s="1"/>
      <c r="AG4354" s="1"/>
      <c r="AH4354" s="1"/>
    </row>
    <row r="4355" ht="12.75" hidden="1" customHeight="1" outlineLevel="1">
      <c r="A4355" s="17">
        <v>41782.0</v>
      </c>
      <c r="B4355" s="1"/>
      <c r="C4355" s="1" t="s">
        <v>433</v>
      </c>
      <c r="D4355" s="74"/>
      <c r="E4355" s="67"/>
      <c r="F4355" s="75"/>
      <c r="G4355" s="67"/>
      <c r="H4355" s="68"/>
      <c r="I4355" s="76"/>
      <c r="J4355" s="67"/>
      <c r="K4355" s="7" t="s">
        <v>1103</v>
      </c>
      <c r="L4355" s="77"/>
      <c r="M4355" s="79"/>
      <c r="N4355" s="1"/>
      <c r="O4355" s="1"/>
      <c r="P4355" s="1"/>
      <c r="Q4355" s="1"/>
      <c r="R4355" s="1"/>
      <c r="S4355" s="1"/>
      <c r="T4355" s="1"/>
      <c r="U4355" s="1"/>
      <c r="V4355" s="1"/>
      <c r="W4355" s="1"/>
      <c r="X4355" s="1"/>
      <c r="Y4355" s="1"/>
      <c r="Z4355" s="1"/>
      <c r="AA4355" s="1"/>
      <c r="AB4355" s="1"/>
      <c r="AC4355" s="1"/>
      <c r="AD4355" s="1"/>
      <c r="AE4355" s="1"/>
      <c r="AF4355" s="1"/>
      <c r="AG4355" s="1"/>
      <c r="AH4355" s="1"/>
    </row>
    <row r="4356" ht="12.75" hidden="1" customHeight="1" outlineLevel="1">
      <c r="A4356" s="17">
        <v>41782.0</v>
      </c>
      <c r="B4356" s="1"/>
      <c r="C4356" s="1" t="s">
        <v>435</v>
      </c>
      <c r="D4356" s="74"/>
      <c r="E4356" s="67"/>
      <c r="F4356" s="75"/>
      <c r="G4356" s="67"/>
      <c r="H4356" s="68"/>
      <c r="I4356" s="76"/>
      <c r="J4356" s="67"/>
      <c r="K4356" s="7" t="s">
        <v>1507</v>
      </c>
      <c r="L4356" s="77"/>
      <c r="M4356" s="79"/>
      <c r="N4356" s="1"/>
      <c r="O4356" s="1"/>
      <c r="P4356" s="1"/>
      <c r="Q4356" s="1"/>
      <c r="R4356" s="1"/>
      <c r="S4356" s="1"/>
      <c r="T4356" s="1"/>
      <c r="U4356" s="1"/>
      <c r="V4356" s="1"/>
      <c r="W4356" s="1"/>
      <c r="X4356" s="1"/>
      <c r="Y4356" s="1"/>
      <c r="Z4356" s="1"/>
      <c r="AA4356" s="1"/>
      <c r="AB4356" s="1"/>
      <c r="AC4356" s="1"/>
      <c r="AD4356" s="1"/>
      <c r="AE4356" s="1"/>
      <c r="AF4356" s="1"/>
      <c r="AG4356" s="1"/>
      <c r="AH4356" s="1"/>
    </row>
    <row r="4357" ht="12.75" hidden="1" customHeight="1" outlineLevel="1">
      <c r="A4357" s="17">
        <v>41783.0</v>
      </c>
      <c r="B4357" s="1"/>
      <c r="C4357" s="1" t="s">
        <v>339</v>
      </c>
      <c r="D4357" s="74"/>
      <c r="E4357" s="67"/>
      <c r="F4357" s="75"/>
      <c r="G4357" s="67"/>
      <c r="H4357" s="68"/>
      <c r="I4357" s="76"/>
      <c r="J4357" s="67"/>
      <c r="K4357" s="7" t="s">
        <v>1802</v>
      </c>
      <c r="L4357" s="77"/>
      <c r="M4357" s="79"/>
      <c r="N4357" s="1"/>
      <c r="O4357" s="1"/>
      <c r="P4357" s="1"/>
      <c r="Q4357" s="1"/>
      <c r="R4357" s="1"/>
      <c r="S4357" s="1"/>
      <c r="T4357" s="1"/>
      <c r="U4357" s="1"/>
      <c r="V4357" s="1"/>
      <c r="W4357" s="1"/>
      <c r="X4357" s="1"/>
      <c r="Y4357" s="1"/>
      <c r="Z4357" s="1"/>
      <c r="AA4357" s="1"/>
      <c r="AB4357" s="1"/>
      <c r="AC4357" s="1"/>
      <c r="AD4357" s="1"/>
      <c r="AE4357" s="1"/>
      <c r="AF4357" s="1"/>
      <c r="AG4357" s="1"/>
      <c r="AH4357" s="1"/>
    </row>
    <row r="4358" ht="12.75" hidden="1" customHeight="1" outlineLevel="1">
      <c r="A4358" s="17">
        <v>41783.0</v>
      </c>
      <c r="B4358" s="1"/>
      <c r="C4358" s="1" t="s">
        <v>429</v>
      </c>
      <c r="D4358" s="74"/>
      <c r="E4358" s="67"/>
      <c r="F4358" s="75"/>
      <c r="G4358" s="67"/>
      <c r="H4358" s="68"/>
      <c r="I4358" s="76"/>
      <c r="J4358" s="67"/>
      <c r="K4358" s="7" t="s">
        <v>1761</v>
      </c>
      <c r="L4358" s="77"/>
      <c r="M4358" s="79"/>
      <c r="N4358" s="1"/>
      <c r="O4358" s="1"/>
      <c r="P4358" s="1"/>
      <c r="Q4358" s="1"/>
      <c r="R4358" s="1"/>
      <c r="S4358" s="1"/>
      <c r="T4358" s="1"/>
      <c r="U4358" s="1"/>
      <c r="V4358" s="1"/>
      <c r="W4358" s="1"/>
      <c r="X4358" s="1"/>
      <c r="Y4358" s="1"/>
      <c r="Z4358" s="1"/>
      <c r="AA4358" s="1"/>
      <c r="AB4358" s="1"/>
      <c r="AC4358" s="1"/>
      <c r="AD4358" s="1"/>
      <c r="AE4358" s="1"/>
      <c r="AF4358" s="1"/>
      <c r="AG4358" s="1"/>
      <c r="AH4358" s="1"/>
    </row>
    <row r="4359" ht="12.75" hidden="1" customHeight="1" outlineLevel="1">
      <c r="A4359" s="17">
        <v>41783.0</v>
      </c>
      <c r="B4359" s="1"/>
      <c r="C4359" s="1" t="s">
        <v>431</v>
      </c>
      <c r="D4359" s="74"/>
      <c r="E4359" s="67"/>
      <c r="F4359" s="75"/>
      <c r="G4359" s="67"/>
      <c r="H4359" s="68"/>
      <c r="I4359" s="76"/>
      <c r="J4359" s="67"/>
      <c r="K4359" s="7" t="s">
        <v>1126</v>
      </c>
      <c r="L4359" s="77"/>
      <c r="M4359" s="79"/>
      <c r="N4359" s="1"/>
      <c r="O4359" s="1"/>
      <c r="P4359" s="1"/>
      <c r="Q4359" s="1"/>
      <c r="R4359" s="1"/>
      <c r="S4359" s="1"/>
      <c r="T4359" s="1"/>
      <c r="U4359" s="1"/>
      <c r="V4359" s="1"/>
      <c r="W4359" s="1"/>
      <c r="X4359" s="1"/>
      <c r="Y4359" s="1"/>
      <c r="Z4359" s="1"/>
      <c r="AA4359" s="1"/>
      <c r="AB4359" s="1"/>
      <c r="AC4359" s="1"/>
      <c r="AD4359" s="1"/>
      <c r="AE4359" s="1"/>
      <c r="AF4359" s="1"/>
      <c r="AG4359" s="1"/>
      <c r="AH4359" s="1"/>
    </row>
    <row r="4360" ht="12.75" hidden="1" customHeight="1" outlineLevel="1">
      <c r="A4360" s="17">
        <v>41783.0</v>
      </c>
      <c r="B4360" s="1"/>
      <c r="C4360" s="1" t="s">
        <v>433</v>
      </c>
      <c r="D4360" s="74"/>
      <c r="E4360" s="67"/>
      <c r="F4360" s="75"/>
      <c r="G4360" s="67"/>
      <c r="H4360" s="68"/>
      <c r="I4360" s="76"/>
      <c r="J4360" s="67"/>
      <c r="K4360" s="7" t="s">
        <v>1103</v>
      </c>
      <c r="L4360" s="77"/>
      <c r="M4360" s="79"/>
      <c r="N4360" s="1"/>
      <c r="O4360" s="1"/>
      <c r="P4360" s="1"/>
      <c r="Q4360" s="1"/>
      <c r="R4360" s="1"/>
      <c r="S4360" s="1"/>
      <c r="T4360" s="1"/>
      <c r="U4360" s="1"/>
      <c r="V4360" s="1"/>
      <c r="W4360" s="1"/>
      <c r="X4360" s="1"/>
      <c r="Y4360" s="1"/>
      <c r="Z4360" s="1"/>
      <c r="AA4360" s="1"/>
      <c r="AB4360" s="1"/>
      <c r="AC4360" s="1"/>
      <c r="AD4360" s="1"/>
      <c r="AE4360" s="1"/>
      <c r="AF4360" s="1"/>
      <c r="AG4360" s="1"/>
      <c r="AH4360" s="1"/>
    </row>
    <row r="4361" ht="12.75" hidden="1" customHeight="1" outlineLevel="1">
      <c r="A4361" s="17">
        <v>41783.0</v>
      </c>
      <c r="B4361" s="1"/>
      <c r="C4361" s="1" t="s">
        <v>435</v>
      </c>
      <c r="D4361" s="74"/>
      <c r="E4361" s="67"/>
      <c r="F4361" s="75"/>
      <c r="G4361" s="67"/>
      <c r="H4361" s="68"/>
      <c r="I4361" s="76"/>
      <c r="J4361" s="67"/>
      <c r="K4361" s="7" t="s">
        <v>1507</v>
      </c>
      <c r="L4361" s="77"/>
      <c r="M4361" s="79"/>
      <c r="N4361" s="1"/>
      <c r="O4361" s="1"/>
      <c r="P4361" s="1"/>
      <c r="Q4361" s="1"/>
      <c r="R4361" s="1"/>
      <c r="S4361" s="1"/>
      <c r="T4361" s="1"/>
      <c r="U4361" s="1"/>
      <c r="V4361" s="1"/>
      <c r="W4361" s="1"/>
      <c r="X4361" s="1"/>
      <c r="Y4361" s="1"/>
      <c r="Z4361" s="1"/>
      <c r="AA4361" s="1"/>
      <c r="AB4361" s="1"/>
      <c r="AC4361" s="1"/>
      <c r="AD4361" s="1"/>
      <c r="AE4361" s="1"/>
      <c r="AF4361" s="1"/>
      <c r="AG4361" s="1"/>
      <c r="AH4361" s="1"/>
    </row>
    <row r="4362" ht="12.75" hidden="1" customHeight="1" outlineLevel="1">
      <c r="A4362" s="17">
        <v>41786.0</v>
      </c>
      <c r="B4362" s="1"/>
      <c r="C4362" s="1" t="s">
        <v>339</v>
      </c>
      <c r="D4362" s="74"/>
      <c r="E4362" s="67"/>
      <c r="F4362" s="75"/>
      <c r="G4362" s="67"/>
      <c r="H4362" s="68"/>
      <c r="I4362" s="76"/>
      <c r="J4362" s="67"/>
      <c r="K4362" s="7" t="s">
        <v>1808</v>
      </c>
      <c r="L4362" s="77"/>
      <c r="M4362" s="79"/>
      <c r="N4362" s="1"/>
      <c r="O4362" s="1"/>
      <c r="P4362" s="1"/>
      <c r="Q4362" s="1"/>
      <c r="R4362" s="1"/>
      <c r="S4362" s="1"/>
      <c r="T4362" s="1"/>
      <c r="U4362" s="1"/>
      <c r="V4362" s="1"/>
      <c r="W4362" s="1"/>
      <c r="X4362" s="1"/>
      <c r="Y4362" s="1"/>
      <c r="Z4362" s="1"/>
      <c r="AA4362" s="1"/>
      <c r="AB4362" s="1"/>
      <c r="AC4362" s="1"/>
      <c r="AD4362" s="1"/>
      <c r="AE4362" s="1"/>
      <c r="AF4362" s="1"/>
      <c r="AG4362" s="1"/>
      <c r="AH4362" s="1"/>
    </row>
    <row r="4363" ht="12.75" hidden="1" customHeight="1" outlineLevel="1">
      <c r="A4363" s="17">
        <v>41786.0</v>
      </c>
      <c r="B4363" s="1"/>
      <c r="C4363" s="1" t="s">
        <v>429</v>
      </c>
      <c r="D4363" s="74"/>
      <c r="E4363" s="67"/>
      <c r="F4363" s="75"/>
      <c r="G4363" s="67"/>
      <c r="H4363" s="68"/>
      <c r="I4363" s="76"/>
      <c r="J4363" s="67"/>
      <c r="K4363" s="7" t="s">
        <v>1761</v>
      </c>
      <c r="L4363" s="77"/>
      <c r="M4363" s="79"/>
      <c r="N4363" s="1"/>
      <c r="O4363" s="1"/>
      <c r="P4363" s="1"/>
      <c r="Q4363" s="1"/>
      <c r="R4363" s="1"/>
      <c r="S4363" s="1"/>
      <c r="T4363" s="1"/>
      <c r="U4363" s="1"/>
      <c r="V4363" s="1"/>
      <c r="W4363" s="1"/>
      <c r="X4363" s="1"/>
      <c r="Y4363" s="1"/>
      <c r="Z4363" s="1"/>
      <c r="AA4363" s="1"/>
      <c r="AB4363" s="1"/>
      <c r="AC4363" s="1"/>
      <c r="AD4363" s="1"/>
      <c r="AE4363" s="1"/>
      <c r="AF4363" s="1"/>
      <c r="AG4363" s="1"/>
      <c r="AH4363" s="1"/>
    </row>
    <row r="4364" ht="12.75" hidden="1" customHeight="1" outlineLevel="1">
      <c r="A4364" s="17">
        <v>41786.0</v>
      </c>
      <c r="B4364" s="1"/>
      <c r="C4364" s="1" t="s">
        <v>431</v>
      </c>
      <c r="D4364" s="74"/>
      <c r="E4364" s="67"/>
      <c r="F4364" s="75"/>
      <c r="G4364" s="67"/>
      <c r="H4364" s="68"/>
      <c r="I4364" s="76"/>
      <c r="J4364" s="67"/>
      <c r="K4364" s="7" t="s">
        <v>1126</v>
      </c>
      <c r="L4364" s="77"/>
      <c r="M4364" s="79"/>
      <c r="N4364" s="1"/>
      <c r="O4364" s="1"/>
      <c r="P4364" s="1"/>
      <c r="Q4364" s="1"/>
      <c r="R4364" s="1"/>
      <c r="S4364" s="1"/>
      <c r="T4364" s="1"/>
      <c r="U4364" s="1"/>
      <c r="V4364" s="1"/>
      <c r="W4364" s="1"/>
      <c r="X4364" s="1"/>
      <c r="Y4364" s="1"/>
      <c r="Z4364" s="1"/>
      <c r="AA4364" s="1"/>
      <c r="AB4364" s="1"/>
      <c r="AC4364" s="1"/>
      <c r="AD4364" s="1"/>
      <c r="AE4364" s="1"/>
      <c r="AF4364" s="1"/>
      <c r="AG4364" s="1"/>
      <c r="AH4364" s="1"/>
    </row>
    <row r="4365" ht="12.75" hidden="1" customHeight="1" outlineLevel="1">
      <c r="A4365" s="17">
        <v>41786.0</v>
      </c>
      <c r="B4365" s="1"/>
      <c r="C4365" s="1" t="s">
        <v>433</v>
      </c>
      <c r="D4365" s="74"/>
      <c r="E4365" s="67"/>
      <c r="F4365" s="75"/>
      <c r="G4365" s="67"/>
      <c r="H4365" s="68"/>
      <c r="I4365" s="76"/>
      <c r="J4365" s="67"/>
      <c r="K4365" s="7" t="s">
        <v>1103</v>
      </c>
      <c r="L4365" s="77"/>
      <c r="M4365" s="79"/>
      <c r="N4365" s="1"/>
      <c r="O4365" s="1"/>
      <c r="P4365" s="1"/>
      <c r="Q4365" s="1"/>
      <c r="R4365" s="1"/>
      <c r="S4365" s="1"/>
      <c r="T4365" s="1"/>
      <c r="U4365" s="1"/>
      <c r="V4365" s="1"/>
      <c r="W4365" s="1"/>
      <c r="X4365" s="1"/>
      <c r="Y4365" s="1"/>
      <c r="Z4365" s="1"/>
      <c r="AA4365" s="1"/>
      <c r="AB4365" s="1"/>
      <c r="AC4365" s="1"/>
      <c r="AD4365" s="1"/>
      <c r="AE4365" s="1"/>
      <c r="AF4365" s="1"/>
      <c r="AG4365" s="1"/>
      <c r="AH4365" s="1"/>
    </row>
    <row r="4366" ht="12.75" hidden="1" customHeight="1" outlineLevel="1">
      <c r="A4366" s="17">
        <v>41786.0</v>
      </c>
      <c r="B4366" s="1"/>
      <c r="C4366" s="1" t="s">
        <v>435</v>
      </c>
      <c r="D4366" s="74"/>
      <c r="E4366" s="67"/>
      <c r="F4366" s="75"/>
      <c r="G4366" s="67"/>
      <c r="H4366" s="68"/>
      <c r="I4366" s="76"/>
      <c r="J4366" s="67"/>
      <c r="K4366" s="7" t="s">
        <v>1507</v>
      </c>
      <c r="L4366" s="77"/>
      <c r="M4366" s="79"/>
      <c r="N4366" s="1"/>
      <c r="O4366" s="1"/>
      <c r="P4366" s="1"/>
      <c r="Q4366" s="1"/>
      <c r="R4366" s="1"/>
      <c r="S4366" s="1"/>
      <c r="T4366" s="1"/>
      <c r="U4366" s="1"/>
      <c r="V4366" s="1"/>
      <c r="W4366" s="1"/>
      <c r="X4366" s="1"/>
      <c r="Y4366" s="1"/>
      <c r="Z4366" s="1"/>
      <c r="AA4366" s="1"/>
      <c r="AB4366" s="1"/>
      <c r="AC4366" s="1"/>
      <c r="AD4366" s="1"/>
      <c r="AE4366" s="1"/>
      <c r="AF4366" s="1"/>
      <c r="AG4366" s="1"/>
      <c r="AH4366" s="1"/>
    </row>
    <row r="4367" ht="12.75" hidden="1" customHeight="1" outlineLevel="1">
      <c r="A4367" s="17">
        <v>41786.0</v>
      </c>
      <c r="B4367" s="1"/>
      <c r="C4367" s="1" t="s">
        <v>339</v>
      </c>
      <c r="D4367" s="74"/>
      <c r="E4367" s="67"/>
      <c r="F4367" s="75"/>
      <c r="G4367" s="67"/>
      <c r="H4367" s="68"/>
      <c r="I4367" s="76"/>
      <c r="J4367" s="67"/>
      <c r="K4367" s="7" t="s">
        <v>1812</v>
      </c>
      <c r="L4367" s="77"/>
      <c r="M4367" s="79"/>
      <c r="N4367" s="1"/>
      <c r="O4367" s="1"/>
      <c r="P4367" s="1"/>
      <c r="Q4367" s="1"/>
      <c r="R4367" s="1"/>
      <c r="S4367" s="1"/>
      <c r="T4367" s="1"/>
      <c r="U4367" s="1"/>
      <c r="V4367" s="1"/>
      <c r="W4367" s="1"/>
      <c r="X4367" s="1"/>
      <c r="Y4367" s="1"/>
      <c r="Z4367" s="1"/>
      <c r="AA4367" s="1"/>
      <c r="AB4367" s="1"/>
      <c r="AC4367" s="1"/>
      <c r="AD4367" s="1"/>
      <c r="AE4367" s="1"/>
      <c r="AF4367" s="1"/>
      <c r="AG4367" s="1"/>
      <c r="AH4367" s="1"/>
    </row>
    <row r="4368" ht="12.75" hidden="1" customHeight="1" outlineLevel="1">
      <c r="A4368" s="17">
        <v>41786.0</v>
      </c>
      <c r="B4368" s="1"/>
      <c r="C4368" s="1" t="s">
        <v>429</v>
      </c>
      <c r="D4368" s="74"/>
      <c r="E4368" s="67"/>
      <c r="F4368" s="75"/>
      <c r="G4368" s="67"/>
      <c r="H4368" s="68"/>
      <c r="I4368" s="76"/>
      <c r="J4368" s="67"/>
      <c r="K4368" s="7" t="s">
        <v>1761</v>
      </c>
      <c r="L4368" s="77"/>
      <c r="M4368" s="79"/>
      <c r="N4368" s="1"/>
      <c r="O4368" s="1"/>
      <c r="P4368" s="1"/>
      <c r="Q4368" s="1"/>
      <c r="R4368" s="1"/>
      <c r="S4368" s="1"/>
      <c r="T4368" s="1"/>
      <c r="U4368" s="1"/>
      <c r="V4368" s="1"/>
      <c r="W4368" s="1"/>
      <c r="X4368" s="1"/>
      <c r="Y4368" s="1"/>
      <c r="Z4368" s="1"/>
      <c r="AA4368" s="1"/>
      <c r="AB4368" s="1"/>
      <c r="AC4368" s="1"/>
      <c r="AD4368" s="1"/>
      <c r="AE4368" s="1"/>
      <c r="AF4368" s="1"/>
      <c r="AG4368" s="1"/>
      <c r="AH4368" s="1"/>
    </row>
    <row r="4369" ht="12.75" hidden="1" customHeight="1" outlineLevel="1">
      <c r="A4369" s="17">
        <v>41786.0</v>
      </c>
      <c r="B4369" s="1"/>
      <c r="C4369" s="1" t="s">
        <v>431</v>
      </c>
      <c r="D4369" s="74"/>
      <c r="E4369" s="67"/>
      <c r="F4369" s="75"/>
      <c r="G4369" s="67"/>
      <c r="H4369" s="68"/>
      <c r="I4369" s="76"/>
      <c r="J4369" s="67"/>
      <c r="K4369" s="7" t="s">
        <v>1126</v>
      </c>
      <c r="L4369" s="77"/>
      <c r="M4369" s="79"/>
      <c r="N4369" s="1"/>
      <c r="O4369" s="1"/>
      <c r="P4369" s="1"/>
      <c r="Q4369" s="1"/>
      <c r="R4369" s="1"/>
      <c r="S4369" s="1"/>
      <c r="T4369" s="1"/>
      <c r="U4369" s="1"/>
      <c r="V4369" s="1"/>
      <c r="W4369" s="1"/>
      <c r="X4369" s="1"/>
      <c r="Y4369" s="1"/>
      <c r="Z4369" s="1"/>
      <c r="AA4369" s="1"/>
      <c r="AB4369" s="1"/>
      <c r="AC4369" s="1"/>
      <c r="AD4369" s="1"/>
      <c r="AE4369" s="1"/>
      <c r="AF4369" s="1"/>
      <c r="AG4369" s="1"/>
      <c r="AH4369" s="1"/>
    </row>
    <row r="4370" ht="12.75" hidden="1" customHeight="1" outlineLevel="1">
      <c r="A4370" s="17">
        <v>41786.0</v>
      </c>
      <c r="B4370" s="1"/>
      <c r="C4370" s="1" t="s">
        <v>433</v>
      </c>
      <c r="D4370" s="74"/>
      <c r="E4370" s="67"/>
      <c r="F4370" s="75"/>
      <c r="G4370" s="67"/>
      <c r="H4370" s="68"/>
      <c r="I4370" s="76"/>
      <c r="J4370" s="67"/>
      <c r="K4370" s="7" t="s">
        <v>1103</v>
      </c>
      <c r="L4370" s="77"/>
      <c r="M4370" s="79"/>
      <c r="N4370" s="1"/>
      <c r="O4370" s="1"/>
      <c r="P4370" s="1"/>
      <c r="Q4370" s="1"/>
      <c r="R4370" s="1"/>
      <c r="S4370" s="1"/>
      <c r="T4370" s="1"/>
      <c r="U4370" s="1"/>
      <c r="V4370" s="1"/>
      <c r="W4370" s="1"/>
      <c r="X4370" s="1"/>
      <c r="Y4370" s="1"/>
      <c r="Z4370" s="1"/>
      <c r="AA4370" s="1"/>
      <c r="AB4370" s="1"/>
      <c r="AC4370" s="1"/>
      <c r="AD4370" s="1"/>
      <c r="AE4370" s="1"/>
      <c r="AF4370" s="1"/>
      <c r="AG4370" s="1"/>
      <c r="AH4370" s="1"/>
    </row>
    <row r="4371" ht="12.75" hidden="1" customHeight="1" outlineLevel="1">
      <c r="A4371" s="17">
        <v>41786.0</v>
      </c>
      <c r="B4371" s="1"/>
      <c r="C4371" s="1" t="s">
        <v>435</v>
      </c>
      <c r="D4371" s="74"/>
      <c r="E4371" s="67"/>
      <c r="F4371" s="75"/>
      <c r="G4371" s="67"/>
      <c r="H4371" s="68"/>
      <c r="I4371" s="76"/>
      <c r="J4371" s="67"/>
      <c r="K4371" s="7" t="s">
        <v>1507</v>
      </c>
      <c r="L4371" s="77"/>
      <c r="M4371" s="79"/>
      <c r="N4371" s="1"/>
      <c r="O4371" s="1"/>
      <c r="P4371" s="1"/>
      <c r="Q4371" s="1"/>
      <c r="R4371" s="1"/>
      <c r="S4371" s="1"/>
      <c r="T4371" s="1"/>
      <c r="U4371" s="1"/>
      <c r="V4371" s="1"/>
      <c r="W4371" s="1"/>
      <c r="X4371" s="1"/>
      <c r="Y4371" s="1"/>
      <c r="Z4371" s="1"/>
      <c r="AA4371" s="1"/>
      <c r="AB4371" s="1"/>
      <c r="AC4371" s="1"/>
      <c r="AD4371" s="1"/>
      <c r="AE4371" s="1"/>
      <c r="AF4371" s="1"/>
      <c r="AG4371" s="1"/>
      <c r="AH4371" s="1"/>
    </row>
    <row r="4372" ht="12.75" hidden="1" customHeight="1" outlineLevel="1">
      <c r="A4372" s="17">
        <v>41786.0</v>
      </c>
      <c r="B4372" s="1" t="s">
        <v>343</v>
      </c>
      <c r="C4372" s="1" t="s">
        <v>779</v>
      </c>
      <c r="D4372" s="74">
        <v>25.0</v>
      </c>
      <c r="E4372" s="67">
        <v>247.99</v>
      </c>
      <c r="F4372" s="75">
        <v>0.40391203703703704</v>
      </c>
      <c r="G4372" s="67" t="s">
        <v>453</v>
      </c>
      <c r="H4372" s="68">
        <v>1.0</v>
      </c>
      <c r="I4372" s="76"/>
      <c r="J4372" s="67">
        <f t="shared" ref="J4372:J4378" si="271">IF(B4372="SLD",D4372*E4372,-D4372*E4372)-H4372</f>
        <v>-6200.75</v>
      </c>
      <c r="K4372" s="7"/>
      <c r="L4372" s="70"/>
      <c r="M4372" s="79"/>
      <c r="N4372" s="1"/>
      <c r="O4372" s="1"/>
      <c r="P4372" s="1"/>
      <c r="Q4372" s="1"/>
      <c r="R4372" s="1"/>
      <c r="S4372" s="1"/>
      <c r="T4372" s="1"/>
      <c r="U4372" s="1"/>
      <c r="V4372" s="1"/>
      <c r="W4372" s="1"/>
      <c r="X4372" s="1"/>
      <c r="Y4372" s="1"/>
      <c r="Z4372" s="1"/>
      <c r="AA4372" s="1"/>
      <c r="AB4372" s="1"/>
      <c r="AC4372" s="1"/>
      <c r="AD4372" s="1"/>
      <c r="AE4372" s="1"/>
      <c r="AF4372" s="1"/>
      <c r="AG4372" s="1"/>
      <c r="AH4372" s="1"/>
    </row>
    <row r="4373" ht="12.75" hidden="1" customHeight="1" outlineLevel="1">
      <c r="A4373" s="17">
        <v>41786.0</v>
      </c>
      <c r="B4373" s="1" t="s">
        <v>347</v>
      </c>
      <c r="C4373" s="1" t="s">
        <v>1781</v>
      </c>
      <c r="D4373" s="74">
        <v>2000.0</v>
      </c>
      <c r="E4373" s="67">
        <v>16.08</v>
      </c>
      <c r="F4373" s="75">
        <v>0.4205671296296296</v>
      </c>
      <c r="G4373" s="67" t="s">
        <v>453</v>
      </c>
      <c r="H4373" s="68">
        <v>8.71</v>
      </c>
      <c r="I4373" s="76"/>
      <c r="J4373" s="67">
        <f t="shared" si="271"/>
        <v>32151.29</v>
      </c>
      <c r="K4373" s="7"/>
      <c r="L4373" s="70"/>
      <c r="M4373" s="79"/>
      <c r="N4373" s="1"/>
      <c r="O4373" s="1"/>
      <c r="P4373" s="1"/>
      <c r="Q4373" s="1"/>
      <c r="R4373" s="1"/>
      <c r="S4373" s="1"/>
      <c r="T4373" s="1"/>
      <c r="U4373" s="1"/>
      <c r="V4373" s="1"/>
      <c r="W4373" s="1"/>
      <c r="X4373" s="1"/>
      <c r="Y4373" s="1"/>
      <c r="Z4373" s="1"/>
      <c r="AA4373" s="1"/>
      <c r="AB4373" s="1"/>
      <c r="AC4373" s="1"/>
      <c r="AD4373" s="1"/>
      <c r="AE4373" s="1"/>
      <c r="AF4373" s="1"/>
      <c r="AG4373" s="1"/>
      <c r="AH4373" s="1"/>
    </row>
    <row r="4374" ht="12.75" hidden="1" customHeight="1" outlineLevel="1">
      <c r="A4374" s="17">
        <v>41786.0</v>
      </c>
      <c r="B4374" s="1" t="s">
        <v>347</v>
      </c>
      <c r="C4374" s="1" t="s">
        <v>351</v>
      </c>
      <c r="D4374" s="74">
        <v>1000.0</v>
      </c>
      <c r="E4374" s="67">
        <v>122.81</v>
      </c>
      <c r="F4374" s="75">
        <v>0.4209027777777778</v>
      </c>
      <c r="G4374" s="67" t="s">
        <v>453</v>
      </c>
      <c r="H4374" s="68">
        <v>6.71</v>
      </c>
      <c r="I4374" s="76"/>
      <c r="J4374" s="67">
        <f t="shared" si="271"/>
        <v>122803.29</v>
      </c>
      <c r="K4374" s="7"/>
      <c r="L4374" s="70"/>
      <c r="M4374" s="79"/>
      <c r="N4374" s="1"/>
      <c r="O4374" s="1"/>
      <c r="P4374" s="1"/>
      <c r="Q4374" s="1"/>
      <c r="R4374" s="1"/>
      <c r="S4374" s="1"/>
      <c r="T4374" s="1"/>
      <c r="U4374" s="1"/>
      <c r="V4374" s="1"/>
      <c r="W4374" s="1"/>
      <c r="X4374" s="1"/>
      <c r="Y4374" s="1"/>
      <c r="Z4374" s="1"/>
      <c r="AA4374" s="1"/>
      <c r="AB4374" s="1"/>
      <c r="AC4374" s="1"/>
      <c r="AD4374" s="1"/>
      <c r="AE4374" s="1"/>
      <c r="AF4374" s="1"/>
      <c r="AG4374" s="1"/>
      <c r="AH4374" s="1"/>
    </row>
    <row r="4375" ht="12.75" hidden="1" customHeight="1" outlineLevel="1">
      <c r="A4375" s="17">
        <v>41786.0</v>
      </c>
      <c r="B4375" s="1" t="s">
        <v>343</v>
      </c>
      <c r="C4375" s="1" t="s">
        <v>1371</v>
      </c>
      <c r="D4375" s="74">
        <v>150.0</v>
      </c>
      <c r="E4375" s="67">
        <v>34.02</v>
      </c>
      <c r="F4375" s="75">
        <v>0.4215740740740741</v>
      </c>
      <c r="G4375" s="67" t="s">
        <v>453</v>
      </c>
      <c r="H4375" s="68">
        <v>1.0</v>
      </c>
      <c r="I4375" s="76"/>
      <c r="J4375" s="67">
        <f t="shared" si="271"/>
        <v>-5104</v>
      </c>
      <c r="K4375" s="7"/>
      <c r="L4375" s="70"/>
      <c r="M4375" s="79"/>
      <c r="N4375" s="1"/>
      <c r="O4375" s="1"/>
      <c r="P4375" s="1"/>
      <c r="Q4375" s="1"/>
      <c r="R4375" s="1"/>
      <c r="S4375" s="1"/>
      <c r="T4375" s="1"/>
      <c r="U4375" s="1"/>
      <c r="V4375" s="1"/>
      <c r="W4375" s="1"/>
      <c r="X4375" s="1"/>
      <c r="Y4375" s="1"/>
      <c r="Z4375" s="1"/>
      <c r="AA4375" s="1"/>
      <c r="AB4375" s="1"/>
      <c r="AC4375" s="1"/>
      <c r="AD4375" s="1"/>
      <c r="AE4375" s="1"/>
      <c r="AF4375" s="1"/>
      <c r="AG4375" s="1"/>
      <c r="AH4375" s="1"/>
    </row>
    <row r="4376" ht="12.75" hidden="1" customHeight="1" outlineLevel="1">
      <c r="A4376" s="17">
        <v>41786.0</v>
      </c>
      <c r="B4376" s="1" t="s">
        <v>343</v>
      </c>
      <c r="C4376" s="1" t="s">
        <v>354</v>
      </c>
      <c r="D4376" s="74">
        <v>50.0</v>
      </c>
      <c r="E4376" s="67">
        <v>107.21</v>
      </c>
      <c r="F4376" s="75">
        <v>0.4217013888888889</v>
      </c>
      <c r="G4376" s="67" t="s">
        <v>453</v>
      </c>
      <c r="H4376" s="68">
        <v>1.0</v>
      </c>
      <c r="I4376" s="76"/>
      <c r="J4376" s="67">
        <f t="shared" si="271"/>
        <v>-5361.5</v>
      </c>
      <c r="K4376" s="7"/>
      <c r="L4376" s="70"/>
      <c r="M4376" s="79"/>
      <c r="N4376" s="1"/>
      <c r="O4376" s="1"/>
      <c r="P4376" s="1"/>
      <c r="Q4376" s="1"/>
      <c r="R4376" s="1"/>
      <c r="S4376" s="1"/>
      <c r="T4376" s="1"/>
      <c r="U4376" s="1"/>
      <c r="V4376" s="1"/>
      <c r="W4376" s="1"/>
      <c r="X4376" s="1"/>
      <c r="Y4376" s="1"/>
      <c r="Z4376" s="1"/>
      <c r="AA4376" s="1"/>
      <c r="AB4376" s="1"/>
      <c r="AC4376" s="1"/>
      <c r="AD4376" s="1"/>
      <c r="AE4376" s="1"/>
      <c r="AF4376" s="1"/>
      <c r="AG4376" s="1"/>
      <c r="AH4376" s="1"/>
    </row>
    <row r="4377" ht="12.75" hidden="1" customHeight="1" outlineLevel="1">
      <c r="A4377" s="17">
        <v>41786.0</v>
      </c>
      <c r="B4377" s="1" t="s">
        <v>347</v>
      </c>
      <c r="C4377" s="1" t="s">
        <v>784</v>
      </c>
      <c r="D4377" s="74">
        <v>400.0</v>
      </c>
      <c r="E4377" s="67">
        <v>13.18</v>
      </c>
      <c r="F4377" s="75">
        <v>0.4238425925925926</v>
      </c>
      <c r="G4377" s="67" t="s">
        <v>453</v>
      </c>
      <c r="H4377" s="68">
        <v>2.02</v>
      </c>
      <c r="I4377" s="76"/>
      <c r="J4377" s="67">
        <f t="shared" si="271"/>
        <v>5269.98</v>
      </c>
      <c r="K4377" s="7"/>
      <c r="L4377" s="70"/>
      <c r="M4377" s="79"/>
      <c r="N4377" s="1"/>
      <c r="O4377" s="1"/>
      <c r="P4377" s="1"/>
      <c r="Q4377" s="1"/>
      <c r="R4377" s="1"/>
      <c r="S4377" s="1"/>
      <c r="T4377" s="1"/>
      <c r="U4377" s="1"/>
      <c r="V4377" s="1"/>
      <c r="W4377" s="1"/>
      <c r="X4377" s="1"/>
      <c r="Y4377" s="1"/>
      <c r="Z4377" s="1"/>
      <c r="AA4377" s="1"/>
      <c r="AB4377" s="1"/>
      <c r="AC4377" s="1"/>
      <c r="AD4377" s="1"/>
      <c r="AE4377" s="1"/>
      <c r="AF4377" s="1"/>
      <c r="AG4377" s="1"/>
      <c r="AH4377" s="1"/>
    </row>
    <row r="4378" ht="12.75" hidden="1" customHeight="1" outlineLevel="1">
      <c r="A4378" s="17">
        <v>41786.0</v>
      </c>
      <c r="B4378" s="1" t="s">
        <v>347</v>
      </c>
      <c r="C4378" s="1" t="s">
        <v>1725</v>
      </c>
      <c r="D4378" s="74">
        <v>400.0</v>
      </c>
      <c r="E4378" s="67">
        <v>17.2</v>
      </c>
      <c r="F4378" s="75">
        <v>0.6090625</v>
      </c>
      <c r="G4378" s="67" t="s">
        <v>453</v>
      </c>
      <c r="H4378" s="68">
        <v>1.85</v>
      </c>
      <c r="I4378" s="76"/>
      <c r="J4378" s="67">
        <f t="shared" si="271"/>
        <v>6878.15</v>
      </c>
      <c r="K4378" s="7"/>
      <c r="L4378" s="70"/>
      <c r="M4378" s="79"/>
      <c r="N4378" s="1"/>
      <c r="O4378" s="1"/>
      <c r="P4378" s="1"/>
      <c r="Q4378" s="1"/>
      <c r="R4378" s="1"/>
      <c r="S4378" s="1"/>
      <c r="T4378" s="1"/>
      <c r="U4378" s="1"/>
      <c r="V4378" s="1"/>
      <c r="W4378" s="1"/>
      <c r="X4378" s="1"/>
      <c r="Y4378" s="1"/>
      <c r="Z4378" s="1"/>
      <c r="AA4378" s="1"/>
      <c r="AB4378" s="1"/>
      <c r="AC4378" s="1"/>
      <c r="AD4378" s="1"/>
      <c r="AE4378" s="1"/>
      <c r="AF4378" s="1"/>
      <c r="AG4378" s="1"/>
      <c r="AH4378" s="1"/>
    </row>
    <row r="4379" ht="12.75" hidden="1" customHeight="1" outlineLevel="1">
      <c r="A4379" s="17">
        <v>41786.0</v>
      </c>
      <c r="B4379" s="1"/>
      <c r="C4379" s="1" t="s">
        <v>339</v>
      </c>
      <c r="D4379" s="74"/>
      <c r="E4379" s="67"/>
      <c r="F4379" s="75"/>
      <c r="G4379" s="67"/>
      <c r="H4379" s="68"/>
      <c r="I4379" s="76"/>
      <c r="J4379" s="67"/>
      <c r="K4379" s="7" t="s">
        <v>1812</v>
      </c>
      <c r="L4379" s="77"/>
      <c r="M4379" s="79"/>
      <c r="N4379" s="1"/>
      <c r="O4379" s="1"/>
      <c r="P4379" s="1"/>
      <c r="Q4379" s="1"/>
      <c r="R4379" s="1"/>
      <c r="S4379" s="1"/>
      <c r="T4379" s="1"/>
      <c r="U4379" s="1"/>
      <c r="V4379" s="1"/>
      <c r="W4379" s="1"/>
      <c r="X4379" s="1"/>
      <c r="Y4379" s="1"/>
      <c r="Z4379" s="1"/>
      <c r="AA4379" s="1"/>
      <c r="AB4379" s="1"/>
      <c r="AC4379" s="1"/>
      <c r="AD4379" s="1"/>
      <c r="AE4379" s="1"/>
      <c r="AF4379" s="1"/>
      <c r="AG4379" s="1"/>
      <c r="AH4379" s="1"/>
    </row>
    <row r="4380" ht="12.75" hidden="1" customHeight="1" outlineLevel="1">
      <c r="A4380" s="17">
        <v>41786.0</v>
      </c>
      <c r="B4380" s="1"/>
      <c r="C4380" s="1" t="s">
        <v>429</v>
      </c>
      <c r="D4380" s="74"/>
      <c r="E4380" s="67"/>
      <c r="F4380" s="75"/>
      <c r="G4380" s="67"/>
      <c r="H4380" s="68"/>
      <c r="I4380" s="76"/>
      <c r="J4380" s="67"/>
      <c r="K4380" s="7" t="s">
        <v>1761</v>
      </c>
      <c r="L4380" s="77"/>
      <c r="M4380" s="79"/>
      <c r="N4380" s="1"/>
      <c r="O4380" s="1"/>
      <c r="P4380" s="1"/>
      <c r="Q4380" s="1"/>
      <c r="R4380" s="1"/>
      <c r="S4380" s="1"/>
      <c r="T4380" s="1"/>
      <c r="U4380" s="1"/>
      <c r="V4380" s="1"/>
      <c r="W4380" s="1"/>
      <c r="X4380" s="1"/>
      <c r="Y4380" s="1"/>
      <c r="Z4380" s="1"/>
      <c r="AA4380" s="1"/>
      <c r="AB4380" s="1"/>
      <c r="AC4380" s="1"/>
      <c r="AD4380" s="1"/>
      <c r="AE4380" s="1"/>
      <c r="AF4380" s="1"/>
      <c r="AG4380" s="1"/>
      <c r="AH4380" s="1"/>
    </row>
    <row r="4381" ht="12.75" hidden="1" customHeight="1" outlineLevel="1">
      <c r="A4381" s="17">
        <v>41786.0</v>
      </c>
      <c r="B4381" s="1"/>
      <c r="C4381" s="1" t="s">
        <v>431</v>
      </c>
      <c r="D4381" s="74"/>
      <c r="E4381" s="67"/>
      <c r="F4381" s="75"/>
      <c r="G4381" s="67"/>
      <c r="H4381" s="68"/>
      <c r="I4381" s="76"/>
      <c r="J4381" s="67"/>
      <c r="K4381" s="7" t="s">
        <v>1126</v>
      </c>
      <c r="L4381" s="77"/>
      <c r="M4381" s="79"/>
      <c r="N4381" s="1"/>
      <c r="O4381" s="1"/>
      <c r="P4381" s="1"/>
      <c r="Q4381" s="1"/>
      <c r="R4381" s="1"/>
      <c r="S4381" s="1"/>
      <c r="T4381" s="1"/>
      <c r="U4381" s="1"/>
      <c r="V4381" s="1"/>
      <c r="W4381" s="1"/>
      <c r="X4381" s="1"/>
      <c r="Y4381" s="1"/>
      <c r="Z4381" s="1"/>
      <c r="AA4381" s="1"/>
      <c r="AB4381" s="1"/>
      <c r="AC4381" s="1"/>
      <c r="AD4381" s="1"/>
      <c r="AE4381" s="1"/>
      <c r="AF4381" s="1"/>
      <c r="AG4381" s="1"/>
      <c r="AH4381" s="1"/>
    </row>
    <row r="4382" ht="12.75" hidden="1" customHeight="1" outlineLevel="1">
      <c r="A4382" s="17">
        <v>41786.0</v>
      </c>
      <c r="B4382" s="1"/>
      <c r="C4382" s="1" t="s">
        <v>433</v>
      </c>
      <c r="D4382" s="74"/>
      <c r="E4382" s="67"/>
      <c r="F4382" s="75"/>
      <c r="G4382" s="67"/>
      <c r="H4382" s="68"/>
      <c r="I4382" s="76"/>
      <c r="J4382" s="67"/>
      <c r="K4382" s="7" t="s">
        <v>1103</v>
      </c>
      <c r="L4382" s="77"/>
      <c r="M4382" s="79"/>
      <c r="N4382" s="1"/>
      <c r="O4382" s="1"/>
      <c r="P4382" s="1"/>
      <c r="Q4382" s="1"/>
      <c r="R4382" s="1"/>
      <c r="S4382" s="1"/>
      <c r="T4382" s="1"/>
      <c r="U4382" s="1"/>
      <c r="V4382" s="1"/>
      <c r="W4382" s="1"/>
      <c r="X4382" s="1"/>
      <c r="Y4382" s="1"/>
      <c r="Z4382" s="1"/>
      <c r="AA4382" s="1"/>
      <c r="AB4382" s="1"/>
      <c r="AC4382" s="1"/>
      <c r="AD4382" s="1"/>
      <c r="AE4382" s="1"/>
      <c r="AF4382" s="1"/>
      <c r="AG4382" s="1"/>
      <c r="AH4382" s="1"/>
    </row>
    <row r="4383" ht="12.75" hidden="1" customHeight="1" outlineLevel="1">
      <c r="A4383" s="17">
        <v>41786.0</v>
      </c>
      <c r="B4383" s="1"/>
      <c r="C4383" s="1" t="s">
        <v>435</v>
      </c>
      <c r="D4383" s="74"/>
      <c r="E4383" s="67"/>
      <c r="F4383" s="75"/>
      <c r="G4383" s="67"/>
      <c r="H4383" s="68"/>
      <c r="I4383" s="76"/>
      <c r="J4383" s="67"/>
      <c r="K4383" s="7" t="s">
        <v>1507</v>
      </c>
      <c r="L4383" s="77"/>
      <c r="M4383" s="79"/>
      <c r="N4383" s="1"/>
      <c r="O4383" s="1"/>
      <c r="P4383" s="1"/>
      <c r="Q4383" s="1"/>
      <c r="R4383" s="1"/>
      <c r="S4383" s="1"/>
      <c r="T4383" s="1"/>
      <c r="U4383" s="1"/>
      <c r="V4383" s="1"/>
      <c r="W4383" s="1"/>
      <c r="X4383" s="1"/>
      <c r="Y4383" s="1"/>
      <c r="Z4383" s="1"/>
      <c r="AA4383" s="1"/>
      <c r="AB4383" s="1"/>
      <c r="AC4383" s="1"/>
      <c r="AD4383" s="1"/>
      <c r="AE4383" s="1"/>
      <c r="AF4383" s="1"/>
      <c r="AG4383" s="1"/>
      <c r="AH4383" s="1"/>
    </row>
    <row r="4384" ht="12.75" hidden="1" customHeight="1" outlineLevel="1">
      <c r="A4384" s="17">
        <v>41787.0</v>
      </c>
      <c r="B4384" s="1"/>
      <c r="C4384" s="1" t="s">
        <v>339</v>
      </c>
      <c r="D4384" s="74"/>
      <c r="E4384" s="67"/>
      <c r="F4384" s="75"/>
      <c r="G4384" s="67"/>
      <c r="H4384" s="68"/>
      <c r="I4384" s="76"/>
      <c r="J4384" s="67"/>
      <c r="K4384" s="7" t="s">
        <v>1817</v>
      </c>
      <c r="L4384" s="77"/>
      <c r="M4384" s="79"/>
      <c r="N4384" s="1"/>
      <c r="O4384" s="1"/>
      <c r="P4384" s="1"/>
      <c r="Q4384" s="1"/>
      <c r="R4384" s="1"/>
      <c r="S4384" s="1"/>
      <c r="T4384" s="1"/>
      <c r="U4384" s="1"/>
      <c r="V4384" s="1"/>
      <c r="W4384" s="1"/>
      <c r="X4384" s="1"/>
      <c r="Y4384" s="1"/>
      <c r="Z4384" s="1"/>
      <c r="AA4384" s="1"/>
      <c r="AB4384" s="1"/>
      <c r="AC4384" s="1"/>
      <c r="AD4384" s="1"/>
      <c r="AE4384" s="1"/>
      <c r="AF4384" s="1"/>
      <c r="AG4384" s="1"/>
      <c r="AH4384" s="1"/>
    </row>
    <row r="4385" ht="12.75" hidden="1" customHeight="1" outlineLevel="1">
      <c r="A4385" s="17">
        <v>41787.0</v>
      </c>
      <c r="B4385" s="1"/>
      <c r="C4385" s="1" t="s">
        <v>429</v>
      </c>
      <c r="D4385" s="74"/>
      <c r="E4385" s="67"/>
      <c r="F4385" s="75"/>
      <c r="G4385" s="67"/>
      <c r="H4385" s="68"/>
      <c r="I4385" s="76"/>
      <c r="J4385" s="67"/>
      <c r="K4385" s="7" t="s">
        <v>1761</v>
      </c>
      <c r="L4385" s="77"/>
      <c r="M4385" s="79"/>
      <c r="N4385" s="1"/>
      <c r="O4385" s="1"/>
      <c r="P4385" s="1"/>
      <c r="Q4385" s="1"/>
      <c r="R4385" s="1"/>
      <c r="S4385" s="1"/>
      <c r="T4385" s="1"/>
      <c r="U4385" s="1"/>
      <c r="V4385" s="1"/>
      <c r="W4385" s="1"/>
      <c r="X4385" s="1"/>
      <c r="Y4385" s="1"/>
      <c r="Z4385" s="1"/>
      <c r="AA4385" s="1"/>
      <c r="AB4385" s="1"/>
      <c r="AC4385" s="1"/>
      <c r="AD4385" s="1"/>
      <c r="AE4385" s="1"/>
      <c r="AF4385" s="1"/>
      <c r="AG4385" s="1"/>
      <c r="AH4385" s="1"/>
    </row>
    <row r="4386" ht="12.75" hidden="1" customHeight="1" outlineLevel="1">
      <c r="A4386" s="17">
        <v>41787.0</v>
      </c>
      <c r="B4386" s="1"/>
      <c r="C4386" s="1" t="s">
        <v>431</v>
      </c>
      <c r="D4386" s="74"/>
      <c r="E4386" s="67"/>
      <c r="F4386" s="75"/>
      <c r="G4386" s="67"/>
      <c r="H4386" s="68"/>
      <c r="I4386" s="76"/>
      <c r="J4386" s="67"/>
      <c r="K4386" s="7" t="s">
        <v>1126</v>
      </c>
      <c r="L4386" s="77"/>
      <c r="M4386" s="79"/>
      <c r="N4386" s="1"/>
      <c r="O4386" s="1"/>
      <c r="P4386" s="1"/>
      <c r="Q4386" s="1"/>
      <c r="R4386" s="1"/>
      <c r="S4386" s="1"/>
      <c r="T4386" s="1"/>
      <c r="U4386" s="1"/>
      <c r="V4386" s="1"/>
      <c r="W4386" s="1"/>
      <c r="X4386" s="1"/>
      <c r="Y4386" s="1"/>
      <c r="Z4386" s="1"/>
      <c r="AA4386" s="1"/>
      <c r="AB4386" s="1"/>
      <c r="AC4386" s="1"/>
      <c r="AD4386" s="1"/>
      <c r="AE4386" s="1"/>
      <c r="AF4386" s="1"/>
      <c r="AG4386" s="1"/>
      <c r="AH4386" s="1"/>
    </row>
    <row r="4387" ht="12.75" hidden="1" customHeight="1" outlineLevel="1">
      <c r="A4387" s="17">
        <v>41787.0</v>
      </c>
      <c r="B4387" s="1"/>
      <c r="C4387" s="1" t="s">
        <v>433</v>
      </c>
      <c r="D4387" s="74"/>
      <c r="E4387" s="67"/>
      <c r="F4387" s="75"/>
      <c r="G4387" s="67"/>
      <c r="H4387" s="68"/>
      <c r="I4387" s="76"/>
      <c r="J4387" s="67"/>
      <c r="K4387" s="7" t="s">
        <v>1103</v>
      </c>
      <c r="L4387" s="77"/>
      <c r="M4387" s="79"/>
      <c r="N4387" s="1"/>
      <c r="O4387" s="1"/>
      <c r="P4387" s="1"/>
      <c r="Q4387" s="1"/>
      <c r="R4387" s="1"/>
      <c r="S4387" s="1"/>
      <c r="T4387" s="1"/>
      <c r="U4387" s="1"/>
      <c r="V4387" s="1"/>
      <c r="W4387" s="1"/>
      <c r="X4387" s="1"/>
      <c r="Y4387" s="1"/>
      <c r="Z4387" s="1"/>
      <c r="AA4387" s="1"/>
      <c r="AB4387" s="1"/>
      <c r="AC4387" s="1"/>
      <c r="AD4387" s="1"/>
      <c r="AE4387" s="1"/>
      <c r="AF4387" s="1"/>
      <c r="AG4387" s="1"/>
      <c r="AH4387" s="1"/>
    </row>
    <row r="4388" ht="12.75" hidden="1" customHeight="1" outlineLevel="1">
      <c r="A4388" s="17">
        <v>41787.0</v>
      </c>
      <c r="B4388" s="1"/>
      <c r="C4388" s="1" t="s">
        <v>435</v>
      </c>
      <c r="D4388" s="74"/>
      <c r="E4388" s="67"/>
      <c r="F4388" s="75"/>
      <c r="G4388" s="67"/>
      <c r="H4388" s="68"/>
      <c r="I4388" s="76"/>
      <c r="J4388" s="67"/>
      <c r="K4388" s="7" t="s">
        <v>1507</v>
      </c>
      <c r="L4388" s="77"/>
      <c r="M4388" s="79"/>
      <c r="N4388" s="1"/>
      <c r="O4388" s="1"/>
      <c r="P4388" s="1"/>
      <c r="Q4388" s="1"/>
      <c r="R4388" s="1"/>
      <c r="S4388" s="1"/>
      <c r="T4388" s="1"/>
      <c r="U4388" s="1"/>
      <c r="V4388" s="1"/>
      <c r="W4388" s="1"/>
      <c r="X4388" s="1"/>
      <c r="Y4388" s="1"/>
      <c r="Z4388" s="1"/>
      <c r="AA4388" s="1"/>
      <c r="AB4388" s="1"/>
      <c r="AC4388" s="1"/>
      <c r="AD4388" s="1"/>
      <c r="AE4388" s="1"/>
      <c r="AF4388" s="1"/>
      <c r="AG4388" s="1"/>
      <c r="AH4388" s="1"/>
    </row>
    <row r="4389" ht="12.75" hidden="1" customHeight="1" outlineLevel="1">
      <c r="A4389" s="17">
        <v>41788.0</v>
      </c>
      <c r="B4389" s="1"/>
      <c r="C4389" s="1" t="s">
        <v>339</v>
      </c>
      <c r="D4389" s="74"/>
      <c r="E4389" s="67"/>
      <c r="F4389" s="75"/>
      <c r="G4389" s="67"/>
      <c r="H4389" s="68"/>
      <c r="I4389" s="76"/>
      <c r="J4389" s="67"/>
      <c r="K4389" s="7" t="s">
        <v>1818</v>
      </c>
      <c r="L4389" s="77"/>
      <c r="M4389" s="79"/>
      <c r="N4389" s="1"/>
      <c r="O4389" s="1"/>
      <c r="P4389" s="1"/>
      <c r="Q4389" s="1"/>
      <c r="R4389" s="1"/>
      <c r="S4389" s="1"/>
      <c r="T4389" s="1"/>
      <c r="U4389" s="1"/>
      <c r="V4389" s="1"/>
      <c r="W4389" s="1"/>
      <c r="X4389" s="1"/>
      <c r="Y4389" s="1"/>
      <c r="Z4389" s="1"/>
      <c r="AA4389" s="1"/>
      <c r="AB4389" s="1"/>
      <c r="AC4389" s="1"/>
      <c r="AD4389" s="1"/>
      <c r="AE4389" s="1"/>
      <c r="AF4389" s="1"/>
      <c r="AG4389" s="1"/>
      <c r="AH4389" s="1"/>
    </row>
    <row r="4390" ht="12.75" hidden="1" customHeight="1" outlineLevel="1">
      <c r="A4390" s="17">
        <v>41788.0</v>
      </c>
      <c r="B4390" s="1"/>
      <c r="C4390" s="1" t="s">
        <v>429</v>
      </c>
      <c r="D4390" s="74"/>
      <c r="E4390" s="67"/>
      <c r="F4390" s="75"/>
      <c r="G4390" s="67"/>
      <c r="H4390" s="68"/>
      <c r="I4390" s="76"/>
      <c r="J4390" s="67"/>
      <c r="K4390" s="7" t="s">
        <v>1761</v>
      </c>
      <c r="L4390" s="77"/>
      <c r="M4390" s="79"/>
      <c r="N4390" s="1"/>
      <c r="O4390" s="1"/>
      <c r="P4390" s="1"/>
      <c r="Q4390" s="1"/>
      <c r="R4390" s="1"/>
      <c r="S4390" s="1"/>
      <c r="T4390" s="1"/>
      <c r="U4390" s="1"/>
      <c r="V4390" s="1"/>
      <c r="W4390" s="1"/>
      <c r="X4390" s="1"/>
      <c r="Y4390" s="1"/>
      <c r="Z4390" s="1"/>
      <c r="AA4390" s="1"/>
      <c r="AB4390" s="1"/>
      <c r="AC4390" s="1"/>
      <c r="AD4390" s="1"/>
      <c r="AE4390" s="1"/>
      <c r="AF4390" s="1"/>
      <c r="AG4390" s="1"/>
      <c r="AH4390" s="1"/>
    </row>
    <row r="4391" ht="12.75" hidden="1" customHeight="1" outlineLevel="1">
      <c r="A4391" s="17">
        <v>41788.0</v>
      </c>
      <c r="B4391" s="1"/>
      <c r="C4391" s="1" t="s">
        <v>431</v>
      </c>
      <c r="D4391" s="74"/>
      <c r="E4391" s="67"/>
      <c r="F4391" s="75"/>
      <c r="G4391" s="67"/>
      <c r="H4391" s="68"/>
      <c r="I4391" s="76"/>
      <c r="J4391" s="67"/>
      <c r="K4391" s="7" t="s">
        <v>1126</v>
      </c>
      <c r="L4391" s="77"/>
      <c r="M4391" s="79"/>
      <c r="N4391" s="1"/>
      <c r="O4391" s="1"/>
      <c r="P4391" s="1"/>
      <c r="Q4391" s="1"/>
      <c r="R4391" s="1"/>
      <c r="S4391" s="1"/>
      <c r="T4391" s="1"/>
      <c r="U4391" s="1"/>
      <c r="V4391" s="1"/>
      <c r="W4391" s="1"/>
      <c r="X4391" s="1"/>
      <c r="Y4391" s="1"/>
      <c r="Z4391" s="1"/>
      <c r="AA4391" s="1"/>
      <c r="AB4391" s="1"/>
      <c r="AC4391" s="1"/>
      <c r="AD4391" s="1"/>
      <c r="AE4391" s="1"/>
      <c r="AF4391" s="1"/>
      <c r="AG4391" s="1"/>
      <c r="AH4391" s="1"/>
    </row>
    <row r="4392" ht="12.75" hidden="1" customHeight="1" outlineLevel="1">
      <c r="A4392" s="17">
        <v>41788.0</v>
      </c>
      <c r="B4392" s="1"/>
      <c r="C4392" s="1" t="s">
        <v>433</v>
      </c>
      <c r="D4392" s="74"/>
      <c r="E4392" s="67"/>
      <c r="F4392" s="75"/>
      <c r="G4392" s="67"/>
      <c r="H4392" s="68"/>
      <c r="I4392" s="76"/>
      <c r="J4392" s="67"/>
      <c r="K4392" s="7" t="s">
        <v>1103</v>
      </c>
      <c r="L4392" s="77"/>
      <c r="M4392" s="79"/>
      <c r="N4392" s="1"/>
      <c r="O4392" s="1"/>
      <c r="P4392" s="1"/>
      <c r="Q4392" s="1"/>
      <c r="R4392" s="1"/>
      <c r="S4392" s="1"/>
      <c r="T4392" s="1"/>
      <c r="U4392" s="1"/>
      <c r="V4392" s="1"/>
      <c r="W4392" s="1"/>
      <c r="X4392" s="1"/>
      <c r="Y4392" s="1"/>
      <c r="Z4392" s="1"/>
      <c r="AA4392" s="1"/>
      <c r="AB4392" s="1"/>
      <c r="AC4392" s="1"/>
      <c r="AD4392" s="1"/>
      <c r="AE4392" s="1"/>
      <c r="AF4392" s="1"/>
      <c r="AG4392" s="1"/>
      <c r="AH4392" s="1"/>
    </row>
    <row r="4393" ht="12.75" hidden="1" customHeight="1" outlineLevel="1">
      <c r="A4393" s="17">
        <v>41788.0</v>
      </c>
      <c r="B4393" s="1"/>
      <c r="C4393" s="1" t="s">
        <v>435</v>
      </c>
      <c r="D4393" s="74"/>
      <c r="E4393" s="67"/>
      <c r="F4393" s="75"/>
      <c r="G4393" s="67"/>
      <c r="H4393" s="68"/>
      <c r="I4393" s="76"/>
      <c r="J4393" s="67"/>
      <c r="K4393" s="7" t="s">
        <v>1507</v>
      </c>
      <c r="L4393" s="77"/>
      <c r="M4393" s="79"/>
      <c r="N4393" s="1"/>
      <c r="O4393" s="1"/>
      <c r="P4393" s="1"/>
      <c r="Q4393" s="1"/>
      <c r="R4393" s="1"/>
      <c r="S4393" s="1"/>
      <c r="T4393" s="1"/>
      <c r="U4393" s="1"/>
      <c r="V4393" s="1"/>
      <c r="W4393" s="1"/>
      <c r="X4393" s="1"/>
      <c r="Y4393" s="1"/>
      <c r="Z4393" s="1"/>
      <c r="AA4393" s="1"/>
      <c r="AB4393" s="1"/>
      <c r="AC4393" s="1"/>
      <c r="AD4393" s="1"/>
      <c r="AE4393" s="1"/>
      <c r="AF4393" s="1"/>
      <c r="AG4393" s="1"/>
      <c r="AH4393" s="1"/>
    </row>
    <row r="4394" ht="12.75" hidden="1" customHeight="1" outlineLevel="1">
      <c r="A4394" s="17">
        <v>41789.0</v>
      </c>
      <c r="B4394" s="1"/>
      <c r="C4394" s="1" t="s">
        <v>339</v>
      </c>
      <c r="D4394" s="74"/>
      <c r="E4394" s="67"/>
      <c r="F4394" s="75"/>
      <c r="G4394" s="67"/>
      <c r="H4394" s="68"/>
      <c r="I4394" s="76"/>
      <c r="J4394" s="67"/>
      <c r="K4394" s="7" t="s">
        <v>1819</v>
      </c>
      <c r="L4394" s="77"/>
      <c r="M4394" s="79"/>
      <c r="N4394" s="1"/>
      <c r="O4394" s="1"/>
      <c r="P4394" s="1"/>
      <c r="Q4394" s="1"/>
      <c r="R4394" s="1"/>
      <c r="S4394" s="1"/>
      <c r="T4394" s="1"/>
      <c r="U4394" s="1"/>
      <c r="V4394" s="1"/>
      <c r="W4394" s="1"/>
      <c r="X4394" s="1"/>
      <c r="Y4394" s="1"/>
      <c r="Z4394" s="1"/>
      <c r="AA4394" s="1"/>
      <c r="AB4394" s="1"/>
      <c r="AC4394" s="1"/>
      <c r="AD4394" s="1"/>
      <c r="AE4394" s="1"/>
      <c r="AF4394" s="1"/>
      <c r="AG4394" s="1"/>
      <c r="AH4394" s="1"/>
    </row>
    <row r="4395" ht="12.75" hidden="1" customHeight="1" outlineLevel="1">
      <c r="A4395" s="17">
        <v>41789.0</v>
      </c>
      <c r="B4395" s="1"/>
      <c r="C4395" s="1" t="s">
        <v>429</v>
      </c>
      <c r="D4395" s="74"/>
      <c r="E4395" s="67"/>
      <c r="F4395" s="75"/>
      <c r="G4395" s="67"/>
      <c r="H4395" s="68"/>
      <c r="I4395" s="76"/>
      <c r="J4395" s="67"/>
      <c r="K4395" s="7" t="s">
        <v>1761</v>
      </c>
      <c r="L4395" s="77"/>
      <c r="M4395" s="79"/>
      <c r="N4395" s="1"/>
      <c r="O4395" s="1"/>
      <c r="P4395" s="1"/>
      <c r="Q4395" s="1"/>
      <c r="R4395" s="1"/>
      <c r="S4395" s="1"/>
      <c r="T4395" s="1"/>
      <c r="U4395" s="1"/>
      <c r="V4395" s="1"/>
      <c r="W4395" s="1"/>
      <c r="X4395" s="1"/>
      <c r="Y4395" s="1"/>
      <c r="Z4395" s="1"/>
      <c r="AA4395" s="1"/>
      <c r="AB4395" s="1"/>
      <c r="AC4395" s="1"/>
      <c r="AD4395" s="1"/>
      <c r="AE4395" s="1"/>
      <c r="AF4395" s="1"/>
      <c r="AG4395" s="1"/>
      <c r="AH4395" s="1"/>
    </row>
    <row r="4396" ht="12.75" hidden="1" customHeight="1" outlineLevel="1">
      <c r="A4396" s="17">
        <v>41789.0</v>
      </c>
      <c r="B4396" s="1"/>
      <c r="C4396" s="1" t="s">
        <v>431</v>
      </c>
      <c r="D4396" s="74"/>
      <c r="E4396" s="67"/>
      <c r="F4396" s="75"/>
      <c r="G4396" s="67"/>
      <c r="H4396" s="68"/>
      <c r="I4396" s="76"/>
      <c r="J4396" s="67"/>
      <c r="K4396" s="7" t="s">
        <v>1126</v>
      </c>
      <c r="L4396" s="77"/>
      <c r="M4396" s="79"/>
      <c r="N4396" s="1"/>
      <c r="O4396" s="1"/>
      <c r="P4396" s="1"/>
      <c r="Q4396" s="1"/>
      <c r="R4396" s="1"/>
      <c r="S4396" s="1"/>
      <c r="T4396" s="1"/>
      <c r="U4396" s="1"/>
      <c r="V4396" s="1"/>
      <c r="W4396" s="1"/>
      <c r="X4396" s="1"/>
      <c r="Y4396" s="1"/>
      <c r="Z4396" s="1"/>
      <c r="AA4396" s="1"/>
      <c r="AB4396" s="1"/>
      <c r="AC4396" s="1"/>
      <c r="AD4396" s="1"/>
      <c r="AE4396" s="1"/>
      <c r="AF4396" s="1"/>
      <c r="AG4396" s="1"/>
      <c r="AH4396" s="1"/>
    </row>
    <row r="4397" ht="12.75" hidden="1" customHeight="1" outlineLevel="1">
      <c r="A4397" s="17">
        <v>41789.0</v>
      </c>
      <c r="B4397" s="1"/>
      <c r="C4397" s="1" t="s">
        <v>433</v>
      </c>
      <c r="D4397" s="74"/>
      <c r="E4397" s="67"/>
      <c r="F4397" s="75"/>
      <c r="G4397" s="67"/>
      <c r="H4397" s="68"/>
      <c r="I4397" s="76"/>
      <c r="J4397" s="67"/>
      <c r="K4397" s="7" t="s">
        <v>1103</v>
      </c>
      <c r="L4397" s="77"/>
      <c r="M4397" s="79"/>
      <c r="N4397" s="1"/>
      <c r="O4397" s="1"/>
      <c r="P4397" s="1"/>
      <c r="Q4397" s="1"/>
      <c r="R4397" s="1"/>
      <c r="S4397" s="1"/>
      <c r="T4397" s="1"/>
      <c r="U4397" s="1"/>
      <c r="V4397" s="1"/>
      <c r="W4397" s="1"/>
      <c r="X4397" s="1"/>
      <c r="Y4397" s="1"/>
      <c r="Z4397" s="1"/>
      <c r="AA4397" s="1"/>
      <c r="AB4397" s="1"/>
      <c r="AC4397" s="1"/>
      <c r="AD4397" s="1"/>
      <c r="AE4397" s="1"/>
      <c r="AF4397" s="1"/>
      <c r="AG4397" s="1"/>
      <c r="AH4397" s="1"/>
    </row>
    <row r="4398" ht="12.75" hidden="1" customHeight="1" outlineLevel="1">
      <c r="A4398" s="17">
        <v>41789.0</v>
      </c>
      <c r="B4398" s="1"/>
      <c r="C4398" s="1" t="s">
        <v>435</v>
      </c>
      <c r="D4398" s="74"/>
      <c r="E4398" s="67"/>
      <c r="F4398" s="75"/>
      <c r="G4398" s="67"/>
      <c r="H4398" s="68"/>
      <c r="I4398" s="76"/>
      <c r="J4398" s="67"/>
      <c r="K4398" s="7" t="s">
        <v>1507</v>
      </c>
      <c r="L4398" s="77"/>
      <c r="M4398" s="79"/>
      <c r="N4398" s="1"/>
      <c r="O4398" s="1"/>
      <c r="P4398" s="1"/>
      <c r="Q4398" s="1"/>
      <c r="R4398" s="1"/>
      <c r="S4398" s="1"/>
      <c r="T4398" s="1"/>
      <c r="U4398" s="1"/>
      <c r="V4398" s="1"/>
      <c r="W4398" s="1"/>
      <c r="X4398" s="1"/>
      <c r="Y4398" s="1"/>
      <c r="Z4398" s="1"/>
      <c r="AA4398" s="1"/>
      <c r="AB4398" s="1"/>
      <c r="AC4398" s="1"/>
      <c r="AD4398" s="1"/>
      <c r="AE4398" s="1"/>
      <c r="AF4398" s="1"/>
      <c r="AG4398" s="1"/>
      <c r="AH4398" s="1"/>
    </row>
    <row r="4399" ht="12.75" hidden="1" customHeight="1" outlineLevel="1">
      <c r="A4399" s="17">
        <v>41792.0</v>
      </c>
      <c r="B4399" s="1" t="s">
        <v>347</v>
      </c>
      <c r="C4399" s="1" t="s">
        <v>1822</v>
      </c>
      <c r="D4399" s="74">
        <v>8000.0</v>
      </c>
      <c r="E4399" s="67">
        <v>2.75</v>
      </c>
      <c r="F4399" s="75">
        <v>0.6083333333333333</v>
      </c>
      <c r="G4399" s="67" t="s">
        <v>453</v>
      </c>
      <c r="H4399" s="68">
        <v>39.09</v>
      </c>
      <c r="I4399" s="76"/>
      <c r="J4399" s="67">
        <f>IF(B4399="SLD",D4399*E4399,-D4399*E4399)-H4399</f>
        <v>21960.91</v>
      </c>
      <c r="K4399" s="7"/>
      <c r="L4399" s="70"/>
      <c r="M4399" s="79"/>
      <c r="N4399" s="1"/>
      <c r="O4399" s="1"/>
      <c r="P4399" s="1"/>
      <c r="Q4399" s="1"/>
      <c r="R4399" s="1"/>
      <c r="S4399" s="1"/>
      <c r="T4399" s="1"/>
      <c r="U4399" s="1"/>
      <c r="V4399" s="1"/>
      <c r="W4399" s="1"/>
      <c r="X4399" s="1"/>
      <c r="Y4399" s="1"/>
      <c r="Z4399" s="1"/>
      <c r="AA4399" s="1"/>
      <c r="AB4399" s="1"/>
      <c r="AC4399" s="1"/>
      <c r="AD4399" s="1"/>
      <c r="AE4399" s="1"/>
      <c r="AF4399" s="1"/>
      <c r="AG4399" s="1"/>
      <c r="AH4399" s="1"/>
    </row>
    <row r="4400" ht="12.75" hidden="1" customHeight="1" outlineLevel="1">
      <c r="A4400" s="17">
        <v>41792.0</v>
      </c>
      <c r="B4400" s="1"/>
      <c r="C4400" s="1" t="s">
        <v>339</v>
      </c>
      <c r="D4400" s="74"/>
      <c r="E4400" s="67"/>
      <c r="F4400" s="75"/>
      <c r="G4400" s="67"/>
      <c r="H4400" s="68"/>
      <c r="I4400" s="76"/>
      <c r="J4400" s="67"/>
      <c r="K4400" s="7" t="s">
        <v>1824</v>
      </c>
      <c r="L4400" s="77"/>
      <c r="M4400" s="79"/>
      <c r="N4400" s="1"/>
      <c r="O4400" s="1"/>
      <c r="P4400" s="1"/>
      <c r="Q4400" s="1"/>
      <c r="R4400" s="1"/>
      <c r="S4400" s="1"/>
      <c r="T4400" s="1"/>
      <c r="U4400" s="1"/>
      <c r="V4400" s="1"/>
      <c r="W4400" s="1"/>
      <c r="X4400" s="1"/>
      <c r="Y4400" s="1"/>
      <c r="Z4400" s="1"/>
      <c r="AA4400" s="1"/>
      <c r="AB4400" s="1"/>
      <c r="AC4400" s="1"/>
      <c r="AD4400" s="1"/>
      <c r="AE4400" s="1"/>
      <c r="AF4400" s="1"/>
      <c r="AG4400" s="1"/>
      <c r="AH4400" s="1"/>
    </row>
    <row r="4401" ht="12.75" hidden="1" customHeight="1" outlineLevel="1">
      <c r="A4401" s="17">
        <v>41792.0</v>
      </c>
      <c r="B4401" s="1"/>
      <c r="C4401" s="1" t="s">
        <v>429</v>
      </c>
      <c r="D4401" s="74"/>
      <c r="E4401" s="67"/>
      <c r="F4401" s="75"/>
      <c r="G4401" s="67"/>
      <c r="H4401" s="68"/>
      <c r="I4401" s="76"/>
      <c r="J4401" s="67"/>
      <c r="K4401" s="7" t="s">
        <v>1761</v>
      </c>
      <c r="L4401" s="77"/>
      <c r="M4401" s="79"/>
      <c r="N4401" s="1"/>
      <c r="O4401" s="1"/>
      <c r="P4401" s="1"/>
      <c r="Q4401" s="1"/>
      <c r="R4401" s="1"/>
      <c r="S4401" s="1"/>
      <c r="T4401" s="1"/>
      <c r="U4401" s="1"/>
      <c r="V4401" s="1"/>
      <c r="W4401" s="1"/>
      <c r="X4401" s="1"/>
      <c r="Y4401" s="1"/>
      <c r="Z4401" s="1"/>
      <c r="AA4401" s="1"/>
      <c r="AB4401" s="1"/>
      <c r="AC4401" s="1"/>
      <c r="AD4401" s="1"/>
      <c r="AE4401" s="1"/>
      <c r="AF4401" s="1"/>
      <c r="AG4401" s="1"/>
      <c r="AH4401" s="1"/>
    </row>
    <row r="4402" ht="12.75" hidden="1" customHeight="1" outlineLevel="1">
      <c r="A4402" s="17">
        <v>41792.0</v>
      </c>
      <c r="B4402" s="1"/>
      <c r="C4402" s="1" t="s">
        <v>431</v>
      </c>
      <c r="D4402" s="74"/>
      <c r="E4402" s="67"/>
      <c r="F4402" s="75"/>
      <c r="G4402" s="67"/>
      <c r="H4402" s="68"/>
      <c r="I4402" s="76"/>
      <c r="J4402" s="67"/>
      <c r="K4402" s="7" t="s">
        <v>1126</v>
      </c>
      <c r="L4402" s="77"/>
      <c r="M4402" s="79"/>
      <c r="N4402" s="1"/>
      <c r="O4402" s="1"/>
      <c r="P4402" s="1"/>
      <c r="Q4402" s="1"/>
      <c r="R4402" s="1"/>
      <c r="S4402" s="1"/>
      <c r="T4402" s="1"/>
      <c r="U4402" s="1"/>
      <c r="V4402" s="1"/>
      <c r="W4402" s="1"/>
      <c r="X4402" s="1"/>
      <c r="Y4402" s="1"/>
      <c r="Z4402" s="1"/>
      <c r="AA4402" s="1"/>
      <c r="AB4402" s="1"/>
      <c r="AC4402" s="1"/>
      <c r="AD4402" s="1"/>
      <c r="AE4402" s="1"/>
      <c r="AF4402" s="1"/>
      <c r="AG4402" s="1"/>
      <c r="AH4402" s="1"/>
    </row>
    <row r="4403" ht="12.75" hidden="1" customHeight="1" outlineLevel="1">
      <c r="A4403" s="17">
        <v>41792.0</v>
      </c>
      <c r="B4403" s="1"/>
      <c r="C4403" s="1" t="s">
        <v>433</v>
      </c>
      <c r="D4403" s="74"/>
      <c r="E4403" s="67"/>
      <c r="F4403" s="75"/>
      <c r="G4403" s="67"/>
      <c r="H4403" s="68"/>
      <c r="I4403" s="76"/>
      <c r="J4403" s="67"/>
      <c r="K4403" s="7" t="s">
        <v>1103</v>
      </c>
      <c r="L4403" s="77"/>
      <c r="M4403" s="79"/>
      <c r="N4403" s="1"/>
      <c r="O4403" s="1"/>
      <c r="P4403" s="1"/>
      <c r="Q4403" s="1"/>
      <c r="R4403" s="1"/>
      <c r="S4403" s="1"/>
      <c r="T4403" s="1"/>
      <c r="U4403" s="1"/>
      <c r="V4403" s="1"/>
      <c r="W4403" s="1"/>
      <c r="X4403" s="1"/>
      <c r="Y4403" s="1"/>
      <c r="Z4403" s="1"/>
      <c r="AA4403" s="1"/>
      <c r="AB4403" s="1"/>
      <c r="AC4403" s="1"/>
      <c r="AD4403" s="1"/>
      <c r="AE4403" s="1"/>
      <c r="AF4403" s="1"/>
      <c r="AG4403" s="1"/>
      <c r="AH4403" s="1"/>
    </row>
    <row r="4404" ht="12.75" hidden="1" customHeight="1" outlineLevel="1">
      <c r="A4404" s="17">
        <v>41792.0</v>
      </c>
      <c r="B4404" s="1"/>
      <c r="C4404" s="1" t="s">
        <v>435</v>
      </c>
      <c r="D4404" s="74"/>
      <c r="E4404" s="67"/>
      <c r="F4404" s="75"/>
      <c r="G4404" s="67"/>
      <c r="H4404" s="68"/>
      <c r="I4404" s="76"/>
      <c r="J4404" s="67"/>
      <c r="K4404" s="7" t="s">
        <v>1507</v>
      </c>
      <c r="L4404" s="77"/>
      <c r="M4404" s="79"/>
      <c r="N4404" s="1"/>
      <c r="O4404" s="1"/>
      <c r="P4404" s="1"/>
      <c r="Q4404" s="1"/>
      <c r="R4404" s="1"/>
      <c r="S4404" s="1"/>
      <c r="T4404" s="1"/>
      <c r="U4404" s="1"/>
      <c r="V4404" s="1"/>
      <c r="W4404" s="1"/>
      <c r="X4404" s="1"/>
      <c r="Y4404" s="1"/>
      <c r="Z4404" s="1"/>
      <c r="AA4404" s="1"/>
      <c r="AB4404" s="1"/>
      <c r="AC4404" s="1"/>
      <c r="AD4404" s="1"/>
      <c r="AE4404" s="1"/>
      <c r="AF4404" s="1"/>
      <c r="AG4404" s="1"/>
      <c r="AH4404" s="1"/>
    </row>
    <row r="4405" ht="12.75" hidden="1" customHeight="1" outlineLevel="1">
      <c r="A4405" s="17">
        <v>41793.0</v>
      </c>
      <c r="B4405" s="1"/>
      <c r="C4405" s="1" t="s">
        <v>339</v>
      </c>
      <c r="D4405" s="74"/>
      <c r="E4405" s="67"/>
      <c r="F4405" s="75"/>
      <c r="G4405" s="67"/>
      <c r="H4405" s="68"/>
      <c r="I4405" s="76"/>
      <c r="J4405" s="67"/>
      <c r="K4405" s="7" t="s">
        <v>1826</v>
      </c>
      <c r="L4405" s="77"/>
      <c r="M4405" s="79"/>
      <c r="N4405" s="1"/>
      <c r="O4405" s="1"/>
      <c r="P4405" s="1"/>
      <c r="Q4405" s="1"/>
      <c r="R4405" s="1"/>
      <c r="S4405" s="1"/>
      <c r="T4405" s="1"/>
      <c r="U4405" s="1"/>
      <c r="V4405" s="1"/>
      <c r="W4405" s="1"/>
      <c r="X4405" s="1"/>
      <c r="Y4405" s="1"/>
      <c r="Z4405" s="1"/>
      <c r="AA4405" s="1"/>
      <c r="AB4405" s="1"/>
      <c r="AC4405" s="1"/>
      <c r="AD4405" s="1"/>
      <c r="AE4405" s="1"/>
      <c r="AF4405" s="1"/>
      <c r="AG4405" s="1"/>
      <c r="AH4405" s="1"/>
    </row>
    <row r="4406" ht="12.75" hidden="1" customHeight="1" outlineLevel="1">
      <c r="A4406" s="17">
        <v>41793.0</v>
      </c>
      <c r="B4406" s="1"/>
      <c r="C4406" s="1" t="s">
        <v>429</v>
      </c>
      <c r="D4406" s="74"/>
      <c r="E4406" s="67"/>
      <c r="F4406" s="75"/>
      <c r="G4406" s="67"/>
      <c r="H4406" s="68"/>
      <c r="I4406" s="76"/>
      <c r="J4406" s="67"/>
      <c r="K4406" s="7" t="s">
        <v>1761</v>
      </c>
      <c r="L4406" s="77"/>
      <c r="M4406" s="79"/>
      <c r="N4406" s="1"/>
      <c r="O4406" s="1"/>
      <c r="P4406" s="1"/>
      <c r="Q4406" s="1"/>
      <c r="R4406" s="1"/>
      <c r="S4406" s="1"/>
      <c r="T4406" s="1"/>
      <c r="U4406" s="1"/>
      <c r="V4406" s="1"/>
      <c r="W4406" s="1"/>
      <c r="X4406" s="1"/>
      <c r="Y4406" s="1"/>
      <c r="Z4406" s="1"/>
      <c r="AA4406" s="1"/>
      <c r="AB4406" s="1"/>
      <c r="AC4406" s="1"/>
      <c r="AD4406" s="1"/>
      <c r="AE4406" s="1"/>
      <c r="AF4406" s="1"/>
      <c r="AG4406" s="1"/>
      <c r="AH4406" s="1"/>
    </row>
    <row r="4407" ht="12.75" hidden="1" customHeight="1" outlineLevel="1">
      <c r="A4407" s="17">
        <v>41793.0</v>
      </c>
      <c r="B4407" s="1"/>
      <c r="C4407" s="1" t="s">
        <v>431</v>
      </c>
      <c r="D4407" s="74"/>
      <c r="E4407" s="67"/>
      <c r="F4407" s="75"/>
      <c r="G4407" s="67"/>
      <c r="H4407" s="68"/>
      <c r="I4407" s="76"/>
      <c r="J4407" s="67"/>
      <c r="K4407" s="7" t="s">
        <v>1126</v>
      </c>
      <c r="L4407" s="77"/>
      <c r="M4407" s="79"/>
      <c r="N4407" s="1"/>
      <c r="O4407" s="1"/>
      <c r="P4407" s="1"/>
      <c r="Q4407" s="1"/>
      <c r="R4407" s="1"/>
      <c r="S4407" s="1"/>
      <c r="T4407" s="1"/>
      <c r="U4407" s="1"/>
      <c r="V4407" s="1"/>
      <c r="W4407" s="1"/>
      <c r="X4407" s="1"/>
      <c r="Y4407" s="1"/>
      <c r="Z4407" s="1"/>
      <c r="AA4407" s="1"/>
      <c r="AB4407" s="1"/>
      <c r="AC4407" s="1"/>
      <c r="AD4407" s="1"/>
      <c r="AE4407" s="1"/>
      <c r="AF4407" s="1"/>
      <c r="AG4407" s="1"/>
      <c r="AH4407" s="1"/>
    </row>
    <row r="4408" ht="12.75" hidden="1" customHeight="1" outlineLevel="1">
      <c r="A4408" s="17">
        <v>41793.0</v>
      </c>
      <c r="B4408" s="1"/>
      <c r="C4408" s="1" t="s">
        <v>433</v>
      </c>
      <c r="D4408" s="74"/>
      <c r="E4408" s="67"/>
      <c r="F4408" s="75"/>
      <c r="G4408" s="67"/>
      <c r="H4408" s="68"/>
      <c r="I4408" s="76"/>
      <c r="J4408" s="67"/>
      <c r="K4408" s="7" t="s">
        <v>1103</v>
      </c>
      <c r="L4408" s="77"/>
      <c r="M4408" s="79"/>
      <c r="N4408" s="1"/>
      <c r="O4408" s="1"/>
      <c r="P4408" s="1"/>
      <c r="Q4408" s="1"/>
      <c r="R4408" s="1"/>
      <c r="S4408" s="1"/>
      <c r="T4408" s="1"/>
      <c r="U4408" s="1"/>
      <c r="V4408" s="1"/>
      <c r="W4408" s="1"/>
      <c r="X4408" s="1"/>
      <c r="Y4408" s="1"/>
      <c r="Z4408" s="1"/>
      <c r="AA4408" s="1"/>
      <c r="AB4408" s="1"/>
      <c r="AC4408" s="1"/>
      <c r="AD4408" s="1"/>
      <c r="AE4408" s="1"/>
      <c r="AF4408" s="1"/>
      <c r="AG4408" s="1"/>
      <c r="AH4408" s="1"/>
    </row>
    <row r="4409" ht="12.75" hidden="1" customHeight="1" outlineLevel="1">
      <c r="A4409" s="17">
        <v>41793.0</v>
      </c>
      <c r="B4409" s="1"/>
      <c r="C4409" s="1" t="s">
        <v>435</v>
      </c>
      <c r="D4409" s="74"/>
      <c r="E4409" s="67"/>
      <c r="F4409" s="75"/>
      <c r="G4409" s="67"/>
      <c r="H4409" s="68"/>
      <c r="I4409" s="76"/>
      <c r="J4409" s="67"/>
      <c r="K4409" s="7" t="s">
        <v>1507</v>
      </c>
      <c r="L4409" s="77"/>
      <c r="M4409" s="79"/>
      <c r="N4409" s="1"/>
      <c r="O4409" s="1"/>
      <c r="P4409" s="1"/>
      <c r="Q4409" s="1"/>
      <c r="R4409" s="1"/>
      <c r="S4409" s="1"/>
      <c r="T4409" s="1"/>
      <c r="U4409" s="1"/>
      <c r="V4409" s="1"/>
      <c r="W4409" s="1"/>
      <c r="X4409" s="1"/>
      <c r="Y4409" s="1"/>
      <c r="Z4409" s="1"/>
      <c r="AA4409" s="1"/>
      <c r="AB4409" s="1"/>
      <c r="AC4409" s="1"/>
      <c r="AD4409" s="1"/>
      <c r="AE4409" s="1"/>
      <c r="AF4409" s="1"/>
      <c r="AG4409" s="1"/>
      <c r="AH4409" s="1"/>
    </row>
    <row r="4410" ht="12.75" hidden="1" customHeight="1" outlineLevel="1">
      <c r="A4410" s="17">
        <v>41793.0</v>
      </c>
      <c r="B4410" s="1" t="s">
        <v>343</v>
      </c>
      <c r="C4410" s="1" t="s">
        <v>1158</v>
      </c>
      <c r="D4410" s="74">
        <v>1000.0</v>
      </c>
      <c r="E4410" s="67">
        <v>41.14</v>
      </c>
      <c r="F4410" s="75">
        <v>0.40299768518518514</v>
      </c>
      <c r="G4410" s="67" t="s">
        <v>453</v>
      </c>
      <c r="H4410" s="68">
        <v>4.4</v>
      </c>
      <c r="I4410" s="76"/>
      <c r="J4410" s="67">
        <f t="shared" ref="J4410:J4417" si="272">IF(B4410="SLD",D4410*E4410,-D4410*E4410)-H4410</f>
        <v>-41144.4</v>
      </c>
      <c r="K4410" s="7"/>
      <c r="L4410" s="70"/>
      <c r="M4410" s="79"/>
      <c r="N4410" s="1"/>
      <c r="O4410" s="1"/>
      <c r="P4410" s="1"/>
      <c r="Q4410" s="1"/>
      <c r="R4410" s="1"/>
      <c r="S4410" s="1"/>
      <c r="T4410" s="1"/>
      <c r="U4410" s="1"/>
      <c r="V4410" s="1"/>
      <c r="W4410" s="1"/>
      <c r="X4410" s="1"/>
      <c r="Y4410" s="1"/>
      <c r="Z4410" s="1"/>
      <c r="AA4410" s="1"/>
      <c r="AB4410" s="1"/>
      <c r="AC4410" s="1"/>
      <c r="AD4410" s="1"/>
      <c r="AE4410" s="1"/>
      <c r="AF4410" s="1"/>
      <c r="AG4410" s="1"/>
      <c r="AH4410" s="1"/>
    </row>
    <row r="4411" ht="12.75" hidden="1" customHeight="1" outlineLevel="1">
      <c r="A4411" s="17">
        <v>41793.0</v>
      </c>
      <c r="B4411" s="1" t="s">
        <v>343</v>
      </c>
      <c r="C4411" s="1" t="s">
        <v>344</v>
      </c>
      <c r="D4411" s="74">
        <v>700.0</v>
      </c>
      <c r="E4411" s="67">
        <v>54.022</v>
      </c>
      <c r="F4411" s="75">
        <v>0.4037268518518518</v>
      </c>
      <c r="G4411" s="67" t="s">
        <v>453</v>
      </c>
      <c r="H4411" s="68">
        <v>2.8</v>
      </c>
      <c r="I4411" s="76"/>
      <c r="J4411" s="67">
        <f t="shared" si="272"/>
        <v>-37818.2</v>
      </c>
      <c r="K4411" s="7"/>
      <c r="L4411" s="70"/>
      <c r="M4411" s="79"/>
      <c r="N4411" s="1"/>
      <c r="O4411" s="1"/>
      <c r="P4411" s="1"/>
      <c r="Q4411" s="1"/>
      <c r="R4411" s="1"/>
      <c r="S4411" s="1"/>
      <c r="T4411" s="1"/>
      <c r="U4411" s="1"/>
      <c r="V4411" s="1"/>
      <c r="W4411" s="1"/>
      <c r="X4411" s="1"/>
      <c r="Y4411" s="1"/>
      <c r="Z4411" s="1"/>
      <c r="AA4411" s="1"/>
      <c r="AB4411" s="1"/>
      <c r="AC4411" s="1"/>
      <c r="AD4411" s="1"/>
      <c r="AE4411" s="1"/>
      <c r="AF4411" s="1"/>
      <c r="AG4411" s="1"/>
      <c r="AH4411" s="1"/>
    </row>
    <row r="4412" ht="12.75" hidden="1" customHeight="1" outlineLevel="1">
      <c r="A4412" s="17">
        <v>41793.0</v>
      </c>
      <c r="B4412" s="1" t="s">
        <v>343</v>
      </c>
      <c r="C4412" s="1" t="s">
        <v>1766</v>
      </c>
      <c r="D4412" s="74">
        <v>100.0</v>
      </c>
      <c r="E4412" s="67">
        <v>69.74</v>
      </c>
      <c r="F4412" s="75">
        <v>0.4042939814814815</v>
      </c>
      <c r="G4412" s="67" t="s">
        <v>453</v>
      </c>
      <c r="H4412" s="68">
        <v>1.0</v>
      </c>
      <c r="I4412" s="76"/>
      <c r="J4412" s="67">
        <f t="shared" si="272"/>
        <v>-6975</v>
      </c>
      <c r="K4412" s="7"/>
      <c r="L4412" s="70"/>
      <c r="M4412" s="79"/>
      <c r="N4412" s="1"/>
      <c r="O4412" s="1"/>
      <c r="P4412" s="1"/>
      <c r="Q4412" s="1"/>
      <c r="R4412" s="1"/>
      <c r="S4412" s="1"/>
      <c r="T4412" s="1"/>
      <c r="U4412" s="1"/>
      <c r="V4412" s="1"/>
      <c r="W4412" s="1"/>
      <c r="X4412" s="1"/>
      <c r="Y4412" s="1"/>
      <c r="Z4412" s="1"/>
      <c r="AA4412" s="1"/>
      <c r="AB4412" s="1"/>
      <c r="AC4412" s="1"/>
      <c r="AD4412" s="1"/>
      <c r="AE4412" s="1"/>
      <c r="AF4412" s="1"/>
      <c r="AG4412" s="1"/>
      <c r="AH4412" s="1"/>
    </row>
    <row r="4413" ht="12.75" hidden="1" customHeight="1" outlineLevel="1">
      <c r="A4413" s="17">
        <v>41793.0</v>
      </c>
      <c r="B4413" s="1" t="s">
        <v>347</v>
      </c>
      <c r="C4413" s="1" t="s">
        <v>1822</v>
      </c>
      <c r="D4413" s="74">
        <v>2000.0</v>
      </c>
      <c r="E4413" s="67">
        <v>2.73</v>
      </c>
      <c r="F4413" s="75">
        <v>0.41032407407407406</v>
      </c>
      <c r="G4413" s="67" t="s">
        <v>453</v>
      </c>
      <c r="H4413" s="68">
        <v>8.12</v>
      </c>
      <c r="I4413" s="76"/>
      <c r="J4413" s="67">
        <f t="shared" si="272"/>
        <v>5451.88</v>
      </c>
      <c r="K4413" s="7"/>
      <c r="L4413" s="70"/>
      <c r="M4413" s="79"/>
      <c r="N4413" s="1"/>
      <c r="O4413" s="1"/>
      <c r="P4413" s="1"/>
      <c r="Q4413" s="1"/>
      <c r="R4413" s="1"/>
      <c r="S4413" s="1"/>
      <c r="T4413" s="1"/>
      <c r="U4413" s="1"/>
      <c r="V4413" s="1"/>
      <c r="W4413" s="1"/>
      <c r="X4413" s="1"/>
      <c r="Y4413" s="1"/>
      <c r="Z4413" s="1"/>
      <c r="AA4413" s="1"/>
      <c r="AB4413" s="1"/>
      <c r="AC4413" s="1"/>
      <c r="AD4413" s="1"/>
      <c r="AE4413" s="1"/>
      <c r="AF4413" s="1"/>
      <c r="AG4413" s="1"/>
      <c r="AH4413" s="1"/>
    </row>
    <row r="4414" ht="12.75" hidden="1" customHeight="1" outlineLevel="1">
      <c r="A4414" s="17">
        <v>41793.0</v>
      </c>
      <c r="B4414" s="1" t="s">
        <v>347</v>
      </c>
      <c r="C4414" s="1" t="s">
        <v>1828</v>
      </c>
      <c r="D4414" s="74">
        <v>800.0</v>
      </c>
      <c r="E4414" s="67">
        <v>29.401</v>
      </c>
      <c r="F4414" s="75">
        <v>0.5184027777777778</v>
      </c>
      <c r="G4414" s="67" t="s">
        <v>453</v>
      </c>
      <c r="H4414" s="68">
        <v>4.22</v>
      </c>
      <c r="I4414" s="76"/>
      <c r="J4414" s="67">
        <f t="shared" si="272"/>
        <v>23516.58</v>
      </c>
      <c r="K4414" s="7"/>
      <c r="L4414" s="70"/>
      <c r="M4414" s="79"/>
      <c r="N4414" s="1"/>
      <c r="O4414" s="1"/>
      <c r="P4414" s="1"/>
      <c r="Q4414" s="1"/>
      <c r="R4414" s="1"/>
      <c r="S4414" s="1"/>
      <c r="T4414" s="1"/>
      <c r="U4414" s="1"/>
      <c r="V4414" s="1"/>
      <c r="W4414" s="1"/>
      <c r="X4414" s="1"/>
      <c r="Y4414" s="1"/>
      <c r="Z4414" s="1"/>
      <c r="AA4414" s="1"/>
      <c r="AB4414" s="1"/>
      <c r="AC4414" s="1"/>
      <c r="AD4414" s="1"/>
      <c r="AE4414" s="1"/>
      <c r="AF4414" s="1"/>
      <c r="AG4414" s="1"/>
      <c r="AH4414" s="1"/>
    </row>
    <row r="4415" ht="12.75" hidden="1" customHeight="1" outlineLevel="1">
      <c r="A4415" s="17">
        <v>41793.0</v>
      </c>
      <c r="B4415" s="1" t="s">
        <v>347</v>
      </c>
      <c r="C4415" s="1" t="s">
        <v>1828</v>
      </c>
      <c r="D4415" s="74">
        <v>100.0</v>
      </c>
      <c r="E4415" s="67">
        <v>28.84</v>
      </c>
      <c r="F4415" s="75">
        <v>0.6493634259259259</v>
      </c>
      <c r="G4415" s="67" t="s">
        <v>453</v>
      </c>
      <c r="H4415" s="68">
        <v>1.06</v>
      </c>
      <c r="I4415" s="76"/>
      <c r="J4415" s="67">
        <f t="shared" si="272"/>
        <v>2882.94</v>
      </c>
      <c r="K4415" s="7"/>
      <c r="L4415" s="70"/>
      <c r="M4415" s="79"/>
      <c r="N4415" s="1"/>
      <c r="O4415" s="1"/>
      <c r="P4415" s="1"/>
      <c r="Q4415" s="1"/>
      <c r="R4415" s="1"/>
      <c r="S4415" s="1"/>
      <c r="T4415" s="1"/>
      <c r="U4415" s="1"/>
      <c r="V4415" s="1"/>
      <c r="W4415" s="1"/>
      <c r="X4415" s="1"/>
      <c r="Y4415" s="1"/>
      <c r="Z4415" s="1"/>
      <c r="AA4415" s="1"/>
      <c r="AB4415" s="1"/>
      <c r="AC4415" s="1"/>
      <c r="AD4415" s="1"/>
      <c r="AE4415" s="1"/>
      <c r="AF4415" s="1"/>
      <c r="AG4415" s="1"/>
      <c r="AH4415" s="1"/>
    </row>
    <row r="4416" ht="12.75" hidden="1" customHeight="1" outlineLevel="1">
      <c r="A4416" s="17">
        <v>41793.0</v>
      </c>
      <c r="B4416" s="1" t="s">
        <v>347</v>
      </c>
      <c r="C4416" s="1" t="s">
        <v>369</v>
      </c>
      <c r="D4416" s="74">
        <v>400.0</v>
      </c>
      <c r="E4416" s="67">
        <v>14.95</v>
      </c>
      <c r="F4416" s="75">
        <v>0.6658333333333334</v>
      </c>
      <c r="G4416" s="67" t="s">
        <v>453</v>
      </c>
      <c r="H4416" s="68">
        <v>1.73</v>
      </c>
      <c r="I4416" s="76"/>
      <c r="J4416" s="67">
        <f t="shared" si="272"/>
        <v>5978.27</v>
      </c>
      <c r="K4416" s="7"/>
      <c r="L4416" s="70"/>
      <c r="M4416" s="79"/>
      <c r="N4416" s="1"/>
      <c r="O4416" s="1"/>
      <c r="P4416" s="1"/>
      <c r="Q4416" s="1"/>
      <c r="R4416" s="1"/>
      <c r="S4416" s="1"/>
      <c r="T4416" s="1"/>
      <c r="U4416" s="1"/>
      <c r="V4416" s="1"/>
      <c r="W4416" s="1"/>
      <c r="X4416" s="1"/>
      <c r="Y4416" s="1"/>
      <c r="Z4416" s="1"/>
      <c r="AA4416" s="1"/>
      <c r="AB4416" s="1"/>
      <c r="AC4416" s="1"/>
      <c r="AD4416" s="1"/>
      <c r="AE4416" s="1"/>
      <c r="AF4416" s="1"/>
      <c r="AG4416" s="1"/>
      <c r="AH4416" s="1"/>
    </row>
    <row r="4417" ht="12.75" hidden="1" customHeight="1" outlineLevel="1">
      <c r="A4417" s="17">
        <v>41793.0</v>
      </c>
      <c r="B4417" s="1" t="s">
        <v>347</v>
      </c>
      <c r="C4417" s="1" t="s">
        <v>784</v>
      </c>
      <c r="D4417" s="74">
        <v>500.0</v>
      </c>
      <c r="E4417" s="67">
        <v>12.68</v>
      </c>
      <c r="F4417" s="75">
        <v>0.6661226851851852</v>
      </c>
      <c r="G4417" s="67" t="s">
        <v>453</v>
      </c>
      <c r="H4417" s="68">
        <v>2.14</v>
      </c>
      <c r="I4417" s="76"/>
      <c r="J4417" s="67">
        <f t="shared" si="272"/>
        <v>6337.86</v>
      </c>
      <c r="K4417" s="7"/>
      <c r="L4417" s="70"/>
      <c r="M4417" s="79"/>
      <c r="N4417" s="1"/>
      <c r="O4417" s="1"/>
      <c r="P4417" s="1"/>
      <c r="Q4417" s="1"/>
      <c r="R4417" s="1"/>
      <c r="S4417" s="1"/>
      <c r="T4417" s="1"/>
      <c r="U4417" s="1"/>
      <c r="V4417" s="1"/>
      <c r="W4417" s="1"/>
      <c r="X4417" s="1"/>
      <c r="Y4417" s="1"/>
      <c r="Z4417" s="1"/>
      <c r="AA4417" s="1"/>
      <c r="AB4417" s="1"/>
      <c r="AC4417" s="1"/>
      <c r="AD4417" s="1"/>
      <c r="AE4417" s="1"/>
      <c r="AF4417" s="1"/>
      <c r="AG4417" s="1"/>
      <c r="AH4417" s="1"/>
    </row>
    <row r="4418" ht="12.75" hidden="1" customHeight="1" outlineLevel="1">
      <c r="A4418" s="17">
        <v>41793.0</v>
      </c>
      <c r="B4418" s="1"/>
      <c r="C4418" s="1" t="s">
        <v>339</v>
      </c>
      <c r="D4418" s="74"/>
      <c r="E4418" s="67"/>
      <c r="F4418" s="75"/>
      <c r="G4418" s="67"/>
      <c r="H4418" s="68"/>
      <c r="I4418" s="76"/>
      <c r="J4418" s="67"/>
      <c r="K4418" s="7" t="s">
        <v>1829</v>
      </c>
      <c r="L4418" s="77"/>
      <c r="M4418" s="79"/>
      <c r="N4418" s="1"/>
      <c r="O4418" s="1"/>
      <c r="P4418" s="1"/>
      <c r="Q4418" s="1"/>
      <c r="R4418" s="1"/>
      <c r="S4418" s="1"/>
      <c r="T4418" s="1"/>
      <c r="U4418" s="1"/>
      <c r="V4418" s="1"/>
      <c r="W4418" s="1"/>
      <c r="X4418" s="1"/>
      <c r="Y4418" s="1"/>
      <c r="Z4418" s="1"/>
      <c r="AA4418" s="1"/>
      <c r="AB4418" s="1"/>
      <c r="AC4418" s="1"/>
      <c r="AD4418" s="1"/>
      <c r="AE4418" s="1"/>
      <c r="AF4418" s="1"/>
      <c r="AG4418" s="1"/>
      <c r="AH4418" s="1"/>
    </row>
    <row r="4419" ht="12.75" hidden="1" customHeight="1" outlineLevel="1">
      <c r="A4419" s="17">
        <v>41793.0</v>
      </c>
      <c r="B4419" s="1"/>
      <c r="C4419" s="1" t="s">
        <v>429</v>
      </c>
      <c r="D4419" s="74"/>
      <c r="E4419" s="67"/>
      <c r="F4419" s="75"/>
      <c r="G4419" s="67"/>
      <c r="H4419" s="68"/>
      <c r="I4419" s="76"/>
      <c r="J4419" s="67"/>
      <c r="K4419" s="7" t="s">
        <v>1761</v>
      </c>
      <c r="L4419" s="77"/>
      <c r="M4419" s="79"/>
      <c r="N4419" s="1"/>
      <c r="O4419" s="1"/>
      <c r="P4419" s="1"/>
      <c r="Q4419" s="1"/>
      <c r="R4419" s="1"/>
      <c r="S4419" s="1"/>
      <c r="T4419" s="1"/>
      <c r="U4419" s="1"/>
      <c r="V4419" s="1"/>
      <c r="W4419" s="1"/>
      <c r="X4419" s="1"/>
      <c r="Y4419" s="1"/>
      <c r="Z4419" s="1"/>
      <c r="AA4419" s="1"/>
      <c r="AB4419" s="1"/>
      <c r="AC4419" s="1"/>
      <c r="AD4419" s="1"/>
      <c r="AE4419" s="1"/>
      <c r="AF4419" s="1"/>
      <c r="AG4419" s="1"/>
      <c r="AH4419" s="1"/>
    </row>
    <row r="4420" ht="12.75" hidden="1" customHeight="1" outlineLevel="1">
      <c r="A4420" s="17">
        <v>41793.0</v>
      </c>
      <c r="B4420" s="1"/>
      <c r="C4420" s="1" t="s">
        <v>431</v>
      </c>
      <c r="D4420" s="74"/>
      <c r="E4420" s="67"/>
      <c r="F4420" s="75"/>
      <c r="G4420" s="67"/>
      <c r="H4420" s="68"/>
      <c r="I4420" s="76"/>
      <c r="J4420" s="67"/>
      <c r="K4420" s="7" t="s">
        <v>1126</v>
      </c>
      <c r="L4420" s="77"/>
      <c r="M4420" s="79"/>
      <c r="N4420" s="1"/>
      <c r="O4420" s="1"/>
      <c r="P4420" s="1"/>
      <c r="Q4420" s="1"/>
      <c r="R4420" s="1"/>
      <c r="S4420" s="1"/>
      <c r="T4420" s="1"/>
      <c r="U4420" s="1"/>
      <c r="V4420" s="1"/>
      <c r="W4420" s="1"/>
      <c r="X4420" s="1"/>
      <c r="Y4420" s="1"/>
      <c r="Z4420" s="1"/>
      <c r="AA4420" s="1"/>
      <c r="AB4420" s="1"/>
      <c r="AC4420" s="1"/>
      <c r="AD4420" s="1"/>
      <c r="AE4420" s="1"/>
      <c r="AF4420" s="1"/>
      <c r="AG4420" s="1"/>
      <c r="AH4420" s="1"/>
    </row>
    <row r="4421" ht="12.75" hidden="1" customHeight="1" outlineLevel="1">
      <c r="A4421" s="17">
        <v>41793.0</v>
      </c>
      <c r="B4421" s="1"/>
      <c r="C4421" s="1" t="s">
        <v>433</v>
      </c>
      <c r="D4421" s="74"/>
      <c r="E4421" s="67"/>
      <c r="F4421" s="75"/>
      <c r="G4421" s="67"/>
      <c r="H4421" s="68"/>
      <c r="I4421" s="76"/>
      <c r="J4421" s="67"/>
      <c r="K4421" s="7" t="s">
        <v>1103</v>
      </c>
      <c r="L4421" s="77"/>
      <c r="M4421" s="79"/>
      <c r="N4421" s="1"/>
      <c r="O4421" s="1"/>
      <c r="P4421" s="1"/>
      <c r="Q4421" s="1"/>
      <c r="R4421" s="1"/>
      <c r="S4421" s="1"/>
      <c r="T4421" s="1"/>
      <c r="U4421" s="1"/>
      <c r="V4421" s="1"/>
      <c r="W4421" s="1"/>
      <c r="X4421" s="1"/>
      <c r="Y4421" s="1"/>
      <c r="Z4421" s="1"/>
      <c r="AA4421" s="1"/>
      <c r="AB4421" s="1"/>
      <c r="AC4421" s="1"/>
      <c r="AD4421" s="1"/>
      <c r="AE4421" s="1"/>
      <c r="AF4421" s="1"/>
      <c r="AG4421" s="1"/>
      <c r="AH4421" s="1"/>
    </row>
    <row r="4422" ht="12.75" hidden="1" customHeight="1" outlineLevel="1">
      <c r="A4422" s="17">
        <v>41793.0</v>
      </c>
      <c r="B4422" s="1"/>
      <c r="C4422" s="1" t="s">
        <v>435</v>
      </c>
      <c r="D4422" s="74"/>
      <c r="E4422" s="67"/>
      <c r="F4422" s="75"/>
      <c r="G4422" s="67"/>
      <c r="H4422" s="68"/>
      <c r="I4422" s="76"/>
      <c r="J4422" s="67"/>
      <c r="K4422" s="7" t="s">
        <v>1507</v>
      </c>
      <c r="L4422" s="77"/>
      <c r="M4422" s="79"/>
      <c r="N4422" s="1"/>
      <c r="O4422" s="1"/>
      <c r="P4422" s="1"/>
      <c r="Q4422" s="1"/>
      <c r="R4422" s="1"/>
      <c r="S4422" s="1"/>
      <c r="T4422" s="1"/>
      <c r="U4422" s="1"/>
      <c r="V4422" s="1"/>
      <c r="W4422" s="1"/>
      <c r="X4422" s="1"/>
      <c r="Y4422" s="1"/>
      <c r="Z4422" s="1"/>
      <c r="AA4422" s="1"/>
      <c r="AB4422" s="1"/>
      <c r="AC4422" s="1"/>
      <c r="AD4422" s="1"/>
      <c r="AE4422" s="1"/>
      <c r="AF4422" s="1"/>
      <c r="AG4422" s="1"/>
      <c r="AH4422" s="1"/>
    </row>
    <row r="4423" ht="12.75" hidden="1" customHeight="1" outlineLevel="1">
      <c r="A4423" s="17">
        <v>41794.0</v>
      </c>
      <c r="B4423" s="1" t="s">
        <v>347</v>
      </c>
      <c r="C4423" s="1" t="s">
        <v>1725</v>
      </c>
      <c r="D4423" s="74">
        <v>996.0</v>
      </c>
      <c r="E4423" s="67">
        <v>13.336</v>
      </c>
      <c r="F4423" s="75">
        <v>0.40091435185185187</v>
      </c>
      <c r="G4423" s="67" t="s">
        <v>453</v>
      </c>
      <c r="H4423" s="68">
        <v>6.05</v>
      </c>
      <c r="I4423" s="76"/>
      <c r="J4423" s="67">
        <f t="shared" ref="J4423:J4427" si="273">IF(B4423="SLD",D4423*E4423,-D4423*E4423)-H4423</f>
        <v>13276.606</v>
      </c>
      <c r="K4423" s="7"/>
      <c r="L4423" s="70"/>
      <c r="M4423" s="79"/>
      <c r="N4423" s="1"/>
      <c r="O4423" s="1"/>
      <c r="P4423" s="1"/>
      <c r="Q4423" s="1"/>
      <c r="R4423" s="1"/>
      <c r="S4423" s="1"/>
      <c r="T4423" s="1"/>
      <c r="U4423" s="1"/>
      <c r="V4423" s="1"/>
      <c r="W4423" s="1"/>
      <c r="X4423" s="1"/>
      <c r="Y4423" s="1"/>
      <c r="Z4423" s="1"/>
      <c r="AA4423" s="1"/>
      <c r="AB4423" s="1"/>
      <c r="AC4423" s="1"/>
      <c r="AD4423" s="1"/>
      <c r="AE4423" s="1"/>
      <c r="AF4423" s="1"/>
      <c r="AG4423" s="1"/>
      <c r="AH4423" s="1"/>
    </row>
    <row r="4424" ht="12.75" hidden="1" customHeight="1" outlineLevel="1">
      <c r="A4424" s="17">
        <v>41794.0</v>
      </c>
      <c r="B4424" s="1" t="s">
        <v>343</v>
      </c>
      <c r="C4424" s="1" t="s">
        <v>1485</v>
      </c>
      <c r="D4424" s="74">
        <v>500.0</v>
      </c>
      <c r="E4424" s="67">
        <v>10.9</v>
      </c>
      <c r="F4424" s="75">
        <v>0.40645833333333337</v>
      </c>
      <c r="G4424" s="67" t="s">
        <v>453</v>
      </c>
      <c r="H4424" s="68">
        <v>2.5</v>
      </c>
      <c r="I4424" s="76"/>
      <c r="J4424" s="67">
        <f t="shared" si="273"/>
        <v>-5452.5</v>
      </c>
      <c r="K4424" s="7"/>
      <c r="L4424" s="70"/>
      <c r="M4424" s="79"/>
      <c r="N4424" s="1"/>
      <c r="O4424" s="1"/>
      <c r="P4424" s="1"/>
      <c r="Q4424" s="1"/>
      <c r="R4424" s="1"/>
      <c r="S4424" s="1"/>
      <c r="T4424" s="1"/>
      <c r="U4424" s="1"/>
      <c r="V4424" s="1"/>
      <c r="W4424" s="1"/>
      <c r="X4424" s="1"/>
      <c r="Y4424" s="1"/>
      <c r="Z4424" s="1"/>
      <c r="AA4424" s="1"/>
      <c r="AB4424" s="1"/>
      <c r="AC4424" s="1"/>
      <c r="AD4424" s="1"/>
      <c r="AE4424" s="1"/>
      <c r="AF4424" s="1"/>
      <c r="AG4424" s="1"/>
      <c r="AH4424" s="1"/>
    </row>
    <row r="4425" ht="12.75" hidden="1" customHeight="1" outlineLevel="1">
      <c r="A4425" s="17">
        <v>41794.0</v>
      </c>
      <c r="B4425" s="1" t="s">
        <v>343</v>
      </c>
      <c r="C4425" s="1" t="s">
        <v>604</v>
      </c>
      <c r="D4425" s="74">
        <v>500.0</v>
      </c>
      <c r="E4425" s="67">
        <v>4.72</v>
      </c>
      <c r="F4425" s="75">
        <v>0.40675925925925926</v>
      </c>
      <c r="G4425" s="67" t="s">
        <v>453</v>
      </c>
      <c r="H4425" s="68">
        <v>2.5</v>
      </c>
      <c r="I4425" s="76"/>
      <c r="J4425" s="67">
        <f t="shared" si="273"/>
        <v>-2362.5</v>
      </c>
      <c r="K4425" s="7"/>
      <c r="L4425" s="70"/>
      <c r="M4425" s="79"/>
      <c r="N4425" s="1"/>
      <c r="O4425" s="1"/>
      <c r="P4425" s="1"/>
      <c r="Q4425" s="1"/>
      <c r="R4425" s="1"/>
      <c r="S4425" s="1"/>
      <c r="T4425" s="1"/>
      <c r="U4425" s="1"/>
      <c r="V4425" s="1"/>
      <c r="W4425" s="1"/>
      <c r="X4425" s="1"/>
      <c r="Y4425" s="1"/>
      <c r="Z4425" s="1"/>
      <c r="AA4425" s="1"/>
      <c r="AB4425" s="1"/>
      <c r="AC4425" s="1"/>
      <c r="AD4425" s="1"/>
      <c r="AE4425" s="1"/>
      <c r="AF4425" s="1"/>
      <c r="AG4425" s="1"/>
      <c r="AH4425" s="1"/>
    </row>
    <row r="4426" ht="12.75" hidden="1" customHeight="1" outlineLevel="1">
      <c r="A4426" s="17">
        <v>41794.0</v>
      </c>
      <c r="B4426" s="1" t="s">
        <v>343</v>
      </c>
      <c r="C4426" s="1" t="s">
        <v>1483</v>
      </c>
      <c r="D4426" s="74">
        <v>500.0</v>
      </c>
      <c r="E4426" s="67">
        <v>4.7</v>
      </c>
      <c r="F4426" s="75">
        <v>0.40728009259259257</v>
      </c>
      <c r="G4426" s="67" t="s">
        <v>453</v>
      </c>
      <c r="H4426" s="68">
        <v>2.5</v>
      </c>
      <c r="I4426" s="76"/>
      <c r="J4426" s="67">
        <f t="shared" si="273"/>
        <v>-2352.5</v>
      </c>
      <c r="K4426" s="7"/>
      <c r="L4426" s="70"/>
      <c r="M4426" s="79"/>
      <c r="N4426" s="1"/>
      <c r="O4426" s="1"/>
      <c r="P4426" s="1"/>
      <c r="Q4426" s="1"/>
      <c r="R4426" s="1"/>
      <c r="S4426" s="1"/>
      <c r="T4426" s="1"/>
      <c r="U4426" s="1"/>
      <c r="V4426" s="1"/>
      <c r="W4426" s="1"/>
      <c r="X4426" s="1"/>
      <c r="Y4426" s="1"/>
      <c r="Z4426" s="1"/>
      <c r="AA4426" s="1"/>
      <c r="AB4426" s="1"/>
      <c r="AC4426" s="1"/>
      <c r="AD4426" s="1"/>
      <c r="AE4426" s="1"/>
      <c r="AF4426" s="1"/>
      <c r="AG4426" s="1"/>
      <c r="AH4426" s="1"/>
    </row>
    <row r="4427" ht="12.75" hidden="1" customHeight="1" outlineLevel="1">
      <c r="A4427" s="17">
        <v>41794.0</v>
      </c>
      <c r="B4427" s="1" t="s">
        <v>343</v>
      </c>
      <c r="C4427" s="1" t="s">
        <v>1092</v>
      </c>
      <c r="D4427" s="74">
        <v>500.0</v>
      </c>
      <c r="E4427" s="67">
        <v>10.416</v>
      </c>
      <c r="F4427" s="75">
        <v>0.40780092592592593</v>
      </c>
      <c r="G4427" s="67" t="s">
        <v>453</v>
      </c>
      <c r="H4427" s="68">
        <v>2.5</v>
      </c>
      <c r="I4427" s="76"/>
      <c r="J4427" s="67">
        <f t="shared" si="273"/>
        <v>-5210.5</v>
      </c>
      <c r="K4427" s="7"/>
      <c r="L4427" s="70"/>
      <c r="M4427" s="79"/>
      <c r="N4427" s="1"/>
      <c r="O4427" s="1"/>
      <c r="P4427" s="1"/>
      <c r="Q4427" s="1"/>
      <c r="R4427" s="1"/>
      <c r="S4427" s="1"/>
      <c r="T4427" s="1"/>
      <c r="U4427" s="1"/>
      <c r="V4427" s="1"/>
      <c r="W4427" s="1"/>
      <c r="X4427" s="1"/>
      <c r="Y4427" s="1"/>
      <c r="Z4427" s="1"/>
      <c r="AA4427" s="1"/>
      <c r="AB4427" s="1"/>
      <c r="AC4427" s="1"/>
      <c r="AD4427" s="1"/>
      <c r="AE4427" s="1"/>
      <c r="AF4427" s="1"/>
      <c r="AG4427" s="1"/>
      <c r="AH4427" s="1"/>
    </row>
    <row r="4428" ht="12.75" hidden="1" customHeight="1" outlineLevel="1">
      <c r="A4428" s="17">
        <v>41794.0</v>
      </c>
      <c r="B4428" s="1"/>
      <c r="C4428" s="1" t="s">
        <v>339</v>
      </c>
      <c r="D4428" s="74"/>
      <c r="E4428" s="67"/>
      <c r="F4428" s="75"/>
      <c r="G4428" s="67"/>
      <c r="H4428" s="68"/>
      <c r="I4428" s="76"/>
      <c r="J4428" s="67"/>
      <c r="K4428" s="7" t="s">
        <v>1831</v>
      </c>
      <c r="L4428" s="77"/>
      <c r="M4428" s="79"/>
      <c r="N4428" s="1"/>
      <c r="O4428" s="1"/>
      <c r="P4428" s="1"/>
      <c r="Q4428" s="1"/>
      <c r="R4428" s="1"/>
      <c r="S4428" s="1"/>
      <c r="T4428" s="1"/>
      <c r="U4428" s="1"/>
      <c r="V4428" s="1"/>
      <c r="W4428" s="1"/>
      <c r="X4428" s="1"/>
      <c r="Y4428" s="1"/>
      <c r="Z4428" s="1"/>
      <c r="AA4428" s="1"/>
      <c r="AB4428" s="1"/>
      <c r="AC4428" s="1"/>
      <c r="AD4428" s="1"/>
      <c r="AE4428" s="1"/>
      <c r="AF4428" s="1"/>
      <c r="AG4428" s="1"/>
      <c r="AH4428" s="1"/>
    </row>
    <row r="4429" ht="12.75" hidden="1" customHeight="1" outlineLevel="1">
      <c r="A4429" s="17">
        <v>41794.0</v>
      </c>
      <c r="B4429" s="1"/>
      <c r="C4429" s="1" t="s">
        <v>429</v>
      </c>
      <c r="D4429" s="74"/>
      <c r="E4429" s="67"/>
      <c r="F4429" s="75"/>
      <c r="G4429" s="67"/>
      <c r="H4429" s="68"/>
      <c r="I4429" s="76"/>
      <c r="J4429" s="67"/>
      <c r="K4429" s="7" t="s">
        <v>1761</v>
      </c>
      <c r="L4429" s="77"/>
      <c r="M4429" s="79"/>
      <c r="N4429" s="1"/>
      <c r="O4429" s="1"/>
      <c r="P4429" s="1"/>
      <c r="Q4429" s="1"/>
      <c r="R4429" s="1"/>
      <c r="S4429" s="1"/>
      <c r="T4429" s="1"/>
      <c r="U4429" s="1"/>
      <c r="V4429" s="1"/>
      <c r="W4429" s="1"/>
      <c r="X4429" s="1"/>
      <c r="Y4429" s="1"/>
      <c r="Z4429" s="1"/>
      <c r="AA4429" s="1"/>
      <c r="AB4429" s="1"/>
      <c r="AC4429" s="1"/>
      <c r="AD4429" s="1"/>
      <c r="AE4429" s="1"/>
      <c r="AF4429" s="1"/>
      <c r="AG4429" s="1"/>
      <c r="AH4429" s="1"/>
    </row>
    <row r="4430" ht="12.75" hidden="1" customHeight="1" outlineLevel="1">
      <c r="A4430" s="17">
        <v>41794.0</v>
      </c>
      <c r="B4430" s="1"/>
      <c r="C4430" s="1" t="s">
        <v>431</v>
      </c>
      <c r="D4430" s="74"/>
      <c r="E4430" s="67"/>
      <c r="F4430" s="75"/>
      <c r="G4430" s="67"/>
      <c r="H4430" s="68"/>
      <c r="I4430" s="76"/>
      <c r="J4430" s="67"/>
      <c r="K4430" s="7" t="s">
        <v>1126</v>
      </c>
      <c r="L4430" s="77"/>
      <c r="M4430" s="79"/>
      <c r="N4430" s="1"/>
      <c r="O4430" s="1"/>
      <c r="P4430" s="1"/>
      <c r="Q4430" s="1"/>
      <c r="R4430" s="1"/>
      <c r="S4430" s="1"/>
      <c r="T4430" s="1"/>
      <c r="U4430" s="1"/>
      <c r="V4430" s="1"/>
      <c r="W4430" s="1"/>
      <c r="X4430" s="1"/>
      <c r="Y4430" s="1"/>
      <c r="Z4430" s="1"/>
      <c r="AA4430" s="1"/>
      <c r="AB4430" s="1"/>
      <c r="AC4430" s="1"/>
      <c r="AD4430" s="1"/>
      <c r="AE4430" s="1"/>
      <c r="AF4430" s="1"/>
      <c r="AG4430" s="1"/>
      <c r="AH4430" s="1"/>
    </row>
    <row r="4431" ht="12.75" hidden="1" customHeight="1" outlineLevel="1">
      <c r="A4431" s="17">
        <v>41794.0</v>
      </c>
      <c r="B4431" s="1"/>
      <c r="C4431" s="1" t="s">
        <v>433</v>
      </c>
      <c r="D4431" s="74"/>
      <c r="E4431" s="67"/>
      <c r="F4431" s="75"/>
      <c r="G4431" s="67"/>
      <c r="H4431" s="68"/>
      <c r="I4431" s="76"/>
      <c r="J4431" s="67"/>
      <c r="K4431" s="7" t="s">
        <v>1103</v>
      </c>
      <c r="L4431" s="77"/>
      <c r="M4431" s="79"/>
      <c r="N4431" s="1"/>
      <c r="O4431" s="1"/>
      <c r="P4431" s="1"/>
      <c r="Q4431" s="1"/>
      <c r="R4431" s="1"/>
      <c r="S4431" s="1"/>
      <c r="T4431" s="1"/>
      <c r="U4431" s="1"/>
      <c r="V4431" s="1"/>
      <c r="W4431" s="1"/>
      <c r="X4431" s="1"/>
      <c r="Y4431" s="1"/>
      <c r="Z4431" s="1"/>
      <c r="AA4431" s="1"/>
      <c r="AB4431" s="1"/>
      <c r="AC4431" s="1"/>
      <c r="AD4431" s="1"/>
      <c r="AE4431" s="1"/>
      <c r="AF4431" s="1"/>
      <c r="AG4431" s="1"/>
      <c r="AH4431" s="1"/>
    </row>
    <row r="4432" ht="12.75" hidden="1" customHeight="1" outlineLevel="1">
      <c r="A4432" s="17">
        <v>41794.0</v>
      </c>
      <c r="B4432" s="1"/>
      <c r="C4432" s="1" t="s">
        <v>435</v>
      </c>
      <c r="D4432" s="74"/>
      <c r="E4432" s="67"/>
      <c r="F4432" s="75"/>
      <c r="G4432" s="67"/>
      <c r="H4432" s="68"/>
      <c r="I4432" s="76"/>
      <c r="J4432" s="67"/>
      <c r="K4432" s="7" t="s">
        <v>1507</v>
      </c>
      <c r="L4432" s="77"/>
      <c r="M4432" s="79"/>
      <c r="N4432" s="1"/>
      <c r="O4432" s="1"/>
      <c r="P4432" s="1"/>
      <c r="Q4432" s="1"/>
      <c r="R4432" s="1"/>
      <c r="S4432" s="1"/>
      <c r="T4432" s="1"/>
      <c r="U4432" s="1"/>
      <c r="V4432" s="1"/>
      <c r="W4432" s="1"/>
      <c r="X4432" s="1"/>
      <c r="Y4432" s="1"/>
      <c r="Z4432" s="1"/>
      <c r="AA4432" s="1"/>
      <c r="AB4432" s="1"/>
      <c r="AC4432" s="1"/>
      <c r="AD4432" s="1"/>
      <c r="AE4432" s="1"/>
      <c r="AF4432" s="1"/>
      <c r="AG4432" s="1"/>
      <c r="AH4432" s="1"/>
    </row>
    <row r="4433" ht="12.75" hidden="1" customHeight="1" outlineLevel="1">
      <c r="A4433" s="17">
        <v>41796.0</v>
      </c>
      <c r="B4433" s="1" t="s">
        <v>343</v>
      </c>
      <c r="C4433" s="1" t="s">
        <v>1725</v>
      </c>
      <c r="D4433" s="74">
        <v>1996.0</v>
      </c>
      <c r="E4433" s="67">
        <v>14.948</v>
      </c>
      <c r="F4433" s="75">
        <v>0.5021643518518518</v>
      </c>
      <c r="G4433" s="67" t="s">
        <v>453</v>
      </c>
      <c r="H4433" s="68">
        <v>8.38</v>
      </c>
      <c r="I4433" s="76"/>
      <c r="J4433" s="67">
        <f t="shared" ref="J4433:J4443" si="274">IF(B4433="SLD",D4433*E4433,-D4433*E4433)-H4433</f>
        <v>-29844.588</v>
      </c>
      <c r="K4433" s="7"/>
      <c r="L4433" s="70"/>
      <c r="M4433" s="79"/>
      <c r="N4433" s="1"/>
      <c r="O4433" s="1"/>
      <c r="P4433" s="1"/>
      <c r="Q4433" s="1"/>
      <c r="R4433" s="1"/>
      <c r="S4433" s="1"/>
      <c r="T4433" s="1"/>
      <c r="U4433" s="1"/>
      <c r="V4433" s="1"/>
      <c r="W4433" s="1"/>
      <c r="X4433" s="1"/>
      <c r="Y4433" s="1"/>
      <c r="Z4433" s="1"/>
      <c r="AA4433" s="1"/>
      <c r="AB4433" s="1"/>
      <c r="AC4433" s="1"/>
      <c r="AD4433" s="1"/>
      <c r="AE4433" s="1"/>
      <c r="AF4433" s="1"/>
      <c r="AG4433" s="1"/>
      <c r="AH4433" s="1"/>
    </row>
    <row r="4434" ht="12.75" hidden="1" customHeight="1" outlineLevel="1">
      <c r="A4434" s="17">
        <v>41796.0</v>
      </c>
      <c r="B4434" s="1" t="s">
        <v>343</v>
      </c>
      <c r="C4434" s="1" t="s">
        <v>1763</v>
      </c>
      <c r="D4434" s="74">
        <v>10000.0</v>
      </c>
      <c r="E4434" s="67">
        <v>4.37</v>
      </c>
      <c r="F4434" s="75">
        <v>0.5025810185185186</v>
      </c>
      <c r="G4434" s="67" t="s">
        <v>453</v>
      </c>
      <c r="H4434" s="68">
        <v>40.0</v>
      </c>
      <c r="I4434" s="76"/>
      <c r="J4434" s="67">
        <f t="shared" si="274"/>
        <v>-43740</v>
      </c>
      <c r="K4434" s="7"/>
      <c r="L4434" s="70"/>
      <c r="M4434" s="79"/>
      <c r="N4434" s="1"/>
      <c r="O4434" s="1"/>
      <c r="P4434" s="1"/>
      <c r="Q4434" s="1"/>
      <c r="R4434" s="1"/>
      <c r="S4434" s="1"/>
      <c r="T4434" s="1"/>
      <c r="U4434" s="1"/>
      <c r="V4434" s="1"/>
      <c r="W4434" s="1"/>
      <c r="X4434" s="1"/>
      <c r="Y4434" s="1"/>
      <c r="Z4434" s="1"/>
      <c r="AA4434" s="1"/>
      <c r="AB4434" s="1"/>
      <c r="AC4434" s="1"/>
      <c r="AD4434" s="1"/>
      <c r="AE4434" s="1"/>
      <c r="AF4434" s="1"/>
      <c r="AG4434" s="1"/>
      <c r="AH4434" s="1"/>
    </row>
    <row r="4435" ht="12.75" hidden="1" customHeight="1" outlineLevel="1">
      <c r="A4435" s="17">
        <v>41796.0</v>
      </c>
      <c r="B4435" s="1" t="s">
        <v>343</v>
      </c>
      <c r="C4435" s="1" t="s">
        <v>1822</v>
      </c>
      <c r="D4435" s="74">
        <v>10000.0</v>
      </c>
      <c r="E4435" s="67">
        <v>2.87</v>
      </c>
      <c r="F4435" s="75">
        <v>0.5031134259259259</v>
      </c>
      <c r="G4435" s="67" t="s">
        <v>453</v>
      </c>
      <c r="H4435" s="68">
        <v>47.8</v>
      </c>
      <c r="I4435" s="76"/>
      <c r="J4435" s="67">
        <f t="shared" si="274"/>
        <v>-28747.8</v>
      </c>
      <c r="K4435" s="7"/>
      <c r="L4435" s="70"/>
      <c r="M4435" s="79"/>
      <c r="N4435" s="1"/>
      <c r="O4435" s="1"/>
      <c r="P4435" s="1"/>
      <c r="Q4435" s="1"/>
      <c r="R4435" s="1"/>
      <c r="S4435" s="1"/>
      <c r="T4435" s="1"/>
      <c r="U4435" s="1"/>
      <c r="V4435" s="1"/>
      <c r="W4435" s="1"/>
      <c r="X4435" s="1"/>
      <c r="Y4435" s="1"/>
      <c r="Z4435" s="1"/>
      <c r="AA4435" s="1"/>
      <c r="AB4435" s="1"/>
      <c r="AC4435" s="1"/>
      <c r="AD4435" s="1"/>
      <c r="AE4435" s="1"/>
      <c r="AF4435" s="1"/>
      <c r="AG4435" s="1"/>
      <c r="AH4435" s="1"/>
    </row>
    <row r="4436" ht="12.75" hidden="1" customHeight="1" outlineLevel="1">
      <c r="A4436" s="17">
        <v>41796.0</v>
      </c>
      <c r="B4436" s="1" t="s">
        <v>343</v>
      </c>
      <c r="C4436" s="1" t="s">
        <v>1828</v>
      </c>
      <c r="D4436" s="74">
        <v>900.0</v>
      </c>
      <c r="E4436" s="67">
        <v>27.993</v>
      </c>
      <c r="F4436" s="75">
        <v>0.5044907407407407</v>
      </c>
      <c r="G4436" s="67" t="s">
        <v>453</v>
      </c>
      <c r="H4436" s="68">
        <v>4.0</v>
      </c>
      <c r="I4436" s="76"/>
      <c r="J4436" s="67">
        <f t="shared" si="274"/>
        <v>-25197.7</v>
      </c>
      <c r="K4436" s="7"/>
      <c r="L4436" s="70"/>
      <c r="M4436" s="79"/>
      <c r="N4436" s="1"/>
      <c r="O4436" s="1"/>
      <c r="P4436" s="1"/>
      <c r="Q4436" s="1"/>
      <c r="R4436" s="1"/>
      <c r="S4436" s="1"/>
      <c r="T4436" s="1"/>
      <c r="U4436" s="1"/>
      <c r="V4436" s="1"/>
      <c r="W4436" s="1"/>
      <c r="X4436" s="1"/>
      <c r="Y4436" s="1"/>
      <c r="Z4436" s="1"/>
      <c r="AA4436" s="1"/>
      <c r="AB4436" s="1"/>
      <c r="AC4436" s="1"/>
      <c r="AD4436" s="1"/>
      <c r="AE4436" s="1"/>
      <c r="AF4436" s="1"/>
      <c r="AG4436" s="1"/>
      <c r="AH4436" s="1"/>
    </row>
    <row r="4437" ht="12.75" hidden="1" customHeight="1" outlineLevel="1">
      <c r="A4437" s="17">
        <v>41796.0</v>
      </c>
      <c r="B4437" s="1" t="s">
        <v>343</v>
      </c>
      <c r="C4437" s="1" t="s">
        <v>790</v>
      </c>
      <c r="D4437" s="74">
        <v>3000.0</v>
      </c>
      <c r="E4437" s="67">
        <v>14.542</v>
      </c>
      <c r="F4437" s="75">
        <v>0.505150462962963</v>
      </c>
      <c r="G4437" s="67" t="s">
        <v>453</v>
      </c>
      <c r="H4437" s="68">
        <v>12.1</v>
      </c>
      <c r="I4437" s="76"/>
      <c r="J4437" s="67">
        <f t="shared" si="274"/>
        <v>-43638.1</v>
      </c>
      <c r="K4437" s="7"/>
      <c r="L4437" s="70"/>
      <c r="M4437" s="79"/>
      <c r="N4437" s="1"/>
      <c r="O4437" s="1"/>
      <c r="P4437" s="1"/>
      <c r="Q4437" s="1"/>
      <c r="R4437" s="1"/>
      <c r="S4437" s="1"/>
      <c r="T4437" s="1"/>
      <c r="U4437" s="1"/>
      <c r="V4437" s="1"/>
      <c r="W4437" s="1"/>
      <c r="X4437" s="1"/>
      <c r="Y4437" s="1"/>
      <c r="Z4437" s="1"/>
      <c r="AA4437" s="1"/>
      <c r="AB4437" s="1"/>
      <c r="AC4437" s="1"/>
      <c r="AD4437" s="1"/>
      <c r="AE4437" s="1"/>
      <c r="AF4437" s="1"/>
      <c r="AG4437" s="1"/>
      <c r="AH4437" s="1"/>
    </row>
    <row r="4438" ht="12.75" hidden="1" customHeight="1" outlineLevel="1">
      <c r="A4438" s="17">
        <v>41796.0</v>
      </c>
      <c r="B4438" s="1" t="s">
        <v>343</v>
      </c>
      <c r="C4438" s="1" t="s">
        <v>784</v>
      </c>
      <c r="D4438" s="74">
        <v>1000.0</v>
      </c>
      <c r="E4438" s="67">
        <v>13.15</v>
      </c>
      <c r="F4438" s="75">
        <v>0.5091898148148148</v>
      </c>
      <c r="G4438" s="67" t="s">
        <v>453</v>
      </c>
      <c r="H4438" s="68">
        <v>4.1</v>
      </c>
      <c r="I4438" s="76"/>
      <c r="J4438" s="67">
        <f t="shared" si="274"/>
        <v>-13154.1</v>
      </c>
      <c r="K4438" s="7"/>
      <c r="L4438" s="70"/>
      <c r="M4438" s="79"/>
      <c r="N4438" s="1"/>
      <c r="O4438" s="1"/>
      <c r="P4438" s="1"/>
      <c r="Q4438" s="1"/>
      <c r="R4438" s="1"/>
      <c r="S4438" s="1"/>
      <c r="T4438" s="1"/>
      <c r="U4438" s="1"/>
      <c r="V4438" s="1"/>
      <c r="W4438" s="1"/>
      <c r="X4438" s="1"/>
      <c r="Y4438" s="1"/>
      <c r="Z4438" s="1"/>
      <c r="AA4438" s="1"/>
      <c r="AB4438" s="1"/>
      <c r="AC4438" s="1"/>
      <c r="AD4438" s="1"/>
      <c r="AE4438" s="1"/>
      <c r="AF4438" s="1"/>
      <c r="AG4438" s="1"/>
      <c r="AH4438" s="1"/>
    </row>
    <row r="4439" ht="12.75" hidden="1" customHeight="1" outlineLevel="1">
      <c r="A4439" s="17">
        <v>41796.0</v>
      </c>
      <c r="B4439" s="1" t="s">
        <v>347</v>
      </c>
      <c r="C4439" s="1" t="s">
        <v>870</v>
      </c>
      <c r="D4439" s="74">
        <v>350.0</v>
      </c>
      <c r="E4439" s="67">
        <v>87.41</v>
      </c>
      <c r="F4439" s="75">
        <v>0.5108912037037037</v>
      </c>
      <c r="G4439" s="67" t="s">
        <v>453</v>
      </c>
      <c r="H4439" s="68">
        <v>2.18</v>
      </c>
      <c r="I4439" s="76"/>
      <c r="J4439" s="67">
        <f t="shared" si="274"/>
        <v>30591.32</v>
      </c>
      <c r="K4439" s="7"/>
      <c r="L4439" s="70"/>
      <c r="M4439" s="79"/>
      <c r="N4439" s="1"/>
      <c r="O4439" s="1"/>
      <c r="P4439" s="1"/>
      <c r="Q4439" s="1"/>
      <c r="R4439" s="1"/>
      <c r="S4439" s="1"/>
      <c r="T4439" s="1"/>
      <c r="U4439" s="1"/>
      <c r="V4439" s="1"/>
      <c r="W4439" s="1"/>
      <c r="X4439" s="1"/>
      <c r="Y4439" s="1"/>
      <c r="Z4439" s="1"/>
      <c r="AA4439" s="1"/>
      <c r="AB4439" s="1"/>
      <c r="AC4439" s="1"/>
      <c r="AD4439" s="1"/>
      <c r="AE4439" s="1"/>
      <c r="AF4439" s="1"/>
      <c r="AG4439" s="1"/>
      <c r="AH4439" s="1"/>
    </row>
    <row r="4440" ht="12.75" hidden="1" customHeight="1" outlineLevel="1">
      <c r="A4440" s="17">
        <v>41796.0</v>
      </c>
      <c r="B4440" s="1" t="s">
        <v>343</v>
      </c>
      <c r="C4440" s="1" t="s">
        <v>1756</v>
      </c>
      <c r="D4440" s="74">
        <v>2800.0</v>
      </c>
      <c r="E4440" s="67">
        <v>13.917</v>
      </c>
      <c r="F4440" s="75">
        <v>0.5129398148148149</v>
      </c>
      <c r="G4440" s="67" t="s">
        <v>453</v>
      </c>
      <c r="H4440" s="68">
        <v>13.3</v>
      </c>
      <c r="I4440" s="76"/>
      <c r="J4440" s="67">
        <f t="shared" si="274"/>
        <v>-38980.9</v>
      </c>
      <c r="K4440" s="7"/>
      <c r="L4440" s="70"/>
      <c r="M4440" s="79"/>
      <c r="N4440" s="1"/>
      <c r="O4440" s="1"/>
      <c r="P4440" s="1"/>
      <c r="Q4440" s="1"/>
      <c r="R4440" s="1"/>
      <c r="S4440" s="1"/>
      <c r="T4440" s="1"/>
      <c r="U4440" s="1"/>
      <c r="V4440" s="1"/>
      <c r="W4440" s="1"/>
      <c r="X4440" s="1"/>
      <c r="Y4440" s="1"/>
      <c r="Z4440" s="1"/>
      <c r="AA4440" s="1"/>
      <c r="AB4440" s="1"/>
      <c r="AC4440" s="1"/>
      <c r="AD4440" s="1"/>
      <c r="AE4440" s="1"/>
      <c r="AF4440" s="1"/>
      <c r="AG4440" s="1"/>
      <c r="AH4440" s="1"/>
    </row>
    <row r="4441" ht="12.75" hidden="1" customHeight="1" outlineLevel="1">
      <c r="A4441" s="17">
        <v>41796.0</v>
      </c>
      <c r="B4441" s="1" t="s">
        <v>343</v>
      </c>
      <c r="C4441" s="1" t="s">
        <v>355</v>
      </c>
      <c r="D4441" s="74">
        <v>1000.0</v>
      </c>
      <c r="E4441" s="67">
        <v>4.6</v>
      </c>
      <c r="F4441" s="75">
        <v>0.5198495370370371</v>
      </c>
      <c r="G4441" s="67" t="s">
        <v>453</v>
      </c>
      <c r="H4441" s="68">
        <v>4.0</v>
      </c>
      <c r="I4441" s="76"/>
      <c r="J4441" s="67">
        <f t="shared" si="274"/>
        <v>-4604</v>
      </c>
      <c r="K4441" s="7"/>
      <c r="L4441" s="70"/>
      <c r="M4441" s="79"/>
      <c r="N4441" s="1"/>
      <c r="O4441" s="1"/>
      <c r="P4441" s="1"/>
      <c r="Q4441" s="1"/>
      <c r="R4441" s="1"/>
      <c r="S4441" s="1"/>
      <c r="T4441" s="1"/>
      <c r="U4441" s="1"/>
      <c r="V4441" s="1"/>
      <c r="W4441" s="1"/>
      <c r="X4441" s="1"/>
      <c r="Y4441" s="1"/>
      <c r="Z4441" s="1"/>
      <c r="AA4441" s="1"/>
      <c r="AB4441" s="1"/>
      <c r="AC4441" s="1"/>
      <c r="AD4441" s="1"/>
      <c r="AE4441" s="1"/>
      <c r="AF4441" s="1"/>
      <c r="AG4441" s="1"/>
      <c r="AH4441" s="1"/>
    </row>
    <row r="4442" ht="12.75" hidden="1" customHeight="1" outlineLevel="1">
      <c r="A4442" s="17">
        <v>41796.0</v>
      </c>
      <c r="B4442" s="1" t="s">
        <v>343</v>
      </c>
      <c r="C4442" s="1" t="s">
        <v>1006</v>
      </c>
      <c r="D4442" s="74">
        <v>100.0</v>
      </c>
      <c r="E4442" s="67">
        <v>50.35</v>
      </c>
      <c r="F4442" s="75">
        <v>0.6009027777777778</v>
      </c>
      <c r="G4442" s="67" t="s">
        <v>453</v>
      </c>
      <c r="H4442" s="68">
        <v>1.0</v>
      </c>
      <c r="I4442" s="76"/>
      <c r="J4442" s="67">
        <f t="shared" si="274"/>
        <v>-5036</v>
      </c>
      <c r="K4442" s="7"/>
      <c r="L4442" s="70"/>
      <c r="M4442" s="79"/>
      <c r="N4442" s="1"/>
      <c r="O4442" s="1"/>
      <c r="P4442" s="1"/>
      <c r="Q4442" s="1"/>
      <c r="R4442" s="1"/>
      <c r="S4442" s="1"/>
      <c r="T4442" s="1"/>
      <c r="U4442" s="1"/>
      <c r="V4442" s="1"/>
      <c r="W4442" s="1"/>
      <c r="X4442" s="1"/>
      <c r="Y4442" s="1"/>
      <c r="Z4442" s="1"/>
      <c r="AA4442" s="1"/>
      <c r="AB4442" s="1"/>
      <c r="AC4442" s="1"/>
      <c r="AD4442" s="1"/>
      <c r="AE4442" s="1"/>
      <c r="AF4442" s="1"/>
      <c r="AG4442" s="1"/>
      <c r="AH4442" s="1"/>
    </row>
    <row r="4443" ht="12.75" hidden="1" customHeight="1" outlineLevel="1">
      <c r="A4443" s="17">
        <v>41796.0</v>
      </c>
      <c r="B4443" s="1" t="s">
        <v>347</v>
      </c>
      <c r="C4443" s="1" t="s">
        <v>355</v>
      </c>
      <c r="D4443" s="74">
        <v>6000.0</v>
      </c>
      <c r="E4443" s="67">
        <v>4.487</v>
      </c>
      <c r="F4443" s="75">
        <v>0.6319444444444444</v>
      </c>
      <c r="G4443" s="67" t="s">
        <v>453</v>
      </c>
      <c r="H4443" s="68">
        <v>30.49</v>
      </c>
      <c r="I4443" s="76"/>
      <c r="J4443" s="67">
        <f t="shared" si="274"/>
        <v>26891.51</v>
      </c>
      <c r="K4443" s="7"/>
      <c r="L4443" s="70"/>
      <c r="M4443" s="79"/>
      <c r="N4443" s="1"/>
      <c r="O4443" s="1"/>
      <c r="P4443" s="1"/>
      <c r="Q4443" s="1"/>
      <c r="R4443" s="1"/>
      <c r="S4443" s="1"/>
      <c r="T4443" s="1"/>
      <c r="U4443" s="1"/>
      <c r="V4443" s="1"/>
      <c r="W4443" s="1"/>
      <c r="X4443" s="1"/>
      <c r="Y4443" s="1"/>
      <c r="Z4443" s="1"/>
      <c r="AA4443" s="1"/>
      <c r="AB4443" s="1"/>
      <c r="AC4443" s="1"/>
      <c r="AD4443" s="1"/>
      <c r="AE4443" s="1"/>
      <c r="AF4443" s="1"/>
      <c r="AG4443" s="1"/>
      <c r="AH4443" s="1"/>
    </row>
    <row r="4444" ht="12.75" hidden="1" customHeight="1" outlineLevel="1">
      <c r="A4444" s="17">
        <v>41796.0</v>
      </c>
      <c r="B4444" s="1"/>
      <c r="C4444" s="1" t="s">
        <v>339</v>
      </c>
      <c r="D4444" s="74"/>
      <c r="E4444" s="67"/>
      <c r="F4444" s="75"/>
      <c r="G4444" s="67"/>
      <c r="H4444" s="68"/>
      <c r="I4444" s="76"/>
      <c r="J4444" s="67"/>
      <c r="K4444" s="7" t="s">
        <v>1833</v>
      </c>
      <c r="L4444" s="77"/>
      <c r="M4444" s="79"/>
      <c r="N4444" s="1"/>
      <c r="O4444" s="1"/>
      <c r="P4444" s="1"/>
      <c r="Q4444" s="1"/>
      <c r="R4444" s="1"/>
      <c r="S4444" s="1"/>
      <c r="T4444" s="1"/>
      <c r="U4444" s="1"/>
      <c r="V4444" s="1"/>
      <c r="W4444" s="1"/>
      <c r="X4444" s="1"/>
      <c r="Y4444" s="1"/>
      <c r="Z4444" s="1"/>
      <c r="AA4444" s="1"/>
      <c r="AB4444" s="1"/>
      <c r="AC4444" s="1"/>
      <c r="AD4444" s="1"/>
      <c r="AE4444" s="1"/>
      <c r="AF4444" s="1"/>
      <c r="AG4444" s="1"/>
      <c r="AH4444" s="1"/>
    </row>
    <row r="4445" ht="12.75" hidden="1" customHeight="1" outlineLevel="1">
      <c r="A4445" s="17">
        <v>41796.0</v>
      </c>
      <c r="B4445" s="1"/>
      <c r="C4445" s="1" t="s">
        <v>429</v>
      </c>
      <c r="D4445" s="74"/>
      <c r="E4445" s="67"/>
      <c r="F4445" s="75"/>
      <c r="G4445" s="67"/>
      <c r="H4445" s="68"/>
      <c r="I4445" s="76"/>
      <c r="J4445" s="67"/>
      <c r="K4445" s="7" t="s">
        <v>1761</v>
      </c>
      <c r="L4445" s="77"/>
      <c r="M4445" s="79"/>
      <c r="N4445" s="1"/>
      <c r="O4445" s="1"/>
      <c r="P4445" s="1"/>
      <c r="Q4445" s="1"/>
      <c r="R4445" s="1"/>
      <c r="S4445" s="1"/>
      <c r="T4445" s="1"/>
      <c r="U4445" s="1"/>
      <c r="V4445" s="1"/>
      <c r="W4445" s="1"/>
      <c r="X4445" s="1"/>
      <c r="Y4445" s="1"/>
      <c r="Z4445" s="1"/>
      <c r="AA4445" s="1"/>
      <c r="AB4445" s="1"/>
      <c r="AC4445" s="1"/>
      <c r="AD4445" s="1"/>
      <c r="AE4445" s="1"/>
      <c r="AF4445" s="1"/>
      <c r="AG4445" s="1"/>
      <c r="AH4445" s="1"/>
    </row>
    <row r="4446" ht="12.75" hidden="1" customHeight="1" outlineLevel="1">
      <c r="A4446" s="17">
        <v>41796.0</v>
      </c>
      <c r="B4446" s="1"/>
      <c r="C4446" s="1" t="s">
        <v>431</v>
      </c>
      <c r="D4446" s="74"/>
      <c r="E4446" s="67"/>
      <c r="F4446" s="75"/>
      <c r="G4446" s="67"/>
      <c r="H4446" s="68"/>
      <c r="I4446" s="76"/>
      <c r="J4446" s="67"/>
      <c r="K4446" s="7" t="s">
        <v>1126</v>
      </c>
      <c r="L4446" s="77"/>
      <c r="M4446" s="79"/>
      <c r="N4446" s="1"/>
      <c r="O4446" s="1"/>
      <c r="P4446" s="1"/>
      <c r="Q4446" s="1"/>
      <c r="R4446" s="1"/>
      <c r="S4446" s="1"/>
      <c r="T4446" s="1"/>
      <c r="U4446" s="1"/>
      <c r="V4446" s="1"/>
      <c r="W4446" s="1"/>
      <c r="X4446" s="1"/>
      <c r="Y4446" s="1"/>
      <c r="Z4446" s="1"/>
      <c r="AA4446" s="1"/>
      <c r="AB4446" s="1"/>
      <c r="AC4446" s="1"/>
      <c r="AD4446" s="1"/>
      <c r="AE4446" s="1"/>
      <c r="AF4446" s="1"/>
      <c r="AG4446" s="1"/>
      <c r="AH4446" s="1"/>
    </row>
    <row r="4447" ht="12.75" hidden="1" customHeight="1" outlineLevel="1">
      <c r="A4447" s="17">
        <v>41796.0</v>
      </c>
      <c r="B4447" s="1"/>
      <c r="C4447" s="1" t="s">
        <v>433</v>
      </c>
      <c r="D4447" s="74"/>
      <c r="E4447" s="67"/>
      <c r="F4447" s="75"/>
      <c r="G4447" s="67"/>
      <c r="H4447" s="68"/>
      <c r="I4447" s="76"/>
      <c r="J4447" s="67"/>
      <c r="K4447" s="7" t="s">
        <v>1103</v>
      </c>
      <c r="L4447" s="77"/>
      <c r="M4447" s="79"/>
      <c r="N4447" s="1"/>
      <c r="O4447" s="1"/>
      <c r="P4447" s="1"/>
      <c r="Q4447" s="1"/>
      <c r="R4447" s="1"/>
      <c r="S4447" s="1"/>
      <c r="T4447" s="1"/>
      <c r="U4447" s="1"/>
      <c r="V4447" s="1"/>
      <c r="W4447" s="1"/>
      <c r="X4447" s="1"/>
      <c r="Y4447" s="1"/>
      <c r="Z4447" s="1"/>
      <c r="AA4447" s="1"/>
      <c r="AB4447" s="1"/>
      <c r="AC4447" s="1"/>
      <c r="AD4447" s="1"/>
      <c r="AE4447" s="1"/>
      <c r="AF4447" s="1"/>
      <c r="AG4447" s="1"/>
      <c r="AH4447" s="1"/>
    </row>
    <row r="4448" ht="12.75" hidden="1" customHeight="1" outlineLevel="1">
      <c r="A4448" s="17">
        <v>41796.0</v>
      </c>
      <c r="B4448" s="1"/>
      <c r="C4448" s="1" t="s">
        <v>435</v>
      </c>
      <c r="D4448" s="74"/>
      <c r="E4448" s="67"/>
      <c r="F4448" s="75"/>
      <c r="G4448" s="67"/>
      <c r="H4448" s="68"/>
      <c r="I4448" s="76"/>
      <c r="J4448" s="67"/>
      <c r="K4448" s="7" t="s">
        <v>1507</v>
      </c>
      <c r="L4448" s="77"/>
      <c r="M4448" s="79"/>
      <c r="N4448" s="1"/>
      <c r="O4448" s="1"/>
      <c r="P4448" s="1"/>
      <c r="Q4448" s="1"/>
      <c r="R4448" s="1"/>
      <c r="S4448" s="1"/>
      <c r="T4448" s="1"/>
      <c r="U4448" s="1"/>
      <c r="V4448" s="1"/>
      <c r="W4448" s="1"/>
      <c r="X4448" s="1"/>
      <c r="Y4448" s="1"/>
      <c r="Z4448" s="1"/>
      <c r="AA4448" s="1"/>
      <c r="AB4448" s="1"/>
      <c r="AC4448" s="1"/>
      <c r="AD4448" s="1"/>
      <c r="AE4448" s="1"/>
      <c r="AF4448" s="1"/>
      <c r="AG4448" s="1"/>
      <c r="AH4448" s="1"/>
    </row>
    <row r="4449" ht="12.75" hidden="1" customHeight="1" outlineLevel="1">
      <c r="A4449" s="17">
        <v>41799.0</v>
      </c>
      <c r="B4449" s="1" t="s">
        <v>347</v>
      </c>
      <c r="C4449" s="1" t="s">
        <v>369</v>
      </c>
      <c r="D4449" s="74">
        <v>1400.0</v>
      </c>
      <c r="E4449" s="67">
        <v>14.4</v>
      </c>
      <c r="F4449" s="75">
        <v>0.40207175925925925</v>
      </c>
      <c r="G4449" s="67" t="s">
        <v>453</v>
      </c>
      <c r="H4449" s="68">
        <v>6.05</v>
      </c>
      <c r="I4449" s="76"/>
      <c r="J4449" s="67">
        <f t="shared" ref="J4449:J4452" si="275">IF(B4449="SLD",D4449*E4449,-D4449*E4449)-H4449</f>
        <v>20153.95</v>
      </c>
      <c r="K4449" s="7"/>
      <c r="L4449" s="70"/>
      <c r="M4449" s="79"/>
      <c r="N4449" s="1"/>
      <c r="O4449" s="1"/>
      <c r="P4449" s="1"/>
      <c r="Q4449" s="1"/>
      <c r="R4449" s="1"/>
      <c r="S4449" s="1"/>
      <c r="T4449" s="1"/>
      <c r="U4449" s="1"/>
      <c r="V4449" s="1"/>
      <c r="W4449" s="1"/>
      <c r="X4449" s="1"/>
      <c r="Y4449" s="1"/>
      <c r="Z4449" s="1"/>
      <c r="AA4449" s="1"/>
      <c r="AB4449" s="1"/>
      <c r="AC4449" s="1"/>
      <c r="AD4449" s="1"/>
      <c r="AE4449" s="1"/>
      <c r="AF4449" s="1"/>
      <c r="AG4449" s="1"/>
      <c r="AH4449" s="1"/>
    </row>
    <row r="4450" ht="12.75" hidden="1" customHeight="1" outlineLevel="1">
      <c r="A4450" s="17">
        <v>41799.0</v>
      </c>
      <c r="B4450" s="1" t="s">
        <v>343</v>
      </c>
      <c r="C4450" s="1" t="s">
        <v>870</v>
      </c>
      <c r="D4450" s="74">
        <v>350.0</v>
      </c>
      <c r="E4450" s="67">
        <v>88.35</v>
      </c>
      <c r="F4450" s="75">
        <v>0.4149305555555556</v>
      </c>
      <c r="G4450" s="67" t="s">
        <v>453</v>
      </c>
      <c r="H4450" s="68">
        <v>1.75</v>
      </c>
      <c r="I4450" s="76"/>
      <c r="J4450" s="67">
        <f t="shared" si="275"/>
        <v>-30924.25</v>
      </c>
      <c r="K4450" s="7"/>
      <c r="L4450" s="70"/>
      <c r="M4450" s="79"/>
      <c r="N4450" s="1"/>
      <c r="O4450" s="1"/>
      <c r="P4450" s="1"/>
      <c r="Q4450" s="1"/>
      <c r="R4450" s="1"/>
      <c r="S4450" s="1"/>
      <c r="T4450" s="1"/>
      <c r="U4450" s="1"/>
      <c r="V4450" s="1"/>
      <c r="W4450" s="1"/>
      <c r="X4450" s="1"/>
      <c r="Y4450" s="1"/>
      <c r="Z4450" s="1"/>
      <c r="AA4450" s="1"/>
      <c r="AB4450" s="1"/>
      <c r="AC4450" s="1"/>
      <c r="AD4450" s="1"/>
      <c r="AE4450" s="1"/>
      <c r="AF4450" s="1"/>
      <c r="AG4450" s="1"/>
      <c r="AH4450" s="1"/>
    </row>
    <row r="4451" ht="12.75" hidden="1" customHeight="1" outlineLevel="1">
      <c r="A4451" s="17">
        <v>41799.0</v>
      </c>
      <c r="B4451" s="1" t="s">
        <v>347</v>
      </c>
      <c r="C4451" s="1" t="s">
        <v>1725</v>
      </c>
      <c r="D4451" s="74">
        <v>2000.0</v>
      </c>
      <c r="E4451" s="67">
        <v>14.657</v>
      </c>
      <c r="F4451" s="75">
        <v>0.415474537037037</v>
      </c>
      <c r="G4451" s="67" t="s">
        <v>453</v>
      </c>
      <c r="H4451" s="68">
        <v>8.65</v>
      </c>
      <c r="I4451" s="76"/>
      <c r="J4451" s="67">
        <f t="shared" si="275"/>
        <v>29305.35</v>
      </c>
      <c r="K4451" s="7"/>
      <c r="L4451" s="70"/>
      <c r="M4451" s="79"/>
      <c r="N4451" s="1"/>
      <c r="O4451" s="1"/>
      <c r="P4451" s="1"/>
      <c r="Q4451" s="1"/>
      <c r="R4451" s="1"/>
      <c r="S4451" s="1"/>
      <c r="T4451" s="1"/>
      <c r="U4451" s="1"/>
      <c r="V4451" s="1"/>
      <c r="W4451" s="1"/>
      <c r="X4451" s="1"/>
      <c r="Y4451" s="1"/>
      <c r="Z4451" s="1"/>
      <c r="AA4451" s="1"/>
      <c r="AB4451" s="1"/>
      <c r="AC4451" s="1"/>
      <c r="AD4451" s="1"/>
      <c r="AE4451" s="1"/>
      <c r="AF4451" s="1"/>
      <c r="AG4451" s="1"/>
      <c r="AH4451" s="1"/>
    </row>
    <row r="4452" ht="12.75" hidden="1" customHeight="1" outlineLevel="1">
      <c r="A4452" s="17">
        <v>41799.0</v>
      </c>
      <c r="B4452" s="1" t="s">
        <v>343</v>
      </c>
      <c r="C4452" s="1" t="s">
        <v>1725</v>
      </c>
      <c r="D4452" s="74">
        <v>5000.0</v>
      </c>
      <c r="E4452" s="67">
        <v>16.135</v>
      </c>
      <c r="F4452" s="75">
        <v>0.5408564814814815</v>
      </c>
      <c r="G4452" s="67" t="s">
        <v>453</v>
      </c>
      <c r="H4452" s="68">
        <v>22.5</v>
      </c>
      <c r="I4452" s="76"/>
      <c r="J4452" s="67">
        <f t="shared" si="275"/>
        <v>-80697.5</v>
      </c>
      <c r="K4452" s="7"/>
      <c r="L4452" s="70"/>
      <c r="M4452" s="79"/>
      <c r="N4452" s="1"/>
      <c r="O4452" s="1"/>
      <c r="P4452" s="1"/>
      <c r="Q4452" s="1"/>
      <c r="R4452" s="1"/>
      <c r="S4452" s="1"/>
      <c r="T4452" s="1"/>
      <c r="U4452" s="1"/>
      <c r="V4452" s="1"/>
      <c r="W4452" s="1"/>
      <c r="X4452" s="1"/>
      <c r="Y4452" s="1"/>
      <c r="Z4452" s="1"/>
      <c r="AA4452" s="1"/>
      <c r="AB4452" s="1"/>
      <c r="AC4452" s="1"/>
      <c r="AD4452" s="1"/>
      <c r="AE4452" s="1"/>
      <c r="AF4452" s="1"/>
      <c r="AG4452" s="1"/>
      <c r="AH4452" s="1"/>
    </row>
    <row r="4453" ht="12.75" hidden="1" customHeight="1" outlineLevel="1">
      <c r="A4453" s="17">
        <v>41799.0</v>
      </c>
      <c r="B4453" s="1"/>
      <c r="C4453" s="1" t="s">
        <v>339</v>
      </c>
      <c r="D4453" s="74"/>
      <c r="E4453" s="67"/>
      <c r="F4453" s="75"/>
      <c r="G4453" s="67"/>
      <c r="H4453" s="68"/>
      <c r="I4453" s="76"/>
      <c r="J4453" s="67"/>
      <c r="K4453" s="7" t="s">
        <v>1835</v>
      </c>
      <c r="L4453" s="77"/>
      <c r="M4453" s="79"/>
      <c r="N4453" s="1"/>
      <c r="O4453" s="1"/>
      <c r="P4453" s="1"/>
      <c r="Q4453" s="1"/>
      <c r="R4453" s="1"/>
      <c r="S4453" s="1"/>
      <c r="T4453" s="1"/>
      <c r="U4453" s="1"/>
      <c r="V4453" s="1"/>
      <c r="W4453" s="1"/>
      <c r="X4453" s="1"/>
      <c r="Y4453" s="1"/>
      <c r="Z4453" s="1"/>
      <c r="AA4453" s="1"/>
      <c r="AB4453" s="1"/>
      <c r="AC4453" s="1"/>
      <c r="AD4453" s="1"/>
      <c r="AE4453" s="1"/>
      <c r="AF4453" s="1"/>
      <c r="AG4453" s="1"/>
      <c r="AH4453" s="1"/>
    </row>
    <row r="4454" ht="12.75" hidden="1" customHeight="1" outlineLevel="1">
      <c r="A4454" s="17">
        <v>41799.0</v>
      </c>
      <c r="B4454" s="1"/>
      <c r="C4454" s="1" t="s">
        <v>429</v>
      </c>
      <c r="D4454" s="74"/>
      <c r="E4454" s="67"/>
      <c r="F4454" s="75"/>
      <c r="G4454" s="67"/>
      <c r="H4454" s="68"/>
      <c r="I4454" s="76"/>
      <c r="J4454" s="67"/>
      <c r="K4454" s="7" t="s">
        <v>1761</v>
      </c>
      <c r="L4454" s="77"/>
      <c r="M4454" s="79"/>
      <c r="N4454" s="1"/>
      <c r="O4454" s="1"/>
      <c r="P4454" s="1"/>
      <c r="Q4454" s="1"/>
      <c r="R4454" s="1"/>
      <c r="S4454" s="1"/>
      <c r="T4454" s="1"/>
      <c r="U4454" s="1"/>
      <c r="V4454" s="1"/>
      <c r="W4454" s="1"/>
      <c r="X4454" s="1"/>
      <c r="Y4454" s="1"/>
      <c r="Z4454" s="1"/>
      <c r="AA4454" s="1"/>
      <c r="AB4454" s="1"/>
      <c r="AC4454" s="1"/>
      <c r="AD4454" s="1"/>
      <c r="AE4454" s="1"/>
      <c r="AF4454" s="1"/>
      <c r="AG4454" s="1"/>
      <c r="AH4454" s="1"/>
    </row>
    <row r="4455" ht="12.75" hidden="1" customHeight="1" outlineLevel="1">
      <c r="A4455" s="17">
        <v>41799.0</v>
      </c>
      <c r="B4455" s="1"/>
      <c r="C4455" s="1" t="s">
        <v>431</v>
      </c>
      <c r="D4455" s="74"/>
      <c r="E4455" s="67"/>
      <c r="F4455" s="75"/>
      <c r="G4455" s="67"/>
      <c r="H4455" s="68"/>
      <c r="I4455" s="76"/>
      <c r="J4455" s="67"/>
      <c r="K4455" s="7" t="s">
        <v>1126</v>
      </c>
      <c r="L4455" s="77"/>
      <c r="M4455" s="79"/>
      <c r="N4455" s="1"/>
      <c r="O4455" s="1"/>
      <c r="P4455" s="1"/>
      <c r="Q4455" s="1"/>
      <c r="R4455" s="1"/>
      <c r="S4455" s="1"/>
      <c r="T4455" s="1"/>
      <c r="U4455" s="1"/>
      <c r="V4455" s="1"/>
      <c r="W4455" s="1"/>
      <c r="X4455" s="1"/>
      <c r="Y4455" s="1"/>
      <c r="Z4455" s="1"/>
      <c r="AA4455" s="1"/>
      <c r="AB4455" s="1"/>
      <c r="AC4455" s="1"/>
      <c r="AD4455" s="1"/>
      <c r="AE4455" s="1"/>
      <c r="AF4455" s="1"/>
      <c r="AG4455" s="1"/>
      <c r="AH4455" s="1"/>
    </row>
    <row r="4456" ht="12.75" hidden="1" customHeight="1" outlineLevel="1">
      <c r="A4456" s="17">
        <v>41799.0</v>
      </c>
      <c r="B4456" s="1"/>
      <c r="C4456" s="1" t="s">
        <v>433</v>
      </c>
      <c r="D4456" s="74"/>
      <c r="E4456" s="67"/>
      <c r="F4456" s="75"/>
      <c r="G4456" s="67"/>
      <c r="H4456" s="68"/>
      <c r="I4456" s="76"/>
      <c r="J4456" s="67"/>
      <c r="K4456" s="7" t="s">
        <v>1103</v>
      </c>
      <c r="L4456" s="77"/>
      <c r="M4456" s="79"/>
      <c r="N4456" s="1"/>
      <c r="O4456" s="1"/>
      <c r="P4456" s="1"/>
      <c r="Q4456" s="1"/>
      <c r="R4456" s="1"/>
      <c r="S4456" s="1"/>
      <c r="T4456" s="1"/>
      <c r="U4456" s="1"/>
      <c r="V4456" s="1"/>
      <c r="W4456" s="1"/>
      <c r="X4456" s="1"/>
      <c r="Y4456" s="1"/>
      <c r="Z4456" s="1"/>
      <c r="AA4456" s="1"/>
      <c r="AB4456" s="1"/>
      <c r="AC4456" s="1"/>
      <c r="AD4456" s="1"/>
      <c r="AE4456" s="1"/>
      <c r="AF4456" s="1"/>
      <c r="AG4456" s="1"/>
      <c r="AH4456" s="1"/>
    </row>
    <row r="4457" ht="12.75" hidden="1" customHeight="1" outlineLevel="1">
      <c r="A4457" s="17">
        <v>41799.0</v>
      </c>
      <c r="B4457" s="1"/>
      <c r="C4457" s="1" t="s">
        <v>435</v>
      </c>
      <c r="D4457" s="74"/>
      <c r="E4457" s="67"/>
      <c r="F4457" s="75"/>
      <c r="G4457" s="67"/>
      <c r="H4457" s="68"/>
      <c r="I4457" s="76"/>
      <c r="J4457" s="67"/>
      <c r="K4457" s="7" t="s">
        <v>1507</v>
      </c>
      <c r="L4457" s="77"/>
      <c r="M4457" s="79"/>
      <c r="N4457" s="1"/>
      <c r="O4457" s="1"/>
      <c r="P4457" s="1"/>
      <c r="Q4457" s="1"/>
      <c r="R4457" s="1"/>
      <c r="S4457" s="1"/>
      <c r="T4457" s="1"/>
      <c r="U4457" s="1"/>
      <c r="V4457" s="1"/>
      <c r="W4457" s="1"/>
      <c r="X4457" s="1"/>
      <c r="Y4457" s="1"/>
      <c r="Z4457" s="1"/>
      <c r="AA4457" s="1"/>
      <c r="AB4457" s="1"/>
      <c r="AC4457" s="1"/>
      <c r="AD4457" s="1"/>
      <c r="AE4457" s="1"/>
      <c r="AF4457" s="1"/>
      <c r="AG4457" s="1"/>
      <c r="AH4457" s="1"/>
    </row>
    <row r="4458" ht="12.75" hidden="1" customHeight="1" outlineLevel="1">
      <c r="A4458" s="17">
        <v>41800.0</v>
      </c>
      <c r="B4458" s="1" t="s">
        <v>343</v>
      </c>
      <c r="C4458" s="1" t="s">
        <v>369</v>
      </c>
      <c r="D4458" s="74">
        <f>100*100</f>
        <v>10000</v>
      </c>
      <c r="E4458" s="67">
        <v>1.738</v>
      </c>
      <c r="F4458" s="75">
        <v>0.5202083333333333</v>
      </c>
      <c r="G4458" s="67" t="s">
        <v>453</v>
      </c>
      <c r="H4458" s="68">
        <v>79.01</v>
      </c>
      <c r="I4458" s="76"/>
      <c r="J4458" s="67">
        <f t="shared" ref="J4458:J4460" si="276">IF(B4458="SLD",D4458*E4458,-D4458*E4458)-H4458</f>
        <v>-17459.01</v>
      </c>
      <c r="K4458" s="7"/>
      <c r="L4458" s="70"/>
      <c r="M4458" s="79"/>
      <c r="N4458" s="1"/>
      <c r="O4458" s="1"/>
      <c r="P4458" s="1"/>
      <c r="Q4458" s="1"/>
      <c r="R4458" s="1"/>
      <c r="S4458" s="1"/>
      <c r="T4458" s="1"/>
      <c r="U4458" s="1"/>
      <c r="V4458" s="1"/>
      <c r="W4458" s="1"/>
      <c r="X4458" s="1"/>
      <c r="Y4458" s="1"/>
      <c r="Z4458" s="1"/>
      <c r="AA4458" s="1"/>
      <c r="AB4458" s="1"/>
      <c r="AC4458" s="1"/>
      <c r="AD4458" s="1"/>
      <c r="AE4458" s="1"/>
      <c r="AF4458" s="1"/>
      <c r="AG4458" s="1"/>
      <c r="AH4458" s="1"/>
    </row>
    <row r="4459" ht="12.75" hidden="1" customHeight="1" outlineLevel="1">
      <c r="A4459" s="17">
        <v>41800.0</v>
      </c>
      <c r="B4459" s="1" t="s">
        <v>343</v>
      </c>
      <c r="C4459" s="1" t="s">
        <v>784</v>
      </c>
      <c r="D4459" s="74">
        <f>60*100</f>
        <v>6000</v>
      </c>
      <c r="E4459" s="67">
        <v>0.86</v>
      </c>
      <c r="F4459" s="75">
        <v>0.5220486111111111</v>
      </c>
      <c r="G4459" s="67" t="s">
        <v>453</v>
      </c>
      <c r="H4459" s="68">
        <v>47.41</v>
      </c>
      <c r="I4459" s="76"/>
      <c r="J4459" s="67">
        <f t="shared" si="276"/>
        <v>-5207.41</v>
      </c>
      <c r="K4459" s="7"/>
      <c r="L4459" s="70"/>
      <c r="M4459" s="79"/>
      <c r="N4459" s="1"/>
      <c r="O4459" s="1"/>
      <c r="P4459" s="1"/>
      <c r="Q4459" s="1"/>
      <c r="R4459" s="1"/>
      <c r="S4459" s="1"/>
      <c r="T4459" s="1"/>
      <c r="U4459" s="1"/>
      <c r="V4459" s="1"/>
      <c r="W4459" s="1"/>
      <c r="X4459" s="1"/>
      <c r="Y4459" s="1"/>
      <c r="Z4459" s="1"/>
      <c r="AA4459" s="1"/>
      <c r="AB4459" s="1"/>
      <c r="AC4459" s="1"/>
      <c r="AD4459" s="1"/>
      <c r="AE4459" s="1"/>
      <c r="AF4459" s="1"/>
      <c r="AG4459" s="1"/>
      <c r="AH4459" s="1"/>
    </row>
    <row r="4460" ht="12.75" hidden="1" customHeight="1" outlineLevel="1">
      <c r="A4460" s="17">
        <v>41800.0</v>
      </c>
      <c r="B4460" s="1" t="s">
        <v>347</v>
      </c>
      <c r="C4460" s="1" t="s">
        <v>441</v>
      </c>
      <c r="D4460" s="74">
        <v>10000.0</v>
      </c>
      <c r="E4460" s="67">
        <v>3.42</v>
      </c>
      <c r="F4460" s="75">
        <v>0.5757638888888889</v>
      </c>
      <c r="G4460" s="67" t="s">
        <v>453</v>
      </c>
      <c r="H4460" s="68">
        <v>48.76</v>
      </c>
      <c r="I4460" s="76"/>
      <c r="J4460" s="67">
        <f t="shared" si="276"/>
        <v>34151.24</v>
      </c>
      <c r="K4460" s="7"/>
      <c r="L4460" s="70"/>
      <c r="M4460" s="79"/>
      <c r="N4460" s="1"/>
      <c r="O4460" s="1"/>
      <c r="P4460" s="1"/>
      <c r="Q4460" s="1"/>
      <c r="R4460" s="1"/>
      <c r="S4460" s="1"/>
      <c r="T4460" s="1"/>
      <c r="U4460" s="1"/>
      <c r="V4460" s="1"/>
      <c r="W4460" s="1"/>
      <c r="X4460" s="1"/>
      <c r="Y4460" s="1"/>
      <c r="Z4460" s="1"/>
      <c r="AA4460" s="1"/>
      <c r="AB4460" s="1"/>
      <c r="AC4460" s="1"/>
      <c r="AD4460" s="1"/>
      <c r="AE4460" s="1"/>
      <c r="AF4460" s="1"/>
      <c r="AG4460" s="1"/>
      <c r="AH4460" s="1"/>
    </row>
    <row r="4461" ht="12.75" hidden="1" customHeight="1" outlineLevel="1">
      <c r="A4461" s="17">
        <v>41800.0</v>
      </c>
      <c r="B4461" s="1"/>
      <c r="C4461" s="1" t="s">
        <v>339</v>
      </c>
      <c r="D4461" s="74"/>
      <c r="E4461" s="67"/>
      <c r="F4461" s="75"/>
      <c r="G4461" s="67"/>
      <c r="H4461" s="68"/>
      <c r="I4461" s="76"/>
      <c r="J4461" s="67"/>
      <c r="K4461" s="7" t="s">
        <v>1836</v>
      </c>
      <c r="L4461" s="77"/>
      <c r="M4461" s="79"/>
      <c r="N4461" s="1"/>
      <c r="O4461" s="1"/>
      <c r="P4461" s="1"/>
      <c r="Q4461" s="1"/>
      <c r="R4461" s="1"/>
      <c r="S4461" s="1"/>
      <c r="T4461" s="1"/>
      <c r="U4461" s="1"/>
      <c r="V4461" s="1"/>
      <c r="W4461" s="1"/>
      <c r="X4461" s="1"/>
      <c r="Y4461" s="1"/>
      <c r="Z4461" s="1"/>
      <c r="AA4461" s="1"/>
      <c r="AB4461" s="1"/>
      <c r="AC4461" s="1"/>
      <c r="AD4461" s="1"/>
      <c r="AE4461" s="1"/>
      <c r="AF4461" s="1"/>
      <c r="AG4461" s="1"/>
      <c r="AH4461" s="1"/>
    </row>
    <row r="4462" ht="12.75" hidden="1" customHeight="1" outlineLevel="1">
      <c r="A4462" s="17">
        <v>41800.0</v>
      </c>
      <c r="B4462" s="1"/>
      <c r="C4462" s="1" t="s">
        <v>429</v>
      </c>
      <c r="D4462" s="74"/>
      <c r="E4462" s="67"/>
      <c r="F4462" s="75"/>
      <c r="G4462" s="67"/>
      <c r="H4462" s="68"/>
      <c r="I4462" s="76"/>
      <c r="J4462" s="67"/>
      <c r="K4462" s="7" t="s">
        <v>1761</v>
      </c>
      <c r="L4462" s="77"/>
      <c r="M4462" s="79"/>
      <c r="N4462" s="1"/>
      <c r="O4462" s="1"/>
      <c r="P4462" s="1"/>
      <c r="Q4462" s="1"/>
      <c r="R4462" s="1"/>
      <c r="S4462" s="1"/>
      <c r="T4462" s="1"/>
      <c r="U4462" s="1"/>
      <c r="V4462" s="1"/>
      <c r="W4462" s="1"/>
      <c r="X4462" s="1"/>
      <c r="Y4462" s="1"/>
      <c r="Z4462" s="1"/>
      <c r="AA4462" s="1"/>
      <c r="AB4462" s="1"/>
      <c r="AC4462" s="1"/>
      <c r="AD4462" s="1"/>
      <c r="AE4462" s="1"/>
      <c r="AF4462" s="1"/>
      <c r="AG4462" s="1"/>
      <c r="AH4462" s="1"/>
    </row>
    <row r="4463" ht="12.75" hidden="1" customHeight="1" outlineLevel="1">
      <c r="A4463" s="17">
        <v>41800.0</v>
      </c>
      <c r="B4463" s="1"/>
      <c r="C4463" s="1" t="s">
        <v>431</v>
      </c>
      <c r="D4463" s="74"/>
      <c r="E4463" s="67"/>
      <c r="F4463" s="75"/>
      <c r="G4463" s="67"/>
      <c r="H4463" s="68"/>
      <c r="I4463" s="76"/>
      <c r="J4463" s="67"/>
      <c r="K4463" s="7" t="s">
        <v>1126</v>
      </c>
      <c r="L4463" s="77"/>
      <c r="M4463" s="79"/>
      <c r="N4463" s="1"/>
      <c r="O4463" s="1"/>
      <c r="P4463" s="1"/>
      <c r="Q4463" s="1"/>
      <c r="R4463" s="1"/>
      <c r="S4463" s="1"/>
      <c r="T4463" s="1"/>
      <c r="U4463" s="1"/>
      <c r="V4463" s="1"/>
      <c r="W4463" s="1"/>
      <c r="X4463" s="1"/>
      <c r="Y4463" s="1"/>
      <c r="Z4463" s="1"/>
      <c r="AA4463" s="1"/>
      <c r="AB4463" s="1"/>
      <c r="AC4463" s="1"/>
      <c r="AD4463" s="1"/>
      <c r="AE4463" s="1"/>
      <c r="AF4463" s="1"/>
      <c r="AG4463" s="1"/>
      <c r="AH4463" s="1"/>
    </row>
    <row r="4464" ht="12.75" hidden="1" customHeight="1" outlineLevel="1">
      <c r="A4464" s="17">
        <v>41800.0</v>
      </c>
      <c r="B4464" s="1"/>
      <c r="C4464" s="1" t="s">
        <v>433</v>
      </c>
      <c r="D4464" s="74"/>
      <c r="E4464" s="67"/>
      <c r="F4464" s="75"/>
      <c r="G4464" s="67"/>
      <c r="H4464" s="68"/>
      <c r="I4464" s="76"/>
      <c r="J4464" s="67"/>
      <c r="K4464" s="7" t="s">
        <v>1103</v>
      </c>
      <c r="L4464" s="77"/>
      <c r="M4464" s="79"/>
      <c r="N4464" s="1"/>
      <c r="O4464" s="1"/>
      <c r="P4464" s="1"/>
      <c r="Q4464" s="1"/>
      <c r="R4464" s="1"/>
      <c r="S4464" s="1"/>
      <c r="T4464" s="1"/>
      <c r="U4464" s="1"/>
      <c r="V4464" s="1"/>
      <c r="W4464" s="1"/>
      <c r="X4464" s="1"/>
      <c r="Y4464" s="1"/>
      <c r="Z4464" s="1"/>
      <c r="AA4464" s="1"/>
      <c r="AB4464" s="1"/>
      <c r="AC4464" s="1"/>
      <c r="AD4464" s="1"/>
      <c r="AE4464" s="1"/>
      <c r="AF4464" s="1"/>
      <c r="AG4464" s="1"/>
      <c r="AH4464" s="1"/>
    </row>
    <row r="4465" ht="12.75" hidden="1" customHeight="1" outlineLevel="1">
      <c r="A4465" s="17">
        <v>41800.0</v>
      </c>
      <c r="B4465" s="1"/>
      <c r="C4465" s="1" t="s">
        <v>435</v>
      </c>
      <c r="D4465" s="74"/>
      <c r="E4465" s="67"/>
      <c r="F4465" s="75"/>
      <c r="G4465" s="67"/>
      <c r="H4465" s="68"/>
      <c r="I4465" s="76"/>
      <c r="J4465" s="67"/>
      <c r="K4465" s="7" t="s">
        <v>1507</v>
      </c>
      <c r="L4465" s="77"/>
      <c r="M4465" s="79"/>
      <c r="N4465" s="1"/>
      <c r="O4465" s="1"/>
      <c r="P4465" s="1"/>
      <c r="Q4465" s="1"/>
      <c r="R4465" s="1"/>
      <c r="S4465" s="1"/>
      <c r="T4465" s="1"/>
      <c r="U4465" s="1"/>
      <c r="V4465" s="1"/>
      <c r="W4465" s="1"/>
      <c r="X4465" s="1"/>
      <c r="Y4465" s="1"/>
      <c r="Z4465" s="1"/>
      <c r="AA4465" s="1"/>
      <c r="AB4465" s="1"/>
      <c r="AC4465" s="1"/>
      <c r="AD4465" s="1"/>
      <c r="AE4465" s="1"/>
      <c r="AF4465" s="1"/>
      <c r="AG4465" s="1"/>
      <c r="AH4465" s="1"/>
    </row>
    <row r="4466" ht="12.75" hidden="1" customHeight="1" outlineLevel="1">
      <c r="A4466" s="17">
        <v>41801.0</v>
      </c>
      <c r="B4466" s="1" t="s">
        <v>343</v>
      </c>
      <c r="C4466" s="1" t="s">
        <v>1781</v>
      </c>
      <c r="D4466" s="74">
        <v>2000.0</v>
      </c>
      <c r="E4466" s="67">
        <v>16.49</v>
      </c>
      <c r="F4466" s="75">
        <v>0.4728009259259259</v>
      </c>
      <c r="G4466" s="67" t="s">
        <v>453</v>
      </c>
      <c r="H4466" s="68">
        <v>8.0</v>
      </c>
      <c r="I4466" s="76"/>
      <c r="J4466" s="67">
        <f t="shared" ref="J4466:J4476" si="277">IF(B4466="SLD",D4466*E4466,-D4466*E4466)-H4466</f>
        <v>-32988</v>
      </c>
      <c r="K4466" s="7"/>
      <c r="L4466" s="70"/>
      <c r="M4466" s="79"/>
      <c r="N4466" s="1"/>
      <c r="O4466" s="1"/>
      <c r="P4466" s="1"/>
      <c r="Q4466" s="1"/>
      <c r="R4466" s="1"/>
      <c r="S4466" s="1"/>
      <c r="T4466" s="1"/>
      <c r="U4466" s="1"/>
      <c r="V4466" s="1"/>
      <c r="W4466" s="1"/>
      <c r="X4466" s="1"/>
      <c r="Y4466" s="1"/>
      <c r="Z4466" s="1"/>
      <c r="AA4466" s="1"/>
      <c r="AB4466" s="1"/>
      <c r="AC4466" s="1"/>
      <c r="AD4466" s="1"/>
      <c r="AE4466" s="1"/>
      <c r="AF4466" s="1"/>
      <c r="AG4466" s="1"/>
      <c r="AH4466" s="1"/>
    </row>
    <row r="4467" ht="12.75" hidden="1" customHeight="1" outlineLevel="1">
      <c r="A4467" s="17">
        <v>41801.0</v>
      </c>
      <c r="B4467" s="1" t="s">
        <v>343</v>
      </c>
      <c r="C4467" s="1" t="s">
        <v>351</v>
      </c>
      <c r="D4467" s="74">
        <v>1000.0</v>
      </c>
      <c r="E4467" s="67">
        <v>121.548</v>
      </c>
      <c r="F4467" s="75">
        <v>0.4733449074074074</v>
      </c>
      <c r="G4467" s="67" t="s">
        <v>453</v>
      </c>
      <c r="H4467" s="68">
        <v>4.0</v>
      </c>
      <c r="I4467" s="76"/>
      <c r="J4467" s="67">
        <f t="shared" si="277"/>
        <v>-121552</v>
      </c>
      <c r="K4467" s="7"/>
      <c r="L4467" s="70"/>
      <c r="M4467" s="79"/>
      <c r="N4467" s="1"/>
      <c r="O4467" s="1"/>
      <c r="P4467" s="1"/>
      <c r="Q4467" s="1"/>
      <c r="R4467" s="1"/>
      <c r="S4467" s="1"/>
      <c r="T4467" s="1"/>
      <c r="U4467" s="1"/>
      <c r="V4467" s="1"/>
      <c r="W4467" s="1"/>
      <c r="X4467" s="1"/>
      <c r="Y4467" s="1"/>
      <c r="Z4467" s="1"/>
      <c r="AA4467" s="1"/>
      <c r="AB4467" s="1"/>
      <c r="AC4467" s="1"/>
      <c r="AD4467" s="1"/>
      <c r="AE4467" s="1"/>
      <c r="AF4467" s="1"/>
      <c r="AG4467" s="1"/>
      <c r="AH4467" s="1"/>
    </row>
    <row r="4468" ht="12.75" hidden="1" customHeight="1" outlineLevel="1">
      <c r="A4468" s="17">
        <v>41801.0</v>
      </c>
      <c r="B4468" s="1" t="s">
        <v>347</v>
      </c>
      <c r="C4468" s="1" t="s">
        <v>354</v>
      </c>
      <c r="D4468" s="74">
        <v>100.0</v>
      </c>
      <c r="E4468" s="67">
        <v>114.165</v>
      </c>
      <c r="F4468" s="75">
        <v>0.47975694444444444</v>
      </c>
      <c r="G4468" s="67" t="s">
        <v>453</v>
      </c>
      <c r="H4468" s="68">
        <v>1.25</v>
      </c>
      <c r="I4468" s="76"/>
      <c r="J4468" s="67">
        <f t="shared" si="277"/>
        <v>11415.25</v>
      </c>
      <c r="K4468" s="7"/>
      <c r="L4468" s="70"/>
      <c r="M4468" s="79"/>
      <c r="N4468" s="1"/>
      <c r="O4468" s="1"/>
      <c r="P4468" s="1"/>
      <c r="Q4468" s="1"/>
      <c r="R4468" s="1"/>
      <c r="S4468" s="1"/>
      <c r="T4468" s="1"/>
      <c r="U4468" s="1"/>
      <c r="V4468" s="1"/>
      <c r="W4468" s="1"/>
      <c r="X4468" s="1"/>
      <c r="Y4468" s="1"/>
      <c r="Z4468" s="1"/>
      <c r="AA4468" s="1"/>
      <c r="AB4468" s="1"/>
      <c r="AC4468" s="1"/>
      <c r="AD4468" s="1"/>
      <c r="AE4468" s="1"/>
      <c r="AF4468" s="1"/>
      <c r="AG4468" s="1"/>
      <c r="AH4468" s="1"/>
    </row>
    <row r="4469" ht="12.75" hidden="1" customHeight="1" outlineLevel="1">
      <c r="A4469" s="17">
        <v>41801.0</v>
      </c>
      <c r="B4469" s="1" t="s">
        <v>347</v>
      </c>
      <c r="C4469" s="1" t="s">
        <v>1371</v>
      </c>
      <c r="D4469" s="74">
        <v>300.0</v>
      </c>
      <c r="E4469" s="67">
        <v>36.76</v>
      </c>
      <c r="F4469" s="75">
        <v>0.48008101851851853</v>
      </c>
      <c r="G4469" s="67" t="s">
        <v>453</v>
      </c>
      <c r="H4469" s="68">
        <v>1.44</v>
      </c>
      <c r="I4469" s="76"/>
      <c r="J4469" s="67">
        <f t="shared" si="277"/>
        <v>11026.56</v>
      </c>
      <c r="K4469" s="7"/>
      <c r="L4469" s="70"/>
      <c r="M4469" s="79"/>
      <c r="N4469" s="1"/>
      <c r="O4469" s="1"/>
      <c r="P4469" s="1"/>
      <c r="Q4469" s="1"/>
      <c r="R4469" s="1"/>
      <c r="S4469" s="1"/>
      <c r="T4469" s="1"/>
      <c r="U4469" s="1"/>
      <c r="V4469" s="1"/>
      <c r="W4469" s="1"/>
      <c r="X4469" s="1"/>
      <c r="Y4469" s="1"/>
      <c r="Z4469" s="1"/>
      <c r="AA4469" s="1"/>
      <c r="AB4469" s="1"/>
      <c r="AC4469" s="1"/>
      <c r="AD4469" s="1"/>
      <c r="AE4469" s="1"/>
      <c r="AF4469" s="1"/>
      <c r="AG4469" s="1"/>
      <c r="AH4469" s="1"/>
    </row>
    <row r="4470" ht="12.75" hidden="1" customHeight="1" outlineLevel="1">
      <c r="A4470" s="17">
        <v>41801.0</v>
      </c>
      <c r="B4470" s="1" t="s">
        <v>347</v>
      </c>
      <c r="C4470" s="1" t="s">
        <v>354</v>
      </c>
      <c r="D4470" s="74">
        <v>100.0</v>
      </c>
      <c r="E4470" s="67">
        <v>112.91</v>
      </c>
      <c r="F4470" s="75">
        <v>0.49648148148148147</v>
      </c>
      <c r="G4470" s="67" t="s">
        <v>453</v>
      </c>
      <c r="H4470" s="68">
        <v>1.25</v>
      </c>
      <c r="I4470" s="76"/>
      <c r="J4470" s="67">
        <f t="shared" si="277"/>
        <v>11289.75</v>
      </c>
      <c r="K4470" s="7"/>
      <c r="L4470" s="70"/>
      <c r="M4470" s="79"/>
      <c r="N4470" s="1"/>
      <c r="O4470" s="1"/>
      <c r="P4470" s="1"/>
      <c r="Q4470" s="1"/>
      <c r="R4470" s="1"/>
      <c r="S4470" s="1"/>
      <c r="T4470" s="1"/>
      <c r="U4470" s="1"/>
      <c r="V4470" s="1"/>
      <c r="W4470" s="1"/>
      <c r="X4470" s="1"/>
      <c r="Y4470" s="1"/>
      <c r="Z4470" s="1"/>
      <c r="AA4470" s="1"/>
      <c r="AB4470" s="1"/>
      <c r="AC4470" s="1"/>
      <c r="AD4470" s="1"/>
      <c r="AE4470" s="1"/>
      <c r="AF4470" s="1"/>
      <c r="AG4470" s="1"/>
      <c r="AH4470" s="1"/>
    </row>
    <row r="4471" ht="12.75" hidden="1" customHeight="1" outlineLevel="1">
      <c r="A4471" s="17">
        <v>41801.0</v>
      </c>
      <c r="B4471" s="1" t="s">
        <v>347</v>
      </c>
      <c r="C4471" s="1" t="s">
        <v>1371</v>
      </c>
      <c r="D4471" s="74">
        <v>300.0</v>
      </c>
      <c r="E4471" s="67">
        <v>36.66</v>
      </c>
      <c r="F4471" s="75">
        <v>0.4969560185185185</v>
      </c>
      <c r="G4471" s="67" t="s">
        <v>453</v>
      </c>
      <c r="H4471" s="68">
        <v>1.44</v>
      </c>
      <c r="I4471" s="76"/>
      <c r="J4471" s="67">
        <f t="shared" si="277"/>
        <v>10996.56</v>
      </c>
      <c r="K4471" s="7"/>
      <c r="L4471" s="70"/>
      <c r="M4471" s="79"/>
      <c r="N4471" s="1"/>
      <c r="O4471" s="1"/>
      <c r="P4471" s="1"/>
      <c r="Q4471" s="1"/>
      <c r="R4471" s="1"/>
      <c r="S4471" s="1"/>
      <c r="T4471" s="1"/>
      <c r="U4471" s="1"/>
      <c r="V4471" s="1"/>
      <c r="W4471" s="1"/>
      <c r="X4471" s="1"/>
      <c r="Y4471" s="1"/>
      <c r="Z4471" s="1"/>
      <c r="AA4471" s="1"/>
      <c r="AB4471" s="1"/>
      <c r="AC4471" s="1"/>
      <c r="AD4471" s="1"/>
      <c r="AE4471" s="1"/>
      <c r="AF4471" s="1"/>
      <c r="AG4471" s="1"/>
      <c r="AH4471" s="1"/>
    </row>
    <row r="4472" ht="12.75" hidden="1" customHeight="1" outlineLevel="1">
      <c r="A4472" s="17">
        <v>41801.0</v>
      </c>
      <c r="B4472" s="1" t="s">
        <v>347</v>
      </c>
      <c r="C4472" s="1" t="s">
        <v>870</v>
      </c>
      <c r="D4472" s="74">
        <v>350.0</v>
      </c>
      <c r="E4472" s="67">
        <v>85.24</v>
      </c>
      <c r="F4472" s="75">
        <v>0.5127546296296296</v>
      </c>
      <c r="G4472" s="67" t="s">
        <v>453</v>
      </c>
      <c r="H4472" s="68">
        <v>2.06</v>
      </c>
      <c r="I4472" s="76"/>
      <c r="J4472" s="67">
        <f t="shared" si="277"/>
        <v>29831.94</v>
      </c>
      <c r="K4472" s="7"/>
      <c r="L4472" s="70"/>
      <c r="M4472" s="79"/>
      <c r="N4472" s="1"/>
      <c r="O4472" s="1"/>
      <c r="P4472" s="1"/>
      <c r="Q4472" s="1"/>
      <c r="R4472" s="1"/>
      <c r="S4472" s="1"/>
      <c r="T4472" s="1"/>
      <c r="U4472" s="1"/>
      <c r="V4472" s="1"/>
      <c r="W4472" s="1"/>
      <c r="X4472" s="1"/>
      <c r="Y4472" s="1"/>
      <c r="Z4472" s="1"/>
      <c r="AA4472" s="1"/>
      <c r="AB4472" s="1"/>
      <c r="AC4472" s="1"/>
      <c r="AD4472" s="1"/>
      <c r="AE4472" s="1"/>
      <c r="AF4472" s="1"/>
      <c r="AG4472" s="1"/>
      <c r="AH4472" s="1"/>
    </row>
    <row r="4473" ht="12.75" hidden="1" customHeight="1" outlineLevel="1">
      <c r="A4473" s="17">
        <v>41801.0</v>
      </c>
      <c r="B4473" s="1" t="s">
        <v>347</v>
      </c>
      <c r="C4473" s="1" t="s">
        <v>344</v>
      </c>
      <c r="D4473" s="74">
        <v>700.0</v>
      </c>
      <c r="E4473" s="67">
        <v>54.65</v>
      </c>
      <c r="F4473" s="75">
        <v>0.5161574074074075</v>
      </c>
      <c r="G4473" s="67" t="s">
        <v>453</v>
      </c>
      <c r="H4473" s="68">
        <v>3.65</v>
      </c>
      <c r="I4473" s="76"/>
      <c r="J4473" s="67">
        <f t="shared" si="277"/>
        <v>38251.35</v>
      </c>
      <c r="K4473" s="7"/>
      <c r="L4473" s="70"/>
      <c r="M4473" s="79"/>
      <c r="N4473" s="1"/>
      <c r="O4473" s="1"/>
      <c r="P4473" s="1"/>
      <c r="Q4473" s="1"/>
      <c r="R4473" s="1"/>
      <c r="S4473" s="1"/>
      <c r="T4473" s="1"/>
      <c r="U4473" s="1"/>
      <c r="V4473" s="1"/>
      <c r="W4473" s="1"/>
      <c r="X4473" s="1"/>
      <c r="Y4473" s="1"/>
      <c r="Z4473" s="1"/>
      <c r="AA4473" s="1"/>
      <c r="AB4473" s="1"/>
      <c r="AC4473" s="1"/>
      <c r="AD4473" s="1"/>
      <c r="AE4473" s="1"/>
      <c r="AF4473" s="1"/>
      <c r="AG4473" s="1"/>
      <c r="AH4473" s="1"/>
    </row>
    <row r="4474" ht="12.75" hidden="1" customHeight="1" outlineLevel="1">
      <c r="A4474" s="17">
        <v>41801.0</v>
      </c>
      <c r="B4474" s="1" t="s">
        <v>347</v>
      </c>
      <c r="C4474" s="1" t="s">
        <v>1158</v>
      </c>
      <c r="D4474" s="74">
        <v>1000.0</v>
      </c>
      <c r="E4474" s="67">
        <v>40.73</v>
      </c>
      <c r="F4474" s="75">
        <v>0.5163194444444444</v>
      </c>
      <c r="G4474" s="67" t="s">
        <v>453</v>
      </c>
      <c r="H4474" s="68">
        <v>4.9</v>
      </c>
      <c r="I4474" s="76"/>
      <c r="J4474" s="67">
        <f t="shared" si="277"/>
        <v>40725.1</v>
      </c>
      <c r="K4474" s="7"/>
      <c r="L4474" s="70"/>
      <c r="M4474" s="79"/>
      <c r="N4474" s="1"/>
      <c r="O4474" s="1"/>
      <c r="P4474" s="1"/>
      <c r="Q4474" s="1"/>
      <c r="R4474" s="1"/>
      <c r="S4474" s="1"/>
      <c r="T4474" s="1"/>
      <c r="U4474" s="1"/>
      <c r="V4474" s="1"/>
      <c r="W4474" s="1"/>
      <c r="X4474" s="1"/>
      <c r="Y4474" s="1"/>
      <c r="Z4474" s="1"/>
      <c r="AA4474" s="1"/>
      <c r="AB4474" s="1"/>
      <c r="AC4474" s="1"/>
      <c r="AD4474" s="1"/>
      <c r="AE4474" s="1"/>
      <c r="AF4474" s="1"/>
      <c r="AG4474" s="1"/>
      <c r="AH4474" s="1"/>
    </row>
    <row r="4475" ht="12.75" hidden="1" customHeight="1" outlineLevel="1">
      <c r="A4475" s="17">
        <v>41801.0</v>
      </c>
      <c r="B4475" s="1" t="s">
        <v>347</v>
      </c>
      <c r="C4475" s="1" t="s">
        <v>369</v>
      </c>
      <c r="D4475" s="74">
        <v>3000.0</v>
      </c>
      <c r="E4475" s="67">
        <v>14.39</v>
      </c>
      <c r="F4475" s="75">
        <v>0.6624421296296296</v>
      </c>
      <c r="G4475" s="67" t="s">
        <v>453</v>
      </c>
      <c r="H4475" s="68">
        <v>14.45</v>
      </c>
      <c r="I4475" s="76"/>
      <c r="J4475" s="67">
        <f t="shared" si="277"/>
        <v>43155.55</v>
      </c>
      <c r="K4475" s="7"/>
      <c r="L4475" s="70"/>
      <c r="M4475" s="79"/>
      <c r="N4475" s="1"/>
      <c r="O4475" s="1"/>
      <c r="P4475" s="1"/>
      <c r="Q4475" s="1"/>
      <c r="R4475" s="1"/>
      <c r="S4475" s="1"/>
      <c r="T4475" s="1"/>
      <c r="U4475" s="1"/>
      <c r="V4475" s="1"/>
      <c r="W4475" s="1"/>
      <c r="X4475" s="1"/>
      <c r="Y4475" s="1"/>
      <c r="Z4475" s="1"/>
      <c r="AA4475" s="1"/>
      <c r="AB4475" s="1"/>
      <c r="AC4475" s="1"/>
      <c r="AD4475" s="1"/>
      <c r="AE4475" s="1"/>
      <c r="AF4475" s="1"/>
      <c r="AG4475" s="1"/>
      <c r="AH4475" s="1"/>
    </row>
    <row r="4476" ht="12.75" hidden="1" customHeight="1" outlineLevel="1">
      <c r="A4476" s="17">
        <v>41801.0</v>
      </c>
      <c r="B4476" s="1" t="s">
        <v>347</v>
      </c>
      <c r="C4476" s="1" t="s">
        <v>369</v>
      </c>
      <c r="D4476" s="74">
        <v>3000.0</v>
      </c>
      <c r="E4476" s="67">
        <v>14.36</v>
      </c>
      <c r="F4476" s="75">
        <v>0.6653703703703704</v>
      </c>
      <c r="G4476" s="67" t="s">
        <v>453</v>
      </c>
      <c r="H4476" s="68">
        <v>15.95</v>
      </c>
      <c r="I4476" s="76"/>
      <c r="J4476" s="67">
        <f t="shared" si="277"/>
        <v>43064.05</v>
      </c>
      <c r="K4476" s="7"/>
      <c r="L4476" s="70"/>
      <c r="M4476" s="79"/>
      <c r="N4476" s="1"/>
      <c r="O4476" s="1"/>
      <c r="P4476" s="1"/>
      <c r="Q4476" s="1"/>
      <c r="R4476" s="1"/>
      <c r="S4476" s="1"/>
      <c r="T4476" s="1"/>
      <c r="U4476" s="1"/>
      <c r="V4476" s="1"/>
      <c r="W4476" s="1"/>
      <c r="X4476" s="1"/>
      <c r="Y4476" s="1"/>
      <c r="Z4476" s="1"/>
      <c r="AA4476" s="1"/>
      <c r="AB4476" s="1"/>
      <c r="AC4476" s="1"/>
      <c r="AD4476" s="1"/>
      <c r="AE4476" s="1"/>
      <c r="AF4476" s="1"/>
      <c r="AG4476" s="1"/>
      <c r="AH4476" s="1"/>
    </row>
    <row r="4477" ht="12.75" hidden="1" customHeight="1" outlineLevel="1">
      <c r="A4477" s="17">
        <v>41801.0</v>
      </c>
      <c r="B4477" s="1"/>
      <c r="C4477" s="1" t="s">
        <v>339</v>
      </c>
      <c r="D4477" s="74"/>
      <c r="E4477" s="67"/>
      <c r="F4477" s="75"/>
      <c r="G4477" s="67"/>
      <c r="H4477" s="68"/>
      <c r="I4477" s="76"/>
      <c r="J4477" s="67"/>
      <c r="K4477" s="7" t="s">
        <v>1837</v>
      </c>
      <c r="L4477" s="77"/>
      <c r="M4477" s="79"/>
      <c r="N4477" s="1"/>
      <c r="O4477" s="1"/>
      <c r="P4477" s="1"/>
      <c r="Q4477" s="1"/>
      <c r="R4477" s="1"/>
      <c r="S4477" s="1"/>
      <c r="T4477" s="1"/>
      <c r="U4477" s="1"/>
      <c r="V4477" s="1"/>
      <c r="W4477" s="1"/>
      <c r="X4477" s="1"/>
      <c r="Y4477" s="1"/>
      <c r="Z4477" s="1"/>
      <c r="AA4477" s="1"/>
      <c r="AB4477" s="1"/>
      <c r="AC4477" s="1"/>
      <c r="AD4477" s="1"/>
      <c r="AE4477" s="1"/>
      <c r="AF4477" s="1"/>
      <c r="AG4477" s="1"/>
      <c r="AH4477" s="1"/>
    </row>
    <row r="4478" ht="12.75" hidden="1" customHeight="1" outlineLevel="1">
      <c r="A4478" s="17">
        <v>41801.0</v>
      </c>
      <c r="B4478" s="1"/>
      <c r="C4478" s="1" t="s">
        <v>429</v>
      </c>
      <c r="D4478" s="74"/>
      <c r="E4478" s="67"/>
      <c r="F4478" s="75"/>
      <c r="G4478" s="67"/>
      <c r="H4478" s="68"/>
      <c r="I4478" s="76"/>
      <c r="J4478" s="67"/>
      <c r="K4478" s="7" t="s">
        <v>1761</v>
      </c>
      <c r="L4478" s="77"/>
      <c r="M4478" s="79"/>
      <c r="N4478" s="1"/>
      <c r="O4478" s="1"/>
      <c r="P4478" s="1"/>
      <c r="Q4478" s="1"/>
      <c r="R4478" s="1"/>
      <c r="S4478" s="1"/>
      <c r="T4478" s="1"/>
      <c r="U4478" s="1"/>
      <c r="V4478" s="1"/>
      <c r="W4478" s="1"/>
      <c r="X4478" s="1"/>
      <c r="Y4478" s="1"/>
      <c r="Z4478" s="1"/>
      <c r="AA4478" s="1"/>
      <c r="AB4478" s="1"/>
      <c r="AC4478" s="1"/>
      <c r="AD4478" s="1"/>
      <c r="AE4478" s="1"/>
      <c r="AF4478" s="1"/>
      <c r="AG4478" s="1"/>
      <c r="AH4478" s="1"/>
    </row>
    <row r="4479" ht="12.75" hidden="1" customHeight="1" outlineLevel="1">
      <c r="A4479" s="17">
        <v>41801.0</v>
      </c>
      <c r="B4479" s="1"/>
      <c r="C4479" s="1" t="s">
        <v>431</v>
      </c>
      <c r="D4479" s="74"/>
      <c r="E4479" s="67"/>
      <c r="F4479" s="75"/>
      <c r="G4479" s="67"/>
      <c r="H4479" s="68"/>
      <c r="I4479" s="76"/>
      <c r="J4479" s="67"/>
      <c r="K4479" s="7" t="s">
        <v>1126</v>
      </c>
      <c r="L4479" s="77"/>
      <c r="M4479" s="79"/>
      <c r="N4479" s="1"/>
      <c r="O4479" s="1"/>
      <c r="P4479" s="1"/>
      <c r="Q4479" s="1"/>
      <c r="R4479" s="1"/>
      <c r="S4479" s="1"/>
      <c r="T4479" s="1"/>
      <c r="U4479" s="1"/>
      <c r="V4479" s="1"/>
      <c r="W4479" s="1"/>
      <c r="X4479" s="1"/>
      <c r="Y4479" s="1"/>
      <c r="Z4479" s="1"/>
      <c r="AA4479" s="1"/>
      <c r="AB4479" s="1"/>
      <c r="AC4479" s="1"/>
      <c r="AD4479" s="1"/>
      <c r="AE4479" s="1"/>
      <c r="AF4479" s="1"/>
      <c r="AG4479" s="1"/>
      <c r="AH4479" s="1"/>
    </row>
    <row r="4480" ht="12.75" hidden="1" customHeight="1" outlineLevel="1">
      <c r="A4480" s="17">
        <v>41801.0</v>
      </c>
      <c r="B4480" s="1"/>
      <c r="C4480" s="1" t="s">
        <v>433</v>
      </c>
      <c r="D4480" s="74"/>
      <c r="E4480" s="67"/>
      <c r="F4480" s="75"/>
      <c r="G4480" s="67"/>
      <c r="H4480" s="68"/>
      <c r="I4480" s="76"/>
      <c r="J4480" s="67"/>
      <c r="K4480" s="7" t="s">
        <v>1103</v>
      </c>
      <c r="L4480" s="77"/>
      <c r="M4480" s="79"/>
      <c r="N4480" s="1"/>
      <c r="O4480" s="1"/>
      <c r="P4480" s="1"/>
      <c r="Q4480" s="1"/>
      <c r="R4480" s="1"/>
      <c r="S4480" s="1"/>
      <c r="T4480" s="1"/>
      <c r="U4480" s="1"/>
      <c r="V4480" s="1"/>
      <c r="W4480" s="1"/>
      <c r="X4480" s="1"/>
      <c r="Y4480" s="1"/>
      <c r="Z4480" s="1"/>
      <c r="AA4480" s="1"/>
      <c r="AB4480" s="1"/>
      <c r="AC4480" s="1"/>
      <c r="AD4480" s="1"/>
      <c r="AE4480" s="1"/>
      <c r="AF4480" s="1"/>
      <c r="AG4480" s="1"/>
      <c r="AH4480" s="1"/>
    </row>
    <row r="4481" ht="12.75" hidden="1" customHeight="1" outlineLevel="1">
      <c r="A4481" s="17">
        <v>41801.0</v>
      </c>
      <c r="B4481" s="1"/>
      <c r="C4481" s="1" t="s">
        <v>435</v>
      </c>
      <c r="D4481" s="74"/>
      <c r="E4481" s="67"/>
      <c r="F4481" s="75"/>
      <c r="G4481" s="67"/>
      <c r="H4481" s="68"/>
      <c r="I4481" s="76"/>
      <c r="J4481" s="67"/>
      <c r="K4481" s="7" t="s">
        <v>1507</v>
      </c>
      <c r="L4481" s="77"/>
      <c r="M4481" s="79"/>
      <c r="N4481" s="1"/>
      <c r="O4481" s="1"/>
      <c r="P4481" s="1"/>
      <c r="Q4481" s="1"/>
      <c r="R4481" s="1"/>
      <c r="S4481" s="1"/>
      <c r="T4481" s="1"/>
      <c r="U4481" s="1"/>
      <c r="V4481" s="1"/>
      <c r="W4481" s="1"/>
      <c r="X4481" s="1"/>
      <c r="Y4481" s="1"/>
      <c r="Z4481" s="1"/>
      <c r="AA4481" s="1"/>
      <c r="AB4481" s="1"/>
      <c r="AC4481" s="1"/>
      <c r="AD4481" s="1"/>
      <c r="AE4481" s="1"/>
      <c r="AF4481" s="1"/>
      <c r="AG4481" s="1"/>
      <c r="AH4481" s="1"/>
    </row>
    <row r="4482" ht="12.75" hidden="1" customHeight="1" outlineLevel="1">
      <c r="A4482" s="17">
        <v>41803.0</v>
      </c>
      <c r="B4482" s="1" t="s">
        <v>343</v>
      </c>
      <c r="C4482" s="1" t="s">
        <v>441</v>
      </c>
      <c r="D4482" s="74">
        <v>10000.0</v>
      </c>
      <c r="E4482" s="67">
        <v>3.632</v>
      </c>
      <c r="F4482" s="75">
        <v>0.545162037037037</v>
      </c>
      <c r="G4482" s="67" t="s">
        <v>453</v>
      </c>
      <c r="H4482" s="68">
        <v>46.7</v>
      </c>
      <c r="I4482" s="76"/>
      <c r="J4482" s="67">
        <f t="shared" ref="J4482:J4493" si="278">IF(B4482="SLD",D4482*E4482,-D4482*E4482)-H4482</f>
        <v>-36366.7</v>
      </c>
      <c r="K4482" s="7"/>
      <c r="L4482" s="70"/>
      <c r="M4482" s="79"/>
      <c r="N4482" s="1"/>
      <c r="O4482" s="1"/>
      <c r="P4482" s="1"/>
      <c r="Q4482" s="1"/>
      <c r="R4482" s="1"/>
      <c r="S4482" s="1"/>
      <c r="T4482" s="1"/>
      <c r="U4482" s="1"/>
      <c r="V4482" s="1"/>
      <c r="W4482" s="1"/>
      <c r="X4482" s="1"/>
      <c r="Y4482" s="1"/>
      <c r="Z4482" s="1"/>
      <c r="AA4482" s="1"/>
      <c r="AB4482" s="1"/>
      <c r="AC4482" s="1"/>
      <c r="AD4482" s="1"/>
      <c r="AE4482" s="1"/>
      <c r="AF4482" s="1"/>
      <c r="AG4482" s="1"/>
      <c r="AH4482" s="1"/>
    </row>
    <row r="4483" ht="12.75" hidden="1" customHeight="1" outlineLevel="1">
      <c r="A4483" s="17">
        <v>41803.0</v>
      </c>
      <c r="B4483" s="1" t="s">
        <v>343</v>
      </c>
      <c r="C4483" s="1" t="s">
        <v>1725</v>
      </c>
      <c r="D4483" s="74">
        <v>5000.0</v>
      </c>
      <c r="E4483" s="67">
        <v>17.262</v>
      </c>
      <c r="F4483" s="75">
        <v>0.5455787037037038</v>
      </c>
      <c r="G4483" s="67" t="s">
        <v>453</v>
      </c>
      <c r="H4483" s="68">
        <v>25.0</v>
      </c>
      <c r="I4483" s="76"/>
      <c r="J4483" s="67">
        <f t="shared" si="278"/>
        <v>-86335</v>
      </c>
      <c r="K4483" s="7"/>
      <c r="L4483" s="70"/>
      <c r="M4483" s="79"/>
      <c r="N4483" s="1"/>
      <c r="O4483" s="1"/>
      <c r="P4483" s="1"/>
      <c r="Q4483" s="1"/>
      <c r="R4483" s="1"/>
      <c r="S4483" s="1"/>
      <c r="T4483" s="1"/>
      <c r="U4483" s="1"/>
      <c r="V4483" s="1"/>
      <c r="W4483" s="1"/>
      <c r="X4483" s="1"/>
      <c r="Y4483" s="1"/>
      <c r="Z4483" s="1"/>
      <c r="AA4483" s="1"/>
      <c r="AB4483" s="1"/>
      <c r="AC4483" s="1"/>
      <c r="AD4483" s="1"/>
      <c r="AE4483" s="1"/>
      <c r="AF4483" s="1"/>
      <c r="AG4483" s="1"/>
      <c r="AH4483" s="1"/>
    </row>
    <row r="4484" ht="12.75" hidden="1" customHeight="1" outlineLevel="1">
      <c r="A4484" s="17">
        <v>41803.0</v>
      </c>
      <c r="B4484" s="1" t="s">
        <v>343</v>
      </c>
      <c r="C4484" s="1" t="s">
        <v>355</v>
      </c>
      <c r="D4484" s="74">
        <v>12000.0</v>
      </c>
      <c r="E4484" s="67">
        <v>5.13</v>
      </c>
      <c r="F4484" s="75">
        <v>0.5466319444444444</v>
      </c>
      <c r="G4484" s="67" t="s">
        <v>453</v>
      </c>
      <c r="H4484" s="68">
        <v>54.73</v>
      </c>
      <c r="I4484" s="76"/>
      <c r="J4484" s="67">
        <f t="shared" si="278"/>
        <v>-61614.73</v>
      </c>
      <c r="K4484" s="7"/>
      <c r="L4484" s="70"/>
      <c r="M4484" s="79"/>
      <c r="N4484" s="1"/>
      <c r="O4484" s="1"/>
      <c r="P4484" s="1"/>
      <c r="Q4484" s="1"/>
      <c r="R4484" s="1"/>
      <c r="S4484" s="1"/>
      <c r="T4484" s="1"/>
      <c r="U4484" s="1"/>
      <c r="V4484" s="1"/>
      <c r="W4484" s="1"/>
      <c r="X4484" s="1"/>
      <c r="Y4484" s="1"/>
      <c r="Z4484" s="1"/>
      <c r="AA4484" s="1"/>
      <c r="AB4484" s="1"/>
      <c r="AC4484" s="1"/>
      <c r="AD4484" s="1"/>
      <c r="AE4484" s="1"/>
      <c r="AF4484" s="1"/>
      <c r="AG4484" s="1"/>
      <c r="AH4484" s="1"/>
    </row>
    <row r="4485" ht="12.75" hidden="1" customHeight="1" outlineLevel="1">
      <c r="A4485" s="17">
        <v>41803.0</v>
      </c>
      <c r="B4485" s="1" t="s">
        <v>343</v>
      </c>
      <c r="C4485" s="1" t="s">
        <v>369</v>
      </c>
      <c r="D4485" s="74">
        <v>15000.0</v>
      </c>
      <c r="E4485" s="67">
        <v>14.077</v>
      </c>
      <c r="F4485" s="75">
        <v>0.5478009259259259</v>
      </c>
      <c r="G4485" s="67" t="s">
        <v>453</v>
      </c>
      <c r="H4485" s="68">
        <v>72.7</v>
      </c>
      <c r="I4485" s="76"/>
      <c r="J4485" s="67">
        <f t="shared" si="278"/>
        <v>-211227.7</v>
      </c>
      <c r="K4485" s="7"/>
      <c r="L4485" s="70"/>
      <c r="M4485" s="79"/>
      <c r="N4485" s="1"/>
      <c r="O4485" s="1"/>
      <c r="P4485" s="1"/>
      <c r="Q4485" s="1"/>
      <c r="R4485" s="1"/>
      <c r="S4485" s="1"/>
      <c r="T4485" s="1"/>
      <c r="U4485" s="1"/>
      <c r="V4485" s="1"/>
      <c r="W4485" s="1"/>
      <c r="X4485" s="1"/>
      <c r="Y4485" s="1"/>
      <c r="Z4485" s="1"/>
      <c r="AA4485" s="1"/>
      <c r="AB4485" s="1"/>
      <c r="AC4485" s="1"/>
      <c r="AD4485" s="1"/>
      <c r="AE4485" s="1"/>
      <c r="AF4485" s="1"/>
      <c r="AG4485" s="1"/>
      <c r="AH4485" s="1"/>
    </row>
    <row r="4486" ht="12.75" hidden="1" customHeight="1" outlineLevel="1">
      <c r="A4486" s="17">
        <v>41803.0</v>
      </c>
      <c r="B4486" s="1" t="s">
        <v>343</v>
      </c>
      <c r="C4486" s="1" t="s">
        <v>784</v>
      </c>
      <c r="D4486" s="74">
        <v>3600.0</v>
      </c>
      <c r="E4486" s="67">
        <v>12.8</v>
      </c>
      <c r="F4486" s="75">
        <v>0.548599537037037</v>
      </c>
      <c r="G4486" s="67" t="s">
        <v>453</v>
      </c>
      <c r="H4486" s="68">
        <v>14.4</v>
      </c>
      <c r="I4486" s="76"/>
      <c r="J4486" s="67">
        <f t="shared" si="278"/>
        <v>-46094.4</v>
      </c>
      <c r="K4486" s="7"/>
      <c r="L4486" s="70"/>
      <c r="M4486" s="79"/>
      <c r="N4486" s="1"/>
      <c r="O4486" s="1"/>
      <c r="P4486" s="1"/>
      <c r="Q4486" s="1"/>
      <c r="R4486" s="1"/>
      <c r="S4486" s="1"/>
      <c r="T4486" s="1"/>
      <c r="U4486" s="1"/>
      <c r="V4486" s="1"/>
      <c r="W4486" s="1"/>
      <c r="X4486" s="1"/>
      <c r="Y4486" s="1"/>
      <c r="Z4486" s="1"/>
      <c r="AA4486" s="1"/>
      <c r="AB4486" s="1"/>
      <c r="AC4486" s="1"/>
      <c r="AD4486" s="1"/>
      <c r="AE4486" s="1"/>
      <c r="AF4486" s="1"/>
      <c r="AG4486" s="1"/>
      <c r="AH4486" s="1"/>
    </row>
    <row r="4487" ht="12.75" hidden="1" customHeight="1" outlineLevel="1">
      <c r="A4487" s="17">
        <v>41803.0</v>
      </c>
      <c r="B4487" s="1" t="s">
        <v>343</v>
      </c>
      <c r="C4487" s="1" t="s">
        <v>1044</v>
      </c>
      <c r="D4487" s="74">
        <v>1700.0</v>
      </c>
      <c r="E4487" s="67">
        <v>23.82</v>
      </c>
      <c r="F4487" s="75">
        <v>0.5489583333333333</v>
      </c>
      <c r="G4487" s="67" t="s">
        <v>453</v>
      </c>
      <c r="H4487" s="68">
        <v>7.7</v>
      </c>
      <c r="I4487" s="76"/>
      <c r="J4487" s="67">
        <f t="shared" si="278"/>
        <v>-40501.7</v>
      </c>
      <c r="K4487" s="7"/>
      <c r="L4487" s="70"/>
      <c r="M4487" s="79"/>
      <c r="N4487" s="1"/>
      <c r="O4487" s="1"/>
      <c r="P4487" s="1"/>
      <c r="Q4487" s="1"/>
      <c r="R4487" s="1"/>
      <c r="S4487" s="1"/>
      <c r="T4487" s="1"/>
      <c r="U4487" s="1"/>
      <c r="V4487" s="1"/>
      <c r="W4487" s="1"/>
      <c r="X4487" s="1"/>
      <c r="Y4487" s="1"/>
      <c r="Z4487" s="1"/>
      <c r="AA4487" s="1"/>
      <c r="AB4487" s="1"/>
      <c r="AC4487" s="1"/>
      <c r="AD4487" s="1"/>
      <c r="AE4487" s="1"/>
      <c r="AF4487" s="1"/>
      <c r="AG4487" s="1"/>
      <c r="AH4487" s="1"/>
    </row>
    <row r="4488" ht="12.75" hidden="1" customHeight="1" outlineLevel="1">
      <c r="A4488" s="17">
        <v>41803.0</v>
      </c>
      <c r="B4488" s="1" t="s">
        <v>347</v>
      </c>
      <c r="C4488" s="1" t="s">
        <v>354</v>
      </c>
      <c r="D4488" s="74">
        <v>200.0</v>
      </c>
      <c r="E4488" s="67">
        <v>111.3</v>
      </c>
      <c r="F4488" s="75">
        <v>0.5505439814814815</v>
      </c>
      <c r="G4488" s="67" t="s">
        <v>453</v>
      </c>
      <c r="H4488" s="68">
        <v>1.49</v>
      </c>
      <c r="I4488" s="76"/>
      <c r="J4488" s="67">
        <f t="shared" si="278"/>
        <v>22258.51</v>
      </c>
      <c r="K4488" s="7"/>
      <c r="L4488" s="70"/>
      <c r="M4488" s="79"/>
      <c r="N4488" s="1"/>
      <c r="O4488" s="1"/>
      <c r="P4488" s="1"/>
      <c r="Q4488" s="1"/>
      <c r="R4488" s="1"/>
      <c r="S4488" s="1"/>
      <c r="T4488" s="1"/>
      <c r="U4488" s="1"/>
      <c r="V4488" s="1"/>
      <c r="W4488" s="1"/>
      <c r="X4488" s="1"/>
      <c r="Y4488" s="1"/>
      <c r="Z4488" s="1"/>
      <c r="AA4488" s="1"/>
      <c r="AB4488" s="1"/>
      <c r="AC4488" s="1"/>
      <c r="AD4488" s="1"/>
      <c r="AE4488" s="1"/>
      <c r="AF4488" s="1"/>
      <c r="AG4488" s="1"/>
      <c r="AH4488" s="1"/>
    </row>
    <row r="4489" ht="12.75" hidden="1" customHeight="1" outlineLevel="1">
      <c r="A4489" s="17">
        <v>41803.0</v>
      </c>
      <c r="B4489" s="1" t="s">
        <v>347</v>
      </c>
      <c r="C4489" s="1" t="s">
        <v>1371</v>
      </c>
      <c r="D4489" s="74">
        <v>300.0</v>
      </c>
      <c r="E4489" s="67">
        <v>36.19</v>
      </c>
      <c r="F4489" s="75">
        <v>0.5510069444444444</v>
      </c>
      <c r="G4489" s="67" t="s">
        <v>453</v>
      </c>
      <c r="H4489" s="68">
        <v>1.74</v>
      </c>
      <c r="I4489" s="76"/>
      <c r="J4489" s="67">
        <f t="shared" si="278"/>
        <v>10855.26</v>
      </c>
      <c r="K4489" s="7"/>
      <c r="L4489" s="70"/>
      <c r="M4489" s="79"/>
      <c r="N4489" s="1"/>
      <c r="O4489" s="1"/>
      <c r="P4489" s="1"/>
      <c r="Q4489" s="1"/>
      <c r="R4489" s="1"/>
      <c r="S4489" s="1"/>
      <c r="T4489" s="1"/>
      <c r="U4489" s="1"/>
      <c r="V4489" s="1"/>
      <c r="W4489" s="1"/>
      <c r="X4489" s="1"/>
      <c r="Y4489" s="1"/>
      <c r="Z4489" s="1"/>
      <c r="AA4489" s="1"/>
      <c r="AB4489" s="1"/>
      <c r="AC4489" s="1"/>
      <c r="AD4489" s="1"/>
      <c r="AE4489" s="1"/>
      <c r="AF4489" s="1"/>
      <c r="AG4489" s="1"/>
      <c r="AH4489" s="1"/>
    </row>
    <row r="4490" ht="12.75" hidden="1" customHeight="1" outlineLevel="1">
      <c r="A4490" s="17">
        <v>41803.0</v>
      </c>
      <c r="B4490" s="1" t="s">
        <v>347</v>
      </c>
      <c r="C4490" s="1" t="s">
        <v>1060</v>
      </c>
      <c r="D4490" s="74">
        <v>200.0</v>
      </c>
      <c r="E4490" s="67">
        <v>36.39</v>
      </c>
      <c r="F4490" s="75">
        <v>0.5524537037037037</v>
      </c>
      <c r="G4490" s="67" t="s">
        <v>453</v>
      </c>
      <c r="H4490" s="68">
        <v>1.16</v>
      </c>
      <c r="I4490" s="76"/>
      <c r="J4490" s="67">
        <f t="shared" si="278"/>
        <v>7276.84</v>
      </c>
      <c r="K4490" s="7"/>
      <c r="L4490" s="70"/>
      <c r="M4490" s="79"/>
      <c r="N4490" s="1"/>
      <c r="O4490" s="1"/>
      <c r="P4490" s="1"/>
      <c r="Q4490" s="1"/>
      <c r="R4490" s="1"/>
      <c r="S4490" s="1"/>
      <c r="T4490" s="1"/>
      <c r="U4490" s="1"/>
      <c r="V4490" s="1"/>
      <c r="W4490" s="1"/>
      <c r="X4490" s="1"/>
      <c r="Y4490" s="1"/>
      <c r="Z4490" s="1"/>
      <c r="AA4490" s="1"/>
      <c r="AB4490" s="1"/>
      <c r="AC4490" s="1"/>
      <c r="AD4490" s="1"/>
      <c r="AE4490" s="1"/>
      <c r="AF4490" s="1"/>
      <c r="AG4490" s="1"/>
      <c r="AH4490" s="1"/>
    </row>
    <row r="4491" ht="12.75" hidden="1" customHeight="1" outlineLevel="1">
      <c r="A4491" s="17">
        <v>41803.0</v>
      </c>
      <c r="B4491" s="1" t="s">
        <v>347</v>
      </c>
      <c r="C4491" s="1" t="s">
        <v>1185</v>
      </c>
      <c r="D4491" s="74">
        <v>25.0</v>
      </c>
      <c r="E4491" s="67">
        <v>283.44</v>
      </c>
      <c r="F4491" s="75">
        <v>0.5539236111111111</v>
      </c>
      <c r="G4491" s="67" t="s">
        <v>453</v>
      </c>
      <c r="H4491" s="68">
        <v>1.16</v>
      </c>
      <c r="I4491" s="76"/>
      <c r="J4491" s="67">
        <f t="shared" si="278"/>
        <v>7084.84</v>
      </c>
      <c r="K4491" s="7"/>
      <c r="L4491" s="70"/>
      <c r="M4491" s="79"/>
      <c r="N4491" s="1"/>
      <c r="O4491" s="1"/>
      <c r="P4491" s="1"/>
      <c r="Q4491" s="1"/>
      <c r="R4491" s="1"/>
      <c r="S4491" s="1"/>
      <c r="T4491" s="1"/>
      <c r="U4491" s="1"/>
      <c r="V4491" s="1"/>
      <c r="W4491" s="1"/>
      <c r="X4491" s="1"/>
      <c r="Y4491" s="1"/>
      <c r="Z4491" s="1"/>
      <c r="AA4491" s="1"/>
      <c r="AB4491" s="1"/>
      <c r="AC4491" s="1"/>
      <c r="AD4491" s="1"/>
      <c r="AE4491" s="1"/>
      <c r="AF4491" s="1"/>
      <c r="AG4491" s="1"/>
      <c r="AH4491" s="1"/>
    </row>
    <row r="4492" ht="12.75" hidden="1" customHeight="1" outlineLevel="1">
      <c r="A4492" s="17">
        <v>41803.0</v>
      </c>
      <c r="B4492" s="1" t="s">
        <v>347</v>
      </c>
      <c r="C4492" s="1" t="s">
        <v>1357</v>
      </c>
      <c r="D4492" s="74">
        <v>225.0</v>
      </c>
      <c r="E4492" s="67">
        <v>37.39</v>
      </c>
      <c r="F4492" s="75">
        <v>0.5555671296296296</v>
      </c>
      <c r="G4492" s="67" t="s">
        <v>453</v>
      </c>
      <c r="H4492" s="68">
        <v>1.19</v>
      </c>
      <c r="I4492" s="76"/>
      <c r="J4492" s="67">
        <f t="shared" si="278"/>
        <v>8411.56</v>
      </c>
      <c r="K4492" s="7"/>
      <c r="L4492" s="70"/>
      <c r="M4492" s="79"/>
      <c r="N4492" s="1"/>
      <c r="O4492" s="1"/>
      <c r="P4492" s="1"/>
      <c r="Q4492" s="1"/>
      <c r="R4492" s="1"/>
      <c r="S4492" s="1"/>
      <c r="T4492" s="1"/>
      <c r="U4492" s="1"/>
      <c r="V4492" s="1"/>
      <c r="W4492" s="1"/>
      <c r="X4492" s="1"/>
      <c r="Y4492" s="1"/>
      <c r="Z4492" s="1"/>
      <c r="AA4492" s="1"/>
      <c r="AB4492" s="1"/>
      <c r="AC4492" s="1"/>
      <c r="AD4492" s="1"/>
      <c r="AE4492" s="1"/>
      <c r="AF4492" s="1"/>
      <c r="AG4492" s="1"/>
      <c r="AH4492" s="1"/>
    </row>
    <row r="4493" ht="12.75" hidden="1" customHeight="1" outlineLevel="1">
      <c r="A4493" s="17">
        <v>41803.0</v>
      </c>
      <c r="B4493" s="1" t="s">
        <v>347</v>
      </c>
      <c r="C4493" s="1" t="s">
        <v>1766</v>
      </c>
      <c r="D4493" s="74">
        <v>500.0</v>
      </c>
      <c r="E4493" s="67">
        <v>70.09</v>
      </c>
      <c r="F4493" s="75">
        <v>0.5596643518518518</v>
      </c>
      <c r="G4493" s="67" t="s">
        <v>453</v>
      </c>
      <c r="H4493" s="68">
        <v>2.77</v>
      </c>
      <c r="I4493" s="76"/>
      <c r="J4493" s="67">
        <f t="shared" si="278"/>
        <v>35042.23</v>
      </c>
      <c r="K4493" s="7"/>
      <c r="L4493" s="70"/>
      <c r="M4493" s="79"/>
      <c r="N4493" s="1"/>
      <c r="O4493" s="1"/>
      <c r="P4493" s="1"/>
      <c r="Q4493" s="1"/>
      <c r="R4493" s="1"/>
      <c r="S4493" s="1"/>
      <c r="T4493" s="1"/>
      <c r="U4493" s="1"/>
      <c r="V4493" s="1"/>
      <c r="W4493" s="1"/>
      <c r="X4493" s="1"/>
      <c r="Y4493" s="1"/>
      <c r="Z4493" s="1"/>
      <c r="AA4493" s="1"/>
      <c r="AB4493" s="1"/>
      <c r="AC4493" s="1"/>
      <c r="AD4493" s="1"/>
      <c r="AE4493" s="1"/>
      <c r="AF4493" s="1"/>
      <c r="AG4493" s="1"/>
      <c r="AH4493" s="1"/>
    </row>
    <row r="4494" ht="12.75" hidden="1" customHeight="1" outlineLevel="1">
      <c r="A4494" s="17">
        <v>41803.0</v>
      </c>
      <c r="B4494" s="1"/>
      <c r="C4494" s="1" t="s">
        <v>339</v>
      </c>
      <c r="D4494" s="74"/>
      <c r="E4494" s="67"/>
      <c r="F4494" s="75"/>
      <c r="G4494" s="67"/>
      <c r="H4494" s="68"/>
      <c r="I4494" s="76"/>
      <c r="J4494" s="67"/>
      <c r="K4494" s="7" t="s">
        <v>1842</v>
      </c>
      <c r="L4494" s="77"/>
      <c r="M4494" s="79"/>
      <c r="N4494" s="1"/>
      <c r="O4494" s="1"/>
      <c r="P4494" s="1"/>
      <c r="Q4494" s="1"/>
      <c r="R4494" s="1"/>
      <c r="S4494" s="1"/>
      <c r="T4494" s="1"/>
      <c r="U4494" s="1"/>
      <c r="V4494" s="1"/>
      <c r="W4494" s="1"/>
      <c r="X4494" s="1"/>
      <c r="Y4494" s="1"/>
      <c r="Z4494" s="1"/>
      <c r="AA4494" s="1"/>
      <c r="AB4494" s="1"/>
      <c r="AC4494" s="1"/>
      <c r="AD4494" s="1"/>
      <c r="AE4494" s="1"/>
      <c r="AF4494" s="1"/>
      <c r="AG4494" s="1"/>
      <c r="AH4494" s="1"/>
    </row>
    <row r="4495" ht="12.75" hidden="1" customHeight="1" outlineLevel="1">
      <c r="A4495" s="17">
        <v>41803.0</v>
      </c>
      <c r="B4495" s="1"/>
      <c r="C4495" s="1" t="s">
        <v>429</v>
      </c>
      <c r="D4495" s="74"/>
      <c r="E4495" s="67"/>
      <c r="F4495" s="75"/>
      <c r="G4495" s="67"/>
      <c r="H4495" s="68"/>
      <c r="I4495" s="76"/>
      <c r="J4495" s="67"/>
      <c r="K4495" s="7" t="s">
        <v>1761</v>
      </c>
      <c r="L4495" s="77"/>
      <c r="M4495" s="79"/>
      <c r="N4495" s="1"/>
      <c r="O4495" s="1"/>
      <c r="P4495" s="1"/>
      <c r="Q4495" s="1"/>
      <c r="R4495" s="1"/>
      <c r="S4495" s="1"/>
      <c r="T4495" s="1"/>
      <c r="U4495" s="1"/>
      <c r="V4495" s="1"/>
      <c r="W4495" s="1"/>
      <c r="X4495" s="1"/>
      <c r="Y4495" s="1"/>
      <c r="Z4495" s="1"/>
      <c r="AA4495" s="1"/>
      <c r="AB4495" s="1"/>
      <c r="AC4495" s="1"/>
      <c r="AD4495" s="1"/>
      <c r="AE4495" s="1"/>
      <c r="AF4495" s="1"/>
      <c r="AG4495" s="1"/>
      <c r="AH4495" s="1"/>
    </row>
    <row r="4496" ht="12.75" hidden="1" customHeight="1" outlineLevel="1">
      <c r="A4496" s="17">
        <v>41803.0</v>
      </c>
      <c r="B4496" s="1"/>
      <c r="C4496" s="1" t="s">
        <v>431</v>
      </c>
      <c r="D4496" s="74"/>
      <c r="E4496" s="67"/>
      <c r="F4496" s="75"/>
      <c r="G4496" s="67"/>
      <c r="H4496" s="68"/>
      <c r="I4496" s="76"/>
      <c r="J4496" s="67"/>
      <c r="K4496" s="7" t="s">
        <v>1126</v>
      </c>
      <c r="L4496" s="77"/>
      <c r="M4496" s="79"/>
      <c r="N4496" s="1"/>
      <c r="O4496" s="1"/>
      <c r="P4496" s="1"/>
      <c r="Q4496" s="1"/>
      <c r="R4496" s="1"/>
      <c r="S4496" s="1"/>
      <c r="T4496" s="1"/>
      <c r="U4496" s="1"/>
      <c r="V4496" s="1"/>
      <c r="W4496" s="1"/>
      <c r="X4496" s="1"/>
      <c r="Y4496" s="1"/>
      <c r="Z4496" s="1"/>
      <c r="AA4496" s="1"/>
      <c r="AB4496" s="1"/>
      <c r="AC4496" s="1"/>
      <c r="AD4496" s="1"/>
      <c r="AE4496" s="1"/>
      <c r="AF4496" s="1"/>
      <c r="AG4496" s="1"/>
      <c r="AH4496" s="1"/>
    </row>
    <row r="4497" ht="12.75" hidden="1" customHeight="1" outlineLevel="1">
      <c r="A4497" s="17">
        <v>41803.0</v>
      </c>
      <c r="B4497" s="1"/>
      <c r="C4497" s="1" t="s">
        <v>433</v>
      </c>
      <c r="D4497" s="74"/>
      <c r="E4497" s="67"/>
      <c r="F4497" s="75"/>
      <c r="G4497" s="67"/>
      <c r="H4497" s="68"/>
      <c r="I4497" s="76"/>
      <c r="J4497" s="67"/>
      <c r="K4497" s="7" t="s">
        <v>1103</v>
      </c>
      <c r="L4497" s="77"/>
      <c r="M4497" s="79"/>
      <c r="N4497" s="1"/>
      <c r="O4497" s="1"/>
      <c r="P4497" s="1"/>
      <c r="Q4497" s="1"/>
      <c r="R4497" s="1"/>
      <c r="S4497" s="1"/>
      <c r="T4497" s="1"/>
      <c r="U4497" s="1"/>
      <c r="V4497" s="1"/>
      <c r="W4497" s="1"/>
      <c r="X4497" s="1"/>
      <c r="Y4497" s="1"/>
      <c r="Z4497" s="1"/>
      <c r="AA4497" s="1"/>
      <c r="AB4497" s="1"/>
      <c r="AC4497" s="1"/>
      <c r="AD4497" s="1"/>
      <c r="AE4497" s="1"/>
      <c r="AF4497" s="1"/>
      <c r="AG4497" s="1"/>
      <c r="AH4497" s="1"/>
    </row>
    <row r="4498" ht="12.75" hidden="1" customHeight="1" outlineLevel="1">
      <c r="A4498" s="17">
        <v>41803.0</v>
      </c>
      <c r="B4498" s="1"/>
      <c r="C4498" s="1" t="s">
        <v>435</v>
      </c>
      <c r="D4498" s="74"/>
      <c r="E4498" s="67"/>
      <c r="F4498" s="75"/>
      <c r="G4498" s="67"/>
      <c r="H4498" s="68"/>
      <c r="I4498" s="76"/>
      <c r="J4498" s="67"/>
      <c r="K4498" s="7" t="s">
        <v>1507</v>
      </c>
      <c r="L4498" s="77"/>
      <c r="M4498" s="79"/>
      <c r="N4498" s="1"/>
      <c r="O4498" s="1"/>
      <c r="P4498" s="1"/>
      <c r="Q4498" s="1"/>
      <c r="R4498" s="1"/>
      <c r="S4498" s="1"/>
      <c r="T4498" s="1"/>
      <c r="U4498" s="1"/>
      <c r="V4498" s="1"/>
      <c r="W4498" s="1"/>
      <c r="X4498" s="1"/>
      <c r="Y4498" s="1"/>
      <c r="Z4498" s="1"/>
      <c r="AA4498" s="1"/>
      <c r="AB4498" s="1"/>
      <c r="AC4498" s="1"/>
      <c r="AD4498" s="1"/>
      <c r="AE4498" s="1"/>
      <c r="AF4498" s="1"/>
      <c r="AG4498" s="1"/>
      <c r="AH4498" s="1"/>
    </row>
    <row r="4499" ht="12.75" hidden="1" customHeight="1" outlineLevel="1">
      <c r="A4499" s="17">
        <v>41806.0</v>
      </c>
      <c r="B4499" s="1" t="s">
        <v>347</v>
      </c>
      <c r="C4499" s="1" t="s">
        <v>369</v>
      </c>
      <c r="D4499" s="74">
        <v>15000.0</v>
      </c>
      <c r="E4499" s="67">
        <v>13.834</v>
      </c>
      <c r="F4499" s="75">
        <v>0.4330092592592593</v>
      </c>
      <c r="G4499" s="67" t="s">
        <v>453</v>
      </c>
      <c r="H4499" s="68">
        <v>66.69</v>
      </c>
      <c r="I4499" s="76"/>
      <c r="J4499" s="67">
        <f t="shared" ref="J4499:J4507" si="279">IF(B4499="SLD",D4499*E4499,-D4499*E4499)-H4499</f>
        <v>207443.31</v>
      </c>
      <c r="K4499" s="7"/>
      <c r="L4499" s="70"/>
      <c r="M4499" s="79"/>
      <c r="N4499" s="1"/>
      <c r="O4499" s="1"/>
      <c r="P4499" s="1"/>
      <c r="Q4499" s="1"/>
      <c r="R4499" s="1"/>
      <c r="S4499" s="1"/>
      <c r="T4499" s="1"/>
      <c r="U4499" s="1"/>
      <c r="V4499" s="1"/>
      <c r="W4499" s="1"/>
      <c r="X4499" s="1"/>
      <c r="Y4499" s="1"/>
      <c r="Z4499" s="1"/>
      <c r="AA4499" s="1"/>
      <c r="AB4499" s="1"/>
      <c r="AC4499" s="1"/>
      <c r="AD4499" s="1"/>
      <c r="AE4499" s="1"/>
      <c r="AF4499" s="1"/>
      <c r="AG4499" s="1"/>
      <c r="AH4499" s="1"/>
    </row>
    <row r="4500" ht="12.75" hidden="1" customHeight="1" outlineLevel="1">
      <c r="A4500" s="17">
        <v>41806.0</v>
      </c>
      <c r="B4500" s="1" t="s">
        <v>347</v>
      </c>
      <c r="C4500" s="1" t="s">
        <v>784</v>
      </c>
      <c r="D4500" s="74">
        <v>5000.0</v>
      </c>
      <c r="E4500" s="67">
        <v>12.66</v>
      </c>
      <c r="F4500" s="75">
        <v>0.43424768518518514</v>
      </c>
      <c r="G4500" s="67" t="s">
        <v>453</v>
      </c>
      <c r="H4500" s="68">
        <v>21.4</v>
      </c>
      <c r="I4500" s="76"/>
      <c r="J4500" s="67">
        <f t="shared" si="279"/>
        <v>63278.6</v>
      </c>
      <c r="K4500" s="7"/>
      <c r="L4500" s="70"/>
      <c r="M4500" s="79"/>
      <c r="N4500" s="1"/>
      <c r="O4500" s="1"/>
      <c r="P4500" s="1"/>
      <c r="Q4500" s="1"/>
      <c r="R4500" s="1"/>
      <c r="S4500" s="1"/>
      <c r="T4500" s="1"/>
      <c r="U4500" s="1"/>
      <c r="V4500" s="1"/>
      <c r="W4500" s="1"/>
      <c r="X4500" s="1"/>
      <c r="Y4500" s="1"/>
      <c r="Z4500" s="1"/>
      <c r="AA4500" s="1"/>
      <c r="AB4500" s="1"/>
      <c r="AC4500" s="1"/>
      <c r="AD4500" s="1"/>
      <c r="AE4500" s="1"/>
      <c r="AF4500" s="1"/>
      <c r="AG4500" s="1"/>
      <c r="AH4500" s="1"/>
    </row>
    <row r="4501" ht="12.75" hidden="1" customHeight="1" outlineLevel="1">
      <c r="A4501" s="17">
        <v>41806.0</v>
      </c>
      <c r="B4501" s="1" t="s">
        <v>347</v>
      </c>
      <c r="C4501" s="1" t="s">
        <v>355</v>
      </c>
      <c r="D4501" s="74">
        <v>13000.0</v>
      </c>
      <c r="E4501" s="67">
        <v>5.057</v>
      </c>
      <c r="F4501" s="75">
        <v>0.43493055555555554</v>
      </c>
      <c r="G4501" s="67" t="s">
        <v>453</v>
      </c>
      <c r="H4501" s="68">
        <v>63.15</v>
      </c>
      <c r="I4501" s="76"/>
      <c r="J4501" s="67">
        <f t="shared" si="279"/>
        <v>65677.85</v>
      </c>
      <c r="K4501" s="7"/>
      <c r="L4501" s="70"/>
      <c r="M4501" s="79"/>
      <c r="N4501" s="1"/>
      <c r="O4501" s="1"/>
      <c r="P4501" s="1"/>
      <c r="Q4501" s="1"/>
      <c r="R4501" s="1"/>
      <c r="S4501" s="1"/>
      <c r="T4501" s="1"/>
      <c r="U4501" s="1"/>
      <c r="V4501" s="1"/>
      <c r="W4501" s="1"/>
      <c r="X4501" s="1"/>
      <c r="Y4501" s="1"/>
      <c r="Z4501" s="1"/>
      <c r="AA4501" s="1"/>
      <c r="AB4501" s="1"/>
      <c r="AC4501" s="1"/>
      <c r="AD4501" s="1"/>
      <c r="AE4501" s="1"/>
      <c r="AF4501" s="1"/>
      <c r="AG4501" s="1"/>
      <c r="AH4501" s="1"/>
    </row>
    <row r="4502" ht="12.75" hidden="1" customHeight="1" outlineLevel="1">
      <c r="A4502" s="17">
        <v>41806.0</v>
      </c>
      <c r="B4502" s="1" t="s">
        <v>347</v>
      </c>
      <c r="C4502" s="1" t="s">
        <v>441</v>
      </c>
      <c r="D4502" s="74">
        <v>10000.0</v>
      </c>
      <c r="E4502" s="67">
        <v>3.63</v>
      </c>
      <c r="F4502" s="75">
        <v>0.4513773148148148</v>
      </c>
      <c r="G4502" s="67" t="s">
        <v>453</v>
      </c>
      <c r="H4502" s="68">
        <v>49.9</v>
      </c>
      <c r="I4502" s="76"/>
      <c r="J4502" s="67">
        <f t="shared" si="279"/>
        <v>36250.1</v>
      </c>
      <c r="K4502" s="7"/>
      <c r="L4502" s="70"/>
      <c r="M4502" s="79"/>
      <c r="N4502" s="1"/>
      <c r="O4502" s="1"/>
      <c r="P4502" s="1"/>
      <c r="Q4502" s="1"/>
      <c r="R4502" s="1"/>
      <c r="S4502" s="1"/>
      <c r="T4502" s="1"/>
      <c r="U4502" s="1"/>
      <c r="V4502" s="1"/>
      <c r="W4502" s="1"/>
      <c r="X4502" s="1"/>
      <c r="Y4502" s="1"/>
      <c r="Z4502" s="1"/>
      <c r="AA4502" s="1"/>
      <c r="AB4502" s="1"/>
      <c r="AC4502" s="1"/>
      <c r="AD4502" s="1"/>
      <c r="AE4502" s="1"/>
      <c r="AF4502" s="1"/>
      <c r="AG4502" s="1"/>
      <c r="AH4502" s="1"/>
    </row>
    <row r="4503" ht="12.75" hidden="1" customHeight="1" outlineLevel="1">
      <c r="A4503" s="17">
        <v>41806.0</v>
      </c>
      <c r="B4503" s="1" t="s">
        <v>347</v>
      </c>
      <c r="C4503" s="1" t="s">
        <v>355</v>
      </c>
      <c r="D4503" s="74">
        <v>7000.0</v>
      </c>
      <c r="E4503" s="67">
        <v>4.94</v>
      </c>
      <c r="F4503" s="75">
        <v>0.46565972222222224</v>
      </c>
      <c r="G4503" s="67" t="s">
        <v>453</v>
      </c>
      <c r="H4503" s="68">
        <v>29.06</v>
      </c>
      <c r="I4503" s="76"/>
      <c r="J4503" s="67">
        <f t="shared" si="279"/>
        <v>34550.94</v>
      </c>
      <c r="K4503" s="7"/>
      <c r="L4503" s="70"/>
      <c r="M4503" s="79"/>
      <c r="N4503" s="1"/>
      <c r="O4503" s="1"/>
      <c r="P4503" s="1"/>
      <c r="Q4503" s="1"/>
      <c r="R4503" s="1"/>
      <c r="S4503" s="1"/>
      <c r="T4503" s="1"/>
      <c r="U4503" s="1"/>
      <c r="V4503" s="1"/>
      <c r="W4503" s="1"/>
      <c r="X4503" s="1"/>
      <c r="Y4503" s="1"/>
      <c r="Z4503" s="1"/>
      <c r="AA4503" s="1"/>
      <c r="AB4503" s="1"/>
      <c r="AC4503" s="1"/>
      <c r="AD4503" s="1"/>
      <c r="AE4503" s="1"/>
      <c r="AF4503" s="1"/>
      <c r="AG4503" s="1"/>
      <c r="AH4503" s="1"/>
    </row>
    <row r="4504" ht="12.75" hidden="1" customHeight="1" outlineLevel="1">
      <c r="A4504" s="17">
        <v>41806.0</v>
      </c>
      <c r="B4504" s="1" t="s">
        <v>347</v>
      </c>
      <c r="C4504" s="1" t="s">
        <v>1725</v>
      </c>
      <c r="D4504" s="74">
        <v>5000.0</v>
      </c>
      <c r="E4504" s="67">
        <v>17.04</v>
      </c>
      <c r="F4504" s="75">
        <v>0.6098842592592593</v>
      </c>
      <c r="G4504" s="67" t="s">
        <v>453</v>
      </c>
      <c r="H4504" s="68">
        <v>24.68</v>
      </c>
      <c r="I4504" s="76"/>
      <c r="J4504" s="67">
        <f t="shared" si="279"/>
        <v>85175.32</v>
      </c>
      <c r="K4504" s="7"/>
      <c r="L4504" s="70"/>
      <c r="M4504" s="79"/>
      <c r="N4504" s="1"/>
      <c r="O4504" s="1"/>
      <c r="P4504" s="1"/>
      <c r="Q4504" s="1"/>
      <c r="R4504" s="1"/>
      <c r="S4504" s="1"/>
      <c r="T4504" s="1"/>
      <c r="U4504" s="1"/>
      <c r="V4504" s="1"/>
      <c r="W4504" s="1"/>
      <c r="X4504" s="1"/>
      <c r="Y4504" s="1"/>
      <c r="Z4504" s="1"/>
      <c r="AA4504" s="1"/>
      <c r="AB4504" s="1"/>
      <c r="AC4504" s="1"/>
      <c r="AD4504" s="1"/>
      <c r="AE4504" s="1"/>
      <c r="AF4504" s="1"/>
      <c r="AG4504" s="1"/>
      <c r="AH4504" s="1"/>
    </row>
    <row r="4505" ht="12.75" hidden="1" customHeight="1" outlineLevel="1">
      <c r="A4505" s="17">
        <v>41806.0</v>
      </c>
      <c r="B4505" s="1" t="s">
        <v>343</v>
      </c>
      <c r="C4505" s="1" t="s">
        <v>354</v>
      </c>
      <c r="D4505" s="74">
        <v>300.0</v>
      </c>
      <c r="E4505" s="67">
        <v>118.86</v>
      </c>
      <c r="F4505" s="75">
        <v>0.6111574074074074</v>
      </c>
      <c r="G4505" s="67" t="s">
        <v>453</v>
      </c>
      <c r="H4505" s="68">
        <v>1.2</v>
      </c>
      <c r="I4505" s="76"/>
      <c r="J4505" s="67">
        <f t="shared" si="279"/>
        <v>-35659.2</v>
      </c>
      <c r="K4505" s="7"/>
      <c r="L4505" s="70"/>
      <c r="M4505" s="79"/>
      <c r="N4505" s="1"/>
      <c r="O4505" s="1"/>
      <c r="P4505" s="1"/>
      <c r="Q4505" s="1"/>
      <c r="R4505" s="1"/>
      <c r="S4505" s="1"/>
      <c r="T4505" s="1"/>
      <c r="U4505" s="1"/>
      <c r="V4505" s="1"/>
      <c r="W4505" s="1"/>
      <c r="X4505" s="1"/>
      <c r="Y4505" s="1"/>
      <c r="Z4505" s="1"/>
      <c r="AA4505" s="1"/>
      <c r="AB4505" s="1"/>
      <c r="AC4505" s="1"/>
      <c r="AD4505" s="1"/>
      <c r="AE4505" s="1"/>
      <c r="AF4505" s="1"/>
      <c r="AG4505" s="1"/>
      <c r="AH4505" s="1"/>
    </row>
    <row r="4506" ht="12.75" hidden="1" customHeight="1" outlineLevel="1">
      <c r="A4506" s="17">
        <v>41806.0</v>
      </c>
      <c r="B4506" s="1" t="s">
        <v>343</v>
      </c>
      <c r="C4506" s="1" t="s">
        <v>1371</v>
      </c>
      <c r="D4506" s="74">
        <v>700.0</v>
      </c>
      <c r="E4506" s="67">
        <v>36.57</v>
      </c>
      <c r="F4506" s="75">
        <v>0.6119097222222222</v>
      </c>
      <c r="G4506" s="67" t="s">
        <v>453</v>
      </c>
      <c r="H4506" s="68">
        <v>2.8</v>
      </c>
      <c r="I4506" s="76"/>
      <c r="J4506" s="67">
        <f t="shared" si="279"/>
        <v>-25601.8</v>
      </c>
      <c r="K4506" s="7"/>
      <c r="L4506" s="70"/>
      <c r="M4506" s="79"/>
      <c r="N4506" s="1"/>
      <c r="O4506" s="1"/>
      <c r="P4506" s="1"/>
      <c r="Q4506" s="1"/>
      <c r="R4506" s="1"/>
      <c r="S4506" s="1"/>
      <c r="T4506" s="1"/>
      <c r="U4506" s="1"/>
      <c r="V4506" s="1"/>
      <c r="W4506" s="1"/>
      <c r="X4506" s="1"/>
      <c r="Y4506" s="1"/>
      <c r="Z4506" s="1"/>
      <c r="AA4506" s="1"/>
      <c r="AB4506" s="1"/>
      <c r="AC4506" s="1"/>
      <c r="AD4506" s="1"/>
      <c r="AE4506" s="1"/>
      <c r="AF4506" s="1"/>
      <c r="AG4506" s="1"/>
      <c r="AH4506" s="1"/>
    </row>
    <row r="4507" ht="12.75" hidden="1" customHeight="1" outlineLevel="1">
      <c r="A4507" s="17">
        <v>41806.0</v>
      </c>
      <c r="B4507" s="1" t="s">
        <v>347</v>
      </c>
      <c r="C4507" s="1" t="s">
        <v>1044</v>
      </c>
      <c r="D4507" s="74">
        <v>2000.0</v>
      </c>
      <c r="E4507" s="67">
        <v>24.09</v>
      </c>
      <c r="F4507" s="75">
        <v>0.6126273148148148</v>
      </c>
      <c r="G4507" s="67" t="s">
        <v>453</v>
      </c>
      <c r="H4507" s="68">
        <v>9.86</v>
      </c>
      <c r="I4507" s="76"/>
      <c r="J4507" s="67">
        <f t="shared" si="279"/>
        <v>48170.14</v>
      </c>
      <c r="K4507" s="7"/>
      <c r="L4507" s="70"/>
      <c r="M4507" s="79"/>
      <c r="N4507" s="1"/>
      <c r="O4507" s="1"/>
      <c r="P4507" s="1"/>
      <c r="Q4507" s="1"/>
      <c r="R4507" s="1"/>
      <c r="S4507" s="1"/>
      <c r="T4507" s="1"/>
      <c r="U4507" s="1"/>
      <c r="V4507" s="1"/>
      <c r="W4507" s="1"/>
      <c r="X4507" s="1"/>
      <c r="Y4507" s="1"/>
      <c r="Z4507" s="1"/>
      <c r="AA4507" s="1"/>
      <c r="AB4507" s="1"/>
      <c r="AC4507" s="1"/>
      <c r="AD4507" s="1"/>
      <c r="AE4507" s="1"/>
      <c r="AF4507" s="1"/>
      <c r="AG4507" s="1"/>
      <c r="AH4507" s="1"/>
    </row>
    <row r="4508" ht="12.75" hidden="1" customHeight="1" outlineLevel="1">
      <c r="A4508" s="17">
        <v>41806.0</v>
      </c>
      <c r="B4508" s="1"/>
      <c r="C4508" s="1" t="s">
        <v>339</v>
      </c>
      <c r="D4508" s="74"/>
      <c r="E4508" s="67"/>
      <c r="F4508" s="75"/>
      <c r="G4508" s="67"/>
      <c r="H4508" s="68"/>
      <c r="I4508" s="76"/>
      <c r="J4508" s="67"/>
      <c r="K4508" s="7" t="s">
        <v>1850</v>
      </c>
      <c r="L4508" s="77"/>
      <c r="M4508" s="79"/>
      <c r="N4508" s="1"/>
      <c r="O4508" s="1"/>
      <c r="P4508" s="1"/>
      <c r="Q4508" s="1"/>
      <c r="R4508" s="1"/>
      <c r="S4508" s="1"/>
      <c r="T4508" s="1"/>
      <c r="U4508" s="1"/>
      <c r="V4508" s="1"/>
      <c r="W4508" s="1"/>
      <c r="X4508" s="1"/>
      <c r="Y4508" s="1"/>
      <c r="Z4508" s="1"/>
      <c r="AA4508" s="1"/>
      <c r="AB4508" s="1"/>
      <c r="AC4508" s="1"/>
      <c r="AD4508" s="1"/>
      <c r="AE4508" s="1"/>
      <c r="AF4508" s="1"/>
      <c r="AG4508" s="1"/>
      <c r="AH4508" s="1"/>
    </row>
    <row r="4509" ht="12.75" hidden="1" customHeight="1" outlineLevel="1">
      <c r="A4509" s="17">
        <v>41806.0</v>
      </c>
      <c r="B4509" s="1"/>
      <c r="C4509" s="1" t="s">
        <v>429</v>
      </c>
      <c r="D4509" s="74"/>
      <c r="E4509" s="67"/>
      <c r="F4509" s="75"/>
      <c r="G4509" s="67"/>
      <c r="H4509" s="68"/>
      <c r="I4509" s="76"/>
      <c r="J4509" s="67"/>
      <c r="K4509" s="7" t="s">
        <v>1761</v>
      </c>
      <c r="L4509" s="77"/>
      <c r="M4509" s="79"/>
      <c r="N4509" s="1"/>
      <c r="O4509" s="1"/>
      <c r="P4509" s="1"/>
      <c r="Q4509" s="1"/>
      <c r="R4509" s="1"/>
      <c r="S4509" s="1"/>
      <c r="T4509" s="1"/>
      <c r="U4509" s="1"/>
      <c r="V4509" s="1"/>
      <c r="W4509" s="1"/>
      <c r="X4509" s="1"/>
      <c r="Y4509" s="1"/>
      <c r="Z4509" s="1"/>
      <c r="AA4509" s="1"/>
      <c r="AB4509" s="1"/>
      <c r="AC4509" s="1"/>
      <c r="AD4509" s="1"/>
      <c r="AE4509" s="1"/>
      <c r="AF4509" s="1"/>
      <c r="AG4509" s="1"/>
      <c r="AH4509" s="1"/>
    </row>
    <row r="4510" ht="12.75" hidden="1" customHeight="1" outlineLevel="1">
      <c r="A4510" s="17">
        <v>41806.0</v>
      </c>
      <c r="B4510" s="1"/>
      <c r="C4510" s="1" t="s">
        <v>431</v>
      </c>
      <c r="D4510" s="74"/>
      <c r="E4510" s="67"/>
      <c r="F4510" s="75"/>
      <c r="G4510" s="67"/>
      <c r="H4510" s="68"/>
      <c r="I4510" s="76"/>
      <c r="J4510" s="67"/>
      <c r="K4510" s="7" t="s">
        <v>1126</v>
      </c>
      <c r="L4510" s="77"/>
      <c r="M4510" s="79"/>
      <c r="N4510" s="1"/>
      <c r="O4510" s="1"/>
      <c r="P4510" s="1"/>
      <c r="Q4510" s="1"/>
      <c r="R4510" s="1"/>
      <c r="S4510" s="1"/>
      <c r="T4510" s="1"/>
      <c r="U4510" s="1"/>
      <c r="V4510" s="1"/>
      <c r="W4510" s="1"/>
      <c r="X4510" s="1"/>
      <c r="Y4510" s="1"/>
      <c r="Z4510" s="1"/>
      <c r="AA4510" s="1"/>
      <c r="AB4510" s="1"/>
      <c r="AC4510" s="1"/>
      <c r="AD4510" s="1"/>
      <c r="AE4510" s="1"/>
      <c r="AF4510" s="1"/>
      <c r="AG4510" s="1"/>
      <c r="AH4510" s="1"/>
    </row>
    <row r="4511" ht="12.75" hidden="1" customHeight="1" outlineLevel="1">
      <c r="A4511" s="17">
        <v>41806.0</v>
      </c>
      <c r="B4511" s="1"/>
      <c r="C4511" s="1" t="s">
        <v>433</v>
      </c>
      <c r="D4511" s="74"/>
      <c r="E4511" s="67"/>
      <c r="F4511" s="75"/>
      <c r="G4511" s="67"/>
      <c r="H4511" s="68"/>
      <c r="I4511" s="76"/>
      <c r="J4511" s="67"/>
      <c r="K4511" s="7" t="s">
        <v>1103</v>
      </c>
      <c r="L4511" s="77"/>
      <c r="M4511" s="79"/>
      <c r="N4511" s="1"/>
      <c r="O4511" s="1"/>
      <c r="P4511" s="1"/>
      <c r="Q4511" s="1"/>
      <c r="R4511" s="1"/>
      <c r="S4511" s="1"/>
      <c r="T4511" s="1"/>
      <c r="U4511" s="1"/>
      <c r="V4511" s="1"/>
      <c r="W4511" s="1"/>
      <c r="X4511" s="1"/>
      <c r="Y4511" s="1"/>
      <c r="Z4511" s="1"/>
      <c r="AA4511" s="1"/>
      <c r="AB4511" s="1"/>
      <c r="AC4511" s="1"/>
      <c r="AD4511" s="1"/>
      <c r="AE4511" s="1"/>
      <c r="AF4511" s="1"/>
      <c r="AG4511" s="1"/>
      <c r="AH4511" s="1"/>
    </row>
    <row r="4512" ht="12.75" hidden="1" customHeight="1" outlineLevel="1">
      <c r="A4512" s="17">
        <v>41806.0</v>
      </c>
      <c r="B4512" s="1"/>
      <c r="C4512" s="1" t="s">
        <v>435</v>
      </c>
      <c r="D4512" s="74"/>
      <c r="E4512" s="67"/>
      <c r="F4512" s="75"/>
      <c r="G4512" s="67"/>
      <c r="H4512" s="68"/>
      <c r="I4512" s="76"/>
      <c r="J4512" s="67"/>
      <c r="K4512" s="7" t="s">
        <v>1507</v>
      </c>
      <c r="L4512" s="77"/>
      <c r="M4512" s="79"/>
      <c r="N4512" s="1"/>
      <c r="O4512" s="1"/>
      <c r="P4512" s="1"/>
      <c r="Q4512" s="1"/>
      <c r="R4512" s="1"/>
      <c r="S4512" s="1"/>
      <c r="T4512" s="1"/>
      <c r="U4512" s="1"/>
      <c r="V4512" s="1"/>
      <c r="W4512" s="1"/>
      <c r="X4512" s="1"/>
      <c r="Y4512" s="1"/>
      <c r="Z4512" s="1"/>
      <c r="AA4512" s="1"/>
      <c r="AB4512" s="1"/>
      <c r="AC4512" s="1"/>
      <c r="AD4512" s="1"/>
      <c r="AE4512" s="1"/>
      <c r="AF4512" s="1"/>
      <c r="AG4512" s="1"/>
      <c r="AH4512" s="1"/>
    </row>
    <row r="4513" ht="12.75" hidden="1" customHeight="1" outlineLevel="1">
      <c r="A4513" s="17">
        <v>41807.0</v>
      </c>
      <c r="B4513" s="1" t="s">
        <v>343</v>
      </c>
      <c r="C4513" s="1" t="s">
        <v>1006</v>
      </c>
      <c r="D4513" s="74">
        <v>100.0</v>
      </c>
      <c r="E4513" s="67">
        <v>54.49</v>
      </c>
      <c r="F4513" s="75">
        <v>0.4391087962962963</v>
      </c>
      <c r="G4513" s="67" t="s">
        <v>453</v>
      </c>
      <c r="H4513" s="68">
        <v>1.0</v>
      </c>
      <c r="I4513" s="76"/>
      <c r="J4513" s="67">
        <f t="shared" ref="J4513:J4521" si="280">IF(B4513="SLD",D4513*E4513,-D4513*E4513)-H4513</f>
        <v>-5450</v>
      </c>
      <c r="K4513" s="7"/>
      <c r="L4513" s="70"/>
      <c r="M4513" s="79"/>
      <c r="N4513" s="1"/>
      <c r="O4513" s="1"/>
      <c r="P4513" s="1"/>
      <c r="Q4513" s="1"/>
      <c r="R4513" s="1"/>
      <c r="S4513" s="1"/>
      <c r="T4513" s="1"/>
      <c r="U4513" s="1"/>
      <c r="V4513" s="1"/>
      <c r="W4513" s="1"/>
      <c r="X4513" s="1"/>
      <c r="Y4513" s="1"/>
      <c r="Z4513" s="1"/>
      <c r="AA4513" s="1"/>
      <c r="AB4513" s="1"/>
      <c r="AC4513" s="1"/>
      <c r="AD4513" s="1"/>
      <c r="AE4513" s="1"/>
      <c r="AF4513" s="1"/>
      <c r="AG4513" s="1"/>
      <c r="AH4513" s="1"/>
    </row>
    <row r="4514" ht="12.75" hidden="1" customHeight="1" outlineLevel="1">
      <c r="A4514" s="17">
        <v>41807.0</v>
      </c>
      <c r="B4514" s="1" t="s">
        <v>343</v>
      </c>
      <c r="C4514" s="1" t="s">
        <v>1185</v>
      </c>
      <c r="D4514" s="74">
        <v>25.0</v>
      </c>
      <c r="E4514" s="67">
        <v>282.18</v>
      </c>
      <c r="F4514" s="75">
        <v>0.4392476851851852</v>
      </c>
      <c r="G4514" s="67" t="s">
        <v>453</v>
      </c>
      <c r="H4514" s="68">
        <v>1.0</v>
      </c>
      <c r="I4514" s="76"/>
      <c r="J4514" s="67">
        <f t="shared" si="280"/>
        <v>-7055.5</v>
      </c>
      <c r="K4514" s="7"/>
      <c r="L4514" s="70"/>
      <c r="M4514" s="79"/>
      <c r="N4514" s="1"/>
      <c r="O4514" s="1"/>
      <c r="P4514" s="1"/>
      <c r="Q4514" s="1"/>
      <c r="R4514" s="1"/>
      <c r="S4514" s="1"/>
      <c r="T4514" s="1"/>
      <c r="U4514" s="1"/>
      <c r="V4514" s="1"/>
      <c r="W4514" s="1"/>
      <c r="X4514" s="1"/>
      <c r="Y4514" s="1"/>
      <c r="Z4514" s="1"/>
      <c r="AA4514" s="1"/>
      <c r="AB4514" s="1"/>
      <c r="AC4514" s="1"/>
      <c r="AD4514" s="1"/>
      <c r="AE4514" s="1"/>
      <c r="AF4514" s="1"/>
      <c r="AG4514" s="1"/>
      <c r="AH4514" s="1"/>
    </row>
    <row r="4515" ht="12.75" hidden="1" customHeight="1" outlineLevel="1">
      <c r="A4515" s="17">
        <v>41807.0</v>
      </c>
      <c r="B4515" s="1" t="s">
        <v>343</v>
      </c>
      <c r="C4515" s="1" t="s">
        <v>779</v>
      </c>
      <c r="D4515" s="74">
        <v>25.0</v>
      </c>
      <c r="E4515" s="67">
        <v>240.25</v>
      </c>
      <c r="F4515" s="75">
        <v>0.4394328703703703</v>
      </c>
      <c r="G4515" s="67" t="s">
        <v>453</v>
      </c>
      <c r="H4515" s="68">
        <v>1.0</v>
      </c>
      <c r="I4515" s="76"/>
      <c r="J4515" s="67">
        <f t="shared" si="280"/>
        <v>-6007.25</v>
      </c>
      <c r="K4515" s="7"/>
      <c r="L4515" s="70"/>
      <c r="M4515" s="79"/>
      <c r="N4515" s="1"/>
      <c r="O4515" s="1"/>
      <c r="P4515" s="1"/>
      <c r="Q4515" s="1"/>
      <c r="R4515" s="1"/>
      <c r="S4515" s="1"/>
      <c r="T4515" s="1"/>
      <c r="U4515" s="1"/>
      <c r="V4515" s="1"/>
      <c r="W4515" s="1"/>
      <c r="X4515" s="1"/>
      <c r="Y4515" s="1"/>
      <c r="Z4515" s="1"/>
      <c r="AA4515" s="1"/>
      <c r="AB4515" s="1"/>
      <c r="AC4515" s="1"/>
      <c r="AD4515" s="1"/>
      <c r="AE4515" s="1"/>
      <c r="AF4515" s="1"/>
      <c r="AG4515" s="1"/>
      <c r="AH4515" s="1"/>
    </row>
    <row r="4516" ht="12.75" hidden="1" customHeight="1" outlineLevel="1">
      <c r="A4516" s="17">
        <v>41807.0</v>
      </c>
      <c r="B4516" s="1" t="s">
        <v>343</v>
      </c>
      <c r="C4516" s="1" t="s">
        <v>1158</v>
      </c>
      <c r="D4516" s="74">
        <v>1000.0</v>
      </c>
      <c r="E4516" s="67">
        <v>39.418</v>
      </c>
      <c r="F4516" s="75">
        <v>0.4398842592592593</v>
      </c>
      <c r="G4516" s="67" t="s">
        <v>453</v>
      </c>
      <c r="H4516" s="68">
        <v>4.4</v>
      </c>
      <c r="I4516" s="76"/>
      <c r="J4516" s="67">
        <f t="shared" si="280"/>
        <v>-39422.4</v>
      </c>
      <c r="K4516" s="7"/>
      <c r="L4516" s="70"/>
      <c r="M4516" s="79"/>
      <c r="N4516" s="1"/>
      <c r="O4516" s="1"/>
      <c r="P4516" s="1"/>
      <c r="Q4516" s="1"/>
      <c r="R4516" s="1"/>
      <c r="S4516" s="1"/>
      <c r="T4516" s="1"/>
      <c r="U4516" s="1"/>
      <c r="V4516" s="1"/>
      <c r="W4516" s="1"/>
      <c r="X4516" s="1"/>
      <c r="Y4516" s="1"/>
      <c r="Z4516" s="1"/>
      <c r="AA4516" s="1"/>
      <c r="AB4516" s="1"/>
      <c r="AC4516" s="1"/>
      <c r="AD4516" s="1"/>
      <c r="AE4516" s="1"/>
      <c r="AF4516" s="1"/>
      <c r="AG4516" s="1"/>
      <c r="AH4516" s="1"/>
    </row>
    <row r="4517" ht="12.75" hidden="1" customHeight="1" outlineLevel="1">
      <c r="A4517" s="17">
        <v>41807.0</v>
      </c>
      <c r="B4517" s="1" t="s">
        <v>343</v>
      </c>
      <c r="C4517" s="1" t="s">
        <v>344</v>
      </c>
      <c r="D4517" s="74">
        <v>700.0</v>
      </c>
      <c r="E4517" s="67">
        <v>54.943</v>
      </c>
      <c r="F4517" s="75">
        <v>0.4401273148148148</v>
      </c>
      <c r="G4517" s="67" t="s">
        <v>453</v>
      </c>
      <c r="H4517" s="68">
        <v>3.4</v>
      </c>
      <c r="I4517" s="76"/>
      <c r="J4517" s="67">
        <f t="shared" si="280"/>
        <v>-38463.5</v>
      </c>
      <c r="K4517" s="7"/>
      <c r="L4517" s="70"/>
      <c r="M4517" s="79"/>
      <c r="N4517" s="1"/>
      <c r="O4517" s="1"/>
      <c r="P4517" s="1"/>
      <c r="Q4517" s="1"/>
      <c r="R4517" s="1"/>
      <c r="S4517" s="1"/>
      <c r="T4517" s="1"/>
      <c r="U4517" s="1"/>
      <c r="V4517" s="1"/>
      <c r="W4517" s="1"/>
      <c r="X4517" s="1"/>
      <c r="Y4517" s="1"/>
      <c r="Z4517" s="1"/>
      <c r="AA4517" s="1"/>
      <c r="AB4517" s="1"/>
      <c r="AC4517" s="1"/>
      <c r="AD4517" s="1"/>
      <c r="AE4517" s="1"/>
      <c r="AF4517" s="1"/>
      <c r="AG4517" s="1"/>
      <c r="AH4517" s="1"/>
    </row>
    <row r="4518" ht="12.75" hidden="1" customHeight="1" outlineLevel="1">
      <c r="A4518" s="17">
        <v>41807.0</v>
      </c>
      <c r="B4518" s="1" t="s">
        <v>343</v>
      </c>
      <c r="C4518" s="1" t="s">
        <v>870</v>
      </c>
      <c r="D4518" s="74">
        <v>350.0</v>
      </c>
      <c r="E4518" s="67">
        <v>86.03</v>
      </c>
      <c r="F4518" s="75">
        <v>0.6161342592592592</v>
      </c>
      <c r="G4518" s="67" t="s">
        <v>453</v>
      </c>
      <c r="H4518" s="68">
        <v>1.4</v>
      </c>
      <c r="I4518" s="76"/>
      <c r="J4518" s="67">
        <f t="shared" si="280"/>
        <v>-30111.9</v>
      </c>
      <c r="K4518" s="7"/>
      <c r="L4518" s="70"/>
      <c r="M4518" s="79"/>
      <c r="N4518" s="1"/>
      <c r="O4518" s="1"/>
      <c r="P4518" s="1"/>
      <c r="Q4518" s="1"/>
      <c r="R4518" s="1"/>
      <c r="S4518" s="1"/>
      <c r="T4518" s="1"/>
      <c r="U4518" s="1"/>
      <c r="V4518" s="1"/>
      <c r="W4518" s="1"/>
      <c r="X4518" s="1"/>
      <c r="Y4518" s="1"/>
      <c r="Z4518" s="1"/>
      <c r="AA4518" s="1"/>
      <c r="AB4518" s="1"/>
      <c r="AC4518" s="1"/>
      <c r="AD4518" s="1"/>
      <c r="AE4518" s="1"/>
      <c r="AF4518" s="1"/>
      <c r="AG4518" s="1"/>
      <c r="AH4518" s="1"/>
    </row>
    <row r="4519" ht="12.75" hidden="1" customHeight="1" outlineLevel="1">
      <c r="A4519" s="17">
        <v>41807.0</v>
      </c>
      <c r="B4519" s="1" t="s">
        <v>343</v>
      </c>
      <c r="C4519" s="1" t="s">
        <v>354</v>
      </c>
      <c r="D4519" s="74">
        <v>100.0</v>
      </c>
      <c r="E4519" s="67">
        <v>118.6</v>
      </c>
      <c r="F4519" s="75">
        <v>0.6289814814814815</v>
      </c>
      <c r="G4519" s="67" t="s">
        <v>453</v>
      </c>
      <c r="H4519" s="68">
        <v>1.0</v>
      </c>
      <c r="I4519" s="76"/>
      <c r="J4519" s="67">
        <f t="shared" si="280"/>
        <v>-11861</v>
      </c>
      <c r="K4519" s="7"/>
      <c r="L4519" s="70"/>
      <c r="M4519" s="79"/>
      <c r="N4519" s="1"/>
      <c r="O4519" s="1"/>
      <c r="P4519" s="1"/>
      <c r="Q4519" s="1"/>
      <c r="R4519" s="1"/>
      <c r="S4519" s="1"/>
      <c r="T4519" s="1"/>
      <c r="U4519" s="1"/>
      <c r="V4519" s="1"/>
      <c r="W4519" s="1"/>
      <c r="X4519" s="1"/>
      <c r="Y4519" s="1"/>
      <c r="Z4519" s="1"/>
      <c r="AA4519" s="1"/>
      <c r="AB4519" s="1"/>
      <c r="AC4519" s="1"/>
      <c r="AD4519" s="1"/>
      <c r="AE4519" s="1"/>
      <c r="AF4519" s="1"/>
      <c r="AG4519" s="1"/>
      <c r="AH4519" s="1"/>
    </row>
    <row r="4520" ht="12.75" hidden="1" customHeight="1" outlineLevel="1">
      <c r="A4520" s="17">
        <v>41807.0</v>
      </c>
      <c r="B4520" s="1" t="s">
        <v>343</v>
      </c>
      <c r="C4520" s="1" t="s">
        <v>1371</v>
      </c>
      <c r="D4520" s="74">
        <v>300.0</v>
      </c>
      <c r="E4520" s="67">
        <v>37.16</v>
      </c>
      <c r="F4520" s="75">
        <v>0.6292129629629629</v>
      </c>
      <c r="G4520" s="67" t="s">
        <v>453</v>
      </c>
      <c r="H4520" s="68">
        <v>1.2</v>
      </c>
      <c r="I4520" s="76"/>
      <c r="J4520" s="67">
        <f t="shared" si="280"/>
        <v>-11149.2</v>
      </c>
      <c r="K4520" s="7"/>
      <c r="L4520" s="70"/>
      <c r="M4520" s="79"/>
      <c r="N4520" s="1"/>
      <c r="O4520" s="1"/>
      <c r="P4520" s="1"/>
      <c r="Q4520" s="1"/>
      <c r="R4520" s="1"/>
      <c r="S4520" s="1"/>
      <c r="T4520" s="1"/>
      <c r="U4520" s="1"/>
      <c r="V4520" s="1"/>
      <c r="W4520" s="1"/>
      <c r="X4520" s="1"/>
      <c r="Y4520" s="1"/>
      <c r="Z4520" s="1"/>
      <c r="AA4520" s="1"/>
      <c r="AB4520" s="1"/>
      <c r="AC4520" s="1"/>
      <c r="AD4520" s="1"/>
      <c r="AE4520" s="1"/>
      <c r="AF4520" s="1"/>
      <c r="AG4520" s="1"/>
      <c r="AH4520" s="1"/>
    </row>
    <row r="4521" ht="12.75" hidden="1" customHeight="1" outlineLevel="1">
      <c r="A4521" s="17">
        <v>41807.0</v>
      </c>
      <c r="B4521" s="1" t="s">
        <v>343</v>
      </c>
      <c r="C4521" s="1" t="s">
        <v>1006</v>
      </c>
      <c r="D4521" s="74">
        <v>100.0</v>
      </c>
      <c r="E4521" s="67">
        <v>54.9</v>
      </c>
      <c r="F4521" s="75">
        <v>0.6430208333333333</v>
      </c>
      <c r="G4521" s="67" t="s">
        <v>453</v>
      </c>
      <c r="H4521" s="68">
        <v>1.0</v>
      </c>
      <c r="I4521" s="76"/>
      <c r="J4521" s="67">
        <f t="shared" si="280"/>
        <v>-5491</v>
      </c>
      <c r="K4521" s="7"/>
      <c r="L4521" s="70"/>
      <c r="M4521" s="79"/>
      <c r="N4521" s="1"/>
      <c r="O4521" s="1"/>
      <c r="P4521" s="1"/>
      <c r="Q4521" s="1"/>
      <c r="R4521" s="1"/>
      <c r="S4521" s="1"/>
      <c r="T4521" s="1"/>
      <c r="U4521" s="1"/>
      <c r="V4521" s="1"/>
      <c r="W4521" s="1"/>
      <c r="X4521" s="1"/>
      <c r="Y4521" s="1"/>
      <c r="Z4521" s="1"/>
      <c r="AA4521" s="1"/>
      <c r="AB4521" s="1"/>
      <c r="AC4521" s="1"/>
      <c r="AD4521" s="1"/>
      <c r="AE4521" s="1"/>
      <c r="AF4521" s="1"/>
      <c r="AG4521" s="1"/>
      <c r="AH4521" s="1"/>
    </row>
    <row r="4522" ht="12.75" hidden="1" customHeight="1" outlineLevel="1">
      <c r="A4522" s="17">
        <v>41807.0</v>
      </c>
      <c r="B4522" s="1"/>
      <c r="C4522" s="1" t="s">
        <v>339</v>
      </c>
      <c r="D4522" s="74"/>
      <c r="E4522" s="67"/>
      <c r="F4522" s="75"/>
      <c r="G4522" s="67"/>
      <c r="H4522" s="68"/>
      <c r="I4522" s="76"/>
      <c r="J4522" s="67"/>
      <c r="K4522" s="7" t="s">
        <v>1858</v>
      </c>
      <c r="L4522" s="77"/>
      <c r="M4522" s="79"/>
      <c r="N4522" s="1"/>
      <c r="O4522" s="1"/>
      <c r="P4522" s="1"/>
      <c r="Q4522" s="1"/>
      <c r="R4522" s="1"/>
      <c r="S4522" s="1"/>
      <c r="T4522" s="1"/>
      <c r="U4522" s="1"/>
      <c r="V4522" s="1"/>
      <c r="W4522" s="1"/>
      <c r="X4522" s="1"/>
      <c r="Y4522" s="1"/>
      <c r="Z4522" s="1"/>
      <c r="AA4522" s="1"/>
      <c r="AB4522" s="1"/>
      <c r="AC4522" s="1"/>
      <c r="AD4522" s="1"/>
      <c r="AE4522" s="1"/>
      <c r="AF4522" s="1"/>
      <c r="AG4522" s="1"/>
      <c r="AH4522" s="1"/>
    </row>
    <row r="4523" ht="12.75" hidden="1" customHeight="1" outlineLevel="1">
      <c r="A4523" s="17">
        <v>41807.0</v>
      </c>
      <c r="B4523" s="1"/>
      <c r="C4523" s="1" t="s">
        <v>429</v>
      </c>
      <c r="D4523" s="74"/>
      <c r="E4523" s="67"/>
      <c r="F4523" s="75"/>
      <c r="G4523" s="67"/>
      <c r="H4523" s="68"/>
      <c r="I4523" s="76"/>
      <c r="J4523" s="67"/>
      <c r="K4523" s="7" t="s">
        <v>1761</v>
      </c>
      <c r="L4523" s="77"/>
      <c r="M4523" s="79"/>
      <c r="N4523" s="1"/>
      <c r="O4523" s="1"/>
      <c r="P4523" s="1"/>
      <c r="Q4523" s="1"/>
      <c r="R4523" s="1"/>
      <c r="S4523" s="1"/>
      <c r="T4523" s="1"/>
      <c r="U4523" s="1"/>
      <c r="V4523" s="1"/>
      <c r="W4523" s="1"/>
      <c r="X4523" s="1"/>
      <c r="Y4523" s="1"/>
      <c r="Z4523" s="1"/>
      <c r="AA4523" s="1"/>
      <c r="AB4523" s="1"/>
      <c r="AC4523" s="1"/>
      <c r="AD4523" s="1"/>
      <c r="AE4523" s="1"/>
      <c r="AF4523" s="1"/>
      <c r="AG4523" s="1"/>
      <c r="AH4523" s="1"/>
    </row>
    <row r="4524" ht="12.75" hidden="1" customHeight="1" outlineLevel="1">
      <c r="A4524" s="17">
        <v>41807.0</v>
      </c>
      <c r="B4524" s="1"/>
      <c r="C4524" s="1" t="s">
        <v>431</v>
      </c>
      <c r="D4524" s="74"/>
      <c r="E4524" s="67"/>
      <c r="F4524" s="75"/>
      <c r="G4524" s="67"/>
      <c r="H4524" s="68"/>
      <c r="I4524" s="76"/>
      <c r="J4524" s="67"/>
      <c r="K4524" s="7" t="s">
        <v>1126</v>
      </c>
      <c r="L4524" s="77"/>
      <c r="M4524" s="79"/>
      <c r="N4524" s="1"/>
      <c r="O4524" s="1"/>
      <c r="P4524" s="1"/>
      <c r="Q4524" s="1"/>
      <c r="R4524" s="1"/>
      <c r="S4524" s="1"/>
      <c r="T4524" s="1"/>
      <c r="U4524" s="1"/>
      <c r="V4524" s="1"/>
      <c r="W4524" s="1"/>
      <c r="X4524" s="1"/>
      <c r="Y4524" s="1"/>
      <c r="Z4524" s="1"/>
      <c r="AA4524" s="1"/>
      <c r="AB4524" s="1"/>
      <c r="AC4524" s="1"/>
      <c r="AD4524" s="1"/>
      <c r="AE4524" s="1"/>
      <c r="AF4524" s="1"/>
      <c r="AG4524" s="1"/>
      <c r="AH4524" s="1"/>
    </row>
    <row r="4525" ht="12.75" hidden="1" customHeight="1" outlineLevel="1">
      <c r="A4525" s="17">
        <v>41807.0</v>
      </c>
      <c r="B4525" s="1"/>
      <c r="C4525" s="1" t="s">
        <v>433</v>
      </c>
      <c r="D4525" s="74"/>
      <c r="E4525" s="67"/>
      <c r="F4525" s="75"/>
      <c r="G4525" s="67"/>
      <c r="H4525" s="68"/>
      <c r="I4525" s="76"/>
      <c r="J4525" s="67"/>
      <c r="K4525" s="7" t="s">
        <v>1103</v>
      </c>
      <c r="L4525" s="77"/>
      <c r="M4525" s="79"/>
      <c r="N4525" s="1"/>
      <c r="O4525" s="1"/>
      <c r="P4525" s="1"/>
      <c r="Q4525" s="1"/>
      <c r="R4525" s="1"/>
      <c r="S4525" s="1"/>
      <c r="T4525" s="1"/>
      <c r="U4525" s="1"/>
      <c r="V4525" s="1"/>
      <c r="W4525" s="1"/>
      <c r="X4525" s="1"/>
      <c r="Y4525" s="1"/>
      <c r="Z4525" s="1"/>
      <c r="AA4525" s="1"/>
      <c r="AB4525" s="1"/>
      <c r="AC4525" s="1"/>
      <c r="AD4525" s="1"/>
      <c r="AE4525" s="1"/>
      <c r="AF4525" s="1"/>
      <c r="AG4525" s="1"/>
      <c r="AH4525" s="1"/>
    </row>
    <row r="4526" ht="12.75" hidden="1" customHeight="1" outlineLevel="1">
      <c r="A4526" s="17">
        <v>41807.0</v>
      </c>
      <c r="B4526" s="1"/>
      <c r="C4526" s="1" t="s">
        <v>435</v>
      </c>
      <c r="D4526" s="74"/>
      <c r="E4526" s="67"/>
      <c r="F4526" s="75"/>
      <c r="G4526" s="67"/>
      <c r="H4526" s="68"/>
      <c r="I4526" s="76"/>
      <c r="J4526" s="67"/>
      <c r="K4526" s="7" t="s">
        <v>1507</v>
      </c>
      <c r="L4526" s="77"/>
      <c r="M4526" s="79"/>
      <c r="N4526" s="1"/>
      <c r="O4526" s="1"/>
      <c r="P4526" s="1"/>
      <c r="Q4526" s="1"/>
      <c r="R4526" s="1"/>
      <c r="S4526" s="1"/>
      <c r="T4526" s="1"/>
      <c r="U4526" s="1"/>
      <c r="V4526" s="1"/>
      <c r="W4526" s="1"/>
      <c r="X4526" s="1"/>
      <c r="Y4526" s="1"/>
      <c r="Z4526" s="1"/>
      <c r="AA4526" s="1"/>
      <c r="AB4526" s="1"/>
      <c r="AC4526" s="1"/>
      <c r="AD4526" s="1"/>
      <c r="AE4526" s="1"/>
      <c r="AF4526" s="1"/>
      <c r="AG4526" s="1"/>
      <c r="AH4526" s="1"/>
    </row>
    <row r="4527" ht="12.75" hidden="1" customHeight="1" outlineLevel="1">
      <c r="A4527" s="17">
        <v>41808.0</v>
      </c>
      <c r="B4527" s="1" t="s">
        <v>343</v>
      </c>
      <c r="C4527" s="1" t="s">
        <v>369</v>
      </c>
      <c r="D4527" s="74">
        <v>13000.0</v>
      </c>
      <c r="E4527" s="67">
        <v>14.673</v>
      </c>
      <c r="F4527" s="75">
        <v>0.6240509259259259</v>
      </c>
      <c r="G4527" s="67" t="s">
        <v>453</v>
      </c>
      <c r="H4527" s="68">
        <v>59.3</v>
      </c>
      <c r="I4527" s="76"/>
      <c r="J4527" s="67">
        <f t="shared" ref="J4527:J4529" si="281">IF(B4527="SLD",D4527*E4527,-D4527*E4527)-H4527</f>
        <v>-190808.3</v>
      </c>
      <c r="K4527" s="7"/>
      <c r="L4527" s="70"/>
      <c r="M4527" s="79"/>
      <c r="N4527" s="1"/>
      <c r="O4527" s="1"/>
      <c r="P4527" s="1"/>
      <c r="Q4527" s="1"/>
      <c r="R4527" s="1"/>
      <c r="S4527" s="1"/>
      <c r="T4527" s="1"/>
      <c r="U4527" s="1"/>
      <c r="V4527" s="1"/>
      <c r="W4527" s="1"/>
      <c r="X4527" s="1"/>
      <c r="Y4527" s="1"/>
      <c r="Z4527" s="1"/>
      <c r="AA4527" s="1"/>
      <c r="AB4527" s="1"/>
      <c r="AC4527" s="1"/>
      <c r="AD4527" s="1"/>
      <c r="AE4527" s="1"/>
      <c r="AF4527" s="1"/>
      <c r="AG4527" s="1"/>
      <c r="AH4527" s="1"/>
    </row>
    <row r="4528" ht="12.75" hidden="1" customHeight="1" outlineLevel="1">
      <c r="A4528" s="17">
        <v>41808.0</v>
      </c>
      <c r="B4528" s="1" t="s">
        <v>343</v>
      </c>
      <c r="C4528" s="1" t="s">
        <v>355</v>
      </c>
      <c r="D4528" s="74">
        <v>16000.0</v>
      </c>
      <c r="E4528" s="67">
        <v>5.524</v>
      </c>
      <c r="F4528" s="75">
        <v>0.6254861111111111</v>
      </c>
      <c r="G4528" s="67" t="s">
        <v>453</v>
      </c>
      <c r="H4528" s="68">
        <v>65.0</v>
      </c>
      <c r="I4528" s="76"/>
      <c r="J4528" s="67">
        <f t="shared" si="281"/>
        <v>-88449</v>
      </c>
      <c r="K4528" s="7"/>
      <c r="L4528" s="70"/>
      <c r="M4528" s="79"/>
      <c r="N4528" s="1"/>
      <c r="O4528" s="1"/>
      <c r="P4528" s="1"/>
      <c r="Q4528" s="1"/>
      <c r="R4528" s="1"/>
      <c r="S4528" s="1"/>
      <c r="T4528" s="1"/>
      <c r="U4528" s="1"/>
      <c r="V4528" s="1"/>
      <c r="W4528" s="1"/>
      <c r="X4528" s="1"/>
      <c r="Y4528" s="1"/>
      <c r="Z4528" s="1"/>
      <c r="AA4528" s="1"/>
      <c r="AB4528" s="1"/>
      <c r="AC4528" s="1"/>
      <c r="AD4528" s="1"/>
      <c r="AE4528" s="1"/>
      <c r="AF4528" s="1"/>
      <c r="AG4528" s="1"/>
      <c r="AH4528" s="1"/>
    </row>
    <row r="4529" ht="12.75" hidden="1" customHeight="1" outlineLevel="1">
      <c r="A4529" s="17">
        <v>41808.0</v>
      </c>
      <c r="B4529" s="1" t="s">
        <v>343</v>
      </c>
      <c r="C4529" s="1" t="s">
        <v>784</v>
      </c>
      <c r="D4529" s="74">
        <v>2000.0</v>
      </c>
      <c r="E4529" s="67">
        <v>12.87</v>
      </c>
      <c r="F4529" s="75">
        <v>0.6263657407407407</v>
      </c>
      <c r="G4529" s="67" t="s">
        <v>453</v>
      </c>
      <c r="H4529" s="68">
        <v>8.0</v>
      </c>
      <c r="I4529" s="76"/>
      <c r="J4529" s="67">
        <f t="shared" si="281"/>
        <v>-25748</v>
      </c>
      <c r="K4529" s="7"/>
      <c r="L4529" s="70"/>
      <c r="M4529" s="79"/>
      <c r="N4529" s="1"/>
      <c r="O4529" s="1"/>
      <c r="P4529" s="1"/>
      <c r="Q4529" s="1"/>
      <c r="R4529" s="1"/>
      <c r="S4529" s="1"/>
      <c r="T4529" s="1"/>
      <c r="U4529" s="1"/>
      <c r="V4529" s="1"/>
      <c r="W4529" s="1"/>
      <c r="X4529" s="1"/>
      <c r="Y4529" s="1"/>
      <c r="Z4529" s="1"/>
      <c r="AA4529" s="1"/>
      <c r="AB4529" s="1"/>
      <c r="AC4529" s="1"/>
      <c r="AD4529" s="1"/>
      <c r="AE4529" s="1"/>
      <c r="AF4529" s="1"/>
      <c r="AG4529" s="1"/>
      <c r="AH4529" s="1"/>
    </row>
    <row r="4530" ht="12.75" hidden="1" customHeight="1" outlineLevel="1">
      <c r="A4530" s="17">
        <v>41808.0</v>
      </c>
      <c r="B4530" s="1"/>
      <c r="C4530" s="1" t="s">
        <v>339</v>
      </c>
      <c r="D4530" s="74"/>
      <c r="E4530" s="67"/>
      <c r="F4530" s="75"/>
      <c r="G4530" s="67"/>
      <c r="H4530" s="68"/>
      <c r="I4530" s="76"/>
      <c r="J4530" s="67"/>
      <c r="K4530" s="7" t="s">
        <v>1860</v>
      </c>
      <c r="L4530" s="77"/>
      <c r="M4530" s="79"/>
      <c r="N4530" s="1"/>
      <c r="O4530" s="1"/>
      <c r="P4530" s="1"/>
      <c r="Q4530" s="1"/>
      <c r="R4530" s="1"/>
      <c r="S4530" s="1"/>
      <c r="T4530" s="1"/>
      <c r="U4530" s="1"/>
      <c r="V4530" s="1"/>
      <c r="W4530" s="1"/>
      <c r="X4530" s="1"/>
      <c r="Y4530" s="1"/>
      <c r="Z4530" s="1"/>
      <c r="AA4530" s="1"/>
      <c r="AB4530" s="1"/>
      <c r="AC4530" s="1"/>
      <c r="AD4530" s="1"/>
      <c r="AE4530" s="1"/>
      <c r="AF4530" s="1"/>
      <c r="AG4530" s="1"/>
      <c r="AH4530" s="1"/>
    </row>
    <row r="4531" ht="12.75" hidden="1" customHeight="1" outlineLevel="1">
      <c r="A4531" s="17">
        <v>41808.0</v>
      </c>
      <c r="B4531" s="1"/>
      <c r="C4531" s="1" t="s">
        <v>429</v>
      </c>
      <c r="D4531" s="74"/>
      <c r="E4531" s="67"/>
      <c r="F4531" s="75"/>
      <c r="G4531" s="67"/>
      <c r="H4531" s="68"/>
      <c r="I4531" s="76"/>
      <c r="J4531" s="67"/>
      <c r="K4531" s="7" t="s">
        <v>1761</v>
      </c>
      <c r="L4531" s="77"/>
      <c r="M4531" s="79"/>
      <c r="N4531" s="1"/>
      <c r="O4531" s="1"/>
      <c r="P4531" s="1"/>
      <c r="Q4531" s="1"/>
      <c r="R4531" s="1"/>
      <c r="S4531" s="1"/>
      <c r="T4531" s="1"/>
      <c r="U4531" s="1"/>
      <c r="V4531" s="1"/>
      <c r="W4531" s="1"/>
      <c r="X4531" s="1"/>
      <c r="Y4531" s="1"/>
      <c r="Z4531" s="1"/>
      <c r="AA4531" s="1"/>
      <c r="AB4531" s="1"/>
      <c r="AC4531" s="1"/>
      <c r="AD4531" s="1"/>
      <c r="AE4531" s="1"/>
      <c r="AF4531" s="1"/>
      <c r="AG4531" s="1"/>
      <c r="AH4531" s="1"/>
    </row>
    <row r="4532" ht="12.75" hidden="1" customHeight="1" outlineLevel="1">
      <c r="A4532" s="17">
        <v>41808.0</v>
      </c>
      <c r="B4532" s="1"/>
      <c r="C4532" s="1" t="s">
        <v>431</v>
      </c>
      <c r="D4532" s="74"/>
      <c r="E4532" s="67"/>
      <c r="F4532" s="75"/>
      <c r="G4532" s="67"/>
      <c r="H4532" s="68"/>
      <c r="I4532" s="76"/>
      <c r="J4532" s="67"/>
      <c r="K4532" s="7" t="s">
        <v>1126</v>
      </c>
      <c r="L4532" s="77"/>
      <c r="M4532" s="79"/>
      <c r="N4532" s="1"/>
      <c r="O4532" s="1"/>
      <c r="P4532" s="1"/>
      <c r="Q4532" s="1"/>
      <c r="R4532" s="1"/>
      <c r="S4532" s="1"/>
      <c r="T4532" s="1"/>
      <c r="U4532" s="1"/>
      <c r="V4532" s="1"/>
      <c r="W4532" s="1"/>
      <c r="X4532" s="1"/>
      <c r="Y4532" s="1"/>
      <c r="Z4532" s="1"/>
      <c r="AA4532" s="1"/>
      <c r="AB4532" s="1"/>
      <c r="AC4532" s="1"/>
      <c r="AD4532" s="1"/>
      <c r="AE4532" s="1"/>
      <c r="AF4532" s="1"/>
      <c r="AG4532" s="1"/>
      <c r="AH4532" s="1"/>
    </row>
    <row r="4533" ht="12.75" hidden="1" customHeight="1" outlineLevel="1">
      <c r="A4533" s="17">
        <v>41808.0</v>
      </c>
      <c r="B4533" s="1"/>
      <c r="C4533" s="1" t="s">
        <v>433</v>
      </c>
      <c r="D4533" s="74"/>
      <c r="E4533" s="67"/>
      <c r="F4533" s="75"/>
      <c r="G4533" s="67"/>
      <c r="H4533" s="68"/>
      <c r="I4533" s="76"/>
      <c r="J4533" s="67"/>
      <c r="K4533" s="7" t="s">
        <v>1103</v>
      </c>
      <c r="L4533" s="77"/>
      <c r="M4533" s="79"/>
      <c r="N4533" s="1"/>
      <c r="O4533" s="1"/>
      <c r="P4533" s="1"/>
      <c r="Q4533" s="1"/>
      <c r="R4533" s="1"/>
      <c r="S4533" s="1"/>
      <c r="T4533" s="1"/>
      <c r="U4533" s="1"/>
      <c r="V4533" s="1"/>
      <c r="W4533" s="1"/>
      <c r="X4533" s="1"/>
      <c r="Y4533" s="1"/>
      <c r="Z4533" s="1"/>
      <c r="AA4533" s="1"/>
      <c r="AB4533" s="1"/>
      <c r="AC4533" s="1"/>
      <c r="AD4533" s="1"/>
      <c r="AE4533" s="1"/>
      <c r="AF4533" s="1"/>
      <c r="AG4533" s="1"/>
      <c r="AH4533" s="1"/>
    </row>
    <row r="4534" ht="12.75" hidden="1" customHeight="1" outlineLevel="1">
      <c r="A4534" s="17">
        <v>41808.0</v>
      </c>
      <c r="B4534" s="1"/>
      <c r="C4534" s="1" t="s">
        <v>435</v>
      </c>
      <c r="D4534" s="74"/>
      <c r="E4534" s="67"/>
      <c r="F4534" s="75"/>
      <c r="G4534" s="67"/>
      <c r="H4534" s="68"/>
      <c r="I4534" s="76"/>
      <c r="J4534" s="67"/>
      <c r="K4534" s="7" t="s">
        <v>1507</v>
      </c>
      <c r="L4534" s="77"/>
      <c r="M4534" s="79"/>
      <c r="N4534" s="1"/>
      <c r="O4534" s="1"/>
      <c r="P4534" s="1"/>
      <c r="Q4534" s="1"/>
      <c r="R4534" s="1"/>
      <c r="S4534" s="1"/>
      <c r="T4534" s="1"/>
      <c r="U4534" s="1"/>
      <c r="V4534" s="1"/>
      <c r="W4534" s="1"/>
      <c r="X4534" s="1"/>
      <c r="Y4534" s="1"/>
      <c r="Z4534" s="1"/>
      <c r="AA4534" s="1"/>
      <c r="AB4534" s="1"/>
      <c r="AC4534" s="1"/>
      <c r="AD4534" s="1"/>
      <c r="AE4534" s="1"/>
      <c r="AF4534" s="1"/>
      <c r="AG4534" s="1"/>
      <c r="AH4534" s="1"/>
    </row>
    <row r="4535" ht="12.75" hidden="1" customHeight="1" outlineLevel="1">
      <c r="A4535" s="17">
        <v>41809.0</v>
      </c>
      <c r="B4535" s="1" t="s">
        <v>343</v>
      </c>
      <c r="C4535" s="1" t="s">
        <v>441</v>
      </c>
      <c r="D4535" s="74">
        <v>10000.0</v>
      </c>
      <c r="E4535" s="67">
        <v>3.717</v>
      </c>
      <c r="F4535" s="75">
        <v>0.3978240740740741</v>
      </c>
      <c r="G4535" s="67" t="s">
        <v>453</v>
      </c>
      <c r="H4535" s="68">
        <v>49.2</v>
      </c>
      <c r="I4535" s="76"/>
      <c r="J4535" s="67">
        <f t="shared" ref="J4535:J4544" si="282">IF(B4535="SLD",D4535*E4535,-D4535*E4535)-H4535</f>
        <v>-37219.2</v>
      </c>
      <c r="K4535" s="7"/>
      <c r="L4535" s="70"/>
      <c r="M4535" s="79"/>
      <c r="N4535" s="1"/>
      <c r="O4535" s="1"/>
      <c r="P4535" s="1"/>
      <c r="Q4535" s="1"/>
      <c r="R4535" s="1"/>
      <c r="S4535" s="1"/>
      <c r="T4535" s="1"/>
      <c r="U4535" s="1"/>
      <c r="V4535" s="1"/>
      <c r="W4535" s="1"/>
      <c r="X4535" s="1"/>
      <c r="Y4535" s="1"/>
      <c r="Z4535" s="1"/>
      <c r="AA4535" s="1"/>
      <c r="AB4535" s="1"/>
      <c r="AC4535" s="1"/>
      <c r="AD4535" s="1"/>
      <c r="AE4535" s="1"/>
      <c r="AF4535" s="1"/>
      <c r="AG4535" s="1"/>
      <c r="AH4535" s="1"/>
    </row>
    <row r="4536" ht="12.75" hidden="1" customHeight="1" outlineLevel="1">
      <c r="A4536" s="17">
        <v>41809.0</v>
      </c>
      <c r="B4536" s="1" t="s">
        <v>343</v>
      </c>
      <c r="C4536" s="1" t="s">
        <v>1044</v>
      </c>
      <c r="D4536" s="74">
        <v>1000.0</v>
      </c>
      <c r="E4536" s="67">
        <v>25.45</v>
      </c>
      <c r="F4536" s="75">
        <v>0.4215162037037037</v>
      </c>
      <c r="G4536" s="67" t="s">
        <v>453</v>
      </c>
      <c r="H4536" s="68">
        <v>4.0</v>
      </c>
      <c r="I4536" s="76"/>
      <c r="J4536" s="67">
        <f t="shared" si="282"/>
        <v>-25454</v>
      </c>
      <c r="K4536" s="7"/>
      <c r="L4536" s="70"/>
      <c r="M4536" s="79"/>
      <c r="N4536" s="1"/>
      <c r="O4536" s="1"/>
      <c r="P4536" s="1"/>
      <c r="Q4536" s="1"/>
      <c r="R4536" s="1"/>
      <c r="S4536" s="1"/>
      <c r="T4536" s="1"/>
      <c r="U4536" s="1"/>
      <c r="V4536" s="1"/>
      <c r="W4536" s="1"/>
      <c r="X4536" s="1"/>
      <c r="Y4536" s="1"/>
      <c r="Z4536" s="1"/>
      <c r="AA4536" s="1"/>
      <c r="AB4536" s="1"/>
      <c r="AC4536" s="1"/>
      <c r="AD4536" s="1"/>
      <c r="AE4536" s="1"/>
      <c r="AF4536" s="1"/>
      <c r="AG4536" s="1"/>
      <c r="AH4536" s="1"/>
    </row>
    <row r="4537" ht="12.75" hidden="1" customHeight="1" outlineLevel="1">
      <c r="A4537" s="17">
        <v>41809.0</v>
      </c>
      <c r="B4537" s="1" t="s">
        <v>343</v>
      </c>
      <c r="C4537" s="1" t="s">
        <v>1725</v>
      </c>
      <c r="D4537" s="74">
        <v>2500.0</v>
      </c>
      <c r="E4537" s="67">
        <v>15.704</v>
      </c>
      <c r="F4537" s="75">
        <v>0.5305902777777778</v>
      </c>
      <c r="G4537" s="67" t="s">
        <v>453</v>
      </c>
      <c r="H4537" s="68">
        <v>10.7</v>
      </c>
      <c r="I4537" s="76"/>
      <c r="J4537" s="67">
        <f t="shared" si="282"/>
        <v>-39270.7</v>
      </c>
      <c r="K4537" s="7"/>
      <c r="L4537" s="70"/>
      <c r="M4537" s="79"/>
      <c r="N4537" s="1"/>
      <c r="O4537" s="1"/>
      <c r="P4537" s="1"/>
      <c r="Q4537" s="1"/>
      <c r="R4537" s="1"/>
      <c r="S4537" s="1"/>
      <c r="T4537" s="1"/>
      <c r="U4537" s="1"/>
      <c r="V4537" s="1"/>
      <c r="W4537" s="1"/>
      <c r="X4537" s="1"/>
      <c r="Y4537" s="1"/>
      <c r="Z4537" s="1"/>
      <c r="AA4537" s="1"/>
      <c r="AB4537" s="1"/>
      <c r="AC4537" s="1"/>
      <c r="AD4537" s="1"/>
      <c r="AE4537" s="1"/>
      <c r="AF4537" s="1"/>
      <c r="AG4537" s="1"/>
      <c r="AH4537" s="1"/>
    </row>
    <row r="4538" ht="12.75" hidden="1" customHeight="1" outlineLevel="1">
      <c r="A4538" s="17">
        <v>41809.0</v>
      </c>
      <c r="B4538" s="1" t="s">
        <v>343</v>
      </c>
      <c r="C4538" s="1" t="s">
        <v>1044</v>
      </c>
      <c r="D4538" s="74">
        <v>1000.0</v>
      </c>
      <c r="E4538" s="67">
        <v>25.93</v>
      </c>
      <c r="F4538" s="75">
        <v>0.5326967592592592</v>
      </c>
      <c r="G4538" s="67" t="s">
        <v>453</v>
      </c>
      <c r="H4538" s="68">
        <v>4.2</v>
      </c>
      <c r="I4538" s="76"/>
      <c r="J4538" s="67">
        <f t="shared" si="282"/>
        <v>-25934.2</v>
      </c>
      <c r="K4538" s="7"/>
      <c r="L4538" s="70"/>
      <c r="M4538" s="79"/>
      <c r="N4538" s="1"/>
      <c r="O4538" s="1"/>
      <c r="P4538" s="1"/>
      <c r="Q4538" s="1"/>
      <c r="R4538" s="1"/>
      <c r="S4538" s="1"/>
      <c r="T4538" s="1"/>
      <c r="U4538" s="1"/>
      <c r="V4538" s="1"/>
      <c r="W4538" s="1"/>
      <c r="X4538" s="1"/>
      <c r="Y4538" s="1"/>
      <c r="Z4538" s="1"/>
      <c r="AA4538" s="1"/>
      <c r="AB4538" s="1"/>
      <c r="AC4538" s="1"/>
      <c r="AD4538" s="1"/>
      <c r="AE4538" s="1"/>
      <c r="AF4538" s="1"/>
      <c r="AG4538" s="1"/>
      <c r="AH4538" s="1"/>
    </row>
    <row r="4539" ht="12.75" hidden="1" customHeight="1" outlineLevel="1">
      <c r="A4539" s="17">
        <v>41809.0</v>
      </c>
      <c r="B4539" s="1" t="s">
        <v>347</v>
      </c>
      <c r="C4539" s="1" t="s">
        <v>1158</v>
      </c>
      <c r="D4539" s="74">
        <v>1000.0</v>
      </c>
      <c r="E4539" s="67">
        <v>39.53</v>
      </c>
      <c r="F4539" s="75">
        <v>0.6008796296296296</v>
      </c>
      <c r="G4539" s="67" t="s">
        <v>453</v>
      </c>
      <c r="H4539" s="68">
        <v>4.87</v>
      </c>
      <c r="I4539" s="76"/>
      <c r="J4539" s="67">
        <f t="shared" si="282"/>
        <v>39525.13</v>
      </c>
      <c r="K4539" s="7"/>
      <c r="L4539" s="70"/>
      <c r="M4539" s="79"/>
      <c r="N4539" s="1"/>
      <c r="O4539" s="1"/>
      <c r="P4539" s="1"/>
      <c r="Q4539" s="1"/>
      <c r="R4539" s="1"/>
      <c r="S4539" s="1"/>
      <c r="T4539" s="1"/>
      <c r="U4539" s="1"/>
      <c r="V4539" s="1"/>
      <c r="W4539" s="1"/>
      <c r="X4539" s="1"/>
      <c r="Y4539" s="1"/>
      <c r="Z4539" s="1"/>
      <c r="AA4539" s="1"/>
      <c r="AB4539" s="1"/>
      <c r="AC4539" s="1"/>
      <c r="AD4539" s="1"/>
      <c r="AE4539" s="1"/>
      <c r="AF4539" s="1"/>
      <c r="AG4539" s="1"/>
      <c r="AH4539" s="1"/>
    </row>
    <row r="4540" ht="12.75" hidden="1" customHeight="1" outlineLevel="1">
      <c r="A4540" s="17">
        <v>41809.0</v>
      </c>
      <c r="B4540" s="1" t="s">
        <v>343</v>
      </c>
      <c r="C4540" s="1" t="s">
        <v>1766</v>
      </c>
      <c r="D4540" s="74">
        <v>500.0</v>
      </c>
      <c r="E4540" s="67">
        <v>70.814</v>
      </c>
      <c r="F4540" s="75">
        <v>0.6140393518518519</v>
      </c>
      <c r="G4540" s="67" t="s">
        <v>453</v>
      </c>
      <c r="H4540" s="68">
        <v>2.0</v>
      </c>
      <c r="I4540" s="76"/>
      <c r="J4540" s="67">
        <f t="shared" si="282"/>
        <v>-35409</v>
      </c>
      <c r="K4540" s="7"/>
      <c r="L4540" s="70"/>
      <c r="M4540" s="79"/>
      <c r="N4540" s="1"/>
      <c r="O4540" s="1"/>
      <c r="P4540" s="1"/>
      <c r="Q4540" s="1"/>
      <c r="R4540" s="1"/>
      <c r="S4540" s="1"/>
      <c r="T4540" s="1"/>
      <c r="U4540" s="1"/>
      <c r="V4540" s="1"/>
      <c r="W4540" s="1"/>
      <c r="X4540" s="1"/>
      <c r="Y4540" s="1"/>
      <c r="Z4540" s="1"/>
      <c r="AA4540" s="1"/>
      <c r="AB4540" s="1"/>
      <c r="AC4540" s="1"/>
      <c r="AD4540" s="1"/>
      <c r="AE4540" s="1"/>
      <c r="AF4540" s="1"/>
      <c r="AG4540" s="1"/>
      <c r="AH4540" s="1"/>
    </row>
    <row r="4541" ht="12.75" hidden="1" customHeight="1" outlineLevel="1">
      <c r="A4541" s="17">
        <v>41809.0</v>
      </c>
      <c r="B4541" s="1" t="s">
        <v>343</v>
      </c>
      <c r="C4541" s="1" t="s">
        <v>1725</v>
      </c>
      <c r="D4541" s="74">
        <v>2500.0</v>
      </c>
      <c r="E4541" s="67">
        <v>15.803</v>
      </c>
      <c r="F4541" s="75">
        <v>0.6282175925925926</v>
      </c>
      <c r="G4541" s="67" t="s">
        <v>453</v>
      </c>
      <c r="H4541" s="68">
        <v>11.8</v>
      </c>
      <c r="I4541" s="76"/>
      <c r="J4541" s="67">
        <f t="shared" si="282"/>
        <v>-39519.3</v>
      </c>
      <c r="K4541" s="7"/>
      <c r="L4541" s="70"/>
      <c r="M4541" s="79"/>
      <c r="N4541" s="1"/>
      <c r="O4541" s="1"/>
      <c r="P4541" s="1"/>
      <c r="Q4541" s="1"/>
      <c r="R4541" s="1"/>
      <c r="S4541" s="1"/>
      <c r="T4541" s="1"/>
      <c r="U4541" s="1"/>
      <c r="V4541" s="1"/>
      <c r="W4541" s="1"/>
      <c r="X4541" s="1"/>
      <c r="Y4541" s="1"/>
      <c r="Z4541" s="1"/>
      <c r="AA4541" s="1"/>
      <c r="AB4541" s="1"/>
      <c r="AC4541" s="1"/>
      <c r="AD4541" s="1"/>
      <c r="AE4541" s="1"/>
      <c r="AF4541" s="1"/>
      <c r="AG4541" s="1"/>
      <c r="AH4541" s="1"/>
    </row>
    <row r="4542" ht="12.75" hidden="1" customHeight="1" outlineLevel="1">
      <c r="A4542" s="17">
        <v>41809.0</v>
      </c>
      <c r="B4542" s="1" t="s">
        <v>343</v>
      </c>
      <c r="C4542" s="1" t="s">
        <v>784</v>
      </c>
      <c r="D4542" s="74">
        <v>3000.0</v>
      </c>
      <c r="E4542" s="67">
        <v>12.92</v>
      </c>
      <c r="F4542" s="75">
        <v>0.6294907407407407</v>
      </c>
      <c r="G4542" s="67" t="s">
        <v>453</v>
      </c>
      <c r="H4542" s="68">
        <v>12.2</v>
      </c>
      <c r="I4542" s="76"/>
      <c r="J4542" s="67">
        <f t="shared" si="282"/>
        <v>-38772.2</v>
      </c>
      <c r="K4542" s="7"/>
      <c r="L4542" s="70"/>
      <c r="M4542" s="79"/>
      <c r="N4542" s="1"/>
      <c r="O4542" s="1"/>
      <c r="P4542" s="1"/>
      <c r="Q4542" s="1"/>
      <c r="R4542" s="1"/>
      <c r="S4542" s="1"/>
      <c r="T4542" s="1"/>
      <c r="U4542" s="1"/>
      <c r="V4542" s="1"/>
      <c r="W4542" s="1"/>
      <c r="X4542" s="1"/>
      <c r="Y4542" s="1"/>
      <c r="Z4542" s="1"/>
      <c r="AA4542" s="1"/>
      <c r="AB4542" s="1"/>
      <c r="AC4542" s="1"/>
      <c r="AD4542" s="1"/>
      <c r="AE4542" s="1"/>
      <c r="AF4542" s="1"/>
      <c r="AG4542" s="1"/>
      <c r="AH4542" s="1"/>
    </row>
    <row r="4543" ht="12.75" hidden="1" customHeight="1" outlineLevel="1">
      <c r="A4543" s="17">
        <v>41809.0</v>
      </c>
      <c r="B4543" s="1" t="s">
        <v>343</v>
      </c>
      <c r="C4543" s="1" t="s">
        <v>369</v>
      </c>
      <c r="D4543" s="74">
        <v>2000.0</v>
      </c>
      <c r="E4543" s="67">
        <v>14.81</v>
      </c>
      <c r="F4543" s="75">
        <v>0.6298032407407407</v>
      </c>
      <c r="G4543" s="67" t="s">
        <v>453</v>
      </c>
      <c r="H4543" s="68">
        <v>8.0</v>
      </c>
      <c r="I4543" s="76"/>
      <c r="J4543" s="67">
        <f t="shared" si="282"/>
        <v>-29628</v>
      </c>
      <c r="K4543" s="7"/>
      <c r="L4543" s="70"/>
      <c r="M4543" s="79"/>
      <c r="N4543" s="1"/>
      <c r="O4543" s="1"/>
      <c r="P4543" s="1"/>
      <c r="Q4543" s="1"/>
      <c r="R4543" s="1"/>
      <c r="S4543" s="1"/>
      <c r="T4543" s="1"/>
      <c r="U4543" s="1"/>
      <c r="V4543" s="1"/>
      <c r="W4543" s="1"/>
      <c r="X4543" s="1"/>
      <c r="Y4543" s="1"/>
      <c r="Z4543" s="1"/>
      <c r="AA4543" s="1"/>
      <c r="AB4543" s="1"/>
      <c r="AC4543" s="1"/>
      <c r="AD4543" s="1"/>
      <c r="AE4543" s="1"/>
      <c r="AF4543" s="1"/>
      <c r="AG4543" s="1"/>
      <c r="AH4543" s="1"/>
    </row>
    <row r="4544" ht="12.75" hidden="1" customHeight="1" outlineLevel="1">
      <c r="A4544" s="17">
        <v>41809.0</v>
      </c>
      <c r="B4544" s="1" t="s">
        <v>343</v>
      </c>
      <c r="C4544" s="1" t="s">
        <v>355</v>
      </c>
      <c r="D4544" s="74">
        <v>4000.0</v>
      </c>
      <c r="E4544" s="67">
        <v>5.58</v>
      </c>
      <c r="F4544" s="75">
        <v>0.6299421296296296</v>
      </c>
      <c r="G4544" s="67" t="s">
        <v>453</v>
      </c>
      <c r="H4544" s="68">
        <v>16.5</v>
      </c>
      <c r="I4544" s="76"/>
      <c r="J4544" s="67">
        <f t="shared" si="282"/>
        <v>-22336.5</v>
      </c>
      <c r="K4544" s="7"/>
      <c r="L4544" s="70"/>
      <c r="M4544" s="79"/>
      <c r="N4544" s="1"/>
      <c r="O4544" s="1"/>
      <c r="P4544" s="1"/>
      <c r="Q4544" s="1"/>
      <c r="R4544" s="1"/>
      <c r="S4544" s="1"/>
      <c r="T4544" s="1"/>
      <c r="U4544" s="1"/>
      <c r="V4544" s="1"/>
      <c r="W4544" s="1"/>
      <c r="X4544" s="1"/>
      <c r="Y4544" s="1"/>
      <c r="Z4544" s="1"/>
      <c r="AA4544" s="1"/>
      <c r="AB4544" s="1"/>
      <c r="AC4544" s="1"/>
      <c r="AD4544" s="1"/>
      <c r="AE4544" s="1"/>
      <c r="AF4544" s="1"/>
      <c r="AG4544" s="1"/>
      <c r="AH4544" s="1"/>
    </row>
    <row r="4545" ht="12.75" hidden="1" customHeight="1" outlineLevel="1">
      <c r="A4545" s="17">
        <v>41809.0</v>
      </c>
      <c r="B4545" s="1"/>
      <c r="C4545" s="1" t="s">
        <v>339</v>
      </c>
      <c r="D4545" s="74"/>
      <c r="E4545" s="67"/>
      <c r="F4545" s="75"/>
      <c r="G4545" s="67"/>
      <c r="H4545" s="68"/>
      <c r="I4545" s="76"/>
      <c r="J4545" s="67"/>
      <c r="K4545" s="7" t="s">
        <v>1865</v>
      </c>
      <c r="L4545" s="77"/>
      <c r="M4545" s="79"/>
      <c r="N4545" s="1"/>
      <c r="O4545" s="1"/>
      <c r="P4545" s="1"/>
      <c r="Q4545" s="1"/>
      <c r="R4545" s="1"/>
      <c r="S4545" s="1"/>
      <c r="T4545" s="1"/>
      <c r="U4545" s="1"/>
      <c r="V4545" s="1"/>
      <c r="W4545" s="1"/>
      <c r="X4545" s="1"/>
      <c r="Y4545" s="1"/>
      <c r="Z4545" s="1"/>
      <c r="AA4545" s="1"/>
      <c r="AB4545" s="1"/>
      <c r="AC4545" s="1"/>
      <c r="AD4545" s="1"/>
      <c r="AE4545" s="1"/>
      <c r="AF4545" s="1"/>
      <c r="AG4545" s="1"/>
      <c r="AH4545" s="1"/>
    </row>
    <row r="4546" ht="12.75" hidden="1" customHeight="1" outlineLevel="1">
      <c r="A4546" s="17">
        <v>41809.0</v>
      </c>
      <c r="B4546" s="1"/>
      <c r="C4546" s="1" t="s">
        <v>429</v>
      </c>
      <c r="D4546" s="74"/>
      <c r="E4546" s="67"/>
      <c r="F4546" s="75"/>
      <c r="G4546" s="67"/>
      <c r="H4546" s="68"/>
      <c r="I4546" s="76"/>
      <c r="J4546" s="67"/>
      <c r="K4546" s="7" t="s">
        <v>1761</v>
      </c>
      <c r="L4546" s="77"/>
      <c r="M4546" s="79"/>
      <c r="N4546" s="1"/>
      <c r="O4546" s="1"/>
      <c r="P4546" s="1"/>
      <c r="Q4546" s="1"/>
      <c r="R4546" s="1"/>
      <c r="S4546" s="1"/>
      <c r="T4546" s="1"/>
      <c r="U4546" s="1"/>
      <c r="V4546" s="1"/>
      <c r="W4546" s="1"/>
      <c r="X4546" s="1"/>
      <c r="Y4546" s="1"/>
      <c r="Z4546" s="1"/>
      <c r="AA4546" s="1"/>
      <c r="AB4546" s="1"/>
      <c r="AC4546" s="1"/>
      <c r="AD4546" s="1"/>
      <c r="AE4546" s="1"/>
      <c r="AF4546" s="1"/>
      <c r="AG4546" s="1"/>
      <c r="AH4546" s="1"/>
    </row>
    <row r="4547" ht="12.75" hidden="1" customHeight="1" outlineLevel="1">
      <c r="A4547" s="17">
        <v>41809.0</v>
      </c>
      <c r="B4547" s="1"/>
      <c r="C4547" s="1" t="s">
        <v>431</v>
      </c>
      <c r="D4547" s="74"/>
      <c r="E4547" s="67"/>
      <c r="F4547" s="75"/>
      <c r="G4547" s="67"/>
      <c r="H4547" s="68"/>
      <c r="I4547" s="76"/>
      <c r="J4547" s="67"/>
      <c r="K4547" s="7" t="s">
        <v>1126</v>
      </c>
      <c r="L4547" s="77"/>
      <c r="M4547" s="79"/>
      <c r="N4547" s="1"/>
      <c r="O4547" s="1"/>
      <c r="P4547" s="1"/>
      <c r="Q4547" s="1"/>
      <c r="R4547" s="1"/>
      <c r="S4547" s="1"/>
      <c r="T4547" s="1"/>
      <c r="U4547" s="1"/>
      <c r="V4547" s="1"/>
      <c r="W4547" s="1"/>
      <c r="X4547" s="1"/>
      <c r="Y4547" s="1"/>
      <c r="Z4547" s="1"/>
      <c r="AA4547" s="1"/>
      <c r="AB4547" s="1"/>
      <c r="AC4547" s="1"/>
      <c r="AD4547" s="1"/>
      <c r="AE4547" s="1"/>
      <c r="AF4547" s="1"/>
      <c r="AG4547" s="1"/>
      <c r="AH4547" s="1"/>
    </row>
    <row r="4548" ht="12.75" hidden="1" customHeight="1" outlineLevel="1">
      <c r="A4548" s="17">
        <v>41809.0</v>
      </c>
      <c r="B4548" s="1"/>
      <c r="C4548" s="1" t="s">
        <v>433</v>
      </c>
      <c r="D4548" s="74"/>
      <c r="E4548" s="67"/>
      <c r="F4548" s="75"/>
      <c r="G4548" s="67"/>
      <c r="H4548" s="68"/>
      <c r="I4548" s="76"/>
      <c r="J4548" s="67"/>
      <c r="K4548" s="7" t="s">
        <v>1103</v>
      </c>
      <c r="L4548" s="77"/>
      <c r="M4548" s="79"/>
      <c r="N4548" s="1"/>
      <c r="O4548" s="1"/>
      <c r="P4548" s="1"/>
      <c r="Q4548" s="1"/>
      <c r="R4548" s="1"/>
      <c r="S4548" s="1"/>
      <c r="T4548" s="1"/>
      <c r="U4548" s="1"/>
      <c r="V4548" s="1"/>
      <c r="W4548" s="1"/>
      <c r="X4548" s="1"/>
      <c r="Y4548" s="1"/>
      <c r="Z4548" s="1"/>
      <c r="AA4548" s="1"/>
      <c r="AB4548" s="1"/>
      <c r="AC4548" s="1"/>
      <c r="AD4548" s="1"/>
      <c r="AE4548" s="1"/>
      <c r="AF4548" s="1"/>
      <c r="AG4548" s="1"/>
      <c r="AH4548" s="1"/>
    </row>
    <row r="4549" ht="12.75" hidden="1" customHeight="1" outlineLevel="1">
      <c r="A4549" s="17">
        <v>41809.0</v>
      </c>
      <c r="B4549" s="1"/>
      <c r="C4549" s="1" t="s">
        <v>435</v>
      </c>
      <c r="D4549" s="74"/>
      <c r="E4549" s="67"/>
      <c r="F4549" s="75"/>
      <c r="G4549" s="67"/>
      <c r="H4549" s="68"/>
      <c r="I4549" s="76"/>
      <c r="J4549" s="67"/>
      <c r="K4549" s="7" t="s">
        <v>1507</v>
      </c>
      <c r="L4549" s="77"/>
      <c r="M4549" s="79"/>
      <c r="N4549" s="1"/>
      <c r="O4549" s="1"/>
      <c r="P4549" s="1"/>
      <c r="Q4549" s="1"/>
      <c r="R4549" s="1"/>
      <c r="S4549" s="1"/>
      <c r="T4549" s="1"/>
      <c r="U4549" s="1"/>
      <c r="V4549" s="1"/>
      <c r="W4549" s="1"/>
      <c r="X4549" s="1"/>
      <c r="Y4549" s="1"/>
      <c r="Z4549" s="1"/>
      <c r="AA4549" s="1"/>
      <c r="AB4549" s="1"/>
      <c r="AC4549" s="1"/>
      <c r="AD4549" s="1"/>
      <c r="AE4549" s="1"/>
      <c r="AF4549" s="1"/>
      <c r="AG4549" s="1"/>
      <c r="AH4549" s="1"/>
    </row>
    <row r="4550" ht="12.75" hidden="1" customHeight="1" outlineLevel="1">
      <c r="A4550" s="17">
        <v>41810.0</v>
      </c>
      <c r="B4550" s="1" t="s">
        <v>347</v>
      </c>
      <c r="C4550" s="1" t="s">
        <v>369</v>
      </c>
      <c r="D4550" s="74">
        <v>3000.0</v>
      </c>
      <c r="E4550" s="67">
        <v>14.67</v>
      </c>
      <c r="F4550" s="75">
        <v>0.46859953703703705</v>
      </c>
      <c r="G4550" s="67" t="s">
        <v>453</v>
      </c>
      <c r="H4550" s="68">
        <v>12.97</v>
      </c>
      <c r="I4550" s="76"/>
      <c r="J4550" s="67">
        <f t="shared" ref="J4550:J4553" si="283">IF(B4550="SLD",D4550*E4550,-D4550*E4550)-H4550</f>
        <v>43997.03</v>
      </c>
      <c r="K4550" s="7"/>
      <c r="L4550" s="70"/>
      <c r="M4550" s="79"/>
      <c r="N4550" s="1"/>
      <c r="O4550" s="1"/>
      <c r="P4550" s="1"/>
      <c r="Q4550" s="1"/>
      <c r="R4550" s="1"/>
      <c r="S4550" s="1"/>
      <c r="T4550" s="1"/>
      <c r="U4550" s="1"/>
      <c r="V4550" s="1"/>
      <c r="W4550" s="1"/>
      <c r="X4550" s="1"/>
      <c r="Y4550" s="1"/>
      <c r="Z4550" s="1"/>
      <c r="AA4550" s="1"/>
      <c r="AB4550" s="1"/>
      <c r="AC4550" s="1"/>
      <c r="AD4550" s="1"/>
      <c r="AE4550" s="1"/>
      <c r="AF4550" s="1"/>
      <c r="AG4550" s="1"/>
      <c r="AH4550" s="1"/>
    </row>
    <row r="4551" ht="12.75" hidden="1" customHeight="1" outlineLevel="1">
      <c r="A4551" s="17">
        <v>41810.0</v>
      </c>
      <c r="B4551" s="1" t="s">
        <v>347</v>
      </c>
      <c r="C4551" s="1" t="s">
        <v>784</v>
      </c>
      <c r="D4551" s="74">
        <v>4000.0</v>
      </c>
      <c r="E4551" s="67">
        <v>12.85</v>
      </c>
      <c r="F4551" s="75">
        <v>0.4690972222222222</v>
      </c>
      <c r="G4551" s="67" t="s">
        <v>453</v>
      </c>
      <c r="H4551" s="68">
        <v>18.74</v>
      </c>
      <c r="I4551" s="76"/>
      <c r="J4551" s="67">
        <f t="shared" si="283"/>
        <v>51381.26</v>
      </c>
      <c r="K4551" s="7"/>
      <c r="L4551" s="70"/>
      <c r="M4551" s="79"/>
      <c r="N4551" s="1"/>
      <c r="O4551" s="1"/>
      <c r="P4551" s="1"/>
      <c r="Q4551" s="1"/>
      <c r="R4551" s="1"/>
      <c r="S4551" s="1"/>
      <c r="T4551" s="1"/>
      <c r="U4551" s="1"/>
      <c r="V4551" s="1"/>
      <c r="W4551" s="1"/>
      <c r="X4551" s="1"/>
      <c r="Y4551" s="1"/>
      <c r="Z4551" s="1"/>
      <c r="AA4551" s="1"/>
      <c r="AB4551" s="1"/>
      <c r="AC4551" s="1"/>
      <c r="AD4551" s="1"/>
      <c r="AE4551" s="1"/>
      <c r="AF4551" s="1"/>
      <c r="AG4551" s="1"/>
      <c r="AH4551" s="1"/>
    </row>
    <row r="4552" ht="12.75" hidden="1" customHeight="1" outlineLevel="1">
      <c r="A4552" s="17">
        <v>41810.0</v>
      </c>
      <c r="B4552" s="1" t="s">
        <v>347</v>
      </c>
      <c r="C4552" s="1" t="s">
        <v>1044</v>
      </c>
      <c r="D4552" s="74">
        <v>1500.0</v>
      </c>
      <c r="E4552" s="67">
        <v>25.68</v>
      </c>
      <c r="F4552" s="75">
        <v>0.47353009259259254</v>
      </c>
      <c r="G4552" s="67" t="s">
        <v>453</v>
      </c>
      <c r="H4552" s="68">
        <v>6.85</v>
      </c>
      <c r="I4552" s="76"/>
      <c r="J4552" s="67">
        <f t="shared" si="283"/>
        <v>38513.15</v>
      </c>
      <c r="K4552" s="7"/>
      <c r="L4552" s="70"/>
      <c r="M4552" s="79"/>
      <c r="N4552" s="1"/>
      <c r="O4552" s="1"/>
      <c r="P4552" s="1"/>
      <c r="Q4552" s="1"/>
      <c r="R4552" s="1"/>
      <c r="S4552" s="1"/>
      <c r="T4552" s="1"/>
      <c r="U4552" s="1"/>
      <c r="V4552" s="1"/>
      <c r="W4552" s="1"/>
      <c r="X4552" s="1"/>
      <c r="Y4552" s="1"/>
      <c r="Z4552" s="1"/>
      <c r="AA4552" s="1"/>
      <c r="AB4552" s="1"/>
      <c r="AC4552" s="1"/>
      <c r="AD4552" s="1"/>
      <c r="AE4552" s="1"/>
      <c r="AF4552" s="1"/>
      <c r="AG4552" s="1"/>
      <c r="AH4552" s="1"/>
    </row>
    <row r="4553" ht="12.75" hidden="1" customHeight="1" outlineLevel="1">
      <c r="A4553" s="17">
        <v>41810.0</v>
      </c>
      <c r="B4553" s="1" t="s">
        <v>343</v>
      </c>
      <c r="C4553" s="1" t="s">
        <v>1158</v>
      </c>
      <c r="D4553" s="74">
        <v>1000.0</v>
      </c>
      <c r="E4553" s="67">
        <v>39.87</v>
      </c>
      <c r="F4553" s="75">
        <v>0.5629976851851851</v>
      </c>
      <c r="G4553" s="67" t="s">
        <v>453</v>
      </c>
      <c r="H4553" s="68">
        <v>4.0</v>
      </c>
      <c r="I4553" s="76"/>
      <c r="J4553" s="67">
        <f t="shared" si="283"/>
        <v>-39874</v>
      </c>
      <c r="K4553" s="7"/>
      <c r="L4553" s="70"/>
      <c r="M4553" s="79"/>
      <c r="N4553" s="1"/>
      <c r="O4553" s="1"/>
      <c r="P4553" s="1"/>
      <c r="Q4553" s="1"/>
      <c r="R4553" s="1"/>
      <c r="S4553" s="1"/>
      <c r="T4553" s="1"/>
      <c r="U4553" s="1"/>
      <c r="V4553" s="1"/>
      <c r="W4553" s="1"/>
      <c r="X4553" s="1"/>
      <c r="Y4553" s="1"/>
      <c r="Z4553" s="1"/>
      <c r="AA4553" s="1"/>
      <c r="AB4553" s="1"/>
      <c r="AC4553" s="1"/>
      <c r="AD4553" s="1"/>
      <c r="AE4553" s="1"/>
      <c r="AF4553" s="1"/>
      <c r="AG4553" s="1"/>
      <c r="AH4553" s="1"/>
    </row>
    <row r="4554" ht="12.75" hidden="1" customHeight="1" outlineLevel="1">
      <c r="A4554" s="17">
        <v>41810.0</v>
      </c>
      <c r="B4554" s="1"/>
      <c r="C4554" s="1" t="s">
        <v>339</v>
      </c>
      <c r="D4554" s="74"/>
      <c r="E4554" s="67"/>
      <c r="F4554" s="75"/>
      <c r="G4554" s="67"/>
      <c r="H4554" s="68"/>
      <c r="I4554" s="76"/>
      <c r="J4554" s="67"/>
      <c r="K4554" s="7" t="s">
        <v>1870</v>
      </c>
      <c r="L4554" s="77"/>
      <c r="M4554" s="79"/>
      <c r="N4554" s="1"/>
      <c r="O4554" s="1"/>
      <c r="P4554" s="1"/>
      <c r="Q4554" s="1"/>
      <c r="R4554" s="1"/>
      <c r="S4554" s="1"/>
      <c r="T4554" s="1"/>
      <c r="U4554" s="1"/>
      <c r="V4554" s="1"/>
      <c r="W4554" s="1"/>
      <c r="X4554" s="1"/>
      <c r="Y4554" s="1"/>
      <c r="Z4554" s="1"/>
      <c r="AA4554" s="1"/>
      <c r="AB4554" s="1"/>
      <c r="AC4554" s="1"/>
      <c r="AD4554" s="1"/>
      <c r="AE4554" s="1"/>
      <c r="AF4554" s="1"/>
      <c r="AG4554" s="1"/>
      <c r="AH4554" s="1"/>
    </row>
    <row r="4555" ht="12.75" hidden="1" customHeight="1" outlineLevel="1">
      <c r="A4555" s="17">
        <v>41810.0</v>
      </c>
      <c r="B4555" s="1"/>
      <c r="C4555" s="1" t="s">
        <v>429</v>
      </c>
      <c r="D4555" s="74"/>
      <c r="E4555" s="67"/>
      <c r="F4555" s="75"/>
      <c r="G4555" s="67"/>
      <c r="H4555" s="68"/>
      <c r="I4555" s="76"/>
      <c r="J4555" s="67"/>
      <c r="K4555" s="7" t="s">
        <v>1761</v>
      </c>
      <c r="L4555" s="77"/>
      <c r="M4555" s="79"/>
      <c r="N4555" s="1"/>
      <c r="O4555" s="1"/>
      <c r="P4555" s="1"/>
      <c r="Q4555" s="1"/>
      <c r="R4555" s="1"/>
      <c r="S4555" s="1"/>
      <c r="T4555" s="1"/>
      <c r="U4555" s="1"/>
      <c r="V4555" s="1"/>
      <c r="W4555" s="1"/>
      <c r="X4555" s="1"/>
      <c r="Y4555" s="1"/>
      <c r="Z4555" s="1"/>
      <c r="AA4555" s="1"/>
      <c r="AB4555" s="1"/>
      <c r="AC4555" s="1"/>
      <c r="AD4555" s="1"/>
      <c r="AE4555" s="1"/>
      <c r="AF4555" s="1"/>
      <c r="AG4555" s="1"/>
      <c r="AH4555" s="1"/>
    </row>
    <row r="4556" ht="12.75" hidden="1" customHeight="1" outlineLevel="1">
      <c r="A4556" s="17">
        <v>41810.0</v>
      </c>
      <c r="B4556" s="1"/>
      <c r="C4556" s="1" t="s">
        <v>431</v>
      </c>
      <c r="D4556" s="74"/>
      <c r="E4556" s="67"/>
      <c r="F4556" s="75"/>
      <c r="G4556" s="67"/>
      <c r="H4556" s="68"/>
      <c r="I4556" s="76"/>
      <c r="J4556" s="67"/>
      <c r="K4556" s="7" t="s">
        <v>1126</v>
      </c>
      <c r="L4556" s="77"/>
      <c r="M4556" s="79"/>
      <c r="N4556" s="1"/>
      <c r="O4556" s="1"/>
      <c r="P4556" s="1"/>
      <c r="Q4556" s="1"/>
      <c r="R4556" s="1"/>
      <c r="S4556" s="1"/>
      <c r="T4556" s="1"/>
      <c r="U4556" s="1"/>
      <c r="V4556" s="1"/>
      <c r="W4556" s="1"/>
      <c r="X4556" s="1"/>
      <c r="Y4556" s="1"/>
      <c r="Z4556" s="1"/>
      <c r="AA4556" s="1"/>
      <c r="AB4556" s="1"/>
      <c r="AC4556" s="1"/>
      <c r="AD4556" s="1"/>
      <c r="AE4556" s="1"/>
      <c r="AF4556" s="1"/>
      <c r="AG4556" s="1"/>
      <c r="AH4556" s="1"/>
    </row>
    <row r="4557" ht="12.75" hidden="1" customHeight="1" outlineLevel="1">
      <c r="A4557" s="17">
        <v>41810.0</v>
      </c>
      <c r="B4557" s="1"/>
      <c r="C4557" s="1" t="s">
        <v>433</v>
      </c>
      <c r="D4557" s="74"/>
      <c r="E4557" s="67"/>
      <c r="F4557" s="75"/>
      <c r="G4557" s="67"/>
      <c r="H4557" s="68"/>
      <c r="I4557" s="76"/>
      <c r="J4557" s="67"/>
      <c r="K4557" s="7" t="s">
        <v>1103</v>
      </c>
      <c r="L4557" s="77"/>
      <c r="M4557" s="79"/>
      <c r="N4557" s="1"/>
      <c r="O4557" s="1"/>
      <c r="P4557" s="1"/>
      <c r="Q4557" s="1"/>
      <c r="R4557" s="1"/>
      <c r="S4557" s="1"/>
      <c r="T4557" s="1"/>
      <c r="U4557" s="1"/>
      <c r="V4557" s="1"/>
      <c r="W4557" s="1"/>
      <c r="X4557" s="1"/>
      <c r="Y4557" s="1"/>
      <c r="Z4557" s="1"/>
      <c r="AA4557" s="1"/>
      <c r="AB4557" s="1"/>
      <c r="AC4557" s="1"/>
      <c r="AD4557" s="1"/>
      <c r="AE4557" s="1"/>
      <c r="AF4557" s="1"/>
      <c r="AG4557" s="1"/>
      <c r="AH4557" s="1"/>
    </row>
    <row r="4558" ht="12.75" hidden="1" customHeight="1" outlineLevel="1">
      <c r="A4558" s="17">
        <v>41810.0</v>
      </c>
      <c r="B4558" s="1"/>
      <c r="C4558" s="1" t="s">
        <v>435</v>
      </c>
      <c r="D4558" s="74"/>
      <c r="E4558" s="67"/>
      <c r="F4558" s="75"/>
      <c r="G4558" s="67"/>
      <c r="H4558" s="68"/>
      <c r="I4558" s="76"/>
      <c r="J4558" s="67"/>
      <c r="K4558" s="7" t="s">
        <v>1507</v>
      </c>
      <c r="L4558" s="77"/>
      <c r="M4558" s="79"/>
      <c r="N4558" s="1"/>
      <c r="O4558" s="1"/>
      <c r="P4558" s="1"/>
      <c r="Q4558" s="1"/>
      <c r="R4558" s="1"/>
      <c r="S4558" s="1"/>
      <c r="T4558" s="1"/>
      <c r="U4558" s="1"/>
      <c r="V4558" s="1"/>
      <c r="W4558" s="1"/>
      <c r="X4558" s="1"/>
      <c r="Y4558" s="1"/>
      <c r="Z4558" s="1"/>
      <c r="AA4558" s="1"/>
      <c r="AB4558" s="1"/>
      <c r="AC4558" s="1"/>
      <c r="AD4558" s="1"/>
      <c r="AE4558" s="1"/>
      <c r="AF4558" s="1"/>
      <c r="AG4558" s="1"/>
      <c r="AH4558" s="1"/>
    </row>
    <row r="4559" ht="12.75" hidden="1" customHeight="1" outlineLevel="1">
      <c r="A4559" s="17">
        <v>41813.0</v>
      </c>
      <c r="B4559" s="1" t="s">
        <v>347</v>
      </c>
      <c r="C4559" s="1" t="s">
        <v>355</v>
      </c>
      <c r="D4559" s="74">
        <v>8000.0</v>
      </c>
      <c r="E4559" s="67">
        <v>5.56</v>
      </c>
      <c r="F4559" s="75">
        <v>0.39584490740740735</v>
      </c>
      <c r="G4559" s="67" t="s">
        <v>453</v>
      </c>
      <c r="H4559" s="68">
        <v>40.98</v>
      </c>
      <c r="I4559" s="76"/>
      <c r="J4559" s="67">
        <f t="shared" ref="J4559:J4563" si="284">IF(B4559="SLD",D4559*E4559,-D4559*E4559)-H4559</f>
        <v>44439.02</v>
      </c>
      <c r="K4559" s="7"/>
      <c r="L4559" s="70"/>
      <c r="M4559" s="79"/>
      <c r="N4559" s="1"/>
      <c r="O4559" s="1"/>
      <c r="P4559" s="1"/>
      <c r="Q4559" s="1"/>
      <c r="R4559" s="1"/>
      <c r="S4559" s="1"/>
      <c r="T4559" s="1"/>
      <c r="U4559" s="1"/>
      <c r="V4559" s="1"/>
      <c r="W4559" s="1"/>
      <c r="X4559" s="1"/>
      <c r="Y4559" s="1"/>
      <c r="Z4559" s="1"/>
      <c r="AA4559" s="1"/>
      <c r="AB4559" s="1"/>
      <c r="AC4559" s="1"/>
      <c r="AD4559" s="1"/>
      <c r="AE4559" s="1"/>
      <c r="AF4559" s="1"/>
      <c r="AG4559" s="1"/>
      <c r="AH4559" s="1"/>
    </row>
    <row r="4560" ht="12.75" hidden="1" customHeight="1" outlineLevel="1">
      <c r="A4560" s="17">
        <v>41813.0</v>
      </c>
      <c r="B4560" s="1" t="s">
        <v>347</v>
      </c>
      <c r="C4560" s="1" t="s">
        <v>369</v>
      </c>
      <c r="D4560" s="74">
        <v>500.0</v>
      </c>
      <c r="E4560" s="67">
        <v>14.72</v>
      </c>
      <c r="F4560" s="75">
        <v>0.3967361111111111</v>
      </c>
      <c r="G4560" s="67" t="s">
        <v>453</v>
      </c>
      <c r="H4560" s="68">
        <v>2.66</v>
      </c>
      <c r="I4560" s="76"/>
      <c r="J4560" s="67">
        <f t="shared" si="284"/>
        <v>7357.34</v>
      </c>
      <c r="K4560" s="7"/>
      <c r="L4560" s="70"/>
      <c r="M4560" s="79"/>
      <c r="N4560" s="1"/>
      <c r="O4560" s="1"/>
      <c r="P4560" s="1"/>
      <c r="Q4560" s="1"/>
      <c r="R4560" s="1"/>
      <c r="S4560" s="1"/>
      <c r="T4560" s="1"/>
      <c r="U4560" s="1"/>
      <c r="V4560" s="1"/>
      <c r="W4560" s="1"/>
      <c r="X4560" s="1"/>
      <c r="Y4560" s="1"/>
      <c r="Z4560" s="1"/>
      <c r="AA4560" s="1"/>
      <c r="AB4560" s="1"/>
      <c r="AC4560" s="1"/>
      <c r="AD4560" s="1"/>
      <c r="AE4560" s="1"/>
      <c r="AF4560" s="1"/>
      <c r="AG4560" s="1"/>
      <c r="AH4560" s="1"/>
    </row>
    <row r="4561" ht="12.75" hidden="1" customHeight="1" outlineLevel="1">
      <c r="A4561" s="17">
        <v>41813.0</v>
      </c>
      <c r="B4561" s="1" t="s">
        <v>347</v>
      </c>
      <c r="C4561" s="1" t="s">
        <v>790</v>
      </c>
      <c r="D4561" s="74">
        <v>1700.0</v>
      </c>
      <c r="E4561" s="67">
        <v>15.59</v>
      </c>
      <c r="F4561" s="75">
        <v>0.5061574074074074</v>
      </c>
      <c r="G4561" s="67" t="s">
        <v>453</v>
      </c>
      <c r="H4561" s="68">
        <v>7.99</v>
      </c>
      <c r="I4561" s="76"/>
      <c r="J4561" s="67">
        <f t="shared" si="284"/>
        <v>26495.01</v>
      </c>
      <c r="K4561" s="7"/>
      <c r="L4561" s="70"/>
      <c r="M4561" s="79"/>
      <c r="N4561" s="1"/>
      <c r="O4561" s="1"/>
      <c r="P4561" s="1"/>
      <c r="Q4561" s="1"/>
      <c r="R4561" s="1"/>
      <c r="S4561" s="1"/>
      <c r="T4561" s="1"/>
      <c r="U4561" s="1"/>
      <c r="V4561" s="1"/>
      <c r="W4561" s="1"/>
      <c r="X4561" s="1"/>
      <c r="Y4561" s="1"/>
      <c r="Z4561" s="1"/>
      <c r="AA4561" s="1"/>
      <c r="AB4561" s="1"/>
      <c r="AC4561" s="1"/>
      <c r="AD4561" s="1"/>
      <c r="AE4561" s="1"/>
      <c r="AF4561" s="1"/>
      <c r="AG4561" s="1"/>
      <c r="AH4561" s="1"/>
    </row>
    <row r="4562" ht="12.75" hidden="1" customHeight="1" outlineLevel="1">
      <c r="A4562" s="17">
        <v>41813.0</v>
      </c>
      <c r="B4562" s="1" t="s">
        <v>343</v>
      </c>
      <c r="C4562" s="1" t="s">
        <v>354</v>
      </c>
      <c r="D4562" s="74">
        <v>100.0</v>
      </c>
      <c r="E4562" s="67">
        <v>117.47</v>
      </c>
      <c r="F4562" s="75">
        <v>0.5933912037037037</v>
      </c>
      <c r="G4562" s="67" t="s">
        <v>453</v>
      </c>
      <c r="H4562" s="68">
        <v>1.0</v>
      </c>
      <c r="I4562" s="76"/>
      <c r="J4562" s="67">
        <f t="shared" si="284"/>
        <v>-11748</v>
      </c>
      <c r="K4562" s="7"/>
      <c r="L4562" s="70"/>
      <c r="M4562" s="79"/>
      <c r="N4562" s="1"/>
      <c r="O4562" s="1"/>
      <c r="P4562" s="1"/>
      <c r="Q4562" s="1"/>
      <c r="R4562" s="1"/>
      <c r="S4562" s="1"/>
      <c r="T4562" s="1"/>
      <c r="U4562" s="1"/>
      <c r="V4562" s="1"/>
      <c r="W4562" s="1"/>
      <c r="X4562" s="1"/>
      <c r="Y4562" s="1"/>
      <c r="Z4562" s="1"/>
      <c r="AA4562" s="1"/>
      <c r="AB4562" s="1"/>
      <c r="AC4562" s="1"/>
      <c r="AD4562" s="1"/>
      <c r="AE4562" s="1"/>
      <c r="AF4562" s="1"/>
      <c r="AG4562" s="1"/>
      <c r="AH4562" s="1"/>
    </row>
    <row r="4563" ht="12.75" hidden="1" customHeight="1" outlineLevel="1">
      <c r="A4563" s="17">
        <v>41813.0</v>
      </c>
      <c r="B4563" s="1" t="s">
        <v>343</v>
      </c>
      <c r="C4563" s="1" t="s">
        <v>1371</v>
      </c>
      <c r="D4563" s="74">
        <v>300.0</v>
      </c>
      <c r="E4563" s="67">
        <v>38.38</v>
      </c>
      <c r="F4563" s="75">
        <v>0.5937268518518518</v>
      </c>
      <c r="G4563" s="67" t="s">
        <v>453</v>
      </c>
      <c r="H4563" s="68">
        <v>1.2</v>
      </c>
      <c r="I4563" s="76"/>
      <c r="J4563" s="67">
        <f t="shared" si="284"/>
        <v>-11515.2</v>
      </c>
      <c r="K4563" s="7"/>
      <c r="L4563" s="70"/>
      <c r="M4563" s="79"/>
      <c r="N4563" s="1"/>
      <c r="O4563" s="1"/>
      <c r="P4563" s="1"/>
      <c r="Q4563" s="1"/>
      <c r="R4563" s="1"/>
      <c r="S4563" s="1"/>
      <c r="T4563" s="1"/>
      <c r="U4563" s="1"/>
      <c r="V4563" s="1"/>
      <c r="W4563" s="1"/>
      <c r="X4563" s="1"/>
      <c r="Y4563" s="1"/>
      <c r="Z4563" s="1"/>
      <c r="AA4563" s="1"/>
      <c r="AB4563" s="1"/>
      <c r="AC4563" s="1"/>
      <c r="AD4563" s="1"/>
      <c r="AE4563" s="1"/>
      <c r="AF4563" s="1"/>
      <c r="AG4563" s="1"/>
      <c r="AH4563" s="1"/>
    </row>
    <row r="4564" ht="12.75" hidden="1" customHeight="1" outlineLevel="1">
      <c r="A4564" s="17">
        <v>41813.0</v>
      </c>
      <c r="B4564" s="1"/>
      <c r="C4564" s="1" t="s">
        <v>339</v>
      </c>
      <c r="D4564" s="74"/>
      <c r="E4564" s="67"/>
      <c r="F4564" s="75"/>
      <c r="G4564" s="67"/>
      <c r="H4564" s="68"/>
      <c r="I4564" s="76"/>
      <c r="J4564" s="67"/>
      <c r="K4564" s="7" t="s">
        <v>1872</v>
      </c>
      <c r="L4564" s="77"/>
      <c r="M4564" s="79"/>
      <c r="N4564" s="1"/>
      <c r="O4564" s="1"/>
      <c r="P4564" s="1"/>
      <c r="Q4564" s="1"/>
      <c r="R4564" s="1"/>
      <c r="S4564" s="1"/>
      <c r="T4564" s="1"/>
      <c r="U4564" s="1"/>
      <c r="V4564" s="1"/>
      <c r="W4564" s="1"/>
      <c r="X4564" s="1"/>
      <c r="Y4564" s="1"/>
      <c r="Z4564" s="1"/>
      <c r="AA4564" s="1"/>
      <c r="AB4564" s="1"/>
      <c r="AC4564" s="1"/>
      <c r="AD4564" s="1"/>
      <c r="AE4564" s="1"/>
      <c r="AF4564" s="1"/>
      <c r="AG4564" s="1"/>
      <c r="AH4564" s="1"/>
    </row>
    <row r="4565" ht="12.75" hidden="1" customHeight="1" outlineLevel="1">
      <c r="A4565" s="17">
        <v>41813.0</v>
      </c>
      <c r="B4565" s="1"/>
      <c r="C4565" s="1" t="s">
        <v>429</v>
      </c>
      <c r="D4565" s="74"/>
      <c r="E4565" s="67"/>
      <c r="F4565" s="75"/>
      <c r="G4565" s="67"/>
      <c r="H4565" s="68"/>
      <c r="I4565" s="76"/>
      <c r="J4565" s="67"/>
      <c r="K4565" s="7" t="s">
        <v>1761</v>
      </c>
      <c r="L4565" s="77"/>
      <c r="M4565" s="79"/>
      <c r="N4565" s="1"/>
      <c r="O4565" s="1"/>
      <c r="P4565" s="1"/>
      <c r="Q4565" s="1"/>
      <c r="R4565" s="1"/>
      <c r="S4565" s="1"/>
      <c r="T4565" s="1"/>
      <c r="U4565" s="1"/>
      <c r="V4565" s="1"/>
      <c r="W4565" s="1"/>
      <c r="X4565" s="1"/>
      <c r="Y4565" s="1"/>
      <c r="Z4565" s="1"/>
      <c r="AA4565" s="1"/>
      <c r="AB4565" s="1"/>
      <c r="AC4565" s="1"/>
      <c r="AD4565" s="1"/>
      <c r="AE4565" s="1"/>
      <c r="AF4565" s="1"/>
      <c r="AG4565" s="1"/>
      <c r="AH4565" s="1"/>
    </row>
    <row r="4566" ht="12.75" hidden="1" customHeight="1" outlineLevel="1">
      <c r="A4566" s="17">
        <v>41813.0</v>
      </c>
      <c r="B4566" s="1"/>
      <c r="C4566" s="1" t="s">
        <v>431</v>
      </c>
      <c r="D4566" s="74"/>
      <c r="E4566" s="67"/>
      <c r="F4566" s="75"/>
      <c r="G4566" s="67"/>
      <c r="H4566" s="68"/>
      <c r="I4566" s="76"/>
      <c r="J4566" s="67"/>
      <c r="K4566" s="7" t="s">
        <v>1126</v>
      </c>
      <c r="L4566" s="77"/>
      <c r="M4566" s="79"/>
      <c r="N4566" s="1"/>
      <c r="O4566" s="1"/>
      <c r="P4566" s="1"/>
      <c r="Q4566" s="1"/>
      <c r="R4566" s="1"/>
      <c r="S4566" s="1"/>
      <c r="T4566" s="1"/>
      <c r="U4566" s="1"/>
      <c r="V4566" s="1"/>
      <c r="W4566" s="1"/>
      <c r="X4566" s="1"/>
      <c r="Y4566" s="1"/>
      <c r="Z4566" s="1"/>
      <c r="AA4566" s="1"/>
      <c r="AB4566" s="1"/>
      <c r="AC4566" s="1"/>
      <c r="AD4566" s="1"/>
      <c r="AE4566" s="1"/>
      <c r="AF4566" s="1"/>
      <c r="AG4566" s="1"/>
      <c r="AH4566" s="1"/>
    </row>
    <row r="4567" ht="12.75" hidden="1" customHeight="1" outlineLevel="1">
      <c r="A4567" s="17">
        <v>41813.0</v>
      </c>
      <c r="B4567" s="1"/>
      <c r="C4567" s="1" t="s">
        <v>433</v>
      </c>
      <c r="D4567" s="74"/>
      <c r="E4567" s="67"/>
      <c r="F4567" s="75"/>
      <c r="G4567" s="67"/>
      <c r="H4567" s="68"/>
      <c r="I4567" s="76"/>
      <c r="J4567" s="67"/>
      <c r="K4567" s="7" t="s">
        <v>1103</v>
      </c>
      <c r="L4567" s="77"/>
      <c r="M4567" s="79"/>
      <c r="N4567" s="1"/>
      <c r="O4567" s="1"/>
      <c r="P4567" s="1"/>
      <c r="Q4567" s="1"/>
      <c r="R4567" s="1"/>
      <c r="S4567" s="1"/>
      <c r="T4567" s="1"/>
      <c r="U4567" s="1"/>
      <c r="V4567" s="1"/>
      <c r="W4567" s="1"/>
      <c r="X4567" s="1"/>
      <c r="Y4567" s="1"/>
      <c r="Z4567" s="1"/>
      <c r="AA4567" s="1"/>
      <c r="AB4567" s="1"/>
      <c r="AC4567" s="1"/>
      <c r="AD4567" s="1"/>
      <c r="AE4567" s="1"/>
      <c r="AF4567" s="1"/>
      <c r="AG4567" s="1"/>
      <c r="AH4567" s="1"/>
    </row>
    <row r="4568" ht="12.75" hidden="1" customHeight="1" outlineLevel="1">
      <c r="A4568" s="17">
        <v>41813.0</v>
      </c>
      <c r="B4568" s="1"/>
      <c r="C4568" s="1" t="s">
        <v>435</v>
      </c>
      <c r="D4568" s="74"/>
      <c r="E4568" s="67"/>
      <c r="F4568" s="75"/>
      <c r="G4568" s="67"/>
      <c r="H4568" s="68"/>
      <c r="I4568" s="76"/>
      <c r="J4568" s="67"/>
      <c r="K4568" s="7" t="s">
        <v>1507</v>
      </c>
      <c r="L4568" s="77"/>
      <c r="M4568" s="79"/>
      <c r="N4568" s="1"/>
      <c r="O4568" s="1"/>
      <c r="P4568" s="1"/>
      <c r="Q4568" s="1"/>
      <c r="R4568" s="1"/>
      <c r="S4568" s="1"/>
      <c r="T4568" s="1"/>
      <c r="U4568" s="1"/>
      <c r="V4568" s="1"/>
      <c r="W4568" s="1"/>
      <c r="X4568" s="1"/>
      <c r="Y4568" s="1"/>
      <c r="Z4568" s="1"/>
      <c r="AA4568" s="1"/>
      <c r="AB4568" s="1"/>
      <c r="AC4568" s="1"/>
      <c r="AD4568" s="1"/>
      <c r="AE4568" s="1"/>
      <c r="AF4568" s="1"/>
      <c r="AG4568" s="1"/>
      <c r="AH4568" s="1"/>
    </row>
    <row r="4569" ht="12.75" hidden="1" customHeight="1" outlineLevel="1">
      <c r="A4569" s="17">
        <v>41814.0</v>
      </c>
      <c r="B4569" s="1" t="s">
        <v>347</v>
      </c>
      <c r="C4569" s="1" t="s">
        <v>1725</v>
      </c>
      <c r="D4569" s="74">
        <v>2500.0</v>
      </c>
      <c r="E4569" s="67">
        <v>15.17</v>
      </c>
      <c r="F4569" s="75">
        <v>0.39584490740740735</v>
      </c>
      <c r="G4569" s="67" t="s">
        <v>453</v>
      </c>
      <c r="H4569" s="68">
        <v>13.34</v>
      </c>
      <c r="I4569" s="76"/>
      <c r="J4569" s="67">
        <f>IF(B4569="SLD",D4569*E4569,-D4569*E4569)-H4569</f>
        <v>37911.66</v>
      </c>
      <c r="K4569" s="7"/>
      <c r="L4569" s="70"/>
      <c r="M4569" s="79"/>
      <c r="N4569" s="1"/>
      <c r="O4569" s="1"/>
      <c r="P4569" s="1"/>
      <c r="Q4569" s="1"/>
      <c r="R4569" s="1"/>
      <c r="S4569" s="1"/>
      <c r="T4569" s="1"/>
      <c r="U4569" s="1"/>
      <c r="V4569" s="1"/>
      <c r="W4569" s="1"/>
      <c r="X4569" s="1"/>
      <c r="Y4569" s="1"/>
      <c r="Z4569" s="1"/>
      <c r="AA4569" s="1"/>
      <c r="AB4569" s="1"/>
      <c r="AC4569" s="1"/>
      <c r="AD4569" s="1"/>
      <c r="AE4569" s="1"/>
      <c r="AF4569" s="1"/>
      <c r="AG4569" s="1"/>
      <c r="AH4569" s="1"/>
    </row>
    <row r="4570" ht="12.75" hidden="1" customHeight="1" outlineLevel="1">
      <c r="A4570" s="17">
        <v>41814.0</v>
      </c>
      <c r="B4570" s="1"/>
      <c r="C4570" s="1" t="s">
        <v>339</v>
      </c>
      <c r="D4570" s="74"/>
      <c r="E4570" s="67"/>
      <c r="F4570" s="75"/>
      <c r="G4570" s="67"/>
      <c r="H4570" s="68"/>
      <c r="I4570" s="76"/>
      <c r="J4570" s="67"/>
      <c r="K4570" s="7" t="s">
        <v>1873</v>
      </c>
      <c r="L4570" s="77"/>
      <c r="M4570" s="79"/>
      <c r="N4570" s="1"/>
      <c r="O4570" s="1"/>
      <c r="P4570" s="1"/>
      <c r="Q4570" s="1"/>
      <c r="R4570" s="1"/>
      <c r="S4570" s="1"/>
      <c r="T4570" s="1"/>
      <c r="U4570" s="1"/>
      <c r="V4570" s="1"/>
      <c r="W4570" s="1"/>
      <c r="X4570" s="1"/>
      <c r="Y4570" s="1"/>
      <c r="Z4570" s="1"/>
      <c r="AA4570" s="1"/>
      <c r="AB4570" s="1"/>
      <c r="AC4570" s="1"/>
      <c r="AD4570" s="1"/>
      <c r="AE4570" s="1"/>
      <c r="AF4570" s="1"/>
      <c r="AG4570" s="1"/>
      <c r="AH4570" s="1"/>
    </row>
    <row r="4571" ht="12.75" hidden="1" customHeight="1" outlineLevel="1">
      <c r="A4571" s="17">
        <v>41814.0</v>
      </c>
      <c r="B4571" s="1"/>
      <c r="C4571" s="1" t="s">
        <v>429</v>
      </c>
      <c r="D4571" s="74"/>
      <c r="E4571" s="67"/>
      <c r="F4571" s="75"/>
      <c r="G4571" s="67"/>
      <c r="H4571" s="68"/>
      <c r="I4571" s="76"/>
      <c r="J4571" s="67"/>
      <c r="K4571" s="7" t="s">
        <v>1761</v>
      </c>
      <c r="L4571" s="77"/>
      <c r="M4571" s="79"/>
      <c r="N4571" s="1"/>
      <c r="O4571" s="1"/>
      <c r="P4571" s="1"/>
      <c r="Q4571" s="1"/>
      <c r="R4571" s="1"/>
      <c r="S4571" s="1"/>
      <c r="T4571" s="1"/>
      <c r="U4571" s="1"/>
      <c r="V4571" s="1"/>
      <c r="W4571" s="1"/>
      <c r="X4571" s="1"/>
      <c r="Y4571" s="1"/>
      <c r="Z4571" s="1"/>
      <c r="AA4571" s="1"/>
      <c r="AB4571" s="1"/>
      <c r="AC4571" s="1"/>
      <c r="AD4571" s="1"/>
      <c r="AE4571" s="1"/>
      <c r="AF4571" s="1"/>
      <c r="AG4571" s="1"/>
      <c r="AH4571" s="1"/>
    </row>
    <row r="4572" ht="12.75" hidden="1" customHeight="1" outlineLevel="1">
      <c r="A4572" s="17">
        <v>41814.0</v>
      </c>
      <c r="B4572" s="1"/>
      <c r="C4572" s="1" t="s">
        <v>431</v>
      </c>
      <c r="D4572" s="74"/>
      <c r="E4572" s="67"/>
      <c r="F4572" s="75"/>
      <c r="G4572" s="67"/>
      <c r="H4572" s="68"/>
      <c r="I4572" s="76"/>
      <c r="J4572" s="67"/>
      <c r="K4572" s="7" t="s">
        <v>1126</v>
      </c>
      <c r="L4572" s="77"/>
      <c r="M4572" s="79"/>
      <c r="N4572" s="1"/>
      <c r="O4572" s="1"/>
      <c r="P4572" s="1"/>
      <c r="Q4572" s="1"/>
      <c r="R4572" s="1"/>
      <c r="S4572" s="1"/>
      <c r="T4572" s="1"/>
      <c r="U4572" s="1"/>
      <c r="V4572" s="1"/>
      <c r="W4572" s="1"/>
      <c r="X4572" s="1"/>
      <c r="Y4572" s="1"/>
      <c r="Z4572" s="1"/>
      <c r="AA4572" s="1"/>
      <c r="AB4572" s="1"/>
      <c r="AC4572" s="1"/>
      <c r="AD4572" s="1"/>
      <c r="AE4572" s="1"/>
      <c r="AF4572" s="1"/>
      <c r="AG4572" s="1"/>
      <c r="AH4572" s="1"/>
    </row>
    <row r="4573" ht="12.75" hidden="1" customHeight="1" outlineLevel="1">
      <c r="A4573" s="17">
        <v>41814.0</v>
      </c>
      <c r="B4573" s="1"/>
      <c r="C4573" s="1" t="s">
        <v>433</v>
      </c>
      <c r="D4573" s="74"/>
      <c r="E4573" s="67"/>
      <c r="F4573" s="75"/>
      <c r="G4573" s="67"/>
      <c r="H4573" s="68"/>
      <c r="I4573" s="76"/>
      <c r="J4573" s="67"/>
      <c r="K4573" s="7" t="s">
        <v>1103</v>
      </c>
      <c r="L4573" s="77"/>
      <c r="M4573" s="79"/>
      <c r="N4573" s="1"/>
      <c r="O4573" s="1"/>
      <c r="P4573" s="1"/>
      <c r="Q4573" s="1"/>
      <c r="R4573" s="1"/>
      <c r="S4573" s="1"/>
      <c r="T4573" s="1"/>
      <c r="U4573" s="1"/>
      <c r="V4573" s="1"/>
      <c r="W4573" s="1"/>
      <c r="X4573" s="1"/>
      <c r="Y4573" s="1"/>
      <c r="Z4573" s="1"/>
      <c r="AA4573" s="1"/>
      <c r="AB4573" s="1"/>
      <c r="AC4573" s="1"/>
      <c r="AD4573" s="1"/>
      <c r="AE4573" s="1"/>
      <c r="AF4573" s="1"/>
      <c r="AG4573" s="1"/>
      <c r="AH4573" s="1"/>
    </row>
    <row r="4574" ht="12.75" hidden="1" customHeight="1" outlineLevel="1">
      <c r="A4574" s="17">
        <v>41814.0</v>
      </c>
      <c r="B4574" s="1"/>
      <c r="C4574" s="1" t="s">
        <v>435</v>
      </c>
      <c r="D4574" s="74"/>
      <c r="E4574" s="67"/>
      <c r="F4574" s="75"/>
      <c r="G4574" s="67"/>
      <c r="H4574" s="68"/>
      <c r="I4574" s="76"/>
      <c r="J4574" s="67"/>
      <c r="K4574" s="7" t="s">
        <v>1507</v>
      </c>
      <c r="L4574" s="77"/>
      <c r="M4574" s="79"/>
      <c r="N4574" s="1"/>
      <c r="O4574" s="1"/>
      <c r="P4574" s="1"/>
      <c r="Q4574" s="1"/>
      <c r="R4574" s="1"/>
      <c r="S4574" s="1"/>
      <c r="T4574" s="1"/>
      <c r="U4574" s="1"/>
      <c r="V4574" s="1"/>
      <c r="W4574" s="1"/>
      <c r="X4574" s="1"/>
      <c r="Y4574" s="1"/>
      <c r="Z4574" s="1"/>
      <c r="AA4574" s="1"/>
      <c r="AB4574" s="1"/>
      <c r="AC4574" s="1"/>
      <c r="AD4574" s="1"/>
      <c r="AE4574" s="1"/>
      <c r="AF4574" s="1"/>
      <c r="AG4574" s="1"/>
      <c r="AH4574" s="1"/>
    </row>
    <row r="4575" ht="12.75" hidden="1" customHeight="1" outlineLevel="1">
      <c r="A4575" s="17">
        <v>41815.0</v>
      </c>
      <c r="B4575" s="1" t="s">
        <v>347</v>
      </c>
      <c r="C4575" s="1" t="s">
        <v>870</v>
      </c>
      <c r="D4575" s="74">
        <v>350.0</v>
      </c>
      <c r="E4575" s="67">
        <v>80.331</v>
      </c>
      <c r="F4575" s="75">
        <v>0.4969444444444444</v>
      </c>
      <c r="G4575" s="67" t="s">
        <v>453</v>
      </c>
      <c r="H4575" s="68">
        <v>2.02</v>
      </c>
      <c r="I4575" s="76"/>
      <c r="J4575" s="67">
        <f t="shared" ref="J4575:J4583" si="285">IF(B4575="SLD",D4575*E4575,-D4575*E4575)-H4575</f>
        <v>28113.83</v>
      </c>
      <c r="K4575" s="7"/>
      <c r="L4575" s="70"/>
      <c r="M4575" s="79"/>
      <c r="N4575" s="1"/>
      <c r="O4575" s="1"/>
      <c r="P4575" s="1"/>
      <c r="Q4575" s="1"/>
      <c r="R4575" s="1"/>
      <c r="S4575" s="1"/>
      <c r="T4575" s="1"/>
      <c r="U4575" s="1"/>
      <c r="V4575" s="1"/>
      <c r="W4575" s="1"/>
      <c r="X4575" s="1"/>
      <c r="Y4575" s="1"/>
      <c r="Z4575" s="1"/>
      <c r="AA4575" s="1"/>
      <c r="AB4575" s="1"/>
      <c r="AC4575" s="1"/>
      <c r="AD4575" s="1"/>
      <c r="AE4575" s="1"/>
      <c r="AF4575" s="1"/>
      <c r="AG4575" s="1"/>
      <c r="AH4575" s="1"/>
    </row>
    <row r="4576" ht="12.75" hidden="1" customHeight="1" outlineLevel="1">
      <c r="A4576" s="17">
        <v>41815.0</v>
      </c>
      <c r="B4576" s="1" t="s">
        <v>347</v>
      </c>
      <c r="C4576" s="1" t="s">
        <v>605</v>
      </c>
      <c r="D4576" s="74">
        <v>400.0</v>
      </c>
      <c r="E4576" s="67">
        <v>80.69</v>
      </c>
      <c r="F4576" s="75">
        <v>0.5198032407407408</v>
      </c>
      <c r="G4576" s="67" t="s">
        <v>453</v>
      </c>
      <c r="H4576" s="68">
        <v>2.31</v>
      </c>
      <c r="I4576" s="76"/>
      <c r="J4576" s="67">
        <f t="shared" si="285"/>
        <v>32273.69</v>
      </c>
      <c r="K4576" s="7"/>
      <c r="L4576" s="70"/>
      <c r="M4576" s="79"/>
      <c r="N4576" s="1"/>
      <c r="O4576" s="1"/>
      <c r="P4576" s="1"/>
      <c r="Q4576" s="1"/>
      <c r="R4576" s="1"/>
      <c r="S4576" s="1"/>
      <c r="T4576" s="1"/>
      <c r="U4576" s="1"/>
      <c r="V4576" s="1"/>
      <c r="W4576" s="1"/>
      <c r="X4576" s="1"/>
      <c r="Y4576" s="1"/>
      <c r="Z4576" s="1"/>
      <c r="AA4576" s="1"/>
      <c r="AB4576" s="1"/>
      <c r="AC4576" s="1"/>
      <c r="AD4576" s="1"/>
      <c r="AE4576" s="1"/>
      <c r="AF4576" s="1"/>
      <c r="AG4576" s="1"/>
      <c r="AH4576" s="1"/>
    </row>
    <row r="4577" ht="12.75" hidden="1" customHeight="1" outlineLevel="1">
      <c r="A4577" s="17">
        <v>41815.0</v>
      </c>
      <c r="B4577" s="1" t="s">
        <v>347</v>
      </c>
      <c r="C4577" s="1" t="s">
        <v>1158</v>
      </c>
      <c r="D4577" s="74">
        <v>1000.0</v>
      </c>
      <c r="E4577" s="67">
        <v>39.0</v>
      </c>
      <c r="F4577" s="75">
        <v>0.5346759259259259</v>
      </c>
      <c r="G4577" s="67" t="s">
        <v>453</v>
      </c>
      <c r="H4577" s="68">
        <v>5.6</v>
      </c>
      <c r="I4577" s="76"/>
      <c r="J4577" s="67">
        <f t="shared" si="285"/>
        <v>38994.4</v>
      </c>
      <c r="K4577" s="7"/>
      <c r="L4577" s="70"/>
      <c r="M4577" s="79"/>
      <c r="N4577" s="1"/>
      <c r="O4577" s="1"/>
      <c r="P4577" s="1"/>
      <c r="Q4577" s="1"/>
      <c r="R4577" s="1"/>
      <c r="S4577" s="1"/>
      <c r="T4577" s="1"/>
      <c r="U4577" s="1"/>
      <c r="V4577" s="1"/>
      <c r="W4577" s="1"/>
      <c r="X4577" s="1"/>
      <c r="Y4577" s="1"/>
      <c r="Z4577" s="1"/>
      <c r="AA4577" s="1"/>
      <c r="AB4577" s="1"/>
      <c r="AC4577" s="1"/>
      <c r="AD4577" s="1"/>
      <c r="AE4577" s="1"/>
      <c r="AF4577" s="1"/>
      <c r="AG4577" s="1"/>
      <c r="AH4577" s="1"/>
    </row>
    <row r="4578" ht="12.75" hidden="1" customHeight="1" outlineLevel="1">
      <c r="A4578" s="17">
        <v>41815.0</v>
      </c>
      <c r="B4578" s="1" t="s">
        <v>347</v>
      </c>
      <c r="C4578" s="1" t="s">
        <v>1766</v>
      </c>
      <c r="D4578" s="74">
        <v>500.0</v>
      </c>
      <c r="E4578" s="67">
        <v>70.186</v>
      </c>
      <c r="F4578" s="75">
        <v>0.5382523148148148</v>
      </c>
      <c r="G4578" s="67" t="s">
        <v>453</v>
      </c>
      <c r="H4578" s="68">
        <v>2.78</v>
      </c>
      <c r="I4578" s="76"/>
      <c r="J4578" s="67">
        <f t="shared" si="285"/>
        <v>35090.22</v>
      </c>
      <c r="K4578" s="7"/>
      <c r="L4578" s="70"/>
      <c r="M4578" s="79"/>
      <c r="N4578" s="1"/>
      <c r="O4578" s="1"/>
      <c r="P4578" s="1"/>
      <c r="Q4578" s="1"/>
      <c r="R4578" s="1"/>
      <c r="S4578" s="1"/>
      <c r="T4578" s="1"/>
      <c r="U4578" s="1"/>
      <c r="V4578" s="1"/>
      <c r="W4578" s="1"/>
      <c r="X4578" s="1"/>
      <c r="Y4578" s="1"/>
      <c r="Z4578" s="1"/>
      <c r="AA4578" s="1"/>
      <c r="AB4578" s="1"/>
      <c r="AC4578" s="1"/>
      <c r="AD4578" s="1"/>
      <c r="AE4578" s="1"/>
      <c r="AF4578" s="1"/>
      <c r="AG4578" s="1"/>
      <c r="AH4578" s="1"/>
    </row>
    <row r="4579" ht="12.75" hidden="1" customHeight="1" outlineLevel="1">
      <c r="A4579" s="17">
        <v>41815.0</v>
      </c>
      <c r="B4579" s="1" t="s">
        <v>343</v>
      </c>
      <c r="C4579" s="1" t="s">
        <v>1766</v>
      </c>
      <c r="D4579" s="74">
        <v>500.0</v>
      </c>
      <c r="E4579" s="67">
        <v>70.277</v>
      </c>
      <c r="F4579" s="75">
        <v>0.5565046296296297</v>
      </c>
      <c r="G4579" s="67" t="s">
        <v>453</v>
      </c>
      <c r="H4579" s="68">
        <v>2.0</v>
      </c>
      <c r="I4579" s="76"/>
      <c r="J4579" s="67">
        <f t="shared" si="285"/>
        <v>-35140.5</v>
      </c>
      <c r="K4579" s="7"/>
      <c r="L4579" s="70"/>
      <c r="M4579" s="79"/>
      <c r="N4579" s="1"/>
      <c r="O4579" s="1"/>
      <c r="P4579" s="1"/>
      <c r="Q4579" s="1"/>
      <c r="R4579" s="1"/>
      <c r="S4579" s="1"/>
      <c r="T4579" s="1"/>
      <c r="U4579" s="1"/>
      <c r="V4579" s="1"/>
      <c r="W4579" s="1"/>
      <c r="X4579" s="1"/>
      <c r="Y4579" s="1"/>
      <c r="Z4579" s="1"/>
      <c r="AA4579" s="1"/>
      <c r="AB4579" s="1"/>
      <c r="AC4579" s="1"/>
      <c r="AD4579" s="1"/>
      <c r="AE4579" s="1"/>
      <c r="AF4579" s="1"/>
      <c r="AG4579" s="1"/>
      <c r="AH4579" s="1"/>
    </row>
    <row r="4580" ht="12.75" hidden="1" customHeight="1" outlineLevel="1">
      <c r="A4580" s="17">
        <v>41815.0</v>
      </c>
      <c r="B4580" s="1" t="s">
        <v>343</v>
      </c>
      <c r="C4580" s="1" t="s">
        <v>1357</v>
      </c>
      <c r="D4580" s="74">
        <v>150.0</v>
      </c>
      <c r="E4580" s="67">
        <v>37.7299</v>
      </c>
      <c r="F4580" s="75">
        <v>0.5886805555555555</v>
      </c>
      <c r="G4580" s="67" t="s">
        <v>453</v>
      </c>
      <c r="H4580" s="68">
        <v>1.0</v>
      </c>
      <c r="I4580" s="76"/>
      <c r="J4580" s="67">
        <f t="shared" si="285"/>
        <v>-5660.485</v>
      </c>
      <c r="K4580" s="7"/>
      <c r="L4580" s="70"/>
      <c r="M4580" s="79"/>
      <c r="N4580" s="1"/>
      <c r="O4580" s="1"/>
      <c r="P4580" s="1"/>
      <c r="Q4580" s="1"/>
      <c r="R4580" s="1"/>
      <c r="S4580" s="1"/>
      <c r="T4580" s="1"/>
      <c r="U4580" s="1"/>
      <c r="V4580" s="1"/>
      <c r="W4580" s="1"/>
      <c r="X4580" s="1"/>
      <c r="Y4580" s="1"/>
      <c r="Z4580" s="1"/>
      <c r="AA4580" s="1"/>
      <c r="AB4580" s="1"/>
      <c r="AC4580" s="1"/>
      <c r="AD4580" s="1"/>
      <c r="AE4580" s="1"/>
      <c r="AF4580" s="1"/>
      <c r="AG4580" s="1"/>
      <c r="AH4580" s="1"/>
    </row>
    <row r="4581" ht="12.75" hidden="1" customHeight="1" outlineLevel="1">
      <c r="A4581" s="17">
        <v>41815.0</v>
      </c>
      <c r="B4581" s="1" t="s">
        <v>347</v>
      </c>
      <c r="C4581" s="1" t="s">
        <v>1725</v>
      </c>
      <c r="D4581" s="74">
        <v>1500.0</v>
      </c>
      <c r="E4581" s="67">
        <v>14.95</v>
      </c>
      <c r="F4581" s="75">
        <v>0.6103009259259259</v>
      </c>
      <c r="G4581" s="67" t="s">
        <v>453</v>
      </c>
      <c r="H4581" s="68">
        <v>7.8</v>
      </c>
      <c r="I4581" s="76"/>
      <c r="J4581" s="67">
        <f t="shared" si="285"/>
        <v>22417.2</v>
      </c>
      <c r="K4581" s="7"/>
      <c r="L4581" s="70"/>
      <c r="M4581" s="79"/>
      <c r="N4581" s="1"/>
      <c r="O4581" s="1"/>
      <c r="P4581" s="1"/>
      <c r="Q4581" s="1"/>
      <c r="R4581" s="1"/>
      <c r="S4581" s="1"/>
      <c r="T4581" s="1"/>
      <c r="U4581" s="1"/>
      <c r="V4581" s="1"/>
      <c r="W4581" s="1"/>
      <c r="X4581" s="1"/>
      <c r="Y4581" s="1"/>
      <c r="Z4581" s="1"/>
      <c r="AA4581" s="1"/>
      <c r="AB4581" s="1"/>
      <c r="AC4581" s="1"/>
      <c r="AD4581" s="1"/>
      <c r="AE4581" s="1"/>
      <c r="AF4581" s="1"/>
      <c r="AG4581" s="1"/>
      <c r="AH4581" s="1"/>
    </row>
    <row r="4582" ht="12.75" hidden="1" customHeight="1" outlineLevel="1">
      <c r="A4582" s="17">
        <v>41815.0</v>
      </c>
      <c r="B4582" s="1" t="s">
        <v>347</v>
      </c>
      <c r="C4582" s="1" t="s">
        <v>1725</v>
      </c>
      <c r="D4582" s="74">
        <v>222.0</v>
      </c>
      <c r="E4582" s="67">
        <v>14.92</v>
      </c>
      <c r="F4582" s="75">
        <v>0.6171875</v>
      </c>
      <c r="G4582" s="67" t="s">
        <v>453</v>
      </c>
      <c r="H4582" s="68">
        <v>1.07</v>
      </c>
      <c r="I4582" s="76"/>
      <c r="J4582" s="67">
        <f t="shared" si="285"/>
        <v>3311.17</v>
      </c>
      <c r="K4582" s="7"/>
      <c r="L4582" s="70"/>
      <c r="M4582" s="79"/>
      <c r="N4582" s="1"/>
      <c r="O4582" s="1"/>
      <c r="P4582" s="1"/>
      <c r="Q4582" s="1"/>
      <c r="R4582" s="1"/>
      <c r="S4582" s="1"/>
      <c r="T4582" s="1"/>
      <c r="U4582" s="1"/>
      <c r="V4582" s="1"/>
      <c r="W4582" s="1"/>
      <c r="X4582" s="1"/>
      <c r="Y4582" s="1"/>
      <c r="Z4582" s="1"/>
      <c r="AA4582" s="1"/>
      <c r="AB4582" s="1"/>
      <c r="AC4582" s="1"/>
      <c r="AD4582" s="1"/>
      <c r="AE4582" s="1"/>
      <c r="AF4582" s="1"/>
      <c r="AG4582" s="1"/>
      <c r="AH4582" s="1"/>
    </row>
    <row r="4583" ht="12.75" hidden="1" customHeight="1" outlineLevel="1">
      <c r="A4583" s="17">
        <v>41815.0</v>
      </c>
      <c r="B4583" s="1" t="s">
        <v>347</v>
      </c>
      <c r="C4583" s="1" t="s">
        <v>1725</v>
      </c>
      <c r="D4583" s="74">
        <v>778.0</v>
      </c>
      <c r="E4583" s="67">
        <v>14.931</v>
      </c>
      <c r="F4583" s="75">
        <v>0.6609953703703704</v>
      </c>
      <c r="G4583" s="67" t="s">
        <v>453</v>
      </c>
      <c r="H4583" s="68">
        <v>3.85</v>
      </c>
      <c r="I4583" s="76"/>
      <c r="J4583" s="67">
        <f t="shared" si="285"/>
        <v>11612.468</v>
      </c>
      <c r="K4583" s="7"/>
      <c r="L4583" s="70"/>
      <c r="M4583" s="79"/>
      <c r="N4583" s="1"/>
      <c r="O4583" s="1"/>
      <c r="P4583" s="1"/>
      <c r="Q4583" s="1"/>
      <c r="R4583" s="1"/>
      <c r="S4583" s="1"/>
      <c r="T4583" s="1"/>
      <c r="U4583" s="1"/>
      <c r="V4583" s="1"/>
      <c r="W4583" s="1"/>
      <c r="X4583" s="1"/>
      <c r="Y4583" s="1"/>
      <c r="Z4583" s="1"/>
      <c r="AA4583" s="1"/>
      <c r="AB4583" s="1"/>
      <c r="AC4583" s="1"/>
      <c r="AD4583" s="1"/>
      <c r="AE4583" s="1"/>
      <c r="AF4583" s="1"/>
      <c r="AG4583" s="1"/>
      <c r="AH4583" s="1"/>
    </row>
    <row r="4584" ht="12.75" hidden="1" customHeight="1" outlineLevel="1">
      <c r="A4584" s="17">
        <v>41815.0</v>
      </c>
      <c r="B4584" s="1"/>
      <c r="C4584" s="1" t="s">
        <v>339</v>
      </c>
      <c r="D4584" s="74"/>
      <c r="E4584" s="67"/>
      <c r="F4584" s="75"/>
      <c r="G4584" s="67"/>
      <c r="H4584" s="68"/>
      <c r="I4584" s="76"/>
      <c r="J4584" s="67"/>
      <c r="K4584" s="7" t="s">
        <v>1876</v>
      </c>
      <c r="L4584" s="77"/>
      <c r="M4584" s="79"/>
      <c r="N4584" s="1"/>
      <c r="O4584" s="1"/>
      <c r="P4584" s="1"/>
      <c r="Q4584" s="1"/>
      <c r="R4584" s="1"/>
      <c r="S4584" s="1"/>
      <c r="T4584" s="1"/>
      <c r="U4584" s="1"/>
      <c r="V4584" s="1"/>
      <c r="W4584" s="1"/>
      <c r="X4584" s="1"/>
      <c r="Y4584" s="1"/>
      <c r="Z4584" s="1"/>
      <c r="AA4584" s="1"/>
      <c r="AB4584" s="1"/>
      <c r="AC4584" s="1"/>
      <c r="AD4584" s="1"/>
      <c r="AE4584" s="1"/>
      <c r="AF4584" s="1"/>
      <c r="AG4584" s="1"/>
      <c r="AH4584" s="1"/>
    </row>
    <row r="4585" ht="12.75" hidden="1" customHeight="1" outlineLevel="1">
      <c r="A4585" s="17">
        <v>41815.0</v>
      </c>
      <c r="B4585" s="1"/>
      <c r="C4585" s="1" t="s">
        <v>429</v>
      </c>
      <c r="D4585" s="74"/>
      <c r="E4585" s="67"/>
      <c r="F4585" s="75"/>
      <c r="G4585" s="67"/>
      <c r="H4585" s="68"/>
      <c r="I4585" s="76"/>
      <c r="J4585" s="67"/>
      <c r="K4585" s="7" t="s">
        <v>1877</v>
      </c>
      <c r="L4585" s="77"/>
      <c r="M4585" s="79"/>
      <c r="N4585" s="1"/>
      <c r="O4585" s="1"/>
      <c r="P4585" s="1"/>
      <c r="Q4585" s="1"/>
      <c r="R4585" s="1"/>
      <c r="S4585" s="1"/>
      <c r="T4585" s="1"/>
      <c r="U4585" s="1"/>
      <c r="V4585" s="1"/>
      <c r="W4585" s="1"/>
      <c r="X4585" s="1"/>
      <c r="Y4585" s="1"/>
      <c r="Z4585" s="1"/>
      <c r="AA4585" s="1"/>
      <c r="AB4585" s="1"/>
      <c r="AC4585" s="1"/>
      <c r="AD4585" s="1"/>
      <c r="AE4585" s="1"/>
      <c r="AF4585" s="1"/>
      <c r="AG4585" s="1"/>
      <c r="AH4585" s="1"/>
    </row>
    <row r="4586" ht="12.75" hidden="1" customHeight="1" outlineLevel="1">
      <c r="A4586" s="17">
        <v>41815.0</v>
      </c>
      <c r="B4586" s="1"/>
      <c r="C4586" s="1" t="s">
        <v>431</v>
      </c>
      <c r="D4586" s="74"/>
      <c r="E4586" s="67"/>
      <c r="F4586" s="75"/>
      <c r="G4586" s="67"/>
      <c r="H4586" s="68"/>
      <c r="I4586" s="76"/>
      <c r="J4586" s="67"/>
      <c r="K4586" s="7" t="s">
        <v>1126</v>
      </c>
      <c r="L4586" s="77"/>
      <c r="M4586" s="79"/>
      <c r="N4586" s="1"/>
      <c r="O4586" s="1"/>
      <c r="P4586" s="1"/>
      <c r="Q4586" s="1"/>
      <c r="R4586" s="1"/>
      <c r="S4586" s="1"/>
      <c r="T4586" s="1"/>
      <c r="U4586" s="1"/>
      <c r="V4586" s="1"/>
      <c r="W4586" s="1"/>
      <c r="X4586" s="1"/>
      <c r="Y4586" s="1"/>
      <c r="Z4586" s="1"/>
      <c r="AA4586" s="1"/>
      <c r="AB4586" s="1"/>
      <c r="AC4586" s="1"/>
      <c r="AD4586" s="1"/>
      <c r="AE4586" s="1"/>
      <c r="AF4586" s="1"/>
      <c r="AG4586" s="1"/>
      <c r="AH4586" s="1"/>
    </row>
    <row r="4587" ht="12.75" hidden="1" customHeight="1" outlineLevel="1">
      <c r="A4587" s="17">
        <v>41815.0</v>
      </c>
      <c r="B4587" s="1"/>
      <c r="C4587" s="1" t="s">
        <v>433</v>
      </c>
      <c r="D4587" s="74"/>
      <c r="E4587" s="67"/>
      <c r="F4587" s="75"/>
      <c r="G4587" s="67"/>
      <c r="H4587" s="68"/>
      <c r="I4587" s="76"/>
      <c r="J4587" s="67"/>
      <c r="K4587" s="7" t="s">
        <v>1103</v>
      </c>
      <c r="L4587" s="77"/>
      <c r="M4587" s="79"/>
      <c r="N4587" s="1"/>
      <c r="O4587" s="1"/>
      <c r="P4587" s="1"/>
      <c r="Q4587" s="1"/>
      <c r="R4587" s="1"/>
      <c r="S4587" s="1"/>
      <c r="T4587" s="1"/>
      <c r="U4587" s="1"/>
      <c r="V4587" s="1"/>
      <c r="W4587" s="1"/>
      <c r="X4587" s="1"/>
      <c r="Y4587" s="1"/>
      <c r="Z4587" s="1"/>
      <c r="AA4587" s="1"/>
      <c r="AB4587" s="1"/>
      <c r="AC4587" s="1"/>
      <c r="AD4587" s="1"/>
      <c r="AE4587" s="1"/>
      <c r="AF4587" s="1"/>
      <c r="AG4587" s="1"/>
      <c r="AH4587" s="1"/>
    </row>
    <row r="4588" ht="12.75" hidden="1" customHeight="1" outlineLevel="1">
      <c r="A4588" s="17">
        <v>41815.0</v>
      </c>
      <c r="B4588" s="1"/>
      <c r="C4588" s="1" t="s">
        <v>435</v>
      </c>
      <c r="D4588" s="74"/>
      <c r="E4588" s="67"/>
      <c r="F4588" s="75"/>
      <c r="G4588" s="67"/>
      <c r="H4588" s="68"/>
      <c r="I4588" s="76"/>
      <c r="J4588" s="67"/>
      <c r="K4588" s="7" t="s">
        <v>1507</v>
      </c>
      <c r="L4588" s="77"/>
      <c r="M4588" s="79"/>
      <c r="N4588" s="1"/>
      <c r="O4588" s="1"/>
      <c r="P4588" s="1"/>
      <c r="Q4588" s="1"/>
      <c r="R4588" s="1"/>
      <c r="S4588" s="1"/>
      <c r="T4588" s="1"/>
      <c r="U4588" s="1"/>
      <c r="V4588" s="1"/>
      <c r="W4588" s="1"/>
      <c r="X4588" s="1"/>
      <c r="Y4588" s="1"/>
      <c r="Z4588" s="1"/>
      <c r="AA4588" s="1"/>
      <c r="AB4588" s="1"/>
      <c r="AC4588" s="1"/>
      <c r="AD4588" s="1"/>
      <c r="AE4588" s="1"/>
      <c r="AF4588" s="1"/>
      <c r="AG4588" s="1"/>
      <c r="AH4588" s="1"/>
    </row>
    <row r="4589" ht="12.75" hidden="1" customHeight="1" outlineLevel="1">
      <c r="A4589" s="17">
        <v>41820.0</v>
      </c>
      <c r="B4589" s="1"/>
      <c r="C4589" s="1" t="s">
        <v>339</v>
      </c>
      <c r="D4589" s="74"/>
      <c r="E4589" s="67"/>
      <c r="F4589" s="75"/>
      <c r="G4589" s="67"/>
      <c r="H4589" s="68"/>
      <c r="I4589" s="76"/>
      <c r="J4589" s="67"/>
      <c r="K4589" s="7" t="s">
        <v>1880</v>
      </c>
      <c r="L4589" s="77"/>
      <c r="M4589" s="79"/>
      <c r="N4589" s="1"/>
      <c r="O4589" s="1"/>
      <c r="P4589" s="1"/>
      <c r="Q4589" s="1"/>
      <c r="R4589" s="1"/>
      <c r="S4589" s="1"/>
      <c r="T4589" s="1"/>
      <c r="U4589" s="1"/>
      <c r="V4589" s="1"/>
      <c r="W4589" s="1"/>
      <c r="X4589" s="1"/>
      <c r="Y4589" s="1"/>
      <c r="Z4589" s="1"/>
      <c r="AA4589" s="1"/>
      <c r="AB4589" s="1"/>
      <c r="AC4589" s="1"/>
      <c r="AD4589" s="1"/>
      <c r="AE4589" s="1"/>
      <c r="AF4589" s="1"/>
      <c r="AG4589" s="1"/>
      <c r="AH4589" s="1"/>
    </row>
    <row r="4590" ht="12.75" hidden="1" customHeight="1" outlineLevel="1">
      <c r="A4590" s="17">
        <v>41820.0</v>
      </c>
      <c r="B4590" s="1"/>
      <c r="C4590" s="1" t="s">
        <v>429</v>
      </c>
      <c r="D4590" s="74"/>
      <c r="E4590" s="67"/>
      <c r="F4590" s="75"/>
      <c r="G4590" s="67"/>
      <c r="H4590" s="68"/>
      <c r="I4590" s="76"/>
      <c r="J4590" s="67"/>
      <c r="K4590" s="7" t="s">
        <v>1877</v>
      </c>
      <c r="L4590" s="77"/>
      <c r="M4590" s="79"/>
      <c r="N4590" s="1"/>
      <c r="O4590" s="1"/>
      <c r="P4590" s="1"/>
      <c r="Q4590" s="1"/>
      <c r="R4590" s="1"/>
      <c r="S4590" s="1"/>
      <c r="T4590" s="1"/>
      <c r="U4590" s="1"/>
      <c r="V4590" s="1"/>
      <c r="W4590" s="1"/>
      <c r="X4590" s="1"/>
      <c r="Y4590" s="1"/>
      <c r="Z4590" s="1"/>
      <c r="AA4590" s="1"/>
      <c r="AB4590" s="1"/>
      <c r="AC4590" s="1"/>
      <c r="AD4590" s="1"/>
      <c r="AE4590" s="1"/>
      <c r="AF4590" s="1"/>
      <c r="AG4590" s="1"/>
      <c r="AH4590" s="1"/>
    </row>
    <row r="4591" ht="12.75" hidden="1" customHeight="1" outlineLevel="1">
      <c r="A4591" s="17">
        <v>41820.0</v>
      </c>
      <c r="B4591" s="1"/>
      <c r="C4591" s="1" t="s">
        <v>431</v>
      </c>
      <c r="D4591" s="74"/>
      <c r="E4591" s="67"/>
      <c r="F4591" s="75"/>
      <c r="G4591" s="67"/>
      <c r="H4591" s="68"/>
      <c r="I4591" s="76"/>
      <c r="J4591" s="67"/>
      <c r="K4591" s="7" t="s">
        <v>1126</v>
      </c>
      <c r="L4591" s="77"/>
      <c r="M4591" s="79"/>
      <c r="N4591" s="1"/>
      <c r="O4591" s="1"/>
      <c r="P4591" s="1"/>
      <c r="Q4591" s="1"/>
      <c r="R4591" s="1"/>
      <c r="S4591" s="1"/>
      <c r="T4591" s="1"/>
      <c r="U4591" s="1"/>
      <c r="V4591" s="1"/>
      <c r="W4591" s="1"/>
      <c r="X4591" s="1"/>
      <c r="Y4591" s="1"/>
      <c r="Z4591" s="1"/>
      <c r="AA4591" s="1"/>
      <c r="AB4591" s="1"/>
      <c r="AC4591" s="1"/>
      <c r="AD4591" s="1"/>
      <c r="AE4591" s="1"/>
      <c r="AF4591" s="1"/>
      <c r="AG4591" s="1"/>
      <c r="AH4591" s="1"/>
    </row>
    <row r="4592" ht="12.75" hidden="1" customHeight="1" outlineLevel="1">
      <c r="A4592" s="17">
        <v>41820.0</v>
      </c>
      <c r="B4592" s="1"/>
      <c r="C4592" s="1" t="s">
        <v>433</v>
      </c>
      <c r="D4592" s="74"/>
      <c r="E4592" s="67"/>
      <c r="F4592" s="75"/>
      <c r="G4592" s="67"/>
      <c r="H4592" s="68"/>
      <c r="I4592" s="76"/>
      <c r="J4592" s="67"/>
      <c r="K4592" s="7" t="s">
        <v>1103</v>
      </c>
      <c r="L4592" s="77"/>
      <c r="M4592" s="79"/>
      <c r="N4592" s="1"/>
      <c r="O4592" s="1"/>
      <c r="P4592" s="1"/>
      <c r="Q4592" s="1"/>
      <c r="R4592" s="1"/>
      <c r="S4592" s="1"/>
      <c r="T4592" s="1"/>
      <c r="U4592" s="1"/>
      <c r="V4592" s="1"/>
      <c r="W4592" s="1"/>
      <c r="X4592" s="1"/>
      <c r="Y4592" s="1"/>
      <c r="Z4592" s="1"/>
      <c r="AA4592" s="1"/>
      <c r="AB4592" s="1"/>
      <c r="AC4592" s="1"/>
      <c r="AD4592" s="1"/>
      <c r="AE4592" s="1"/>
      <c r="AF4592" s="1"/>
      <c r="AG4592" s="1"/>
      <c r="AH4592" s="1"/>
    </row>
    <row r="4593" ht="12.75" hidden="1" customHeight="1" outlineLevel="1">
      <c r="A4593" s="17">
        <v>41820.0</v>
      </c>
      <c r="B4593" s="1"/>
      <c r="C4593" s="1" t="s">
        <v>435</v>
      </c>
      <c r="D4593" s="74"/>
      <c r="E4593" s="67"/>
      <c r="F4593" s="75"/>
      <c r="G4593" s="67"/>
      <c r="H4593" s="68"/>
      <c r="I4593" s="76"/>
      <c r="J4593" s="67"/>
      <c r="K4593" s="7" t="s">
        <v>1507</v>
      </c>
      <c r="L4593" s="77"/>
      <c r="M4593" s="79"/>
      <c r="N4593" s="1"/>
      <c r="O4593" s="1"/>
      <c r="P4593" s="1"/>
      <c r="Q4593" s="1"/>
      <c r="R4593" s="1"/>
      <c r="S4593" s="1"/>
      <c r="T4593" s="1"/>
      <c r="U4593" s="1"/>
      <c r="V4593" s="1"/>
      <c r="W4593" s="1"/>
      <c r="X4593" s="1"/>
      <c r="Y4593" s="1"/>
      <c r="Z4593" s="1"/>
      <c r="AA4593" s="1"/>
      <c r="AB4593" s="1"/>
      <c r="AC4593" s="1"/>
      <c r="AD4593" s="1"/>
      <c r="AE4593" s="1"/>
      <c r="AF4593" s="1"/>
      <c r="AG4593" s="1"/>
      <c r="AH4593" s="1"/>
    </row>
    <row r="4594" ht="12.75" hidden="1" customHeight="1" outlineLevel="1">
      <c r="A4594" s="17">
        <v>41821.0</v>
      </c>
      <c r="B4594" s="1"/>
      <c r="C4594" s="1" t="s">
        <v>339</v>
      </c>
      <c r="D4594" s="74"/>
      <c r="E4594" s="67"/>
      <c r="F4594" s="75"/>
      <c r="G4594" s="67"/>
      <c r="H4594" s="68"/>
      <c r="I4594" s="76"/>
      <c r="J4594" s="67"/>
      <c r="K4594" s="7" t="s">
        <v>1883</v>
      </c>
      <c r="L4594" s="77"/>
      <c r="M4594" s="79"/>
      <c r="N4594" s="1"/>
      <c r="O4594" s="1"/>
      <c r="P4594" s="1"/>
      <c r="Q4594" s="1"/>
      <c r="R4594" s="1"/>
      <c r="S4594" s="1"/>
      <c r="T4594" s="1"/>
      <c r="U4594" s="1"/>
      <c r="V4594" s="1"/>
      <c r="W4594" s="1"/>
      <c r="X4594" s="1"/>
      <c r="Y4594" s="1"/>
      <c r="Z4594" s="1"/>
      <c r="AA4594" s="1"/>
      <c r="AB4594" s="1"/>
      <c r="AC4594" s="1"/>
      <c r="AD4594" s="1"/>
      <c r="AE4594" s="1"/>
      <c r="AF4594" s="1"/>
      <c r="AG4594" s="1"/>
      <c r="AH4594" s="1"/>
    </row>
    <row r="4595" ht="12.75" hidden="1" customHeight="1" outlineLevel="1">
      <c r="A4595" s="17">
        <v>41821.0</v>
      </c>
      <c r="B4595" s="1"/>
      <c r="C4595" s="1" t="s">
        <v>429</v>
      </c>
      <c r="D4595" s="74"/>
      <c r="E4595" s="67"/>
      <c r="F4595" s="75"/>
      <c r="G4595" s="67"/>
      <c r="H4595" s="68"/>
      <c r="I4595" s="76"/>
      <c r="J4595" s="67"/>
      <c r="K4595" s="7" t="s">
        <v>1877</v>
      </c>
      <c r="L4595" s="77"/>
      <c r="M4595" s="79"/>
      <c r="N4595" s="1"/>
      <c r="O4595" s="1"/>
      <c r="P4595" s="1"/>
      <c r="Q4595" s="1"/>
      <c r="R4595" s="1"/>
      <c r="S4595" s="1"/>
      <c r="T4595" s="1"/>
      <c r="U4595" s="1"/>
      <c r="V4595" s="1"/>
      <c r="W4595" s="1"/>
      <c r="X4595" s="1"/>
      <c r="Y4595" s="1"/>
      <c r="Z4595" s="1"/>
      <c r="AA4595" s="1"/>
      <c r="AB4595" s="1"/>
      <c r="AC4595" s="1"/>
      <c r="AD4595" s="1"/>
      <c r="AE4595" s="1"/>
      <c r="AF4595" s="1"/>
      <c r="AG4595" s="1"/>
      <c r="AH4595" s="1"/>
    </row>
    <row r="4596" ht="12.75" hidden="1" customHeight="1" outlineLevel="1">
      <c r="A4596" s="17">
        <v>41821.0</v>
      </c>
      <c r="B4596" s="1"/>
      <c r="C4596" s="1" t="s">
        <v>431</v>
      </c>
      <c r="D4596" s="74"/>
      <c r="E4596" s="67"/>
      <c r="F4596" s="75"/>
      <c r="G4596" s="67"/>
      <c r="H4596" s="68"/>
      <c r="I4596" s="76"/>
      <c r="J4596" s="67"/>
      <c r="K4596" s="7" t="s">
        <v>1126</v>
      </c>
      <c r="L4596" s="77"/>
      <c r="M4596" s="79"/>
      <c r="N4596" s="1"/>
      <c r="O4596" s="1"/>
      <c r="P4596" s="1"/>
      <c r="Q4596" s="1"/>
      <c r="R4596" s="1"/>
      <c r="S4596" s="1"/>
      <c r="T4596" s="1"/>
      <c r="U4596" s="1"/>
      <c r="V4596" s="1"/>
      <c r="W4596" s="1"/>
      <c r="X4596" s="1"/>
      <c r="Y4596" s="1"/>
      <c r="Z4596" s="1"/>
      <c r="AA4596" s="1"/>
      <c r="AB4596" s="1"/>
      <c r="AC4596" s="1"/>
      <c r="AD4596" s="1"/>
      <c r="AE4596" s="1"/>
      <c r="AF4596" s="1"/>
      <c r="AG4596" s="1"/>
      <c r="AH4596" s="1"/>
    </row>
    <row r="4597" ht="12.75" hidden="1" customHeight="1" outlineLevel="1">
      <c r="A4597" s="17">
        <v>41821.0</v>
      </c>
      <c r="B4597" s="1"/>
      <c r="C4597" s="1" t="s">
        <v>433</v>
      </c>
      <c r="D4597" s="74"/>
      <c r="E4597" s="67"/>
      <c r="F4597" s="75"/>
      <c r="G4597" s="67"/>
      <c r="H4597" s="68"/>
      <c r="I4597" s="76"/>
      <c r="J4597" s="67"/>
      <c r="K4597" s="7" t="s">
        <v>1103</v>
      </c>
      <c r="L4597" s="77"/>
      <c r="M4597" s="79"/>
      <c r="N4597" s="1"/>
      <c r="O4597" s="1"/>
      <c r="P4597" s="1"/>
      <c r="Q4597" s="1"/>
      <c r="R4597" s="1"/>
      <c r="S4597" s="1"/>
      <c r="T4597" s="1"/>
      <c r="U4597" s="1"/>
      <c r="V4597" s="1"/>
      <c r="W4597" s="1"/>
      <c r="X4597" s="1"/>
      <c r="Y4597" s="1"/>
      <c r="Z4597" s="1"/>
      <c r="AA4597" s="1"/>
      <c r="AB4597" s="1"/>
      <c r="AC4597" s="1"/>
      <c r="AD4597" s="1"/>
      <c r="AE4597" s="1"/>
      <c r="AF4597" s="1"/>
      <c r="AG4597" s="1"/>
      <c r="AH4597" s="1"/>
    </row>
    <row r="4598" ht="12.75" hidden="1" customHeight="1" outlineLevel="1">
      <c r="A4598" s="17">
        <v>41821.0</v>
      </c>
      <c r="B4598" s="1"/>
      <c r="C4598" s="1" t="s">
        <v>435</v>
      </c>
      <c r="D4598" s="74"/>
      <c r="E4598" s="67"/>
      <c r="F4598" s="75"/>
      <c r="G4598" s="67"/>
      <c r="H4598" s="68"/>
      <c r="I4598" s="76"/>
      <c r="J4598" s="67"/>
      <c r="K4598" s="7" t="s">
        <v>1507</v>
      </c>
      <c r="L4598" s="77"/>
      <c r="M4598" s="79"/>
      <c r="N4598" s="1"/>
      <c r="O4598" s="1"/>
      <c r="P4598" s="1"/>
      <c r="Q4598" s="1"/>
      <c r="R4598" s="1"/>
      <c r="S4598" s="1"/>
      <c r="T4598" s="1"/>
      <c r="U4598" s="1"/>
      <c r="V4598" s="1"/>
      <c r="W4598" s="1"/>
      <c r="X4598" s="1"/>
      <c r="Y4598" s="1"/>
      <c r="Z4598" s="1"/>
      <c r="AA4598" s="1"/>
      <c r="AB4598" s="1"/>
      <c r="AC4598" s="1"/>
      <c r="AD4598" s="1"/>
      <c r="AE4598" s="1"/>
      <c r="AF4598" s="1"/>
      <c r="AG4598" s="1"/>
      <c r="AH4598" s="1"/>
    </row>
    <row r="4599" ht="12.75" hidden="1" customHeight="1" outlineLevel="1">
      <c r="A4599" s="17">
        <v>41822.0</v>
      </c>
      <c r="B4599" s="1" t="s">
        <v>343</v>
      </c>
      <c r="C4599" s="1" t="s">
        <v>369</v>
      </c>
      <c r="D4599" s="74">
        <v>3500.0</v>
      </c>
      <c r="E4599" s="67">
        <v>15.649</v>
      </c>
      <c r="F4599" s="75">
        <v>0.4404398148148148</v>
      </c>
      <c r="G4599" s="67" t="s">
        <v>453</v>
      </c>
      <c r="H4599" s="68">
        <v>15.6</v>
      </c>
      <c r="I4599" s="76"/>
      <c r="J4599" s="67">
        <f t="shared" ref="J4599:J4615" si="286">IF(B4599="SLD",D4599*E4599,-D4599*E4599)-H4599</f>
        <v>-54787.1</v>
      </c>
      <c r="K4599" s="7"/>
      <c r="L4599" s="70"/>
      <c r="M4599" s="79"/>
      <c r="N4599" s="1"/>
      <c r="O4599" s="1"/>
      <c r="P4599" s="1"/>
      <c r="Q4599" s="1"/>
      <c r="R4599" s="1"/>
      <c r="S4599" s="1"/>
      <c r="T4599" s="1"/>
      <c r="U4599" s="1"/>
      <c r="V4599" s="1"/>
      <c r="W4599" s="1"/>
      <c r="X4599" s="1"/>
      <c r="Y4599" s="1"/>
      <c r="Z4599" s="1"/>
      <c r="AA4599" s="1"/>
      <c r="AB4599" s="1"/>
      <c r="AC4599" s="1"/>
      <c r="AD4599" s="1"/>
      <c r="AE4599" s="1"/>
      <c r="AF4599" s="1"/>
      <c r="AG4599" s="1"/>
      <c r="AH4599" s="1"/>
    </row>
    <row r="4600" ht="12.75" hidden="1" customHeight="1" outlineLevel="1">
      <c r="A4600" s="17">
        <v>41822.0</v>
      </c>
      <c r="B4600" s="1" t="s">
        <v>343</v>
      </c>
      <c r="C4600" s="1" t="s">
        <v>355</v>
      </c>
      <c r="D4600" s="74">
        <v>8000.0</v>
      </c>
      <c r="E4600" s="67">
        <v>5.736</v>
      </c>
      <c r="F4600" s="75">
        <v>0.4407986111111111</v>
      </c>
      <c r="G4600" s="67" t="s">
        <v>453</v>
      </c>
      <c r="H4600" s="68">
        <v>37.4</v>
      </c>
      <c r="I4600" s="76"/>
      <c r="J4600" s="67">
        <f t="shared" si="286"/>
        <v>-45925.4</v>
      </c>
      <c r="K4600" s="7"/>
      <c r="L4600" s="70"/>
      <c r="M4600" s="79"/>
      <c r="N4600" s="1"/>
      <c r="O4600" s="1"/>
      <c r="P4600" s="1"/>
      <c r="Q4600" s="1"/>
      <c r="R4600" s="1"/>
      <c r="S4600" s="1"/>
      <c r="T4600" s="1"/>
      <c r="U4600" s="1"/>
      <c r="V4600" s="1"/>
      <c r="W4600" s="1"/>
      <c r="X4600" s="1"/>
      <c r="Y4600" s="1"/>
      <c r="Z4600" s="1"/>
      <c r="AA4600" s="1"/>
      <c r="AB4600" s="1"/>
      <c r="AC4600" s="1"/>
      <c r="AD4600" s="1"/>
      <c r="AE4600" s="1"/>
      <c r="AF4600" s="1"/>
      <c r="AG4600" s="1"/>
      <c r="AH4600" s="1"/>
    </row>
    <row r="4601" ht="12.75" hidden="1" customHeight="1" outlineLevel="1">
      <c r="A4601" s="17">
        <v>41822.0</v>
      </c>
      <c r="B4601" s="1" t="s">
        <v>343</v>
      </c>
      <c r="C4601" s="1" t="s">
        <v>784</v>
      </c>
      <c r="D4601" s="74">
        <v>4000.0</v>
      </c>
      <c r="E4601" s="67">
        <v>13.715</v>
      </c>
      <c r="F4601" s="75">
        <v>0.4414004629629629</v>
      </c>
      <c r="G4601" s="67" t="s">
        <v>453</v>
      </c>
      <c r="H4601" s="68">
        <v>16.0</v>
      </c>
      <c r="I4601" s="76"/>
      <c r="J4601" s="67">
        <f t="shared" si="286"/>
        <v>-54876</v>
      </c>
      <c r="K4601" s="7"/>
      <c r="L4601" s="70"/>
      <c r="M4601" s="79"/>
      <c r="N4601" s="1"/>
      <c r="O4601" s="1"/>
      <c r="P4601" s="1"/>
      <c r="Q4601" s="1"/>
      <c r="R4601" s="1"/>
      <c r="S4601" s="1"/>
      <c r="T4601" s="1"/>
      <c r="U4601" s="1"/>
      <c r="V4601" s="1"/>
      <c r="W4601" s="1"/>
      <c r="X4601" s="1"/>
      <c r="Y4601" s="1"/>
      <c r="Z4601" s="1"/>
      <c r="AA4601" s="1"/>
      <c r="AB4601" s="1"/>
      <c r="AC4601" s="1"/>
      <c r="AD4601" s="1"/>
      <c r="AE4601" s="1"/>
      <c r="AF4601" s="1"/>
      <c r="AG4601" s="1"/>
      <c r="AH4601" s="1"/>
    </row>
    <row r="4602" ht="12.75" hidden="1" customHeight="1" outlineLevel="1">
      <c r="A4602" s="17">
        <v>41822.0</v>
      </c>
      <c r="B4602" s="1" t="s">
        <v>343</v>
      </c>
      <c r="C4602" s="1" t="s">
        <v>1044</v>
      </c>
      <c r="D4602" s="74">
        <v>1500.0</v>
      </c>
      <c r="E4602" s="67">
        <v>26.42</v>
      </c>
      <c r="F4602" s="75">
        <v>0.44310185185185186</v>
      </c>
      <c r="G4602" s="67" t="s">
        <v>453</v>
      </c>
      <c r="H4602" s="68">
        <v>6.4</v>
      </c>
      <c r="I4602" s="76"/>
      <c r="J4602" s="67">
        <f t="shared" si="286"/>
        <v>-39636.4</v>
      </c>
      <c r="K4602" s="7"/>
      <c r="L4602" s="70"/>
      <c r="M4602" s="79"/>
      <c r="N4602" s="1"/>
      <c r="O4602" s="1"/>
      <c r="P4602" s="1"/>
      <c r="Q4602" s="1"/>
      <c r="R4602" s="1"/>
      <c r="S4602" s="1"/>
      <c r="T4602" s="1"/>
      <c r="U4602" s="1"/>
      <c r="V4602" s="1"/>
      <c r="W4602" s="1"/>
      <c r="X4602" s="1"/>
      <c r="Y4602" s="1"/>
      <c r="Z4602" s="1"/>
      <c r="AA4602" s="1"/>
      <c r="AB4602" s="1"/>
      <c r="AC4602" s="1"/>
      <c r="AD4602" s="1"/>
      <c r="AE4602" s="1"/>
      <c r="AF4602" s="1"/>
      <c r="AG4602" s="1"/>
      <c r="AH4602" s="1"/>
    </row>
    <row r="4603" ht="12.75" hidden="1" customHeight="1" outlineLevel="1">
      <c r="A4603" s="17">
        <v>41822.0</v>
      </c>
      <c r="B4603" s="1" t="s">
        <v>343</v>
      </c>
      <c r="C4603" s="1" t="s">
        <v>790</v>
      </c>
      <c r="D4603" s="74">
        <v>1700.0</v>
      </c>
      <c r="E4603" s="67">
        <v>14.59</v>
      </c>
      <c r="F4603" s="75">
        <v>0.45806712962962964</v>
      </c>
      <c r="G4603" s="67" t="s">
        <v>453</v>
      </c>
      <c r="H4603" s="68">
        <v>8.1</v>
      </c>
      <c r="I4603" s="76"/>
      <c r="J4603" s="67">
        <f t="shared" si="286"/>
        <v>-24811.1</v>
      </c>
      <c r="K4603" s="7"/>
      <c r="L4603" s="70"/>
      <c r="M4603" s="79"/>
      <c r="N4603" s="1"/>
      <c r="O4603" s="1"/>
      <c r="P4603" s="1"/>
      <c r="Q4603" s="1"/>
      <c r="R4603" s="1"/>
      <c r="S4603" s="1"/>
      <c r="T4603" s="1"/>
      <c r="U4603" s="1"/>
      <c r="V4603" s="1"/>
      <c r="W4603" s="1"/>
      <c r="X4603" s="1"/>
      <c r="Y4603" s="1"/>
      <c r="Z4603" s="1"/>
      <c r="AA4603" s="1"/>
      <c r="AB4603" s="1"/>
      <c r="AC4603" s="1"/>
      <c r="AD4603" s="1"/>
      <c r="AE4603" s="1"/>
      <c r="AF4603" s="1"/>
      <c r="AG4603" s="1"/>
      <c r="AH4603" s="1"/>
    </row>
    <row r="4604" ht="12.75" hidden="1" customHeight="1" outlineLevel="1">
      <c r="A4604" s="17">
        <v>41822.0</v>
      </c>
      <c r="B4604" s="1" t="s">
        <v>347</v>
      </c>
      <c r="C4604" s="1" t="s">
        <v>784</v>
      </c>
      <c r="D4604" s="74">
        <f t="shared" ref="D4604:D4605" si="287">100*100</f>
        <v>10000</v>
      </c>
      <c r="E4604" s="67">
        <v>0.645</v>
      </c>
      <c r="F4604" s="75">
        <v>0.4622106481481481</v>
      </c>
      <c r="G4604" s="67" t="s">
        <v>453</v>
      </c>
      <c r="H4604" s="68">
        <v>79.35</v>
      </c>
      <c r="I4604" s="76"/>
      <c r="J4604" s="67">
        <f t="shared" si="286"/>
        <v>6370.65</v>
      </c>
      <c r="K4604" s="7"/>
      <c r="L4604" s="70"/>
      <c r="M4604" s="79"/>
      <c r="N4604" s="1"/>
      <c r="O4604" s="1"/>
      <c r="P4604" s="1"/>
      <c r="Q4604" s="1"/>
      <c r="R4604" s="1"/>
      <c r="S4604" s="1"/>
      <c r="T4604" s="1"/>
      <c r="U4604" s="1"/>
      <c r="V4604" s="1"/>
      <c r="W4604" s="1"/>
      <c r="X4604" s="1"/>
      <c r="Y4604" s="1"/>
      <c r="Z4604" s="1"/>
      <c r="AA4604" s="1"/>
      <c r="AB4604" s="1"/>
      <c r="AC4604" s="1"/>
      <c r="AD4604" s="1"/>
      <c r="AE4604" s="1"/>
      <c r="AF4604" s="1"/>
      <c r="AG4604" s="1"/>
      <c r="AH4604" s="1"/>
    </row>
    <row r="4605" ht="12.75" hidden="1" customHeight="1" outlineLevel="1">
      <c r="A4605" s="17">
        <v>41822.0</v>
      </c>
      <c r="B4605" s="1" t="s">
        <v>347</v>
      </c>
      <c r="C4605" s="1" t="s">
        <v>369</v>
      </c>
      <c r="D4605" s="74">
        <f t="shared" si="287"/>
        <v>10000</v>
      </c>
      <c r="E4605" s="67">
        <v>1.5</v>
      </c>
      <c r="F4605" s="75">
        <v>0.46318287037037037</v>
      </c>
      <c r="G4605" s="67" t="s">
        <v>453</v>
      </c>
      <c r="H4605" s="68">
        <v>81.94</v>
      </c>
      <c r="I4605" s="76"/>
      <c r="J4605" s="67">
        <f t="shared" si="286"/>
        <v>14918.06</v>
      </c>
      <c r="K4605" s="7"/>
      <c r="L4605" s="70"/>
      <c r="M4605" s="79"/>
      <c r="N4605" s="1"/>
      <c r="O4605" s="1"/>
      <c r="P4605" s="1"/>
      <c r="Q4605" s="1"/>
      <c r="R4605" s="1"/>
      <c r="S4605" s="1"/>
      <c r="T4605" s="1"/>
      <c r="U4605" s="1"/>
      <c r="V4605" s="1"/>
      <c r="W4605" s="1"/>
      <c r="X4605" s="1"/>
      <c r="Y4605" s="1"/>
      <c r="Z4605" s="1"/>
      <c r="AA4605" s="1"/>
      <c r="AB4605" s="1"/>
      <c r="AC4605" s="1"/>
      <c r="AD4605" s="1"/>
      <c r="AE4605" s="1"/>
      <c r="AF4605" s="1"/>
      <c r="AG4605" s="1"/>
      <c r="AH4605" s="1"/>
    </row>
    <row r="4606" ht="12.75" hidden="1" customHeight="1" outlineLevel="1">
      <c r="A4606" s="17">
        <v>41822.0</v>
      </c>
      <c r="B4606" s="1" t="s">
        <v>347</v>
      </c>
      <c r="C4606" s="1" t="s">
        <v>354</v>
      </c>
      <c r="D4606" s="74">
        <v>600.0</v>
      </c>
      <c r="E4606" s="67">
        <v>114.72</v>
      </c>
      <c r="F4606" s="75">
        <v>0.4643171296296296</v>
      </c>
      <c r="G4606" s="67" t="s">
        <v>453</v>
      </c>
      <c r="H4606" s="68">
        <v>4.22</v>
      </c>
      <c r="I4606" s="76"/>
      <c r="J4606" s="67">
        <f t="shared" si="286"/>
        <v>68827.78</v>
      </c>
      <c r="K4606" s="7"/>
      <c r="L4606" s="70"/>
      <c r="M4606" s="79"/>
      <c r="N4606" s="1"/>
      <c r="O4606" s="1"/>
      <c r="P4606" s="1"/>
      <c r="Q4606" s="1"/>
      <c r="R4606" s="1"/>
      <c r="S4606" s="1"/>
      <c r="T4606" s="1"/>
      <c r="U4606" s="1"/>
      <c r="V4606" s="1"/>
      <c r="W4606" s="1"/>
      <c r="X4606" s="1"/>
      <c r="Y4606" s="1"/>
      <c r="Z4606" s="1"/>
      <c r="AA4606" s="1"/>
      <c r="AB4606" s="1"/>
      <c r="AC4606" s="1"/>
      <c r="AD4606" s="1"/>
      <c r="AE4606" s="1"/>
      <c r="AF4606" s="1"/>
      <c r="AG4606" s="1"/>
      <c r="AH4606" s="1"/>
    </row>
    <row r="4607" ht="12.75" hidden="1" customHeight="1" outlineLevel="1">
      <c r="A4607" s="17">
        <v>41822.0</v>
      </c>
      <c r="B4607" s="1" t="s">
        <v>347</v>
      </c>
      <c r="C4607" s="1" t="s">
        <v>1371</v>
      </c>
      <c r="D4607" s="74">
        <v>1500.0</v>
      </c>
      <c r="E4607" s="67">
        <v>36.813</v>
      </c>
      <c r="F4607" s="75">
        <v>0.46475694444444443</v>
      </c>
      <c r="G4607" s="67" t="s">
        <v>453</v>
      </c>
      <c r="H4607" s="68">
        <v>7.22</v>
      </c>
      <c r="I4607" s="76"/>
      <c r="J4607" s="67">
        <f t="shared" si="286"/>
        <v>55212.28</v>
      </c>
      <c r="K4607" s="7"/>
      <c r="L4607" s="70"/>
      <c r="M4607" s="79"/>
      <c r="N4607" s="1"/>
      <c r="O4607" s="1"/>
      <c r="P4607" s="1"/>
      <c r="Q4607" s="1"/>
      <c r="R4607" s="1"/>
      <c r="S4607" s="1"/>
      <c r="T4607" s="1"/>
      <c r="U4607" s="1"/>
      <c r="V4607" s="1"/>
      <c r="W4607" s="1"/>
      <c r="X4607" s="1"/>
      <c r="Y4607" s="1"/>
      <c r="Z4607" s="1"/>
      <c r="AA4607" s="1"/>
      <c r="AB4607" s="1"/>
      <c r="AC4607" s="1"/>
      <c r="AD4607" s="1"/>
      <c r="AE4607" s="1"/>
      <c r="AF4607" s="1"/>
      <c r="AG4607" s="1"/>
      <c r="AH4607" s="1"/>
    </row>
    <row r="4608" ht="12.75" hidden="1" customHeight="1" outlineLevel="1">
      <c r="A4608" s="17">
        <v>41822.0</v>
      </c>
      <c r="B4608" s="1" t="s">
        <v>347</v>
      </c>
      <c r="C4608" s="1" t="s">
        <v>1766</v>
      </c>
      <c r="D4608" s="74">
        <v>500.0</v>
      </c>
      <c r="E4608" s="67">
        <v>70.752</v>
      </c>
      <c r="F4608" s="75">
        <v>0.4736458333333333</v>
      </c>
      <c r="G4608" s="67" t="s">
        <v>453</v>
      </c>
      <c r="H4608" s="68">
        <v>2.78</v>
      </c>
      <c r="I4608" s="76"/>
      <c r="J4608" s="67">
        <f t="shared" si="286"/>
        <v>35373.22</v>
      </c>
      <c r="K4608" s="7"/>
      <c r="L4608" s="70"/>
      <c r="M4608" s="79"/>
      <c r="N4608" s="1"/>
      <c r="O4608" s="1"/>
      <c r="P4608" s="1"/>
      <c r="Q4608" s="1"/>
      <c r="R4608" s="1"/>
      <c r="S4608" s="1"/>
      <c r="T4608" s="1"/>
      <c r="U4608" s="1"/>
      <c r="V4608" s="1"/>
      <c r="W4608" s="1"/>
      <c r="X4608" s="1"/>
      <c r="Y4608" s="1"/>
      <c r="Z4608" s="1"/>
      <c r="AA4608" s="1"/>
      <c r="AB4608" s="1"/>
      <c r="AC4608" s="1"/>
      <c r="AD4608" s="1"/>
      <c r="AE4608" s="1"/>
      <c r="AF4608" s="1"/>
      <c r="AG4608" s="1"/>
      <c r="AH4608" s="1"/>
    </row>
    <row r="4609" ht="12.75" hidden="1" customHeight="1" outlineLevel="1">
      <c r="A4609" s="17">
        <v>41822.0</v>
      </c>
      <c r="B4609" s="1" t="s">
        <v>347</v>
      </c>
      <c r="C4609" s="1" t="s">
        <v>1006</v>
      </c>
      <c r="D4609" s="74">
        <v>200.0</v>
      </c>
      <c r="E4609" s="67">
        <v>54.318</v>
      </c>
      <c r="F4609" s="75">
        <v>0.476087962962963</v>
      </c>
      <c r="G4609" s="67" t="s">
        <v>453</v>
      </c>
      <c r="H4609" s="68">
        <v>1.24</v>
      </c>
      <c r="I4609" s="76"/>
      <c r="J4609" s="67">
        <f t="shared" si="286"/>
        <v>10862.36</v>
      </c>
      <c r="K4609" s="7"/>
      <c r="L4609" s="70"/>
      <c r="M4609" s="79"/>
      <c r="N4609" s="1"/>
      <c r="O4609" s="1"/>
      <c r="P4609" s="1"/>
      <c r="Q4609" s="1"/>
      <c r="R4609" s="1"/>
      <c r="S4609" s="1"/>
      <c r="T4609" s="1"/>
      <c r="U4609" s="1"/>
      <c r="V4609" s="1"/>
      <c r="W4609" s="1"/>
      <c r="X4609" s="1"/>
      <c r="Y4609" s="1"/>
      <c r="Z4609" s="1"/>
      <c r="AA4609" s="1"/>
      <c r="AB4609" s="1"/>
      <c r="AC4609" s="1"/>
      <c r="AD4609" s="1"/>
      <c r="AE4609" s="1"/>
      <c r="AF4609" s="1"/>
      <c r="AG4609" s="1"/>
      <c r="AH4609" s="1"/>
    </row>
    <row r="4610" ht="12.75" hidden="1" customHeight="1" outlineLevel="1">
      <c r="A4610" s="17">
        <v>41822.0</v>
      </c>
      <c r="B4610" s="1" t="s">
        <v>347</v>
      </c>
      <c r="C4610" s="1" t="s">
        <v>344</v>
      </c>
      <c r="D4610" s="74">
        <v>700.0</v>
      </c>
      <c r="E4610" s="67">
        <v>55.47</v>
      </c>
      <c r="F4610" s="75">
        <v>0.48563657407407407</v>
      </c>
      <c r="G4610" s="67" t="s">
        <v>453</v>
      </c>
      <c r="H4610" s="68">
        <v>3.96</v>
      </c>
      <c r="I4610" s="76"/>
      <c r="J4610" s="67">
        <f t="shared" si="286"/>
        <v>38825.04</v>
      </c>
      <c r="K4610" s="7"/>
      <c r="L4610" s="70"/>
      <c r="M4610" s="79"/>
      <c r="N4610" s="1"/>
      <c r="O4610" s="1"/>
      <c r="P4610" s="1"/>
      <c r="Q4610" s="1"/>
      <c r="R4610" s="1"/>
      <c r="S4610" s="1"/>
      <c r="T4610" s="1"/>
      <c r="U4610" s="1"/>
      <c r="V4610" s="1"/>
      <c r="W4610" s="1"/>
      <c r="X4610" s="1"/>
      <c r="Y4610" s="1"/>
      <c r="Z4610" s="1"/>
      <c r="AA4610" s="1"/>
      <c r="AB4610" s="1"/>
      <c r="AC4610" s="1"/>
      <c r="AD4610" s="1"/>
      <c r="AE4610" s="1"/>
      <c r="AF4610" s="1"/>
      <c r="AG4610" s="1"/>
      <c r="AH4610" s="1"/>
    </row>
    <row r="4611" ht="12.75" hidden="1" customHeight="1" outlineLevel="1">
      <c r="A4611" s="17">
        <v>41822.0</v>
      </c>
      <c r="B4611" s="1" t="s">
        <v>343</v>
      </c>
      <c r="C4611" s="1" t="s">
        <v>1725</v>
      </c>
      <c r="D4611" s="74">
        <v>5000.0</v>
      </c>
      <c r="E4611" s="67">
        <v>15.09</v>
      </c>
      <c r="F4611" s="75">
        <v>0.504849537037037</v>
      </c>
      <c r="G4611" s="67" t="s">
        <v>453</v>
      </c>
      <c r="H4611" s="68">
        <v>25.0</v>
      </c>
      <c r="I4611" s="76"/>
      <c r="J4611" s="67">
        <f t="shared" si="286"/>
        <v>-75475</v>
      </c>
      <c r="K4611" s="7"/>
      <c r="L4611" s="70"/>
      <c r="M4611" s="79"/>
      <c r="N4611" s="1"/>
      <c r="O4611" s="1"/>
      <c r="P4611" s="1"/>
      <c r="Q4611" s="1"/>
      <c r="R4611" s="1"/>
      <c r="S4611" s="1"/>
      <c r="T4611" s="1"/>
      <c r="U4611" s="1"/>
      <c r="V4611" s="1"/>
      <c r="W4611" s="1"/>
      <c r="X4611" s="1"/>
      <c r="Y4611" s="1"/>
      <c r="Z4611" s="1"/>
      <c r="AA4611" s="1"/>
      <c r="AB4611" s="1"/>
      <c r="AC4611" s="1"/>
      <c r="AD4611" s="1"/>
      <c r="AE4611" s="1"/>
      <c r="AF4611" s="1"/>
      <c r="AG4611" s="1"/>
      <c r="AH4611" s="1"/>
    </row>
    <row r="4612" ht="12.75" hidden="1" customHeight="1" outlineLevel="1">
      <c r="A4612" s="17">
        <v>41822.0</v>
      </c>
      <c r="B4612" s="1" t="s">
        <v>347</v>
      </c>
      <c r="C4612" s="1" t="s">
        <v>354</v>
      </c>
      <c r="D4612" s="74">
        <v>200.0</v>
      </c>
      <c r="E4612" s="67">
        <v>113.16</v>
      </c>
      <c r="F4612" s="75">
        <v>0.5200694444444445</v>
      </c>
      <c r="G4612" s="67" t="s">
        <v>453</v>
      </c>
      <c r="H4612" s="68">
        <v>1.5</v>
      </c>
      <c r="I4612" s="76"/>
      <c r="J4612" s="67">
        <f t="shared" si="286"/>
        <v>22630.5</v>
      </c>
      <c r="K4612" s="7"/>
      <c r="L4612" s="70"/>
      <c r="M4612" s="79"/>
      <c r="N4612" s="1"/>
      <c r="O4612" s="1"/>
      <c r="P4612" s="1"/>
      <c r="Q4612" s="1"/>
      <c r="R4612" s="1"/>
      <c r="S4612" s="1"/>
      <c r="T4612" s="1"/>
      <c r="U4612" s="1"/>
      <c r="V4612" s="1"/>
      <c r="W4612" s="1"/>
      <c r="X4612" s="1"/>
      <c r="Y4612" s="1"/>
      <c r="Z4612" s="1"/>
      <c r="AA4612" s="1"/>
      <c r="AB4612" s="1"/>
      <c r="AC4612" s="1"/>
      <c r="AD4612" s="1"/>
      <c r="AE4612" s="1"/>
      <c r="AF4612" s="1"/>
      <c r="AG4612" s="1"/>
      <c r="AH4612" s="1"/>
    </row>
    <row r="4613" ht="12.75" hidden="1" customHeight="1" outlineLevel="1">
      <c r="A4613" s="17">
        <v>41822.0</v>
      </c>
      <c r="B4613" s="1" t="s">
        <v>347</v>
      </c>
      <c r="C4613" s="1" t="s">
        <v>1371</v>
      </c>
      <c r="D4613" s="74">
        <v>500.0</v>
      </c>
      <c r="E4613" s="67">
        <v>36.762</v>
      </c>
      <c r="F4613" s="75">
        <v>0.5203819444444444</v>
      </c>
      <c r="G4613" s="67" t="s">
        <v>453</v>
      </c>
      <c r="H4613" s="68">
        <v>2.41</v>
      </c>
      <c r="I4613" s="76"/>
      <c r="J4613" s="67">
        <f t="shared" si="286"/>
        <v>18378.59</v>
      </c>
      <c r="K4613" s="7"/>
      <c r="L4613" s="70"/>
      <c r="M4613" s="79"/>
      <c r="N4613" s="1"/>
      <c r="O4613" s="1"/>
      <c r="P4613" s="1"/>
      <c r="Q4613" s="1"/>
      <c r="R4613" s="1"/>
      <c r="S4613" s="1"/>
      <c r="T4613" s="1"/>
      <c r="U4613" s="1"/>
      <c r="V4613" s="1"/>
      <c r="W4613" s="1"/>
      <c r="X4613" s="1"/>
      <c r="Y4613" s="1"/>
      <c r="Z4613" s="1"/>
      <c r="AA4613" s="1"/>
      <c r="AB4613" s="1"/>
      <c r="AC4613" s="1"/>
      <c r="AD4613" s="1"/>
      <c r="AE4613" s="1"/>
      <c r="AF4613" s="1"/>
      <c r="AG4613" s="1"/>
      <c r="AH4613" s="1"/>
    </row>
    <row r="4614" ht="12.75" hidden="1" customHeight="1" outlineLevel="1">
      <c r="A4614" s="17">
        <v>41822.0</v>
      </c>
      <c r="B4614" s="1" t="s">
        <v>347</v>
      </c>
      <c r="C4614" s="1" t="s">
        <v>356</v>
      </c>
      <c r="D4614" s="74">
        <v>20.0</v>
      </c>
      <c r="E4614" s="67">
        <v>393.5252</v>
      </c>
      <c r="F4614" s="75">
        <v>0.6156944444444444</v>
      </c>
      <c r="G4614" s="67" t="s">
        <v>453</v>
      </c>
      <c r="H4614" s="68">
        <v>1.17</v>
      </c>
      <c r="I4614" s="76"/>
      <c r="J4614" s="67">
        <f t="shared" si="286"/>
        <v>7869.334</v>
      </c>
      <c r="K4614" s="7"/>
      <c r="L4614" s="70"/>
      <c r="M4614" s="79"/>
      <c r="N4614" s="1"/>
      <c r="O4614" s="1"/>
      <c r="P4614" s="1"/>
      <c r="Q4614" s="1"/>
      <c r="R4614" s="1"/>
      <c r="S4614" s="1"/>
      <c r="T4614" s="1"/>
      <c r="U4614" s="1"/>
      <c r="V4614" s="1"/>
      <c r="W4614" s="1"/>
      <c r="X4614" s="1"/>
      <c r="Y4614" s="1"/>
      <c r="Z4614" s="1"/>
      <c r="AA4614" s="1"/>
      <c r="AB4614" s="1"/>
      <c r="AC4614" s="1"/>
      <c r="AD4614" s="1"/>
      <c r="AE4614" s="1"/>
      <c r="AF4614" s="1"/>
      <c r="AG4614" s="1"/>
      <c r="AH4614" s="1"/>
    </row>
    <row r="4615" ht="12.75" hidden="1" customHeight="1" outlineLevel="1">
      <c r="A4615" s="17">
        <v>41822.0</v>
      </c>
      <c r="B4615" s="1" t="s">
        <v>347</v>
      </c>
      <c r="C4615" s="1" t="s">
        <v>1185</v>
      </c>
      <c r="D4615" s="74">
        <v>25.0</v>
      </c>
      <c r="E4615" s="67">
        <v>288.6201</v>
      </c>
      <c r="F4615" s="75">
        <v>0.6179398148148149</v>
      </c>
      <c r="G4615" s="67" t="s">
        <v>453</v>
      </c>
      <c r="H4615" s="68">
        <v>1.16</v>
      </c>
      <c r="I4615" s="76"/>
      <c r="J4615" s="67">
        <f t="shared" si="286"/>
        <v>7214.3425</v>
      </c>
      <c r="K4615" s="7"/>
      <c r="L4615" s="70"/>
      <c r="M4615" s="79"/>
      <c r="N4615" s="1"/>
      <c r="O4615" s="1"/>
      <c r="P4615" s="1"/>
      <c r="Q4615" s="1"/>
      <c r="R4615" s="1"/>
      <c r="S4615" s="1"/>
      <c r="T4615" s="1"/>
      <c r="U4615" s="1"/>
      <c r="V4615" s="1"/>
      <c r="W4615" s="1"/>
      <c r="X4615" s="1"/>
      <c r="Y4615" s="1"/>
      <c r="Z4615" s="1"/>
      <c r="AA4615" s="1"/>
      <c r="AB4615" s="1"/>
      <c r="AC4615" s="1"/>
      <c r="AD4615" s="1"/>
      <c r="AE4615" s="1"/>
      <c r="AF4615" s="1"/>
      <c r="AG4615" s="1"/>
      <c r="AH4615" s="1"/>
    </row>
    <row r="4616" ht="12.75" hidden="1" customHeight="1" outlineLevel="1">
      <c r="A4616" s="17">
        <v>41822.0</v>
      </c>
      <c r="B4616" s="1"/>
      <c r="C4616" s="1" t="s">
        <v>339</v>
      </c>
      <c r="D4616" s="74"/>
      <c r="E4616" s="67"/>
      <c r="F4616" s="75"/>
      <c r="G4616" s="67"/>
      <c r="H4616" s="68"/>
      <c r="I4616" s="76"/>
      <c r="J4616" s="67"/>
      <c r="K4616" s="7" t="s">
        <v>1896</v>
      </c>
      <c r="L4616" s="77"/>
      <c r="M4616" s="79"/>
      <c r="N4616" s="1"/>
      <c r="O4616" s="1"/>
      <c r="P4616" s="1"/>
      <c r="Q4616" s="1"/>
      <c r="R4616" s="1"/>
      <c r="S4616" s="1"/>
      <c r="T4616" s="1"/>
      <c r="U4616" s="1"/>
      <c r="V4616" s="1"/>
      <c r="W4616" s="1"/>
      <c r="X4616" s="1"/>
      <c r="Y4616" s="1"/>
      <c r="Z4616" s="1"/>
      <c r="AA4616" s="1"/>
      <c r="AB4616" s="1"/>
      <c r="AC4616" s="1"/>
      <c r="AD4616" s="1"/>
      <c r="AE4616" s="1"/>
      <c r="AF4616" s="1"/>
      <c r="AG4616" s="1"/>
      <c r="AH4616" s="1"/>
    </row>
    <row r="4617" ht="12.75" hidden="1" customHeight="1" outlineLevel="1">
      <c r="A4617" s="17">
        <v>41822.0</v>
      </c>
      <c r="B4617" s="1"/>
      <c r="C4617" s="1" t="s">
        <v>429</v>
      </c>
      <c r="D4617" s="74"/>
      <c r="E4617" s="67"/>
      <c r="F4617" s="75"/>
      <c r="G4617" s="67"/>
      <c r="H4617" s="68"/>
      <c r="I4617" s="76"/>
      <c r="J4617" s="67"/>
      <c r="K4617" s="7" t="s">
        <v>1877</v>
      </c>
      <c r="L4617" s="77"/>
      <c r="M4617" s="79"/>
      <c r="N4617" s="1"/>
      <c r="O4617" s="1"/>
      <c r="P4617" s="1"/>
      <c r="Q4617" s="1"/>
      <c r="R4617" s="1"/>
      <c r="S4617" s="1"/>
      <c r="T4617" s="1"/>
      <c r="U4617" s="1"/>
      <c r="V4617" s="1"/>
      <c r="W4617" s="1"/>
      <c r="X4617" s="1"/>
      <c r="Y4617" s="1"/>
      <c r="Z4617" s="1"/>
      <c r="AA4617" s="1"/>
      <c r="AB4617" s="1"/>
      <c r="AC4617" s="1"/>
      <c r="AD4617" s="1"/>
      <c r="AE4617" s="1"/>
      <c r="AF4617" s="1"/>
      <c r="AG4617" s="1"/>
      <c r="AH4617" s="1"/>
    </row>
    <row r="4618" ht="12.75" hidden="1" customHeight="1" outlineLevel="1">
      <c r="A4618" s="17">
        <v>41822.0</v>
      </c>
      <c r="B4618" s="1"/>
      <c r="C4618" s="1" t="s">
        <v>431</v>
      </c>
      <c r="D4618" s="74"/>
      <c r="E4618" s="67"/>
      <c r="F4618" s="75"/>
      <c r="G4618" s="67"/>
      <c r="H4618" s="68"/>
      <c r="I4618" s="76"/>
      <c r="J4618" s="67"/>
      <c r="K4618" s="7" t="s">
        <v>1126</v>
      </c>
      <c r="L4618" s="77"/>
      <c r="M4618" s="79"/>
      <c r="N4618" s="1"/>
      <c r="O4618" s="1"/>
      <c r="P4618" s="1"/>
      <c r="Q4618" s="1"/>
      <c r="R4618" s="1"/>
      <c r="S4618" s="1"/>
      <c r="T4618" s="1"/>
      <c r="U4618" s="1"/>
      <c r="V4618" s="1"/>
      <c r="W4618" s="1"/>
      <c r="X4618" s="1"/>
      <c r="Y4618" s="1"/>
      <c r="Z4618" s="1"/>
      <c r="AA4618" s="1"/>
      <c r="AB4618" s="1"/>
      <c r="AC4618" s="1"/>
      <c r="AD4618" s="1"/>
      <c r="AE4618" s="1"/>
      <c r="AF4618" s="1"/>
      <c r="AG4618" s="1"/>
      <c r="AH4618" s="1"/>
    </row>
    <row r="4619" ht="12.75" hidden="1" customHeight="1" outlineLevel="1">
      <c r="A4619" s="17">
        <v>41822.0</v>
      </c>
      <c r="B4619" s="1"/>
      <c r="C4619" s="1" t="s">
        <v>433</v>
      </c>
      <c r="D4619" s="74"/>
      <c r="E4619" s="67"/>
      <c r="F4619" s="75"/>
      <c r="G4619" s="67"/>
      <c r="H4619" s="68"/>
      <c r="I4619" s="76"/>
      <c r="J4619" s="67"/>
      <c r="K4619" s="7" t="s">
        <v>1103</v>
      </c>
      <c r="L4619" s="77"/>
      <c r="M4619" s="79"/>
      <c r="N4619" s="1"/>
      <c r="O4619" s="1"/>
      <c r="P4619" s="1"/>
      <c r="Q4619" s="1"/>
      <c r="R4619" s="1"/>
      <c r="S4619" s="1"/>
      <c r="T4619" s="1"/>
      <c r="U4619" s="1"/>
      <c r="V4619" s="1"/>
      <c r="W4619" s="1"/>
      <c r="X4619" s="1"/>
      <c r="Y4619" s="1"/>
      <c r="Z4619" s="1"/>
      <c r="AA4619" s="1"/>
      <c r="AB4619" s="1"/>
      <c r="AC4619" s="1"/>
      <c r="AD4619" s="1"/>
      <c r="AE4619" s="1"/>
      <c r="AF4619" s="1"/>
      <c r="AG4619" s="1"/>
      <c r="AH4619" s="1"/>
    </row>
    <row r="4620" ht="12.75" hidden="1" customHeight="1" outlineLevel="1">
      <c r="A4620" s="17">
        <v>41822.0</v>
      </c>
      <c r="B4620" s="1"/>
      <c r="C4620" s="1" t="s">
        <v>435</v>
      </c>
      <c r="D4620" s="74"/>
      <c r="E4620" s="67"/>
      <c r="F4620" s="75"/>
      <c r="G4620" s="67"/>
      <c r="H4620" s="68"/>
      <c r="I4620" s="76"/>
      <c r="J4620" s="67"/>
      <c r="K4620" s="7" t="s">
        <v>1507</v>
      </c>
      <c r="L4620" s="77"/>
      <c r="M4620" s="79"/>
      <c r="N4620" s="1"/>
      <c r="O4620" s="1"/>
      <c r="P4620" s="1"/>
      <c r="Q4620" s="1"/>
      <c r="R4620" s="1"/>
      <c r="S4620" s="1"/>
      <c r="T4620" s="1"/>
      <c r="U4620" s="1"/>
      <c r="V4620" s="1"/>
      <c r="W4620" s="1"/>
      <c r="X4620" s="1"/>
      <c r="Y4620" s="1"/>
      <c r="Z4620" s="1"/>
      <c r="AA4620" s="1"/>
      <c r="AB4620" s="1"/>
      <c r="AC4620" s="1"/>
      <c r="AD4620" s="1"/>
      <c r="AE4620" s="1"/>
      <c r="AF4620" s="1"/>
      <c r="AG4620" s="1"/>
      <c r="AH4620" s="1"/>
    </row>
    <row r="4621" ht="12.75" hidden="1" customHeight="1" outlineLevel="1">
      <c r="A4621" s="17">
        <v>41823.0</v>
      </c>
      <c r="B4621" s="1"/>
      <c r="C4621" s="1" t="s">
        <v>339</v>
      </c>
      <c r="D4621" s="74"/>
      <c r="E4621" s="67"/>
      <c r="F4621" s="75"/>
      <c r="G4621" s="67"/>
      <c r="H4621" s="68"/>
      <c r="I4621" s="76"/>
      <c r="J4621" s="67"/>
      <c r="K4621" s="7" t="s">
        <v>1899</v>
      </c>
      <c r="L4621" s="77"/>
      <c r="M4621" s="79"/>
      <c r="N4621" s="1"/>
      <c r="O4621" s="1"/>
      <c r="P4621" s="1"/>
      <c r="Q4621" s="1"/>
      <c r="R4621" s="1"/>
      <c r="S4621" s="1"/>
      <c r="T4621" s="1"/>
      <c r="U4621" s="1"/>
      <c r="V4621" s="1"/>
      <c r="W4621" s="1"/>
      <c r="X4621" s="1"/>
      <c r="Y4621" s="1"/>
      <c r="Z4621" s="1"/>
      <c r="AA4621" s="1"/>
      <c r="AB4621" s="1"/>
      <c r="AC4621" s="1"/>
      <c r="AD4621" s="1"/>
      <c r="AE4621" s="1"/>
      <c r="AF4621" s="1"/>
      <c r="AG4621" s="1"/>
      <c r="AH4621" s="1"/>
    </row>
    <row r="4622" ht="12.75" hidden="1" customHeight="1" outlineLevel="1">
      <c r="A4622" s="17">
        <v>41823.0</v>
      </c>
      <c r="B4622" s="1"/>
      <c r="C4622" s="1" t="s">
        <v>429</v>
      </c>
      <c r="D4622" s="74"/>
      <c r="E4622" s="67"/>
      <c r="F4622" s="75"/>
      <c r="G4622" s="67"/>
      <c r="H4622" s="68"/>
      <c r="I4622" s="76"/>
      <c r="J4622" s="67"/>
      <c r="K4622" s="7" t="s">
        <v>1877</v>
      </c>
      <c r="L4622" s="77"/>
      <c r="M4622" s="79"/>
      <c r="N4622" s="1"/>
      <c r="O4622" s="1"/>
      <c r="P4622" s="1"/>
      <c r="Q4622" s="1"/>
      <c r="R4622" s="1"/>
      <c r="S4622" s="1"/>
      <c r="T4622" s="1"/>
      <c r="U4622" s="1"/>
      <c r="V4622" s="1"/>
      <c r="W4622" s="1"/>
      <c r="X4622" s="1"/>
      <c r="Y4622" s="1"/>
      <c r="Z4622" s="1"/>
      <c r="AA4622" s="1"/>
      <c r="AB4622" s="1"/>
      <c r="AC4622" s="1"/>
      <c r="AD4622" s="1"/>
      <c r="AE4622" s="1"/>
      <c r="AF4622" s="1"/>
      <c r="AG4622" s="1"/>
      <c r="AH4622" s="1"/>
    </row>
    <row r="4623" ht="12.75" hidden="1" customHeight="1" outlineLevel="1">
      <c r="A4623" s="17">
        <v>41823.0</v>
      </c>
      <c r="B4623" s="1"/>
      <c r="C4623" s="1" t="s">
        <v>431</v>
      </c>
      <c r="D4623" s="74"/>
      <c r="E4623" s="67"/>
      <c r="F4623" s="75"/>
      <c r="G4623" s="67"/>
      <c r="H4623" s="68"/>
      <c r="I4623" s="76"/>
      <c r="J4623" s="67"/>
      <c r="K4623" s="7" t="s">
        <v>1126</v>
      </c>
      <c r="L4623" s="77"/>
      <c r="M4623" s="79"/>
      <c r="N4623" s="1"/>
      <c r="O4623" s="1"/>
      <c r="P4623" s="1"/>
      <c r="Q4623" s="1"/>
      <c r="R4623" s="1"/>
      <c r="S4623" s="1"/>
      <c r="T4623" s="1"/>
      <c r="U4623" s="1"/>
      <c r="V4623" s="1"/>
      <c r="W4623" s="1"/>
      <c r="X4623" s="1"/>
      <c r="Y4623" s="1"/>
      <c r="Z4623" s="1"/>
      <c r="AA4623" s="1"/>
      <c r="AB4623" s="1"/>
      <c r="AC4623" s="1"/>
      <c r="AD4623" s="1"/>
      <c r="AE4623" s="1"/>
      <c r="AF4623" s="1"/>
      <c r="AG4623" s="1"/>
      <c r="AH4623" s="1"/>
    </row>
    <row r="4624" ht="12.75" hidden="1" customHeight="1" outlineLevel="1">
      <c r="A4624" s="17">
        <v>41823.0</v>
      </c>
      <c r="B4624" s="1"/>
      <c r="C4624" s="1" t="s">
        <v>433</v>
      </c>
      <c r="D4624" s="74"/>
      <c r="E4624" s="67"/>
      <c r="F4624" s="75"/>
      <c r="G4624" s="67"/>
      <c r="H4624" s="68"/>
      <c r="I4624" s="76"/>
      <c r="J4624" s="67"/>
      <c r="K4624" s="7" t="s">
        <v>1103</v>
      </c>
      <c r="L4624" s="77"/>
      <c r="M4624" s="79"/>
      <c r="N4624" s="1"/>
      <c r="O4624" s="1"/>
      <c r="P4624" s="1"/>
      <c r="Q4624" s="1"/>
      <c r="R4624" s="1"/>
      <c r="S4624" s="1"/>
      <c r="T4624" s="1"/>
      <c r="U4624" s="1"/>
      <c r="V4624" s="1"/>
      <c r="W4624" s="1"/>
      <c r="X4624" s="1"/>
      <c r="Y4624" s="1"/>
      <c r="Z4624" s="1"/>
      <c r="AA4624" s="1"/>
      <c r="AB4624" s="1"/>
      <c r="AC4624" s="1"/>
      <c r="AD4624" s="1"/>
      <c r="AE4624" s="1"/>
      <c r="AF4624" s="1"/>
      <c r="AG4624" s="1"/>
      <c r="AH4624" s="1"/>
    </row>
    <row r="4625" ht="12.75" hidden="1" customHeight="1" outlineLevel="1">
      <c r="A4625" s="17">
        <v>41823.0</v>
      </c>
      <c r="B4625" s="1"/>
      <c r="C4625" s="1" t="s">
        <v>435</v>
      </c>
      <c r="D4625" s="74"/>
      <c r="E4625" s="67"/>
      <c r="F4625" s="75"/>
      <c r="G4625" s="67"/>
      <c r="H4625" s="68"/>
      <c r="I4625" s="76"/>
      <c r="J4625" s="67"/>
      <c r="K4625" s="7" t="s">
        <v>1507</v>
      </c>
      <c r="L4625" s="77"/>
      <c r="M4625" s="79"/>
      <c r="N4625" s="1"/>
      <c r="O4625" s="1"/>
      <c r="P4625" s="1"/>
      <c r="Q4625" s="1"/>
      <c r="R4625" s="1"/>
      <c r="S4625" s="1"/>
      <c r="T4625" s="1"/>
      <c r="U4625" s="1"/>
      <c r="V4625" s="1"/>
      <c r="W4625" s="1"/>
      <c r="X4625" s="1"/>
      <c r="Y4625" s="1"/>
      <c r="Z4625" s="1"/>
      <c r="AA4625" s="1"/>
      <c r="AB4625" s="1"/>
      <c r="AC4625" s="1"/>
      <c r="AD4625" s="1"/>
      <c r="AE4625" s="1"/>
      <c r="AF4625" s="1"/>
      <c r="AG4625" s="1"/>
      <c r="AH4625" s="1"/>
    </row>
    <row r="4626" ht="12.75" hidden="1" customHeight="1" outlineLevel="1">
      <c r="A4626" s="17">
        <v>41827.0</v>
      </c>
      <c r="B4626" s="1" t="s">
        <v>347</v>
      </c>
      <c r="C4626" s="1" t="s">
        <v>1725</v>
      </c>
      <c r="D4626" s="74">
        <v>2000.0</v>
      </c>
      <c r="E4626" s="67">
        <v>14.349</v>
      </c>
      <c r="F4626" s="75">
        <v>0.5262268518518519</v>
      </c>
      <c r="G4626" s="67" t="s">
        <v>453</v>
      </c>
      <c r="H4626" s="68">
        <v>9.23</v>
      </c>
      <c r="I4626" s="76"/>
      <c r="J4626" s="67">
        <f t="shared" ref="J4626:J4627" si="288">IF(B4626="SLD",D4626*E4626,-D4626*E4626)-H4626</f>
        <v>28688.77</v>
      </c>
      <c r="K4626" s="7"/>
      <c r="L4626" s="70"/>
      <c r="M4626" s="79"/>
      <c r="N4626" s="1"/>
      <c r="O4626" s="1"/>
      <c r="P4626" s="1"/>
      <c r="Q4626" s="1"/>
      <c r="R4626" s="1"/>
      <c r="S4626" s="1"/>
      <c r="T4626" s="1"/>
      <c r="U4626" s="1"/>
      <c r="V4626" s="1"/>
      <c r="W4626" s="1"/>
      <c r="X4626" s="1"/>
      <c r="Y4626" s="1"/>
      <c r="Z4626" s="1"/>
      <c r="AA4626" s="1"/>
      <c r="AB4626" s="1"/>
      <c r="AC4626" s="1"/>
      <c r="AD4626" s="1"/>
      <c r="AE4626" s="1"/>
      <c r="AF4626" s="1"/>
      <c r="AG4626" s="1"/>
      <c r="AH4626" s="1"/>
    </row>
    <row r="4627" ht="12.75" hidden="1" customHeight="1" outlineLevel="1">
      <c r="A4627" s="17">
        <v>41827.0</v>
      </c>
      <c r="B4627" s="1" t="s">
        <v>347</v>
      </c>
      <c r="C4627" s="1" t="s">
        <v>1357</v>
      </c>
      <c r="D4627" s="74">
        <v>150.0</v>
      </c>
      <c r="E4627" s="67">
        <v>38.491</v>
      </c>
      <c r="F4627" s="75">
        <v>0.6016087962962963</v>
      </c>
      <c r="G4627" s="67" t="s">
        <v>453</v>
      </c>
      <c r="H4627" s="68">
        <v>1.13</v>
      </c>
      <c r="I4627" s="76"/>
      <c r="J4627" s="67">
        <f t="shared" si="288"/>
        <v>5772.52</v>
      </c>
      <c r="K4627" s="7"/>
      <c r="L4627" s="70"/>
      <c r="M4627" s="79"/>
      <c r="N4627" s="1"/>
      <c r="O4627" s="1"/>
      <c r="P4627" s="1"/>
      <c r="Q4627" s="1"/>
      <c r="R4627" s="1"/>
      <c r="S4627" s="1"/>
      <c r="T4627" s="1"/>
      <c r="U4627" s="1"/>
      <c r="V4627" s="1"/>
      <c r="W4627" s="1"/>
      <c r="X4627" s="1"/>
      <c r="Y4627" s="1"/>
      <c r="Z4627" s="1"/>
      <c r="AA4627" s="1"/>
      <c r="AB4627" s="1"/>
      <c r="AC4627" s="1"/>
      <c r="AD4627" s="1"/>
      <c r="AE4627" s="1"/>
      <c r="AF4627" s="1"/>
      <c r="AG4627" s="1"/>
      <c r="AH4627" s="1"/>
    </row>
    <row r="4628" ht="12.75" hidden="1" customHeight="1" outlineLevel="1">
      <c r="A4628" s="17">
        <v>41827.0</v>
      </c>
      <c r="B4628" s="1"/>
      <c r="C4628" s="1" t="s">
        <v>339</v>
      </c>
      <c r="D4628" s="74"/>
      <c r="E4628" s="67"/>
      <c r="F4628" s="75"/>
      <c r="G4628" s="67"/>
      <c r="H4628" s="68"/>
      <c r="I4628" s="76"/>
      <c r="J4628" s="67"/>
      <c r="K4628" s="7" t="s">
        <v>1906</v>
      </c>
      <c r="L4628" s="77"/>
      <c r="M4628" s="79"/>
      <c r="N4628" s="1"/>
      <c r="O4628" s="1"/>
      <c r="P4628" s="1"/>
      <c r="Q4628" s="1"/>
      <c r="R4628" s="1"/>
      <c r="S4628" s="1"/>
      <c r="T4628" s="1"/>
      <c r="U4628" s="1"/>
      <c r="V4628" s="1"/>
      <c r="W4628" s="1"/>
      <c r="X4628" s="1"/>
      <c r="Y4628" s="1"/>
      <c r="Z4628" s="1"/>
      <c r="AA4628" s="1"/>
      <c r="AB4628" s="1"/>
      <c r="AC4628" s="1"/>
      <c r="AD4628" s="1"/>
      <c r="AE4628" s="1"/>
      <c r="AF4628" s="1"/>
      <c r="AG4628" s="1"/>
      <c r="AH4628" s="1"/>
    </row>
    <row r="4629" ht="12.75" hidden="1" customHeight="1" outlineLevel="1">
      <c r="A4629" s="17">
        <v>41827.0</v>
      </c>
      <c r="B4629" s="1"/>
      <c r="C4629" s="1" t="s">
        <v>429</v>
      </c>
      <c r="D4629" s="74"/>
      <c r="E4629" s="67"/>
      <c r="F4629" s="75"/>
      <c r="G4629" s="67"/>
      <c r="H4629" s="68"/>
      <c r="I4629" s="76"/>
      <c r="J4629" s="67"/>
      <c r="K4629" s="7" t="s">
        <v>1877</v>
      </c>
      <c r="L4629" s="77"/>
      <c r="M4629" s="79"/>
      <c r="N4629" s="1"/>
      <c r="O4629" s="1"/>
      <c r="P4629" s="1"/>
      <c r="Q4629" s="1"/>
      <c r="R4629" s="1"/>
      <c r="S4629" s="1"/>
      <c r="T4629" s="1"/>
      <c r="U4629" s="1"/>
      <c r="V4629" s="1"/>
      <c r="W4629" s="1"/>
      <c r="X4629" s="1"/>
      <c r="Y4629" s="1"/>
      <c r="Z4629" s="1"/>
      <c r="AA4629" s="1"/>
      <c r="AB4629" s="1"/>
      <c r="AC4629" s="1"/>
      <c r="AD4629" s="1"/>
      <c r="AE4629" s="1"/>
      <c r="AF4629" s="1"/>
      <c r="AG4629" s="1"/>
      <c r="AH4629" s="1"/>
    </row>
    <row r="4630" ht="12.75" hidden="1" customHeight="1" outlineLevel="1">
      <c r="A4630" s="17">
        <v>41827.0</v>
      </c>
      <c r="B4630" s="1"/>
      <c r="C4630" s="1" t="s">
        <v>431</v>
      </c>
      <c r="D4630" s="74"/>
      <c r="E4630" s="67"/>
      <c r="F4630" s="75"/>
      <c r="G4630" s="67"/>
      <c r="H4630" s="68"/>
      <c r="I4630" s="76"/>
      <c r="J4630" s="67"/>
      <c r="K4630" s="7" t="s">
        <v>1126</v>
      </c>
      <c r="L4630" s="77"/>
      <c r="M4630" s="79"/>
      <c r="N4630" s="1"/>
      <c r="O4630" s="1"/>
      <c r="P4630" s="1"/>
      <c r="Q4630" s="1"/>
      <c r="R4630" s="1"/>
      <c r="S4630" s="1"/>
      <c r="T4630" s="1"/>
      <c r="U4630" s="1"/>
      <c r="V4630" s="1"/>
      <c r="W4630" s="1"/>
      <c r="X4630" s="1"/>
      <c r="Y4630" s="1"/>
      <c r="Z4630" s="1"/>
      <c r="AA4630" s="1"/>
      <c r="AB4630" s="1"/>
      <c r="AC4630" s="1"/>
      <c r="AD4630" s="1"/>
      <c r="AE4630" s="1"/>
      <c r="AF4630" s="1"/>
      <c r="AG4630" s="1"/>
      <c r="AH4630" s="1"/>
    </row>
    <row r="4631" ht="12.75" hidden="1" customHeight="1" outlineLevel="1">
      <c r="A4631" s="17">
        <v>41827.0</v>
      </c>
      <c r="B4631" s="1"/>
      <c r="C4631" s="1" t="s">
        <v>433</v>
      </c>
      <c r="D4631" s="74"/>
      <c r="E4631" s="67"/>
      <c r="F4631" s="75"/>
      <c r="G4631" s="67"/>
      <c r="H4631" s="68"/>
      <c r="I4631" s="76"/>
      <c r="J4631" s="67"/>
      <c r="K4631" s="7" t="s">
        <v>1103</v>
      </c>
      <c r="L4631" s="77"/>
      <c r="M4631" s="79"/>
      <c r="N4631" s="1"/>
      <c r="O4631" s="1"/>
      <c r="P4631" s="1"/>
      <c r="Q4631" s="1"/>
      <c r="R4631" s="1"/>
      <c r="S4631" s="1"/>
      <c r="T4631" s="1"/>
      <c r="U4631" s="1"/>
      <c r="V4631" s="1"/>
      <c r="W4631" s="1"/>
      <c r="X4631" s="1"/>
      <c r="Y4631" s="1"/>
      <c r="Z4631" s="1"/>
      <c r="AA4631" s="1"/>
      <c r="AB4631" s="1"/>
      <c r="AC4631" s="1"/>
      <c r="AD4631" s="1"/>
      <c r="AE4631" s="1"/>
      <c r="AF4631" s="1"/>
      <c r="AG4631" s="1"/>
      <c r="AH4631" s="1"/>
    </row>
    <row r="4632" ht="12.75" hidden="1" customHeight="1" outlineLevel="1">
      <c r="A4632" s="17">
        <v>41827.0</v>
      </c>
      <c r="B4632" s="1"/>
      <c r="C4632" s="1" t="s">
        <v>435</v>
      </c>
      <c r="D4632" s="74"/>
      <c r="E4632" s="67"/>
      <c r="F4632" s="75"/>
      <c r="G4632" s="67"/>
      <c r="H4632" s="68"/>
      <c r="I4632" s="76"/>
      <c r="J4632" s="67"/>
      <c r="K4632" s="7" t="s">
        <v>1507</v>
      </c>
      <c r="L4632" s="77"/>
      <c r="M4632" s="79"/>
      <c r="N4632" s="1"/>
      <c r="O4632" s="1"/>
      <c r="P4632" s="1"/>
      <c r="Q4632" s="1"/>
      <c r="R4632" s="1"/>
      <c r="S4632" s="1"/>
      <c r="T4632" s="1"/>
      <c r="U4632" s="1"/>
      <c r="V4632" s="1"/>
      <c r="W4632" s="1"/>
      <c r="X4632" s="1"/>
      <c r="Y4632" s="1"/>
      <c r="Z4632" s="1"/>
      <c r="AA4632" s="1"/>
      <c r="AB4632" s="1"/>
      <c r="AC4632" s="1"/>
      <c r="AD4632" s="1"/>
      <c r="AE4632" s="1"/>
      <c r="AF4632" s="1"/>
      <c r="AG4632" s="1"/>
      <c r="AH4632" s="1"/>
    </row>
    <row r="4633" ht="12.75" hidden="1" customHeight="1" outlineLevel="1">
      <c r="A4633" s="17">
        <v>41829.0</v>
      </c>
      <c r="B4633" s="1" t="s">
        <v>343</v>
      </c>
      <c r="C4633" s="1" t="s">
        <v>605</v>
      </c>
      <c r="D4633" s="74">
        <v>400.0</v>
      </c>
      <c r="E4633" s="67">
        <v>79.92</v>
      </c>
      <c r="F4633" s="75">
        <v>0.6255208333333333</v>
      </c>
      <c r="G4633" s="67" t="s">
        <v>453</v>
      </c>
      <c r="H4633" s="68">
        <v>1.6</v>
      </c>
      <c r="I4633" s="76"/>
      <c r="J4633" s="67">
        <f t="shared" ref="J4633:J4637" si="289">IF(B4633="SLD",D4633*E4633,-D4633*E4633)-H4633</f>
        <v>-31969.6</v>
      </c>
      <c r="K4633" s="7"/>
      <c r="L4633" s="70"/>
      <c r="M4633" s="79"/>
      <c r="N4633" s="1"/>
      <c r="O4633" s="1"/>
      <c r="P4633" s="1"/>
      <c r="Q4633" s="1"/>
      <c r="R4633" s="1"/>
      <c r="S4633" s="1"/>
      <c r="T4633" s="1"/>
      <c r="U4633" s="1"/>
      <c r="V4633" s="1"/>
      <c r="W4633" s="1"/>
      <c r="X4633" s="1"/>
      <c r="Y4633" s="1"/>
      <c r="Z4633" s="1"/>
      <c r="AA4633" s="1"/>
      <c r="AB4633" s="1"/>
      <c r="AC4633" s="1"/>
      <c r="AD4633" s="1"/>
      <c r="AE4633" s="1"/>
      <c r="AF4633" s="1"/>
      <c r="AG4633" s="1"/>
      <c r="AH4633" s="1"/>
    </row>
    <row r="4634" ht="12.75" hidden="1" customHeight="1" outlineLevel="1">
      <c r="A4634" s="17">
        <v>41829.0</v>
      </c>
      <c r="B4634" s="1" t="s">
        <v>343</v>
      </c>
      <c r="C4634" s="1" t="s">
        <v>1044</v>
      </c>
      <c r="D4634" s="74">
        <v>700.0</v>
      </c>
      <c r="E4634" s="67">
        <v>27.189</v>
      </c>
      <c r="F4634" s="75">
        <v>0.6394328703703703</v>
      </c>
      <c r="G4634" s="67" t="s">
        <v>453</v>
      </c>
      <c r="H4634" s="68">
        <v>3.0</v>
      </c>
      <c r="I4634" s="76"/>
      <c r="J4634" s="67">
        <f t="shared" si="289"/>
        <v>-19035.3</v>
      </c>
      <c r="K4634" s="7"/>
      <c r="L4634" s="70"/>
      <c r="M4634" s="79"/>
      <c r="N4634" s="1"/>
      <c r="O4634" s="1"/>
      <c r="P4634" s="1"/>
      <c r="Q4634" s="1"/>
      <c r="R4634" s="1"/>
      <c r="S4634" s="1"/>
      <c r="T4634" s="1"/>
      <c r="U4634" s="1"/>
      <c r="V4634" s="1"/>
      <c r="W4634" s="1"/>
      <c r="X4634" s="1"/>
      <c r="Y4634" s="1"/>
      <c r="Z4634" s="1"/>
      <c r="AA4634" s="1"/>
      <c r="AB4634" s="1"/>
      <c r="AC4634" s="1"/>
      <c r="AD4634" s="1"/>
      <c r="AE4634" s="1"/>
      <c r="AF4634" s="1"/>
      <c r="AG4634" s="1"/>
      <c r="AH4634" s="1"/>
    </row>
    <row r="4635" ht="12.75" hidden="1" customHeight="1" outlineLevel="1">
      <c r="A4635" s="17">
        <v>41829.0</v>
      </c>
      <c r="B4635" s="1" t="s">
        <v>343</v>
      </c>
      <c r="C4635" s="1" t="s">
        <v>784</v>
      </c>
      <c r="D4635" s="74">
        <v>2000.0</v>
      </c>
      <c r="E4635" s="67">
        <v>13.99</v>
      </c>
      <c r="F4635" s="75">
        <v>0.6527662037037038</v>
      </c>
      <c r="G4635" s="67" t="s">
        <v>453</v>
      </c>
      <c r="H4635" s="68">
        <v>8.9</v>
      </c>
      <c r="I4635" s="76"/>
      <c r="J4635" s="67">
        <f t="shared" si="289"/>
        <v>-27988.9</v>
      </c>
      <c r="K4635" s="7"/>
      <c r="L4635" s="70"/>
      <c r="M4635" s="79"/>
      <c r="N4635" s="1"/>
      <c r="O4635" s="1"/>
      <c r="P4635" s="1"/>
      <c r="Q4635" s="1"/>
      <c r="R4635" s="1"/>
      <c r="S4635" s="1"/>
      <c r="T4635" s="1"/>
      <c r="U4635" s="1"/>
      <c r="V4635" s="1"/>
      <c r="W4635" s="1"/>
      <c r="X4635" s="1"/>
      <c r="Y4635" s="1"/>
      <c r="Z4635" s="1"/>
      <c r="AA4635" s="1"/>
      <c r="AB4635" s="1"/>
      <c r="AC4635" s="1"/>
      <c r="AD4635" s="1"/>
      <c r="AE4635" s="1"/>
      <c r="AF4635" s="1"/>
      <c r="AG4635" s="1"/>
      <c r="AH4635" s="1"/>
    </row>
    <row r="4636" ht="12.75" hidden="1" customHeight="1" outlineLevel="1">
      <c r="A4636" s="17">
        <v>41829.0</v>
      </c>
      <c r="B4636" s="1" t="s">
        <v>343</v>
      </c>
      <c r="C4636" s="1" t="s">
        <v>1766</v>
      </c>
      <c r="D4636" s="74">
        <v>500.0</v>
      </c>
      <c r="E4636" s="67">
        <v>69.09</v>
      </c>
      <c r="F4636" s="75">
        <v>0.6548726851851852</v>
      </c>
      <c r="G4636" s="67" t="s">
        <v>453</v>
      </c>
      <c r="H4636" s="68">
        <v>2.5</v>
      </c>
      <c r="I4636" s="76"/>
      <c r="J4636" s="67">
        <f t="shared" si="289"/>
        <v>-34547.5</v>
      </c>
      <c r="K4636" s="7"/>
      <c r="L4636" s="70"/>
      <c r="M4636" s="79"/>
      <c r="N4636" s="1"/>
      <c r="O4636" s="1"/>
      <c r="P4636" s="1"/>
      <c r="Q4636" s="1"/>
      <c r="R4636" s="1"/>
      <c r="S4636" s="1"/>
      <c r="T4636" s="1"/>
      <c r="U4636" s="1"/>
      <c r="V4636" s="1"/>
      <c r="W4636" s="1"/>
      <c r="X4636" s="1"/>
      <c r="Y4636" s="1"/>
      <c r="Z4636" s="1"/>
      <c r="AA4636" s="1"/>
      <c r="AB4636" s="1"/>
      <c r="AC4636" s="1"/>
      <c r="AD4636" s="1"/>
      <c r="AE4636" s="1"/>
      <c r="AF4636" s="1"/>
      <c r="AG4636" s="1"/>
      <c r="AH4636" s="1"/>
    </row>
    <row r="4637" ht="12.75" hidden="1" customHeight="1" outlineLevel="1">
      <c r="A4637" s="17">
        <v>41829.0</v>
      </c>
      <c r="B4637" s="1" t="s">
        <v>343</v>
      </c>
      <c r="C4637" s="1" t="s">
        <v>1725</v>
      </c>
      <c r="D4637" s="74">
        <v>2000.0</v>
      </c>
      <c r="E4637" s="67">
        <v>13.957</v>
      </c>
      <c r="F4637" s="75">
        <v>0.6655671296296296</v>
      </c>
      <c r="G4637" s="67" t="s">
        <v>453</v>
      </c>
      <c r="H4637" s="68">
        <v>8.8</v>
      </c>
      <c r="I4637" s="76"/>
      <c r="J4637" s="67">
        <f t="shared" si="289"/>
        <v>-27922.8</v>
      </c>
      <c r="K4637" s="7"/>
      <c r="L4637" s="70"/>
      <c r="M4637" s="79"/>
      <c r="N4637" s="1"/>
      <c r="O4637" s="1"/>
      <c r="P4637" s="1"/>
      <c r="Q4637" s="1"/>
      <c r="R4637" s="1"/>
      <c r="S4637" s="1"/>
      <c r="T4637" s="1"/>
      <c r="U4637" s="1"/>
      <c r="V4637" s="1"/>
      <c r="W4637" s="1"/>
      <c r="X4637" s="1"/>
      <c r="Y4637" s="1"/>
      <c r="Z4637" s="1"/>
      <c r="AA4637" s="1"/>
      <c r="AB4637" s="1"/>
      <c r="AC4637" s="1"/>
      <c r="AD4637" s="1"/>
      <c r="AE4637" s="1"/>
      <c r="AF4637" s="1"/>
      <c r="AG4637" s="1"/>
      <c r="AH4637" s="1"/>
    </row>
    <row r="4638" ht="12.75" hidden="1" customHeight="1" outlineLevel="1">
      <c r="A4638" s="17">
        <v>41829.0</v>
      </c>
      <c r="B4638" s="1"/>
      <c r="C4638" s="1" t="s">
        <v>339</v>
      </c>
      <c r="D4638" s="74"/>
      <c r="E4638" s="67"/>
      <c r="F4638" s="75"/>
      <c r="G4638" s="67"/>
      <c r="H4638" s="68"/>
      <c r="I4638" s="76"/>
      <c r="J4638" s="67"/>
      <c r="K4638" s="7" t="s">
        <v>1906</v>
      </c>
      <c r="L4638" s="77"/>
      <c r="M4638" s="79"/>
      <c r="N4638" s="1"/>
      <c r="O4638" s="1"/>
      <c r="P4638" s="1"/>
      <c r="Q4638" s="1"/>
      <c r="R4638" s="1"/>
      <c r="S4638" s="1"/>
      <c r="T4638" s="1"/>
      <c r="U4638" s="1"/>
      <c r="V4638" s="1"/>
      <c r="W4638" s="1"/>
      <c r="X4638" s="1"/>
      <c r="Y4638" s="1"/>
      <c r="Z4638" s="1"/>
      <c r="AA4638" s="1"/>
      <c r="AB4638" s="1"/>
      <c r="AC4638" s="1"/>
      <c r="AD4638" s="1"/>
      <c r="AE4638" s="1"/>
      <c r="AF4638" s="1"/>
      <c r="AG4638" s="1"/>
      <c r="AH4638" s="1"/>
    </row>
    <row r="4639" ht="12.75" hidden="1" customHeight="1" outlineLevel="1">
      <c r="A4639" s="17">
        <v>41829.0</v>
      </c>
      <c r="B4639" s="1"/>
      <c r="C4639" s="1" t="s">
        <v>429</v>
      </c>
      <c r="D4639" s="74"/>
      <c r="E4639" s="67"/>
      <c r="F4639" s="75"/>
      <c r="G4639" s="67"/>
      <c r="H4639" s="68"/>
      <c r="I4639" s="76"/>
      <c r="J4639" s="67"/>
      <c r="K4639" s="7" t="s">
        <v>1877</v>
      </c>
      <c r="L4639" s="77"/>
      <c r="M4639" s="79"/>
      <c r="N4639" s="1"/>
      <c r="O4639" s="1"/>
      <c r="P4639" s="1"/>
      <c r="Q4639" s="1"/>
      <c r="R4639" s="1"/>
      <c r="S4639" s="1"/>
      <c r="T4639" s="1"/>
      <c r="U4639" s="1"/>
      <c r="V4639" s="1"/>
      <c r="W4639" s="1"/>
      <c r="X4639" s="1"/>
      <c r="Y4639" s="1"/>
      <c r="Z4639" s="1"/>
      <c r="AA4639" s="1"/>
      <c r="AB4639" s="1"/>
      <c r="AC4639" s="1"/>
      <c r="AD4639" s="1"/>
      <c r="AE4639" s="1"/>
      <c r="AF4639" s="1"/>
      <c r="AG4639" s="1"/>
      <c r="AH4639" s="1"/>
    </row>
    <row r="4640" ht="12.75" hidden="1" customHeight="1" outlineLevel="1">
      <c r="A4640" s="17">
        <v>41829.0</v>
      </c>
      <c r="B4640" s="1"/>
      <c r="C4640" s="1" t="s">
        <v>431</v>
      </c>
      <c r="D4640" s="74"/>
      <c r="E4640" s="67"/>
      <c r="F4640" s="75"/>
      <c r="G4640" s="67"/>
      <c r="H4640" s="68"/>
      <c r="I4640" s="76"/>
      <c r="J4640" s="67"/>
      <c r="K4640" s="7" t="s">
        <v>1126</v>
      </c>
      <c r="L4640" s="77"/>
      <c r="M4640" s="79"/>
      <c r="N4640" s="1"/>
      <c r="O4640" s="1"/>
      <c r="P4640" s="1"/>
      <c r="Q4640" s="1"/>
      <c r="R4640" s="1"/>
      <c r="S4640" s="1"/>
      <c r="T4640" s="1"/>
      <c r="U4640" s="1"/>
      <c r="V4640" s="1"/>
      <c r="W4640" s="1"/>
      <c r="X4640" s="1"/>
      <c r="Y4640" s="1"/>
      <c r="Z4640" s="1"/>
      <c r="AA4640" s="1"/>
      <c r="AB4640" s="1"/>
      <c r="AC4640" s="1"/>
      <c r="AD4640" s="1"/>
      <c r="AE4640" s="1"/>
      <c r="AF4640" s="1"/>
      <c r="AG4640" s="1"/>
      <c r="AH4640" s="1"/>
    </row>
    <row r="4641" ht="12.75" hidden="1" customHeight="1" outlineLevel="1">
      <c r="A4641" s="17">
        <v>41829.0</v>
      </c>
      <c r="B4641" s="1"/>
      <c r="C4641" s="1" t="s">
        <v>433</v>
      </c>
      <c r="D4641" s="74"/>
      <c r="E4641" s="67"/>
      <c r="F4641" s="75"/>
      <c r="G4641" s="67"/>
      <c r="H4641" s="68"/>
      <c r="I4641" s="76"/>
      <c r="J4641" s="67"/>
      <c r="K4641" s="7" t="s">
        <v>1103</v>
      </c>
      <c r="L4641" s="77"/>
      <c r="M4641" s="79"/>
      <c r="N4641" s="1"/>
      <c r="O4641" s="1"/>
      <c r="P4641" s="1"/>
      <c r="Q4641" s="1"/>
      <c r="R4641" s="1"/>
      <c r="S4641" s="1"/>
      <c r="T4641" s="1"/>
      <c r="U4641" s="1"/>
      <c r="V4641" s="1"/>
      <c r="W4641" s="1"/>
      <c r="X4641" s="1"/>
      <c r="Y4641" s="1"/>
      <c r="Z4641" s="1"/>
      <c r="AA4641" s="1"/>
      <c r="AB4641" s="1"/>
      <c r="AC4641" s="1"/>
      <c r="AD4641" s="1"/>
      <c r="AE4641" s="1"/>
      <c r="AF4641" s="1"/>
      <c r="AG4641" s="1"/>
      <c r="AH4641" s="1"/>
    </row>
    <row r="4642" ht="12.75" hidden="1" customHeight="1" outlineLevel="1">
      <c r="A4642" s="17">
        <v>41829.0</v>
      </c>
      <c r="B4642" s="1"/>
      <c r="C4642" s="1" t="s">
        <v>435</v>
      </c>
      <c r="D4642" s="74"/>
      <c r="E4642" s="67"/>
      <c r="F4642" s="75"/>
      <c r="G4642" s="67"/>
      <c r="H4642" s="68"/>
      <c r="I4642" s="76"/>
      <c r="J4642" s="67"/>
      <c r="K4642" s="7" t="s">
        <v>1507</v>
      </c>
      <c r="L4642" s="77"/>
      <c r="M4642" s="79"/>
      <c r="N4642" s="1"/>
      <c r="O4642" s="1"/>
      <c r="P4642" s="1"/>
      <c r="Q4642" s="1"/>
      <c r="R4642" s="1"/>
      <c r="S4642" s="1"/>
      <c r="T4642" s="1"/>
      <c r="U4642" s="1"/>
      <c r="V4642" s="1"/>
      <c r="W4642" s="1"/>
      <c r="X4642" s="1"/>
      <c r="Y4642" s="1"/>
      <c r="Z4642" s="1"/>
      <c r="AA4642" s="1"/>
      <c r="AB4642" s="1"/>
      <c r="AC4642" s="1"/>
      <c r="AD4642" s="1"/>
      <c r="AE4642" s="1"/>
      <c r="AF4642" s="1"/>
      <c r="AG4642" s="1"/>
      <c r="AH4642" s="1"/>
    </row>
    <row r="4643" ht="12.75" hidden="1" customHeight="1" outlineLevel="1">
      <c r="A4643" s="17">
        <v>41830.0</v>
      </c>
      <c r="B4643" s="1" t="s">
        <v>343</v>
      </c>
      <c r="C4643" s="1" t="s">
        <v>1158</v>
      </c>
      <c r="D4643" s="74">
        <v>1000.0</v>
      </c>
      <c r="E4643" s="67">
        <v>37.49</v>
      </c>
      <c r="F4643" s="75">
        <v>0.42739583333333336</v>
      </c>
      <c r="G4643" s="67" t="s">
        <v>453</v>
      </c>
      <c r="H4643" s="68">
        <v>5.0</v>
      </c>
      <c r="I4643" s="76"/>
      <c r="J4643" s="67">
        <f t="shared" ref="J4643:J4649" si="290">IF(B4643="SLD",D4643*E4643,-D4643*E4643)-H4643</f>
        <v>-37495</v>
      </c>
      <c r="K4643" s="7"/>
      <c r="L4643" s="70"/>
      <c r="M4643" s="79"/>
      <c r="N4643" s="1"/>
      <c r="O4643" s="1"/>
      <c r="P4643" s="1"/>
      <c r="Q4643" s="1"/>
      <c r="R4643" s="1"/>
      <c r="S4643" s="1"/>
      <c r="T4643" s="1"/>
      <c r="U4643" s="1"/>
      <c r="V4643" s="1"/>
      <c r="W4643" s="1"/>
      <c r="X4643" s="1"/>
      <c r="Y4643" s="1"/>
      <c r="Z4643" s="1"/>
      <c r="AA4643" s="1"/>
      <c r="AB4643" s="1"/>
      <c r="AC4643" s="1"/>
      <c r="AD4643" s="1"/>
      <c r="AE4643" s="1"/>
      <c r="AF4643" s="1"/>
      <c r="AG4643" s="1"/>
      <c r="AH4643" s="1"/>
    </row>
    <row r="4644" ht="12.75" hidden="1" customHeight="1" outlineLevel="1">
      <c r="A4644" s="17">
        <v>41830.0</v>
      </c>
      <c r="B4644" s="1" t="s">
        <v>347</v>
      </c>
      <c r="C4644" s="1" t="s">
        <v>369</v>
      </c>
      <c r="D4644" s="74">
        <v>1500.0</v>
      </c>
      <c r="E4644" s="67">
        <v>15.08</v>
      </c>
      <c r="F4644" s="75">
        <v>0.44358796296296293</v>
      </c>
      <c r="G4644" s="67" t="s">
        <v>453</v>
      </c>
      <c r="H4644" s="68">
        <v>7.5</v>
      </c>
      <c r="I4644" s="76"/>
      <c r="J4644" s="67">
        <f t="shared" si="290"/>
        <v>22612.5</v>
      </c>
      <c r="K4644" s="7"/>
      <c r="L4644" s="70"/>
      <c r="M4644" s="79"/>
      <c r="N4644" s="1"/>
      <c r="O4644" s="1"/>
      <c r="P4644" s="1"/>
      <c r="Q4644" s="1"/>
      <c r="R4644" s="1"/>
      <c r="S4644" s="1"/>
      <c r="T4644" s="1"/>
      <c r="U4644" s="1"/>
      <c r="V4644" s="1"/>
      <c r="W4644" s="1"/>
      <c r="X4644" s="1"/>
      <c r="Y4644" s="1"/>
      <c r="Z4644" s="1"/>
      <c r="AA4644" s="1"/>
      <c r="AB4644" s="1"/>
      <c r="AC4644" s="1"/>
      <c r="AD4644" s="1"/>
      <c r="AE4644" s="1"/>
      <c r="AF4644" s="1"/>
      <c r="AG4644" s="1"/>
      <c r="AH4644" s="1"/>
    </row>
    <row r="4645" ht="12.75" hidden="1" customHeight="1" outlineLevel="1">
      <c r="A4645" s="17">
        <v>41830.0</v>
      </c>
      <c r="B4645" s="1" t="s">
        <v>347</v>
      </c>
      <c r="C4645" s="1" t="s">
        <v>784</v>
      </c>
      <c r="D4645" s="74">
        <v>2000.0</v>
      </c>
      <c r="E4645" s="67">
        <v>13.741</v>
      </c>
      <c r="F4645" s="75">
        <v>0.4439814814814815</v>
      </c>
      <c r="G4645" s="67" t="s">
        <v>453</v>
      </c>
      <c r="H4645" s="68">
        <v>8.61</v>
      </c>
      <c r="I4645" s="76"/>
      <c r="J4645" s="67">
        <f t="shared" si="290"/>
        <v>27473.39</v>
      </c>
      <c r="K4645" s="7"/>
      <c r="L4645" s="70"/>
      <c r="M4645" s="79"/>
      <c r="N4645" s="1"/>
      <c r="O4645" s="1"/>
      <c r="P4645" s="1"/>
      <c r="Q4645" s="1"/>
      <c r="R4645" s="1"/>
      <c r="S4645" s="1"/>
      <c r="T4645" s="1"/>
      <c r="U4645" s="1"/>
      <c r="V4645" s="1"/>
      <c r="W4645" s="1"/>
      <c r="X4645" s="1"/>
      <c r="Y4645" s="1"/>
      <c r="Z4645" s="1"/>
      <c r="AA4645" s="1"/>
      <c r="AB4645" s="1"/>
      <c r="AC4645" s="1"/>
      <c r="AD4645" s="1"/>
      <c r="AE4645" s="1"/>
      <c r="AF4645" s="1"/>
      <c r="AG4645" s="1"/>
      <c r="AH4645" s="1"/>
    </row>
    <row r="4646" ht="12.75" hidden="1" customHeight="1" outlineLevel="1">
      <c r="A4646" s="17">
        <v>41830.0</v>
      </c>
      <c r="B4646" s="1" t="s">
        <v>347</v>
      </c>
      <c r="C4646" s="1" t="s">
        <v>355</v>
      </c>
      <c r="D4646" s="74">
        <v>3500.0</v>
      </c>
      <c r="E4646" s="67">
        <v>5.424</v>
      </c>
      <c r="F4646" s="75">
        <v>0.4445601851851852</v>
      </c>
      <c r="G4646" s="67" t="s">
        <v>453</v>
      </c>
      <c r="H4646" s="68">
        <v>14.42</v>
      </c>
      <c r="I4646" s="76"/>
      <c r="J4646" s="67">
        <f t="shared" si="290"/>
        <v>18969.58</v>
      </c>
      <c r="K4646" s="7"/>
      <c r="L4646" s="70"/>
      <c r="M4646" s="79"/>
      <c r="N4646" s="1"/>
      <c r="O4646" s="1"/>
      <c r="P4646" s="1"/>
      <c r="Q4646" s="1"/>
      <c r="R4646" s="1"/>
      <c r="S4646" s="1"/>
      <c r="T4646" s="1"/>
      <c r="U4646" s="1"/>
      <c r="V4646" s="1"/>
      <c r="W4646" s="1"/>
      <c r="X4646" s="1"/>
      <c r="Y4646" s="1"/>
      <c r="Z4646" s="1"/>
      <c r="AA4646" s="1"/>
      <c r="AB4646" s="1"/>
      <c r="AC4646" s="1"/>
      <c r="AD4646" s="1"/>
      <c r="AE4646" s="1"/>
      <c r="AF4646" s="1"/>
      <c r="AG4646" s="1"/>
      <c r="AH4646" s="1"/>
    </row>
    <row r="4647" ht="12.75" hidden="1" customHeight="1" outlineLevel="1">
      <c r="A4647" s="17">
        <v>41830.0</v>
      </c>
      <c r="B4647" s="1" t="s">
        <v>347</v>
      </c>
      <c r="C4647" s="1" t="s">
        <v>1044</v>
      </c>
      <c r="D4647" s="74">
        <v>700.0</v>
      </c>
      <c r="E4647" s="67">
        <v>27.39</v>
      </c>
      <c r="F4647" s="75">
        <v>0.45241898148148146</v>
      </c>
      <c r="G4647" s="67" t="s">
        <v>453</v>
      </c>
      <c r="H4647" s="68">
        <v>3.42</v>
      </c>
      <c r="I4647" s="76"/>
      <c r="J4647" s="67">
        <f t="shared" si="290"/>
        <v>19169.58</v>
      </c>
      <c r="K4647" s="7"/>
      <c r="L4647" s="70"/>
      <c r="M4647" s="79"/>
      <c r="N4647" s="1"/>
      <c r="O4647" s="1"/>
      <c r="P4647" s="1"/>
      <c r="Q4647" s="1"/>
      <c r="R4647" s="1"/>
      <c r="S4647" s="1"/>
      <c r="T4647" s="1"/>
      <c r="U4647" s="1"/>
      <c r="V4647" s="1"/>
      <c r="W4647" s="1"/>
      <c r="X4647" s="1"/>
      <c r="Y4647" s="1"/>
      <c r="Z4647" s="1"/>
      <c r="AA4647" s="1"/>
      <c r="AB4647" s="1"/>
      <c r="AC4647" s="1"/>
      <c r="AD4647" s="1"/>
      <c r="AE4647" s="1"/>
      <c r="AF4647" s="1"/>
      <c r="AG4647" s="1"/>
      <c r="AH4647" s="1"/>
    </row>
    <row r="4648" ht="12.75" hidden="1" customHeight="1" outlineLevel="1">
      <c r="A4648" s="17">
        <v>41830.0</v>
      </c>
      <c r="B4648" s="1" t="s">
        <v>347</v>
      </c>
      <c r="C4648" s="1" t="s">
        <v>1725</v>
      </c>
      <c r="D4648" s="74">
        <v>2000.0</v>
      </c>
      <c r="E4648" s="67">
        <v>13.823</v>
      </c>
      <c r="F4648" s="75">
        <v>0.6483449074074074</v>
      </c>
      <c r="G4648" s="67" t="s">
        <v>453</v>
      </c>
      <c r="H4648" s="68">
        <v>9.81</v>
      </c>
      <c r="I4648" s="76"/>
      <c r="J4648" s="67">
        <f t="shared" si="290"/>
        <v>27636.19</v>
      </c>
      <c r="K4648" s="7"/>
      <c r="L4648" s="70"/>
      <c r="M4648" s="79"/>
      <c r="N4648" s="1"/>
      <c r="O4648" s="1"/>
      <c r="P4648" s="1"/>
      <c r="Q4648" s="1"/>
      <c r="R4648" s="1"/>
      <c r="S4648" s="1"/>
      <c r="T4648" s="1"/>
      <c r="U4648" s="1"/>
      <c r="V4648" s="1"/>
      <c r="W4648" s="1"/>
      <c r="X4648" s="1"/>
      <c r="Y4648" s="1"/>
      <c r="Z4648" s="1"/>
      <c r="AA4648" s="1"/>
      <c r="AB4648" s="1"/>
      <c r="AC4648" s="1"/>
      <c r="AD4648" s="1"/>
      <c r="AE4648" s="1"/>
      <c r="AF4648" s="1"/>
      <c r="AG4648" s="1"/>
      <c r="AH4648" s="1"/>
    </row>
    <row r="4649" ht="12.75" hidden="1" customHeight="1" outlineLevel="1">
      <c r="A4649" s="17">
        <v>41830.0</v>
      </c>
      <c r="B4649" s="1" t="s">
        <v>343</v>
      </c>
      <c r="C4649" s="1" t="s">
        <v>344</v>
      </c>
      <c r="D4649" s="74">
        <v>700.0</v>
      </c>
      <c r="E4649" s="67">
        <v>54.51</v>
      </c>
      <c r="F4649" s="75">
        <v>0.6664583333333333</v>
      </c>
      <c r="G4649" s="67" t="s">
        <v>453</v>
      </c>
      <c r="H4649" s="68">
        <v>3.0</v>
      </c>
      <c r="I4649" s="76"/>
      <c r="J4649" s="67">
        <f t="shared" si="290"/>
        <v>-38160</v>
      </c>
      <c r="K4649" s="7"/>
      <c r="L4649" s="70"/>
      <c r="M4649" s="79"/>
      <c r="N4649" s="1"/>
      <c r="O4649" s="1"/>
      <c r="P4649" s="1"/>
      <c r="Q4649" s="1"/>
      <c r="R4649" s="1"/>
      <c r="S4649" s="1"/>
      <c r="T4649" s="1"/>
      <c r="U4649" s="1"/>
      <c r="V4649" s="1"/>
      <c r="W4649" s="1"/>
      <c r="X4649" s="1"/>
      <c r="Y4649" s="1"/>
      <c r="Z4649" s="1"/>
      <c r="AA4649" s="1"/>
      <c r="AB4649" s="1"/>
      <c r="AC4649" s="1"/>
      <c r="AD4649" s="1"/>
      <c r="AE4649" s="1"/>
      <c r="AF4649" s="1"/>
      <c r="AG4649" s="1"/>
      <c r="AH4649" s="1"/>
    </row>
    <row r="4650" ht="12.75" hidden="1" customHeight="1" outlineLevel="1">
      <c r="A4650" s="17">
        <v>41830.0</v>
      </c>
      <c r="B4650" s="1"/>
      <c r="C4650" s="1" t="s">
        <v>339</v>
      </c>
      <c r="D4650" s="74"/>
      <c r="E4650" s="67"/>
      <c r="F4650" s="75"/>
      <c r="G4650" s="67"/>
      <c r="H4650" s="68"/>
      <c r="I4650" s="76"/>
      <c r="J4650" s="67"/>
      <c r="K4650" s="7" t="s">
        <v>1929</v>
      </c>
      <c r="L4650" s="77"/>
      <c r="M4650" s="79"/>
      <c r="N4650" s="1"/>
      <c r="O4650" s="1"/>
      <c r="P4650" s="1"/>
      <c r="Q4650" s="1"/>
      <c r="R4650" s="1"/>
      <c r="S4650" s="1"/>
      <c r="T4650" s="1"/>
      <c r="U4650" s="1"/>
      <c r="V4650" s="1"/>
      <c r="W4650" s="1"/>
      <c r="X4650" s="1"/>
      <c r="Y4650" s="1"/>
      <c r="Z4650" s="1"/>
      <c r="AA4650" s="1"/>
      <c r="AB4650" s="1"/>
      <c r="AC4650" s="1"/>
      <c r="AD4650" s="1"/>
      <c r="AE4650" s="1"/>
      <c r="AF4650" s="1"/>
      <c r="AG4650" s="1"/>
      <c r="AH4650" s="1"/>
    </row>
    <row r="4651" ht="12.75" hidden="1" customHeight="1" outlineLevel="1">
      <c r="A4651" s="17">
        <v>41830.0</v>
      </c>
      <c r="B4651" s="1"/>
      <c r="C4651" s="1" t="s">
        <v>429</v>
      </c>
      <c r="D4651" s="74"/>
      <c r="E4651" s="67"/>
      <c r="F4651" s="75"/>
      <c r="G4651" s="67"/>
      <c r="H4651" s="68"/>
      <c r="I4651" s="76"/>
      <c r="J4651" s="67"/>
      <c r="K4651" s="7" t="s">
        <v>1877</v>
      </c>
      <c r="L4651" s="77"/>
      <c r="M4651" s="79"/>
      <c r="N4651" s="1"/>
      <c r="O4651" s="1"/>
      <c r="P4651" s="1"/>
      <c r="Q4651" s="1"/>
      <c r="R4651" s="1"/>
      <c r="S4651" s="1"/>
      <c r="T4651" s="1"/>
      <c r="U4651" s="1"/>
      <c r="V4651" s="1"/>
      <c r="W4651" s="1"/>
      <c r="X4651" s="1"/>
      <c r="Y4651" s="1"/>
      <c r="Z4651" s="1"/>
      <c r="AA4651" s="1"/>
      <c r="AB4651" s="1"/>
      <c r="AC4651" s="1"/>
      <c r="AD4651" s="1"/>
      <c r="AE4651" s="1"/>
      <c r="AF4651" s="1"/>
      <c r="AG4651" s="1"/>
      <c r="AH4651" s="1"/>
    </row>
    <row r="4652" ht="12.75" hidden="1" customHeight="1" outlineLevel="1">
      <c r="A4652" s="17">
        <v>41830.0</v>
      </c>
      <c r="B4652" s="1"/>
      <c r="C4652" s="1" t="s">
        <v>431</v>
      </c>
      <c r="D4652" s="74"/>
      <c r="E4652" s="67"/>
      <c r="F4652" s="75"/>
      <c r="G4652" s="67"/>
      <c r="H4652" s="68"/>
      <c r="I4652" s="76"/>
      <c r="J4652" s="67"/>
      <c r="K4652" s="7" t="s">
        <v>1126</v>
      </c>
      <c r="L4652" s="77"/>
      <c r="M4652" s="79"/>
      <c r="N4652" s="1"/>
      <c r="O4652" s="1"/>
      <c r="P4652" s="1"/>
      <c r="Q4652" s="1"/>
      <c r="R4652" s="1"/>
      <c r="S4652" s="1"/>
      <c r="T4652" s="1"/>
      <c r="U4652" s="1"/>
      <c r="V4652" s="1"/>
      <c r="W4652" s="1"/>
      <c r="X4652" s="1"/>
      <c r="Y4652" s="1"/>
      <c r="Z4652" s="1"/>
      <c r="AA4652" s="1"/>
      <c r="AB4652" s="1"/>
      <c r="AC4652" s="1"/>
      <c r="AD4652" s="1"/>
      <c r="AE4652" s="1"/>
      <c r="AF4652" s="1"/>
      <c r="AG4652" s="1"/>
      <c r="AH4652" s="1"/>
    </row>
    <row r="4653" ht="12.75" hidden="1" customHeight="1" outlineLevel="1">
      <c r="A4653" s="17">
        <v>41830.0</v>
      </c>
      <c r="B4653" s="1"/>
      <c r="C4653" s="1" t="s">
        <v>433</v>
      </c>
      <c r="D4653" s="74"/>
      <c r="E4653" s="67"/>
      <c r="F4653" s="75"/>
      <c r="G4653" s="67"/>
      <c r="H4653" s="68"/>
      <c r="I4653" s="76"/>
      <c r="J4653" s="67"/>
      <c r="K4653" s="7" t="s">
        <v>1103</v>
      </c>
      <c r="L4653" s="77"/>
      <c r="M4653" s="79"/>
      <c r="N4653" s="1"/>
      <c r="O4653" s="1"/>
      <c r="P4653" s="1"/>
      <c r="Q4653" s="1"/>
      <c r="R4653" s="1"/>
      <c r="S4653" s="1"/>
      <c r="T4653" s="1"/>
      <c r="U4653" s="1"/>
      <c r="V4653" s="1"/>
      <c r="W4653" s="1"/>
      <c r="X4653" s="1"/>
      <c r="Y4653" s="1"/>
      <c r="Z4653" s="1"/>
      <c r="AA4653" s="1"/>
      <c r="AB4653" s="1"/>
      <c r="AC4653" s="1"/>
      <c r="AD4653" s="1"/>
      <c r="AE4653" s="1"/>
      <c r="AF4653" s="1"/>
      <c r="AG4653" s="1"/>
      <c r="AH4653" s="1"/>
    </row>
    <row r="4654" ht="12.75" hidden="1" customHeight="1" outlineLevel="1">
      <c r="A4654" s="17">
        <v>41830.0</v>
      </c>
      <c r="B4654" s="1"/>
      <c r="C4654" s="1" t="s">
        <v>435</v>
      </c>
      <c r="D4654" s="74"/>
      <c r="E4654" s="67"/>
      <c r="F4654" s="75"/>
      <c r="G4654" s="67"/>
      <c r="H4654" s="68"/>
      <c r="I4654" s="76"/>
      <c r="J4654" s="67"/>
      <c r="K4654" s="7" t="s">
        <v>1507</v>
      </c>
      <c r="L4654" s="77"/>
      <c r="M4654" s="79"/>
      <c r="N4654" s="1"/>
      <c r="O4654" s="1"/>
      <c r="P4654" s="1"/>
      <c r="Q4654" s="1"/>
      <c r="R4654" s="1"/>
      <c r="S4654" s="1"/>
      <c r="T4654" s="1"/>
      <c r="U4654" s="1"/>
      <c r="V4654" s="1"/>
      <c r="W4654" s="1"/>
      <c r="X4654" s="1"/>
      <c r="Y4654" s="1"/>
      <c r="Z4654" s="1"/>
      <c r="AA4654" s="1"/>
      <c r="AB4654" s="1"/>
      <c r="AC4654" s="1"/>
      <c r="AD4654" s="1"/>
      <c r="AE4654" s="1"/>
      <c r="AF4654" s="1"/>
      <c r="AG4654" s="1"/>
      <c r="AH4654" s="1"/>
    </row>
    <row r="4655" ht="12.75" hidden="1" customHeight="1" outlineLevel="1">
      <c r="A4655" s="17">
        <v>41831.0</v>
      </c>
      <c r="B4655" s="1" t="s">
        <v>347</v>
      </c>
      <c r="C4655" s="1" t="s">
        <v>790</v>
      </c>
      <c r="D4655" s="74">
        <v>1200.0</v>
      </c>
      <c r="E4655" s="67">
        <v>14.921</v>
      </c>
      <c r="F4655" s="75">
        <v>0.42028935185185184</v>
      </c>
      <c r="G4655" s="67" t="s">
        <v>453</v>
      </c>
      <c r="H4655" s="68">
        <v>5.2</v>
      </c>
      <c r="I4655" s="76"/>
      <c r="J4655" s="67">
        <f t="shared" ref="J4655:J4657" si="291">IF(B4655="SLD",D4655*E4655,-D4655*E4655)-H4655</f>
        <v>17900</v>
      </c>
      <c r="K4655" s="7"/>
      <c r="L4655" s="70"/>
      <c r="M4655" s="79"/>
      <c r="N4655" s="1"/>
      <c r="O4655" s="1"/>
      <c r="P4655" s="1"/>
      <c r="Q4655" s="1"/>
      <c r="R4655" s="1"/>
      <c r="S4655" s="1"/>
      <c r="T4655" s="1"/>
      <c r="U4655" s="1"/>
      <c r="V4655" s="1"/>
      <c r="W4655" s="1"/>
      <c r="X4655" s="1"/>
      <c r="Y4655" s="1"/>
      <c r="Z4655" s="1"/>
      <c r="AA4655" s="1"/>
      <c r="AB4655" s="1"/>
      <c r="AC4655" s="1"/>
      <c r="AD4655" s="1"/>
      <c r="AE4655" s="1"/>
      <c r="AF4655" s="1"/>
      <c r="AG4655" s="1"/>
      <c r="AH4655" s="1"/>
    </row>
    <row r="4656" ht="12.75" hidden="1" customHeight="1" outlineLevel="1">
      <c r="A4656" s="17">
        <v>41831.0</v>
      </c>
      <c r="B4656" s="1" t="s">
        <v>343</v>
      </c>
      <c r="C4656" s="1" t="s">
        <v>369</v>
      </c>
      <c r="D4656" s="74">
        <v>10000.0</v>
      </c>
      <c r="E4656" s="67">
        <v>1.757</v>
      </c>
      <c r="F4656" s="75">
        <v>0.45015046296296296</v>
      </c>
      <c r="G4656" s="67" t="s">
        <v>453</v>
      </c>
      <c r="H4656" s="68">
        <v>79.01</v>
      </c>
      <c r="I4656" s="76"/>
      <c r="J4656" s="67">
        <f t="shared" si="291"/>
        <v>-17649.01</v>
      </c>
      <c r="K4656" s="7"/>
      <c r="L4656" s="70"/>
      <c r="M4656" s="79"/>
      <c r="N4656" s="1"/>
      <c r="O4656" s="1"/>
      <c r="P4656" s="1"/>
      <c r="Q4656" s="1"/>
      <c r="R4656" s="1"/>
      <c r="S4656" s="1"/>
      <c r="T4656" s="1"/>
      <c r="U4656" s="1"/>
      <c r="V4656" s="1"/>
      <c r="W4656" s="1"/>
      <c r="X4656" s="1"/>
      <c r="Y4656" s="1"/>
      <c r="Z4656" s="1"/>
      <c r="AA4656" s="1"/>
      <c r="AB4656" s="1"/>
      <c r="AC4656" s="1"/>
      <c r="AD4656" s="1"/>
      <c r="AE4656" s="1"/>
      <c r="AF4656" s="1"/>
      <c r="AG4656" s="1"/>
      <c r="AH4656" s="1"/>
    </row>
    <row r="4657" ht="12.75" hidden="1" customHeight="1" outlineLevel="1">
      <c r="A4657" s="17">
        <v>41831.0</v>
      </c>
      <c r="B4657" s="1" t="s">
        <v>343</v>
      </c>
      <c r="C4657" s="1" t="s">
        <v>784</v>
      </c>
      <c r="D4657" s="74">
        <v>10000.0</v>
      </c>
      <c r="E4657" s="67">
        <v>0.671</v>
      </c>
      <c r="F4657" s="75">
        <v>0.45048611111111114</v>
      </c>
      <c r="G4657" s="67" t="s">
        <v>453</v>
      </c>
      <c r="H4657" s="68">
        <v>79.01</v>
      </c>
      <c r="I4657" s="76"/>
      <c r="J4657" s="67">
        <f t="shared" si="291"/>
        <v>-6789.01</v>
      </c>
      <c r="K4657" s="7"/>
      <c r="L4657" s="70"/>
      <c r="M4657" s="79"/>
      <c r="N4657" s="1"/>
      <c r="O4657" s="1"/>
      <c r="P4657" s="1"/>
      <c r="Q4657" s="1"/>
      <c r="R4657" s="1"/>
      <c r="S4657" s="1"/>
      <c r="T4657" s="1"/>
      <c r="U4657" s="1"/>
      <c r="V4657" s="1"/>
      <c r="W4657" s="1"/>
      <c r="X4657" s="1"/>
      <c r="Y4657" s="1"/>
      <c r="Z4657" s="1"/>
      <c r="AA4657" s="1"/>
      <c r="AB4657" s="1"/>
      <c r="AC4657" s="1"/>
      <c r="AD4657" s="1"/>
      <c r="AE4657" s="1"/>
      <c r="AF4657" s="1"/>
      <c r="AG4657" s="1"/>
      <c r="AH4657" s="1"/>
    </row>
    <row r="4658" ht="12.75" hidden="1" customHeight="1" outlineLevel="1">
      <c r="A4658" s="17">
        <v>41831.0</v>
      </c>
      <c r="B4658" s="1"/>
      <c r="C4658" s="1" t="s">
        <v>339</v>
      </c>
      <c r="D4658" s="74"/>
      <c r="E4658" s="67"/>
      <c r="F4658" s="75"/>
      <c r="G4658" s="67"/>
      <c r="H4658" s="68"/>
      <c r="I4658" s="76"/>
      <c r="J4658" s="67"/>
      <c r="K4658" s="7" t="s">
        <v>1935</v>
      </c>
      <c r="L4658" s="77"/>
      <c r="M4658" s="79"/>
      <c r="N4658" s="1"/>
      <c r="O4658" s="1"/>
      <c r="P4658" s="1"/>
      <c r="Q4658" s="1"/>
      <c r="R4658" s="1"/>
      <c r="S4658" s="1"/>
      <c r="T4658" s="1"/>
      <c r="U4658" s="1"/>
      <c r="V4658" s="1"/>
      <c r="W4658" s="1"/>
      <c r="X4658" s="1"/>
      <c r="Y4658" s="1"/>
      <c r="Z4658" s="1"/>
      <c r="AA4658" s="1"/>
      <c r="AB4658" s="1"/>
      <c r="AC4658" s="1"/>
      <c r="AD4658" s="1"/>
      <c r="AE4658" s="1"/>
      <c r="AF4658" s="1"/>
      <c r="AG4658" s="1"/>
      <c r="AH4658" s="1"/>
    </row>
    <row r="4659" ht="12.75" hidden="1" customHeight="1" outlineLevel="1">
      <c r="A4659" s="17">
        <v>41831.0</v>
      </c>
      <c r="B4659" s="1"/>
      <c r="C4659" s="1" t="s">
        <v>429</v>
      </c>
      <c r="D4659" s="74"/>
      <c r="E4659" s="67"/>
      <c r="F4659" s="75"/>
      <c r="G4659" s="67"/>
      <c r="H4659" s="68"/>
      <c r="I4659" s="76"/>
      <c r="J4659" s="67"/>
      <c r="K4659" s="7" t="s">
        <v>1877</v>
      </c>
      <c r="L4659" s="77"/>
      <c r="M4659" s="79"/>
      <c r="N4659" s="1"/>
      <c r="O4659" s="1"/>
      <c r="P4659" s="1"/>
      <c r="Q4659" s="1"/>
      <c r="R4659" s="1"/>
      <c r="S4659" s="1"/>
      <c r="T4659" s="1"/>
      <c r="U4659" s="1"/>
      <c r="V4659" s="1"/>
      <c r="W4659" s="1"/>
      <c r="X4659" s="1"/>
      <c r="Y4659" s="1"/>
      <c r="Z4659" s="1"/>
      <c r="AA4659" s="1"/>
      <c r="AB4659" s="1"/>
      <c r="AC4659" s="1"/>
      <c r="AD4659" s="1"/>
      <c r="AE4659" s="1"/>
      <c r="AF4659" s="1"/>
      <c r="AG4659" s="1"/>
      <c r="AH4659" s="1"/>
    </row>
    <row r="4660" ht="12.75" hidden="1" customHeight="1" outlineLevel="1">
      <c r="A4660" s="17">
        <v>41831.0</v>
      </c>
      <c r="B4660" s="1"/>
      <c r="C4660" s="1" t="s">
        <v>431</v>
      </c>
      <c r="D4660" s="74"/>
      <c r="E4660" s="67"/>
      <c r="F4660" s="75"/>
      <c r="G4660" s="67"/>
      <c r="H4660" s="68"/>
      <c r="I4660" s="76"/>
      <c r="J4660" s="67"/>
      <c r="K4660" s="7" t="s">
        <v>1126</v>
      </c>
      <c r="L4660" s="77"/>
      <c r="M4660" s="79"/>
      <c r="N4660" s="1"/>
      <c r="O4660" s="1"/>
      <c r="P4660" s="1"/>
      <c r="Q4660" s="1"/>
      <c r="R4660" s="1"/>
      <c r="S4660" s="1"/>
      <c r="T4660" s="1"/>
      <c r="U4660" s="1"/>
      <c r="V4660" s="1"/>
      <c r="W4660" s="1"/>
      <c r="X4660" s="1"/>
      <c r="Y4660" s="1"/>
      <c r="Z4660" s="1"/>
      <c r="AA4660" s="1"/>
      <c r="AB4660" s="1"/>
      <c r="AC4660" s="1"/>
      <c r="AD4660" s="1"/>
      <c r="AE4660" s="1"/>
      <c r="AF4660" s="1"/>
      <c r="AG4660" s="1"/>
      <c r="AH4660" s="1"/>
    </row>
    <row r="4661" ht="12.75" hidden="1" customHeight="1" outlineLevel="1">
      <c r="A4661" s="17">
        <v>41831.0</v>
      </c>
      <c r="B4661" s="1"/>
      <c r="C4661" s="1" t="s">
        <v>433</v>
      </c>
      <c r="D4661" s="74"/>
      <c r="E4661" s="67"/>
      <c r="F4661" s="75"/>
      <c r="G4661" s="67"/>
      <c r="H4661" s="68"/>
      <c r="I4661" s="76"/>
      <c r="J4661" s="67"/>
      <c r="K4661" s="7" t="s">
        <v>1103</v>
      </c>
      <c r="L4661" s="77"/>
      <c r="M4661" s="79"/>
      <c r="N4661" s="1"/>
      <c r="O4661" s="1"/>
      <c r="P4661" s="1"/>
      <c r="Q4661" s="1"/>
      <c r="R4661" s="1"/>
      <c r="S4661" s="1"/>
      <c r="T4661" s="1"/>
      <c r="U4661" s="1"/>
      <c r="V4661" s="1"/>
      <c r="W4661" s="1"/>
      <c r="X4661" s="1"/>
      <c r="Y4661" s="1"/>
      <c r="Z4661" s="1"/>
      <c r="AA4661" s="1"/>
      <c r="AB4661" s="1"/>
      <c r="AC4661" s="1"/>
      <c r="AD4661" s="1"/>
      <c r="AE4661" s="1"/>
      <c r="AF4661" s="1"/>
      <c r="AG4661" s="1"/>
      <c r="AH4661" s="1"/>
    </row>
    <row r="4662" ht="12.75" hidden="1" customHeight="1" outlineLevel="1">
      <c r="A4662" s="17">
        <v>41831.0</v>
      </c>
      <c r="B4662" s="1"/>
      <c r="C4662" s="1" t="s">
        <v>435</v>
      </c>
      <c r="D4662" s="74"/>
      <c r="E4662" s="67"/>
      <c r="F4662" s="75"/>
      <c r="G4662" s="67"/>
      <c r="H4662" s="68"/>
      <c r="I4662" s="76"/>
      <c r="J4662" s="67"/>
      <c r="K4662" s="7" t="s">
        <v>1507</v>
      </c>
      <c r="L4662" s="77"/>
      <c r="M4662" s="79"/>
      <c r="N4662" s="1"/>
      <c r="O4662" s="1"/>
      <c r="P4662" s="1"/>
      <c r="Q4662" s="1"/>
      <c r="R4662" s="1"/>
      <c r="S4662" s="1"/>
      <c r="T4662" s="1"/>
      <c r="U4662" s="1"/>
      <c r="V4662" s="1"/>
      <c r="W4662" s="1"/>
      <c r="X4662" s="1"/>
      <c r="Y4662" s="1"/>
      <c r="Z4662" s="1"/>
      <c r="AA4662" s="1"/>
      <c r="AB4662" s="1"/>
      <c r="AC4662" s="1"/>
      <c r="AD4662" s="1"/>
      <c r="AE4662" s="1"/>
      <c r="AF4662" s="1"/>
      <c r="AG4662" s="1"/>
      <c r="AH4662" s="1"/>
    </row>
    <row r="4663" ht="12.75" hidden="1" customHeight="1" outlineLevel="1">
      <c r="A4663" s="17">
        <v>41834.0</v>
      </c>
      <c r="B4663" s="1" t="s">
        <v>343</v>
      </c>
      <c r="C4663" s="1" t="s">
        <v>354</v>
      </c>
      <c r="D4663" s="74">
        <v>200.0</v>
      </c>
      <c r="E4663" s="67">
        <v>107.915</v>
      </c>
      <c r="F4663" s="75">
        <v>0.5325231481481482</v>
      </c>
      <c r="G4663" s="67" t="s">
        <v>453</v>
      </c>
      <c r="H4663" s="68">
        <v>1.0</v>
      </c>
      <c r="I4663" s="76"/>
      <c r="J4663" s="67">
        <f t="shared" ref="J4663:J4664" si="292">IF(B4663="SLD",D4663*E4663,-D4663*E4663)-H4663</f>
        <v>-21584</v>
      </c>
      <c r="K4663" s="7"/>
      <c r="L4663" s="70"/>
      <c r="M4663" s="79"/>
      <c r="N4663" s="1"/>
      <c r="O4663" s="1"/>
      <c r="P4663" s="1"/>
      <c r="Q4663" s="1"/>
      <c r="R4663" s="1"/>
      <c r="S4663" s="1"/>
      <c r="T4663" s="1"/>
      <c r="U4663" s="1"/>
      <c r="V4663" s="1"/>
      <c r="W4663" s="1"/>
      <c r="X4663" s="1"/>
      <c r="Y4663" s="1"/>
      <c r="Z4663" s="1"/>
      <c r="AA4663" s="1"/>
      <c r="AB4663" s="1"/>
      <c r="AC4663" s="1"/>
      <c r="AD4663" s="1"/>
      <c r="AE4663" s="1"/>
      <c r="AF4663" s="1"/>
      <c r="AG4663" s="1"/>
      <c r="AH4663" s="1"/>
    </row>
    <row r="4664" ht="12.75" hidden="1" customHeight="1" outlineLevel="1">
      <c r="A4664" s="17">
        <v>41834.0</v>
      </c>
      <c r="B4664" s="1" t="s">
        <v>343</v>
      </c>
      <c r="C4664" s="1" t="s">
        <v>1371</v>
      </c>
      <c r="D4664" s="74">
        <v>500.0</v>
      </c>
      <c r="E4664" s="67">
        <v>36.04</v>
      </c>
      <c r="F4664" s="75">
        <v>0.5329282407407407</v>
      </c>
      <c r="G4664" s="67" t="s">
        <v>453</v>
      </c>
      <c r="H4664" s="68">
        <v>2.5</v>
      </c>
      <c r="I4664" s="76"/>
      <c r="J4664" s="67">
        <f t="shared" si="292"/>
        <v>-18022.5</v>
      </c>
      <c r="K4664" s="7"/>
      <c r="L4664" s="70"/>
      <c r="M4664" s="79"/>
      <c r="N4664" s="1"/>
      <c r="O4664" s="1"/>
      <c r="P4664" s="1"/>
      <c r="Q4664" s="1"/>
      <c r="R4664" s="1"/>
      <c r="S4664" s="1"/>
      <c r="T4664" s="1"/>
      <c r="U4664" s="1"/>
      <c r="V4664" s="1"/>
      <c r="W4664" s="1"/>
      <c r="X4664" s="1"/>
      <c r="Y4664" s="1"/>
      <c r="Z4664" s="1"/>
      <c r="AA4664" s="1"/>
      <c r="AB4664" s="1"/>
      <c r="AC4664" s="1"/>
      <c r="AD4664" s="1"/>
      <c r="AE4664" s="1"/>
      <c r="AF4664" s="1"/>
      <c r="AG4664" s="1"/>
      <c r="AH4664" s="1"/>
    </row>
    <row r="4665" ht="12.75" hidden="1" customHeight="1" outlineLevel="1">
      <c r="A4665" s="17">
        <v>41834.0</v>
      </c>
      <c r="B4665" s="1"/>
      <c r="C4665" s="1" t="s">
        <v>339</v>
      </c>
      <c r="D4665" s="74"/>
      <c r="E4665" s="67"/>
      <c r="F4665" s="75"/>
      <c r="G4665" s="67"/>
      <c r="H4665" s="68"/>
      <c r="I4665" s="76"/>
      <c r="J4665" s="67"/>
      <c r="K4665" s="7" t="s">
        <v>1941</v>
      </c>
      <c r="L4665" s="77"/>
      <c r="M4665" s="79"/>
      <c r="N4665" s="1"/>
      <c r="O4665" s="1"/>
      <c r="P4665" s="1"/>
      <c r="Q4665" s="1"/>
      <c r="R4665" s="1"/>
      <c r="S4665" s="1"/>
      <c r="T4665" s="1"/>
      <c r="U4665" s="1"/>
      <c r="V4665" s="1"/>
      <c r="W4665" s="1"/>
      <c r="X4665" s="1"/>
      <c r="Y4665" s="1"/>
      <c r="Z4665" s="1"/>
      <c r="AA4665" s="1"/>
      <c r="AB4665" s="1"/>
      <c r="AC4665" s="1"/>
      <c r="AD4665" s="1"/>
      <c r="AE4665" s="1"/>
      <c r="AF4665" s="1"/>
      <c r="AG4665" s="1"/>
      <c r="AH4665" s="1"/>
    </row>
    <row r="4666" ht="12.75" hidden="1" customHeight="1" outlineLevel="1">
      <c r="A4666" s="17">
        <v>41834.0</v>
      </c>
      <c r="B4666" s="1"/>
      <c r="C4666" s="1" t="s">
        <v>429</v>
      </c>
      <c r="D4666" s="74"/>
      <c r="E4666" s="67"/>
      <c r="F4666" s="75"/>
      <c r="G4666" s="67"/>
      <c r="H4666" s="68"/>
      <c r="I4666" s="76"/>
      <c r="J4666" s="67"/>
      <c r="K4666" s="7" t="s">
        <v>1942</v>
      </c>
      <c r="L4666" s="77"/>
      <c r="M4666" s="79"/>
      <c r="N4666" s="1"/>
      <c r="O4666" s="1"/>
      <c r="P4666" s="1"/>
      <c r="Q4666" s="1"/>
      <c r="R4666" s="1"/>
      <c r="S4666" s="1"/>
      <c r="T4666" s="1"/>
      <c r="U4666" s="1"/>
      <c r="V4666" s="1"/>
      <c r="W4666" s="1"/>
      <c r="X4666" s="1"/>
      <c r="Y4666" s="1"/>
      <c r="Z4666" s="1"/>
      <c r="AA4666" s="1"/>
      <c r="AB4666" s="1"/>
      <c r="AC4666" s="1"/>
      <c r="AD4666" s="1"/>
      <c r="AE4666" s="1"/>
      <c r="AF4666" s="1"/>
      <c r="AG4666" s="1"/>
      <c r="AH4666" s="1"/>
    </row>
    <row r="4667" ht="12.75" hidden="1" customHeight="1" outlineLevel="1">
      <c r="A4667" s="17">
        <v>41834.0</v>
      </c>
      <c r="B4667" s="1"/>
      <c r="C4667" s="1" t="s">
        <v>431</v>
      </c>
      <c r="D4667" s="74"/>
      <c r="E4667" s="67"/>
      <c r="F4667" s="75"/>
      <c r="G4667" s="67"/>
      <c r="H4667" s="68"/>
      <c r="I4667" s="76"/>
      <c r="J4667" s="67"/>
      <c r="K4667" s="7" t="s">
        <v>1126</v>
      </c>
      <c r="L4667" s="77"/>
      <c r="M4667" s="79"/>
      <c r="N4667" s="1"/>
      <c r="O4667" s="1"/>
      <c r="P4667" s="1"/>
      <c r="Q4667" s="1"/>
      <c r="R4667" s="1"/>
      <c r="S4667" s="1"/>
      <c r="T4667" s="1"/>
      <c r="U4667" s="1"/>
      <c r="V4667" s="1"/>
      <c r="W4667" s="1"/>
      <c r="X4667" s="1"/>
      <c r="Y4667" s="1"/>
      <c r="Z4667" s="1"/>
      <c r="AA4667" s="1"/>
      <c r="AB4667" s="1"/>
      <c r="AC4667" s="1"/>
      <c r="AD4667" s="1"/>
      <c r="AE4667" s="1"/>
      <c r="AF4667" s="1"/>
      <c r="AG4667" s="1"/>
      <c r="AH4667" s="1"/>
    </row>
    <row r="4668" ht="12.75" hidden="1" customHeight="1" outlineLevel="1">
      <c r="A4668" s="17">
        <v>41834.0</v>
      </c>
      <c r="B4668" s="1"/>
      <c r="C4668" s="1" t="s">
        <v>433</v>
      </c>
      <c r="D4668" s="74"/>
      <c r="E4668" s="67"/>
      <c r="F4668" s="75"/>
      <c r="G4668" s="67"/>
      <c r="H4668" s="68"/>
      <c r="I4668" s="76"/>
      <c r="J4668" s="67"/>
      <c r="K4668" s="7" t="s">
        <v>1103</v>
      </c>
      <c r="L4668" s="77"/>
      <c r="M4668" s="79"/>
      <c r="N4668" s="1"/>
      <c r="O4668" s="1"/>
      <c r="P4668" s="1"/>
      <c r="Q4668" s="1"/>
      <c r="R4668" s="1"/>
      <c r="S4668" s="1"/>
      <c r="T4668" s="1"/>
      <c r="U4668" s="1"/>
      <c r="V4668" s="1"/>
      <c r="W4668" s="1"/>
      <c r="X4668" s="1"/>
      <c r="Y4668" s="1"/>
      <c r="Z4668" s="1"/>
      <c r="AA4668" s="1"/>
      <c r="AB4668" s="1"/>
      <c r="AC4668" s="1"/>
      <c r="AD4668" s="1"/>
      <c r="AE4668" s="1"/>
      <c r="AF4668" s="1"/>
      <c r="AG4668" s="1"/>
      <c r="AH4668" s="1"/>
    </row>
    <row r="4669" ht="12.75" hidden="1" customHeight="1" outlineLevel="1">
      <c r="A4669" s="17">
        <v>41834.0</v>
      </c>
      <c r="B4669" s="1"/>
      <c r="C4669" s="1" t="s">
        <v>435</v>
      </c>
      <c r="D4669" s="74"/>
      <c r="E4669" s="67"/>
      <c r="F4669" s="75"/>
      <c r="G4669" s="67"/>
      <c r="H4669" s="68"/>
      <c r="I4669" s="76"/>
      <c r="J4669" s="67"/>
      <c r="K4669" s="7" t="s">
        <v>1507</v>
      </c>
      <c r="L4669" s="77"/>
      <c r="M4669" s="79"/>
      <c r="N4669" s="1"/>
      <c r="O4669" s="1"/>
      <c r="P4669" s="1"/>
      <c r="Q4669" s="1"/>
      <c r="R4669" s="1"/>
      <c r="S4669" s="1"/>
      <c r="T4669" s="1"/>
      <c r="U4669" s="1"/>
      <c r="V4669" s="1"/>
      <c r="W4669" s="1"/>
      <c r="X4669" s="1"/>
      <c r="Y4669" s="1"/>
      <c r="Z4669" s="1"/>
      <c r="AA4669" s="1"/>
      <c r="AB4669" s="1"/>
      <c r="AC4669" s="1"/>
      <c r="AD4669" s="1"/>
      <c r="AE4669" s="1"/>
      <c r="AF4669" s="1"/>
      <c r="AG4669" s="1"/>
      <c r="AH4669" s="1"/>
    </row>
    <row r="4670" ht="12.75" hidden="1" customHeight="1" outlineLevel="1">
      <c r="A4670" s="17">
        <v>41836.0</v>
      </c>
      <c r="B4670" s="1" t="s">
        <v>343</v>
      </c>
      <c r="C4670" s="1" t="s">
        <v>355</v>
      </c>
      <c r="D4670" s="74">
        <v>3500.0</v>
      </c>
      <c r="E4670" s="67">
        <v>5.6</v>
      </c>
      <c r="F4670" s="75">
        <v>0.4275925925925926</v>
      </c>
      <c r="G4670" s="67" t="s">
        <v>453</v>
      </c>
      <c r="H4670" s="68">
        <v>14.2</v>
      </c>
      <c r="I4670" s="76"/>
      <c r="J4670" s="67">
        <f t="shared" ref="J4670:J4681" si="293">IF(B4670="SLD",D4670*E4670,-D4670*E4670)-H4670</f>
        <v>-19614.2</v>
      </c>
      <c r="K4670" s="7"/>
      <c r="L4670" s="70"/>
      <c r="M4670" s="79"/>
      <c r="N4670" s="1"/>
      <c r="O4670" s="1"/>
      <c r="P4670" s="1"/>
      <c r="Q4670" s="1"/>
      <c r="R4670" s="1"/>
      <c r="S4670" s="1"/>
      <c r="T4670" s="1"/>
      <c r="U4670" s="1"/>
      <c r="V4670" s="1"/>
      <c r="W4670" s="1"/>
      <c r="X4670" s="1"/>
      <c r="Y4670" s="1"/>
      <c r="Z4670" s="1"/>
      <c r="AA4670" s="1"/>
      <c r="AB4670" s="1"/>
      <c r="AC4670" s="1"/>
      <c r="AD4670" s="1"/>
      <c r="AE4670" s="1"/>
      <c r="AF4670" s="1"/>
      <c r="AG4670" s="1"/>
      <c r="AH4670" s="1"/>
    </row>
    <row r="4671" ht="12.75" hidden="1" customHeight="1" outlineLevel="1">
      <c r="A4671" s="17">
        <v>41836.0</v>
      </c>
      <c r="B4671" s="1" t="s">
        <v>343</v>
      </c>
      <c r="C4671" s="1" t="s">
        <v>369</v>
      </c>
      <c r="D4671" s="74">
        <v>1500.0</v>
      </c>
      <c r="E4671" s="67">
        <v>15.67</v>
      </c>
      <c r="F4671" s="75">
        <v>0.427824074074074</v>
      </c>
      <c r="G4671" s="67" t="s">
        <v>453</v>
      </c>
      <c r="H4671" s="68">
        <v>7.5</v>
      </c>
      <c r="I4671" s="76"/>
      <c r="J4671" s="67">
        <f t="shared" si="293"/>
        <v>-23512.5</v>
      </c>
      <c r="K4671" s="7"/>
      <c r="L4671" s="70"/>
      <c r="M4671" s="79"/>
      <c r="N4671" s="1"/>
      <c r="O4671" s="1"/>
      <c r="P4671" s="1"/>
      <c r="Q4671" s="1"/>
      <c r="R4671" s="1"/>
      <c r="S4671" s="1"/>
      <c r="T4671" s="1"/>
      <c r="U4671" s="1"/>
      <c r="V4671" s="1"/>
      <c r="W4671" s="1"/>
      <c r="X4671" s="1"/>
      <c r="Y4671" s="1"/>
      <c r="Z4671" s="1"/>
      <c r="AA4671" s="1"/>
      <c r="AB4671" s="1"/>
      <c r="AC4671" s="1"/>
      <c r="AD4671" s="1"/>
      <c r="AE4671" s="1"/>
      <c r="AF4671" s="1"/>
      <c r="AG4671" s="1"/>
      <c r="AH4671" s="1"/>
    </row>
    <row r="4672" ht="12.75" hidden="1" customHeight="1" outlineLevel="1">
      <c r="A4672" s="17">
        <v>41836.0</v>
      </c>
      <c r="B4672" s="1" t="s">
        <v>343</v>
      </c>
      <c r="C4672" s="1" t="s">
        <v>784</v>
      </c>
      <c r="D4672" s="74">
        <v>2000.0</v>
      </c>
      <c r="E4672" s="67">
        <v>14.43</v>
      </c>
      <c r="F4672" s="75">
        <v>0.42928240740740736</v>
      </c>
      <c r="G4672" s="67" t="s">
        <v>453</v>
      </c>
      <c r="H4672" s="68">
        <v>9.2</v>
      </c>
      <c r="I4672" s="76"/>
      <c r="J4672" s="67">
        <f t="shared" si="293"/>
        <v>-28869.2</v>
      </c>
      <c r="K4672" s="7"/>
      <c r="L4672" s="70"/>
      <c r="M4672" s="79"/>
      <c r="N4672" s="1"/>
      <c r="O4672" s="1"/>
      <c r="P4672" s="1"/>
      <c r="Q4672" s="1"/>
      <c r="R4672" s="1"/>
      <c r="S4672" s="1"/>
      <c r="T4672" s="1"/>
      <c r="U4672" s="1"/>
      <c r="V4672" s="1"/>
      <c r="W4672" s="1"/>
      <c r="X4672" s="1"/>
      <c r="Y4672" s="1"/>
      <c r="Z4672" s="1"/>
      <c r="AA4672" s="1"/>
      <c r="AB4672" s="1"/>
      <c r="AC4672" s="1"/>
      <c r="AD4672" s="1"/>
      <c r="AE4672" s="1"/>
      <c r="AF4672" s="1"/>
      <c r="AG4672" s="1"/>
      <c r="AH4672" s="1"/>
    </row>
    <row r="4673" ht="12.75" hidden="1" customHeight="1" outlineLevel="1">
      <c r="A4673" s="17">
        <v>41836.0</v>
      </c>
      <c r="B4673" s="1" t="s">
        <v>343</v>
      </c>
      <c r="C4673" s="1" t="s">
        <v>1725</v>
      </c>
      <c r="D4673" s="74">
        <v>2000.0</v>
      </c>
      <c r="E4673" s="67">
        <v>15.239</v>
      </c>
      <c r="F4673" s="75">
        <v>0.42952546296296296</v>
      </c>
      <c r="G4673" s="67" t="s">
        <v>453</v>
      </c>
      <c r="H4673" s="68">
        <v>9.3</v>
      </c>
      <c r="I4673" s="76"/>
      <c r="J4673" s="67">
        <f t="shared" si="293"/>
        <v>-30487.3</v>
      </c>
      <c r="K4673" s="7"/>
      <c r="L4673" s="70"/>
      <c r="M4673" s="79"/>
      <c r="N4673" s="1"/>
      <c r="O4673" s="1"/>
      <c r="P4673" s="1"/>
      <c r="Q4673" s="1"/>
      <c r="R4673" s="1"/>
      <c r="S4673" s="1"/>
      <c r="T4673" s="1"/>
      <c r="U4673" s="1"/>
      <c r="V4673" s="1"/>
      <c r="W4673" s="1"/>
      <c r="X4673" s="1"/>
      <c r="Y4673" s="1"/>
      <c r="Z4673" s="1"/>
      <c r="AA4673" s="1"/>
      <c r="AB4673" s="1"/>
      <c r="AC4673" s="1"/>
      <c r="AD4673" s="1"/>
      <c r="AE4673" s="1"/>
      <c r="AF4673" s="1"/>
      <c r="AG4673" s="1"/>
      <c r="AH4673" s="1"/>
    </row>
    <row r="4674" ht="12.75" hidden="1" customHeight="1" outlineLevel="1">
      <c r="A4674" s="17">
        <v>41836.0</v>
      </c>
      <c r="B4674" s="1" t="s">
        <v>347</v>
      </c>
      <c r="C4674" s="1" t="s">
        <v>354</v>
      </c>
      <c r="D4674" s="74">
        <v>200.0</v>
      </c>
      <c r="E4674" s="67">
        <v>108.701</v>
      </c>
      <c r="F4674" s="75">
        <v>0.4302662037037037</v>
      </c>
      <c r="G4674" s="67" t="s">
        <v>453</v>
      </c>
      <c r="H4674" s="68">
        <v>1.48</v>
      </c>
      <c r="I4674" s="76"/>
      <c r="J4674" s="67">
        <f t="shared" si="293"/>
        <v>21738.72</v>
      </c>
      <c r="K4674" s="7"/>
      <c r="L4674" s="70"/>
      <c r="M4674" s="79"/>
      <c r="N4674" s="1"/>
      <c r="O4674" s="1"/>
      <c r="P4674" s="1"/>
      <c r="Q4674" s="1"/>
      <c r="R4674" s="1"/>
      <c r="S4674" s="1"/>
      <c r="T4674" s="1"/>
      <c r="U4674" s="1"/>
      <c r="V4674" s="1"/>
      <c r="W4674" s="1"/>
      <c r="X4674" s="1"/>
      <c r="Y4674" s="1"/>
      <c r="Z4674" s="1"/>
      <c r="AA4674" s="1"/>
      <c r="AB4674" s="1"/>
      <c r="AC4674" s="1"/>
      <c r="AD4674" s="1"/>
      <c r="AE4674" s="1"/>
      <c r="AF4674" s="1"/>
      <c r="AG4674" s="1"/>
      <c r="AH4674" s="1"/>
    </row>
    <row r="4675" ht="12.75" hidden="1" customHeight="1" outlineLevel="1">
      <c r="A4675" s="17">
        <v>41836.0</v>
      </c>
      <c r="B4675" s="1" t="s">
        <v>347</v>
      </c>
      <c r="C4675" s="1" t="s">
        <v>1371</v>
      </c>
      <c r="D4675" s="74">
        <v>500.0</v>
      </c>
      <c r="E4675" s="67">
        <v>35.55</v>
      </c>
      <c r="F4675" s="75">
        <v>0.43049768518518516</v>
      </c>
      <c r="G4675" s="67" t="s">
        <v>453</v>
      </c>
      <c r="H4675" s="68">
        <v>2.39</v>
      </c>
      <c r="I4675" s="76"/>
      <c r="J4675" s="67">
        <f t="shared" si="293"/>
        <v>17772.61</v>
      </c>
      <c r="K4675" s="7"/>
      <c r="L4675" s="70"/>
      <c r="M4675" s="79"/>
      <c r="N4675" s="1"/>
      <c r="O4675" s="1"/>
      <c r="P4675" s="1"/>
      <c r="Q4675" s="1"/>
      <c r="R4675" s="1"/>
      <c r="S4675" s="1"/>
      <c r="T4675" s="1"/>
      <c r="U4675" s="1"/>
      <c r="V4675" s="1"/>
      <c r="W4675" s="1"/>
      <c r="X4675" s="1"/>
      <c r="Y4675" s="1"/>
      <c r="Z4675" s="1"/>
      <c r="AA4675" s="1"/>
      <c r="AB4675" s="1"/>
      <c r="AC4675" s="1"/>
      <c r="AD4675" s="1"/>
      <c r="AE4675" s="1"/>
      <c r="AF4675" s="1"/>
      <c r="AG4675" s="1"/>
      <c r="AH4675" s="1"/>
    </row>
    <row r="4676" ht="12.75" hidden="1" customHeight="1" outlineLevel="1">
      <c r="A4676" s="17">
        <v>41836.0</v>
      </c>
      <c r="B4676" s="1" t="s">
        <v>343</v>
      </c>
      <c r="C4676" s="1" t="s">
        <v>790</v>
      </c>
      <c r="D4676" s="74">
        <v>1200.0</v>
      </c>
      <c r="E4676" s="67">
        <v>15.98</v>
      </c>
      <c r="F4676" s="75">
        <v>0.4310763888888889</v>
      </c>
      <c r="G4676" s="67" t="s">
        <v>453</v>
      </c>
      <c r="H4676" s="68">
        <v>5.2</v>
      </c>
      <c r="I4676" s="76"/>
      <c r="J4676" s="67">
        <f t="shared" si="293"/>
        <v>-19181.2</v>
      </c>
      <c r="K4676" s="7"/>
      <c r="L4676" s="70"/>
      <c r="M4676" s="79"/>
      <c r="N4676" s="1"/>
      <c r="O4676" s="1"/>
      <c r="P4676" s="1"/>
      <c r="Q4676" s="1"/>
      <c r="R4676" s="1"/>
      <c r="S4676" s="1"/>
      <c r="T4676" s="1"/>
      <c r="U4676" s="1"/>
      <c r="V4676" s="1"/>
      <c r="W4676" s="1"/>
      <c r="X4676" s="1"/>
      <c r="Y4676" s="1"/>
      <c r="Z4676" s="1"/>
      <c r="AA4676" s="1"/>
      <c r="AB4676" s="1"/>
      <c r="AC4676" s="1"/>
      <c r="AD4676" s="1"/>
      <c r="AE4676" s="1"/>
      <c r="AF4676" s="1"/>
      <c r="AG4676" s="1"/>
      <c r="AH4676" s="1"/>
    </row>
    <row r="4677" ht="12.75" hidden="1" customHeight="1" outlineLevel="1">
      <c r="A4677" s="17">
        <v>41836.0</v>
      </c>
      <c r="B4677" s="1" t="s">
        <v>343</v>
      </c>
      <c r="C4677" s="1" t="s">
        <v>1044</v>
      </c>
      <c r="D4677" s="74">
        <v>700.0</v>
      </c>
      <c r="E4677" s="67">
        <v>26.16</v>
      </c>
      <c r="F4677" s="75">
        <v>0.43141203703703707</v>
      </c>
      <c r="G4677" s="67" t="s">
        <v>453</v>
      </c>
      <c r="H4677" s="68">
        <v>2.9</v>
      </c>
      <c r="I4677" s="76"/>
      <c r="J4677" s="67">
        <f t="shared" si="293"/>
        <v>-18314.9</v>
      </c>
      <c r="K4677" s="7"/>
      <c r="L4677" s="70"/>
      <c r="M4677" s="79"/>
      <c r="N4677" s="1"/>
      <c r="O4677" s="1"/>
      <c r="P4677" s="1"/>
      <c r="Q4677" s="1"/>
      <c r="R4677" s="1"/>
      <c r="S4677" s="1"/>
      <c r="T4677" s="1"/>
      <c r="U4677" s="1"/>
      <c r="V4677" s="1"/>
      <c r="W4677" s="1"/>
      <c r="X4677" s="1"/>
      <c r="Y4677" s="1"/>
      <c r="Z4677" s="1"/>
      <c r="AA4677" s="1"/>
      <c r="AB4677" s="1"/>
      <c r="AC4677" s="1"/>
      <c r="AD4677" s="1"/>
      <c r="AE4677" s="1"/>
      <c r="AF4677" s="1"/>
      <c r="AG4677" s="1"/>
      <c r="AH4677" s="1"/>
    </row>
    <row r="4678" ht="12.75" hidden="1" customHeight="1" outlineLevel="1">
      <c r="A4678" s="17">
        <v>41836.0</v>
      </c>
      <c r="B4678" s="1" t="s">
        <v>347</v>
      </c>
      <c r="C4678" s="1" t="s">
        <v>1766</v>
      </c>
      <c r="D4678" s="74">
        <v>500.0</v>
      </c>
      <c r="E4678" s="67">
        <v>67.356</v>
      </c>
      <c r="F4678" s="75">
        <v>0.4457060185185185</v>
      </c>
      <c r="G4678" s="67" t="s">
        <v>453</v>
      </c>
      <c r="H4678" s="68">
        <v>2.74</v>
      </c>
      <c r="I4678" s="76"/>
      <c r="J4678" s="67">
        <f t="shared" si="293"/>
        <v>33675.26</v>
      </c>
      <c r="K4678" s="7"/>
      <c r="L4678" s="70"/>
      <c r="M4678" s="79"/>
      <c r="N4678" s="1"/>
      <c r="O4678" s="1"/>
      <c r="P4678" s="1"/>
      <c r="Q4678" s="1"/>
      <c r="R4678" s="1"/>
      <c r="S4678" s="1"/>
      <c r="T4678" s="1"/>
      <c r="U4678" s="1"/>
      <c r="V4678" s="1"/>
      <c r="W4678" s="1"/>
      <c r="X4678" s="1"/>
      <c r="Y4678" s="1"/>
      <c r="Z4678" s="1"/>
      <c r="AA4678" s="1"/>
      <c r="AB4678" s="1"/>
      <c r="AC4678" s="1"/>
      <c r="AD4678" s="1"/>
      <c r="AE4678" s="1"/>
      <c r="AF4678" s="1"/>
      <c r="AG4678" s="1"/>
      <c r="AH4678" s="1"/>
    </row>
    <row r="4679" ht="12.75" hidden="1" customHeight="1" outlineLevel="1">
      <c r="A4679" s="17">
        <v>41836.0</v>
      </c>
      <c r="B4679" s="1" t="s">
        <v>347</v>
      </c>
      <c r="C4679" s="1" t="s">
        <v>1158</v>
      </c>
      <c r="D4679" s="74">
        <v>1000.0</v>
      </c>
      <c r="E4679" s="67">
        <v>37.86</v>
      </c>
      <c r="F4679" s="75">
        <v>0.6172222222222222</v>
      </c>
      <c r="G4679" s="67" t="s">
        <v>453</v>
      </c>
      <c r="H4679" s="68">
        <v>4.84</v>
      </c>
      <c r="I4679" s="76"/>
      <c r="J4679" s="67">
        <f t="shared" si="293"/>
        <v>37855.16</v>
      </c>
      <c r="K4679" s="7"/>
      <c r="L4679" s="70"/>
      <c r="M4679" s="79"/>
      <c r="N4679" s="1"/>
      <c r="O4679" s="1"/>
      <c r="P4679" s="1"/>
      <c r="Q4679" s="1"/>
      <c r="R4679" s="1"/>
      <c r="S4679" s="1"/>
      <c r="T4679" s="1"/>
      <c r="U4679" s="1"/>
      <c r="V4679" s="1"/>
      <c r="W4679" s="1"/>
      <c r="X4679" s="1"/>
      <c r="Y4679" s="1"/>
      <c r="Z4679" s="1"/>
      <c r="AA4679" s="1"/>
      <c r="AB4679" s="1"/>
      <c r="AC4679" s="1"/>
      <c r="AD4679" s="1"/>
      <c r="AE4679" s="1"/>
      <c r="AF4679" s="1"/>
      <c r="AG4679" s="1"/>
      <c r="AH4679" s="1"/>
    </row>
    <row r="4680" ht="12.75" hidden="1" customHeight="1" outlineLevel="1">
      <c r="A4680" s="17">
        <v>41836.0</v>
      </c>
      <c r="B4680" s="1" t="s">
        <v>347</v>
      </c>
      <c r="C4680" s="1" t="s">
        <v>344</v>
      </c>
      <c r="D4680" s="74">
        <v>700.0</v>
      </c>
      <c r="E4680" s="67">
        <v>54.89</v>
      </c>
      <c r="F4680" s="75">
        <v>0.6177893518518519</v>
      </c>
      <c r="G4680" s="67" t="s">
        <v>453</v>
      </c>
      <c r="H4680" s="68">
        <v>3.95</v>
      </c>
      <c r="I4680" s="76"/>
      <c r="J4680" s="67">
        <f t="shared" si="293"/>
        <v>38419.05</v>
      </c>
      <c r="K4680" s="7"/>
      <c r="L4680" s="70"/>
      <c r="M4680" s="79"/>
      <c r="N4680" s="1"/>
      <c r="O4680" s="1"/>
      <c r="P4680" s="1"/>
      <c r="Q4680" s="1"/>
      <c r="R4680" s="1"/>
      <c r="S4680" s="1"/>
      <c r="T4680" s="1"/>
      <c r="U4680" s="1"/>
      <c r="V4680" s="1"/>
      <c r="W4680" s="1"/>
      <c r="X4680" s="1"/>
      <c r="Y4680" s="1"/>
      <c r="Z4680" s="1"/>
      <c r="AA4680" s="1"/>
      <c r="AB4680" s="1"/>
      <c r="AC4680" s="1"/>
      <c r="AD4680" s="1"/>
      <c r="AE4680" s="1"/>
      <c r="AF4680" s="1"/>
      <c r="AG4680" s="1"/>
      <c r="AH4680" s="1"/>
    </row>
    <row r="4681" ht="12.75" hidden="1" customHeight="1" outlineLevel="1">
      <c r="A4681" s="17">
        <v>41836.0</v>
      </c>
      <c r="B4681" s="1" t="s">
        <v>347</v>
      </c>
      <c r="C4681" s="1" t="s">
        <v>605</v>
      </c>
      <c r="D4681" s="74">
        <v>400.0</v>
      </c>
      <c r="E4681" s="67">
        <v>80.65</v>
      </c>
      <c r="F4681" s="75">
        <v>0.6183217592592593</v>
      </c>
      <c r="G4681" s="67" t="s">
        <v>453</v>
      </c>
      <c r="H4681" s="68">
        <v>2.41</v>
      </c>
      <c r="I4681" s="76"/>
      <c r="J4681" s="67">
        <f t="shared" si="293"/>
        <v>32257.59</v>
      </c>
      <c r="K4681" s="7"/>
      <c r="L4681" s="70"/>
      <c r="M4681" s="79"/>
      <c r="N4681" s="1"/>
      <c r="O4681" s="1"/>
      <c r="P4681" s="1"/>
      <c r="Q4681" s="1"/>
      <c r="R4681" s="1"/>
      <c r="S4681" s="1"/>
      <c r="T4681" s="1"/>
      <c r="U4681" s="1"/>
      <c r="V4681" s="1"/>
      <c r="W4681" s="1"/>
      <c r="X4681" s="1"/>
      <c r="Y4681" s="1"/>
      <c r="Z4681" s="1"/>
      <c r="AA4681" s="1"/>
      <c r="AB4681" s="1"/>
      <c r="AC4681" s="1"/>
      <c r="AD4681" s="1"/>
      <c r="AE4681" s="1"/>
      <c r="AF4681" s="1"/>
      <c r="AG4681" s="1"/>
      <c r="AH4681" s="1"/>
    </row>
    <row r="4682" ht="12.75" hidden="1" customHeight="1" outlineLevel="1">
      <c r="A4682" s="17">
        <v>41836.0</v>
      </c>
      <c r="B4682" s="1"/>
      <c r="C4682" s="1" t="s">
        <v>339</v>
      </c>
      <c r="D4682" s="74"/>
      <c r="E4682" s="67"/>
      <c r="F4682" s="75"/>
      <c r="G4682" s="67"/>
      <c r="H4682" s="68"/>
      <c r="I4682" s="76"/>
      <c r="J4682" s="67"/>
      <c r="K4682" s="7" t="s">
        <v>1950</v>
      </c>
      <c r="L4682" s="77"/>
      <c r="M4682" s="79"/>
      <c r="N4682" s="1"/>
      <c r="O4682" s="1"/>
      <c r="P4682" s="1"/>
      <c r="Q4682" s="1"/>
      <c r="R4682" s="1"/>
      <c r="S4682" s="1"/>
      <c r="T4682" s="1"/>
      <c r="U4682" s="1"/>
      <c r="V4682" s="1"/>
      <c r="W4682" s="1"/>
      <c r="X4682" s="1"/>
      <c r="Y4682" s="1"/>
      <c r="Z4682" s="1"/>
      <c r="AA4682" s="1"/>
      <c r="AB4682" s="1"/>
      <c r="AC4682" s="1"/>
      <c r="AD4682" s="1"/>
      <c r="AE4682" s="1"/>
      <c r="AF4682" s="1"/>
      <c r="AG4682" s="1"/>
      <c r="AH4682" s="1"/>
    </row>
    <row r="4683" ht="12.75" hidden="1" customHeight="1" outlineLevel="1">
      <c r="A4683" s="17">
        <v>41836.0</v>
      </c>
      <c r="B4683" s="1"/>
      <c r="C4683" s="1" t="s">
        <v>429</v>
      </c>
      <c r="D4683" s="74"/>
      <c r="E4683" s="67"/>
      <c r="F4683" s="75"/>
      <c r="G4683" s="67"/>
      <c r="H4683" s="68"/>
      <c r="I4683" s="76"/>
      <c r="J4683" s="67"/>
      <c r="K4683" s="7" t="s">
        <v>1942</v>
      </c>
      <c r="L4683" s="77"/>
      <c r="M4683" s="79"/>
      <c r="N4683" s="1"/>
      <c r="O4683" s="1"/>
      <c r="P4683" s="1"/>
      <c r="Q4683" s="1"/>
      <c r="R4683" s="1"/>
      <c r="S4683" s="1"/>
      <c r="T4683" s="1"/>
      <c r="U4683" s="1"/>
      <c r="V4683" s="1"/>
      <c r="W4683" s="1"/>
      <c r="X4683" s="1"/>
      <c r="Y4683" s="1"/>
      <c r="Z4683" s="1"/>
      <c r="AA4683" s="1"/>
      <c r="AB4683" s="1"/>
      <c r="AC4683" s="1"/>
      <c r="AD4683" s="1"/>
      <c r="AE4683" s="1"/>
      <c r="AF4683" s="1"/>
      <c r="AG4683" s="1"/>
      <c r="AH4683" s="1"/>
    </row>
    <row r="4684" ht="12.75" hidden="1" customHeight="1" outlineLevel="1">
      <c r="A4684" s="17">
        <v>41836.0</v>
      </c>
      <c r="B4684" s="1"/>
      <c r="C4684" s="1" t="s">
        <v>431</v>
      </c>
      <c r="D4684" s="74"/>
      <c r="E4684" s="67"/>
      <c r="F4684" s="75"/>
      <c r="G4684" s="67"/>
      <c r="H4684" s="68"/>
      <c r="I4684" s="76"/>
      <c r="J4684" s="67"/>
      <c r="K4684" s="7" t="s">
        <v>1126</v>
      </c>
      <c r="L4684" s="77"/>
      <c r="M4684" s="79"/>
      <c r="N4684" s="1"/>
      <c r="O4684" s="1"/>
      <c r="P4684" s="1"/>
      <c r="Q4684" s="1"/>
      <c r="R4684" s="1"/>
      <c r="S4684" s="1"/>
      <c r="T4684" s="1"/>
      <c r="U4684" s="1"/>
      <c r="V4684" s="1"/>
      <c r="W4684" s="1"/>
      <c r="X4684" s="1"/>
      <c r="Y4684" s="1"/>
      <c r="Z4684" s="1"/>
      <c r="AA4684" s="1"/>
      <c r="AB4684" s="1"/>
      <c r="AC4684" s="1"/>
      <c r="AD4684" s="1"/>
      <c r="AE4684" s="1"/>
      <c r="AF4684" s="1"/>
      <c r="AG4684" s="1"/>
      <c r="AH4684" s="1"/>
    </row>
    <row r="4685" ht="12.75" hidden="1" customHeight="1" outlineLevel="1">
      <c r="A4685" s="17">
        <v>41836.0</v>
      </c>
      <c r="B4685" s="1"/>
      <c r="C4685" s="1" t="s">
        <v>433</v>
      </c>
      <c r="D4685" s="74"/>
      <c r="E4685" s="67"/>
      <c r="F4685" s="75"/>
      <c r="G4685" s="67"/>
      <c r="H4685" s="68"/>
      <c r="I4685" s="76"/>
      <c r="J4685" s="67"/>
      <c r="K4685" s="7" t="s">
        <v>1103</v>
      </c>
      <c r="L4685" s="77"/>
      <c r="M4685" s="79"/>
      <c r="N4685" s="1"/>
      <c r="O4685" s="1"/>
      <c r="P4685" s="1"/>
      <c r="Q4685" s="1"/>
      <c r="R4685" s="1"/>
      <c r="S4685" s="1"/>
      <c r="T4685" s="1"/>
      <c r="U4685" s="1"/>
      <c r="V4685" s="1"/>
      <c r="W4685" s="1"/>
      <c r="X4685" s="1"/>
      <c r="Y4685" s="1"/>
      <c r="Z4685" s="1"/>
      <c r="AA4685" s="1"/>
      <c r="AB4685" s="1"/>
      <c r="AC4685" s="1"/>
      <c r="AD4685" s="1"/>
      <c r="AE4685" s="1"/>
      <c r="AF4685" s="1"/>
      <c r="AG4685" s="1"/>
      <c r="AH4685" s="1"/>
    </row>
    <row r="4686" ht="12.75" hidden="1" customHeight="1" outlineLevel="1">
      <c r="A4686" s="17">
        <v>41836.0</v>
      </c>
      <c r="B4686" s="1"/>
      <c r="C4686" s="1" t="s">
        <v>435</v>
      </c>
      <c r="D4686" s="74"/>
      <c r="E4686" s="67"/>
      <c r="F4686" s="75"/>
      <c r="G4686" s="67"/>
      <c r="H4686" s="68"/>
      <c r="I4686" s="76"/>
      <c r="J4686" s="67"/>
      <c r="K4686" s="7" t="s">
        <v>1507</v>
      </c>
      <c r="L4686" s="77"/>
      <c r="M4686" s="79"/>
      <c r="N4686" s="1"/>
      <c r="O4686" s="1"/>
      <c r="P4686" s="1"/>
      <c r="Q4686" s="1"/>
      <c r="R4686" s="1"/>
      <c r="S4686" s="1"/>
      <c r="T4686" s="1"/>
      <c r="U4686" s="1"/>
      <c r="V4686" s="1"/>
      <c r="W4686" s="1"/>
      <c r="X4686" s="1"/>
      <c r="Y4686" s="1"/>
      <c r="Z4686" s="1"/>
      <c r="AA4686" s="1"/>
      <c r="AB4686" s="1"/>
      <c r="AC4686" s="1"/>
      <c r="AD4686" s="1"/>
      <c r="AE4686" s="1"/>
      <c r="AF4686" s="1"/>
      <c r="AG4686" s="1"/>
      <c r="AH4686" s="1"/>
    </row>
    <row r="4687" ht="12.75" hidden="1" customHeight="1" outlineLevel="1">
      <c r="A4687" s="17">
        <v>41837.0</v>
      </c>
      <c r="B4687" s="1" t="s">
        <v>343</v>
      </c>
      <c r="C4687" s="1" t="s">
        <v>344</v>
      </c>
      <c r="D4687" s="74">
        <v>700.0</v>
      </c>
      <c r="E4687" s="67">
        <v>55.089</v>
      </c>
      <c r="F4687" s="75">
        <v>0.4309375</v>
      </c>
      <c r="G4687" s="67" t="s">
        <v>453</v>
      </c>
      <c r="H4687" s="68">
        <v>2.8</v>
      </c>
      <c r="I4687" s="76"/>
      <c r="J4687" s="67">
        <f t="shared" ref="J4687:J4694" si="294">IF(B4687="SLD",D4687*E4687,-D4687*E4687)-H4687</f>
        <v>-38565.1</v>
      </c>
      <c r="K4687" s="7"/>
      <c r="L4687" s="70"/>
      <c r="M4687" s="79"/>
      <c r="N4687" s="1"/>
      <c r="O4687" s="1"/>
      <c r="P4687" s="1"/>
      <c r="Q4687" s="1"/>
      <c r="R4687" s="1"/>
      <c r="S4687" s="1"/>
      <c r="T4687" s="1"/>
      <c r="U4687" s="1"/>
      <c r="V4687" s="1"/>
      <c r="W4687" s="1"/>
      <c r="X4687" s="1"/>
      <c r="Y4687" s="1"/>
      <c r="Z4687" s="1"/>
      <c r="AA4687" s="1"/>
      <c r="AB4687" s="1"/>
      <c r="AC4687" s="1"/>
      <c r="AD4687" s="1"/>
      <c r="AE4687" s="1"/>
      <c r="AF4687" s="1"/>
      <c r="AG4687" s="1"/>
      <c r="AH4687" s="1"/>
    </row>
    <row r="4688" ht="12.75" hidden="1" customHeight="1" outlineLevel="1">
      <c r="A4688" s="17">
        <v>41837.0</v>
      </c>
      <c r="B4688" s="1" t="s">
        <v>343</v>
      </c>
      <c r="C4688" s="1" t="s">
        <v>1766</v>
      </c>
      <c r="D4688" s="74">
        <v>500.0</v>
      </c>
      <c r="E4688" s="67">
        <v>67.73</v>
      </c>
      <c r="F4688" s="75">
        <v>0.4315277777777778</v>
      </c>
      <c r="G4688" s="67" t="s">
        <v>453</v>
      </c>
      <c r="H4688" s="68">
        <v>2.3</v>
      </c>
      <c r="I4688" s="76"/>
      <c r="J4688" s="67">
        <f t="shared" si="294"/>
        <v>-33867.3</v>
      </c>
      <c r="K4688" s="7"/>
      <c r="L4688" s="70"/>
      <c r="M4688" s="79"/>
      <c r="N4688" s="1"/>
      <c r="O4688" s="1"/>
      <c r="P4688" s="1"/>
      <c r="Q4688" s="1"/>
      <c r="R4688" s="1"/>
      <c r="S4688" s="1"/>
      <c r="T4688" s="1"/>
      <c r="U4688" s="1"/>
      <c r="V4688" s="1"/>
      <c r="W4688" s="1"/>
      <c r="X4688" s="1"/>
      <c r="Y4688" s="1"/>
      <c r="Z4688" s="1"/>
      <c r="AA4688" s="1"/>
      <c r="AB4688" s="1"/>
      <c r="AC4688" s="1"/>
      <c r="AD4688" s="1"/>
      <c r="AE4688" s="1"/>
      <c r="AF4688" s="1"/>
      <c r="AG4688" s="1"/>
      <c r="AH4688" s="1"/>
    </row>
    <row r="4689" ht="12.75" hidden="1" customHeight="1" outlineLevel="1">
      <c r="A4689" s="17">
        <v>41837.0</v>
      </c>
      <c r="B4689" s="1" t="s">
        <v>347</v>
      </c>
      <c r="C4689" s="1" t="s">
        <v>344</v>
      </c>
      <c r="D4689" s="74">
        <v>100.0</v>
      </c>
      <c r="E4689" s="67">
        <v>55.03</v>
      </c>
      <c r="F4689" s="75">
        <v>0.47012731481481485</v>
      </c>
      <c r="G4689" s="67" t="s">
        <v>453</v>
      </c>
      <c r="H4689" s="68">
        <v>1.12</v>
      </c>
      <c r="I4689" s="76"/>
      <c r="J4689" s="67">
        <f t="shared" si="294"/>
        <v>5501.88</v>
      </c>
      <c r="K4689" s="7"/>
      <c r="L4689" s="70"/>
      <c r="M4689" s="79"/>
      <c r="N4689" s="1"/>
      <c r="O4689" s="1"/>
      <c r="P4689" s="1"/>
      <c r="Q4689" s="1"/>
      <c r="R4689" s="1"/>
      <c r="S4689" s="1"/>
      <c r="T4689" s="1"/>
      <c r="U4689" s="1"/>
      <c r="V4689" s="1"/>
      <c r="W4689" s="1"/>
      <c r="X4689" s="1"/>
      <c r="Y4689" s="1"/>
      <c r="Z4689" s="1"/>
      <c r="AA4689" s="1"/>
      <c r="AB4689" s="1"/>
      <c r="AC4689" s="1"/>
      <c r="AD4689" s="1"/>
      <c r="AE4689" s="1"/>
      <c r="AF4689" s="1"/>
      <c r="AG4689" s="1"/>
      <c r="AH4689" s="1"/>
    </row>
    <row r="4690" ht="12.75" hidden="1" customHeight="1" outlineLevel="1">
      <c r="A4690" s="17">
        <v>41837.0</v>
      </c>
      <c r="B4690" s="1" t="s">
        <v>347</v>
      </c>
      <c r="C4690" s="1" t="s">
        <v>784</v>
      </c>
      <c r="D4690" s="74">
        <v>2000.0</v>
      </c>
      <c r="E4690" s="67">
        <v>14.011</v>
      </c>
      <c r="F4690" s="75">
        <v>0.6494444444444444</v>
      </c>
      <c r="G4690" s="67" t="s">
        <v>453</v>
      </c>
      <c r="H4690" s="68">
        <v>8.62</v>
      </c>
      <c r="I4690" s="76"/>
      <c r="J4690" s="67">
        <f t="shared" si="294"/>
        <v>28013.38</v>
      </c>
      <c r="K4690" s="7"/>
      <c r="L4690" s="70"/>
      <c r="M4690" s="79"/>
      <c r="N4690" s="1"/>
      <c r="O4690" s="1"/>
      <c r="P4690" s="1"/>
      <c r="Q4690" s="1"/>
      <c r="R4690" s="1"/>
      <c r="S4690" s="1"/>
      <c r="T4690" s="1"/>
      <c r="U4690" s="1"/>
      <c r="V4690" s="1"/>
      <c r="W4690" s="1"/>
      <c r="X4690" s="1"/>
      <c r="Y4690" s="1"/>
      <c r="Z4690" s="1"/>
      <c r="AA4690" s="1"/>
      <c r="AB4690" s="1"/>
      <c r="AC4690" s="1"/>
      <c r="AD4690" s="1"/>
      <c r="AE4690" s="1"/>
      <c r="AF4690" s="1"/>
      <c r="AG4690" s="1"/>
      <c r="AH4690" s="1"/>
    </row>
    <row r="4691" ht="12.75" hidden="1" customHeight="1" outlineLevel="1">
      <c r="A4691" s="17">
        <v>41837.0</v>
      </c>
      <c r="B4691" s="1" t="s">
        <v>347</v>
      </c>
      <c r="C4691" s="1" t="s">
        <v>355</v>
      </c>
      <c r="D4691" s="74">
        <v>3500.0</v>
      </c>
      <c r="E4691" s="67">
        <v>5.57</v>
      </c>
      <c r="F4691" s="75">
        <v>0.6494560185185185</v>
      </c>
      <c r="G4691" s="67" t="s">
        <v>453</v>
      </c>
      <c r="H4691" s="68">
        <v>17.93</v>
      </c>
      <c r="I4691" s="76"/>
      <c r="J4691" s="67">
        <f t="shared" si="294"/>
        <v>19477.07</v>
      </c>
      <c r="K4691" s="7"/>
      <c r="L4691" s="70"/>
      <c r="M4691" s="79"/>
      <c r="N4691" s="1"/>
      <c r="O4691" s="1"/>
      <c r="P4691" s="1"/>
      <c r="Q4691" s="1"/>
      <c r="R4691" s="1"/>
      <c r="S4691" s="1"/>
      <c r="T4691" s="1"/>
      <c r="U4691" s="1"/>
      <c r="V4691" s="1"/>
      <c r="W4691" s="1"/>
      <c r="X4691" s="1"/>
      <c r="Y4691" s="1"/>
      <c r="Z4691" s="1"/>
      <c r="AA4691" s="1"/>
      <c r="AB4691" s="1"/>
      <c r="AC4691" s="1"/>
      <c r="AD4691" s="1"/>
      <c r="AE4691" s="1"/>
      <c r="AF4691" s="1"/>
      <c r="AG4691" s="1"/>
      <c r="AH4691" s="1"/>
    </row>
    <row r="4692" ht="12.75" hidden="1" customHeight="1" outlineLevel="1">
      <c r="A4692" s="17">
        <v>41837.0</v>
      </c>
      <c r="B4692" s="1" t="s">
        <v>347</v>
      </c>
      <c r="C4692" s="1" t="s">
        <v>369</v>
      </c>
      <c r="D4692" s="74">
        <v>1500.0</v>
      </c>
      <c r="E4692" s="67">
        <v>15.561</v>
      </c>
      <c r="F4692" s="75">
        <v>0.6497222222222222</v>
      </c>
      <c r="G4692" s="67" t="s">
        <v>453</v>
      </c>
      <c r="H4692" s="68">
        <v>6.52</v>
      </c>
      <c r="I4692" s="76"/>
      <c r="J4692" s="67">
        <f t="shared" si="294"/>
        <v>23334.98</v>
      </c>
      <c r="K4692" s="7"/>
      <c r="L4692" s="70"/>
      <c r="M4692" s="79"/>
      <c r="N4692" s="1"/>
      <c r="O4692" s="1"/>
      <c r="P4692" s="1"/>
      <c r="Q4692" s="1"/>
      <c r="R4692" s="1"/>
      <c r="S4692" s="1"/>
      <c r="T4692" s="1"/>
      <c r="U4692" s="1"/>
      <c r="V4692" s="1"/>
      <c r="W4692" s="1"/>
      <c r="X4692" s="1"/>
      <c r="Y4692" s="1"/>
      <c r="Z4692" s="1"/>
      <c r="AA4692" s="1"/>
      <c r="AB4692" s="1"/>
      <c r="AC4692" s="1"/>
      <c r="AD4692" s="1"/>
      <c r="AE4692" s="1"/>
      <c r="AF4692" s="1"/>
      <c r="AG4692" s="1"/>
      <c r="AH4692" s="1"/>
    </row>
    <row r="4693" ht="12.75" hidden="1" customHeight="1" outlineLevel="1">
      <c r="A4693" s="17">
        <v>41837.0</v>
      </c>
      <c r="B4693" s="1" t="s">
        <v>343</v>
      </c>
      <c r="C4693" s="1" t="s">
        <v>779</v>
      </c>
      <c r="D4693" s="74">
        <v>50.0</v>
      </c>
      <c r="E4693" s="67">
        <v>251.6299</v>
      </c>
      <c r="F4693" s="75">
        <v>0.6553125</v>
      </c>
      <c r="G4693" s="67" t="s">
        <v>453</v>
      </c>
      <c r="H4693" s="68">
        <v>1.0</v>
      </c>
      <c r="I4693" s="76"/>
      <c r="J4693" s="67">
        <f t="shared" si="294"/>
        <v>-12582.495</v>
      </c>
      <c r="K4693" s="7"/>
      <c r="L4693" s="70"/>
      <c r="M4693" s="79"/>
      <c r="N4693" s="1"/>
      <c r="O4693" s="1"/>
      <c r="P4693" s="1"/>
      <c r="Q4693" s="1"/>
      <c r="R4693" s="1"/>
      <c r="S4693" s="1"/>
      <c r="T4693" s="1"/>
      <c r="U4693" s="1"/>
      <c r="V4693" s="1"/>
      <c r="W4693" s="1"/>
      <c r="X4693" s="1"/>
      <c r="Y4693" s="1"/>
      <c r="Z4693" s="1"/>
      <c r="AA4693" s="1"/>
      <c r="AB4693" s="1"/>
      <c r="AC4693" s="1"/>
      <c r="AD4693" s="1"/>
      <c r="AE4693" s="1"/>
      <c r="AF4693" s="1"/>
      <c r="AG4693" s="1"/>
      <c r="AH4693" s="1"/>
    </row>
    <row r="4694" ht="12.75" hidden="1" customHeight="1" outlineLevel="1">
      <c r="A4694" s="17">
        <v>41837.0</v>
      </c>
      <c r="B4694" s="1" t="s">
        <v>347</v>
      </c>
      <c r="C4694" s="1" t="s">
        <v>1006</v>
      </c>
      <c r="D4694" s="74">
        <v>200.0</v>
      </c>
      <c r="E4694" s="67">
        <v>49.58</v>
      </c>
      <c r="F4694" s="75">
        <v>0.6618402777777778</v>
      </c>
      <c r="G4694" s="67" t="s">
        <v>453</v>
      </c>
      <c r="H4694" s="68">
        <v>1.22</v>
      </c>
      <c r="I4694" s="76"/>
      <c r="J4694" s="67">
        <f t="shared" si="294"/>
        <v>9914.78</v>
      </c>
      <c r="K4694" s="7"/>
      <c r="L4694" s="70"/>
      <c r="M4694" s="79"/>
      <c r="N4694" s="1"/>
      <c r="O4694" s="1"/>
      <c r="P4694" s="1"/>
      <c r="Q4694" s="1"/>
      <c r="R4694" s="1"/>
      <c r="S4694" s="1"/>
      <c r="T4694" s="1"/>
      <c r="U4694" s="1"/>
      <c r="V4694" s="1"/>
      <c r="W4694" s="1"/>
      <c r="X4694" s="1"/>
      <c r="Y4694" s="1"/>
      <c r="Z4694" s="1"/>
      <c r="AA4694" s="1"/>
      <c r="AB4694" s="1"/>
      <c r="AC4694" s="1"/>
      <c r="AD4694" s="1"/>
      <c r="AE4694" s="1"/>
      <c r="AF4694" s="1"/>
      <c r="AG4694" s="1"/>
      <c r="AH4694" s="1"/>
    </row>
    <row r="4695" ht="12.75" hidden="1" customHeight="1" outlineLevel="1">
      <c r="A4695" s="17">
        <v>41837.0</v>
      </c>
      <c r="B4695" s="1"/>
      <c r="C4695" s="1" t="s">
        <v>339</v>
      </c>
      <c r="D4695" s="74"/>
      <c r="E4695" s="67"/>
      <c r="F4695" s="75"/>
      <c r="G4695" s="67"/>
      <c r="H4695" s="68"/>
      <c r="I4695" s="76"/>
      <c r="J4695" s="67"/>
      <c r="K4695" s="7" t="s">
        <v>1961</v>
      </c>
      <c r="L4695" s="77"/>
      <c r="M4695" s="79"/>
      <c r="N4695" s="1"/>
      <c r="O4695" s="1"/>
      <c r="P4695" s="1"/>
      <c r="Q4695" s="1"/>
      <c r="R4695" s="1"/>
      <c r="S4695" s="1"/>
      <c r="T4695" s="1"/>
      <c r="U4695" s="1"/>
      <c r="V4695" s="1"/>
      <c r="W4695" s="1"/>
      <c r="X4695" s="1"/>
      <c r="Y4695" s="1"/>
      <c r="Z4695" s="1"/>
      <c r="AA4695" s="1"/>
      <c r="AB4695" s="1"/>
      <c r="AC4695" s="1"/>
      <c r="AD4695" s="1"/>
      <c r="AE4695" s="1"/>
      <c r="AF4695" s="1"/>
      <c r="AG4695" s="1"/>
      <c r="AH4695" s="1"/>
    </row>
    <row r="4696" ht="12.75" hidden="1" customHeight="1" outlineLevel="1">
      <c r="A4696" s="17">
        <v>41837.0</v>
      </c>
      <c r="B4696" s="1"/>
      <c r="C4696" s="1" t="s">
        <v>429</v>
      </c>
      <c r="D4696" s="74"/>
      <c r="E4696" s="67"/>
      <c r="F4696" s="75"/>
      <c r="G4696" s="67"/>
      <c r="H4696" s="68"/>
      <c r="I4696" s="76"/>
      <c r="J4696" s="67"/>
      <c r="K4696" s="7" t="s">
        <v>1942</v>
      </c>
      <c r="L4696" s="77"/>
      <c r="M4696" s="79"/>
      <c r="N4696" s="1"/>
      <c r="O4696" s="1"/>
      <c r="P4696" s="1"/>
      <c r="Q4696" s="1"/>
      <c r="R4696" s="1"/>
      <c r="S4696" s="1"/>
      <c r="T4696" s="1"/>
      <c r="U4696" s="1"/>
      <c r="V4696" s="1"/>
      <c r="W4696" s="1"/>
      <c r="X4696" s="1"/>
      <c r="Y4696" s="1"/>
      <c r="Z4696" s="1"/>
      <c r="AA4696" s="1"/>
      <c r="AB4696" s="1"/>
      <c r="AC4696" s="1"/>
      <c r="AD4696" s="1"/>
      <c r="AE4696" s="1"/>
      <c r="AF4696" s="1"/>
      <c r="AG4696" s="1"/>
      <c r="AH4696" s="1"/>
    </row>
    <row r="4697" ht="12.75" hidden="1" customHeight="1" outlineLevel="1">
      <c r="A4697" s="17">
        <v>41837.0</v>
      </c>
      <c r="B4697" s="1"/>
      <c r="C4697" s="1" t="s">
        <v>431</v>
      </c>
      <c r="D4697" s="74"/>
      <c r="E4697" s="67"/>
      <c r="F4697" s="75"/>
      <c r="G4697" s="67"/>
      <c r="H4697" s="68"/>
      <c r="I4697" s="76"/>
      <c r="J4697" s="67"/>
      <c r="K4697" s="7" t="s">
        <v>1126</v>
      </c>
      <c r="L4697" s="77"/>
      <c r="M4697" s="79"/>
      <c r="N4697" s="1"/>
      <c r="O4697" s="1"/>
      <c r="P4697" s="1"/>
      <c r="Q4697" s="1"/>
      <c r="R4697" s="1"/>
      <c r="S4697" s="1"/>
      <c r="T4697" s="1"/>
      <c r="U4697" s="1"/>
      <c r="V4697" s="1"/>
      <c r="W4697" s="1"/>
      <c r="X4697" s="1"/>
      <c r="Y4697" s="1"/>
      <c r="Z4697" s="1"/>
      <c r="AA4697" s="1"/>
      <c r="AB4697" s="1"/>
      <c r="AC4697" s="1"/>
      <c r="AD4697" s="1"/>
      <c r="AE4697" s="1"/>
      <c r="AF4697" s="1"/>
      <c r="AG4697" s="1"/>
      <c r="AH4697" s="1"/>
    </row>
    <row r="4698" ht="12.75" hidden="1" customHeight="1" outlineLevel="1">
      <c r="A4698" s="17">
        <v>41837.0</v>
      </c>
      <c r="B4698" s="1"/>
      <c r="C4698" s="1" t="s">
        <v>433</v>
      </c>
      <c r="D4698" s="74"/>
      <c r="E4698" s="67"/>
      <c r="F4698" s="75"/>
      <c r="G4698" s="67"/>
      <c r="H4698" s="68"/>
      <c r="I4698" s="76"/>
      <c r="J4698" s="67"/>
      <c r="K4698" s="7" t="s">
        <v>1103</v>
      </c>
      <c r="L4698" s="77"/>
      <c r="M4698" s="79"/>
      <c r="N4698" s="1"/>
      <c r="O4698" s="1"/>
      <c r="P4698" s="1"/>
      <c r="Q4698" s="1"/>
      <c r="R4698" s="1"/>
      <c r="S4698" s="1"/>
      <c r="T4698" s="1"/>
      <c r="U4698" s="1"/>
      <c r="V4698" s="1"/>
      <c r="W4698" s="1"/>
      <c r="X4698" s="1"/>
      <c r="Y4698" s="1"/>
      <c r="Z4698" s="1"/>
      <c r="AA4698" s="1"/>
      <c r="AB4698" s="1"/>
      <c r="AC4698" s="1"/>
      <c r="AD4698" s="1"/>
      <c r="AE4698" s="1"/>
      <c r="AF4698" s="1"/>
      <c r="AG4698" s="1"/>
      <c r="AH4698" s="1"/>
    </row>
    <row r="4699" ht="12.75" hidden="1" customHeight="1" outlineLevel="1">
      <c r="A4699" s="17">
        <v>41837.0</v>
      </c>
      <c r="B4699" s="1"/>
      <c r="C4699" s="1" t="s">
        <v>435</v>
      </c>
      <c r="D4699" s="74"/>
      <c r="E4699" s="67"/>
      <c r="F4699" s="75"/>
      <c r="G4699" s="67"/>
      <c r="H4699" s="68"/>
      <c r="I4699" s="76"/>
      <c r="J4699" s="67"/>
      <c r="K4699" s="7" t="s">
        <v>1507</v>
      </c>
      <c r="L4699" s="77"/>
      <c r="M4699" s="79"/>
      <c r="N4699" s="1"/>
      <c r="O4699" s="1"/>
      <c r="P4699" s="1"/>
      <c r="Q4699" s="1"/>
      <c r="R4699" s="1"/>
      <c r="S4699" s="1"/>
      <c r="T4699" s="1"/>
      <c r="U4699" s="1"/>
      <c r="V4699" s="1"/>
      <c r="W4699" s="1"/>
      <c r="X4699" s="1"/>
      <c r="Y4699" s="1"/>
      <c r="Z4699" s="1"/>
      <c r="AA4699" s="1"/>
      <c r="AB4699" s="1"/>
      <c r="AC4699" s="1"/>
      <c r="AD4699" s="1"/>
      <c r="AE4699" s="1"/>
      <c r="AF4699" s="1"/>
      <c r="AG4699" s="1"/>
      <c r="AH4699" s="1"/>
    </row>
    <row r="4700" ht="12.75" hidden="1" customHeight="1" outlineLevel="1">
      <c r="A4700" s="17">
        <v>41838.0</v>
      </c>
      <c r="B4700" s="1" t="s">
        <v>343</v>
      </c>
      <c r="C4700" s="1" t="s">
        <v>1164</v>
      </c>
      <c r="D4700" s="74">
        <v>1100.0</v>
      </c>
      <c r="E4700" s="67">
        <v>27.859</v>
      </c>
      <c r="F4700" s="75">
        <v>0.6619212962962963</v>
      </c>
      <c r="G4700" s="67" t="s">
        <v>453</v>
      </c>
      <c r="H4700" s="68">
        <v>4.8</v>
      </c>
      <c r="I4700" s="76"/>
      <c r="J4700" s="67">
        <f t="shared" ref="J4700:J4701" si="295">IF(B4700="SLD",D4700*E4700,-D4700*E4700)-H4700</f>
        <v>-30649.7</v>
      </c>
      <c r="K4700" s="7"/>
      <c r="L4700" s="70"/>
      <c r="M4700" s="79"/>
      <c r="N4700" s="1"/>
      <c r="O4700" s="1"/>
      <c r="P4700" s="1"/>
      <c r="Q4700" s="1"/>
      <c r="R4700" s="1"/>
      <c r="S4700" s="1"/>
      <c r="T4700" s="1"/>
      <c r="U4700" s="1"/>
      <c r="V4700" s="1"/>
      <c r="W4700" s="1"/>
      <c r="X4700" s="1"/>
      <c r="Y4700" s="1"/>
      <c r="Z4700" s="1"/>
      <c r="AA4700" s="1"/>
      <c r="AB4700" s="1"/>
      <c r="AC4700" s="1"/>
      <c r="AD4700" s="1"/>
      <c r="AE4700" s="1"/>
      <c r="AF4700" s="1"/>
      <c r="AG4700" s="1"/>
      <c r="AH4700" s="1"/>
    </row>
    <row r="4701" ht="12.75" hidden="1" customHeight="1" outlineLevel="1">
      <c r="A4701" s="17">
        <v>41838.0</v>
      </c>
      <c r="B4701" s="1" t="s">
        <v>343</v>
      </c>
      <c r="C4701" s="1" t="s">
        <v>605</v>
      </c>
      <c r="D4701" s="74">
        <v>400.0</v>
      </c>
      <c r="E4701" s="67">
        <v>80.779</v>
      </c>
      <c r="F4701" s="75">
        <v>0.6621527777777778</v>
      </c>
      <c r="G4701" s="67" t="s">
        <v>453</v>
      </c>
      <c r="H4701" s="68">
        <v>1.6</v>
      </c>
      <c r="I4701" s="76"/>
      <c r="J4701" s="67">
        <f t="shared" si="295"/>
        <v>-32313.2</v>
      </c>
      <c r="K4701" s="7"/>
      <c r="L4701" s="70"/>
      <c r="M4701" s="79"/>
      <c r="N4701" s="1"/>
      <c r="O4701" s="1"/>
      <c r="P4701" s="1"/>
      <c r="Q4701" s="1"/>
      <c r="R4701" s="1"/>
      <c r="S4701" s="1"/>
      <c r="T4701" s="1"/>
      <c r="U4701" s="1"/>
      <c r="V4701" s="1"/>
      <c r="W4701" s="1"/>
      <c r="X4701" s="1"/>
      <c r="Y4701" s="1"/>
      <c r="Z4701" s="1"/>
      <c r="AA4701" s="1"/>
      <c r="AB4701" s="1"/>
      <c r="AC4701" s="1"/>
      <c r="AD4701" s="1"/>
      <c r="AE4701" s="1"/>
      <c r="AF4701" s="1"/>
      <c r="AG4701" s="1"/>
      <c r="AH4701" s="1"/>
    </row>
    <row r="4702" ht="12.75" hidden="1" customHeight="1" outlineLevel="1">
      <c r="A4702" s="17">
        <v>41838.0</v>
      </c>
      <c r="B4702" s="1"/>
      <c r="C4702" s="1" t="s">
        <v>339</v>
      </c>
      <c r="D4702" s="74"/>
      <c r="E4702" s="67"/>
      <c r="F4702" s="75"/>
      <c r="G4702" s="67"/>
      <c r="H4702" s="68"/>
      <c r="I4702" s="76"/>
      <c r="J4702" s="67"/>
      <c r="K4702" s="7" t="s">
        <v>1967</v>
      </c>
      <c r="L4702" s="77"/>
      <c r="M4702" s="79"/>
      <c r="N4702" s="1"/>
      <c r="O4702" s="1"/>
      <c r="P4702" s="1"/>
      <c r="Q4702" s="1"/>
      <c r="R4702" s="1"/>
      <c r="S4702" s="1"/>
      <c r="T4702" s="1"/>
      <c r="U4702" s="1"/>
      <c r="V4702" s="1"/>
      <c r="W4702" s="1"/>
      <c r="X4702" s="1"/>
      <c r="Y4702" s="1"/>
      <c r="Z4702" s="1"/>
      <c r="AA4702" s="1"/>
      <c r="AB4702" s="1"/>
      <c r="AC4702" s="1"/>
      <c r="AD4702" s="1"/>
      <c r="AE4702" s="1"/>
      <c r="AF4702" s="1"/>
      <c r="AG4702" s="1"/>
      <c r="AH4702" s="1"/>
    </row>
    <row r="4703" ht="12.75" hidden="1" customHeight="1" outlineLevel="1">
      <c r="A4703" s="17">
        <v>41838.0</v>
      </c>
      <c r="B4703" s="1"/>
      <c r="C4703" s="1" t="s">
        <v>429</v>
      </c>
      <c r="D4703" s="74"/>
      <c r="E4703" s="67"/>
      <c r="F4703" s="75"/>
      <c r="G4703" s="67"/>
      <c r="H4703" s="68"/>
      <c r="I4703" s="76"/>
      <c r="J4703" s="67"/>
      <c r="K4703" s="7" t="s">
        <v>1942</v>
      </c>
      <c r="L4703" s="77"/>
      <c r="M4703" s="79"/>
      <c r="N4703" s="1"/>
      <c r="O4703" s="1"/>
      <c r="P4703" s="1"/>
      <c r="Q4703" s="1"/>
      <c r="R4703" s="1"/>
      <c r="S4703" s="1"/>
      <c r="T4703" s="1"/>
      <c r="U4703" s="1"/>
      <c r="V4703" s="1"/>
      <c r="W4703" s="1"/>
      <c r="X4703" s="1"/>
      <c r="Y4703" s="1"/>
      <c r="Z4703" s="1"/>
      <c r="AA4703" s="1"/>
      <c r="AB4703" s="1"/>
      <c r="AC4703" s="1"/>
      <c r="AD4703" s="1"/>
      <c r="AE4703" s="1"/>
      <c r="AF4703" s="1"/>
      <c r="AG4703" s="1"/>
      <c r="AH4703" s="1"/>
    </row>
    <row r="4704" ht="12.75" hidden="1" customHeight="1" outlineLevel="1">
      <c r="A4704" s="17">
        <v>41838.0</v>
      </c>
      <c r="B4704" s="1"/>
      <c r="C4704" s="1" t="s">
        <v>431</v>
      </c>
      <c r="D4704" s="74"/>
      <c r="E4704" s="67"/>
      <c r="F4704" s="75"/>
      <c r="G4704" s="67"/>
      <c r="H4704" s="68"/>
      <c r="I4704" s="76"/>
      <c r="J4704" s="67"/>
      <c r="K4704" s="7" t="s">
        <v>1126</v>
      </c>
      <c r="L4704" s="77"/>
      <c r="M4704" s="79"/>
      <c r="N4704" s="1"/>
      <c r="O4704" s="1"/>
      <c r="P4704" s="1"/>
      <c r="Q4704" s="1"/>
      <c r="R4704" s="1"/>
      <c r="S4704" s="1"/>
      <c r="T4704" s="1"/>
      <c r="U4704" s="1"/>
      <c r="V4704" s="1"/>
      <c r="W4704" s="1"/>
      <c r="X4704" s="1"/>
      <c r="Y4704" s="1"/>
      <c r="Z4704" s="1"/>
      <c r="AA4704" s="1"/>
      <c r="AB4704" s="1"/>
      <c r="AC4704" s="1"/>
      <c r="AD4704" s="1"/>
      <c r="AE4704" s="1"/>
      <c r="AF4704" s="1"/>
      <c r="AG4704" s="1"/>
      <c r="AH4704" s="1"/>
    </row>
    <row r="4705" ht="12.75" hidden="1" customHeight="1" outlineLevel="1">
      <c r="A4705" s="17">
        <v>41838.0</v>
      </c>
      <c r="B4705" s="1"/>
      <c r="C4705" s="1" t="s">
        <v>433</v>
      </c>
      <c r="D4705" s="74"/>
      <c r="E4705" s="67"/>
      <c r="F4705" s="75"/>
      <c r="G4705" s="67"/>
      <c r="H4705" s="68"/>
      <c r="I4705" s="76"/>
      <c r="J4705" s="67"/>
      <c r="K4705" s="7" t="s">
        <v>1103</v>
      </c>
      <c r="L4705" s="77"/>
      <c r="M4705" s="79"/>
      <c r="N4705" s="1"/>
      <c r="O4705" s="1"/>
      <c r="P4705" s="1"/>
      <c r="Q4705" s="1"/>
      <c r="R4705" s="1"/>
      <c r="S4705" s="1"/>
      <c r="T4705" s="1"/>
      <c r="U4705" s="1"/>
      <c r="V4705" s="1"/>
      <c r="W4705" s="1"/>
      <c r="X4705" s="1"/>
      <c r="Y4705" s="1"/>
      <c r="Z4705" s="1"/>
      <c r="AA4705" s="1"/>
      <c r="AB4705" s="1"/>
      <c r="AC4705" s="1"/>
      <c r="AD4705" s="1"/>
      <c r="AE4705" s="1"/>
      <c r="AF4705" s="1"/>
      <c r="AG4705" s="1"/>
      <c r="AH4705" s="1"/>
    </row>
    <row r="4706" ht="12.75" hidden="1" customHeight="1" outlineLevel="1">
      <c r="A4706" s="17">
        <v>41838.0</v>
      </c>
      <c r="B4706" s="1"/>
      <c r="C4706" s="1" t="s">
        <v>435</v>
      </c>
      <c r="D4706" s="74"/>
      <c r="E4706" s="67"/>
      <c r="F4706" s="75"/>
      <c r="G4706" s="67"/>
      <c r="H4706" s="68"/>
      <c r="I4706" s="76"/>
      <c r="J4706" s="67"/>
      <c r="K4706" s="7" t="s">
        <v>1507</v>
      </c>
      <c r="L4706" s="77"/>
      <c r="M4706" s="79"/>
      <c r="N4706" s="1"/>
      <c r="O4706" s="1"/>
      <c r="P4706" s="1"/>
      <c r="Q4706" s="1"/>
      <c r="R4706" s="1"/>
      <c r="S4706" s="1"/>
      <c r="T4706" s="1"/>
      <c r="U4706" s="1"/>
      <c r="V4706" s="1"/>
      <c r="W4706" s="1"/>
      <c r="X4706" s="1"/>
      <c r="Y4706" s="1"/>
      <c r="Z4706" s="1"/>
      <c r="AA4706" s="1"/>
      <c r="AB4706" s="1"/>
      <c r="AC4706" s="1"/>
      <c r="AD4706" s="1"/>
      <c r="AE4706" s="1"/>
      <c r="AF4706" s="1"/>
      <c r="AG4706" s="1"/>
      <c r="AH4706" s="1"/>
    </row>
    <row r="4707" ht="12.75" hidden="1" customHeight="1" outlineLevel="1">
      <c r="A4707" s="17">
        <v>41841.0</v>
      </c>
      <c r="B4707" s="1"/>
      <c r="C4707" s="1" t="s">
        <v>339</v>
      </c>
      <c r="D4707" s="74"/>
      <c r="E4707" s="67"/>
      <c r="F4707" s="75"/>
      <c r="G4707" s="67"/>
      <c r="H4707" s="68"/>
      <c r="I4707" s="76"/>
      <c r="J4707" s="67"/>
      <c r="K4707" s="7" t="s">
        <v>1971</v>
      </c>
      <c r="L4707" s="77"/>
      <c r="M4707" s="79"/>
      <c r="N4707" s="1"/>
      <c r="O4707" s="1"/>
      <c r="P4707" s="1"/>
      <c r="Q4707" s="1"/>
      <c r="R4707" s="1"/>
      <c r="S4707" s="1"/>
      <c r="T4707" s="1"/>
      <c r="U4707" s="1"/>
      <c r="V4707" s="1"/>
      <c r="W4707" s="1"/>
      <c r="X4707" s="1"/>
      <c r="Y4707" s="1"/>
      <c r="Z4707" s="1"/>
      <c r="AA4707" s="1"/>
      <c r="AB4707" s="1"/>
      <c r="AC4707" s="1"/>
      <c r="AD4707" s="1"/>
      <c r="AE4707" s="1"/>
      <c r="AF4707" s="1"/>
      <c r="AG4707" s="1"/>
      <c r="AH4707" s="1"/>
    </row>
    <row r="4708" ht="12.75" hidden="1" customHeight="1" outlineLevel="1">
      <c r="A4708" s="17">
        <v>41841.0</v>
      </c>
      <c r="B4708" s="1"/>
      <c r="C4708" s="1" t="s">
        <v>429</v>
      </c>
      <c r="D4708" s="74"/>
      <c r="E4708" s="67"/>
      <c r="F4708" s="75"/>
      <c r="G4708" s="67"/>
      <c r="H4708" s="68"/>
      <c r="I4708" s="76"/>
      <c r="J4708" s="67"/>
      <c r="K4708" s="7" t="s">
        <v>1942</v>
      </c>
      <c r="L4708" s="77"/>
      <c r="M4708" s="79"/>
      <c r="N4708" s="1"/>
      <c r="O4708" s="1"/>
      <c r="P4708" s="1"/>
      <c r="Q4708" s="1"/>
      <c r="R4708" s="1"/>
      <c r="S4708" s="1"/>
      <c r="T4708" s="1"/>
      <c r="U4708" s="1"/>
      <c r="V4708" s="1"/>
      <c r="W4708" s="1"/>
      <c r="X4708" s="1"/>
      <c r="Y4708" s="1"/>
      <c r="Z4708" s="1"/>
      <c r="AA4708" s="1"/>
      <c r="AB4708" s="1"/>
      <c r="AC4708" s="1"/>
      <c r="AD4708" s="1"/>
      <c r="AE4708" s="1"/>
      <c r="AF4708" s="1"/>
      <c r="AG4708" s="1"/>
      <c r="AH4708" s="1"/>
    </row>
    <row r="4709" ht="12.75" hidden="1" customHeight="1" outlineLevel="1">
      <c r="A4709" s="17">
        <v>41841.0</v>
      </c>
      <c r="B4709" s="1"/>
      <c r="C4709" s="1" t="s">
        <v>431</v>
      </c>
      <c r="D4709" s="74"/>
      <c r="E4709" s="67"/>
      <c r="F4709" s="75"/>
      <c r="G4709" s="67"/>
      <c r="H4709" s="68"/>
      <c r="I4709" s="76"/>
      <c r="J4709" s="67"/>
      <c r="K4709" s="7" t="s">
        <v>1126</v>
      </c>
      <c r="L4709" s="77"/>
      <c r="M4709" s="79"/>
      <c r="N4709" s="1"/>
      <c r="O4709" s="1"/>
      <c r="P4709" s="1"/>
      <c r="Q4709" s="1"/>
      <c r="R4709" s="1"/>
      <c r="S4709" s="1"/>
      <c r="T4709" s="1"/>
      <c r="U4709" s="1"/>
      <c r="V4709" s="1"/>
      <c r="W4709" s="1"/>
      <c r="X4709" s="1"/>
      <c r="Y4709" s="1"/>
      <c r="Z4709" s="1"/>
      <c r="AA4709" s="1"/>
      <c r="AB4709" s="1"/>
      <c r="AC4709" s="1"/>
      <c r="AD4709" s="1"/>
      <c r="AE4709" s="1"/>
      <c r="AF4709" s="1"/>
      <c r="AG4709" s="1"/>
      <c r="AH4709" s="1"/>
    </row>
    <row r="4710" ht="12.75" hidden="1" customHeight="1" outlineLevel="1">
      <c r="A4710" s="17">
        <v>41841.0</v>
      </c>
      <c r="B4710" s="1"/>
      <c r="C4710" s="1" t="s">
        <v>433</v>
      </c>
      <c r="D4710" s="74"/>
      <c r="E4710" s="67"/>
      <c r="F4710" s="75"/>
      <c r="G4710" s="67"/>
      <c r="H4710" s="68"/>
      <c r="I4710" s="76"/>
      <c r="J4710" s="67"/>
      <c r="K4710" s="7" t="s">
        <v>1103</v>
      </c>
      <c r="L4710" s="77"/>
      <c r="M4710" s="79"/>
      <c r="N4710" s="1"/>
      <c r="O4710" s="1"/>
      <c r="P4710" s="1"/>
      <c r="Q4710" s="1"/>
      <c r="R4710" s="1"/>
      <c r="S4710" s="1"/>
      <c r="T4710" s="1"/>
      <c r="U4710" s="1"/>
      <c r="V4710" s="1"/>
      <c r="W4710" s="1"/>
      <c r="X4710" s="1"/>
      <c r="Y4710" s="1"/>
      <c r="Z4710" s="1"/>
      <c r="AA4710" s="1"/>
      <c r="AB4710" s="1"/>
      <c r="AC4710" s="1"/>
      <c r="AD4710" s="1"/>
      <c r="AE4710" s="1"/>
      <c r="AF4710" s="1"/>
      <c r="AG4710" s="1"/>
      <c r="AH4710" s="1"/>
    </row>
    <row r="4711" ht="12.75" hidden="1" customHeight="1" outlineLevel="1">
      <c r="A4711" s="17">
        <v>41841.0</v>
      </c>
      <c r="B4711" s="1"/>
      <c r="C4711" s="1" t="s">
        <v>435</v>
      </c>
      <c r="D4711" s="74"/>
      <c r="E4711" s="67"/>
      <c r="F4711" s="75"/>
      <c r="G4711" s="67"/>
      <c r="H4711" s="68"/>
      <c r="I4711" s="76"/>
      <c r="J4711" s="67"/>
      <c r="K4711" s="7" t="s">
        <v>1507</v>
      </c>
      <c r="L4711" s="77"/>
      <c r="M4711" s="79"/>
      <c r="N4711" s="1"/>
      <c r="O4711" s="1"/>
      <c r="P4711" s="1"/>
      <c r="Q4711" s="1"/>
      <c r="R4711" s="1"/>
      <c r="S4711" s="1"/>
      <c r="T4711" s="1"/>
      <c r="U4711" s="1"/>
      <c r="V4711" s="1"/>
      <c r="W4711" s="1"/>
      <c r="X4711" s="1"/>
      <c r="Y4711" s="1"/>
      <c r="Z4711" s="1"/>
      <c r="AA4711" s="1"/>
      <c r="AB4711" s="1"/>
      <c r="AC4711" s="1"/>
      <c r="AD4711" s="1"/>
      <c r="AE4711" s="1"/>
      <c r="AF4711" s="1"/>
      <c r="AG4711" s="1"/>
      <c r="AH4711" s="1"/>
    </row>
    <row r="4712" ht="12.75" hidden="1" customHeight="1" outlineLevel="1">
      <c r="A4712" s="17">
        <v>41843.0</v>
      </c>
      <c r="B4712" s="1"/>
      <c r="C4712" s="1" t="s">
        <v>339</v>
      </c>
      <c r="D4712" s="74"/>
      <c r="E4712" s="67"/>
      <c r="F4712" s="75"/>
      <c r="G4712" s="67"/>
      <c r="H4712" s="68"/>
      <c r="I4712" s="76"/>
      <c r="J4712" s="67"/>
      <c r="K4712" s="7" t="s">
        <v>1974</v>
      </c>
      <c r="L4712" s="77"/>
      <c r="M4712" s="79"/>
      <c r="N4712" s="1"/>
      <c r="O4712" s="1"/>
      <c r="P4712" s="1"/>
      <c r="Q4712" s="1"/>
      <c r="R4712" s="1"/>
      <c r="S4712" s="1"/>
      <c r="T4712" s="1"/>
      <c r="U4712" s="1"/>
      <c r="V4712" s="1"/>
      <c r="W4712" s="1"/>
      <c r="X4712" s="1"/>
      <c r="Y4712" s="1"/>
      <c r="Z4712" s="1"/>
      <c r="AA4712" s="1"/>
      <c r="AB4712" s="1"/>
      <c r="AC4712" s="1"/>
      <c r="AD4712" s="1"/>
      <c r="AE4712" s="1"/>
      <c r="AF4712" s="1"/>
      <c r="AG4712" s="1"/>
      <c r="AH4712" s="1"/>
    </row>
    <row r="4713" ht="12.75" hidden="1" customHeight="1" outlineLevel="1">
      <c r="A4713" s="17">
        <v>41843.0</v>
      </c>
      <c r="B4713" s="1"/>
      <c r="C4713" s="1" t="s">
        <v>429</v>
      </c>
      <c r="D4713" s="74"/>
      <c r="E4713" s="67"/>
      <c r="F4713" s="75"/>
      <c r="G4713" s="67"/>
      <c r="H4713" s="68"/>
      <c r="I4713" s="76"/>
      <c r="J4713" s="67"/>
      <c r="K4713" s="7" t="s">
        <v>1942</v>
      </c>
      <c r="L4713" s="77"/>
      <c r="M4713" s="79"/>
      <c r="N4713" s="1"/>
      <c r="O4713" s="1"/>
      <c r="P4713" s="1"/>
      <c r="Q4713" s="1"/>
      <c r="R4713" s="1"/>
      <c r="S4713" s="1"/>
      <c r="T4713" s="1"/>
      <c r="U4713" s="1"/>
      <c r="V4713" s="1"/>
      <c r="W4713" s="1"/>
      <c r="X4713" s="1"/>
      <c r="Y4713" s="1"/>
      <c r="Z4713" s="1"/>
      <c r="AA4713" s="1"/>
      <c r="AB4713" s="1"/>
      <c r="AC4713" s="1"/>
      <c r="AD4713" s="1"/>
      <c r="AE4713" s="1"/>
      <c r="AF4713" s="1"/>
      <c r="AG4713" s="1"/>
      <c r="AH4713" s="1"/>
    </row>
    <row r="4714" ht="12.75" hidden="1" customHeight="1" outlineLevel="1">
      <c r="A4714" s="17">
        <v>41843.0</v>
      </c>
      <c r="B4714" s="1"/>
      <c r="C4714" s="1" t="s">
        <v>431</v>
      </c>
      <c r="D4714" s="74"/>
      <c r="E4714" s="67"/>
      <c r="F4714" s="75"/>
      <c r="G4714" s="67"/>
      <c r="H4714" s="68"/>
      <c r="I4714" s="76"/>
      <c r="J4714" s="67"/>
      <c r="K4714" s="7" t="s">
        <v>1126</v>
      </c>
      <c r="L4714" s="77"/>
      <c r="M4714" s="79"/>
      <c r="N4714" s="1"/>
      <c r="O4714" s="1"/>
      <c r="P4714" s="1"/>
      <c r="Q4714" s="1"/>
      <c r="R4714" s="1"/>
      <c r="S4714" s="1"/>
      <c r="T4714" s="1"/>
      <c r="U4714" s="1"/>
      <c r="V4714" s="1"/>
      <c r="W4714" s="1"/>
      <c r="X4714" s="1"/>
      <c r="Y4714" s="1"/>
      <c r="Z4714" s="1"/>
      <c r="AA4714" s="1"/>
      <c r="AB4714" s="1"/>
      <c r="AC4714" s="1"/>
      <c r="AD4714" s="1"/>
      <c r="AE4714" s="1"/>
      <c r="AF4714" s="1"/>
      <c r="AG4714" s="1"/>
      <c r="AH4714" s="1"/>
    </row>
    <row r="4715" ht="12.75" hidden="1" customHeight="1" outlineLevel="1">
      <c r="A4715" s="17">
        <v>41843.0</v>
      </c>
      <c r="B4715" s="1"/>
      <c r="C4715" s="1" t="s">
        <v>433</v>
      </c>
      <c r="D4715" s="74"/>
      <c r="E4715" s="67"/>
      <c r="F4715" s="75"/>
      <c r="G4715" s="67"/>
      <c r="H4715" s="68"/>
      <c r="I4715" s="76"/>
      <c r="J4715" s="67"/>
      <c r="K4715" s="7" t="s">
        <v>1103</v>
      </c>
      <c r="L4715" s="77"/>
      <c r="M4715" s="79"/>
      <c r="N4715" s="1"/>
      <c r="O4715" s="1"/>
      <c r="P4715" s="1"/>
      <c r="Q4715" s="1"/>
      <c r="R4715" s="1"/>
      <c r="S4715" s="1"/>
      <c r="T4715" s="1"/>
      <c r="U4715" s="1"/>
      <c r="V4715" s="1"/>
      <c r="W4715" s="1"/>
      <c r="X4715" s="1"/>
      <c r="Y4715" s="1"/>
      <c r="Z4715" s="1"/>
      <c r="AA4715" s="1"/>
      <c r="AB4715" s="1"/>
      <c r="AC4715" s="1"/>
      <c r="AD4715" s="1"/>
      <c r="AE4715" s="1"/>
      <c r="AF4715" s="1"/>
      <c r="AG4715" s="1"/>
      <c r="AH4715" s="1"/>
    </row>
    <row r="4716" ht="12.75" hidden="1" customHeight="1" outlineLevel="1">
      <c r="A4716" s="17">
        <v>41843.0</v>
      </c>
      <c r="B4716" s="1"/>
      <c r="C4716" s="1" t="s">
        <v>435</v>
      </c>
      <c r="D4716" s="74"/>
      <c r="E4716" s="67"/>
      <c r="F4716" s="75"/>
      <c r="G4716" s="67"/>
      <c r="H4716" s="68"/>
      <c r="I4716" s="76"/>
      <c r="J4716" s="67"/>
      <c r="K4716" s="7" t="s">
        <v>1507</v>
      </c>
      <c r="L4716" s="77"/>
      <c r="M4716" s="79"/>
      <c r="N4716" s="1"/>
      <c r="O4716" s="1"/>
      <c r="P4716" s="1"/>
      <c r="Q4716" s="1"/>
      <c r="R4716" s="1"/>
      <c r="S4716" s="1"/>
      <c r="T4716" s="1"/>
      <c r="U4716" s="1"/>
      <c r="V4716" s="1"/>
      <c r="W4716" s="1"/>
      <c r="X4716" s="1"/>
      <c r="Y4716" s="1"/>
      <c r="Z4716" s="1"/>
      <c r="AA4716" s="1"/>
      <c r="AB4716" s="1"/>
      <c r="AC4716" s="1"/>
      <c r="AD4716" s="1"/>
      <c r="AE4716" s="1"/>
      <c r="AF4716" s="1"/>
      <c r="AG4716" s="1"/>
      <c r="AH4716" s="1"/>
    </row>
    <row r="4717" ht="12.75" hidden="1" customHeight="1" outlineLevel="1">
      <c r="A4717" s="17">
        <v>41844.0</v>
      </c>
      <c r="B4717" s="1" t="s">
        <v>343</v>
      </c>
      <c r="C4717" s="1" t="s">
        <v>354</v>
      </c>
      <c r="D4717" s="74">
        <v>300.0</v>
      </c>
      <c r="E4717" s="67">
        <v>114.29</v>
      </c>
      <c r="F4717" s="75">
        <v>0.4017013888888889</v>
      </c>
      <c r="G4717" s="67" t="s">
        <v>453</v>
      </c>
      <c r="H4717" s="68">
        <v>1.5</v>
      </c>
      <c r="I4717" s="76"/>
      <c r="J4717" s="67">
        <f t="shared" ref="J4717:J4718" si="296">IF(B4717="SLD",D4717*E4717,-D4717*E4717)-H4717</f>
        <v>-34288.5</v>
      </c>
      <c r="K4717" s="7"/>
      <c r="L4717" s="70"/>
      <c r="M4717" s="79"/>
      <c r="N4717" s="1"/>
      <c r="O4717" s="1"/>
      <c r="P4717" s="1"/>
      <c r="Q4717" s="1"/>
      <c r="R4717" s="1"/>
      <c r="S4717" s="1"/>
      <c r="T4717" s="1"/>
      <c r="U4717" s="1"/>
      <c r="V4717" s="1"/>
      <c r="W4717" s="1"/>
      <c r="X4717" s="1"/>
      <c r="Y4717" s="1"/>
      <c r="Z4717" s="1"/>
      <c r="AA4717" s="1"/>
      <c r="AB4717" s="1"/>
      <c r="AC4717" s="1"/>
      <c r="AD4717" s="1"/>
      <c r="AE4717" s="1"/>
      <c r="AF4717" s="1"/>
      <c r="AG4717" s="1"/>
      <c r="AH4717" s="1"/>
    </row>
    <row r="4718" ht="12.75" hidden="1" customHeight="1" outlineLevel="1">
      <c r="A4718" s="17">
        <v>41844.0</v>
      </c>
      <c r="B4718" s="1" t="s">
        <v>343</v>
      </c>
      <c r="C4718" s="1" t="s">
        <v>1325</v>
      </c>
      <c r="D4718" s="74">
        <v>400.0</v>
      </c>
      <c r="E4718" s="67">
        <v>65.098</v>
      </c>
      <c r="F4718" s="75">
        <v>0.40251157407407406</v>
      </c>
      <c r="G4718" s="67" t="s">
        <v>453</v>
      </c>
      <c r="H4718" s="68">
        <v>2.0</v>
      </c>
      <c r="I4718" s="76"/>
      <c r="J4718" s="67">
        <f t="shared" si="296"/>
        <v>-26041.2</v>
      </c>
      <c r="K4718" s="7"/>
      <c r="L4718" s="70"/>
      <c r="M4718" s="79"/>
      <c r="N4718" s="1"/>
      <c r="O4718" s="1"/>
      <c r="P4718" s="1"/>
      <c r="Q4718" s="1"/>
      <c r="R4718" s="1"/>
      <c r="S4718" s="1"/>
      <c r="T4718" s="1"/>
      <c r="U4718" s="1"/>
      <c r="V4718" s="1"/>
      <c r="W4718" s="1"/>
      <c r="X4718" s="1"/>
      <c r="Y4718" s="1"/>
      <c r="Z4718" s="1"/>
      <c r="AA4718" s="1"/>
      <c r="AB4718" s="1"/>
      <c r="AC4718" s="1"/>
      <c r="AD4718" s="1"/>
      <c r="AE4718" s="1"/>
      <c r="AF4718" s="1"/>
      <c r="AG4718" s="1"/>
      <c r="AH4718" s="1"/>
    </row>
    <row r="4719" ht="12.75" hidden="1" customHeight="1" outlineLevel="1">
      <c r="A4719" s="17">
        <v>41844.0</v>
      </c>
      <c r="B4719" s="1"/>
      <c r="C4719" s="1" t="s">
        <v>339</v>
      </c>
      <c r="D4719" s="74"/>
      <c r="E4719" s="67"/>
      <c r="F4719" s="75"/>
      <c r="G4719" s="67"/>
      <c r="H4719" s="68"/>
      <c r="I4719" s="76"/>
      <c r="J4719" s="67"/>
      <c r="K4719" s="7" t="s">
        <v>1980</v>
      </c>
      <c r="L4719" s="77"/>
      <c r="M4719" s="79"/>
      <c r="N4719" s="1"/>
      <c r="O4719" s="1"/>
      <c r="P4719" s="1"/>
      <c r="Q4719" s="1"/>
      <c r="R4719" s="1"/>
      <c r="S4719" s="1"/>
      <c r="T4719" s="1"/>
      <c r="U4719" s="1"/>
      <c r="V4719" s="1"/>
      <c r="W4719" s="1"/>
      <c r="X4719" s="1"/>
      <c r="Y4719" s="1"/>
      <c r="Z4719" s="1"/>
      <c r="AA4719" s="1"/>
      <c r="AB4719" s="1"/>
      <c r="AC4719" s="1"/>
      <c r="AD4719" s="1"/>
      <c r="AE4719" s="1"/>
      <c r="AF4719" s="1"/>
      <c r="AG4719" s="1"/>
      <c r="AH4719" s="1"/>
    </row>
    <row r="4720" ht="12.75" hidden="1" customHeight="1" outlineLevel="1">
      <c r="A4720" s="17">
        <v>41844.0</v>
      </c>
      <c r="B4720" s="1"/>
      <c r="C4720" s="1" t="s">
        <v>429</v>
      </c>
      <c r="D4720" s="74"/>
      <c r="E4720" s="67"/>
      <c r="F4720" s="75"/>
      <c r="G4720" s="67"/>
      <c r="H4720" s="68"/>
      <c r="I4720" s="76"/>
      <c r="J4720" s="67"/>
      <c r="K4720" s="7" t="s">
        <v>1942</v>
      </c>
      <c r="L4720" s="77"/>
      <c r="M4720" s="79"/>
      <c r="N4720" s="1"/>
      <c r="O4720" s="1"/>
      <c r="P4720" s="1"/>
      <c r="Q4720" s="1"/>
      <c r="R4720" s="1"/>
      <c r="S4720" s="1"/>
      <c r="T4720" s="1"/>
      <c r="U4720" s="1"/>
      <c r="V4720" s="1"/>
      <c r="W4720" s="1"/>
      <c r="X4720" s="1"/>
      <c r="Y4720" s="1"/>
      <c r="Z4720" s="1"/>
      <c r="AA4720" s="1"/>
      <c r="AB4720" s="1"/>
      <c r="AC4720" s="1"/>
      <c r="AD4720" s="1"/>
      <c r="AE4720" s="1"/>
      <c r="AF4720" s="1"/>
      <c r="AG4720" s="1"/>
      <c r="AH4720" s="1"/>
    </row>
    <row r="4721" ht="12.75" hidden="1" customHeight="1" outlineLevel="1">
      <c r="A4721" s="17">
        <v>41844.0</v>
      </c>
      <c r="B4721" s="1"/>
      <c r="C4721" s="1" t="s">
        <v>431</v>
      </c>
      <c r="D4721" s="74"/>
      <c r="E4721" s="67"/>
      <c r="F4721" s="75"/>
      <c r="G4721" s="67"/>
      <c r="H4721" s="68"/>
      <c r="I4721" s="76"/>
      <c r="J4721" s="67"/>
      <c r="K4721" s="7" t="s">
        <v>1126</v>
      </c>
      <c r="L4721" s="77"/>
      <c r="M4721" s="79"/>
      <c r="N4721" s="1"/>
      <c r="O4721" s="1"/>
      <c r="P4721" s="1"/>
      <c r="Q4721" s="1"/>
      <c r="R4721" s="1"/>
      <c r="S4721" s="1"/>
      <c r="T4721" s="1"/>
      <c r="U4721" s="1"/>
      <c r="V4721" s="1"/>
      <c r="W4721" s="1"/>
      <c r="X4721" s="1"/>
      <c r="Y4721" s="1"/>
      <c r="Z4721" s="1"/>
      <c r="AA4721" s="1"/>
      <c r="AB4721" s="1"/>
      <c r="AC4721" s="1"/>
      <c r="AD4721" s="1"/>
      <c r="AE4721" s="1"/>
      <c r="AF4721" s="1"/>
      <c r="AG4721" s="1"/>
      <c r="AH4721" s="1"/>
    </row>
    <row r="4722" ht="12.75" hidden="1" customHeight="1" outlineLevel="1">
      <c r="A4722" s="17">
        <v>41844.0</v>
      </c>
      <c r="B4722" s="1"/>
      <c r="C4722" s="1" t="s">
        <v>433</v>
      </c>
      <c r="D4722" s="74"/>
      <c r="E4722" s="67"/>
      <c r="F4722" s="75"/>
      <c r="G4722" s="67"/>
      <c r="H4722" s="68"/>
      <c r="I4722" s="76"/>
      <c r="J4722" s="67"/>
      <c r="K4722" s="7" t="s">
        <v>1103</v>
      </c>
      <c r="L4722" s="77"/>
      <c r="M4722" s="79"/>
      <c r="N4722" s="1"/>
      <c r="O4722" s="1"/>
      <c r="P4722" s="1"/>
      <c r="Q4722" s="1"/>
      <c r="R4722" s="1"/>
      <c r="S4722" s="1"/>
      <c r="T4722" s="1"/>
      <c r="U4722" s="1"/>
      <c r="V4722" s="1"/>
      <c r="W4722" s="1"/>
      <c r="X4722" s="1"/>
      <c r="Y4722" s="1"/>
      <c r="Z4722" s="1"/>
      <c r="AA4722" s="1"/>
      <c r="AB4722" s="1"/>
      <c r="AC4722" s="1"/>
      <c r="AD4722" s="1"/>
      <c r="AE4722" s="1"/>
      <c r="AF4722" s="1"/>
      <c r="AG4722" s="1"/>
      <c r="AH4722" s="1"/>
    </row>
    <row r="4723" ht="12.75" hidden="1" customHeight="1" outlineLevel="1">
      <c r="A4723" s="17">
        <v>41844.0</v>
      </c>
      <c r="B4723" s="1"/>
      <c r="C4723" s="1" t="s">
        <v>435</v>
      </c>
      <c r="D4723" s="74"/>
      <c r="E4723" s="67"/>
      <c r="F4723" s="75"/>
      <c r="G4723" s="67"/>
      <c r="H4723" s="68"/>
      <c r="I4723" s="76"/>
      <c r="J4723" s="67"/>
      <c r="K4723" s="7" t="s">
        <v>1507</v>
      </c>
      <c r="L4723" s="77"/>
      <c r="M4723" s="79"/>
      <c r="N4723" s="1"/>
      <c r="O4723" s="1"/>
      <c r="P4723" s="1"/>
      <c r="Q4723" s="1"/>
      <c r="R4723" s="1"/>
      <c r="S4723" s="1"/>
      <c r="T4723" s="1"/>
      <c r="U4723" s="1"/>
      <c r="V4723" s="1"/>
      <c r="W4723" s="1"/>
      <c r="X4723" s="1"/>
      <c r="Y4723" s="1"/>
      <c r="Z4723" s="1"/>
      <c r="AA4723" s="1"/>
      <c r="AB4723" s="1"/>
      <c r="AC4723" s="1"/>
      <c r="AD4723" s="1"/>
      <c r="AE4723" s="1"/>
      <c r="AF4723" s="1"/>
      <c r="AG4723" s="1"/>
      <c r="AH4723" s="1"/>
    </row>
    <row r="4724" ht="12.75" hidden="1" customHeight="1" outlineLevel="1">
      <c r="A4724" s="17">
        <v>41845.0</v>
      </c>
      <c r="B4724" s="1" t="s">
        <v>343</v>
      </c>
      <c r="C4724" s="1" t="s">
        <v>1162</v>
      </c>
      <c r="D4724" s="74">
        <v>250.0</v>
      </c>
      <c r="E4724" s="67">
        <v>124.615</v>
      </c>
      <c r="F4724" s="75">
        <v>0.4425115740740741</v>
      </c>
      <c r="G4724" s="67" t="s">
        <v>453</v>
      </c>
      <c r="H4724" s="68">
        <v>1.0</v>
      </c>
      <c r="I4724" s="76"/>
      <c r="J4724" s="67">
        <f>IF(B4724="SLD",D4724*E4724,-D4724*E4724)-H4724</f>
        <v>-31154.75</v>
      </c>
      <c r="K4724" s="7"/>
      <c r="L4724" s="70"/>
      <c r="M4724" s="79"/>
      <c r="N4724" s="1"/>
      <c r="O4724" s="1"/>
      <c r="P4724" s="1"/>
      <c r="Q4724" s="1"/>
      <c r="R4724" s="1"/>
      <c r="S4724" s="1"/>
      <c r="T4724" s="1"/>
      <c r="U4724" s="1"/>
      <c r="V4724" s="1"/>
      <c r="W4724" s="1"/>
      <c r="X4724" s="1"/>
      <c r="Y4724" s="1"/>
      <c r="Z4724" s="1"/>
      <c r="AA4724" s="1"/>
      <c r="AB4724" s="1"/>
      <c r="AC4724" s="1"/>
      <c r="AD4724" s="1"/>
      <c r="AE4724" s="1"/>
      <c r="AF4724" s="1"/>
      <c r="AG4724" s="1"/>
      <c r="AH4724" s="1"/>
    </row>
    <row r="4725" ht="12.75" hidden="1" customHeight="1" outlineLevel="1">
      <c r="A4725" s="17">
        <v>41845.0</v>
      </c>
      <c r="B4725" s="1"/>
      <c r="C4725" s="1" t="s">
        <v>339</v>
      </c>
      <c r="D4725" s="74"/>
      <c r="E4725" s="67"/>
      <c r="F4725" s="75"/>
      <c r="G4725" s="67"/>
      <c r="H4725" s="68"/>
      <c r="I4725" s="76"/>
      <c r="J4725" s="67"/>
      <c r="K4725" s="7" t="s">
        <v>1986</v>
      </c>
      <c r="L4725" s="77"/>
      <c r="M4725" s="79"/>
      <c r="N4725" s="1"/>
      <c r="O4725" s="1"/>
      <c r="P4725" s="1"/>
      <c r="Q4725" s="1"/>
      <c r="R4725" s="1"/>
      <c r="S4725" s="1"/>
      <c r="T4725" s="1"/>
      <c r="U4725" s="1"/>
      <c r="V4725" s="1"/>
      <c r="W4725" s="1"/>
      <c r="X4725" s="1"/>
      <c r="Y4725" s="1"/>
      <c r="Z4725" s="1"/>
      <c r="AA4725" s="1"/>
      <c r="AB4725" s="1"/>
      <c r="AC4725" s="1"/>
      <c r="AD4725" s="1"/>
      <c r="AE4725" s="1"/>
      <c r="AF4725" s="1"/>
      <c r="AG4725" s="1"/>
      <c r="AH4725" s="1"/>
    </row>
    <row r="4726" ht="12.75" hidden="1" customHeight="1" outlineLevel="1">
      <c r="A4726" s="17">
        <v>41845.0</v>
      </c>
      <c r="B4726" s="1"/>
      <c r="C4726" s="1" t="s">
        <v>429</v>
      </c>
      <c r="D4726" s="74"/>
      <c r="E4726" s="67"/>
      <c r="F4726" s="75"/>
      <c r="G4726" s="67"/>
      <c r="H4726" s="68"/>
      <c r="I4726" s="76"/>
      <c r="J4726" s="67"/>
      <c r="K4726" s="7" t="s">
        <v>1942</v>
      </c>
      <c r="L4726" s="77"/>
      <c r="M4726" s="79"/>
      <c r="N4726" s="1"/>
      <c r="O4726" s="1"/>
      <c r="P4726" s="1"/>
      <c r="Q4726" s="1"/>
      <c r="R4726" s="1"/>
      <c r="S4726" s="1"/>
      <c r="T4726" s="1"/>
      <c r="U4726" s="1"/>
      <c r="V4726" s="1"/>
      <c r="W4726" s="1"/>
      <c r="X4726" s="1"/>
      <c r="Y4726" s="1"/>
      <c r="Z4726" s="1"/>
      <c r="AA4726" s="1"/>
      <c r="AB4726" s="1"/>
      <c r="AC4726" s="1"/>
      <c r="AD4726" s="1"/>
      <c r="AE4726" s="1"/>
      <c r="AF4726" s="1"/>
      <c r="AG4726" s="1"/>
      <c r="AH4726" s="1"/>
    </row>
    <row r="4727" ht="12.75" hidden="1" customHeight="1" outlineLevel="1">
      <c r="A4727" s="17">
        <v>41845.0</v>
      </c>
      <c r="B4727" s="1"/>
      <c r="C4727" s="1" t="s">
        <v>431</v>
      </c>
      <c r="D4727" s="74"/>
      <c r="E4727" s="67"/>
      <c r="F4727" s="75"/>
      <c r="G4727" s="67"/>
      <c r="H4727" s="68"/>
      <c r="I4727" s="76"/>
      <c r="J4727" s="67"/>
      <c r="K4727" s="7" t="s">
        <v>1126</v>
      </c>
      <c r="L4727" s="77"/>
      <c r="M4727" s="79"/>
      <c r="N4727" s="1"/>
      <c r="O4727" s="1"/>
      <c r="P4727" s="1"/>
      <c r="Q4727" s="1"/>
      <c r="R4727" s="1"/>
      <c r="S4727" s="1"/>
      <c r="T4727" s="1"/>
      <c r="U4727" s="1"/>
      <c r="V4727" s="1"/>
      <c r="W4727" s="1"/>
      <c r="X4727" s="1"/>
      <c r="Y4727" s="1"/>
      <c r="Z4727" s="1"/>
      <c r="AA4727" s="1"/>
      <c r="AB4727" s="1"/>
      <c r="AC4727" s="1"/>
      <c r="AD4727" s="1"/>
      <c r="AE4727" s="1"/>
      <c r="AF4727" s="1"/>
      <c r="AG4727" s="1"/>
      <c r="AH4727" s="1"/>
    </row>
    <row r="4728" ht="12.75" hidden="1" customHeight="1" outlineLevel="1">
      <c r="A4728" s="17">
        <v>41845.0</v>
      </c>
      <c r="B4728" s="1"/>
      <c r="C4728" s="1" t="s">
        <v>433</v>
      </c>
      <c r="D4728" s="74"/>
      <c r="E4728" s="67"/>
      <c r="F4728" s="75"/>
      <c r="G4728" s="67"/>
      <c r="H4728" s="68"/>
      <c r="I4728" s="76"/>
      <c r="J4728" s="67"/>
      <c r="K4728" s="7" t="s">
        <v>1103</v>
      </c>
      <c r="L4728" s="77"/>
      <c r="M4728" s="79"/>
      <c r="N4728" s="1"/>
      <c r="O4728" s="1"/>
      <c r="P4728" s="1"/>
      <c r="Q4728" s="1"/>
      <c r="R4728" s="1"/>
      <c r="S4728" s="1"/>
      <c r="T4728" s="1"/>
      <c r="U4728" s="1"/>
      <c r="V4728" s="1"/>
      <c r="W4728" s="1"/>
      <c r="X4728" s="1"/>
      <c r="Y4728" s="1"/>
      <c r="Z4728" s="1"/>
      <c r="AA4728" s="1"/>
      <c r="AB4728" s="1"/>
      <c r="AC4728" s="1"/>
      <c r="AD4728" s="1"/>
      <c r="AE4728" s="1"/>
      <c r="AF4728" s="1"/>
      <c r="AG4728" s="1"/>
      <c r="AH4728" s="1"/>
    </row>
    <row r="4729" ht="12.75" hidden="1" customHeight="1" outlineLevel="1">
      <c r="A4729" s="17">
        <v>41845.0</v>
      </c>
      <c r="B4729" s="1"/>
      <c r="C4729" s="1" t="s">
        <v>435</v>
      </c>
      <c r="D4729" s="74"/>
      <c r="E4729" s="67"/>
      <c r="F4729" s="75"/>
      <c r="G4729" s="67"/>
      <c r="H4729" s="68"/>
      <c r="I4729" s="76"/>
      <c r="J4729" s="67"/>
      <c r="K4729" s="7" t="s">
        <v>1507</v>
      </c>
      <c r="L4729" s="77"/>
      <c r="M4729" s="79"/>
      <c r="N4729" s="1"/>
      <c r="O4729" s="1"/>
      <c r="P4729" s="1"/>
      <c r="Q4729" s="1"/>
      <c r="R4729" s="1"/>
      <c r="S4729" s="1"/>
      <c r="T4729" s="1"/>
      <c r="U4729" s="1"/>
      <c r="V4729" s="1"/>
      <c r="W4729" s="1"/>
      <c r="X4729" s="1"/>
      <c r="Y4729" s="1"/>
      <c r="Z4729" s="1"/>
      <c r="AA4729" s="1"/>
      <c r="AB4729" s="1"/>
      <c r="AC4729" s="1"/>
      <c r="AD4729" s="1"/>
      <c r="AE4729" s="1"/>
      <c r="AF4729" s="1"/>
      <c r="AG4729" s="1"/>
      <c r="AH4729" s="1"/>
    </row>
    <row r="4730" ht="12.75" hidden="1" customHeight="1" outlineLevel="1">
      <c r="A4730" s="17">
        <v>41848.0</v>
      </c>
      <c r="B4730" s="1" t="s">
        <v>343</v>
      </c>
      <c r="C4730" s="1" t="s">
        <v>784</v>
      </c>
      <c r="D4730" s="74">
        <v>2000.0</v>
      </c>
      <c r="E4730" s="67">
        <v>14.69</v>
      </c>
      <c r="F4730" s="75">
        <v>0.4013541666666667</v>
      </c>
      <c r="G4730" s="67" t="s">
        <v>453</v>
      </c>
      <c r="H4730" s="68">
        <v>10.0</v>
      </c>
      <c r="I4730" s="76"/>
      <c r="J4730" s="67">
        <f t="shared" ref="J4730:J4741" si="297">IF(B4730="SLD",D4730*E4730,-D4730*E4730)-H4730</f>
        <v>-29390</v>
      </c>
      <c r="K4730" s="7"/>
      <c r="L4730" s="70"/>
      <c r="M4730" s="79"/>
      <c r="N4730" s="1"/>
      <c r="O4730" s="1"/>
      <c r="P4730" s="1"/>
      <c r="Q4730" s="1"/>
      <c r="R4730" s="1"/>
      <c r="S4730" s="1"/>
      <c r="T4730" s="1"/>
      <c r="U4730" s="1"/>
      <c r="V4730" s="1"/>
      <c r="W4730" s="1"/>
      <c r="X4730" s="1"/>
      <c r="Y4730" s="1"/>
      <c r="Z4730" s="1"/>
      <c r="AA4730" s="1"/>
      <c r="AB4730" s="1"/>
      <c r="AC4730" s="1"/>
      <c r="AD4730" s="1"/>
      <c r="AE4730" s="1"/>
      <c r="AF4730" s="1"/>
      <c r="AG4730" s="1"/>
      <c r="AH4730" s="1"/>
    </row>
    <row r="4731" ht="12.75" hidden="1" customHeight="1" outlineLevel="1">
      <c r="A4731" s="17">
        <v>41848.0</v>
      </c>
      <c r="B4731" s="1" t="s">
        <v>343</v>
      </c>
      <c r="C4731" s="1" t="s">
        <v>355</v>
      </c>
      <c r="D4731" s="74">
        <v>3500.0</v>
      </c>
      <c r="E4731" s="67">
        <v>5.96</v>
      </c>
      <c r="F4731" s="75">
        <v>0.40168981481481486</v>
      </c>
      <c r="G4731" s="67" t="s">
        <v>453</v>
      </c>
      <c r="H4731" s="68">
        <v>17.5</v>
      </c>
      <c r="I4731" s="76"/>
      <c r="J4731" s="67">
        <f t="shared" si="297"/>
        <v>-20877.5</v>
      </c>
      <c r="K4731" s="7"/>
      <c r="L4731" s="70"/>
      <c r="M4731" s="79"/>
      <c r="N4731" s="1"/>
      <c r="O4731" s="1"/>
      <c r="P4731" s="1"/>
      <c r="Q4731" s="1"/>
      <c r="R4731" s="1"/>
      <c r="S4731" s="1"/>
      <c r="T4731" s="1"/>
      <c r="U4731" s="1"/>
      <c r="V4731" s="1"/>
      <c r="W4731" s="1"/>
      <c r="X4731" s="1"/>
      <c r="Y4731" s="1"/>
      <c r="Z4731" s="1"/>
      <c r="AA4731" s="1"/>
      <c r="AB4731" s="1"/>
      <c r="AC4731" s="1"/>
      <c r="AD4731" s="1"/>
      <c r="AE4731" s="1"/>
      <c r="AF4731" s="1"/>
      <c r="AG4731" s="1"/>
      <c r="AH4731" s="1"/>
    </row>
    <row r="4732" ht="12.75" hidden="1" customHeight="1" outlineLevel="1">
      <c r="A4732" s="17">
        <v>41848.0</v>
      </c>
      <c r="B4732" s="1" t="s">
        <v>343</v>
      </c>
      <c r="C4732" s="1" t="s">
        <v>369</v>
      </c>
      <c r="D4732" s="74">
        <v>1500.0</v>
      </c>
      <c r="E4732" s="67">
        <v>16.66</v>
      </c>
      <c r="F4732" s="75">
        <v>0.40221064814814816</v>
      </c>
      <c r="G4732" s="67" t="s">
        <v>453</v>
      </c>
      <c r="H4732" s="68">
        <v>7.5</v>
      </c>
      <c r="I4732" s="76"/>
      <c r="J4732" s="67">
        <f t="shared" si="297"/>
        <v>-24997.5</v>
      </c>
      <c r="K4732" s="7"/>
      <c r="L4732" s="70"/>
      <c r="M4732" s="79"/>
      <c r="N4732" s="1"/>
      <c r="O4732" s="1"/>
      <c r="P4732" s="1"/>
      <c r="Q4732" s="1"/>
      <c r="R4732" s="1"/>
      <c r="S4732" s="1"/>
      <c r="T4732" s="1"/>
      <c r="U4732" s="1"/>
      <c r="V4732" s="1"/>
      <c r="W4732" s="1"/>
      <c r="X4732" s="1"/>
      <c r="Y4732" s="1"/>
      <c r="Z4732" s="1"/>
      <c r="AA4732" s="1"/>
      <c r="AB4732" s="1"/>
      <c r="AC4732" s="1"/>
      <c r="AD4732" s="1"/>
      <c r="AE4732" s="1"/>
      <c r="AF4732" s="1"/>
      <c r="AG4732" s="1"/>
      <c r="AH4732" s="1"/>
    </row>
    <row r="4733" ht="12.75" hidden="1" customHeight="1" outlineLevel="1">
      <c r="A4733" s="17">
        <v>41848.0</v>
      </c>
      <c r="B4733" s="1" t="s">
        <v>347</v>
      </c>
      <c r="C4733" s="1" t="s">
        <v>779</v>
      </c>
      <c r="D4733" s="74">
        <v>100.0</v>
      </c>
      <c r="E4733" s="67">
        <v>252.38</v>
      </c>
      <c r="F4733" s="75">
        <v>0.4187384259259259</v>
      </c>
      <c r="G4733" s="67" t="s">
        <v>453</v>
      </c>
      <c r="H4733" s="68">
        <v>1.56</v>
      </c>
      <c r="I4733" s="76"/>
      <c r="J4733" s="67">
        <f t="shared" si="297"/>
        <v>25236.44</v>
      </c>
      <c r="K4733" s="7"/>
      <c r="L4733" s="70"/>
      <c r="M4733" s="79"/>
      <c r="N4733" s="1"/>
      <c r="O4733" s="1"/>
      <c r="P4733" s="1"/>
      <c r="Q4733" s="1"/>
      <c r="R4733" s="1"/>
      <c r="S4733" s="1"/>
      <c r="T4733" s="1"/>
      <c r="U4733" s="1"/>
      <c r="V4733" s="1"/>
      <c r="W4733" s="1"/>
      <c r="X4733" s="1"/>
      <c r="Y4733" s="1"/>
      <c r="Z4733" s="1"/>
      <c r="AA4733" s="1"/>
      <c r="AB4733" s="1"/>
      <c r="AC4733" s="1"/>
      <c r="AD4733" s="1"/>
      <c r="AE4733" s="1"/>
      <c r="AF4733" s="1"/>
      <c r="AG4733" s="1"/>
      <c r="AH4733" s="1"/>
    </row>
    <row r="4734" ht="12.75" hidden="1" customHeight="1" outlineLevel="1">
      <c r="A4734" s="17">
        <v>41848.0</v>
      </c>
      <c r="B4734" s="1" t="s">
        <v>347</v>
      </c>
      <c r="C4734" s="1" t="s">
        <v>344</v>
      </c>
      <c r="D4734" s="74">
        <v>600.0</v>
      </c>
      <c r="E4734" s="67">
        <v>53.711</v>
      </c>
      <c r="F4734" s="75">
        <v>0.42299768518518516</v>
      </c>
      <c r="G4734" s="67" t="s">
        <v>453</v>
      </c>
      <c r="H4734" s="68">
        <v>3.11</v>
      </c>
      <c r="I4734" s="76"/>
      <c r="J4734" s="67">
        <f t="shared" si="297"/>
        <v>32223.49</v>
      </c>
      <c r="K4734" s="7"/>
      <c r="L4734" s="70"/>
      <c r="M4734" s="79"/>
      <c r="N4734" s="1"/>
      <c r="O4734" s="1"/>
      <c r="P4734" s="1"/>
      <c r="Q4734" s="1"/>
      <c r="R4734" s="1"/>
      <c r="S4734" s="1"/>
      <c r="T4734" s="1"/>
      <c r="U4734" s="1"/>
      <c r="V4734" s="1"/>
      <c r="W4734" s="1"/>
      <c r="X4734" s="1"/>
      <c r="Y4734" s="1"/>
      <c r="Z4734" s="1"/>
      <c r="AA4734" s="1"/>
      <c r="AB4734" s="1"/>
      <c r="AC4734" s="1"/>
      <c r="AD4734" s="1"/>
      <c r="AE4734" s="1"/>
      <c r="AF4734" s="1"/>
      <c r="AG4734" s="1"/>
      <c r="AH4734" s="1"/>
    </row>
    <row r="4735" ht="12.75" hidden="1" customHeight="1" outlineLevel="1">
      <c r="A4735" s="17">
        <v>41848.0</v>
      </c>
      <c r="B4735" s="1" t="s">
        <v>347</v>
      </c>
      <c r="C4735" s="1" t="s">
        <v>1006</v>
      </c>
      <c r="D4735" s="74">
        <v>168.0</v>
      </c>
      <c r="E4735" s="67">
        <v>48.441</v>
      </c>
      <c r="F4735" s="75">
        <v>0.4310416666666667</v>
      </c>
      <c r="G4735" s="67" t="s">
        <v>453</v>
      </c>
      <c r="H4735" s="68">
        <v>1.18</v>
      </c>
      <c r="I4735" s="76"/>
      <c r="J4735" s="67">
        <f t="shared" si="297"/>
        <v>8136.908</v>
      </c>
      <c r="K4735" s="7"/>
      <c r="L4735" s="70"/>
      <c r="M4735" s="79"/>
      <c r="N4735" s="1"/>
      <c r="O4735" s="1"/>
      <c r="P4735" s="1"/>
      <c r="Q4735" s="1"/>
      <c r="R4735" s="1"/>
      <c r="S4735" s="1"/>
      <c r="T4735" s="1"/>
      <c r="U4735" s="1"/>
      <c r="V4735" s="1"/>
      <c r="W4735" s="1"/>
      <c r="X4735" s="1"/>
      <c r="Y4735" s="1"/>
      <c r="Z4735" s="1"/>
      <c r="AA4735" s="1"/>
      <c r="AB4735" s="1"/>
      <c r="AC4735" s="1"/>
      <c r="AD4735" s="1"/>
      <c r="AE4735" s="1"/>
      <c r="AF4735" s="1"/>
      <c r="AG4735" s="1"/>
      <c r="AH4735" s="1"/>
    </row>
    <row r="4736" ht="12.75" hidden="1" customHeight="1" outlineLevel="1">
      <c r="A4736" s="17">
        <v>41848.0</v>
      </c>
      <c r="B4736" s="1" t="s">
        <v>347</v>
      </c>
      <c r="C4736" s="1" t="s">
        <v>1006</v>
      </c>
      <c r="D4736" s="74">
        <v>432.0</v>
      </c>
      <c r="E4736" s="67">
        <v>48.144</v>
      </c>
      <c r="F4736" s="75">
        <v>0.44773148148148145</v>
      </c>
      <c r="G4736" s="67" t="s">
        <v>453</v>
      </c>
      <c r="H4736" s="68">
        <v>2.52</v>
      </c>
      <c r="I4736" s="76"/>
      <c r="J4736" s="67">
        <f t="shared" si="297"/>
        <v>20795.688</v>
      </c>
      <c r="K4736" s="7"/>
      <c r="L4736" s="70"/>
      <c r="M4736" s="79"/>
      <c r="N4736" s="1"/>
      <c r="O4736" s="1"/>
      <c r="P4736" s="1"/>
      <c r="Q4736" s="1"/>
      <c r="R4736" s="1"/>
      <c r="S4736" s="1"/>
      <c r="T4736" s="1"/>
      <c r="U4736" s="1"/>
      <c r="V4736" s="1"/>
      <c r="W4736" s="1"/>
      <c r="X4736" s="1"/>
      <c r="Y4736" s="1"/>
      <c r="Z4736" s="1"/>
      <c r="AA4736" s="1"/>
      <c r="AB4736" s="1"/>
      <c r="AC4736" s="1"/>
      <c r="AD4736" s="1"/>
      <c r="AE4736" s="1"/>
      <c r="AF4736" s="1"/>
      <c r="AG4736" s="1"/>
      <c r="AH4736" s="1"/>
    </row>
    <row r="4737" ht="12.75" hidden="1" customHeight="1" outlineLevel="1">
      <c r="A4737" s="17">
        <v>41848.0</v>
      </c>
      <c r="B4737" s="1" t="s">
        <v>347</v>
      </c>
      <c r="C4737" s="1" t="s">
        <v>369</v>
      </c>
      <c r="D4737" s="74">
        <v>10000.0</v>
      </c>
      <c r="E4737" s="67">
        <v>1.3</v>
      </c>
      <c r="F4737" s="75">
        <v>0.48915509259259254</v>
      </c>
      <c r="G4737" s="67" t="s">
        <v>453</v>
      </c>
      <c r="H4737" s="68">
        <v>74.01</v>
      </c>
      <c r="I4737" s="76"/>
      <c r="J4737" s="67">
        <f t="shared" si="297"/>
        <v>12925.99</v>
      </c>
      <c r="K4737" s="7"/>
      <c r="L4737" s="70"/>
      <c r="M4737" s="79"/>
      <c r="N4737" s="1"/>
      <c r="O4737" s="1"/>
      <c r="P4737" s="1"/>
      <c r="Q4737" s="1"/>
      <c r="R4737" s="1"/>
      <c r="S4737" s="1"/>
      <c r="T4737" s="1"/>
      <c r="U4737" s="1"/>
      <c r="V4737" s="1"/>
      <c r="W4737" s="1"/>
      <c r="X4737" s="1"/>
      <c r="Y4737" s="1"/>
      <c r="Z4737" s="1"/>
      <c r="AA4737" s="1"/>
      <c r="AB4737" s="1"/>
      <c r="AC4737" s="1"/>
      <c r="AD4737" s="1"/>
      <c r="AE4737" s="1"/>
      <c r="AF4737" s="1"/>
      <c r="AG4737" s="1"/>
      <c r="AH4737" s="1"/>
    </row>
    <row r="4738" ht="12.75" hidden="1" customHeight="1" outlineLevel="1">
      <c r="A4738" s="17">
        <v>41848.0</v>
      </c>
      <c r="B4738" s="1" t="s">
        <v>347</v>
      </c>
      <c r="C4738" s="1" t="s">
        <v>784</v>
      </c>
      <c r="D4738" s="74">
        <v>10000.0</v>
      </c>
      <c r="E4738" s="67">
        <v>0.41</v>
      </c>
      <c r="F4738" s="75">
        <v>0.48973379629629626</v>
      </c>
      <c r="G4738" s="67" t="s">
        <v>453</v>
      </c>
      <c r="H4738" s="68">
        <v>80.05</v>
      </c>
      <c r="I4738" s="76"/>
      <c r="J4738" s="67">
        <f t="shared" si="297"/>
        <v>4019.95</v>
      </c>
      <c r="K4738" s="7"/>
      <c r="L4738" s="70"/>
      <c r="M4738" s="79"/>
      <c r="N4738" s="1"/>
      <c r="O4738" s="1"/>
      <c r="P4738" s="1"/>
      <c r="Q4738" s="1"/>
      <c r="R4738" s="1"/>
      <c r="S4738" s="1"/>
      <c r="T4738" s="1"/>
      <c r="U4738" s="1"/>
      <c r="V4738" s="1"/>
      <c r="W4738" s="1"/>
      <c r="X4738" s="1"/>
      <c r="Y4738" s="1"/>
      <c r="Z4738" s="1"/>
      <c r="AA4738" s="1"/>
      <c r="AB4738" s="1"/>
      <c r="AC4738" s="1"/>
      <c r="AD4738" s="1"/>
      <c r="AE4738" s="1"/>
      <c r="AF4738" s="1"/>
      <c r="AG4738" s="1"/>
      <c r="AH4738" s="1"/>
    </row>
    <row r="4739" ht="12.75" hidden="1" customHeight="1" outlineLevel="1">
      <c r="A4739" s="17">
        <v>41848.0</v>
      </c>
      <c r="B4739" s="1" t="s">
        <v>347</v>
      </c>
      <c r="C4739" s="1" t="s">
        <v>1164</v>
      </c>
      <c r="D4739" s="74">
        <v>1100.0</v>
      </c>
      <c r="E4739" s="67">
        <v>29.13</v>
      </c>
      <c r="F4739" s="75">
        <v>0.5054398148148148</v>
      </c>
      <c r="G4739" s="67" t="s">
        <v>453</v>
      </c>
      <c r="H4739" s="68">
        <v>5.61</v>
      </c>
      <c r="I4739" s="76"/>
      <c r="J4739" s="67">
        <f t="shared" si="297"/>
        <v>32037.39</v>
      </c>
      <c r="K4739" s="7"/>
      <c r="L4739" s="70"/>
      <c r="M4739" s="79"/>
      <c r="N4739" s="1"/>
      <c r="O4739" s="1"/>
      <c r="P4739" s="1"/>
      <c r="Q4739" s="1"/>
      <c r="R4739" s="1"/>
      <c r="S4739" s="1"/>
      <c r="T4739" s="1"/>
      <c r="U4739" s="1"/>
      <c r="V4739" s="1"/>
      <c r="W4739" s="1"/>
      <c r="X4739" s="1"/>
      <c r="Y4739" s="1"/>
      <c r="Z4739" s="1"/>
      <c r="AA4739" s="1"/>
      <c r="AB4739" s="1"/>
      <c r="AC4739" s="1"/>
      <c r="AD4739" s="1"/>
      <c r="AE4739" s="1"/>
      <c r="AF4739" s="1"/>
      <c r="AG4739" s="1"/>
      <c r="AH4739" s="1"/>
    </row>
    <row r="4740" ht="12.75" hidden="1" customHeight="1" outlineLevel="1">
      <c r="A4740" s="17">
        <v>41848.0</v>
      </c>
      <c r="B4740" s="1" t="s">
        <v>347</v>
      </c>
      <c r="C4740" s="1" t="s">
        <v>1082</v>
      </c>
      <c r="D4740" s="74">
        <v>15.0</v>
      </c>
      <c r="E4740" s="67">
        <v>514.86</v>
      </c>
      <c r="F4740" s="75">
        <v>0.5123263888888888</v>
      </c>
      <c r="G4740" s="67" t="s">
        <v>453</v>
      </c>
      <c r="H4740" s="68">
        <v>1.17</v>
      </c>
      <c r="I4740" s="76"/>
      <c r="J4740" s="67">
        <f t="shared" si="297"/>
        <v>7721.73</v>
      </c>
      <c r="K4740" s="7"/>
      <c r="L4740" s="70"/>
      <c r="M4740" s="79"/>
      <c r="N4740" s="1"/>
      <c r="O4740" s="1"/>
      <c r="P4740" s="1"/>
      <c r="Q4740" s="1"/>
      <c r="R4740" s="1"/>
      <c r="S4740" s="1"/>
      <c r="T4740" s="1"/>
      <c r="U4740" s="1"/>
      <c r="V4740" s="1"/>
      <c r="W4740" s="1"/>
      <c r="X4740" s="1"/>
      <c r="Y4740" s="1"/>
      <c r="Z4740" s="1"/>
      <c r="AA4740" s="1"/>
      <c r="AB4740" s="1"/>
      <c r="AC4740" s="1"/>
      <c r="AD4740" s="1"/>
      <c r="AE4740" s="1"/>
      <c r="AF4740" s="1"/>
      <c r="AG4740" s="1"/>
      <c r="AH4740" s="1"/>
    </row>
    <row r="4741" ht="12.75" hidden="1" customHeight="1" outlineLevel="1">
      <c r="A4741" s="17">
        <v>41848.0</v>
      </c>
      <c r="B4741" s="1" t="s">
        <v>347</v>
      </c>
      <c r="C4741" s="1" t="s">
        <v>1049</v>
      </c>
      <c r="D4741" s="74">
        <v>10.0</v>
      </c>
      <c r="E4741" s="67">
        <v>647.4869</v>
      </c>
      <c r="F4741" s="75">
        <v>0.5127662037037037</v>
      </c>
      <c r="G4741" s="67" t="s">
        <v>453</v>
      </c>
      <c r="H4741" s="68">
        <v>1.14</v>
      </c>
      <c r="I4741" s="76"/>
      <c r="J4741" s="67">
        <f t="shared" si="297"/>
        <v>6473.729</v>
      </c>
      <c r="K4741" s="7"/>
      <c r="L4741" s="70"/>
      <c r="M4741" s="79"/>
      <c r="N4741" s="1"/>
      <c r="O4741" s="1"/>
      <c r="P4741" s="1"/>
      <c r="Q4741" s="1"/>
      <c r="R4741" s="1"/>
      <c r="S4741" s="1"/>
      <c r="T4741" s="1"/>
      <c r="U4741" s="1"/>
      <c r="V4741" s="1"/>
      <c r="W4741" s="1"/>
      <c r="X4741" s="1"/>
      <c r="Y4741" s="1"/>
      <c r="Z4741" s="1"/>
      <c r="AA4741" s="1"/>
      <c r="AB4741" s="1"/>
      <c r="AC4741" s="1"/>
      <c r="AD4741" s="1"/>
      <c r="AE4741" s="1"/>
      <c r="AF4741" s="1"/>
      <c r="AG4741" s="1"/>
      <c r="AH4741" s="1"/>
    </row>
    <row r="4742" ht="12.75" hidden="1" customHeight="1" outlineLevel="1">
      <c r="A4742" s="17">
        <v>41848.0</v>
      </c>
      <c r="B4742" s="1"/>
      <c r="C4742" s="1" t="s">
        <v>339</v>
      </c>
      <c r="D4742" s="74"/>
      <c r="E4742" s="67"/>
      <c r="F4742" s="75"/>
      <c r="G4742" s="67"/>
      <c r="H4742" s="68"/>
      <c r="I4742" s="76"/>
      <c r="J4742" s="67"/>
      <c r="K4742" s="7" t="s">
        <v>2007</v>
      </c>
      <c r="L4742" s="77"/>
      <c r="M4742" s="79"/>
      <c r="N4742" s="1"/>
      <c r="O4742" s="1"/>
      <c r="P4742" s="1"/>
      <c r="Q4742" s="1"/>
      <c r="R4742" s="1"/>
      <c r="S4742" s="1"/>
      <c r="T4742" s="1"/>
      <c r="U4742" s="1"/>
      <c r="V4742" s="1"/>
      <c r="W4742" s="1"/>
      <c r="X4742" s="1"/>
      <c r="Y4742" s="1"/>
      <c r="Z4742" s="1"/>
      <c r="AA4742" s="1"/>
      <c r="AB4742" s="1"/>
      <c r="AC4742" s="1"/>
      <c r="AD4742" s="1"/>
      <c r="AE4742" s="1"/>
      <c r="AF4742" s="1"/>
      <c r="AG4742" s="1"/>
      <c r="AH4742" s="1"/>
    </row>
    <row r="4743" ht="12.75" hidden="1" customHeight="1" outlineLevel="1">
      <c r="A4743" s="17">
        <v>41848.0</v>
      </c>
      <c r="B4743" s="1"/>
      <c r="C4743" s="1" t="s">
        <v>429</v>
      </c>
      <c r="D4743" s="74"/>
      <c r="E4743" s="67"/>
      <c r="F4743" s="75"/>
      <c r="G4743" s="67"/>
      <c r="H4743" s="68"/>
      <c r="I4743" s="76"/>
      <c r="J4743" s="67"/>
      <c r="K4743" s="7" t="s">
        <v>1942</v>
      </c>
      <c r="L4743" s="77"/>
      <c r="M4743" s="79"/>
      <c r="N4743" s="1"/>
      <c r="O4743" s="1"/>
      <c r="P4743" s="1"/>
      <c r="Q4743" s="1"/>
      <c r="R4743" s="1"/>
      <c r="S4743" s="1"/>
      <c r="T4743" s="1"/>
      <c r="U4743" s="1"/>
      <c r="V4743" s="1"/>
      <c r="W4743" s="1"/>
      <c r="X4743" s="1"/>
      <c r="Y4743" s="1"/>
      <c r="Z4743" s="1"/>
      <c r="AA4743" s="1"/>
      <c r="AB4743" s="1"/>
      <c r="AC4743" s="1"/>
      <c r="AD4743" s="1"/>
      <c r="AE4743" s="1"/>
      <c r="AF4743" s="1"/>
      <c r="AG4743" s="1"/>
      <c r="AH4743" s="1"/>
    </row>
    <row r="4744" ht="12.75" hidden="1" customHeight="1" outlineLevel="1">
      <c r="A4744" s="17">
        <v>41848.0</v>
      </c>
      <c r="B4744" s="1"/>
      <c r="C4744" s="1" t="s">
        <v>431</v>
      </c>
      <c r="D4744" s="74"/>
      <c r="E4744" s="67"/>
      <c r="F4744" s="75"/>
      <c r="G4744" s="67"/>
      <c r="H4744" s="68"/>
      <c r="I4744" s="76"/>
      <c r="J4744" s="67"/>
      <c r="K4744" s="7" t="s">
        <v>1126</v>
      </c>
      <c r="L4744" s="77"/>
      <c r="M4744" s="79"/>
      <c r="N4744" s="1"/>
      <c r="O4744" s="1"/>
      <c r="P4744" s="1"/>
      <c r="Q4744" s="1"/>
      <c r="R4744" s="1"/>
      <c r="S4744" s="1"/>
      <c r="T4744" s="1"/>
      <c r="U4744" s="1"/>
      <c r="V4744" s="1"/>
      <c r="W4744" s="1"/>
      <c r="X4744" s="1"/>
      <c r="Y4744" s="1"/>
      <c r="Z4744" s="1"/>
      <c r="AA4744" s="1"/>
      <c r="AB4744" s="1"/>
      <c r="AC4744" s="1"/>
      <c r="AD4744" s="1"/>
      <c r="AE4744" s="1"/>
      <c r="AF4744" s="1"/>
      <c r="AG4744" s="1"/>
      <c r="AH4744" s="1"/>
    </row>
    <row r="4745" ht="12.75" hidden="1" customHeight="1" outlineLevel="1">
      <c r="A4745" s="17">
        <v>41848.0</v>
      </c>
      <c r="B4745" s="1"/>
      <c r="C4745" s="1" t="s">
        <v>433</v>
      </c>
      <c r="D4745" s="74"/>
      <c r="E4745" s="67"/>
      <c r="F4745" s="75"/>
      <c r="G4745" s="67"/>
      <c r="H4745" s="68"/>
      <c r="I4745" s="76"/>
      <c r="J4745" s="67"/>
      <c r="K4745" s="7" t="s">
        <v>1103</v>
      </c>
      <c r="L4745" s="77"/>
      <c r="M4745" s="79"/>
      <c r="N4745" s="1"/>
      <c r="O4745" s="1"/>
      <c r="P4745" s="1"/>
      <c r="Q4745" s="1"/>
      <c r="R4745" s="1"/>
      <c r="S4745" s="1"/>
      <c r="T4745" s="1"/>
      <c r="U4745" s="1"/>
      <c r="V4745" s="1"/>
      <c r="W4745" s="1"/>
      <c r="X4745" s="1"/>
      <c r="Y4745" s="1"/>
      <c r="Z4745" s="1"/>
      <c r="AA4745" s="1"/>
      <c r="AB4745" s="1"/>
      <c r="AC4745" s="1"/>
      <c r="AD4745" s="1"/>
      <c r="AE4745" s="1"/>
      <c r="AF4745" s="1"/>
      <c r="AG4745" s="1"/>
      <c r="AH4745" s="1"/>
    </row>
    <row r="4746" ht="12.75" hidden="1" customHeight="1" outlineLevel="1">
      <c r="A4746" s="17">
        <v>41848.0</v>
      </c>
      <c r="B4746" s="1"/>
      <c r="C4746" s="1" t="s">
        <v>435</v>
      </c>
      <c r="D4746" s="74"/>
      <c r="E4746" s="67"/>
      <c r="F4746" s="75"/>
      <c r="G4746" s="67"/>
      <c r="H4746" s="68"/>
      <c r="I4746" s="76"/>
      <c r="J4746" s="67"/>
      <c r="K4746" s="7" t="s">
        <v>1507</v>
      </c>
      <c r="L4746" s="77"/>
      <c r="M4746" s="79"/>
      <c r="N4746" s="1"/>
      <c r="O4746" s="1"/>
      <c r="P4746" s="1"/>
      <c r="Q4746" s="1"/>
      <c r="R4746" s="1"/>
      <c r="S4746" s="1"/>
      <c r="T4746" s="1"/>
      <c r="U4746" s="1"/>
      <c r="V4746" s="1"/>
      <c r="W4746" s="1"/>
      <c r="X4746" s="1"/>
      <c r="Y4746" s="1"/>
      <c r="Z4746" s="1"/>
      <c r="AA4746" s="1"/>
      <c r="AB4746" s="1"/>
      <c r="AC4746" s="1"/>
      <c r="AD4746" s="1"/>
      <c r="AE4746" s="1"/>
      <c r="AF4746" s="1"/>
      <c r="AG4746" s="1"/>
      <c r="AH4746" s="1"/>
    </row>
    <row r="4747" ht="12.75" hidden="1" customHeight="1" outlineLevel="1">
      <c r="A4747" s="17">
        <v>41849.0</v>
      </c>
      <c r="B4747" s="1"/>
      <c r="C4747" s="1" t="s">
        <v>339</v>
      </c>
      <c r="D4747" s="74"/>
      <c r="E4747" s="67"/>
      <c r="F4747" s="75"/>
      <c r="G4747" s="67"/>
      <c r="H4747" s="68"/>
      <c r="I4747" s="76"/>
      <c r="J4747" s="67"/>
      <c r="K4747" s="7" t="s">
        <v>2012</v>
      </c>
      <c r="L4747" s="77"/>
      <c r="M4747" s="79"/>
      <c r="N4747" s="1"/>
      <c r="O4747" s="1"/>
      <c r="P4747" s="1"/>
      <c r="Q4747" s="1"/>
      <c r="R4747" s="1"/>
      <c r="S4747" s="1"/>
      <c r="T4747" s="1"/>
      <c r="U4747" s="1"/>
      <c r="V4747" s="1"/>
      <c r="W4747" s="1"/>
      <c r="X4747" s="1"/>
      <c r="Y4747" s="1"/>
      <c r="Z4747" s="1"/>
      <c r="AA4747" s="1"/>
      <c r="AB4747" s="1"/>
      <c r="AC4747" s="1"/>
      <c r="AD4747" s="1"/>
      <c r="AE4747" s="1"/>
      <c r="AF4747" s="1"/>
      <c r="AG4747" s="1"/>
      <c r="AH4747" s="1"/>
    </row>
    <row r="4748" ht="12.75" hidden="1" customHeight="1" outlineLevel="1">
      <c r="A4748" s="17">
        <v>41849.0</v>
      </c>
      <c r="B4748" s="1"/>
      <c r="C4748" s="1" t="s">
        <v>429</v>
      </c>
      <c r="D4748" s="74"/>
      <c r="E4748" s="67"/>
      <c r="F4748" s="75"/>
      <c r="G4748" s="67"/>
      <c r="H4748" s="68"/>
      <c r="I4748" s="76"/>
      <c r="J4748" s="67"/>
      <c r="K4748" s="7" t="s">
        <v>1942</v>
      </c>
      <c r="L4748" s="77"/>
      <c r="M4748" s="79"/>
      <c r="N4748" s="1"/>
      <c r="O4748" s="1"/>
      <c r="P4748" s="1"/>
      <c r="Q4748" s="1"/>
      <c r="R4748" s="1"/>
      <c r="S4748" s="1"/>
      <c r="T4748" s="1"/>
      <c r="U4748" s="1"/>
      <c r="V4748" s="1"/>
      <c r="W4748" s="1"/>
      <c r="X4748" s="1"/>
      <c r="Y4748" s="1"/>
      <c r="Z4748" s="1"/>
      <c r="AA4748" s="1"/>
      <c r="AB4748" s="1"/>
      <c r="AC4748" s="1"/>
      <c r="AD4748" s="1"/>
      <c r="AE4748" s="1"/>
      <c r="AF4748" s="1"/>
      <c r="AG4748" s="1"/>
      <c r="AH4748" s="1"/>
    </row>
    <row r="4749" ht="12.75" hidden="1" customHeight="1" outlineLevel="1">
      <c r="A4749" s="17">
        <v>41849.0</v>
      </c>
      <c r="B4749" s="1"/>
      <c r="C4749" s="1" t="s">
        <v>431</v>
      </c>
      <c r="D4749" s="74"/>
      <c r="E4749" s="67"/>
      <c r="F4749" s="75"/>
      <c r="G4749" s="67"/>
      <c r="H4749" s="68"/>
      <c r="I4749" s="76"/>
      <c r="J4749" s="67"/>
      <c r="K4749" s="7" t="s">
        <v>1126</v>
      </c>
      <c r="L4749" s="77"/>
      <c r="M4749" s="79"/>
      <c r="N4749" s="1"/>
      <c r="O4749" s="1"/>
      <c r="P4749" s="1"/>
      <c r="Q4749" s="1"/>
      <c r="R4749" s="1"/>
      <c r="S4749" s="1"/>
      <c r="T4749" s="1"/>
      <c r="U4749" s="1"/>
      <c r="V4749" s="1"/>
      <c r="W4749" s="1"/>
      <c r="X4749" s="1"/>
      <c r="Y4749" s="1"/>
      <c r="Z4749" s="1"/>
      <c r="AA4749" s="1"/>
      <c r="AB4749" s="1"/>
      <c r="AC4749" s="1"/>
      <c r="AD4749" s="1"/>
      <c r="AE4749" s="1"/>
      <c r="AF4749" s="1"/>
      <c r="AG4749" s="1"/>
      <c r="AH4749" s="1"/>
    </row>
    <row r="4750" ht="12.75" hidden="1" customHeight="1" outlineLevel="1">
      <c r="A4750" s="17">
        <v>41849.0</v>
      </c>
      <c r="B4750" s="1"/>
      <c r="C4750" s="1" t="s">
        <v>433</v>
      </c>
      <c r="D4750" s="74"/>
      <c r="E4750" s="67"/>
      <c r="F4750" s="75"/>
      <c r="G4750" s="67"/>
      <c r="H4750" s="68"/>
      <c r="I4750" s="76"/>
      <c r="J4750" s="67"/>
      <c r="K4750" s="7" t="s">
        <v>1103</v>
      </c>
      <c r="L4750" s="77"/>
      <c r="M4750" s="79"/>
      <c r="N4750" s="1"/>
      <c r="O4750" s="1"/>
      <c r="P4750" s="1"/>
      <c r="Q4750" s="1"/>
      <c r="R4750" s="1"/>
      <c r="S4750" s="1"/>
      <c r="T4750" s="1"/>
      <c r="U4750" s="1"/>
      <c r="V4750" s="1"/>
      <c r="W4750" s="1"/>
      <c r="X4750" s="1"/>
      <c r="Y4750" s="1"/>
      <c r="Z4750" s="1"/>
      <c r="AA4750" s="1"/>
      <c r="AB4750" s="1"/>
      <c r="AC4750" s="1"/>
      <c r="AD4750" s="1"/>
      <c r="AE4750" s="1"/>
      <c r="AF4750" s="1"/>
      <c r="AG4750" s="1"/>
      <c r="AH4750" s="1"/>
    </row>
    <row r="4751" ht="12.75" hidden="1" customHeight="1" outlineLevel="1">
      <c r="A4751" s="17">
        <v>41849.0</v>
      </c>
      <c r="B4751" s="1"/>
      <c r="C4751" s="1" t="s">
        <v>435</v>
      </c>
      <c r="D4751" s="74"/>
      <c r="E4751" s="67"/>
      <c r="F4751" s="75"/>
      <c r="G4751" s="67"/>
      <c r="H4751" s="68"/>
      <c r="I4751" s="76"/>
      <c r="J4751" s="67"/>
      <c r="K4751" s="7" t="s">
        <v>1507</v>
      </c>
      <c r="L4751" s="77"/>
      <c r="M4751" s="79"/>
      <c r="N4751" s="1"/>
      <c r="O4751" s="1"/>
      <c r="P4751" s="1"/>
      <c r="Q4751" s="1"/>
      <c r="R4751" s="1"/>
      <c r="S4751" s="1"/>
      <c r="T4751" s="1"/>
      <c r="U4751" s="1"/>
      <c r="V4751" s="1"/>
      <c r="W4751" s="1"/>
      <c r="X4751" s="1"/>
      <c r="Y4751" s="1"/>
      <c r="Z4751" s="1"/>
      <c r="AA4751" s="1"/>
      <c r="AB4751" s="1"/>
      <c r="AC4751" s="1"/>
      <c r="AD4751" s="1"/>
      <c r="AE4751" s="1"/>
      <c r="AF4751" s="1"/>
      <c r="AG4751" s="1"/>
      <c r="AH4751" s="1"/>
    </row>
    <row r="4752" ht="12.75" hidden="1" customHeight="1" outlineLevel="1">
      <c r="A4752" s="17">
        <v>41850.0</v>
      </c>
      <c r="B4752" s="1" t="s">
        <v>347</v>
      </c>
      <c r="C4752" s="1" t="s">
        <v>1092</v>
      </c>
      <c r="D4752" s="74">
        <v>500.0</v>
      </c>
      <c r="E4752" s="67">
        <v>11.17</v>
      </c>
      <c r="F4752" s="75">
        <v>0.5087847222222223</v>
      </c>
      <c r="G4752" s="67" t="s">
        <v>453</v>
      </c>
      <c r="H4752" s="68">
        <v>2.62</v>
      </c>
      <c r="I4752" s="76"/>
      <c r="J4752" s="67">
        <f t="shared" ref="J4752:J4755" si="298">IF(B4752="SLD",D4752*E4752,-D4752*E4752)-H4752</f>
        <v>5582.38</v>
      </c>
      <c r="K4752" s="7"/>
      <c r="L4752" s="70"/>
      <c r="M4752" s="79"/>
      <c r="N4752" s="1"/>
      <c r="O4752" s="1"/>
      <c r="P4752" s="1"/>
      <c r="Q4752" s="1"/>
      <c r="R4752" s="1"/>
      <c r="S4752" s="1"/>
      <c r="T4752" s="1"/>
      <c r="U4752" s="1"/>
      <c r="V4752" s="1"/>
      <c r="W4752" s="1"/>
      <c r="X4752" s="1"/>
      <c r="Y4752" s="1"/>
      <c r="Z4752" s="1"/>
      <c r="AA4752" s="1"/>
      <c r="AB4752" s="1"/>
      <c r="AC4752" s="1"/>
      <c r="AD4752" s="1"/>
      <c r="AE4752" s="1"/>
      <c r="AF4752" s="1"/>
      <c r="AG4752" s="1"/>
      <c r="AH4752" s="1"/>
    </row>
    <row r="4753" ht="12.75" hidden="1" customHeight="1" outlineLevel="1">
      <c r="A4753" s="17">
        <v>41850.0</v>
      </c>
      <c r="B4753" s="1" t="s">
        <v>347</v>
      </c>
      <c r="C4753" s="1" t="s">
        <v>1485</v>
      </c>
      <c r="D4753" s="74">
        <v>500.0</v>
      </c>
      <c r="E4753" s="67">
        <v>11.91</v>
      </c>
      <c r="F4753" s="75">
        <v>0.5114814814814815</v>
      </c>
      <c r="G4753" s="67" t="s">
        <v>453</v>
      </c>
      <c r="H4753" s="68">
        <v>2.63</v>
      </c>
      <c r="I4753" s="76"/>
      <c r="J4753" s="67">
        <f t="shared" si="298"/>
        <v>5952.37</v>
      </c>
      <c r="K4753" s="7"/>
      <c r="L4753" s="70"/>
      <c r="M4753" s="79"/>
      <c r="N4753" s="1"/>
      <c r="O4753" s="1"/>
      <c r="P4753" s="1"/>
      <c r="Q4753" s="1"/>
      <c r="R4753" s="1"/>
      <c r="S4753" s="1"/>
      <c r="T4753" s="1"/>
      <c r="U4753" s="1"/>
      <c r="V4753" s="1"/>
      <c r="W4753" s="1"/>
      <c r="X4753" s="1"/>
      <c r="Y4753" s="1"/>
      <c r="Z4753" s="1"/>
      <c r="AA4753" s="1"/>
      <c r="AB4753" s="1"/>
      <c r="AC4753" s="1"/>
      <c r="AD4753" s="1"/>
      <c r="AE4753" s="1"/>
      <c r="AF4753" s="1"/>
      <c r="AG4753" s="1"/>
      <c r="AH4753" s="1"/>
    </row>
    <row r="4754" ht="12.75" hidden="1" customHeight="1" outlineLevel="1">
      <c r="A4754" s="17">
        <v>41850.0</v>
      </c>
      <c r="B4754" s="1" t="s">
        <v>347</v>
      </c>
      <c r="C4754" s="1" t="s">
        <v>604</v>
      </c>
      <c r="D4754" s="74">
        <v>500.0</v>
      </c>
      <c r="E4754" s="67">
        <v>4.25</v>
      </c>
      <c r="F4754" s="75">
        <v>0.5121180555555556</v>
      </c>
      <c r="G4754" s="67" t="s">
        <v>453</v>
      </c>
      <c r="H4754" s="68">
        <v>2.55</v>
      </c>
      <c r="I4754" s="76"/>
      <c r="J4754" s="67">
        <f t="shared" si="298"/>
        <v>2122.45</v>
      </c>
      <c r="K4754" s="7"/>
      <c r="L4754" s="70"/>
      <c r="M4754" s="79"/>
      <c r="N4754" s="1"/>
      <c r="O4754" s="1"/>
      <c r="P4754" s="1"/>
      <c r="Q4754" s="1"/>
      <c r="R4754" s="1"/>
      <c r="S4754" s="1"/>
      <c r="T4754" s="1"/>
      <c r="U4754" s="1"/>
      <c r="V4754" s="1"/>
      <c r="W4754" s="1"/>
      <c r="X4754" s="1"/>
      <c r="Y4754" s="1"/>
      <c r="Z4754" s="1"/>
      <c r="AA4754" s="1"/>
      <c r="AB4754" s="1"/>
      <c r="AC4754" s="1"/>
      <c r="AD4754" s="1"/>
      <c r="AE4754" s="1"/>
      <c r="AF4754" s="1"/>
      <c r="AG4754" s="1"/>
      <c r="AH4754" s="1"/>
    </row>
    <row r="4755" ht="12.75" hidden="1" customHeight="1" outlineLevel="1">
      <c r="A4755" s="17">
        <v>41850.0</v>
      </c>
      <c r="B4755" s="1" t="s">
        <v>347</v>
      </c>
      <c r="C4755" s="1" t="s">
        <v>1483</v>
      </c>
      <c r="D4755" s="74">
        <v>500.0</v>
      </c>
      <c r="E4755" s="67">
        <v>4.22</v>
      </c>
      <c r="F4755" s="75">
        <v>0.5126157407407407</v>
      </c>
      <c r="G4755" s="67" t="s">
        <v>453</v>
      </c>
      <c r="H4755" s="68">
        <v>2.55</v>
      </c>
      <c r="I4755" s="76"/>
      <c r="J4755" s="67">
        <f t="shared" si="298"/>
        <v>2107.45</v>
      </c>
      <c r="K4755" s="7"/>
      <c r="L4755" s="70"/>
      <c r="M4755" s="79"/>
      <c r="N4755" s="1"/>
      <c r="O4755" s="1"/>
      <c r="P4755" s="1"/>
      <c r="Q4755" s="1"/>
      <c r="R4755" s="1"/>
      <c r="S4755" s="1"/>
      <c r="T4755" s="1"/>
      <c r="U4755" s="1"/>
      <c r="V4755" s="1"/>
      <c r="W4755" s="1"/>
      <c r="X4755" s="1"/>
      <c r="Y4755" s="1"/>
      <c r="Z4755" s="1"/>
      <c r="AA4755" s="1"/>
      <c r="AB4755" s="1"/>
      <c r="AC4755" s="1"/>
      <c r="AD4755" s="1"/>
      <c r="AE4755" s="1"/>
      <c r="AF4755" s="1"/>
      <c r="AG4755" s="1"/>
      <c r="AH4755" s="1"/>
    </row>
    <row r="4756" ht="12.75" hidden="1" customHeight="1" outlineLevel="1">
      <c r="A4756" s="17">
        <v>41850.0</v>
      </c>
      <c r="B4756" s="1"/>
      <c r="C4756" s="1" t="s">
        <v>339</v>
      </c>
      <c r="D4756" s="74"/>
      <c r="E4756" s="67"/>
      <c r="F4756" s="75"/>
      <c r="G4756" s="67"/>
      <c r="H4756" s="68"/>
      <c r="I4756" s="76"/>
      <c r="J4756" s="67"/>
      <c r="K4756" s="7" t="s">
        <v>2024</v>
      </c>
      <c r="L4756" s="77"/>
      <c r="M4756" s="79"/>
      <c r="N4756" s="1"/>
      <c r="O4756" s="1"/>
      <c r="P4756" s="1"/>
      <c r="Q4756" s="1"/>
      <c r="R4756" s="1"/>
      <c r="S4756" s="1"/>
      <c r="T4756" s="1"/>
      <c r="U4756" s="1"/>
      <c r="V4756" s="1"/>
      <c r="W4756" s="1"/>
      <c r="X4756" s="1"/>
      <c r="Y4756" s="1"/>
      <c r="Z4756" s="1"/>
      <c r="AA4756" s="1"/>
      <c r="AB4756" s="1"/>
      <c r="AC4756" s="1"/>
      <c r="AD4756" s="1"/>
      <c r="AE4756" s="1"/>
      <c r="AF4756" s="1"/>
      <c r="AG4756" s="1"/>
      <c r="AH4756" s="1"/>
    </row>
    <row r="4757" ht="12.75" hidden="1" customHeight="1" outlineLevel="1">
      <c r="A4757" s="17">
        <v>41850.0</v>
      </c>
      <c r="B4757" s="1"/>
      <c r="C4757" s="1" t="s">
        <v>429</v>
      </c>
      <c r="D4757" s="74"/>
      <c r="E4757" s="67"/>
      <c r="F4757" s="75"/>
      <c r="G4757" s="67"/>
      <c r="H4757" s="68"/>
      <c r="I4757" s="76"/>
      <c r="J4757" s="67"/>
      <c r="K4757" s="7" t="s">
        <v>1942</v>
      </c>
      <c r="L4757" s="77"/>
      <c r="M4757" s="79"/>
      <c r="N4757" s="1"/>
      <c r="O4757" s="1"/>
      <c r="P4757" s="1"/>
      <c r="Q4757" s="1"/>
      <c r="R4757" s="1"/>
      <c r="S4757" s="1"/>
      <c r="T4757" s="1"/>
      <c r="U4757" s="1"/>
      <c r="V4757" s="1"/>
      <c r="W4757" s="1"/>
      <c r="X4757" s="1"/>
      <c r="Y4757" s="1"/>
      <c r="Z4757" s="1"/>
      <c r="AA4757" s="1"/>
      <c r="AB4757" s="1"/>
      <c r="AC4757" s="1"/>
      <c r="AD4757" s="1"/>
      <c r="AE4757" s="1"/>
      <c r="AF4757" s="1"/>
      <c r="AG4757" s="1"/>
      <c r="AH4757" s="1"/>
    </row>
    <row r="4758" ht="12.75" hidden="1" customHeight="1" outlineLevel="1">
      <c r="A4758" s="17">
        <v>41850.0</v>
      </c>
      <c r="B4758" s="1"/>
      <c r="C4758" s="1" t="s">
        <v>431</v>
      </c>
      <c r="D4758" s="74"/>
      <c r="E4758" s="67"/>
      <c r="F4758" s="75"/>
      <c r="G4758" s="67"/>
      <c r="H4758" s="68"/>
      <c r="I4758" s="76"/>
      <c r="J4758" s="67"/>
      <c r="K4758" s="7" t="s">
        <v>1126</v>
      </c>
      <c r="L4758" s="77"/>
      <c r="M4758" s="79"/>
      <c r="N4758" s="1"/>
      <c r="O4758" s="1"/>
      <c r="P4758" s="1"/>
      <c r="Q4758" s="1"/>
      <c r="R4758" s="1"/>
      <c r="S4758" s="1"/>
      <c r="T4758" s="1"/>
      <c r="U4758" s="1"/>
      <c r="V4758" s="1"/>
      <c r="W4758" s="1"/>
      <c r="X4758" s="1"/>
      <c r="Y4758" s="1"/>
      <c r="Z4758" s="1"/>
      <c r="AA4758" s="1"/>
      <c r="AB4758" s="1"/>
      <c r="AC4758" s="1"/>
      <c r="AD4758" s="1"/>
      <c r="AE4758" s="1"/>
      <c r="AF4758" s="1"/>
      <c r="AG4758" s="1"/>
      <c r="AH4758" s="1"/>
    </row>
    <row r="4759" ht="12.75" hidden="1" customHeight="1" outlineLevel="1">
      <c r="A4759" s="17">
        <v>41850.0</v>
      </c>
      <c r="B4759" s="1"/>
      <c r="C4759" s="1" t="s">
        <v>433</v>
      </c>
      <c r="D4759" s="74"/>
      <c r="E4759" s="67"/>
      <c r="F4759" s="75"/>
      <c r="G4759" s="67"/>
      <c r="H4759" s="68"/>
      <c r="I4759" s="76"/>
      <c r="J4759" s="67"/>
      <c r="K4759" s="7" t="s">
        <v>1103</v>
      </c>
      <c r="L4759" s="77"/>
      <c r="M4759" s="79"/>
      <c r="N4759" s="1"/>
      <c r="O4759" s="1"/>
      <c r="P4759" s="1"/>
      <c r="Q4759" s="1"/>
      <c r="R4759" s="1"/>
      <c r="S4759" s="1"/>
      <c r="T4759" s="1"/>
      <c r="U4759" s="1"/>
      <c r="V4759" s="1"/>
      <c r="W4759" s="1"/>
      <c r="X4759" s="1"/>
      <c r="Y4759" s="1"/>
      <c r="Z4759" s="1"/>
      <c r="AA4759" s="1"/>
      <c r="AB4759" s="1"/>
      <c r="AC4759" s="1"/>
      <c r="AD4759" s="1"/>
      <c r="AE4759" s="1"/>
      <c r="AF4759" s="1"/>
      <c r="AG4759" s="1"/>
      <c r="AH4759" s="1"/>
    </row>
    <row r="4760" ht="12.75" hidden="1" customHeight="1" outlineLevel="1">
      <c r="A4760" s="17">
        <v>41850.0</v>
      </c>
      <c r="B4760" s="1"/>
      <c r="C4760" s="1" t="s">
        <v>435</v>
      </c>
      <c r="D4760" s="74"/>
      <c r="E4760" s="67"/>
      <c r="F4760" s="75"/>
      <c r="G4760" s="67"/>
      <c r="H4760" s="68"/>
      <c r="I4760" s="76"/>
      <c r="J4760" s="67"/>
      <c r="K4760" s="7" t="s">
        <v>1507</v>
      </c>
      <c r="L4760" s="77"/>
      <c r="M4760" s="79"/>
      <c r="N4760" s="1"/>
      <c r="O4760" s="1"/>
      <c r="P4760" s="1"/>
      <c r="Q4760" s="1"/>
      <c r="R4760" s="1"/>
      <c r="S4760" s="1"/>
      <c r="T4760" s="1"/>
      <c r="U4760" s="1"/>
      <c r="V4760" s="1"/>
      <c r="W4760" s="1"/>
      <c r="X4760" s="1"/>
      <c r="Y4760" s="1"/>
      <c r="Z4760" s="1"/>
      <c r="AA4760" s="1"/>
      <c r="AB4760" s="1"/>
      <c r="AC4760" s="1"/>
      <c r="AD4760" s="1"/>
      <c r="AE4760" s="1"/>
      <c r="AF4760" s="1"/>
      <c r="AG4760" s="1"/>
      <c r="AH4760" s="1"/>
    </row>
    <row r="4761" ht="12.75" hidden="1" customHeight="1" outlineLevel="1">
      <c r="A4761" s="17">
        <v>41851.0</v>
      </c>
      <c r="B4761" s="1" t="s">
        <v>347</v>
      </c>
      <c r="C4761" s="1" t="s">
        <v>354</v>
      </c>
      <c r="D4761" s="74">
        <v>300.0</v>
      </c>
      <c r="E4761" s="67">
        <v>111.35</v>
      </c>
      <c r="F4761" s="75">
        <v>0.5193865740740741</v>
      </c>
      <c r="G4761" s="67" t="s">
        <v>453</v>
      </c>
      <c r="H4761" s="68">
        <v>1.94</v>
      </c>
      <c r="I4761" s="76"/>
      <c r="J4761" s="67">
        <f t="shared" ref="J4761:J4766" si="299">IF(B4761="SLD",D4761*E4761,-D4761*E4761)-H4761</f>
        <v>33403.06</v>
      </c>
      <c r="K4761" s="7"/>
      <c r="L4761" s="70"/>
      <c r="M4761" s="79"/>
      <c r="N4761" s="1"/>
      <c r="O4761" s="1"/>
      <c r="P4761" s="1"/>
      <c r="Q4761" s="1"/>
      <c r="R4761" s="1"/>
      <c r="S4761" s="1"/>
      <c r="T4761" s="1"/>
      <c r="U4761" s="1"/>
      <c r="V4761" s="1"/>
      <c r="W4761" s="1"/>
      <c r="X4761" s="1"/>
      <c r="Y4761" s="1"/>
      <c r="Z4761" s="1"/>
      <c r="AA4761" s="1"/>
      <c r="AB4761" s="1"/>
      <c r="AC4761" s="1"/>
      <c r="AD4761" s="1"/>
      <c r="AE4761" s="1"/>
      <c r="AF4761" s="1"/>
      <c r="AG4761" s="1"/>
      <c r="AH4761" s="1"/>
    </row>
    <row r="4762" ht="12.75" hidden="1" customHeight="1" outlineLevel="1">
      <c r="A4762" s="17">
        <v>41851.0</v>
      </c>
      <c r="B4762" s="1" t="s">
        <v>347</v>
      </c>
      <c r="C4762" s="1" t="s">
        <v>1325</v>
      </c>
      <c r="D4762" s="74">
        <v>400.0</v>
      </c>
      <c r="E4762" s="67">
        <v>63.463</v>
      </c>
      <c r="F4762" s="75">
        <v>0.5204050925925926</v>
      </c>
      <c r="G4762" s="67" t="s">
        <v>453</v>
      </c>
      <c r="H4762" s="68">
        <v>2.16</v>
      </c>
      <c r="I4762" s="76"/>
      <c r="J4762" s="67">
        <f t="shared" si="299"/>
        <v>25383.04</v>
      </c>
      <c r="K4762" s="7"/>
      <c r="L4762" s="70"/>
      <c r="M4762" s="79"/>
      <c r="N4762" s="1"/>
      <c r="O4762" s="1"/>
      <c r="P4762" s="1"/>
      <c r="Q4762" s="1"/>
      <c r="R4762" s="1"/>
      <c r="S4762" s="1"/>
      <c r="T4762" s="1"/>
      <c r="U4762" s="1"/>
      <c r="V4762" s="1"/>
      <c r="W4762" s="1"/>
      <c r="X4762" s="1"/>
      <c r="Y4762" s="1"/>
      <c r="Z4762" s="1"/>
      <c r="AA4762" s="1"/>
      <c r="AB4762" s="1"/>
      <c r="AC4762" s="1"/>
      <c r="AD4762" s="1"/>
      <c r="AE4762" s="1"/>
      <c r="AF4762" s="1"/>
      <c r="AG4762" s="1"/>
      <c r="AH4762" s="1"/>
    </row>
    <row r="4763" ht="12.75" hidden="1" customHeight="1" outlineLevel="1">
      <c r="A4763" s="17">
        <v>41851.0</v>
      </c>
      <c r="B4763" s="1" t="s">
        <v>347</v>
      </c>
      <c r="C4763" s="1" t="s">
        <v>1766</v>
      </c>
      <c r="D4763" s="74">
        <v>500.0</v>
      </c>
      <c r="E4763" s="67">
        <v>65.782</v>
      </c>
      <c r="F4763" s="75">
        <v>0.5209374999999999</v>
      </c>
      <c r="G4763" s="67" t="s">
        <v>453</v>
      </c>
      <c r="H4763" s="68">
        <v>3.03</v>
      </c>
      <c r="I4763" s="76"/>
      <c r="J4763" s="67">
        <f t="shared" si="299"/>
        <v>32887.97</v>
      </c>
      <c r="K4763" s="7"/>
      <c r="L4763" s="70"/>
      <c r="M4763" s="79"/>
      <c r="N4763" s="1"/>
      <c r="O4763" s="1"/>
      <c r="P4763" s="1"/>
      <c r="Q4763" s="1"/>
      <c r="R4763" s="1"/>
      <c r="S4763" s="1"/>
      <c r="T4763" s="1"/>
      <c r="U4763" s="1"/>
      <c r="V4763" s="1"/>
      <c r="W4763" s="1"/>
      <c r="X4763" s="1"/>
      <c r="Y4763" s="1"/>
      <c r="Z4763" s="1"/>
      <c r="AA4763" s="1"/>
      <c r="AB4763" s="1"/>
      <c r="AC4763" s="1"/>
      <c r="AD4763" s="1"/>
      <c r="AE4763" s="1"/>
      <c r="AF4763" s="1"/>
      <c r="AG4763" s="1"/>
      <c r="AH4763" s="1"/>
    </row>
    <row r="4764" ht="12.75" hidden="1" customHeight="1" outlineLevel="1">
      <c r="A4764" s="17">
        <v>41851.0</v>
      </c>
      <c r="B4764" s="1" t="s">
        <v>347</v>
      </c>
      <c r="C4764" s="1" t="s">
        <v>364</v>
      </c>
      <c r="D4764" s="74">
        <v>50.0</v>
      </c>
      <c r="E4764" s="67">
        <v>145.2501</v>
      </c>
      <c r="F4764" s="75">
        <v>0.5252546296296297</v>
      </c>
      <c r="G4764" s="67" t="s">
        <v>453</v>
      </c>
      <c r="H4764" s="68">
        <v>1.16</v>
      </c>
      <c r="I4764" s="76"/>
      <c r="J4764" s="67">
        <f t="shared" si="299"/>
        <v>7261.345</v>
      </c>
      <c r="K4764" s="7"/>
      <c r="L4764" s="70"/>
      <c r="M4764" s="79"/>
      <c r="N4764" s="1"/>
      <c r="O4764" s="1"/>
      <c r="P4764" s="1"/>
      <c r="Q4764" s="1"/>
      <c r="R4764" s="1"/>
      <c r="S4764" s="1"/>
      <c r="T4764" s="1"/>
      <c r="U4764" s="1"/>
      <c r="V4764" s="1"/>
      <c r="W4764" s="1"/>
      <c r="X4764" s="1"/>
      <c r="Y4764" s="1"/>
      <c r="Z4764" s="1"/>
      <c r="AA4764" s="1"/>
      <c r="AB4764" s="1"/>
      <c r="AC4764" s="1"/>
      <c r="AD4764" s="1"/>
      <c r="AE4764" s="1"/>
      <c r="AF4764" s="1"/>
      <c r="AG4764" s="1"/>
      <c r="AH4764" s="1"/>
    </row>
    <row r="4765" ht="12.75" hidden="1" customHeight="1" outlineLevel="1">
      <c r="A4765" s="17">
        <v>41851.0</v>
      </c>
      <c r="B4765" s="1" t="s">
        <v>343</v>
      </c>
      <c r="C4765" s="1" t="s">
        <v>1325</v>
      </c>
      <c r="D4765" s="74">
        <v>400.0</v>
      </c>
      <c r="E4765" s="67">
        <v>63.398</v>
      </c>
      <c r="F4765" s="75">
        <v>0.6656365740740741</v>
      </c>
      <c r="G4765" s="67" t="s">
        <v>453</v>
      </c>
      <c r="H4765" s="68">
        <v>1.6</v>
      </c>
      <c r="I4765" s="76"/>
      <c r="J4765" s="67">
        <f t="shared" si="299"/>
        <v>-25360.8</v>
      </c>
      <c r="K4765" s="7"/>
      <c r="L4765" s="70"/>
      <c r="M4765" s="79"/>
      <c r="N4765" s="1"/>
      <c r="O4765" s="1"/>
      <c r="P4765" s="1"/>
      <c r="Q4765" s="1"/>
      <c r="R4765" s="1"/>
      <c r="S4765" s="1"/>
      <c r="T4765" s="1"/>
      <c r="U4765" s="1"/>
      <c r="V4765" s="1"/>
      <c r="W4765" s="1"/>
      <c r="X4765" s="1"/>
      <c r="Y4765" s="1"/>
      <c r="Z4765" s="1"/>
      <c r="AA4765" s="1"/>
      <c r="AB4765" s="1"/>
      <c r="AC4765" s="1"/>
      <c r="AD4765" s="1"/>
      <c r="AE4765" s="1"/>
      <c r="AF4765" s="1"/>
      <c r="AG4765" s="1"/>
      <c r="AH4765" s="1"/>
    </row>
    <row r="4766" ht="12.75" hidden="1" customHeight="1" outlineLevel="1">
      <c r="A4766" s="17">
        <v>41851.0</v>
      </c>
      <c r="B4766" s="1" t="s">
        <v>343</v>
      </c>
      <c r="C4766" s="1" t="s">
        <v>1766</v>
      </c>
      <c r="D4766" s="74">
        <v>500.0</v>
      </c>
      <c r="E4766" s="67">
        <v>66.169</v>
      </c>
      <c r="F4766" s="75">
        <v>0.6658912037037037</v>
      </c>
      <c r="G4766" s="67" t="s">
        <v>453</v>
      </c>
      <c r="H4766" s="68">
        <v>2.0</v>
      </c>
      <c r="I4766" s="76"/>
      <c r="J4766" s="67">
        <f t="shared" si="299"/>
        <v>-33086.5</v>
      </c>
      <c r="K4766" s="7"/>
      <c r="L4766" s="70"/>
      <c r="M4766" s="79"/>
      <c r="N4766" s="1"/>
      <c r="O4766" s="1"/>
      <c r="P4766" s="1"/>
      <c r="Q4766" s="1"/>
      <c r="R4766" s="1"/>
      <c r="S4766" s="1"/>
      <c r="T4766" s="1"/>
      <c r="U4766" s="1"/>
      <c r="V4766" s="1"/>
      <c r="W4766" s="1"/>
      <c r="X4766" s="1"/>
      <c r="Y4766" s="1"/>
      <c r="Z4766" s="1"/>
      <c r="AA4766" s="1"/>
      <c r="AB4766" s="1"/>
      <c r="AC4766" s="1"/>
      <c r="AD4766" s="1"/>
      <c r="AE4766" s="1"/>
      <c r="AF4766" s="1"/>
      <c r="AG4766" s="1"/>
      <c r="AH4766" s="1"/>
    </row>
    <row r="4767" ht="12.75" hidden="1" customHeight="1" outlineLevel="1">
      <c r="A4767" s="17">
        <v>41851.0</v>
      </c>
      <c r="B4767" s="1"/>
      <c r="C4767" s="1" t="s">
        <v>339</v>
      </c>
      <c r="D4767" s="74"/>
      <c r="E4767" s="67"/>
      <c r="F4767" s="75"/>
      <c r="G4767" s="67"/>
      <c r="H4767" s="68"/>
      <c r="I4767" s="76"/>
      <c r="J4767" s="67"/>
      <c r="K4767" s="7" t="s">
        <v>2030</v>
      </c>
      <c r="L4767" s="77"/>
      <c r="M4767" s="79"/>
      <c r="N4767" s="1"/>
      <c r="O4767" s="1"/>
      <c r="P4767" s="1"/>
      <c r="Q4767" s="1"/>
      <c r="R4767" s="1"/>
      <c r="S4767" s="1"/>
      <c r="T4767" s="1"/>
      <c r="U4767" s="1"/>
      <c r="V4767" s="1"/>
      <c r="W4767" s="1"/>
      <c r="X4767" s="1"/>
      <c r="Y4767" s="1"/>
      <c r="Z4767" s="1"/>
      <c r="AA4767" s="1"/>
      <c r="AB4767" s="1"/>
      <c r="AC4767" s="1"/>
      <c r="AD4767" s="1"/>
      <c r="AE4767" s="1"/>
      <c r="AF4767" s="1"/>
      <c r="AG4767" s="1"/>
      <c r="AH4767" s="1"/>
    </row>
    <row r="4768" ht="12.75" hidden="1" customHeight="1" outlineLevel="1">
      <c r="A4768" s="17">
        <v>41851.0</v>
      </c>
      <c r="B4768" s="1"/>
      <c r="C4768" s="1" t="s">
        <v>429</v>
      </c>
      <c r="D4768" s="74"/>
      <c r="E4768" s="67"/>
      <c r="F4768" s="75"/>
      <c r="G4768" s="67"/>
      <c r="H4768" s="68"/>
      <c r="I4768" s="76"/>
      <c r="J4768" s="67"/>
      <c r="K4768" s="7" t="s">
        <v>2031</v>
      </c>
      <c r="L4768" s="77"/>
      <c r="M4768" s="79"/>
      <c r="N4768" s="1"/>
      <c r="O4768" s="1"/>
      <c r="P4768" s="1"/>
      <c r="Q4768" s="1"/>
      <c r="R4768" s="1"/>
      <c r="S4768" s="1"/>
      <c r="T4768" s="1"/>
      <c r="U4768" s="1"/>
      <c r="V4768" s="1"/>
      <c r="W4768" s="1"/>
      <c r="X4768" s="1"/>
      <c r="Y4768" s="1"/>
      <c r="Z4768" s="1"/>
      <c r="AA4768" s="1"/>
      <c r="AB4768" s="1"/>
      <c r="AC4768" s="1"/>
      <c r="AD4768" s="1"/>
      <c r="AE4768" s="1"/>
      <c r="AF4768" s="1"/>
      <c r="AG4768" s="1"/>
      <c r="AH4768" s="1"/>
    </row>
    <row r="4769" ht="12.75" hidden="1" customHeight="1" outlineLevel="1">
      <c r="A4769" s="17">
        <v>41851.0</v>
      </c>
      <c r="B4769" s="1"/>
      <c r="C4769" s="1" t="s">
        <v>431</v>
      </c>
      <c r="D4769" s="74"/>
      <c r="E4769" s="67"/>
      <c r="F4769" s="75"/>
      <c r="G4769" s="67"/>
      <c r="H4769" s="68"/>
      <c r="I4769" s="76"/>
      <c r="J4769" s="67"/>
      <c r="K4769" s="7" t="s">
        <v>1126</v>
      </c>
      <c r="L4769" s="77"/>
      <c r="M4769" s="79"/>
      <c r="N4769" s="1"/>
      <c r="O4769" s="1"/>
      <c r="P4769" s="1"/>
      <c r="Q4769" s="1"/>
      <c r="R4769" s="1"/>
      <c r="S4769" s="1"/>
      <c r="T4769" s="1"/>
      <c r="U4769" s="1"/>
      <c r="V4769" s="1"/>
      <c r="W4769" s="1"/>
      <c r="X4769" s="1"/>
      <c r="Y4769" s="1"/>
      <c r="Z4769" s="1"/>
      <c r="AA4769" s="1"/>
      <c r="AB4769" s="1"/>
      <c r="AC4769" s="1"/>
      <c r="AD4769" s="1"/>
      <c r="AE4769" s="1"/>
      <c r="AF4769" s="1"/>
      <c r="AG4769" s="1"/>
      <c r="AH4769" s="1"/>
    </row>
    <row r="4770" ht="12.75" hidden="1" customHeight="1" outlineLevel="1">
      <c r="A4770" s="17">
        <v>41851.0</v>
      </c>
      <c r="B4770" s="1"/>
      <c r="C4770" s="1" t="s">
        <v>433</v>
      </c>
      <c r="D4770" s="74"/>
      <c r="E4770" s="67"/>
      <c r="F4770" s="75"/>
      <c r="G4770" s="67"/>
      <c r="H4770" s="68"/>
      <c r="I4770" s="76"/>
      <c r="J4770" s="67"/>
      <c r="K4770" s="7" t="s">
        <v>1103</v>
      </c>
      <c r="L4770" s="77"/>
      <c r="M4770" s="79"/>
      <c r="N4770" s="1"/>
      <c r="O4770" s="1"/>
      <c r="P4770" s="1"/>
      <c r="Q4770" s="1"/>
      <c r="R4770" s="1"/>
      <c r="S4770" s="1"/>
      <c r="T4770" s="1"/>
      <c r="U4770" s="1"/>
      <c r="V4770" s="1"/>
      <c r="W4770" s="1"/>
      <c r="X4770" s="1"/>
      <c r="Y4770" s="1"/>
      <c r="Z4770" s="1"/>
      <c r="AA4770" s="1"/>
      <c r="AB4770" s="1"/>
      <c r="AC4770" s="1"/>
      <c r="AD4770" s="1"/>
      <c r="AE4770" s="1"/>
      <c r="AF4770" s="1"/>
      <c r="AG4770" s="1"/>
      <c r="AH4770" s="1"/>
    </row>
    <row r="4771" ht="12.75" hidden="1" customHeight="1" outlineLevel="1">
      <c r="A4771" s="17">
        <v>41851.0</v>
      </c>
      <c r="B4771" s="1"/>
      <c r="C4771" s="1" t="s">
        <v>435</v>
      </c>
      <c r="D4771" s="74"/>
      <c r="E4771" s="67"/>
      <c r="F4771" s="75"/>
      <c r="G4771" s="67"/>
      <c r="H4771" s="68"/>
      <c r="I4771" s="76"/>
      <c r="J4771" s="67"/>
      <c r="K4771" s="7" t="s">
        <v>1507</v>
      </c>
      <c r="L4771" s="77"/>
      <c r="M4771" s="79"/>
      <c r="N4771" s="1"/>
      <c r="O4771" s="1"/>
      <c r="P4771" s="1"/>
      <c r="Q4771" s="1"/>
      <c r="R4771" s="1"/>
      <c r="S4771" s="1"/>
      <c r="T4771" s="1"/>
      <c r="U4771" s="1"/>
      <c r="V4771" s="1"/>
      <c r="W4771" s="1"/>
      <c r="X4771" s="1"/>
      <c r="Y4771" s="1"/>
      <c r="Z4771" s="1"/>
      <c r="AA4771" s="1"/>
      <c r="AB4771" s="1"/>
      <c r="AC4771" s="1"/>
      <c r="AD4771" s="1"/>
      <c r="AE4771" s="1"/>
      <c r="AF4771" s="1"/>
      <c r="AG4771" s="1"/>
      <c r="AH4771" s="1"/>
    </row>
    <row r="4772" ht="12.75" hidden="1" customHeight="1" outlineLevel="1">
      <c r="A4772" s="17">
        <v>41852.0</v>
      </c>
      <c r="B4772" s="1"/>
      <c r="C4772" s="1" t="s">
        <v>339</v>
      </c>
      <c r="D4772" s="74"/>
      <c r="E4772" s="67"/>
      <c r="F4772" s="75"/>
      <c r="G4772" s="67"/>
      <c r="H4772" s="68"/>
      <c r="I4772" s="76"/>
      <c r="J4772" s="67"/>
      <c r="K4772" s="7" t="s">
        <v>2033</v>
      </c>
      <c r="L4772" s="77"/>
      <c r="M4772" s="79"/>
      <c r="N4772" s="1"/>
      <c r="O4772" s="1"/>
      <c r="P4772" s="1"/>
      <c r="Q4772" s="1"/>
      <c r="R4772" s="1"/>
      <c r="S4772" s="1"/>
      <c r="T4772" s="1"/>
      <c r="U4772" s="1"/>
      <c r="V4772" s="1"/>
      <c r="W4772" s="1"/>
      <c r="X4772" s="1"/>
      <c r="Y4772" s="1"/>
      <c r="Z4772" s="1"/>
      <c r="AA4772" s="1"/>
      <c r="AB4772" s="1"/>
      <c r="AC4772" s="1"/>
      <c r="AD4772" s="1"/>
      <c r="AE4772" s="1"/>
      <c r="AF4772" s="1"/>
      <c r="AG4772" s="1"/>
      <c r="AH4772" s="1"/>
    </row>
    <row r="4773" ht="12.75" hidden="1" customHeight="1" outlineLevel="1">
      <c r="A4773" s="17">
        <v>41852.0</v>
      </c>
      <c r="B4773" s="1"/>
      <c r="C4773" s="1" t="s">
        <v>429</v>
      </c>
      <c r="D4773" s="74"/>
      <c r="E4773" s="67"/>
      <c r="F4773" s="75"/>
      <c r="G4773" s="67"/>
      <c r="H4773" s="68"/>
      <c r="I4773" s="76"/>
      <c r="J4773" s="67"/>
      <c r="K4773" s="7" t="s">
        <v>2031</v>
      </c>
      <c r="L4773" s="77"/>
      <c r="M4773" s="79"/>
      <c r="N4773" s="1"/>
      <c r="O4773" s="1"/>
      <c r="P4773" s="1"/>
      <c r="Q4773" s="1"/>
      <c r="R4773" s="1"/>
      <c r="S4773" s="1"/>
      <c r="T4773" s="1"/>
      <c r="U4773" s="1"/>
      <c r="V4773" s="1"/>
      <c r="W4773" s="1"/>
      <c r="X4773" s="1"/>
      <c r="Y4773" s="1"/>
      <c r="Z4773" s="1"/>
      <c r="AA4773" s="1"/>
      <c r="AB4773" s="1"/>
      <c r="AC4773" s="1"/>
      <c r="AD4773" s="1"/>
      <c r="AE4773" s="1"/>
      <c r="AF4773" s="1"/>
      <c r="AG4773" s="1"/>
      <c r="AH4773" s="1"/>
    </row>
    <row r="4774" ht="12.75" hidden="1" customHeight="1" outlineLevel="1">
      <c r="A4774" s="17">
        <v>41852.0</v>
      </c>
      <c r="B4774" s="1"/>
      <c r="C4774" s="1" t="s">
        <v>431</v>
      </c>
      <c r="D4774" s="74"/>
      <c r="E4774" s="67"/>
      <c r="F4774" s="75"/>
      <c r="G4774" s="67"/>
      <c r="H4774" s="68"/>
      <c r="I4774" s="76"/>
      <c r="J4774" s="67"/>
      <c r="K4774" s="7" t="s">
        <v>1126</v>
      </c>
      <c r="L4774" s="77"/>
      <c r="M4774" s="79"/>
      <c r="N4774" s="1"/>
      <c r="O4774" s="1"/>
      <c r="P4774" s="1"/>
      <c r="Q4774" s="1"/>
      <c r="R4774" s="1"/>
      <c r="S4774" s="1"/>
      <c r="T4774" s="1"/>
      <c r="U4774" s="1"/>
      <c r="V4774" s="1"/>
      <c r="W4774" s="1"/>
      <c r="X4774" s="1"/>
      <c r="Y4774" s="1"/>
      <c r="Z4774" s="1"/>
      <c r="AA4774" s="1"/>
      <c r="AB4774" s="1"/>
      <c r="AC4774" s="1"/>
      <c r="AD4774" s="1"/>
      <c r="AE4774" s="1"/>
      <c r="AF4774" s="1"/>
      <c r="AG4774" s="1"/>
      <c r="AH4774" s="1"/>
    </row>
    <row r="4775" ht="12.75" hidden="1" customHeight="1" outlineLevel="1">
      <c r="A4775" s="17">
        <v>41852.0</v>
      </c>
      <c r="B4775" s="1"/>
      <c r="C4775" s="1" t="s">
        <v>433</v>
      </c>
      <c r="D4775" s="74"/>
      <c r="E4775" s="67"/>
      <c r="F4775" s="75"/>
      <c r="G4775" s="67"/>
      <c r="H4775" s="68"/>
      <c r="I4775" s="76"/>
      <c r="J4775" s="67"/>
      <c r="K4775" s="7" t="s">
        <v>1103</v>
      </c>
      <c r="L4775" s="77"/>
      <c r="M4775" s="79"/>
      <c r="N4775" s="1"/>
      <c r="O4775" s="1"/>
      <c r="P4775" s="1"/>
      <c r="Q4775" s="1"/>
      <c r="R4775" s="1"/>
      <c r="S4775" s="1"/>
      <c r="T4775" s="1"/>
      <c r="U4775" s="1"/>
      <c r="V4775" s="1"/>
      <c r="W4775" s="1"/>
      <c r="X4775" s="1"/>
      <c r="Y4775" s="1"/>
      <c r="Z4775" s="1"/>
      <c r="AA4775" s="1"/>
      <c r="AB4775" s="1"/>
      <c r="AC4775" s="1"/>
      <c r="AD4775" s="1"/>
      <c r="AE4775" s="1"/>
      <c r="AF4775" s="1"/>
      <c r="AG4775" s="1"/>
      <c r="AH4775" s="1"/>
    </row>
    <row r="4776" ht="12.75" hidden="1" customHeight="1" outlineLevel="1">
      <c r="A4776" s="17">
        <v>41852.0</v>
      </c>
      <c r="B4776" s="1"/>
      <c r="C4776" s="1" t="s">
        <v>435</v>
      </c>
      <c r="D4776" s="74"/>
      <c r="E4776" s="67"/>
      <c r="F4776" s="75"/>
      <c r="G4776" s="67"/>
      <c r="H4776" s="68"/>
      <c r="I4776" s="76"/>
      <c r="J4776" s="67"/>
      <c r="K4776" s="7" t="s">
        <v>1507</v>
      </c>
      <c r="L4776" s="77"/>
      <c r="M4776" s="79"/>
      <c r="N4776" s="1"/>
      <c r="O4776" s="1"/>
      <c r="P4776" s="1"/>
      <c r="Q4776" s="1"/>
      <c r="R4776" s="1"/>
      <c r="S4776" s="1"/>
      <c r="T4776" s="1"/>
      <c r="U4776" s="1"/>
      <c r="V4776" s="1"/>
      <c r="W4776" s="1"/>
      <c r="X4776" s="1"/>
      <c r="Y4776" s="1"/>
      <c r="Z4776" s="1"/>
      <c r="AA4776" s="1"/>
      <c r="AB4776" s="1"/>
      <c r="AC4776" s="1"/>
      <c r="AD4776" s="1"/>
      <c r="AE4776" s="1"/>
      <c r="AF4776" s="1"/>
      <c r="AG4776" s="1"/>
      <c r="AH4776" s="1"/>
    </row>
    <row r="4777" ht="12.75" hidden="1" customHeight="1" outlineLevel="1">
      <c r="A4777" s="17">
        <v>41853.0</v>
      </c>
      <c r="B4777" s="1"/>
      <c r="C4777" s="1" t="s">
        <v>339</v>
      </c>
      <c r="D4777" s="74"/>
      <c r="E4777" s="67"/>
      <c r="F4777" s="75"/>
      <c r="G4777" s="67"/>
      <c r="H4777" s="68"/>
      <c r="I4777" s="76"/>
      <c r="J4777" s="67"/>
      <c r="K4777" s="7" t="s">
        <v>2037</v>
      </c>
      <c r="L4777" s="77"/>
      <c r="M4777" s="79"/>
      <c r="N4777" s="1"/>
      <c r="O4777" s="1"/>
      <c r="P4777" s="1"/>
      <c r="Q4777" s="1"/>
      <c r="R4777" s="1"/>
      <c r="S4777" s="1"/>
      <c r="T4777" s="1"/>
      <c r="U4777" s="1"/>
      <c r="V4777" s="1"/>
      <c r="W4777" s="1"/>
      <c r="X4777" s="1"/>
      <c r="Y4777" s="1"/>
      <c r="Z4777" s="1"/>
      <c r="AA4777" s="1"/>
      <c r="AB4777" s="1"/>
      <c r="AC4777" s="1"/>
      <c r="AD4777" s="1"/>
      <c r="AE4777" s="1"/>
      <c r="AF4777" s="1"/>
      <c r="AG4777" s="1"/>
      <c r="AH4777" s="1"/>
    </row>
    <row r="4778" ht="12.75" hidden="1" customHeight="1" outlineLevel="1">
      <c r="A4778" s="17">
        <v>41853.0</v>
      </c>
      <c r="B4778" s="1"/>
      <c r="C4778" s="1" t="s">
        <v>429</v>
      </c>
      <c r="D4778" s="74"/>
      <c r="E4778" s="67"/>
      <c r="F4778" s="75"/>
      <c r="G4778" s="67"/>
      <c r="H4778" s="68"/>
      <c r="I4778" s="76"/>
      <c r="J4778" s="67"/>
      <c r="K4778" s="7" t="s">
        <v>2031</v>
      </c>
      <c r="L4778" s="77"/>
      <c r="M4778" s="79"/>
      <c r="N4778" s="1"/>
      <c r="O4778" s="1"/>
      <c r="P4778" s="1"/>
      <c r="Q4778" s="1"/>
      <c r="R4778" s="1"/>
      <c r="S4778" s="1"/>
      <c r="T4778" s="1"/>
      <c r="U4778" s="1"/>
      <c r="V4778" s="1"/>
      <c r="W4778" s="1"/>
      <c r="X4778" s="1"/>
      <c r="Y4778" s="1"/>
      <c r="Z4778" s="1"/>
      <c r="AA4778" s="1"/>
      <c r="AB4778" s="1"/>
      <c r="AC4778" s="1"/>
      <c r="AD4778" s="1"/>
      <c r="AE4778" s="1"/>
      <c r="AF4778" s="1"/>
      <c r="AG4778" s="1"/>
      <c r="AH4778" s="1"/>
    </row>
    <row r="4779" ht="12.75" hidden="1" customHeight="1" outlineLevel="1">
      <c r="A4779" s="17">
        <v>41853.0</v>
      </c>
      <c r="B4779" s="1"/>
      <c r="C4779" s="1" t="s">
        <v>431</v>
      </c>
      <c r="D4779" s="74"/>
      <c r="E4779" s="67"/>
      <c r="F4779" s="75"/>
      <c r="G4779" s="67"/>
      <c r="H4779" s="68"/>
      <c r="I4779" s="76"/>
      <c r="J4779" s="67"/>
      <c r="K4779" s="7" t="s">
        <v>1126</v>
      </c>
      <c r="L4779" s="77"/>
      <c r="M4779" s="79"/>
      <c r="N4779" s="1"/>
      <c r="O4779" s="1"/>
      <c r="P4779" s="1"/>
      <c r="Q4779" s="1"/>
      <c r="R4779" s="1"/>
      <c r="S4779" s="1"/>
      <c r="T4779" s="1"/>
      <c r="U4779" s="1"/>
      <c r="V4779" s="1"/>
      <c r="W4779" s="1"/>
      <c r="X4779" s="1"/>
      <c r="Y4779" s="1"/>
      <c r="Z4779" s="1"/>
      <c r="AA4779" s="1"/>
      <c r="AB4779" s="1"/>
      <c r="AC4779" s="1"/>
      <c r="AD4779" s="1"/>
      <c r="AE4779" s="1"/>
      <c r="AF4779" s="1"/>
      <c r="AG4779" s="1"/>
      <c r="AH4779" s="1"/>
    </row>
    <row r="4780" ht="12.75" hidden="1" customHeight="1" outlineLevel="1">
      <c r="A4780" s="17">
        <v>41853.0</v>
      </c>
      <c r="B4780" s="1"/>
      <c r="C4780" s="1" t="s">
        <v>433</v>
      </c>
      <c r="D4780" s="74"/>
      <c r="E4780" s="67"/>
      <c r="F4780" s="75"/>
      <c r="G4780" s="67"/>
      <c r="H4780" s="68"/>
      <c r="I4780" s="76"/>
      <c r="J4780" s="67"/>
      <c r="K4780" s="7" t="s">
        <v>1103</v>
      </c>
      <c r="L4780" s="77"/>
      <c r="M4780" s="79"/>
      <c r="N4780" s="1"/>
      <c r="O4780" s="1"/>
      <c r="P4780" s="1"/>
      <c r="Q4780" s="1"/>
      <c r="R4780" s="1"/>
      <c r="S4780" s="1"/>
      <c r="T4780" s="1"/>
      <c r="U4780" s="1"/>
      <c r="V4780" s="1"/>
      <c r="W4780" s="1"/>
      <c r="X4780" s="1"/>
      <c r="Y4780" s="1"/>
      <c r="Z4780" s="1"/>
      <c r="AA4780" s="1"/>
      <c r="AB4780" s="1"/>
      <c r="AC4780" s="1"/>
      <c r="AD4780" s="1"/>
      <c r="AE4780" s="1"/>
      <c r="AF4780" s="1"/>
      <c r="AG4780" s="1"/>
      <c r="AH4780" s="1"/>
    </row>
    <row r="4781" ht="12.75" hidden="1" customHeight="1" outlineLevel="1">
      <c r="A4781" s="17">
        <v>41853.0</v>
      </c>
      <c r="B4781" s="1"/>
      <c r="C4781" s="1" t="s">
        <v>435</v>
      </c>
      <c r="D4781" s="74"/>
      <c r="E4781" s="67"/>
      <c r="F4781" s="75"/>
      <c r="G4781" s="67"/>
      <c r="H4781" s="68"/>
      <c r="I4781" s="76"/>
      <c r="J4781" s="67"/>
      <c r="K4781" s="7" t="s">
        <v>1507</v>
      </c>
      <c r="L4781" s="77"/>
      <c r="M4781" s="79"/>
      <c r="N4781" s="1"/>
      <c r="O4781" s="1"/>
      <c r="P4781" s="1"/>
      <c r="Q4781" s="1"/>
      <c r="R4781" s="1"/>
      <c r="S4781" s="1"/>
      <c r="T4781" s="1"/>
      <c r="U4781" s="1"/>
      <c r="V4781" s="1"/>
      <c r="W4781" s="1"/>
      <c r="X4781" s="1"/>
      <c r="Y4781" s="1"/>
      <c r="Z4781" s="1"/>
      <c r="AA4781" s="1"/>
      <c r="AB4781" s="1"/>
      <c r="AC4781" s="1"/>
      <c r="AD4781" s="1"/>
      <c r="AE4781" s="1"/>
      <c r="AF4781" s="1"/>
      <c r="AG4781" s="1"/>
      <c r="AH4781" s="1"/>
    </row>
    <row r="4782" ht="12.75" hidden="1" customHeight="1" outlineLevel="1">
      <c r="A4782" s="17">
        <v>41855.0</v>
      </c>
      <c r="B4782" s="1"/>
      <c r="C4782" s="1" t="s">
        <v>339</v>
      </c>
      <c r="D4782" s="74"/>
      <c r="E4782" s="67"/>
      <c r="F4782" s="75"/>
      <c r="G4782" s="67"/>
      <c r="H4782" s="68"/>
      <c r="I4782" s="76"/>
      <c r="J4782" s="67"/>
      <c r="K4782" s="7" t="s">
        <v>2040</v>
      </c>
      <c r="L4782" s="77"/>
      <c r="M4782" s="79"/>
      <c r="N4782" s="1"/>
      <c r="O4782" s="1"/>
      <c r="P4782" s="1"/>
      <c r="Q4782" s="1"/>
      <c r="R4782" s="1"/>
      <c r="S4782" s="1"/>
      <c r="T4782" s="1"/>
      <c r="U4782" s="1"/>
      <c r="V4782" s="1"/>
      <c r="W4782" s="1"/>
      <c r="X4782" s="1"/>
      <c r="Y4782" s="1"/>
      <c r="Z4782" s="1"/>
      <c r="AA4782" s="1"/>
      <c r="AB4782" s="1"/>
      <c r="AC4782" s="1"/>
      <c r="AD4782" s="1"/>
      <c r="AE4782" s="1"/>
      <c r="AF4782" s="1"/>
      <c r="AG4782" s="1"/>
      <c r="AH4782" s="1"/>
    </row>
    <row r="4783" ht="12.75" hidden="1" customHeight="1" outlineLevel="1">
      <c r="A4783" s="17">
        <v>41855.0</v>
      </c>
      <c r="B4783" s="1"/>
      <c r="C4783" s="1" t="s">
        <v>429</v>
      </c>
      <c r="D4783" s="74"/>
      <c r="E4783" s="67"/>
      <c r="F4783" s="75"/>
      <c r="G4783" s="67"/>
      <c r="H4783" s="68"/>
      <c r="I4783" s="76"/>
      <c r="J4783" s="67"/>
      <c r="K4783" s="7" t="s">
        <v>2031</v>
      </c>
      <c r="L4783" s="77"/>
      <c r="M4783" s="79"/>
      <c r="N4783" s="1"/>
      <c r="O4783" s="1"/>
      <c r="P4783" s="1"/>
      <c r="Q4783" s="1"/>
      <c r="R4783" s="1"/>
      <c r="S4783" s="1"/>
      <c r="T4783" s="1"/>
      <c r="U4783" s="1"/>
      <c r="V4783" s="1"/>
      <c r="W4783" s="1"/>
      <c r="X4783" s="1"/>
      <c r="Y4783" s="1"/>
      <c r="Z4783" s="1"/>
      <c r="AA4783" s="1"/>
      <c r="AB4783" s="1"/>
      <c r="AC4783" s="1"/>
      <c r="AD4783" s="1"/>
      <c r="AE4783" s="1"/>
      <c r="AF4783" s="1"/>
      <c r="AG4783" s="1"/>
      <c r="AH4783" s="1"/>
    </row>
    <row r="4784" ht="12.75" hidden="1" customHeight="1" outlineLevel="1">
      <c r="A4784" s="17">
        <v>41855.0</v>
      </c>
      <c r="B4784" s="1"/>
      <c r="C4784" s="1" t="s">
        <v>431</v>
      </c>
      <c r="D4784" s="74"/>
      <c r="E4784" s="67"/>
      <c r="F4784" s="75"/>
      <c r="G4784" s="67"/>
      <c r="H4784" s="68"/>
      <c r="I4784" s="76"/>
      <c r="J4784" s="67"/>
      <c r="K4784" s="7" t="s">
        <v>1126</v>
      </c>
      <c r="L4784" s="77"/>
      <c r="M4784" s="79"/>
      <c r="N4784" s="1"/>
      <c r="O4784" s="1"/>
      <c r="P4784" s="1"/>
      <c r="Q4784" s="1"/>
      <c r="R4784" s="1"/>
      <c r="S4784" s="1"/>
      <c r="T4784" s="1"/>
      <c r="U4784" s="1"/>
      <c r="V4784" s="1"/>
      <c r="W4784" s="1"/>
      <c r="X4784" s="1"/>
      <c r="Y4784" s="1"/>
      <c r="Z4784" s="1"/>
      <c r="AA4784" s="1"/>
      <c r="AB4784" s="1"/>
      <c r="AC4784" s="1"/>
      <c r="AD4784" s="1"/>
      <c r="AE4784" s="1"/>
      <c r="AF4784" s="1"/>
      <c r="AG4784" s="1"/>
      <c r="AH4784" s="1"/>
    </row>
    <row r="4785" ht="12.75" hidden="1" customHeight="1" outlineLevel="1">
      <c r="A4785" s="17">
        <v>41855.0</v>
      </c>
      <c r="B4785" s="1"/>
      <c r="C4785" s="1" t="s">
        <v>433</v>
      </c>
      <c r="D4785" s="74"/>
      <c r="E4785" s="67"/>
      <c r="F4785" s="75"/>
      <c r="G4785" s="67"/>
      <c r="H4785" s="68"/>
      <c r="I4785" s="76"/>
      <c r="J4785" s="67"/>
      <c r="K4785" s="7" t="s">
        <v>1103</v>
      </c>
      <c r="L4785" s="77"/>
      <c r="M4785" s="79"/>
      <c r="N4785" s="1"/>
      <c r="O4785" s="1"/>
      <c r="P4785" s="1"/>
      <c r="Q4785" s="1"/>
      <c r="R4785" s="1"/>
      <c r="S4785" s="1"/>
      <c r="T4785" s="1"/>
      <c r="U4785" s="1"/>
      <c r="V4785" s="1"/>
      <c r="W4785" s="1"/>
      <c r="X4785" s="1"/>
      <c r="Y4785" s="1"/>
      <c r="Z4785" s="1"/>
      <c r="AA4785" s="1"/>
      <c r="AB4785" s="1"/>
      <c r="AC4785" s="1"/>
      <c r="AD4785" s="1"/>
      <c r="AE4785" s="1"/>
      <c r="AF4785" s="1"/>
      <c r="AG4785" s="1"/>
      <c r="AH4785" s="1"/>
    </row>
    <row r="4786" ht="12.75" hidden="1" customHeight="1" outlineLevel="1">
      <c r="A4786" s="17">
        <v>41855.0</v>
      </c>
      <c r="B4786" s="1"/>
      <c r="C4786" s="1" t="s">
        <v>435</v>
      </c>
      <c r="D4786" s="74"/>
      <c r="E4786" s="67"/>
      <c r="F4786" s="75"/>
      <c r="G4786" s="67"/>
      <c r="H4786" s="68"/>
      <c r="I4786" s="76"/>
      <c r="J4786" s="67"/>
      <c r="K4786" s="7" t="s">
        <v>1507</v>
      </c>
      <c r="L4786" s="77"/>
      <c r="M4786" s="79"/>
      <c r="N4786" s="1"/>
      <c r="O4786" s="1"/>
      <c r="P4786" s="1"/>
      <c r="Q4786" s="1"/>
      <c r="R4786" s="1"/>
      <c r="S4786" s="1"/>
      <c r="T4786" s="1"/>
      <c r="U4786" s="1"/>
      <c r="V4786" s="1"/>
      <c r="W4786" s="1"/>
      <c r="X4786" s="1"/>
      <c r="Y4786" s="1"/>
      <c r="Z4786" s="1"/>
      <c r="AA4786" s="1"/>
      <c r="AB4786" s="1"/>
      <c r="AC4786" s="1"/>
      <c r="AD4786" s="1"/>
      <c r="AE4786" s="1"/>
      <c r="AF4786" s="1"/>
      <c r="AG4786" s="1"/>
      <c r="AH4786" s="1"/>
    </row>
    <row r="4787" ht="12.75" hidden="1" customHeight="1" outlineLevel="1">
      <c r="A4787" s="17">
        <v>41858.0</v>
      </c>
      <c r="B4787" s="1" t="s">
        <v>347</v>
      </c>
      <c r="C4787" s="1" t="s">
        <v>779</v>
      </c>
      <c r="D4787" s="74">
        <v>125.0</v>
      </c>
      <c r="E4787" s="67">
        <v>243.253</v>
      </c>
      <c r="F4787" s="75">
        <v>0.636886574074074</v>
      </c>
      <c r="G4787" s="67" t="s">
        <v>453</v>
      </c>
      <c r="H4787" s="68">
        <v>1.67</v>
      </c>
      <c r="I4787" s="76"/>
      <c r="J4787" s="67">
        <f>IF(B4787="SLD",D4787*E4787,-D4787*E4787)-H4787</f>
        <v>30404.955</v>
      </c>
      <c r="K4787" s="7"/>
      <c r="L4787" s="70"/>
      <c r="M4787" s="79"/>
      <c r="N4787" s="1"/>
      <c r="O4787" s="1"/>
      <c r="P4787" s="1"/>
      <c r="Q4787" s="1"/>
      <c r="R4787" s="1"/>
      <c r="S4787" s="1"/>
      <c r="T4787" s="1"/>
      <c r="U4787" s="1"/>
      <c r="V4787" s="1"/>
      <c r="W4787" s="1"/>
      <c r="X4787" s="1"/>
      <c r="Y4787" s="1"/>
      <c r="Z4787" s="1"/>
      <c r="AA4787" s="1"/>
      <c r="AB4787" s="1"/>
      <c r="AC4787" s="1"/>
      <c r="AD4787" s="1"/>
      <c r="AE4787" s="1"/>
      <c r="AF4787" s="1"/>
      <c r="AG4787" s="1"/>
      <c r="AH4787" s="1"/>
    </row>
    <row r="4788" ht="12.75" hidden="1" customHeight="1" outlineLevel="1">
      <c r="A4788" s="17">
        <v>41861.0</v>
      </c>
      <c r="B4788" s="1"/>
      <c r="C4788" s="1" t="s">
        <v>339</v>
      </c>
      <c r="D4788" s="74"/>
      <c r="E4788" s="67"/>
      <c r="F4788" s="75"/>
      <c r="G4788" s="67"/>
      <c r="H4788" s="68"/>
      <c r="I4788" s="76"/>
      <c r="J4788" s="67"/>
      <c r="K4788" s="7" t="s">
        <v>2044</v>
      </c>
      <c r="L4788" s="77"/>
      <c r="M4788" s="79"/>
      <c r="N4788" s="1"/>
      <c r="O4788" s="1"/>
      <c r="P4788" s="1"/>
      <c r="Q4788" s="1"/>
      <c r="R4788" s="1"/>
      <c r="S4788" s="1"/>
      <c r="T4788" s="1"/>
      <c r="U4788" s="1"/>
      <c r="V4788" s="1"/>
      <c r="W4788" s="1"/>
      <c r="X4788" s="1"/>
      <c r="Y4788" s="1"/>
      <c r="Z4788" s="1"/>
      <c r="AA4788" s="1"/>
      <c r="AB4788" s="1"/>
      <c r="AC4788" s="1"/>
      <c r="AD4788" s="1"/>
      <c r="AE4788" s="1"/>
      <c r="AF4788" s="1"/>
      <c r="AG4788" s="1"/>
      <c r="AH4788" s="1"/>
    </row>
    <row r="4789" ht="12.75" hidden="1" customHeight="1" outlineLevel="1">
      <c r="A4789" s="17">
        <v>41861.0</v>
      </c>
      <c r="B4789" s="1"/>
      <c r="C4789" s="1" t="s">
        <v>429</v>
      </c>
      <c r="D4789" s="74"/>
      <c r="E4789" s="67"/>
      <c r="F4789" s="75"/>
      <c r="G4789" s="67"/>
      <c r="H4789" s="68"/>
      <c r="I4789" s="76"/>
      <c r="J4789" s="67"/>
      <c r="K4789" s="7" t="s">
        <v>2031</v>
      </c>
      <c r="L4789" s="77"/>
      <c r="M4789" s="79"/>
      <c r="N4789" s="1"/>
      <c r="O4789" s="1"/>
      <c r="P4789" s="1"/>
      <c r="Q4789" s="1"/>
      <c r="R4789" s="1"/>
      <c r="S4789" s="1"/>
      <c r="T4789" s="1"/>
      <c r="U4789" s="1"/>
      <c r="V4789" s="1"/>
      <c r="W4789" s="1"/>
      <c r="X4789" s="1"/>
      <c r="Y4789" s="1"/>
      <c r="Z4789" s="1"/>
      <c r="AA4789" s="1"/>
      <c r="AB4789" s="1"/>
      <c r="AC4789" s="1"/>
      <c r="AD4789" s="1"/>
      <c r="AE4789" s="1"/>
      <c r="AF4789" s="1"/>
      <c r="AG4789" s="1"/>
      <c r="AH4789" s="1"/>
    </row>
    <row r="4790" ht="12.75" hidden="1" customHeight="1" outlineLevel="1">
      <c r="A4790" s="17">
        <v>41861.0</v>
      </c>
      <c r="B4790" s="1"/>
      <c r="C4790" s="1" t="s">
        <v>431</v>
      </c>
      <c r="D4790" s="74"/>
      <c r="E4790" s="67"/>
      <c r="F4790" s="75"/>
      <c r="G4790" s="67"/>
      <c r="H4790" s="68"/>
      <c r="I4790" s="76"/>
      <c r="J4790" s="67"/>
      <c r="K4790" s="7" t="s">
        <v>1126</v>
      </c>
      <c r="L4790" s="77"/>
      <c r="M4790" s="79"/>
      <c r="N4790" s="1"/>
      <c r="O4790" s="1"/>
      <c r="P4790" s="1"/>
      <c r="Q4790" s="1"/>
      <c r="R4790" s="1"/>
      <c r="S4790" s="1"/>
      <c r="T4790" s="1"/>
      <c r="U4790" s="1"/>
      <c r="V4790" s="1"/>
      <c r="W4790" s="1"/>
      <c r="X4790" s="1"/>
      <c r="Y4790" s="1"/>
      <c r="Z4790" s="1"/>
      <c r="AA4790" s="1"/>
      <c r="AB4790" s="1"/>
      <c r="AC4790" s="1"/>
      <c r="AD4790" s="1"/>
      <c r="AE4790" s="1"/>
      <c r="AF4790" s="1"/>
      <c r="AG4790" s="1"/>
      <c r="AH4790" s="1"/>
    </row>
    <row r="4791" ht="12.75" hidden="1" customHeight="1" outlineLevel="1">
      <c r="A4791" s="17">
        <v>41861.0</v>
      </c>
      <c r="B4791" s="1"/>
      <c r="C4791" s="1" t="s">
        <v>433</v>
      </c>
      <c r="D4791" s="74"/>
      <c r="E4791" s="67"/>
      <c r="F4791" s="75"/>
      <c r="G4791" s="67"/>
      <c r="H4791" s="68"/>
      <c r="I4791" s="76"/>
      <c r="J4791" s="67"/>
      <c r="K4791" s="7" t="s">
        <v>1103</v>
      </c>
      <c r="L4791" s="77"/>
      <c r="M4791" s="79"/>
      <c r="N4791" s="1"/>
      <c r="O4791" s="1"/>
      <c r="P4791" s="1"/>
      <c r="Q4791" s="1"/>
      <c r="R4791" s="1"/>
      <c r="S4791" s="1"/>
      <c r="T4791" s="1"/>
      <c r="U4791" s="1"/>
      <c r="V4791" s="1"/>
      <c r="W4791" s="1"/>
      <c r="X4791" s="1"/>
      <c r="Y4791" s="1"/>
      <c r="Z4791" s="1"/>
      <c r="AA4791" s="1"/>
      <c r="AB4791" s="1"/>
      <c r="AC4791" s="1"/>
      <c r="AD4791" s="1"/>
      <c r="AE4791" s="1"/>
      <c r="AF4791" s="1"/>
      <c r="AG4791" s="1"/>
      <c r="AH4791" s="1"/>
    </row>
    <row r="4792" ht="12.75" hidden="1" customHeight="1" outlineLevel="1">
      <c r="A4792" s="17">
        <v>41861.0</v>
      </c>
      <c r="B4792" s="1"/>
      <c r="C4792" s="1" t="s">
        <v>435</v>
      </c>
      <c r="D4792" s="74"/>
      <c r="E4792" s="67"/>
      <c r="F4792" s="75"/>
      <c r="G4792" s="67"/>
      <c r="H4792" s="68"/>
      <c r="I4792" s="76"/>
      <c r="J4792" s="67"/>
      <c r="K4792" s="7" t="s">
        <v>1507</v>
      </c>
      <c r="L4792" s="77"/>
      <c r="M4792" s="79"/>
      <c r="N4792" s="1"/>
      <c r="O4792" s="1"/>
      <c r="P4792" s="1"/>
      <c r="Q4792" s="1"/>
      <c r="R4792" s="1"/>
      <c r="S4792" s="1"/>
      <c r="T4792" s="1"/>
      <c r="U4792" s="1"/>
      <c r="V4792" s="1"/>
      <c r="W4792" s="1"/>
      <c r="X4792" s="1"/>
      <c r="Y4792" s="1"/>
      <c r="Z4792" s="1"/>
      <c r="AA4792" s="1"/>
      <c r="AB4792" s="1"/>
      <c r="AC4792" s="1"/>
      <c r="AD4792" s="1"/>
      <c r="AE4792" s="1"/>
      <c r="AF4792" s="1"/>
      <c r="AG4792" s="1"/>
      <c r="AH4792" s="1"/>
    </row>
    <row r="4793" ht="12.75" hidden="1" customHeight="1" outlineLevel="1">
      <c r="A4793" s="17">
        <v>41861.0</v>
      </c>
      <c r="B4793" s="1"/>
      <c r="C4793" s="1" t="s">
        <v>339</v>
      </c>
      <c r="D4793" s="74"/>
      <c r="E4793" s="67"/>
      <c r="F4793" s="75"/>
      <c r="G4793" s="67"/>
      <c r="H4793" s="68"/>
      <c r="I4793" s="76"/>
      <c r="J4793" s="67"/>
      <c r="K4793" s="7" t="s">
        <v>2046</v>
      </c>
      <c r="L4793" s="77"/>
      <c r="M4793" s="79"/>
      <c r="N4793" s="1"/>
      <c r="O4793" s="1"/>
      <c r="P4793" s="1"/>
      <c r="Q4793" s="1"/>
      <c r="R4793" s="1"/>
      <c r="S4793" s="1"/>
      <c r="T4793" s="1"/>
      <c r="U4793" s="1"/>
      <c r="V4793" s="1"/>
      <c r="W4793" s="1"/>
      <c r="X4793" s="1"/>
      <c r="Y4793" s="1"/>
      <c r="Z4793" s="1"/>
      <c r="AA4793" s="1"/>
      <c r="AB4793" s="1"/>
      <c r="AC4793" s="1"/>
      <c r="AD4793" s="1"/>
      <c r="AE4793" s="1"/>
      <c r="AF4793" s="1"/>
      <c r="AG4793" s="1"/>
      <c r="AH4793" s="1"/>
    </row>
    <row r="4794" ht="12.75" hidden="1" customHeight="1" outlineLevel="1">
      <c r="A4794" s="17">
        <v>41861.0</v>
      </c>
      <c r="B4794" s="1"/>
      <c r="C4794" s="1" t="s">
        <v>429</v>
      </c>
      <c r="D4794" s="74"/>
      <c r="E4794" s="67"/>
      <c r="F4794" s="75"/>
      <c r="G4794" s="67"/>
      <c r="H4794" s="68"/>
      <c r="I4794" s="76"/>
      <c r="J4794" s="67"/>
      <c r="K4794" s="7" t="s">
        <v>2031</v>
      </c>
      <c r="L4794" s="77"/>
      <c r="M4794" s="79"/>
      <c r="N4794" s="1"/>
      <c r="O4794" s="1"/>
      <c r="P4794" s="1"/>
      <c r="Q4794" s="1"/>
      <c r="R4794" s="1"/>
      <c r="S4794" s="1"/>
      <c r="T4794" s="1"/>
      <c r="U4794" s="1"/>
      <c r="V4794" s="1"/>
      <c r="W4794" s="1"/>
      <c r="X4794" s="1"/>
      <c r="Y4794" s="1"/>
      <c r="Z4794" s="1"/>
      <c r="AA4794" s="1"/>
      <c r="AB4794" s="1"/>
      <c r="AC4794" s="1"/>
      <c r="AD4794" s="1"/>
      <c r="AE4794" s="1"/>
      <c r="AF4794" s="1"/>
      <c r="AG4794" s="1"/>
      <c r="AH4794" s="1"/>
    </row>
    <row r="4795" ht="12.75" hidden="1" customHeight="1" outlineLevel="1">
      <c r="A4795" s="17">
        <v>41861.0</v>
      </c>
      <c r="B4795" s="1"/>
      <c r="C4795" s="1" t="s">
        <v>431</v>
      </c>
      <c r="D4795" s="74"/>
      <c r="E4795" s="67"/>
      <c r="F4795" s="75"/>
      <c r="G4795" s="67"/>
      <c r="H4795" s="68"/>
      <c r="I4795" s="76"/>
      <c r="J4795" s="67"/>
      <c r="K4795" s="7" t="s">
        <v>1126</v>
      </c>
      <c r="L4795" s="77"/>
      <c r="M4795" s="79"/>
      <c r="N4795" s="1"/>
      <c r="O4795" s="1"/>
      <c r="P4795" s="1"/>
      <c r="Q4795" s="1"/>
      <c r="R4795" s="1"/>
      <c r="S4795" s="1"/>
      <c r="T4795" s="1"/>
      <c r="U4795" s="1"/>
      <c r="V4795" s="1"/>
      <c r="W4795" s="1"/>
      <c r="X4795" s="1"/>
      <c r="Y4795" s="1"/>
      <c r="Z4795" s="1"/>
      <c r="AA4795" s="1"/>
      <c r="AB4795" s="1"/>
      <c r="AC4795" s="1"/>
      <c r="AD4795" s="1"/>
      <c r="AE4795" s="1"/>
      <c r="AF4795" s="1"/>
      <c r="AG4795" s="1"/>
      <c r="AH4795" s="1"/>
    </row>
    <row r="4796" ht="12.75" hidden="1" customHeight="1" outlineLevel="1">
      <c r="A4796" s="17">
        <v>41861.0</v>
      </c>
      <c r="B4796" s="1"/>
      <c r="C4796" s="1" t="s">
        <v>433</v>
      </c>
      <c r="D4796" s="74"/>
      <c r="E4796" s="67"/>
      <c r="F4796" s="75"/>
      <c r="G4796" s="67"/>
      <c r="H4796" s="68"/>
      <c r="I4796" s="76"/>
      <c r="J4796" s="67"/>
      <c r="K4796" s="7" t="s">
        <v>1103</v>
      </c>
      <c r="L4796" s="77"/>
      <c r="M4796" s="79"/>
      <c r="N4796" s="1"/>
      <c r="O4796" s="1"/>
      <c r="P4796" s="1"/>
      <c r="Q4796" s="1"/>
      <c r="R4796" s="1"/>
      <c r="S4796" s="1"/>
      <c r="T4796" s="1"/>
      <c r="U4796" s="1"/>
      <c r="V4796" s="1"/>
      <c r="W4796" s="1"/>
      <c r="X4796" s="1"/>
      <c r="Y4796" s="1"/>
      <c r="Z4796" s="1"/>
      <c r="AA4796" s="1"/>
      <c r="AB4796" s="1"/>
      <c r="AC4796" s="1"/>
      <c r="AD4796" s="1"/>
      <c r="AE4796" s="1"/>
      <c r="AF4796" s="1"/>
      <c r="AG4796" s="1"/>
      <c r="AH4796" s="1"/>
    </row>
    <row r="4797" ht="12.75" hidden="1" customHeight="1" outlineLevel="1">
      <c r="A4797" s="17">
        <v>41861.0</v>
      </c>
      <c r="B4797" s="1"/>
      <c r="C4797" s="1" t="s">
        <v>435</v>
      </c>
      <c r="D4797" s="74"/>
      <c r="E4797" s="67"/>
      <c r="F4797" s="75"/>
      <c r="G4797" s="67"/>
      <c r="H4797" s="68"/>
      <c r="I4797" s="76"/>
      <c r="J4797" s="67"/>
      <c r="K4797" s="7" t="s">
        <v>1507</v>
      </c>
      <c r="L4797" s="77"/>
      <c r="M4797" s="79"/>
      <c r="N4797" s="1"/>
      <c r="O4797" s="1"/>
      <c r="P4797" s="1"/>
      <c r="Q4797" s="1"/>
      <c r="R4797" s="1"/>
      <c r="S4797" s="1"/>
      <c r="T4797" s="1"/>
      <c r="U4797" s="1"/>
      <c r="V4797" s="1"/>
      <c r="W4797" s="1"/>
      <c r="X4797" s="1"/>
      <c r="Y4797" s="1"/>
      <c r="Z4797" s="1"/>
      <c r="AA4797" s="1"/>
      <c r="AB4797" s="1"/>
      <c r="AC4797" s="1"/>
      <c r="AD4797" s="1"/>
      <c r="AE4797" s="1"/>
      <c r="AF4797" s="1"/>
      <c r="AG4797" s="1"/>
      <c r="AH4797" s="1"/>
    </row>
    <row r="4798" ht="12.75" hidden="1" customHeight="1" outlineLevel="1">
      <c r="A4798" s="17">
        <v>41862.0</v>
      </c>
      <c r="B4798" s="1" t="s">
        <v>343</v>
      </c>
      <c r="C4798" s="1" t="s">
        <v>1357</v>
      </c>
      <c r="D4798" s="74">
        <v>200.0</v>
      </c>
      <c r="E4798" s="67">
        <v>35.82</v>
      </c>
      <c r="F4798" s="75">
        <v>0.47671296296296295</v>
      </c>
      <c r="G4798" s="67" t="s">
        <v>453</v>
      </c>
      <c r="H4798" s="68">
        <v>1.0</v>
      </c>
      <c r="I4798" s="76"/>
      <c r="J4798" s="67">
        <f t="shared" ref="J4798:J4804" si="300">IF(B4798="SLD",D4798*E4798,-D4798*E4798)-H4798</f>
        <v>-7165</v>
      </c>
      <c r="K4798" s="7"/>
      <c r="L4798" s="70"/>
      <c r="M4798" s="79"/>
      <c r="N4798" s="1"/>
      <c r="O4798" s="1"/>
      <c r="P4798" s="1"/>
      <c r="Q4798" s="1"/>
      <c r="R4798" s="1"/>
      <c r="S4798" s="1"/>
      <c r="T4798" s="1"/>
      <c r="U4798" s="1"/>
      <c r="V4798" s="1"/>
      <c r="W4798" s="1"/>
      <c r="X4798" s="1"/>
      <c r="Y4798" s="1"/>
      <c r="Z4798" s="1"/>
      <c r="AA4798" s="1"/>
      <c r="AB4798" s="1"/>
      <c r="AC4798" s="1"/>
      <c r="AD4798" s="1"/>
      <c r="AE4798" s="1"/>
      <c r="AF4798" s="1"/>
      <c r="AG4798" s="1"/>
      <c r="AH4798" s="1"/>
    </row>
    <row r="4799" ht="12.75" hidden="1" customHeight="1" outlineLevel="1">
      <c r="A4799" s="17">
        <v>41862.0</v>
      </c>
      <c r="B4799" s="1" t="s">
        <v>343</v>
      </c>
      <c r="C4799" s="1" t="s">
        <v>1060</v>
      </c>
      <c r="D4799" s="74">
        <v>200.0</v>
      </c>
      <c r="E4799" s="67">
        <v>36.969</v>
      </c>
      <c r="F4799" s="75">
        <v>0.5108333333333334</v>
      </c>
      <c r="G4799" s="67" t="s">
        <v>453</v>
      </c>
      <c r="H4799" s="68">
        <v>1.0</v>
      </c>
      <c r="I4799" s="76"/>
      <c r="J4799" s="67">
        <f t="shared" si="300"/>
        <v>-7394.8</v>
      </c>
      <c r="K4799" s="7"/>
      <c r="L4799" s="70"/>
      <c r="M4799" s="79"/>
      <c r="N4799" s="1"/>
      <c r="O4799" s="1"/>
      <c r="P4799" s="1"/>
      <c r="Q4799" s="1"/>
      <c r="R4799" s="1"/>
      <c r="S4799" s="1"/>
      <c r="T4799" s="1"/>
      <c r="U4799" s="1"/>
      <c r="V4799" s="1"/>
      <c r="W4799" s="1"/>
      <c r="X4799" s="1"/>
      <c r="Y4799" s="1"/>
      <c r="Z4799" s="1"/>
      <c r="AA4799" s="1"/>
      <c r="AB4799" s="1"/>
      <c r="AC4799" s="1"/>
      <c r="AD4799" s="1"/>
      <c r="AE4799" s="1"/>
      <c r="AF4799" s="1"/>
      <c r="AG4799" s="1"/>
      <c r="AH4799" s="1"/>
    </row>
    <row r="4800" ht="12.75" hidden="1" customHeight="1" outlineLevel="1">
      <c r="A4800" s="17">
        <v>41862.0</v>
      </c>
      <c r="B4800" s="1" t="s">
        <v>343</v>
      </c>
      <c r="C4800" s="1" t="s">
        <v>344</v>
      </c>
      <c r="D4800" s="74">
        <v>600.0</v>
      </c>
      <c r="E4800" s="67">
        <v>52.94</v>
      </c>
      <c r="F4800" s="75">
        <v>0.47694444444444445</v>
      </c>
      <c r="G4800" s="67" t="s">
        <v>453</v>
      </c>
      <c r="H4800" s="68">
        <v>2.5</v>
      </c>
      <c r="I4800" s="76"/>
      <c r="J4800" s="67">
        <f t="shared" si="300"/>
        <v>-31766.5</v>
      </c>
      <c r="K4800" s="7"/>
      <c r="L4800" s="70"/>
      <c r="M4800" s="79"/>
      <c r="N4800" s="1"/>
      <c r="O4800" s="1"/>
      <c r="P4800" s="1"/>
      <c r="Q4800" s="1"/>
      <c r="R4800" s="1"/>
      <c r="S4800" s="1"/>
      <c r="T4800" s="1"/>
      <c r="U4800" s="1"/>
      <c r="V4800" s="1"/>
      <c r="W4800" s="1"/>
      <c r="X4800" s="1"/>
      <c r="Y4800" s="1"/>
      <c r="Z4800" s="1"/>
      <c r="AA4800" s="1"/>
      <c r="AB4800" s="1"/>
      <c r="AC4800" s="1"/>
      <c r="AD4800" s="1"/>
      <c r="AE4800" s="1"/>
      <c r="AF4800" s="1"/>
      <c r="AG4800" s="1"/>
      <c r="AH4800" s="1"/>
    </row>
    <row r="4801" ht="12.75" hidden="1" customHeight="1" outlineLevel="1">
      <c r="A4801" s="17">
        <v>41862.0</v>
      </c>
      <c r="B4801" s="1" t="s">
        <v>343</v>
      </c>
      <c r="C4801" s="1" t="s">
        <v>1357</v>
      </c>
      <c r="D4801" s="74">
        <v>200.0</v>
      </c>
      <c r="E4801" s="67">
        <v>36.468</v>
      </c>
      <c r="F4801" s="75">
        <v>0.47707175925925926</v>
      </c>
      <c r="G4801" s="67" t="s">
        <v>453</v>
      </c>
      <c r="H4801" s="68">
        <v>1.0</v>
      </c>
      <c r="I4801" s="76"/>
      <c r="J4801" s="67">
        <f t="shared" si="300"/>
        <v>-7294.6</v>
      </c>
      <c r="K4801" s="7"/>
      <c r="L4801" s="70"/>
      <c r="M4801" s="79"/>
      <c r="N4801" s="1"/>
      <c r="O4801" s="1"/>
      <c r="P4801" s="1"/>
      <c r="Q4801" s="1"/>
      <c r="R4801" s="1"/>
      <c r="S4801" s="1"/>
      <c r="T4801" s="1"/>
      <c r="U4801" s="1"/>
      <c r="V4801" s="1"/>
      <c r="W4801" s="1"/>
      <c r="X4801" s="1"/>
      <c r="Y4801" s="1"/>
      <c r="Z4801" s="1"/>
      <c r="AA4801" s="1"/>
      <c r="AB4801" s="1"/>
      <c r="AC4801" s="1"/>
      <c r="AD4801" s="1"/>
      <c r="AE4801" s="1"/>
      <c r="AF4801" s="1"/>
      <c r="AG4801" s="1"/>
      <c r="AH4801" s="1"/>
    </row>
    <row r="4802" ht="12.75" hidden="1" customHeight="1" outlineLevel="1">
      <c r="A4802" s="17">
        <v>41862.0</v>
      </c>
      <c r="B4802" s="1" t="s">
        <v>343</v>
      </c>
      <c r="C4802" s="1" t="s">
        <v>1060</v>
      </c>
      <c r="D4802" s="74">
        <v>200.0</v>
      </c>
      <c r="E4802" s="67">
        <v>37.95</v>
      </c>
      <c r="F4802" s="75">
        <v>0.4778125</v>
      </c>
      <c r="G4802" s="67" t="s">
        <v>453</v>
      </c>
      <c r="H4802" s="68">
        <v>1.0</v>
      </c>
      <c r="I4802" s="76"/>
      <c r="J4802" s="67">
        <f t="shared" si="300"/>
        <v>-7591</v>
      </c>
      <c r="K4802" s="7"/>
      <c r="L4802" s="70"/>
      <c r="M4802" s="79"/>
      <c r="N4802" s="1"/>
      <c r="O4802" s="1"/>
      <c r="P4802" s="1"/>
      <c r="Q4802" s="1"/>
      <c r="R4802" s="1"/>
      <c r="S4802" s="1"/>
      <c r="T4802" s="1"/>
      <c r="U4802" s="1"/>
      <c r="V4802" s="1"/>
      <c r="W4802" s="1"/>
      <c r="X4802" s="1"/>
      <c r="Y4802" s="1"/>
      <c r="Z4802" s="1"/>
      <c r="AA4802" s="1"/>
      <c r="AB4802" s="1"/>
      <c r="AC4802" s="1"/>
      <c r="AD4802" s="1"/>
      <c r="AE4802" s="1"/>
      <c r="AF4802" s="1"/>
      <c r="AG4802" s="1"/>
      <c r="AH4802" s="1"/>
    </row>
    <row r="4803" ht="12.75" hidden="1" customHeight="1" outlineLevel="1">
      <c r="A4803" s="17">
        <v>41862.0</v>
      </c>
      <c r="B4803" s="1" t="s">
        <v>343</v>
      </c>
      <c r="C4803" s="1" t="s">
        <v>344</v>
      </c>
      <c r="D4803" s="74">
        <v>100.0</v>
      </c>
      <c r="E4803" s="67">
        <v>54.11</v>
      </c>
      <c r="F4803" s="75">
        <v>0.47378472222222223</v>
      </c>
      <c r="G4803" s="67" t="s">
        <v>453</v>
      </c>
      <c r="H4803" s="68">
        <v>1.0</v>
      </c>
      <c r="I4803" s="76"/>
      <c r="J4803" s="67">
        <f t="shared" si="300"/>
        <v>-5412</v>
      </c>
      <c r="K4803" s="7"/>
      <c r="L4803" s="70"/>
      <c r="M4803" s="79"/>
      <c r="N4803" s="1"/>
      <c r="O4803" s="1"/>
      <c r="P4803" s="1"/>
      <c r="Q4803" s="1"/>
      <c r="R4803" s="1"/>
      <c r="S4803" s="1"/>
      <c r="T4803" s="1"/>
      <c r="U4803" s="1"/>
      <c r="V4803" s="1"/>
      <c r="W4803" s="1"/>
      <c r="X4803" s="1"/>
      <c r="Y4803" s="1"/>
      <c r="Z4803" s="1"/>
      <c r="AA4803" s="1"/>
      <c r="AB4803" s="1"/>
      <c r="AC4803" s="1"/>
      <c r="AD4803" s="1"/>
      <c r="AE4803" s="1"/>
      <c r="AF4803" s="1"/>
      <c r="AG4803" s="1"/>
      <c r="AH4803" s="1"/>
    </row>
    <row r="4804" ht="12.75" hidden="1" customHeight="1" outlineLevel="1">
      <c r="A4804" s="17">
        <v>41862.0</v>
      </c>
      <c r="B4804" s="1" t="s">
        <v>343</v>
      </c>
      <c r="C4804" s="1" t="s">
        <v>1325</v>
      </c>
      <c r="D4804" s="74">
        <v>100.0</v>
      </c>
      <c r="E4804" s="67">
        <v>64.957</v>
      </c>
      <c r="F4804" s="75">
        <v>0.4753935185185185</v>
      </c>
      <c r="G4804" s="67" t="s">
        <v>453</v>
      </c>
      <c r="H4804" s="68">
        <v>1.0</v>
      </c>
      <c r="I4804" s="76"/>
      <c r="J4804" s="67">
        <f t="shared" si="300"/>
        <v>-6496.7</v>
      </c>
      <c r="K4804" s="7"/>
      <c r="L4804" s="70"/>
      <c r="M4804" s="79"/>
      <c r="N4804" s="1"/>
      <c r="O4804" s="1"/>
      <c r="P4804" s="1"/>
      <c r="Q4804" s="1"/>
      <c r="R4804" s="1"/>
      <c r="S4804" s="1"/>
      <c r="T4804" s="1"/>
      <c r="U4804" s="1"/>
      <c r="V4804" s="1"/>
      <c r="W4804" s="1"/>
      <c r="X4804" s="1"/>
      <c r="Y4804" s="1"/>
      <c r="Z4804" s="1"/>
      <c r="AA4804" s="1"/>
      <c r="AB4804" s="1"/>
      <c r="AC4804" s="1"/>
      <c r="AD4804" s="1"/>
      <c r="AE4804" s="1"/>
      <c r="AF4804" s="1"/>
      <c r="AG4804" s="1"/>
      <c r="AH4804" s="1"/>
    </row>
    <row r="4805" ht="12.75" hidden="1" customHeight="1" outlineLevel="1">
      <c r="A4805" s="17">
        <v>41862.0</v>
      </c>
      <c r="B4805" s="1"/>
      <c r="C4805" s="1" t="s">
        <v>339</v>
      </c>
      <c r="D4805" s="74"/>
      <c r="E4805" s="67"/>
      <c r="F4805" s="75"/>
      <c r="G4805" s="67"/>
      <c r="H4805" s="68"/>
      <c r="I4805" s="76"/>
      <c r="J4805" s="67"/>
      <c r="K4805" s="7" t="s">
        <v>2046</v>
      </c>
      <c r="L4805" s="77"/>
      <c r="M4805" s="79"/>
      <c r="N4805" s="1"/>
      <c r="O4805" s="1"/>
      <c r="P4805" s="1"/>
      <c r="Q4805" s="1"/>
      <c r="R4805" s="1"/>
      <c r="S4805" s="1"/>
      <c r="T4805" s="1"/>
      <c r="U4805" s="1"/>
      <c r="V4805" s="1"/>
      <c r="W4805" s="1"/>
      <c r="X4805" s="1"/>
      <c r="Y4805" s="1"/>
      <c r="Z4805" s="1"/>
      <c r="AA4805" s="1"/>
      <c r="AB4805" s="1"/>
      <c r="AC4805" s="1"/>
      <c r="AD4805" s="1"/>
      <c r="AE4805" s="1"/>
      <c r="AF4805" s="1"/>
      <c r="AG4805" s="1"/>
      <c r="AH4805" s="1"/>
    </row>
    <row r="4806" ht="12.75" hidden="1" customHeight="1" outlineLevel="1">
      <c r="A4806" s="17">
        <v>41862.0</v>
      </c>
      <c r="B4806" s="1"/>
      <c r="C4806" s="1" t="s">
        <v>429</v>
      </c>
      <c r="D4806" s="74"/>
      <c r="E4806" s="67"/>
      <c r="F4806" s="75"/>
      <c r="G4806" s="67"/>
      <c r="H4806" s="68"/>
      <c r="I4806" s="76"/>
      <c r="J4806" s="67"/>
      <c r="K4806" s="7" t="s">
        <v>2031</v>
      </c>
      <c r="L4806" s="77"/>
      <c r="M4806" s="79"/>
      <c r="N4806" s="1"/>
      <c r="O4806" s="1"/>
      <c r="P4806" s="1"/>
      <c r="Q4806" s="1"/>
      <c r="R4806" s="1"/>
      <c r="S4806" s="1"/>
      <c r="T4806" s="1"/>
      <c r="U4806" s="1"/>
      <c r="V4806" s="1"/>
      <c r="W4806" s="1"/>
      <c r="X4806" s="1"/>
      <c r="Y4806" s="1"/>
      <c r="Z4806" s="1"/>
      <c r="AA4806" s="1"/>
      <c r="AB4806" s="1"/>
      <c r="AC4806" s="1"/>
      <c r="AD4806" s="1"/>
      <c r="AE4806" s="1"/>
      <c r="AF4806" s="1"/>
      <c r="AG4806" s="1"/>
      <c r="AH4806" s="1"/>
    </row>
    <row r="4807" ht="12.75" hidden="1" customHeight="1" outlineLevel="1">
      <c r="A4807" s="17">
        <v>41862.0</v>
      </c>
      <c r="B4807" s="1"/>
      <c r="C4807" s="1" t="s">
        <v>431</v>
      </c>
      <c r="D4807" s="74"/>
      <c r="E4807" s="67"/>
      <c r="F4807" s="75"/>
      <c r="G4807" s="67"/>
      <c r="H4807" s="68"/>
      <c r="I4807" s="76"/>
      <c r="J4807" s="67"/>
      <c r="K4807" s="7" t="s">
        <v>1126</v>
      </c>
      <c r="L4807" s="77"/>
      <c r="M4807" s="79"/>
      <c r="N4807" s="1"/>
      <c r="O4807" s="1"/>
      <c r="P4807" s="1"/>
      <c r="Q4807" s="1"/>
      <c r="R4807" s="1"/>
      <c r="S4807" s="1"/>
      <c r="T4807" s="1"/>
      <c r="U4807" s="1"/>
      <c r="V4807" s="1"/>
      <c r="W4807" s="1"/>
      <c r="X4807" s="1"/>
      <c r="Y4807" s="1"/>
      <c r="Z4807" s="1"/>
      <c r="AA4807" s="1"/>
      <c r="AB4807" s="1"/>
      <c r="AC4807" s="1"/>
      <c r="AD4807" s="1"/>
      <c r="AE4807" s="1"/>
      <c r="AF4807" s="1"/>
      <c r="AG4807" s="1"/>
      <c r="AH4807" s="1"/>
    </row>
    <row r="4808" ht="12.75" hidden="1" customHeight="1" outlineLevel="1">
      <c r="A4808" s="17">
        <v>41862.0</v>
      </c>
      <c r="B4808" s="1"/>
      <c r="C4808" s="1" t="s">
        <v>433</v>
      </c>
      <c r="D4808" s="74"/>
      <c r="E4808" s="67"/>
      <c r="F4808" s="75"/>
      <c r="G4808" s="67"/>
      <c r="H4808" s="68"/>
      <c r="I4808" s="76"/>
      <c r="J4808" s="67"/>
      <c r="K4808" s="7" t="s">
        <v>1103</v>
      </c>
      <c r="L4808" s="77"/>
      <c r="M4808" s="79"/>
      <c r="N4808" s="1"/>
      <c r="O4808" s="1"/>
      <c r="P4808" s="1"/>
      <c r="Q4808" s="1"/>
      <c r="R4808" s="1"/>
      <c r="S4808" s="1"/>
      <c r="T4808" s="1"/>
      <c r="U4808" s="1"/>
      <c r="V4808" s="1"/>
      <c r="W4808" s="1"/>
      <c r="X4808" s="1"/>
      <c r="Y4808" s="1"/>
      <c r="Z4808" s="1"/>
      <c r="AA4808" s="1"/>
      <c r="AB4808" s="1"/>
      <c r="AC4808" s="1"/>
      <c r="AD4808" s="1"/>
      <c r="AE4808" s="1"/>
      <c r="AF4808" s="1"/>
      <c r="AG4808" s="1"/>
      <c r="AH4808" s="1"/>
    </row>
    <row r="4809" ht="12.75" hidden="1" customHeight="1" outlineLevel="1">
      <c r="A4809" s="17">
        <v>41862.0</v>
      </c>
      <c r="B4809" s="1"/>
      <c r="C4809" s="1" t="s">
        <v>435</v>
      </c>
      <c r="D4809" s="74"/>
      <c r="E4809" s="67"/>
      <c r="F4809" s="75"/>
      <c r="G4809" s="67"/>
      <c r="H4809" s="68"/>
      <c r="I4809" s="76"/>
      <c r="J4809" s="67"/>
      <c r="K4809" s="7" t="s">
        <v>1507</v>
      </c>
      <c r="L4809" s="77"/>
      <c r="M4809" s="79"/>
      <c r="N4809" s="1"/>
      <c r="O4809" s="1"/>
      <c r="P4809" s="1"/>
      <c r="Q4809" s="1"/>
      <c r="R4809" s="1"/>
      <c r="S4809" s="1"/>
      <c r="T4809" s="1"/>
      <c r="U4809" s="1"/>
      <c r="V4809" s="1"/>
      <c r="W4809" s="1"/>
      <c r="X4809" s="1"/>
      <c r="Y4809" s="1"/>
      <c r="Z4809" s="1"/>
      <c r="AA4809" s="1"/>
      <c r="AB4809" s="1"/>
      <c r="AC4809" s="1"/>
      <c r="AD4809" s="1"/>
      <c r="AE4809" s="1"/>
      <c r="AF4809" s="1"/>
      <c r="AG4809" s="1"/>
      <c r="AH4809" s="1"/>
    </row>
    <row r="4810" ht="12.75" hidden="1" customHeight="1" outlineLevel="1">
      <c r="A4810" s="17">
        <v>41866.0</v>
      </c>
      <c r="B4810" s="1"/>
      <c r="C4810" s="1" t="s">
        <v>339</v>
      </c>
      <c r="D4810" s="74"/>
      <c r="E4810" s="67"/>
      <c r="F4810" s="75"/>
      <c r="G4810" s="67"/>
      <c r="H4810" s="68"/>
      <c r="I4810" s="76"/>
      <c r="J4810" s="67"/>
      <c r="K4810" s="7" t="s">
        <v>2057</v>
      </c>
      <c r="L4810" s="77"/>
      <c r="M4810" s="79"/>
      <c r="N4810" s="1"/>
      <c r="O4810" s="1"/>
      <c r="P4810" s="1"/>
      <c r="Q4810" s="1"/>
      <c r="R4810" s="1"/>
      <c r="S4810" s="1"/>
      <c r="T4810" s="1"/>
      <c r="U4810" s="1"/>
      <c r="V4810" s="1"/>
      <c r="W4810" s="1"/>
      <c r="X4810" s="1"/>
      <c r="Y4810" s="1"/>
      <c r="Z4810" s="1"/>
      <c r="AA4810" s="1"/>
      <c r="AB4810" s="1"/>
      <c r="AC4810" s="1"/>
      <c r="AD4810" s="1"/>
      <c r="AE4810" s="1"/>
      <c r="AF4810" s="1"/>
      <c r="AG4810" s="1"/>
      <c r="AH4810" s="1"/>
    </row>
    <row r="4811" ht="12.75" hidden="1" customHeight="1" outlineLevel="1">
      <c r="A4811" s="17">
        <v>41866.0</v>
      </c>
      <c r="B4811" s="1"/>
      <c r="C4811" s="1" t="s">
        <v>429</v>
      </c>
      <c r="D4811" s="74"/>
      <c r="E4811" s="67"/>
      <c r="F4811" s="75"/>
      <c r="G4811" s="67"/>
      <c r="H4811" s="68"/>
      <c r="I4811" s="76"/>
      <c r="J4811" s="67"/>
      <c r="K4811" s="7" t="s">
        <v>2031</v>
      </c>
      <c r="L4811" s="77"/>
      <c r="M4811" s="79"/>
      <c r="N4811" s="1"/>
      <c r="O4811" s="1"/>
      <c r="P4811" s="1"/>
      <c r="Q4811" s="1"/>
      <c r="R4811" s="1"/>
      <c r="S4811" s="1"/>
      <c r="T4811" s="1"/>
      <c r="U4811" s="1"/>
      <c r="V4811" s="1"/>
      <c r="W4811" s="1"/>
      <c r="X4811" s="1"/>
      <c r="Y4811" s="1"/>
      <c r="Z4811" s="1"/>
      <c r="AA4811" s="1"/>
      <c r="AB4811" s="1"/>
      <c r="AC4811" s="1"/>
      <c r="AD4811" s="1"/>
      <c r="AE4811" s="1"/>
      <c r="AF4811" s="1"/>
      <c r="AG4811" s="1"/>
      <c r="AH4811" s="1"/>
    </row>
    <row r="4812" ht="12.75" hidden="1" customHeight="1" outlineLevel="1">
      <c r="A4812" s="17">
        <v>41866.0</v>
      </c>
      <c r="B4812" s="1"/>
      <c r="C4812" s="1" t="s">
        <v>431</v>
      </c>
      <c r="D4812" s="74"/>
      <c r="E4812" s="67"/>
      <c r="F4812" s="75"/>
      <c r="G4812" s="67"/>
      <c r="H4812" s="68"/>
      <c r="I4812" s="76"/>
      <c r="J4812" s="67"/>
      <c r="K4812" s="7" t="s">
        <v>1126</v>
      </c>
      <c r="L4812" s="77"/>
      <c r="M4812" s="79"/>
      <c r="N4812" s="1"/>
      <c r="O4812" s="1"/>
      <c r="P4812" s="1"/>
      <c r="Q4812" s="1"/>
      <c r="R4812" s="1"/>
      <c r="S4812" s="1"/>
      <c r="T4812" s="1"/>
      <c r="U4812" s="1"/>
      <c r="V4812" s="1"/>
      <c r="W4812" s="1"/>
      <c r="X4812" s="1"/>
      <c r="Y4812" s="1"/>
      <c r="Z4812" s="1"/>
      <c r="AA4812" s="1"/>
      <c r="AB4812" s="1"/>
      <c r="AC4812" s="1"/>
      <c r="AD4812" s="1"/>
      <c r="AE4812" s="1"/>
      <c r="AF4812" s="1"/>
      <c r="AG4812" s="1"/>
      <c r="AH4812" s="1"/>
    </row>
    <row r="4813" ht="12.75" hidden="1" customHeight="1" outlineLevel="1">
      <c r="A4813" s="17">
        <v>41866.0</v>
      </c>
      <c r="B4813" s="1"/>
      <c r="C4813" s="1" t="s">
        <v>433</v>
      </c>
      <c r="D4813" s="74"/>
      <c r="E4813" s="67"/>
      <c r="F4813" s="75"/>
      <c r="G4813" s="67"/>
      <c r="H4813" s="68"/>
      <c r="I4813" s="76"/>
      <c r="J4813" s="67"/>
      <c r="K4813" s="7" t="s">
        <v>1103</v>
      </c>
      <c r="L4813" s="77"/>
      <c r="M4813" s="79"/>
      <c r="N4813" s="1"/>
      <c r="O4813" s="1"/>
      <c r="P4813" s="1"/>
      <c r="Q4813" s="1"/>
      <c r="R4813" s="1"/>
      <c r="S4813" s="1"/>
      <c r="T4813" s="1"/>
      <c r="U4813" s="1"/>
      <c r="V4813" s="1"/>
      <c r="W4813" s="1"/>
      <c r="X4813" s="1"/>
      <c r="Y4813" s="1"/>
      <c r="Z4813" s="1"/>
      <c r="AA4813" s="1"/>
      <c r="AB4813" s="1"/>
      <c r="AC4813" s="1"/>
      <c r="AD4813" s="1"/>
      <c r="AE4813" s="1"/>
      <c r="AF4813" s="1"/>
      <c r="AG4813" s="1"/>
      <c r="AH4813" s="1"/>
    </row>
    <row r="4814" ht="12.75" hidden="1" customHeight="1" outlineLevel="1">
      <c r="A4814" s="17">
        <v>41866.0</v>
      </c>
      <c r="B4814" s="1"/>
      <c r="C4814" s="1" t="s">
        <v>435</v>
      </c>
      <c r="D4814" s="74"/>
      <c r="E4814" s="67"/>
      <c r="F4814" s="75"/>
      <c r="G4814" s="67"/>
      <c r="H4814" s="68"/>
      <c r="I4814" s="76"/>
      <c r="J4814" s="67"/>
      <c r="K4814" s="7" t="s">
        <v>1507</v>
      </c>
      <c r="L4814" s="77"/>
      <c r="M4814" s="79"/>
      <c r="N4814" s="1"/>
      <c r="O4814" s="1"/>
      <c r="P4814" s="1"/>
      <c r="Q4814" s="1"/>
      <c r="R4814" s="1"/>
      <c r="S4814" s="1"/>
      <c r="T4814" s="1"/>
      <c r="U4814" s="1"/>
      <c r="V4814" s="1"/>
      <c r="W4814" s="1"/>
      <c r="X4814" s="1"/>
      <c r="Y4814" s="1"/>
      <c r="Z4814" s="1"/>
      <c r="AA4814" s="1"/>
      <c r="AB4814" s="1"/>
      <c r="AC4814" s="1"/>
      <c r="AD4814" s="1"/>
      <c r="AE4814" s="1"/>
      <c r="AF4814" s="1"/>
      <c r="AG4814" s="1"/>
      <c r="AH4814" s="1"/>
    </row>
    <row r="4815" ht="12.75" hidden="1" customHeight="1" outlineLevel="1">
      <c r="A4815" s="17">
        <v>41866.0</v>
      </c>
      <c r="B4815" s="1"/>
      <c r="C4815" s="1" t="s">
        <v>339</v>
      </c>
      <c r="D4815" s="74"/>
      <c r="E4815" s="67"/>
      <c r="F4815" s="75"/>
      <c r="G4815" s="67"/>
      <c r="H4815" s="68"/>
      <c r="I4815" s="76"/>
      <c r="J4815" s="67"/>
      <c r="K4815" s="7" t="s">
        <v>2060</v>
      </c>
      <c r="L4815" s="77"/>
      <c r="M4815" s="79"/>
      <c r="N4815" s="1"/>
      <c r="O4815" s="1"/>
      <c r="P4815" s="1"/>
      <c r="Q4815" s="1"/>
      <c r="R4815" s="1"/>
      <c r="S4815" s="1"/>
      <c r="T4815" s="1"/>
      <c r="U4815" s="1"/>
      <c r="V4815" s="1"/>
      <c r="W4815" s="1"/>
      <c r="X4815" s="1"/>
      <c r="Y4815" s="1"/>
      <c r="Z4815" s="1"/>
      <c r="AA4815" s="1"/>
      <c r="AB4815" s="1"/>
      <c r="AC4815" s="1"/>
      <c r="AD4815" s="1"/>
      <c r="AE4815" s="1"/>
      <c r="AF4815" s="1"/>
      <c r="AG4815" s="1"/>
      <c r="AH4815" s="1"/>
    </row>
    <row r="4816" ht="12.75" hidden="1" customHeight="1" outlineLevel="1">
      <c r="A4816" s="17">
        <v>41866.0</v>
      </c>
      <c r="B4816" s="1"/>
      <c r="C4816" s="1" t="s">
        <v>429</v>
      </c>
      <c r="D4816" s="74"/>
      <c r="E4816" s="67"/>
      <c r="F4816" s="75"/>
      <c r="G4816" s="67"/>
      <c r="H4816" s="68"/>
      <c r="I4816" s="76"/>
      <c r="J4816" s="67"/>
      <c r="K4816" s="7" t="s">
        <v>2031</v>
      </c>
      <c r="L4816" s="77"/>
      <c r="M4816" s="79"/>
      <c r="N4816" s="1"/>
      <c r="O4816" s="1"/>
      <c r="P4816" s="1"/>
      <c r="Q4816" s="1"/>
      <c r="R4816" s="1"/>
      <c r="S4816" s="1"/>
      <c r="T4816" s="1"/>
      <c r="U4816" s="1"/>
      <c r="V4816" s="1"/>
      <c r="W4816" s="1"/>
      <c r="X4816" s="1"/>
      <c r="Y4816" s="1"/>
      <c r="Z4816" s="1"/>
      <c r="AA4816" s="1"/>
      <c r="AB4816" s="1"/>
      <c r="AC4816" s="1"/>
      <c r="AD4816" s="1"/>
      <c r="AE4816" s="1"/>
      <c r="AF4816" s="1"/>
      <c r="AG4816" s="1"/>
      <c r="AH4816" s="1"/>
    </row>
    <row r="4817" ht="12.75" hidden="1" customHeight="1" outlineLevel="1">
      <c r="A4817" s="17">
        <v>41866.0</v>
      </c>
      <c r="B4817" s="1"/>
      <c r="C4817" s="1" t="s">
        <v>431</v>
      </c>
      <c r="D4817" s="74"/>
      <c r="E4817" s="67"/>
      <c r="F4817" s="75"/>
      <c r="G4817" s="67"/>
      <c r="H4817" s="68"/>
      <c r="I4817" s="76"/>
      <c r="J4817" s="67"/>
      <c r="K4817" s="7" t="s">
        <v>1126</v>
      </c>
      <c r="L4817" s="77"/>
      <c r="M4817" s="79"/>
      <c r="N4817" s="1"/>
      <c r="O4817" s="1"/>
      <c r="P4817" s="1"/>
      <c r="Q4817" s="1"/>
      <c r="R4817" s="1"/>
      <c r="S4817" s="1"/>
      <c r="T4817" s="1"/>
      <c r="U4817" s="1"/>
      <c r="V4817" s="1"/>
      <c r="W4817" s="1"/>
      <c r="X4817" s="1"/>
      <c r="Y4817" s="1"/>
      <c r="Z4817" s="1"/>
      <c r="AA4817" s="1"/>
      <c r="AB4817" s="1"/>
      <c r="AC4817" s="1"/>
      <c r="AD4817" s="1"/>
      <c r="AE4817" s="1"/>
      <c r="AF4817" s="1"/>
      <c r="AG4817" s="1"/>
      <c r="AH4817" s="1"/>
    </row>
    <row r="4818" ht="12.75" hidden="1" customHeight="1" outlineLevel="1">
      <c r="A4818" s="17">
        <v>41866.0</v>
      </c>
      <c r="B4818" s="1"/>
      <c r="C4818" s="1" t="s">
        <v>433</v>
      </c>
      <c r="D4818" s="74"/>
      <c r="E4818" s="67"/>
      <c r="F4818" s="75"/>
      <c r="G4818" s="67"/>
      <c r="H4818" s="68"/>
      <c r="I4818" s="76"/>
      <c r="J4818" s="67"/>
      <c r="K4818" s="7" t="s">
        <v>1103</v>
      </c>
      <c r="L4818" s="77"/>
      <c r="M4818" s="79"/>
      <c r="N4818" s="1"/>
      <c r="O4818" s="1"/>
      <c r="P4818" s="1"/>
      <c r="Q4818" s="1"/>
      <c r="R4818" s="1"/>
      <c r="S4818" s="1"/>
      <c r="T4818" s="1"/>
      <c r="U4818" s="1"/>
      <c r="V4818" s="1"/>
      <c r="W4818" s="1"/>
      <c r="X4818" s="1"/>
      <c r="Y4818" s="1"/>
      <c r="Z4818" s="1"/>
      <c r="AA4818" s="1"/>
      <c r="AB4818" s="1"/>
      <c r="AC4818" s="1"/>
      <c r="AD4818" s="1"/>
      <c r="AE4818" s="1"/>
      <c r="AF4818" s="1"/>
      <c r="AG4818" s="1"/>
      <c r="AH4818" s="1"/>
    </row>
    <row r="4819" ht="12.75" hidden="1" customHeight="1" outlineLevel="1">
      <c r="A4819" s="17">
        <v>41866.0</v>
      </c>
      <c r="B4819" s="1"/>
      <c r="C4819" s="1" t="s">
        <v>435</v>
      </c>
      <c r="D4819" s="74"/>
      <c r="E4819" s="67"/>
      <c r="F4819" s="75"/>
      <c r="G4819" s="67"/>
      <c r="H4819" s="68"/>
      <c r="I4819" s="76"/>
      <c r="J4819" s="67"/>
      <c r="K4819" s="7" t="s">
        <v>1507</v>
      </c>
      <c r="L4819" s="77"/>
      <c r="M4819" s="79"/>
      <c r="N4819" s="1"/>
      <c r="O4819" s="1"/>
      <c r="P4819" s="1"/>
      <c r="Q4819" s="1"/>
      <c r="R4819" s="1"/>
      <c r="S4819" s="1"/>
      <c r="T4819" s="1"/>
      <c r="U4819" s="1"/>
      <c r="V4819" s="1"/>
      <c r="W4819" s="1"/>
      <c r="X4819" s="1"/>
      <c r="Y4819" s="1"/>
      <c r="Z4819" s="1"/>
      <c r="AA4819" s="1"/>
      <c r="AB4819" s="1"/>
      <c r="AC4819" s="1"/>
      <c r="AD4819" s="1"/>
      <c r="AE4819" s="1"/>
      <c r="AF4819" s="1"/>
      <c r="AG4819" s="1"/>
      <c r="AH4819" s="1"/>
    </row>
    <row r="4820" ht="12.75" hidden="1" customHeight="1" outlineLevel="1">
      <c r="A4820" s="17">
        <v>41870.0</v>
      </c>
      <c r="B4820" s="1" t="s">
        <v>347</v>
      </c>
      <c r="C4820" s="1" t="s">
        <v>1092</v>
      </c>
      <c r="D4820" s="74">
        <v>1000.0</v>
      </c>
      <c r="E4820" s="67">
        <v>11.26</v>
      </c>
      <c r="F4820" s="75">
        <v>0.5286342592592593</v>
      </c>
      <c r="G4820" s="67" t="s">
        <v>453</v>
      </c>
      <c r="H4820" s="68">
        <v>5.25</v>
      </c>
      <c r="I4820" s="76"/>
      <c r="J4820" s="67">
        <f t="shared" ref="J4820:J4822" si="301">IF(B4820="SLD",D4820*E4820,-D4820*E4820)-H4820</f>
        <v>11254.75</v>
      </c>
      <c r="K4820" s="7"/>
      <c r="L4820" s="70"/>
      <c r="M4820" s="79"/>
      <c r="N4820" s="1"/>
      <c r="O4820" s="1"/>
      <c r="P4820" s="1"/>
      <c r="Q4820" s="1"/>
      <c r="R4820" s="1"/>
      <c r="S4820" s="1"/>
      <c r="T4820" s="1"/>
      <c r="U4820" s="1"/>
      <c r="V4820" s="1"/>
      <c r="W4820" s="1"/>
      <c r="X4820" s="1"/>
      <c r="Y4820" s="1"/>
      <c r="Z4820" s="1"/>
      <c r="AA4820" s="1"/>
      <c r="AB4820" s="1"/>
      <c r="AC4820" s="1"/>
      <c r="AD4820" s="1"/>
      <c r="AE4820" s="1"/>
      <c r="AF4820" s="1"/>
      <c r="AG4820" s="1"/>
      <c r="AH4820" s="1"/>
    </row>
    <row r="4821" ht="12.75" hidden="1" customHeight="1" outlineLevel="1">
      <c r="A4821" s="17">
        <v>41870.0</v>
      </c>
      <c r="B4821" s="1" t="s">
        <v>347</v>
      </c>
      <c r="C4821" s="1" t="s">
        <v>1485</v>
      </c>
      <c r="D4821" s="74">
        <v>1000.0</v>
      </c>
      <c r="E4821" s="67">
        <v>11.76</v>
      </c>
      <c r="F4821" s="75">
        <v>0.5284722222222222</v>
      </c>
      <c r="G4821" s="67" t="s">
        <v>453</v>
      </c>
      <c r="H4821" s="68">
        <v>5.26</v>
      </c>
      <c r="I4821" s="76"/>
      <c r="J4821" s="67">
        <f t="shared" si="301"/>
        <v>11754.74</v>
      </c>
      <c r="K4821" s="7"/>
      <c r="L4821" s="70"/>
      <c r="M4821" s="79"/>
      <c r="N4821" s="1"/>
      <c r="O4821" s="1"/>
      <c r="P4821" s="1"/>
      <c r="Q4821" s="1"/>
      <c r="R4821" s="1"/>
      <c r="S4821" s="1"/>
      <c r="T4821" s="1"/>
      <c r="U4821" s="1"/>
      <c r="V4821" s="1"/>
      <c r="W4821" s="1"/>
      <c r="X4821" s="1"/>
      <c r="Y4821" s="1"/>
      <c r="Z4821" s="1"/>
      <c r="AA4821" s="1"/>
      <c r="AB4821" s="1"/>
      <c r="AC4821" s="1"/>
      <c r="AD4821" s="1"/>
      <c r="AE4821" s="1"/>
      <c r="AF4821" s="1"/>
      <c r="AG4821" s="1"/>
      <c r="AH4821" s="1"/>
    </row>
    <row r="4822" ht="12.75" hidden="1" customHeight="1" outlineLevel="1">
      <c r="A4822" s="17">
        <v>41870.0</v>
      </c>
      <c r="B4822" s="1" t="s">
        <v>343</v>
      </c>
      <c r="C4822" s="1" t="s">
        <v>349</v>
      </c>
      <c r="D4822" s="74">
        <v>600.0</v>
      </c>
      <c r="E4822" s="67">
        <v>51.719</v>
      </c>
      <c r="F4822" s="75">
        <v>0.5286226851851852</v>
      </c>
      <c r="G4822" s="67" t="s">
        <v>453</v>
      </c>
      <c r="H4822" s="68">
        <v>2.4</v>
      </c>
      <c r="I4822" s="76"/>
      <c r="J4822" s="67">
        <f t="shared" si="301"/>
        <v>-31033.8</v>
      </c>
      <c r="K4822" s="7"/>
      <c r="L4822" s="70"/>
      <c r="M4822" s="79"/>
      <c r="N4822" s="1"/>
      <c r="O4822" s="1"/>
      <c r="P4822" s="1"/>
      <c r="Q4822" s="1"/>
      <c r="R4822" s="1"/>
      <c r="S4822" s="1"/>
      <c r="T4822" s="1"/>
      <c r="U4822" s="1"/>
      <c r="V4822" s="1"/>
      <c r="W4822" s="1"/>
      <c r="X4822" s="1"/>
      <c r="Y4822" s="1"/>
      <c r="Z4822" s="1"/>
      <c r="AA4822" s="1"/>
      <c r="AB4822" s="1"/>
      <c r="AC4822" s="1"/>
      <c r="AD4822" s="1"/>
      <c r="AE4822" s="1"/>
      <c r="AF4822" s="1"/>
      <c r="AG4822" s="1"/>
      <c r="AH4822" s="1"/>
    </row>
    <row r="4823" ht="12.75" hidden="1" customHeight="1" outlineLevel="1">
      <c r="A4823" s="17">
        <v>41870.0</v>
      </c>
      <c r="B4823" s="1"/>
      <c r="C4823" s="1" t="s">
        <v>339</v>
      </c>
      <c r="D4823" s="74"/>
      <c r="E4823" s="67"/>
      <c r="F4823" s="75"/>
      <c r="G4823" s="67"/>
      <c r="H4823" s="68"/>
      <c r="I4823" s="76"/>
      <c r="J4823" s="67"/>
      <c r="K4823" s="7" t="s">
        <v>2064</v>
      </c>
      <c r="L4823" s="77"/>
      <c r="M4823" s="79"/>
      <c r="N4823" s="1"/>
      <c r="O4823" s="1"/>
      <c r="P4823" s="1"/>
      <c r="Q4823" s="1"/>
      <c r="R4823" s="1"/>
      <c r="S4823" s="1"/>
      <c r="T4823" s="1"/>
      <c r="U4823" s="1"/>
      <c r="V4823" s="1"/>
      <c r="W4823" s="1"/>
      <c r="X4823" s="1"/>
      <c r="Y4823" s="1"/>
      <c r="Z4823" s="1"/>
      <c r="AA4823" s="1"/>
      <c r="AB4823" s="1"/>
      <c r="AC4823" s="1"/>
      <c r="AD4823" s="1"/>
      <c r="AE4823" s="1"/>
      <c r="AF4823" s="1"/>
      <c r="AG4823" s="1"/>
      <c r="AH4823" s="1"/>
    </row>
    <row r="4824" ht="12.75" hidden="1" customHeight="1" outlineLevel="1">
      <c r="A4824" s="17">
        <v>41870.0</v>
      </c>
      <c r="B4824" s="1"/>
      <c r="C4824" s="1" t="s">
        <v>429</v>
      </c>
      <c r="D4824" s="74"/>
      <c r="E4824" s="67"/>
      <c r="F4824" s="75"/>
      <c r="G4824" s="67"/>
      <c r="H4824" s="68"/>
      <c r="I4824" s="76"/>
      <c r="J4824" s="67"/>
      <c r="K4824" s="7" t="s">
        <v>2031</v>
      </c>
      <c r="L4824" s="77"/>
      <c r="M4824" s="79"/>
      <c r="N4824" s="1"/>
      <c r="O4824" s="1"/>
      <c r="P4824" s="1"/>
      <c r="Q4824" s="1"/>
      <c r="R4824" s="1"/>
      <c r="S4824" s="1"/>
      <c r="T4824" s="1"/>
      <c r="U4824" s="1"/>
      <c r="V4824" s="1"/>
      <c r="W4824" s="1"/>
      <c r="X4824" s="1"/>
      <c r="Y4824" s="1"/>
      <c r="Z4824" s="1"/>
      <c r="AA4824" s="1"/>
      <c r="AB4824" s="1"/>
      <c r="AC4824" s="1"/>
      <c r="AD4824" s="1"/>
      <c r="AE4824" s="1"/>
      <c r="AF4824" s="1"/>
      <c r="AG4824" s="1"/>
      <c r="AH4824" s="1"/>
    </row>
    <row r="4825" ht="12.75" hidden="1" customHeight="1" outlineLevel="1">
      <c r="A4825" s="17">
        <v>41870.0</v>
      </c>
      <c r="B4825" s="1"/>
      <c r="C4825" s="1" t="s">
        <v>431</v>
      </c>
      <c r="D4825" s="74"/>
      <c r="E4825" s="67"/>
      <c r="F4825" s="75"/>
      <c r="G4825" s="67"/>
      <c r="H4825" s="68"/>
      <c r="I4825" s="76"/>
      <c r="J4825" s="67"/>
      <c r="K4825" s="7" t="s">
        <v>1126</v>
      </c>
      <c r="L4825" s="77"/>
      <c r="M4825" s="79"/>
      <c r="N4825" s="1"/>
      <c r="O4825" s="1"/>
      <c r="P4825" s="1"/>
      <c r="Q4825" s="1"/>
      <c r="R4825" s="1"/>
      <c r="S4825" s="1"/>
      <c r="T4825" s="1"/>
      <c r="U4825" s="1"/>
      <c r="V4825" s="1"/>
      <c r="W4825" s="1"/>
      <c r="X4825" s="1"/>
      <c r="Y4825" s="1"/>
      <c r="Z4825" s="1"/>
      <c r="AA4825" s="1"/>
      <c r="AB4825" s="1"/>
      <c r="AC4825" s="1"/>
      <c r="AD4825" s="1"/>
      <c r="AE4825" s="1"/>
      <c r="AF4825" s="1"/>
      <c r="AG4825" s="1"/>
      <c r="AH4825" s="1"/>
    </row>
    <row r="4826" ht="12.75" hidden="1" customHeight="1" outlineLevel="1">
      <c r="A4826" s="17">
        <v>41870.0</v>
      </c>
      <c r="B4826" s="1"/>
      <c r="C4826" s="1" t="s">
        <v>433</v>
      </c>
      <c r="D4826" s="74"/>
      <c r="E4826" s="67"/>
      <c r="F4826" s="75"/>
      <c r="G4826" s="67"/>
      <c r="H4826" s="68"/>
      <c r="I4826" s="76"/>
      <c r="J4826" s="67"/>
      <c r="K4826" s="7" t="s">
        <v>1103</v>
      </c>
      <c r="L4826" s="77"/>
      <c r="M4826" s="79"/>
      <c r="N4826" s="1"/>
      <c r="O4826" s="1"/>
      <c r="P4826" s="1"/>
      <c r="Q4826" s="1"/>
      <c r="R4826" s="1"/>
      <c r="S4826" s="1"/>
      <c r="T4826" s="1"/>
      <c r="U4826" s="1"/>
      <c r="V4826" s="1"/>
      <c r="W4826" s="1"/>
      <c r="X4826" s="1"/>
      <c r="Y4826" s="1"/>
      <c r="Z4826" s="1"/>
      <c r="AA4826" s="1"/>
      <c r="AB4826" s="1"/>
      <c r="AC4826" s="1"/>
      <c r="AD4826" s="1"/>
      <c r="AE4826" s="1"/>
      <c r="AF4826" s="1"/>
      <c r="AG4826" s="1"/>
      <c r="AH4826" s="1"/>
    </row>
    <row r="4827" ht="12.75" hidden="1" customHeight="1" outlineLevel="1">
      <c r="A4827" s="17">
        <v>41870.0</v>
      </c>
      <c r="B4827" s="1"/>
      <c r="C4827" s="1" t="s">
        <v>435</v>
      </c>
      <c r="D4827" s="74"/>
      <c r="E4827" s="67"/>
      <c r="F4827" s="75"/>
      <c r="G4827" s="67"/>
      <c r="H4827" s="68"/>
      <c r="I4827" s="76"/>
      <c r="J4827" s="67"/>
      <c r="K4827" s="7" t="s">
        <v>1507</v>
      </c>
      <c r="L4827" s="77"/>
      <c r="M4827" s="79"/>
      <c r="N4827" s="1"/>
      <c r="O4827" s="1"/>
      <c r="P4827" s="1"/>
      <c r="Q4827" s="1"/>
      <c r="R4827" s="1"/>
      <c r="S4827" s="1"/>
      <c r="T4827" s="1"/>
      <c r="U4827" s="1"/>
      <c r="V4827" s="1"/>
      <c r="W4827" s="1"/>
      <c r="X4827" s="1"/>
      <c r="Y4827" s="1"/>
      <c r="Z4827" s="1"/>
      <c r="AA4827" s="1"/>
      <c r="AB4827" s="1"/>
      <c r="AC4827" s="1"/>
      <c r="AD4827" s="1"/>
      <c r="AE4827" s="1"/>
      <c r="AF4827" s="1"/>
      <c r="AG4827" s="1"/>
      <c r="AH4827" s="1"/>
    </row>
    <row r="4828" ht="12.75" hidden="1" customHeight="1" outlineLevel="1">
      <c r="A4828" s="17">
        <v>41871.0</v>
      </c>
      <c r="B4828" s="1" t="s">
        <v>343</v>
      </c>
      <c r="C4828" s="1" t="s">
        <v>1483</v>
      </c>
      <c r="D4828" s="74">
        <v>500.0</v>
      </c>
      <c r="E4828" s="67">
        <v>3.84</v>
      </c>
      <c r="F4828" s="75">
        <v>0.5270138888888889</v>
      </c>
      <c r="G4828" s="67" t="s">
        <v>453</v>
      </c>
      <c r="H4828" s="68">
        <v>2.5</v>
      </c>
      <c r="I4828" s="76"/>
      <c r="J4828" s="67">
        <f t="shared" ref="J4828:J4832" si="302">IF(B4828="SLD",D4828*E4828,-D4828*E4828)-H4828</f>
        <v>-1922.5</v>
      </c>
      <c r="K4828" s="7"/>
      <c r="L4828" s="70"/>
      <c r="M4828" s="79"/>
      <c r="N4828" s="1"/>
      <c r="O4828" s="1"/>
      <c r="P4828" s="1"/>
      <c r="Q4828" s="1"/>
      <c r="R4828" s="1"/>
      <c r="S4828" s="1"/>
      <c r="T4828" s="1"/>
      <c r="U4828" s="1"/>
      <c r="V4828" s="1"/>
      <c r="W4828" s="1"/>
      <c r="X4828" s="1"/>
      <c r="Y4828" s="1"/>
      <c r="Z4828" s="1"/>
      <c r="AA4828" s="1"/>
      <c r="AB4828" s="1"/>
      <c r="AC4828" s="1"/>
      <c r="AD4828" s="1"/>
      <c r="AE4828" s="1"/>
      <c r="AF4828" s="1"/>
      <c r="AG4828" s="1"/>
      <c r="AH4828" s="1"/>
    </row>
    <row r="4829" ht="12.75" hidden="1" customHeight="1" outlineLevel="1">
      <c r="A4829" s="17">
        <v>41871.0</v>
      </c>
      <c r="B4829" s="1" t="s">
        <v>343</v>
      </c>
      <c r="C4829" s="1" t="s">
        <v>604</v>
      </c>
      <c r="D4829" s="74">
        <v>500.0</v>
      </c>
      <c r="E4829" s="67">
        <v>3.89</v>
      </c>
      <c r="F4829" s="75">
        <v>0.5264814814814814</v>
      </c>
      <c r="G4829" s="67" t="s">
        <v>453</v>
      </c>
      <c r="H4829" s="68">
        <v>2.5</v>
      </c>
      <c r="I4829" s="76"/>
      <c r="J4829" s="67">
        <f t="shared" si="302"/>
        <v>-1947.5</v>
      </c>
      <c r="K4829" s="7"/>
      <c r="L4829" s="70"/>
      <c r="M4829" s="79"/>
      <c r="N4829" s="1"/>
      <c r="O4829" s="1"/>
      <c r="P4829" s="1"/>
      <c r="Q4829" s="1"/>
      <c r="R4829" s="1"/>
      <c r="S4829" s="1"/>
      <c r="T4829" s="1"/>
      <c r="U4829" s="1"/>
      <c r="V4829" s="1"/>
      <c r="W4829" s="1"/>
      <c r="X4829" s="1"/>
      <c r="Y4829" s="1"/>
      <c r="Z4829" s="1"/>
      <c r="AA4829" s="1"/>
      <c r="AB4829" s="1"/>
      <c r="AC4829" s="1"/>
      <c r="AD4829" s="1"/>
      <c r="AE4829" s="1"/>
      <c r="AF4829" s="1"/>
      <c r="AG4829" s="1"/>
      <c r="AH4829" s="1"/>
    </row>
    <row r="4830" ht="12.75" hidden="1" customHeight="1" outlineLevel="1">
      <c r="A4830" s="17">
        <v>41871.0</v>
      </c>
      <c r="B4830" s="1" t="s">
        <v>343</v>
      </c>
      <c r="C4830" s="1" t="s">
        <v>1092</v>
      </c>
      <c r="D4830" s="74">
        <v>500.0</v>
      </c>
      <c r="E4830" s="67">
        <v>11.18</v>
      </c>
      <c r="F4830" s="75">
        <v>0.5273148148148148</v>
      </c>
      <c r="G4830" s="67" t="s">
        <v>453</v>
      </c>
      <c r="H4830" s="68">
        <v>2.5</v>
      </c>
      <c r="I4830" s="76"/>
      <c r="J4830" s="67">
        <f t="shared" si="302"/>
        <v>-5592.5</v>
      </c>
      <c r="K4830" s="7"/>
      <c r="L4830" s="70"/>
      <c r="M4830" s="79"/>
      <c r="N4830" s="1"/>
      <c r="O4830" s="1"/>
      <c r="P4830" s="1"/>
      <c r="Q4830" s="1"/>
      <c r="R4830" s="1"/>
      <c r="S4830" s="1"/>
      <c r="T4830" s="1"/>
      <c r="U4830" s="1"/>
      <c r="V4830" s="1"/>
      <c r="W4830" s="1"/>
      <c r="X4830" s="1"/>
      <c r="Y4830" s="1"/>
      <c r="Z4830" s="1"/>
      <c r="AA4830" s="1"/>
      <c r="AB4830" s="1"/>
      <c r="AC4830" s="1"/>
      <c r="AD4830" s="1"/>
      <c r="AE4830" s="1"/>
      <c r="AF4830" s="1"/>
      <c r="AG4830" s="1"/>
      <c r="AH4830" s="1"/>
    </row>
    <row r="4831" ht="12.75" hidden="1" customHeight="1" outlineLevel="1">
      <c r="A4831" s="17">
        <v>41871.0</v>
      </c>
      <c r="B4831" s="1" t="s">
        <v>343</v>
      </c>
      <c r="C4831" s="1" t="s">
        <v>1485</v>
      </c>
      <c r="D4831" s="74">
        <v>500.0</v>
      </c>
      <c r="E4831" s="67">
        <v>11.74</v>
      </c>
      <c r="F4831" s="75">
        <v>0.5335648148148148</v>
      </c>
      <c r="G4831" s="67" t="s">
        <v>453</v>
      </c>
      <c r="H4831" s="68">
        <v>2.5</v>
      </c>
      <c r="I4831" s="76"/>
      <c r="J4831" s="67">
        <f t="shared" si="302"/>
        <v>-5872.5</v>
      </c>
      <c r="K4831" s="7"/>
      <c r="L4831" s="70"/>
      <c r="M4831" s="79"/>
      <c r="N4831" s="1"/>
      <c r="O4831" s="1"/>
      <c r="P4831" s="1"/>
      <c r="Q4831" s="1"/>
      <c r="R4831" s="1"/>
      <c r="S4831" s="1"/>
      <c r="T4831" s="1"/>
      <c r="U4831" s="1"/>
      <c r="V4831" s="1"/>
      <c r="W4831" s="1"/>
      <c r="X4831" s="1"/>
      <c r="Y4831" s="1"/>
      <c r="Z4831" s="1"/>
      <c r="AA4831" s="1"/>
      <c r="AB4831" s="1"/>
      <c r="AC4831" s="1"/>
      <c r="AD4831" s="1"/>
      <c r="AE4831" s="1"/>
      <c r="AF4831" s="1"/>
      <c r="AG4831" s="1"/>
      <c r="AH4831" s="1"/>
    </row>
    <row r="4832" ht="12.75" hidden="1" customHeight="1" outlineLevel="1">
      <c r="A4832" s="17">
        <v>41871.0</v>
      </c>
      <c r="B4832" s="1" t="s">
        <v>347</v>
      </c>
      <c r="C4832" s="1" t="s">
        <v>1766</v>
      </c>
      <c r="D4832" s="74">
        <v>100.0</v>
      </c>
      <c r="E4832" s="67">
        <v>66.121</v>
      </c>
      <c r="F4832" s="75">
        <v>0.5256828703703703</v>
      </c>
      <c r="G4832" s="67" t="s">
        <v>453</v>
      </c>
      <c r="H4832" s="68">
        <v>1.15</v>
      </c>
      <c r="I4832" s="76"/>
      <c r="J4832" s="67">
        <f t="shared" si="302"/>
        <v>6610.95</v>
      </c>
      <c r="K4832" s="7"/>
      <c r="L4832" s="70"/>
      <c r="M4832" s="79"/>
      <c r="N4832" s="1"/>
      <c r="O4832" s="1"/>
      <c r="P4832" s="1"/>
      <c r="Q4832" s="1"/>
      <c r="R4832" s="1"/>
      <c r="S4832" s="1"/>
      <c r="T4832" s="1"/>
      <c r="U4832" s="1"/>
      <c r="V4832" s="1"/>
      <c r="W4832" s="1"/>
      <c r="X4832" s="1"/>
      <c r="Y4832" s="1"/>
      <c r="Z4832" s="1"/>
      <c r="AA4832" s="1"/>
      <c r="AB4832" s="1"/>
      <c r="AC4832" s="1"/>
      <c r="AD4832" s="1"/>
      <c r="AE4832" s="1"/>
      <c r="AF4832" s="1"/>
      <c r="AG4832" s="1"/>
      <c r="AH4832" s="1"/>
    </row>
    <row r="4833" ht="12.75" hidden="1" customHeight="1" outlineLevel="1">
      <c r="A4833" s="17">
        <v>41871.0</v>
      </c>
      <c r="B4833" s="1"/>
      <c r="C4833" s="1" t="s">
        <v>339</v>
      </c>
      <c r="D4833" s="74"/>
      <c r="E4833" s="67"/>
      <c r="F4833" s="75"/>
      <c r="G4833" s="67"/>
      <c r="H4833" s="68"/>
      <c r="I4833" s="76"/>
      <c r="J4833" s="67"/>
      <c r="K4833" s="7" t="s">
        <v>2073</v>
      </c>
      <c r="L4833" s="77"/>
      <c r="M4833" s="79"/>
      <c r="N4833" s="1"/>
      <c r="O4833" s="1"/>
      <c r="P4833" s="1"/>
      <c r="Q4833" s="1"/>
      <c r="R4833" s="1"/>
      <c r="S4833" s="1"/>
      <c r="T4833" s="1"/>
      <c r="U4833" s="1"/>
      <c r="V4833" s="1"/>
      <c r="W4833" s="1"/>
      <c r="X4833" s="1"/>
      <c r="Y4833" s="1"/>
      <c r="Z4833" s="1"/>
      <c r="AA4833" s="1"/>
      <c r="AB4833" s="1"/>
      <c r="AC4833" s="1"/>
      <c r="AD4833" s="1"/>
      <c r="AE4833" s="1"/>
      <c r="AF4833" s="1"/>
      <c r="AG4833" s="1"/>
      <c r="AH4833" s="1"/>
    </row>
    <row r="4834" ht="12.75" hidden="1" customHeight="1" outlineLevel="1">
      <c r="A4834" s="17">
        <v>41871.0</v>
      </c>
      <c r="B4834" s="1"/>
      <c r="C4834" s="1" t="s">
        <v>429</v>
      </c>
      <c r="D4834" s="74"/>
      <c r="E4834" s="67"/>
      <c r="F4834" s="75"/>
      <c r="G4834" s="67"/>
      <c r="H4834" s="68"/>
      <c r="I4834" s="76"/>
      <c r="J4834" s="67"/>
      <c r="K4834" s="7" t="s">
        <v>2031</v>
      </c>
      <c r="L4834" s="77"/>
      <c r="M4834" s="79"/>
      <c r="N4834" s="1"/>
      <c r="O4834" s="1"/>
      <c r="P4834" s="1"/>
      <c r="Q4834" s="1"/>
      <c r="R4834" s="1"/>
      <c r="S4834" s="1"/>
      <c r="T4834" s="1"/>
      <c r="U4834" s="1"/>
      <c r="V4834" s="1"/>
      <c r="W4834" s="1"/>
      <c r="X4834" s="1"/>
      <c r="Y4834" s="1"/>
      <c r="Z4834" s="1"/>
      <c r="AA4834" s="1"/>
      <c r="AB4834" s="1"/>
      <c r="AC4834" s="1"/>
      <c r="AD4834" s="1"/>
      <c r="AE4834" s="1"/>
      <c r="AF4834" s="1"/>
      <c r="AG4834" s="1"/>
      <c r="AH4834" s="1"/>
    </row>
    <row r="4835" ht="12.75" hidden="1" customHeight="1" outlineLevel="1">
      <c r="A4835" s="17">
        <v>41871.0</v>
      </c>
      <c r="B4835" s="1"/>
      <c r="C4835" s="1" t="s">
        <v>431</v>
      </c>
      <c r="D4835" s="74"/>
      <c r="E4835" s="67"/>
      <c r="F4835" s="75"/>
      <c r="G4835" s="67"/>
      <c r="H4835" s="68"/>
      <c r="I4835" s="76"/>
      <c r="J4835" s="67"/>
      <c r="K4835" s="7" t="s">
        <v>1126</v>
      </c>
      <c r="L4835" s="77"/>
      <c r="M4835" s="79"/>
      <c r="N4835" s="1"/>
      <c r="O4835" s="1"/>
      <c r="P4835" s="1"/>
      <c r="Q4835" s="1"/>
      <c r="R4835" s="1"/>
      <c r="S4835" s="1"/>
      <c r="T4835" s="1"/>
      <c r="U4835" s="1"/>
      <c r="V4835" s="1"/>
      <c r="W4835" s="1"/>
      <c r="X4835" s="1"/>
      <c r="Y4835" s="1"/>
      <c r="Z4835" s="1"/>
      <c r="AA4835" s="1"/>
      <c r="AB4835" s="1"/>
      <c r="AC4835" s="1"/>
      <c r="AD4835" s="1"/>
      <c r="AE4835" s="1"/>
      <c r="AF4835" s="1"/>
      <c r="AG4835" s="1"/>
      <c r="AH4835" s="1"/>
    </row>
    <row r="4836" ht="12.75" hidden="1" customHeight="1" outlineLevel="1">
      <c r="A4836" s="17">
        <v>41871.0</v>
      </c>
      <c r="B4836" s="1"/>
      <c r="C4836" s="1" t="s">
        <v>433</v>
      </c>
      <c r="D4836" s="74"/>
      <c r="E4836" s="67"/>
      <c r="F4836" s="75"/>
      <c r="G4836" s="67"/>
      <c r="H4836" s="68"/>
      <c r="I4836" s="76"/>
      <c r="J4836" s="67"/>
      <c r="K4836" s="7" t="s">
        <v>1103</v>
      </c>
      <c r="L4836" s="77"/>
      <c r="M4836" s="79"/>
      <c r="N4836" s="1"/>
      <c r="O4836" s="1"/>
      <c r="P4836" s="1"/>
      <c r="Q4836" s="1"/>
      <c r="R4836" s="1"/>
      <c r="S4836" s="1"/>
      <c r="T4836" s="1"/>
      <c r="U4836" s="1"/>
      <c r="V4836" s="1"/>
      <c r="W4836" s="1"/>
      <c r="X4836" s="1"/>
      <c r="Y4836" s="1"/>
      <c r="Z4836" s="1"/>
      <c r="AA4836" s="1"/>
      <c r="AB4836" s="1"/>
      <c r="AC4836" s="1"/>
      <c r="AD4836" s="1"/>
      <c r="AE4836" s="1"/>
      <c r="AF4836" s="1"/>
      <c r="AG4836" s="1"/>
      <c r="AH4836" s="1"/>
    </row>
    <row r="4837" ht="12.75" hidden="1" customHeight="1" outlineLevel="1">
      <c r="A4837" s="17">
        <v>41871.0</v>
      </c>
      <c r="B4837" s="1"/>
      <c r="C4837" s="1" t="s">
        <v>435</v>
      </c>
      <c r="D4837" s="74"/>
      <c r="E4837" s="67"/>
      <c r="F4837" s="75"/>
      <c r="G4837" s="67"/>
      <c r="H4837" s="68"/>
      <c r="I4837" s="76"/>
      <c r="J4837" s="67"/>
      <c r="K4837" s="7" t="s">
        <v>1507</v>
      </c>
      <c r="L4837" s="77"/>
      <c r="M4837" s="79"/>
      <c r="N4837" s="1"/>
      <c r="O4837" s="1"/>
      <c r="P4837" s="1"/>
      <c r="Q4837" s="1"/>
      <c r="R4837" s="1"/>
      <c r="S4837" s="1"/>
      <c r="T4837" s="1"/>
      <c r="U4837" s="1"/>
      <c r="V4837" s="1"/>
      <c r="W4837" s="1"/>
      <c r="X4837" s="1"/>
      <c r="Y4837" s="1"/>
      <c r="Z4837" s="1"/>
      <c r="AA4837" s="1"/>
      <c r="AB4837" s="1"/>
      <c r="AC4837" s="1"/>
      <c r="AD4837" s="1"/>
      <c r="AE4837" s="1"/>
      <c r="AF4837" s="1"/>
      <c r="AG4837" s="1"/>
      <c r="AH4837" s="1"/>
    </row>
    <row r="4838" ht="12.75" hidden="1" customHeight="1" outlineLevel="1">
      <c r="A4838" s="17">
        <v>41872.0</v>
      </c>
      <c r="B4838" s="1"/>
      <c r="C4838" s="1" t="s">
        <v>339</v>
      </c>
      <c r="D4838" s="74"/>
      <c r="E4838" s="67"/>
      <c r="F4838" s="75"/>
      <c r="G4838" s="67"/>
      <c r="H4838" s="68"/>
      <c r="I4838" s="76"/>
      <c r="J4838" s="67"/>
      <c r="K4838" s="7" t="s">
        <v>2077</v>
      </c>
      <c r="L4838" s="77"/>
      <c r="M4838" s="79"/>
      <c r="N4838" s="1"/>
      <c r="O4838" s="1"/>
      <c r="P4838" s="1"/>
      <c r="Q4838" s="1"/>
      <c r="R4838" s="1"/>
      <c r="S4838" s="1"/>
      <c r="T4838" s="1"/>
      <c r="U4838" s="1"/>
      <c r="V4838" s="1"/>
      <c r="W4838" s="1"/>
      <c r="X4838" s="1"/>
      <c r="Y4838" s="1"/>
      <c r="Z4838" s="1"/>
      <c r="AA4838" s="1"/>
      <c r="AB4838" s="1"/>
      <c r="AC4838" s="1"/>
      <c r="AD4838" s="1"/>
      <c r="AE4838" s="1"/>
      <c r="AF4838" s="1"/>
      <c r="AG4838" s="1"/>
      <c r="AH4838" s="1"/>
    </row>
    <row r="4839" ht="12.75" hidden="1" customHeight="1" outlineLevel="1">
      <c r="A4839" s="17">
        <v>41872.0</v>
      </c>
      <c r="B4839" s="1"/>
      <c r="C4839" s="1" t="s">
        <v>429</v>
      </c>
      <c r="D4839" s="74"/>
      <c r="E4839" s="67"/>
      <c r="F4839" s="75"/>
      <c r="G4839" s="67"/>
      <c r="H4839" s="68"/>
      <c r="I4839" s="76"/>
      <c r="J4839" s="67"/>
      <c r="K4839" s="7" t="s">
        <v>2031</v>
      </c>
      <c r="L4839" s="77"/>
      <c r="M4839" s="79"/>
      <c r="N4839" s="1"/>
      <c r="O4839" s="1"/>
      <c r="P4839" s="1"/>
      <c r="Q4839" s="1"/>
      <c r="R4839" s="1"/>
      <c r="S4839" s="1"/>
      <c r="T4839" s="1"/>
      <c r="U4839" s="1"/>
      <c r="V4839" s="1"/>
      <c r="W4839" s="1"/>
      <c r="X4839" s="1"/>
      <c r="Y4839" s="1"/>
      <c r="Z4839" s="1"/>
      <c r="AA4839" s="1"/>
      <c r="AB4839" s="1"/>
      <c r="AC4839" s="1"/>
      <c r="AD4839" s="1"/>
      <c r="AE4839" s="1"/>
      <c r="AF4839" s="1"/>
      <c r="AG4839" s="1"/>
      <c r="AH4839" s="1"/>
    </row>
    <row r="4840" ht="12.75" hidden="1" customHeight="1" outlineLevel="1">
      <c r="A4840" s="17">
        <v>41872.0</v>
      </c>
      <c r="B4840" s="1"/>
      <c r="C4840" s="1" t="s">
        <v>431</v>
      </c>
      <c r="D4840" s="74"/>
      <c r="E4840" s="67"/>
      <c r="F4840" s="75"/>
      <c r="G4840" s="67"/>
      <c r="H4840" s="68"/>
      <c r="I4840" s="76"/>
      <c r="J4840" s="67"/>
      <c r="K4840" s="7" t="s">
        <v>1126</v>
      </c>
      <c r="L4840" s="77"/>
      <c r="M4840" s="79"/>
      <c r="N4840" s="1"/>
      <c r="O4840" s="1"/>
      <c r="P4840" s="1"/>
      <c r="Q4840" s="1"/>
      <c r="R4840" s="1"/>
      <c r="S4840" s="1"/>
      <c r="T4840" s="1"/>
      <c r="U4840" s="1"/>
      <c r="V4840" s="1"/>
      <c r="W4840" s="1"/>
      <c r="X4840" s="1"/>
      <c r="Y4840" s="1"/>
      <c r="Z4840" s="1"/>
      <c r="AA4840" s="1"/>
      <c r="AB4840" s="1"/>
      <c r="AC4840" s="1"/>
      <c r="AD4840" s="1"/>
      <c r="AE4840" s="1"/>
      <c r="AF4840" s="1"/>
      <c r="AG4840" s="1"/>
      <c r="AH4840" s="1"/>
    </row>
    <row r="4841" ht="12.75" hidden="1" customHeight="1" outlineLevel="1">
      <c r="A4841" s="17">
        <v>41872.0</v>
      </c>
      <c r="B4841" s="1"/>
      <c r="C4841" s="1" t="s">
        <v>433</v>
      </c>
      <c r="D4841" s="74"/>
      <c r="E4841" s="67"/>
      <c r="F4841" s="75"/>
      <c r="G4841" s="67"/>
      <c r="H4841" s="68"/>
      <c r="I4841" s="76"/>
      <c r="J4841" s="67"/>
      <c r="K4841" s="7" t="s">
        <v>1103</v>
      </c>
      <c r="L4841" s="77"/>
      <c r="M4841" s="79"/>
      <c r="N4841" s="1"/>
      <c r="O4841" s="1"/>
      <c r="P4841" s="1"/>
      <c r="Q4841" s="1"/>
      <c r="R4841" s="1"/>
      <c r="S4841" s="1"/>
      <c r="T4841" s="1"/>
      <c r="U4841" s="1"/>
      <c r="V4841" s="1"/>
      <c r="W4841" s="1"/>
      <c r="X4841" s="1"/>
      <c r="Y4841" s="1"/>
      <c r="Z4841" s="1"/>
      <c r="AA4841" s="1"/>
      <c r="AB4841" s="1"/>
      <c r="AC4841" s="1"/>
      <c r="AD4841" s="1"/>
      <c r="AE4841" s="1"/>
      <c r="AF4841" s="1"/>
      <c r="AG4841" s="1"/>
      <c r="AH4841" s="1"/>
    </row>
    <row r="4842" ht="12.75" hidden="1" customHeight="1" outlineLevel="1">
      <c r="A4842" s="17">
        <v>41872.0</v>
      </c>
      <c r="B4842" s="1"/>
      <c r="C4842" s="1" t="s">
        <v>435</v>
      </c>
      <c r="D4842" s="74"/>
      <c r="E4842" s="67"/>
      <c r="F4842" s="75"/>
      <c r="G4842" s="67"/>
      <c r="H4842" s="68"/>
      <c r="I4842" s="76"/>
      <c r="J4842" s="67"/>
      <c r="K4842" s="7" t="s">
        <v>1507</v>
      </c>
      <c r="L4842" s="77"/>
      <c r="M4842" s="79"/>
      <c r="N4842" s="1"/>
      <c r="O4842" s="1"/>
      <c r="P4842" s="1"/>
      <c r="Q4842" s="1"/>
      <c r="R4842" s="1"/>
      <c r="S4842" s="1"/>
      <c r="T4842" s="1"/>
      <c r="U4842" s="1"/>
      <c r="V4842" s="1"/>
      <c r="W4842" s="1"/>
      <c r="X4842" s="1"/>
      <c r="Y4842" s="1"/>
      <c r="Z4842" s="1"/>
      <c r="AA4842" s="1"/>
      <c r="AB4842" s="1"/>
      <c r="AC4842" s="1"/>
      <c r="AD4842" s="1"/>
      <c r="AE4842" s="1"/>
      <c r="AF4842" s="1"/>
      <c r="AG4842" s="1"/>
      <c r="AH4842" s="1"/>
    </row>
    <row r="4843" ht="12.75" hidden="1" customHeight="1" outlineLevel="1">
      <c r="A4843" s="17">
        <v>41873.0</v>
      </c>
      <c r="B4843" s="1" t="s">
        <v>343</v>
      </c>
      <c r="C4843" s="1" t="s">
        <v>368</v>
      </c>
      <c r="D4843" s="74">
        <v>800.0</v>
      </c>
      <c r="E4843" s="67">
        <v>37.359</v>
      </c>
      <c r="F4843" s="75">
        <v>0.6435300925925925</v>
      </c>
      <c r="G4843" s="67" t="s">
        <v>453</v>
      </c>
      <c r="H4843" s="68">
        <v>3.2</v>
      </c>
      <c r="I4843" s="76"/>
      <c r="J4843" s="67">
        <f t="shared" ref="J4843:J4845" si="303">IF(B4843="SLD",D4843*E4843,-D4843*E4843)-H4843</f>
        <v>-29890.4</v>
      </c>
      <c r="K4843" s="7"/>
      <c r="L4843" s="70"/>
      <c r="M4843" s="79"/>
      <c r="N4843" s="1"/>
      <c r="O4843" s="1"/>
      <c r="P4843" s="1"/>
      <c r="Q4843" s="1"/>
      <c r="R4843" s="1"/>
      <c r="S4843" s="1"/>
      <c r="T4843" s="1"/>
      <c r="U4843" s="1"/>
      <c r="V4843" s="1"/>
      <c r="W4843" s="1"/>
      <c r="X4843" s="1"/>
      <c r="Y4843" s="1"/>
      <c r="Z4843" s="1"/>
      <c r="AA4843" s="1"/>
      <c r="AB4843" s="1"/>
      <c r="AC4843" s="1"/>
      <c r="AD4843" s="1"/>
      <c r="AE4843" s="1"/>
      <c r="AF4843" s="1"/>
      <c r="AG4843" s="1"/>
      <c r="AH4843" s="1"/>
    </row>
    <row r="4844" ht="12.75" hidden="1" customHeight="1" outlineLevel="1">
      <c r="A4844" s="17">
        <v>41873.0</v>
      </c>
      <c r="B4844" s="1" t="s">
        <v>343</v>
      </c>
      <c r="C4844" s="1" t="s">
        <v>1118</v>
      </c>
      <c r="D4844" s="74">
        <v>700.0</v>
      </c>
      <c r="E4844" s="67">
        <v>43.99</v>
      </c>
      <c r="F4844" s="75">
        <v>0.42391203703703706</v>
      </c>
      <c r="G4844" s="67" t="s">
        <v>453</v>
      </c>
      <c r="H4844" s="68">
        <v>3.5</v>
      </c>
      <c r="I4844" s="76"/>
      <c r="J4844" s="67">
        <f t="shared" si="303"/>
        <v>-30796.5</v>
      </c>
      <c r="K4844" s="7"/>
      <c r="L4844" s="70"/>
      <c r="M4844" s="79"/>
      <c r="N4844" s="1"/>
      <c r="O4844" s="1"/>
      <c r="P4844" s="1"/>
      <c r="Q4844" s="1"/>
      <c r="R4844" s="1"/>
      <c r="S4844" s="1"/>
      <c r="T4844" s="1"/>
      <c r="U4844" s="1"/>
      <c r="V4844" s="1"/>
      <c r="W4844" s="1"/>
      <c r="X4844" s="1"/>
      <c r="Y4844" s="1"/>
      <c r="Z4844" s="1"/>
      <c r="AA4844" s="1"/>
      <c r="AB4844" s="1"/>
      <c r="AC4844" s="1"/>
      <c r="AD4844" s="1"/>
      <c r="AE4844" s="1"/>
      <c r="AF4844" s="1"/>
      <c r="AG4844" s="1"/>
      <c r="AH4844" s="1"/>
    </row>
    <row r="4845" ht="12.75" hidden="1" customHeight="1" outlineLevel="1">
      <c r="A4845" s="17">
        <v>41873.0</v>
      </c>
      <c r="B4845" s="1" t="s">
        <v>343</v>
      </c>
      <c r="C4845" s="1" t="s">
        <v>1766</v>
      </c>
      <c r="D4845" s="74">
        <v>100.0</v>
      </c>
      <c r="E4845" s="67">
        <v>66.7299</v>
      </c>
      <c r="F4845" s="75">
        <v>0.6445138888888889</v>
      </c>
      <c r="G4845" s="67" t="s">
        <v>453</v>
      </c>
      <c r="H4845" s="68">
        <v>1.0</v>
      </c>
      <c r="I4845" s="76"/>
      <c r="J4845" s="67">
        <f t="shared" si="303"/>
        <v>-6673.99</v>
      </c>
      <c r="K4845" s="7"/>
      <c r="L4845" s="70"/>
      <c r="M4845" s="79"/>
      <c r="N4845" s="1"/>
      <c r="O4845" s="1"/>
      <c r="P4845" s="1"/>
      <c r="Q4845" s="1"/>
      <c r="R4845" s="1"/>
      <c r="S4845" s="1"/>
      <c r="T4845" s="1"/>
      <c r="U4845" s="1"/>
      <c r="V4845" s="1"/>
      <c r="W4845" s="1"/>
      <c r="X4845" s="1"/>
      <c r="Y4845" s="1"/>
      <c r="Z4845" s="1"/>
      <c r="AA4845" s="1"/>
      <c r="AB4845" s="1"/>
      <c r="AC4845" s="1"/>
      <c r="AD4845" s="1"/>
      <c r="AE4845" s="1"/>
      <c r="AF4845" s="1"/>
      <c r="AG4845" s="1"/>
      <c r="AH4845" s="1"/>
    </row>
    <row r="4846" ht="12.75" hidden="1" customHeight="1" outlineLevel="1">
      <c r="A4846" s="17">
        <v>41874.0</v>
      </c>
      <c r="B4846" s="1"/>
      <c r="C4846" s="1" t="s">
        <v>339</v>
      </c>
      <c r="D4846" s="74"/>
      <c r="E4846" s="67"/>
      <c r="F4846" s="75"/>
      <c r="G4846" s="67"/>
      <c r="H4846" s="68"/>
      <c r="I4846" s="76"/>
      <c r="J4846" s="67"/>
      <c r="K4846" s="7" t="s">
        <v>2085</v>
      </c>
      <c r="L4846" s="77"/>
      <c r="M4846" s="79"/>
      <c r="N4846" s="1"/>
      <c r="O4846" s="1"/>
      <c r="P4846" s="1"/>
      <c r="Q4846" s="1"/>
      <c r="R4846" s="1"/>
      <c r="S4846" s="1"/>
      <c r="T4846" s="1"/>
      <c r="U4846" s="1"/>
      <c r="V4846" s="1"/>
      <c r="W4846" s="1"/>
      <c r="X4846" s="1"/>
      <c r="Y4846" s="1"/>
      <c r="Z4846" s="1"/>
      <c r="AA4846" s="1"/>
      <c r="AB4846" s="1"/>
      <c r="AC4846" s="1"/>
      <c r="AD4846" s="1"/>
      <c r="AE4846" s="1"/>
      <c r="AF4846" s="1"/>
      <c r="AG4846" s="1"/>
      <c r="AH4846" s="1"/>
    </row>
    <row r="4847" ht="12.75" hidden="1" customHeight="1" outlineLevel="1">
      <c r="A4847" s="17">
        <v>41874.0</v>
      </c>
      <c r="B4847" s="1"/>
      <c r="C4847" s="1" t="s">
        <v>429</v>
      </c>
      <c r="D4847" s="74"/>
      <c r="E4847" s="67"/>
      <c r="F4847" s="75"/>
      <c r="G4847" s="67"/>
      <c r="H4847" s="68"/>
      <c r="I4847" s="76"/>
      <c r="J4847" s="67"/>
      <c r="K4847" s="7" t="s">
        <v>2031</v>
      </c>
      <c r="L4847" s="77"/>
      <c r="M4847" s="79"/>
      <c r="N4847" s="1"/>
      <c r="O4847" s="1"/>
      <c r="P4847" s="1"/>
      <c r="Q4847" s="1"/>
      <c r="R4847" s="1"/>
      <c r="S4847" s="1"/>
      <c r="T4847" s="1"/>
      <c r="U4847" s="1"/>
      <c r="V4847" s="1"/>
      <c r="W4847" s="1"/>
      <c r="X4847" s="1"/>
      <c r="Y4847" s="1"/>
      <c r="Z4847" s="1"/>
      <c r="AA4847" s="1"/>
      <c r="AB4847" s="1"/>
      <c r="AC4847" s="1"/>
      <c r="AD4847" s="1"/>
      <c r="AE4847" s="1"/>
      <c r="AF4847" s="1"/>
      <c r="AG4847" s="1"/>
      <c r="AH4847" s="1"/>
    </row>
    <row r="4848" ht="12.75" hidden="1" customHeight="1" outlineLevel="1">
      <c r="A4848" s="17">
        <v>41874.0</v>
      </c>
      <c r="B4848" s="1"/>
      <c r="C4848" s="1" t="s">
        <v>431</v>
      </c>
      <c r="D4848" s="74"/>
      <c r="E4848" s="67"/>
      <c r="F4848" s="75"/>
      <c r="G4848" s="67"/>
      <c r="H4848" s="68"/>
      <c r="I4848" s="76"/>
      <c r="J4848" s="67"/>
      <c r="K4848" s="7" t="s">
        <v>1126</v>
      </c>
      <c r="L4848" s="77"/>
      <c r="M4848" s="79"/>
      <c r="N4848" s="1"/>
      <c r="O4848" s="1"/>
      <c r="P4848" s="1"/>
      <c r="Q4848" s="1"/>
      <c r="R4848" s="1"/>
      <c r="S4848" s="1"/>
      <c r="T4848" s="1"/>
      <c r="U4848" s="1"/>
      <c r="V4848" s="1"/>
      <c r="W4848" s="1"/>
      <c r="X4848" s="1"/>
      <c r="Y4848" s="1"/>
      <c r="Z4848" s="1"/>
      <c r="AA4848" s="1"/>
      <c r="AB4848" s="1"/>
      <c r="AC4848" s="1"/>
      <c r="AD4848" s="1"/>
      <c r="AE4848" s="1"/>
      <c r="AF4848" s="1"/>
      <c r="AG4848" s="1"/>
      <c r="AH4848" s="1"/>
    </row>
    <row r="4849" ht="12.75" hidden="1" customHeight="1" outlineLevel="1">
      <c r="A4849" s="17">
        <v>41874.0</v>
      </c>
      <c r="B4849" s="1"/>
      <c r="C4849" s="1" t="s">
        <v>433</v>
      </c>
      <c r="D4849" s="74"/>
      <c r="E4849" s="67"/>
      <c r="F4849" s="75"/>
      <c r="G4849" s="67"/>
      <c r="H4849" s="68"/>
      <c r="I4849" s="76"/>
      <c r="J4849" s="67"/>
      <c r="K4849" s="7" t="s">
        <v>1103</v>
      </c>
      <c r="L4849" s="77"/>
      <c r="M4849" s="79"/>
      <c r="N4849" s="1"/>
      <c r="O4849" s="1"/>
      <c r="P4849" s="1"/>
      <c r="Q4849" s="1"/>
      <c r="R4849" s="1"/>
      <c r="S4849" s="1"/>
      <c r="T4849" s="1"/>
      <c r="U4849" s="1"/>
      <c r="V4849" s="1"/>
      <c r="W4849" s="1"/>
      <c r="X4849" s="1"/>
      <c r="Y4849" s="1"/>
      <c r="Z4849" s="1"/>
      <c r="AA4849" s="1"/>
      <c r="AB4849" s="1"/>
      <c r="AC4849" s="1"/>
      <c r="AD4849" s="1"/>
      <c r="AE4849" s="1"/>
      <c r="AF4849" s="1"/>
      <c r="AG4849" s="1"/>
      <c r="AH4849" s="1"/>
    </row>
    <row r="4850" ht="12.75" hidden="1" customHeight="1" outlineLevel="1">
      <c r="A4850" s="17">
        <v>41874.0</v>
      </c>
      <c r="B4850" s="1"/>
      <c r="C4850" s="1" t="s">
        <v>435</v>
      </c>
      <c r="D4850" s="74"/>
      <c r="E4850" s="67"/>
      <c r="F4850" s="75"/>
      <c r="G4850" s="67"/>
      <c r="H4850" s="68"/>
      <c r="I4850" s="76"/>
      <c r="J4850" s="67"/>
      <c r="K4850" s="7" t="s">
        <v>1507</v>
      </c>
      <c r="L4850" s="77"/>
      <c r="M4850" s="79"/>
      <c r="N4850" s="1"/>
      <c r="O4850" s="1"/>
      <c r="P4850" s="1"/>
      <c r="Q4850" s="1"/>
      <c r="R4850" s="1"/>
      <c r="S4850" s="1"/>
      <c r="T4850" s="1"/>
      <c r="U4850" s="1"/>
      <c r="V4850" s="1"/>
      <c r="W4850" s="1"/>
      <c r="X4850" s="1"/>
      <c r="Y4850" s="1"/>
      <c r="Z4850" s="1"/>
      <c r="AA4850" s="1"/>
      <c r="AB4850" s="1"/>
      <c r="AC4850" s="1"/>
      <c r="AD4850" s="1"/>
      <c r="AE4850" s="1"/>
      <c r="AF4850" s="1"/>
      <c r="AG4850" s="1"/>
      <c r="AH4850" s="1"/>
    </row>
    <row r="4851" ht="12.75" hidden="1" customHeight="1" outlineLevel="1">
      <c r="A4851" s="17">
        <v>41876.0</v>
      </c>
      <c r="B4851" s="1" t="s">
        <v>343</v>
      </c>
      <c r="C4851" s="1" t="s">
        <v>1357</v>
      </c>
      <c r="D4851" s="74">
        <v>300.0</v>
      </c>
      <c r="E4851" s="67">
        <v>36.909</v>
      </c>
      <c r="F4851" s="75">
        <v>0.40038194444444447</v>
      </c>
      <c r="G4851" s="67" t="s">
        <v>453</v>
      </c>
      <c r="H4851" s="68">
        <v>1.2</v>
      </c>
      <c r="I4851" s="76"/>
      <c r="J4851" s="67">
        <f t="shared" ref="J4851:J4853" si="304">IF(B4851="SLD",D4851*E4851,-D4851*E4851)-H4851</f>
        <v>-11073.9</v>
      </c>
      <c r="K4851" s="7"/>
      <c r="L4851" s="70"/>
      <c r="M4851" s="79"/>
      <c r="N4851" s="1"/>
      <c r="O4851" s="1"/>
      <c r="P4851" s="1"/>
      <c r="Q4851" s="1"/>
      <c r="R4851" s="1"/>
      <c r="S4851" s="1"/>
      <c r="T4851" s="1"/>
      <c r="U4851" s="1"/>
      <c r="V4851" s="1"/>
      <c r="W4851" s="1"/>
      <c r="X4851" s="1"/>
      <c r="Y4851" s="1"/>
      <c r="Z4851" s="1"/>
      <c r="AA4851" s="1"/>
      <c r="AB4851" s="1"/>
      <c r="AC4851" s="1"/>
      <c r="AD4851" s="1"/>
      <c r="AE4851" s="1"/>
      <c r="AF4851" s="1"/>
      <c r="AG4851" s="1"/>
      <c r="AH4851" s="1"/>
    </row>
    <row r="4852" ht="12.75" hidden="1" customHeight="1" outlineLevel="1">
      <c r="A4852" s="17">
        <v>41876.0</v>
      </c>
      <c r="B4852" s="1" t="s">
        <v>343</v>
      </c>
      <c r="C4852" s="1" t="s">
        <v>1382</v>
      </c>
      <c r="D4852" s="74">
        <v>225.0</v>
      </c>
      <c r="E4852" s="67">
        <v>133.078</v>
      </c>
      <c r="F4852" s="75">
        <v>0.4108217592592593</v>
      </c>
      <c r="G4852" s="67" t="s">
        <v>453</v>
      </c>
      <c r="H4852" s="68">
        <v>1.0</v>
      </c>
      <c r="I4852" s="76"/>
      <c r="J4852" s="67">
        <f t="shared" si="304"/>
        <v>-29943.55</v>
      </c>
      <c r="K4852" s="7"/>
      <c r="L4852" s="70"/>
      <c r="M4852" s="79"/>
      <c r="N4852" s="1"/>
      <c r="O4852" s="1"/>
      <c r="P4852" s="1"/>
      <c r="Q4852" s="1"/>
      <c r="R4852" s="1"/>
      <c r="S4852" s="1"/>
      <c r="T4852" s="1"/>
      <c r="U4852" s="1"/>
      <c r="V4852" s="1"/>
      <c r="W4852" s="1"/>
      <c r="X4852" s="1"/>
      <c r="Y4852" s="1"/>
      <c r="Z4852" s="1"/>
      <c r="AA4852" s="1"/>
      <c r="AB4852" s="1"/>
      <c r="AC4852" s="1"/>
      <c r="AD4852" s="1"/>
      <c r="AE4852" s="1"/>
      <c r="AF4852" s="1"/>
      <c r="AG4852" s="1"/>
      <c r="AH4852" s="1"/>
    </row>
    <row r="4853" ht="12.75" hidden="1" customHeight="1" outlineLevel="1">
      <c r="A4853" s="17">
        <v>41876.0</v>
      </c>
      <c r="B4853" s="1" t="s">
        <v>343</v>
      </c>
      <c r="C4853" s="1" t="s">
        <v>1366</v>
      </c>
      <c r="D4853" s="74">
        <v>150.0</v>
      </c>
      <c r="E4853" s="67">
        <v>188.586</v>
      </c>
      <c r="F4853" s="75">
        <v>0.5847800925925926</v>
      </c>
      <c r="G4853" s="67" t="s">
        <v>453</v>
      </c>
      <c r="H4853" s="68">
        <v>1.0</v>
      </c>
      <c r="I4853" s="76"/>
      <c r="J4853" s="67">
        <f t="shared" si="304"/>
        <v>-28288.9</v>
      </c>
      <c r="K4853" s="7"/>
      <c r="L4853" s="70"/>
      <c r="M4853" s="79"/>
      <c r="N4853" s="1"/>
      <c r="O4853" s="1"/>
      <c r="P4853" s="1"/>
      <c r="Q4853" s="1"/>
      <c r="R4853" s="1"/>
      <c r="S4853" s="1"/>
      <c r="T4853" s="1"/>
      <c r="U4853" s="1"/>
      <c r="V4853" s="1"/>
      <c r="W4853" s="1"/>
      <c r="X4853" s="1"/>
      <c r="Y4853" s="1"/>
      <c r="Z4853" s="1"/>
      <c r="AA4853" s="1"/>
      <c r="AB4853" s="1"/>
      <c r="AC4853" s="1"/>
      <c r="AD4853" s="1"/>
      <c r="AE4853" s="1"/>
      <c r="AF4853" s="1"/>
      <c r="AG4853" s="1"/>
      <c r="AH4853" s="1"/>
    </row>
    <row r="4854" ht="12.75" hidden="1" customHeight="1" outlineLevel="1">
      <c r="A4854" s="17">
        <v>41876.0</v>
      </c>
      <c r="B4854" s="1"/>
      <c r="C4854" s="1" t="s">
        <v>339</v>
      </c>
      <c r="D4854" s="74"/>
      <c r="E4854" s="67"/>
      <c r="F4854" s="75"/>
      <c r="G4854" s="67"/>
      <c r="H4854" s="68"/>
      <c r="I4854" s="76"/>
      <c r="J4854" s="67"/>
      <c r="K4854" s="7" t="s">
        <v>2093</v>
      </c>
      <c r="L4854" s="77"/>
      <c r="M4854" s="79"/>
      <c r="N4854" s="1"/>
      <c r="O4854" s="1"/>
      <c r="P4854" s="1"/>
      <c r="Q4854" s="1"/>
      <c r="R4854" s="1"/>
      <c r="S4854" s="1"/>
      <c r="T4854" s="1"/>
      <c r="U4854" s="1"/>
      <c r="V4854" s="1"/>
      <c r="W4854" s="1"/>
      <c r="X4854" s="1"/>
      <c r="Y4854" s="1"/>
      <c r="Z4854" s="1"/>
      <c r="AA4854" s="1"/>
      <c r="AB4854" s="1"/>
      <c r="AC4854" s="1"/>
      <c r="AD4854" s="1"/>
      <c r="AE4854" s="1"/>
      <c r="AF4854" s="1"/>
      <c r="AG4854" s="1"/>
      <c r="AH4854" s="1"/>
    </row>
    <row r="4855" ht="12.75" hidden="1" customHeight="1" outlineLevel="1">
      <c r="A4855" s="17">
        <v>41876.0</v>
      </c>
      <c r="B4855" s="1"/>
      <c r="C4855" s="1" t="s">
        <v>429</v>
      </c>
      <c r="D4855" s="74"/>
      <c r="E4855" s="67"/>
      <c r="F4855" s="75"/>
      <c r="G4855" s="67"/>
      <c r="H4855" s="68"/>
      <c r="I4855" s="76"/>
      <c r="J4855" s="67"/>
      <c r="K4855" s="7" t="s">
        <v>2031</v>
      </c>
      <c r="L4855" s="77"/>
      <c r="M4855" s="79"/>
      <c r="N4855" s="1"/>
      <c r="O4855" s="1"/>
      <c r="P4855" s="1"/>
      <c r="Q4855" s="1"/>
      <c r="R4855" s="1"/>
      <c r="S4855" s="1"/>
      <c r="T4855" s="1"/>
      <c r="U4855" s="1"/>
      <c r="V4855" s="1"/>
      <c r="W4855" s="1"/>
      <c r="X4855" s="1"/>
      <c r="Y4855" s="1"/>
      <c r="Z4855" s="1"/>
      <c r="AA4855" s="1"/>
      <c r="AB4855" s="1"/>
      <c r="AC4855" s="1"/>
      <c r="AD4855" s="1"/>
      <c r="AE4855" s="1"/>
      <c r="AF4855" s="1"/>
      <c r="AG4855" s="1"/>
      <c r="AH4855" s="1"/>
    </row>
    <row r="4856" ht="12.75" hidden="1" customHeight="1" outlineLevel="1">
      <c r="A4856" s="17">
        <v>41876.0</v>
      </c>
      <c r="B4856" s="1"/>
      <c r="C4856" s="1" t="s">
        <v>431</v>
      </c>
      <c r="D4856" s="74"/>
      <c r="E4856" s="67"/>
      <c r="F4856" s="75"/>
      <c r="G4856" s="67"/>
      <c r="H4856" s="68"/>
      <c r="I4856" s="76"/>
      <c r="J4856" s="67"/>
      <c r="K4856" s="7" t="s">
        <v>1126</v>
      </c>
      <c r="L4856" s="77"/>
      <c r="M4856" s="79"/>
      <c r="N4856" s="1"/>
      <c r="O4856" s="1"/>
      <c r="P4856" s="1"/>
      <c r="Q4856" s="1"/>
      <c r="R4856" s="1"/>
      <c r="S4856" s="1"/>
      <c r="T4856" s="1"/>
      <c r="U4856" s="1"/>
      <c r="V4856" s="1"/>
      <c r="W4856" s="1"/>
      <c r="X4856" s="1"/>
      <c r="Y4856" s="1"/>
      <c r="Z4856" s="1"/>
      <c r="AA4856" s="1"/>
      <c r="AB4856" s="1"/>
      <c r="AC4856" s="1"/>
      <c r="AD4856" s="1"/>
      <c r="AE4856" s="1"/>
      <c r="AF4856" s="1"/>
      <c r="AG4856" s="1"/>
      <c r="AH4856" s="1"/>
    </row>
    <row r="4857" ht="12.75" hidden="1" customHeight="1" outlineLevel="1">
      <c r="A4857" s="17">
        <v>41876.0</v>
      </c>
      <c r="B4857" s="1"/>
      <c r="C4857" s="1" t="s">
        <v>433</v>
      </c>
      <c r="D4857" s="74"/>
      <c r="E4857" s="67"/>
      <c r="F4857" s="75"/>
      <c r="G4857" s="67"/>
      <c r="H4857" s="68"/>
      <c r="I4857" s="76"/>
      <c r="J4857" s="67"/>
      <c r="K4857" s="7" t="s">
        <v>1103</v>
      </c>
      <c r="L4857" s="77"/>
      <c r="M4857" s="79"/>
      <c r="N4857" s="1"/>
      <c r="O4857" s="1"/>
      <c r="P4857" s="1"/>
      <c r="Q4857" s="1"/>
      <c r="R4857" s="1"/>
      <c r="S4857" s="1"/>
      <c r="T4857" s="1"/>
      <c r="U4857" s="1"/>
      <c r="V4857" s="1"/>
      <c r="W4857" s="1"/>
      <c r="X4857" s="1"/>
      <c r="Y4857" s="1"/>
      <c r="Z4857" s="1"/>
      <c r="AA4857" s="1"/>
      <c r="AB4857" s="1"/>
      <c r="AC4857" s="1"/>
      <c r="AD4857" s="1"/>
      <c r="AE4857" s="1"/>
      <c r="AF4857" s="1"/>
      <c r="AG4857" s="1"/>
      <c r="AH4857" s="1"/>
    </row>
    <row r="4858" ht="12.75" hidden="1" customHeight="1" outlineLevel="1">
      <c r="A4858" s="17">
        <v>41876.0</v>
      </c>
      <c r="B4858" s="1"/>
      <c r="C4858" s="1" t="s">
        <v>435</v>
      </c>
      <c r="D4858" s="74"/>
      <c r="E4858" s="67"/>
      <c r="F4858" s="75"/>
      <c r="G4858" s="67"/>
      <c r="H4858" s="68"/>
      <c r="I4858" s="76"/>
      <c r="J4858" s="67"/>
      <c r="K4858" s="7" t="s">
        <v>1507</v>
      </c>
      <c r="L4858" s="77"/>
      <c r="M4858" s="79"/>
      <c r="N4858" s="1"/>
      <c r="O4858" s="1"/>
      <c r="P4858" s="1"/>
      <c r="Q4858" s="1"/>
      <c r="R4858" s="1"/>
      <c r="S4858" s="1"/>
      <c r="T4858" s="1"/>
      <c r="U4858" s="1"/>
      <c r="V4858" s="1"/>
      <c r="W4858" s="1"/>
      <c r="X4858" s="1"/>
      <c r="Y4858" s="1"/>
      <c r="Z4858" s="1"/>
      <c r="AA4858" s="1"/>
      <c r="AB4858" s="1"/>
      <c r="AC4858" s="1"/>
      <c r="AD4858" s="1"/>
      <c r="AE4858" s="1"/>
      <c r="AF4858" s="1"/>
      <c r="AG4858" s="1"/>
      <c r="AH4858" s="1"/>
    </row>
    <row r="4859" ht="12.75" hidden="1" customHeight="1" outlineLevel="1">
      <c r="A4859" s="17">
        <v>41877.0</v>
      </c>
      <c r="B4859" s="1" t="s">
        <v>343</v>
      </c>
      <c r="C4859" s="1" t="s">
        <v>2098</v>
      </c>
      <c r="D4859" s="74">
        <v>700.0</v>
      </c>
      <c r="E4859" s="67">
        <v>45.696</v>
      </c>
      <c r="F4859" s="75">
        <v>0.43473379629629627</v>
      </c>
      <c r="G4859" s="67" t="s">
        <v>453</v>
      </c>
      <c r="H4859" s="68">
        <v>2.9</v>
      </c>
      <c r="I4859" s="76"/>
      <c r="J4859" s="67">
        <f>IF(B4859="SLD",D4859*E4859,-D4859*E4859)-H4859</f>
        <v>-31990.1</v>
      </c>
      <c r="K4859" s="7"/>
      <c r="L4859" s="70"/>
      <c r="M4859" s="79"/>
      <c r="N4859" s="1"/>
      <c r="O4859" s="1"/>
      <c r="P4859" s="1"/>
      <c r="Q4859" s="1"/>
      <c r="R4859" s="1"/>
      <c r="S4859" s="1"/>
      <c r="T4859" s="1"/>
      <c r="U4859" s="1"/>
      <c r="V4859" s="1"/>
      <c r="W4859" s="1"/>
      <c r="X4859" s="1"/>
      <c r="Y4859" s="1"/>
      <c r="Z4859" s="1"/>
      <c r="AA4859" s="1"/>
      <c r="AB4859" s="1"/>
      <c r="AC4859" s="1"/>
      <c r="AD4859" s="1"/>
      <c r="AE4859" s="1"/>
      <c r="AF4859" s="1"/>
      <c r="AG4859" s="1"/>
      <c r="AH4859" s="1"/>
    </row>
    <row r="4860" ht="12.75" hidden="1" customHeight="1" outlineLevel="1">
      <c r="A4860" s="17">
        <v>41877.0</v>
      </c>
      <c r="B4860" s="1"/>
      <c r="C4860" s="1" t="s">
        <v>339</v>
      </c>
      <c r="D4860" s="74"/>
      <c r="E4860" s="67"/>
      <c r="F4860" s="75"/>
      <c r="G4860" s="67"/>
      <c r="H4860" s="68"/>
      <c r="I4860" s="76"/>
      <c r="J4860" s="67"/>
      <c r="K4860" s="7" t="s">
        <v>2102</v>
      </c>
      <c r="L4860" s="77"/>
      <c r="M4860" s="79"/>
      <c r="N4860" s="1"/>
      <c r="O4860" s="1"/>
      <c r="P4860" s="1"/>
      <c r="Q4860" s="1"/>
      <c r="R4860" s="1"/>
      <c r="S4860" s="1"/>
      <c r="T4860" s="1"/>
      <c r="U4860" s="1"/>
      <c r="V4860" s="1"/>
      <c r="W4860" s="1"/>
      <c r="X4860" s="1"/>
      <c r="Y4860" s="1"/>
      <c r="Z4860" s="1"/>
      <c r="AA4860" s="1"/>
      <c r="AB4860" s="1"/>
      <c r="AC4860" s="1"/>
      <c r="AD4860" s="1"/>
      <c r="AE4860" s="1"/>
      <c r="AF4860" s="1"/>
      <c r="AG4860" s="1"/>
      <c r="AH4860" s="1"/>
    </row>
    <row r="4861" ht="12.75" hidden="1" customHeight="1" outlineLevel="1">
      <c r="A4861" s="17">
        <v>41877.0</v>
      </c>
      <c r="B4861" s="1"/>
      <c r="C4861" s="1" t="s">
        <v>429</v>
      </c>
      <c r="D4861" s="74"/>
      <c r="E4861" s="67"/>
      <c r="F4861" s="75"/>
      <c r="G4861" s="67"/>
      <c r="H4861" s="68"/>
      <c r="I4861" s="76"/>
      <c r="J4861" s="67"/>
      <c r="K4861" s="7" t="s">
        <v>2031</v>
      </c>
      <c r="L4861" s="77"/>
      <c r="M4861" s="79"/>
      <c r="N4861" s="1"/>
      <c r="O4861" s="1"/>
      <c r="P4861" s="1"/>
      <c r="Q4861" s="1"/>
      <c r="R4861" s="1"/>
      <c r="S4861" s="1"/>
      <c r="T4861" s="1"/>
      <c r="U4861" s="1"/>
      <c r="V4861" s="1"/>
      <c r="W4861" s="1"/>
      <c r="X4861" s="1"/>
      <c r="Y4861" s="1"/>
      <c r="Z4861" s="1"/>
      <c r="AA4861" s="1"/>
      <c r="AB4861" s="1"/>
      <c r="AC4861" s="1"/>
      <c r="AD4861" s="1"/>
      <c r="AE4861" s="1"/>
      <c r="AF4861" s="1"/>
      <c r="AG4861" s="1"/>
      <c r="AH4861" s="1"/>
    </row>
    <row r="4862" ht="12.75" hidden="1" customHeight="1" outlineLevel="1">
      <c r="A4862" s="17">
        <v>41877.0</v>
      </c>
      <c r="B4862" s="1"/>
      <c r="C4862" s="1" t="s">
        <v>431</v>
      </c>
      <c r="D4862" s="74"/>
      <c r="E4862" s="67"/>
      <c r="F4862" s="75"/>
      <c r="G4862" s="67"/>
      <c r="H4862" s="68"/>
      <c r="I4862" s="76"/>
      <c r="J4862" s="67"/>
      <c r="K4862" s="7" t="s">
        <v>1126</v>
      </c>
      <c r="L4862" s="77"/>
      <c r="M4862" s="79"/>
      <c r="N4862" s="1"/>
      <c r="O4862" s="1"/>
      <c r="P4862" s="1"/>
      <c r="Q4862" s="1"/>
      <c r="R4862" s="1"/>
      <c r="S4862" s="1"/>
      <c r="T4862" s="1"/>
      <c r="U4862" s="1"/>
      <c r="V4862" s="1"/>
      <c r="W4862" s="1"/>
      <c r="X4862" s="1"/>
      <c r="Y4862" s="1"/>
      <c r="Z4862" s="1"/>
      <c r="AA4862" s="1"/>
      <c r="AB4862" s="1"/>
      <c r="AC4862" s="1"/>
      <c r="AD4862" s="1"/>
      <c r="AE4862" s="1"/>
      <c r="AF4862" s="1"/>
      <c r="AG4862" s="1"/>
      <c r="AH4862" s="1"/>
    </row>
    <row r="4863" ht="12.75" hidden="1" customHeight="1" outlineLevel="1">
      <c r="A4863" s="17">
        <v>41877.0</v>
      </c>
      <c r="B4863" s="1"/>
      <c r="C4863" s="1" t="s">
        <v>433</v>
      </c>
      <c r="D4863" s="74"/>
      <c r="E4863" s="67"/>
      <c r="F4863" s="75"/>
      <c r="G4863" s="67"/>
      <c r="H4863" s="68"/>
      <c r="I4863" s="76"/>
      <c r="J4863" s="67"/>
      <c r="K4863" s="7" t="s">
        <v>1103</v>
      </c>
      <c r="L4863" s="77"/>
      <c r="M4863" s="79"/>
      <c r="N4863" s="1"/>
      <c r="O4863" s="1"/>
      <c r="P4863" s="1"/>
      <c r="Q4863" s="1"/>
      <c r="R4863" s="1"/>
      <c r="S4863" s="1"/>
      <c r="T4863" s="1"/>
      <c r="U4863" s="1"/>
      <c r="V4863" s="1"/>
      <c r="W4863" s="1"/>
      <c r="X4863" s="1"/>
      <c r="Y4863" s="1"/>
      <c r="Z4863" s="1"/>
      <c r="AA4863" s="1"/>
      <c r="AB4863" s="1"/>
      <c r="AC4863" s="1"/>
      <c r="AD4863" s="1"/>
      <c r="AE4863" s="1"/>
      <c r="AF4863" s="1"/>
      <c r="AG4863" s="1"/>
      <c r="AH4863" s="1"/>
    </row>
    <row r="4864" ht="12.75" hidden="1" customHeight="1" outlineLevel="1">
      <c r="A4864" s="17">
        <v>41877.0</v>
      </c>
      <c r="B4864" s="1"/>
      <c r="C4864" s="1" t="s">
        <v>435</v>
      </c>
      <c r="D4864" s="74"/>
      <c r="E4864" s="67"/>
      <c r="F4864" s="75"/>
      <c r="G4864" s="67"/>
      <c r="H4864" s="68"/>
      <c r="I4864" s="76"/>
      <c r="J4864" s="67"/>
      <c r="K4864" s="7" t="s">
        <v>1507</v>
      </c>
      <c r="L4864" s="77"/>
      <c r="M4864" s="79"/>
      <c r="N4864" s="1"/>
      <c r="O4864" s="1"/>
      <c r="P4864" s="1"/>
      <c r="Q4864" s="1"/>
      <c r="R4864" s="1"/>
      <c r="S4864" s="1"/>
      <c r="T4864" s="1"/>
      <c r="U4864" s="1"/>
      <c r="V4864" s="1"/>
      <c r="W4864" s="1"/>
      <c r="X4864" s="1"/>
      <c r="Y4864" s="1"/>
      <c r="Z4864" s="1"/>
      <c r="AA4864" s="1"/>
      <c r="AB4864" s="1"/>
      <c r="AC4864" s="1"/>
      <c r="AD4864" s="1"/>
      <c r="AE4864" s="1"/>
      <c r="AF4864" s="1"/>
      <c r="AG4864" s="1"/>
      <c r="AH4864" s="1"/>
    </row>
    <row r="4865" ht="12.75" hidden="1" customHeight="1" outlineLevel="1">
      <c r="A4865" s="17">
        <v>41878.0</v>
      </c>
      <c r="B4865" s="1"/>
      <c r="C4865" s="1" t="s">
        <v>339</v>
      </c>
      <c r="D4865" s="74"/>
      <c r="E4865" s="67"/>
      <c r="F4865" s="75"/>
      <c r="G4865" s="67"/>
      <c r="H4865" s="68"/>
      <c r="I4865" s="76"/>
      <c r="J4865" s="67"/>
      <c r="K4865" s="7" t="s">
        <v>2106</v>
      </c>
      <c r="L4865" s="77"/>
      <c r="M4865" s="79"/>
      <c r="N4865" s="1"/>
      <c r="O4865" s="1"/>
      <c r="P4865" s="1"/>
      <c r="Q4865" s="1"/>
      <c r="R4865" s="1"/>
      <c r="S4865" s="1"/>
      <c r="T4865" s="1"/>
      <c r="U4865" s="1"/>
      <c r="V4865" s="1"/>
      <c r="W4865" s="1"/>
      <c r="X4865" s="1"/>
      <c r="Y4865" s="1"/>
      <c r="Z4865" s="1"/>
      <c r="AA4865" s="1"/>
      <c r="AB4865" s="1"/>
      <c r="AC4865" s="1"/>
      <c r="AD4865" s="1"/>
      <c r="AE4865" s="1"/>
      <c r="AF4865" s="1"/>
      <c r="AG4865" s="1"/>
      <c r="AH4865" s="1"/>
    </row>
    <row r="4866" ht="12.75" hidden="1" customHeight="1" outlineLevel="1">
      <c r="A4866" s="17">
        <v>41878.0</v>
      </c>
      <c r="B4866" s="1"/>
      <c r="C4866" s="1" t="s">
        <v>429</v>
      </c>
      <c r="D4866" s="74"/>
      <c r="E4866" s="67"/>
      <c r="F4866" s="75"/>
      <c r="G4866" s="67"/>
      <c r="H4866" s="68"/>
      <c r="I4866" s="76"/>
      <c r="J4866" s="67"/>
      <c r="K4866" s="7" t="s">
        <v>2031</v>
      </c>
      <c r="L4866" s="77"/>
      <c r="M4866" s="79"/>
      <c r="N4866" s="1"/>
      <c r="O4866" s="1"/>
      <c r="P4866" s="1"/>
      <c r="Q4866" s="1"/>
      <c r="R4866" s="1"/>
      <c r="S4866" s="1"/>
      <c r="T4866" s="1"/>
      <c r="U4866" s="1"/>
      <c r="V4866" s="1"/>
      <c r="W4866" s="1"/>
      <c r="X4866" s="1"/>
      <c r="Y4866" s="1"/>
      <c r="Z4866" s="1"/>
      <c r="AA4866" s="1"/>
      <c r="AB4866" s="1"/>
      <c r="AC4866" s="1"/>
      <c r="AD4866" s="1"/>
      <c r="AE4866" s="1"/>
      <c r="AF4866" s="1"/>
      <c r="AG4866" s="1"/>
      <c r="AH4866" s="1"/>
    </row>
    <row r="4867" ht="12.75" hidden="1" customHeight="1" outlineLevel="1">
      <c r="A4867" s="17">
        <v>41878.0</v>
      </c>
      <c r="B4867" s="1"/>
      <c r="C4867" s="1" t="s">
        <v>431</v>
      </c>
      <c r="D4867" s="74"/>
      <c r="E4867" s="67"/>
      <c r="F4867" s="75"/>
      <c r="G4867" s="67"/>
      <c r="H4867" s="68"/>
      <c r="I4867" s="76"/>
      <c r="J4867" s="67"/>
      <c r="K4867" s="7" t="s">
        <v>1126</v>
      </c>
      <c r="L4867" s="77"/>
      <c r="M4867" s="79"/>
      <c r="N4867" s="1"/>
      <c r="O4867" s="1"/>
      <c r="P4867" s="1"/>
      <c r="Q4867" s="1"/>
      <c r="R4867" s="1"/>
      <c r="S4867" s="1"/>
      <c r="T4867" s="1"/>
      <c r="U4867" s="1"/>
      <c r="V4867" s="1"/>
      <c r="W4867" s="1"/>
      <c r="X4867" s="1"/>
      <c r="Y4867" s="1"/>
      <c r="Z4867" s="1"/>
      <c r="AA4867" s="1"/>
      <c r="AB4867" s="1"/>
      <c r="AC4867" s="1"/>
      <c r="AD4867" s="1"/>
      <c r="AE4867" s="1"/>
      <c r="AF4867" s="1"/>
      <c r="AG4867" s="1"/>
      <c r="AH4867" s="1"/>
    </row>
    <row r="4868" ht="12.75" hidden="1" customHeight="1" outlineLevel="1">
      <c r="A4868" s="17">
        <v>41878.0</v>
      </c>
      <c r="B4868" s="1"/>
      <c r="C4868" s="1" t="s">
        <v>433</v>
      </c>
      <c r="D4868" s="74"/>
      <c r="E4868" s="67"/>
      <c r="F4868" s="75"/>
      <c r="G4868" s="67"/>
      <c r="H4868" s="68"/>
      <c r="I4868" s="76"/>
      <c r="J4868" s="67"/>
      <c r="K4868" s="7" t="s">
        <v>1103</v>
      </c>
      <c r="L4868" s="77"/>
      <c r="M4868" s="79"/>
      <c r="N4868" s="1"/>
      <c r="O4868" s="1"/>
      <c r="P4868" s="1"/>
      <c r="Q4868" s="1"/>
      <c r="R4868" s="1"/>
      <c r="S4868" s="1"/>
      <c r="T4868" s="1"/>
      <c r="U4868" s="1"/>
      <c r="V4868" s="1"/>
      <c r="W4868" s="1"/>
      <c r="X4868" s="1"/>
      <c r="Y4868" s="1"/>
      <c r="Z4868" s="1"/>
      <c r="AA4868" s="1"/>
      <c r="AB4868" s="1"/>
      <c r="AC4868" s="1"/>
      <c r="AD4868" s="1"/>
      <c r="AE4868" s="1"/>
      <c r="AF4868" s="1"/>
      <c r="AG4868" s="1"/>
      <c r="AH4868" s="1"/>
    </row>
    <row r="4869" ht="12.75" hidden="1" customHeight="1" outlineLevel="1">
      <c r="A4869" s="17">
        <v>41878.0</v>
      </c>
      <c r="B4869" s="1"/>
      <c r="C4869" s="1" t="s">
        <v>435</v>
      </c>
      <c r="D4869" s="74"/>
      <c r="E4869" s="67"/>
      <c r="F4869" s="75"/>
      <c r="G4869" s="67"/>
      <c r="H4869" s="68"/>
      <c r="I4869" s="76"/>
      <c r="J4869" s="67"/>
      <c r="K4869" s="7" t="s">
        <v>1507</v>
      </c>
      <c r="L4869" s="77"/>
      <c r="M4869" s="79"/>
      <c r="N4869" s="1"/>
      <c r="O4869" s="1"/>
      <c r="P4869" s="1"/>
      <c r="Q4869" s="1"/>
      <c r="R4869" s="1"/>
      <c r="S4869" s="1"/>
      <c r="T4869" s="1"/>
      <c r="U4869" s="1"/>
      <c r="V4869" s="1"/>
      <c r="W4869" s="1"/>
      <c r="X4869" s="1"/>
      <c r="Y4869" s="1"/>
      <c r="Z4869" s="1"/>
      <c r="AA4869" s="1"/>
      <c r="AB4869" s="1"/>
      <c r="AC4869" s="1"/>
      <c r="AD4869" s="1"/>
      <c r="AE4869" s="1"/>
      <c r="AF4869" s="1"/>
      <c r="AG4869" s="1"/>
      <c r="AH4869" s="1"/>
    </row>
    <row r="4870" ht="12.75" hidden="1" customHeight="1" outlineLevel="1">
      <c r="A4870" s="17">
        <v>41880.0</v>
      </c>
      <c r="B4870" s="1" t="s">
        <v>343</v>
      </c>
      <c r="C4870" s="1" t="s">
        <v>1366</v>
      </c>
      <c r="D4870" s="74">
        <v>25.0</v>
      </c>
      <c r="E4870" s="67">
        <v>188.81</v>
      </c>
      <c r="F4870" s="75">
        <v>0.5226273148148148</v>
      </c>
      <c r="G4870" s="67" t="s">
        <v>453</v>
      </c>
      <c r="H4870" s="68">
        <v>1.0</v>
      </c>
      <c r="I4870" s="76"/>
      <c r="J4870" s="67">
        <f t="shared" ref="J4870:J4872" si="305">IF(B4870="SLD",D4870*E4870,-D4870*E4870)-H4870</f>
        <v>-4721.25</v>
      </c>
      <c r="K4870" s="7"/>
      <c r="L4870" s="70"/>
      <c r="M4870" s="79"/>
      <c r="N4870" s="1"/>
      <c r="O4870" s="1"/>
      <c r="P4870" s="1"/>
      <c r="Q4870" s="1"/>
      <c r="R4870" s="1"/>
      <c r="S4870" s="1"/>
      <c r="T4870" s="1"/>
      <c r="U4870" s="1"/>
      <c r="V4870" s="1"/>
      <c r="W4870" s="1"/>
      <c r="X4870" s="1"/>
      <c r="Y4870" s="1"/>
      <c r="Z4870" s="1"/>
      <c r="AA4870" s="1"/>
      <c r="AB4870" s="1"/>
      <c r="AC4870" s="1"/>
      <c r="AD4870" s="1"/>
      <c r="AE4870" s="1"/>
      <c r="AF4870" s="1"/>
      <c r="AG4870" s="1"/>
      <c r="AH4870" s="1"/>
    </row>
    <row r="4871" ht="12.75" hidden="1" customHeight="1" outlineLevel="1">
      <c r="A4871" s="17">
        <v>41880.0</v>
      </c>
      <c r="B4871" s="1" t="s">
        <v>343</v>
      </c>
      <c r="C4871" s="1" t="s">
        <v>356</v>
      </c>
      <c r="D4871" s="74">
        <v>15.0</v>
      </c>
      <c r="E4871" s="67">
        <v>405.85</v>
      </c>
      <c r="F4871" s="75">
        <v>0.5934027777777778</v>
      </c>
      <c r="G4871" s="67" t="s">
        <v>453</v>
      </c>
      <c r="H4871" s="68">
        <v>1.0</v>
      </c>
      <c r="I4871" s="76"/>
      <c r="J4871" s="67">
        <f t="shared" si="305"/>
        <v>-6088.75</v>
      </c>
      <c r="K4871" s="7"/>
      <c r="L4871" s="70"/>
      <c r="M4871" s="79"/>
      <c r="N4871" s="1"/>
      <c r="O4871" s="1"/>
      <c r="P4871" s="1"/>
      <c r="Q4871" s="1"/>
      <c r="R4871" s="1"/>
      <c r="S4871" s="1"/>
      <c r="T4871" s="1"/>
      <c r="U4871" s="1"/>
      <c r="V4871" s="1"/>
      <c r="W4871" s="1"/>
      <c r="X4871" s="1"/>
      <c r="Y4871" s="1"/>
      <c r="Z4871" s="1"/>
      <c r="AA4871" s="1"/>
      <c r="AB4871" s="1"/>
      <c r="AC4871" s="1"/>
      <c r="AD4871" s="1"/>
      <c r="AE4871" s="1"/>
      <c r="AF4871" s="1"/>
      <c r="AG4871" s="1"/>
      <c r="AH4871" s="1"/>
    </row>
    <row r="4872" ht="12.75" hidden="1" customHeight="1" outlineLevel="1">
      <c r="A4872" s="17">
        <v>41880.0</v>
      </c>
      <c r="B4872" s="1" t="s">
        <v>343</v>
      </c>
      <c r="C4872" s="1" t="s">
        <v>1049</v>
      </c>
      <c r="D4872" s="74">
        <v>10.0</v>
      </c>
      <c r="E4872" s="67">
        <v>655.89</v>
      </c>
      <c r="F4872" s="75">
        <v>0.5526851851851852</v>
      </c>
      <c r="G4872" s="67" t="s">
        <v>453</v>
      </c>
      <c r="H4872" s="68">
        <v>1.0</v>
      </c>
      <c r="I4872" s="76"/>
      <c r="J4872" s="67">
        <f t="shared" si="305"/>
        <v>-6559.9</v>
      </c>
      <c r="K4872" s="7"/>
      <c r="L4872" s="70"/>
      <c r="M4872" s="79"/>
      <c r="N4872" s="1"/>
      <c r="O4872" s="1"/>
      <c r="P4872" s="1"/>
      <c r="Q4872" s="1"/>
      <c r="R4872" s="1"/>
      <c r="S4872" s="1"/>
      <c r="T4872" s="1"/>
      <c r="U4872" s="1"/>
      <c r="V4872" s="1"/>
      <c r="W4872" s="1"/>
      <c r="X4872" s="1"/>
      <c r="Y4872" s="1"/>
      <c r="Z4872" s="1"/>
      <c r="AA4872" s="1"/>
      <c r="AB4872" s="1"/>
      <c r="AC4872" s="1"/>
      <c r="AD4872" s="1"/>
      <c r="AE4872" s="1"/>
      <c r="AF4872" s="1"/>
      <c r="AG4872" s="1"/>
      <c r="AH4872" s="1"/>
    </row>
    <row r="4873" ht="12.75" hidden="1" customHeight="1" outlineLevel="1">
      <c r="A4873" s="17">
        <v>41880.0</v>
      </c>
      <c r="B4873" s="1"/>
      <c r="C4873" s="1" t="s">
        <v>339</v>
      </c>
      <c r="D4873" s="74"/>
      <c r="E4873" s="67"/>
      <c r="F4873" s="75"/>
      <c r="G4873" s="67"/>
      <c r="H4873" s="68"/>
      <c r="I4873" s="76"/>
      <c r="J4873" s="67"/>
      <c r="K4873" s="7" t="s">
        <v>2110</v>
      </c>
      <c r="L4873" s="77"/>
      <c r="M4873" s="79"/>
      <c r="N4873" s="1"/>
      <c r="O4873" s="1"/>
      <c r="P4873" s="1"/>
      <c r="Q4873" s="1"/>
      <c r="R4873" s="1"/>
      <c r="S4873" s="1"/>
      <c r="T4873" s="1"/>
      <c r="U4873" s="1"/>
      <c r="V4873" s="1"/>
      <c r="W4873" s="1"/>
      <c r="X4873" s="1"/>
      <c r="Y4873" s="1"/>
      <c r="Z4873" s="1"/>
      <c r="AA4873" s="1"/>
      <c r="AB4873" s="1"/>
      <c r="AC4873" s="1"/>
      <c r="AD4873" s="1"/>
      <c r="AE4873" s="1"/>
      <c r="AF4873" s="1"/>
      <c r="AG4873" s="1"/>
      <c r="AH4873" s="1"/>
    </row>
    <row r="4874" ht="12.75" hidden="1" customHeight="1" outlineLevel="1">
      <c r="A4874" s="17">
        <v>41880.0</v>
      </c>
      <c r="B4874" s="1"/>
      <c r="C4874" s="1" t="s">
        <v>429</v>
      </c>
      <c r="D4874" s="74"/>
      <c r="E4874" s="67"/>
      <c r="F4874" s="75"/>
      <c r="G4874" s="67"/>
      <c r="H4874" s="68"/>
      <c r="I4874" s="76"/>
      <c r="J4874" s="67"/>
      <c r="K4874" s="7" t="s">
        <v>2031</v>
      </c>
      <c r="L4874" s="77"/>
      <c r="M4874" s="79"/>
      <c r="N4874" s="1"/>
      <c r="O4874" s="1"/>
      <c r="P4874" s="1"/>
      <c r="Q4874" s="1"/>
      <c r="R4874" s="1"/>
      <c r="S4874" s="1"/>
      <c r="T4874" s="1"/>
      <c r="U4874" s="1"/>
      <c r="V4874" s="1"/>
      <c r="W4874" s="1"/>
      <c r="X4874" s="1"/>
      <c r="Y4874" s="1"/>
      <c r="Z4874" s="1"/>
      <c r="AA4874" s="1"/>
      <c r="AB4874" s="1"/>
      <c r="AC4874" s="1"/>
      <c r="AD4874" s="1"/>
      <c r="AE4874" s="1"/>
      <c r="AF4874" s="1"/>
      <c r="AG4874" s="1"/>
      <c r="AH4874" s="1"/>
    </row>
    <row r="4875" ht="12.75" hidden="1" customHeight="1" outlineLevel="1">
      <c r="A4875" s="17">
        <v>41880.0</v>
      </c>
      <c r="B4875" s="1"/>
      <c r="C4875" s="1" t="s">
        <v>431</v>
      </c>
      <c r="D4875" s="74"/>
      <c r="E4875" s="67"/>
      <c r="F4875" s="75"/>
      <c r="G4875" s="67"/>
      <c r="H4875" s="68"/>
      <c r="I4875" s="76"/>
      <c r="J4875" s="67"/>
      <c r="K4875" s="7" t="s">
        <v>1126</v>
      </c>
      <c r="L4875" s="77"/>
      <c r="M4875" s="79"/>
      <c r="N4875" s="1"/>
      <c r="O4875" s="1"/>
      <c r="P4875" s="1"/>
      <c r="Q4875" s="1"/>
      <c r="R4875" s="1"/>
      <c r="S4875" s="1"/>
      <c r="T4875" s="1"/>
      <c r="U4875" s="1"/>
      <c r="V4875" s="1"/>
      <c r="W4875" s="1"/>
      <c r="X4875" s="1"/>
      <c r="Y4875" s="1"/>
      <c r="Z4875" s="1"/>
      <c r="AA4875" s="1"/>
      <c r="AB4875" s="1"/>
      <c r="AC4875" s="1"/>
      <c r="AD4875" s="1"/>
      <c r="AE4875" s="1"/>
      <c r="AF4875" s="1"/>
      <c r="AG4875" s="1"/>
      <c r="AH4875" s="1"/>
    </row>
    <row r="4876" ht="12.75" hidden="1" customHeight="1" outlineLevel="1">
      <c r="A4876" s="17">
        <v>41880.0</v>
      </c>
      <c r="B4876" s="1"/>
      <c r="C4876" s="1" t="s">
        <v>433</v>
      </c>
      <c r="D4876" s="74"/>
      <c r="E4876" s="67"/>
      <c r="F4876" s="75"/>
      <c r="G4876" s="67"/>
      <c r="H4876" s="68"/>
      <c r="I4876" s="76"/>
      <c r="J4876" s="67"/>
      <c r="K4876" s="7" t="s">
        <v>1103</v>
      </c>
      <c r="L4876" s="77"/>
      <c r="M4876" s="79"/>
      <c r="N4876" s="1"/>
      <c r="O4876" s="1"/>
      <c r="P4876" s="1"/>
      <c r="Q4876" s="1"/>
      <c r="R4876" s="1"/>
      <c r="S4876" s="1"/>
      <c r="T4876" s="1"/>
      <c r="U4876" s="1"/>
      <c r="V4876" s="1"/>
      <c r="W4876" s="1"/>
      <c r="X4876" s="1"/>
      <c r="Y4876" s="1"/>
      <c r="Z4876" s="1"/>
      <c r="AA4876" s="1"/>
      <c r="AB4876" s="1"/>
      <c r="AC4876" s="1"/>
      <c r="AD4876" s="1"/>
      <c r="AE4876" s="1"/>
      <c r="AF4876" s="1"/>
      <c r="AG4876" s="1"/>
      <c r="AH4876" s="1"/>
    </row>
    <row r="4877" ht="12.75" hidden="1" customHeight="1" outlineLevel="1">
      <c r="A4877" s="17">
        <v>41880.0</v>
      </c>
      <c r="B4877" s="1"/>
      <c r="C4877" s="1" t="s">
        <v>435</v>
      </c>
      <c r="D4877" s="74"/>
      <c r="E4877" s="67"/>
      <c r="F4877" s="75"/>
      <c r="G4877" s="67"/>
      <c r="H4877" s="68"/>
      <c r="I4877" s="76"/>
      <c r="J4877" s="67"/>
      <c r="K4877" s="7" t="s">
        <v>1507</v>
      </c>
      <c r="L4877" s="77"/>
      <c r="M4877" s="79"/>
      <c r="N4877" s="1"/>
      <c r="O4877" s="1"/>
      <c r="P4877" s="1"/>
      <c r="Q4877" s="1"/>
      <c r="R4877" s="1"/>
      <c r="S4877" s="1"/>
      <c r="T4877" s="1"/>
      <c r="U4877" s="1"/>
      <c r="V4877" s="1"/>
      <c r="W4877" s="1"/>
      <c r="X4877" s="1"/>
      <c r="Y4877" s="1"/>
      <c r="Z4877" s="1"/>
      <c r="AA4877" s="1"/>
      <c r="AB4877" s="1"/>
      <c r="AC4877" s="1"/>
      <c r="AD4877" s="1"/>
      <c r="AE4877" s="1"/>
      <c r="AF4877" s="1"/>
      <c r="AG4877" s="1"/>
      <c r="AH4877" s="1"/>
    </row>
    <row r="4878" ht="12.75" hidden="1" customHeight="1" outlineLevel="1">
      <c r="A4878" s="17">
        <v>41882.0</v>
      </c>
      <c r="B4878" s="1"/>
      <c r="C4878" s="1" t="s">
        <v>339</v>
      </c>
      <c r="D4878" s="74"/>
      <c r="E4878" s="67"/>
      <c r="F4878" s="75"/>
      <c r="G4878" s="67"/>
      <c r="H4878" s="68"/>
      <c r="I4878" s="76"/>
      <c r="J4878" s="67"/>
      <c r="K4878" s="7" t="s">
        <v>2112</v>
      </c>
      <c r="L4878" s="77"/>
      <c r="M4878" s="79"/>
      <c r="N4878" s="1"/>
      <c r="O4878" s="1"/>
      <c r="P4878" s="1"/>
      <c r="Q4878" s="1"/>
      <c r="R4878" s="1"/>
      <c r="S4878" s="1"/>
      <c r="T4878" s="1"/>
      <c r="U4878" s="1"/>
      <c r="V4878" s="1"/>
      <c r="W4878" s="1"/>
      <c r="X4878" s="1"/>
      <c r="Y4878" s="1"/>
      <c r="Z4878" s="1"/>
      <c r="AA4878" s="1"/>
      <c r="AB4878" s="1"/>
      <c r="AC4878" s="1"/>
      <c r="AD4878" s="1"/>
      <c r="AE4878" s="1"/>
      <c r="AF4878" s="1"/>
      <c r="AG4878" s="1"/>
      <c r="AH4878" s="1"/>
    </row>
    <row r="4879" ht="12.75" hidden="1" customHeight="1" outlineLevel="1">
      <c r="A4879" s="17">
        <v>41882.0</v>
      </c>
      <c r="B4879" s="1"/>
      <c r="C4879" s="1" t="s">
        <v>429</v>
      </c>
      <c r="D4879" s="74"/>
      <c r="E4879" s="67"/>
      <c r="F4879" s="75"/>
      <c r="G4879" s="67"/>
      <c r="H4879" s="68"/>
      <c r="I4879" s="76"/>
      <c r="J4879" s="67"/>
      <c r="K4879" s="7" t="s">
        <v>2031</v>
      </c>
      <c r="L4879" s="77"/>
      <c r="M4879" s="79"/>
      <c r="N4879" s="1"/>
      <c r="O4879" s="1"/>
      <c r="P4879" s="1"/>
      <c r="Q4879" s="1"/>
      <c r="R4879" s="1"/>
      <c r="S4879" s="1"/>
      <c r="T4879" s="1"/>
      <c r="U4879" s="1"/>
      <c r="V4879" s="1"/>
      <c r="W4879" s="1"/>
      <c r="X4879" s="1"/>
      <c r="Y4879" s="1"/>
      <c r="Z4879" s="1"/>
      <c r="AA4879" s="1"/>
      <c r="AB4879" s="1"/>
      <c r="AC4879" s="1"/>
      <c r="AD4879" s="1"/>
      <c r="AE4879" s="1"/>
      <c r="AF4879" s="1"/>
      <c r="AG4879" s="1"/>
      <c r="AH4879" s="1"/>
    </row>
    <row r="4880" ht="12.75" hidden="1" customHeight="1" outlineLevel="1">
      <c r="A4880" s="17">
        <v>41882.0</v>
      </c>
      <c r="B4880" s="1"/>
      <c r="C4880" s="1" t="s">
        <v>431</v>
      </c>
      <c r="D4880" s="74"/>
      <c r="E4880" s="67"/>
      <c r="F4880" s="75"/>
      <c r="G4880" s="67"/>
      <c r="H4880" s="68"/>
      <c r="I4880" s="76"/>
      <c r="J4880" s="67"/>
      <c r="K4880" s="7" t="s">
        <v>1126</v>
      </c>
      <c r="L4880" s="77"/>
      <c r="M4880" s="79"/>
      <c r="N4880" s="1"/>
      <c r="O4880" s="1"/>
      <c r="P4880" s="1"/>
      <c r="Q4880" s="1"/>
      <c r="R4880" s="1"/>
      <c r="S4880" s="1"/>
      <c r="T4880" s="1"/>
      <c r="U4880" s="1"/>
      <c r="V4880" s="1"/>
      <c r="W4880" s="1"/>
      <c r="X4880" s="1"/>
      <c r="Y4880" s="1"/>
      <c r="Z4880" s="1"/>
      <c r="AA4880" s="1"/>
      <c r="AB4880" s="1"/>
      <c r="AC4880" s="1"/>
      <c r="AD4880" s="1"/>
      <c r="AE4880" s="1"/>
      <c r="AF4880" s="1"/>
      <c r="AG4880" s="1"/>
      <c r="AH4880" s="1"/>
    </row>
    <row r="4881" ht="12.75" hidden="1" customHeight="1" outlineLevel="1">
      <c r="A4881" s="17">
        <v>41882.0</v>
      </c>
      <c r="B4881" s="1"/>
      <c r="C4881" s="1" t="s">
        <v>433</v>
      </c>
      <c r="D4881" s="74"/>
      <c r="E4881" s="67"/>
      <c r="F4881" s="75"/>
      <c r="G4881" s="67"/>
      <c r="H4881" s="68"/>
      <c r="I4881" s="76"/>
      <c r="J4881" s="67"/>
      <c r="K4881" s="7" t="s">
        <v>1103</v>
      </c>
      <c r="L4881" s="77"/>
      <c r="M4881" s="79"/>
      <c r="N4881" s="1"/>
      <c r="O4881" s="1"/>
      <c r="P4881" s="1"/>
      <c r="Q4881" s="1"/>
      <c r="R4881" s="1"/>
      <c r="S4881" s="1"/>
      <c r="T4881" s="1"/>
      <c r="U4881" s="1"/>
      <c r="V4881" s="1"/>
      <c r="W4881" s="1"/>
      <c r="X4881" s="1"/>
      <c r="Y4881" s="1"/>
      <c r="Z4881" s="1"/>
      <c r="AA4881" s="1"/>
      <c r="AB4881" s="1"/>
      <c r="AC4881" s="1"/>
      <c r="AD4881" s="1"/>
      <c r="AE4881" s="1"/>
      <c r="AF4881" s="1"/>
      <c r="AG4881" s="1"/>
      <c r="AH4881" s="1"/>
    </row>
    <row r="4882" ht="12.75" hidden="1" customHeight="1" outlineLevel="1">
      <c r="A4882" s="17">
        <v>41882.0</v>
      </c>
      <c r="B4882" s="1"/>
      <c r="C4882" s="1" t="s">
        <v>435</v>
      </c>
      <c r="D4882" s="74"/>
      <c r="E4882" s="67"/>
      <c r="F4882" s="75"/>
      <c r="G4882" s="67"/>
      <c r="H4882" s="68"/>
      <c r="I4882" s="76"/>
      <c r="J4882" s="67"/>
      <c r="K4882" s="7" t="s">
        <v>1507</v>
      </c>
      <c r="L4882" s="77"/>
      <c r="M4882" s="79"/>
      <c r="N4882" s="1"/>
      <c r="O4882" s="1"/>
      <c r="P4882" s="1"/>
      <c r="Q4882" s="1"/>
      <c r="R4882" s="1"/>
      <c r="S4882" s="1"/>
      <c r="T4882" s="1"/>
      <c r="U4882" s="1"/>
      <c r="V4882" s="1"/>
      <c r="W4882" s="1"/>
      <c r="X4882" s="1"/>
      <c r="Y4882" s="1"/>
      <c r="Z4882" s="1"/>
      <c r="AA4882" s="1"/>
      <c r="AB4882" s="1"/>
      <c r="AC4882" s="1"/>
      <c r="AD4882" s="1"/>
      <c r="AE4882" s="1"/>
      <c r="AF4882" s="1"/>
      <c r="AG4882" s="1"/>
      <c r="AH4882" s="1"/>
    </row>
    <row r="4883" ht="12.75" hidden="1" customHeight="1" outlineLevel="1">
      <c r="A4883" s="17">
        <v>41883.0</v>
      </c>
      <c r="B4883" s="1"/>
      <c r="C4883" s="1" t="s">
        <v>339</v>
      </c>
      <c r="D4883" s="74"/>
      <c r="E4883" s="67"/>
      <c r="F4883" s="75"/>
      <c r="G4883" s="67"/>
      <c r="H4883" s="68"/>
      <c r="I4883" s="76"/>
      <c r="J4883" s="67"/>
      <c r="K4883" s="7" t="s">
        <v>2115</v>
      </c>
      <c r="L4883" s="77"/>
      <c r="M4883" s="79"/>
      <c r="N4883" s="1"/>
      <c r="O4883" s="1"/>
      <c r="P4883" s="1"/>
      <c r="Q4883" s="1"/>
      <c r="R4883" s="1"/>
      <c r="S4883" s="1"/>
      <c r="T4883" s="1"/>
      <c r="U4883" s="1"/>
      <c r="V4883" s="1"/>
      <c r="W4883" s="1"/>
      <c r="X4883" s="1"/>
      <c r="Y4883" s="1"/>
      <c r="Z4883" s="1"/>
      <c r="AA4883" s="1"/>
      <c r="AB4883" s="1"/>
      <c r="AC4883" s="1"/>
      <c r="AD4883" s="1"/>
      <c r="AE4883" s="1"/>
      <c r="AF4883" s="1"/>
      <c r="AG4883" s="1"/>
      <c r="AH4883" s="1"/>
    </row>
    <row r="4884" ht="12.75" hidden="1" customHeight="1" outlineLevel="1">
      <c r="A4884" s="17">
        <v>41883.0</v>
      </c>
      <c r="B4884" s="1"/>
      <c r="C4884" s="1" t="s">
        <v>429</v>
      </c>
      <c r="D4884" s="74"/>
      <c r="E4884" s="67"/>
      <c r="F4884" s="75"/>
      <c r="G4884" s="67"/>
      <c r="H4884" s="68"/>
      <c r="I4884" s="76"/>
      <c r="J4884" s="67"/>
      <c r="K4884" s="7" t="s">
        <v>2031</v>
      </c>
      <c r="L4884" s="77"/>
      <c r="M4884" s="79"/>
      <c r="N4884" s="1"/>
      <c r="O4884" s="1"/>
      <c r="P4884" s="1"/>
      <c r="Q4884" s="1"/>
      <c r="R4884" s="1"/>
      <c r="S4884" s="1"/>
      <c r="T4884" s="1"/>
      <c r="U4884" s="1"/>
      <c r="V4884" s="1"/>
      <c r="W4884" s="1"/>
      <c r="X4884" s="1"/>
      <c r="Y4884" s="1"/>
      <c r="Z4884" s="1"/>
      <c r="AA4884" s="1"/>
      <c r="AB4884" s="1"/>
      <c r="AC4884" s="1"/>
      <c r="AD4884" s="1"/>
      <c r="AE4884" s="1"/>
      <c r="AF4884" s="1"/>
      <c r="AG4884" s="1"/>
      <c r="AH4884" s="1"/>
    </row>
    <row r="4885" ht="12.75" hidden="1" customHeight="1" outlineLevel="1">
      <c r="A4885" s="17">
        <v>41883.0</v>
      </c>
      <c r="B4885" s="1"/>
      <c r="C4885" s="1" t="s">
        <v>431</v>
      </c>
      <c r="D4885" s="74"/>
      <c r="E4885" s="67"/>
      <c r="F4885" s="75"/>
      <c r="G4885" s="67"/>
      <c r="H4885" s="68"/>
      <c r="I4885" s="76"/>
      <c r="J4885" s="67"/>
      <c r="K4885" s="7" t="s">
        <v>1126</v>
      </c>
      <c r="L4885" s="77"/>
      <c r="M4885" s="79"/>
      <c r="N4885" s="1"/>
      <c r="O4885" s="1"/>
      <c r="P4885" s="1"/>
      <c r="Q4885" s="1"/>
      <c r="R4885" s="1"/>
      <c r="S4885" s="1"/>
      <c r="T4885" s="1"/>
      <c r="U4885" s="1"/>
      <c r="V4885" s="1"/>
      <c r="W4885" s="1"/>
      <c r="X4885" s="1"/>
      <c r="Y4885" s="1"/>
      <c r="Z4885" s="1"/>
      <c r="AA4885" s="1"/>
      <c r="AB4885" s="1"/>
      <c r="AC4885" s="1"/>
      <c r="AD4885" s="1"/>
      <c r="AE4885" s="1"/>
      <c r="AF4885" s="1"/>
      <c r="AG4885" s="1"/>
      <c r="AH4885" s="1"/>
    </row>
    <row r="4886" ht="12.75" hidden="1" customHeight="1" outlineLevel="1">
      <c r="A4886" s="17">
        <v>41883.0</v>
      </c>
      <c r="B4886" s="1"/>
      <c r="C4886" s="1" t="s">
        <v>433</v>
      </c>
      <c r="D4886" s="74"/>
      <c r="E4886" s="67"/>
      <c r="F4886" s="75"/>
      <c r="G4886" s="67"/>
      <c r="H4886" s="68"/>
      <c r="I4886" s="76"/>
      <c r="J4886" s="67"/>
      <c r="K4886" s="7" t="s">
        <v>1103</v>
      </c>
      <c r="L4886" s="77"/>
      <c r="M4886" s="79"/>
      <c r="N4886" s="1"/>
      <c r="O4886" s="1"/>
      <c r="P4886" s="1"/>
      <c r="Q4886" s="1"/>
      <c r="R4886" s="1"/>
      <c r="S4886" s="1"/>
      <c r="T4886" s="1"/>
      <c r="U4886" s="1"/>
      <c r="V4886" s="1"/>
      <c r="W4886" s="1"/>
      <c r="X4886" s="1"/>
      <c r="Y4886" s="1"/>
      <c r="Z4886" s="1"/>
      <c r="AA4886" s="1"/>
      <c r="AB4886" s="1"/>
      <c r="AC4886" s="1"/>
      <c r="AD4886" s="1"/>
      <c r="AE4886" s="1"/>
      <c r="AF4886" s="1"/>
      <c r="AG4886" s="1"/>
      <c r="AH4886" s="1"/>
    </row>
    <row r="4887" ht="12.75" hidden="1" customHeight="1" outlineLevel="1">
      <c r="A4887" s="17">
        <v>41883.0</v>
      </c>
      <c r="B4887" s="1"/>
      <c r="C4887" s="1" t="s">
        <v>435</v>
      </c>
      <c r="D4887" s="74"/>
      <c r="E4887" s="67"/>
      <c r="F4887" s="75"/>
      <c r="G4887" s="67"/>
      <c r="H4887" s="68"/>
      <c r="I4887" s="76"/>
      <c r="J4887" s="67"/>
      <c r="K4887" s="7" t="s">
        <v>1507</v>
      </c>
      <c r="L4887" s="77"/>
      <c r="M4887" s="79"/>
      <c r="N4887" s="1"/>
      <c r="O4887" s="1"/>
      <c r="P4887" s="1"/>
      <c r="Q4887" s="1"/>
      <c r="R4887" s="1"/>
      <c r="S4887" s="1"/>
      <c r="T4887" s="1"/>
      <c r="U4887" s="1"/>
      <c r="V4887" s="1"/>
      <c r="W4887" s="1"/>
      <c r="X4887" s="1"/>
      <c r="Y4887" s="1"/>
      <c r="Z4887" s="1"/>
      <c r="AA4887" s="1"/>
      <c r="AB4887" s="1"/>
      <c r="AC4887" s="1"/>
      <c r="AD4887" s="1"/>
      <c r="AE4887" s="1"/>
      <c r="AF4887" s="1"/>
      <c r="AG4887" s="1"/>
      <c r="AH4887" s="1"/>
    </row>
    <row r="4888" ht="12.75" hidden="1" customHeight="1" outlineLevel="1">
      <c r="A4888" s="17">
        <v>41884.0</v>
      </c>
      <c r="B4888" s="1" t="s">
        <v>343</v>
      </c>
      <c r="C4888" s="1" t="s">
        <v>1082</v>
      </c>
      <c r="D4888" s="74">
        <v>15.0</v>
      </c>
      <c r="E4888" s="67">
        <v>539.88</v>
      </c>
      <c r="F4888" s="75">
        <v>0.4130671296296296</v>
      </c>
      <c r="G4888" s="67" t="s">
        <v>453</v>
      </c>
      <c r="H4888" s="68">
        <v>1.0</v>
      </c>
      <c r="I4888" s="76"/>
      <c r="J4888" s="67">
        <f>IF(B4888="SLD",D4888*E4888,-D4888*E4888)-H4888</f>
        <v>-8099.2</v>
      </c>
      <c r="K4888" s="7"/>
      <c r="L4888" s="70"/>
      <c r="M4888" s="79"/>
      <c r="N4888" s="1"/>
      <c r="O4888" s="1"/>
      <c r="P4888" s="1"/>
      <c r="Q4888" s="1"/>
      <c r="R4888" s="1"/>
      <c r="S4888" s="1"/>
      <c r="T4888" s="1"/>
      <c r="U4888" s="1"/>
      <c r="V4888" s="1"/>
      <c r="W4888" s="1"/>
      <c r="X4888" s="1"/>
      <c r="Y4888" s="1"/>
      <c r="Z4888" s="1"/>
      <c r="AA4888" s="1"/>
      <c r="AB4888" s="1"/>
      <c r="AC4888" s="1"/>
      <c r="AD4888" s="1"/>
      <c r="AE4888" s="1"/>
      <c r="AF4888" s="1"/>
      <c r="AG4888" s="1"/>
      <c r="AH4888" s="1"/>
    </row>
    <row r="4889" ht="12.75" hidden="1" customHeight="1" outlineLevel="1">
      <c r="A4889" s="17">
        <v>41884.0</v>
      </c>
      <c r="B4889" s="1"/>
      <c r="C4889" s="1" t="s">
        <v>339</v>
      </c>
      <c r="D4889" s="74"/>
      <c r="E4889" s="67"/>
      <c r="F4889" s="75"/>
      <c r="G4889" s="67"/>
      <c r="H4889" s="68"/>
      <c r="I4889" s="76"/>
      <c r="J4889" s="67"/>
      <c r="K4889" s="7" t="s">
        <v>2120</v>
      </c>
      <c r="L4889" s="77"/>
      <c r="M4889" s="79"/>
      <c r="N4889" s="1"/>
      <c r="O4889" s="1"/>
      <c r="P4889" s="1"/>
      <c r="Q4889" s="1"/>
      <c r="R4889" s="1"/>
      <c r="S4889" s="1"/>
      <c r="T4889" s="1"/>
      <c r="U4889" s="1"/>
      <c r="V4889" s="1"/>
      <c r="W4889" s="1"/>
      <c r="X4889" s="1"/>
      <c r="Y4889" s="1"/>
      <c r="Z4889" s="1"/>
      <c r="AA4889" s="1"/>
      <c r="AB4889" s="1"/>
      <c r="AC4889" s="1"/>
      <c r="AD4889" s="1"/>
      <c r="AE4889" s="1"/>
      <c r="AF4889" s="1"/>
      <c r="AG4889" s="1"/>
      <c r="AH4889" s="1"/>
    </row>
    <row r="4890" ht="12.75" hidden="1" customHeight="1" outlineLevel="1">
      <c r="A4890" s="17">
        <v>41884.0</v>
      </c>
      <c r="B4890" s="1"/>
      <c r="C4890" s="1" t="s">
        <v>429</v>
      </c>
      <c r="D4890" s="74"/>
      <c r="E4890" s="67"/>
      <c r="F4890" s="75"/>
      <c r="G4890" s="67"/>
      <c r="H4890" s="68"/>
      <c r="I4890" s="76"/>
      <c r="J4890" s="67"/>
      <c r="K4890" s="7" t="s">
        <v>2031</v>
      </c>
      <c r="L4890" s="77"/>
      <c r="M4890" s="79"/>
      <c r="N4890" s="1"/>
      <c r="O4890" s="1"/>
      <c r="P4890" s="1"/>
      <c r="Q4890" s="1"/>
      <c r="R4890" s="1"/>
      <c r="S4890" s="1"/>
      <c r="T4890" s="1"/>
      <c r="U4890" s="1"/>
      <c r="V4890" s="1"/>
      <c r="W4890" s="1"/>
      <c r="X4890" s="1"/>
      <c r="Y4890" s="1"/>
      <c r="Z4890" s="1"/>
      <c r="AA4890" s="1"/>
      <c r="AB4890" s="1"/>
      <c r="AC4890" s="1"/>
      <c r="AD4890" s="1"/>
      <c r="AE4890" s="1"/>
      <c r="AF4890" s="1"/>
      <c r="AG4890" s="1"/>
      <c r="AH4890" s="1"/>
    </row>
    <row r="4891" ht="12.75" hidden="1" customHeight="1" outlineLevel="1">
      <c r="A4891" s="17">
        <v>41884.0</v>
      </c>
      <c r="B4891" s="1"/>
      <c r="C4891" s="1" t="s">
        <v>431</v>
      </c>
      <c r="D4891" s="74"/>
      <c r="E4891" s="67"/>
      <c r="F4891" s="75"/>
      <c r="G4891" s="67"/>
      <c r="H4891" s="68"/>
      <c r="I4891" s="76"/>
      <c r="J4891" s="67"/>
      <c r="K4891" s="7" t="s">
        <v>1126</v>
      </c>
      <c r="L4891" s="77"/>
      <c r="M4891" s="79"/>
      <c r="N4891" s="1"/>
      <c r="O4891" s="1"/>
      <c r="P4891" s="1"/>
      <c r="Q4891" s="1"/>
      <c r="R4891" s="1"/>
      <c r="S4891" s="1"/>
      <c r="T4891" s="1"/>
      <c r="U4891" s="1"/>
      <c r="V4891" s="1"/>
      <c r="W4891" s="1"/>
      <c r="X4891" s="1"/>
      <c r="Y4891" s="1"/>
      <c r="Z4891" s="1"/>
      <c r="AA4891" s="1"/>
      <c r="AB4891" s="1"/>
      <c r="AC4891" s="1"/>
      <c r="AD4891" s="1"/>
      <c r="AE4891" s="1"/>
      <c r="AF4891" s="1"/>
      <c r="AG4891" s="1"/>
      <c r="AH4891" s="1"/>
    </row>
    <row r="4892" ht="12.75" hidden="1" customHeight="1" outlineLevel="1">
      <c r="A4892" s="17">
        <v>41884.0</v>
      </c>
      <c r="B4892" s="1"/>
      <c r="C4892" s="1" t="s">
        <v>433</v>
      </c>
      <c r="D4892" s="74"/>
      <c r="E4892" s="67"/>
      <c r="F4892" s="75"/>
      <c r="G4892" s="67"/>
      <c r="H4892" s="68"/>
      <c r="I4892" s="76"/>
      <c r="J4892" s="67"/>
      <c r="K4892" s="7" t="s">
        <v>1103</v>
      </c>
      <c r="L4892" s="77"/>
      <c r="M4892" s="79"/>
      <c r="N4892" s="1"/>
      <c r="O4892" s="1"/>
      <c r="P4892" s="1"/>
      <c r="Q4892" s="1"/>
      <c r="R4892" s="1"/>
      <c r="S4892" s="1"/>
      <c r="T4892" s="1"/>
      <c r="U4892" s="1"/>
      <c r="V4892" s="1"/>
      <c r="W4892" s="1"/>
      <c r="X4892" s="1"/>
      <c r="Y4892" s="1"/>
      <c r="Z4892" s="1"/>
      <c r="AA4892" s="1"/>
      <c r="AB4892" s="1"/>
      <c r="AC4892" s="1"/>
      <c r="AD4892" s="1"/>
      <c r="AE4892" s="1"/>
      <c r="AF4892" s="1"/>
      <c r="AG4892" s="1"/>
      <c r="AH4892" s="1"/>
    </row>
    <row r="4893" ht="12.75" hidden="1" customHeight="1" outlineLevel="1">
      <c r="A4893" s="17">
        <v>41884.0</v>
      </c>
      <c r="B4893" s="1"/>
      <c r="C4893" s="1" t="s">
        <v>435</v>
      </c>
      <c r="D4893" s="74"/>
      <c r="E4893" s="67"/>
      <c r="F4893" s="75"/>
      <c r="G4893" s="67"/>
      <c r="H4893" s="68"/>
      <c r="I4893" s="76"/>
      <c r="J4893" s="67"/>
      <c r="K4893" s="7" t="s">
        <v>1507</v>
      </c>
      <c r="L4893" s="77"/>
      <c r="M4893" s="79"/>
      <c r="N4893" s="1"/>
      <c r="O4893" s="1"/>
      <c r="P4893" s="1"/>
      <c r="Q4893" s="1"/>
      <c r="R4893" s="1"/>
      <c r="S4893" s="1"/>
      <c r="T4893" s="1"/>
      <c r="U4893" s="1"/>
      <c r="V4893" s="1"/>
      <c r="W4893" s="1"/>
      <c r="X4893" s="1"/>
      <c r="Y4893" s="1"/>
      <c r="Z4893" s="1"/>
      <c r="AA4893" s="1"/>
      <c r="AB4893" s="1"/>
      <c r="AC4893" s="1"/>
      <c r="AD4893" s="1"/>
      <c r="AE4893" s="1"/>
      <c r="AF4893" s="1"/>
      <c r="AG4893" s="1"/>
      <c r="AH4893" s="1"/>
    </row>
    <row r="4894" ht="12.75" hidden="1" customHeight="1" outlineLevel="1">
      <c r="A4894" s="17">
        <v>41885.0</v>
      </c>
      <c r="B4894" s="1"/>
      <c r="C4894" s="1" t="s">
        <v>339</v>
      </c>
      <c r="D4894" s="74"/>
      <c r="E4894" s="67"/>
      <c r="F4894" s="75"/>
      <c r="G4894" s="67"/>
      <c r="H4894" s="68"/>
      <c r="I4894" s="76"/>
      <c r="J4894" s="67"/>
      <c r="K4894" s="7" t="s">
        <v>2123</v>
      </c>
      <c r="L4894" s="77"/>
      <c r="M4894" s="79"/>
      <c r="N4894" s="1"/>
      <c r="O4894" s="1"/>
      <c r="P4894" s="1"/>
      <c r="Q4894" s="1"/>
      <c r="R4894" s="1"/>
      <c r="S4894" s="1"/>
      <c r="T4894" s="1"/>
      <c r="U4894" s="1"/>
      <c r="V4894" s="1"/>
      <c r="W4894" s="1"/>
      <c r="X4894" s="1"/>
      <c r="Y4894" s="1"/>
      <c r="Z4894" s="1"/>
      <c r="AA4894" s="1"/>
      <c r="AB4894" s="1"/>
      <c r="AC4894" s="1"/>
      <c r="AD4894" s="1"/>
      <c r="AE4894" s="1"/>
      <c r="AF4894" s="1"/>
      <c r="AG4894" s="1"/>
      <c r="AH4894" s="1"/>
    </row>
    <row r="4895" ht="12.75" hidden="1" customHeight="1" outlineLevel="1">
      <c r="A4895" s="17">
        <v>41885.0</v>
      </c>
      <c r="B4895" s="1"/>
      <c r="C4895" s="1" t="s">
        <v>429</v>
      </c>
      <c r="D4895" s="74"/>
      <c r="E4895" s="67"/>
      <c r="F4895" s="75"/>
      <c r="G4895" s="67"/>
      <c r="H4895" s="68"/>
      <c r="I4895" s="76"/>
      <c r="J4895" s="67"/>
      <c r="K4895" s="7" t="s">
        <v>2031</v>
      </c>
      <c r="L4895" s="77"/>
      <c r="M4895" s="79"/>
      <c r="N4895" s="1"/>
      <c r="O4895" s="1"/>
      <c r="P4895" s="1"/>
      <c r="Q4895" s="1"/>
      <c r="R4895" s="1"/>
      <c r="S4895" s="1"/>
      <c r="T4895" s="1"/>
      <c r="U4895" s="1"/>
      <c r="V4895" s="1"/>
      <c r="W4895" s="1"/>
      <c r="X4895" s="1"/>
      <c r="Y4895" s="1"/>
      <c r="Z4895" s="1"/>
      <c r="AA4895" s="1"/>
      <c r="AB4895" s="1"/>
      <c r="AC4895" s="1"/>
      <c r="AD4895" s="1"/>
      <c r="AE4895" s="1"/>
      <c r="AF4895" s="1"/>
      <c r="AG4895" s="1"/>
      <c r="AH4895" s="1"/>
    </row>
    <row r="4896" ht="12.75" hidden="1" customHeight="1" outlineLevel="1">
      <c r="A4896" s="17">
        <v>41885.0</v>
      </c>
      <c r="B4896" s="1"/>
      <c r="C4896" s="1" t="s">
        <v>431</v>
      </c>
      <c r="D4896" s="74"/>
      <c r="E4896" s="67"/>
      <c r="F4896" s="75"/>
      <c r="G4896" s="67"/>
      <c r="H4896" s="68"/>
      <c r="I4896" s="76"/>
      <c r="J4896" s="67"/>
      <c r="K4896" s="7" t="s">
        <v>1126</v>
      </c>
      <c r="L4896" s="77"/>
      <c r="M4896" s="79"/>
      <c r="N4896" s="1"/>
      <c r="O4896" s="1"/>
      <c r="P4896" s="1"/>
      <c r="Q4896" s="1"/>
      <c r="R4896" s="1"/>
      <c r="S4896" s="1"/>
      <c r="T4896" s="1"/>
      <c r="U4896" s="1"/>
      <c r="V4896" s="1"/>
      <c r="W4896" s="1"/>
      <c r="X4896" s="1"/>
      <c r="Y4896" s="1"/>
      <c r="Z4896" s="1"/>
      <c r="AA4896" s="1"/>
      <c r="AB4896" s="1"/>
      <c r="AC4896" s="1"/>
      <c r="AD4896" s="1"/>
      <c r="AE4896" s="1"/>
      <c r="AF4896" s="1"/>
      <c r="AG4896" s="1"/>
      <c r="AH4896" s="1"/>
    </row>
    <row r="4897" ht="12.75" hidden="1" customHeight="1" outlineLevel="1">
      <c r="A4897" s="17">
        <v>41885.0</v>
      </c>
      <c r="B4897" s="1"/>
      <c r="C4897" s="1" t="s">
        <v>433</v>
      </c>
      <c r="D4897" s="74"/>
      <c r="E4897" s="67"/>
      <c r="F4897" s="75"/>
      <c r="G4897" s="67"/>
      <c r="H4897" s="68"/>
      <c r="I4897" s="76"/>
      <c r="J4897" s="67"/>
      <c r="K4897" s="7" t="s">
        <v>1103</v>
      </c>
      <c r="L4897" s="77"/>
      <c r="M4897" s="79"/>
      <c r="N4897" s="1"/>
      <c r="O4897" s="1"/>
      <c r="P4897" s="1"/>
      <c r="Q4897" s="1"/>
      <c r="R4897" s="1"/>
      <c r="S4897" s="1"/>
      <c r="T4897" s="1"/>
      <c r="U4897" s="1"/>
      <c r="V4897" s="1"/>
      <c r="W4897" s="1"/>
      <c r="X4897" s="1"/>
      <c r="Y4897" s="1"/>
      <c r="Z4897" s="1"/>
      <c r="AA4897" s="1"/>
      <c r="AB4897" s="1"/>
      <c r="AC4897" s="1"/>
      <c r="AD4897" s="1"/>
      <c r="AE4897" s="1"/>
      <c r="AF4897" s="1"/>
      <c r="AG4897" s="1"/>
      <c r="AH4897" s="1"/>
    </row>
    <row r="4898" ht="12.75" hidden="1" customHeight="1" outlineLevel="1">
      <c r="A4898" s="17">
        <v>41885.0</v>
      </c>
      <c r="B4898" s="1"/>
      <c r="C4898" s="1" t="s">
        <v>435</v>
      </c>
      <c r="D4898" s="74"/>
      <c r="E4898" s="67"/>
      <c r="F4898" s="75"/>
      <c r="G4898" s="67"/>
      <c r="H4898" s="68"/>
      <c r="I4898" s="76"/>
      <c r="J4898" s="67"/>
      <c r="K4898" s="7" t="s">
        <v>1507</v>
      </c>
      <c r="L4898" s="77"/>
      <c r="M4898" s="79"/>
      <c r="N4898" s="1"/>
      <c r="O4898" s="1"/>
      <c r="P4898" s="1"/>
      <c r="Q4898" s="1"/>
      <c r="R4898" s="1"/>
      <c r="S4898" s="1"/>
      <c r="T4898" s="1"/>
      <c r="U4898" s="1"/>
      <c r="V4898" s="1"/>
      <c r="W4898" s="1"/>
      <c r="X4898" s="1"/>
      <c r="Y4898" s="1"/>
      <c r="Z4898" s="1"/>
      <c r="AA4898" s="1"/>
      <c r="AB4898" s="1"/>
      <c r="AC4898" s="1"/>
      <c r="AD4898" s="1"/>
      <c r="AE4898" s="1"/>
      <c r="AF4898" s="1"/>
      <c r="AG4898" s="1"/>
      <c r="AH4898" s="1"/>
    </row>
    <row r="4899" ht="12.75" hidden="1" customHeight="1" outlineLevel="1">
      <c r="A4899" s="17">
        <v>41886.0</v>
      </c>
      <c r="B4899" s="1" t="s">
        <v>347</v>
      </c>
      <c r="C4899" s="1" t="s">
        <v>1483</v>
      </c>
      <c r="D4899" s="74">
        <v>1000.0</v>
      </c>
      <c r="E4899" s="67">
        <v>3.561</v>
      </c>
      <c r="F4899" s="75">
        <v>0.6482175925925926</v>
      </c>
      <c r="G4899" s="67" t="s">
        <v>453</v>
      </c>
      <c r="H4899" s="68">
        <v>5.08</v>
      </c>
      <c r="I4899" s="76"/>
      <c r="J4899" s="67">
        <f t="shared" ref="J4899:J4921" si="306">IF(B4899="SLD",D4899*E4899,-D4899*E4899)-H4899</f>
        <v>3555.92</v>
      </c>
      <c r="K4899" s="7"/>
      <c r="L4899" s="70"/>
      <c r="M4899" s="79"/>
      <c r="N4899" s="1"/>
      <c r="O4899" s="1"/>
      <c r="P4899" s="1"/>
      <c r="Q4899" s="1"/>
      <c r="R4899" s="1"/>
      <c r="S4899" s="1"/>
      <c r="T4899" s="1"/>
      <c r="U4899" s="1"/>
      <c r="V4899" s="1"/>
      <c r="W4899" s="1"/>
      <c r="X4899" s="1"/>
      <c r="Y4899" s="1"/>
      <c r="Z4899" s="1"/>
      <c r="AA4899" s="1"/>
      <c r="AB4899" s="1"/>
      <c r="AC4899" s="1"/>
      <c r="AD4899" s="1"/>
      <c r="AE4899" s="1"/>
      <c r="AF4899" s="1"/>
      <c r="AG4899" s="1"/>
      <c r="AH4899" s="1"/>
    </row>
    <row r="4900" ht="12.75" hidden="1" customHeight="1" outlineLevel="1">
      <c r="A4900" s="17">
        <v>41886.0</v>
      </c>
      <c r="B4900" s="1" t="s">
        <v>347</v>
      </c>
      <c r="C4900" s="1" t="s">
        <v>604</v>
      </c>
      <c r="D4900" s="74">
        <v>1000.0</v>
      </c>
      <c r="E4900" s="67">
        <v>3.6</v>
      </c>
      <c r="F4900" s="75">
        <v>0.6471875</v>
      </c>
      <c r="G4900" s="67" t="s">
        <v>453</v>
      </c>
      <c r="H4900" s="68">
        <v>5.08</v>
      </c>
      <c r="I4900" s="76"/>
      <c r="J4900" s="67">
        <f t="shared" si="306"/>
        <v>3594.92</v>
      </c>
      <c r="K4900" s="7"/>
      <c r="L4900" s="70"/>
      <c r="M4900" s="79"/>
      <c r="N4900" s="1"/>
      <c r="O4900" s="1"/>
      <c r="P4900" s="1"/>
      <c r="Q4900" s="1"/>
      <c r="R4900" s="1"/>
      <c r="S4900" s="1"/>
      <c r="T4900" s="1"/>
      <c r="U4900" s="1"/>
      <c r="V4900" s="1"/>
      <c r="W4900" s="1"/>
      <c r="X4900" s="1"/>
      <c r="Y4900" s="1"/>
      <c r="Z4900" s="1"/>
      <c r="AA4900" s="1"/>
      <c r="AB4900" s="1"/>
      <c r="AC4900" s="1"/>
      <c r="AD4900" s="1"/>
      <c r="AE4900" s="1"/>
      <c r="AF4900" s="1"/>
      <c r="AG4900" s="1"/>
      <c r="AH4900" s="1"/>
    </row>
    <row r="4901" ht="12.75" hidden="1" customHeight="1" outlineLevel="1">
      <c r="A4901" s="17">
        <v>41886.0</v>
      </c>
      <c r="B4901" s="1" t="s">
        <v>347</v>
      </c>
      <c r="C4901" s="1" t="s">
        <v>1092</v>
      </c>
      <c r="D4901" s="74">
        <v>500.0</v>
      </c>
      <c r="E4901" s="67">
        <v>10.45</v>
      </c>
      <c r="F4901" s="75">
        <v>0.6462731481481482</v>
      </c>
      <c r="G4901" s="67" t="s">
        <v>453</v>
      </c>
      <c r="H4901" s="68">
        <v>2.62</v>
      </c>
      <c r="I4901" s="76"/>
      <c r="J4901" s="67">
        <f t="shared" si="306"/>
        <v>5222.38</v>
      </c>
      <c r="K4901" s="7"/>
      <c r="L4901" s="70"/>
      <c r="M4901" s="79"/>
      <c r="N4901" s="1"/>
      <c r="O4901" s="1"/>
      <c r="P4901" s="1"/>
      <c r="Q4901" s="1"/>
      <c r="R4901" s="1"/>
      <c r="S4901" s="1"/>
      <c r="T4901" s="1"/>
      <c r="U4901" s="1"/>
      <c r="V4901" s="1"/>
      <c r="W4901" s="1"/>
      <c r="X4901" s="1"/>
      <c r="Y4901" s="1"/>
      <c r="Z4901" s="1"/>
      <c r="AA4901" s="1"/>
      <c r="AB4901" s="1"/>
      <c r="AC4901" s="1"/>
      <c r="AD4901" s="1"/>
      <c r="AE4901" s="1"/>
      <c r="AF4901" s="1"/>
      <c r="AG4901" s="1"/>
      <c r="AH4901" s="1"/>
    </row>
    <row r="4902" ht="12.75" hidden="1" customHeight="1" outlineLevel="1">
      <c r="A4902" s="17">
        <v>41886.0</v>
      </c>
      <c r="B4902" s="1" t="s">
        <v>347</v>
      </c>
      <c r="C4902" s="1" t="s">
        <v>1485</v>
      </c>
      <c r="D4902" s="74">
        <v>500.0</v>
      </c>
      <c r="E4902" s="67">
        <v>11.21</v>
      </c>
      <c r="F4902" s="75">
        <v>0.647037037037037</v>
      </c>
      <c r="G4902" s="67" t="s">
        <v>453</v>
      </c>
      <c r="H4902" s="68">
        <v>2.62</v>
      </c>
      <c r="I4902" s="76"/>
      <c r="J4902" s="67">
        <f t="shared" si="306"/>
        <v>5602.38</v>
      </c>
      <c r="K4902" s="7"/>
      <c r="L4902" s="70"/>
      <c r="M4902" s="79"/>
      <c r="N4902" s="1"/>
      <c r="O4902" s="1"/>
      <c r="P4902" s="1"/>
      <c r="Q4902" s="1"/>
      <c r="R4902" s="1"/>
      <c r="S4902" s="1"/>
      <c r="T4902" s="1"/>
      <c r="U4902" s="1"/>
      <c r="V4902" s="1"/>
      <c r="W4902" s="1"/>
      <c r="X4902" s="1"/>
      <c r="Y4902" s="1"/>
      <c r="Z4902" s="1"/>
      <c r="AA4902" s="1"/>
      <c r="AB4902" s="1"/>
      <c r="AC4902" s="1"/>
      <c r="AD4902" s="1"/>
      <c r="AE4902" s="1"/>
      <c r="AF4902" s="1"/>
      <c r="AG4902" s="1"/>
      <c r="AH4902" s="1"/>
    </row>
    <row r="4903" ht="12.75" hidden="1" customHeight="1" outlineLevel="1">
      <c r="A4903" s="17">
        <v>41886.0</v>
      </c>
      <c r="B4903" s="1" t="s">
        <v>347</v>
      </c>
      <c r="C4903" s="1" t="s">
        <v>1357</v>
      </c>
      <c r="D4903" s="74">
        <v>200.0</v>
      </c>
      <c r="E4903" s="67">
        <v>36.89</v>
      </c>
      <c r="F4903" s="75">
        <v>0.6428703703703703</v>
      </c>
      <c r="G4903" s="67" t="s">
        <v>453</v>
      </c>
      <c r="H4903" s="68">
        <v>1.16</v>
      </c>
      <c r="I4903" s="76"/>
      <c r="J4903" s="67">
        <f t="shared" si="306"/>
        <v>7376.84</v>
      </c>
      <c r="K4903" s="7"/>
      <c r="L4903" s="70"/>
      <c r="M4903" s="79"/>
      <c r="N4903" s="1"/>
      <c r="O4903" s="1"/>
      <c r="P4903" s="1"/>
      <c r="Q4903" s="1"/>
      <c r="R4903" s="1"/>
      <c r="S4903" s="1"/>
      <c r="T4903" s="1"/>
      <c r="U4903" s="1"/>
      <c r="V4903" s="1"/>
      <c r="W4903" s="1"/>
      <c r="X4903" s="1"/>
      <c r="Y4903" s="1"/>
      <c r="Z4903" s="1"/>
      <c r="AA4903" s="1"/>
      <c r="AB4903" s="1"/>
      <c r="AC4903" s="1"/>
      <c r="AD4903" s="1"/>
      <c r="AE4903" s="1"/>
      <c r="AF4903" s="1"/>
      <c r="AG4903" s="1"/>
      <c r="AH4903" s="1"/>
    </row>
    <row r="4904" ht="12.75" hidden="1" customHeight="1" outlineLevel="1">
      <c r="A4904" s="17">
        <v>41886.0</v>
      </c>
      <c r="B4904" s="1" t="s">
        <v>347</v>
      </c>
      <c r="C4904" s="1" t="s">
        <v>1357</v>
      </c>
      <c r="D4904" s="74">
        <v>200.0</v>
      </c>
      <c r="E4904" s="67">
        <v>36.891</v>
      </c>
      <c r="F4904" s="75">
        <v>0.6402199074074074</v>
      </c>
      <c r="G4904" s="67" t="s">
        <v>453</v>
      </c>
      <c r="H4904" s="68">
        <v>1.16</v>
      </c>
      <c r="I4904" s="76"/>
      <c r="J4904" s="67">
        <f t="shared" si="306"/>
        <v>7377.04</v>
      </c>
      <c r="K4904" s="7"/>
      <c r="L4904" s="70"/>
      <c r="M4904" s="79"/>
      <c r="N4904" s="1"/>
      <c r="O4904" s="1"/>
      <c r="P4904" s="1"/>
      <c r="Q4904" s="1"/>
      <c r="R4904" s="1"/>
      <c r="S4904" s="1"/>
      <c r="T4904" s="1"/>
      <c r="U4904" s="1"/>
      <c r="V4904" s="1"/>
      <c r="W4904" s="1"/>
      <c r="X4904" s="1"/>
      <c r="Y4904" s="1"/>
      <c r="Z4904" s="1"/>
      <c r="AA4904" s="1"/>
      <c r="AB4904" s="1"/>
      <c r="AC4904" s="1"/>
      <c r="AD4904" s="1"/>
      <c r="AE4904" s="1"/>
      <c r="AF4904" s="1"/>
      <c r="AG4904" s="1"/>
      <c r="AH4904" s="1"/>
    </row>
    <row r="4905" ht="12.75" hidden="1" customHeight="1" outlineLevel="1">
      <c r="A4905" s="17">
        <v>41886.0</v>
      </c>
      <c r="B4905" s="1" t="s">
        <v>347</v>
      </c>
      <c r="C4905" s="1" t="s">
        <v>1357</v>
      </c>
      <c r="D4905" s="74">
        <v>200.0</v>
      </c>
      <c r="E4905" s="67">
        <v>36.91</v>
      </c>
      <c r="F4905" s="75">
        <v>0.6563541666666667</v>
      </c>
      <c r="G4905" s="67" t="s">
        <v>453</v>
      </c>
      <c r="H4905" s="68">
        <v>1.16</v>
      </c>
      <c r="I4905" s="76"/>
      <c r="J4905" s="67">
        <f t="shared" si="306"/>
        <v>7380.84</v>
      </c>
      <c r="K4905" s="7"/>
      <c r="L4905" s="70"/>
      <c r="M4905" s="79"/>
      <c r="N4905" s="1"/>
      <c r="O4905" s="1"/>
      <c r="P4905" s="1"/>
      <c r="Q4905" s="1"/>
      <c r="R4905" s="1"/>
      <c r="S4905" s="1"/>
      <c r="T4905" s="1"/>
      <c r="U4905" s="1"/>
      <c r="V4905" s="1"/>
      <c r="W4905" s="1"/>
      <c r="X4905" s="1"/>
      <c r="Y4905" s="1"/>
      <c r="Z4905" s="1"/>
      <c r="AA4905" s="1"/>
      <c r="AB4905" s="1"/>
      <c r="AC4905" s="1"/>
      <c r="AD4905" s="1"/>
      <c r="AE4905" s="1"/>
      <c r="AF4905" s="1"/>
      <c r="AG4905" s="1"/>
      <c r="AH4905" s="1"/>
    </row>
    <row r="4906" ht="12.75" hidden="1" customHeight="1" outlineLevel="1">
      <c r="A4906" s="17">
        <v>41886.0</v>
      </c>
      <c r="B4906" s="1" t="s">
        <v>347</v>
      </c>
      <c r="C4906" s="1" t="s">
        <v>1060</v>
      </c>
      <c r="D4906" s="74">
        <v>200.0</v>
      </c>
      <c r="E4906" s="67">
        <v>38.9</v>
      </c>
      <c r="F4906" s="75">
        <v>0.6424768518518519</v>
      </c>
      <c r="G4906" s="67" t="s">
        <v>453</v>
      </c>
      <c r="H4906" s="68">
        <v>1.17</v>
      </c>
      <c r="I4906" s="76"/>
      <c r="J4906" s="67">
        <f t="shared" si="306"/>
        <v>7778.83</v>
      </c>
      <c r="K4906" s="7"/>
      <c r="L4906" s="70"/>
      <c r="M4906" s="79"/>
      <c r="N4906" s="1"/>
      <c r="O4906" s="1"/>
      <c r="P4906" s="1"/>
      <c r="Q4906" s="1"/>
      <c r="R4906" s="1"/>
      <c r="S4906" s="1"/>
      <c r="T4906" s="1"/>
      <c r="U4906" s="1"/>
      <c r="V4906" s="1"/>
      <c r="W4906" s="1"/>
      <c r="X4906" s="1"/>
      <c r="Y4906" s="1"/>
      <c r="Z4906" s="1"/>
      <c r="AA4906" s="1"/>
      <c r="AB4906" s="1"/>
      <c r="AC4906" s="1"/>
      <c r="AD4906" s="1"/>
      <c r="AE4906" s="1"/>
      <c r="AF4906" s="1"/>
      <c r="AG4906" s="1"/>
      <c r="AH4906" s="1"/>
    </row>
    <row r="4907" ht="12.75" hidden="1" customHeight="1" outlineLevel="1">
      <c r="A4907" s="17">
        <v>41886.0</v>
      </c>
      <c r="B4907" s="1" t="s">
        <v>347</v>
      </c>
      <c r="C4907" s="1" t="s">
        <v>1060</v>
      </c>
      <c r="D4907" s="74">
        <v>200.0</v>
      </c>
      <c r="E4907" s="67">
        <v>38.92</v>
      </c>
      <c r="F4907" s="75">
        <v>0.6567361111111111</v>
      </c>
      <c r="G4907" s="67" t="s">
        <v>453</v>
      </c>
      <c r="H4907" s="68">
        <v>1.17</v>
      </c>
      <c r="I4907" s="76"/>
      <c r="J4907" s="67">
        <f t="shared" si="306"/>
        <v>7782.83</v>
      </c>
      <c r="K4907" s="7"/>
      <c r="L4907" s="70"/>
      <c r="M4907" s="79"/>
      <c r="N4907" s="1"/>
      <c r="O4907" s="1"/>
      <c r="P4907" s="1"/>
      <c r="Q4907" s="1"/>
      <c r="R4907" s="1"/>
      <c r="S4907" s="1"/>
      <c r="T4907" s="1"/>
      <c r="U4907" s="1"/>
      <c r="V4907" s="1"/>
      <c r="W4907" s="1"/>
      <c r="X4907" s="1"/>
      <c r="Y4907" s="1"/>
      <c r="Z4907" s="1"/>
      <c r="AA4907" s="1"/>
      <c r="AB4907" s="1"/>
      <c r="AC4907" s="1"/>
      <c r="AD4907" s="1"/>
      <c r="AE4907" s="1"/>
      <c r="AF4907" s="1"/>
      <c r="AG4907" s="1"/>
      <c r="AH4907" s="1"/>
    </row>
    <row r="4908" ht="12.75" hidden="1" customHeight="1" outlineLevel="1">
      <c r="A4908" s="17">
        <v>41886.0</v>
      </c>
      <c r="B4908" s="1" t="s">
        <v>347</v>
      </c>
      <c r="C4908" s="1" t="s">
        <v>1118</v>
      </c>
      <c r="D4908" s="74">
        <v>100.0</v>
      </c>
      <c r="E4908" s="67">
        <v>43.891</v>
      </c>
      <c r="F4908" s="75">
        <v>0.6655555555555556</v>
      </c>
      <c r="G4908" s="67" t="s">
        <v>453</v>
      </c>
      <c r="H4908" s="68">
        <v>1.1</v>
      </c>
      <c r="I4908" s="76"/>
      <c r="J4908" s="67">
        <f t="shared" si="306"/>
        <v>4388</v>
      </c>
      <c r="K4908" s="7"/>
      <c r="L4908" s="70"/>
      <c r="M4908" s="79"/>
      <c r="N4908" s="1"/>
      <c r="O4908" s="1"/>
      <c r="P4908" s="1"/>
      <c r="Q4908" s="1"/>
      <c r="R4908" s="1"/>
      <c r="S4908" s="1"/>
      <c r="T4908" s="1"/>
      <c r="U4908" s="1"/>
      <c r="V4908" s="1"/>
      <c r="W4908" s="1"/>
      <c r="X4908" s="1"/>
      <c r="Y4908" s="1"/>
      <c r="Z4908" s="1"/>
      <c r="AA4908" s="1"/>
      <c r="AB4908" s="1"/>
      <c r="AC4908" s="1"/>
      <c r="AD4908" s="1"/>
      <c r="AE4908" s="1"/>
      <c r="AF4908" s="1"/>
      <c r="AG4908" s="1"/>
      <c r="AH4908" s="1"/>
    </row>
    <row r="4909" ht="12.75" hidden="1" customHeight="1" outlineLevel="1">
      <c r="A4909" s="17">
        <v>41886.0</v>
      </c>
      <c r="B4909" s="1" t="s">
        <v>347</v>
      </c>
      <c r="C4909" s="1" t="s">
        <v>2098</v>
      </c>
      <c r="D4909" s="74">
        <v>100.0</v>
      </c>
      <c r="E4909" s="67">
        <v>47.1301</v>
      </c>
      <c r="F4909" s="75">
        <v>0.6626851851851852</v>
      </c>
      <c r="G4909" s="67" t="s">
        <v>453</v>
      </c>
      <c r="H4909" s="68">
        <v>1.1</v>
      </c>
      <c r="I4909" s="76"/>
      <c r="J4909" s="67">
        <f t="shared" si="306"/>
        <v>4711.91</v>
      </c>
      <c r="K4909" s="7"/>
      <c r="L4909" s="70"/>
      <c r="M4909" s="79"/>
      <c r="N4909" s="1"/>
      <c r="O4909" s="1"/>
      <c r="P4909" s="1"/>
      <c r="Q4909" s="1"/>
      <c r="R4909" s="1"/>
      <c r="S4909" s="1"/>
      <c r="T4909" s="1"/>
      <c r="U4909" s="1"/>
      <c r="V4909" s="1"/>
      <c r="W4909" s="1"/>
      <c r="X4909" s="1"/>
      <c r="Y4909" s="1"/>
      <c r="Z4909" s="1"/>
      <c r="AA4909" s="1"/>
      <c r="AB4909" s="1"/>
      <c r="AC4909" s="1"/>
      <c r="AD4909" s="1"/>
      <c r="AE4909" s="1"/>
      <c r="AF4909" s="1"/>
      <c r="AG4909" s="1"/>
      <c r="AH4909" s="1"/>
    </row>
    <row r="4910" ht="12.75" hidden="1" customHeight="1" outlineLevel="1">
      <c r="A4910" s="17">
        <v>41886.0</v>
      </c>
      <c r="B4910" s="1" t="s">
        <v>347</v>
      </c>
      <c r="C4910" s="1" t="s">
        <v>349</v>
      </c>
      <c r="D4910" s="74">
        <v>600.0</v>
      </c>
      <c r="E4910" s="67">
        <v>49.192</v>
      </c>
      <c r="F4910" s="75">
        <v>0.6395023148148148</v>
      </c>
      <c r="G4910" s="67" t="s">
        <v>453</v>
      </c>
      <c r="H4910" s="68">
        <v>3.05</v>
      </c>
      <c r="I4910" s="76"/>
      <c r="J4910" s="67">
        <f t="shared" si="306"/>
        <v>29512.15</v>
      </c>
      <c r="K4910" s="7"/>
      <c r="L4910" s="70"/>
      <c r="M4910" s="79"/>
      <c r="N4910" s="1"/>
      <c r="O4910" s="1"/>
      <c r="P4910" s="1"/>
      <c r="Q4910" s="1"/>
      <c r="R4910" s="1"/>
      <c r="S4910" s="1"/>
      <c r="T4910" s="1"/>
      <c r="U4910" s="1"/>
      <c r="V4910" s="1"/>
      <c r="W4910" s="1"/>
      <c r="X4910" s="1"/>
      <c r="Y4910" s="1"/>
      <c r="Z4910" s="1"/>
      <c r="AA4910" s="1"/>
      <c r="AB4910" s="1"/>
      <c r="AC4910" s="1"/>
      <c r="AD4910" s="1"/>
      <c r="AE4910" s="1"/>
      <c r="AF4910" s="1"/>
      <c r="AG4910" s="1"/>
      <c r="AH4910" s="1"/>
    </row>
    <row r="4911" ht="12.75" hidden="1" customHeight="1" outlineLevel="1">
      <c r="A4911" s="17">
        <v>41886.0</v>
      </c>
      <c r="B4911" s="1" t="s">
        <v>347</v>
      </c>
      <c r="C4911" s="1" t="s">
        <v>344</v>
      </c>
      <c r="D4911" s="74">
        <v>200.0</v>
      </c>
      <c r="E4911" s="67">
        <v>55.16</v>
      </c>
      <c r="F4911" s="75">
        <v>0.6575347222222222</v>
      </c>
      <c r="G4911" s="67" t="s">
        <v>453</v>
      </c>
      <c r="H4911" s="68">
        <v>1.24</v>
      </c>
      <c r="I4911" s="76"/>
      <c r="J4911" s="67">
        <f t="shared" si="306"/>
        <v>11030.76</v>
      </c>
      <c r="K4911" s="7"/>
      <c r="L4911" s="70"/>
      <c r="M4911" s="79"/>
      <c r="N4911" s="1"/>
      <c r="O4911" s="1"/>
      <c r="P4911" s="1"/>
      <c r="Q4911" s="1"/>
      <c r="R4911" s="1"/>
      <c r="S4911" s="1"/>
      <c r="T4911" s="1"/>
      <c r="U4911" s="1"/>
      <c r="V4911" s="1"/>
      <c r="W4911" s="1"/>
      <c r="X4911" s="1"/>
      <c r="Y4911" s="1"/>
      <c r="Z4911" s="1"/>
      <c r="AA4911" s="1"/>
      <c r="AB4911" s="1"/>
      <c r="AC4911" s="1"/>
      <c r="AD4911" s="1"/>
      <c r="AE4911" s="1"/>
      <c r="AF4911" s="1"/>
      <c r="AG4911" s="1"/>
      <c r="AH4911" s="1"/>
    </row>
    <row r="4912" ht="12.75" hidden="1" customHeight="1" outlineLevel="1">
      <c r="A4912" s="17">
        <v>41886.0</v>
      </c>
      <c r="B4912" s="1" t="s">
        <v>347</v>
      </c>
      <c r="C4912" s="1" t="s">
        <v>1325</v>
      </c>
      <c r="D4912" s="74">
        <v>100.0</v>
      </c>
      <c r="E4912" s="67">
        <v>66.291</v>
      </c>
      <c r="F4912" s="75">
        <v>0.6451736111111112</v>
      </c>
      <c r="G4912" s="67" t="s">
        <v>453</v>
      </c>
      <c r="H4912" s="68">
        <v>1.15</v>
      </c>
      <c r="I4912" s="76"/>
      <c r="J4912" s="67">
        <f t="shared" si="306"/>
        <v>6627.95</v>
      </c>
      <c r="K4912" s="7"/>
      <c r="L4912" s="70"/>
      <c r="M4912" s="79"/>
      <c r="N4912" s="1"/>
      <c r="O4912" s="1"/>
      <c r="P4912" s="1"/>
      <c r="Q4912" s="1"/>
      <c r="R4912" s="1"/>
      <c r="S4912" s="1"/>
      <c r="T4912" s="1"/>
      <c r="U4912" s="1"/>
      <c r="V4912" s="1"/>
      <c r="W4912" s="1"/>
      <c r="X4912" s="1"/>
      <c r="Y4912" s="1"/>
      <c r="Z4912" s="1"/>
      <c r="AA4912" s="1"/>
      <c r="AB4912" s="1"/>
      <c r="AC4912" s="1"/>
      <c r="AD4912" s="1"/>
      <c r="AE4912" s="1"/>
      <c r="AF4912" s="1"/>
      <c r="AG4912" s="1"/>
      <c r="AH4912" s="1"/>
    </row>
    <row r="4913" ht="12.75" hidden="1" customHeight="1" outlineLevel="1">
      <c r="A4913" s="17">
        <v>41886.0</v>
      </c>
      <c r="B4913" s="1" t="s">
        <v>347</v>
      </c>
      <c r="C4913" s="1" t="s">
        <v>1766</v>
      </c>
      <c r="D4913" s="74">
        <v>100.0</v>
      </c>
      <c r="E4913" s="67">
        <v>70.35</v>
      </c>
      <c r="F4913" s="75">
        <v>0.6621990740740741</v>
      </c>
      <c r="G4913" s="67" t="s">
        <v>453</v>
      </c>
      <c r="H4913" s="68">
        <v>1.16</v>
      </c>
      <c r="I4913" s="76"/>
      <c r="J4913" s="67">
        <f t="shared" si="306"/>
        <v>7033.84</v>
      </c>
      <c r="K4913" s="7"/>
      <c r="L4913" s="70"/>
      <c r="M4913" s="79"/>
      <c r="N4913" s="1"/>
      <c r="O4913" s="1"/>
      <c r="P4913" s="1"/>
      <c r="Q4913" s="1"/>
      <c r="R4913" s="1"/>
      <c r="S4913" s="1"/>
      <c r="T4913" s="1"/>
      <c r="U4913" s="1"/>
      <c r="V4913" s="1"/>
      <c r="W4913" s="1"/>
      <c r="X4913" s="1"/>
      <c r="Y4913" s="1"/>
      <c r="Z4913" s="1"/>
      <c r="AA4913" s="1"/>
      <c r="AB4913" s="1"/>
      <c r="AC4913" s="1"/>
      <c r="AD4913" s="1"/>
      <c r="AE4913" s="1"/>
      <c r="AF4913" s="1"/>
      <c r="AG4913" s="1"/>
      <c r="AH4913" s="1"/>
    </row>
    <row r="4914" ht="12.75" hidden="1" customHeight="1" outlineLevel="1">
      <c r="A4914" s="17">
        <v>41886.0</v>
      </c>
      <c r="B4914" s="1" t="s">
        <v>347</v>
      </c>
      <c r="C4914" s="1" t="s">
        <v>605</v>
      </c>
      <c r="D4914" s="74">
        <v>400.0</v>
      </c>
      <c r="E4914" s="67">
        <v>86.762</v>
      </c>
      <c r="F4914" s="75">
        <v>0.6539467592592593</v>
      </c>
      <c r="G4914" s="67" t="s">
        <v>453</v>
      </c>
      <c r="H4914" s="68">
        <v>2.67</v>
      </c>
      <c r="I4914" s="76"/>
      <c r="J4914" s="67">
        <f t="shared" si="306"/>
        <v>34702.13</v>
      </c>
      <c r="K4914" s="7"/>
      <c r="L4914" s="70"/>
      <c r="M4914" s="79"/>
      <c r="N4914" s="1"/>
      <c r="O4914" s="1"/>
      <c r="P4914" s="1"/>
      <c r="Q4914" s="1"/>
      <c r="R4914" s="1"/>
      <c r="S4914" s="1"/>
      <c r="T4914" s="1"/>
      <c r="U4914" s="1"/>
      <c r="V4914" s="1"/>
      <c r="W4914" s="1"/>
      <c r="X4914" s="1"/>
      <c r="Y4914" s="1"/>
      <c r="Z4914" s="1"/>
      <c r="AA4914" s="1"/>
      <c r="AB4914" s="1"/>
      <c r="AC4914" s="1"/>
      <c r="AD4914" s="1"/>
      <c r="AE4914" s="1"/>
      <c r="AF4914" s="1"/>
      <c r="AG4914" s="1"/>
      <c r="AH4914" s="1"/>
    </row>
    <row r="4915" ht="12.75" hidden="1" customHeight="1" outlineLevel="1">
      <c r="A4915" s="17">
        <v>41886.0</v>
      </c>
      <c r="B4915" s="1" t="s">
        <v>347</v>
      </c>
      <c r="C4915" s="1" t="s">
        <v>1382</v>
      </c>
      <c r="D4915" s="74">
        <v>225.0</v>
      </c>
      <c r="E4915" s="67">
        <v>132.33</v>
      </c>
      <c r="F4915" s="75">
        <v>0.6515509259259259</v>
      </c>
      <c r="G4915" s="67" t="s">
        <v>453</v>
      </c>
      <c r="H4915" s="68">
        <v>1.68</v>
      </c>
      <c r="I4915" s="76"/>
      <c r="J4915" s="67">
        <f t="shared" si="306"/>
        <v>29772.57</v>
      </c>
      <c r="K4915" s="7"/>
      <c r="L4915" s="70"/>
      <c r="M4915" s="79"/>
      <c r="N4915" s="1"/>
      <c r="O4915" s="1"/>
      <c r="P4915" s="1"/>
      <c r="Q4915" s="1"/>
      <c r="R4915" s="1"/>
      <c r="S4915" s="1"/>
      <c r="T4915" s="1"/>
      <c r="U4915" s="1"/>
      <c r="V4915" s="1"/>
      <c r="W4915" s="1"/>
      <c r="X4915" s="1"/>
      <c r="Y4915" s="1"/>
      <c r="Z4915" s="1"/>
      <c r="AA4915" s="1"/>
      <c r="AB4915" s="1"/>
      <c r="AC4915" s="1"/>
      <c r="AD4915" s="1"/>
      <c r="AE4915" s="1"/>
      <c r="AF4915" s="1"/>
      <c r="AG4915" s="1"/>
      <c r="AH4915" s="1"/>
    </row>
    <row r="4916" ht="12.75" hidden="1" customHeight="1" outlineLevel="1">
      <c r="A4916" s="17">
        <v>41886.0</v>
      </c>
      <c r="B4916" s="1" t="s">
        <v>347</v>
      </c>
      <c r="C4916" s="1" t="s">
        <v>364</v>
      </c>
      <c r="D4916" s="74">
        <v>50.0</v>
      </c>
      <c r="E4916" s="67">
        <v>154.95</v>
      </c>
      <c r="F4916" s="75">
        <v>0.6455902777777778</v>
      </c>
      <c r="G4916" s="67" t="s">
        <v>453</v>
      </c>
      <c r="H4916" s="68">
        <v>1.17</v>
      </c>
      <c r="I4916" s="76"/>
      <c r="J4916" s="67">
        <f t="shared" si="306"/>
        <v>7746.33</v>
      </c>
      <c r="K4916" s="7"/>
      <c r="L4916" s="70"/>
      <c r="M4916" s="79"/>
      <c r="N4916" s="1"/>
      <c r="O4916" s="1"/>
      <c r="P4916" s="1"/>
      <c r="Q4916" s="1"/>
      <c r="R4916" s="1"/>
      <c r="S4916" s="1"/>
      <c r="T4916" s="1"/>
      <c r="U4916" s="1"/>
      <c r="V4916" s="1"/>
      <c r="W4916" s="1"/>
      <c r="X4916" s="1"/>
      <c r="Y4916" s="1"/>
      <c r="Z4916" s="1"/>
      <c r="AA4916" s="1"/>
      <c r="AB4916" s="1"/>
      <c r="AC4916" s="1"/>
      <c r="AD4916" s="1"/>
      <c r="AE4916" s="1"/>
      <c r="AF4916" s="1"/>
      <c r="AG4916" s="1"/>
      <c r="AH4916" s="1"/>
    </row>
    <row r="4917" ht="12.75" hidden="1" customHeight="1" outlineLevel="1">
      <c r="A4917" s="17">
        <v>41886.0</v>
      </c>
      <c r="B4917" s="1" t="s">
        <v>347</v>
      </c>
      <c r="C4917" s="1" t="s">
        <v>1366</v>
      </c>
      <c r="D4917" s="74">
        <v>25.0</v>
      </c>
      <c r="E4917" s="67">
        <v>187.69</v>
      </c>
      <c r="F4917" s="75">
        <v>0.6633796296296296</v>
      </c>
      <c r="G4917" s="67" t="s">
        <v>453</v>
      </c>
      <c r="H4917" s="68">
        <v>1.1</v>
      </c>
      <c r="I4917" s="76"/>
      <c r="J4917" s="67">
        <f t="shared" si="306"/>
        <v>4691.15</v>
      </c>
      <c r="K4917" s="7"/>
      <c r="L4917" s="70"/>
      <c r="M4917" s="79"/>
      <c r="N4917" s="1"/>
      <c r="O4917" s="1"/>
      <c r="P4917" s="1"/>
      <c r="Q4917" s="1"/>
      <c r="R4917" s="1"/>
      <c r="S4917" s="1"/>
      <c r="T4917" s="1"/>
      <c r="U4917" s="1"/>
      <c r="V4917" s="1"/>
      <c r="W4917" s="1"/>
      <c r="X4917" s="1"/>
      <c r="Y4917" s="1"/>
      <c r="Z4917" s="1"/>
      <c r="AA4917" s="1"/>
      <c r="AB4917" s="1"/>
      <c r="AC4917" s="1"/>
      <c r="AD4917" s="1"/>
      <c r="AE4917" s="1"/>
      <c r="AF4917" s="1"/>
      <c r="AG4917" s="1"/>
      <c r="AH4917" s="1"/>
    </row>
    <row r="4918" ht="12.75" hidden="1" customHeight="1" outlineLevel="1">
      <c r="A4918" s="17">
        <v>41886.0</v>
      </c>
      <c r="B4918" s="1" t="s">
        <v>347</v>
      </c>
      <c r="C4918" s="1" t="s">
        <v>1185</v>
      </c>
      <c r="D4918" s="74">
        <v>25.0</v>
      </c>
      <c r="E4918" s="67">
        <v>273.3101</v>
      </c>
      <c r="F4918" s="75">
        <v>0.641875</v>
      </c>
      <c r="G4918" s="67" t="s">
        <v>453</v>
      </c>
      <c r="H4918" s="68">
        <v>1.15</v>
      </c>
      <c r="I4918" s="76"/>
      <c r="J4918" s="67">
        <f t="shared" si="306"/>
        <v>6831.6025</v>
      </c>
      <c r="K4918" s="7"/>
      <c r="L4918" s="70"/>
      <c r="M4918" s="79"/>
      <c r="N4918" s="1"/>
      <c r="O4918" s="1"/>
      <c r="P4918" s="1"/>
      <c r="Q4918" s="1"/>
      <c r="R4918" s="1"/>
      <c r="S4918" s="1"/>
      <c r="T4918" s="1"/>
      <c r="U4918" s="1"/>
      <c r="V4918" s="1"/>
      <c r="W4918" s="1"/>
      <c r="X4918" s="1"/>
      <c r="Y4918" s="1"/>
      <c r="Z4918" s="1"/>
      <c r="AA4918" s="1"/>
      <c r="AB4918" s="1"/>
      <c r="AC4918" s="1"/>
      <c r="AD4918" s="1"/>
      <c r="AE4918" s="1"/>
      <c r="AF4918" s="1"/>
      <c r="AG4918" s="1"/>
      <c r="AH4918" s="1"/>
    </row>
    <row r="4919" ht="12.75" hidden="1" customHeight="1" outlineLevel="1">
      <c r="A4919" s="17">
        <v>41886.0</v>
      </c>
      <c r="B4919" s="1" t="s">
        <v>347</v>
      </c>
      <c r="C4919" s="1" t="s">
        <v>356</v>
      </c>
      <c r="D4919" s="74">
        <v>15.0</v>
      </c>
      <c r="E4919" s="67">
        <v>408.377</v>
      </c>
      <c r="F4919" s="75">
        <v>0.6408912037037037</v>
      </c>
      <c r="G4919" s="67" t="s">
        <v>453</v>
      </c>
      <c r="H4919" s="68">
        <v>1.14</v>
      </c>
      <c r="I4919" s="76"/>
      <c r="J4919" s="67">
        <f t="shared" si="306"/>
        <v>6124.515</v>
      </c>
      <c r="K4919" s="7"/>
      <c r="L4919" s="70"/>
      <c r="M4919" s="79"/>
      <c r="N4919" s="1"/>
      <c r="O4919" s="1"/>
      <c r="P4919" s="1"/>
      <c r="Q4919" s="1"/>
      <c r="R4919" s="1"/>
      <c r="S4919" s="1"/>
      <c r="T4919" s="1"/>
      <c r="U4919" s="1"/>
      <c r="V4919" s="1"/>
      <c r="W4919" s="1"/>
      <c r="X4919" s="1"/>
      <c r="Y4919" s="1"/>
      <c r="Z4919" s="1"/>
      <c r="AA4919" s="1"/>
      <c r="AB4919" s="1"/>
      <c r="AC4919" s="1"/>
      <c r="AD4919" s="1"/>
      <c r="AE4919" s="1"/>
      <c r="AF4919" s="1"/>
      <c r="AG4919" s="1"/>
      <c r="AH4919" s="1"/>
    </row>
    <row r="4920" ht="12.75" hidden="1" customHeight="1" outlineLevel="1">
      <c r="A4920" s="17">
        <v>41886.0</v>
      </c>
      <c r="B4920" s="1" t="s">
        <v>347</v>
      </c>
      <c r="C4920" s="1" t="s">
        <v>1082</v>
      </c>
      <c r="D4920" s="74">
        <v>15.0</v>
      </c>
      <c r="E4920" s="67">
        <v>535.02</v>
      </c>
      <c r="F4920" s="75">
        <v>0.6443171296296296</v>
      </c>
      <c r="G4920" s="67" t="s">
        <v>453</v>
      </c>
      <c r="H4920" s="68">
        <v>1.18</v>
      </c>
      <c r="I4920" s="76"/>
      <c r="J4920" s="67">
        <f t="shared" si="306"/>
        <v>8024.12</v>
      </c>
      <c r="K4920" s="7"/>
      <c r="L4920" s="70"/>
      <c r="M4920" s="79"/>
      <c r="N4920" s="1"/>
      <c r="O4920" s="1"/>
      <c r="P4920" s="1"/>
      <c r="Q4920" s="1"/>
      <c r="R4920" s="1"/>
      <c r="S4920" s="1"/>
      <c r="T4920" s="1"/>
      <c r="U4920" s="1"/>
      <c r="V4920" s="1"/>
      <c r="W4920" s="1"/>
      <c r="X4920" s="1"/>
      <c r="Y4920" s="1"/>
      <c r="Z4920" s="1"/>
      <c r="AA4920" s="1"/>
      <c r="AB4920" s="1"/>
      <c r="AC4920" s="1"/>
      <c r="AD4920" s="1"/>
      <c r="AE4920" s="1"/>
      <c r="AF4920" s="1"/>
      <c r="AG4920" s="1"/>
      <c r="AH4920" s="1"/>
    </row>
    <row r="4921" ht="12.75" hidden="1" customHeight="1" outlineLevel="1">
      <c r="A4921" s="17">
        <v>41886.0</v>
      </c>
      <c r="B4921" s="1" t="s">
        <v>347</v>
      </c>
      <c r="C4921" s="1" t="s">
        <v>1049</v>
      </c>
      <c r="D4921" s="74">
        <v>10.0</v>
      </c>
      <c r="E4921" s="67">
        <v>648.97</v>
      </c>
      <c r="F4921" s="75">
        <v>0.6505787037037037</v>
      </c>
      <c r="G4921" s="67" t="s">
        <v>453</v>
      </c>
      <c r="H4921" s="68">
        <v>1.14</v>
      </c>
      <c r="I4921" s="76"/>
      <c r="J4921" s="67">
        <f t="shared" si="306"/>
        <v>6488.56</v>
      </c>
      <c r="K4921" s="7"/>
      <c r="L4921" s="70"/>
      <c r="M4921" s="79"/>
      <c r="N4921" s="1"/>
      <c r="O4921" s="1"/>
      <c r="P4921" s="1"/>
      <c r="Q4921" s="1"/>
      <c r="R4921" s="1"/>
      <c r="S4921" s="1"/>
      <c r="T4921" s="1"/>
      <c r="U4921" s="1"/>
      <c r="V4921" s="1"/>
      <c r="W4921" s="1"/>
      <c r="X4921" s="1"/>
      <c r="Y4921" s="1"/>
      <c r="Z4921" s="1"/>
      <c r="AA4921" s="1"/>
      <c r="AB4921" s="1"/>
      <c r="AC4921" s="1"/>
      <c r="AD4921" s="1"/>
      <c r="AE4921" s="1"/>
      <c r="AF4921" s="1"/>
      <c r="AG4921" s="1"/>
      <c r="AH4921" s="1"/>
    </row>
    <row r="4922" ht="12.75" hidden="1" customHeight="1" outlineLevel="1">
      <c r="A4922" s="17">
        <v>41886.0</v>
      </c>
      <c r="B4922" s="1"/>
      <c r="C4922" s="1" t="s">
        <v>339</v>
      </c>
      <c r="D4922" s="74"/>
      <c r="E4922" s="67"/>
      <c r="F4922" s="75"/>
      <c r="G4922" s="67"/>
      <c r="H4922" s="68"/>
      <c r="I4922" s="76"/>
      <c r="J4922" s="67"/>
      <c r="K4922" s="7" t="s">
        <v>2136</v>
      </c>
      <c r="L4922" s="77"/>
      <c r="M4922" s="79"/>
      <c r="N4922" s="1"/>
      <c r="O4922" s="1"/>
      <c r="P4922" s="1"/>
      <c r="Q4922" s="1"/>
      <c r="R4922" s="1"/>
      <c r="S4922" s="1"/>
      <c r="T4922" s="1"/>
      <c r="U4922" s="1"/>
      <c r="V4922" s="1"/>
      <c r="W4922" s="1"/>
      <c r="X4922" s="1"/>
      <c r="Y4922" s="1"/>
      <c r="Z4922" s="1"/>
      <c r="AA4922" s="1"/>
      <c r="AB4922" s="1"/>
      <c r="AC4922" s="1"/>
      <c r="AD4922" s="1"/>
      <c r="AE4922" s="1"/>
      <c r="AF4922" s="1"/>
      <c r="AG4922" s="1"/>
      <c r="AH4922" s="1"/>
    </row>
    <row r="4923" ht="12.75" hidden="1" customHeight="1" outlineLevel="1">
      <c r="A4923" s="17">
        <v>41886.0</v>
      </c>
      <c r="B4923" s="1"/>
      <c r="C4923" s="1" t="s">
        <v>429</v>
      </c>
      <c r="D4923" s="74"/>
      <c r="E4923" s="67"/>
      <c r="F4923" s="75"/>
      <c r="G4923" s="67"/>
      <c r="H4923" s="68"/>
      <c r="I4923" s="76"/>
      <c r="J4923" s="67"/>
      <c r="K4923" s="7" t="s">
        <v>2031</v>
      </c>
      <c r="L4923" s="77"/>
      <c r="M4923" s="79"/>
      <c r="N4923" s="1"/>
      <c r="O4923" s="1"/>
      <c r="P4923" s="1"/>
      <c r="Q4923" s="1"/>
      <c r="R4923" s="1"/>
      <c r="S4923" s="1"/>
      <c r="T4923" s="1"/>
      <c r="U4923" s="1"/>
      <c r="V4923" s="1"/>
      <c r="W4923" s="1"/>
      <c r="X4923" s="1"/>
      <c r="Y4923" s="1"/>
      <c r="Z4923" s="1"/>
      <c r="AA4923" s="1"/>
      <c r="AB4923" s="1"/>
      <c r="AC4923" s="1"/>
      <c r="AD4923" s="1"/>
      <c r="AE4923" s="1"/>
      <c r="AF4923" s="1"/>
      <c r="AG4923" s="1"/>
      <c r="AH4923" s="1"/>
    </row>
    <row r="4924" ht="12.75" hidden="1" customHeight="1" outlineLevel="1">
      <c r="A4924" s="17">
        <v>41886.0</v>
      </c>
      <c r="B4924" s="1"/>
      <c r="C4924" s="1" t="s">
        <v>431</v>
      </c>
      <c r="D4924" s="74"/>
      <c r="E4924" s="67"/>
      <c r="F4924" s="75"/>
      <c r="G4924" s="67"/>
      <c r="H4924" s="68"/>
      <c r="I4924" s="76"/>
      <c r="J4924" s="67"/>
      <c r="K4924" s="7" t="s">
        <v>1126</v>
      </c>
      <c r="L4924" s="77"/>
      <c r="M4924" s="79"/>
      <c r="N4924" s="1"/>
      <c r="O4924" s="1"/>
      <c r="P4924" s="1"/>
      <c r="Q4924" s="1"/>
      <c r="R4924" s="1"/>
      <c r="S4924" s="1"/>
      <c r="T4924" s="1"/>
      <c r="U4924" s="1"/>
      <c r="V4924" s="1"/>
      <c r="W4924" s="1"/>
      <c r="X4924" s="1"/>
      <c r="Y4924" s="1"/>
      <c r="Z4924" s="1"/>
      <c r="AA4924" s="1"/>
      <c r="AB4924" s="1"/>
      <c r="AC4924" s="1"/>
      <c r="AD4924" s="1"/>
      <c r="AE4924" s="1"/>
      <c r="AF4924" s="1"/>
      <c r="AG4924" s="1"/>
      <c r="AH4924" s="1"/>
    </row>
    <row r="4925" ht="12.75" hidden="1" customHeight="1" outlineLevel="1">
      <c r="A4925" s="17">
        <v>41886.0</v>
      </c>
      <c r="B4925" s="1"/>
      <c r="C4925" s="1" t="s">
        <v>433</v>
      </c>
      <c r="D4925" s="74"/>
      <c r="E4925" s="67"/>
      <c r="F4925" s="75"/>
      <c r="G4925" s="67"/>
      <c r="H4925" s="68"/>
      <c r="I4925" s="76"/>
      <c r="J4925" s="67"/>
      <c r="K4925" s="7" t="s">
        <v>1103</v>
      </c>
      <c r="L4925" s="77"/>
      <c r="M4925" s="79"/>
      <c r="N4925" s="1"/>
      <c r="O4925" s="1"/>
      <c r="P4925" s="1"/>
      <c r="Q4925" s="1"/>
      <c r="R4925" s="1"/>
      <c r="S4925" s="1"/>
      <c r="T4925" s="1"/>
      <c r="U4925" s="1"/>
      <c r="V4925" s="1"/>
      <c r="W4925" s="1"/>
      <c r="X4925" s="1"/>
      <c r="Y4925" s="1"/>
      <c r="Z4925" s="1"/>
      <c r="AA4925" s="1"/>
      <c r="AB4925" s="1"/>
      <c r="AC4925" s="1"/>
      <c r="AD4925" s="1"/>
      <c r="AE4925" s="1"/>
      <c r="AF4925" s="1"/>
      <c r="AG4925" s="1"/>
      <c r="AH4925" s="1"/>
    </row>
    <row r="4926" ht="12.75" hidden="1" customHeight="1" outlineLevel="1">
      <c r="A4926" s="17">
        <v>41886.0</v>
      </c>
      <c r="B4926" s="1"/>
      <c r="C4926" s="1" t="s">
        <v>435</v>
      </c>
      <c r="D4926" s="74"/>
      <c r="E4926" s="67"/>
      <c r="F4926" s="75"/>
      <c r="G4926" s="67"/>
      <c r="H4926" s="68"/>
      <c r="I4926" s="76"/>
      <c r="J4926" s="67"/>
      <c r="K4926" s="7" t="s">
        <v>1507</v>
      </c>
      <c r="L4926" s="77"/>
      <c r="M4926" s="79"/>
      <c r="N4926" s="1"/>
      <c r="O4926" s="1"/>
      <c r="P4926" s="1"/>
      <c r="Q4926" s="1"/>
      <c r="R4926" s="1"/>
      <c r="S4926" s="1"/>
      <c r="T4926" s="1"/>
      <c r="U4926" s="1"/>
      <c r="V4926" s="1"/>
      <c r="W4926" s="1"/>
      <c r="X4926" s="1"/>
      <c r="Y4926" s="1"/>
      <c r="Z4926" s="1"/>
      <c r="AA4926" s="1"/>
      <c r="AB4926" s="1"/>
      <c r="AC4926" s="1"/>
      <c r="AD4926" s="1"/>
      <c r="AE4926" s="1"/>
      <c r="AF4926" s="1"/>
      <c r="AG4926" s="1"/>
      <c r="AH4926" s="1"/>
    </row>
    <row r="4927" ht="12.75" hidden="1" customHeight="1" outlineLevel="1">
      <c r="A4927" s="17">
        <v>41889.0</v>
      </c>
      <c r="B4927" s="1"/>
      <c r="C4927" s="1" t="s">
        <v>339</v>
      </c>
      <c r="D4927" s="74"/>
      <c r="E4927" s="67"/>
      <c r="F4927" s="75"/>
      <c r="G4927" s="67"/>
      <c r="H4927" s="68"/>
      <c r="I4927" s="76"/>
      <c r="J4927" s="67"/>
      <c r="K4927" s="7" t="s">
        <v>2139</v>
      </c>
      <c r="L4927" s="77"/>
      <c r="M4927" s="79"/>
      <c r="N4927" s="1"/>
      <c r="O4927" s="1"/>
      <c r="P4927" s="1"/>
      <c r="Q4927" s="1"/>
      <c r="R4927" s="1"/>
      <c r="S4927" s="1"/>
      <c r="T4927" s="1"/>
      <c r="U4927" s="1"/>
      <c r="V4927" s="1"/>
      <c r="W4927" s="1"/>
      <c r="X4927" s="1"/>
      <c r="Y4927" s="1"/>
      <c r="Z4927" s="1"/>
      <c r="AA4927" s="1"/>
      <c r="AB4927" s="1"/>
      <c r="AC4927" s="1"/>
      <c r="AD4927" s="1"/>
      <c r="AE4927" s="1"/>
      <c r="AF4927" s="1"/>
      <c r="AG4927" s="1"/>
      <c r="AH4927" s="1"/>
    </row>
    <row r="4928" ht="12.75" hidden="1" customHeight="1" outlineLevel="1">
      <c r="A4928" s="17">
        <v>41889.0</v>
      </c>
      <c r="B4928" s="1"/>
      <c r="C4928" s="1" t="s">
        <v>429</v>
      </c>
      <c r="D4928" s="74"/>
      <c r="E4928" s="67"/>
      <c r="F4928" s="75"/>
      <c r="G4928" s="67"/>
      <c r="H4928" s="68"/>
      <c r="I4928" s="76"/>
      <c r="J4928" s="67"/>
      <c r="K4928" s="7" t="s">
        <v>2031</v>
      </c>
      <c r="L4928" s="77"/>
      <c r="M4928" s="79"/>
      <c r="N4928" s="1"/>
      <c r="O4928" s="1"/>
      <c r="P4928" s="1"/>
      <c r="Q4928" s="1"/>
      <c r="R4928" s="1"/>
      <c r="S4928" s="1"/>
      <c r="T4928" s="1"/>
      <c r="U4928" s="1"/>
      <c r="V4928" s="1"/>
      <c r="W4928" s="1"/>
      <c r="X4928" s="1"/>
      <c r="Y4928" s="1"/>
      <c r="Z4928" s="1"/>
      <c r="AA4928" s="1"/>
      <c r="AB4928" s="1"/>
      <c r="AC4928" s="1"/>
      <c r="AD4928" s="1"/>
      <c r="AE4928" s="1"/>
      <c r="AF4928" s="1"/>
      <c r="AG4928" s="1"/>
      <c r="AH4928" s="1"/>
    </row>
    <row r="4929" ht="12.75" hidden="1" customHeight="1" outlineLevel="1">
      <c r="A4929" s="17">
        <v>41889.0</v>
      </c>
      <c r="B4929" s="1"/>
      <c r="C4929" s="1" t="s">
        <v>431</v>
      </c>
      <c r="D4929" s="74"/>
      <c r="E4929" s="67"/>
      <c r="F4929" s="75"/>
      <c r="G4929" s="67"/>
      <c r="H4929" s="68"/>
      <c r="I4929" s="76"/>
      <c r="J4929" s="67"/>
      <c r="K4929" s="7" t="s">
        <v>1126</v>
      </c>
      <c r="L4929" s="77"/>
      <c r="M4929" s="79"/>
      <c r="N4929" s="1"/>
      <c r="O4929" s="1"/>
      <c r="P4929" s="1"/>
      <c r="Q4929" s="1"/>
      <c r="R4929" s="1"/>
      <c r="S4929" s="1"/>
      <c r="T4929" s="1"/>
      <c r="U4929" s="1"/>
      <c r="V4929" s="1"/>
      <c r="W4929" s="1"/>
      <c r="X4929" s="1"/>
      <c r="Y4929" s="1"/>
      <c r="Z4929" s="1"/>
      <c r="AA4929" s="1"/>
      <c r="AB4929" s="1"/>
      <c r="AC4929" s="1"/>
      <c r="AD4929" s="1"/>
      <c r="AE4929" s="1"/>
      <c r="AF4929" s="1"/>
      <c r="AG4929" s="1"/>
      <c r="AH4929" s="1"/>
    </row>
    <row r="4930" ht="12.75" hidden="1" customHeight="1" outlineLevel="1">
      <c r="A4930" s="17">
        <v>41889.0</v>
      </c>
      <c r="B4930" s="1"/>
      <c r="C4930" s="1" t="s">
        <v>433</v>
      </c>
      <c r="D4930" s="74"/>
      <c r="E4930" s="67"/>
      <c r="F4930" s="75"/>
      <c r="G4930" s="67"/>
      <c r="H4930" s="68"/>
      <c r="I4930" s="76"/>
      <c r="J4930" s="67"/>
      <c r="K4930" s="7" t="s">
        <v>1103</v>
      </c>
      <c r="L4930" s="77"/>
      <c r="M4930" s="79"/>
      <c r="N4930" s="1"/>
      <c r="O4930" s="1"/>
      <c r="P4930" s="1"/>
      <c r="Q4930" s="1"/>
      <c r="R4930" s="1"/>
      <c r="S4930" s="1"/>
      <c r="T4930" s="1"/>
      <c r="U4930" s="1"/>
      <c r="V4930" s="1"/>
      <c r="W4930" s="1"/>
      <c r="X4930" s="1"/>
      <c r="Y4930" s="1"/>
      <c r="Z4930" s="1"/>
      <c r="AA4930" s="1"/>
      <c r="AB4930" s="1"/>
      <c r="AC4930" s="1"/>
      <c r="AD4930" s="1"/>
      <c r="AE4930" s="1"/>
      <c r="AF4930" s="1"/>
      <c r="AG4930" s="1"/>
      <c r="AH4930" s="1"/>
    </row>
    <row r="4931" ht="12.75" hidden="1" customHeight="1" outlineLevel="1">
      <c r="A4931" s="17">
        <v>41889.0</v>
      </c>
      <c r="B4931" s="1"/>
      <c r="C4931" s="1" t="s">
        <v>435</v>
      </c>
      <c r="D4931" s="74"/>
      <c r="E4931" s="67"/>
      <c r="F4931" s="75"/>
      <c r="G4931" s="67"/>
      <c r="H4931" s="68"/>
      <c r="I4931" s="76"/>
      <c r="J4931" s="67"/>
      <c r="K4931" s="7" t="s">
        <v>1507</v>
      </c>
      <c r="L4931" s="77"/>
      <c r="M4931" s="79"/>
      <c r="N4931" s="1"/>
      <c r="O4931" s="1"/>
      <c r="P4931" s="1"/>
      <c r="Q4931" s="1"/>
      <c r="R4931" s="1"/>
      <c r="S4931" s="1"/>
      <c r="T4931" s="1"/>
      <c r="U4931" s="1"/>
      <c r="V4931" s="1"/>
      <c r="W4931" s="1"/>
      <c r="X4931" s="1"/>
      <c r="Y4931" s="1"/>
      <c r="Z4931" s="1"/>
      <c r="AA4931" s="1"/>
      <c r="AB4931" s="1"/>
      <c r="AC4931" s="1"/>
      <c r="AD4931" s="1"/>
      <c r="AE4931" s="1"/>
      <c r="AF4931" s="1"/>
      <c r="AG4931" s="1"/>
      <c r="AH4931" s="1"/>
    </row>
    <row r="4932" ht="12.75" hidden="1" customHeight="1" outlineLevel="1">
      <c r="A4932" s="17">
        <v>41890.0</v>
      </c>
      <c r="B4932" s="1"/>
      <c r="C4932" s="1" t="s">
        <v>339</v>
      </c>
      <c r="D4932" s="74"/>
      <c r="E4932" s="67"/>
      <c r="F4932" s="75"/>
      <c r="G4932" s="67"/>
      <c r="H4932" s="68"/>
      <c r="I4932" s="76"/>
      <c r="J4932" s="67"/>
      <c r="K4932" s="7" t="s">
        <v>2141</v>
      </c>
      <c r="L4932" s="77"/>
      <c r="M4932" s="79"/>
      <c r="N4932" s="1"/>
      <c r="O4932" s="1"/>
      <c r="P4932" s="1"/>
      <c r="Q4932" s="1"/>
      <c r="R4932" s="1"/>
      <c r="S4932" s="1"/>
      <c r="T4932" s="1"/>
      <c r="U4932" s="1"/>
      <c r="V4932" s="1"/>
      <c r="W4932" s="1"/>
      <c r="X4932" s="1"/>
      <c r="Y4932" s="1"/>
      <c r="Z4932" s="1"/>
      <c r="AA4932" s="1"/>
      <c r="AB4932" s="1"/>
      <c r="AC4932" s="1"/>
      <c r="AD4932" s="1"/>
      <c r="AE4932" s="1"/>
      <c r="AF4932" s="1"/>
      <c r="AG4932" s="1"/>
      <c r="AH4932" s="1"/>
    </row>
    <row r="4933" ht="12.75" hidden="1" customHeight="1" outlineLevel="1">
      <c r="A4933" s="17">
        <v>41890.0</v>
      </c>
      <c r="B4933" s="1"/>
      <c r="C4933" s="1" t="s">
        <v>429</v>
      </c>
      <c r="D4933" s="74"/>
      <c r="E4933" s="67"/>
      <c r="F4933" s="75"/>
      <c r="G4933" s="67"/>
      <c r="H4933" s="68"/>
      <c r="I4933" s="76"/>
      <c r="J4933" s="67"/>
      <c r="K4933" s="7" t="s">
        <v>2031</v>
      </c>
      <c r="L4933" s="77"/>
      <c r="M4933" s="79"/>
      <c r="N4933" s="1"/>
      <c r="O4933" s="1"/>
      <c r="P4933" s="1"/>
      <c r="Q4933" s="1"/>
      <c r="R4933" s="1"/>
      <c r="S4933" s="1"/>
      <c r="T4933" s="1"/>
      <c r="U4933" s="1"/>
      <c r="V4933" s="1"/>
      <c r="W4933" s="1"/>
      <c r="X4933" s="1"/>
      <c r="Y4933" s="1"/>
      <c r="Z4933" s="1"/>
      <c r="AA4933" s="1"/>
      <c r="AB4933" s="1"/>
      <c r="AC4933" s="1"/>
      <c r="AD4933" s="1"/>
      <c r="AE4933" s="1"/>
      <c r="AF4933" s="1"/>
      <c r="AG4933" s="1"/>
      <c r="AH4933" s="1"/>
    </row>
    <row r="4934" ht="12.75" hidden="1" customHeight="1" outlineLevel="1">
      <c r="A4934" s="17">
        <v>41890.0</v>
      </c>
      <c r="B4934" s="1"/>
      <c r="C4934" s="1" t="s">
        <v>431</v>
      </c>
      <c r="D4934" s="74"/>
      <c r="E4934" s="67"/>
      <c r="F4934" s="75"/>
      <c r="G4934" s="67"/>
      <c r="H4934" s="68"/>
      <c r="I4934" s="76"/>
      <c r="J4934" s="67"/>
      <c r="K4934" s="7" t="s">
        <v>1126</v>
      </c>
      <c r="L4934" s="77"/>
      <c r="M4934" s="79"/>
      <c r="N4934" s="1"/>
      <c r="O4934" s="1"/>
      <c r="P4934" s="1"/>
      <c r="Q4934" s="1"/>
      <c r="R4934" s="1"/>
      <c r="S4934" s="1"/>
      <c r="T4934" s="1"/>
      <c r="U4934" s="1"/>
      <c r="V4934" s="1"/>
      <c r="W4934" s="1"/>
      <c r="X4934" s="1"/>
      <c r="Y4934" s="1"/>
      <c r="Z4934" s="1"/>
      <c r="AA4934" s="1"/>
      <c r="AB4934" s="1"/>
      <c r="AC4934" s="1"/>
      <c r="AD4934" s="1"/>
      <c r="AE4934" s="1"/>
      <c r="AF4934" s="1"/>
      <c r="AG4934" s="1"/>
      <c r="AH4934" s="1"/>
    </row>
    <row r="4935" ht="12.75" hidden="1" customHeight="1" outlineLevel="1">
      <c r="A4935" s="17">
        <v>41890.0</v>
      </c>
      <c r="B4935" s="1"/>
      <c r="C4935" s="1" t="s">
        <v>433</v>
      </c>
      <c r="D4935" s="74"/>
      <c r="E4935" s="67"/>
      <c r="F4935" s="75"/>
      <c r="G4935" s="67"/>
      <c r="H4935" s="68"/>
      <c r="I4935" s="76"/>
      <c r="J4935" s="67"/>
      <c r="K4935" s="7" t="s">
        <v>1103</v>
      </c>
      <c r="L4935" s="77"/>
      <c r="M4935" s="79"/>
      <c r="N4935" s="1"/>
      <c r="O4935" s="1"/>
      <c r="P4935" s="1"/>
      <c r="Q4935" s="1"/>
      <c r="R4935" s="1"/>
      <c r="S4935" s="1"/>
      <c r="T4935" s="1"/>
      <c r="U4935" s="1"/>
      <c r="V4935" s="1"/>
      <c r="W4935" s="1"/>
      <c r="X4935" s="1"/>
      <c r="Y4935" s="1"/>
      <c r="Z4935" s="1"/>
      <c r="AA4935" s="1"/>
      <c r="AB4935" s="1"/>
      <c r="AC4935" s="1"/>
      <c r="AD4935" s="1"/>
      <c r="AE4935" s="1"/>
      <c r="AF4935" s="1"/>
      <c r="AG4935" s="1"/>
      <c r="AH4935" s="1"/>
    </row>
    <row r="4936" ht="12.75" hidden="1" customHeight="1" outlineLevel="1">
      <c r="A4936" s="17">
        <v>41890.0</v>
      </c>
      <c r="B4936" s="1"/>
      <c r="C4936" s="1" t="s">
        <v>435</v>
      </c>
      <c r="D4936" s="74"/>
      <c r="E4936" s="67"/>
      <c r="F4936" s="75"/>
      <c r="G4936" s="67"/>
      <c r="H4936" s="68"/>
      <c r="I4936" s="76"/>
      <c r="J4936" s="67"/>
      <c r="K4936" s="7" t="s">
        <v>1507</v>
      </c>
      <c r="L4936" s="77"/>
      <c r="M4936" s="79"/>
      <c r="N4936" s="1"/>
      <c r="O4936" s="1"/>
      <c r="P4936" s="1"/>
      <c r="Q4936" s="1"/>
      <c r="R4936" s="1"/>
      <c r="S4936" s="1"/>
      <c r="T4936" s="1"/>
      <c r="U4936" s="1"/>
      <c r="V4936" s="1"/>
      <c r="W4936" s="1"/>
      <c r="X4936" s="1"/>
      <c r="Y4936" s="1"/>
      <c r="Z4936" s="1"/>
      <c r="AA4936" s="1"/>
      <c r="AB4936" s="1"/>
      <c r="AC4936" s="1"/>
      <c r="AD4936" s="1"/>
      <c r="AE4936" s="1"/>
      <c r="AF4936" s="1"/>
      <c r="AG4936" s="1"/>
      <c r="AH4936" s="1"/>
    </row>
    <row r="4937" ht="12.75" hidden="1" customHeight="1" outlineLevel="1">
      <c r="A4937" s="17">
        <v>41892.0</v>
      </c>
      <c r="B4937" s="1" t="s">
        <v>343</v>
      </c>
      <c r="C4937" s="1" t="s">
        <v>2142</v>
      </c>
      <c r="D4937" s="74">
        <v>1000.0</v>
      </c>
      <c r="E4937" s="67">
        <v>25.17</v>
      </c>
      <c r="F4937" s="75">
        <v>0.4400462962962963</v>
      </c>
      <c r="G4937" s="67" t="s">
        <v>453</v>
      </c>
      <c r="H4937" s="68">
        <v>4.0</v>
      </c>
      <c r="I4937" s="76"/>
      <c r="J4937" s="67">
        <f t="shared" ref="J4937:J4938" si="307">IF(B4937="SLD",D4937*E4937,-D4937*E4937)-H4937</f>
        <v>-25174</v>
      </c>
      <c r="K4937" s="7"/>
      <c r="L4937" s="70"/>
      <c r="M4937" s="79"/>
      <c r="N4937" s="1"/>
      <c r="O4937" s="1"/>
      <c r="P4937" s="1"/>
      <c r="Q4937" s="1"/>
      <c r="R4937" s="1"/>
      <c r="S4937" s="1"/>
      <c r="T4937" s="1"/>
      <c r="U4937" s="1"/>
      <c r="V4937" s="1"/>
      <c r="W4937" s="1"/>
      <c r="X4937" s="1"/>
      <c r="Y4937" s="1"/>
      <c r="Z4937" s="1"/>
      <c r="AA4937" s="1"/>
      <c r="AB4937" s="1"/>
      <c r="AC4937" s="1"/>
      <c r="AD4937" s="1"/>
      <c r="AE4937" s="1"/>
      <c r="AF4937" s="1"/>
      <c r="AG4937" s="1"/>
      <c r="AH4937" s="1"/>
    </row>
    <row r="4938" ht="12.75" hidden="1" customHeight="1" outlineLevel="1">
      <c r="A4938" s="17">
        <v>41892.0</v>
      </c>
      <c r="B4938" s="1" t="s">
        <v>343</v>
      </c>
      <c r="C4938" s="1" t="s">
        <v>1382</v>
      </c>
      <c r="D4938" s="74">
        <v>200.0</v>
      </c>
      <c r="E4938" s="67">
        <v>131.161</v>
      </c>
      <c r="F4938" s="75">
        <v>0.6511689814814815</v>
      </c>
      <c r="G4938" s="67" t="s">
        <v>453</v>
      </c>
      <c r="H4938" s="68">
        <v>1.0</v>
      </c>
      <c r="I4938" s="76"/>
      <c r="J4938" s="67">
        <f t="shared" si="307"/>
        <v>-26233.2</v>
      </c>
      <c r="K4938" s="7"/>
      <c r="L4938" s="70"/>
      <c r="M4938" s="79"/>
      <c r="N4938" s="1"/>
      <c r="O4938" s="1"/>
      <c r="P4938" s="1"/>
      <c r="Q4938" s="1"/>
      <c r="R4938" s="1"/>
      <c r="S4938" s="1"/>
      <c r="T4938" s="1"/>
      <c r="U4938" s="1"/>
      <c r="V4938" s="1"/>
      <c r="W4938" s="1"/>
      <c r="X4938" s="1"/>
      <c r="Y4938" s="1"/>
      <c r="Z4938" s="1"/>
      <c r="AA4938" s="1"/>
      <c r="AB4938" s="1"/>
      <c r="AC4938" s="1"/>
      <c r="AD4938" s="1"/>
      <c r="AE4938" s="1"/>
      <c r="AF4938" s="1"/>
      <c r="AG4938" s="1"/>
      <c r="AH4938" s="1"/>
    </row>
    <row r="4939" ht="12.75" hidden="1" customHeight="1" outlineLevel="1">
      <c r="A4939" s="17">
        <v>41892.0</v>
      </c>
      <c r="B4939" s="1"/>
      <c r="C4939" s="1" t="s">
        <v>339</v>
      </c>
      <c r="D4939" s="74"/>
      <c r="E4939" s="67"/>
      <c r="F4939" s="75"/>
      <c r="G4939" s="67"/>
      <c r="H4939" s="68"/>
      <c r="I4939" s="76"/>
      <c r="J4939" s="67"/>
      <c r="K4939" s="7" t="s">
        <v>2145</v>
      </c>
      <c r="L4939" s="77"/>
      <c r="M4939" s="79"/>
      <c r="N4939" s="1"/>
      <c r="O4939" s="1"/>
      <c r="P4939" s="1"/>
      <c r="Q4939" s="1"/>
      <c r="R4939" s="1"/>
      <c r="S4939" s="1"/>
      <c r="T4939" s="1"/>
      <c r="U4939" s="1"/>
      <c r="V4939" s="1"/>
      <c r="W4939" s="1"/>
      <c r="X4939" s="1"/>
      <c r="Y4939" s="1"/>
      <c r="Z4939" s="1"/>
      <c r="AA4939" s="1"/>
      <c r="AB4939" s="1"/>
      <c r="AC4939" s="1"/>
      <c r="AD4939" s="1"/>
      <c r="AE4939" s="1"/>
      <c r="AF4939" s="1"/>
      <c r="AG4939" s="1"/>
      <c r="AH4939" s="1"/>
    </row>
    <row r="4940" ht="12.75" hidden="1" customHeight="1" outlineLevel="1">
      <c r="A4940" s="17">
        <v>41892.0</v>
      </c>
      <c r="B4940" s="1"/>
      <c r="C4940" s="1" t="s">
        <v>429</v>
      </c>
      <c r="D4940" s="74"/>
      <c r="E4940" s="67"/>
      <c r="F4940" s="75"/>
      <c r="G4940" s="67"/>
      <c r="H4940" s="68"/>
      <c r="I4940" s="76"/>
      <c r="J4940" s="67"/>
      <c r="K4940" s="7" t="s">
        <v>2031</v>
      </c>
      <c r="L4940" s="77"/>
      <c r="M4940" s="79"/>
      <c r="N4940" s="1"/>
      <c r="O4940" s="1"/>
      <c r="P4940" s="1"/>
      <c r="Q4940" s="1"/>
      <c r="R4940" s="1"/>
      <c r="S4940" s="1"/>
      <c r="T4940" s="1"/>
      <c r="U4940" s="1"/>
      <c r="V4940" s="1"/>
      <c r="W4940" s="1"/>
      <c r="X4940" s="1"/>
      <c r="Y4940" s="1"/>
      <c r="Z4940" s="1"/>
      <c r="AA4940" s="1"/>
      <c r="AB4940" s="1"/>
      <c r="AC4940" s="1"/>
      <c r="AD4940" s="1"/>
      <c r="AE4940" s="1"/>
      <c r="AF4940" s="1"/>
      <c r="AG4940" s="1"/>
      <c r="AH4940" s="1"/>
    </row>
    <row r="4941" ht="12.75" hidden="1" customHeight="1" outlineLevel="1">
      <c r="A4941" s="17">
        <v>41892.0</v>
      </c>
      <c r="B4941" s="1"/>
      <c r="C4941" s="1" t="s">
        <v>431</v>
      </c>
      <c r="D4941" s="74"/>
      <c r="E4941" s="67"/>
      <c r="F4941" s="75"/>
      <c r="G4941" s="67"/>
      <c r="H4941" s="68"/>
      <c r="I4941" s="76"/>
      <c r="J4941" s="67"/>
      <c r="K4941" s="7" t="s">
        <v>1126</v>
      </c>
      <c r="L4941" s="77"/>
      <c r="M4941" s="79"/>
      <c r="N4941" s="1"/>
      <c r="O4941" s="1"/>
      <c r="P4941" s="1"/>
      <c r="Q4941" s="1"/>
      <c r="R4941" s="1"/>
      <c r="S4941" s="1"/>
      <c r="T4941" s="1"/>
      <c r="U4941" s="1"/>
      <c r="V4941" s="1"/>
      <c r="W4941" s="1"/>
      <c r="X4941" s="1"/>
      <c r="Y4941" s="1"/>
      <c r="Z4941" s="1"/>
      <c r="AA4941" s="1"/>
      <c r="AB4941" s="1"/>
      <c r="AC4941" s="1"/>
      <c r="AD4941" s="1"/>
      <c r="AE4941" s="1"/>
      <c r="AF4941" s="1"/>
      <c r="AG4941" s="1"/>
      <c r="AH4941" s="1"/>
    </row>
    <row r="4942" ht="12.75" hidden="1" customHeight="1" outlineLevel="1">
      <c r="A4942" s="17">
        <v>41892.0</v>
      </c>
      <c r="B4942" s="1"/>
      <c r="C4942" s="1" t="s">
        <v>433</v>
      </c>
      <c r="D4942" s="74"/>
      <c r="E4942" s="67"/>
      <c r="F4942" s="75"/>
      <c r="G4942" s="67"/>
      <c r="H4942" s="68"/>
      <c r="I4942" s="76"/>
      <c r="J4942" s="67"/>
      <c r="K4942" s="7" t="s">
        <v>1103</v>
      </c>
      <c r="L4942" s="77"/>
      <c r="M4942" s="79"/>
      <c r="N4942" s="1"/>
      <c r="O4942" s="1"/>
      <c r="P4942" s="1"/>
      <c r="Q4942" s="1"/>
      <c r="R4942" s="1"/>
      <c r="S4942" s="1"/>
      <c r="T4942" s="1"/>
      <c r="U4942" s="1"/>
      <c r="V4942" s="1"/>
      <c r="W4942" s="1"/>
      <c r="X4942" s="1"/>
      <c r="Y4942" s="1"/>
      <c r="Z4942" s="1"/>
      <c r="AA4942" s="1"/>
      <c r="AB4942" s="1"/>
      <c r="AC4942" s="1"/>
      <c r="AD4942" s="1"/>
      <c r="AE4942" s="1"/>
      <c r="AF4942" s="1"/>
      <c r="AG4942" s="1"/>
      <c r="AH4942" s="1"/>
    </row>
    <row r="4943" ht="12.75" hidden="1" customHeight="1" outlineLevel="1">
      <c r="A4943" s="17">
        <v>41892.0</v>
      </c>
      <c r="B4943" s="1"/>
      <c r="C4943" s="1" t="s">
        <v>435</v>
      </c>
      <c r="D4943" s="74"/>
      <c r="E4943" s="67"/>
      <c r="F4943" s="75"/>
      <c r="G4943" s="67"/>
      <c r="H4943" s="68"/>
      <c r="I4943" s="76"/>
      <c r="J4943" s="67"/>
      <c r="K4943" s="7" t="s">
        <v>1507</v>
      </c>
      <c r="L4943" s="77"/>
      <c r="M4943" s="79"/>
      <c r="N4943" s="1"/>
      <c r="O4943" s="1"/>
      <c r="P4943" s="1"/>
      <c r="Q4943" s="1"/>
      <c r="R4943" s="1"/>
      <c r="S4943" s="1"/>
      <c r="T4943" s="1"/>
      <c r="U4943" s="1"/>
      <c r="V4943" s="1"/>
      <c r="W4943" s="1"/>
      <c r="X4943" s="1"/>
      <c r="Y4943" s="1"/>
      <c r="Z4943" s="1"/>
      <c r="AA4943" s="1"/>
      <c r="AB4943" s="1"/>
      <c r="AC4943" s="1"/>
      <c r="AD4943" s="1"/>
      <c r="AE4943" s="1"/>
      <c r="AF4943" s="1"/>
      <c r="AG4943" s="1"/>
      <c r="AH4943" s="1"/>
    </row>
    <row r="4944" ht="12.75" hidden="1" customHeight="1" outlineLevel="1">
      <c r="A4944" s="17">
        <v>41893.0</v>
      </c>
      <c r="B4944" s="1"/>
      <c r="C4944" s="1" t="s">
        <v>339</v>
      </c>
      <c r="D4944" s="74"/>
      <c r="E4944" s="67"/>
      <c r="F4944" s="75"/>
      <c r="G4944" s="67"/>
      <c r="H4944" s="68"/>
      <c r="I4944" s="76"/>
      <c r="J4944" s="67"/>
      <c r="K4944" s="7" t="s">
        <v>2145</v>
      </c>
      <c r="L4944" s="77"/>
      <c r="M4944" s="79"/>
      <c r="N4944" s="1"/>
      <c r="O4944" s="1"/>
      <c r="P4944" s="1"/>
      <c r="Q4944" s="1"/>
      <c r="R4944" s="1"/>
      <c r="S4944" s="1"/>
      <c r="T4944" s="1"/>
      <c r="U4944" s="1"/>
      <c r="V4944" s="1"/>
      <c r="W4944" s="1"/>
      <c r="X4944" s="1"/>
      <c r="Y4944" s="1"/>
      <c r="Z4944" s="1"/>
      <c r="AA4944" s="1"/>
      <c r="AB4944" s="1"/>
      <c r="AC4944" s="1"/>
      <c r="AD4944" s="1"/>
      <c r="AE4944" s="1"/>
      <c r="AF4944" s="1"/>
      <c r="AG4944" s="1"/>
      <c r="AH4944" s="1"/>
    </row>
    <row r="4945" ht="12.75" hidden="1" customHeight="1" outlineLevel="1">
      <c r="A4945" s="17">
        <v>41893.0</v>
      </c>
      <c r="B4945" s="1"/>
      <c r="C4945" s="1" t="s">
        <v>429</v>
      </c>
      <c r="D4945" s="74"/>
      <c r="E4945" s="67"/>
      <c r="F4945" s="75"/>
      <c r="G4945" s="67"/>
      <c r="H4945" s="68"/>
      <c r="I4945" s="76"/>
      <c r="J4945" s="67"/>
      <c r="K4945" s="7" t="s">
        <v>2031</v>
      </c>
      <c r="L4945" s="77"/>
      <c r="M4945" s="79"/>
      <c r="N4945" s="1"/>
      <c r="O4945" s="1"/>
      <c r="P4945" s="1"/>
      <c r="Q4945" s="1"/>
      <c r="R4945" s="1"/>
      <c r="S4945" s="1"/>
      <c r="T4945" s="1"/>
      <c r="U4945" s="1"/>
      <c r="V4945" s="1"/>
      <c r="W4945" s="1"/>
      <c r="X4945" s="1"/>
      <c r="Y4945" s="1"/>
      <c r="Z4945" s="1"/>
      <c r="AA4945" s="1"/>
      <c r="AB4945" s="1"/>
      <c r="AC4945" s="1"/>
      <c r="AD4945" s="1"/>
      <c r="AE4945" s="1"/>
      <c r="AF4945" s="1"/>
      <c r="AG4945" s="1"/>
      <c r="AH4945" s="1"/>
    </row>
    <row r="4946" ht="12.75" hidden="1" customHeight="1" outlineLevel="1">
      <c r="A4946" s="17">
        <v>41893.0</v>
      </c>
      <c r="B4946" s="1"/>
      <c r="C4946" s="1" t="s">
        <v>431</v>
      </c>
      <c r="D4946" s="74"/>
      <c r="E4946" s="67"/>
      <c r="F4946" s="75"/>
      <c r="G4946" s="67"/>
      <c r="H4946" s="68"/>
      <c r="I4946" s="76"/>
      <c r="J4946" s="67"/>
      <c r="K4946" s="7" t="s">
        <v>1126</v>
      </c>
      <c r="L4946" s="77"/>
      <c r="M4946" s="79"/>
      <c r="N4946" s="1"/>
      <c r="O4946" s="1"/>
      <c r="P4946" s="1"/>
      <c r="Q4946" s="1"/>
      <c r="R4946" s="1"/>
      <c r="S4946" s="1"/>
      <c r="T4946" s="1"/>
      <c r="U4946" s="1"/>
      <c r="V4946" s="1"/>
      <c r="W4946" s="1"/>
      <c r="X4946" s="1"/>
      <c r="Y4946" s="1"/>
      <c r="Z4946" s="1"/>
      <c r="AA4946" s="1"/>
      <c r="AB4946" s="1"/>
      <c r="AC4946" s="1"/>
      <c r="AD4946" s="1"/>
      <c r="AE4946" s="1"/>
      <c r="AF4946" s="1"/>
      <c r="AG4946" s="1"/>
      <c r="AH4946" s="1"/>
    </row>
    <row r="4947" ht="12.75" hidden="1" customHeight="1" outlineLevel="1">
      <c r="A4947" s="17">
        <v>41893.0</v>
      </c>
      <c r="B4947" s="1"/>
      <c r="C4947" s="1" t="s">
        <v>433</v>
      </c>
      <c r="D4947" s="74"/>
      <c r="E4947" s="67"/>
      <c r="F4947" s="75"/>
      <c r="G4947" s="67"/>
      <c r="H4947" s="68"/>
      <c r="I4947" s="76"/>
      <c r="J4947" s="67"/>
      <c r="K4947" s="7" t="s">
        <v>1103</v>
      </c>
      <c r="L4947" s="77"/>
      <c r="M4947" s="79"/>
      <c r="N4947" s="1"/>
      <c r="O4947" s="1"/>
      <c r="P4947" s="1"/>
      <c r="Q4947" s="1"/>
      <c r="R4947" s="1"/>
      <c r="S4947" s="1"/>
      <c r="T4947" s="1"/>
      <c r="U4947" s="1"/>
      <c r="V4947" s="1"/>
      <c r="W4947" s="1"/>
      <c r="X4947" s="1"/>
      <c r="Y4947" s="1"/>
      <c r="Z4947" s="1"/>
      <c r="AA4947" s="1"/>
      <c r="AB4947" s="1"/>
      <c r="AC4947" s="1"/>
      <c r="AD4947" s="1"/>
      <c r="AE4947" s="1"/>
      <c r="AF4947" s="1"/>
      <c r="AG4947" s="1"/>
      <c r="AH4947" s="1"/>
    </row>
    <row r="4948" ht="12.75" hidden="1" customHeight="1" outlineLevel="1">
      <c r="A4948" s="17">
        <v>41893.0</v>
      </c>
      <c r="B4948" s="1"/>
      <c r="C4948" s="1" t="s">
        <v>435</v>
      </c>
      <c r="D4948" s="74"/>
      <c r="E4948" s="67"/>
      <c r="F4948" s="75"/>
      <c r="G4948" s="67"/>
      <c r="H4948" s="68"/>
      <c r="I4948" s="76"/>
      <c r="J4948" s="67"/>
      <c r="K4948" s="7" t="s">
        <v>1507</v>
      </c>
      <c r="L4948" s="77"/>
      <c r="M4948" s="79"/>
      <c r="N4948" s="1"/>
      <c r="O4948" s="1"/>
      <c r="P4948" s="1"/>
      <c r="Q4948" s="1"/>
      <c r="R4948" s="1"/>
      <c r="S4948" s="1"/>
      <c r="T4948" s="1"/>
      <c r="U4948" s="1"/>
      <c r="V4948" s="1"/>
      <c r="W4948" s="1"/>
      <c r="X4948" s="1"/>
      <c r="Y4948" s="1"/>
      <c r="Z4948" s="1"/>
      <c r="AA4948" s="1"/>
      <c r="AB4948" s="1"/>
      <c r="AC4948" s="1"/>
      <c r="AD4948" s="1"/>
      <c r="AE4948" s="1"/>
      <c r="AF4948" s="1"/>
      <c r="AG4948" s="1"/>
      <c r="AH4948" s="1"/>
    </row>
    <row r="4949" ht="12.75" hidden="1" customHeight="1" outlineLevel="1">
      <c r="A4949" s="17">
        <v>41894.0</v>
      </c>
      <c r="B4949" s="1" t="s">
        <v>343</v>
      </c>
      <c r="C4949" s="1" t="s">
        <v>1060</v>
      </c>
      <c r="D4949" s="74">
        <v>100.0</v>
      </c>
      <c r="E4949" s="67">
        <v>39.528</v>
      </c>
      <c r="F4949" s="75">
        <v>0.4233564814814815</v>
      </c>
      <c r="G4949" s="67" t="s">
        <v>453</v>
      </c>
      <c r="H4949" s="68">
        <v>1.0</v>
      </c>
      <c r="I4949" s="76"/>
      <c r="J4949" s="67">
        <f t="shared" ref="J4949:J4950" si="308">IF(B4949="SLD",D4949*E4949,-D4949*E4949)-H4949</f>
        <v>-3953.8</v>
      </c>
      <c r="K4949" s="7"/>
      <c r="L4949" s="70"/>
      <c r="M4949" s="79"/>
      <c r="N4949" s="1"/>
      <c r="O4949" s="1"/>
      <c r="P4949" s="1"/>
      <c r="Q4949" s="1"/>
      <c r="R4949" s="1"/>
      <c r="S4949" s="1"/>
      <c r="T4949" s="1"/>
      <c r="U4949" s="1"/>
      <c r="V4949" s="1"/>
      <c r="W4949" s="1"/>
      <c r="X4949" s="1"/>
      <c r="Y4949" s="1"/>
      <c r="Z4949" s="1"/>
      <c r="AA4949" s="1"/>
      <c r="AB4949" s="1"/>
      <c r="AC4949" s="1"/>
      <c r="AD4949" s="1"/>
      <c r="AE4949" s="1"/>
      <c r="AF4949" s="1"/>
      <c r="AG4949" s="1"/>
      <c r="AH4949" s="1"/>
    </row>
    <row r="4950" ht="12.75" hidden="1" customHeight="1" outlineLevel="1">
      <c r="A4950" s="17">
        <v>41894.0</v>
      </c>
      <c r="B4950" s="1" t="s">
        <v>343</v>
      </c>
      <c r="C4950" s="1" t="s">
        <v>1366</v>
      </c>
      <c r="D4950" s="74">
        <v>30.0</v>
      </c>
      <c r="E4950" s="67">
        <v>188.865</v>
      </c>
      <c r="F4950" s="75">
        <v>0.4236111111111111</v>
      </c>
      <c r="G4950" s="67" t="s">
        <v>453</v>
      </c>
      <c r="H4950" s="68">
        <v>1.0</v>
      </c>
      <c r="I4950" s="76"/>
      <c r="J4950" s="67">
        <f t="shared" si="308"/>
        <v>-5666.95</v>
      </c>
      <c r="K4950" s="7"/>
      <c r="L4950" s="70"/>
      <c r="M4950" s="79"/>
      <c r="N4950" s="1"/>
      <c r="O4950" s="1"/>
      <c r="P4950" s="1"/>
      <c r="Q4950" s="1"/>
      <c r="R4950" s="1"/>
      <c r="S4950" s="1"/>
      <c r="T4950" s="1"/>
      <c r="U4950" s="1"/>
      <c r="V4950" s="1"/>
      <c r="W4950" s="1"/>
      <c r="X4950" s="1"/>
      <c r="Y4950" s="1"/>
      <c r="Z4950" s="1"/>
      <c r="AA4950" s="1"/>
      <c r="AB4950" s="1"/>
      <c r="AC4950" s="1"/>
      <c r="AD4950" s="1"/>
      <c r="AE4950" s="1"/>
      <c r="AF4950" s="1"/>
      <c r="AG4950" s="1"/>
      <c r="AH4950" s="1"/>
    </row>
    <row r="4951" ht="12.75" hidden="1" customHeight="1" outlineLevel="1">
      <c r="A4951" s="17">
        <v>41894.0</v>
      </c>
      <c r="B4951" s="1"/>
      <c r="C4951" s="1" t="s">
        <v>339</v>
      </c>
      <c r="D4951" s="74"/>
      <c r="E4951" s="67"/>
      <c r="F4951" s="75"/>
      <c r="G4951" s="67"/>
      <c r="H4951" s="68"/>
      <c r="I4951" s="76"/>
      <c r="J4951" s="67"/>
      <c r="K4951" s="7" t="s">
        <v>2150</v>
      </c>
      <c r="L4951" s="77"/>
      <c r="M4951" s="79"/>
      <c r="N4951" s="1"/>
      <c r="O4951" s="1"/>
      <c r="P4951" s="1"/>
      <c r="Q4951" s="1"/>
      <c r="R4951" s="1"/>
      <c r="S4951" s="1"/>
      <c r="T4951" s="1"/>
      <c r="U4951" s="1"/>
      <c r="V4951" s="1"/>
      <c r="W4951" s="1"/>
      <c r="X4951" s="1"/>
      <c r="Y4951" s="1"/>
      <c r="Z4951" s="1"/>
      <c r="AA4951" s="1"/>
      <c r="AB4951" s="1"/>
      <c r="AC4951" s="1"/>
      <c r="AD4951" s="1"/>
      <c r="AE4951" s="1"/>
      <c r="AF4951" s="1"/>
      <c r="AG4951" s="1"/>
      <c r="AH4951" s="1"/>
    </row>
    <row r="4952" ht="12.75" hidden="1" customHeight="1" outlineLevel="1">
      <c r="A4952" s="17">
        <v>41894.0</v>
      </c>
      <c r="B4952" s="1"/>
      <c r="C4952" s="1" t="s">
        <v>429</v>
      </c>
      <c r="D4952" s="74"/>
      <c r="E4952" s="67"/>
      <c r="F4952" s="75"/>
      <c r="G4952" s="67"/>
      <c r="H4952" s="68"/>
      <c r="I4952" s="76"/>
      <c r="J4952" s="67"/>
      <c r="K4952" s="7" t="s">
        <v>2031</v>
      </c>
      <c r="L4952" s="77"/>
      <c r="M4952" s="79"/>
      <c r="N4952" s="1"/>
      <c r="O4952" s="1"/>
      <c r="P4952" s="1"/>
      <c r="Q4952" s="1"/>
      <c r="R4952" s="1"/>
      <c r="S4952" s="1"/>
      <c r="T4952" s="1"/>
      <c r="U4952" s="1"/>
      <c r="V4952" s="1"/>
      <c r="W4952" s="1"/>
      <c r="X4952" s="1"/>
      <c r="Y4952" s="1"/>
      <c r="Z4952" s="1"/>
      <c r="AA4952" s="1"/>
      <c r="AB4952" s="1"/>
      <c r="AC4952" s="1"/>
      <c r="AD4952" s="1"/>
      <c r="AE4952" s="1"/>
      <c r="AF4952" s="1"/>
      <c r="AG4952" s="1"/>
      <c r="AH4952" s="1"/>
    </row>
    <row r="4953" ht="12.75" hidden="1" customHeight="1" outlineLevel="1">
      <c r="A4953" s="17">
        <v>41894.0</v>
      </c>
      <c r="B4953" s="1"/>
      <c r="C4953" s="1" t="s">
        <v>431</v>
      </c>
      <c r="D4953" s="74"/>
      <c r="E4953" s="67"/>
      <c r="F4953" s="75"/>
      <c r="G4953" s="67"/>
      <c r="H4953" s="68"/>
      <c r="I4953" s="76"/>
      <c r="J4953" s="67"/>
      <c r="K4953" s="7" t="s">
        <v>1126</v>
      </c>
      <c r="L4953" s="77"/>
      <c r="M4953" s="79"/>
      <c r="N4953" s="1"/>
      <c r="O4953" s="1"/>
      <c r="P4953" s="1"/>
      <c r="Q4953" s="1"/>
      <c r="R4953" s="1"/>
      <c r="S4953" s="1"/>
      <c r="T4953" s="1"/>
      <c r="U4953" s="1"/>
      <c r="V4953" s="1"/>
      <c r="W4953" s="1"/>
      <c r="X4953" s="1"/>
      <c r="Y4953" s="1"/>
      <c r="Z4953" s="1"/>
      <c r="AA4953" s="1"/>
      <c r="AB4953" s="1"/>
      <c r="AC4953" s="1"/>
      <c r="AD4953" s="1"/>
      <c r="AE4953" s="1"/>
      <c r="AF4953" s="1"/>
      <c r="AG4953" s="1"/>
      <c r="AH4953" s="1"/>
    </row>
    <row r="4954" ht="12.75" hidden="1" customHeight="1" outlineLevel="1">
      <c r="A4954" s="17">
        <v>41894.0</v>
      </c>
      <c r="B4954" s="1"/>
      <c r="C4954" s="1" t="s">
        <v>433</v>
      </c>
      <c r="D4954" s="74"/>
      <c r="E4954" s="67"/>
      <c r="F4954" s="75"/>
      <c r="G4954" s="67"/>
      <c r="H4954" s="68"/>
      <c r="I4954" s="76"/>
      <c r="J4954" s="67"/>
      <c r="K4954" s="7" t="s">
        <v>1103</v>
      </c>
      <c r="L4954" s="77"/>
      <c r="M4954" s="79"/>
      <c r="N4954" s="1"/>
      <c r="O4954" s="1"/>
      <c r="P4954" s="1"/>
      <c r="Q4954" s="1"/>
      <c r="R4954" s="1"/>
      <c r="S4954" s="1"/>
      <c r="T4954" s="1"/>
      <c r="U4954" s="1"/>
      <c r="V4954" s="1"/>
      <c r="W4954" s="1"/>
      <c r="X4954" s="1"/>
      <c r="Y4954" s="1"/>
      <c r="Z4954" s="1"/>
      <c r="AA4954" s="1"/>
      <c r="AB4954" s="1"/>
      <c r="AC4954" s="1"/>
      <c r="AD4954" s="1"/>
      <c r="AE4954" s="1"/>
      <c r="AF4954" s="1"/>
      <c r="AG4954" s="1"/>
      <c r="AH4954" s="1"/>
    </row>
    <row r="4955" ht="12.75" hidden="1" customHeight="1" outlineLevel="1">
      <c r="A4955" s="17">
        <v>41894.0</v>
      </c>
      <c r="B4955" s="1"/>
      <c r="C4955" s="1" t="s">
        <v>435</v>
      </c>
      <c r="D4955" s="74"/>
      <c r="E4955" s="67"/>
      <c r="F4955" s="75"/>
      <c r="G4955" s="67"/>
      <c r="H4955" s="68"/>
      <c r="I4955" s="76"/>
      <c r="J4955" s="67"/>
      <c r="K4955" s="7" t="s">
        <v>1507</v>
      </c>
      <c r="L4955" s="77"/>
      <c r="M4955" s="79"/>
      <c r="N4955" s="1"/>
      <c r="O4955" s="1"/>
      <c r="P4955" s="1"/>
      <c r="Q4955" s="1"/>
      <c r="R4955" s="1"/>
      <c r="S4955" s="1"/>
      <c r="T4955" s="1"/>
      <c r="U4955" s="1"/>
      <c r="V4955" s="1"/>
      <c r="W4955" s="1"/>
      <c r="X4955" s="1"/>
      <c r="Y4955" s="1"/>
      <c r="Z4955" s="1"/>
      <c r="AA4955" s="1"/>
      <c r="AB4955" s="1"/>
      <c r="AC4955" s="1"/>
      <c r="AD4955" s="1"/>
      <c r="AE4955" s="1"/>
      <c r="AF4955" s="1"/>
      <c r="AG4955" s="1"/>
      <c r="AH4955" s="1"/>
    </row>
    <row r="4956" ht="12.75" hidden="1" customHeight="1" outlineLevel="1">
      <c r="A4956" s="17">
        <v>41897.0</v>
      </c>
      <c r="B4956" s="1"/>
      <c r="C4956" s="1" t="s">
        <v>339</v>
      </c>
      <c r="D4956" s="74"/>
      <c r="E4956" s="67"/>
      <c r="F4956" s="75"/>
      <c r="G4956" s="67"/>
      <c r="H4956" s="68"/>
      <c r="I4956" s="76"/>
      <c r="J4956" s="67"/>
      <c r="K4956" s="7" t="s">
        <v>2152</v>
      </c>
      <c r="L4956" s="77"/>
      <c r="M4956" s="79"/>
      <c r="N4956" s="1"/>
      <c r="O4956" s="1"/>
      <c r="P4956" s="1"/>
      <c r="Q4956" s="1"/>
      <c r="R4956" s="1"/>
      <c r="S4956" s="1"/>
      <c r="T4956" s="1"/>
      <c r="U4956" s="1"/>
      <c r="V4956" s="1"/>
      <c r="W4956" s="1"/>
      <c r="X4956" s="1"/>
      <c r="Y4956" s="1"/>
      <c r="Z4956" s="1"/>
      <c r="AA4956" s="1"/>
      <c r="AB4956" s="1"/>
      <c r="AC4956" s="1"/>
      <c r="AD4956" s="1"/>
      <c r="AE4956" s="1"/>
      <c r="AF4956" s="1"/>
      <c r="AG4956" s="1"/>
      <c r="AH4956" s="1"/>
    </row>
    <row r="4957" ht="12.75" hidden="1" customHeight="1" outlineLevel="1">
      <c r="A4957" s="17">
        <v>41897.0</v>
      </c>
      <c r="B4957" s="1"/>
      <c r="C4957" s="1" t="s">
        <v>429</v>
      </c>
      <c r="D4957" s="74"/>
      <c r="E4957" s="67"/>
      <c r="F4957" s="75"/>
      <c r="G4957" s="67"/>
      <c r="H4957" s="68"/>
      <c r="I4957" s="76"/>
      <c r="J4957" s="67"/>
      <c r="K4957" s="7" t="s">
        <v>2031</v>
      </c>
      <c r="L4957" s="77"/>
      <c r="M4957" s="79"/>
      <c r="N4957" s="1"/>
      <c r="O4957" s="1"/>
      <c r="P4957" s="1"/>
      <c r="Q4957" s="1"/>
      <c r="R4957" s="1"/>
      <c r="S4957" s="1"/>
      <c r="T4957" s="1"/>
      <c r="U4957" s="1"/>
      <c r="V4957" s="1"/>
      <c r="W4957" s="1"/>
      <c r="X4957" s="1"/>
      <c r="Y4957" s="1"/>
      <c r="Z4957" s="1"/>
      <c r="AA4957" s="1"/>
      <c r="AB4957" s="1"/>
      <c r="AC4957" s="1"/>
      <c r="AD4957" s="1"/>
      <c r="AE4957" s="1"/>
      <c r="AF4957" s="1"/>
      <c r="AG4957" s="1"/>
      <c r="AH4957" s="1"/>
    </row>
    <row r="4958" ht="12.75" hidden="1" customHeight="1" outlineLevel="1">
      <c r="A4958" s="17">
        <v>41897.0</v>
      </c>
      <c r="B4958" s="1"/>
      <c r="C4958" s="1" t="s">
        <v>431</v>
      </c>
      <c r="D4958" s="74"/>
      <c r="E4958" s="67"/>
      <c r="F4958" s="75"/>
      <c r="G4958" s="67"/>
      <c r="H4958" s="68"/>
      <c r="I4958" s="76"/>
      <c r="J4958" s="67"/>
      <c r="K4958" s="7" t="s">
        <v>1126</v>
      </c>
      <c r="L4958" s="77"/>
      <c r="M4958" s="79"/>
      <c r="N4958" s="1"/>
      <c r="O4958" s="1"/>
      <c r="P4958" s="1"/>
      <c r="Q4958" s="1"/>
      <c r="R4958" s="1"/>
      <c r="S4958" s="1"/>
      <c r="T4958" s="1"/>
      <c r="U4958" s="1"/>
      <c r="V4958" s="1"/>
      <c r="W4958" s="1"/>
      <c r="X4958" s="1"/>
      <c r="Y4958" s="1"/>
      <c r="Z4958" s="1"/>
      <c r="AA4958" s="1"/>
      <c r="AB4958" s="1"/>
      <c r="AC4958" s="1"/>
      <c r="AD4958" s="1"/>
      <c r="AE4958" s="1"/>
      <c r="AF4958" s="1"/>
      <c r="AG4958" s="1"/>
      <c r="AH4958" s="1"/>
    </row>
    <row r="4959" ht="12.75" hidden="1" customHeight="1" outlineLevel="1">
      <c r="A4959" s="17">
        <v>41897.0</v>
      </c>
      <c r="B4959" s="1"/>
      <c r="C4959" s="1" t="s">
        <v>433</v>
      </c>
      <c r="D4959" s="74"/>
      <c r="E4959" s="67"/>
      <c r="F4959" s="75"/>
      <c r="G4959" s="67"/>
      <c r="H4959" s="68"/>
      <c r="I4959" s="76"/>
      <c r="J4959" s="67"/>
      <c r="K4959" s="7" t="s">
        <v>1103</v>
      </c>
      <c r="L4959" s="77"/>
      <c r="M4959" s="79"/>
      <c r="N4959" s="1"/>
      <c r="O4959" s="1"/>
      <c r="P4959" s="1"/>
      <c r="Q4959" s="1"/>
      <c r="R4959" s="1"/>
      <c r="S4959" s="1"/>
      <c r="T4959" s="1"/>
      <c r="U4959" s="1"/>
      <c r="V4959" s="1"/>
      <c r="W4959" s="1"/>
      <c r="X4959" s="1"/>
      <c r="Y4959" s="1"/>
      <c r="Z4959" s="1"/>
      <c r="AA4959" s="1"/>
      <c r="AB4959" s="1"/>
      <c r="AC4959" s="1"/>
      <c r="AD4959" s="1"/>
      <c r="AE4959" s="1"/>
      <c r="AF4959" s="1"/>
      <c r="AG4959" s="1"/>
      <c r="AH4959" s="1"/>
    </row>
    <row r="4960" ht="12.75" hidden="1" customHeight="1" outlineLevel="1">
      <c r="A4960" s="17">
        <v>41897.0</v>
      </c>
      <c r="B4960" s="1"/>
      <c r="C4960" s="1" t="s">
        <v>435</v>
      </c>
      <c r="D4960" s="74"/>
      <c r="E4960" s="67"/>
      <c r="F4960" s="75"/>
      <c r="G4960" s="67"/>
      <c r="H4960" s="68"/>
      <c r="I4960" s="76"/>
      <c r="J4960" s="67"/>
      <c r="K4960" s="7" t="s">
        <v>1507</v>
      </c>
      <c r="L4960" s="77"/>
      <c r="M4960" s="79"/>
      <c r="N4960" s="1"/>
      <c r="O4960" s="1"/>
      <c r="P4960" s="1"/>
      <c r="Q4960" s="1"/>
      <c r="R4960" s="1"/>
      <c r="S4960" s="1"/>
      <c r="T4960" s="1"/>
      <c r="U4960" s="1"/>
      <c r="V4960" s="1"/>
      <c r="W4960" s="1"/>
      <c r="X4960" s="1"/>
      <c r="Y4960" s="1"/>
      <c r="Z4960" s="1"/>
      <c r="AA4960" s="1"/>
      <c r="AB4960" s="1"/>
      <c r="AC4960" s="1"/>
      <c r="AD4960" s="1"/>
      <c r="AE4960" s="1"/>
      <c r="AF4960" s="1"/>
      <c r="AG4960" s="1"/>
      <c r="AH4960" s="1"/>
    </row>
    <row r="4961" ht="12.75" hidden="1" customHeight="1" outlineLevel="1">
      <c r="A4961" s="17">
        <v>41898.0</v>
      </c>
      <c r="B4961" s="1" t="s">
        <v>347</v>
      </c>
      <c r="C4961" s="1" t="s">
        <v>1118</v>
      </c>
      <c r="D4961" s="74">
        <v>600.0</v>
      </c>
      <c r="E4961" s="67">
        <v>40.368</v>
      </c>
      <c r="F4961" s="75">
        <v>0.6595601851851852</v>
      </c>
      <c r="G4961" s="67" t="s">
        <v>453</v>
      </c>
      <c r="H4961" s="68">
        <v>3.54</v>
      </c>
      <c r="I4961" s="76"/>
      <c r="J4961" s="67">
        <f>IF(B4961="SLD",D4961*E4961,-D4961*E4961)-H4961</f>
        <v>24217.26</v>
      </c>
      <c r="K4961" s="7"/>
      <c r="L4961" s="70"/>
      <c r="M4961" s="79"/>
      <c r="N4961" s="1"/>
      <c r="O4961" s="1"/>
      <c r="P4961" s="1"/>
      <c r="Q4961" s="1"/>
      <c r="R4961" s="1"/>
      <c r="S4961" s="1"/>
      <c r="T4961" s="1"/>
      <c r="U4961" s="1"/>
      <c r="V4961" s="1"/>
      <c r="W4961" s="1"/>
      <c r="X4961" s="1"/>
      <c r="Y4961" s="1"/>
      <c r="Z4961" s="1"/>
      <c r="AA4961" s="1"/>
      <c r="AB4961" s="1"/>
      <c r="AC4961" s="1"/>
      <c r="AD4961" s="1"/>
      <c r="AE4961" s="1"/>
      <c r="AF4961" s="1"/>
      <c r="AG4961" s="1"/>
      <c r="AH4961" s="1"/>
    </row>
    <row r="4962" ht="12.75" hidden="1" customHeight="1" outlineLevel="1">
      <c r="A4962" s="17">
        <v>41898.0</v>
      </c>
      <c r="B4962" s="1"/>
      <c r="C4962" s="1" t="s">
        <v>339</v>
      </c>
      <c r="D4962" s="74"/>
      <c r="E4962" s="67"/>
      <c r="F4962" s="75"/>
      <c r="G4962" s="67"/>
      <c r="H4962" s="68"/>
      <c r="I4962" s="76"/>
      <c r="J4962" s="67"/>
      <c r="K4962" s="7" t="s">
        <v>2153</v>
      </c>
      <c r="L4962" s="77"/>
      <c r="M4962" s="79"/>
      <c r="N4962" s="1"/>
      <c r="O4962" s="1"/>
      <c r="P4962" s="1"/>
      <c r="Q4962" s="1"/>
      <c r="R4962" s="1"/>
      <c r="S4962" s="1"/>
      <c r="T4962" s="1"/>
      <c r="U4962" s="1"/>
      <c r="V4962" s="1"/>
      <c r="W4962" s="1"/>
      <c r="X4962" s="1"/>
      <c r="Y4962" s="1"/>
      <c r="Z4962" s="1"/>
      <c r="AA4962" s="1"/>
      <c r="AB4962" s="1"/>
      <c r="AC4962" s="1"/>
      <c r="AD4962" s="1"/>
      <c r="AE4962" s="1"/>
      <c r="AF4962" s="1"/>
      <c r="AG4962" s="1"/>
      <c r="AH4962" s="1"/>
    </row>
    <row r="4963" ht="12.75" hidden="1" customHeight="1" outlineLevel="1">
      <c r="A4963" s="17">
        <v>41898.0</v>
      </c>
      <c r="B4963" s="1"/>
      <c r="C4963" s="1" t="s">
        <v>429</v>
      </c>
      <c r="D4963" s="74"/>
      <c r="E4963" s="67"/>
      <c r="F4963" s="75"/>
      <c r="G4963" s="67"/>
      <c r="H4963" s="68"/>
      <c r="I4963" s="76"/>
      <c r="J4963" s="67"/>
      <c r="K4963" s="7" t="s">
        <v>2031</v>
      </c>
      <c r="L4963" s="77"/>
      <c r="M4963" s="79"/>
      <c r="N4963" s="1"/>
      <c r="O4963" s="1"/>
      <c r="P4963" s="1"/>
      <c r="Q4963" s="1"/>
      <c r="R4963" s="1"/>
      <c r="S4963" s="1"/>
      <c r="T4963" s="1"/>
      <c r="U4963" s="1"/>
      <c r="V4963" s="1"/>
      <c r="W4963" s="1"/>
      <c r="X4963" s="1"/>
      <c r="Y4963" s="1"/>
      <c r="Z4963" s="1"/>
      <c r="AA4963" s="1"/>
      <c r="AB4963" s="1"/>
      <c r="AC4963" s="1"/>
      <c r="AD4963" s="1"/>
      <c r="AE4963" s="1"/>
      <c r="AF4963" s="1"/>
      <c r="AG4963" s="1"/>
      <c r="AH4963" s="1"/>
    </row>
    <row r="4964" ht="12.75" hidden="1" customHeight="1" outlineLevel="1">
      <c r="A4964" s="17">
        <v>41898.0</v>
      </c>
      <c r="B4964" s="1"/>
      <c r="C4964" s="1" t="s">
        <v>431</v>
      </c>
      <c r="D4964" s="74"/>
      <c r="E4964" s="67"/>
      <c r="F4964" s="75"/>
      <c r="G4964" s="67"/>
      <c r="H4964" s="68"/>
      <c r="I4964" s="76"/>
      <c r="J4964" s="67"/>
      <c r="K4964" s="7" t="s">
        <v>1126</v>
      </c>
      <c r="L4964" s="77"/>
      <c r="M4964" s="79"/>
      <c r="N4964" s="1"/>
      <c r="O4964" s="1"/>
      <c r="P4964" s="1"/>
      <c r="Q4964" s="1"/>
      <c r="R4964" s="1"/>
      <c r="S4964" s="1"/>
      <c r="T4964" s="1"/>
      <c r="U4964" s="1"/>
      <c r="V4964" s="1"/>
      <c r="W4964" s="1"/>
      <c r="X4964" s="1"/>
      <c r="Y4964" s="1"/>
      <c r="Z4964" s="1"/>
      <c r="AA4964" s="1"/>
      <c r="AB4964" s="1"/>
      <c r="AC4964" s="1"/>
      <c r="AD4964" s="1"/>
      <c r="AE4964" s="1"/>
      <c r="AF4964" s="1"/>
      <c r="AG4964" s="1"/>
      <c r="AH4964" s="1"/>
    </row>
    <row r="4965" ht="12.75" hidden="1" customHeight="1" outlineLevel="1">
      <c r="A4965" s="17">
        <v>41898.0</v>
      </c>
      <c r="B4965" s="1"/>
      <c r="C4965" s="1" t="s">
        <v>433</v>
      </c>
      <c r="D4965" s="74"/>
      <c r="E4965" s="67"/>
      <c r="F4965" s="75"/>
      <c r="G4965" s="67"/>
      <c r="H4965" s="68"/>
      <c r="I4965" s="76"/>
      <c r="J4965" s="67"/>
      <c r="K4965" s="7" t="s">
        <v>1103</v>
      </c>
      <c r="L4965" s="77"/>
      <c r="M4965" s="79"/>
      <c r="N4965" s="1"/>
      <c r="O4965" s="1"/>
      <c r="P4965" s="1"/>
      <c r="Q4965" s="1"/>
      <c r="R4965" s="1"/>
      <c r="S4965" s="1"/>
      <c r="T4965" s="1"/>
      <c r="U4965" s="1"/>
      <c r="V4965" s="1"/>
      <c r="W4965" s="1"/>
      <c r="X4965" s="1"/>
      <c r="Y4965" s="1"/>
      <c r="Z4965" s="1"/>
      <c r="AA4965" s="1"/>
      <c r="AB4965" s="1"/>
      <c r="AC4965" s="1"/>
      <c r="AD4965" s="1"/>
      <c r="AE4965" s="1"/>
      <c r="AF4965" s="1"/>
      <c r="AG4965" s="1"/>
      <c r="AH4965" s="1"/>
    </row>
    <row r="4966" ht="12.75" hidden="1" customHeight="1" outlineLevel="1">
      <c r="A4966" s="17">
        <v>41898.0</v>
      </c>
      <c r="B4966" s="1"/>
      <c r="C4966" s="1" t="s">
        <v>435</v>
      </c>
      <c r="D4966" s="74"/>
      <c r="E4966" s="67"/>
      <c r="F4966" s="75"/>
      <c r="G4966" s="67"/>
      <c r="H4966" s="68"/>
      <c r="I4966" s="76"/>
      <c r="J4966" s="67"/>
      <c r="K4966" s="7" t="s">
        <v>1507</v>
      </c>
      <c r="L4966" s="77"/>
      <c r="M4966" s="79"/>
      <c r="N4966" s="1"/>
      <c r="O4966" s="1"/>
      <c r="P4966" s="1"/>
      <c r="Q4966" s="1"/>
      <c r="R4966" s="1"/>
      <c r="S4966" s="1"/>
      <c r="T4966" s="1"/>
      <c r="U4966" s="1"/>
      <c r="V4966" s="1"/>
      <c r="W4966" s="1"/>
      <c r="X4966" s="1"/>
      <c r="Y4966" s="1"/>
      <c r="Z4966" s="1"/>
      <c r="AA4966" s="1"/>
      <c r="AB4966" s="1"/>
      <c r="AC4966" s="1"/>
      <c r="AD4966" s="1"/>
      <c r="AE4966" s="1"/>
      <c r="AF4966" s="1"/>
      <c r="AG4966" s="1"/>
      <c r="AH4966" s="1"/>
    </row>
    <row r="4967" ht="12.75" hidden="1" customHeight="1" outlineLevel="1">
      <c r="A4967" s="17">
        <v>41899.0</v>
      </c>
      <c r="B4967" s="1"/>
      <c r="C4967" s="1" t="s">
        <v>339</v>
      </c>
      <c r="D4967" s="74"/>
      <c r="E4967" s="67"/>
      <c r="F4967" s="75"/>
      <c r="G4967" s="67"/>
      <c r="H4967" s="68"/>
      <c r="I4967" s="76"/>
      <c r="J4967" s="67"/>
      <c r="K4967" s="7" t="s">
        <v>2154</v>
      </c>
      <c r="L4967" s="77"/>
      <c r="M4967" s="79"/>
      <c r="N4967" s="1"/>
      <c r="O4967" s="1"/>
      <c r="P4967" s="1"/>
      <c r="Q4967" s="1"/>
      <c r="R4967" s="1"/>
      <c r="S4967" s="1"/>
      <c r="T4967" s="1"/>
      <c r="U4967" s="1"/>
      <c r="V4967" s="1"/>
      <c r="W4967" s="1"/>
      <c r="X4967" s="1"/>
      <c r="Y4967" s="1"/>
      <c r="Z4967" s="1"/>
      <c r="AA4967" s="1"/>
      <c r="AB4967" s="1"/>
      <c r="AC4967" s="1"/>
      <c r="AD4967" s="1"/>
      <c r="AE4967" s="1"/>
      <c r="AF4967" s="1"/>
      <c r="AG4967" s="1"/>
      <c r="AH4967" s="1"/>
    </row>
    <row r="4968" ht="12.75" hidden="1" customHeight="1" outlineLevel="1">
      <c r="A4968" s="17">
        <v>41899.0</v>
      </c>
      <c r="B4968" s="1"/>
      <c r="C4968" s="1" t="s">
        <v>429</v>
      </c>
      <c r="D4968" s="74"/>
      <c r="E4968" s="67"/>
      <c r="F4968" s="75"/>
      <c r="G4968" s="67"/>
      <c r="H4968" s="68"/>
      <c r="I4968" s="76"/>
      <c r="J4968" s="67"/>
      <c r="K4968" s="7" t="s">
        <v>2031</v>
      </c>
      <c r="L4968" s="77"/>
      <c r="M4968" s="79"/>
      <c r="N4968" s="1"/>
      <c r="O4968" s="1"/>
      <c r="P4968" s="1"/>
      <c r="Q4968" s="1"/>
      <c r="R4968" s="1"/>
      <c r="S4968" s="1"/>
      <c r="T4968" s="1"/>
      <c r="U4968" s="1"/>
      <c r="V4968" s="1"/>
      <c r="W4968" s="1"/>
      <c r="X4968" s="1"/>
      <c r="Y4968" s="1"/>
      <c r="Z4968" s="1"/>
      <c r="AA4968" s="1"/>
      <c r="AB4968" s="1"/>
      <c r="AC4968" s="1"/>
      <c r="AD4968" s="1"/>
      <c r="AE4968" s="1"/>
      <c r="AF4968" s="1"/>
      <c r="AG4968" s="1"/>
      <c r="AH4968" s="1"/>
    </row>
    <row r="4969" ht="12.75" hidden="1" customHeight="1" outlineLevel="1">
      <c r="A4969" s="17">
        <v>41899.0</v>
      </c>
      <c r="B4969" s="1"/>
      <c r="C4969" s="1" t="s">
        <v>431</v>
      </c>
      <c r="D4969" s="74"/>
      <c r="E4969" s="67"/>
      <c r="F4969" s="75"/>
      <c r="G4969" s="67"/>
      <c r="H4969" s="68"/>
      <c r="I4969" s="76"/>
      <c r="J4969" s="67"/>
      <c r="K4969" s="7" t="s">
        <v>1126</v>
      </c>
      <c r="L4969" s="77"/>
      <c r="M4969" s="79"/>
      <c r="N4969" s="1"/>
      <c r="O4969" s="1"/>
      <c r="P4969" s="1"/>
      <c r="Q4969" s="1"/>
      <c r="R4969" s="1"/>
      <c r="S4969" s="1"/>
      <c r="T4969" s="1"/>
      <c r="U4969" s="1"/>
      <c r="V4969" s="1"/>
      <c r="W4969" s="1"/>
      <c r="X4969" s="1"/>
      <c r="Y4969" s="1"/>
      <c r="Z4969" s="1"/>
      <c r="AA4969" s="1"/>
      <c r="AB4969" s="1"/>
      <c r="AC4969" s="1"/>
      <c r="AD4969" s="1"/>
      <c r="AE4969" s="1"/>
      <c r="AF4969" s="1"/>
      <c r="AG4969" s="1"/>
      <c r="AH4969" s="1"/>
    </row>
    <row r="4970" ht="12.75" hidden="1" customHeight="1" outlineLevel="1">
      <c r="A4970" s="17">
        <v>41899.0</v>
      </c>
      <c r="B4970" s="1"/>
      <c r="C4970" s="1" t="s">
        <v>433</v>
      </c>
      <c r="D4970" s="74"/>
      <c r="E4970" s="67"/>
      <c r="F4970" s="75"/>
      <c r="G4970" s="67"/>
      <c r="H4970" s="68"/>
      <c r="I4970" s="76"/>
      <c r="J4970" s="67"/>
      <c r="K4970" s="7" t="s">
        <v>1103</v>
      </c>
      <c r="L4970" s="77"/>
      <c r="M4970" s="79"/>
      <c r="N4970" s="1"/>
      <c r="O4970" s="1"/>
      <c r="P4970" s="1"/>
      <c r="Q4970" s="1"/>
      <c r="R4970" s="1"/>
      <c r="S4970" s="1"/>
      <c r="T4970" s="1"/>
      <c r="U4970" s="1"/>
      <c r="V4970" s="1"/>
      <c r="W4970" s="1"/>
      <c r="X4970" s="1"/>
      <c r="Y4970" s="1"/>
      <c r="Z4970" s="1"/>
      <c r="AA4970" s="1"/>
      <c r="AB4970" s="1"/>
      <c r="AC4970" s="1"/>
      <c r="AD4970" s="1"/>
      <c r="AE4970" s="1"/>
      <c r="AF4970" s="1"/>
      <c r="AG4970" s="1"/>
      <c r="AH4970" s="1"/>
    </row>
    <row r="4971" ht="12.75" hidden="1" customHeight="1" outlineLevel="1">
      <c r="A4971" s="17">
        <v>41899.0</v>
      </c>
      <c r="B4971" s="1"/>
      <c r="C4971" s="1" t="s">
        <v>435</v>
      </c>
      <c r="D4971" s="74"/>
      <c r="E4971" s="67"/>
      <c r="F4971" s="75"/>
      <c r="G4971" s="67"/>
      <c r="H4971" s="68"/>
      <c r="I4971" s="76"/>
      <c r="J4971" s="67"/>
      <c r="K4971" s="7" t="s">
        <v>1507</v>
      </c>
      <c r="L4971" s="77"/>
      <c r="M4971" s="79"/>
      <c r="N4971" s="1"/>
      <c r="O4971" s="1"/>
      <c r="P4971" s="1"/>
      <c r="Q4971" s="1"/>
      <c r="R4971" s="1"/>
      <c r="S4971" s="1"/>
      <c r="T4971" s="1"/>
      <c r="U4971" s="1"/>
      <c r="V4971" s="1"/>
      <c r="W4971" s="1"/>
      <c r="X4971" s="1"/>
      <c r="Y4971" s="1"/>
      <c r="Z4971" s="1"/>
      <c r="AA4971" s="1"/>
      <c r="AB4971" s="1"/>
      <c r="AC4971" s="1"/>
      <c r="AD4971" s="1"/>
      <c r="AE4971" s="1"/>
      <c r="AF4971" s="1"/>
      <c r="AG4971" s="1"/>
      <c r="AH4971" s="1"/>
    </row>
    <row r="4972" ht="12.75" hidden="1" customHeight="1" outlineLevel="1">
      <c r="A4972" s="17">
        <v>41900.0</v>
      </c>
      <c r="B4972" s="1" t="s">
        <v>343</v>
      </c>
      <c r="C4972" s="1" t="s">
        <v>2142</v>
      </c>
      <c r="D4972" s="74">
        <v>200.0</v>
      </c>
      <c r="E4972" s="67">
        <v>24.57</v>
      </c>
      <c r="F4972" s="75">
        <v>0.3958333333333333</v>
      </c>
      <c r="G4972" s="67" t="s">
        <v>453</v>
      </c>
      <c r="H4972" s="68">
        <v>1.0</v>
      </c>
      <c r="I4972" s="76"/>
      <c r="J4972" s="67">
        <f>IF(B4972="SLD",D4972*E4972,-D4972*E4972)-H4972</f>
        <v>-4915</v>
      </c>
      <c r="K4972" s="7"/>
      <c r="L4972" s="70"/>
      <c r="M4972" s="79"/>
      <c r="N4972" s="1"/>
      <c r="O4972" s="1"/>
      <c r="P4972" s="1"/>
      <c r="Q4972" s="1"/>
      <c r="R4972" s="1"/>
      <c r="S4972" s="1"/>
      <c r="T4972" s="1"/>
      <c r="U4972" s="1"/>
      <c r="V4972" s="1"/>
      <c r="W4972" s="1"/>
      <c r="X4972" s="1"/>
      <c r="Y4972" s="1"/>
      <c r="Z4972" s="1"/>
      <c r="AA4972" s="1"/>
      <c r="AB4972" s="1"/>
      <c r="AC4972" s="1"/>
      <c r="AD4972" s="1"/>
      <c r="AE4972" s="1"/>
      <c r="AF4972" s="1"/>
      <c r="AG4972" s="1"/>
      <c r="AH4972" s="1"/>
    </row>
    <row r="4973" ht="12.75" hidden="1" customHeight="1" outlineLevel="1">
      <c r="A4973" s="17">
        <v>41900.0</v>
      </c>
      <c r="B4973" s="1"/>
      <c r="C4973" s="1" t="s">
        <v>339</v>
      </c>
      <c r="D4973" s="74"/>
      <c r="E4973" s="67"/>
      <c r="F4973" s="75"/>
      <c r="G4973" s="67"/>
      <c r="H4973" s="68"/>
      <c r="I4973" s="76"/>
      <c r="J4973" s="67"/>
      <c r="K4973" s="7" t="s">
        <v>2155</v>
      </c>
      <c r="L4973" s="77"/>
      <c r="M4973" s="79"/>
      <c r="N4973" s="1"/>
      <c r="O4973" s="1"/>
      <c r="P4973" s="1"/>
      <c r="Q4973" s="1"/>
      <c r="R4973" s="1"/>
      <c r="S4973" s="1"/>
      <c r="T4973" s="1"/>
      <c r="U4973" s="1"/>
      <c r="V4973" s="1"/>
      <c r="W4973" s="1"/>
      <c r="X4973" s="1"/>
      <c r="Y4973" s="1"/>
      <c r="Z4973" s="1"/>
      <c r="AA4973" s="1"/>
      <c r="AB4973" s="1"/>
      <c r="AC4973" s="1"/>
      <c r="AD4973" s="1"/>
      <c r="AE4973" s="1"/>
      <c r="AF4973" s="1"/>
      <c r="AG4973" s="1"/>
      <c r="AH4973" s="1"/>
    </row>
    <row r="4974" ht="12.75" hidden="1" customHeight="1" outlineLevel="1">
      <c r="A4974" s="17">
        <v>41900.0</v>
      </c>
      <c r="B4974" s="1"/>
      <c r="C4974" s="1" t="s">
        <v>429</v>
      </c>
      <c r="D4974" s="74"/>
      <c r="E4974" s="67"/>
      <c r="F4974" s="75"/>
      <c r="G4974" s="67"/>
      <c r="H4974" s="68"/>
      <c r="I4974" s="76"/>
      <c r="J4974" s="67"/>
      <c r="K4974" s="7" t="s">
        <v>2031</v>
      </c>
      <c r="L4974" s="77"/>
      <c r="M4974" s="79"/>
      <c r="N4974" s="1"/>
      <c r="O4974" s="1"/>
      <c r="P4974" s="1"/>
      <c r="Q4974" s="1"/>
      <c r="R4974" s="1"/>
      <c r="S4974" s="1"/>
      <c r="T4974" s="1"/>
      <c r="U4974" s="1"/>
      <c r="V4974" s="1"/>
      <c r="W4974" s="1"/>
      <c r="X4974" s="1"/>
      <c r="Y4974" s="1"/>
      <c r="Z4974" s="1"/>
      <c r="AA4974" s="1"/>
      <c r="AB4974" s="1"/>
      <c r="AC4974" s="1"/>
      <c r="AD4974" s="1"/>
      <c r="AE4974" s="1"/>
      <c r="AF4974" s="1"/>
      <c r="AG4974" s="1"/>
      <c r="AH4974" s="1"/>
    </row>
    <row r="4975" ht="12.75" hidden="1" customHeight="1" outlineLevel="1">
      <c r="A4975" s="17">
        <v>41900.0</v>
      </c>
      <c r="B4975" s="1"/>
      <c r="C4975" s="1" t="s">
        <v>431</v>
      </c>
      <c r="D4975" s="74"/>
      <c r="E4975" s="67"/>
      <c r="F4975" s="75"/>
      <c r="G4975" s="67"/>
      <c r="H4975" s="68"/>
      <c r="I4975" s="76"/>
      <c r="J4975" s="67"/>
      <c r="K4975" s="7" t="s">
        <v>1126</v>
      </c>
      <c r="L4975" s="77"/>
      <c r="M4975" s="79"/>
      <c r="N4975" s="1"/>
      <c r="O4975" s="1"/>
      <c r="P4975" s="1"/>
      <c r="Q4975" s="1"/>
      <c r="R4975" s="1"/>
      <c r="S4975" s="1"/>
      <c r="T4975" s="1"/>
      <c r="U4975" s="1"/>
      <c r="V4975" s="1"/>
      <c r="W4975" s="1"/>
      <c r="X4975" s="1"/>
      <c r="Y4975" s="1"/>
      <c r="Z4975" s="1"/>
      <c r="AA4975" s="1"/>
      <c r="AB4975" s="1"/>
      <c r="AC4975" s="1"/>
      <c r="AD4975" s="1"/>
      <c r="AE4975" s="1"/>
      <c r="AF4975" s="1"/>
      <c r="AG4975" s="1"/>
      <c r="AH4975" s="1"/>
    </row>
    <row r="4976" ht="12.75" hidden="1" customHeight="1" outlineLevel="1">
      <c r="A4976" s="17">
        <v>41900.0</v>
      </c>
      <c r="B4976" s="1"/>
      <c r="C4976" s="1" t="s">
        <v>433</v>
      </c>
      <c r="D4976" s="74"/>
      <c r="E4976" s="67"/>
      <c r="F4976" s="75"/>
      <c r="G4976" s="67"/>
      <c r="H4976" s="68"/>
      <c r="I4976" s="76"/>
      <c r="J4976" s="67"/>
      <c r="K4976" s="7" t="s">
        <v>1103</v>
      </c>
      <c r="L4976" s="77"/>
      <c r="M4976" s="79"/>
      <c r="N4976" s="1"/>
      <c r="O4976" s="1"/>
      <c r="P4976" s="1"/>
      <c r="Q4976" s="1"/>
      <c r="R4976" s="1"/>
      <c r="S4976" s="1"/>
      <c r="T4976" s="1"/>
      <c r="U4976" s="1"/>
      <c r="V4976" s="1"/>
      <c r="W4976" s="1"/>
      <c r="X4976" s="1"/>
      <c r="Y4976" s="1"/>
      <c r="Z4976" s="1"/>
      <c r="AA4976" s="1"/>
      <c r="AB4976" s="1"/>
      <c r="AC4976" s="1"/>
      <c r="AD4976" s="1"/>
      <c r="AE4976" s="1"/>
      <c r="AF4976" s="1"/>
      <c r="AG4976" s="1"/>
      <c r="AH4976" s="1"/>
    </row>
    <row r="4977" ht="12.75" hidden="1" customHeight="1" outlineLevel="1">
      <c r="A4977" s="17">
        <v>41900.0</v>
      </c>
      <c r="B4977" s="1"/>
      <c r="C4977" s="1" t="s">
        <v>435</v>
      </c>
      <c r="D4977" s="74"/>
      <c r="E4977" s="67"/>
      <c r="F4977" s="75"/>
      <c r="G4977" s="67"/>
      <c r="H4977" s="68"/>
      <c r="I4977" s="76"/>
      <c r="J4977" s="67"/>
      <c r="K4977" s="7" t="s">
        <v>1507</v>
      </c>
      <c r="L4977" s="77"/>
      <c r="M4977" s="79"/>
      <c r="N4977" s="1"/>
      <c r="O4977" s="1"/>
      <c r="P4977" s="1"/>
      <c r="Q4977" s="1"/>
      <c r="R4977" s="1"/>
      <c r="S4977" s="1"/>
      <c r="T4977" s="1"/>
      <c r="U4977" s="1"/>
      <c r="V4977" s="1"/>
      <c r="W4977" s="1"/>
      <c r="X4977" s="1"/>
      <c r="Y4977" s="1"/>
      <c r="Z4977" s="1"/>
      <c r="AA4977" s="1"/>
      <c r="AB4977" s="1"/>
      <c r="AC4977" s="1"/>
      <c r="AD4977" s="1"/>
      <c r="AE4977" s="1"/>
      <c r="AF4977" s="1"/>
      <c r="AG4977" s="1"/>
      <c r="AH4977" s="1"/>
    </row>
    <row r="4978" ht="12.75" hidden="1" customHeight="1" outlineLevel="1">
      <c r="A4978" s="17">
        <v>41904.0</v>
      </c>
      <c r="B4978" s="1"/>
      <c r="C4978" s="1" t="s">
        <v>339</v>
      </c>
      <c r="D4978" s="74"/>
      <c r="E4978" s="67"/>
      <c r="F4978" s="75"/>
      <c r="G4978" s="67"/>
      <c r="H4978" s="68"/>
      <c r="I4978" s="76"/>
      <c r="J4978" s="67"/>
      <c r="K4978" s="7" t="s">
        <v>2156</v>
      </c>
      <c r="L4978" s="77"/>
      <c r="M4978" s="79"/>
      <c r="N4978" s="1"/>
      <c r="O4978" s="1"/>
      <c r="P4978" s="1"/>
      <c r="Q4978" s="1"/>
      <c r="R4978" s="1"/>
      <c r="S4978" s="1"/>
      <c r="T4978" s="1"/>
      <c r="U4978" s="1"/>
      <c r="V4978" s="1"/>
      <c r="W4978" s="1"/>
      <c r="X4978" s="1"/>
      <c r="Y4978" s="1"/>
      <c r="Z4978" s="1"/>
      <c r="AA4978" s="1"/>
      <c r="AB4978" s="1"/>
      <c r="AC4978" s="1"/>
      <c r="AD4978" s="1"/>
      <c r="AE4978" s="1"/>
      <c r="AF4978" s="1"/>
      <c r="AG4978" s="1"/>
      <c r="AH4978" s="1"/>
    </row>
    <row r="4979" ht="12.75" hidden="1" customHeight="1" outlineLevel="1">
      <c r="A4979" s="17">
        <v>41904.0</v>
      </c>
      <c r="B4979" s="1"/>
      <c r="C4979" s="1" t="s">
        <v>429</v>
      </c>
      <c r="D4979" s="74"/>
      <c r="E4979" s="67"/>
      <c r="F4979" s="75"/>
      <c r="G4979" s="67"/>
      <c r="H4979" s="68"/>
      <c r="I4979" s="76"/>
      <c r="J4979" s="67"/>
      <c r="K4979" s="7" t="s">
        <v>2031</v>
      </c>
      <c r="L4979" s="77"/>
      <c r="M4979" s="79"/>
      <c r="N4979" s="1"/>
      <c r="O4979" s="1"/>
      <c r="P4979" s="1"/>
      <c r="Q4979" s="1"/>
      <c r="R4979" s="1"/>
      <c r="S4979" s="1"/>
      <c r="T4979" s="1"/>
      <c r="U4979" s="1"/>
      <c r="V4979" s="1"/>
      <c r="W4979" s="1"/>
      <c r="X4979" s="1"/>
      <c r="Y4979" s="1"/>
      <c r="Z4979" s="1"/>
      <c r="AA4979" s="1"/>
      <c r="AB4979" s="1"/>
      <c r="AC4979" s="1"/>
      <c r="AD4979" s="1"/>
      <c r="AE4979" s="1"/>
      <c r="AF4979" s="1"/>
      <c r="AG4979" s="1"/>
      <c r="AH4979" s="1"/>
    </row>
    <row r="4980" ht="12.75" hidden="1" customHeight="1" outlineLevel="1">
      <c r="A4980" s="17">
        <v>41904.0</v>
      </c>
      <c r="B4980" s="1"/>
      <c r="C4980" s="1" t="s">
        <v>431</v>
      </c>
      <c r="D4980" s="74"/>
      <c r="E4980" s="67"/>
      <c r="F4980" s="75"/>
      <c r="G4980" s="67"/>
      <c r="H4980" s="68"/>
      <c r="I4980" s="76"/>
      <c r="J4980" s="67"/>
      <c r="K4980" s="7" t="s">
        <v>1126</v>
      </c>
      <c r="L4980" s="77"/>
      <c r="M4980" s="79"/>
      <c r="N4980" s="1"/>
      <c r="O4980" s="1"/>
      <c r="P4980" s="1"/>
      <c r="Q4980" s="1"/>
      <c r="R4980" s="1"/>
      <c r="S4980" s="1"/>
      <c r="T4980" s="1"/>
      <c r="U4980" s="1"/>
      <c r="V4980" s="1"/>
      <c r="W4980" s="1"/>
      <c r="X4980" s="1"/>
      <c r="Y4980" s="1"/>
      <c r="Z4980" s="1"/>
      <c r="AA4980" s="1"/>
      <c r="AB4980" s="1"/>
      <c r="AC4980" s="1"/>
      <c r="AD4980" s="1"/>
      <c r="AE4980" s="1"/>
      <c r="AF4980" s="1"/>
      <c r="AG4980" s="1"/>
      <c r="AH4980" s="1"/>
    </row>
    <row r="4981" ht="12.75" hidden="1" customHeight="1" outlineLevel="1">
      <c r="A4981" s="17">
        <v>41904.0</v>
      </c>
      <c r="B4981" s="1"/>
      <c r="C4981" s="1" t="s">
        <v>433</v>
      </c>
      <c r="D4981" s="74"/>
      <c r="E4981" s="67"/>
      <c r="F4981" s="75"/>
      <c r="G4981" s="67"/>
      <c r="H4981" s="68"/>
      <c r="I4981" s="76"/>
      <c r="J4981" s="67"/>
      <c r="K4981" s="7" t="s">
        <v>1103</v>
      </c>
      <c r="L4981" s="77"/>
      <c r="M4981" s="79"/>
      <c r="N4981" s="1"/>
      <c r="O4981" s="1"/>
      <c r="P4981" s="1"/>
      <c r="Q4981" s="1"/>
      <c r="R4981" s="1"/>
      <c r="S4981" s="1"/>
      <c r="T4981" s="1"/>
      <c r="U4981" s="1"/>
      <c r="V4981" s="1"/>
      <c r="W4981" s="1"/>
      <c r="X4981" s="1"/>
      <c r="Y4981" s="1"/>
      <c r="Z4981" s="1"/>
      <c r="AA4981" s="1"/>
      <c r="AB4981" s="1"/>
      <c r="AC4981" s="1"/>
      <c r="AD4981" s="1"/>
      <c r="AE4981" s="1"/>
      <c r="AF4981" s="1"/>
      <c r="AG4981" s="1"/>
      <c r="AH4981" s="1"/>
    </row>
    <row r="4982" ht="12.75" hidden="1" customHeight="1" outlineLevel="1">
      <c r="A4982" s="17">
        <v>41904.0</v>
      </c>
      <c r="B4982" s="1"/>
      <c r="C4982" s="1" t="s">
        <v>435</v>
      </c>
      <c r="D4982" s="74"/>
      <c r="E4982" s="67"/>
      <c r="F4982" s="75"/>
      <c r="G4982" s="67"/>
      <c r="H4982" s="68"/>
      <c r="I4982" s="76"/>
      <c r="J4982" s="67"/>
      <c r="K4982" s="7" t="s">
        <v>1507</v>
      </c>
      <c r="L4982" s="77"/>
      <c r="M4982" s="79"/>
      <c r="N4982" s="1"/>
      <c r="O4982" s="1"/>
      <c r="P4982" s="1"/>
      <c r="Q4982" s="1"/>
      <c r="R4982" s="1"/>
      <c r="S4982" s="1"/>
      <c r="T4982" s="1"/>
      <c r="U4982" s="1"/>
      <c r="V4982" s="1"/>
      <c r="W4982" s="1"/>
      <c r="X4982" s="1"/>
      <c r="Y4982" s="1"/>
      <c r="Z4982" s="1"/>
      <c r="AA4982" s="1"/>
      <c r="AB4982" s="1"/>
      <c r="AC4982" s="1"/>
      <c r="AD4982" s="1"/>
      <c r="AE4982" s="1"/>
      <c r="AF4982" s="1"/>
      <c r="AG4982" s="1"/>
      <c r="AH4982" s="1"/>
    </row>
    <row r="4983" ht="12.75" hidden="1" customHeight="1" outlineLevel="1">
      <c r="A4983" s="17">
        <v>41905.0</v>
      </c>
      <c r="B4983" s="1" t="s">
        <v>343</v>
      </c>
      <c r="C4983" s="1" t="s">
        <v>1152</v>
      </c>
      <c r="D4983" s="74">
        <v>450.0</v>
      </c>
      <c r="E4983" s="67">
        <v>65.048</v>
      </c>
      <c r="F4983" s="75">
        <v>41905.40388888889</v>
      </c>
      <c r="G4983" s="67" t="s">
        <v>453</v>
      </c>
      <c r="H4983" s="68">
        <v>1.8</v>
      </c>
      <c r="I4983" s="76"/>
      <c r="J4983" s="67">
        <f t="shared" ref="J4983:J4985" si="309">IF(B4983="SLD",D4983*E4983,-D4983*E4983)-H4983</f>
        <v>-29273.4</v>
      </c>
      <c r="K4983" s="7"/>
      <c r="L4983" s="70"/>
      <c r="M4983" s="79"/>
      <c r="N4983" s="1"/>
      <c r="O4983" s="1"/>
      <c r="P4983" s="1"/>
      <c r="Q4983" s="1"/>
      <c r="R4983" s="1"/>
      <c r="S4983" s="1"/>
      <c r="T4983" s="1"/>
      <c r="U4983" s="1"/>
      <c r="V4983" s="1"/>
      <c r="W4983" s="1"/>
      <c r="X4983" s="1"/>
      <c r="Y4983" s="1"/>
      <c r="Z4983" s="1"/>
      <c r="AA4983" s="1"/>
      <c r="AB4983" s="1"/>
      <c r="AC4983" s="1"/>
      <c r="AD4983" s="1"/>
      <c r="AE4983" s="1"/>
      <c r="AF4983" s="1"/>
      <c r="AG4983" s="1"/>
      <c r="AH4983" s="1"/>
    </row>
    <row r="4984" ht="12.75" hidden="1" customHeight="1" outlineLevel="1">
      <c r="A4984" s="17">
        <v>41905.0</v>
      </c>
      <c r="B4984" s="1" t="s">
        <v>343</v>
      </c>
      <c r="C4984" s="1" t="s">
        <v>2157</v>
      </c>
      <c r="D4984" s="74">
        <v>300.0</v>
      </c>
      <c r="E4984" s="67">
        <v>88.5178</v>
      </c>
      <c r="F4984" s="75">
        <v>41905.404502314814</v>
      </c>
      <c r="G4984" s="67" t="s">
        <v>453</v>
      </c>
      <c r="H4984" s="68">
        <v>1.2</v>
      </c>
      <c r="I4984" s="76"/>
      <c r="J4984" s="67">
        <f t="shared" si="309"/>
        <v>-26556.54</v>
      </c>
      <c r="K4984" s="7"/>
      <c r="L4984" s="70"/>
      <c r="M4984" s="79"/>
      <c r="N4984" s="1"/>
      <c r="O4984" s="1"/>
      <c r="P4984" s="1"/>
      <c r="Q4984" s="1"/>
      <c r="R4984" s="1"/>
      <c r="S4984" s="1"/>
      <c r="T4984" s="1"/>
      <c r="U4984" s="1"/>
      <c r="V4984" s="1"/>
      <c r="W4984" s="1"/>
      <c r="X4984" s="1"/>
      <c r="Y4984" s="1"/>
      <c r="Z4984" s="1"/>
      <c r="AA4984" s="1"/>
      <c r="AB4984" s="1"/>
      <c r="AC4984" s="1"/>
      <c r="AD4984" s="1"/>
      <c r="AE4984" s="1"/>
      <c r="AF4984" s="1"/>
      <c r="AG4984" s="1"/>
      <c r="AH4984" s="1"/>
    </row>
    <row r="4985" ht="12.75" hidden="1" customHeight="1" outlineLevel="1">
      <c r="A4985" s="17">
        <v>41906.0</v>
      </c>
      <c r="B4985" s="1" t="s">
        <v>343</v>
      </c>
      <c r="C4985" s="1" t="s">
        <v>2142</v>
      </c>
      <c r="D4985" s="74">
        <v>200.0</v>
      </c>
      <c r="E4985" s="67">
        <v>24.908</v>
      </c>
      <c r="F4985" s="75">
        <v>0.41731481481481486</v>
      </c>
      <c r="G4985" s="67" t="s">
        <v>453</v>
      </c>
      <c r="H4985" s="68">
        <v>1.0</v>
      </c>
      <c r="I4985" s="76"/>
      <c r="J4985" s="67">
        <f t="shared" si="309"/>
        <v>-4982.6</v>
      </c>
      <c r="K4985" s="7"/>
      <c r="L4985" s="70"/>
      <c r="M4985" s="79"/>
      <c r="N4985" s="1"/>
      <c r="O4985" s="1"/>
      <c r="P4985" s="1"/>
      <c r="Q4985" s="1"/>
      <c r="R4985" s="1"/>
      <c r="S4985" s="1"/>
      <c r="T4985" s="1"/>
      <c r="U4985" s="1"/>
      <c r="V4985" s="1"/>
      <c r="W4985" s="1"/>
      <c r="X4985" s="1"/>
      <c r="Y4985" s="1"/>
      <c r="Z4985" s="1"/>
      <c r="AA4985" s="1"/>
      <c r="AB4985" s="1"/>
      <c r="AC4985" s="1"/>
      <c r="AD4985" s="1"/>
      <c r="AE4985" s="1"/>
      <c r="AF4985" s="1"/>
      <c r="AG4985" s="1"/>
      <c r="AH4985" s="1"/>
    </row>
    <row r="4986" ht="12.75" hidden="1" customHeight="1" outlineLevel="1">
      <c r="A4986" s="17">
        <v>41906.0</v>
      </c>
      <c r="B4986" s="1"/>
      <c r="C4986" s="1" t="s">
        <v>339</v>
      </c>
      <c r="D4986" s="74"/>
      <c r="E4986" s="67"/>
      <c r="F4986" s="75"/>
      <c r="G4986" s="67"/>
      <c r="H4986" s="68"/>
      <c r="I4986" s="76"/>
      <c r="J4986" s="67"/>
      <c r="K4986" s="7" t="s">
        <v>2158</v>
      </c>
      <c r="L4986" s="77"/>
      <c r="M4986" s="79"/>
      <c r="N4986" s="1"/>
      <c r="O4986" s="1"/>
      <c r="P4986" s="1"/>
      <c r="Q4986" s="1"/>
      <c r="R4986" s="1"/>
      <c r="S4986" s="1"/>
      <c r="T4986" s="1"/>
      <c r="U4986" s="1"/>
      <c r="V4986" s="1"/>
      <c r="W4986" s="1"/>
      <c r="X4986" s="1"/>
      <c r="Y4986" s="1"/>
      <c r="Z4986" s="1"/>
      <c r="AA4986" s="1"/>
      <c r="AB4986" s="1"/>
      <c r="AC4986" s="1"/>
      <c r="AD4986" s="1"/>
      <c r="AE4986" s="1"/>
      <c r="AF4986" s="1"/>
      <c r="AG4986" s="1"/>
      <c r="AH4986" s="1"/>
    </row>
    <row r="4987" ht="12.75" hidden="1" customHeight="1" outlineLevel="1">
      <c r="A4987" s="17">
        <v>41906.0</v>
      </c>
      <c r="B4987" s="1"/>
      <c r="C4987" s="1" t="s">
        <v>429</v>
      </c>
      <c r="D4987" s="74"/>
      <c r="E4987" s="67"/>
      <c r="F4987" s="75"/>
      <c r="G4987" s="67"/>
      <c r="H4987" s="68"/>
      <c r="I4987" s="76"/>
      <c r="J4987" s="67"/>
      <c r="K4987" s="7" t="s">
        <v>2031</v>
      </c>
      <c r="L4987" s="77"/>
      <c r="M4987" s="79"/>
      <c r="N4987" s="1"/>
      <c r="O4987" s="1"/>
      <c r="P4987" s="1"/>
      <c r="Q4987" s="1"/>
      <c r="R4987" s="1"/>
      <c r="S4987" s="1"/>
      <c r="T4987" s="1"/>
      <c r="U4987" s="1"/>
      <c r="V4987" s="1"/>
      <c r="W4987" s="1"/>
      <c r="X4987" s="1"/>
      <c r="Y4987" s="1"/>
      <c r="Z4987" s="1"/>
      <c r="AA4987" s="1"/>
      <c r="AB4987" s="1"/>
      <c r="AC4987" s="1"/>
      <c r="AD4987" s="1"/>
      <c r="AE4987" s="1"/>
      <c r="AF4987" s="1"/>
      <c r="AG4987" s="1"/>
      <c r="AH4987" s="1"/>
    </row>
    <row r="4988" ht="12.75" hidden="1" customHeight="1" outlineLevel="1">
      <c r="A4988" s="17">
        <v>41906.0</v>
      </c>
      <c r="B4988" s="1"/>
      <c r="C4988" s="1" t="s">
        <v>431</v>
      </c>
      <c r="D4988" s="74"/>
      <c r="E4988" s="67"/>
      <c r="F4988" s="75"/>
      <c r="G4988" s="67"/>
      <c r="H4988" s="68"/>
      <c r="I4988" s="76"/>
      <c r="J4988" s="67"/>
      <c r="K4988" s="7" t="s">
        <v>1126</v>
      </c>
      <c r="L4988" s="77"/>
      <c r="M4988" s="79"/>
      <c r="N4988" s="1"/>
      <c r="O4988" s="1"/>
      <c r="P4988" s="1"/>
      <c r="Q4988" s="1"/>
      <c r="R4988" s="1"/>
      <c r="S4988" s="1"/>
      <c r="T4988" s="1"/>
      <c r="U4988" s="1"/>
      <c r="V4988" s="1"/>
      <c r="W4988" s="1"/>
      <c r="X4988" s="1"/>
      <c r="Y4988" s="1"/>
      <c r="Z4988" s="1"/>
      <c r="AA4988" s="1"/>
      <c r="AB4988" s="1"/>
      <c r="AC4988" s="1"/>
      <c r="AD4988" s="1"/>
      <c r="AE4988" s="1"/>
      <c r="AF4988" s="1"/>
      <c r="AG4988" s="1"/>
      <c r="AH4988" s="1"/>
    </row>
    <row r="4989" ht="12.75" hidden="1" customHeight="1" outlineLevel="1">
      <c r="A4989" s="17">
        <v>41906.0</v>
      </c>
      <c r="B4989" s="1"/>
      <c r="C4989" s="1" t="s">
        <v>433</v>
      </c>
      <c r="D4989" s="74"/>
      <c r="E4989" s="67"/>
      <c r="F4989" s="75"/>
      <c r="G4989" s="67"/>
      <c r="H4989" s="68"/>
      <c r="I4989" s="76"/>
      <c r="J4989" s="67"/>
      <c r="K4989" s="7" t="s">
        <v>1103</v>
      </c>
      <c r="L4989" s="77"/>
      <c r="M4989" s="79"/>
      <c r="N4989" s="1"/>
      <c r="O4989" s="1"/>
      <c r="P4989" s="1"/>
      <c r="Q4989" s="1"/>
      <c r="R4989" s="1"/>
      <c r="S4989" s="1"/>
      <c r="T4989" s="1"/>
      <c r="U4989" s="1"/>
      <c r="V4989" s="1"/>
      <c r="W4989" s="1"/>
      <c r="X4989" s="1"/>
      <c r="Y4989" s="1"/>
      <c r="Z4989" s="1"/>
      <c r="AA4989" s="1"/>
      <c r="AB4989" s="1"/>
      <c r="AC4989" s="1"/>
      <c r="AD4989" s="1"/>
      <c r="AE4989" s="1"/>
      <c r="AF4989" s="1"/>
      <c r="AG4989" s="1"/>
      <c r="AH4989" s="1"/>
    </row>
    <row r="4990" ht="12.75" hidden="1" customHeight="1" outlineLevel="1">
      <c r="A4990" s="17">
        <v>41906.0</v>
      </c>
      <c r="B4990" s="1"/>
      <c r="C4990" s="1" t="s">
        <v>435</v>
      </c>
      <c r="D4990" s="74"/>
      <c r="E4990" s="67"/>
      <c r="F4990" s="75"/>
      <c r="G4990" s="67"/>
      <c r="H4990" s="68"/>
      <c r="I4990" s="76"/>
      <c r="J4990" s="67"/>
      <c r="K4990" s="7" t="s">
        <v>1507</v>
      </c>
      <c r="L4990" s="77"/>
      <c r="M4990" s="79"/>
      <c r="N4990" s="1"/>
      <c r="O4990" s="1"/>
      <c r="P4990" s="1"/>
      <c r="Q4990" s="1"/>
      <c r="R4990" s="1"/>
      <c r="S4990" s="1"/>
      <c r="T4990" s="1"/>
      <c r="U4990" s="1"/>
      <c r="V4990" s="1"/>
      <c r="W4990" s="1"/>
      <c r="X4990" s="1"/>
      <c r="Y4990" s="1"/>
      <c r="Z4990" s="1"/>
      <c r="AA4990" s="1"/>
      <c r="AB4990" s="1"/>
      <c r="AC4990" s="1"/>
      <c r="AD4990" s="1"/>
      <c r="AE4990" s="1"/>
      <c r="AF4990" s="1"/>
      <c r="AG4990" s="1"/>
      <c r="AH4990" s="1"/>
    </row>
    <row r="4991" ht="12.75" hidden="1" customHeight="1" outlineLevel="1">
      <c r="A4991" s="17">
        <v>41908.0</v>
      </c>
      <c r="B4991" s="1"/>
      <c r="C4991" s="1" t="s">
        <v>339</v>
      </c>
      <c r="D4991" s="74"/>
      <c r="E4991" s="67"/>
      <c r="F4991" s="75"/>
      <c r="G4991" s="67"/>
      <c r="H4991" s="68"/>
      <c r="I4991" s="76"/>
      <c r="J4991" s="67"/>
      <c r="K4991" s="7" t="s">
        <v>2159</v>
      </c>
      <c r="L4991" s="77"/>
      <c r="M4991" s="79"/>
      <c r="N4991" s="1"/>
      <c r="O4991" s="1"/>
      <c r="P4991" s="1"/>
      <c r="Q4991" s="1"/>
      <c r="R4991" s="1"/>
      <c r="S4991" s="1"/>
      <c r="T4991" s="1"/>
      <c r="U4991" s="1"/>
      <c r="V4991" s="1"/>
      <c r="W4991" s="1"/>
      <c r="X4991" s="1"/>
      <c r="Y4991" s="1"/>
      <c r="Z4991" s="1"/>
      <c r="AA4991" s="1"/>
      <c r="AB4991" s="1"/>
      <c r="AC4991" s="1"/>
      <c r="AD4991" s="1"/>
      <c r="AE4991" s="1"/>
      <c r="AF4991" s="1"/>
      <c r="AG4991" s="1"/>
      <c r="AH4991" s="1"/>
    </row>
    <row r="4992" ht="12.75" hidden="1" customHeight="1" outlineLevel="1">
      <c r="A4992" s="17">
        <v>41908.0</v>
      </c>
      <c r="B4992" s="1"/>
      <c r="C4992" s="1" t="s">
        <v>429</v>
      </c>
      <c r="D4992" s="74"/>
      <c r="E4992" s="67"/>
      <c r="F4992" s="75"/>
      <c r="G4992" s="67"/>
      <c r="H4992" s="68"/>
      <c r="I4992" s="76"/>
      <c r="J4992" s="67"/>
      <c r="K4992" s="7" t="s">
        <v>2031</v>
      </c>
      <c r="L4992" s="77"/>
      <c r="M4992" s="79"/>
      <c r="N4992" s="1"/>
      <c r="O4992" s="1"/>
      <c r="P4992" s="1"/>
      <c r="Q4992" s="1"/>
      <c r="R4992" s="1"/>
      <c r="S4992" s="1"/>
      <c r="T4992" s="1"/>
      <c r="U4992" s="1"/>
      <c r="V4992" s="1"/>
      <c r="W4992" s="1"/>
      <c r="X4992" s="1"/>
      <c r="Y4992" s="1"/>
      <c r="Z4992" s="1"/>
      <c r="AA4992" s="1"/>
      <c r="AB4992" s="1"/>
      <c r="AC4992" s="1"/>
      <c r="AD4992" s="1"/>
      <c r="AE4992" s="1"/>
      <c r="AF4992" s="1"/>
      <c r="AG4992" s="1"/>
      <c r="AH4992" s="1"/>
    </row>
    <row r="4993" ht="12.75" hidden="1" customHeight="1" outlineLevel="1">
      <c r="A4993" s="17">
        <v>41908.0</v>
      </c>
      <c r="B4993" s="1"/>
      <c r="C4993" s="1" t="s">
        <v>431</v>
      </c>
      <c r="D4993" s="74"/>
      <c r="E4993" s="67"/>
      <c r="F4993" s="75"/>
      <c r="G4993" s="67"/>
      <c r="H4993" s="68"/>
      <c r="I4993" s="76"/>
      <c r="J4993" s="67"/>
      <c r="K4993" s="7" t="s">
        <v>1126</v>
      </c>
      <c r="L4993" s="77"/>
      <c r="M4993" s="79"/>
      <c r="N4993" s="1"/>
      <c r="O4993" s="1"/>
      <c r="P4993" s="1"/>
      <c r="Q4993" s="1"/>
      <c r="R4993" s="1"/>
      <c r="S4993" s="1"/>
      <c r="T4993" s="1"/>
      <c r="U4993" s="1"/>
      <c r="V4993" s="1"/>
      <c r="W4993" s="1"/>
      <c r="X4993" s="1"/>
      <c r="Y4993" s="1"/>
      <c r="Z4993" s="1"/>
      <c r="AA4993" s="1"/>
      <c r="AB4993" s="1"/>
      <c r="AC4993" s="1"/>
      <c r="AD4993" s="1"/>
      <c r="AE4993" s="1"/>
      <c r="AF4993" s="1"/>
      <c r="AG4993" s="1"/>
      <c r="AH4993" s="1"/>
    </row>
    <row r="4994" ht="12.75" hidden="1" customHeight="1" outlineLevel="1">
      <c r="A4994" s="17">
        <v>41908.0</v>
      </c>
      <c r="B4994" s="1"/>
      <c r="C4994" s="1" t="s">
        <v>433</v>
      </c>
      <c r="D4994" s="74"/>
      <c r="E4994" s="67"/>
      <c r="F4994" s="75"/>
      <c r="G4994" s="67"/>
      <c r="H4994" s="68"/>
      <c r="I4994" s="76"/>
      <c r="J4994" s="67"/>
      <c r="K4994" s="7" t="s">
        <v>1103</v>
      </c>
      <c r="L4994" s="77"/>
      <c r="M4994" s="79"/>
      <c r="N4994" s="1"/>
      <c r="O4994" s="1"/>
      <c r="P4994" s="1"/>
      <c r="Q4994" s="1"/>
      <c r="R4994" s="1"/>
      <c r="S4994" s="1"/>
      <c r="T4994" s="1"/>
      <c r="U4994" s="1"/>
      <c r="V4994" s="1"/>
      <c r="W4994" s="1"/>
      <c r="X4994" s="1"/>
      <c r="Y4994" s="1"/>
      <c r="Z4994" s="1"/>
      <c r="AA4994" s="1"/>
      <c r="AB4994" s="1"/>
      <c r="AC4994" s="1"/>
      <c r="AD4994" s="1"/>
      <c r="AE4994" s="1"/>
      <c r="AF4994" s="1"/>
      <c r="AG4994" s="1"/>
      <c r="AH4994" s="1"/>
    </row>
    <row r="4995" ht="12.75" hidden="1" customHeight="1" outlineLevel="1">
      <c r="A4995" s="17">
        <v>41908.0</v>
      </c>
      <c r="B4995" s="1"/>
      <c r="C4995" s="1" t="s">
        <v>435</v>
      </c>
      <c r="D4995" s="74"/>
      <c r="E4995" s="67"/>
      <c r="F4995" s="75"/>
      <c r="G4995" s="67"/>
      <c r="H4995" s="68"/>
      <c r="I4995" s="76"/>
      <c r="J4995" s="67"/>
      <c r="K4995" s="7" t="s">
        <v>1507</v>
      </c>
      <c r="L4995" s="77"/>
      <c r="M4995" s="79"/>
      <c r="N4995" s="1"/>
      <c r="O4995" s="1"/>
      <c r="P4995" s="1"/>
      <c r="Q4995" s="1"/>
      <c r="R4995" s="1"/>
      <c r="S4995" s="1"/>
      <c r="T4995" s="1"/>
      <c r="U4995" s="1"/>
      <c r="V4995" s="1"/>
      <c r="W4995" s="1"/>
      <c r="X4995" s="1"/>
      <c r="Y4995" s="1"/>
      <c r="Z4995" s="1"/>
      <c r="AA4995" s="1"/>
      <c r="AB4995" s="1"/>
      <c r="AC4995" s="1"/>
      <c r="AD4995" s="1"/>
      <c r="AE4995" s="1"/>
      <c r="AF4995" s="1"/>
      <c r="AG4995" s="1"/>
      <c r="AH4995" s="1"/>
    </row>
    <row r="4996" ht="12.75" hidden="1" customHeight="1" outlineLevel="1">
      <c r="A4996" s="17">
        <v>41909.0</v>
      </c>
      <c r="B4996" s="1"/>
      <c r="C4996" s="1" t="s">
        <v>339</v>
      </c>
      <c r="D4996" s="74"/>
      <c r="E4996" s="67"/>
      <c r="F4996" s="75"/>
      <c r="G4996" s="67"/>
      <c r="H4996" s="68"/>
      <c r="I4996" s="76"/>
      <c r="J4996" s="67"/>
      <c r="K4996" s="7" t="s">
        <v>2160</v>
      </c>
      <c r="L4996" s="77"/>
      <c r="M4996" s="79"/>
      <c r="N4996" s="1"/>
      <c r="O4996" s="1"/>
      <c r="P4996" s="1"/>
      <c r="Q4996" s="1"/>
      <c r="R4996" s="1"/>
      <c r="S4996" s="1"/>
      <c r="T4996" s="1"/>
      <c r="U4996" s="1"/>
      <c r="V4996" s="1"/>
      <c r="W4996" s="1"/>
      <c r="X4996" s="1"/>
      <c r="Y4996" s="1"/>
      <c r="Z4996" s="1"/>
      <c r="AA4996" s="1"/>
      <c r="AB4996" s="1"/>
      <c r="AC4996" s="1"/>
      <c r="AD4996" s="1"/>
      <c r="AE4996" s="1"/>
      <c r="AF4996" s="1"/>
      <c r="AG4996" s="1"/>
      <c r="AH4996" s="1"/>
    </row>
    <row r="4997" ht="12.75" hidden="1" customHeight="1" outlineLevel="1">
      <c r="A4997" s="17">
        <v>41909.0</v>
      </c>
      <c r="B4997" s="1"/>
      <c r="C4997" s="1" t="s">
        <v>429</v>
      </c>
      <c r="D4997" s="74"/>
      <c r="E4997" s="67"/>
      <c r="F4997" s="75"/>
      <c r="G4997" s="67"/>
      <c r="H4997" s="68"/>
      <c r="I4997" s="76"/>
      <c r="J4997" s="67"/>
      <c r="K4997" s="7" t="s">
        <v>2031</v>
      </c>
      <c r="L4997" s="77"/>
      <c r="M4997" s="79"/>
      <c r="N4997" s="1"/>
      <c r="O4997" s="1"/>
      <c r="P4997" s="1"/>
      <c r="Q4997" s="1"/>
      <c r="R4997" s="1"/>
      <c r="S4997" s="1"/>
      <c r="T4997" s="1"/>
      <c r="U4997" s="1"/>
      <c r="V4997" s="1"/>
      <c r="W4997" s="1"/>
      <c r="X4997" s="1"/>
      <c r="Y4997" s="1"/>
      <c r="Z4997" s="1"/>
      <c r="AA4997" s="1"/>
      <c r="AB4997" s="1"/>
      <c r="AC4997" s="1"/>
      <c r="AD4997" s="1"/>
      <c r="AE4997" s="1"/>
      <c r="AF4997" s="1"/>
      <c r="AG4997" s="1"/>
      <c r="AH4997" s="1"/>
    </row>
    <row r="4998" ht="12.75" hidden="1" customHeight="1" outlineLevel="1">
      <c r="A4998" s="17">
        <v>41909.0</v>
      </c>
      <c r="B4998" s="1"/>
      <c r="C4998" s="1" t="s">
        <v>431</v>
      </c>
      <c r="D4998" s="74"/>
      <c r="E4998" s="67"/>
      <c r="F4998" s="75"/>
      <c r="G4998" s="67"/>
      <c r="H4998" s="68"/>
      <c r="I4998" s="76"/>
      <c r="J4998" s="67"/>
      <c r="K4998" s="7" t="s">
        <v>1126</v>
      </c>
      <c r="L4998" s="77"/>
      <c r="M4998" s="79"/>
      <c r="N4998" s="1"/>
      <c r="O4998" s="1"/>
      <c r="P4998" s="1"/>
      <c r="Q4998" s="1"/>
      <c r="R4998" s="1"/>
      <c r="S4998" s="1"/>
      <c r="T4998" s="1"/>
      <c r="U4998" s="1"/>
      <c r="V4998" s="1"/>
      <c r="W4998" s="1"/>
      <c r="X4998" s="1"/>
      <c r="Y4998" s="1"/>
      <c r="Z4998" s="1"/>
      <c r="AA4998" s="1"/>
      <c r="AB4998" s="1"/>
      <c r="AC4998" s="1"/>
      <c r="AD4998" s="1"/>
      <c r="AE4998" s="1"/>
      <c r="AF4998" s="1"/>
      <c r="AG4998" s="1"/>
      <c r="AH4998" s="1"/>
    </row>
    <row r="4999" ht="12.75" hidden="1" customHeight="1" outlineLevel="1">
      <c r="A4999" s="17">
        <v>41909.0</v>
      </c>
      <c r="B4999" s="1"/>
      <c r="C4999" s="1" t="s">
        <v>433</v>
      </c>
      <c r="D4999" s="74"/>
      <c r="E4999" s="67"/>
      <c r="F4999" s="75"/>
      <c r="G4999" s="67"/>
      <c r="H4999" s="68"/>
      <c r="I4999" s="76"/>
      <c r="J4999" s="67"/>
      <c r="K4999" s="7" t="s">
        <v>1103</v>
      </c>
      <c r="L4999" s="77"/>
      <c r="M4999" s="79"/>
      <c r="N4999" s="1"/>
      <c r="O4999" s="1"/>
      <c r="P4999" s="1"/>
      <c r="Q4999" s="1"/>
      <c r="R4999" s="1"/>
      <c r="S4999" s="1"/>
      <c r="T4999" s="1"/>
      <c r="U4999" s="1"/>
      <c r="V4999" s="1"/>
      <c r="W4999" s="1"/>
      <c r="X4999" s="1"/>
      <c r="Y4999" s="1"/>
      <c r="Z4999" s="1"/>
      <c r="AA4999" s="1"/>
      <c r="AB4999" s="1"/>
      <c r="AC4999" s="1"/>
      <c r="AD4999" s="1"/>
      <c r="AE4999" s="1"/>
      <c r="AF4999" s="1"/>
      <c r="AG4999" s="1"/>
      <c r="AH4999" s="1"/>
    </row>
    <row r="5000" ht="12.75" hidden="1" customHeight="1" outlineLevel="1">
      <c r="A5000" s="17">
        <v>41909.0</v>
      </c>
      <c r="B5000" s="1"/>
      <c r="C5000" s="1" t="s">
        <v>435</v>
      </c>
      <c r="D5000" s="74"/>
      <c r="E5000" s="67"/>
      <c r="F5000" s="75"/>
      <c r="G5000" s="67"/>
      <c r="H5000" s="68"/>
      <c r="I5000" s="76"/>
      <c r="J5000" s="67"/>
      <c r="K5000" s="7" t="s">
        <v>1507</v>
      </c>
      <c r="L5000" s="77"/>
      <c r="M5000" s="79"/>
      <c r="N5000" s="1"/>
      <c r="O5000" s="1"/>
      <c r="P5000" s="1"/>
      <c r="Q5000" s="1"/>
      <c r="R5000" s="1"/>
      <c r="S5000" s="1"/>
      <c r="T5000" s="1"/>
      <c r="U5000" s="1"/>
      <c r="V5000" s="1"/>
      <c r="W5000" s="1"/>
      <c r="X5000" s="1"/>
      <c r="Y5000" s="1"/>
      <c r="Z5000" s="1"/>
      <c r="AA5000" s="1"/>
      <c r="AB5000" s="1"/>
      <c r="AC5000" s="1"/>
      <c r="AD5000" s="1"/>
      <c r="AE5000" s="1"/>
      <c r="AF5000" s="1"/>
      <c r="AG5000" s="1"/>
      <c r="AH5000" s="1"/>
    </row>
    <row r="5001" ht="12.75" hidden="1" customHeight="1" outlineLevel="1">
      <c r="A5001" s="17">
        <v>41910.0</v>
      </c>
      <c r="B5001" s="1"/>
      <c r="C5001" s="1" t="s">
        <v>339</v>
      </c>
      <c r="D5001" s="74"/>
      <c r="E5001" s="67"/>
      <c r="F5001" s="75"/>
      <c r="G5001" s="67"/>
      <c r="H5001" s="68"/>
      <c r="I5001" s="76"/>
      <c r="J5001" s="67"/>
      <c r="K5001" s="7" t="s">
        <v>2161</v>
      </c>
      <c r="L5001" s="77"/>
      <c r="M5001" s="79"/>
      <c r="N5001" s="1"/>
      <c r="O5001" s="1"/>
      <c r="P5001" s="1"/>
      <c r="Q5001" s="1"/>
      <c r="R5001" s="1"/>
      <c r="S5001" s="1"/>
      <c r="T5001" s="1"/>
      <c r="U5001" s="1"/>
      <c r="V5001" s="1"/>
      <c r="W5001" s="1"/>
      <c r="X5001" s="1"/>
      <c r="Y5001" s="1"/>
      <c r="Z5001" s="1"/>
      <c r="AA5001" s="1"/>
      <c r="AB5001" s="1"/>
      <c r="AC5001" s="1"/>
      <c r="AD5001" s="1"/>
      <c r="AE5001" s="1"/>
      <c r="AF5001" s="1"/>
      <c r="AG5001" s="1"/>
      <c r="AH5001" s="1"/>
    </row>
    <row r="5002" ht="12.75" hidden="1" customHeight="1" outlineLevel="1">
      <c r="A5002" s="17">
        <v>41910.0</v>
      </c>
      <c r="B5002" s="1"/>
      <c r="C5002" s="1" t="s">
        <v>429</v>
      </c>
      <c r="D5002" s="74"/>
      <c r="E5002" s="67"/>
      <c r="F5002" s="75"/>
      <c r="G5002" s="67"/>
      <c r="H5002" s="68"/>
      <c r="I5002" s="76"/>
      <c r="J5002" s="67"/>
      <c r="K5002" s="7" t="s">
        <v>2031</v>
      </c>
      <c r="L5002" s="77"/>
      <c r="M5002" s="79"/>
      <c r="N5002" s="1"/>
      <c r="O5002" s="1"/>
      <c r="P5002" s="1"/>
      <c r="Q5002" s="1"/>
      <c r="R5002" s="1"/>
      <c r="S5002" s="1"/>
      <c r="T5002" s="1"/>
      <c r="U5002" s="1"/>
      <c r="V5002" s="1"/>
      <c r="W5002" s="1"/>
      <c r="X5002" s="1"/>
      <c r="Y5002" s="1"/>
      <c r="Z5002" s="1"/>
      <c r="AA5002" s="1"/>
      <c r="AB5002" s="1"/>
      <c r="AC5002" s="1"/>
      <c r="AD5002" s="1"/>
      <c r="AE5002" s="1"/>
      <c r="AF5002" s="1"/>
      <c r="AG5002" s="1"/>
      <c r="AH5002" s="1"/>
    </row>
    <row r="5003" ht="12.75" hidden="1" customHeight="1" outlineLevel="1">
      <c r="A5003" s="17">
        <v>41910.0</v>
      </c>
      <c r="B5003" s="1"/>
      <c r="C5003" s="1" t="s">
        <v>431</v>
      </c>
      <c r="D5003" s="74"/>
      <c r="E5003" s="67"/>
      <c r="F5003" s="75"/>
      <c r="G5003" s="67"/>
      <c r="H5003" s="68"/>
      <c r="I5003" s="76"/>
      <c r="J5003" s="67"/>
      <c r="K5003" s="7" t="s">
        <v>1126</v>
      </c>
      <c r="L5003" s="77"/>
      <c r="M5003" s="79"/>
      <c r="N5003" s="1"/>
      <c r="O5003" s="1"/>
      <c r="P5003" s="1"/>
      <c r="Q5003" s="1"/>
      <c r="R5003" s="1"/>
      <c r="S5003" s="1"/>
      <c r="T5003" s="1"/>
      <c r="U5003" s="1"/>
      <c r="V5003" s="1"/>
      <c r="W5003" s="1"/>
      <c r="X5003" s="1"/>
      <c r="Y5003" s="1"/>
      <c r="Z5003" s="1"/>
      <c r="AA5003" s="1"/>
      <c r="AB5003" s="1"/>
      <c r="AC5003" s="1"/>
      <c r="AD5003" s="1"/>
      <c r="AE5003" s="1"/>
      <c r="AF5003" s="1"/>
      <c r="AG5003" s="1"/>
      <c r="AH5003" s="1"/>
    </row>
    <row r="5004" ht="12.75" hidden="1" customHeight="1" outlineLevel="1">
      <c r="A5004" s="17">
        <v>41910.0</v>
      </c>
      <c r="B5004" s="1"/>
      <c r="C5004" s="1" t="s">
        <v>433</v>
      </c>
      <c r="D5004" s="74"/>
      <c r="E5004" s="67"/>
      <c r="F5004" s="75"/>
      <c r="G5004" s="67"/>
      <c r="H5004" s="68"/>
      <c r="I5004" s="76"/>
      <c r="J5004" s="67"/>
      <c r="K5004" s="7" t="s">
        <v>1103</v>
      </c>
      <c r="L5004" s="77"/>
      <c r="M5004" s="79"/>
      <c r="N5004" s="1"/>
      <c r="O5004" s="1"/>
      <c r="P5004" s="1"/>
      <c r="Q5004" s="1"/>
      <c r="R5004" s="1"/>
      <c r="S5004" s="1"/>
      <c r="T5004" s="1"/>
      <c r="U5004" s="1"/>
      <c r="V5004" s="1"/>
      <c r="W5004" s="1"/>
      <c r="X5004" s="1"/>
      <c r="Y5004" s="1"/>
      <c r="Z5004" s="1"/>
      <c r="AA5004" s="1"/>
      <c r="AB5004" s="1"/>
      <c r="AC5004" s="1"/>
      <c r="AD5004" s="1"/>
      <c r="AE5004" s="1"/>
      <c r="AF5004" s="1"/>
      <c r="AG5004" s="1"/>
      <c r="AH5004" s="1"/>
    </row>
    <row r="5005" ht="12.75" hidden="1" customHeight="1" outlineLevel="1">
      <c r="A5005" s="17">
        <v>41910.0</v>
      </c>
      <c r="B5005" s="1"/>
      <c r="C5005" s="1" t="s">
        <v>435</v>
      </c>
      <c r="D5005" s="74"/>
      <c r="E5005" s="67"/>
      <c r="F5005" s="75"/>
      <c r="G5005" s="67"/>
      <c r="H5005" s="68"/>
      <c r="I5005" s="76"/>
      <c r="J5005" s="67"/>
      <c r="K5005" s="7" t="s">
        <v>1507</v>
      </c>
      <c r="L5005" s="77"/>
      <c r="M5005" s="79"/>
      <c r="N5005" s="1"/>
      <c r="O5005" s="1"/>
      <c r="P5005" s="1"/>
      <c r="Q5005" s="1"/>
      <c r="R5005" s="1"/>
      <c r="S5005" s="1"/>
      <c r="T5005" s="1"/>
      <c r="U5005" s="1"/>
      <c r="V5005" s="1"/>
      <c r="W5005" s="1"/>
      <c r="X5005" s="1"/>
      <c r="Y5005" s="1"/>
      <c r="Z5005" s="1"/>
      <c r="AA5005" s="1"/>
      <c r="AB5005" s="1"/>
      <c r="AC5005" s="1"/>
      <c r="AD5005" s="1"/>
      <c r="AE5005" s="1"/>
      <c r="AF5005" s="1"/>
      <c r="AG5005" s="1"/>
      <c r="AH5005" s="1"/>
    </row>
    <row r="5006" ht="12.75" hidden="1" customHeight="1" outlineLevel="1">
      <c r="A5006" s="17">
        <v>41911.0</v>
      </c>
      <c r="B5006" s="1" t="s">
        <v>347</v>
      </c>
      <c r="C5006" s="1" t="s">
        <v>1483</v>
      </c>
      <c r="D5006" s="74">
        <v>500.0</v>
      </c>
      <c r="E5006" s="67">
        <v>2.865</v>
      </c>
      <c r="F5006" s="75">
        <v>0.6586111111111111</v>
      </c>
      <c r="G5006" s="67" t="s">
        <v>453</v>
      </c>
      <c r="H5006" s="68">
        <v>2.53</v>
      </c>
      <c r="I5006" s="76"/>
      <c r="J5006" s="67">
        <f t="shared" ref="J5006:J5009" si="310">IF(B5006="SLD",D5006*E5006,-D5006*E5006)-H5006</f>
        <v>1429.97</v>
      </c>
      <c r="K5006" s="7"/>
      <c r="L5006" s="70"/>
      <c r="M5006" s="79"/>
      <c r="N5006" s="1"/>
      <c r="O5006" s="1"/>
      <c r="P5006" s="1"/>
      <c r="Q5006" s="1"/>
      <c r="R5006" s="1"/>
      <c r="S5006" s="1"/>
      <c r="T5006" s="1"/>
      <c r="U5006" s="1"/>
      <c r="V5006" s="1"/>
      <c r="W5006" s="1"/>
      <c r="X5006" s="1"/>
      <c r="Y5006" s="1"/>
      <c r="Z5006" s="1"/>
      <c r="AA5006" s="1"/>
      <c r="AB5006" s="1"/>
      <c r="AC5006" s="1"/>
      <c r="AD5006" s="1"/>
      <c r="AE5006" s="1"/>
      <c r="AF5006" s="1"/>
      <c r="AG5006" s="1"/>
      <c r="AH5006" s="1"/>
    </row>
    <row r="5007" ht="12.75" hidden="1" customHeight="1" outlineLevel="1">
      <c r="A5007" s="17">
        <v>41911.0</v>
      </c>
      <c r="B5007" s="1" t="s">
        <v>347</v>
      </c>
      <c r="C5007" s="1" t="s">
        <v>1485</v>
      </c>
      <c r="D5007" s="74">
        <v>500.0</v>
      </c>
      <c r="E5007" s="67">
        <v>10.31</v>
      </c>
      <c r="F5007" s="75">
        <v>0.6582638888888889</v>
      </c>
      <c r="G5007" s="67" t="s">
        <v>453</v>
      </c>
      <c r="H5007" s="68">
        <v>2.61</v>
      </c>
      <c r="I5007" s="76"/>
      <c r="J5007" s="67">
        <f t="shared" si="310"/>
        <v>5152.39</v>
      </c>
      <c r="K5007" s="7"/>
      <c r="L5007" s="70"/>
      <c r="M5007" s="79"/>
      <c r="N5007" s="1"/>
      <c r="O5007" s="1"/>
      <c r="P5007" s="1"/>
      <c r="Q5007" s="1"/>
      <c r="R5007" s="1"/>
      <c r="S5007" s="1"/>
      <c r="T5007" s="1"/>
      <c r="U5007" s="1"/>
      <c r="V5007" s="1"/>
      <c r="W5007" s="1"/>
      <c r="X5007" s="1"/>
      <c r="Y5007" s="1"/>
      <c r="Z5007" s="1"/>
      <c r="AA5007" s="1"/>
      <c r="AB5007" s="1"/>
      <c r="AC5007" s="1"/>
      <c r="AD5007" s="1"/>
      <c r="AE5007" s="1"/>
      <c r="AF5007" s="1"/>
      <c r="AG5007" s="1"/>
      <c r="AH5007" s="1"/>
    </row>
    <row r="5008" ht="12.75" hidden="1" customHeight="1" outlineLevel="1">
      <c r="A5008" s="17">
        <v>41911.0</v>
      </c>
      <c r="B5008" s="1" t="s">
        <v>347</v>
      </c>
      <c r="C5008" s="1" t="s">
        <v>604</v>
      </c>
      <c r="D5008" s="74">
        <v>500.0</v>
      </c>
      <c r="E5008" s="67">
        <v>2.88</v>
      </c>
      <c r="F5008" s="75">
        <v>0.658449074074074</v>
      </c>
      <c r="G5008" s="67" t="s">
        <v>453</v>
      </c>
      <c r="H5008" s="68">
        <v>2.53</v>
      </c>
      <c r="I5008" s="76"/>
      <c r="J5008" s="67">
        <f t="shared" si="310"/>
        <v>1437.47</v>
      </c>
      <c r="K5008" s="7"/>
      <c r="L5008" s="70"/>
      <c r="M5008" s="79"/>
      <c r="N5008" s="1"/>
      <c r="O5008" s="1"/>
      <c r="P5008" s="1"/>
      <c r="Q5008" s="1"/>
      <c r="R5008" s="1"/>
      <c r="S5008" s="1"/>
      <c r="T5008" s="1"/>
      <c r="U5008" s="1"/>
      <c r="V5008" s="1"/>
      <c r="W5008" s="1"/>
      <c r="X5008" s="1"/>
      <c r="Y5008" s="1"/>
      <c r="Z5008" s="1"/>
      <c r="AA5008" s="1"/>
      <c r="AB5008" s="1"/>
      <c r="AC5008" s="1"/>
      <c r="AD5008" s="1"/>
      <c r="AE5008" s="1"/>
      <c r="AF5008" s="1"/>
      <c r="AG5008" s="1"/>
      <c r="AH5008" s="1"/>
    </row>
    <row r="5009" ht="12.75" hidden="1" customHeight="1" outlineLevel="1">
      <c r="A5009" s="17">
        <v>41911.0</v>
      </c>
      <c r="B5009" s="1" t="s">
        <v>347</v>
      </c>
      <c r="C5009" s="1" t="s">
        <v>1092</v>
      </c>
      <c r="D5009" s="74">
        <v>500.0</v>
      </c>
      <c r="E5009" s="67">
        <v>9.42</v>
      </c>
      <c r="F5009" s="75">
        <v>0.6558796296296296</v>
      </c>
      <c r="G5009" s="67" t="s">
        <v>453</v>
      </c>
      <c r="H5009" s="68">
        <v>2.6</v>
      </c>
      <c r="I5009" s="76"/>
      <c r="J5009" s="67">
        <f t="shared" si="310"/>
        <v>4707.4</v>
      </c>
      <c r="K5009" s="7"/>
      <c r="L5009" s="70"/>
      <c r="M5009" s="79"/>
      <c r="N5009" s="1"/>
      <c r="O5009" s="1"/>
      <c r="P5009" s="1"/>
      <c r="Q5009" s="1"/>
      <c r="R5009" s="1"/>
      <c r="S5009" s="1"/>
      <c r="T5009" s="1"/>
      <c r="U5009" s="1"/>
      <c r="V5009" s="1"/>
      <c r="W5009" s="1"/>
      <c r="X5009" s="1"/>
      <c r="Y5009" s="1"/>
      <c r="Z5009" s="1"/>
      <c r="AA5009" s="1"/>
      <c r="AB5009" s="1"/>
      <c r="AC5009" s="1"/>
      <c r="AD5009" s="1"/>
      <c r="AE5009" s="1"/>
      <c r="AF5009" s="1"/>
      <c r="AG5009" s="1"/>
      <c r="AH5009" s="1"/>
    </row>
    <row r="5010" ht="12.75" hidden="1" customHeight="1" outlineLevel="1">
      <c r="A5010" s="17">
        <v>41911.0</v>
      </c>
      <c r="B5010" s="1"/>
      <c r="C5010" s="1" t="s">
        <v>339</v>
      </c>
      <c r="D5010" s="74"/>
      <c r="E5010" s="67"/>
      <c r="F5010" s="75"/>
      <c r="G5010" s="67"/>
      <c r="H5010" s="68"/>
      <c r="I5010" s="76"/>
      <c r="J5010" s="67"/>
      <c r="K5010" s="7" t="s">
        <v>2162</v>
      </c>
      <c r="L5010" s="77"/>
      <c r="M5010" s="79"/>
      <c r="N5010" s="1"/>
      <c r="O5010" s="1"/>
      <c r="P5010" s="1"/>
      <c r="Q5010" s="1"/>
      <c r="R5010" s="1"/>
      <c r="S5010" s="1"/>
      <c r="T5010" s="1"/>
      <c r="U5010" s="1"/>
      <c r="V5010" s="1"/>
      <c r="W5010" s="1"/>
      <c r="X5010" s="1"/>
      <c r="Y5010" s="1"/>
      <c r="Z5010" s="1"/>
      <c r="AA5010" s="1"/>
      <c r="AB5010" s="1"/>
      <c r="AC5010" s="1"/>
      <c r="AD5010" s="1"/>
      <c r="AE5010" s="1"/>
      <c r="AF5010" s="1"/>
      <c r="AG5010" s="1"/>
      <c r="AH5010" s="1"/>
    </row>
    <row r="5011" ht="12.75" hidden="1" customHeight="1" outlineLevel="1">
      <c r="A5011" s="17">
        <v>41911.0</v>
      </c>
      <c r="B5011" s="1"/>
      <c r="C5011" s="1" t="s">
        <v>429</v>
      </c>
      <c r="D5011" s="74"/>
      <c r="E5011" s="67"/>
      <c r="F5011" s="75"/>
      <c r="G5011" s="67"/>
      <c r="H5011" s="68"/>
      <c r="I5011" s="76"/>
      <c r="J5011" s="67"/>
      <c r="K5011" s="7" t="s">
        <v>2031</v>
      </c>
      <c r="L5011" s="77"/>
      <c r="M5011" s="79"/>
      <c r="N5011" s="1"/>
      <c r="O5011" s="1"/>
      <c r="P5011" s="1"/>
      <c r="Q5011" s="1"/>
      <c r="R5011" s="1"/>
      <c r="S5011" s="1"/>
      <c r="T5011" s="1"/>
      <c r="U5011" s="1"/>
      <c r="V5011" s="1"/>
      <c r="W5011" s="1"/>
      <c r="X5011" s="1"/>
      <c r="Y5011" s="1"/>
      <c r="Z5011" s="1"/>
      <c r="AA5011" s="1"/>
      <c r="AB5011" s="1"/>
      <c r="AC5011" s="1"/>
      <c r="AD5011" s="1"/>
      <c r="AE5011" s="1"/>
      <c r="AF5011" s="1"/>
      <c r="AG5011" s="1"/>
      <c r="AH5011" s="1"/>
    </row>
    <row r="5012" ht="12.75" hidden="1" customHeight="1" outlineLevel="1">
      <c r="A5012" s="17">
        <v>41911.0</v>
      </c>
      <c r="B5012" s="1"/>
      <c r="C5012" s="1" t="s">
        <v>431</v>
      </c>
      <c r="D5012" s="74"/>
      <c r="E5012" s="67"/>
      <c r="F5012" s="75"/>
      <c r="G5012" s="67"/>
      <c r="H5012" s="68"/>
      <c r="I5012" s="76"/>
      <c r="J5012" s="67"/>
      <c r="K5012" s="7" t="s">
        <v>1126</v>
      </c>
      <c r="L5012" s="77"/>
      <c r="M5012" s="79"/>
      <c r="N5012" s="1"/>
      <c r="O5012" s="1"/>
      <c r="P5012" s="1"/>
      <c r="Q5012" s="1"/>
      <c r="R5012" s="1"/>
      <c r="S5012" s="1"/>
      <c r="T5012" s="1"/>
      <c r="U5012" s="1"/>
      <c r="V5012" s="1"/>
      <c r="W5012" s="1"/>
      <c r="X5012" s="1"/>
      <c r="Y5012" s="1"/>
      <c r="Z5012" s="1"/>
      <c r="AA5012" s="1"/>
      <c r="AB5012" s="1"/>
      <c r="AC5012" s="1"/>
      <c r="AD5012" s="1"/>
      <c r="AE5012" s="1"/>
      <c r="AF5012" s="1"/>
      <c r="AG5012" s="1"/>
      <c r="AH5012" s="1"/>
    </row>
    <row r="5013" ht="12.75" hidden="1" customHeight="1" outlineLevel="1">
      <c r="A5013" s="17">
        <v>41911.0</v>
      </c>
      <c r="B5013" s="1"/>
      <c r="C5013" s="1" t="s">
        <v>433</v>
      </c>
      <c r="D5013" s="74"/>
      <c r="E5013" s="67"/>
      <c r="F5013" s="75"/>
      <c r="G5013" s="67"/>
      <c r="H5013" s="68"/>
      <c r="I5013" s="76"/>
      <c r="J5013" s="67"/>
      <c r="K5013" s="7" t="s">
        <v>1103</v>
      </c>
      <c r="L5013" s="77"/>
      <c r="M5013" s="79"/>
      <c r="N5013" s="1"/>
      <c r="O5013" s="1"/>
      <c r="P5013" s="1"/>
      <c r="Q5013" s="1"/>
      <c r="R5013" s="1"/>
      <c r="S5013" s="1"/>
      <c r="T5013" s="1"/>
      <c r="U5013" s="1"/>
      <c r="V5013" s="1"/>
      <c r="W5013" s="1"/>
      <c r="X5013" s="1"/>
      <c r="Y5013" s="1"/>
      <c r="Z5013" s="1"/>
      <c r="AA5013" s="1"/>
      <c r="AB5013" s="1"/>
      <c r="AC5013" s="1"/>
      <c r="AD5013" s="1"/>
      <c r="AE5013" s="1"/>
      <c r="AF5013" s="1"/>
      <c r="AG5013" s="1"/>
      <c r="AH5013" s="1"/>
    </row>
    <row r="5014" ht="12.75" hidden="1" customHeight="1" outlineLevel="1">
      <c r="A5014" s="17">
        <v>41911.0</v>
      </c>
      <c r="B5014" s="1"/>
      <c r="C5014" s="1" t="s">
        <v>435</v>
      </c>
      <c r="D5014" s="74"/>
      <c r="E5014" s="67"/>
      <c r="F5014" s="75"/>
      <c r="G5014" s="67"/>
      <c r="H5014" s="68"/>
      <c r="I5014" s="76"/>
      <c r="J5014" s="67"/>
      <c r="K5014" s="7" t="s">
        <v>1507</v>
      </c>
      <c r="L5014" s="77"/>
      <c r="M5014" s="79"/>
      <c r="N5014" s="1"/>
      <c r="O5014" s="1"/>
      <c r="P5014" s="1"/>
      <c r="Q5014" s="1"/>
      <c r="R5014" s="1"/>
      <c r="S5014" s="1"/>
      <c r="T5014" s="1"/>
      <c r="U5014" s="1"/>
      <c r="V5014" s="1"/>
      <c r="W5014" s="1"/>
      <c r="X5014" s="1"/>
      <c r="Y5014" s="1"/>
      <c r="Z5014" s="1"/>
      <c r="AA5014" s="1"/>
      <c r="AB5014" s="1"/>
      <c r="AC5014" s="1"/>
      <c r="AD5014" s="1"/>
      <c r="AE5014" s="1"/>
      <c r="AF5014" s="1"/>
      <c r="AG5014" s="1"/>
      <c r="AH5014" s="1"/>
    </row>
    <row r="5015" ht="12.75" hidden="1" customHeight="1" outlineLevel="1">
      <c r="A5015" s="17">
        <v>41912.0</v>
      </c>
      <c r="B5015" s="1" t="s">
        <v>347</v>
      </c>
      <c r="C5015" s="1" t="s">
        <v>1382</v>
      </c>
      <c r="D5015" s="74">
        <v>200.0</v>
      </c>
      <c r="E5015" s="67">
        <v>130.48</v>
      </c>
      <c r="F5015" s="75">
        <v>0.6542592592592592</v>
      </c>
      <c r="G5015" s="67" t="s">
        <v>453</v>
      </c>
      <c r="H5015" s="68">
        <v>1.58</v>
      </c>
      <c r="I5015" s="76"/>
      <c r="J5015" s="67">
        <f t="shared" ref="J5015:J5031" si="311">IF(B5015="SLD",D5015*E5015,-D5015*E5015)-H5015</f>
        <v>26094.42</v>
      </c>
      <c r="K5015" s="7"/>
      <c r="L5015" s="70"/>
      <c r="M5015" s="79"/>
      <c r="N5015" s="1"/>
      <c r="O5015" s="1"/>
      <c r="P5015" s="1"/>
      <c r="Q5015" s="1"/>
      <c r="R5015" s="1"/>
      <c r="S5015" s="1"/>
      <c r="T5015" s="1"/>
      <c r="U5015" s="1"/>
      <c r="V5015" s="1"/>
      <c r="W5015" s="1"/>
      <c r="X5015" s="1"/>
      <c r="Y5015" s="1"/>
      <c r="Z5015" s="1"/>
      <c r="AA5015" s="1"/>
      <c r="AB5015" s="1"/>
      <c r="AC5015" s="1"/>
      <c r="AD5015" s="1"/>
      <c r="AE5015" s="1"/>
      <c r="AF5015" s="1"/>
      <c r="AG5015" s="1"/>
      <c r="AH5015" s="1"/>
    </row>
    <row r="5016" ht="12.75" hidden="1" customHeight="1" outlineLevel="1">
      <c r="A5016" s="17">
        <v>41912.0</v>
      </c>
      <c r="B5016" s="1" t="s">
        <v>347</v>
      </c>
      <c r="C5016" s="1" t="s">
        <v>1483</v>
      </c>
      <c r="D5016" s="74">
        <v>500.0</v>
      </c>
      <c r="E5016" s="67">
        <v>2.57</v>
      </c>
      <c r="F5016" s="75">
        <v>0.6493402777777778</v>
      </c>
      <c r="G5016" s="67" t="s">
        <v>453</v>
      </c>
      <c r="H5016" s="68">
        <v>2.53</v>
      </c>
      <c r="I5016" s="76"/>
      <c r="J5016" s="67">
        <f t="shared" si="311"/>
        <v>1282.47</v>
      </c>
      <c r="K5016" s="7"/>
      <c r="L5016" s="70"/>
      <c r="M5016" s="79"/>
      <c r="N5016" s="1"/>
      <c r="O5016" s="1"/>
      <c r="P5016" s="1"/>
      <c r="Q5016" s="1"/>
      <c r="R5016" s="1"/>
      <c r="S5016" s="1"/>
      <c r="T5016" s="1"/>
      <c r="U5016" s="1"/>
      <c r="V5016" s="1"/>
      <c r="W5016" s="1"/>
      <c r="X5016" s="1"/>
      <c r="Y5016" s="1"/>
      <c r="Z5016" s="1"/>
      <c r="AA5016" s="1"/>
      <c r="AB5016" s="1"/>
      <c r="AC5016" s="1"/>
      <c r="AD5016" s="1"/>
      <c r="AE5016" s="1"/>
      <c r="AF5016" s="1"/>
      <c r="AG5016" s="1"/>
      <c r="AH5016" s="1"/>
    </row>
    <row r="5017" ht="12.75" hidden="1" customHeight="1" outlineLevel="1">
      <c r="A5017" s="17">
        <v>41912.0</v>
      </c>
      <c r="B5017" s="1" t="s">
        <v>347</v>
      </c>
      <c r="C5017" s="1" t="s">
        <v>1483</v>
      </c>
      <c r="D5017" s="74">
        <v>500.0</v>
      </c>
      <c r="E5017" s="67">
        <v>2.57</v>
      </c>
      <c r="F5017" s="75">
        <v>0.656886574074074</v>
      </c>
      <c r="G5017" s="67" t="s">
        <v>453</v>
      </c>
      <c r="H5017" s="68">
        <v>2.53</v>
      </c>
      <c r="I5017" s="76"/>
      <c r="J5017" s="67">
        <f t="shared" si="311"/>
        <v>1282.47</v>
      </c>
      <c r="K5017" s="7"/>
      <c r="L5017" s="70"/>
      <c r="M5017" s="79"/>
      <c r="N5017" s="1"/>
      <c r="O5017" s="1"/>
      <c r="P5017" s="1"/>
      <c r="Q5017" s="1"/>
      <c r="R5017" s="1"/>
      <c r="S5017" s="1"/>
      <c r="T5017" s="1"/>
      <c r="U5017" s="1"/>
      <c r="V5017" s="1"/>
      <c r="W5017" s="1"/>
      <c r="X5017" s="1"/>
      <c r="Y5017" s="1"/>
      <c r="Z5017" s="1"/>
      <c r="AA5017" s="1"/>
      <c r="AB5017" s="1"/>
      <c r="AC5017" s="1"/>
      <c r="AD5017" s="1"/>
      <c r="AE5017" s="1"/>
      <c r="AF5017" s="1"/>
      <c r="AG5017" s="1"/>
      <c r="AH5017" s="1"/>
    </row>
    <row r="5018" ht="12.75" hidden="1" customHeight="1" outlineLevel="1">
      <c r="A5018" s="17">
        <v>41912.0</v>
      </c>
      <c r="B5018" s="1" t="s">
        <v>347</v>
      </c>
      <c r="C5018" s="1" t="s">
        <v>1485</v>
      </c>
      <c r="D5018" s="74">
        <v>500.0</v>
      </c>
      <c r="E5018" s="67">
        <v>10.16</v>
      </c>
      <c r="F5018" s="75">
        <v>0.6487384259259259</v>
      </c>
      <c r="G5018" s="67" t="s">
        <v>453</v>
      </c>
      <c r="H5018" s="68">
        <v>2.61</v>
      </c>
      <c r="I5018" s="76"/>
      <c r="J5018" s="67">
        <f t="shared" si="311"/>
        <v>5077.39</v>
      </c>
      <c r="K5018" s="7"/>
      <c r="L5018" s="70"/>
      <c r="M5018" s="79"/>
      <c r="N5018" s="1"/>
      <c r="O5018" s="1"/>
      <c r="P5018" s="1"/>
      <c r="Q5018" s="1"/>
      <c r="R5018" s="1"/>
      <c r="S5018" s="1"/>
      <c r="T5018" s="1"/>
      <c r="U5018" s="1"/>
      <c r="V5018" s="1"/>
      <c r="W5018" s="1"/>
      <c r="X5018" s="1"/>
      <c r="Y5018" s="1"/>
      <c r="Z5018" s="1"/>
      <c r="AA5018" s="1"/>
      <c r="AB5018" s="1"/>
      <c r="AC5018" s="1"/>
      <c r="AD5018" s="1"/>
      <c r="AE5018" s="1"/>
      <c r="AF5018" s="1"/>
      <c r="AG5018" s="1"/>
      <c r="AH5018" s="1"/>
    </row>
    <row r="5019" ht="12.75" hidden="1" customHeight="1" outlineLevel="1">
      <c r="A5019" s="17">
        <v>41912.0</v>
      </c>
      <c r="B5019" s="1" t="s">
        <v>347</v>
      </c>
      <c r="C5019" s="1" t="s">
        <v>1485</v>
      </c>
      <c r="D5019" s="74">
        <v>500.0</v>
      </c>
      <c r="E5019" s="67">
        <v>10.176</v>
      </c>
      <c r="F5019" s="75">
        <v>0.6569791666666667</v>
      </c>
      <c r="G5019" s="67" t="s">
        <v>453</v>
      </c>
      <c r="H5019" s="68">
        <v>2.61</v>
      </c>
      <c r="I5019" s="76"/>
      <c r="J5019" s="67">
        <f t="shared" si="311"/>
        <v>5085.39</v>
      </c>
      <c r="K5019" s="7"/>
      <c r="L5019" s="70"/>
      <c r="M5019" s="79"/>
      <c r="N5019" s="1"/>
      <c r="O5019" s="1"/>
      <c r="P5019" s="1"/>
      <c r="Q5019" s="1"/>
      <c r="R5019" s="1"/>
      <c r="S5019" s="1"/>
      <c r="T5019" s="1"/>
      <c r="U5019" s="1"/>
      <c r="V5019" s="1"/>
      <c r="W5019" s="1"/>
      <c r="X5019" s="1"/>
      <c r="Y5019" s="1"/>
      <c r="Z5019" s="1"/>
      <c r="AA5019" s="1"/>
      <c r="AB5019" s="1"/>
      <c r="AC5019" s="1"/>
      <c r="AD5019" s="1"/>
      <c r="AE5019" s="1"/>
      <c r="AF5019" s="1"/>
      <c r="AG5019" s="1"/>
      <c r="AH5019" s="1"/>
    </row>
    <row r="5020" ht="12.75" hidden="1" customHeight="1" outlineLevel="1">
      <c r="A5020" s="17">
        <v>41912.0</v>
      </c>
      <c r="B5020" s="1" t="s">
        <v>347</v>
      </c>
      <c r="C5020" s="1" t="s">
        <v>604</v>
      </c>
      <c r="D5020" s="74">
        <v>500.0</v>
      </c>
      <c r="E5020" s="67">
        <v>2.56</v>
      </c>
      <c r="F5020" s="75">
        <v>0.6489814814814815</v>
      </c>
      <c r="G5020" s="67" t="s">
        <v>453</v>
      </c>
      <c r="H5020" s="68">
        <v>2.53</v>
      </c>
      <c r="I5020" s="76"/>
      <c r="J5020" s="67">
        <f t="shared" si="311"/>
        <v>1277.47</v>
      </c>
      <c r="K5020" s="7"/>
      <c r="L5020" s="70"/>
      <c r="M5020" s="79"/>
      <c r="N5020" s="1"/>
      <c r="O5020" s="1"/>
      <c r="P5020" s="1"/>
      <c r="Q5020" s="1"/>
      <c r="R5020" s="1"/>
      <c r="S5020" s="1"/>
      <c r="T5020" s="1"/>
      <c r="U5020" s="1"/>
      <c r="V5020" s="1"/>
      <c r="W5020" s="1"/>
      <c r="X5020" s="1"/>
      <c r="Y5020" s="1"/>
      <c r="Z5020" s="1"/>
      <c r="AA5020" s="1"/>
      <c r="AB5020" s="1"/>
      <c r="AC5020" s="1"/>
      <c r="AD5020" s="1"/>
      <c r="AE5020" s="1"/>
      <c r="AF5020" s="1"/>
      <c r="AG5020" s="1"/>
      <c r="AH5020" s="1"/>
    </row>
    <row r="5021" ht="12.75" hidden="1" customHeight="1" outlineLevel="1">
      <c r="A5021" s="17">
        <v>41912.0</v>
      </c>
      <c r="B5021" s="1" t="s">
        <v>347</v>
      </c>
      <c r="C5021" s="1" t="s">
        <v>604</v>
      </c>
      <c r="D5021" s="74">
        <v>1000.0</v>
      </c>
      <c r="E5021" s="67">
        <v>2.57</v>
      </c>
      <c r="F5021" s="75">
        <v>0.6566550925925926</v>
      </c>
      <c r="G5021" s="67" t="s">
        <v>453</v>
      </c>
      <c r="H5021" s="68">
        <v>5.06</v>
      </c>
      <c r="I5021" s="76"/>
      <c r="J5021" s="67">
        <f t="shared" si="311"/>
        <v>2564.94</v>
      </c>
      <c r="K5021" s="7"/>
      <c r="L5021" s="70"/>
      <c r="M5021" s="79"/>
      <c r="N5021" s="1"/>
      <c r="O5021" s="1"/>
      <c r="P5021" s="1"/>
      <c r="Q5021" s="1"/>
      <c r="R5021" s="1"/>
      <c r="S5021" s="1"/>
      <c r="T5021" s="1"/>
      <c r="U5021" s="1"/>
      <c r="V5021" s="1"/>
      <c r="W5021" s="1"/>
      <c r="X5021" s="1"/>
      <c r="Y5021" s="1"/>
      <c r="Z5021" s="1"/>
      <c r="AA5021" s="1"/>
      <c r="AB5021" s="1"/>
      <c r="AC5021" s="1"/>
      <c r="AD5021" s="1"/>
      <c r="AE5021" s="1"/>
      <c r="AF5021" s="1"/>
      <c r="AG5021" s="1"/>
      <c r="AH5021" s="1"/>
    </row>
    <row r="5022" ht="12.75" hidden="1" customHeight="1" outlineLevel="1">
      <c r="A5022" s="17">
        <v>41912.0</v>
      </c>
      <c r="B5022" s="1" t="s">
        <v>347</v>
      </c>
      <c r="C5022" s="1" t="s">
        <v>1092</v>
      </c>
      <c r="D5022" s="74">
        <v>500.0</v>
      </c>
      <c r="E5022" s="67">
        <v>9.18</v>
      </c>
      <c r="F5022" s="75">
        <v>0.6547106481481482</v>
      </c>
      <c r="G5022" s="67" t="s">
        <v>453</v>
      </c>
      <c r="H5022" s="68">
        <v>2.6</v>
      </c>
      <c r="I5022" s="76"/>
      <c r="J5022" s="67">
        <f t="shared" si="311"/>
        <v>4587.4</v>
      </c>
      <c r="K5022" s="7"/>
      <c r="L5022" s="70"/>
      <c r="M5022" s="79"/>
      <c r="N5022" s="1"/>
      <c r="O5022" s="1"/>
      <c r="P5022" s="1"/>
      <c r="Q5022" s="1"/>
      <c r="R5022" s="1"/>
      <c r="S5022" s="1"/>
      <c r="T5022" s="1"/>
      <c r="U5022" s="1"/>
      <c r="V5022" s="1"/>
      <c r="W5022" s="1"/>
      <c r="X5022" s="1"/>
      <c r="Y5022" s="1"/>
      <c r="Z5022" s="1"/>
      <c r="AA5022" s="1"/>
      <c r="AB5022" s="1"/>
      <c r="AC5022" s="1"/>
      <c r="AD5022" s="1"/>
      <c r="AE5022" s="1"/>
      <c r="AF5022" s="1"/>
      <c r="AG5022" s="1"/>
      <c r="AH5022" s="1"/>
    </row>
    <row r="5023" ht="12.75" hidden="1" customHeight="1" outlineLevel="1">
      <c r="A5023" s="17">
        <v>41912.0</v>
      </c>
      <c r="B5023" s="1" t="s">
        <v>347</v>
      </c>
      <c r="C5023" s="1" t="s">
        <v>1092</v>
      </c>
      <c r="D5023" s="74">
        <v>1000.0</v>
      </c>
      <c r="E5023" s="67">
        <v>9.144</v>
      </c>
      <c r="F5023" s="75">
        <v>0.657650462962963</v>
      </c>
      <c r="G5023" s="67" t="s">
        <v>453</v>
      </c>
      <c r="H5023" s="68">
        <v>5.2</v>
      </c>
      <c r="I5023" s="76"/>
      <c r="J5023" s="67">
        <f t="shared" si="311"/>
        <v>9138.8</v>
      </c>
      <c r="K5023" s="7"/>
      <c r="L5023" s="70"/>
      <c r="M5023" s="79"/>
      <c r="N5023" s="1"/>
      <c r="O5023" s="1"/>
      <c r="P5023" s="1"/>
      <c r="Q5023" s="1"/>
      <c r="R5023" s="1"/>
      <c r="S5023" s="1"/>
      <c r="T5023" s="1"/>
      <c r="U5023" s="1"/>
      <c r="V5023" s="1"/>
      <c r="W5023" s="1"/>
      <c r="X5023" s="1"/>
      <c r="Y5023" s="1"/>
      <c r="Z5023" s="1"/>
      <c r="AA5023" s="1"/>
      <c r="AB5023" s="1"/>
      <c r="AC5023" s="1"/>
      <c r="AD5023" s="1"/>
      <c r="AE5023" s="1"/>
      <c r="AF5023" s="1"/>
      <c r="AG5023" s="1"/>
      <c r="AH5023" s="1"/>
    </row>
    <row r="5024" ht="12.75" hidden="1" customHeight="1" outlineLevel="1">
      <c r="A5024" s="17">
        <v>41912.0</v>
      </c>
      <c r="B5024" s="1" t="s">
        <v>343</v>
      </c>
      <c r="C5024" s="1" t="s">
        <v>2098</v>
      </c>
      <c r="D5024" s="74">
        <v>100.0</v>
      </c>
      <c r="E5024" s="67">
        <v>46.23</v>
      </c>
      <c r="F5024" s="75">
        <v>0.504849537037037</v>
      </c>
      <c r="G5024" s="67" t="s">
        <v>453</v>
      </c>
      <c r="H5024" s="68">
        <v>1.0</v>
      </c>
      <c r="I5024" s="76"/>
      <c r="J5024" s="67">
        <f t="shared" si="311"/>
        <v>-4624</v>
      </c>
      <c r="K5024" s="7"/>
      <c r="L5024" s="70"/>
      <c r="M5024" s="79"/>
      <c r="N5024" s="1"/>
      <c r="O5024" s="1"/>
      <c r="P5024" s="1"/>
      <c r="Q5024" s="1"/>
      <c r="R5024" s="1"/>
      <c r="S5024" s="1"/>
      <c r="T5024" s="1"/>
      <c r="U5024" s="1"/>
      <c r="V5024" s="1"/>
      <c r="W5024" s="1"/>
      <c r="X5024" s="1"/>
      <c r="Y5024" s="1"/>
      <c r="Z5024" s="1"/>
      <c r="AA5024" s="1"/>
      <c r="AB5024" s="1"/>
      <c r="AC5024" s="1"/>
      <c r="AD5024" s="1"/>
      <c r="AE5024" s="1"/>
      <c r="AF5024" s="1"/>
      <c r="AG5024" s="1"/>
      <c r="AH5024" s="1"/>
    </row>
    <row r="5025" ht="12.75" hidden="1" customHeight="1" outlineLevel="1">
      <c r="A5025" s="17">
        <v>41912.0</v>
      </c>
      <c r="B5025" s="1" t="s">
        <v>347</v>
      </c>
      <c r="C5025" s="1" t="s">
        <v>1766</v>
      </c>
      <c r="D5025" s="74">
        <v>400.0</v>
      </c>
      <c r="E5025" s="67">
        <v>63.9</v>
      </c>
      <c r="F5025" s="75">
        <v>0.6470949074074074</v>
      </c>
      <c r="G5025" s="67" t="s">
        <v>453</v>
      </c>
      <c r="H5025" s="68">
        <v>2.56</v>
      </c>
      <c r="I5025" s="76"/>
      <c r="J5025" s="67">
        <f t="shared" si="311"/>
        <v>25557.44</v>
      </c>
      <c r="K5025" s="7"/>
      <c r="L5025" s="70"/>
      <c r="M5025" s="79"/>
      <c r="N5025" s="1"/>
      <c r="O5025" s="1"/>
      <c r="P5025" s="1"/>
      <c r="Q5025" s="1"/>
      <c r="R5025" s="1"/>
      <c r="S5025" s="1"/>
      <c r="T5025" s="1"/>
      <c r="U5025" s="1"/>
      <c r="V5025" s="1"/>
      <c r="W5025" s="1"/>
      <c r="X5025" s="1"/>
      <c r="Y5025" s="1"/>
      <c r="Z5025" s="1"/>
      <c r="AA5025" s="1"/>
      <c r="AB5025" s="1"/>
      <c r="AC5025" s="1"/>
      <c r="AD5025" s="1"/>
      <c r="AE5025" s="1"/>
      <c r="AF5025" s="1"/>
      <c r="AG5025" s="1"/>
      <c r="AH5025" s="1"/>
    </row>
    <row r="5026" ht="12.75" hidden="1" customHeight="1" outlineLevel="1">
      <c r="A5026" s="17">
        <v>41912.0</v>
      </c>
      <c r="B5026" s="1" t="s">
        <v>347</v>
      </c>
      <c r="C5026" s="1" t="s">
        <v>1162</v>
      </c>
      <c r="D5026" s="74">
        <v>250.0</v>
      </c>
      <c r="E5026" s="67">
        <v>121.19</v>
      </c>
      <c r="F5026" s="75">
        <v>0.6652199074074074</v>
      </c>
      <c r="G5026" s="67" t="s">
        <v>453</v>
      </c>
      <c r="H5026" s="68">
        <v>1.92</v>
      </c>
      <c r="I5026" s="76"/>
      <c r="J5026" s="67">
        <f t="shared" si="311"/>
        <v>30295.58</v>
      </c>
      <c r="K5026" s="7"/>
      <c r="L5026" s="70"/>
      <c r="M5026" s="79"/>
      <c r="N5026" s="1"/>
      <c r="O5026" s="1"/>
      <c r="P5026" s="1"/>
      <c r="Q5026" s="1"/>
      <c r="R5026" s="1"/>
      <c r="S5026" s="1"/>
      <c r="T5026" s="1"/>
      <c r="U5026" s="1"/>
      <c r="V5026" s="1"/>
      <c r="W5026" s="1"/>
      <c r="X5026" s="1"/>
      <c r="Y5026" s="1"/>
      <c r="Z5026" s="1"/>
      <c r="AA5026" s="1"/>
      <c r="AB5026" s="1"/>
      <c r="AC5026" s="1"/>
      <c r="AD5026" s="1"/>
      <c r="AE5026" s="1"/>
      <c r="AF5026" s="1"/>
      <c r="AG5026" s="1"/>
      <c r="AH5026" s="1"/>
    </row>
    <row r="5027" ht="12.75" hidden="1" customHeight="1" outlineLevel="1">
      <c r="A5027" s="17">
        <v>41912.0</v>
      </c>
      <c r="B5027" s="1" t="s">
        <v>343</v>
      </c>
      <c r="C5027" s="1" t="s">
        <v>2142</v>
      </c>
      <c r="D5027" s="74">
        <v>200.0</v>
      </c>
      <c r="E5027" s="67">
        <v>24.708</v>
      </c>
      <c r="F5027" s="75">
        <v>0.504537037037037</v>
      </c>
      <c r="G5027" s="67" t="s">
        <v>453</v>
      </c>
      <c r="H5027" s="68">
        <v>1.0</v>
      </c>
      <c r="I5027" s="76"/>
      <c r="J5027" s="67">
        <f t="shared" si="311"/>
        <v>-4942.6</v>
      </c>
      <c r="K5027" s="7"/>
      <c r="L5027" s="70"/>
      <c r="M5027" s="79"/>
      <c r="N5027" s="1"/>
      <c r="O5027" s="1"/>
      <c r="P5027" s="1"/>
      <c r="Q5027" s="1"/>
      <c r="R5027" s="1"/>
      <c r="S5027" s="1"/>
      <c r="T5027" s="1"/>
      <c r="U5027" s="1"/>
      <c r="V5027" s="1"/>
      <c r="W5027" s="1"/>
      <c r="X5027" s="1"/>
      <c r="Y5027" s="1"/>
      <c r="Z5027" s="1"/>
      <c r="AA5027" s="1"/>
      <c r="AB5027" s="1"/>
      <c r="AC5027" s="1"/>
      <c r="AD5027" s="1"/>
      <c r="AE5027" s="1"/>
      <c r="AF5027" s="1"/>
      <c r="AG5027" s="1"/>
      <c r="AH5027" s="1"/>
    </row>
    <row r="5028" ht="12.75" hidden="1" customHeight="1" outlineLevel="1">
      <c r="A5028" s="17">
        <v>41912.0</v>
      </c>
      <c r="B5028" s="1" t="s">
        <v>347</v>
      </c>
      <c r="C5028" s="1" t="s">
        <v>1366</v>
      </c>
      <c r="D5028" s="74">
        <v>180.0</v>
      </c>
      <c r="E5028" s="67">
        <v>184.564</v>
      </c>
      <c r="F5028" s="75">
        <v>0.6650462962962963</v>
      </c>
      <c r="G5028" s="67" t="s">
        <v>453</v>
      </c>
      <c r="H5028" s="68">
        <v>1.73</v>
      </c>
      <c r="I5028" s="76"/>
      <c r="J5028" s="67">
        <f t="shared" si="311"/>
        <v>33219.79</v>
      </c>
      <c r="K5028" s="7"/>
      <c r="L5028" s="70"/>
      <c r="M5028" s="79"/>
      <c r="N5028" s="1"/>
      <c r="O5028" s="1"/>
      <c r="P5028" s="1"/>
      <c r="Q5028" s="1"/>
      <c r="R5028" s="1"/>
      <c r="S5028" s="1"/>
      <c r="T5028" s="1"/>
      <c r="U5028" s="1"/>
      <c r="V5028" s="1"/>
      <c r="W5028" s="1"/>
      <c r="X5028" s="1"/>
      <c r="Y5028" s="1"/>
      <c r="Z5028" s="1"/>
      <c r="AA5028" s="1"/>
      <c r="AB5028" s="1"/>
      <c r="AC5028" s="1"/>
      <c r="AD5028" s="1"/>
      <c r="AE5028" s="1"/>
      <c r="AF5028" s="1"/>
      <c r="AG5028" s="1"/>
      <c r="AH5028" s="1"/>
    </row>
    <row r="5029" ht="12.75" hidden="1" customHeight="1" outlineLevel="1">
      <c r="A5029" s="17">
        <v>41913.0</v>
      </c>
      <c r="B5029" s="1" t="s">
        <v>347</v>
      </c>
      <c r="C5029" s="1" t="s">
        <v>1152</v>
      </c>
      <c r="D5029" s="74">
        <v>450.0</v>
      </c>
      <c r="E5029" s="67">
        <v>64.184</v>
      </c>
      <c r="F5029" s="75">
        <v>0.41011574074074075</v>
      </c>
      <c r="G5029" s="67" t="s">
        <v>453</v>
      </c>
      <c r="H5029" s="68">
        <v>2.88</v>
      </c>
      <c r="I5029" s="76"/>
      <c r="J5029" s="67">
        <f t="shared" si="311"/>
        <v>28879.92</v>
      </c>
      <c r="K5029" s="7"/>
      <c r="L5029" s="70"/>
      <c r="M5029" s="79"/>
      <c r="N5029" s="1"/>
      <c r="O5029" s="1"/>
      <c r="P5029" s="1"/>
      <c r="Q5029" s="1"/>
      <c r="R5029" s="1"/>
      <c r="S5029" s="1"/>
      <c r="T5029" s="1"/>
      <c r="U5029" s="1"/>
      <c r="V5029" s="1"/>
      <c r="W5029" s="1"/>
      <c r="X5029" s="1"/>
      <c r="Y5029" s="1"/>
      <c r="Z5029" s="1"/>
      <c r="AA5029" s="1"/>
      <c r="AB5029" s="1"/>
      <c r="AC5029" s="1"/>
      <c r="AD5029" s="1"/>
      <c r="AE5029" s="1"/>
      <c r="AF5029" s="1"/>
      <c r="AG5029" s="1"/>
      <c r="AH5029" s="1"/>
    </row>
    <row r="5030" ht="12.75" hidden="1" customHeight="1" outlineLevel="1">
      <c r="A5030" s="17">
        <v>41913.0</v>
      </c>
      <c r="B5030" s="1" t="s">
        <v>347</v>
      </c>
      <c r="C5030" s="1" t="s">
        <v>2157</v>
      </c>
      <c r="D5030" s="74">
        <v>300.0</v>
      </c>
      <c r="E5030" s="67">
        <v>86.388</v>
      </c>
      <c r="F5030" s="75">
        <v>0.40906250000000005</v>
      </c>
      <c r="G5030" s="67" t="s">
        <v>453</v>
      </c>
      <c r="H5030" s="68">
        <v>1.77</v>
      </c>
      <c r="I5030" s="76"/>
      <c r="J5030" s="67">
        <f t="shared" si="311"/>
        <v>25914.63</v>
      </c>
      <c r="K5030" s="7"/>
      <c r="L5030" s="70"/>
      <c r="M5030" s="79"/>
      <c r="N5030" s="1"/>
      <c r="O5030" s="1"/>
      <c r="P5030" s="1"/>
      <c r="Q5030" s="1"/>
      <c r="R5030" s="1"/>
      <c r="S5030" s="1"/>
      <c r="T5030" s="1"/>
      <c r="U5030" s="1"/>
      <c r="V5030" s="1"/>
      <c r="W5030" s="1"/>
      <c r="X5030" s="1"/>
      <c r="Y5030" s="1"/>
      <c r="Z5030" s="1"/>
      <c r="AA5030" s="1"/>
      <c r="AB5030" s="1"/>
      <c r="AC5030" s="1"/>
      <c r="AD5030" s="1"/>
      <c r="AE5030" s="1"/>
      <c r="AF5030" s="1"/>
      <c r="AG5030" s="1"/>
      <c r="AH5030" s="1"/>
    </row>
    <row r="5031" ht="12.75" hidden="1" customHeight="1" outlineLevel="1">
      <c r="A5031" s="17">
        <v>41913.0</v>
      </c>
      <c r="B5031" s="1" t="s">
        <v>347</v>
      </c>
      <c r="C5031" s="1" t="s">
        <v>2098</v>
      </c>
      <c r="D5031" s="74">
        <v>700.0</v>
      </c>
      <c r="E5031" s="67">
        <v>44.128</v>
      </c>
      <c r="F5031" s="75">
        <v>0.4085185185185185</v>
      </c>
      <c r="G5031" s="67" t="s">
        <v>453</v>
      </c>
      <c r="H5031" s="68">
        <v>3.98</v>
      </c>
      <c r="I5031" s="76"/>
      <c r="J5031" s="67">
        <f t="shared" si="311"/>
        <v>30885.62</v>
      </c>
      <c r="K5031" s="7"/>
      <c r="L5031" s="70"/>
      <c r="M5031" s="79"/>
      <c r="N5031" s="1"/>
      <c r="O5031" s="1"/>
      <c r="P5031" s="1"/>
      <c r="Q5031" s="1"/>
      <c r="R5031" s="1"/>
      <c r="S5031" s="1"/>
      <c r="T5031" s="1"/>
      <c r="U5031" s="1"/>
      <c r="V5031" s="1"/>
      <c r="W5031" s="1"/>
      <c r="X5031" s="1"/>
      <c r="Y5031" s="1"/>
      <c r="Z5031" s="1"/>
      <c r="AA5031" s="1"/>
      <c r="AB5031" s="1"/>
      <c r="AC5031" s="1"/>
      <c r="AD5031" s="1"/>
      <c r="AE5031" s="1"/>
      <c r="AF5031" s="1"/>
      <c r="AG5031" s="1"/>
      <c r="AH5031" s="1"/>
    </row>
    <row r="5032" ht="12.75" hidden="1" customHeight="1" outlineLevel="1">
      <c r="A5032" s="17">
        <v>41913.0</v>
      </c>
      <c r="B5032" s="1"/>
      <c r="C5032" s="1" t="s">
        <v>339</v>
      </c>
      <c r="D5032" s="74"/>
      <c r="E5032" s="67"/>
      <c r="F5032" s="75"/>
      <c r="G5032" s="67"/>
      <c r="H5032" s="68"/>
      <c r="I5032" s="76"/>
      <c r="J5032" s="67"/>
      <c r="K5032" s="7" t="s">
        <v>2172</v>
      </c>
      <c r="L5032" s="77"/>
      <c r="M5032" s="79"/>
      <c r="N5032" s="1"/>
      <c r="O5032" s="1"/>
      <c r="P5032" s="1"/>
      <c r="Q5032" s="1"/>
      <c r="R5032" s="1"/>
      <c r="S5032" s="1"/>
      <c r="T5032" s="1"/>
      <c r="U5032" s="1"/>
      <c r="V5032" s="1"/>
      <c r="W5032" s="1"/>
      <c r="X5032" s="1"/>
      <c r="Y5032" s="1"/>
      <c r="Z5032" s="1"/>
      <c r="AA5032" s="1"/>
      <c r="AB5032" s="1"/>
      <c r="AC5032" s="1"/>
      <c r="AD5032" s="1"/>
      <c r="AE5032" s="1"/>
      <c r="AF5032" s="1"/>
      <c r="AG5032" s="1"/>
      <c r="AH5032" s="1"/>
    </row>
    <row r="5033" ht="12.75" hidden="1" customHeight="1" outlineLevel="1">
      <c r="A5033" s="17">
        <v>41913.0</v>
      </c>
      <c r="B5033" s="1"/>
      <c r="C5033" s="1" t="s">
        <v>429</v>
      </c>
      <c r="D5033" s="74"/>
      <c r="E5033" s="67"/>
      <c r="F5033" s="75"/>
      <c r="G5033" s="67"/>
      <c r="H5033" s="68"/>
      <c r="I5033" s="76"/>
      <c r="J5033" s="67"/>
      <c r="K5033" s="7" t="s">
        <v>2031</v>
      </c>
      <c r="L5033" s="77"/>
      <c r="M5033" s="79"/>
      <c r="N5033" s="1"/>
      <c r="O5033" s="1"/>
      <c r="P5033" s="1"/>
      <c r="Q5033" s="1"/>
      <c r="R5033" s="1"/>
      <c r="S5033" s="1"/>
      <c r="T5033" s="1"/>
      <c r="U5033" s="1"/>
      <c r="V5033" s="1"/>
      <c r="W5033" s="1"/>
      <c r="X5033" s="1"/>
      <c r="Y5033" s="1"/>
      <c r="Z5033" s="1"/>
      <c r="AA5033" s="1"/>
      <c r="AB5033" s="1"/>
      <c r="AC5033" s="1"/>
      <c r="AD5033" s="1"/>
      <c r="AE5033" s="1"/>
      <c r="AF5033" s="1"/>
      <c r="AG5033" s="1"/>
      <c r="AH5033" s="1"/>
    </row>
    <row r="5034" ht="12.75" hidden="1" customHeight="1" outlineLevel="1">
      <c r="A5034" s="17">
        <v>41913.0</v>
      </c>
      <c r="B5034" s="1"/>
      <c r="C5034" s="1" t="s">
        <v>431</v>
      </c>
      <c r="D5034" s="74"/>
      <c r="E5034" s="67"/>
      <c r="F5034" s="75"/>
      <c r="G5034" s="67"/>
      <c r="H5034" s="68"/>
      <c r="I5034" s="76"/>
      <c r="J5034" s="67"/>
      <c r="K5034" s="7" t="s">
        <v>1126</v>
      </c>
      <c r="L5034" s="77"/>
      <c r="M5034" s="79"/>
      <c r="N5034" s="1"/>
      <c r="O5034" s="1"/>
      <c r="P5034" s="1"/>
      <c r="Q5034" s="1"/>
      <c r="R5034" s="1"/>
      <c r="S5034" s="1"/>
      <c r="T5034" s="1"/>
      <c r="U5034" s="1"/>
      <c r="V5034" s="1"/>
      <c r="W5034" s="1"/>
      <c r="X5034" s="1"/>
      <c r="Y5034" s="1"/>
      <c r="Z5034" s="1"/>
      <c r="AA5034" s="1"/>
      <c r="AB5034" s="1"/>
      <c r="AC5034" s="1"/>
      <c r="AD5034" s="1"/>
      <c r="AE5034" s="1"/>
      <c r="AF5034" s="1"/>
      <c r="AG5034" s="1"/>
      <c r="AH5034" s="1"/>
    </row>
    <row r="5035" ht="12.75" hidden="1" customHeight="1" outlineLevel="1">
      <c r="A5035" s="17">
        <v>41913.0</v>
      </c>
      <c r="B5035" s="1"/>
      <c r="C5035" s="1" t="s">
        <v>433</v>
      </c>
      <c r="D5035" s="74"/>
      <c r="E5035" s="67"/>
      <c r="F5035" s="75"/>
      <c r="G5035" s="67"/>
      <c r="H5035" s="68"/>
      <c r="I5035" s="76"/>
      <c r="J5035" s="67"/>
      <c r="K5035" s="7" t="s">
        <v>1103</v>
      </c>
      <c r="L5035" s="77"/>
      <c r="M5035" s="79"/>
      <c r="N5035" s="1"/>
      <c r="O5035" s="1"/>
      <c r="P5035" s="1"/>
      <c r="Q5035" s="1"/>
      <c r="R5035" s="1"/>
      <c r="S5035" s="1"/>
      <c r="T5035" s="1"/>
      <c r="U5035" s="1"/>
      <c r="V5035" s="1"/>
      <c r="W5035" s="1"/>
      <c r="X5035" s="1"/>
      <c r="Y5035" s="1"/>
      <c r="Z5035" s="1"/>
      <c r="AA5035" s="1"/>
      <c r="AB5035" s="1"/>
      <c r="AC5035" s="1"/>
      <c r="AD5035" s="1"/>
      <c r="AE5035" s="1"/>
      <c r="AF5035" s="1"/>
      <c r="AG5035" s="1"/>
      <c r="AH5035" s="1"/>
    </row>
    <row r="5036" ht="12.75" hidden="1" customHeight="1" outlineLevel="1">
      <c r="A5036" s="17">
        <v>41913.0</v>
      </c>
      <c r="B5036" s="1"/>
      <c r="C5036" s="1" t="s">
        <v>435</v>
      </c>
      <c r="D5036" s="74"/>
      <c r="E5036" s="67"/>
      <c r="F5036" s="75"/>
      <c r="G5036" s="67"/>
      <c r="H5036" s="68"/>
      <c r="I5036" s="76"/>
      <c r="J5036" s="67"/>
      <c r="K5036" s="7" t="s">
        <v>1507</v>
      </c>
      <c r="L5036" s="77"/>
      <c r="M5036" s="79"/>
      <c r="N5036" s="1"/>
      <c r="O5036" s="1"/>
      <c r="P5036" s="1"/>
      <c r="Q5036" s="1"/>
      <c r="R5036" s="1"/>
      <c r="S5036" s="1"/>
      <c r="T5036" s="1"/>
      <c r="U5036" s="1"/>
      <c r="V5036" s="1"/>
      <c r="W5036" s="1"/>
      <c r="X5036" s="1"/>
      <c r="Y5036" s="1"/>
      <c r="Z5036" s="1"/>
      <c r="AA5036" s="1"/>
      <c r="AB5036" s="1"/>
      <c r="AC5036" s="1"/>
      <c r="AD5036" s="1"/>
      <c r="AE5036" s="1"/>
      <c r="AF5036" s="1"/>
      <c r="AG5036" s="1"/>
      <c r="AH5036" s="1"/>
    </row>
    <row r="5037" ht="12.75" hidden="1" customHeight="1" outlineLevel="1">
      <c r="A5037" s="17">
        <v>41914.0</v>
      </c>
      <c r="B5037" s="1"/>
      <c r="C5037" s="1" t="s">
        <v>339</v>
      </c>
      <c r="D5037" s="74"/>
      <c r="E5037" s="67"/>
      <c r="F5037" s="75"/>
      <c r="G5037" s="67"/>
      <c r="H5037" s="68"/>
      <c r="I5037" s="76"/>
      <c r="J5037" s="67"/>
      <c r="K5037" s="7" t="s">
        <v>2174</v>
      </c>
      <c r="L5037" s="77"/>
      <c r="M5037" s="79"/>
      <c r="N5037" s="1"/>
      <c r="O5037" s="1"/>
      <c r="P5037" s="1"/>
      <c r="Q5037" s="1"/>
      <c r="R5037" s="1"/>
      <c r="S5037" s="1"/>
      <c r="T5037" s="1"/>
      <c r="U5037" s="1"/>
      <c r="V5037" s="1"/>
      <c r="W5037" s="1"/>
      <c r="X5037" s="1"/>
      <c r="Y5037" s="1"/>
      <c r="Z5037" s="1"/>
      <c r="AA5037" s="1"/>
      <c r="AB5037" s="1"/>
      <c r="AC5037" s="1"/>
      <c r="AD5037" s="1"/>
      <c r="AE5037" s="1"/>
      <c r="AF5037" s="1"/>
      <c r="AG5037" s="1"/>
      <c r="AH5037" s="1"/>
    </row>
    <row r="5038" ht="12.75" hidden="1" customHeight="1" outlineLevel="1">
      <c r="A5038" s="17">
        <v>41914.0</v>
      </c>
      <c r="B5038" s="1"/>
      <c r="C5038" s="1" t="s">
        <v>429</v>
      </c>
      <c r="D5038" s="74"/>
      <c r="E5038" s="67"/>
      <c r="F5038" s="75"/>
      <c r="G5038" s="67"/>
      <c r="H5038" s="68"/>
      <c r="I5038" s="76"/>
      <c r="J5038" s="67"/>
      <c r="K5038" s="7" t="s">
        <v>2031</v>
      </c>
      <c r="L5038" s="77"/>
      <c r="M5038" s="79"/>
      <c r="N5038" s="1"/>
      <c r="O5038" s="1"/>
      <c r="P5038" s="1"/>
      <c r="Q5038" s="1"/>
      <c r="R5038" s="1"/>
      <c r="S5038" s="1"/>
      <c r="T5038" s="1"/>
      <c r="U5038" s="1"/>
      <c r="V5038" s="1"/>
      <c r="W5038" s="1"/>
      <c r="X5038" s="1"/>
      <c r="Y5038" s="1"/>
      <c r="Z5038" s="1"/>
      <c r="AA5038" s="1"/>
      <c r="AB5038" s="1"/>
      <c r="AC5038" s="1"/>
      <c r="AD5038" s="1"/>
      <c r="AE5038" s="1"/>
      <c r="AF5038" s="1"/>
      <c r="AG5038" s="1"/>
      <c r="AH5038" s="1"/>
    </row>
    <row r="5039" ht="12.75" hidden="1" customHeight="1" outlineLevel="1">
      <c r="A5039" s="17">
        <v>41914.0</v>
      </c>
      <c r="B5039" s="1"/>
      <c r="C5039" s="1" t="s">
        <v>431</v>
      </c>
      <c r="D5039" s="74"/>
      <c r="E5039" s="67"/>
      <c r="F5039" s="75"/>
      <c r="G5039" s="67"/>
      <c r="H5039" s="68"/>
      <c r="I5039" s="76"/>
      <c r="J5039" s="67"/>
      <c r="K5039" s="7" t="s">
        <v>1126</v>
      </c>
      <c r="L5039" s="77"/>
      <c r="M5039" s="79"/>
      <c r="N5039" s="1"/>
      <c r="O5039" s="1"/>
      <c r="P5039" s="1"/>
      <c r="Q5039" s="1"/>
      <c r="R5039" s="1"/>
      <c r="S5039" s="1"/>
      <c r="T5039" s="1"/>
      <c r="U5039" s="1"/>
      <c r="V5039" s="1"/>
      <c r="W5039" s="1"/>
      <c r="X5039" s="1"/>
      <c r="Y5039" s="1"/>
      <c r="Z5039" s="1"/>
      <c r="AA5039" s="1"/>
      <c r="AB5039" s="1"/>
      <c r="AC5039" s="1"/>
      <c r="AD5039" s="1"/>
      <c r="AE5039" s="1"/>
      <c r="AF5039" s="1"/>
      <c r="AG5039" s="1"/>
      <c r="AH5039" s="1"/>
    </row>
    <row r="5040" ht="12.75" hidden="1" customHeight="1" outlineLevel="1">
      <c r="A5040" s="17">
        <v>41914.0</v>
      </c>
      <c r="B5040" s="1"/>
      <c r="C5040" s="1" t="s">
        <v>433</v>
      </c>
      <c r="D5040" s="74"/>
      <c r="E5040" s="67"/>
      <c r="F5040" s="75"/>
      <c r="G5040" s="67"/>
      <c r="H5040" s="68"/>
      <c r="I5040" s="76"/>
      <c r="J5040" s="67"/>
      <c r="K5040" s="7" t="s">
        <v>1103</v>
      </c>
      <c r="L5040" s="77"/>
      <c r="M5040" s="79"/>
      <c r="N5040" s="1"/>
      <c r="O5040" s="1"/>
      <c r="P5040" s="1"/>
      <c r="Q5040" s="1"/>
      <c r="R5040" s="1"/>
      <c r="S5040" s="1"/>
      <c r="T5040" s="1"/>
      <c r="U5040" s="1"/>
      <c r="V5040" s="1"/>
      <c r="W5040" s="1"/>
      <c r="X5040" s="1"/>
      <c r="Y5040" s="1"/>
      <c r="Z5040" s="1"/>
      <c r="AA5040" s="1"/>
      <c r="AB5040" s="1"/>
      <c r="AC5040" s="1"/>
      <c r="AD5040" s="1"/>
      <c r="AE5040" s="1"/>
      <c r="AF5040" s="1"/>
      <c r="AG5040" s="1"/>
      <c r="AH5040" s="1"/>
    </row>
    <row r="5041" ht="12.75" hidden="1" customHeight="1" outlineLevel="1">
      <c r="A5041" s="17">
        <v>41914.0</v>
      </c>
      <c r="B5041" s="1"/>
      <c r="C5041" s="1" t="s">
        <v>435</v>
      </c>
      <c r="D5041" s="74"/>
      <c r="E5041" s="67"/>
      <c r="F5041" s="75"/>
      <c r="G5041" s="67"/>
      <c r="H5041" s="68"/>
      <c r="I5041" s="76"/>
      <c r="J5041" s="67"/>
      <c r="K5041" s="7" t="s">
        <v>1507</v>
      </c>
      <c r="L5041" s="77"/>
      <c r="M5041" s="79"/>
      <c r="N5041" s="1"/>
      <c r="O5041" s="1"/>
      <c r="P5041" s="1"/>
      <c r="Q5041" s="1"/>
      <c r="R5041" s="1"/>
      <c r="S5041" s="1"/>
      <c r="T5041" s="1"/>
      <c r="U5041" s="1"/>
      <c r="V5041" s="1"/>
      <c r="W5041" s="1"/>
      <c r="X5041" s="1"/>
      <c r="Y5041" s="1"/>
      <c r="Z5041" s="1"/>
      <c r="AA5041" s="1"/>
      <c r="AB5041" s="1"/>
      <c r="AC5041" s="1"/>
      <c r="AD5041" s="1"/>
      <c r="AE5041" s="1"/>
      <c r="AF5041" s="1"/>
      <c r="AG5041" s="1"/>
      <c r="AH5041" s="1"/>
    </row>
    <row r="5042" ht="12.75" hidden="1" customHeight="1" outlineLevel="1">
      <c r="A5042" s="17">
        <v>41915.0</v>
      </c>
      <c r="B5042" s="1" t="s">
        <v>343</v>
      </c>
      <c r="C5042" s="1" t="s">
        <v>1357</v>
      </c>
      <c r="D5042" s="74">
        <v>200.0</v>
      </c>
      <c r="E5042" s="67">
        <v>37.4</v>
      </c>
      <c r="F5042" s="75">
        <v>0.49225694444444446</v>
      </c>
      <c r="G5042" s="67" t="s">
        <v>453</v>
      </c>
      <c r="H5042" s="68">
        <v>1.0</v>
      </c>
      <c r="I5042" s="76"/>
      <c r="J5042" s="67">
        <f t="shared" ref="J5042:J5051" si="312">IF(B5042="SLD",D5042*E5042,-D5042*E5042)-H5042</f>
        <v>-7481</v>
      </c>
      <c r="K5042" s="7"/>
      <c r="L5042" s="70"/>
      <c r="M5042" s="79"/>
      <c r="N5042" s="1"/>
      <c r="O5042" s="1"/>
      <c r="P5042" s="1"/>
      <c r="Q5042" s="1"/>
      <c r="R5042" s="1"/>
      <c r="S5042" s="1"/>
      <c r="T5042" s="1"/>
      <c r="U5042" s="1"/>
      <c r="V5042" s="1"/>
      <c r="W5042" s="1"/>
      <c r="X5042" s="1"/>
      <c r="Y5042" s="1"/>
      <c r="Z5042" s="1"/>
      <c r="AA5042" s="1"/>
      <c r="AB5042" s="1"/>
      <c r="AC5042" s="1"/>
      <c r="AD5042" s="1"/>
      <c r="AE5042" s="1"/>
      <c r="AF5042" s="1"/>
      <c r="AG5042" s="1"/>
      <c r="AH5042" s="1"/>
    </row>
    <row r="5043" ht="12.75" hidden="1" customHeight="1" outlineLevel="1">
      <c r="A5043" s="17">
        <v>41915.0</v>
      </c>
      <c r="B5043" s="1" t="s">
        <v>343</v>
      </c>
      <c r="C5043" s="1" t="s">
        <v>1152</v>
      </c>
      <c r="D5043" s="74">
        <v>500.0</v>
      </c>
      <c r="E5043" s="67">
        <v>65.1</v>
      </c>
      <c r="F5043" s="75">
        <v>0.4883912037037037</v>
      </c>
      <c r="G5043" s="67" t="s">
        <v>453</v>
      </c>
      <c r="H5043" s="68">
        <v>2.4</v>
      </c>
      <c r="I5043" s="76"/>
      <c r="J5043" s="67">
        <f t="shared" si="312"/>
        <v>-32552.4</v>
      </c>
      <c r="K5043" s="7"/>
      <c r="L5043" s="70"/>
      <c r="M5043" s="79"/>
      <c r="N5043" s="1"/>
      <c r="O5043" s="1"/>
      <c r="P5043" s="1"/>
      <c r="Q5043" s="1"/>
      <c r="R5043" s="1"/>
      <c r="S5043" s="1"/>
      <c r="T5043" s="1"/>
      <c r="U5043" s="1"/>
      <c r="V5043" s="1"/>
      <c r="W5043" s="1"/>
      <c r="X5043" s="1"/>
      <c r="Y5043" s="1"/>
      <c r="Z5043" s="1"/>
      <c r="AA5043" s="1"/>
      <c r="AB5043" s="1"/>
      <c r="AC5043" s="1"/>
      <c r="AD5043" s="1"/>
      <c r="AE5043" s="1"/>
      <c r="AF5043" s="1"/>
      <c r="AG5043" s="1"/>
      <c r="AH5043" s="1"/>
    </row>
    <row r="5044" ht="12.75" hidden="1" customHeight="1" outlineLevel="1">
      <c r="A5044" s="17">
        <v>41915.0</v>
      </c>
      <c r="B5044" s="1" t="s">
        <v>343</v>
      </c>
      <c r="C5044" s="1" t="s">
        <v>2157</v>
      </c>
      <c r="D5044" s="74">
        <v>350.0</v>
      </c>
      <c r="E5044" s="67">
        <v>88.006</v>
      </c>
      <c r="F5044" s="75">
        <v>0.48762731481481486</v>
      </c>
      <c r="G5044" s="67" t="s">
        <v>453</v>
      </c>
      <c r="H5044" s="68">
        <v>1.4</v>
      </c>
      <c r="I5044" s="76"/>
      <c r="J5044" s="67">
        <f t="shared" si="312"/>
        <v>-30803.5</v>
      </c>
      <c r="K5044" s="7"/>
      <c r="L5044" s="70"/>
      <c r="M5044" s="79"/>
      <c r="N5044" s="1"/>
      <c r="O5044" s="1"/>
      <c r="P5044" s="1"/>
      <c r="Q5044" s="1"/>
      <c r="R5044" s="1"/>
      <c r="S5044" s="1"/>
      <c r="T5044" s="1"/>
      <c r="U5044" s="1"/>
      <c r="V5044" s="1"/>
      <c r="W5044" s="1"/>
      <c r="X5044" s="1"/>
      <c r="Y5044" s="1"/>
      <c r="Z5044" s="1"/>
      <c r="AA5044" s="1"/>
      <c r="AB5044" s="1"/>
      <c r="AC5044" s="1"/>
      <c r="AD5044" s="1"/>
      <c r="AE5044" s="1"/>
      <c r="AF5044" s="1"/>
      <c r="AG5044" s="1"/>
      <c r="AH5044" s="1"/>
    </row>
    <row r="5045" ht="12.75" hidden="1" customHeight="1" outlineLevel="1">
      <c r="A5045" s="17">
        <v>41915.0</v>
      </c>
      <c r="B5045" s="1" t="s">
        <v>343</v>
      </c>
      <c r="C5045" s="1" t="s">
        <v>1766</v>
      </c>
      <c r="D5045" s="74">
        <v>450.0</v>
      </c>
      <c r="E5045" s="67">
        <v>63.346</v>
      </c>
      <c r="F5045" s="75">
        <v>0.3991782407407407</v>
      </c>
      <c r="G5045" s="67" t="s">
        <v>453</v>
      </c>
      <c r="H5045" s="68">
        <v>2.25</v>
      </c>
      <c r="I5045" s="76"/>
      <c r="J5045" s="67">
        <f t="shared" si="312"/>
        <v>-28507.95</v>
      </c>
      <c r="K5045" s="7"/>
      <c r="L5045" s="70"/>
      <c r="M5045" s="79"/>
      <c r="N5045" s="1"/>
      <c r="O5045" s="1"/>
      <c r="P5045" s="1"/>
      <c r="Q5045" s="1"/>
      <c r="R5045" s="1"/>
      <c r="S5045" s="1"/>
      <c r="T5045" s="1"/>
      <c r="U5045" s="1"/>
      <c r="V5045" s="1"/>
      <c r="W5045" s="1"/>
      <c r="X5045" s="1"/>
      <c r="Y5045" s="1"/>
      <c r="Z5045" s="1"/>
      <c r="AA5045" s="1"/>
      <c r="AB5045" s="1"/>
      <c r="AC5045" s="1"/>
      <c r="AD5045" s="1"/>
      <c r="AE5045" s="1"/>
      <c r="AF5045" s="1"/>
      <c r="AG5045" s="1"/>
      <c r="AH5045" s="1"/>
    </row>
    <row r="5046" ht="12.75" hidden="1" customHeight="1" outlineLevel="1">
      <c r="A5046" s="17">
        <v>41915.0</v>
      </c>
      <c r="B5046" s="1" t="s">
        <v>343</v>
      </c>
      <c r="C5046" s="1" t="s">
        <v>1766</v>
      </c>
      <c r="D5046" s="74">
        <v>50.0</v>
      </c>
      <c r="E5046" s="67">
        <v>63.44</v>
      </c>
      <c r="F5046" s="75">
        <v>0.4885648148148148</v>
      </c>
      <c r="G5046" s="67" t="s">
        <v>453</v>
      </c>
      <c r="H5046" s="68">
        <v>1.0</v>
      </c>
      <c r="I5046" s="76"/>
      <c r="J5046" s="67">
        <f t="shared" si="312"/>
        <v>-3173</v>
      </c>
      <c r="K5046" s="7"/>
      <c r="L5046" s="70"/>
      <c r="M5046" s="79"/>
      <c r="N5046" s="1"/>
      <c r="O5046" s="1"/>
      <c r="P5046" s="1"/>
      <c r="Q5046" s="1"/>
      <c r="R5046" s="1"/>
      <c r="S5046" s="1"/>
      <c r="T5046" s="1"/>
      <c r="U5046" s="1"/>
      <c r="V5046" s="1"/>
      <c r="W5046" s="1"/>
      <c r="X5046" s="1"/>
      <c r="Y5046" s="1"/>
      <c r="Z5046" s="1"/>
      <c r="AA5046" s="1"/>
      <c r="AB5046" s="1"/>
      <c r="AC5046" s="1"/>
      <c r="AD5046" s="1"/>
      <c r="AE5046" s="1"/>
      <c r="AF5046" s="1"/>
      <c r="AG5046" s="1"/>
      <c r="AH5046" s="1"/>
    </row>
    <row r="5047" ht="12.75" hidden="1" customHeight="1" outlineLevel="1">
      <c r="A5047" s="17">
        <v>41915.0</v>
      </c>
      <c r="B5047" s="1" t="s">
        <v>343</v>
      </c>
      <c r="C5047" s="1" t="s">
        <v>1162</v>
      </c>
      <c r="D5047" s="74">
        <v>300.0</v>
      </c>
      <c r="E5047" s="67">
        <v>120.059</v>
      </c>
      <c r="F5047" s="75">
        <v>0.48800925925925925</v>
      </c>
      <c r="G5047" s="67" t="s">
        <v>453</v>
      </c>
      <c r="H5047" s="68">
        <v>1.2</v>
      </c>
      <c r="I5047" s="76"/>
      <c r="J5047" s="67">
        <f t="shared" si="312"/>
        <v>-36018.9</v>
      </c>
      <c r="K5047" s="7"/>
      <c r="L5047" s="70"/>
      <c r="M5047" s="79"/>
      <c r="N5047" s="1"/>
      <c r="O5047" s="1"/>
      <c r="P5047" s="1"/>
      <c r="Q5047" s="1"/>
      <c r="R5047" s="1"/>
      <c r="S5047" s="1"/>
      <c r="T5047" s="1"/>
      <c r="U5047" s="1"/>
      <c r="V5047" s="1"/>
      <c r="W5047" s="1"/>
      <c r="X5047" s="1"/>
      <c r="Y5047" s="1"/>
      <c r="Z5047" s="1"/>
      <c r="AA5047" s="1"/>
      <c r="AB5047" s="1"/>
      <c r="AC5047" s="1"/>
      <c r="AD5047" s="1"/>
      <c r="AE5047" s="1"/>
      <c r="AF5047" s="1"/>
      <c r="AG5047" s="1"/>
      <c r="AH5047" s="1"/>
    </row>
    <row r="5048" ht="12.75" hidden="1" customHeight="1" outlineLevel="1">
      <c r="A5048" s="17">
        <v>41915.0</v>
      </c>
      <c r="B5048" s="1" t="s">
        <v>343</v>
      </c>
      <c r="C5048" s="1" t="s">
        <v>2142</v>
      </c>
      <c r="D5048" s="74">
        <v>200.0</v>
      </c>
      <c r="E5048" s="67">
        <v>24.74</v>
      </c>
      <c r="F5048" s="75">
        <v>0.48718750000000005</v>
      </c>
      <c r="G5048" s="67" t="s">
        <v>453</v>
      </c>
      <c r="H5048" s="68">
        <v>1.0</v>
      </c>
      <c r="I5048" s="76"/>
      <c r="J5048" s="67">
        <f t="shared" si="312"/>
        <v>-4949</v>
      </c>
      <c r="K5048" s="7"/>
      <c r="L5048" s="70"/>
      <c r="M5048" s="79"/>
      <c r="N5048" s="1"/>
      <c r="O5048" s="1"/>
      <c r="P5048" s="1"/>
      <c r="Q5048" s="1"/>
      <c r="R5048" s="1"/>
      <c r="S5048" s="1"/>
      <c r="T5048" s="1"/>
      <c r="U5048" s="1"/>
      <c r="V5048" s="1"/>
      <c r="W5048" s="1"/>
      <c r="X5048" s="1"/>
      <c r="Y5048" s="1"/>
      <c r="Z5048" s="1"/>
      <c r="AA5048" s="1"/>
      <c r="AB5048" s="1"/>
      <c r="AC5048" s="1"/>
      <c r="AD5048" s="1"/>
      <c r="AE5048" s="1"/>
      <c r="AF5048" s="1"/>
      <c r="AG5048" s="1"/>
      <c r="AH5048" s="1"/>
    </row>
    <row r="5049" ht="12.75" hidden="1" customHeight="1" outlineLevel="1">
      <c r="A5049" s="17">
        <v>41915.0</v>
      </c>
      <c r="B5049" s="1" t="s">
        <v>343</v>
      </c>
      <c r="C5049" s="1" t="s">
        <v>2142</v>
      </c>
      <c r="D5049" s="74">
        <v>200.0</v>
      </c>
      <c r="E5049" s="67">
        <v>24.845</v>
      </c>
      <c r="F5049" s="75">
        <v>0.4927083333333333</v>
      </c>
      <c r="G5049" s="67" t="s">
        <v>453</v>
      </c>
      <c r="H5049" s="68">
        <v>1.0</v>
      </c>
      <c r="I5049" s="76"/>
      <c r="J5049" s="67">
        <f t="shared" si="312"/>
        <v>-4970</v>
      </c>
      <c r="K5049" s="7"/>
      <c r="L5049" s="70"/>
      <c r="M5049" s="79"/>
      <c r="N5049" s="1"/>
      <c r="O5049" s="1"/>
      <c r="P5049" s="1"/>
      <c r="Q5049" s="1"/>
      <c r="R5049" s="1"/>
      <c r="S5049" s="1"/>
      <c r="T5049" s="1"/>
      <c r="U5049" s="1"/>
      <c r="V5049" s="1"/>
      <c r="W5049" s="1"/>
      <c r="X5049" s="1"/>
      <c r="Y5049" s="1"/>
      <c r="Z5049" s="1"/>
      <c r="AA5049" s="1"/>
      <c r="AB5049" s="1"/>
      <c r="AC5049" s="1"/>
      <c r="AD5049" s="1"/>
      <c r="AE5049" s="1"/>
      <c r="AF5049" s="1"/>
      <c r="AG5049" s="1"/>
      <c r="AH5049" s="1"/>
    </row>
    <row r="5050" ht="12.75" hidden="1" customHeight="1" outlineLevel="1">
      <c r="A5050" s="17">
        <v>41915.0</v>
      </c>
      <c r="B5050" s="1" t="s">
        <v>343</v>
      </c>
      <c r="C5050" s="1" t="s">
        <v>2142</v>
      </c>
      <c r="D5050" s="74">
        <v>300.0</v>
      </c>
      <c r="E5050" s="67">
        <v>24.944</v>
      </c>
      <c r="F5050" s="75">
        <v>0.5023842592592592</v>
      </c>
      <c r="G5050" s="67" t="s">
        <v>453</v>
      </c>
      <c r="H5050" s="68">
        <v>1.4</v>
      </c>
      <c r="I5050" s="76"/>
      <c r="J5050" s="67">
        <f t="shared" si="312"/>
        <v>-7484.6</v>
      </c>
      <c r="K5050" s="7"/>
      <c r="L5050" s="70"/>
      <c r="M5050" s="79"/>
      <c r="N5050" s="1"/>
      <c r="O5050" s="1"/>
      <c r="P5050" s="1"/>
      <c r="Q5050" s="1"/>
      <c r="R5050" s="1"/>
      <c r="S5050" s="1"/>
      <c r="T5050" s="1"/>
      <c r="U5050" s="1"/>
      <c r="V5050" s="1"/>
      <c r="W5050" s="1"/>
      <c r="X5050" s="1"/>
      <c r="Y5050" s="1"/>
      <c r="Z5050" s="1"/>
      <c r="AA5050" s="1"/>
      <c r="AB5050" s="1"/>
      <c r="AC5050" s="1"/>
      <c r="AD5050" s="1"/>
      <c r="AE5050" s="1"/>
      <c r="AF5050" s="1"/>
      <c r="AG5050" s="1"/>
      <c r="AH5050" s="1"/>
    </row>
    <row r="5051" ht="12.75" hidden="1" customHeight="1" outlineLevel="1">
      <c r="A5051" s="17">
        <v>41915.0</v>
      </c>
      <c r="B5051" s="1" t="s">
        <v>343</v>
      </c>
      <c r="C5051" s="1" t="s">
        <v>1060</v>
      </c>
      <c r="D5051" s="74">
        <v>200.0</v>
      </c>
      <c r="E5051" s="67">
        <v>39.108</v>
      </c>
      <c r="F5051" s="75">
        <v>0.49247685185185186</v>
      </c>
      <c r="G5051" s="67" t="s">
        <v>453</v>
      </c>
      <c r="H5051" s="68">
        <v>1.0</v>
      </c>
      <c r="I5051" s="76"/>
      <c r="J5051" s="67">
        <f t="shared" si="312"/>
        <v>-7822.6</v>
      </c>
      <c r="K5051" s="7"/>
      <c r="L5051" s="70"/>
      <c r="M5051" s="79"/>
      <c r="N5051" s="1"/>
      <c r="O5051" s="1"/>
      <c r="P5051" s="1"/>
      <c r="Q5051" s="1"/>
      <c r="R5051" s="1"/>
      <c r="S5051" s="1"/>
      <c r="T5051" s="1"/>
      <c r="U5051" s="1"/>
      <c r="V5051" s="1"/>
      <c r="W5051" s="1"/>
      <c r="X5051" s="1"/>
      <c r="Y5051" s="1"/>
      <c r="Z5051" s="1"/>
      <c r="AA5051" s="1"/>
      <c r="AB5051" s="1"/>
      <c r="AC5051" s="1"/>
      <c r="AD5051" s="1"/>
      <c r="AE5051" s="1"/>
      <c r="AF5051" s="1"/>
      <c r="AG5051" s="1"/>
      <c r="AH5051" s="1"/>
    </row>
    <row r="5052" ht="12.75" hidden="1" customHeight="1" outlineLevel="1">
      <c r="A5052" s="17">
        <v>41915.0</v>
      </c>
      <c r="B5052" s="1"/>
      <c r="C5052" s="1" t="s">
        <v>339</v>
      </c>
      <c r="D5052" s="74"/>
      <c r="E5052" s="67"/>
      <c r="F5052" s="75"/>
      <c r="G5052" s="67"/>
      <c r="H5052" s="68"/>
      <c r="I5052" s="76"/>
      <c r="J5052" s="67"/>
      <c r="K5052" s="7" t="s">
        <v>2181</v>
      </c>
      <c r="L5052" s="77"/>
      <c r="M5052" s="79"/>
      <c r="N5052" s="1"/>
      <c r="O5052" s="1"/>
      <c r="P5052" s="1"/>
      <c r="Q5052" s="1"/>
      <c r="R5052" s="1"/>
      <c r="S5052" s="1"/>
      <c r="T5052" s="1"/>
      <c r="U5052" s="1"/>
      <c r="V5052" s="1"/>
      <c r="W5052" s="1"/>
      <c r="X5052" s="1"/>
      <c r="Y5052" s="1"/>
      <c r="Z5052" s="1"/>
      <c r="AA5052" s="1"/>
      <c r="AB5052" s="1"/>
      <c r="AC5052" s="1"/>
      <c r="AD5052" s="1"/>
      <c r="AE5052" s="1"/>
      <c r="AF5052" s="1"/>
      <c r="AG5052" s="1"/>
      <c r="AH5052" s="1"/>
    </row>
    <row r="5053" ht="12.75" hidden="1" customHeight="1" outlineLevel="1">
      <c r="A5053" s="17">
        <v>41915.0</v>
      </c>
      <c r="B5053" s="1"/>
      <c r="C5053" s="1" t="s">
        <v>429</v>
      </c>
      <c r="D5053" s="74"/>
      <c r="E5053" s="67"/>
      <c r="F5053" s="75"/>
      <c r="G5053" s="67"/>
      <c r="H5053" s="68"/>
      <c r="I5053" s="76"/>
      <c r="J5053" s="67"/>
      <c r="K5053" s="7" t="s">
        <v>2182</v>
      </c>
      <c r="L5053" s="77"/>
      <c r="M5053" s="79"/>
      <c r="N5053" s="1"/>
      <c r="O5053" s="1"/>
      <c r="P5053" s="1"/>
      <c r="Q5053" s="1"/>
      <c r="R5053" s="1"/>
      <c r="S5053" s="1"/>
      <c r="T5053" s="1"/>
      <c r="U5053" s="1"/>
      <c r="V5053" s="1"/>
      <c r="W5053" s="1"/>
      <c r="X5053" s="1"/>
      <c r="Y5053" s="1"/>
      <c r="Z5053" s="1"/>
      <c r="AA5053" s="1"/>
      <c r="AB5053" s="1"/>
      <c r="AC5053" s="1"/>
      <c r="AD5053" s="1"/>
      <c r="AE5053" s="1"/>
      <c r="AF5053" s="1"/>
      <c r="AG5053" s="1"/>
      <c r="AH5053" s="1"/>
    </row>
    <row r="5054" ht="12.75" hidden="1" customHeight="1" outlineLevel="1">
      <c r="A5054" s="17">
        <v>41915.0</v>
      </c>
      <c r="B5054" s="1"/>
      <c r="C5054" s="1" t="s">
        <v>431</v>
      </c>
      <c r="D5054" s="74"/>
      <c r="E5054" s="67"/>
      <c r="F5054" s="75"/>
      <c r="G5054" s="67"/>
      <c r="H5054" s="68"/>
      <c r="I5054" s="76"/>
      <c r="J5054" s="67"/>
      <c r="K5054" s="7" t="s">
        <v>1126</v>
      </c>
      <c r="L5054" s="77"/>
      <c r="M5054" s="79"/>
      <c r="N5054" s="1"/>
      <c r="O5054" s="1"/>
      <c r="P5054" s="1"/>
      <c r="Q5054" s="1"/>
      <c r="R5054" s="1"/>
      <c r="S5054" s="1"/>
      <c r="T5054" s="1"/>
      <c r="U5054" s="1"/>
      <c r="V5054" s="1"/>
      <c r="W5054" s="1"/>
      <c r="X5054" s="1"/>
      <c r="Y5054" s="1"/>
      <c r="Z5054" s="1"/>
      <c r="AA5054" s="1"/>
      <c r="AB5054" s="1"/>
      <c r="AC5054" s="1"/>
      <c r="AD5054" s="1"/>
      <c r="AE5054" s="1"/>
      <c r="AF5054" s="1"/>
      <c r="AG5054" s="1"/>
      <c r="AH5054" s="1"/>
    </row>
    <row r="5055" ht="12.75" hidden="1" customHeight="1" outlineLevel="1">
      <c r="A5055" s="17">
        <v>41915.0</v>
      </c>
      <c r="B5055" s="1"/>
      <c r="C5055" s="1" t="s">
        <v>433</v>
      </c>
      <c r="D5055" s="74"/>
      <c r="E5055" s="67"/>
      <c r="F5055" s="75"/>
      <c r="G5055" s="67"/>
      <c r="H5055" s="68"/>
      <c r="I5055" s="76"/>
      <c r="J5055" s="67"/>
      <c r="K5055" s="7" t="s">
        <v>1103</v>
      </c>
      <c r="L5055" s="77"/>
      <c r="M5055" s="79"/>
      <c r="N5055" s="1"/>
      <c r="O5055" s="1"/>
      <c r="P5055" s="1"/>
      <c r="Q5055" s="1"/>
      <c r="R5055" s="1"/>
      <c r="S5055" s="1"/>
      <c r="T5055" s="1"/>
      <c r="U5055" s="1"/>
      <c r="V5055" s="1"/>
      <c r="W5055" s="1"/>
      <c r="X5055" s="1"/>
      <c r="Y5055" s="1"/>
      <c r="Z5055" s="1"/>
      <c r="AA5055" s="1"/>
      <c r="AB5055" s="1"/>
      <c r="AC5055" s="1"/>
      <c r="AD5055" s="1"/>
      <c r="AE5055" s="1"/>
      <c r="AF5055" s="1"/>
      <c r="AG5055" s="1"/>
      <c r="AH5055" s="1"/>
    </row>
    <row r="5056" ht="12.75" hidden="1" customHeight="1" outlineLevel="1">
      <c r="A5056" s="17">
        <v>41915.0</v>
      </c>
      <c r="B5056" s="1"/>
      <c r="C5056" s="1" t="s">
        <v>435</v>
      </c>
      <c r="D5056" s="74"/>
      <c r="E5056" s="67"/>
      <c r="F5056" s="75"/>
      <c r="G5056" s="67"/>
      <c r="H5056" s="68"/>
      <c r="I5056" s="76"/>
      <c r="J5056" s="67"/>
      <c r="K5056" s="7" t="s">
        <v>1507</v>
      </c>
      <c r="L5056" s="77"/>
      <c r="M5056" s="79"/>
      <c r="N5056" s="1"/>
      <c r="O5056" s="1"/>
      <c r="P5056" s="1"/>
      <c r="Q5056" s="1"/>
      <c r="R5056" s="1"/>
      <c r="S5056" s="1"/>
      <c r="T5056" s="1"/>
      <c r="U5056" s="1"/>
      <c r="V5056" s="1"/>
      <c r="W5056" s="1"/>
      <c r="X5056" s="1"/>
      <c r="Y5056" s="1"/>
      <c r="Z5056" s="1"/>
      <c r="AA5056" s="1"/>
      <c r="AB5056" s="1"/>
      <c r="AC5056" s="1"/>
      <c r="AD5056" s="1"/>
      <c r="AE5056" s="1"/>
      <c r="AF5056" s="1"/>
      <c r="AG5056" s="1"/>
      <c r="AH5056" s="1"/>
    </row>
    <row r="5057" ht="12.75" hidden="1" customHeight="1" outlineLevel="1">
      <c r="A5057" s="17">
        <v>41918.0</v>
      </c>
      <c r="B5057" s="1"/>
      <c r="C5057" s="1" t="s">
        <v>339</v>
      </c>
      <c r="D5057" s="74"/>
      <c r="E5057" s="67"/>
      <c r="F5057" s="75"/>
      <c r="G5057" s="67"/>
      <c r="H5057" s="68"/>
      <c r="I5057" s="76"/>
      <c r="J5057" s="67"/>
      <c r="K5057" s="7" t="s">
        <v>2181</v>
      </c>
      <c r="L5057" s="77"/>
      <c r="M5057" s="79"/>
      <c r="N5057" s="1"/>
      <c r="O5057" s="1"/>
      <c r="P5057" s="1"/>
      <c r="Q5057" s="1"/>
      <c r="R5057" s="1"/>
      <c r="S5057" s="1"/>
      <c r="T5057" s="1"/>
      <c r="U5057" s="1"/>
      <c r="V5057" s="1"/>
      <c r="W5057" s="1"/>
      <c r="X5057" s="1"/>
      <c r="Y5057" s="1"/>
      <c r="Z5057" s="1"/>
      <c r="AA5057" s="1"/>
      <c r="AB5057" s="1"/>
      <c r="AC5057" s="1"/>
      <c r="AD5057" s="1"/>
      <c r="AE5057" s="1"/>
      <c r="AF5057" s="1"/>
      <c r="AG5057" s="1"/>
      <c r="AH5057" s="1"/>
    </row>
    <row r="5058" ht="12.75" hidden="1" customHeight="1" outlineLevel="1">
      <c r="A5058" s="17">
        <v>41918.0</v>
      </c>
      <c r="B5058" s="1"/>
      <c r="C5058" s="1" t="s">
        <v>429</v>
      </c>
      <c r="D5058" s="74"/>
      <c r="E5058" s="67"/>
      <c r="F5058" s="75"/>
      <c r="G5058" s="67"/>
      <c r="H5058" s="68"/>
      <c r="I5058" s="76"/>
      <c r="J5058" s="67"/>
      <c r="K5058" s="7" t="s">
        <v>2182</v>
      </c>
      <c r="L5058" s="77"/>
      <c r="M5058" s="79"/>
      <c r="N5058" s="1"/>
      <c r="O5058" s="1"/>
      <c r="P5058" s="1"/>
      <c r="Q5058" s="1"/>
      <c r="R5058" s="1"/>
      <c r="S5058" s="1"/>
      <c r="T5058" s="1"/>
      <c r="U5058" s="1"/>
      <c r="V5058" s="1"/>
      <c r="W5058" s="1"/>
      <c r="X5058" s="1"/>
      <c r="Y5058" s="1"/>
      <c r="Z5058" s="1"/>
      <c r="AA5058" s="1"/>
      <c r="AB5058" s="1"/>
      <c r="AC5058" s="1"/>
      <c r="AD5058" s="1"/>
      <c r="AE5058" s="1"/>
      <c r="AF5058" s="1"/>
      <c r="AG5058" s="1"/>
      <c r="AH5058" s="1"/>
    </row>
    <row r="5059" ht="12.75" hidden="1" customHeight="1" outlineLevel="1">
      <c r="A5059" s="17">
        <v>41918.0</v>
      </c>
      <c r="B5059" s="1"/>
      <c r="C5059" s="1" t="s">
        <v>431</v>
      </c>
      <c r="D5059" s="74"/>
      <c r="E5059" s="67"/>
      <c r="F5059" s="75"/>
      <c r="G5059" s="67"/>
      <c r="H5059" s="68"/>
      <c r="I5059" s="76"/>
      <c r="J5059" s="67"/>
      <c r="K5059" s="7" t="s">
        <v>1126</v>
      </c>
      <c r="L5059" s="77"/>
      <c r="M5059" s="79"/>
      <c r="N5059" s="1"/>
      <c r="O5059" s="1"/>
      <c r="P5059" s="1"/>
      <c r="Q5059" s="1"/>
      <c r="R5059" s="1"/>
      <c r="S5059" s="1"/>
      <c r="T5059" s="1"/>
      <c r="U5059" s="1"/>
      <c r="V5059" s="1"/>
      <c r="W5059" s="1"/>
      <c r="X5059" s="1"/>
      <c r="Y5059" s="1"/>
      <c r="Z5059" s="1"/>
      <c r="AA5059" s="1"/>
      <c r="AB5059" s="1"/>
      <c r="AC5059" s="1"/>
      <c r="AD5059" s="1"/>
      <c r="AE5059" s="1"/>
      <c r="AF5059" s="1"/>
      <c r="AG5059" s="1"/>
      <c r="AH5059" s="1"/>
    </row>
    <row r="5060" ht="12.75" hidden="1" customHeight="1" outlineLevel="1">
      <c r="A5060" s="17">
        <v>41918.0</v>
      </c>
      <c r="B5060" s="1"/>
      <c r="C5060" s="1" t="s">
        <v>433</v>
      </c>
      <c r="D5060" s="74"/>
      <c r="E5060" s="67"/>
      <c r="F5060" s="75"/>
      <c r="G5060" s="67"/>
      <c r="H5060" s="68"/>
      <c r="I5060" s="76"/>
      <c r="J5060" s="67"/>
      <c r="K5060" s="7" t="s">
        <v>1103</v>
      </c>
      <c r="L5060" s="77"/>
      <c r="M5060" s="79"/>
      <c r="N5060" s="1"/>
      <c r="O5060" s="1"/>
      <c r="P5060" s="1"/>
      <c r="Q5060" s="1"/>
      <c r="R5060" s="1"/>
      <c r="S5060" s="1"/>
      <c r="T5060" s="1"/>
      <c r="U5060" s="1"/>
      <c r="V5060" s="1"/>
      <c r="W5060" s="1"/>
      <c r="X5060" s="1"/>
      <c r="Y5060" s="1"/>
      <c r="Z5060" s="1"/>
      <c r="AA5060" s="1"/>
      <c r="AB5060" s="1"/>
      <c r="AC5060" s="1"/>
      <c r="AD5060" s="1"/>
      <c r="AE5060" s="1"/>
      <c r="AF5060" s="1"/>
      <c r="AG5060" s="1"/>
      <c r="AH5060" s="1"/>
    </row>
    <row r="5061" ht="12.75" hidden="1" customHeight="1" outlineLevel="1">
      <c r="A5061" s="17">
        <v>41918.0</v>
      </c>
      <c r="B5061" s="1"/>
      <c r="C5061" s="1" t="s">
        <v>435</v>
      </c>
      <c r="D5061" s="74"/>
      <c r="E5061" s="67"/>
      <c r="F5061" s="75"/>
      <c r="G5061" s="67"/>
      <c r="H5061" s="68"/>
      <c r="I5061" s="76"/>
      <c r="J5061" s="67"/>
      <c r="K5061" s="7" t="s">
        <v>1507</v>
      </c>
      <c r="L5061" s="77"/>
      <c r="M5061" s="79"/>
      <c r="N5061" s="1"/>
      <c r="O5061" s="1"/>
      <c r="P5061" s="1"/>
      <c r="Q5061" s="1"/>
      <c r="R5061" s="1"/>
      <c r="S5061" s="1"/>
      <c r="T5061" s="1"/>
      <c r="U5061" s="1"/>
      <c r="V5061" s="1"/>
      <c r="W5061" s="1"/>
      <c r="X5061" s="1"/>
      <c r="Y5061" s="1"/>
      <c r="Z5061" s="1"/>
      <c r="AA5061" s="1"/>
      <c r="AB5061" s="1"/>
      <c r="AC5061" s="1"/>
      <c r="AD5061" s="1"/>
      <c r="AE5061" s="1"/>
      <c r="AF5061" s="1"/>
      <c r="AG5061" s="1"/>
      <c r="AH5061" s="1"/>
    </row>
    <row r="5062" ht="12.75" hidden="1" customHeight="1" outlineLevel="1">
      <c r="A5062" s="17">
        <v>41919.0</v>
      </c>
      <c r="B5062" s="1" t="s">
        <v>347</v>
      </c>
      <c r="C5062" s="1" t="s">
        <v>368</v>
      </c>
      <c r="D5062" s="74">
        <v>800.0</v>
      </c>
      <c r="E5062" s="67">
        <v>38.227</v>
      </c>
      <c r="F5062" s="75">
        <v>0.5184143518518519</v>
      </c>
      <c r="G5062" s="67" t="s">
        <v>453</v>
      </c>
      <c r="H5062" s="68">
        <v>4.28</v>
      </c>
      <c r="I5062" s="76"/>
      <c r="J5062" s="67">
        <f t="shared" ref="J5062:J5065" si="313">IF(B5062="SLD",D5062*E5062,-D5062*E5062)-H5062</f>
        <v>30577.32</v>
      </c>
      <c r="K5062" s="7"/>
      <c r="L5062" s="70"/>
      <c r="M5062" s="79"/>
      <c r="N5062" s="1"/>
      <c r="O5062" s="1"/>
      <c r="P5062" s="1"/>
      <c r="Q5062" s="1"/>
      <c r="R5062" s="1"/>
      <c r="S5062" s="1"/>
      <c r="T5062" s="1"/>
      <c r="U5062" s="1"/>
      <c r="V5062" s="1"/>
      <c r="W5062" s="1"/>
      <c r="X5062" s="1"/>
      <c r="Y5062" s="1"/>
      <c r="Z5062" s="1"/>
      <c r="AA5062" s="1"/>
      <c r="AB5062" s="1"/>
      <c r="AC5062" s="1"/>
      <c r="AD5062" s="1"/>
      <c r="AE5062" s="1"/>
      <c r="AF5062" s="1"/>
      <c r="AG5062" s="1"/>
      <c r="AH5062" s="1"/>
    </row>
    <row r="5063" ht="12.75" hidden="1" customHeight="1" outlineLevel="1">
      <c r="A5063" s="17">
        <v>41920.0</v>
      </c>
      <c r="B5063" s="1" t="s">
        <v>343</v>
      </c>
      <c r="C5063" s="1" t="s">
        <v>1255</v>
      </c>
      <c r="D5063" s="74">
        <v>450.0</v>
      </c>
      <c r="E5063" s="67">
        <v>67.575</v>
      </c>
      <c r="F5063" s="75">
        <v>0.6484606481481482</v>
      </c>
      <c r="G5063" s="67" t="s">
        <v>453</v>
      </c>
      <c r="H5063" s="68">
        <v>1.8</v>
      </c>
      <c r="I5063" s="76"/>
      <c r="J5063" s="67">
        <f t="shared" si="313"/>
        <v>-30410.55</v>
      </c>
      <c r="K5063" s="7"/>
      <c r="L5063" s="70"/>
      <c r="M5063" s="79"/>
      <c r="N5063" s="1"/>
      <c r="O5063" s="1"/>
      <c r="P5063" s="1"/>
      <c r="Q5063" s="1"/>
      <c r="R5063" s="1"/>
      <c r="S5063" s="1"/>
      <c r="T5063" s="1"/>
      <c r="U5063" s="1"/>
      <c r="V5063" s="1"/>
      <c r="W5063" s="1"/>
      <c r="X5063" s="1"/>
      <c r="Y5063" s="1"/>
      <c r="Z5063" s="1"/>
      <c r="AA5063" s="1"/>
      <c r="AB5063" s="1"/>
      <c r="AC5063" s="1"/>
      <c r="AD5063" s="1"/>
      <c r="AE5063" s="1"/>
      <c r="AF5063" s="1"/>
      <c r="AG5063" s="1"/>
      <c r="AH5063" s="1"/>
    </row>
    <row r="5064" ht="12.75" hidden="1" customHeight="1" outlineLevel="1">
      <c r="A5064" s="17">
        <v>41920.0</v>
      </c>
      <c r="B5064" s="1" t="s">
        <v>347</v>
      </c>
      <c r="C5064" s="1" t="s">
        <v>344</v>
      </c>
      <c r="D5064" s="74">
        <v>500.0</v>
      </c>
      <c r="E5064" s="67">
        <v>50.631</v>
      </c>
      <c r="F5064" s="75">
        <v>0.44820601851851855</v>
      </c>
      <c r="G5064" s="67" t="s">
        <v>453</v>
      </c>
      <c r="H5064" s="68">
        <v>2.56</v>
      </c>
      <c r="I5064" s="76"/>
      <c r="J5064" s="67">
        <f t="shared" si="313"/>
        <v>25312.94</v>
      </c>
      <c r="K5064" s="7"/>
      <c r="L5064" s="70"/>
      <c r="M5064" s="79"/>
      <c r="N5064" s="1"/>
      <c r="O5064" s="1"/>
      <c r="P5064" s="1"/>
      <c r="Q5064" s="1"/>
      <c r="R5064" s="1"/>
      <c r="S5064" s="1"/>
      <c r="T5064" s="1"/>
      <c r="U5064" s="1"/>
      <c r="V5064" s="1"/>
      <c r="W5064" s="1"/>
      <c r="X5064" s="1"/>
      <c r="Y5064" s="1"/>
      <c r="Z5064" s="1"/>
      <c r="AA5064" s="1"/>
      <c r="AB5064" s="1"/>
      <c r="AC5064" s="1"/>
      <c r="AD5064" s="1"/>
      <c r="AE5064" s="1"/>
      <c r="AF5064" s="1"/>
      <c r="AG5064" s="1"/>
      <c r="AH5064" s="1"/>
    </row>
    <row r="5065" ht="12.75" hidden="1" customHeight="1" outlineLevel="1">
      <c r="A5065" s="17">
        <v>41920.0</v>
      </c>
      <c r="B5065" s="1" t="s">
        <v>343</v>
      </c>
      <c r="C5065" s="1" t="s">
        <v>1382</v>
      </c>
      <c r="D5065" s="74">
        <v>225.0</v>
      </c>
      <c r="E5065" s="67">
        <v>126.35</v>
      </c>
      <c r="F5065" s="75">
        <v>0.6480324074074074</v>
      </c>
      <c r="G5065" s="67" t="s">
        <v>453</v>
      </c>
      <c r="H5065" s="68">
        <v>1.0</v>
      </c>
      <c r="I5065" s="76"/>
      <c r="J5065" s="67">
        <f t="shared" si="313"/>
        <v>-28429.75</v>
      </c>
      <c r="K5065" s="7"/>
      <c r="L5065" s="70"/>
      <c r="M5065" s="79"/>
      <c r="N5065" s="1"/>
      <c r="O5065" s="1"/>
      <c r="P5065" s="1"/>
      <c r="Q5065" s="1"/>
      <c r="R5065" s="1"/>
      <c r="S5065" s="1"/>
      <c r="T5065" s="1"/>
      <c r="U5065" s="1"/>
      <c r="V5065" s="1"/>
      <c r="W5065" s="1"/>
      <c r="X5065" s="1"/>
      <c r="Y5065" s="1"/>
      <c r="Z5065" s="1"/>
      <c r="AA5065" s="1"/>
      <c r="AB5065" s="1"/>
      <c r="AC5065" s="1"/>
      <c r="AD5065" s="1"/>
      <c r="AE5065" s="1"/>
      <c r="AF5065" s="1"/>
      <c r="AG5065" s="1"/>
      <c r="AH5065" s="1"/>
    </row>
    <row r="5066" ht="12.75" hidden="1" customHeight="1" outlineLevel="1">
      <c r="A5066" s="17">
        <v>41920.0</v>
      </c>
      <c r="B5066" s="1"/>
      <c r="C5066" s="1" t="s">
        <v>339</v>
      </c>
      <c r="D5066" s="74"/>
      <c r="E5066" s="67"/>
      <c r="F5066" s="75"/>
      <c r="G5066" s="67"/>
      <c r="H5066" s="68"/>
      <c r="I5066" s="76"/>
      <c r="J5066" s="67"/>
      <c r="K5066" s="7" t="s">
        <v>2190</v>
      </c>
      <c r="L5066" s="77"/>
      <c r="M5066" s="79"/>
      <c r="N5066" s="1"/>
      <c r="O5066" s="1"/>
      <c r="P5066" s="1"/>
      <c r="Q5066" s="1"/>
      <c r="R5066" s="1"/>
      <c r="S5066" s="1"/>
      <c r="T5066" s="1"/>
      <c r="U5066" s="1"/>
      <c r="V5066" s="1"/>
      <c r="W5066" s="1"/>
      <c r="X5066" s="1"/>
      <c r="Y5066" s="1"/>
      <c r="Z5066" s="1"/>
      <c r="AA5066" s="1"/>
      <c r="AB5066" s="1"/>
      <c r="AC5066" s="1"/>
      <c r="AD5066" s="1"/>
      <c r="AE5066" s="1"/>
      <c r="AF5066" s="1"/>
      <c r="AG5066" s="1"/>
      <c r="AH5066" s="1"/>
    </row>
    <row r="5067" ht="12.75" hidden="1" customHeight="1" outlineLevel="1">
      <c r="A5067" s="17">
        <v>41920.0</v>
      </c>
      <c r="B5067" s="1"/>
      <c r="C5067" s="1" t="s">
        <v>429</v>
      </c>
      <c r="D5067" s="74"/>
      <c r="E5067" s="67"/>
      <c r="F5067" s="75"/>
      <c r="G5067" s="67"/>
      <c r="H5067" s="68"/>
      <c r="I5067" s="76"/>
      <c r="J5067" s="67"/>
      <c r="K5067" s="7" t="s">
        <v>2182</v>
      </c>
      <c r="L5067" s="77"/>
      <c r="M5067" s="79"/>
      <c r="N5067" s="1"/>
      <c r="O5067" s="1"/>
      <c r="P5067" s="1"/>
      <c r="Q5067" s="1"/>
      <c r="R5067" s="1"/>
      <c r="S5067" s="1"/>
      <c r="T5067" s="1"/>
      <c r="U5067" s="1"/>
      <c r="V5067" s="1"/>
      <c r="W5067" s="1"/>
      <c r="X5067" s="1"/>
      <c r="Y5067" s="1"/>
      <c r="Z5067" s="1"/>
      <c r="AA5067" s="1"/>
      <c r="AB5067" s="1"/>
      <c r="AC5067" s="1"/>
      <c r="AD5067" s="1"/>
      <c r="AE5067" s="1"/>
      <c r="AF5067" s="1"/>
      <c r="AG5067" s="1"/>
      <c r="AH5067" s="1"/>
    </row>
    <row r="5068" ht="12.75" hidden="1" customHeight="1" outlineLevel="1">
      <c r="A5068" s="17">
        <v>41920.0</v>
      </c>
      <c r="B5068" s="1"/>
      <c r="C5068" s="1" t="s">
        <v>431</v>
      </c>
      <c r="D5068" s="74"/>
      <c r="E5068" s="67"/>
      <c r="F5068" s="75"/>
      <c r="G5068" s="67"/>
      <c r="H5068" s="68"/>
      <c r="I5068" s="76"/>
      <c r="J5068" s="67"/>
      <c r="K5068" s="7" t="s">
        <v>1126</v>
      </c>
      <c r="L5068" s="77"/>
      <c r="M5068" s="79"/>
      <c r="N5068" s="1"/>
      <c r="O5068" s="1"/>
      <c r="P5068" s="1"/>
      <c r="Q5068" s="1"/>
      <c r="R5068" s="1"/>
      <c r="S5068" s="1"/>
      <c r="T5068" s="1"/>
      <c r="U5068" s="1"/>
      <c r="V5068" s="1"/>
      <c r="W5068" s="1"/>
      <c r="X5068" s="1"/>
      <c r="Y5068" s="1"/>
      <c r="Z5068" s="1"/>
      <c r="AA5068" s="1"/>
      <c r="AB5068" s="1"/>
      <c r="AC5068" s="1"/>
      <c r="AD5068" s="1"/>
      <c r="AE5068" s="1"/>
      <c r="AF5068" s="1"/>
      <c r="AG5068" s="1"/>
      <c r="AH5068" s="1"/>
    </row>
    <row r="5069" ht="12.75" hidden="1" customHeight="1" outlineLevel="1">
      <c r="A5069" s="17">
        <v>41920.0</v>
      </c>
      <c r="B5069" s="1"/>
      <c r="C5069" s="1" t="s">
        <v>433</v>
      </c>
      <c r="D5069" s="74"/>
      <c r="E5069" s="67"/>
      <c r="F5069" s="75"/>
      <c r="G5069" s="67"/>
      <c r="H5069" s="68"/>
      <c r="I5069" s="76"/>
      <c r="J5069" s="67"/>
      <c r="K5069" s="7" t="s">
        <v>1103</v>
      </c>
      <c r="L5069" s="77"/>
      <c r="M5069" s="79"/>
      <c r="N5069" s="1"/>
      <c r="O5069" s="1"/>
      <c r="P5069" s="1"/>
      <c r="Q5069" s="1"/>
      <c r="R5069" s="1"/>
      <c r="S5069" s="1"/>
      <c r="T5069" s="1"/>
      <c r="U5069" s="1"/>
      <c r="V5069" s="1"/>
      <c r="W5069" s="1"/>
      <c r="X5069" s="1"/>
      <c r="Y5069" s="1"/>
      <c r="Z5069" s="1"/>
      <c r="AA5069" s="1"/>
      <c r="AB5069" s="1"/>
      <c r="AC5069" s="1"/>
      <c r="AD5069" s="1"/>
      <c r="AE5069" s="1"/>
      <c r="AF5069" s="1"/>
      <c r="AG5069" s="1"/>
      <c r="AH5069" s="1"/>
    </row>
    <row r="5070" ht="12.75" hidden="1" customHeight="1" outlineLevel="1">
      <c r="A5070" s="17">
        <v>41920.0</v>
      </c>
      <c r="B5070" s="1"/>
      <c r="C5070" s="1" t="s">
        <v>435</v>
      </c>
      <c r="D5070" s="74"/>
      <c r="E5070" s="67"/>
      <c r="F5070" s="75"/>
      <c r="G5070" s="67"/>
      <c r="H5070" s="68"/>
      <c r="I5070" s="76"/>
      <c r="J5070" s="67"/>
      <c r="K5070" s="7" t="s">
        <v>1507</v>
      </c>
      <c r="L5070" s="77"/>
      <c r="M5070" s="79"/>
      <c r="N5070" s="1"/>
      <c r="O5070" s="1"/>
      <c r="P5070" s="1"/>
      <c r="Q5070" s="1"/>
      <c r="R5070" s="1"/>
      <c r="S5070" s="1"/>
      <c r="T5070" s="1"/>
      <c r="U5070" s="1"/>
      <c r="V5070" s="1"/>
      <c r="W5070" s="1"/>
      <c r="X5070" s="1"/>
      <c r="Y5070" s="1"/>
      <c r="Z5070" s="1"/>
      <c r="AA5070" s="1"/>
      <c r="AB5070" s="1"/>
      <c r="AC5070" s="1"/>
      <c r="AD5070" s="1"/>
      <c r="AE5070" s="1"/>
      <c r="AF5070" s="1"/>
      <c r="AG5070" s="1"/>
      <c r="AH5070" s="1"/>
    </row>
    <row r="5071" ht="12.75" hidden="1" customHeight="1" outlineLevel="1">
      <c r="A5071" s="17">
        <v>41921.0</v>
      </c>
      <c r="B5071" s="1" t="s">
        <v>347</v>
      </c>
      <c r="C5071" s="1" t="s">
        <v>344</v>
      </c>
      <c r="D5071" s="74">
        <v>600.0</v>
      </c>
      <c r="E5071" s="67">
        <v>50.47</v>
      </c>
      <c r="F5071" s="75">
        <v>0.6615046296296296</v>
      </c>
      <c r="G5071" s="67" t="s">
        <v>453</v>
      </c>
      <c r="H5071" s="68">
        <v>3.27</v>
      </c>
      <c r="I5071" s="76"/>
      <c r="J5071" s="67">
        <f t="shared" ref="J5071:J5075" si="314">IF(B5071="SLD",D5071*E5071,-D5071*E5071)-H5071</f>
        <v>30278.73</v>
      </c>
      <c r="K5071" s="7"/>
      <c r="L5071" s="70"/>
      <c r="M5071" s="79"/>
      <c r="N5071" s="1"/>
      <c r="O5071" s="1"/>
      <c r="P5071" s="1"/>
      <c r="Q5071" s="1"/>
      <c r="R5071" s="1"/>
      <c r="S5071" s="1"/>
      <c r="T5071" s="1"/>
      <c r="U5071" s="1"/>
      <c r="V5071" s="1"/>
      <c r="W5071" s="1"/>
      <c r="X5071" s="1"/>
      <c r="Y5071" s="1"/>
      <c r="Z5071" s="1"/>
      <c r="AA5071" s="1"/>
      <c r="AB5071" s="1"/>
      <c r="AC5071" s="1"/>
      <c r="AD5071" s="1"/>
      <c r="AE5071" s="1"/>
      <c r="AF5071" s="1"/>
      <c r="AG5071" s="1"/>
      <c r="AH5071" s="1"/>
    </row>
    <row r="5072" ht="12.75" hidden="1" customHeight="1" outlineLevel="1">
      <c r="A5072" s="17">
        <v>41921.0</v>
      </c>
      <c r="B5072" s="1" t="s">
        <v>343</v>
      </c>
      <c r="C5072" s="1" t="s">
        <v>344</v>
      </c>
      <c r="D5072" s="74">
        <v>600.0</v>
      </c>
      <c r="E5072" s="67">
        <v>51.06</v>
      </c>
      <c r="F5072" s="75">
        <v>0.5666319444444444</v>
      </c>
      <c r="G5072" s="67" t="s">
        <v>453</v>
      </c>
      <c r="H5072" s="68">
        <v>3.0</v>
      </c>
      <c r="I5072" s="76"/>
      <c r="J5072" s="67">
        <f t="shared" si="314"/>
        <v>-30639</v>
      </c>
      <c r="K5072" s="7"/>
      <c r="L5072" s="70"/>
      <c r="M5072" s="79"/>
      <c r="N5072" s="1"/>
      <c r="O5072" s="1"/>
      <c r="P5072" s="1"/>
      <c r="Q5072" s="1"/>
      <c r="R5072" s="1"/>
      <c r="S5072" s="1"/>
      <c r="T5072" s="1"/>
      <c r="U5072" s="1"/>
      <c r="V5072" s="1"/>
      <c r="W5072" s="1"/>
      <c r="X5072" s="1"/>
      <c r="Y5072" s="1"/>
      <c r="Z5072" s="1"/>
      <c r="AA5072" s="1"/>
      <c r="AB5072" s="1"/>
      <c r="AC5072" s="1"/>
      <c r="AD5072" s="1"/>
      <c r="AE5072" s="1"/>
      <c r="AF5072" s="1"/>
      <c r="AG5072" s="1"/>
      <c r="AH5072" s="1"/>
    </row>
    <row r="5073" ht="12.75" hidden="1" customHeight="1" outlineLevel="1">
      <c r="A5073" s="17">
        <v>41921.0</v>
      </c>
      <c r="B5073" s="1" t="s">
        <v>347</v>
      </c>
      <c r="C5073" s="1" t="s">
        <v>1325</v>
      </c>
      <c r="D5073" s="74">
        <v>400.0</v>
      </c>
      <c r="E5073" s="67">
        <v>62.091</v>
      </c>
      <c r="F5073" s="75">
        <v>0.662326388888889</v>
      </c>
      <c r="G5073" s="67" t="s">
        <v>453</v>
      </c>
      <c r="H5073" s="68">
        <v>2.15</v>
      </c>
      <c r="I5073" s="76"/>
      <c r="J5073" s="67">
        <f t="shared" si="314"/>
        <v>24834.25</v>
      </c>
      <c r="K5073" s="7"/>
      <c r="L5073" s="70"/>
      <c r="M5073" s="79"/>
      <c r="N5073" s="1"/>
      <c r="O5073" s="1"/>
      <c r="P5073" s="1"/>
      <c r="Q5073" s="1"/>
      <c r="R5073" s="1"/>
      <c r="S5073" s="1"/>
      <c r="T5073" s="1"/>
      <c r="U5073" s="1"/>
      <c r="V5073" s="1"/>
      <c r="W5073" s="1"/>
      <c r="X5073" s="1"/>
      <c r="Y5073" s="1"/>
      <c r="Z5073" s="1"/>
      <c r="AA5073" s="1"/>
      <c r="AB5073" s="1"/>
      <c r="AC5073" s="1"/>
      <c r="AD5073" s="1"/>
      <c r="AE5073" s="1"/>
      <c r="AF5073" s="1"/>
      <c r="AG5073" s="1"/>
      <c r="AH5073" s="1"/>
    </row>
    <row r="5074" ht="12.75" hidden="1" customHeight="1" outlineLevel="1">
      <c r="A5074" s="17">
        <v>41921.0</v>
      </c>
      <c r="B5074" s="1" t="s">
        <v>347</v>
      </c>
      <c r="C5074" s="1" t="s">
        <v>1382</v>
      </c>
      <c r="D5074" s="74">
        <v>225.0</v>
      </c>
      <c r="E5074" s="67">
        <v>123.09</v>
      </c>
      <c r="F5074" s="75">
        <v>0.6619212962962963</v>
      </c>
      <c r="G5074" s="67" t="s">
        <v>453</v>
      </c>
      <c r="H5074" s="68">
        <v>1.74</v>
      </c>
      <c r="I5074" s="76"/>
      <c r="J5074" s="67">
        <f t="shared" si="314"/>
        <v>27693.51</v>
      </c>
      <c r="K5074" s="7"/>
      <c r="L5074" s="70"/>
      <c r="M5074" s="79"/>
      <c r="N5074" s="1"/>
      <c r="O5074" s="1"/>
      <c r="P5074" s="1"/>
      <c r="Q5074" s="1"/>
      <c r="R5074" s="1"/>
      <c r="S5074" s="1"/>
      <c r="T5074" s="1"/>
      <c r="U5074" s="1"/>
      <c r="V5074" s="1"/>
      <c r="W5074" s="1"/>
      <c r="X5074" s="1"/>
      <c r="Y5074" s="1"/>
      <c r="Z5074" s="1"/>
      <c r="AA5074" s="1"/>
      <c r="AB5074" s="1"/>
      <c r="AC5074" s="1"/>
      <c r="AD5074" s="1"/>
      <c r="AE5074" s="1"/>
      <c r="AF5074" s="1"/>
      <c r="AG5074" s="1"/>
      <c r="AH5074" s="1"/>
    </row>
    <row r="5075" ht="12.75" hidden="1" customHeight="1" outlineLevel="1">
      <c r="A5075" s="17">
        <v>41921.0</v>
      </c>
      <c r="B5075" s="1" t="s">
        <v>347</v>
      </c>
      <c r="C5075" s="1" t="s">
        <v>1766</v>
      </c>
      <c r="D5075" s="74">
        <v>500.0</v>
      </c>
      <c r="E5075" s="67">
        <v>62.011</v>
      </c>
      <c r="F5075" s="75">
        <v>0.6645717592592593</v>
      </c>
      <c r="G5075" s="67" t="s">
        <v>453</v>
      </c>
      <c r="H5075" s="68">
        <v>2.69</v>
      </c>
      <c r="I5075" s="76"/>
      <c r="J5075" s="67">
        <f t="shared" si="314"/>
        <v>31002.81</v>
      </c>
      <c r="K5075" s="7"/>
      <c r="L5075" s="70"/>
      <c r="M5075" s="79"/>
      <c r="N5075" s="1"/>
      <c r="O5075" s="1"/>
      <c r="P5075" s="1"/>
      <c r="Q5075" s="1"/>
      <c r="R5075" s="1"/>
      <c r="S5075" s="1"/>
      <c r="T5075" s="1"/>
      <c r="U5075" s="1"/>
      <c r="V5075" s="1"/>
      <c r="W5075" s="1"/>
      <c r="X5075" s="1"/>
      <c r="Y5075" s="1"/>
      <c r="Z5075" s="1"/>
      <c r="AA5075" s="1"/>
      <c r="AB5075" s="1"/>
      <c r="AC5075" s="1"/>
      <c r="AD5075" s="1"/>
      <c r="AE5075" s="1"/>
      <c r="AF5075" s="1"/>
      <c r="AG5075" s="1"/>
      <c r="AH5075" s="1"/>
    </row>
    <row r="5076" ht="12.75" hidden="1" customHeight="1" outlineLevel="1">
      <c r="A5076" s="17">
        <v>41921.0</v>
      </c>
      <c r="B5076" s="1"/>
      <c r="C5076" s="1" t="s">
        <v>339</v>
      </c>
      <c r="D5076" s="74"/>
      <c r="E5076" s="67"/>
      <c r="F5076" s="75"/>
      <c r="G5076" s="67"/>
      <c r="H5076" s="68"/>
      <c r="I5076" s="76"/>
      <c r="J5076" s="67"/>
      <c r="K5076" s="7" t="s">
        <v>2199</v>
      </c>
      <c r="L5076" s="77"/>
      <c r="M5076" s="79"/>
      <c r="N5076" s="1"/>
      <c r="O5076" s="1"/>
      <c r="P5076" s="1"/>
      <c r="Q5076" s="1"/>
      <c r="R5076" s="1"/>
      <c r="S5076" s="1"/>
      <c r="T5076" s="1"/>
      <c r="U5076" s="1"/>
      <c r="V5076" s="1"/>
      <c r="W5076" s="1"/>
      <c r="X5076" s="1"/>
      <c r="Y5076" s="1"/>
      <c r="Z5076" s="1"/>
      <c r="AA5076" s="1"/>
      <c r="AB5076" s="1"/>
      <c r="AC5076" s="1"/>
      <c r="AD5076" s="1"/>
      <c r="AE5076" s="1"/>
      <c r="AF5076" s="1"/>
      <c r="AG5076" s="1"/>
      <c r="AH5076" s="1"/>
    </row>
    <row r="5077" ht="12.75" hidden="1" customHeight="1" outlineLevel="1">
      <c r="A5077" s="17">
        <v>41921.0</v>
      </c>
      <c r="B5077" s="1"/>
      <c r="C5077" s="1" t="s">
        <v>429</v>
      </c>
      <c r="D5077" s="74"/>
      <c r="E5077" s="67"/>
      <c r="F5077" s="75"/>
      <c r="G5077" s="67"/>
      <c r="H5077" s="68"/>
      <c r="I5077" s="76"/>
      <c r="J5077" s="67"/>
      <c r="K5077" s="7" t="s">
        <v>2182</v>
      </c>
      <c r="L5077" s="77"/>
      <c r="M5077" s="79"/>
      <c r="N5077" s="1"/>
      <c r="O5077" s="1"/>
      <c r="P5077" s="1"/>
      <c r="Q5077" s="1"/>
      <c r="R5077" s="1"/>
      <c r="S5077" s="1"/>
      <c r="T5077" s="1"/>
      <c r="U5077" s="1"/>
      <c r="V5077" s="1"/>
      <c r="W5077" s="1"/>
      <c r="X5077" s="1"/>
      <c r="Y5077" s="1"/>
      <c r="Z5077" s="1"/>
      <c r="AA5077" s="1"/>
      <c r="AB5077" s="1"/>
      <c r="AC5077" s="1"/>
      <c r="AD5077" s="1"/>
      <c r="AE5077" s="1"/>
      <c r="AF5077" s="1"/>
      <c r="AG5077" s="1"/>
      <c r="AH5077" s="1"/>
    </row>
    <row r="5078" ht="12.75" hidden="1" customHeight="1" outlineLevel="1">
      <c r="A5078" s="17">
        <v>41921.0</v>
      </c>
      <c r="B5078" s="1"/>
      <c r="C5078" s="1" t="s">
        <v>431</v>
      </c>
      <c r="D5078" s="74"/>
      <c r="E5078" s="67"/>
      <c r="F5078" s="75"/>
      <c r="G5078" s="67"/>
      <c r="H5078" s="68"/>
      <c r="I5078" s="76"/>
      <c r="J5078" s="67"/>
      <c r="K5078" s="7" t="s">
        <v>1126</v>
      </c>
      <c r="L5078" s="77"/>
      <c r="M5078" s="79"/>
      <c r="N5078" s="1"/>
      <c r="O5078" s="1"/>
      <c r="P5078" s="1"/>
      <c r="Q5078" s="1"/>
      <c r="R5078" s="1"/>
      <c r="S5078" s="1"/>
      <c r="T5078" s="1"/>
      <c r="U5078" s="1"/>
      <c r="V5078" s="1"/>
      <c r="W5078" s="1"/>
      <c r="X5078" s="1"/>
      <c r="Y5078" s="1"/>
      <c r="Z5078" s="1"/>
      <c r="AA5078" s="1"/>
      <c r="AB5078" s="1"/>
      <c r="AC5078" s="1"/>
      <c r="AD5078" s="1"/>
      <c r="AE5078" s="1"/>
      <c r="AF5078" s="1"/>
      <c r="AG5078" s="1"/>
      <c r="AH5078" s="1"/>
    </row>
    <row r="5079" ht="12.75" hidden="1" customHeight="1" outlineLevel="1">
      <c r="A5079" s="17">
        <v>41921.0</v>
      </c>
      <c r="B5079" s="1"/>
      <c r="C5079" s="1" t="s">
        <v>433</v>
      </c>
      <c r="D5079" s="74"/>
      <c r="E5079" s="67"/>
      <c r="F5079" s="75"/>
      <c r="G5079" s="67"/>
      <c r="H5079" s="68"/>
      <c r="I5079" s="76"/>
      <c r="J5079" s="67"/>
      <c r="K5079" s="7" t="s">
        <v>1103</v>
      </c>
      <c r="L5079" s="77"/>
      <c r="M5079" s="79"/>
      <c r="N5079" s="1"/>
      <c r="O5079" s="1"/>
      <c r="P5079" s="1"/>
      <c r="Q5079" s="1"/>
      <c r="R5079" s="1"/>
      <c r="S5079" s="1"/>
      <c r="T5079" s="1"/>
      <c r="U5079" s="1"/>
      <c r="V5079" s="1"/>
      <c r="W5079" s="1"/>
      <c r="X5079" s="1"/>
      <c r="Y5079" s="1"/>
      <c r="Z5079" s="1"/>
      <c r="AA5079" s="1"/>
      <c r="AB5079" s="1"/>
      <c r="AC5079" s="1"/>
      <c r="AD5079" s="1"/>
      <c r="AE5079" s="1"/>
      <c r="AF5079" s="1"/>
      <c r="AG5079" s="1"/>
      <c r="AH5079" s="1"/>
    </row>
    <row r="5080" ht="12.75" hidden="1" customHeight="1" outlineLevel="1">
      <c r="A5080" s="17">
        <v>41921.0</v>
      </c>
      <c r="B5080" s="1"/>
      <c r="C5080" s="1" t="s">
        <v>435</v>
      </c>
      <c r="D5080" s="74"/>
      <c r="E5080" s="67"/>
      <c r="F5080" s="75"/>
      <c r="G5080" s="67"/>
      <c r="H5080" s="68"/>
      <c r="I5080" s="76"/>
      <c r="J5080" s="67"/>
      <c r="K5080" s="7" t="s">
        <v>1507</v>
      </c>
      <c r="L5080" s="77"/>
      <c r="M5080" s="79"/>
      <c r="N5080" s="1"/>
      <c r="O5080" s="1"/>
      <c r="P5080" s="1"/>
      <c r="Q5080" s="1"/>
      <c r="R5080" s="1"/>
      <c r="S5080" s="1"/>
      <c r="T5080" s="1"/>
      <c r="U5080" s="1"/>
      <c r="V5080" s="1"/>
      <c r="W5080" s="1"/>
      <c r="X5080" s="1"/>
      <c r="Y5080" s="1"/>
      <c r="Z5080" s="1"/>
      <c r="AA5080" s="1"/>
      <c r="AB5080" s="1"/>
      <c r="AC5080" s="1"/>
      <c r="AD5080" s="1"/>
      <c r="AE5080" s="1"/>
      <c r="AF5080" s="1"/>
      <c r="AG5080" s="1"/>
      <c r="AH5080" s="1"/>
    </row>
    <row r="5081" ht="12.75" hidden="1" customHeight="1" outlineLevel="1">
      <c r="A5081" s="17">
        <v>41922.0</v>
      </c>
      <c r="B5081" s="1" t="s">
        <v>347</v>
      </c>
      <c r="C5081" s="1" t="s">
        <v>1082</v>
      </c>
      <c r="D5081" s="74">
        <v>10.0</v>
      </c>
      <c r="E5081" s="67">
        <v>507.51</v>
      </c>
      <c r="F5081" s="75">
        <v>0.4627662037037037</v>
      </c>
      <c r="G5081" s="67" t="s">
        <v>453</v>
      </c>
      <c r="H5081" s="68">
        <v>1.11</v>
      </c>
      <c r="I5081" s="76"/>
      <c r="J5081" s="67">
        <f t="shared" ref="J5081:J5085" si="315">IF(B5081="SLD",D5081*E5081,-D5081*E5081)-H5081</f>
        <v>5073.99</v>
      </c>
      <c r="K5081" s="7"/>
      <c r="L5081" s="70"/>
      <c r="M5081" s="79"/>
      <c r="N5081" s="1"/>
      <c r="O5081" s="1"/>
      <c r="P5081" s="1"/>
      <c r="Q5081" s="1"/>
      <c r="R5081" s="1"/>
      <c r="S5081" s="1"/>
      <c r="T5081" s="1"/>
      <c r="U5081" s="1"/>
      <c r="V5081" s="1"/>
      <c r="W5081" s="1"/>
      <c r="X5081" s="1"/>
      <c r="Y5081" s="1"/>
      <c r="Z5081" s="1"/>
      <c r="AA5081" s="1"/>
      <c r="AB5081" s="1"/>
      <c r="AC5081" s="1"/>
      <c r="AD5081" s="1"/>
      <c r="AE5081" s="1"/>
      <c r="AF5081" s="1"/>
      <c r="AG5081" s="1"/>
      <c r="AH5081" s="1"/>
    </row>
    <row r="5082" ht="12.75" hidden="1" customHeight="1" outlineLevel="1">
      <c r="A5082" s="17">
        <v>41922.0</v>
      </c>
      <c r="B5082" s="1" t="s">
        <v>347</v>
      </c>
      <c r="C5082" s="1" t="s">
        <v>364</v>
      </c>
      <c r="D5082" s="74">
        <v>40.0</v>
      </c>
      <c r="E5082" s="67">
        <v>139.6</v>
      </c>
      <c r="F5082" s="75">
        <v>0.46471064814814816</v>
      </c>
      <c r="G5082" s="67" t="s">
        <v>453</v>
      </c>
      <c r="H5082" s="68">
        <v>1.12</v>
      </c>
      <c r="I5082" s="76"/>
      <c r="J5082" s="67">
        <f t="shared" si="315"/>
        <v>5582.88</v>
      </c>
      <c r="K5082" s="7"/>
      <c r="L5082" s="70"/>
      <c r="M5082" s="79"/>
      <c r="N5082" s="1"/>
      <c r="O5082" s="1"/>
      <c r="P5082" s="1"/>
      <c r="Q5082" s="1"/>
      <c r="R5082" s="1"/>
      <c r="S5082" s="1"/>
      <c r="T5082" s="1"/>
      <c r="U5082" s="1"/>
      <c r="V5082" s="1"/>
      <c r="W5082" s="1"/>
      <c r="X5082" s="1"/>
      <c r="Y5082" s="1"/>
      <c r="Z5082" s="1"/>
      <c r="AA5082" s="1"/>
      <c r="AB5082" s="1"/>
      <c r="AC5082" s="1"/>
      <c r="AD5082" s="1"/>
      <c r="AE5082" s="1"/>
      <c r="AF5082" s="1"/>
      <c r="AG5082" s="1"/>
      <c r="AH5082" s="1"/>
    </row>
    <row r="5083" ht="12.75" hidden="1" customHeight="1" outlineLevel="1">
      <c r="A5083" s="17">
        <v>41922.0</v>
      </c>
      <c r="B5083" s="1" t="s">
        <v>347</v>
      </c>
      <c r="C5083" s="1" t="s">
        <v>356</v>
      </c>
      <c r="D5083" s="74">
        <v>15.0</v>
      </c>
      <c r="E5083" s="67">
        <v>359.03</v>
      </c>
      <c r="F5083" s="75">
        <v>0.4602777777777778</v>
      </c>
      <c r="G5083" s="67" t="s">
        <v>453</v>
      </c>
      <c r="H5083" s="68">
        <v>1.12</v>
      </c>
      <c r="I5083" s="76"/>
      <c r="J5083" s="67">
        <f t="shared" si="315"/>
        <v>5384.33</v>
      </c>
      <c r="K5083" s="7"/>
      <c r="L5083" s="70"/>
      <c r="M5083" s="79"/>
      <c r="N5083" s="1"/>
      <c r="O5083" s="1"/>
      <c r="P5083" s="1"/>
      <c r="Q5083" s="1"/>
      <c r="R5083" s="1"/>
      <c r="S5083" s="1"/>
      <c r="T5083" s="1"/>
      <c r="U5083" s="1"/>
      <c r="V5083" s="1"/>
      <c r="W5083" s="1"/>
      <c r="X5083" s="1"/>
      <c r="Y5083" s="1"/>
      <c r="Z5083" s="1"/>
      <c r="AA5083" s="1"/>
      <c r="AB5083" s="1"/>
      <c r="AC5083" s="1"/>
      <c r="AD5083" s="1"/>
      <c r="AE5083" s="1"/>
      <c r="AF5083" s="1"/>
      <c r="AG5083" s="1"/>
      <c r="AH5083" s="1"/>
    </row>
    <row r="5084" ht="12.75" hidden="1" customHeight="1" outlineLevel="1">
      <c r="A5084" s="17">
        <v>41922.0</v>
      </c>
      <c r="B5084" s="1" t="s">
        <v>347</v>
      </c>
      <c r="C5084" s="1" t="s">
        <v>1162</v>
      </c>
      <c r="D5084" s="74">
        <v>300.0</v>
      </c>
      <c r="E5084" s="67">
        <v>116.36</v>
      </c>
      <c r="F5084" s="75">
        <v>0.4340046296296296</v>
      </c>
      <c r="G5084" s="67" t="s">
        <v>453</v>
      </c>
      <c r="H5084" s="68">
        <v>2.07</v>
      </c>
      <c r="I5084" s="76"/>
      <c r="J5084" s="67">
        <f t="shared" si="315"/>
        <v>34905.93</v>
      </c>
      <c r="K5084" s="7"/>
      <c r="L5084" s="70"/>
      <c r="M5084" s="79"/>
      <c r="N5084" s="1"/>
      <c r="O5084" s="1"/>
      <c r="P5084" s="1"/>
      <c r="Q5084" s="1"/>
      <c r="R5084" s="1"/>
      <c r="S5084" s="1"/>
      <c r="T5084" s="1"/>
      <c r="U5084" s="1"/>
      <c r="V5084" s="1"/>
      <c r="W5084" s="1"/>
      <c r="X5084" s="1"/>
      <c r="Y5084" s="1"/>
      <c r="Z5084" s="1"/>
      <c r="AA5084" s="1"/>
      <c r="AB5084" s="1"/>
      <c r="AC5084" s="1"/>
      <c r="AD5084" s="1"/>
      <c r="AE5084" s="1"/>
      <c r="AF5084" s="1"/>
      <c r="AG5084" s="1"/>
      <c r="AH5084" s="1"/>
    </row>
    <row r="5085" ht="12.75" hidden="1" customHeight="1" outlineLevel="1">
      <c r="A5085" s="17">
        <v>41922.0</v>
      </c>
      <c r="B5085" s="1" t="s">
        <v>347</v>
      </c>
      <c r="C5085" s="1" t="s">
        <v>1185</v>
      </c>
      <c r="D5085" s="74">
        <v>25.0</v>
      </c>
      <c r="E5085" s="67">
        <v>250.1</v>
      </c>
      <c r="F5085" s="75">
        <v>0.4590625</v>
      </c>
      <c r="G5085" s="67" t="s">
        <v>453</v>
      </c>
      <c r="H5085" s="68">
        <v>1.14</v>
      </c>
      <c r="I5085" s="76"/>
      <c r="J5085" s="67">
        <f t="shared" si="315"/>
        <v>6251.36</v>
      </c>
      <c r="K5085" s="7"/>
      <c r="L5085" s="70"/>
      <c r="M5085" s="79"/>
      <c r="N5085" s="1"/>
      <c r="O5085" s="1"/>
      <c r="P5085" s="1"/>
      <c r="Q5085" s="1"/>
      <c r="R5085" s="1"/>
      <c r="S5085" s="1"/>
      <c r="T5085" s="1"/>
      <c r="U5085" s="1"/>
      <c r="V5085" s="1"/>
      <c r="W5085" s="1"/>
      <c r="X5085" s="1"/>
      <c r="Y5085" s="1"/>
      <c r="Z5085" s="1"/>
      <c r="AA5085" s="1"/>
      <c r="AB5085" s="1"/>
      <c r="AC5085" s="1"/>
      <c r="AD5085" s="1"/>
      <c r="AE5085" s="1"/>
      <c r="AF5085" s="1"/>
      <c r="AG5085" s="1"/>
      <c r="AH5085" s="1"/>
    </row>
    <row r="5086" ht="12.75" hidden="1" customHeight="1" outlineLevel="1">
      <c r="A5086" s="17">
        <v>41922.0</v>
      </c>
      <c r="B5086" s="1"/>
      <c r="C5086" s="1" t="s">
        <v>339</v>
      </c>
      <c r="D5086" s="74"/>
      <c r="E5086" s="67"/>
      <c r="F5086" s="75"/>
      <c r="G5086" s="67"/>
      <c r="H5086" s="68"/>
      <c r="I5086" s="76"/>
      <c r="J5086" s="67"/>
      <c r="K5086" s="7" t="s">
        <v>2205</v>
      </c>
      <c r="L5086" s="77"/>
      <c r="M5086" s="79"/>
      <c r="N5086" s="1"/>
      <c r="O5086" s="1"/>
      <c r="P5086" s="1"/>
      <c r="Q5086" s="1"/>
      <c r="R5086" s="1"/>
      <c r="S5086" s="1"/>
      <c r="T5086" s="1"/>
      <c r="U5086" s="1"/>
      <c r="V5086" s="1"/>
      <c r="W5086" s="1"/>
      <c r="X5086" s="1"/>
      <c r="Y5086" s="1"/>
      <c r="Z5086" s="1"/>
      <c r="AA5086" s="1"/>
      <c r="AB5086" s="1"/>
      <c r="AC5086" s="1"/>
      <c r="AD5086" s="1"/>
      <c r="AE5086" s="1"/>
      <c r="AF5086" s="1"/>
      <c r="AG5086" s="1"/>
      <c r="AH5086" s="1"/>
    </row>
    <row r="5087" ht="12.75" hidden="1" customHeight="1" outlineLevel="1">
      <c r="A5087" s="17">
        <v>41922.0</v>
      </c>
      <c r="B5087" s="1"/>
      <c r="C5087" s="1" t="s">
        <v>429</v>
      </c>
      <c r="D5087" s="74"/>
      <c r="E5087" s="67"/>
      <c r="F5087" s="75"/>
      <c r="G5087" s="67"/>
      <c r="H5087" s="68"/>
      <c r="I5087" s="76"/>
      <c r="J5087" s="67"/>
      <c r="K5087" s="7" t="s">
        <v>2182</v>
      </c>
      <c r="L5087" s="77"/>
      <c r="M5087" s="79"/>
      <c r="N5087" s="1"/>
      <c r="O5087" s="1"/>
      <c r="P5087" s="1"/>
      <c r="Q5087" s="1"/>
      <c r="R5087" s="1"/>
      <c r="S5087" s="1"/>
      <c r="T5087" s="1"/>
      <c r="U5087" s="1"/>
      <c r="V5087" s="1"/>
      <c r="W5087" s="1"/>
      <c r="X5087" s="1"/>
      <c r="Y5087" s="1"/>
      <c r="Z5087" s="1"/>
      <c r="AA5087" s="1"/>
      <c r="AB5087" s="1"/>
      <c r="AC5087" s="1"/>
      <c r="AD5087" s="1"/>
      <c r="AE5087" s="1"/>
      <c r="AF5087" s="1"/>
      <c r="AG5087" s="1"/>
      <c r="AH5087" s="1"/>
    </row>
    <row r="5088" ht="12.75" hidden="1" customHeight="1" outlineLevel="1">
      <c r="A5088" s="17">
        <v>41922.0</v>
      </c>
      <c r="B5088" s="1"/>
      <c r="C5088" s="1" t="s">
        <v>431</v>
      </c>
      <c r="D5088" s="74"/>
      <c r="E5088" s="67"/>
      <c r="F5088" s="75"/>
      <c r="G5088" s="67"/>
      <c r="H5088" s="68"/>
      <c r="I5088" s="76"/>
      <c r="J5088" s="67"/>
      <c r="K5088" s="7" t="s">
        <v>1126</v>
      </c>
      <c r="L5088" s="77"/>
      <c r="M5088" s="79"/>
      <c r="N5088" s="1"/>
      <c r="O5088" s="1"/>
      <c r="P5088" s="1"/>
      <c r="Q5088" s="1"/>
      <c r="R5088" s="1"/>
      <c r="S5088" s="1"/>
      <c r="T5088" s="1"/>
      <c r="U5088" s="1"/>
      <c r="V5088" s="1"/>
      <c r="W5088" s="1"/>
      <c r="X5088" s="1"/>
      <c r="Y5088" s="1"/>
      <c r="Z5088" s="1"/>
      <c r="AA5088" s="1"/>
      <c r="AB5088" s="1"/>
      <c r="AC5088" s="1"/>
      <c r="AD5088" s="1"/>
      <c r="AE5088" s="1"/>
      <c r="AF5088" s="1"/>
      <c r="AG5088" s="1"/>
      <c r="AH5088" s="1"/>
    </row>
    <row r="5089" ht="12.75" hidden="1" customHeight="1" outlineLevel="1">
      <c r="A5089" s="17">
        <v>41922.0</v>
      </c>
      <c r="B5089" s="1"/>
      <c r="C5089" s="1" t="s">
        <v>433</v>
      </c>
      <c r="D5089" s="74"/>
      <c r="E5089" s="67"/>
      <c r="F5089" s="75"/>
      <c r="G5089" s="67"/>
      <c r="H5089" s="68"/>
      <c r="I5089" s="76"/>
      <c r="J5089" s="67"/>
      <c r="K5089" s="7" t="s">
        <v>1103</v>
      </c>
      <c r="L5089" s="77"/>
      <c r="M5089" s="79"/>
      <c r="N5089" s="1"/>
      <c r="O5089" s="1"/>
      <c r="P5089" s="1"/>
      <c r="Q5089" s="1"/>
      <c r="R5089" s="1"/>
      <c r="S5089" s="1"/>
      <c r="T5089" s="1"/>
      <c r="U5089" s="1"/>
      <c r="V5089" s="1"/>
      <c r="W5089" s="1"/>
      <c r="X5089" s="1"/>
      <c r="Y5089" s="1"/>
      <c r="Z5089" s="1"/>
      <c r="AA5089" s="1"/>
      <c r="AB5089" s="1"/>
      <c r="AC5089" s="1"/>
      <c r="AD5089" s="1"/>
      <c r="AE5089" s="1"/>
      <c r="AF5089" s="1"/>
      <c r="AG5089" s="1"/>
      <c r="AH5089" s="1"/>
    </row>
    <row r="5090" ht="12.75" hidden="1" customHeight="1" outlineLevel="1">
      <c r="A5090" s="17">
        <v>41922.0</v>
      </c>
      <c r="B5090" s="1"/>
      <c r="C5090" s="1" t="s">
        <v>435</v>
      </c>
      <c r="D5090" s="74"/>
      <c r="E5090" s="67"/>
      <c r="F5090" s="75"/>
      <c r="G5090" s="67"/>
      <c r="H5090" s="68"/>
      <c r="I5090" s="76"/>
      <c r="J5090" s="67"/>
      <c r="K5090" s="7" t="s">
        <v>1507</v>
      </c>
      <c r="L5090" s="77"/>
      <c r="M5090" s="79"/>
      <c r="N5090" s="1"/>
      <c r="O5090" s="1"/>
      <c r="P5090" s="1"/>
      <c r="Q5090" s="1"/>
      <c r="R5090" s="1"/>
      <c r="S5090" s="1"/>
      <c r="T5090" s="1"/>
      <c r="U5090" s="1"/>
      <c r="V5090" s="1"/>
      <c r="W5090" s="1"/>
      <c r="X5090" s="1"/>
      <c r="Y5090" s="1"/>
      <c r="Z5090" s="1"/>
      <c r="AA5090" s="1"/>
      <c r="AB5090" s="1"/>
      <c r="AC5090" s="1"/>
      <c r="AD5090" s="1"/>
      <c r="AE5090" s="1"/>
      <c r="AF5090" s="1"/>
      <c r="AG5090" s="1"/>
      <c r="AH5090" s="1"/>
    </row>
    <row r="5091" ht="12.75" hidden="1" customHeight="1" outlineLevel="1">
      <c r="A5091" s="17">
        <v>41925.0</v>
      </c>
      <c r="B5091" s="1" t="s">
        <v>343</v>
      </c>
      <c r="C5091" s="1" t="s">
        <v>344</v>
      </c>
      <c r="D5091" s="74">
        <v>600.0</v>
      </c>
      <c r="E5091" s="67">
        <v>50.26</v>
      </c>
      <c r="F5091" s="75">
        <v>0.5259375000000001</v>
      </c>
      <c r="G5091" s="67" t="s">
        <v>453</v>
      </c>
      <c r="H5091" s="68">
        <v>3.0</v>
      </c>
      <c r="I5091" s="76"/>
      <c r="J5091" s="67">
        <f t="shared" ref="J5091:J5100" si="316">IF(B5091="SLD",D5091*E5091,-D5091*E5091)-H5091</f>
        <v>-30159</v>
      </c>
      <c r="K5091" s="7"/>
      <c r="L5091" s="70"/>
      <c r="M5091" s="79"/>
      <c r="N5091" s="1"/>
      <c r="O5091" s="1"/>
      <c r="P5091" s="1"/>
      <c r="Q5091" s="1"/>
      <c r="R5091" s="1"/>
      <c r="S5091" s="1"/>
      <c r="T5091" s="1"/>
      <c r="U5091" s="1"/>
      <c r="V5091" s="1"/>
      <c r="W5091" s="1"/>
      <c r="X5091" s="1"/>
      <c r="Y5091" s="1"/>
      <c r="Z5091" s="1"/>
      <c r="AA5091" s="1"/>
      <c r="AB5091" s="1"/>
      <c r="AC5091" s="1"/>
      <c r="AD5091" s="1"/>
      <c r="AE5091" s="1"/>
      <c r="AF5091" s="1"/>
      <c r="AG5091" s="1"/>
      <c r="AH5091" s="1"/>
    </row>
    <row r="5092" ht="12.75" hidden="1" customHeight="1" outlineLevel="1">
      <c r="A5092" s="17">
        <v>41925.0</v>
      </c>
      <c r="B5092" s="1" t="s">
        <v>343</v>
      </c>
      <c r="C5092" s="1" t="s">
        <v>1325</v>
      </c>
      <c r="D5092" s="74">
        <v>400.0</v>
      </c>
      <c r="E5092" s="67">
        <v>61.668</v>
      </c>
      <c r="F5092" s="75">
        <v>0.5257407407407407</v>
      </c>
      <c r="G5092" s="67" t="s">
        <v>453</v>
      </c>
      <c r="H5092" s="68">
        <v>1.6</v>
      </c>
      <c r="I5092" s="76"/>
      <c r="J5092" s="67">
        <f t="shared" si="316"/>
        <v>-24668.8</v>
      </c>
      <c r="K5092" s="7"/>
      <c r="L5092" s="70"/>
      <c r="M5092" s="79"/>
      <c r="N5092" s="1"/>
      <c r="O5092" s="1"/>
      <c r="P5092" s="1"/>
      <c r="Q5092" s="1"/>
      <c r="R5092" s="1"/>
      <c r="S5092" s="1"/>
      <c r="T5092" s="1"/>
      <c r="U5092" s="1"/>
      <c r="V5092" s="1"/>
      <c r="W5092" s="1"/>
      <c r="X5092" s="1"/>
      <c r="Y5092" s="1"/>
      <c r="Z5092" s="1"/>
      <c r="AA5092" s="1"/>
      <c r="AB5092" s="1"/>
      <c r="AC5092" s="1"/>
      <c r="AD5092" s="1"/>
      <c r="AE5092" s="1"/>
      <c r="AF5092" s="1"/>
      <c r="AG5092" s="1"/>
      <c r="AH5092" s="1"/>
    </row>
    <row r="5093" ht="12.75" hidden="1" customHeight="1" outlineLevel="1">
      <c r="A5093" s="17">
        <v>41925.0</v>
      </c>
      <c r="B5093" s="1" t="s">
        <v>343</v>
      </c>
      <c r="C5093" s="1" t="s">
        <v>1382</v>
      </c>
      <c r="D5093" s="74">
        <v>225.0</v>
      </c>
      <c r="E5093" s="67">
        <v>123.07</v>
      </c>
      <c r="F5093" s="75">
        <v>0.5261226851851851</v>
      </c>
      <c r="G5093" s="67" t="s">
        <v>453</v>
      </c>
      <c r="H5093" s="68">
        <v>1.02</v>
      </c>
      <c r="I5093" s="76"/>
      <c r="J5093" s="67">
        <f t="shared" si="316"/>
        <v>-27691.77</v>
      </c>
      <c r="K5093" s="7"/>
      <c r="L5093" s="70"/>
      <c r="M5093" s="79"/>
      <c r="N5093" s="1"/>
      <c r="O5093" s="1"/>
      <c r="P5093" s="1"/>
      <c r="Q5093" s="1"/>
      <c r="R5093" s="1"/>
      <c r="S5093" s="1"/>
      <c r="T5093" s="1"/>
      <c r="U5093" s="1"/>
      <c r="V5093" s="1"/>
      <c r="W5093" s="1"/>
      <c r="X5093" s="1"/>
      <c r="Y5093" s="1"/>
      <c r="Z5093" s="1"/>
      <c r="AA5093" s="1"/>
      <c r="AB5093" s="1"/>
      <c r="AC5093" s="1"/>
      <c r="AD5093" s="1"/>
      <c r="AE5093" s="1"/>
      <c r="AF5093" s="1"/>
      <c r="AG5093" s="1"/>
      <c r="AH5093" s="1"/>
    </row>
    <row r="5094" ht="12.75" hidden="1" customHeight="1" outlineLevel="1">
      <c r="A5094" s="17">
        <v>41925.0</v>
      </c>
      <c r="B5094" s="1" t="s">
        <v>343</v>
      </c>
      <c r="C5094" s="1" t="s">
        <v>1483</v>
      </c>
      <c r="D5094" s="74">
        <v>1000.0</v>
      </c>
      <c r="E5094" s="67">
        <v>2.13</v>
      </c>
      <c r="F5094" s="75">
        <v>0.4846875</v>
      </c>
      <c r="G5094" s="67" t="s">
        <v>453</v>
      </c>
      <c r="H5094" s="68">
        <v>5.0</v>
      </c>
      <c r="I5094" s="76"/>
      <c r="J5094" s="67">
        <f t="shared" si="316"/>
        <v>-2135</v>
      </c>
      <c r="K5094" s="7"/>
      <c r="L5094" s="70"/>
      <c r="M5094" s="79"/>
      <c r="N5094" s="1"/>
      <c r="O5094" s="1"/>
      <c r="P5094" s="1"/>
      <c r="Q5094" s="1"/>
      <c r="R5094" s="1"/>
      <c r="S5094" s="1"/>
      <c r="T5094" s="1"/>
      <c r="U5094" s="1"/>
      <c r="V5094" s="1"/>
      <c r="W5094" s="1"/>
      <c r="X5094" s="1"/>
      <c r="Y5094" s="1"/>
      <c r="Z5094" s="1"/>
      <c r="AA5094" s="1"/>
      <c r="AB5094" s="1"/>
      <c r="AC5094" s="1"/>
      <c r="AD5094" s="1"/>
      <c r="AE5094" s="1"/>
      <c r="AF5094" s="1"/>
      <c r="AG5094" s="1"/>
      <c r="AH5094" s="1"/>
    </row>
    <row r="5095" ht="12.75" hidden="1" customHeight="1" outlineLevel="1">
      <c r="A5095" s="17">
        <v>41925.0</v>
      </c>
      <c r="B5095" s="1" t="s">
        <v>343</v>
      </c>
      <c r="C5095" s="1" t="s">
        <v>1485</v>
      </c>
      <c r="D5095" s="74">
        <v>1000.0</v>
      </c>
      <c r="E5095" s="67">
        <v>4.55</v>
      </c>
      <c r="F5095" s="75">
        <v>0.49086805555555557</v>
      </c>
      <c r="G5095" s="67" t="s">
        <v>453</v>
      </c>
      <c r="H5095" s="68">
        <v>5.0</v>
      </c>
      <c r="I5095" s="76"/>
      <c r="J5095" s="67">
        <f t="shared" si="316"/>
        <v>-4555</v>
      </c>
      <c r="K5095" s="7"/>
      <c r="L5095" s="70"/>
      <c r="M5095" s="79"/>
      <c r="N5095" s="1"/>
      <c r="O5095" s="1"/>
      <c r="P5095" s="1"/>
      <c r="Q5095" s="1"/>
      <c r="R5095" s="1"/>
      <c r="S5095" s="1"/>
      <c r="T5095" s="1"/>
      <c r="U5095" s="1"/>
      <c r="V5095" s="1"/>
      <c r="W5095" s="1"/>
      <c r="X5095" s="1"/>
      <c r="Y5095" s="1"/>
      <c r="Z5095" s="1"/>
      <c r="AA5095" s="1"/>
      <c r="AB5095" s="1"/>
      <c r="AC5095" s="1"/>
      <c r="AD5095" s="1"/>
      <c r="AE5095" s="1"/>
      <c r="AF5095" s="1"/>
      <c r="AG5095" s="1"/>
      <c r="AH5095" s="1"/>
    </row>
    <row r="5096" ht="12.75" hidden="1" customHeight="1" outlineLevel="1">
      <c r="A5096" s="17">
        <v>41925.0</v>
      </c>
      <c r="B5096" s="1" t="s">
        <v>343</v>
      </c>
      <c r="C5096" s="1" t="s">
        <v>604</v>
      </c>
      <c r="D5096" s="74">
        <v>1000.0</v>
      </c>
      <c r="E5096" s="67">
        <v>2.14</v>
      </c>
      <c r="F5096" s="75">
        <v>0.48519675925925926</v>
      </c>
      <c r="G5096" s="67" t="s">
        <v>453</v>
      </c>
      <c r="H5096" s="68">
        <v>5.0</v>
      </c>
      <c r="I5096" s="76"/>
      <c r="J5096" s="67">
        <f t="shared" si="316"/>
        <v>-2145</v>
      </c>
      <c r="K5096" s="7"/>
      <c r="L5096" s="70"/>
      <c r="M5096" s="79"/>
      <c r="N5096" s="1"/>
      <c r="O5096" s="1"/>
      <c r="P5096" s="1"/>
      <c r="Q5096" s="1"/>
      <c r="R5096" s="1"/>
      <c r="S5096" s="1"/>
      <c r="T5096" s="1"/>
      <c r="U5096" s="1"/>
      <c r="V5096" s="1"/>
      <c r="W5096" s="1"/>
      <c r="X5096" s="1"/>
      <c r="Y5096" s="1"/>
      <c r="Z5096" s="1"/>
      <c r="AA5096" s="1"/>
      <c r="AB5096" s="1"/>
      <c r="AC5096" s="1"/>
      <c r="AD5096" s="1"/>
      <c r="AE5096" s="1"/>
      <c r="AF5096" s="1"/>
      <c r="AG5096" s="1"/>
      <c r="AH5096" s="1"/>
    </row>
    <row r="5097" ht="12.75" hidden="1" customHeight="1" outlineLevel="1">
      <c r="A5097" s="17">
        <v>41925.0</v>
      </c>
      <c r="B5097" s="1" t="s">
        <v>343</v>
      </c>
      <c r="C5097" s="1" t="s">
        <v>1092</v>
      </c>
      <c r="D5097" s="74">
        <v>1000.0</v>
      </c>
      <c r="E5097" s="67">
        <v>4.419</v>
      </c>
      <c r="F5097" s="75">
        <v>0.4863425925925926</v>
      </c>
      <c r="G5097" s="67" t="s">
        <v>453</v>
      </c>
      <c r="H5097" s="68">
        <v>5.0</v>
      </c>
      <c r="I5097" s="76"/>
      <c r="J5097" s="67">
        <f t="shared" si="316"/>
        <v>-4424</v>
      </c>
      <c r="K5097" s="7"/>
      <c r="L5097" s="70"/>
      <c r="M5097" s="79"/>
      <c r="N5097" s="1"/>
      <c r="O5097" s="1"/>
      <c r="P5097" s="1"/>
      <c r="Q5097" s="1"/>
      <c r="R5097" s="1"/>
      <c r="S5097" s="1"/>
      <c r="T5097" s="1"/>
      <c r="U5097" s="1"/>
      <c r="V5097" s="1"/>
      <c r="W5097" s="1"/>
      <c r="X5097" s="1"/>
      <c r="Y5097" s="1"/>
      <c r="Z5097" s="1"/>
      <c r="AA5097" s="1"/>
      <c r="AB5097" s="1"/>
      <c r="AC5097" s="1"/>
      <c r="AD5097" s="1"/>
      <c r="AE5097" s="1"/>
      <c r="AF5097" s="1"/>
      <c r="AG5097" s="1"/>
      <c r="AH5097" s="1"/>
    </row>
    <row r="5098" ht="12.75" hidden="1" customHeight="1" outlineLevel="1">
      <c r="A5098" s="17">
        <v>41925.0</v>
      </c>
      <c r="B5098" s="1" t="s">
        <v>343</v>
      </c>
      <c r="C5098" s="1" t="s">
        <v>356</v>
      </c>
      <c r="D5098" s="74">
        <v>30.0</v>
      </c>
      <c r="E5098" s="67">
        <v>361.2</v>
      </c>
      <c r="F5098" s="75">
        <v>0.5271296296296296</v>
      </c>
      <c r="G5098" s="67" t="s">
        <v>453</v>
      </c>
      <c r="H5098" s="68">
        <v>1.0</v>
      </c>
      <c r="I5098" s="76"/>
      <c r="J5098" s="67">
        <f t="shared" si="316"/>
        <v>-10837</v>
      </c>
      <c r="K5098" s="7"/>
      <c r="L5098" s="70"/>
      <c r="M5098" s="79"/>
      <c r="N5098" s="1"/>
      <c r="O5098" s="1"/>
      <c r="P5098" s="1"/>
      <c r="Q5098" s="1"/>
      <c r="R5098" s="1"/>
      <c r="S5098" s="1"/>
      <c r="T5098" s="1"/>
      <c r="U5098" s="1"/>
      <c r="V5098" s="1"/>
      <c r="W5098" s="1"/>
      <c r="X5098" s="1"/>
      <c r="Y5098" s="1"/>
      <c r="Z5098" s="1"/>
      <c r="AA5098" s="1"/>
      <c r="AB5098" s="1"/>
      <c r="AC5098" s="1"/>
      <c r="AD5098" s="1"/>
      <c r="AE5098" s="1"/>
      <c r="AF5098" s="1"/>
      <c r="AG5098" s="1"/>
      <c r="AH5098" s="1"/>
    </row>
    <row r="5099" ht="12.75" hidden="1" customHeight="1" outlineLevel="1">
      <c r="A5099" s="17">
        <v>41925.0</v>
      </c>
      <c r="B5099" s="1" t="s">
        <v>343</v>
      </c>
      <c r="C5099" s="1" t="s">
        <v>1766</v>
      </c>
      <c r="D5099" s="74">
        <v>500.0</v>
      </c>
      <c r="E5099" s="67">
        <v>60.046</v>
      </c>
      <c r="F5099" s="75">
        <v>0.5264467592592593</v>
      </c>
      <c r="G5099" s="67" t="s">
        <v>453</v>
      </c>
      <c r="H5099" s="68">
        <v>2.0</v>
      </c>
      <c r="I5099" s="76"/>
      <c r="J5099" s="67">
        <f t="shared" si="316"/>
        <v>-30025</v>
      </c>
      <c r="K5099" s="7"/>
      <c r="L5099" s="70"/>
      <c r="M5099" s="79"/>
      <c r="N5099" s="1"/>
      <c r="O5099" s="1"/>
      <c r="P5099" s="1"/>
      <c r="Q5099" s="1"/>
      <c r="R5099" s="1"/>
      <c r="S5099" s="1"/>
      <c r="T5099" s="1"/>
      <c r="U5099" s="1"/>
      <c r="V5099" s="1"/>
      <c r="W5099" s="1"/>
      <c r="X5099" s="1"/>
      <c r="Y5099" s="1"/>
      <c r="Z5099" s="1"/>
      <c r="AA5099" s="1"/>
      <c r="AB5099" s="1"/>
      <c r="AC5099" s="1"/>
      <c r="AD5099" s="1"/>
      <c r="AE5099" s="1"/>
      <c r="AF5099" s="1"/>
      <c r="AG5099" s="1"/>
      <c r="AH5099" s="1"/>
    </row>
    <row r="5100" ht="12.75" hidden="1" customHeight="1" outlineLevel="1">
      <c r="A5100" s="17">
        <v>41925.0</v>
      </c>
      <c r="B5100" s="1" t="s">
        <v>343</v>
      </c>
      <c r="C5100" s="1" t="s">
        <v>1185</v>
      </c>
      <c r="D5100" s="74">
        <v>50.0</v>
      </c>
      <c r="E5100" s="67">
        <v>247.61</v>
      </c>
      <c r="F5100" s="75">
        <v>0.5281481481481481</v>
      </c>
      <c r="G5100" s="67" t="s">
        <v>453</v>
      </c>
      <c r="H5100" s="68">
        <v>1.0</v>
      </c>
      <c r="I5100" s="76"/>
      <c r="J5100" s="67">
        <f t="shared" si="316"/>
        <v>-12381.5</v>
      </c>
      <c r="K5100" s="7"/>
      <c r="L5100" s="70"/>
      <c r="M5100" s="79"/>
      <c r="N5100" s="1"/>
      <c r="O5100" s="1"/>
      <c r="P5100" s="1"/>
      <c r="Q5100" s="1"/>
      <c r="R5100" s="1"/>
      <c r="S5100" s="1"/>
      <c r="T5100" s="1"/>
      <c r="U5100" s="1"/>
      <c r="V5100" s="1"/>
      <c r="W5100" s="1"/>
      <c r="X5100" s="1"/>
      <c r="Y5100" s="1"/>
      <c r="Z5100" s="1"/>
      <c r="AA5100" s="1"/>
      <c r="AB5100" s="1"/>
      <c r="AC5100" s="1"/>
      <c r="AD5100" s="1"/>
      <c r="AE5100" s="1"/>
      <c r="AF5100" s="1"/>
      <c r="AG5100" s="1"/>
      <c r="AH5100" s="1"/>
    </row>
    <row r="5101" ht="12.75" hidden="1" customHeight="1" outlineLevel="1">
      <c r="A5101" s="17">
        <v>41926.0</v>
      </c>
      <c r="B5101" s="1"/>
      <c r="C5101" s="1" t="s">
        <v>339</v>
      </c>
      <c r="D5101" s="74"/>
      <c r="E5101" s="67"/>
      <c r="F5101" s="75"/>
      <c r="G5101" s="67"/>
      <c r="H5101" s="68"/>
      <c r="I5101" s="76"/>
      <c r="J5101" s="67"/>
      <c r="K5101" s="7" t="s">
        <v>2218</v>
      </c>
      <c r="L5101" s="77"/>
      <c r="M5101" s="79"/>
      <c r="N5101" s="1"/>
      <c r="O5101" s="1"/>
      <c r="P5101" s="1"/>
      <c r="Q5101" s="1"/>
      <c r="R5101" s="1"/>
      <c r="S5101" s="1"/>
      <c r="T5101" s="1"/>
      <c r="U5101" s="1"/>
      <c r="V5101" s="1"/>
      <c r="W5101" s="1"/>
      <c r="X5101" s="1"/>
      <c r="Y5101" s="1"/>
      <c r="Z5101" s="1"/>
      <c r="AA5101" s="1"/>
      <c r="AB5101" s="1"/>
      <c r="AC5101" s="1"/>
      <c r="AD5101" s="1"/>
      <c r="AE5101" s="1"/>
      <c r="AF5101" s="1"/>
      <c r="AG5101" s="1"/>
      <c r="AH5101" s="1"/>
    </row>
    <row r="5102" ht="12.75" hidden="1" customHeight="1" outlineLevel="1">
      <c r="A5102" s="17">
        <v>41926.0</v>
      </c>
      <c r="B5102" s="1"/>
      <c r="C5102" s="1" t="s">
        <v>429</v>
      </c>
      <c r="D5102" s="74"/>
      <c r="E5102" s="67"/>
      <c r="F5102" s="75"/>
      <c r="G5102" s="67"/>
      <c r="H5102" s="68"/>
      <c r="I5102" s="76"/>
      <c r="J5102" s="67"/>
      <c r="K5102" s="7" t="s">
        <v>2182</v>
      </c>
      <c r="L5102" s="77"/>
      <c r="M5102" s="79"/>
      <c r="N5102" s="1"/>
      <c r="O5102" s="1"/>
      <c r="P5102" s="1"/>
      <c r="Q5102" s="1"/>
      <c r="R5102" s="1"/>
      <c r="S5102" s="1"/>
      <c r="T5102" s="1"/>
      <c r="U5102" s="1"/>
      <c r="V5102" s="1"/>
      <c r="W5102" s="1"/>
      <c r="X5102" s="1"/>
      <c r="Y5102" s="1"/>
      <c r="Z5102" s="1"/>
      <c r="AA5102" s="1"/>
      <c r="AB5102" s="1"/>
      <c r="AC5102" s="1"/>
      <c r="AD5102" s="1"/>
      <c r="AE5102" s="1"/>
      <c r="AF5102" s="1"/>
      <c r="AG5102" s="1"/>
      <c r="AH5102" s="1"/>
    </row>
    <row r="5103" ht="12.75" hidden="1" customHeight="1" outlineLevel="1">
      <c r="A5103" s="17">
        <v>41926.0</v>
      </c>
      <c r="B5103" s="1"/>
      <c r="C5103" s="1" t="s">
        <v>431</v>
      </c>
      <c r="D5103" s="74"/>
      <c r="E5103" s="67"/>
      <c r="F5103" s="75"/>
      <c r="G5103" s="67"/>
      <c r="H5103" s="68"/>
      <c r="I5103" s="76"/>
      <c r="J5103" s="67"/>
      <c r="K5103" s="7" t="s">
        <v>1126</v>
      </c>
      <c r="L5103" s="77"/>
      <c r="M5103" s="79"/>
      <c r="N5103" s="1"/>
      <c r="O5103" s="1"/>
      <c r="P5103" s="1"/>
      <c r="Q5103" s="1"/>
      <c r="R5103" s="1"/>
      <c r="S5103" s="1"/>
      <c r="T5103" s="1"/>
      <c r="U5103" s="1"/>
      <c r="V5103" s="1"/>
      <c r="W5103" s="1"/>
      <c r="X5103" s="1"/>
      <c r="Y5103" s="1"/>
      <c r="Z5103" s="1"/>
      <c r="AA5103" s="1"/>
      <c r="AB5103" s="1"/>
      <c r="AC5103" s="1"/>
      <c r="AD5103" s="1"/>
      <c r="AE5103" s="1"/>
      <c r="AF5103" s="1"/>
      <c r="AG5103" s="1"/>
      <c r="AH5103" s="1"/>
    </row>
    <row r="5104" ht="12.75" hidden="1" customHeight="1" outlineLevel="1">
      <c r="A5104" s="17">
        <v>41926.0</v>
      </c>
      <c r="B5104" s="1"/>
      <c r="C5104" s="1" t="s">
        <v>433</v>
      </c>
      <c r="D5104" s="74"/>
      <c r="E5104" s="67"/>
      <c r="F5104" s="75"/>
      <c r="G5104" s="67"/>
      <c r="H5104" s="68"/>
      <c r="I5104" s="76"/>
      <c r="J5104" s="67"/>
      <c r="K5104" s="7" t="s">
        <v>1103</v>
      </c>
      <c r="L5104" s="77"/>
      <c r="M5104" s="79"/>
      <c r="N5104" s="1"/>
      <c r="O5104" s="1"/>
      <c r="P5104" s="1"/>
      <c r="Q5104" s="1"/>
      <c r="R5104" s="1"/>
      <c r="S5104" s="1"/>
      <c r="T5104" s="1"/>
      <c r="U5104" s="1"/>
      <c r="V5104" s="1"/>
      <c r="W5104" s="1"/>
      <c r="X5104" s="1"/>
      <c r="Y5104" s="1"/>
      <c r="Z5104" s="1"/>
      <c r="AA5104" s="1"/>
      <c r="AB5104" s="1"/>
      <c r="AC5104" s="1"/>
      <c r="AD5104" s="1"/>
      <c r="AE5104" s="1"/>
      <c r="AF5104" s="1"/>
      <c r="AG5104" s="1"/>
      <c r="AH5104" s="1"/>
    </row>
    <row r="5105" ht="12.75" hidden="1" customHeight="1" outlineLevel="1">
      <c r="A5105" s="17">
        <v>41926.0</v>
      </c>
      <c r="B5105" s="1"/>
      <c r="C5105" s="1" t="s">
        <v>435</v>
      </c>
      <c r="D5105" s="74"/>
      <c r="E5105" s="67"/>
      <c r="F5105" s="75"/>
      <c r="G5105" s="67"/>
      <c r="H5105" s="68"/>
      <c r="I5105" s="76"/>
      <c r="J5105" s="67"/>
      <c r="K5105" s="7" t="s">
        <v>1507</v>
      </c>
      <c r="L5105" s="77"/>
      <c r="M5105" s="79"/>
      <c r="N5105" s="1"/>
      <c r="O5105" s="1"/>
      <c r="P5105" s="1"/>
      <c r="Q5105" s="1"/>
      <c r="R5105" s="1"/>
      <c r="S5105" s="1"/>
      <c r="T5105" s="1"/>
      <c r="U5105" s="1"/>
      <c r="V5105" s="1"/>
      <c r="W5105" s="1"/>
      <c r="X5105" s="1"/>
      <c r="Y5105" s="1"/>
      <c r="Z5105" s="1"/>
      <c r="AA5105" s="1"/>
      <c r="AB5105" s="1"/>
      <c r="AC5105" s="1"/>
      <c r="AD5105" s="1"/>
      <c r="AE5105" s="1"/>
      <c r="AF5105" s="1"/>
      <c r="AG5105" s="1"/>
      <c r="AH5105" s="1"/>
    </row>
    <row r="5106" ht="12.75" hidden="1" customHeight="1" outlineLevel="1">
      <c r="A5106" s="17">
        <v>41926.0</v>
      </c>
      <c r="B5106" s="1" t="s">
        <v>343</v>
      </c>
      <c r="C5106" s="1" t="s">
        <v>1152</v>
      </c>
      <c r="D5106" s="74">
        <v>100.0</v>
      </c>
      <c r="E5106" s="67">
        <v>62.988</v>
      </c>
      <c r="F5106" s="75">
        <v>0.42438657407407404</v>
      </c>
      <c r="G5106" s="67" t="s">
        <v>453</v>
      </c>
      <c r="H5106" s="68">
        <v>1.0</v>
      </c>
      <c r="I5106" s="76"/>
      <c r="J5106" s="67">
        <f t="shared" ref="J5106:J5111" si="317">IF(B5106="SLD",D5106*E5106,-D5106*E5106)-H5106</f>
        <v>-6299.8</v>
      </c>
      <c r="K5106" s="7"/>
      <c r="L5106" s="70"/>
      <c r="M5106" s="79"/>
      <c r="N5106" s="1"/>
      <c r="O5106" s="1"/>
      <c r="P5106" s="1"/>
      <c r="Q5106" s="1"/>
      <c r="R5106" s="1"/>
      <c r="S5106" s="1"/>
      <c r="T5106" s="1"/>
      <c r="U5106" s="1"/>
      <c r="V5106" s="1"/>
      <c r="W5106" s="1"/>
      <c r="X5106" s="1"/>
      <c r="Y5106" s="1"/>
      <c r="Z5106" s="1"/>
      <c r="AA5106" s="1"/>
      <c r="AB5106" s="1"/>
      <c r="AC5106" s="1"/>
      <c r="AD5106" s="1"/>
      <c r="AE5106" s="1"/>
      <c r="AF5106" s="1"/>
      <c r="AG5106" s="1"/>
      <c r="AH5106" s="1"/>
    </row>
    <row r="5107" ht="12.75" hidden="1" customHeight="1" outlineLevel="1">
      <c r="A5107" s="17">
        <v>41926.0</v>
      </c>
      <c r="B5107" s="1" t="s">
        <v>343</v>
      </c>
      <c r="C5107" s="1" t="s">
        <v>1483</v>
      </c>
      <c r="D5107" s="74">
        <v>500.0</v>
      </c>
      <c r="E5107" s="67">
        <v>2.45</v>
      </c>
      <c r="F5107" s="75">
        <v>0.41199074074074077</v>
      </c>
      <c r="G5107" s="67" t="s">
        <v>453</v>
      </c>
      <c r="H5107" s="68">
        <v>2.5</v>
      </c>
      <c r="I5107" s="76"/>
      <c r="J5107" s="67">
        <f t="shared" si="317"/>
        <v>-1227.5</v>
      </c>
      <c r="K5107" s="7"/>
      <c r="L5107" s="70"/>
      <c r="M5107" s="79"/>
      <c r="N5107" s="1"/>
      <c r="O5107" s="1"/>
      <c r="P5107" s="1"/>
      <c r="Q5107" s="1"/>
      <c r="R5107" s="1"/>
      <c r="S5107" s="1"/>
      <c r="T5107" s="1"/>
      <c r="U5107" s="1"/>
      <c r="V5107" s="1"/>
      <c r="W5107" s="1"/>
      <c r="X5107" s="1"/>
      <c r="Y5107" s="1"/>
      <c r="Z5107" s="1"/>
      <c r="AA5107" s="1"/>
      <c r="AB5107" s="1"/>
      <c r="AC5107" s="1"/>
      <c r="AD5107" s="1"/>
      <c r="AE5107" s="1"/>
      <c r="AF5107" s="1"/>
      <c r="AG5107" s="1"/>
      <c r="AH5107" s="1"/>
    </row>
    <row r="5108" ht="12.75" hidden="1" customHeight="1" outlineLevel="1">
      <c r="A5108" s="17">
        <v>41926.0</v>
      </c>
      <c r="B5108" s="1" t="s">
        <v>343</v>
      </c>
      <c r="C5108" s="1" t="s">
        <v>1485</v>
      </c>
      <c r="D5108" s="74">
        <v>500.0</v>
      </c>
      <c r="E5108" s="67">
        <v>4.85</v>
      </c>
      <c r="F5108" s="75">
        <v>0.41840277777777773</v>
      </c>
      <c r="G5108" s="67" t="s">
        <v>453</v>
      </c>
      <c r="H5108" s="68">
        <v>2.5</v>
      </c>
      <c r="I5108" s="76"/>
      <c r="J5108" s="67">
        <f t="shared" si="317"/>
        <v>-2427.5</v>
      </c>
      <c r="K5108" s="7"/>
      <c r="L5108" s="70"/>
      <c r="M5108" s="79"/>
      <c r="N5108" s="1"/>
      <c r="O5108" s="1"/>
      <c r="P5108" s="1"/>
      <c r="Q5108" s="1"/>
      <c r="R5108" s="1"/>
      <c r="S5108" s="1"/>
      <c r="T5108" s="1"/>
      <c r="U5108" s="1"/>
      <c r="V5108" s="1"/>
      <c r="W5108" s="1"/>
      <c r="X5108" s="1"/>
      <c r="Y5108" s="1"/>
      <c r="Z5108" s="1"/>
      <c r="AA5108" s="1"/>
      <c r="AB5108" s="1"/>
      <c r="AC5108" s="1"/>
      <c r="AD5108" s="1"/>
      <c r="AE5108" s="1"/>
      <c r="AF5108" s="1"/>
      <c r="AG5108" s="1"/>
      <c r="AH5108" s="1"/>
    </row>
    <row r="5109" ht="12.75" hidden="1" customHeight="1" outlineLevel="1">
      <c r="A5109" s="17">
        <v>41926.0</v>
      </c>
      <c r="B5109" s="1" t="s">
        <v>343</v>
      </c>
      <c r="C5109" s="1" t="s">
        <v>604</v>
      </c>
      <c r="D5109" s="74">
        <v>500.0</v>
      </c>
      <c r="E5109" s="67">
        <v>2.53</v>
      </c>
      <c r="F5109" s="75">
        <v>0.4115740740740741</v>
      </c>
      <c r="G5109" s="67" t="s">
        <v>453</v>
      </c>
      <c r="H5109" s="68">
        <v>2.5</v>
      </c>
      <c r="I5109" s="76"/>
      <c r="J5109" s="67">
        <f t="shared" si="317"/>
        <v>-1267.5</v>
      </c>
      <c r="K5109" s="7"/>
      <c r="L5109" s="70"/>
      <c r="M5109" s="79"/>
      <c r="N5109" s="1"/>
      <c r="O5109" s="1"/>
      <c r="P5109" s="1"/>
      <c r="Q5109" s="1"/>
      <c r="R5109" s="1"/>
      <c r="S5109" s="1"/>
      <c r="T5109" s="1"/>
      <c r="U5109" s="1"/>
      <c r="V5109" s="1"/>
      <c r="W5109" s="1"/>
      <c r="X5109" s="1"/>
      <c r="Y5109" s="1"/>
      <c r="Z5109" s="1"/>
      <c r="AA5109" s="1"/>
      <c r="AB5109" s="1"/>
      <c r="AC5109" s="1"/>
      <c r="AD5109" s="1"/>
      <c r="AE5109" s="1"/>
      <c r="AF5109" s="1"/>
      <c r="AG5109" s="1"/>
      <c r="AH5109" s="1"/>
    </row>
    <row r="5110" ht="12.75" hidden="1" customHeight="1" outlineLevel="1">
      <c r="A5110" s="17">
        <v>41926.0</v>
      </c>
      <c r="B5110" s="1" t="s">
        <v>343</v>
      </c>
      <c r="C5110" s="1" t="s">
        <v>1092</v>
      </c>
      <c r="D5110" s="74">
        <v>500.0</v>
      </c>
      <c r="E5110" s="67">
        <v>4.62</v>
      </c>
      <c r="F5110" s="75">
        <v>0.4179629629629629</v>
      </c>
      <c r="G5110" s="67" t="s">
        <v>453</v>
      </c>
      <c r="H5110" s="68">
        <v>2.5</v>
      </c>
      <c r="I5110" s="76"/>
      <c r="J5110" s="67">
        <f t="shared" si="317"/>
        <v>-2312.5</v>
      </c>
      <c r="K5110" s="7"/>
      <c r="L5110" s="70"/>
      <c r="M5110" s="79"/>
      <c r="N5110" s="1"/>
      <c r="O5110" s="1"/>
      <c r="P5110" s="1"/>
      <c r="Q5110" s="1"/>
      <c r="R5110" s="1"/>
      <c r="S5110" s="1"/>
      <c r="T5110" s="1"/>
      <c r="U5110" s="1"/>
      <c r="V5110" s="1"/>
      <c r="W5110" s="1"/>
      <c r="X5110" s="1"/>
      <c r="Y5110" s="1"/>
      <c r="Z5110" s="1"/>
      <c r="AA5110" s="1"/>
      <c r="AB5110" s="1"/>
      <c r="AC5110" s="1"/>
      <c r="AD5110" s="1"/>
      <c r="AE5110" s="1"/>
      <c r="AF5110" s="1"/>
      <c r="AG5110" s="1"/>
      <c r="AH5110" s="1"/>
    </row>
    <row r="5111" ht="12.75" hidden="1" customHeight="1" outlineLevel="1">
      <c r="A5111" s="17">
        <v>41926.0</v>
      </c>
      <c r="B5111" s="1" t="s">
        <v>343</v>
      </c>
      <c r="C5111" s="1" t="s">
        <v>1162</v>
      </c>
      <c r="D5111" s="74">
        <v>300.0</v>
      </c>
      <c r="E5111" s="67">
        <v>114.8268</v>
      </c>
      <c r="F5111" s="75">
        <v>0.42216435185185186</v>
      </c>
      <c r="G5111" s="67" t="s">
        <v>453</v>
      </c>
      <c r="H5111" s="68">
        <v>1.2</v>
      </c>
      <c r="I5111" s="76"/>
      <c r="J5111" s="67">
        <f t="shared" si="317"/>
        <v>-34449.24</v>
      </c>
      <c r="K5111" s="7"/>
      <c r="L5111" s="70"/>
      <c r="M5111" s="79"/>
      <c r="N5111" s="1"/>
      <c r="O5111" s="1"/>
      <c r="P5111" s="1"/>
      <c r="Q5111" s="1"/>
      <c r="R5111" s="1"/>
      <c r="S5111" s="1"/>
      <c r="T5111" s="1"/>
      <c r="U5111" s="1"/>
      <c r="V5111" s="1"/>
      <c r="W5111" s="1"/>
      <c r="X5111" s="1"/>
      <c r="Y5111" s="1"/>
      <c r="Z5111" s="1"/>
      <c r="AA5111" s="1"/>
      <c r="AB5111" s="1"/>
      <c r="AC5111" s="1"/>
      <c r="AD5111" s="1"/>
      <c r="AE5111" s="1"/>
      <c r="AF5111" s="1"/>
      <c r="AG5111" s="1"/>
      <c r="AH5111" s="1"/>
    </row>
    <row r="5112" ht="12.75" hidden="1" customHeight="1" outlineLevel="1">
      <c r="A5112" s="17">
        <v>41926.0</v>
      </c>
      <c r="B5112" s="1"/>
      <c r="C5112" s="1" t="s">
        <v>339</v>
      </c>
      <c r="D5112" s="74"/>
      <c r="E5112" s="67"/>
      <c r="F5112" s="75"/>
      <c r="G5112" s="67"/>
      <c r="H5112" s="68"/>
      <c r="I5112" s="76"/>
      <c r="J5112" s="67"/>
      <c r="K5112" s="7" t="s">
        <v>2227</v>
      </c>
      <c r="L5112" s="77"/>
      <c r="M5112" s="79"/>
      <c r="N5112" s="1"/>
      <c r="O5112" s="1"/>
      <c r="P5112" s="1"/>
      <c r="Q5112" s="1"/>
      <c r="R5112" s="1"/>
      <c r="S5112" s="1"/>
      <c r="T5112" s="1"/>
      <c r="U5112" s="1"/>
      <c r="V5112" s="1"/>
      <c r="W5112" s="1"/>
      <c r="X5112" s="1"/>
      <c r="Y5112" s="1"/>
      <c r="Z5112" s="1"/>
      <c r="AA5112" s="1"/>
      <c r="AB5112" s="1"/>
      <c r="AC5112" s="1"/>
      <c r="AD5112" s="1"/>
      <c r="AE5112" s="1"/>
      <c r="AF5112" s="1"/>
      <c r="AG5112" s="1"/>
      <c r="AH5112" s="1"/>
    </row>
    <row r="5113" ht="12.75" hidden="1" customHeight="1" outlineLevel="1">
      <c r="A5113" s="17">
        <v>41926.0</v>
      </c>
      <c r="B5113" s="1"/>
      <c r="C5113" s="1" t="s">
        <v>429</v>
      </c>
      <c r="D5113" s="74"/>
      <c r="E5113" s="67"/>
      <c r="F5113" s="75"/>
      <c r="G5113" s="67"/>
      <c r="H5113" s="68"/>
      <c r="I5113" s="76"/>
      <c r="J5113" s="67"/>
      <c r="K5113" s="7" t="s">
        <v>2182</v>
      </c>
      <c r="L5113" s="77"/>
      <c r="M5113" s="79"/>
      <c r="N5113" s="1"/>
      <c r="O5113" s="1"/>
      <c r="P5113" s="1"/>
      <c r="Q5113" s="1"/>
      <c r="R5113" s="1"/>
      <c r="S5113" s="1"/>
      <c r="T5113" s="1"/>
      <c r="U5113" s="1"/>
      <c r="V5113" s="1"/>
      <c r="W5113" s="1"/>
      <c r="X5113" s="1"/>
      <c r="Y5113" s="1"/>
      <c r="Z5113" s="1"/>
      <c r="AA5113" s="1"/>
      <c r="AB5113" s="1"/>
      <c r="AC5113" s="1"/>
      <c r="AD5113" s="1"/>
      <c r="AE5113" s="1"/>
      <c r="AF5113" s="1"/>
      <c r="AG5113" s="1"/>
      <c r="AH5113" s="1"/>
    </row>
    <row r="5114" ht="12.75" hidden="1" customHeight="1" outlineLevel="1">
      <c r="A5114" s="17">
        <v>41926.0</v>
      </c>
      <c r="B5114" s="1"/>
      <c r="C5114" s="1" t="s">
        <v>431</v>
      </c>
      <c r="D5114" s="74"/>
      <c r="E5114" s="67"/>
      <c r="F5114" s="75"/>
      <c r="G5114" s="67"/>
      <c r="H5114" s="68"/>
      <c r="I5114" s="76"/>
      <c r="J5114" s="67"/>
      <c r="K5114" s="7" t="s">
        <v>1126</v>
      </c>
      <c r="L5114" s="77"/>
      <c r="M5114" s="79"/>
      <c r="N5114" s="1"/>
      <c r="O5114" s="1"/>
      <c r="P5114" s="1"/>
      <c r="Q5114" s="1"/>
      <c r="R5114" s="1"/>
      <c r="S5114" s="1"/>
      <c r="T5114" s="1"/>
      <c r="U5114" s="1"/>
      <c r="V5114" s="1"/>
      <c r="W5114" s="1"/>
      <c r="X5114" s="1"/>
      <c r="Y5114" s="1"/>
      <c r="Z5114" s="1"/>
      <c r="AA5114" s="1"/>
      <c r="AB5114" s="1"/>
      <c r="AC5114" s="1"/>
      <c r="AD5114" s="1"/>
      <c r="AE5114" s="1"/>
      <c r="AF5114" s="1"/>
      <c r="AG5114" s="1"/>
      <c r="AH5114" s="1"/>
    </row>
    <row r="5115" ht="12.75" hidden="1" customHeight="1" outlineLevel="1">
      <c r="A5115" s="17">
        <v>41926.0</v>
      </c>
      <c r="B5115" s="1"/>
      <c r="C5115" s="1" t="s">
        <v>433</v>
      </c>
      <c r="D5115" s="74"/>
      <c r="E5115" s="67"/>
      <c r="F5115" s="75"/>
      <c r="G5115" s="67"/>
      <c r="H5115" s="68"/>
      <c r="I5115" s="76"/>
      <c r="J5115" s="67"/>
      <c r="K5115" s="7" t="s">
        <v>1103</v>
      </c>
      <c r="L5115" s="77"/>
      <c r="M5115" s="79"/>
      <c r="N5115" s="1"/>
      <c r="O5115" s="1"/>
      <c r="P5115" s="1"/>
      <c r="Q5115" s="1"/>
      <c r="R5115" s="1"/>
      <c r="S5115" s="1"/>
      <c r="T5115" s="1"/>
      <c r="U5115" s="1"/>
      <c r="V5115" s="1"/>
      <c r="W5115" s="1"/>
      <c r="X5115" s="1"/>
      <c r="Y5115" s="1"/>
      <c r="Z5115" s="1"/>
      <c r="AA5115" s="1"/>
      <c r="AB5115" s="1"/>
      <c r="AC5115" s="1"/>
      <c r="AD5115" s="1"/>
      <c r="AE5115" s="1"/>
      <c r="AF5115" s="1"/>
      <c r="AG5115" s="1"/>
      <c r="AH5115" s="1"/>
    </row>
    <row r="5116" ht="12.75" hidden="1" customHeight="1" outlineLevel="1">
      <c r="A5116" s="17">
        <v>41926.0</v>
      </c>
      <c r="B5116" s="1"/>
      <c r="C5116" s="1" t="s">
        <v>435</v>
      </c>
      <c r="D5116" s="74"/>
      <c r="E5116" s="67"/>
      <c r="F5116" s="75"/>
      <c r="G5116" s="67"/>
      <c r="H5116" s="68"/>
      <c r="I5116" s="76"/>
      <c r="J5116" s="67"/>
      <c r="K5116" s="7" t="s">
        <v>1507</v>
      </c>
      <c r="L5116" s="77"/>
      <c r="M5116" s="79"/>
      <c r="N5116" s="1"/>
      <c r="O5116" s="1"/>
      <c r="P5116" s="1"/>
      <c r="Q5116" s="1"/>
      <c r="R5116" s="1"/>
      <c r="S5116" s="1"/>
      <c r="T5116" s="1"/>
      <c r="U5116" s="1"/>
      <c r="V5116" s="1"/>
      <c r="W5116" s="1"/>
      <c r="X5116" s="1"/>
      <c r="Y5116" s="1"/>
      <c r="Z5116" s="1"/>
      <c r="AA5116" s="1"/>
      <c r="AB5116" s="1"/>
      <c r="AC5116" s="1"/>
      <c r="AD5116" s="1"/>
      <c r="AE5116" s="1"/>
      <c r="AF5116" s="1"/>
      <c r="AG5116" s="1"/>
      <c r="AH5116" s="1"/>
    </row>
    <row r="5117" ht="12.75" hidden="1" customHeight="1" outlineLevel="1">
      <c r="A5117" s="122">
        <v>41927.0</v>
      </c>
      <c r="B5117" s="32" t="s">
        <v>347</v>
      </c>
      <c r="C5117" s="32" t="s">
        <v>1255</v>
      </c>
      <c r="D5117" s="708">
        <v>450.0</v>
      </c>
      <c r="E5117" s="195">
        <v>62.6718</v>
      </c>
      <c r="F5117" s="709">
        <v>0.5187152777777778</v>
      </c>
      <c r="G5117" s="195" t="s">
        <v>453</v>
      </c>
      <c r="H5117" s="710">
        <v>2.42</v>
      </c>
      <c r="I5117" s="256"/>
      <c r="J5117" s="67">
        <f t="shared" ref="J5117:J5125" si="318">IF(B5117="SLD",D5117*E5117,-D5117*E5117)-H5117</f>
        <v>28199.89</v>
      </c>
      <c r="K5117" s="7"/>
      <c r="L5117" s="70"/>
      <c r="M5117" s="79"/>
      <c r="N5117" s="32"/>
      <c r="O5117" s="32"/>
      <c r="P5117" s="32"/>
      <c r="Q5117" s="32"/>
      <c r="R5117" s="32"/>
      <c r="S5117" s="32"/>
      <c r="T5117" s="32"/>
      <c r="U5117" s="32"/>
      <c r="V5117" s="32"/>
      <c r="W5117" s="32"/>
      <c r="X5117" s="32"/>
      <c r="Y5117" s="32"/>
      <c r="Z5117" s="32"/>
      <c r="AA5117" s="32"/>
      <c r="AB5117" s="32"/>
      <c r="AC5117" s="32"/>
      <c r="AD5117" s="32"/>
      <c r="AE5117" s="32"/>
      <c r="AF5117" s="32"/>
      <c r="AG5117" s="32"/>
      <c r="AH5117" s="32"/>
    </row>
    <row r="5118" ht="12.75" hidden="1" customHeight="1" outlineLevel="1">
      <c r="A5118" s="122">
        <v>41927.0</v>
      </c>
      <c r="B5118" s="32" t="s">
        <v>347</v>
      </c>
      <c r="C5118" s="32" t="s">
        <v>1325</v>
      </c>
      <c r="D5118" s="708">
        <v>400.0</v>
      </c>
      <c r="E5118" s="195">
        <v>60.734</v>
      </c>
      <c r="F5118" s="709">
        <v>0.5125231481481481</v>
      </c>
      <c r="G5118" s="195" t="s">
        <v>453</v>
      </c>
      <c r="H5118" s="710">
        <v>2.14</v>
      </c>
      <c r="I5118" s="256"/>
      <c r="J5118" s="67">
        <f t="shared" si="318"/>
        <v>24291.46</v>
      </c>
      <c r="K5118" s="7"/>
      <c r="L5118" s="70"/>
      <c r="M5118" s="79"/>
      <c r="N5118" s="32"/>
      <c r="O5118" s="32"/>
      <c r="P5118" s="32"/>
      <c r="Q5118" s="32"/>
      <c r="R5118" s="32"/>
      <c r="S5118" s="32"/>
      <c r="T5118" s="32"/>
      <c r="U5118" s="32"/>
      <c r="V5118" s="32"/>
      <c r="W5118" s="32"/>
      <c r="X5118" s="32"/>
      <c r="Y5118" s="32"/>
      <c r="Z5118" s="32"/>
      <c r="AA5118" s="32"/>
      <c r="AB5118" s="32"/>
      <c r="AC5118" s="32"/>
      <c r="AD5118" s="32"/>
      <c r="AE5118" s="32"/>
      <c r="AF5118" s="32"/>
      <c r="AG5118" s="32"/>
      <c r="AH5118" s="32"/>
    </row>
    <row r="5119" ht="12.75" hidden="1" customHeight="1" outlineLevel="1">
      <c r="A5119" s="122">
        <v>41927.0</v>
      </c>
      <c r="B5119" s="32" t="s">
        <v>347</v>
      </c>
      <c r="C5119" s="32" t="s">
        <v>1082</v>
      </c>
      <c r="D5119" s="708">
        <v>50.0</v>
      </c>
      <c r="E5119" s="195">
        <v>497.11</v>
      </c>
      <c r="F5119" s="709">
        <v>0.5164120370370371</v>
      </c>
      <c r="G5119" s="195" t="s">
        <v>453</v>
      </c>
      <c r="H5119" s="710">
        <v>1.55</v>
      </c>
      <c r="I5119" s="256"/>
      <c r="J5119" s="67">
        <f t="shared" si="318"/>
        <v>24853.95</v>
      </c>
      <c r="K5119" s="7"/>
      <c r="L5119" s="70"/>
      <c r="M5119" s="79"/>
      <c r="N5119" s="32"/>
      <c r="O5119" s="32"/>
      <c r="P5119" s="32"/>
      <c r="Q5119" s="32"/>
      <c r="R5119" s="32"/>
      <c r="S5119" s="32"/>
      <c r="T5119" s="32"/>
      <c r="U5119" s="32"/>
      <c r="V5119" s="32"/>
      <c r="W5119" s="32"/>
      <c r="X5119" s="32"/>
      <c r="Y5119" s="32"/>
      <c r="Z5119" s="32"/>
      <c r="AA5119" s="32"/>
      <c r="AB5119" s="32"/>
      <c r="AC5119" s="32"/>
      <c r="AD5119" s="32"/>
      <c r="AE5119" s="32"/>
      <c r="AF5119" s="32"/>
      <c r="AG5119" s="32"/>
      <c r="AH5119" s="32"/>
    </row>
    <row r="5120" ht="12.75" hidden="1" customHeight="1" outlineLevel="1">
      <c r="A5120" s="122">
        <v>41927.0</v>
      </c>
      <c r="B5120" s="32" t="s">
        <v>347</v>
      </c>
      <c r="C5120" s="32" t="s">
        <v>1483</v>
      </c>
      <c r="D5120" s="708">
        <v>1500.0</v>
      </c>
      <c r="E5120" s="195">
        <v>1.94</v>
      </c>
      <c r="F5120" s="709">
        <v>0.5170138888888889</v>
      </c>
      <c r="G5120" s="195" t="s">
        <v>453</v>
      </c>
      <c r="H5120" s="710">
        <v>7.56</v>
      </c>
      <c r="I5120" s="256"/>
      <c r="J5120" s="67">
        <f t="shared" si="318"/>
        <v>2902.44</v>
      </c>
      <c r="K5120" s="7"/>
      <c r="L5120" s="70"/>
      <c r="M5120" s="79"/>
      <c r="N5120" s="32"/>
      <c r="O5120" s="32"/>
      <c r="P5120" s="32"/>
      <c r="Q5120" s="32"/>
      <c r="R5120" s="32"/>
      <c r="S5120" s="32"/>
      <c r="T5120" s="32"/>
      <c r="U5120" s="32"/>
      <c r="V5120" s="32"/>
      <c r="W5120" s="32"/>
      <c r="X5120" s="32"/>
      <c r="Y5120" s="32"/>
      <c r="Z5120" s="32"/>
      <c r="AA5120" s="32"/>
      <c r="AB5120" s="32"/>
      <c r="AC5120" s="32"/>
      <c r="AD5120" s="32"/>
      <c r="AE5120" s="32"/>
      <c r="AF5120" s="32"/>
      <c r="AG5120" s="32"/>
      <c r="AH5120" s="32"/>
    </row>
    <row r="5121" ht="12.75" hidden="1" customHeight="1" outlineLevel="1">
      <c r="A5121" s="122">
        <v>41927.0</v>
      </c>
      <c r="B5121" s="32" t="s">
        <v>347</v>
      </c>
      <c r="C5121" s="32" t="s">
        <v>1485</v>
      </c>
      <c r="D5121" s="708">
        <v>1500.0</v>
      </c>
      <c r="E5121" s="195">
        <v>3.72</v>
      </c>
      <c r="F5121" s="709">
        <v>0.5132638888888889</v>
      </c>
      <c r="G5121" s="195" t="s">
        <v>453</v>
      </c>
      <c r="H5121" s="710">
        <v>7.62</v>
      </c>
      <c r="I5121" s="256"/>
      <c r="J5121" s="67">
        <f t="shared" si="318"/>
        <v>5572.38</v>
      </c>
      <c r="K5121" s="7"/>
      <c r="L5121" s="70"/>
      <c r="M5121" s="79"/>
      <c r="N5121" s="32"/>
      <c r="O5121" s="32"/>
      <c r="P5121" s="32"/>
      <c r="Q5121" s="32"/>
      <c r="R5121" s="32"/>
      <c r="S5121" s="32"/>
      <c r="T5121" s="32"/>
      <c r="U5121" s="32"/>
      <c r="V5121" s="32"/>
      <c r="W5121" s="32"/>
      <c r="X5121" s="32"/>
      <c r="Y5121" s="32"/>
      <c r="Z5121" s="32"/>
      <c r="AA5121" s="32"/>
      <c r="AB5121" s="32"/>
      <c r="AC5121" s="32"/>
      <c r="AD5121" s="32"/>
      <c r="AE5121" s="32"/>
      <c r="AF5121" s="32"/>
      <c r="AG5121" s="32"/>
      <c r="AH5121" s="32"/>
    </row>
    <row r="5122" ht="12.75" hidden="1" customHeight="1" outlineLevel="1">
      <c r="A5122" s="122">
        <v>41927.0</v>
      </c>
      <c r="B5122" s="32" t="s">
        <v>347</v>
      </c>
      <c r="C5122" s="32" t="s">
        <v>604</v>
      </c>
      <c r="D5122" s="708">
        <v>1500.0</v>
      </c>
      <c r="E5122" s="195">
        <v>2.01</v>
      </c>
      <c r="F5122" s="709">
        <v>0.5139467592592593</v>
      </c>
      <c r="G5122" s="195" t="s">
        <v>453</v>
      </c>
      <c r="H5122" s="710">
        <v>7.57</v>
      </c>
      <c r="I5122" s="256"/>
      <c r="J5122" s="67">
        <f t="shared" si="318"/>
        <v>3007.43</v>
      </c>
      <c r="K5122" s="7"/>
      <c r="L5122" s="70"/>
      <c r="M5122" s="79"/>
      <c r="N5122" s="32"/>
      <c r="O5122" s="32"/>
      <c r="P5122" s="32"/>
      <c r="Q5122" s="32"/>
      <c r="R5122" s="32"/>
      <c r="S5122" s="32"/>
      <c r="T5122" s="32"/>
      <c r="U5122" s="32"/>
      <c r="V5122" s="32"/>
      <c r="W5122" s="32"/>
      <c r="X5122" s="32"/>
      <c r="Y5122" s="32"/>
      <c r="Z5122" s="32"/>
      <c r="AA5122" s="32"/>
      <c r="AB5122" s="32"/>
      <c r="AC5122" s="32"/>
      <c r="AD5122" s="32"/>
      <c r="AE5122" s="32"/>
      <c r="AF5122" s="32"/>
      <c r="AG5122" s="32"/>
      <c r="AH5122" s="32"/>
    </row>
    <row r="5123" ht="12.75" hidden="1" customHeight="1" outlineLevel="1">
      <c r="A5123" s="122">
        <v>41927.0</v>
      </c>
      <c r="B5123" s="32" t="s">
        <v>347</v>
      </c>
      <c r="C5123" s="32" t="s">
        <v>1092</v>
      </c>
      <c r="D5123" s="708">
        <v>1500.0</v>
      </c>
      <c r="E5123" s="195">
        <v>3.712</v>
      </c>
      <c r="F5123" s="709">
        <v>0.5151041666666667</v>
      </c>
      <c r="G5123" s="195" t="s">
        <v>453</v>
      </c>
      <c r="H5123" s="710">
        <v>7.62</v>
      </c>
      <c r="I5123" s="256"/>
      <c r="J5123" s="67">
        <f t="shared" si="318"/>
        <v>5560.38</v>
      </c>
      <c r="K5123" s="7"/>
      <c r="L5123" s="70"/>
      <c r="M5123" s="79"/>
      <c r="N5123" s="32"/>
      <c r="O5123" s="32"/>
      <c r="P5123" s="32"/>
      <c r="Q5123" s="32"/>
      <c r="R5123" s="32"/>
      <c r="S5123" s="32"/>
      <c r="T5123" s="32"/>
      <c r="U5123" s="32"/>
      <c r="V5123" s="32"/>
      <c r="W5123" s="32"/>
      <c r="X5123" s="32"/>
      <c r="Y5123" s="32"/>
      <c r="Z5123" s="32"/>
      <c r="AA5123" s="32"/>
      <c r="AB5123" s="32"/>
      <c r="AC5123" s="32"/>
      <c r="AD5123" s="32"/>
      <c r="AE5123" s="32"/>
      <c r="AF5123" s="32"/>
      <c r="AG5123" s="32"/>
      <c r="AH5123" s="32"/>
    </row>
    <row r="5124" ht="12.75" hidden="1" customHeight="1" outlineLevel="1">
      <c r="A5124" s="122">
        <v>41927.0</v>
      </c>
      <c r="B5124" s="32" t="s">
        <v>347</v>
      </c>
      <c r="C5124" s="32" t="s">
        <v>1766</v>
      </c>
      <c r="D5124" s="708">
        <v>500.0</v>
      </c>
      <c r="E5124" s="195">
        <v>57.876</v>
      </c>
      <c r="F5124" s="709">
        <v>0.4940509259259259</v>
      </c>
      <c r="G5124" s="195" t="s">
        <v>453</v>
      </c>
      <c r="H5124" s="710">
        <v>2.64</v>
      </c>
      <c r="I5124" s="256"/>
      <c r="J5124" s="67">
        <f t="shared" si="318"/>
        <v>28935.36</v>
      </c>
      <c r="K5124" s="7"/>
      <c r="L5124" s="70"/>
      <c r="M5124" s="79"/>
      <c r="N5124" s="32"/>
      <c r="O5124" s="32"/>
      <c r="P5124" s="32"/>
      <c r="Q5124" s="32"/>
      <c r="R5124" s="32"/>
      <c r="S5124" s="32"/>
      <c r="T5124" s="32"/>
      <c r="U5124" s="32"/>
      <c r="V5124" s="32"/>
      <c r="W5124" s="32"/>
      <c r="X5124" s="32"/>
      <c r="Y5124" s="32"/>
      <c r="Z5124" s="32"/>
      <c r="AA5124" s="32"/>
      <c r="AB5124" s="32"/>
      <c r="AC5124" s="32"/>
      <c r="AD5124" s="32"/>
      <c r="AE5124" s="32"/>
      <c r="AF5124" s="32"/>
      <c r="AG5124" s="32"/>
      <c r="AH5124" s="32"/>
    </row>
    <row r="5125" ht="12.75" hidden="1" customHeight="1" outlineLevel="1">
      <c r="A5125" s="122">
        <v>41927.0</v>
      </c>
      <c r="B5125" s="32" t="s">
        <v>347</v>
      </c>
      <c r="C5125" s="32" t="s">
        <v>1060</v>
      </c>
      <c r="D5125" s="708">
        <v>300.0</v>
      </c>
      <c r="E5125" s="195">
        <v>34.622</v>
      </c>
      <c r="F5125" s="709">
        <v>0.5149537037037037</v>
      </c>
      <c r="G5125" s="195" t="s">
        <v>453</v>
      </c>
      <c r="H5125" s="710">
        <v>1.43</v>
      </c>
      <c r="I5125" s="256"/>
      <c r="J5125" s="67">
        <f t="shared" si="318"/>
        <v>10385.17</v>
      </c>
      <c r="K5125" s="7"/>
      <c r="L5125" s="70"/>
      <c r="M5125" s="79"/>
      <c r="N5125" s="32"/>
      <c r="O5125" s="32"/>
      <c r="P5125" s="32"/>
      <c r="Q5125" s="32"/>
      <c r="R5125" s="32"/>
      <c r="S5125" s="32"/>
      <c r="T5125" s="32"/>
      <c r="U5125" s="32"/>
      <c r="V5125" s="32"/>
      <c r="W5125" s="32"/>
      <c r="X5125" s="32"/>
      <c r="Y5125" s="32"/>
      <c r="Z5125" s="32"/>
      <c r="AA5125" s="32"/>
      <c r="AB5125" s="32"/>
      <c r="AC5125" s="32"/>
      <c r="AD5125" s="32"/>
      <c r="AE5125" s="32"/>
      <c r="AF5125" s="32"/>
      <c r="AG5125" s="32"/>
      <c r="AH5125" s="32"/>
    </row>
    <row r="5126" ht="12.75" hidden="1" customHeight="1" outlineLevel="1">
      <c r="A5126" s="122">
        <v>41927.0</v>
      </c>
      <c r="B5126" s="1"/>
      <c r="C5126" s="1" t="s">
        <v>339</v>
      </c>
      <c r="D5126" s="74"/>
      <c r="E5126" s="67"/>
      <c r="F5126" s="75"/>
      <c r="G5126" s="67"/>
      <c r="H5126" s="68"/>
      <c r="I5126" s="76"/>
      <c r="J5126" s="67"/>
      <c r="K5126" s="9" t="s">
        <v>2233</v>
      </c>
      <c r="L5126" s="77"/>
      <c r="M5126" s="79"/>
      <c r="N5126" s="1"/>
      <c r="O5126" s="1"/>
      <c r="P5126" s="1"/>
      <c r="Q5126" s="1"/>
      <c r="R5126" s="1"/>
      <c r="S5126" s="1"/>
      <c r="T5126" s="1"/>
      <c r="U5126" s="1"/>
      <c r="V5126" s="1"/>
      <c r="W5126" s="1"/>
      <c r="X5126" s="1"/>
      <c r="Y5126" s="1"/>
      <c r="Z5126" s="1"/>
      <c r="AA5126" s="1"/>
      <c r="AB5126" s="1"/>
      <c r="AC5126" s="1"/>
      <c r="AD5126" s="1"/>
      <c r="AE5126" s="1"/>
      <c r="AF5126" s="1"/>
      <c r="AG5126" s="1"/>
      <c r="AH5126" s="1"/>
    </row>
    <row r="5127" ht="12.75" hidden="1" customHeight="1" outlineLevel="1">
      <c r="A5127" s="122">
        <v>41927.0</v>
      </c>
      <c r="B5127" s="1"/>
      <c r="C5127" s="1" t="s">
        <v>429</v>
      </c>
      <c r="D5127" s="74"/>
      <c r="E5127" s="67"/>
      <c r="F5127" s="75"/>
      <c r="G5127" s="67"/>
      <c r="H5127" s="68"/>
      <c r="I5127" s="76"/>
      <c r="J5127" s="67"/>
      <c r="K5127" s="9" t="s">
        <v>2234</v>
      </c>
      <c r="L5127" s="77"/>
      <c r="M5127" s="79"/>
      <c r="N5127" s="1"/>
      <c r="O5127" s="1"/>
      <c r="P5127" s="1"/>
      <c r="Q5127" s="1"/>
      <c r="R5127" s="1"/>
      <c r="S5127" s="1"/>
      <c r="T5127" s="1"/>
      <c r="U5127" s="1"/>
      <c r="V5127" s="1"/>
      <c r="W5127" s="1"/>
      <c r="X5127" s="1"/>
      <c r="Y5127" s="1"/>
      <c r="Z5127" s="1"/>
      <c r="AA5127" s="1"/>
      <c r="AB5127" s="1"/>
      <c r="AC5127" s="1"/>
      <c r="AD5127" s="1"/>
      <c r="AE5127" s="1"/>
      <c r="AF5127" s="1"/>
      <c r="AG5127" s="1"/>
      <c r="AH5127" s="1"/>
    </row>
    <row r="5128" ht="12.75" hidden="1" customHeight="1" outlineLevel="1">
      <c r="A5128" s="122">
        <v>41927.0</v>
      </c>
      <c r="B5128" s="1"/>
      <c r="C5128" s="1" t="s">
        <v>431</v>
      </c>
      <c r="D5128" s="74"/>
      <c r="E5128" s="67"/>
      <c r="F5128" s="75"/>
      <c r="G5128" s="67"/>
      <c r="H5128" s="68"/>
      <c r="I5128" s="76"/>
      <c r="J5128" s="67"/>
      <c r="K5128" s="7" t="s">
        <v>1126</v>
      </c>
      <c r="L5128" s="77"/>
      <c r="M5128" s="79"/>
      <c r="N5128" s="1"/>
      <c r="O5128" s="1"/>
      <c r="P5128" s="1"/>
      <c r="Q5128" s="1"/>
      <c r="R5128" s="1"/>
      <c r="S5128" s="1"/>
      <c r="T5128" s="1"/>
      <c r="U5128" s="1"/>
      <c r="V5128" s="1"/>
      <c r="W5128" s="1"/>
      <c r="X5128" s="1"/>
      <c r="Y5128" s="1"/>
      <c r="Z5128" s="1"/>
      <c r="AA5128" s="1"/>
      <c r="AB5128" s="1"/>
      <c r="AC5128" s="1"/>
      <c r="AD5128" s="1"/>
      <c r="AE5128" s="1"/>
      <c r="AF5128" s="1"/>
      <c r="AG5128" s="1"/>
      <c r="AH5128" s="1"/>
    </row>
    <row r="5129" ht="12.75" hidden="1" customHeight="1" outlineLevel="1">
      <c r="A5129" s="122">
        <v>41927.0</v>
      </c>
      <c r="B5129" s="1"/>
      <c r="C5129" s="1" t="s">
        <v>433</v>
      </c>
      <c r="D5129" s="74"/>
      <c r="E5129" s="67"/>
      <c r="F5129" s="75"/>
      <c r="G5129" s="67"/>
      <c r="H5129" s="68"/>
      <c r="I5129" s="76"/>
      <c r="J5129" s="67"/>
      <c r="K5129" s="7" t="s">
        <v>1103</v>
      </c>
      <c r="L5129" s="77"/>
      <c r="M5129" s="79"/>
      <c r="N5129" s="1"/>
      <c r="O5129" s="1"/>
      <c r="P5129" s="1"/>
      <c r="Q5129" s="1"/>
      <c r="R5129" s="1"/>
      <c r="S5129" s="1"/>
      <c r="T5129" s="1"/>
      <c r="U5129" s="1"/>
      <c r="V5129" s="1"/>
      <c r="W5129" s="1"/>
      <c r="X5129" s="1"/>
      <c r="Y5129" s="1"/>
      <c r="Z5129" s="1"/>
      <c r="AA5129" s="1"/>
      <c r="AB5129" s="1"/>
      <c r="AC5129" s="1"/>
      <c r="AD5129" s="1"/>
      <c r="AE5129" s="1"/>
      <c r="AF5129" s="1"/>
      <c r="AG5129" s="1"/>
      <c r="AH5129" s="1"/>
    </row>
    <row r="5130" ht="12.75" hidden="1" customHeight="1" outlineLevel="1">
      <c r="A5130" s="122">
        <v>41927.0</v>
      </c>
      <c r="B5130" s="1"/>
      <c r="C5130" s="1" t="s">
        <v>435</v>
      </c>
      <c r="D5130" s="74"/>
      <c r="E5130" s="67"/>
      <c r="F5130" s="75"/>
      <c r="G5130" s="67"/>
      <c r="H5130" s="68"/>
      <c r="I5130" s="76"/>
      <c r="J5130" s="67"/>
      <c r="K5130" s="7" t="s">
        <v>1507</v>
      </c>
      <c r="L5130" s="77"/>
      <c r="M5130" s="79"/>
      <c r="N5130" s="1"/>
      <c r="O5130" s="1"/>
      <c r="P5130" s="1"/>
      <c r="Q5130" s="1"/>
      <c r="R5130" s="1"/>
      <c r="S5130" s="1"/>
      <c r="T5130" s="1"/>
      <c r="U5130" s="1"/>
      <c r="V5130" s="1"/>
      <c r="W5130" s="1"/>
      <c r="X5130" s="1"/>
      <c r="Y5130" s="1"/>
      <c r="Z5130" s="1"/>
      <c r="AA5130" s="1"/>
      <c r="AB5130" s="1"/>
      <c r="AC5130" s="1"/>
      <c r="AD5130" s="1"/>
      <c r="AE5130" s="1"/>
      <c r="AF5130" s="1"/>
      <c r="AG5130" s="1"/>
      <c r="AH5130" s="1"/>
    </row>
    <row r="5131" ht="12.75" hidden="1" customHeight="1" outlineLevel="1">
      <c r="A5131" s="122">
        <v>41928.0</v>
      </c>
      <c r="B5131" s="32" t="s">
        <v>343</v>
      </c>
      <c r="C5131" s="32" t="s">
        <v>344</v>
      </c>
      <c r="D5131" s="708">
        <v>400.0</v>
      </c>
      <c r="E5131" s="195">
        <v>49.465</v>
      </c>
      <c r="F5131" s="709">
        <v>0.4135185185185185</v>
      </c>
      <c r="G5131" s="195" t="s">
        <v>453</v>
      </c>
      <c r="H5131" s="710">
        <v>2.0</v>
      </c>
      <c r="I5131" s="256"/>
      <c r="J5131" s="67">
        <f t="shared" ref="J5131:J5138" si="319">IF(B5131="SLD",D5131*E5131,-D5131*E5131)-H5131</f>
        <v>-19788</v>
      </c>
      <c r="K5131" s="7"/>
      <c r="L5131" s="70"/>
      <c r="M5131" s="79"/>
      <c r="N5131" s="32"/>
      <c r="O5131" s="32"/>
      <c r="P5131" s="32"/>
      <c r="Q5131" s="32"/>
      <c r="R5131" s="32"/>
      <c r="S5131" s="32"/>
      <c r="T5131" s="32"/>
      <c r="U5131" s="32"/>
      <c r="V5131" s="32"/>
      <c r="W5131" s="32"/>
      <c r="X5131" s="32"/>
      <c r="Y5131" s="32"/>
      <c r="Z5131" s="32"/>
      <c r="AA5131" s="32"/>
      <c r="AB5131" s="32"/>
      <c r="AC5131" s="32"/>
      <c r="AD5131" s="32"/>
      <c r="AE5131" s="32"/>
      <c r="AF5131" s="32"/>
      <c r="AG5131" s="32"/>
      <c r="AH5131" s="32"/>
    </row>
    <row r="5132" ht="12.75" hidden="1" customHeight="1" outlineLevel="1">
      <c r="A5132" s="122">
        <v>41928.0</v>
      </c>
      <c r="B5132" s="32" t="s">
        <v>343</v>
      </c>
      <c r="C5132" s="32" t="s">
        <v>1325</v>
      </c>
      <c r="D5132" s="708">
        <v>800.0</v>
      </c>
      <c r="E5132" s="195">
        <v>60.989</v>
      </c>
      <c r="F5132" s="709">
        <v>0.41327546296296297</v>
      </c>
      <c r="G5132" s="195" t="s">
        <v>453</v>
      </c>
      <c r="H5132" s="710">
        <v>4.0</v>
      </c>
      <c r="I5132" s="256"/>
      <c r="J5132" s="67">
        <f t="shared" si="319"/>
        <v>-48795.2</v>
      </c>
      <c r="K5132" s="7"/>
      <c r="L5132" s="70"/>
      <c r="M5132" s="79"/>
      <c r="N5132" s="32"/>
      <c r="O5132" s="32"/>
      <c r="P5132" s="32"/>
      <c r="Q5132" s="32"/>
      <c r="R5132" s="32"/>
      <c r="S5132" s="32"/>
      <c r="T5132" s="32"/>
      <c r="U5132" s="32"/>
      <c r="V5132" s="32"/>
      <c r="W5132" s="32"/>
      <c r="X5132" s="32"/>
      <c r="Y5132" s="32"/>
      <c r="Z5132" s="32"/>
      <c r="AA5132" s="32"/>
      <c r="AB5132" s="32"/>
      <c r="AC5132" s="32"/>
      <c r="AD5132" s="32"/>
      <c r="AE5132" s="32"/>
      <c r="AF5132" s="32"/>
      <c r="AG5132" s="32"/>
      <c r="AH5132" s="32"/>
    </row>
    <row r="5133" ht="12.75" hidden="1" customHeight="1" outlineLevel="1">
      <c r="A5133" s="122">
        <v>41928.0</v>
      </c>
      <c r="B5133" s="32" t="s">
        <v>347</v>
      </c>
      <c r="C5133" s="32" t="s">
        <v>1382</v>
      </c>
      <c r="D5133" s="708">
        <v>225.0</v>
      </c>
      <c r="E5133" s="195">
        <v>126.46</v>
      </c>
      <c r="F5133" s="709">
        <v>0.42289351851851853</v>
      </c>
      <c r="G5133" s="195" t="s">
        <v>453</v>
      </c>
      <c r="H5133" s="710">
        <v>1.63</v>
      </c>
      <c r="I5133" s="256"/>
      <c r="J5133" s="67">
        <f t="shared" si="319"/>
        <v>28451.87</v>
      </c>
      <c r="K5133" s="7"/>
      <c r="L5133" s="70"/>
      <c r="M5133" s="79"/>
      <c r="N5133" s="32"/>
      <c r="O5133" s="32"/>
      <c r="P5133" s="32"/>
      <c r="Q5133" s="32"/>
      <c r="R5133" s="32"/>
      <c r="S5133" s="32"/>
      <c r="T5133" s="32"/>
      <c r="U5133" s="32"/>
      <c r="V5133" s="32"/>
      <c r="W5133" s="32"/>
      <c r="X5133" s="32"/>
      <c r="Y5133" s="32"/>
      <c r="Z5133" s="32"/>
      <c r="AA5133" s="32"/>
      <c r="AB5133" s="32"/>
      <c r="AC5133" s="32"/>
      <c r="AD5133" s="32"/>
      <c r="AE5133" s="32"/>
      <c r="AF5133" s="32"/>
      <c r="AG5133" s="32"/>
      <c r="AH5133" s="32"/>
    </row>
    <row r="5134" ht="12.75" hidden="1" customHeight="1" outlineLevel="1">
      <c r="A5134" s="122">
        <v>41928.0</v>
      </c>
      <c r="B5134" s="32" t="s">
        <v>343</v>
      </c>
      <c r="C5134" s="32" t="s">
        <v>1082</v>
      </c>
      <c r="D5134" s="708">
        <v>90.0</v>
      </c>
      <c r="E5134" s="195">
        <v>504.45</v>
      </c>
      <c r="F5134" s="709">
        <v>0.4127199074074074</v>
      </c>
      <c r="G5134" s="195" t="s">
        <v>453</v>
      </c>
      <c r="H5134" s="710">
        <v>1.0</v>
      </c>
      <c r="I5134" s="256"/>
      <c r="J5134" s="67">
        <f t="shared" si="319"/>
        <v>-45401.5</v>
      </c>
      <c r="K5134" s="7"/>
      <c r="L5134" s="70"/>
      <c r="M5134" s="79"/>
      <c r="N5134" s="32"/>
      <c r="O5134" s="32"/>
      <c r="P5134" s="32"/>
      <c r="Q5134" s="32"/>
      <c r="R5134" s="32"/>
      <c r="S5134" s="32"/>
      <c r="T5134" s="32"/>
      <c r="U5134" s="32"/>
      <c r="V5134" s="32"/>
      <c r="W5134" s="32"/>
      <c r="X5134" s="32"/>
      <c r="Y5134" s="32"/>
      <c r="Z5134" s="32"/>
      <c r="AA5134" s="32"/>
      <c r="AB5134" s="32"/>
      <c r="AC5134" s="32"/>
      <c r="AD5134" s="32"/>
      <c r="AE5134" s="32"/>
      <c r="AF5134" s="32"/>
      <c r="AG5134" s="32"/>
      <c r="AH5134" s="32"/>
    </row>
    <row r="5135" ht="12.75" hidden="1" customHeight="1" outlineLevel="1">
      <c r="A5135" s="122">
        <v>41928.0</v>
      </c>
      <c r="B5135" s="32" t="s">
        <v>347</v>
      </c>
      <c r="C5135" s="32" t="s">
        <v>1152</v>
      </c>
      <c r="D5135" s="708">
        <v>600.0</v>
      </c>
      <c r="E5135" s="195">
        <v>61.314</v>
      </c>
      <c r="F5135" s="709">
        <v>0.41475694444444444</v>
      </c>
      <c r="G5135" s="195" t="s">
        <v>453</v>
      </c>
      <c r="H5135" s="710">
        <v>3.21</v>
      </c>
      <c r="I5135" s="256"/>
      <c r="J5135" s="67">
        <f t="shared" si="319"/>
        <v>36785.19</v>
      </c>
      <c r="K5135" s="7"/>
      <c r="L5135" s="70"/>
      <c r="M5135" s="79"/>
      <c r="N5135" s="32"/>
      <c r="O5135" s="32"/>
      <c r="P5135" s="32"/>
      <c r="Q5135" s="32"/>
      <c r="R5135" s="32"/>
      <c r="S5135" s="32"/>
      <c r="T5135" s="32"/>
      <c r="U5135" s="32"/>
      <c r="V5135" s="32"/>
      <c r="W5135" s="32"/>
      <c r="X5135" s="32"/>
      <c r="Y5135" s="32"/>
      <c r="Z5135" s="32"/>
      <c r="AA5135" s="32"/>
      <c r="AB5135" s="32"/>
      <c r="AC5135" s="32"/>
      <c r="AD5135" s="32"/>
      <c r="AE5135" s="32"/>
      <c r="AF5135" s="32"/>
      <c r="AG5135" s="32"/>
      <c r="AH5135" s="32"/>
    </row>
    <row r="5136" ht="12.75" hidden="1" customHeight="1" outlineLevel="1">
      <c r="A5136" s="122">
        <v>41928.0</v>
      </c>
      <c r="B5136" s="32" t="s">
        <v>347</v>
      </c>
      <c r="C5136" s="32" t="s">
        <v>2157</v>
      </c>
      <c r="D5136" s="708">
        <v>350.0</v>
      </c>
      <c r="E5136" s="195">
        <v>87.0</v>
      </c>
      <c r="F5136" s="709">
        <v>0.4153125</v>
      </c>
      <c r="G5136" s="195" t="s">
        <v>453</v>
      </c>
      <c r="H5136" s="710">
        <v>2.42</v>
      </c>
      <c r="I5136" s="256"/>
      <c r="J5136" s="67">
        <f t="shared" si="319"/>
        <v>30447.58</v>
      </c>
      <c r="K5136" s="7"/>
      <c r="L5136" s="70"/>
      <c r="M5136" s="79"/>
      <c r="N5136" s="32"/>
      <c r="O5136" s="32"/>
      <c r="P5136" s="32"/>
      <c r="Q5136" s="32"/>
      <c r="R5136" s="32"/>
      <c r="S5136" s="32"/>
      <c r="T5136" s="32"/>
      <c r="U5136" s="32"/>
      <c r="V5136" s="32"/>
      <c r="W5136" s="32"/>
      <c r="X5136" s="32"/>
      <c r="Y5136" s="32"/>
      <c r="Z5136" s="32"/>
      <c r="AA5136" s="32"/>
      <c r="AB5136" s="32"/>
      <c r="AC5136" s="32"/>
      <c r="AD5136" s="32"/>
      <c r="AE5136" s="32"/>
      <c r="AF5136" s="32"/>
      <c r="AG5136" s="32"/>
      <c r="AH5136" s="32"/>
    </row>
    <row r="5137" ht="12.75" hidden="1" customHeight="1" outlineLevel="1">
      <c r="A5137" s="122">
        <v>41928.0</v>
      </c>
      <c r="B5137" s="32" t="s">
        <v>343</v>
      </c>
      <c r="C5137" s="32" t="s">
        <v>1185</v>
      </c>
      <c r="D5137" s="708">
        <v>75.0</v>
      </c>
      <c r="E5137" s="195">
        <v>241.99</v>
      </c>
      <c r="F5137" s="709">
        <v>0.4138541666666667</v>
      </c>
      <c r="G5137" s="195" t="s">
        <v>453</v>
      </c>
      <c r="H5137" s="710">
        <v>1.0</v>
      </c>
      <c r="I5137" s="256"/>
      <c r="J5137" s="67">
        <f t="shared" si="319"/>
        <v>-18150.25</v>
      </c>
      <c r="K5137" s="7"/>
      <c r="L5137" s="70"/>
      <c r="M5137" s="79"/>
      <c r="N5137" s="32"/>
      <c r="O5137" s="32"/>
      <c r="P5137" s="32"/>
      <c r="Q5137" s="32"/>
      <c r="R5137" s="32"/>
      <c r="S5137" s="32"/>
      <c r="T5137" s="32"/>
      <c r="U5137" s="32"/>
      <c r="V5137" s="32"/>
      <c r="W5137" s="32"/>
      <c r="X5137" s="32"/>
      <c r="Y5137" s="32"/>
      <c r="Z5137" s="32"/>
      <c r="AA5137" s="32"/>
      <c r="AB5137" s="32"/>
      <c r="AC5137" s="32"/>
      <c r="AD5137" s="32"/>
      <c r="AE5137" s="32"/>
      <c r="AF5137" s="32"/>
      <c r="AG5137" s="32"/>
      <c r="AH5137" s="32"/>
    </row>
    <row r="5138" ht="12.75" hidden="1" customHeight="1" outlineLevel="1">
      <c r="A5138" s="122">
        <v>41928.0</v>
      </c>
      <c r="B5138" s="32" t="s">
        <v>343</v>
      </c>
      <c r="C5138" s="32" t="s">
        <v>1060</v>
      </c>
      <c r="D5138" s="708">
        <v>800.0</v>
      </c>
      <c r="E5138" s="195">
        <v>34.853</v>
      </c>
      <c r="F5138" s="709">
        <v>0.412337962962963</v>
      </c>
      <c r="G5138" s="195" t="s">
        <v>453</v>
      </c>
      <c r="H5138" s="710">
        <v>4.0</v>
      </c>
      <c r="I5138" s="256"/>
      <c r="J5138" s="67">
        <f t="shared" si="319"/>
        <v>-27886.4</v>
      </c>
      <c r="K5138" s="7"/>
      <c r="L5138" s="70"/>
      <c r="M5138" s="79"/>
      <c r="N5138" s="32"/>
      <c r="O5138" s="32"/>
      <c r="P5138" s="32"/>
      <c r="Q5138" s="32"/>
      <c r="R5138" s="32"/>
      <c r="S5138" s="32"/>
      <c r="T5138" s="32"/>
      <c r="U5138" s="32"/>
      <c r="V5138" s="32"/>
      <c r="W5138" s="32"/>
      <c r="X5138" s="32"/>
      <c r="Y5138" s="32"/>
      <c r="Z5138" s="32"/>
      <c r="AA5138" s="32"/>
      <c r="AB5138" s="32"/>
      <c r="AC5138" s="32"/>
      <c r="AD5138" s="32"/>
      <c r="AE5138" s="32"/>
      <c r="AF5138" s="32"/>
      <c r="AG5138" s="32"/>
      <c r="AH5138" s="32"/>
    </row>
    <row r="5139" ht="12.75" hidden="1" customHeight="1" outlineLevel="1">
      <c r="A5139" s="122">
        <v>41928.0</v>
      </c>
      <c r="B5139" s="1"/>
      <c r="C5139" s="1" t="s">
        <v>339</v>
      </c>
      <c r="D5139" s="74"/>
      <c r="E5139" s="67"/>
      <c r="F5139" s="75"/>
      <c r="G5139" s="67"/>
      <c r="H5139" s="68"/>
      <c r="I5139" s="76"/>
      <c r="J5139" s="67"/>
      <c r="K5139" s="9" t="s">
        <v>2244</v>
      </c>
      <c r="L5139" s="77"/>
      <c r="M5139" s="79"/>
      <c r="N5139" s="1"/>
      <c r="O5139" s="1"/>
      <c r="P5139" s="1"/>
      <c r="Q5139" s="1"/>
      <c r="R5139" s="1"/>
      <c r="S5139" s="1"/>
      <c r="T5139" s="1"/>
      <c r="U5139" s="1"/>
      <c r="V5139" s="1"/>
      <c r="W5139" s="1"/>
      <c r="X5139" s="1"/>
      <c r="Y5139" s="1"/>
      <c r="Z5139" s="1"/>
      <c r="AA5139" s="1"/>
      <c r="AB5139" s="1"/>
      <c r="AC5139" s="1"/>
      <c r="AD5139" s="1"/>
      <c r="AE5139" s="1"/>
      <c r="AF5139" s="1"/>
      <c r="AG5139" s="1"/>
      <c r="AH5139" s="1"/>
    </row>
    <row r="5140" ht="12.75" hidden="1" customHeight="1" outlineLevel="1">
      <c r="A5140" s="122">
        <v>41928.0</v>
      </c>
      <c r="B5140" s="1"/>
      <c r="C5140" s="1" t="s">
        <v>429</v>
      </c>
      <c r="D5140" s="74"/>
      <c r="E5140" s="67"/>
      <c r="F5140" s="75"/>
      <c r="G5140" s="67"/>
      <c r="H5140" s="68"/>
      <c r="I5140" s="76"/>
      <c r="J5140" s="67"/>
      <c r="K5140" s="9" t="s">
        <v>2249</v>
      </c>
      <c r="L5140" s="77"/>
      <c r="M5140" s="79"/>
      <c r="N5140" s="1"/>
      <c r="O5140" s="1"/>
      <c r="P5140" s="1"/>
      <c r="Q5140" s="1"/>
      <c r="R5140" s="1"/>
      <c r="S5140" s="1"/>
      <c r="T5140" s="1"/>
      <c r="U5140" s="1"/>
      <c r="V5140" s="1"/>
      <c r="W5140" s="1"/>
      <c r="X5140" s="1"/>
      <c r="Y5140" s="1"/>
      <c r="Z5140" s="1"/>
      <c r="AA5140" s="1"/>
      <c r="AB5140" s="1"/>
      <c r="AC5140" s="1"/>
      <c r="AD5140" s="1"/>
      <c r="AE5140" s="1"/>
      <c r="AF5140" s="1"/>
      <c r="AG5140" s="1"/>
      <c r="AH5140" s="1"/>
    </row>
    <row r="5141" ht="12.75" hidden="1" customHeight="1" outlineLevel="1">
      <c r="A5141" s="122">
        <v>41928.0</v>
      </c>
      <c r="B5141" s="1"/>
      <c r="C5141" s="1" t="s">
        <v>431</v>
      </c>
      <c r="D5141" s="74"/>
      <c r="E5141" s="67"/>
      <c r="F5141" s="75"/>
      <c r="G5141" s="67"/>
      <c r="H5141" s="68"/>
      <c r="I5141" s="76"/>
      <c r="J5141" s="67"/>
      <c r="K5141" s="7" t="s">
        <v>1126</v>
      </c>
      <c r="L5141" s="77"/>
      <c r="M5141" s="79"/>
      <c r="N5141" s="1"/>
      <c r="O5141" s="1"/>
      <c r="P5141" s="1"/>
      <c r="Q5141" s="1"/>
      <c r="R5141" s="1"/>
      <c r="S5141" s="1"/>
      <c r="T5141" s="1"/>
      <c r="U5141" s="1"/>
      <c r="V5141" s="1"/>
      <c r="W5141" s="1"/>
      <c r="X5141" s="1"/>
      <c r="Y5141" s="1"/>
      <c r="Z5141" s="1"/>
      <c r="AA5141" s="1"/>
      <c r="AB5141" s="1"/>
      <c r="AC5141" s="1"/>
      <c r="AD5141" s="1"/>
      <c r="AE5141" s="1"/>
      <c r="AF5141" s="1"/>
      <c r="AG5141" s="1"/>
      <c r="AH5141" s="1"/>
    </row>
    <row r="5142" ht="12.75" hidden="1" customHeight="1" outlineLevel="1">
      <c r="A5142" s="122">
        <v>41928.0</v>
      </c>
      <c r="B5142" s="1"/>
      <c r="C5142" s="1" t="s">
        <v>433</v>
      </c>
      <c r="D5142" s="74"/>
      <c r="E5142" s="67"/>
      <c r="F5142" s="75"/>
      <c r="G5142" s="67"/>
      <c r="H5142" s="68"/>
      <c r="I5142" s="76"/>
      <c r="J5142" s="67"/>
      <c r="K5142" s="7" t="s">
        <v>1103</v>
      </c>
      <c r="L5142" s="77"/>
      <c r="M5142" s="79"/>
      <c r="N5142" s="1"/>
      <c r="O5142" s="1"/>
      <c r="P5142" s="1"/>
      <c r="Q5142" s="1"/>
      <c r="R5142" s="1"/>
      <c r="S5142" s="1"/>
      <c r="T5142" s="1"/>
      <c r="U5142" s="1"/>
      <c r="V5142" s="1"/>
      <c r="W5142" s="1"/>
      <c r="X5142" s="1"/>
      <c r="Y5142" s="1"/>
      <c r="Z5142" s="1"/>
      <c r="AA5142" s="1"/>
      <c r="AB5142" s="1"/>
      <c r="AC5142" s="1"/>
      <c r="AD5142" s="1"/>
      <c r="AE5142" s="1"/>
      <c r="AF5142" s="1"/>
      <c r="AG5142" s="1"/>
      <c r="AH5142" s="1"/>
    </row>
    <row r="5143" ht="12.75" hidden="1" customHeight="1" outlineLevel="1">
      <c r="A5143" s="122">
        <v>41928.0</v>
      </c>
      <c r="B5143" s="1"/>
      <c r="C5143" s="1" t="s">
        <v>435</v>
      </c>
      <c r="D5143" s="74"/>
      <c r="E5143" s="67"/>
      <c r="F5143" s="75"/>
      <c r="G5143" s="67"/>
      <c r="H5143" s="68"/>
      <c r="I5143" s="76"/>
      <c r="J5143" s="67"/>
      <c r="K5143" s="7" t="s">
        <v>1507</v>
      </c>
      <c r="L5143" s="77"/>
      <c r="M5143" s="79"/>
      <c r="N5143" s="1"/>
      <c r="O5143" s="1"/>
      <c r="P5143" s="1"/>
      <c r="Q5143" s="1"/>
      <c r="R5143" s="1"/>
      <c r="S5143" s="1"/>
      <c r="T5143" s="1"/>
      <c r="U5143" s="1"/>
      <c r="V5143" s="1"/>
      <c r="W5143" s="1"/>
      <c r="X5143" s="1"/>
      <c r="Y5143" s="1"/>
      <c r="Z5143" s="1"/>
      <c r="AA5143" s="1"/>
      <c r="AB5143" s="1"/>
      <c r="AC5143" s="1"/>
      <c r="AD5143" s="1"/>
      <c r="AE5143" s="1"/>
      <c r="AF5143" s="1"/>
      <c r="AG5143" s="1"/>
      <c r="AH5143" s="1"/>
    </row>
    <row r="5144" ht="12.75" hidden="1" customHeight="1" outlineLevel="1">
      <c r="A5144" s="122">
        <v>41929.0</v>
      </c>
      <c r="B5144" s="32" t="s">
        <v>347</v>
      </c>
      <c r="C5144" s="32" t="s">
        <v>1082</v>
      </c>
      <c r="D5144" s="708">
        <v>10.0</v>
      </c>
      <c r="E5144" s="195">
        <v>507.21</v>
      </c>
      <c r="F5144" s="709">
        <v>0.4210763888888889</v>
      </c>
      <c r="G5144" s="195" t="s">
        <v>453</v>
      </c>
      <c r="H5144" s="710">
        <v>1.11</v>
      </c>
      <c r="I5144" s="256"/>
      <c r="J5144" s="67">
        <f t="shared" ref="J5144:J5151" si="320">IF(B5144="SLD",D5144*E5144,-D5144*E5144)-H5144</f>
        <v>5070.99</v>
      </c>
      <c r="K5144" s="7"/>
      <c r="L5144" s="70"/>
      <c r="M5144" s="79"/>
      <c r="N5144" s="32"/>
      <c r="O5144" s="32"/>
      <c r="P5144" s="32"/>
      <c r="Q5144" s="32"/>
      <c r="R5144" s="32"/>
      <c r="S5144" s="32"/>
      <c r="T5144" s="32"/>
      <c r="U5144" s="32"/>
      <c r="V5144" s="32"/>
      <c r="W5144" s="32"/>
      <c r="X5144" s="32"/>
      <c r="Y5144" s="32"/>
      <c r="Z5144" s="32"/>
      <c r="AA5144" s="32"/>
      <c r="AB5144" s="32"/>
      <c r="AC5144" s="32"/>
      <c r="AD5144" s="32"/>
      <c r="AE5144" s="32"/>
      <c r="AF5144" s="32"/>
      <c r="AG5144" s="32"/>
      <c r="AH5144" s="32"/>
    </row>
    <row r="5145" ht="12.75" hidden="1" customHeight="1" outlineLevel="1">
      <c r="A5145" s="122">
        <v>41929.0</v>
      </c>
      <c r="B5145" s="32" t="s">
        <v>343</v>
      </c>
      <c r="C5145" s="32" t="s">
        <v>2142</v>
      </c>
      <c r="D5145" s="708">
        <v>200.0</v>
      </c>
      <c r="E5145" s="195">
        <v>24.87</v>
      </c>
      <c r="F5145" s="709">
        <v>0.4128703703703704</v>
      </c>
      <c r="G5145" s="195" t="s">
        <v>453</v>
      </c>
      <c r="H5145" s="710">
        <v>1.0</v>
      </c>
      <c r="I5145" s="256"/>
      <c r="J5145" s="67">
        <f t="shared" si="320"/>
        <v>-4975</v>
      </c>
      <c r="K5145" s="7"/>
      <c r="L5145" s="70"/>
      <c r="M5145" s="79"/>
      <c r="N5145" s="32"/>
      <c r="O5145" s="32"/>
      <c r="P5145" s="32"/>
      <c r="Q5145" s="32"/>
      <c r="R5145" s="32"/>
      <c r="S5145" s="32"/>
      <c r="T5145" s="32"/>
      <c r="U5145" s="32"/>
      <c r="V5145" s="32"/>
      <c r="W5145" s="32"/>
      <c r="X5145" s="32"/>
      <c r="Y5145" s="32"/>
      <c r="Z5145" s="32"/>
      <c r="AA5145" s="32"/>
      <c r="AB5145" s="32"/>
      <c r="AC5145" s="32"/>
      <c r="AD5145" s="32"/>
      <c r="AE5145" s="32"/>
      <c r="AF5145" s="32"/>
      <c r="AG5145" s="32"/>
      <c r="AH5145" s="32"/>
    </row>
    <row r="5146" ht="12.75" hidden="1" customHeight="1" outlineLevel="1">
      <c r="A5146" s="122">
        <v>41929.0</v>
      </c>
      <c r="B5146" s="32" t="s">
        <v>347</v>
      </c>
      <c r="C5146" s="32" t="s">
        <v>1185</v>
      </c>
      <c r="D5146" s="708">
        <v>25.0</v>
      </c>
      <c r="E5146" s="195">
        <v>248.5</v>
      </c>
      <c r="F5146" s="709">
        <v>0.412337962962963</v>
      </c>
      <c r="G5146" s="195" t="s">
        <v>453</v>
      </c>
      <c r="H5146" s="710">
        <v>1.14</v>
      </c>
      <c r="I5146" s="256"/>
      <c r="J5146" s="67">
        <f t="shared" si="320"/>
        <v>6211.36</v>
      </c>
      <c r="K5146" s="7"/>
      <c r="L5146" s="70"/>
      <c r="M5146" s="79"/>
      <c r="N5146" s="32"/>
      <c r="O5146" s="32"/>
      <c r="P5146" s="32"/>
      <c r="Q5146" s="32"/>
      <c r="R5146" s="32"/>
      <c r="S5146" s="32"/>
      <c r="T5146" s="32"/>
      <c r="U5146" s="32"/>
      <c r="V5146" s="32"/>
      <c r="W5146" s="32"/>
      <c r="X5146" s="32"/>
      <c r="Y5146" s="32"/>
      <c r="Z5146" s="32"/>
      <c r="AA5146" s="32"/>
      <c r="AB5146" s="32"/>
      <c r="AC5146" s="32"/>
      <c r="AD5146" s="32"/>
      <c r="AE5146" s="32"/>
      <c r="AF5146" s="32"/>
      <c r="AG5146" s="32"/>
      <c r="AH5146" s="32"/>
    </row>
    <row r="5147" ht="12.75" hidden="1" customHeight="1" outlineLevel="1">
      <c r="A5147" s="122">
        <v>41929.0</v>
      </c>
      <c r="B5147" s="32" t="s">
        <v>343</v>
      </c>
      <c r="C5147" s="32" t="s">
        <v>1185</v>
      </c>
      <c r="D5147" s="708">
        <v>50.0</v>
      </c>
      <c r="E5147" s="195">
        <v>253.55</v>
      </c>
      <c r="F5147" s="709">
        <v>0.4163541666666667</v>
      </c>
      <c r="G5147" s="195" t="s">
        <v>453</v>
      </c>
      <c r="H5147" s="710">
        <v>1.0</v>
      </c>
      <c r="I5147" s="256"/>
      <c r="J5147" s="67">
        <f t="shared" si="320"/>
        <v>-12678.5</v>
      </c>
      <c r="K5147" s="7"/>
      <c r="L5147" s="70"/>
      <c r="M5147" s="79"/>
      <c r="N5147" s="32"/>
      <c r="O5147" s="32"/>
      <c r="P5147" s="32"/>
      <c r="Q5147" s="32"/>
      <c r="R5147" s="32"/>
      <c r="S5147" s="32"/>
      <c r="T5147" s="32"/>
      <c r="U5147" s="32"/>
      <c r="V5147" s="32"/>
      <c r="W5147" s="32"/>
      <c r="X5147" s="32"/>
      <c r="Y5147" s="32"/>
      <c r="Z5147" s="32"/>
      <c r="AA5147" s="32"/>
      <c r="AB5147" s="32"/>
      <c r="AC5147" s="32"/>
      <c r="AD5147" s="32"/>
      <c r="AE5147" s="32"/>
      <c r="AF5147" s="32"/>
      <c r="AG5147" s="32"/>
      <c r="AH5147" s="32"/>
    </row>
    <row r="5148" ht="12.75" hidden="1" customHeight="1" outlineLevel="1">
      <c r="A5148" s="122">
        <v>41933.0</v>
      </c>
      <c r="B5148" s="32" t="s">
        <v>347</v>
      </c>
      <c r="C5148" s="32" t="s">
        <v>369</v>
      </c>
      <c r="D5148" s="708">
        <v>2000.0</v>
      </c>
      <c r="E5148" s="195">
        <v>8.46</v>
      </c>
      <c r="F5148" s="709">
        <v>0.6050694444444444</v>
      </c>
      <c r="G5148" s="195" t="s">
        <v>453</v>
      </c>
      <c r="H5148" s="710">
        <v>10.37</v>
      </c>
      <c r="I5148" s="256"/>
      <c r="J5148" s="67">
        <f t="shared" si="320"/>
        <v>16909.63</v>
      </c>
      <c r="K5148" s="7"/>
      <c r="L5148" s="70"/>
      <c r="M5148" s="79"/>
      <c r="N5148" s="32"/>
      <c r="O5148" s="32"/>
      <c r="P5148" s="32"/>
      <c r="Q5148" s="32"/>
      <c r="R5148" s="32"/>
      <c r="S5148" s="32"/>
      <c r="T5148" s="32"/>
      <c r="U5148" s="32"/>
      <c r="V5148" s="32"/>
      <c r="W5148" s="32"/>
      <c r="X5148" s="32"/>
      <c r="Y5148" s="32"/>
      <c r="Z5148" s="32"/>
      <c r="AA5148" s="32"/>
      <c r="AB5148" s="32"/>
      <c r="AC5148" s="32"/>
      <c r="AD5148" s="32"/>
      <c r="AE5148" s="32"/>
      <c r="AF5148" s="32"/>
      <c r="AG5148" s="32"/>
      <c r="AH5148" s="32"/>
    </row>
    <row r="5149" ht="12.75" hidden="1" customHeight="1" outlineLevel="1">
      <c r="A5149" s="122">
        <v>41933.0</v>
      </c>
      <c r="B5149" s="32" t="s">
        <v>347</v>
      </c>
      <c r="C5149" s="32" t="s">
        <v>790</v>
      </c>
      <c r="D5149" s="708">
        <v>1200.0</v>
      </c>
      <c r="E5149" s="195">
        <v>13.09</v>
      </c>
      <c r="F5149" s="709">
        <v>0.5742476851851852</v>
      </c>
      <c r="G5149" s="195" t="s">
        <v>453</v>
      </c>
      <c r="H5149" s="710">
        <v>5.75</v>
      </c>
      <c r="I5149" s="256"/>
      <c r="J5149" s="67">
        <f t="shared" si="320"/>
        <v>15702.25</v>
      </c>
      <c r="K5149" s="7"/>
      <c r="L5149" s="70"/>
      <c r="M5149" s="79"/>
      <c r="N5149" s="32"/>
      <c r="O5149" s="32"/>
      <c r="P5149" s="32"/>
      <c r="Q5149" s="32"/>
      <c r="R5149" s="32"/>
      <c r="S5149" s="32"/>
      <c r="T5149" s="32"/>
      <c r="U5149" s="32"/>
      <c r="V5149" s="32"/>
      <c r="W5149" s="32"/>
      <c r="X5149" s="32"/>
      <c r="Y5149" s="32"/>
      <c r="Z5149" s="32"/>
      <c r="AA5149" s="32"/>
      <c r="AB5149" s="32"/>
      <c r="AC5149" s="32"/>
      <c r="AD5149" s="32"/>
      <c r="AE5149" s="32"/>
      <c r="AF5149" s="32"/>
      <c r="AG5149" s="32"/>
      <c r="AH5149" s="32"/>
    </row>
    <row r="5150" ht="12.75" hidden="1" customHeight="1" outlineLevel="1">
      <c r="A5150" s="122">
        <v>41933.0</v>
      </c>
      <c r="B5150" s="32" t="s">
        <v>343</v>
      </c>
      <c r="C5150" s="32" t="s">
        <v>784</v>
      </c>
      <c r="D5150" s="708">
        <v>100.0</v>
      </c>
      <c r="E5150" s="195">
        <v>0.64</v>
      </c>
      <c r="F5150" s="709">
        <v>0.5463657407407407</v>
      </c>
      <c r="G5150" s="195" t="s">
        <v>453</v>
      </c>
      <c r="H5150" s="710">
        <v>48.82</v>
      </c>
      <c r="I5150" s="256"/>
      <c r="J5150" s="67">
        <f t="shared" si="320"/>
        <v>-112.82</v>
      </c>
      <c r="K5150" s="7"/>
      <c r="L5150" s="70"/>
      <c r="M5150" s="79"/>
      <c r="N5150" s="32"/>
      <c r="O5150" s="32"/>
      <c r="P5150" s="32"/>
      <c r="Q5150" s="32"/>
      <c r="R5150" s="32"/>
      <c r="S5150" s="32"/>
      <c r="T5150" s="32"/>
      <c r="U5150" s="32"/>
      <c r="V5150" s="32"/>
      <c r="W5150" s="32"/>
      <c r="X5150" s="32"/>
      <c r="Y5150" s="32"/>
      <c r="Z5150" s="32"/>
      <c r="AA5150" s="32"/>
      <c r="AB5150" s="32"/>
      <c r="AC5150" s="32"/>
      <c r="AD5150" s="32"/>
      <c r="AE5150" s="32"/>
      <c r="AF5150" s="32"/>
      <c r="AG5150" s="32"/>
      <c r="AH5150" s="32"/>
    </row>
    <row r="5151" ht="12.75" hidden="1" customHeight="1" outlineLevel="1">
      <c r="A5151" s="122">
        <v>41933.0</v>
      </c>
      <c r="B5151" s="32" t="s">
        <v>347</v>
      </c>
      <c r="C5151" s="32" t="s">
        <v>784</v>
      </c>
      <c r="D5151" s="708">
        <v>2000.0</v>
      </c>
      <c r="E5151" s="195">
        <v>10.802</v>
      </c>
      <c r="F5151" s="709">
        <v>0.5450231481481481</v>
      </c>
      <c r="G5151" s="195" t="s">
        <v>453</v>
      </c>
      <c r="H5151" s="710">
        <v>10.48</v>
      </c>
      <c r="I5151" s="256"/>
      <c r="J5151" s="67">
        <f t="shared" si="320"/>
        <v>21593.52</v>
      </c>
      <c r="K5151" s="7"/>
      <c r="L5151" s="70"/>
      <c r="M5151" s="79"/>
      <c r="N5151" s="32"/>
      <c r="O5151" s="32"/>
      <c r="P5151" s="32"/>
      <c r="Q5151" s="32"/>
      <c r="R5151" s="32"/>
      <c r="S5151" s="32"/>
      <c r="T5151" s="32"/>
      <c r="U5151" s="32"/>
      <c r="V5151" s="32"/>
      <c r="W5151" s="32"/>
      <c r="X5151" s="32"/>
      <c r="Y5151" s="32"/>
      <c r="Z5151" s="32"/>
      <c r="AA5151" s="32"/>
      <c r="AB5151" s="32"/>
      <c r="AC5151" s="32"/>
      <c r="AD5151" s="32"/>
      <c r="AE5151" s="32"/>
      <c r="AF5151" s="32"/>
      <c r="AG5151" s="32"/>
      <c r="AH5151" s="32"/>
    </row>
    <row r="5152" ht="12.75" hidden="1" customHeight="1" outlineLevel="1">
      <c r="A5152" s="122">
        <v>41933.0</v>
      </c>
      <c r="B5152" s="1"/>
      <c r="C5152" s="1" t="s">
        <v>339</v>
      </c>
      <c r="D5152" s="74"/>
      <c r="E5152" s="67"/>
      <c r="F5152" s="75"/>
      <c r="G5152" s="67"/>
      <c r="H5152" s="68"/>
      <c r="I5152" s="76"/>
      <c r="J5152" s="67"/>
      <c r="K5152" s="9" t="s">
        <v>2244</v>
      </c>
      <c r="L5152" s="77"/>
      <c r="M5152" s="79"/>
      <c r="N5152" s="1"/>
      <c r="O5152" s="1"/>
      <c r="P5152" s="1"/>
      <c r="Q5152" s="1"/>
      <c r="R5152" s="1"/>
      <c r="S5152" s="1"/>
      <c r="T5152" s="1"/>
      <c r="U5152" s="1"/>
      <c r="V5152" s="1"/>
      <c r="W5152" s="1"/>
      <c r="X5152" s="1"/>
      <c r="Y5152" s="1"/>
      <c r="Z5152" s="1"/>
      <c r="AA5152" s="1"/>
      <c r="AB5152" s="1"/>
      <c r="AC5152" s="1"/>
      <c r="AD5152" s="1"/>
      <c r="AE5152" s="1"/>
      <c r="AF5152" s="1"/>
      <c r="AG5152" s="1"/>
      <c r="AH5152" s="1"/>
    </row>
    <row r="5153" ht="12.75" hidden="1" customHeight="1" outlineLevel="1">
      <c r="A5153" s="122">
        <v>41933.0</v>
      </c>
      <c r="B5153" s="1"/>
      <c r="C5153" s="1" t="s">
        <v>429</v>
      </c>
      <c r="D5153" s="74"/>
      <c r="E5153" s="67"/>
      <c r="F5153" s="75"/>
      <c r="G5153" s="67"/>
      <c r="H5153" s="68"/>
      <c r="I5153" s="76"/>
      <c r="J5153" s="67"/>
      <c r="K5153" s="9" t="s">
        <v>2249</v>
      </c>
      <c r="L5153" s="77"/>
      <c r="M5153" s="79"/>
      <c r="N5153" s="1"/>
      <c r="O5153" s="1"/>
      <c r="P5153" s="1"/>
      <c r="Q5153" s="1"/>
      <c r="R5153" s="1"/>
      <c r="S5153" s="1"/>
      <c r="T5153" s="1"/>
      <c r="U5153" s="1"/>
      <c r="V5153" s="1"/>
      <c r="W5153" s="1"/>
      <c r="X5153" s="1"/>
      <c r="Y5153" s="1"/>
      <c r="Z5153" s="1"/>
      <c r="AA5153" s="1"/>
      <c r="AB5153" s="1"/>
      <c r="AC5153" s="1"/>
      <c r="AD5153" s="1"/>
      <c r="AE5153" s="1"/>
      <c r="AF5153" s="1"/>
      <c r="AG5153" s="1"/>
      <c r="AH5153" s="1"/>
    </row>
    <row r="5154" ht="12.75" hidden="1" customHeight="1" outlineLevel="1">
      <c r="A5154" s="122">
        <v>41933.0</v>
      </c>
      <c r="B5154" s="1"/>
      <c r="C5154" s="1" t="s">
        <v>431</v>
      </c>
      <c r="D5154" s="74"/>
      <c r="E5154" s="67"/>
      <c r="F5154" s="75"/>
      <c r="G5154" s="67"/>
      <c r="H5154" s="68"/>
      <c r="I5154" s="76"/>
      <c r="J5154" s="67"/>
      <c r="K5154" s="7" t="s">
        <v>1126</v>
      </c>
      <c r="L5154" s="77"/>
      <c r="M5154" s="79"/>
      <c r="N5154" s="1"/>
      <c r="O5154" s="1"/>
      <c r="P5154" s="1"/>
      <c r="Q5154" s="1"/>
      <c r="R5154" s="1"/>
      <c r="S5154" s="1"/>
      <c r="T5154" s="1"/>
      <c r="U5154" s="1"/>
      <c r="V5154" s="1"/>
      <c r="W5154" s="1"/>
      <c r="X5154" s="1"/>
      <c r="Y5154" s="1"/>
      <c r="Z5154" s="1"/>
      <c r="AA5154" s="1"/>
      <c r="AB5154" s="1"/>
      <c r="AC5154" s="1"/>
      <c r="AD5154" s="1"/>
      <c r="AE5154" s="1"/>
      <c r="AF5154" s="1"/>
      <c r="AG5154" s="1"/>
      <c r="AH5154" s="1"/>
    </row>
    <row r="5155" ht="12.75" hidden="1" customHeight="1" outlineLevel="1">
      <c r="A5155" s="122">
        <v>41933.0</v>
      </c>
      <c r="B5155" s="1"/>
      <c r="C5155" s="1" t="s">
        <v>433</v>
      </c>
      <c r="D5155" s="74"/>
      <c r="E5155" s="67"/>
      <c r="F5155" s="75"/>
      <c r="G5155" s="67"/>
      <c r="H5155" s="68"/>
      <c r="I5155" s="76"/>
      <c r="J5155" s="67"/>
      <c r="K5155" s="7" t="s">
        <v>1103</v>
      </c>
      <c r="L5155" s="77"/>
      <c r="M5155" s="79"/>
      <c r="N5155" s="1"/>
      <c r="O5155" s="1"/>
      <c r="P5155" s="1"/>
      <c r="Q5155" s="1"/>
      <c r="R5155" s="1"/>
      <c r="S5155" s="1"/>
      <c r="T5155" s="1"/>
      <c r="U5155" s="1"/>
      <c r="V5155" s="1"/>
      <c r="W5155" s="1"/>
      <c r="X5155" s="1"/>
      <c r="Y5155" s="1"/>
      <c r="Z5155" s="1"/>
      <c r="AA5155" s="1"/>
      <c r="AB5155" s="1"/>
      <c r="AC5155" s="1"/>
      <c r="AD5155" s="1"/>
      <c r="AE5155" s="1"/>
      <c r="AF5155" s="1"/>
      <c r="AG5155" s="1"/>
      <c r="AH5155" s="1"/>
    </row>
    <row r="5156" ht="12.75" hidden="1" customHeight="1" outlineLevel="1">
      <c r="A5156" s="122">
        <v>41933.0</v>
      </c>
      <c r="B5156" s="1"/>
      <c r="C5156" s="1" t="s">
        <v>435</v>
      </c>
      <c r="D5156" s="74"/>
      <c r="E5156" s="67"/>
      <c r="F5156" s="75"/>
      <c r="G5156" s="67"/>
      <c r="H5156" s="68"/>
      <c r="I5156" s="76"/>
      <c r="J5156" s="67"/>
      <c r="K5156" s="7" t="s">
        <v>1507</v>
      </c>
      <c r="L5156" s="77"/>
      <c r="M5156" s="79"/>
      <c r="N5156" s="1"/>
      <c r="O5156" s="1"/>
      <c r="P5156" s="1"/>
      <c r="Q5156" s="1"/>
      <c r="R5156" s="1"/>
      <c r="S5156" s="1"/>
      <c r="T5156" s="1"/>
      <c r="U5156" s="1"/>
      <c r="V5156" s="1"/>
      <c r="W5156" s="1"/>
      <c r="X5156" s="1"/>
      <c r="Y5156" s="1"/>
      <c r="Z5156" s="1"/>
      <c r="AA5156" s="1"/>
      <c r="AB5156" s="1"/>
      <c r="AC5156" s="1"/>
      <c r="AD5156" s="1"/>
      <c r="AE5156" s="1"/>
      <c r="AF5156" s="1"/>
      <c r="AG5156" s="1"/>
      <c r="AH5156" s="1"/>
    </row>
    <row r="5157" ht="12.75" hidden="1" customHeight="1" outlineLevel="1">
      <c r="A5157" s="122">
        <v>41938.0</v>
      </c>
      <c r="B5157" s="1"/>
      <c r="C5157" s="1" t="s">
        <v>339</v>
      </c>
      <c r="D5157" s="74"/>
      <c r="E5157" s="67"/>
      <c r="F5157" s="75"/>
      <c r="G5157" s="67"/>
      <c r="H5157" s="68"/>
      <c r="I5157" s="76"/>
      <c r="J5157" s="67"/>
      <c r="K5157" s="9" t="s">
        <v>2260</v>
      </c>
      <c r="L5157" s="77"/>
      <c r="M5157" s="79"/>
      <c r="N5157" s="1"/>
      <c r="O5157" s="1"/>
      <c r="P5157" s="1"/>
      <c r="Q5157" s="1"/>
      <c r="R5157" s="1"/>
      <c r="S5157" s="1"/>
      <c r="T5157" s="1"/>
      <c r="U5157" s="1"/>
      <c r="V5157" s="1"/>
      <c r="W5157" s="1"/>
      <c r="X5157" s="1"/>
      <c r="Y5157" s="1"/>
      <c r="Z5157" s="1"/>
      <c r="AA5157" s="1"/>
      <c r="AB5157" s="1"/>
      <c r="AC5157" s="1"/>
      <c r="AD5157" s="1"/>
      <c r="AE5157" s="1"/>
      <c r="AF5157" s="1"/>
      <c r="AG5157" s="1"/>
      <c r="AH5157" s="1"/>
    </row>
    <row r="5158" ht="12.75" hidden="1" customHeight="1" outlineLevel="1">
      <c r="A5158" s="122">
        <v>41938.0</v>
      </c>
      <c r="B5158" s="1"/>
      <c r="C5158" s="1" t="s">
        <v>429</v>
      </c>
      <c r="D5158" s="74"/>
      <c r="E5158" s="67"/>
      <c r="F5158" s="75"/>
      <c r="G5158" s="67"/>
      <c r="H5158" s="68"/>
      <c r="I5158" s="76"/>
      <c r="J5158" s="67"/>
      <c r="K5158" s="9" t="s">
        <v>2249</v>
      </c>
      <c r="L5158" s="77"/>
      <c r="M5158" s="79"/>
      <c r="N5158" s="1"/>
      <c r="O5158" s="1"/>
      <c r="P5158" s="1"/>
      <c r="Q5158" s="1"/>
      <c r="R5158" s="1"/>
      <c r="S5158" s="1"/>
      <c r="T5158" s="1"/>
      <c r="U5158" s="1"/>
      <c r="V5158" s="1"/>
      <c r="W5158" s="1"/>
      <c r="X5158" s="1"/>
      <c r="Y5158" s="1"/>
      <c r="Z5158" s="1"/>
      <c r="AA5158" s="1"/>
      <c r="AB5158" s="1"/>
      <c r="AC5158" s="1"/>
      <c r="AD5158" s="1"/>
      <c r="AE5158" s="1"/>
      <c r="AF5158" s="1"/>
      <c r="AG5158" s="1"/>
      <c r="AH5158" s="1"/>
    </row>
    <row r="5159" ht="12.75" hidden="1" customHeight="1" outlineLevel="1">
      <c r="A5159" s="122">
        <v>41938.0</v>
      </c>
      <c r="B5159" s="1"/>
      <c r="C5159" s="1" t="s">
        <v>431</v>
      </c>
      <c r="D5159" s="74"/>
      <c r="E5159" s="67"/>
      <c r="F5159" s="75"/>
      <c r="G5159" s="67"/>
      <c r="H5159" s="68"/>
      <c r="I5159" s="76"/>
      <c r="J5159" s="67"/>
      <c r="K5159" s="7" t="s">
        <v>1126</v>
      </c>
      <c r="L5159" s="77"/>
      <c r="M5159" s="79"/>
      <c r="N5159" s="1"/>
      <c r="O5159" s="1"/>
      <c r="P5159" s="1"/>
      <c r="Q5159" s="1"/>
      <c r="R5159" s="1"/>
      <c r="S5159" s="1"/>
      <c r="T5159" s="1"/>
      <c r="U5159" s="1"/>
      <c r="V5159" s="1"/>
      <c r="W5159" s="1"/>
      <c r="X5159" s="1"/>
      <c r="Y5159" s="1"/>
      <c r="Z5159" s="1"/>
      <c r="AA5159" s="1"/>
      <c r="AB5159" s="1"/>
      <c r="AC5159" s="1"/>
      <c r="AD5159" s="1"/>
      <c r="AE5159" s="1"/>
      <c r="AF5159" s="1"/>
      <c r="AG5159" s="1"/>
      <c r="AH5159" s="1"/>
    </row>
    <row r="5160" ht="12.75" hidden="1" customHeight="1" outlineLevel="1">
      <c r="A5160" s="122">
        <v>41938.0</v>
      </c>
      <c r="B5160" s="1"/>
      <c r="C5160" s="1" t="s">
        <v>433</v>
      </c>
      <c r="D5160" s="74"/>
      <c r="E5160" s="67"/>
      <c r="F5160" s="75"/>
      <c r="G5160" s="67"/>
      <c r="H5160" s="68"/>
      <c r="I5160" s="76"/>
      <c r="J5160" s="67"/>
      <c r="K5160" s="7" t="s">
        <v>1103</v>
      </c>
      <c r="L5160" s="77"/>
      <c r="M5160" s="79"/>
      <c r="N5160" s="1"/>
      <c r="O5160" s="1"/>
      <c r="P5160" s="1"/>
      <c r="Q5160" s="1"/>
      <c r="R5160" s="1"/>
      <c r="S5160" s="1"/>
      <c r="T5160" s="1"/>
      <c r="U5160" s="1"/>
      <c r="V5160" s="1"/>
      <c r="W5160" s="1"/>
      <c r="X5160" s="1"/>
      <c r="Y5160" s="1"/>
      <c r="Z5160" s="1"/>
      <c r="AA5160" s="1"/>
      <c r="AB5160" s="1"/>
      <c r="AC5160" s="1"/>
      <c r="AD5160" s="1"/>
      <c r="AE5160" s="1"/>
      <c r="AF5160" s="1"/>
      <c r="AG5160" s="1"/>
      <c r="AH5160" s="1"/>
    </row>
    <row r="5161" ht="12.75" hidden="1" customHeight="1" outlineLevel="1">
      <c r="A5161" s="122">
        <v>41938.0</v>
      </c>
      <c r="B5161" s="1"/>
      <c r="C5161" s="1" t="s">
        <v>435</v>
      </c>
      <c r="D5161" s="74"/>
      <c r="E5161" s="67"/>
      <c r="F5161" s="75"/>
      <c r="G5161" s="67"/>
      <c r="H5161" s="68"/>
      <c r="I5161" s="76"/>
      <c r="J5161" s="67"/>
      <c r="K5161" s="7" t="s">
        <v>1507</v>
      </c>
      <c r="L5161" s="77"/>
      <c r="M5161" s="79"/>
      <c r="N5161" s="1"/>
      <c r="O5161" s="1"/>
      <c r="P5161" s="1"/>
      <c r="Q5161" s="1"/>
      <c r="R5161" s="1"/>
      <c r="S5161" s="1"/>
      <c r="T5161" s="1"/>
      <c r="U5161" s="1"/>
      <c r="V5161" s="1"/>
      <c r="W5161" s="1"/>
      <c r="X5161" s="1"/>
      <c r="Y5161" s="1"/>
      <c r="Z5161" s="1"/>
      <c r="AA5161" s="1"/>
      <c r="AB5161" s="1"/>
      <c r="AC5161" s="1"/>
      <c r="AD5161" s="1"/>
      <c r="AE5161" s="1"/>
      <c r="AF5161" s="1"/>
      <c r="AG5161" s="1"/>
      <c r="AH5161" s="1"/>
    </row>
    <row r="5162" ht="12.75" hidden="1" customHeight="1" outlineLevel="1">
      <c r="A5162" s="122">
        <v>41939.0</v>
      </c>
      <c r="B5162" s="32" t="s">
        <v>347</v>
      </c>
      <c r="C5162" s="32" t="s">
        <v>784</v>
      </c>
      <c r="D5162" s="708">
        <v>500.0</v>
      </c>
      <c r="E5162" s="195">
        <v>10.5</v>
      </c>
      <c r="F5162" s="709">
        <v>0.5668518518518518</v>
      </c>
      <c r="G5162" s="195" t="s">
        <v>453</v>
      </c>
      <c r="H5162" s="710">
        <v>2.12</v>
      </c>
      <c r="I5162" s="256"/>
      <c r="J5162" s="67">
        <f>IF(B5162="SLD",D5162*E5162,-D5162*E5162)-H5162</f>
        <v>5247.88</v>
      </c>
      <c r="K5162" s="7"/>
      <c r="L5162" s="70"/>
      <c r="M5162" s="79"/>
      <c r="N5162" s="32"/>
      <c r="O5162" s="32"/>
      <c r="P5162" s="32"/>
      <c r="Q5162" s="32"/>
      <c r="R5162" s="32"/>
      <c r="S5162" s="32"/>
      <c r="T5162" s="32"/>
      <c r="U5162" s="32"/>
      <c r="V5162" s="32"/>
      <c r="W5162" s="32"/>
      <c r="X5162" s="32"/>
      <c r="Y5162" s="32"/>
      <c r="Z5162" s="32"/>
      <c r="AA5162" s="32"/>
      <c r="AB5162" s="32"/>
      <c r="AC5162" s="32"/>
      <c r="AD5162" s="32"/>
      <c r="AE5162" s="32"/>
      <c r="AF5162" s="32"/>
      <c r="AG5162" s="32"/>
      <c r="AH5162" s="32"/>
    </row>
    <row r="5163" ht="12.75" hidden="1" customHeight="1" outlineLevel="1">
      <c r="A5163" s="122">
        <v>41942.0</v>
      </c>
      <c r="B5163" s="1"/>
      <c r="C5163" s="1" t="s">
        <v>339</v>
      </c>
      <c r="D5163" s="74"/>
      <c r="E5163" s="67"/>
      <c r="F5163" s="75"/>
      <c r="G5163" s="67"/>
      <c r="H5163" s="68"/>
      <c r="I5163" s="76"/>
      <c r="J5163" s="67"/>
      <c r="K5163" s="9" t="s">
        <v>2267</v>
      </c>
      <c r="L5163" s="77"/>
      <c r="M5163" s="79"/>
      <c r="N5163" s="1"/>
      <c r="O5163" s="1"/>
      <c r="P5163" s="1"/>
      <c r="Q5163" s="1"/>
      <c r="R5163" s="1"/>
      <c r="S5163" s="1"/>
      <c r="T5163" s="1"/>
      <c r="U5163" s="1"/>
      <c r="V5163" s="1"/>
      <c r="W5163" s="1"/>
      <c r="X5163" s="1"/>
      <c r="Y5163" s="1"/>
      <c r="Z5163" s="1"/>
      <c r="AA5163" s="1"/>
      <c r="AB5163" s="1"/>
      <c r="AC5163" s="1"/>
      <c r="AD5163" s="1"/>
      <c r="AE5163" s="1"/>
      <c r="AF5163" s="1"/>
      <c r="AG5163" s="1"/>
      <c r="AH5163" s="1"/>
    </row>
    <row r="5164" ht="12.75" hidden="1" customHeight="1" outlineLevel="1">
      <c r="A5164" s="122">
        <v>41942.0</v>
      </c>
      <c r="B5164" s="1"/>
      <c r="C5164" s="1" t="s">
        <v>429</v>
      </c>
      <c r="D5164" s="74"/>
      <c r="E5164" s="67"/>
      <c r="F5164" s="75"/>
      <c r="G5164" s="67"/>
      <c r="H5164" s="68"/>
      <c r="I5164" s="76"/>
      <c r="J5164" s="67"/>
      <c r="K5164" s="9" t="s">
        <v>2249</v>
      </c>
      <c r="L5164" s="77"/>
      <c r="M5164" s="79"/>
      <c r="N5164" s="1"/>
      <c r="O5164" s="1"/>
      <c r="P5164" s="1"/>
      <c r="Q5164" s="1"/>
      <c r="R5164" s="1"/>
      <c r="S5164" s="1"/>
      <c r="T5164" s="1"/>
      <c r="U5164" s="1"/>
      <c r="V5164" s="1"/>
      <c r="W5164" s="1"/>
      <c r="X5164" s="1"/>
      <c r="Y5164" s="1"/>
      <c r="Z5164" s="1"/>
      <c r="AA5164" s="1"/>
      <c r="AB5164" s="1"/>
      <c r="AC5164" s="1"/>
      <c r="AD5164" s="1"/>
      <c r="AE5164" s="1"/>
      <c r="AF5164" s="1"/>
      <c r="AG5164" s="1"/>
      <c r="AH5164" s="1"/>
    </row>
    <row r="5165" ht="12.75" hidden="1" customHeight="1" outlineLevel="1">
      <c r="A5165" s="122">
        <v>41942.0</v>
      </c>
      <c r="B5165" s="1"/>
      <c r="C5165" s="1" t="s">
        <v>431</v>
      </c>
      <c r="D5165" s="74"/>
      <c r="E5165" s="67"/>
      <c r="F5165" s="75"/>
      <c r="G5165" s="67"/>
      <c r="H5165" s="68"/>
      <c r="I5165" s="76"/>
      <c r="J5165" s="67"/>
      <c r="K5165" s="7" t="s">
        <v>1126</v>
      </c>
      <c r="L5165" s="77"/>
      <c r="M5165" s="79"/>
      <c r="N5165" s="1"/>
      <c r="O5165" s="1"/>
      <c r="P5165" s="1"/>
      <c r="Q5165" s="1"/>
      <c r="R5165" s="1"/>
      <c r="S5165" s="1"/>
      <c r="T5165" s="1"/>
      <c r="U5165" s="1"/>
      <c r="V5165" s="1"/>
      <c r="W5165" s="1"/>
      <c r="X5165" s="1"/>
      <c r="Y5165" s="1"/>
      <c r="Z5165" s="1"/>
      <c r="AA5165" s="1"/>
      <c r="AB5165" s="1"/>
      <c r="AC5165" s="1"/>
      <c r="AD5165" s="1"/>
      <c r="AE5165" s="1"/>
      <c r="AF5165" s="1"/>
      <c r="AG5165" s="1"/>
      <c r="AH5165" s="1"/>
    </row>
    <row r="5166" ht="12.75" hidden="1" customHeight="1" outlineLevel="1">
      <c r="A5166" s="122">
        <v>41942.0</v>
      </c>
      <c r="B5166" s="1"/>
      <c r="C5166" s="1" t="s">
        <v>433</v>
      </c>
      <c r="D5166" s="74"/>
      <c r="E5166" s="67"/>
      <c r="F5166" s="75"/>
      <c r="G5166" s="67"/>
      <c r="H5166" s="68"/>
      <c r="I5166" s="76"/>
      <c r="J5166" s="67"/>
      <c r="K5166" s="7" t="s">
        <v>1103</v>
      </c>
      <c r="L5166" s="77"/>
      <c r="M5166" s="79"/>
      <c r="N5166" s="1"/>
      <c r="O5166" s="1"/>
      <c r="P5166" s="1"/>
      <c r="Q5166" s="1"/>
      <c r="R5166" s="1"/>
      <c r="S5166" s="1"/>
      <c r="T5166" s="1"/>
      <c r="U5166" s="1"/>
      <c r="V5166" s="1"/>
      <c r="W5166" s="1"/>
      <c r="X5166" s="1"/>
      <c r="Y5166" s="1"/>
      <c r="Z5166" s="1"/>
      <c r="AA5166" s="1"/>
      <c r="AB5166" s="1"/>
      <c r="AC5166" s="1"/>
      <c r="AD5166" s="1"/>
      <c r="AE5166" s="1"/>
      <c r="AF5166" s="1"/>
      <c r="AG5166" s="1"/>
      <c r="AH5166" s="1"/>
    </row>
    <row r="5167" ht="12.75" hidden="1" customHeight="1" outlineLevel="1">
      <c r="A5167" s="122">
        <v>41942.0</v>
      </c>
      <c r="B5167" s="1"/>
      <c r="C5167" s="1" t="s">
        <v>435</v>
      </c>
      <c r="D5167" s="74"/>
      <c r="E5167" s="67"/>
      <c r="F5167" s="75"/>
      <c r="G5167" s="67"/>
      <c r="H5167" s="68"/>
      <c r="I5167" s="76"/>
      <c r="J5167" s="67"/>
      <c r="K5167" s="7" t="s">
        <v>1507</v>
      </c>
      <c r="L5167" s="77"/>
      <c r="M5167" s="79"/>
      <c r="N5167" s="1"/>
      <c r="O5167" s="1"/>
      <c r="P5167" s="1"/>
      <c r="Q5167" s="1"/>
      <c r="R5167" s="1"/>
      <c r="S5167" s="1"/>
      <c r="T5167" s="1"/>
      <c r="U5167" s="1"/>
      <c r="V5167" s="1"/>
      <c r="W5167" s="1"/>
      <c r="X5167" s="1"/>
      <c r="Y5167" s="1"/>
      <c r="Z5167" s="1"/>
      <c r="AA5167" s="1"/>
      <c r="AB5167" s="1"/>
      <c r="AC5167" s="1"/>
      <c r="AD5167" s="1"/>
      <c r="AE5167" s="1"/>
      <c r="AF5167" s="1"/>
      <c r="AG5167" s="1"/>
      <c r="AH5167" s="1"/>
    </row>
    <row r="5168" ht="12.75" hidden="1" customHeight="1" outlineLevel="1">
      <c r="A5168" s="122">
        <v>41943.0</v>
      </c>
      <c r="B5168" s="32" t="s">
        <v>347</v>
      </c>
      <c r="C5168" s="32" t="s">
        <v>1082</v>
      </c>
      <c r="D5168" s="708">
        <v>20.0</v>
      </c>
      <c r="E5168" s="195">
        <v>551.62</v>
      </c>
      <c r="F5168" s="709">
        <v>0.6299537037037037</v>
      </c>
      <c r="G5168" s="195" t="s">
        <v>453</v>
      </c>
      <c r="H5168" s="710">
        <v>1.24</v>
      </c>
      <c r="I5168" s="256"/>
      <c r="J5168" s="67">
        <f t="shared" ref="J5168:J5172" si="321">IF(B5168="SLD",D5168*E5168,-D5168*E5168)-H5168</f>
        <v>11031.16</v>
      </c>
      <c r="K5168" s="7"/>
      <c r="L5168" s="70"/>
      <c r="M5168" s="79"/>
      <c r="N5168" s="32"/>
      <c r="O5168" s="32"/>
      <c r="P5168" s="32"/>
      <c r="Q5168" s="32"/>
      <c r="R5168" s="32"/>
      <c r="S5168" s="32"/>
      <c r="T5168" s="32"/>
      <c r="U5168" s="32"/>
      <c r="V5168" s="32"/>
      <c r="W5168" s="32"/>
      <c r="X5168" s="32"/>
      <c r="Y5168" s="32"/>
      <c r="Z5168" s="32"/>
      <c r="AA5168" s="32"/>
      <c r="AB5168" s="32"/>
      <c r="AC5168" s="32"/>
      <c r="AD5168" s="32"/>
      <c r="AE5168" s="32"/>
      <c r="AF5168" s="32"/>
      <c r="AG5168" s="32"/>
      <c r="AH5168" s="32"/>
    </row>
    <row r="5169" ht="12.75" hidden="1" customHeight="1" outlineLevel="1">
      <c r="A5169" s="122">
        <v>41943.0</v>
      </c>
      <c r="B5169" s="32" t="s">
        <v>343</v>
      </c>
      <c r="C5169" s="32" t="s">
        <v>369</v>
      </c>
      <c r="D5169" s="708">
        <v>2000.0</v>
      </c>
      <c r="E5169" s="195">
        <v>11.46</v>
      </c>
      <c r="F5169" s="709">
        <v>0.6085995370370371</v>
      </c>
      <c r="G5169" s="195" t="s">
        <v>453</v>
      </c>
      <c r="H5169" s="710">
        <v>9.3</v>
      </c>
      <c r="I5169" s="256"/>
      <c r="J5169" s="67">
        <f t="shared" si="321"/>
        <v>-22929.3</v>
      </c>
      <c r="K5169" s="7"/>
      <c r="L5169" s="70"/>
      <c r="M5169" s="79"/>
      <c r="N5169" s="32"/>
      <c r="O5169" s="32"/>
      <c r="P5169" s="32"/>
      <c r="Q5169" s="32"/>
      <c r="R5169" s="32"/>
      <c r="S5169" s="32"/>
      <c r="T5169" s="32"/>
      <c r="U5169" s="32"/>
      <c r="V5169" s="32"/>
      <c r="W5169" s="32"/>
      <c r="X5169" s="32"/>
      <c r="Y5169" s="32"/>
      <c r="Z5169" s="32"/>
      <c r="AA5169" s="32"/>
      <c r="AB5169" s="32"/>
      <c r="AC5169" s="32"/>
      <c r="AD5169" s="32"/>
      <c r="AE5169" s="32"/>
      <c r="AF5169" s="32"/>
      <c r="AG5169" s="32"/>
      <c r="AH5169" s="32"/>
    </row>
    <row r="5170" ht="12.75" hidden="1" customHeight="1" outlineLevel="1">
      <c r="A5170" s="122">
        <v>41943.0</v>
      </c>
      <c r="B5170" s="32" t="s">
        <v>347</v>
      </c>
      <c r="C5170" s="32" t="s">
        <v>356</v>
      </c>
      <c r="D5170" s="708">
        <v>15.0</v>
      </c>
      <c r="E5170" s="195">
        <v>386.03</v>
      </c>
      <c r="F5170" s="709">
        <v>0.6112847222222222</v>
      </c>
      <c r="G5170" s="195" t="s">
        <v>453</v>
      </c>
      <c r="H5170" s="710">
        <v>1.13</v>
      </c>
      <c r="I5170" s="256"/>
      <c r="J5170" s="67">
        <f t="shared" si="321"/>
        <v>5789.32</v>
      </c>
      <c r="K5170" s="7"/>
      <c r="L5170" s="70"/>
      <c r="M5170" s="79"/>
      <c r="N5170" s="32"/>
      <c r="O5170" s="32"/>
      <c r="P5170" s="32"/>
      <c r="Q5170" s="32"/>
      <c r="R5170" s="32"/>
      <c r="S5170" s="32"/>
      <c r="T5170" s="32"/>
      <c r="U5170" s="32"/>
      <c r="V5170" s="32"/>
      <c r="W5170" s="32"/>
      <c r="X5170" s="32"/>
      <c r="Y5170" s="32"/>
      <c r="Z5170" s="32"/>
      <c r="AA5170" s="32"/>
      <c r="AB5170" s="32"/>
      <c r="AC5170" s="32"/>
      <c r="AD5170" s="32"/>
      <c r="AE5170" s="32"/>
      <c r="AF5170" s="32"/>
      <c r="AG5170" s="32"/>
      <c r="AH5170" s="32"/>
    </row>
    <row r="5171" ht="12.75" hidden="1" customHeight="1" outlineLevel="1">
      <c r="A5171" s="122">
        <v>41943.0</v>
      </c>
      <c r="B5171" s="32" t="s">
        <v>343</v>
      </c>
      <c r="C5171" s="32" t="s">
        <v>790</v>
      </c>
      <c r="D5171" s="708">
        <v>1200.0</v>
      </c>
      <c r="E5171" s="195">
        <v>11.7699</v>
      </c>
      <c r="F5171" s="709">
        <v>0.6103472222222223</v>
      </c>
      <c r="G5171" s="195" t="s">
        <v>453</v>
      </c>
      <c r="H5171" s="710">
        <v>4.8</v>
      </c>
      <c r="I5171" s="256"/>
      <c r="J5171" s="67">
        <f t="shared" si="321"/>
        <v>-14128.68</v>
      </c>
      <c r="K5171" s="7"/>
      <c r="L5171" s="70"/>
      <c r="M5171" s="79"/>
      <c r="N5171" s="32"/>
      <c r="O5171" s="32"/>
      <c r="P5171" s="32"/>
      <c r="Q5171" s="32"/>
      <c r="R5171" s="32"/>
      <c r="S5171" s="32"/>
      <c r="T5171" s="32"/>
      <c r="U5171" s="32"/>
      <c r="V5171" s="32"/>
      <c r="W5171" s="32"/>
      <c r="X5171" s="32"/>
      <c r="Y5171" s="32"/>
      <c r="Z5171" s="32"/>
      <c r="AA5171" s="32"/>
      <c r="AB5171" s="32"/>
      <c r="AC5171" s="32"/>
      <c r="AD5171" s="32"/>
      <c r="AE5171" s="32"/>
      <c r="AF5171" s="32"/>
      <c r="AG5171" s="32"/>
      <c r="AH5171" s="32"/>
    </row>
    <row r="5172" ht="12.75" hidden="1" customHeight="1" outlineLevel="1">
      <c r="A5172" s="122">
        <v>41943.0</v>
      </c>
      <c r="B5172" s="32" t="s">
        <v>343</v>
      </c>
      <c r="C5172" s="32" t="s">
        <v>784</v>
      </c>
      <c r="D5172" s="708">
        <v>2500.0</v>
      </c>
      <c r="E5172" s="195">
        <v>9.98</v>
      </c>
      <c r="F5172" s="709">
        <v>0.6101504629629629</v>
      </c>
      <c r="G5172" s="195" t="s">
        <v>453</v>
      </c>
      <c r="H5172" s="710">
        <v>12.3</v>
      </c>
      <c r="I5172" s="256"/>
      <c r="J5172" s="67">
        <f t="shared" si="321"/>
        <v>-24962.3</v>
      </c>
      <c r="K5172" s="7"/>
      <c r="L5172" s="70"/>
      <c r="M5172" s="79"/>
      <c r="N5172" s="32"/>
      <c r="O5172" s="32"/>
      <c r="P5172" s="32"/>
      <c r="Q5172" s="32"/>
      <c r="R5172" s="32"/>
      <c r="S5172" s="32"/>
      <c r="T5172" s="32"/>
      <c r="U5172" s="32"/>
      <c r="V5172" s="32"/>
      <c r="W5172" s="32"/>
      <c r="X5172" s="32"/>
      <c r="Y5172" s="32"/>
      <c r="Z5172" s="32"/>
      <c r="AA5172" s="32"/>
      <c r="AB5172" s="32"/>
      <c r="AC5172" s="32"/>
      <c r="AD5172" s="32"/>
      <c r="AE5172" s="32"/>
      <c r="AF5172" s="32"/>
      <c r="AG5172" s="32"/>
      <c r="AH5172" s="32"/>
    </row>
    <row r="5173" ht="12.75" hidden="1" customHeight="1" outlineLevel="1">
      <c r="A5173" s="122">
        <v>41944.0</v>
      </c>
      <c r="B5173" s="1"/>
      <c r="C5173" s="1" t="s">
        <v>339</v>
      </c>
      <c r="D5173" s="74"/>
      <c r="E5173" s="67"/>
      <c r="F5173" s="75"/>
      <c r="G5173" s="67"/>
      <c r="H5173" s="68"/>
      <c r="I5173" s="76"/>
      <c r="J5173" s="67"/>
      <c r="K5173" s="9" t="s">
        <v>2284</v>
      </c>
      <c r="L5173" s="77"/>
      <c r="M5173" s="79"/>
      <c r="N5173" s="1"/>
      <c r="O5173" s="1"/>
      <c r="P5173" s="1"/>
      <c r="Q5173" s="1"/>
      <c r="R5173" s="1"/>
      <c r="S5173" s="1"/>
      <c r="T5173" s="1"/>
      <c r="U5173" s="1"/>
      <c r="V5173" s="1"/>
      <c r="W5173" s="1"/>
      <c r="X5173" s="1"/>
      <c r="Y5173" s="1"/>
      <c r="Z5173" s="1"/>
      <c r="AA5173" s="1"/>
      <c r="AB5173" s="1"/>
      <c r="AC5173" s="1"/>
      <c r="AD5173" s="1"/>
      <c r="AE5173" s="1"/>
      <c r="AF5173" s="1"/>
      <c r="AG5173" s="1"/>
      <c r="AH5173" s="1"/>
    </row>
    <row r="5174" ht="12.75" hidden="1" customHeight="1" outlineLevel="1">
      <c r="A5174" s="122">
        <v>41944.0</v>
      </c>
      <c r="B5174" s="1"/>
      <c r="C5174" s="1" t="s">
        <v>429</v>
      </c>
      <c r="D5174" s="74"/>
      <c r="E5174" s="67"/>
      <c r="F5174" s="75"/>
      <c r="G5174" s="67"/>
      <c r="H5174" s="68"/>
      <c r="I5174" s="76"/>
      <c r="J5174" s="67"/>
      <c r="K5174" s="9" t="s">
        <v>2249</v>
      </c>
      <c r="L5174" s="77"/>
      <c r="M5174" s="79"/>
      <c r="N5174" s="1"/>
      <c r="O5174" s="1"/>
      <c r="P5174" s="1"/>
      <c r="Q5174" s="1"/>
      <c r="R5174" s="1"/>
      <c r="S5174" s="1"/>
      <c r="T5174" s="1"/>
      <c r="U5174" s="1"/>
      <c r="V5174" s="1"/>
      <c r="W5174" s="1"/>
      <c r="X5174" s="1"/>
      <c r="Y5174" s="1"/>
      <c r="Z5174" s="1"/>
      <c r="AA5174" s="1"/>
      <c r="AB5174" s="1"/>
      <c r="AC5174" s="1"/>
      <c r="AD5174" s="1"/>
      <c r="AE5174" s="1"/>
      <c r="AF5174" s="1"/>
      <c r="AG5174" s="1"/>
      <c r="AH5174" s="1"/>
    </row>
    <row r="5175" ht="12.75" hidden="1" customHeight="1" outlineLevel="1">
      <c r="A5175" s="122">
        <v>41944.0</v>
      </c>
      <c r="B5175" s="1"/>
      <c r="C5175" s="1" t="s">
        <v>431</v>
      </c>
      <c r="D5175" s="74"/>
      <c r="E5175" s="67"/>
      <c r="F5175" s="75"/>
      <c r="G5175" s="67"/>
      <c r="H5175" s="68"/>
      <c r="I5175" s="76"/>
      <c r="J5175" s="67"/>
      <c r="K5175" s="7" t="s">
        <v>1126</v>
      </c>
      <c r="L5175" s="77"/>
      <c r="M5175" s="79"/>
      <c r="N5175" s="1"/>
      <c r="O5175" s="1"/>
      <c r="P5175" s="1"/>
      <c r="Q5175" s="1"/>
      <c r="R5175" s="1"/>
      <c r="S5175" s="1"/>
      <c r="T5175" s="1"/>
      <c r="U5175" s="1"/>
      <c r="V5175" s="1"/>
      <c r="W5175" s="1"/>
      <c r="X5175" s="1"/>
      <c r="Y5175" s="1"/>
      <c r="Z5175" s="1"/>
      <c r="AA5175" s="1"/>
      <c r="AB5175" s="1"/>
      <c r="AC5175" s="1"/>
      <c r="AD5175" s="1"/>
      <c r="AE5175" s="1"/>
      <c r="AF5175" s="1"/>
      <c r="AG5175" s="1"/>
      <c r="AH5175" s="1"/>
    </row>
    <row r="5176" ht="12.75" hidden="1" customHeight="1" outlineLevel="1">
      <c r="A5176" s="122">
        <v>41944.0</v>
      </c>
      <c r="B5176" s="1"/>
      <c r="C5176" s="1" t="s">
        <v>433</v>
      </c>
      <c r="D5176" s="74"/>
      <c r="E5176" s="67"/>
      <c r="F5176" s="75"/>
      <c r="G5176" s="67"/>
      <c r="H5176" s="68"/>
      <c r="I5176" s="76"/>
      <c r="J5176" s="67"/>
      <c r="K5176" s="7" t="s">
        <v>1103</v>
      </c>
      <c r="L5176" s="77"/>
      <c r="M5176" s="79"/>
      <c r="N5176" s="1"/>
      <c r="O5176" s="1"/>
      <c r="P5176" s="1"/>
      <c r="Q5176" s="1"/>
      <c r="R5176" s="1"/>
      <c r="S5176" s="1"/>
      <c r="T5176" s="1"/>
      <c r="U5176" s="1"/>
      <c r="V5176" s="1"/>
      <c r="W5176" s="1"/>
      <c r="X5176" s="1"/>
      <c r="Y5176" s="1"/>
      <c r="Z5176" s="1"/>
      <c r="AA5176" s="1"/>
      <c r="AB5176" s="1"/>
      <c r="AC5176" s="1"/>
      <c r="AD5176" s="1"/>
      <c r="AE5176" s="1"/>
      <c r="AF5176" s="1"/>
      <c r="AG5176" s="1"/>
      <c r="AH5176" s="1"/>
    </row>
    <row r="5177" ht="12.75" hidden="1" customHeight="1" outlineLevel="1">
      <c r="A5177" s="122">
        <v>41944.0</v>
      </c>
      <c r="B5177" s="1"/>
      <c r="C5177" s="1" t="s">
        <v>435</v>
      </c>
      <c r="D5177" s="74"/>
      <c r="E5177" s="67"/>
      <c r="F5177" s="75"/>
      <c r="G5177" s="67"/>
      <c r="H5177" s="68"/>
      <c r="I5177" s="76"/>
      <c r="J5177" s="67"/>
      <c r="K5177" s="7" t="s">
        <v>1507</v>
      </c>
      <c r="L5177" s="77"/>
      <c r="M5177" s="79"/>
      <c r="N5177" s="1"/>
      <c r="O5177" s="1"/>
      <c r="P5177" s="1"/>
      <c r="Q5177" s="1"/>
      <c r="R5177" s="1"/>
      <c r="S5177" s="1"/>
      <c r="T5177" s="1"/>
      <c r="U5177" s="1"/>
      <c r="V5177" s="1"/>
      <c r="W5177" s="1"/>
      <c r="X5177" s="1"/>
      <c r="Y5177" s="1"/>
      <c r="Z5177" s="1"/>
      <c r="AA5177" s="1"/>
      <c r="AB5177" s="1"/>
      <c r="AC5177" s="1"/>
      <c r="AD5177" s="1"/>
      <c r="AE5177" s="1"/>
      <c r="AF5177" s="1"/>
      <c r="AG5177" s="1"/>
      <c r="AH5177" s="1"/>
    </row>
    <row r="5178" ht="12.75" hidden="1" customHeight="1" outlineLevel="1">
      <c r="A5178" s="122">
        <v>41946.0</v>
      </c>
      <c r="B5178" s="32" t="s">
        <v>343</v>
      </c>
      <c r="C5178" s="32" t="s">
        <v>1483</v>
      </c>
      <c r="D5178" s="708">
        <v>1000.0</v>
      </c>
      <c r="E5178" s="195">
        <v>2.11</v>
      </c>
      <c r="F5178" s="709">
        <v>0.5745601851851851</v>
      </c>
      <c r="G5178" s="195" t="s">
        <v>453</v>
      </c>
      <c r="H5178" s="710">
        <v>5.0</v>
      </c>
      <c r="I5178" s="256"/>
      <c r="J5178" s="67">
        <f t="shared" ref="J5178:J5183" si="322">IF(B5178="SLD",D5178*E5178,-D5178*E5178)-H5178</f>
        <v>-2115</v>
      </c>
      <c r="K5178" s="7"/>
      <c r="L5178" s="70"/>
      <c r="M5178" s="79"/>
      <c r="N5178" s="32"/>
      <c r="O5178" s="32"/>
      <c r="P5178" s="32"/>
      <c r="Q5178" s="32"/>
      <c r="R5178" s="32"/>
      <c r="S5178" s="32"/>
      <c r="T5178" s="32"/>
      <c r="U5178" s="32"/>
      <c r="V5178" s="32"/>
      <c r="W5178" s="32"/>
      <c r="X5178" s="32"/>
      <c r="Y5178" s="32"/>
      <c r="Z5178" s="32"/>
      <c r="AA5178" s="32"/>
      <c r="AB5178" s="32"/>
      <c r="AC5178" s="32"/>
      <c r="AD5178" s="32"/>
      <c r="AE5178" s="32"/>
      <c r="AF5178" s="32"/>
      <c r="AG5178" s="32"/>
      <c r="AH5178" s="32"/>
    </row>
    <row r="5179" ht="12.75" hidden="1" customHeight="1" outlineLevel="1">
      <c r="A5179" s="122">
        <v>41946.0</v>
      </c>
      <c r="B5179" s="32" t="s">
        <v>343</v>
      </c>
      <c r="C5179" s="32" t="s">
        <v>1485</v>
      </c>
      <c r="D5179" s="708">
        <v>1000.0</v>
      </c>
      <c r="E5179" s="195">
        <v>4.27</v>
      </c>
      <c r="F5179" s="709">
        <v>0.5831828703703704</v>
      </c>
      <c r="G5179" s="195" t="s">
        <v>453</v>
      </c>
      <c r="H5179" s="710">
        <v>5.0</v>
      </c>
      <c r="I5179" s="256"/>
      <c r="J5179" s="67">
        <f t="shared" si="322"/>
        <v>-4275</v>
      </c>
      <c r="K5179" s="7"/>
      <c r="L5179" s="70"/>
      <c r="M5179" s="79"/>
      <c r="N5179" s="32"/>
      <c r="O5179" s="32"/>
      <c r="P5179" s="32"/>
      <c r="Q5179" s="32"/>
      <c r="R5179" s="32"/>
      <c r="S5179" s="32"/>
      <c r="T5179" s="32"/>
      <c r="U5179" s="32"/>
      <c r="V5179" s="32"/>
      <c r="W5179" s="32"/>
      <c r="X5179" s="32"/>
      <c r="Y5179" s="32"/>
      <c r="Z5179" s="32"/>
      <c r="AA5179" s="32"/>
      <c r="AB5179" s="32"/>
      <c r="AC5179" s="32"/>
      <c r="AD5179" s="32"/>
      <c r="AE5179" s="32"/>
      <c r="AF5179" s="32"/>
      <c r="AG5179" s="32"/>
      <c r="AH5179" s="32"/>
    </row>
    <row r="5180" ht="12.75" hidden="1" customHeight="1" outlineLevel="1">
      <c r="A5180" s="122">
        <v>41946.0</v>
      </c>
      <c r="B5180" s="32" t="s">
        <v>343</v>
      </c>
      <c r="C5180" s="32" t="s">
        <v>604</v>
      </c>
      <c r="D5180" s="708">
        <v>1000.0</v>
      </c>
      <c r="E5180" s="195">
        <v>2.22</v>
      </c>
      <c r="F5180" s="709">
        <v>0.5740393518518518</v>
      </c>
      <c r="G5180" s="195" t="s">
        <v>453</v>
      </c>
      <c r="H5180" s="710">
        <v>5.0</v>
      </c>
      <c r="I5180" s="256"/>
      <c r="J5180" s="67">
        <f t="shared" si="322"/>
        <v>-2225</v>
      </c>
      <c r="K5180" s="7"/>
      <c r="L5180" s="70"/>
      <c r="M5180" s="79"/>
      <c r="N5180" s="32"/>
      <c r="O5180" s="32"/>
      <c r="P5180" s="32"/>
      <c r="Q5180" s="32"/>
      <c r="R5180" s="32"/>
      <c r="S5180" s="32"/>
      <c r="T5180" s="32"/>
      <c r="U5180" s="32"/>
      <c r="V5180" s="32"/>
      <c r="W5180" s="32"/>
      <c r="X5180" s="32"/>
      <c r="Y5180" s="32"/>
      <c r="Z5180" s="32"/>
      <c r="AA5180" s="32"/>
      <c r="AB5180" s="32"/>
      <c r="AC5180" s="32"/>
      <c r="AD5180" s="32"/>
      <c r="AE5180" s="32"/>
      <c r="AF5180" s="32"/>
      <c r="AG5180" s="32"/>
      <c r="AH5180" s="32"/>
    </row>
    <row r="5181" ht="12.75" hidden="1" customHeight="1" outlineLevel="1">
      <c r="A5181" s="122">
        <v>41946.0</v>
      </c>
      <c r="B5181" s="32" t="s">
        <v>343</v>
      </c>
      <c r="C5181" s="32" t="s">
        <v>1092</v>
      </c>
      <c r="D5181" s="708">
        <v>1000.0</v>
      </c>
      <c r="E5181" s="195">
        <v>4.299</v>
      </c>
      <c r="F5181" s="709">
        <v>0.5738194444444444</v>
      </c>
      <c r="G5181" s="195" t="s">
        <v>453</v>
      </c>
      <c r="H5181" s="710">
        <v>5.0</v>
      </c>
      <c r="I5181" s="256"/>
      <c r="J5181" s="67">
        <f t="shared" si="322"/>
        <v>-4304</v>
      </c>
      <c r="K5181" s="7"/>
      <c r="L5181" s="70"/>
      <c r="M5181" s="79"/>
      <c r="N5181" s="32"/>
      <c r="O5181" s="32"/>
      <c r="P5181" s="32"/>
      <c r="Q5181" s="32"/>
      <c r="R5181" s="32"/>
      <c r="S5181" s="32"/>
      <c r="T5181" s="32"/>
      <c r="U5181" s="32"/>
      <c r="V5181" s="32"/>
      <c r="W5181" s="32"/>
      <c r="X5181" s="32"/>
      <c r="Y5181" s="32"/>
      <c r="Z5181" s="32"/>
      <c r="AA5181" s="32"/>
      <c r="AB5181" s="32"/>
      <c r="AC5181" s="32"/>
      <c r="AD5181" s="32"/>
      <c r="AE5181" s="32"/>
      <c r="AF5181" s="32"/>
      <c r="AG5181" s="32"/>
      <c r="AH5181" s="32"/>
    </row>
    <row r="5182" ht="12.75" hidden="1" customHeight="1" outlineLevel="1">
      <c r="A5182" s="122">
        <v>41946.0</v>
      </c>
      <c r="B5182" s="32" t="s">
        <v>347</v>
      </c>
      <c r="C5182" s="32" t="s">
        <v>790</v>
      </c>
      <c r="D5182" s="708">
        <v>2000.0</v>
      </c>
      <c r="E5182" s="195">
        <v>11.33</v>
      </c>
      <c r="F5182" s="709">
        <v>0.5813425925925926</v>
      </c>
      <c r="G5182" s="195" t="s">
        <v>453</v>
      </c>
      <c r="H5182" s="710">
        <v>10.5</v>
      </c>
      <c r="I5182" s="256"/>
      <c r="J5182" s="67">
        <f t="shared" si="322"/>
        <v>22649.5</v>
      </c>
      <c r="K5182" s="7"/>
      <c r="L5182" s="70"/>
      <c r="M5182" s="79"/>
      <c r="N5182" s="32"/>
      <c r="O5182" s="32"/>
      <c r="P5182" s="32"/>
      <c r="Q5182" s="32"/>
      <c r="R5182" s="32"/>
      <c r="S5182" s="32"/>
      <c r="T5182" s="32"/>
      <c r="U5182" s="32"/>
      <c r="V5182" s="32"/>
      <c r="W5182" s="32"/>
      <c r="X5182" s="32"/>
      <c r="Y5182" s="32"/>
      <c r="Z5182" s="32"/>
      <c r="AA5182" s="32"/>
      <c r="AB5182" s="32"/>
      <c r="AC5182" s="32"/>
      <c r="AD5182" s="32"/>
      <c r="AE5182" s="32"/>
      <c r="AF5182" s="32"/>
      <c r="AG5182" s="32"/>
      <c r="AH5182" s="32"/>
    </row>
    <row r="5183" ht="12.75" hidden="1" customHeight="1" outlineLevel="1">
      <c r="A5183" s="122">
        <v>41946.0</v>
      </c>
      <c r="B5183" s="32" t="s">
        <v>347</v>
      </c>
      <c r="C5183" s="32" t="s">
        <v>784</v>
      </c>
      <c r="D5183" s="708">
        <v>2500.0</v>
      </c>
      <c r="E5183" s="195">
        <v>9.87</v>
      </c>
      <c r="F5183" s="709">
        <v>0.5810069444444445</v>
      </c>
      <c r="G5183" s="195" t="s">
        <v>453</v>
      </c>
      <c r="H5183" s="710">
        <v>10.55</v>
      </c>
      <c r="I5183" s="256"/>
      <c r="J5183" s="67">
        <f t="shared" si="322"/>
        <v>24664.45</v>
      </c>
      <c r="K5183" s="7"/>
      <c r="L5183" s="70"/>
      <c r="M5183" s="79"/>
      <c r="N5183" s="32"/>
      <c r="O5183" s="32"/>
      <c r="P5183" s="32"/>
      <c r="Q5183" s="32"/>
      <c r="R5183" s="32"/>
      <c r="S5183" s="32"/>
      <c r="T5183" s="32"/>
      <c r="U5183" s="32"/>
      <c r="V5183" s="32"/>
      <c r="W5183" s="32"/>
      <c r="X5183" s="32"/>
      <c r="Y5183" s="32"/>
      <c r="Z5183" s="32"/>
      <c r="AA5183" s="32"/>
      <c r="AB5183" s="32"/>
      <c r="AC5183" s="32"/>
      <c r="AD5183" s="32"/>
      <c r="AE5183" s="32"/>
      <c r="AF5183" s="32"/>
      <c r="AG5183" s="32"/>
      <c r="AH5183" s="32"/>
    </row>
    <row r="5184" ht="12.75" hidden="1" customHeight="1" outlineLevel="1">
      <c r="A5184" s="122">
        <v>41946.0</v>
      </c>
      <c r="B5184" s="1"/>
      <c r="C5184" s="1" t="s">
        <v>339</v>
      </c>
      <c r="D5184" s="74"/>
      <c r="E5184" s="67"/>
      <c r="F5184" s="75"/>
      <c r="G5184" s="67"/>
      <c r="H5184" s="68"/>
      <c r="I5184" s="76"/>
      <c r="J5184" s="67"/>
      <c r="K5184" s="9" t="s">
        <v>2284</v>
      </c>
      <c r="L5184" s="77"/>
      <c r="M5184" s="79"/>
      <c r="N5184" s="1"/>
      <c r="O5184" s="1"/>
      <c r="P5184" s="1"/>
      <c r="Q5184" s="1"/>
      <c r="R5184" s="1"/>
      <c r="S5184" s="1"/>
      <c r="T5184" s="1"/>
      <c r="U5184" s="1"/>
      <c r="V5184" s="1"/>
      <c r="W5184" s="1"/>
      <c r="X5184" s="1"/>
      <c r="Y5184" s="1"/>
      <c r="Z5184" s="1"/>
      <c r="AA5184" s="1"/>
      <c r="AB5184" s="1"/>
      <c r="AC5184" s="1"/>
      <c r="AD5184" s="1"/>
      <c r="AE5184" s="1"/>
      <c r="AF5184" s="1"/>
      <c r="AG5184" s="1"/>
      <c r="AH5184" s="1"/>
    </row>
    <row r="5185" ht="12.75" hidden="1" customHeight="1" outlineLevel="1">
      <c r="A5185" s="122">
        <v>41946.0</v>
      </c>
      <c r="B5185" s="1"/>
      <c r="C5185" s="1" t="s">
        <v>429</v>
      </c>
      <c r="D5185" s="74"/>
      <c r="E5185" s="67"/>
      <c r="F5185" s="75"/>
      <c r="G5185" s="67"/>
      <c r="H5185" s="68"/>
      <c r="I5185" s="76"/>
      <c r="J5185" s="67"/>
      <c r="K5185" s="9" t="s">
        <v>2249</v>
      </c>
      <c r="L5185" s="77"/>
      <c r="M5185" s="79"/>
      <c r="N5185" s="1"/>
      <c r="O5185" s="1"/>
      <c r="P5185" s="1"/>
      <c r="Q5185" s="1"/>
      <c r="R5185" s="1"/>
      <c r="S5185" s="1"/>
      <c r="T5185" s="1"/>
      <c r="U5185" s="1"/>
      <c r="V5185" s="1"/>
      <c r="W5185" s="1"/>
      <c r="X5185" s="1"/>
      <c r="Y5185" s="1"/>
      <c r="Z5185" s="1"/>
      <c r="AA5185" s="1"/>
      <c r="AB5185" s="1"/>
      <c r="AC5185" s="1"/>
      <c r="AD5185" s="1"/>
      <c r="AE5185" s="1"/>
      <c r="AF5185" s="1"/>
      <c r="AG5185" s="1"/>
      <c r="AH5185" s="1"/>
    </row>
    <row r="5186" ht="12.75" hidden="1" customHeight="1" outlineLevel="1">
      <c r="A5186" s="122">
        <v>41946.0</v>
      </c>
      <c r="B5186" s="1"/>
      <c r="C5186" s="1" t="s">
        <v>431</v>
      </c>
      <c r="D5186" s="74"/>
      <c r="E5186" s="67"/>
      <c r="F5186" s="75"/>
      <c r="G5186" s="67"/>
      <c r="H5186" s="68"/>
      <c r="I5186" s="76"/>
      <c r="J5186" s="67"/>
      <c r="K5186" s="7" t="s">
        <v>1126</v>
      </c>
      <c r="L5186" s="77"/>
      <c r="M5186" s="79"/>
      <c r="N5186" s="1"/>
      <c r="O5186" s="1"/>
      <c r="P5186" s="1"/>
      <c r="Q5186" s="1"/>
      <c r="R5186" s="1"/>
      <c r="S5186" s="1"/>
      <c r="T5186" s="1"/>
      <c r="U5186" s="1"/>
      <c r="V5186" s="1"/>
      <c r="W5186" s="1"/>
      <c r="X5186" s="1"/>
      <c r="Y5186" s="1"/>
      <c r="Z5186" s="1"/>
      <c r="AA5186" s="1"/>
      <c r="AB5186" s="1"/>
      <c r="AC5186" s="1"/>
      <c r="AD5186" s="1"/>
      <c r="AE5186" s="1"/>
      <c r="AF5186" s="1"/>
      <c r="AG5186" s="1"/>
      <c r="AH5186" s="1"/>
    </row>
    <row r="5187" ht="12.75" hidden="1" customHeight="1" outlineLevel="1">
      <c r="A5187" s="122">
        <v>41946.0</v>
      </c>
      <c r="B5187" s="1"/>
      <c r="C5187" s="1" t="s">
        <v>433</v>
      </c>
      <c r="D5187" s="74"/>
      <c r="E5187" s="67"/>
      <c r="F5187" s="75"/>
      <c r="G5187" s="67"/>
      <c r="H5187" s="68"/>
      <c r="I5187" s="76"/>
      <c r="J5187" s="67"/>
      <c r="K5187" s="7" t="s">
        <v>1103</v>
      </c>
      <c r="L5187" s="77"/>
      <c r="M5187" s="79"/>
      <c r="N5187" s="1"/>
      <c r="O5187" s="1"/>
      <c r="P5187" s="1"/>
      <c r="Q5187" s="1"/>
      <c r="R5187" s="1"/>
      <c r="S5187" s="1"/>
      <c r="T5187" s="1"/>
      <c r="U5187" s="1"/>
      <c r="V5187" s="1"/>
      <c r="W5187" s="1"/>
      <c r="X5187" s="1"/>
      <c r="Y5187" s="1"/>
      <c r="Z5187" s="1"/>
      <c r="AA5187" s="1"/>
      <c r="AB5187" s="1"/>
      <c r="AC5187" s="1"/>
      <c r="AD5187" s="1"/>
      <c r="AE5187" s="1"/>
      <c r="AF5187" s="1"/>
      <c r="AG5187" s="1"/>
      <c r="AH5187" s="1"/>
    </row>
    <row r="5188" ht="12.75" hidden="1" customHeight="1" outlineLevel="1">
      <c r="A5188" s="122">
        <v>41946.0</v>
      </c>
      <c r="B5188" s="1"/>
      <c r="C5188" s="1" t="s">
        <v>435</v>
      </c>
      <c r="D5188" s="74"/>
      <c r="E5188" s="67"/>
      <c r="F5188" s="75"/>
      <c r="G5188" s="67"/>
      <c r="H5188" s="68"/>
      <c r="I5188" s="76"/>
      <c r="J5188" s="67"/>
      <c r="K5188" s="7" t="s">
        <v>1507</v>
      </c>
      <c r="L5188" s="77"/>
      <c r="M5188" s="79"/>
      <c r="N5188" s="1"/>
      <c r="O5188" s="1"/>
      <c r="P5188" s="1"/>
      <c r="Q5188" s="1"/>
      <c r="R5188" s="1"/>
      <c r="S5188" s="1"/>
      <c r="T5188" s="1"/>
      <c r="U5188" s="1"/>
      <c r="V5188" s="1"/>
      <c r="W5188" s="1"/>
      <c r="X5188" s="1"/>
      <c r="Y5188" s="1"/>
      <c r="Z5188" s="1"/>
      <c r="AA5188" s="1"/>
      <c r="AB5188" s="1"/>
      <c r="AC5188" s="1"/>
      <c r="AD5188" s="1"/>
      <c r="AE5188" s="1"/>
      <c r="AF5188" s="1"/>
      <c r="AG5188" s="1"/>
      <c r="AH5188" s="1"/>
    </row>
    <row r="5189" ht="12.75" hidden="1" customHeight="1" outlineLevel="1">
      <c r="A5189" s="122">
        <v>41947.0</v>
      </c>
      <c r="B5189" s="32" t="s">
        <v>347</v>
      </c>
      <c r="C5189" s="32" t="s">
        <v>369</v>
      </c>
      <c r="D5189" s="708">
        <v>2000.0</v>
      </c>
      <c r="E5189" s="195">
        <v>10.8101</v>
      </c>
      <c r="F5189" s="709">
        <v>0.5030902777777778</v>
      </c>
      <c r="G5189" s="195" t="s">
        <v>453</v>
      </c>
      <c r="H5189" s="710">
        <v>8.48</v>
      </c>
      <c r="I5189" s="256"/>
      <c r="J5189" s="67">
        <f>IF(B5189="SLD",D5189*E5189,-D5189*E5189)-H5189</f>
        <v>21611.72</v>
      </c>
      <c r="K5189" s="7"/>
      <c r="L5189" s="70"/>
      <c r="M5189" s="79"/>
      <c r="N5189" s="32"/>
      <c r="O5189" s="32"/>
      <c r="P5189" s="32"/>
      <c r="Q5189" s="32"/>
      <c r="R5189" s="32"/>
      <c r="S5189" s="32"/>
      <c r="T5189" s="32"/>
      <c r="U5189" s="32"/>
      <c r="V5189" s="32"/>
      <c r="W5189" s="32"/>
      <c r="X5189" s="32"/>
      <c r="Y5189" s="32"/>
      <c r="Z5189" s="32"/>
      <c r="AA5189" s="32"/>
      <c r="AB5189" s="32"/>
      <c r="AC5189" s="32"/>
      <c r="AD5189" s="32"/>
      <c r="AE5189" s="32"/>
      <c r="AF5189" s="32"/>
      <c r="AG5189" s="32"/>
      <c r="AH5189" s="32"/>
    </row>
    <row r="5190" ht="12.75" hidden="1" customHeight="1" outlineLevel="1">
      <c r="A5190" s="122">
        <v>41947.0</v>
      </c>
      <c r="B5190" s="1"/>
      <c r="C5190" s="1" t="s">
        <v>339</v>
      </c>
      <c r="D5190" s="74"/>
      <c r="E5190" s="67"/>
      <c r="F5190" s="75"/>
      <c r="G5190" s="67"/>
      <c r="H5190" s="68"/>
      <c r="I5190" s="76"/>
      <c r="J5190" s="67"/>
      <c r="K5190" s="9" t="s">
        <v>2296</v>
      </c>
      <c r="L5190" s="77"/>
      <c r="M5190" s="79"/>
      <c r="N5190" s="1"/>
      <c r="O5190" s="1"/>
      <c r="P5190" s="1"/>
      <c r="Q5190" s="1"/>
      <c r="R5190" s="1"/>
      <c r="S5190" s="1"/>
      <c r="T5190" s="1"/>
      <c r="U5190" s="1"/>
      <c r="V5190" s="1"/>
      <c r="W5190" s="1"/>
      <c r="X5190" s="1"/>
      <c r="Y5190" s="1"/>
      <c r="Z5190" s="1"/>
      <c r="AA5190" s="1"/>
      <c r="AB5190" s="1"/>
      <c r="AC5190" s="1"/>
      <c r="AD5190" s="1"/>
      <c r="AE5190" s="1"/>
      <c r="AF5190" s="1"/>
      <c r="AG5190" s="1"/>
      <c r="AH5190" s="1"/>
    </row>
    <row r="5191" ht="12.75" hidden="1" customHeight="1" outlineLevel="1">
      <c r="A5191" s="122">
        <v>41947.0</v>
      </c>
      <c r="B5191" s="1"/>
      <c r="C5191" s="1" t="s">
        <v>429</v>
      </c>
      <c r="D5191" s="74"/>
      <c r="E5191" s="67"/>
      <c r="F5191" s="75"/>
      <c r="G5191" s="67"/>
      <c r="H5191" s="68"/>
      <c r="I5191" s="76"/>
      <c r="J5191" s="67"/>
      <c r="K5191" s="9" t="s">
        <v>2249</v>
      </c>
      <c r="L5191" s="77"/>
      <c r="M5191" s="79"/>
      <c r="N5191" s="1"/>
      <c r="O5191" s="1"/>
      <c r="P5191" s="1"/>
      <c r="Q5191" s="1"/>
      <c r="R5191" s="1"/>
      <c r="S5191" s="1"/>
      <c r="T5191" s="1"/>
      <c r="U5191" s="1"/>
      <c r="V5191" s="1"/>
      <c r="W5191" s="1"/>
      <c r="X5191" s="1"/>
      <c r="Y5191" s="1"/>
      <c r="Z5191" s="1"/>
      <c r="AA5191" s="1"/>
      <c r="AB5191" s="1"/>
      <c r="AC5191" s="1"/>
      <c r="AD5191" s="1"/>
      <c r="AE5191" s="1"/>
      <c r="AF5191" s="1"/>
      <c r="AG5191" s="1"/>
      <c r="AH5191" s="1"/>
    </row>
    <row r="5192" ht="12.75" hidden="1" customHeight="1" outlineLevel="1">
      <c r="A5192" s="122">
        <v>41947.0</v>
      </c>
      <c r="B5192" s="1"/>
      <c r="C5192" s="1" t="s">
        <v>431</v>
      </c>
      <c r="D5192" s="74"/>
      <c r="E5192" s="67"/>
      <c r="F5192" s="75"/>
      <c r="G5192" s="67"/>
      <c r="H5192" s="68"/>
      <c r="I5192" s="76"/>
      <c r="J5192" s="67"/>
      <c r="K5192" s="7" t="s">
        <v>1126</v>
      </c>
      <c r="L5192" s="77"/>
      <c r="M5192" s="79"/>
      <c r="N5192" s="1"/>
      <c r="O5192" s="1"/>
      <c r="P5192" s="1"/>
      <c r="Q5192" s="1"/>
      <c r="R5192" s="1"/>
      <c r="S5192" s="1"/>
      <c r="T5192" s="1"/>
      <c r="U5192" s="1"/>
      <c r="V5192" s="1"/>
      <c r="W5192" s="1"/>
      <c r="X5192" s="1"/>
      <c r="Y5192" s="1"/>
      <c r="Z5192" s="1"/>
      <c r="AA5192" s="1"/>
      <c r="AB5192" s="1"/>
      <c r="AC5192" s="1"/>
      <c r="AD5192" s="1"/>
      <c r="AE5192" s="1"/>
      <c r="AF5192" s="1"/>
      <c r="AG5192" s="1"/>
      <c r="AH5192" s="1"/>
    </row>
    <row r="5193" ht="12.75" hidden="1" customHeight="1" outlineLevel="1">
      <c r="A5193" s="122">
        <v>41947.0</v>
      </c>
      <c r="B5193" s="1"/>
      <c r="C5193" s="1" t="s">
        <v>433</v>
      </c>
      <c r="D5193" s="74"/>
      <c r="E5193" s="67"/>
      <c r="F5193" s="75"/>
      <c r="G5193" s="67"/>
      <c r="H5193" s="68"/>
      <c r="I5193" s="76"/>
      <c r="J5193" s="67"/>
      <c r="K5193" s="7" t="s">
        <v>1103</v>
      </c>
      <c r="L5193" s="77"/>
      <c r="M5193" s="79"/>
      <c r="N5193" s="1"/>
      <c r="O5193" s="1"/>
      <c r="P5193" s="1"/>
      <c r="Q5193" s="1"/>
      <c r="R5193" s="1"/>
      <c r="S5193" s="1"/>
      <c r="T5193" s="1"/>
      <c r="U5193" s="1"/>
      <c r="V5193" s="1"/>
      <c r="W5193" s="1"/>
      <c r="X5193" s="1"/>
      <c r="Y5193" s="1"/>
      <c r="Z5193" s="1"/>
      <c r="AA5193" s="1"/>
      <c r="AB5193" s="1"/>
      <c r="AC5193" s="1"/>
      <c r="AD5193" s="1"/>
      <c r="AE5193" s="1"/>
      <c r="AF5193" s="1"/>
      <c r="AG5193" s="1"/>
      <c r="AH5193" s="1"/>
    </row>
    <row r="5194" ht="12.75" hidden="1" customHeight="1" outlineLevel="1">
      <c r="A5194" s="122">
        <v>41947.0</v>
      </c>
      <c r="B5194" s="1"/>
      <c r="C5194" s="1" t="s">
        <v>435</v>
      </c>
      <c r="D5194" s="74"/>
      <c r="E5194" s="67"/>
      <c r="F5194" s="75"/>
      <c r="G5194" s="67"/>
      <c r="H5194" s="68"/>
      <c r="I5194" s="76"/>
      <c r="J5194" s="67"/>
      <c r="K5194" s="7" t="s">
        <v>1507</v>
      </c>
      <c r="L5194" s="77"/>
      <c r="M5194" s="79"/>
      <c r="N5194" s="1"/>
      <c r="O5194" s="1"/>
      <c r="P5194" s="1"/>
      <c r="Q5194" s="1"/>
      <c r="R5194" s="1"/>
      <c r="S5194" s="1"/>
      <c r="T5194" s="1"/>
      <c r="U5194" s="1"/>
      <c r="V5194" s="1"/>
      <c r="W5194" s="1"/>
      <c r="X5194" s="1"/>
      <c r="Y5194" s="1"/>
      <c r="Z5194" s="1"/>
      <c r="AA5194" s="1"/>
      <c r="AB5194" s="1"/>
      <c r="AC5194" s="1"/>
      <c r="AD5194" s="1"/>
      <c r="AE5194" s="1"/>
      <c r="AF5194" s="1"/>
      <c r="AG5194" s="1"/>
      <c r="AH5194" s="1"/>
    </row>
    <row r="5195" ht="12.75" hidden="1" customHeight="1" outlineLevel="1">
      <c r="A5195" s="122">
        <v>41948.0</v>
      </c>
      <c r="B5195" s="1"/>
      <c r="C5195" s="1" t="s">
        <v>339</v>
      </c>
      <c r="D5195" s="74"/>
      <c r="E5195" s="67"/>
      <c r="F5195" s="75"/>
      <c r="G5195" s="67"/>
      <c r="H5195" s="68"/>
      <c r="I5195" s="76"/>
      <c r="J5195" s="67"/>
      <c r="K5195" s="9" t="s">
        <v>2297</v>
      </c>
      <c r="L5195" s="77"/>
      <c r="M5195" s="79"/>
      <c r="N5195" s="1"/>
      <c r="O5195" s="1"/>
      <c r="P5195" s="1"/>
      <c r="Q5195" s="1"/>
      <c r="R5195" s="1"/>
      <c r="S5195" s="1"/>
      <c r="T5195" s="1"/>
      <c r="U5195" s="1"/>
      <c r="V5195" s="1"/>
      <c r="W5195" s="1"/>
      <c r="X5195" s="1"/>
      <c r="Y5195" s="1"/>
      <c r="Z5195" s="1"/>
      <c r="AA5195" s="1"/>
      <c r="AB5195" s="1"/>
      <c r="AC5195" s="1"/>
      <c r="AD5195" s="1"/>
      <c r="AE5195" s="1"/>
      <c r="AF5195" s="1"/>
      <c r="AG5195" s="1"/>
      <c r="AH5195" s="1"/>
    </row>
    <row r="5196" ht="12.75" hidden="1" customHeight="1" outlineLevel="1">
      <c r="A5196" s="122">
        <v>41948.0</v>
      </c>
      <c r="B5196" s="1"/>
      <c r="C5196" s="1" t="s">
        <v>429</v>
      </c>
      <c r="D5196" s="74"/>
      <c r="E5196" s="67"/>
      <c r="F5196" s="75"/>
      <c r="G5196" s="67"/>
      <c r="H5196" s="68"/>
      <c r="I5196" s="76"/>
      <c r="J5196" s="67"/>
      <c r="K5196" s="9" t="s">
        <v>2249</v>
      </c>
      <c r="L5196" s="77"/>
      <c r="M5196" s="79"/>
      <c r="N5196" s="1"/>
      <c r="O5196" s="1"/>
      <c r="P5196" s="1"/>
      <c r="Q5196" s="1"/>
      <c r="R5196" s="1"/>
      <c r="S5196" s="1"/>
      <c r="T5196" s="1"/>
      <c r="U5196" s="1"/>
      <c r="V5196" s="1"/>
      <c r="W5196" s="1"/>
      <c r="X5196" s="1"/>
      <c r="Y5196" s="1"/>
      <c r="Z5196" s="1"/>
      <c r="AA5196" s="1"/>
      <c r="AB5196" s="1"/>
      <c r="AC5196" s="1"/>
      <c r="AD5196" s="1"/>
      <c r="AE5196" s="1"/>
      <c r="AF5196" s="1"/>
      <c r="AG5196" s="1"/>
      <c r="AH5196" s="1"/>
    </row>
    <row r="5197" ht="12.75" hidden="1" customHeight="1" outlineLevel="1">
      <c r="A5197" s="122">
        <v>41948.0</v>
      </c>
      <c r="B5197" s="1"/>
      <c r="C5197" s="1" t="s">
        <v>431</v>
      </c>
      <c r="D5197" s="74"/>
      <c r="E5197" s="67"/>
      <c r="F5197" s="75"/>
      <c r="G5197" s="67"/>
      <c r="H5197" s="68"/>
      <c r="I5197" s="76"/>
      <c r="J5197" s="67"/>
      <c r="K5197" s="7" t="s">
        <v>1126</v>
      </c>
      <c r="L5197" s="77"/>
      <c r="M5197" s="79"/>
      <c r="N5197" s="1"/>
      <c r="O5197" s="1"/>
      <c r="P5197" s="1"/>
      <c r="Q5197" s="1"/>
      <c r="R5197" s="1"/>
      <c r="S5197" s="1"/>
      <c r="T5197" s="1"/>
      <c r="U5197" s="1"/>
      <c r="V5197" s="1"/>
      <c r="W5197" s="1"/>
      <c r="X5197" s="1"/>
      <c r="Y5197" s="1"/>
      <c r="Z5197" s="1"/>
      <c r="AA5197" s="1"/>
      <c r="AB5197" s="1"/>
      <c r="AC5197" s="1"/>
      <c r="AD5197" s="1"/>
      <c r="AE5197" s="1"/>
      <c r="AF5197" s="1"/>
      <c r="AG5197" s="1"/>
      <c r="AH5197" s="1"/>
    </row>
    <row r="5198" ht="12.75" hidden="1" customHeight="1" outlineLevel="1">
      <c r="A5198" s="122">
        <v>41948.0</v>
      </c>
      <c r="B5198" s="1"/>
      <c r="C5198" s="1" t="s">
        <v>433</v>
      </c>
      <c r="D5198" s="74"/>
      <c r="E5198" s="67"/>
      <c r="F5198" s="75"/>
      <c r="G5198" s="67"/>
      <c r="H5198" s="68"/>
      <c r="I5198" s="76"/>
      <c r="J5198" s="67"/>
      <c r="K5198" s="7" t="s">
        <v>1103</v>
      </c>
      <c r="L5198" s="77"/>
      <c r="M5198" s="79"/>
      <c r="N5198" s="1"/>
      <c r="O5198" s="1"/>
      <c r="P5198" s="1"/>
      <c r="Q5198" s="1"/>
      <c r="R5198" s="1"/>
      <c r="S5198" s="1"/>
      <c r="T5198" s="1"/>
      <c r="U5198" s="1"/>
      <c r="V5198" s="1"/>
      <c r="W5198" s="1"/>
      <c r="X5198" s="1"/>
      <c r="Y5198" s="1"/>
      <c r="Z5198" s="1"/>
      <c r="AA5198" s="1"/>
      <c r="AB5198" s="1"/>
      <c r="AC5198" s="1"/>
      <c r="AD5198" s="1"/>
      <c r="AE5198" s="1"/>
      <c r="AF5198" s="1"/>
      <c r="AG5198" s="1"/>
      <c r="AH5198" s="1"/>
    </row>
    <row r="5199" ht="12.75" hidden="1" customHeight="1" outlineLevel="1">
      <c r="A5199" s="122">
        <v>41948.0</v>
      </c>
      <c r="B5199" s="1"/>
      <c r="C5199" s="1" t="s">
        <v>435</v>
      </c>
      <c r="D5199" s="74"/>
      <c r="E5199" s="67"/>
      <c r="F5199" s="75"/>
      <c r="G5199" s="67"/>
      <c r="H5199" s="68"/>
      <c r="I5199" s="76"/>
      <c r="J5199" s="67"/>
      <c r="K5199" s="7" t="s">
        <v>1507</v>
      </c>
      <c r="L5199" s="77"/>
      <c r="M5199" s="79"/>
      <c r="N5199" s="1"/>
      <c r="O5199" s="1"/>
      <c r="P5199" s="1"/>
      <c r="Q5199" s="1"/>
      <c r="R5199" s="1"/>
      <c r="S5199" s="1"/>
      <c r="T5199" s="1"/>
      <c r="U5199" s="1"/>
      <c r="V5199" s="1"/>
      <c r="W5199" s="1"/>
      <c r="X5199" s="1"/>
      <c r="Y5199" s="1"/>
      <c r="Z5199" s="1"/>
      <c r="AA5199" s="1"/>
      <c r="AB5199" s="1"/>
      <c r="AC5199" s="1"/>
      <c r="AD5199" s="1"/>
      <c r="AE5199" s="1"/>
      <c r="AF5199" s="1"/>
      <c r="AG5199" s="1"/>
      <c r="AH5199" s="1"/>
    </row>
    <row r="5200" ht="12.75" hidden="1" customHeight="1" outlineLevel="1">
      <c r="A5200" s="122">
        <v>41949.0</v>
      </c>
      <c r="B5200" s="32" t="s">
        <v>347</v>
      </c>
      <c r="C5200" s="32" t="s">
        <v>790</v>
      </c>
      <c r="D5200" s="708">
        <v>500.0</v>
      </c>
      <c r="E5200" s="195">
        <v>10.73</v>
      </c>
      <c r="F5200" s="709">
        <v>0.6650810185185185</v>
      </c>
      <c r="G5200" s="195" t="s">
        <v>453</v>
      </c>
      <c r="H5200" s="710">
        <v>2.12</v>
      </c>
      <c r="I5200" s="256"/>
      <c r="J5200" s="67">
        <f t="shared" ref="J5200:J5201" si="323">IF(B5200="SLD",D5200*E5200,-D5200*E5200)-H5200</f>
        <v>5362.88</v>
      </c>
      <c r="K5200" s="7"/>
      <c r="L5200" s="70"/>
      <c r="M5200" s="79"/>
      <c r="N5200" s="32"/>
      <c r="O5200" s="32"/>
      <c r="P5200" s="32"/>
      <c r="Q5200" s="32"/>
      <c r="R5200" s="32"/>
      <c r="S5200" s="32"/>
      <c r="T5200" s="32"/>
      <c r="U5200" s="32"/>
      <c r="V5200" s="32"/>
      <c r="W5200" s="32"/>
      <c r="X5200" s="32"/>
      <c r="Y5200" s="32"/>
      <c r="Z5200" s="32"/>
      <c r="AA5200" s="32"/>
      <c r="AB5200" s="32"/>
      <c r="AC5200" s="32"/>
      <c r="AD5200" s="32"/>
      <c r="AE5200" s="32"/>
      <c r="AF5200" s="32"/>
      <c r="AG5200" s="32"/>
      <c r="AH5200" s="32"/>
    </row>
    <row r="5201" ht="12.75" hidden="1" customHeight="1" outlineLevel="1">
      <c r="A5201" s="122">
        <v>41949.0</v>
      </c>
      <c r="B5201" s="32" t="s">
        <v>347</v>
      </c>
      <c r="C5201" s="32" t="s">
        <v>784</v>
      </c>
      <c r="D5201" s="708">
        <v>500.0</v>
      </c>
      <c r="E5201" s="195">
        <v>9.15</v>
      </c>
      <c r="F5201" s="709">
        <v>0.6652893518518519</v>
      </c>
      <c r="G5201" s="195" t="s">
        <v>453</v>
      </c>
      <c r="H5201" s="710">
        <v>2.6</v>
      </c>
      <c r="I5201" s="256"/>
      <c r="J5201" s="67">
        <f t="shared" si="323"/>
        <v>4572.4</v>
      </c>
      <c r="K5201" s="7"/>
      <c r="L5201" s="70"/>
      <c r="M5201" s="79"/>
      <c r="N5201" s="32"/>
      <c r="O5201" s="32"/>
      <c r="P5201" s="32"/>
      <c r="Q5201" s="32"/>
      <c r="R5201" s="32"/>
      <c r="S5201" s="32"/>
      <c r="T5201" s="32"/>
      <c r="U5201" s="32"/>
      <c r="V5201" s="32"/>
      <c r="W5201" s="32"/>
      <c r="X5201" s="32"/>
      <c r="Y5201" s="32"/>
      <c r="Z5201" s="32"/>
      <c r="AA5201" s="32"/>
      <c r="AB5201" s="32"/>
      <c r="AC5201" s="32"/>
      <c r="AD5201" s="32"/>
      <c r="AE5201" s="32"/>
      <c r="AF5201" s="32"/>
      <c r="AG5201" s="32"/>
      <c r="AH5201" s="32"/>
    </row>
    <row r="5202" ht="12.75" hidden="1" customHeight="1" outlineLevel="1">
      <c r="A5202" s="122">
        <v>41949.0</v>
      </c>
      <c r="B5202" s="1"/>
      <c r="C5202" s="1" t="s">
        <v>339</v>
      </c>
      <c r="D5202" s="74"/>
      <c r="E5202" s="67"/>
      <c r="F5202" s="75"/>
      <c r="G5202" s="67"/>
      <c r="H5202" s="68"/>
      <c r="I5202" s="76"/>
      <c r="J5202" s="67"/>
      <c r="K5202" s="9" t="s">
        <v>2305</v>
      </c>
      <c r="L5202" s="77"/>
      <c r="M5202" s="79"/>
      <c r="N5202" s="1"/>
      <c r="O5202" s="1"/>
      <c r="P5202" s="1"/>
      <c r="Q5202" s="1"/>
      <c r="R5202" s="1"/>
      <c r="S5202" s="1"/>
      <c r="T5202" s="1"/>
      <c r="U5202" s="1"/>
      <c r="V5202" s="1"/>
      <c r="W5202" s="1"/>
      <c r="X5202" s="1"/>
      <c r="Y5202" s="1"/>
      <c r="Z5202" s="1"/>
      <c r="AA5202" s="1"/>
      <c r="AB5202" s="1"/>
      <c r="AC5202" s="1"/>
      <c r="AD5202" s="1"/>
      <c r="AE5202" s="1"/>
      <c r="AF5202" s="1"/>
      <c r="AG5202" s="1"/>
      <c r="AH5202" s="1"/>
    </row>
    <row r="5203" ht="12.75" hidden="1" customHeight="1" outlineLevel="1">
      <c r="A5203" s="122">
        <v>41949.0</v>
      </c>
      <c r="B5203" s="1"/>
      <c r="C5203" s="1" t="s">
        <v>429</v>
      </c>
      <c r="D5203" s="74"/>
      <c r="E5203" s="67"/>
      <c r="F5203" s="75"/>
      <c r="G5203" s="67"/>
      <c r="H5203" s="68"/>
      <c r="I5203" s="76"/>
      <c r="J5203" s="67"/>
      <c r="K5203" s="9" t="s">
        <v>2306</v>
      </c>
      <c r="L5203" s="77"/>
      <c r="M5203" s="79"/>
      <c r="N5203" s="1"/>
      <c r="O5203" s="1"/>
      <c r="P5203" s="1"/>
      <c r="Q5203" s="1"/>
      <c r="R5203" s="1"/>
      <c r="S5203" s="1"/>
      <c r="T5203" s="1"/>
      <c r="U5203" s="1"/>
      <c r="V5203" s="1"/>
      <c r="W5203" s="1"/>
      <c r="X5203" s="1"/>
      <c r="Y5203" s="1"/>
      <c r="Z5203" s="1"/>
      <c r="AA5203" s="1"/>
      <c r="AB5203" s="1"/>
      <c r="AC5203" s="1"/>
      <c r="AD5203" s="1"/>
      <c r="AE5203" s="1"/>
      <c r="AF5203" s="1"/>
      <c r="AG5203" s="1"/>
      <c r="AH5203" s="1"/>
    </row>
    <row r="5204" ht="12.75" hidden="1" customHeight="1" outlineLevel="1">
      <c r="A5204" s="122">
        <v>41949.0</v>
      </c>
      <c r="B5204" s="1"/>
      <c r="C5204" s="1" t="s">
        <v>431</v>
      </c>
      <c r="D5204" s="74"/>
      <c r="E5204" s="67"/>
      <c r="F5204" s="75"/>
      <c r="G5204" s="67"/>
      <c r="H5204" s="68"/>
      <c r="I5204" s="76"/>
      <c r="J5204" s="67"/>
      <c r="K5204" s="7" t="s">
        <v>1126</v>
      </c>
      <c r="L5204" s="77"/>
      <c r="M5204" s="79"/>
      <c r="N5204" s="1"/>
      <c r="O5204" s="1"/>
      <c r="P5204" s="1"/>
      <c r="Q5204" s="1"/>
      <c r="R5204" s="1"/>
      <c r="S5204" s="1"/>
      <c r="T5204" s="1"/>
      <c r="U5204" s="1"/>
      <c r="V5204" s="1"/>
      <c r="W5204" s="1"/>
      <c r="X5204" s="1"/>
      <c r="Y5204" s="1"/>
      <c r="Z5204" s="1"/>
      <c r="AA5204" s="1"/>
      <c r="AB5204" s="1"/>
      <c r="AC5204" s="1"/>
      <c r="AD5204" s="1"/>
      <c r="AE5204" s="1"/>
      <c r="AF5204" s="1"/>
      <c r="AG5204" s="1"/>
      <c r="AH5204" s="1"/>
    </row>
    <row r="5205" ht="12.75" hidden="1" customHeight="1" outlineLevel="1">
      <c r="A5205" s="122">
        <v>41949.0</v>
      </c>
      <c r="B5205" s="1"/>
      <c r="C5205" s="1" t="s">
        <v>433</v>
      </c>
      <c r="D5205" s="74"/>
      <c r="E5205" s="67"/>
      <c r="F5205" s="75"/>
      <c r="G5205" s="67"/>
      <c r="H5205" s="68"/>
      <c r="I5205" s="76"/>
      <c r="J5205" s="67"/>
      <c r="K5205" s="7" t="s">
        <v>1103</v>
      </c>
      <c r="L5205" s="77"/>
      <c r="M5205" s="79"/>
      <c r="N5205" s="1"/>
      <c r="O5205" s="1"/>
      <c r="P5205" s="1"/>
      <c r="Q5205" s="1"/>
      <c r="R5205" s="1"/>
      <c r="S5205" s="1"/>
      <c r="T5205" s="1"/>
      <c r="U5205" s="1"/>
      <c r="V5205" s="1"/>
      <c r="W5205" s="1"/>
      <c r="X5205" s="1"/>
      <c r="Y5205" s="1"/>
      <c r="Z5205" s="1"/>
      <c r="AA5205" s="1"/>
      <c r="AB5205" s="1"/>
      <c r="AC5205" s="1"/>
      <c r="AD5205" s="1"/>
      <c r="AE5205" s="1"/>
      <c r="AF5205" s="1"/>
      <c r="AG5205" s="1"/>
      <c r="AH5205" s="1"/>
    </row>
    <row r="5206" ht="12.75" hidden="1" customHeight="1" outlineLevel="1">
      <c r="A5206" s="122">
        <v>41949.0</v>
      </c>
      <c r="B5206" s="1"/>
      <c r="C5206" s="1" t="s">
        <v>435</v>
      </c>
      <c r="D5206" s="74"/>
      <c r="E5206" s="67"/>
      <c r="F5206" s="75"/>
      <c r="G5206" s="67"/>
      <c r="H5206" s="68"/>
      <c r="I5206" s="76"/>
      <c r="J5206" s="67"/>
      <c r="K5206" s="7" t="s">
        <v>1507</v>
      </c>
      <c r="L5206" s="77"/>
      <c r="M5206" s="79"/>
      <c r="N5206" s="1"/>
      <c r="O5206" s="1"/>
      <c r="P5206" s="1"/>
      <c r="Q5206" s="1"/>
      <c r="R5206" s="1"/>
      <c r="S5206" s="1"/>
      <c r="T5206" s="1"/>
      <c r="U5206" s="1"/>
      <c r="V5206" s="1"/>
      <c r="W5206" s="1"/>
      <c r="X5206" s="1"/>
      <c r="Y5206" s="1"/>
      <c r="Z5206" s="1"/>
      <c r="AA5206" s="1"/>
      <c r="AB5206" s="1"/>
      <c r="AC5206" s="1"/>
      <c r="AD5206" s="1"/>
      <c r="AE5206" s="1"/>
      <c r="AF5206" s="1"/>
      <c r="AG5206" s="1"/>
      <c r="AH5206" s="1"/>
    </row>
    <row r="5207" ht="12.75" hidden="1" customHeight="1" outlineLevel="1">
      <c r="A5207" s="122">
        <v>41950.0</v>
      </c>
      <c r="B5207" s="1"/>
      <c r="C5207" s="1" t="s">
        <v>339</v>
      </c>
      <c r="D5207" s="74"/>
      <c r="E5207" s="67"/>
      <c r="F5207" s="75"/>
      <c r="G5207" s="67"/>
      <c r="H5207" s="68"/>
      <c r="I5207" s="76"/>
      <c r="J5207" s="67"/>
      <c r="K5207" s="9" t="s">
        <v>2311</v>
      </c>
      <c r="L5207" s="77"/>
      <c r="M5207" s="79"/>
      <c r="N5207" s="1"/>
      <c r="O5207" s="1"/>
      <c r="P5207" s="1"/>
      <c r="Q5207" s="1"/>
      <c r="R5207" s="1"/>
      <c r="S5207" s="1"/>
      <c r="T5207" s="1"/>
      <c r="U5207" s="1"/>
      <c r="V5207" s="1"/>
      <c r="W5207" s="1"/>
      <c r="X5207" s="1"/>
      <c r="Y5207" s="1"/>
      <c r="Z5207" s="1"/>
      <c r="AA5207" s="1"/>
      <c r="AB5207" s="1"/>
      <c r="AC5207" s="1"/>
      <c r="AD5207" s="1"/>
      <c r="AE5207" s="1"/>
      <c r="AF5207" s="1"/>
      <c r="AG5207" s="1"/>
      <c r="AH5207" s="1"/>
    </row>
    <row r="5208" ht="12.75" hidden="1" customHeight="1" outlineLevel="1">
      <c r="A5208" s="122">
        <v>41950.0</v>
      </c>
      <c r="B5208" s="1"/>
      <c r="C5208" s="1" t="s">
        <v>429</v>
      </c>
      <c r="D5208" s="74"/>
      <c r="E5208" s="67"/>
      <c r="F5208" s="75"/>
      <c r="G5208" s="67"/>
      <c r="H5208" s="68"/>
      <c r="I5208" s="76"/>
      <c r="J5208" s="67"/>
      <c r="K5208" s="9" t="s">
        <v>2306</v>
      </c>
      <c r="L5208" s="77"/>
      <c r="M5208" s="79"/>
      <c r="N5208" s="1"/>
      <c r="O5208" s="1"/>
      <c r="P5208" s="1"/>
      <c r="Q5208" s="1"/>
      <c r="R5208" s="1"/>
      <c r="S5208" s="1"/>
      <c r="T5208" s="1"/>
      <c r="U5208" s="1"/>
      <c r="V5208" s="1"/>
      <c r="W5208" s="1"/>
      <c r="X5208" s="1"/>
      <c r="Y5208" s="1"/>
      <c r="Z5208" s="1"/>
      <c r="AA5208" s="1"/>
      <c r="AB5208" s="1"/>
      <c r="AC5208" s="1"/>
      <c r="AD5208" s="1"/>
      <c r="AE5208" s="1"/>
      <c r="AF5208" s="1"/>
      <c r="AG5208" s="1"/>
      <c r="AH5208" s="1"/>
    </row>
    <row r="5209" ht="12.75" hidden="1" customHeight="1" outlineLevel="1">
      <c r="A5209" s="122">
        <v>41950.0</v>
      </c>
      <c r="B5209" s="1"/>
      <c r="C5209" s="1" t="s">
        <v>431</v>
      </c>
      <c r="D5209" s="74"/>
      <c r="E5209" s="67"/>
      <c r="F5209" s="75"/>
      <c r="G5209" s="67"/>
      <c r="H5209" s="68"/>
      <c r="I5209" s="76"/>
      <c r="J5209" s="67"/>
      <c r="K5209" s="7" t="s">
        <v>1126</v>
      </c>
      <c r="L5209" s="77"/>
      <c r="M5209" s="79"/>
      <c r="N5209" s="1"/>
      <c r="O5209" s="1"/>
      <c r="P5209" s="1"/>
      <c r="Q5209" s="1"/>
      <c r="R5209" s="1"/>
      <c r="S5209" s="1"/>
      <c r="T5209" s="1"/>
      <c r="U5209" s="1"/>
      <c r="V5209" s="1"/>
      <c r="W5209" s="1"/>
      <c r="X5209" s="1"/>
      <c r="Y5209" s="1"/>
      <c r="Z5209" s="1"/>
      <c r="AA5209" s="1"/>
      <c r="AB5209" s="1"/>
      <c r="AC5209" s="1"/>
      <c r="AD5209" s="1"/>
      <c r="AE5209" s="1"/>
      <c r="AF5209" s="1"/>
      <c r="AG5209" s="1"/>
      <c r="AH5209" s="1"/>
    </row>
    <row r="5210" ht="12.75" hidden="1" customHeight="1" outlineLevel="1">
      <c r="A5210" s="122">
        <v>41950.0</v>
      </c>
      <c r="B5210" s="1"/>
      <c r="C5210" s="1" t="s">
        <v>433</v>
      </c>
      <c r="D5210" s="74"/>
      <c r="E5210" s="67"/>
      <c r="F5210" s="75"/>
      <c r="G5210" s="67"/>
      <c r="H5210" s="68"/>
      <c r="I5210" s="76"/>
      <c r="J5210" s="67"/>
      <c r="K5210" s="7" t="s">
        <v>1103</v>
      </c>
      <c r="L5210" s="77"/>
      <c r="M5210" s="79"/>
      <c r="N5210" s="1"/>
      <c r="O5210" s="1"/>
      <c r="P5210" s="1"/>
      <c r="Q5210" s="1"/>
      <c r="R5210" s="1"/>
      <c r="S5210" s="1"/>
      <c r="T5210" s="1"/>
      <c r="U5210" s="1"/>
      <c r="V5210" s="1"/>
      <c r="W5210" s="1"/>
      <c r="X5210" s="1"/>
      <c r="Y5210" s="1"/>
      <c r="Z5210" s="1"/>
      <c r="AA5210" s="1"/>
      <c r="AB5210" s="1"/>
      <c r="AC5210" s="1"/>
      <c r="AD5210" s="1"/>
      <c r="AE5210" s="1"/>
      <c r="AF5210" s="1"/>
      <c r="AG5210" s="1"/>
      <c r="AH5210" s="1"/>
    </row>
    <row r="5211" ht="12.75" hidden="1" customHeight="1" outlineLevel="1">
      <c r="A5211" s="122">
        <v>41950.0</v>
      </c>
      <c r="B5211" s="1"/>
      <c r="C5211" s="1" t="s">
        <v>435</v>
      </c>
      <c r="D5211" s="74"/>
      <c r="E5211" s="67"/>
      <c r="F5211" s="75"/>
      <c r="G5211" s="67"/>
      <c r="H5211" s="68"/>
      <c r="I5211" s="76"/>
      <c r="J5211" s="67"/>
      <c r="K5211" s="7" t="s">
        <v>1507</v>
      </c>
      <c r="L5211" s="77"/>
      <c r="M5211" s="79"/>
      <c r="N5211" s="1"/>
      <c r="O5211" s="1"/>
      <c r="P5211" s="1"/>
      <c r="Q5211" s="1"/>
      <c r="R5211" s="1"/>
      <c r="S5211" s="1"/>
      <c r="T5211" s="1"/>
      <c r="U5211" s="1"/>
      <c r="V5211" s="1"/>
      <c r="W5211" s="1"/>
      <c r="X5211" s="1"/>
      <c r="Y5211" s="1"/>
      <c r="Z5211" s="1"/>
      <c r="AA5211" s="1"/>
      <c r="AB5211" s="1"/>
      <c r="AC5211" s="1"/>
      <c r="AD5211" s="1"/>
      <c r="AE5211" s="1"/>
      <c r="AF5211" s="1"/>
      <c r="AG5211" s="1"/>
      <c r="AH5211" s="1"/>
    </row>
    <row r="5212" ht="12.75" hidden="1" customHeight="1" outlineLevel="1">
      <c r="A5212" s="122">
        <v>41954.0</v>
      </c>
      <c r="B5212" s="32" t="s">
        <v>343</v>
      </c>
      <c r="C5212" s="32" t="s">
        <v>779</v>
      </c>
      <c r="D5212" s="708">
        <v>125.0</v>
      </c>
      <c r="E5212" s="195">
        <v>255.45</v>
      </c>
      <c r="F5212" s="709">
        <v>0.3993171296296296</v>
      </c>
      <c r="G5212" s="195" t="s">
        <v>453</v>
      </c>
      <c r="H5212" s="710">
        <v>1.0</v>
      </c>
      <c r="I5212" s="256"/>
      <c r="J5212" s="67">
        <f t="shared" ref="J5212:J5213" si="324">IF(B5212="SLD",D5212*E5212,-D5212*E5212)-H5212</f>
        <v>-31932.25</v>
      </c>
      <c r="K5212" s="7"/>
      <c r="L5212" s="70"/>
      <c r="M5212" s="79"/>
      <c r="N5212" s="32"/>
      <c r="O5212" s="32"/>
      <c r="P5212" s="32"/>
      <c r="Q5212" s="32"/>
      <c r="R5212" s="32"/>
      <c r="S5212" s="32"/>
      <c r="T5212" s="32"/>
      <c r="U5212" s="32"/>
      <c r="V5212" s="32"/>
      <c r="W5212" s="32"/>
      <c r="X5212" s="32"/>
      <c r="Y5212" s="32"/>
      <c r="Z5212" s="32"/>
      <c r="AA5212" s="32"/>
      <c r="AB5212" s="32"/>
      <c r="AC5212" s="32"/>
      <c r="AD5212" s="32"/>
      <c r="AE5212" s="32"/>
      <c r="AF5212" s="32"/>
      <c r="AG5212" s="32"/>
      <c r="AH5212" s="32"/>
    </row>
    <row r="5213" ht="12.75" hidden="1" customHeight="1" outlineLevel="1">
      <c r="A5213" s="122">
        <v>41954.0</v>
      </c>
      <c r="B5213" s="32" t="s">
        <v>343</v>
      </c>
      <c r="C5213" s="32" t="s">
        <v>605</v>
      </c>
      <c r="D5213" s="708">
        <v>400.0</v>
      </c>
      <c r="E5213" s="195">
        <v>74.6376</v>
      </c>
      <c r="F5213" s="709">
        <v>0.4002662037037037</v>
      </c>
      <c r="G5213" s="195" t="s">
        <v>453</v>
      </c>
      <c r="H5213" s="710">
        <v>1.6</v>
      </c>
      <c r="I5213" s="256"/>
      <c r="J5213" s="67">
        <f t="shared" si="324"/>
        <v>-29856.64</v>
      </c>
      <c r="K5213" s="7"/>
      <c r="L5213" s="70"/>
      <c r="M5213" s="79"/>
      <c r="N5213" s="32"/>
      <c r="O5213" s="32"/>
      <c r="P5213" s="32"/>
      <c r="Q5213" s="32"/>
      <c r="R5213" s="32"/>
      <c r="S5213" s="32"/>
      <c r="T5213" s="32"/>
      <c r="U5213" s="32"/>
      <c r="V5213" s="32"/>
      <c r="W5213" s="32"/>
      <c r="X5213" s="32"/>
      <c r="Y5213" s="32"/>
      <c r="Z5213" s="32"/>
      <c r="AA5213" s="32"/>
      <c r="AB5213" s="32"/>
      <c r="AC5213" s="32"/>
      <c r="AD5213" s="32"/>
      <c r="AE5213" s="32"/>
      <c r="AF5213" s="32"/>
      <c r="AG5213" s="32"/>
      <c r="AH5213" s="32"/>
    </row>
    <row r="5214" ht="12.75" hidden="1" customHeight="1" outlineLevel="1">
      <c r="A5214" s="122">
        <v>41954.0</v>
      </c>
      <c r="B5214" s="1"/>
      <c r="C5214" s="1" t="s">
        <v>339</v>
      </c>
      <c r="D5214" s="74"/>
      <c r="E5214" s="67"/>
      <c r="F5214" s="75"/>
      <c r="G5214" s="67"/>
      <c r="H5214" s="68"/>
      <c r="I5214" s="76"/>
      <c r="J5214" s="67"/>
      <c r="K5214" s="9" t="s">
        <v>2322</v>
      </c>
      <c r="L5214" s="77"/>
      <c r="M5214" s="79"/>
      <c r="N5214" s="1"/>
      <c r="O5214" s="1"/>
      <c r="P5214" s="1"/>
      <c r="Q5214" s="1"/>
      <c r="R5214" s="1"/>
      <c r="S5214" s="1"/>
      <c r="T5214" s="1"/>
      <c r="U5214" s="1"/>
      <c r="V5214" s="1"/>
      <c r="W5214" s="1"/>
      <c r="X5214" s="1"/>
      <c r="Y5214" s="1"/>
      <c r="Z5214" s="1"/>
      <c r="AA5214" s="1"/>
      <c r="AB5214" s="1"/>
      <c r="AC5214" s="1"/>
      <c r="AD5214" s="1"/>
      <c r="AE5214" s="1"/>
      <c r="AF5214" s="1"/>
      <c r="AG5214" s="1"/>
      <c r="AH5214" s="1"/>
    </row>
    <row r="5215" ht="12.75" hidden="1" customHeight="1" outlineLevel="1">
      <c r="A5215" s="122">
        <v>41954.0</v>
      </c>
      <c r="B5215" s="1"/>
      <c r="C5215" s="1" t="s">
        <v>429</v>
      </c>
      <c r="D5215" s="74"/>
      <c r="E5215" s="67"/>
      <c r="F5215" s="75"/>
      <c r="G5215" s="67"/>
      <c r="H5215" s="68"/>
      <c r="I5215" s="76"/>
      <c r="J5215" s="67"/>
      <c r="K5215" s="9" t="s">
        <v>2306</v>
      </c>
      <c r="L5215" s="77"/>
      <c r="M5215" s="79"/>
      <c r="N5215" s="1"/>
      <c r="O5215" s="1"/>
      <c r="P5215" s="1"/>
      <c r="Q5215" s="1"/>
      <c r="R5215" s="1"/>
      <c r="S5215" s="1"/>
      <c r="T5215" s="1"/>
      <c r="U5215" s="1"/>
      <c r="V5215" s="1"/>
      <c r="W5215" s="1"/>
      <c r="X5215" s="1"/>
      <c r="Y5215" s="1"/>
      <c r="Z5215" s="1"/>
      <c r="AA5215" s="1"/>
      <c r="AB5215" s="1"/>
      <c r="AC5215" s="1"/>
      <c r="AD5215" s="1"/>
      <c r="AE5215" s="1"/>
      <c r="AF5215" s="1"/>
      <c r="AG5215" s="1"/>
      <c r="AH5215" s="1"/>
    </row>
    <row r="5216" ht="12.75" hidden="1" customHeight="1" outlineLevel="1">
      <c r="A5216" s="122">
        <v>41954.0</v>
      </c>
      <c r="B5216" s="1"/>
      <c r="C5216" s="1" t="s">
        <v>431</v>
      </c>
      <c r="D5216" s="74"/>
      <c r="E5216" s="67"/>
      <c r="F5216" s="75"/>
      <c r="G5216" s="67"/>
      <c r="H5216" s="68"/>
      <c r="I5216" s="76"/>
      <c r="J5216" s="67"/>
      <c r="K5216" s="7" t="s">
        <v>1126</v>
      </c>
      <c r="L5216" s="77"/>
      <c r="M5216" s="79"/>
      <c r="N5216" s="1"/>
      <c r="O5216" s="1"/>
      <c r="P5216" s="1"/>
      <c r="Q5216" s="1"/>
      <c r="R5216" s="1"/>
      <c r="S5216" s="1"/>
      <c r="T5216" s="1"/>
      <c r="U5216" s="1"/>
      <c r="V5216" s="1"/>
      <c r="W5216" s="1"/>
      <c r="X5216" s="1"/>
      <c r="Y5216" s="1"/>
      <c r="Z5216" s="1"/>
      <c r="AA5216" s="1"/>
      <c r="AB5216" s="1"/>
      <c r="AC5216" s="1"/>
      <c r="AD5216" s="1"/>
      <c r="AE5216" s="1"/>
      <c r="AF5216" s="1"/>
      <c r="AG5216" s="1"/>
      <c r="AH5216" s="1"/>
    </row>
    <row r="5217" ht="12.75" hidden="1" customHeight="1" outlineLevel="1">
      <c r="A5217" s="122">
        <v>41954.0</v>
      </c>
      <c r="B5217" s="1"/>
      <c r="C5217" s="1" t="s">
        <v>433</v>
      </c>
      <c r="D5217" s="74"/>
      <c r="E5217" s="67"/>
      <c r="F5217" s="75"/>
      <c r="G5217" s="67"/>
      <c r="H5217" s="68"/>
      <c r="I5217" s="76"/>
      <c r="J5217" s="67"/>
      <c r="K5217" s="7" t="s">
        <v>1103</v>
      </c>
      <c r="L5217" s="77"/>
      <c r="M5217" s="79"/>
      <c r="N5217" s="1"/>
      <c r="O5217" s="1"/>
      <c r="P5217" s="1"/>
      <c r="Q5217" s="1"/>
      <c r="R5217" s="1"/>
      <c r="S5217" s="1"/>
      <c r="T5217" s="1"/>
      <c r="U5217" s="1"/>
      <c r="V5217" s="1"/>
      <c r="W5217" s="1"/>
      <c r="X5217" s="1"/>
      <c r="Y5217" s="1"/>
      <c r="Z5217" s="1"/>
      <c r="AA5217" s="1"/>
      <c r="AB5217" s="1"/>
      <c r="AC5217" s="1"/>
      <c r="AD5217" s="1"/>
      <c r="AE5217" s="1"/>
      <c r="AF5217" s="1"/>
      <c r="AG5217" s="1"/>
      <c r="AH5217" s="1"/>
    </row>
    <row r="5218" ht="12.75" hidden="1" customHeight="1" outlineLevel="1">
      <c r="A5218" s="122">
        <v>41954.0</v>
      </c>
      <c r="B5218" s="1"/>
      <c r="C5218" s="1" t="s">
        <v>435</v>
      </c>
      <c r="D5218" s="74"/>
      <c r="E5218" s="67"/>
      <c r="F5218" s="75"/>
      <c r="G5218" s="67"/>
      <c r="H5218" s="68"/>
      <c r="I5218" s="76"/>
      <c r="J5218" s="67"/>
      <c r="K5218" s="7" t="s">
        <v>1507</v>
      </c>
      <c r="L5218" s="77"/>
      <c r="M5218" s="79"/>
      <c r="N5218" s="1"/>
      <c r="O5218" s="1"/>
      <c r="P5218" s="1"/>
      <c r="Q5218" s="1"/>
      <c r="R5218" s="1"/>
      <c r="S5218" s="1"/>
      <c r="T5218" s="1"/>
      <c r="U5218" s="1"/>
      <c r="V5218" s="1"/>
      <c r="W5218" s="1"/>
      <c r="X5218" s="1"/>
      <c r="Y5218" s="1"/>
      <c r="Z5218" s="1"/>
      <c r="AA5218" s="1"/>
      <c r="AB5218" s="1"/>
      <c r="AC5218" s="1"/>
      <c r="AD5218" s="1"/>
      <c r="AE5218" s="1"/>
      <c r="AF5218" s="1"/>
      <c r="AG5218" s="1"/>
      <c r="AH5218" s="1"/>
    </row>
    <row r="5219" ht="12.75" hidden="1" customHeight="1" outlineLevel="1">
      <c r="A5219" s="122">
        <v>41955.0</v>
      </c>
      <c r="B5219" s="32" t="s">
        <v>347</v>
      </c>
      <c r="C5219" s="32" t="s">
        <v>369</v>
      </c>
      <c r="D5219" s="708">
        <v>500.0</v>
      </c>
      <c r="E5219" s="195">
        <v>10.8201</v>
      </c>
      <c r="F5219" s="709">
        <v>0.5774768518518518</v>
      </c>
      <c r="G5219" s="195" t="s">
        <v>453</v>
      </c>
      <c r="H5219" s="710">
        <v>2.12</v>
      </c>
      <c r="I5219" s="256"/>
      <c r="J5219" s="67">
        <f t="shared" ref="J5219:J5221" si="325">IF(B5219="SLD",D5219*E5219,-D5219*E5219)-H5219</f>
        <v>5407.93</v>
      </c>
      <c r="K5219" s="7"/>
      <c r="L5219" s="70"/>
      <c r="M5219" s="79"/>
      <c r="N5219" s="32"/>
      <c r="O5219" s="32"/>
      <c r="P5219" s="32"/>
      <c r="Q5219" s="32"/>
      <c r="R5219" s="32"/>
      <c r="S5219" s="32"/>
      <c r="T5219" s="32"/>
      <c r="U5219" s="32"/>
      <c r="V5219" s="32"/>
      <c r="W5219" s="32"/>
      <c r="X5219" s="32"/>
      <c r="Y5219" s="32"/>
      <c r="Z5219" s="32"/>
      <c r="AA5219" s="32"/>
      <c r="AB5219" s="32"/>
      <c r="AC5219" s="32"/>
      <c r="AD5219" s="32"/>
      <c r="AE5219" s="32"/>
      <c r="AF5219" s="32"/>
      <c r="AG5219" s="32"/>
      <c r="AH5219" s="32"/>
    </row>
    <row r="5220" ht="12.75" hidden="1" customHeight="1" outlineLevel="1">
      <c r="A5220" s="122">
        <v>41955.0</v>
      </c>
      <c r="B5220" s="32" t="s">
        <v>347</v>
      </c>
      <c r="C5220" s="32" t="s">
        <v>790</v>
      </c>
      <c r="D5220" s="708">
        <v>500.0</v>
      </c>
      <c r="E5220" s="195">
        <v>10.59</v>
      </c>
      <c r="F5220" s="709">
        <v>0.5778935185185186</v>
      </c>
      <c r="G5220" s="195" t="s">
        <v>453</v>
      </c>
      <c r="H5220" s="710">
        <v>2.62</v>
      </c>
      <c r="I5220" s="256"/>
      <c r="J5220" s="67">
        <f t="shared" si="325"/>
        <v>5292.38</v>
      </c>
      <c r="K5220" s="7"/>
      <c r="L5220" s="70"/>
      <c r="M5220" s="79"/>
      <c r="N5220" s="32"/>
      <c r="O5220" s="32"/>
      <c r="P5220" s="32"/>
      <c r="Q5220" s="32"/>
      <c r="R5220" s="32"/>
      <c r="S5220" s="32"/>
      <c r="T5220" s="32"/>
      <c r="U5220" s="32"/>
      <c r="V5220" s="32"/>
      <c r="W5220" s="32"/>
      <c r="X5220" s="32"/>
      <c r="Y5220" s="32"/>
      <c r="Z5220" s="32"/>
      <c r="AA5220" s="32"/>
      <c r="AB5220" s="32"/>
      <c r="AC5220" s="32"/>
      <c r="AD5220" s="32"/>
      <c r="AE5220" s="32"/>
      <c r="AF5220" s="32"/>
      <c r="AG5220" s="32"/>
      <c r="AH5220" s="32"/>
    </row>
    <row r="5221" ht="12.75" hidden="1" customHeight="1" outlineLevel="1">
      <c r="A5221" s="122">
        <v>41955.0</v>
      </c>
      <c r="B5221" s="32" t="s">
        <v>347</v>
      </c>
      <c r="C5221" s="32" t="s">
        <v>784</v>
      </c>
      <c r="D5221" s="708">
        <v>700.0</v>
      </c>
      <c r="E5221" s="195">
        <v>8.821</v>
      </c>
      <c r="F5221" s="709">
        <v>0.5783449074074074</v>
      </c>
      <c r="G5221" s="195" t="s">
        <v>453</v>
      </c>
      <c r="H5221" s="710">
        <v>2.94</v>
      </c>
      <c r="I5221" s="256"/>
      <c r="J5221" s="67">
        <f t="shared" si="325"/>
        <v>6171.76</v>
      </c>
      <c r="K5221" s="7"/>
      <c r="L5221" s="70"/>
      <c r="M5221" s="79"/>
      <c r="N5221" s="32"/>
      <c r="O5221" s="32"/>
      <c r="P5221" s="32"/>
      <c r="Q5221" s="32"/>
      <c r="R5221" s="32"/>
      <c r="S5221" s="32"/>
      <c r="T5221" s="32"/>
      <c r="U5221" s="32"/>
      <c r="V5221" s="32"/>
      <c r="W5221" s="32"/>
      <c r="X5221" s="32"/>
      <c r="Y5221" s="32"/>
      <c r="Z5221" s="32"/>
      <c r="AA5221" s="32"/>
      <c r="AB5221" s="32"/>
      <c r="AC5221" s="32"/>
      <c r="AD5221" s="32"/>
      <c r="AE5221" s="32"/>
      <c r="AF5221" s="32"/>
      <c r="AG5221" s="32"/>
      <c r="AH5221" s="32"/>
    </row>
    <row r="5222" ht="12.75" hidden="1" customHeight="1" outlineLevel="1">
      <c r="A5222" s="122">
        <v>41955.0</v>
      </c>
      <c r="B5222" s="1"/>
      <c r="C5222" s="1" t="s">
        <v>339</v>
      </c>
      <c r="D5222" s="74"/>
      <c r="E5222" s="67"/>
      <c r="F5222" s="75"/>
      <c r="G5222" s="67"/>
      <c r="H5222" s="68"/>
      <c r="I5222" s="76"/>
      <c r="J5222" s="67"/>
      <c r="K5222" s="9" t="s">
        <v>2339</v>
      </c>
      <c r="L5222" s="77"/>
      <c r="M5222" s="79"/>
      <c r="N5222" s="1"/>
      <c r="O5222" s="1"/>
      <c r="P5222" s="1"/>
      <c r="Q5222" s="1"/>
      <c r="R5222" s="1"/>
      <c r="S5222" s="1"/>
      <c r="T5222" s="1"/>
      <c r="U5222" s="1"/>
      <c r="V5222" s="1"/>
      <c r="W5222" s="1"/>
      <c r="X5222" s="1"/>
      <c r="Y5222" s="1"/>
      <c r="Z5222" s="1"/>
      <c r="AA5222" s="1"/>
      <c r="AB5222" s="1"/>
      <c r="AC5222" s="1"/>
      <c r="AD5222" s="1"/>
      <c r="AE5222" s="1"/>
      <c r="AF5222" s="1"/>
      <c r="AG5222" s="1"/>
      <c r="AH5222" s="1"/>
    </row>
    <row r="5223" ht="12.75" hidden="1" customHeight="1" outlineLevel="1">
      <c r="A5223" s="122">
        <v>41955.0</v>
      </c>
      <c r="B5223" s="1"/>
      <c r="C5223" s="1" t="s">
        <v>429</v>
      </c>
      <c r="D5223" s="74"/>
      <c r="E5223" s="67"/>
      <c r="F5223" s="75"/>
      <c r="G5223" s="67"/>
      <c r="H5223" s="68"/>
      <c r="I5223" s="76"/>
      <c r="J5223" s="67"/>
      <c r="K5223" s="9" t="s">
        <v>2306</v>
      </c>
      <c r="L5223" s="77"/>
      <c r="M5223" s="79"/>
      <c r="N5223" s="1"/>
      <c r="O5223" s="1"/>
      <c r="P5223" s="1"/>
      <c r="Q5223" s="1"/>
      <c r="R5223" s="1"/>
      <c r="S5223" s="1"/>
      <c r="T5223" s="1"/>
      <c r="U5223" s="1"/>
      <c r="V5223" s="1"/>
      <c r="W5223" s="1"/>
      <c r="X5223" s="1"/>
      <c r="Y5223" s="1"/>
      <c r="Z5223" s="1"/>
      <c r="AA5223" s="1"/>
      <c r="AB5223" s="1"/>
      <c r="AC5223" s="1"/>
      <c r="AD5223" s="1"/>
      <c r="AE5223" s="1"/>
      <c r="AF5223" s="1"/>
      <c r="AG5223" s="1"/>
      <c r="AH5223" s="1"/>
    </row>
    <row r="5224" ht="12.75" hidden="1" customHeight="1" outlineLevel="1">
      <c r="A5224" s="122">
        <v>41955.0</v>
      </c>
      <c r="B5224" s="1"/>
      <c r="C5224" s="1" t="s">
        <v>431</v>
      </c>
      <c r="D5224" s="74"/>
      <c r="E5224" s="67"/>
      <c r="F5224" s="75"/>
      <c r="G5224" s="67"/>
      <c r="H5224" s="68"/>
      <c r="I5224" s="76"/>
      <c r="J5224" s="67"/>
      <c r="K5224" s="7" t="s">
        <v>1126</v>
      </c>
      <c r="L5224" s="77"/>
      <c r="M5224" s="79"/>
      <c r="N5224" s="1"/>
      <c r="O5224" s="1"/>
      <c r="P5224" s="1"/>
      <c r="Q5224" s="1"/>
      <c r="R5224" s="1"/>
      <c r="S5224" s="1"/>
      <c r="T5224" s="1"/>
      <c r="U5224" s="1"/>
      <c r="V5224" s="1"/>
      <c r="W5224" s="1"/>
      <c r="X5224" s="1"/>
      <c r="Y5224" s="1"/>
      <c r="Z5224" s="1"/>
      <c r="AA5224" s="1"/>
      <c r="AB5224" s="1"/>
      <c r="AC5224" s="1"/>
      <c r="AD5224" s="1"/>
      <c r="AE5224" s="1"/>
      <c r="AF5224" s="1"/>
      <c r="AG5224" s="1"/>
      <c r="AH5224" s="1"/>
    </row>
    <row r="5225" ht="12.75" hidden="1" customHeight="1" outlineLevel="1">
      <c r="A5225" s="122">
        <v>41955.0</v>
      </c>
      <c r="B5225" s="1"/>
      <c r="C5225" s="1" t="s">
        <v>433</v>
      </c>
      <c r="D5225" s="74"/>
      <c r="E5225" s="67"/>
      <c r="F5225" s="75"/>
      <c r="G5225" s="67"/>
      <c r="H5225" s="68"/>
      <c r="I5225" s="76"/>
      <c r="J5225" s="67"/>
      <c r="K5225" s="7" t="s">
        <v>1103</v>
      </c>
      <c r="L5225" s="77"/>
      <c r="M5225" s="79"/>
      <c r="N5225" s="1"/>
      <c r="O5225" s="1"/>
      <c r="P5225" s="1"/>
      <c r="Q5225" s="1"/>
      <c r="R5225" s="1"/>
      <c r="S5225" s="1"/>
      <c r="T5225" s="1"/>
      <c r="U5225" s="1"/>
      <c r="V5225" s="1"/>
      <c r="W5225" s="1"/>
      <c r="X5225" s="1"/>
      <c r="Y5225" s="1"/>
      <c r="Z5225" s="1"/>
      <c r="AA5225" s="1"/>
      <c r="AB5225" s="1"/>
      <c r="AC5225" s="1"/>
      <c r="AD5225" s="1"/>
      <c r="AE5225" s="1"/>
      <c r="AF5225" s="1"/>
      <c r="AG5225" s="1"/>
      <c r="AH5225" s="1"/>
    </row>
    <row r="5226" ht="12.75" hidden="1" customHeight="1" outlineLevel="1">
      <c r="A5226" s="122">
        <v>41955.0</v>
      </c>
      <c r="B5226" s="1"/>
      <c r="C5226" s="1" t="s">
        <v>435</v>
      </c>
      <c r="D5226" s="74"/>
      <c r="E5226" s="67"/>
      <c r="F5226" s="75"/>
      <c r="G5226" s="67"/>
      <c r="H5226" s="68"/>
      <c r="I5226" s="76"/>
      <c r="J5226" s="67"/>
      <c r="K5226" s="7" t="s">
        <v>1507</v>
      </c>
      <c r="L5226" s="77"/>
      <c r="M5226" s="79"/>
      <c r="N5226" s="1"/>
      <c r="O5226" s="1"/>
      <c r="P5226" s="1"/>
      <c r="Q5226" s="1"/>
      <c r="R5226" s="1"/>
      <c r="S5226" s="1"/>
      <c r="T5226" s="1"/>
      <c r="U5226" s="1"/>
      <c r="V5226" s="1"/>
      <c r="W5226" s="1"/>
      <c r="X5226" s="1"/>
      <c r="Y5226" s="1"/>
      <c r="Z5226" s="1"/>
      <c r="AA5226" s="1"/>
      <c r="AB5226" s="1"/>
      <c r="AC5226" s="1"/>
      <c r="AD5226" s="1"/>
      <c r="AE5226" s="1"/>
      <c r="AF5226" s="1"/>
      <c r="AG5226" s="1"/>
      <c r="AH5226" s="1"/>
    </row>
    <row r="5227" ht="12.75" hidden="1" customHeight="1" outlineLevel="1">
      <c r="A5227" s="122">
        <v>41956.0</v>
      </c>
      <c r="B5227" s="32" t="s">
        <v>343</v>
      </c>
      <c r="C5227" s="32" t="s">
        <v>2342</v>
      </c>
      <c r="D5227" s="708">
        <v>600.0</v>
      </c>
      <c r="E5227" s="195">
        <v>55.7376</v>
      </c>
      <c r="F5227" s="709">
        <v>0.44590277777777776</v>
      </c>
      <c r="G5227" s="195" t="s">
        <v>453</v>
      </c>
      <c r="H5227" s="710">
        <v>2.4</v>
      </c>
      <c r="I5227" s="256"/>
      <c r="J5227" s="67">
        <f t="shared" ref="J5227:J5228" si="326">IF(B5227="SLD",D5227*E5227,-D5227*E5227)-H5227</f>
        <v>-33444.96</v>
      </c>
      <c r="K5227" s="7"/>
      <c r="L5227" s="70"/>
      <c r="M5227" s="79"/>
      <c r="N5227" s="32"/>
      <c r="O5227" s="32"/>
      <c r="P5227" s="32"/>
      <c r="Q5227" s="32"/>
      <c r="R5227" s="32"/>
      <c r="S5227" s="32"/>
      <c r="T5227" s="32"/>
      <c r="U5227" s="32"/>
      <c r="V5227" s="32"/>
      <c r="W5227" s="32"/>
      <c r="X5227" s="32"/>
      <c r="Y5227" s="32"/>
      <c r="Z5227" s="32"/>
      <c r="AA5227" s="32"/>
      <c r="AB5227" s="32"/>
      <c r="AC5227" s="32"/>
      <c r="AD5227" s="32"/>
      <c r="AE5227" s="32"/>
      <c r="AF5227" s="32"/>
      <c r="AG5227" s="32"/>
      <c r="AH5227" s="32"/>
    </row>
    <row r="5228" ht="12.75" hidden="1" customHeight="1" outlineLevel="1">
      <c r="A5228" s="122">
        <v>41956.0</v>
      </c>
      <c r="B5228" s="32" t="s">
        <v>347</v>
      </c>
      <c r="C5228" s="32" t="s">
        <v>605</v>
      </c>
      <c r="D5228" s="708">
        <v>400.0</v>
      </c>
      <c r="E5228" s="195">
        <v>70.9548</v>
      </c>
      <c r="F5228" s="709">
        <v>0.48667824074074073</v>
      </c>
      <c r="G5228" s="195" t="s">
        <v>453</v>
      </c>
      <c r="H5228" s="710">
        <v>2.23</v>
      </c>
      <c r="I5228" s="256"/>
      <c r="J5228" s="67">
        <f t="shared" si="326"/>
        <v>28379.69</v>
      </c>
      <c r="K5228" s="7"/>
      <c r="L5228" s="70"/>
      <c r="M5228" s="79"/>
      <c r="N5228" s="32"/>
      <c r="O5228" s="32"/>
      <c r="P5228" s="32"/>
      <c r="Q5228" s="32"/>
      <c r="R5228" s="32"/>
      <c r="S5228" s="32"/>
      <c r="T5228" s="32"/>
      <c r="U5228" s="32"/>
      <c r="V5228" s="32"/>
      <c r="W5228" s="32"/>
      <c r="X5228" s="32"/>
      <c r="Y5228" s="32"/>
      <c r="Z5228" s="32"/>
      <c r="AA5228" s="32"/>
      <c r="AB5228" s="32"/>
      <c r="AC5228" s="32"/>
      <c r="AD5228" s="32"/>
      <c r="AE5228" s="32"/>
      <c r="AF5228" s="32"/>
      <c r="AG5228" s="32"/>
      <c r="AH5228" s="32"/>
    </row>
    <row r="5229" ht="12.75" hidden="1" customHeight="1" outlineLevel="1">
      <c r="A5229" s="122">
        <v>41956.0</v>
      </c>
      <c r="B5229" s="1"/>
      <c r="C5229" s="1" t="s">
        <v>339</v>
      </c>
      <c r="D5229" s="74"/>
      <c r="E5229" s="67"/>
      <c r="F5229" s="75"/>
      <c r="G5229" s="67"/>
      <c r="H5229" s="68"/>
      <c r="I5229" s="76"/>
      <c r="J5229" s="67"/>
      <c r="K5229" s="9" t="s">
        <v>2344</v>
      </c>
      <c r="L5229" s="77"/>
      <c r="M5229" s="79"/>
      <c r="N5229" s="1"/>
      <c r="O5229" s="1"/>
      <c r="P5229" s="1"/>
      <c r="Q5229" s="1"/>
      <c r="R5229" s="1"/>
      <c r="S5229" s="1"/>
      <c r="T5229" s="1"/>
      <c r="U5229" s="1"/>
      <c r="V5229" s="1"/>
      <c r="W5229" s="1"/>
      <c r="X5229" s="1"/>
      <c r="Y5229" s="1"/>
      <c r="Z5229" s="1"/>
      <c r="AA5229" s="1"/>
      <c r="AB5229" s="1"/>
      <c r="AC5229" s="1"/>
      <c r="AD5229" s="1"/>
      <c r="AE5229" s="1"/>
      <c r="AF5229" s="1"/>
      <c r="AG5229" s="1"/>
      <c r="AH5229" s="1"/>
    </row>
    <row r="5230" ht="12.75" hidden="1" customHeight="1" outlineLevel="1">
      <c r="A5230" s="122">
        <v>41956.0</v>
      </c>
      <c r="B5230" s="1"/>
      <c r="C5230" s="1" t="s">
        <v>429</v>
      </c>
      <c r="D5230" s="74"/>
      <c r="E5230" s="67"/>
      <c r="F5230" s="75"/>
      <c r="G5230" s="67"/>
      <c r="H5230" s="68"/>
      <c r="I5230" s="76"/>
      <c r="J5230" s="67"/>
      <c r="K5230" s="9" t="s">
        <v>2306</v>
      </c>
      <c r="L5230" s="77"/>
      <c r="M5230" s="79"/>
      <c r="N5230" s="1"/>
      <c r="O5230" s="1"/>
      <c r="P5230" s="1"/>
      <c r="Q5230" s="1"/>
      <c r="R5230" s="1"/>
      <c r="S5230" s="1"/>
      <c r="T5230" s="1"/>
      <c r="U5230" s="1"/>
      <c r="V5230" s="1"/>
      <c r="W5230" s="1"/>
      <c r="X5230" s="1"/>
      <c r="Y5230" s="1"/>
      <c r="Z5230" s="1"/>
      <c r="AA5230" s="1"/>
      <c r="AB5230" s="1"/>
      <c r="AC5230" s="1"/>
      <c r="AD5230" s="1"/>
      <c r="AE5230" s="1"/>
      <c r="AF5230" s="1"/>
      <c r="AG5230" s="1"/>
      <c r="AH5230" s="1"/>
    </row>
    <row r="5231" ht="12.75" hidden="1" customHeight="1" outlineLevel="1">
      <c r="A5231" s="122">
        <v>41956.0</v>
      </c>
      <c r="B5231" s="1"/>
      <c r="C5231" s="1" t="s">
        <v>431</v>
      </c>
      <c r="D5231" s="74"/>
      <c r="E5231" s="67"/>
      <c r="F5231" s="75"/>
      <c r="G5231" s="67"/>
      <c r="H5231" s="68"/>
      <c r="I5231" s="76"/>
      <c r="J5231" s="67"/>
      <c r="K5231" s="7" t="s">
        <v>1126</v>
      </c>
      <c r="L5231" s="77"/>
      <c r="M5231" s="79"/>
      <c r="N5231" s="1"/>
      <c r="O5231" s="1"/>
      <c r="P5231" s="1"/>
      <c r="Q5231" s="1"/>
      <c r="R5231" s="1"/>
      <c r="S5231" s="1"/>
      <c r="T5231" s="1"/>
      <c r="U5231" s="1"/>
      <c r="V5231" s="1"/>
      <c r="W5231" s="1"/>
      <c r="X5231" s="1"/>
      <c r="Y5231" s="1"/>
      <c r="Z5231" s="1"/>
      <c r="AA5231" s="1"/>
      <c r="AB5231" s="1"/>
      <c r="AC5231" s="1"/>
      <c r="AD5231" s="1"/>
      <c r="AE5231" s="1"/>
      <c r="AF5231" s="1"/>
      <c r="AG5231" s="1"/>
      <c r="AH5231" s="1"/>
    </row>
    <row r="5232" ht="12.75" hidden="1" customHeight="1" outlineLevel="1">
      <c r="A5232" s="122">
        <v>41956.0</v>
      </c>
      <c r="B5232" s="1"/>
      <c r="C5232" s="1" t="s">
        <v>433</v>
      </c>
      <c r="D5232" s="74"/>
      <c r="E5232" s="67"/>
      <c r="F5232" s="75"/>
      <c r="G5232" s="67"/>
      <c r="H5232" s="68"/>
      <c r="I5232" s="76"/>
      <c r="J5232" s="67"/>
      <c r="K5232" s="7" t="s">
        <v>1103</v>
      </c>
      <c r="L5232" s="77"/>
      <c r="M5232" s="79"/>
      <c r="N5232" s="1"/>
      <c r="O5232" s="1"/>
      <c r="P5232" s="1"/>
      <c r="Q5232" s="1"/>
      <c r="R5232" s="1"/>
      <c r="S5232" s="1"/>
      <c r="T5232" s="1"/>
      <c r="U5232" s="1"/>
      <c r="V5232" s="1"/>
      <c r="W5232" s="1"/>
      <c r="X5232" s="1"/>
      <c r="Y5232" s="1"/>
      <c r="Z5232" s="1"/>
      <c r="AA5232" s="1"/>
      <c r="AB5232" s="1"/>
      <c r="AC5232" s="1"/>
      <c r="AD5232" s="1"/>
      <c r="AE5232" s="1"/>
      <c r="AF5232" s="1"/>
      <c r="AG5232" s="1"/>
      <c r="AH5232" s="1"/>
    </row>
    <row r="5233" ht="12.75" hidden="1" customHeight="1" outlineLevel="1">
      <c r="A5233" s="122">
        <v>41956.0</v>
      </c>
      <c r="B5233" s="1"/>
      <c r="C5233" s="1" t="s">
        <v>435</v>
      </c>
      <c r="D5233" s="74"/>
      <c r="E5233" s="67"/>
      <c r="F5233" s="75"/>
      <c r="G5233" s="67"/>
      <c r="H5233" s="68"/>
      <c r="I5233" s="76"/>
      <c r="J5233" s="67"/>
      <c r="K5233" s="7" t="s">
        <v>1507</v>
      </c>
      <c r="L5233" s="77"/>
      <c r="M5233" s="79"/>
      <c r="N5233" s="1"/>
      <c r="O5233" s="1"/>
      <c r="P5233" s="1"/>
      <c r="Q5233" s="1"/>
      <c r="R5233" s="1"/>
      <c r="S5233" s="1"/>
      <c r="T5233" s="1"/>
      <c r="U5233" s="1"/>
      <c r="V5233" s="1"/>
      <c r="W5233" s="1"/>
      <c r="X5233" s="1"/>
      <c r="Y5233" s="1"/>
      <c r="Z5233" s="1"/>
      <c r="AA5233" s="1"/>
      <c r="AB5233" s="1"/>
      <c r="AC5233" s="1"/>
      <c r="AD5233" s="1"/>
      <c r="AE5233" s="1"/>
      <c r="AF5233" s="1"/>
      <c r="AG5233" s="1"/>
      <c r="AH5233" s="1"/>
    </row>
    <row r="5234" ht="12.75" hidden="1" customHeight="1" outlineLevel="1">
      <c r="A5234" s="122">
        <v>41957.0</v>
      </c>
      <c r="B5234" s="32" t="s">
        <v>343</v>
      </c>
      <c r="C5234" s="32" t="s">
        <v>605</v>
      </c>
      <c r="D5234" s="708">
        <v>400.0</v>
      </c>
      <c r="E5234" s="195">
        <v>71.517</v>
      </c>
      <c r="F5234" s="709">
        <v>0.4055902777777778</v>
      </c>
      <c r="G5234" s="195" t="s">
        <v>453</v>
      </c>
      <c r="H5234" s="710">
        <v>1.6</v>
      </c>
      <c r="I5234" s="256"/>
      <c r="J5234" s="67">
        <f>IF(B5234="SLD",D5234*E5234,-D5234*E5234)-H5234</f>
        <v>-28608.4</v>
      </c>
      <c r="K5234" s="7"/>
      <c r="L5234" s="70"/>
      <c r="M5234" s="79"/>
      <c r="N5234" s="32"/>
      <c r="O5234" s="32"/>
      <c r="P5234" s="32"/>
      <c r="Q5234" s="32"/>
      <c r="R5234" s="32"/>
      <c r="S5234" s="32"/>
      <c r="T5234" s="32"/>
      <c r="U5234" s="32"/>
      <c r="V5234" s="32"/>
      <c r="W5234" s="32"/>
      <c r="X5234" s="32"/>
      <c r="Y5234" s="32"/>
      <c r="Z5234" s="32"/>
      <c r="AA5234" s="32"/>
      <c r="AB5234" s="32"/>
      <c r="AC5234" s="32"/>
      <c r="AD5234" s="32"/>
      <c r="AE5234" s="32"/>
      <c r="AF5234" s="32"/>
      <c r="AG5234" s="32"/>
      <c r="AH5234" s="32"/>
    </row>
    <row r="5235" ht="12.75" hidden="1" customHeight="1" outlineLevel="1">
      <c r="A5235" s="122">
        <v>41958.0</v>
      </c>
      <c r="B5235" s="1"/>
      <c r="C5235" s="1" t="s">
        <v>339</v>
      </c>
      <c r="D5235" s="74"/>
      <c r="E5235" s="67"/>
      <c r="F5235" s="75"/>
      <c r="G5235" s="67"/>
      <c r="H5235" s="68"/>
      <c r="I5235" s="76"/>
      <c r="J5235" s="67"/>
      <c r="K5235" s="9" t="s">
        <v>2357</v>
      </c>
      <c r="L5235" s="77"/>
      <c r="M5235" s="79"/>
      <c r="N5235" s="1"/>
      <c r="O5235" s="1"/>
      <c r="P5235" s="1"/>
      <c r="Q5235" s="1"/>
      <c r="R5235" s="1"/>
      <c r="S5235" s="1"/>
      <c r="T5235" s="1"/>
      <c r="U5235" s="1"/>
      <c r="V5235" s="1"/>
      <c r="W5235" s="1"/>
      <c r="X5235" s="1"/>
      <c r="Y5235" s="1"/>
      <c r="Z5235" s="1"/>
      <c r="AA5235" s="1"/>
      <c r="AB5235" s="1"/>
      <c r="AC5235" s="1"/>
      <c r="AD5235" s="1"/>
      <c r="AE5235" s="1"/>
      <c r="AF5235" s="1"/>
      <c r="AG5235" s="1"/>
      <c r="AH5235" s="1"/>
    </row>
    <row r="5236" ht="12.75" hidden="1" customHeight="1" outlineLevel="1">
      <c r="A5236" s="122">
        <v>41958.0</v>
      </c>
      <c r="B5236" s="1"/>
      <c r="C5236" s="1" t="s">
        <v>429</v>
      </c>
      <c r="D5236" s="74"/>
      <c r="E5236" s="67"/>
      <c r="F5236" s="75"/>
      <c r="G5236" s="67"/>
      <c r="H5236" s="68"/>
      <c r="I5236" s="76"/>
      <c r="J5236" s="67"/>
      <c r="K5236" s="9" t="s">
        <v>2358</v>
      </c>
      <c r="L5236" s="77"/>
      <c r="M5236" s="79"/>
      <c r="N5236" s="1"/>
      <c r="O5236" s="1"/>
      <c r="P5236" s="1"/>
      <c r="Q5236" s="1"/>
      <c r="R5236" s="1"/>
      <c r="S5236" s="1"/>
      <c r="T5236" s="1"/>
      <c r="U5236" s="1"/>
      <c r="V5236" s="1"/>
      <c r="W5236" s="1"/>
      <c r="X5236" s="1"/>
      <c r="Y5236" s="1"/>
      <c r="Z5236" s="1"/>
      <c r="AA5236" s="1"/>
      <c r="AB5236" s="1"/>
      <c r="AC5236" s="1"/>
      <c r="AD5236" s="1"/>
      <c r="AE5236" s="1"/>
      <c r="AF5236" s="1"/>
      <c r="AG5236" s="1"/>
      <c r="AH5236" s="1"/>
    </row>
    <row r="5237" ht="12.75" hidden="1" customHeight="1" outlineLevel="1">
      <c r="A5237" s="122">
        <v>41958.0</v>
      </c>
      <c r="B5237" s="1"/>
      <c r="C5237" s="1" t="s">
        <v>431</v>
      </c>
      <c r="D5237" s="74"/>
      <c r="E5237" s="67"/>
      <c r="F5237" s="75"/>
      <c r="G5237" s="67"/>
      <c r="H5237" s="68"/>
      <c r="I5237" s="76"/>
      <c r="J5237" s="67"/>
      <c r="K5237" s="7" t="s">
        <v>1126</v>
      </c>
      <c r="L5237" s="77"/>
      <c r="M5237" s="79"/>
      <c r="N5237" s="1"/>
      <c r="O5237" s="1"/>
      <c r="P5237" s="1"/>
      <c r="Q5237" s="1"/>
      <c r="R5237" s="1"/>
      <c r="S5237" s="1"/>
      <c r="T5237" s="1"/>
      <c r="U5237" s="1"/>
      <c r="V5237" s="1"/>
      <c r="W5237" s="1"/>
      <c r="X5237" s="1"/>
      <c r="Y5237" s="1"/>
      <c r="Z5237" s="1"/>
      <c r="AA5237" s="1"/>
      <c r="AB5237" s="1"/>
      <c r="AC5237" s="1"/>
      <c r="AD5237" s="1"/>
      <c r="AE5237" s="1"/>
      <c r="AF5237" s="1"/>
      <c r="AG5237" s="1"/>
      <c r="AH5237" s="1"/>
    </row>
    <row r="5238" ht="12.75" hidden="1" customHeight="1" outlineLevel="1">
      <c r="A5238" s="122">
        <v>41958.0</v>
      </c>
      <c r="B5238" s="1"/>
      <c r="C5238" s="1" t="s">
        <v>433</v>
      </c>
      <c r="D5238" s="74"/>
      <c r="E5238" s="67"/>
      <c r="F5238" s="75"/>
      <c r="G5238" s="67"/>
      <c r="H5238" s="68"/>
      <c r="I5238" s="76"/>
      <c r="J5238" s="67"/>
      <c r="K5238" s="7" t="s">
        <v>1103</v>
      </c>
      <c r="L5238" s="77"/>
      <c r="M5238" s="79"/>
      <c r="N5238" s="1"/>
      <c r="O5238" s="1"/>
      <c r="P5238" s="1"/>
      <c r="Q5238" s="1"/>
      <c r="R5238" s="1"/>
      <c r="S5238" s="1"/>
      <c r="T5238" s="1"/>
      <c r="U5238" s="1"/>
      <c r="V5238" s="1"/>
      <c r="W5238" s="1"/>
      <c r="X5238" s="1"/>
      <c r="Y5238" s="1"/>
      <c r="Z5238" s="1"/>
      <c r="AA5238" s="1"/>
      <c r="AB5238" s="1"/>
      <c r="AC5238" s="1"/>
      <c r="AD5238" s="1"/>
      <c r="AE5238" s="1"/>
      <c r="AF5238" s="1"/>
      <c r="AG5238" s="1"/>
      <c r="AH5238" s="1"/>
    </row>
    <row r="5239" ht="12.75" hidden="1" customHeight="1" outlineLevel="1">
      <c r="A5239" s="122">
        <v>41958.0</v>
      </c>
      <c r="B5239" s="1"/>
      <c r="C5239" s="1" t="s">
        <v>435</v>
      </c>
      <c r="D5239" s="74"/>
      <c r="E5239" s="67"/>
      <c r="F5239" s="75"/>
      <c r="G5239" s="67"/>
      <c r="H5239" s="68"/>
      <c r="I5239" s="76"/>
      <c r="J5239" s="67"/>
      <c r="K5239" s="7" t="s">
        <v>1507</v>
      </c>
      <c r="L5239" s="77"/>
      <c r="M5239" s="79"/>
      <c r="N5239" s="1"/>
      <c r="O5239" s="1"/>
      <c r="P5239" s="1"/>
      <c r="Q5239" s="1"/>
      <c r="R5239" s="1"/>
      <c r="S5239" s="1"/>
      <c r="T5239" s="1"/>
      <c r="U5239" s="1"/>
      <c r="V5239" s="1"/>
      <c r="W5239" s="1"/>
      <c r="X5239" s="1"/>
      <c r="Y5239" s="1"/>
      <c r="Z5239" s="1"/>
      <c r="AA5239" s="1"/>
      <c r="AB5239" s="1"/>
      <c r="AC5239" s="1"/>
      <c r="AD5239" s="1"/>
      <c r="AE5239" s="1"/>
      <c r="AF5239" s="1"/>
      <c r="AG5239" s="1"/>
      <c r="AH5239" s="1"/>
    </row>
    <row r="5240" ht="12.75" hidden="1" customHeight="1" outlineLevel="1">
      <c r="A5240" s="122">
        <v>41960.0</v>
      </c>
      <c r="B5240" s="32" t="s">
        <v>343</v>
      </c>
      <c r="C5240" s="32" t="s">
        <v>2342</v>
      </c>
      <c r="D5240" s="708">
        <v>100.0</v>
      </c>
      <c r="E5240" s="195">
        <v>55.23</v>
      </c>
      <c r="F5240" s="709">
        <v>0.4624421296296296</v>
      </c>
      <c r="G5240" s="195" t="s">
        <v>453</v>
      </c>
      <c r="H5240" s="710">
        <v>1.0</v>
      </c>
      <c r="I5240" s="256"/>
      <c r="J5240" s="67">
        <f t="shared" ref="J5240:J5246" si="327">IF(B5240="SLD",D5240*E5240,-D5240*E5240)-H5240</f>
        <v>-5524</v>
      </c>
      <c r="K5240" s="7"/>
      <c r="L5240" s="70"/>
      <c r="M5240" s="79"/>
      <c r="N5240" s="32"/>
      <c r="O5240" s="32"/>
      <c r="P5240" s="32"/>
      <c r="Q5240" s="32"/>
      <c r="R5240" s="32"/>
      <c r="S5240" s="32"/>
      <c r="T5240" s="32"/>
      <c r="U5240" s="32"/>
      <c r="V5240" s="32"/>
      <c r="W5240" s="32"/>
      <c r="X5240" s="32"/>
      <c r="Y5240" s="32"/>
      <c r="Z5240" s="32"/>
      <c r="AA5240" s="32"/>
      <c r="AB5240" s="32"/>
      <c r="AC5240" s="32"/>
      <c r="AD5240" s="32"/>
      <c r="AE5240" s="32"/>
      <c r="AF5240" s="32"/>
      <c r="AG5240" s="32"/>
      <c r="AH5240" s="32"/>
    </row>
    <row r="5241" ht="12.75" hidden="1" customHeight="1" outlineLevel="1">
      <c r="A5241" s="122">
        <v>41960.0</v>
      </c>
      <c r="B5241" s="32" t="s">
        <v>343</v>
      </c>
      <c r="C5241" s="32" t="s">
        <v>605</v>
      </c>
      <c r="D5241" s="708">
        <v>100.0</v>
      </c>
      <c r="E5241" s="195">
        <v>72.76</v>
      </c>
      <c r="F5241" s="709">
        <v>0.46230324074074075</v>
      </c>
      <c r="G5241" s="195" t="s">
        <v>453</v>
      </c>
      <c r="H5241" s="710">
        <v>1.0</v>
      </c>
      <c r="I5241" s="256"/>
      <c r="J5241" s="67">
        <f t="shared" si="327"/>
        <v>-7277</v>
      </c>
      <c r="K5241" s="7"/>
      <c r="L5241" s="70"/>
      <c r="M5241" s="79"/>
      <c r="N5241" s="32"/>
      <c r="O5241" s="32"/>
      <c r="P5241" s="32"/>
      <c r="Q5241" s="32"/>
      <c r="R5241" s="32"/>
      <c r="S5241" s="32"/>
      <c r="T5241" s="32"/>
      <c r="U5241" s="32"/>
      <c r="V5241" s="32"/>
      <c r="W5241" s="32"/>
      <c r="X5241" s="32"/>
      <c r="Y5241" s="32"/>
      <c r="Z5241" s="32"/>
      <c r="AA5241" s="32"/>
      <c r="AB5241" s="32"/>
      <c r="AC5241" s="32"/>
      <c r="AD5241" s="32"/>
      <c r="AE5241" s="32"/>
      <c r="AF5241" s="32"/>
      <c r="AG5241" s="32"/>
      <c r="AH5241" s="32"/>
    </row>
    <row r="5242" ht="12.75" hidden="1" customHeight="1" outlineLevel="1">
      <c r="A5242" s="122">
        <v>41960.0</v>
      </c>
      <c r="B5242" s="32" t="s">
        <v>343</v>
      </c>
      <c r="C5242" s="32" t="s">
        <v>2377</v>
      </c>
      <c r="D5242" s="708">
        <v>700.0</v>
      </c>
      <c r="E5242" s="195">
        <v>46.89</v>
      </c>
      <c r="F5242" s="709">
        <v>0.4037384259259259</v>
      </c>
      <c r="G5242" s="195" t="s">
        <v>453</v>
      </c>
      <c r="H5242" s="710">
        <v>3.5</v>
      </c>
      <c r="I5242" s="256"/>
      <c r="J5242" s="67">
        <f t="shared" si="327"/>
        <v>-32826.5</v>
      </c>
      <c r="K5242" s="7"/>
      <c r="L5242" s="70"/>
      <c r="M5242" s="79"/>
      <c r="N5242" s="32"/>
      <c r="O5242" s="32"/>
      <c r="P5242" s="32"/>
      <c r="Q5242" s="32"/>
      <c r="R5242" s="32"/>
      <c r="S5242" s="32"/>
      <c r="T5242" s="32"/>
      <c r="U5242" s="32"/>
      <c r="V5242" s="32"/>
      <c r="W5242" s="32"/>
      <c r="X5242" s="32"/>
      <c r="Y5242" s="32"/>
      <c r="Z5242" s="32"/>
      <c r="AA5242" s="32"/>
      <c r="AB5242" s="32"/>
      <c r="AC5242" s="32"/>
      <c r="AD5242" s="32"/>
      <c r="AE5242" s="32"/>
      <c r="AF5242" s="32"/>
      <c r="AG5242" s="32"/>
      <c r="AH5242" s="32"/>
    </row>
    <row r="5243" ht="12.75" hidden="1" customHeight="1" outlineLevel="1">
      <c r="A5243" s="122">
        <v>41960.0</v>
      </c>
      <c r="B5243" s="32" t="s">
        <v>343</v>
      </c>
      <c r="C5243" s="32" t="s">
        <v>1495</v>
      </c>
      <c r="D5243" s="708">
        <v>700.0</v>
      </c>
      <c r="E5243" s="195">
        <v>43.919</v>
      </c>
      <c r="F5243" s="709">
        <v>0.5042592592592593</v>
      </c>
      <c r="G5243" s="195" t="s">
        <v>453</v>
      </c>
      <c r="H5243" s="710">
        <v>2.8</v>
      </c>
      <c r="I5243" s="256"/>
      <c r="J5243" s="67">
        <f t="shared" si="327"/>
        <v>-30746.1</v>
      </c>
      <c r="K5243" s="7"/>
      <c r="L5243" s="70"/>
      <c r="M5243" s="79"/>
      <c r="N5243" s="32"/>
      <c r="O5243" s="32"/>
      <c r="P5243" s="32"/>
      <c r="Q5243" s="32"/>
      <c r="R5243" s="32"/>
      <c r="S5243" s="32"/>
      <c r="T5243" s="32"/>
      <c r="U5243" s="32"/>
      <c r="V5243" s="32"/>
      <c r="W5243" s="32"/>
      <c r="X5243" s="32"/>
      <c r="Y5243" s="32"/>
      <c r="Z5243" s="32"/>
      <c r="AA5243" s="32"/>
      <c r="AB5243" s="32"/>
      <c r="AC5243" s="32"/>
      <c r="AD5243" s="32"/>
      <c r="AE5243" s="32"/>
      <c r="AF5243" s="32"/>
      <c r="AG5243" s="32"/>
      <c r="AH5243" s="32"/>
    </row>
    <row r="5244" ht="12.75" hidden="1" customHeight="1" outlineLevel="1">
      <c r="A5244" s="122">
        <v>41960.0</v>
      </c>
      <c r="B5244" s="32" t="s">
        <v>347</v>
      </c>
      <c r="C5244" s="32" t="s">
        <v>1082</v>
      </c>
      <c r="D5244" s="708">
        <v>10.0</v>
      </c>
      <c r="E5244" s="195">
        <v>568.75</v>
      </c>
      <c r="F5244" s="709">
        <v>0.49626157407407406</v>
      </c>
      <c r="G5244" s="195" t="s">
        <v>453</v>
      </c>
      <c r="H5244" s="710">
        <v>1.13</v>
      </c>
      <c r="I5244" s="256"/>
      <c r="J5244" s="67">
        <f t="shared" si="327"/>
        <v>5686.37</v>
      </c>
      <c r="K5244" s="7"/>
      <c r="L5244" s="70"/>
      <c r="M5244" s="79"/>
      <c r="N5244" s="32"/>
      <c r="O5244" s="32"/>
      <c r="P5244" s="32"/>
      <c r="Q5244" s="32"/>
      <c r="R5244" s="32"/>
      <c r="S5244" s="32"/>
      <c r="T5244" s="32"/>
      <c r="U5244" s="32"/>
      <c r="V5244" s="32"/>
      <c r="W5244" s="32"/>
      <c r="X5244" s="32"/>
      <c r="Y5244" s="32"/>
      <c r="Z5244" s="32"/>
      <c r="AA5244" s="32"/>
      <c r="AB5244" s="32"/>
      <c r="AC5244" s="32"/>
      <c r="AD5244" s="32"/>
      <c r="AE5244" s="32"/>
      <c r="AF5244" s="32"/>
      <c r="AG5244" s="32"/>
      <c r="AH5244" s="32"/>
    </row>
    <row r="5245" ht="12.75" hidden="1" customHeight="1" outlineLevel="1">
      <c r="A5245" s="122">
        <v>41960.0</v>
      </c>
      <c r="B5245" s="32" t="s">
        <v>347</v>
      </c>
      <c r="C5245" s="32" t="s">
        <v>356</v>
      </c>
      <c r="D5245" s="708">
        <v>15.0</v>
      </c>
      <c r="E5245" s="195">
        <v>384.01</v>
      </c>
      <c r="F5245" s="709">
        <v>0.4903472222222222</v>
      </c>
      <c r="G5245" s="195" t="s">
        <v>453</v>
      </c>
      <c r="H5245" s="710">
        <v>1.13</v>
      </c>
      <c r="I5245" s="256"/>
      <c r="J5245" s="67">
        <f t="shared" si="327"/>
        <v>5759.02</v>
      </c>
      <c r="K5245" s="7"/>
      <c r="L5245" s="70"/>
      <c r="M5245" s="79"/>
      <c r="N5245" s="32"/>
      <c r="O5245" s="32"/>
      <c r="P5245" s="32"/>
      <c r="Q5245" s="32"/>
      <c r="R5245" s="32"/>
      <c r="S5245" s="32"/>
      <c r="T5245" s="32"/>
      <c r="U5245" s="32"/>
      <c r="V5245" s="32"/>
      <c r="W5245" s="32"/>
      <c r="X5245" s="32"/>
      <c r="Y5245" s="32"/>
      <c r="Z5245" s="32"/>
      <c r="AA5245" s="32"/>
      <c r="AB5245" s="32"/>
      <c r="AC5245" s="32"/>
      <c r="AD5245" s="32"/>
      <c r="AE5245" s="32"/>
      <c r="AF5245" s="32"/>
      <c r="AG5245" s="32"/>
      <c r="AH5245" s="32"/>
    </row>
    <row r="5246" ht="12.75" hidden="1" customHeight="1" outlineLevel="1">
      <c r="A5246" s="122">
        <v>41960.0</v>
      </c>
      <c r="B5246" s="32" t="s">
        <v>347</v>
      </c>
      <c r="C5246" s="32" t="s">
        <v>1357</v>
      </c>
      <c r="D5246" s="708">
        <v>200.0</v>
      </c>
      <c r="E5246" s="195">
        <v>37.09</v>
      </c>
      <c r="F5246" s="709">
        <v>0.48086805555555556</v>
      </c>
      <c r="G5246" s="195" t="s">
        <v>453</v>
      </c>
      <c r="H5246" s="710">
        <v>1.16</v>
      </c>
      <c r="I5246" s="256"/>
      <c r="J5246" s="67">
        <f t="shared" si="327"/>
        <v>7416.84</v>
      </c>
      <c r="K5246" s="7"/>
      <c r="L5246" s="70"/>
      <c r="M5246" s="79"/>
      <c r="N5246" s="32"/>
      <c r="O5246" s="32"/>
      <c r="P5246" s="32"/>
      <c r="Q5246" s="32"/>
      <c r="R5246" s="32"/>
      <c r="S5246" s="32"/>
      <c r="T5246" s="32"/>
      <c r="U5246" s="32"/>
      <c r="V5246" s="32"/>
      <c r="W5246" s="32"/>
      <c r="X5246" s="32"/>
      <c r="Y5246" s="32"/>
      <c r="Z5246" s="32"/>
      <c r="AA5246" s="32"/>
      <c r="AB5246" s="32"/>
      <c r="AC5246" s="32"/>
      <c r="AD5246" s="32"/>
      <c r="AE5246" s="32"/>
      <c r="AF5246" s="32"/>
      <c r="AG5246" s="32"/>
      <c r="AH5246" s="32"/>
    </row>
    <row r="5247" ht="12.75" hidden="1" customHeight="1" outlineLevel="1">
      <c r="A5247" s="122">
        <v>41960.0</v>
      </c>
      <c r="B5247" s="1"/>
      <c r="C5247" s="1" t="s">
        <v>339</v>
      </c>
      <c r="D5247" s="74"/>
      <c r="E5247" s="67"/>
      <c r="F5247" s="75"/>
      <c r="G5247" s="67"/>
      <c r="H5247" s="68"/>
      <c r="I5247" s="76"/>
      <c r="J5247" s="67"/>
      <c r="K5247" s="9" t="s">
        <v>2383</v>
      </c>
      <c r="L5247" s="77"/>
      <c r="M5247" s="79"/>
      <c r="N5247" s="1"/>
      <c r="O5247" s="1"/>
      <c r="P5247" s="1"/>
      <c r="Q5247" s="1"/>
      <c r="R5247" s="1"/>
      <c r="S5247" s="1"/>
      <c r="T5247" s="1"/>
      <c r="U5247" s="1"/>
      <c r="V5247" s="1"/>
      <c r="W5247" s="1"/>
      <c r="X5247" s="1"/>
      <c r="Y5247" s="1"/>
      <c r="Z5247" s="1"/>
      <c r="AA5247" s="1"/>
      <c r="AB5247" s="1"/>
      <c r="AC5247" s="1"/>
      <c r="AD5247" s="1"/>
      <c r="AE5247" s="1"/>
      <c r="AF5247" s="1"/>
      <c r="AG5247" s="1"/>
      <c r="AH5247" s="1"/>
    </row>
    <row r="5248" ht="12.75" hidden="1" customHeight="1" outlineLevel="1">
      <c r="A5248" s="122">
        <v>41960.0</v>
      </c>
      <c r="B5248" s="1"/>
      <c r="C5248" s="1" t="s">
        <v>429</v>
      </c>
      <c r="D5248" s="74"/>
      <c r="E5248" s="67"/>
      <c r="F5248" s="75"/>
      <c r="G5248" s="67"/>
      <c r="H5248" s="68"/>
      <c r="I5248" s="76"/>
      <c r="J5248" s="67"/>
      <c r="K5248" s="9" t="s">
        <v>2358</v>
      </c>
      <c r="L5248" s="77"/>
      <c r="M5248" s="79"/>
      <c r="N5248" s="1"/>
      <c r="O5248" s="1"/>
      <c r="P5248" s="1"/>
      <c r="Q5248" s="1"/>
      <c r="R5248" s="1"/>
      <c r="S5248" s="1"/>
      <c r="T5248" s="1"/>
      <c r="U5248" s="1"/>
      <c r="V5248" s="1"/>
      <c r="W5248" s="1"/>
      <c r="X5248" s="1"/>
      <c r="Y5248" s="1"/>
      <c r="Z5248" s="1"/>
      <c r="AA5248" s="1"/>
      <c r="AB5248" s="1"/>
      <c r="AC5248" s="1"/>
      <c r="AD5248" s="1"/>
      <c r="AE5248" s="1"/>
      <c r="AF5248" s="1"/>
      <c r="AG5248" s="1"/>
      <c r="AH5248" s="1"/>
    </row>
    <row r="5249" ht="12.75" hidden="1" customHeight="1" outlineLevel="1">
      <c r="A5249" s="122">
        <v>41960.0</v>
      </c>
      <c r="B5249" s="1"/>
      <c r="C5249" s="1" t="s">
        <v>431</v>
      </c>
      <c r="D5249" s="74"/>
      <c r="E5249" s="67"/>
      <c r="F5249" s="75"/>
      <c r="G5249" s="67"/>
      <c r="H5249" s="68"/>
      <c r="I5249" s="76"/>
      <c r="J5249" s="67"/>
      <c r="K5249" s="7" t="s">
        <v>1126</v>
      </c>
      <c r="L5249" s="77"/>
      <c r="M5249" s="79"/>
      <c r="N5249" s="1"/>
      <c r="O5249" s="1"/>
      <c r="P5249" s="1"/>
      <c r="Q5249" s="1"/>
      <c r="R5249" s="1"/>
      <c r="S5249" s="1"/>
      <c r="T5249" s="1"/>
      <c r="U5249" s="1"/>
      <c r="V5249" s="1"/>
      <c r="W5249" s="1"/>
      <c r="X5249" s="1"/>
      <c r="Y5249" s="1"/>
      <c r="Z5249" s="1"/>
      <c r="AA5249" s="1"/>
      <c r="AB5249" s="1"/>
      <c r="AC5249" s="1"/>
      <c r="AD5249" s="1"/>
      <c r="AE5249" s="1"/>
      <c r="AF5249" s="1"/>
      <c r="AG5249" s="1"/>
      <c r="AH5249" s="1"/>
    </row>
    <row r="5250" ht="12.75" hidden="1" customHeight="1" outlineLevel="1">
      <c r="A5250" s="122">
        <v>41960.0</v>
      </c>
      <c r="B5250" s="1"/>
      <c r="C5250" s="1" t="s">
        <v>433</v>
      </c>
      <c r="D5250" s="74"/>
      <c r="E5250" s="67"/>
      <c r="F5250" s="75"/>
      <c r="G5250" s="67"/>
      <c r="H5250" s="68"/>
      <c r="I5250" s="76"/>
      <c r="J5250" s="67"/>
      <c r="K5250" s="7" t="s">
        <v>1103</v>
      </c>
      <c r="L5250" s="77"/>
      <c r="M5250" s="79"/>
      <c r="N5250" s="1"/>
      <c r="O5250" s="1"/>
      <c r="P5250" s="1"/>
      <c r="Q5250" s="1"/>
      <c r="R5250" s="1"/>
      <c r="S5250" s="1"/>
      <c r="T5250" s="1"/>
      <c r="U5250" s="1"/>
      <c r="V5250" s="1"/>
      <c r="W5250" s="1"/>
      <c r="X5250" s="1"/>
      <c r="Y5250" s="1"/>
      <c r="Z5250" s="1"/>
      <c r="AA5250" s="1"/>
      <c r="AB5250" s="1"/>
      <c r="AC5250" s="1"/>
      <c r="AD5250" s="1"/>
      <c r="AE5250" s="1"/>
      <c r="AF5250" s="1"/>
      <c r="AG5250" s="1"/>
      <c r="AH5250" s="1"/>
    </row>
    <row r="5251" ht="12.75" hidden="1" customHeight="1" outlineLevel="1">
      <c r="A5251" s="122">
        <v>41960.0</v>
      </c>
      <c r="B5251" s="1"/>
      <c r="C5251" s="1" t="s">
        <v>435</v>
      </c>
      <c r="D5251" s="74"/>
      <c r="E5251" s="67"/>
      <c r="F5251" s="75"/>
      <c r="G5251" s="67"/>
      <c r="H5251" s="68"/>
      <c r="I5251" s="76"/>
      <c r="J5251" s="67"/>
      <c r="K5251" s="7" t="s">
        <v>1507</v>
      </c>
      <c r="L5251" s="77"/>
      <c r="M5251" s="79"/>
      <c r="N5251" s="1"/>
      <c r="O5251" s="1"/>
      <c r="P5251" s="1"/>
      <c r="Q5251" s="1"/>
      <c r="R5251" s="1"/>
      <c r="S5251" s="1"/>
      <c r="T5251" s="1"/>
      <c r="U5251" s="1"/>
      <c r="V5251" s="1"/>
      <c r="W5251" s="1"/>
      <c r="X5251" s="1"/>
      <c r="Y5251" s="1"/>
      <c r="Z5251" s="1"/>
      <c r="AA5251" s="1"/>
      <c r="AB5251" s="1"/>
      <c r="AC5251" s="1"/>
      <c r="AD5251" s="1"/>
      <c r="AE5251" s="1"/>
      <c r="AF5251" s="1"/>
      <c r="AG5251" s="1"/>
      <c r="AH5251" s="1"/>
    </row>
    <row r="5252" ht="12.75" hidden="1" customHeight="1" outlineLevel="1">
      <c r="A5252" s="122">
        <v>41961.0</v>
      </c>
      <c r="B5252" s="32" t="s">
        <v>347</v>
      </c>
      <c r="C5252" s="32" t="s">
        <v>369</v>
      </c>
      <c r="D5252" s="708">
        <v>500.0</v>
      </c>
      <c r="E5252" s="195">
        <v>10.1801</v>
      </c>
      <c r="F5252" s="709">
        <v>0.4086111111111111</v>
      </c>
      <c r="G5252" s="195" t="s">
        <v>453</v>
      </c>
      <c r="H5252" s="710">
        <v>2.11</v>
      </c>
      <c r="I5252" s="256"/>
      <c r="J5252" s="67">
        <f t="shared" ref="J5252:J5254" si="328">IF(B5252="SLD",D5252*E5252,-D5252*E5252)-H5252</f>
        <v>5087.94</v>
      </c>
      <c r="K5252" s="7"/>
      <c r="L5252" s="70"/>
      <c r="M5252" s="79"/>
      <c r="N5252" s="32"/>
      <c r="O5252" s="32"/>
      <c r="P5252" s="32"/>
      <c r="Q5252" s="32"/>
      <c r="R5252" s="32"/>
      <c r="S5252" s="32"/>
      <c r="T5252" s="32"/>
      <c r="U5252" s="32"/>
      <c r="V5252" s="32"/>
      <c r="W5252" s="32"/>
      <c r="X5252" s="32"/>
      <c r="Y5252" s="32"/>
      <c r="Z5252" s="32"/>
      <c r="AA5252" s="32"/>
      <c r="AB5252" s="32"/>
      <c r="AC5252" s="32"/>
      <c r="AD5252" s="32"/>
      <c r="AE5252" s="32"/>
      <c r="AF5252" s="32"/>
      <c r="AG5252" s="32"/>
      <c r="AH5252" s="32"/>
    </row>
    <row r="5253" ht="12.75" hidden="1" customHeight="1" outlineLevel="1">
      <c r="A5253" s="122">
        <v>41961.0</v>
      </c>
      <c r="B5253" s="32" t="s">
        <v>347</v>
      </c>
      <c r="C5253" s="32" t="s">
        <v>790</v>
      </c>
      <c r="D5253" s="708">
        <v>600.0</v>
      </c>
      <c r="E5253" s="195">
        <v>9.05</v>
      </c>
      <c r="F5253" s="709">
        <v>0.4149189814814815</v>
      </c>
      <c r="G5253" s="195" t="s">
        <v>453</v>
      </c>
      <c r="H5253" s="710">
        <v>3.12</v>
      </c>
      <c r="I5253" s="256"/>
      <c r="J5253" s="67">
        <f t="shared" si="328"/>
        <v>5426.88</v>
      </c>
      <c r="K5253" s="7"/>
      <c r="L5253" s="70"/>
      <c r="M5253" s="79"/>
      <c r="N5253" s="32"/>
      <c r="O5253" s="32"/>
      <c r="P5253" s="32"/>
      <c r="Q5253" s="32"/>
      <c r="R5253" s="32"/>
      <c r="S5253" s="32"/>
      <c r="T5253" s="32"/>
      <c r="U5253" s="32"/>
      <c r="V5253" s="32"/>
      <c r="W5253" s="32"/>
      <c r="X5253" s="32"/>
      <c r="Y5253" s="32"/>
      <c r="Z5253" s="32"/>
      <c r="AA5253" s="32"/>
      <c r="AB5253" s="32"/>
      <c r="AC5253" s="32"/>
      <c r="AD5253" s="32"/>
      <c r="AE5253" s="32"/>
      <c r="AF5253" s="32"/>
      <c r="AG5253" s="32"/>
      <c r="AH5253" s="32"/>
    </row>
    <row r="5254" ht="12.75" hidden="1" customHeight="1" outlineLevel="1">
      <c r="A5254" s="122">
        <v>41961.0</v>
      </c>
      <c r="B5254" s="32" t="s">
        <v>347</v>
      </c>
      <c r="C5254" s="32" t="s">
        <v>784</v>
      </c>
      <c r="D5254" s="708">
        <v>700.0</v>
      </c>
      <c r="E5254" s="195">
        <v>8.55</v>
      </c>
      <c r="F5254" s="709">
        <v>0.4080787037037037</v>
      </c>
      <c r="G5254" s="195" t="s">
        <v>453</v>
      </c>
      <c r="H5254" s="710">
        <v>3.43</v>
      </c>
      <c r="I5254" s="256"/>
      <c r="J5254" s="67">
        <f t="shared" si="328"/>
        <v>5981.57</v>
      </c>
      <c r="K5254" s="7"/>
      <c r="L5254" s="70"/>
      <c r="M5254" s="79"/>
      <c r="N5254" s="32"/>
      <c r="O5254" s="32"/>
      <c r="P5254" s="32"/>
      <c r="Q5254" s="32"/>
      <c r="R5254" s="32"/>
      <c r="S5254" s="32"/>
      <c r="T5254" s="32"/>
      <c r="U5254" s="32"/>
      <c r="V5254" s="32"/>
      <c r="W5254" s="32"/>
      <c r="X5254" s="32"/>
      <c r="Y5254" s="32"/>
      <c r="Z5254" s="32"/>
      <c r="AA5254" s="32"/>
      <c r="AB5254" s="32"/>
      <c r="AC5254" s="32"/>
      <c r="AD5254" s="32"/>
      <c r="AE5254" s="32"/>
      <c r="AF5254" s="32"/>
      <c r="AG5254" s="32"/>
      <c r="AH5254" s="32"/>
    </row>
    <row r="5255" ht="12.75" hidden="1" customHeight="1" outlineLevel="1">
      <c r="A5255" s="122">
        <v>41961.0</v>
      </c>
      <c r="B5255" s="1"/>
      <c r="C5255" s="1" t="s">
        <v>339</v>
      </c>
      <c r="D5255" s="74"/>
      <c r="E5255" s="67"/>
      <c r="F5255" s="75"/>
      <c r="G5255" s="67"/>
      <c r="H5255" s="68"/>
      <c r="I5255" s="76"/>
      <c r="J5255" s="67"/>
      <c r="K5255" s="9" t="s">
        <v>2387</v>
      </c>
      <c r="L5255" s="77"/>
      <c r="M5255" s="79"/>
      <c r="N5255" s="1"/>
      <c r="O5255" s="1"/>
      <c r="P5255" s="1"/>
      <c r="Q5255" s="1"/>
      <c r="R5255" s="1"/>
      <c r="S5255" s="1"/>
      <c r="T5255" s="1"/>
      <c r="U5255" s="1"/>
      <c r="V5255" s="1"/>
      <c r="W5255" s="1"/>
      <c r="X5255" s="1"/>
      <c r="Y5255" s="1"/>
      <c r="Z5255" s="1"/>
      <c r="AA5255" s="1"/>
      <c r="AB5255" s="1"/>
      <c r="AC5255" s="1"/>
      <c r="AD5255" s="1"/>
      <c r="AE5255" s="1"/>
      <c r="AF5255" s="1"/>
      <c r="AG5255" s="1"/>
      <c r="AH5255" s="1"/>
    </row>
    <row r="5256" ht="12.75" hidden="1" customHeight="1" outlineLevel="1">
      <c r="A5256" s="122">
        <v>41961.0</v>
      </c>
      <c r="B5256" s="1"/>
      <c r="C5256" s="1" t="s">
        <v>429</v>
      </c>
      <c r="D5256" s="74"/>
      <c r="E5256" s="67"/>
      <c r="F5256" s="75"/>
      <c r="G5256" s="67"/>
      <c r="H5256" s="68"/>
      <c r="I5256" s="76"/>
      <c r="J5256" s="67"/>
      <c r="K5256" s="9" t="s">
        <v>2358</v>
      </c>
      <c r="L5256" s="77"/>
      <c r="M5256" s="79"/>
      <c r="N5256" s="1"/>
      <c r="O5256" s="1"/>
      <c r="P5256" s="1"/>
      <c r="Q5256" s="1"/>
      <c r="R5256" s="1"/>
      <c r="S5256" s="1"/>
      <c r="T5256" s="1"/>
      <c r="U5256" s="1"/>
      <c r="V5256" s="1"/>
      <c r="W5256" s="1"/>
      <c r="X5256" s="1"/>
      <c r="Y5256" s="1"/>
      <c r="Z5256" s="1"/>
      <c r="AA5256" s="1"/>
      <c r="AB5256" s="1"/>
      <c r="AC5256" s="1"/>
      <c r="AD5256" s="1"/>
      <c r="AE5256" s="1"/>
      <c r="AF5256" s="1"/>
      <c r="AG5256" s="1"/>
      <c r="AH5256" s="1"/>
    </row>
    <row r="5257" ht="12.75" hidden="1" customHeight="1" outlineLevel="1">
      <c r="A5257" s="122">
        <v>41961.0</v>
      </c>
      <c r="B5257" s="1"/>
      <c r="C5257" s="1" t="s">
        <v>431</v>
      </c>
      <c r="D5257" s="74"/>
      <c r="E5257" s="67"/>
      <c r="F5257" s="75"/>
      <c r="G5257" s="67"/>
      <c r="H5257" s="68"/>
      <c r="I5257" s="76"/>
      <c r="J5257" s="67"/>
      <c r="K5257" s="7" t="s">
        <v>1126</v>
      </c>
      <c r="L5257" s="77"/>
      <c r="M5257" s="79"/>
      <c r="N5257" s="1"/>
      <c r="O5257" s="1"/>
      <c r="P5257" s="1"/>
      <c r="Q5257" s="1"/>
      <c r="R5257" s="1"/>
      <c r="S5257" s="1"/>
      <c r="T5257" s="1"/>
      <c r="U5257" s="1"/>
      <c r="V5257" s="1"/>
      <c r="W5257" s="1"/>
      <c r="X5257" s="1"/>
      <c r="Y5257" s="1"/>
      <c r="Z5257" s="1"/>
      <c r="AA5257" s="1"/>
      <c r="AB5257" s="1"/>
      <c r="AC5257" s="1"/>
      <c r="AD5257" s="1"/>
      <c r="AE5257" s="1"/>
      <c r="AF5257" s="1"/>
      <c r="AG5257" s="1"/>
      <c r="AH5257" s="1"/>
    </row>
    <row r="5258" ht="12.75" hidden="1" customHeight="1" outlineLevel="1">
      <c r="A5258" s="122">
        <v>41961.0</v>
      </c>
      <c r="B5258" s="1"/>
      <c r="C5258" s="1" t="s">
        <v>433</v>
      </c>
      <c r="D5258" s="74"/>
      <c r="E5258" s="67"/>
      <c r="F5258" s="75"/>
      <c r="G5258" s="67"/>
      <c r="H5258" s="68"/>
      <c r="I5258" s="76"/>
      <c r="J5258" s="67"/>
      <c r="K5258" s="7" t="s">
        <v>1103</v>
      </c>
      <c r="L5258" s="77"/>
      <c r="M5258" s="79"/>
      <c r="N5258" s="1"/>
      <c r="O5258" s="1"/>
      <c r="P5258" s="1"/>
      <c r="Q5258" s="1"/>
      <c r="R5258" s="1"/>
      <c r="S5258" s="1"/>
      <c r="T5258" s="1"/>
      <c r="U5258" s="1"/>
      <c r="V5258" s="1"/>
      <c r="W5258" s="1"/>
      <c r="X5258" s="1"/>
      <c r="Y5258" s="1"/>
      <c r="Z5258" s="1"/>
      <c r="AA5258" s="1"/>
      <c r="AB5258" s="1"/>
      <c r="AC5258" s="1"/>
      <c r="AD5258" s="1"/>
      <c r="AE5258" s="1"/>
      <c r="AF5258" s="1"/>
      <c r="AG5258" s="1"/>
      <c r="AH5258" s="1"/>
    </row>
    <row r="5259" ht="12.75" hidden="1" customHeight="1" outlineLevel="1">
      <c r="A5259" s="122">
        <v>41961.0</v>
      </c>
      <c r="B5259" s="1"/>
      <c r="C5259" s="1" t="s">
        <v>435</v>
      </c>
      <c r="D5259" s="74"/>
      <c r="E5259" s="67"/>
      <c r="F5259" s="75"/>
      <c r="G5259" s="67"/>
      <c r="H5259" s="68"/>
      <c r="I5259" s="76"/>
      <c r="J5259" s="67"/>
      <c r="K5259" s="7" t="s">
        <v>1507</v>
      </c>
      <c r="L5259" s="77"/>
      <c r="M5259" s="79"/>
      <c r="N5259" s="1"/>
      <c r="O5259" s="1"/>
      <c r="P5259" s="1"/>
      <c r="Q5259" s="1"/>
      <c r="R5259" s="1"/>
      <c r="S5259" s="1"/>
      <c r="T5259" s="1"/>
      <c r="U5259" s="1"/>
      <c r="V5259" s="1"/>
      <c r="W5259" s="1"/>
      <c r="X5259" s="1"/>
      <c r="Y5259" s="1"/>
      <c r="Z5259" s="1"/>
      <c r="AA5259" s="1"/>
      <c r="AB5259" s="1"/>
      <c r="AC5259" s="1"/>
      <c r="AD5259" s="1"/>
      <c r="AE5259" s="1"/>
      <c r="AF5259" s="1"/>
      <c r="AG5259" s="1"/>
      <c r="AH5259" s="1"/>
    </row>
    <row r="5260" ht="12.75" hidden="1" customHeight="1" outlineLevel="1">
      <c r="A5260" s="122">
        <v>41962.0</v>
      </c>
      <c r="B5260" s="32" t="s">
        <v>343</v>
      </c>
      <c r="C5260" s="32" t="s">
        <v>1382</v>
      </c>
      <c r="D5260" s="708">
        <v>225.0</v>
      </c>
      <c r="E5260" s="195">
        <v>141.3873</v>
      </c>
      <c r="F5260" s="709">
        <v>0.41921296296296295</v>
      </c>
      <c r="G5260" s="195" t="s">
        <v>453</v>
      </c>
      <c r="H5260" s="710">
        <v>1.0</v>
      </c>
      <c r="I5260" s="256"/>
      <c r="J5260" s="67">
        <f>IF(B5260="SLD",D5260*E5260,-D5260*E5260)-H5260</f>
        <v>-31813.1425</v>
      </c>
      <c r="K5260" s="7"/>
      <c r="L5260" s="70"/>
      <c r="M5260" s="79"/>
      <c r="N5260" s="32"/>
      <c r="O5260" s="32"/>
      <c r="P5260" s="32"/>
      <c r="Q5260" s="32"/>
      <c r="R5260" s="32"/>
      <c r="S5260" s="32"/>
      <c r="T5260" s="32"/>
      <c r="U5260" s="32"/>
      <c r="V5260" s="32"/>
      <c r="W5260" s="32"/>
      <c r="X5260" s="32"/>
      <c r="Y5260" s="32"/>
      <c r="Z5260" s="32"/>
      <c r="AA5260" s="32"/>
      <c r="AB5260" s="32"/>
      <c r="AC5260" s="32"/>
      <c r="AD5260" s="32"/>
      <c r="AE5260" s="32"/>
      <c r="AF5260" s="32"/>
      <c r="AG5260" s="32"/>
      <c r="AH5260" s="32"/>
    </row>
    <row r="5261" ht="12.75" hidden="1" customHeight="1" outlineLevel="1">
      <c r="A5261" s="122">
        <v>41962.0</v>
      </c>
      <c r="B5261" s="1"/>
      <c r="C5261" s="1" t="s">
        <v>339</v>
      </c>
      <c r="D5261" s="74"/>
      <c r="E5261" s="67"/>
      <c r="F5261" s="75"/>
      <c r="G5261" s="67"/>
      <c r="H5261" s="68"/>
      <c r="I5261" s="76"/>
      <c r="J5261" s="67"/>
      <c r="K5261" s="9" t="s">
        <v>2388</v>
      </c>
      <c r="L5261" s="77"/>
      <c r="M5261" s="79"/>
      <c r="N5261" s="1"/>
      <c r="O5261" s="1"/>
      <c r="P5261" s="1"/>
      <c r="Q5261" s="1"/>
      <c r="R5261" s="1"/>
      <c r="S5261" s="1"/>
      <c r="T5261" s="1"/>
      <c r="U5261" s="1"/>
      <c r="V5261" s="1"/>
      <c r="W5261" s="1"/>
      <c r="X5261" s="1"/>
      <c r="Y5261" s="1"/>
      <c r="Z5261" s="1"/>
      <c r="AA5261" s="1"/>
      <c r="AB5261" s="1"/>
      <c r="AC5261" s="1"/>
      <c r="AD5261" s="1"/>
      <c r="AE5261" s="1"/>
      <c r="AF5261" s="1"/>
      <c r="AG5261" s="1"/>
      <c r="AH5261" s="1"/>
    </row>
    <row r="5262" ht="12.75" hidden="1" customHeight="1" outlineLevel="1">
      <c r="A5262" s="122">
        <v>41962.0</v>
      </c>
      <c r="B5262" s="1"/>
      <c r="C5262" s="1" t="s">
        <v>429</v>
      </c>
      <c r="D5262" s="74"/>
      <c r="E5262" s="67"/>
      <c r="F5262" s="75"/>
      <c r="G5262" s="67"/>
      <c r="H5262" s="68"/>
      <c r="I5262" s="76"/>
      <c r="J5262" s="67"/>
      <c r="K5262" s="9" t="s">
        <v>2358</v>
      </c>
      <c r="L5262" s="77"/>
      <c r="M5262" s="79"/>
      <c r="N5262" s="1"/>
      <c r="O5262" s="1"/>
      <c r="P5262" s="1"/>
      <c r="Q5262" s="1"/>
      <c r="R5262" s="1"/>
      <c r="S5262" s="1"/>
      <c r="T5262" s="1"/>
      <c r="U5262" s="1"/>
      <c r="V5262" s="1"/>
      <c r="W5262" s="1"/>
      <c r="X5262" s="1"/>
      <c r="Y5262" s="1"/>
      <c r="Z5262" s="1"/>
      <c r="AA5262" s="1"/>
      <c r="AB5262" s="1"/>
      <c r="AC5262" s="1"/>
      <c r="AD5262" s="1"/>
      <c r="AE5262" s="1"/>
      <c r="AF5262" s="1"/>
      <c r="AG5262" s="1"/>
      <c r="AH5262" s="1"/>
    </row>
    <row r="5263" ht="12.75" hidden="1" customHeight="1" outlineLevel="1">
      <c r="A5263" s="122">
        <v>41962.0</v>
      </c>
      <c r="B5263" s="1"/>
      <c r="C5263" s="1" t="s">
        <v>431</v>
      </c>
      <c r="D5263" s="74"/>
      <c r="E5263" s="67"/>
      <c r="F5263" s="75"/>
      <c r="G5263" s="67"/>
      <c r="H5263" s="68"/>
      <c r="I5263" s="76"/>
      <c r="J5263" s="67"/>
      <c r="K5263" s="7" t="s">
        <v>1126</v>
      </c>
      <c r="L5263" s="77"/>
      <c r="M5263" s="79"/>
      <c r="N5263" s="1"/>
      <c r="O5263" s="1"/>
      <c r="P5263" s="1"/>
      <c r="Q5263" s="1"/>
      <c r="R5263" s="1"/>
      <c r="S5263" s="1"/>
      <c r="T5263" s="1"/>
      <c r="U5263" s="1"/>
      <c r="V5263" s="1"/>
      <c r="W5263" s="1"/>
      <c r="X5263" s="1"/>
      <c r="Y5263" s="1"/>
      <c r="Z5263" s="1"/>
      <c r="AA5263" s="1"/>
      <c r="AB5263" s="1"/>
      <c r="AC5263" s="1"/>
      <c r="AD5263" s="1"/>
      <c r="AE5263" s="1"/>
      <c r="AF5263" s="1"/>
      <c r="AG5263" s="1"/>
      <c r="AH5263" s="1"/>
    </row>
    <row r="5264" ht="12.75" hidden="1" customHeight="1" outlineLevel="1">
      <c r="A5264" s="122">
        <v>41962.0</v>
      </c>
      <c r="B5264" s="1"/>
      <c r="C5264" s="1" t="s">
        <v>433</v>
      </c>
      <c r="D5264" s="74"/>
      <c r="E5264" s="67"/>
      <c r="F5264" s="75"/>
      <c r="G5264" s="67"/>
      <c r="H5264" s="68"/>
      <c r="I5264" s="76"/>
      <c r="J5264" s="67"/>
      <c r="K5264" s="7" t="s">
        <v>1103</v>
      </c>
      <c r="L5264" s="77"/>
      <c r="M5264" s="79"/>
      <c r="N5264" s="1"/>
      <c r="O5264" s="1"/>
      <c r="P5264" s="1"/>
      <c r="Q5264" s="1"/>
      <c r="R5264" s="1"/>
      <c r="S5264" s="1"/>
      <c r="T5264" s="1"/>
      <c r="U5264" s="1"/>
      <c r="V5264" s="1"/>
      <c r="W5264" s="1"/>
      <c r="X5264" s="1"/>
      <c r="Y5264" s="1"/>
      <c r="Z5264" s="1"/>
      <c r="AA5264" s="1"/>
      <c r="AB5264" s="1"/>
      <c r="AC5264" s="1"/>
      <c r="AD5264" s="1"/>
      <c r="AE5264" s="1"/>
      <c r="AF5264" s="1"/>
      <c r="AG5264" s="1"/>
      <c r="AH5264" s="1"/>
    </row>
    <row r="5265" ht="12.75" hidden="1" customHeight="1" outlineLevel="1">
      <c r="A5265" s="122">
        <v>41962.0</v>
      </c>
      <c r="B5265" s="1"/>
      <c r="C5265" s="1" t="s">
        <v>435</v>
      </c>
      <c r="D5265" s="74"/>
      <c r="E5265" s="67"/>
      <c r="F5265" s="75"/>
      <c r="G5265" s="67"/>
      <c r="H5265" s="68"/>
      <c r="I5265" s="76"/>
      <c r="J5265" s="67"/>
      <c r="K5265" s="7" t="s">
        <v>1507</v>
      </c>
      <c r="L5265" s="77"/>
      <c r="M5265" s="79"/>
      <c r="N5265" s="1"/>
      <c r="O5265" s="1"/>
      <c r="P5265" s="1"/>
      <c r="Q5265" s="1"/>
      <c r="R5265" s="1"/>
      <c r="S5265" s="1"/>
      <c r="T5265" s="1"/>
      <c r="U5265" s="1"/>
      <c r="V5265" s="1"/>
      <c r="W5265" s="1"/>
      <c r="X5265" s="1"/>
      <c r="Y5265" s="1"/>
      <c r="Z5265" s="1"/>
      <c r="AA5265" s="1"/>
      <c r="AB5265" s="1"/>
      <c r="AC5265" s="1"/>
      <c r="AD5265" s="1"/>
      <c r="AE5265" s="1"/>
      <c r="AF5265" s="1"/>
      <c r="AG5265" s="1"/>
      <c r="AH5265" s="1"/>
    </row>
    <row r="5266" ht="12.75" hidden="1" customHeight="1" outlineLevel="1">
      <c r="A5266" s="122">
        <v>41963.0</v>
      </c>
      <c r="B5266" s="32" t="s">
        <v>343</v>
      </c>
      <c r="C5266" s="32" t="s">
        <v>369</v>
      </c>
      <c r="D5266" s="708">
        <v>100.0</v>
      </c>
      <c r="E5266" s="195">
        <v>8.819</v>
      </c>
      <c r="F5266" s="709">
        <v>0.6596064814814815</v>
      </c>
      <c r="G5266" s="195" t="s">
        <v>453</v>
      </c>
      <c r="H5266" s="710">
        <v>1.0</v>
      </c>
      <c r="I5266" s="256"/>
      <c r="J5266" s="67">
        <f t="shared" ref="J5266:J5274" si="329">IF(B5266="SLD",D5266*E5266,-D5266*E5266)-H5266</f>
        <v>-882.9</v>
      </c>
      <c r="K5266" s="7"/>
      <c r="L5266" s="70"/>
      <c r="M5266" s="79"/>
      <c r="N5266" s="32"/>
      <c r="O5266" s="32"/>
      <c r="P5266" s="32"/>
      <c r="Q5266" s="32"/>
      <c r="R5266" s="32"/>
      <c r="S5266" s="32"/>
      <c r="T5266" s="32"/>
      <c r="U5266" s="32"/>
      <c r="V5266" s="32"/>
      <c r="W5266" s="32"/>
      <c r="X5266" s="32"/>
      <c r="Y5266" s="32"/>
      <c r="Z5266" s="32"/>
      <c r="AA5266" s="32"/>
      <c r="AB5266" s="32"/>
      <c r="AC5266" s="32"/>
      <c r="AD5266" s="32"/>
      <c r="AE5266" s="32"/>
      <c r="AF5266" s="32"/>
      <c r="AG5266" s="32"/>
      <c r="AH5266" s="32"/>
    </row>
    <row r="5267" ht="12.75" hidden="1" customHeight="1" outlineLevel="1">
      <c r="A5267" s="122">
        <v>41963.0</v>
      </c>
      <c r="B5267" s="32" t="s">
        <v>343</v>
      </c>
      <c r="C5267" s="32" t="s">
        <v>790</v>
      </c>
      <c r="D5267" s="708">
        <v>100.0</v>
      </c>
      <c r="E5267" s="195">
        <v>9.709</v>
      </c>
      <c r="F5267" s="709">
        <v>0.6599421296296296</v>
      </c>
      <c r="G5267" s="195" t="s">
        <v>453</v>
      </c>
      <c r="H5267" s="710">
        <v>1.0</v>
      </c>
      <c r="I5267" s="256"/>
      <c r="J5267" s="67">
        <f t="shared" si="329"/>
        <v>-971.9</v>
      </c>
      <c r="K5267" s="7"/>
      <c r="L5267" s="70"/>
      <c r="M5267" s="79"/>
      <c r="N5267" s="32"/>
      <c r="O5267" s="32"/>
      <c r="P5267" s="32"/>
      <c r="Q5267" s="32"/>
      <c r="R5267" s="32"/>
      <c r="S5267" s="32"/>
      <c r="T5267" s="32"/>
      <c r="U5267" s="32"/>
      <c r="V5267" s="32"/>
      <c r="W5267" s="32"/>
      <c r="X5267" s="32"/>
      <c r="Y5267" s="32"/>
      <c r="Z5267" s="32"/>
      <c r="AA5267" s="32"/>
      <c r="AB5267" s="32"/>
      <c r="AC5267" s="32"/>
      <c r="AD5267" s="32"/>
      <c r="AE5267" s="32"/>
      <c r="AF5267" s="32"/>
      <c r="AG5267" s="32"/>
      <c r="AH5267" s="32"/>
    </row>
    <row r="5268" ht="12.75" hidden="1" customHeight="1" outlineLevel="1">
      <c r="A5268" s="122">
        <v>41963.0</v>
      </c>
      <c r="B5268" s="32" t="s">
        <v>343</v>
      </c>
      <c r="C5268" s="32" t="s">
        <v>369</v>
      </c>
      <c r="D5268" s="708">
        <v>2500.0</v>
      </c>
      <c r="E5268" s="195">
        <v>8.848</v>
      </c>
      <c r="F5268" s="709">
        <v>0.6455092592592593</v>
      </c>
      <c r="G5268" s="195" t="s">
        <v>453</v>
      </c>
      <c r="H5268" s="710">
        <v>11.7</v>
      </c>
      <c r="I5268" s="256"/>
      <c r="J5268" s="67">
        <f t="shared" si="329"/>
        <v>-22131.7</v>
      </c>
      <c r="K5268" s="7"/>
      <c r="L5268" s="70"/>
      <c r="M5268" s="79"/>
      <c r="N5268" s="32"/>
      <c r="O5268" s="32"/>
      <c r="P5268" s="32"/>
      <c r="Q5268" s="32"/>
      <c r="R5268" s="32"/>
      <c r="S5268" s="32"/>
      <c r="T5268" s="32"/>
      <c r="U5268" s="32"/>
      <c r="V5268" s="32"/>
      <c r="W5268" s="32"/>
      <c r="X5268" s="32"/>
      <c r="Y5268" s="32"/>
      <c r="Z5268" s="32"/>
      <c r="AA5268" s="32"/>
      <c r="AB5268" s="32"/>
      <c r="AC5268" s="32"/>
      <c r="AD5268" s="32"/>
      <c r="AE5268" s="32"/>
      <c r="AF5268" s="32"/>
      <c r="AG5268" s="32"/>
      <c r="AH5268" s="32"/>
    </row>
    <row r="5269" ht="12.75" hidden="1" customHeight="1" outlineLevel="1">
      <c r="A5269" s="122">
        <v>41963.0</v>
      </c>
      <c r="B5269" s="32" t="s">
        <v>343</v>
      </c>
      <c r="C5269" s="32" t="s">
        <v>790</v>
      </c>
      <c r="D5269" s="708">
        <v>3100.0</v>
      </c>
      <c r="E5269" s="195">
        <v>9.69</v>
      </c>
      <c r="F5269" s="709">
        <v>0.6452430555555555</v>
      </c>
      <c r="G5269" s="195" t="s">
        <v>453</v>
      </c>
      <c r="H5269" s="710">
        <v>14.7</v>
      </c>
      <c r="I5269" s="256"/>
      <c r="J5269" s="67">
        <f t="shared" si="329"/>
        <v>-30053.7</v>
      </c>
      <c r="K5269" s="7"/>
      <c r="L5269" s="70"/>
      <c r="M5269" s="79"/>
      <c r="N5269" s="32"/>
      <c r="O5269" s="32"/>
      <c r="P5269" s="32"/>
      <c r="Q5269" s="32"/>
      <c r="R5269" s="32"/>
      <c r="S5269" s="32"/>
      <c r="T5269" s="32"/>
      <c r="U5269" s="32"/>
      <c r="V5269" s="32"/>
      <c r="W5269" s="32"/>
      <c r="X5269" s="32"/>
      <c r="Y5269" s="32"/>
      <c r="Z5269" s="32"/>
      <c r="AA5269" s="32"/>
      <c r="AB5269" s="32"/>
      <c r="AC5269" s="32"/>
      <c r="AD5269" s="32"/>
      <c r="AE5269" s="32"/>
      <c r="AF5269" s="32"/>
      <c r="AG5269" s="32"/>
      <c r="AH5269" s="32"/>
    </row>
    <row r="5270" ht="12.75" hidden="1" customHeight="1" outlineLevel="1">
      <c r="A5270" s="122">
        <v>41963.0</v>
      </c>
      <c r="B5270" s="32" t="s">
        <v>343</v>
      </c>
      <c r="C5270" s="32" t="s">
        <v>784</v>
      </c>
      <c r="D5270" s="708">
        <v>3900.0</v>
      </c>
      <c r="E5270" s="195">
        <v>8.69</v>
      </c>
      <c r="F5270" s="709">
        <v>0.6449421296296296</v>
      </c>
      <c r="G5270" s="195" t="s">
        <v>453</v>
      </c>
      <c r="H5270" s="710">
        <v>18.2</v>
      </c>
      <c r="I5270" s="256"/>
      <c r="J5270" s="67">
        <f t="shared" si="329"/>
        <v>-33909.2</v>
      </c>
      <c r="K5270" s="7"/>
      <c r="L5270" s="70"/>
      <c r="M5270" s="79"/>
      <c r="N5270" s="32"/>
      <c r="O5270" s="32"/>
      <c r="P5270" s="32"/>
      <c r="Q5270" s="32"/>
      <c r="R5270" s="32"/>
      <c r="S5270" s="32"/>
      <c r="T5270" s="32"/>
      <c r="U5270" s="32"/>
      <c r="V5270" s="32"/>
      <c r="W5270" s="32"/>
      <c r="X5270" s="32"/>
      <c r="Y5270" s="32"/>
      <c r="Z5270" s="32"/>
      <c r="AA5270" s="32"/>
      <c r="AB5270" s="32"/>
      <c r="AC5270" s="32"/>
      <c r="AD5270" s="32"/>
      <c r="AE5270" s="32"/>
      <c r="AF5270" s="32"/>
      <c r="AG5270" s="32"/>
      <c r="AH5270" s="32"/>
    </row>
    <row r="5271" ht="12.75" hidden="1" customHeight="1" outlineLevel="1">
      <c r="A5271" s="122">
        <v>41963.0</v>
      </c>
      <c r="B5271" s="32" t="s">
        <v>347</v>
      </c>
      <c r="C5271" s="32" t="s">
        <v>1357</v>
      </c>
      <c r="D5271" s="708">
        <v>200.0</v>
      </c>
      <c r="E5271" s="195">
        <v>37.071</v>
      </c>
      <c r="F5271" s="709">
        <v>0.6543171296296296</v>
      </c>
      <c r="G5271" s="195" t="s">
        <v>453</v>
      </c>
      <c r="H5271" s="710">
        <v>1.16</v>
      </c>
      <c r="I5271" s="256"/>
      <c r="J5271" s="67">
        <f t="shared" si="329"/>
        <v>7413.04</v>
      </c>
      <c r="K5271" s="7"/>
      <c r="L5271" s="70"/>
      <c r="M5271" s="79"/>
      <c r="N5271" s="32"/>
      <c r="O5271" s="32"/>
      <c r="P5271" s="32"/>
      <c r="Q5271" s="32"/>
      <c r="R5271" s="32"/>
      <c r="S5271" s="32"/>
      <c r="T5271" s="32"/>
      <c r="U5271" s="32"/>
      <c r="V5271" s="32"/>
      <c r="W5271" s="32"/>
      <c r="X5271" s="32"/>
      <c r="Y5271" s="32"/>
      <c r="Z5271" s="32"/>
      <c r="AA5271" s="32"/>
      <c r="AB5271" s="32"/>
      <c r="AC5271" s="32"/>
      <c r="AD5271" s="32"/>
      <c r="AE5271" s="32"/>
      <c r="AF5271" s="32"/>
      <c r="AG5271" s="32"/>
      <c r="AH5271" s="32"/>
    </row>
    <row r="5272" ht="12.75" hidden="1" customHeight="1" outlineLevel="1">
      <c r="A5272" s="122">
        <v>41963.0</v>
      </c>
      <c r="B5272" s="32" t="s">
        <v>347</v>
      </c>
      <c r="C5272" s="32" t="s">
        <v>2342</v>
      </c>
      <c r="D5272" s="708">
        <v>700.0</v>
      </c>
      <c r="E5272" s="195">
        <v>55.101</v>
      </c>
      <c r="F5272" s="709">
        <v>0.6461458333333333</v>
      </c>
      <c r="G5272" s="195" t="s">
        <v>453</v>
      </c>
      <c r="H5272" s="710">
        <v>3.65</v>
      </c>
      <c r="I5272" s="256"/>
      <c r="J5272" s="67">
        <f t="shared" si="329"/>
        <v>38567.05</v>
      </c>
      <c r="K5272" s="7"/>
      <c r="L5272" s="70"/>
      <c r="M5272" s="79"/>
      <c r="N5272" s="32"/>
      <c r="O5272" s="32"/>
      <c r="P5272" s="32"/>
      <c r="Q5272" s="32"/>
      <c r="R5272" s="32"/>
      <c r="S5272" s="32"/>
      <c r="T5272" s="32"/>
      <c r="U5272" s="32"/>
      <c r="V5272" s="32"/>
      <c r="W5272" s="32"/>
      <c r="X5272" s="32"/>
      <c r="Y5272" s="32"/>
      <c r="Z5272" s="32"/>
      <c r="AA5272" s="32"/>
      <c r="AB5272" s="32"/>
      <c r="AC5272" s="32"/>
      <c r="AD5272" s="32"/>
      <c r="AE5272" s="32"/>
      <c r="AF5272" s="32"/>
      <c r="AG5272" s="32"/>
      <c r="AH5272" s="32"/>
    </row>
    <row r="5273" ht="12.75" hidden="1" customHeight="1" outlineLevel="1">
      <c r="A5273" s="122">
        <v>41963.0</v>
      </c>
      <c r="B5273" s="32" t="s">
        <v>347</v>
      </c>
      <c r="C5273" s="32" t="s">
        <v>2377</v>
      </c>
      <c r="D5273" s="708">
        <v>700.0</v>
      </c>
      <c r="E5273" s="195">
        <v>45.664</v>
      </c>
      <c r="F5273" s="709">
        <v>0.6459375</v>
      </c>
      <c r="G5273" s="195" t="s">
        <v>453</v>
      </c>
      <c r="H5273" s="710">
        <v>4.11</v>
      </c>
      <c r="I5273" s="256"/>
      <c r="J5273" s="67">
        <f t="shared" si="329"/>
        <v>31960.69</v>
      </c>
      <c r="K5273" s="7"/>
      <c r="L5273" s="70"/>
      <c r="M5273" s="79"/>
      <c r="N5273" s="32"/>
      <c r="O5273" s="32"/>
      <c r="P5273" s="32"/>
      <c r="Q5273" s="32"/>
      <c r="R5273" s="32"/>
      <c r="S5273" s="32"/>
      <c r="T5273" s="32"/>
      <c r="U5273" s="32"/>
      <c r="V5273" s="32"/>
      <c r="W5273" s="32"/>
      <c r="X5273" s="32"/>
      <c r="Y5273" s="32"/>
      <c r="Z5273" s="32"/>
      <c r="AA5273" s="32"/>
      <c r="AB5273" s="32"/>
      <c r="AC5273" s="32"/>
      <c r="AD5273" s="32"/>
      <c r="AE5273" s="32"/>
      <c r="AF5273" s="32"/>
      <c r="AG5273" s="32"/>
      <c r="AH5273" s="32"/>
    </row>
    <row r="5274" ht="12.75" hidden="1" customHeight="1" outlineLevel="1">
      <c r="A5274" s="122">
        <v>41963.0</v>
      </c>
      <c r="B5274" s="32" t="s">
        <v>347</v>
      </c>
      <c r="C5274" s="32" t="s">
        <v>1495</v>
      </c>
      <c r="D5274" s="708">
        <v>700.0</v>
      </c>
      <c r="E5274" s="195">
        <v>43.091</v>
      </c>
      <c r="F5274" s="709">
        <v>0.6444560185185185</v>
      </c>
      <c r="G5274" s="195" t="s">
        <v>453</v>
      </c>
      <c r="H5274" s="710">
        <v>3.47</v>
      </c>
      <c r="I5274" s="256"/>
      <c r="J5274" s="67">
        <f t="shared" si="329"/>
        <v>30160.23</v>
      </c>
      <c r="K5274" s="7"/>
      <c r="L5274" s="70"/>
      <c r="M5274" s="79"/>
      <c r="N5274" s="32"/>
      <c r="O5274" s="32"/>
      <c r="P5274" s="32"/>
      <c r="Q5274" s="32"/>
      <c r="R5274" s="32"/>
      <c r="S5274" s="32"/>
      <c r="T5274" s="32"/>
      <c r="U5274" s="32"/>
      <c r="V5274" s="32"/>
      <c r="W5274" s="32"/>
      <c r="X5274" s="32"/>
      <c r="Y5274" s="32"/>
      <c r="Z5274" s="32"/>
      <c r="AA5274" s="32"/>
      <c r="AB5274" s="32"/>
      <c r="AC5274" s="32"/>
      <c r="AD5274" s="32"/>
      <c r="AE5274" s="32"/>
      <c r="AF5274" s="32"/>
      <c r="AG5274" s="32"/>
      <c r="AH5274" s="32"/>
    </row>
    <row r="5275" ht="12.75" hidden="1" customHeight="1" outlineLevel="1">
      <c r="A5275" s="122">
        <v>41963.0</v>
      </c>
      <c r="B5275" s="1"/>
      <c r="C5275" s="1" t="s">
        <v>339</v>
      </c>
      <c r="D5275" s="74"/>
      <c r="E5275" s="67"/>
      <c r="F5275" s="75"/>
      <c r="G5275" s="67"/>
      <c r="H5275" s="68"/>
      <c r="I5275" s="76"/>
      <c r="J5275" s="67"/>
      <c r="K5275" s="9" t="s">
        <v>2391</v>
      </c>
      <c r="L5275" s="77"/>
      <c r="M5275" s="79"/>
      <c r="N5275" s="1"/>
      <c r="O5275" s="1"/>
      <c r="P5275" s="1"/>
      <c r="Q5275" s="1"/>
      <c r="R5275" s="1"/>
      <c r="S5275" s="1"/>
      <c r="T5275" s="1"/>
      <c r="U5275" s="1"/>
      <c r="V5275" s="1"/>
      <c r="W5275" s="1"/>
      <c r="X5275" s="1"/>
      <c r="Y5275" s="1"/>
      <c r="Z5275" s="1"/>
      <c r="AA5275" s="1"/>
      <c r="AB5275" s="1"/>
      <c r="AC5275" s="1"/>
      <c r="AD5275" s="1"/>
      <c r="AE5275" s="1"/>
      <c r="AF5275" s="1"/>
      <c r="AG5275" s="1"/>
      <c r="AH5275" s="1"/>
    </row>
    <row r="5276" ht="12.75" hidden="1" customHeight="1" outlineLevel="1">
      <c r="A5276" s="122">
        <v>41963.0</v>
      </c>
      <c r="B5276" s="1"/>
      <c r="C5276" s="1" t="s">
        <v>429</v>
      </c>
      <c r="D5276" s="74"/>
      <c r="E5276" s="67"/>
      <c r="F5276" s="75"/>
      <c r="G5276" s="67"/>
      <c r="H5276" s="68"/>
      <c r="I5276" s="76"/>
      <c r="J5276" s="67"/>
      <c r="K5276" s="9" t="s">
        <v>2358</v>
      </c>
      <c r="L5276" s="77"/>
      <c r="M5276" s="79"/>
      <c r="N5276" s="1"/>
      <c r="O5276" s="1"/>
      <c r="P5276" s="1"/>
      <c r="Q5276" s="1"/>
      <c r="R5276" s="1"/>
      <c r="S5276" s="1"/>
      <c r="T5276" s="1"/>
      <c r="U5276" s="1"/>
      <c r="V5276" s="1"/>
      <c r="W5276" s="1"/>
      <c r="X5276" s="1"/>
      <c r="Y5276" s="1"/>
      <c r="Z5276" s="1"/>
      <c r="AA5276" s="1"/>
      <c r="AB5276" s="1"/>
      <c r="AC5276" s="1"/>
      <c r="AD5276" s="1"/>
      <c r="AE5276" s="1"/>
      <c r="AF5276" s="1"/>
      <c r="AG5276" s="1"/>
      <c r="AH5276" s="1"/>
    </row>
    <row r="5277" ht="12.75" hidden="1" customHeight="1" outlineLevel="1">
      <c r="A5277" s="122">
        <v>41963.0</v>
      </c>
      <c r="B5277" s="1"/>
      <c r="C5277" s="1" t="s">
        <v>431</v>
      </c>
      <c r="D5277" s="74"/>
      <c r="E5277" s="67"/>
      <c r="F5277" s="75"/>
      <c r="G5277" s="67"/>
      <c r="H5277" s="68"/>
      <c r="I5277" s="76"/>
      <c r="J5277" s="67"/>
      <c r="K5277" s="7" t="s">
        <v>1126</v>
      </c>
      <c r="L5277" s="77"/>
      <c r="M5277" s="79"/>
      <c r="N5277" s="1"/>
      <c r="O5277" s="1"/>
      <c r="P5277" s="1"/>
      <c r="Q5277" s="1"/>
      <c r="R5277" s="1"/>
      <c r="S5277" s="1"/>
      <c r="T5277" s="1"/>
      <c r="U5277" s="1"/>
      <c r="V5277" s="1"/>
      <c r="W5277" s="1"/>
      <c r="X5277" s="1"/>
      <c r="Y5277" s="1"/>
      <c r="Z5277" s="1"/>
      <c r="AA5277" s="1"/>
      <c r="AB5277" s="1"/>
      <c r="AC5277" s="1"/>
      <c r="AD5277" s="1"/>
      <c r="AE5277" s="1"/>
      <c r="AF5277" s="1"/>
      <c r="AG5277" s="1"/>
      <c r="AH5277" s="1"/>
    </row>
    <row r="5278" ht="12.75" hidden="1" customHeight="1" outlineLevel="1">
      <c r="A5278" s="122">
        <v>41963.0</v>
      </c>
      <c r="B5278" s="1"/>
      <c r="C5278" s="1" t="s">
        <v>433</v>
      </c>
      <c r="D5278" s="74"/>
      <c r="E5278" s="67"/>
      <c r="F5278" s="75"/>
      <c r="G5278" s="67"/>
      <c r="H5278" s="68"/>
      <c r="I5278" s="76"/>
      <c r="J5278" s="67"/>
      <c r="K5278" s="7" t="s">
        <v>1103</v>
      </c>
      <c r="L5278" s="77"/>
      <c r="M5278" s="79"/>
      <c r="N5278" s="1"/>
      <c r="O5278" s="1"/>
      <c r="P5278" s="1"/>
      <c r="Q5278" s="1"/>
      <c r="R5278" s="1"/>
      <c r="S5278" s="1"/>
      <c r="T5278" s="1"/>
      <c r="U5278" s="1"/>
      <c r="V5278" s="1"/>
      <c r="W5278" s="1"/>
      <c r="X5278" s="1"/>
      <c r="Y5278" s="1"/>
      <c r="Z5278" s="1"/>
      <c r="AA5278" s="1"/>
      <c r="AB5278" s="1"/>
      <c r="AC5278" s="1"/>
      <c r="AD5278" s="1"/>
      <c r="AE5278" s="1"/>
      <c r="AF5278" s="1"/>
      <c r="AG5278" s="1"/>
      <c r="AH5278" s="1"/>
    </row>
    <row r="5279" ht="12.75" hidden="1" customHeight="1" outlineLevel="1">
      <c r="A5279" s="122">
        <v>41963.0</v>
      </c>
      <c r="B5279" s="1"/>
      <c r="C5279" s="1" t="s">
        <v>435</v>
      </c>
      <c r="D5279" s="74"/>
      <c r="E5279" s="67"/>
      <c r="F5279" s="75"/>
      <c r="G5279" s="67"/>
      <c r="H5279" s="68"/>
      <c r="I5279" s="76"/>
      <c r="J5279" s="67"/>
      <c r="K5279" s="7" t="s">
        <v>1507</v>
      </c>
      <c r="L5279" s="77"/>
      <c r="M5279" s="79"/>
      <c r="N5279" s="1"/>
      <c r="O5279" s="1"/>
      <c r="P5279" s="1"/>
      <c r="Q5279" s="1"/>
      <c r="R5279" s="1"/>
      <c r="S5279" s="1"/>
      <c r="T5279" s="1"/>
      <c r="U5279" s="1"/>
      <c r="V5279" s="1"/>
      <c r="W5279" s="1"/>
      <c r="X5279" s="1"/>
      <c r="Y5279" s="1"/>
      <c r="Z5279" s="1"/>
      <c r="AA5279" s="1"/>
      <c r="AB5279" s="1"/>
      <c r="AC5279" s="1"/>
      <c r="AD5279" s="1"/>
      <c r="AE5279" s="1"/>
      <c r="AF5279" s="1"/>
      <c r="AG5279" s="1"/>
      <c r="AH5279" s="1"/>
    </row>
    <row r="5280" ht="12.75" hidden="1" customHeight="1" outlineLevel="1">
      <c r="A5280" s="122">
        <v>41964.0</v>
      </c>
      <c r="B5280" s="32" t="s">
        <v>343</v>
      </c>
      <c r="C5280" s="32" t="s">
        <v>369</v>
      </c>
      <c r="D5280" s="708">
        <v>400.0</v>
      </c>
      <c r="E5280" s="195">
        <v>9.519</v>
      </c>
      <c r="F5280" s="709">
        <v>0.4068171296296296</v>
      </c>
      <c r="G5280" s="195" t="s">
        <v>453</v>
      </c>
      <c r="H5280" s="710">
        <v>1.6</v>
      </c>
      <c r="I5280" s="256"/>
      <c r="J5280" s="67">
        <f t="shared" ref="J5280:J5282" si="330">IF(B5280="SLD",D5280*E5280,-D5280*E5280)-H5280</f>
        <v>-3809.2</v>
      </c>
      <c r="K5280" s="7"/>
      <c r="L5280" s="70"/>
      <c r="M5280" s="79"/>
      <c r="N5280" s="32"/>
      <c r="O5280" s="32"/>
      <c r="P5280" s="32"/>
      <c r="Q5280" s="32"/>
      <c r="R5280" s="32"/>
      <c r="S5280" s="32"/>
      <c r="T5280" s="32"/>
      <c r="U5280" s="32"/>
      <c r="V5280" s="32"/>
      <c r="W5280" s="32"/>
      <c r="X5280" s="32"/>
      <c r="Y5280" s="32"/>
      <c r="Z5280" s="32"/>
      <c r="AA5280" s="32"/>
      <c r="AB5280" s="32"/>
      <c r="AC5280" s="32"/>
      <c r="AD5280" s="32"/>
      <c r="AE5280" s="32"/>
      <c r="AF5280" s="32"/>
      <c r="AG5280" s="32"/>
      <c r="AH5280" s="32"/>
    </row>
    <row r="5281" ht="12.75" hidden="1" customHeight="1" outlineLevel="1">
      <c r="A5281" s="122">
        <v>41964.0</v>
      </c>
      <c r="B5281" s="32" t="s">
        <v>343</v>
      </c>
      <c r="C5281" s="32" t="s">
        <v>790</v>
      </c>
      <c r="D5281" s="708">
        <v>400.0</v>
      </c>
      <c r="E5281" s="195">
        <v>10.228</v>
      </c>
      <c r="F5281" s="709">
        <v>0.4062615740740741</v>
      </c>
      <c r="G5281" s="195" t="s">
        <v>453</v>
      </c>
      <c r="H5281" s="710">
        <v>2.0</v>
      </c>
      <c r="I5281" s="256"/>
      <c r="J5281" s="67">
        <f t="shared" si="330"/>
        <v>-4093.2</v>
      </c>
      <c r="K5281" s="7"/>
      <c r="L5281" s="70"/>
      <c r="M5281" s="79"/>
      <c r="N5281" s="32"/>
      <c r="O5281" s="32"/>
      <c r="P5281" s="32"/>
      <c r="Q5281" s="32"/>
      <c r="R5281" s="32"/>
      <c r="S5281" s="32"/>
      <c r="T5281" s="32"/>
      <c r="U5281" s="32"/>
      <c r="V5281" s="32"/>
      <c r="W5281" s="32"/>
      <c r="X5281" s="32"/>
      <c r="Y5281" s="32"/>
      <c r="Z5281" s="32"/>
      <c r="AA5281" s="32"/>
      <c r="AB5281" s="32"/>
      <c r="AC5281" s="32"/>
      <c r="AD5281" s="32"/>
      <c r="AE5281" s="32"/>
      <c r="AF5281" s="32"/>
      <c r="AG5281" s="32"/>
      <c r="AH5281" s="32"/>
    </row>
    <row r="5282" ht="12.75" hidden="1" customHeight="1" outlineLevel="1">
      <c r="A5282" s="122">
        <v>41964.0</v>
      </c>
      <c r="B5282" s="32" t="s">
        <v>343</v>
      </c>
      <c r="C5282" s="32" t="s">
        <v>784</v>
      </c>
      <c r="D5282" s="708">
        <v>500.0</v>
      </c>
      <c r="E5282" s="195">
        <v>9.36</v>
      </c>
      <c r="F5282" s="709">
        <v>0.4064583333333333</v>
      </c>
      <c r="G5282" s="195" t="s">
        <v>453</v>
      </c>
      <c r="H5282" s="710">
        <v>2.5</v>
      </c>
      <c r="I5282" s="256"/>
      <c r="J5282" s="67">
        <f t="shared" si="330"/>
        <v>-4682.5</v>
      </c>
      <c r="K5282" s="7"/>
      <c r="L5282" s="70"/>
      <c r="M5282" s="79"/>
      <c r="N5282" s="32"/>
      <c r="O5282" s="32"/>
      <c r="P5282" s="32"/>
      <c r="Q5282" s="32"/>
      <c r="R5282" s="32"/>
      <c r="S5282" s="32"/>
      <c r="T5282" s="32"/>
      <c r="U5282" s="32"/>
      <c r="V5282" s="32"/>
      <c r="W5282" s="32"/>
      <c r="X5282" s="32"/>
      <c r="Y5282" s="32"/>
      <c r="Z5282" s="32"/>
      <c r="AA5282" s="32"/>
      <c r="AB5282" s="32"/>
      <c r="AC5282" s="32"/>
      <c r="AD5282" s="32"/>
      <c r="AE5282" s="32"/>
      <c r="AF5282" s="32"/>
      <c r="AG5282" s="32"/>
      <c r="AH5282" s="32"/>
    </row>
    <row r="5283" ht="12.75" hidden="1" customHeight="1" outlineLevel="1">
      <c r="A5283" s="122">
        <v>41964.0</v>
      </c>
      <c r="B5283" s="1"/>
      <c r="C5283" s="1" t="s">
        <v>339</v>
      </c>
      <c r="D5283" s="74"/>
      <c r="E5283" s="67"/>
      <c r="F5283" s="75"/>
      <c r="G5283" s="67"/>
      <c r="H5283" s="68"/>
      <c r="I5283" s="76"/>
      <c r="J5283" s="67"/>
      <c r="K5283" s="9" t="s">
        <v>2391</v>
      </c>
      <c r="L5283" s="77"/>
      <c r="M5283" s="79"/>
      <c r="N5283" s="1"/>
      <c r="O5283" s="1"/>
      <c r="P5283" s="1"/>
      <c r="Q5283" s="1"/>
      <c r="R5283" s="1"/>
      <c r="S5283" s="1"/>
      <c r="T5283" s="1"/>
      <c r="U5283" s="1"/>
      <c r="V5283" s="1"/>
      <c r="W5283" s="1"/>
      <c r="X5283" s="1"/>
      <c r="Y5283" s="1"/>
      <c r="Z5283" s="1"/>
      <c r="AA5283" s="1"/>
      <c r="AB5283" s="1"/>
      <c r="AC5283" s="1"/>
      <c r="AD5283" s="1"/>
      <c r="AE5283" s="1"/>
      <c r="AF5283" s="1"/>
      <c r="AG5283" s="1"/>
      <c r="AH5283" s="1"/>
    </row>
    <row r="5284" ht="12.75" hidden="1" customHeight="1" outlineLevel="1">
      <c r="A5284" s="122">
        <v>41964.0</v>
      </c>
      <c r="B5284" s="1"/>
      <c r="C5284" s="1" t="s">
        <v>429</v>
      </c>
      <c r="D5284" s="74"/>
      <c r="E5284" s="67"/>
      <c r="F5284" s="75"/>
      <c r="G5284" s="67"/>
      <c r="H5284" s="68"/>
      <c r="I5284" s="76"/>
      <c r="J5284" s="67"/>
      <c r="K5284" s="9" t="s">
        <v>2358</v>
      </c>
      <c r="L5284" s="77"/>
      <c r="M5284" s="79"/>
      <c r="N5284" s="1"/>
      <c r="O5284" s="1"/>
      <c r="P5284" s="1"/>
      <c r="Q5284" s="1"/>
      <c r="R5284" s="1"/>
      <c r="S5284" s="1"/>
      <c r="T5284" s="1"/>
      <c r="U5284" s="1"/>
      <c r="V5284" s="1"/>
      <c r="W5284" s="1"/>
      <c r="X5284" s="1"/>
      <c r="Y5284" s="1"/>
      <c r="Z5284" s="1"/>
      <c r="AA5284" s="1"/>
      <c r="AB5284" s="1"/>
      <c r="AC5284" s="1"/>
      <c r="AD5284" s="1"/>
      <c r="AE5284" s="1"/>
      <c r="AF5284" s="1"/>
      <c r="AG5284" s="1"/>
      <c r="AH5284" s="1"/>
    </row>
    <row r="5285" ht="12.75" hidden="1" customHeight="1" outlineLevel="1">
      <c r="A5285" s="122">
        <v>41964.0</v>
      </c>
      <c r="B5285" s="1"/>
      <c r="C5285" s="1" t="s">
        <v>431</v>
      </c>
      <c r="D5285" s="74"/>
      <c r="E5285" s="67"/>
      <c r="F5285" s="75"/>
      <c r="G5285" s="67"/>
      <c r="H5285" s="68"/>
      <c r="I5285" s="76"/>
      <c r="J5285" s="67"/>
      <c r="K5285" s="7" t="s">
        <v>1126</v>
      </c>
      <c r="L5285" s="77"/>
      <c r="M5285" s="79"/>
      <c r="N5285" s="1"/>
      <c r="O5285" s="1"/>
      <c r="P5285" s="1"/>
      <c r="Q5285" s="1"/>
      <c r="R5285" s="1"/>
      <c r="S5285" s="1"/>
      <c r="T5285" s="1"/>
      <c r="U5285" s="1"/>
      <c r="V5285" s="1"/>
      <c r="W5285" s="1"/>
      <c r="X5285" s="1"/>
      <c r="Y5285" s="1"/>
      <c r="Z5285" s="1"/>
      <c r="AA5285" s="1"/>
      <c r="AB5285" s="1"/>
      <c r="AC5285" s="1"/>
      <c r="AD5285" s="1"/>
      <c r="AE5285" s="1"/>
      <c r="AF5285" s="1"/>
      <c r="AG5285" s="1"/>
      <c r="AH5285" s="1"/>
    </row>
    <row r="5286" ht="12.75" hidden="1" customHeight="1" outlineLevel="1">
      <c r="A5286" s="122">
        <v>41964.0</v>
      </c>
      <c r="B5286" s="1"/>
      <c r="C5286" s="1" t="s">
        <v>433</v>
      </c>
      <c r="D5286" s="74"/>
      <c r="E5286" s="67"/>
      <c r="F5286" s="75"/>
      <c r="G5286" s="67"/>
      <c r="H5286" s="68"/>
      <c r="I5286" s="76"/>
      <c r="J5286" s="67"/>
      <c r="K5286" s="7" t="s">
        <v>1103</v>
      </c>
      <c r="L5286" s="77"/>
      <c r="M5286" s="79"/>
      <c r="N5286" s="1"/>
      <c r="O5286" s="1"/>
      <c r="P5286" s="1"/>
      <c r="Q5286" s="1"/>
      <c r="R5286" s="1"/>
      <c r="S5286" s="1"/>
      <c r="T5286" s="1"/>
      <c r="U5286" s="1"/>
      <c r="V5286" s="1"/>
      <c r="W5286" s="1"/>
      <c r="X5286" s="1"/>
      <c r="Y5286" s="1"/>
      <c r="Z5286" s="1"/>
      <c r="AA5286" s="1"/>
      <c r="AB5286" s="1"/>
      <c r="AC5286" s="1"/>
      <c r="AD5286" s="1"/>
      <c r="AE5286" s="1"/>
      <c r="AF5286" s="1"/>
      <c r="AG5286" s="1"/>
      <c r="AH5286" s="1"/>
    </row>
    <row r="5287" ht="12.75" hidden="1" customHeight="1" outlineLevel="1">
      <c r="A5287" s="122">
        <v>41964.0</v>
      </c>
      <c r="B5287" s="1"/>
      <c r="C5287" s="1" t="s">
        <v>435</v>
      </c>
      <c r="D5287" s="74"/>
      <c r="E5287" s="67"/>
      <c r="F5287" s="75"/>
      <c r="G5287" s="67"/>
      <c r="H5287" s="68"/>
      <c r="I5287" s="76"/>
      <c r="J5287" s="67"/>
      <c r="K5287" s="7" t="s">
        <v>1507</v>
      </c>
      <c r="L5287" s="77"/>
      <c r="M5287" s="79"/>
      <c r="N5287" s="1"/>
      <c r="O5287" s="1"/>
      <c r="P5287" s="1"/>
      <c r="Q5287" s="1"/>
      <c r="R5287" s="1"/>
      <c r="S5287" s="1"/>
      <c r="T5287" s="1"/>
      <c r="U5287" s="1"/>
      <c r="V5287" s="1"/>
      <c r="W5287" s="1"/>
      <c r="X5287" s="1"/>
      <c r="Y5287" s="1"/>
      <c r="Z5287" s="1"/>
      <c r="AA5287" s="1"/>
      <c r="AB5287" s="1"/>
      <c r="AC5287" s="1"/>
      <c r="AD5287" s="1"/>
      <c r="AE5287" s="1"/>
      <c r="AF5287" s="1"/>
      <c r="AG5287" s="1"/>
      <c r="AH5287" s="1"/>
    </row>
    <row r="5288" ht="12.75" hidden="1" customHeight="1" outlineLevel="1">
      <c r="A5288" s="122">
        <v>41967.0</v>
      </c>
      <c r="B5288" s="32" t="s">
        <v>343</v>
      </c>
      <c r="C5288" s="32" t="s">
        <v>1357</v>
      </c>
      <c r="D5288" s="708">
        <v>400.0</v>
      </c>
      <c r="E5288" s="195">
        <v>37.4</v>
      </c>
      <c r="F5288" s="709">
        <v>0.45371527777777776</v>
      </c>
      <c r="G5288" s="195" t="s">
        <v>453</v>
      </c>
      <c r="H5288" s="710">
        <v>1.7</v>
      </c>
      <c r="I5288" s="256"/>
      <c r="J5288" s="67">
        <f t="shared" ref="J5288:J5292" si="331">IF(B5288="SLD",D5288*E5288,-D5288*E5288)-H5288</f>
        <v>-14961.7</v>
      </c>
      <c r="K5288" s="7"/>
      <c r="L5288" s="70"/>
      <c r="M5288" s="79"/>
      <c r="N5288" s="32"/>
      <c r="O5288" s="32"/>
      <c r="P5288" s="32"/>
      <c r="Q5288" s="32"/>
      <c r="R5288" s="32"/>
      <c r="S5288" s="32"/>
      <c r="T5288" s="32"/>
      <c r="U5288" s="32"/>
      <c r="V5288" s="32"/>
      <c r="W5288" s="32"/>
      <c r="X5288" s="32"/>
      <c r="Y5288" s="32"/>
      <c r="Z5288" s="32"/>
      <c r="AA5288" s="32"/>
      <c r="AB5288" s="32"/>
      <c r="AC5288" s="32"/>
      <c r="AD5288" s="32"/>
      <c r="AE5288" s="32"/>
      <c r="AF5288" s="32"/>
      <c r="AG5288" s="32"/>
      <c r="AH5288" s="32"/>
    </row>
    <row r="5289" ht="12.75" hidden="1" customHeight="1" outlineLevel="1">
      <c r="A5289" s="122">
        <v>41967.0</v>
      </c>
      <c r="B5289" s="32" t="s">
        <v>347</v>
      </c>
      <c r="C5289" s="32" t="s">
        <v>784</v>
      </c>
      <c r="D5289" s="708">
        <v>500.0</v>
      </c>
      <c r="E5289" s="195">
        <v>9.431</v>
      </c>
      <c r="F5289" s="709">
        <v>0.45766203703703706</v>
      </c>
      <c r="G5289" s="195" t="s">
        <v>453</v>
      </c>
      <c r="H5289" s="710">
        <v>2.1</v>
      </c>
      <c r="I5289" s="256"/>
      <c r="J5289" s="67">
        <f t="shared" si="331"/>
        <v>4713.4</v>
      </c>
      <c r="K5289" s="7"/>
      <c r="L5289" s="70"/>
      <c r="M5289" s="79"/>
      <c r="N5289" s="32"/>
      <c r="O5289" s="32"/>
      <c r="P5289" s="32"/>
      <c r="Q5289" s="32"/>
      <c r="R5289" s="32"/>
      <c r="S5289" s="32"/>
      <c r="T5289" s="32"/>
      <c r="U5289" s="32"/>
      <c r="V5289" s="32"/>
      <c r="W5289" s="32"/>
      <c r="X5289" s="32"/>
      <c r="Y5289" s="32"/>
      <c r="Z5289" s="32"/>
      <c r="AA5289" s="32"/>
      <c r="AB5289" s="32"/>
      <c r="AC5289" s="32"/>
      <c r="AD5289" s="32"/>
      <c r="AE5289" s="32"/>
      <c r="AF5289" s="32"/>
      <c r="AG5289" s="32"/>
      <c r="AH5289" s="32"/>
    </row>
    <row r="5290" ht="12.75" hidden="1" customHeight="1" outlineLevel="1">
      <c r="A5290" s="122">
        <v>41967.0</v>
      </c>
      <c r="B5290" s="32" t="s">
        <v>347</v>
      </c>
      <c r="C5290" s="32" t="s">
        <v>369</v>
      </c>
      <c r="D5290" s="708">
        <v>2000.0</v>
      </c>
      <c r="E5290" s="195">
        <v>9.534</v>
      </c>
      <c r="F5290" s="709">
        <v>0.45111111111111113</v>
      </c>
      <c r="G5290" s="195" t="s">
        <v>453</v>
      </c>
      <c r="H5290" s="710">
        <v>9.22</v>
      </c>
      <c r="I5290" s="256"/>
      <c r="J5290" s="67">
        <f t="shared" si="331"/>
        <v>19058.78</v>
      </c>
      <c r="K5290" s="7"/>
      <c r="L5290" s="70"/>
      <c r="M5290" s="79"/>
      <c r="N5290" s="32"/>
      <c r="O5290" s="32"/>
      <c r="P5290" s="32"/>
      <c r="Q5290" s="32"/>
      <c r="R5290" s="32"/>
      <c r="S5290" s="32"/>
      <c r="T5290" s="32"/>
      <c r="U5290" s="32"/>
      <c r="V5290" s="32"/>
      <c r="W5290" s="32"/>
      <c r="X5290" s="32"/>
      <c r="Y5290" s="32"/>
      <c r="Z5290" s="32"/>
      <c r="AA5290" s="32"/>
      <c r="AB5290" s="32"/>
      <c r="AC5290" s="32"/>
      <c r="AD5290" s="32"/>
      <c r="AE5290" s="32"/>
      <c r="AF5290" s="32"/>
      <c r="AG5290" s="32"/>
      <c r="AH5290" s="32"/>
    </row>
    <row r="5291" ht="12.75" hidden="1" customHeight="1" outlineLevel="1">
      <c r="A5291" s="122">
        <v>41967.0</v>
      </c>
      <c r="B5291" s="32" t="s">
        <v>347</v>
      </c>
      <c r="C5291" s="32" t="s">
        <v>790</v>
      </c>
      <c r="D5291" s="708">
        <v>2000.0</v>
      </c>
      <c r="E5291" s="195">
        <v>10.83</v>
      </c>
      <c r="F5291" s="709">
        <v>0.45100694444444445</v>
      </c>
      <c r="G5291" s="195" t="s">
        <v>453</v>
      </c>
      <c r="H5291" s="710">
        <v>8.48</v>
      </c>
      <c r="I5291" s="256"/>
      <c r="J5291" s="67">
        <f t="shared" si="331"/>
        <v>21651.52</v>
      </c>
      <c r="K5291" s="7"/>
      <c r="L5291" s="70"/>
      <c r="M5291" s="79"/>
      <c r="N5291" s="32"/>
      <c r="O5291" s="32"/>
      <c r="P5291" s="32"/>
      <c r="Q5291" s="32"/>
      <c r="R5291" s="32"/>
      <c r="S5291" s="32"/>
      <c r="T5291" s="32"/>
      <c r="U5291" s="32"/>
      <c r="V5291" s="32"/>
      <c r="W5291" s="32"/>
      <c r="X5291" s="32"/>
      <c r="Y5291" s="32"/>
      <c r="Z5291" s="32"/>
      <c r="AA5291" s="32"/>
      <c r="AB5291" s="32"/>
      <c r="AC5291" s="32"/>
      <c r="AD5291" s="32"/>
      <c r="AE5291" s="32"/>
      <c r="AF5291" s="32"/>
      <c r="AG5291" s="32"/>
      <c r="AH5291" s="32"/>
    </row>
    <row r="5292" ht="12.75" hidden="1" customHeight="1" outlineLevel="1">
      <c r="A5292" s="122">
        <v>41967.0</v>
      </c>
      <c r="B5292" s="32" t="s">
        <v>347</v>
      </c>
      <c r="C5292" s="32" t="s">
        <v>784</v>
      </c>
      <c r="D5292" s="708">
        <v>2500.0</v>
      </c>
      <c r="E5292" s="195">
        <v>9.47</v>
      </c>
      <c r="F5292" s="709">
        <v>0.4513888888888889</v>
      </c>
      <c r="G5292" s="195" t="s">
        <v>453</v>
      </c>
      <c r="H5292" s="710">
        <v>13.02</v>
      </c>
      <c r="I5292" s="256"/>
      <c r="J5292" s="67">
        <f t="shared" si="331"/>
        <v>23661.98</v>
      </c>
      <c r="K5292" s="7"/>
      <c r="L5292" s="70"/>
      <c r="M5292" s="79"/>
      <c r="N5292" s="32"/>
      <c r="O5292" s="32"/>
      <c r="P5292" s="32"/>
      <c r="Q5292" s="32"/>
      <c r="R5292" s="32"/>
      <c r="S5292" s="32"/>
      <c r="T5292" s="32"/>
      <c r="U5292" s="32"/>
      <c r="V5292" s="32"/>
      <c r="W5292" s="32"/>
      <c r="X5292" s="32"/>
      <c r="Y5292" s="32"/>
      <c r="Z5292" s="32"/>
      <c r="AA5292" s="32"/>
      <c r="AB5292" s="32"/>
      <c r="AC5292" s="32"/>
      <c r="AD5292" s="32"/>
      <c r="AE5292" s="32"/>
      <c r="AF5292" s="32"/>
      <c r="AG5292" s="32"/>
      <c r="AH5292" s="32"/>
    </row>
    <row r="5293" ht="12.75" hidden="1" customHeight="1" outlineLevel="1">
      <c r="A5293" s="122">
        <v>41967.0</v>
      </c>
      <c r="B5293" s="1"/>
      <c r="C5293" s="1" t="s">
        <v>339</v>
      </c>
      <c r="D5293" s="74"/>
      <c r="E5293" s="67"/>
      <c r="F5293" s="75"/>
      <c r="G5293" s="67"/>
      <c r="H5293" s="68"/>
      <c r="I5293" s="76"/>
      <c r="J5293" s="67"/>
      <c r="K5293" s="9" t="s">
        <v>2404</v>
      </c>
      <c r="L5293" s="77"/>
      <c r="M5293" s="79"/>
      <c r="N5293" s="1"/>
      <c r="O5293" s="1"/>
      <c r="P5293" s="1"/>
      <c r="Q5293" s="1"/>
      <c r="R5293" s="1"/>
      <c r="S5293" s="1"/>
      <c r="T5293" s="1"/>
      <c r="U5293" s="1"/>
      <c r="V5293" s="1"/>
      <c r="W5293" s="1"/>
      <c r="X5293" s="1"/>
      <c r="Y5293" s="1"/>
      <c r="Z5293" s="1"/>
      <c r="AA5293" s="1"/>
      <c r="AB5293" s="1"/>
      <c r="AC5293" s="1"/>
      <c r="AD5293" s="1"/>
      <c r="AE5293" s="1"/>
      <c r="AF5293" s="1"/>
      <c r="AG5293" s="1"/>
      <c r="AH5293" s="1"/>
    </row>
    <row r="5294" ht="12.75" hidden="1" customHeight="1" outlineLevel="1">
      <c r="A5294" s="122">
        <v>41967.0</v>
      </c>
      <c r="B5294" s="1"/>
      <c r="C5294" s="1" t="s">
        <v>429</v>
      </c>
      <c r="D5294" s="74"/>
      <c r="E5294" s="67"/>
      <c r="F5294" s="75"/>
      <c r="G5294" s="67"/>
      <c r="H5294" s="68"/>
      <c r="I5294" s="76"/>
      <c r="J5294" s="67"/>
      <c r="K5294" s="9" t="s">
        <v>2358</v>
      </c>
      <c r="L5294" s="77"/>
      <c r="M5294" s="79"/>
      <c r="N5294" s="1"/>
      <c r="O5294" s="1"/>
      <c r="P5294" s="1"/>
      <c r="Q5294" s="1"/>
      <c r="R5294" s="1"/>
      <c r="S5294" s="1"/>
      <c r="T5294" s="1"/>
      <c r="U5294" s="1"/>
      <c r="V5294" s="1"/>
      <c r="W5294" s="1"/>
      <c r="X5294" s="1"/>
      <c r="Y5294" s="1"/>
      <c r="Z5294" s="1"/>
      <c r="AA5294" s="1"/>
      <c r="AB5294" s="1"/>
      <c r="AC5294" s="1"/>
      <c r="AD5294" s="1"/>
      <c r="AE5294" s="1"/>
      <c r="AF5294" s="1"/>
      <c r="AG5294" s="1"/>
      <c r="AH5294" s="1"/>
    </row>
    <row r="5295" ht="12.75" hidden="1" customHeight="1" outlineLevel="1">
      <c r="A5295" s="122">
        <v>41967.0</v>
      </c>
      <c r="B5295" s="1"/>
      <c r="C5295" s="1" t="s">
        <v>431</v>
      </c>
      <c r="D5295" s="74"/>
      <c r="E5295" s="67"/>
      <c r="F5295" s="75"/>
      <c r="G5295" s="67"/>
      <c r="H5295" s="68"/>
      <c r="I5295" s="76"/>
      <c r="J5295" s="67"/>
      <c r="K5295" s="7" t="s">
        <v>1126</v>
      </c>
      <c r="L5295" s="77"/>
      <c r="M5295" s="79"/>
      <c r="N5295" s="1"/>
      <c r="O5295" s="1"/>
      <c r="P5295" s="1"/>
      <c r="Q5295" s="1"/>
      <c r="R5295" s="1"/>
      <c r="S5295" s="1"/>
      <c r="T5295" s="1"/>
      <c r="U5295" s="1"/>
      <c r="V5295" s="1"/>
      <c r="W5295" s="1"/>
      <c r="X5295" s="1"/>
      <c r="Y5295" s="1"/>
      <c r="Z5295" s="1"/>
      <c r="AA5295" s="1"/>
      <c r="AB5295" s="1"/>
      <c r="AC5295" s="1"/>
      <c r="AD5295" s="1"/>
      <c r="AE5295" s="1"/>
      <c r="AF5295" s="1"/>
      <c r="AG5295" s="1"/>
      <c r="AH5295" s="1"/>
    </row>
    <row r="5296" ht="12.75" hidden="1" customHeight="1" outlineLevel="1">
      <c r="A5296" s="122">
        <v>41967.0</v>
      </c>
      <c r="B5296" s="1"/>
      <c r="C5296" s="1" t="s">
        <v>433</v>
      </c>
      <c r="D5296" s="74"/>
      <c r="E5296" s="67"/>
      <c r="F5296" s="75"/>
      <c r="G5296" s="67"/>
      <c r="H5296" s="68"/>
      <c r="I5296" s="76"/>
      <c r="J5296" s="67"/>
      <c r="K5296" s="7" t="s">
        <v>1103</v>
      </c>
      <c r="L5296" s="77"/>
      <c r="M5296" s="79"/>
      <c r="N5296" s="1"/>
      <c r="O5296" s="1"/>
      <c r="P5296" s="1"/>
      <c r="Q5296" s="1"/>
      <c r="R5296" s="1"/>
      <c r="S5296" s="1"/>
      <c r="T5296" s="1"/>
      <c r="U5296" s="1"/>
      <c r="V5296" s="1"/>
      <c r="W5296" s="1"/>
      <c r="X5296" s="1"/>
      <c r="Y5296" s="1"/>
      <c r="Z5296" s="1"/>
      <c r="AA5296" s="1"/>
      <c r="AB5296" s="1"/>
      <c r="AC5296" s="1"/>
      <c r="AD5296" s="1"/>
      <c r="AE5296" s="1"/>
      <c r="AF5296" s="1"/>
      <c r="AG5296" s="1"/>
      <c r="AH5296" s="1"/>
    </row>
    <row r="5297" ht="12.75" hidden="1" customHeight="1" outlineLevel="1">
      <c r="A5297" s="122">
        <v>41967.0</v>
      </c>
      <c r="B5297" s="1"/>
      <c r="C5297" s="1" t="s">
        <v>435</v>
      </c>
      <c r="D5297" s="74"/>
      <c r="E5297" s="67"/>
      <c r="F5297" s="75"/>
      <c r="G5297" s="67"/>
      <c r="H5297" s="68"/>
      <c r="I5297" s="76"/>
      <c r="J5297" s="67"/>
      <c r="K5297" s="7" t="s">
        <v>1507</v>
      </c>
      <c r="L5297" s="77"/>
      <c r="M5297" s="79"/>
      <c r="N5297" s="1"/>
      <c r="O5297" s="1"/>
      <c r="P5297" s="1"/>
      <c r="Q5297" s="1"/>
      <c r="R5297" s="1"/>
      <c r="S5297" s="1"/>
      <c r="T5297" s="1"/>
      <c r="U5297" s="1"/>
      <c r="V5297" s="1"/>
      <c r="W5297" s="1"/>
      <c r="X5297" s="1"/>
      <c r="Y5297" s="1"/>
      <c r="Z5297" s="1"/>
      <c r="AA5297" s="1"/>
      <c r="AB5297" s="1"/>
      <c r="AC5297" s="1"/>
      <c r="AD5297" s="1"/>
      <c r="AE5297" s="1"/>
      <c r="AF5297" s="1"/>
      <c r="AG5297" s="1"/>
      <c r="AH5297" s="1"/>
    </row>
    <row r="5298" ht="12.75" hidden="1" customHeight="1" outlineLevel="1">
      <c r="A5298" s="122">
        <v>41968.0</v>
      </c>
      <c r="B5298" s="32" t="s">
        <v>343</v>
      </c>
      <c r="C5298" s="32" t="s">
        <v>1382</v>
      </c>
      <c r="D5298" s="708">
        <v>75.0</v>
      </c>
      <c r="E5298" s="195">
        <v>145.615</v>
      </c>
      <c r="F5298" s="709">
        <v>0.4073611111111111</v>
      </c>
      <c r="G5298" s="195" t="s">
        <v>453</v>
      </c>
      <c r="H5298" s="710">
        <v>1.0</v>
      </c>
      <c r="I5298" s="256"/>
      <c r="J5298" s="67">
        <f t="shared" ref="J5298:J5304" si="332">IF(B5298="SLD",D5298*E5298,-D5298*E5298)-H5298</f>
        <v>-10922.125</v>
      </c>
      <c r="K5298" s="7"/>
      <c r="L5298" s="70"/>
      <c r="M5298" s="79"/>
      <c r="N5298" s="32"/>
      <c r="O5298" s="32"/>
      <c r="P5298" s="32"/>
      <c r="Q5298" s="32"/>
      <c r="R5298" s="32"/>
      <c r="S5298" s="32"/>
      <c r="T5298" s="32"/>
      <c r="U5298" s="32"/>
      <c r="V5298" s="32"/>
      <c r="W5298" s="32"/>
      <c r="X5298" s="32"/>
      <c r="Y5298" s="32"/>
      <c r="Z5298" s="32"/>
      <c r="AA5298" s="32"/>
      <c r="AB5298" s="32"/>
      <c r="AC5298" s="32"/>
      <c r="AD5298" s="32"/>
      <c r="AE5298" s="32"/>
      <c r="AF5298" s="32"/>
      <c r="AG5298" s="32"/>
      <c r="AH5298" s="32"/>
    </row>
    <row r="5299" ht="12.75" hidden="1" customHeight="1" outlineLevel="1">
      <c r="A5299" s="122">
        <v>41968.0</v>
      </c>
      <c r="B5299" s="32" t="s">
        <v>343</v>
      </c>
      <c r="C5299" s="32" t="s">
        <v>2342</v>
      </c>
      <c r="D5299" s="708">
        <v>700.0</v>
      </c>
      <c r="E5299" s="195">
        <v>55.685</v>
      </c>
      <c r="F5299" s="709">
        <v>0.40782407407407406</v>
      </c>
      <c r="G5299" s="195" t="s">
        <v>453</v>
      </c>
      <c r="H5299" s="710">
        <v>3.4</v>
      </c>
      <c r="I5299" s="256"/>
      <c r="J5299" s="67">
        <f t="shared" si="332"/>
        <v>-38982.9</v>
      </c>
      <c r="K5299" s="7"/>
      <c r="L5299" s="70"/>
      <c r="M5299" s="79"/>
      <c r="N5299" s="32"/>
      <c r="O5299" s="32"/>
      <c r="P5299" s="32"/>
      <c r="Q5299" s="32"/>
      <c r="R5299" s="32"/>
      <c r="S5299" s="32"/>
      <c r="T5299" s="32"/>
      <c r="U5299" s="32"/>
      <c r="V5299" s="32"/>
      <c r="W5299" s="32"/>
      <c r="X5299" s="32"/>
      <c r="Y5299" s="32"/>
      <c r="Z5299" s="32"/>
      <c r="AA5299" s="32"/>
      <c r="AB5299" s="32"/>
      <c r="AC5299" s="32"/>
      <c r="AD5299" s="32"/>
      <c r="AE5299" s="32"/>
      <c r="AF5299" s="32"/>
      <c r="AG5299" s="32"/>
      <c r="AH5299" s="32"/>
    </row>
    <row r="5300" ht="12.75" hidden="1" customHeight="1" outlineLevel="1">
      <c r="A5300" s="122">
        <v>41968.0</v>
      </c>
      <c r="B5300" s="32" t="s">
        <v>343</v>
      </c>
      <c r="C5300" s="32" t="s">
        <v>2377</v>
      </c>
      <c r="D5300" s="708">
        <v>700.0</v>
      </c>
      <c r="E5300" s="195">
        <v>46.392</v>
      </c>
      <c r="F5300" s="709">
        <v>0.4081712962962963</v>
      </c>
      <c r="G5300" s="195" t="s">
        <v>453</v>
      </c>
      <c r="H5300" s="710">
        <v>3.4</v>
      </c>
      <c r="I5300" s="256"/>
      <c r="J5300" s="67">
        <f t="shared" si="332"/>
        <v>-32477.8</v>
      </c>
      <c r="K5300" s="7"/>
      <c r="L5300" s="70"/>
      <c r="M5300" s="79"/>
      <c r="N5300" s="32"/>
      <c r="O5300" s="32"/>
      <c r="P5300" s="32"/>
      <c r="Q5300" s="32"/>
      <c r="R5300" s="32"/>
      <c r="S5300" s="32"/>
      <c r="T5300" s="32"/>
      <c r="U5300" s="32"/>
      <c r="V5300" s="32"/>
      <c r="W5300" s="32"/>
      <c r="X5300" s="32"/>
      <c r="Y5300" s="32"/>
      <c r="Z5300" s="32"/>
      <c r="AA5300" s="32"/>
      <c r="AB5300" s="32"/>
      <c r="AC5300" s="32"/>
      <c r="AD5300" s="32"/>
      <c r="AE5300" s="32"/>
      <c r="AF5300" s="32"/>
      <c r="AG5300" s="32"/>
      <c r="AH5300" s="32"/>
    </row>
    <row r="5301" ht="12.75" hidden="1" customHeight="1" outlineLevel="1">
      <c r="A5301" s="122">
        <v>41968.0</v>
      </c>
      <c r="B5301" s="32" t="s">
        <v>343</v>
      </c>
      <c r="C5301" s="32" t="s">
        <v>1495</v>
      </c>
      <c r="D5301" s="708">
        <v>700.0</v>
      </c>
      <c r="E5301" s="195">
        <v>44.42</v>
      </c>
      <c r="F5301" s="709">
        <v>0.40847222222222224</v>
      </c>
      <c r="G5301" s="195" t="s">
        <v>453</v>
      </c>
      <c r="H5301" s="710">
        <v>2.9</v>
      </c>
      <c r="I5301" s="256"/>
      <c r="J5301" s="67">
        <f t="shared" si="332"/>
        <v>-31096.9</v>
      </c>
      <c r="K5301" s="7"/>
      <c r="L5301" s="70"/>
      <c r="M5301" s="79"/>
      <c r="N5301" s="32"/>
      <c r="O5301" s="32"/>
      <c r="P5301" s="32"/>
      <c r="Q5301" s="32"/>
      <c r="R5301" s="32"/>
      <c r="S5301" s="32"/>
      <c r="T5301" s="32"/>
      <c r="U5301" s="32"/>
      <c r="V5301" s="32"/>
      <c r="W5301" s="32"/>
      <c r="X5301" s="32"/>
      <c r="Y5301" s="32"/>
      <c r="Z5301" s="32"/>
      <c r="AA5301" s="32"/>
      <c r="AB5301" s="32"/>
      <c r="AC5301" s="32"/>
      <c r="AD5301" s="32"/>
      <c r="AE5301" s="32"/>
      <c r="AF5301" s="32"/>
      <c r="AG5301" s="32"/>
      <c r="AH5301" s="32"/>
    </row>
    <row r="5302" ht="12.75" hidden="1" customHeight="1" outlineLevel="1">
      <c r="A5302" s="122">
        <v>41968.0</v>
      </c>
      <c r="B5302" s="32" t="s">
        <v>347</v>
      </c>
      <c r="C5302" s="32" t="s">
        <v>369</v>
      </c>
      <c r="D5302" s="708">
        <v>500.0</v>
      </c>
      <c r="E5302" s="195">
        <v>9.191</v>
      </c>
      <c r="F5302" s="709">
        <v>0.5633333333333334</v>
      </c>
      <c r="G5302" s="195" t="s">
        <v>453</v>
      </c>
      <c r="H5302" s="710">
        <v>2.1</v>
      </c>
      <c r="I5302" s="256"/>
      <c r="J5302" s="67">
        <f t="shared" si="332"/>
        <v>4593.4</v>
      </c>
      <c r="K5302" s="7"/>
      <c r="L5302" s="70"/>
      <c r="M5302" s="79"/>
      <c r="N5302" s="32"/>
      <c r="O5302" s="32"/>
      <c r="P5302" s="32"/>
      <c r="Q5302" s="32"/>
      <c r="R5302" s="32"/>
      <c r="S5302" s="32"/>
      <c r="T5302" s="32"/>
      <c r="U5302" s="32"/>
      <c r="V5302" s="32"/>
      <c r="W5302" s="32"/>
      <c r="X5302" s="32"/>
      <c r="Y5302" s="32"/>
      <c r="Z5302" s="32"/>
      <c r="AA5302" s="32"/>
      <c r="AB5302" s="32"/>
      <c r="AC5302" s="32"/>
      <c r="AD5302" s="32"/>
      <c r="AE5302" s="32"/>
      <c r="AF5302" s="32"/>
      <c r="AG5302" s="32"/>
      <c r="AH5302" s="32"/>
    </row>
    <row r="5303" ht="12.75" hidden="1" customHeight="1" outlineLevel="1">
      <c r="A5303" s="122">
        <v>41968.0</v>
      </c>
      <c r="B5303" s="32" t="s">
        <v>347</v>
      </c>
      <c r="C5303" s="32" t="s">
        <v>790</v>
      </c>
      <c r="D5303" s="708">
        <v>500.0</v>
      </c>
      <c r="E5303" s="195">
        <v>10.35</v>
      </c>
      <c r="F5303" s="709">
        <v>0.6542129629629629</v>
      </c>
      <c r="G5303" s="195" t="s">
        <v>453</v>
      </c>
      <c r="H5303" s="710">
        <v>2.41</v>
      </c>
      <c r="I5303" s="256"/>
      <c r="J5303" s="67">
        <f t="shared" si="332"/>
        <v>5172.59</v>
      </c>
      <c r="K5303" s="7"/>
      <c r="L5303" s="70"/>
      <c r="M5303" s="79"/>
      <c r="N5303" s="32"/>
      <c r="O5303" s="32"/>
      <c r="P5303" s="32"/>
      <c r="Q5303" s="32"/>
      <c r="R5303" s="32"/>
      <c r="S5303" s="32"/>
      <c r="T5303" s="32"/>
      <c r="U5303" s="32"/>
      <c r="V5303" s="32"/>
      <c r="W5303" s="32"/>
      <c r="X5303" s="32"/>
      <c r="Y5303" s="32"/>
      <c r="Z5303" s="32"/>
      <c r="AA5303" s="32"/>
      <c r="AB5303" s="32"/>
      <c r="AC5303" s="32"/>
      <c r="AD5303" s="32"/>
      <c r="AE5303" s="32"/>
      <c r="AF5303" s="32"/>
      <c r="AG5303" s="32"/>
      <c r="AH5303" s="32"/>
    </row>
    <row r="5304" ht="12.75" hidden="1" customHeight="1" outlineLevel="1">
      <c r="A5304" s="122">
        <v>41968.0</v>
      </c>
      <c r="B5304" s="32" t="s">
        <v>347</v>
      </c>
      <c r="C5304" s="32" t="s">
        <v>784</v>
      </c>
      <c r="D5304" s="708">
        <v>600.0</v>
      </c>
      <c r="E5304" s="195">
        <v>9.381</v>
      </c>
      <c r="F5304" s="709">
        <v>0.6616666666666666</v>
      </c>
      <c r="G5304" s="195" t="s">
        <v>453</v>
      </c>
      <c r="H5304" s="710">
        <v>2.52</v>
      </c>
      <c r="I5304" s="256"/>
      <c r="J5304" s="67">
        <f t="shared" si="332"/>
        <v>5626.08</v>
      </c>
      <c r="K5304" s="7"/>
      <c r="L5304" s="70"/>
      <c r="M5304" s="79"/>
      <c r="N5304" s="32"/>
      <c r="O5304" s="32"/>
      <c r="P5304" s="32"/>
      <c r="Q5304" s="32"/>
      <c r="R5304" s="32"/>
      <c r="S5304" s="32"/>
      <c r="T5304" s="32"/>
      <c r="U5304" s="32"/>
      <c r="V5304" s="32"/>
      <c r="W5304" s="32"/>
      <c r="X5304" s="32"/>
      <c r="Y5304" s="32"/>
      <c r="Z5304" s="32"/>
      <c r="AA5304" s="32"/>
      <c r="AB5304" s="32"/>
      <c r="AC5304" s="32"/>
      <c r="AD5304" s="32"/>
      <c r="AE5304" s="32"/>
      <c r="AF5304" s="32"/>
      <c r="AG5304" s="32"/>
      <c r="AH5304" s="32"/>
    </row>
    <row r="5305" ht="12.75" hidden="1" customHeight="1" outlineLevel="1">
      <c r="A5305" s="122">
        <v>41969.0</v>
      </c>
      <c r="B5305" s="1"/>
      <c r="C5305" s="1" t="s">
        <v>339</v>
      </c>
      <c r="D5305" s="74"/>
      <c r="E5305" s="67"/>
      <c r="F5305" s="75"/>
      <c r="G5305" s="67"/>
      <c r="H5305" s="68"/>
      <c r="I5305" s="76"/>
      <c r="J5305" s="67"/>
      <c r="K5305" s="9" t="s">
        <v>2425</v>
      </c>
      <c r="L5305" s="77"/>
      <c r="M5305" s="79"/>
      <c r="N5305" s="1"/>
      <c r="O5305" s="1"/>
      <c r="P5305" s="1"/>
      <c r="Q5305" s="1"/>
      <c r="R5305" s="1"/>
      <c r="S5305" s="1"/>
      <c r="T5305" s="1"/>
      <c r="U5305" s="1"/>
      <c r="V5305" s="1"/>
      <c r="W5305" s="1"/>
      <c r="X5305" s="1"/>
      <c r="Y5305" s="1"/>
      <c r="Z5305" s="1"/>
      <c r="AA5305" s="1"/>
      <c r="AB5305" s="1"/>
      <c r="AC5305" s="1"/>
      <c r="AD5305" s="1"/>
      <c r="AE5305" s="1"/>
      <c r="AF5305" s="1"/>
      <c r="AG5305" s="1"/>
      <c r="AH5305" s="1"/>
    </row>
    <row r="5306" ht="12.75" hidden="1" customHeight="1" outlineLevel="1">
      <c r="A5306" s="122">
        <v>41969.0</v>
      </c>
      <c r="B5306" s="1"/>
      <c r="C5306" s="1" t="s">
        <v>429</v>
      </c>
      <c r="D5306" s="74"/>
      <c r="E5306" s="67"/>
      <c r="F5306" s="75"/>
      <c r="G5306" s="67"/>
      <c r="H5306" s="68"/>
      <c r="I5306" s="76"/>
      <c r="J5306" s="67"/>
      <c r="K5306" s="9" t="s">
        <v>2358</v>
      </c>
      <c r="L5306" s="77"/>
      <c r="M5306" s="79"/>
      <c r="N5306" s="1"/>
      <c r="O5306" s="1"/>
      <c r="P5306" s="1"/>
      <c r="Q5306" s="1"/>
      <c r="R5306" s="1"/>
      <c r="S5306" s="1"/>
      <c r="T5306" s="1"/>
      <c r="U5306" s="1"/>
      <c r="V5306" s="1"/>
      <c r="W5306" s="1"/>
      <c r="X5306" s="1"/>
      <c r="Y5306" s="1"/>
      <c r="Z5306" s="1"/>
      <c r="AA5306" s="1"/>
      <c r="AB5306" s="1"/>
      <c r="AC5306" s="1"/>
      <c r="AD5306" s="1"/>
      <c r="AE5306" s="1"/>
      <c r="AF5306" s="1"/>
      <c r="AG5306" s="1"/>
      <c r="AH5306" s="1"/>
    </row>
    <row r="5307" ht="12.75" hidden="1" customHeight="1" outlineLevel="1">
      <c r="A5307" s="122">
        <v>41969.0</v>
      </c>
      <c r="B5307" s="1"/>
      <c r="C5307" s="1" t="s">
        <v>431</v>
      </c>
      <c r="D5307" s="74"/>
      <c r="E5307" s="67"/>
      <c r="F5307" s="75"/>
      <c r="G5307" s="67"/>
      <c r="H5307" s="68"/>
      <c r="I5307" s="76"/>
      <c r="J5307" s="67"/>
      <c r="K5307" s="7" t="s">
        <v>1126</v>
      </c>
      <c r="L5307" s="77"/>
      <c r="M5307" s="79"/>
      <c r="N5307" s="1"/>
      <c r="O5307" s="1"/>
      <c r="P5307" s="1"/>
      <c r="Q5307" s="1"/>
      <c r="R5307" s="1"/>
      <c r="S5307" s="1"/>
      <c r="T5307" s="1"/>
      <c r="U5307" s="1"/>
      <c r="V5307" s="1"/>
      <c r="W5307" s="1"/>
      <c r="X5307" s="1"/>
      <c r="Y5307" s="1"/>
      <c r="Z5307" s="1"/>
      <c r="AA5307" s="1"/>
      <c r="AB5307" s="1"/>
      <c r="AC5307" s="1"/>
      <c r="AD5307" s="1"/>
      <c r="AE5307" s="1"/>
      <c r="AF5307" s="1"/>
      <c r="AG5307" s="1"/>
      <c r="AH5307" s="1"/>
    </row>
    <row r="5308" ht="12.75" hidden="1" customHeight="1" outlineLevel="1">
      <c r="A5308" s="122">
        <v>41969.0</v>
      </c>
      <c r="B5308" s="1"/>
      <c r="C5308" s="1" t="s">
        <v>433</v>
      </c>
      <c r="D5308" s="74"/>
      <c r="E5308" s="67"/>
      <c r="F5308" s="75"/>
      <c r="G5308" s="67"/>
      <c r="H5308" s="68"/>
      <c r="I5308" s="76"/>
      <c r="J5308" s="67"/>
      <c r="K5308" s="7" t="s">
        <v>1103</v>
      </c>
      <c r="L5308" s="77"/>
      <c r="M5308" s="79"/>
      <c r="N5308" s="1"/>
      <c r="O5308" s="1"/>
      <c r="P5308" s="1"/>
      <c r="Q5308" s="1"/>
      <c r="R5308" s="1"/>
      <c r="S5308" s="1"/>
      <c r="T5308" s="1"/>
      <c r="U5308" s="1"/>
      <c r="V5308" s="1"/>
      <c r="W5308" s="1"/>
      <c r="X5308" s="1"/>
      <c r="Y5308" s="1"/>
      <c r="Z5308" s="1"/>
      <c r="AA5308" s="1"/>
      <c r="AB5308" s="1"/>
      <c r="AC5308" s="1"/>
      <c r="AD5308" s="1"/>
      <c r="AE5308" s="1"/>
      <c r="AF5308" s="1"/>
      <c r="AG5308" s="1"/>
      <c r="AH5308" s="1"/>
    </row>
    <row r="5309" ht="12.75" hidden="1" customHeight="1" outlineLevel="1">
      <c r="A5309" s="122">
        <v>41969.0</v>
      </c>
      <c r="B5309" s="1"/>
      <c r="C5309" s="1" t="s">
        <v>435</v>
      </c>
      <c r="D5309" s="74"/>
      <c r="E5309" s="67"/>
      <c r="F5309" s="75"/>
      <c r="G5309" s="67"/>
      <c r="H5309" s="68"/>
      <c r="I5309" s="76"/>
      <c r="J5309" s="67"/>
      <c r="K5309" s="7" t="s">
        <v>1507</v>
      </c>
      <c r="L5309" s="77"/>
      <c r="M5309" s="79"/>
      <c r="N5309" s="1"/>
      <c r="O5309" s="1"/>
      <c r="P5309" s="1"/>
      <c r="Q5309" s="1"/>
      <c r="R5309" s="1"/>
      <c r="S5309" s="1"/>
      <c r="T5309" s="1"/>
      <c r="U5309" s="1"/>
      <c r="V5309" s="1"/>
      <c r="W5309" s="1"/>
      <c r="X5309" s="1"/>
      <c r="Y5309" s="1"/>
      <c r="Z5309" s="1"/>
      <c r="AA5309" s="1"/>
      <c r="AB5309" s="1"/>
      <c r="AC5309" s="1"/>
      <c r="AD5309" s="1"/>
      <c r="AE5309" s="1"/>
      <c r="AF5309" s="1"/>
      <c r="AG5309" s="1"/>
      <c r="AH5309" s="1"/>
    </row>
    <row r="5310" ht="12.75" hidden="1" customHeight="1" outlineLevel="1">
      <c r="A5310" s="122">
        <v>41971.0</v>
      </c>
      <c r="B5310" s="32" t="s">
        <v>347</v>
      </c>
      <c r="C5310" s="32" t="s">
        <v>369</v>
      </c>
      <c r="D5310" s="708">
        <v>700.0</v>
      </c>
      <c r="E5310" s="195">
        <v>8.8</v>
      </c>
      <c r="F5310" s="709">
        <v>0.4412037037037037</v>
      </c>
      <c r="G5310" s="195" t="s">
        <v>453</v>
      </c>
      <c r="H5310" s="710">
        <v>2.94</v>
      </c>
      <c r="I5310" s="256"/>
      <c r="J5310" s="67">
        <f t="shared" ref="J5310:J5314" si="333">IF(B5310="SLD",D5310*E5310,-D5310*E5310)-H5310</f>
        <v>6157.06</v>
      </c>
      <c r="K5310" s="7"/>
      <c r="L5310" s="70"/>
      <c r="M5310" s="79"/>
      <c r="N5310" s="32"/>
      <c r="O5310" s="32"/>
      <c r="P5310" s="32"/>
      <c r="Q5310" s="32"/>
      <c r="R5310" s="32"/>
      <c r="S5310" s="32"/>
      <c r="T5310" s="32"/>
      <c r="U5310" s="32"/>
      <c r="V5310" s="32"/>
      <c r="W5310" s="32"/>
      <c r="X5310" s="32"/>
      <c r="Y5310" s="32"/>
      <c r="Z5310" s="32"/>
      <c r="AA5310" s="32"/>
      <c r="AB5310" s="32"/>
      <c r="AC5310" s="32"/>
      <c r="AD5310" s="32"/>
      <c r="AE5310" s="32"/>
      <c r="AF5310" s="32"/>
      <c r="AG5310" s="32"/>
      <c r="AH5310" s="32"/>
    </row>
    <row r="5311" ht="12.75" hidden="1" customHeight="1" outlineLevel="1">
      <c r="A5311" s="122">
        <v>41974.0</v>
      </c>
      <c r="B5311" s="32" t="s">
        <v>343</v>
      </c>
      <c r="C5311" s="32" t="s">
        <v>1158</v>
      </c>
      <c r="D5311" s="708">
        <v>800.0</v>
      </c>
      <c r="E5311" s="195">
        <v>45.78</v>
      </c>
      <c r="F5311" s="709">
        <v>0.4369675925925926</v>
      </c>
      <c r="G5311" s="195" t="s">
        <v>453</v>
      </c>
      <c r="H5311" s="710">
        <v>3.6</v>
      </c>
      <c r="I5311" s="256"/>
      <c r="J5311" s="67">
        <f t="shared" si="333"/>
        <v>-36627.6</v>
      </c>
      <c r="K5311" s="7"/>
      <c r="L5311" s="70"/>
      <c r="M5311" s="79"/>
      <c r="N5311" s="32"/>
      <c r="O5311" s="32"/>
      <c r="P5311" s="32"/>
      <c r="Q5311" s="32"/>
      <c r="R5311" s="32"/>
      <c r="S5311" s="32"/>
      <c r="T5311" s="32"/>
      <c r="U5311" s="32"/>
      <c r="V5311" s="32"/>
      <c r="W5311" s="32"/>
      <c r="X5311" s="32"/>
      <c r="Y5311" s="32"/>
      <c r="Z5311" s="32"/>
      <c r="AA5311" s="32"/>
      <c r="AB5311" s="32"/>
      <c r="AC5311" s="32"/>
      <c r="AD5311" s="32"/>
      <c r="AE5311" s="32"/>
      <c r="AF5311" s="32"/>
      <c r="AG5311" s="32"/>
      <c r="AH5311" s="32"/>
    </row>
    <row r="5312" ht="12.75" hidden="1" customHeight="1" outlineLevel="1">
      <c r="A5312" s="122">
        <v>41974.0</v>
      </c>
      <c r="B5312" s="32" t="s">
        <v>347</v>
      </c>
      <c r="C5312" s="32" t="s">
        <v>784</v>
      </c>
      <c r="D5312" s="708">
        <v>600.0</v>
      </c>
      <c r="E5312" s="195">
        <v>8.89</v>
      </c>
      <c r="F5312" s="709">
        <v>0.3988888888888889</v>
      </c>
      <c r="G5312" s="195" t="s">
        <v>453</v>
      </c>
      <c r="H5312" s="710">
        <v>3.12</v>
      </c>
      <c r="I5312" s="256"/>
      <c r="J5312" s="67">
        <f t="shared" si="333"/>
        <v>5330.88</v>
      </c>
      <c r="K5312" s="7"/>
      <c r="L5312" s="70"/>
      <c r="M5312" s="79"/>
      <c r="N5312" s="32"/>
      <c r="O5312" s="32"/>
      <c r="P5312" s="32"/>
      <c r="Q5312" s="32"/>
      <c r="R5312" s="32"/>
      <c r="S5312" s="32"/>
      <c r="T5312" s="32"/>
      <c r="U5312" s="32"/>
      <c r="V5312" s="32"/>
      <c r="W5312" s="32"/>
      <c r="X5312" s="32"/>
      <c r="Y5312" s="32"/>
      <c r="Z5312" s="32"/>
      <c r="AA5312" s="32"/>
      <c r="AB5312" s="32"/>
      <c r="AC5312" s="32"/>
      <c r="AD5312" s="32"/>
      <c r="AE5312" s="32"/>
      <c r="AF5312" s="32"/>
      <c r="AG5312" s="32"/>
      <c r="AH5312" s="32"/>
    </row>
    <row r="5313" ht="12.75" hidden="1" customHeight="1" outlineLevel="1">
      <c r="A5313" s="122">
        <v>41974.0</v>
      </c>
      <c r="B5313" s="32" t="s">
        <v>347</v>
      </c>
      <c r="C5313" s="32" t="s">
        <v>369</v>
      </c>
      <c r="D5313" s="708">
        <v>800.0</v>
      </c>
      <c r="E5313" s="195">
        <v>8.8701</v>
      </c>
      <c r="F5313" s="709">
        <v>0.44006944444444446</v>
      </c>
      <c r="G5313" s="195" t="s">
        <v>453</v>
      </c>
      <c r="H5313" s="710">
        <v>3.36</v>
      </c>
      <c r="I5313" s="256"/>
      <c r="J5313" s="67">
        <f t="shared" si="333"/>
        <v>7092.72</v>
      </c>
      <c r="K5313" s="7"/>
      <c r="L5313" s="70"/>
      <c r="M5313" s="79"/>
      <c r="N5313" s="32"/>
      <c r="O5313" s="32"/>
      <c r="P5313" s="32"/>
      <c r="Q5313" s="32"/>
      <c r="R5313" s="32"/>
      <c r="S5313" s="32"/>
      <c r="T5313" s="32"/>
      <c r="U5313" s="32"/>
      <c r="V5313" s="32"/>
      <c r="W5313" s="32"/>
      <c r="X5313" s="32"/>
      <c r="Y5313" s="32"/>
      <c r="Z5313" s="32"/>
      <c r="AA5313" s="32"/>
      <c r="AB5313" s="32"/>
      <c r="AC5313" s="32"/>
      <c r="AD5313" s="32"/>
      <c r="AE5313" s="32"/>
      <c r="AF5313" s="32"/>
      <c r="AG5313" s="32"/>
      <c r="AH5313" s="32"/>
    </row>
    <row r="5314" ht="12.75" hidden="1" customHeight="1" outlineLevel="1">
      <c r="A5314" s="122">
        <v>41974.0</v>
      </c>
      <c r="B5314" s="32" t="s">
        <v>347</v>
      </c>
      <c r="C5314" s="32" t="s">
        <v>784</v>
      </c>
      <c r="D5314" s="708">
        <v>800.0</v>
      </c>
      <c r="E5314" s="195">
        <v>8.7233</v>
      </c>
      <c r="F5314" s="709">
        <v>0.44026620370370373</v>
      </c>
      <c r="G5314" s="195" t="s">
        <v>453</v>
      </c>
      <c r="H5314" s="710">
        <v>3.35</v>
      </c>
      <c r="I5314" s="256"/>
      <c r="J5314" s="67">
        <f t="shared" si="333"/>
        <v>6975.29</v>
      </c>
      <c r="K5314" s="7"/>
      <c r="L5314" s="70"/>
      <c r="M5314" s="79"/>
      <c r="N5314" s="32"/>
      <c r="O5314" s="32"/>
      <c r="P5314" s="32"/>
      <c r="Q5314" s="32"/>
      <c r="R5314" s="32"/>
      <c r="S5314" s="32"/>
      <c r="T5314" s="32"/>
      <c r="U5314" s="32"/>
      <c r="V5314" s="32"/>
      <c r="W5314" s="32"/>
      <c r="X5314" s="32"/>
      <c r="Y5314" s="32"/>
      <c r="Z5314" s="32"/>
      <c r="AA5314" s="32"/>
      <c r="AB5314" s="32"/>
      <c r="AC5314" s="32"/>
      <c r="AD5314" s="32"/>
      <c r="AE5314" s="32"/>
      <c r="AF5314" s="32"/>
      <c r="AG5314" s="32"/>
      <c r="AH5314" s="32"/>
    </row>
    <row r="5315" ht="12.75" hidden="1" customHeight="1" outlineLevel="1">
      <c r="A5315" s="122">
        <v>41974.0</v>
      </c>
      <c r="B5315" s="1"/>
      <c r="C5315" s="1" t="s">
        <v>339</v>
      </c>
      <c r="D5315" s="74"/>
      <c r="E5315" s="67"/>
      <c r="F5315" s="75"/>
      <c r="G5315" s="67"/>
      <c r="H5315" s="68"/>
      <c r="I5315" s="76"/>
      <c r="J5315" s="67"/>
      <c r="K5315" s="9" t="s">
        <v>2437</v>
      </c>
      <c r="L5315" s="77"/>
      <c r="M5315" s="79"/>
      <c r="N5315" s="1"/>
      <c r="O5315" s="1"/>
      <c r="P5315" s="1"/>
      <c r="Q5315" s="1"/>
      <c r="R5315" s="1"/>
      <c r="S5315" s="1"/>
      <c r="T5315" s="1"/>
      <c r="U5315" s="1"/>
      <c r="V5315" s="1"/>
      <c r="W5315" s="1"/>
      <c r="X5315" s="1"/>
      <c r="Y5315" s="1"/>
      <c r="Z5315" s="1"/>
      <c r="AA5315" s="1"/>
      <c r="AB5315" s="1"/>
      <c r="AC5315" s="1"/>
      <c r="AD5315" s="1"/>
      <c r="AE5315" s="1"/>
      <c r="AF5315" s="1"/>
      <c r="AG5315" s="1"/>
      <c r="AH5315" s="1"/>
    </row>
    <row r="5316" ht="12.75" hidden="1" customHeight="1" outlineLevel="1">
      <c r="A5316" s="122">
        <v>41974.0</v>
      </c>
      <c r="B5316" s="1"/>
      <c r="C5316" s="1" t="s">
        <v>429</v>
      </c>
      <c r="D5316" s="74"/>
      <c r="E5316" s="67"/>
      <c r="F5316" s="75"/>
      <c r="G5316" s="67"/>
      <c r="H5316" s="68"/>
      <c r="I5316" s="76"/>
      <c r="J5316" s="67"/>
      <c r="K5316" s="9" t="s">
        <v>2358</v>
      </c>
      <c r="L5316" s="77"/>
      <c r="M5316" s="79"/>
      <c r="N5316" s="1"/>
      <c r="O5316" s="1"/>
      <c r="P5316" s="1"/>
      <c r="Q5316" s="1"/>
      <c r="R5316" s="1"/>
      <c r="S5316" s="1"/>
      <c r="T5316" s="1"/>
      <c r="U5316" s="1"/>
      <c r="V5316" s="1"/>
      <c r="W5316" s="1"/>
      <c r="X5316" s="1"/>
      <c r="Y5316" s="1"/>
      <c r="Z5316" s="1"/>
      <c r="AA5316" s="1"/>
      <c r="AB5316" s="1"/>
      <c r="AC5316" s="1"/>
      <c r="AD5316" s="1"/>
      <c r="AE5316" s="1"/>
      <c r="AF5316" s="1"/>
      <c r="AG5316" s="1"/>
      <c r="AH5316" s="1"/>
    </row>
    <row r="5317" ht="12.75" hidden="1" customHeight="1" outlineLevel="1">
      <c r="A5317" s="122">
        <v>41974.0</v>
      </c>
      <c r="B5317" s="1"/>
      <c r="C5317" s="1" t="s">
        <v>431</v>
      </c>
      <c r="D5317" s="74"/>
      <c r="E5317" s="67"/>
      <c r="F5317" s="75"/>
      <c r="G5317" s="67"/>
      <c r="H5317" s="68"/>
      <c r="I5317" s="76"/>
      <c r="J5317" s="67"/>
      <c r="K5317" s="7" t="s">
        <v>1126</v>
      </c>
      <c r="L5317" s="77"/>
      <c r="M5317" s="79"/>
      <c r="N5317" s="1"/>
      <c r="O5317" s="1"/>
      <c r="P5317" s="1"/>
      <c r="Q5317" s="1"/>
      <c r="R5317" s="1"/>
      <c r="S5317" s="1"/>
      <c r="T5317" s="1"/>
      <c r="U5317" s="1"/>
      <c r="V5317" s="1"/>
      <c r="W5317" s="1"/>
      <c r="X5317" s="1"/>
      <c r="Y5317" s="1"/>
      <c r="Z5317" s="1"/>
      <c r="AA5317" s="1"/>
      <c r="AB5317" s="1"/>
      <c r="AC5317" s="1"/>
      <c r="AD5317" s="1"/>
      <c r="AE5317" s="1"/>
      <c r="AF5317" s="1"/>
      <c r="AG5317" s="1"/>
      <c r="AH5317" s="1"/>
    </row>
    <row r="5318" ht="12.75" hidden="1" customHeight="1" outlineLevel="1">
      <c r="A5318" s="122">
        <v>41974.0</v>
      </c>
      <c r="B5318" s="1"/>
      <c r="C5318" s="1" t="s">
        <v>433</v>
      </c>
      <c r="D5318" s="74"/>
      <c r="E5318" s="67"/>
      <c r="F5318" s="75"/>
      <c r="G5318" s="67"/>
      <c r="H5318" s="68"/>
      <c r="I5318" s="76"/>
      <c r="J5318" s="67"/>
      <c r="K5318" s="7" t="s">
        <v>1103</v>
      </c>
      <c r="L5318" s="77"/>
      <c r="M5318" s="79"/>
      <c r="N5318" s="1"/>
      <c r="O5318" s="1"/>
      <c r="P5318" s="1"/>
      <c r="Q5318" s="1"/>
      <c r="R5318" s="1"/>
      <c r="S5318" s="1"/>
      <c r="T5318" s="1"/>
      <c r="U5318" s="1"/>
      <c r="V5318" s="1"/>
      <c r="W5318" s="1"/>
      <c r="X5318" s="1"/>
      <c r="Y5318" s="1"/>
      <c r="Z5318" s="1"/>
      <c r="AA5318" s="1"/>
      <c r="AB5318" s="1"/>
      <c r="AC5318" s="1"/>
      <c r="AD5318" s="1"/>
      <c r="AE5318" s="1"/>
      <c r="AF5318" s="1"/>
      <c r="AG5318" s="1"/>
      <c r="AH5318" s="1"/>
    </row>
    <row r="5319" ht="12.75" hidden="1" customHeight="1" outlineLevel="1">
      <c r="A5319" s="122">
        <v>41974.0</v>
      </c>
      <c r="B5319" s="1"/>
      <c r="C5319" s="1" t="s">
        <v>435</v>
      </c>
      <c r="D5319" s="74"/>
      <c r="E5319" s="67"/>
      <c r="F5319" s="75"/>
      <c r="G5319" s="67"/>
      <c r="H5319" s="68"/>
      <c r="I5319" s="76"/>
      <c r="J5319" s="67"/>
      <c r="K5319" s="7" t="s">
        <v>1507</v>
      </c>
      <c r="L5319" s="77"/>
      <c r="M5319" s="79"/>
      <c r="N5319" s="1"/>
      <c r="O5319" s="1"/>
      <c r="P5319" s="1"/>
      <c r="Q5319" s="1"/>
      <c r="R5319" s="1"/>
      <c r="S5319" s="1"/>
      <c r="T5319" s="1"/>
      <c r="U5319" s="1"/>
      <c r="V5319" s="1"/>
      <c r="W5319" s="1"/>
      <c r="X5319" s="1"/>
      <c r="Y5319" s="1"/>
      <c r="Z5319" s="1"/>
      <c r="AA5319" s="1"/>
      <c r="AB5319" s="1"/>
      <c r="AC5319" s="1"/>
      <c r="AD5319" s="1"/>
      <c r="AE5319" s="1"/>
      <c r="AF5319" s="1"/>
      <c r="AG5319" s="1"/>
      <c r="AH5319" s="1"/>
    </row>
    <row r="5320" ht="12.75" hidden="1" customHeight="1" outlineLevel="1">
      <c r="A5320" s="122">
        <v>41975.0</v>
      </c>
      <c r="B5320" s="32" t="s">
        <v>343</v>
      </c>
      <c r="C5320" s="32" t="s">
        <v>605</v>
      </c>
      <c r="D5320" s="708">
        <v>100.0</v>
      </c>
      <c r="E5320" s="195">
        <v>73.689</v>
      </c>
      <c r="F5320" s="709">
        <v>0.5597800925925925</v>
      </c>
      <c r="G5320" s="195" t="s">
        <v>453</v>
      </c>
      <c r="H5320" s="710">
        <v>1.0</v>
      </c>
      <c r="I5320" s="256"/>
      <c r="J5320" s="67">
        <f t="shared" ref="J5320:J5325" si="334">IF(B5320="SLD",D5320*E5320,-D5320*E5320)-H5320</f>
        <v>-7369.9</v>
      </c>
      <c r="K5320" s="7"/>
      <c r="L5320" s="70"/>
      <c r="M5320" s="79"/>
      <c r="N5320" s="32"/>
      <c r="O5320" s="32"/>
      <c r="P5320" s="32"/>
      <c r="Q5320" s="32"/>
      <c r="R5320" s="32"/>
      <c r="S5320" s="32"/>
      <c r="T5320" s="32"/>
      <c r="U5320" s="32"/>
      <c r="V5320" s="32"/>
      <c r="W5320" s="32"/>
      <c r="X5320" s="32"/>
      <c r="Y5320" s="32"/>
      <c r="Z5320" s="32"/>
      <c r="AA5320" s="32"/>
      <c r="AB5320" s="32"/>
      <c r="AC5320" s="32"/>
      <c r="AD5320" s="32"/>
      <c r="AE5320" s="32"/>
      <c r="AF5320" s="32"/>
      <c r="AG5320" s="32"/>
      <c r="AH5320" s="32"/>
    </row>
    <row r="5321" ht="12.75" hidden="1" customHeight="1" outlineLevel="1">
      <c r="A5321" s="122">
        <v>41975.0</v>
      </c>
      <c r="B5321" s="32" t="s">
        <v>343</v>
      </c>
      <c r="C5321" s="32" t="s">
        <v>1158</v>
      </c>
      <c r="D5321" s="708">
        <v>200.0</v>
      </c>
      <c r="E5321" s="195">
        <v>45.858</v>
      </c>
      <c r="F5321" s="709">
        <v>0.4166550925925926</v>
      </c>
      <c r="G5321" s="195" t="s">
        <v>453</v>
      </c>
      <c r="H5321" s="710">
        <v>1.0</v>
      </c>
      <c r="I5321" s="256"/>
      <c r="J5321" s="67">
        <f t="shared" si="334"/>
        <v>-9172.6</v>
      </c>
      <c r="K5321" s="7"/>
      <c r="L5321" s="70"/>
      <c r="M5321" s="79"/>
      <c r="N5321" s="32"/>
      <c r="O5321" s="32"/>
      <c r="P5321" s="32"/>
      <c r="Q5321" s="32"/>
      <c r="R5321" s="32"/>
      <c r="S5321" s="32"/>
      <c r="T5321" s="32"/>
      <c r="U5321" s="32"/>
      <c r="V5321" s="32"/>
      <c r="W5321" s="32"/>
      <c r="X5321" s="32"/>
      <c r="Y5321" s="32"/>
      <c r="Z5321" s="32"/>
      <c r="AA5321" s="32"/>
      <c r="AB5321" s="32"/>
      <c r="AC5321" s="32"/>
      <c r="AD5321" s="32"/>
      <c r="AE5321" s="32"/>
      <c r="AF5321" s="32"/>
      <c r="AG5321" s="32"/>
      <c r="AH5321" s="32"/>
    </row>
    <row r="5322" ht="12.75" hidden="1" customHeight="1" outlineLevel="1">
      <c r="A5322" s="122">
        <v>41975.0</v>
      </c>
      <c r="B5322" s="32" t="s">
        <v>343</v>
      </c>
      <c r="C5322" s="32" t="s">
        <v>870</v>
      </c>
      <c r="D5322" s="708">
        <v>350.0</v>
      </c>
      <c r="E5322" s="195">
        <v>94.15</v>
      </c>
      <c r="F5322" s="709">
        <v>0.6664699074074074</v>
      </c>
      <c r="G5322" s="195" t="s">
        <v>453</v>
      </c>
      <c r="H5322" s="710">
        <v>1.65</v>
      </c>
      <c r="I5322" s="256"/>
      <c r="J5322" s="67">
        <f t="shared" si="334"/>
        <v>-32954.15</v>
      </c>
      <c r="K5322" s="7"/>
      <c r="L5322" s="70"/>
      <c r="M5322" s="79"/>
      <c r="N5322" s="32"/>
      <c r="O5322" s="32"/>
      <c r="P5322" s="32"/>
      <c r="Q5322" s="32"/>
      <c r="R5322" s="32"/>
      <c r="S5322" s="32"/>
      <c r="T5322" s="32"/>
      <c r="U5322" s="32"/>
      <c r="V5322" s="32"/>
      <c r="W5322" s="32"/>
      <c r="X5322" s="32"/>
      <c r="Y5322" s="32"/>
      <c r="Z5322" s="32"/>
      <c r="AA5322" s="32"/>
      <c r="AB5322" s="32"/>
      <c r="AC5322" s="32"/>
      <c r="AD5322" s="32"/>
      <c r="AE5322" s="32"/>
      <c r="AF5322" s="32"/>
      <c r="AG5322" s="32"/>
      <c r="AH5322" s="32"/>
    </row>
    <row r="5323" ht="12.75" hidden="1" customHeight="1" outlineLevel="1">
      <c r="A5323" s="122">
        <v>41975.0</v>
      </c>
      <c r="B5323" s="32" t="s">
        <v>347</v>
      </c>
      <c r="C5323" s="32" t="s">
        <v>1844</v>
      </c>
      <c r="D5323" s="708">
        <v>500.0</v>
      </c>
      <c r="E5323" s="195">
        <v>39.932</v>
      </c>
      <c r="F5323" s="709">
        <v>0.4188310185185185</v>
      </c>
      <c r="G5323" s="195" t="s">
        <v>453</v>
      </c>
      <c r="H5323" s="710">
        <v>2.44</v>
      </c>
      <c r="I5323" s="256"/>
      <c r="J5323" s="67">
        <f t="shared" si="334"/>
        <v>19963.56</v>
      </c>
      <c r="K5323" s="7"/>
      <c r="L5323" s="70"/>
      <c r="M5323" s="79"/>
      <c r="N5323" s="32"/>
      <c r="O5323" s="32"/>
      <c r="P5323" s="32"/>
      <c r="Q5323" s="32"/>
      <c r="R5323" s="32"/>
      <c r="S5323" s="32"/>
      <c r="T5323" s="32"/>
      <c r="U5323" s="32"/>
      <c r="V5323" s="32"/>
      <c r="W5323" s="32"/>
      <c r="X5323" s="32"/>
      <c r="Y5323" s="32"/>
      <c r="Z5323" s="32"/>
      <c r="AA5323" s="32"/>
      <c r="AB5323" s="32"/>
      <c r="AC5323" s="32"/>
      <c r="AD5323" s="32"/>
      <c r="AE5323" s="32"/>
      <c r="AF5323" s="32"/>
      <c r="AG5323" s="32"/>
      <c r="AH5323" s="32"/>
    </row>
    <row r="5324" ht="12.75" hidden="1" customHeight="1" outlineLevel="1">
      <c r="A5324" s="122">
        <v>41975.0</v>
      </c>
      <c r="B5324" s="32" t="s">
        <v>347</v>
      </c>
      <c r="C5324" s="32" t="s">
        <v>784</v>
      </c>
      <c r="D5324" s="708">
        <v>1000.0</v>
      </c>
      <c r="E5324" s="195">
        <v>8.53</v>
      </c>
      <c r="F5324" s="709">
        <v>0.5633449074074074</v>
      </c>
      <c r="G5324" s="195" t="s">
        <v>453</v>
      </c>
      <c r="H5324" s="710">
        <v>5.09</v>
      </c>
      <c r="I5324" s="256"/>
      <c r="J5324" s="67">
        <f t="shared" si="334"/>
        <v>8524.91</v>
      </c>
      <c r="K5324" s="7"/>
      <c r="L5324" s="70"/>
      <c r="M5324" s="79"/>
      <c r="N5324" s="32"/>
      <c r="O5324" s="32"/>
      <c r="P5324" s="32"/>
      <c r="Q5324" s="32"/>
      <c r="R5324" s="32"/>
      <c r="S5324" s="32"/>
      <c r="T5324" s="32"/>
      <c r="U5324" s="32"/>
      <c r="V5324" s="32"/>
      <c r="W5324" s="32"/>
      <c r="X5324" s="32"/>
      <c r="Y5324" s="32"/>
      <c r="Z5324" s="32"/>
      <c r="AA5324" s="32"/>
      <c r="AB5324" s="32"/>
      <c r="AC5324" s="32"/>
      <c r="AD5324" s="32"/>
      <c r="AE5324" s="32"/>
      <c r="AF5324" s="32"/>
      <c r="AG5324" s="32"/>
      <c r="AH5324" s="32"/>
    </row>
    <row r="5325" ht="12.75" hidden="1" customHeight="1" outlineLevel="1">
      <c r="A5325" s="122">
        <v>41975.0</v>
      </c>
      <c r="B5325" s="32" t="s">
        <v>347</v>
      </c>
      <c r="C5325" s="32" t="s">
        <v>790</v>
      </c>
      <c r="D5325" s="708">
        <v>1500.0</v>
      </c>
      <c r="E5325" s="195">
        <v>9.051</v>
      </c>
      <c r="F5325" s="709">
        <v>0.5474768518518518</v>
      </c>
      <c r="G5325" s="195" t="s">
        <v>453</v>
      </c>
      <c r="H5325" s="710">
        <v>6.3</v>
      </c>
      <c r="I5325" s="256"/>
      <c r="J5325" s="67">
        <f t="shared" si="334"/>
        <v>13570.2</v>
      </c>
      <c r="K5325" s="7"/>
      <c r="L5325" s="70"/>
      <c r="M5325" s="79"/>
      <c r="N5325" s="32"/>
      <c r="O5325" s="32"/>
      <c r="P5325" s="32"/>
      <c r="Q5325" s="32"/>
      <c r="R5325" s="32"/>
      <c r="S5325" s="32"/>
      <c r="T5325" s="32"/>
      <c r="U5325" s="32"/>
      <c r="V5325" s="32"/>
      <c r="W5325" s="32"/>
      <c r="X5325" s="32"/>
      <c r="Y5325" s="32"/>
      <c r="Z5325" s="32"/>
      <c r="AA5325" s="32"/>
      <c r="AB5325" s="32"/>
      <c r="AC5325" s="32"/>
      <c r="AD5325" s="32"/>
      <c r="AE5325" s="32"/>
      <c r="AF5325" s="32"/>
      <c r="AG5325" s="32"/>
      <c r="AH5325" s="32"/>
    </row>
    <row r="5326" ht="12.75" hidden="1" customHeight="1" outlineLevel="1">
      <c r="A5326" s="122">
        <v>41975.0</v>
      </c>
      <c r="B5326" s="1"/>
      <c r="C5326" s="1" t="s">
        <v>339</v>
      </c>
      <c r="D5326" s="74"/>
      <c r="E5326" s="67"/>
      <c r="F5326" s="75"/>
      <c r="G5326" s="67"/>
      <c r="H5326" s="68"/>
      <c r="I5326" s="76"/>
      <c r="J5326" s="67"/>
      <c r="K5326" s="9" t="s">
        <v>2447</v>
      </c>
      <c r="L5326" s="77"/>
      <c r="M5326" s="79"/>
      <c r="N5326" s="1"/>
      <c r="O5326" s="1"/>
      <c r="P5326" s="1"/>
      <c r="Q5326" s="1"/>
      <c r="R5326" s="1"/>
      <c r="S5326" s="1"/>
      <c r="T5326" s="1"/>
      <c r="U5326" s="1"/>
      <c r="V5326" s="1"/>
      <c r="W5326" s="1"/>
      <c r="X5326" s="1"/>
      <c r="Y5326" s="1"/>
      <c r="Z5326" s="1"/>
      <c r="AA5326" s="1"/>
      <c r="AB5326" s="1"/>
      <c r="AC5326" s="1"/>
      <c r="AD5326" s="1"/>
      <c r="AE5326" s="1"/>
      <c r="AF5326" s="1"/>
      <c r="AG5326" s="1"/>
      <c r="AH5326" s="1"/>
    </row>
    <row r="5327" ht="12.75" hidden="1" customHeight="1" outlineLevel="1">
      <c r="A5327" s="122">
        <v>41975.0</v>
      </c>
      <c r="B5327" s="1"/>
      <c r="C5327" s="1" t="s">
        <v>429</v>
      </c>
      <c r="D5327" s="74"/>
      <c r="E5327" s="67"/>
      <c r="F5327" s="75"/>
      <c r="G5327" s="67"/>
      <c r="H5327" s="68"/>
      <c r="I5327" s="76"/>
      <c r="J5327" s="67"/>
      <c r="K5327" s="9" t="s">
        <v>2358</v>
      </c>
      <c r="L5327" s="77"/>
      <c r="M5327" s="79"/>
      <c r="N5327" s="1"/>
      <c r="O5327" s="1"/>
      <c r="P5327" s="1"/>
      <c r="Q5327" s="1"/>
      <c r="R5327" s="1"/>
      <c r="S5327" s="1"/>
      <c r="T5327" s="1"/>
      <c r="U5327" s="1"/>
      <c r="V5327" s="1"/>
      <c r="W5327" s="1"/>
      <c r="X5327" s="1"/>
      <c r="Y5327" s="1"/>
      <c r="Z5327" s="1"/>
      <c r="AA5327" s="1"/>
      <c r="AB5327" s="1"/>
      <c r="AC5327" s="1"/>
      <c r="AD5327" s="1"/>
      <c r="AE5327" s="1"/>
      <c r="AF5327" s="1"/>
      <c r="AG5327" s="1"/>
      <c r="AH5327" s="1"/>
    </row>
    <row r="5328" ht="12.75" hidden="1" customHeight="1" outlineLevel="1">
      <c r="A5328" s="122">
        <v>41975.0</v>
      </c>
      <c r="B5328" s="1"/>
      <c r="C5328" s="1" t="s">
        <v>431</v>
      </c>
      <c r="D5328" s="74"/>
      <c r="E5328" s="67"/>
      <c r="F5328" s="75"/>
      <c r="G5328" s="67"/>
      <c r="H5328" s="68"/>
      <c r="I5328" s="76"/>
      <c r="J5328" s="67"/>
      <c r="K5328" s="7" t="s">
        <v>1126</v>
      </c>
      <c r="L5328" s="77"/>
      <c r="M5328" s="79"/>
      <c r="N5328" s="1"/>
      <c r="O5328" s="1"/>
      <c r="P5328" s="1"/>
      <c r="Q5328" s="1"/>
      <c r="R5328" s="1"/>
      <c r="S5328" s="1"/>
      <c r="T5328" s="1"/>
      <c r="U5328" s="1"/>
      <c r="V5328" s="1"/>
      <c r="W5328" s="1"/>
      <c r="X5328" s="1"/>
      <c r="Y5328" s="1"/>
      <c r="Z5328" s="1"/>
      <c r="AA5328" s="1"/>
      <c r="AB5328" s="1"/>
      <c r="AC5328" s="1"/>
      <c r="AD5328" s="1"/>
      <c r="AE5328" s="1"/>
      <c r="AF5328" s="1"/>
      <c r="AG5328" s="1"/>
      <c r="AH5328" s="1"/>
    </row>
    <row r="5329" ht="12.75" hidden="1" customHeight="1" outlineLevel="1">
      <c r="A5329" s="122">
        <v>41975.0</v>
      </c>
      <c r="B5329" s="1"/>
      <c r="C5329" s="1" t="s">
        <v>433</v>
      </c>
      <c r="D5329" s="74"/>
      <c r="E5329" s="67"/>
      <c r="F5329" s="75"/>
      <c r="G5329" s="67"/>
      <c r="H5329" s="68"/>
      <c r="I5329" s="76"/>
      <c r="J5329" s="67"/>
      <c r="K5329" s="7" t="s">
        <v>1103</v>
      </c>
      <c r="L5329" s="77"/>
      <c r="M5329" s="79"/>
      <c r="N5329" s="1"/>
      <c r="O5329" s="1"/>
      <c r="P5329" s="1"/>
      <c r="Q5329" s="1"/>
      <c r="R5329" s="1"/>
      <c r="S5329" s="1"/>
      <c r="T5329" s="1"/>
      <c r="U5329" s="1"/>
      <c r="V5329" s="1"/>
      <c r="W5329" s="1"/>
      <c r="X5329" s="1"/>
      <c r="Y5329" s="1"/>
      <c r="Z5329" s="1"/>
      <c r="AA5329" s="1"/>
      <c r="AB5329" s="1"/>
      <c r="AC5329" s="1"/>
      <c r="AD5329" s="1"/>
      <c r="AE5329" s="1"/>
      <c r="AF5329" s="1"/>
      <c r="AG5329" s="1"/>
      <c r="AH5329" s="1"/>
    </row>
    <row r="5330" ht="12.75" hidden="1" customHeight="1" outlineLevel="1">
      <c r="A5330" s="122">
        <v>41975.0</v>
      </c>
      <c r="B5330" s="1"/>
      <c r="C5330" s="1" t="s">
        <v>435</v>
      </c>
      <c r="D5330" s="74"/>
      <c r="E5330" s="67"/>
      <c r="F5330" s="75"/>
      <c r="G5330" s="67"/>
      <c r="H5330" s="68"/>
      <c r="I5330" s="76"/>
      <c r="J5330" s="67"/>
      <c r="K5330" s="7" t="s">
        <v>1507</v>
      </c>
      <c r="L5330" s="77"/>
      <c r="M5330" s="79"/>
      <c r="N5330" s="1"/>
      <c r="O5330" s="1"/>
      <c r="P5330" s="1"/>
      <c r="Q5330" s="1"/>
      <c r="R5330" s="1"/>
      <c r="S5330" s="1"/>
      <c r="T5330" s="1"/>
      <c r="U5330" s="1"/>
      <c r="V5330" s="1"/>
      <c r="W5330" s="1"/>
      <c r="X5330" s="1"/>
      <c r="Y5330" s="1"/>
      <c r="Z5330" s="1"/>
      <c r="AA5330" s="1"/>
      <c r="AB5330" s="1"/>
      <c r="AC5330" s="1"/>
      <c r="AD5330" s="1"/>
      <c r="AE5330" s="1"/>
      <c r="AF5330" s="1"/>
      <c r="AG5330" s="1"/>
      <c r="AH5330" s="1"/>
    </row>
    <row r="5331" ht="12.75" hidden="1" customHeight="1" outlineLevel="1">
      <c r="A5331" s="122">
        <v>41976.0</v>
      </c>
      <c r="B5331" s="32" t="s">
        <v>343</v>
      </c>
      <c r="C5331" s="32" t="s">
        <v>1158</v>
      </c>
      <c r="D5331" s="708">
        <v>1000.0</v>
      </c>
      <c r="E5331" s="195">
        <v>44.56</v>
      </c>
      <c r="F5331" s="709">
        <v>0.4795023148148148</v>
      </c>
      <c r="G5331" s="195" t="s">
        <v>453</v>
      </c>
      <c r="H5331" s="710">
        <v>5.0</v>
      </c>
      <c r="I5331" s="256"/>
      <c r="J5331" s="67">
        <f t="shared" ref="J5331:J5332" si="335">IF(B5331="SLD",D5331*E5331,-D5331*E5331)-H5331</f>
        <v>-44565</v>
      </c>
      <c r="K5331" s="7"/>
      <c r="L5331" s="70"/>
      <c r="M5331" s="79"/>
      <c r="N5331" s="32"/>
      <c r="O5331" s="32"/>
      <c r="P5331" s="32"/>
      <c r="Q5331" s="32"/>
      <c r="R5331" s="32"/>
      <c r="S5331" s="32"/>
      <c r="T5331" s="32"/>
      <c r="U5331" s="32"/>
      <c r="V5331" s="32"/>
      <c r="W5331" s="32"/>
      <c r="X5331" s="32"/>
      <c r="Y5331" s="32"/>
      <c r="Z5331" s="32"/>
      <c r="AA5331" s="32"/>
      <c r="AB5331" s="32"/>
      <c r="AC5331" s="32"/>
      <c r="AD5331" s="32"/>
      <c r="AE5331" s="32"/>
      <c r="AF5331" s="32"/>
      <c r="AG5331" s="32"/>
      <c r="AH5331" s="32"/>
    </row>
    <row r="5332" ht="12.75" hidden="1" customHeight="1" outlineLevel="1">
      <c r="A5332" s="122">
        <v>41976.0</v>
      </c>
      <c r="B5332" s="32" t="s">
        <v>347</v>
      </c>
      <c r="C5332" s="32" t="s">
        <v>1158</v>
      </c>
      <c r="D5332" s="708">
        <v>1000.0</v>
      </c>
      <c r="E5332" s="195">
        <v>43.95</v>
      </c>
      <c r="F5332" s="709">
        <v>0.4635532407407407</v>
      </c>
      <c r="G5332" s="195" t="s">
        <v>453</v>
      </c>
      <c r="H5332" s="710">
        <v>5.87</v>
      </c>
      <c r="I5332" s="256"/>
      <c r="J5332" s="67">
        <f t="shared" si="335"/>
        <v>43944.13</v>
      </c>
      <c r="K5332" s="7"/>
      <c r="L5332" s="70"/>
      <c r="M5332" s="79"/>
      <c r="N5332" s="32"/>
      <c r="O5332" s="32"/>
      <c r="P5332" s="32"/>
      <c r="Q5332" s="32"/>
      <c r="R5332" s="32"/>
      <c r="S5332" s="32"/>
      <c r="T5332" s="32"/>
      <c r="U5332" s="32"/>
      <c r="V5332" s="32"/>
      <c r="W5332" s="32"/>
      <c r="X5332" s="32"/>
      <c r="Y5332" s="32"/>
      <c r="Z5332" s="32"/>
      <c r="AA5332" s="32"/>
      <c r="AB5332" s="32"/>
      <c r="AC5332" s="32"/>
      <c r="AD5332" s="32"/>
      <c r="AE5332" s="32"/>
      <c r="AF5332" s="32"/>
      <c r="AG5332" s="32"/>
      <c r="AH5332" s="32"/>
    </row>
    <row r="5333" ht="12.75" hidden="1" customHeight="1" outlineLevel="1">
      <c r="A5333" s="882">
        <v>41976.0</v>
      </c>
      <c r="B5333" s="1"/>
      <c r="C5333" s="1" t="s">
        <v>339</v>
      </c>
      <c r="D5333" s="74"/>
      <c r="E5333" s="67"/>
      <c r="F5333" s="75"/>
      <c r="G5333" s="67"/>
      <c r="H5333" s="68"/>
      <c r="I5333" s="76"/>
      <c r="J5333" s="67"/>
      <c r="K5333" s="9" t="s">
        <v>2457</v>
      </c>
      <c r="L5333" s="77"/>
      <c r="M5333" s="79"/>
      <c r="N5333" s="1"/>
      <c r="O5333" s="1"/>
      <c r="P5333" s="1"/>
      <c r="Q5333" s="1"/>
      <c r="R5333" s="1"/>
      <c r="S5333" s="1"/>
      <c r="T5333" s="1"/>
      <c r="U5333" s="1"/>
      <c r="V5333" s="1"/>
      <c r="W5333" s="1"/>
      <c r="X5333" s="1"/>
      <c r="Y5333" s="1"/>
      <c r="Z5333" s="1"/>
      <c r="AA5333" s="1"/>
      <c r="AB5333" s="1"/>
      <c r="AC5333" s="1"/>
      <c r="AD5333" s="1"/>
      <c r="AE5333" s="1"/>
      <c r="AF5333" s="1"/>
      <c r="AG5333" s="1"/>
      <c r="AH5333" s="1"/>
    </row>
    <row r="5334" ht="12.75" hidden="1" customHeight="1" outlineLevel="1">
      <c r="A5334" s="882">
        <v>41976.0</v>
      </c>
      <c r="B5334" s="1"/>
      <c r="C5334" s="1" t="s">
        <v>429</v>
      </c>
      <c r="D5334" s="74"/>
      <c r="E5334" s="67"/>
      <c r="F5334" s="75"/>
      <c r="G5334" s="67"/>
      <c r="H5334" s="68"/>
      <c r="I5334" s="76"/>
      <c r="J5334" s="67"/>
      <c r="K5334" s="9" t="s">
        <v>2358</v>
      </c>
      <c r="L5334" s="77"/>
      <c r="M5334" s="79"/>
      <c r="N5334" s="1"/>
      <c r="O5334" s="1"/>
      <c r="P5334" s="1"/>
      <c r="Q5334" s="1"/>
      <c r="R5334" s="1"/>
      <c r="S5334" s="1"/>
      <c r="T5334" s="1"/>
      <c r="U5334" s="1"/>
      <c r="V5334" s="1"/>
      <c r="W5334" s="1"/>
      <c r="X5334" s="1"/>
      <c r="Y5334" s="1"/>
      <c r="Z5334" s="1"/>
      <c r="AA5334" s="1"/>
      <c r="AB5334" s="1"/>
      <c r="AC5334" s="1"/>
      <c r="AD5334" s="1"/>
      <c r="AE5334" s="1"/>
      <c r="AF5334" s="1"/>
      <c r="AG5334" s="1"/>
      <c r="AH5334" s="1"/>
    </row>
    <row r="5335" ht="12.75" hidden="1" customHeight="1" outlineLevel="1">
      <c r="A5335" s="882">
        <v>41976.0</v>
      </c>
      <c r="B5335" s="1"/>
      <c r="C5335" s="1" t="s">
        <v>431</v>
      </c>
      <c r="D5335" s="74"/>
      <c r="E5335" s="67"/>
      <c r="F5335" s="75"/>
      <c r="G5335" s="67"/>
      <c r="H5335" s="68"/>
      <c r="I5335" s="76"/>
      <c r="J5335" s="67"/>
      <c r="K5335" s="7" t="s">
        <v>1126</v>
      </c>
      <c r="L5335" s="77"/>
      <c r="M5335" s="79"/>
      <c r="N5335" s="1"/>
      <c r="O5335" s="1"/>
      <c r="P5335" s="1"/>
      <c r="Q5335" s="1"/>
      <c r="R5335" s="1"/>
      <c r="S5335" s="1"/>
      <c r="T5335" s="1"/>
      <c r="U5335" s="1"/>
      <c r="V5335" s="1"/>
      <c r="W5335" s="1"/>
      <c r="X5335" s="1"/>
      <c r="Y5335" s="1"/>
      <c r="Z5335" s="1"/>
      <c r="AA5335" s="1"/>
      <c r="AB5335" s="1"/>
      <c r="AC5335" s="1"/>
      <c r="AD5335" s="1"/>
      <c r="AE5335" s="1"/>
      <c r="AF5335" s="1"/>
      <c r="AG5335" s="1"/>
      <c r="AH5335" s="1"/>
    </row>
    <row r="5336" ht="12.75" hidden="1" customHeight="1" outlineLevel="1">
      <c r="A5336" s="882">
        <v>41976.0</v>
      </c>
      <c r="B5336" s="1"/>
      <c r="C5336" s="1" t="s">
        <v>433</v>
      </c>
      <c r="D5336" s="74"/>
      <c r="E5336" s="67"/>
      <c r="F5336" s="75"/>
      <c r="G5336" s="67"/>
      <c r="H5336" s="68"/>
      <c r="I5336" s="76"/>
      <c r="J5336" s="67"/>
      <c r="K5336" s="7" t="s">
        <v>1103</v>
      </c>
      <c r="L5336" s="77"/>
      <c r="M5336" s="79"/>
      <c r="N5336" s="1"/>
      <c r="O5336" s="1"/>
      <c r="P5336" s="1"/>
      <c r="Q5336" s="1"/>
      <c r="R5336" s="1"/>
      <c r="S5336" s="1"/>
      <c r="T5336" s="1"/>
      <c r="U5336" s="1"/>
      <c r="V5336" s="1"/>
      <c r="W5336" s="1"/>
      <c r="X5336" s="1"/>
      <c r="Y5336" s="1"/>
      <c r="Z5336" s="1"/>
      <c r="AA5336" s="1"/>
      <c r="AB5336" s="1"/>
      <c r="AC5336" s="1"/>
      <c r="AD5336" s="1"/>
      <c r="AE5336" s="1"/>
      <c r="AF5336" s="1"/>
      <c r="AG5336" s="1"/>
      <c r="AH5336" s="1"/>
    </row>
    <row r="5337" ht="12.75" hidden="1" customHeight="1" outlineLevel="1">
      <c r="A5337" s="882">
        <v>41976.0</v>
      </c>
      <c r="B5337" s="1"/>
      <c r="C5337" s="1" t="s">
        <v>435</v>
      </c>
      <c r="D5337" s="74"/>
      <c r="E5337" s="67"/>
      <c r="F5337" s="75"/>
      <c r="G5337" s="67"/>
      <c r="H5337" s="68"/>
      <c r="I5337" s="76"/>
      <c r="J5337" s="67"/>
      <c r="K5337" s="7" t="s">
        <v>1507</v>
      </c>
      <c r="L5337" s="77"/>
      <c r="M5337" s="79"/>
      <c r="N5337" s="1"/>
      <c r="O5337" s="1"/>
      <c r="P5337" s="1"/>
      <c r="Q5337" s="1"/>
      <c r="R5337" s="1"/>
      <c r="S5337" s="1"/>
      <c r="T5337" s="1"/>
      <c r="U5337" s="1"/>
      <c r="V5337" s="1"/>
      <c r="W5337" s="1"/>
      <c r="X5337" s="1"/>
      <c r="Y5337" s="1"/>
      <c r="Z5337" s="1"/>
      <c r="AA5337" s="1"/>
      <c r="AB5337" s="1"/>
      <c r="AC5337" s="1"/>
      <c r="AD5337" s="1"/>
      <c r="AE5337" s="1"/>
      <c r="AF5337" s="1"/>
      <c r="AG5337" s="1"/>
      <c r="AH5337" s="1"/>
    </row>
    <row r="5338" ht="12.75" hidden="1" customHeight="1" outlineLevel="1">
      <c r="A5338" s="122">
        <v>41976.0</v>
      </c>
      <c r="B5338" s="32" t="s">
        <v>347</v>
      </c>
      <c r="C5338" s="32" t="s">
        <v>369</v>
      </c>
      <c r="D5338" s="708">
        <v>1500.0</v>
      </c>
      <c r="E5338" s="195">
        <v>8.022</v>
      </c>
      <c r="F5338" s="709">
        <v>0.4192708333333333</v>
      </c>
      <c r="G5338" s="195" t="s">
        <v>453</v>
      </c>
      <c r="H5338" s="710">
        <v>6.27</v>
      </c>
      <c r="I5338" s="256"/>
      <c r="J5338" s="67">
        <f t="shared" ref="J5338:J5340" si="336">IF(B5338="SLD",D5338*E5338,-D5338*E5338)-H5338</f>
        <v>12026.73</v>
      </c>
      <c r="K5338" s="7"/>
      <c r="L5338" s="70"/>
      <c r="M5338" s="79"/>
      <c r="N5338" s="32"/>
      <c r="O5338" s="32"/>
      <c r="P5338" s="32"/>
      <c r="Q5338" s="32"/>
      <c r="R5338" s="32"/>
      <c r="S5338" s="32"/>
      <c r="T5338" s="32"/>
      <c r="U5338" s="32"/>
      <c r="V5338" s="32"/>
      <c r="W5338" s="32"/>
      <c r="X5338" s="32"/>
      <c r="Y5338" s="32"/>
      <c r="Z5338" s="32"/>
      <c r="AA5338" s="32"/>
      <c r="AB5338" s="32"/>
      <c r="AC5338" s="32"/>
      <c r="AD5338" s="32"/>
      <c r="AE5338" s="32"/>
      <c r="AF5338" s="32"/>
      <c r="AG5338" s="32"/>
      <c r="AH5338" s="32"/>
    </row>
    <row r="5339" ht="12.75" hidden="1" customHeight="1" outlineLevel="1">
      <c r="A5339" s="122">
        <v>41976.0</v>
      </c>
      <c r="B5339" s="32" t="s">
        <v>347</v>
      </c>
      <c r="C5339" s="32" t="s">
        <v>790</v>
      </c>
      <c r="D5339" s="708">
        <v>1500.0</v>
      </c>
      <c r="E5339" s="195">
        <v>8.96</v>
      </c>
      <c r="F5339" s="709">
        <v>0.43050925925925926</v>
      </c>
      <c r="G5339" s="195" t="s">
        <v>453</v>
      </c>
      <c r="H5339" s="710">
        <v>7.8</v>
      </c>
      <c r="I5339" s="256"/>
      <c r="J5339" s="67">
        <f t="shared" si="336"/>
        <v>13432.2</v>
      </c>
      <c r="K5339" s="7"/>
      <c r="L5339" s="70"/>
      <c r="M5339" s="79"/>
      <c r="N5339" s="32"/>
      <c r="O5339" s="32"/>
      <c r="P5339" s="32"/>
      <c r="Q5339" s="32"/>
      <c r="R5339" s="32"/>
      <c r="S5339" s="32"/>
      <c r="T5339" s="32"/>
      <c r="U5339" s="32"/>
      <c r="V5339" s="32"/>
      <c r="W5339" s="32"/>
      <c r="X5339" s="32"/>
      <c r="Y5339" s="32"/>
      <c r="Z5339" s="32"/>
      <c r="AA5339" s="32"/>
      <c r="AB5339" s="32"/>
      <c r="AC5339" s="32"/>
      <c r="AD5339" s="32"/>
      <c r="AE5339" s="32"/>
      <c r="AF5339" s="32"/>
      <c r="AG5339" s="32"/>
      <c r="AH5339" s="32"/>
    </row>
    <row r="5340" ht="12.75" hidden="1" customHeight="1" outlineLevel="1">
      <c r="A5340" s="122">
        <v>41976.0</v>
      </c>
      <c r="B5340" s="32" t="s">
        <v>347</v>
      </c>
      <c r="C5340" s="32" t="s">
        <v>784</v>
      </c>
      <c r="D5340" s="708">
        <v>1500.0</v>
      </c>
      <c r="E5340" s="195">
        <v>8.39</v>
      </c>
      <c r="F5340" s="709">
        <v>0.41966435185185186</v>
      </c>
      <c r="G5340" s="195" t="s">
        <v>453</v>
      </c>
      <c r="H5340" s="710">
        <v>7.48</v>
      </c>
      <c r="I5340" s="256"/>
      <c r="J5340" s="67">
        <f t="shared" si="336"/>
        <v>12577.52</v>
      </c>
      <c r="K5340" s="7"/>
      <c r="L5340" s="70"/>
      <c r="M5340" s="79"/>
      <c r="N5340" s="32"/>
      <c r="O5340" s="32"/>
      <c r="P5340" s="32"/>
      <c r="Q5340" s="32"/>
      <c r="R5340" s="32"/>
      <c r="S5340" s="32"/>
      <c r="T5340" s="32"/>
      <c r="U5340" s="32"/>
      <c r="V5340" s="32"/>
      <c r="W5340" s="32"/>
      <c r="X5340" s="32"/>
      <c r="Y5340" s="32"/>
      <c r="Z5340" s="32"/>
      <c r="AA5340" s="32"/>
      <c r="AB5340" s="32"/>
      <c r="AC5340" s="32"/>
      <c r="AD5340" s="32"/>
      <c r="AE5340" s="32"/>
      <c r="AF5340" s="32"/>
      <c r="AG5340" s="32"/>
      <c r="AH5340" s="32"/>
    </row>
    <row r="5341" ht="12.75" hidden="1" customHeight="1" outlineLevel="1">
      <c r="A5341" s="882">
        <v>41977.0</v>
      </c>
      <c r="B5341" s="1"/>
      <c r="C5341" s="1" t="s">
        <v>339</v>
      </c>
      <c r="D5341" s="74"/>
      <c r="E5341" s="67"/>
      <c r="F5341" s="75"/>
      <c r="G5341" s="67"/>
      <c r="H5341" s="68"/>
      <c r="I5341" s="76"/>
      <c r="J5341" s="67"/>
      <c r="K5341" s="9" t="s">
        <v>2480</v>
      </c>
      <c r="L5341" s="77"/>
      <c r="M5341" s="79"/>
      <c r="N5341" s="1"/>
      <c r="O5341" s="1"/>
      <c r="P5341" s="1"/>
      <c r="Q5341" s="1"/>
      <c r="R5341" s="1"/>
      <c r="S5341" s="1"/>
      <c r="T5341" s="1"/>
      <c r="U5341" s="1"/>
      <c r="V5341" s="1"/>
      <c r="W5341" s="1"/>
      <c r="X5341" s="1"/>
      <c r="Y5341" s="1"/>
      <c r="Z5341" s="1"/>
      <c r="AA5341" s="1"/>
      <c r="AB5341" s="1"/>
      <c r="AC5341" s="1"/>
      <c r="AD5341" s="1"/>
      <c r="AE5341" s="1"/>
      <c r="AF5341" s="1"/>
      <c r="AG5341" s="1"/>
      <c r="AH5341" s="1"/>
    </row>
    <row r="5342" ht="12.75" hidden="1" customHeight="1" outlineLevel="1">
      <c r="A5342" s="882">
        <v>41977.0</v>
      </c>
      <c r="B5342" s="1"/>
      <c r="C5342" s="1" t="s">
        <v>429</v>
      </c>
      <c r="D5342" s="74"/>
      <c r="E5342" s="67"/>
      <c r="F5342" s="75"/>
      <c r="G5342" s="67"/>
      <c r="H5342" s="68"/>
      <c r="I5342" s="76"/>
      <c r="J5342" s="67"/>
      <c r="K5342" s="9" t="s">
        <v>2358</v>
      </c>
      <c r="L5342" s="77"/>
      <c r="M5342" s="79"/>
      <c r="N5342" s="1"/>
      <c r="O5342" s="1"/>
      <c r="P5342" s="1"/>
      <c r="Q5342" s="1"/>
      <c r="R5342" s="1"/>
      <c r="S5342" s="1"/>
      <c r="T5342" s="1"/>
      <c r="U5342" s="1"/>
      <c r="V5342" s="1"/>
      <c r="W5342" s="1"/>
      <c r="X5342" s="1"/>
      <c r="Y5342" s="1"/>
      <c r="Z5342" s="1"/>
      <c r="AA5342" s="1"/>
      <c r="AB5342" s="1"/>
      <c r="AC5342" s="1"/>
      <c r="AD5342" s="1"/>
      <c r="AE5342" s="1"/>
      <c r="AF5342" s="1"/>
      <c r="AG5342" s="1"/>
      <c r="AH5342" s="1"/>
    </row>
    <row r="5343" ht="12.75" hidden="1" customHeight="1" outlineLevel="1">
      <c r="A5343" s="882">
        <v>41977.0</v>
      </c>
      <c r="B5343" s="1"/>
      <c r="C5343" s="1" t="s">
        <v>431</v>
      </c>
      <c r="D5343" s="74"/>
      <c r="E5343" s="67"/>
      <c r="F5343" s="75"/>
      <c r="G5343" s="67"/>
      <c r="H5343" s="68"/>
      <c r="I5343" s="76"/>
      <c r="J5343" s="67"/>
      <c r="K5343" s="7" t="s">
        <v>1126</v>
      </c>
      <c r="L5343" s="77"/>
      <c r="M5343" s="79"/>
      <c r="N5343" s="1"/>
      <c r="O5343" s="1"/>
      <c r="P5343" s="1"/>
      <c r="Q5343" s="1"/>
      <c r="R5343" s="1"/>
      <c r="S5343" s="1"/>
      <c r="T5343" s="1"/>
      <c r="U5343" s="1"/>
      <c r="V5343" s="1"/>
      <c r="W5343" s="1"/>
      <c r="X5343" s="1"/>
      <c r="Y5343" s="1"/>
      <c r="Z5343" s="1"/>
      <c r="AA5343" s="1"/>
      <c r="AB5343" s="1"/>
      <c r="AC5343" s="1"/>
      <c r="AD5343" s="1"/>
      <c r="AE5343" s="1"/>
      <c r="AF5343" s="1"/>
      <c r="AG5343" s="1"/>
      <c r="AH5343" s="1"/>
    </row>
    <row r="5344" ht="12.75" hidden="1" customHeight="1" outlineLevel="1">
      <c r="A5344" s="882">
        <v>41977.0</v>
      </c>
      <c r="B5344" s="1"/>
      <c r="C5344" s="1" t="s">
        <v>433</v>
      </c>
      <c r="D5344" s="74"/>
      <c r="E5344" s="67"/>
      <c r="F5344" s="75"/>
      <c r="G5344" s="67"/>
      <c r="H5344" s="68"/>
      <c r="I5344" s="76"/>
      <c r="J5344" s="67"/>
      <c r="K5344" s="7" t="s">
        <v>1103</v>
      </c>
      <c r="L5344" s="77"/>
      <c r="M5344" s="79"/>
      <c r="N5344" s="1"/>
      <c r="O5344" s="1"/>
      <c r="P5344" s="1"/>
      <c r="Q5344" s="1"/>
      <c r="R5344" s="1"/>
      <c r="S5344" s="1"/>
      <c r="T5344" s="1"/>
      <c r="U5344" s="1"/>
      <c r="V5344" s="1"/>
      <c r="W5344" s="1"/>
      <c r="X5344" s="1"/>
      <c r="Y5344" s="1"/>
      <c r="Z5344" s="1"/>
      <c r="AA5344" s="1"/>
      <c r="AB5344" s="1"/>
      <c r="AC5344" s="1"/>
      <c r="AD5344" s="1"/>
      <c r="AE5344" s="1"/>
      <c r="AF5344" s="1"/>
      <c r="AG5344" s="1"/>
      <c r="AH5344" s="1"/>
    </row>
    <row r="5345" ht="12.75" hidden="1" customHeight="1" outlineLevel="1">
      <c r="A5345" s="882">
        <v>41977.0</v>
      </c>
      <c r="B5345" s="1"/>
      <c r="C5345" s="1" t="s">
        <v>435</v>
      </c>
      <c r="D5345" s="74"/>
      <c r="E5345" s="67"/>
      <c r="F5345" s="75"/>
      <c r="G5345" s="67"/>
      <c r="H5345" s="68"/>
      <c r="I5345" s="76"/>
      <c r="J5345" s="67"/>
      <c r="K5345" s="7" t="s">
        <v>1507</v>
      </c>
      <c r="L5345" s="77"/>
      <c r="M5345" s="79"/>
      <c r="N5345" s="1"/>
      <c r="O5345" s="1"/>
      <c r="P5345" s="1"/>
      <c r="Q5345" s="1"/>
      <c r="R5345" s="1"/>
      <c r="S5345" s="1"/>
      <c r="T5345" s="1"/>
      <c r="U5345" s="1"/>
      <c r="V5345" s="1"/>
      <c r="W5345" s="1"/>
      <c r="X5345" s="1"/>
      <c r="Y5345" s="1"/>
      <c r="Z5345" s="1"/>
      <c r="AA5345" s="1"/>
      <c r="AB5345" s="1"/>
      <c r="AC5345" s="1"/>
      <c r="AD5345" s="1"/>
      <c r="AE5345" s="1"/>
      <c r="AF5345" s="1"/>
      <c r="AG5345" s="1"/>
      <c r="AH5345" s="1"/>
    </row>
    <row r="5346" ht="12.75" hidden="1" customHeight="1" outlineLevel="1">
      <c r="A5346" s="882">
        <v>41978.0</v>
      </c>
      <c r="B5346" s="1"/>
      <c r="C5346" s="1" t="s">
        <v>339</v>
      </c>
      <c r="D5346" s="74"/>
      <c r="E5346" s="67"/>
      <c r="F5346" s="75"/>
      <c r="G5346" s="67"/>
      <c r="H5346" s="68"/>
      <c r="I5346" s="76"/>
      <c r="J5346" s="67"/>
      <c r="K5346" s="9" t="s">
        <v>2481</v>
      </c>
      <c r="L5346" s="77"/>
      <c r="M5346" s="79"/>
      <c r="N5346" s="1"/>
      <c r="O5346" s="1"/>
      <c r="P5346" s="1"/>
      <c r="Q5346" s="1"/>
      <c r="R5346" s="1"/>
      <c r="S5346" s="1"/>
      <c r="T5346" s="1"/>
      <c r="U5346" s="1"/>
      <c r="V5346" s="1"/>
      <c r="W5346" s="1"/>
      <c r="X5346" s="1"/>
      <c r="Y5346" s="1"/>
      <c r="Z5346" s="1"/>
      <c r="AA5346" s="1"/>
      <c r="AB5346" s="1"/>
      <c r="AC5346" s="1"/>
      <c r="AD5346" s="1"/>
      <c r="AE5346" s="1"/>
      <c r="AF5346" s="1"/>
      <c r="AG5346" s="1"/>
      <c r="AH5346" s="1"/>
    </row>
    <row r="5347" ht="12.75" hidden="1" customHeight="1" outlineLevel="1">
      <c r="A5347" s="882">
        <v>41978.0</v>
      </c>
      <c r="B5347" s="1"/>
      <c r="C5347" s="1" t="s">
        <v>429</v>
      </c>
      <c r="D5347" s="74"/>
      <c r="E5347" s="67"/>
      <c r="F5347" s="75"/>
      <c r="G5347" s="67"/>
      <c r="H5347" s="68"/>
      <c r="I5347" s="76"/>
      <c r="J5347" s="67"/>
      <c r="K5347" s="9" t="s">
        <v>2358</v>
      </c>
      <c r="L5347" s="77"/>
      <c r="M5347" s="79"/>
      <c r="N5347" s="1"/>
      <c r="O5347" s="1"/>
      <c r="P5347" s="1"/>
      <c r="Q5347" s="1"/>
      <c r="R5347" s="1"/>
      <c r="S5347" s="1"/>
      <c r="T5347" s="1"/>
      <c r="U5347" s="1"/>
      <c r="V5347" s="1"/>
      <c r="W5347" s="1"/>
      <c r="X5347" s="1"/>
      <c r="Y5347" s="1"/>
      <c r="Z5347" s="1"/>
      <c r="AA5347" s="1"/>
      <c r="AB5347" s="1"/>
      <c r="AC5347" s="1"/>
      <c r="AD5347" s="1"/>
      <c r="AE5347" s="1"/>
      <c r="AF5347" s="1"/>
      <c r="AG5347" s="1"/>
      <c r="AH5347" s="1"/>
    </row>
    <row r="5348" ht="12.75" hidden="1" customHeight="1" outlineLevel="1">
      <c r="A5348" s="882">
        <v>41978.0</v>
      </c>
      <c r="B5348" s="1"/>
      <c r="C5348" s="1" t="s">
        <v>431</v>
      </c>
      <c r="D5348" s="74"/>
      <c r="E5348" s="67"/>
      <c r="F5348" s="75"/>
      <c r="G5348" s="67"/>
      <c r="H5348" s="68"/>
      <c r="I5348" s="76"/>
      <c r="J5348" s="67"/>
      <c r="K5348" s="7" t="s">
        <v>1126</v>
      </c>
      <c r="L5348" s="77"/>
      <c r="M5348" s="79"/>
      <c r="N5348" s="1"/>
      <c r="O5348" s="1"/>
      <c r="P5348" s="1"/>
      <c r="Q5348" s="1"/>
      <c r="R5348" s="1"/>
      <c r="S5348" s="1"/>
      <c r="T5348" s="1"/>
      <c r="U5348" s="1"/>
      <c r="V5348" s="1"/>
      <c r="W5348" s="1"/>
      <c r="X5348" s="1"/>
      <c r="Y5348" s="1"/>
      <c r="Z5348" s="1"/>
      <c r="AA5348" s="1"/>
      <c r="AB5348" s="1"/>
      <c r="AC5348" s="1"/>
      <c r="AD5348" s="1"/>
      <c r="AE5348" s="1"/>
      <c r="AF5348" s="1"/>
      <c r="AG5348" s="1"/>
      <c r="AH5348" s="1"/>
    </row>
    <row r="5349" ht="12.75" hidden="1" customHeight="1" outlineLevel="1">
      <c r="A5349" s="882">
        <v>41978.0</v>
      </c>
      <c r="B5349" s="1"/>
      <c r="C5349" s="1" t="s">
        <v>433</v>
      </c>
      <c r="D5349" s="74"/>
      <c r="E5349" s="67"/>
      <c r="F5349" s="75"/>
      <c r="G5349" s="67"/>
      <c r="H5349" s="68"/>
      <c r="I5349" s="76"/>
      <c r="J5349" s="67"/>
      <c r="K5349" s="7" t="s">
        <v>1103</v>
      </c>
      <c r="L5349" s="77"/>
      <c r="M5349" s="79"/>
      <c r="N5349" s="1"/>
      <c r="O5349" s="1"/>
      <c r="P5349" s="1"/>
      <c r="Q5349" s="1"/>
      <c r="R5349" s="1"/>
      <c r="S5349" s="1"/>
      <c r="T5349" s="1"/>
      <c r="U5349" s="1"/>
      <c r="V5349" s="1"/>
      <c r="W5349" s="1"/>
      <c r="X5349" s="1"/>
      <c r="Y5349" s="1"/>
      <c r="Z5349" s="1"/>
      <c r="AA5349" s="1"/>
      <c r="AB5349" s="1"/>
      <c r="AC5349" s="1"/>
      <c r="AD5349" s="1"/>
      <c r="AE5349" s="1"/>
      <c r="AF5349" s="1"/>
      <c r="AG5349" s="1"/>
      <c r="AH5349" s="1"/>
    </row>
    <row r="5350" ht="12.75" hidden="1" customHeight="1" outlineLevel="1">
      <c r="A5350" s="882">
        <v>41978.0</v>
      </c>
      <c r="B5350" s="1"/>
      <c r="C5350" s="1" t="s">
        <v>435</v>
      </c>
      <c r="D5350" s="74"/>
      <c r="E5350" s="67"/>
      <c r="F5350" s="75"/>
      <c r="G5350" s="67"/>
      <c r="H5350" s="68"/>
      <c r="I5350" s="76"/>
      <c r="J5350" s="67"/>
      <c r="K5350" s="9" t="s">
        <v>2486</v>
      </c>
      <c r="L5350" s="77"/>
      <c r="M5350" s="79"/>
      <c r="N5350" s="1"/>
      <c r="O5350" s="1"/>
      <c r="P5350" s="1"/>
      <c r="Q5350" s="1"/>
      <c r="R5350" s="1"/>
      <c r="S5350" s="1"/>
      <c r="T5350" s="1"/>
      <c r="U5350" s="1"/>
      <c r="V5350" s="1"/>
      <c r="W5350" s="1"/>
      <c r="X5350" s="1"/>
      <c r="Y5350" s="1"/>
      <c r="Z5350" s="1"/>
      <c r="AA5350" s="1"/>
      <c r="AB5350" s="1"/>
      <c r="AC5350" s="1"/>
      <c r="AD5350" s="1"/>
      <c r="AE5350" s="1"/>
      <c r="AF5350" s="1"/>
      <c r="AG5350" s="1"/>
      <c r="AH5350" s="1"/>
    </row>
    <row r="5351" ht="12.75" hidden="1" customHeight="1" outlineLevel="1">
      <c r="A5351" s="122">
        <v>41981.0</v>
      </c>
      <c r="B5351" s="32" t="s">
        <v>347</v>
      </c>
      <c r="C5351" s="32" t="s">
        <v>1844</v>
      </c>
      <c r="D5351" s="708">
        <v>100.0</v>
      </c>
      <c r="E5351" s="195">
        <v>36.88</v>
      </c>
      <c r="F5351" s="709">
        <v>0.40664351851851854</v>
      </c>
      <c r="G5351" s="195" t="s">
        <v>453</v>
      </c>
      <c r="H5351" s="710">
        <v>1.08</v>
      </c>
      <c r="I5351" s="256"/>
      <c r="J5351" s="67">
        <f t="shared" ref="J5351:J5365" si="337">IF(B5351="SLD",D5351*E5351,-D5351*E5351)-H5351</f>
        <v>3686.92</v>
      </c>
      <c r="K5351" s="7"/>
      <c r="L5351" s="70"/>
      <c r="M5351" s="79"/>
      <c r="N5351" s="32"/>
      <c r="O5351" s="32"/>
      <c r="P5351" s="32"/>
      <c r="Q5351" s="32"/>
      <c r="R5351" s="32"/>
      <c r="S5351" s="32"/>
      <c r="T5351" s="32"/>
      <c r="U5351" s="32"/>
      <c r="V5351" s="32"/>
      <c r="W5351" s="32"/>
      <c r="X5351" s="32"/>
      <c r="Y5351" s="32"/>
      <c r="Z5351" s="32"/>
      <c r="AA5351" s="32"/>
      <c r="AB5351" s="32"/>
      <c r="AC5351" s="32"/>
      <c r="AD5351" s="32"/>
      <c r="AE5351" s="32"/>
      <c r="AF5351" s="32"/>
      <c r="AG5351" s="32"/>
      <c r="AH5351" s="32"/>
    </row>
    <row r="5352" ht="12.75" hidden="1" customHeight="1" outlineLevel="1">
      <c r="A5352" s="122">
        <v>41981.0</v>
      </c>
      <c r="B5352" s="32" t="s">
        <v>347</v>
      </c>
      <c r="C5352" s="32" t="s">
        <v>779</v>
      </c>
      <c r="D5352" s="708">
        <v>125.0</v>
      </c>
      <c r="E5352" s="195">
        <v>262.28</v>
      </c>
      <c r="F5352" s="709">
        <v>0.5167476851851852</v>
      </c>
      <c r="G5352" s="195" t="s">
        <v>453</v>
      </c>
      <c r="H5352" s="710">
        <v>1.72</v>
      </c>
      <c r="I5352" s="256"/>
      <c r="J5352" s="67">
        <f t="shared" si="337"/>
        <v>32783.28</v>
      </c>
      <c r="K5352" s="7"/>
      <c r="L5352" s="70"/>
      <c r="M5352" s="79"/>
      <c r="N5352" s="32"/>
      <c r="O5352" s="32"/>
      <c r="P5352" s="32"/>
      <c r="Q5352" s="32"/>
      <c r="R5352" s="32"/>
      <c r="S5352" s="32"/>
      <c r="T5352" s="32"/>
      <c r="U5352" s="32"/>
      <c r="V5352" s="32"/>
      <c r="W5352" s="32"/>
      <c r="X5352" s="32"/>
      <c r="Y5352" s="32"/>
      <c r="Z5352" s="32"/>
      <c r="AA5352" s="32"/>
      <c r="AB5352" s="32"/>
      <c r="AC5352" s="32"/>
      <c r="AD5352" s="32"/>
      <c r="AE5352" s="32"/>
      <c r="AF5352" s="32"/>
      <c r="AG5352" s="32"/>
      <c r="AH5352" s="32"/>
    </row>
    <row r="5353" ht="12.75" hidden="1" customHeight="1" outlineLevel="1">
      <c r="A5353" s="122">
        <v>41981.0</v>
      </c>
      <c r="B5353" s="32" t="s">
        <v>347</v>
      </c>
      <c r="C5353" s="32" t="s">
        <v>870</v>
      </c>
      <c r="D5353" s="708">
        <v>350.0</v>
      </c>
      <c r="E5353" s="195">
        <v>91.104</v>
      </c>
      <c r="F5353" s="709">
        <v>0.43386574074074075</v>
      </c>
      <c r="G5353" s="195" t="s">
        <v>453</v>
      </c>
      <c r="H5353" s="710">
        <v>2.4</v>
      </c>
      <c r="I5353" s="256"/>
      <c r="J5353" s="67">
        <f t="shared" si="337"/>
        <v>31884</v>
      </c>
      <c r="K5353" s="7"/>
      <c r="L5353" s="70"/>
      <c r="M5353" s="79"/>
      <c r="N5353" s="32"/>
      <c r="O5353" s="32"/>
      <c r="P5353" s="32"/>
      <c r="Q5353" s="32"/>
      <c r="R5353" s="32"/>
      <c r="S5353" s="32"/>
      <c r="T5353" s="32"/>
      <c r="U5353" s="32"/>
      <c r="V5353" s="32"/>
      <c r="W5353" s="32"/>
      <c r="X5353" s="32"/>
      <c r="Y5353" s="32"/>
      <c r="Z5353" s="32"/>
      <c r="AA5353" s="32"/>
      <c r="AB5353" s="32"/>
      <c r="AC5353" s="32"/>
      <c r="AD5353" s="32"/>
      <c r="AE5353" s="32"/>
      <c r="AF5353" s="32"/>
      <c r="AG5353" s="32"/>
      <c r="AH5353" s="32"/>
    </row>
    <row r="5354" ht="12.75" hidden="1" customHeight="1" outlineLevel="1">
      <c r="A5354" s="122">
        <v>41981.0</v>
      </c>
      <c r="B5354" s="32" t="s">
        <v>347</v>
      </c>
      <c r="C5354" s="32" t="s">
        <v>605</v>
      </c>
      <c r="D5354" s="708">
        <v>600.0</v>
      </c>
      <c r="E5354" s="195">
        <v>71.754</v>
      </c>
      <c r="F5354" s="709">
        <v>0.4342824074074074</v>
      </c>
      <c r="G5354" s="195" t="s">
        <v>453</v>
      </c>
      <c r="H5354" s="710">
        <v>3.35</v>
      </c>
      <c r="I5354" s="256"/>
      <c r="J5354" s="67">
        <f t="shared" si="337"/>
        <v>43049.05</v>
      </c>
      <c r="K5354" s="7"/>
      <c r="L5354" s="70"/>
      <c r="M5354" s="79"/>
      <c r="N5354" s="32"/>
      <c r="O5354" s="32"/>
      <c r="P5354" s="32"/>
      <c r="Q5354" s="32"/>
      <c r="R5354" s="32"/>
      <c r="S5354" s="32"/>
      <c r="T5354" s="32"/>
      <c r="U5354" s="32"/>
      <c r="V5354" s="32"/>
      <c r="W5354" s="32"/>
      <c r="X5354" s="32"/>
      <c r="Y5354" s="32"/>
      <c r="Z5354" s="32"/>
      <c r="AA5354" s="32"/>
      <c r="AB5354" s="32"/>
      <c r="AC5354" s="32"/>
      <c r="AD5354" s="32"/>
      <c r="AE5354" s="32"/>
      <c r="AF5354" s="32"/>
      <c r="AG5354" s="32"/>
      <c r="AH5354" s="32"/>
    </row>
    <row r="5355" ht="12.75" hidden="1" customHeight="1" outlineLevel="1">
      <c r="A5355" s="122">
        <v>41981.0</v>
      </c>
      <c r="B5355" s="32" t="s">
        <v>347</v>
      </c>
      <c r="C5355" s="32" t="s">
        <v>369</v>
      </c>
      <c r="D5355" s="708">
        <v>1000.0</v>
      </c>
      <c r="E5355" s="195">
        <v>7.8</v>
      </c>
      <c r="F5355" s="709">
        <v>0.4118981481481481</v>
      </c>
      <c r="G5355" s="195" t="s">
        <v>453</v>
      </c>
      <c r="H5355" s="710">
        <v>4.37</v>
      </c>
      <c r="I5355" s="256"/>
      <c r="J5355" s="67">
        <f t="shared" si="337"/>
        <v>7795.63</v>
      </c>
      <c r="K5355" s="7"/>
      <c r="L5355" s="70"/>
      <c r="M5355" s="79"/>
      <c r="N5355" s="32"/>
      <c r="O5355" s="32"/>
      <c r="P5355" s="32"/>
      <c r="Q5355" s="32"/>
      <c r="R5355" s="32"/>
      <c r="S5355" s="32"/>
      <c r="T5355" s="32"/>
      <c r="U5355" s="32"/>
      <c r="V5355" s="32"/>
      <c r="W5355" s="32"/>
      <c r="X5355" s="32"/>
      <c r="Y5355" s="32"/>
      <c r="Z5355" s="32"/>
      <c r="AA5355" s="32"/>
      <c r="AB5355" s="32"/>
      <c r="AC5355" s="32"/>
      <c r="AD5355" s="32"/>
      <c r="AE5355" s="32"/>
      <c r="AF5355" s="32"/>
      <c r="AG5355" s="32"/>
      <c r="AH5355" s="32"/>
    </row>
    <row r="5356" ht="12.75" hidden="1" customHeight="1" outlineLevel="1">
      <c r="A5356" s="122">
        <v>41981.0</v>
      </c>
      <c r="B5356" s="32" t="s">
        <v>347</v>
      </c>
      <c r="C5356" s="32" t="s">
        <v>790</v>
      </c>
      <c r="D5356" s="708">
        <v>1000.0</v>
      </c>
      <c r="E5356" s="195">
        <v>8.57</v>
      </c>
      <c r="F5356" s="709">
        <v>0.412650462962963</v>
      </c>
      <c r="G5356" s="195" t="s">
        <v>453</v>
      </c>
      <c r="H5356" s="710">
        <v>5.19</v>
      </c>
      <c r="I5356" s="256"/>
      <c r="J5356" s="67">
        <f t="shared" si="337"/>
        <v>8564.81</v>
      </c>
      <c r="K5356" s="7"/>
      <c r="L5356" s="70"/>
      <c r="M5356" s="79"/>
      <c r="N5356" s="32"/>
      <c r="O5356" s="32"/>
      <c r="P5356" s="32"/>
      <c r="Q5356" s="32"/>
      <c r="R5356" s="32"/>
      <c r="S5356" s="32"/>
      <c r="T5356" s="32"/>
      <c r="U5356" s="32"/>
      <c r="V5356" s="32"/>
      <c r="W5356" s="32"/>
      <c r="X5356" s="32"/>
      <c r="Y5356" s="32"/>
      <c r="Z5356" s="32"/>
      <c r="AA5356" s="32"/>
      <c r="AB5356" s="32"/>
      <c r="AC5356" s="32"/>
      <c r="AD5356" s="32"/>
      <c r="AE5356" s="32"/>
      <c r="AF5356" s="32"/>
      <c r="AG5356" s="32"/>
      <c r="AH5356" s="32"/>
    </row>
    <row r="5357" ht="12.75" hidden="1" customHeight="1" outlineLevel="1">
      <c r="A5357" s="122">
        <v>41981.0</v>
      </c>
      <c r="B5357" s="32" t="s">
        <v>347</v>
      </c>
      <c r="C5357" s="32" t="s">
        <v>784</v>
      </c>
      <c r="D5357" s="708">
        <v>1000.0</v>
      </c>
      <c r="E5357" s="195">
        <v>8.32</v>
      </c>
      <c r="F5357" s="709">
        <v>0.4187962962962963</v>
      </c>
      <c r="G5357" s="195" t="s">
        <v>453</v>
      </c>
      <c r="H5357" s="710">
        <v>5.18</v>
      </c>
      <c r="I5357" s="256"/>
      <c r="J5357" s="67">
        <f t="shared" si="337"/>
        <v>8314.82</v>
      </c>
      <c r="K5357" s="7"/>
      <c r="L5357" s="70"/>
      <c r="M5357" s="79"/>
      <c r="N5357" s="32"/>
      <c r="O5357" s="32"/>
      <c r="P5357" s="32"/>
      <c r="Q5357" s="32"/>
      <c r="R5357" s="32"/>
      <c r="S5357" s="32"/>
      <c r="T5357" s="32"/>
      <c r="U5357" s="32"/>
      <c r="V5357" s="32"/>
      <c r="W5357" s="32"/>
      <c r="X5357" s="32"/>
      <c r="Y5357" s="32"/>
      <c r="Z5357" s="32"/>
      <c r="AA5357" s="32"/>
      <c r="AB5357" s="32"/>
      <c r="AC5357" s="32"/>
      <c r="AD5357" s="32"/>
      <c r="AE5357" s="32"/>
      <c r="AF5357" s="32"/>
      <c r="AG5357" s="32"/>
      <c r="AH5357" s="32"/>
    </row>
    <row r="5358" ht="12.75" hidden="1" customHeight="1" outlineLevel="1">
      <c r="A5358" s="122">
        <v>41981.0</v>
      </c>
      <c r="B5358" s="32" t="s">
        <v>347</v>
      </c>
      <c r="C5358" s="32" t="s">
        <v>2048</v>
      </c>
      <c r="D5358" s="708">
        <v>1500.0</v>
      </c>
      <c r="E5358" s="195">
        <v>12.05</v>
      </c>
      <c r="F5358" s="709">
        <v>0.39827546296296296</v>
      </c>
      <c r="G5358" s="195" t="s">
        <v>453</v>
      </c>
      <c r="H5358" s="710">
        <v>6.4</v>
      </c>
      <c r="I5358" s="256"/>
      <c r="J5358" s="67">
        <f t="shared" si="337"/>
        <v>18068.6</v>
      </c>
      <c r="K5358" s="7"/>
      <c r="L5358" s="70"/>
      <c r="M5358" s="79"/>
      <c r="N5358" s="32"/>
      <c r="O5358" s="32"/>
      <c r="P5358" s="32"/>
      <c r="Q5358" s="32"/>
      <c r="R5358" s="32"/>
      <c r="S5358" s="32"/>
      <c r="T5358" s="32"/>
      <c r="U5358" s="32"/>
      <c r="V5358" s="32"/>
      <c r="W5358" s="32"/>
      <c r="X5358" s="32"/>
      <c r="Y5358" s="32"/>
      <c r="Z5358" s="32"/>
      <c r="AA5358" s="32"/>
      <c r="AB5358" s="32"/>
      <c r="AC5358" s="32"/>
      <c r="AD5358" s="32"/>
      <c r="AE5358" s="32"/>
      <c r="AF5358" s="32"/>
      <c r="AG5358" s="32"/>
      <c r="AH5358" s="32"/>
    </row>
    <row r="5359" ht="12.75" hidden="1" customHeight="1" outlineLevel="1">
      <c r="A5359" s="122">
        <v>41981.0</v>
      </c>
      <c r="B5359" s="32" t="s">
        <v>347</v>
      </c>
      <c r="C5359" s="32" t="s">
        <v>2192</v>
      </c>
      <c r="D5359" s="708">
        <v>1500.0</v>
      </c>
      <c r="E5359" s="195">
        <v>12.361</v>
      </c>
      <c r="F5359" s="709">
        <v>0.39788194444444447</v>
      </c>
      <c r="G5359" s="195" t="s">
        <v>453</v>
      </c>
      <c r="H5359" s="710">
        <v>6.41</v>
      </c>
      <c r="I5359" s="256"/>
      <c r="J5359" s="67">
        <f t="shared" si="337"/>
        <v>18535.09</v>
      </c>
      <c r="K5359" s="7"/>
      <c r="L5359" s="70"/>
      <c r="M5359" s="79"/>
      <c r="N5359" s="32"/>
      <c r="O5359" s="32"/>
      <c r="P5359" s="32"/>
      <c r="Q5359" s="32"/>
      <c r="R5359" s="32"/>
      <c r="S5359" s="32"/>
      <c r="T5359" s="32"/>
      <c r="U5359" s="32"/>
      <c r="V5359" s="32"/>
      <c r="W5359" s="32"/>
      <c r="X5359" s="32"/>
      <c r="Y5359" s="32"/>
      <c r="Z5359" s="32"/>
      <c r="AA5359" s="32"/>
      <c r="AB5359" s="32"/>
      <c r="AC5359" s="32"/>
      <c r="AD5359" s="32"/>
      <c r="AE5359" s="32"/>
      <c r="AF5359" s="32"/>
      <c r="AG5359" s="32"/>
      <c r="AH5359" s="32"/>
    </row>
    <row r="5360" ht="12.75" hidden="1" customHeight="1" outlineLevel="1">
      <c r="A5360" s="122">
        <v>41981.0</v>
      </c>
      <c r="B5360" s="32" t="s">
        <v>347</v>
      </c>
      <c r="C5360" s="32" t="s">
        <v>2095</v>
      </c>
      <c r="D5360" s="708">
        <v>5000.0</v>
      </c>
      <c r="E5360" s="195">
        <v>3.8</v>
      </c>
      <c r="F5360" s="709">
        <v>0.3999189814814815</v>
      </c>
      <c r="G5360" s="195" t="s">
        <v>453</v>
      </c>
      <c r="H5360" s="710">
        <v>20.42</v>
      </c>
      <c r="I5360" s="256"/>
      <c r="J5360" s="67">
        <f t="shared" si="337"/>
        <v>18979.58</v>
      </c>
      <c r="K5360" s="7"/>
      <c r="L5360" s="70"/>
      <c r="M5360" s="79"/>
      <c r="N5360" s="32"/>
      <c r="O5360" s="32"/>
      <c r="P5360" s="32"/>
      <c r="Q5360" s="32"/>
      <c r="R5360" s="32"/>
      <c r="S5360" s="32"/>
      <c r="T5360" s="32"/>
      <c r="U5360" s="32"/>
      <c r="V5360" s="32"/>
      <c r="W5360" s="32"/>
      <c r="X5360" s="32"/>
      <c r="Y5360" s="32"/>
      <c r="Z5360" s="32"/>
      <c r="AA5360" s="32"/>
      <c r="AB5360" s="32"/>
      <c r="AC5360" s="32"/>
      <c r="AD5360" s="32"/>
      <c r="AE5360" s="32"/>
      <c r="AF5360" s="32"/>
      <c r="AG5360" s="32"/>
      <c r="AH5360" s="32"/>
    </row>
    <row r="5361" ht="12.75" hidden="1" customHeight="1" outlineLevel="1">
      <c r="A5361" s="122">
        <v>41983.0</v>
      </c>
      <c r="B5361" s="32" t="s">
        <v>347</v>
      </c>
      <c r="C5361" s="32" t="s">
        <v>1844</v>
      </c>
      <c r="D5361" s="708">
        <v>200.0</v>
      </c>
      <c r="E5361" s="195">
        <v>34.2677</v>
      </c>
      <c r="F5361" s="709">
        <v>0.4030324074074074</v>
      </c>
      <c r="G5361" s="195" t="s">
        <v>453</v>
      </c>
      <c r="H5361" s="710">
        <v>1.15</v>
      </c>
      <c r="I5361" s="256"/>
      <c r="J5361" s="67">
        <f t="shared" si="337"/>
        <v>6852.39</v>
      </c>
      <c r="K5361" s="7"/>
      <c r="L5361" s="70"/>
      <c r="M5361" s="79"/>
      <c r="N5361" s="32"/>
      <c r="O5361" s="32"/>
      <c r="P5361" s="32"/>
      <c r="Q5361" s="32"/>
      <c r="R5361" s="32"/>
      <c r="S5361" s="32"/>
      <c r="T5361" s="32"/>
      <c r="U5361" s="32"/>
      <c r="V5361" s="32"/>
      <c r="W5361" s="32"/>
      <c r="X5361" s="32"/>
      <c r="Y5361" s="32"/>
      <c r="Z5361" s="32"/>
      <c r="AA5361" s="32"/>
      <c r="AB5361" s="32"/>
      <c r="AC5361" s="32"/>
      <c r="AD5361" s="32"/>
      <c r="AE5361" s="32"/>
      <c r="AF5361" s="32"/>
      <c r="AG5361" s="32"/>
      <c r="AH5361" s="32"/>
    </row>
    <row r="5362" ht="12.75" hidden="1" customHeight="1" outlineLevel="1">
      <c r="A5362" s="122">
        <v>41983.0</v>
      </c>
      <c r="B5362" s="32" t="s">
        <v>347</v>
      </c>
      <c r="C5362" s="32" t="s">
        <v>369</v>
      </c>
      <c r="D5362" s="708">
        <v>1000.0</v>
      </c>
      <c r="E5362" s="195">
        <v>7.171</v>
      </c>
      <c r="F5362" s="709">
        <v>0.41109953703703705</v>
      </c>
      <c r="G5362" s="195" t="s">
        <v>453</v>
      </c>
      <c r="H5362" s="710">
        <v>4.16</v>
      </c>
      <c r="I5362" s="256"/>
      <c r="J5362" s="67">
        <f t="shared" si="337"/>
        <v>7166.84</v>
      </c>
      <c r="K5362" s="7"/>
      <c r="L5362" s="70"/>
      <c r="M5362" s="79"/>
      <c r="N5362" s="32"/>
      <c r="O5362" s="32"/>
      <c r="P5362" s="32"/>
      <c r="Q5362" s="32"/>
      <c r="R5362" s="32"/>
      <c r="S5362" s="32"/>
      <c r="T5362" s="32"/>
      <c r="U5362" s="32"/>
      <c r="V5362" s="32"/>
      <c r="W5362" s="32"/>
      <c r="X5362" s="32"/>
      <c r="Y5362" s="32"/>
      <c r="Z5362" s="32"/>
      <c r="AA5362" s="32"/>
      <c r="AB5362" s="32"/>
      <c r="AC5362" s="32"/>
      <c r="AD5362" s="32"/>
      <c r="AE5362" s="32"/>
      <c r="AF5362" s="32"/>
      <c r="AG5362" s="32"/>
      <c r="AH5362" s="32"/>
    </row>
    <row r="5363" ht="12.75" hidden="1" customHeight="1" outlineLevel="1">
      <c r="A5363" s="122">
        <v>41983.0</v>
      </c>
      <c r="B5363" s="32" t="s">
        <v>347</v>
      </c>
      <c r="C5363" s="32" t="s">
        <v>790</v>
      </c>
      <c r="D5363" s="708">
        <v>1000.0</v>
      </c>
      <c r="E5363" s="195">
        <v>7.86</v>
      </c>
      <c r="F5363" s="709">
        <v>0.4113657407407407</v>
      </c>
      <c r="G5363" s="195" t="s">
        <v>453</v>
      </c>
      <c r="H5363" s="710">
        <v>4.27</v>
      </c>
      <c r="I5363" s="256"/>
      <c r="J5363" s="67">
        <f t="shared" si="337"/>
        <v>7855.73</v>
      </c>
      <c r="K5363" s="7"/>
      <c r="L5363" s="70"/>
      <c r="M5363" s="79"/>
      <c r="N5363" s="32"/>
      <c r="O5363" s="32"/>
      <c r="P5363" s="32"/>
      <c r="Q5363" s="32"/>
      <c r="R5363" s="32"/>
      <c r="S5363" s="32"/>
      <c r="T5363" s="32"/>
      <c r="U5363" s="32"/>
      <c r="V5363" s="32"/>
      <c r="W5363" s="32"/>
      <c r="X5363" s="32"/>
      <c r="Y5363" s="32"/>
      <c r="Z5363" s="32"/>
      <c r="AA5363" s="32"/>
      <c r="AB5363" s="32"/>
      <c r="AC5363" s="32"/>
      <c r="AD5363" s="32"/>
      <c r="AE5363" s="32"/>
      <c r="AF5363" s="32"/>
      <c r="AG5363" s="32"/>
      <c r="AH5363" s="32"/>
    </row>
    <row r="5364" ht="12.75" hidden="1" customHeight="1" outlineLevel="1">
      <c r="A5364" s="122">
        <v>41983.0</v>
      </c>
      <c r="B5364" s="32" t="s">
        <v>347</v>
      </c>
      <c r="C5364" s="32" t="s">
        <v>784</v>
      </c>
      <c r="D5364" s="708">
        <v>1000.0</v>
      </c>
      <c r="E5364" s="195">
        <v>7.821</v>
      </c>
      <c r="F5364" s="709">
        <v>0.4115972222222222</v>
      </c>
      <c r="G5364" s="195" t="s">
        <v>453</v>
      </c>
      <c r="H5364" s="710">
        <v>4.17</v>
      </c>
      <c r="I5364" s="256"/>
      <c r="J5364" s="67">
        <f t="shared" si="337"/>
        <v>7816.83</v>
      </c>
      <c r="K5364" s="7"/>
      <c r="L5364" s="70"/>
      <c r="M5364" s="79"/>
      <c r="N5364" s="32"/>
      <c r="O5364" s="32"/>
      <c r="P5364" s="32"/>
      <c r="Q5364" s="32"/>
      <c r="R5364" s="32"/>
      <c r="S5364" s="32"/>
      <c r="T5364" s="32"/>
      <c r="U5364" s="32"/>
      <c r="V5364" s="32"/>
      <c r="W5364" s="32"/>
      <c r="X5364" s="32"/>
      <c r="Y5364" s="32"/>
      <c r="Z5364" s="32"/>
      <c r="AA5364" s="32"/>
      <c r="AB5364" s="32"/>
      <c r="AC5364" s="32"/>
      <c r="AD5364" s="32"/>
      <c r="AE5364" s="32"/>
      <c r="AF5364" s="32"/>
      <c r="AG5364" s="32"/>
      <c r="AH5364" s="32"/>
    </row>
    <row r="5365" ht="12.75" hidden="1" customHeight="1" outlineLevel="1">
      <c r="A5365" s="122">
        <v>41984.0</v>
      </c>
      <c r="B5365" s="32" t="s">
        <v>343</v>
      </c>
      <c r="C5365" s="32" t="s">
        <v>364</v>
      </c>
      <c r="D5365" s="708">
        <v>140.0</v>
      </c>
      <c r="E5365" s="195">
        <v>133.51</v>
      </c>
      <c r="F5365" s="709">
        <v>0.40347222222222223</v>
      </c>
      <c r="G5365" s="195" t="s">
        <v>453</v>
      </c>
      <c r="H5365" s="710">
        <v>1.0</v>
      </c>
      <c r="I5365" s="256"/>
      <c r="J5365" s="67">
        <f t="shared" si="337"/>
        <v>-18692.4</v>
      </c>
      <c r="K5365" s="7"/>
      <c r="L5365" s="70"/>
      <c r="M5365" s="79"/>
      <c r="N5365" s="32"/>
      <c r="O5365" s="32"/>
      <c r="P5365" s="32"/>
      <c r="Q5365" s="32"/>
      <c r="R5365" s="32"/>
      <c r="S5365" s="32"/>
      <c r="T5365" s="32"/>
      <c r="U5365" s="32"/>
      <c r="V5365" s="32"/>
      <c r="W5365" s="32"/>
      <c r="X5365" s="32"/>
      <c r="Y5365" s="32"/>
      <c r="Z5365" s="32"/>
      <c r="AA5365" s="32"/>
      <c r="AB5365" s="32"/>
      <c r="AC5365" s="32"/>
      <c r="AD5365" s="32"/>
      <c r="AE5365" s="32"/>
      <c r="AF5365" s="32"/>
      <c r="AG5365" s="32"/>
      <c r="AH5365" s="32"/>
    </row>
    <row r="5366" ht="12.75" hidden="1" customHeight="1" outlineLevel="1">
      <c r="A5366" s="882">
        <v>41984.0</v>
      </c>
      <c r="B5366" s="1"/>
      <c r="C5366" s="1" t="s">
        <v>339</v>
      </c>
      <c r="D5366" s="74"/>
      <c r="E5366" s="67"/>
      <c r="F5366" s="75"/>
      <c r="G5366" s="67"/>
      <c r="H5366" s="68"/>
      <c r="I5366" s="76"/>
      <c r="J5366" s="67"/>
      <c r="K5366" s="9" t="s">
        <v>2489</v>
      </c>
      <c r="L5366" s="77"/>
      <c r="M5366" s="79"/>
      <c r="N5366" s="1"/>
      <c r="O5366" s="1"/>
      <c r="P5366" s="1"/>
      <c r="Q5366" s="1"/>
      <c r="R5366" s="1"/>
      <c r="S5366" s="1"/>
      <c r="T5366" s="1"/>
      <c r="U5366" s="1"/>
      <c r="V5366" s="1"/>
      <c r="W5366" s="1"/>
      <c r="X5366" s="1"/>
      <c r="Y5366" s="1"/>
      <c r="Z5366" s="1"/>
      <c r="AA5366" s="1"/>
      <c r="AB5366" s="1"/>
      <c r="AC5366" s="1"/>
      <c r="AD5366" s="1"/>
      <c r="AE5366" s="1"/>
      <c r="AF5366" s="1"/>
      <c r="AG5366" s="1"/>
      <c r="AH5366" s="1"/>
    </row>
    <row r="5367" ht="12.75" hidden="1" customHeight="1" outlineLevel="1">
      <c r="A5367" s="882">
        <v>41984.0</v>
      </c>
      <c r="B5367" s="1"/>
      <c r="C5367" s="1" t="s">
        <v>429</v>
      </c>
      <c r="D5367" s="74"/>
      <c r="E5367" s="67"/>
      <c r="F5367" s="75"/>
      <c r="G5367" s="67"/>
      <c r="H5367" s="68"/>
      <c r="I5367" s="76"/>
      <c r="J5367" s="67"/>
      <c r="K5367" s="9" t="s">
        <v>2358</v>
      </c>
      <c r="L5367" s="77"/>
      <c r="M5367" s="79"/>
      <c r="N5367" s="1"/>
      <c r="O5367" s="1"/>
      <c r="P5367" s="1"/>
      <c r="Q5367" s="1"/>
      <c r="R5367" s="1"/>
      <c r="S5367" s="1"/>
      <c r="T5367" s="1"/>
      <c r="U5367" s="1"/>
      <c r="V5367" s="1"/>
      <c r="W5367" s="1"/>
      <c r="X5367" s="1"/>
      <c r="Y5367" s="1"/>
      <c r="Z5367" s="1"/>
      <c r="AA5367" s="1"/>
      <c r="AB5367" s="1"/>
      <c r="AC5367" s="1"/>
      <c r="AD5367" s="1"/>
      <c r="AE5367" s="1"/>
      <c r="AF5367" s="1"/>
      <c r="AG5367" s="1"/>
      <c r="AH5367" s="1"/>
    </row>
    <row r="5368" ht="12.75" hidden="1" customHeight="1" outlineLevel="1">
      <c r="A5368" s="882">
        <v>41984.0</v>
      </c>
      <c r="B5368" s="1"/>
      <c r="C5368" s="1" t="s">
        <v>431</v>
      </c>
      <c r="D5368" s="74"/>
      <c r="E5368" s="67"/>
      <c r="F5368" s="75"/>
      <c r="G5368" s="67"/>
      <c r="H5368" s="68"/>
      <c r="I5368" s="76"/>
      <c r="J5368" s="67"/>
      <c r="K5368" s="7" t="s">
        <v>1126</v>
      </c>
      <c r="L5368" s="77"/>
      <c r="M5368" s="79"/>
      <c r="N5368" s="1"/>
      <c r="O5368" s="1"/>
      <c r="P5368" s="1"/>
      <c r="Q5368" s="1"/>
      <c r="R5368" s="1"/>
      <c r="S5368" s="1"/>
      <c r="T5368" s="1"/>
      <c r="U5368" s="1"/>
      <c r="V5368" s="1"/>
      <c r="W5368" s="1"/>
      <c r="X5368" s="1"/>
      <c r="Y5368" s="1"/>
      <c r="Z5368" s="1"/>
      <c r="AA5368" s="1"/>
      <c r="AB5368" s="1"/>
      <c r="AC5368" s="1"/>
      <c r="AD5368" s="1"/>
      <c r="AE5368" s="1"/>
      <c r="AF5368" s="1"/>
      <c r="AG5368" s="1"/>
      <c r="AH5368" s="1"/>
    </row>
    <row r="5369" ht="12.75" hidden="1" customHeight="1" outlineLevel="1">
      <c r="A5369" s="882">
        <v>41984.0</v>
      </c>
      <c r="B5369" s="1"/>
      <c r="C5369" s="1" t="s">
        <v>433</v>
      </c>
      <c r="D5369" s="74"/>
      <c r="E5369" s="67"/>
      <c r="F5369" s="75"/>
      <c r="G5369" s="67"/>
      <c r="H5369" s="68"/>
      <c r="I5369" s="76"/>
      <c r="J5369" s="67"/>
      <c r="K5369" s="7" t="s">
        <v>1103</v>
      </c>
      <c r="L5369" s="77"/>
      <c r="M5369" s="79"/>
      <c r="N5369" s="1"/>
      <c r="O5369" s="1"/>
      <c r="P5369" s="1"/>
      <c r="Q5369" s="1"/>
      <c r="R5369" s="1"/>
      <c r="S5369" s="1"/>
      <c r="T5369" s="1"/>
      <c r="U5369" s="1"/>
      <c r="V5369" s="1"/>
      <c r="W5369" s="1"/>
      <c r="X5369" s="1"/>
      <c r="Y5369" s="1"/>
      <c r="Z5369" s="1"/>
      <c r="AA5369" s="1"/>
      <c r="AB5369" s="1"/>
      <c r="AC5369" s="1"/>
      <c r="AD5369" s="1"/>
      <c r="AE5369" s="1"/>
      <c r="AF5369" s="1"/>
      <c r="AG5369" s="1"/>
      <c r="AH5369" s="1"/>
    </row>
    <row r="5370" ht="12.75" hidden="1" customHeight="1" outlineLevel="1">
      <c r="A5370" s="882">
        <v>41984.0</v>
      </c>
      <c r="B5370" s="1"/>
      <c r="C5370" s="1" t="s">
        <v>435</v>
      </c>
      <c r="D5370" s="74"/>
      <c r="E5370" s="67"/>
      <c r="F5370" s="75"/>
      <c r="G5370" s="67"/>
      <c r="H5370" s="68"/>
      <c r="I5370" s="76"/>
      <c r="J5370" s="67"/>
      <c r="K5370" s="9" t="s">
        <v>2486</v>
      </c>
      <c r="L5370" s="77"/>
      <c r="M5370" s="79"/>
      <c r="N5370" s="1"/>
      <c r="O5370" s="1"/>
      <c r="P5370" s="1"/>
      <c r="Q5370" s="1"/>
      <c r="R5370" s="1"/>
      <c r="S5370" s="1"/>
      <c r="T5370" s="1"/>
      <c r="U5370" s="1"/>
      <c r="V5370" s="1"/>
      <c r="W5370" s="1"/>
      <c r="X5370" s="1"/>
      <c r="Y5370" s="1"/>
      <c r="Z5370" s="1"/>
      <c r="AA5370" s="1"/>
      <c r="AB5370" s="1"/>
      <c r="AC5370" s="1"/>
      <c r="AD5370" s="1"/>
      <c r="AE5370" s="1"/>
      <c r="AF5370" s="1"/>
      <c r="AG5370" s="1"/>
      <c r="AH5370" s="1"/>
    </row>
    <row r="5371" ht="12.75" hidden="1" customHeight="1" outlineLevel="1">
      <c r="A5371" s="882">
        <v>41987.0</v>
      </c>
      <c r="B5371" s="1"/>
      <c r="C5371" s="1" t="s">
        <v>339</v>
      </c>
      <c r="D5371" s="74"/>
      <c r="E5371" s="67"/>
      <c r="F5371" s="75"/>
      <c r="G5371" s="67"/>
      <c r="H5371" s="68"/>
      <c r="I5371" s="76"/>
      <c r="J5371" s="67"/>
      <c r="K5371" s="9" t="s">
        <v>2491</v>
      </c>
      <c r="L5371" s="77"/>
      <c r="M5371" s="79"/>
      <c r="N5371" s="1"/>
      <c r="O5371" s="1"/>
      <c r="P5371" s="1"/>
      <c r="Q5371" s="1"/>
      <c r="R5371" s="1"/>
      <c r="S5371" s="1"/>
      <c r="T5371" s="1"/>
      <c r="U5371" s="1"/>
      <c r="V5371" s="1"/>
      <c r="W5371" s="1"/>
      <c r="X5371" s="1"/>
      <c r="Y5371" s="1"/>
      <c r="Z5371" s="1"/>
      <c r="AA5371" s="1"/>
      <c r="AB5371" s="1"/>
      <c r="AC5371" s="1"/>
      <c r="AD5371" s="1"/>
      <c r="AE5371" s="1"/>
      <c r="AF5371" s="1"/>
      <c r="AG5371" s="1"/>
      <c r="AH5371" s="1"/>
    </row>
    <row r="5372" ht="12.75" hidden="1" customHeight="1" outlineLevel="1">
      <c r="A5372" s="882">
        <v>41987.0</v>
      </c>
      <c r="B5372" s="1"/>
      <c r="C5372" s="1" t="s">
        <v>429</v>
      </c>
      <c r="D5372" s="74"/>
      <c r="E5372" s="67"/>
      <c r="F5372" s="75"/>
      <c r="G5372" s="67"/>
      <c r="H5372" s="68"/>
      <c r="I5372" s="76"/>
      <c r="J5372" s="67"/>
      <c r="K5372" s="9" t="s">
        <v>2492</v>
      </c>
      <c r="L5372" s="77"/>
      <c r="M5372" s="79"/>
      <c r="N5372" s="1"/>
      <c r="O5372" s="1"/>
      <c r="P5372" s="1"/>
      <c r="Q5372" s="1"/>
      <c r="R5372" s="1"/>
      <c r="S5372" s="1"/>
      <c r="T5372" s="1"/>
      <c r="U5372" s="1"/>
      <c r="V5372" s="1"/>
      <c r="W5372" s="1"/>
      <c r="X5372" s="1"/>
      <c r="Y5372" s="1"/>
      <c r="Z5372" s="1"/>
      <c r="AA5372" s="1"/>
      <c r="AB5372" s="1"/>
      <c r="AC5372" s="1"/>
      <c r="AD5372" s="1"/>
      <c r="AE5372" s="1"/>
      <c r="AF5372" s="1"/>
      <c r="AG5372" s="1"/>
      <c r="AH5372" s="1"/>
    </row>
    <row r="5373" ht="12.75" hidden="1" customHeight="1" outlineLevel="1">
      <c r="A5373" s="882">
        <v>41987.0</v>
      </c>
      <c r="B5373" s="1"/>
      <c r="C5373" s="1" t="s">
        <v>431</v>
      </c>
      <c r="D5373" s="74"/>
      <c r="E5373" s="67"/>
      <c r="F5373" s="75"/>
      <c r="G5373" s="67"/>
      <c r="H5373" s="68"/>
      <c r="I5373" s="76"/>
      <c r="J5373" s="67"/>
      <c r="K5373" s="7" t="s">
        <v>1126</v>
      </c>
      <c r="L5373" s="77"/>
      <c r="M5373" s="79"/>
      <c r="N5373" s="1"/>
      <c r="O5373" s="1"/>
      <c r="P5373" s="1"/>
      <c r="Q5373" s="1"/>
      <c r="R5373" s="1"/>
      <c r="S5373" s="1"/>
      <c r="T5373" s="1"/>
      <c r="U5373" s="1"/>
      <c r="V5373" s="1"/>
      <c r="W5373" s="1"/>
      <c r="X5373" s="1"/>
      <c r="Y5373" s="1"/>
      <c r="Z5373" s="1"/>
      <c r="AA5373" s="1"/>
      <c r="AB5373" s="1"/>
      <c r="AC5373" s="1"/>
      <c r="AD5373" s="1"/>
      <c r="AE5373" s="1"/>
      <c r="AF5373" s="1"/>
      <c r="AG5373" s="1"/>
      <c r="AH5373" s="1"/>
    </row>
    <row r="5374" ht="12.75" hidden="1" customHeight="1" outlineLevel="1">
      <c r="A5374" s="882">
        <v>41987.0</v>
      </c>
      <c r="B5374" s="1"/>
      <c r="C5374" s="1" t="s">
        <v>433</v>
      </c>
      <c r="D5374" s="74"/>
      <c r="E5374" s="67"/>
      <c r="F5374" s="75"/>
      <c r="G5374" s="67"/>
      <c r="H5374" s="68"/>
      <c r="I5374" s="76"/>
      <c r="J5374" s="67"/>
      <c r="K5374" s="7" t="s">
        <v>1103</v>
      </c>
      <c r="L5374" s="77"/>
      <c r="M5374" s="79"/>
      <c r="N5374" s="1"/>
      <c r="O5374" s="1"/>
      <c r="P5374" s="1"/>
      <c r="Q5374" s="1"/>
      <c r="R5374" s="1"/>
      <c r="S5374" s="1"/>
      <c r="T5374" s="1"/>
      <c r="U5374" s="1"/>
      <c r="V5374" s="1"/>
      <c r="W5374" s="1"/>
      <c r="X5374" s="1"/>
      <c r="Y5374" s="1"/>
      <c r="Z5374" s="1"/>
      <c r="AA5374" s="1"/>
      <c r="AB5374" s="1"/>
      <c r="AC5374" s="1"/>
      <c r="AD5374" s="1"/>
      <c r="AE5374" s="1"/>
      <c r="AF5374" s="1"/>
      <c r="AG5374" s="1"/>
      <c r="AH5374" s="1"/>
    </row>
    <row r="5375" ht="12.75" hidden="1" customHeight="1" outlineLevel="1">
      <c r="A5375" s="882">
        <v>41987.0</v>
      </c>
      <c r="B5375" s="1"/>
      <c r="C5375" s="1" t="s">
        <v>435</v>
      </c>
      <c r="D5375" s="74"/>
      <c r="E5375" s="67"/>
      <c r="F5375" s="75"/>
      <c r="G5375" s="67"/>
      <c r="H5375" s="68"/>
      <c r="I5375" s="76"/>
      <c r="J5375" s="67"/>
      <c r="K5375" s="9" t="s">
        <v>2486</v>
      </c>
      <c r="L5375" s="77"/>
      <c r="M5375" s="79"/>
      <c r="N5375" s="1"/>
      <c r="O5375" s="1"/>
      <c r="P5375" s="1"/>
      <c r="Q5375" s="1"/>
      <c r="R5375" s="1"/>
      <c r="S5375" s="1"/>
      <c r="T5375" s="1"/>
      <c r="U5375" s="1"/>
      <c r="V5375" s="1"/>
      <c r="W5375" s="1"/>
      <c r="X5375" s="1"/>
      <c r="Y5375" s="1"/>
      <c r="Z5375" s="1"/>
      <c r="AA5375" s="1"/>
      <c r="AB5375" s="1"/>
      <c r="AC5375" s="1"/>
      <c r="AD5375" s="1"/>
      <c r="AE5375" s="1"/>
      <c r="AF5375" s="1"/>
      <c r="AG5375" s="1"/>
      <c r="AH5375" s="1"/>
    </row>
    <row r="5376" ht="12.75" hidden="1" customHeight="1" outlineLevel="1">
      <c r="A5376" s="122">
        <v>41988.0</v>
      </c>
      <c r="B5376" s="32" t="s">
        <v>343</v>
      </c>
      <c r="C5376" s="32" t="s">
        <v>1382</v>
      </c>
      <c r="D5376" s="708">
        <v>50.0</v>
      </c>
      <c r="E5376" s="195">
        <v>137.83</v>
      </c>
      <c r="F5376" s="709">
        <v>0.6076736111111111</v>
      </c>
      <c r="G5376" s="195" t="s">
        <v>453</v>
      </c>
      <c r="H5376" s="710">
        <v>1.0</v>
      </c>
      <c r="I5376" s="256"/>
      <c r="J5376" s="67">
        <f t="shared" ref="J5376:J5387" si="338">IF(B5376="SLD",D5376*E5376,-D5376*E5376)-H5376</f>
        <v>-6892.5</v>
      </c>
      <c r="K5376" s="7"/>
      <c r="L5376" s="70"/>
      <c r="M5376" s="79"/>
      <c r="N5376" s="32"/>
      <c r="O5376" s="32"/>
      <c r="P5376" s="32"/>
      <c r="Q5376" s="32"/>
      <c r="R5376" s="32"/>
      <c r="S5376" s="32"/>
      <c r="T5376" s="32"/>
      <c r="U5376" s="32"/>
      <c r="V5376" s="32"/>
      <c r="W5376" s="32"/>
      <c r="X5376" s="32"/>
      <c r="Y5376" s="32"/>
      <c r="Z5376" s="32"/>
      <c r="AA5376" s="32"/>
      <c r="AB5376" s="32"/>
      <c r="AC5376" s="32"/>
      <c r="AD5376" s="32"/>
      <c r="AE5376" s="32"/>
      <c r="AF5376" s="32"/>
      <c r="AG5376" s="32"/>
      <c r="AH5376" s="32"/>
    </row>
    <row r="5377" ht="12.75" hidden="1" customHeight="1" outlineLevel="1">
      <c r="A5377" s="122">
        <v>41988.0</v>
      </c>
      <c r="B5377" s="32" t="s">
        <v>343</v>
      </c>
      <c r="C5377" s="32" t="s">
        <v>364</v>
      </c>
      <c r="D5377" s="708">
        <v>50.0</v>
      </c>
      <c r="E5377" s="195">
        <v>125.35</v>
      </c>
      <c r="F5377" s="709">
        <v>0.6280787037037037</v>
      </c>
      <c r="G5377" s="195" t="s">
        <v>453</v>
      </c>
      <c r="H5377" s="710">
        <v>1.0</v>
      </c>
      <c r="I5377" s="256"/>
      <c r="J5377" s="67">
        <f t="shared" si="338"/>
        <v>-6268.5</v>
      </c>
      <c r="K5377" s="7"/>
      <c r="L5377" s="70"/>
      <c r="M5377" s="79"/>
      <c r="N5377" s="32"/>
      <c r="O5377" s="32"/>
      <c r="P5377" s="32"/>
      <c r="Q5377" s="32"/>
      <c r="R5377" s="32"/>
      <c r="S5377" s="32"/>
      <c r="T5377" s="32"/>
      <c r="U5377" s="32"/>
      <c r="V5377" s="32"/>
      <c r="W5377" s="32"/>
      <c r="X5377" s="32"/>
      <c r="Y5377" s="32"/>
      <c r="Z5377" s="32"/>
      <c r="AA5377" s="32"/>
      <c r="AB5377" s="32"/>
      <c r="AC5377" s="32"/>
      <c r="AD5377" s="32"/>
      <c r="AE5377" s="32"/>
      <c r="AF5377" s="32"/>
      <c r="AG5377" s="32"/>
      <c r="AH5377" s="32"/>
    </row>
    <row r="5378" ht="12.75" hidden="1" customHeight="1" outlineLevel="1">
      <c r="A5378" s="122">
        <v>41988.0</v>
      </c>
      <c r="B5378" s="32" t="s">
        <v>343</v>
      </c>
      <c r="C5378" s="32" t="s">
        <v>2342</v>
      </c>
      <c r="D5378" s="708">
        <v>200.0</v>
      </c>
      <c r="E5378" s="195">
        <v>54.705</v>
      </c>
      <c r="F5378" s="709">
        <v>0.605</v>
      </c>
      <c r="G5378" s="195" t="s">
        <v>453</v>
      </c>
      <c r="H5378" s="710">
        <v>1.0</v>
      </c>
      <c r="I5378" s="256"/>
      <c r="J5378" s="67">
        <f t="shared" si="338"/>
        <v>-10942</v>
      </c>
      <c r="K5378" s="7"/>
      <c r="L5378" s="70"/>
      <c r="M5378" s="79"/>
      <c r="N5378" s="32"/>
      <c r="O5378" s="32"/>
      <c r="P5378" s="32"/>
      <c r="Q5378" s="32"/>
      <c r="R5378" s="32"/>
      <c r="S5378" s="32"/>
      <c r="T5378" s="32"/>
      <c r="U5378" s="32"/>
      <c r="V5378" s="32"/>
      <c r="W5378" s="32"/>
      <c r="X5378" s="32"/>
      <c r="Y5378" s="32"/>
      <c r="Z5378" s="32"/>
      <c r="AA5378" s="32"/>
      <c r="AB5378" s="32"/>
      <c r="AC5378" s="32"/>
      <c r="AD5378" s="32"/>
      <c r="AE5378" s="32"/>
      <c r="AF5378" s="32"/>
      <c r="AG5378" s="32"/>
      <c r="AH5378" s="32"/>
    </row>
    <row r="5379" ht="12.75" hidden="1" customHeight="1" outlineLevel="1">
      <c r="A5379" s="122">
        <v>41988.0</v>
      </c>
      <c r="B5379" s="32" t="s">
        <v>343</v>
      </c>
      <c r="C5379" s="32" t="s">
        <v>1495</v>
      </c>
      <c r="D5379" s="708">
        <v>200.0</v>
      </c>
      <c r="E5379" s="195">
        <v>41.868</v>
      </c>
      <c r="F5379" s="709">
        <v>0.6081481481481481</v>
      </c>
      <c r="G5379" s="195" t="s">
        <v>453</v>
      </c>
      <c r="H5379" s="710">
        <v>1.0</v>
      </c>
      <c r="I5379" s="256"/>
      <c r="J5379" s="67">
        <f t="shared" si="338"/>
        <v>-8374.6</v>
      </c>
      <c r="K5379" s="7"/>
      <c r="L5379" s="70"/>
      <c r="M5379" s="79"/>
      <c r="N5379" s="32"/>
      <c r="O5379" s="32"/>
      <c r="P5379" s="32"/>
      <c r="Q5379" s="32"/>
      <c r="R5379" s="32"/>
      <c r="S5379" s="32"/>
      <c r="T5379" s="32"/>
      <c r="U5379" s="32"/>
      <c r="V5379" s="32"/>
      <c r="W5379" s="32"/>
      <c r="X5379" s="32"/>
      <c r="Y5379" s="32"/>
      <c r="Z5379" s="32"/>
      <c r="AA5379" s="32"/>
      <c r="AB5379" s="32"/>
      <c r="AC5379" s="32"/>
      <c r="AD5379" s="32"/>
      <c r="AE5379" s="32"/>
      <c r="AF5379" s="32"/>
      <c r="AG5379" s="32"/>
      <c r="AH5379" s="32"/>
    </row>
    <row r="5380" ht="12.75" hidden="1" customHeight="1" outlineLevel="1">
      <c r="A5380" s="122">
        <v>41988.0</v>
      </c>
      <c r="B5380" s="32" t="s">
        <v>343</v>
      </c>
      <c r="C5380" s="32" t="s">
        <v>1382</v>
      </c>
      <c r="D5380" s="708">
        <v>300.0</v>
      </c>
      <c r="E5380" s="195">
        <v>137.654</v>
      </c>
      <c r="F5380" s="709">
        <v>0.598738425925926</v>
      </c>
      <c r="G5380" s="195" t="s">
        <v>453</v>
      </c>
      <c r="H5380" s="710">
        <v>1.3</v>
      </c>
      <c r="I5380" s="256"/>
      <c r="J5380" s="67">
        <f t="shared" si="338"/>
        <v>-41297.5</v>
      </c>
      <c r="K5380" s="7"/>
      <c r="L5380" s="70"/>
      <c r="M5380" s="79"/>
      <c r="N5380" s="32"/>
      <c r="O5380" s="32"/>
      <c r="P5380" s="32"/>
      <c r="Q5380" s="32"/>
      <c r="R5380" s="32"/>
      <c r="S5380" s="32"/>
      <c r="T5380" s="32"/>
      <c r="U5380" s="32"/>
      <c r="V5380" s="32"/>
      <c r="W5380" s="32"/>
      <c r="X5380" s="32"/>
      <c r="Y5380" s="32"/>
      <c r="Z5380" s="32"/>
      <c r="AA5380" s="32"/>
      <c r="AB5380" s="32"/>
      <c r="AC5380" s="32"/>
      <c r="AD5380" s="32"/>
      <c r="AE5380" s="32"/>
      <c r="AF5380" s="32"/>
      <c r="AG5380" s="32"/>
      <c r="AH5380" s="32"/>
    </row>
    <row r="5381" ht="12.75" hidden="1" customHeight="1" outlineLevel="1">
      <c r="A5381" s="122">
        <v>41988.0</v>
      </c>
      <c r="B5381" s="32" t="s">
        <v>343</v>
      </c>
      <c r="C5381" s="32" t="s">
        <v>1357</v>
      </c>
      <c r="D5381" s="708">
        <v>300.0</v>
      </c>
      <c r="E5381" s="195">
        <v>35.768</v>
      </c>
      <c r="F5381" s="709">
        <v>0.5914930555555555</v>
      </c>
      <c r="G5381" s="195" t="s">
        <v>453</v>
      </c>
      <c r="H5381" s="710">
        <v>1.2</v>
      </c>
      <c r="I5381" s="256"/>
      <c r="J5381" s="67">
        <f t="shared" si="338"/>
        <v>-10731.6</v>
      </c>
      <c r="K5381" s="7"/>
      <c r="L5381" s="70"/>
      <c r="M5381" s="79"/>
      <c r="N5381" s="32"/>
      <c r="O5381" s="32"/>
      <c r="P5381" s="32"/>
      <c r="Q5381" s="32"/>
      <c r="R5381" s="32"/>
      <c r="S5381" s="32"/>
      <c r="T5381" s="32"/>
      <c r="U5381" s="32"/>
      <c r="V5381" s="32"/>
      <c r="W5381" s="32"/>
      <c r="X5381" s="32"/>
      <c r="Y5381" s="32"/>
      <c r="Z5381" s="32"/>
      <c r="AA5381" s="32"/>
      <c r="AB5381" s="32"/>
      <c r="AC5381" s="32"/>
      <c r="AD5381" s="32"/>
      <c r="AE5381" s="32"/>
      <c r="AF5381" s="32"/>
      <c r="AG5381" s="32"/>
      <c r="AH5381" s="32"/>
    </row>
    <row r="5382" ht="12.75" hidden="1" customHeight="1" outlineLevel="1">
      <c r="A5382" s="122">
        <v>41988.0</v>
      </c>
      <c r="B5382" s="32" t="s">
        <v>343</v>
      </c>
      <c r="C5382" s="32" t="s">
        <v>1357</v>
      </c>
      <c r="D5382" s="708">
        <v>300.0</v>
      </c>
      <c r="E5382" s="195">
        <v>35.949</v>
      </c>
      <c r="F5382" s="709">
        <v>0.6091087962962963</v>
      </c>
      <c r="G5382" s="195" t="s">
        <v>453</v>
      </c>
      <c r="H5382" s="710">
        <v>1.2</v>
      </c>
      <c r="I5382" s="256"/>
      <c r="J5382" s="67">
        <f t="shared" si="338"/>
        <v>-10785.9</v>
      </c>
      <c r="K5382" s="7"/>
      <c r="L5382" s="70"/>
      <c r="M5382" s="79"/>
      <c r="N5382" s="32"/>
      <c r="O5382" s="32"/>
      <c r="P5382" s="32"/>
      <c r="Q5382" s="32"/>
      <c r="R5382" s="32"/>
      <c r="S5382" s="32"/>
      <c r="T5382" s="32"/>
      <c r="U5382" s="32"/>
      <c r="V5382" s="32"/>
      <c r="W5382" s="32"/>
      <c r="X5382" s="32"/>
      <c r="Y5382" s="32"/>
      <c r="Z5382" s="32"/>
      <c r="AA5382" s="32"/>
      <c r="AB5382" s="32"/>
      <c r="AC5382" s="32"/>
      <c r="AD5382" s="32"/>
      <c r="AE5382" s="32"/>
      <c r="AF5382" s="32"/>
      <c r="AG5382" s="32"/>
      <c r="AH5382" s="32"/>
    </row>
    <row r="5383" ht="12.75" hidden="1" customHeight="1" outlineLevel="1">
      <c r="A5383" s="122">
        <v>41988.0</v>
      </c>
      <c r="B5383" s="32" t="s">
        <v>343</v>
      </c>
      <c r="C5383" s="32" t="s">
        <v>1495</v>
      </c>
      <c r="D5383" s="708">
        <v>700.0</v>
      </c>
      <c r="E5383" s="195">
        <v>41.855</v>
      </c>
      <c r="F5383" s="709">
        <v>0.5984143518518519</v>
      </c>
      <c r="G5383" s="195" t="s">
        <v>453</v>
      </c>
      <c r="H5383" s="710">
        <v>3.4</v>
      </c>
      <c r="I5383" s="256"/>
      <c r="J5383" s="67">
        <f t="shared" si="338"/>
        <v>-29301.9</v>
      </c>
      <c r="K5383" s="7"/>
      <c r="L5383" s="70"/>
      <c r="M5383" s="79"/>
      <c r="N5383" s="32"/>
      <c r="O5383" s="32"/>
      <c r="P5383" s="32"/>
      <c r="Q5383" s="32"/>
      <c r="R5383" s="32"/>
      <c r="S5383" s="32"/>
      <c r="T5383" s="32"/>
      <c r="U5383" s="32"/>
      <c r="V5383" s="32"/>
      <c r="W5383" s="32"/>
      <c r="X5383" s="32"/>
      <c r="Y5383" s="32"/>
      <c r="Z5383" s="32"/>
      <c r="AA5383" s="32"/>
      <c r="AB5383" s="32"/>
      <c r="AC5383" s="32"/>
      <c r="AD5383" s="32"/>
      <c r="AE5383" s="32"/>
      <c r="AF5383" s="32"/>
      <c r="AG5383" s="32"/>
      <c r="AH5383" s="32"/>
    </row>
    <row r="5384" ht="12.75" hidden="1" customHeight="1" outlineLevel="1">
      <c r="A5384" s="122">
        <v>41988.0</v>
      </c>
      <c r="B5384" s="32" t="s">
        <v>343</v>
      </c>
      <c r="C5384" s="32" t="s">
        <v>2095</v>
      </c>
      <c r="D5384" s="708">
        <v>5000.0</v>
      </c>
      <c r="E5384" s="195">
        <v>5.15</v>
      </c>
      <c r="F5384" s="709">
        <v>0.4893634259259259</v>
      </c>
      <c r="G5384" s="195" t="s">
        <v>453</v>
      </c>
      <c r="H5384" s="710">
        <v>24.1</v>
      </c>
      <c r="I5384" s="256"/>
      <c r="J5384" s="67">
        <f t="shared" si="338"/>
        <v>-25774.1</v>
      </c>
      <c r="K5384" s="7"/>
      <c r="L5384" s="70"/>
      <c r="M5384" s="79"/>
      <c r="N5384" s="32"/>
      <c r="O5384" s="32"/>
      <c r="P5384" s="32"/>
      <c r="Q5384" s="32"/>
      <c r="R5384" s="32"/>
      <c r="S5384" s="32"/>
      <c r="T5384" s="32"/>
      <c r="U5384" s="32"/>
      <c r="V5384" s="32"/>
      <c r="W5384" s="32"/>
      <c r="X5384" s="32"/>
      <c r="Y5384" s="32"/>
      <c r="Z5384" s="32"/>
      <c r="AA5384" s="32"/>
      <c r="AB5384" s="32"/>
      <c r="AC5384" s="32"/>
      <c r="AD5384" s="32"/>
      <c r="AE5384" s="32"/>
      <c r="AF5384" s="32"/>
      <c r="AG5384" s="32"/>
      <c r="AH5384" s="32"/>
    </row>
    <row r="5385" ht="12.75" hidden="1" customHeight="1" outlineLevel="1">
      <c r="A5385" s="122">
        <v>41988.0</v>
      </c>
      <c r="B5385" s="32" t="s">
        <v>347</v>
      </c>
      <c r="C5385" s="32" t="s">
        <v>1382</v>
      </c>
      <c r="D5385" s="708">
        <v>300.0</v>
      </c>
      <c r="E5385" s="195">
        <v>136.795</v>
      </c>
      <c r="F5385" s="709">
        <v>0.4490972222222222</v>
      </c>
      <c r="G5385" s="195" t="s">
        <v>453</v>
      </c>
      <c r="H5385" s="710">
        <v>2.11</v>
      </c>
      <c r="I5385" s="256"/>
      <c r="J5385" s="67">
        <f t="shared" si="338"/>
        <v>41036.39</v>
      </c>
      <c r="K5385" s="7"/>
      <c r="L5385" s="70"/>
      <c r="M5385" s="79"/>
      <c r="N5385" s="32"/>
      <c r="O5385" s="32"/>
      <c r="P5385" s="32"/>
      <c r="Q5385" s="32"/>
      <c r="R5385" s="32"/>
      <c r="S5385" s="32"/>
      <c r="T5385" s="32"/>
      <c r="U5385" s="32"/>
      <c r="V5385" s="32"/>
      <c r="W5385" s="32"/>
      <c r="X5385" s="32"/>
      <c r="Y5385" s="32"/>
      <c r="Z5385" s="32"/>
      <c r="AA5385" s="32"/>
      <c r="AB5385" s="32"/>
      <c r="AC5385" s="32"/>
      <c r="AD5385" s="32"/>
      <c r="AE5385" s="32"/>
      <c r="AF5385" s="32"/>
      <c r="AG5385" s="32"/>
      <c r="AH5385" s="32"/>
    </row>
    <row r="5386" ht="12.75" hidden="1" customHeight="1" outlineLevel="1">
      <c r="A5386" s="122">
        <v>41988.0</v>
      </c>
      <c r="B5386" s="32" t="s">
        <v>347</v>
      </c>
      <c r="C5386" s="32" t="s">
        <v>1357</v>
      </c>
      <c r="D5386" s="708">
        <v>300.0</v>
      </c>
      <c r="E5386" s="195">
        <v>36.0001</v>
      </c>
      <c r="F5386" s="709">
        <v>0.46315972222222224</v>
      </c>
      <c r="G5386" s="195" t="s">
        <v>453</v>
      </c>
      <c r="H5386" s="710">
        <v>1.44</v>
      </c>
      <c r="I5386" s="256"/>
      <c r="J5386" s="67">
        <f t="shared" si="338"/>
        <v>10798.59</v>
      </c>
      <c r="K5386" s="7"/>
      <c r="L5386" s="70"/>
      <c r="M5386" s="79"/>
      <c r="N5386" s="32"/>
      <c r="O5386" s="32"/>
      <c r="P5386" s="32"/>
      <c r="Q5386" s="32"/>
      <c r="R5386" s="32"/>
      <c r="S5386" s="32"/>
      <c r="T5386" s="32"/>
      <c r="U5386" s="32"/>
      <c r="V5386" s="32"/>
      <c r="W5386" s="32"/>
      <c r="X5386" s="32"/>
      <c r="Y5386" s="32"/>
      <c r="Z5386" s="32"/>
      <c r="AA5386" s="32"/>
      <c r="AB5386" s="32"/>
      <c r="AC5386" s="32"/>
      <c r="AD5386" s="32"/>
      <c r="AE5386" s="32"/>
      <c r="AF5386" s="32"/>
      <c r="AG5386" s="32"/>
      <c r="AH5386" s="32"/>
    </row>
    <row r="5387" ht="12.75" hidden="1" customHeight="1" outlineLevel="1">
      <c r="A5387" s="122">
        <v>41988.0</v>
      </c>
      <c r="B5387" s="32" t="s">
        <v>347</v>
      </c>
      <c r="C5387" s="32" t="s">
        <v>1495</v>
      </c>
      <c r="D5387" s="708">
        <v>700.0</v>
      </c>
      <c r="E5387" s="195">
        <v>41.67</v>
      </c>
      <c r="F5387" s="709">
        <v>0.4564930555555556</v>
      </c>
      <c r="G5387" s="195" t="s">
        <v>453</v>
      </c>
      <c r="H5387" s="710">
        <v>3.54</v>
      </c>
      <c r="I5387" s="256"/>
      <c r="J5387" s="67">
        <f t="shared" si="338"/>
        <v>29165.46</v>
      </c>
      <c r="K5387" s="7"/>
      <c r="L5387" s="70"/>
      <c r="M5387" s="79"/>
      <c r="N5387" s="32"/>
      <c r="O5387" s="32"/>
      <c r="P5387" s="32"/>
      <c r="Q5387" s="32"/>
      <c r="R5387" s="32"/>
      <c r="S5387" s="32"/>
      <c r="T5387" s="32"/>
      <c r="U5387" s="32"/>
      <c r="V5387" s="32"/>
      <c r="W5387" s="32"/>
      <c r="X5387" s="32"/>
      <c r="Y5387" s="32"/>
      <c r="Z5387" s="32"/>
      <c r="AA5387" s="32"/>
      <c r="AB5387" s="32"/>
      <c r="AC5387" s="32"/>
      <c r="AD5387" s="32"/>
      <c r="AE5387" s="32"/>
      <c r="AF5387" s="32"/>
      <c r="AG5387" s="32"/>
      <c r="AH5387" s="32"/>
    </row>
    <row r="5388" ht="12.75" hidden="1" customHeight="1" outlineLevel="1">
      <c r="A5388" s="882">
        <v>41988.0</v>
      </c>
      <c r="B5388" s="1"/>
      <c r="C5388" s="1" t="s">
        <v>339</v>
      </c>
      <c r="D5388" s="74"/>
      <c r="E5388" s="67"/>
      <c r="F5388" s="75"/>
      <c r="G5388" s="67"/>
      <c r="H5388" s="68"/>
      <c r="I5388" s="76"/>
      <c r="J5388" s="67"/>
      <c r="K5388" s="9" t="s">
        <v>2491</v>
      </c>
      <c r="L5388" s="77"/>
      <c r="M5388" s="79"/>
      <c r="N5388" s="1"/>
      <c r="O5388" s="1"/>
      <c r="P5388" s="1"/>
      <c r="Q5388" s="1"/>
      <c r="R5388" s="1"/>
      <c r="S5388" s="1"/>
      <c r="T5388" s="1"/>
      <c r="U5388" s="1"/>
      <c r="V5388" s="1"/>
      <c r="W5388" s="1"/>
      <c r="X5388" s="1"/>
      <c r="Y5388" s="1"/>
      <c r="Z5388" s="1"/>
      <c r="AA5388" s="1"/>
      <c r="AB5388" s="1"/>
      <c r="AC5388" s="1"/>
      <c r="AD5388" s="1"/>
      <c r="AE5388" s="1"/>
      <c r="AF5388" s="1"/>
      <c r="AG5388" s="1"/>
      <c r="AH5388" s="1"/>
    </row>
    <row r="5389" ht="12.75" hidden="1" customHeight="1" outlineLevel="1">
      <c r="A5389" s="882">
        <v>41988.0</v>
      </c>
      <c r="B5389" s="1"/>
      <c r="C5389" s="1" t="s">
        <v>429</v>
      </c>
      <c r="D5389" s="74"/>
      <c r="E5389" s="67"/>
      <c r="F5389" s="75"/>
      <c r="G5389" s="67"/>
      <c r="H5389" s="68"/>
      <c r="I5389" s="76"/>
      <c r="J5389" s="67"/>
      <c r="K5389" s="9" t="s">
        <v>2492</v>
      </c>
      <c r="L5389" s="77"/>
      <c r="M5389" s="79"/>
      <c r="N5389" s="1"/>
      <c r="O5389" s="1"/>
      <c r="P5389" s="1"/>
      <c r="Q5389" s="1"/>
      <c r="R5389" s="1"/>
      <c r="S5389" s="1"/>
      <c r="T5389" s="1"/>
      <c r="U5389" s="1"/>
      <c r="V5389" s="1"/>
      <c r="W5389" s="1"/>
      <c r="X5389" s="1"/>
      <c r="Y5389" s="1"/>
      <c r="Z5389" s="1"/>
      <c r="AA5389" s="1"/>
      <c r="AB5389" s="1"/>
      <c r="AC5389" s="1"/>
      <c r="AD5389" s="1"/>
      <c r="AE5389" s="1"/>
      <c r="AF5389" s="1"/>
      <c r="AG5389" s="1"/>
      <c r="AH5389" s="1"/>
    </row>
    <row r="5390" ht="12.75" hidden="1" customHeight="1" outlineLevel="1">
      <c r="A5390" s="882">
        <v>41988.0</v>
      </c>
      <c r="B5390" s="1"/>
      <c r="C5390" s="1" t="s">
        <v>431</v>
      </c>
      <c r="D5390" s="74"/>
      <c r="E5390" s="67"/>
      <c r="F5390" s="75"/>
      <c r="G5390" s="67"/>
      <c r="H5390" s="68"/>
      <c r="I5390" s="76"/>
      <c r="J5390" s="67"/>
      <c r="K5390" s="7" t="s">
        <v>1126</v>
      </c>
      <c r="L5390" s="77"/>
      <c r="M5390" s="79"/>
      <c r="N5390" s="1"/>
      <c r="O5390" s="1"/>
      <c r="P5390" s="1"/>
      <c r="Q5390" s="1"/>
      <c r="R5390" s="1"/>
      <c r="S5390" s="1"/>
      <c r="T5390" s="1"/>
      <c r="U5390" s="1"/>
      <c r="V5390" s="1"/>
      <c r="W5390" s="1"/>
      <c r="X5390" s="1"/>
      <c r="Y5390" s="1"/>
      <c r="Z5390" s="1"/>
      <c r="AA5390" s="1"/>
      <c r="AB5390" s="1"/>
      <c r="AC5390" s="1"/>
      <c r="AD5390" s="1"/>
      <c r="AE5390" s="1"/>
      <c r="AF5390" s="1"/>
      <c r="AG5390" s="1"/>
      <c r="AH5390" s="1"/>
    </row>
    <row r="5391" ht="12.75" hidden="1" customHeight="1" outlineLevel="1">
      <c r="A5391" s="882">
        <v>41988.0</v>
      </c>
      <c r="B5391" s="1"/>
      <c r="C5391" s="1" t="s">
        <v>433</v>
      </c>
      <c r="D5391" s="74"/>
      <c r="E5391" s="67"/>
      <c r="F5391" s="75"/>
      <c r="G5391" s="67"/>
      <c r="H5391" s="68"/>
      <c r="I5391" s="76"/>
      <c r="J5391" s="67"/>
      <c r="K5391" s="7" t="s">
        <v>1103</v>
      </c>
      <c r="L5391" s="77"/>
      <c r="M5391" s="79"/>
      <c r="N5391" s="1"/>
      <c r="O5391" s="1"/>
      <c r="P5391" s="1"/>
      <c r="Q5391" s="1"/>
      <c r="R5391" s="1"/>
      <c r="S5391" s="1"/>
      <c r="T5391" s="1"/>
      <c r="U5391" s="1"/>
      <c r="V5391" s="1"/>
      <c r="W5391" s="1"/>
      <c r="X5391" s="1"/>
      <c r="Y5391" s="1"/>
      <c r="Z5391" s="1"/>
      <c r="AA5391" s="1"/>
      <c r="AB5391" s="1"/>
      <c r="AC5391" s="1"/>
      <c r="AD5391" s="1"/>
      <c r="AE5391" s="1"/>
      <c r="AF5391" s="1"/>
      <c r="AG5391" s="1"/>
      <c r="AH5391" s="1"/>
    </row>
    <row r="5392" ht="12.75" hidden="1" customHeight="1" outlineLevel="1">
      <c r="A5392" s="882">
        <v>41988.0</v>
      </c>
      <c r="B5392" s="1"/>
      <c r="C5392" s="1" t="s">
        <v>435</v>
      </c>
      <c r="D5392" s="74"/>
      <c r="E5392" s="67"/>
      <c r="F5392" s="75"/>
      <c r="G5392" s="67"/>
      <c r="H5392" s="68"/>
      <c r="I5392" s="76"/>
      <c r="J5392" s="67"/>
      <c r="K5392" s="9" t="s">
        <v>2486</v>
      </c>
      <c r="L5392" s="77"/>
      <c r="M5392" s="79"/>
      <c r="N5392" s="1"/>
      <c r="O5392" s="1"/>
      <c r="P5392" s="1"/>
      <c r="Q5392" s="1"/>
      <c r="R5392" s="1"/>
      <c r="S5392" s="1"/>
      <c r="T5392" s="1"/>
      <c r="U5392" s="1"/>
      <c r="V5392" s="1"/>
      <c r="W5392" s="1"/>
      <c r="X5392" s="1"/>
      <c r="Y5392" s="1"/>
      <c r="Z5392" s="1"/>
      <c r="AA5392" s="1"/>
      <c r="AB5392" s="1"/>
      <c r="AC5392" s="1"/>
      <c r="AD5392" s="1"/>
      <c r="AE5392" s="1"/>
      <c r="AF5392" s="1"/>
      <c r="AG5392" s="1"/>
      <c r="AH5392" s="1"/>
    </row>
    <row r="5393" ht="12.75" hidden="1" customHeight="1" outlineLevel="1">
      <c r="A5393" s="122">
        <v>41989.0</v>
      </c>
      <c r="B5393" s="32" t="s">
        <v>347</v>
      </c>
      <c r="C5393" s="32" t="s">
        <v>790</v>
      </c>
      <c r="D5393" s="708">
        <v>2000.0</v>
      </c>
      <c r="E5393" s="195">
        <v>6.49</v>
      </c>
      <c r="F5393" s="709">
        <v>0.5254861111111111</v>
      </c>
      <c r="G5393" s="195" t="s">
        <v>453</v>
      </c>
      <c r="H5393" s="710">
        <v>10.29</v>
      </c>
      <c r="I5393" s="256"/>
      <c r="J5393" s="67">
        <f t="shared" ref="J5393:J5394" si="339">IF(B5393="SLD",D5393*E5393,-D5393*E5393)-H5393</f>
        <v>12969.71</v>
      </c>
      <c r="K5393" s="7"/>
      <c r="L5393" s="70"/>
      <c r="M5393" s="79"/>
      <c r="N5393" s="32"/>
      <c r="O5393" s="32"/>
      <c r="P5393" s="32"/>
      <c r="Q5393" s="32"/>
      <c r="R5393" s="32"/>
      <c r="S5393" s="32"/>
      <c r="T5393" s="32"/>
      <c r="U5393" s="32"/>
      <c r="V5393" s="32"/>
      <c r="W5393" s="32"/>
      <c r="X5393" s="32"/>
      <c r="Y5393" s="32"/>
      <c r="Z5393" s="32"/>
      <c r="AA5393" s="32"/>
      <c r="AB5393" s="32"/>
      <c r="AC5393" s="32"/>
      <c r="AD5393" s="32"/>
      <c r="AE5393" s="32"/>
      <c r="AF5393" s="32"/>
      <c r="AG5393" s="32"/>
      <c r="AH5393" s="32"/>
    </row>
    <row r="5394" ht="12.75" hidden="1" customHeight="1" outlineLevel="1">
      <c r="A5394" s="122">
        <v>41989.0</v>
      </c>
      <c r="B5394" s="32" t="s">
        <v>347</v>
      </c>
      <c r="C5394" s="32" t="s">
        <v>369</v>
      </c>
      <c r="D5394" s="708">
        <v>2500.0</v>
      </c>
      <c r="E5394" s="195">
        <v>6.68</v>
      </c>
      <c r="F5394" s="709">
        <v>0.3993171296296296</v>
      </c>
      <c r="G5394" s="195" t="s">
        <v>453</v>
      </c>
      <c r="H5394" s="710">
        <v>10.87</v>
      </c>
      <c r="I5394" s="256"/>
      <c r="J5394" s="67">
        <f t="shared" si="339"/>
        <v>16689.13</v>
      </c>
      <c r="K5394" s="7"/>
      <c r="L5394" s="70"/>
      <c r="M5394" s="79"/>
      <c r="N5394" s="32"/>
      <c r="O5394" s="32"/>
      <c r="P5394" s="32"/>
      <c r="Q5394" s="32"/>
      <c r="R5394" s="32"/>
      <c r="S5394" s="32"/>
      <c r="T5394" s="32"/>
      <c r="U5394" s="32"/>
      <c r="V5394" s="32"/>
      <c r="W5394" s="32"/>
      <c r="X5394" s="32"/>
      <c r="Y5394" s="32"/>
      <c r="Z5394" s="32"/>
      <c r="AA5394" s="32"/>
      <c r="AB5394" s="32"/>
      <c r="AC5394" s="32"/>
      <c r="AD5394" s="32"/>
      <c r="AE5394" s="32"/>
      <c r="AF5394" s="32"/>
      <c r="AG5394" s="32"/>
      <c r="AH5394" s="32"/>
    </row>
    <row r="5395" ht="12.75" hidden="1" customHeight="1" outlineLevel="1">
      <c r="A5395" s="882">
        <v>41989.0</v>
      </c>
      <c r="B5395" s="1"/>
      <c r="C5395" s="1" t="s">
        <v>339</v>
      </c>
      <c r="D5395" s="74"/>
      <c r="E5395" s="67"/>
      <c r="F5395" s="75"/>
      <c r="G5395" s="67"/>
      <c r="H5395" s="68"/>
      <c r="I5395" s="76"/>
      <c r="J5395" s="67"/>
      <c r="K5395" s="9" t="s">
        <v>2493</v>
      </c>
      <c r="L5395" s="77"/>
      <c r="M5395" s="79"/>
      <c r="N5395" s="1"/>
      <c r="O5395" s="1"/>
      <c r="P5395" s="1"/>
      <c r="Q5395" s="1"/>
      <c r="R5395" s="1"/>
      <c r="S5395" s="1"/>
      <c r="T5395" s="1"/>
      <c r="U5395" s="1"/>
      <c r="V5395" s="1"/>
      <c r="W5395" s="1"/>
      <c r="X5395" s="1"/>
      <c r="Y5395" s="1"/>
      <c r="Z5395" s="1"/>
      <c r="AA5395" s="1"/>
      <c r="AB5395" s="1"/>
      <c r="AC5395" s="1"/>
      <c r="AD5395" s="1"/>
      <c r="AE5395" s="1"/>
      <c r="AF5395" s="1"/>
      <c r="AG5395" s="1"/>
      <c r="AH5395" s="1"/>
    </row>
    <row r="5396" ht="12.75" hidden="1" customHeight="1" outlineLevel="1">
      <c r="A5396" s="882">
        <v>41989.0</v>
      </c>
      <c r="B5396" s="1"/>
      <c r="C5396" s="1" t="s">
        <v>429</v>
      </c>
      <c r="D5396" s="74"/>
      <c r="E5396" s="67"/>
      <c r="F5396" s="75"/>
      <c r="G5396" s="67"/>
      <c r="H5396" s="68"/>
      <c r="I5396" s="76"/>
      <c r="J5396" s="67"/>
      <c r="K5396" s="9" t="s">
        <v>2492</v>
      </c>
      <c r="L5396" s="77"/>
      <c r="M5396" s="79"/>
      <c r="N5396" s="1"/>
      <c r="O5396" s="1"/>
      <c r="P5396" s="1"/>
      <c r="Q5396" s="1"/>
      <c r="R5396" s="1"/>
      <c r="S5396" s="1"/>
      <c r="T5396" s="1"/>
      <c r="U5396" s="1"/>
      <c r="V5396" s="1"/>
      <c r="W5396" s="1"/>
      <c r="X5396" s="1"/>
      <c r="Y5396" s="1"/>
      <c r="Z5396" s="1"/>
      <c r="AA5396" s="1"/>
      <c r="AB5396" s="1"/>
      <c r="AC5396" s="1"/>
      <c r="AD5396" s="1"/>
      <c r="AE5396" s="1"/>
      <c r="AF5396" s="1"/>
      <c r="AG5396" s="1"/>
      <c r="AH5396" s="1"/>
    </row>
    <row r="5397" ht="12.75" hidden="1" customHeight="1" outlineLevel="1">
      <c r="A5397" s="882">
        <v>41989.0</v>
      </c>
      <c r="B5397" s="1"/>
      <c r="C5397" s="1" t="s">
        <v>431</v>
      </c>
      <c r="D5397" s="74"/>
      <c r="E5397" s="67"/>
      <c r="F5397" s="75"/>
      <c r="G5397" s="67"/>
      <c r="H5397" s="68"/>
      <c r="I5397" s="76"/>
      <c r="J5397" s="67"/>
      <c r="K5397" s="7" t="s">
        <v>1126</v>
      </c>
      <c r="L5397" s="77"/>
      <c r="M5397" s="79"/>
      <c r="N5397" s="1"/>
      <c r="O5397" s="1"/>
      <c r="P5397" s="1"/>
      <c r="Q5397" s="1"/>
      <c r="R5397" s="1"/>
      <c r="S5397" s="1"/>
      <c r="T5397" s="1"/>
      <c r="U5397" s="1"/>
      <c r="V5397" s="1"/>
      <c r="W5397" s="1"/>
      <c r="X5397" s="1"/>
      <c r="Y5397" s="1"/>
      <c r="Z5397" s="1"/>
      <c r="AA5397" s="1"/>
      <c r="AB5397" s="1"/>
      <c r="AC5397" s="1"/>
      <c r="AD5397" s="1"/>
      <c r="AE5397" s="1"/>
      <c r="AF5397" s="1"/>
      <c r="AG5397" s="1"/>
      <c r="AH5397" s="1"/>
    </row>
    <row r="5398" ht="12.75" hidden="1" customHeight="1" outlineLevel="1">
      <c r="A5398" s="882">
        <v>41989.0</v>
      </c>
      <c r="B5398" s="1"/>
      <c r="C5398" s="1" t="s">
        <v>433</v>
      </c>
      <c r="D5398" s="74"/>
      <c r="E5398" s="67"/>
      <c r="F5398" s="75"/>
      <c r="G5398" s="67"/>
      <c r="H5398" s="68"/>
      <c r="I5398" s="76"/>
      <c r="J5398" s="67"/>
      <c r="K5398" s="7" t="s">
        <v>1103</v>
      </c>
      <c r="L5398" s="77"/>
      <c r="M5398" s="79"/>
      <c r="N5398" s="1"/>
      <c r="O5398" s="1"/>
      <c r="P5398" s="1"/>
      <c r="Q5398" s="1"/>
      <c r="R5398" s="1"/>
      <c r="S5398" s="1"/>
      <c r="T5398" s="1"/>
      <c r="U5398" s="1"/>
      <c r="V5398" s="1"/>
      <c r="W5398" s="1"/>
      <c r="X5398" s="1"/>
      <c r="Y5398" s="1"/>
      <c r="Z5398" s="1"/>
      <c r="AA5398" s="1"/>
      <c r="AB5398" s="1"/>
      <c r="AC5398" s="1"/>
      <c r="AD5398" s="1"/>
      <c r="AE5398" s="1"/>
      <c r="AF5398" s="1"/>
      <c r="AG5398" s="1"/>
      <c r="AH5398" s="1"/>
    </row>
    <row r="5399" ht="12.75" hidden="1" customHeight="1" outlineLevel="1">
      <c r="A5399" s="882">
        <v>41989.0</v>
      </c>
      <c r="B5399" s="1"/>
      <c r="C5399" s="1" t="s">
        <v>435</v>
      </c>
      <c r="D5399" s="74"/>
      <c r="E5399" s="67"/>
      <c r="F5399" s="75"/>
      <c r="G5399" s="67"/>
      <c r="H5399" s="68"/>
      <c r="I5399" s="76"/>
      <c r="J5399" s="67"/>
      <c r="K5399" s="9" t="s">
        <v>2486</v>
      </c>
      <c r="L5399" s="77"/>
      <c r="M5399" s="79"/>
      <c r="N5399" s="1"/>
      <c r="O5399" s="1"/>
      <c r="P5399" s="1"/>
      <c r="Q5399" s="1"/>
      <c r="R5399" s="1"/>
      <c r="S5399" s="1"/>
      <c r="T5399" s="1"/>
      <c r="U5399" s="1"/>
      <c r="V5399" s="1"/>
      <c r="W5399" s="1"/>
      <c r="X5399" s="1"/>
      <c r="Y5399" s="1"/>
      <c r="Z5399" s="1"/>
      <c r="AA5399" s="1"/>
      <c r="AB5399" s="1"/>
      <c r="AC5399" s="1"/>
      <c r="AD5399" s="1"/>
      <c r="AE5399" s="1"/>
      <c r="AF5399" s="1"/>
      <c r="AG5399" s="1"/>
      <c r="AH5399" s="1"/>
    </row>
    <row r="5400" ht="12.75" hidden="1" customHeight="1" outlineLevel="1">
      <c r="A5400" s="122">
        <v>41990.0</v>
      </c>
      <c r="B5400" s="32" t="s">
        <v>343</v>
      </c>
      <c r="C5400" s="32" t="s">
        <v>364</v>
      </c>
      <c r="D5400" s="708">
        <v>50.0</v>
      </c>
      <c r="E5400" s="195">
        <v>128.21</v>
      </c>
      <c r="F5400" s="709">
        <v>0.6189583333333334</v>
      </c>
      <c r="G5400" s="195" t="s">
        <v>453</v>
      </c>
      <c r="H5400" s="710">
        <v>1.0</v>
      </c>
      <c r="I5400" s="256"/>
      <c r="J5400" s="67">
        <f t="shared" ref="J5400:J5424" si="340">IF(B5400="SLD",D5400*E5400,-D5400*E5400)-H5400</f>
        <v>-6411.5</v>
      </c>
      <c r="K5400" s="7"/>
      <c r="L5400" s="70"/>
      <c r="M5400" s="79"/>
      <c r="N5400" s="32"/>
      <c r="O5400" s="32"/>
      <c r="P5400" s="32"/>
      <c r="Q5400" s="32"/>
      <c r="R5400" s="32"/>
      <c r="S5400" s="32"/>
      <c r="T5400" s="32"/>
      <c r="U5400" s="32"/>
      <c r="V5400" s="32"/>
      <c r="W5400" s="32"/>
      <c r="X5400" s="32"/>
      <c r="Y5400" s="32"/>
      <c r="Z5400" s="32"/>
      <c r="AA5400" s="32"/>
      <c r="AB5400" s="32"/>
      <c r="AC5400" s="32"/>
      <c r="AD5400" s="32"/>
      <c r="AE5400" s="32"/>
      <c r="AF5400" s="32"/>
      <c r="AG5400" s="32"/>
      <c r="AH5400" s="32"/>
    </row>
    <row r="5401" ht="12.75" hidden="1" customHeight="1" outlineLevel="1">
      <c r="A5401" s="122">
        <v>41990.0</v>
      </c>
      <c r="B5401" s="32" t="s">
        <v>343</v>
      </c>
      <c r="C5401" s="32" t="s">
        <v>1844</v>
      </c>
      <c r="D5401" s="708">
        <v>1000.0</v>
      </c>
      <c r="E5401" s="195">
        <v>36.433</v>
      </c>
      <c r="F5401" s="709">
        <v>0.6627893518518518</v>
      </c>
      <c r="G5401" s="195" t="s">
        <v>453</v>
      </c>
      <c r="H5401" s="710">
        <v>4.5</v>
      </c>
      <c r="I5401" s="256"/>
      <c r="J5401" s="67">
        <f t="shared" si="340"/>
        <v>-36437.5</v>
      </c>
      <c r="K5401" s="7"/>
      <c r="L5401" s="70"/>
      <c r="M5401" s="79"/>
      <c r="N5401" s="32"/>
      <c r="O5401" s="32"/>
      <c r="P5401" s="32"/>
      <c r="Q5401" s="32"/>
      <c r="R5401" s="32"/>
      <c r="S5401" s="32"/>
      <c r="T5401" s="32"/>
      <c r="U5401" s="32"/>
      <c r="V5401" s="32"/>
      <c r="W5401" s="32"/>
      <c r="X5401" s="32"/>
      <c r="Y5401" s="32"/>
      <c r="Z5401" s="32"/>
      <c r="AA5401" s="32"/>
      <c r="AB5401" s="32"/>
      <c r="AC5401" s="32"/>
      <c r="AD5401" s="32"/>
      <c r="AE5401" s="32"/>
      <c r="AF5401" s="32"/>
      <c r="AG5401" s="32"/>
      <c r="AH5401" s="32"/>
    </row>
    <row r="5402" ht="12.75" hidden="1" customHeight="1" outlineLevel="1">
      <c r="A5402" s="122">
        <v>41990.0</v>
      </c>
      <c r="B5402" s="32" t="s">
        <v>343</v>
      </c>
      <c r="C5402" s="32" t="s">
        <v>2048</v>
      </c>
      <c r="D5402" s="708">
        <v>2000.0</v>
      </c>
      <c r="E5402" s="195">
        <v>12.128</v>
      </c>
      <c r="F5402" s="709">
        <v>0.6630555555555555</v>
      </c>
      <c r="G5402" s="195" t="s">
        <v>453</v>
      </c>
      <c r="H5402" s="710">
        <v>9.0</v>
      </c>
      <c r="I5402" s="256"/>
      <c r="J5402" s="67">
        <f t="shared" si="340"/>
        <v>-24265</v>
      </c>
      <c r="K5402" s="7"/>
      <c r="L5402" s="70"/>
      <c r="M5402" s="79"/>
      <c r="N5402" s="32"/>
      <c r="O5402" s="32"/>
      <c r="P5402" s="32"/>
      <c r="Q5402" s="32"/>
      <c r="R5402" s="32"/>
      <c r="S5402" s="32"/>
      <c r="T5402" s="32"/>
      <c r="U5402" s="32"/>
      <c r="V5402" s="32"/>
      <c r="W5402" s="32"/>
      <c r="X5402" s="32"/>
      <c r="Y5402" s="32"/>
      <c r="Z5402" s="32"/>
      <c r="AA5402" s="32"/>
      <c r="AB5402" s="32"/>
      <c r="AC5402" s="32"/>
      <c r="AD5402" s="32"/>
      <c r="AE5402" s="32"/>
      <c r="AF5402" s="32"/>
      <c r="AG5402" s="32"/>
      <c r="AH5402" s="32"/>
    </row>
    <row r="5403" ht="12.75" hidden="1" customHeight="1" outlineLevel="1">
      <c r="A5403" s="122">
        <v>41990.0</v>
      </c>
      <c r="B5403" s="32" t="s">
        <v>343</v>
      </c>
      <c r="C5403" s="32" t="s">
        <v>2192</v>
      </c>
      <c r="D5403" s="708">
        <v>2200.0</v>
      </c>
      <c r="E5403" s="195">
        <v>11.38</v>
      </c>
      <c r="F5403" s="709">
        <v>0.6629166666666667</v>
      </c>
      <c r="G5403" s="195" t="s">
        <v>453</v>
      </c>
      <c r="H5403" s="710">
        <v>8.8</v>
      </c>
      <c r="I5403" s="256"/>
      <c r="J5403" s="67">
        <f t="shared" si="340"/>
        <v>-25044.8</v>
      </c>
      <c r="K5403" s="7"/>
      <c r="L5403" s="70"/>
      <c r="M5403" s="79"/>
      <c r="N5403" s="32"/>
      <c r="O5403" s="32"/>
      <c r="P5403" s="32"/>
      <c r="Q5403" s="32"/>
      <c r="R5403" s="32"/>
      <c r="S5403" s="32"/>
      <c r="T5403" s="32"/>
      <c r="U5403" s="32"/>
      <c r="V5403" s="32"/>
      <c r="W5403" s="32"/>
      <c r="X5403" s="32"/>
      <c r="Y5403" s="32"/>
      <c r="Z5403" s="32"/>
      <c r="AA5403" s="32"/>
      <c r="AB5403" s="32"/>
      <c r="AC5403" s="32"/>
      <c r="AD5403" s="32"/>
      <c r="AE5403" s="32"/>
      <c r="AF5403" s="32"/>
      <c r="AG5403" s="32"/>
      <c r="AH5403" s="32"/>
    </row>
    <row r="5404" ht="12.75" hidden="1" customHeight="1" outlineLevel="1">
      <c r="A5404" s="122">
        <v>41990.0</v>
      </c>
      <c r="B5404" s="32" t="s">
        <v>343</v>
      </c>
      <c r="C5404" s="32" t="s">
        <v>790</v>
      </c>
      <c r="D5404" s="708">
        <v>9500.0</v>
      </c>
      <c r="E5404" s="195">
        <v>6.71</v>
      </c>
      <c r="F5404" s="709">
        <v>0.6611342592592593</v>
      </c>
      <c r="G5404" s="195" t="s">
        <v>453</v>
      </c>
      <c r="H5404" s="710">
        <v>44.5</v>
      </c>
      <c r="I5404" s="256"/>
      <c r="J5404" s="67">
        <f t="shared" si="340"/>
        <v>-63789.5</v>
      </c>
      <c r="K5404" s="7"/>
      <c r="L5404" s="70"/>
      <c r="M5404" s="79"/>
      <c r="N5404" s="32"/>
      <c r="O5404" s="32"/>
      <c r="P5404" s="32"/>
      <c r="Q5404" s="32"/>
      <c r="R5404" s="32"/>
      <c r="S5404" s="32"/>
      <c r="T5404" s="32"/>
      <c r="U5404" s="32"/>
      <c r="V5404" s="32"/>
      <c r="W5404" s="32"/>
      <c r="X5404" s="32"/>
      <c r="Y5404" s="32"/>
      <c r="Z5404" s="32"/>
      <c r="AA5404" s="32"/>
      <c r="AB5404" s="32"/>
      <c r="AC5404" s="32"/>
      <c r="AD5404" s="32"/>
      <c r="AE5404" s="32"/>
      <c r="AF5404" s="32"/>
      <c r="AG5404" s="32"/>
      <c r="AH5404" s="32"/>
    </row>
    <row r="5405" ht="12.75" hidden="1" customHeight="1" outlineLevel="1">
      <c r="A5405" s="122">
        <v>41990.0</v>
      </c>
      <c r="B5405" s="32" t="s">
        <v>343</v>
      </c>
      <c r="C5405" s="32" t="s">
        <v>784</v>
      </c>
      <c r="D5405" s="708">
        <v>9500.0</v>
      </c>
      <c r="E5405" s="195">
        <v>7.258</v>
      </c>
      <c r="F5405" s="709">
        <v>0.6607523148148148</v>
      </c>
      <c r="G5405" s="195" t="s">
        <v>453</v>
      </c>
      <c r="H5405" s="710">
        <v>42.5</v>
      </c>
      <c r="I5405" s="256"/>
      <c r="J5405" s="67">
        <f t="shared" si="340"/>
        <v>-68993.5</v>
      </c>
      <c r="K5405" s="7"/>
      <c r="L5405" s="70"/>
      <c r="M5405" s="79"/>
      <c r="N5405" s="32"/>
      <c r="O5405" s="32"/>
      <c r="P5405" s="32"/>
      <c r="Q5405" s="32"/>
      <c r="R5405" s="32"/>
      <c r="S5405" s="32"/>
      <c r="T5405" s="32"/>
      <c r="U5405" s="32"/>
      <c r="V5405" s="32"/>
      <c r="W5405" s="32"/>
      <c r="X5405" s="32"/>
      <c r="Y5405" s="32"/>
      <c r="Z5405" s="32"/>
      <c r="AA5405" s="32"/>
      <c r="AB5405" s="32"/>
      <c r="AC5405" s="32"/>
      <c r="AD5405" s="32"/>
      <c r="AE5405" s="32"/>
      <c r="AF5405" s="32"/>
      <c r="AG5405" s="32"/>
      <c r="AH5405" s="32"/>
    </row>
    <row r="5406" ht="12.75" hidden="1" customHeight="1" outlineLevel="1">
      <c r="A5406" s="122">
        <v>41990.0</v>
      </c>
      <c r="B5406" s="32" t="s">
        <v>343</v>
      </c>
      <c r="C5406" s="32" t="s">
        <v>369</v>
      </c>
      <c r="D5406" s="708">
        <v>10000.0</v>
      </c>
      <c r="E5406" s="195">
        <v>6.42</v>
      </c>
      <c r="F5406" s="709">
        <v>0.6609490740740741</v>
      </c>
      <c r="G5406" s="195" t="s">
        <v>453</v>
      </c>
      <c r="H5406" s="710">
        <v>48.0</v>
      </c>
      <c r="I5406" s="256"/>
      <c r="J5406" s="67">
        <f t="shared" si="340"/>
        <v>-64248</v>
      </c>
      <c r="K5406" s="7"/>
      <c r="L5406" s="70"/>
      <c r="M5406" s="79"/>
      <c r="N5406" s="32"/>
      <c r="O5406" s="32"/>
      <c r="P5406" s="32"/>
      <c r="Q5406" s="32"/>
      <c r="R5406" s="32"/>
      <c r="S5406" s="32"/>
      <c r="T5406" s="32"/>
      <c r="U5406" s="32"/>
      <c r="V5406" s="32"/>
      <c r="W5406" s="32"/>
      <c r="X5406" s="32"/>
      <c r="Y5406" s="32"/>
      <c r="Z5406" s="32"/>
      <c r="AA5406" s="32"/>
      <c r="AB5406" s="32"/>
      <c r="AC5406" s="32"/>
      <c r="AD5406" s="32"/>
      <c r="AE5406" s="32"/>
      <c r="AF5406" s="32"/>
      <c r="AG5406" s="32"/>
      <c r="AH5406" s="32"/>
    </row>
    <row r="5407" ht="12.75" hidden="1" customHeight="1" outlineLevel="1">
      <c r="A5407" s="122">
        <v>41990.0</v>
      </c>
      <c r="B5407" s="32" t="s">
        <v>347</v>
      </c>
      <c r="C5407" s="32" t="s">
        <v>1844</v>
      </c>
      <c r="D5407" s="708">
        <v>200.0</v>
      </c>
      <c r="E5407" s="195">
        <v>36.5124</v>
      </c>
      <c r="F5407" s="709">
        <v>0.6144328703703704</v>
      </c>
      <c r="G5407" s="195" t="s">
        <v>453</v>
      </c>
      <c r="H5407" s="710">
        <v>1.16</v>
      </c>
      <c r="I5407" s="256"/>
      <c r="J5407" s="67">
        <f t="shared" si="340"/>
        <v>7301.32</v>
      </c>
      <c r="K5407" s="7"/>
      <c r="L5407" s="70"/>
      <c r="M5407" s="79"/>
      <c r="N5407" s="32"/>
      <c r="O5407" s="32"/>
      <c r="P5407" s="32"/>
      <c r="Q5407" s="32"/>
      <c r="R5407" s="32"/>
      <c r="S5407" s="32"/>
      <c r="T5407" s="32"/>
      <c r="U5407" s="32"/>
      <c r="V5407" s="32"/>
      <c r="W5407" s="32"/>
      <c r="X5407" s="32"/>
      <c r="Y5407" s="32"/>
      <c r="Z5407" s="32"/>
      <c r="AA5407" s="32"/>
      <c r="AB5407" s="32"/>
      <c r="AC5407" s="32"/>
      <c r="AD5407" s="32"/>
      <c r="AE5407" s="32"/>
      <c r="AF5407" s="32"/>
      <c r="AG5407" s="32"/>
      <c r="AH5407" s="32"/>
    </row>
    <row r="5408" ht="12.75" hidden="1" customHeight="1" outlineLevel="1">
      <c r="A5408" s="122">
        <v>41990.0</v>
      </c>
      <c r="B5408" s="32" t="s">
        <v>347</v>
      </c>
      <c r="C5408" s="32" t="s">
        <v>2048</v>
      </c>
      <c r="D5408" s="708">
        <v>500.0</v>
      </c>
      <c r="E5408" s="195">
        <v>12.161</v>
      </c>
      <c r="F5408" s="709">
        <v>0.6148032407407408</v>
      </c>
      <c r="G5408" s="195" t="s">
        <v>453</v>
      </c>
      <c r="H5408" s="710">
        <v>2.13</v>
      </c>
      <c r="I5408" s="256"/>
      <c r="J5408" s="67">
        <f t="shared" si="340"/>
        <v>6078.37</v>
      </c>
      <c r="K5408" s="7"/>
      <c r="L5408" s="70"/>
      <c r="M5408" s="79"/>
      <c r="N5408" s="32"/>
      <c r="O5408" s="32"/>
      <c r="P5408" s="32"/>
      <c r="Q5408" s="32"/>
      <c r="R5408" s="32"/>
      <c r="S5408" s="32"/>
      <c r="T5408" s="32"/>
      <c r="U5408" s="32"/>
      <c r="V5408" s="32"/>
      <c r="W5408" s="32"/>
      <c r="X5408" s="32"/>
      <c r="Y5408" s="32"/>
      <c r="Z5408" s="32"/>
      <c r="AA5408" s="32"/>
      <c r="AB5408" s="32"/>
      <c r="AC5408" s="32"/>
      <c r="AD5408" s="32"/>
      <c r="AE5408" s="32"/>
      <c r="AF5408" s="32"/>
      <c r="AG5408" s="32"/>
      <c r="AH5408" s="32"/>
    </row>
    <row r="5409" ht="12.75" hidden="1" customHeight="1" outlineLevel="1">
      <c r="A5409" s="122">
        <v>41990.0</v>
      </c>
      <c r="B5409" s="32" t="s">
        <v>347</v>
      </c>
      <c r="C5409" s="32" t="s">
        <v>2192</v>
      </c>
      <c r="D5409" s="708">
        <v>700.0</v>
      </c>
      <c r="E5409" s="195">
        <v>11.23</v>
      </c>
      <c r="F5409" s="709">
        <v>0.6152546296296296</v>
      </c>
      <c r="G5409" s="195" t="s">
        <v>453</v>
      </c>
      <c r="H5409" s="710">
        <v>3.67</v>
      </c>
      <c r="I5409" s="256"/>
      <c r="J5409" s="67">
        <f t="shared" si="340"/>
        <v>7857.33</v>
      </c>
      <c r="K5409" s="7"/>
      <c r="L5409" s="70"/>
      <c r="M5409" s="79"/>
      <c r="N5409" s="32"/>
      <c r="O5409" s="32"/>
      <c r="P5409" s="32"/>
      <c r="Q5409" s="32"/>
      <c r="R5409" s="32"/>
      <c r="S5409" s="32"/>
      <c r="T5409" s="32"/>
      <c r="U5409" s="32"/>
      <c r="V5409" s="32"/>
      <c r="W5409" s="32"/>
      <c r="X5409" s="32"/>
      <c r="Y5409" s="32"/>
      <c r="Z5409" s="32"/>
      <c r="AA5409" s="32"/>
      <c r="AB5409" s="32"/>
      <c r="AC5409" s="32"/>
      <c r="AD5409" s="32"/>
      <c r="AE5409" s="32"/>
      <c r="AF5409" s="32"/>
      <c r="AG5409" s="32"/>
      <c r="AH5409" s="32"/>
    </row>
    <row r="5410" ht="12.75" hidden="1" customHeight="1" outlineLevel="1">
      <c r="A5410" s="122">
        <v>41991.0</v>
      </c>
      <c r="B5410" s="32" t="s">
        <v>343</v>
      </c>
      <c r="C5410" s="32" t="s">
        <v>1158</v>
      </c>
      <c r="D5410" s="708">
        <v>200.0</v>
      </c>
      <c r="E5410" s="195">
        <v>46.5</v>
      </c>
      <c r="F5410" s="709">
        <v>0.46708333333333335</v>
      </c>
      <c r="G5410" s="195" t="s">
        <v>453</v>
      </c>
      <c r="H5410" s="710">
        <v>1.0</v>
      </c>
      <c r="I5410" s="256"/>
      <c r="J5410" s="67">
        <f t="shared" si="340"/>
        <v>-9301</v>
      </c>
      <c r="K5410" s="7"/>
      <c r="L5410" s="70"/>
      <c r="M5410" s="79"/>
      <c r="N5410" s="32"/>
      <c r="O5410" s="32"/>
      <c r="P5410" s="32"/>
      <c r="Q5410" s="32"/>
      <c r="R5410" s="32"/>
      <c r="S5410" s="32"/>
      <c r="T5410" s="32"/>
      <c r="U5410" s="32"/>
      <c r="V5410" s="32"/>
      <c r="W5410" s="32"/>
      <c r="X5410" s="32"/>
      <c r="Y5410" s="32"/>
      <c r="Z5410" s="32"/>
      <c r="AA5410" s="32"/>
      <c r="AB5410" s="32"/>
      <c r="AC5410" s="32"/>
      <c r="AD5410" s="32"/>
      <c r="AE5410" s="32"/>
      <c r="AF5410" s="32"/>
      <c r="AG5410" s="32"/>
      <c r="AH5410" s="32"/>
    </row>
    <row r="5411" ht="12.75" hidden="1" customHeight="1" outlineLevel="1">
      <c r="A5411" s="122">
        <v>41991.0</v>
      </c>
      <c r="B5411" s="32" t="s">
        <v>343</v>
      </c>
      <c r="C5411" s="32" t="s">
        <v>1844</v>
      </c>
      <c r="D5411" s="708">
        <v>1000.0</v>
      </c>
      <c r="E5411" s="195">
        <v>36.418</v>
      </c>
      <c r="F5411" s="709">
        <v>0.6583333333333333</v>
      </c>
      <c r="G5411" s="195" t="s">
        <v>453</v>
      </c>
      <c r="H5411" s="710">
        <v>4.0</v>
      </c>
      <c r="I5411" s="256"/>
      <c r="J5411" s="67">
        <f t="shared" si="340"/>
        <v>-36422</v>
      </c>
      <c r="K5411" s="7"/>
      <c r="L5411" s="70"/>
      <c r="M5411" s="79"/>
      <c r="N5411" s="32"/>
      <c r="O5411" s="32"/>
      <c r="P5411" s="32"/>
      <c r="Q5411" s="32"/>
      <c r="R5411" s="32"/>
      <c r="S5411" s="32"/>
      <c r="T5411" s="32"/>
      <c r="U5411" s="32"/>
      <c r="V5411" s="32"/>
      <c r="W5411" s="32"/>
      <c r="X5411" s="32"/>
      <c r="Y5411" s="32"/>
      <c r="Z5411" s="32"/>
      <c r="AA5411" s="32"/>
      <c r="AB5411" s="32"/>
      <c r="AC5411" s="32"/>
      <c r="AD5411" s="32"/>
      <c r="AE5411" s="32"/>
      <c r="AF5411" s="32"/>
      <c r="AG5411" s="32"/>
      <c r="AH5411" s="32"/>
    </row>
    <row r="5412" ht="12.75" hidden="1" customHeight="1" outlineLevel="1">
      <c r="A5412" s="122">
        <v>41991.0</v>
      </c>
      <c r="B5412" s="32" t="s">
        <v>343</v>
      </c>
      <c r="C5412" s="32" t="s">
        <v>2192</v>
      </c>
      <c r="D5412" s="708">
        <v>2200.0</v>
      </c>
      <c r="E5412" s="195">
        <v>11.64</v>
      </c>
      <c r="F5412" s="709">
        <v>0.6584722222222222</v>
      </c>
      <c r="G5412" s="195" t="s">
        <v>453</v>
      </c>
      <c r="H5412" s="710">
        <v>9.0</v>
      </c>
      <c r="I5412" s="256"/>
      <c r="J5412" s="67">
        <f t="shared" si="340"/>
        <v>-25617</v>
      </c>
      <c r="K5412" s="7"/>
      <c r="L5412" s="70"/>
      <c r="M5412" s="79"/>
      <c r="N5412" s="32"/>
      <c r="O5412" s="32"/>
      <c r="P5412" s="32"/>
      <c r="Q5412" s="32"/>
      <c r="R5412" s="32"/>
      <c r="S5412" s="32"/>
      <c r="T5412" s="32"/>
      <c r="U5412" s="32"/>
      <c r="V5412" s="32"/>
      <c r="W5412" s="32"/>
      <c r="X5412" s="32"/>
      <c r="Y5412" s="32"/>
      <c r="Z5412" s="32"/>
      <c r="AA5412" s="32"/>
      <c r="AB5412" s="32"/>
      <c r="AC5412" s="32"/>
      <c r="AD5412" s="32"/>
      <c r="AE5412" s="32"/>
      <c r="AF5412" s="32"/>
      <c r="AG5412" s="32"/>
      <c r="AH5412" s="32"/>
    </row>
    <row r="5413" ht="12.75" hidden="1" customHeight="1" outlineLevel="1">
      <c r="A5413" s="122">
        <v>41991.0</v>
      </c>
      <c r="B5413" s="32" t="s">
        <v>343</v>
      </c>
      <c r="C5413" s="32" t="s">
        <v>2048</v>
      </c>
      <c r="D5413" s="708">
        <v>4200.0</v>
      </c>
      <c r="E5413" s="195">
        <v>12.26</v>
      </c>
      <c r="F5413" s="709">
        <v>0.6581597222222222</v>
      </c>
      <c r="G5413" s="195" t="s">
        <v>453</v>
      </c>
      <c r="H5413" s="710">
        <v>16.8</v>
      </c>
      <c r="I5413" s="256"/>
      <c r="J5413" s="67">
        <f t="shared" si="340"/>
        <v>-51508.8</v>
      </c>
      <c r="K5413" s="7"/>
      <c r="L5413" s="70"/>
      <c r="M5413" s="79"/>
      <c r="N5413" s="32"/>
      <c r="O5413" s="32"/>
      <c r="P5413" s="32"/>
      <c r="Q5413" s="32"/>
      <c r="R5413" s="32"/>
      <c r="S5413" s="32"/>
      <c r="T5413" s="32"/>
      <c r="U5413" s="32"/>
      <c r="V5413" s="32"/>
      <c r="W5413" s="32"/>
      <c r="X5413" s="32"/>
      <c r="Y5413" s="32"/>
      <c r="Z5413" s="32"/>
      <c r="AA5413" s="32"/>
      <c r="AB5413" s="32"/>
      <c r="AC5413" s="32"/>
      <c r="AD5413" s="32"/>
      <c r="AE5413" s="32"/>
      <c r="AF5413" s="32"/>
      <c r="AG5413" s="32"/>
      <c r="AH5413" s="32"/>
    </row>
    <row r="5414" ht="12.75" hidden="1" customHeight="1" outlineLevel="1">
      <c r="A5414" s="122">
        <v>41991.0</v>
      </c>
      <c r="B5414" s="32" t="s">
        <v>343</v>
      </c>
      <c r="C5414" s="32" t="s">
        <v>369</v>
      </c>
      <c r="D5414" s="708">
        <v>10000.0</v>
      </c>
      <c r="E5414" s="195">
        <v>6.18</v>
      </c>
      <c r="F5414" s="709">
        <v>0.6579976851851852</v>
      </c>
      <c r="G5414" s="195" t="s">
        <v>453</v>
      </c>
      <c r="H5414" s="710">
        <v>43.7</v>
      </c>
      <c r="I5414" s="256"/>
      <c r="J5414" s="67">
        <f t="shared" si="340"/>
        <v>-61843.7</v>
      </c>
      <c r="K5414" s="7"/>
      <c r="L5414" s="70"/>
      <c r="M5414" s="79"/>
      <c r="N5414" s="32"/>
      <c r="O5414" s="32"/>
      <c r="P5414" s="32"/>
      <c r="Q5414" s="32"/>
      <c r="R5414" s="32"/>
      <c r="S5414" s="32"/>
      <c r="T5414" s="32"/>
      <c r="U5414" s="32"/>
      <c r="V5414" s="32"/>
      <c r="W5414" s="32"/>
      <c r="X5414" s="32"/>
      <c r="Y5414" s="32"/>
      <c r="Z5414" s="32"/>
      <c r="AA5414" s="32"/>
      <c r="AB5414" s="32"/>
      <c r="AC5414" s="32"/>
      <c r="AD5414" s="32"/>
      <c r="AE5414" s="32"/>
      <c r="AF5414" s="32"/>
      <c r="AG5414" s="32"/>
      <c r="AH5414" s="32"/>
    </row>
    <row r="5415" ht="12.75" hidden="1" customHeight="1" outlineLevel="1">
      <c r="A5415" s="122">
        <v>41991.0</v>
      </c>
      <c r="B5415" s="32" t="s">
        <v>343</v>
      </c>
      <c r="C5415" s="32" t="s">
        <v>790</v>
      </c>
      <c r="D5415" s="708">
        <v>10000.0</v>
      </c>
      <c r="E5415" s="195">
        <v>6.89</v>
      </c>
      <c r="F5415" s="709">
        <v>0.6578240740740741</v>
      </c>
      <c r="G5415" s="195" t="s">
        <v>453</v>
      </c>
      <c r="H5415" s="710">
        <v>44.3</v>
      </c>
      <c r="I5415" s="256"/>
      <c r="J5415" s="67">
        <f t="shared" si="340"/>
        <v>-68944.3</v>
      </c>
      <c r="K5415" s="7"/>
      <c r="L5415" s="70"/>
      <c r="M5415" s="79"/>
      <c r="N5415" s="32"/>
      <c r="O5415" s="32"/>
      <c r="P5415" s="32"/>
      <c r="Q5415" s="32"/>
      <c r="R5415" s="32"/>
      <c r="S5415" s="32"/>
      <c r="T5415" s="32"/>
      <c r="U5415" s="32"/>
      <c r="V5415" s="32"/>
      <c r="W5415" s="32"/>
      <c r="X5415" s="32"/>
      <c r="Y5415" s="32"/>
      <c r="Z5415" s="32"/>
      <c r="AA5415" s="32"/>
      <c r="AB5415" s="32"/>
      <c r="AC5415" s="32"/>
      <c r="AD5415" s="32"/>
      <c r="AE5415" s="32"/>
      <c r="AF5415" s="32"/>
      <c r="AG5415" s="32"/>
      <c r="AH5415" s="32"/>
    </row>
    <row r="5416" ht="12.75" hidden="1" customHeight="1" outlineLevel="1">
      <c r="A5416" s="122">
        <v>41991.0</v>
      </c>
      <c r="B5416" s="32" t="s">
        <v>343</v>
      </c>
      <c r="C5416" s="32" t="s">
        <v>784</v>
      </c>
      <c r="D5416" s="708">
        <v>10000.0</v>
      </c>
      <c r="E5416" s="195">
        <v>7.56</v>
      </c>
      <c r="F5416" s="709">
        <v>0.6576967592592593</v>
      </c>
      <c r="G5416" s="195" t="s">
        <v>453</v>
      </c>
      <c r="H5416" s="710">
        <v>44.9</v>
      </c>
      <c r="I5416" s="256"/>
      <c r="J5416" s="67">
        <f t="shared" si="340"/>
        <v>-75644.9</v>
      </c>
      <c r="K5416" s="7"/>
      <c r="L5416" s="70"/>
      <c r="M5416" s="79"/>
      <c r="N5416" s="32"/>
      <c r="O5416" s="32"/>
      <c r="P5416" s="32"/>
      <c r="Q5416" s="32"/>
      <c r="R5416" s="32"/>
      <c r="S5416" s="32"/>
      <c r="T5416" s="32"/>
      <c r="U5416" s="32"/>
      <c r="V5416" s="32"/>
      <c r="W5416" s="32"/>
      <c r="X5416" s="32"/>
      <c r="Y5416" s="32"/>
      <c r="Z5416" s="32"/>
      <c r="AA5416" s="32"/>
      <c r="AB5416" s="32"/>
      <c r="AC5416" s="32"/>
      <c r="AD5416" s="32"/>
      <c r="AE5416" s="32"/>
      <c r="AF5416" s="32"/>
      <c r="AG5416" s="32"/>
      <c r="AH5416" s="32"/>
    </row>
    <row r="5417" ht="12.75" hidden="1" customHeight="1" outlineLevel="1">
      <c r="A5417" s="122">
        <v>41991.0</v>
      </c>
      <c r="B5417" s="32" t="s">
        <v>347</v>
      </c>
      <c r="C5417" s="32" t="s">
        <v>1844</v>
      </c>
      <c r="D5417" s="708">
        <v>1000.0</v>
      </c>
      <c r="E5417" s="195">
        <v>36.529</v>
      </c>
      <c r="F5417" s="709">
        <v>0.46186342592592594</v>
      </c>
      <c r="G5417" s="195" t="s">
        <v>453</v>
      </c>
      <c r="H5417" s="710">
        <v>5.31</v>
      </c>
      <c r="I5417" s="256"/>
      <c r="J5417" s="67">
        <f t="shared" si="340"/>
        <v>36523.69</v>
      </c>
      <c r="K5417" s="7"/>
      <c r="L5417" s="70"/>
      <c r="M5417" s="79"/>
      <c r="N5417" s="32"/>
      <c r="O5417" s="32"/>
      <c r="P5417" s="32"/>
      <c r="Q5417" s="32"/>
      <c r="R5417" s="32"/>
      <c r="S5417" s="32"/>
      <c r="T5417" s="32"/>
      <c r="U5417" s="32"/>
      <c r="V5417" s="32"/>
      <c r="W5417" s="32"/>
      <c r="X5417" s="32"/>
      <c r="Y5417" s="32"/>
      <c r="Z5417" s="32"/>
      <c r="AA5417" s="32"/>
      <c r="AB5417" s="32"/>
      <c r="AC5417" s="32"/>
      <c r="AD5417" s="32"/>
      <c r="AE5417" s="32"/>
      <c r="AF5417" s="32"/>
      <c r="AG5417" s="32"/>
      <c r="AH5417" s="32"/>
    </row>
    <row r="5418" ht="12.75" hidden="1" customHeight="1" outlineLevel="1">
      <c r="A5418" s="122">
        <v>41991.0</v>
      </c>
      <c r="B5418" s="32" t="s">
        <v>347</v>
      </c>
      <c r="C5418" s="32" t="s">
        <v>1158</v>
      </c>
      <c r="D5418" s="708">
        <v>1200.0</v>
      </c>
      <c r="E5418" s="195">
        <v>46.66</v>
      </c>
      <c r="F5418" s="709">
        <v>0.661412037037037</v>
      </c>
      <c r="G5418" s="195" t="s">
        <v>453</v>
      </c>
      <c r="H5418" s="710">
        <v>6.64</v>
      </c>
      <c r="I5418" s="256"/>
      <c r="J5418" s="67">
        <f t="shared" si="340"/>
        <v>55985.36</v>
      </c>
      <c r="K5418" s="7"/>
      <c r="L5418" s="70"/>
      <c r="M5418" s="79"/>
      <c r="N5418" s="32"/>
      <c r="O5418" s="32"/>
      <c r="P5418" s="32"/>
      <c r="Q5418" s="32"/>
      <c r="R5418" s="32"/>
      <c r="S5418" s="32"/>
      <c r="T5418" s="32"/>
      <c r="U5418" s="32"/>
      <c r="V5418" s="32"/>
      <c r="W5418" s="32"/>
      <c r="X5418" s="32"/>
      <c r="Y5418" s="32"/>
      <c r="Z5418" s="32"/>
      <c r="AA5418" s="32"/>
      <c r="AB5418" s="32"/>
      <c r="AC5418" s="32"/>
      <c r="AD5418" s="32"/>
      <c r="AE5418" s="32"/>
      <c r="AF5418" s="32"/>
      <c r="AG5418" s="32"/>
      <c r="AH5418" s="32"/>
    </row>
    <row r="5419" ht="12.75" hidden="1" customHeight="1" outlineLevel="1">
      <c r="A5419" s="122">
        <v>41991.0</v>
      </c>
      <c r="B5419" s="32" t="s">
        <v>347</v>
      </c>
      <c r="C5419" s="32" t="s">
        <v>2048</v>
      </c>
      <c r="D5419" s="708">
        <v>2000.0</v>
      </c>
      <c r="E5419" s="195">
        <v>12.111</v>
      </c>
      <c r="F5419" s="709">
        <v>0.46216435185185184</v>
      </c>
      <c r="G5419" s="195" t="s">
        <v>453</v>
      </c>
      <c r="H5419" s="710">
        <v>10.14</v>
      </c>
      <c r="I5419" s="256"/>
      <c r="J5419" s="67">
        <f t="shared" si="340"/>
        <v>24211.86</v>
      </c>
      <c r="K5419" s="7"/>
      <c r="L5419" s="70"/>
      <c r="M5419" s="79"/>
      <c r="N5419" s="32"/>
      <c r="O5419" s="32"/>
      <c r="P5419" s="32"/>
      <c r="Q5419" s="32"/>
      <c r="R5419" s="32"/>
      <c r="S5419" s="32"/>
      <c r="T5419" s="32"/>
      <c r="U5419" s="32"/>
      <c r="V5419" s="32"/>
      <c r="W5419" s="32"/>
      <c r="X5419" s="32"/>
      <c r="Y5419" s="32"/>
      <c r="Z5419" s="32"/>
      <c r="AA5419" s="32"/>
      <c r="AB5419" s="32"/>
      <c r="AC5419" s="32"/>
      <c r="AD5419" s="32"/>
      <c r="AE5419" s="32"/>
      <c r="AF5419" s="32"/>
      <c r="AG5419" s="32"/>
      <c r="AH5419" s="32"/>
    </row>
    <row r="5420" ht="12.75" hidden="1" customHeight="1" outlineLevel="1">
      <c r="A5420" s="122">
        <v>41991.0</v>
      </c>
      <c r="B5420" s="32" t="s">
        <v>347</v>
      </c>
      <c r="C5420" s="32" t="s">
        <v>2048</v>
      </c>
      <c r="D5420" s="708">
        <v>2200.0</v>
      </c>
      <c r="E5420" s="195">
        <v>12.11</v>
      </c>
      <c r="F5420" s="709">
        <v>0.4624537037037037</v>
      </c>
      <c r="G5420" s="195" t="s">
        <v>453</v>
      </c>
      <c r="H5420" s="710">
        <v>11.49</v>
      </c>
      <c r="I5420" s="256"/>
      <c r="J5420" s="67">
        <f t="shared" si="340"/>
        <v>26630.51</v>
      </c>
      <c r="K5420" s="7"/>
      <c r="L5420" s="70"/>
      <c r="M5420" s="79"/>
      <c r="N5420" s="32"/>
      <c r="O5420" s="32"/>
      <c r="P5420" s="32"/>
      <c r="Q5420" s="32"/>
      <c r="R5420" s="32"/>
      <c r="S5420" s="32"/>
      <c r="T5420" s="32"/>
      <c r="U5420" s="32"/>
      <c r="V5420" s="32"/>
      <c r="W5420" s="32"/>
      <c r="X5420" s="32"/>
      <c r="Y5420" s="32"/>
      <c r="Z5420" s="32"/>
      <c r="AA5420" s="32"/>
      <c r="AB5420" s="32"/>
      <c r="AC5420" s="32"/>
      <c r="AD5420" s="32"/>
      <c r="AE5420" s="32"/>
      <c r="AF5420" s="32"/>
      <c r="AG5420" s="32"/>
      <c r="AH5420" s="32"/>
    </row>
    <row r="5421" ht="12.75" hidden="1" customHeight="1" outlineLevel="1">
      <c r="A5421" s="122">
        <v>41991.0</v>
      </c>
      <c r="B5421" s="32" t="s">
        <v>347</v>
      </c>
      <c r="C5421" s="32" t="s">
        <v>2192</v>
      </c>
      <c r="D5421" s="708">
        <v>2200.0</v>
      </c>
      <c r="E5421" s="195">
        <v>11.673</v>
      </c>
      <c r="F5421" s="709">
        <v>0.4632523148148148</v>
      </c>
      <c r="G5421" s="195" t="s">
        <v>453</v>
      </c>
      <c r="H5421" s="710">
        <v>11.57</v>
      </c>
      <c r="I5421" s="256"/>
      <c r="J5421" s="67">
        <f t="shared" si="340"/>
        <v>25669.03</v>
      </c>
      <c r="K5421" s="7"/>
      <c r="L5421" s="70"/>
      <c r="M5421" s="79"/>
      <c r="N5421" s="32"/>
      <c r="O5421" s="32"/>
      <c r="P5421" s="32"/>
      <c r="Q5421" s="32"/>
      <c r="R5421" s="32"/>
      <c r="S5421" s="32"/>
      <c r="T5421" s="32"/>
      <c r="U5421" s="32"/>
      <c r="V5421" s="32"/>
      <c r="W5421" s="32"/>
      <c r="X5421" s="32"/>
      <c r="Y5421" s="32"/>
      <c r="Z5421" s="32"/>
      <c r="AA5421" s="32"/>
      <c r="AB5421" s="32"/>
      <c r="AC5421" s="32"/>
      <c r="AD5421" s="32"/>
      <c r="AE5421" s="32"/>
      <c r="AF5421" s="32"/>
      <c r="AG5421" s="32"/>
      <c r="AH5421" s="32"/>
    </row>
    <row r="5422" ht="12.75" hidden="1" customHeight="1" outlineLevel="1">
      <c r="A5422" s="122">
        <v>41991.0</v>
      </c>
      <c r="B5422" s="32" t="s">
        <v>347</v>
      </c>
      <c r="C5422" s="32" t="s">
        <v>369</v>
      </c>
      <c r="D5422" s="708">
        <v>10000.0</v>
      </c>
      <c r="E5422" s="195">
        <v>6.4</v>
      </c>
      <c r="F5422" s="709">
        <v>0.46368055555555554</v>
      </c>
      <c r="G5422" s="195" t="s">
        <v>453</v>
      </c>
      <c r="H5422" s="710">
        <v>51.41</v>
      </c>
      <c r="I5422" s="256"/>
      <c r="J5422" s="67">
        <f t="shared" si="340"/>
        <v>63948.59</v>
      </c>
      <c r="K5422" s="7"/>
      <c r="L5422" s="70"/>
      <c r="M5422" s="79"/>
      <c r="N5422" s="32"/>
      <c r="O5422" s="32"/>
      <c r="P5422" s="32"/>
      <c r="Q5422" s="32"/>
      <c r="R5422" s="32"/>
      <c r="S5422" s="32"/>
      <c r="T5422" s="32"/>
      <c r="U5422" s="32"/>
      <c r="V5422" s="32"/>
      <c r="W5422" s="32"/>
      <c r="X5422" s="32"/>
      <c r="Y5422" s="32"/>
      <c r="Z5422" s="32"/>
      <c r="AA5422" s="32"/>
      <c r="AB5422" s="32"/>
      <c r="AC5422" s="32"/>
      <c r="AD5422" s="32"/>
      <c r="AE5422" s="32"/>
      <c r="AF5422" s="32"/>
      <c r="AG5422" s="32"/>
      <c r="AH5422" s="32"/>
    </row>
    <row r="5423" ht="12.75" hidden="1" customHeight="1" outlineLevel="1">
      <c r="A5423" s="122">
        <v>41991.0</v>
      </c>
      <c r="B5423" s="32" t="s">
        <v>347</v>
      </c>
      <c r="C5423" s="32" t="s">
        <v>790</v>
      </c>
      <c r="D5423" s="708">
        <v>10000.0</v>
      </c>
      <c r="E5423" s="195">
        <v>6.91</v>
      </c>
      <c r="F5423" s="709">
        <v>0.46122685185185186</v>
      </c>
      <c r="G5423" s="195" t="s">
        <v>453</v>
      </c>
      <c r="H5423" s="710">
        <v>44.53</v>
      </c>
      <c r="I5423" s="256"/>
      <c r="J5423" s="67">
        <f t="shared" si="340"/>
        <v>69055.47</v>
      </c>
      <c r="K5423" s="7"/>
      <c r="L5423" s="70"/>
      <c r="M5423" s="79"/>
      <c r="N5423" s="32"/>
      <c r="O5423" s="32"/>
      <c r="P5423" s="32"/>
      <c r="Q5423" s="32"/>
      <c r="R5423" s="32"/>
      <c r="S5423" s="32"/>
      <c r="T5423" s="32"/>
      <c r="U5423" s="32"/>
      <c r="V5423" s="32"/>
      <c r="W5423" s="32"/>
      <c r="X5423" s="32"/>
      <c r="Y5423" s="32"/>
      <c r="Z5423" s="32"/>
      <c r="AA5423" s="32"/>
      <c r="AB5423" s="32"/>
      <c r="AC5423" s="32"/>
      <c r="AD5423" s="32"/>
      <c r="AE5423" s="32"/>
      <c r="AF5423" s="32"/>
      <c r="AG5423" s="32"/>
      <c r="AH5423" s="32"/>
    </row>
    <row r="5424" ht="12.75" hidden="1" customHeight="1" outlineLevel="1">
      <c r="A5424" s="122">
        <v>41991.0</v>
      </c>
      <c r="B5424" s="32" t="s">
        <v>347</v>
      </c>
      <c r="C5424" s="32" t="s">
        <v>784</v>
      </c>
      <c r="D5424" s="708">
        <v>10000.0</v>
      </c>
      <c r="E5424" s="195">
        <v>7.34</v>
      </c>
      <c r="F5424" s="709">
        <v>0.46016203703703706</v>
      </c>
      <c r="G5424" s="195" t="s">
        <v>453</v>
      </c>
      <c r="H5424" s="710">
        <v>45.52</v>
      </c>
      <c r="I5424" s="256"/>
      <c r="J5424" s="67">
        <f t="shared" si="340"/>
        <v>73354.48</v>
      </c>
      <c r="K5424" s="7"/>
      <c r="L5424" s="70"/>
      <c r="M5424" s="79"/>
      <c r="N5424" s="32"/>
      <c r="O5424" s="32"/>
      <c r="P5424" s="32"/>
      <c r="Q5424" s="32"/>
      <c r="R5424" s="32"/>
      <c r="S5424" s="32"/>
      <c r="T5424" s="32"/>
      <c r="U5424" s="32"/>
      <c r="V5424" s="32"/>
      <c r="W5424" s="32"/>
      <c r="X5424" s="32"/>
      <c r="Y5424" s="32"/>
      <c r="Z5424" s="32"/>
      <c r="AA5424" s="32"/>
      <c r="AB5424" s="32"/>
      <c r="AC5424" s="32"/>
      <c r="AD5424" s="32"/>
      <c r="AE5424" s="32"/>
      <c r="AF5424" s="32"/>
      <c r="AG5424" s="32"/>
      <c r="AH5424" s="32"/>
    </row>
    <row r="5425" ht="12.75" hidden="1" customHeight="1" outlineLevel="1">
      <c r="A5425" s="882">
        <v>41991.0</v>
      </c>
      <c r="B5425" s="1"/>
      <c r="C5425" s="1" t="s">
        <v>339</v>
      </c>
      <c r="D5425" s="74"/>
      <c r="E5425" s="67"/>
      <c r="F5425" s="75"/>
      <c r="G5425" s="67"/>
      <c r="H5425" s="68"/>
      <c r="I5425" s="76"/>
      <c r="J5425" s="67"/>
      <c r="K5425" s="9" t="s">
        <v>2502</v>
      </c>
      <c r="L5425" s="77"/>
      <c r="M5425" s="79"/>
      <c r="N5425" s="1"/>
      <c r="O5425" s="1"/>
      <c r="P5425" s="1"/>
      <c r="Q5425" s="1"/>
      <c r="R5425" s="1"/>
      <c r="S5425" s="1"/>
      <c r="T5425" s="1"/>
      <c r="U5425" s="1"/>
      <c r="V5425" s="1"/>
      <c r="W5425" s="1"/>
      <c r="X5425" s="1"/>
      <c r="Y5425" s="1"/>
      <c r="Z5425" s="1"/>
      <c r="AA5425" s="1"/>
      <c r="AB5425" s="1"/>
      <c r="AC5425" s="1"/>
      <c r="AD5425" s="1"/>
      <c r="AE5425" s="1"/>
      <c r="AF5425" s="1"/>
      <c r="AG5425" s="1"/>
      <c r="AH5425" s="1"/>
    </row>
    <row r="5426" ht="12.75" hidden="1" customHeight="1" outlineLevel="1">
      <c r="A5426" s="882">
        <v>41991.0</v>
      </c>
      <c r="B5426" s="1"/>
      <c r="C5426" s="1" t="s">
        <v>429</v>
      </c>
      <c r="D5426" s="74"/>
      <c r="E5426" s="67"/>
      <c r="F5426" s="75"/>
      <c r="G5426" s="67"/>
      <c r="H5426" s="68"/>
      <c r="I5426" s="76"/>
      <c r="J5426" s="67"/>
      <c r="K5426" s="9" t="s">
        <v>2492</v>
      </c>
      <c r="L5426" s="77"/>
      <c r="M5426" s="79"/>
      <c r="N5426" s="1"/>
      <c r="O5426" s="1"/>
      <c r="P5426" s="1"/>
      <c r="Q5426" s="1"/>
      <c r="R5426" s="1"/>
      <c r="S5426" s="1"/>
      <c r="T5426" s="1"/>
      <c r="U5426" s="1"/>
      <c r="V5426" s="1"/>
      <c r="W5426" s="1"/>
      <c r="X5426" s="1"/>
      <c r="Y5426" s="1"/>
      <c r="Z5426" s="1"/>
      <c r="AA5426" s="1"/>
      <c r="AB5426" s="1"/>
      <c r="AC5426" s="1"/>
      <c r="AD5426" s="1"/>
      <c r="AE5426" s="1"/>
      <c r="AF5426" s="1"/>
      <c r="AG5426" s="1"/>
      <c r="AH5426" s="1"/>
    </row>
    <row r="5427" ht="12.75" hidden="1" customHeight="1" outlineLevel="1">
      <c r="A5427" s="882">
        <v>41991.0</v>
      </c>
      <c r="B5427" s="1"/>
      <c r="C5427" s="1" t="s">
        <v>431</v>
      </c>
      <c r="D5427" s="74"/>
      <c r="E5427" s="67"/>
      <c r="F5427" s="75"/>
      <c r="G5427" s="67"/>
      <c r="H5427" s="68"/>
      <c r="I5427" s="76"/>
      <c r="J5427" s="67"/>
      <c r="K5427" s="7" t="s">
        <v>1126</v>
      </c>
      <c r="L5427" s="77"/>
      <c r="M5427" s="79"/>
      <c r="N5427" s="1"/>
      <c r="O5427" s="1"/>
      <c r="P5427" s="1"/>
      <c r="Q5427" s="1"/>
      <c r="R5427" s="1"/>
      <c r="S5427" s="1"/>
      <c r="T5427" s="1"/>
      <c r="U5427" s="1"/>
      <c r="V5427" s="1"/>
      <c r="W5427" s="1"/>
      <c r="X5427" s="1"/>
      <c r="Y5427" s="1"/>
      <c r="Z5427" s="1"/>
      <c r="AA5427" s="1"/>
      <c r="AB5427" s="1"/>
      <c r="AC5427" s="1"/>
      <c r="AD5427" s="1"/>
      <c r="AE5427" s="1"/>
      <c r="AF5427" s="1"/>
      <c r="AG5427" s="1"/>
      <c r="AH5427" s="1"/>
    </row>
    <row r="5428" ht="12.75" hidden="1" customHeight="1" outlineLevel="1">
      <c r="A5428" s="882">
        <v>41991.0</v>
      </c>
      <c r="B5428" s="1"/>
      <c r="C5428" s="1" t="s">
        <v>433</v>
      </c>
      <c r="D5428" s="74"/>
      <c r="E5428" s="67"/>
      <c r="F5428" s="75"/>
      <c r="G5428" s="67"/>
      <c r="H5428" s="68"/>
      <c r="I5428" s="76"/>
      <c r="J5428" s="67"/>
      <c r="K5428" s="7" t="s">
        <v>1103</v>
      </c>
      <c r="L5428" s="77"/>
      <c r="M5428" s="79"/>
      <c r="N5428" s="1"/>
      <c r="O5428" s="1"/>
      <c r="P5428" s="1"/>
      <c r="Q5428" s="1"/>
      <c r="R5428" s="1"/>
      <c r="S5428" s="1"/>
      <c r="T5428" s="1"/>
      <c r="U5428" s="1"/>
      <c r="V5428" s="1"/>
      <c r="W5428" s="1"/>
      <c r="X5428" s="1"/>
      <c r="Y5428" s="1"/>
      <c r="Z5428" s="1"/>
      <c r="AA5428" s="1"/>
      <c r="AB5428" s="1"/>
      <c r="AC5428" s="1"/>
      <c r="AD5428" s="1"/>
      <c r="AE5428" s="1"/>
      <c r="AF5428" s="1"/>
      <c r="AG5428" s="1"/>
      <c r="AH5428" s="1"/>
    </row>
    <row r="5429" ht="12.75" hidden="1" customHeight="1" outlineLevel="1">
      <c r="A5429" s="882">
        <v>41991.0</v>
      </c>
      <c r="B5429" s="1"/>
      <c r="C5429" s="1" t="s">
        <v>435</v>
      </c>
      <c r="D5429" s="74"/>
      <c r="E5429" s="67"/>
      <c r="F5429" s="75"/>
      <c r="G5429" s="67"/>
      <c r="H5429" s="68"/>
      <c r="I5429" s="76"/>
      <c r="J5429" s="67"/>
      <c r="K5429" s="9" t="s">
        <v>2486</v>
      </c>
      <c r="L5429" s="77"/>
      <c r="M5429" s="79"/>
      <c r="N5429" s="1"/>
      <c r="O5429" s="1"/>
      <c r="P5429" s="1"/>
      <c r="Q5429" s="1"/>
      <c r="R5429" s="1"/>
      <c r="S5429" s="1"/>
      <c r="T5429" s="1"/>
      <c r="U5429" s="1"/>
      <c r="V5429" s="1"/>
      <c r="W5429" s="1"/>
      <c r="X5429" s="1"/>
      <c r="Y5429" s="1"/>
      <c r="Z5429" s="1"/>
      <c r="AA5429" s="1"/>
      <c r="AB5429" s="1"/>
      <c r="AC5429" s="1"/>
      <c r="AD5429" s="1"/>
      <c r="AE5429" s="1"/>
      <c r="AF5429" s="1"/>
      <c r="AG5429" s="1"/>
      <c r="AH5429" s="1"/>
    </row>
    <row r="5430" ht="12.75" hidden="1" customHeight="1" outlineLevel="1">
      <c r="A5430" s="122">
        <v>41995.0</v>
      </c>
      <c r="B5430" s="32" t="s">
        <v>343</v>
      </c>
      <c r="C5430" s="32" t="s">
        <v>1049</v>
      </c>
      <c r="D5430" s="708">
        <v>25.0</v>
      </c>
      <c r="E5430" s="195">
        <v>685.96</v>
      </c>
      <c r="F5430" s="709">
        <v>0.4314351851851852</v>
      </c>
      <c r="G5430" s="195" t="s">
        <v>453</v>
      </c>
      <c r="H5430" s="710">
        <v>1.0</v>
      </c>
      <c r="I5430" s="256"/>
      <c r="J5430" s="67">
        <f t="shared" ref="J5430:J5443" si="341">IF(B5430="SLD",D5430*E5430,-D5430*E5430)-H5430</f>
        <v>-17150</v>
      </c>
      <c r="K5430" s="7"/>
      <c r="L5430" s="70"/>
      <c r="M5430" s="79"/>
      <c r="N5430" s="32"/>
      <c r="O5430" s="32"/>
      <c r="P5430" s="32"/>
      <c r="Q5430" s="32"/>
      <c r="R5430" s="32"/>
      <c r="S5430" s="32"/>
      <c r="T5430" s="32"/>
      <c r="U5430" s="32"/>
      <c r="V5430" s="32"/>
      <c r="W5430" s="32"/>
      <c r="X5430" s="32"/>
      <c r="Y5430" s="32"/>
      <c r="Z5430" s="32"/>
      <c r="AA5430" s="32"/>
      <c r="AB5430" s="32"/>
      <c r="AC5430" s="32"/>
      <c r="AD5430" s="32"/>
      <c r="AE5430" s="32"/>
      <c r="AF5430" s="32"/>
      <c r="AG5430" s="32"/>
      <c r="AH5430" s="32"/>
    </row>
    <row r="5431" ht="12.75" hidden="1" customHeight="1" outlineLevel="1">
      <c r="A5431" s="122">
        <v>41995.0</v>
      </c>
      <c r="B5431" s="32" t="s">
        <v>343</v>
      </c>
      <c r="C5431" s="32" t="s">
        <v>364</v>
      </c>
      <c r="D5431" s="708">
        <v>50.0</v>
      </c>
      <c r="E5431" s="195">
        <v>132.56</v>
      </c>
      <c r="F5431" s="709">
        <v>0.43189814814814814</v>
      </c>
      <c r="G5431" s="195" t="s">
        <v>453</v>
      </c>
      <c r="H5431" s="710">
        <v>1.0</v>
      </c>
      <c r="I5431" s="256"/>
      <c r="J5431" s="67">
        <f t="shared" si="341"/>
        <v>-6629</v>
      </c>
      <c r="K5431" s="7"/>
      <c r="L5431" s="70"/>
      <c r="M5431" s="79"/>
      <c r="N5431" s="32"/>
      <c r="O5431" s="32"/>
      <c r="P5431" s="32"/>
      <c r="Q5431" s="32"/>
      <c r="R5431" s="32"/>
      <c r="S5431" s="32"/>
      <c r="T5431" s="32"/>
      <c r="U5431" s="32"/>
      <c r="V5431" s="32"/>
      <c r="W5431" s="32"/>
      <c r="X5431" s="32"/>
      <c r="Y5431" s="32"/>
      <c r="Z5431" s="32"/>
      <c r="AA5431" s="32"/>
      <c r="AB5431" s="32"/>
      <c r="AC5431" s="32"/>
      <c r="AD5431" s="32"/>
      <c r="AE5431" s="32"/>
      <c r="AF5431" s="32"/>
      <c r="AG5431" s="32"/>
      <c r="AH5431" s="32"/>
    </row>
    <row r="5432" ht="12.75" hidden="1" customHeight="1" outlineLevel="1">
      <c r="A5432" s="122">
        <v>41995.0</v>
      </c>
      <c r="B5432" s="32" t="s">
        <v>343</v>
      </c>
      <c r="C5432" s="32" t="s">
        <v>1844</v>
      </c>
      <c r="D5432" s="708">
        <v>1000.0</v>
      </c>
      <c r="E5432" s="195">
        <v>38.266</v>
      </c>
      <c r="F5432" s="709">
        <v>0.6414699074074074</v>
      </c>
      <c r="G5432" s="195" t="s">
        <v>453</v>
      </c>
      <c r="H5432" s="710">
        <v>4.0</v>
      </c>
      <c r="I5432" s="256"/>
      <c r="J5432" s="67">
        <f t="shared" si="341"/>
        <v>-38270</v>
      </c>
      <c r="K5432" s="7"/>
      <c r="L5432" s="70"/>
      <c r="M5432" s="79"/>
      <c r="N5432" s="32"/>
      <c r="O5432" s="32"/>
      <c r="P5432" s="32"/>
      <c r="Q5432" s="32"/>
      <c r="R5432" s="32"/>
      <c r="S5432" s="32"/>
      <c r="T5432" s="32"/>
      <c r="U5432" s="32"/>
      <c r="V5432" s="32"/>
      <c r="W5432" s="32"/>
      <c r="X5432" s="32"/>
      <c r="Y5432" s="32"/>
      <c r="Z5432" s="32"/>
      <c r="AA5432" s="32"/>
      <c r="AB5432" s="32"/>
      <c r="AC5432" s="32"/>
      <c r="AD5432" s="32"/>
      <c r="AE5432" s="32"/>
      <c r="AF5432" s="32"/>
      <c r="AG5432" s="32"/>
      <c r="AH5432" s="32"/>
    </row>
    <row r="5433" ht="12.75" hidden="1" customHeight="1" outlineLevel="1">
      <c r="A5433" s="122">
        <v>41995.0</v>
      </c>
      <c r="B5433" s="32" t="s">
        <v>343</v>
      </c>
      <c r="C5433" s="32" t="s">
        <v>1158</v>
      </c>
      <c r="D5433" s="708">
        <v>1200.0</v>
      </c>
      <c r="E5433" s="195">
        <v>48.03</v>
      </c>
      <c r="F5433" s="709">
        <v>0.39805555555555555</v>
      </c>
      <c r="G5433" s="195" t="s">
        <v>453</v>
      </c>
      <c r="H5433" s="710">
        <v>6.0</v>
      </c>
      <c r="I5433" s="256"/>
      <c r="J5433" s="67">
        <f t="shared" si="341"/>
        <v>-57642</v>
      </c>
      <c r="K5433" s="7"/>
      <c r="L5433" s="70"/>
      <c r="M5433" s="79"/>
      <c r="N5433" s="32"/>
      <c r="O5433" s="32"/>
      <c r="P5433" s="32"/>
      <c r="Q5433" s="32"/>
      <c r="R5433" s="32"/>
      <c r="S5433" s="32"/>
      <c r="T5433" s="32"/>
      <c r="U5433" s="32"/>
      <c r="V5433" s="32"/>
      <c r="W5433" s="32"/>
      <c r="X5433" s="32"/>
      <c r="Y5433" s="32"/>
      <c r="Z5433" s="32"/>
      <c r="AA5433" s="32"/>
      <c r="AB5433" s="32"/>
      <c r="AC5433" s="32"/>
      <c r="AD5433" s="32"/>
      <c r="AE5433" s="32"/>
      <c r="AF5433" s="32"/>
      <c r="AG5433" s="32"/>
      <c r="AH5433" s="32"/>
    </row>
    <row r="5434" ht="12.75" hidden="1" customHeight="1" outlineLevel="1">
      <c r="A5434" s="122">
        <v>41995.0</v>
      </c>
      <c r="B5434" s="32" t="s">
        <v>343</v>
      </c>
      <c r="C5434" s="32" t="s">
        <v>2048</v>
      </c>
      <c r="D5434" s="708">
        <v>2000.0</v>
      </c>
      <c r="E5434" s="195">
        <v>11.989</v>
      </c>
      <c r="F5434" s="709">
        <v>0.6418171296296297</v>
      </c>
      <c r="G5434" s="195" t="s">
        <v>453</v>
      </c>
      <c r="H5434" s="710">
        <v>8.0</v>
      </c>
      <c r="I5434" s="256"/>
      <c r="J5434" s="67">
        <f t="shared" si="341"/>
        <v>-23986</v>
      </c>
      <c r="K5434" s="7"/>
      <c r="L5434" s="70"/>
      <c r="M5434" s="79"/>
      <c r="N5434" s="32"/>
      <c r="O5434" s="32"/>
      <c r="P5434" s="32"/>
      <c r="Q5434" s="32"/>
      <c r="R5434" s="32"/>
      <c r="S5434" s="32"/>
      <c r="T5434" s="32"/>
      <c r="U5434" s="32"/>
      <c r="V5434" s="32"/>
      <c r="W5434" s="32"/>
      <c r="X5434" s="32"/>
      <c r="Y5434" s="32"/>
      <c r="Z5434" s="32"/>
      <c r="AA5434" s="32"/>
      <c r="AB5434" s="32"/>
      <c r="AC5434" s="32"/>
      <c r="AD5434" s="32"/>
      <c r="AE5434" s="32"/>
      <c r="AF5434" s="32"/>
      <c r="AG5434" s="32"/>
      <c r="AH5434" s="32"/>
    </row>
    <row r="5435" ht="12.75" hidden="1" customHeight="1" outlineLevel="1">
      <c r="A5435" s="122">
        <v>41995.0</v>
      </c>
      <c r="B5435" s="32" t="s">
        <v>343</v>
      </c>
      <c r="C5435" s="32" t="s">
        <v>2192</v>
      </c>
      <c r="D5435" s="708">
        <v>2000.0</v>
      </c>
      <c r="E5435" s="195">
        <v>12.079</v>
      </c>
      <c r="F5435" s="709">
        <v>0.6417361111111111</v>
      </c>
      <c r="G5435" s="195" t="s">
        <v>453</v>
      </c>
      <c r="H5435" s="710">
        <v>8.0</v>
      </c>
      <c r="I5435" s="256"/>
      <c r="J5435" s="67">
        <f t="shared" si="341"/>
        <v>-24166</v>
      </c>
      <c r="K5435" s="7"/>
      <c r="L5435" s="70"/>
      <c r="M5435" s="79"/>
      <c r="N5435" s="32"/>
      <c r="O5435" s="32"/>
      <c r="P5435" s="32"/>
      <c r="Q5435" s="32"/>
      <c r="R5435" s="32"/>
      <c r="S5435" s="32"/>
      <c r="T5435" s="32"/>
      <c r="U5435" s="32"/>
      <c r="V5435" s="32"/>
      <c r="W5435" s="32"/>
      <c r="X5435" s="32"/>
      <c r="Y5435" s="32"/>
      <c r="Z5435" s="32"/>
      <c r="AA5435" s="32"/>
      <c r="AB5435" s="32"/>
      <c r="AC5435" s="32"/>
      <c r="AD5435" s="32"/>
      <c r="AE5435" s="32"/>
      <c r="AF5435" s="32"/>
      <c r="AG5435" s="32"/>
      <c r="AH5435" s="32"/>
    </row>
    <row r="5436" ht="12.75" hidden="1" customHeight="1" outlineLevel="1">
      <c r="A5436" s="122">
        <v>41995.0</v>
      </c>
      <c r="B5436" s="32" t="s">
        <v>343</v>
      </c>
      <c r="C5436" s="32" t="s">
        <v>790</v>
      </c>
      <c r="D5436" s="708">
        <v>10000.0</v>
      </c>
      <c r="E5436" s="195">
        <v>7.49</v>
      </c>
      <c r="F5436" s="709">
        <v>0.6412731481481482</v>
      </c>
      <c r="G5436" s="195" t="s">
        <v>453</v>
      </c>
      <c r="H5436" s="710">
        <v>50.0</v>
      </c>
      <c r="I5436" s="256"/>
      <c r="J5436" s="67">
        <f t="shared" si="341"/>
        <v>-74950</v>
      </c>
      <c r="K5436" s="7"/>
      <c r="L5436" s="70"/>
      <c r="M5436" s="79"/>
      <c r="N5436" s="32"/>
      <c r="O5436" s="32"/>
      <c r="P5436" s="32"/>
      <c r="Q5436" s="32"/>
      <c r="R5436" s="32"/>
      <c r="S5436" s="32"/>
      <c r="T5436" s="32"/>
      <c r="U5436" s="32"/>
      <c r="V5436" s="32"/>
      <c r="W5436" s="32"/>
      <c r="X5436" s="32"/>
      <c r="Y5436" s="32"/>
      <c r="Z5436" s="32"/>
      <c r="AA5436" s="32"/>
      <c r="AB5436" s="32"/>
      <c r="AC5436" s="32"/>
      <c r="AD5436" s="32"/>
      <c r="AE5436" s="32"/>
      <c r="AF5436" s="32"/>
      <c r="AG5436" s="32"/>
      <c r="AH5436" s="32"/>
    </row>
    <row r="5437" ht="12.75" hidden="1" customHeight="1" outlineLevel="1">
      <c r="A5437" s="122">
        <v>41995.0</v>
      </c>
      <c r="B5437" s="32" t="s">
        <v>343</v>
      </c>
      <c r="C5437" s="32" t="s">
        <v>784</v>
      </c>
      <c r="D5437" s="708">
        <v>10000.0</v>
      </c>
      <c r="E5437" s="195">
        <v>8.05</v>
      </c>
      <c r="F5437" s="709">
        <v>0.6415625</v>
      </c>
      <c r="G5437" s="195" t="s">
        <v>453</v>
      </c>
      <c r="H5437" s="710">
        <v>40.0</v>
      </c>
      <c r="I5437" s="256"/>
      <c r="J5437" s="67">
        <f t="shared" si="341"/>
        <v>-80540</v>
      </c>
      <c r="K5437" s="7"/>
      <c r="L5437" s="70"/>
      <c r="M5437" s="79"/>
      <c r="N5437" s="32"/>
      <c r="O5437" s="32"/>
      <c r="P5437" s="32"/>
      <c r="Q5437" s="32"/>
      <c r="R5437" s="32"/>
      <c r="S5437" s="32"/>
      <c r="T5437" s="32"/>
      <c r="U5437" s="32"/>
      <c r="V5437" s="32"/>
      <c r="W5437" s="32"/>
      <c r="X5437" s="32"/>
      <c r="Y5437" s="32"/>
      <c r="Z5437" s="32"/>
      <c r="AA5437" s="32"/>
      <c r="AB5437" s="32"/>
      <c r="AC5437" s="32"/>
      <c r="AD5437" s="32"/>
      <c r="AE5437" s="32"/>
      <c r="AF5437" s="32"/>
      <c r="AG5437" s="32"/>
      <c r="AH5437" s="32"/>
    </row>
    <row r="5438" ht="12.75" hidden="1" customHeight="1" outlineLevel="1">
      <c r="A5438" s="122">
        <v>41995.0</v>
      </c>
      <c r="B5438" s="32" t="s">
        <v>347</v>
      </c>
      <c r="C5438" s="32" t="s">
        <v>1844</v>
      </c>
      <c r="D5438" s="708">
        <v>1000.0</v>
      </c>
      <c r="E5438" s="195">
        <v>37.245</v>
      </c>
      <c r="F5438" s="709">
        <v>0.4048611111111111</v>
      </c>
      <c r="G5438" s="195" t="s">
        <v>453</v>
      </c>
      <c r="H5438" s="710">
        <v>5.82</v>
      </c>
      <c r="I5438" s="256"/>
      <c r="J5438" s="67">
        <f t="shared" si="341"/>
        <v>37239.18</v>
      </c>
      <c r="K5438" s="7"/>
      <c r="L5438" s="70"/>
      <c r="M5438" s="79"/>
      <c r="N5438" s="32"/>
      <c r="O5438" s="32"/>
      <c r="P5438" s="32"/>
      <c r="Q5438" s="32"/>
      <c r="R5438" s="32"/>
      <c r="S5438" s="32"/>
      <c r="T5438" s="32"/>
      <c r="U5438" s="32"/>
      <c r="V5438" s="32"/>
      <c r="W5438" s="32"/>
      <c r="X5438" s="32"/>
      <c r="Y5438" s="32"/>
      <c r="Z5438" s="32"/>
      <c r="AA5438" s="32"/>
      <c r="AB5438" s="32"/>
      <c r="AC5438" s="32"/>
      <c r="AD5438" s="32"/>
      <c r="AE5438" s="32"/>
      <c r="AF5438" s="32"/>
      <c r="AG5438" s="32"/>
      <c r="AH5438" s="32"/>
    </row>
    <row r="5439" ht="12.75" hidden="1" customHeight="1" outlineLevel="1">
      <c r="A5439" s="122">
        <v>41995.0</v>
      </c>
      <c r="B5439" s="32" t="s">
        <v>347</v>
      </c>
      <c r="C5439" s="32" t="s">
        <v>1158</v>
      </c>
      <c r="D5439" s="708">
        <v>1200.0</v>
      </c>
      <c r="E5439" s="195">
        <v>47.311</v>
      </c>
      <c r="F5439" s="709">
        <v>0.6653472222222222</v>
      </c>
      <c r="G5439" s="195" t="s">
        <v>453</v>
      </c>
      <c r="H5439" s="710">
        <v>6.05</v>
      </c>
      <c r="I5439" s="256"/>
      <c r="J5439" s="67">
        <f t="shared" si="341"/>
        <v>56767.15</v>
      </c>
      <c r="K5439" s="7"/>
      <c r="L5439" s="70"/>
      <c r="M5439" s="79"/>
      <c r="N5439" s="32"/>
      <c r="O5439" s="32"/>
      <c r="P5439" s="32"/>
      <c r="Q5439" s="32"/>
      <c r="R5439" s="32"/>
      <c r="S5439" s="32"/>
      <c r="T5439" s="32"/>
      <c r="U5439" s="32"/>
      <c r="V5439" s="32"/>
      <c r="W5439" s="32"/>
      <c r="X5439" s="32"/>
      <c r="Y5439" s="32"/>
      <c r="Z5439" s="32"/>
      <c r="AA5439" s="32"/>
      <c r="AB5439" s="32"/>
      <c r="AC5439" s="32"/>
      <c r="AD5439" s="32"/>
      <c r="AE5439" s="32"/>
      <c r="AF5439" s="32"/>
      <c r="AG5439" s="32"/>
      <c r="AH5439" s="32"/>
    </row>
    <row r="5440" ht="12.75" hidden="1" customHeight="1" outlineLevel="1">
      <c r="A5440" s="122">
        <v>41995.0</v>
      </c>
      <c r="B5440" s="32" t="s">
        <v>347</v>
      </c>
      <c r="C5440" s="32" t="s">
        <v>2048</v>
      </c>
      <c r="D5440" s="708">
        <v>2000.0</v>
      </c>
      <c r="E5440" s="195">
        <v>11.961</v>
      </c>
      <c r="F5440" s="709">
        <v>0.41056712962962966</v>
      </c>
      <c r="G5440" s="195" t="s">
        <v>453</v>
      </c>
      <c r="H5440" s="710">
        <v>10.53</v>
      </c>
      <c r="I5440" s="256"/>
      <c r="J5440" s="67">
        <f t="shared" si="341"/>
        <v>23911.47</v>
      </c>
      <c r="K5440" s="7"/>
      <c r="L5440" s="70"/>
      <c r="M5440" s="79"/>
      <c r="N5440" s="32"/>
      <c r="O5440" s="32"/>
      <c r="P5440" s="32"/>
      <c r="Q5440" s="32"/>
      <c r="R5440" s="32"/>
      <c r="S5440" s="32"/>
      <c r="T5440" s="32"/>
      <c r="U5440" s="32"/>
      <c r="V5440" s="32"/>
      <c r="W5440" s="32"/>
      <c r="X5440" s="32"/>
      <c r="Y5440" s="32"/>
      <c r="Z5440" s="32"/>
      <c r="AA5440" s="32"/>
      <c r="AB5440" s="32"/>
      <c r="AC5440" s="32"/>
      <c r="AD5440" s="32"/>
      <c r="AE5440" s="32"/>
      <c r="AF5440" s="32"/>
      <c r="AG5440" s="32"/>
      <c r="AH5440" s="32"/>
    </row>
    <row r="5441" ht="12.75" hidden="1" customHeight="1" outlineLevel="1">
      <c r="A5441" s="122">
        <v>41995.0</v>
      </c>
      <c r="B5441" s="32" t="s">
        <v>347</v>
      </c>
      <c r="C5441" s="32" t="s">
        <v>2192</v>
      </c>
      <c r="D5441" s="708">
        <v>2000.0</v>
      </c>
      <c r="E5441" s="195">
        <v>11.95</v>
      </c>
      <c r="F5441" s="709">
        <v>0.41158564814814813</v>
      </c>
      <c r="G5441" s="195" t="s">
        <v>453</v>
      </c>
      <c r="H5441" s="710">
        <v>9.73</v>
      </c>
      <c r="I5441" s="256"/>
      <c r="J5441" s="67">
        <f t="shared" si="341"/>
        <v>23890.27</v>
      </c>
      <c r="K5441" s="7"/>
      <c r="L5441" s="70"/>
      <c r="M5441" s="79"/>
      <c r="N5441" s="32"/>
      <c r="O5441" s="32"/>
      <c r="P5441" s="32"/>
      <c r="Q5441" s="32"/>
      <c r="R5441" s="32"/>
      <c r="S5441" s="32"/>
      <c r="T5441" s="32"/>
      <c r="U5441" s="32"/>
      <c r="V5441" s="32"/>
      <c r="W5441" s="32"/>
      <c r="X5441" s="32"/>
      <c r="Y5441" s="32"/>
      <c r="Z5441" s="32"/>
      <c r="AA5441" s="32"/>
      <c r="AB5441" s="32"/>
      <c r="AC5441" s="32"/>
      <c r="AD5441" s="32"/>
      <c r="AE5441" s="32"/>
      <c r="AF5441" s="32"/>
      <c r="AG5441" s="32"/>
      <c r="AH5441" s="32"/>
    </row>
    <row r="5442" ht="12.75" hidden="1" customHeight="1" outlineLevel="1">
      <c r="A5442" s="122">
        <v>41995.0</v>
      </c>
      <c r="B5442" s="32" t="s">
        <v>347</v>
      </c>
      <c r="C5442" s="32" t="s">
        <v>790</v>
      </c>
      <c r="D5442" s="708">
        <v>10000.0</v>
      </c>
      <c r="E5442" s="195">
        <v>7.17</v>
      </c>
      <c r="F5442" s="709">
        <v>0.4045023148148148</v>
      </c>
      <c r="G5442" s="195" t="s">
        <v>453</v>
      </c>
      <c r="H5442" s="710">
        <v>51.58</v>
      </c>
      <c r="I5442" s="256"/>
      <c r="J5442" s="67">
        <f t="shared" si="341"/>
        <v>71648.42</v>
      </c>
      <c r="K5442" s="7"/>
      <c r="L5442" s="70"/>
      <c r="M5442" s="79"/>
      <c r="N5442" s="32"/>
      <c r="O5442" s="32"/>
      <c r="P5442" s="32"/>
      <c r="Q5442" s="32"/>
      <c r="R5442" s="32"/>
      <c r="S5442" s="32"/>
      <c r="T5442" s="32"/>
      <c r="U5442" s="32"/>
      <c r="V5442" s="32"/>
      <c r="W5442" s="32"/>
      <c r="X5442" s="32"/>
      <c r="Y5442" s="32"/>
      <c r="Z5442" s="32"/>
      <c r="AA5442" s="32"/>
      <c r="AB5442" s="32"/>
      <c r="AC5442" s="32"/>
      <c r="AD5442" s="32"/>
      <c r="AE5442" s="32"/>
      <c r="AF5442" s="32"/>
      <c r="AG5442" s="32"/>
      <c r="AH5442" s="32"/>
    </row>
    <row r="5443" ht="12.75" hidden="1" customHeight="1" outlineLevel="1">
      <c r="A5443" s="122">
        <v>41995.0</v>
      </c>
      <c r="B5443" s="32" t="s">
        <v>347</v>
      </c>
      <c r="C5443" s="32" t="s">
        <v>784</v>
      </c>
      <c r="D5443" s="708">
        <v>10000.0</v>
      </c>
      <c r="E5443" s="195">
        <v>8.03</v>
      </c>
      <c r="F5443" s="709">
        <v>0.40392361111111114</v>
      </c>
      <c r="G5443" s="195" t="s">
        <v>453</v>
      </c>
      <c r="H5443" s="710">
        <v>51.77</v>
      </c>
      <c r="I5443" s="256"/>
      <c r="J5443" s="67">
        <f t="shared" si="341"/>
        <v>80248.23</v>
      </c>
      <c r="K5443" s="7"/>
      <c r="L5443" s="70"/>
      <c r="M5443" s="79"/>
      <c r="N5443" s="32"/>
      <c r="O5443" s="32"/>
      <c r="P5443" s="32"/>
      <c r="Q5443" s="32"/>
      <c r="R5443" s="32"/>
      <c r="S5443" s="32"/>
      <c r="T5443" s="32"/>
      <c r="U5443" s="32"/>
      <c r="V5443" s="32"/>
      <c r="W5443" s="32"/>
      <c r="X5443" s="32"/>
      <c r="Y5443" s="32"/>
      <c r="Z5443" s="32"/>
      <c r="AA5443" s="32"/>
      <c r="AB5443" s="32"/>
      <c r="AC5443" s="32"/>
      <c r="AD5443" s="32"/>
      <c r="AE5443" s="32"/>
      <c r="AF5443" s="32"/>
      <c r="AG5443" s="32"/>
      <c r="AH5443" s="32"/>
    </row>
    <row r="5444" ht="12.75" hidden="1" customHeight="1" outlineLevel="1">
      <c r="A5444" s="882">
        <v>41995.0</v>
      </c>
      <c r="B5444" s="1"/>
      <c r="C5444" s="1" t="s">
        <v>339</v>
      </c>
      <c r="D5444" s="74"/>
      <c r="E5444" s="67"/>
      <c r="F5444" s="75"/>
      <c r="G5444" s="67"/>
      <c r="H5444" s="68"/>
      <c r="I5444" s="76"/>
      <c r="J5444" s="67"/>
      <c r="K5444" s="9" t="s">
        <v>2512</v>
      </c>
      <c r="L5444" s="77"/>
      <c r="M5444" s="79"/>
      <c r="N5444" s="1"/>
      <c r="O5444" s="1"/>
      <c r="P5444" s="1"/>
      <c r="Q5444" s="1"/>
      <c r="R5444" s="1"/>
      <c r="S5444" s="1"/>
      <c r="T5444" s="1"/>
      <c r="U5444" s="1"/>
      <c r="V5444" s="1"/>
      <c r="W5444" s="1"/>
      <c r="X5444" s="1"/>
      <c r="Y5444" s="1"/>
      <c r="Z5444" s="1"/>
      <c r="AA5444" s="1"/>
      <c r="AB5444" s="1"/>
      <c r="AC5444" s="1"/>
      <c r="AD5444" s="1"/>
      <c r="AE5444" s="1"/>
      <c r="AF5444" s="1"/>
      <c r="AG5444" s="1"/>
      <c r="AH5444" s="1"/>
    </row>
    <row r="5445" ht="12.75" hidden="1" customHeight="1" outlineLevel="1">
      <c r="A5445" s="882">
        <v>41995.0</v>
      </c>
      <c r="B5445" s="1"/>
      <c r="C5445" s="1" t="s">
        <v>429</v>
      </c>
      <c r="D5445" s="74"/>
      <c r="E5445" s="67"/>
      <c r="F5445" s="75"/>
      <c r="G5445" s="67"/>
      <c r="H5445" s="68"/>
      <c r="I5445" s="76"/>
      <c r="J5445" s="67"/>
      <c r="K5445" s="9" t="s">
        <v>2492</v>
      </c>
      <c r="L5445" s="77"/>
      <c r="M5445" s="79"/>
      <c r="N5445" s="1"/>
      <c r="O5445" s="1"/>
      <c r="P5445" s="1"/>
      <c r="Q5445" s="1"/>
      <c r="R5445" s="1"/>
      <c r="S5445" s="1"/>
      <c r="T5445" s="1"/>
      <c r="U5445" s="1"/>
      <c r="V5445" s="1"/>
      <c r="W5445" s="1"/>
      <c r="X5445" s="1"/>
      <c r="Y5445" s="1"/>
      <c r="Z5445" s="1"/>
      <c r="AA5445" s="1"/>
      <c r="AB5445" s="1"/>
      <c r="AC5445" s="1"/>
      <c r="AD5445" s="1"/>
      <c r="AE5445" s="1"/>
      <c r="AF5445" s="1"/>
      <c r="AG5445" s="1"/>
      <c r="AH5445" s="1"/>
    </row>
    <row r="5446" ht="12.75" hidden="1" customHeight="1" outlineLevel="1">
      <c r="A5446" s="882">
        <v>41995.0</v>
      </c>
      <c r="B5446" s="1"/>
      <c r="C5446" s="1" t="s">
        <v>431</v>
      </c>
      <c r="D5446" s="74"/>
      <c r="E5446" s="67"/>
      <c r="F5446" s="75"/>
      <c r="G5446" s="67"/>
      <c r="H5446" s="68"/>
      <c r="I5446" s="76"/>
      <c r="J5446" s="67"/>
      <c r="K5446" s="7" t="s">
        <v>1126</v>
      </c>
      <c r="L5446" s="77"/>
      <c r="M5446" s="79"/>
      <c r="N5446" s="1"/>
      <c r="O5446" s="1"/>
      <c r="P5446" s="1"/>
      <c r="Q5446" s="1"/>
      <c r="R5446" s="1"/>
      <c r="S5446" s="1"/>
      <c r="T5446" s="1"/>
      <c r="U5446" s="1"/>
      <c r="V5446" s="1"/>
      <c r="W5446" s="1"/>
      <c r="X5446" s="1"/>
      <c r="Y5446" s="1"/>
      <c r="Z5446" s="1"/>
      <c r="AA5446" s="1"/>
      <c r="AB5446" s="1"/>
      <c r="AC5446" s="1"/>
      <c r="AD5446" s="1"/>
      <c r="AE5446" s="1"/>
      <c r="AF5446" s="1"/>
      <c r="AG5446" s="1"/>
      <c r="AH5446" s="1"/>
    </row>
    <row r="5447" ht="12.75" hidden="1" customHeight="1" outlineLevel="1">
      <c r="A5447" s="882">
        <v>41995.0</v>
      </c>
      <c r="B5447" s="1"/>
      <c r="C5447" s="1" t="s">
        <v>433</v>
      </c>
      <c r="D5447" s="74"/>
      <c r="E5447" s="67"/>
      <c r="F5447" s="75"/>
      <c r="G5447" s="67"/>
      <c r="H5447" s="68"/>
      <c r="I5447" s="76"/>
      <c r="J5447" s="67"/>
      <c r="K5447" s="7" t="s">
        <v>1103</v>
      </c>
      <c r="L5447" s="77"/>
      <c r="M5447" s="79"/>
      <c r="N5447" s="1"/>
      <c r="O5447" s="1"/>
      <c r="P5447" s="1"/>
      <c r="Q5447" s="1"/>
      <c r="R5447" s="1"/>
      <c r="S5447" s="1"/>
      <c r="T5447" s="1"/>
      <c r="U5447" s="1"/>
      <c r="V5447" s="1"/>
      <c r="W5447" s="1"/>
      <c r="X5447" s="1"/>
      <c r="Y5447" s="1"/>
      <c r="Z5447" s="1"/>
      <c r="AA5447" s="1"/>
      <c r="AB5447" s="1"/>
      <c r="AC5447" s="1"/>
      <c r="AD5447" s="1"/>
      <c r="AE5447" s="1"/>
      <c r="AF5447" s="1"/>
      <c r="AG5447" s="1"/>
      <c r="AH5447" s="1"/>
    </row>
    <row r="5448" ht="12.75" hidden="1" customHeight="1" outlineLevel="1">
      <c r="A5448" s="882">
        <v>41995.0</v>
      </c>
      <c r="B5448" s="1"/>
      <c r="C5448" s="1" t="s">
        <v>435</v>
      </c>
      <c r="D5448" s="74"/>
      <c r="E5448" s="67"/>
      <c r="F5448" s="75"/>
      <c r="G5448" s="67"/>
      <c r="H5448" s="68"/>
      <c r="I5448" s="76"/>
      <c r="J5448" s="67"/>
      <c r="K5448" s="9" t="s">
        <v>2486</v>
      </c>
      <c r="L5448" s="77"/>
      <c r="M5448" s="79"/>
      <c r="N5448" s="1"/>
      <c r="O5448" s="1"/>
      <c r="P5448" s="1"/>
      <c r="Q5448" s="1"/>
      <c r="R5448" s="1"/>
      <c r="S5448" s="1"/>
      <c r="T5448" s="1"/>
      <c r="U5448" s="1"/>
      <c r="V5448" s="1"/>
      <c r="W5448" s="1"/>
      <c r="X5448" s="1"/>
      <c r="Y5448" s="1"/>
      <c r="Z5448" s="1"/>
      <c r="AA5448" s="1"/>
      <c r="AB5448" s="1"/>
      <c r="AC5448" s="1"/>
      <c r="AD5448" s="1"/>
      <c r="AE5448" s="1"/>
      <c r="AF5448" s="1"/>
      <c r="AG5448" s="1"/>
      <c r="AH5448" s="1"/>
    </row>
    <row r="5449" ht="12.75" hidden="1" customHeight="1" outlineLevel="1">
      <c r="A5449" s="122">
        <v>41996.0</v>
      </c>
      <c r="B5449" s="32" t="s">
        <v>343</v>
      </c>
      <c r="C5449" s="32" t="s">
        <v>1164</v>
      </c>
      <c r="D5449" s="708">
        <v>1000.0</v>
      </c>
      <c r="E5449" s="195">
        <v>40.84</v>
      </c>
      <c r="F5449" s="709">
        <v>0.510162037037037</v>
      </c>
      <c r="G5449" s="195" t="s">
        <v>453</v>
      </c>
      <c r="H5449" s="710">
        <v>4.6</v>
      </c>
      <c r="I5449" s="256"/>
      <c r="J5449" s="67">
        <f t="shared" ref="J5449:J5454" si="342">IF(B5449="SLD",D5449*E5449,-D5449*E5449)-H5449</f>
        <v>-40844.6</v>
      </c>
      <c r="K5449" s="7"/>
      <c r="L5449" s="70"/>
      <c r="M5449" s="79"/>
      <c r="N5449" s="32"/>
      <c r="O5449" s="32"/>
      <c r="P5449" s="32"/>
      <c r="Q5449" s="32"/>
      <c r="R5449" s="32"/>
      <c r="S5449" s="32"/>
      <c r="T5449" s="32"/>
      <c r="U5449" s="32"/>
      <c r="V5449" s="32"/>
      <c r="W5449" s="32"/>
      <c r="X5449" s="32"/>
      <c r="Y5449" s="32"/>
      <c r="Z5449" s="32"/>
      <c r="AA5449" s="32"/>
      <c r="AB5449" s="32"/>
      <c r="AC5449" s="32"/>
      <c r="AD5449" s="32"/>
      <c r="AE5449" s="32"/>
      <c r="AF5449" s="32"/>
      <c r="AG5449" s="32"/>
      <c r="AH5449" s="32"/>
    </row>
    <row r="5450" ht="12.75" hidden="1" customHeight="1" outlineLevel="1">
      <c r="A5450" s="122">
        <v>41996.0</v>
      </c>
      <c r="B5450" s="32" t="s">
        <v>343</v>
      </c>
      <c r="C5450" s="32" t="s">
        <v>1158</v>
      </c>
      <c r="D5450" s="708">
        <v>1200.0</v>
      </c>
      <c r="E5450" s="195">
        <v>47.5</v>
      </c>
      <c r="F5450" s="709">
        <v>0.39921296296296294</v>
      </c>
      <c r="G5450" s="195" t="s">
        <v>453</v>
      </c>
      <c r="H5450" s="710">
        <v>6.0</v>
      </c>
      <c r="I5450" s="256"/>
      <c r="J5450" s="67">
        <f t="shared" si="342"/>
        <v>-57006</v>
      </c>
      <c r="K5450" s="7"/>
      <c r="L5450" s="70"/>
      <c r="M5450" s="79"/>
      <c r="N5450" s="32"/>
      <c r="O5450" s="32"/>
      <c r="P5450" s="32"/>
      <c r="Q5450" s="32"/>
      <c r="R5450" s="32"/>
      <c r="S5450" s="32"/>
      <c r="T5450" s="32"/>
      <c r="U5450" s="32"/>
      <c r="V5450" s="32"/>
      <c r="W5450" s="32"/>
      <c r="X5450" s="32"/>
      <c r="Y5450" s="32"/>
      <c r="Z5450" s="32"/>
      <c r="AA5450" s="32"/>
      <c r="AB5450" s="32"/>
      <c r="AC5450" s="32"/>
      <c r="AD5450" s="32"/>
      <c r="AE5450" s="32"/>
      <c r="AF5450" s="32"/>
      <c r="AG5450" s="32"/>
      <c r="AH5450" s="32"/>
    </row>
    <row r="5451" ht="12.75" hidden="1" customHeight="1" outlineLevel="1">
      <c r="A5451" s="122">
        <v>41996.0</v>
      </c>
      <c r="B5451" s="32" t="s">
        <v>347</v>
      </c>
      <c r="C5451" s="32" t="s">
        <v>2048</v>
      </c>
      <c r="D5451" s="708">
        <v>2000.0</v>
      </c>
      <c r="E5451" s="195">
        <v>11.701</v>
      </c>
      <c r="F5451" s="709">
        <v>0.48385416666666664</v>
      </c>
      <c r="G5451" s="195" t="s">
        <v>453</v>
      </c>
      <c r="H5451" s="710">
        <v>8.52</v>
      </c>
      <c r="I5451" s="256"/>
      <c r="J5451" s="67">
        <f t="shared" si="342"/>
        <v>23393.48</v>
      </c>
      <c r="K5451" s="7"/>
      <c r="L5451" s="70"/>
      <c r="M5451" s="79"/>
      <c r="N5451" s="32"/>
      <c r="O5451" s="32"/>
      <c r="P5451" s="32"/>
      <c r="Q5451" s="32"/>
      <c r="R5451" s="32"/>
      <c r="S5451" s="32"/>
      <c r="T5451" s="32"/>
      <c r="U5451" s="32"/>
      <c r="V5451" s="32"/>
      <c r="W5451" s="32"/>
      <c r="X5451" s="32"/>
      <c r="Y5451" s="32"/>
      <c r="Z5451" s="32"/>
      <c r="AA5451" s="32"/>
      <c r="AB5451" s="32"/>
      <c r="AC5451" s="32"/>
      <c r="AD5451" s="32"/>
      <c r="AE5451" s="32"/>
      <c r="AF5451" s="32"/>
      <c r="AG5451" s="32"/>
      <c r="AH5451" s="32"/>
    </row>
    <row r="5452" ht="12.75" hidden="1" customHeight="1" outlineLevel="1">
      <c r="A5452" s="122">
        <v>41996.0</v>
      </c>
      <c r="B5452" s="32" t="s">
        <v>347</v>
      </c>
      <c r="C5452" s="32" t="s">
        <v>2192</v>
      </c>
      <c r="D5452" s="708">
        <v>2000.0</v>
      </c>
      <c r="E5452" s="195">
        <v>11.828</v>
      </c>
      <c r="F5452" s="709">
        <v>0.4844907407407407</v>
      </c>
      <c r="G5452" s="195" t="s">
        <v>453</v>
      </c>
      <c r="H5452" s="710">
        <v>10.22</v>
      </c>
      <c r="I5452" s="256"/>
      <c r="J5452" s="67">
        <f t="shared" si="342"/>
        <v>23645.78</v>
      </c>
      <c r="K5452" s="7"/>
      <c r="L5452" s="70"/>
      <c r="M5452" s="79"/>
      <c r="N5452" s="32"/>
      <c r="O5452" s="32"/>
      <c r="P5452" s="32"/>
      <c r="Q5452" s="32"/>
      <c r="R5452" s="32"/>
      <c r="S5452" s="32"/>
      <c r="T5452" s="32"/>
      <c r="U5452" s="32"/>
      <c r="V5452" s="32"/>
      <c r="W5452" s="32"/>
      <c r="X5452" s="32"/>
      <c r="Y5452" s="32"/>
      <c r="Z5452" s="32"/>
      <c r="AA5452" s="32"/>
      <c r="AB5452" s="32"/>
      <c r="AC5452" s="32"/>
      <c r="AD5452" s="32"/>
      <c r="AE5452" s="32"/>
      <c r="AF5452" s="32"/>
      <c r="AG5452" s="32"/>
      <c r="AH5452" s="32"/>
    </row>
    <row r="5453" ht="12.75" hidden="1" customHeight="1" outlineLevel="1">
      <c r="A5453" s="122">
        <v>41996.0</v>
      </c>
      <c r="B5453" s="32" t="s">
        <v>347</v>
      </c>
      <c r="C5453" s="32" t="s">
        <v>369</v>
      </c>
      <c r="D5453" s="708">
        <v>10000.0</v>
      </c>
      <c r="E5453" s="195">
        <v>6.142</v>
      </c>
      <c r="F5453" s="709">
        <v>0.6217824074074074</v>
      </c>
      <c r="G5453" s="195" t="s">
        <v>453</v>
      </c>
      <c r="H5453" s="710">
        <v>48.56</v>
      </c>
      <c r="I5453" s="256"/>
      <c r="J5453" s="67">
        <f t="shared" si="342"/>
        <v>61371.44</v>
      </c>
      <c r="K5453" s="7"/>
      <c r="L5453" s="70"/>
      <c r="M5453" s="79"/>
      <c r="N5453" s="32"/>
      <c r="O5453" s="32"/>
      <c r="P5453" s="32"/>
      <c r="Q5453" s="32"/>
      <c r="R5453" s="32"/>
      <c r="S5453" s="32"/>
      <c r="T5453" s="32"/>
      <c r="U5453" s="32"/>
      <c r="V5453" s="32"/>
      <c r="W5453" s="32"/>
      <c r="X5453" s="32"/>
      <c r="Y5453" s="32"/>
      <c r="Z5453" s="32"/>
      <c r="AA5453" s="32"/>
      <c r="AB5453" s="32"/>
      <c r="AC5453" s="32"/>
      <c r="AD5453" s="32"/>
      <c r="AE5453" s="32"/>
      <c r="AF5453" s="32"/>
      <c r="AG5453" s="32"/>
      <c r="AH5453" s="32"/>
    </row>
    <row r="5454" ht="12.75" hidden="1" customHeight="1" outlineLevel="1">
      <c r="A5454" s="122">
        <v>41996.0</v>
      </c>
      <c r="B5454" s="32" t="s">
        <v>347</v>
      </c>
      <c r="C5454" s="32" t="s">
        <v>784</v>
      </c>
      <c r="D5454" s="708">
        <v>10000.0</v>
      </c>
      <c r="E5454" s="195">
        <v>8.14</v>
      </c>
      <c r="F5454" s="709">
        <v>0.6665046296296296</v>
      </c>
      <c r="G5454" s="195" t="s">
        <v>453</v>
      </c>
      <c r="H5454" s="710">
        <v>46.6</v>
      </c>
      <c r="I5454" s="256"/>
      <c r="J5454" s="67">
        <f t="shared" si="342"/>
        <v>81353.4</v>
      </c>
      <c r="K5454" s="7"/>
      <c r="L5454" s="70"/>
      <c r="M5454" s="79"/>
      <c r="N5454" s="32"/>
      <c r="O5454" s="32"/>
      <c r="P5454" s="32"/>
      <c r="Q5454" s="32"/>
      <c r="R5454" s="32"/>
      <c r="S5454" s="32"/>
      <c r="T5454" s="32"/>
      <c r="U5454" s="32"/>
      <c r="V5454" s="32"/>
      <c r="W5454" s="32"/>
      <c r="X5454" s="32"/>
      <c r="Y5454" s="32"/>
      <c r="Z5454" s="32"/>
      <c r="AA5454" s="32"/>
      <c r="AB5454" s="32"/>
      <c r="AC5454" s="32"/>
      <c r="AD5454" s="32"/>
      <c r="AE5454" s="32"/>
      <c r="AF5454" s="32"/>
      <c r="AG5454" s="32"/>
      <c r="AH5454" s="32"/>
    </row>
    <row r="5455" ht="12.75" hidden="1" customHeight="1" outlineLevel="1">
      <c r="A5455" s="882">
        <v>41996.0</v>
      </c>
      <c r="B5455" s="1"/>
      <c r="C5455" s="1" t="s">
        <v>339</v>
      </c>
      <c r="D5455" s="74"/>
      <c r="E5455" s="67"/>
      <c r="F5455" s="75"/>
      <c r="G5455" s="67"/>
      <c r="H5455" s="68"/>
      <c r="I5455" s="76"/>
      <c r="J5455" s="67"/>
      <c r="K5455" s="9" t="s">
        <v>2523</v>
      </c>
      <c r="L5455" s="77"/>
      <c r="M5455" s="79"/>
      <c r="N5455" s="1"/>
      <c r="O5455" s="1"/>
      <c r="P5455" s="1"/>
      <c r="Q5455" s="1"/>
      <c r="R5455" s="1"/>
      <c r="S5455" s="1"/>
      <c r="T5455" s="1"/>
      <c r="U5455" s="1"/>
      <c r="V5455" s="1"/>
      <c r="W5455" s="1"/>
      <c r="X5455" s="1"/>
      <c r="Y5455" s="1"/>
      <c r="Z5455" s="1"/>
      <c r="AA5455" s="1"/>
      <c r="AB5455" s="1"/>
      <c r="AC5455" s="1"/>
      <c r="AD5455" s="1"/>
      <c r="AE5455" s="1"/>
      <c r="AF5455" s="1"/>
      <c r="AG5455" s="1"/>
      <c r="AH5455" s="1"/>
    </row>
    <row r="5456" ht="12.75" hidden="1" customHeight="1" outlineLevel="1">
      <c r="A5456" s="882">
        <v>41996.0</v>
      </c>
      <c r="B5456" s="1"/>
      <c r="C5456" s="1" t="s">
        <v>429</v>
      </c>
      <c r="D5456" s="74"/>
      <c r="E5456" s="67"/>
      <c r="F5456" s="75"/>
      <c r="G5456" s="67"/>
      <c r="H5456" s="68"/>
      <c r="I5456" s="76"/>
      <c r="J5456" s="67"/>
      <c r="K5456" s="9" t="s">
        <v>2492</v>
      </c>
      <c r="L5456" s="77"/>
      <c r="M5456" s="79"/>
      <c r="N5456" s="1"/>
      <c r="O5456" s="1"/>
      <c r="P5456" s="1"/>
      <c r="Q5456" s="1"/>
      <c r="R5456" s="1"/>
      <c r="S5456" s="1"/>
      <c r="T5456" s="1"/>
      <c r="U5456" s="1"/>
      <c r="V5456" s="1"/>
      <c r="W5456" s="1"/>
      <c r="X5456" s="1"/>
      <c r="Y5456" s="1"/>
      <c r="Z5456" s="1"/>
      <c r="AA5456" s="1"/>
      <c r="AB5456" s="1"/>
      <c r="AC5456" s="1"/>
      <c r="AD5456" s="1"/>
      <c r="AE5456" s="1"/>
      <c r="AF5456" s="1"/>
      <c r="AG5456" s="1"/>
      <c r="AH5456" s="1"/>
    </row>
    <row r="5457" ht="12.75" hidden="1" customHeight="1" outlineLevel="1">
      <c r="A5457" s="882">
        <v>41996.0</v>
      </c>
      <c r="B5457" s="1"/>
      <c r="C5457" s="1" t="s">
        <v>431</v>
      </c>
      <c r="D5457" s="74"/>
      <c r="E5457" s="67"/>
      <c r="F5457" s="75"/>
      <c r="G5457" s="67"/>
      <c r="H5457" s="68"/>
      <c r="I5457" s="76"/>
      <c r="J5457" s="67"/>
      <c r="K5457" s="7" t="s">
        <v>1126</v>
      </c>
      <c r="L5457" s="77"/>
      <c r="M5457" s="79"/>
      <c r="N5457" s="1"/>
      <c r="O5457" s="1"/>
      <c r="P5457" s="1"/>
      <c r="Q5457" s="1"/>
      <c r="R5457" s="1"/>
      <c r="S5457" s="1"/>
      <c r="T5457" s="1"/>
      <c r="U5457" s="1"/>
      <c r="V5457" s="1"/>
      <c r="W5457" s="1"/>
      <c r="X5457" s="1"/>
      <c r="Y5457" s="1"/>
      <c r="Z5457" s="1"/>
      <c r="AA5457" s="1"/>
      <c r="AB5457" s="1"/>
      <c r="AC5457" s="1"/>
      <c r="AD5457" s="1"/>
      <c r="AE5457" s="1"/>
      <c r="AF5457" s="1"/>
      <c r="AG5457" s="1"/>
      <c r="AH5457" s="1"/>
    </row>
    <row r="5458" ht="12.75" hidden="1" customHeight="1" outlineLevel="1">
      <c r="A5458" s="882">
        <v>41996.0</v>
      </c>
      <c r="B5458" s="1"/>
      <c r="C5458" s="1" t="s">
        <v>433</v>
      </c>
      <c r="D5458" s="74"/>
      <c r="E5458" s="67"/>
      <c r="F5458" s="75"/>
      <c r="G5458" s="67"/>
      <c r="H5458" s="68"/>
      <c r="I5458" s="76"/>
      <c r="J5458" s="67"/>
      <c r="K5458" s="7" t="s">
        <v>1103</v>
      </c>
      <c r="L5458" s="77"/>
      <c r="M5458" s="79"/>
      <c r="N5458" s="1"/>
      <c r="O5458" s="1"/>
      <c r="P5458" s="1"/>
      <c r="Q5458" s="1"/>
      <c r="R5458" s="1"/>
      <c r="S5458" s="1"/>
      <c r="T5458" s="1"/>
      <c r="U5458" s="1"/>
      <c r="V5458" s="1"/>
      <c r="W5458" s="1"/>
      <c r="X5458" s="1"/>
      <c r="Y5458" s="1"/>
      <c r="Z5458" s="1"/>
      <c r="AA5458" s="1"/>
      <c r="AB5458" s="1"/>
      <c r="AC5458" s="1"/>
      <c r="AD5458" s="1"/>
      <c r="AE5458" s="1"/>
      <c r="AF5458" s="1"/>
      <c r="AG5458" s="1"/>
      <c r="AH5458" s="1"/>
    </row>
    <row r="5459" ht="12.75" hidden="1" customHeight="1" outlineLevel="1">
      <c r="A5459" s="882">
        <v>41996.0</v>
      </c>
      <c r="B5459" s="1"/>
      <c r="C5459" s="1" t="s">
        <v>435</v>
      </c>
      <c r="D5459" s="74"/>
      <c r="E5459" s="67"/>
      <c r="F5459" s="75"/>
      <c r="G5459" s="67"/>
      <c r="H5459" s="68"/>
      <c r="I5459" s="76"/>
      <c r="J5459" s="67"/>
      <c r="K5459" s="9" t="s">
        <v>2486</v>
      </c>
      <c r="L5459" s="77"/>
      <c r="M5459" s="79"/>
      <c r="N5459" s="1"/>
      <c r="O5459" s="1"/>
      <c r="P5459" s="1"/>
      <c r="Q5459" s="1"/>
      <c r="R5459" s="1"/>
      <c r="S5459" s="1"/>
      <c r="T5459" s="1"/>
      <c r="U5459" s="1"/>
      <c r="V5459" s="1"/>
      <c r="W5459" s="1"/>
      <c r="X5459" s="1"/>
      <c r="Y5459" s="1"/>
      <c r="Z5459" s="1"/>
      <c r="AA5459" s="1"/>
      <c r="AB5459" s="1"/>
      <c r="AC5459" s="1"/>
      <c r="AD5459" s="1"/>
      <c r="AE5459" s="1"/>
      <c r="AF5459" s="1"/>
      <c r="AG5459" s="1"/>
      <c r="AH5459" s="1"/>
    </row>
    <row r="5460" ht="12.75" hidden="1" customHeight="1" outlineLevel="1">
      <c r="A5460" s="122">
        <v>41997.0</v>
      </c>
      <c r="B5460" s="32" t="s">
        <v>347</v>
      </c>
      <c r="C5460" s="32" t="s">
        <v>1844</v>
      </c>
      <c r="D5460" s="708">
        <v>100.0</v>
      </c>
      <c r="E5460" s="195">
        <v>38.59</v>
      </c>
      <c r="F5460" s="709">
        <v>0.4274189814814815</v>
      </c>
      <c r="G5460" s="195" t="s">
        <v>453</v>
      </c>
      <c r="H5460" s="710">
        <v>1.09</v>
      </c>
      <c r="I5460" s="256"/>
      <c r="J5460" s="67">
        <f t="shared" ref="J5460:J5463" si="343">IF(B5460="SLD",D5460*E5460,-D5460*E5460)-H5460</f>
        <v>3857.91</v>
      </c>
      <c r="K5460" s="7"/>
      <c r="L5460" s="70"/>
      <c r="M5460" s="79"/>
      <c r="N5460" s="32"/>
      <c r="O5460" s="32"/>
      <c r="P5460" s="32"/>
      <c r="Q5460" s="32"/>
      <c r="R5460" s="32"/>
      <c r="S5460" s="32"/>
      <c r="T5460" s="32"/>
      <c r="U5460" s="32"/>
      <c r="V5460" s="32"/>
      <c r="W5460" s="32"/>
      <c r="X5460" s="32"/>
      <c r="Y5460" s="32"/>
      <c r="Z5460" s="32"/>
      <c r="AA5460" s="32"/>
      <c r="AB5460" s="32"/>
      <c r="AC5460" s="32"/>
      <c r="AD5460" s="32"/>
      <c r="AE5460" s="32"/>
      <c r="AF5460" s="32"/>
      <c r="AG5460" s="32"/>
      <c r="AH5460" s="32"/>
    </row>
    <row r="5461" ht="12.75" hidden="1" customHeight="1" outlineLevel="1">
      <c r="A5461" s="122">
        <v>41997.0</v>
      </c>
      <c r="B5461" s="32" t="s">
        <v>347</v>
      </c>
      <c r="C5461" s="32" t="s">
        <v>1844</v>
      </c>
      <c r="D5461" s="708">
        <v>100.0</v>
      </c>
      <c r="E5461" s="195">
        <v>38.6045</v>
      </c>
      <c r="F5461" s="709">
        <v>0.4275115740740741</v>
      </c>
      <c r="G5461" s="195" t="s">
        <v>453</v>
      </c>
      <c r="H5461" s="710">
        <v>1.09</v>
      </c>
      <c r="I5461" s="256"/>
      <c r="J5461" s="67">
        <f t="shared" si="343"/>
        <v>3859.36</v>
      </c>
      <c r="K5461" s="7"/>
      <c r="L5461" s="70"/>
      <c r="M5461" s="79"/>
      <c r="N5461" s="32"/>
      <c r="O5461" s="32"/>
      <c r="P5461" s="32"/>
      <c r="Q5461" s="32"/>
      <c r="R5461" s="32"/>
      <c r="S5461" s="32"/>
      <c r="T5461" s="32"/>
      <c r="U5461" s="32"/>
      <c r="V5461" s="32"/>
      <c r="W5461" s="32"/>
      <c r="X5461" s="32"/>
      <c r="Y5461" s="32"/>
      <c r="Z5461" s="32"/>
      <c r="AA5461" s="32"/>
      <c r="AB5461" s="32"/>
      <c r="AC5461" s="32"/>
      <c r="AD5461" s="32"/>
      <c r="AE5461" s="32"/>
      <c r="AF5461" s="32"/>
      <c r="AG5461" s="32"/>
      <c r="AH5461" s="32"/>
    </row>
    <row r="5462" ht="12.75" hidden="1" customHeight="1" outlineLevel="1">
      <c r="A5462" s="122">
        <v>41997.0</v>
      </c>
      <c r="B5462" s="32" t="s">
        <v>347</v>
      </c>
      <c r="C5462" s="32" t="s">
        <v>1844</v>
      </c>
      <c r="D5462" s="708">
        <v>800.0</v>
      </c>
      <c r="E5462" s="195">
        <v>38.793</v>
      </c>
      <c r="F5462" s="709">
        <v>0.4276388888888889</v>
      </c>
      <c r="G5462" s="195" t="s">
        <v>453</v>
      </c>
      <c r="H5462" s="710">
        <v>3.99</v>
      </c>
      <c r="I5462" s="256"/>
      <c r="J5462" s="67">
        <f t="shared" si="343"/>
        <v>31030.41</v>
      </c>
      <c r="K5462" s="7"/>
      <c r="L5462" s="70"/>
      <c r="M5462" s="79"/>
      <c r="N5462" s="32"/>
      <c r="O5462" s="32"/>
      <c r="P5462" s="32"/>
      <c r="Q5462" s="32"/>
      <c r="R5462" s="32"/>
      <c r="S5462" s="32"/>
      <c r="T5462" s="32"/>
      <c r="U5462" s="32"/>
      <c r="V5462" s="32"/>
      <c r="W5462" s="32"/>
      <c r="X5462" s="32"/>
      <c r="Y5462" s="32"/>
      <c r="Z5462" s="32"/>
      <c r="AA5462" s="32"/>
      <c r="AB5462" s="32"/>
      <c r="AC5462" s="32"/>
      <c r="AD5462" s="32"/>
      <c r="AE5462" s="32"/>
      <c r="AF5462" s="32"/>
      <c r="AG5462" s="32"/>
      <c r="AH5462" s="32"/>
    </row>
    <row r="5463" ht="12.75" hidden="1" customHeight="1" outlineLevel="1">
      <c r="A5463" s="122">
        <v>41997.0</v>
      </c>
      <c r="B5463" s="32" t="s">
        <v>347</v>
      </c>
      <c r="C5463" s="32" t="s">
        <v>790</v>
      </c>
      <c r="D5463" s="708">
        <v>10000.0</v>
      </c>
      <c r="E5463" s="195">
        <v>7.63</v>
      </c>
      <c r="F5463" s="709">
        <v>0.4273032407407407</v>
      </c>
      <c r="G5463" s="195" t="s">
        <v>453</v>
      </c>
      <c r="H5463" s="710">
        <v>49.79</v>
      </c>
      <c r="I5463" s="256"/>
      <c r="J5463" s="67">
        <f t="shared" si="343"/>
        <v>76250.21</v>
      </c>
      <c r="K5463" s="7"/>
      <c r="L5463" s="70"/>
      <c r="M5463" s="79"/>
      <c r="N5463" s="32"/>
      <c r="O5463" s="32"/>
      <c r="P5463" s="32"/>
      <c r="Q5463" s="32"/>
      <c r="R5463" s="32"/>
      <c r="S5463" s="32"/>
      <c r="T5463" s="32"/>
      <c r="U5463" s="32"/>
      <c r="V5463" s="32"/>
      <c r="W5463" s="32"/>
      <c r="X5463" s="32"/>
      <c r="Y5463" s="32"/>
      <c r="Z5463" s="32"/>
      <c r="AA5463" s="32"/>
      <c r="AB5463" s="32"/>
      <c r="AC5463" s="32"/>
      <c r="AD5463" s="32"/>
      <c r="AE5463" s="32"/>
      <c r="AF5463" s="32"/>
      <c r="AG5463" s="32"/>
      <c r="AH5463" s="32"/>
    </row>
    <row r="5464" ht="12.75" hidden="1" customHeight="1" outlineLevel="1">
      <c r="A5464" s="882">
        <v>41997.0</v>
      </c>
      <c r="B5464" s="1"/>
      <c r="C5464" s="1" t="s">
        <v>339</v>
      </c>
      <c r="D5464" s="74"/>
      <c r="E5464" s="67"/>
      <c r="F5464" s="75"/>
      <c r="G5464" s="67"/>
      <c r="H5464" s="68"/>
      <c r="I5464" s="76"/>
      <c r="J5464" s="67"/>
      <c r="K5464" s="9" t="s">
        <v>2533</v>
      </c>
      <c r="L5464" s="77"/>
      <c r="M5464" s="79"/>
      <c r="N5464" s="1"/>
      <c r="O5464" s="1"/>
      <c r="P5464" s="1"/>
      <c r="Q5464" s="1"/>
      <c r="R5464" s="1"/>
      <c r="S5464" s="1"/>
      <c r="T5464" s="1"/>
      <c r="U5464" s="1"/>
      <c r="V5464" s="1"/>
      <c r="W5464" s="1"/>
      <c r="X5464" s="1"/>
      <c r="Y5464" s="1"/>
      <c r="Z5464" s="1"/>
      <c r="AA5464" s="1"/>
      <c r="AB5464" s="1"/>
      <c r="AC5464" s="1"/>
      <c r="AD5464" s="1"/>
      <c r="AE5464" s="1"/>
      <c r="AF5464" s="1"/>
      <c r="AG5464" s="1"/>
      <c r="AH5464" s="1"/>
    </row>
    <row r="5465" ht="12.75" hidden="1" customHeight="1" outlineLevel="1">
      <c r="A5465" s="882">
        <v>41997.0</v>
      </c>
      <c r="B5465" s="1"/>
      <c r="C5465" s="1" t="s">
        <v>429</v>
      </c>
      <c r="D5465" s="74"/>
      <c r="E5465" s="67"/>
      <c r="F5465" s="75"/>
      <c r="G5465" s="67"/>
      <c r="H5465" s="68"/>
      <c r="I5465" s="76"/>
      <c r="J5465" s="67"/>
      <c r="K5465" s="9" t="s">
        <v>2492</v>
      </c>
      <c r="L5465" s="77"/>
      <c r="M5465" s="79"/>
      <c r="N5465" s="1"/>
      <c r="O5465" s="1"/>
      <c r="P5465" s="1"/>
      <c r="Q5465" s="1"/>
      <c r="R5465" s="1"/>
      <c r="S5465" s="1"/>
      <c r="T5465" s="1"/>
      <c r="U5465" s="1"/>
      <c r="V5465" s="1"/>
      <c r="W5465" s="1"/>
      <c r="X5465" s="1"/>
      <c r="Y5465" s="1"/>
      <c r="Z5465" s="1"/>
      <c r="AA5465" s="1"/>
      <c r="AB5465" s="1"/>
      <c r="AC5465" s="1"/>
      <c r="AD5465" s="1"/>
      <c r="AE5465" s="1"/>
      <c r="AF5465" s="1"/>
      <c r="AG5465" s="1"/>
      <c r="AH5465" s="1"/>
    </row>
    <row r="5466" ht="12.75" hidden="1" customHeight="1" outlineLevel="1">
      <c r="A5466" s="882">
        <v>41997.0</v>
      </c>
      <c r="B5466" s="1"/>
      <c r="C5466" s="1" t="s">
        <v>431</v>
      </c>
      <c r="D5466" s="74"/>
      <c r="E5466" s="67"/>
      <c r="F5466" s="75"/>
      <c r="G5466" s="67"/>
      <c r="H5466" s="68"/>
      <c r="I5466" s="76"/>
      <c r="J5466" s="67"/>
      <c r="K5466" s="7" t="s">
        <v>1126</v>
      </c>
      <c r="L5466" s="77"/>
      <c r="M5466" s="79"/>
      <c r="N5466" s="1"/>
      <c r="O5466" s="1"/>
      <c r="P5466" s="1"/>
      <c r="Q5466" s="1"/>
      <c r="R5466" s="1"/>
      <c r="S5466" s="1"/>
      <c r="T5466" s="1"/>
      <c r="U5466" s="1"/>
      <c r="V5466" s="1"/>
      <c r="W5466" s="1"/>
      <c r="X5466" s="1"/>
      <c r="Y5466" s="1"/>
      <c r="Z5466" s="1"/>
      <c r="AA5466" s="1"/>
      <c r="AB5466" s="1"/>
      <c r="AC5466" s="1"/>
      <c r="AD5466" s="1"/>
      <c r="AE5466" s="1"/>
      <c r="AF5466" s="1"/>
      <c r="AG5466" s="1"/>
      <c r="AH5466" s="1"/>
    </row>
    <row r="5467" ht="12.75" hidden="1" customHeight="1" outlineLevel="1">
      <c r="A5467" s="882">
        <v>41997.0</v>
      </c>
      <c r="B5467" s="1"/>
      <c r="C5467" s="1" t="s">
        <v>433</v>
      </c>
      <c r="D5467" s="74"/>
      <c r="E5467" s="67"/>
      <c r="F5467" s="75"/>
      <c r="G5467" s="67"/>
      <c r="H5467" s="68"/>
      <c r="I5467" s="76"/>
      <c r="J5467" s="67"/>
      <c r="K5467" s="7" t="s">
        <v>1103</v>
      </c>
      <c r="L5467" s="77"/>
      <c r="M5467" s="79"/>
      <c r="N5467" s="1"/>
      <c r="O5467" s="1"/>
      <c r="P5467" s="1"/>
      <c r="Q5467" s="1"/>
      <c r="R5467" s="1"/>
      <c r="S5467" s="1"/>
      <c r="T5467" s="1"/>
      <c r="U5467" s="1"/>
      <c r="V5467" s="1"/>
      <c r="W5467" s="1"/>
      <c r="X5467" s="1"/>
      <c r="Y5467" s="1"/>
      <c r="Z5467" s="1"/>
      <c r="AA5467" s="1"/>
      <c r="AB5467" s="1"/>
      <c r="AC5467" s="1"/>
      <c r="AD5467" s="1"/>
      <c r="AE5467" s="1"/>
      <c r="AF5467" s="1"/>
      <c r="AG5467" s="1"/>
      <c r="AH5467" s="1"/>
    </row>
    <row r="5468" ht="12.75" hidden="1" customHeight="1" outlineLevel="1">
      <c r="A5468" s="882">
        <v>41997.0</v>
      </c>
      <c r="B5468" s="1"/>
      <c r="C5468" s="1" t="s">
        <v>435</v>
      </c>
      <c r="D5468" s="74"/>
      <c r="E5468" s="67"/>
      <c r="F5468" s="75"/>
      <c r="G5468" s="67"/>
      <c r="H5468" s="68"/>
      <c r="I5468" s="76"/>
      <c r="J5468" s="67"/>
      <c r="K5468" s="9" t="s">
        <v>2486</v>
      </c>
      <c r="L5468" s="77"/>
      <c r="M5468" s="79"/>
      <c r="N5468" s="1"/>
      <c r="O5468" s="1"/>
      <c r="P5468" s="1"/>
      <c r="Q5468" s="1"/>
      <c r="R5468" s="1"/>
      <c r="S5468" s="1"/>
      <c r="T5468" s="1"/>
      <c r="U5468" s="1"/>
      <c r="V5468" s="1"/>
      <c r="W5468" s="1"/>
      <c r="X5468" s="1"/>
      <c r="Y5468" s="1"/>
      <c r="Z5468" s="1"/>
      <c r="AA5468" s="1"/>
      <c r="AB5468" s="1"/>
      <c r="AC5468" s="1"/>
      <c r="AD5468" s="1"/>
      <c r="AE5468" s="1"/>
      <c r="AF5468" s="1"/>
      <c r="AG5468" s="1"/>
      <c r="AH5468" s="1"/>
    </row>
    <row r="5469" ht="12.75" hidden="1" customHeight="1" outlineLevel="1">
      <c r="A5469" s="122">
        <v>41999.0</v>
      </c>
      <c r="B5469" s="32" t="s">
        <v>343</v>
      </c>
      <c r="C5469" s="32" t="s">
        <v>2539</v>
      </c>
      <c r="D5469" s="708">
        <v>800.0</v>
      </c>
      <c r="E5469" s="195">
        <v>51.297</v>
      </c>
      <c r="F5469" s="709">
        <v>0.5470486111111111</v>
      </c>
      <c r="G5469" s="195" t="s">
        <v>453</v>
      </c>
      <c r="H5469" s="710">
        <v>3.4</v>
      </c>
      <c r="I5469" s="256"/>
      <c r="J5469" s="67">
        <f t="shared" ref="J5469:J5473" si="344">IF(B5469="SLD",D5469*E5469,-D5469*E5469)-H5469</f>
        <v>-41041</v>
      </c>
      <c r="K5469" s="7"/>
      <c r="L5469" s="70"/>
      <c r="M5469" s="79"/>
      <c r="N5469" s="32"/>
      <c r="O5469" s="32"/>
      <c r="P5469" s="32"/>
      <c r="Q5469" s="32"/>
      <c r="R5469" s="32"/>
      <c r="S5469" s="32"/>
      <c r="T5469" s="32"/>
      <c r="U5469" s="32"/>
      <c r="V5469" s="32"/>
      <c r="W5469" s="32"/>
      <c r="X5469" s="32"/>
      <c r="Y5469" s="32"/>
      <c r="Z5469" s="32"/>
      <c r="AA5469" s="32"/>
      <c r="AB5469" s="32"/>
      <c r="AC5469" s="32"/>
      <c r="AD5469" s="32"/>
      <c r="AE5469" s="32"/>
      <c r="AF5469" s="32"/>
      <c r="AG5469" s="32"/>
      <c r="AH5469" s="32"/>
    </row>
    <row r="5470" ht="12.75" hidden="1" customHeight="1" outlineLevel="1">
      <c r="A5470" s="122">
        <v>41999.0</v>
      </c>
      <c r="B5470" s="32" t="s">
        <v>347</v>
      </c>
      <c r="C5470" s="32" t="s">
        <v>369</v>
      </c>
      <c r="D5470" s="708">
        <v>100.0</v>
      </c>
      <c r="E5470" s="195">
        <v>6.07</v>
      </c>
      <c r="F5470" s="709">
        <v>0.5727893518518519</v>
      </c>
      <c r="G5470" s="195" t="s">
        <v>453</v>
      </c>
      <c r="H5470" s="710">
        <v>1.01</v>
      </c>
      <c r="I5470" s="256"/>
      <c r="J5470" s="67">
        <f t="shared" si="344"/>
        <v>605.99</v>
      </c>
      <c r="K5470" s="7"/>
      <c r="L5470" s="70"/>
      <c r="M5470" s="79"/>
      <c r="N5470" s="32"/>
      <c r="O5470" s="32"/>
      <c r="P5470" s="32"/>
      <c r="Q5470" s="32"/>
      <c r="R5470" s="32"/>
      <c r="S5470" s="32"/>
      <c r="T5470" s="32"/>
      <c r="U5470" s="32"/>
      <c r="V5470" s="32"/>
      <c r="W5470" s="32"/>
      <c r="X5470" s="32"/>
      <c r="Y5470" s="32"/>
      <c r="Z5470" s="32"/>
      <c r="AA5470" s="32"/>
      <c r="AB5470" s="32"/>
      <c r="AC5470" s="32"/>
      <c r="AD5470" s="32"/>
      <c r="AE5470" s="32"/>
      <c r="AF5470" s="32"/>
      <c r="AG5470" s="32"/>
      <c r="AH5470" s="32"/>
    </row>
    <row r="5471" ht="12.75" hidden="1" customHeight="1" outlineLevel="1">
      <c r="A5471" s="122">
        <v>41999.0</v>
      </c>
      <c r="B5471" s="32" t="s">
        <v>347</v>
      </c>
      <c r="C5471" s="32" t="s">
        <v>369</v>
      </c>
      <c r="D5471" s="708">
        <v>1900.0</v>
      </c>
      <c r="E5471" s="195">
        <v>6.07</v>
      </c>
      <c r="F5471" s="709">
        <v>0.5729050925925926</v>
      </c>
      <c r="G5471" s="195" t="s">
        <v>453</v>
      </c>
      <c r="H5471" s="710">
        <v>9.75</v>
      </c>
      <c r="I5471" s="256"/>
      <c r="J5471" s="67">
        <f t="shared" si="344"/>
        <v>11523.25</v>
      </c>
      <c r="K5471" s="7"/>
      <c r="L5471" s="70"/>
      <c r="M5471" s="79"/>
      <c r="N5471" s="32"/>
      <c r="O5471" s="32"/>
      <c r="P5471" s="32"/>
      <c r="Q5471" s="32"/>
      <c r="R5471" s="32"/>
      <c r="S5471" s="32"/>
      <c r="T5471" s="32"/>
      <c r="U5471" s="32"/>
      <c r="V5471" s="32"/>
      <c r="W5471" s="32"/>
      <c r="X5471" s="32"/>
      <c r="Y5471" s="32"/>
      <c r="Z5471" s="32"/>
      <c r="AA5471" s="32"/>
      <c r="AB5471" s="32"/>
      <c r="AC5471" s="32"/>
      <c r="AD5471" s="32"/>
      <c r="AE5471" s="32"/>
      <c r="AF5471" s="32"/>
      <c r="AG5471" s="32"/>
      <c r="AH5471" s="32"/>
    </row>
    <row r="5472" ht="12.75" hidden="1" customHeight="1" outlineLevel="1">
      <c r="A5472" s="122">
        <v>41999.0</v>
      </c>
      <c r="B5472" s="32" t="s">
        <v>347</v>
      </c>
      <c r="C5472" s="32" t="s">
        <v>790</v>
      </c>
      <c r="D5472" s="708">
        <v>2000.0</v>
      </c>
      <c r="E5472" s="195">
        <v>7.35</v>
      </c>
      <c r="F5472" s="709">
        <v>0.5729976851851852</v>
      </c>
      <c r="G5472" s="195" t="s">
        <v>453</v>
      </c>
      <c r="H5472" s="710">
        <v>10.32</v>
      </c>
      <c r="I5472" s="256"/>
      <c r="J5472" s="67">
        <f t="shared" si="344"/>
        <v>14689.68</v>
      </c>
      <c r="K5472" s="7"/>
      <c r="L5472" s="70"/>
      <c r="M5472" s="79"/>
      <c r="N5472" s="32"/>
      <c r="O5472" s="32"/>
      <c r="P5472" s="32"/>
      <c r="Q5472" s="32"/>
      <c r="R5472" s="32"/>
      <c r="S5472" s="32"/>
      <c r="T5472" s="32"/>
      <c r="U5472" s="32"/>
      <c r="V5472" s="32"/>
      <c r="W5472" s="32"/>
      <c r="X5472" s="32"/>
      <c r="Y5472" s="32"/>
      <c r="Z5472" s="32"/>
      <c r="AA5472" s="32"/>
      <c r="AB5472" s="32"/>
      <c r="AC5472" s="32"/>
      <c r="AD5472" s="32"/>
      <c r="AE5472" s="32"/>
      <c r="AF5472" s="32"/>
      <c r="AG5472" s="32"/>
      <c r="AH5472" s="32"/>
    </row>
    <row r="5473" ht="12.75" hidden="1" customHeight="1" outlineLevel="1">
      <c r="A5473" s="122">
        <v>41999.0</v>
      </c>
      <c r="B5473" s="32" t="s">
        <v>347</v>
      </c>
      <c r="C5473" s="32" t="s">
        <v>784</v>
      </c>
      <c r="D5473" s="708">
        <v>2000.0</v>
      </c>
      <c r="E5473" s="195">
        <v>8.111</v>
      </c>
      <c r="F5473" s="709">
        <v>0.5730671296296296</v>
      </c>
      <c r="G5473" s="195" t="s">
        <v>453</v>
      </c>
      <c r="H5473" s="710">
        <v>8.36</v>
      </c>
      <c r="I5473" s="256"/>
      <c r="J5473" s="67">
        <f t="shared" si="344"/>
        <v>16213.64</v>
      </c>
      <c r="K5473" s="7"/>
      <c r="L5473" s="70"/>
      <c r="M5473" s="79"/>
      <c r="N5473" s="32"/>
      <c r="O5473" s="32"/>
      <c r="P5473" s="32"/>
      <c r="Q5473" s="32"/>
      <c r="R5473" s="32"/>
      <c r="S5473" s="32"/>
      <c r="T5473" s="32"/>
      <c r="U5473" s="32"/>
      <c r="V5473" s="32"/>
      <c r="W5473" s="32"/>
      <c r="X5473" s="32"/>
      <c r="Y5473" s="32"/>
      <c r="Z5473" s="32"/>
      <c r="AA5473" s="32"/>
      <c r="AB5473" s="32"/>
      <c r="AC5473" s="32"/>
      <c r="AD5473" s="32"/>
      <c r="AE5473" s="32"/>
      <c r="AF5473" s="32"/>
      <c r="AG5473" s="32"/>
      <c r="AH5473" s="32"/>
    </row>
    <row r="5474" ht="12.75" hidden="1" customHeight="1" outlineLevel="1">
      <c r="A5474" s="882">
        <v>41999.0</v>
      </c>
      <c r="B5474" s="1"/>
      <c r="C5474" s="1" t="s">
        <v>339</v>
      </c>
      <c r="D5474" s="74"/>
      <c r="E5474" s="67"/>
      <c r="F5474" s="75"/>
      <c r="G5474" s="67"/>
      <c r="H5474" s="68"/>
      <c r="I5474" s="76"/>
      <c r="J5474" s="67"/>
      <c r="K5474" s="9" t="s">
        <v>2541</v>
      </c>
      <c r="L5474" s="77"/>
      <c r="M5474" s="79"/>
      <c r="N5474" s="1"/>
      <c r="O5474" s="1"/>
      <c r="P5474" s="1"/>
      <c r="Q5474" s="1"/>
      <c r="R5474" s="1"/>
      <c r="S5474" s="1"/>
      <c r="T5474" s="1"/>
      <c r="U5474" s="1"/>
      <c r="V5474" s="1"/>
      <c r="W5474" s="1"/>
      <c r="X5474" s="1"/>
      <c r="Y5474" s="1"/>
      <c r="Z5474" s="1"/>
      <c r="AA5474" s="1"/>
      <c r="AB5474" s="1"/>
      <c r="AC5474" s="1"/>
      <c r="AD5474" s="1"/>
      <c r="AE5474" s="1"/>
      <c r="AF5474" s="1"/>
      <c r="AG5474" s="1"/>
      <c r="AH5474" s="1"/>
    </row>
    <row r="5475" ht="12.75" hidden="1" customHeight="1" outlineLevel="1">
      <c r="A5475" s="882">
        <v>41999.0</v>
      </c>
      <c r="B5475" s="1"/>
      <c r="C5475" s="1" t="s">
        <v>429</v>
      </c>
      <c r="D5475" s="74"/>
      <c r="E5475" s="67"/>
      <c r="F5475" s="75"/>
      <c r="G5475" s="67"/>
      <c r="H5475" s="68"/>
      <c r="I5475" s="76"/>
      <c r="J5475" s="67"/>
      <c r="K5475" s="9" t="s">
        <v>2492</v>
      </c>
      <c r="L5475" s="77"/>
      <c r="M5475" s="79"/>
      <c r="N5475" s="1"/>
      <c r="O5475" s="1"/>
      <c r="P5475" s="1"/>
      <c r="Q5475" s="1"/>
      <c r="R5475" s="1"/>
      <c r="S5475" s="1"/>
      <c r="T5475" s="1"/>
      <c r="U5475" s="1"/>
      <c r="V5475" s="1"/>
      <c r="W5475" s="1"/>
      <c r="X5475" s="1"/>
      <c r="Y5475" s="1"/>
      <c r="Z5475" s="1"/>
      <c r="AA5475" s="1"/>
      <c r="AB5475" s="1"/>
      <c r="AC5475" s="1"/>
      <c r="AD5475" s="1"/>
      <c r="AE5475" s="1"/>
      <c r="AF5475" s="1"/>
      <c r="AG5475" s="1"/>
      <c r="AH5475" s="1"/>
    </row>
    <row r="5476" ht="12.75" hidden="1" customHeight="1" outlineLevel="1">
      <c r="A5476" s="882">
        <v>41999.0</v>
      </c>
      <c r="B5476" s="1"/>
      <c r="C5476" s="1" t="s">
        <v>431</v>
      </c>
      <c r="D5476" s="74"/>
      <c r="E5476" s="67"/>
      <c r="F5476" s="75"/>
      <c r="G5476" s="67"/>
      <c r="H5476" s="68"/>
      <c r="I5476" s="76"/>
      <c r="J5476" s="67"/>
      <c r="K5476" s="7" t="s">
        <v>1126</v>
      </c>
      <c r="L5476" s="77"/>
      <c r="M5476" s="79"/>
      <c r="N5476" s="1"/>
      <c r="O5476" s="1"/>
      <c r="P5476" s="1"/>
      <c r="Q5476" s="1"/>
      <c r="R5476" s="1"/>
      <c r="S5476" s="1"/>
      <c r="T5476" s="1"/>
      <c r="U5476" s="1"/>
      <c r="V5476" s="1"/>
      <c r="W5476" s="1"/>
      <c r="X5476" s="1"/>
      <c r="Y5476" s="1"/>
      <c r="Z5476" s="1"/>
      <c r="AA5476" s="1"/>
      <c r="AB5476" s="1"/>
      <c r="AC5476" s="1"/>
      <c r="AD5476" s="1"/>
      <c r="AE5476" s="1"/>
      <c r="AF5476" s="1"/>
      <c r="AG5476" s="1"/>
      <c r="AH5476" s="1"/>
    </row>
    <row r="5477" ht="12.75" hidden="1" customHeight="1" outlineLevel="1">
      <c r="A5477" s="882">
        <v>41999.0</v>
      </c>
      <c r="B5477" s="1"/>
      <c r="C5477" s="1" t="s">
        <v>433</v>
      </c>
      <c r="D5477" s="74"/>
      <c r="E5477" s="67"/>
      <c r="F5477" s="75"/>
      <c r="G5477" s="67"/>
      <c r="H5477" s="68"/>
      <c r="I5477" s="76"/>
      <c r="J5477" s="67"/>
      <c r="K5477" s="7" t="s">
        <v>1103</v>
      </c>
      <c r="L5477" s="77"/>
      <c r="M5477" s="79"/>
      <c r="N5477" s="1"/>
      <c r="O5477" s="1"/>
      <c r="P5477" s="1"/>
      <c r="Q5477" s="1"/>
      <c r="R5477" s="1"/>
      <c r="S5477" s="1"/>
      <c r="T5477" s="1"/>
      <c r="U5477" s="1"/>
      <c r="V5477" s="1"/>
      <c r="W5477" s="1"/>
      <c r="X5477" s="1"/>
      <c r="Y5477" s="1"/>
      <c r="Z5477" s="1"/>
      <c r="AA5477" s="1"/>
      <c r="AB5477" s="1"/>
      <c r="AC5477" s="1"/>
      <c r="AD5477" s="1"/>
      <c r="AE5477" s="1"/>
      <c r="AF5477" s="1"/>
      <c r="AG5477" s="1"/>
      <c r="AH5477" s="1"/>
    </row>
    <row r="5478" ht="12.75" hidden="1" customHeight="1" outlineLevel="1">
      <c r="A5478" s="882">
        <v>41999.0</v>
      </c>
      <c r="B5478" s="1"/>
      <c r="C5478" s="1" t="s">
        <v>435</v>
      </c>
      <c r="D5478" s="74"/>
      <c r="E5478" s="67"/>
      <c r="F5478" s="75"/>
      <c r="G5478" s="67"/>
      <c r="H5478" s="68"/>
      <c r="I5478" s="76"/>
      <c r="J5478" s="67"/>
      <c r="K5478" s="9" t="s">
        <v>2486</v>
      </c>
      <c r="L5478" s="77"/>
      <c r="M5478" s="79"/>
      <c r="N5478" s="1"/>
      <c r="O5478" s="1"/>
      <c r="P5478" s="1"/>
      <c r="Q5478" s="1"/>
      <c r="R5478" s="1"/>
      <c r="S5478" s="1"/>
      <c r="T5478" s="1"/>
      <c r="U5478" s="1"/>
      <c r="V5478" s="1"/>
      <c r="W5478" s="1"/>
      <c r="X5478" s="1"/>
      <c r="Y5478" s="1"/>
      <c r="Z5478" s="1"/>
      <c r="AA5478" s="1"/>
      <c r="AB5478" s="1"/>
      <c r="AC5478" s="1"/>
      <c r="AD5478" s="1"/>
      <c r="AE5478" s="1"/>
      <c r="AF5478" s="1"/>
      <c r="AG5478" s="1"/>
      <c r="AH5478" s="1"/>
    </row>
    <row r="5479" ht="12.75" hidden="1" customHeight="1" outlineLevel="1">
      <c r="A5479" s="882">
        <v>42002.0</v>
      </c>
      <c r="B5479" s="1"/>
      <c r="C5479" s="1" t="s">
        <v>339</v>
      </c>
      <c r="D5479" s="74"/>
      <c r="E5479" s="67"/>
      <c r="F5479" s="75"/>
      <c r="G5479" s="67"/>
      <c r="H5479" s="68"/>
      <c r="I5479" s="76"/>
      <c r="J5479" s="67"/>
      <c r="K5479" s="9" t="s">
        <v>2542</v>
      </c>
      <c r="L5479" s="77"/>
      <c r="M5479" s="79"/>
      <c r="N5479" s="1"/>
      <c r="O5479" s="1"/>
      <c r="P5479" s="1"/>
      <c r="Q5479" s="1"/>
      <c r="R5479" s="1"/>
      <c r="S5479" s="1"/>
      <c r="T5479" s="1"/>
      <c r="U5479" s="1"/>
      <c r="V5479" s="1"/>
      <c r="W5479" s="1"/>
      <c r="X5479" s="1"/>
      <c r="Y5479" s="1"/>
      <c r="Z5479" s="1"/>
      <c r="AA5479" s="1"/>
      <c r="AB5479" s="1"/>
      <c r="AC5479" s="1"/>
      <c r="AD5479" s="1"/>
      <c r="AE5479" s="1"/>
      <c r="AF5479" s="1"/>
      <c r="AG5479" s="1"/>
      <c r="AH5479" s="1"/>
    </row>
    <row r="5480" ht="12.75" hidden="1" customHeight="1" outlineLevel="1">
      <c r="A5480" s="882">
        <v>42002.0</v>
      </c>
      <c r="B5480" s="1"/>
      <c r="C5480" s="1" t="s">
        <v>429</v>
      </c>
      <c r="D5480" s="74"/>
      <c r="E5480" s="67"/>
      <c r="F5480" s="75"/>
      <c r="G5480" s="67"/>
      <c r="H5480" s="68"/>
      <c r="I5480" s="76"/>
      <c r="J5480" s="67"/>
      <c r="K5480" s="9" t="s">
        <v>2492</v>
      </c>
      <c r="L5480" s="77"/>
      <c r="M5480" s="79"/>
      <c r="N5480" s="1"/>
      <c r="O5480" s="1"/>
      <c r="P5480" s="1"/>
      <c r="Q5480" s="1"/>
      <c r="R5480" s="1"/>
      <c r="S5480" s="1"/>
      <c r="T5480" s="1"/>
      <c r="U5480" s="1"/>
      <c r="V5480" s="1"/>
      <c r="W5480" s="1"/>
      <c r="X5480" s="1"/>
      <c r="Y5480" s="1"/>
      <c r="Z5480" s="1"/>
      <c r="AA5480" s="1"/>
      <c r="AB5480" s="1"/>
      <c r="AC5480" s="1"/>
      <c r="AD5480" s="1"/>
      <c r="AE5480" s="1"/>
      <c r="AF5480" s="1"/>
      <c r="AG5480" s="1"/>
      <c r="AH5480" s="1"/>
    </row>
    <row r="5481" ht="12.75" hidden="1" customHeight="1" outlineLevel="1">
      <c r="A5481" s="882">
        <v>42002.0</v>
      </c>
      <c r="B5481" s="1"/>
      <c r="C5481" s="1" t="s">
        <v>431</v>
      </c>
      <c r="D5481" s="74"/>
      <c r="E5481" s="67"/>
      <c r="F5481" s="75"/>
      <c r="G5481" s="67"/>
      <c r="H5481" s="68"/>
      <c r="I5481" s="76"/>
      <c r="J5481" s="67"/>
      <c r="K5481" s="7" t="s">
        <v>1126</v>
      </c>
      <c r="L5481" s="77"/>
      <c r="M5481" s="79"/>
      <c r="N5481" s="1"/>
      <c r="O5481" s="1"/>
      <c r="P5481" s="1"/>
      <c r="Q5481" s="1"/>
      <c r="R5481" s="1"/>
      <c r="S5481" s="1"/>
      <c r="T5481" s="1"/>
      <c r="U5481" s="1"/>
      <c r="V5481" s="1"/>
      <c r="W5481" s="1"/>
      <c r="X5481" s="1"/>
      <c r="Y5481" s="1"/>
      <c r="Z5481" s="1"/>
      <c r="AA5481" s="1"/>
      <c r="AB5481" s="1"/>
      <c r="AC5481" s="1"/>
      <c r="AD5481" s="1"/>
      <c r="AE5481" s="1"/>
      <c r="AF5481" s="1"/>
      <c r="AG5481" s="1"/>
      <c r="AH5481" s="1"/>
    </row>
    <row r="5482" ht="12.75" hidden="1" customHeight="1" outlineLevel="1">
      <c r="A5482" s="882">
        <v>42002.0</v>
      </c>
      <c r="B5482" s="1"/>
      <c r="C5482" s="1" t="s">
        <v>433</v>
      </c>
      <c r="D5482" s="74"/>
      <c r="E5482" s="67"/>
      <c r="F5482" s="75"/>
      <c r="G5482" s="67"/>
      <c r="H5482" s="68"/>
      <c r="I5482" s="76"/>
      <c r="J5482" s="67"/>
      <c r="K5482" s="7" t="s">
        <v>1103</v>
      </c>
      <c r="L5482" s="77"/>
      <c r="M5482" s="79"/>
      <c r="N5482" s="1"/>
      <c r="O5482" s="1"/>
      <c r="P5482" s="1"/>
      <c r="Q5482" s="1"/>
      <c r="R5482" s="1"/>
      <c r="S5482" s="1"/>
      <c r="T5482" s="1"/>
      <c r="U5482" s="1"/>
      <c r="V5482" s="1"/>
      <c r="W5482" s="1"/>
      <c r="X5482" s="1"/>
      <c r="Y5482" s="1"/>
      <c r="Z5482" s="1"/>
      <c r="AA5482" s="1"/>
      <c r="AB5482" s="1"/>
      <c r="AC5482" s="1"/>
      <c r="AD5482" s="1"/>
      <c r="AE5482" s="1"/>
      <c r="AF5482" s="1"/>
      <c r="AG5482" s="1"/>
      <c r="AH5482" s="1"/>
    </row>
    <row r="5483" ht="12.75" hidden="1" customHeight="1" outlineLevel="1">
      <c r="A5483" s="882">
        <v>42002.0</v>
      </c>
      <c r="B5483" s="1"/>
      <c r="C5483" s="1" t="s">
        <v>435</v>
      </c>
      <c r="D5483" s="74"/>
      <c r="E5483" s="67"/>
      <c r="F5483" s="75"/>
      <c r="G5483" s="67"/>
      <c r="H5483" s="68"/>
      <c r="I5483" s="76"/>
      <c r="J5483" s="67"/>
      <c r="K5483" s="9" t="s">
        <v>2486</v>
      </c>
      <c r="L5483" s="77"/>
      <c r="M5483" s="79"/>
      <c r="N5483" s="1"/>
      <c r="O5483" s="1"/>
      <c r="P5483" s="1"/>
      <c r="Q5483" s="1"/>
      <c r="R5483" s="1"/>
      <c r="S5483" s="1"/>
      <c r="T5483" s="1"/>
      <c r="U5483" s="1"/>
      <c r="V5483" s="1"/>
      <c r="W5483" s="1"/>
      <c r="X5483" s="1"/>
      <c r="Y5483" s="1"/>
      <c r="Z5483" s="1"/>
      <c r="AA5483" s="1"/>
      <c r="AB5483" s="1"/>
      <c r="AC5483" s="1"/>
      <c r="AD5483" s="1"/>
      <c r="AE5483" s="1"/>
      <c r="AF5483" s="1"/>
      <c r="AG5483" s="1"/>
      <c r="AH5483" s="1"/>
    </row>
    <row r="5484" ht="12.75" hidden="1" customHeight="1" outlineLevel="1">
      <c r="A5484" s="122">
        <v>42003.0</v>
      </c>
      <c r="B5484" s="32" t="s">
        <v>343</v>
      </c>
      <c r="C5484" s="32" t="s">
        <v>1844</v>
      </c>
      <c r="D5484" s="708">
        <v>1000.0</v>
      </c>
      <c r="E5484" s="195">
        <v>38.231</v>
      </c>
      <c r="F5484" s="709">
        <v>0.40644675925925927</v>
      </c>
      <c r="G5484" s="195" t="s">
        <v>453</v>
      </c>
      <c r="H5484" s="710">
        <v>5.0</v>
      </c>
      <c r="I5484" s="256"/>
      <c r="J5484" s="67">
        <f t="shared" ref="J5484:J5511" si="345">IF(B5484="SLD",D5484*E5484,-D5484*E5484)-H5484</f>
        <v>-38236</v>
      </c>
      <c r="K5484" s="7"/>
      <c r="L5484" s="70"/>
      <c r="M5484" s="79"/>
      <c r="N5484" s="32"/>
      <c r="O5484" s="32"/>
      <c r="P5484" s="32"/>
      <c r="Q5484" s="32"/>
      <c r="R5484" s="32"/>
      <c r="S5484" s="32"/>
      <c r="T5484" s="32"/>
      <c r="U5484" s="32"/>
      <c r="V5484" s="32"/>
      <c r="W5484" s="32"/>
      <c r="X5484" s="32"/>
      <c r="Y5484" s="32"/>
      <c r="Z5484" s="32"/>
      <c r="AA5484" s="32"/>
      <c r="AB5484" s="32"/>
      <c r="AC5484" s="32"/>
      <c r="AD5484" s="32"/>
      <c r="AE5484" s="32"/>
      <c r="AF5484" s="32"/>
      <c r="AG5484" s="32"/>
      <c r="AH5484" s="32"/>
    </row>
    <row r="5485" ht="12.75" hidden="1" customHeight="1" outlineLevel="1">
      <c r="A5485" s="122">
        <v>42003.0</v>
      </c>
      <c r="B5485" s="32" t="s">
        <v>343</v>
      </c>
      <c r="C5485" s="32" t="s">
        <v>2048</v>
      </c>
      <c r="D5485" s="708">
        <v>2000.0</v>
      </c>
      <c r="E5485" s="195">
        <v>11.8</v>
      </c>
      <c r="F5485" s="709">
        <v>0.40671296296296294</v>
      </c>
      <c r="G5485" s="195" t="s">
        <v>453</v>
      </c>
      <c r="H5485" s="710">
        <v>10.0</v>
      </c>
      <c r="I5485" s="256"/>
      <c r="J5485" s="67">
        <f t="shared" si="345"/>
        <v>-23610</v>
      </c>
      <c r="K5485" s="7"/>
      <c r="L5485" s="70"/>
      <c r="M5485" s="79"/>
      <c r="N5485" s="32"/>
      <c r="O5485" s="32"/>
      <c r="P5485" s="32"/>
      <c r="Q5485" s="32"/>
      <c r="R5485" s="32"/>
      <c r="S5485" s="32"/>
      <c r="T5485" s="32"/>
      <c r="U5485" s="32"/>
      <c r="V5485" s="32"/>
      <c r="W5485" s="32"/>
      <c r="X5485" s="32"/>
      <c r="Y5485" s="32"/>
      <c r="Z5485" s="32"/>
      <c r="AA5485" s="32"/>
      <c r="AB5485" s="32"/>
      <c r="AC5485" s="32"/>
      <c r="AD5485" s="32"/>
      <c r="AE5485" s="32"/>
      <c r="AF5485" s="32"/>
      <c r="AG5485" s="32"/>
      <c r="AH5485" s="32"/>
    </row>
    <row r="5486" ht="12.75" hidden="1" customHeight="1" outlineLevel="1">
      <c r="A5486" s="122">
        <v>42003.0</v>
      </c>
      <c r="B5486" s="32" t="s">
        <v>343</v>
      </c>
      <c r="C5486" s="32" t="s">
        <v>2192</v>
      </c>
      <c r="D5486" s="708">
        <v>2000.0</v>
      </c>
      <c r="E5486" s="195">
        <v>11.63</v>
      </c>
      <c r="F5486" s="709">
        <v>0.40680555555555553</v>
      </c>
      <c r="G5486" s="195" t="s">
        <v>453</v>
      </c>
      <c r="H5486" s="710">
        <v>8.0</v>
      </c>
      <c r="I5486" s="256"/>
      <c r="J5486" s="67">
        <f t="shared" si="345"/>
        <v>-23268</v>
      </c>
      <c r="K5486" s="7"/>
      <c r="L5486" s="70"/>
      <c r="M5486" s="79"/>
      <c r="N5486" s="32"/>
      <c r="O5486" s="32"/>
      <c r="P5486" s="32"/>
      <c r="Q5486" s="32"/>
      <c r="R5486" s="32"/>
      <c r="S5486" s="32"/>
      <c r="T5486" s="32"/>
      <c r="U5486" s="32"/>
      <c r="V5486" s="32"/>
      <c r="W5486" s="32"/>
      <c r="X5486" s="32"/>
      <c r="Y5486" s="32"/>
      <c r="Z5486" s="32"/>
      <c r="AA5486" s="32"/>
      <c r="AB5486" s="32"/>
      <c r="AC5486" s="32"/>
      <c r="AD5486" s="32"/>
      <c r="AE5486" s="32"/>
      <c r="AF5486" s="32"/>
      <c r="AG5486" s="32"/>
      <c r="AH5486" s="32"/>
    </row>
    <row r="5487" ht="12.75" hidden="1" customHeight="1" outlineLevel="1">
      <c r="A5487" s="122">
        <v>42003.0</v>
      </c>
      <c r="B5487" s="32" t="s">
        <v>343</v>
      </c>
      <c r="C5487" s="32" t="s">
        <v>369</v>
      </c>
      <c r="D5487" s="708">
        <v>12000.0</v>
      </c>
      <c r="E5487" s="195">
        <v>7.026</v>
      </c>
      <c r="F5487" s="709">
        <v>0.4055324074074074</v>
      </c>
      <c r="G5487" s="195" t="s">
        <v>453</v>
      </c>
      <c r="H5487" s="710">
        <v>55.0</v>
      </c>
      <c r="I5487" s="256"/>
      <c r="J5487" s="67">
        <f t="shared" si="345"/>
        <v>-84367</v>
      </c>
      <c r="K5487" s="7"/>
      <c r="L5487" s="70"/>
      <c r="M5487" s="79"/>
      <c r="N5487" s="32"/>
      <c r="O5487" s="32"/>
      <c r="P5487" s="32"/>
      <c r="Q5487" s="32"/>
      <c r="R5487" s="32"/>
      <c r="S5487" s="32"/>
      <c r="T5487" s="32"/>
      <c r="U5487" s="32"/>
      <c r="V5487" s="32"/>
      <c r="W5487" s="32"/>
      <c r="X5487" s="32"/>
      <c r="Y5487" s="32"/>
      <c r="Z5487" s="32"/>
      <c r="AA5487" s="32"/>
      <c r="AB5487" s="32"/>
      <c r="AC5487" s="32"/>
      <c r="AD5487" s="32"/>
      <c r="AE5487" s="32"/>
      <c r="AF5487" s="32"/>
      <c r="AG5487" s="32"/>
      <c r="AH5487" s="32"/>
    </row>
    <row r="5488" ht="12.75" hidden="1" customHeight="1" outlineLevel="1">
      <c r="A5488" s="122">
        <v>42003.0</v>
      </c>
      <c r="B5488" s="32" t="s">
        <v>343</v>
      </c>
      <c r="C5488" s="32" t="s">
        <v>790</v>
      </c>
      <c r="D5488" s="708">
        <v>12000.0</v>
      </c>
      <c r="E5488" s="195">
        <v>7.37</v>
      </c>
      <c r="F5488" s="709">
        <v>0.40627314814814813</v>
      </c>
      <c r="G5488" s="195" t="s">
        <v>453</v>
      </c>
      <c r="H5488" s="710">
        <v>58.9</v>
      </c>
      <c r="I5488" s="256"/>
      <c r="J5488" s="67">
        <f t="shared" si="345"/>
        <v>-88498.9</v>
      </c>
      <c r="K5488" s="7"/>
      <c r="L5488" s="70"/>
      <c r="M5488" s="79"/>
      <c r="N5488" s="32"/>
      <c r="O5488" s="32"/>
      <c r="P5488" s="32"/>
      <c r="Q5488" s="32"/>
      <c r="R5488" s="32"/>
      <c r="S5488" s="32"/>
      <c r="T5488" s="32"/>
      <c r="U5488" s="32"/>
      <c r="V5488" s="32"/>
      <c r="W5488" s="32"/>
      <c r="X5488" s="32"/>
      <c r="Y5488" s="32"/>
      <c r="Z5488" s="32"/>
      <c r="AA5488" s="32"/>
      <c r="AB5488" s="32"/>
      <c r="AC5488" s="32"/>
      <c r="AD5488" s="32"/>
      <c r="AE5488" s="32"/>
      <c r="AF5488" s="32"/>
      <c r="AG5488" s="32"/>
      <c r="AH5488" s="32"/>
    </row>
    <row r="5489" ht="12.75" hidden="1" customHeight="1" outlineLevel="1">
      <c r="A5489" s="122">
        <v>42003.0</v>
      </c>
      <c r="B5489" s="32" t="s">
        <v>343</v>
      </c>
      <c r="C5489" s="32" t="s">
        <v>784</v>
      </c>
      <c r="D5489" s="708">
        <v>12000.0</v>
      </c>
      <c r="E5489" s="195">
        <v>8.32</v>
      </c>
      <c r="F5489" s="709">
        <v>0.40587962962962965</v>
      </c>
      <c r="G5489" s="195" t="s">
        <v>453</v>
      </c>
      <c r="H5489" s="710">
        <v>54.4</v>
      </c>
      <c r="I5489" s="256"/>
      <c r="J5489" s="67">
        <f t="shared" si="345"/>
        <v>-99894.4</v>
      </c>
      <c r="K5489" s="7"/>
      <c r="L5489" s="70"/>
      <c r="M5489" s="79"/>
      <c r="N5489" s="32"/>
      <c r="O5489" s="32"/>
      <c r="P5489" s="32"/>
      <c r="Q5489" s="32"/>
      <c r="R5489" s="32"/>
      <c r="S5489" s="32"/>
      <c r="T5489" s="32"/>
      <c r="U5489" s="32"/>
      <c r="V5489" s="32"/>
      <c r="W5489" s="32"/>
      <c r="X5489" s="32"/>
      <c r="Y5489" s="32"/>
      <c r="Z5489" s="32"/>
      <c r="AA5489" s="32"/>
      <c r="AB5489" s="32"/>
      <c r="AC5489" s="32"/>
      <c r="AD5489" s="32"/>
      <c r="AE5489" s="32"/>
      <c r="AF5489" s="32"/>
      <c r="AG5489" s="32"/>
      <c r="AH5489" s="32"/>
    </row>
    <row r="5490" ht="12.75" hidden="1" customHeight="1" outlineLevel="1">
      <c r="A5490" s="122">
        <v>42003.0</v>
      </c>
      <c r="B5490" s="32" t="s">
        <v>347</v>
      </c>
      <c r="C5490" s="32" t="s">
        <v>1382</v>
      </c>
      <c r="D5490" s="708">
        <v>50.0</v>
      </c>
      <c r="E5490" s="195">
        <v>147.09</v>
      </c>
      <c r="F5490" s="709">
        <v>0.5051967592592592</v>
      </c>
      <c r="G5490" s="195" t="s">
        <v>453</v>
      </c>
      <c r="H5490" s="710">
        <v>1.16</v>
      </c>
      <c r="I5490" s="256"/>
      <c r="J5490" s="67">
        <f t="shared" si="345"/>
        <v>7353.34</v>
      </c>
      <c r="K5490" s="7"/>
      <c r="L5490" s="70"/>
      <c r="M5490" s="79"/>
      <c r="N5490" s="32"/>
      <c r="O5490" s="32"/>
      <c r="P5490" s="32"/>
      <c r="Q5490" s="32"/>
      <c r="R5490" s="32"/>
      <c r="S5490" s="32"/>
      <c r="T5490" s="32"/>
      <c r="U5490" s="32"/>
      <c r="V5490" s="32"/>
      <c r="W5490" s="32"/>
      <c r="X5490" s="32"/>
      <c r="Y5490" s="32"/>
      <c r="Z5490" s="32"/>
      <c r="AA5490" s="32"/>
      <c r="AB5490" s="32"/>
      <c r="AC5490" s="32"/>
      <c r="AD5490" s="32"/>
      <c r="AE5490" s="32"/>
      <c r="AF5490" s="32"/>
      <c r="AG5490" s="32"/>
      <c r="AH5490" s="32"/>
    </row>
    <row r="5491" ht="12.75" hidden="1" customHeight="1" outlineLevel="1">
      <c r="A5491" s="122">
        <v>42003.0</v>
      </c>
      <c r="B5491" s="32" t="s">
        <v>347</v>
      </c>
      <c r="C5491" s="32" t="s">
        <v>364</v>
      </c>
      <c r="D5491" s="708">
        <v>50.0</v>
      </c>
      <c r="E5491" s="195">
        <v>131.73</v>
      </c>
      <c r="F5491" s="709">
        <v>0.5053240740740741</v>
      </c>
      <c r="G5491" s="195" t="s">
        <v>453</v>
      </c>
      <c r="H5491" s="710">
        <v>1.15</v>
      </c>
      <c r="I5491" s="256"/>
      <c r="J5491" s="67">
        <f t="shared" si="345"/>
        <v>6585.35</v>
      </c>
      <c r="K5491" s="7"/>
      <c r="L5491" s="70"/>
      <c r="M5491" s="79"/>
      <c r="N5491" s="32"/>
      <c r="O5491" s="32"/>
      <c r="P5491" s="32"/>
      <c r="Q5491" s="32"/>
      <c r="R5491" s="32"/>
      <c r="S5491" s="32"/>
      <c r="T5491" s="32"/>
      <c r="U5491" s="32"/>
      <c r="V5491" s="32"/>
      <c r="W5491" s="32"/>
      <c r="X5491" s="32"/>
      <c r="Y5491" s="32"/>
      <c r="Z5491" s="32"/>
      <c r="AA5491" s="32"/>
      <c r="AB5491" s="32"/>
      <c r="AC5491" s="32"/>
      <c r="AD5491" s="32"/>
      <c r="AE5491" s="32"/>
      <c r="AF5491" s="32"/>
      <c r="AG5491" s="32"/>
      <c r="AH5491" s="32"/>
    </row>
    <row r="5492" ht="12.75" hidden="1" customHeight="1" outlineLevel="1">
      <c r="A5492" s="122">
        <v>42003.0</v>
      </c>
      <c r="B5492" s="32" t="s">
        <v>347</v>
      </c>
      <c r="C5492" s="32" t="s">
        <v>1158</v>
      </c>
      <c r="D5492" s="708">
        <v>200.0</v>
      </c>
      <c r="E5492" s="195">
        <v>49.14</v>
      </c>
      <c r="F5492" s="709">
        <v>0.5092129629629629</v>
      </c>
      <c r="G5492" s="195" t="s">
        <v>453</v>
      </c>
      <c r="H5492" s="710">
        <v>1.22</v>
      </c>
      <c r="I5492" s="256"/>
      <c r="J5492" s="67">
        <f t="shared" si="345"/>
        <v>9826.78</v>
      </c>
      <c r="K5492" s="7"/>
      <c r="L5492" s="70"/>
      <c r="M5492" s="79"/>
      <c r="N5492" s="32"/>
      <c r="O5492" s="32"/>
      <c r="P5492" s="32"/>
      <c r="Q5492" s="32"/>
      <c r="R5492" s="32"/>
      <c r="S5492" s="32"/>
      <c r="T5492" s="32"/>
      <c r="U5492" s="32"/>
      <c r="V5492" s="32"/>
      <c r="W5492" s="32"/>
      <c r="X5492" s="32"/>
      <c r="Y5492" s="32"/>
      <c r="Z5492" s="32"/>
      <c r="AA5492" s="32"/>
      <c r="AB5492" s="32"/>
      <c r="AC5492" s="32"/>
      <c r="AD5492" s="32"/>
      <c r="AE5492" s="32"/>
      <c r="AF5492" s="32"/>
      <c r="AG5492" s="32"/>
      <c r="AH5492" s="32"/>
    </row>
    <row r="5493" ht="12.75" hidden="1" customHeight="1" outlineLevel="1">
      <c r="A5493" s="122">
        <v>42003.0</v>
      </c>
      <c r="B5493" s="32" t="s">
        <v>347</v>
      </c>
      <c r="C5493" s="32" t="s">
        <v>1495</v>
      </c>
      <c r="D5493" s="708">
        <v>200.0</v>
      </c>
      <c r="E5493" s="195">
        <v>43.45</v>
      </c>
      <c r="F5493" s="709">
        <v>0.5074305555555556</v>
      </c>
      <c r="G5493" s="195" t="s">
        <v>453</v>
      </c>
      <c r="H5493" s="710">
        <v>1.19</v>
      </c>
      <c r="I5493" s="256"/>
      <c r="J5493" s="67">
        <f t="shared" si="345"/>
        <v>8688.81</v>
      </c>
      <c r="K5493" s="7"/>
      <c r="L5493" s="70"/>
      <c r="M5493" s="79"/>
      <c r="N5493" s="32"/>
      <c r="O5493" s="32"/>
      <c r="P5493" s="32"/>
      <c r="Q5493" s="32"/>
      <c r="R5493" s="32"/>
      <c r="S5493" s="32"/>
      <c r="T5493" s="32"/>
      <c r="U5493" s="32"/>
      <c r="V5493" s="32"/>
      <c r="W5493" s="32"/>
      <c r="X5493" s="32"/>
      <c r="Y5493" s="32"/>
      <c r="Z5493" s="32"/>
      <c r="AA5493" s="32"/>
      <c r="AB5493" s="32"/>
      <c r="AC5493" s="32"/>
      <c r="AD5493" s="32"/>
      <c r="AE5493" s="32"/>
      <c r="AF5493" s="32"/>
      <c r="AG5493" s="32"/>
      <c r="AH5493" s="32"/>
    </row>
    <row r="5494" ht="12.75" hidden="1" customHeight="1" outlineLevel="1">
      <c r="A5494" s="122">
        <v>42004.0</v>
      </c>
      <c r="B5494" s="32" t="s">
        <v>343</v>
      </c>
      <c r="C5494" s="32" t="s">
        <v>1185</v>
      </c>
      <c r="D5494" s="708">
        <v>75.0</v>
      </c>
      <c r="E5494" s="195">
        <v>289.248</v>
      </c>
      <c r="F5494" s="709">
        <v>0.5293171296296296</v>
      </c>
      <c r="G5494" s="195" t="s">
        <v>453</v>
      </c>
      <c r="H5494" s="710">
        <v>1.0</v>
      </c>
      <c r="I5494" s="256"/>
      <c r="J5494" s="67">
        <f t="shared" si="345"/>
        <v>-21694.6</v>
      </c>
      <c r="L5494" s="70"/>
      <c r="M5494" s="934"/>
      <c r="N5494" s="94"/>
      <c r="O5494" s="94"/>
      <c r="P5494" s="94"/>
      <c r="Q5494" s="94"/>
      <c r="R5494" s="94"/>
      <c r="S5494" s="94"/>
      <c r="T5494" s="94"/>
      <c r="U5494" s="94"/>
      <c r="V5494" s="94"/>
      <c r="W5494" s="94"/>
      <c r="X5494" s="94"/>
      <c r="Y5494" s="94"/>
      <c r="Z5494" s="94"/>
      <c r="AA5494" s="94"/>
      <c r="AB5494" s="94"/>
      <c r="AC5494" s="94"/>
      <c r="AD5494" s="94"/>
      <c r="AE5494" s="94"/>
      <c r="AF5494" s="94"/>
      <c r="AG5494" s="94"/>
      <c r="AH5494" s="94"/>
    </row>
    <row r="5495" ht="12.75" hidden="1" customHeight="1" outlineLevel="1">
      <c r="A5495" s="122">
        <v>42004.0</v>
      </c>
      <c r="B5495" s="32" t="s">
        <v>343</v>
      </c>
      <c r="C5495" s="32" t="s">
        <v>2539</v>
      </c>
      <c r="D5495" s="708">
        <v>200.0</v>
      </c>
      <c r="E5495" s="195">
        <v>51.004</v>
      </c>
      <c r="F5495" s="709">
        <v>0.4342013888888889</v>
      </c>
      <c r="G5495" s="195" t="s">
        <v>453</v>
      </c>
      <c r="H5495" s="710">
        <v>1.0</v>
      </c>
      <c r="I5495" s="256"/>
      <c r="J5495" s="67">
        <f t="shared" si="345"/>
        <v>-10201.8</v>
      </c>
      <c r="L5495" s="70"/>
      <c r="M5495" s="934"/>
      <c r="N5495" s="94"/>
      <c r="O5495" s="94"/>
      <c r="P5495" s="94"/>
      <c r="Q5495" s="94"/>
      <c r="R5495" s="94"/>
      <c r="S5495" s="94"/>
      <c r="T5495" s="94"/>
      <c r="U5495" s="94"/>
      <c r="V5495" s="94"/>
      <c r="W5495" s="94"/>
      <c r="X5495" s="94"/>
      <c r="Y5495" s="94"/>
      <c r="Z5495" s="94"/>
      <c r="AA5495" s="94"/>
      <c r="AB5495" s="94"/>
      <c r="AC5495" s="94"/>
      <c r="AD5495" s="94"/>
      <c r="AE5495" s="94"/>
      <c r="AF5495" s="94"/>
      <c r="AG5495" s="94"/>
      <c r="AH5495" s="94"/>
    </row>
    <row r="5496" ht="12.75" hidden="1" customHeight="1" outlineLevel="1">
      <c r="A5496" s="122">
        <v>42004.0</v>
      </c>
      <c r="B5496" s="32" t="s">
        <v>343</v>
      </c>
      <c r="C5496" s="32" t="s">
        <v>2539</v>
      </c>
      <c r="D5496" s="708">
        <v>200.0</v>
      </c>
      <c r="E5496" s="195">
        <v>51.06</v>
      </c>
      <c r="F5496" s="709">
        <v>0.5008680555555556</v>
      </c>
      <c r="G5496" s="195" t="s">
        <v>453</v>
      </c>
      <c r="H5496" s="710">
        <v>1.0</v>
      </c>
      <c r="I5496" s="256"/>
      <c r="J5496" s="67">
        <f t="shared" si="345"/>
        <v>-10213</v>
      </c>
      <c r="L5496" s="70"/>
      <c r="M5496" s="934"/>
      <c r="N5496" s="94"/>
      <c r="O5496" s="94"/>
      <c r="P5496" s="94"/>
      <c r="Q5496" s="94"/>
      <c r="R5496" s="94"/>
      <c r="S5496" s="94"/>
      <c r="T5496" s="94"/>
      <c r="U5496" s="94"/>
      <c r="V5496" s="94"/>
      <c r="W5496" s="94"/>
      <c r="X5496" s="94"/>
      <c r="Y5496" s="94"/>
      <c r="Z5496" s="94"/>
      <c r="AA5496" s="94"/>
      <c r="AB5496" s="94"/>
      <c r="AC5496" s="94"/>
      <c r="AD5496" s="94"/>
      <c r="AE5496" s="94"/>
      <c r="AF5496" s="94"/>
      <c r="AG5496" s="94"/>
      <c r="AH5496" s="94"/>
    </row>
    <row r="5497" ht="12.75" hidden="1" customHeight="1" outlineLevel="1">
      <c r="A5497" s="122">
        <v>42004.0</v>
      </c>
      <c r="B5497" s="32" t="s">
        <v>343</v>
      </c>
      <c r="C5497" s="32" t="s">
        <v>2539</v>
      </c>
      <c r="D5497" s="708">
        <v>800.0</v>
      </c>
      <c r="E5497" s="195">
        <v>51.77</v>
      </c>
      <c r="F5497" s="709">
        <v>0.5234722222222222</v>
      </c>
      <c r="G5497" s="195" t="s">
        <v>453</v>
      </c>
      <c r="H5497" s="710">
        <v>4.0</v>
      </c>
      <c r="I5497" s="256"/>
      <c r="J5497" s="67">
        <f t="shared" si="345"/>
        <v>-41420</v>
      </c>
      <c r="L5497" s="70"/>
      <c r="M5497" s="934"/>
      <c r="N5497" s="94"/>
      <c r="O5497" s="94"/>
      <c r="P5497" s="94"/>
      <c r="Q5497" s="94"/>
      <c r="R5497" s="94"/>
      <c r="S5497" s="94"/>
      <c r="T5497" s="94"/>
      <c r="U5497" s="94"/>
      <c r="V5497" s="94"/>
      <c r="W5497" s="94"/>
      <c r="X5497" s="94"/>
      <c r="Y5497" s="94"/>
      <c r="Z5497" s="94"/>
      <c r="AA5497" s="94"/>
      <c r="AB5497" s="94"/>
      <c r="AC5497" s="94"/>
      <c r="AD5497" s="94"/>
      <c r="AE5497" s="94"/>
      <c r="AF5497" s="94"/>
      <c r="AG5497" s="94"/>
      <c r="AH5497" s="94"/>
    </row>
    <row r="5498" ht="12.75" hidden="1" customHeight="1" outlineLevel="1">
      <c r="A5498" s="122">
        <v>42004.0</v>
      </c>
      <c r="B5498" s="32" t="s">
        <v>347</v>
      </c>
      <c r="C5498" s="32" t="s">
        <v>1844</v>
      </c>
      <c r="D5498" s="708">
        <v>1000.0</v>
      </c>
      <c r="E5498" s="195">
        <v>37.5</v>
      </c>
      <c r="F5498" s="709">
        <v>0.42644675925925923</v>
      </c>
      <c r="G5498" s="195" t="s">
        <v>453</v>
      </c>
      <c r="H5498" s="710">
        <v>5.83</v>
      </c>
      <c r="I5498" s="256"/>
      <c r="J5498" s="67">
        <f t="shared" si="345"/>
        <v>37494.17</v>
      </c>
      <c r="L5498" s="70"/>
      <c r="M5498" s="934"/>
      <c r="N5498" s="94"/>
      <c r="O5498" s="94"/>
      <c r="P5498" s="94"/>
      <c r="Q5498" s="94"/>
      <c r="R5498" s="94"/>
      <c r="S5498" s="94"/>
      <c r="T5498" s="94"/>
      <c r="U5498" s="94"/>
      <c r="V5498" s="94"/>
      <c r="W5498" s="94"/>
      <c r="X5498" s="94"/>
      <c r="Y5498" s="94"/>
      <c r="Z5498" s="94"/>
      <c r="AA5498" s="94"/>
      <c r="AB5498" s="94"/>
      <c r="AC5498" s="94"/>
      <c r="AD5498" s="94"/>
      <c r="AE5498" s="94"/>
      <c r="AF5498" s="94"/>
      <c r="AG5498" s="94"/>
      <c r="AH5498" s="94"/>
    </row>
    <row r="5499" ht="12.75" hidden="1" customHeight="1" outlineLevel="1">
      <c r="A5499" s="122">
        <v>42004.0</v>
      </c>
      <c r="B5499" s="32" t="s">
        <v>347</v>
      </c>
      <c r="C5499" s="32" t="s">
        <v>2048</v>
      </c>
      <c r="D5499" s="708">
        <v>1000.0</v>
      </c>
      <c r="E5499" s="195">
        <v>11.681</v>
      </c>
      <c r="F5499" s="709">
        <v>0.4477314814814815</v>
      </c>
      <c r="G5499" s="195" t="s">
        <v>453</v>
      </c>
      <c r="H5499" s="710">
        <v>4.26</v>
      </c>
      <c r="I5499" s="256"/>
      <c r="J5499" s="67">
        <f t="shared" si="345"/>
        <v>11676.74</v>
      </c>
      <c r="L5499" s="70"/>
      <c r="M5499" s="934"/>
      <c r="N5499" s="94"/>
      <c r="O5499" s="94"/>
      <c r="P5499" s="94"/>
      <c r="Q5499" s="94"/>
      <c r="R5499" s="94"/>
      <c r="S5499" s="94"/>
      <c r="T5499" s="94"/>
      <c r="U5499" s="94"/>
      <c r="V5499" s="94"/>
      <c r="W5499" s="94"/>
      <c r="X5499" s="94"/>
      <c r="Y5499" s="94"/>
      <c r="Z5499" s="94"/>
      <c r="AA5499" s="94"/>
      <c r="AB5499" s="94"/>
      <c r="AC5499" s="94"/>
      <c r="AD5499" s="94"/>
      <c r="AE5499" s="94"/>
      <c r="AF5499" s="94"/>
      <c r="AG5499" s="94"/>
      <c r="AH5499" s="94"/>
    </row>
    <row r="5500" ht="12.75" hidden="1" customHeight="1" outlineLevel="1">
      <c r="A5500" s="122">
        <v>42004.0</v>
      </c>
      <c r="B5500" s="32" t="s">
        <v>347</v>
      </c>
      <c r="C5500" s="32" t="s">
        <v>2192</v>
      </c>
      <c r="D5500" s="708">
        <v>1000.0</v>
      </c>
      <c r="E5500" s="195">
        <v>11.172</v>
      </c>
      <c r="F5500" s="709">
        <v>0.44766203703703705</v>
      </c>
      <c r="G5500" s="195" t="s">
        <v>453</v>
      </c>
      <c r="H5500" s="710">
        <v>4.85</v>
      </c>
      <c r="I5500" s="256"/>
      <c r="J5500" s="67">
        <f t="shared" si="345"/>
        <v>11167.15</v>
      </c>
      <c r="L5500" s="70"/>
      <c r="M5500" s="934"/>
      <c r="N5500" s="94"/>
      <c r="O5500" s="94"/>
      <c r="P5500" s="94"/>
      <c r="Q5500" s="94"/>
      <c r="R5500" s="94"/>
      <c r="S5500" s="94"/>
      <c r="T5500" s="94"/>
      <c r="U5500" s="94"/>
      <c r="V5500" s="94"/>
      <c r="W5500" s="94"/>
      <c r="X5500" s="94"/>
      <c r="Y5500" s="94"/>
      <c r="Z5500" s="94"/>
      <c r="AA5500" s="94"/>
      <c r="AB5500" s="94"/>
      <c r="AC5500" s="94"/>
      <c r="AD5500" s="94"/>
      <c r="AE5500" s="94"/>
      <c r="AF5500" s="94"/>
      <c r="AG5500" s="94"/>
      <c r="AH5500" s="94"/>
    </row>
    <row r="5501" ht="12.75" hidden="1" customHeight="1" outlineLevel="1">
      <c r="A5501" s="122">
        <v>42004.0</v>
      </c>
      <c r="B5501" s="32" t="s">
        <v>347</v>
      </c>
      <c r="C5501" s="32" t="s">
        <v>2048</v>
      </c>
      <c r="D5501" s="708">
        <v>2000.0</v>
      </c>
      <c r="E5501" s="195">
        <v>11.68</v>
      </c>
      <c r="F5501" s="709">
        <v>0.4267361111111111</v>
      </c>
      <c r="G5501" s="195" t="s">
        <v>453</v>
      </c>
      <c r="H5501" s="710">
        <v>9.12</v>
      </c>
      <c r="I5501" s="256"/>
      <c r="J5501" s="67">
        <f t="shared" si="345"/>
        <v>23350.88</v>
      </c>
      <c r="L5501" s="70"/>
      <c r="M5501" s="934"/>
      <c r="N5501" s="94"/>
      <c r="O5501" s="94"/>
      <c r="P5501" s="94"/>
      <c r="Q5501" s="94"/>
      <c r="R5501" s="94"/>
      <c r="S5501" s="94"/>
      <c r="T5501" s="94"/>
      <c r="U5501" s="94"/>
      <c r="V5501" s="94"/>
      <c r="W5501" s="94"/>
      <c r="X5501" s="94"/>
      <c r="Y5501" s="94"/>
      <c r="Z5501" s="94"/>
      <c r="AA5501" s="94"/>
      <c r="AB5501" s="94"/>
      <c r="AC5501" s="94"/>
      <c r="AD5501" s="94"/>
      <c r="AE5501" s="94"/>
      <c r="AF5501" s="94"/>
      <c r="AG5501" s="94"/>
      <c r="AH5501" s="94"/>
    </row>
    <row r="5502" ht="12.75" hidden="1" customHeight="1" outlineLevel="1">
      <c r="A5502" s="122">
        <v>42004.0</v>
      </c>
      <c r="B5502" s="32" t="s">
        <v>347</v>
      </c>
      <c r="C5502" s="32" t="s">
        <v>2192</v>
      </c>
      <c r="D5502" s="708">
        <v>2000.0</v>
      </c>
      <c r="E5502" s="195">
        <v>11.19</v>
      </c>
      <c r="F5502" s="709">
        <v>0.42659722222222224</v>
      </c>
      <c r="G5502" s="195" t="s">
        <v>453</v>
      </c>
      <c r="H5502" s="710">
        <v>8.49</v>
      </c>
      <c r="I5502" s="256"/>
      <c r="J5502" s="67">
        <f t="shared" si="345"/>
        <v>22371.51</v>
      </c>
      <c r="L5502" s="70"/>
      <c r="M5502" s="934"/>
      <c r="N5502" s="94"/>
      <c r="O5502" s="94"/>
      <c r="P5502" s="94"/>
      <c r="Q5502" s="94"/>
      <c r="R5502" s="94"/>
      <c r="S5502" s="94"/>
      <c r="T5502" s="94"/>
      <c r="U5502" s="94"/>
      <c r="V5502" s="94"/>
      <c r="W5502" s="94"/>
      <c r="X5502" s="94"/>
      <c r="Y5502" s="94"/>
      <c r="Z5502" s="94"/>
      <c r="AA5502" s="94"/>
      <c r="AB5502" s="94"/>
      <c r="AC5502" s="94"/>
      <c r="AD5502" s="94"/>
      <c r="AE5502" s="94"/>
      <c r="AF5502" s="94"/>
      <c r="AG5502" s="94"/>
      <c r="AH5502" s="94"/>
    </row>
    <row r="5503" ht="12.75" hidden="1" customHeight="1" outlineLevel="1">
      <c r="A5503" s="122">
        <v>42004.0</v>
      </c>
      <c r="B5503" s="32" t="s">
        <v>347</v>
      </c>
      <c r="C5503" s="32" t="s">
        <v>790</v>
      </c>
      <c r="D5503" s="708">
        <v>12000.0</v>
      </c>
      <c r="E5503" s="195">
        <v>7.13</v>
      </c>
      <c r="F5503" s="709">
        <v>0.4261226851851852</v>
      </c>
      <c r="G5503" s="195" t="s">
        <v>453</v>
      </c>
      <c r="H5503" s="710">
        <v>61.59</v>
      </c>
      <c r="I5503" s="256"/>
      <c r="J5503" s="67">
        <f t="shared" si="345"/>
        <v>85498.41</v>
      </c>
      <c r="L5503" s="70"/>
      <c r="M5503" s="934"/>
      <c r="N5503" s="94"/>
      <c r="O5503" s="94"/>
      <c r="P5503" s="94"/>
      <c r="Q5503" s="94"/>
      <c r="R5503" s="94"/>
      <c r="S5503" s="94"/>
      <c r="T5503" s="94"/>
      <c r="U5503" s="94"/>
      <c r="V5503" s="94"/>
      <c r="W5503" s="94"/>
      <c r="X5503" s="94"/>
      <c r="Y5503" s="94"/>
      <c r="Z5503" s="94"/>
      <c r="AA5503" s="94"/>
      <c r="AB5503" s="94"/>
      <c r="AC5503" s="94"/>
      <c r="AD5503" s="94"/>
      <c r="AE5503" s="94"/>
      <c r="AF5503" s="94"/>
      <c r="AG5503" s="94"/>
      <c r="AH5503" s="94"/>
    </row>
    <row r="5504" ht="12.75" hidden="1" customHeight="1" outlineLevel="1">
      <c r="A5504" s="122">
        <v>42004.0</v>
      </c>
      <c r="B5504" s="32" t="s">
        <v>347</v>
      </c>
      <c r="C5504" s="32" t="s">
        <v>784</v>
      </c>
      <c r="D5504" s="708">
        <v>12000.0</v>
      </c>
      <c r="E5504" s="195">
        <v>8.15</v>
      </c>
      <c r="F5504" s="709">
        <v>0.42628472222222225</v>
      </c>
      <c r="G5504" s="195" t="s">
        <v>453</v>
      </c>
      <c r="H5504" s="710">
        <v>60.56</v>
      </c>
      <c r="I5504" s="256"/>
      <c r="J5504" s="67">
        <f t="shared" si="345"/>
        <v>97739.44</v>
      </c>
      <c r="L5504" s="70"/>
      <c r="M5504" s="934"/>
      <c r="N5504" s="94"/>
      <c r="O5504" s="94"/>
      <c r="P5504" s="94"/>
      <c r="Q5504" s="94"/>
      <c r="R5504" s="94"/>
      <c r="S5504" s="94"/>
      <c r="T5504" s="94"/>
      <c r="U5504" s="94"/>
      <c r="V5504" s="94"/>
      <c r="W5504" s="94"/>
      <c r="X5504" s="94"/>
      <c r="Y5504" s="94"/>
      <c r="Z5504" s="94"/>
      <c r="AA5504" s="94"/>
      <c r="AB5504" s="94"/>
      <c r="AC5504" s="94"/>
      <c r="AD5504" s="94"/>
      <c r="AE5504" s="94"/>
      <c r="AF5504" s="94"/>
      <c r="AG5504" s="94"/>
      <c r="AH5504" s="94"/>
    </row>
    <row r="5505" ht="12.75" hidden="1" customHeight="1" outlineLevel="1">
      <c r="A5505" s="122">
        <v>42006.0</v>
      </c>
      <c r="B5505" s="32" t="s">
        <v>343</v>
      </c>
      <c r="C5505" s="32" t="s">
        <v>1382</v>
      </c>
      <c r="D5505" s="708">
        <v>50.0</v>
      </c>
      <c r="E5505" s="195">
        <v>145.468</v>
      </c>
      <c r="F5505" s="709">
        <v>0.6492592592592593</v>
      </c>
      <c r="G5505" s="195" t="s">
        <v>453</v>
      </c>
      <c r="H5505" s="710">
        <v>1.0</v>
      </c>
      <c r="I5505" s="256"/>
      <c r="J5505" s="67">
        <f t="shared" si="345"/>
        <v>-7274.4</v>
      </c>
      <c r="L5505" s="70"/>
      <c r="M5505" s="934"/>
      <c r="N5505" s="94"/>
      <c r="O5505" s="94"/>
      <c r="P5505" s="94"/>
      <c r="Q5505" s="94"/>
      <c r="R5505" s="94"/>
      <c r="S5505" s="94"/>
      <c r="T5505" s="94"/>
      <c r="U5505" s="94"/>
      <c r="V5505" s="94"/>
      <c r="W5505" s="94"/>
      <c r="X5505" s="94"/>
      <c r="Y5505" s="94"/>
      <c r="Z5505" s="94"/>
      <c r="AA5505" s="94"/>
      <c r="AB5505" s="94"/>
      <c r="AC5505" s="94"/>
      <c r="AD5505" s="94"/>
      <c r="AE5505" s="94"/>
      <c r="AF5505" s="94"/>
      <c r="AG5505" s="94"/>
      <c r="AH5505" s="94"/>
    </row>
    <row r="5506" ht="12.75" hidden="1" customHeight="1" outlineLevel="1">
      <c r="A5506" s="122">
        <v>42006.0</v>
      </c>
      <c r="B5506" s="32" t="s">
        <v>343</v>
      </c>
      <c r="C5506" s="32" t="s">
        <v>364</v>
      </c>
      <c r="D5506" s="708">
        <v>50.0</v>
      </c>
      <c r="E5506" s="195">
        <v>130.597</v>
      </c>
      <c r="F5506" s="709">
        <v>0.6498611111111111</v>
      </c>
      <c r="G5506" s="195" t="s">
        <v>453</v>
      </c>
      <c r="H5506" s="710">
        <v>1.0</v>
      </c>
      <c r="I5506" s="256"/>
      <c r="J5506" s="67">
        <f t="shared" si="345"/>
        <v>-6530.85</v>
      </c>
      <c r="L5506" s="70"/>
      <c r="M5506" s="934"/>
      <c r="N5506" s="94"/>
      <c r="O5506" s="94"/>
      <c r="P5506" s="94"/>
      <c r="Q5506" s="94"/>
      <c r="R5506" s="94"/>
      <c r="S5506" s="94"/>
      <c r="T5506" s="94"/>
      <c r="U5506" s="94"/>
      <c r="V5506" s="94"/>
      <c r="W5506" s="94"/>
      <c r="X5506" s="94"/>
      <c r="Y5506" s="94"/>
      <c r="Z5506" s="94"/>
      <c r="AA5506" s="94"/>
      <c r="AB5506" s="94"/>
      <c r="AC5506" s="94"/>
      <c r="AD5506" s="94"/>
      <c r="AE5506" s="94"/>
      <c r="AF5506" s="94"/>
      <c r="AG5506" s="94"/>
      <c r="AH5506" s="94"/>
    </row>
    <row r="5507" ht="12.75" hidden="1" customHeight="1" outlineLevel="1">
      <c r="A5507" s="122">
        <v>42006.0</v>
      </c>
      <c r="B5507" s="32" t="s">
        <v>343</v>
      </c>
      <c r="C5507" s="32" t="s">
        <v>1158</v>
      </c>
      <c r="D5507" s="708">
        <v>200.0</v>
      </c>
      <c r="E5507" s="195">
        <v>49.119</v>
      </c>
      <c r="F5507" s="709">
        <v>0.6503009259259259</v>
      </c>
      <c r="G5507" s="195" t="s">
        <v>453</v>
      </c>
      <c r="H5507" s="710">
        <v>1.0</v>
      </c>
      <c r="I5507" s="256"/>
      <c r="J5507" s="67">
        <f t="shared" si="345"/>
        <v>-9824.8</v>
      </c>
      <c r="L5507" s="70"/>
      <c r="M5507" s="934"/>
      <c r="N5507" s="94"/>
      <c r="O5507" s="94"/>
      <c r="P5507" s="94"/>
      <c r="Q5507" s="94"/>
      <c r="R5507" s="94"/>
      <c r="S5507" s="94"/>
      <c r="T5507" s="94"/>
      <c r="U5507" s="94"/>
      <c r="V5507" s="94"/>
      <c r="W5507" s="94"/>
      <c r="X5507" s="94"/>
      <c r="Y5507" s="94"/>
      <c r="Z5507" s="94"/>
      <c r="AA5507" s="94"/>
      <c r="AB5507" s="94"/>
      <c r="AC5507" s="94"/>
      <c r="AD5507" s="94"/>
      <c r="AE5507" s="94"/>
      <c r="AF5507" s="94"/>
      <c r="AG5507" s="94"/>
      <c r="AH5507" s="94"/>
    </row>
    <row r="5508" ht="12.75" hidden="1" customHeight="1" outlineLevel="1">
      <c r="A5508" s="122">
        <v>42006.0</v>
      </c>
      <c r="B5508" s="32" t="s">
        <v>343</v>
      </c>
      <c r="C5508" s="32" t="s">
        <v>1495</v>
      </c>
      <c r="D5508" s="708">
        <v>200.0</v>
      </c>
      <c r="E5508" s="195">
        <v>43.229</v>
      </c>
      <c r="F5508" s="709">
        <v>0.6504745370370371</v>
      </c>
      <c r="G5508" s="195" t="s">
        <v>453</v>
      </c>
      <c r="H5508" s="710">
        <v>1.0</v>
      </c>
      <c r="I5508" s="256"/>
      <c r="J5508" s="67">
        <f t="shared" si="345"/>
        <v>-8646.8</v>
      </c>
      <c r="L5508" s="70"/>
      <c r="M5508" s="934"/>
      <c r="N5508" s="94"/>
      <c r="O5508" s="94"/>
      <c r="P5508" s="94"/>
      <c r="Q5508" s="94"/>
      <c r="R5508" s="94"/>
      <c r="S5508" s="94"/>
      <c r="T5508" s="94"/>
      <c r="U5508" s="94"/>
      <c r="V5508" s="94"/>
      <c r="W5508" s="94"/>
      <c r="X5508" s="94"/>
      <c r="Y5508" s="94"/>
      <c r="Z5508" s="94"/>
      <c r="AA5508" s="94"/>
      <c r="AB5508" s="94"/>
      <c r="AC5508" s="94"/>
      <c r="AD5508" s="94"/>
      <c r="AE5508" s="94"/>
      <c r="AF5508" s="94"/>
      <c r="AG5508" s="94"/>
      <c r="AH5508" s="94"/>
    </row>
    <row r="5509" ht="12.75" hidden="1" customHeight="1" outlineLevel="1">
      <c r="A5509" s="122">
        <v>42006.0</v>
      </c>
      <c r="B5509" s="32" t="s">
        <v>347</v>
      </c>
      <c r="C5509" s="32" t="s">
        <v>369</v>
      </c>
      <c r="D5509" s="708">
        <v>3000.0</v>
      </c>
      <c r="E5509" s="195">
        <v>7.11</v>
      </c>
      <c r="F5509" s="709">
        <v>0.41868055555555556</v>
      </c>
      <c r="G5509" s="195" t="s">
        <v>453</v>
      </c>
      <c r="H5509" s="710">
        <v>15.47</v>
      </c>
      <c r="I5509" s="256"/>
      <c r="J5509" s="67">
        <f t="shared" si="345"/>
        <v>21314.53</v>
      </c>
      <c r="L5509" s="70"/>
      <c r="M5509" s="934"/>
      <c r="N5509" s="94"/>
      <c r="O5509" s="94"/>
      <c r="P5509" s="94"/>
      <c r="Q5509" s="94"/>
      <c r="R5509" s="94"/>
      <c r="S5509" s="94"/>
      <c r="T5509" s="94"/>
      <c r="U5509" s="94"/>
      <c r="V5509" s="94"/>
      <c r="W5509" s="94"/>
      <c r="X5509" s="94"/>
      <c r="Y5509" s="94"/>
      <c r="Z5509" s="94"/>
      <c r="AA5509" s="94"/>
      <c r="AB5509" s="94"/>
      <c r="AC5509" s="94"/>
      <c r="AD5509" s="94"/>
      <c r="AE5509" s="94"/>
      <c r="AF5509" s="94"/>
      <c r="AG5509" s="94"/>
      <c r="AH5509" s="94"/>
    </row>
    <row r="5510" ht="12.75" hidden="1" customHeight="1" outlineLevel="1">
      <c r="A5510" s="122">
        <v>42006.0</v>
      </c>
      <c r="B5510" s="32" t="s">
        <v>347</v>
      </c>
      <c r="C5510" s="32" t="s">
        <v>369</v>
      </c>
      <c r="D5510" s="708">
        <v>3000.0</v>
      </c>
      <c r="E5510" s="195">
        <v>7.05</v>
      </c>
      <c r="F5510" s="709">
        <v>0.42128472222222224</v>
      </c>
      <c r="G5510" s="195" t="s">
        <v>453</v>
      </c>
      <c r="H5510" s="710">
        <v>15.47</v>
      </c>
      <c r="I5510" s="256"/>
      <c r="J5510" s="67">
        <f t="shared" si="345"/>
        <v>21134.53</v>
      </c>
      <c r="L5510" s="70"/>
      <c r="M5510" s="934"/>
      <c r="N5510" s="94"/>
      <c r="O5510" s="94"/>
      <c r="P5510" s="94"/>
      <c r="Q5510" s="94"/>
      <c r="R5510" s="94"/>
      <c r="S5510" s="94"/>
      <c r="T5510" s="94"/>
      <c r="U5510" s="94"/>
      <c r="V5510" s="94"/>
      <c r="W5510" s="94"/>
      <c r="X5510" s="94"/>
      <c r="Y5510" s="94"/>
      <c r="Z5510" s="94"/>
      <c r="AA5510" s="94"/>
      <c r="AB5510" s="94"/>
      <c r="AC5510" s="94"/>
      <c r="AD5510" s="94"/>
      <c r="AE5510" s="94"/>
      <c r="AF5510" s="94"/>
      <c r="AG5510" s="94"/>
      <c r="AH5510" s="94"/>
    </row>
    <row r="5511" ht="12.75" hidden="1" customHeight="1" outlineLevel="1">
      <c r="A5511" s="122">
        <v>42006.0</v>
      </c>
      <c r="B5511" s="32" t="s">
        <v>347</v>
      </c>
      <c r="C5511" s="32" t="s">
        <v>369</v>
      </c>
      <c r="D5511" s="708">
        <v>6000.0</v>
      </c>
      <c r="E5511" s="195">
        <v>7.051</v>
      </c>
      <c r="F5511" s="709">
        <v>0.4283101851851852</v>
      </c>
      <c r="G5511" s="195" t="s">
        <v>453</v>
      </c>
      <c r="H5511" s="710">
        <v>29.64</v>
      </c>
      <c r="I5511" s="256"/>
      <c r="J5511" s="67">
        <f t="shared" si="345"/>
        <v>42276.36</v>
      </c>
      <c r="L5511" s="70"/>
      <c r="M5511" s="934"/>
      <c r="N5511" s="94"/>
      <c r="O5511" s="94"/>
      <c r="P5511" s="94"/>
      <c r="Q5511" s="94"/>
      <c r="R5511" s="94"/>
      <c r="S5511" s="94"/>
      <c r="T5511" s="94"/>
      <c r="U5511" s="94"/>
      <c r="V5511" s="94"/>
      <c r="W5511" s="94"/>
      <c r="X5511" s="94"/>
      <c r="Y5511" s="94"/>
      <c r="Z5511" s="94"/>
      <c r="AA5511" s="94"/>
      <c r="AB5511" s="94"/>
      <c r="AC5511" s="94"/>
      <c r="AD5511" s="94"/>
      <c r="AE5511" s="94"/>
      <c r="AF5511" s="94"/>
      <c r="AG5511" s="94"/>
      <c r="AH5511" s="94"/>
    </row>
    <row r="5512" ht="12.75" hidden="1" customHeight="1" outlineLevel="1">
      <c r="A5512" s="882">
        <v>42006.0</v>
      </c>
      <c r="B5512" s="1"/>
      <c r="C5512" s="1" t="s">
        <v>339</v>
      </c>
      <c r="D5512" s="74"/>
      <c r="E5512" s="67"/>
      <c r="F5512" s="75"/>
      <c r="G5512" s="67"/>
      <c r="H5512" s="68"/>
      <c r="I5512" s="76"/>
      <c r="J5512" s="67"/>
      <c r="K5512" s="9" t="s">
        <v>2564</v>
      </c>
      <c r="L5512" s="934"/>
      <c r="M5512" s="934"/>
    </row>
    <row r="5513" ht="12.75" hidden="1" customHeight="1" outlineLevel="1">
      <c r="A5513" s="882">
        <v>42006.0</v>
      </c>
      <c r="B5513" s="1"/>
      <c r="C5513" s="1" t="s">
        <v>429</v>
      </c>
      <c r="D5513" s="74"/>
      <c r="E5513" s="67"/>
      <c r="F5513" s="75"/>
      <c r="G5513" s="67"/>
      <c r="H5513" s="68"/>
      <c r="I5513" s="76"/>
      <c r="J5513" s="67"/>
      <c r="K5513" s="9" t="s">
        <v>2492</v>
      </c>
      <c r="L5513" s="934"/>
      <c r="M5513" s="934"/>
    </row>
    <row r="5514" ht="12.75" hidden="1" customHeight="1" outlineLevel="1">
      <c r="A5514" s="882">
        <v>42006.0</v>
      </c>
      <c r="B5514" s="1"/>
      <c r="C5514" s="1" t="s">
        <v>431</v>
      </c>
      <c r="D5514" s="74"/>
      <c r="E5514" s="67"/>
      <c r="F5514" s="75"/>
      <c r="G5514" s="67"/>
      <c r="H5514" s="68"/>
      <c r="I5514" s="76"/>
      <c r="J5514" s="67"/>
      <c r="K5514" s="7" t="s">
        <v>1126</v>
      </c>
      <c r="L5514" s="934"/>
      <c r="M5514" s="934"/>
    </row>
    <row r="5515" ht="12.75" hidden="1" customHeight="1" outlineLevel="1">
      <c r="A5515" s="882">
        <v>42006.0</v>
      </c>
      <c r="B5515" s="1"/>
      <c r="C5515" s="1" t="s">
        <v>433</v>
      </c>
      <c r="D5515" s="74"/>
      <c r="E5515" s="67"/>
      <c r="F5515" s="75"/>
      <c r="G5515" s="67"/>
      <c r="H5515" s="68"/>
      <c r="I5515" s="76"/>
      <c r="J5515" s="67"/>
      <c r="K5515" s="7" t="s">
        <v>1103</v>
      </c>
      <c r="L5515" s="934"/>
      <c r="M5515" s="934"/>
    </row>
    <row r="5516" ht="12.75" hidden="1" customHeight="1" outlineLevel="1">
      <c r="A5516" s="882">
        <v>42006.0</v>
      </c>
      <c r="B5516" s="1"/>
      <c r="C5516" s="1" t="s">
        <v>435</v>
      </c>
      <c r="D5516" s="74"/>
      <c r="E5516" s="67"/>
      <c r="F5516" s="75"/>
      <c r="G5516" s="67"/>
      <c r="H5516" s="68"/>
      <c r="I5516" s="76"/>
      <c r="J5516" s="67"/>
      <c r="K5516" s="9" t="s">
        <v>2486</v>
      </c>
      <c r="L5516" s="934"/>
      <c r="M5516" s="934"/>
    </row>
    <row r="5517" ht="12.75" hidden="1" customHeight="1" outlineLevel="1">
      <c r="A5517" s="882">
        <v>42009.0</v>
      </c>
      <c r="B5517" s="1"/>
      <c r="C5517" s="1" t="s">
        <v>339</v>
      </c>
      <c r="D5517" s="74"/>
      <c r="E5517" s="67"/>
      <c r="F5517" s="75"/>
      <c r="G5517" s="67"/>
      <c r="H5517" s="68"/>
      <c r="I5517" s="76"/>
      <c r="J5517" s="195"/>
      <c r="K5517" s="9" t="s">
        <v>2565</v>
      </c>
      <c r="L5517" s="934"/>
      <c r="M5517" s="934"/>
    </row>
    <row r="5518" ht="12.75" hidden="1" customHeight="1" outlineLevel="1">
      <c r="A5518" s="882">
        <v>42009.0</v>
      </c>
      <c r="B5518" s="1"/>
      <c r="C5518" s="1" t="s">
        <v>429</v>
      </c>
      <c r="D5518" s="74"/>
      <c r="E5518" s="67"/>
      <c r="F5518" s="75"/>
      <c r="G5518" s="67"/>
      <c r="H5518" s="68"/>
      <c r="I5518" s="76"/>
      <c r="J5518" s="67"/>
      <c r="K5518" s="9" t="s">
        <v>2492</v>
      </c>
      <c r="L5518" s="934"/>
      <c r="M5518" s="934"/>
    </row>
    <row r="5519" ht="12.75" hidden="1" customHeight="1" outlineLevel="1">
      <c r="A5519" s="882">
        <v>42009.0</v>
      </c>
      <c r="B5519" s="1"/>
      <c r="C5519" s="1" t="s">
        <v>431</v>
      </c>
      <c r="D5519" s="74"/>
      <c r="E5519" s="67"/>
      <c r="F5519" s="75"/>
      <c r="G5519" s="67"/>
      <c r="H5519" s="68"/>
      <c r="I5519" s="76"/>
      <c r="J5519" s="67"/>
      <c r="K5519" s="7" t="s">
        <v>1126</v>
      </c>
      <c r="L5519" s="934"/>
      <c r="M5519" s="934"/>
    </row>
    <row r="5520" ht="12.75" hidden="1" customHeight="1" outlineLevel="1">
      <c r="A5520" s="882">
        <v>42009.0</v>
      </c>
      <c r="B5520" s="1"/>
      <c r="C5520" s="1" t="s">
        <v>433</v>
      </c>
      <c r="D5520" s="74"/>
      <c r="E5520" s="67"/>
      <c r="F5520" s="75"/>
      <c r="G5520" s="67"/>
      <c r="H5520" s="68"/>
      <c r="I5520" s="76"/>
      <c r="J5520" s="67"/>
      <c r="K5520" s="7" t="s">
        <v>1103</v>
      </c>
      <c r="L5520" s="934"/>
      <c r="M5520" s="934"/>
    </row>
    <row r="5521" ht="12.75" hidden="1" customHeight="1" outlineLevel="1">
      <c r="A5521" s="882">
        <v>42009.0</v>
      </c>
      <c r="B5521" s="1"/>
      <c r="C5521" s="1" t="s">
        <v>435</v>
      </c>
      <c r="D5521" s="74"/>
      <c r="E5521" s="67"/>
      <c r="F5521" s="75"/>
      <c r="G5521" s="67"/>
      <c r="H5521" s="68"/>
      <c r="I5521" s="76"/>
      <c r="J5521" s="67"/>
      <c r="K5521" s="9" t="s">
        <v>2486</v>
      </c>
      <c r="L5521" s="934"/>
      <c r="M5521" s="934"/>
    </row>
    <row r="5522" ht="12.75" hidden="1" customHeight="1" outlineLevel="1">
      <c r="A5522" s="122">
        <v>42011.0</v>
      </c>
      <c r="B5522" s="32" t="s">
        <v>343</v>
      </c>
      <c r="C5522" s="32" t="s">
        <v>364</v>
      </c>
      <c r="D5522" s="708">
        <v>50.0</v>
      </c>
      <c r="E5522" s="195">
        <v>121.8</v>
      </c>
      <c r="F5522" s="709">
        <v>0.6491203703703704</v>
      </c>
      <c r="G5522" s="195" t="s">
        <v>453</v>
      </c>
      <c r="H5522" s="710">
        <v>1.0</v>
      </c>
      <c r="I5522" s="256"/>
      <c r="J5522" s="67">
        <f t="shared" ref="J5522:J5525" si="346">IF(B5522="SLD",D5522*E5522,-D5522*E5522)-H5522</f>
        <v>-6091</v>
      </c>
      <c r="L5522" s="70"/>
      <c r="M5522" s="934"/>
      <c r="N5522" s="94"/>
      <c r="O5522" s="94"/>
      <c r="P5522" s="94"/>
      <c r="Q5522" s="94"/>
      <c r="R5522" s="94"/>
      <c r="S5522" s="94"/>
      <c r="T5522" s="94"/>
      <c r="U5522" s="94"/>
      <c r="V5522" s="94"/>
      <c r="W5522" s="94"/>
      <c r="X5522" s="94"/>
      <c r="Y5522" s="94"/>
      <c r="Z5522" s="94"/>
      <c r="AA5522" s="94"/>
      <c r="AB5522" s="94"/>
      <c r="AC5522" s="94"/>
      <c r="AD5522" s="94"/>
      <c r="AE5522" s="94"/>
      <c r="AF5522" s="94"/>
      <c r="AG5522" s="94"/>
      <c r="AH5522" s="94"/>
    </row>
    <row r="5523" ht="12.75" hidden="1" customHeight="1" outlineLevel="1">
      <c r="A5523" s="122">
        <v>42011.0</v>
      </c>
      <c r="B5523" s="32" t="s">
        <v>343</v>
      </c>
      <c r="C5523" s="32" t="s">
        <v>2142</v>
      </c>
      <c r="D5523" s="708">
        <v>500.0</v>
      </c>
      <c r="E5523" s="195">
        <v>29.169</v>
      </c>
      <c r="F5523" s="709">
        <v>0.6487962962962963</v>
      </c>
      <c r="G5523" s="195" t="s">
        <v>453</v>
      </c>
      <c r="H5523" s="710">
        <v>2.0</v>
      </c>
      <c r="I5523" s="256"/>
      <c r="J5523" s="67">
        <f t="shared" si="346"/>
        <v>-14586.5</v>
      </c>
      <c r="L5523" s="70"/>
      <c r="M5523" s="934"/>
      <c r="N5523" s="94"/>
      <c r="O5523" s="94"/>
      <c r="P5523" s="94"/>
      <c r="Q5523" s="94"/>
      <c r="R5523" s="94"/>
      <c r="S5523" s="94"/>
      <c r="T5523" s="94"/>
      <c r="U5523" s="94"/>
      <c r="V5523" s="94"/>
      <c r="W5523" s="94"/>
      <c r="X5523" s="94"/>
      <c r="Y5523" s="94"/>
      <c r="Z5523" s="94"/>
      <c r="AA5523" s="94"/>
      <c r="AB5523" s="94"/>
      <c r="AC5523" s="94"/>
      <c r="AD5523" s="94"/>
      <c r="AE5523" s="94"/>
      <c r="AF5523" s="94"/>
      <c r="AG5523" s="94"/>
      <c r="AH5523" s="94"/>
    </row>
    <row r="5524" ht="12.75" hidden="1" customHeight="1" outlineLevel="1">
      <c r="A5524" s="122">
        <v>42011.0</v>
      </c>
      <c r="B5524" s="32" t="s">
        <v>343</v>
      </c>
      <c r="C5524" s="32" t="s">
        <v>369</v>
      </c>
      <c r="D5524" s="708">
        <v>10000.0</v>
      </c>
      <c r="E5524" s="195">
        <v>6.87</v>
      </c>
      <c r="F5524" s="709">
        <v>0.6649305555555556</v>
      </c>
      <c r="G5524" s="195" t="s">
        <v>453</v>
      </c>
      <c r="H5524" s="710">
        <v>49.04</v>
      </c>
      <c r="I5524" s="256"/>
      <c r="J5524" s="67">
        <f t="shared" si="346"/>
        <v>-68749.04</v>
      </c>
      <c r="L5524" s="70"/>
      <c r="M5524" s="934"/>
      <c r="N5524" s="94"/>
      <c r="O5524" s="94"/>
      <c r="P5524" s="94"/>
      <c r="Q5524" s="94"/>
      <c r="R5524" s="94"/>
      <c r="S5524" s="94"/>
      <c r="T5524" s="94"/>
      <c r="U5524" s="94"/>
      <c r="V5524" s="94"/>
      <c r="W5524" s="94"/>
      <c r="X5524" s="94"/>
      <c r="Y5524" s="94"/>
      <c r="Z5524" s="94"/>
      <c r="AA5524" s="94"/>
      <c r="AB5524" s="94"/>
      <c r="AC5524" s="94"/>
      <c r="AD5524" s="94"/>
      <c r="AE5524" s="94"/>
      <c r="AF5524" s="94"/>
      <c r="AG5524" s="94"/>
      <c r="AH5524" s="94"/>
    </row>
    <row r="5525" ht="12.75" hidden="1" customHeight="1" outlineLevel="1">
      <c r="A5525" s="122">
        <v>42011.0</v>
      </c>
      <c r="B5525" s="32" t="s">
        <v>343</v>
      </c>
      <c r="C5525" s="32" t="s">
        <v>784</v>
      </c>
      <c r="D5525" s="708">
        <v>10000.0</v>
      </c>
      <c r="E5525" s="195">
        <v>8.35</v>
      </c>
      <c r="F5525" s="709">
        <v>0.6758217592592592</v>
      </c>
      <c r="G5525" s="195" t="s">
        <v>453</v>
      </c>
      <c r="H5525" s="710">
        <v>50.0</v>
      </c>
      <c r="I5525" s="256"/>
      <c r="J5525" s="67">
        <f t="shared" si="346"/>
        <v>-83550</v>
      </c>
      <c r="L5525" s="70"/>
      <c r="M5525" s="934"/>
      <c r="N5525" s="94"/>
      <c r="O5525" s="94"/>
      <c r="P5525" s="94"/>
      <c r="Q5525" s="94"/>
      <c r="R5525" s="94"/>
      <c r="S5525" s="94"/>
      <c r="T5525" s="94"/>
      <c r="U5525" s="94"/>
      <c r="V5525" s="94"/>
      <c r="W5525" s="94"/>
      <c r="X5525" s="94"/>
      <c r="Y5525" s="94"/>
      <c r="Z5525" s="94"/>
      <c r="AA5525" s="94"/>
      <c r="AB5525" s="94"/>
      <c r="AC5525" s="94"/>
      <c r="AD5525" s="94"/>
      <c r="AE5525" s="94"/>
      <c r="AF5525" s="94"/>
      <c r="AG5525" s="94"/>
      <c r="AH5525" s="94"/>
    </row>
    <row r="5526" ht="12.75" hidden="1" customHeight="1" outlineLevel="1">
      <c r="A5526" s="882">
        <v>42011.0</v>
      </c>
      <c r="B5526" s="1"/>
      <c r="C5526" s="1" t="s">
        <v>339</v>
      </c>
      <c r="D5526" s="74"/>
      <c r="E5526" s="67"/>
      <c r="F5526" s="75"/>
      <c r="G5526" s="67"/>
      <c r="H5526" s="68"/>
      <c r="I5526" s="76"/>
      <c r="J5526" s="67"/>
      <c r="K5526" s="9" t="s">
        <v>2565</v>
      </c>
      <c r="L5526" s="934"/>
      <c r="M5526" s="934"/>
    </row>
    <row r="5527" ht="12.75" hidden="1" customHeight="1" outlineLevel="1">
      <c r="A5527" s="882">
        <v>42011.0</v>
      </c>
      <c r="B5527" s="1"/>
      <c r="C5527" s="1" t="s">
        <v>429</v>
      </c>
      <c r="D5527" s="74"/>
      <c r="E5527" s="67"/>
      <c r="F5527" s="75"/>
      <c r="G5527" s="67"/>
      <c r="H5527" s="68"/>
      <c r="I5527" s="76"/>
      <c r="J5527" s="67"/>
      <c r="K5527" s="9" t="s">
        <v>2492</v>
      </c>
      <c r="L5527" s="934"/>
      <c r="M5527" s="934"/>
    </row>
    <row r="5528" ht="12.75" hidden="1" customHeight="1" outlineLevel="1">
      <c r="A5528" s="882">
        <v>42011.0</v>
      </c>
      <c r="B5528" s="1"/>
      <c r="C5528" s="1" t="s">
        <v>431</v>
      </c>
      <c r="D5528" s="74"/>
      <c r="E5528" s="67"/>
      <c r="F5528" s="75"/>
      <c r="G5528" s="67"/>
      <c r="H5528" s="68"/>
      <c r="I5528" s="76"/>
      <c r="J5528" s="67"/>
      <c r="K5528" s="7" t="s">
        <v>1126</v>
      </c>
      <c r="L5528" s="934"/>
      <c r="M5528" s="934"/>
    </row>
    <row r="5529" ht="12.75" hidden="1" customHeight="1" outlineLevel="1">
      <c r="A5529" s="882">
        <v>42011.0</v>
      </c>
      <c r="B5529" s="1"/>
      <c r="C5529" s="1" t="s">
        <v>433</v>
      </c>
      <c r="D5529" s="74"/>
      <c r="E5529" s="67"/>
      <c r="F5529" s="75"/>
      <c r="G5529" s="67"/>
      <c r="H5529" s="68"/>
      <c r="I5529" s="76"/>
      <c r="J5529" s="67"/>
      <c r="K5529" s="7" t="s">
        <v>1103</v>
      </c>
      <c r="L5529" s="934"/>
      <c r="M5529" s="934"/>
    </row>
    <row r="5530" ht="12.75" hidden="1" customHeight="1" outlineLevel="1">
      <c r="A5530" s="882">
        <v>42011.0</v>
      </c>
      <c r="B5530" s="1"/>
      <c r="C5530" s="1" t="s">
        <v>435</v>
      </c>
      <c r="D5530" s="74"/>
      <c r="E5530" s="67"/>
      <c r="F5530" s="75"/>
      <c r="G5530" s="67"/>
      <c r="H5530" s="68"/>
      <c r="I5530" s="76"/>
      <c r="J5530" s="67"/>
      <c r="K5530" s="9" t="s">
        <v>2486</v>
      </c>
      <c r="L5530" s="934"/>
      <c r="M5530" s="934"/>
    </row>
    <row r="5531" ht="12.75" hidden="1" customHeight="1" outlineLevel="1">
      <c r="A5531" s="122">
        <v>42012.0</v>
      </c>
      <c r="B5531" s="32" t="s">
        <v>343</v>
      </c>
      <c r="C5531" s="32" t="s">
        <v>1844</v>
      </c>
      <c r="D5531" s="708">
        <v>300.0</v>
      </c>
      <c r="E5531" s="195">
        <v>35.032</v>
      </c>
      <c r="F5531" s="709">
        <v>0.4619212962962963</v>
      </c>
      <c r="G5531" s="195" t="s">
        <v>453</v>
      </c>
      <c r="H5531" s="710">
        <v>1.5</v>
      </c>
      <c r="I5531" s="256"/>
      <c r="J5531" s="67">
        <f t="shared" ref="J5531:J5542" si="347">IF(B5531="SLD",D5531*E5531,-D5531*E5531)-H5531</f>
        <v>-10511.1</v>
      </c>
      <c r="L5531" s="70"/>
      <c r="M5531" s="934"/>
      <c r="N5531" s="94"/>
      <c r="O5531" s="94"/>
      <c r="P5531" s="94"/>
      <c r="Q5531" s="94"/>
      <c r="R5531" s="94"/>
      <c r="S5531" s="94"/>
      <c r="T5531" s="94"/>
      <c r="U5531" s="94"/>
      <c r="V5531" s="94"/>
      <c r="W5531" s="94"/>
      <c r="X5531" s="94"/>
      <c r="Y5531" s="94"/>
      <c r="Z5531" s="94"/>
      <c r="AA5531" s="94"/>
      <c r="AB5531" s="94"/>
      <c r="AC5531" s="94"/>
      <c r="AD5531" s="94"/>
      <c r="AE5531" s="94"/>
      <c r="AF5531" s="94"/>
      <c r="AG5531" s="94"/>
      <c r="AH5531" s="94"/>
    </row>
    <row r="5532" ht="12.75" hidden="1" customHeight="1" outlineLevel="1">
      <c r="A5532" s="122">
        <v>42012.0</v>
      </c>
      <c r="B5532" s="32" t="s">
        <v>343</v>
      </c>
      <c r="C5532" s="32" t="s">
        <v>1844</v>
      </c>
      <c r="D5532" s="708">
        <v>600.0</v>
      </c>
      <c r="E5532" s="195">
        <v>34.887</v>
      </c>
      <c r="F5532" s="709">
        <v>0.4207986111111111</v>
      </c>
      <c r="G5532" s="195" t="s">
        <v>453</v>
      </c>
      <c r="H5532" s="710">
        <v>2.4</v>
      </c>
      <c r="I5532" s="256"/>
      <c r="J5532" s="67">
        <f t="shared" si="347"/>
        <v>-20934.6</v>
      </c>
      <c r="L5532" s="70"/>
      <c r="M5532" s="934"/>
      <c r="N5532" s="94"/>
      <c r="O5532" s="94"/>
      <c r="P5532" s="94"/>
      <c r="Q5532" s="94"/>
      <c r="R5532" s="94"/>
      <c r="S5532" s="94"/>
      <c r="T5532" s="94"/>
      <c r="U5532" s="94"/>
      <c r="V5532" s="94"/>
      <c r="W5532" s="94"/>
      <c r="X5532" s="94"/>
      <c r="Y5532" s="94"/>
      <c r="Z5532" s="94"/>
      <c r="AA5532" s="94"/>
      <c r="AB5532" s="94"/>
      <c r="AC5532" s="94"/>
      <c r="AD5532" s="94"/>
      <c r="AE5532" s="94"/>
      <c r="AF5532" s="94"/>
      <c r="AG5532" s="94"/>
      <c r="AH5532" s="94"/>
    </row>
    <row r="5533" ht="12.75" hidden="1" customHeight="1" outlineLevel="1">
      <c r="A5533" s="122">
        <v>42012.0</v>
      </c>
      <c r="B5533" s="32" t="s">
        <v>343</v>
      </c>
      <c r="C5533" s="32" t="s">
        <v>2048</v>
      </c>
      <c r="D5533" s="708">
        <v>700.0</v>
      </c>
      <c r="E5533" s="195">
        <v>10.49</v>
      </c>
      <c r="F5533" s="709">
        <v>0.48606481481481484</v>
      </c>
      <c r="G5533" s="195" t="s">
        <v>453</v>
      </c>
      <c r="H5533" s="710">
        <v>3.3</v>
      </c>
      <c r="I5533" s="256"/>
      <c r="J5533" s="67">
        <f t="shared" si="347"/>
        <v>-7346.3</v>
      </c>
      <c r="L5533" s="70"/>
      <c r="M5533" s="934"/>
      <c r="N5533" s="94"/>
      <c r="O5533" s="94"/>
      <c r="P5533" s="94"/>
      <c r="Q5533" s="94"/>
      <c r="R5533" s="94"/>
      <c r="S5533" s="94"/>
      <c r="T5533" s="94"/>
      <c r="U5533" s="94"/>
      <c r="V5533" s="94"/>
      <c r="W5533" s="94"/>
      <c r="X5533" s="94"/>
      <c r="Y5533" s="94"/>
      <c r="Z5533" s="94"/>
      <c r="AA5533" s="94"/>
      <c r="AB5533" s="94"/>
      <c r="AC5533" s="94"/>
      <c r="AD5533" s="94"/>
      <c r="AE5533" s="94"/>
      <c r="AF5533" s="94"/>
      <c r="AG5533" s="94"/>
      <c r="AH5533" s="94"/>
    </row>
    <row r="5534" ht="12.75" hidden="1" customHeight="1" outlineLevel="1">
      <c r="A5534" s="122">
        <v>42012.0</v>
      </c>
      <c r="B5534" s="32" t="s">
        <v>343</v>
      </c>
      <c r="C5534" s="32" t="s">
        <v>2192</v>
      </c>
      <c r="D5534" s="708">
        <v>700.0</v>
      </c>
      <c r="E5534" s="195">
        <v>11.1</v>
      </c>
      <c r="F5534" s="709">
        <v>0.4621527777777778</v>
      </c>
      <c r="G5534" s="195" t="s">
        <v>453</v>
      </c>
      <c r="H5534" s="710">
        <v>3.4</v>
      </c>
      <c r="I5534" s="256"/>
      <c r="J5534" s="67">
        <f t="shared" si="347"/>
        <v>-7773.4</v>
      </c>
      <c r="L5534" s="70"/>
      <c r="M5534" s="934"/>
      <c r="N5534" s="94"/>
      <c r="O5534" s="94"/>
      <c r="P5534" s="94"/>
      <c r="Q5534" s="94"/>
      <c r="R5534" s="94"/>
      <c r="S5534" s="94"/>
      <c r="T5534" s="94"/>
      <c r="U5534" s="94"/>
      <c r="V5534" s="94"/>
      <c r="W5534" s="94"/>
      <c r="X5534" s="94"/>
      <c r="Y5534" s="94"/>
      <c r="Z5534" s="94"/>
      <c r="AA5534" s="94"/>
      <c r="AB5534" s="94"/>
      <c r="AC5534" s="94"/>
      <c r="AD5534" s="94"/>
      <c r="AE5534" s="94"/>
      <c r="AF5534" s="94"/>
      <c r="AG5534" s="94"/>
      <c r="AH5534" s="94"/>
    </row>
    <row r="5535" ht="12.75" hidden="1" customHeight="1" outlineLevel="1">
      <c r="A5535" s="122">
        <v>42012.0</v>
      </c>
      <c r="B5535" s="32" t="s">
        <v>343</v>
      </c>
      <c r="C5535" s="32" t="s">
        <v>369</v>
      </c>
      <c r="D5535" s="708">
        <v>1500.0</v>
      </c>
      <c r="E5535" s="195">
        <v>7.188</v>
      </c>
      <c r="F5535" s="709">
        <v>0.4602662037037037</v>
      </c>
      <c r="G5535" s="195" t="s">
        <v>453</v>
      </c>
      <c r="H5535" s="710">
        <v>6.0</v>
      </c>
      <c r="I5535" s="256"/>
      <c r="J5535" s="67">
        <f t="shared" si="347"/>
        <v>-10788</v>
      </c>
      <c r="L5535" s="70"/>
      <c r="M5535" s="934"/>
      <c r="N5535" s="94"/>
      <c r="O5535" s="94"/>
      <c r="P5535" s="94"/>
      <c r="Q5535" s="94"/>
      <c r="R5535" s="94"/>
      <c r="S5535" s="94"/>
      <c r="T5535" s="94"/>
      <c r="U5535" s="94"/>
      <c r="V5535" s="94"/>
      <c r="W5535" s="94"/>
      <c r="X5535" s="94"/>
      <c r="Y5535" s="94"/>
      <c r="Z5535" s="94"/>
      <c r="AA5535" s="94"/>
      <c r="AB5535" s="94"/>
      <c r="AC5535" s="94"/>
      <c r="AD5535" s="94"/>
      <c r="AE5535" s="94"/>
      <c r="AF5535" s="94"/>
      <c r="AG5535" s="94"/>
      <c r="AH5535" s="94"/>
    </row>
    <row r="5536" ht="12.75" hidden="1" customHeight="1" outlineLevel="1">
      <c r="A5536" s="122">
        <v>42012.0</v>
      </c>
      <c r="B5536" s="32" t="s">
        <v>343</v>
      </c>
      <c r="C5536" s="32" t="s">
        <v>790</v>
      </c>
      <c r="D5536" s="708">
        <v>1500.0</v>
      </c>
      <c r="E5536" s="195">
        <v>6.849</v>
      </c>
      <c r="F5536" s="709">
        <v>0.45819444444444446</v>
      </c>
      <c r="G5536" s="195" t="s">
        <v>453</v>
      </c>
      <c r="H5536" s="710">
        <v>6.0</v>
      </c>
      <c r="I5536" s="256"/>
      <c r="J5536" s="67">
        <f t="shared" si="347"/>
        <v>-10279.5</v>
      </c>
      <c r="L5536" s="70"/>
      <c r="M5536" s="934"/>
      <c r="N5536" s="94"/>
      <c r="O5536" s="94"/>
      <c r="P5536" s="94"/>
      <c r="Q5536" s="94"/>
      <c r="R5536" s="94"/>
      <c r="S5536" s="94"/>
      <c r="T5536" s="94"/>
      <c r="U5536" s="94"/>
      <c r="V5536" s="94"/>
      <c r="W5536" s="94"/>
      <c r="X5536" s="94"/>
      <c r="Y5536" s="94"/>
      <c r="Z5536" s="94"/>
      <c r="AA5536" s="94"/>
      <c r="AB5536" s="94"/>
      <c r="AC5536" s="94"/>
      <c r="AD5536" s="94"/>
      <c r="AE5536" s="94"/>
      <c r="AF5536" s="94"/>
      <c r="AG5536" s="94"/>
      <c r="AH5536" s="94"/>
    </row>
    <row r="5537" ht="12.75" hidden="1" customHeight="1" outlineLevel="1">
      <c r="A5537" s="122">
        <v>42012.0</v>
      </c>
      <c r="B5537" s="32" t="s">
        <v>343</v>
      </c>
      <c r="C5537" s="32" t="s">
        <v>784</v>
      </c>
      <c r="D5537" s="708">
        <v>1500.0</v>
      </c>
      <c r="E5537" s="195">
        <v>8.519</v>
      </c>
      <c r="F5537" s="709">
        <v>0.46065972222222223</v>
      </c>
      <c r="G5537" s="195" t="s">
        <v>453</v>
      </c>
      <c r="H5537" s="710">
        <v>6.0</v>
      </c>
      <c r="I5537" s="256"/>
      <c r="J5537" s="67">
        <f t="shared" si="347"/>
        <v>-12784.5</v>
      </c>
      <c r="L5537" s="70"/>
      <c r="M5537" s="934"/>
      <c r="N5537" s="94"/>
      <c r="O5537" s="94"/>
      <c r="P5537" s="94"/>
      <c r="Q5537" s="94"/>
      <c r="R5537" s="94"/>
      <c r="S5537" s="94"/>
      <c r="T5537" s="94"/>
      <c r="U5537" s="94"/>
      <c r="V5537" s="94"/>
      <c r="W5537" s="94"/>
      <c r="X5537" s="94"/>
      <c r="Y5537" s="94"/>
      <c r="Z5537" s="94"/>
      <c r="AA5537" s="94"/>
      <c r="AB5537" s="94"/>
      <c r="AC5537" s="94"/>
      <c r="AD5537" s="94"/>
      <c r="AE5537" s="94"/>
      <c r="AF5537" s="94"/>
      <c r="AG5537" s="94"/>
      <c r="AH5537" s="94"/>
    </row>
    <row r="5538" ht="12.75" hidden="1" customHeight="1" outlineLevel="1">
      <c r="A5538" s="122">
        <v>42012.0</v>
      </c>
      <c r="B5538" s="32" t="s">
        <v>343</v>
      </c>
      <c r="C5538" s="32" t="s">
        <v>2048</v>
      </c>
      <c r="D5538" s="708">
        <v>2000.0</v>
      </c>
      <c r="E5538" s="195">
        <v>10.614</v>
      </c>
      <c r="F5538" s="709">
        <v>0.4212384259259259</v>
      </c>
      <c r="G5538" s="195" t="s">
        <v>453</v>
      </c>
      <c r="H5538" s="710">
        <v>10.0</v>
      </c>
      <c r="I5538" s="256"/>
      <c r="J5538" s="67">
        <f t="shared" si="347"/>
        <v>-21238</v>
      </c>
      <c r="L5538" s="70"/>
      <c r="M5538" s="934"/>
      <c r="N5538" s="94"/>
      <c r="O5538" s="94"/>
      <c r="P5538" s="94"/>
      <c r="Q5538" s="94"/>
      <c r="R5538" s="94"/>
      <c r="S5538" s="94"/>
      <c r="T5538" s="94"/>
      <c r="U5538" s="94"/>
      <c r="V5538" s="94"/>
      <c r="W5538" s="94"/>
      <c r="X5538" s="94"/>
      <c r="Y5538" s="94"/>
      <c r="Z5538" s="94"/>
      <c r="AA5538" s="94"/>
      <c r="AB5538" s="94"/>
      <c r="AC5538" s="94"/>
      <c r="AD5538" s="94"/>
      <c r="AE5538" s="94"/>
      <c r="AF5538" s="94"/>
      <c r="AG5538" s="94"/>
      <c r="AH5538" s="94"/>
    </row>
    <row r="5539" ht="12.75" hidden="1" customHeight="1" outlineLevel="1">
      <c r="A5539" s="122">
        <v>42012.0</v>
      </c>
      <c r="B5539" s="32" t="s">
        <v>343</v>
      </c>
      <c r="C5539" s="32" t="s">
        <v>2192</v>
      </c>
      <c r="D5539" s="708">
        <v>2000.0</v>
      </c>
      <c r="E5539" s="195">
        <v>11.019</v>
      </c>
      <c r="F5539" s="709">
        <v>0.42104166666666665</v>
      </c>
      <c r="G5539" s="195" t="s">
        <v>453</v>
      </c>
      <c r="H5539" s="710">
        <v>8.0</v>
      </c>
      <c r="I5539" s="256"/>
      <c r="J5539" s="67">
        <f t="shared" si="347"/>
        <v>-22046</v>
      </c>
      <c r="L5539" s="70"/>
      <c r="M5539" s="934"/>
      <c r="N5539" s="94"/>
      <c r="O5539" s="94"/>
      <c r="P5539" s="94"/>
      <c r="Q5539" s="94"/>
      <c r="R5539" s="94"/>
      <c r="S5539" s="94"/>
      <c r="T5539" s="94"/>
      <c r="U5539" s="94"/>
      <c r="V5539" s="94"/>
      <c r="W5539" s="94"/>
      <c r="X5539" s="94"/>
      <c r="Y5539" s="94"/>
      <c r="Z5539" s="94"/>
      <c r="AA5539" s="94"/>
      <c r="AB5539" s="94"/>
      <c r="AC5539" s="94"/>
      <c r="AD5539" s="94"/>
      <c r="AE5539" s="94"/>
      <c r="AF5539" s="94"/>
      <c r="AG5539" s="94"/>
      <c r="AH5539" s="94"/>
    </row>
    <row r="5540" ht="12.75" hidden="1" customHeight="1" outlineLevel="1">
      <c r="A5540" s="122">
        <v>42012.0</v>
      </c>
      <c r="B5540" s="32" t="s">
        <v>343</v>
      </c>
      <c r="C5540" s="32" t="s">
        <v>790</v>
      </c>
      <c r="D5540" s="708">
        <v>10000.0</v>
      </c>
      <c r="E5540" s="195">
        <v>6.684</v>
      </c>
      <c r="F5540" s="709">
        <v>0.42028935185185184</v>
      </c>
      <c r="G5540" s="195" t="s">
        <v>453</v>
      </c>
      <c r="H5540" s="710">
        <v>50.0</v>
      </c>
      <c r="I5540" s="256"/>
      <c r="J5540" s="67">
        <f t="shared" si="347"/>
        <v>-66890</v>
      </c>
      <c r="L5540" s="70"/>
      <c r="M5540" s="934"/>
      <c r="N5540" s="94"/>
      <c r="O5540" s="94"/>
      <c r="P5540" s="94"/>
      <c r="Q5540" s="94"/>
      <c r="R5540" s="94"/>
      <c r="S5540" s="94"/>
      <c r="T5540" s="94"/>
      <c r="U5540" s="94"/>
      <c r="V5540" s="94"/>
      <c r="W5540" s="94"/>
      <c r="X5540" s="94"/>
      <c r="Y5540" s="94"/>
      <c r="Z5540" s="94"/>
      <c r="AA5540" s="94"/>
      <c r="AB5540" s="94"/>
      <c r="AC5540" s="94"/>
      <c r="AD5540" s="94"/>
      <c r="AE5540" s="94"/>
      <c r="AF5540" s="94"/>
      <c r="AG5540" s="94"/>
      <c r="AH5540" s="94"/>
    </row>
    <row r="5541" ht="12.75" hidden="1" customHeight="1" outlineLevel="1">
      <c r="A5541" s="122">
        <v>42012.0</v>
      </c>
      <c r="B5541" s="32" t="s">
        <v>347</v>
      </c>
      <c r="C5541" s="32" t="s">
        <v>344</v>
      </c>
      <c r="D5541" s="708">
        <v>200.0</v>
      </c>
      <c r="E5541" s="195">
        <v>54.01</v>
      </c>
      <c r="F5541" s="709">
        <v>0.5681944444444444</v>
      </c>
      <c r="G5541" s="195" t="s">
        <v>453</v>
      </c>
      <c r="H5541" s="710">
        <v>1.24</v>
      </c>
      <c r="I5541" s="256"/>
      <c r="J5541" s="67">
        <f t="shared" si="347"/>
        <v>10800.76</v>
      </c>
      <c r="L5541" s="70"/>
      <c r="M5541" s="934"/>
      <c r="N5541" s="94"/>
      <c r="O5541" s="94"/>
      <c r="P5541" s="94"/>
      <c r="Q5541" s="94"/>
      <c r="R5541" s="94"/>
      <c r="S5541" s="94"/>
      <c r="T5541" s="94"/>
      <c r="U5541" s="94"/>
      <c r="V5541" s="94"/>
      <c r="W5541" s="94"/>
      <c r="X5541" s="94"/>
      <c r="Y5541" s="94"/>
      <c r="Z5541" s="94"/>
      <c r="AA5541" s="94"/>
      <c r="AB5541" s="94"/>
      <c r="AC5541" s="94"/>
      <c r="AD5541" s="94"/>
      <c r="AE5541" s="94"/>
      <c r="AF5541" s="94"/>
      <c r="AG5541" s="94"/>
      <c r="AH5541" s="94"/>
    </row>
    <row r="5542" ht="12.75" hidden="1" customHeight="1" outlineLevel="1">
      <c r="A5542" s="122">
        <v>42012.0</v>
      </c>
      <c r="B5542" s="32" t="s">
        <v>347</v>
      </c>
      <c r="C5542" s="32" t="s">
        <v>2377</v>
      </c>
      <c r="D5542" s="708">
        <v>700.0</v>
      </c>
      <c r="E5542" s="195">
        <v>46.959</v>
      </c>
      <c r="F5542" s="709">
        <v>0.566400462962963</v>
      </c>
      <c r="G5542" s="195" t="s">
        <v>453</v>
      </c>
      <c r="H5542" s="710">
        <v>4.23</v>
      </c>
      <c r="I5542" s="256"/>
      <c r="J5542" s="67">
        <f t="shared" si="347"/>
        <v>32867.07</v>
      </c>
      <c r="L5542" s="70"/>
      <c r="M5542" s="934"/>
      <c r="N5542" s="94"/>
      <c r="O5542" s="94"/>
      <c r="P5542" s="94"/>
      <c r="Q5542" s="94"/>
      <c r="R5542" s="94"/>
      <c r="S5542" s="94"/>
      <c r="T5542" s="94"/>
      <c r="U5542" s="94"/>
      <c r="V5542" s="94"/>
      <c r="W5542" s="94"/>
      <c r="X5542" s="94"/>
      <c r="Y5542" s="94"/>
      <c r="Z5542" s="94"/>
      <c r="AA5542" s="94"/>
      <c r="AB5542" s="94"/>
      <c r="AC5542" s="94"/>
      <c r="AD5542" s="94"/>
      <c r="AE5542" s="94"/>
      <c r="AF5542" s="94"/>
      <c r="AG5542" s="94"/>
      <c r="AH5542" s="94"/>
    </row>
    <row r="5543" ht="12.75" hidden="1" customHeight="1" outlineLevel="1">
      <c r="A5543" s="882">
        <v>42012.0</v>
      </c>
      <c r="B5543" s="1"/>
      <c r="C5543" s="1" t="s">
        <v>339</v>
      </c>
      <c r="D5543" s="74"/>
      <c r="E5543" s="67"/>
      <c r="F5543" s="75"/>
      <c r="G5543" s="67"/>
      <c r="H5543" s="68"/>
      <c r="I5543" s="76"/>
      <c r="J5543" s="67"/>
      <c r="K5543" s="9" t="s">
        <v>2572</v>
      </c>
      <c r="L5543" s="934"/>
      <c r="M5543" s="934"/>
    </row>
    <row r="5544" ht="12.75" hidden="1" customHeight="1" outlineLevel="1">
      <c r="A5544" s="882">
        <v>42012.0</v>
      </c>
      <c r="B5544" s="1"/>
      <c r="C5544" s="1" t="s">
        <v>429</v>
      </c>
      <c r="D5544" s="74"/>
      <c r="E5544" s="67"/>
      <c r="F5544" s="75"/>
      <c r="G5544" s="67"/>
      <c r="H5544" s="68"/>
      <c r="I5544" s="76"/>
      <c r="J5544" s="67"/>
      <c r="K5544" s="9" t="s">
        <v>2492</v>
      </c>
      <c r="L5544" s="934"/>
      <c r="M5544" s="934"/>
    </row>
    <row r="5545" ht="12.75" hidden="1" customHeight="1" outlineLevel="1">
      <c r="A5545" s="882">
        <v>42012.0</v>
      </c>
      <c r="B5545" s="1"/>
      <c r="C5545" s="1" t="s">
        <v>431</v>
      </c>
      <c r="D5545" s="74"/>
      <c r="E5545" s="67"/>
      <c r="F5545" s="75"/>
      <c r="G5545" s="67"/>
      <c r="H5545" s="68"/>
      <c r="I5545" s="76"/>
      <c r="J5545" s="67"/>
      <c r="K5545" s="7" t="s">
        <v>1126</v>
      </c>
      <c r="L5545" s="934"/>
      <c r="M5545" s="934"/>
    </row>
    <row r="5546" ht="12.75" hidden="1" customHeight="1" outlineLevel="1">
      <c r="A5546" s="882">
        <v>42012.0</v>
      </c>
      <c r="B5546" s="1"/>
      <c r="C5546" s="1" t="s">
        <v>433</v>
      </c>
      <c r="D5546" s="74"/>
      <c r="E5546" s="67"/>
      <c r="F5546" s="75"/>
      <c r="G5546" s="67"/>
      <c r="H5546" s="68"/>
      <c r="I5546" s="76"/>
      <c r="J5546" s="67"/>
      <c r="K5546" s="7" t="s">
        <v>1103</v>
      </c>
      <c r="L5546" s="934"/>
      <c r="M5546" s="934"/>
    </row>
    <row r="5547" ht="12.75" hidden="1" customHeight="1" outlineLevel="1">
      <c r="A5547" s="882">
        <v>42012.0</v>
      </c>
      <c r="B5547" s="1"/>
      <c r="C5547" s="1" t="s">
        <v>435</v>
      </c>
      <c r="D5547" s="74"/>
      <c r="E5547" s="67"/>
      <c r="F5547" s="75"/>
      <c r="G5547" s="67"/>
      <c r="H5547" s="68"/>
      <c r="I5547" s="76"/>
      <c r="J5547" s="67"/>
      <c r="K5547" s="9" t="s">
        <v>2486</v>
      </c>
      <c r="L5547" s="934"/>
      <c r="M5547" s="934"/>
    </row>
    <row r="5548" ht="12.75" hidden="1" customHeight="1" outlineLevel="1">
      <c r="A5548" s="122">
        <v>42013.0</v>
      </c>
      <c r="B5548" s="32" t="s">
        <v>343</v>
      </c>
      <c r="C5548" s="32" t="s">
        <v>1844</v>
      </c>
      <c r="D5548" s="708">
        <v>1100.0</v>
      </c>
      <c r="E5548" s="195">
        <v>36.62</v>
      </c>
      <c r="F5548" s="709">
        <v>0.6339467592592593</v>
      </c>
      <c r="G5548" s="195" t="s">
        <v>453</v>
      </c>
      <c r="H5548" s="710">
        <v>5.5</v>
      </c>
      <c r="I5548" s="256"/>
      <c r="J5548" s="67">
        <f t="shared" ref="J5548:J5562" si="348">IF(B5548="SLD",D5548*E5548,-D5548*E5548)-H5548</f>
        <v>-40287.5</v>
      </c>
      <c r="L5548" s="70"/>
      <c r="M5548" s="934"/>
      <c r="N5548" s="94"/>
      <c r="O5548" s="94"/>
      <c r="P5548" s="94"/>
      <c r="Q5548" s="94"/>
      <c r="R5548" s="94"/>
      <c r="S5548" s="94"/>
      <c r="T5548" s="94"/>
      <c r="U5548" s="94"/>
      <c r="V5548" s="94"/>
      <c r="W5548" s="94"/>
      <c r="X5548" s="94"/>
      <c r="Y5548" s="94"/>
      <c r="Z5548" s="94"/>
      <c r="AA5548" s="94"/>
      <c r="AB5548" s="94"/>
      <c r="AC5548" s="94"/>
      <c r="AD5548" s="94"/>
      <c r="AE5548" s="94"/>
      <c r="AF5548" s="94"/>
      <c r="AG5548" s="94"/>
      <c r="AH5548" s="94"/>
    </row>
    <row r="5549" ht="12.75" hidden="1" customHeight="1" outlineLevel="1">
      <c r="A5549" s="122">
        <v>42013.0</v>
      </c>
      <c r="B5549" s="32" t="s">
        <v>343</v>
      </c>
      <c r="C5549" s="32" t="s">
        <v>790</v>
      </c>
      <c r="D5549" s="708">
        <v>5500.0</v>
      </c>
      <c r="E5549" s="195">
        <v>7.18</v>
      </c>
      <c r="F5549" s="709">
        <v>0.6335416666666667</v>
      </c>
      <c r="G5549" s="195" t="s">
        <v>453</v>
      </c>
      <c r="H5549" s="710">
        <v>27.5</v>
      </c>
      <c r="I5549" s="256"/>
      <c r="J5549" s="67">
        <f t="shared" si="348"/>
        <v>-39517.5</v>
      </c>
      <c r="L5549" s="70"/>
      <c r="M5549" s="934"/>
      <c r="N5549" s="94"/>
      <c r="O5549" s="94"/>
      <c r="P5549" s="94"/>
      <c r="Q5549" s="94"/>
      <c r="R5549" s="94"/>
      <c r="S5549" s="94"/>
      <c r="T5549" s="94"/>
      <c r="U5549" s="94"/>
      <c r="V5549" s="94"/>
      <c r="W5549" s="94"/>
      <c r="X5549" s="94"/>
      <c r="Y5549" s="94"/>
      <c r="Z5549" s="94"/>
      <c r="AA5549" s="94"/>
      <c r="AB5549" s="94"/>
      <c r="AC5549" s="94"/>
      <c r="AD5549" s="94"/>
      <c r="AE5549" s="94"/>
      <c r="AF5549" s="94"/>
      <c r="AG5549" s="94"/>
      <c r="AH5549" s="94"/>
    </row>
    <row r="5550" ht="12.75" hidden="1" customHeight="1" outlineLevel="1">
      <c r="A5550" s="122">
        <v>42013.0</v>
      </c>
      <c r="B5550" s="32" t="s">
        <v>347</v>
      </c>
      <c r="C5550" s="32" t="s">
        <v>1844</v>
      </c>
      <c r="D5550" s="708">
        <v>200.0</v>
      </c>
      <c r="E5550" s="195">
        <v>34.884</v>
      </c>
      <c r="F5550" s="709">
        <v>0.4714236111111111</v>
      </c>
      <c r="G5550" s="195" t="s">
        <v>453</v>
      </c>
      <c r="H5550" s="710">
        <v>1.15</v>
      </c>
      <c r="I5550" s="256"/>
      <c r="J5550" s="67">
        <f t="shared" si="348"/>
        <v>6975.65</v>
      </c>
      <c r="L5550" s="70"/>
      <c r="M5550" s="934"/>
      <c r="N5550" s="94"/>
      <c r="O5550" s="94"/>
      <c r="P5550" s="94"/>
      <c r="Q5550" s="94"/>
      <c r="R5550" s="94"/>
      <c r="S5550" s="94"/>
      <c r="T5550" s="94"/>
      <c r="U5550" s="94"/>
      <c r="V5550" s="94"/>
      <c r="W5550" s="94"/>
      <c r="X5550" s="94"/>
      <c r="Y5550" s="94"/>
      <c r="Z5550" s="94"/>
      <c r="AA5550" s="94"/>
      <c r="AB5550" s="94"/>
      <c r="AC5550" s="94"/>
      <c r="AD5550" s="94"/>
      <c r="AE5550" s="94"/>
      <c r="AF5550" s="94"/>
      <c r="AG5550" s="94"/>
      <c r="AH5550" s="94"/>
    </row>
    <row r="5551" ht="12.75" hidden="1" customHeight="1" outlineLevel="1">
      <c r="A5551" s="122">
        <v>42013.0</v>
      </c>
      <c r="B5551" s="32" t="s">
        <v>347</v>
      </c>
      <c r="C5551" s="32" t="s">
        <v>1844</v>
      </c>
      <c r="D5551" s="708">
        <v>300.0</v>
      </c>
      <c r="E5551" s="195">
        <v>35.1406</v>
      </c>
      <c r="F5551" s="709">
        <v>0.46064814814814814</v>
      </c>
      <c r="G5551" s="195" t="s">
        <v>453</v>
      </c>
      <c r="H5551" s="710">
        <v>1.43</v>
      </c>
      <c r="I5551" s="256"/>
      <c r="J5551" s="67">
        <f t="shared" si="348"/>
        <v>10540.75</v>
      </c>
      <c r="L5551" s="70"/>
      <c r="M5551" s="934"/>
      <c r="N5551" s="94"/>
      <c r="O5551" s="94"/>
      <c r="P5551" s="94"/>
      <c r="Q5551" s="94"/>
      <c r="R5551" s="94"/>
      <c r="S5551" s="94"/>
      <c r="T5551" s="94"/>
      <c r="U5551" s="94"/>
      <c r="V5551" s="94"/>
      <c r="W5551" s="94"/>
      <c r="X5551" s="94"/>
      <c r="Y5551" s="94"/>
      <c r="Z5551" s="94"/>
      <c r="AA5551" s="94"/>
      <c r="AB5551" s="94"/>
      <c r="AC5551" s="94"/>
      <c r="AD5551" s="94"/>
      <c r="AE5551" s="94"/>
      <c r="AF5551" s="94"/>
      <c r="AG5551" s="94"/>
      <c r="AH5551" s="94"/>
    </row>
    <row r="5552" ht="12.75" hidden="1" customHeight="1" outlineLevel="1">
      <c r="A5552" s="122">
        <v>42013.0</v>
      </c>
      <c r="B5552" s="32" t="s">
        <v>347</v>
      </c>
      <c r="C5552" s="32" t="s">
        <v>1844</v>
      </c>
      <c r="D5552" s="708">
        <v>600.0</v>
      </c>
      <c r="E5552" s="195">
        <v>35.34</v>
      </c>
      <c r="F5552" s="709">
        <v>0.43150462962962965</v>
      </c>
      <c r="G5552" s="195" t="s">
        <v>453</v>
      </c>
      <c r="H5552" s="710">
        <v>2.87</v>
      </c>
      <c r="I5552" s="256"/>
      <c r="J5552" s="67">
        <f t="shared" si="348"/>
        <v>21201.13</v>
      </c>
      <c r="L5552" s="70"/>
      <c r="M5552" s="934"/>
      <c r="N5552" s="94"/>
      <c r="O5552" s="94"/>
      <c r="P5552" s="94"/>
      <c r="Q5552" s="94"/>
      <c r="R5552" s="94"/>
      <c r="S5552" s="94"/>
      <c r="T5552" s="94"/>
      <c r="U5552" s="94"/>
      <c r="V5552" s="94"/>
      <c r="W5552" s="94"/>
      <c r="X5552" s="94"/>
      <c r="Y5552" s="94"/>
      <c r="Z5552" s="94"/>
      <c r="AA5552" s="94"/>
      <c r="AB5552" s="94"/>
      <c r="AC5552" s="94"/>
      <c r="AD5552" s="94"/>
      <c r="AE5552" s="94"/>
      <c r="AF5552" s="94"/>
      <c r="AG5552" s="94"/>
      <c r="AH5552" s="94"/>
    </row>
    <row r="5553" ht="12.75" hidden="1" customHeight="1" outlineLevel="1">
      <c r="A5553" s="122">
        <v>42013.0</v>
      </c>
      <c r="B5553" s="32" t="s">
        <v>347</v>
      </c>
      <c r="C5553" s="32" t="s">
        <v>2048</v>
      </c>
      <c r="D5553" s="708">
        <v>600.0</v>
      </c>
      <c r="E5553" s="195">
        <v>10.18</v>
      </c>
      <c r="F5553" s="709">
        <v>0.4469328703703704</v>
      </c>
      <c r="G5553" s="195" t="s">
        <v>453</v>
      </c>
      <c r="H5553" s="710">
        <v>2.63</v>
      </c>
      <c r="I5553" s="256"/>
      <c r="J5553" s="67">
        <f t="shared" si="348"/>
        <v>6105.37</v>
      </c>
      <c r="L5553" s="70"/>
      <c r="M5553" s="934"/>
      <c r="N5553" s="94"/>
      <c r="O5553" s="94"/>
      <c r="P5553" s="94"/>
      <c r="Q5553" s="94"/>
      <c r="R5553" s="94"/>
      <c r="S5553" s="94"/>
      <c r="T5553" s="94"/>
      <c r="U5553" s="94"/>
      <c r="V5553" s="94"/>
      <c r="W5553" s="94"/>
      <c r="X5553" s="94"/>
      <c r="Y5553" s="94"/>
      <c r="Z5553" s="94"/>
      <c r="AA5553" s="94"/>
      <c r="AB5553" s="94"/>
      <c r="AC5553" s="94"/>
      <c r="AD5553" s="94"/>
      <c r="AE5553" s="94"/>
      <c r="AF5553" s="94"/>
      <c r="AG5553" s="94"/>
      <c r="AH5553" s="94"/>
    </row>
    <row r="5554" ht="12.75" hidden="1" customHeight="1" outlineLevel="1">
      <c r="A5554" s="122">
        <v>42013.0</v>
      </c>
      <c r="B5554" s="32" t="s">
        <v>347</v>
      </c>
      <c r="C5554" s="32" t="s">
        <v>2048</v>
      </c>
      <c r="D5554" s="708">
        <v>600.0</v>
      </c>
      <c r="E5554" s="195">
        <v>9.951</v>
      </c>
      <c r="F5554" s="709">
        <v>0.49094907407407407</v>
      </c>
      <c r="G5554" s="195" t="s">
        <v>453</v>
      </c>
      <c r="H5554" s="710">
        <v>2.53</v>
      </c>
      <c r="I5554" s="256"/>
      <c r="J5554" s="67">
        <f t="shared" si="348"/>
        <v>5968.07</v>
      </c>
      <c r="L5554" s="70"/>
      <c r="M5554" s="934"/>
      <c r="N5554" s="94"/>
      <c r="O5554" s="94"/>
      <c r="P5554" s="94"/>
      <c r="Q5554" s="94"/>
      <c r="R5554" s="94"/>
      <c r="S5554" s="94"/>
      <c r="T5554" s="94"/>
      <c r="U5554" s="94"/>
      <c r="V5554" s="94"/>
      <c r="W5554" s="94"/>
      <c r="X5554" s="94"/>
      <c r="Y5554" s="94"/>
      <c r="Z5554" s="94"/>
      <c r="AA5554" s="94"/>
      <c r="AB5554" s="94"/>
      <c r="AC5554" s="94"/>
      <c r="AD5554" s="94"/>
      <c r="AE5554" s="94"/>
      <c r="AF5554" s="94"/>
      <c r="AG5554" s="94"/>
      <c r="AH5554" s="94"/>
    </row>
    <row r="5555" ht="12.75" hidden="1" customHeight="1" outlineLevel="1">
      <c r="A5555" s="122">
        <v>42013.0</v>
      </c>
      <c r="B5555" s="32" t="s">
        <v>347</v>
      </c>
      <c r="C5555" s="32" t="s">
        <v>2192</v>
      </c>
      <c r="D5555" s="708">
        <v>600.0</v>
      </c>
      <c r="E5555" s="195">
        <v>10.791</v>
      </c>
      <c r="F5555" s="709">
        <v>0.44711805555555556</v>
      </c>
      <c r="G5555" s="195" t="s">
        <v>453</v>
      </c>
      <c r="H5555" s="710">
        <v>2.54</v>
      </c>
      <c r="I5555" s="256"/>
      <c r="J5555" s="67">
        <f t="shared" si="348"/>
        <v>6472.06</v>
      </c>
      <c r="L5555" s="70"/>
      <c r="M5555" s="934"/>
      <c r="N5555" s="94"/>
      <c r="O5555" s="94"/>
      <c r="P5555" s="94"/>
      <c r="Q5555" s="94"/>
      <c r="R5555" s="94"/>
      <c r="S5555" s="94"/>
      <c r="T5555" s="94"/>
      <c r="U5555" s="94"/>
      <c r="V5555" s="94"/>
      <c r="W5555" s="94"/>
      <c r="X5555" s="94"/>
      <c r="Y5555" s="94"/>
      <c r="Z5555" s="94"/>
      <c r="AA5555" s="94"/>
      <c r="AB5555" s="94"/>
      <c r="AC5555" s="94"/>
      <c r="AD5555" s="94"/>
      <c r="AE5555" s="94"/>
      <c r="AF5555" s="94"/>
      <c r="AG5555" s="94"/>
      <c r="AH5555" s="94"/>
    </row>
    <row r="5556" ht="12.75" hidden="1" customHeight="1" outlineLevel="1">
      <c r="A5556" s="122">
        <v>42013.0</v>
      </c>
      <c r="B5556" s="32" t="s">
        <v>347</v>
      </c>
      <c r="C5556" s="32" t="s">
        <v>2192</v>
      </c>
      <c r="D5556" s="708">
        <v>600.0</v>
      </c>
      <c r="E5556" s="195">
        <v>10.681</v>
      </c>
      <c r="F5556" s="709">
        <v>0.4911111111111111</v>
      </c>
      <c r="G5556" s="195" t="s">
        <v>453</v>
      </c>
      <c r="H5556" s="710">
        <v>2.54</v>
      </c>
      <c r="I5556" s="256"/>
      <c r="J5556" s="67">
        <f t="shared" si="348"/>
        <v>6406.06</v>
      </c>
      <c r="L5556" s="70"/>
      <c r="M5556" s="934"/>
      <c r="N5556" s="94"/>
      <c r="O5556" s="94"/>
      <c r="P5556" s="94"/>
      <c r="Q5556" s="94"/>
      <c r="R5556" s="94"/>
      <c r="S5556" s="94"/>
      <c r="T5556" s="94"/>
      <c r="U5556" s="94"/>
      <c r="V5556" s="94"/>
      <c r="W5556" s="94"/>
      <c r="X5556" s="94"/>
      <c r="Y5556" s="94"/>
      <c r="Z5556" s="94"/>
      <c r="AA5556" s="94"/>
      <c r="AB5556" s="94"/>
      <c r="AC5556" s="94"/>
      <c r="AD5556" s="94"/>
      <c r="AE5556" s="94"/>
      <c r="AF5556" s="94"/>
      <c r="AG5556" s="94"/>
      <c r="AH5556" s="94"/>
    </row>
    <row r="5557" ht="12.75" hidden="1" customHeight="1" outlineLevel="1">
      <c r="A5557" s="122">
        <v>42013.0</v>
      </c>
      <c r="B5557" s="32" t="s">
        <v>347</v>
      </c>
      <c r="C5557" s="32" t="s">
        <v>369</v>
      </c>
      <c r="D5557" s="708">
        <v>2000.0</v>
      </c>
      <c r="E5557" s="195">
        <v>6.95</v>
      </c>
      <c r="F5557" s="709">
        <v>0.4435300925925926</v>
      </c>
      <c r="G5557" s="195" t="s">
        <v>453</v>
      </c>
      <c r="H5557" s="710">
        <v>8.71</v>
      </c>
      <c r="I5557" s="256"/>
      <c r="J5557" s="67">
        <f t="shared" si="348"/>
        <v>13891.29</v>
      </c>
      <c r="L5557" s="70"/>
      <c r="M5557" s="934"/>
      <c r="N5557" s="94"/>
      <c r="O5557" s="94"/>
      <c r="P5557" s="94"/>
      <c r="Q5557" s="94"/>
      <c r="R5557" s="94"/>
      <c r="S5557" s="94"/>
      <c r="T5557" s="94"/>
      <c r="U5557" s="94"/>
      <c r="V5557" s="94"/>
      <c r="W5557" s="94"/>
      <c r="X5557" s="94"/>
      <c r="Y5557" s="94"/>
      <c r="Z5557" s="94"/>
      <c r="AA5557" s="94"/>
      <c r="AB5557" s="94"/>
      <c r="AC5557" s="94"/>
      <c r="AD5557" s="94"/>
      <c r="AE5557" s="94"/>
      <c r="AF5557" s="94"/>
      <c r="AG5557" s="94"/>
      <c r="AH5557" s="94"/>
    </row>
    <row r="5558" ht="12.75" hidden="1" customHeight="1" outlineLevel="1">
      <c r="A5558" s="122">
        <v>42013.0</v>
      </c>
      <c r="B5558" s="32" t="s">
        <v>347</v>
      </c>
      <c r="C5558" s="32" t="s">
        <v>2048</v>
      </c>
      <c r="D5558" s="708">
        <v>2700.0</v>
      </c>
      <c r="E5558" s="195">
        <v>10.181</v>
      </c>
      <c r="F5558" s="709">
        <v>0.43886574074074075</v>
      </c>
      <c r="G5558" s="195" t="s">
        <v>453</v>
      </c>
      <c r="H5558" s="710">
        <v>12.01</v>
      </c>
      <c r="I5558" s="256"/>
      <c r="J5558" s="67">
        <f t="shared" si="348"/>
        <v>27476.69</v>
      </c>
      <c r="L5558" s="70"/>
      <c r="M5558" s="934"/>
      <c r="N5558" s="94"/>
      <c r="O5558" s="94"/>
      <c r="P5558" s="94"/>
      <c r="Q5558" s="94"/>
      <c r="R5558" s="94"/>
      <c r="S5558" s="94"/>
      <c r="T5558" s="94"/>
      <c r="U5558" s="94"/>
      <c r="V5558" s="94"/>
      <c r="W5558" s="94"/>
      <c r="X5558" s="94"/>
      <c r="Y5558" s="94"/>
      <c r="Z5558" s="94"/>
      <c r="AA5558" s="94"/>
      <c r="AB5558" s="94"/>
      <c r="AC5558" s="94"/>
      <c r="AD5558" s="94"/>
      <c r="AE5558" s="94"/>
      <c r="AF5558" s="94"/>
      <c r="AG5558" s="94"/>
      <c r="AH5558" s="94"/>
    </row>
    <row r="5559" ht="12.75" hidden="1" customHeight="1" outlineLevel="1">
      <c r="A5559" s="122">
        <v>42013.0</v>
      </c>
      <c r="B5559" s="32" t="s">
        <v>347</v>
      </c>
      <c r="C5559" s="32" t="s">
        <v>2192</v>
      </c>
      <c r="D5559" s="708">
        <v>2700.0</v>
      </c>
      <c r="E5559" s="195">
        <v>10.7601</v>
      </c>
      <c r="F5559" s="709">
        <v>0.4386226851851852</v>
      </c>
      <c r="G5559" s="195" t="s">
        <v>453</v>
      </c>
      <c r="H5559" s="710">
        <v>11.44</v>
      </c>
      <c r="I5559" s="256"/>
      <c r="J5559" s="67">
        <f t="shared" si="348"/>
        <v>29040.83</v>
      </c>
      <c r="L5559" s="70"/>
      <c r="M5559" s="934"/>
      <c r="N5559" s="94"/>
      <c r="O5559" s="94"/>
      <c r="P5559" s="94"/>
      <c r="Q5559" s="94"/>
      <c r="R5559" s="94"/>
      <c r="S5559" s="94"/>
      <c r="T5559" s="94"/>
      <c r="U5559" s="94"/>
      <c r="V5559" s="94"/>
      <c r="W5559" s="94"/>
      <c r="X5559" s="94"/>
      <c r="Y5559" s="94"/>
      <c r="Z5559" s="94"/>
      <c r="AA5559" s="94"/>
      <c r="AB5559" s="94"/>
      <c r="AC5559" s="94"/>
      <c r="AD5559" s="94"/>
      <c r="AE5559" s="94"/>
      <c r="AF5559" s="94"/>
      <c r="AG5559" s="94"/>
      <c r="AH5559" s="94"/>
    </row>
    <row r="5560" ht="12.75" hidden="1" customHeight="1" outlineLevel="1">
      <c r="A5560" s="122">
        <v>42013.0</v>
      </c>
      <c r="B5560" s="32" t="s">
        <v>347</v>
      </c>
      <c r="C5560" s="32" t="s">
        <v>369</v>
      </c>
      <c r="D5560" s="708">
        <v>3500.0</v>
      </c>
      <c r="E5560" s="195">
        <v>7.087</v>
      </c>
      <c r="F5560" s="709">
        <v>0.4361226851851852</v>
      </c>
      <c r="G5560" s="195" t="s">
        <v>453</v>
      </c>
      <c r="H5560" s="710">
        <v>18.05</v>
      </c>
      <c r="I5560" s="256"/>
      <c r="J5560" s="67">
        <f t="shared" si="348"/>
        <v>24786.45</v>
      </c>
      <c r="L5560" s="70"/>
      <c r="M5560" s="934"/>
      <c r="N5560" s="94"/>
      <c r="O5560" s="94"/>
      <c r="P5560" s="94"/>
      <c r="Q5560" s="94"/>
      <c r="R5560" s="94"/>
      <c r="S5560" s="94"/>
      <c r="T5560" s="94"/>
      <c r="U5560" s="94"/>
      <c r="V5560" s="94"/>
      <c r="W5560" s="94"/>
      <c r="X5560" s="94"/>
      <c r="Y5560" s="94"/>
      <c r="Z5560" s="94"/>
      <c r="AA5560" s="94"/>
      <c r="AB5560" s="94"/>
      <c r="AC5560" s="94"/>
      <c r="AD5560" s="94"/>
      <c r="AE5560" s="94"/>
      <c r="AF5560" s="94"/>
      <c r="AG5560" s="94"/>
      <c r="AH5560" s="94"/>
    </row>
    <row r="5561" ht="12.75" hidden="1" customHeight="1" outlineLevel="1">
      <c r="A5561" s="122">
        <v>42013.0</v>
      </c>
      <c r="B5561" s="32" t="s">
        <v>347</v>
      </c>
      <c r="C5561" s="32" t="s">
        <v>790</v>
      </c>
      <c r="D5561" s="708">
        <v>5500.0</v>
      </c>
      <c r="E5561" s="195">
        <v>6.7</v>
      </c>
      <c r="F5561" s="709">
        <v>0.47225694444444444</v>
      </c>
      <c r="G5561" s="195" t="s">
        <v>453</v>
      </c>
      <c r="H5561" s="710">
        <v>25.61</v>
      </c>
      <c r="I5561" s="256"/>
      <c r="J5561" s="67">
        <f t="shared" si="348"/>
        <v>36824.39</v>
      </c>
      <c r="L5561" s="70"/>
      <c r="M5561" s="934"/>
      <c r="N5561" s="94"/>
      <c r="O5561" s="94"/>
      <c r="P5561" s="94"/>
      <c r="Q5561" s="94"/>
      <c r="R5561" s="94"/>
      <c r="S5561" s="94"/>
      <c r="T5561" s="94"/>
      <c r="U5561" s="94"/>
      <c r="V5561" s="94"/>
      <c r="W5561" s="94"/>
      <c r="X5561" s="94"/>
      <c r="Y5561" s="94"/>
      <c r="Z5561" s="94"/>
      <c r="AA5561" s="94"/>
      <c r="AB5561" s="94"/>
      <c r="AC5561" s="94"/>
      <c r="AD5561" s="94"/>
      <c r="AE5561" s="94"/>
      <c r="AF5561" s="94"/>
      <c r="AG5561" s="94"/>
      <c r="AH5561" s="94"/>
    </row>
    <row r="5562" ht="12.75" hidden="1" customHeight="1" outlineLevel="1">
      <c r="A5562" s="122">
        <v>42013.0</v>
      </c>
      <c r="B5562" s="32" t="s">
        <v>347</v>
      </c>
      <c r="C5562" s="32" t="s">
        <v>784</v>
      </c>
      <c r="D5562" s="708">
        <v>5500.0</v>
      </c>
      <c r="E5562" s="195">
        <v>8.531</v>
      </c>
      <c r="F5562" s="709">
        <v>0.4577662037037037</v>
      </c>
      <c r="G5562" s="195" t="s">
        <v>453</v>
      </c>
      <c r="H5562" s="710">
        <v>28.54</v>
      </c>
      <c r="I5562" s="256"/>
      <c r="J5562" s="67">
        <f t="shared" si="348"/>
        <v>46891.96</v>
      </c>
      <c r="L5562" s="70"/>
      <c r="M5562" s="934"/>
      <c r="N5562" s="94"/>
      <c r="O5562" s="94"/>
      <c r="P5562" s="94"/>
      <c r="Q5562" s="94"/>
      <c r="R5562" s="94"/>
      <c r="S5562" s="94"/>
      <c r="T5562" s="94"/>
      <c r="U5562" s="94"/>
      <c r="V5562" s="94"/>
      <c r="W5562" s="94"/>
      <c r="X5562" s="94"/>
      <c r="Y5562" s="94"/>
      <c r="Z5562" s="94"/>
      <c r="AA5562" s="94"/>
      <c r="AB5562" s="94"/>
      <c r="AC5562" s="94"/>
      <c r="AD5562" s="94"/>
      <c r="AE5562" s="94"/>
      <c r="AF5562" s="94"/>
      <c r="AG5562" s="94"/>
      <c r="AH5562" s="94"/>
    </row>
    <row r="5563" ht="12.75" hidden="1" customHeight="1" outlineLevel="1">
      <c r="A5563" s="882">
        <v>42013.0</v>
      </c>
      <c r="B5563" s="1"/>
      <c r="C5563" s="1" t="s">
        <v>339</v>
      </c>
      <c r="D5563" s="74"/>
      <c r="E5563" s="67"/>
      <c r="F5563" s="75"/>
      <c r="G5563" s="67"/>
      <c r="H5563" s="68"/>
      <c r="I5563" s="76"/>
      <c r="J5563" s="67"/>
      <c r="K5563" s="9" t="s">
        <v>2579</v>
      </c>
      <c r="L5563" s="934"/>
      <c r="M5563" s="934"/>
    </row>
    <row r="5564" ht="12.75" hidden="1" customHeight="1" outlineLevel="1">
      <c r="A5564" s="882">
        <v>42013.0</v>
      </c>
      <c r="B5564" s="1"/>
      <c r="C5564" s="1" t="s">
        <v>429</v>
      </c>
      <c r="D5564" s="74"/>
      <c r="E5564" s="67"/>
      <c r="F5564" s="75"/>
      <c r="G5564" s="67"/>
      <c r="H5564" s="68"/>
      <c r="I5564" s="76"/>
      <c r="J5564" s="67"/>
      <c r="K5564" s="9" t="s">
        <v>2580</v>
      </c>
      <c r="L5564" s="934"/>
      <c r="M5564" s="934"/>
    </row>
    <row r="5565" ht="12.75" hidden="1" customHeight="1" outlineLevel="1">
      <c r="A5565" s="882">
        <v>42013.0</v>
      </c>
      <c r="B5565" s="1"/>
      <c r="C5565" s="1" t="s">
        <v>431</v>
      </c>
      <c r="D5565" s="74"/>
      <c r="E5565" s="67"/>
      <c r="F5565" s="75"/>
      <c r="G5565" s="67"/>
      <c r="H5565" s="68"/>
      <c r="I5565" s="76"/>
      <c r="J5565" s="67"/>
      <c r="K5565" s="7" t="s">
        <v>1126</v>
      </c>
      <c r="L5565" s="934"/>
      <c r="M5565" s="934"/>
    </row>
    <row r="5566" ht="12.75" hidden="1" customHeight="1" outlineLevel="1">
      <c r="A5566" s="882">
        <v>42013.0</v>
      </c>
      <c r="B5566" s="1"/>
      <c r="C5566" s="1" t="s">
        <v>433</v>
      </c>
      <c r="D5566" s="74"/>
      <c r="E5566" s="67"/>
      <c r="F5566" s="75"/>
      <c r="G5566" s="67"/>
      <c r="H5566" s="68"/>
      <c r="I5566" s="76"/>
      <c r="J5566" s="67"/>
      <c r="K5566" s="7" t="s">
        <v>1103</v>
      </c>
      <c r="L5566" s="934"/>
      <c r="M5566" s="934"/>
    </row>
    <row r="5567" ht="12.75" hidden="1" customHeight="1" outlineLevel="1">
      <c r="A5567" s="882">
        <v>42013.0</v>
      </c>
      <c r="B5567" s="1"/>
      <c r="C5567" s="1" t="s">
        <v>435</v>
      </c>
      <c r="D5567" s="74"/>
      <c r="E5567" s="67"/>
      <c r="F5567" s="75"/>
      <c r="G5567" s="67"/>
      <c r="H5567" s="68"/>
      <c r="I5567" s="76"/>
      <c r="J5567" s="67"/>
      <c r="K5567" s="9" t="s">
        <v>2486</v>
      </c>
      <c r="L5567" s="934"/>
      <c r="M5567" s="934"/>
    </row>
    <row r="5568" ht="12.75" hidden="1" customHeight="1" outlineLevel="1">
      <c r="A5568" s="122">
        <v>42016.0</v>
      </c>
      <c r="B5568" s="32" t="s">
        <v>347</v>
      </c>
      <c r="C5568" s="32" t="s">
        <v>1844</v>
      </c>
      <c r="D5568" s="708">
        <v>1100.0</v>
      </c>
      <c r="E5568" s="195">
        <v>34.751</v>
      </c>
      <c r="F5568" s="709">
        <v>0.40196759259259257</v>
      </c>
      <c r="G5568" s="195" t="s">
        <v>453</v>
      </c>
      <c r="H5568" s="710">
        <v>6.34</v>
      </c>
      <c r="I5568" s="256"/>
      <c r="J5568" s="67">
        <f t="shared" ref="J5568:J5582" si="349">IF(B5568="SLD",D5568*E5568,-D5568*E5568)-H5568</f>
        <v>38219.76</v>
      </c>
      <c r="L5568" s="70"/>
      <c r="M5568" s="934"/>
      <c r="N5568" s="94"/>
      <c r="O5568" s="94"/>
      <c r="P5568" s="94"/>
      <c r="Q5568" s="94"/>
      <c r="R5568" s="94"/>
      <c r="S5568" s="94"/>
      <c r="T5568" s="94"/>
      <c r="U5568" s="94"/>
      <c r="V5568" s="94"/>
      <c r="W5568" s="94"/>
      <c r="X5568" s="94"/>
      <c r="Y5568" s="94"/>
      <c r="Z5568" s="94"/>
      <c r="AA5568" s="94"/>
      <c r="AB5568" s="94"/>
      <c r="AC5568" s="94"/>
      <c r="AD5568" s="94"/>
      <c r="AE5568" s="94"/>
      <c r="AF5568" s="94"/>
      <c r="AG5568" s="94"/>
      <c r="AH5568" s="94"/>
    </row>
    <row r="5569" ht="12.75" hidden="1" customHeight="1" outlineLevel="1">
      <c r="A5569" s="122">
        <v>42016.0</v>
      </c>
      <c r="B5569" s="32" t="s">
        <v>347</v>
      </c>
      <c r="C5569" s="32" t="s">
        <v>790</v>
      </c>
      <c r="D5569" s="708">
        <v>5500.0</v>
      </c>
      <c r="E5569" s="195">
        <v>6.6932</v>
      </c>
      <c r="F5569" s="709">
        <v>0.4021064814814815</v>
      </c>
      <c r="G5569" s="195" t="s">
        <v>453</v>
      </c>
      <c r="H5569" s="710">
        <v>22.81</v>
      </c>
      <c r="I5569" s="256"/>
      <c r="J5569" s="67">
        <f t="shared" si="349"/>
        <v>36789.79</v>
      </c>
      <c r="L5569" s="70"/>
      <c r="M5569" s="934"/>
      <c r="N5569" s="94"/>
      <c r="O5569" s="94"/>
      <c r="P5569" s="94"/>
      <c r="Q5569" s="94"/>
      <c r="R5569" s="94"/>
      <c r="S5569" s="94"/>
      <c r="T5569" s="94"/>
      <c r="U5569" s="94"/>
      <c r="V5569" s="94"/>
      <c r="W5569" s="94"/>
      <c r="X5569" s="94"/>
      <c r="Y5569" s="94"/>
      <c r="Z5569" s="94"/>
      <c r="AA5569" s="94"/>
      <c r="AB5569" s="94"/>
      <c r="AC5569" s="94"/>
      <c r="AD5569" s="94"/>
      <c r="AE5569" s="94"/>
      <c r="AF5569" s="94"/>
      <c r="AG5569" s="94"/>
      <c r="AH5569" s="94"/>
    </row>
    <row r="5570" ht="12.75" hidden="1" customHeight="1" outlineLevel="1">
      <c r="A5570" s="122">
        <v>42016.0</v>
      </c>
      <c r="B5570" s="32" t="s">
        <v>347</v>
      </c>
      <c r="C5570" s="32" t="s">
        <v>2048</v>
      </c>
      <c r="D5570" s="708">
        <v>2000.0</v>
      </c>
      <c r="E5570" s="195">
        <v>9.37</v>
      </c>
      <c r="F5570" s="709">
        <v>0.4502777777777778</v>
      </c>
      <c r="G5570" s="195" t="s">
        <v>453</v>
      </c>
      <c r="H5570" s="710">
        <v>8.41</v>
      </c>
      <c r="I5570" s="256"/>
      <c r="J5570" s="67">
        <f t="shared" si="349"/>
        <v>18731.59</v>
      </c>
      <c r="L5570" s="70"/>
      <c r="M5570" s="934"/>
      <c r="N5570" s="94"/>
      <c r="O5570" s="94"/>
      <c r="P5570" s="94"/>
      <c r="Q5570" s="94"/>
      <c r="R5570" s="94"/>
      <c r="S5570" s="94"/>
      <c r="T5570" s="94"/>
      <c r="U5570" s="94"/>
      <c r="V5570" s="94"/>
      <c r="W5570" s="94"/>
      <c r="X5570" s="94"/>
      <c r="Y5570" s="94"/>
      <c r="Z5570" s="94"/>
      <c r="AA5570" s="94"/>
      <c r="AB5570" s="94"/>
      <c r="AC5570" s="94"/>
      <c r="AD5570" s="94"/>
      <c r="AE5570" s="94"/>
      <c r="AF5570" s="94"/>
      <c r="AG5570" s="94"/>
      <c r="AH5570" s="94"/>
    </row>
    <row r="5571" ht="12.75" hidden="1" customHeight="1" outlineLevel="1">
      <c r="A5571" s="122">
        <v>42016.0</v>
      </c>
      <c r="B5571" s="32" t="s">
        <v>347</v>
      </c>
      <c r="C5571" s="32" t="s">
        <v>790</v>
      </c>
      <c r="D5571" s="708">
        <v>6000.0</v>
      </c>
      <c r="E5571" s="195">
        <v>6.52</v>
      </c>
      <c r="F5571" s="709">
        <v>0.45506944444444447</v>
      </c>
      <c r="G5571" s="195" t="s">
        <v>453</v>
      </c>
      <c r="H5571" s="710">
        <v>27.46</v>
      </c>
      <c r="I5571" s="256"/>
      <c r="J5571" s="67">
        <f t="shared" si="349"/>
        <v>39092.54</v>
      </c>
      <c r="L5571" s="70"/>
      <c r="M5571" s="934"/>
      <c r="N5571" s="94"/>
      <c r="O5571" s="94"/>
      <c r="P5571" s="94"/>
      <c r="Q5571" s="94"/>
      <c r="R5571" s="94"/>
      <c r="S5571" s="94"/>
      <c r="T5571" s="94"/>
      <c r="U5571" s="94"/>
      <c r="V5571" s="94"/>
      <c r="W5571" s="94"/>
      <c r="X5571" s="94"/>
      <c r="Y5571" s="94"/>
      <c r="Z5571" s="94"/>
      <c r="AA5571" s="94"/>
      <c r="AB5571" s="94"/>
      <c r="AC5571" s="94"/>
      <c r="AD5571" s="94"/>
      <c r="AE5571" s="94"/>
      <c r="AF5571" s="94"/>
      <c r="AG5571" s="94"/>
      <c r="AH5571" s="94"/>
    </row>
    <row r="5572" ht="12.75" hidden="1" customHeight="1" outlineLevel="1">
      <c r="A5572" s="122">
        <v>42016.0</v>
      </c>
      <c r="B5572" s="32" t="s">
        <v>347</v>
      </c>
      <c r="C5572" s="32" t="s">
        <v>1844</v>
      </c>
      <c r="D5572" s="708">
        <v>200.0</v>
      </c>
      <c r="E5572" s="195">
        <v>34.1805</v>
      </c>
      <c r="F5572" s="709">
        <v>0.4558564814814815</v>
      </c>
      <c r="G5572" s="195" t="s">
        <v>453</v>
      </c>
      <c r="H5572" s="710">
        <v>1.15</v>
      </c>
      <c r="I5572" s="256"/>
      <c r="J5572" s="67">
        <f t="shared" si="349"/>
        <v>6834.95</v>
      </c>
      <c r="L5572" s="70"/>
      <c r="M5572" s="934"/>
      <c r="N5572" s="94"/>
      <c r="O5572" s="94"/>
      <c r="P5572" s="94"/>
      <c r="Q5572" s="94"/>
      <c r="R5572" s="94"/>
      <c r="S5572" s="94"/>
      <c r="T5572" s="94"/>
      <c r="U5572" s="94"/>
      <c r="V5572" s="94"/>
      <c r="W5572" s="94"/>
      <c r="X5572" s="94"/>
      <c r="Y5572" s="94"/>
      <c r="Z5572" s="94"/>
      <c r="AA5572" s="94"/>
      <c r="AB5572" s="94"/>
      <c r="AC5572" s="94"/>
      <c r="AD5572" s="94"/>
      <c r="AE5572" s="94"/>
      <c r="AF5572" s="94"/>
      <c r="AG5572" s="94"/>
      <c r="AH5572" s="94"/>
    </row>
    <row r="5573" ht="12.75" hidden="1" customHeight="1" outlineLevel="1">
      <c r="A5573" s="122">
        <v>42016.0</v>
      </c>
      <c r="B5573" s="32" t="s">
        <v>347</v>
      </c>
      <c r="C5573" s="32" t="s">
        <v>2192</v>
      </c>
      <c r="D5573" s="708">
        <v>1000.0</v>
      </c>
      <c r="E5573" s="195">
        <v>9.77</v>
      </c>
      <c r="F5573" s="709">
        <v>0.4700925925925926</v>
      </c>
      <c r="G5573" s="195" t="s">
        <v>453</v>
      </c>
      <c r="H5573" s="710">
        <v>5.22</v>
      </c>
      <c r="I5573" s="256"/>
      <c r="J5573" s="67">
        <f t="shared" si="349"/>
        <v>9764.78</v>
      </c>
      <c r="L5573" s="70"/>
      <c r="M5573" s="934"/>
      <c r="N5573" s="94"/>
      <c r="O5573" s="94"/>
      <c r="P5573" s="94"/>
      <c r="Q5573" s="94"/>
      <c r="R5573" s="94"/>
      <c r="S5573" s="94"/>
      <c r="T5573" s="94"/>
      <c r="U5573" s="94"/>
      <c r="V5573" s="94"/>
      <c r="W5573" s="94"/>
      <c r="X5573" s="94"/>
      <c r="Y5573" s="94"/>
      <c r="Z5573" s="94"/>
      <c r="AA5573" s="94"/>
      <c r="AB5573" s="94"/>
      <c r="AC5573" s="94"/>
      <c r="AD5573" s="94"/>
      <c r="AE5573" s="94"/>
      <c r="AF5573" s="94"/>
      <c r="AG5573" s="94"/>
      <c r="AH5573" s="94"/>
    </row>
    <row r="5574" ht="12.75" hidden="1" customHeight="1" outlineLevel="1">
      <c r="A5574" s="122">
        <v>42016.0</v>
      </c>
      <c r="B5574" s="32" t="s">
        <v>343</v>
      </c>
      <c r="C5574" s="32" t="s">
        <v>369</v>
      </c>
      <c r="D5574" s="708">
        <v>5500.0</v>
      </c>
      <c r="E5574" s="195">
        <v>7.548</v>
      </c>
      <c r="F5574" s="709">
        <v>0.5770833333333333</v>
      </c>
      <c r="G5574" s="195" t="s">
        <v>453</v>
      </c>
      <c r="H5574" s="710">
        <v>23.7</v>
      </c>
      <c r="I5574" s="256"/>
      <c r="J5574" s="67">
        <f t="shared" si="349"/>
        <v>-41537.7</v>
      </c>
      <c r="L5574" s="70"/>
      <c r="M5574" s="934"/>
      <c r="N5574" s="94"/>
      <c r="O5574" s="94"/>
      <c r="P5574" s="94"/>
      <c r="Q5574" s="94"/>
      <c r="R5574" s="94"/>
      <c r="S5574" s="94"/>
      <c r="T5574" s="94"/>
      <c r="U5574" s="94"/>
      <c r="V5574" s="94"/>
      <c r="W5574" s="94"/>
      <c r="X5574" s="94"/>
      <c r="Y5574" s="94"/>
      <c r="Z5574" s="94"/>
      <c r="AA5574" s="94"/>
      <c r="AB5574" s="94"/>
      <c r="AC5574" s="94"/>
      <c r="AD5574" s="94"/>
      <c r="AE5574" s="94"/>
      <c r="AF5574" s="94"/>
      <c r="AG5574" s="94"/>
      <c r="AH5574" s="94"/>
    </row>
    <row r="5575" ht="12.75" hidden="1" customHeight="1" outlineLevel="1">
      <c r="A5575" s="122">
        <v>42016.0</v>
      </c>
      <c r="B5575" s="32" t="s">
        <v>343</v>
      </c>
      <c r="C5575" s="32" t="s">
        <v>790</v>
      </c>
      <c r="D5575" s="708">
        <v>11500.0</v>
      </c>
      <c r="E5575" s="195">
        <v>6.59</v>
      </c>
      <c r="F5575" s="709">
        <v>0.5857175925925926</v>
      </c>
      <c r="G5575" s="195" t="s">
        <v>453</v>
      </c>
      <c r="H5575" s="710">
        <v>52.8</v>
      </c>
      <c r="I5575" s="256"/>
      <c r="J5575" s="67">
        <f t="shared" si="349"/>
        <v>-75837.8</v>
      </c>
      <c r="L5575" s="70"/>
      <c r="M5575" s="934"/>
      <c r="N5575" s="94"/>
      <c r="O5575" s="94"/>
      <c r="P5575" s="94"/>
      <c r="Q5575" s="94"/>
      <c r="R5575" s="94"/>
      <c r="S5575" s="94"/>
      <c r="T5575" s="94"/>
      <c r="U5575" s="94"/>
      <c r="V5575" s="94"/>
      <c r="W5575" s="94"/>
      <c r="X5575" s="94"/>
      <c r="Y5575" s="94"/>
      <c r="Z5575" s="94"/>
      <c r="AA5575" s="94"/>
      <c r="AB5575" s="94"/>
      <c r="AC5575" s="94"/>
      <c r="AD5575" s="94"/>
      <c r="AE5575" s="94"/>
      <c r="AF5575" s="94"/>
      <c r="AG5575" s="94"/>
      <c r="AH5575" s="94"/>
    </row>
    <row r="5576" ht="12.75" hidden="1" customHeight="1" outlineLevel="1">
      <c r="A5576" s="122">
        <v>42016.0</v>
      </c>
      <c r="B5576" s="32" t="s">
        <v>347</v>
      </c>
      <c r="C5576" s="32" t="s">
        <v>790</v>
      </c>
      <c r="D5576" s="708">
        <v>11500.0</v>
      </c>
      <c r="E5576" s="195">
        <v>6.533</v>
      </c>
      <c r="F5576" s="709">
        <v>0.6110648148148148</v>
      </c>
      <c r="G5576" s="195" t="s">
        <v>453</v>
      </c>
      <c r="H5576" s="710">
        <v>47.66</v>
      </c>
      <c r="I5576" s="256"/>
      <c r="J5576" s="67">
        <f t="shared" si="349"/>
        <v>75081.84</v>
      </c>
      <c r="L5576" s="70"/>
      <c r="M5576" s="934"/>
      <c r="N5576" s="94"/>
      <c r="O5576" s="94"/>
      <c r="P5576" s="94"/>
      <c r="Q5576" s="94"/>
      <c r="R5576" s="94"/>
      <c r="S5576" s="94"/>
      <c r="T5576" s="94"/>
      <c r="U5576" s="94"/>
      <c r="V5576" s="94"/>
      <c r="W5576" s="94"/>
      <c r="X5576" s="94"/>
      <c r="Y5576" s="94"/>
      <c r="Z5576" s="94"/>
      <c r="AA5576" s="94"/>
      <c r="AB5576" s="94"/>
      <c r="AC5576" s="94"/>
      <c r="AD5576" s="94"/>
      <c r="AE5576" s="94"/>
      <c r="AF5576" s="94"/>
      <c r="AG5576" s="94"/>
      <c r="AH5576" s="94"/>
    </row>
    <row r="5577" ht="12.75" hidden="1" customHeight="1" outlineLevel="1">
      <c r="A5577" s="122">
        <v>42016.0</v>
      </c>
      <c r="B5577" s="32" t="s">
        <v>343</v>
      </c>
      <c r="C5577" s="32" t="s">
        <v>784</v>
      </c>
      <c r="D5577" s="708">
        <v>5500.0</v>
      </c>
      <c r="E5577" s="195">
        <v>8.57</v>
      </c>
      <c r="F5577" s="709">
        <v>0.6545833333333333</v>
      </c>
      <c r="G5577" s="195" t="s">
        <v>453</v>
      </c>
      <c r="H5577" s="710">
        <v>27.3</v>
      </c>
      <c r="I5577" s="256"/>
      <c r="J5577" s="67">
        <f t="shared" si="349"/>
        <v>-47162.3</v>
      </c>
      <c r="L5577" s="70"/>
      <c r="M5577" s="934"/>
      <c r="N5577" s="94"/>
      <c r="O5577" s="94"/>
      <c r="P5577" s="94"/>
      <c r="Q5577" s="94"/>
      <c r="R5577" s="94"/>
      <c r="S5577" s="94"/>
      <c r="T5577" s="94"/>
      <c r="U5577" s="94"/>
      <c r="V5577" s="94"/>
      <c r="W5577" s="94"/>
      <c r="X5577" s="94"/>
      <c r="Y5577" s="94"/>
      <c r="Z5577" s="94"/>
      <c r="AA5577" s="94"/>
      <c r="AB5577" s="94"/>
      <c r="AC5577" s="94"/>
      <c r="AD5577" s="94"/>
      <c r="AE5577" s="94"/>
      <c r="AF5577" s="94"/>
      <c r="AG5577" s="94"/>
      <c r="AH5577" s="94"/>
    </row>
    <row r="5578" ht="12.75" hidden="1" customHeight="1" outlineLevel="1">
      <c r="A5578" s="122">
        <v>42016.0</v>
      </c>
      <c r="B5578" s="32" t="s">
        <v>343</v>
      </c>
      <c r="C5578" s="32" t="s">
        <v>1844</v>
      </c>
      <c r="D5578" s="708">
        <v>1300.0</v>
      </c>
      <c r="E5578" s="195">
        <v>34.779</v>
      </c>
      <c r="F5578" s="709">
        <v>0.6566782407407408</v>
      </c>
      <c r="G5578" s="195" t="s">
        <v>453</v>
      </c>
      <c r="H5578" s="710">
        <v>5.2</v>
      </c>
      <c r="I5578" s="256"/>
      <c r="J5578" s="67">
        <f t="shared" si="349"/>
        <v>-45217.9</v>
      </c>
      <c r="L5578" s="70"/>
      <c r="M5578" s="934"/>
      <c r="N5578" s="94"/>
      <c r="O5578" s="94"/>
      <c r="P5578" s="94"/>
      <c r="Q5578" s="94"/>
      <c r="R5578" s="94"/>
      <c r="S5578" s="94"/>
      <c r="T5578" s="94"/>
      <c r="U5578" s="94"/>
      <c r="V5578" s="94"/>
      <c r="W5578" s="94"/>
      <c r="X5578" s="94"/>
      <c r="Y5578" s="94"/>
      <c r="Z5578" s="94"/>
      <c r="AA5578" s="94"/>
      <c r="AB5578" s="94"/>
      <c r="AC5578" s="94"/>
      <c r="AD5578" s="94"/>
      <c r="AE5578" s="94"/>
      <c r="AF5578" s="94"/>
      <c r="AG5578" s="94"/>
      <c r="AH5578" s="94"/>
    </row>
    <row r="5579" ht="12.75" hidden="1" customHeight="1" outlineLevel="1">
      <c r="A5579" s="122">
        <v>42016.0</v>
      </c>
      <c r="B5579" s="32" t="s">
        <v>343</v>
      </c>
      <c r="C5579" s="32" t="s">
        <v>790</v>
      </c>
      <c r="D5579" s="708">
        <v>11500.0</v>
      </c>
      <c r="E5579" s="195">
        <v>6.55</v>
      </c>
      <c r="F5579" s="709">
        <v>0.6576041666666667</v>
      </c>
      <c r="G5579" s="195" t="s">
        <v>453</v>
      </c>
      <c r="H5579" s="710">
        <v>46.0</v>
      </c>
      <c r="I5579" s="256"/>
      <c r="J5579" s="67">
        <f t="shared" si="349"/>
        <v>-75371</v>
      </c>
      <c r="L5579" s="70"/>
      <c r="M5579" s="934"/>
      <c r="N5579" s="94"/>
      <c r="O5579" s="94"/>
      <c r="P5579" s="94"/>
      <c r="Q5579" s="94"/>
      <c r="R5579" s="94"/>
      <c r="S5579" s="94"/>
      <c r="T5579" s="94"/>
      <c r="U5579" s="94"/>
      <c r="V5579" s="94"/>
      <c r="W5579" s="94"/>
      <c r="X5579" s="94"/>
      <c r="Y5579" s="94"/>
      <c r="Z5579" s="94"/>
      <c r="AA5579" s="94"/>
      <c r="AB5579" s="94"/>
      <c r="AC5579" s="94"/>
      <c r="AD5579" s="94"/>
      <c r="AE5579" s="94"/>
      <c r="AF5579" s="94"/>
      <c r="AG5579" s="94"/>
      <c r="AH5579" s="94"/>
    </row>
    <row r="5580" ht="12.75" hidden="1" customHeight="1" outlineLevel="1">
      <c r="A5580" s="122">
        <v>42016.0</v>
      </c>
      <c r="B5580" s="32" t="s">
        <v>343</v>
      </c>
      <c r="C5580" s="32" t="s">
        <v>2048</v>
      </c>
      <c r="D5580" s="708">
        <v>5200.0</v>
      </c>
      <c r="E5580" s="195">
        <v>9.528</v>
      </c>
      <c r="F5580" s="709">
        <v>0.6615972222222222</v>
      </c>
      <c r="G5580" s="195" t="s">
        <v>453</v>
      </c>
      <c r="H5580" s="710">
        <v>22.0</v>
      </c>
      <c r="I5580" s="256"/>
      <c r="J5580" s="67">
        <f t="shared" si="349"/>
        <v>-49567.6</v>
      </c>
      <c r="L5580" s="70"/>
      <c r="M5580" s="934"/>
      <c r="N5580" s="94"/>
      <c r="O5580" s="94"/>
      <c r="P5580" s="94"/>
      <c r="Q5580" s="94"/>
      <c r="R5580" s="94"/>
      <c r="S5580" s="94"/>
      <c r="T5580" s="94"/>
      <c r="U5580" s="94"/>
      <c r="V5580" s="94"/>
      <c r="W5580" s="94"/>
      <c r="X5580" s="94"/>
      <c r="Y5580" s="94"/>
      <c r="Z5580" s="94"/>
      <c r="AA5580" s="94"/>
      <c r="AB5580" s="94"/>
      <c r="AC5580" s="94"/>
      <c r="AD5580" s="94"/>
      <c r="AE5580" s="94"/>
      <c r="AF5580" s="94"/>
      <c r="AG5580" s="94"/>
      <c r="AH5580" s="94"/>
    </row>
    <row r="5581" ht="12.75" hidden="1" customHeight="1" outlineLevel="1">
      <c r="A5581" s="122">
        <v>42016.0</v>
      </c>
      <c r="B5581" s="32" t="s">
        <v>343</v>
      </c>
      <c r="C5581" s="32" t="s">
        <v>2192</v>
      </c>
      <c r="D5581" s="708">
        <v>4200.0</v>
      </c>
      <c r="E5581" s="195">
        <v>10.06</v>
      </c>
      <c r="F5581" s="709">
        <v>0.6618402777777778</v>
      </c>
      <c r="G5581" s="195" t="s">
        <v>453</v>
      </c>
      <c r="H5581" s="710">
        <v>21.0</v>
      </c>
      <c r="I5581" s="256"/>
      <c r="J5581" s="67">
        <f t="shared" si="349"/>
        <v>-42273</v>
      </c>
      <c r="L5581" s="70"/>
      <c r="M5581" s="934"/>
      <c r="N5581" s="94"/>
      <c r="O5581" s="94"/>
      <c r="P5581" s="94"/>
      <c r="Q5581" s="94"/>
      <c r="R5581" s="94"/>
      <c r="S5581" s="94"/>
      <c r="T5581" s="94"/>
      <c r="U5581" s="94"/>
      <c r="V5581" s="94"/>
      <c r="W5581" s="94"/>
      <c r="X5581" s="94"/>
      <c r="Y5581" s="94"/>
      <c r="Z5581" s="94"/>
      <c r="AA5581" s="94"/>
      <c r="AB5581" s="94"/>
      <c r="AC5581" s="94"/>
      <c r="AD5581" s="94"/>
      <c r="AE5581" s="94"/>
      <c r="AF5581" s="94"/>
      <c r="AG5581" s="94"/>
      <c r="AH5581" s="94"/>
    </row>
    <row r="5582" ht="12.75" hidden="1" customHeight="1" outlineLevel="1">
      <c r="A5582" s="122">
        <v>42016.0</v>
      </c>
      <c r="B5582" s="32" t="s">
        <v>347</v>
      </c>
      <c r="C5582" s="32" t="s">
        <v>1495</v>
      </c>
      <c r="D5582" s="708">
        <v>300.0</v>
      </c>
      <c r="E5582" s="195">
        <v>43.48</v>
      </c>
      <c r="F5582" s="709">
        <v>0.6630208333333333</v>
      </c>
      <c r="G5582" s="195" t="s">
        <v>453</v>
      </c>
      <c r="H5582" s="710">
        <v>1.59</v>
      </c>
      <c r="I5582" s="256"/>
      <c r="J5582" s="67">
        <f t="shared" si="349"/>
        <v>13042.41</v>
      </c>
      <c r="L5582" s="70"/>
      <c r="M5582" s="934"/>
      <c r="N5582" s="94"/>
      <c r="O5582" s="94"/>
      <c r="P5582" s="94"/>
      <c r="Q5582" s="94"/>
      <c r="R5582" s="94"/>
      <c r="S5582" s="94"/>
      <c r="T5582" s="94"/>
      <c r="U5582" s="94"/>
      <c r="V5582" s="94"/>
      <c r="W5582" s="94"/>
      <c r="X5582" s="94"/>
      <c r="Y5582" s="94"/>
      <c r="Z5582" s="94"/>
      <c r="AA5582" s="94"/>
      <c r="AB5582" s="94"/>
      <c r="AC5582" s="94"/>
      <c r="AD5582" s="94"/>
      <c r="AE5582" s="94"/>
      <c r="AF5582" s="94"/>
      <c r="AG5582" s="94"/>
      <c r="AH5582" s="94"/>
    </row>
    <row r="5583" ht="12.75" hidden="1" customHeight="1" outlineLevel="1">
      <c r="A5583" s="882">
        <v>42016.0</v>
      </c>
      <c r="B5583" s="1"/>
      <c r="C5583" s="1" t="s">
        <v>339</v>
      </c>
      <c r="D5583" s="74"/>
      <c r="E5583" s="67"/>
      <c r="F5583" s="75"/>
      <c r="G5583" s="67"/>
      <c r="H5583" s="68"/>
      <c r="I5583" s="76"/>
      <c r="J5583" s="67"/>
      <c r="K5583" s="9" t="s">
        <v>2579</v>
      </c>
      <c r="L5583" s="934"/>
      <c r="M5583" s="934"/>
    </row>
    <row r="5584" ht="12.75" hidden="1" customHeight="1" outlineLevel="1">
      <c r="A5584" s="882">
        <v>42016.0</v>
      </c>
      <c r="B5584" s="1"/>
      <c r="C5584" s="1" t="s">
        <v>429</v>
      </c>
      <c r="D5584" s="74"/>
      <c r="E5584" s="67"/>
      <c r="F5584" s="75"/>
      <c r="G5584" s="67"/>
      <c r="H5584" s="68"/>
      <c r="I5584" s="76"/>
      <c r="J5584" s="67"/>
      <c r="K5584" s="9" t="s">
        <v>2580</v>
      </c>
      <c r="L5584" s="934"/>
      <c r="M5584" s="934"/>
    </row>
    <row r="5585" ht="12.75" hidden="1" customHeight="1" outlineLevel="1">
      <c r="A5585" s="882">
        <v>42016.0</v>
      </c>
      <c r="B5585" s="1"/>
      <c r="C5585" s="1" t="s">
        <v>431</v>
      </c>
      <c r="D5585" s="74"/>
      <c r="E5585" s="67"/>
      <c r="F5585" s="75"/>
      <c r="G5585" s="67"/>
      <c r="H5585" s="68"/>
      <c r="I5585" s="76"/>
      <c r="J5585" s="67"/>
      <c r="K5585" s="7" t="s">
        <v>1126</v>
      </c>
      <c r="L5585" s="934"/>
      <c r="M5585" s="934"/>
    </row>
    <row r="5586" ht="12.75" hidden="1" customHeight="1" outlineLevel="1">
      <c r="A5586" s="882">
        <v>42016.0</v>
      </c>
      <c r="B5586" s="1"/>
      <c r="C5586" s="1" t="s">
        <v>433</v>
      </c>
      <c r="D5586" s="74"/>
      <c r="E5586" s="67"/>
      <c r="F5586" s="75"/>
      <c r="G5586" s="67"/>
      <c r="H5586" s="68"/>
      <c r="I5586" s="76"/>
      <c r="J5586" s="67"/>
      <c r="K5586" s="7" t="s">
        <v>1103</v>
      </c>
      <c r="L5586" s="934"/>
      <c r="M5586" s="934"/>
    </row>
    <row r="5587" ht="12.75" hidden="1" customHeight="1" outlineLevel="1">
      <c r="A5587" s="882">
        <v>42016.0</v>
      </c>
      <c r="B5587" s="1"/>
      <c r="C5587" s="1" t="s">
        <v>435</v>
      </c>
      <c r="D5587" s="74"/>
      <c r="E5587" s="67"/>
      <c r="F5587" s="75"/>
      <c r="G5587" s="67"/>
      <c r="H5587" s="68"/>
      <c r="I5587" s="76"/>
      <c r="J5587" s="67"/>
      <c r="K5587" s="9" t="s">
        <v>2486</v>
      </c>
      <c r="L5587" s="934"/>
      <c r="M5587" s="934"/>
    </row>
    <row r="5588" ht="12.75" hidden="1" customHeight="1" outlineLevel="1">
      <c r="A5588" s="122">
        <v>42017.0</v>
      </c>
      <c r="B5588" s="32" t="s">
        <v>347</v>
      </c>
      <c r="C5588" s="32" t="s">
        <v>784</v>
      </c>
      <c r="D5588" s="708">
        <v>1500.0</v>
      </c>
      <c r="E5588" s="195">
        <v>8.51</v>
      </c>
      <c r="F5588" s="709">
        <v>0.6630439814814815</v>
      </c>
      <c r="G5588" s="195" t="s">
        <v>453</v>
      </c>
      <c r="H5588" s="710">
        <v>7.78</v>
      </c>
      <c r="I5588" s="256"/>
      <c r="J5588" s="67">
        <f t="shared" ref="J5588:J5589" si="350">IF(B5588="SLD",D5588*E5588,-D5588*E5588)-H5588</f>
        <v>12757.22</v>
      </c>
      <c r="L5588" s="70"/>
      <c r="M5588" s="934"/>
      <c r="N5588" s="94"/>
      <c r="O5588" s="94"/>
      <c r="P5588" s="94"/>
      <c r="Q5588" s="94"/>
      <c r="R5588" s="94"/>
      <c r="S5588" s="94"/>
      <c r="T5588" s="94"/>
      <c r="U5588" s="94"/>
      <c r="V5588" s="94"/>
      <c r="W5588" s="94"/>
      <c r="X5588" s="94"/>
      <c r="Y5588" s="94"/>
      <c r="Z5588" s="94"/>
      <c r="AA5588" s="94"/>
      <c r="AB5588" s="94"/>
      <c r="AC5588" s="94"/>
      <c r="AD5588" s="94"/>
      <c r="AE5588" s="94"/>
      <c r="AF5588" s="94"/>
      <c r="AG5588" s="94"/>
      <c r="AH5588" s="94"/>
    </row>
    <row r="5589" ht="12.75" hidden="1" customHeight="1" outlineLevel="1">
      <c r="A5589" s="122">
        <v>42017.0</v>
      </c>
      <c r="B5589" s="32" t="s">
        <v>347</v>
      </c>
      <c r="C5589" s="32" t="s">
        <v>784</v>
      </c>
      <c r="D5589" s="708">
        <v>2000.0</v>
      </c>
      <c r="E5589" s="195">
        <v>8.481</v>
      </c>
      <c r="F5589" s="709">
        <v>0.6659606481481481</v>
      </c>
      <c r="G5589" s="195" t="s">
        <v>453</v>
      </c>
      <c r="H5589" s="710">
        <v>8.37</v>
      </c>
      <c r="I5589" s="256"/>
      <c r="J5589" s="67">
        <f t="shared" si="350"/>
        <v>16953.63</v>
      </c>
      <c r="L5589" s="70"/>
      <c r="M5589" s="934"/>
      <c r="N5589" s="94"/>
      <c r="O5589" s="94"/>
      <c r="P5589" s="94"/>
      <c r="Q5589" s="94"/>
      <c r="R5589" s="94"/>
      <c r="S5589" s="94"/>
      <c r="T5589" s="94"/>
      <c r="U5589" s="94"/>
      <c r="V5589" s="94"/>
      <c r="W5589" s="94"/>
      <c r="X5589" s="94"/>
      <c r="Y5589" s="94"/>
      <c r="Z5589" s="94"/>
      <c r="AA5589" s="94"/>
      <c r="AB5589" s="94"/>
      <c r="AC5589" s="94"/>
      <c r="AD5589" s="94"/>
      <c r="AE5589" s="94"/>
      <c r="AF5589" s="94"/>
      <c r="AG5589" s="94"/>
      <c r="AH5589" s="94"/>
    </row>
    <row r="5590" ht="12.75" hidden="1" customHeight="1" outlineLevel="1">
      <c r="A5590" s="882">
        <v>42017.0</v>
      </c>
      <c r="B5590" s="1"/>
      <c r="C5590" s="1" t="s">
        <v>339</v>
      </c>
      <c r="D5590" s="74"/>
      <c r="E5590" s="67"/>
      <c r="F5590" s="75"/>
      <c r="G5590" s="67"/>
      <c r="H5590" s="68"/>
      <c r="I5590" s="76"/>
      <c r="J5590" s="67"/>
      <c r="K5590" s="9" t="s">
        <v>2589</v>
      </c>
      <c r="L5590" s="934"/>
      <c r="M5590" s="934"/>
    </row>
    <row r="5591" ht="12.75" hidden="1" customHeight="1" outlineLevel="1">
      <c r="A5591" s="882">
        <v>42017.0</v>
      </c>
      <c r="B5591" s="1"/>
      <c r="C5591" s="1" t="s">
        <v>429</v>
      </c>
      <c r="D5591" s="74"/>
      <c r="E5591" s="67"/>
      <c r="F5591" s="75"/>
      <c r="G5591" s="67"/>
      <c r="H5591" s="68"/>
      <c r="I5591" s="76"/>
      <c r="J5591" s="67"/>
      <c r="K5591" s="9" t="s">
        <v>2580</v>
      </c>
      <c r="L5591" s="934"/>
      <c r="M5591" s="934"/>
    </row>
    <row r="5592" ht="12.75" hidden="1" customHeight="1" outlineLevel="1">
      <c r="A5592" s="882">
        <v>42017.0</v>
      </c>
      <c r="B5592" s="1"/>
      <c r="C5592" s="1" t="s">
        <v>431</v>
      </c>
      <c r="D5592" s="74"/>
      <c r="E5592" s="67"/>
      <c r="F5592" s="75"/>
      <c r="G5592" s="67"/>
      <c r="H5592" s="68"/>
      <c r="I5592" s="76"/>
      <c r="J5592" s="67"/>
      <c r="K5592" s="7" t="s">
        <v>1126</v>
      </c>
      <c r="L5592" s="934"/>
      <c r="M5592" s="934"/>
    </row>
    <row r="5593" ht="12.75" hidden="1" customHeight="1" outlineLevel="1">
      <c r="A5593" s="882">
        <v>42017.0</v>
      </c>
      <c r="B5593" s="1"/>
      <c r="C5593" s="1" t="s">
        <v>433</v>
      </c>
      <c r="D5593" s="74"/>
      <c r="E5593" s="67"/>
      <c r="F5593" s="75"/>
      <c r="G5593" s="67"/>
      <c r="H5593" s="68"/>
      <c r="I5593" s="76"/>
      <c r="J5593" s="67"/>
      <c r="K5593" s="7" t="s">
        <v>1103</v>
      </c>
      <c r="L5593" s="934"/>
      <c r="M5593" s="934"/>
    </row>
    <row r="5594" ht="12.75" hidden="1" customHeight="1" outlineLevel="1">
      <c r="A5594" s="882">
        <v>42017.0</v>
      </c>
      <c r="B5594" s="1"/>
      <c r="C5594" s="1" t="s">
        <v>435</v>
      </c>
      <c r="D5594" s="74"/>
      <c r="E5594" s="67"/>
      <c r="F5594" s="75"/>
      <c r="G5594" s="67"/>
      <c r="H5594" s="68"/>
      <c r="I5594" s="76"/>
      <c r="J5594" s="67"/>
      <c r="K5594" s="9" t="s">
        <v>2486</v>
      </c>
      <c r="L5594" s="934"/>
      <c r="M5594" s="934"/>
    </row>
    <row r="5595" ht="12.75" hidden="1" customHeight="1" outlineLevel="1">
      <c r="A5595" s="122">
        <v>42018.0</v>
      </c>
      <c r="B5595" s="32" t="s">
        <v>347</v>
      </c>
      <c r="C5595" s="32" t="s">
        <v>790</v>
      </c>
      <c r="D5595" s="708">
        <v>3500.0</v>
      </c>
      <c r="E5595" s="195">
        <v>6.531</v>
      </c>
      <c r="F5595" s="709">
        <v>0.49811342592592595</v>
      </c>
      <c r="G5595" s="195" t="s">
        <v>453</v>
      </c>
      <c r="H5595" s="710">
        <v>15.31</v>
      </c>
      <c r="I5595" s="256"/>
      <c r="J5595" s="67">
        <f t="shared" ref="J5595:J5630" si="351">IF(B5595="SLD",D5595*E5595,-D5595*E5595)-H5595</f>
        <v>22843.19</v>
      </c>
      <c r="L5595" s="70"/>
      <c r="M5595" s="934"/>
      <c r="N5595" s="94"/>
      <c r="O5595" s="94"/>
      <c r="P5595" s="94"/>
      <c r="Q5595" s="94"/>
      <c r="R5595" s="94"/>
      <c r="S5595" s="94"/>
      <c r="T5595" s="94"/>
      <c r="U5595" s="94"/>
      <c r="V5595" s="94"/>
      <c r="W5595" s="94"/>
      <c r="X5595" s="94"/>
      <c r="Y5595" s="94"/>
      <c r="Z5595" s="94"/>
      <c r="AA5595" s="94"/>
      <c r="AB5595" s="94"/>
      <c r="AC5595" s="94"/>
      <c r="AD5595" s="94"/>
      <c r="AE5595" s="94"/>
      <c r="AF5595" s="94"/>
      <c r="AG5595" s="94"/>
      <c r="AH5595" s="94"/>
    </row>
    <row r="5596" ht="12.75" hidden="1" customHeight="1" outlineLevel="1">
      <c r="A5596" s="122">
        <v>42018.0</v>
      </c>
      <c r="B5596" s="32" t="s">
        <v>347</v>
      </c>
      <c r="C5596" s="32" t="s">
        <v>2048</v>
      </c>
      <c r="D5596" s="708">
        <v>1000.0</v>
      </c>
      <c r="E5596" s="195">
        <v>9.3332</v>
      </c>
      <c r="F5596" s="709">
        <v>0.4995949074074074</v>
      </c>
      <c r="G5596" s="195" t="s">
        <v>453</v>
      </c>
      <c r="H5596" s="710">
        <v>4.21</v>
      </c>
      <c r="I5596" s="256"/>
      <c r="J5596" s="67">
        <f t="shared" si="351"/>
        <v>9328.99</v>
      </c>
      <c r="L5596" s="70"/>
      <c r="M5596" s="934"/>
      <c r="N5596" s="94"/>
      <c r="O5596" s="94"/>
      <c r="P5596" s="94"/>
      <c r="Q5596" s="94"/>
      <c r="R5596" s="94"/>
      <c r="S5596" s="94"/>
      <c r="T5596" s="94"/>
      <c r="U5596" s="94"/>
      <c r="V5596" s="94"/>
      <c r="W5596" s="94"/>
      <c r="X5596" s="94"/>
      <c r="Y5596" s="94"/>
      <c r="Z5596" s="94"/>
      <c r="AA5596" s="94"/>
      <c r="AB5596" s="94"/>
      <c r="AC5596" s="94"/>
      <c r="AD5596" s="94"/>
      <c r="AE5596" s="94"/>
      <c r="AF5596" s="94"/>
      <c r="AG5596" s="94"/>
      <c r="AH5596" s="94"/>
    </row>
    <row r="5597" ht="12.75" hidden="1" customHeight="1" outlineLevel="1">
      <c r="A5597" s="122">
        <v>42018.0</v>
      </c>
      <c r="B5597" s="32" t="s">
        <v>347</v>
      </c>
      <c r="C5597" s="32" t="s">
        <v>2192</v>
      </c>
      <c r="D5597" s="708">
        <v>1000.0</v>
      </c>
      <c r="E5597" s="195">
        <v>9.771</v>
      </c>
      <c r="F5597" s="709">
        <v>0.4997800925925926</v>
      </c>
      <c r="G5597" s="195" t="s">
        <v>453</v>
      </c>
      <c r="H5597" s="710">
        <v>4.22</v>
      </c>
      <c r="I5597" s="256"/>
      <c r="J5597" s="67">
        <f t="shared" si="351"/>
        <v>9766.78</v>
      </c>
      <c r="L5597" s="70"/>
      <c r="M5597" s="934"/>
      <c r="N5597" s="94"/>
      <c r="O5597" s="94"/>
      <c r="P5597" s="94"/>
      <c r="Q5597" s="94"/>
      <c r="R5597" s="94"/>
      <c r="S5597" s="94"/>
      <c r="T5597" s="94"/>
      <c r="U5597" s="94"/>
      <c r="V5597" s="94"/>
      <c r="W5597" s="94"/>
      <c r="X5597" s="94"/>
      <c r="Y5597" s="94"/>
      <c r="Z5597" s="94"/>
      <c r="AA5597" s="94"/>
      <c r="AB5597" s="94"/>
      <c r="AC5597" s="94"/>
      <c r="AD5597" s="94"/>
      <c r="AE5597" s="94"/>
      <c r="AF5597" s="94"/>
      <c r="AG5597" s="94"/>
      <c r="AH5597" s="94"/>
    </row>
    <row r="5598" ht="12.75" hidden="1" customHeight="1" outlineLevel="1">
      <c r="A5598" s="122">
        <v>42018.0</v>
      </c>
      <c r="B5598" s="32" t="s">
        <v>347</v>
      </c>
      <c r="C5598" s="32" t="s">
        <v>1844</v>
      </c>
      <c r="D5598" s="708">
        <v>400.0</v>
      </c>
      <c r="E5598" s="195">
        <v>35.2403</v>
      </c>
      <c r="F5598" s="709">
        <v>0.5035185185185185</v>
      </c>
      <c r="G5598" s="195" t="s">
        <v>453</v>
      </c>
      <c r="H5598" s="710">
        <v>1.91</v>
      </c>
      <c r="I5598" s="256"/>
      <c r="J5598" s="67">
        <f t="shared" si="351"/>
        <v>14094.21</v>
      </c>
      <c r="L5598" s="70"/>
      <c r="M5598" s="934"/>
      <c r="N5598" s="94"/>
      <c r="O5598" s="94"/>
      <c r="P5598" s="94"/>
      <c r="Q5598" s="94"/>
      <c r="R5598" s="94"/>
      <c r="S5598" s="94"/>
      <c r="T5598" s="94"/>
      <c r="U5598" s="94"/>
      <c r="V5598" s="94"/>
      <c r="W5598" s="94"/>
      <c r="X5598" s="94"/>
      <c r="Y5598" s="94"/>
      <c r="Z5598" s="94"/>
      <c r="AA5598" s="94"/>
      <c r="AB5598" s="94"/>
      <c r="AC5598" s="94"/>
      <c r="AD5598" s="94"/>
      <c r="AE5598" s="94"/>
      <c r="AF5598" s="94"/>
      <c r="AG5598" s="94"/>
      <c r="AH5598" s="94"/>
    </row>
    <row r="5599" ht="12.75" hidden="1" customHeight="1" outlineLevel="1">
      <c r="A5599" s="122">
        <v>42018.0</v>
      </c>
      <c r="B5599" s="32" t="s">
        <v>347</v>
      </c>
      <c r="C5599" s="32" t="s">
        <v>1158</v>
      </c>
      <c r="D5599" s="708">
        <v>600.0</v>
      </c>
      <c r="E5599" s="195">
        <v>45.44</v>
      </c>
      <c r="F5599" s="709">
        <v>0.5046527777777777</v>
      </c>
      <c r="G5599" s="195" t="s">
        <v>453</v>
      </c>
      <c r="H5599" s="710">
        <v>3.3</v>
      </c>
      <c r="I5599" s="256"/>
      <c r="J5599" s="67">
        <f t="shared" si="351"/>
        <v>27260.7</v>
      </c>
      <c r="L5599" s="70"/>
      <c r="M5599" s="934"/>
      <c r="N5599" s="94"/>
      <c r="O5599" s="94"/>
      <c r="P5599" s="94"/>
      <c r="Q5599" s="94"/>
      <c r="R5599" s="94"/>
      <c r="S5599" s="94"/>
      <c r="T5599" s="94"/>
      <c r="U5599" s="94"/>
      <c r="V5599" s="94"/>
      <c r="W5599" s="94"/>
      <c r="X5599" s="94"/>
      <c r="Y5599" s="94"/>
      <c r="Z5599" s="94"/>
      <c r="AA5599" s="94"/>
      <c r="AB5599" s="94"/>
      <c r="AC5599" s="94"/>
      <c r="AD5599" s="94"/>
      <c r="AE5599" s="94"/>
      <c r="AF5599" s="94"/>
      <c r="AG5599" s="94"/>
      <c r="AH5599" s="94"/>
    </row>
    <row r="5600" ht="12.75" hidden="1" customHeight="1" outlineLevel="1">
      <c r="A5600" s="122">
        <v>42018.0</v>
      </c>
      <c r="B5600" s="32" t="s">
        <v>347</v>
      </c>
      <c r="C5600" s="32" t="s">
        <v>1164</v>
      </c>
      <c r="D5600" s="708">
        <v>500.0</v>
      </c>
      <c r="E5600" s="195">
        <v>39.884</v>
      </c>
      <c r="F5600" s="709">
        <v>0.5049421296296296</v>
      </c>
      <c r="G5600" s="195" t="s">
        <v>453</v>
      </c>
      <c r="H5600" s="710">
        <v>2.94</v>
      </c>
      <c r="I5600" s="256"/>
      <c r="J5600" s="67">
        <f t="shared" si="351"/>
        <v>19939.06</v>
      </c>
      <c r="L5600" s="70"/>
      <c r="M5600" s="934"/>
      <c r="N5600" s="94"/>
      <c r="O5600" s="94"/>
      <c r="P5600" s="94"/>
      <c r="Q5600" s="94"/>
      <c r="R5600" s="94"/>
      <c r="S5600" s="94"/>
      <c r="T5600" s="94"/>
      <c r="U5600" s="94"/>
      <c r="V5600" s="94"/>
      <c r="W5600" s="94"/>
      <c r="X5600" s="94"/>
      <c r="Y5600" s="94"/>
      <c r="Z5600" s="94"/>
      <c r="AA5600" s="94"/>
      <c r="AB5600" s="94"/>
      <c r="AC5600" s="94"/>
      <c r="AD5600" s="94"/>
      <c r="AE5600" s="94"/>
      <c r="AF5600" s="94"/>
      <c r="AG5600" s="94"/>
      <c r="AH5600" s="94"/>
    </row>
    <row r="5601" ht="12.75" hidden="1" customHeight="1" outlineLevel="1">
      <c r="A5601" s="122">
        <v>42018.0</v>
      </c>
      <c r="B5601" s="32" t="s">
        <v>347</v>
      </c>
      <c r="C5601" s="32" t="s">
        <v>1382</v>
      </c>
      <c r="D5601" s="708">
        <v>50.0</v>
      </c>
      <c r="E5601" s="195">
        <v>138.734</v>
      </c>
      <c r="F5601" s="709">
        <v>0.5068171296296297</v>
      </c>
      <c r="G5601" s="195" t="s">
        <v>453</v>
      </c>
      <c r="H5601" s="710">
        <v>1.15</v>
      </c>
      <c r="I5601" s="256"/>
      <c r="J5601" s="67">
        <f t="shared" si="351"/>
        <v>6935.55</v>
      </c>
      <c r="L5601" s="70"/>
      <c r="M5601" s="934"/>
      <c r="N5601" s="94"/>
      <c r="O5601" s="94"/>
      <c r="P5601" s="94"/>
      <c r="Q5601" s="94"/>
      <c r="R5601" s="94"/>
      <c r="S5601" s="94"/>
      <c r="T5601" s="94"/>
      <c r="U5601" s="94"/>
      <c r="V5601" s="94"/>
      <c r="W5601" s="94"/>
      <c r="X5601" s="94"/>
      <c r="Y5601" s="94"/>
      <c r="Z5601" s="94"/>
      <c r="AA5601" s="94"/>
      <c r="AB5601" s="94"/>
      <c r="AC5601" s="94"/>
      <c r="AD5601" s="94"/>
      <c r="AE5601" s="94"/>
      <c r="AF5601" s="94"/>
      <c r="AG5601" s="94"/>
      <c r="AH5601" s="94"/>
    </row>
    <row r="5602" ht="12.75" hidden="1" customHeight="1" outlineLevel="1">
      <c r="A5602" s="122">
        <v>42018.0</v>
      </c>
      <c r="B5602" s="32" t="s">
        <v>347</v>
      </c>
      <c r="C5602" s="32" t="s">
        <v>1382</v>
      </c>
      <c r="D5602" s="708">
        <v>50.0</v>
      </c>
      <c r="E5602" s="195">
        <v>138.67</v>
      </c>
      <c r="F5602" s="709">
        <v>0.5077662037037037</v>
      </c>
      <c r="G5602" s="195" t="s">
        <v>453</v>
      </c>
      <c r="H5602" s="710">
        <v>1.15</v>
      </c>
      <c r="I5602" s="256"/>
      <c r="J5602" s="67">
        <f t="shared" si="351"/>
        <v>6932.35</v>
      </c>
      <c r="L5602" s="70"/>
      <c r="M5602" s="934"/>
      <c r="N5602" s="94"/>
      <c r="O5602" s="94"/>
      <c r="P5602" s="94"/>
      <c r="Q5602" s="94"/>
      <c r="R5602" s="94"/>
      <c r="S5602" s="94"/>
      <c r="T5602" s="94"/>
      <c r="U5602" s="94"/>
      <c r="V5602" s="94"/>
      <c r="W5602" s="94"/>
      <c r="X5602" s="94"/>
      <c r="Y5602" s="94"/>
      <c r="Z5602" s="94"/>
      <c r="AA5602" s="94"/>
      <c r="AB5602" s="94"/>
      <c r="AC5602" s="94"/>
      <c r="AD5602" s="94"/>
      <c r="AE5602" s="94"/>
      <c r="AF5602" s="94"/>
      <c r="AG5602" s="94"/>
      <c r="AH5602" s="94"/>
    </row>
    <row r="5603" ht="12.75" hidden="1" customHeight="1" outlineLevel="1">
      <c r="A5603" s="122">
        <v>42018.0</v>
      </c>
      <c r="B5603" s="32" t="s">
        <v>347</v>
      </c>
      <c r="C5603" s="32" t="s">
        <v>2342</v>
      </c>
      <c r="D5603" s="708">
        <v>200.0</v>
      </c>
      <c r="E5603" s="195">
        <v>54.645</v>
      </c>
      <c r="F5603" s="709">
        <v>0.5081134259259259</v>
      </c>
      <c r="G5603" s="195" t="s">
        <v>453</v>
      </c>
      <c r="H5603" s="710">
        <v>1.24</v>
      </c>
      <c r="I5603" s="256"/>
      <c r="J5603" s="67">
        <f t="shared" si="351"/>
        <v>10927.76</v>
      </c>
      <c r="L5603" s="70"/>
      <c r="M5603" s="934"/>
      <c r="N5603" s="94"/>
      <c r="O5603" s="94"/>
      <c r="P5603" s="94"/>
      <c r="Q5603" s="94"/>
      <c r="R5603" s="94"/>
      <c r="S5603" s="94"/>
      <c r="T5603" s="94"/>
      <c r="U5603" s="94"/>
      <c r="V5603" s="94"/>
      <c r="W5603" s="94"/>
      <c r="X5603" s="94"/>
      <c r="Y5603" s="94"/>
      <c r="Z5603" s="94"/>
      <c r="AA5603" s="94"/>
      <c r="AB5603" s="94"/>
      <c r="AC5603" s="94"/>
      <c r="AD5603" s="94"/>
      <c r="AE5603" s="94"/>
      <c r="AF5603" s="94"/>
      <c r="AG5603" s="94"/>
      <c r="AH5603" s="94"/>
    </row>
    <row r="5604" ht="12.75" hidden="1" customHeight="1" outlineLevel="1">
      <c r="A5604" s="122">
        <v>42018.0</v>
      </c>
      <c r="B5604" s="32" t="s">
        <v>347</v>
      </c>
      <c r="C5604" s="32" t="s">
        <v>2142</v>
      </c>
      <c r="D5604" s="708">
        <v>500.0</v>
      </c>
      <c r="E5604" s="195">
        <v>29.19</v>
      </c>
      <c r="F5604" s="709">
        <v>0.5124884259259259</v>
      </c>
      <c r="G5604" s="195" t="s">
        <v>453</v>
      </c>
      <c r="H5604" s="710">
        <v>2.82</v>
      </c>
      <c r="I5604" s="256"/>
      <c r="J5604" s="67">
        <f t="shared" si="351"/>
        <v>14592.18</v>
      </c>
      <c r="L5604" s="70"/>
      <c r="M5604" s="934"/>
      <c r="N5604" s="94"/>
      <c r="O5604" s="94"/>
      <c r="P5604" s="94"/>
      <c r="Q5604" s="94"/>
      <c r="R5604" s="94"/>
      <c r="S5604" s="94"/>
      <c r="T5604" s="94"/>
      <c r="U5604" s="94"/>
      <c r="V5604" s="94"/>
      <c r="W5604" s="94"/>
      <c r="X5604" s="94"/>
      <c r="Y5604" s="94"/>
      <c r="Z5604" s="94"/>
      <c r="AA5604" s="94"/>
      <c r="AB5604" s="94"/>
      <c r="AC5604" s="94"/>
      <c r="AD5604" s="94"/>
      <c r="AE5604" s="94"/>
      <c r="AF5604" s="94"/>
      <c r="AG5604" s="94"/>
      <c r="AH5604" s="94"/>
    </row>
    <row r="5605" ht="12.75" hidden="1" customHeight="1" outlineLevel="1">
      <c r="A5605" s="122">
        <v>42018.0</v>
      </c>
      <c r="B5605" s="32" t="s">
        <v>347</v>
      </c>
      <c r="C5605" s="32" t="s">
        <v>1185</v>
      </c>
      <c r="D5605" s="708">
        <v>50.0</v>
      </c>
      <c r="E5605" s="195">
        <v>278.7</v>
      </c>
      <c r="F5605" s="709">
        <v>0.5170138888888889</v>
      </c>
      <c r="G5605" s="195" t="s">
        <v>453</v>
      </c>
      <c r="H5605" s="710">
        <v>1.31</v>
      </c>
      <c r="I5605" s="256"/>
      <c r="J5605" s="67">
        <f t="shared" si="351"/>
        <v>13933.69</v>
      </c>
      <c r="L5605" s="70"/>
      <c r="M5605" s="934"/>
      <c r="N5605" s="94"/>
      <c r="O5605" s="94"/>
      <c r="P5605" s="94"/>
      <c r="Q5605" s="94"/>
      <c r="R5605" s="94"/>
      <c r="S5605" s="94"/>
      <c r="T5605" s="94"/>
      <c r="U5605" s="94"/>
      <c r="V5605" s="94"/>
      <c r="W5605" s="94"/>
      <c r="X5605" s="94"/>
      <c r="Y5605" s="94"/>
      <c r="Z5605" s="94"/>
      <c r="AA5605" s="94"/>
      <c r="AB5605" s="94"/>
      <c r="AC5605" s="94"/>
      <c r="AD5605" s="94"/>
      <c r="AE5605" s="94"/>
      <c r="AF5605" s="94"/>
      <c r="AG5605" s="94"/>
      <c r="AH5605" s="94"/>
    </row>
    <row r="5606" ht="12.75" hidden="1" customHeight="1" outlineLevel="1">
      <c r="A5606" s="122">
        <v>42018.0</v>
      </c>
      <c r="B5606" s="32" t="s">
        <v>347</v>
      </c>
      <c r="C5606" s="32" t="s">
        <v>364</v>
      </c>
      <c r="D5606" s="708">
        <v>200.0</v>
      </c>
      <c r="E5606" s="195">
        <v>116.98</v>
      </c>
      <c r="F5606" s="709">
        <v>0.5197916666666667</v>
      </c>
      <c r="G5606" s="195" t="s">
        <v>453</v>
      </c>
      <c r="H5606" s="710">
        <v>1.52</v>
      </c>
      <c r="I5606" s="256"/>
      <c r="J5606" s="67">
        <f t="shared" si="351"/>
        <v>23394.48</v>
      </c>
      <c r="L5606" s="70"/>
      <c r="M5606" s="934"/>
      <c r="N5606" s="94"/>
      <c r="O5606" s="94"/>
      <c r="P5606" s="94"/>
      <c r="Q5606" s="94"/>
      <c r="R5606" s="94"/>
      <c r="S5606" s="94"/>
      <c r="T5606" s="94"/>
      <c r="U5606" s="94"/>
      <c r="V5606" s="94"/>
      <c r="W5606" s="94"/>
      <c r="X5606" s="94"/>
      <c r="Y5606" s="94"/>
      <c r="Z5606" s="94"/>
      <c r="AA5606" s="94"/>
      <c r="AB5606" s="94"/>
      <c r="AC5606" s="94"/>
      <c r="AD5606" s="94"/>
      <c r="AE5606" s="94"/>
      <c r="AF5606" s="94"/>
      <c r="AG5606" s="94"/>
      <c r="AH5606" s="94"/>
    </row>
    <row r="5607" ht="12.75" hidden="1" customHeight="1" outlineLevel="1">
      <c r="A5607" s="122">
        <v>42018.0</v>
      </c>
      <c r="B5607" s="32" t="s">
        <v>347</v>
      </c>
      <c r="C5607" s="32" t="s">
        <v>784</v>
      </c>
      <c r="D5607" s="708">
        <v>4000.0</v>
      </c>
      <c r="E5607" s="195">
        <v>8.081</v>
      </c>
      <c r="F5607" s="709">
        <v>0.5215740740740741</v>
      </c>
      <c r="G5607" s="195" t="s">
        <v>453</v>
      </c>
      <c r="H5607" s="710">
        <v>16.71</v>
      </c>
      <c r="I5607" s="256"/>
      <c r="J5607" s="67">
        <f t="shared" si="351"/>
        <v>32307.29</v>
      </c>
      <c r="L5607" s="70"/>
      <c r="M5607" s="934"/>
      <c r="N5607" s="94"/>
      <c r="O5607" s="94"/>
      <c r="P5607" s="94"/>
      <c r="Q5607" s="94"/>
      <c r="R5607" s="94"/>
      <c r="S5607" s="94"/>
      <c r="T5607" s="94"/>
      <c r="U5607" s="94"/>
      <c r="V5607" s="94"/>
      <c r="W5607" s="94"/>
      <c r="X5607" s="94"/>
      <c r="Y5607" s="94"/>
      <c r="Z5607" s="94"/>
      <c r="AA5607" s="94"/>
      <c r="AB5607" s="94"/>
      <c r="AC5607" s="94"/>
      <c r="AD5607" s="94"/>
      <c r="AE5607" s="94"/>
      <c r="AF5607" s="94"/>
      <c r="AG5607" s="94"/>
      <c r="AH5607" s="94"/>
    </row>
    <row r="5608" ht="12.75" hidden="1" customHeight="1" outlineLevel="1">
      <c r="A5608" s="122">
        <v>42018.0</v>
      </c>
      <c r="B5608" s="32" t="s">
        <v>347</v>
      </c>
      <c r="C5608" s="32" t="s">
        <v>790</v>
      </c>
      <c r="D5608" s="708">
        <v>4000.0</v>
      </c>
      <c r="E5608" s="195">
        <v>6.441</v>
      </c>
      <c r="F5608" s="709">
        <v>0.521724537037037</v>
      </c>
      <c r="G5608" s="195" t="s">
        <v>453</v>
      </c>
      <c r="H5608" s="710">
        <v>18.47</v>
      </c>
      <c r="I5608" s="256"/>
      <c r="J5608" s="67">
        <f t="shared" si="351"/>
        <v>25745.53</v>
      </c>
      <c r="L5608" s="70"/>
      <c r="M5608" s="934"/>
      <c r="N5608" s="94"/>
      <c r="O5608" s="94"/>
      <c r="P5608" s="94"/>
      <c r="Q5608" s="94"/>
      <c r="R5608" s="94"/>
      <c r="S5608" s="94"/>
      <c r="T5608" s="94"/>
      <c r="U5608" s="94"/>
      <c r="V5608" s="94"/>
      <c r="W5608" s="94"/>
      <c r="X5608" s="94"/>
      <c r="Y5608" s="94"/>
      <c r="Z5608" s="94"/>
      <c r="AA5608" s="94"/>
      <c r="AB5608" s="94"/>
      <c r="AC5608" s="94"/>
      <c r="AD5608" s="94"/>
      <c r="AE5608" s="94"/>
      <c r="AF5608" s="94"/>
      <c r="AG5608" s="94"/>
      <c r="AH5608" s="94"/>
    </row>
    <row r="5609" ht="12.75" hidden="1" customHeight="1" outlineLevel="1">
      <c r="A5609" s="122">
        <v>42018.0</v>
      </c>
      <c r="B5609" s="32" t="s">
        <v>347</v>
      </c>
      <c r="C5609" s="32" t="s">
        <v>1060</v>
      </c>
      <c r="D5609" s="708">
        <v>400.0</v>
      </c>
      <c r="E5609" s="195">
        <v>39.27</v>
      </c>
      <c r="F5609" s="709">
        <v>0.5271180555555556</v>
      </c>
      <c r="G5609" s="195" t="s">
        <v>453</v>
      </c>
      <c r="H5609" s="710">
        <v>2.35</v>
      </c>
      <c r="I5609" s="256"/>
      <c r="J5609" s="67">
        <f t="shared" si="351"/>
        <v>15705.65</v>
      </c>
      <c r="L5609" s="70"/>
      <c r="M5609" s="934"/>
      <c r="N5609" s="94"/>
      <c r="O5609" s="94"/>
      <c r="P5609" s="94"/>
      <c r="Q5609" s="94"/>
      <c r="R5609" s="94"/>
      <c r="S5609" s="94"/>
      <c r="T5609" s="94"/>
      <c r="U5609" s="94"/>
      <c r="V5609" s="94"/>
      <c r="W5609" s="94"/>
      <c r="X5609" s="94"/>
      <c r="Y5609" s="94"/>
      <c r="Z5609" s="94"/>
      <c r="AA5609" s="94"/>
      <c r="AB5609" s="94"/>
      <c r="AC5609" s="94"/>
      <c r="AD5609" s="94"/>
      <c r="AE5609" s="94"/>
      <c r="AF5609" s="94"/>
      <c r="AG5609" s="94"/>
      <c r="AH5609" s="94"/>
    </row>
    <row r="5610" ht="12.75" hidden="1" customHeight="1" outlineLevel="1">
      <c r="A5610" s="122">
        <v>42018.0</v>
      </c>
      <c r="B5610" s="32" t="s">
        <v>347</v>
      </c>
      <c r="C5610" s="32" t="s">
        <v>2539</v>
      </c>
      <c r="D5610" s="708">
        <v>1100.0</v>
      </c>
      <c r="E5610" s="195">
        <v>49.101</v>
      </c>
      <c r="F5610" s="709">
        <v>0.5329050925925926</v>
      </c>
      <c r="G5610" s="195" t="s">
        <v>453</v>
      </c>
      <c r="H5610" s="710">
        <v>6.69</v>
      </c>
      <c r="I5610" s="256"/>
      <c r="J5610" s="67">
        <f t="shared" si="351"/>
        <v>54004.41</v>
      </c>
      <c r="L5610" s="70"/>
      <c r="M5610" s="934"/>
      <c r="N5610" s="94"/>
      <c r="O5610" s="94"/>
      <c r="P5610" s="94"/>
      <c r="Q5610" s="94"/>
      <c r="R5610" s="94"/>
      <c r="S5610" s="94"/>
      <c r="T5610" s="94"/>
      <c r="U5610" s="94"/>
      <c r="V5610" s="94"/>
      <c r="W5610" s="94"/>
      <c r="X5610" s="94"/>
      <c r="Y5610" s="94"/>
      <c r="Z5610" s="94"/>
      <c r="AA5610" s="94"/>
      <c r="AB5610" s="94"/>
      <c r="AC5610" s="94"/>
      <c r="AD5610" s="94"/>
      <c r="AE5610" s="94"/>
      <c r="AF5610" s="94"/>
      <c r="AG5610" s="94"/>
      <c r="AH5610" s="94"/>
    </row>
    <row r="5611" ht="12.75" hidden="1" customHeight="1" outlineLevel="1">
      <c r="A5611" s="122">
        <v>42018.0</v>
      </c>
      <c r="B5611" s="32" t="s">
        <v>347</v>
      </c>
      <c r="C5611" s="32" t="s">
        <v>1185</v>
      </c>
      <c r="D5611" s="708">
        <v>50.0</v>
      </c>
      <c r="E5611" s="195">
        <v>279.627</v>
      </c>
      <c r="F5611" s="709">
        <v>0.5354976851851851</v>
      </c>
      <c r="G5611" s="195" t="s">
        <v>453</v>
      </c>
      <c r="H5611" s="710">
        <v>1.31</v>
      </c>
      <c r="I5611" s="256"/>
      <c r="J5611" s="67">
        <f t="shared" si="351"/>
        <v>13980.04</v>
      </c>
      <c r="L5611" s="70"/>
      <c r="M5611" s="934"/>
      <c r="N5611" s="94"/>
      <c r="O5611" s="94"/>
      <c r="P5611" s="94"/>
      <c r="Q5611" s="94"/>
      <c r="R5611" s="94"/>
      <c r="S5611" s="94"/>
      <c r="T5611" s="94"/>
      <c r="U5611" s="94"/>
      <c r="V5611" s="94"/>
      <c r="W5611" s="94"/>
      <c r="X5611" s="94"/>
      <c r="Y5611" s="94"/>
      <c r="Z5611" s="94"/>
      <c r="AA5611" s="94"/>
      <c r="AB5611" s="94"/>
      <c r="AC5611" s="94"/>
      <c r="AD5611" s="94"/>
      <c r="AE5611" s="94"/>
      <c r="AF5611" s="94"/>
      <c r="AG5611" s="94"/>
      <c r="AH5611" s="94"/>
    </row>
    <row r="5612" ht="12.75" hidden="1" customHeight="1" outlineLevel="1">
      <c r="A5612" s="122">
        <v>42018.0</v>
      </c>
      <c r="B5612" s="32" t="s">
        <v>347</v>
      </c>
      <c r="C5612" s="32" t="s">
        <v>2142</v>
      </c>
      <c r="D5612" s="708">
        <v>500.0</v>
      </c>
      <c r="E5612" s="195">
        <v>29.294</v>
      </c>
      <c r="F5612" s="709">
        <v>0.5397222222222222</v>
      </c>
      <c r="G5612" s="195" t="s">
        <v>453</v>
      </c>
      <c r="H5612" s="710">
        <v>2.82</v>
      </c>
      <c r="I5612" s="256"/>
      <c r="J5612" s="67">
        <f t="shared" si="351"/>
        <v>14644.18</v>
      </c>
      <c r="L5612" s="70"/>
      <c r="M5612" s="934"/>
      <c r="N5612" s="94"/>
      <c r="O5612" s="94"/>
      <c r="P5612" s="94"/>
      <c r="Q5612" s="94"/>
      <c r="R5612" s="94"/>
      <c r="S5612" s="94"/>
      <c r="T5612" s="94"/>
      <c r="U5612" s="94"/>
      <c r="V5612" s="94"/>
      <c r="W5612" s="94"/>
      <c r="X5612" s="94"/>
      <c r="Y5612" s="94"/>
      <c r="Z5612" s="94"/>
      <c r="AA5612" s="94"/>
      <c r="AB5612" s="94"/>
      <c r="AC5612" s="94"/>
      <c r="AD5612" s="94"/>
      <c r="AE5612" s="94"/>
      <c r="AF5612" s="94"/>
      <c r="AG5612" s="94"/>
      <c r="AH5612" s="94"/>
    </row>
    <row r="5613" ht="12.75" hidden="1" customHeight="1" outlineLevel="1">
      <c r="A5613" s="122">
        <v>42018.0</v>
      </c>
      <c r="B5613" s="32" t="s">
        <v>347</v>
      </c>
      <c r="C5613" s="32" t="s">
        <v>1844</v>
      </c>
      <c r="D5613" s="708">
        <v>200.0</v>
      </c>
      <c r="E5613" s="195">
        <v>35.231</v>
      </c>
      <c r="F5613" s="709">
        <v>0.5517592592592593</v>
      </c>
      <c r="G5613" s="195" t="s">
        <v>453</v>
      </c>
      <c r="H5613" s="710">
        <v>1.16</v>
      </c>
      <c r="I5613" s="256"/>
      <c r="J5613" s="67">
        <f t="shared" si="351"/>
        <v>7045.04</v>
      </c>
      <c r="L5613" s="70"/>
      <c r="M5613" s="934"/>
      <c r="N5613" s="94"/>
      <c r="O5613" s="94"/>
      <c r="P5613" s="94"/>
      <c r="Q5613" s="94"/>
      <c r="R5613" s="94"/>
      <c r="S5613" s="94"/>
      <c r="T5613" s="94"/>
      <c r="U5613" s="94"/>
      <c r="V5613" s="94"/>
      <c r="W5613" s="94"/>
      <c r="X5613" s="94"/>
      <c r="Y5613" s="94"/>
      <c r="Z5613" s="94"/>
      <c r="AA5613" s="94"/>
      <c r="AB5613" s="94"/>
      <c r="AC5613" s="94"/>
      <c r="AD5613" s="94"/>
      <c r="AE5613" s="94"/>
      <c r="AF5613" s="94"/>
      <c r="AG5613" s="94"/>
      <c r="AH5613" s="94"/>
    </row>
    <row r="5614" ht="12.75" hidden="1" customHeight="1" outlineLevel="1">
      <c r="A5614" s="122">
        <v>42018.0</v>
      </c>
      <c r="B5614" s="32" t="s">
        <v>347</v>
      </c>
      <c r="C5614" s="32" t="s">
        <v>1158</v>
      </c>
      <c r="D5614" s="708">
        <v>300.0</v>
      </c>
      <c r="E5614" s="195">
        <v>45.17</v>
      </c>
      <c r="F5614" s="709">
        <v>0.5660069444444444</v>
      </c>
      <c r="G5614" s="195" t="s">
        <v>453</v>
      </c>
      <c r="H5614" s="710">
        <v>1.8</v>
      </c>
      <c r="I5614" s="256"/>
      <c r="J5614" s="67">
        <f t="shared" si="351"/>
        <v>13549.2</v>
      </c>
      <c r="L5614" s="70"/>
      <c r="M5614" s="934"/>
      <c r="N5614" s="94"/>
      <c r="O5614" s="94"/>
      <c r="P5614" s="94"/>
      <c r="Q5614" s="94"/>
      <c r="R5614" s="94"/>
      <c r="S5614" s="94"/>
      <c r="T5614" s="94"/>
      <c r="U5614" s="94"/>
      <c r="V5614" s="94"/>
      <c r="W5614" s="94"/>
      <c r="X5614" s="94"/>
      <c r="Y5614" s="94"/>
      <c r="Z5614" s="94"/>
      <c r="AA5614" s="94"/>
      <c r="AB5614" s="94"/>
      <c r="AC5614" s="94"/>
      <c r="AD5614" s="94"/>
      <c r="AE5614" s="94"/>
      <c r="AF5614" s="94"/>
      <c r="AG5614" s="94"/>
      <c r="AH5614" s="94"/>
    </row>
    <row r="5615" ht="12.75" hidden="1" customHeight="1" outlineLevel="1">
      <c r="A5615" s="122">
        <v>42018.0</v>
      </c>
      <c r="B5615" s="32" t="s">
        <v>347</v>
      </c>
      <c r="C5615" s="32" t="s">
        <v>1164</v>
      </c>
      <c r="D5615" s="708">
        <v>250.0</v>
      </c>
      <c r="E5615" s="195">
        <v>39.516</v>
      </c>
      <c r="F5615" s="709">
        <v>0.5664699074074074</v>
      </c>
      <c r="G5615" s="195" t="s">
        <v>453</v>
      </c>
      <c r="H5615" s="710">
        <v>2.22</v>
      </c>
      <c r="I5615" s="256"/>
      <c r="J5615" s="67">
        <f t="shared" si="351"/>
        <v>9876.78</v>
      </c>
      <c r="L5615" s="70"/>
      <c r="M5615" s="934"/>
      <c r="N5615" s="94"/>
      <c r="O5615" s="94"/>
      <c r="P5615" s="94"/>
      <c r="Q5615" s="94"/>
      <c r="R5615" s="94"/>
      <c r="S5615" s="94"/>
      <c r="T5615" s="94"/>
      <c r="U5615" s="94"/>
      <c r="V5615" s="94"/>
      <c r="W5615" s="94"/>
      <c r="X5615" s="94"/>
      <c r="Y5615" s="94"/>
      <c r="Z5615" s="94"/>
      <c r="AA5615" s="94"/>
      <c r="AB5615" s="94"/>
      <c r="AC5615" s="94"/>
      <c r="AD5615" s="94"/>
      <c r="AE5615" s="94"/>
      <c r="AF5615" s="94"/>
      <c r="AG5615" s="94"/>
      <c r="AH5615" s="94"/>
    </row>
    <row r="5616" ht="12.75" hidden="1" customHeight="1" outlineLevel="1">
      <c r="A5616" s="122">
        <v>42018.0</v>
      </c>
      <c r="B5616" s="32" t="s">
        <v>347</v>
      </c>
      <c r="C5616" s="32" t="s">
        <v>2048</v>
      </c>
      <c r="D5616" s="708">
        <v>1000.0</v>
      </c>
      <c r="E5616" s="195">
        <v>9.24</v>
      </c>
      <c r="F5616" s="709">
        <v>0.56875</v>
      </c>
      <c r="G5616" s="195" t="s">
        <v>453</v>
      </c>
      <c r="H5616" s="710">
        <v>4.8</v>
      </c>
      <c r="I5616" s="256"/>
      <c r="J5616" s="67">
        <f t="shared" si="351"/>
        <v>9235.2</v>
      </c>
      <c r="L5616" s="70"/>
      <c r="M5616" s="934"/>
      <c r="N5616" s="94"/>
      <c r="O5616" s="94"/>
      <c r="P5616" s="94"/>
      <c r="Q5616" s="94"/>
      <c r="R5616" s="94"/>
      <c r="S5616" s="94"/>
      <c r="T5616" s="94"/>
      <c r="U5616" s="94"/>
      <c r="V5616" s="94"/>
      <c r="W5616" s="94"/>
      <c r="X5616" s="94"/>
      <c r="Y5616" s="94"/>
      <c r="Z5616" s="94"/>
      <c r="AA5616" s="94"/>
      <c r="AB5616" s="94"/>
      <c r="AC5616" s="94"/>
      <c r="AD5616" s="94"/>
      <c r="AE5616" s="94"/>
      <c r="AF5616" s="94"/>
      <c r="AG5616" s="94"/>
      <c r="AH5616" s="94"/>
    </row>
    <row r="5617" ht="12.75" hidden="1" customHeight="1" outlineLevel="1">
      <c r="A5617" s="122">
        <v>42018.0</v>
      </c>
      <c r="B5617" s="32" t="s">
        <v>347</v>
      </c>
      <c r="C5617" s="32" t="s">
        <v>2192</v>
      </c>
      <c r="D5617" s="708">
        <v>1000.0</v>
      </c>
      <c r="E5617" s="195">
        <v>9.711</v>
      </c>
      <c r="F5617" s="709">
        <v>0.5689004629629629</v>
      </c>
      <c r="G5617" s="195" t="s">
        <v>453</v>
      </c>
      <c r="H5617" s="710">
        <v>4.21</v>
      </c>
      <c r="I5617" s="256"/>
      <c r="J5617" s="67">
        <f t="shared" si="351"/>
        <v>9706.79</v>
      </c>
      <c r="L5617" s="70"/>
      <c r="M5617" s="934"/>
      <c r="N5617" s="94"/>
      <c r="O5617" s="94"/>
      <c r="P5617" s="94"/>
      <c r="Q5617" s="94"/>
      <c r="R5617" s="94"/>
      <c r="S5617" s="94"/>
      <c r="T5617" s="94"/>
      <c r="U5617" s="94"/>
      <c r="V5617" s="94"/>
      <c r="W5617" s="94"/>
      <c r="X5617" s="94"/>
      <c r="Y5617" s="94"/>
      <c r="Z5617" s="94"/>
      <c r="AA5617" s="94"/>
      <c r="AB5617" s="94"/>
      <c r="AC5617" s="94"/>
      <c r="AD5617" s="94"/>
      <c r="AE5617" s="94"/>
      <c r="AF5617" s="94"/>
      <c r="AG5617" s="94"/>
      <c r="AH5617" s="94"/>
    </row>
    <row r="5618" ht="12.75" hidden="1" customHeight="1" outlineLevel="1">
      <c r="A5618" s="122">
        <v>42018.0</v>
      </c>
      <c r="B5618" s="32" t="s">
        <v>343</v>
      </c>
      <c r="C5618" s="32" t="s">
        <v>1844</v>
      </c>
      <c r="D5618" s="708">
        <v>700.0</v>
      </c>
      <c r="E5618" s="195">
        <v>38.054</v>
      </c>
      <c r="F5618" s="709">
        <v>0.6362268518518519</v>
      </c>
      <c r="G5618" s="195" t="s">
        <v>453</v>
      </c>
      <c r="H5618" s="710">
        <v>3.5</v>
      </c>
      <c r="I5618" s="256"/>
      <c r="J5618" s="67">
        <f t="shared" si="351"/>
        <v>-26641.3</v>
      </c>
      <c r="L5618" s="70"/>
      <c r="M5618" s="934"/>
      <c r="N5618" s="94"/>
      <c r="O5618" s="94"/>
      <c r="P5618" s="94"/>
      <c r="Q5618" s="94"/>
      <c r="R5618" s="94"/>
      <c r="S5618" s="94"/>
      <c r="T5618" s="94"/>
      <c r="U5618" s="94"/>
      <c r="V5618" s="94"/>
      <c r="W5618" s="94"/>
      <c r="X5618" s="94"/>
      <c r="Y5618" s="94"/>
      <c r="Z5618" s="94"/>
      <c r="AA5618" s="94"/>
      <c r="AB5618" s="94"/>
      <c r="AC5618" s="94"/>
      <c r="AD5618" s="94"/>
      <c r="AE5618" s="94"/>
      <c r="AF5618" s="94"/>
      <c r="AG5618" s="94"/>
      <c r="AH5618" s="94"/>
    </row>
    <row r="5619" ht="12.75" hidden="1" customHeight="1" outlineLevel="1">
      <c r="A5619" s="122">
        <v>42018.0</v>
      </c>
      <c r="B5619" s="32" t="s">
        <v>343</v>
      </c>
      <c r="C5619" s="32" t="s">
        <v>784</v>
      </c>
      <c r="D5619" s="708">
        <v>8000.0</v>
      </c>
      <c r="E5619" s="195">
        <v>8.038</v>
      </c>
      <c r="F5619" s="709">
        <v>0.6372800925925926</v>
      </c>
      <c r="G5619" s="195" t="s">
        <v>453</v>
      </c>
      <c r="H5619" s="710">
        <v>39.8</v>
      </c>
      <c r="I5619" s="256"/>
      <c r="J5619" s="67">
        <f t="shared" si="351"/>
        <v>-64343.8</v>
      </c>
      <c r="L5619" s="70"/>
      <c r="M5619" s="934"/>
      <c r="N5619" s="94"/>
      <c r="O5619" s="94"/>
      <c r="P5619" s="94"/>
      <c r="Q5619" s="94"/>
      <c r="R5619" s="94"/>
      <c r="S5619" s="94"/>
      <c r="T5619" s="94"/>
      <c r="U5619" s="94"/>
      <c r="V5619" s="94"/>
      <c r="W5619" s="94"/>
      <c r="X5619" s="94"/>
      <c r="Y5619" s="94"/>
      <c r="Z5619" s="94"/>
      <c r="AA5619" s="94"/>
      <c r="AB5619" s="94"/>
      <c r="AC5619" s="94"/>
      <c r="AD5619" s="94"/>
      <c r="AE5619" s="94"/>
      <c r="AF5619" s="94"/>
      <c r="AG5619" s="94"/>
      <c r="AH5619" s="94"/>
    </row>
    <row r="5620" ht="12.75" hidden="1" customHeight="1" outlineLevel="1">
      <c r="A5620" s="122">
        <v>42018.0</v>
      </c>
      <c r="B5620" s="32" t="s">
        <v>343</v>
      </c>
      <c r="C5620" s="32" t="s">
        <v>790</v>
      </c>
      <c r="D5620" s="708">
        <v>8000.0</v>
      </c>
      <c r="E5620" s="195">
        <v>6.89</v>
      </c>
      <c r="F5620" s="709">
        <v>0.6375115740740741</v>
      </c>
      <c r="G5620" s="195" t="s">
        <v>453</v>
      </c>
      <c r="H5620" s="710">
        <v>37.29</v>
      </c>
      <c r="I5620" s="256"/>
      <c r="J5620" s="67">
        <f t="shared" si="351"/>
        <v>-55157.29</v>
      </c>
      <c r="L5620" s="70"/>
      <c r="M5620" s="934"/>
      <c r="N5620" s="94"/>
      <c r="O5620" s="94"/>
      <c r="P5620" s="94"/>
      <c r="Q5620" s="94"/>
      <c r="R5620" s="94"/>
      <c r="S5620" s="94"/>
      <c r="T5620" s="94"/>
      <c r="U5620" s="94"/>
      <c r="V5620" s="94"/>
      <c r="W5620" s="94"/>
      <c r="X5620" s="94"/>
      <c r="Y5620" s="94"/>
      <c r="Z5620" s="94"/>
      <c r="AA5620" s="94"/>
      <c r="AB5620" s="94"/>
      <c r="AC5620" s="94"/>
      <c r="AD5620" s="94"/>
      <c r="AE5620" s="94"/>
      <c r="AF5620" s="94"/>
      <c r="AG5620" s="94"/>
      <c r="AH5620" s="94"/>
    </row>
    <row r="5621" ht="12.75" hidden="1" customHeight="1" outlineLevel="1">
      <c r="A5621" s="122">
        <v>42018.0</v>
      </c>
      <c r="B5621" s="32" t="s">
        <v>343</v>
      </c>
      <c r="C5621" s="32" t="s">
        <v>2192</v>
      </c>
      <c r="D5621" s="708">
        <v>3000.0</v>
      </c>
      <c r="E5621" s="195">
        <v>10.069</v>
      </c>
      <c r="F5621" s="709">
        <v>0.637650462962963</v>
      </c>
      <c r="G5621" s="195" t="s">
        <v>453</v>
      </c>
      <c r="H5621" s="710">
        <v>12.0</v>
      </c>
      <c r="I5621" s="256"/>
      <c r="J5621" s="67">
        <f t="shared" si="351"/>
        <v>-30219</v>
      </c>
      <c r="L5621" s="70"/>
      <c r="M5621" s="934"/>
      <c r="N5621" s="94"/>
      <c r="O5621" s="94"/>
      <c r="P5621" s="94"/>
      <c r="Q5621" s="94"/>
      <c r="R5621" s="94"/>
      <c r="S5621" s="94"/>
      <c r="T5621" s="94"/>
      <c r="U5621" s="94"/>
      <c r="V5621" s="94"/>
      <c r="W5621" s="94"/>
      <c r="X5621" s="94"/>
      <c r="Y5621" s="94"/>
      <c r="Z5621" s="94"/>
      <c r="AA5621" s="94"/>
      <c r="AB5621" s="94"/>
      <c r="AC5621" s="94"/>
      <c r="AD5621" s="94"/>
      <c r="AE5621" s="94"/>
      <c r="AF5621" s="94"/>
      <c r="AG5621" s="94"/>
      <c r="AH5621" s="94"/>
    </row>
    <row r="5622" ht="12.75" hidden="1" customHeight="1" outlineLevel="1">
      <c r="A5622" s="122">
        <v>42018.0</v>
      </c>
      <c r="B5622" s="32" t="s">
        <v>343</v>
      </c>
      <c r="C5622" s="32" t="s">
        <v>2048</v>
      </c>
      <c r="D5622" s="708">
        <v>3000.0</v>
      </c>
      <c r="E5622" s="195">
        <v>9.58</v>
      </c>
      <c r="F5622" s="709">
        <v>0.6377662037037037</v>
      </c>
      <c r="G5622" s="195" t="s">
        <v>453</v>
      </c>
      <c r="H5622" s="710">
        <v>12.5</v>
      </c>
      <c r="I5622" s="256"/>
      <c r="J5622" s="67">
        <f t="shared" si="351"/>
        <v>-28752.5</v>
      </c>
      <c r="L5622" s="70"/>
      <c r="M5622" s="934"/>
      <c r="N5622" s="94"/>
      <c r="O5622" s="94"/>
      <c r="P5622" s="94"/>
      <c r="Q5622" s="94"/>
      <c r="R5622" s="94"/>
      <c r="S5622" s="94"/>
      <c r="T5622" s="94"/>
      <c r="U5622" s="94"/>
      <c r="V5622" s="94"/>
      <c r="W5622" s="94"/>
      <c r="X5622" s="94"/>
      <c r="Y5622" s="94"/>
      <c r="Z5622" s="94"/>
      <c r="AA5622" s="94"/>
      <c r="AB5622" s="94"/>
      <c r="AC5622" s="94"/>
      <c r="AD5622" s="94"/>
      <c r="AE5622" s="94"/>
      <c r="AF5622" s="94"/>
      <c r="AG5622" s="94"/>
      <c r="AH5622" s="94"/>
    </row>
    <row r="5623" ht="12.75" hidden="1" customHeight="1" outlineLevel="1">
      <c r="A5623" s="122">
        <v>42018.0</v>
      </c>
      <c r="B5623" s="32" t="s">
        <v>343</v>
      </c>
      <c r="C5623" s="32" t="s">
        <v>369</v>
      </c>
      <c r="D5623" s="708">
        <v>500.0</v>
      </c>
      <c r="E5623" s="195">
        <v>7.659</v>
      </c>
      <c r="F5623" s="709">
        <v>0.6378587962962963</v>
      </c>
      <c r="G5623" s="195" t="s">
        <v>453</v>
      </c>
      <c r="H5623" s="710">
        <v>2.0</v>
      </c>
      <c r="I5623" s="256"/>
      <c r="J5623" s="67">
        <f t="shared" si="351"/>
        <v>-3831.5</v>
      </c>
      <c r="L5623" s="70"/>
      <c r="M5623" s="934"/>
      <c r="N5623" s="94"/>
      <c r="O5623" s="94"/>
      <c r="P5623" s="94"/>
      <c r="Q5623" s="94"/>
      <c r="R5623" s="94"/>
      <c r="S5623" s="94"/>
      <c r="T5623" s="94"/>
      <c r="U5623" s="94"/>
      <c r="V5623" s="94"/>
      <c r="W5623" s="94"/>
      <c r="X5623" s="94"/>
      <c r="Y5623" s="94"/>
      <c r="Z5623" s="94"/>
      <c r="AA5623" s="94"/>
      <c r="AB5623" s="94"/>
      <c r="AC5623" s="94"/>
      <c r="AD5623" s="94"/>
      <c r="AE5623" s="94"/>
      <c r="AF5623" s="94"/>
      <c r="AG5623" s="94"/>
      <c r="AH5623" s="94"/>
    </row>
    <row r="5624" ht="12.75" hidden="1" customHeight="1" outlineLevel="1">
      <c r="A5624" s="122">
        <v>42018.0</v>
      </c>
      <c r="B5624" s="32" t="s">
        <v>347</v>
      </c>
      <c r="C5624" s="32" t="s">
        <v>1158</v>
      </c>
      <c r="D5624" s="708">
        <v>300.0</v>
      </c>
      <c r="E5624" s="195">
        <v>45.03</v>
      </c>
      <c r="F5624" s="709">
        <v>0.6381712962962963</v>
      </c>
      <c r="G5624" s="195" t="s">
        <v>453</v>
      </c>
      <c r="H5624" s="710">
        <v>1.8</v>
      </c>
      <c r="I5624" s="256"/>
      <c r="J5624" s="67">
        <f t="shared" si="351"/>
        <v>13507.2</v>
      </c>
      <c r="L5624" s="70"/>
      <c r="M5624" s="934"/>
      <c r="N5624" s="94"/>
      <c r="O5624" s="94"/>
      <c r="P5624" s="94"/>
      <c r="Q5624" s="94"/>
      <c r="R5624" s="94"/>
      <c r="S5624" s="94"/>
      <c r="T5624" s="94"/>
      <c r="U5624" s="94"/>
      <c r="V5624" s="94"/>
      <c r="W5624" s="94"/>
      <c r="X5624" s="94"/>
      <c r="Y5624" s="94"/>
      <c r="Z5624" s="94"/>
      <c r="AA5624" s="94"/>
      <c r="AB5624" s="94"/>
      <c r="AC5624" s="94"/>
      <c r="AD5624" s="94"/>
      <c r="AE5624" s="94"/>
      <c r="AF5624" s="94"/>
      <c r="AG5624" s="94"/>
      <c r="AH5624" s="94"/>
    </row>
    <row r="5625" ht="12.75" hidden="1" customHeight="1" outlineLevel="1">
      <c r="A5625" s="122">
        <v>42018.0</v>
      </c>
      <c r="B5625" s="32" t="s">
        <v>347</v>
      </c>
      <c r="C5625" s="32" t="s">
        <v>1164</v>
      </c>
      <c r="D5625" s="708">
        <v>250.0</v>
      </c>
      <c r="E5625" s="195">
        <v>39.32</v>
      </c>
      <c r="F5625" s="709">
        <v>0.638287037037037</v>
      </c>
      <c r="G5625" s="195" t="s">
        <v>453</v>
      </c>
      <c r="H5625" s="710">
        <v>1.47</v>
      </c>
      <c r="I5625" s="256"/>
      <c r="J5625" s="67">
        <f t="shared" si="351"/>
        <v>9828.53</v>
      </c>
      <c r="L5625" s="70"/>
      <c r="M5625" s="934"/>
      <c r="N5625" s="94"/>
      <c r="O5625" s="94"/>
      <c r="P5625" s="94"/>
      <c r="Q5625" s="94"/>
      <c r="R5625" s="94"/>
      <c r="S5625" s="94"/>
      <c r="T5625" s="94"/>
      <c r="U5625" s="94"/>
      <c r="V5625" s="94"/>
      <c r="W5625" s="94"/>
      <c r="X5625" s="94"/>
      <c r="Y5625" s="94"/>
      <c r="Z5625" s="94"/>
      <c r="AA5625" s="94"/>
      <c r="AB5625" s="94"/>
      <c r="AC5625" s="94"/>
      <c r="AD5625" s="94"/>
      <c r="AE5625" s="94"/>
      <c r="AF5625" s="94"/>
      <c r="AG5625" s="94"/>
      <c r="AH5625" s="94"/>
    </row>
    <row r="5626" ht="12.75" hidden="1" customHeight="1" outlineLevel="1">
      <c r="A5626" s="122">
        <v>42018.0</v>
      </c>
      <c r="B5626" s="32" t="s">
        <v>347</v>
      </c>
      <c r="C5626" s="32" t="s">
        <v>2342</v>
      </c>
      <c r="D5626" s="708">
        <v>200.0</v>
      </c>
      <c r="E5626" s="195">
        <v>54.462</v>
      </c>
      <c r="F5626" s="709">
        <v>0.6521990740740741</v>
      </c>
      <c r="G5626" s="195" t="s">
        <v>453</v>
      </c>
      <c r="H5626" s="710">
        <v>1.24</v>
      </c>
      <c r="I5626" s="256"/>
      <c r="J5626" s="67">
        <f t="shared" si="351"/>
        <v>10891.16</v>
      </c>
      <c r="L5626" s="70"/>
      <c r="M5626" s="934"/>
      <c r="N5626" s="94"/>
      <c r="O5626" s="94"/>
      <c r="P5626" s="94"/>
      <c r="Q5626" s="94"/>
      <c r="R5626" s="94"/>
      <c r="S5626" s="94"/>
      <c r="T5626" s="94"/>
      <c r="U5626" s="94"/>
      <c r="V5626" s="94"/>
      <c r="W5626" s="94"/>
      <c r="X5626" s="94"/>
      <c r="Y5626" s="94"/>
      <c r="Z5626" s="94"/>
      <c r="AA5626" s="94"/>
      <c r="AB5626" s="94"/>
      <c r="AC5626" s="94"/>
      <c r="AD5626" s="94"/>
      <c r="AE5626" s="94"/>
      <c r="AF5626" s="94"/>
      <c r="AG5626" s="94"/>
      <c r="AH5626" s="94"/>
    </row>
    <row r="5627" ht="12.75" hidden="1" customHeight="1" outlineLevel="1">
      <c r="A5627" s="122">
        <v>42018.0</v>
      </c>
      <c r="B5627" s="32" t="s">
        <v>347</v>
      </c>
      <c r="C5627" s="32" t="s">
        <v>1382</v>
      </c>
      <c r="D5627" s="708">
        <v>50.0</v>
      </c>
      <c r="E5627" s="195">
        <v>139.76</v>
      </c>
      <c r="F5627" s="709">
        <v>0.6524537037037037</v>
      </c>
      <c r="G5627" s="195" t="s">
        <v>453</v>
      </c>
      <c r="H5627" s="710">
        <v>1.15</v>
      </c>
      <c r="I5627" s="256"/>
      <c r="J5627" s="67">
        <f t="shared" si="351"/>
        <v>6986.85</v>
      </c>
      <c r="L5627" s="70"/>
      <c r="M5627" s="934"/>
      <c r="N5627" s="94"/>
      <c r="O5627" s="94"/>
      <c r="P5627" s="94"/>
      <c r="Q5627" s="94"/>
      <c r="R5627" s="94"/>
      <c r="S5627" s="94"/>
      <c r="T5627" s="94"/>
      <c r="U5627" s="94"/>
      <c r="V5627" s="94"/>
      <c r="W5627" s="94"/>
      <c r="X5627" s="94"/>
      <c r="Y5627" s="94"/>
      <c r="Z5627" s="94"/>
      <c r="AA5627" s="94"/>
      <c r="AB5627" s="94"/>
      <c r="AC5627" s="94"/>
      <c r="AD5627" s="94"/>
      <c r="AE5627" s="94"/>
      <c r="AF5627" s="94"/>
      <c r="AG5627" s="94"/>
      <c r="AH5627" s="94"/>
    </row>
    <row r="5628" ht="12.75" hidden="1" customHeight="1" outlineLevel="1">
      <c r="A5628" s="122">
        <v>42018.0</v>
      </c>
      <c r="B5628" s="32" t="s">
        <v>347</v>
      </c>
      <c r="C5628" s="32" t="s">
        <v>1357</v>
      </c>
      <c r="D5628" s="708">
        <v>200.0</v>
      </c>
      <c r="E5628" s="195">
        <v>37.46</v>
      </c>
      <c r="F5628" s="709">
        <v>0.6604629629629629</v>
      </c>
      <c r="G5628" s="195" t="s">
        <v>453</v>
      </c>
      <c r="H5628" s="710">
        <v>1.17</v>
      </c>
      <c r="I5628" s="256"/>
      <c r="J5628" s="67">
        <f t="shared" si="351"/>
        <v>7490.83</v>
      </c>
      <c r="L5628" s="70"/>
      <c r="M5628" s="934"/>
      <c r="N5628" s="94"/>
      <c r="O5628" s="94"/>
      <c r="P5628" s="94"/>
      <c r="Q5628" s="94"/>
      <c r="R5628" s="94"/>
      <c r="S5628" s="94"/>
      <c r="T5628" s="94"/>
      <c r="U5628" s="94"/>
      <c r="V5628" s="94"/>
      <c r="W5628" s="94"/>
      <c r="X5628" s="94"/>
      <c r="Y5628" s="94"/>
      <c r="Z5628" s="94"/>
      <c r="AA5628" s="94"/>
      <c r="AB5628" s="94"/>
      <c r="AC5628" s="94"/>
      <c r="AD5628" s="94"/>
      <c r="AE5628" s="94"/>
      <c r="AF5628" s="94"/>
      <c r="AG5628" s="94"/>
      <c r="AH5628" s="94"/>
    </row>
    <row r="5629" ht="12.75" hidden="1" customHeight="1" outlineLevel="1">
      <c r="A5629" s="122">
        <v>42018.0</v>
      </c>
      <c r="B5629" s="32" t="s">
        <v>347</v>
      </c>
      <c r="C5629" s="32" t="s">
        <v>1325</v>
      </c>
      <c r="D5629" s="708">
        <v>100.0</v>
      </c>
      <c r="E5629" s="195">
        <v>65.47</v>
      </c>
      <c r="F5629" s="709">
        <v>0.6608217592592592</v>
      </c>
      <c r="G5629" s="195" t="s">
        <v>453</v>
      </c>
      <c r="H5629" s="710">
        <v>1.14</v>
      </c>
      <c r="I5629" s="256"/>
      <c r="J5629" s="67">
        <f t="shared" si="351"/>
        <v>6545.86</v>
      </c>
      <c r="L5629" s="70"/>
      <c r="M5629" s="934"/>
      <c r="N5629" s="94"/>
      <c r="O5629" s="94"/>
      <c r="P5629" s="94"/>
      <c r="Q5629" s="94"/>
      <c r="R5629" s="94"/>
      <c r="S5629" s="94"/>
      <c r="T5629" s="94"/>
      <c r="U5629" s="94"/>
      <c r="V5629" s="94"/>
      <c r="W5629" s="94"/>
      <c r="X5629" s="94"/>
      <c r="Y5629" s="94"/>
      <c r="Z5629" s="94"/>
      <c r="AA5629" s="94"/>
      <c r="AB5629" s="94"/>
      <c r="AC5629" s="94"/>
      <c r="AD5629" s="94"/>
      <c r="AE5629" s="94"/>
      <c r="AF5629" s="94"/>
      <c r="AG5629" s="94"/>
      <c r="AH5629" s="94"/>
    </row>
    <row r="5630" ht="12.75" hidden="1" customHeight="1" outlineLevel="1">
      <c r="A5630" s="122">
        <v>42018.0</v>
      </c>
      <c r="B5630" s="32" t="s">
        <v>347</v>
      </c>
      <c r="C5630" s="32" t="s">
        <v>356</v>
      </c>
      <c r="D5630" s="708">
        <v>25.0</v>
      </c>
      <c r="E5630" s="195">
        <v>414.62</v>
      </c>
      <c r="F5630" s="709">
        <v>0.6643171296296296</v>
      </c>
      <c r="G5630" s="195" t="s">
        <v>453</v>
      </c>
      <c r="H5630" s="710">
        <v>1.23</v>
      </c>
      <c r="I5630" s="256"/>
      <c r="J5630" s="67">
        <f t="shared" si="351"/>
        <v>10364.27</v>
      </c>
      <c r="L5630" s="70"/>
      <c r="M5630" s="934"/>
      <c r="N5630" s="94"/>
      <c r="O5630" s="94"/>
      <c r="P5630" s="94"/>
      <c r="Q5630" s="94"/>
      <c r="R5630" s="94"/>
      <c r="S5630" s="94"/>
      <c r="T5630" s="94"/>
      <c r="U5630" s="94"/>
      <c r="V5630" s="94"/>
      <c r="W5630" s="94"/>
      <c r="X5630" s="94"/>
      <c r="Y5630" s="94"/>
      <c r="Z5630" s="94"/>
      <c r="AA5630" s="94"/>
      <c r="AB5630" s="94"/>
      <c r="AC5630" s="94"/>
      <c r="AD5630" s="94"/>
      <c r="AE5630" s="94"/>
      <c r="AF5630" s="94"/>
      <c r="AG5630" s="94"/>
      <c r="AH5630" s="94"/>
    </row>
    <row r="5631" ht="12.75" hidden="1" customHeight="1" outlineLevel="1">
      <c r="A5631" s="882">
        <v>42018.0</v>
      </c>
      <c r="B5631" s="1"/>
      <c r="C5631" s="1" t="s">
        <v>339</v>
      </c>
      <c r="D5631" s="74"/>
      <c r="E5631" s="67"/>
      <c r="F5631" s="75"/>
      <c r="G5631" s="67"/>
      <c r="H5631" s="68"/>
      <c r="I5631" s="76"/>
      <c r="J5631" s="67"/>
      <c r="K5631" s="9" t="s">
        <v>2589</v>
      </c>
      <c r="L5631" s="934"/>
      <c r="M5631" s="934"/>
    </row>
    <row r="5632" ht="12.75" hidden="1" customHeight="1" outlineLevel="1">
      <c r="A5632" s="882">
        <v>42018.0</v>
      </c>
      <c r="B5632" s="1"/>
      <c r="C5632" s="1" t="s">
        <v>429</v>
      </c>
      <c r="D5632" s="74"/>
      <c r="E5632" s="67"/>
      <c r="F5632" s="75"/>
      <c r="G5632" s="67"/>
      <c r="H5632" s="68"/>
      <c r="I5632" s="76"/>
      <c r="J5632" s="67"/>
      <c r="K5632" s="9" t="s">
        <v>2580</v>
      </c>
      <c r="L5632" s="934"/>
      <c r="M5632" s="934"/>
    </row>
    <row r="5633" ht="12.75" hidden="1" customHeight="1" outlineLevel="1">
      <c r="A5633" s="882">
        <v>42018.0</v>
      </c>
      <c r="B5633" s="1"/>
      <c r="C5633" s="1" t="s">
        <v>431</v>
      </c>
      <c r="D5633" s="74"/>
      <c r="E5633" s="67"/>
      <c r="F5633" s="75"/>
      <c r="G5633" s="67"/>
      <c r="H5633" s="68"/>
      <c r="I5633" s="76"/>
      <c r="J5633" s="67"/>
      <c r="K5633" s="7" t="s">
        <v>1126</v>
      </c>
      <c r="L5633" s="934"/>
      <c r="M5633" s="934"/>
    </row>
    <row r="5634" ht="12.75" hidden="1" customHeight="1" outlineLevel="1">
      <c r="A5634" s="882">
        <v>42018.0</v>
      </c>
      <c r="B5634" s="1"/>
      <c r="C5634" s="1" t="s">
        <v>433</v>
      </c>
      <c r="D5634" s="74"/>
      <c r="E5634" s="67"/>
      <c r="F5634" s="75"/>
      <c r="G5634" s="67"/>
      <c r="H5634" s="68"/>
      <c r="I5634" s="76"/>
      <c r="J5634" s="67"/>
      <c r="K5634" s="7" t="s">
        <v>1103</v>
      </c>
      <c r="L5634" s="934"/>
      <c r="M5634" s="934"/>
    </row>
    <row r="5635" ht="12.75" hidden="1" customHeight="1" outlineLevel="1">
      <c r="A5635" s="882">
        <v>42018.0</v>
      </c>
      <c r="B5635" s="1"/>
      <c r="C5635" s="1" t="s">
        <v>435</v>
      </c>
      <c r="D5635" s="74"/>
      <c r="E5635" s="67"/>
      <c r="F5635" s="75"/>
      <c r="G5635" s="67"/>
      <c r="H5635" s="68"/>
      <c r="I5635" s="76"/>
      <c r="J5635" s="67"/>
      <c r="K5635" s="9" t="s">
        <v>2486</v>
      </c>
      <c r="L5635" s="934"/>
      <c r="M5635" s="934"/>
    </row>
    <row r="5636" ht="12.75" hidden="1" customHeight="1" outlineLevel="1">
      <c r="A5636" s="122">
        <v>42019.0</v>
      </c>
      <c r="B5636" s="32" t="s">
        <v>347</v>
      </c>
      <c r="C5636" s="32" t="s">
        <v>784</v>
      </c>
      <c r="D5636" s="708">
        <v>4000.0</v>
      </c>
      <c r="E5636" s="195">
        <v>8.04</v>
      </c>
      <c r="F5636" s="709">
        <v>0.40644675925925927</v>
      </c>
      <c r="G5636" s="195" t="s">
        <v>453</v>
      </c>
      <c r="H5636" s="710">
        <v>20.61</v>
      </c>
      <c r="I5636" s="256"/>
      <c r="J5636" s="67">
        <f t="shared" ref="J5636:J5645" si="352">IF(B5636="SLD",D5636*E5636,-D5636*E5636)-H5636</f>
        <v>32139.39</v>
      </c>
      <c r="L5636" s="70"/>
      <c r="M5636" s="934"/>
      <c r="N5636" s="94"/>
      <c r="O5636" s="94"/>
      <c r="P5636" s="94"/>
      <c r="Q5636" s="94"/>
      <c r="R5636" s="94"/>
      <c r="S5636" s="94"/>
      <c r="T5636" s="94"/>
      <c r="U5636" s="94"/>
      <c r="V5636" s="94"/>
      <c r="W5636" s="94"/>
      <c r="X5636" s="94"/>
      <c r="Y5636" s="94"/>
      <c r="Z5636" s="94"/>
      <c r="AA5636" s="94"/>
      <c r="AB5636" s="94"/>
      <c r="AC5636" s="94"/>
      <c r="AD5636" s="94"/>
      <c r="AE5636" s="94"/>
      <c r="AF5636" s="94"/>
      <c r="AG5636" s="94"/>
      <c r="AH5636" s="94"/>
    </row>
    <row r="5637" ht="12.75" hidden="1" customHeight="1" outlineLevel="1">
      <c r="A5637" s="122">
        <v>42019.0</v>
      </c>
      <c r="B5637" s="32" t="s">
        <v>347</v>
      </c>
      <c r="C5637" s="32" t="s">
        <v>790</v>
      </c>
      <c r="D5637" s="708">
        <v>2500.0</v>
      </c>
      <c r="E5637" s="195">
        <v>6.831</v>
      </c>
      <c r="F5637" s="709">
        <v>0.4071296296296296</v>
      </c>
      <c r="G5637" s="195" t="s">
        <v>453</v>
      </c>
      <c r="H5637" s="710">
        <v>10.48</v>
      </c>
      <c r="I5637" s="256"/>
      <c r="J5637" s="67">
        <f t="shared" si="352"/>
        <v>17067.02</v>
      </c>
      <c r="L5637" s="70"/>
      <c r="M5637" s="934"/>
      <c r="N5637" s="94"/>
      <c r="O5637" s="94"/>
      <c r="P5637" s="94"/>
      <c r="Q5637" s="94"/>
      <c r="R5637" s="94"/>
      <c r="S5637" s="94"/>
      <c r="T5637" s="94"/>
      <c r="U5637" s="94"/>
      <c r="V5637" s="94"/>
      <c r="W5637" s="94"/>
      <c r="X5637" s="94"/>
      <c r="Y5637" s="94"/>
      <c r="Z5637" s="94"/>
      <c r="AA5637" s="94"/>
      <c r="AB5637" s="94"/>
      <c r="AC5637" s="94"/>
      <c r="AD5637" s="94"/>
      <c r="AE5637" s="94"/>
      <c r="AF5637" s="94"/>
      <c r="AG5637" s="94"/>
      <c r="AH5637" s="94"/>
    </row>
    <row r="5638" ht="12.75" hidden="1" customHeight="1" outlineLevel="1">
      <c r="A5638" s="122">
        <v>42019.0</v>
      </c>
      <c r="B5638" s="32" t="s">
        <v>347</v>
      </c>
      <c r="C5638" s="32" t="s">
        <v>1844</v>
      </c>
      <c r="D5638" s="708">
        <v>200.0</v>
      </c>
      <c r="E5638" s="195">
        <v>37.79</v>
      </c>
      <c r="F5638" s="709">
        <v>0.4074074074074074</v>
      </c>
      <c r="G5638" s="195" t="s">
        <v>453</v>
      </c>
      <c r="H5638" s="710">
        <v>1.17</v>
      </c>
      <c r="I5638" s="256"/>
      <c r="J5638" s="67">
        <f t="shared" si="352"/>
        <v>7556.83</v>
      </c>
      <c r="L5638" s="70"/>
      <c r="M5638" s="934"/>
      <c r="N5638" s="94"/>
      <c r="O5638" s="94"/>
      <c r="P5638" s="94"/>
      <c r="Q5638" s="94"/>
      <c r="R5638" s="94"/>
      <c r="S5638" s="94"/>
      <c r="T5638" s="94"/>
      <c r="U5638" s="94"/>
      <c r="V5638" s="94"/>
      <c r="W5638" s="94"/>
      <c r="X5638" s="94"/>
      <c r="Y5638" s="94"/>
      <c r="Z5638" s="94"/>
      <c r="AA5638" s="94"/>
      <c r="AB5638" s="94"/>
      <c r="AC5638" s="94"/>
      <c r="AD5638" s="94"/>
      <c r="AE5638" s="94"/>
      <c r="AF5638" s="94"/>
      <c r="AG5638" s="94"/>
      <c r="AH5638" s="94"/>
    </row>
    <row r="5639" ht="12.75" hidden="1" customHeight="1" outlineLevel="1">
      <c r="A5639" s="122">
        <v>42019.0</v>
      </c>
      <c r="B5639" s="32" t="s">
        <v>347</v>
      </c>
      <c r="C5639" s="32" t="s">
        <v>2048</v>
      </c>
      <c r="D5639" s="708">
        <v>1500.0</v>
      </c>
      <c r="E5639" s="195">
        <v>9.65</v>
      </c>
      <c r="F5639" s="709">
        <v>0.40800925925925924</v>
      </c>
      <c r="G5639" s="195" t="s">
        <v>453</v>
      </c>
      <c r="H5639" s="710">
        <v>7.82</v>
      </c>
      <c r="I5639" s="256"/>
      <c r="J5639" s="67">
        <f t="shared" si="352"/>
        <v>14467.18</v>
      </c>
      <c r="L5639" s="70"/>
      <c r="M5639" s="934"/>
      <c r="N5639" s="94"/>
      <c r="O5639" s="94"/>
      <c r="P5639" s="94"/>
      <c r="Q5639" s="94"/>
      <c r="R5639" s="94"/>
      <c r="S5639" s="94"/>
      <c r="T5639" s="94"/>
      <c r="U5639" s="94"/>
      <c r="V5639" s="94"/>
      <c r="W5639" s="94"/>
      <c r="X5639" s="94"/>
      <c r="Y5639" s="94"/>
      <c r="Z5639" s="94"/>
      <c r="AA5639" s="94"/>
      <c r="AB5639" s="94"/>
      <c r="AC5639" s="94"/>
      <c r="AD5639" s="94"/>
      <c r="AE5639" s="94"/>
      <c r="AF5639" s="94"/>
      <c r="AG5639" s="94"/>
      <c r="AH5639" s="94"/>
    </row>
    <row r="5640" ht="12.75" hidden="1" customHeight="1" outlineLevel="1">
      <c r="A5640" s="122">
        <v>42019.0</v>
      </c>
      <c r="B5640" s="32" t="s">
        <v>347</v>
      </c>
      <c r="C5640" s="32" t="s">
        <v>2192</v>
      </c>
      <c r="D5640" s="708">
        <v>1500.0</v>
      </c>
      <c r="E5640" s="195">
        <v>9.981</v>
      </c>
      <c r="F5640" s="709">
        <v>0.40850694444444446</v>
      </c>
      <c r="G5640" s="195" t="s">
        <v>453</v>
      </c>
      <c r="H5640" s="710">
        <v>6.33</v>
      </c>
      <c r="I5640" s="256"/>
      <c r="J5640" s="67">
        <f t="shared" si="352"/>
        <v>14965.17</v>
      </c>
      <c r="L5640" s="70"/>
      <c r="M5640" s="934"/>
      <c r="N5640" s="94"/>
      <c r="O5640" s="94"/>
      <c r="P5640" s="94"/>
      <c r="Q5640" s="94"/>
      <c r="R5640" s="94"/>
      <c r="S5640" s="94"/>
      <c r="T5640" s="94"/>
      <c r="U5640" s="94"/>
      <c r="V5640" s="94"/>
      <c r="W5640" s="94"/>
      <c r="X5640" s="94"/>
      <c r="Y5640" s="94"/>
      <c r="Z5640" s="94"/>
      <c r="AA5640" s="94"/>
      <c r="AB5640" s="94"/>
      <c r="AC5640" s="94"/>
      <c r="AD5640" s="94"/>
      <c r="AE5640" s="94"/>
      <c r="AF5640" s="94"/>
      <c r="AG5640" s="94"/>
      <c r="AH5640" s="94"/>
    </row>
    <row r="5641" ht="12.75" hidden="1" customHeight="1" outlineLevel="1">
      <c r="A5641" s="122">
        <v>42019.0</v>
      </c>
      <c r="B5641" s="32" t="s">
        <v>347</v>
      </c>
      <c r="C5641" s="32" t="s">
        <v>369</v>
      </c>
      <c r="D5641" s="708">
        <v>2500.0</v>
      </c>
      <c r="E5641" s="195">
        <v>7.857</v>
      </c>
      <c r="F5641" s="709">
        <v>0.4194097222222222</v>
      </c>
      <c r="G5641" s="195" t="s">
        <v>453</v>
      </c>
      <c r="H5641" s="710">
        <v>12.33</v>
      </c>
      <c r="I5641" s="256"/>
      <c r="J5641" s="67">
        <f t="shared" si="352"/>
        <v>19630.17</v>
      </c>
      <c r="L5641" s="70"/>
      <c r="M5641" s="934"/>
      <c r="N5641" s="94"/>
      <c r="O5641" s="94"/>
      <c r="P5641" s="94"/>
      <c r="Q5641" s="94"/>
      <c r="R5641" s="94"/>
      <c r="S5641" s="94"/>
      <c r="T5641" s="94"/>
      <c r="U5641" s="94"/>
      <c r="V5641" s="94"/>
      <c r="W5641" s="94"/>
      <c r="X5641" s="94"/>
      <c r="Y5641" s="94"/>
      <c r="Z5641" s="94"/>
      <c r="AA5641" s="94"/>
      <c r="AB5641" s="94"/>
      <c r="AC5641" s="94"/>
      <c r="AD5641" s="94"/>
      <c r="AE5641" s="94"/>
      <c r="AF5641" s="94"/>
      <c r="AG5641" s="94"/>
      <c r="AH5641" s="94"/>
    </row>
    <row r="5642" ht="12.75" hidden="1" customHeight="1" outlineLevel="1">
      <c r="A5642" s="122">
        <v>42019.0</v>
      </c>
      <c r="B5642" s="32" t="s">
        <v>343</v>
      </c>
      <c r="C5642" s="32" t="s">
        <v>369</v>
      </c>
      <c r="D5642" s="708">
        <v>1500.0</v>
      </c>
      <c r="E5642" s="195">
        <v>8.61</v>
      </c>
      <c r="F5642" s="709">
        <v>0.592037037037037</v>
      </c>
      <c r="G5642" s="195" t="s">
        <v>453</v>
      </c>
      <c r="H5642" s="710">
        <v>7.0</v>
      </c>
      <c r="I5642" s="256"/>
      <c r="J5642" s="67">
        <f t="shared" si="352"/>
        <v>-12922</v>
      </c>
      <c r="L5642" s="70"/>
      <c r="M5642" s="934"/>
      <c r="N5642" s="94"/>
      <c r="O5642" s="94"/>
      <c r="P5642" s="94"/>
      <c r="Q5642" s="94"/>
      <c r="R5642" s="94"/>
      <c r="S5642" s="94"/>
      <c r="T5642" s="94"/>
      <c r="U5642" s="94"/>
      <c r="V5642" s="94"/>
      <c r="W5642" s="94"/>
      <c r="X5642" s="94"/>
      <c r="Y5642" s="94"/>
      <c r="Z5642" s="94"/>
      <c r="AA5642" s="94"/>
      <c r="AB5642" s="94"/>
      <c r="AC5642" s="94"/>
      <c r="AD5642" s="94"/>
      <c r="AE5642" s="94"/>
      <c r="AF5642" s="94"/>
      <c r="AG5642" s="94"/>
      <c r="AH5642" s="94"/>
    </row>
    <row r="5643" ht="12.75" hidden="1" customHeight="1" outlineLevel="1">
      <c r="A5643" s="122">
        <v>42019.0</v>
      </c>
      <c r="B5643" s="32" t="s">
        <v>343</v>
      </c>
      <c r="C5643" s="32" t="s">
        <v>369</v>
      </c>
      <c r="D5643" s="708">
        <v>1000.0</v>
      </c>
      <c r="E5643" s="195">
        <v>8.75</v>
      </c>
      <c r="F5643" s="709">
        <v>0.6151388888888889</v>
      </c>
      <c r="G5643" s="195" t="s">
        <v>453</v>
      </c>
      <c r="H5643" s="710">
        <v>4.0</v>
      </c>
      <c r="I5643" s="256"/>
      <c r="J5643" s="67">
        <f t="shared" si="352"/>
        <v>-8754</v>
      </c>
      <c r="L5643" s="70"/>
      <c r="M5643" s="934"/>
      <c r="N5643" s="94"/>
      <c r="O5643" s="94"/>
      <c r="P5643" s="94"/>
      <c r="Q5643" s="94"/>
      <c r="R5643" s="94"/>
      <c r="S5643" s="94"/>
      <c r="T5643" s="94"/>
      <c r="U5643" s="94"/>
      <c r="V5643" s="94"/>
      <c r="W5643" s="94"/>
      <c r="X5643" s="94"/>
      <c r="Y5643" s="94"/>
      <c r="Z5643" s="94"/>
      <c r="AA5643" s="94"/>
      <c r="AB5643" s="94"/>
      <c r="AC5643" s="94"/>
      <c r="AD5643" s="94"/>
      <c r="AE5643" s="94"/>
      <c r="AF5643" s="94"/>
      <c r="AG5643" s="94"/>
      <c r="AH5643" s="94"/>
    </row>
    <row r="5644" ht="12.75" hidden="1" customHeight="1" outlineLevel="1">
      <c r="A5644" s="122">
        <v>42019.0</v>
      </c>
      <c r="B5644" s="32" t="s">
        <v>343</v>
      </c>
      <c r="C5644" s="32" t="s">
        <v>790</v>
      </c>
      <c r="D5644" s="708">
        <v>1500.0</v>
      </c>
      <c r="E5644" s="195">
        <v>6.99</v>
      </c>
      <c r="F5644" s="709">
        <v>0.6242476851851851</v>
      </c>
      <c r="G5644" s="195" t="s">
        <v>453</v>
      </c>
      <c r="H5644" s="710">
        <v>7.5</v>
      </c>
      <c r="I5644" s="256"/>
      <c r="J5644" s="67">
        <f t="shared" si="352"/>
        <v>-10492.5</v>
      </c>
      <c r="L5644" s="70"/>
      <c r="M5644" s="934"/>
      <c r="N5644" s="94"/>
      <c r="O5644" s="94"/>
      <c r="P5644" s="94"/>
      <c r="Q5644" s="94"/>
      <c r="R5644" s="94"/>
      <c r="S5644" s="94"/>
      <c r="T5644" s="94"/>
      <c r="U5644" s="94"/>
      <c r="V5644" s="94"/>
      <c r="W5644" s="94"/>
      <c r="X5644" s="94"/>
      <c r="Y5644" s="94"/>
      <c r="Z5644" s="94"/>
      <c r="AA5644" s="94"/>
      <c r="AB5644" s="94"/>
      <c r="AC5644" s="94"/>
      <c r="AD5644" s="94"/>
      <c r="AE5644" s="94"/>
      <c r="AF5644" s="94"/>
      <c r="AG5644" s="94"/>
      <c r="AH5644" s="94"/>
    </row>
    <row r="5645" ht="12.75" hidden="1" customHeight="1" outlineLevel="1">
      <c r="A5645" s="122">
        <v>42019.0</v>
      </c>
      <c r="B5645" s="32" t="s">
        <v>343</v>
      </c>
      <c r="C5645" s="32" t="s">
        <v>790</v>
      </c>
      <c r="D5645" s="708">
        <v>1000.0</v>
      </c>
      <c r="E5645" s="195">
        <v>6.99</v>
      </c>
      <c r="F5645" s="709">
        <v>0.6248032407407408</v>
      </c>
      <c r="G5645" s="195" t="s">
        <v>453</v>
      </c>
      <c r="H5645" s="710">
        <v>5.0</v>
      </c>
      <c r="I5645" s="256"/>
      <c r="J5645" s="67">
        <f t="shared" si="352"/>
        <v>-6995</v>
      </c>
      <c r="L5645" s="70"/>
      <c r="M5645" s="934"/>
      <c r="N5645" s="94"/>
      <c r="O5645" s="94"/>
      <c r="P5645" s="94"/>
      <c r="Q5645" s="94"/>
      <c r="R5645" s="94"/>
      <c r="S5645" s="94"/>
      <c r="T5645" s="94"/>
      <c r="U5645" s="94"/>
      <c r="V5645" s="94"/>
      <c r="W5645" s="94"/>
      <c r="X5645" s="94"/>
      <c r="Y5645" s="94"/>
      <c r="Z5645" s="94"/>
      <c r="AA5645" s="94"/>
      <c r="AB5645" s="94"/>
      <c r="AC5645" s="94"/>
      <c r="AD5645" s="94"/>
      <c r="AE5645" s="94"/>
      <c r="AF5645" s="94"/>
      <c r="AG5645" s="94"/>
      <c r="AH5645" s="94"/>
    </row>
    <row r="5646" ht="12.75" hidden="1" customHeight="1" outlineLevel="1">
      <c r="A5646" s="882">
        <v>42019.0</v>
      </c>
      <c r="B5646" s="1"/>
      <c r="C5646" s="1" t="s">
        <v>339</v>
      </c>
      <c r="D5646" s="74"/>
      <c r="E5646" s="67"/>
      <c r="F5646" s="75"/>
      <c r="G5646" s="67"/>
      <c r="H5646" s="68"/>
      <c r="I5646" s="76"/>
      <c r="J5646" s="67"/>
      <c r="K5646" s="9" t="s">
        <v>2775</v>
      </c>
      <c r="L5646" s="934"/>
      <c r="M5646" s="934"/>
    </row>
    <row r="5647" ht="12.75" hidden="1" customHeight="1" outlineLevel="1">
      <c r="A5647" s="882">
        <v>42019.0</v>
      </c>
      <c r="B5647" s="1"/>
      <c r="C5647" s="1" t="s">
        <v>429</v>
      </c>
      <c r="D5647" s="74"/>
      <c r="E5647" s="67"/>
      <c r="F5647" s="75"/>
      <c r="G5647" s="67"/>
      <c r="H5647" s="68"/>
      <c r="I5647" s="76"/>
      <c r="J5647" s="67"/>
      <c r="K5647" s="9" t="s">
        <v>2580</v>
      </c>
      <c r="L5647" s="934"/>
      <c r="M5647" s="934"/>
    </row>
    <row r="5648" ht="12.75" hidden="1" customHeight="1" outlineLevel="1">
      <c r="A5648" s="882">
        <v>42019.0</v>
      </c>
      <c r="B5648" s="1"/>
      <c r="C5648" s="1" t="s">
        <v>431</v>
      </c>
      <c r="D5648" s="74"/>
      <c r="E5648" s="67"/>
      <c r="F5648" s="75"/>
      <c r="G5648" s="67"/>
      <c r="H5648" s="68"/>
      <c r="I5648" s="76"/>
      <c r="J5648" s="67"/>
      <c r="K5648" s="7" t="s">
        <v>1126</v>
      </c>
      <c r="L5648" s="934"/>
      <c r="M5648" s="934"/>
    </row>
    <row r="5649" ht="12.75" hidden="1" customHeight="1" outlineLevel="1">
      <c r="A5649" s="882">
        <v>42019.0</v>
      </c>
      <c r="B5649" s="1"/>
      <c r="C5649" s="1" t="s">
        <v>433</v>
      </c>
      <c r="D5649" s="74"/>
      <c r="E5649" s="67"/>
      <c r="F5649" s="75"/>
      <c r="G5649" s="67"/>
      <c r="H5649" s="68"/>
      <c r="I5649" s="76"/>
      <c r="J5649" s="67"/>
      <c r="K5649" s="7" t="s">
        <v>1103</v>
      </c>
      <c r="L5649" s="934"/>
      <c r="M5649" s="934"/>
    </row>
    <row r="5650" ht="12.75" hidden="1" customHeight="1" outlineLevel="1">
      <c r="A5650" s="882">
        <v>42019.0</v>
      </c>
      <c r="B5650" s="1"/>
      <c r="C5650" s="1" t="s">
        <v>435</v>
      </c>
      <c r="D5650" s="74"/>
      <c r="E5650" s="67"/>
      <c r="F5650" s="75"/>
      <c r="G5650" s="67"/>
      <c r="H5650" s="68"/>
      <c r="I5650" s="76"/>
      <c r="J5650" s="67"/>
      <c r="K5650" s="9" t="s">
        <v>2486</v>
      </c>
      <c r="L5650" s="934"/>
      <c r="M5650" s="934"/>
    </row>
    <row r="5651" ht="12.75" hidden="1" customHeight="1" outlineLevel="1">
      <c r="A5651" s="122">
        <v>42020.0</v>
      </c>
      <c r="B5651" s="32" t="s">
        <v>347</v>
      </c>
      <c r="C5651" s="32" t="s">
        <v>1162</v>
      </c>
      <c r="D5651" s="708">
        <v>50.0</v>
      </c>
      <c r="E5651" s="195">
        <v>131.67</v>
      </c>
      <c r="F5651" s="709">
        <v>0.44590277777777776</v>
      </c>
      <c r="G5651" s="195" t="s">
        <v>453</v>
      </c>
      <c r="H5651" s="710">
        <v>1.15</v>
      </c>
      <c r="I5651" s="256"/>
      <c r="J5651" s="67">
        <f t="shared" ref="J5651:J5657" si="353">IF(B5651="SLD",D5651*E5651,-D5651*E5651)-H5651</f>
        <v>6582.35</v>
      </c>
      <c r="L5651" s="70"/>
      <c r="M5651" s="934"/>
      <c r="N5651" s="94"/>
      <c r="O5651" s="94"/>
      <c r="P5651" s="94"/>
      <c r="Q5651" s="94"/>
      <c r="R5651" s="94"/>
      <c r="S5651" s="94"/>
      <c r="T5651" s="94"/>
      <c r="U5651" s="94"/>
      <c r="V5651" s="94"/>
      <c r="W5651" s="94"/>
      <c r="X5651" s="94"/>
      <c r="Y5651" s="94"/>
      <c r="Z5651" s="94"/>
      <c r="AA5651" s="94"/>
      <c r="AB5651" s="94"/>
      <c r="AC5651" s="94"/>
      <c r="AD5651" s="94"/>
      <c r="AE5651" s="94"/>
      <c r="AF5651" s="94"/>
      <c r="AG5651" s="94"/>
      <c r="AH5651" s="94"/>
    </row>
    <row r="5652" ht="12.75" hidden="1" customHeight="1" outlineLevel="1">
      <c r="A5652" s="122">
        <v>42020.0</v>
      </c>
      <c r="B5652" s="32" t="s">
        <v>347</v>
      </c>
      <c r="C5652" s="32" t="s">
        <v>1357</v>
      </c>
      <c r="D5652" s="708">
        <v>200.0</v>
      </c>
      <c r="E5652" s="195">
        <v>37.93</v>
      </c>
      <c r="F5652" s="709">
        <v>0.4462847222222222</v>
      </c>
      <c r="G5652" s="195" t="s">
        <v>453</v>
      </c>
      <c r="H5652" s="710">
        <v>1.17</v>
      </c>
      <c r="I5652" s="256"/>
      <c r="J5652" s="67">
        <f t="shared" si="353"/>
        <v>7584.83</v>
      </c>
      <c r="L5652" s="70"/>
      <c r="M5652" s="934"/>
      <c r="N5652" s="94"/>
      <c r="O5652" s="94"/>
      <c r="P5652" s="94"/>
      <c r="Q5652" s="94"/>
      <c r="R5652" s="94"/>
      <c r="S5652" s="94"/>
      <c r="T5652" s="94"/>
      <c r="U5652" s="94"/>
      <c r="V5652" s="94"/>
      <c r="W5652" s="94"/>
      <c r="X5652" s="94"/>
      <c r="Y5652" s="94"/>
      <c r="Z5652" s="94"/>
      <c r="AA5652" s="94"/>
      <c r="AB5652" s="94"/>
      <c r="AC5652" s="94"/>
      <c r="AD5652" s="94"/>
      <c r="AE5652" s="94"/>
      <c r="AF5652" s="94"/>
      <c r="AG5652" s="94"/>
      <c r="AH5652" s="94"/>
    </row>
    <row r="5653" ht="12.75" hidden="1" customHeight="1" outlineLevel="1">
      <c r="A5653" s="122">
        <v>42020.0</v>
      </c>
      <c r="B5653" s="32" t="s">
        <v>343</v>
      </c>
      <c r="C5653" s="32" t="s">
        <v>2048</v>
      </c>
      <c r="D5653" s="708">
        <v>1500.0</v>
      </c>
      <c r="E5653" s="195">
        <v>10.139</v>
      </c>
      <c r="F5653" s="709">
        <v>0.5481597222222222</v>
      </c>
      <c r="G5653" s="195" t="s">
        <v>453</v>
      </c>
      <c r="H5653" s="710">
        <v>6.0</v>
      </c>
      <c r="I5653" s="256"/>
      <c r="J5653" s="67">
        <f t="shared" si="353"/>
        <v>-15214.5</v>
      </c>
      <c r="L5653" s="70"/>
      <c r="M5653" s="934"/>
      <c r="N5653" s="94"/>
      <c r="O5653" s="94"/>
      <c r="P5653" s="94"/>
      <c r="Q5653" s="94"/>
      <c r="R5653" s="94"/>
      <c r="S5653" s="94"/>
      <c r="T5653" s="94"/>
      <c r="U5653" s="94"/>
      <c r="V5653" s="94"/>
      <c r="W5653" s="94"/>
      <c r="X5653" s="94"/>
      <c r="Y5653" s="94"/>
      <c r="Z5653" s="94"/>
      <c r="AA5653" s="94"/>
      <c r="AB5653" s="94"/>
      <c r="AC5653" s="94"/>
      <c r="AD5653" s="94"/>
      <c r="AE5653" s="94"/>
      <c r="AF5653" s="94"/>
      <c r="AG5653" s="94"/>
      <c r="AH5653" s="94"/>
    </row>
    <row r="5654" ht="12.75" hidden="1" customHeight="1" outlineLevel="1">
      <c r="A5654" s="122">
        <v>42020.0</v>
      </c>
      <c r="B5654" s="32" t="s">
        <v>343</v>
      </c>
      <c r="C5654" s="32" t="s">
        <v>1844</v>
      </c>
      <c r="D5654" s="708">
        <v>200.0</v>
      </c>
      <c r="E5654" s="195">
        <v>39.15</v>
      </c>
      <c r="F5654" s="709">
        <v>0.5491782407407407</v>
      </c>
      <c r="G5654" s="195" t="s">
        <v>453</v>
      </c>
      <c r="H5654" s="710">
        <v>1.0</v>
      </c>
      <c r="I5654" s="256"/>
      <c r="J5654" s="67">
        <f t="shared" si="353"/>
        <v>-7831</v>
      </c>
      <c r="L5654" s="70"/>
      <c r="M5654" s="934"/>
      <c r="N5654" s="94"/>
      <c r="O5654" s="94"/>
      <c r="P5654" s="94"/>
      <c r="Q5654" s="94"/>
      <c r="R5654" s="94"/>
      <c r="S5654" s="94"/>
      <c r="T5654" s="94"/>
      <c r="U5654" s="94"/>
      <c r="V5654" s="94"/>
      <c r="W5654" s="94"/>
      <c r="X5654" s="94"/>
      <c r="Y5654" s="94"/>
      <c r="Z5654" s="94"/>
      <c r="AA5654" s="94"/>
      <c r="AB5654" s="94"/>
      <c r="AC5654" s="94"/>
      <c r="AD5654" s="94"/>
      <c r="AE5654" s="94"/>
      <c r="AF5654" s="94"/>
      <c r="AG5654" s="94"/>
      <c r="AH5654" s="94"/>
    </row>
    <row r="5655" ht="12.75" hidden="1" customHeight="1" outlineLevel="1">
      <c r="A5655" s="122">
        <v>42020.0</v>
      </c>
      <c r="B5655" s="32" t="s">
        <v>343</v>
      </c>
      <c r="C5655" s="32" t="s">
        <v>2192</v>
      </c>
      <c r="D5655" s="708">
        <v>1500.0</v>
      </c>
      <c r="E5655" s="195">
        <v>10.419</v>
      </c>
      <c r="F5655" s="709">
        <v>0.5691550925925926</v>
      </c>
      <c r="G5655" s="195" t="s">
        <v>453</v>
      </c>
      <c r="H5655" s="710">
        <v>6.0</v>
      </c>
      <c r="I5655" s="256"/>
      <c r="J5655" s="67">
        <f t="shared" si="353"/>
        <v>-15634.5</v>
      </c>
      <c r="L5655" s="70"/>
      <c r="M5655" s="934"/>
      <c r="N5655" s="94"/>
      <c r="O5655" s="94"/>
      <c r="P5655" s="94"/>
      <c r="Q5655" s="94"/>
      <c r="R5655" s="94"/>
      <c r="S5655" s="94"/>
      <c r="T5655" s="94"/>
      <c r="U5655" s="94"/>
      <c r="V5655" s="94"/>
      <c r="W5655" s="94"/>
      <c r="X5655" s="94"/>
      <c r="Y5655" s="94"/>
      <c r="Z5655" s="94"/>
      <c r="AA5655" s="94"/>
      <c r="AB5655" s="94"/>
      <c r="AC5655" s="94"/>
      <c r="AD5655" s="94"/>
      <c r="AE5655" s="94"/>
      <c r="AF5655" s="94"/>
      <c r="AG5655" s="94"/>
      <c r="AH5655" s="94"/>
    </row>
    <row r="5656" ht="12.75" hidden="1" customHeight="1" outlineLevel="1">
      <c r="A5656" s="122">
        <v>42020.0</v>
      </c>
      <c r="B5656" s="32" t="s">
        <v>347</v>
      </c>
      <c r="C5656" s="32" t="s">
        <v>1162</v>
      </c>
      <c r="D5656" s="708">
        <v>50.0</v>
      </c>
      <c r="E5656" s="195">
        <v>131.43</v>
      </c>
      <c r="F5656" s="709">
        <v>0.5739004629629629</v>
      </c>
      <c r="G5656" s="195" t="s">
        <v>453</v>
      </c>
      <c r="H5656" s="710">
        <v>1.15</v>
      </c>
      <c r="I5656" s="256"/>
      <c r="J5656" s="67">
        <f t="shared" si="353"/>
        <v>6570.35</v>
      </c>
      <c r="L5656" s="70"/>
      <c r="M5656" s="934"/>
      <c r="N5656" s="94"/>
      <c r="O5656" s="94"/>
      <c r="P5656" s="94"/>
      <c r="Q5656" s="94"/>
      <c r="R5656" s="94"/>
      <c r="S5656" s="94"/>
      <c r="T5656" s="94"/>
      <c r="U5656" s="94"/>
      <c r="V5656" s="94"/>
      <c r="W5656" s="94"/>
      <c r="X5656" s="94"/>
      <c r="Y5656" s="94"/>
      <c r="Z5656" s="94"/>
      <c r="AA5656" s="94"/>
      <c r="AB5656" s="94"/>
      <c r="AC5656" s="94"/>
      <c r="AD5656" s="94"/>
      <c r="AE5656" s="94"/>
      <c r="AF5656" s="94"/>
      <c r="AG5656" s="94"/>
      <c r="AH5656" s="94"/>
    </row>
    <row r="5657" ht="12.75" hidden="1" customHeight="1" outlineLevel="1">
      <c r="A5657" s="122">
        <v>42020.0</v>
      </c>
      <c r="B5657" s="32" t="s">
        <v>347</v>
      </c>
      <c r="C5657" s="32" t="s">
        <v>2539</v>
      </c>
      <c r="D5657" s="708">
        <v>100.0</v>
      </c>
      <c r="E5657" s="195">
        <v>49.12</v>
      </c>
      <c r="F5657" s="709">
        <v>0.6501851851851852</v>
      </c>
      <c r="G5657" s="195" t="s">
        <v>453</v>
      </c>
      <c r="H5657" s="710">
        <v>1.11</v>
      </c>
      <c r="I5657" s="256"/>
      <c r="J5657" s="67">
        <f t="shared" si="353"/>
        <v>4910.89</v>
      </c>
      <c r="L5657" s="70"/>
      <c r="M5657" s="934"/>
      <c r="N5657" s="94"/>
      <c r="O5657" s="94"/>
      <c r="P5657" s="94"/>
      <c r="Q5657" s="94"/>
      <c r="R5657" s="94"/>
      <c r="S5657" s="94"/>
      <c r="T5657" s="94"/>
      <c r="U5657" s="94"/>
      <c r="V5657" s="94"/>
      <c r="W5657" s="94"/>
      <c r="X5657" s="94"/>
      <c r="Y5657" s="94"/>
      <c r="Z5657" s="94"/>
      <c r="AA5657" s="94"/>
      <c r="AB5657" s="94"/>
      <c r="AC5657" s="94"/>
      <c r="AD5657" s="94"/>
      <c r="AE5657" s="94"/>
      <c r="AF5657" s="94"/>
      <c r="AG5657" s="94"/>
      <c r="AH5657" s="94"/>
    </row>
    <row r="5658" ht="12.75" hidden="1" customHeight="1" outlineLevel="1">
      <c r="A5658" s="882">
        <v>42020.0</v>
      </c>
      <c r="B5658" s="1"/>
      <c r="C5658" s="1" t="s">
        <v>339</v>
      </c>
      <c r="D5658" s="74"/>
      <c r="E5658" s="67"/>
      <c r="F5658" s="75"/>
      <c r="G5658" s="67"/>
      <c r="H5658" s="68"/>
      <c r="I5658" s="76"/>
      <c r="J5658" s="67"/>
      <c r="K5658" s="9" t="s">
        <v>2776</v>
      </c>
      <c r="L5658" s="934"/>
      <c r="M5658" s="934"/>
    </row>
    <row r="5659" ht="12.75" hidden="1" customHeight="1" outlineLevel="1">
      <c r="A5659" s="882">
        <v>42020.0</v>
      </c>
      <c r="B5659" s="1"/>
      <c r="C5659" s="1" t="s">
        <v>429</v>
      </c>
      <c r="D5659" s="74"/>
      <c r="E5659" s="67"/>
      <c r="F5659" s="75"/>
      <c r="G5659" s="67"/>
      <c r="H5659" s="68"/>
      <c r="I5659" s="76"/>
      <c r="J5659" s="67"/>
      <c r="K5659" s="9" t="s">
        <v>2580</v>
      </c>
      <c r="L5659" s="934"/>
      <c r="M5659" s="934"/>
    </row>
    <row r="5660" ht="12.75" hidden="1" customHeight="1" outlineLevel="1">
      <c r="A5660" s="882">
        <v>42020.0</v>
      </c>
      <c r="B5660" s="1"/>
      <c r="C5660" s="1" t="s">
        <v>431</v>
      </c>
      <c r="D5660" s="74"/>
      <c r="E5660" s="67"/>
      <c r="F5660" s="75"/>
      <c r="G5660" s="67"/>
      <c r="H5660" s="68"/>
      <c r="I5660" s="76"/>
      <c r="J5660" s="67"/>
      <c r="K5660" s="7" t="s">
        <v>1126</v>
      </c>
      <c r="L5660" s="934"/>
      <c r="M5660" s="934"/>
    </row>
    <row r="5661" ht="12.75" hidden="1" customHeight="1" outlineLevel="1">
      <c r="A5661" s="882">
        <v>42020.0</v>
      </c>
      <c r="B5661" s="1"/>
      <c r="C5661" s="1" t="s">
        <v>433</v>
      </c>
      <c r="D5661" s="74"/>
      <c r="E5661" s="67"/>
      <c r="F5661" s="75"/>
      <c r="G5661" s="67"/>
      <c r="H5661" s="68"/>
      <c r="I5661" s="76"/>
      <c r="J5661" s="67"/>
      <c r="K5661" s="7" t="s">
        <v>1103</v>
      </c>
      <c r="L5661" s="934"/>
      <c r="M5661" s="934"/>
    </row>
    <row r="5662" ht="12.75" hidden="1" customHeight="1" outlineLevel="1">
      <c r="A5662" s="882">
        <v>42020.0</v>
      </c>
      <c r="B5662" s="1"/>
      <c r="C5662" s="1" t="s">
        <v>435</v>
      </c>
      <c r="D5662" s="74"/>
      <c r="E5662" s="67"/>
      <c r="F5662" s="75"/>
      <c r="G5662" s="67"/>
      <c r="H5662" s="68"/>
      <c r="I5662" s="76"/>
      <c r="J5662" s="67"/>
      <c r="K5662" s="9" t="s">
        <v>2486</v>
      </c>
      <c r="L5662" s="934"/>
      <c r="M5662" s="934"/>
    </row>
    <row r="5663" ht="12.75" hidden="1" customHeight="1" outlineLevel="1">
      <c r="A5663" s="122">
        <v>42024.0</v>
      </c>
      <c r="B5663" s="32" t="s">
        <v>343</v>
      </c>
      <c r="C5663" s="32" t="s">
        <v>2157</v>
      </c>
      <c r="D5663" s="708">
        <v>300.0</v>
      </c>
      <c r="E5663" s="195">
        <v>97.11</v>
      </c>
      <c r="F5663" s="709">
        <v>0.39869212962962963</v>
      </c>
      <c r="G5663" s="195" t="s">
        <v>453</v>
      </c>
      <c r="H5663" s="710">
        <v>1.5</v>
      </c>
      <c r="I5663" s="256"/>
      <c r="J5663" s="67">
        <f t="shared" ref="J5663:J5673" si="354">IF(B5663="SLD",D5663*E5663,-D5663*E5663)-H5663</f>
        <v>-29134.5</v>
      </c>
      <c r="L5663" s="70"/>
      <c r="M5663" s="934"/>
      <c r="N5663" s="94"/>
      <c r="O5663" s="94"/>
      <c r="P5663" s="94"/>
      <c r="Q5663" s="94"/>
      <c r="R5663" s="94"/>
      <c r="S5663" s="94"/>
      <c r="T5663" s="94"/>
      <c r="U5663" s="94"/>
      <c r="V5663" s="94"/>
      <c r="W5663" s="94"/>
      <c r="X5663" s="94"/>
      <c r="Y5663" s="94"/>
      <c r="Z5663" s="94"/>
      <c r="AA5663" s="94"/>
      <c r="AB5663" s="94"/>
      <c r="AC5663" s="94"/>
      <c r="AD5663" s="94"/>
      <c r="AE5663" s="94"/>
      <c r="AF5663" s="94"/>
      <c r="AG5663" s="94"/>
      <c r="AH5663" s="94"/>
    </row>
    <row r="5664" ht="12.75" hidden="1" customHeight="1" outlineLevel="1">
      <c r="A5664" s="122">
        <v>42024.0</v>
      </c>
      <c r="B5664" s="32" t="s">
        <v>347</v>
      </c>
      <c r="C5664" s="32" t="s">
        <v>784</v>
      </c>
      <c r="D5664" s="708">
        <v>2000.0</v>
      </c>
      <c r="E5664" s="195">
        <v>8.331</v>
      </c>
      <c r="F5664" s="709">
        <v>0.4134259259259259</v>
      </c>
      <c r="G5664" s="195" t="s">
        <v>453</v>
      </c>
      <c r="H5664" s="710">
        <v>8.37</v>
      </c>
      <c r="I5664" s="256"/>
      <c r="J5664" s="67">
        <f t="shared" si="354"/>
        <v>16653.63</v>
      </c>
      <c r="L5664" s="70"/>
      <c r="M5664" s="934"/>
      <c r="N5664" s="94"/>
      <c r="O5664" s="94"/>
      <c r="P5664" s="94"/>
      <c r="Q5664" s="94"/>
      <c r="R5664" s="94"/>
      <c r="S5664" s="94"/>
      <c r="T5664" s="94"/>
      <c r="U5664" s="94"/>
      <c r="V5664" s="94"/>
      <c r="W5664" s="94"/>
      <c r="X5664" s="94"/>
      <c r="Y5664" s="94"/>
      <c r="Z5664" s="94"/>
      <c r="AA5664" s="94"/>
      <c r="AB5664" s="94"/>
      <c r="AC5664" s="94"/>
      <c r="AD5664" s="94"/>
      <c r="AE5664" s="94"/>
      <c r="AF5664" s="94"/>
      <c r="AG5664" s="94"/>
      <c r="AH5664" s="94"/>
    </row>
    <row r="5665" ht="12.75" hidden="1" customHeight="1" outlineLevel="1">
      <c r="A5665" s="122">
        <v>42024.0</v>
      </c>
      <c r="B5665" s="32" t="s">
        <v>347</v>
      </c>
      <c r="C5665" s="32" t="s">
        <v>790</v>
      </c>
      <c r="D5665" s="708">
        <v>2500.0</v>
      </c>
      <c r="E5665" s="195">
        <v>6.98</v>
      </c>
      <c r="F5665" s="709">
        <v>0.4590856481481482</v>
      </c>
      <c r="G5665" s="195" t="s">
        <v>453</v>
      </c>
      <c r="H5665" s="710">
        <v>12.79</v>
      </c>
      <c r="I5665" s="256"/>
      <c r="J5665" s="67">
        <f t="shared" si="354"/>
        <v>17437.21</v>
      </c>
      <c r="L5665" s="70"/>
      <c r="M5665" s="934"/>
      <c r="N5665" s="94"/>
      <c r="O5665" s="94"/>
      <c r="P5665" s="94"/>
      <c r="Q5665" s="94"/>
      <c r="R5665" s="94"/>
      <c r="S5665" s="94"/>
      <c r="T5665" s="94"/>
      <c r="U5665" s="94"/>
      <c r="V5665" s="94"/>
      <c r="W5665" s="94"/>
      <c r="X5665" s="94"/>
      <c r="Y5665" s="94"/>
      <c r="Z5665" s="94"/>
      <c r="AA5665" s="94"/>
      <c r="AB5665" s="94"/>
      <c r="AC5665" s="94"/>
      <c r="AD5665" s="94"/>
      <c r="AE5665" s="94"/>
      <c r="AF5665" s="94"/>
      <c r="AG5665" s="94"/>
      <c r="AH5665" s="94"/>
    </row>
    <row r="5666" ht="12.75" hidden="1" customHeight="1" outlineLevel="1">
      <c r="A5666" s="122">
        <v>42024.0</v>
      </c>
      <c r="B5666" s="32" t="s">
        <v>347</v>
      </c>
      <c r="C5666" s="32" t="s">
        <v>2048</v>
      </c>
      <c r="D5666" s="708">
        <v>1500.0</v>
      </c>
      <c r="E5666" s="195">
        <v>9.951</v>
      </c>
      <c r="F5666" s="709">
        <v>0.4608912037037037</v>
      </c>
      <c r="G5666" s="195" t="s">
        <v>453</v>
      </c>
      <c r="H5666" s="710">
        <v>6.33</v>
      </c>
      <c r="I5666" s="256"/>
      <c r="J5666" s="67">
        <f t="shared" si="354"/>
        <v>14920.17</v>
      </c>
      <c r="L5666" s="70"/>
      <c r="M5666" s="934"/>
      <c r="N5666" s="94"/>
      <c r="O5666" s="94"/>
      <c r="P5666" s="94"/>
      <c r="Q5666" s="94"/>
      <c r="R5666" s="94"/>
      <c r="S5666" s="94"/>
      <c r="T5666" s="94"/>
      <c r="U5666" s="94"/>
      <c r="V5666" s="94"/>
      <c r="W5666" s="94"/>
      <c r="X5666" s="94"/>
      <c r="Y5666" s="94"/>
      <c r="Z5666" s="94"/>
      <c r="AA5666" s="94"/>
      <c r="AB5666" s="94"/>
      <c r="AC5666" s="94"/>
      <c r="AD5666" s="94"/>
      <c r="AE5666" s="94"/>
      <c r="AF5666" s="94"/>
      <c r="AG5666" s="94"/>
      <c r="AH5666" s="94"/>
    </row>
    <row r="5667" ht="12.75" hidden="1" customHeight="1" outlineLevel="1">
      <c r="A5667" s="122">
        <v>42024.0</v>
      </c>
      <c r="B5667" s="32" t="s">
        <v>347</v>
      </c>
      <c r="C5667" s="32" t="s">
        <v>2192</v>
      </c>
      <c r="D5667" s="708">
        <v>1500.0</v>
      </c>
      <c r="E5667" s="195">
        <v>9.911</v>
      </c>
      <c r="F5667" s="709">
        <v>0.4610532407407407</v>
      </c>
      <c r="G5667" s="195" t="s">
        <v>453</v>
      </c>
      <c r="H5667" s="710">
        <v>6.33</v>
      </c>
      <c r="I5667" s="256"/>
      <c r="J5667" s="67">
        <f t="shared" si="354"/>
        <v>14860.17</v>
      </c>
      <c r="L5667" s="70"/>
      <c r="M5667" s="934"/>
      <c r="N5667" s="94"/>
      <c r="O5667" s="94"/>
      <c r="P5667" s="94"/>
      <c r="Q5667" s="94"/>
      <c r="R5667" s="94"/>
      <c r="S5667" s="94"/>
      <c r="T5667" s="94"/>
      <c r="U5667" s="94"/>
      <c r="V5667" s="94"/>
      <c r="W5667" s="94"/>
      <c r="X5667" s="94"/>
      <c r="Y5667" s="94"/>
      <c r="Z5667" s="94"/>
      <c r="AA5667" s="94"/>
      <c r="AB5667" s="94"/>
      <c r="AC5667" s="94"/>
      <c r="AD5667" s="94"/>
      <c r="AE5667" s="94"/>
      <c r="AF5667" s="94"/>
      <c r="AG5667" s="94"/>
      <c r="AH5667" s="94"/>
    </row>
    <row r="5668" ht="12.75" hidden="1" customHeight="1" outlineLevel="1">
      <c r="A5668" s="122">
        <v>42024.0</v>
      </c>
      <c r="B5668" s="32" t="s">
        <v>347</v>
      </c>
      <c r="C5668" s="32" t="s">
        <v>1844</v>
      </c>
      <c r="D5668" s="708">
        <v>200.0</v>
      </c>
      <c r="E5668" s="195">
        <v>37.741</v>
      </c>
      <c r="F5668" s="709">
        <v>0.46153935185185185</v>
      </c>
      <c r="G5668" s="195" t="s">
        <v>453</v>
      </c>
      <c r="H5668" s="710">
        <v>1.17</v>
      </c>
      <c r="I5668" s="256"/>
      <c r="J5668" s="67">
        <f t="shared" si="354"/>
        <v>7547.03</v>
      </c>
      <c r="L5668" s="70"/>
      <c r="M5668" s="934"/>
      <c r="N5668" s="94"/>
      <c r="O5668" s="94"/>
      <c r="P5668" s="94"/>
      <c r="Q5668" s="94"/>
      <c r="R5668" s="94"/>
      <c r="S5668" s="94"/>
      <c r="T5668" s="94"/>
      <c r="U5668" s="94"/>
      <c r="V5668" s="94"/>
      <c r="W5668" s="94"/>
      <c r="X5668" s="94"/>
      <c r="Y5668" s="94"/>
      <c r="Z5668" s="94"/>
      <c r="AA5668" s="94"/>
      <c r="AB5668" s="94"/>
      <c r="AC5668" s="94"/>
      <c r="AD5668" s="94"/>
      <c r="AE5668" s="94"/>
      <c r="AF5668" s="94"/>
      <c r="AG5668" s="94"/>
      <c r="AH5668" s="94"/>
    </row>
    <row r="5669" ht="12.75" hidden="1" customHeight="1" outlineLevel="1">
      <c r="A5669" s="122">
        <v>42024.0</v>
      </c>
      <c r="B5669" s="32" t="s">
        <v>347</v>
      </c>
      <c r="C5669" s="32" t="s">
        <v>790</v>
      </c>
      <c r="D5669" s="708">
        <v>1000.0</v>
      </c>
      <c r="E5669" s="195">
        <v>6.92</v>
      </c>
      <c r="F5669" s="709">
        <v>0.46446759259259257</v>
      </c>
      <c r="G5669" s="195" t="s">
        <v>453</v>
      </c>
      <c r="H5669" s="710">
        <v>4.65</v>
      </c>
      <c r="I5669" s="256"/>
      <c r="J5669" s="67">
        <f t="shared" si="354"/>
        <v>6915.35</v>
      </c>
      <c r="L5669" s="70"/>
      <c r="M5669" s="934"/>
      <c r="N5669" s="94"/>
      <c r="O5669" s="94"/>
      <c r="P5669" s="94"/>
      <c r="Q5669" s="94"/>
      <c r="R5669" s="94"/>
      <c r="S5669" s="94"/>
      <c r="T5669" s="94"/>
      <c r="U5669" s="94"/>
      <c r="V5669" s="94"/>
      <c r="W5669" s="94"/>
      <c r="X5669" s="94"/>
      <c r="Y5669" s="94"/>
      <c r="Z5669" s="94"/>
      <c r="AA5669" s="94"/>
      <c r="AB5669" s="94"/>
      <c r="AC5669" s="94"/>
      <c r="AD5669" s="94"/>
      <c r="AE5669" s="94"/>
      <c r="AF5669" s="94"/>
      <c r="AG5669" s="94"/>
      <c r="AH5669" s="94"/>
    </row>
    <row r="5670" ht="12.75" hidden="1" customHeight="1" outlineLevel="1">
      <c r="A5670" s="122">
        <v>42024.0</v>
      </c>
      <c r="B5670" s="32" t="s">
        <v>347</v>
      </c>
      <c r="C5670" s="32" t="s">
        <v>784</v>
      </c>
      <c r="D5670" s="708">
        <v>1000.0</v>
      </c>
      <c r="E5670" s="195">
        <v>8.261</v>
      </c>
      <c r="F5670" s="709">
        <v>0.4646180555555556</v>
      </c>
      <c r="G5670" s="195" t="s">
        <v>453</v>
      </c>
      <c r="H5670" s="710">
        <v>4.18</v>
      </c>
      <c r="I5670" s="256"/>
      <c r="J5670" s="67">
        <f t="shared" si="354"/>
        <v>8256.82</v>
      </c>
      <c r="L5670" s="70"/>
      <c r="M5670" s="934"/>
      <c r="N5670" s="94"/>
      <c r="O5670" s="94"/>
      <c r="P5670" s="94"/>
      <c r="Q5670" s="94"/>
      <c r="R5670" s="94"/>
      <c r="S5670" s="94"/>
      <c r="T5670" s="94"/>
      <c r="U5670" s="94"/>
      <c r="V5670" s="94"/>
      <c r="W5670" s="94"/>
      <c r="X5670" s="94"/>
      <c r="Y5670" s="94"/>
      <c r="Z5670" s="94"/>
      <c r="AA5670" s="94"/>
      <c r="AB5670" s="94"/>
      <c r="AC5670" s="94"/>
      <c r="AD5670" s="94"/>
      <c r="AE5670" s="94"/>
      <c r="AF5670" s="94"/>
      <c r="AG5670" s="94"/>
      <c r="AH5670" s="94"/>
    </row>
    <row r="5671" ht="12.75" hidden="1" customHeight="1" outlineLevel="1">
      <c r="A5671" s="122">
        <v>42024.0</v>
      </c>
      <c r="B5671" s="32" t="s">
        <v>343</v>
      </c>
      <c r="C5671" s="32" t="s">
        <v>364</v>
      </c>
      <c r="D5671" s="708">
        <v>100.0</v>
      </c>
      <c r="E5671" s="195">
        <v>117.59</v>
      </c>
      <c r="F5671" s="709">
        <v>0.47608796296296296</v>
      </c>
      <c r="G5671" s="195" t="s">
        <v>453</v>
      </c>
      <c r="H5671" s="710">
        <v>1.0</v>
      </c>
      <c r="I5671" s="256"/>
      <c r="J5671" s="67">
        <f t="shared" si="354"/>
        <v>-11760</v>
      </c>
      <c r="L5671" s="70"/>
      <c r="M5671" s="934"/>
      <c r="N5671" s="94"/>
      <c r="O5671" s="94"/>
      <c r="P5671" s="94"/>
      <c r="Q5671" s="94"/>
      <c r="R5671" s="94"/>
      <c r="S5671" s="94"/>
      <c r="T5671" s="94"/>
      <c r="U5671" s="94"/>
      <c r="V5671" s="94"/>
      <c r="W5671" s="94"/>
      <c r="X5671" s="94"/>
      <c r="Y5671" s="94"/>
      <c r="Z5671" s="94"/>
      <c r="AA5671" s="94"/>
      <c r="AB5671" s="94"/>
      <c r="AC5671" s="94"/>
      <c r="AD5671" s="94"/>
      <c r="AE5671" s="94"/>
      <c r="AF5671" s="94"/>
      <c r="AG5671" s="94"/>
      <c r="AH5671" s="94"/>
    </row>
    <row r="5672" ht="12.75" hidden="1" customHeight="1" outlineLevel="1">
      <c r="A5672" s="122">
        <v>42024.0</v>
      </c>
      <c r="B5672" s="32" t="s">
        <v>343</v>
      </c>
      <c r="C5672" s="32" t="s">
        <v>1164</v>
      </c>
      <c r="D5672" s="708">
        <v>500.0</v>
      </c>
      <c r="E5672" s="195">
        <v>40.468</v>
      </c>
      <c r="F5672" s="709">
        <v>0.5879513888888889</v>
      </c>
      <c r="G5672" s="195" t="s">
        <v>453</v>
      </c>
      <c r="H5672" s="710">
        <v>2.0</v>
      </c>
      <c r="I5672" s="256"/>
      <c r="J5672" s="67">
        <f t="shared" si="354"/>
        <v>-20236</v>
      </c>
      <c r="L5672" s="70"/>
      <c r="M5672" s="934"/>
      <c r="N5672" s="94"/>
      <c r="O5672" s="94"/>
      <c r="P5672" s="94"/>
      <c r="Q5672" s="94"/>
      <c r="R5672" s="94"/>
      <c r="S5672" s="94"/>
      <c r="T5672" s="94"/>
      <c r="U5672" s="94"/>
      <c r="V5672" s="94"/>
      <c r="W5672" s="94"/>
      <c r="X5672" s="94"/>
      <c r="Y5672" s="94"/>
      <c r="Z5672" s="94"/>
      <c r="AA5672" s="94"/>
      <c r="AB5672" s="94"/>
      <c r="AC5672" s="94"/>
      <c r="AD5672" s="94"/>
      <c r="AE5672" s="94"/>
      <c r="AF5672" s="94"/>
      <c r="AG5672" s="94"/>
      <c r="AH5672" s="94"/>
    </row>
    <row r="5673" ht="12.75" hidden="1" customHeight="1" outlineLevel="1">
      <c r="A5673" s="122">
        <v>42024.0</v>
      </c>
      <c r="B5673" s="32" t="s">
        <v>343</v>
      </c>
      <c r="C5673" s="32" t="s">
        <v>1158</v>
      </c>
      <c r="D5673" s="708">
        <v>500.0</v>
      </c>
      <c r="E5673" s="195">
        <v>48.83</v>
      </c>
      <c r="F5673" s="709">
        <v>0.6049652777777778</v>
      </c>
      <c r="G5673" s="195" t="s">
        <v>453</v>
      </c>
      <c r="H5673" s="710">
        <v>2.5</v>
      </c>
      <c r="I5673" s="256"/>
      <c r="J5673" s="67">
        <f t="shared" si="354"/>
        <v>-24417.5</v>
      </c>
      <c r="L5673" s="70"/>
      <c r="M5673" s="934"/>
      <c r="N5673" s="94"/>
      <c r="O5673" s="94"/>
      <c r="P5673" s="94"/>
      <c r="Q5673" s="94"/>
      <c r="R5673" s="94"/>
      <c r="S5673" s="94"/>
      <c r="T5673" s="94"/>
      <c r="U5673" s="94"/>
      <c r="V5673" s="94"/>
      <c r="W5673" s="94"/>
      <c r="X5673" s="94"/>
      <c r="Y5673" s="94"/>
      <c r="Z5673" s="94"/>
      <c r="AA5673" s="94"/>
      <c r="AB5673" s="94"/>
      <c r="AC5673" s="94"/>
      <c r="AD5673" s="94"/>
      <c r="AE5673" s="94"/>
      <c r="AF5673" s="94"/>
      <c r="AG5673" s="94"/>
      <c r="AH5673" s="94"/>
    </row>
    <row r="5674" ht="12.75" hidden="1" customHeight="1" outlineLevel="1">
      <c r="A5674" s="882">
        <v>42024.0</v>
      </c>
      <c r="B5674" s="1"/>
      <c r="C5674" s="1" t="s">
        <v>339</v>
      </c>
      <c r="D5674" s="74"/>
      <c r="E5674" s="67"/>
      <c r="F5674" s="75"/>
      <c r="G5674" s="67"/>
      <c r="H5674" s="68"/>
      <c r="I5674" s="76"/>
      <c r="J5674" s="67"/>
      <c r="K5674" s="9" t="s">
        <v>2777</v>
      </c>
      <c r="L5674" s="934"/>
      <c r="M5674" s="934"/>
    </row>
    <row r="5675" ht="12.75" hidden="1" customHeight="1" outlineLevel="1">
      <c r="A5675" s="882">
        <v>42024.0</v>
      </c>
      <c r="B5675" s="1"/>
      <c r="C5675" s="1" t="s">
        <v>429</v>
      </c>
      <c r="D5675" s="74"/>
      <c r="E5675" s="67"/>
      <c r="F5675" s="75"/>
      <c r="G5675" s="67"/>
      <c r="H5675" s="68"/>
      <c r="I5675" s="76"/>
      <c r="J5675" s="67"/>
      <c r="K5675" s="9" t="s">
        <v>2580</v>
      </c>
      <c r="L5675" s="934"/>
      <c r="M5675" s="934"/>
    </row>
    <row r="5676" ht="12.75" hidden="1" customHeight="1" outlineLevel="1">
      <c r="A5676" s="882">
        <v>42024.0</v>
      </c>
      <c r="B5676" s="1"/>
      <c r="C5676" s="1" t="s">
        <v>431</v>
      </c>
      <c r="D5676" s="74"/>
      <c r="E5676" s="67"/>
      <c r="F5676" s="75"/>
      <c r="G5676" s="67"/>
      <c r="H5676" s="68"/>
      <c r="I5676" s="76"/>
      <c r="J5676" s="67"/>
      <c r="K5676" s="7" t="s">
        <v>1126</v>
      </c>
      <c r="L5676" s="934"/>
      <c r="M5676" s="934"/>
    </row>
    <row r="5677" ht="12.75" hidden="1" customHeight="1" outlineLevel="1">
      <c r="A5677" s="882">
        <v>42024.0</v>
      </c>
      <c r="B5677" s="1"/>
      <c r="C5677" s="1" t="s">
        <v>433</v>
      </c>
      <c r="D5677" s="74"/>
      <c r="E5677" s="67"/>
      <c r="F5677" s="75"/>
      <c r="G5677" s="67"/>
      <c r="H5677" s="68"/>
      <c r="I5677" s="76"/>
      <c r="J5677" s="67"/>
      <c r="K5677" s="7" t="s">
        <v>1103</v>
      </c>
      <c r="L5677" s="934"/>
      <c r="M5677" s="934"/>
    </row>
    <row r="5678" ht="12.75" hidden="1" customHeight="1" outlineLevel="1">
      <c r="A5678" s="882">
        <v>42024.0</v>
      </c>
      <c r="B5678" s="1"/>
      <c r="C5678" s="1" t="s">
        <v>435</v>
      </c>
      <c r="D5678" s="74"/>
      <c r="E5678" s="67"/>
      <c r="F5678" s="75"/>
      <c r="G5678" s="67"/>
      <c r="H5678" s="68"/>
      <c r="I5678" s="76"/>
      <c r="J5678" s="67"/>
      <c r="K5678" s="9" t="s">
        <v>2486</v>
      </c>
      <c r="L5678" s="934"/>
      <c r="M5678" s="934"/>
    </row>
    <row r="5679" ht="12.75" hidden="1" customHeight="1" outlineLevel="1">
      <c r="A5679" s="122">
        <v>42025.0</v>
      </c>
      <c r="B5679" s="32" t="s">
        <v>347</v>
      </c>
      <c r="C5679" s="32" t="s">
        <v>2342</v>
      </c>
      <c r="D5679" s="708">
        <v>100.0</v>
      </c>
      <c r="E5679" s="195">
        <v>54.33</v>
      </c>
      <c r="F5679" s="709">
        <v>0.5916898148148149</v>
      </c>
      <c r="G5679" s="195" t="s">
        <v>453</v>
      </c>
      <c r="H5679" s="710">
        <v>1.12</v>
      </c>
      <c r="I5679" s="256"/>
      <c r="J5679" s="67">
        <f t="shared" ref="J5679:J5697" si="355">IF(B5679="SLD",D5679*E5679,-D5679*E5679)-H5679</f>
        <v>5431.88</v>
      </c>
      <c r="L5679" s="70"/>
      <c r="M5679" s="934"/>
      <c r="N5679" s="94"/>
      <c r="O5679" s="94"/>
      <c r="P5679" s="94"/>
      <c r="Q5679" s="94"/>
      <c r="R5679" s="94"/>
      <c r="S5679" s="94"/>
      <c r="T5679" s="94"/>
      <c r="U5679" s="94"/>
      <c r="V5679" s="94"/>
      <c r="W5679" s="94"/>
      <c r="X5679" s="94"/>
      <c r="Y5679" s="94"/>
      <c r="Z5679" s="94"/>
      <c r="AA5679" s="94"/>
      <c r="AB5679" s="94"/>
      <c r="AC5679" s="94"/>
      <c r="AD5679" s="94"/>
      <c r="AE5679" s="94"/>
      <c r="AF5679" s="94"/>
      <c r="AG5679" s="94"/>
      <c r="AH5679" s="94"/>
    </row>
    <row r="5680" ht="12.75" hidden="1" customHeight="1" outlineLevel="1">
      <c r="A5680" s="122">
        <v>42025.0</v>
      </c>
      <c r="B5680" s="32" t="s">
        <v>347</v>
      </c>
      <c r="C5680" s="32" t="s">
        <v>2142</v>
      </c>
      <c r="D5680" s="708">
        <v>200.0</v>
      </c>
      <c r="E5680" s="195">
        <v>29.05</v>
      </c>
      <c r="F5680" s="709">
        <v>0.5922569444444444</v>
      </c>
      <c r="G5680" s="195" t="s">
        <v>453</v>
      </c>
      <c r="H5680" s="710">
        <v>1.13</v>
      </c>
      <c r="I5680" s="256"/>
      <c r="J5680" s="67">
        <f t="shared" si="355"/>
        <v>5808.87</v>
      </c>
      <c r="L5680" s="70"/>
      <c r="M5680" s="934"/>
      <c r="N5680" s="94"/>
      <c r="O5680" s="94"/>
      <c r="P5680" s="94"/>
      <c r="Q5680" s="94"/>
      <c r="R5680" s="94"/>
      <c r="S5680" s="94"/>
      <c r="T5680" s="94"/>
      <c r="U5680" s="94"/>
      <c r="V5680" s="94"/>
      <c r="W5680" s="94"/>
      <c r="X5680" s="94"/>
      <c r="Y5680" s="94"/>
      <c r="Z5680" s="94"/>
      <c r="AA5680" s="94"/>
      <c r="AB5680" s="94"/>
      <c r="AC5680" s="94"/>
      <c r="AD5680" s="94"/>
      <c r="AE5680" s="94"/>
      <c r="AF5680" s="94"/>
      <c r="AG5680" s="94"/>
      <c r="AH5680" s="94"/>
    </row>
    <row r="5681" ht="12.75" hidden="1" customHeight="1" outlineLevel="1">
      <c r="A5681" s="122">
        <v>42025.0</v>
      </c>
      <c r="B5681" s="32" t="s">
        <v>343</v>
      </c>
      <c r="C5681" s="32" t="s">
        <v>784</v>
      </c>
      <c r="D5681" s="708">
        <v>3500.0</v>
      </c>
      <c r="E5681" s="195">
        <v>8.548</v>
      </c>
      <c r="F5681" s="709">
        <v>0.6134722222222222</v>
      </c>
      <c r="G5681" s="195" t="s">
        <v>453</v>
      </c>
      <c r="H5681" s="710">
        <v>15.2</v>
      </c>
      <c r="I5681" s="256"/>
      <c r="J5681" s="67">
        <f t="shared" si="355"/>
        <v>-29933.2</v>
      </c>
      <c r="L5681" s="70"/>
      <c r="M5681" s="934"/>
      <c r="N5681" s="94"/>
      <c r="O5681" s="94"/>
      <c r="P5681" s="94"/>
      <c r="Q5681" s="94"/>
      <c r="R5681" s="94"/>
      <c r="S5681" s="94"/>
      <c r="T5681" s="94"/>
      <c r="U5681" s="94"/>
      <c r="V5681" s="94"/>
      <c r="W5681" s="94"/>
      <c r="X5681" s="94"/>
      <c r="Y5681" s="94"/>
      <c r="Z5681" s="94"/>
      <c r="AA5681" s="94"/>
      <c r="AB5681" s="94"/>
      <c r="AC5681" s="94"/>
      <c r="AD5681" s="94"/>
      <c r="AE5681" s="94"/>
      <c r="AF5681" s="94"/>
      <c r="AG5681" s="94"/>
      <c r="AH5681" s="94"/>
    </row>
    <row r="5682" ht="12.75" hidden="1" customHeight="1" outlineLevel="1">
      <c r="A5682" s="122">
        <v>42025.0</v>
      </c>
      <c r="B5682" s="32" t="s">
        <v>343</v>
      </c>
      <c r="C5682" s="32" t="s">
        <v>790</v>
      </c>
      <c r="D5682" s="708">
        <v>2000.0</v>
      </c>
      <c r="E5682" s="195">
        <v>7.29</v>
      </c>
      <c r="F5682" s="709">
        <v>0.614363425925926</v>
      </c>
      <c r="G5682" s="195" t="s">
        <v>453</v>
      </c>
      <c r="H5682" s="710">
        <v>10.0</v>
      </c>
      <c r="I5682" s="256"/>
      <c r="J5682" s="67">
        <f t="shared" si="355"/>
        <v>-14590</v>
      </c>
      <c r="L5682" s="70"/>
      <c r="M5682" s="934"/>
      <c r="N5682" s="94"/>
      <c r="O5682" s="94"/>
      <c r="P5682" s="94"/>
      <c r="Q5682" s="94"/>
      <c r="R5682" s="94"/>
      <c r="S5682" s="94"/>
      <c r="T5682" s="94"/>
      <c r="U5682" s="94"/>
      <c r="V5682" s="94"/>
      <c r="W5682" s="94"/>
      <c r="X5682" s="94"/>
      <c r="Y5682" s="94"/>
      <c r="Z5682" s="94"/>
      <c r="AA5682" s="94"/>
      <c r="AB5682" s="94"/>
      <c r="AC5682" s="94"/>
      <c r="AD5682" s="94"/>
      <c r="AE5682" s="94"/>
      <c r="AF5682" s="94"/>
      <c r="AG5682" s="94"/>
      <c r="AH5682" s="94"/>
    </row>
    <row r="5683" ht="12.75" hidden="1" customHeight="1" outlineLevel="1">
      <c r="A5683" s="122">
        <v>42025.0</v>
      </c>
      <c r="B5683" s="32" t="s">
        <v>343</v>
      </c>
      <c r="C5683" s="32" t="s">
        <v>1844</v>
      </c>
      <c r="D5683" s="708">
        <v>200.0</v>
      </c>
      <c r="E5683" s="195">
        <v>41.15</v>
      </c>
      <c r="F5683" s="709">
        <v>0.6150231481481482</v>
      </c>
      <c r="G5683" s="195" t="s">
        <v>453</v>
      </c>
      <c r="H5683" s="710">
        <v>1.0</v>
      </c>
      <c r="I5683" s="256"/>
      <c r="J5683" s="67">
        <f t="shared" si="355"/>
        <v>-8231</v>
      </c>
      <c r="L5683" s="70"/>
      <c r="M5683" s="934"/>
      <c r="N5683" s="94"/>
      <c r="O5683" s="94"/>
      <c r="P5683" s="94"/>
      <c r="Q5683" s="94"/>
      <c r="R5683" s="94"/>
      <c r="S5683" s="94"/>
      <c r="T5683" s="94"/>
      <c r="U5683" s="94"/>
      <c r="V5683" s="94"/>
      <c r="W5683" s="94"/>
      <c r="X5683" s="94"/>
      <c r="Y5683" s="94"/>
      <c r="Z5683" s="94"/>
      <c r="AA5683" s="94"/>
      <c r="AB5683" s="94"/>
      <c r="AC5683" s="94"/>
      <c r="AD5683" s="94"/>
      <c r="AE5683" s="94"/>
      <c r="AF5683" s="94"/>
      <c r="AG5683" s="94"/>
      <c r="AH5683" s="94"/>
    </row>
    <row r="5684" ht="12.75" hidden="1" customHeight="1" outlineLevel="1">
      <c r="A5684" s="122">
        <v>42025.0</v>
      </c>
      <c r="B5684" s="32" t="s">
        <v>347</v>
      </c>
      <c r="C5684" s="32" t="s">
        <v>2342</v>
      </c>
      <c r="D5684" s="708">
        <v>400.0</v>
      </c>
      <c r="E5684" s="195">
        <v>54.48</v>
      </c>
      <c r="F5684" s="709">
        <v>0.6171180555555555</v>
      </c>
      <c r="G5684" s="195" t="s">
        <v>453</v>
      </c>
      <c r="H5684" s="710">
        <v>2.48</v>
      </c>
      <c r="I5684" s="256"/>
      <c r="J5684" s="67">
        <f t="shared" si="355"/>
        <v>21789.52</v>
      </c>
      <c r="L5684" s="70"/>
      <c r="M5684" s="934"/>
      <c r="N5684" s="94"/>
      <c r="O5684" s="94"/>
      <c r="P5684" s="94"/>
      <c r="Q5684" s="94"/>
      <c r="R5684" s="94"/>
      <c r="S5684" s="94"/>
      <c r="T5684" s="94"/>
      <c r="U5684" s="94"/>
      <c r="V5684" s="94"/>
      <c r="W5684" s="94"/>
      <c r="X5684" s="94"/>
      <c r="Y5684" s="94"/>
      <c r="Z5684" s="94"/>
      <c r="AA5684" s="94"/>
      <c r="AB5684" s="94"/>
      <c r="AC5684" s="94"/>
      <c r="AD5684" s="94"/>
      <c r="AE5684" s="94"/>
      <c r="AF5684" s="94"/>
      <c r="AG5684" s="94"/>
      <c r="AH5684" s="94"/>
    </row>
    <row r="5685" ht="12.75" hidden="1" customHeight="1" outlineLevel="1">
      <c r="A5685" s="122">
        <v>42025.0</v>
      </c>
      <c r="B5685" s="32" t="s">
        <v>347</v>
      </c>
      <c r="C5685" s="32" t="s">
        <v>2142</v>
      </c>
      <c r="D5685" s="708">
        <v>200.0</v>
      </c>
      <c r="E5685" s="195">
        <v>29.06</v>
      </c>
      <c r="F5685" s="709">
        <v>0.6238541666666667</v>
      </c>
      <c r="G5685" s="195" t="s">
        <v>453</v>
      </c>
      <c r="H5685" s="710">
        <v>1.13</v>
      </c>
      <c r="I5685" s="256"/>
      <c r="J5685" s="67">
        <f t="shared" si="355"/>
        <v>5810.87</v>
      </c>
      <c r="L5685" s="70"/>
      <c r="M5685" s="934"/>
      <c r="N5685" s="94"/>
      <c r="O5685" s="94"/>
      <c r="P5685" s="94"/>
      <c r="Q5685" s="94"/>
      <c r="R5685" s="94"/>
      <c r="S5685" s="94"/>
      <c r="T5685" s="94"/>
      <c r="U5685" s="94"/>
      <c r="V5685" s="94"/>
      <c r="W5685" s="94"/>
      <c r="X5685" s="94"/>
      <c r="Y5685" s="94"/>
      <c r="Z5685" s="94"/>
      <c r="AA5685" s="94"/>
      <c r="AB5685" s="94"/>
      <c r="AC5685" s="94"/>
      <c r="AD5685" s="94"/>
      <c r="AE5685" s="94"/>
      <c r="AF5685" s="94"/>
      <c r="AG5685" s="94"/>
      <c r="AH5685" s="94"/>
    </row>
    <row r="5686" ht="12.75" hidden="1" customHeight="1" outlineLevel="1">
      <c r="A5686" s="122">
        <v>42025.0</v>
      </c>
      <c r="B5686" s="32" t="s">
        <v>343</v>
      </c>
      <c r="C5686" s="32" t="s">
        <v>784</v>
      </c>
      <c r="D5686" s="708">
        <v>3500.0</v>
      </c>
      <c r="E5686" s="195">
        <v>8.56</v>
      </c>
      <c r="F5686" s="709">
        <v>0.6399305555555556</v>
      </c>
      <c r="G5686" s="195" t="s">
        <v>453</v>
      </c>
      <c r="H5686" s="710">
        <v>17.5</v>
      </c>
      <c r="I5686" s="256"/>
      <c r="J5686" s="67">
        <f t="shared" si="355"/>
        <v>-29977.5</v>
      </c>
      <c r="L5686" s="70"/>
      <c r="M5686" s="934"/>
      <c r="N5686" s="94"/>
      <c r="O5686" s="94"/>
      <c r="P5686" s="94"/>
      <c r="Q5686" s="94"/>
      <c r="R5686" s="94"/>
      <c r="S5686" s="94"/>
      <c r="T5686" s="94"/>
      <c r="U5686" s="94"/>
      <c r="V5686" s="94"/>
      <c r="W5686" s="94"/>
      <c r="X5686" s="94"/>
      <c r="Y5686" s="94"/>
      <c r="Z5686" s="94"/>
      <c r="AA5686" s="94"/>
      <c r="AB5686" s="94"/>
      <c r="AC5686" s="94"/>
      <c r="AD5686" s="94"/>
      <c r="AE5686" s="94"/>
      <c r="AF5686" s="94"/>
      <c r="AG5686" s="94"/>
      <c r="AH5686" s="94"/>
    </row>
    <row r="5687" ht="12.75" hidden="1" customHeight="1" outlineLevel="1">
      <c r="A5687" s="122">
        <v>42025.0</v>
      </c>
      <c r="B5687" s="32" t="s">
        <v>343</v>
      </c>
      <c r="C5687" s="32" t="s">
        <v>2192</v>
      </c>
      <c r="D5687" s="708">
        <v>1500.0</v>
      </c>
      <c r="E5687" s="195">
        <v>10.64</v>
      </c>
      <c r="F5687" s="709">
        <v>0.6400231481481482</v>
      </c>
      <c r="G5687" s="195" t="s">
        <v>453</v>
      </c>
      <c r="H5687" s="710">
        <v>7.5</v>
      </c>
      <c r="I5687" s="256"/>
      <c r="J5687" s="67">
        <f t="shared" si="355"/>
        <v>-15967.5</v>
      </c>
      <c r="L5687" s="70"/>
      <c r="M5687" s="934"/>
      <c r="N5687" s="94"/>
      <c r="O5687" s="94"/>
      <c r="P5687" s="94"/>
      <c r="Q5687" s="94"/>
      <c r="R5687" s="94"/>
      <c r="S5687" s="94"/>
      <c r="T5687" s="94"/>
      <c r="U5687" s="94"/>
      <c r="V5687" s="94"/>
      <c r="W5687" s="94"/>
      <c r="X5687" s="94"/>
      <c r="Y5687" s="94"/>
      <c r="Z5687" s="94"/>
      <c r="AA5687" s="94"/>
      <c r="AB5687" s="94"/>
      <c r="AC5687" s="94"/>
      <c r="AD5687" s="94"/>
      <c r="AE5687" s="94"/>
      <c r="AF5687" s="94"/>
      <c r="AG5687" s="94"/>
      <c r="AH5687" s="94"/>
    </row>
    <row r="5688" ht="12.75" hidden="1" customHeight="1" outlineLevel="1">
      <c r="A5688" s="122">
        <v>42025.0</v>
      </c>
      <c r="B5688" s="32" t="s">
        <v>343</v>
      </c>
      <c r="C5688" s="32" t="s">
        <v>2048</v>
      </c>
      <c r="D5688" s="708">
        <v>1500.0</v>
      </c>
      <c r="E5688" s="195">
        <v>10.34</v>
      </c>
      <c r="F5688" s="709">
        <v>0.640162037037037</v>
      </c>
      <c r="G5688" s="195" t="s">
        <v>453</v>
      </c>
      <c r="H5688" s="710">
        <v>7.0</v>
      </c>
      <c r="I5688" s="256"/>
      <c r="J5688" s="67">
        <f t="shared" si="355"/>
        <v>-15517</v>
      </c>
      <c r="L5688" s="70"/>
      <c r="M5688" s="934"/>
      <c r="N5688" s="94"/>
      <c r="O5688" s="94"/>
      <c r="P5688" s="94"/>
      <c r="Q5688" s="94"/>
      <c r="R5688" s="94"/>
      <c r="S5688" s="94"/>
      <c r="T5688" s="94"/>
      <c r="U5688" s="94"/>
      <c r="V5688" s="94"/>
      <c r="W5688" s="94"/>
      <c r="X5688" s="94"/>
      <c r="Y5688" s="94"/>
      <c r="Z5688" s="94"/>
      <c r="AA5688" s="94"/>
      <c r="AB5688" s="94"/>
      <c r="AC5688" s="94"/>
      <c r="AD5688" s="94"/>
      <c r="AE5688" s="94"/>
      <c r="AF5688" s="94"/>
      <c r="AG5688" s="94"/>
      <c r="AH5688" s="94"/>
    </row>
    <row r="5689" ht="12.75" hidden="1" customHeight="1" outlineLevel="1">
      <c r="A5689" s="122">
        <v>42025.0</v>
      </c>
      <c r="B5689" s="32" t="s">
        <v>343</v>
      </c>
      <c r="C5689" s="32" t="s">
        <v>790</v>
      </c>
      <c r="D5689" s="708">
        <v>1500.0</v>
      </c>
      <c r="E5689" s="195">
        <v>7.33</v>
      </c>
      <c r="F5689" s="709">
        <v>0.6403472222222222</v>
      </c>
      <c r="G5689" s="195" t="s">
        <v>453</v>
      </c>
      <c r="H5689" s="710">
        <v>7.2</v>
      </c>
      <c r="I5689" s="256"/>
      <c r="J5689" s="67">
        <f t="shared" si="355"/>
        <v>-11002.2</v>
      </c>
      <c r="L5689" s="70"/>
      <c r="M5689" s="934"/>
      <c r="N5689" s="94"/>
      <c r="O5689" s="94"/>
      <c r="P5689" s="94"/>
      <c r="Q5689" s="94"/>
      <c r="R5689" s="94"/>
      <c r="S5689" s="94"/>
      <c r="T5689" s="94"/>
      <c r="U5689" s="94"/>
      <c r="V5689" s="94"/>
      <c r="W5689" s="94"/>
      <c r="X5689" s="94"/>
      <c r="Y5689" s="94"/>
      <c r="Z5689" s="94"/>
      <c r="AA5689" s="94"/>
      <c r="AB5689" s="94"/>
      <c r="AC5689" s="94"/>
      <c r="AD5689" s="94"/>
      <c r="AE5689" s="94"/>
      <c r="AF5689" s="94"/>
      <c r="AG5689" s="94"/>
      <c r="AH5689" s="94"/>
    </row>
    <row r="5690" ht="12.75" hidden="1" customHeight="1" outlineLevel="1">
      <c r="A5690" s="122">
        <v>42025.0</v>
      </c>
      <c r="B5690" s="32" t="s">
        <v>347</v>
      </c>
      <c r="C5690" s="32" t="s">
        <v>1325</v>
      </c>
      <c r="D5690" s="708">
        <v>100.0</v>
      </c>
      <c r="E5690" s="195">
        <v>64.82</v>
      </c>
      <c r="F5690" s="709">
        <v>0.6419097222222222</v>
      </c>
      <c r="G5690" s="195" t="s">
        <v>453</v>
      </c>
      <c r="H5690" s="710">
        <v>1.14</v>
      </c>
      <c r="I5690" s="256"/>
      <c r="J5690" s="67">
        <f t="shared" si="355"/>
        <v>6480.86</v>
      </c>
      <c r="L5690" s="70"/>
      <c r="M5690" s="934"/>
      <c r="N5690" s="94"/>
      <c r="O5690" s="94"/>
      <c r="P5690" s="94"/>
      <c r="Q5690" s="94"/>
      <c r="R5690" s="94"/>
      <c r="S5690" s="94"/>
      <c r="T5690" s="94"/>
      <c r="U5690" s="94"/>
      <c r="V5690" s="94"/>
      <c r="W5690" s="94"/>
      <c r="X5690" s="94"/>
      <c r="Y5690" s="94"/>
      <c r="Z5690" s="94"/>
      <c r="AA5690" s="94"/>
      <c r="AB5690" s="94"/>
      <c r="AC5690" s="94"/>
      <c r="AD5690" s="94"/>
      <c r="AE5690" s="94"/>
      <c r="AF5690" s="94"/>
      <c r="AG5690" s="94"/>
      <c r="AH5690" s="94"/>
    </row>
    <row r="5691" ht="12.75" hidden="1" customHeight="1" outlineLevel="1">
      <c r="A5691" s="122">
        <v>42025.0</v>
      </c>
      <c r="B5691" s="32" t="s">
        <v>347</v>
      </c>
      <c r="C5691" s="32" t="s">
        <v>344</v>
      </c>
      <c r="D5691" s="708">
        <v>100.0</v>
      </c>
      <c r="E5691" s="195">
        <v>50.84</v>
      </c>
      <c r="F5691" s="709">
        <v>0.6420949074074074</v>
      </c>
      <c r="G5691" s="195" t="s">
        <v>453</v>
      </c>
      <c r="H5691" s="710">
        <v>1.11</v>
      </c>
      <c r="I5691" s="256"/>
      <c r="J5691" s="67">
        <f t="shared" si="355"/>
        <v>5082.89</v>
      </c>
      <c r="L5691" s="70"/>
      <c r="M5691" s="934"/>
      <c r="N5691" s="94"/>
      <c r="O5691" s="94"/>
      <c r="P5691" s="94"/>
      <c r="Q5691" s="94"/>
      <c r="R5691" s="94"/>
      <c r="S5691" s="94"/>
      <c r="T5691" s="94"/>
      <c r="U5691" s="94"/>
      <c r="V5691" s="94"/>
      <c r="W5691" s="94"/>
      <c r="X5691" s="94"/>
      <c r="Y5691" s="94"/>
      <c r="Z5691" s="94"/>
      <c r="AA5691" s="94"/>
      <c r="AB5691" s="94"/>
      <c r="AC5691" s="94"/>
      <c r="AD5691" s="94"/>
      <c r="AE5691" s="94"/>
      <c r="AF5691" s="94"/>
      <c r="AG5691" s="94"/>
      <c r="AH5691" s="94"/>
    </row>
    <row r="5692" ht="12.75" hidden="1" customHeight="1" outlineLevel="1">
      <c r="A5692" s="122">
        <v>42025.0</v>
      </c>
      <c r="B5692" s="32" t="s">
        <v>347</v>
      </c>
      <c r="C5692" s="32" t="s">
        <v>344</v>
      </c>
      <c r="D5692" s="708">
        <v>100.0</v>
      </c>
      <c r="E5692" s="195">
        <v>50.85</v>
      </c>
      <c r="F5692" s="709">
        <v>0.6434027777777778</v>
      </c>
      <c r="G5692" s="195" t="s">
        <v>453</v>
      </c>
      <c r="H5692" s="710">
        <v>1.11</v>
      </c>
      <c r="I5692" s="256"/>
      <c r="J5692" s="67">
        <f t="shared" si="355"/>
        <v>5083.89</v>
      </c>
      <c r="L5692" s="70"/>
      <c r="M5692" s="934"/>
      <c r="N5692" s="94"/>
      <c r="O5692" s="94"/>
      <c r="P5692" s="94"/>
      <c r="Q5692" s="94"/>
      <c r="R5692" s="94"/>
      <c r="S5692" s="94"/>
      <c r="T5692" s="94"/>
      <c r="U5692" s="94"/>
      <c r="V5692" s="94"/>
      <c r="W5692" s="94"/>
      <c r="X5692" s="94"/>
      <c r="Y5692" s="94"/>
      <c r="Z5692" s="94"/>
      <c r="AA5692" s="94"/>
      <c r="AB5692" s="94"/>
      <c r="AC5692" s="94"/>
      <c r="AD5692" s="94"/>
      <c r="AE5692" s="94"/>
      <c r="AF5692" s="94"/>
      <c r="AG5692" s="94"/>
      <c r="AH5692" s="94"/>
    </row>
    <row r="5693" ht="12.75" hidden="1" customHeight="1" outlineLevel="1">
      <c r="A5693" s="122">
        <v>42025.0</v>
      </c>
      <c r="B5693" s="32" t="s">
        <v>347</v>
      </c>
      <c r="C5693" s="32" t="s">
        <v>1357</v>
      </c>
      <c r="D5693" s="708">
        <v>400.0</v>
      </c>
      <c r="E5693" s="195">
        <v>37.67</v>
      </c>
      <c r="F5693" s="709">
        <v>0.6445717592592592</v>
      </c>
      <c r="G5693" s="195" t="s">
        <v>453</v>
      </c>
      <c r="H5693" s="710">
        <v>2.23</v>
      </c>
      <c r="I5693" s="256"/>
      <c r="J5693" s="67">
        <f t="shared" si="355"/>
        <v>15065.77</v>
      </c>
      <c r="L5693" s="70"/>
      <c r="M5693" s="934"/>
      <c r="N5693" s="94"/>
      <c r="O5693" s="94"/>
      <c r="P5693" s="94"/>
      <c r="Q5693" s="94"/>
      <c r="R5693" s="94"/>
      <c r="S5693" s="94"/>
      <c r="T5693" s="94"/>
      <c r="U5693" s="94"/>
      <c r="V5693" s="94"/>
      <c r="W5693" s="94"/>
      <c r="X5693" s="94"/>
      <c r="Y5693" s="94"/>
      <c r="Z5693" s="94"/>
      <c r="AA5693" s="94"/>
      <c r="AB5693" s="94"/>
      <c r="AC5693" s="94"/>
      <c r="AD5693" s="94"/>
      <c r="AE5693" s="94"/>
      <c r="AF5693" s="94"/>
      <c r="AG5693" s="94"/>
      <c r="AH5693" s="94"/>
    </row>
    <row r="5694" ht="12.75" hidden="1" customHeight="1" outlineLevel="1">
      <c r="A5694" s="122">
        <v>42025.0</v>
      </c>
      <c r="B5694" s="32" t="s">
        <v>347</v>
      </c>
      <c r="C5694" s="32" t="s">
        <v>1049</v>
      </c>
      <c r="D5694" s="708">
        <v>10.0</v>
      </c>
      <c r="E5694" s="195">
        <v>678.71</v>
      </c>
      <c r="F5694" s="709">
        <v>0.6451388888888889</v>
      </c>
      <c r="G5694" s="195" t="s">
        <v>453</v>
      </c>
      <c r="H5694" s="710">
        <v>1.15</v>
      </c>
      <c r="I5694" s="256"/>
      <c r="J5694" s="67">
        <f t="shared" si="355"/>
        <v>6785.95</v>
      </c>
      <c r="L5694" s="70"/>
      <c r="M5694" s="934"/>
      <c r="N5694" s="94"/>
      <c r="O5694" s="94"/>
      <c r="P5694" s="94"/>
      <c r="Q5694" s="94"/>
      <c r="R5694" s="94"/>
      <c r="S5694" s="94"/>
      <c r="T5694" s="94"/>
      <c r="U5694" s="94"/>
      <c r="V5694" s="94"/>
      <c r="W5694" s="94"/>
      <c r="X5694" s="94"/>
      <c r="Y5694" s="94"/>
      <c r="Z5694" s="94"/>
      <c r="AA5694" s="94"/>
      <c r="AB5694" s="94"/>
      <c r="AC5694" s="94"/>
      <c r="AD5694" s="94"/>
      <c r="AE5694" s="94"/>
      <c r="AF5694" s="94"/>
      <c r="AG5694" s="94"/>
      <c r="AH5694" s="94"/>
    </row>
    <row r="5695" ht="12.75" hidden="1" customHeight="1" outlineLevel="1">
      <c r="A5695" s="122">
        <v>42025.0</v>
      </c>
      <c r="B5695" s="32" t="s">
        <v>347</v>
      </c>
      <c r="C5695" s="32" t="s">
        <v>1495</v>
      </c>
      <c r="D5695" s="708">
        <v>150.0</v>
      </c>
      <c r="E5695" s="195">
        <v>44.23</v>
      </c>
      <c r="F5695" s="709">
        <v>0.6486689814814814</v>
      </c>
      <c r="G5695" s="195" t="s">
        <v>453</v>
      </c>
      <c r="H5695" s="710">
        <v>1.15</v>
      </c>
      <c r="I5695" s="256"/>
      <c r="J5695" s="67">
        <f t="shared" si="355"/>
        <v>6633.35</v>
      </c>
      <c r="L5695" s="70"/>
      <c r="M5695" s="934"/>
      <c r="N5695" s="94"/>
      <c r="O5695" s="94"/>
      <c r="P5695" s="94"/>
      <c r="Q5695" s="94"/>
      <c r="R5695" s="94"/>
      <c r="S5695" s="94"/>
      <c r="T5695" s="94"/>
      <c r="U5695" s="94"/>
      <c r="V5695" s="94"/>
      <c r="W5695" s="94"/>
      <c r="X5695" s="94"/>
      <c r="Y5695" s="94"/>
      <c r="Z5695" s="94"/>
      <c r="AA5695" s="94"/>
      <c r="AB5695" s="94"/>
      <c r="AC5695" s="94"/>
      <c r="AD5695" s="94"/>
      <c r="AE5695" s="94"/>
      <c r="AF5695" s="94"/>
      <c r="AG5695" s="94"/>
      <c r="AH5695" s="94"/>
    </row>
    <row r="5696" ht="12.75" hidden="1" customHeight="1" outlineLevel="1">
      <c r="A5696" s="122">
        <v>42025.0</v>
      </c>
      <c r="B5696" s="32" t="s">
        <v>347</v>
      </c>
      <c r="C5696" s="32" t="s">
        <v>2157</v>
      </c>
      <c r="D5696" s="708">
        <v>50.0</v>
      </c>
      <c r="E5696" s="195">
        <v>97.793</v>
      </c>
      <c r="F5696" s="709">
        <v>0.6489351851851852</v>
      </c>
      <c r="G5696" s="195" t="s">
        <v>453</v>
      </c>
      <c r="H5696" s="710">
        <v>1.11</v>
      </c>
      <c r="I5696" s="256"/>
      <c r="J5696" s="67">
        <f t="shared" si="355"/>
        <v>4888.54</v>
      </c>
      <c r="L5696" s="70"/>
      <c r="M5696" s="934"/>
      <c r="N5696" s="94"/>
      <c r="O5696" s="94"/>
      <c r="P5696" s="94"/>
      <c r="Q5696" s="94"/>
      <c r="R5696" s="94"/>
      <c r="S5696" s="94"/>
      <c r="T5696" s="94"/>
      <c r="U5696" s="94"/>
      <c r="V5696" s="94"/>
      <c r="W5696" s="94"/>
      <c r="X5696" s="94"/>
      <c r="Y5696" s="94"/>
      <c r="Z5696" s="94"/>
      <c r="AA5696" s="94"/>
      <c r="AB5696" s="94"/>
      <c r="AC5696" s="94"/>
      <c r="AD5696" s="94"/>
      <c r="AE5696" s="94"/>
      <c r="AF5696" s="94"/>
      <c r="AG5696" s="94"/>
      <c r="AH5696" s="94"/>
    </row>
    <row r="5697" ht="12.75" hidden="1" customHeight="1" outlineLevel="1">
      <c r="A5697" s="122">
        <v>42025.0</v>
      </c>
      <c r="B5697" s="32" t="s">
        <v>347</v>
      </c>
      <c r="C5697" s="32" t="s">
        <v>1185</v>
      </c>
      <c r="D5697" s="708">
        <v>25.0</v>
      </c>
      <c r="E5697" s="195">
        <v>285.01</v>
      </c>
      <c r="F5697" s="709">
        <v>0.6545601851851852</v>
      </c>
      <c r="G5697" s="195" t="s">
        <v>453</v>
      </c>
      <c r="H5697" s="710">
        <v>1.16</v>
      </c>
      <c r="I5697" s="256"/>
      <c r="J5697" s="67">
        <f t="shared" si="355"/>
        <v>7124.09</v>
      </c>
      <c r="L5697" s="70"/>
      <c r="M5697" s="934"/>
      <c r="N5697" s="94"/>
      <c r="O5697" s="94"/>
      <c r="P5697" s="94"/>
      <c r="Q5697" s="94"/>
      <c r="R5697" s="94"/>
      <c r="S5697" s="94"/>
      <c r="T5697" s="94"/>
      <c r="U5697" s="94"/>
      <c r="V5697" s="94"/>
      <c r="W5697" s="94"/>
      <c r="X5697" s="94"/>
      <c r="Y5697" s="94"/>
      <c r="Z5697" s="94"/>
      <c r="AA5697" s="94"/>
      <c r="AB5697" s="94"/>
      <c r="AC5697" s="94"/>
      <c r="AD5697" s="94"/>
      <c r="AE5697" s="94"/>
      <c r="AF5697" s="94"/>
      <c r="AG5697" s="94"/>
      <c r="AH5697" s="94"/>
    </row>
    <row r="5698" ht="12.75" hidden="1" customHeight="1" outlineLevel="1">
      <c r="A5698" s="882">
        <v>42025.0</v>
      </c>
      <c r="B5698" s="1"/>
      <c r="C5698" s="1" t="s">
        <v>339</v>
      </c>
      <c r="D5698" s="74"/>
      <c r="E5698" s="67"/>
      <c r="F5698" s="75"/>
      <c r="G5698" s="67"/>
      <c r="H5698" s="68"/>
      <c r="I5698" s="76"/>
      <c r="J5698" s="67"/>
      <c r="K5698" s="9" t="s">
        <v>2777</v>
      </c>
      <c r="L5698" s="934"/>
      <c r="M5698" s="934"/>
    </row>
    <row r="5699" ht="12.75" hidden="1" customHeight="1" outlineLevel="1">
      <c r="A5699" s="882">
        <v>42025.0</v>
      </c>
      <c r="B5699" s="1"/>
      <c r="C5699" s="1" t="s">
        <v>429</v>
      </c>
      <c r="D5699" s="74"/>
      <c r="E5699" s="67"/>
      <c r="F5699" s="75"/>
      <c r="G5699" s="67"/>
      <c r="H5699" s="68"/>
      <c r="I5699" s="76"/>
      <c r="J5699" s="67"/>
      <c r="K5699" s="9" t="s">
        <v>2580</v>
      </c>
      <c r="L5699" s="934"/>
      <c r="M5699" s="934"/>
    </row>
    <row r="5700" ht="12.75" hidden="1" customHeight="1" outlineLevel="1">
      <c r="A5700" s="882">
        <v>42025.0</v>
      </c>
      <c r="B5700" s="1"/>
      <c r="C5700" s="1" t="s">
        <v>431</v>
      </c>
      <c r="D5700" s="74"/>
      <c r="E5700" s="67"/>
      <c r="F5700" s="75"/>
      <c r="G5700" s="67"/>
      <c r="H5700" s="68"/>
      <c r="I5700" s="76"/>
      <c r="J5700" s="67"/>
      <c r="K5700" s="7" t="s">
        <v>1126</v>
      </c>
      <c r="L5700" s="934"/>
      <c r="M5700" s="934"/>
    </row>
    <row r="5701" ht="12.75" hidden="1" customHeight="1" outlineLevel="1">
      <c r="A5701" s="882">
        <v>42025.0</v>
      </c>
      <c r="B5701" s="1"/>
      <c r="C5701" s="1" t="s">
        <v>433</v>
      </c>
      <c r="D5701" s="74"/>
      <c r="E5701" s="67"/>
      <c r="F5701" s="75"/>
      <c r="G5701" s="67"/>
      <c r="H5701" s="68"/>
      <c r="I5701" s="76"/>
      <c r="J5701" s="67"/>
      <c r="K5701" s="7" t="s">
        <v>1103</v>
      </c>
      <c r="L5701" s="934"/>
      <c r="M5701" s="934"/>
    </row>
    <row r="5702" ht="12.75" hidden="1" customHeight="1" outlineLevel="1">
      <c r="A5702" s="882">
        <v>42025.0</v>
      </c>
      <c r="B5702" s="1"/>
      <c r="C5702" s="1" t="s">
        <v>435</v>
      </c>
      <c r="D5702" s="74"/>
      <c r="E5702" s="67"/>
      <c r="F5702" s="75"/>
      <c r="G5702" s="67"/>
      <c r="H5702" s="68"/>
      <c r="I5702" s="76"/>
      <c r="J5702" s="67"/>
      <c r="K5702" s="9" t="s">
        <v>2486</v>
      </c>
      <c r="L5702" s="934"/>
      <c r="M5702" s="934"/>
    </row>
    <row r="5703" ht="12.75" hidden="1" customHeight="1" outlineLevel="1">
      <c r="A5703" s="122">
        <v>42026.0</v>
      </c>
      <c r="B5703" s="32" t="s">
        <v>343</v>
      </c>
      <c r="C5703" s="32" t="s">
        <v>1158</v>
      </c>
      <c r="D5703" s="708">
        <v>100.0</v>
      </c>
      <c r="E5703" s="195">
        <v>49.6299</v>
      </c>
      <c r="F5703" s="709">
        <v>0.4049074074074074</v>
      </c>
      <c r="G5703" s="195" t="s">
        <v>453</v>
      </c>
      <c r="H5703" s="710">
        <v>1.0</v>
      </c>
      <c r="I5703" s="256"/>
      <c r="J5703" s="67">
        <f t="shared" ref="J5703:J5717" si="356">IF(B5703="SLD",D5703*E5703,-D5703*E5703)-H5703</f>
        <v>-4963.99</v>
      </c>
      <c r="L5703" s="70"/>
      <c r="M5703" s="934"/>
      <c r="N5703" s="94"/>
      <c r="O5703" s="94"/>
      <c r="P5703" s="94"/>
      <c r="Q5703" s="94"/>
      <c r="R5703" s="94"/>
      <c r="S5703" s="94"/>
      <c r="T5703" s="94"/>
      <c r="U5703" s="94"/>
      <c r="V5703" s="94"/>
      <c r="W5703" s="94"/>
      <c r="X5703" s="94"/>
      <c r="Y5703" s="94"/>
      <c r="Z5703" s="94"/>
      <c r="AA5703" s="94"/>
      <c r="AB5703" s="94"/>
      <c r="AC5703" s="94"/>
      <c r="AD5703" s="94"/>
      <c r="AE5703" s="94"/>
      <c r="AF5703" s="94"/>
      <c r="AG5703" s="94"/>
      <c r="AH5703" s="94"/>
    </row>
    <row r="5704" ht="12.75" hidden="1" customHeight="1" outlineLevel="1">
      <c r="A5704" s="122">
        <v>42026.0</v>
      </c>
      <c r="B5704" s="32" t="s">
        <v>343</v>
      </c>
      <c r="C5704" s="32" t="s">
        <v>1164</v>
      </c>
      <c r="D5704" s="708">
        <v>150.0</v>
      </c>
      <c r="E5704" s="195">
        <v>43.55</v>
      </c>
      <c r="F5704" s="709">
        <v>0.4050810185185185</v>
      </c>
      <c r="G5704" s="195" t="s">
        <v>453</v>
      </c>
      <c r="H5704" s="710">
        <v>1.0</v>
      </c>
      <c r="I5704" s="256"/>
      <c r="J5704" s="67">
        <f t="shared" si="356"/>
        <v>-6533.5</v>
      </c>
      <c r="L5704" s="70"/>
      <c r="M5704" s="934"/>
      <c r="N5704" s="94"/>
      <c r="O5704" s="94"/>
      <c r="P5704" s="94"/>
      <c r="Q5704" s="94"/>
      <c r="R5704" s="94"/>
      <c r="S5704" s="94"/>
      <c r="T5704" s="94"/>
      <c r="U5704" s="94"/>
      <c r="V5704" s="94"/>
      <c r="W5704" s="94"/>
      <c r="X5704" s="94"/>
      <c r="Y5704" s="94"/>
      <c r="Z5704" s="94"/>
      <c r="AA5704" s="94"/>
      <c r="AB5704" s="94"/>
      <c r="AC5704" s="94"/>
      <c r="AD5704" s="94"/>
      <c r="AE5704" s="94"/>
      <c r="AF5704" s="94"/>
      <c r="AG5704" s="94"/>
      <c r="AH5704" s="94"/>
    </row>
    <row r="5705" ht="12.75" hidden="1" customHeight="1" outlineLevel="1">
      <c r="A5705" s="122">
        <v>42026.0</v>
      </c>
      <c r="B5705" s="32" t="s">
        <v>343</v>
      </c>
      <c r="C5705" s="32" t="s">
        <v>344</v>
      </c>
      <c r="D5705" s="708">
        <v>100.0</v>
      </c>
      <c r="E5705" s="195">
        <v>51.19</v>
      </c>
      <c r="F5705" s="709">
        <v>0.40644675925925927</v>
      </c>
      <c r="G5705" s="195" t="s">
        <v>453</v>
      </c>
      <c r="H5705" s="710">
        <v>1.0</v>
      </c>
      <c r="I5705" s="256"/>
      <c r="J5705" s="67">
        <f t="shared" si="356"/>
        <v>-5120</v>
      </c>
      <c r="L5705" s="70"/>
      <c r="M5705" s="934"/>
      <c r="N5705" s="94"/>
      <c r="O5705" s="94"/>
      <c r="P5705" s="94"/>
      <c r="Q5705" s="94"/>
      <c r="R5705" s="94"/>
      <c r="S5705" s="94"/>
      <c r="T5705" s="94"/>
      <c r="U5705" s="94"/>
      <c r="V5705" s="94"/>
      <c r="W5705" s="94"/>
      <c r="X5705" s="94"/>
      <c r="Y5705" s="94"/>
      <c r="Z5705" s="94"/>
      <c r="AA5705" s="94"/>
      <c r="AB5705" s="94"/>
      <c r="AC5705" s="94"/>
      <c r="AD5705" s="94"/>
      <c r="AE5705" s="94"/>
      <c r="AF5705" s="94"/>
      <c r="AG5705" s="94"/>
      <c r="AH5705" s="94"/>
    </row>
    <row r="5706" ht="12.75" hidden="1" customHeight="1" outlineLevel="1">
      <c r="A5706" s="122">
        <v>42026.0</v>
      </c>
      <c r="B5706" s="32" t="s">
        <v>343</v>
      </c>
      <c r="C5706" s="32" t="s">
        <v>1060</v>
      </c>
      <c r="D5706" s="708">
        <v>200.0</v>
      </c>
      <c r="E5706" s="195">
        <v>38.89</v>
      </c>
      <c r="F5706" s="709">
        <v>0.4067013888888889</v>
      </c>
      <c r="G5706" s="195" t="s">
        <v>453</v>
      </c>
      <c r="H5706" s="710">
        <v>1.0</v>
      </c>
      <c r="I5706" s="256"/>
      <c r="J5706" s="67">
        <f t="shared" si="356"/>
        <v>-7779</v>
      </c>
      <c r="L5706" s="70"/>
      <c r="M5706" s="934"/>
      <c r="N5706" s="94"/>
      <c r="O5706" s="94"/>
      <c r="P5706" s="94"/>
      <c r="Q5706" s="94"/>
      <c r="R5706" s="94"/>
      <c r="S5706" s="94"/>
      <c r="T5706" s="94"/>
      <c r="U5706" s="94"/>
      <c r="V5706" s="94"/>
      <c r="W5706" s="94"/>
      <c r="X5706" s="94"/>
      <c r="Y5706" s="94"/>
      <c r="Z5706" s="94"/>
      <c r="AA5706" s="94"/>
      <c r="AB5706" s="94"/>
      <c r="AC5706" s="94"/>
      <c r="AD5706" s="94"/>
      <c r="AE5706" s="94"/>
      <c r="AF5706" s="94"/>
      <c r="AG5706" s="94"/>
      <c r="AH5706" s="94"/>
    </row>
    <row r="5707" ht="12.75" hidden="1" customHeight="1" outlineLevel="1">
      <c r="A5707" s="122">
        <v>42026.0</v>
      </c>
      <c r="B5707" s="32" t="s">
        <v>343</v>
      </c>
      <c r="C5707" s="32" t="s">
        <v>1060</v>
      </c>
      <c r="D5707" s="708">
        <v>200.0</v>
      </c>
      <c r="E5707" s="195">
        <v>39.24</v>
      </c>
      <c r="F5707" s="709">
        <v>0.438900462962963</v>
      </c>
      <c r="G5707" s="195" t="s">
        <v>453</v>
      </c>
      <c r="H5707" s="710">
        <v>1.0</v>
      </c>
      <c r="I5707" s="256"/>
      <c r="J5707" s="67">
        <f t="shared" si="356"/>
        <v>-7849</v>
      </c>
      <c r="L5707" s="70"/>
      <c r="M5707" s="934"/>
      <c r="N5707" s="94"/>
      <c r="O5707" s="94"/>
      <c r="P5707" s="94"/>
      <c r="Q5707" s="94"/>
      <c r="R5707" s="94"/>
      <c r="S5707" s="94"/>
      <c r="T5707" s="94"/>
      <c r="U5707" s="94"/>
      <c r="V5707" s="94"/>
      <c r="W5707" s="94"/>
      <c r="X5707" s="94"/>
      <c r="Y5707" s="94"/>
      <c r="Z5707" s="94"/>
      <c r="AA5707" s="94"/>
      <c r="AB5707" s="94"/>
      <c r="AC5707" s="94"/>
      <c r="AD5707" s="94"/>
      <c r="AE5707" s="94"/>
      <c r="AF5707" s="94"/>
      <c r="AG5707" s="94"/>
      <c r="AH5707" s="94"/>
    </row>
    <row r="5708" ht="12.75" hidden="1" customHeight="1" outlineLevel="1">
      <c r="A5708" s="122">
        <v>42026.0</v>
      </c>
      <c r="B5708" s="32" t="s">
        <v>343</v>
      </c>
      <c r="C5708" s="32" t="s">
        <v>1325</v>
      </c>
      <c r="D5708" s="708">
        <v>100.0</v>
      </c>
      <c r="E5708" s="195">
        <v>65.6752</v>
      </c>
      <c r="F5708" s="709">
        <v>0.4390625</v>
      </c>
      <c r="G5708" s="195" t="s">
        <v>453</v>
      </c>
      <c r="H5708" s="710">
        <v>1.0</v>
      </c>
      <c r="I5708" s="256"/>
      <c r="J5708" s="67">
        <f t="shared" si="356"/>
        <v>-6568.52</v>
      </c>
      <c r="L5708" s="70"/>
      <c r="M5708" s="934"/>
      <c r="N5708" s="94"/>
      <c r="O5708" s="94"/>
      <c r="P5708" s="94"/>
      <c r="Q5708" s="94"/>
      <c r="R5708" s="94"/>
      <c r="S5708" s="94"/>
      <c r="T5708" s="94"/>
      <c r="U5708" s="94"/>
      <c r="V5708" s="94"/>
      <c r="W5708" s="94"/>
      <c r="X5708" s="94"/>
      <c r="Y5708" s="94"/>
      <c r="Z5708" s="94"/>
      <c r="AA5708" s="94"/>
      <c r="AB5708" s="94"/>
      <c r="AC5708" s="94"/>
      <c r="AD5708" s="94"/>
      <c r="AE5708" s="94"/>
      <c r="AF5708" s="94"/>
      <c r="AG5708" s="94"/>
      <c r="AH5708" s="94"/>
    </row>
    <row r="5709" ht="12.75" hidden="1" customHeight="1" outlineLevel="1">
      <c r="A5709" s="122">
        <v>42026.0</v>
      </c>
      <c r="B5709" s="32" t="s">
        <v>343</v>
      </c>
      <c r="C5709" s="32" t="s">
        <v>344</v>
      </c>
      <c r="D5709" s="708">
        <v>200.0</v>
      </c>
      <c r="E5709" s="195">
        <v>51.63</v>
      </c>
      <c r="F5709" s="709">
        <v>0.4394328703703704</v>
      </c>
      <c r="G5709" s="195" t="s">
        <v>453</v>
      </c>
      <c r="H5709" s="710">
        <v>1.0</v>
      </c>
      <c r="I5709" s="256"/>
      <c r="J5709" s="67">
        <f t="shared" si="356"/>
        <v>-10327</v>
      </c>
      <c r="L5709" s="70"/>
      <c r="M5709" s="934"/>
      <c r="N5709" s="94"/>
      <c r="O5709" s="94"/>
      <c r="P5709" s="94"/>
      <c r="Q5709" s="94"/>
      <c r="R5709" s="94"/>
      <c r="S5709" s="94"/>
      <c r="T5709" s="94"/>
      <c r="U5709" s="94"/>
      <c r="V5709" s="94"/>
      <c r="W5709" s="94"/>
      <c r="X5709" s="94"/>
      <c r="Y5709" s="94"/>
      <c r="Z5709" s="94"/>
      <c r="AA5709" s="94"/>
      <c r="AB5709" s="94"/>
      <c r="AC5709" s="94"/>
      <c r="AD5709" s="94"/>
      <c r="AE5709" s="94"/>
      <c r="AF5709" s="94"/>
      <c r="AG5709" s="94"/>
      <c r="AH5709" s="94"/>
    </row>
    <row r="5710" ht="12.75" hidden="1" customHeight="1" outlineLevel="1">
      <c r="A5710" s="122">
        <v>42026.0</v>
      </c>
      <c r="B5710" s="32" t="s">
        <v>343</v>
      </c>
      <c r="C5710" s="32" t="s">
        <v>1357</v>
      </c>
      <c r="D5710" s="708">
        <v>300.0</v>
      </c>
      <c r="E5710" s="195">
        <v>37.954</v>
      </c>
      <c r="F5710" s="709">
        <v>0.43961805555555555</v>
      </c>
      <c r="G5710" s="195" t="s">
        <v>453</v>
      </c>
      <c r="H5710" s="710">
        <v>1.2</v>
      </c>
      <c r="I5710" s="256"/>
      <c r="J5710" s="67">
        <f t="shared" si="356"/>
        <v>-11387.4</v>
      </c>
      <c r="L5710" s="70"/>
      <c r="M5710" s="934"/>
      <c r="N5710" s="94"/>
      <c r="O5710" s="94"/>
      <c r="P5710" s="94"/>
      <c r="Q5710" s="94"/>
      <c r="R5710" s="94"/>
      <c r="S5710" s="94"/>
      <c r="T5710" s="94"/>
      <c r="U5710" s="94"/>
      <c r="V5710" s="94"/>
      <c r="W5710" s="94"/>
      <c r="X5710" s="94"/>
      <c r="Y5710" s="94"/>
      <c r="Z5710" s="94"/>
      <c r="AA5710" s="94"/>
      <c r="AB5710" s="94"/>
      <c r="AC5710" s="94"/>
      <c r="AD5710" s="94"/>
      <c r="AE5710" s="94"/>
      <c r="AF5710" s="94"/>
      <c r="AG5710" s="94"/>
      <c r="AH5710" s="94"/>
    </row>
    <row r="5711" ht="12.75" hidden="1" customHeight="1" outlineLevel="1">
      <c r="A5711" s="122">
        <v>42026.0</v>
      </c>
      <c r="B5711" s="32" t="s">
        <v>347</v>
      </c>
      <c r="C5711" s="32" t="s">
        <v>790</v>
      </c>
      <c r="D5711" s="708">
        <v>2000.0</v>
      </c>
      <c r="E5711" s="195">
        <v>7.531</v>
      </c>
      <c r="F5711" s="709">
        <v>0.48341435185185183</v>
      </c>
      <c r="G5711" s="195" t="s">
        <v>453</v>
      </c>
      <c r="H5711" s="710">
        <v>8.33</v>
      </c>
      <c r="I5711" s="256"/>
      <c r="J5711" s="67">
        <f t="shared" si="356"/>
        <v>15053.67</v>
      </c>
      <c r="L5711" s="70"/>
      <c r="M5711" s="934"/>
      <c r="N5711" s="94"/>
      <c r="O5711" s="94"/>
      <c r="P5711" s="94"/>
      <c r="Q5711" s="94"/>
      <c r="R5711" s="94"/>
      <c r="S5711" s="94"/>
      <c r="T5711" s="94"/>
      <c r="U5711" s="94"/>
      <c r="V5711" s="94"/>
      <c r="W5711" s="94"/>
      <c r="X5711" s="94"/>
      <c r="Y5711" s="94"/>
      <c r="Z5711" s="94"/>
      <c r="AA5711" s="94"/>
      <c r="AB5711" s="94"/>
      <c r="AC5711" s="94"/>
      <c r="AD5711" s="94"/>
      <c r="AE5711" s="94"/>
      <c r="AF5711" s="94"/>
      <c r="AG5711" s="94"/>
      <c r="AH5711" s="94"/>
    </row>
    <row r="5712" ht="12.75" hidden="1" customHeight="1" outlineLevel="1">
      <c r="A5712" s="122">
        <v>42026.0</v>
      </c>
      <c r="B5712" s="32" t="s">
        <v>347</v>
      </c>
      <c r="C5712" s="32" t="s">
        <v>784</v>
      </c>
      <c r="D5712" s="708">
        <v>5000.0</v>
      </c>
      <c r="E5712" s="195">
        <v>8.6</v>
      </c>
      <c r="F5712" s="709">
        <v>0.4840625</v>
      </c>
      <c r="G5712" s="195" t="s">
        <v>453</v>
      </c>
      <c r="H5712" s="710">
        <v>23.95</v>
      </c>
      <c r="I5712" s="256"/>
      <c r="J5712" s="67">
        <f t="shared" si="356"/>
        <v>42976.05</v>
      </c>
      <c r="L5712" s="70"/>
      <c r="M5712" s="934"/>
      <c r="N5712" s="94"/>
      <c r="O5712" s="94"/>
      <c r="P5712" s="94"/>
      <c r="Q5712" s="94"/>
      <c r="R5712" s="94"/>
      <c r="S5712" s="94"/>
      <c r="T5712" s="94"/>
      <c r="U5712" s="94"/>
      <c r="V5712" s="94"/>
      <c r="W5712" s="94"/>
      <c r="X5712" s="94"/>
      <c r="Y5712" s="94"/>
      <c r="Z5712" s="94"/>
      <c r="AA5712" s="94"/>
      <c r="AB5712" s="94"/>
      <c r="AC5712" s="94"/>
      <c r="AD5712" s="94"/>
      <c r="AE5712" s="94"/>
      <c r="AF5712" s="94"/>
      <c r="AG5712" s="94"/>
      <c r="AH5712" s="94"/>
    </row>
    <row r="5713" ht="12.75" hidden="1" customHeight="1" outlineLevel="1">
      <c r="A5713" s="122">
        <v>42026.0</v>
      </c>
      <c r="B5713" s="32" t="s">
        <v>343</v>
      </c>
      <c r="C5713" s="32" t="s">
        <v>1049</v>
      </c>
      <c r="D5713" s="708">
        <v>10.0</v>
      </c>
      <c r="E5713" s="195">
        <v>687.5</v>
      </c>
      <c r="F5713" s="709">
        <v>0.4844675925925926</v>
      </c>
      <c r="G5713" s="195" t="s">
        <v>453</v>
      </c>
      <c r="H5713" s="710">
        <v>1.0</v>
      </c>
      <c r="I5713" s="256"/>
      <c r="J5713" s="67">
        <f t="shared" si="356"/>
        <v>-6876</v>
      </c>
      <c r="L5713" s="70"/>
      <c r="M5713" s="934"/>
      <c r="N5713" s="94"/>
      <c r="O5713" s="94"/>
      <c r="P5713" s="94"/>
      <c r="Q5713" s="94"/>
      <c r="R5713" s="94"/>
      <c r="S5713" s="94"/>
      <c r="T5713" s="94"/>
      <c r="U5713" s="94"/>
      <c r="V5713" s="94"/>
      <c r="W5713" s="94"/>
      <c r="X5713" s="94"/>
      <c r="Y5713" s="94"/>
      <c r="Z5713" s="94"/>
      <c r="AA5713" s="94"/>
      <c r="AB5713" s="94"/>
      <c r="AC5713" s="94"/>
      <c r="AD5713" s="94"/>
      <c r="AE5713" s="94"/>
      <c r="AF5713" s="94"/>
      <c r="AG5713" s="94"/>
      <c r="AH5713" s="94"/>
    </row>
    <row r="5714" ht="12.75" hidden="1" customHeight="1" outlineLevel="1">
      <c r="A5714" s="122">
        <v>42026.0</v>
      </c>
      <c r="B5714" s="32" t="s">
        <v>347</v>
      </c>
      <c r="C5714" s="32" t="s">
        <v>1844</v>
      </c>
      <c r="D5714" s="708">
        <v>200.0</v>
      </c>
      <c r="E5714" s="195">
        <v>41.56</v>
      </c>
      <c r="F5714" s="709">
        <v>0.48487268518518517</v>
      </c>
      <c r="G5714" s="195" t="s">
        <v>453</v>
      </c>
      <c r="H5714" s="710">
        <v>1.18</v>
      </c>
      <c r="I5714" s="256"/>
      <c r="J5714" s="67">
        <f t="shared" si="356"/>
        <v>8310.82</v>
      </c>
      <c r="L5714" s="70"/>
      <c r="M5714" s="934"/>
      <c r="N5714" s="94"/>
      <c r="O5714" s="94"/>
      <c r="P5714" s="94"/>
      <c r="Q5714" s="94"/>
      <c r="R5714" s="94"/>
      <c r="S5714" s="94"/>
      <c r="T5714" s="94"/>
      <c r="U5714" s="94"/>
      <c r="V5714" s="94"/>
      <c r="W5714" s="94"/>
      <c r="X5714" s="94"/>
      <c r="Y5714" s="94"/>
      <c r="Z5714" s="94"/>
      <c r="AA5714" s="94"/>
      <c r="AB5714" s="94"/>
      <c r="AC5714" s="94"/>
      <c r="AD5714" s="94"/>
      <c r="AE5714" s="94"/>
      <c r="AF5714" s="94"/>
      <c r="AG5714" s="94"/>
      <c r="AH5714" s="94"/>
    </row>
    <row r="5715" ht="12.75" hidden="1" customHeight="1" outlineLevel="1">
      <c r="A5715" s="122">
        <v>42026.0</v>
      </c>
      <c r="B5715" s="32" t="s">
        <v>347</v>
      </c>
      <c r="C5715" s="32" t="s">
        <v>2048</v>
      </c>
      <c r="D5715" s="708">
        <v>1500.0</v>
      </c>
      <c r="E5715" s="195">
        <v>10.531</v>
      </c>
      <c r="F5715" s="709">
        <v>0.4855902777777778</v>
      </c>
      <c r="G5715" s="195" t="s">
        <v>453</v>
      </c>
      <c r="H5715" s="710">
        <v>6.35</v>
      </c>
      <c r="I5715" s="256"/>
      <c r="J5715" s="67">
        <f t="shared" si="356"/>
        <v>15790.15</v>
      </c>
      <c r="L5715" s="70"/>
      <c r="M5715" s="934"/>
      <c r="N5715" s="94"/>
      <c r="O5715" s="94"/>
      <c r="P5715" s="94"/>
      <c r="Q5715" s="94"/>
      <c r="R5715" s="94"/>
      <c r="S5715" s="94"/>
      <c r="T5715" s="94"/>
      <c r="U5715" s="94"/>
      <c r="V5715" s="94"/>
      <c r="W5715" s="94"/>
      <c r="X5715" s="94"/>
      <c r="Y5715" s="94"/>
      <c r="Z5715" s="94"/>
      <c r="AA5715" s="94"/>
      <c r="AB5715" s="94"/>
      <c r="AC5715" s="94"/>
      <c r="AD5715" s="94"/>
      <c r="AE5715" s="94"/>
      <c r="AF5715" s="94"/>
      <c r="AG5715" s="94"/>
      <c r="AH5715" s="94"/>
    </row>
    <row r="5716" ht="12.75" hidden="1" customHeight="1" outlineLevel="1">
      <c r="A5716" s="122">
        <v>42026.0</v>
      </c>
      <c r="B5716" s="32" t="s">
        <v>347</v>
      </c>
      <c r="C5716" s="32" t="s">
        <v>2192</v>
      </c>
      <c r="D5716" s="708">
        <v>1500.0</v>
      </c>
      <c r="E5716" s="195">
        <v>10.581</v>
      </c>
      <c r="F5716" s="709">
        <v>0.4857523148148148</v>
      </c>
      <c r="G5716" s="195" t="s">
        <v>453</v>
      </c>
      <c r="H5716" s="710">
        <v>6.35</v>
      </c>
      <c r="I5716" s="256"/>
      <c r="J5716" s="67">
        <f t="shared" si="356"/>
        <v>15865.15</v>
      </c>
      <c r="L5716" s="70"/>
      <c r="M5716" s="934"/>
      <c r="N5716" s="94"/>
      <c r="O5716" s="94"/>
      <c r="P5716" s="94"/>
      <c r="Q5716" s="94"/>
      <c r="R5716" s="94"/>
      <c r="S5716" s="94"/>
      <c r="T5716" s="94"/>
      <c r="U5716" s="94"/>
      <c r="V5716" s="94"/>
      <c r="W5716" s="94"/>
      <c r="X5716" s="94"/>
      <c r="Y5716" s="94"/>
      <c r="Z5716" s="94"/>
      <c r="AA5716" s="94"/>
      <c r="AB5716" s="94"/>
      <c r="AC5716" s="94"/>
      <c r="AD5716" s="94"/>
      <c r="AE5716" s="94"/>
      <c r="AF5716" s="94"/>
      <c r="AG5716" s="94"/>
      <c r="AH5716" s="94"/>
    </row>
    <row r="5717" ht="12.75" hidden="1" customHeight="1" outlineLevel="1">
      <c r="A5717" s="122">
        <v>42026.0</v>
      </c>
      <c r="B5717" s="32" t="s">
        <v>347</v>
      </c>
      <c r="C5717" s="32" t="s">
        <v>784</v>
      </c>
      <c r="D5717" s="708">
        <v>1000.0</v>
      </c>
      <c r="E5717" s="195">
        <v>8.58</v>
      </c>
      <c r="F5717" s="709">
        <v>0.49141203703703706</v>
      </c>
      <c r="G5717" s="195" t="s">
        <v>453</v>
      </c>
      <c r="H5717" s="710">
        <v>5.19</v>
      </c>
      <c r="I5717" s="256"/>
      <c r="J5717" s="67">
        <f t="shared" si="356"/>
        <v>8574.81</v>
      </c>
      <c r="L5717" s="70"/>
      <c r="M5717" s="934"/>
      <c r="N5717" s="94"/>
      <c r="O5717" s="94"/>
      <c r="P5717" s="94"/>
      <c r="Q5717" s="94"/>
      <c r="R5717" s="94"/>
      <c r="S5717" s="94"/>
      <c r="T5717" s="94"/>
      <c r="U5717" s="94"/>
      <c r="V5717" s="94"/>
      <c r="W5717" s="94"/>
      <c r="X5717" s="94"/>
      <c r="Y5717" s="94"/>
      <c r="Z5717" s="94"/>
      <c r="AA5717" s="94"/>
      <c r="AB5717" s="94"/>
      <c r="AC5717" s="94"/>
      <c r="AD5717" s="94"/>
      <c r="AE5717" s="94"/>
      <c r="AF5717" s="94"/>
      <c r="AG5717" s="94"/>
      <c r="AH5717" s="94"/>
    </row>
    <row r="5718" ht="12.75" hidden="1" customHeight="1" outlineLevel="1">
      <c r="A5718" s="882">
        <v>42026.0</v>
      </c>
      <c r="B5718" s="1"/>
      <c r="C5718" s="1" t="s">
        <v>339</v>
      </c>
      <c r="D5718" s="74"/>
      <c r="E5718" s="67"/>
      <c r="F5718" s="75"/>
      <c r="G5718" s="67"/>
      <c r="H5718" s="68"/>
      <c r="I5718" s="76"/>
      <c r="J5718" s="67"/>
      <c r="K5718" s="9" t="s">
        <v>2781</v>
      </c>
      <c r="L5718" s="934"/>
      <c r="M5718" s="934"/>
    </row>
    <row r="5719" ht="12.75" hidden="1" customHeight="1" outlineLevel="1">
      <c r="A5719" s="882">
        <v>42026.0</v>
      </c>
      <c r="B5719" s="1"/>
      <c r="C5719" s="1" t="s">
        <v>429</v>
      </c>
      <c r="D5719" s="74"/>
      <c r="E5719" s="67"/>
      <c r="F5719" s="75"/>
      <c r="G5719" s="67"/>
      <c r="H5719" s="68"/>
      <c r="I5719" s="76"/>
      <c r="J5719" s="67"/>
      <c r="K5719" s="9" t="s">
        <v>2580</v>
      </c>
      <c r="L5719" s="934"/>
      <c r="M5719" s="934"/>
    </row>
    <row r="5720" ht="12.75" hidden="1" customHeight="1" outlineLevel="1">
      <c r="A5720" s="882">
        <v>42026.0</v>
      </c>
      <c r="B5720" s="1"/>
      <c r="C5720" s="1" t="s">
        <v>431</v>
      </c>
      <c r="D5720" s="74"/>
      <c r="E5720" s="67"/>
      <c r="F5720" s="75"/>
      <c r="G5720" s="67"/>
      <c r="H5720" s="68"/>
      <c r="I5720" s="76"/>
      <c r="J5720" s="67"/>
      <c r="K5720" s="7" t="s">
        <v>1126</v>
      </c>
      <c r="L5720" s="934"/>
      <c r="M5720" s="934"/>
    </row>
    <row r="5721" ht="12.75" hidden="1" customHeight="1" outlineLevel="1">
      <c r="A5721" s="882">
        <v>42026.0</v>
      </c>
      <c r="B5721" s="1"/>
      <c r="C5721" s="1" t="s">
        <v>433</v>
      </c>
      <c r="D5721" s="74"/>
      <c r="E5721" s="67"/>
      <c r="F5721" s="75"/>
      <c r="G5721" s="67"/>
      <c r="H5721" s="68"/>
      <c r="I5721" s="76"/>
      <c r="J5721" s="67"/>
      <c r="K5721" s="7" t="s">
        <v>1103</v>
      </c>
      <c r="L5721" s="934"/>
      <c r="M5721" s="934"/>
    </row>
    <row r="5722" ht="12.75" hidden="1" customHeight="1" outlineLevel="1">
      <c r="A5722" s="882">
        <v>42026.0</v>
      </c>
      <c r="B5722" s="1"/>
      <c r="C5722" s="1" t="s">
        <v>435</v>
      </c>
      <c r="D5722" s="74"/>
      <c r="E5722" s="67"/>
      <c r="F5722" s="75"/>
      <c r="G5722" s="67"/>
      <c r="H5722" s="68"/>
      <c r="I5722" s="76"/>
      <c r="J5722" s="67"/>
      <c r="K5722" s="9" t="s">
        <v>2486</v>
      </c>
      <c r="L5722" s="934"/>
      <c r="M5722" s="934"/>
    </row>
    <row r="5723" ht="12.75" hidden="1" customHeight="1" outlineLevel="1">
      <c r="A5723" s="122">
        <v>42027.0</v>
      </c>
      <c r="B5723" s="32" t="s">
        <v>343</v>
      </c>
      <c r="C5723" s="32" t="s">
        <v>364</v>
      </c>
      <c r="D5723" s="708">
        <v>50.0</v>
      </c>
      <c r="E5723" s="195">
        <v>119.95</v>
      </c>
      <c r="F5723" s="709">
        <v>0.39944444444444444</v>
      </c>
      <c r="G5723" s="195" t="s">
        <v>453</v>
      </c>
      <c r="H5723" s="710">
        <v>1.0</v>
      </c>
      <c r="I5723" s="256"/>
      <c r="J5723" s="67">
        <f t="shared" ref="J5723:J5730" si="357">IF(B5723="SLD",D5723*E5723,-D5723*E5723)-H5723</f>
        <v>-5998.5</v>
      </c>
      <c r="L5723" s="70"/>
      <c r="M5723" s="934"/>
      <c r="N5723" s="94"/>
      <c r="O5723" s="94"/>
      <c r="P5723" s="94"/>
      <c r="Q5723" s="94"/>
      <c r="R5723" s="94"/>
      <c r="S5723" s="94"/>
      <c r="T5723" s="94"/>
      <c r="U5723" s="94"/>
      <c r="V5723" s="94"/>
      <c r="W5723" s="94"/>
      <c r="X5723" s="94"/>
      <c r="Y5723" s="94"/>
      <c r="Z5723" s="94"/>
      <c r="AA5723" s="94"/>
      <c r="AB5723" s="94"/>
      <c r="AC5723" s="94"/>
      <c r="AD5723" s="94"/>
      <c r="AE5723" s="94"/>
      <c r="AF5723" s="94"/>
      <c r="AG5723" s="94"/>
      <c r="AH5723" s="94"/>
    </row>
    <row r="5724" ht="12.75" hidden="1" customHeight="1" outlineLevel="1">
      <c r="A5724" s="122">
        <v>42027.0</v>
      </c>
      <c r="B5724" s="32" t="s">
        <v>343</v>
      </c>
      <c r="C5724" s="32" t="s">
        <v>2539</v>
      </c>
      <c r="D5724" s="708">
        <v>150.0</v>
      </c>
      <c r="E5724" s="195">
        <v>50.33</v>
      </c>
      <c r="F5724" s="709">
        <v>0.40002314814814816</v>
      </c>
      <c r="G5724" s="195" t="s">
        <v>453</v>
      </c>
      <c r="H5724" s="710">
        <v>1.0</v>
      </c>
      <c r="I5724" s="256"/>
      <c r="J5724" s="67">
        <f t="shared" si="357"/>
        <v>-7550.5</v>
      </c>
      <c r="L5724" s="70"/>
      <c r="M5724" s="934"/>
      <c r="N5724" s="94"/>
      <c r="O5724" s="94"/>
      <c r="P5724" s="94"/>
      <c r="Q5724" s="94"/>
      <c r="R5724" s="94"/>
      <c r="S5724" s="94"/>
      <c r="T5724" s="94"/>
      <c r="U5724" s="94"/>
      <c r="V5724" s="94"/>
      <c r="W5724" s="94"/>
      <c r="X5724" s="94"/>
      <c r="Y5724" s="94"/>
      <c r="Z5724" s="94"/>
      <c r="AA5724" s="94"/>
      <c r="AB5724" s="94"/>
      <c r="AC5724" s="94"/>
      <c r="AD5724" s="94"/>
      <c r="AE5724" s="94"/>
      <c r="AF5724" s="94"/>
      <c r="AG5724" s="94"/>
      <c r="AH5724" s="94"/>
    </row>
    <row r="5725" ht="12.75" hidden="1" customHeight="1" outlineLevel="1">
      <c r="A5725" s="122">
        <v>42027.0</v>
      </c>
      <c r="B5725" s="32" t="s">
        <v>343</v>
      </c>
      <c r="C5725" s="32" t="s">
        <v>2142</v>
      </c>
      <c r="D5725" s="708">
        <v>400.0</v>
      </c>
      <c r="E5725" s="195">
        <v>29.51</v>
      </c>
      <c r="F5725" s="709">
        <v>0.40641203703703704</v>
      </c>
      <c r="G5725" s="195" t="s">
        <v>453</v>
      </c>
      <c r="H5725" s="710">
        <v>2.0</v>
      </c>
      <c r="I5725" s="256"/>
      <c r="J5725" s="67">
        <f t="shared" si="357"/>
        <v>-11806</v>
      </c>
      <c r="L5725" s="70"/>
      <c r="M5725" s="934"/>
      <c r="N5725" s="94"/>
      <c r="O5725" s="94"/>
      <c r="P5725" s="94"/>
      <c r="Q5725" s="94"/>
      <c r="R5725" s="94"/>
      <c r="S5725" s="94"/>
      <c r="T5725" s="94"/>
      <c r="U5725" s="94"/>
      <c r="V5725" s="94"/>
      <c r="W5725" s="94"/>
      <c r="X5725" s="94"/>
      <c r="Y5725" s="94"/>
      <c r="Z5725" s="94"/>
      <c r="AA5725" s="94"/>
      <c r="AB5725" s="94"/>
      <c r="AC5725" s="94"/>
      <c r="AD5725" s="94"/>
      <c r="AE5725" s="94"/>
      <c r="AF5725" s="94"/>
      <c r="AG5725" s="94"/>
      <c r="AH5725" s="94"/>
    </row>
    <row r="5726" ht="12.75" hidden="1" customHeight="1" outlineLevel="1">
      <c r="A5726" s="122">
        <v>42027.0</v>
      </c>
      <c r="B5726" s="32" t="s">
        <v>347</v>
      </c>
      <c r="C5726" s="32" t="s">
        <v>790</v>
      </c>
      <c r="D5726" s="708">
        <v>1000.0</v>
      </c>
      <c r="E5726" s="195">
        <v>7.49</v>
      </c>
      <c r="F5726" s="709">
        <v>0.4722337962962963</v>
      </c>
      <c r="G5726" s="195" t="s">
        <v>453</v>
      </c>
      <c r="H5726" s="710">
        <v>5.17</v>
      </c>
      <c r="I5726" s="256"/>
      <c r="J5726" s="67">
        <f t="shared" si="357"/>
        <v>7484.83</v>
      </c>
      <c r="L5726" s="70"/>
      <c r="M5726" s="934"/>
      <c r="N5726" s="94"/>
      <c r="O5726" s="94"/>
      <c r="P5726" s="94"/>
      <c r="Q5726" s="94"/>
      <c r="R5726" s="94"/>
      <c r="S5726" s="94"/>
      <c r="T5726" s="94"/>
      <c r="U5726" s="94"/>
      <c r="V5726" s="94"/>
      <c r="W5726" s="94"/>
      <c r="X5726" s="94"/>
      <c r="Y5726" s="94"/>
      <c r="Z5726" s="94"/>
      <c r="AA5726" s="94"/>
      <c r="AB5726" s="94"/>
      <c r="AC5726" s="94"/>
      <c r="AD5726" s="94"/>
      <c r="AE5726" s="94"/>
      <c r="AF5726" s="94"/>
      <c r="AG5726" s="94"/>
      <c r="AH5726" s="94"/>
    </row>
    <row r="5727" ht="12.75" hidden="1" customHeight="1" outlineLevel="1">
      <c r="A5727" s="122">
        <v>42027.0</v>
      </c>
      <c r="B5727" s="32" t="s">
        <v>347</v>
      </c>
      <c r="C5727" s="32" t="s">
        <v>369</v>
      </c>
      <c r="D5727" s="708">
        <v>1000.0</v>
      </c>
      <c r="E5727" s="195">
        <v>7.88</v>
      </c>
      <c r="F5727" s="709">
        <v>0.4723148148148148</v>
      </c>
      <c r="G5727" s="195" t="s">
        <v>453</v>
      </c>
      <c r="H5727" s="710">
        <v>5.17</v>
      </c>
      <c r="I5727" s="256"/>
      <c r="J5727" s="67">
        <f t="shared" si="357"/>
        <v>7874.83</v>
      </c>
      <c r="L5727" s="70"/>
      <c r="M5727" s="934"/>
      <c r="N5727" s="94"/>
      <c r="O5727" s="94"/>
      <c r="P5727" s="94"/>
      <c r="Q5727" s="94"/>
      <c r="R5727" s="94"/>
      <c r="S5727" s="94"/>
      <c r="T5727" s="94"/>
      <c r="U5727" s="94"/>
      <c r="V5727" s="94"/>
      <c r="W5727" s="94"/>
      <c r="X5727" s="94"/>
      <c r="Y5727" s="94"/>
      <c r="Z5727" s="94"/>
      <c r="AA5727" s="94"/>
      <c r="AB5727" s="94"/>
      <c r="AC5727" s="94"/>
      <c r="AD5727" s="94"/>
      <c r="AE5727" s="94"/>
      <c r="AF5727" s="94"/>
      <c r="AG5727" s="94"/>
      <c r="AH5727" s="94"/>
    </row>
    <row r="5728" ht="12.75" hidden="1" customHeight="1" outlineLevel="1">
      <c r="A5728" s="122">
        <v>42027.0</v>
      </c>
      <c r="B5728" s="32" t="s">
        <v>347</v>
      </c>
      <c r="C5728" s="32" t="s">
        <v>2192</v>
      </c>
      <c r="D5728" s="708">
        <v>1000.0</v>
      </c>
      <c r="E5728" s="195">
        <v>10.711</v>
      </c>
      <c r="F5728" s="709">
        <v>0.5933564814814815</v>
      </c>
      <c r="G5728" s="195" t="s">
        <v>453</v>
      </c>
      <c r="H5728" s="710">
        <v>4.24</v>
      </c>
      <c r="I5728" s="256"/>
      <c r="J5728" s="67">
        <f t="shared" si="357"/>
        <v>10706.76</v>
      </c>
      <c r="L5728" s="70"/>
      <c r="M5728" s="934"/>
      <c r="N5728" s="94"/>
      <c r="O5728" s="94"/>
      <c r="P5728" s="94"/>
      <c r="Q5728" s="94"/>
      <c r="R5728" s="94"/>
      <c r="S5728" s="94"/>
      <c r="T5728" s="94"/>
      <c r="U5728" s="94"/>
      <c r="V5728" s="94"/>
      <c r="W5728" s="94"/>
      <c r="X5728" s="94"/>
      <c r="Y5728" s="94"/>
      <c r="Z5728" s="94"/>
      <c r="AA5728" s="94"/>
      <c r="AB5728" s="94"/>
      <c r="AC5728" s="94"/>
      <c r="AD5728" s="94"/>
      <c r="AE5728" s="94"/>
      <c r="AF5728" s="94"/>
      <c r="AG5728" s="94"/>
      <c r="AH5728" s="94"/>
    </row>
    <row r="5729" ht="12.75" hidden="1" customHeight="1" outlineLevel="1">
      <c r="A5729" s="122">
        <v>42027.0</v>
      </c>
      <c r="B5729" s="32" t="s">
        <v>347</v>
      </c>
      <c r="C5729" s="32" t="s">
        <v>2048</v>
      </c>
      <c r="D5729" s="708">
        <v>1000.0</v>
      </c>
      <c r="E5729" s="195">
        <v>10.281</v>
      </c>
      <c r="F5729" s="709">
        <v>0.5934953703703704</v>
      </c>
      <c r="G5729" s="195" t="s">
        <v>453</v>
      </c>
      <c r="H5729" s="710">
        <v>4.23</v>
      </c>
      <c r="I5729" s="256"/>
      <c r="J5729" s="67">
        <f t="shared" si="357"/>
        <v>10276.77</v>
      </c>
      <c r="L5729" s="70"/>
      <c r="M5729" s="934"/>
      <c r="N5729" s="94"/>
      <c r="O5729" s="94"/>
      <c r="P5729" s="94"/>
      <c r="Q5729" s="94"/>
      <c r="R5729" s="94"/>
      <c r="S5729" s="94"/>
      <c r="T5729" s="94"/>
      <c r="U5729" s="94"/>
      <c r="V5729" s="94"/>
      <c r="W5729" s="94"/>
      <c r="X5729" s="94"/>
      <c r="Y5729" s="94"/>
      <c r="Z5729" s="94"/>
      <c r="AA5729" s="94"/>
      <c r="AB5729" s="94"/>
      <c r="AC5729" s="94"/>
      <c r="AD5729" s="94"/>
      <c r="AE5729" s="94"/>
      <c r="AF5729" s="94"/>
      <c r="AG5729" s="94"/>
      <c r="AH5729" s="94"/>
    </row>
    <row r="5730" ht="12.75" hidden="1" customHeight="1" outlineLevel="1">
      <c r="A5730" s="122">
        <v>42027.0</v>
      </c>
      <c r="B5730" s="32" t="s">
        <v>347</v>
      </c>
      <c r="C5730" s="32" t="s">
        <v>790</v>
      </c>
      <c r="D5730" s="708">
        <v>1000.0</v>
      </c>
      <c r="E5730" s="195">
        <v>7.33</v>
      </c>
      <c r="F5730" s="709">
        <v>0.5943981481481482</v>
      </c>
      <c r="G5730" s="195" t="s">
        <v>453</v>
      </c>
      <c r="H5730" s="710">
        <v>4.66</v>
      </c>
      <c r="I5730" s="256"/>
      <c r="J5730" s="67">
        <f t="shared" si="357"/>
        <v>7325.34</v>
      </c>
      <c r="L5730" s="70"/>
      <c r="M5730" s="934"/>
      <c r="N5730" s="94"/>
      <c r="O5730" s="94"/>
      <c r="P5730" s="94"/>
      <c r="Q5730" s="94"/>
      <c r="R5730" s="94"/>
      <c r="S5730" s="94"/>
      <c r="T5730" s="94"/>
      <c r="U5730" s="94"/>
      <c r="V5730" s="94"/>
      <c r="W5730" s="94"/>
      <c r="X5730" s="94"/>
      <c r="Y5730" s="94"/>
      <c r="Z5730" s="94"/>
      <c r="AA5730" s="94"/>
      <c r="AB5730" s="94"/>
      <c r="AC5730" s="94"/>
      <c r="AD5730" s="94"/>
      <c r="AE5730" s="94"/>
      <c r="AF5730" s="94"/>
      <c r="AG5730" s="94"/>
      <c r="AH5730" s="94"/>
    </row>
    <row r="5731" ht="12.75" hidden="1" customHeight="1" outlineLevel="1">
      <c r="A5731" s="882">
        <v>42027.0</v>
      </c>
      <c r="B5731" s="1"/>
      <c r="C5731" s="1" t="s">
        <v>339</v>
      </c>
      <c r="D5731" s="74"/>
      <c r="E5731" s="67"/>
      <c r="F5731" s="75"/>
      <c r="G5731" s="67"/>
      <c r="H5731" s="68"/>
      <c r="I5731" s="76"/>
      <c r="J5731" s="67"/>
      <c r="K5731" s="9" t="s">
        <v>2789</v>
      </c>
      <c r="L5731" s="934"/>
      <c r="M5731" s="934"/>
    </row>
    <row r="5732" ht="12.75" hidden="1" customHeight="1" outlineLevel="1">
      <c r="A5732" s="882">
        <v>42027.0</v>
      </c>
      <c r="B5732" s="1"/>
      <c r="C5732" s="1" t="s">
        <v>429</v>
      </c>
      <c r="D5732" s="74"/>
      <c r="E5732" s="67"/>
      <c r="F5732" s="75"/>
      <c r="G5732" s="67"/>
      <c r="H5732" s="68"/>
      <c r="I5732" s="76"/>
      <c r="J5732" s="67"/>
      <c r="K5732" s="9" t="s">
        <v>2580</v>
      </c>
      <c r="L5732" s="934"/>
      <c r="M5732" s="934"/>
    </row>
    <row r="5733" ht="12.75" hidden="1" customHeight="1" outlineLevel="1">
      <c r="A5733" s="882">
        <v>42027.0</v>
      </c>
      <c r="B5733" s="1"/>
      <c r="C5733" s="1" t="s">
        <v>431</v>
      </c>
      <c r="D5733" s="74"/>
      <c r="E5733" s="67"/>
      <c r="F5733" s="75"/>
      <c r="G5733" s="67"/>
      <c r="H5733" s="68"/>
      <c r="I5733" s="76"/>
      <c r="J5733" s="67"/>
      <c r="K5733" s="7" t="s">
        <v>1126</v>
      </c>
      <c r="L5733" s="934"/>
      <c r="M5733" s="934"/>
    </row>
    <row r="5734" ht="12.75" hidden="1" customHeight="1" outlineLevel="1">
      <c r="A5734" s="882">
        <v>42027.0</v>
      </c>
      <c r="B5734" s="1"/>
      <c r="C5734" s="1" t="s">
        <v>433</v>
      </c>
      <c r="D5734" s="74"/>
      <c r="E5734" s="67"/>
      <c r="F5734" s="75"/>
      <c r="G5734" s="67"/>
      <c r="H5734" s="68"/>
      <c r="I5734" s="76"/>
      <c r="J5734" s="67"/>
      <c r="K5734" s="7" t="s">
        <v>1103</v>
      </c>
      <c r="L5734" s="934"/>
      <c r="M5734" s="934"/>
    </row>
    <row r="5735" ht="12.75" hidden="1" customHeight="1" outlineLevel="1">
      <c r="A5735" s="882">
        <v>42027.0</v>
      </c>
      <c r="B5735" s="1"/>
      <c r="C5735" s="1" t="s">
        <v>435</v>
      </c>
      <c r="D5735" s="74"/>
      <c r="E5735" s="67"/>
      <c r="F5735" s="75"/>
      <c r="G5735" s="67"/>
      <c r="H5735" s="68"/>
      <c r="I5735" s="76"/>
      <c r="J5735" s="67"/>
      <c r="K5735" s="9" t="s">
        <v>2486</v>
      </c>
      <c r="L5735" s="934"/>
      <c r="M5735" s="934"/>
    </row>
    <row r="5736" ht="12.75" hidden="1" customHeight="1" outlineLevel="1">
      <c r="A5736" s="122">
        <v>42030.0</v>
      </c>
      <c r="B5736" s="32" t="s">
        <v>343</v>
      </c>
      <c r="C5736" s="32" t="s">
        <v>2342</v>
      </c>
      <c r="D5736" s="708">
        <v>400.0</v>
      </c>
      <c r="E5736" s="195">
        <v>54.3</v>
      </c>
      <c r="F5736" s="709">
        <v>0.3976736111111111</v>
      </c>
      <c r="G5736" s="195" t="s">
        <v>453</v>
      </c>
      <c r="H5736" s="710">
        <v>2.0</v>
      </c>
      <c r="I5736" s="256"/>
      <c r="J5736" s="67">
        <f t="shared" ref="J5736:J5742" si="358">IF(B5736="SLD",D5736*E5736,-D5736*E5736)-H5736</f>
        <v>-21722</v>
      </c>
      <c r="L5736" s="70"/>
      <c r="M5736" s="934"/>
      <c r="N5736" s="94"/>
      <c r="O5736" s="94"/>
      <c r="P5736" s="94"/>
      <c r="Q5736" s="94"/>
      <c r="R5736" s="94"/>
      <c r="S5736" s="94"/>
      <c r="T5736" s="94"/>
      <c r="U5736" s="94"/>
      <c r="V5736" s="94"/>
      <c r="W5736" s="94"/>
      <c r="X5736" s="94"/>
      <c r="Y5736" s="94"/>
      <c r="Z5736" s="94"/>
      <c r="AA5736" s="94"/>
      <c r="AB5736" s="94"/>
      <c r="AC5736" s="94"/>
      <c r="AD5736" s="94"/>
      <c r="AE5736" s="94"/>
      <c r="AF5736" s="94"/>
      <c r="AG5736" s="94"/>
      <c r="AH5736" s="94"/>
    </row>
    <row r="5737" ht="12.75" hidden="1" customHeight="1" outlineLevel="1">
      <c r="A5737" s="122">
        <v>42030.0</v>
      </c>
      <c r="B5737" s="32" t="s">
        <v>343</v>
      </c>
      <c r="C5737" s="32" t="s">
        <v>2792</v>
      </c>
      <c r="D5737" s="708">
        <v>600.0</v>
      </c>
      <c r="E5737" s="195">
        <v>34.89</v>
      </c>
      <c r="F5737" s="709">
        <v>0.3983449074074074</v>
      </c>
      <c r="G5737" s="195" t="s">
        <v>453</v>
      </c>
      <c r="H5737" s="710">
        <v>3.0</v>
      </c>
      <c r="I5737" s="256"/>
      <c r="J5737" s="67">
        <f t="shared" si="358"/>
        <v>-20937</v>
      </c>
      <c r="L5737" s="70"/>
      <c r="M5737" s="934"/>
      <c r="N5737" s="94"/>
      <c r="O5737" s="94"/>
      <c r="P5737" s="94"/>
      <c r="Q5737" s="94"/>
      <c r="R5737" s="94"/>
      <c r="S5737" s="94"/>
      <c r="T5737" s="94"/>
      <c r="U5737" s="94"/>
      <c r="V5737" s="94"/>
      <c r="W5737" s="94"/>
      <c r="X5737" s="94"/>
      <c r="Y5737" s="94"/>
      <c r="Z5737" s="94"/>
      <c r="AA5737" s="94"/>
      <c r="AB5737" s="94"/>
      <c r="AC5737" s="94"/>
      <c r="AD5737" s="94"/>
      <c r="AE5737" s="94"/>
      <c r="AF5737" s="94"/>
      <c r="AG5737" s="94"/>
      <c r="AH5737" s="94"/>
    </row>
    <row r="5738" ht="12.75" hidden="1" customHeight="1" outlineLevel="1">
      <c r="A5738" s="122">
        <v>42030.0</v>
      </c>
      <c r="B5738" s="32" t="s">
        <v>343</v>
      </c>
      <c r="C5738" s="32" t="s">
        <v>1607</v>
      </c>
      <c r="D5738" s="708">
        <v>900.0</v>
      </c>
      <c r="E5738" s="195">
        <v>23.84</v>
      </c>
      <c r="F5738" s="709">
        <v>0.3996412037037037</v>
      </c>
      <c r="G5738" s="195" t="s">
        <v>453</v>
      </c>
      <c r="H5738" s="710">
        <v>4.5</v>
      </c>
      <c r="I5738" s="256"/>
      <c r="J5738" s="67">
        <f t="shared" si="358"/>
        <v>-21460.5</v>
      </c>
      <c r="L5738" s="70"/>
      <c r="M5738" s="934"/>
      <c r="N5738" s="94"/>
      <c r="O5738" s="94"/>
      <c r="P5738" s="94"/>
      <c r="Q5738" s="94"/>
      <c r="R5738" s="94"/>
      <c r="S5738" s="94"/>
      <c r="T5738" s="94"/>
      <c r="U5738" s="94"/>
      <c r="V5738" s="94"/>
      <c r="W5738" s="94"/>
      <c r="X5738" s="94"/>
      <c r="Y5738" s="94"/>
      <c r="Z5738" s="94"/>
      <c r="AA5738" s="94"/>
      <c r="AB5738" s="94"/>
      <c r="AC5738" s="94"/>
      <c r="AD5738" s="94"/>
      <c r="AE5738" s="94"/>
      <c r="AF5738" s="94"/>
      <c r="AG5738" s="94"/>
      <c r="AH5738" s="94"/>
    </row>
    <row r="5739" ht="12.75" hidden="1" customHeight="1" outlineLevel="1">
      <c r="A5739" s="122">
        <v>42030.0</v>
      </c>
      <c r="B5739" s="32" t="s">
        <v>347</v>
      </c>
      <c r="C5739" s="32" t="s">
        <v>369</v>
      </c>
      <c r="D5739" s="708">
        <v>1000.0</v>
      </c>
      <c r="E5739" s="195">
        <v>7.46</v>
      </c>
      <c r="F5739" s="709">
        <v>0.4003125</v>
      </c>
      <c r="G5739" s="195" t="s">
        <v>453</v>
      </c>
      <c r="H5739" s="710">
        <v>5.16</v>
      </c>
      <c r="I5739" s="256"/>
      <c r="J5739" s="67">
        <f t="shared" si="358"/>
        <v>7454.84</v>
      </c>
      <c r="L5739" s="70"/>
      <c r="M5739" s="934"/>
      <c r="N5739" s="94"/>
      <c r="O5739" s="94"/>
      <c r="P5739" s="94"/>
      <c r="Q5739" s="94"/>
      <c r="R5739" s="94"/>
      <c r="S5739" s="94"/>
      <c r="T5739" s="94"/>
      <c r="U5739" s="94"/>
      <c r="V5739" s="94"/>
      <c r="W5739" s="94"/>
      <c r="X5739" s="94"/>
      <c r="Y5739" s="94"/>
      <c r="Z5739" s="94"/>
      <c r="AA5739" s="94"/>
      <c r="AB5739" s="94"/>
      <c r="AC5739" s="94"/>
      <c r="AD5739" s="94"/>
      <c r="AE5739" s="94"/>
      <c r="AF5739" s="94"/>
      <c r="AG5739" s="94"/>
      <c r="AH5739" s="94"/>
    </row>
    <row r="5740" ht="12.75" hidden="1" customHeight="1" outlineLevel="1">
      <c r="A5740" s="122">
        <v>42030.0</v>
      </c>
      <c r="B5740" s="32" t="s">
        <v>343</v>
      </c>
      <c r="C5740" s="32" t="s">
        <v>369</v>
      </c>
      <c r="D5740" s="708">
        <v>1000.0</v>
      </c>
      <c r="E5740" s="195">
        <v>7.91</v>
      </c>
      <c r="F5740" s="709">
        <v>0.4141782407407407</v>
      </c>
      <c r="G5740" s="195" t="s">
        <v>453</v>
      </c>
      <c r="H5740" s="710">
        <v>5.0</v>
      </c>
      <c r="I5740" s="256"/>
      <c r="J5740" s="67">
        <f t="shared" si="358"/>
        <v>-7915</v>
      </c>
      <c r="L5740" s="70"/>
      <c r="M5740" s="934"/>
      <c r="N5740" s="94"/>
      <c r="O5740" s="94"/>
      <c r="P5740" s="94"/>
      <c r="Q5740" s="94"/>
      <c r="R5740" s="94"/>
      <c r="S5740" s="94"/>
      <c r="T5740" s="94"/>
      <c r="U5740" s="94"/>
      <c r="V5740" s="94"/>
      <c r="W5740" s="94"/>
      <c r="X5740" s="94"/>
      <c r="Y5740" s="94"/>
      <c r="Z5740" s="94"/>
      <c r="AA5740" s="94"/>
      <c r="AB5740" s="94"/>
      <c r="AC5740" s="94"/>
      <c r="AD5740" s="94"/>
      <c r="AE5740" s="94"/>
      <c r="AF5740" s="94"/>
      <c r="AG5740" s="94"/>
      <c r="AH5740" s="94"/>
    </row>
    <row r="5741" ht="12.75" hidden="1" customHeight="1" outlineLevel="1">
      <c r="A5741" s="122">
        <v>42030.0</v>
      </c>
      <c r="B5741" s="32" t="s">
        <v>347</v>
      </c>
      <c r="C5741" s="32" t="s">
        <v>369</v>
      </c>
      <c r="D5741" s="708">
        <v>1000.0</v>
      </c>
      <c r="E5741" s="195">
        <v>7.55</v>
      </c>
      <c r="F5741" s="709">
        <v>0.4573726851851852</v>
      </c>
      <c r="G5741" s="195" t="s">
        <v>453</v>
      </c>
      <c r="H5741" s="710">
        <v>5.17</v>
      </c>
      <c r="I5741" s="256"/>
      <c r="J5741" s="67">
        <f t="shared" si="358"/>
        <v>7544.83</v>
      </c>
      <c r="L5741" s="70"/>
      <c r="M5741" s="934"/>
      <c r="N5741" s="94"/>
      <c r="O5741" s="94"/>
      <c r="P5741" s="94"/>
      <c r="Q5741" s="94"/>
      <c r="R5741" s="94"/>
      <c r="S5741" s="94"/>
      <c r="T5741" s="94"/>
      <c r="U5741" s="94"/>
      <c r="V5741" s="94"/>
      <c r="W5741" s="94"/>
      <c r="X5741" s="94"/>
      <c r="Y5741" s="94"/>
      <c r="Z5741" s="94"/>
      <c r="AA5741" s="94"/>
      <c r="AB5741" s="94"/>
      <c r="AC5741" s="94"/>
      <c r="AD5741" s="94"/>
      <c r="AE5741" s="94"/>
      <c r="AF5741" s="94"/>
      <c r="AG5741" s="94"/>
      <c r="AH5741" s="94"/>
    </row>
    <row r="5742" ht="12.75" hidden="1" customHeight="1" outlineLevel="1">
      <c r="A5742" s="122">
        <v>42030.0</v>
      </c>
      <c r="B5742" s="32" t="s">
        <v>347</v>
      </c>
      <c r="C5742" s="32" t="s">
        <v>790</v>
      </c>
      <c r="D5742" s="708">
        <v>1000.0</v>
      </c>
      <c r="E5742" s="195">
        <v>7.25</v>
      </c>
      <c r="F5742" s="709">
        <v>0.6536226851851852</v>
      </c>
      <c r="G5742" s="195" t="s">
        <v>453</v>
      </c>
      <c r="H5742" s="710">
        <v>4.26</v>
      </c>
      <c r="I5742" s="256"/>
      <c r="J5742" s="67">
        <f t="shared" si="358"/>
        <v>7245.74</v>
      </c>
      <c r="L5742" s="70"/>
      <c r="M5742" s="934"/>
      <c r="N5742" s="94"/>
      <c r="O5742" s="94"/>
      <c r="P5742" s="94"/>
      <c r="Q5742" s="94"/>
      <c r="R5742" s="94"/>
      <c r="S5742" s="94"/>
      <c r="T5742" s="94"/>
      <c r="U5742" s="94"/>
      <c r="V5742" s="94"/>
      <c r="W5742" s="94"/>
      <c r="X5742" s="94"/>
      <c r="Y5742" s="94"/>
      <c r="Z5742" s="94"/>
      <c r="AA5742" s="94"/>
      <c r="AB5742" s="94"/>
      <c r="AC5742" s="94"/>
      <c r="AD5742" s="94"/>
      <c r="AE5742" s="94"/>
      <c r="AF5742" s="94"/>
      <c r="AG5742" s="94"/>
      <c r="AH5742" s="94"/>
    </row>
    <row r="5743" ht="12.75" hidden="1" customHeight="1" outlineLevel="1">
      <c r="A5743" s="882">
        <v>42030.0</v>
      </c>
      <c r="B5743" s="1"/>
      <c r="C5743" s="1" t="s">
        <v>339</v>
      </c>
      <c r="D5743" s="74"/>
      <c r="E5743" s="67"/>
      <c r="F5743" s="75"/>
      <c r="G5743" s="67"/>
      <c r="H5743" s="68"/>
      <c r="I5743" s="76"/>
      <c r="J5743" s="67"/>
      <c r="K5743" s="9" t="s">
        <v>2794</v>
      </c>
      <c r="L5743" s="934"/>
      <c r="M5743" s="934"/>
    </row>
    <row r="5744" ht="12.75" hidden="1" customHeight="1" outlineLevel="1">
      <c r="A5744" s="882">
        <v>42030.0</v>
      </c>
      <c r="B5744" s="1"/>
      <c r="C5744" s="1" t="s">
        <v>429</v>
      </c>
      <c r="D5744" s="74"/>
      <c r="E5744" s="67"/>
      <c r="F5744" s="75"/>
      <c r="G5744" s="67"/>
      <c r="H5744" s="68"/>
      <c r="I5744" s="76"/>
      <c r="J5744" s="67"/>
      <c r="K5744" s="9" t="s">
        <v>2795</v>
      </c>
      <c r="L5744" s="934"/>
      <c r="M5744" s="934"/>
    </row>
    <row r="5745" ht="12.75" hidden="1" customHeight="1" outlineLevel="1">
      <c r="A5745" s="882">
        <v>42030.0</v>
      </c>
      <c r="B5745" s="1"/>
      <c r="C5745" s="1" t="s">
        <v>431</v>
      </c>
      <c r="D5745" s="74"/>
      <c r="E5745" s="67"/>
      <c r="F5745" s="75"/>
      <c r="G5745" s="67"/>
      <c r="H5745" s="68"/>
      <c r="I5745" s="76"/>
      <c r="J5745" s="67"/>
      <c r="K5745" s="7" t="s">
        <v>1126</v>
      </c>
      <c r="L5745" s="934"/>
      <c r="M5745" s="934"/>
    </row>
    <row r="5746" ht="12.75" hidden="1" customHeight="1" outlineLevel="1">
      <c r="A5746" s="882">
        <v>42030.0</v>
      </c>
      <c r="B5746" s="1"/>
      <c r="C5746" s="1" t="s">
        <v>433</v>
      </c>
      <c r="D5746" s="74"/>
      <c r="E5746" s="67"/>
      <c r="F5746" s="75"/>
      <c r="G5746" s="67"/>
      <c r="H5746" s="68"/>
      <c r="I5746" s="76"/>
      <c r="J5746" s="67"/>
      <c r="K5746" s="7" t="s">
        <v>1103</v>
      </c>
      <c r="L5746" s="934"/>
      <c r="M5746" s="934"/>
    </row>
    <row r="5747" ht="12.75" hidden="1" customHeight="1" outlineLevel="1">
      <c r="A5747" s="882">
        <v>42030.0</v>
      </c>
      <c r="B5747" s="1"/>
      <c r="C5747" s="1" t="s">
        <v>435</v>
      </c>
      <c r="D5747" s="74"/>
      <c r="E5747" s="67"/>
      <c r="F5747" s="75"/>
      <c r="G5747" s="67"/>
      <c r="H5747" s="68"/>
      <c r="I5747" s="76"/>
      <c r="J5747" s="67"/>
      <c r="K5747" s="9" t="s">
        <v>2486</v>
      </c>
      <c r="L5747" s="934"/>
      <c r="M5747" s="934"/>
    </row>
    <row r="5748" ht="12.75" hidden="1" customHeight="1" outlineLevel="1">
      <c r="A5748" s="122">
        <v>42031.0</v>
      </c>
      <c r="B5748" s="32" t="s">
        <v>347</v>
      </c>
      <c r="C5748" s="32" t="s">
        <v>790</v>
      </c>
      <c r="D5748" s="708">
        <v>1000.0</v>
      </c>
      <c r="E5748" s="195">
        <v>7.14</v>
      </c>
      <c r="F5748" s="709">
        <v>0.41332175925925924</v>
      </c>
      <c r="G5748" s="195" t="s">
        <v>453</v>
      </c>
      <c r="H5748" s="710">
        <v>5.16</v>
      </c>
      <c r="I5748" s="256"/>
      <c r="J5748" s="67">
        <f t="shared" ref="J5748:J5762" si="359">IF(B5748="SLD",D5748*E5748,-D5748*E5748)-H5748</f>
        <v>7134.84</v>
      </c>
      <c r="L5748" s="70"/>
      <c r="M5748" s="934"/>
      <c r="N5748" s="94"/>
      <c r="O5748" s="94"/>
      <c r="P5748" s="94"/>
      <c r="Q5748" s="94"/>
      <c r="R5748" s="94"/>
      <c r="S5748" s="94"/>
      <c r="T5748" s="94"/>
      <c r="U5748" s="94"/>
      <c r="V5748" s="94"/>
      <c r="W5748" s="94"/>
      <c r="X5748" s="94"/>
      <c r="Y5748" s="94"/>
      <c r="Z5748" s="94"/>
      <c r="AA5748" s="94"/>
      <c r="AB5748" s="94"/>
      <c r="AC5748" s="94"/>
      <c r="AD5748" s="94"/>
      <c r="AE5748" s="94"/>
      <c r="AF5748" s="94"/>
      <c r="AG5748" s="94"/>
      <c r="AH5748" s="94"/>
    </row>
    <row r="5749" ht="12.75" hidden="1" customHeight="1" outlineLevel="1">
      <c r="A5749" s="122">
        <v>42031.0</v>
      </c>
      <c r="B5749" s="32" t="s">
        <v>347</v>
      </c>
      <c r="C5749" s="32" t="s">
        <v>784</v>
      </c>
      <c r="D5749" s="708">
        <v>1000.0</v>
      </c>
      <c r="E5749" s="195">
        <v>7.27</v>
      </c>
      <c r="F5749" s="709">
        <v>0.4190509259259259</v>
      </c>
      <c r="G5749" s="195" t="s">
        <v>453</v>
      </c>
      <c r="H5749" s="710">
        <v>4.96</v>
      </c>
      <c r="I5749" s="256"/>
      <c r="J5749" s="67">
        <f t="shared" si="359"/>
        <v>7265.04</v>
      </c>
      <c r="L5749" s="70"/>
      <c r="M5749" s="934"/>
      <c r="N5749" s="94"/>
      <c r="O5749" s="94"/>
      <c r="P5749" s="94"/>
      <c r="Q5749" s="94"/>
      <c r="R5749" s="94"/>
      <c r="S5749" s="94"/>
      <c r="T5749" s="94"/>
      <c r="U5749" s="94"/>
      <c r="V5749" s="94"/>
      <c r="W5749" s="94"/>
      <c r="X5749" s="94"/>
      <c r="Y5749" s="94"/>
      <c r="Z5749" s="94"/>
      <c r="AA5749" s="94"/>
      <c r="AB5749" s="94"/>
      <c r="AC5749" s="94"/>
      <c r="AD5749" s="94"/>
      <c r="AE5749" s="94"/>
      <c r="AF5749" s="94"/>
      <c r="AG5749" s="94"/>
      <c r="AH5749" s="94"/>
    </row>
    <row r="5750" ht="12.75" hidden="1" customHeight="1" outlineLevel="1">
      <c r="A5750" s="122">
        <v>42031.0</v>
      </c>
      <c r="B5750" s="32" t="s">
        <v>343</v>
      </c>
      <c r="C5750" s="32" t="s">
        <v>790</v>
      </c>
      <c r="D5750" s="708">
        <v>6000.0</v>
      </c>
      <c r="E5750" s="195">
        <v>7.57</v>
      </c>
      <c r="F5750" s="709">
        <v>0.5191435185185185</v>
      </c>
      <c r="G5750" s="195" t="s">
        <v>453</v>
      </c>
      <c r="H5750" s="710">
        <v>29.78</v>
      </c>
      <c r="I5750" s="256"/>
      <c r="J5750" s="67">
        <f t="shared" si="359"/>
        <v>-45449.78</v>
      </c>
      <c r="L5750" s="70"/>
      <c r="M5750" s="934"/>
      <c r="N5750" s="94"/>
      <c r="O5750" s="94"/>
      <c r="P5750" s="94"/>
      <c r="Q5750" s="94"/>
      <c r="R5750" s="94"/>
      <c r="S5750" s="94"/>
      <c r="T5750" s="94"/>
      <c r="U5750" s="94"/>
      <c r="V5750" s="94"/>
      <c r="W5750" s="94"/>
      <c r="X5750" s="94"/>
      <c r="Y5750" s="94"/>
      <c r="Z5750" s="94"/>
      <c r="AA5750" s="94"/>
      <c r="AB5750" s="94"/>
      <c r="AC5750" s="94"/>
      <c r="AD5750" s="94"/>
      <c r="AE5750" s="94"/>
      <c r="AF5750" s="94"/>
      <c r="AG5750" s="94"/>
      <c r="AH5750" s="94"/>
    </row>
    <row r="5751" ht="12.75" hidden="1" customHeight="1" outlineLevel="1">
      <c r="A5751" s="122">
        <v>42031.0</v>
      </c>
      <c r="B5751" s="32" t="s">
        <v>343</v>
      </c>
      <c r="C5751" s="32" t="s">
        <v>784</v>
      </c>
      <c r="D5751" s="708">
        <v>4000.0</v>
      </c>
      <c r="E5751" s="195">
        <v>7.42</v>
      </c>
      <c r="F5751" s="709">
        <v>0.5193981481481481</v>
      </c>
      <c r="G5751" s="195" t="s">
        <v>453</v>
      </c>
      <c r="H5751" s="710">
        <v>20.0</v>
      </c>
      <c r="I5751" s="256"/>
      <c r="J5751" s="67">
        <f t="shared" si="359"/>
        <v>-29700</v>
      </c>
      <c r="L5751" s="70"/>
      <c r="M5751" s="934"/>
      <c r="N5751" s="94"/>
      <c r="O5751" s="94"/>
      <c r="P5751" s="94"/>
      <c r="Q5751" s="94"/>
      <c r="R5751" s="94"/>
      <c r="S5751" s="94"/>
      <c r="T5751" s="94"/>
      <c r="U5751" s="94"/>
      <c r="V5751" s="94"/>
      <c r="W5751" s="94"/>
      <c r="X5751" s="94"/>
      <c r="Y5751" s="94"/>
      <c r="Z5751" s="94"/>
      <c r="AA5751" s="94"/>
      <c r="AB5751" s="94"/>
      <c r="AC5751" s="94"/>
      <c r="AD5751" s="94"/>
      <c r="AE5751" s="94"/>
      <c r="AF5751" s="94"/>
      <c r="AG5751" s="94"/>
      <c r="AH5751" s="94"/>
    </row>
    <row r="5752" ht="12.75" hidden="1" customHeight="1" outlineLevel="1">
      <c r="A5752" s="122">
        <v>42031.0</v>
      </c>
      <c r="B5752" s="32" t="s">
        <v>343</v>
      </c>
      <c r="C5752" s="32" t="s">
        <v>2192</v>
      </c>
      <c r="D5752" s="708">
        <v>2500.0</v>
      </c>
      <c r="E5752" s="195">
        <v>11.308</v>
      </c>
      <c r="F5752" s="709">
        <v>0.5196990740740741</v>
      </c>
      <c r="G5752" s="195" t="s">
        <v>453</v>
      </c>
      <c r="H5752" s="710">
        <v>12.5</v>
      </c>
      <c r="I5752" s="256"/>
      <c r="J5752" s="67">
        <f t="shared" si="359"/>
        <v>-28282.5</v>
      </c>
      <c r="L5752" s="70"/>
      <c r="M5752" s="934"/>
      <c r="N5752" s="94"/>
      <c r="O5752" s="94"/>
      <c r="P5752" s="94"/>
      <c r="Q5752" s="94"/>
      <c r="R5752" s="94"/>
      <c r="S5752" s="94"/>
      <c r="T5752" s="94"/>
      <c r="U5752" s="94"/>
      <c r="V5752" s="94"/>
      <c r="W5752" s="94"/>
      <c r="X5752" s="94"/>
      <c r="Y5752" s="94"/>
      <c r="Z5752" s="94"/>
      <c r="AA5752" s="94"/>
      <c r="AB5752" s="94"/>
      <c r="AC5752" s="94"/>
      <c r="AD5752" s="94"/>
      <c r="AE5752" s="94"/>
      <c r="AF5752" s="94"/>
      <c r="AG5752" s="94"/>
      <c r="AH5752" s="94"/>
    </row>
    <row r="5753" ht="12.75" hidden="1" customHeight="1" outlineLevel="1">
      <c r="A5753" s="122">
        <v>42031.0</v>
      </c>
      <c r="B5753" s="32" t="s">
        <v>343</v>
      </c>
      <c r="C5753" s="32" t="s">
        <v>2048</v>
      </c>
      <c r="D5753" s="708">
        <v>2500.0</v>
      </c>
      <c r="E5753" s="195">
        <v>10.59</v>
      </c>
      <c r="F5753" s="709">
        <v>0.5198148148148148</v>
      </c>
      <c r="G5753" s="195" t="s">
        <v>453</v>
      </c>
      <c r="H5753" s="710">
        <v>12.5</v>
      </c>
      <c r="I5753" s="256"/>
      <c r="J5753" s="67">
        <f t="shared" si="359"/>
        <v>-26487.5</v>
      </c>
      <c r="L5753" s="70"/>
      <c r="M5753" s="934"/>
      <c r="N5753" s="94"/>
      <c r="O5753" s="94"/>
      <c r="P5753" s="94"/>
      <c r="Q5753" s="94"/>
      <c r="R5753" s="94"/>
      <c r="S5753" s="94"/>
      <c r="T5753" s="94"/>
      <c r="U5753" s="94"/>
      <c r="V5753" s="94"/>
      <c r="W5753" s="94"/>
      <c r="X5753" s="94"/>
      <c r="Y5753" s="94"/>
      <c r="Z5753" s="94"/>
      <c r="AA5753" s="94"/>
      <c r="AB5753" s="94"/>
      <c r="AC5753" s="94"/>
      <c r="AD5753" s="94"/>
      <c r="AE5753" s="94"/>
      <c r="AF5753" s="94"/>
      <c r="AG5753" s="94"/>
      <c r="AH5753" s="94"/>
    </row>
    <row r="5754" ht="12.75" hidden="1" customHeight="1" outlineLevel="1">
      <c r="A5754" s="122">
        <v>42031.0</v>
      </c>
      <c r="B5754" s="32" t="s">
        <v>343</v>
      </c>
      <c r="C5754" s="32" t="s">
        <v>369</v>
      </c>
      <c r="D5754" s="708">
        <v>1000.0</v>
      </c>
      <c r="E5754" s="195">
        <v>7.1</v>
      </c>
      <c r="F5754" s="709">
        <v>0.5199421296296296</v>
      </c>
      <c r="G5754" s="195" t="s">
        <v>453</v>
      </c>
      <c r="H5754" s="710">
        <v>4.0</v>
      </c>
      <c r="I5754" s="256"/>
      <c r="J5754" s="67">
        <f t="shared" si="359"/>
        <v>-7104</v>
      </c>
      <c r="L5754" s="70"/>
      <c r="M5754" s="934"/>
      <c r="N5754" s="94"/>
      <c r="O5754" s="94"/>
      <c r="P5754" s="94"/>
      <c r="Q5754" s="94"/>
      <c r="R5754" s="94"/>
      <c r="S5754" s="94"/>
      <c r="T5754" s="94"/>
      <c r="U5754" s="94"/>
      <c r="V5754" s="94"/>
      <c r="W5754" s="94"/>
      <c r="X5754" s="94"/>
      <c r="Y5754" s="94"/>
      <c r="Z5754" s="94"/>
      <c r="AA5754" s="94"/>
      <c r="AB5754" s="94"/>
      <c r="AC5754" s="94"/>
      <c r="AD5754" s="94"/>
      <c r="AE5754" s="94"/>
      <c r="AF5754" s="94"/>
      <c r="AG5754" s="94"/>
      <c r="AH5754" s="94"/>
    </row>
    <row r="5755" ht="12.75" hidden="1" customHeight="1" outlineLevel="1">
      <c r="A5755" s="122">
        <v>42031.0</v>
      </c>
      <c r="B5755" s="32" t="s">
        <v>343</v>
      </c>
      <c r="C5755" s="32" t="s">
        <v>1844</v>
      </c>
      <c r="D5755" s="708">
        <v>200.0</v>
      </c>
      <c r="E5755" s="195">
        <v>45.95</v>
      </c>
      <c r="F5755" s="709">
        <v>0.5200925925925926</v>
      </c>
      <c r="G5755" s="195" t="s">
        <v>453</v>
      </c>
      <c r="H5755" s="710">
        <v>1.0</v>
      </c>
      <c r="I5755" s="256"/>
      <c r="J5755" s="67">
        <f t="shared" si="359"/>
        <v>-9191</v>
      </c>
      <c r="L5755" s="70"/>
      <c r="M5755" s="934"/>
      <c r="N5755" s="94"/>
      <c r="O5755" s="94"/>
      <c r="P5755" s="94"/>
      <c r="Q5755" s="94"/>
      <c r="R5755" s="94"/>
      <c r="S5755" s="94"/>
      <c r="T5755" s="94"/>
      <c r="U5755" s="94"/>
      <c r="V5755" s="94"/>
      <c r="W5755" s="94"/>
      <c r="X5755" s="94"/>
      <c r="Y5755" s="94"/>
      <c r="Z5755" s="94"/>
      <c r="AA5755" s="94"/>
      <c r="AB5755" s="94"/>
      <c r="AC5755" s="94"/>
      <c r="AD5755" s="94"/>
      <c r="AE5755" s="94"/>
      <c r="AF5755" s="94"/>
      <c r="AG5755" s="94"/>
      <c r="AH5755" s="94"/>
    </row>
    <row r="5756" ht="12.75" hidden="1" customHeight="1" outlineLevel="1">
      <c r="A5756" s="122">
        <v>42031.0</v>
      </c>
      <c r="B5756" s="32" t="s">
        <v>343</v>
      </c>
      <c r="C5756" s="32" t="s">
        <v>784</v>
      </c>
      <c r="D5756" s="708">
        <v>3000.0</v>
      </c>
      <c r="E5756" s="195">
        <v>7.449</v>
      </c>
      <c r="F5756" s="709">
        <v>0.5213888888888889</v>
      </c>
      <c r="G5756" s="195" t="s">
        <v>453</v>
      </c>
      <c r="H5756" s="710">
        <v>13.0</v>
      </c>
      <c r="I5756" s="256"/>
      <c r="J5756" s="67">
        <f t="shared" si="359"/>
        <v>-22360</v>
      </c>
      <c r="L5756" s="70"/>
      <c r="M5756" s="934"/>
      <c r="N5756" s="94"/>
      <c r="O5756" s="94"/>
      <c r="P5756" s="94"/>
      <c r="Q5756" s="94"/>
      <c r="R5756" s="94"/>
      <c r="S5756" s="94"/>
      <c r="T5756" s="94"/>
      <c r="U5756" s="94"/>
      <c r="V5756" s="94"/>
      <c r="W5756" s="94"/>
      <c r="X5756" s="94"/>
      <c r="Y5756" s="94"/>
      <c r="Z5756" s="94"/>
      <c r="AA5756" s="94"/>
      <c r="AB5756" s="94"/>
      <c r="AC5756" s="94"/>
      <c r="AD5756" s="94"/>
      <c r="AE5756" s="94"/>
      <c r="AF5756" s="94"/>
      <c r="AG5756" s="94"/>
      <c r="AH5756" s="94"/>
    </row>
    <row r="5757" ht="12.75" hidden="1" customHeight="1" outlineLevel="1">
      <c r="A5757" s="122">
        <v>42031.0</v>
      </c>
      <c r="B5757" s="32" t="s">
        <v>343</v>
      </c>
      <c r="C5757" s="32" t="s">
        <v>369</v>
      </c>
      <c r="D5757" s="708">
        <v>1000.0</v>
      </c>
      <c r="E5757" s="195">
        <v>7.12</v>
      </c>
      <c r="F5757" s="709">
        <v>0.5214930555555556</v>
      </c>
      <c r="G5757" s="195" t="s">
        <v>453</v>
      </c>
      <c r="H5757" s="710">
        <v>5.0</v>
      </c>
      <c r="I5757" s="256"/>
      <c r="J5757" s="67">
        <f t="shared" si="359"/>
        <v>-7125</v>
      </c>
      <c r="L5757" s="70"/>
      <c r="M5757" s="934"/>
      <c r="N5757" s="94"/>
      <c r="O5757" s="94"/>
      <c r="P5757" s="94"/>
      <c r="Q5757" s="94"/>
      <c r="R5757" s="94"/>
      <c r="S5757" s="94"/>
      <c r="T5757" s="94"/>
      <c r="U5757" s="94"/>
      <c r="V5757" s="94"/>
      <c r="W5757" s="94"/>
      <c r="X5757" s="94"/>
      <c r="Y5757" s="94"/>
      <c r="Z5757" s="94"/>
      <c r="AA5757" s="94"/>
      <c r="AB5757" s="94"/>
      <c r="AC5757" s="94"/>
      <c r="AD5757" s="94"/>
      <c r="AE5757" s="94"/>
      <c r="AF5757" s="94"/>
      <c r="AG5757" s="94"/>
      <c r="AH5757" s="94"/>
    </row>
    <row r="5758" ht="12.75" hidden="1" customHeight="1" outlineLevel="1">
      <c r="A5758" s="122">
        <v>42031.0</v>
      </c>
      <c r="B5758" s="32" t="s">
        <v>347</v>
      </c>
      <c r="C5758" s="32" t="s">
        <v>1158</v>
      </c>
      <c r="D5758" s="708">
        <v>100.0</v>
      </c>
      <c r="E5758" s="195">
        <v>49.37</v>
      </c>
      <c r="F5758" s="709">
        <v>0.523425925925926</v>
      </c>
      <c r="G5758" s="195" t="s">
        <v>453</v>
      </c>
      <c r="H5758" s="710">
        <v>1.11</v>
      </c>
      <c r="I5758" s="256"/>
      <c r="J5758" s="67">
        <f t="shared" si="359"/>
        <v>4935.89</v>
      </c>
      <c r="L5758" s="70"/>
      <c r="M5758" s="934"/>
      <c r="N5758" s="94"/>
      <c r="O5758" s="94"/>
      <c r="P5758" s="94"/>
      <c r="Q5758" s="94"/>
      <c r="R5758" s="94"/>
      <c r="S5758" s="94"/>
      <c r="T5758" s="94"/>
      <c r="U5758" s="94"/>
      <c r="V5758" s="94"/>
      <c r="W5758" s="94"/>
      <c r="X5758" s="94"/>
      <c r="Y5758" s="94"/>
      <c r="Z5758" s="94"/>
      <c r="AA5758" s="94"/>
      <c r="AB5758" s="94"/>
      <c r="AC5758" s="94"/>
      <c r="AD5758" s="94"/>
      <c r="AE5758" s="94"/>
      <c r="AF5758" s="94"/>
      <c r="AG5758" s="94"/>
      <c r="AH5758" s="94"/>
    </row>
    <row r="5759" ht="12.75" hidden="1" customHeight="1" outlineLevel="1">
      <c r="A5759" s="122">
        <v>42031.0</v>
      </c>
      <c r="B5759" s="32" t="s">
        <v>347</v>
      </c>
      <c r="C5759" s="32" t="s">
        <v>1164</v>
      </c>
      <c r="D5759" s="708">
        <v>150.0</v>
      </c>
      <c r="E5759" s="195">
        <v>46.031</v>
      </c>
      <c r="F5759" s="709">
        <v>0.523599537037037</v>
      </c>
      <c r="G5759" s="195" t="s">
        <v>453</v>
      </c>
      <c r="H5759" s="710">
        <v>1.15</v>
      </c>
      <c r="I5759" s="256"/>
      <c r="J5759" s="67">
        <f t="shared" si="359"/>
        <v>6903.5</v>
      </c>
      <c r="L5759" s="70"/>
      <c r="M5759" s="934"/>
      <c r="N5759" s="94"/>
      <c r="O5759" s="94"/>
      <c r="P5759" s="94"/>
      <c r="Q5759" s="94"/>
      <c r="R5759" s="94"/>
      <c r="S5759" s="94"/>
      <c r="T5759" s="94"/>
      <c r="U5759" s="94"/>
      <c r="V5759" s="94"/>
      <c r="W5759" s="94"/>
      <c r="X5759" s="94"/>
      <c r="Y5759" s="94"/>
      <c r="Z5759" s="94"/>
      <c r="AA5759" s="94"/>
      <c r="AB5759" s="94"/>
      <c r="AC5759" s="94"/>
      <c r="AD5759" s="94"/>
      <c r="AE5759" s="94"/>
      <c r="AF5759" s="94"/>
      <c r="AG5759" s="94"/>
      <c r="AH5759" s="94"/>
    </row>
    <row r="5760" ht="12.75" hidden="1" customHeight="1" outlineLevel="1">
      <c r="A5760" s="122">
        <v>42031.0</v>
      </c>
      <c r="B5760" s="32" t="s">
        <v>347</v>
      </c>
      <c r="C5760" s="32" t="s">
        <v>1164</v>
      </c>
      <c r="D5760" s="708">
        <v>150.0</v>
      </c>
      <c r="E5760" s="195">
        <v>46.2032</v>
      </c>
      <c r="F5760" s="709">
        <v>0.5333101851851851</v>
      </c>
      <c r="G5760" s="195" t="s">
        <v>453</v>
      </c>
      <c r="H5760" s="710">
        <v>1.15</v>
      </c>
      <c r="I5760" s="256"/>
      <c r="J5760" s="67">
        <f t="shared" si="359"/>
        <v>6929.33</v>
      </c>
      <c r="L5760" s="70"/>
      <c r="M5760" s="934"/>
      <c r="N5760" s="94"/>
      <c r="O5760" s="94"/>
      <c r="P5760" s="94"/>
      <c r="Q5760" s="94"/>
      <c r="R5760" s="94"/>
      <c r="S5760" s="94"/>
      <c r="T5760" s="94"/>
      <c r="U5760" s="94"/>
      <c r="V5760" s="94"/>
      <c r="W5760" s="94"/>
      <c r="X5760" s="94"/>
      <c r="Y5760" s="94"/>
      <c r="Z5760" s="94"/>
      <c r="AA5760" s="94"/>
      <c r="AB5760" s="94"/>
      <c r="AC5760" s="94"/>
      <c r="AD5760" s="94"/>
      <c r="AE5760" s="94"/>
      <c r="AF5760" s="94"/>
      <c r="AG5760" s="94"/>
      <c r="AH5760" s="94"/>
    </row>
    <row r="5761" ht="12.75" hidden="1" customHeight="1" outlineLevel="1">
      <c r="A5761" s="122">
        <v>42031.0</v>
      </c>
      <c r="B5761" s="32" t="s">
        <v>347</v>
      </c>
      <c r="C5761" s="32" t="s">
        <v>1158</v>
      </c>
      <c r="D5761" s="708">
        <v>100.0</v>
      </c>
      <c r="E5761" s="195">
        <v>49.451</v>
      </c>
      <c r="F5761" s="709">
        <v>0.5334606481481482</v>
      </c>
      <c r="G5761" s="195" t="s">
        <v>453</v>
      </c>
      <c r="H5761" s="710">
        <v>1.11</v>
      </c>
      <c r="I5761" s="256"/>
      <c r="J5761" s="67">
        <f t="shared" si="359"/>
        <v>4943.99</v>
      </c>
      <c r="L5761" s="70"/>
      <c r="M5761" s="934"/>
      <c r="N5761" s="94"/>
      <c r="O5761" s="94"/>
      <c r="P5761" s="94"/>
      <c r="Q5761" s="94"/>
      <c r="R5761" s="94"/>
      <c r="S5761" s="94"/>
      <c r="T5761" s="94"/>
      <c r="U5761" s="94"/>
      <c r="V5761" s="94"/>
      <c r="W5761" s="94"/>
      <c r="X5761" s="94"/>
      <c r="Y5761" s="94"/>
      <c r="Z5761" s="94"/>
      <c r="AA5761" s="94"/>
      <c r="AB5761" s="94"/>
      <c r="AC5761" s="94"/>
      <c r="AD5761" s="94"/>
      <c r="AE5761" s="94"/>
      <c r="AF5761" s="94"/>
      <c r="AG5761" s="94"/>
      <c r="AH5761" s="94"/>
    </row>
    <row r="5762" ht="12.75" hidden="1" customHeight="1" outlineLevel="1">
      <c r="A5762" s="122">
        <v>42031.0</v>
      </c>
      <c r="B5762" s="32" t="s">
        <v>347</v>
      </c>
      <c r="C5762" s="32" t="s">
        <v>344</v>
      </c>
      <c r="D5762" s="708">
        <v>200.0</v>
      </c>
      <c r="E5762" s="195">
        <v>50.511</v>
      </c>
      <c r="F5762" s="709">
        <v>0.5372569444444445</v>
      </c>
      <c r="G5762" s="195" t="s">
        <v>453</v>
      </c>
      <c r="H5762" s="710">
        <v>1.22</v>
      </c>
      <c r="I5762" s="256"/>
      <c r="J5762" s="67">
        <f t="shared" si="359"/>
        <v>10100.98</v>
      </c>
      <c r="L5762" s="70"/>
      <c r="M5762" s="934"/>
      <c r="N5762" s="94"/>
      <c r="O5762" s="94"/>
      <c r="P5762" s="94"/>
      <c r="Q5762" s="94"/>
      <c r="R5762" s="94"/>
      <c r="S5762" s="94"/>
      <c r="T5762" s="94"/>
      <c r="U5762" s="94"/>
      <c r="V5762" s="94"/>
      <c r="W5762" s="94"/>
      <c r="X5762" s="94"/>
      <c r="Y5762" s="94"/>
      <c r="Z5762" s="94"/>
      <c r="AA5762" s="94"/>
      <c r="AB5762" s="94"/>
      <c r="AC5762" s="94"/>
      <c r="AD5762" s="94"/>
      <c r="AE5762" s="94"/>
      <c r="AF5762" s="94"/>
      <c r="AG5762" s="94"/>
      <c r="AH5762" s="94"/>
    </row>
    <row r="5763" ht="12.75" hidden="1" customHeight="1" outlineLevel="1">
      <c r="A5763" s="882">
        <v>42030.0</v>
      </c>
      <c r="B5763" s="1"/>
      <c r="C5763" s="1" t="s">
        <v>339</v>
      </c>
      <c r="D5763" s="74"/>
      <c r="E5763" s="67"/>
      <c r="F5763" s="75"/>
      <c r="G5763" s="67"/>
      <c r="H5763" s="68"/>
      <c r="I5763" s="76"/>
      <c r="J5763" s="67"/>
      <c r="K5763" s="967" t="s">
        <v>2796</v>
      </c>
      <c r="L5763" s="934"/>
      <c r="M5763" s="934"/>
    </row>
    <row r="5764" ht="12.75" hidden="1" customHeight="1" outlineLevel="1">
      <c r="A5764" s="882">
        <v>42030.0</v>
      </c>
      <c r="B5764" s="1"/>
      <c r="C5764" s="1" t="s">
        <v>429</v>
      </c>
      <c r="D5764" s="74"/>
      <c r="E5764" s="67"/>
      <c r="F5764" s="75"/>
      <c r="G5764" s="67"/>
      <c r="H5764" s="68"/>
      <c r="I5764" s="76"/>
      <c r="J5764" s="67"/>
      <c r="K5764" s="9" t="s">
        <v>2795</v>
      </c>
      <c r="L5764" s="934"/>
      <c r="M5764" s="934"/>
    </row>
    <row r="5765" ht="12.75" hidden="1" customHeight="1" outlineLevel="1">
      <c r="A5765" s="882">
        <v>42030.0</v>
      </c>
      <c r="B5765" s="1"/>
      <c r="C5765" s="1" t="s">
        <v>431</v>
      </c>
      <c r="D5765" s="74"/>
      <c r="E5765" s="67"/>
      <c r="F5765" s="75"/>
      <c r="G5765" s="67"/>
      <c r="H5765" s="68"/>
      <c r="I5765" s="76"/>
      <c r="J5765" s="67"/>
      <c r="K5765" s="7" t="s">
        <v>1126</v>
      </c>
      <c r="L5765" s="934"/>
      <c r="M5765" s="934"/>
    </row>
    <row r="5766" ht="12.75" hidden="1" customHeight="1" outlineLevel="1">
      <c r="A5766" s="882">
        <v>42030.0</v>
      </c>
      <c r="B5766" s="1"/>
      <c r="C5766" s="1" t="s">
        <v>433</v>
      </c>
      <c r="D5766" s="74"/>
      <c r="E5766" s="67"/>
      <c r="F5766" s="75"/>
      <c r="G5766" s="67"/>
      <c r="H5766" s="68"/>
      <c r="I5766" s="76"/>
      <c r="J5766" s="67"/>
      <c r="K5766" s="7" t="s">
        <v>1103</v>
      </c>
      <c r="L5766" s="934"/>
      <c r="M5766" s="934"/>
    </row>
    <row r="5767" ht="12.75" hidden="1" customHeight="1" outlineLevel="1">
      <c r="A5767" s="882">
        <v>42030.0</v>
      </c>
      <c r="B5767" s="1"/>
      <c r="C5767" s="1" t="s">
        <v>435</v>
      </c>
      <c r="D5767" s="74"/>
      <c r="E5767" s="67"/>
      <c r="F5767" s="75"/>
      <c r="G5767" s="67"/>
      <c r="H5767" s="68"/>
      <c r="I5767" s="76"/>
      <c r="J5767" s="67"/>
      <c r="K5767" s="9" t="s">
        <v>2486</v>
      </c>
      <c r="L5767" s="934"/>
      <c r="M5767" s="934"/>
    </row>
    <row r="5768" ht="12.75" hidden="1" customHeight="1" outlineLevel="1">
      <c r="A5768" s="122">
        <v>42032.0</v>
      </c>
      <c r="B5768" s="32" t="s">
        <v>347</v>
      </c>
      <c r="C5768" s="32" t="s">
        <v>784</v>
      </c>
      <c r="D5768" s="708">
        <v>7000.0</v>
      </c>
      <c r="E5768" s="195">
        <v>7.333</v>
      </c>
      <c r="F5768" s="709">
        <v>0.4002662037037037</v>
      </c>
      <c r="G5768" s="195" t="s">
        <v>453</v>
      </c>
      <c r="H5768" s="710">
        <v>29.13</v>
      </c>
      <c r="I5768" s="256"/>
      <c r="J5768" s="67">
        <f t="shared" ref="J5768:J5790" si="360">IF(B5768="SLD",D5768*E5768,-D5768*E5768)-H5768</f>
        <v>51301.87</v>
      </c>
      <c r="L5768" s="70"/>
      <c r="M5768" s="934"/>
      <c r="N5768" s="94"/>
      <c r="O5768" s="94"/>
      <c r="P5768" s="94"/>
      <c r="Q5768" s="94"/>
      <c r="R5768" s="94"/>
      <c r="S5768" s="94"/>
      <c r="T5768" s="94"/>
      <c r="U5768" s="94"/>
      <c r="V5768" s="94"/>
      <c r="W5768" s="94"/>
      <c r="X5768" s="94"/>
      <c r="Y5768" s="94"/>
      <c r="Z5768" s="94"/>
      <c r="AA5768" s="94"/>
      <c r="AB5768" s="94"/>
      <c r="AC5768" s="94"/>
      <c r="AD5768" s="94"/>
      <c r="AE5768" s="94"/>
      <c r="AF5768" s="94"/>
      <c r="AG5768" s="94"/>
      <c r="AH5768" s="94"/>
    </row>
    <row r="5769" ht="12.75" hidden="1" customHeight="1" outlineLevel="1">
      <c r="A5769" s="122">
        <v>42032.0</v>
      </c>
      <c r="B5769" s="32" t="s">
        <v>347</v>
      </c>
      <c r="C5769" s="32" t="s">
        <v>790</v>
      </c>
      <c r="D5769" s="708">
        <v>6000.0</v>
      </c>
      <c r="E5769" s="195">
        <v>6.66</v>
      </c>
      <c r="F5769" s="709">
        <v>0.40042824074074074</v>
      </c>
      <c r="G5769" s="195" t="s">
        <v>453</v>
      </c>
      <c r="H5769" s="710">
        <v>30.88</v>
      </c>
      <c r="I5769" s="256"/>
      <c r="J5769" s="67">
        <f t="shared" si="360"/>
        <v>39929.12</v>
      </c>
      <c r="L5769" s="70"/>
      <c r="M5769" s="934"/>
      <c r="N5769" s="94"/>
      <c r="O5769" s="94"/>
      <c r="P5769" s="94"/>
      <c r="Q5769" s="94"/>
      <c r="R5769" s="94"/>
      <c r="S5769" s="94"/>
      <c r="T5769" s="94"/>
      <c r="U5769" s="94"/>
      <c r="V5769" s="94"/>
      <c r="W5769" s="94"/>
      <c r="X5769" s="94"/>
      <c r="Y5769" s="94"/>
      <c r="Z5769" s="94"/>
      <c r="AA5769" s="94"/>
      <c r="AB5769" s="94"/>
      <c r="AC5769" s="94"/>
      <c r="AD5769" s="94"/>
      <c r="AE5769" s="94"/>
      <c r="AF5769" s="94"/>
      <c r="AG5769" s="94"/>
      <c r="AH5769" s="94"/>
    </row>
    <row r="5770" ht="12.75" hidden="1" customHeight="1" outlineLevel="1">
      <c r="A5770" s="122">
        <v>42032.0</v>
      </c>
      <c r="B5770" s="32" t="s">
        <v>347</v>
      </c>
      <c r="C5770" s="32" t="s">
        <v>2048</v>
      </c>
      <c r="D5770" s="708">
        <v>3000.0</v>
      </c>
      <c r="E5770" s="195">
        <v>10.21</v>
      </c>
      <c r="F5770" s="709">
        <v>0.40078703703703705</v>
      </c>
      <c r="G5770" s="195" t="s">
        <v>453</v>
      </c>
      <c r="H5770" s="710">
        <v>12.68</v>
      </c>
      <c r="I5770" s="256"/>
      <c r="J5770" s="67">
        <f t="shared" si="360"/>
        <v>30617.32</v>
      </c>
      <c r="L5770" s="70"/>
      <c r="M5770" s="934"/>
      <c r="N5770" s="94"/>
      <c r="O5770" s="94"/>
      <c r="P5770" s="94"/>
      <c r="Q5770" s="94"/>
      <c r="R5770" s="94"/>
      <c r="S5770" s="94"/>
      <c r="T5770" s="94"/>
      <c r="U5770" s="94"/>
      <c r="V5770" s="94"/>
      <c r="W5770" s="94"/>
      <c r="X5770" s="94"/>
      <c r="Y5770" s="94"/>
      <c r="Z5770" s="94"/>
      <c r="AA5770" s="94"/>
      <c r="AB5770" s="94"/>
      <c r="AC5770" s="94"/>
      <c r="AD5770" s="94"/>
      <c r="AE5770" s="94"/>
      <c r="AF5770" s="94"/>
      <c r="AG5770" s="94"/>
      <c r="AH5770" s="94"/>
    </row>
    <row r="5771" ht="12.75" hidden="1" customHeight="1" outlineLevel="1">
      <c r="A5771" s="122">
        <v>42032.0</v>
      </c>
      <c r="B5771" s="32" t="s">
        <v>347</v>
      </c>
      <c r="C5771" s="32" t="s">
        <v>2192</v>
      </c>
      <c r="D5771" s="708">
        <v>3000.0</v>
      </c>
      <c r="E5771" s="195">
        <v>11.0318</v>
      </c>
      <c r="F5771" s="709">
        <v>0.40108796296296295</v>
      </c>
      <c r="G5771" s="195" t="s">
        <v>453</v>
      </c>
      <c r="H5771" s="710">
        <v>12.73</v>
      </c>
      <c r="I5771" s="256"/>
      <c r="J5771" s="67">
        <f t="shared" si="360"/>
        <v>33082.67</v>
      </c>
      <c r="L5771" s="70"/>
      <c r="M5771" s="934"/>
      <c r="N5771" s="94"/>
      <c r="O5771" s="94"/>
      <c r="P5771" s="94"/>
      <c r="Q5771" s="94"/>
      <c r="R5771" s="94"/>
      <c r="S5771" s="94"/>
      <c r="T5771" s="94"/>
      <c r="U5771" s="94"/>
      <c r="V5771" s="94"/>
      <c r="W5771" s="94"/>
      <c r="X5771" s="94"/>
      <c r="Y5771" s="94"/>
      <c r="Z5771" s="94"/>
      <c r="AA5771" s="94"/>
      <c r="AB5771" s="94"/>
      <c r="AC5771" s="94"/>
      <c r="AD5771" s="94"/>
      <c r="AE5771" s="94"/>
      <c r="AF5771" s="94"/>
      <c r="AG5771" s="94"/>
      <c r="AH5771" s="94"/>
    </row>
    <row r="5772" ht="12.75" hidden="1" customHeight="1" outlineLevel="1">
      <c r="A5772" s="122">
        <v>42032.0</v>
      </c>
      <c r="B5772" s="32" t="s">
        <v>347</v>
      </c>
      <c r="C5772" s="32" t="s">
        <v>369</v>
      </c>
      <c r="D5772" s="708">
        <v>3000.0</v>
      </c>
      <c r="E5772" s="195">
        <v>6.75</v>
      </c>
      <c r="F5772" s="709">
        <v>0.4011226851851852</v>
      </c>
      <c r="G5772" s="195" t="s">
        <v>453</v>
      </c>
      <c r="H5772" s="710">
        <v>15.45</v>
      </c>
      <c r="I5772" s="256"/>
      <c r="J5772" s="67">
        <f t="shared" si="360"/>
        <v>20234.55</v>
      </c>
      <c r="L5772" s="70"/>
      <c r="M5772" s="934"/>
      <c r="N5772" s="94"/>
      <c r="O5772" s="94"/>
      <c r="P5772" s="94"/>
      <c r="Q5772" s="94"/>
      <c r="R5772" s="94"/>
      <c r="S5772" s="94"/>
      <c r="T5772" s="94"/>
      <c r="U5772" s="94"/>
      <c r="V5772" s="94"/>
      <c r="W5772" s="94"/>
      <c r="X5772" s="94"/>
      <c r="Y5772" s="94"/>
      <c r="Z5772" s="94"/>
      <c r="AA5772" s="94"/>
      <c r="AB5772" s="94"/>
      <c r="AC5772" s="94"/>
      <c r="AD5772" s="94"/>
      <c r="AE5772" s="94"/>
      <c r="AF5772" s="94"/>
      <c r="AG5772" s="94"/>
      <c r="AH5772" s="94"/>
    </row>
    <row r="5773" ht="12.75" hidden="1" customHeight="1" outlineLevel="1">
      <c r="A5773" s="122">
        <v>42032.0</v>
      </c>
      <c r="B5773" s="32" t="s">
        <v>347</v>
      </c>
      <c r="C5773" s="32" t="s">
        <v>1844</v>
      </c>
      <c r="D5773" s="708">
        <v>300.0</v>
      </c>
      <c r="E5773" s="195">
        <v>44.3336</v>
      </c>
      <c r="F5773" s="709">
        <v>0.40130787037037036</v>
      </c>
      <c r="G5773" s="195" t="s">
        <v>453</v>
      </c>
      <c r="H5773" s="710">
        <v>1.49</v>
      </c>
      <c r="I5773" s="256"/>
      <c r="J5773" s="67">
        <f t="shared" si="360"/>
        <v>13298.59</v>
      </c>
      <c r="L5773" s="70"/>
      <c r="M5773" s="934"/>
      <c r="N5773" s="94"/>
      <c r="O5773" s="94"/>
      <c r="P5773" s="94"/>
      <c r="Q5773" s="94"/>
      <c r="R5773" s="94"/>
      <c r="S5773" s="94"/>
      <c r="T5773" s="94"/>
      <c r="U5773" s="94"/>
      <c r="V5773" s="94"/>
      <c r="W5773" s="94"/>
      <c r="X5773" s="94"/>
      <c r="Y5773" s="94"/>
      <c r="Z5773" s="94"/>
      <c r="AA5773" s="94"/>
      <c r="AB5773" s="94"/>
      <c r="AC5773" s="94"/>
      <c r="AD5773" s="94"/>
      <c r="AE5773" s="94"/>
      <c r="AF5773" s="94"/>
      <c r="AG5773" s="94"/>
      <c r="AH5773" s="94"/>
    </row>
    <row r="5774" ht="12.75" hidden="1" customHeight="1" outlineLevel="1">
      <c r="A5774" s="122">
        <v>42032.0</v>
      </c>
      <c r="B5774" s="32" t="s">
        <v>343</v>
      </c>
      <c r="C5774" s="32" t="s">
        <v>2412</v>
      </c>
      <c r="D5774" s="708">
        <v>400.0</v>
      </c>
      <c r="E5774" s="195">
        <v>62.15</v>
      </c>
      <c r="F5774" s="709">
        <v>0.40400462962962963</v>
      </c>
      <c r="G5774" s="195" t="s">
        <v>453</v>
      </c>
      <c r="H5774" s="710">
        <v>2.0</v>
      </c>
      <c r="I5774" s="256"/>
      <c r="J5774" s="67">
        <f t="shared" si="360"/>
        <v>-24862</v>
      </c>
      <c r="L5774" s="70"/>
      <c r="M5774" s="934"/>
      <c r="N5774" s="94"/>
      <c r="O5774" s="94"/>
      <c r="P5774" s="94"/>
      <c r="Q5774" s="94"/>
      <c r="R5774" s="94"/>
      <c r="S5774" s="94"/>
      <c r="T5774" s="94"/>
      <c r="U5774" s="94"/>
      <c r="V5774" s="94"/>
      <c r="W5774" s="94"/>
      <c r="X5774" s="94"/>
      <c r="Y5774" s="94"/>
      <c r="Z5774" s="94"/>
      <c r="AA5774" s="94"/>
      <c r="AB5774" s="94"/>
      <c r="AC5774" s="94"/>
      <c r="AD5774" s="94"/>
      <c r="AE5774" s="94"/>
      <c r="AF5774" s="94"/>
      <c r="AG5774" s="94"/>
      <c r="AH5774" s="94"/>
    </row>
    <row r="5775" ht="12.75" hidden="1" customHeight="1" outlineLevel="1">
      <c r="A5775" s="122">
        <v>42032.0</v>
      </c>
      <c r="B5775" s="32" t="s">
        <v>343</v>
      </c>
      <c r="C5775" s="32" t="s">
        <v>344</v>
      </c>
      <c r="D5775" s="708">
        <v>200.0</v>
      </c>
      <c r="E5775" s="195">
        <v>50.45</v>
      </c>
      <c r="F5775" s="709">
        <v>0.40444444444444444</v>
      </c>
      <c r="G5775" s="195" t="s">
        <v>453</v>
      </c>
      <c r="H5775" s="710">
        <v>1.0</v>
      </c>
      <c r="I5775" s="256"/>
      <c r="J5775" s="67">
        <f t="shared" si="360"/>
        <v>-10091</v>
      </c>
      <c r="L5775" s="70"/>
      <c r="M5775" s="934"/>
      <c r="N5775" s="94"/>
      <c r="O5775" s="94"/>
      <c r="P5775" s="94"/>
      <c r="Q5775" s="94"/>
      <c r="R5775" s="94"/>
      <c r="S5775" s="94"/>
      <c r="T5775" s="94"/>
      <c r="U5775" s="94"/>
      <c r="V5775" s="94"/>
      <c r="W5775" s="94"/>
      <c r="X5775" s="94"/>
      <c r="Y5775" s="94"/>
      <c r="Z5775" s="94"/>
      <c r="AA5775" s="94"/>
      <c r="AB5775" s="94"/>
      <c r="AC5775" s="94"/>
      <c r="AD5775" s="94"/>
      <c r="AE5775" s="94"/>
      <c r="AF5775" s="94"/>
      <c r="AG5775" s="94"/>
      <c r="AH5775" s="94"/>
    </row>
    <row r="5776" ht="12.75" hidden="1" customHeight="1" outlineLevel="1">
      <c r="A5776" s="122">
        <v>42032.0</v>
      </c>
      <c r="B5776" s="32" t="s">
        <v>347</v>
      </c>
      <c r="C5776" s="32" t="s">
        <v>784</v>
      </c>
      <c r="D5776" s="708">
        <v>2000.0</v>
      </c>
      <c r="E5776" s="195">
        <v>7.341</v>
      </c>
      <c r="F5776" s="709">
        <v>0.404849537037037</v>
      </c>
      <c r="G5776" s="195" t="s">
        <v>453</v>
      </c>
      <c r="H5776" s="710">
        <v>8.32</v>
      </c>
      <c r="I5776" s="256"/>
      <c r="J5776" s="67">
        <f t="shared" si="360"/>
        <v>14673.68</v>
      </c>
      <c r="L5776" s="70"/>
      <c r="M5776" s="934"/>
      <c r="N5776" s="94"/>
      <c r="O5776" s="94"/>
      <c r="P5776" s="94"/>
      <c r="Q5776" s="94"/>
      <c r="R5776" s="94"/>
      <c r="S5776" s="94"/>
      <c r="T5776" s="94"/>
      <c r="U5776" s="94"/>
      <c r="V5776" s="94"/>
      <c r="W5776" s="94"/>
      <c r="X5776" s="94"/>
      <c r="Y5776" s="94"/>
      <c r="Z5776" s="94"/>
      <c r="AA5776" s="94"/>
      <c r="AB5776" s="94"/>
      <c r="AC5776" s="94"/>
      <c r="AD5776" s="94"/>
      <c r="AE5776" s="94"/>
      <c r="AF5776" s="94"/>
      <c r="AG5776" s="94"/>
      <c r="AH5776" s="94"/>
    </row>
    <row r="5777" ht="12.75" hidden="1" customHeight="1" outlineLevel="1">
      <c r="A5777" s="122">
        <v>42032.0</v>
      </c>
      <c r="B5777" s="32" t="s">
        <v>347</v>
      </c>
      <c r="C5777" s="32" t="s">
        <v>790</v>
      </c>
      <c r="D5777" s="708">
        <v>2000.0</v>
      </c>
      <c r="E5777" s="195">
        <v>6.6</v>
      </c>
      <c r="F5777" s="709">
        <v>0.4050462962962963</v>
      </c>
      <c r="G5777" s="195" t="s">
        <v>453</v>
      </c>
      <c r="H5777" s="710">
        <v>10.29</v>
      </c>
      <c r="I5777" s="256"/>
      <c r="J5777" s="67">
        <f t="shared" si="360"/>
        <v>13189.71</v>
      </c>
      <c r="L5777" s="70"/>
      <c r="M5777" s="934"/>
      <c r="N5777" s="94"/>
      <c r="O5777" s="94"/>
      <c r="P5777" s="94"/>
      <c r="Q5777" s="94"/>
      <c r="R5777" s="94"/>
      <c r="S5777" s="94"/>
      <c r="T5777" s="94"/>
      <c r="U5777" s="94"/>
      <c r="V5777" s="94"/>
      <c r="W5777" s="94"/>
      <c r="X5777" s="94"/>
      <c r="Y5777" s="94"/>
      <c r="Z5777" s="94"/>
      <c r="AA5777" s="94"/>
      <c r="AB5777" s="94"/>
      <c r="AC5777" s="94"/>
      <c r="AD5777" s="94"/>
      <c r="AE5777" s="94"/>
      <c r="AF5777" s="94"/>
      <c r="AG5777" s="94"/>
      <c r="AH5777" s="94"/>
    </row>
    <row r="5778" ht="12.75" hidden="1" customHeight="1" outlineLevel="1">
      <c r="A5778" s="122">
        <v>42032.0</v>
      </c>
      <c r="B5778" s="32" t="s">
        <v>347</v>
      </c>
      <c r="C5778" s="32" t="s">
        <v>364</v>
      </c>
      <c r="D5778" s="708">
        <v>50.0</v>
      </c>
      <c r="E5778" s="195">
        <v>127.22</v>
      </c>
      <c r="F5778" s="709">
        <v>0.4207060185185185</v>
      </c>
      <c r="G5778" s="195" t="s">
        <v>453</v>
      </c>
      <c r="H5778" s="710">
        <v>1.14</v>
      </c>
      <c r="I5778" s="256"/>
      <c r="J5778" s="67">
        <f t="shared" si="360"/>
        <v>6359.86</v>
      </c>
      <c r="L5778" s="70"/>
      <c r="M5778" s="934"/>
      <c r="N5778" s="94"/>
      <c r="O5778" s="94"/>
      <c r="P5778" s="94"/>
      <c r="Q5778" s="94"/>
      <c r="R5778" s="94"/>
      <c r="S5778" s="94"/>
      <c r="T5778" s="94"/>
      <c r="U5778" s="94"/>
      <c r="V5778" s="94"/>
      <c r="W5778" s="94"/>
      <c r="X5778" s="94"/>
      <c r="Y5778" s="94"/>
      <c r="Z5778" s="94"/>
      <c r="AA5778" s="94"/>
      <c r="AB5778" s="94"/>
      <c r="AC5778" s="94"/>
      <c r="AD5778" s="94"/>
      <c r="AE5778" s="94"/>
      <c r="AF5778" s="94"/>
      <c r="AG5778" s="94"/>
      <c r="AH5778" s="94"/>
    </row>
    <row r="5779" ht="12.75" hidden="1" customHeight="1" outlineLevel="1">
      <c r="A5779" s="122">
        <v>42032.0</v>
      </c>
      <c r="B5779" s="32" t="s">
        <v>347</v>
      </c>
      <c r="C5779" s="32" t="s">
        <v>790</v>
      </c>
      <c r="D5779" s="708">
        <v>1000.0</v>
      </c>
      <c r="E5779" s="195">
        <v>6.54</v>
      </c>
      <c r="F5779" s="709">
        <v>0.42659722222222224</v>
      </c>
      <c r="G5779" s="195" t="s">
        <v>453</v>
      </c>
      <c r="H5779" s="710">
        <v>5.14</v>
      </c>
      <c r="I5779" s="256"/>
      <c r="J5779" s="67">
        <f t="shared" si="360"/>
        <v>6534.86</v>
      </c>
      <c r="L5779" s="70"/>
      <c r="M5779" s="934"/>
      <c r="N5779" s="94"/>
      <c r="O5779" s="94"/>
      <c r="P5779" s="94"/>
      <c r="Q5779" s="94"/>
      <c r="R5779" s="94"/>
      <c r="S5779" s="94"/>
      <c r="T5779" s="94"/>
      <c r="U5779" s="94"/>
      <c r="V5779" s="94"/>
      <c r="W5779" s="94"/>
      <c r="X5779" s="94"/>
      <c r="Y5779" s="94"/>
      <c r="Z5779" s="94"/>
      <c r="AA5779" s="94"/>
      <c r="AB5779" s="94"/>
      <c r="AC5779" s="94"/>
      <c r="AD5779" s="94"/>
      <c r="AE5779" s="94"/>
      <c r="AF5779" s="94"/>
      <c r="AG5779" s="94"/>
      <c r="AH5779" s="94"/>
    </row>
    <row r="5780" ht="12.75" hidden="1" customHeight="1" outlineLevel="1">
      <c r="A5780" s="122">
        <v>42032.0</v>
      </c>
      <c r="B5780" s="32" t="s">
        <v>347</v>
      </c>
      <c r="C5780" s="32" t="s">
        <v>784</v>
      </c>
      <c r="D5780" s="708">
        <v>1000.0</v>
      </c>
      <c r="E5780" s="195">
        <v>7.341</v>
      </c>
      <c r="F5780" s="709">
        <v>0.4558333333333333</v>
      </c>
      <c r="G5780" s="195" t="s">
        <v>453</v>
      </c>
      <c r="H5780" s="710">
        <v>4.16</v>
      </c>
      <c r="I5780" s="256"/>
      <c r="J5780" s="67">
        <f t="shared" si="360"/>
        <v>7336.84</v>
      </c>
      <c r="L5780" s="70"/>
      <c r="M5780" s="934"/>
      <c r="N5780" s="94"/>
      <c r="O5780" s="94"/>
      <c r="P5780" s="94"/>
      <c r="Q5780" s="94"/>
      <c r="R5780" s="94"/>
      <c r="S5780" s="94"/>
      <c r="T5780" s="94"/>
      <c r="U5780" s="94"/>
      <c r="V5780" s="94"/>
      <c r="W5780" s="94"/>
      <c r="X5780" s="94"/>
      <c r="Y5780" s="94"/>
      <c r="Z5780" s="94"/>
      <c r="AA5780" s="94"/>
      <c r="AB5780" s="94"/>
      <c r="AC5780" s="94"/>
      <c r="AD5780" s="94"/>
      <c r="AE5780" s="94"/>
      <c r="AF5780" s="94"/>
      <c r="AG5780" s="94"/>
      <c r="AH5780" s="94"/>
    </row>
    <row r="5781" ht="12.75" hidden="1" customHeight="1" outlineLevel="1">
      <c r="A5781" s="122">
        <v>42032.0</v>
      </c>
      <c r="B5781" s="32" t="s">
        <v>347</v>
      </c>
      <c r="C5781" s="32" t="s">
        <v>790</v>
      </c>
      <c r="D5781" s="708">
        <v>1000.0</v>
      </c>
      <c r="E5781" s="195">
        <v>6.7</v>
      </c>
      <c r="F5781" s="709">
        <v>0.4563773148148148</v>
      </c>
      <c r="G5781" s="195" t="s">
        <v>453</v>
      </c>
      <c r="H5781" s="710">
        <v>5.15</v>
      </c>
      <c r="I5781" s="256"/>
      <c r="J5781" s="67">
        <f t="shared" si="360"/>
        <v>6694.85</v>
      </c>
      <c r="L5781" s="70"/>
      <c r="M5781" s="934"/>
      <c r="N5781" s="94"/>
      <c r="O5781" s="94"/>
      <c r="P5781" s="94"/>
      <c r="Q5781" s="94"/>
      <c r="R5781" s="94"/>
      <c r="S5781" s="94"/>
      <c r="T5781" s="94"/>
      <c r="U5781" s="94"/>
      <c r="V5781" s="94"/>
      <c r="W5781" s="94"/>
      <c r="X5781" s="94"/>
      <c r="Y5781" s="94"/>
      <c r="Z5781" s="94"/>
      <c r="AA5781" s="94"/>
      <c r="AB5781" s="94"/>
      <c r="AC5781" s="94"/>
      <c r="AD5781" s="94"/>
      <c r="AE5781" s="94"/>
      <c r="AF5781" s="94"/>
      <c r="AG5781" s="94"/>
      <c r="AH5781" s="94"/>
    </row>
    <row r="5782" ht="12.75" hidden="1" customHeight="1" outlineLevel="1">
      <c r="A5782" s="122">
        <v>42032.0</v>
      </c>
      <c r="B5782" s="32" t="s">
        <v>343</v>
      </c>
      <c r="C5782" s="32" t="s">
        <v>1485</v>
      </c>
      <c r="D5782" s="708">
        <v>500.0</v>
      </c>
      <c r="E5782" s="195">
        <v>4.14</v>
      </c>
      <c r="F5782" s="709">
        <v>0.5360069444444444</v>
      </c>
      <c r="G5782" s="195" t="s">
        <v>453</v>
      </c>
      <c r="H5782" s="710">
        <v>2.5</v>
      </c>
      <c r="I5782" s="256"/>
      <c r="J5782" s="67">
        <f t="shared" si="360"/>
        <v>-2072.5</v>
      </c>
      <c r="L5782" s="70"/>
      <c r="M5782" s="934"/>
      <c r="N5782" s="94"/>
      <c r="O5782" s="94"/>
      <c r="P5782" s="94"/>
      <c r="Q5782" s="94"/>
      <c r="R5782" s="94"/>
      <c r="S5782" s="94"/>
      <c r="T5782" s="94"/>
      <c r="U5782" s="94"/>
      <c r="V5782" s="94"/>
      <c r="W5782" s="94"/>
      <c r="X5782" s="94"/>
      <c r="Y5782" s="94"/>
      <c r="Z5782" s="94"/>
      <c r="AA5782" s="94"/>
      <c r="AB5782" s="94"/>
      <c r="AC5782" s="94"/>
      <c r="AD5782" s="94"/>
      <c r="AE5782" s="94"/>
      <c r="AF5782" s="94"/>
      <c r="AG5782" s="94"/>
      <c r="AH5782" s="94"/>
    </row>
    <row r="5783" ht="12.75" hidden="1" customHeight="1" outlineLevel="1">
      <c r="A5783" s="122">
        <v>42032.0</v>
      </c>
      <c r="B5783" s="32" t="s">
        <v>343</v>
      </c>
      <c r="C5783" s="32" t="s">
        <v>604</v>
      </c>
      <c r="D5783" s="708">
        <v>500.0</v>
      </c>
      <c r="E5783" s="195">
        <v>2.31</v>
      </c>
      <c r="F5783" s="709">
        <v>0.5363888888888889</v>
      </c>
      <c r="G5783" s="195" t="s">
        <v>453</v>
      </c>
      <c r="H5783" s="710">
        <v>2.5</v>
      </c>
      <c r="I5783" s="256"/>
      <c r="J5783" s="67">
        <f t="shared" si="360"/>
        <v>-1157.5</v>
      </c>
      <c r="L5783" s="70"/>
      <c r="M5783" s="934"/>
      <c r="N5783" s="94"/>
      <c r="O5783" s="94"/>
      <c r="P5783" s="94"/>
      <c r="Q5783" s="94"/>
      <c r="R5783" s="94"/>
      <c r="S5783" s="94"/>
      <c r="T5783" s="94"/>
      <c r="U5783" s="94"/>
      <c r="V5783" s="94"/>
      <c r="W5783" s="94"/>
      <c r="X5783" s="94"/>
      <c r="Y5783" s="94"/>
      <c r="Z5783" s="94"/>
      <c r="AA5783" s="94"/>
      <c r="AB5783" s="94"/>
      <c r="AC5783" s="94"/>
      <c r="AD5783" s="94"/>
      <c r="AE5783" s="94"/>
      <c r="AF5783" s="94"/>
      <c r="AG5783" s="94"/>
      <c r="AH5783" s="94"/>
    </row>
    <row r="5784" ht="12.75" hidden="1" customHeight="1" outlineLevel="1">
      <c r="A5784" s="122">
        <v>42032.0</v>
      </c>
      <c r="B5784" s="32" t="s">
        <v>343</v>
      </c>
      <c r="C5784" s="32" t="s">
        <v>1483</v>
      </c>
      <c r="D5784" s="708">
        <v>500.0</v>
      </c>
      <c r="E5784" s="195">
        <v>2.24</v>
      </c>
      <c r="F5784" s="709">
        <v>0.5365856481481481</v>
      </c>
      <c r="G5784" s="195" t="s">
        <v>453</v>
      </c>
      <c r="H5784" s="710">
        <v>2.5</v>
      </c>
      <c r="I5784" s="256"/>
      <c r="J5784" s="67">
        <f t="shared" si="360"/>
        <v>-1122.5</v>
      </c>
      <c r="L5784" s="70"/>
      <c r="M5784" s="934"/>
      <c r="N5784" s="94"/>
      <c r="O5784" s="94"/>
      <c r="P5784" s="94"/>
      <c r="Q5784" s="94"/>
      <c r="R5784" s="94"/>
      <c r="S5784" s="94"/>
      <c r="T5784" s="94"/>
      <c r="U5784" s="94"/>
      <c r="V5784" s="94"/>
      <c r="W5784" s="94"/>
      <c r="X5784" s="94"/>
      <c r="Y5784" s="94"/>
      <c r="Z5784" s="94"/>
      <c r="AA5784" s="94"/>
      <c r="AB5784" s="94"/>
      <c r="AC5784" s="94"/>
      <c r="AD5784" s="94"/>
      <c r="AE5784" s="94"/>
      <c r="AF5784" s="94"/>
      <c r="AG5784" s="94"/>
      <c r="AH5784" s="94"/>
    </row>
    <row r="5785" ht="12.75" hidden="1" customHeight="1" outlineLevel="1">
      <c r="A5785" s="122">
        <v>42032.0</v>
      </c>
      <c r="B5785" s="32" t="s">
        <v>343</v>
      </c>
      <c r="C5785" s="32" t="s">
        <v>1092</v>
      </c>
      <c r="D5785" s="708">
        <v>500.0</v>
      </c>
      <c r="E5785" s="195">
        <v>4.15</v>
      </c>
      <c r="F5785" s="709">
        <v>0.5372106481481481</v>
      </c>
      <c r="G5785" s="195" t="s">
        <v>453</v>
      </c>
      <c r="H5785" s="710">
        <v>2.5</v>
      </c>
      <c r="I5785" s="256"/>
      <c r="J5785" s="67">
        <f t="shared" si="360"/>
        <v>-2077.5</v>
      </c>
      <c r="L5785" s="70"/>
      <c r="M5785" s="934"/>
      <c r="N5785" s="94"/>
      <c r="O5785" s="94"/>
      <c r="P5785" s="94"/>
      <c r="Q5785" s="94"/>
      <c r="R5785" s="94"/>
      <c r="S5785" s="94"/>
      <c r="T5785" s="94"/>
      <c r="U5785" s="94"/>
      <c r="V5785" s="94"/>
      <c r="W5785" s="94"/>
      <c r="X5785" s="94"/>
      <c r="Y5785" s="94"/>
      <c r="Z5785" s="94"/>
      <c r="AA5785" s="94"/>
      <c r="AB5785" s="94"/>
      <c r="AC5785" s="94"/>
      <c r="AD5785" s="94"/>
      <c r="AE5785" s="94"/>
      <c r="AF5785" s="94"/>
      <c r="AG5785" s="94"/>
      <c r="AH5785" s="94"/>
    </row>
    <row r="5786" ht="12.75" hidden="1" customHeight="1" outlineLevel="1">
      <c r="A5786" s="122">
        <v>42032.0</v>
      </c>
      <c r="B5786" s="32" t="s">
        <v>343</v>
      </c>
      <c r="C5786" s="32" t="s">
        <v>1485</v>
      </c>
      <c r="D5786" s="708">
        <v>500.0</v>
      </c>
      <c r="E5786" s="195">
        <v>4.13</v>
      </c>
      <c r="F5786" s="709">
        <v>0.5741319444444445</v>
      </c>
      <c r="G5786" s="195" t="s">
        <v>453</v>
      </c>
      <c r="H5786" s="710">
        <v>2.5</v>
      </c>
      <c r="I5786" s="256"/>
      <c r="J5786" s="67">
        <f t="shared" si="360"/>
        <v>-2067.5</v>
      </c>
      <c r="L5786" s="70"/>
      <c r="M5786" s="934"/>
      <c r="N5786" s="94"/>
      <c r="O5786" s="94"/>
      <c r="P5786" s="94"/>
      <c r="Q5786" s="94"/>
      <c r="R5786" s="94"/>
      <c r="S5786" s="94"/>
      <c r="T5786" s="94"/>
      <c r="U5786" s="94"/>
      <c r="V5786" s="94"/>
      <c r="W5786" s="94"/>
      <c r="X5786" s="94"/>
      <c r="Y5786" s="94"/>
      <c r="Z5786" s="94"/>
      <c r="AA5786" s="94"/>
      <c r="AB5786" s="94"/>
      <c r="AC5786" s="94"/>
      <c r="AD5786" s="94"/>
      <c r="AE5786" s="94"/>
      <c r="AF5786" s="94"/>
      <c r="AG5786" s="94"/>
      <c r="AH5786" s="94"/>
    </row>
    <row r="5787" ht="12.75" hidden="1" customHeight="1" outlineLevel="1">
      <c r="A5787" s="122">
        <v>42032.0</v>
      </c>
      <c r="B5787" s="32" t="s">
        <v>343</v>
      </c>
      <c r="C5787" s="32" t="s">
        <v>1483</v>
      </c>
      <c r="D5787" s="708">
        <v>500.0</v>
      </c>
      <c r="E5787" s="195">
        <v>2.2</v>
      </c>
      <c r="F5787" s="709">
        <v>0.5743171296296297</v>
      </c>
      <c r="G5787" s="195" t="s">
        <v>453</v>
      </c>
      <c r="H5787" s="710">
        <v>2.5</v>
      </c>
      <c r="I5787" s="256"/>
      <c r="J5787" s="67">
        <f t="shared" si="360"/>
        <v>-1102.5</v>
      </c>
      <c r="L5787" s="70"/>
      <c r="M5787" s="934"/>
      <c r="N5787" s="94"/>
      <c r="O5787" s="94"/>
      <c r="P5787" s="94"/>
      <c r="Q5787" s="94"/>
      <c r="R5787" s="94"/>
      <c r="S5787" s="94"/>
      <c r="T5787" s="94"/>
      <c r="U5787" s="94"/>
      <c r="V5787" s="94"/>
      <c r="W5787" s="94"/>
      <c r="X5787" s="94"/>
      <c r="Y5787" s="94"/>
      <c r="Z5787" s="94"/>
      <c r="AA5787" s="94"/>
      <c r="AB5787" s="94"/>
      <c r="AC5787" s="94"/>
      <c r="AD5787" s="94"/>
      <c r="AE5787" s="94"/>
      <c r="AF5787" s="94"/>
      <c r="AG5787" s="94"/>
      <c r="AH5787" s="94"/>
    </row>
    <row r="5788" ht="12.75" hidden="1" customHeight="1" outlineLevel="1">
      <c r="A5788" s="122">
        <v>42032.0</v>
      </c>
      <c r="B5788" s="32" t="s">
        <v>343</v>
      </c>
      <c r="C5788" s="32" t="s">
        <v>604</v>
      </c>
      <c r="D5788" s="708">
        <v>500.0</v>
      </c>
      <c r="E5788" s="195">
        <v>2.29</v>
      </c>
      <c r="F5788" s="709">
        <v>0.5748148148148148</v>
      </c>
      <c r="G5788" s="195" t="s">
        <v>453</v>
      </c>
      <c r="H5788" s="710">
        <v>2.5</v>
      </c>
      <c r="I5788" s="256"/>
      <c r="J5788" s="67">
        <f t="shared" si="360"/>
        <v>-1147.5</v>
      </c>
      <c r="L5788" s="70"/>
      <c r="M5788" s="934"/>
      <c r="N5788" s="94"/>
      <c r="O5788" s="94"/>
      <c r="P5788" s="94"/>
      <c r="Q5788" s="94"/>
      <c r="R5788" s="94"/>
      <c r="S5788" s="94"/>
      <c r="T5788" s="94"/>
      <c r="U5788" s="94"/>
      <c r="V5788" s="94"/>
      <c r="W5788" s="94"/>
      <c r="X5788" s="94"/>
      <c r="Y5788" s="94"/>
      <c r="Z5788" s="94"/>
      <c r="AA5788" s="94"/>
      <c r="AB5788" s="94"/>
      <c r="AC5788" s="94"/>
      <c r="AD5788" s="94"/>
      <c r="AE5788" s="94"/>
      <c r="AF5788" s="94"/>
      <c r="AG5788" s="94"/>
      <c r="AH5788" s="94"/>
    </row>
    <row r="5789" ht="12.75" hidden="1" customHeight="1" outlineLevel="1">
      <c r="A5789" s="122">
        <v>42032.0</v>
      </c>
      <c r="B5789" s="32" t="s">
        <v>343</v>
      </c>
      <c r="C5789" s="32" t="s">
        <v>1092</v>
      </c>
      <c r="D5789" s="708">
        <v>500.0</v>
      </c>
      <c r="E5789" s="195">
        <v>4.13</v>
      </c>
      <c r="F5789" s="709">
        <v>0.5760879629629629</v>
      </c>
      <c r="G5789" s="195" t="s">
        <v>453</v>
      </c>
      <c r="H5789" s="710">
        <v>2.5</v>
      </c>
      <c r="I5789" s="256"/>
      <c r="J5789" s="67">
        <f t="shared" si="360"/>
        <v>-2067.5</v>
      </c>
      <c r="L5789" s="70"/>
      <c r="M5789" s="934"/>
      <c r="N5789" s="94"/>
      <c r="O5789" s="94"/>
      <c r="P5789" s="94"/>
      <c r="Q5789" s="94"/>
      <c r="R5789" s="94"/>
      <c r="S5789" s="94"/>
      <c r="T5789" s="94"/>
      <c r="U5789" s="94"/>
      <c r="V5789" s="94"/>
      <c r="W5789" s="94"/>
      <c r="X5789" s="94"/>
      <c r="Y5789" s="94"/>
      <c r="Z5789" s="94"/>
      <c r="AA5789" s="94"/>
      <c r="AB5789" s="94"/>
      <c r="AC5789" s="94"/>
      <c r="AD5789" s="94"/>
      <c r="AE5789" s="94"/>
      <c r="AF5789" s="94"/>
      <c r="AG5789" s="94"/>
      <c r="AH5789" s="94"/>
    </row>
    <row r="5790" ht="12.75" hidden="1" customHeight="1" outlineLevel="1">
      <c r="A5790" s="122">
        <v>42032.0</v>
      </c>
      <c r="B5790" s="32" t="s">
        <v>343</v>
      </c>
      <c r="C5790" s="32" t="s">
        <v>1382</v>
      </c>
      <c r="D5790" s="708">
        <v>200.0</v>
      </c>
      <c r="E5790" s="195">
        <v>140.51</v>
      </c>
      <c r="F5790" s="709">
        <v>0.599224537037037</v>
      </c>
      <c r="G5790" s="195" t="s">
        <v>453</v>
      </c>
      <c r="H5790" s="710">
        <v>1.0</v>
      </c>
      <c r="I5790" s="256"/>
      <c r="J5790" s="67">
        <f t="shared" si="360"/>
        <v>-28103</v>
      </c>
      <c r="L5790" s="70"/>
      <c r="M5790" s="934"/>
      <c r="N5790" s="94"/>
      <c r="O5790" s="94"/>
      <c r="P5790" s="94"/>
      <c r="Q5790" s="94"/>
      <c r="R5790" s="94"/>
      <c r="S5790" s="94"/>
      <c r="T5790" s="94"/>
      <c r="U5790" s="94"/>
      <c r="V5790" s="94"/>
      <c r="W5790" s="94"/>
      <c r="X5790" s="94"/>
      <c r="Y5790" s="94"/>
      <c r="Z5790" s="94"/>
      <c r="AA5790" s="94"/>
      <c r="AB5790" s="94"/>
      <c r="AC5790" s="94"/>
      <c r="AD5790" s="94"/>
      <c r="AE5790" s="94"/>
      <c r="AF5790" s="94"/>
      <c r="AG5790" s="94"/>
      <c r="AH5790" s="94"/>
    </row>
    <row r="5791" ht="12.75" hidden="1" customHeight="1" outlineLevel="1">
      <c r="A5791" s="882">
        <v>42033.0</v>
      </c>
      <c r="B5791" s="1"/>
      <c r="C5791" s="1" t="s">
        <v>339</v>
      </c>
      <c r="D5791" s="74"/>
      <c r="E5791" s="67"/>
      <c r="F5791" s="75"/>
      <c r="G5791" s="67"/>
      <c r="H5791" s="68"/>
      <c r="I5791" s="76"/>
      <c r="J5791" s="67"/>
      <c r="K5791" s="967" t="s">
        <v>2797</v>
      </c>
      <c r="L5791" s="934"/>
      <c r="M5791" s="934"/>
    </row>
    <row r="5792" ht="12.75" hidden="1" customHeight="1" outlineLevel="1">
      <c r="A5792" s="882">
        <v>42033.0</v>
      </c>
      <c r="B5792" s="1"/>
      <c r="C5792" s="1" t="s">
        <v>429</v>
      </c>
      <c r="D5792" s="74"/>
      <c r="E5792" s="67"/>
      <c r="F5792" s="75"/>
      <c r="G5792" s="67"/>
      <c r="H5792" s="68"/>
      <c r="I5792" s="76"/>
      <c r="J5792" s="67"/>
      <c r="K5792" s="9" t="s">
        <v>2795</v>
      </c>
      <c r="L5792" s="934"/>
      <c r="M5792" s="934"/>
    </row>
    <row r="5793" ht="12.75" hidden="1" customHeight="1" outlineLevel="1">
      <c r="A5793" s="882">
        <v>42033.0</v>
      </c>
      <c r="B5793" s="1"/>
      <c r="C5793" s="1" t="s">
        <v>431</v>
      </c>
      <c r="D5793" s="74"/>
      <c r="E5793" s="67"/>
      <c r="F5793" s="75"/>
      <c r="G5793" s="67"/>
      <c r="H5793" s="68"/>
      <c r="I5793" s="76"/>
      <c r="J5793" s="67"/>
      <c r="K5793" s="7" t="s">
        <v>1126</v>
      </c>
      <c r="L5793" s="934"/>
      <c r="M5793" s="934"/>
    </row>
    <row r="5794" ht="12.75" hidden="1" customHeight="1" outlineLevel="1">
      <c r="A5794" s="882">
        <v>42033.0</v>
      </c>
      <c r="B5794" s="1"/>
      <c r="C5794" s="1" t="s">
        <v>433</v>
      </c>
      <c r="D5794" s="74"/>
      <c r="E5794" s="67"/>
      <c r="F5794" s="75"/>
      <c r="G5794" s="67"/>
      <c r="H5794" s="68"/>
      <c r="I5794" s="76"/>
      <c r="J5794" s="67"/>
      <c r="K5794" s="7" t="s">
        <v>1103</v>
      </c>
      <c r="L5794" s="934"/>
      <c r="M5794" s="934"/>
    </row>
    <row r="5795" ht="12.75" hidden="1" customHeight="1" outlineLevel="1">
      <c r="A5795" s="882">
        <v>42033.0</v>
      </c>
      <c r="B5795" s="1"/>
      <c r="C5795" s="1" t="s">
        <v>435</v>
      </c>
      <c r="D5795" s="74"/>
      <c r="E5795" s="67"/>
      <c r="F5795" s="75"/>
      <c r="G5795" s="67"/>
      <c r="H5795" s="68"/>
      <c r="I5795" s="76"/>
      <c r="J5795" s="67"/>
      <c r="K5795" s="9" t="s">
        <v>2486</v>
      </c>
      <c r="L5795" s="934"/>
      <c r="M5795" s="934"/>
    </row>
    <row r="5796" ht="12.75" hidden="1" customHeight="1" outlineLevel="1">
      <c r="A5796" s="122">
        <v>42033.0</v>
      </c>
      <c r="B5796" s="32" t="s">
        <v>347</v>
      </c>
      <c r="C5796" s="32" t="s">
        <v>784</v>
      </c>
      <c r="D5796" s="708">
        <v>2000.0</v>
      </c>
      <c r="E5796" s="195">
        <v>7.28</v>
      </c>
      <c r="F5796" s="709">
        <v>0.4000694444444444</v>
      </c>
      <c r="G5796" s="195" t="s">
        <v>453</v>
      </c>
      <c r="H5796" s="710">
        <v>10.32</v>
      </c>
      <c r="I5796" s="256"/>
      <c r="J5796" s="67">
        <f t="shared" ref="J5796:J5810" si="361">IF(B5796="SLD",D5796*E5796,-D5796*E5796)-H5796</f>
        <v>14549.68</v>
      </c>
      <c r="L5796" s="70"/>
      <c r="M5796" s="934"/>
      <c r="N5796" s="94"/>
      <c r="O5796" s="94"/>
      <c r="P5796" s="94"/>
      <c r="Q5796" s="94"/>
      <c r="R5796" s="94"/>
      <c r="S5796" s="94"/>
      <c r="T5796" s="94"/>
      <c r="U5796" s="94"/>
      <c r="V5796" s="94"/>
      <c r="W5796" s="94"/>
      <c r="X5796" s="94"/>
      <c r="Y5796" s="94"/>
      <c r="Z5796" s="94"/>
      <c r="AA5796" s="94"/>
      <c r="AB5796" s="94"/>
      <c r="AC5796" s="94"/>
      <c r="AD5796" s="94"/>
      <c r="AE5796" s="94"/>
      <c r="AF5796" s="94"/>
      <c r="AG5796" s="94"/>
      <c r="AH5796" s="94"/>
    </row>
    <row r="5797" ht="12.75" hidden="1" customHeight="1" outlineLevel="1">
      <c r="A5797" s="122">
        <v>42033.0</v>
      </c>
      <c r="B5797" s="32" t="s">
        <v>347</v>
      </c>
      <c r="C5797" s="32" t="s">
        <v>2048</v>
      </c>
      <c r="D5797" s="708">
        <v>1000.0</v>
      </c>
      <c r="E5797" s="195">
        <v>10.16</v>
      </c>
      <c r="F5797" s="709">
        <v>0.4035416666666667</v>
      </c>
      <c r="G5797" s="195" t="s">
        <v>453</v>
      </c>
      <c r="H5797" s="710">
        <v>5.02</v>
      </c>
      <c r="I5797" s="256"/>
      <c r="J5797" s="67">
        <f t="shared" si="361"/>
        <v>10154.98</v>
      </c>
      <c r="L5797" s="70"/>
      <c r="M5797" s="934"/>
      <c r="N5797" s="94"/>
      <c r="O5797" s="94"/>
      <c r="P5797" s="94"/>
      <c r="Q5797" s="94"/>
      <c r="R5797" s="94"/>
      <c r="S5797" s="94"/>
      <c r="T5797" s="94"/>
      <c r="U5797" s="94"/>
      <c r="V5797" s="94"/>
      <c r="W5797" s="94"/>
      <c r="X5797" s="94"/>
      <c r="Y5797" s="94"/>
      <c r="Z5797" s="94"/>
      <c r="AA5797" s="94"/>
      <c r="AB5797" s="94"/>
      <c r="AC5797" s="94"/>
      <c r="AD5797" s="94"/>
      <c r="AE5797" s="94"/>
      <c r="AF5797" s="94"/>
      <c r="AG5797" s="94"/>
      <c r="AH5797" s="94"/>
    </row>
    <row r="5798" ht="12.75" hidden="1" customHeight="1" outlineLevel="1">
      <c r="A5798" s="122">
        <v>42033.0</v>
      </c>
      <c r="B5798" s="32" t="s">
        <v>347</v>
      </c>
      <c r="C5798" s="32" t="s">
        <v>790</v>
      </c>
      <c r="D5798" s="708">
        <v>2000.0</v>
      </c>
      <c r="E5798" s="195">
        <v>6.32</v>
      </c>
      <c r="F5798" s="709">
        <v>0.4035648148148148</v>
      </c>
      <c r="G5798" s="195" t="s">
        <v>453</v>
      </c>
      <c r="H5798" s="710">
        <v>10.28</v>
      </c>
      <c r="I5798" s="256"/>
      <c r="J5798" s="67">
        <f t="shared" si="361"/>
        <v>12629.72</v>
      </c>
      <c r="L5798" s="70"/>
      <c r="M5798" s="934"/>
      <c r="N5798" s="94"/>
      <c r="O5798" s="94"/>
      <c r="P5798" s="94"/>
      <c r="Q5798" s="94"/>
      <c r="R5798" s="94"/>
      <c r="S5798" s="94"/>
      <c r="T5798" s="94"/>
      <c r="U5798" s="94"/>
      <c r="V5798" s="94"/>
      <c r="W5798" s="94"/>
      <c r="X5798" s="94"/>
      <c r="Y5798" s="94"/>
      <c r="Z5798" s="94"/>
      <c r="AA5798" s="94"/>
      <c r="AB5798" s="94"/>
      <c r="AC5798" s="94"/>
      <c r="AD5798" s="94"/>
      <c r="AE5798" s="94"/>
      <c r="AF5798" s="94"/>
      <c r="AG5798" s="94"/>
      <c r="AH5798" s="94"/>
    </row>
    <row r="5799" ht="12.75" hidden="1" customHeight="1" outlineLevel="1">
      <c r="A5799" s="122">
        <v>42033.0</v>
      </c>
      <c r="B5799" s="32" t="s">
        <v>347</v>
      </c>
      <c r="C5799" s="32" t="s">
        <v>2192</v>
      </c>
      <c r="D5799" s="708">
        <v>1000.0</v>
      </c>
      <c r="E5799" s="195">
        <v>10.07</v>
      </c>
      <c r="F5799" s="709">
        <v>0.40372685185185186</v>
      </c>
      <c r="G5799" s="195" t="s">
        <v>453</v>
      </c>
      <c r="H5799" s="710">
        <v>5.22</v>
      </c>
      <c r="I5799" s="256"/>
      <c r="J5799" s="67">
        <f t="shared" si="361"/>
        <v>10064.78</v>
      </c>
      <c r="L5799" s="70"/>
      <c r="M5799" s="934"/>
      <c r="N5799" s="94"/>
      <c r="O5799" s="94"/>
      <c r="P5799" s="94"/>
      <c r="Q5799" s="94"/>
      <c r="R5799" s="94"/>
      <c r="S5799" s="94"/>
      <c r="T5799" s="94"/>
      <c r="U5799" s="94"/>
      <c r="V5799" s="94"/>
      <c r="W5799" s="94"/>
      <c r="X5799" s="94"/>
      <c r="Y5799" s="94"/>
      <c r="Z5799" s="94"/>
      <c r="AA5799" s="94"/>
      <c r="AB5799" s="94"/>
      <c r="AC5799" s="94"/>
      <c r="AD5799" s="94"/>
      <c r="AE5799" s="94"/>
      <c r="AF5799" s="94"/>
      <c r="AG5799" s="94"/>
      <c r="AH5799" s="94"/>
    </row>
    <row r="5800" ht="12.75" hidden="1" customHeight="1" outlineLevel="1">
      <c r="A5800" s="122">
        <v>42033.0</v>
      </c>
      <c r="B5800" s="32" t="s">
        <v>347</v>
      </c>
      <c r="C5800" s="32" t="s">
        <v>1844</v>
      </c>
      <c r="D5800" s="708">
        <v>300.0</v>
      </c>
      <c r="E5800" s="195">
        <v>42.15</v>
      </c>
      <c r="F5800" s="709">
        <v>0.40498842592592593</v>
      </c>
      <c r="G5800" s="195" t="s">
        <v>453</v>
      </c>
      <c r="H5800" s="710">
        <v>1.48</v>
      </c>
      <c r="I5800" s="256"/>
      <c r="J5800" s="67">
        <f t="shared" si="361"/>
        <v>12643.52</v>
      </c>
      <c r="L5800" s="70"/>
      <c r="M5800" s="934"/>
      <c r="N5800" s="94"/>
      <c r="O5800" s="94"/>
      <c r="P5800" s="94"/>
      <c r="Q5800" s="94"/>
      <c r="R5800" s="94"/>
      <c r="S5800" s="94"/>
      <c r="T5800" s="94"/>
      <c r="U5800" s="94"/>
      <c r="V5800" s="94"/>
      <c r="W5800" s="94"/>
      <c r="X5800" s="94"/>
      <c r="Y5800" s="94"/>
      <c r="Z5800" s="94"/>
      <c r="AA5800" s="94"/>
      <c r="AB5800" s="94"/>
      <c r="AC5800" s="94"/>
      <c r="AD5800" s="94"/>
      <c r="AE5800" s="94"/>
      <c r="AF5800" s="94"/>
      <c r="AG5800" s="94"/>
      <c r="AH5800" s="94"/>
    </row>
    <row r="5801" ht="12.75" hidden="1" customHeight="1" outlineLevel="1">
      <c r="A5801" s="122">
        <v>42033.0</v>
      </c>
      <c r="B5801" s="32" t="s">
        <v>347</v>
      </c>
      <c r="C5801" s="32" t="s">
        <v>369</v>
      </c>
      <c r="D5801" s="708">
        <v>1000.0</v>
      </c>
      <c r="E5801" s="195">
        <v>6.5</v>
      </c>
      <c r="F5801" s="709">
        <v>0.40751157407407407</v>
      </c>
      <c r="G5801" s="195" t="s">
        <v>453</v>
      </c>
      <c r="H5801" s="710">
        <v>4.94</v>
      </c>
      <c r="I5801" s="256"/>
      <c r="J5801" s="67">
        <f t="shared" si="361"/>
        <v>6495.06</v>
      </c>
      <c r="L5801" s="70"/>
      <c r="M5801" s="934"/>
      <c r="N5801" s="94"/>
      <c r="O5801" s="94"/>
      <c r="P5801" s="94"/>
      <c r="Q5801" s="94"/>
      <c r="R5801" s="94"/>
      <c r="S5801" s="94"/>
      <c r="T5801" s="94"/>
      <c r="U5801" s="94"/>
      <c r="V5801" s="94"/>
      <c r="W5801" s="94"/>
      <c r="X5801" s="94"/>
      <c r="Y5801" s="94"/>
      <c r="Z5801" s="94"/>
      <c r="AA5801" s="94"/>
      <c r="AB5801" s="94"/>
      <c r="AC5801" s="94"/>
      <c r="AD5801" s="94"/>
      <c r="AE5801" s="94"/>
      <c r="AF5801" s="94"/>
      <c r="AG5801" s="94"/>
      <c r="AH5801" s="94"/>
    </row>
    <row r="5802" ht="12.75" hidden="1" customHeight="1" outlineLevel="1">
      <c r="A5802" s="122">
        <v>42033.0</v>
      </c>
      <c r="B5802" s="32" t="s">
        <v>347</v>
      </c>
      <c r="C5802" s="32" t="s">
        <v>784</v>
      </c>
      <c r="D5802" s="708">
        <v>2000.0</v>
      </c>
      <c r="E5802" s="195">
        <v>7.161</v>
      </c>
      <c r="F5802" s="709">
        <v>0.4202662037037037</v>
      </c>
      <c r="G5802" s="195" t="s">
        <v>453</v>
      </c>
      <c r="H5802" s="710">
        <v>8.32</v>
      </c>
      <c r="I5802" s="256"/>
      <c r="J5802" s="67">
        <f t="shared" si="361"/>
        <v>14313.68</v>
      </c>
      <c r="L5802" s="70"/>
      <c r="M5802" s="934"/>
      <c r="N5802" s="94"/>
      <c r="O5802" s="94"/>
      <c r="P5802" s="94"/>
      <c r="Q5802" s="94"/>
      <c r="R5802" s="94"/>
      <c r="S5802" s="94"/>
      <c r="T5802" s="94"/>
      <c r="U5802" s="94"/>
      <c r="V5802" s="94"/>
      <c r="W5802" s="94"/>
      <c r="X5802" s="94"/>
      <c r="Y5802" s="94"/>
      <c r="Z5802" s="94"/>
      <c r="AA5802" s="94"/>
      <c r="AB5802" s="94"/>
      <c r="AC5802" s="94"/>
      <c r="AD5802" s="94"/>
      <c r="AE5802" s="94"/>
      <c r="AF5802" s="94"/>
      <c r="AG5802" s="94"/>
      <c r="AH5802" s="94"/>
    </row>
    <row r="5803" ht="12.75" hidden="1" customHeight="1" outlineLevel="1">
      <c r="A5803" s="122">
        <v>42033.0</v>
      </c>
      <c r="B5803" s="32" t="s">
        <v>347</v>
      </c>
      <c r="C5803" s="32" t="s">
        <v>790</v>
      </c>
      <c r="D5803" s="708">
        <v>2000.0</v>
      </c>
      <c r="E5803" s="195">
        <v>6.48</v>
      </c>
      <c r="F5803" s="709">
        <v>0.5556018518518518</v>
      </c>
      <c r="G5803" s="195" t="s">
        <v>453</v>
      </c>
      <c r="H5803" s="710">
        <v>10.29</v>
      </c>
      <c r="I5803" s="256"/>
      <c r="J5803" s="67">
        <f t="shared" si="361"/>
        <v>12949.71</v>
      </c>
      <c r="L5803" s="70"/>
      <c r="M5803" s="934"/>
      <c r="N5803" s="94"/>
      <c r="O5803" s="94"/>
      <c r="P5803" s="94"/>
      <c r="Q5803" s="94"/>
      <c r="R5803" s="94"/>
      <c r="S5803" s="94"/>
      <c r="T5803" s="94"/>
      <c r="U5803" s="94"/>
      <c r="V5803" s="94"/>
      <c r="W5803" s="94"/>
      <c r="X5803" s="94"/>
      <c r="Y5803" s="94"/>
      <c r="Z5803" s="94"/>
      <c r="AA5803" s="94"/>
      <c r="AB5803" s="94"/>
      <c r="AC5803" s="94"/>
      <c r="AD5803" s="94"/>
      <c r="AE5803" s="94"/>
      <c r="AF5803" s="94"/>
      <c r="AG5803" s="94"/>
      <c r="AH5803" s="94"/>
    </row>
    <row r="5804" ht="12.75" hidden="1" customHeight="1" outlineLevel="1">
      <c r="A5804" s="122">
        <v>42033.0</v>
      </c>
      <c r="B5804" s="32" t="s">
        <v>343</v>
      </c>
      <c r="C5804" s="32" t="s">
        <v>1158</v>
      </c>
      <c r="D5804" s="708">
        <v>200.0</v>
      </c>
      <c r="E5804" s="195">
        <v>49.88</v>
      </c>
      <c r="F5804" s="709">
        <v>0.6322106481481482</v>
      </c>
      <c r="G5804" s="195" t="s">
        <v>453</v>
      </c>
      <c r="H5804" s="710">
        <v>1.0</v>
      </c>
      <c r="I5804" s="256"/>
      <c r="J5804" s="67">
        <f t="shared" si="361"/>
        <v>-9977</v>
      </c>
      <c r="L5804" s="70"/>
      <c r="M5804" s="934"/>
      <c r="N5804" s="94"/>
      <c r="O5804" s="94"/>
      <c r="P5804" s="94"/>
      <c r="Q5804" s="94"/>
      <c r="R5804" s="94"/>
      <c r="S5804" s="94"/>
      <c r="T5804" s="94"/>
      <c r="U5804" s="94"/>
      <c r="V5804" s="94"/>
      <c r="W5804" s="94"/>
      <c r="X5804" s="94"/>
      <c r="Y5804" s="94"/>
      <c r="Z5804" s="94"/>
      <c r="AA5804" s="94"/>
      <c r="AB5804" s="94"/>
      <c r="AC5804" s="94"/>
      <c r="AD5804" s="94"/>
      <c r="AE5804" s="94"/>
      <c r="AF5804" s="94"/>
      <c r="AG5804" s="94"/>
      <c r="AH5804" s="94"/>
    </row>
    <row r="5805" ht="12.75" hidden="1" customHeight="1" outlineLevel="1">
      <c r="A5805" s="122">
        <v>42034.0</v>
      </c>
      <c r="B5805" s="32" t="s">
        <v>347</v>
      </c>
      <c r="C5805" s="32" t="s">
        <v>784</v>
      </c>
      <c r="D5805" s="708">
        <v>2000.0</v>
      </c>
      <c r="E5805" s="195">
        <v>6.87</v>
      </c>
      <c r="F5805" s="709">
        <v>0.49571759259259257</v>
      </c>
      <c r="G5805" s="195" t="s">
        <v>453</v>
      </c>
      <c r="H5805" s="710">
        <v>10.3</v>
      </c>
      <c r="I5805" s="256"/>
      <c r="J5805" s="67">
        <f t="shared" si="361"/>
        <v>13729.7</v>
      </c>
      <c r="L5805" s="70"/>
      <c r="M5805" s="934"/>
      <c r="N5805" s="94"/>
      <c r="O5805" s="94"/>
      <c r="P5805" s="94"/>
      <c r="Q5805" s="94"/>
      <c r="R5805" s="94"/>
      <c r="S5805" s="94"/>
      <c r="T5805" s="94"/>
      <c r="U5805" s="94"/>
      <c r="V5805" s="94"/>
      <c r="W5805" s="94"/>
      <c r="X5805" s="94"/>
      <c r="Y5805" s="94"/>
      <c r="Z5805" s="94"/>
      <c r="AA5805" s="94"/>
      <c r="AB5805" s="94"/>
      <c r="AC5805" s="94"/>
      <c r="AD5805" s="94"/>
      <c r="AE5805" s="94"/>
      <c r="AF5805" s="94"/>
      <c r="AG5805" s="94"/>
      <c r="AH5805" s="94"/>
    </row>
    <row r="5806" ht="12.75" hidden="1" customHeight="1" outlineLevel="1">
      <c r="A5806" s="122">
        <v>42034.0</v>
      </c>
      <c r="B5806" s="32" t="s">
        <v>347</v>
      </c>
      <c r="C5806" s="32" t="s">
        <v>790</v>
      </c>
      <c r="D5806" s="708">
        <v>1000.0</v>
      </c>
      <c r="E5806" s="195">
        <v>5.9</v>
      </c>
      <c r="F5806" s="709">
        <v>0.49605324074074075</v>
      </c>
      <c r="G5806" s="195" t="s">
        <v>453</v>
      </c>
      <c r="H5806" s="710">
        <v>4.13</v>
      </c>
      <c r="I5806" s="256"/>
      <c r="J5806" s="67">
        <f t="shared" si="361"/>
        <v>5895.87</v>
      </c>
      <c r="L5806" s="70"/>
      <c r="M5806" s="934"/>
      <c r="N5806" s="94"/>
      <c r="O5806" s="94"/>
      <c r="P5806" s="94"/>
      <c r="Q5806" s="94"/>
      <c r="R5806" s="94"/>
      <c r="S5806" s="94"/>
      <c r="T5806" s="94"/>
      <c r="U5806" s="94"/>
      <c r="V5806" s="94"/>
      <c r="W5806" s="94"/>
      <c r="X5806" s="94"/>
      <c r="Y5806" s="94"/>
      <c r="Z5806" s="94"/>
      <c r="AA5806" s="94"/>
      <c r="AB5806" s="94"/>
      <c r="AC5806" s="94"/>
      <c r="AD5806" s="94"/>
      <c r="AE5806" s="94"/>
      <c r="AF5806" s="94"/>
      <c r="AG5806" s="94"/>
      <c r="AH5806" s="94"/>
    </row>
    <row r="5807" ht="12.75" hidden="1" customHeight="1" outlineLevel="1">
      <c r="A5807" s="122">
        <v>42034.0</v>
      </c>
      <c r="B5807" s="32" t="s">
        <v>347</v>
      </c>
      <c r="C5807" s="32" t="s">
        <v>2048</v>
      </c>
      <c r="D5807" s="708">
        <v>1000.0</v>
      </c>
      <c r="E5807" s="195">
        <v>10.34</v>
      </c>
      <c r="F5807" s="709">
        <v>0.4961689814814815</v>
      </c>
      <c r="G5807" s="195" t="s">
        <v>453</v>
      </c>
      <c r="H5807" s="710">
        <v>5.23</v>
      </c>
      <c r="I5807" s="256"/>
      <c r="J5807" s="67">
        <f t="shared" si="361"/>
        <v>10334.77</v>
      </c>
      <c r="L5807" s="70"/>
      <c r="M5807" s="934"/>
      <c r="N5807" s="94"/>
      <c r="O5807" s="94"/>
      <c r="P5807" s="94"/>
      <c r="Q5807" s="94"/>
      <c r="R5807" s="94"/>
      <c r="S5807" s="94"/>
      <c r="T5807" s="94"/>
      <c r="U5807" s="94"/>
      <c r="V5807" s="94"/>
      <c r="W5807" s="94"/>
      <c r="X5807" s="94"/>
      <c r="Y5807" s="94"/>
      <c r="Z5807" s="94"/>
      <c r="AA5807" s="94"/>
      <c r="AB5807" s="94"/>
      <c r="AC5807" s="94"/>
      <c r="AD5807" s="94"/>
      <c r="AE5807" s="94"/>
      <c r="AF5807" s="94"/>
      <c r="AG5807" s="94"/>
      <c r="AH5807" s="94"/>
    </row>
    <row r="5808" ht="12.75" hidden="1" customHeight="1" outlineLevel="1">
      <c r="A5808" s="122">
        <v>42034.0</v>
      </c>
      <c r="B5808" s="32" t="s">
        <v>347</v>
      </c>
      <c r="C5808" s="32" t="s">
        <v>2192</v>
      </c>
      <c r="D5808" s="708">
        <v>1000.0</v>
      </c>
      <c r="E5808" s="195">
        <v>10.0</v>
      </c>
      <c r="F5808" s="709">
        <v>0.49636574074074075</v>
      </c>
      <c r="G5808" s="195" t="s">
        <v>453</v>
      </c>
      <c r="H5808" s="710">
        <v>5.22</v>
      </c>
      <c r="I5808" s="256"/>
      <c r="J5808" s="67">
        <f t="shared" si="361"/>
        <v>9994.78</v>
      </c>
      <c r="L5808" s="70"/>
      <c r="M5808" s="934"/>
      <c r="N5808" s="94"/>
      <c r="O5808" s="94"/>
      <c r="P5808" s="94"/>
      <c r="Q5808" s="94"/>
      <c r="R5808" s="94"/>
      <c r="S5808" s="94"/>
      <c r="T5808" s="94"/>
      <c r="U5808" s="94"/>
      <c r="V5808" s="94"/>
      <c r="W5808" s="94"/>
      <c r="X5808" s="94"/>
      <c r="Y5808" s="94"/>
      <c r="Z5808" s="94"/>
      <c r="AA5808" s="94"/>
      <c r="AB5808" s="94"/>
      <c r="AC5808" s="94"/>
      <c r="AD5808" s="94"/>
      <c r="AE5808" s="94"/>
      <c r="AF5808" s="94"/>
      <c r="AG5808" s="94"/>
      <c r="AH5808" s="94"/>
    </row>
    <row r="5809" ht="12.75" hidden="1" customHeight="1" outlineLevel="1">
      <c r="A5809" s="122">
        <v>42034.0</v>
      </c>
      <c r="B5809" s="32" t="s">
        <v>347</v>
      </c>
      <c r="C5809" s="32" t="s">
        <v>1844</v>
      </c>
      <c r="D5809" s="708">
        <v>300.0</v>
      </c>
      <c r="E5809" s="195">
        <v>42.39</v>
      </c>
      <c r="F5809" s="709">
        <v>0.4965162037037037</v>
      </c>
      <c r="G5809" s="195" t="s">
        <v>453</v>
      </c>
      <c r="H5809" s="710">
        <v>1.48</v>
      </c>
      <c r="I5809" s="256"/>
      <c r="J5809" s="67">
        <f t="shared" si="361"/>
        <v>12715.52</v>
      </c>
      <c r="L5809" s="70"/>
      <c r="M5809" s="934"/>
      <c r="N5809" s="94"/>
      <c r="O5809" s="94"/>
      <c r="P5809" s="94"/>
      <c r="Q5809" s="94"/>
      <c r="R5809" s="94"/>
      <c r="S5809" s="94"/>
      <c r="T5809" s="94"/>
      <c r="U5809" s="94"/>
      <c r="V5809" s="94"/>
      <c r="W5809" s="94"/>
      <c r="X5809" s="94"/>
      <c r="Y5809" s="94"/>
      <c r="Z5809" s="94"/>
      <c r="AA5809" s="94"/>
      <c r="AB5809" s="94"/>
      <c r="AC5809" s="94"/>
      <c r="AD5809" s="94"/>
      <c r="AE5809" s="94"/>
      <c r="AF5809" s="94"/>
      <c r="AG5809" s="94"/>
      <c r="AH5809" s="94"/>
    </row>
    <row r="5810" ht="12.75" hidden="1" customHeight="1" outlineLevel="1">
      <c r="A5810" s="122">
        <v>42034.0</v>
      </c>
      <c r="B5810" s="32" t="s">
        <v>347</v>
      </c>
      <c r="C5810" s="32" t="s">
        <v>1382</v>
      </c>
      <c r="D5810" s="708">
        <v>200.0</v>
      </c>
      <c r="E5810" s="195">
        <v>145.83</v>
      </c>
      <c r="F5810" s="709">
        <v>0.6578356481481481</v>
      </c>
      <c r="G5810" s="195" t="s">
        <v>453</v>
      </c>
      <c r="H5810" s="710">
        <v>1.64</v>
      </c>
      <c r="I5810" s="256"/>
      <c r="J5810" s="67">
        <f t="shared" si="361"/>
        <v>29164.36</v>
      </c>
      <c r="L5810" s="70"/>
      <c r="M5810" s="934"/>
      <c r="N5810" s="94"/>
      <c r="O5810" s="94"/>
      <c r="P5810" s="94"/>
      <c r="Q5810" s="94"/>
      <c r="R5810" s="94"/>
      <c r="S5810" s="94"/>
      <c r="T5810" s="94"/>
      <c r="U5810" s="94"/>
      <c r="V5810" s="94"/>
      <c r="W5810" s="94"/>
      <c r="X5810" s="94"/>
      <c r="Y5810" s="94"/>
      <c r="Z5810" s="94"/>
      <c r="AA5810" s="94"/>
      <c r="AB5810" s="94"/>
      <c r="AC5810" s="94"/>
      <c r="AD5810" s="94"/>
      <c r="AE5810" s="94"/>
      <c r="AF5810" s="94"/>
      <c r="AG5810" s="94"/>
      <c r="AH5810" s="94"/>
    </row>
    <row r="5811" ht="12.75" hidden="1" customHeight="1" outlineLevel="1">
      <c r="A5811" s="882">
        <v>42034.0</v>
      </c>
      <c r="B5811" s="1"/>
      <c r="C5811" s="1" t="s">
        <v>339</v>
      </c>
      <c r="D5811" s="74"/>
      <c r="E5811" s="67"/>
      <c r="F5811" s="75"/>
      <c r="G5811" s="67"/>
      <c r="H5811" s="68"/>
      <c r="I5811" s="76"/>
      <c r="J5811" s="67"/>
      <c r="K5811" s="967" t="s">
        <v>2798</v>
      </c>
      <c r="L5811" s="934"/>
      <c r="M5811" s="934"/>
    </row>
    <row r="5812" ht="12.75" hidden="1" customHeight="1" outlineLevel="1">
      <c r="A5812" s="882">
        <v>42034.0</v>
      </c>
      <c r="B5812" s="1"/>
      <c r="C5812" s="1" t="s">
        <v>429</v>
      </c>
      <c r="D5812" s="74"/>
      <c r="E5812" s="67"/>
      <c r="F5812" s="75"/>
      <c r="G5812" s="67"/>
      <c r="H5812" s="68"/>
      <c r="I5812" s="76"/>
      <c r="J5812" s="67"/>
      <c r="K5812" s="9" t="s">
        <v>2795</v>
      </c>
      <c r="L5812" s="934"/>
      <c r="M5812" s="934"/>
    </row>
    <row r="5813" ht="12.75" hidden="1" customHeight="1" outlineLevel="1">
      <c r="A5813" s="882">
        <v>42034.0</v>
      </c>
      <c r="B5813" s="1"/>
      <c r="C5813" s="1" t="s">
        <v>431</v>
      </c>
      <c r="D5813" s="74"/>
      <c r="E5813" s="67"/>
      <c r="F5813" s="75"/>
      <c r="G5813" s="67"/>
      <c r="H5813" s="68"/>
      <c r="I5813" s="76"/>
      <c r="J5813" s="67"/>
      <c r="K5813" s="7" t="s">
        <v>1126</v>
      </c>
      <c r="L5813" s="934"/>
      <c r="M5813" s="934"/>
    </row>
    <row r="5814" ht="12.75" hidden="1" customHeight="1" outlineLevel="1">
      <c r="A5814" s="882">
        <v>42034.0</v>
      </c>
      <c r="B5814" s="1"/>
      <c r="C5814" s="1" t="s">
        <v>433</v>
      </c>
      <c r="D5814" s="74"/>
      <c r="E5814" s="67"/>
      <c r="F5814" s="75"/>
      <c r="G5814" s="67"/>
      <c r="H5814" s="68"/>
      <c r="I5814" s="76"/>
      <c r="J5814" s="67"/>
      <c r="K5814" s="7" t="s">
        <v>1103</v>
      </c>
      <c r="L5814" s="934"/>
      <c r="M5814" s="934"/>
    </row>
    <row r="5815" ht="12.75" hidden="1" customHeight="1" outlineLevel="1">
      <c r="A5815" s="882">
        <v>42034.0</v>
      </c>
      <c r="B5815" s="1"/>
      <c r="C5815" s="1" t="s">
        <v>435</v>
      </c>
      <c r="D5815" s="74"/>
      <c r="E5815" s="67"/>
      <c r="F5815" s="75"/>
      <c r="G5815" s="67"/>
      <c r="H5815" s="68"/>
      <c r="I5815" s="76"/>
      <c r="J5815" s="67"/>
      <c r="K5815" s="9" t="s">
        <v>2486</v>
      </c>
      <c r="L5815" s="934"/>
      <c r="M5815" s="934"/>
    </row>
    <row r="5816" ht="12.75" hidden="1" customHeight="1" outlineLevel="1">
      <c r="A5816" s="122">
        <v>42037.0</v>
      </c>
      <c r="B5816" s="32" t="s">
        <v>343</v>
      </c>
      <c r="C5816" s="32" t="s">
        <v>784</v>
      </c>
      <c r="D5816" s="708">
        <v>2000.0</v>
      </c>
      <c r="E5816" s="195">
        <v>7.26</v>
      </c>
      <c r="F5816" s="709">
        <v>0.4829861111111111</v>
      </c>
      <c r="G5816" s="195" t="s">
        <v>453</v>
      </c>
      <c r="H5816" s="710">
        <v>10.0</v>
      </c>
      <c r="I5816" s="256"/>
      <c r="J5816" s="67">
        <f t="shared" ref="J5816:J5851" si="362">IF(B5816="SLD",D5816*E5816,-D5816*E5816)-H5816</f>
        <v>-14530</v>
      </c>
      <c r="L5816" s="70"/>
      <c r="M5816" s="934"/>
      <c r="N5816" s="94"/>
      <c r="O5816" s="94"/>
      <c r="P5816" s="94"/>
      <c r="Q5816" s="94"/>
      <c r="R5816" s="94"/>
      <c r="S5816" s="94"/>
      <c r="T5816" s="94"/>
      <c r="U5816" s="94"/>
      <c r="V5816" s="94"/>
      <c r="W5816" s="94"/>
      <c r="X5816" s="94"/>
      <c r="Y5816" s="94"/>
      <c r="Z5816" s="94"/>
      <c r="AA5816" s="94"/>
      <c r="AB5816" s="94"/>
      <c r="AC5816" s="94"/>
      <c r="AD5816" s="94"/>
      <c r="AE5816" s="94"/>
      <c r="AF5816" s="94"/>
      <c r="AG5816" s="94"/>
      <c r="AH5816" s="94"/>
    </row>
    <row r="5817" ht="12.75" hidden="1" customHeight="1" outlineLevel="1">
      <c r="A5817" s="122">
        <v>42037.0</v>
      </c>
      <c r="B5817" s="32" t="s">
        <v>343</v>
      </c>
      <c r="C5817" s="32" t="s">
        <v>790</v>
      </c>
      <c r="D5817" s="708">
        <v>2000.0</v>
      </c>
      <c r="E5817" s="195">
        <v>6.16</v>
      </c>
      <c r="F5817" s="709">
        <v>0.4831828703703704</v>
      </c>
      <c r="G5817" s="195" t="s">
        <v>453</v>
      </c>
      <c r="H5817" s="710">
        <v>10.0</v>
      </c>
      <c r="I5817" s="256"/>
      <c r="J5817" s="67">
        <f t="shared" si="362"/>
        <v>-12330</v>
      </c>
      <c r="L5817" s="70"/>
      <c r="M5817" s="934"/>
      <c r="N5817" s="94"/>
      <c r="O5817" s="94"/>
      <c r="P5817" s="94"/>
      <c r="Q5817" s="94"/>
      <c r="R5817" s="94"/>
      <c r="S5817" s="94"/>
      <c r="T5817" s="94"/>
      <c r="U5817" s="94"/>
      <c r="V5817" s="94"/>
      <c r="W5817" s="94"/>
      <c r="X5817" s="94"/>
      <c r="Y5817" s="94"/>
      <c r="Z5817" s="94"/>
      <c r="AA5817" s="94"/>
      <c r="AB5817" s="94"/>
      <c r="AC5817" s="94"/>
      <c r="AD5817" s="94"/>
      <c r="AE5817" s="94"/>
      <c r="AF5817" s="94"/>
      <c r="AG5817" s="94"/>
      <c r="AH5817" s="94"/>
    </row>
    <row r="5818" ht="12.75" hidden="1" customHeight="1" outlineLevel="1">
      <c r="A5818" s="122">
        <v>42037.0</v>
      </c>
      <c r="B5818" s="32" t="s">
        <v>343</v>
      </c>
      <c r="C5818" s="32" t="s">
        <v>369</v>
      </c>
      <c r="D5818" s="708">
        <v>2000.0</v>
      </c>
      <c r="E5818" s="195">
        <v>6.75</v>
      </c>
      <c r="F5818" s="709">
        <v>0.48344907407407406</v>
      </c>
      <c r="G5818" s="195" t="s">
        <v>453</v>
      </c>
      <c r="H5818" s="710">
        <v>10.0</v>
      </c>
      <c r="I5818" s="256"/>
      <c r="J5818" s="67">
        <f t="shared" si="362"/>
        <v>-13510</v>
      </c>
      <c r="L5818" s="70"/>
      <c r="M5818" s="934"/>
      <c r="N5818" s="94"/>
      <c r="O5818" s="94"/>
      <c r="P5818" s="94"/>
      <c r="Q5818" s="94"/>
      <c r="R5818" s="94"/>
      <c r="S5818" s="94"/>
      <c r="T5818" s="94"/>
      <c r="U5818" s="94"/>
      <c r="V5818" s="94"/>
      <c r="W5818" s="94"/>
      <c r="X5818" s="94"/>
      <c r="Y5818" s="94"/>
      <c r="Z5818" s="94"/>
      <c r="AA5818" s="94"/>
      <c r="AB5818" s="94"/>
      <c r="AC5818" s="94"/>
      <c r="AD5818" s="94"/>
      <c r="AE5818" s="94"/>
      <c r="AF5818" s="94"/>
      <c r="AG5818" s="94"/>
      <c r="AH5818" s="94"/>
    </row>
    <row r="5819" ht="12.75" hidden="1" customHeight="1" outlineLevel="1">
      <c r="A5819" s="122">
        <v>42037.0</v>
      </c>
      <c r="B5819" s="32" t="s">
        <v>343</v>
      </c>
      <c r="C5819" s="32" t="s">
        <v>1844</v>
      </c>
      <c r="D5819" s="708">
        <v>200.0</v>
      </c>
      <c r="E5819" s="195">
        <v>46.387</v>
      </c>
      <c r="F5819" s="709">
        <v>0.4836574074074074</v>
      </c>
      <c r="G5819" s="195" t="s">
        <v>453</v>
      </c>
      <c r="H5819" s="710">
        <v>1.0</v>
      </c>
      <c r="I5819" s="256"/>
      <c r="J5819" s="67">
        <f t="shared" si="362"/>
        <v>-9278.4</v>
      </c>
      <c r="L5819" s="70"/>
      <c r="M5819" s="934"/>
      <c r="N5819" s="94"/>
      <c r="O5819" s="94"/>
      <c r="P5819" s="94"/>
      <c r="Q5819" s="94"/>
      <c r="R5819" s="94"/>
      <c r="S5819" s="94"/>
      <c r="T5819" s="94"/>
      <c r="U5819" s="94"/>
      <c r="V5819" s="94"/>
      <c r="W5819" s="94"/>
      <c r="X5819" s="94"/>
      <c r="Y5819" s="94"/>
      <c r="Z5819" s="94"/>
      <c r="AA5819" s="94"/>
      <c r="AB5819" s="94"/>
      <c r="AC5819" s="94"/>
      <c r="AD5819" s="94"/>
      <c r="AE5819" s="94"/>
      <c r="AF5819" s="94"/>
      <c r="AG5819" s="94"/>
      <c r="AH5819" s="94"/>
    </row>
    <row r="5820" ht="12.75" hidden="1" customHeight="1" outlineLevel="1">
      <c r="A5820" s="122">
        <v>42037.0</v>
      </c>
      <c r="B5820" s="32" t="s">
        <v>343</v>
      </c>
      <c r="C5820" s="32" t="s">
        <v>2048</v>
      </c>
      <c r="D5820" s="708">
        <v>1000.0</v>
      </c>
      <c r="E5820" s="195">
        <v>11.42</v>
      </c>
      <c r="F5820" s="709">
        <v>0.48417824074074073</v>
      </c>
      <c r="G5820" s="195" t="s">
        <v>453</v>
      </c>
      <c r="H5820" s="710">
        <v>5.0</v>
      </c>
      <c r="I5820" s="256"/>
      <c r="J5820" s="67">
        <f t="shared" si="362"/>
        <v>-11425</v>
      </c>
      <c r="L5820" s="70"/>
      <c r="M5820" s="934"/>
      <c r="N5820" s="94"/>
      <c r="O5820" s="94"/>
      <c r="P5820" s="94"/>
      <c r="Q5820" s="94"/>
      <c r="R5820" s="94"/>
      <c r="S5820" s="94"/>
      <c r="T5820" s="94"/>
      <c r="U5820" s="94"/>
      <c r="V5820" s="94"/>
      <c r="W5820" s="94"/>
      <c r="X5820" s="94"/>
      <c r="Y5820" s="94"/>
      <c r="Z5820" s="94"/>
      <c r="AA5820" s="94"/>
      <c r="AB5820" s="94"/>
      <c r="AC5820" s="94"/>
      <c r="AD5820" s="94"/>
      <c r="AE5820" s="94"/>
      <c r="AF5820" s="94"/>
      <c r="AG5820" s="94"/>
      <c r="AH5820" s="94"/>
    </row>
    <row r="5821" ht="12.75" hidden="1" customHeight="1" outlineLevel="1">
      <c r="A5821" s="122">
        <v>42037.0</v>
      </c>
      <c r="B5821" s="32" t="s">
        <v>343</v>
      </c>
      <c r="C5821" s="32" t="s">
        <v>2192</v>
      </c>
      <c r="D5821" s="708">
        <v>1000.0</v>
      </c>
      <c r="E5821" s="195">
        <v>10.589</v>
      </c>
      <c r="F5821" s="709">
        <v>0.484375</v>
      </c>
      <c r="G5821" s="195" t="s">
        <v>453</v>
      </c>
      <c r="H5821" s="710">
        <v>4.0</v>
      </c>
      <c r="I5821" s="256"/>
      <c r="J5821" s="67">
        <f t="shared" si="362"/>
        <v>-10593</v>
      </c>
      <c r="L5821" s="70"/>
      <c r="M5821" s="934"/>
      <c r="N5821" s="94"/>
      <c r="O5821" s="94"/>
      <c r="P5821" s="94"/>
      <c r="Q5821" s="94"/>
      <c r="R5821" s="94"/>
      <c r="S5821" s="94"/>
      <c r="T5821" s="94"/>
      <c r="U5821" s="94"/>
      <c r="V5821" s="94"/>
      <c r="W5821" s="94"/>
      <c r="X5821" s="94"/>
      <c r="Y5821" s="94"/>
      <c r="Z5821" s="94"/>
      <c r="AA5821" s="94"/>
      <c r="AB5821" s="94"/>
      <c r="AC5821" s="94"/>
      <c r="AD5821" s="94"/>
      <c r="AE5821" s="94"/>
      <c r="AF5821" s="94"/>
      <c r="AG5821" s="94"/>
      <c r="AH5821" s="94"/>
    </row>
    <row r="5822" ht="12.75" hidden="1" customHeight="1" outlineLevel="1">
      <c r="A5822" s="122">
        <v>42037.0</v>
      </c>
      <c r="B5822" s="32" t="s">
        <v>343</v>
      </c>
      <c r="C5822" s="32" t="s">
        <v>784</v>
      </c>
      <c r="D5822" s="708">
        <v>4000.0</v>
      </c>
      <c r="E5822" s="195">
        <v>7.29</v>
      </c>
      <c r="F5822" s="709">
        <v>0.49126157407407406</v>
      </c>
      <c r="G5822" s="195" t="s">
        <v>453</v>
      </c>
      <c r="H5822" s="710">
        <v>18.1</v>
      </c>
      <c r="I5822" s="256"/>
      <c r="J5822" s="67">
        <f t="shared" si="362"/>
        <v>-29178.1</v>
      </c>
      <c r="L5822" s="70"/>
      <c r="M5822" s="934"/>
      <c r="N5822" s="94"/>
      <c r="O5822" s="94"/>
      <c r="P5822" s="94"/>
      <c r="Q5822" s="94"/>
      <c r="R5822" s="94"/>
      <c r="S5822" s="94"/>
      <c r="T5822" s="94"/>
      <c r="U5822" s="94"/>
      <c r="V5822" s="94"/>
      <c r="W5822" s="94"/>
      <c r="X5822" s="94"/>
      <c r="Y5822" s="94"/>
      <c r="Z5822" s="94"/>
      <c r="AA5822" s="94"/>
      <c r="AB5822" s="94"/>
      <c r="AC5822" s="94"/>
      <c r="AD5822" s="94"/>
      <c r="AE5822" s="94"/>
      <c r="AF5822" s="94"/>
      <c r="AG5822" s="94"/>
      <c r="AH5822" s="94"/>
    </row>
    <row r="5823" ht="12.75" hidden="1" customHeight="1" outlineLevel="1">
      <c r="A5823" s="122">
        <v>42037.0</v>
      </c>
      <c r="B5823" s="32" t="s">
        <v>343</v>
      </c>
      <c r="C5823" s="32" t="s">
        <v>790</v>
      </c>
      <c r="D5823" s="708">
        <v>4000.0</v>
      </c>
      <c r="E5823" s="195">
        <v>6.15</v>
      </c>
      <c r="F5823" s="709">
        <v>0.49157407407407405</v>
      </c>
      <c r="G5823" s="195" t="s">
        <v>453</v>
      </c>
      <c r="H5823" s="710">
        <v>17.3</v>
      </c>
      <c r="I5823" s="256"/>
      <c r="J5823" s="67">
        <f t="shared" si="362"/>
        <v>-24617.3</v>
      </c>
      <c r="L5823" s="70"/>
      <c r="M5823" s="934"/>
      <c r="N5823" s="94"/>
      <c r="O5823" s="94"/>
      <c r="P5823" s="94"/>
      <c r="Q5823" s="94"/>
      <c r="R5823" s="94"/>
      <c r="S5823" s="94"/>
      <c r="T5823" s="94"/>
      <c r="U5823" s="94"/>
      <c r="V5823" s="94"/>
      <c r="W5823" s="94"/>
      <c r="X5823" s="94"/>
      <c r="Y5823" s="94"/>
      <c r="Z5823" s="94"/>
      <c r="AA5823" s="94"/>
      <c r="AB5823" s="94"/>
      <c r="AC5823" s="94"/>
      <c r="AD5823" s="94"/>
      <c r="AE5823" s="94"/>
      <c r="AF5823" s="94"/>
      <c r="AG5823" s="94"/>
      <c r="AH5823" s="94"/>
    </row>
    <row r="5824" ht="12.75" hidden="1" customHeight="1" outlineLevel="1">
      <c r="A5824" s="122">
        <v>42037.0</v>
      </c>
      <c r="B5824" s="32" t="s">
        <v>343</v>
      </c>
      <c r="C5824" s="32" t="s">
        <v>2048</v>
      </c>
      <c r="D5824" s="708">
        <v>2000.0</v>
      </c>
      <c r="E5824" s="195">
        <v>11.517</v>
      </c>
      <c r="F5824" s="709">
        <v>0.49234953703703704</v>
      </c>
      <c r="G5824" s="195" t="s">
        <v>453</v>
      </c>
      <c r="H5824" s="710">
        <v>9.9</v>
      </c>
      <c r="I5824" s="256"/>
      <c r="J5824" s="67">
        <f t="shared" si="362"/>
        <v>-23043.9</v>
      </c>
      <c r="L5824" s="70"/>
      <c r="M5824" s="934"/>
      <c r="N5824" s="94"/>
      <c r="O5824" s="94"/>
      <c r="P5824" s="94"/>
      <c r="Q5824" s="94"/>
      <c r="R5824" s="94"/>
      <c r="S5824" s="94"/>
      <c r="T5824" s="94"/>
      <c r="U5824" s="94"/>
      <c r="V5824" s="94"/>
      <c r="W5824" s="94"/>
      <c r="X5824" s="94"/>
      <c r="Y5824" s="94"/>
      <c r="Z5824" s="94"/>
      <c r="AA5824" s="94"/>
      <c r="AB5824" s="94"/>
      <c r="AC5824" s="94"/>
      <c r="AD5824" s="94"/>
      <c r="AE5824" s="94"/>
      <c r="AF5824" s="94"/>
      <c r="AG5824" s="94"/>
      <c r="AH5824" s="94"/>
    </row>
    <row r="5825" ht="12.75" hidden="1" customHeight="1" outlineLevel="1">
      <c r="A5825" s="122">
        <v>42037.0</v>
      </c>
      <c r="B5825" s="32" t="s">
        <v>343</v>
      </c>
      <c r="C5825" s="32" t="s">
        <v>2192</v>
      </c>
      <c r="D5825" s="708">
        <v>2000.0</v>
      </c>
      <c r="E5825" s="195">
        <v>10.64</v>
      </c>
      <c r="F5825" s="709">
        <v>0.4925462962962963</v>
      </c>
      <c r="G5825" s="195" t="s">
        <v>453</v>
      </c>
      <c r="H5825" s="710">
        <v>10.0</v>
      </c>
      <c r="I5825" s="256"/>
      <c r="J5825" s="67">
        <f t="shared" si="362"/>
        <v>-21290</v>
      </c>
      <c r="L5825" s="70"/>
      <c r="M5825" s="934"/>
      <c r="N5825" s="94"/>
      <c r="O5825" s="94"/>
      <c r="P5825" s="94"/>
      <c r="Q5825" s="94"/>
      <c r="R5825" s="94"/>
      <c r="S5825" s="94"/>
      <c r="T5825" s="94"/>
      <c r="U5825" s="94"/>
      <c r="V5825" s="94"/>
      <c r="W5825" s="94"/>
      <c r="X5825" s="94"/>
      <c r="Y5825" s="94"/>
      <c r="Z5825" s="94"/>
      <c r="AA5825" s="94"/>
      <c r="AB5825" s="94"/>
      <c r="AC5825" s="94"/>
      <c r="AD5825" s="94"/>
      <c r="AE5825" s="94"/>
      <c r="AF5825" s="94"/>
      <c r="AG5825" s="94"/>
      <c r="AH5825" s="94"/>
    </row>
    <row r="5826" ht="12.75" hidden="1" customHeight="1" outlineLevel="1">
      <c r="A5826" s="122">
        <v>42037.0</v>
      </c>
      <c r="B5826" s="32" t="s">
        <v>343</v>
      </c>
      <c r="C5826" s="32" t="s">
        <v>1844</v>
      </c>
      <c r="D5826" s="708">
        <v>400.0</v>
      </c>
      <c r="E5826" s="195">
        <v>46.4922</v>
      </c>
      <c r="F5826" s="709">
        <v>0.49309027777777775</v>
      </c>
      <c r="G5826" s="195" t="s">
        <v>453</v>
      </c>
      <c r="H5826" s="710">
        <v>1.6</v>
      </c>
      <c r="I5826" s="256"/>
      <c r="J5826" s="67">
        <f t="shared" si="362"/>
        <v>-18598.48</v>
      </c>
      <c r="L5826" s="70"/>
      <c r="M5826" s="934"/>
      <c r="N5826" s="94"/>
      <c r="O5826" s="94"/>
      <c r="P5826" s="94"/>
      <c r="Q5826" s="94"/>
      <c r="R5826" s="94"/>
      <c r="S5826" s="94"/>
      <c r="T5826" s="94"/>
      <c r="U5826" s="94"/>
      <c r="V5826" s="94"/>
      <c r="W5826" s="94"/>
      <c r="X5826" s="94"/>
      <c r="Y5826" s="94"/>
      <c r="Z5826" s="94"/>
      <c r="AA5826" s="94"/>
      <c r="AB5826" s="94"/>
      <c r="AC5826" s="94"/>
      <c r="AD5826" s="94"/>
      <c r="AE5826" s="94"/>
      <c r="AF5826" s="94"/>
      <c r="AG5826" s="94"/>
      <c r="AH5826" s="94"/>
    </row>
    <row r="5827" ht="12.75" hidden="1" customHeight="1" outlineLevel="1">
      <c r="A5827" s="122">
        <v>42037.0</v>
      </c>
      <c r="B5827" s="32" t="s">
        <v>343</v>
      </c>
      <c r="C5827" s="32" t="s">
        <v>790</v>
      </c>
      <c r="D5827" s="708">
        <v>3000.0</v>
      </c>
      <c r="E5827" s="195">
        <v>6.159</v>
      </c>
      <c r="F5827" s="709">
        <v>0.4936226851851852</v>
      </c>
      <c r="G5827" s="195" t="s">
        <v>453</v>
      </c>
      <c r="H5827" s="710">
        <v>12.0</v>
      </c>
      <c r="I5827" s="256"/>
      <c r="J5827" s="67">
        <f t="shared" si="362"/>
        <v>-18489</v>
      </c>
      <c r="L5827" s="70"/>
      <c r="M5827" s="934"/>
      <c r="N5827" s="94"/>
      <c r="O5827" s="94"/>
      <c r="P5827" s="94"/>
      <c r="Q5827" s="94"/>
      <c r="R5827" s="94"/>
      <c r="S5827" s="94"/>
      <c r="T5827" s="94"/>
      <c r="U5827" s="94"/>
      <c r="V5827" s="94"/>
      <c r="W5827" s="94"/>
      <c r="X5827" s="94"/>
      <c r="Y5827" s="94"/>
      <c r="Z5827" s="94"/>
      <c r="AA5827" s="94"/>
      <c r="AB5827" s="94"/>
      <c r="AC5827" s="94"/>
      <c r="AD5827" s="94"/>
      <c r="AE5827" s="94"/>
      <c r="AF5827" s="94"/>
      <c r="AG5827" s="94"/>
      <c r="AH5827" s="94"/>
    </row>
    <row r="5828" ht="12.75" hidden="1" customHeight="1" outlineLevel="1">
      <c r="A5828" s="122">
        <v>42037.0</v>
      </c>
      <c r="B5828" s="32" t="s">
        <v>343</v>
      </c>
      <c r="C5828" s="32" t="s">
        <v>784</v>
      </c>
      <c r="D5828" s="708">
        <v>4000.0</v>
      </c>
      <c r="E5828" s="195">
        <v>7.319</v>
      </c>
      <c r="F5828" s="709">
        <v>0.49386574074074074</v>
      </c>
      <c r="G5828" s="195" t="s">
        <v>453</v>
      </c>
      <c r="H5828" s="710">
        <v>17.6</v>
      </c>
      <c r="I5828" s="256"/>
      <c r="J5828" s="67">
        <f t="shared" si="362"/>
        <v>-29293.6</v>
      </c>
      <c r="L5828" s="70"/>
      <c r="M5828" s="934"/>
      <c r="N5828" s="94"/>
      <c r="O5828" s="94"/>
      <c r="P5828" s="94"/>
      <c r="Q5828" s="94"/>
      <c r="R5828" s="94"/>
      <c r="S5828" s="94"/>
      <c r="T5828" s="94"/>
      <c r="U5828" s="94"/>
      <c r="V5828" s="94"/>
      <c r="W5828" s="94"/>
      <c r="X5828" s="94"/>
      <c r="Y5828" s="94"/>
      <c r="Z5828" s="94"/>
      <c r="AA5828" s="94"/>
      <c r="AB5828" s="94"/>
      <c r="AC5828" s="94"/>
      <c r="AD5828" s="94"/>
      <c r="AE5828" s="94"/>
      <c r="AF5828" s="94"/>
      <c r="AG5828" s="94"/>
      <c r="AH5828" s="94"/>
    </row>
    <row r="5829" ht="12.75" hidden="1" customHeight="1" outlineLevel="1">
      <c r="A5829" s="122">
        <v>42037.0</v>
      </c>
      <c r="B5829" s="32" t="s">
        <v>343</v>
      </c>
      <c r="C5829" s="32" t="s">
        <v>784</v>
      </c>
      <c r="D5829" s="708">
        <v>3000.0</v>
      </c>
      <c r="E5829" s="195">
        <v>7.309</v>
      </c>
      <c r="F5829" s="709">
        <v>0.49984953703703705</v>
      </c>
      <c r="G5829" s="195" t="s">
        <v>453</v>
      </c>
      <c r="H5829" s="710">
        <v>12.3</v>
      </c>
      <c r="I5829" s="256"/>
      <c r="J5829" s="67">
        <f t="shared" si="362"/>
        <v>-21939.3</v>
      </c>
      <c r="L5829" s="70"/>
      <c r="M5829" s="934"/>
      <c r="N5829" s="94"/>
      <c r="O5829" s="94"/>
      <c r="P5829" s="94"/>
      <c r="Q5829" s="94"/>
      <c r="R5829" s="94"/>
      <c r="S5829" s="94"/>
      <c r="T5829" s="94"/>
      <c r="U5829" s="94"/>
      <c r="V5829" s="94"/>
      <c r="W5829" s="94"/>
      <c r="X5829" s="94"/>
      <c r="Y5829" s="94"/>
      <c r="Z5829" s="94"/>
      <c r="AA5829" s="94"/>
      <c r="AB5829" s="94"/>
      <c r="AC5829" s="94"/>
      <c r="AD5829" s="94"/>
      <c r="AE5829" s="94"/>
      <c r="AF5829" s="94"/>
      <c r="AG5829" s="94"/>
      <c r="AH5829" s="94"/>
    </row>
    <row r="5830" ht="12.75" hidden="1" customHeight="1" outlineLevel="1">
      <c r="A5830" s="122">
        <v>42037.0</v>
      </c>
      <c r="B5830" s="32" t="s">
        <v>343</v>
      </c>
      <c r="C5830" s="32" t="s">
        <v>790</v>
      </c>
      <c r="D5830" s="708">
        <v>4000.0</v>
      </c>
      <c r="E5830" s="195">
        <v>6.177</v>
      </c>
      <c r="F5830" s="709">
        <v>0.5000231481481482</v>
      </c>
      <c r="G5830" s="195" t="s">
        <v>453</v>
      </c>
      <c r="H5830" s="710">
        <v>17.6</v>
      </c>
      <c r="I5830" s="256"/>
      <c r="J5830" s="67">
        <f t="shared" si="362"/>
        <v>-24725.6</v>
      </c>
      <c r="L5830" s="70"/>
      <c r="M5830" s="934"/>
      <c r="N5830" s="94"/>
      <c r="O5830" s="94"/>
      <c r="P5830" s="94"/>
      <c r="Q5830" s="94"/>
      <c r="R5830" s="94"/>
      <c r="S5830" s="94"/>
      <c r="T5830" s="94"/>
      <c r="U5830" s="94"/>
      <c r="V5830" s="94"/>
      <c r="W5830" s="94"/>
      <c r="X5830" s="94"/>
      <c r="Y5830" s="94"/>
      <c r="Z5830" s="94"/>
      <c r="AA5830" s="94"/>
      <c r="AB5830" s="94"/>
      <c r="AC5830" s="94"/>
      <c r="AD5830" s="94"/>
      <c r="AE5830" s="94"/>
      <c r="AF5830" s="94"/>
      <c r="AG5830" s="94"/>
      <c r="AH5830" s="94"/>
    </row>
    <row r="5831" ht="12.75" hidden="1" customHeight="1" outlineLevel="1">
      <c r="A5831" s="122">
        <v>42037.0</v>
      </c>
      <c r="B5831" s="32" t="s">
        <v>343</v>
      </c>
      <c r="C5831" s="32" t="s">
        <v>2048</v>
      </c>
      <c r="D5831" s="708">
        <v>1500.0</v>
      </c>
      <c r="E5831" s="195">
        <v>11.45</v>
      </c>
      <c r="F5831" s="709">
        <v>0.5002314814814814</v>
      </c>
      <c r="G5831" s="195" t="s">
        <v>453</v>
      </c>
      <c r="H5831" s="710">
        <v>7.4</v>
      </c>
      <c r="I5831" s="256"/>
      <c r="J5831" s="67">
        <f t="shared" si="362"/>
        <v>-17182.4</v>
      </c>
      <c r="L5831" s="70"/>
      <c r="M5831" s="934"/>
      <c r="N5831" s="94"/>
      <c r="O5831" s="94"/>
      <c r="P5831" s="94"/>
      <c r="Q5831" s="94"/>
      <c r="R5831" s="94"/>
      <c r="S5831" s="94"/>
      <c r="T5831" s="94"/>
      <c r="U5831" s="94"/>
      <c r="V5831" s="94"/>
      <c r="W5831" s="94"/>
      <c r="X5831" s="94"/>
      <c r="Y5831" s="94"/>
      <c r="Z5831" s="94"/>
      <c r="AA5831" s="94"/>
      <c r="AB5831" s="94"/>
      <c r="AC5831" s="94"/>
      <c r="AD5831" s="94"/>
      <c r="AE5831" s="94"/>
      <c r="AF5831" s="94"/>
      <c r="AG5831" s="94"/>
      <c r="AH5831" s="94"/>
    </row>
    <row r="5832" ht="12.75" hidden="1" customHeight="1" outlineLevel="1">
      <c r="A5832" s="122">
        <v>42037.0</v>
      </c>
      <c r="B5832" s="32" t="s">
        <v>343</v>
      </c>
      <c r="C5832" s="32" t="s">
        <v>2192</v>
      </c>
      <c r="D5832" s="708">
        <v>1500.0</v>
      </c>
      <c r="E5832" s="195">
        <v>10.569</v>
      </c>
      <c r="F5832" s="709">
        <v>0.5005208333333333</v>
      </c>
      <c r="G5832" s="195" t="s">
        <v>453</v>
      </c>
      <c r="H5832" s="710">
        <v>6.0</v>
      </c>
      <c r="I5832" s="256"/>
      <c r="J5832" s="67">
        <f t="shared" si="362"/>
        <v>-15859.5</v>
      </c>
      <c r="L5832" s="70"/>
      <c r="M5832" s="934"/>
      <c r="N5832" s="94"/>
      <c r="O5832" s="94"/>
      <c r="P5832" s="94"/>
      <c r="Q5832" s="94"/>
      <c r="R5832" s="94"/>
      <c r="S5832" s="94"/>
      <c r="T5832" s="94"/>
      <c r="U5832" s="94"/>
      <c r="V5832" s="94"/>
      <c r="W5832" s="94"/>
      <c r="X5832" s="94"/>
      <c r="Y5832" s="94"/>
      <c r="Z5832" s="94"/>
      <c r="AA5832" s="94"/>
      <c r="AB5832" s="94"/>
      <c r="AC5832" s="94"/>
      <c r="AD5832" s="94"/>
      <c r="AE5832" s="94"/>
      <c r="AF5832" s="94"/>
      <c r="AG5832" s="94"/>
      <c r="AH5832" s="94"/>
    </row>
    <row r="5833" ht="12.75" hidden="1" customHeight="1" outlineLevel="1">
      <c r="A5833" s="122">
        <v>42037.0</v>
      </c>
      <c r="B5833" s="32" t="s">
        <v>343</v>
      </c>
      <c r="C5833" s="32" t="s">
        <v>1844</v>
      </c>
      <c r="D5833" s="708">
        <v>200.0</v>
      </c>
      <c r="E5833" s="195">
        <v>46.466</v>
      </c>
      <c r="F5833" s="709">
        <v>0.5014930555555556</v>
      </c>
      <c r="G5833" s="195" t="s">
        <v>453</v>
      </c>
      <c r="H5833" s="710">
        <v>1.0</v>
      </c>
      <c r="I5833" s="256"/>
      <c r="J5833" s="67">
        <f t="shared" si="362"/>
        <v>-9294.2</v>
      </c>
      <c r="L5833" s="70"/>
      <c r="M5833" s="934"/>
      <c r="N5833" s="94"/>
      <c r="O5833" s="94"/>
      <c r="P5833" s="94"/>
      <c r="Q5833" s="94"/>
      <c r="R5833" s="94"/>
      <c r="S5833" s="94"/>
      <c r="T5833" s="94"/>
      <c r="U5833" s="94"/>
      <c r="V5833" s="94"/>
      <c r="W5833" s="94"/>
      <c r="X5833" s="94"/>
      <c r="Y5833" s="94"/>
      <c r="Z5833" s="94"/>
      <c r="AA5833" s="94"/>
      <c r="AB5833" s="94"/>
      <c r="AC5833" s="94"/>
      <c r="AD5833" s="94"/>
      <c r="AE5833" s="94"/>
      <c r="AF5833" s="94"/>
      <c r="AG5833" s="94"/>
      <c r="AH5833" s="94"/>
    </row>
    <row r="5834" ht="12.75" hidden="1" customHeight="1" outlineLevel="1">
      <c r="A5834" s="122">
        <v>42037.0</v>
      </c>
      <c r="B5834" s="32" t="s">
        <v>343</v>
      </c>
      <c r="C5834" s="32" t="s">
        <v>369</v>
      </c>
      <c r="D5834" s="708">
        <v>1000.0</v>
      </c>
      <c r="E5834" s="195">
        <v>6.827</v>
      </c>
      <c r="F5834" s="709">
        <v>0.5020601851851851</v>
      </c>
      <c r="G5834" s="195" t="s">
        <v>453</v>
      </c>
      <c r="H5834" s="710">
        <v>4.9</v>
      </c>
      <c r="I5834" s="256"/>
      <c r="J5834" s="67">
        <f t="shared" si="362"/>
        <v>-6831.9</v>
      </c>
      <c r="L5834" s="70"/>
      <c r="M5834" s="934"/>
      <c r="N5834" s="94"/>
      <c r="O5834" s="94"/>
      <c r="P5834" s="94"/>
      <c r="Q5834" s="94"/>
      <c r="R5834" s="94"/>
      <c r="S5834" s="94"/>
      <c r="T5834" s="94"/>
      <c r="U5834" s="94"/>
      <c r="V5834" s="94"/>
      <c r="W5834" s="94"/>
      <c r="X5834" s="94"/>
      <c r="Y5834" s="94"/>
      <c r="Z5834" s="94"/>
      <c r="AA5834" s="94"/>
      <c r="AB5834" s="94"/>
      <c r="AC5834" s="94"/>
      <c r="AD5834" s="94"/>
      <c r="AE5834" s="94"/>
      <c r="AF5834" s="94"/>
      <c r="AG5834" s="94"/>
      <c r="AH5834" s="94"/>
    </row>
    <row r="5835" ht="12.75" hidden="1" customHeight="1" outlineLevel="1">
      <c r="A5835" s="122">
        <v>42037.0</v>
      </c>
      <c r="B5835" s="32" t="s">
        <v>347</v>
      </c>
      <c r="C5835" s="32" t="s">
        <v>1158</v>
      </c>
      <c r="D5835" s="708">
        <v>300.0</v>
      </c>
      <c r="E5835" s="195">
        <v>46.251</v>
      </c>
      <c r="F5835" s="709">
        <v>0.504375</v>
      </c>
      <c r="G5835" s="195" t="s">
        <v>453</v>
      </c>
      <c r="H5835" s="710">
        <v>1.51</v>
      </c>
      <c r="I5835" s="256"/>
      <c r="J5835" s="67">
        <f t="shared" si="362"/>
        <v>13873.79</v>
      </c>
      <c r="L5835" s="70"/>
      <c r="M5835" s="934"/>
      <c r="N5835" s="94"/>
      <c r="O5835" s="94"/>
      <c r="P5835" s="94"/>
      <c r="Q5835" s="94"/>
      <c r="R5835" s="94"/>
      <c r="S5835" s="94"/>
      <c r="T5835" s="94"/>
      <c r="U5835" s="94"/>
      <c r="V5835" s="94"/>
      <c r="W5835" s="94"/>
      <c r="X5835" s="94"/>
      <c r="Y5835" s="94"/>
      <c r="Z5835" s="94"/>
      <c r="AA5835" s="94"/>
      <c r="AB5835" s="94"/>
      <c r="AC5835" s="94"/>
      <c r="AD5835" s="94"/>
      <c r="AE5835" s="94"/>
      <c r="AF5835" s="94"/>
      <c r="AG5835" s="94"/>
      <c r="AH5835" s="94"/>
    </row>
    <row r="5836" ht="12.75" hidden="1" customHeight="1" outlineLevel="1">
      <c r="A5836" s="122">
        <v>42037.0</v>
      </c>
      <c r="B5836" s="32" t="s">
        <v>347</v>
      </c>
      <c r="C5836" s="32" t="s">
        <v>1164</v>
      </c>
      <c r="D5836" s="708">
        <v>200.0</v>
      </c>
      <c r="E5836" s="195">
        <v>43.901</v>
      </c>
      <c r="F5836" s="709">
        <v>0.5046643518518519</v>
      </c>
      <c r="G5836" s="195" t="s">
        <v>453</v>
      </c>
      <c r="H5836" s="710">
        <v>1.19</v>
      </c>
      <c r="I5836" s="256"/>
      <c r="J5836" s="67">
        <f t="shared" si="362"/>
        <v>8779.01</v>
      </c>
      <c r="L5836" s="70"/>
      <c r="M5836" s="934"/>
      <c r="N5836" s="94"/>
      <c r="O5836" s="94"/>
      <c r="P5836" s="94"/>
      <c r="Q5836" s="94"/>
      <c r="R5836" s="94"/>
      <c r="S5836" s="94"/>
      <c r="T5836" s="94"/>
      <c r="U5836" s="94"/>
      <c r="V5836" s="94"/>
      <c r="W5836" s="94"/>
      <c r="X5836" s="94"/>
      <c r="Y5836" s="94"/>
      <c r="Z5836" s="94"/>
      <c r="AA5836" s="94"/>
      <c r="AB5836" s="94"/>
      <c r="AC5836" s="94"/>
      <c r="AD5836" s="94"/>
      <c r="AE5836" s="94"/>
      <c r="AF5836" s="94"/>
      <c r="AG5836" s="94"/>
      <c r="AH5836" s="94"/>
    </row>
    <row r="5837" ht="12.75" hidden="1" customHeight="1" outlineLevel="1">
      <c r="A5837" s="122">
        <v>42037.0</v>
      </c>
      <c r="B5837" s="32" t="s">
        <v>347</v>
      </c>
      <c r="C5837" s="32" t="s">
        <v>1357</v>
      </c>
      <c r="D5837" s="708">
        <v>200.0</v>
      </c>
      <c r="E5837" s="195">
        <v>38.523</v>
      </c>
      <c r="F5837" s="709">
        <v>0.5119328703703704</v>
      </c>
      <c r="G5837" s="195" t="s">
        <v>453</v>
      </c>
      <c r="H5837" s="710">
        <v>1.17</v>
      </c>
      <c r="I5837" s="256"/>
      <c r="J5837" s="67">
        <f t="shared" si="362"/>
        <v>7703.43</v>
      </c>
      <c r="L5837" s="70"/>
      <c r="M5837" s="934"/>
      <c r="N5837" s="94"/>
      <c r="O5837" s="94"/>
      <c r="P5837" s="94"/>
      <c r="Q5837" s="94"/>
      <c r="R5837" s="94"/>
      <c r="S5837" s="94"/>
      <c r="T5837" s="94"/>
      <c r="U5837" s="94"/>
      <c r="V5837" s="94"/>
      <c r="W5837" s="94"/>
      <c r="X5837" s="94"/>
      <c r="Y5837" s="94"/>
      <c r="Z5837" s="94"/>
      <c r="AA5837" s="94"/>
      <c r="AB5837" s="94"/>
      <c r="AC5837" s="94"/>
      <c r="AD5837" s="94"/>
      <c r="AE5837" s="94"/>
      <c r="AF5837" s="94"/>
      <c r="AG5837" s="94"/>
      <c r="AH5837" s="94"/>
    </row>
    <row r="5838" ht="12.75" hidden="1" customHeight="1" outlineLevel="1">
      <c r="A5838" s="122">
        <v>42037.0</v>
      </c>
      <c r="B5838" s="32" t="s">
        <v>347</v>
      </c>
      <c r="C5838" s="32" t="s">
        <v>1382</v>
      </c>
      <c r="D5838" s="708">
        <v>50.0</v>
      </c>
      <c r="E5838" s="195">
        <v>146.91</v>
      </c>
      <c r="F5838" s="709">
        <v>0.5123263888888889</v>
      </c>
      <c r="G5838" s="195" t="s">
        <v>453</v>
      </c>
      <c r="H5838" s="710">
        <v>1.16</v>
      </c>
      <c r="I5838" s="256"/>
      <c r="J5838" s="67">
        <f t="shared" si="362"/>
        <v>7344.34</v>
      </c>
      <c r="L5838" s="70"/>
      <c r="M5838" s="934"/>
      <c r="N5838" s="94"/>
      <c r="O5838" s="94"/>
      <c r="P5838" s="94"/>
      <c r="Q5838" s="94"/>
      <c r="R5838" s="94"/>
      <c r="S5838" s="94"/>
      <c r="T5838" s="94"/>
      <c r="U5838" s="94"/>
      <c r="V5838" s="94"/>
      <c r="W5838" s="94"/>
      <c r="X5838" s="94"/>
      <c r="Y5838" s="94"/>
      <c r="Z5838" s="94"/>
      <c r="AA5838" s="94"/>
      <c r="AB5838" s="94"/>
      <c r="AC5838" s="94"/>
      <c r="AD5838" s="94"/>
      <c r="AE5838" s="94"/>
      <c r="AF5838" s="94"/>
      <c r="AG5838" s="94"/>
      <c r="AH5838" s="94"/>
    </row>
    <row r="5839" ht="12.75" hidden="1" customHeight="1" outlineLevel="1">
      <c r="A5839" s="122">
        <v>42037.0</v>
      </c>
      <c r="B5839" s="32" t="s">
        <v>347</v>
      </c>
      <c r="C5839" s="32" t="s">
        <v>1162</v>
      </c>
      <c r="D5839" s="708">
        <v>50.0</v>
      </c>
      <c r="E5839" s="195">
        <v>130.26</v>
      </c>
      <c r="F5839" s="709">
        <v>0.5125347222222222</v>
      </c>
      <c r="G5839" s="195" t="s">
        <v>453</v>
      </c>
      <c r="H5839" s="710">
        <v>1.14</v>
      </c>
      <c r="I5839" s="256"/>
      <c r="J5839" s="67">
        <f t="shared" si="362"/>
        <v>6511.86</v>
      </c>
      <c r="L5839" s="70"/>
      <c r="M5839" s="934"/>
      <c r="N5839" s="94"/>
      <c r="O5839" s="94"/>
      <c r="P5839" s="94"/>
      <c r="Q5839" s="94"/>
      <c r="R5839" s="94"/>
      <c r="S5839" s="94"/>
      <c r="T5839" s="94"/>
      <c r="U5839" s="94"/>
      <c r="V5839" s="94"/>
      <c r="W5839" s="94"/>
      <c r="X5839" s="94"/>
      <c r="Y5839" s="94"/>
      <c r="Z5839" s="94"/>
      <c r="AA5839" s="94"/>
      <c r="AB5839" s="94"/>
      <c r="AC5839" s="94"/>
      <c r="AD5839" s="94"/>
      <c r="AE5839" s="94"/>
      <c r="AF5839" s="94"/>
      <c r="AG5839" s="94"/>
      <c r="AH5839" s="94"/>
    </row>
    <row r="5840" ht="12.75" hidden="1" customHeight="1" outlineLevel="1">
      <c r="A5840" s="122">
        <v>42037.0</v>
      </c>
      <c r="B5840" s="32" t="s">
        <v>347</v>
      </c>
      <c r="C5840" s="32" t="s">
        <v>1495</v>
      </c>
      <c r="D5840" s="708">
        <v>150.0</v>
      </c>
      <c r="E5840" s="195">
        <v>43.09</v>
      </c>
      <c r="F5840" s="709">
        <v>0.5129976851851852</v>
      </c>
      <c r="G5840" s="195" t="s">
        <v>453</v>
      </c>
      <c r="H5840" s="710">
        <v>1.14</v>
      </c>
      <c r="I5840" s="256"/>
      <c r="J5840" s="67">
        <f t="shared" si="362"/>
        <v>6462.36</v>
      </c>
      <c r="L5840" s="70"/>
      <c r="M5840" s="934"/>
      <c r="N5840" s="94"/>
      <c r="O5840" s="94"/>
      <c r="P5840" s="94"/>
      <c r="Q5840" s="94"/>
      <c r="R5840" s="94"/>
      <c r="S5840" s="94"/>
      <c r="T5840" s="94"/>
      <c r="U5840" s="94"/>
      <c r="V5840" s="94"/>
      <c r="W5840" s="94"/>
      <c r="X5840" s="94"/>
      <c r="Y5840" s="94"/>
      <c r="Z5840" s="94"/>
      <c r="AA5840" s="94"/>
      <c r="AB5840" s="94"/>
      <c r="AC5840" s="94"/>
      <c r="AD5840" s="94"/>
      <c r="AE5840" s="94"/>
      <c r="AF5840" s="94"/>
      <c r="AG5840" s="94"/>
      <c r="AH5840" s="94"/>
    </row>
    <row r="5841" ht="12.75" hidden="1" customHeight="1" outlineLevel="1">
      <c r="A5841" s="122">
        <v>42037.0</v>
      </c>
      <c r="B5841" s="32" t="s">
        <v>347</v>
      </c>
      <c r="C5841" s="32" t="s">
        <v>356</v>
      </c>
      <c r="D5841" s="708">
        <v>15.0</v>
      </c>
      <c r="E5841" s="195">
        <v>446.16</v>
      </c>
      <c r="F5841" s="709">
        <v>0.5161111111111111</v>
      </c>
      <c r="G5841" s="195" t="s">
        <v>453</v>
      </c>
      <c r="H5841" s="710">
        <v>1.15</v>
      </c>
      <c r="I5841" s="256"/>
      <c r="J5841" s="67">
        <f t="shared" si="362"/>
        <v>6691.25</v>
      </c>
      <c r="L5841" s="70"/>
      <c r="M5841" s="934"/>
      <c r="N5841" s="94"/>
      <c r="O5841" s="94"/>
      <c r="P5841" s="94"/>
      <c r="Q5841" s="94"/>
      <c r="R5841" s="94"/>
      <c r="S5841" s="94"/>
      <c r="T5841" s="94"/>
      <c r="U5841" s="94"/>
      <c r="V5841" s="94"/>
      <c r="W5841" s="94"/>
      <c r="X5841" s="94"/>
      <c r="Y5841" s="94"/>
      <c r="Z5841" s="94"/>
      <c r="AA5841" s="94"/>
      <c r="AB5841" s="94"/>
      <c r="AC5841" s="94"/>
      <c r="AD5841" s="94"/>
      <c r="AE5841" s="94"/>
      <c r="AF5841" s="94"/>
      <c r="AG5841" s="94"/>
      <c r="AH5841" s="94"/>
    </row>
    <row r="5842" ht="12.75" hidden="1" customHeight="1" outlineLevel="1">
      <c r="A5842" s="122">
        <v>42037.0</v>
      </c>
      <c r="B5842" s="32" t="s">
        <v>347</v>
      </c>
      <c r="C5842" s="32" t="s">
        <v>1082</v>
      </c>
      <c r="D5842" s="708">
        <v>10.0</v>
      </c>
      <c r="E5842" s="195">
        <v>588.57</v>
      </c>
      <c r="F5842" s="709">
        <v>0.5164120370370371</v>
      </c>
      <c r="G5842" s="195" t="s">
        <v>453</v>
      </c>
      <c r="H5842" s="710">
        <v>1.13</v>
      </c>
      <c r="I5842" s="256"/>
      <c r="J5842" s="67">
        <f t="shared" si="362"/>
        <v>5884.57</v>
      </c>
      <c r="L5842" s="70"/>
      <c r="M5842" s="934"/>
      <c r="N5842" s="94"/>
      <c r="O5842" s="94"/>
      <c r="P5842" s="94"/>
      <c r="Q5842" s="94"/>
      <c r="R5842" s="94"/>
      <c r="S5842" s="94"/>
      <c r="T5842" s="94"/>
      <c r="U5842" s="94"/>
      <c r="V5842" s="94"/>
      <c r="W5842" s="94"/>
      <c r="X5842" s="94"/>
      <c r="Y5842" s="94"/>
      <c r="Z5842" s="94"/>
      <c r="AA5842" s="94"/>
      <c r="AB5842" s="94"/>
      <c r="AC5842" s="94"/>
      <c r="AD5842" s="94"/>
      <c r="AE5842" s="94"/>
      <c r="AF5842" s="94"/>
      <c r="AG5842" s="94"/>
      <c r="AH5842" s="94"/>
    </row>
    <row r="5843" ht="12.75" hidden="1" customHeight="1" outlineLevel="1">
      <c r="A5843" s="122">
        <v>42037.0</v>
      </c>
      <c r="B5843" s="32" t="s">
        <v>347</v>
      </c>
      <c r="C5843" s="32" t="s">
        <v>364</v>
      </c>
      <c r="D5843" s="708">
        <v>100.0</v>
      </c>
      <c r="E5843" s="195">
        <v>131.32</v>
      </c>
      <c r="F5843" s="709">
        <v>0.5189699074074074</v>
      </c>
      <c r="G5843" s="195" t="s">
        <v>453</v>
      </c>
      <c r="H5843" s="710">
        <v>1.29</v>
      </c>
      <c r="I5843" s="256"/>
      <c r="J5843" s="67">
        <f t="shared" si="362"/>
        <v>13130.71</v>
      </c>
      <c r="L5843" s="70"/>
      <c r="M5843" s="934"/>
      <c r="N5843" s="94"/>
      <c r="O5843" s="94"/>
      <c r="P5843" s="94"/>
      <c r="Q5843" s="94"/>
      <c r="R5843" s="94"/>
      <c r="S5843" s="94"/>
      <c r="T5843" s="94"/>
      <c r="U5843" s="94"/>
      <c r="V5843" s="94"/>
      <c r="W5843" s="94"/>
      <c r="X5843" s="94"/>
      <c r="Y5843" s="94"/>
      <c r="Z5843" s="94"/>
      <c r="AA5843" s="94"/>
      <c r="AB5843" s="94"/>
      <c r="AC5843" s="94"/>
      <c r="AD5843" s="94"/>
      <c r="AE5843" s="94"/>
      <c r="AF5843" s="94"/>
      <c r="AG5843" s="94"/>
      <c r="AH5843" s="94"/>
    </row>
    <row r="5844" ht="12.75" hidden="1" customHeight="1" outlineLevel="1">
      <c r="A5844" s="122">
        <v>42037.0</v>
      </c>
      <c r="B5844" s="32" t="s">
        <v>347</v>
      </c>
      <c r="C5844" s="32" t="s">
        <v>1325</v>
      </c>
      <c r="D5844" s="708">
        <v>200.0</v>
      </c>
      <c r="E5844" s="195">
        <v>63.77</v>
      </c>
      <c r="F5844" s="709">
        <v>0.5216087962962963</v>
      </c>
      <c r="G5844" s="195" t="s">
        <v>453</v>
      </c>
      <c r="H5844" s="710">
        <v>1.28</v>
      </c>
      <c r="I5844" s="256"/>
      <c r="J5844" s="67">
        <f t="shared" si="362"/>
        <v>12752.72</v>
      </c>
      <c r="L5844" s="70"/>
      <c r="M5844" s="934"/>
      <c r="N5844" s="94"/>
      <c r="O5844" s="94"/>
      <c r="P5844" s="94"/>
      <c r="Q5844" s="94"/>
      <c r="R5844" s="94"/>
      <c r="S5844" s="94"/>
      <c r="T5844" s="94"/>
      <c r="U5844" s="94"/>
      <c r="V5844" s="94"/>
      <c r="W5844" s="94"/>
      <c r="X5844" s="94"/>
      <c r="Y5844" s="94"/>
      <c r="Z5844" s="94"/>
      <c r="AA5844" s="94"/>
      <c r="AB5844" s="94"/>
      <c r="AC5844" s="94"/>
      <c r="AD5844" s="94"/>
      <c r="AE5844" s="94"/>
      <c r="AF5844" s="94"/>
      <c r="AG5844" s="94"/>
      <c r="AH5844" s="94"/>
    </row>
    <row r="5845" ht="12.75" hidden="1" customHeight="1" outlineLevel="1">
      <c r="A5845" s="122">
        <v>42037.0</v>
      </c>
      <c r="B5845" s="32" t="s">
        <v>347</v>
      </c>
      <c r="C5845" s="32" t="s">
        <v>344</v>
      </c>
      <c r="D5845" s="708">
        <v>200.0</v>
      </c>
      <c r="E5845" s="195">
        <v>49.681</v>
      </c>
      <c r="F5845" s="709">
        <v>0.5229861111111112</v>
      </c>
      <c r="G5845" s="195" t="s">
        <v>453</v>
      </c>
      <c r="H5845" s="710">
        <v>1.22</v>
      </c>
      <c r="I5845" s="256"/>
      <c r="J5845" s="67">
        <f t="shared" si="362"/>
        <v>9934.98</v>
      </c>
      <c r="L5845" s="70"/>
      <c r="M5845" s="934"/>
      <c r="N5845" s="94"/>
      <c r="O5845" s="94"/>
      <c r="P5845" s="94"/>
      <c r="Q5845" s="94"/>
      <c r="R5845" s="94"/>
      <c r="S5845" s="94"/>
      <c r="T5845" s="94"/>
      <c r="U5845" s="94"/>
      <c r="V5845" s="94"/>
      <c r="W5845" s="94"/>
      <c r="X5845" s="94"/>
      <c r="Y5845" s="94"/>
      <c r="Z5845" s="94"/>
      <c r="AA5845" s="94"/>
      <c r="AB5845" s="94"/>
      <c r="AC5845" s="94"/>
      <c r="AD5845" s="94"/>
      <c r="AE5845" s="94"/>
      <c r="AF5845" s="94"/>
      <c r="AG5845" s="94"/>
      <c r="AH5845" s="94"/>
    </row>
    <row r="5846" ht="12.75" hidden="1" customHeight="1" outlineLevel="1">
      <c r="A5846" s="122">
        <v>42037.0</v>
      </c>
      <c r="B5846" s="32" t="s">
        <v>347</v>
      </c>
      <c r="C5846" s="32" t="s">
        <v>2142</v>
      </c>
      <c r="D5846" s="708">
        <v>200.0</v>
      </c>
      <c r="E5846" s="195">
        <v>30.8</v>
      </c>
      <c r="F5846" s="709">
        <v>0.5290972222222222</v>
      </c>
      <c r="G5846" s="195" t="s">
        <v>453</v>
      </c>
      <c r="H5846" s="710">
        <v>1.14</v>
      </c>
      <c r="I5846" s="256"/>
      <c r="J5846" s="67">
        <f t="shared" si="362"/>
        <v>6158.86</v>
      </c>
      <c r="L5846" s="70"/>
      <c r="M5846" s="934"/>
      <c r="N5846" s="94"/>
      <c r="O5846" s="94"/>
      <c r="P5846" s="94"/>
      <c r="Q5846" s="94"/>
      <c r="R5846" s="94"/>
      <c r="S5846" s="94"/>
      <c r="T5846" s="94"/>
      <c r="U5846" s="94"/>
      <c r="V5846" s="94"/>
      <c r="W5846" s="94"/>
      <c r="X5846" s="94"/>
      <c r="Y5846" s="94"/>
      <c r="Z5846" s="94"/>
      <c r="AA5846" s="94"/>
      <c r="AB5846" s="94"/>
      <c r="AC5846" s="94"/>
      <c r="AD5846" s="94"/>
      <c r="AE5846" s="94"/>
      <c r="AF5846" s="94"/>
      <c r="AG5846" s="94"/>
      <c r="AH5846" s="94"/>
    </row>
    <row r="5847" ht="12.75" hidden="1" customHeight="1" outlineLevel="1">
      <c r="A5847" s="122">
        <v>42037.0</v>
      </c>
      <c r="B5847" s="32" t="s">
        <v>347</v>
      </c>
      <c r="C5847" s="32" t="s">
        <v>1060</v>
      </c>
      <c r="D5847" s="708">
        <v>200.0</v>
      </c>
      <c r="E5847" s="195">
        <v>39.17</v>
      </c>
      <c r="F5847" s="709">
        <v>0.5298958333333333</v>
      </c>
      <c r="G5847" s="195" t="s">
        <v>453</v>
      </c>
      <c r="H5847" s="710">
        <v>1.17</v>
      </c>
      <c r="I5847" s="256"/>
      <c r="J5847" s="67">
        <f t="shared" si="362"/>
        <v>7832.83</v>
      </c>
      <c r="L5847" s="70"/>
      <c r="M5847" s="934"/>
      <c r="N5847" s="94"/>
      <c r="O5847" s="94"/>
      <c r="P5847" s="94"/>
      <c r="Q5847" s="94"/>
      <c r="R5847" s="94"/>
      <c r="S5847" s="94"/>
      <c r="T5847" s="94"/>
      <c r="U5847" s="94"/>
      <c r="V5847" s="94"/>
      <c r="W5847" s="94"/>
      <c r="X5847" s="94"/>
      <c r="Y5847" s="94"/>
      <c r="Z5847" s="94"/>
      <c r="AA5847" s="94"/>
      <c r="AB5847" s="94"/>
      <c r="AC5847" s="94"/>
      <c r="AD5847" s="94"/>
      <c r="AE5847" s="94"/>
      <c r="AF5847" s="94"/>
      <c r="AG5847" s="94"/>
      <c r="AH5847" s="94"/>
    </row>
    <row r="5848" ht="12.75" hidden="1" customHeight="1" outlineLevel="1">
      <c r="A5848" s="122">
        <v>42037.0</v>
      </c>
      <c r="B5848" s="32" t="s">
        <v>347</v>
      </c>
      <c r="C5848" s="32" t="s">
        <v>1049</v>
      </c>
      <c r="D5848" s="708">
        <v>25.0</v>
      </c>
      <c r="E5848" s="195">
        <v>683.35</v>
      </c>
      <c r="F5848" s="709">
        <v>0.5303819444444444</v>
      </c>
      <c r="G5848" s="195" t="s">
        <v>453</v>
      </c>
      <c r="H5848" s="710">
        <v>1.38</v>
      </c>
      <c r="I5848" s="256"/>
      <c r="J5848" s="67">
        <f t="shared" si="362"/>
        <v>17082.37</v>
      </c>
      <c r="L5848" s="70"/>
      <c r="M5848" s="934"/>
      <c r="N5848" s="94"/>
      <c r="O5848" s="94"/>
      <c r="P5848" s="94"/>
      <c r="Q5848" s="94"/>
      <c r="R5848" s="94"/>
      <c r="S5848" s="94"/>
      <c r="T5848" s="94"/>
      <c r="U5848" s="94"/>
      <c r="V5848" s="94"/>
      <c r="W5848" s="94"/>
      <c r="X5848" s="94"/>
      <c r="Y5848" s="94"/>
      <c r="Z5848" s="94"/>
      <c r="AA5848" s="94"/>
      <c r="AB5848" s="94"/>
      <c r="AC5848" s="94"/>
      <c r="AD5848" s="94"/>
      <c r="AE5848" s="94"/>
      <c r="AF5848" s="94"/>
      <c r="AG5848" s="94"/>
      <c r="AH5848" s="94"/>
    </row>
    <row r="5849" ht="12.75" hidden="1" customHeight="1" outlineLevel="1">
      <c r="A5849" s="122">
        <v>42037.0</v>
      </c>
      <c r="B5849" s="32" t="s">
        <v>343</v>
      </c>
      <c r="C5849" s="32" t="s">
        <v>784</v>
      </c>
      <c r="D5849" s="708">
        <v>1500.0</v>
      </c>
      <c r="E5849" s="195">
        <v>7.339</v>
      </c>
      <c r="F5849" s="709">
        <v>0.5966898148148149</v>
      </c>
      <c r="G5849" s="195" t="s">
        <v>453</v>
      </c>
      <c r="H5849" s="710">
        <v>6.0</v>
      </c>
      <c r="I5849" s="256"/>
      <c r="J5849" s="67">
        <f t="shared" si="362"/>
        <v>-11014.5</v>
      </c>
      <c r="L5849" s="70"/>
      <c r="M5849" s="934"/>
      <c r="N5849" s="94"/>
      <c r="O5849" s="94"/>
      <c r="P5849" s="94"/>
      <c r="Q5849" s="94"/>
      <c r="R5849" s="94"/>
      <c r="S5849" s="94"/>
      <c r="T5849" s="94"/>
      <c r="U5849" s="94"/>
      <c r="V5849" s="94"/>
      <c r="W5849" s="94"/>
      <c r="X5849" s="94"/>
      <c r="Y5849" s="94"/>
      <c r="Z5849" s="94"/>
      <c r="AA5849" s="94"/>
      <c r="AB5849" s="94"/>
      <c r="AC5849" s="94"/>
      <c r="AD5849" s="94"/>
      <c r="AE5849" s="94"/>
      <c r="AF5849" s="94"/>
      <c r="AG5849" s="94"/>
      <c r="AH5849" s="94"/>
    </row>
    <row r="5850" ht="12.75" hidden="1" customHeight="1" outlineLevel="1">
      <c r="A5850" s="122">
        <v>42037.0</v>
      </c>
      <c r="B5850" s="32" t="s">
        <v>343</v>
      </c>
      <c r="C5850" s="32" t="s">
        <v>790</v>
      </c>
      <c r="D5850" s="708">
        <v>1000.0</v>
      </c>
      <c r="E5850" s="195">
        <v>6.299</v>
      </c>
      <c r="F5850" s="709">
        <v>0.5968171296296296</v>
      </c>
      <c r="G5850" s="195" t="s">
        <v>453</v>
      </c>
      <c r="H5850" s="710">
        <v>4.0</v>
      </c>
      <c r="I5850" s="256"/>
      <c r="J5850" s="67">
        <f t="shared" si="362"/>
        <v>-6303</v>
      </c>
      <c r="L5850" s="70"/>
      <c r="M5850" s="934"/>
      <c r="N5850" s="94"/>
      <c r="O5850" s="94"/>
      <c r="P5850" s="94"/>
      <c r="Q5850" s="94"/>
      <c r="R5850" s="94"/>
      <c r="S5850" s="94"/>
      <c r="T5850" s="94"/>
      <c r="U5850" s="94"/>
      <c r="V5850" s="94"/>
      <c r="W5850" s="94"/>
      <c r="X5850" s="94"/>
      <c r="Y5850" s="94"/>
      <c r="Z5850" s="94"/>
      <c r="AA5850" s="94"/>
      <c r="AB5850" s="94"/>
      <c r="AC5850" s="94"/>
      <c r="AD5850" s="94"/>
      <c r="AE5850" s="94"/>
      <c r="AF5850" s="94"/>
      <c r="AG5850" s="94"/>
      <c r="AH5850" s="94"/>
    </row>
    <row r="5851" ht="12.75" hidden="1" customHeight="1" outlineLevel="1">
      <c r="A5851" s="122">
        <v>42037.0</v>
      </c>
      <c r="B5851" s="32" t="s">
        <v>343</v>
      </c>
      <c r="C5851" s="32" t="s">
        <v>369</v>
      </c>
      <c r="D5851" s="708">
        <v>500.0</v>
      </c>
      <c r="E5851" s="195">
        <v>6.83</v>
      </c>
      <c r="F5851" s="709">
        <v>0.5972453703703704</v>
      </c>
      <c r="G5851" s="195" t="s">
        <v>453</v>
      </c>
      <c r="H5851" s="710">
        <v>2.5</v>
      </c>
      <c r="I5851" s="256"/>
      <c r="J5851" s="67">
        <f t="shared" si="362"/>
        <v>-3417.5</v>
      </c>
      <c r="L5851" s="70"/>
      <c r="M5851" s="934"/>
      <c r="N5851" s="94"/>
      <c r="O5851" s="94"/>
      <c r="P5851" s="94"/>
      <c r="Q5851" s="94"/>
      <c r="R5851" s="94"/>
      <c r="S5851" s="94"/>
      <c r="T5851" s="94"/>
      <c r="U5851" s="94"/>
      <c r="V5851" s="94"/>
      <c r="W5851" s="94"/>
      <c r="X5851" s="94"/>
      <c r="Y5851" s="94"/>
      <c r="Z5851" s="94"/>
      <c r="AA5851" s="94"/>
      <c r="AB5851" s="94"/>
      <c r="AC5851" s="94"/>
      <c r="AD5851" s="94"/>
      <c r="AE5851" s="94"/>
      <c r="AF5851" s="94"/>
      <c r="AG5851" s="94"/>
      <c r="AH5851" s="94"/>
    </row>
    <row r="5852" ht="12.75" hidden="1" customHeight="1" outlineLevel="1">
      <c r="A5852" s="882">
        <v>42037.0</v>
      </c>
      <c r="B5852" s="1"/>
      <c r="C5852" s="1" t="s">
        <v>339</v>
      </c>
      <c r="D5852" s="74"/>
      <c r="E5852" s="67"/>
      <c r="F5852" s="75"/>
      <c r="G5852" s="67"/>
      <c r="H5852" s="68"/>
      <c r="I5852" s="76"/>
      <c r="J5852" s="67"/>
      <c r="K5852" s="967" t="s">
        <v>2801</v>
      </c>
      <c r="L5852" s="934"/>
      <c r="M5852" s="934"/>
    </row>
    <row r="5853" ht="12.75" hidden="1" customHeight="1" outlineLevel="1">
      <c r="A5853" s="882">
        <v>42037.0</v>
      </c>
      <c r="B5853" s="1"/>
      <c r="C5853" s="1" t="s">
        <v>429</v>
      </c>
      <c r="D5853" s="74"/>
      <c r="E5853" s="67"/>
      <c r="F5853" s="75"/>
      <c r="G5853" s="67"/>
      <c r="H5853" s="68"/>
      <c r="I5853" s="76"/>
      <c r="J5853" s="67"/>
      <c r="K5853" s="9" t="s">
        <v>2795</v>
      </c>
      <c r="L5853" s="934"/>
      <c r="M5853" s="934"/>
    </row>
    <row r="5854" ht="12.75" hidden="1" customHeight="1" outlineLevel="1">
      <c r="A5854" s="882">
        <v>42037.0</v>
      </c>
      <c r="B5854" s="1"/>
      <c r="C5854" s="1" t="s">
        <v>431</v>
      </c>
      <c r="D5854" s="74"/>
      <c r="E5854" s="67"/>
      <c r="F5854" s="75"/>
      <c r="G5854" s="67"/>
      <c r="H5854" s="68"/>
      <c r="I5854" s="76"/>
      <c r="J5854" s="67"/>
      <c r="K5854" s="7" t="s">
        <v>1126</v>
      </c>
      <c r="L5854" s="934"/>
      <c r="M5854" s="934"/>
    </row>
    <row r="5855" ht="12.75" hidden="1" customHeight="1" outlineLevel="1">
      <c r="A5855" s="882">
        <v>42037.0</v>
      </c>
      <c r="B5855" s="1"/>
      <c r="C5855" s="1" t="s">
        <v>433</v>
      </c>
      <c r="D5855" s="74"/>
      <c r="E5855" s="67"/>
      <c r="F5855" s="75"/>
      <c r="G5855" s="67"/>
      <c r="H5855" s="68"/>
      <c r="I5855" s="76"/>
      <c r="J5855" s="67"/>
      <c r="K5855" s="7" t="s">
        <v>1103</v>
      </c>
      <c r="L5855" s="934"/>
      <c r="M5855" s="934"/>
    </row>
    <row r="5856" ht="12.75" hidden="1" customHeight="1" outlineLevel="1">
      <c r="A5856" s="882">
        <v>42037.0</v>
      </c>
      <c r="B5856" s="1"/>
      <c r="C5856" s="1" t="s">
        <v>435</v>
      </c>
      <c r="D5856" s="74"/>
      <c r="E5856" s="67"/>
      <c r="F5856" s="75"/>
      <c r="G5856" s="67"/>
      <c r="H5856" s="68"/>
      <c r="I5856" s="76"/>
      <c r="J5856" s="67"/>
      <c r="K5856" s="9" t="s">
        <v>2802</v>
      </c>
      <c r="L5856" s="934"/>
      <c r="M5856" s="934"/>
    </row>
    <row r="5857" ht="12.75" hidden="1" customHeight="1" outlineLevel="1">
      <c r="A5857" s="122">
        <v>42038.0</v>
      </c>
      <c r="B5857" s="32" t="s">
        <v>343</v>
      </c>
      <c r="C5857" s="32" t="s">
        <v>1060</v>
      </c>
      <c r="D5857" s="708">
        <v>600.0</v>
      </c>
      <c r="E5857" s="195">
        <v>40.11</v>
      </c>
      <c r="F5857" s="709">
        <v>0.4053703703703704</v>
      </c>
      <c r="G5857" s="195" t="s">
        <v>453</v>
      </c>
      <c r="H5857" s="710">
        <v>3.0</v>
      </c>
      <c r="I5857" s="256"/>
      <c r="J5857" s="67">
        <f t="shared" ref="J5857:J5867" si="363">IF(B5857="SLD",D5857*E5857,-D5857*E5857)-H5857</f>
        <v>-24069</v>
      </c>
      <c r="L5857" s="70"/>
      <c r="M5857" s="934"/>
      <c r="N5857" s="94"/>
      <c r="O5857" s="94"/>
      <c r="P5857" s="94"/>
      <c r="Q5857" s="94"/>
      <c r="R5857" s="94"/>
      <c r="S5857" s="94"/>
      <c r="T5857" s="94"/>
      <c r="U5857" s="94"/>
      <c r="V5857" s="94"/>
      <c r="W5857" s="94"/>
      <c r="X5857" s="94"/>
      <c r="Y5857" s="94"/>
      <c r="Z5857" s="94"/>
      <c r="AA5857" s="94"/>
      <c r="AB5857" s="94"/>
      <c r="AC5857" s="94"/>
      <c r="AD5857" s="94"/>
      <c r="AE5857" s="94"/>
      <c r="AF5857" s="94"/>
      <c r="AG5857" s="94"/>
      <c r="AH5857" s="94"/>
    </row>
    <row r="5858" ht="12.75" hidden="1" customHeight="1" outlineLevel="1">
      <c r="A5858" s="122">
        <v>42038.0</v>
      </c>
      <c r="B5858" s="32" t="s">
        <v>343</v>
      </c>
      <c r="C5858" s="32" t="s">
        <v>1158</v>
      </c>
      <c r="D5858" s="708">
        <v>200.0</v>
      </c>
      <c r="E5858" s="195">
        <v>45.4285</v>
      </c>
      <c r="F5858" s="709">
        <v>0.4150462962962963</v>
      </c>
      <c r="G5858" s="195" t="s">
        <v>453</v>
      </c>
      <c r="H5858" s="710">
        <v>1.0</v>
      </c>
      <c r="I5858" s="256"/>
      <c r="J5858" s="67">
        <f t="shared" si="363"/>
        <v>-9086.7</v>
      </c>
      <c r="L5858" s="70"/>
      <c r="M5858" s="934"/>
      <c r="N5858" s="94"/>
      <c r="O5858" s="94"/>
      <c r="P5858" s="94"/>
      <c r="Q5858" s="94"/>
      <c r="R5858" s="94"/>
      <c r="S5858" s="94"/>
      <c r="T5858" s="94"/>
      <c r="U5858" s="94"/>
      <c r="V5858" s="94"/>
      <c r="W5858" s="94"/>
      <c r="X5858" s="94"/>
      <c r="Y5858" s="94"/>
      <c r="Z5858" s="94"/>
      <c r="AA5858" s="94"/>
      <c r="AB5858" s="94"/>
      <c r="AC5858" s="94"/>
      <c r="AD5858" s="94"/>
      <c r="AE5858" s="94"/>
      <c r="AF5858" s="94"/>
      <c r="AG5858" s="94"/>
      <c r="AH5858" s="94"/>
    </row>
    <row r="5859" ht="12.75" hidden="1" customHeight="1" outlineLevel="1">
      <c r="A5859" s="122">
        <v>42038.0</v>
      </c>
      <c r="B5859" s="32" t="s">
        <v>343</v>
      </c>
      <c r="C5859" s="32" t="s">
        <v>1164</v>
      </c>
      <c r="D5859" s="708">
        <v>150.0</v>
      </c>
      <c r="E5859" s="195">
        <v>42.83</v>
      </c>
      <c r="F5859" s="709">
        <v>0.4157638888888889</v>
      </c>
      <c r="G5859" s="195" t="s">
        <v>453</v>
      </c>
      <c r="H5859" s="710">
        <v>1.0</v>
      </c>
      <c r="I5859" s="256"/>
      <c r="J5859" s="67">
        <f t="shared" si="363"/>
        <v>-6425.5</v>
      </c>
      <c r="L5859" s="70"/>
      <c r="M5859" s="934"/>
      <c r="N5859" s="94"/>
      <c r="O5859" s="94"/>
      <c r="P5859" s="94"/>
      <c r="Q5859" s="94"/>
      <c r="R5859" s="94"/>
      <c r="S5859" s="94"/>
      <c r="T5859" s="94"/>
      <c r="U5859" s="94"/>
      <c r="V5859" s="94"/>
      <c r="W5859" s="94"/>
      <c r="X5859" s="94"/>
      <c r="Y5859" s="94"/>
      <c r="Z5859" s="94"/>
      <c r="AA5859" s="94"/>
      <c r="AB5859" s="94"/>
      <c r="AC5859" s="94"/>
      <c r="AD5859" s="94"/>
      <c r="AE5859" s="94"/>
      <c r="AF5859" s="94"/>
      <c r="AG5859" s="94"/>
      <c r="AH5859" s="94"/>
    </row>
    <row r="5860" ht="12.75" hidden="1" customHeight="1" outlineLevel="1">
      <c r="A5860" s="122">
        <v>42038.0</v>
      </c>
      <c r="B5860" s="32" t="s">
        <v>343</v>
      </c>
      <c r="C5860" s="32" t="s">
        <v>1325</v>
      </c>
      <c r="D5860" s="708">
        <v>200.0</v>
      </c>
      <c r="E5860" s="195">
        <v>65.285</v>
      </c>
      <c r="F5860" s="709">
        <v>0.4197222222222222</v>
      </c>
      <c r="G5860" s="195" t="s">
        <v>453</v>
      </c>
      <c r="H5860" s="710">
        <v>1.0</v>
      </c>
      <c r="I5860" s="256"/>
      <c r="J5860" s="67">
        <f t="shared" si="363"/>
        <v>-13058</v>
      </c>
      <c r="L5860" s="70"/>
      <c r="M5860" s="934"/>
      <c r="N5860" s="94"/>
      <c r="O5860" s="94"/>
      <c r="P5860" s="94"/>
      <c r="Q5860" s="94"/>
      <c r="R5860" s="94"/>
      <c r="S5860" s="94"/>
      <c r="T5860" s="94"/>
      <c r="U5860" s="94"/>
      <c r="V5860" s="94"/>
      <c r="W5860" s="94"/>
      <c r="X5860" s="94"/>
      <c r="Y5860" s="94"/>
      <c r="Z5860" s="94"/>
      <c r="AA5860" s="94"/>
      <c r="AB5860" s="94"/>
      <c r="AC5860" s="94"/>
      <c r="AD5860" s="94"/>
      <c r="AE5860" s="94"/>
      <c r="AF5860" s="94"/>
      <c r="AG5860" s="94"/>
      <c r="AH5860" s="94"/>
    </row>
    <row r="5861" ht="12.75" hidden="1" customHeight="1" outlineLevel="1">
      <c r="A5861" s="122">
        <v>42038.0</v>
      </c>
      <c r="B5861" s="32" t="s">
        <v>343</v>
      </c>
      <c r="C5861" s="32" t="s">
        <v>344</v>
      </c>
      <c r="D5861" s="708">
        <v>300.0</v>
      </c>
      <c r="E5861" s="195">
        <v>51.05</v>
      </c>
      <c r="F5861" s="709">
        <v>0.41989583333333336</v>
      </c>
      <c r="G5861" s="195" t="s">
        <v>453</v>
      </c>
      <c r="H5861" s="710">
        <v>1.5</v>
      </c>
      <c r="I5861" s="256"/>
      <c r="J5861" s="67">
        <f t="shared" si="363"/>
        <v>-15316.5</v>
      </c>
      <c r="L5861" s="70"/>
      <c r="M5861" s="934"/>
      <c r="N5861" s="94"/>
      <c r="O5861" s="94"/>
      <c r="P5861" s="94"/>
      <c r="Q5861" s="94"/>
      <c r="R5861" s="94"/>
      <c r="S5861" s="94"/>
      <c r="T5861" s="94"/>
      <c r="U5861" s="94"/>
      <c r="V5861" s="94"/>
      <c r="W5861" s="94"/>
      <c r="X5861" s="94"/>
      <c r="Y5861" s="94"/>
      <c r="Z5861" s="94"/>
      <c r="AA5861" s="94"/>
      <c r="AB5861" s="94"/>
      <c r="AC5861" s="94"/>
      <c r="AD5861" s="94"/>
      <c r="AE5861" s="94"/>
      <c r="AF5861" s="94"/>
      <c r="AG5861" s="94"/>
      <c r="AH5861" s="94"/>
    </row>
    <row r="5862" ht="12.75" hidden="1" customHeight="1" outlineLevel="1">
      <c r="A5862" s="122">
        <v>42038.0</v>
      </c>
      <c r="B5862" s="32" t="s">
        <v>347</v>
      </c>
      <c r="C5862" s="32" t="s">
        <v>1844</v>
      </c>
      <c r="D5862" s="708">
        <v>100.0</v>
      </c>
      <c r="E5862" s="195">
        <v>46.93</v>
      </c>
      <c r="F5862" s="709">
        <v>0.45092592592592595</v>
      </c>
      <c r="G5862" s="195" t="s">
        <v>453</v>
      </c>
      <c r="H5862" s="710">
        <v>1.1</v>
      </c>
      <c r="I5862" s="256"/>
      <c r="J5862" s="67">
        <f t="shared" si="363"/>
        <v>4691.9</v>
      </c>
      <c r="L5862" s="70"/>
      <c r="M5862" s="934"/>
      <c r="N5862" s="94"/>
      <c r="O5862" s="94"/>
      <c r="P5862" s="94"/>
      <c r="Q5862" s="94"/>
      <c r="R5862" s="94"/>
      <c r="S5862" s="94"/>
      <c r="T5862" s="94"/>
      <c r="U5862" s="94"/>
      <c r="V5862" s="94"/>
      <c r="W5862" s="94"/>
      <c r="X5862" s="94"/>
      <c r="Y5862" s="94"/>
      <c r="Z5862" s="94"/>
      <c r="AA5862" s="94"/>
      <c r="AB5862" s="94"/>
      <c r="AC5862" s="94"/>
      <c r="AD5862" s="94"/>
      <c r="AE5862" s="94"/>
      <c r="AF5862" s="94"/>
      <c r="AG5862" s="94"/>
      <c r="AH5862" s="94"/>
    </row>
    <row r="5863" ht="12.75" hidden="1" customHeight="1" outlineLevel="1">
      <c r="A5863" s="122">
        <v>42038.0</v>
      </c>
      <c r="B5863" s="32" t="s">
        <v>347</v>
      </c>
      <c r="C5863" s="32" t="s">
        <v>784</v>
      </c>
      <c r="D5863" s="708">
        <v>1500.0</v>
      </c>
      <c r="E5863" s="195">
        <v>7.78</v>
      </c>
      <c r="F5863" s="709">
        <v>0.6028819444444444</v>
      </c>
      <c r="G5863" s="195" t="s">
        <v>453</v>
      </c>
      <c r="H5863" s="710">
        <v>7.46</v>
      </c>
      <c r="I5863" s="256"/>
      <c r="J5863" s="67">
        <f t="shared" si="363"/>
        <v>11662.54</v>
      </c>
      <c r="L5863" s="70"/>
      <c r="M5863" s="934"/>
      <c r="N5863" s="94"/>
      <c r="O5863" s="94"/>
      <c r="P5863" s="94"/>
      <c r="Q5863" s="94"/>
      <c r="R5863" s="94"/>
      <c r="S5863" s="94"/>
      <c r="T5863" s="94"/>
      <c r="U5863" s="94"/>
      <c r="V5863" s="94"/>
      <c r="W5863" s="94"/>
      <c r="X5863" s="94"/>
      <c r="Y5863" s="94"/>
      <c r="Z5863" s="94"/>
      <c r="AA5863" s="94"/>
      <c r="AB5863" s="94"/>
      <c r="AC5863" s="94"/>
      <c r="AD5863" s="94"/>
      <c r="AE5863" s="94"/>
      <c r="AF5863" s="94"/>
      <c r="AG5863" s="94"/>
      <c r="AH5863" s="94"/>
    </row>
    <row r="5864" ht="12.75" hidden="1" customHeight="1" outlineLevel="1">
      <c r="A5864" s="122">
        <v>42038.0</v>
      </c>
      <c r="B5864" s="32" t="s">
        <v>347</v>
      </c>
      <c r="C5864" s="32" t="s">
        <v>790</v>
      </c>
      <c r="D5864" s="708">
        <v>1000.0</v>
      </c>
      <c r="E5864" s="195">
        <v>7.131</v>
      </c>
      <c r="F5864" s="709">
        <v>0.6029745370370371</v>
      </c>
      <c r="G5864" s="195" t="s">
        <v>453</v>
      </c>
      <c r="H5864" s="710">
        <v>4.16</v>
      </c>
      <c r="I5864" s="256"/>
      <c r="J5864" s="67">
        <f t="shared" si="363"/>
        <v>7126.84</v>
      </c>
      <c r="L5864" s="70"/>
      <c r="M5864" s="934"/>
      <c r="N5864" s="94"/>
      <c r="O5864" s="94"/>
      <c r="P5864" s="94"/>
      <c r="Q5864" s="94"/>
      <c r="R5864" s="94"/>
      <c r="S5864" s="94"/>
      <c r="T5864" s="94"/>
      <c r="U5864" s="94"/>
      <c r="V5864" s="94"/>
      <c r="W5864" s="94"/>
      <c r="X5864" s="94"/>
      <c r="Y5864" s="94"/>
      <c r="Z5864" s="94"/>
      <c r="AA5864" s="94"/>
      <c r="AB5864" s="94"/>
      <c r="AC5864" s="94"/>
      <c r="AD5864" s="94"/>
      <c r="AE5864" s="94"/>
      <c r="AF5864" s="94"/>
      <c r="AG5864" s="94"/>
      <c r="AH5864" s="94"/>
    </row>
    <row r="5865" ht="12.75" hidden="1" customHeight="1" outlineLevel="1">
      <c r="A5865" s="122">
        <v>42038.0</v>
      </c>
      <c r="B5865" s="32" t="s">
        <v>347</v>
      </c>
      <c r="C5865" s="32" t="s">
        <v>2048</v>
      </c>
      <c r="D5865" s="708">
        <v>250.0</v>
      </c>
      <c r="E5865" s="195">
        <v>12.85</v>
      </c>
      <c r="F5865" s="709">
        <v>0.6034953703703704</v>
      </c>
      <c r="G5865" s="195" t="s">
        <v>453</v>
      </c>
      <c r="H5865" s="710">
        <v>1.32</v>
      </c>
      <c r="I5865" s="256"/>
      <c r="J5865" s="67">
        <f t="shared" si="363"/>
        <v>3211.18</v>
      </c>
      <c r="L5865" s="70"/>
      <c r="M5865" s="934"/>
      <c r="N5865" s="94"/>
      <c r="O5865" s="94"/>
      <c r="P5865" s="94"/>
      <c r="Q5865" s="94"/>
      <c r="R5865" s="94"/>
      <c r="S5865" s="94"/>
      <c r="T5865" s="94"/>
      <c r="U5865" s="94"/>
      <c r="V5865" s="94"/>
      <c r="W5865" s="94"/>
      <c r="X5865" s="94"/>
      <c r="Y5865" s="94"/>
      <c r="Z5865" s="94"/>
      <c r="AA5865" s="94"/>
      <c r="AB5865" s="94"/>
      <c r="AC5865" s="94"/>
      <c r="AD5865" s="94"/>
      <c r="AE5865" s="94"/>
      <c r="AF5865" s="94"/>
      <c r="AG5865" s="94"/>
      <c r="AH5865" s="94"/>
    </row>
    <row r="5866" ht="12.75" hidden="1" customHeight="1" outlineLevel="1">
      <c r="A5866" s="122">
        <v>42038.0</v>
      </c>
      <c r="B5866" s="32" t="s">
        <v>347</v>
      </c>
      <c r="C5866" s="32" t="s">
        <v>2192</v>
      </c>
      <c r="D5866" s="708">
        <v>250.0</v>
      </c>
      <c r="E5866" s="195">
        <v>11.63</v>
      </c>
      <c r="F5866" s="709">
        <v>0.6037037037037037</v>
      </c>
      <c r="G5866" s="195" t="s">
        <v>453</v>
      </c>
      <c r="H5866" s="710">
        <v>1.31</v>
      </c>
      <c r="I5866" s="256"/>
      <c r="J5866" s="67">
        <f t="shared" si="363"/>
        <v>2906.19</v>
      </c>
      <c r="L5866" s="70"/>
      <c r="M5866" s="934"/>
      <c r="N5866" s="94"/>
      <c r="O5866" s="94"/>
      <c r="P5866" s="94"/>
      <c r="Q5866" s="94"/>
      <c r="R5866" s="94"/>
      <c r="S5866" s="94"/>
      <c r="T5866" s="94"/>
      <c r="U5866" s="94"/>
      <c r="V5866" s="94"/>
      <c r="W5866" s="94"/>
      <c r="X5866" s="94"/>
      <c r="Y5866" s="94"/>
      <c r="Z5866" s="94"/>
      <c r="AA5866" s="94"/>
      <c r="AB5866" s="94"/>
      <c r="AC5866" s="94"/>
      <c r="AD5866" s="94"/>
      <c r="AE5866" s="94"/>
      <c r="AF5866" s="94"/>
      <c r="AG5866" s="94"/>
      <c r="AH5866" s="94"/>
    </row>
    <row r="5867" ht="12.75" hidden="1" customHeight="1" outlineLevel="1">
      <c r="A5867" s="122">
        <v>42038.0</v>
      </c>
      <c r="B5867" s="32" t="s">
        <v>347</v>
      </c>
      <c r="C5867" s="32" t="s">
        <v>784</v>
      </c>
      <c r="D5867" s="708">
        <v>1500.0</v>
      </c>
      <c r="E5867" s="195">
        <v>7.67</v>
      </c>
      <c r="F5867" s="709">
        <v>0.6215277777777778</v>
      </c>
      <c r="G5867" s="195" t="s">
        <v>453</v>
      </c>
      <c r="H5867" s="710">
        <v>7.75</v>
      </c>
      <c r="I5867" s="256"/>
      <c r="J5867" s="67">
        <f t="shared" si="363"/>
        <v>11497.25</v>
      </c>
      <c r="L5867" s="70"/>
      <c r="M5867" s="934"/>
      <c r="N5867" s="94"/>
      <c r="O5867" s="94"/>
      <c r="P5867" s="94"/>
      <c r="Q5867" s="94"/>
      <c r="R5867" s="94"/>
      <c r="S5867" s="94"/>
      <c r="T5867" s="94"/>
      <c r="U5867" s="94"/>
      <c r="V5867" s="94"/>
      <c r="W5867" s="94"/>
      <c r="X5867" s="94"/>
      <c r="Y5867" s="94"/>
      <c r="Z5867" s="94"/>
      <c r="AA5867" s="94"/>
      <c r="AB5867" s="94"/>
      <c r="AC5867" s="94"/>
      <c r="AD5867" s="94"/>
      <c r="AE5867" s="94"/>
      <c r="AF5867" s="94"/>
      <c r="AG5867" s="94"/>
      <c r="AH5867" s="94"/>
    </row>
    <row r="5868" ht="12.75" hidden="1" customHeight="1" outlineLevel="1">
      <c r="A5868" s="882">
        <v>42038.0</v>
      </c>
      <c r="B5868" s="1"/>
      <c r="C5868" s="1" t="s">
        <v>339</v>
      </c>
      <c r="D5868" s="74"/>
      <c r="E5868" s="67"/>
      <c r="F5868" s="75"/>
      <c r="G5868" s="67"/>
      <c r="H5868" s="68"/>
      <c r="I5868" s="76"/>
      <c r="J5868" s="67"/>
      <c r="K5868" s="967" t="s">
        <v>2803</v>
      </c>
      <c r="L5868" s="934"/>
      <c r="M5868" s="934"/>
    </row>
    <row r="5869" ht="12.75" hidden="1" customHeight="1" outlineLevel="1">
      <c r="A5869" s="882">
        <v>42038.0</v>
      </c>
      <c r="B5869" s="1"/>
      <c r="C5869" s="1" t="s">
        <v>429</v>
      </c>
      <c r="D5869" s="74"/>
      <c r="E5869" s="67"/>
      <c r="F5869" s="75"/>
      <c r="G5869" s="67"/>
      <c r="H5869" s="68"/>
      <c r="I5869" s="76"/>
      <c r="J5869" s="67"/>
      <c r="K5869" s="9" t="s">
        <v>2795</v>
      </c>
      <c r="L5869" s="934"/>
      <c r="M5869" s="934"/>
    </row>
    <row r="5870" ht="12.75" hidden="1" customHeight="1" outlineLevel="1">
      <c r="A5870" s="882">
        <v>42038.0</v>
      </c>
      <c r="B5870" s="1"/>
      <c r="C5870" s="1" t="s">
        <v>431</v>
      </c>
      <c r="D5870" s="74"/>
      <c r="E5870" s="67"/>
      <c r="F5870" s="75"/>
      <c r="G5870" s="67"/>
      <c r="H5870" s="68"/>
      <c r="I5870" s="76"/>
      <c r="J5870" s="67"/>
      <c r="K5870" s="7" t="s">
        <v>1126</v>
      </c>
      <c r="L5870" s="934"/>
      <c r="M5870" s="934"/>
    </row>
    <row r="5871" ht="12.75" hidden="1" customHeight="1" outlineLevel="1">
      <c r="A5871" s="882">
        <v>42038.0</v>
      </c>
      <c r="B5871" s="1"/>
      <c r="C5871" s="1" t="s">
        <v>433</v>
      </c>
      <c r="D5871" s="74"/>
      <c r="E5871" s="67"/>
      <c r="F5871" s="75"/>
      <c r="G5871" s="67"/>
      <c r="H5871" s="68"/>
      <c r="I5871" s="76"/>
      <c r="J5871" s="67"/>
      <c r="K5871" s="7" t="s">
        <v>1103</v>
      </c>
      <c r="L5871" s="934"/>
      <c r="M5871" s="934"/>
    </row>
    <row r="5872" ht="12.75" hidden="1" customHeight="1" outlineLevel="1">
      <c r="A5872" s="882">
        <v>42038.0</v>
      </c>
      <c r="B5872" s="1"/>
      <c r="C5872" s="1" t="s">
        <v>435</v>
      </c>
      <c r="D5872" s="74"/>
      <c r="E5872" s="67"/>
      <c r="F5872" s="75"/>
      <c r="G5872" s="67"/>
      <c r="H5872" s="68"/>
      <c r="I5872" s="76"/>
      <c r="J5872" s="67"/>
      <c r="K5872" s="9" t="s">
        <v>2802</v>
      </c>
      <c r="L5872" s="934"/>
      <c r="M5872" s="934"/>
    </row>
    <row r="5873" ht="12.75" hidden="1" customHeight="1" outlineLevel="1">
      <c r="A5873" s="122">
        <v>42039.0</v>
      </c>
      <c r="B5873" s="32" t="s">
        <v>347</v>
      </c>
      <c r="C5873" s="32" t="s">
        <v>369</v>
      </c>
      <c r="D5873" s="708">
        <v>500.0</v>
      </c>
      <c r="E5873" s="195">
        <v>6.577</v>
      </c>
      <c r="F5873" s="709">
        <v>0.39892361111111113</v>
      </c>
      <c r="G5873" s="195" t="s">
        <v>453</v>
      </c>
      <c r="H5873" s="710">
        <v>2.07</v>
      </c>
      <c r="I5873" s="256"/>
      <c r="J5873" s="67">
        <f t="shared" ref="J5873:J5879" si="364">IF(B5873="SLD",D5873*E5873,-D5873*E5873)-H5873</f>
        <v>3286.43</v>
      </c>
      <c r="L5873" s="70"/>
      <c r="M5873" s="934"/>
      <c r="N5873" s="94"/>
      <c r="O5873" s="94"/>
      <c r="P5873" s="94"/>
      <c r="Q5873" s="94"/>
      <c r="R5873" s="94"/>
      <c r="S5873" s="94"/>
      <c r="T5873" s="94"/>
      <c r="U5873" s="94"/>
      <c r="V5873" s="94"/>
      <c r="W5873" s="94"/>
      <c r="X5873" s="94"/>
      <c r="Y5873" s="94"/>
      <c r="Z5873" s="94"/>
      <c r="AA5873" s="94"/>
      <c r="AB5873" s="94"/>
      <c r="AC5873" s="94"/>
      <c r="AD5873" s="94"/>
      <c r="AE5873" s="94"/>
      <c r="AF5873" s="94"/>
      <c r="AG5873" s="94"/>
      <c r="AH5873" s="94"/>
    </row>
    <row r="5874" ht="12.75" hidden="1" customHeight="1" outlineLevel="1">
      <c r="A5874" s="122">
        <v>42039.0</v>
      </c>
      <c r="B5874" s="32" t="s">
        <v>343</v>
      </c>
      <c r="C5874" s="32" t="s">
        <v>1249</v>
      </c>
      <c r="D5874" s="708">
        <v>300.0</v>
      </c>
      <c r="E5874" s="195">
        <v>95.692</v>
      </c>
      <c r="F5874" s="709">
        <v>0.40119212962962963</v>
      </c>
      <c r="G5874" s="195" t="s">
        <v>453</v>
      </c>
      <c r="H5874" s="710">
        <v>1.5</v>
      </c>
      <c r="I5874" s="256"/>
      <c r="J5874" s="67">
        <f t="shared" si="364"/>
        <v>-28709.1</v>
      </c>
      <c r="L5874" s="70"/>
      <c r="M5874" s="934"/>
      <c r="N5874" s="94"/>
      <c r="O5874" s="94"/>
      <c r="P5874" s="94"/>
      <c r="Q5874" s="94"/>
      <c r="R5874" s="94"/>
      <c r="S5874" s="94"/>
      <c r="T5874" s="94"/>
      <c r="U5874" s="94"/>
      <c r="V5874" s="94"/>
      <c r="W5874" s="94"/>
      <c r="X5874" s="94"/>
      <c r="Y5874" s="94"/>
      <c r="Z5874" s="94"/>
      <c r="AA5874" s="94"/>
      <c r="AB5874" s="94"/>
      <c r="AC5874" s="94"/>
      <c r="AD5874" s="94"/>
      <c r="AE5874" s="94"/>
      <c r="AF5874" s="94"/>
      <c r="AG5874" s="94"/>
      <c r="AH5874" s="94"/>
    </row>
    <row r="5875" ht="12.75" hidden="1" customHeight="1" outlineLevel="1">
      <c r="A5875" s="122">
        <v>42039.0</v>
      </c>
      <c r="B5875" s="32" t="s">
        <v>347</v>
      </c>
      <c r="C5875" s="32" t="s">
        <v>784</v>
      </c>
      <c r="D5875" s="708">
        <v>1500.0</v>
      </c>
      <c r="E5875" s="195">
        <v>7.48</v>
      </c>
      <c r="F5875" s="709">
        <v>0.4117939814814815</v>
      </c>
      <c r="G5875" s="195" t="s">
        <v>453</v>
      </c>
      <c r="H5875" s="710">
        <v>7.75</v>
      </c>
      <c r="I5875" s="256"/>
      <c r="J5875" s="67">
        <f t="shared" si="364"/>
        <v>11212.25</v>
      </c>
      <c r="L5875" s="70"/>
      <c r="M5875" s="934"/>
      <c r="N5875" s="94"/>
      <c r="O5875" s="94"/>
      <c r="P5875" s="94"/>
      <c r="Q5875" s="94"/>
      <c r="R5875" s="94"/>
      <c r="S5875" s="94"/>
      <c r="T5875" s="94"/>
      <c r="U5875" s="94"/>
      <c r="V5875" s="94"/>
      <c r="W5875" s="94"/>
      <c r="X5875" s="94"/>
      <c r="Y5875" s="94"/>
      <c r="Z5875" s="94"/>
      <c r="AA5875" s="94"/>
      <c r="AB5875" s="94"/>
      <c r="AC5875" s="94"/>
      <c r="AD5875" s="94"/>
      <c r="AE5875" s="94"/>
      <c r="AF5875" s="94"/>
      <c r="AG5875" s="94"/>
      <c r="AH5875" s="94"/>
    </row>
    <row r="5876" ht="12.75" hidden="1" customHeight="1" outlineLevel="1">
      <c r="A5876" s="122">
        <v>42039.0</v>
      </c>
      <c r="B5876" s="32" t="s">
        <v>347</v>
      </c>
      <c r="C5876" s="32" t="s">
        <v>790</v>
      </c>
      <c r="D5876" s="708">
        <v>1000.0</v>
      </c>
      <c r="E5876" s="195">
        <v>7.181</v>
      </c>
      <c r="F5876" s="709">
        <v>0.4192592592592593</v>
      </c>
      <c r="G5876" s="195" t="s">
        <v>453</v>
      </c>
      <c r="H5876" s="710">
        <v>4.16</v>
      </c>
      <c r="I5876" s="256"/>
      <c r="J5876" s="67">
        <f t="shared" si="364"/>
        <v>7176.84</v>
      </c>
      <c r="L5876" s="70"/>
      <c r="M5876" s="934"/>
      <c r="N5876" s="94"/>
      <c r="O5876" s="94"/>
      <c r="P5876" s="94"/>
      <c r="Q5876" s="94"/>
      <c r="R5876" s="94"/>
      <c r="S5876" s="94"/>
      <c r="T5876" s="94"/>
      <c r="U5876" s="94"/>
      <c r="V5876" s="94"/>
      <c r="W5876" s="94"/>
      <c r="X5876" s="94"/>
      <c r="Y5876" s="94"/>
      <c r="Z5876" s="94"/>
      <c r="AA5876" s="94"/>
      <c r="AB5876" s="94"/>
      <c r="AC5876" s="94"/>
      <c r="AD5876" s="94"/>
      <c r="AE5876" s="94"/>
      <c r="AF5876" s="94"/>
      <c r="AG5876" s="94"/>
      <c r="AH5876" s="94"/>
    </row>
    <row r="5877" ht="12.75" hidden="1" customHeight="1" outlineLevel="1">
      <c r="A5877" s="122">
        <v>42039.0</v>
      </c>
      <c r="B5877" s="32" t="s">
        <v>347</v>
      </c>
      <c r="C5877" s="32" t="s">
        <v>1357</v>
      </c>
      <c r="D5877" s="708">
        <v>150.0</v>
      </c>
      <c r="E5877" s="195">
        <v>39.48</v>
      </c>
      <c r="F5877" s="709">
        <v>0.42645833333333333</v>
      </c>
      <c r="G5877" s="195" t="s">
        <v>453</v>
      </c>
      <c r="H5877" s="710">
        <v>1.13</v>
      </c>
      <c r="I5877" s="256"/>
      <c r="J5877" s="67">
        <f t="shared" si="364"/>
        <v>5920.87</v>
      </c>
      <c r="L5877" s="70"/>
      <c r="M5877" s="934"/>
      <c r="N5877" s="94"/>
      <c r="O5877" s="94"/>
      <c r="P5877" s="94"/>
      <c r="Q5877" s="94"/>
      <c r="R5877" s="94"/>
      <c r="S5877" s="94"/>
      <c r="T5877" s="94"/>
      <c r="U5877" s="94"/>
      <c r="V5877" s="94"/>
      <c r="W5877" s="94"/>
      <c r="X5877" s="94"/>
      <c r="Y5877" s="94"/>
      <c r="Z5877" s="94"/>
      <c r="AA5877" s="94"/>
      <c r="AB5877" s="94"/>
      <c r="AC5877" s="94"/>
      <c r="AD5877" s="94"/>
      <c r="AE5877" s="94"/>
      <c r="AF5877" s="94"/>
      <c r="AG5877" s="94"/>
      <c r="AH5877" s="94"/>
    </row>
    <row r="5878" ht="12.75" hidden="1" customHeight="1" outlineLevel="1">
      <c r="A5878" s="122">
        <v>42039.0</v>
      </c>
      <c r="B5878" s="32" t="s">
        <v>347</v>
      </c>
      <c r="C5878" s="32" t="s">
        <v>1382</v>
      </c>
      <c r="D5878" s="708">
        <v>50.0</v>
      </c>
      <c r="E5878" s="195">
        <v>148.81</v>
      </c>
      <c r="F5878" s="709">
        <v>0.4283564814814815</v>
      </c>
      <c r="G5878" s="195" t="s">
        <v>453</v>
      </c>
      <c r="H5878" s="710">
        <v>1.16</v>
      </c>
      <c r="I5878" s="256"/>
      <c r="J5878" s="67">
        <f t="shared" si="364"/>
        <v>7439.34</v>
      </c>
      <c r="L5878" s="70"/>
      <c r="M5878" s="934"/>
      <c r="N5878" s="94"/>
      <c r="O5878" s="94"/>
      <c r="P5878" s="94"/>
      <c r="Q5878" s="94"/>
      <c r="R5878" s="94"/>
      <c r="S5878" s="94"/>
      <c r="T5878" s="94"/>
      <c r="U5878" s="94"/>
      <c r="V5878" s="94"/>
      <c r="W5878" s="94"/>
      <c r="X5878" s="94"/>
      <c r="Y5878" s="94"/>
      <c r="Z5878" s="94"/>
      <c r="AA5878" s="94"/>
      <c r="AB5878" s="94"/>
      <c r="AC5878" s="94"/>
      <c r="AD5878" s="94"/>
      <c r="AE5878" s="94"/>
      <c r="AF5878" s="94"/>
      <c r="AG5878" s="94"/>
      <c r="AH5878" s="94"/>
    </row>
    <row r="5879" ht="12.75" hidden="1" customHeight="1" outlineLevel="1">
      <c r="A5879" s="122">
        <v>42039.0</v>
      </c>
      <c r="B5879" s="32" t="s">
        <v>347</v>
      </c>
      <c r="C5879" s="32" t="s">
        <v>364</v>
      </c>
      <c r="D5879" s="708">
        <v>50.0</v>
      </c>
      <c r="E5879" s="195">
        <v>135.27</v>
      </c>
      <c r="F5879" s="709">
        <v>0.4312962962962963</v>
      </c>
      <c r="G5879" s="195" t="s">
        <v>453</v>
      </c>
      <c r="H5879" s="710">
        <v>1.15</v>
      </c>
      <c r="I5879" s="256"/>
      <c r="J5879" s="67">
        <f t="shared" si="364"/>
        <v>6762.35</v>
      </c>
      <c r="L5879" s="70"/>
      <c r="M5879" s="934"/>
      <c r="N5879" s="94"/>
      <c r="O5879" s="94"/>
      <c r="P5879" s="94"/>
      <c r="Q5879" s="94"/>
      <c r="R5879" s="94"/>
      <c r="S5879" s="94"/>
      <c r="T5879" s="94"/>
      <c r="U5879" s="94"/>
      <c r="V5879" s="94"/>
      <c r="W5879" s="94"/>
      <c r="X5879" s="94"/>
      <c r="Y5879" s="94"/>
      <c r="Z5879" s="94"/>
      <c r="AA5879" s="94"/>
      <c r="AB5879" s="94"/>
      <c r="AC5879" s="94"/>
      <c r="AD5879" s="94"/>
      <c r="AE5879" s="94"/>
      <c r="AF5879" s="94"/>
      <c r="AG5879" s="94"/>
      <c r="AH5879" s="94"/>
    </row>
    <row r="5880" ht="12.75" hidden="1" customHeight="1" outlineLevel="1">
      <c r="A5880" s="882">
        <v>42039.0</v>
      </c>
      <c r="B5880" s="1"/>
      <c r="C5880" s="1" t="s">
        <v>339</v>
      </c>
      <c r="D5880" s="74"/>
      <c r="E5880" s="67"/>
      <c r="F5880" s="75"/>
      <c r="G5880" s="67"/>
      <c r="H5880" s="68"/>
      <c r="I5880" s="76"/>
      <c r="J5880" s="67"/>
      <c r="K5880" s="967" t="s">
        <v>2804</v>
      </c>
      <c r="L5880" s="934"/>
      <c r="M5880" s="934"/>
    </row>
    <row r="5881" ht="12.75" hidden="1" customHeight="1" outlineLevel="1">
      <c r="A5881" s="882">
        <v>42039.0</v>
      </c>
      <c r="B5881" s="1"/>
      <c r="C5881" s="1" t="s">
        <v>429</v>
      </c>
      <c r="D5881" s="74"/>
      <c r="E5881" s="67"/>
      <c r="F5881" s="75"/>
      <c r="G5881" s="67"/>
      <c r="H5881" s="68"/>
      <c r="I5881" s="76"/>
      <c r="J5881" s="67"/>
      <c r="K5881" s="9" t="s">
        <v>2795</v>
      </c>
      <c r="L5881" s="934"/>
      <c r="M5881" s="934"/>
    </row>
    <row r="5882" ht="12.75" hidden="1" customHeight="1" outlineLevel="1">
      <c r="A5882" s="882">
        <v>42039.0</v>
      </c>
      <c r="B5882" s="1"/>
      <c r="C5882" s="1" t="s">
        <v>431</v>
      </c>
      <c r="D5882" s="74"/>
      <c r="E5882" s="67"/>
      <c r="F5882" s="75"/>
      <c r="G5882" s="67"/>
      <c r="H5882" s="68"/>
      <c r="I5882" s="76"/>
      <c r="J5882" s="67"/>
      <c r="K5882" s="7" t="s">
        <v>1126</v>
      </c>
      <c r="L5882" s="934"/>
      <c r="M5882" s="934"/>
    </row>
    <row r="5883" ht="12.75" hidden="1" customHeight="1" outlineLevel="1">
      <c r="A5883" s="882">
        <v>42039.0</v>
      </c>
      <c r="B5883" s="1"/>
      <c r="C5883" s="1" t="s">
        <v>433</v>
      </c>
      <c r="D5883" s="74"/>
      <c r="E5883" s="67"/>
      <c r="F5883" s="75"/>
      <c r="G5883" s="67"/>
      <c r="H5883" s="68"/>
      <c r="I5883" s="76"/>
      <c r="J5883" s="67"/>
      <c r="K5883" s="7" t="s">
        <v>1103</v>
      </c>
      <c r="L5883" s="934"/>
      <c r="M5883" s="934"/>
    </row>
    <row r="5884" ht="12.75" hidden="1" customHeight="1" outlineLevel="1">
      <c r="A5884" s="882">
        <v>42039.0</v>
      </c>
      <c r="B5884" s="1"/>
      <c r="C5884" s="1" t="s">
        <v>435</v>
      </c>
      <c r="D5884" s="74"/>
      <c r="E5884" s="67"/>
      <c r="F5884" s="75"/>
      <c r="G5884" s="67"/>
      <c r="H5884" s="68"/>
      <c r="I5884" s="76"/>
      <c r="J5884" s="67"/>
      <c r="K5884" s="9" t="s">
        <v>2802</v>
      </c>
      <c r="L5884" s="934"/>
      <c r="M5884" s="934"/>
    </row>
    <row r="5885" ht="12.75" hidden="1" customHeight="1" outlineLevel="1">
      <c r="A5885" s="122">
        <v>42040.0</v>
      </c>
      <c r="B5885" s="32" t="s">
        <v>347</v>
      </c>
      <c r="C5885" s="32" t="s">
        <v>790</v>
      </c>
      <c r="D5885" s="708">
        <v>1500.0</v>
      </c>
      <c r="E5885" s="195">
        <v>7.15</v>
      </c>
      <c r="F5885" s="709">
        <v>0.5514930555555555</v>
      </c>
      <c r="G5885" s="195" t="s">
        <v>453</v>
      </c>
      <c r="H5885" s="710">
        <v>7.74</v>
      </c>
      <c r="I5885" s="256"/>
      <c r="J5885" s="67">
        <f t="shared" ref="J5885:J5888" si="365">IF(B5885="SLD",D5885*E5885,-D5885*E5885)-H5885</f>
        <v>10717.26</v>
      </c>
      <c r="L5885" s="70"/>
      <c r="M5885" s="934"/>
      <c r="N5885" s="94"/>
      <c r="O5885" s="94"/>
      <c r="P5885" s="94"/>
      <c r="Q5885" s="94"/>
      <c r="R5885" s="94"/>
      <c r="S5885" s="94"/>
      <c r="T5885" s="94"/>
      <c r="U5885" s="94"/>
      <c r="V5885" s="94"/>
      <c r="W5885" s="94"/>
      <c r="X5885" s="94"/>
      <c r="Y5885" s="94"/>
      <c r="Z5885" s="94"/>
      <c r="AA5885" s="94"/>
      <c r="AB5885" s="94"/>
      <c r="AC5885" s="94"/>
      <c r="AD5885" s="94"/>
      <c r="AE5885" s="94"/>
      <c r="AF5885" s="94"/>
      <c r="AG5885" s="94"/>
      <c r="AH5885" s="94"/>
    </row>
    <row r="5886" ht="12.75" hidden="1" customHeight="1" outlineLevel="1">
      <c r="A5886" s="122">
        <v>42040.0</v>
      </c>
      <c r="B5886" s="32" t="s">
        <v>347</v>
      </c>
      <c r="C5886" s="32" t="s">
        <v>784</v>
      </c>
      <c r="D5886" s="708">
        <v>1000.0</v>
      </c>
      <c r="E5886" s="195">
        <v>7.47</v>
      </c>
      <c r="F5886" s="709">
        <v>0.5847685185185185</v>
      </c>
      <c r="G5886" s="195" t="s">
        <v>453</v>
      </c>
      <c r="H5886" s="710">
        <v>5.17</v>
      </c>
      <c r="I5886" s="256"/>
      <c r="J5886" s="67">
        <f t="shared" si="365"/>
        <v>7464.83</v>
      </c>
      <c r="L5886" s="70"/>
      <c r="M5886" s="934"/>
      <c r="N5886" s="94"/>
      <c r="O5886" s="94"/>
      <c r="P5886" s="94"/>
      <c r="Q5886" s="94"/>
      <c r="R5886" s="94"/>
      <c r="S5886" s="94"/>
      <c r="T5886" s="94"/>
      <c r="U5886" s="94"/>
      <c r="V5886" s="94"/>
      <c r="W5886" s="94"/>
      <c r="X5886" s="94"/>
      <c r="Y5886" s="94"/>
      <c r="Z5886" s="94"/>
      <c r="AA5886" s="94"/>
      <c r="AB5886" s="94"/>
      <c r="AC5886" s="94"/>
      <c r="AD5886" s="94"/>
      <c r="AE5886" s="94"/>
      <c r="AF5886" s="94"/>
      <c r="AG5886" s="94"/>
      <c r="AH5886" s="94"/>
    </row>
    <row r="5887" ht="12.75" hidden="1" customHeight="1" outlineLevel="1">
      <c r="A5887" s="122">
        <v>42040.0</v>
      </c>
      <c r="B5887" s="32" t="s">
        <v>343</v>
      </c>
      <c r="C5887" s="32" t="s">
        <v>1766</v>
      </c>
      <c r="D5887" s="708">
        <v>300.0</v>
      </c>
      <c r="E5887" s="195">
        <v>77.5</v>
      </c>
      <c r="F5887" s="709">
        <v>0.5921296296296297</v>
      </c>
      <c r="G5887" s="195" t="s">
        <v>453</v>
      </c>
      <c r="H5887" s="710">
        <v>1.4</v>
      </c>
      <c r="I5887" s="256"/>
      <c r="J5887" s="67">
        <f t="shared" si="365"/>
        <v>-23251.4</v>
      </c>
      <c r="L5887" s="70"/>
      <c r="M5887" s="934"/>
      <c r="N5887" s="94"/>
      <c r="O5887" s="94"/>
      <c r="P5887" s="94"/>
      <c r="Q5887" s="94"/>
      <c r="R5887" s="94"/>
      <c r="S5887" s="94"/>
      <c r="T5887" s="94"/>
      <c r="U5887" s="94"/>
      <c r="V5887" s="94"/>
      <c r="W5887" s="94"/>
      <c r="X5887" s="94"/>
      <c r="Y5887" s="94"/>
      <c r="Z5887" s="94"/>
      <c r="AA5887" s="94"/>
      <c r="AB5887" s="94"/>
      <c r="AC5887" s="94"/>
      <c r="AD5887" s="94"/>
      <c r="AE5887" s="94"/>
      <c r="AF5887" s="94"/>
      <c r="AG5887" s="94"/>
      <c r="AH5887" s="94"/>
    </row>
    <row r="5888" ht="12.75" hidden="1" customHeight="1" outlineLevel="1">
      <c r="A5888" s="122">
        <v>42040.0</v>
      </c>
      <c r="B5888" s="32" t="s">
        <v>347</v>
      </c>
      <c r="C5888" s="32" t="s">
        <v>790</v>
      </c>
      <c r="D5888" s="708">
        <v>2000.0</v>
      </c>
      <c r="E5888" s="195">
        <v>7.051</v>
      </c>
      <c r="F5888" s="709">
        <v>0.5946180555555556</v>
      </c>
      <c r="G5888" s="195" t="s">
        <v>453</v>
      </c>
      <c r="H5888" s="710">
        <v>8.31</v>
      </c>
      <c r="I5888" s="256"/>
      <c r="J5888" s="67">
        <f t="shared" si="365"/>
        <v>14093.69</v>
      </c>
      <c r="L5888" s="70"/>
      <c r="M5888" s="934"/>
      <c r="N5888" s="94"/>
      <c r="O5888" s="94"/>
      <c r="P5888" s="94"/>
      <c r="Q5888" s="94"/>
      <c r="R5888" s="94"/>
      <c r="S5888" s="94"/>
      <c r="T5888" s="94"/>
      <c r="U5888" s="94"/>
      <c r="V5888" s="94"/>
      <c r="W5888" s="94"/>
      <c r="X5888" s="94"/>
      <c r="Y5888" s="94"/>
      <c r="Z5888" s="94"/>
      <c r="AA5888" s="94"/>
      <c r="AB5888" s="94"/>
      <c r="AC5888" s="94"/>
      <c r="AD5888" s="94"/>
      <c r="AE5888" s="94"/>
      <c r="AF5888" s="94"/>
      <c r="AG5888" s="94"/>
      <c r="AH5888" s="94"/>
    </row>
    <row r="5889" ht="12.75" hidden="1" customHeight="1" outlineLevel="1">
      <c r="A5889" s="882">
        <v>42040.0</v>
      </c>
      <c r="B5889" s="1"/>
      <c r="C5889" s="1" t="s">
        <v>339</v>
      </c>
      <c r="D5889" s="74"/>
      <c r="E5889" s="67"/>
      <c r="F5889" s="75"/>
      <c r="G5889" s="67"/>
      <c r="H5889" s="68"/>
      <c r="I5889" s="76"/>
      <c r="J5889" s="67"/>
      <c r="K5889" s="967" t="s">
        <v>2805</v>
      </c>
      <c r="L5889" s="934"/>
      <c r="M5889" s="934"/>
    </row>
    <row r="5890" ht="12.75" hidden="1" customHeight="1" outlineLevel="1">
      <c r="A5890" s="882">
        <v>42040.0</v>
      </c>
      <c r="B5890" s="1"/>
      <c r="C5890" s="1" t="s">
        <v>429</v>
      </c>
      <c r="D5890" s="74"/>
      <c r="E5890" s="67"/>
      <c r="F5890" s="75"/>
      <c r="G5890" s="67"/>
      <c r="H5890" s="68"/>
      <c r="I5890" s="76"/>
      <c r="J5890" s="67"/>
      <c r="K5890" s="9" t="s">
        <v>2795</v>
      </c>
      <c r="L5890" s="934"/>
      <c r="M5890" s="934"/>
    </row>
    <row r="5891" ht="12.75" hidden="1" customHeight="1" outlineLevel="1">
      <c r="A5891" s="882">
        <v>42040.0</v>
      </c>
      <c r="B5891" s="1"/>
      <c r="C5891" s="1" t="s">
        <v>431</v>
      </c>
      <c r="D5891" s="74"/>
      <c r="E5891" s="67"/>
      <c r="F5891" s="75"/>
      <c r="G5891" s="67"/>
      <c r="H5891" s="68"/>
      <c r="I5891" s="76"/>
      <c r="J5891" s="67"/>
      <c r="K5891" s="7" t="s">
        <v>1126</v>
      </c>
      <c r="L5891" s="934"/>
      <c r="M5891" s="934"/>
    </row>
    <row r="5892" ht="12.75" hidden="1" customHeight="1" outlineLevel="1">
      <c r="A5892" s="882">
        <v>42040.0</v>
      </c>
      <c r="B5892" s="1"/>
      <c r="C5892" s="1" t="s">
        <v>433</v>
      </c>
      <c r="D5892" s="74"/>
      <c r="E5892" s="67"/>
      <c r="F5892" s="75"/>
      <c r="G5892" s="67"/>
      <c r="H5892" s="68"/>
      <c r="I5892" s="76"/>
      <c r="J5892" s="67"/>
      <c r="K5892" s="7" t="s">
        <v>1103</v>
      </c>
      <c r="L5892" s="934"/>
      <c r="M5892" s="934"/>
    </row>
    <row r="5893" ht="12.75" hidden="1" customHeight="1" outlineLevel="1">
      <c r="A5893" s="882">
        <v>42040.0</v>
      </c>
      <c r="B5893" s="1"/>
      <c r="C5893" s="1" t="s">
        <v>435</v>
      </c>
      <c r="D5893" s="74"/>
      <c r="E5893" s="67"/>
      <c r="F5893" s="75"/>
      <c r="G5893" s="67"/>
      <c r="H5893" s="68"/>
      <c r="I5893" s="76"/>
      <c r="J5893" s="67"/>
      <c r="K5893" s="9" t="s">
        <v>2802</v>
      </c>
      <c r="L5893" s="934"/>
      <c r="M5893" s="934"/>
    </row>
    <row r="5894" ht="12.75" hidden="1" customHeight="1" outlineLevel="1">
      <c r="A5894" s="122">
        <v>42041.0</v>
      </c>
      <c r="B5894" s="32" t="s">
        <v>343</v>
      </c>
      <c r="C5894" s="32" t="s">
        <v>1345</v>
      </c>
      <c r="D5894" s="708">
        <v>200.0</v>
      </c>
      <c r="E5894" s="195">
        <v>154.35</v>
      </c>
      <c r="F5894" s="709">
        <v>0.3973148148148148</v>
      </c>
      <c r="G5894" s="195" t="s">
        <v>453</v>
      </c>
      <c r="H5894" s="710">
        <v>1.0</v>
      </c>
      <c r="I5894" s="256"/>
      <c r="J5894" s="67">
        <f t="shared" ref="J5894:J5903" si="366">IF(B5894="SLD",D5894*E5894,-D5894*E5894)-H5894</f>
        <v>-30871</v>
      </c>
      <c r="L5894" s="70"/>
      <c r="M5894" s="934"/>
      <c r="N5894" s="94"/>
      <c r="O5894" s="94"/>
      <c r="P5894" s="94"/>
      <c r="Q5894" s="94"/>
      <c r="R5894" s="94"/>
      <c r="S5894" s="94"/>
      <c r="T5894" s="94"/>
      <c r="U5894" s="94"/>
      <c r="V5894" s="94"/>
      <c r="W5894" s="94"/>
      <c r="X5894" s="94"/>
      <c r="Y5894" s="94"/>
      <c r="Z5894" s="94"/>
      <c r="AA5894" s="94"/>
      <c r="AB5894" s="94"/>
      <c r="AC5894" s="94"/>
      <c r="AD5894" s="94"/>
      <c r="AE5894" s="94"/>
      <c r="AF5894" s="94"/>
      <c r="AG5894" s="94"/>
      <c r="AH5894" s="94"/>
    </row>
    <row r="5895" ht="12.75" hidden="1" customHeight="1" outlineLevel="1">
      <c r="A5895" s="122">
        <v>42041.0</v>
      </c>
      <c r="B5895" s="32" t="s">
        <v>343</v>
      </c>
      <c r="C5895" s="32" t="s">
        <v>369</v>
      </c>
      <c r="D5895" s="708">
        <v>1000.0</v>
      </c>
      <c r="E5895" s="195">
        <v>6.249</v>
      </c>
      <c r="F5895" s="709">
        <v>0.4453240740740741</v>
      </c>
      <c r="G5895" s="195" t="s">
        <v>453</v>
      </c>
      <c r="H5895" s="710">
        <v>4.0</v>
      </c>
      <c r="I5895" s="256"/>
      <c r="J5895" s="67">
        <f t="shared" si="366"/>
        <v>-6253</v>
      </c>
      <c r="L5895" s="70"/>
      <c r="M5895" s="934"/>
      <c r="N5895" s="94"/>
      <c r="O5895" s="94"/>
      <c r="P5895" s="94"/>
      <c r="Q5895" s="94"/>
      <c r="R5895" s="94"/>
      <c r="S5895" s="94"/>
      <c r="T5895" s="94"/>
      <c r="U5895" s="94"/>
      <c r="V5895" s="94"/>
      <c r="W5895" s="94"/>
      <c r="X5895" s="94"/>
      <c r="Y5895" s="94"/>
      <c r="Z5895" s="94"/>
      <c r="AA5895" s="94"/>
      <c r="AB5895" s="94"/>
      <c r="AC5895" s="94"/>
      <c r="AD5895" s="94"/>
      <c r="AE5895" s="94"/>
      <c r="AF5895" s="94"/>
      <c r="AG5895" s="94"/>
      <c r="AH5895" s="94"/>
    </row>
    <row r="5896" ht="12.75" hidden="1" customHeight="1" outlineLevel="1">
      <c r="A5896" s="122">
        <v>42041.0</v>
      </c>
      <c r="B5896" s="32" t="s">
        <v>347</v>
      </c>
      <c r="C5896" s="32" t="s">
        <v>369</v>
      </c>
      <c r="D5896" s="708">
        <v>2000.0</v>
      </c>
      <c r="E5896" s="195">
        <v>6.251</v>
      </c>
      <c r="F5896" s="709">
        <v>0.44559027777777777</v>
      </c>
      <c r="G5896" s="195" t="s">
        <v>453</v>
      </c>
      <c r="H5896" s="710">
        <v>8.28</v>
      </c>
      <c r="I5896" s="256"/>
      <c r="J5896" s="67">
        <f t="shared" si="366"/>
        <v>12493.72</v>
      </c>
      <c r="L5896" s="70"/>
      <c r="M5896" s="934"/>
      <c r="N5896" s="94"/>
      <c r="O5896" s="94"/>
      <c r="P5896" s="94"/>
      <c r="Q5896" s="94"/>
      <c r="R5896" s="94"/>
      <c r="S5896" s="94"/>
      <c r="T5896" s="94"/>
      <c r="U5896" s="94"/>
      <c r="V5896" s="94"/>
      <c r="W5896" s="94"/>
      <c r="X5896" s="94"/>
      <c r="Y5896" s="94"/>
      <c r="Z5896" s="94"/>
      <c r="AA5896" s="94"/>
      <c r="AB5896" s="94"/>
      <c r="AC5896" s="94"/>
      <c r="AD5896" s="94"/>
      <c r="AE5896" s="94"/>
      <c r="AF5896" s="94"/>
      <c r="AG5896" s="94"/>
      <c r="AH5896" s="94"/>
    </row>
    <row r="5897" ht="12.75" hidden="1" customHeight="1" outlineLevel="1">
      <c r="A5897" s="122">
        <v>42041.0</v>
      </c>
      <c r="B5897" s="32" t="s">
        <v>347</v>
      </c>
      <c r="C5897" s="32" t="s">
        <v>784</v>
      </c>
      <c r="D5897" s="708">
        <v>1000.0</v>
      </c>
      <c r="E5897" s="195">
        <v>7.311</v>
      </c>
      <c r="F5897" s="709">
        <v>0.4480208333333333</v>
      </c>
      <c r="G5897" s="195" t="s">
        <v>453</v>
      </c>
      <c r="H5897" s="710">
        <v>4.16</v>
      </c>
      <c r="I5897" s="256"/>
      <c r="J5897" s="67">
        <f t="shared" si="366"/>
        <v>7306.84</v>
      </c>
      <c r="L5897" s="70"/>
      <c r="M5897" s="934"/>
      <c r="N5897" s="94"/>
      <c r="O5897" s="94"/>
      <c r="P5897" s="94"/>
      <c r="Q5897" s="94"/>
      <c r="R5897" s="94"/>
      <c r="S5897" s="94"/>
      <c r="T5897" s="94"/>
      <c r="U5897" s="94"/>
      <c r="V5897" s="94"/>
      <c r="W5897" s="94"/>
      <c r="X5897" s="94"/>
      <c r="Y5897" s="94"/>
      <c r="Z5897" s="94"/>
      <c r="AA5897" s="94"/>
      <c r="AB5897" s="94"/>
      <c r="AC5897" s="94"/>
      <c r="AD5897" s="94"/>
      <c r="AE5897" s="94"/>
      <c r="AF5897" s="94"/>
      <c r="AG5897" s="94"/>
      <c r="AH5897" s="94"/>
    </row>
    <row r="5898" ht="12.75" hidden="1" customHeight="1" outlineLevel="1">
      <c r="A5898" s="122">
        <v>42041.0</v>
      </c>
      <c r="B5898" s="32" t="s">
        <v>347</v>
      </c>
      <c r="C5898" s="32" t="s">
        <v>369</v>
      </c>
      <c r="D5898" s="708">
        <v>1000.0</v>
      </c>
      <c r="E5898" s="195">
        <v>6.21</v>
      </c>
      <c r="F5898" s="709">
        <v>0.4492476851851852</v>
      </c>
      <c r="G5898" s="195" t="s">
        <v>453</v>
      </c>
      <c r="H5898" s="710">
        <v>4.74</v>
      </c>
      <c r="I5898" s="256"/>
      <c r="J5898" s="67">
        <f t="shared" si="366"/>
        <v>6205.26</v>
      </c>
      <c r="L5898" s="70"/>
      <c r="M5898" s="934"/>
      <c r="N5898" s="94"/>
      <c r="O5898" s="94"/>
      <c r="P5898" s="94"/>
      <c r="Q5898" s="94"/>
      <c r="R5898" s="94"/>
      <c r="S5898" s="94"/>
      <c r="T5898" s="94"/>
      <c r="U5898" s="94"/>
      <c r="V5898" s="94"/>
      <c r="W5898" s="94"/>
      <c r="X5898" s="94"/>
      <c r="Y5898" s="94"/>
      <c r="Z5898" s="94"/>
      <c r="AA5898" s="94"/>
      <c r="AB5898" s="94"/>
      <c r="AC5898" s="94"/>
      <c r="AD5898" s="94"/>
      <c r="AE5898" s="94"/>
      <c r="AF5898" s="94"/>
      <c r="AG5898" s="94"/>
      <c r="AH5898" s="94"/>
    </row>
    <row r="5899" ht="12.75" hidden="1" customHeight="1" outlineLevel="1">
      <c r="A5899" s="122">
        <v>42041.0</v>
      </c>
      <c r="B5899" s="32" t="s">
        <v>347</v>
      </c>
      <c r="C5899" s="32" t="s">
        <v>369</v>
      </c>
      <c r="D5899" s="708">
        <v>1000.0</v>
      </c>
      <c r="E5899" s="195">
        <v>6.161</v>
      </c>
      <c r="F5899" s="709">
        <v>0.45238425925925924</v>
      </c>
      <c r="G5899" s="195" t="s">
        <v>453</v>
      </c>
      <c r="H5899" s="710">
        <v>4.14</v>
      </c>
      <c r="I5899" s="256"/>
      <c r="J5899" s="67">
        <f t="shared" si="366"/>
        <v>6156.86</v>
      </c>
      <c r="L5899" s="70"/>
      <c r="M5899" s="934"/>
      <c r="N5899" s="94"/>
      <c r="O5899" s="94"/>
      <c r="P5899" s="94"/>
      <c r="Q5899" s="94"/>
      <c r="R5899" s="94"/>
      <c r="S5899" s="94"/>
      <c r="T5899" s="94"/>
      <c r="U5899" s="94"/>
      <c r="V5899" s="94"/>
      <c r="W5899" s="94"/>
      <c r="X5899" s="94"/>
      <c r="Y5899" s="94"/>
      <c r="Z5899" s="94"/>
      <c r="AA5899" s="94"/>
      <c r="AB5899" s="94"/>
      <c r="AC5899" s="94"/>
      <c r="AD5899" s="94"/>
      <c r="AE5899" s="94"/>
      <c r="AF5899" s="94"/>
      <c r="AG5899" s="94"/>
      <c r="AH5899" s="94"/>
    </row>
    <row r="5900" ht="12.75" hidden="1" customHeight="1" outlineLevel="1">
      <c r="A5900" s="122">
        <v>42041.0</v>
      </c>
      <c r="B5900" s="32" t="s">
        <v>347</v>
      </c>
      <c r="C5900" s="32" t="s">
        <v>784</v>
      </c>
      <c r="D5900" s="708">
        <v>1000.0</v>
      </c>
      <c r="E5900" s="195">
        <v>7.301</v>
      </c>
      <c r="F5900" s="709">
        <v>0.4581365740740741</v>
      </c>
      <c r="G5900" s="195" t="s">
        <v>453</v>
      </c>
      <c r="H5900" s="710">
        <v>4.16</v>
      </c>
      <c r="I5900" s="256"/>
      <c r="J5900" s="67">
        <f t="shared" si="366"/>
        <v>7296.84</v>
      </c>
      <c r="L5900" s="70"/>
      <c r="M5900" s="934"/>
      <c r="N5900" s="94"/>
      <c r="O5900" s="94"/>
      <c r="P5900" s="94"/>
      <c r="Q5900" s="94"/>
      <c r="R5900" s="94"/>
      <c r="S5900" s="94"/>
      <c r="T5900" s="94"/>
      <c r="U5900" s="94"/>
      <c r="V5900" s="94"/>
      <c r="W5900" s="94"/>
      <c r="X5900" s="94"/>
      <c r="Y5900" s="94"/>
      <c r="Z5900" s="94"/>
      <c r="AA5900" s="94"/>
      <c r="AB5900" s="94"/>
      <c r="AC5900" s="94"/>
      <c r="AD5900" s="94"/>
      <c r="AE5900" s="94"/>
      <c r="AF5900" s="94"/>
      <c r="AG5900" s="94"/>
      <c r="AH5900" s="94"/>
    </row>
    <row r="5901" ht="12.75" hidden="1" customHeight="1" outlineLevel="1">
      <c r="A5901" s="122">
        <v>42041.0</v>
      </c>
      <c r="B5901" s="32" t="s">
        <v>343</v>
      </c>
      <c r="C5901" s="32" t="s">
        <v>1158</v>
      </c>
      <c r="D5901" s="708">
        <v>200.0</v>
      </c>
      <c r="E5901" s="195">
        <v>46.2799</v>
      </c>
      <c r="F5901" s="709">
        <v>0.4607291666666667</v>
      </c>
      <c r="G5901" s="195" t="s">
        <v>453</v>
      </c>
      <c r="H5901" s="710">
        <v>1.0</v>
      </c>
      <c r="I5901" s="256"/>
      <c r="J5901" s="67">
        <f t="shared" si="366"/>
        <v>-9256.98</v>
      </c>
      <c r="L5901" s="70"/>
      <c r="M5901" s="934"/>
      <c r="N5901" s="94"/>
      <c r="O5901" s="94"/>
      <c r="P5901" s="94"/>
      <c r="Q5901" s="94"/>
      <c r="R5901" s="94"/>
      <c r="S5901" s="94"/>
      <c r="T5901" s="94"/>
      <c r="U5901" s="94"/>
      <c r="V5901" s="94"/>
      <c r="W5901" s="94"/>
      <c r="X5901" s="94"/>
      <c r="Y5901" s="94"/>
      <c r="Z5901" s="94"/>
      <c r="AA5901" s="94"/>
      <c r="AB5901" s="94"/>
      <c r="AC5901" s="94"/>
      <c r="AD5901" s="94"/>
      <c r="AE5901" s="94"/>
      <c r="AF5901" s="94"/>
      <c r="AG5901" s="94"/>
      <c r="AH5901" s="94"/>
    </row>
    <row r="5902" ht="12.75" hidden="1" customHeight="1" outlineLevel="1">
      <c r="A5902" s="122">
        <v>42041.0</v>
      </c>
      <c r="B5902" s="32" t="s">
        <v>343</v>
      </c>
      <c r="C5902" s="32" t="s">
        <v>1158</v>
      </c>
      <c r="D5902" s="708">
        <v>200.0</v>
      </c>
      <c r="E5902" s="195">
        <v>46.59</v>
      </c>
      <c r="F5902" s="709">
        <v>0.46240740740740743</v>
      </c>
      <c r="G5902" s="195" t="s">
        <v>453</v>
      </c>
      <c r="H5902" s="710">
        <v>1.0</v>
      </c>
      <c r="I5902" s="256"/>
      <c r="J5902" s="67">
        <f t="shared" si="366"/>
        <v>-9319</v>
      </c>
      <c r="L5902" s="70"/>
      <c r="M5902" s="934"/>
      <c r="N5902" s="94"/>
      <c r="O5902" s="94"/>
      <c r="P5902" s="94"/>
      <c r="Q5902" s="94"/>
      <c r="R5902" s="94"/>
      <c r="S5902" s="94"/>
      <c r="T5902" s="94"/>
      <c r="U5902" s="94"/>
      <c r="V5902" s="94"/>
      <c r="W5902" s="94"/>
      <c r="X5902" s="94"/>
      <c r="Y5902" s="94"/>
      <c r="Z5902" s="94"/>
      <c r="AA5902" s="94"/>
      <c r="AB5902" s="94"/>
      <c r="AC5902" s="94"/>
      <c r="AD5902" s="94"/>
      <c r="AE5902" s="94"/>
      <c r="AF5902" s="94"/>
      <c r="AG5902" s="94"/>
      <c r="AH5902" s="94"/>
    </row>
    <row r="5903" ht="12.75" hidden="1" customHeight="1" outlineLevel="1">
      <c r="A5903" s="122">
        <v>42041.0</v>
      </c>
      <c r="B5903" s="32" t="s">
        <v>347</v>
      </c>
      <c r="C5903" s="32" t="s">
        <v>784</v>
      </c>
      <c r="D5903" s="708">
        <v>1000.0</v>
      </c>
      <c r="E5903" s="195">
        <v>7.251</v>
      </c>
      <c r="F5903" s="709">
        <v>0.4641087962962963</v>
      </c>
      <c r="G5903" s="195" t="s">
        <v>453</v>
      </c>
      <c r="H5903" s="710">
        <v>4.16</v>
      </c>
      <c r="I5903" s="256"/>
      <c r="J5903" s="67">
        <f t="shared" si="366"/>
        <v>7246.84</v>
      </c>
      <c r="L5903" s="70"/>
      <c r="M5903" s="934"/>
      <c r="N5903" s="94"/>
      <c r="O5903" s="94"/>
      <c r="P5903" s="94"/>
      <c r="Q5903" s="94"/>
      <c r="R5903" s="94"/>
      <c r="S5903" s="94"/>
      <c r="T5903" s="94"/>
      <c r="U5903" s="94"/>
      <c r="V5903" s="94"/>
      <c r="W5903" s="94"/>
      <c r="X5903" s="94"/>
      <c r="Y5903" s="94"/>
      <c r="Z5903" s="94"/>
      <c r="AA5903" s="94"/>
      <c r="AB5903" s="94"/>
      <c r="AC5903" s="94"/>
      <c r="AD5903" s="94"/>
      <c r="AE5903" s="94"/>
      <c r="AF5903" s="94"/>
      <c r="AG5903" s="94"/>
      <c r="AH5903" s="94"/>
    </row>
    <row r="5904" ht="12.75" hidden="1" customHeight="1" outlineLevel="1">
      <c r="A5904" s="882">
        <v>42041.0</v>
      </c>
      <c r="B5904" s="1"/>
      <c r="C5904" s="1" t="s">
        <v>339</v>
      </c>
      <c r="D5904" s="74"/>
      <c r="E5904" s="67"/>
      <c r="F5904" s="75"/>
      <c r="G5904" s="67"/>
      <c r="H5904" s="68"/>
      <c r="I5904" s="76"/>
      <c r="J5904" s="67"/>
      <c r="K5904" s="967" t="s">
        <v>2805</v>
      </c>
      <c r="L5904" s="934"/>
      <c r="M5904" s="934"/>
    </row>
    <row r="5905" ht="12.75" hidden="1" customHeight="1" outlineLevel="1">
      <c r="A5905" s="882">
        <v>42041.0</v>
      </c>
      <c r="B5905" s="1"/>
      <c r="C5905" s="1" t="s">
        <v>429</v>
      </c>
      <c r="D5905" s="74"/>
      <c r="E5905" s="67"/>
      <c r="F5905" s="75"/>
      <c r="G5905" s="67"/>
      <c r="H5905" s="68"/>
      <c r="I5905" s="76"/>
      <c r="J5905" s="67"/>
      <c r="K5905" s="9" t="s">
        <v>2795</v>
      </c>
      <c r="L5905" s="934"/>
      <c r="M5905" s="934"/>
    </row>
    <row r="5906" ht="12.75" hidden="1" customHeight="1" outlineLevel="1">
      <c r="A5906" s="882">
        <v>42041.0</v>
      </c>
      <c r="B5906" s="1"/>
      <c r="C5906" s="1" t="s">
        <v>431</v>
      </c>
      <c r="D5906" s="74"/>
      <c r="E5906" s="67"/>
      <c r="F5906" s="75"/>
      <c r="G5906" s="67"/>
      <c r="H5906" s="68"/>
      <c r="I5906" s="76"/>
      <c r="J5906" s="67"/>
      <c r="K5906" s="7" t="s">
        <v>1126</v>
      </c>
      <c r="L5906" s="934"/>
      <c r="M5906" s="934"/>
    </row>
    <row r="5907" ht="12.75" hidden="1" customHeight="1" outlineLevel="1">
      <c r="A5907" s="882">
        <v>42041.0</v>
      </c>
      <c r="B5907" s="1"/>
      <c r="C5907" s="1" t="s">
        <v>433</v>
      </c>
      <c r="D5907" s="74"/>
      <c r="E5907" s="67"/>
      <c r="F5907" s="75"/>
      <c r="G5907" s="67"/>
      <c r="H5907" s="68"/>
      <c r="I5907" s="76"/>
      <c r="J5907" s="67"/>
      <c r="K5907" s="7" t="s">
        <v>1103</v>
      </c>
      <c r="L5907" s="934"/>
      <c r="M5907" s="934"/>
    </row>
    <row r="5908" ht="12.75" hidden="1" customHeight="1" outlineLevel="1">
      <c r="A5908" s="882">
        <v>42041.0</v>
      </c>
      <c r="B5908" s="1"/>
      <c r="C5908" s="1" t="s">
        <v>435</v>
      </c>
      <c r="D5908" s="74"/>
      <c r="E5908" s="67"/>
      <c r="F5908" s="75"/>
      <c r="G5908" s="67"/>
      <c r="H5908" s="68"/>
      <c r="I5908" s="76"/>
      <c r="J5908" s="67"/>
      <c r="K5908" s="9" t="s">
        <v>2802</v>
      </c>
      <c r="L5908" s="934"/>
      <c r="M5908" s="934"/>
    </row>
    <row r="5909" ht="12.75" hidden="1" customHeight="1" outlineLevel="1">
      <c r="A5909" s="122">
        <v>42044.0</v>
      </c>
      <c r="B5909" s="32" t="s">
        <v>343</v>
      </c>
      <c r="C5909" s="32" t="s">
        <v>2048</v>
      </c>
      <c r="D5909" s="708">
        <v>400.0</v>
      </c>
      <c r="E5909" s="195">
        <v>13.79</v>
      </c>
      <c r="F5909" s="709">
        <v>0.4192013888888889</v>
      </c>
      <c r="G5909" s="195" t="s">
        <v>453</v>
      </c>
      <c r="H5909" s="710">
        <v>2.0</v>
      </c>
      <c r="I5909" s="256"/>
      <c r="J5909" s="67">
        <f t="shared" ref="J5909:J5938" si="367">IF(B5909="SLD",D5909*E5909,-D5909*E5909)-H5909</f>
        <v>-5518</v>
      </c>
      <c r="L5909" s="70"/>
      <c r="M5909" s="934"/>
      <c r="N5909" s="94"/>
      <c r="O5909" s="94"/>
      <c r="P5909" s="94"/>
      <c r="Q5909" s="94"/>
      <c r="R5909" s="94"/>
      <c r="S5909" s="94"/>
      <c r="T5909" s="94"/>
      <c r="U5909" s="94"/>
      <c r="V5909" s="94"/>
      <c r="W5909" s="94"/>
      <c r="X5909" s="94"/>
      <c r="Y5909" s="94"/>
      <c r="Z5909" s="94"/>
      <c r="AA5909" s="94"/>
      <c r="AB5909" s="94"/>
      <c r="AC5909" s="94"/>
      <c r="AD5909" s="94"/>
      <c r="AE5909" s="94"/>
      <c r="AF5909" s="94"/>
      <c r="AG5909" s="94"/>
      <c r="AH5909" s="94"/>
    </row>
    <row r="5910" ht="12.75" hidden="1" customHeight="1" outlineLevel="1">
      <c r="A5910" s="122">
        <v>42044.0</v>
      </c>
      <c r="B5910" s="32" t="s">
        <v>343</v>
      </c>
      <c r="C5910" s="32" t="s">
        <v>2192</v>
      </c>
      <c r="D5910" s="708">
        <v>400.0</v>
      </c>
      <c r="E5910" s="195">
        <v>12.03</v>
      </c>
      <c r="F5910" s="709">
        <v>0.4193634259259259</v>
      </c>
      <c r="G5910" s="195" t="s">
        <v>453</v>
      </c>
      <c r="H5910" s="710">
        <v>2.0</v>
      </c>
      <c r="I5910" s="256"/>
      <c r="J5910" s="67">
        <f t="shared" si="367"/>
        <v>-4814</v>
      </c>
      <c r="L5910" s="70"/>
      <c r="M5910" s="934"/>
      <c r="N5910" s="94"/>
      <c r="O5910" s="94"/>
      <c r="P5910" s="94"/>
      <c r="Q5910" s="94"/>
      <c r="R5910" s="94"/>
      <c r="S5910" s="94"/>
      <c r="T5910" s="94"/>
      <c r="U5910" s="94"/>
      <c r="V5910" s="94"/>
      <c r="W5910" s="94"/>
      <c r="X5910" s="94"/>
      <c r="Y5910" s="94"/>
      <c r="Z5910" s="94"/>
      <c r="AA5910" s="94"/>
      <c r="AB5910" s="94"/>
      <c r="AC5910" s="94"/>
      <c r="AD5910" s="94"/>
      <c r="AE5910" s="94"/>
      <c r="AF5910" s="94"/>
      <c r="AG5910" s="94"/>
      <c r="AH5910" s="94"/>
    </row>
    <row r="5911" ht="12.75" hidden="1" customHeight="1" outlineLevel="1">
      <c r="A5911" s="122">
        <v>42044.0</v>
      </c>
      <c r="B5911" s="32" t="s">
        <v>343</v>
      </c>
      <c r="C5911" s="32" t="s">
        <v>369</v>
      </c>
      <c r="D5911" s="708">
        <v>3000.0</v>
      </c>
      <c r="E5911" s="195">
        <v>6.586</v>
      </c>
      <c r="F5911" s="709">
        <v>0.4258101851851852</v>
      </c>
      <c r="G5911" s="195" t="s">
        <v>453</v>
      </c>
      <c r="H5911" s="710">
        <v>15.0</v>
      </c>
      <c r="I5911" s="256"/>
      <c r="J5911" s="67">
        <f t="shared" si="367"/>
        <v>-19773</v>
      </c>
      <c r="L5911" s="70"/>
      <c r="M5911" s="934"/>
      <c r="N5911" s="94"/>
      <c r="O5911" s="94"/>
      <c r="P5911" s="94"/>
      <c r="Q5911" s="94"/>
      <c r="R5911" s="94"/>
      <c r="S5911" s="94"/>
      <c r="T5911" s="94"/>
      <c r="U5911" s="94"/>
      <c r="V5911" s="94"/>
      <c r="W5911" s="94"/>
      <c r="X5911" s="94"/>
      <c r="Y5911" s="94"/>
      <c r="Z5911" s="94"/>
      <c r="AA5911" s="94"/>
      <c r="AB5911" s="94"/>
      <c r="AC5911" s="94"/>
      <c r="AD5911" s="94"/>
      <c r="AE5911" s="94"/>
      <c r="AF5911" s="94"/>
      <c r="AG5911" s="94"/>
      <c r="AH5911" s="94"/>
    </row>
    <row r="5912" ht="12.75" hidden="1" customHeight="1" outlineLevel="1">
      <c r="A5912" s="122">
        <v>42044.0</v>
      </c>
      <c r="B5912" s="32" t="s">
        <v>343</v>
      </c>
      <c r="C5912" s="32" t="s">
        <v>784</v>
      </c>
      <c r="D5912" s="708">
        <v>8000.0</v>
      </c>
      <c r="E5912" s="195">
        <v>7.689</v>
      </c>
      <c r="F5912" s="709">
        <v>0.4262152777777778</v>
      </c>
      <c r="G5912" s="195" t="s">
        <v>453</v>
      </c>
      <c r="H5912" s="710">
        <v>33.5</v>
      </c>
      <c r="I5912" s="256"/>
      <c r="J5912" s="67">
        <f t="shared" si="367"/>
        <v>-61545.5</v>
      </c>
      <c r="L5912" s="70"/>
      <c r="M5912" s="934"/>
      <c r="N5912" s="94"/>
      <c r="O5912" s="94"/>
      <c r="P5912" s="94"/>
      <c r="Q5912" s="94"/>
      <c r="R5912" s="94"/>
      <c r="S5912" s="94"/>
      <c r="T5912" s="94"/>
      <c r="U5912" s="94"/>
      <c r="V5912" s="94"/>
      <c r="W5912" s="94"/>
      <c r="X5912" s="94"/>
      <c r="Y5912" s="94"/>
      <c r="Z5912" s="94"/>
      <c r="AA5912" s="94"/>
      <c r="AB5912" s="94"/>
      <c r="AC5912" s="94"/>
      <c r="AD5912" s="94"/>
      <c r="AE5912" s="94"/>
      <c r="AF5912" s="94"/>
      <c r="AG5912" s="94"/>
      <c r="AH5912" s="94"/>
    </row>
    <row r="5913" ht="12.75" hidden="1" customHeight="1" outlineLevel="1">
      <c r="A5913" s="122">
        <v>42044.0</v>
      </c>
      <c r="B5913" s="32" t="s">
        <v>343</v>
      </c>
      <c r="C5913" s="32" t="s">
        <v>790</v>
      </c>
      <c r="D5913" s="708">
        <v>3500.0</v>
      </c>
      <c r="E5913" s="195">
        <v>6.62</v>
      </c>
      <c r="F5913" s="709">
        <v>0.4311921296296296</v>
      </c>
      <c r="G5913" s="195" t="s">
        <v>453</v>
      </c>
      <c r="H5913" s="710">
        <v>17.5</v>
      </c>
      <c r="I5913" s="256"/>
      <c r="J5913" s="67">
        <f t="shared" si="367"/>
        <v>-23187.5</v>
      </c>
      <c r="L5913" s="70"/>
      <c r="M5913" s="934"/>
      <c r="N5913" s="94"/>
      <c r="O5913" s="94"/>
      <c r="P5913" s="94"/>
      <c r="Q5913" s="94"/>
      <c r="R5913" s="94"/>
      <c r="S5913" s="94"/>
      <c r="T5913" s="94"/>
      <c r="U5913" s="94"/>
      <c r="V5913" s="94"/>
      <c r="W5913" s="94"/>
      <c r="X5913" s="94"/>
      <c r="Y5913" s="94"/>
      <c r="Z5913" s="94"/>
      <c r="AA5913" s="94"/>
      <c r="AB5913" s="94"/>
      <c r="AC5913" s="94"/>
      <c r="AD5913" s="94"/>
      <c r="AE5913" s="94"/>
      <c r="AF5913" s="94"/>
      <c r="AG5913" s="94"/>
      <c r="AH5913" s="94"/>
    </row>
    <row r="5914" ht="12.75" hidden="1" customHeight="1" outlineLevel="1">
      <c r="A5914" s="122">
        <v>42044.0</v>
      </c>
      <c r="B5914" s="32" t="s">
        <v>343</v>
      </c>
      <c r="C5914" s="32" t="s">
        <v>1844</v>
      </c>
      <c r="D5914" s="708">
        <v>200.0</v>
      </c>
      <c r="E5914" s="195">
        <v>47.37</v>
      </c>
      <c r="F5914" s="709">
        <v>0.43167824074074074</v>
      </c>
      <c r="G5914" s="195" t="s">
        <v>453</v>
      </c>
      <c r="H5914" s="710">
        <v>1.0</v>
      </c>
      <c r="I5914" s="256"/>
      <c r="J5914" s="67">
        <f t="shared" si="367"/>
        <v>-9475</v>
      </c>
      <c r="L5914" s="70"/>
      <c r="M5914" s="934"/>
      <c r="N5914" s="94"/>
      <c r="O5914" s="94"/>
      <c r="P5914" s="94"/>
      <c r="Q5914" s="94"/>
      <c r="R5914" s="94"/>
      <c r="S5914" s="94"/>
      <c r="T5914" s="94"/>
      <c r="U5914" s="94"/>
      <c r="V5914" s="94"/>
      <c r="W5914" s="94"/>
      <c r="X5914" s="94"/>
      <c r="Y5914" s="94"/>
      <c r="Z5914" s="94"/>
      <c r="AA5914" s="94"/>
      <c r="AB5914" s="94"/>
      <c r="AC5914" s="94"/>
      <c r="AD5914" s="94"/>
      <c r="AE5914" s="94"/>
      <c r="AF5914" s="94"/>
      <c r="AG5914" s="94"/>
      <c r="AH5914" s="94"/>
    </row>
    <row r="5915" ht="12.75" hidden="1" customHeight="1" outlineLevel="1">
      <c r="A5915" s="122">
        <v>42044.0</v>
      </c>
      <c r="B5915" s="32" t="s">
        <v>343</v>
      </c>
      <c r="C5915" s="32" t="s">
        <v>2192</v>
      </c>
      <c r="D5915" s="708">
        <v>350.0</v>
      </c>
      <c r="E5915" s="195">
        <v>12.23</v>
      </c>
      <c r="F5915" s="709">
        <v>0.4328587962962963</v>
      </c>
      <c r="G5915" s="195" t="s">
        <v>453</v>
      </c>
      <c r="H5915" s="710">
        <v>1.75</v>
      </c>
      <c r="I5915" s="256"/>
      <c r="J5915" s="67">
        <f t="shared" si="367"/>
        <v>-4282.25</v>
      </c>
      <c r="L5915" s="70"/>
      <c r="M5915" s="934"/>
      <c r="N5915" s="94"/>
      <c r="O5915" s="94"/>
      <c r="P5915" s="94"/>
      <c r="Q5915" s="94"/>
      <c r="R5915" s="94"/>
      <c r="S5915" s="94"/>
      <c r="T5915" s="94"/>
      <c r="U5915" s="94"/>
      <c r="V5915" s="94"/>
      <c r="W5915" s="94"/>
      <c r="X5915" s="94"/>
      <c r="Y5915" s="94"/>
      <c r="Z5915" s="94"/>
      <c r="AA5915" s="94"/>
      <c r="AB5915" s="94"/>
      <c r="AC5915" s="94"/>
      <c r="AD5915" s="94"/>
      <c r="AE5915" s="94"/>
      <c r="AF5915" s="94"/>
      <c r="AG5915" s="94"/>
      <c r="AH5915" s="94"/>
    </row>
    <row r="5916" ht="12.75" hidden="1" customHeight="1" outlineLevel="1">
      <c r="A5916" s="122">
        <v>42044.0</v>
      </c>
      <c r="B5916" s="32" t="s">
        <v>343</v>
      </c>
      <c r="C5916" s="32" t="s">
        <v>2048</v>
      </c>
      <c r="D5916" s="708">
        <v>350.0</v>
      </c>
      <c r="E5916" s="195">
        <v>13.81</v>
      </c>
      <c r="F5916" s="709">
        <v>0.4330555555555556</v>
      </c>
      <c r="G5916" s="195" t="s">
        <v>453</v>
      </c>
      <c r="H5916" s="710">
        <v>1.75</v>
      </c>
      <c r="I5916" s="256"/>
      <c r="J5916" s="67">
        <f t="shared" si="367"/>
        <v>-4835.25</v>
      </c>
      <c r="L5916" s="70"/>
      <c r="M5916" s="934"/>
      <c r="N5916" s="94"/>
      <c r="O5916" s="94"/>
      <c r="P5916" s="94"/>
      <c r="Q5916" s="94"/>
      <c r="R5916" s="94"/>
      <c r="S5916" s="94"/>
      <c r="T5916" s="94"/>
      <c r="U5916" s="94"/>
      <c r="V5916" s="94"/>
      <c r="W5916" s="94"/>
      <c r="X5916" s="94"/>
      <c r="Y5916" s="94"/>
      <c r="Z5916" s="94"/>
      <c r="AA5916" s="94"/>
      <c r="AB5916" s="94"/>
      <c r="AC5916" s="94"/>
      <c r="AD5916" s="94"/>
      <c r="AE5916" s="94"/>
      <c r="AF5916" s="94"/>
      <c r="AG5916" s="94"/>
      <c r="AH5916" s="94"/>
    </row>
    <row r="5917" ht="12.75" hidden="1" customHeight="1" outlineLevel="1">
      <c r="A5917" s="122">
        <v>42044.0</v>
      </c>
      <c r="B5917" s="32" t="s">
        <v>343</v>
      </c>
      <c r="C5917" s="32" t="s">
        <v>369</v>
      </c>
      <c r="D5917" s="708">
        <v>1000.0</v>
      </c>
      <c r="E5917" s="195">
        <v>6.639</v>
      </c>
      <c r="F5917" s="709">
        <v>0.43318287037037034</v>
      </c>
      <c r="G5917" s="195" t="s">
        <v>453</v>
      </c>
      <c r="H5917" s="710">
        <v>4.0</v>
      </c>
      <c r="I5917" s="256"/>
      <c r="J5917" s="67">
        <f t="shared" si="367"/>
        <v>-6643</v>
      </c>
      <c r="L5917" s="70"/>
      <c r="M5917" s="934"/>
      <c r="N5917" s="94"/>
      <c r="O5917" s="94"/>
      <c r="P5917" s="94"/>
      <c r="Q5917" s="94"/>
      <c r="R5917" s="94"/>
      <c r="S5917" s="94"/>
      <c r="T5917" s="94"/>
      <c r="U5917" s="94"/>
      <c r="V5917" s="94"/>
      <c r="W5917" s="94"/>
      <c r="X5917" s="94"/>
      <c r="Y5917" s="94"/>
      <c r="Z5917" s="94"/>
      <c r="AA5917" s="94"/>
      <c r="AB5917" s="94"/>
      <c r="AC5917" s="94"/>
      <c r="AD5917" s="94"/>
      <c r="AE5917" s="94"/>
      <c r="AF5917" s="94"/>
      <c r="AG5917" s="94"/>
      <c r="AH5917" s="94"/>
    </row>
    <row r="5918" ht="12.75" hidden="1" customHeight="1" outlineLevel="1">
      <c r="A5918" s="122">
        <v>42044.0</v>
      </c>
      <c r="B5918" s="32" t="s">
        <v>343</v>
      </c>
      <c r="C5918" s="32" t="s">
        <v>784</v>
      </c>
      <c r="D5918" s="708">
        <v>2000.0</v>
      </c>
      <c r="E5918" s="195">
        <v>7.79</v>
      </c>
      <c r="F5918" s="709">
        <v>0.433275462962963</v>
      </c>
      <c r="G5918" s="195" t="s">
        <v>453</v>
      </c>
      <c r="H5918" s="710">
        <v>10.0</v>
      </c>
      <c r="I5918" s="256"/>
      <c r="J5918" s="67">
        <f t="shared" si="367"/>
        <v>-15590</v>
      </c>
      <c r="L5918" s="70"/>
      <c r="M5918" s="934"/>
      <c r="N5918" s="94"/>
      <c r="O5918" s="94"/>
      <c r="P5918" s="94"/>
      <c r="Q5918" s="94"/>
      <c r="R5918" s="94"/>
      <c r="S5918" s="94"/>
      <c r="T5918" s="94"/>
      <c r="U5918" s="94"/>
      <c r="V5918" s="94"/>
      <c r="W5918" s="94"/>
      <c r="X5918" s="94"/>
      <c r="Y5918" s="94"/>
      <c r="Z5918" s="94"/>
      <c r="AA5918" s="94"/>
      <c r="AB5918" s="94"/>
      <c r="AC5918" s="94"/>
      <c r="AD5918" s="94"/>
      <c r="AE5918" s="94"/>
      <c r="AF5918" s="94"/>
      <c r="AG5918" s="94"/>
      <c r="AH5918" s="94"/>
    </row>
    <row r="5919" ht="12.75" hidden="1" customHeight="1" outlineLevel="1">
      <c r="A5919" s="122">
        <v>42044.0</v>
      </c>
      <c r="B5919" s="32" t="s">
        <v>343</v>
      </c>
      <c r="C5919" s="32" t="s">
        <v>790</v>
      </c>
      <c r="D5919" s="708">
        <v>3000.0</v>
      </c>
      <c r="E5919" s="195">
        <v>6.609</v>
      </c>
      <c r="F5919" s="709">
        <v>0.43342592592592594</v>
      </c>
      <c r="G5919" s="195" t="s">
        <v>453</v>
      </c>
      <c r="H5919" s="710">
        <v>12.0</v>
      </c>
      <c r="I5919" s="256"/>
      <c r="J5919" s="67">
        <f t="shared" si="367"/>
        <v>-19839</v>
      </c>
      <c r="L5919" s="70"/>
      <c r="M5919" s="934"/>
      <c r="N5919" s="94"/>
      <c r="O5919" s="94"/>
      <c r="P5919" s="94"/>
      <c r="Q5919" s="94"/>
      <c r="R5919" s="94"/>
      <c r="S5919" s="94"/>
      <c r="T5919" s="94"/>
      <c r="U5919" s="94"/>
      <c r="V5919" s="94"/>
      <c r="W5919" s="94"/>
      <c r="X5919" s="94"/>
      <c r="Y5919" s="94"/>
      <c r="Z5919" s="94"/>
      <c r="AA5919" s="94"/>
      <c r="AB5919" s="94"/>
      <c r="AC5919" s="94"/>
      <c r="AD5919" s="94"/>
      <c r="AE5919" s="94"/>
      <c r="AF5919" s="94"/>
      <c r="AG5919" s="94"/>
      <c r="AH5919" s="94"/>
    </row>
    <row r="5920" ht="12.75" hidden="1" customHeight="1" outlineLevel="1">
      <c r="A5920" s="122">
        <v>42044.0</v>
      </c>
      <c r="B5920" s="32" t="s">
        <v>347</v>
      </c>
      <c r="C5920" s="32" t="s">
        <v>364</v>
      </c>
      <c r="D5920" s="708">
        <v>50.0</v>
      </c>
      <c r="E5920" s="195">
        <v>135.07</v>
      </c>
      <c r="F5920" s="709">
        <v>0.4351157407407407</v>
      </c>
      <c r="G5920" s="195" t="s">
        <v>453</v>
      </c>
      <c r="H5920" s="710">
        <v>1.15</v>
      </c>
      <c r="I5920" s="256"/>
      <c r="J5920" s="67">
        <f t="shared" si="367"/>
        <v>6752.35</v>
      </c>
      <c r="L5920" s="70"/>
      <c r="M5920" s="934"/>
      <c r="N5920" s="94"/>
      <c r="O5920" s="94"/>
      <c r="P5920" s="94"/>
      <c r="Q5920" s="94"/>
      <c r="R5920" s="94"/>
      <c r="S5920" s="94"/>
      <c r="T5920" s="94"/>
      <c r="U5920" s="94"/>
      <c r="V5920" s="94"/>
      <c r="W5920" s="94"/>
      <c r="X5920" s="94"/>
      <c r="Y5920" s="94"/>
      <c r="Z5920" s="94"/>
      <c r="AA5920" s="94"/>
      <c r="AB5920" s="94"/>
      <c r="AC5920" s="94"/>
      <c r="AD5920" s="94"/>
      <c r="AE5920" s="94"/>
      <c r="AF5920" s="94"/>
      <c r="AG5920" s="94"/>
      <c r="AH5920" s="94"/>
    </row>
    <row r="5921" ht="12.75" hidden="1" customHeight="1" outlineLevel="1">
      <c r="A5921" s="122">
        <v>42044.0</v>
      </c>
      <c r="B5921" s="32" t="s">
        <v>347</v>
      </c>
      <c r="C5921" s="32" t="s">
        <v>1162</v>
      </c>
      <c r="D5921" s="708">
        <v>50.0</v>
      </c>
      <c r="E5921" s="195">
        <v>141.66</v>
      </c>
      <c r="F5921" s="709">
        <v>0.4356365740740741</v>
      </c>
      <c r="G5921" s="195" t="s">
        <v>453</v>
      </c>
      <c r="H5921" s="710">
        <v>1.16</v>
      </c>
      <c r="I5921" s="256"/>
      <c r="J5921" s="67">
        <f t="shared" si="367"/>
        <v>7081.84</v>
      </c>
      <c r="L5921" s="70"/>
      <c r="M5921" s="934"/>
      <c r="N5921" s="94"/>
      <c r="O5921" s="94"/>
      <c r="P5921" s="94"/>
      <c r="Q5921" s="94"/>
      <c r="R5921" s="94"/>
      <c r="S5921" s="94"/>
      <c r="T5921" s="94"/>
      <c r="U5921" s="94"/>
      <c r="V5921" s="94"/>
      <c r="W5921" s="94"/>
      <c r="X5921" s="94"/>
      <c r="Y5921" s="94"/>
      <c r="Z5921" s="94"/>
      <c r="AA5921" s="94"/>
      <c r="AB5921" s="94"/>
      <c r="AC5921" s="94"/>
      <c r="AD5921" s="94"/>
      <c r="AE5921" s="94"/>
      <c r="AF5921" s="94"/>
      <c r="AG5921" s="94"/>
      <c r="AH5921" s="94"/>
    </row>
    <row r="5922" ht="12.75" hidden="1" customHeight="1" outlineLevel="1">
      <c r="A5922" s="122">
        <v>42044.0</v>
      </c>
      <c r="B5922" s="32" t="s">
        <v>347</v>
      </c>
      <c r="C5922" s="32" t="s">
        <v>1158</v>
      </c>
      <c r="D5922" s="708">
        <v>900.0</v>
      </c>
      <c r="E5922" s="195">
        <v>44.2</v>
      </c>
      <c r="F5922" s="709">
        <v>0.4368518518518518</v>
      </c>
      <c r="G5922" s="195" t="s">
        <v>453</v>
      </c>
      <c r="H5922" s="710">
        <v>5.38</v>
      </c>
      <c r="I5922" s="256"/>
      <c r="J5922" s="67">
        <f t="shared" si="367"/>
        <v>39774.62</v>
      </c>
      <c r="L5922" s="70"/>
      <c r="M5922" s="934"/>
      <c r="N5922" s="94"/>
      <c r="O5922" s="94"/>
      <c r="P5922" s="94"/>
      <c r="Q5922" s="94"/>
      <c r="R5922" s="94"/>
      <c r="S5922" s="94"/>
      <c r="T5922" s="94"/>
      <c r="U5922" s="94"/>
      <c r="V5922" s="94"/>
      <c r="W5922" s="94"/>
      <c r="X5922" s="94"/>
      <c r="Y5922" s="94"/>
      <c r="Z5922" s="94"/>
      <c r="AA5922" s="94"/>
      <c r="AB5922" s="94"/>
      <c r="AC5922" s="94"/>
      <c r="AD5922" s="94"/>
      <c r="AE5922" s="94"/>
      <c r="AF5922" s="94"/>
      <c r="AG5922" s="94"/>
      <c r="AH5922" s="94"/>
    </row>
    <row r="5923" ht="12.75" hidden="1" customHeight="1" outlineLevel="1">
      <c r="A5923" s="122">
        <v>42044.0</v>
      </c>
      <c r="B5923" s="32" t="s">
        <v>347</v>
      </c>
      <c r="C5923" s="32" t="s">
        <v>1164</v>
      </c>
      <c r="D5923" s="708">
        <v>300.0</v>
      </c>
      <c r="E5923" s="195">
        <v>43.33</v>
      </c>
      <c r="F5923" s="709">
        <v>0.43711805555555555</v>
      </c>
      <c r="G5923" s="195" t="s">
        <v>453</v>
      </c>
      <c r="H5923" s="710">
        <v>1.79</v>
      </c>
      <c r="I5923" s="256"/>
      <c r="J5923" s="67">
        <f t="shared" si="367"/>
        <v>12997.21</v>
      </c>
      <c r="L5923" s="70"/>
      <c r="M5923" s="934"/>
      <c r="N5923" s="94"/>
      <c r="O5923" s="94"/>
      <c r="P5923" s="94"/>
      <c r="Q5923" s="94"/>
      <c r="R5923" s="94"/>
      <c r="S5923" s="94"/>
      <c r="T5923" s="94"/>
      <c r="U5923" s="94"/>
      <c r="V5923" s="94"/>
      <c r="W5923" s="94"/>
      <c r="X5923" s="94"/>
      <c r="Y5923" s="94"/>
      <c r="Z5923" s="94"/>
      <c r="AA5923" s="94"/>
      <c r="AB5923" s="94"/>
      <c r="AC5923" s="94"/>
      <c r="AD5923" s="94"/>
      <c r="AE5923" s="94"/>
      <c r="AF5923" s="94"/>
      <c r="AG5923" s="94"/>
      <c r="AH5923" s="94"/>
    </row>
    <row r="5924" ht="12.75" hidden="1" customHeight="1" outlineLevel="1">
      <c r="A5924" s="122">
        <v>42044.0</v>
      </c>
      <c r="B5924" s="32" t="s">
        <v>347</v>
      </c>
      <c r="C5924" s="32" t="s">
        <v>1060</v>
      </c>
      <c r="D5924" s="708">
        <v>500.0</v>
      </c>
      <c r="E5924" s="195">
        <v>40.941</v>
      </c>
      <c r="F5924" s="709">
        <v>0.4378356481481481</v>
      </c>
      <c r="G5924" s="195" t="s">
        <v>453</v>
      </c>
      <c r="H5924" s="710">
        <v>2.85</v>
      </c>
      <c r="I5924" s="256"/>
      <c r="J5924" s="67">
        <f t="shared" si="367"/>
        <v>20467.65</v>
      </c>
      <c r="L5924" s="70"/>
      <c r="M5924" s="934"/>
      <c r="N5924" s="94"/>
      <c r="O5924" s="94"/>
      <c r="P5924" s="94"/>
      <c r="Q5924" s="94"/>
      <c r="R5924" s="94"/>
      <c r="S5924" s="94"/>
      <c r="T5924" s="94"/>
      <c r="U5924" s="94"/>
      <c r="V5924" s="94"/>
      <c r="W5924" s="94"/>
      <c r="X5924" s="94"/>
      <c r="Y5924" s="94"/>
      <c r="Z5924" s="94"/>
      <c r="AA5924" s="94"/>
      <c r="AB5924" s="94"/>
      <c r="AC5924" s="94"/>
      <c r="AD5924" s="94"/>
      <c r="AE5924" s="94"/>
      <c r="AF5924" s="94"/>
      <c r="AG5924" s="94"/>
      <c r="AH5924" s="94"/>
    </row>
    <row r="5925" ht="12.75" hidden="1" customHeight="1" outlineLevel="1">
      <c r="A5925" s="122">
        <v>42044.0</v>
      </c>
      <c r="B5925" s="32" t="s">
        <v>347</v>
      </c>
      <c r="C5925" s="32" t="s">
        <v>344</v>
      </c>
      <c r="D5925" s="708">
        <v>600.0</v>
      </c>
      <c r="E5925" s="195">
        <v>51.78</v>
      </c>
      <c r="F5925" s="709">
        <v>0.4389814814814815</v>
      </c>
      <c r="G5925" s="195" t="s">
        <v>453</v>
      </c>
      <c r="H5925" s="710">
        <v>3.69</v>
      </c>
      <c r="I5925" s="256"/>
      <c r="J5925" s="67">
        <f t="shared" si="367"/>
        <v>31064.31</v>
      </c>
      <c r="L5925" s="70"/>
      <c r="M5925" s="934"/>
      <c r="N5925" s="94"/>
      <c r="O5925" s="94"/>
      <c r="P5925" s="94"/>
      <c r="Q5925" s="94"/>
      <c r="R5925" s="94"/>
      <c r="S5925" s="94"/>
      <c r="T5925" s="94"/>
      <c r="U5925" s="94"/>
      <c r="V5925" s="94"/>
      <c r="W5925" s="94"/>
      <c r="X5925" s="94"/>
      <c r="Y5925" s="94"/>
      <c r="Z5925" s="94"/>
      <c r="AA5925" s="94"/>
      <c r="AB5925" s="94"/>
      <c r="AC5925" s="94"/>
      <c r="AD5925" s="94"/>
      <c r="AE5925" s="94"/>
      <c r="AF5925" s="94"/>
      <c r="AG5925" s="94"/>
      <c r="AH5925" s="94"/>
    </row>
    <row r="5926" ht="12.75" hidden="1" customHeight="1" outlineLevel="1">
      <c r="A5926" s="122">
        <v>42044.0</v>
      </c>
      <c r="B5926" s="32" t="s">
        <v>347</v>
      </c>
      <c r="C5926" s="32" t="s">
        <v>1325</v>
      </c>
      <c r="D5926" s="708">
        <v>350.0</v>
      </c>
      <c r="E5926" s="195">
        <v>65.857</v>
      </c>
      <c r="F5926" s="709">
        <v>0.44061342592592595</v>
      </c>
      <c r="G5926" s="195" t="s">
        <v>453</v>
      </c>
      <c r="H5926" s="710">
        <v>1.91</v>
      </c>
      <c r="I5926" s="256"/>
      <c r="J5926" s="67">
        <f t="shared" si="367"/>
        <v>23048.04</v>
      </c>
      <c r="L5926" s="70"/>
      <c r="M5926" s="934"/>
      <c r="N5926" s="94"/>
      <c r="O5926" s="94"/>
      <c r="P5926" s="94"/>
      <c r="Q5926" s="94"/>
      <c r="R5926" s="94"/>
      <c r="S5926" s="94"/>
      <c r="T5926" s="94"/>
      <c r="U5926" s="94"/>
      <c r="V5926" s="94"/>
      <c r="W5926" s="94"/>
      <c r="X5926" s="94"/>
      <c r="Y5926" s="94"/>
      <c r="Z5926" s="94"/>
      <c r="AA5926" s="94"/>
      <c r="AB5926" s="94"/>
      <c r="AC5926" s="94"/>
      <c r="AD5926" s="94"/>
      <c r="AE5926" s="94"/>
      <c r="AF5926" s="94"/>
      <c r="AG5926" s="94"/>
      <c r="AH5926" s="94"/>
    </row>
    <row r="5927" ht="12.75" hidden="1" customHeight="1" outlineLevel="1">
      <c r="A5927" s="122">
        <v>42044.0</v>
      </c>
      <c r="B5927" s="32" t="s">
        <v>347</v>
      </c>
      <c r="C5927" s="32" t="s">
        <v>1357</v>
      </c>
      <c r="D5927" s="708">
        <v>150.0</v>
      </c>
      <c r="E5927" s="195">
        <v>39.906</v>
      </c>
      <c r="F5927" s="709">
        <v>0.4432638888888889</v>
      </c>
      <c r="G5927" s="195" t="s">
        <v>453</v>
      </c>
      <c r="H5927" s="710">
        <v>1.13</v>
      </c>
      <c r="I5927" s="256"/>
      <c r="J5927" s="67">
        <f t="shared" si="367"/>
        <v>5984.77</v>
      </c>
      <c r="L5927" s="70"/>
      <c r="M5927" s="934"/>
      <c r="N5927" s="94"/>
      <c r="O5927" s="94"/>
      <c r="P5927" s="94"/>
      <c r="Q5927" s="94"/>
      <c r="R5927" s="94"/>
      <c r="S5927" s="94"/>
      <c r="T5927" s="94"/>
      <c r="U5927" s="94"/>
      <c r="V5927" s="94"/>
      <c r="W5927" s="94"/>
      <c r="X5927" s="94"/>
      <c r="Y5927" s="94"/>
      <c r="Z5927" s="94"/>
      <c r="AA5927" s="94"/>
      <c r="AB5927" s="94"/>
      <c r="AC5927" s="94"/>
      <c r="AD5927" s="94"/>
      <c r="AE5927" s="94"/>
      <c r="AF5927" s="94"/>
      <c r="AG5927" s="94"/>
      <c r="AH5927" s="94"/>
    </row>
    <row r="5928" ht="12.75" hidden="1" customHeight="1" outlineLevel="1">
      <c r="A5928" s="122">
        <v>42044.0</v>
      </c>
      <c r="B5928" s="32" t="s">
        <v>347</v>
      </c>
      <c r="C5928" s="32" t="s">
        <v>2412</v>
      </c>
      <c r="D5928" s="708">
        <v>100.0</v>
      </c>
      <c r="E5928" s="195">
        <v>64.47</v>
      </c>
      <c r="F5928" s="709">
        <v>0.4435763888888889</v>
      </c>
      <c r="G5928" s="195" t="s">
        <v>453</v>
      </c>
      <c r="H5928" s="710">
        <v>1.14</v>
      </c>
      <c r="I5928" s="256"/>
      <c r="J5928" s="67">
        <f t="shared" si="367"/>
        <v>6445.86</v>
      </c>
      <c r="L5928" s="70"/>
      <c r="M5928" s="934"/>
      <c r="N5928" s="94"/>
      <c r="O5928" s="94"/>
      <c r="P5928" s="94"/>
      <c r="Q5928" s="94"/>
      <c r="R5928" s="94"/>
      <c r="S5928" s="94"/>
      <c r="T5928" s="94"/>
      <c r="U5928" s="94"/>
      <c r="V5928" s="94"/>
      <c r="W5928" s="94"/>
      <c r="X5928" s="94"/>
      <c r="Y5928" s="94"/>
      <c r="Z5928" s="94"/>
      <c r="AA5928" s="94"/>
      <c r="AB5928" s="94"/>
      <c r="AC5928" s="94"/>
      <c r="AD5928" s="94"/>
      <c r="AE5928" s="94"/>
      <c r="AF5928" s="94"/>
      <c r="AG5928" s="94"/>
      <c r="AH5928" s="94"/>
    </row>
    <row r="5929" ht="12.75" hidden="1" customHeight="1" outlineLevel="1">
      <c r="A5929" s="122">
        <v>42044.0</v>
      </c>
      <c r="B5929" s="32" t="s">
        <v>347</v>
      </c>
      <c r="C5929" s="32" t="s">
        <v>1766</v>
      </c>
      <c r="D5929" s="708">
        <v>300.0</v>
      </c>
      <c r="E5929" s="195">
        <v>77.44</v>
      </c>
      <c r="F5929" s="709">
        <v>0.4459606481481482</v>
      </c>
      <c r="G5929" s="195" t="s">
        <v>453</v>
      </c>
      <c r="H5929" s="710">
        <v>2.01</v>
      </c>
      <c r="I5929" s="256"/>
      <c r="J5929" s="67">
        <f t="shared" si="367"/>
        <v>23229.99</v>
      </c>
      <c r="L5929" s="70"/>
      <c r="M5929" s="934"/>
      <c r="N5929" s="94"/>
      <c r="O5929" s="94"/>
      <c r="P5929" s="94"/>
      <c r="Q5929" s="94"/>
      <c r="R5929" s="94"/>
      <c r="S5929" s="94"/>
      <c r="T5929" s="94"/>
      <c r="U5929" s="94"/>
      <c r="V5929" s="94"/>
      <c r="W5929" s="94"/>
      <c r="X5929" s="94"/>
      <c r="Y5929" s="94"/>
      <c r="Z5929" s="94"/>
      <c r="AA5929" s="94"/>
      <c r="AB5929" s="94"/>
      <c r="AC5929" s="94"/>
      <c r="AD5929" s="94"/>
      <c r="AE5929" s="94"/>
      <c r="AF5929" s="94"/>
      <c r="AG5929" s="94"/>
      <c r="AH5929" s="94"/>
    </row>
    <row r="5930" ht="12.75" hidden="1" customHeight="1" outlineLevel="1">
      <c r="A5930" s="122">
        <v>42044.0</v>
      </c>
      <c r="B5930" s="32" t="s">
        <v>347</v>
      </c>
      <c r="C5930" s="32" t="s">
        <v>2142</v>
      </c>
      <c r="D5930" s="708">
        <v>200.0</v>
      </c>
      <c r="E5930" s="195">
        <v>32.152</v>
      </c>
      <c r="F5930" s="709">
        <v>0.45024305555555555</v>
      </c>
      <c r="G5930" s="195" t="s">
        <v>453</v>
      </c>
      <c r="H5930" s="710">
        <v>1.14</v>
      </c>
      <c r="I5930" s="256"/>
      <c r="J5930" s="67">
        <f t="shared" si="367"/>
        <v>6429.26</v>
      </c>
      <c r="L5930" s="70"/>
      <c r="M5930" s="934"/>
      <c r="N5930" s="94"/>
      <c r="O5930" s="94"/>
      <c r="P5930" s="94"/>
      <c r="Q5930" s="94"/>
      <c r="R5930" s="94"/>
      <c r="S5930" s="94"/>
      <c r="T5930" s="94"/>
      <c r="U5930" s="94"/>
      <c r="V5930" s="94"/>
      <c r="W5930" s="94"/>
      <c r="X5930" s="94"/>
      <c r="Y5930" s="94"/>
      <c r="Z5930" s="94"/>
      <c r="AA5930" s="94"/>
      <c r="AB5930" s="94"/>
      <c r="AC5930" s="94"/>
      <c r="AD5930" s="94"/>
      <c r="AE5930" s="94"/>
      <c r="AF5930" s="94"/>
      <c r="AG5930" s="94"/>
      <c r="AH5930" s="94"/>
    </row>
    <row r="5931" ht="12.75" hidden="1" customHeight="1" outlineLevel="1">
      <c r="A5931" s="122">
        <v>42044.0</v>
      </c>
      <c r="B5931" s="32" t="s">
        <v>347</v>
      </c>
      <c r="C5931" s="32" t="s">
        <v>1345</v>
      </c>
      <c r="D5931" s="708">
        <v>50.0</v>
      </c>
      <c r="E5931" s="195">
        <v>150.0</v>
      </c>
      <c r="F5931" s="709">
        <v>0.4521296296296296</v>
      </c>
      <c r="G5931" s="195" t="s">
        <v>453</v>
      </c>
      <c r="H5931" s="710">
        <v>1.17</v>
      </c>
      <c r="I5931" s="256"/>
      <c r="J5931" s="67">
        <f t="shared" si="367"/>
        <v>7498.83</v>
      </c>
      <c r="L5931" s="70"/>
      <c r="M5931" s="934"/>
      <c r="N5931" s="94"/>
      <c r="O5931" s="94"/>
      <c r="P5931" s="94"/>
      <c r="Q5931" s="94"/>
      <c r="R5931" s="94"/>
      <c r="S5931" s="94"/>
      <c r="T5931" s="94"/>
      <c r="U5931" s="94"/>
      <c r="V5931" s="94"/>
      <c r="W5931" s="94"/>
      <c r="X5931" s="94"/>
      <c r="Y5931" s="94"/>
      <c r="Z5931" s="94"/>
      <c r="AA5931" s="94"/>
      <c r="AB5931" s="94"/>
      <c r="AC5931" s="94"/>
      <c r="AD5931" s="94"/>
      <c r="AE5931" s="94"/>
      <c r="AF5931" s="94"/>
      <c r="AG5931" s="94"/>
      <c r="AH5931" s="94"/>
    </row>
    <row r="5932" ht="12.75" hidden="1" customHeight="1" outlineLevel="1">
      <c r="A5932" s="122">
        <v>42044.0</v>
      </c>
      <c r="B5932" s="32" t="s">
        <v>347</v>
      </c>
      <c r="C5932" s="32" t="s">
        <v>1249</v>
      </c>
      <c r="D5932" s="708">
        <v>75.0</v>
      </c>
      <c r="E5932" s="195">
        <v>95.73</v>
      </c>
      <c r="F5932" s="709">
        <v>0.45472222222222225</v>
      </c>
      <c r="G5932" s="195" t="s">
        <v>453</v>
      </c>
      <c r="H5932" s="710">
        <v>1.16</v>
      </c>
      <c r="I5932" s="256"/>
      <c r="J5932" s="67">
        <f t="shared" si="367"/>
        <v>7178.59</v>
      </c>
      <c r="L5932" s="70"/>
      <c r="M5932" s="934"/>
      <c r="N5932" s="94"/>
      <c r="O5932" s="94"/>
      <c r="P5932" s="94"/>
      <c r="Q5932" s="94"/>
      <c r="R5932" s="94"/>
      <c r="S5932" s="94"/>
      <c r="T5932" s="94"/>
      <c r="U5932" s="94"/>
      <c r="V5932" s="94"/>
      <c r="W5932" s="94"/>
      <c r="X5932" s="94"/>
      <c r="Y5932" s="94"/>
      <c r="Z5932" s="94"/>
      <c r="AA5932" s="94"/>
      <c r="AB5932" s="94"/>
      <c r="AC5932" s="94"/>
      <c r="AD5932" s="94"/>
      <c r="AE5932" s="94"/>
      <c r="AF5932" s="94"/>
      <c r="AG5932" s="94"/>
      <c r="AH5932" s="94"/>
    </row>
    <row r="5933" ht="12.75" hidden="1" customHeight="1" outlineLevel="1">
      <c r="A5933" s="122">
        <v>42044.0</v>
      </c>
      <c r="B5933" s="32" t="s">
        <v>347</v>
      </c>
      <c r="C5933" s="32" t="s">
        <v>1607</v>
      </c>
      <c r="D5933" s="708">
        <v>900.0</v>
      </c>
      <c r="E5933" s="195">
        <v>24.25</v>
      </c>
      <c r="F5933" s="709">
        <v>0.47609953703703706</v>
      </c>
      <c r="G5933" s="195" t="s">
        <v>453</v>
      </c>
      <c r="H5933" s="710">
        <v>4.68</v>
      </c>
      <c r="I5933" s="256"/>
      <c r="J5933" s="67">
        <f t="shared" si="367"/>
        <v>21820.32</v>
      </c>
      <c r="L5933" s="70"/>
      <c r="M5933" s="934"/>
      <c r="N5933" s="94"/>
      <c r="O5933" s="94"/>
      <c r="P5933" s="94"/>
      <c r="Q5933" s="94"/>
      <c r="R5933" s="94"/>
      <c r="S5933" s="94"/>
      <c r="T5933" s="94"/>
      <c r="U5933" s="94"/>
      <c r="V5933" s="94"/>
      <c r="W5933" s="94"/>
      <c r="X5933" s="94"/>
      <c r="Y5933" s="94"/>
      <c r="Z5933" s="94"/>
      <c r="AA5933" s="94"/>
      <c r="AB5933" s="94"/>
      <c r="AC5933" s="94"/>
      <c r="AD5933" s="94"/>
      <c r="AE5933" s="94"/>
      <c r="AF5933" s="94"/>
      <c r="AG5933" s="94"/>
      <c r="AH5933" s="94"/>
    </row>
    <row r="5934" ht="12.75" hidden="1" customHeight="1" outlineLevel="1">
      <c r="A5934" s="122">
        <v>42044.0</v>
      </c>
      <c r="B5934" s="32" t="s">
        <v>347</v>
      </c>
      <c r="C5934" s="32" t="s">
        <v>2792</v>
      </c>
      <c r="D5934" s="708">
        <v>600.0</v>
      </c>
      <c r="E5934" s="195">
        <v>35.025</v>
      </c>
      <c r="F5934" s="709">
        <v>0.47998842592592594</v>
      </c>
      <c r="G5934" s="195" t="s">
        <v>453</v>
      </c>
      <c r="H5934" s="710">
        <v>2.86</v>
      </c>
      <c r="I5934" s="256"/>
      <c r="J5934" s="67">
        <f t="shared" si="367"/>
        <v>21012.14</v>
      </c>
      <c r="L5934" s="70"/>
      <c r="M5934" s="934"/>
      <c r="N5934" s="94"/>
      <c r="O5934" s="94"/>
      <c r="P5934" s="94"/>
      <c r="Q5934" s="94"/>
      <c r="R5934" s="94"/>
      <c r="S5934" s="94"/>
      <c r="T5934" s="94"/>
      <c r="U5934" s="94"/>
      <c r="V5934" s="94"/>
      <c r="W5934" s="94"/>
      <c r="X5934" s="94"/>
      <c r="Y5934" s="94"/>
      <c r="Z5934" s="94"/>
      <c r="AA5934" s="94"/>
      <c r="AB5934" s="94"/>
      <c r="AC5934" s="94"/>
      <c r="AD5934" s="94"/>
      <c r="AE5934" s="94"/>
      <c r="AF5934" s="94"/>
      <c r="AG5934" s="94"/>
      <c r="AH5934" s="94"/>
    </row>
    <row r="5935" ht="12.75" hidden="1" customHeight="1" outlineLevel="1">
      <c r="A5935" s="122">
        <v>42044.0</v>
      </c>
      <c r="B5935" s="32" t="s">
        <v>347</v>
      </c>
      <c r="C5935" s="32" t="s">
        <v>784</v>
      </c>
      <c r="D5935" s="708">
        <v>7000.0</v>
      </c>
      <c r="E5935" s="195">
        <v>7.661</v>
      </c>
      <c r="F5935" s="709">
        <v>0.5591550925925926</v>
      </c>
      <c r="G5935" s="195" t="s">
        <v>453</v>
      </c>
      <c r="H5935" s="710">
        <v>29.89</v>
      </c>
      <c r="I5935" s="256"/>
      <c r="J5935" s="67">
        <f t="shared" si="367"/>
        <v>53597.11</v>
      </c>
      <c r="L5935" s="70"/>
      <c r="M5935" s="934"/>
      <c r="N5935" s="94"/>
      <c r="O5935" s="94"/>
      <c r="P5935" s="94"/>
      <c r="Q5935" s="94"/>
      <c r="R5935" s="94"/>
      <c r="S5935" s="94"/>
      <c r="T5935" s="94"/>
      <c r="U5935" s="94"/>
      <c r="V5935" s="94"/>
      <c r="W5935" s="94"/>
      <c r="X5935" s="94"/>
      <c r="Y5935" s="94"/>
      <c r="Z5935" s="94"/>
      <c r="AA5935" s="94"/>
      <c r="AB5935" s="94"/>
      <c r="AC5935" s="94"/>
      <c r="AD5935" s="94"/>
      <c r="AE5935" s="94"/>
      <c r="AF5935" s="94"/>
      <c r="AG5935" s="94"/>
      <c r="AH5935" s="94"/>
    </row>
    <row r="5936" ht="12.75" hidden="1" customHeight="1" outlineLevel="1">
      <c r="A5936" s="122">
        <v>42044.0</v>
      </c>
      <c r="B5936" s="32" t="s">
        <v>343</v>
      </c>
      <c r="C5936" s="32" t="s">
        <v>369</v>
      </c>
      <c r="D5936" s="708">
        <v>1500.0</v>
      </c>
      <c r="E5936" s="195">
        <v>6.719</v>
      </c>
      <c r="F5936" s="709">
        <v>0.5616319444444444</v>
      </c>
      <c r="G5936" s="195" t="s">
        <v>453</v>
      </c>
      <c r="H5936" s="710">
        <v>6.0</v>
      </c>
      <c r="I5936" s="256"/>
      <c r="J5936" s="67">
        <f t="shared" si="367"/>
        <v>-10084.5</v>
      </c>
      <c r="L5936" s="70"/>
      <c r="M5936" s="934"/>
      <c r="N5936" s="94"/>
      <c r="O5936" s="94"/>
      <c r="P5936" s="94"/>
      <c r="Q5936" s="94"/>
      <c r="R5936" s="94"/>
      <c r="S5936" s="94"/>
      <c r="T5936" s="94"/>
      <c r="U5936" s="94"/>
      <c r="V5936" s="94"/>
      <c r="W5936" s="94"/>
      <c r="X5936" s="94"/>
      <c r="Y5936" s="94"/>
      <c r="Z5936" s="94"/>
      <c r="AA5936" s="94"/>
      <c r="AB5936" s="94"/>
      <c r="AC5936" s="94"/>
      <c r="AD5936" s="94"/>
      <c r="AE5936" s="94"/>
      <c r="AF5936" s="94"/>
      <c r="AG5936" s="94"/>
      <c r="AH5936" s="94"/>
    </row>
    <row r="5937" ht="12.75" hidden="1" customHeight="1" outlineLevel="1">
      <c r="A5937" s="122">
        <v>42044.0</v>
      </c>
      <c r="B5937" s="32" t="s">
        <v>347</v>
      </c>
      <c r="C5937" s="32" t="s">
        <v>369</v>
      </c>
      <c r="D5937" s="708">
        <v>3000.0</v>
      </c>
      <c r="E5937" s="195">
        <v>6.71</v>
      </c>
      <c r="F5937" s="709">
        <v>0.5619907407407407</v>
      </c>
      <c r="G5937" s="195" t="s">
        <v>453</v>
      </c>
      <c r="H5937" s="710">
        <v>13.94</v>
      </c>
      <c r="I5937" s="256"/>
      <c r="J5937" s="67">
        <f t="shared" si="367"/>
        <v>20116.06</v>
      </c>
      <c r="L5937" s="70"/>
      <c r="M5937" s="934"/>
      <c r="N5937" s="94"/>
      <c r="O5937" s="94"/>
      <c r="P5937" s="94"/>
      <c r="Q5937" s="94"/>
      <c r="R5937" s="94"/>
      <c r="S5937" s="94"/>
      <c r="T5937" s="94"/>
      <c r="U5937" s="94"/>
      <c r="V5937" s="94"/>
      <c r="W5937" s="94"/>
      <c r="X5937" s="94"/>
      <c r="Y5937" s="94"/>
      <c r="Z5937" s="94"/>
      <c r="AA5937" s="94"/>
      <c r="AB5937" s="94"/>
      <c r="AC5937" s="94"/>
      <c r="AD5937" s="94"/>
      <c r="AE5937" s="94"/>
      <c r="AF5937" s="94"/>
      <c r="AG5937" s="94"/>
      <c r="AH5937" s="94"/>
    </row>
    <row r="5938" ht="12.75" hidden="1" customHeight="1" outlineLevel="1">
      <c r="A5938" s="122">
        <v>42044.0</v>
      </c>
      <c r="B5938" s="32" t="s">
        <v>347</v>
      </c>
      <c r="C5938" s="32" t="s">
        <v>790</v>
      </c>
      <c r="D5938" s="708">
        <v>7000.0</v>
      </c>
      <c r="E5938" s="195">
        <v>6.562</v>
      </c>
      <c r="F5938" s="709">
        <v>0.5671990740740741</v>
      </c>
      <c r="G5938" s="195" t="s">
        <v>453</v>
      </c>
      <c r="H5938" s="710">
        <v>36.02</v>
      </c>
      <c r="I5938" s="256"/>
      <c r="J5938" s="67">
        <f t="shared" si="367"/>
        <v>45897.98</v>
      </c>
      <c r="L5938" s="70"/>
      <c r="M5938" s="934"/>
      <c r="N5938" s="94"/>
      <c r="O5938" s="94"/>
      <c r="P5938" s="94"/>
      <c r="Q5938" s="94"/>
      <c r="R5938" s="94"/>
      <c r="S5938" s="94"/>
      <c r="T5938" s="94"/>
      <c r="U5938" s="94"/>
      <c r="V5938" s="94"/>
      <c r="W5938" s="94"/>
      <c r="X5938" s="94"/>
      <c r="Y5938" s="94"/>
      <c r="Z5938" s="94"/>
      <c r="AA5938" s="94"/>
      <c r="AB5938" s="94"/>
      <c r="AC5938" s="94"/>
      <c r="AD5938" s="94"/>
      <c r="AE5938" s="94"/>
      <c r="AF5938" s="94"/>
      <c r="AG5938" s="94"/>
      <c r="AH5938" s="94"/>
    </row>
    <row r="5939" ht="12.75" hidden="1" customHeight="1" outlineLevel="1">
      <c r="A5939" s="882">
        <v>42044.0</v>
      </c>
      <c r="B5939" s="1"/>
      <c r="C5939" s="1" t="s">
        <v>339</v>
      </c>
      <c r="D5939" s="74"/>
      <c r="E5939" s="67"/>
      <c r="F5939" s="75"/>
      <c r="G5939" s="67"/>
      <c r="H5939" s="68"/>
      <c r="I5939" s="76"/>
      <c r="J5939" s="67"/>
      <c r="K5939" s="968" t="s">
        <v>2808</v>
      </c>
      <c r="L5939" s="934"/>
      <c r="M5939" s="934"/>
    </row>
    <row r="5940" ht="12.75" hidden="1" customHeight="1" outlineLevel="1">
      <c r="A5940" s="882">
        <v>42044.0</v>
      </c>
      <c r="B5940" s="1"/>
      <c r="C5940" s="1" t="s">
        <v>429</v>
      </c>
      <c r="D5940" s="74"/>
      <c r="E5940" s="67"/>
      <c r="F5940" s="75"/>
      <c r="G5940" s="67"/>
      <c r="H5940" s="68"/>
      <c r="I5940" s="76"/>
      <c r="J5940" s="67"/>
      <c r="K5940" s="9" t="s">
        <v>2795</v>
      </c>
      <c r="L5940" s="934"/>
      <c r="M5940" s="934"/>
    </row>
    <row r="5941" ht="12.75" hidden="1" customHeight="1" outlineLevel="1">
      <c r="A5941" s="882">
        <v>42044.0</v>
      </c>
      <c r="B5941" s="1"/>
      <c r="C5941" s="1" t="s">
        <v>431</v>
      </c>
      <c r="D5941" s="74"/>
      <c r="E5941" s="67"/>
      <c r="F5941" s="75"/>
      <c r="G5941" s="67"/>
      <c r="H5941" s="68"/>
      <c r="I5941" s="76"/>
      <c r="J5941" s="67"/>
      <c r="K5941" s="7" t="s">
        <v>1126</v>
      </c>
      <c r="L5941" s="934"/>
      <c r="M5941" s="934"/>
    </row>
    <row r="5942" ht="12.75" hidden="1" customHeight="1" outlineLevel="1">
      <c r="A5942" s="882">
        <v>42044.0</v>
      </c>
      <c r="B5942" s="1"/>
      <c r="C5942" s="1" t="s">
        <v>433</v>
      </c>
      <c r="D5942" s="74"/>
      <c r="E5942" s="67"/>
      <c r="F5942" s="75"/>
      <c r="G5942" s="67"/>
      <c r="H5942" s="68"/>
      <c r="I5942" s="76"/>
      <c r="J5942" s="67"/>
      <c r="K5942" s="7" t="s">
        <v>1103</v>
      </c>
      <c r="L5942" s="934"/>
      <c r="M5942" s="934"/>
    </row>
    <row r="5943" ht="12.75" hidden="1" customHeight="1" outlineLevel="1">
      <c r="A5943" s="882">
        <v>42044.0</v>
      </c>
      <c r="B5943" s="1"/>
      <c r="C5943" s="1" t="s">
        <v>435</v>
      </c>
      <c r="D5943" s="74"/>
      <c r="E5943" s="67"/>
      <c r="F5943" s="75"/>
      <c r="G5943" s="67"/>
      <c r="H5943" s="68"/>
      <c r="I5943" s="76"/>
      <c r="J5943" s="67"/>
      <c r="K5943" s="9" t="s">
        <v>2802</v>
      </c>
      <c r="L5943" s="934"/>
      <c r="M5943" s="934"/>
    </row>
    <row r="5944" ht="12.75" hidden="1" customHeight="1" outlineLevel="1">
      <c r="A5944" s="122">
        <v>42045.0</v>
      </c>
      <c r="B5944" s="32" t="s">
        <v>347</v>
      </c>
      <c r="C5944" s="32" t="s">
        <v>1844</v>
      </c>
      <c r="D5944" s="708">
        <v>200.0</v>
      </c>
      <c r="E5944" s="195">
        <v>44.35</v>
      </c>
      <c r="F5944" s="709">
        <v>0.5215046296296296</v>
      </c>
      <c r="G5944" s="195" t="s">
        <v>453</v>
      </c>
      <c r="H5944" s="710">
        <v>1.2</v>
      </c>
      <c r="I5944" s="256"/>
      <c r="J5944" s="67">
        <f t="shared" ref="J5944:J5961" si="368">IF(B5944="SLD",D5944*E5944,-D5944*E5944)-H5944</f>
        <v>8868.8</v>
      </c>
      <c r="L5944" s="70"/>
      <c r="M5944" s="934"/>
      <c r="N5944" s="94"/>
      <c r="O5944" s="94"/>
      <c r="P5944" s="94"/>
      <c r="Q5944" s="94"/>
      <c r="R5944" s="94"/>
      <c r="S5944" s="94"/>
      <c r="T5944" s="94"/>
      <c r="U5944" s="94"/>
      <c r="V5944" s="94"/>
      <c r="W5944" s="94"/>
      <c r="X5944" s="94"/>
      <c r="Y5944" s="94"/>
      <c r="Z5944" s="94"/>
      <c r="AA5944" s="94"/>
      <c r="AB5944" s="94"/>
      <c r="AC5944" s="94"/>
      <c r="AD5944" s="94"/>
      <c r="AE5944" s="94"/>
      <c r="AF5944" s="94"/>
      <c r="AG5944" s="94"/>
      <c r="AH5944" s="94"/>
    </row>
    <row r="5945" ht="12.75" hidden="1" customHeight="1" outlineLevel="1">
      <c r="A5945" s="122">
        <v>42045.0</v>
      </c>
      <c r="B5945" s="32" t="s">
        <v>347</v>
      </c>
      <c r="C5945" s="32" t="s">
        <v>2192</v>
      </c>
      <c r="D5945" s="708">
        <v>750.0</v>
      </c>
      <c r="E5945" s="195">
        <v>11.94</v>
      </c>
      <c r="F5945" s="709">
        <v>0.5242939814814814</v>
      </c>
      <c r="G5945" s="195" t="s">
        <v>453</v>
      </c>
      <c r="H5945" s="710">
        <v>3.95</v>
      </c>
      <c r="I5945" s="256"/>
      <c r="J5945" s="67">
        <f t="shared" si="368"/>
        <v>8951.05</v>
      </c>
      <c r="L5945" s="70"/>
      <c r="M5945" s="934"/>
      <c r="N5945" s="94"/>
      <c r="O5945" s="94"/>
      <c r="P5945" s="94"/>
      <c r="Q5945" s="94"/>
      <c r="R5945" s="94"/>
      <c r="S5945" s="94"/>
      <c r="T5945" s="94"/>
      <c r="U5945" s="94"/>
      <c r="V5945" s="94"/>
      <c r="W5945" s="94"/>
      <c r="X5945" s="94"/>
      <c r="Y5945" s="94"/>
      <c r="Z5945" s="94"/>
      <c r="AA5945" s="94"/>
      <c r="AB5945" s="94"/>
      <c r="AC5945" s="94"/>
      <c r="AD5945" s="94"/>
      <c r="AE5945" s="94"/>
      <c r="AF5945" s="94"/>
      <c r="AG5945" s="94"/>
      <c r="AH5945" s="94"/>
    </row>
    <row r="5946" ht="12.75" hidden="1" customHeight="1" outlineLevel="1">
      <c r="A5946" s="122">
        <v>42045.0</v>
      </c>
      <c r="B5946" s="32" t="s">
        <v>347</v>
      </c>
      <c r="C5946" s="32" t="s">
        <v>2048</v>
      </c>
      <c r="D5946" s="708">
        <v>750.0</v>
      </c>
      <c r="E5946" s="195">
        <v>13.531</v>
      </c>
      <c r="F5946" s="709">
        <v>0.5244560185185185</v>
      </c>
      <c r="G5946" s="195" t="s">
        <v>453</v>
      </c>
      <c r="H5946" s="710">
        <v>3.97</v>
      </c>
      <c r="I5946" s="256"/>
      <c r="J5946" s="67">
        <f t="shared" si="368"/>
        <v>10144.28</v>
      </c>
      <c r="L5946" s="70"/>
      <c r="M5946" s="934"/>
      <c r="N5946" s="94"/>
      <c r="O5946" s="94"/>
      <c r="P5946" s="94"/>
      <c r="Q5946" s="94"/>
      <c r="R5946" s="94"/>
      <c r="S5946" s="94"/>
      <c r="T5946" s="94"/>
      <c r="U5946" s="94"/>
      <c r="V5946" s="94"/>
      <c r="W5946" s="94"/>
      <c r="X5946" s="94"/>
      <c r="Y5946" s="94"/>
      <c r="Z5946" s="94"/>
      <c r="AA5946" s="94"/>
      <c r="AB5946" s="94"/>
      <c r="AC5946" s="94"/>
      <c r="AD5946" s="94"/>
      <c r="AE5946" s="94"/>
      <c r="AF5946" s="94"/>
      <c r="AG5946" s="94"/>
      <c r="AH5946" s="94"/>
    </row>
    <row r="5947" ht="12.75" hidden="1" customHeight="1" outlineLevel="1">
      <c r="A5947" s="122">
        <v>42045.0</v>
      </c>
      <c r="B5947" s="32" t="s">
        <v>347</v>
      </c>
      <c r="C5947" s="32" t="s">
        <v>784</v>
      </c>
      <c r="D5947" s="708">
        <v>1000.0</v>
      </c>
      <c r="E5947" s="195">
        <v>7.33</v>
      </c>
      <c r="F5947" s="709">
        <v>0.5252546296296297</v>
      </c>
      <c r="G5947" s="195" t="s">
        <v>453</v>
      </c>
      <c r="H5947" s="710">
        <v>4.16</v>
      </c>
      <c r="I5947" s="256"/>
      <c r="J5947" s="67">
        <f t="shared" si="368"/>
        <v>7325.84</v>
      </c>
      <c r="L5947" s="70"/>
      <c r="M5947" s="934"/>
      <c r="N5947" s="94"/>
      <c r="O5947" s="94"/>
      <c r="P5947" s="94"/>
      <c r="Q5947" s="94"/>
      <c r="R5947" s="94"/>
      <c r="S5947" s="94"/>
      <c r="T5947" s="94"/>
      <c r="U5947" s="94"/>
      <c r="V5947" s="94"/>
      <c r="W5947" s="94"/>
      <c r="X5947" s="94"/>
      <c r="Y5947" s="94"/>
      <c r="Z5947" s="94"/>
      <c r="AA5947" s="94"/>
      <c r="AB5947" s="94"/>
      <c r="AC5947" s="94"/>
      <c r="AD5947" s="94"/>
      <c r="AE5947" s="94"/>
      <c r="AF5947" s="94"/>
      <c r="AG5947" s="94"/>
      <c r="AH5947" s="94"/>
    </row>
    <row r="5948" ht="12.75" hidden="1" customHeight="1" outlineLevel="1">
      <c r="A5948" s="122">
        <v>42045.0</v>
      </c>
      <c r="B5948" s="32" t="s">
        <v>347</v>
      </c>
      <c r="C5948" s="32" t="s">
        <v>369</v>
      </c>
      <c r="D5948" s="708">
        <v>1000.0</v>
      </c>
      <c r="E5948" s="195">
        <v>6.71</v>
      </c>
      <c r="F5948" s="709">
        <v>0.5256018518518518</v>
      </c>
      <c r="G5948" s="195" t="s">
        <v>453</v>
      </c>
      <c r="H5948" s="710">
        <v>5.15</v>
      </c>
      <c r="I5948" s="256"/>
      <c r="J5948" s="67">
        <f t="shared" si="368"/>
        <v>6704.85</v>
      </c>
      <c r="L5948" s="70"/>
      <c r="M5948" s="934"/>
      <c r="N5948" s="94"/>
      <c r="O5948" s="94"/>
      <c r="P5948" s="94"/>
      <c r="Q5948" s="94"/>
      <c r="R5948" s="94"/>
      <c r="S5948" s="94"/>
      <c r="T5948" s="94"/>
      <c r="U5948" s="94"/>
      <c r="V5948" s="94"/>
      <c r="W5948" s="94"/>
      <c r="X5948" s="94"/>
      <c r="Y5948" s="94"/>
      <c r="Z5948" s="94"/>
      <c r="AA5948" s="94"/>
      <c r="AB5948" s="94"/>
      <c r="AC5948" s="94"/>
      <c r="AD5948" s="94"/>
      <c r="AE5948" s="94"/>
      <c r="AF5948" s="94"/>
      <c r="AG5948" s="94"/>
      <c r="AH5948" s="94"/>
    </row>
    <row r="5949" ht="12.75" hidden="1" customHeight="1" outlineLevel="1">
      <c r="A5949" s="122">
        <v>42045.0</v>
      </c>
      <c r="B5949" s="32" t="s">
        <v>343</v>
      </c>
      <c r="C5949" s="32" t="s">
        <v>1345</v>
      </c>
      <c r="D5949" s="708">
        <v>50.0</v>
      </c>
      <c r="E5949" s="195">
        <v>150.32</v>
      </c>
      <c r="F5949" s="709">
        <v>0.5270138888888889</v>
      </c>
      <c r="G5949" s="195" t="s">
        <v>453</v>
      </c>
      <c r="H5949" s="710">
        <v>1.0</v>
      </c>
      <c r="I5949" s="256"/>
      <c r="J5949" s="67">
        <f t="shared" si="368"/>
        <v>-7517</v>
      </c>
      <c r="L5949" s="70"/>
      <c r="M5949" s="934"/>
      <c r="N5949" s="94"/>
      <c r="O5949" s="94"/>
      <c r="P5949" s="94"/>
      <c r="Q5949" s="94"/>
      <c r="R5949" s="94"/>
      <c r="S5949" s="94"/>
      <c r="T5949" s="94"/>
      <c r="U5949" s="94"/>
      <c r="V5949" s="94"/>
      <c r="W5949" s="94"/>
      <c r="X5949" s="94"/>
      <c r="Y5949" s="94"/>
      <c r="Z5949" s="94"/>
      <c r="AA5949" s="94"/>
      <c r="AB5949" s="94"/>
      <c r="AC5949" s="94"/>
      <c r="AD5949" s="94"/>
      <c r="AE5949" s="94"/>
      <c r="AF5949" s="94"/>
      <c r="AG5949" s="94"/>
      <c r="AH5949" s="94"/>
    </row>
    <row r="5950" ht="12.75" hidden="1" customHeight="1" outlineLevel="1">
      <c r="A5950" s="122">
        <v>42045.0</v>
      </c>
      <c r="B5950" s="32" t="s">
        <v>343</v>
      </c>
      <c r="C5950" s="32" t="s">
        <v>1249</v>
      </c>
      <c r="D5950" s="708">
        <v>75.0</v>
      </c>
      <c r="E5950" s="195">
        <v>96.45</v>
      </c>
      <c r="F5950" s="709">
        <v>0.5272222222222223</v>
      </c>
      <c r="G5950" s="195" t="s">
        <v>453</v>
      </c>
      <c r="H5950" s="710">
        <v>1.0</v>
      </c>
      <c r="I5950" s="256"/>
      <c r="J5950" s="67">
        <f t="shared" si="368"/>
        <v>-7234.75</v>
      </c>
      <c r="L5950" s="70"/>
      <c r="M5950" s="934"/>
      <c r="N5950" s="94"/>
      <c r="O5950" s="94"/>
      <c r="P5950" s="94"/>
      <c r="Q5950" s="94"/>
      <c r="R5950" s="94"/>
      <c r="S5950" s="94"/>
      <c r="T5950" s="94"/>
      <c r="U5950" s="94"/>
      <c r="V5950" s="94"/>
      <c r="W5950" s="94"/>
      <c r="X5950" s="94"/>
      <c r="Y5950" s="94"/>
      <c r="Z5950" s="94"/>
      <c r="AA5950" s="94"/>
      <c r="AB5950" s="94"/>
      <c r="AC5950" s="94"/>
      <c r="AD5950" s="94"/>
      <c r="AE5950" s="94"/>
      <c r="AF5950" s="94"/>
      <c r="AG5950" s="94"/>
      <c r="AH5950" s="94"/>
    </row>
    <row r="5951" ht="12.75" hidden="1" customHeight="1" outlineLevel="1">
      <c r="A5951" s="122">
        <v>42045.0</v>
      </c>
      <c r="B5951" s="32" t="s">
        <v>343</v>
      </c>
      <c r="C5951" s="32" t="s">
        <v>344</v>
      </c>
      <c r="D5951" s="708">
        <v>100.0</v>
      </c>
      <c r="E5951" s="195">
        <v>52.34</v>
      </c>
      <c r="F5951" s="709">
        <v>0.5275115740740741</v>
      </c>
      <c r="G5951" s="195" t="s">
        <v>453</v>
      </c>
      <c r="H5951" s="710">
        <v>1.0</v>
      </c>
      <c r="I5951" s="256"/>
      <c r="J5951" s="67">
        <f t="shared" si="368"/>
        <v>-5235</v>
      </c>
      <c r="L5951" s="70"/>
      <c r="M5951" s="934"/>
      <c r="N5951" s="94"/>
      <c r="O5951" s="94"/>
      <c r="P5951" s="94"/>
      <c r="Q5951" s="94"/>
      <c r="R5951" s="94"/>
      <c r="S5951" s="94"/>
      <c r="T5951" s="94"/>
      <c r="U5951" s="94"/>
      <c r="V5951" s="94"/>
      <c r="W5951" s="94"/>
      <c r="X5951" s="94"/>
      <c r="Y5951" s="94"/>
      <c r="Z5951" s="94"/>
      <c r="AA5951" s="94"/>
      <c r="AB5951" s="94"/>
      <c r="AC5951" s="94"/>
      <c r="AD5951" s="94"/>
      <c r="AE5951" s="94"/>
      <c r="AF5951" s="94"/>
      <c r="AG5951" s="94"/>
      <c r="AH5951" s="94"/>
    </row>
    <row r="5952" ht="12.75" hidden="1" customHeight="1" outlineLevel="1">
      <c r="A5952" s="122">
        <v>42045.0</v>
      </c>
      <c r="B5952" s="32" t="s">
        <v>343</v>
      </c>
      <c r="C5952" s="32" t="s">
        <v>1325</v>
      </c>
      <c r="D5952" s="708">
        <v>50.0</v>
      </c>
      <c r="E5952" s="195">
        <v>65.82</v>
      </c>
      <c r="F5952" s="709">
        <v>0.5277199074074074</v>
      </c>
      <c r="G5952" s="195" t="s">
        <v>453</v>
      </c>
      <c r="H5952" s="710">
        <v>1.0</v>
      </c>
      <c r="I5952" s="256"/>
      <c r="J5952" s="67">
        <f t="shared" si="368"/>
        <v>-3292</v>
      </c>
      <c r="L5952" s="70"/>
      <c r="M5952" s="934"/>
      <c r="N5952" s="94"/>
      <c r="O5952" s="94"/>
      <c r="P5952" s="94"/>
      <c r="Q5952" s="94"/>
      <c r="R5952" s="94"/>
      <c r="S5952" s="94"/>
      <c r="T5952" s="94"/>
      <c r="U5952" s="94"/>
      <c r="V5952" s="94"/>
      <c r="W5952" s="94"/>
      <c r="X5952" s="94"/>
      <c r="Y5952" s="94"/>
      <c r="Z5952" s="94"/>
      <c r="AA5952" s="94"/>
      <c r="AB5952" s="94"/>
      <c r="AC5952" s="94"/>
      <c r="AD5952" s="94"/>
      <c r="AE5952" s="94"/>
      <c r="AF5952" s="94"/>
      <c r="AG5952" s="94"/>
      <c r="AH5952" s="94"/>
    </row>
    <row r="5953" ht="12.75" hidden="1" customHeight="1" outlineLevel="1">
      <c r="A5953" s="122">
        <v>42045.0</v>
      </c>
      <c r="B5953" s="32" t="s">
        <v>343</v>
      </c>
      <c r="C5953" s="32" t="s">
        <v>2342</v>
      </c>
      <c r="D5953" s="708">
        <v>200.0</v>
      </c>
      <c r="E5953" s="195">
        <v>53.7</v>
      </c>
      <c r="F5953" s="709">
        <v>0.5283101851851851</v>
      </c>
      <c r="G5953" s="195" t="s">
        <v>453</v>
      </c>
      <c r="H5953" s="710">
        <v>1.0</v>
      </c>
      <c r="I5953" s="256"/>
      <c r="J5953" s="67">
        <f t="shared" si="368"/>
        <v>-10741</v>
      </c>
      <c r="L5953" s="70"/>
      <c r="M5953" s="934"/>
      <c r="N5953" s="94"/>
      <c r="O5953" s="94"/>
      <c r="P5953" s="94"/>
      <c r="Q5953" s="94"/>
      <c r="R5953" s="94"/>
      <c r="S5953" s="94"/>
      <c r="T5953" s="94"/>
      <c r="U5953" s="94"/>
      <c r="V5953" s="94"/>
      <c r="W5953" s="94"/>
      <c r="X5953" s="94"/>
      <c r="Y5953" s="94"/>
      <c r="Z5953" s="94"/>
      <c r="AA5953" s="94"/>
      <c r="AB5953" s="94"/>
      <c r="AC5953" s="94"/>
      <c r="AD5953" s="94"/>
      <c r="AE5953" s="94"/>
      <c r="AF5953" s="94"/>
      <c r="AG5953" s="94"/>
      <c r="AH5953" s="94"/>
    </row>
    <row r="5954" ht="12.75" hidden="1" customHeight="1" outlineLevel="1">
      <c r="A5954" s="122">
        <v>42045.0</v>
      </c>
      <c r="B5954" s="32" t="s">
        <v>343</v>
      </c>
      <c r="C5954" s="32" t="s">
        <v>1060</v>
      </c>
      <c r="D5954" s="708">
        <v>250.0</v>
      </c>
      <c r="E5954" s="195">
        <v>41.65</v>
      </c>
      <c r="F5954" s="709">
        <v>0.6035185185185186</v>
      </c>
      <c r="G5954" s="195" t="s">
        <v>453</v>
      </c>
      <c r="H5954" s="710">
        <v>1.15</v>
      </c>
      <c r="I5954" s="256"/>
      <c r="J5954" s="67">
        <f t="shared" si="368"/>
        <v>-10413.65</v>
      </c>
      <c r="L5954" s="70"/>
      <c r="M5954" s="934"/>
      <c r="N5954" s="94"/>
      <c r="O5954" s="94"/>
      <c r="P5954" s="94"/>
      <c r="Q5954" s="94"/>
      <c r="R5954" s="94"/>
      <c r="S5954" s="94"/>
      <c r="T5954" s="94"/>
      <c r="U5954" s="94"/>
      <c r="V5954" s="94"/>
      <c r="W5954" s="94"/>
      <c r="X5954" s="94"/>
      <c r="Y5954" s="94"/>
      <c r="Z5954" s="94"/>
      <c r="AA5954" s="94"/>
      <c r="AB5954" s="94"/>
      <c r="AC5954" s="94"/>
      <c r="AD5954" s="94"/>
      <c r="AE5954" s="94"/>
      <c r="AF5954" s="94"/>
      <c r="AG5954" s="94"/>
      <c r="AH5954" s="94"/>
    </row>
    <row r="5955" ht="12.75" hidden="1" customHeight="1" outlineLevel="1">
      <c r="A5955" s="122">
        <v>42045.0</v>
      </c>
      <c r="B5955" s="32" t="s">
        <v>343</v>
      </c>
      <c r="C5955" s="32" t="s">
        <v>1060</v>
      </c>
      <c r="D5955" s="708">
        <v>250.0</v>
      </c>
      <c r="E5955" s="195">
        <v>41.65</v>
      </c>
      <c r="F5955" s="709">
        <v>0.6038773148148148</v>
      </c>
      <c r="G5955" s="195" t="s">
        <v>453</v>
      </c>
      <c r="H5955" s="710">
        <v>1.25</v>
      </c>
      <c r="I5955" s="256"/>
      <c r="J5955" s="67">
        <f t="shared" si="368"/>
        <v>-10413.75</v>
      </c>
      <c r="L5955" s="70"/>
      <c r="M5955" s="934"/>
      <c r="N5955" s="94"/>
      <c r="O5955" s="94"/>
      <c r="P5955" s="94"/>
      <c r="Q5955" s="94"/>
      <c r="R5955" s="94"/>
      <c r="S5955" s="94"/>
      <c r="T5955" s="94"/>
      <c r="U5955" s="94"/>
      <c r="V5955" s="94"/>
      <c r="W5955" s="94"/>
      <c r="X5955" s="94"/>
      <c r="Y5955" s="94"/>
      <c r="Z5955" s="94"/>
      <c r="AA5955" s="94"/>
      <c r="AB5955" s="94"/>
      <c r="AC5955" s="94"/>
      <c r="AD5955" s="94"/>
      <c r="AE5955" s="94"/>
      <c r="AF5955" s="94"/>
      <c r="AG5955" s="94"/>
      <c r="AH5955" s="94"/>
    </row>
    <row r="5956" ht="12.75" hidden="1" customHeight="1" outlineLevel="1">
      <c r="A5956" s="122">
        <v>42045.0</v>
      </c>
      <c r="B5956" s="32" t="s">
        <v>343</v>
      </c>
      <c r="C5956" s="32" t="s">
        <v>1185</v>
      </c>
      <c r="D5956" s="708">
        <v>50.0</v>
      </c>
      <c r="E5956" s="195">
        <v>317.5</v>
      </c>
      <c r="F5956" s="709">
        <v>0.6087731481481482</v>
      </c>
      <c r="G5956" s="195" t="s">
        <v>453</v>
      </c>
      <c r="H5956" s="710">
        <v>1.0</v>
      </c>
      <c r="I5956" s="256"/>
      <c r="J5956" s="67">
        <f t="shared" si="368"/>
        <v>-15876</v>
      </c>
      <c r="L5956" s="70"/>
      <c r="M5956" s="934"/>
      <c r="N5956" s="94"/>
      <c r="O5956" s="94"/>
      <c r="P5956" s="94"/>
      <c r="Q5956" s="94"/>
      <c r="R5956" s="94"/>
      <c r="S5956" s="94"/>
      <c r="T5956" s="94"/>
      <c r="U5956" s="94"/>
      <c r="V5956" s="94"/>
      <c r="W5956" s="94"/>
      <c r="X5956" s="94"/>
      <c r="Y5956" s="94"/>
      <c r="Z5956" s="94"/>
      <c r="AA5956" s="94"/>
      <c r="AB5956" s="94"/>
      <c r="AC5956" s="94"/>
      <c r="AD5956" s="94"/>
      <c r="AE5956" s="94"/>
      <c r="AF5956" s="94"/>
      <c r="AG5956" s="94"/>
      <c r="AH5956" s="94"/>
    </row>
    <row r="5957" ht="12.75" hidden="1" customHeight="1" outlineLevel="1">
      <c r="A5957" s="122">
        <v>42046.0</v>
      </c>
      <c r="B5957" s="32" t="s">
        <v>343</v>
      </c>
      <c r="C5957" s="32" t="s">
        <v>1244</v>
      </c>
      <c r="D5957" s="708">
        <v>300.0</v>
      </c>
      <c r="E5957" s="195">
        <v>99.68</v>
      </c>
      <c r="F5957" s="709">
        <v>0.4024537037037037</v>
      </c>
      <c r="G5957" s="195" t="s">
        <v>453</v>
      </c>
      <c r="H5957" s="710">
        <v>1.5</v>
      </c>
      <c r="I5957" s="256"/>
      <c r="J5957" s="67">
        <f t="shared" si="368"/>
        <v>-29905.5</v>
      </c>
      <c r="L5957" s="70"/>
      <c r="M5957" s="934"/>
      <c r="N5957" s="94"/>
      <c r="O5957" s="94"/>
      <c r="P5957" s="94"/>
      <c r="Q5957" s="94"/>
      <c r="R5957" s="94"/>
      <c r="S5957" s="94"/>
      <c r="T5957" s="94"/>
      <c r="U5957" s="94"/>
      <c r="V5957" s="94"/>
      <c r="W5957" s="94"/>
      <c r="X5957" s="94"/>
      <c r="Y5957" s="94"/>
      <c r="Z5957" s="94"/>
      <c r="AA5957" s="94"/>
      <c r="AB5957" s="94"/>
      <c r="AC5957" s="94"/>
      <c r="AD5957" s="94"/>
      <c r="AE5957" s="94"/>
      <c r="AF5957" s="94"/>
      <c r="AG5957" s="94"/>
      <c r="AH5957" s="94"/>
    </row>
    <row r="5958" ht="12.75" hidden="1" customHeight="1" outlineLevel="1">
      <c r="A5958" s="122">
        <v>42046.0</v>
      </c>
      <c r="B5958" s="32" t="s">
        <v>343</v>
      </c>
      <c r="C5958" s="32" t="s">
        <v>1607</v>
      </c>
      <c r="D5958" s="708">
        <v>900.0</v>
      </c>
      <c r="E5958" s="195">
        <v>24.657</v>
      </c>
      <c r="F5958" s="709">
        <v>0.4026851851851852</v>
      </c>
      <c r="G5958" s="195" t="s">
        <v>453</v>
      </c>
      <c r="H5958" s="710">
        <v>3.6</v>
      </c>
      <c r="I5958" s="256"/>
      <c r="J5958" s="67">
        <f t="shared" si="368"/>
        <v>-22194.9</v>
      </c>
      <c r="L5958" s="70"/>
      <c r="M5958" s="934"/>
      <c r="N5958" s="94"/>
      <c r="O5958" s="94"/>
      <c r="P5958" s="94"/>
      <c r="Q5958" s="94"/>
      <c r="R5958" s="94"/>
      <c r="S5958" s="94"/>
      <c r="T5958" s="94"/>
      <c r="U5958" s="94"/>
      <c r="V5958" s="94"/>
      <c r="W5958" s="94"/>
      <c r="X5958" s="94"/>
      <c r="Y5958" s="94"/>
      <c r="Z5958" s="94"/>
      <c r="AA5958" s="94"/>
      <c r="AB5958" s="94"/>
      <c r="AC5958" s="94"/>
      <c r="AD5958" s="94"/>
      <c r="AE5958" s="94"/>
      <c r="AF5958" s="94"/>
      <c r="AG5958" s="94"/>
      <c r="AH5958" s="94"/>
    </row>
    <row r="5959" ht="12.75" hidden="1" customHeight="1" outlineLevel="1">
      <c r="A5959" s="122">
        <v>42046.0</v>
      </c>
      <c r="B5959" s="32" t="s">
        <v>343</v>
      </c>
      <c r="C5959" s="32" t="s">
        <v>2792</v>
      </c>
      <c r="D5959" s="708">
        <v>600.0</v>
      </c>
      <c r="E5959" s="195">
        <v>35.76</v>
      </c>
      <c r="F5959" s="709">
        <v>0.4029513888888889</v>
      </c>
      <c r="G5959" s="195" t="s">
        <v>453</v>
      </c>
      <c r="H5959" s="710">
        <v>3.0</v>
      </c>
      <c r="I5959" s="256"/>
      <c r="J5959" s="67">
        <f t="shared" si="368"/>
        <v>-21459</v>
      </c>
      <c r="L5959" s="70"/>
      <c r="M5959" s="934"/>
      <c r="N5959" s="94"/>
      <c r="O5959" s="94"/>
      <c r="P5959" s="94"/>
      <c r="Q5959" s="94"/>
      <c r="R5959" s="94"/>
      <c r="S5959" s="94"/>
      <c r="T5959" s="94"/>
      <c r="U5959" s="94"/>
      <c r="V5959" s="94"/>
      <c r="W5959" s="94"/>
      <c r="X5959" s="94"/>
      <c r="Y5959" s="94"/>
      <c r="Z5959" s="94"/>
      <c r="AA5959" s="94"/>
      <c r="AB5959" s="94"/>
      <c r="AC5959" s="94"/>
      <c r="AD5959" s="94"/>
      <c r="AE5959" s="94"/>
      <c r="AF5959" s="94"/>
      <c r="AG5959" s="94"/>
      <c r="AH5959" s="94"/>
    </row>
    <row r="5960" ht="12.75" hidden="1" customHeight="1" outlineLevel="1">
      <c r="A5960" s="122">
        <v>42046.0</v>
      </c>
      <c r="B5960" s="32" t="s">
        <v>343</v>
      </c>
      <c r="C5960" s="32" t="s">
        <v>1164</v>
      </c>
      <c r="D5960" s="708">
        <v>400.0</v>
      </c>
      <c r="E5960" s="195">
        <v>44.169</v>
      </c>
      <c r="F5960" s="709">
        <v>0.40348379629629627</v>
      </c>
      <c r="G5960" s="195" t="s">
        <v>453</v>
      </c>
      <c r="H5960" s="710">
        <v>1.6</v>
      </c>
      <c r="I5960" s="256"/>
      <c r="J5960" s="67">
        <f t="shared" si="368"/>
        <v>-17669.2</v>
      </c>
      <c r="L5960" s="70"/>
      <c r="M5960" s="934"/>
      <c r="N5960" s="94"/>
      <c r="O5960" s="94"/>
      <c r="P5960" s="94"/>
      <c r="Q5960" s="94"/>
      <c r="R5960" s="94"/>
      <c r="S5960" s="94"/>
      <c r="T5960" s="94"/>
      <c r="U5960" s="94"/>
      <c r="V5960" s="94"/>
      <c r="W5960" s="94"/>
      <c r="X5960" s="94"/>
      <c r="Y5960" s="94"/>
      <c r="Z5960" s="94"/>
      <c r="AA5960" s="94"/>
      <c r="AB5960" s="94"/>
      <c r="AC5960" s="94"/>
      <c r="AD5960" s="94"/>
      <c r="AE5960" s="94"/>
      <c r="AF5960" s="94"/>
      <c r="AG5960" s="94"/>
      <c r="AH5960" s="94"/>
    </row>
    <row r="5961" ht="12.75" hidden="1" customHeight="1" outlineLevel="1">
      <c r="A5961" s="122">
        <v>42046.0</v>
      </c>
      <c r="B5961" s="32" t="s">
        <v>343</v>
      </c>
      <c r="C5961" s="32" t="s">
        <v>1158</v>
      </c>
      <c r="D5961" s="708">
        <v>500.0</v>
      </c>
      <c r="E5961" s="195">
        <v>45.8</v>
      </c>
      <c r="F5961" s="709">
        <v>0.40350694444444446</v>
      </c>
      <c r="G5961" s="195" t="s">
        <v>453</v>
      </c>
      <c r="H5961" s="710">
        <v>2.5</v>
      </c>
      <c r="I5961" s="256"/>
      <c r="J5961" s="67">
        <f t="shared" si="368"/>
        <v>-22902.5</v>
      </c>
      <c r="L5961" s="70"/>
      <c r="M5961" s="934"/>
      <c r="N5961" s="94"/>
      <c r="O5961" s="94"/>
      <c r="P5961" s="94"/>
      <c r="Q5961" s="94"/>
      <c r="R5961" s="94"/>
      <c r="S5961" s="94"/>
      <c r="T5961" s="94"/>
      <c r="U5961" s="94"/>
      <c r="V5961" s="94"/>
      <c r="W5961" s="94"/>
      <c r="X5961" s="94"/>
      <c r="Y5961" s="94"/>
      <c r="Z5961" s="94"/>
      <c r="AA5961" s="94"/>
      <c r="AB5961" s="94"/>
      <c r="AC5961" s="94"/>
      <c r="AD5961" s="94"/>
      <c r="AE5961" s="94"/>
      <c r="AF5961" s="94"/>
      <c r="AG5961" s="94"/>
      <c r="AH5961" s="94"/>
    </row>
    <row r="5962" ht="12.75" hidden="1" customHeight="1" outlineLevel="1">
      <c r="A5962" s="882">
        <v>42046.0</v>
      </c>
      <c r="B5962" s="1"/>
      <c r="C5962" s="1" t="s">
        <v>339</v>
      </c>
      <c r="D5962" s="74"/>
      <c r="E5962" s="67"/>
      <c r="F5962" s="75"/>
      <c r="G5962" s="67"/>
      <c r="H5962" s="68"/>
      <c r="I5962" s="76"/>
      <c r="J5962" s="67"/>
      <c r="K5962" s="968" t="s">
        <v>2809</v>
      </c>
      <c r="L5962" s="934"/>
      <c r="M5962" s="934"/>
    </row>
    <row r="5963" ht="12.75" hidden="1" customHeight="1" outlineLevel="1">
      <c r="A5963" s="882">
        <v>42046.0</v>
      </c>
      <c r="B5963" s="1"/>
      <c r="C5963" s="1" t="s">
        <v>429</v>
      </c>
      <c r="D5963" s="74"/>
      <c r="E5963" s="67"/>
      <c r="F5963" s="75"/>
      <c r="G5963" s="67"/>
      <c r="H5963" s="68"/>
      <c r="I5963" s="76"/>
      <c r="J5963" s="67"/>
      <c r="K5963" s="9" t="s">
        <v>2795</v>
      </c>
      <c r="L5963" s="934"/>
      <c r="M5963" s="934"/>
    </row>
    <row r="5964" ht="12.75" hidden="1" customHeight="1" outlineLevel="1">
      <c r="A5964" s="882">
        <v>42046.0</v>
      </c>
      <c r="B5964" s="1"/>
      <c r="C5964" s="1" t="s">
        <v>431</v>
      </c>
      <c r="D5964" s="74"/>
      <c r="E5964" s="67"/>
      <c r="F5964" s="75"/>
      <c r="G5964" s="67"/>
      <c r="H5964" s="68"/>
      <c r="I5964" s="76"/>
      <c r="J5964" s="67"/>
      <c r="K5964" s="7" t="s">
        <v>1126</v>
      </c>
      <c r="L5964" s="934"/>
      <c r="M5964" s="934"/>
    </row>
    <row r="5965" ht="12.75" hidden="1" customHeight="1" outlineLevel="1">
      <c r="A5965" s="882">
        <v>42046.0</v>
      </c>
      <c r="B5965" s="1"/>
      <c r="C5965" s="1" t="s">
        <v>433</v>
      </c>
      <c r="D5965" s="74"/>
      <c r="E5965" s="67"/>
      <c r="F5965" s="75"/>
      <c r="G5965" s="67"/>
      <c r="H5965" s="68"/>
      <c r="I5965" s="76"/>
      <c r="J5965" s="67"/>
      <c r="K5965" s="7" t="s">
        <v>1103</v>
      </c>
      <c r="L5965" s="934"/>
      <c r="M5965" s="934"/>
    </row>
    <row r="5966" ht="12.75" hidden="1" customHeight="1" outlineLevel="1">
      <c r="A5966" s="882">
        <v>42046.0</v>
      </c>
      <c r="B5966" s="1"/>
      <c r="C5966" s="1" t="s">
        <v>435</v>
      </c>
      <c r="D5966" s="74"/>
      <c r="E5966" s="67"/>
      <c r="F5966" s="75"/>
      <c r="G5966" s="67"/>
      <c r="H5966" s="68"/>
      <c r="I5966" s="76"/>
      <c r="J5966" s="67"/>
      <c r="K5966" s="9" t="s">
        <v>2802</v>
      </c>
      <c r="L5966" s="934"/>
      <c r="M5966" s="934"/>
    </row>
    <row r="5967" ht="12.75" hidden="1" customHeight="1" outlineLevel="1">
      <c r="A5967" s="122">
        <v>42046.0</v>
      </c>
      <c r="B5967" s="32" t="s">
        <v>343</v>
      </c>
      <c r="C5967" s="32" t="s">
        <v>790</v>
      </c>
      <c r="D5967" s="708">
        <v>4000.0</v>
      </c>
      <c r="E5967" s="195">
        <v>6.559</v>
      </c>
      <c r="F5967" s="709">
        <v>0.512974537037037</v>
      </c>
      <c r="G5967" s="195" t="s">
        <v>453</v>
      </c>
      <c r="H5967" s="710">
        <v>16.0</v>
      </c>
      <c r="I5967" s="256"/>
      <c r="J5967" s="67">
        <f t="shared" ref="J5967:J5968" si="369">IF(B5967="SLD",D5967*E5967,-D5967*E5967)-H5967</f>
        <v>-26252</v>
      </c>
      <c r="L5967" s="70"/>
      <c r="M5967" s="934"/>
      <c r="N5967" s="94"/>
      <c r="O5967" s="94"/>
      <c r="P5967" s="94"/>
      <c r="Q5967" s="94"/>
      <c r="R5967" s="94"/>
      <c r="S5967" s="94"/>
      <c r="T5967" s="94"/>
      <c r="U5967" s="94"/>
      <c r="V5967" s="94"/>
      <c r="W5967" s="94"/>
      <c r="X5967" s="94"/>
      <c r="Y5967" s="94"/>
      <c r="Z5967" s="94"/>
      <c r="AA5967" s="94"/>
      <c r="AB5967" s="94"/>
      <c r="AC5967" s="94"/>
      <c r="AD5967" s="94"/>
      <c r="AE5967" s="94"/>
      <c r="AF5967" s="94"/>
      <c r="AG5967" s="94"/>
      <c r="AH5967" s="94"/>
    </row>
    <row r="5968" ht="12.75" hidden="1" customHeight="1" outlineLevel="1">
      <c r="A5968" s="122">
        <v>42046.0</v>
      </c>
      <c r="B5968" s="32" t="s">
        <v>347</v>
      </c>
      <c r="C5968" s="32" t="s">
        <v>790</v>
      </c>
      <c r="D5968" s="708">
        <v>4000.0</v>
      </c>
      <c r="E5968" s="195">
        <v>6.58</v>
      </c>
      <c r="F5968" s="709">
        <v>0.5462152777777778</v>
      </c>
      <c r="G5968" s="195" t="s">
        <v>453</v>
      </c>
      <c r="H5968" s="710">
        <v>20.48</v>
      </c>
      <c r="I5968" s="256"/>
      <c r="J5968" s="67">
        <f t="shared" si="369"/>
        <v>26299.52</v>
      </c>
      <c r="L5968" s="70"/>
      <c r="M5968" s="934"/>
      <c r="N5968" s="94"/>
      <c r="O5968" s="94"/>
      <c r="P5968" s="94"/>
      <c r="Q5968" s="94"/>
      <c r="R5968" s="94"/>
      <c r="S5968" s="94"/>
      <c r="T5968" s="94"/>
      <c r="U5968" s="94"/>
      <c r="V5968" s="94"/>
      <c r="W5968" s="94"/>
      <c r="X5968" s="94"/>
      <c r="Y5968" s="94"/>
      <c r="Z5968" s="94"/>
      <c r="AA5968" s="94"/>
      <c r="AB5968" s="94"/>
      <c r="AC5968" s="94"/>
      <c r="AD5968" s="94"/>
      <c r="AE5968" s="94"/>
      <c r="AF5968" s="94"/>
      <c r="AG5968" s="94"/>
      <c r="AH5968" s="94"/>
    </row>
    <row r="5969" ht="12.75" hidden="1" customHeight="1" outlineLevel="1">
      <c r="A5969" s="882">
        <v>42047.0</v>
      </c>
      <c r="B5969" s="1"/>
      <c r="C5969" s="1" t="s">
        <v>339</v>
      </c>
      <c r="D5969" s="74"/>
      <c r="E5969" s="67"/>
      <c r="F5969" s="75"/>
      <c r="G5969" s="67"/>
      <c r="H5969" s="68"/>
      <c r="I5969" s="76"/>
      <c r="J5969" s="67"/>
      <c r="K5969" s="968" t="s">
        <v>2810</v>
      </c>
      <c r="L5969" s="934"/>
      <c r="M5969" s="934"/>
    </row>
    <row r="5970" ht="12.75" hidden="1" customHeight="1" outlineLevel="1">
      <c r="A5970" s="882">
        <v>42047.0</v>
      </c>
      <c r="B5970" s="1"/>
      <c r="C5970" s="1" t="s">
        <v>429</v>
      </c>
      <c r="D5970" s="74"/>
      <c r="E5970" s="67"/>
      <c r="F5970" s="75"/>
      <c r="G5970" s="67"/>
      <c r="H5970" s="68"/>
      <c r="I5970" s="76"/>
      <c r="J5970" s="67"/>
      <c r="K5970" s="9" t="s">
        <v>2811</v>
      </c>
      <c r="L5970" s="934"/>
      <c r="M5970" s="934"/>
    </row>
    <row r="5971" ht="12.75" hidden="1" customHeight="1" outlineLevel="1">
      <c r="A5971" s="882">
        <v>42047.0</v>
      </c>
      <c r="B5971" s="1"/>
      <c r="C5971" s="1" t="s">
        <v>431</v>
      </c>
      <c r="D5971" s="74"/>
      <c r="E5971" s="67"/>
      <c r="F5971" s="75"/>
      <c r="G5971" s="67"/>
      <c r="H5971" s="68"/>
      <c r="I5971" s="76"/>
      <c r="J5971" s="67"/>
      <c r="K5971" s="7" t="s">
        <v>1126</v>
      </c>
      <c r="L5971" s="934"/>
      <c r="M5971" s="934"/>
    </row>
    <row r="5972" ht="12.75" hidden="1" customHeight="1" outlineLevel="1">
      <c r="A5972" s="882">
        <v>42047.0</v>
      </c>
      <c r="B5972" s="1"/>
      <c r="C5972" s="1" t="s">
        <v>433</v>
      </c>
      <c r="D5972" s="74"/>
      <c r="E5972" s="67"/>
      <c r="F5972" s="75"/>
      <c r="G5972" s="67"/>
      <c r="H5972" s="68"/>
      <c r="I5972" s="76"/>
      <c r="J5972" s="67"/>
      <c r="K5972" s="7" t="s">
        <v>1103</v>
      </c>
      <c r="L5972" s="934"/>
      <c r="M5972" s="934"/>
    </row>
    <row r="5973" ht="12.75" hidden="1" customHeight="1" outlineLevel="1">
      <c r="A5973" s="882">
        <v>42047.0</v>
      </c>
      <c r="B5973" s="1"/>
      <c r="C5973" s="1" t="s">
        <v>435</v>
      </c>
      <c r="D5973" s="74"/>
      <c r="E5973" s="67"/>
      <c r="F5973" s="75"/>
      <c r="G5973" s="67"/>
      <c r="H5973" s="68"/>
      <c r="I5973" s="76"/>
      <c r="J5973" s="67"/>
      <c r="K5973" s="9" t="s">
        <v>2802</v>
      </c>
      <c r="L5973" s="934"/>
      <c r="M5973" s="934"/>
    </row>
    <row r="5974" ht="12.75" hidden="1" customHeight="1" outlineLevel="1">
      <c r="A5974" s="122">
        <v>42048.0</v>
      </c>
      <c r="B5974" s="32" t="s">
        <v>343</v>
      </c>
      <c r="C5974" s="32" t="s">
        <v>369</v>
      </c>
      <c r="D5974" s="708">
        <v>2500.0</v>
      </c>
      <c r="E5974" s="195">
        <v>6.939</v>
      </c>
      <c r="F5974" s="709">
        <v>0.5492939814814815</v>
      </c>
      <c r="G5974" s="195" t="s">
        <v>453</v>
      </c>
      <c r="H5974" s="710">
        <v>10.0</v>
      </c>
      <c r="I5974" s="256"/>
      <c r="J5974" s="67">
        <f t="shared" ref="J5974:J5995" si="370">IF(B5974="SLD",D5974*E5974,-D5974*E5974)-H5974</f>
        <v>-17357.5</v>
      </c>
      <c r="L5974" s="70"/>
      <c r="M5974" s="934"/>
      <c r="N5974" s="94"/>
      <c r="O5974" s="94"/>
      <c r="P5974" s="94"/>
      <c r="Q5974" s="94"/>
      <c r="R5974" s="94"/>
      <c r="S5974" s="94"/>
      <c r="T5974" s="94"/>
      <c r="U5974" s="94"/>
      <c r="V5974" s="94"/>
      <c r="W5974" s="94"/>
      <c r="X5974" s="94"/>
      <c r="Y5974" s="94"/>
      <c r="Z5974" s="94"/>
      <c r="AA5974" s="94"/>
      <c r="AB5974" s="94"/>
      <c r="AC5974" s="94"/>
      <c r="AD5974" s="94"/>
      <c r="AE5974" s="94"/>
      <c r="AF5974" s="94"/>
      <c r="AG5974" s="94"/>
      <c r="AH5974" s="94"/>
    </row>
    <row r="5975" ht="12.75" hidden="1" customHeight="1" outlineLevel="1">
      <c r="A5975" s="122">
        <v>42048.0</v>
      </c>
      <c r="B5975" s="32" t="s">
        <v>347</v>
      </c>
      <c r="C5975" s="32" t="s">
        <v>1495</v>
      </c>
      <c r="D5975" s="708">
        <v>150.0</v>
      </c>
      <c r="E5975" s="195">
        <v>45.0</v>
      </c>
      <c r="F5975" s="709">
        <v>0.6090972222222222</v>
      </c>
      <c r="G5975" s="195" t="s">
        <v>453</v>
      </c>
      <c r="H5975" s="710">
        <v>1.12</v>
      </c>
      <c r="I5975" s="256"/>
      <c r="J5975" s="67">
        <f t="shared" si="370"/>
        <v>6748.88</v>
      </c>
      <c r="L5975" s="70"/>
      <c r="M5975" s="934"/>
      <c r="N5975" s="94"/>
      <c r="O5975" s="94"/>
      <c r="P5975" s="94"/>
      <c r="Q5975" s="94"/>
      <c r="R5975" s="94"/>
      <c r="S5975" s="94"/>
      <c r="T5975" s="94"/>
      <c r="U5975" s="94"/>
      <c r="V5975" s="94"/>
      <c r="W5975" s="94"/>
      <c r="X5975" s="94"/>
      <c r="Y5975" s="94"/>
      <c r="Z5975" s="94"/>
      <c r="AA5975" s="94"/>
      <c r="AB5975" s="94"/>
      <c r="AC5975" s="94"/>
      <c r="AD5975" s="94"/>
      <c r="AE5975" s="94"/>
      <c r="AF5975" s="94"/>
      <c r="AG5975" s="94"/>
      <c r="AH5975" s="94"/>
    </row>
    <row r="5976" ht="12.75" hidden="1" customHeight="1" outlineLevel="1">
      <c r="A5976" s="122">
        <v>42048.0</v>
      </c>
      <c r="B5976" s="32" t="s">
        <v>347</v>
      </c>
      <c r="C5976" s="32" t="s">
        <v>1382</v>
      </c>
      <c r="D5976" s="708">
        <v>40.0</v>
      </c>
      <c r="E5976" s="195">
        <v>152.51</v>
      </c>
      <c r="F5976" s="709">
        <v>0.609525462962963</v>
      </c>
      <c r="G5976" s="195" t="s">
        <v>453</v>
      </c>
      <c r="H5976" s="710">
        <v>1.11</v>
      </c>
      <c r="I5976" s="256"/>
      <c r="J5976" s="67">
        <f t="shared" si="370"/>
        <v>6099.29</v>
      </c>
      <c r="L5976" s="70"/>
      <c r="M5976" s="934"/>
      <c r="N5976" s="94"/>
      <c r="O5976" s="94"/>
      <c r="P5976" s="94"/>
      <c r="Q5976" s="94"/>
      <c r="R5976" s="94"/>
      <c r="S5976" s="94"/>
      <c r="T5976" s="94"/>
      <c r="U5976" s="94"/>
      <c r="V5976" s="94"/>
      <c r="W5976" s="94"/>
      <c r="X5976" s="94"/>
      <c r="Y5976" s="94"/>
      <c r="Z5976" s="94"/>
      <c r="AA5976" s="94"/>
      <c r="AB5976" s="94"/>
      <c r="AC5976" s="94"/>
      <c r="AD5976" s="94"/>
      <c r="AE5976" s="94"/>
      <c r="AF5976" s="94"/>
      <c r="AG5976" s="94"/>
      <c r="AH5976" s="94"/>
    </row>
    <row r="5977" ht="12.75" hidden="1" customHeight="1" outlineLevel="1">
      <c r="A5977" s="122">
        <v>42048.0</v>
      </c>
      <c r="B5977" s="32" t="s">
        <v>347</v>
      </c>
      <c r="C5977" s="32" t="s">
        <v>1162</v>
      </c>
      <c r="D5977" s="708">
        <v>40.0</v>
      </c>
      <c r="E5977" s="195">
        <v>144.71</v>
      </c>
      <c r="F5977" s="709">
        <v>0.6099537037037037</v>
      </c>
      <c r="G5977" s="195" t="s">
        <v>453</v>
      </c>
      <c r="H5977" s="710">
        <v>1.11</v>
      </c>
      <c r="I5977" s="256"/>
      <c r="J5977" s="67">
        <f t="shared" si="370"/>
        <v>5787.29</v>
      </c>
      <c r="L5977" s="70"/>
      <c r="M5977" s="934"/>
      <c r="N5977" s="94"/>
      <c r="O5977" s="94"/>
      <c r="P5977" s="94"/>
      <c r="Q5977" s="94"/>
      <c r="R5977" s="94"/>
      <c r="S5977" s="94"/>
      <c r="T5977" s="94"/>
      <c r="U5977" s="94"/>
      <c r="V5977" s="94"/>
      <c r="W5977" s="94"/>
      <c r="X5977" s="94"/>
      <c r="Y5977" s="94"/>
      <c r="Z5977" s="94"/>
      <c r="AA5977" s="94"/>
      <c r="AB5977" s="94"/>
      <c r="AC5977" s="94"/>
      <c r="AD5977" s="94"/>
      <c r="AE5977" s="94"/>
      <c r="AF5977" s="94"/>
      <c r="AG5977" s="94"/>
      <c r="AH5977" s="94"/>
    </row>
    <row r="5978" ht="12.75" hidden="1" customHeight="1" outlineLevel="1">
      <c r="A5978" s="122">
        <v>42048.0</v>
      </c>
      <c r="B5978" s="32" t="s">
        <v>347</v>
      </c>
      <c r="C5978" s="32" t="s">
        <v>364</v>
      </c>
      <c r="D5978" s="708">
        <v>40.0</v>
      </c>
      <c r="E5978" s="195">
        <v>144.0</v>
      </c>
      <c r="F5978" s="709">
        <v>0.6110185185185185</v>
      </c>
      <c r="G5978" s="195" t="s">
        <v>453</v>
      </c>
      <c r="H5978" s="710">
        <v>1.11</v>
      </c>
      <c r="I5978" s="256"/>
      <c r="J5978" s="67">
        <f t="shared" si="370"/>
        <v>5758.89</v>
      </c>
      <c r="L5978" s="70"/>
      <c r="M5978" s="934"/>
      <c r="N5978" s="94"/>
      <c r="O5978" s="94"/>
      <c r="P5978" s="94"/>
      <c r="Q5978" s="94"/>
      <c r="R5978" s="94"/>
      <c r="S5978" s="94"/>
      <c r="T5978" s="94"/>
      <c r="U5978" s="94"/>
      <c r="V5978" s="94"/>
      <c r="W5978" s="94"/>
      <c r="X5978" s="94"/>
      <c r="Y5978" s="94"/>
      <c r="Z5978" s="94"/>
      <c r="AA5978" s="94"/>
      <c r="AB5978" s="94"/>
      <c r="AC5978" s="94"/>
      <c r="AD5978" s="94"/>
      <c r="AE5978" s="94"/>
      <c r="AF5978" s="94"/>
      <c r="AG5978" s="94"/>
      <c r="AH5978" s="94"/>
    </row>
    <row r="5979" ht="12.75" hidden="1" customHeight="1" outlineLevel="1">
      <c r="A5979" s="122">
        <v>42048.0</v>
      </c>
      <c r="B5979" s="32" t="s">
        <v>347</v>
      </c>
      <c r="C5979" s="32" t="s">
        <v>356</v>
      </c>
      <c r="D5979" s="708">
        <v>15.0</v>
      </c>
      <c r="E5979" s="195">
        <v>466.01</v>
      </c>
      <c r="F5979" s="709">
        <v>0.6111574074074074</v>
      </c>
      <c r="G5979" s="195" t="s">
        <v>453</v>
      </c>
      <c r="H5979" s="710">
        <v>1.13</v>
      </c>
      <c r="I5979" s="256"/>
      <c r="J5979" s="67">
        <f t="shared" si="370"/>
        <v>6989.02</v>
      </c>
      <c r="L5979" s="70"/>
      <c r="M5979" s="934"/>
      <c r="N5979" s="94"/>
      <c r="O5979" s="94"/>
      <c r="P5979" s="94"/>
      <c r="Q5979" s="94"/>
      <c r="R5979" s="94"/>
      <c r="S5979" s="94"/>
      <c r="T5979" s="94"/>
      <c r="U5979" s="94"/>
      <c r="V5979" s="94"/>
      <c r="W5979" s="94"/>
      <c r="X5979" s="94"/>
      <c r="Y5979" s="94"/>
      <c r="Z5979" s="94"/>
      <c r="AA5979" s="94"/>
      <c r="AB5979" s="94"/>
      <c r="AC5979" s="94"/>
      <c r="AD5979" s="94"/>
      <c r="AE5979" s="94"/>
      <c r="AF5979" s="94"/>
      <c r="AG5979" s="94"/>
      <c r="AH5979" s="94"/>
    </row>
    <row r="5980" ht="12.75" hidden="1" customHeight="1" outlineLevel="1">
      <c r="A5980" s="122">
        <v>42048.0</v>
      </c>
      <c r="B5980" s="32" t="s">
        <v>347</v>
      </c>
      <c r="C5980" s="32" t="s">
        <v>369</v>
      </c>
      <c r="D5980" s="708">
        <v>2500.0</v>
      </c>
      <c r="E5980" s="195">
        <v>6.96</v>
      </c>
      <c r="F5980" s="709">
        <v>0.6167361111111112</v>
      </c>
      <c r="G5980" s="195" t="s">
        <v>453</v>
      </c>
      <c r="H5980" s="710">
        <v>12.69</v>
      </c>
      <c r="I5980" s="256"/>
      <c r="J5980" s="67">
        <f t="shared" si="370"/>
        <v>17387.31</v>
      </c>
      <c r="L5980" s="70"/>
      <c r="M5980" s="934"/>
      <c r="N5980" s="94"/>
      <c r="O5980" s="94"/>
      <c r="P5980" s="94"/>
      <c r="Q5980" s="94"/>
      <c r="R5980" s="94"/>
      <c r="S5980" s="94"/>
      <c r="T5980" s="94"/>
      <c r="U5980" s="94"/>
      <c r="V5980" s="94"/>
      <c r="W5980" s="94"/>
      <c r="X5980" s="94"/>
      <c r="Y5980" s="94"/>
      <c r="Z5980" s="94"/>
      <c r="AA5980" s="94"/>
      <c r="AB5980" s="94"/>
      <c r="AC5980" s="94"/>
      <c r="AD5980" s="94"/>
      <c r="AE5980" s="94"/>
      <c r="AF5980" s="94"/>
      <c r="AG5980" s="94"/>
      <c r="AH5980" s="94"/>
    </row>
    <row r="5981" ht="12.75" hidden="1" customHeight="1" outlineLevel="1">
      <c r="A5981" s="122">
        <v>42048.0</v>
      </c>
      <c r="B5981" s="32" t="s">
        <v>343</v>
      </c>
      <c r="C5981" s="32" t="s">
        <v>784</v>
      </c>
      <c r="D5981" s="708">
        <v>8000.0</v>
      </c>
      <c r="E5981" s="195">
        <v>8.059</v>
      </c>
      <c r="F5981" s="709">
        <v>0.6349652777777778</v>
      </c>
      <c r="G5981" s="195" t="s">
        <v>453</v>
      </c>
      <c r="H5981" s="710">
        <v>32.0</v>
      </c>
      <c r="I5981" s="256"/>
      <c r="J5981" s="67">
        <f t="shared" si="370"/>
        <v>-64504</v>
      </c>
      <c r="L5981" s="70"/>
      <c r="M5981" s="934"/>
      <c r="N5981" s="94"/>
      <c r="O5981" s="94"/>
      <c r="P5981" s="94"/>
      <c r="Q5981" s="94"/>
      <c r="R5981" s="94"/>
      <c r="S5981" s="94"/>
      <c r="T5981" s="94"/>
      <c r="U5981" s="94"/>
      <c r="V5981" s="94"/>
      <c r="W5981" s="94"/>
      <c r="X5981" s="94"/>
      <c r="Y5981" s="94"/>
      <c r="Z5981" s="94"/>
      <c r="AA5981" s="94"/>
      <c r="AB5981" s="94"/>
      <c r="AC5981" s="94"/>
      <c r="AD5981" s="94"/>
      <c r="AE5981" s="94"/>
      <c r="AF5981" s="94"/>
      <c r="AG5981" s="94"/>
      <c r="AH5981" s="94"/>
    </row>
    <row r="5982" ht="12.75" hidden="1" customHeight="1" outlineLevel="1">
      <c r="A5982" s="122">
        <v>42048.0</v>
      </c>
      <c r="B5982" s="32" t="s">
        <v>343</v>
      </c>
      <c r="C5982" s="32" t="s">
        <v>790</v>
      </c>
      <c r="D5982" s="708">
        <v>7000.0</v>
      </c>
      <c r="E5982" s="195">
        <v>6.99</v>
      </c>
      <c r="F5982" s="709">
        <v>0.6350578703703704</v>
      </c>
      <c r="G5982" s="195" t="s">
        <v>453</v>
      </c>
      <c r="H5982" s="710">
        <v>28.7</v>
      </c>
      <c r="I5982" s="256"/>
      <c r="J5982" s="67">
        <f t="shared" si="370"/>
        <v>-48958.7</v>
      </c>
      <c r="L5982" s="70"/>
      <c r="M5982" s="934"/>
      <c r="N5982" s="94"/>
      <c r="O5982" s="94"/>
      <c r="P5982" s="94"/>
      <c r="Q5982" s="94"/>
      <c r="R5982" s="94"/>
      <c r="S5982" s="94"/>
      <c r="T5982" s="94"/>
      <c r="U5982" s="94"/>
      <c r="V5982" s="94"/>
      <c r="W5982" s="94"/>
      <c r="X5982" s="94"/>
      <c r="Y5982" s="94"/>
      <c r="Z5982" s="94"/>
      <c r="AA5982" s="94"/>
      <c r="AB5982" s="94"/>
      <c r="AC5982" s="94"/>
      <c r="AD5982" s="94"/>
      <c r="AE5982" s="94"/>
      <c r="AF5982" s="94"/>
      <c r="AG5982" s="94"/>
      <c r="AH5982" s="94"/>
    </row>
    <row r="5983" ht="12.75" hidden="1" customHeight="1" outlineLevel="1">
      <c r="A5983" s="122">
        <v>42048.0</v>
      </c>
      <c r="B5983" s="32" t="s">
        <v>343</v>
      </c>
      <c r="C5983" s="32" t="s">
        <v>369</v>
      </c>
      <c r="D5983" s="708">
        <v>2500.0</v>
      </c>
      <c r="E5983" s="195">
        <v>7.009</v>
      </c>
      <c r="F5983" s="709">
        <v>0.6351736111111111</v>
      </c>
      <c r="G5983" s="195" t="s">
        <v>453</v>
      </c>
      <c r="H5983" s="710">
        <v>10.4</v>
      </c>
      <c r="I5983" s="256"/>
      <c r="J5983" s="67">
        <f t="shared" si="370"/>
        <v>-17532.9</v>
      </c>
      <c r="L5983" s="70"/>
      <c r="M5983" s="934"/>
      <c r="N5983" s="94"/>
      <c r="O5983" s="94"/>
      <c r="P5983" s="94"/>
      <c r="Q5983" s="94"/>
      <c r="R5983" s="94"/>
      <c r="S5983" s="94"/>
      <c r="T5983" s="94"/>
      <c r="U5983" s="94"/>
      <c r="V5983" s="94"/>
      <c r="W5983" s="94"/>
      <c r="X5983" s="94"/>
      <c r="Y5983" s="94"/>
      <c r="Z5983" s="94"/>
      <c r="AA5983" s="94"/>
      <c r="AB5983" s="94"/>
      <c r="AC5983" s="94"/>
      <c r="AD5983" s="94"/>
      <c r="AE5983" s="94"/>
      <c r="AF5983" s="94"/>
      <c r="AG5983" s="94"/>
      <c r="AH5983" s="94"/>
    </row>
    <row r="5984" ht="12.75" hidden="1" customHeight="1" outlineLevel="1">
      <c r="A5984" s="122">
        <v>42048.0</v>
      </c>
      <c r="B5984" s="32" t="s">
        <v>343</v>
      </c>
      <c r="C5984" s="32" t="s">
        <v>1844</v>
      </c>
      <c r="D5984" s="708">
        <v>200.0</v>
      </c>
      <c r="E5984" s="195">
        <v>47.45</v>
      </c>
      <c r="F5984" s="709">
        <v>0.6352893518518519</v>
      </c>
      <c r="G5984" s="195" t="s">
        <v>453</v>
      </c>
      <c r="H5984" s="710">
        <v>1.0</v>
      </c>
      <c r="I5984" s="256"/>
      <c r="J5984" s="67">
        <f t="shared" si="370"/>
        <v>-9491</v>
      </c>
      <c r="L5984" s="70"/>
      <c r="M5984" s="934"/>
      <c r="N5984" s="94"/>
      <c r="O5984" s="94"/>
      <c r="P5984" s="94"/>
      <c r="Q5984" s="94"/>
      <c r="R5984" s="94"/>
      <c r="S5984" s="94"/>
      <c r="T5984" s="94"/>
      <c r="U5984" s="94"/>
      <c r="V5984" s="94"/>
      <c r="W5984" s="94"/>
      <c r="X5984" s="94"/>
      <c r="Y5984" s="94"/>
      <c r="Z5984" s="94"/>
      <c r="AA5984" s="94"/>
      <c r="AB5984" s="94"/>
      <c r="AC5984" s="94"/>
      <c r="AD5984" s="94"/>
      <c r="AE5984" s="94"/>
      <c r="AF5984" s="94"/>
      <c r="AG5984" s="94"/>
      <c r="AH5984" s="94"/>
    </row>
    <row r="5985" ht="12.75" hidden="1" customHeight="1" outlineLevel="1">
      <c r="A5985" s="122">
        <v>42048.0</v>
      </c>
      <c r="B5985" s="32" t="s">
        <v>343</v>
      </c>
      <c r="C5985" s="32" t="s">
        <v>2048</v>
      </c>
      <c r="D5985" s="708">
        <v>750.0</v>
      </c>
      <c r="E5985" s="195">
        <v>12.359</v>
      </c>
      <c r="F5985" s="709">
        <v>0.6353703703703704</v>
      </c>
      <c r="G5985" s="195" t="s">
        <v>453</v>
      </c>
      <c r="H5985" s="710">
        <v>3.0</v>
      </c>
      <c r="I5985" s="256"/>
      <c r="J5985" s="67">
        <f t="shared" si="370"/>
        <v>-9272.25</v>
      </c>
      <c r="L5985" s="70"/>
      <c r="M5985" s="934"/>
      <c r="N5985" s="94"/>
      <c r="O5985" s="94"/>
      <c r="P5985" s="94"/>
      <c r="Q5985" s="94"/>
      <c r="R5985" s="94"/>
      <c r="S5985" s="94"/>
      <c r="T5985" s="94"/>
      <c r="U5985" s="94"/>
      <c r="V5985" s="94"/>
      <c r="W5985" s="94"/>
      <c r="X5985" s="94"/>
      <c r="Y5985" s="94"/>
      <c r="Z5985" s="94"/>
      <c r="AA5985" s="94"/>
      <c r="AB5985" s="94"/>
      <c r="AC5985" s="94"/>
      <c r="AD5985" s="94"/>
      <c r="AE5985" s="94"/>
      <c r="AF5985" s="94"/>
      <c r="AG5985" s="94"/>
      <c r="AH5985" s="94"/>
    </row>
    <row r="5986" ht="12.75" hidden="1" customHeight="1" outlineLevel="1">
      <c r="A5986" s="122">
        <v>42048.0</v>
      </c>
      <c r="B5986" s="32" t="s">
        <v>343</v>
      </c>
      <c r="C5986" s="32" t="s">
        <v>2192</v>
      </c>
      <c r="D5986" s="708">
        <v>750.0</v>
      </c>
      <c r="E5986" s="195">
        <v>12.13</v>
      </c>
      <c r="F5986" s="709">
        <v>0.6354861111111111</v>
      </c>
      <c r="G5986" s="195" t="s">
        <v>453</v>
      </c>
      <c r="H5986" s="710">
        <v>3.05</v>
      </c>
      <c r="I5986" s="256"/>
      <c r="J5986" s="67">
        <f t="shared" si="370"/>
        <v>-9100.55</v>
      </c>
      <c r="L5986" s="70"/>
      <c r="M5986" s="934"/>
      <c r="N5986" s="94"/>
      <c r="O5986" s="94"/>
      <c r="P5986" s="94"/>
      <c r="Q5986" s="94"/>
      <c r="R5986" s="94"/>
      <c r="S5986" s="94"/>
      <c r="T5986" s="94"/>
      <c r="U5986" s="94"/>
      <c r="V5986" s="94"/>
      <c r="W5986" s="94"/>
      <c r="X5986" s="94"/>
      <c r="Y5986" s="94"/>
      <c r="Z5986" s="94"/>
      <c r="AA5986" s="94"/>
      <c r="AB5986" s="94"/>
      <c r="AC5986" s="94"/>
      <c r="AD5986" s="94"/>
      <c r="AE5986" s="94"/>
      <c r="AF5986" s="94"/>
      <c r="AG5986" s="94"/>
      <c r="AH5986" s="94"/>
    </row>
    <row r="5987" ht="12.75" hidden="1" customHeight="1" outlineLevel="1">
      <c r="A5987" s="122">
        <v>42048.0</v>
      </c>
      <c r="B5987" s="32" t="s">
        <v>347</v>
      </c>
      <c r="C5987" s="32" t="s">
        <v>1158</v>
      </c>
      <c r="D5987" s="708">
        <v>500.0</v>
      </c>
      <c r="E5987" s="195">
        <v>44.38</v>
      </c>
      <c r="F5987" s="709">
        <v>0.6357986111111111</v>
      </c>
      <c r="G5987" s="195" t="s">
        <v>453</v>
      </c>
      <c r="H5987" s="710">
        <v>2.91</v>
      </c>
      <c r="I5987" s="256"/>
      <c r="J5987" s="67">
        <f t="shared" si="370"/>
        <v>22187.09</v>
      </c>
      <c r="L5987" s="70"/>
      <c r="M5987" s="934"/>
      <c r="N5987" s="94"/>
      <c r="O5987" s="94"/>
      <c r="P5987" s="94"/>
      <c r="Q5987" s="94"/>
      <c r="R5987" s="94"/>
      <c r="S5987" s="94"/>
      <c r="T5987" s="94"/>
      <c r="U5987" s="94"/>
      <c r="V5987" s="94"/>
      <c r="W5987" s="94"/>
      <c r="X5987" s="94"/>
      <c r="Y5987" s="94"/>
      <c r="Z5987" s="94"/>
      <c r="AA5987" s="94"/>
      <c r="AB5987" s="94"/>
      <c r="AC5987" s="94"/>
      <c r="AD5987" s="94"/>
      <c r="AE5987" s="94"/>
      <c r="AF5987" s="94"/>
      <c r="AG5987" s="94"/>
      <c r="AH5987" s="94"/>
    </row>
    <row r="5988" ht="12.75" hidden="1" customHeight="1" outlineLevel="1">
      <c r="A5988" s="122">
        <v>42048.0</v>
      </c>
      <c r="B5988" s="32" t="s">
        <v>347</v>
      </c>
      <c r="C5988" s="32" t="s">
        <v>1164</v>
      </c>
      <c r="D5988" s="708">
        <v>400.0</v>
      </c>
      <c r="E5988" s="195">
        <v>43.21</v>
      </c>
      <c r="F5988" s="709">
        <v>0.6359490740740741</v>
      </c>
      <c r="G5988" s="195" t="s">
        <v>453</v>
      </c>
      <c r="H5988" s="710">
        <v>2.32</v>
      </c>
      <c r="I5988" s="256"/>
      <c r="J5988" s="67">
        <f t="shared" si="370"/>
        <v>17281.68</v>
      </c>
      <c r="L5988" s="70"/>
      <c r="M5988" s="934"/>
      <c r="N5988" s="94"/>
      <c r="O5988" s="94"/>
      <c r="P5988" s="94"/>
      <c r="Q5988" s="94"/>
      <c r="R5988" s="94"/>
      <c r="S5988" s="94"/>
      <c r="T5988" s="94"/>
      <c r="U5988" s="94"/>
      <c r="V5988" s="94"/>
      <c r="W5988" s="94"/>
      <c r="X5988" s="94"/>
      <c r="Y5988" s="94"/>
      <c r="Z5988" s="94"/>
      <c r="AA5988" s="94"/>
      <c r="AB5988" s="94"/>
      <c r="AC5988" s="94"/>
      <c r="AD5988" s="94"/>
      <c r="AE5988" s="94"/>
      <c r="AF5988" s="94"/>
      <c r="AG5988" s="94"/>
      <c r="AH5988" s="94"/>
    </row>
    <row r="5989" ht="12.75" hidden="1" customHeight="1" outlineLevel="1">
      <c r="A5989" s="122">
        <v>42048.0</v>
      </c>
      <c r="B5989" s="32" t="s">
        <v>347</v>
      </c>
      <c r="C5989" s="32" t="s">
        <v>1060</v>
      </c>
      <c r="D5989" s="708">
        <v>400.0</v>
      </c>
      <c r="E5989" s="195">
        <v>43.211</v>
      </c>
      <c r="F5989" s="709">
        <v>0.6384837962962963</v>
      </c>
      <c r="G5989" s="195" t="s">
        <v>453</v>
      </c>
      <c r="H5989" s="710">
        <v>1.92</v>
      </c>
      <c r="I5989" s="256"/>
      <c r="J5989" s="67">
        <f t="shared" si="370"/>
        <v>17282.48</v>
      </c>
      <c r="L5989" s="70"/>
      <c r="M5989" s="934"/>
      <c r="N5989" s="94"/>
      <c r="O5989" s="94"/>
      <c r="P5989" s="94"/>
      <c r="Q5989" s="94"/>
      <c r="R5989" s="94"/>
      <c r="S5989" s="94"/>
      <c r="T5989" s="94"/>
      <c r="U5989" s="94"/>
      <c r="V5989" s="94"/>
      <c r="W5989" s="94"/>
      <c r="X5989" s="94"/>
      <c r="Y5989" s="94"/>
      <c r="Z5989" s="94"/>
      <c r="AA5989" s="94"/>
      <c r="AB5989" s="94"/>
      <c r="AC5989" s="94"/>
      <c r="AD5989" s="94"/>
      <c r="AE5989" s="94"/>
      <c r="AF5989" s="94"/>
      <c r="AG5989" s="94"/>
      <c r="AH5989" s="94"/>
    </row>
    <row r="5990" ht="12.75" hidden="1" customHeight="1" outlineLevel="1">
      <c r="A5990" s="122">
        <v>42048.0</v>
      </c>
      <c r="B5990" s="32" t="s">
        <v>347</v>
      </c>
      <c r="C5990" s="32" t="s">
        <v>1185</v>
      </c>
      <c r="D5990" s="708">
        <v>25.0</v>
      </c>
      <c r="E5990" s="195">
        <v>320.33</v>
      </c>
      <c r="F5990" s="709">
        <v>0.6400231481481482</v>
      </c>
      <c r="G5990" s="195" t="s">
        <v>453</v>
      </c>
      <c r="H5990" s="710">
        <v>1.15</v>
      </c>
      <c r="I5990" s="256"/>
      <c r="J5990" s="67">
        <f t="shared" si="370"/>
        <v>8007.1</v>
      </c>
      <c r="L5990" s="70"/>
      <c r="M5990" s="934"/>
      <c r="N5990" s="94"/>
      <c r="O5990" s="94"/>
      <c r="P5990" s="94"/>
      <c r="Q5990" s="94"/>
      <c r="R5990" s="94"/>
      <c r="S5990" s="94"/>
      <c r="T5990" s="94"/>
      <c r="U5990" s="94"/>
      <c r="V5990" s="94"/>
      <c r="W5990" s="94"/>
      <c r="X5990" s="94"/>
      <c r="Y5990" s="94"/>
      <c r="Z5990" s="94"/>
      <c r="AA5990" s="94"/>
      <c r="AB5990" s="94"/>
      <c r="AC5990" s="94"/>
      <c r="AD5990" s="94"/>
      <c r="AE5990" s="94"/>
      <c r="AF5990" s="94"/>
      <c r="AG5990" s="94"/>
      <c r="AH5990" s="94"/>
    </row>
    <row r="5991" ht="12.75" hidden="1" customHeight="1" outlineLevel="1">
      <c r="A5991" s="122">
        <v>42048.0</v>
      </c>
      <c r="B5991" s="32" t="s">
        <v>347</v>
      </c>
      <c r="C5991" s="32" t="s">
        <v>2539</v>
      </c>
      <c r="D5991" s="708">
        <v>250.0</v>
      </c>
      <c r="E5991" s="195">
        <v>52.182</v>
      </c>
      <c r="F5991" s="709">
        <v>0.6426851851851851</v>
      </c>
      <c r="G5991" s="195" t="s">
        <v>453</v>
      </c>
      <c r="H5991" s="710">
        <v>1.49</v>
      </c>
      <c r="I5991" s="256"/>
      <c r="J5991" s="67">
        <f t="shared" si="370"/>
        <v>13044.01</v>
      </c>
      <c r="L5991" s="70"/>
      <c r="M5991" s="934"/>
      <c r="N5991" s="94"/>
      <c r="O5991" s="94"/>
      <c r="P5991" s="94"/>
      <c r="Q5991" s="94"/>
      <c r="R5991" s="94"/>
      <c r="S5991" s="94"/>
      <c r="T5991" s="94"/>
      <c r="U5991" s="94"/>
      <c r="V5991" s="94"/>
      <c r="W5991" s="94"/>
      <c r="X5991" s="94"/>
      <c r="Y5991" s="94"/>
      <c r="Z5991" s="94"/>
      <c r="AA5991" s="94"/>
      <c r="AB5991" s="94"/>
      <c r="AC5991" s="94"/>
      <c r="AD5991" s="94"/>
      <c r="AE5991" s="94"/>
      <c r="AF5991" s="94"/>
      <c r="AG5991" s="94"/>
      <c r="AH5991" s="94"/>
    </row>
    <row r="5992" ht="12.75" hidden="1" customHeight="1" outlineLevel="1">
      <c r="A5992" s="122">
        <v>42048.0</v>
      </c>
      <c r="B5992" s="32" t="s">
        <v>347</v>
      </c>
      <c r="C5992" s="32" t="s">
        <v>2142</v>
      </c>
      <c r="D5992" s="708">
        <v>400.0</v>
      </c>
      <c r="E5992" s="195">
        <v>32.82</v>
      </c>
      <c r="F5992" s="709">
        <v>0.6430092592592592</v>
      </c>
      <c r="G5992" s="195" t="s">
        <v>453</v>
      </c>
      <c r="H5992" s="710">
        <v>2.24</v>
      </c>
      <c r="I5992" s="256"/>
      <c r="J5992" s="67">
        <f t="shared" si="370"/>
        <v>13125.76</v>
      </c>
      <c r="L5992" s="70"/>
      <c r="M5992" s="934"/>
      <c r="N5992" s="94"/>
      <c r="O5992" s="94"/>
      <c r="P5992" s="94"/>
      <c r="Q5992" s="94"/>
      <c r="R5992" s="94"/>
      <c r="S5992" s="94"/>
      <c r="T5992" s="94"/>
      <c r="U5992" s="94"/>
      <c r="V5992" s="94"/>
      <c r="W5992" s="94"/>
      <c r="X5992" s="94"/>
      <c r="Y5992" s="94"/>
      <c r="Z5992" s="94"/>
      <c r="AA5992" s="94"/>
      <c r="AB5992" s="94"/>
      <c r="AC5992" s="94"/>
      <c r="AD5992" s="94"/>
      <c r="AE5992" s="94"/>
      <c r="AF5992" s="94"/>
      <c r="AG5992" s="94"/>
      <c r="AH5992" s="94"/>
    </row>
    <row r="5993" ht="12.75" hidden="1" customHeight="1" outlineLevel="1">
      <c r="A5993" s="122">
        <v>42048.0</v>
      </c>
      <c r="B5993" s="32" t="s">
        <v>347</v>
      </c>
      <c r="C5993" s="32" t="s">
        <v>2412</v>
      </c>
      <c r="D5993" s="708">
        <v>100.0</v>
      </c>
      <c r="E5993" s="195">
        <v>64.42</v>
      </c>
      <c r="F5993" s="709">
        <v>0.6441782407407407</v>
      </c>
      <c r="G5993" s="195" t="s">
        <v>453</v>
      </c>
      <c r="H5993" s="710">
        <v>1.12</v>
      </c>
      <c r="I5993" s="256"/>
      <c r="J5993" s="67">
        <f t="shared" si="370"/>
        <v>6440.88</v>
      </c>
      <c r="L5993" s="70"/>
      <c r="M5993" s="934"/>
      <c r="N5993" s="94"/>
      <c r="O5993" s="94"/>
      <c r="P5993" s="94"/>
      <c r="Q5993" s="94"/>
      <c r="R5993" s="94"/>
      <c r="S5993" s="94"/>
      <c r="T5993" s="94"/>
      <c r="U5993" s="94"/>
      <c r="V5993" s="94"/>
      <c r="W5993" s="94"/>
      <c r="X5993" s="94"/>
      <c r="Y5993" s="94"/>
      <c r="Z5993" s="94"/>
      <c r="AA5993" s="94"/>
      <c r="AB5993" s="94"/>
      <c r="AC5993" s="94"/>
      <c r="AD5993" s="94"/>
      <c r="AE5993" s="94"/>
      <c r="AF5993" s="94"/>
      <c r="AG5993" s="94"/>
      <c r="AH5993" s="94"/>
    </row>
    <row r="5994" ht="12.75" hidden="1" customHeight="1" outlineLevel="1">
      <c r="A5994" s="122">
        <v>42048.0</v>
      </c>
      <c r="B5994" s="32" t="s">
        <v>347</v>
      </c>
      <c r="C5994" s="32" t="s">
        <v>1357</v>
      </c>
      <c r="D5994" s="708">
        <v>150.0</v>
      </c>
      <c r="E5994" s="195">
        <v>40.453</v>
      </c>
      <c r="F5994" s="709">
        <v>0.6455092592592593</v>
      </c>
      <c r="G5994" s="195" t="s">
        <v>453</v>
      </c>
      <c r="H5994" s="710">
        <v>2.11</v>
      </c>
      <c r="I5994" s="256"/>
      <c r="J5994" s="67">
        <f t="shared" si="370"/>
        <v>6065.84</v>
      </c>
      <c r="L5994" s="70"/>
      <c r="M5994" s="934"/>
      <c r="N5994" s="94"/>
      <c r="O5994" s="94"/>
      <c r="P5994" s="94"/>
      <c r="Q5994" s="94"/>
      <c r="R5994" s="94"/>
      <c r="S5994" s="94"/>
      <c r="T5994" s="94"/>
      <c r="U5994" s="94"/>
      <c r="V5994" s="94"/>
      <c r="W5994" s="94"/>
      <c r="X5994" s="94"/>
      <c r="Y5994" s="94"/>
      <c r="Z5994" s="94"/>
      <c r="AA5994" s="94"/>
      <c r="AB5994" s="94"/>
      <c r="AC5994" s="94"/>
      <c r="AD5994" s="94"/>
      <c r="AE5994" s="94"/>
      <c r="AF5994" s="94"/>
      <c r="AG5994" s="94"/>
      <c r="AH5994" s="94"/>
    </row>
    <row r="5995" ht="12.75" hidden="1" customHeight="1" outlineLevel="1">
      <c r="A5995" s="122">
        <v>42048.0</v>
      </c>
      <c r="B5995" s="32" t="s">
        <v>343</v>
      </c>
      <c r="C5995" s="32" t="s">
        <v>2157</v>
      </c>
      <c r="D5995" s="708">
        <v>250.0</v>
      </c>
      <c r="E5995" s="195">
        <v>97.23</v>
      </c>
      <c r="F5995" s="709">
        <v>0.6572222222222223</v>
      </c>
      <c r="G5995" s="195" t="s">
        <v>453</v>
      </c>
      <c r="H5995" s="710">
        <v>1.2</v>
      </c>
      <c r="I5995" s="256"/>
      <c r="J5995" s="67">
        <f t="shared" si="370"/>
        <v>-24308.7</v>
      </c>
      <c r="K5995" s="94"/>
      <c r="L5995" s="70"/>
      <c r="M5995" s="934"/>
      <c r="N5995" s="94"/>
      <c r="O5995" s="94"/>
      <c r="P5995" s="94"/>
      <c r="Q5995" s="94"/>
      <c r="R5995" s="94"/>
      <c r="S5995" s="94"/>
      <c r="T5995" s="94"/>
      <c r="U5995" s="94"/>
      <c r="V5995" s="94"/>
      <c r="W5995" s="94"/>
      <c r="X5995" s="94"/>
      <c r="Y5995" s="94"/>
      <c r="Z5995" s="94"/>
      <c r="AA5995" s="94"/>
      <c r="AB5995" s="94"/>
      <c r="AC5995" s="94"/>
      <c r="AD5995" s="94"/>
      <c r="AE5995" s="94"/>
      <c r="AF5995" s="94"/>
      <c r="AG5995" s="94"/>
      <c r="AH5995" s="94"/>
    </row>
    <row r="5996" ht="12.75" hidden="1" customHeight="1" outlineLevel="1">
      <c r="A5996" s="882">
        <v>42048.0</v>
      </c>
      <c r="B5996" s="1"/>
      <c r="C5996" s="1" t="s">
        <v>339</v>
      </c>
      <c r="D5996" s="74"/>
      <c r="E5996" s="67"/>
      <c r="F5996" s="75"/>
      <c r="G5996" s="67"/>
      <c r="H5996" s="68"/>
      <c r="I5996" s="76"/>
      <c r="J5996" s="67"/>
      <c r="K5996" s="968" t="s">
        <v>2826</v>
      </c>
      <c r="L5996" s="934"/>
      <c r="M5996" s="934"/>
    </row>
    <row r="5997" ht="12.75" hidden="1" customHeight="1" outlineLevel="1">
      <c r="A5997" s="882">
        <v>42048.0</v>
      </c>
      <c r="B5997" s="1"/>
      <c r="C5997" s="1" t="s">
        <v>429</v>
      </c>
      <c r="D5997" s="74"/>
      <c r="E5997" s="67"/>
      <c r="F5997" s="75"/>
      <c r="G5997" s="67"/>
      <c r="H5997" s="68"/>
      <c r="I5997" s="76"/>
      <c r="J5997" s="67"/>
      <c r="K5997" s="9" t="s">
        <v>2811</v>
      </c>
      <c r="L5997" s="934"/>
      <c r="M5997" s="934"/>
    </row>
    <row r="5998" ht="12.75" hidden="1" customHeight="1" outlineLevel="1">
      <c r="A5998" s="882">
        <v>42048.0</v>
      </c>
      <c r="B5998" s="1"/>
      <c r="C5998" s="1" t="s">
        <v>431</v>
      </c>
      <c r="D5998" s="74"/>
      <c r="E5998" s="67"/>
      <c r="F5998" s="75"/>
      <c r="G5998" s="67"/>
      <c r="H5998" s="68"/>
      <c r="I5998" s="76"/>
      <c r="J5998" s="67"/>
      <c r="K5998" s="7" t="s">
        <v>1126</v>
      </c>
      <c r="L5998" s="934"/>
      <c r="M5998" s="934"/>
    </row>
    <row r="5999" ht="12.75" hidden="1" customHeight="1" outlineLevel="1">
      <c r="A5999" s="882">
        <v>42048.0</v>
      </c>
      <c r="B5999" s="1"/>
      <c r="C5999" s="1" t="s">
        <v>433</v>
      </c>
      <c r="D5999" s="74"/>
      <c r="E5999" s="67"/>
      <c r="F5999" s="75"/>
      <c r="G5999" s="67"/>
      <c r="H5999" s="68"/>
      <c r="I5999" s="76"/>
      <c r="J5999" s="67"/>
      <c r="K5999" s="7" t="s">
        <v>1103</v>
      </c>
      <c r="L5999" s="934"/>
      <c r="M5999" s="934"/>
    </row>
    <row r="6000" ht="12.75" hidden="1" customHeight="1" outlineLevel="1">
      <c r="A6000" s="882">
        <v>42048.0</v>
      </c>
      <c r="B6000" s="1"/>
      <c r="C6000" s="1" t="s">
        <v>435</v>
      </c>
      <c r="D6000" s="74"/>
      <c r="E6000" s="67"/>
      <c r="F6000" s="75"/>
      <c r="G6000" s="67"/>
      <c r="H6000" s="68"/>
      <c r="I6000" s="76"/>
      <c r="J6000" s="67"/>
      <c r="K6000" s="9" t="s">
        <v>2802</v>
      </c>
      <c r="L6000" s="934"/>
      <c r="M6000" s="934"/>
    </row>
    <row r="6001" ht="12.75" hidden="1" customHeight="1" outlineLevel="1">
      <c r="A6001" s="122">
        <v>42052.0</v>
      </c>
      <c r="B6001" s="32" t="s">
        <v>343</v>
      </c>
      <c r="C6001" s="32" t="s">
        <v>1158</v>
      </c>
      <c r="D6001" s="708">
        <v>500.0</v>
      </c>
      <c r="E6001" s="195">
        <v>45.13</v>
      </c>
      <c r="F6001" s="709">
        <v>0.43950231481481483</v>
      </c>
      <c r="G6001" s="195" t="s">
        <v>453</v>
      </c>
      <c r="H6001" s="710">
        <v>2.0</v>
      </c>
      <c r="I6001" s="256"/>
      <c r="J6001" s="67">
        <f t="shared" ref="J6001:J6004" si="371">IF(B6001="SLD",D6001*E6001,-D6001*E6001)-H6001</f>
        <v>-22567</v>
      </c>
      <c r="L6001" s="70"/>
      <c r="M6001" s="934"/>
      <c r="N6001" s="94"/>
      <c r="O6001" s="94"/>
      <c r="P6001" s="94"/>
      <c r="Q6001" s="94"/>
      <c r="R6001" s="94"/>
      <c r="S6001" s="94"/>
      <c r="T6001" s="94"/>
      <c r="U6001" s="94"/>
      <c r="V6001" s="94"/>
      <c r="W6001" s="94"/>
      <c r="X6001" s="94"/>
      <c r="Y6001" s="94"/>
      <c r="Z6001" s="94"/>
      <c r="AA6001" s="94"/>
      <c r="AB6001" s="94"/>
      <c r="AC6001" s="94"/>
      <c r="AD6001" s="94"/>
      <c r="AE6001" s="94"/>
      <c r="AF6001" s="94"/>
      <c r="AG6001" s="94"/>
      <c r="AH6001" s="94"/>
    </row>
    <row r="6002" ht="12.75" hidden="1" customHeight="1" outlineLevel="1">
      <c r="A6002" s="122">
        <v>42052.0</v>
      </c>
      <c r="B6002" s="32" t="s">
        <v>343</v>
      </c>
      <c r="C6002" s="32" t="s">
        <v>1164</v>
      </c>
      <c r="D6002" s="708">
        <v>400.0</v>
      </c>
      <c r="E6002" s="195">
        <v>43.339</v>
      </c>
      <c r="F6002" s="709">
        <v>0.4396875</v>
      </c>
      <c r="G6002" s="195" t="s">
        <v>453</v>
      </c>
      <c r="H6002" s="710">
        <v>1.6</v>
      </c>
      <c r="I6002" s="256"/>
      <c r="J6002" s="67">
        <f t="shared" si="371"/>
        <v>-17337.2</v>
      </c>
      <c r="L6002" s="70"/>
      <c r="M6002" s="934"/>
      <c r="N6002" s="94"/>
      <c r="O6002" s="94"/>
      <c r="P6002" s="94"/>
      <c r="Q6002" s="94"/>
      <c r="R6002" s="94"/>
      <c r="S6002" s="94"/>
      <c r="T6002" s="94"/>
      <c r="U6002" s="94"/>
      <c r="V6002" s="94"/>
      <c r="W6002" s="94"/>
      <c r="X6002" s="94"/>
      <c r="Y6002" s="94"/>
      <c r="Z6002" s="94"/>
      <c r="AA6002" s="94"/>
      <c r="AB6002" s="94"/>
      <c r="AC6002" s="94"/>
      <c r="AD6002" s="94"/>
      <c r="AE6002" s="94"/>
      <c r="AF6002" s="94"/>
      <c r="AG6002" s="94"/>
      <c r="AH6002" s="94"/>
    </row>
    <row r="6003" ht="12.75" hidden="1" customHeight="1" outlineLevel="1">
      <c r="A6003" s="122">
        <v>42052.0</v>
      </c>
      <c r="B6003" s="32" t="s">
        <v>347</v>
      </c>
      <c r="C6003" s="32" t="s">
        <v>1158</v>
      </c>
      <c r="D6003" s="708">
        <v>500.0</v>
      </c>
      <c r="E6003" s="195">
        <v>44.711</v>
      </c>
      <c r="F6003" s="709">
        <v>0.6492476851851852</v>
      </c>
      <c r="G6003" s="195" t="s">
        <v>453</v>
      </c>
      <c r="H6003" s="710">
        <v>2.41</v>
      </c>
      <c r="I6003" s="256"/>
      <c r="J6003" s="67">
        <f t="shared" si="371"/>
        <v>22353.09</v>
      </c>
      <c r="L6003" s="70"/>
      <c r="M6003" s="934"/>
      <c r="N6003" s="94"/>
      <c r="O6003" s="94"/>
      <c r="P6003" s="94"/>
      <c r="Q6003" s="94"/>
      <c r="R6003" s="94"/>
      <c r="S6003" s="94"/>
      <c r="T6003" s="94"/>
      <c r="U6003" s="94"/>
      <c r="V6003" s="94"/>
      <c r="W6003" s="94"/>
      <c r="X6003" s="94"/>
      <c r="Y6003" s="94"/>
      <c r="Z6003" s="94"/>
      <c r="AA6003" s="94"/>
      <c r="AB6003" s="94"/>
      <c r="AC6003" s="94"/>
      <c r="AD6003" s="94"/>
      <c r="AE6003" s="94"/>
      <c r="AF6003" s="94"/>
      <c r="AG6003" s="94"/>
      <c r="AH6003" s="94"/>
    </row>
    <row r="6004" ht="12.75" hidden="1" customHeight="1" outlineLevel="1">
      <c r="A6004" s="122">
        <v>42052.0</v>
      </c>
      <c r="B6004" s="32" t="s">
        <v>347</v>
      </c>
      <c r="C6004" s="32" t="s">
        <v>1164</v>
      </c>
      <c r="D6004" s="708">
        <v>400.0</v>
      </c>
      <c r="E6004" s="195">
        <v>42.551</v>
      </c>
      <c r="F6004" s="709">
        <v>0.6493981481481481</v>
      </c>
      <c r="G6004" s="195" t="s">
        <v>453</v>
      </c>
      <c r="H6004" s="710">
        <v>1.91</v>
      </c>
      <c r="I6004" s="256"/>
      <c r="J6004" s="67">
        <f t="shared" si="371"/>
        <v>17018.49</v>
      </c>
      <c r="L6004" s="70"/>
      <c r="M6004" s="934"/>
      <c r="N6004" s="94"/>
      <c r="O6004" s="94"/>
      <c r="P6004" s="94"/>
      <c r="Q6004" s="94"/>
      <c r="R6004" s="94"/>
      <c r="S6004" s="94"/>
      <c r="T6004" s="94"/>
      <c r="U6004" s="94"/>
      <c r="V6004" s="94"/>
      <c r="W6004" s="94"/>
      <c r="X6004" s="94"/>
      <c r="Y6004" s="94"/>
      <c r="Z6004" s="94"/>
      <c r="AA6004" s="94"/>
      <c r="AB6004" s="94"/>
      <c r="AC6004" s="94"/>
      <c r="AD6004" s="94"/>
      <c r="AE6004" s="94"/>
      <c r="AF6004" s="94"/>
      <c r="AG6004" s="94"/>
      <c r="AH6004" s="94"/>
    </row>
    <row r="6005" ht="12.75" hidden="1" customHeight="1" outlineLevel="1">
      <c r="A6005" s="882">
        <v>42052.0</v>
      </c>
      <c r="B6005" s="1"/>
      <c r="C6005" s="1" t="s">
        <v>339</v>
      </c>
      <c r="D6005" s="74"/>
      <c r="E6005" s="67"/>
      <c r="F6005" s="75"/>
      <c r="G6005" s="67"/>
      <c r="H6005" s="68"/>
      <c r="I6005" s="76"/>
      <c r="J6005" s="67"/>
      <c r="K6005" s="968" t="s">
        <v>2826</v>
      </c>
      <c r="L6005" s="934"/>
      <c r="M6005" s="934"/>
    </row>
    <row r="6006" ht="12.75" hidden="1" customHeight="1" outlineLevel="1">
      <c r="A6006" s="882">
        <v>42052.0</v>
      </c>
      <c r="B6006" s="1"/>
      <c r="C6006" s="1" t="s">
        <v>429</v>
      </c>
      <c r="D6006" s="74"/>
      <c r="E6006" s="67"/>
      <c r="F6006" s="75"/>
      <c r="G6006" s="67"/>
      <c r="H6006" s="68"/>
      <c r="I6006" s="76"/>
      <c r="J6006" s="67"/>
      <c r="K6006" s="9" t="s">
        <v>2811</v>
      </c>
      <c r="L6006" s="934"/>
      <c r="M6006" s="934"/>
    </row>
    <row r="6007" ht="12.75" hidden="1" customHeight="1" outlineLevel="1">
      <c r="A6007" s="882">
        <v>42052.0</v>
      </c>
      <c r="B6007" s="1"/>
      <c r="C6007" s="1" t="s">
        <v>431</v>
      </c>
      <c r="D6007" s="74"/>
      <c r="E6007" s="67"/>
      <c r="F6007" s="75"/>
      <c r="G6007" s="67"/>
      <c r="H6007" s="68"/>
      <c r="I6007" s="76"/>
      <c r="J6007" s="67"/>
      <c r="K6007" s="7" t="s">
        <v>1126</v>
      </c>
      <c r="L6007" s="934"/>
      <c r="M6007" s="934"/>
    </row>
    <row r="6008" ht="12.75" hidden="1" customHeight="1" outlineLevel="1">
      <c r="A6008" s="882">
        <v>42052.0</v>
      </c>
      <c r="B6008" s="1"/>
      <c r="C6008" s="1" t="s">
        <v>433</v>
      </c>
      <c r="D6008" s="74"/>
      <c r="E6008" s="67"/>
      <c r="F6008" s="75"/>
      <c r="G6008" s="67"/>
      <c r="H6008" s="68"/>
      <c r="I6008" s="76"/>
      <c r="J6008" s="67"/>
      <c r="K6008" s="7" t="s">
        <v>1103</v>
      </c>
      <c r="L6008" s="934"/>
      <c r="M6008" s="934"/>
    </row>
    <row r="6009" ht="12.75" hidden="1" customHeight="1" outlineLevel="1">
      <c r="A6009" s="882">
        <v>42052.0</v>
      </c>
      <c r="B6009" s="1"/>
      <c r="C6009" s="1" t="s">
        <v>435</v>
      </c>
      <c r="D6009" s="74"/>
      <c r="E6009" s="67"/>
      <c r="F6009" s="75"/>
      <c r="G6009" s="67"/>
      <c r="H6009" s="68"/>
      <c r="I6009" s="76"/>
      <c r="J6009" s="67"/>
      <c r="K6009" s="9" t="s">
        <v>2802</v>
      </c>
      <c r="L6009" s="934"/>
      <c r="M6009" s="934"/>
    </row>
    <row r="6010" ht="12.75" hidden="1" customHeight="1" outlineLevel="1">
      <c r="A6010" s="122">
        <v>42053.0</v>
      </c>
      <c r="B6010" s="1"/>
      <c r="C6010" s="1" t="s">
        <v>339</v>
      </c>
      <c r="D6010" s="74"/>
      <c r="E6010" s="67"/>
      <c r="F6010" s="75"/>
      <c r="G6010" s="67"/>
      <c r="H6010" s="68"/>
      <c r="I6010" s="76"/>
      <c r="K6010" s="968" t="s">
        <v>2834</v>
      </c>
      <c r="L6010" s="934"/>
      <c r="M6010" s="934"/>
    </row>
    <row r="6011" ht="12.75" hidden="1" customHeight="1" outlineLevel="1">
      <c r="A6011" s="122">
        <v>42053.0</v>
      </c>
      <c r="B6011" s="1"/>
      <c r="C6011" s="1" t="s">
        <v>429</v>
      </c>
      <c r="D6011" s="74"/>
      <c r="E6011" s="67"/>
      <c r="F6011" s="75"/>
      <c r="G6011" s="67"/>
      <c r="H6011" s="68"/>
      <c r="I6011" s="76"/>
      <c r="J6011" s="67"/>
      <c r="K6011" s="9" t="s">
        <v>2811</v>
      </c>
      <c r="L6011" s="934"/>
      <c r="M6011" s="934"/>
    </row>
    <row r="6012" ht="12.75" hidden="1" customHeight="1" outlineLevel="1">
      <c r="A6012" s="122">
        <v>42053.0</v>
      </c>
      <c r="B6012" s="1"/>
      <c r="C6012" s="1" t="s">
        <v>431</v>
      </c>
      <c r="D6012" s="74"/>
      <c r="E6012" s="67"/>
      <c r="F6012" s="75"/>
      <c r="G6012" s="67"/>
      <c r="H6012" s="68"/>
      <c r="I6012" s="76"/>
      <c r="J6012" s="67"/>
      <c r="K6012" s="7" t="s">
        <v>1126</v>
      </c>
      <c r="L6012" s="934"/>
      <c r="M6012" s="934"/>
    </row>
    <row r="6013" ht="12.75" hidden="1" customHeight="1" outlineLevel="1">
      <c r="A6013" s="122">
        <v>42053.0</v>
      </c>
      <c r="B6013" s="1"/>
      <c r="C6013" s="1" t="s">
        <v>433</v>
      </c>
      <c r="D6013" s="74"/>
      <c r="E6013" s="67"/>
      <c r="F6013" s="75"/>
      <c r="G6013" s="67"/>
      <c r="H6013" s="68"/>
      <c r="I6013" s="76"/>
      <c r="J6013" s="67"/>
      <c r="K6013" s="7" t="s">
        <v>1103</v>
      </c>
      <c r="L6013" s="934"/>
      <c r="M6013" s="934"/>
    </row>
    <row r="6014" ht="12.75" hidden="1" customHeight="1" outlineLevel="1">
      <c r="A6014" s="122">
        <v>42053.0</v>
      </c>
      <c r="B6014" s="1"/>
      <c r="C6014" s="1" t="s">
        <v>435</v>
      </c>
      <c r="D6014" s="74"/>
      <c r="E6014" s="67"/>
      <c r="F6014" s="75"/>
      <c r="G6014" s="67"/>
      <c r="H6014" s="68"/>
      <c r="I6014" s="76"/>
      <c r="J6014" s="67"/>
      <c r="K6014" s="9" t="s">
        <v>2802</v>
      </c>
      <c r="L6014" s="934"/>
      <c r="M6014" s="934"/>
    </row>
    <row r="6015" ht="12.75" hidden="1" customHeight="1" outlineLevel="1">
      <c r="A6015" s="122">
        <v>42054.0</v>
      </c>
      <c r="B6015" s="32" t="s">
        <v>347</v>
      </c>
      <c r="C6015" s="32" t="s">
        <v>784</v>
      </c>
      <c r="D6015" s="708">
        <v>4000.0</v>
      </c>
      <c r="E6015" s="195">
        <v>7.82</v>
      </c>
      <c r="F6015" s="709">
        <v>0.3972800925925926</v>
      </c>
      <c r="G6015" s="195" t="s">
        <v>453</v>
      </c>
      <c r="H6015" s="710">
        <v>20.58</v>
      </c>
      <c r="I6015" s="256"/>
      <c r="J6015" s="67">
        <f t="shared" ref="J6015:J6029" si="372">IF(B6015="SLD",D6015*E6015,-D6015*E6015)-H6015</f>
        <v>31259.42</v>
      </c>
      <c r="L6015" s="70"/>
      <c r="M6015" s="934"/>
      <c r="N6015" s="94"/>
      <c r="O6015" s="94"/>
      <c r="P6015" s="94"/>
      <c r="Q6015" s="94"/>
      <c r="R6015" s="94"/>
      <c r="S6015" s="94"/>
      <c r="T6015" s="94"/>
      <c r="U6015" s="94"/>
      <c r="V6015" s="94"/>
      <c r="W6015" s="94"/>
      <c r="X6015" s="94"/>
      <c r="Y6015" s="94"/>
      <c r="Z6015" s="94"/>
      <c r="AA6015" s="94"/>
      <c r="AB6015" s="94"/>
      <c r="AC6015" s="94"/>
      <c r="AD6015" s="94"/>
      <c r="AE6015" s="94"/>
      <c r="AF6015" s="94"/>
      <c r="AG6015" s="94"/>
      <c r="AH6015" s="94"/>
    </row>
    <row r="6016" ht="12.75" hidden="1" customHeight="1" outlineLevel="1">
      <c r="A6016" s="122">
        <v>42054.0</v>
      </c>
      <c r="B6016" s="32" t="s">
        <v>347</v>
      </c>
      <c r="C6016" s="32" t="s">
        <v>369</v>
      </c>
      <c r="D6016" s="708">
        <v>1500.0</v>
      </c>
      <c r="E6016" s="195">
        <v>6.833</v>
      </c>
      <c r="F6016" s="709">
        <v>0.3979050925925926</v>
      </c>
      <c r="G6016" s="195" t="s">
        <v>453</v>
      </c>
      <c r="H6016" s="710">
        <v>6.19</v>
      </c>
      <c r="I6016" s="256"/>
      <c r="J6016" s="67">
        <f t="shared" si="372"/>
        <v>10243.31</v>
      </c>
      <c r="L6016" s="70"/>
      <c r="M6016" s="934"/>
      <c r="N6016" s="94"/>
      <c r="O6016" s="94"/>
      <c r="P6016" s="94"/>
      <c r="Q6016" s="94"/>
      <c r="R6016" s="94"/>
      <c r="S6016" s="94"/>
      <c r="T6016" s="94"/>
      <c r="U6016" s="94"/>
      <c r="V6016" s="94"/>
      <c r="W6016" s="94"/>
      <c r="X6016" s="94"/>
      <c r="Y6016" s="94"/>
      <c r="Z6016" s="94"/>
      <c r="AA6016" s="94"/>
      <c r="AB6016" s="94"/>
      <c r="AC6016" s="94"/>
      <c r="AD6016" s="94"/>
      <c r="AE6016" s="94"/>
      <c r="AF6016" s="94"/>
      <c r="AG6016" s="94"/>
      <c r="AH6016" s="94"/>
    </row>
    <row r="6017" ht="12.75" hidden="1" customHeight="1" outlineLevel="1">
      <c r="A6017" s="122">
        <v>42054.0</v>
      </c>
      <c r="B6017" s="32" t="s">
        <v>347</v>
      </c>
      <c r="C6017" s="32" t="s">
        <v>790</v>
      </c>
      <c r="D6017" s="708">
        <v>2000.0</v>
      </c>
      <c r="E6017" s="195">
        <v>6.661</v>
      </c>
      <c r="F6017" s="709">
        <v>0.3990046296296296</v>
      </c>
      <c r="G6017" s="195" t="s">
        <v>453</v>
      </c>
      <c r="H6017" s="710">
        <v>8.25</v>
      </c>
      <c r="I6017" s="256"/>
      <c r="J6017" s="67">
        <f t="shared" si="372"/>
        <v>13313.75</v>
      </c>
      <c r="L6017" s="70"/>
      <c r="M6017" s="934"/>
      <c r="N6017" s="94"/>
      <c r="O6017" s="94"/>
      <c r="P6017" s="94"/>
      <c r="Q6017" s="94"/>
      <c r="R6017" s="94"/>
      <c r="S6017" s="94"/>
      <c r="T6017" s="94"/>
      <c r="U6017" s="94"/>
      <c r="V6017" s="94"/>
      <c r="W6017" s="94"/>
      <c r="X6017" s="94"/>
      <c r="Y6017" s="94"/>
      <c r="Z6017" s="94"/>
      <c r="AA6017" s="94"/>
      <c r="AB6017" s="94"/>
      <c r="AC6017" s="94"/>
      <c r="AD6017" s="94"/>
      <c r="AE6017" s="94"/>
      <c r="AF6017" s="94"/>
      <c r="AG6017" s="94"/>
      <c r="AH6017" s="94"/>
    </row>
    <row r="6018" ht="12.75" hidden="1" customHeight="1" outlineLevel="1">
      <c r="A6018" s="122">
        <v>42054.0</v>
      </c>
      <c r="B6018" s="32" t="s">
        <v>343</v>
      </c>
      <c r="C6018" s="32" t="s">
        <v>1164</v>
      </c>
      <c r="D6018" s="708">
        <v>400.0</v>
      </c>
      <c r="E6018" s="195">
        <v>44.6</v>
      </c>
      <c r="F6018" s="709">
        <v>0.3996296296296296</v>
      </c>
      <c r="G6018" s="195" t="s">
        <v>453</v>
      </c>
      <c r="H6018" s="710">
        <v>1.6</v>
      </c>
      <c r="I6018" s="256"/>
      <c r="J6018" s="67">
        <f t="shared" si="372"/>
        <v>-17841.6</v>
      </c>
      <c r="L6018" s="70"/>
      <c r="M6018" s="934"/>
      <c r="N6018" s="94"/>
      <c r="O6018" s="94"/>
      <c r="P6018" s="94"/>
      <c r="Q6018" s="94"/>
      <c r="R6018" s="94"/>
      <c r="S6018" s="94"/>
      <c r="T6018" s="94"/>
      <c r="U6018" s="94"/>
      <c r="V6018" s="94"/>
      <c r="W6018" s="94"/>
      <c r="X6018" s="94"/>
      <c r="Y6018" s="94"/>
      <c r="Z6018" s="94"/>
      <c r="AA6018" s="94"/>
      <c r="AB6018" s="94"/>
      <c r="AC6018" s="94"/>
      <c r="AD6018" s="94"/>
      <c r="AE6018" s="94"/>
      <c r="AF6018" s="94"/>
      <c r="AG6018" s="94"/>
      <c r="AH6018" s="94"/>
    </row>
    <row r="6019" ht="12.75" hidden="1" customHeight="1" outlineLevel="1">
      <c r="A6019" s="122">
        <v>42054.0</v>
      </c>
      <c r="B6019" s="32" t="s">
        <v>343</v>
      </c>
      <c r="C6019" s="32" t="s">
        <v>1158</v>
      </c>
      <c r="D6019" s="708">
        <v>500.0</v>
      </c>
      <c r="E6019" s="195">
        <v>47.06</v>
      </c>
      <c r="F6019" s="709">
        <v>0.40003472222222225</v>
      </c>
      <c r="G6019" s="195" t="s">
        <v>453</v>
      </c>
      <c r="H6019" s="710">
        <v>2.5</v>
      </c>
      <c r="I6019" s="256"/>
      <c r="J6019" s="67">
        <f t="shared" si="372"/>
        <v>-23532.5</v>
      </c>
      <c r="L6019" s="70"/>
      <c r="M6019" s="934"/>
      <c r="N6019" s="94"/>
      <c r="O6019" s="94"/>
      <c r="P6019" s="94"/>
      <c r="Q6019" s="94"/>
      <c r="R6019" s="94"/>
      <c r="S6019" s="94"/>
      <c r="T6019" s="94"/>
      <c r="U6019" s="94"/>
      <c r="V6019" s="94"/>
      <c r="W6019" s="94"/>
      <c r="X6019" s="94"/>
      <c r="Y6019" s="94"/>
      <c r="Z6019" s="94"/>
      <c r="AA6019" s="94"/>
      <c r="AB6019" s="94"/>
      <c r="AC6019" s="94"/>
      <c r="AD6019" s="94"/>
      <c r="AE6019" s="94"/>
      <c r="AF6019" s="94"/>
      <c r="AG6019" s="94"/>
      <c r="AH6019" s="94"/>
    </row>
    <row r="6020" ht="12.75" hidden="1" customHeight="1" outlineLevel="1">
      <c r="A6020" s="122">
        <v>42054.0</v>
      </c>
      <c r="B6020" s="32" t="s">
        <v>347</v>
      </c>
      <c r="C6020" s="32" t="s">
        <v>1844</v>
      </c>
      <c r="D6020" s="708">
        <v>150.0</v>
      </c>
      <c r="E6020" s="195">
        <v>46.07</v>
      </c>
      <c r="F6020" s="709">
        <v>0.40130787037037036</v>
      </c>
      <c r="G6020" s="195" t="s">
        <v>453</v>
      </c>
      <c r="H6020" s="710">
        <v>1.13</v>
      </c>
      <c r="I6020" s="256"/>
      <c r="J6020" s="67">
        <f t="shared" si="372"/>
        <v>6909.37</v>
      </c>
      <c r="L6020" s="70"/>
      <c r="M6020" s="934"/>
      <c r="N6020" s="94"/>
      <c r="O6020" s="94"/>
      <c r="P6020" s="94"/>
      <c r="Q6020" s="94"/>
      <c r="R6020" s="94"/>
      <c r="S6020" s="94"/>
      <c r="T6020" s="94"/>
      <c r="U6020" s="94"/>
      <c r="V6020" s="94"/>
      <c r="W6020" s="94"/>
      <c r="X6020" s="94"/>
      <c r="Y6020" s="94"/>
      <c r="Z6020" s="94"/>
      <c r="AA6020" s="94"/>
      <c r="AB6020" s="94"/>
      <c r="AC6020" s="94"/>
      <c r="AD6020" s="94"/>
      <c r="AE6020" s="94"/>
      <c r="AF6020" s="94"/>
      <c r="AG6020" s="94"/>
      <c r="AH6020" s="94"/>
    </row>
    <row r="6021" ht="12.75" hidden="1" customHeight="1" outlineLevel="1">
      <c r="A6021" s="122">
        <v>42054.0</v>
      </c>
      <c r="B6021" s="32" t="s">
        <v>347</v>
      </c>
      <c r="C6021" s="32" t="s">
        <v>2048</v>
      </c>
      <c r="D6021" s="708">
        <v>500.0</v>
      </c>
      <c r="E6021" s="195">
        <v>12.121</v>
      </c>
      <c r="F6021" s="709">
        <v>0.40144675925925927</v>
      </c>
      <c r="G6021" s="195" t="s">
        <v>453</v>
      </c>
      <c r="H6021" s="710">
        <v>2.11</v>
      </c>
      <c r="I6021" s="256"/>
      <c r="J6021" s="67">
        <f t="shared" si="372"/>
        <v>6058.39</v>
      </c>
      <c r="L6021" s="70"/>
      <c r="M6021" s="934"/>
      <c r="N6021" s="94"/>
      <c r="O6021" s="94"/>
      <c r="P6021" s="94"/>
      <c r="Q6021" s="94"/>
      <c r="R6021" s="94"/>
      <c r="S6021" s="94"/>
      <c r="T6021" s="94"/>
      <c r="U6021" s="94"/>
      <c r="V6021" s="94"/>
      <c r="W6021" s="94"/>
      <c r="X6021" s="94"/>
      <c r="Y6021" s="94"/>
      <c r="Z6021" s="94"/>
      <c r="AA6021" s="94"/>
      <c r="AB6021" s="94"/>
      <c r="AC6021" s="94"/>
      <c r="AD6021" s="94"/>
      <c r="AE6021" s="94"/>
      <c r="AF6021" s="94"/>
      <c r="AG6021" s="94"/>
      <c r="AH6021" s="94"/>
    </row>
    <row r="6022" ht="12.75" hidden="1" customHeight="1" outlineLevel="1">
      <c r="A6022" s="122">
        <v>42054.0</v>
      </c>
      <c r="B6022" s="32" t="s">
        <v>347</v>
      </c>
      <c r="C6022" s="32" t="s">
        <v>2192</v>
      </c>
      <c r="D6022" s="708">
        <v>500.0</v>
      </c>
      <c r="E6022" s="195">
        <v>12.121</v>
      </c>
      <c r="F6022" s="709">
        <v>0.4015856481481481</v>
      </c>
      <c r="G6022" s="195" t="s">
        <v>453</v>
      </c>
      <c r="H6022" s="710">
        <v>2.11</v>
      </c>
      <c r="I6022" s="256"/>
      <c r="J6022" s="67">
        <f t="shared" si="372"/>
        <v>6058.39</v>
      </c>
      <c r="L6022" s="70"/>
      <c r="M6022" s="934"/>
      <c r="N6022" s="94"/>
      <c r="O6022" s="94"/>
      <c r="P6022" s="94"/>
      <c r="Q6022" s="94"/>
      <c r="R6022" s="94"/>
      <c r="S6022" s="94"/>
      <c r="T6022" s="94"/>
      <c r="U6022" s="94"/>
      <c r="V6022" s="94"/>
      <c r="W6022" s="94"/>
      <c r="X6022" s="94"/>
      <c r="Y6022" s="94"/>
      <c r="Z6022" s="94"/>
      <c r="AA6022" s="94"/>
      <c r="AB6022" s="94"/>
      <c r="AC6022" s="94"/>
      <c r="AD6022" s="94"/>
      <c r="AE6022" s="94"/>
      <c r="AF6022" s="94"/>
      <c r="AG6022" s="94"/>
      <c r="AH6022" s="94"/>
    </row>
    <row r="6023" ht="12.75" hidden="1" customHeight="1" outlineLevel="1">
      <c r="A6023" s="122">
        <v>42054.0</v>
      </c>
      <c r="B6023" s="32" t="s">
        <v>343</v>
      </c>
      <c r="C6023" s="32" t="s">
        <v>1382</v>
      </c>
      <c r="D6023" s="708">
        <v>100.0</v>
      </c>
      <c r="E6023" s="195">
        <v>155.69</v>
      </c>
      <c r="F6023" s="709">
        <v>0.410162037037037</v>
      </c>
      <c r="G6023" s="195" t="s">
        <v>453</v>
      </c>
      <c r="H6023" s="710">
        <v>1.0</v>
      </c>
      <c r="I6023" s="256"/>
      <c r="J6023" s="67">
        <f t="shared" si="372"/>
        <v>-15570</v>
      </c>
      <c r="L6023" s="70"/>
      <c r="M6023" s="934"/>
      <c r="N6023" s="94"/>
      <c r="O6023" s="94"/>
      <c r="P6023" s="94"/>
      <c r="Q6023" s="94"/>
      <c r="R6023" s="94"/>
      <c r="S6023" s="94"/>
      <c r="T6023" s="94"/>
      <c r="U6023" s="94"/>
      <c r="V6023" s="94"/>
      <c r="W6023" s="94"/>
      <c r="X6023" s="94"/>
      <c r="Y6023" s="94"/>
      <c r="Z6023" s="94"/>
      <c r="AA6023" s="94"/>
      <c r="AB6023" s="94"/>
      <c r="AC6023" s="94"/>
      <c r="AD6023" s="94"/>
      <c r="AE6023" s="94"/>
      <c r="AF6023" s="94"/>
      <c r="AG6023" s="94"/>
      <c r="AH6023" s="94"/>
    </row>
    <row r="6024" ht="12.75" hidden="1" customHeight="1" outlineLevel="1">
      <c r="A6024" s="122">
        <v>42054.0</v>
      </c>
      <c r="B6024" s="32" t="s">
        <v>347</v>
      </c>
      <c r="C6024" s="32" t="s">
        <v>784</v>
      </c>
      <c r="D6024" s="708">
        <v>1000.0</v>
      </c>
      <c r="E6024" s="195">
        <v>7.76</v>
      </c>
      <c r="F6024" s="709">
        <v>0.4246759259259259</v>
      </c>
      <c r="G6024" s="195" t="s">
        <v>453</v>
      </c>
      <c r="H6024" s="710">
        <v>5.14</v>
      </c>
      <c r="I6024" s="256"/>
      <c r="J6024" s="67">
        <f t="shared" si="372"/>
        <v>7754.86</v>
      </c>
      <c r="L6024" s="70"/>
      <c r="M6024" s="934"/>
      <c r="N6024" s="94"/>
      <c r="O6024" s="94"/>
      <c r="P6024" s="94"/>
      <c r="Q6024" s="94"/>
      <c r="R6024" s="94"/>
      <c r="S6024" s="94"/>
      <c r="T6024" s="94"/>
      <c r="U6024" s="94"/>
      <c r="V6024" s="94"/>
      <c r="W6024" s="94"/>
      <c r="X6024" s="94"/>
      <c r="Y6024" s="94"/>
      <c r="Z6024" s="94"/>
      <c r="AA6024" s="94"/>
      <c r="AB6024" s="94"/>
      <c r="AC6024" s="94"/>
      <c r="AD6024" s="94"/>
      <c r="AE6024" s="94"/>
      <c r="AF6024" s="94"/>
      <c r="AG6024" s="94"/>
      <c r="AH6024" s="94"/>
    </row>
    <row r="6025" ht="12.75" hidden="1" customHeight="1" outlineLevel="1">
      <c r="A6025" s="122">
        <v>42054.0</v>
      </c>
      <c r="B6025" s="32" t="s">
        <v>347</v>
      </c>
      <c r="C6025" s="32" t="s">
        <v>790</v>
      </c>
      <c r="D6025" s="708">
        <v>1000.0</v>
      </c>
      <c r="E6025" s="195">
        <v>6.7201</v>
      </c>
      <c r="F6025" s="709">
        <v>0.4248148148148148</v>
      </c>
      <c r="G6025" s="195" t="s">
        <v>453</v>
      </c>
      <c r="H6025" s="710">
        <v>4.12</v>
      </c>
      <c r="I6025" s="256"/>
      <c r="J6025" s="67">
        <f t="shared" si="372"/>
        <v>6715.98</v>
      </c>
      <c r="L6025" s="70"/>
      <c r="M6025" s="934"/>
      <c r="N6025" s="94"/>
      <c r="O6025" s="94"/>
      <c r="P6025" s="94"/>
      <c r="Q6025" s="94"/>
      <c r="R6025" s="94"/>
      <c r="S6025" s="94"/>
      <c r="T6025" s="94"/>
      <c r="U6025" s="94"/>
      <c r="V6025" s="94"/>
      <c r="W6025" s="94"/>
      <c r="X6025" s="94"/>
      <c r="Y6025" s="94"/>
      <c r="Z6025" s="94"/>
      <c r="AA6025" s="94"/>
      <c r="AB6025" s="94"/>
      <c r="AC6025" s="94"/>
      <c r="AD6025" s="94"/>
      <c r="AE6025" s="94"/>
      <c r="AF6025" s="94"/>
      <c r="AG6025" s="94"/>
      <c r="AH6025" s="94"/>
    </row>
    <row r="6026" ht="12.75" hidden="1" customHeight="1" outlineLevel="1">
      <c r="A6026" s="122">
        <v>42054.0</v>
      </c>
      <c r="B6026" s="32" t="s">
        <v>347</v>
      </c>
      <c r="C6026" s="32" t="s">
        <v>369</v>
      </c>
      <c r="D6026" s="708">
        <v>500.0</v>
      </c>
      <c r="E6026" s="195">
        <v>6.86</v>
      </c>
      <c r="F6026" s="709">
        <v>0.42506944444444444</v>
      </c>
      <c r="G6026" s="195" t="s">
        <v>453</v>
      </c>
      <c r="H6026" s="710">
        <v>2.46</v>
      </c>
      <c r="I6026" s="256"/>
      <c r="J6026" s="67">
        <f t="shared" si="372"/>
        <v>3427.54</v>
      </c>
      <c r="L6026" s="70"/>
      <c r="M6026" s="934"/>
      <c r="N6026" s="94"/>
      <c r="O6026" s="94"/>
      <c r="P6026" s="94"/>
      <c r="Q6026" s="94"/>
      <c r="R6026" s="94"/>
      <c r="S6026" s="94"/>
      <c r="T6026" s="94"/>
      <c r="U6026" s="94"/>
      <c r="V6026" s="94"/>
      <c r="W6026" s="94"/>
      <c r="X6026" s="94"/>
      <c r="Y6026" s="94"/>
      <c r="Z6026" s="94"/>
      <c r="AA6026" s="94"/>
      <c r="AB6026" s="94"/>
      <c r="AC6026" s="94"/>
      <c r="AD6026" s="94"/>
      <c r="AE6026" s="94"/>
      <c r="AF6026" s="94"/>
      <c r="AG6026" s="94"/>
      <c r="AH6026" s="94"/>
    </row>
    <row r="6027" ht="12.75" hidden="1" customHeight="1" outlineLevel="1">
      <c r="A6027" s="122">
        <v>42054.0</v>
      </c>
      <c r="B6027" s="32" t="s">
        <v>347</v>
      </c>
      <c r="C6027" s="32" t="s">
        <v>1844</v>
      </c>
      <c r="D6027" s="708">
        <v>50.0</v>
      </c>
      <c r="E6027" s="195">
        <v>47.08</v>
      </c>
      <c r="F6027" s="709">
        <v>0.42518518518518517</v>
      </c>
      <c r="G6027" s="195" t="s">
        <v>453</v>
      </c>
      <c r="H6027" s="710">
        <v>1.04</v>
      </c>
      <c r="I6027" s="256"/>
      <c r="J6027" s="67">
        <f t="shared" si="372"/>
        <v>2352.96</v>
      </c>
      <c r="L6027" s="70"/>
      <c r="M6027" s="934"/>
      <c r="N6027" s="94"/>
      <c r="O6027" s="94"/>
      <c r="P6027" s="94"/>
      <c r="Q6027" s="94"/>
      <c r="R6027" s="94"/>
      <c r="S6027" s="94"/>
      <c r="T6027" s="94"/>
      <c r="U6027" s="94"/>
      <c r="V6027" s="94"/>
      <c r="W6027" s="94"/>
      <c r="X6027" s="94"/>
      <c r="Y6027" s="94"/>
      <c r="Z6027" s="94"/>
      <c r="AA6027" s="94"/>
      <c r="AB6027" s="94"/>
      <c r="AC6027" s="94"/>
      <c r="AD6027" s="94"/>
      <c r="AE6027" s="94"/>
      <c r="AF6027" s="94"/>
      <c r="AG6027" s="94"/>
      <c r="AH6027" s="94"/>
    </row>
    <row r="6028" ht="12.75" hidden="1" customHeight="1" outlineLevel="1">
      <c r="A6028" s="122">
        <v>42054.0</v>
      </c>
      <c r="B6028" s="32" t="s">
        <v>347</v>
      </c>
      <c r="C6028" s="32" t="s">
        <v>2192</v>
      </c>
      <c r="D6028" s="708">
        <v>250.0</v>
      </c>
      <c r="E6028" s="195">
        <v>12.42</v>
      </c>
      <c r="F6028" s="709">
        <v>0.42537037037037034</v>
      </c>
      <c r="G6028" s="195" t="s">
        <v>453</v>
      </c>
      <c r="H6028" s="710">
        <v>1.21</v>
      </c>
      <c r="I6028" s="256"/>
      <c r="J6028" s="67">
        <f t="shared" si="372"/>
        <v>3103.79</v>
      </c>
      <c r="L6028" s="70"/>
      <c r="M6028" s="934"/>
      <c r="N6028" s="94"/>
      <c r="O6028" s="94"/>
      <c r="P6028" s="94"/>
      <c r="Q6028" s="94"/>
      <c r="R6028" s="94"/>
      <c r="S6028" s="94"/>
      <c r="T6028" s="94"/>
      <c r="U6028" s="94"/>
      <c r="V6028" s="94"/>
      <c r="W6028" s="94"/>
      <c r="X6028" s="94"/>
      <c r="Y6028" s="94"/>
      <c r="Z6028" s="94"/>
      <c r="AA6028" s="94"/>
      <c r="AB6028" s="94"/>
      <c r="AC6028" s="94"/>
      <c r="AD6028" s="94"/>
      <c r="AE6028" s="94"/>
      <c r="AF6028" s="94"/>
      <c r="AG6028" s="94"/>
      <c r="AH6028" s="94"/>
    </row>
    <row r="6029" ht="12.75" hidden="1" customHeight="1" outlineLevel="1">
      <c r="A6029" s="122">
        <v>42054.0</v>
      </c>
      <c r="B6029" s="32" t="s">
        <v>347</v>
      </c>
      <c r="C6029" s="32" t="s">
        <v>2048</v>
      </c>
      <c r="D6029" s="708">
        <v>250.0</v>
      </c>
      <c r="E6029" s="195">
        <v>12.241</v>
      </c>
      <c r="F6029" s="709">
        <v>0.42549768518518516</v>
      </c>
      <c r="G6029" s="195" t="s">
        <v>453</v>
      </c>
      <c r="H6029" s="710">
        <v>1.06</v>
      </c>
      <c r="I6029" s="256"/>
      <c r="J6029" s="67">
        <f t="shared" si="372"/>
        <v>3059.19</v>
      </c>
      <c r="L6029" s="70"/>
      <c r="M6029" s="934"/>
      <c r="N6029" s="94"/>
      <c r="O6029" s="94"/>
      <c r="P6029" s="94"/>
      <c r="Q6029" s="94"/>
      <c r="R6029" s="94"/>
      <c r="S6029" s="94"/>
      <c r="T6029" s="94"/>
      <c r="U6029" s="94"/>
      <c r="V6029" s="94"/>
      <c r="W6029" s="94"/>
      <c r="X6029" s="94"/>
      <c r="Y6029" s="94"/>
      <c r="Z6029" s="94"/>
      <c r="AA6029" s="94"/>
      <c r="AB6029" s="94"/>
      <c r="AC6029" s="94"/>
      <c r="AD6029" s="94"/>
      <c r="AE6029" s="94"/>
      <c r="AF6029" s="94"/>
      <c r="AG6029" s="94"/>
      <c r="AH6029" s="94"/>
    </row>
    <row r="6030" ht="12.75" hidden="1" customHeight="1" outlineLevel="1">
      <c r="A6030" s="122">
        <v>42054.0</v>
      </c>
      <c r="B6030" s="1"/>
      <c r="C6030" s="1" t="s">
        <v>339</v>
      </c>
      <c r="D6030" s="74"/>
      <c r="E6030" s="67"/>
      <c r="F6030" s="75"/>
      <c r="G6030" s="67"/>
      <c r="H6030" s="68"/>
      <c r="I6030" s="76"/>
      <c r="K6030" s="968" t="s">
        <v>2836</v>
      </c>
      <c r="L6030" s="934"/>
      <c r="M6030" s="934"/>
    </row>
    <row r="6031" ht="12.75" hidden="1" customHeight="1" outlineLevel="1">
      <c r="A6031" s="122">
        <v>42054.0</v>
      </c>
      <c r="B6031" s="1"/>
      <c r="C6031" s="1" t="s">
        <v>429</v>
      </c>
      <c r="D6031" s="74"/>
      <c r="E6031" s="67"/>
      <c r="F6031" s="75"/>
      <c r="G6031" s="67"/>
      <c r="H6031" s="68"/>
      <c r="I6031" s="76"/>
      <c r="J6031" s="67"/>
      <c r="K6031" s="9" t="s">
        <v>2811</v>
      </c>
      <c r="L6031" s="934"/>
      <c r="M6031" s="934"/>
    </row>
    <row r="6032" ht="12.75" hidden="1" customHeight="1" outlineLevel="1">
      <c r="A6032" s="122">
        <v>42054.0</v>
      </c>
      <c r="B6032" s="1"/>
      <c r="C6032" s="1" t="s">
        <v>431</v>
      </c>
      <c r="D6032" s="74"/>
      <c r="E6032" s="67"/>
      <c r="F6032" s="75"/>
      <c r="G6032" s="67"/>
      <c r="H6032" s="68"/>
      <c r="I6032" s="76"/>
      <c r="J6032" s="67"/>
      <c r="K6032" s="7" t="s">
        <v>1126</v>
      </c>
      <c r="L6032" s="934"/>
      <c r="M6032" s="934"/>
    </row>
    <row r="6033" ht="12.75" hidden="1" customHeight="1" outlineLevel="1">
      <c r="A6033" s="122">
        <v>42054.0</v>
      </c>
      <c r="B6033" s="1"/>
      <c r="C6033" s="1" t="s">
        <v>433</v>
      </c>
      <c r="D6033" s="74"/>
      <c r="E6033" s="67"/>
      <c r="F6033" s="75"/>
      <c r="G6033" s="67"/>
      <c r="H6033" s="68"/>
      <c r="I6033" s="76"/>
      <c r="J6033" s="67"/>
      <c r="K6033" s="7" t="s">
        <v>1103</v>
      </c>
      <c r="L6033" s="934"/>
      <c r="M6033" s="934"/>
    </row>
    <row r="6034" ht="12.75" hidden="1" customHeight="1" outlineLevel="1">
      <c r="A6034" s="122">
        <v>42054.0</v>
      </c>
      <c r="B6034" s="1"/>
      <c r="C6034" s="1" t="s">
        <v>435</v>
      </c>
      <c r="D6034" s="74"/>
      <c r="E6034" s="67"/>
      <c r="F6034" s="75"/>
      <c r="G6034" s="67"/>
      <c r="H6034" s="68"/>
      <c r="I6034" s="76"/>
      <c r="J6034" s="67"/>
      <c r="K6034" s="9" t="s">
        <v>2802</v>
      </c>
      <c r="L6034" s="934"/>
      <c r="M6034" s="934"/>
    </row>
    <row r="6035" ht="12.75" hidden="1" customHeight="1" outlineLevel="1">
      <c r="A6035" s="122">
        <v>42058.0</v>
      </c>
      <c r="B6035" s="32" t="s">
        <v>343</v>
      </c>
      <c r="C6035" s="32" t="s">
        <v>2837</v>
      </c>
      <c r="D6035" s="708">
        <v>600.0</v>
      </c>
      <c r="E6035" s="195">
        <v>26.645</v>
      </c>
      <c r="F6035" s="709">
        <v>0.4038541666666667</v>
      </c>
      <c r="G6035" s="195" t="s">
        <v>453</v>
      </c>
      <c r="H6035" s="710">
        <v>2.8</v>
      </c>
      <c r="I6035" s="256"/>
      <c r="J6035" s="67">
        <f t="shared" ref="J6035:J6046" si="373">IF(B6035="SLD",D6035*E6035,-D6035*E6035)-H6035</f>
        <v>-15989.8</v>
      </c>
      <c r="L6035" s="70"/>
      <c r="M6035" s="934"/>
      <c r="N6035" s="94"/>
      <c r="O6035" s="94"/>
      <c r="P6035" s="94"/>
      <c r="Q6035" s="94"/>
      <c r="R6035" s="94"/>
      <c r="S6035" s="94"/>
      <c r="T6035" s="94"/>
      <c r="U6035" s="94"/>
      <c r="V6035" s="94"/>
      <c r="W6035" s="94"/>
      <c r="X6035" s="94"/>
      <c r="Y6035" s="94"/>
      <c r="Z6035" s="94"/>
      <c r="AA6035" s="94"/>
      <c r="AB6035" s="94"/>
      <c r="AC6035" s="94"/>
      <c r="AD6035" s="94"/>
      <c r="AE6035" s="94"/>
      <c r="AF6035" s="94"/>
      <c r="AG6035" s="94"/>
      <c r="AH6035" s="94"/>
    </row>
    <row r="6036" ht="12.75" hidden="1" customHeight="1" outlineLevel="1">
      <c r="A6036" s="122">
        <v>42058.0</v>
      </c>
      <c r="B6036" s="32" t="s">
        <v>347</v>
      </c>
      <c r="C6036" s="32" t="s">
        <v>2048</v>
      </c>
      <c r="D6036" s="708">
        <v>250.0</v>
      </c>
      <c r="E6036" s="195">
        <v>11.93</v>
      </c>
      <c r="F6036" s="709">
        <v>0.6586805555555556</v>
      </c>
      <c r="G6036" s="195" t="s">
        <v>453</v>
      </c>
      <c r="H6036" s="710">
        <v>1.05</v>
      </c>
      <c r="I6036" s="256"/>
      <c r="J6036" s="67">
        <f t="shared" si="373"/>
        <v>2981.45</v>
      </c>
      <c r="L6036" s="70"/>
      <c r="M6036" s="934"/>
      <c r="N6036" s="94"/>
      <c r="O6036" s="94"/>
      <c r="P6036" s="94"/>
      <c r="Q6036" s="94"/>
      <c r="R6036" s="94"/>
      <c r="S6036" s="94"/>
      <c r="T6036" s="94"/>
      <c r="U6036" s="94"/>
      <c r="V6036" s="94"/>
      <c r="W6036" s="94"/>
      <c r="X6036" s="94"/>
      <c r="Y6036" s="94"/>
      <c r="Z6036" s="94"/>
      <c r="AA6036" s="94"/>
      <c r="AB6036" s="94"/>
      <c r="AC6036" s="94"/>
      <c r="AD6036" s="94"/>
      <c r="AE6036" s="94"/>
      <c r="AF6036" s="94"/>
      <c r="AG6036" s="94"/>
      <c r="AH6036" s="94"/>
    </row>
    <row r="6037" ht="12.75" hidden="1" customHeight="1" outlineLevel="1">
      <c r="A6037" s="122">
        <v>42058.0</v>
      </c>
      <c r="B6037" s="32" t="s">
        <v>347</v>
      </c>
      <c r="C6037" s="32" t="s">
        <v>2192</v>
      </c>
      <c r="D6037" s="708">
        <v>250.0</v>
      </c>
      <c r="E6037" s="195">
        <v>12.14</v>
      </c>
      <c r="F6037" s="709">
        <v>0.6587615740740741</v>
      </c>
      <c r="G6037" s="195" t="s">
        <v>453</v>
      </c>
      <c r="H6037" s="710">
        <v>1.21</v>
      </c>
      <c r="I6037" s="256"/>
      <c r="J6037" s="67">
        <f t="shared" si="373"/>
        <v>3033.79</v>
      </c>
      <c r="L6037" s="70"/>
      <c r="M6037" s="934"/>
      <c r="N6037" s="94"/>
      <c r="O6037" s="94"/>
      <c r="P6037" s="94"/>
      <c r="Q6037" s="94"/>
      <c r="R6037" s="94"/>
      <c r="S6037" s="94"/>
      <c r="T6037" s="94"/>
      <c r="U6037" s="94"/>
      <c r="V6037" s="94"/>
      <c r="W6037" s="94"/>
      <c r="X6037" s="94"/>
      <c r="Y6037" s="94"/>
      <c r="Z6037" s="94"/>
      <c r="AA6037" s="94"/>
      <c r="AB6037" s="94"/>
      <c r="AC6037" s="94"/>
      <c r="AD6037" s="94"/>
      <c r="AE6037" s="94"/>
      <c r="AF6037" s="94"/>
      <c r="AG6037" s="94"/>
      <c r="AH6037" s="94"/>
    </row>
    <row r="6038" ht="12.75" hidden="1" customHeight="1" outlineLevel="1">
      <c r="A6038" s="122">
        <v>42058.0</v>
      </c>
      <c r="B6038" s="32" t="s">
        <v>347</v>
      </c>
      <c r="C6038" s="32" t="s">
        <v>1844</v>
      </c>
      <c r="D6038" s="708">
        <v>75.0</v>
      </c>
      <c r="E6038" s="195">
        <v>46.321</v>
      </c>
      <c r="F6038" s="709">
        <v>0.6595486111111111</v>
      </c>
      <c r="G6038" s="195" t="s">
        <v>453</v>
      </c>
      <c r="H6038" s="710">
        <v>1.06</v>
      </c>
      <c r="I6038" s="256"/>
      <c r="J6038" s="67">
        <f t="shared" si="373"/>
        <v>3473.015</v>
      </c>
      <c r="L6038" s="70"/>
      <c r="M6038" s="934"/>
      <c r="N6038" s="94"/>
      <c r="O6038" s="94"/>
      <c r="P6038" s="94"/>
      <c r="Q6038" s="94"/>
      <c r="R6038" s="94"/>
      <c r="S6038" s="94"/>
      <c r="T6038" s="94"/>
      <c r="U6038" s="94"/>
      <c r="V6038" s="94"/>
      <c r="W6038" s="94"/>
      <c r="X6038" s="94"/>
      <c r="Y6038" s="94"/>
      <c r="Z6038" s="94"/>
      <c r="AA6038" s="94"/>
      <c r="AB6038" s="94"/>
      <c r="AC6038" s="94"/>
      <c r="AD6038" s="94"/>
      <c r="AE6038" s="94"/>
      <c r="AF6038" s="94"/>
      <c r="AG6038" s="94"/>
      <c r="AH6038" s="94"/>
    </row>
    <row r="6039" ht="12.75" hidden="1" customHeight="1" outlineLevel="1">
      <c r="A6039" s="122">
        <v>42058.0</v>
      </c>
      <c r="B6039" s="32" t="s">
        <v>347</v>
      </c>
      <c r="C6039" s="32" t="s">
        <v>369</v>
      </c>
      <c r="D6039" s="708">
        <v>1500.0</v>
      </c>
      <c r="E6039" s="195">
        <v>6.651</v>
      </c>
      <c r="F6039" s="709">
        <v>0.66</v>
      </c>
      <c r="G6039" s="195" t="s">
        <v>453</v>
      </c>
      <c r="H6039" s="710">
        <v>6.18</v>
      </c>
      <c r="I6039" s="256"/>
      <c r="J6039" s="67">
        <f t="shared" si="373"/>
        <v>9970.32</v>
      </c>
      <c r="L6039" s="70"/>
      <c r="M6039" s="934"/>
      <c r="N6039" s="94"/>
      <c r="O6039" s="94"/>
      <c r="P6039" s="94"/>
      <c r="Q6039" s="94"/>
      <c r="R6039" s="94"/>
      <c r="S6039" s="94"/>
      <c r="T6039" s="94"/>
      <c r="U6039" s="94"/>
      <c r="V6039" s="94"/>
      <c r="W6039" s="94"/>
      <c r="X6039" s="94"/>
      <c r="Y6039" s="94"/>
      <c r="Z6039" s="94"/>
      <c r="AA6039" s="94"/>
      <c r="AB6039" s="94"/>
      <c r="AC6039" s="94"/>
      <c r="AD6039" s="94"/>
      <c r="AE6039" s="94"/>
      <c r="AF6039" s="94"/>
      <c r="AG6039" s="94"/>
      <c r="AH6039" s="94"/>
    </row>
    <row r="6040" ht="12.75" hidden="1" customHeight="1" outlineLevel="1">
      <c r="A6040" s="122">
        <v>42058.0</v>
      </c>
      <c r="B6040" s="32" t="s">
        <v>347</v>
      </c>
      <c r="C6040" s="32" t="s">
        <v>790</v>
      </c>
      <c r="D6040" s="708">
        <v>1500.0</v>
      </c>
      <c r="E6040" s="195">
        <v>6.49</v>
      </c>
      <c r="F6040" s="709">
        <v>0.6602662037037037</v>
      </c>
      <c r="G6040" s="195" t="s">
        <v>453</v>
      </c>
      <c r="H6040" s="710">
        <v>7.68</v>
      </c>
      <c r="I6040" s="256"/>
      <c r="J6040" s="67">
        <f t="shared" si="373"/>
        <v>9727.32</v>
      </c>
      <c r="L6040" s="70"/>
      <c r="M6040" s="934"/>
      <c r="N6040" s="94"/>
      <c r="O6040" s="94"/>
      <c r="P6040" s="94"/>
      <c r="Q6040" s="94"/>
      <c r="R6040" s="94"/>
      <c r="S6040" s="94"/>
      <c r="T6040" s="94"/>
      <c r="U6040" s="94"/>
      <c r="V6040" s="94"/>
      <c r="W6040" s="94"/>
      <c r="X6040" s="94"/>
      <c r="Y6040" s="94"/>
      <c r="Z6040" s="94"/>
      <c r="AA6040" s="94"/>
      <c r="AB6040" s="94"/>
      <c r="AC6040" s="94"/>
      <c r="AD6040" s="94"/>
      <c r="AE6040" s="94"/>
      <c r="AF6040" s="94"/>
      <c r="AG6040" s="94"/>
      <c r="AH6040" s="94"/>
    </row>
    <row r="6041" ht="12.75" hidden="1" customHeight="1" outlineLevel="1">
      <c r="A6041" s="122">
        <v>42058.0</v>
      </c>
      <c r="B6041" s="32" t="s">
        <v>347</v>
      </c>
      <c r="C6041" s="32" t="s">
        <v>784</v>
      </c>
      <c r="D6041" s="708">
        <v>100.0</v>
      </c>
      <c r="E6041" s="195">
        <v>7.475</v>
      </c>
      <c r="F6041" s="709">
        <v>0.6603240740740741</v>
      </c>
      <c r="G6041" s="195" t="s">
        <v>453</v>
      </c>
      <c r="H6041" s="710">
        <v>1.01</v>
      </c>
      <c r="I6041" s="256"/>
      <c r="J6041" s="67">
        <f t="shared" si="373"/>
        <v>746.49</v>
      </c>
      <c r="L6041" s="70"/>
      <c r="M6041" s="934"/>
      <c r="N6041" s="94"/>
      <c r="O6041" s="94"/>
      <c r="P6041" s="94"/>
      <c r="Q6041" s="94"/>
      <c r="R6041" s="94"/>
      <c r="S6041" s="94"/>
      <c r="T6041" s="94"/>
      <c r="U6041" s="94"/>
      <c r="V6041" s="94"/>
      <c r="W6041" s="94"/>
      <c r="X6041" s="94"/>
      <c r="Y6041" s="94"/>
      <c r="Z6041" s="94"/>
      <c r="AA6041" s="94"/>
      <c r="AB6041" s="94"/>
      <c r="AC6041" s="94"/>
      <c r="AD6041" s="94"/>
      <c r="AE6041" s="94"/>
      <c r="AF6041" s="94"/>
      <c r="AG6041" s="94"/>
      <c r="AH6041" s="94"/>
    </row>
    <row r="6042" ht="12.75" hidden="1" customHeight="1" outlineLevel="1">
      <c r="A6042" s="122">
        <v>42058.0</v>
      </c>
      <c r="B6042" s="32" t="s">
        <v>347</v>
      </c>
      <c r="C6042" s="32" t="s">
        <v>784</v>
      </c>
      <c r="D6042" s="708">
        <v>900.0</v>
      </c>
      <c r="E6042" s="195">
        <v>7.471</v>
      </c>
      <c r="F6042" s="709">
        <v>0.6604282407407407</v>
      </c>
      <c r="G6042" s="195" t="s">
        <v>453</v>
      </c>
      <c r="H6042" s="710">
        <v>3.72</v>
      </c>
      <c r="I6042" s="256"/>
      <c r="J6042" s="67">
        <f t="shared" si="373"/>
        <v>6720.18</v>
      </c>
      <c r="L6042" s="70"/>
      <c r="M6042" s="934"/>
      <c r="N6042" s="94"/>
      <c r="O6042" s="94"/>
      <c r="P6042" s="94"/>
      <c r="Q6042" s="94"/>
      <c r="R6042" s="94"/>
      <c r="S6042" s="94"/>
      <c r="T6042" s="94"/>
      <c r="U6042" s="94"/>
      <c r="V6042" s="94"/>
      <c r="W6042" s="94"/>
      <c r="X6042" s="94"/>
      <c r="Y6042" s="94"/>
      <c r="Z6042" s="94"/>
      <c r="AA6042" s="94"/>
      <c r="AB6042" s="94"/>
      <c r="AC6042" s="94"/>
      <c r="AD6042" s="94"/>
      <c r="AE6042" s="94"/>
      <c r="AF6042" s="94"/>
      <c r="AG6042" s="94"/>
      <c r="AH6042" s="94"/>
    </row>
    <row r="6043" ht="12.75" hidden="1" customHeight="1" outlineLevel="1">
      <c r="A6043" s="122">
        <v>42058.0</v>
      </c>
      <c r="B6043" s="32" t="s">
        <v>347</v>
      </c>
      <c r="C6043" s="32" t="s">
        <v>784</v>
      </c>
      <c r="D6043" s="708">
        <v>1000.0</v>
      </c>
      <c r="E6043" s="195">
        <v>7.471</v>
      </c>
      <c r="F6043" s="709">
        <v>0.6606944444444445</v>
      </c>
      <c r="G6043" s="195" t="s">
        <v>453</v>
      </c>
      <c r="H6043" s="710">
        <v>4.14</v>
      </c>
      <c r="I6043" s="256"/>
      <c r="J6043" s="67">
        <f t="shared" si="373"/>
        <v>7466.86</v>
      </c>
      <c r="L6043" s="70"/>
      <c r="M6043" s="934"/>
      <c r="N6043" s="94"/>
      <c r="O6043" s="94"/>
      <c r="P6043" s="94"/>
      <c r="Q6043" s="94"/>
      <c r="R6043" s="94"/>
      <c r="S6043" s="94"/>
      <c r="T6043" s="94"/>
      <c r="U6043" s="94"/>
      <c r="V6043" s="94"/>
      <c r="W6043" s="94"/>
      <c r="X6043" s="94"/>
      <c r="Y6043" s="94"/>
      <c r="Z6043" s="94"/>
      <c r="AA6043" s="94"/>
      <c r="AB6043" s="94"/>
      <c r="AC6043" s="94"/>
      <c r="AD6043" s="94"/>
      <c r="AE6043" s="94"/>
      <c r="AF6043" s="94"/>
      <c r="AG6043" s="94"/>
      <c r="AH6043" s="94"/>
    </row>
    <row r="6044" ht="12.75" hidden="1" customHeight="1" outlineLevel="1">
      <c r="A6044" s="122">
        <v>42059.0</v>
      </c>
      <c r="B6044" s="32" t="s">
        <v>343</v>
      </c>
      <c r="C6044" s="32" t="s">
        <v>2539</v>
      </c>
      <c r="D6044" s="708">
        <v>150.0</v>
      </c>
      <c r="E6044" s="195">
        <v>51.38</v>
      </c>
      <c r="F6044" s="709">
        <v>0.41074074074074074</v>
      </c>
      <c r="G6044" s="195" t="s">
        <v>453</v>
      </c>
      <c r="H6044" s="710">
        <v>1.0</v>
      </c>
      <c r="I6044" s="256"/>
      <c r="J6044" s="67">
        <f t="shared" si="373"/>
        <v>-7708</v>
      </c>
      <c r="L6044" s="70"/>
      <c r="M6044" s="934"/>
      <c r="N6044" s="94"/>
      <c r="O6044" s="94"/>
      <c r="P6044" s="94"/>
      <c r="Q6044" s="94"/>
      <c r="R6044" s="94"/>
      <c r="S6044" s="94"/>
      <c r="T6044" s="94"/>
      <c r="U6044" s="94"/>
      <c r="V6044" s="94"/>
      <c r="W6044" s="94"/>
      <c r="X6044" s="94"/>
      <c r="Y6044" s="94"/>
      <c r="Z6044" s="94"/>
      <c r="AA6044" s="94"/>
      <c r="AB6044" s="94"/>
      <c r="AC6044" s="94"/>
      <c r="AD6044" s="94"/>
      <c r="AE6044" s="94"/>
      <c r="AF6044" s="94"/>
      <c r="AG6044" s="94"/>
      <c r="AH6044" s="94"/>
    </row>
    <row r="6045" ht="12.75" hidden="1" customHeight="1" outlineLevel="1">
      <c r="A6045" s="122">
        <v>42059.0</v>
      </c>
      <c r="B6045" s="32" t="s">
        <v>343</v>
      </c>
      <c r="C6045" s="32" t="s">
        <v>2837</v>
      </c>
      <c r="D6045" s="708">
        <v>300.0</v>
      </c>
      <c r="E6045" s="195">
        <v>26.91</v>
      </c>
      <c r="F6045" s="709">
        <v>0.5715046296296297</v>
      </c>
      <c r="G6045" s="195" t="s">
        <v>453</v>
      </c>
      <c r="H6045" s="710">
        <v>1.5</v>
      </c>
      <c r="I6045" s="256"/>
      <c r="J6045" s="67">
        <f t="shared" si="373"/>
        <v>-8074.5</v>
      </c>
      <c r="L6045" s="70"/>
      <c r="M6045" s="934"/>
      <c r="N6045" s="94"/>
      <c r="O6045" s="94"/>
      <c r="P6045" s="94"/>
      <c r="Q6045" s="94"/>
      <c r="R6045" s="94"/>
      <c r="S6045" s="94"/>
      <c r="T6045" s="94"/>
      <c r="U6045" s="94"/>
      <c r="V6045" s="94"/>
      <c r="W6045" s="94"/>
      <c r="X6045" s="94"/>
      <c r="Y6045" s="94"/>
      <c r="Z6045" s="94"/>
      <c r="AA6045" s="94"/>
      <c r="AB6045" s="94"/>
      <c r="AC6045" s="94"/>
      <c r="AD6045" s="94"/>
      <c r="AE6045" s="94"/>
      <c r="AF6045" s="94"/>
      <c r="AG6045" s="94"/>
      <c r="AH6045" s="94"/>
    </row>
    <row r="6046" ht="12.75" hidden="1" customHeight="1" outlineLevel="1">
      <c r="A6046" s="122">
        <v>42059.0</v>
      </c>
      <c r="B6046" s="32" t="s">
        <v>347</v>
      </c>
      <c r="C6046" s="32" t="s">
        <v>2157</v>
      </c>
      <c r="D6046" s="708">
        <v>100.0</v>
      </c>
      <c r="E6046" s="195">
        <v>96.394</v>
      </c>
      <c r="F6046" s="709">
        <v>0.5811689814814814</v>
      </c>
      <c r="G6046" s="195" t="s">
        <v>453</v>
      </c>
      <c r="H6046" s="710">
        <v>1.18</v>
      </c>
      <c r="I6046" s="256"/>
      <c r="J6046" s="67">
        <f t="shared" si="373"/>
        <v>9638.22</v>
      </c>
      <c r="L6046" s="70"/>
      <c r="M6046" s="934"/>
      <c r="N6046" s="94"/>
      <c r="O6046" s="94"/>
      <c r="P6046" s="94"/>
      <c r="Q6046" s="94"/>
      <c r="R6046" s="94"/>
      <c r="S6046" s="94"/>
      <c r="T6046" s="94"/>
      <c r="U6046" s="94"/>
      <c r="V6046" s="94"/>
      <c r="W6046" s="94"/>
      <c r="X6046" s="94"/>
      <c r="Y6046" s="94"/>
      <c r="Z6046" s="94"/>
      <c r="AA6046" s="94"/>
      <c r="AB6046" s="94"/>
      <c r="AC6046" s="94"/>
      <c r="AD6046" s="94"/>
      <c r="AE6046" s="94"/>
      <c r="AF6046" s="94"/>
      <c r="AG6046" s="94"/>
      <c r="AH6046" s="94"/>
    </row>
    <row r="6047" ht="12.75" hidden="1" customHeight="1" outlineLevel="1">
      <c r="A6047" s="122">
        <v>42059.0</v>
      </c>
      <c r="B6047" s="1"/>
      <c r="C6047" s="1" t="s">
        <v>339</v>
      </c>
      <c r="D6047" s="74"/>
      <c r="E6047" s="67"/>
      <c r="F6047" s="75"/>
      <c r="G6047" s="67"/>
      <c r="H6047" s="68"/>
      <c r="I6047" s="76"/>
      <c r="K6047" s="968" t="s">
        <v>2838</v>
      </c>
      <c r="L6047" s="934"/>
      <c r="M6047" s="934"/>
    </row>
    <row r="6048" ht="12.75" hidden="1" customHeight="1" outlineLevel="1">
      <c r="A6048" s="122">
        <v>42059.0</v>
      </c>
      <c r="B6048" s="1"/>
      <c r="C6048" s="1" t="s">
        <v>429</v>
      </c>
      <c r="D6048" s="74"/>
      <c r="E6048" s="67"/>
      <c r="F6048" s="75"/>
      <c r="G6048" s="67"/>
      <c r="H6048" s="68"/>
      <c r="I6048" s="76"/>
      <c r="J6048" s="67"/>
      <c r="K6048" s="9" t="s">
        <v>2839</v>
      </c>
      <c r="L6048" s="934"/>
      <c r="M6048" s="934"/>
    </row>
    <row r="6049" ht="12.75" hidden="1" customHeight="1" outlineLevel="1">
      <c r="A6049" s="122">
        <v>42059.0</v>
      </c>
      <c r="B6049" s="1"/>
      <c r="C6049" s="1" t="s">
        <v>431</v>
      </c>
      <c r="D6049" s="74"/>
      <c r="E6049" s="67"/>
      <c r="F6049" s="75"/>
      <c r="G6049" s="67"/>
      <c r="H6049" s="68"/>
      <c r="I6049" s="76"/>
      <c r="J6049" s="67"/>
      <c r="K6049" s="7" t="s">
        <v>1126</v>
      </c>
      <c r="L6049" s="934"/>
      <c r="M6049" s="934"/>
    </row>
    <row r="6050" ht="12.75" hidden="1" customHeight="1" outlineLevel="1">
      <c r="A6050" s="122">
        <v>42059.0</v>
      </c>
      <c r="B6050" s="1"/>
      <c r="C6050" s="1" t="s">
        <v>433</v>
      </c>
      <c r="D6050" s="74"/>
      <c r="E6050" s="67"/>
      <c r="F6050" s="75"/>
      <c r="G6050" s="67"/>
      <c r="H6050" s="68"/>
      <c r="I6050" s="76"/>
      <c r="J6050" s="67"/>
      <c r="K6050" s="7" t="s">
        <v>1103</v>
      </c>
      <c r="L6050" s="934"/>
      <c r="M6050" s="934"/>
    </row>
    <row r="6051" ht="12.75" hidden="1" customHeight="1" outlineLevel="1">
      <c r="A6051" s="122">
        <v>42059.0</v>
      </c>
      <c r="B6051" s="1"/>
      <c r="C6051" s="1" t="s">
        <v>435</v>
      </c>
      <c r="D6051" s="74"/>
      <c r="E6051" s="67"/>
      <c r="F6051" s="75"/>
      <c r="G6051" s="67"/>
      <c r="H6051" s="68"/>
      <c r="I6051" s="76"/>
      <c r="J6051" s="67"/>
      <c r="K6051" s="9" t="s">
        <v>2802</v>
      </c>
      <c r="L6051" s="934"/>
      <c r="M6051" s="934"/>
    </row>
    <row r="6052" ht="12.75" hidden="1" customHeight="1" outlineLevel="1">
      <c r="A6052" s="122">
        <v>42060.0</v>
      </c>
      <c r="B6052" s="32" t="s">
        <v>343</v>
      </c>
      <c r="C6052" s="32" t="s">
        <v>1221</v>
      </c>
      <c r="D6052" s="708">
        <v>400.0</v>
      </c>
      <c r="E6052" s="195">
        <v>42.82</v>
      </c>
      <c r="F6052" s="709">
        <v>0.39957175925925925</v>
      </c>
      <c r="G6052" s="195" t="s">
        <v>453</v>
      </c>
      <c r="H6052" s="710">
        <v>2.0</v>
      </c>
      <c r="I6052" s="256"/>
      <c r="J6052" s="67">
        <f t="shared" ref="J6052:J6057" si="374">IF(B6052="SLD",D6052*E6052,-D6052*E6052)-H6052</f>
        <v>-17130</v>
      </c>
      <c r="L6052" s="70"/>
      <c r="M6052" s="934"/>
      <c r="N6052" s="94"/>
      <c r="O6052" s="94"/>
      <c r="P6052" s="94"/>
      <c r="Q6052" s="94"/>
      <c r="R6052" s="94"/>
      <c r="S6052" s="94"/>
      <c r="T6052" s="94"/>
      <c r="U6052" s="94"/>
      <c r="V6052" s="94"/>
      <c r="W6052" s="94"/>
      <c r="X6052" s="94"/>
      <c r="Y6052" s="94"/>
      <c r="Z6052" s="94"/>
      <c r="AA6052" s="94"/>
      <c r="AB6052" s="94"/>
      <c r="AC6052" s="94"/>
      <c r="AD6052" s="94"/>
      <c r="AE6052" s="94"/>
      <c r="AF6052" s="94"/>
      <c r="AG6052" s="94"/>
      <c r="AH6052" s="94"/>
    </row>
    <row r="6053" ht="12.75" hidden="1" customHeight="1" outlineLevel="1">
      <c r="A6053" s="122">
        <v>42060.0</v>
      </c>
      <c r="B6053" s="32" t="s">
        <v>347</v>
      </c>
      <c r="C6053" s="32" t="s">
        <v>784</v>
      </c>
      <c r="D6053" s="708">
        <v>1000.0</v>
      </c>
      <c r="E6053" s="195">
        <v>7.66</v>
      </c>
      <c r="F6053" s="709">
        <v>0.4121064814814815</v>
      </c>
      <c r="G6053" s="195" t="s">
        <v>453</v>
      </c>
      <c r="H6053" s="710">
        <v>4.54</v>
      </c>
      <c r="I6053" s="256"/>
      <c r="J6053" s="67">
        <f t="shared" si="374"/>
        <v>7655.46</v>
      </c>
      <c r="L6053" s="70"/>
      <c r="M6053" s="934"/>
      <c r="N6053" s="94"/>
      <c r="O6053" s="94"/>
      <c r="P6053" s="94"/>
      <c r="Q6053" s="94"/>
      <c r="R6053" s="94"/>
      <c r="S6053" s="94"/>
      <c r="T6053" s="94"/>
      <c r="U6053" s="94"/>
      <c r="V6053" s="94"/>
      <c r="W6053" s="94"/>
      <c r="X6053" s="94"/>
      <c r="Y6053" s="94"/>
      <c r="Z6053" s="94"/>
      <c r="AA6053" s="94"/>
      <c r="AB6053" s="94"/>
      <c r="AC6053" s="94"/>
      <c r="AD6053" s="94"/>
      <c r="AE6053" s="94"/>
      <c r="AF6053" s="94"/>
      <c r="AG6053" s="94"/>
      <c r="AH6053" s="94"/>
    </row>
    <row r="6054" ht="12.75" hidden="1" customHeight="1" outlineLevel="1">
      <c r="A6054" s="122">
        <v>42060.0</v>
      </c>
      <c r="B6054" s="32" t="s">
        <v>347</v>
      </c>
      <c r="C6054" s="32" t="s">
        <v>784</v>
      </c>
      <c r="D6054" s="708">
        <v>1000.0</v>
      </c>
      <c r="E6054" s="195">
        <v>7.65</v>
      </c>
      <c r="F6054" s="709">
        <v>0.42347222222222225</v>
      </c>
      <c r="G6054" s="195" t="s">
        <v>453</v>
      </c>
      <c r="H6054" s="710">
        <v>5.14</v>
      </c>
      <c r="I6054" s="256"/>
      <c r="J6054" s="67">
        <f t="shared" si="374"/>
        <v>7644.86</v>
      </c>
      <c r="L6054" s="70"/>
      <c r="M6054" s="934"/>
      <c r="N6054" s="94"/>
      <c r="O6054" s="94"/>
      <c r="P6054" s="94"/>
      <c r="Q6054" s="94"/>
      <c r="R6054" s="94"/>
      <c r="S6054" s="94"/>
      <c r="T6054" s="94"/>
      <c r="U6054" s="94"/>
      <c r="V6054" s="94"/>
      <c r="W6054" s="94"/>
      <c r="X6054" s="94"/>
      <c r="Y6054" s="94"/>
      <c r="Z6054" s="94"/>
      <c r="AA6054" s="94"/>
      <c r="AB6054" s="94"/>
      <c r="AC6054" s="94"/>
      <c r="AD6054" s="94"/>
      <c r="AE6054" s="94"/>
      <c r="AF6054" s="94"/>
      <c r="AG6054" s="94"/>
      <c r="AH6054" s="94"/>
    </row>
    <row r="6055" ht="12.75" hidden="1" customHeight="1" outlineLevel="1">
      <c r="A6055" s="122">
        <v>42060.0</v>
      </c>
      <c r="B6055" s="32" t="s">
        <v>347</v>
      </c>
      <c r="C6055" s="32" t="s">
        <v>1164</v>
      </c>
      <c r="D6055" s="708">
        <v>150.0</v>
      </c>
      <c r="E6055" s="195">
        <v>44.622</v>
      </c>
      <c r="F6055" s="709">
        <v>0.45016203703703705</v>
      </c>
      <c r="G6055" s="195" t="s">
        <v>453</v>
      </c>
      <c r="H6055" s="710">
        <v>1.12</v>
      </c>
      <c r="I6055" s="256"/>
      <c r="J6055" s="67">
        <f t="shared" si="374"/>
        <v>6692.18</v>
      </c>
      <c r="L6055" s="70"/>
      <c r="M6055" s="934"/>
      <c r="N6055" s="94"/>
      <c r="O6055" s="94"/>
      <c r="P6055" s="94"/>
      <c r="Q6055" s="94"/>
      <c r="R6055" s="94"/>
      <c r="S6055" s="94"/>
      <c r="T6055" s="94"/>
      <c r="U6055" s="94"/>
      <c r="V6055" s="94"/>
      <c r="W6055" s="94"/>
      <c r="X6055" s="94"/>
      <c r="Y6055" s="94"/>
      <c r="Z6055" s="94"/>
      <c r="AA6055" s="94"/>
      <c r="AB6055" s="94"/>
      <c r="AC6055" s="94"/>
      <c r="AD6055" s="94"/>
      <c r="AE6055" s="94"/>
      <c r="AF6055" s="94"/>
      <c r="AG6055" s="94"/>
      <c r="AH6055" s="94"/>
    </row>
    <row r="6056" ht="12.75" hidden="1" customHeight="1" outlineLevel="1">
      <c r="A6056" s="122">
        <v>42060.0</v>
      </c>
      <c r="B6056" s="32" t="s">
        <v>347</v>
      </c>
      <c r="C6056" s="32" t="s">
        <v>1158</v>
      </c>
      <c r="D6056" s="708">
        <v>150.0</v>
      </c>
      <c r="E6056" s="195">
        <v>47.811</v>
      </c>
      <c r="F6056" s="709">
        <v>0.4502199074074074</v>
      </c>
      <c r="G6056" s="195" t="s">
        <v>453</v>
      </c>
      <c r="H6056" s="710">
        <v>1.13</v>
      </c>
      <c r="I6056" s="256"/>
      <c r="J6056" s="67">
        <f t="shared" si="374"/>
        <v>7170.52</v>
      </c>
      <c r="L6056" s="70"/>
      <c r="M6056" s="934"/>
      <c r="N6056" s="94"/>
      <c r="O6056" s="94"/>
      <c r="P6056" s="94"/>
      <c r="Q6056" s="94"/>
      <c r="R6056" s="94"/>
      <c r="S6056" s="94"/>
      <c r="T6056" s="94"/>
      <c r="U6056" s="94"/>
      <c r="V6056" s="94"/>
      <c r="W6056" s="94"/>
      <c r="X6056" s="94"/>
      <c r="Y6056" s="94"/>
      <c r="Z6056" s="94"/>
      <c r="AA6056" s="94"/>
      <c r="AB6056" s="94"/>
      <c r="AC6056" s="94"/>
      <c r="AD6056" s="94"/>
      <c r="AE6056" s="94"/>
      <c r="AF6056" s="94"/>
      <c r="AG6056" s="94"/>
      <c r="AH6056" s="94"/>
    </row>
    <row r="6057" ht="12.75" hidden="1" customHeight="1" outlineLevel="1">
      <c r="A6057" s="122">
        <v>42060.0</v>
      </c>
      <c r="B6057" s="32" t="s">
        <v>347</v>
      </c>
      <c r="C6057" s="32" t="s">
        <v>2342</v>
      </c>
      <c r="D6057" s="708">
        <v>100.0</v>
      </c>
      <c r="E6057" s="195">
        <v>56.61</v>
      </c>
      <c r="F6057" s="709">
        <v>0.4535763888888889</v>
      </c>
      <c r="G6057" s="195" t="s">
        <v>453</v>
      </c>
      <c r="H6057" s="710">
        <v>1.1</v>
      </c>
      <c r="I6057" s="256"/>
      <c r="J6057" s="67">
        <f t="shared" si="374"/>
        <v>5659.9</v>
      </c>
      <c r="L6057" s="70"/>
      <c r="M6057" s="934"/>
      <c r="N6057" s="94"/>
      <c r="O6057" s="94"/>
      <c r="P6057" s="94"/>
      <c r="Q6057" s="94"/>
      <c r="R6057" s="94"/>
      <c r="S6057" s="94"/>
      <c r="T6057" s="94"/>
      <c r="U6057" s="94"/>
      <c r="V6057" s="94"/>
      <c r="W6057" s="94"/>
      <c r="X6057" s="94"/>
      <c r="Y6057" s="94"/>
      <c r="Z6057" s="94"/>
      <c r="AA6057" s="94"/>
      <c r="AB6057" s="94"/>
      <c r="AC6057" s="94"/>
      <c r="AD6057" s="94"/>
      <c r="AE6057" s="94"/>
      <c r="AF6057" s="94"/>
      <c r="AG6057" s="94"/>
      <c r="AH6057" s="94"/>
    </row>
    <row r="6058" ht="12.75" hidden="1" customHeight="1" outlineLevel="1">
      <c r="A6058" s="122">
        <v>42060.0</v>
      </c>
      <c r="B6058" s="1"/>
      <c r="C6058" s="1" t="s">
        <v>339</v>
      </c>
      <c r="D6058" s="74"/>
      <c r="E6058" s="67"/>
      <c r="F6058" s="75"/>
      <c r="G6058" s="67"/>
      <c r="H6058" s="68"/>
      <c r="I6058" s="76"/>
      <c r="K6058" s="968" t="s">
        <v>2840</v>
      </c>
      <c r="L6058" s="934"/>
      <c r="M6058" s="934"/>
    </row>
    <row r="6059" ht="12.75" hidden="1" customHeight="1" outlineLevel="1">
      <c r="A6059" s="122">
        <v>42060.0</v>
      </c>
      <c r="B6059" s="1"/>
      <c r="C6059" s="1" t="s">
        <v>429</v>
      </c>
      <c r="D6059" s="74"/>
      <c r="E6059" s="67"/>
      <c r="F6059" s="75"/>
      <c r="G6059" s="67"/>
      <c r="H6059" s="68"/>
      <c r="I6059" s="76"/>
      <c r="J6059" s="67"/>
      <c r="K6059" s="9" t="s">
        <v>2839</v>
      </c>
      <c r="L6059" s="934"/>
      <c r="M6059" s="934"/>
    </row>
    <row r="6060" ht="12.75" hidden="1" customHeight="1" outlineLevel="1">
      <c r="A6060" s="122">
        <v>42060.0</v>
      </c>
      <c r="B6060" s="1"/>
      <c r="C6060" s="1" t="s">
        <v>431</v>
      </c>
      <c r="D6060" s="74"/>
      <c r="E6060" s="67"/>
      <c r="F6060" s="75"/>
      <c r="G6060" s="67"/>
      <c r="H6060" s="68"/>
      <c r="I6060" s="76"/>
      <c r="J6060" s="67"/>
      <c r="K6060" s="7" t="s">
        <v>1126</v>
      </c>
      <c r="L6060" s="934"/>
      <c r="M6060" s="934"/>
    </row>
    <row r="6061" ht="12.75" hidden="1" customHeight="1" outlineLevel="1">
      <c r="A6061" s="122">
        <v>42060.0</v>
      </c>
      <c r="B6061" s="1"/>
      <c r="C6061" s="1" t="s">
        <v>433</v>
      </c>
      <c r="D6061" s="74"/>
      <c r="E6061" s="67"/>
      <c r="F6061" s="75"/>
      <c r="G6061" s="67"/>
      <c r="H6061" s="68"/>
      <c r="I6061" s="76"/>
      <c r="J6061" s="67"/>
      <c r="K6061" s="7" t="s">
        <v>1103</v>
      </c>
      <c r="L6061" s="934"/>
      <c r="M6061" s="934"/>
    </row>
    <row r="6062" ht="12.75" hidden="1" customHeight="1" outlineLevel="1">
      <c r="A6062" s="122">
        <v>42060.0</v>
      </c>
      <c r="B6062" s="1"/>
      <c r="C6062" s="1" t="s">
        <v>435</v>
      </c>
      <c r="D6062" s="74"/>
      <c r="E6062" s="67"/>
      <c r="F6062" s="75"/>
      <c r="G6062" s="67"/>
      <c r="H6062" s="68"/>
      <c r="I6062" s="76"/>
      <c r="J6062" s="67"/>
      <c r="K6062" s="9" t="s">
        <v>2802</v>
      </c>
      <c r="L6062" s="934"/>
      <c r="M6062" s="934"/>
    </row>
    <row r="6063" ht="12.75" hidden="1" customHeight="1" outlineLevel="1">
      <c r="A6063" s="122">
        <v>42061.0</v>
      </c>
      <c r="B6063" s="32" t="s">
        <v>343</v>
      </c>
      <c r="C6063" s="32" t="s">
        <v>2142</v>
      </c>
      <c r="D6063" s="708">
        <v>200.0</v>
      </c>
      <c r="E6063" s="195">
        <v>32.517</v>
      </c>
      <c r="F6063" s="709">
        <v>0.40524305555555556</v>
      </c>
      <c r="G6063" s="195" t="s">
        <v>453</v>
      </c>
      <c r="H6063" s="710">
        <v>1.0</v>
      </c>
      <c r="I6063" s="256"/>
      <c r="J6063" s="67">
        <f t="shared" ref="J6063:J6064" si="375">IF(B6063="SLD",D6063*E6063,-D6063*E6063)-H6063</f>
        <v>-6504.4</v>
      </c>
      <c r="L6063" s="70"/>
      <c r="M6063" s="934"/>
      <c r="N6063" s="94"/>
      <c r="O6063" s="94"/>
      <c r="P6063" s="94"/>
      <c r="Q6063" s="94"/>
      <c r="R6063" s="94"/>
      <c r="S6063" s="94"/>
      <c r="T6063" s="94"/>
      <c r="U6063" s="94"/>
      <c r="V6063" s="94"/>
      <c r="W6063" s="94"/>
      <c r="X6063" s="94"/>
      <c r="Y6063" s="94"/>
      <c r="Z6063" s="94"/>
      <c r="AA6063" s="94"/>
      <c r="AB6063" s="94"/>
      <c r="AC6063" s="94"/>
      <c r="AD6063" s="94"/>
      <c r="AE6063" s="94"/>
      <c r="AF6063" s="94"/>
      <c r="AG6063" s="94"/>
      <c r="AH6063" s="94"/>
    </row>
    <row r="6064" ht="12.75" hidden="1" customHeight="1" outlineLevel="1">
      <c r="A6064" s="122">
        <v>42061.0</v>
      </c>
      <c r="B6064" s="32" t="s">
        <v>343</v>
      </c>
      <c r="C6064" s="32" t="s">
        <v>1735</v>
      </c>
      <c r="D6064" s="708">
        <v>400.0</v>
      </c>
      <c r="E6064" s="195">
        <v>39.06</v>
      </c>
      <c r="F6064" s="709">
        <v>0.6246875</v>
      </c>
      <c r="G6064" s="195" t="s">
        <v>453</v>
      </c>
      <c r="H6064" s="710">
        <v>2.0</v>
      </c>
      <c r="I6064" s="256"/>
      <c r="J6064" s="67">
        <f t="shared" si="375"/>
        <v>-15626</v>
      </c>
      <c r="L6064" s="70"/>
      <c r="M6064" s="934"/>
      <c r="N6064" s="94"/>
      <c r="O6064" s="94"/>
      <c r="P6064" s="94"/>
      <c r="Q6064" s="94"/>
      <c r="R6064" s="94"/>
      <c r="S6064" s="94"/>
      <c r="T6064" s="94"/>
      <c r="U6064" s="94"/>
      <c r="V6064" s="94"/>
      <c r="W6064" s="94"/>
      <c r="X6064" s="94"/>
      <c r="Y6064" s="94"/>
      <c r="Z6064" s="94"/>
      <c r="AA6064" s="94"/>
      <c r="AB6064" s="94"/>
      <c r="AC6064" s="94"/>
      <c r="AD6064" s="94"/>
      <c r="AE6064" s="94"/>
      <c r="AF6064" s="94"/>
      <c r="AG6064" s="94"/>
      <c r="AH6064" s="94"/>
    </row>
    <row r="6065" ht="12.75" hidden="1" customHeight="1" outlineLevel="1">
      <c r="A6065" s="122">
        <v>42063.0</v>
      </c>
      <c r="B6065" s="1"/>
      <c r="C6065" s="1" t="s">
        <v>339</v>
      </c>
      <c r="D6065" s="74"/>
      <c r="E6065" s="67"/>
      <c r="F6065" s="75"/>
      <c r="G6065" s="67"/>
      <c r="H6065" s="68"/>
      <c r="I6065" s="76"/>
      <c r="K6065" s="968" t="s">
        <v>2841</v>
      </c>
      <c r="L6065" s="934"/>
      <c r="M6065" s="934"/>
    </row>
    <row r="6066" ht="12.75" hidden="1" customHeight="1" outlineLevel="1">
      <c r="A6066" s="122">
        <v>42063.0</v>
      </c>
      <c r="B6066" s="1"/>
      <c r="C6066" s="1" t="s">
        <v>429</v>
      </c>
      <c r="D6066" s="74"/>
      <c r="E6066" s="67"/>
      <c r="F6066" s="75"/>
      <c r="G6066" s="67"/>
      <c r="H6066" s="68"/>
      <c r="I6066" s="76"/>
      <c r="J6066" s="67"/>
      <c r="K6066" s="9" t="s">
        <v>2839</v>
      </c>
      <c r="L6066" s="934"/>
      <c r="M6066" s="934"/>
    </row>
    <row r="6067" ht="12.75" hidden="1" customHeight="1" outlineLevel="1">
      <c r="A6067" s="122">
        <v>42063.0</v>
      </c>
      <c r="B6067" s="1"/>
      <c r="C6067" s="1" t="s">
        <v>431</v>
      </c>
      <c r="D6067" s="74"/>
      <c r="E6067" s="67"/>
      <c r="F6067" s="75"/>
      <c r="G6067" s="67"/>
      <c r="H6067" s="68"/>
      <c r="I6067" s="76"/>
      <c r="J6067" s="67"/>
      <c r="K6067" s="7" t="s">
        <v>1126</v>
      </c>
      <c r="L6067" s="934"/>
      <c r="M6067" s="934"/>
    </row>
    <row r="6068" ht="12.75" hidden="1" customHeight="1" outlineLevel="1">
      <c r="A6068" s="122">
        <v>42063.0</v>
      </c>
      <c r="B6068" s="1"/>
      <c r="C6068" s="1" t="s">
        <v>433</v>
      </c>
      <c r="D6068" s="74"/>
      <c r="E6068" s="67"/>
      <c r="F6068" s="75"/>
      <c r="G6068" s="67"/>
      <c r="H6068" s="68"/>
      <c r="I6068" s="76"/>
      <c r="J6068" s="67"/>
      <c r="K6068" s="7" t="s">
        <v>1103</v>
      </c>
      <c r="L6068" s="934"/>
      <c r="M6068" s="934"/>
    </row>
    <row r="6069" ht="12.75" hidden="1" customHeight="1" outlineLevel="1">
      <c r="A6069" s="122">
        <v>42063.0</v>
      </c>
      <c r="B6069" s="1"/>
      <c r="C6069" s="1" t="s">
        <v>435</v>
      </c>
      <c r="D6069" s="74"/>
      <c r="E6069" s="67"/>
      <c r="F6069" s="75"/>
      <c r="G6069" s="67"/>
      <c r="H6069" s="68"/>
      <c r="I6069" s="76"/>
      <c r="J6069" s="67"/>
      <c r="K6069" s="9" t="s">
        <v>2802</v>
      </c>
      <c r="L6069" s="934"/>
      <c r="M6069" s="934"/>
    </row>
    <row r="6070" ht="12.75" hidden="1" customHeight="1" outlineLevel="1">
      <c r="A6070" s="122">
        <v>42065.0</v>
      </c>
      <c r="B6070" s="32" t="s">
        <v>343</v>
      </c>
      <c r="C6070" s="32" t="s">
        <v>1158</v>
      </c>
      <c r="D6070" s="708">
        <v>150.0</v>
      </c>
      <c r="E6070" s="195">
        <v>45.18</v>
      </c>
      <c r="F6070" s="709">
        <v>0.39707175925925925</v>
      </c>
      <c r="G6070" s="195" t="s">
        <v>453</v>
      </c>
      <c r="H6070" s="710">
        <v>1.0</v>
      </c>
      <c r="I6070" s="256"/>
      <c r="J6070" s="67">
        <f t="shared" ref="J6070:J6077" si="376">IF(B6070="SLD",D6070*E6070,-D6070*E6070)-H6070</f>
        <v>-6778</v>
      </c>
      <c r="L6070" s="70"/>
      <c r="M6070" s="934"/>
      <c r="N6070" s="94"/>
      <c r="O6070" s="94"/>
      <c r="P6070" s="94"/>
      <c r="Q6070" s="94"/>
      <c r="R6070" s="94"/>
      <c r="S6070" s="94"/>
      <c r="T6070" s="94"/>
      <c r="U6070" s="94"/>
      <c r="V6070" s="94"/>
      <c r="W6070" s="94"/>
      <c r="X6070" s="94"/>
      <c r="Y6070" s="94"/>
      <c r="Z6070" s="94"/>
      <c r="AA6070" s="94"/>
      <c r="AB6070" s="94"/>
      <c r="AC6070" s="94"/>
      <c r="AD6070" s="94"/>
      <c r="AE6070" s="94"/>
      <c r="AF6070" s="94"/>
      <c r="AG6070" s="94"/>
      <c r="AH6070" s="94"/>
    </row>
    <row r="6071" ht="12.75" hidden="1" customHeight="1" outlineLevel="1">
      <c r="A6071" s="122">
        <v>42065.0</v>
      </c>
      <c r="B6071" s="32" t="s">
        <v>343</v>
      </c>
      <c r="C6071" s="32" t="s">
        <v>1164</v>
      </c>
      <c r="D6071" s="708">
        <v>150.0</v>
      </c>
      <c r="E6071" s="195">
        <v>43.7</v>
      </c>
      <c r="F6071" s="709">
        <v>0.3972569444444444</v>
      </c>
      <c r="G6071" s="195" t="s">
        <v>453</v>
      </c>
      <c r="H6071" s="710">
        <v>1.0</v>
      </c>
      <c r="I6071" s="256"/>
      <c r="J6071" s="67">
        <f t="shared" si="376"/>
        <v>-6556</v>
      </c>
      <c r="L6071" s="70"/>
      <c r="M6071" s="934"/>
      <c r="N6071" s="94"/>
      <c r="O6071" s="94"/>
      <c r="P6071" s="94"/>
      <c r="Q6071" s="94"/>
      <c r="R6071" s="94"/>
      <c r="S6071" s="94"/>
      <c r="T6071" s="94"/>
      <c r="U6071" s="94"/>
      <c r="V6071" s="94"/>
      <c r="W6071" s="94"/>
      <c r="X6071" s="94"/>
      <c r="Y6071" s="94"/>
      <c r="Z6071" s="94"/>
      <c r="AA6071" s="94"/>
      <c r="AB6071" s="94"/>
      <c r="AC6071" s="94"/>
      <c r="AD6071" s="94"/>
      <c r="AE6071" s="94"/>
      <c r="AF6071" s="94"/>
      <c r="AG6071" s="94"/>
      <c r="AH6071" s="94"/>
    </row>
    <row r="6072" ht="12.75" hidden="1" customHeight="1" outlineLevel="1">
      <c r="A6072" s="122">
        <v>42065.0</v>
      </c>
      <c r="B6072" s="32" t="s">
        <v>347</v>
      </c>
      <c r="C6072" s="32" t="s">
        <v>784</v>
      </c>
      <c r="D6072" s="708">
        <v>1000.0</v>
      </c>
      <c r="E6072" s="195">
        <v>7.28</v>
      </c>
      <c r="F6072" s="709">
        <v>0.40748842592592593</v>
      </c>
      <c r="G6072" s="195" t="s">
        <v>453</v>
      </c>
      <c r="H6072" s="710">
        <v>4.93</v>
      </c>
      <c r="I6072" s="256"/>
      <c r="J6072" s="67">
        <f t="shared" si="376"/>
        <v>7275.07</v>
      </c>
      <c r="L6072" s="70"/>
      <c r="M6072" s="934"/>
      <c r="N6072" s="94"/>
      <c r="O6072" s="94"/>
      <c r="P6072" s="94"/>
      <c r="Q6072" s="94"/>
      <c r="R6072" s="94"/>
      <c r="S6072" s="94"/>
      <c r="T6072" s="94"/>
      <c r="U6072" s="94"/>
      <c r="V6072" s="94"/>
      <c r="W6072" s="94"/>
      <c r="X6072" s="94"/>
      <c r="Y6072" s="94"/>
      <c r="Z6072" s="94"/>
      <c r="AA6072" s="94"/>
      <c r="AB6072" s="94"/>
      <c r="AC6072" s="94"/>
      <c r="AD6072" s="94"/>
      <c r="AE6072" s="94"/>
      <c r="AF6072" s="94"/>
      <c r="AG6072" s="94"/>
      <c r="AH6072" s="94"/>
    </row>
    <row r="6073" ht="12.75" hidden="1" customHeight="1" outlineLevel="1">
      <c r="A6073" s="122">
        <v>42065.0</v>
      </c>
      <c r="B6073" s="32" t="s">
        <v>347</v>
      </c>
      <c r="C6073" s="32" t="s">
        <v>790</v>
      </c>
      <c r="D6073" s="708">
        <v>1000.0</v>
      </c>
      <c r="E6073" s="195">
        <v>6.461</v>
      </c>
      <c r="F6073" s="709">
        <v>0.4077662037037037</v>
      </c>
      <c r="G6073" s="195" t="s">
        <v>453</v>
      </c>
      <c r="H6073" s="710">
        <v>4.12</v>
      </c>
      <c r="I6073" s="256"/>
      <c r="J6073" s="67">
        <f t="shared" si="376"/>
        <v>6456.88</v>
      </c>
      <c r="L6073" s="70"/>
      <c r="M6073" s="934"/>
      <c r="N6073" s="94"/>
      <c r="O6073" s="94"/>
      <c r="P6073" s="94"/>
      <c r="Q6073" s="94"/>
      <c r="R6073" s="94"/>
      <c r="S6073" s="94"/>
      <c r="T6073" s="94"/>
      <c r="U6073" s="94"/>
      <c r="V6073" s="94"/>
      <c r="W6073" s="94"/>
      <c r="X6073" s="94"/>
      <c r="Y6073" s="94"/>
      <c r="Z6073" s="94"/>
      <c r="AA6073" s="94"/>
      <c r="AB6073" s="94"/>
      <c r="AC6073" s="94"/>
      <c r="AD6073" s="94"/>
      <c r="AE6073" s="94"/>
      <c r="AF6073" s="94"/>
      <c r="AG6073" s="94"/>
      <c r="AH6073" s="94"/>
    </row>
    <row r="6074" ht="12.75" hidden="1" customHeight="1" outlineLevel="1">
      <c r="A6074" s="122">
        <v>42065.0</v>
      </c>
      <c r="B6074" s="32" t="s">
        <v>347</v>
      </c>
      <c r="C6074" s="32" t="s">
        <v>2048</v>
      </c>
      <c r="D6074" s="708">
        <v>300.0</v>
      </c>
      <c r="E6074" s="195">
        <v>11.041</v>
      </c>
      <c r="F6074" s="709">
        <v>0.40800925925925924</v>
      </c>
      <c r="G6074" s="195" t="s">
        <v>453</v>
      </c>
      <c r="H6074" s="710">
        <v>1.26</v>
      </c>
      <c r="I6074" s="256"/>
      <c r="J6074" s="67">
        <f t="shared" si="376"/>
        <v>3311.04</v>
      </c>
      <c r="L6074" s="70"/>
      <c r="M6074" s="934"/>
      <c r="N6074" s="94"/>
      <c r="O6074" s="94"/>
      <c r="P6074" s="94"/>
      <c r="Q6074" s="94"/>
      <c r="R6074" s="94"/>
      <c r="S6074" s="94"/>
      <c r="T6074" s="94"/>
      <c r="U6074" s="94"/>
      <c r="V6074" s="94"/>
      <c r="W6074" s="94"/>
      <c r="X6074" s="94"/>
      <c r="Y6074" s="94"/>
      <c r="Z6074" s="94"/>
      <c r="AA6074" s="94"/>
      <c r="AB6074" s="94"/>
      <c r="AC6074" s="94"/>
      <c r="AD6074" s="94"/>
      <c r="AE6074" s="94"/>
      <c r="AF6074" s="94"/>
      <c r="AG6074" s="94"/>
      <c r="AH6074" s="94"/>
    </row>
    <row r="6075" ht="12.75" hidden="1" customHeight="1" outlineLevel="1">
      <c r="A6075" s="122">
        <v>42065.0</v>
      </c>
      <c r="B6075" s="32" t="s">
        <v>347</v>
      </c>
      <c r="C6075" s="32" t="s">
        <v>2192</v>
      </c>
      <c r="D6075" s="708">
        <v>250.0</v>
      </c>
      <c r="E6075" s="195">
        <v>12.482</v>
      </c>
      <c r="F6075" s="709">
        <v>0.4081712962962963</v>
      </c>
      <c r="G6075" s="195" t="s">
        <v>453</v>
      </c>
      <c r="H6075" s="710">
        <v>1.31</v>
      </c>
      <c r="I6075" s="256"/>
      <c r="J6075" s="67">
        <f t="shared" si="376"/>
        <v>3119.19</v>
      </c>
      <c r="L6075" s="70"/>
      <c r="M6075" s="934"/>
      <c r="N6075" s="94"/>
      <c r="O6075" s="94"/>
      <c r="P6075" s="94"/>
      <c r="Q6075" s="94"/>
      <c r="R6075" s="94"/>
      <c r="S6075" s="94"/>
      <c r="T6075" s="94"/>
      <c r="U6075" s="94"/>
      <c r="V6075" s="94"/>
      <c r="W6075" s="94"/>
      <c r="X6075" s="94"/>
      <c r="Y6075" s="94"/>
      <c r="Z6075" s="94"/>
      <c r="AA6075" s="94"/>
      <c r="AB6075" s="94"/>
      <c r="AC6075" s="94"/>
      <c r="AD6075" s="94"/>
      <c r="AE6075" s="94"/>
      <c r="AF6075" s="94"/>
      <c r="AG6075" s="94"/>
      <c r="AH6075" s="94"/>
    </row>
    <row r="6076" ht="12.75" hidden="1" customHeight="1" outlineLevel="1">
      <c r="A6076" s="122">
        <v>42065.0</v>
      </c>
      <c r="B6076" s="32" t="s">
        <v>347</v>
      </c>
      <c r="C6076" s="32" t="s">
        <v>1844</v>
      </c>
      <c r="D6076" s="708">
        <v>100.0</v>
      </c>
      <c r="E6076" s="195">
        <v>42.9724</v>
      </c>
      <c r="F6076" s="709">
        <v>0.4083912037037037</v>
      </c>
      <c r="G6076" s="195" t="s">
        <v>453</v>
      </c>
      <c r="H6076" s="710">
        <v>1.08</v>
      </c>
      <c r="I6076" s="256"/>
      <c r="J6076" s="67">
        <f t="shared" si="376"/>
        <v>4296.16</v>
      </c>
      <c r="L6076" s="70"/>
      <c r="M6076" s="934"/>
      <c r="N6076" s="94"/>
      <c r="O6076" s="94"/>
      <c r="P6076" s="94"/>
      <c r="Q6076" s="94"/>
      <c r="R6076" s="94"/>
      <c r="S6076" s="94"/>
      <c r="T6076" s="94"/>
      <c r="U6076" s="94"/>
      <c r="V6076" s="94"/>
      <c r="W6076" s="94"/>
      <c r="X6076" s="94"/>
      <c r="Y6076" s="94"/>
      <c r="Z6076" s="94"/>
      <c r="AA6076" s="94"/>
      <c r="AB6076" s="94"/>
      <c r="AC6076" s="94"/>
      <c r="AD6076" s="94"/>
      <c r="AE6076" s="94"/>
      <c r="AF6076" s="94"/>
      <c r="AG6076" s="94"/>
      <c r="AH6076" s="94"/>
    </row>
    <row r="6077" ht="12.75" hidden="1" customHeight="1" outlineLevel="1">
      <c r="A6077" s="122">
        <v>42065.0</v>
      </c>
      <c r="B6077" s="32" t="s">
        <v>347</v>
      </c>
      <c r="C6077" s="32" t="s">
        <v>369</v>
      </c>
      <c r="D6077" s="708">
        <v>1000.0</v>
      </c>
      <c r="E6077" s="195">
        <v>6.79</v>
      </c>
      <c r="F6077" s="709">
        <v>0.42128472222222224</v>
      </c>
      <c r="G6077" s="195" t="s">
        <v>453</v>
      </c>
      <c r="H6077" s="710">
        <v>4.12</v>
      </c>
      <c r="I6077" s="256"/>
      <c r="J6077" s="67">
        <f t="shared" si="376"/>
        <v>6785.88</v>
      </c>
      <c r="L6077" s="70"/>
      <c r="M6077" s="934"/>
      <c r="N6077" s="94"/>
      <c r="O6077" s="94"/>
      <c r="P6077" s="94"/>
      <c r="Q6077" s="94"/>
      <c r="R6077" s="94"/>
      <c r="S6077" s="94"/>
      <c r="T6077" s="94"/>
      <c r="U6077" s="94"/>
      <c r="V6077" s="94"/>
      <c r="W6077" s="94"/>
      <c r="X6077" s="94"/>
      <c r="Y6077" s="94"/>
      <c r="Z6077" s="94"/>
      <c r="AA6077" s="94"/>
      <c r="AB6077" s="94"/>
      <c r="AC6077" s="94"/>
      <c r="AD6077" s="94"/>
      <c r="AE6077" s="94"/>
      <c r="AF6077" s="94"/>
      <c r="AG6077" s="94"/>
      <c r="AH6077" s="94"/>
    </row>
    <row r="6078" ht="12.75" hidden="1" customHeight="1" outlineLevel="1">
      <c r="A6078" s="122">
        <v>42065.0</v>
      </c>
      <c r="B6078" s="1"/>
      <c r="C6078" s="1" t="s">
        <v>339</v>
      </c>
      <c r="D6078" s="74"/>
      <c r="E6078" s="67"/>
      <c r="F6078" s="75"/>
      <c r="G6078" s="67"/>
      <c r="H6078" s="68"/>
      <c r="I6078" s="76"/>
      <c r="K6078" s="968" t="s">
        <v>2842</v>
      </c>
      <c r="L6078" s="934"/>
      <c r="M6078" s="934"/>
    </row>
    <row r="6079" ht="12.75" hidden="1" customHeight="1" outlineLevel="1">
      <c r="A6079" s="122">
        <v>42065.0</v>
      </c>
      <c r="B6079" s="1"/>
      <c r="C6079" s="1" t="s">
        <v>429</v>
      </c>
      <c r="D6079" s="74"/>
      <c r="E6079" s="67"/>
      <c r="F6079" s="75"/>
      <c r="G6079" s="67"/>
      <c r="H6079" s="68"/>
      <c r="I6079" s="76"/>
      <c r="J6079" s="67"/>
      <c r="K6079" s="9" t="s">
        <v>2839</v>
      </c>
      <c r="L6079" s="934"/>
      <c r="M6079" s="934"/>
    </row>
    <row r="6080" ht="12.75" hidden="1" customHeight="1" outlineLevel="1">
      <c r="A6080" s="122">
        <v>42065.0</v>
      </c>
      <c r="B6080" s="1"/>
      <c r="C6080" s="1" t="s">
        <v>431</v>
      </c>
      <c r="D6080" s="74"/>
      <c r="E6080" s="67"/>
      <c r="F6080" s="75"/>
      <c r="G6080" s="67"/>
      <c r="H6080" s="68"/>
      <c r="I6080" s="76"/>
      <c r="J6080" s="67"/>
      <c r="K6080" s="7" t="s">
        <v>1126</v>
      </c>
      <c r="L6080" s="934"/>
      <c r="M6080" s="934"/>
    </row>
    <row r="6081" ht="12.75" hidden="1" customHeight="1" outlineLevel="1">
      <c r="A6081" s="122">
        <v>42065.0</v>
      </c>
      <c r="B6081" s="1"/>
      <c r="C6081" s="1" t="s">
        <v>433</v>
      </c>
      <c r="D6081" s="74"/>
      <c r="E6081" s="67"/>
      <c r="F6081" s="75"/>
      <c r="G6081" s="67"/>
      <c r="H6081" s="68"/>
      <c r="I6081" s="76"/>
      <c r="J6081" s="67"/>
      <c r="K6081" s="7" t="s">
        <v>1103</v>
      </c>
      <c r="L6081" s="934"/>
      <c r="M6081" s="934"/>
    </row>
    <row r="6082" ht="12.75" hidden="1" customHeight="1" outlineLevel="1">
      <c r="A6082" s="122">
        <v>42065.0</v>
      </c>
      <c r="B6082" s="1"/>
      <c r="C6082" s="1" t="s">
        <v>435</v>
      </c>
      <c r="D6082" s="74"/>
      <c r="E6082" s="67"/>
      <c r="F6082" s="75"/>
      <c r="G6082" s="67"/>
      <c r="H6082" s="68"/>
      <c r="I6082" s="76"/>
      <c r="J6082" s="67"/>
      <c r="K6082" s="9" t="s">
        <v>2802</v>
      </c>
      <c r="L6082" s="934"/>
      <c r="M6082" s="934"/>
    </row>
    <row r="6083" ht="12.75" hidden="1" customHeight="1" outlineLevel="1">
      <c r="A6083" s="122">
        <v>42066.0</v>
      </c>
      <c r="B6083" s="32" t="s">
        <v>343</v>
      </c>
      <c r="C6083" s="32" t="s">
        <v>1221</v>
      </c>
      <c r="D6083" s="708">
        <v>150.0</v>
      </c>
      <c r="E6083" s="195">
        <v>44.76</v>
      </c>
      <c r="F6083" s="709">
        <v>0.3994328703703704</v>
      </c>
      <c r="G6083" s="195" t="s">
        <v>453</v>
      </c>
      <c r="H6083" s="710">
        <v>1.0</v>
      </c>
      <c r="I6083" s="256"/>
      <c r="J6083" s="67">
        <f t="shared" ref="J6083:J6098" si="377">IF(B6083="SLD",D6083*E6083,-D6083*E6083)-H6083</f>
        <v>-6715</v>
      </c>
      <c r="L6083" s="70"/>
      <c r="M6083" s="934"/>
      <c r="N6083" s="94"/>
      <c r="O6083" s="94"/>
      <c r="P6083" s="94"/>
      <c r="Q6083" s="94"/>
      <c r="R6083" s="94"/>
      <c r="S6083" s="94"/>
      <c r="T6083" s="94"/>
      <c r="U6083" s="94"/>
      <c r="V6083" s="94"/>
      <c r="W6083" s="94"/>
      <c r="X6083" s="94"/>
      <c r="Y6083" s="94"/>
      <c r="Z6083" s="94"/>
      <c r="AA6083" s="94"/>
      <c r="AB6083" s="94"/>
      <c r="AC6083" s="94"/>
      <c r="AD6083" s="94"/>
      <c r="AE6083" s="94"/>
      <c r="AF6083" s="94"/>
      <c r="AG6083" s="94"/>
      <c r="AH6083" s="94"/>
    </row>
    <row r="6084" ht="12.75" hidden="1" customHeight="1" outlineLevel="1">
      <c r="A6084" s="122">
        <v>42067.0</v>
      </c>
      <c r="B6084" s="32" t="s">
        <v>347</v>
      </c>
      <c r="C6084" s="32" t="s">
        <v>784</v>
      </c>
      <c r="D6084" s="708">
        <v>2000.0</v>
      </c>
      <c r="E6084" s="195">
        <v>6.811</v>
      </c>
      <c r="F6084" s="709">
        <v>0.420775462962963</v>
      </c>
      <c r="G6084" s="195" t="s">
        <v>453</v>
      </c>
      <c r="H6084" s="710">
        <v>8.25</v>
      </c>
      <c r="I6084" s="256"/>
      <c r="J6084" s="67">
        <f t="shared" si="377"/>
        <v>13613.75</v>
      </c>
      <c r="L6084" s="70"/>
      <c r="M6084" s="934"/>
      <c r="N6084" s="94"/>
      <c r="O6084" s="94"/>
      <c r="P6084" s="94"/>
      <c r="Q6084" s="94"/>
      <c r="R6084" s="94"/>
      <c r="S6084" s="94"/>
      <c r="T6084" s="94"/>
      <c r="U6084" s="94"/>
      <c r="V6084" s="94"/>
      <c r="W6084" s="94"/>
      <c r="X6084" s="94"/>
      <c r="Y6084" s="94"/>
      <c r="Z6084" s="94"/>
      <c r="AA6084" s="94"/>
      <c r="AB6084" s="94"/>
      <c r="AC6084" s="94"/>
      <c r="AD6084" s="94"/>
      <c r="AE6084" s="94"/>
      <c r="AF6084" s="94"/>
      <c r="AG6084" s="94"/>
      <c r="AH6084" s="94"/>
    </row>
    <row r="6085" ht="12.75" hidden="1" customHeight="1" outlineLevel="1">
      <c r="A6085" s="122">
        <v>42067.0</v>
      </c>
      <c r="B6085" s="32" t="s">
        <v>347</v>
      </c>
      <c r="C6085" s="32" t="s">
        <v>790</v>
      </c>
      <c r="D6085" s="708">
        <v>2000.0</v>
      </c>
      <c r="E6085" s="195">
        <v>6.182</v>
      </c>
      <c r="F6085" s="709">
        <v>0.42096064814814815</v>
      </c>
      <c r="G6085" s="195" t="s">
        <v>453</v>
      </c>
      <c r="H6085" s="710">
        <v>8.23</v>
      </c>
      <c r="I6085" s="256"/>
      <c r="J6085" s="67">
        <f t="shared" si="377"/>
        <v>12355.77</v>
      </c>
      <c r="L6085" s="70"/>
      <c r="M6085" s="934"/>
      <c r="N6085" s="94"/>
      <c r="O6085" s="94"/>
      <c r="P6085" s="94"/>
      <c r="Q6085" s="94"/>
      <c r="R6085" s="94"/>
      <c r="S6085" s="94"/>
      <c r="T6085" s="94"/>
      <c r="U6085" s="94"/>
      <c r="V6085" s="94"/>
      <c r="W6085" s="94"/>
      <c r="X6085" s="94"/>
      <c r="Y6085" s="94"/>
      <c r="Z6085" s="94"/>
      <c r="AA6085" s="94"/>
      <c r="AB6085" s="94"/>
      <c r="AC6085" s="94"/>
      <c r="AD6085" s="94"/>
      <c r="AE6085" s="94"/>
      <c r="AF6085" s="94"/>
      <c r="AG6085" s="94"/>
      <c r="AH6085" s="94"/>
    </row>
    <row r="6086" ht="12.75" hidden="1" customHeight="1" outlineLevel="1">
      <c r="A6086" s="122">
        <v>42067.0</v>
      </c>
      <c r="B6086" s="32" t="s">
        <v>347</v>
      </c>
      <c r="C6086" s="32" t="s">
        <v>369</v>
      </c>
      <c r="D6086" s="708">
        <v>2000.0</v>
      </c>
      <c r="E6086" s="195">
        <v>6.516</v>
      </c>
      <c r="F6086" s="709">
        <v>0.4211226851851852</v>
      </c>
      <c r="G6086" s="195" t="s">
        <v>453</v>
      </c>
      <c r="H6086" s="710">
        <v>10.24</v>
      </c>
      <c r="I6086" s="256"/>
      <c r="J6086" s="67">
        <f t="shared" si="377"/>
        <v>13021.76</v>
      </c>
      <c r="L6086" s="70"/>
      <c r="M6086" s="934"/>
      <c r="N6086" s="94"/>
      <c r="O6086" s="94"/>
      <c r="P6086" s="94"/>
      <c r="Q6086" s="94"/>
      <c r="R6086" s="94"/>
      <c r="S6086" s="94"/>
      <c r="T6086" s="94"/>
      <c r="U6086" s="94"/>
      <c r="V6086" s="94"/>
      <c r="W6086" s="94"/>
      <c r="X6086" s="94"/>
      <c r="Y6086" s="94"/>
      <c r="Z6086" s="94"/>
      <c r="AA6086" s="94"/>
      <c r="AB6086" s="94"/>
      <c r="AC6086" s="94"/>
      <c r="AD6086" s="94"/>
      <c r="AE6086" s="94"/>
      <c r="AF6086" s="94"/>
      <c r="AG6086" s="94"/>
      <c r="AH6086" s="94"/>
    </row>
    <row r="6087" ht="12.75" hidden="1" customHeight="1" outlineLevel="1">
      <c r="A6087" s="122">
        <v>42067.0</v>
      </c>
      <c r="B6087" s="32" t="s">
        <v>347</v>
      </c>
      <c r="C6087" s="32" t="s">
        <v>2048</v>
      </c>
      <c r="D6087" s="708">
        <v>700.0</v>
      </c>
      <c r="E6087" s="195">
        <v>10.82</v>
      </c>
      <c r="F6087" s="709">
        <v>0.42224537037037035</v>
      </c>
      <c r="G6087" s="195" t="s">
        <v>453</v>
      </c>
      <c r="H6087" s="710">
        <v>3.64</v>
      </c>
      <c r="I6087" s="256"/>
      <c r="J6087" s="67">
        <f t="shared" si="377"/>
        <v>7570.36</v>
      </c>
      <c r="L6087" s="70"/>
      <c r="M6087" s="934"/>
      <c r="N6087" s="94"/>
      <c r="O6087" s="94"/>
      <c r="P6087" s="94"/>
      <c r="Q6087" s="94"/>
      <c r="R6087" s="94"/>
      <c r="S6087" s="94"/>
      <c r="T6087" s="94"/>
      <c r="U6087" s="94"/>
      <c r="V6087" s="94"/>
      <c r="W6087" s="94"/>
      <c r="X6087" s="94"/>
      <c r="Y6087" s="94"/>
      <c r="Z6087" s="94"/>
      <c r="AA6087" s="94"/>
      <c r="AB6087" s="94"/>
      <c r="AC6087" s="94"/>
      <c r="AD6087" s="94"/>
      <c r="AE6087" s="94"/>
      <c r="AF6087" s="94"/>
      <c r="AG6087" s="94"/>
      <c r="AH6087" s="94"/>
    </row>
    <row r="6088" ht="12.75" hidden="1" customHeight="1" outlineLevel="1">
      <c r="A6088" s="122">
        <v>42067.0</v>
      </c>
      <c r="B6088" s="32" t="s">
        <v>347</v>
      </c>
      <c r="C6088" s="32" t="s">
        <v>1844</v>
      </c>
      <c r="D6088" s="708">
        <v>75.0</v>
      </c>
      <c r="E6088" s="195">
        <v>43.18</v>
      </c>
      <c r="F6088" s="709">
        <v>0.42648148148148146</v>
      </c>
      <c r="G6088" s="195" t="s">
        <v>453</v>
      </c>
      <c r="H6088" s="710">
        <v>1.06</v>
      </c>
      <c r="I6088" s="256"/>
      <c r="J6088" s="67">
        <f t="shared" si="377"/>
        <v>3237.44</v>
      </c>
      <c r="L6088" s="70"/>
      <c r="M6088" s="934"/>
      <c r="N6088" s="94"/>
      <c r="O6088" s="94"/>
      <c r="P6088" s="94"/>
      <c r="Q6088" s="94"/>
      <c r="R6088" s="94"/>
      <c r="S6088" s="94"/>
      <c r="T6088" s="94"/>
      <c r="U6088" s="94"/>
      <c r="V6088" s="94"/>
      <c r="W6088" s="94"/>
      <c r="X6088" s="94"/>
      <c r="Y6088" s="94"/>
      <c r="Z6088" s="94"/>
      <c r="AA6088" s="94"/>
      <c r="AB6088" s="94"/>
      <c r="AC6088" s="94"/>
      <c r="AD6088" s="94"/>
      <c r="AE6088" s="94"/>
      <c r="AF6088" s="94"/>
      <c r="AG6088" s="94"/>
      <c r="AH6088" s="94"/>
    </row>
    <row r="6089" ht="12.75" hidden="1" customHeight="1" outlineLevel="1">
      <c r="A6089" s="122">
        <v>42067.0</v>
      </c>
      <c r="B6089" s="32" t="s">
        <v>347</v>
      </c>
      <c r="C6089" s="32" t="s">
        <v>2048</v>
      </c>
      <c r="D6089" s="708">
        <v>1000.0</v>
      </c>
      <c r="E6089" s="195">
        <v>10.611</v>
      </c>
      <c r="F6089" s="709">
        <v>0.443125</v>
      </c>
      <c r="G6089" s="195" t="s">
        <v>453</v>
      </c>
      <c r="H6089" s="710">
        <v>4.2</v>
      </c>
      <c r="I6089" s="256"/>
      <c r="J6089" s="67">
        <f t="shared" si="377"/>
        <v>10606.8</v>
      </c>
      <c r="L6089" s="70"/>
      <c r="M6089" s="934"/>
      <c r="N6089" s="94"/>
      <c r="O6089" s="94"/>
      <c r="P6089" s="94"/>
      <c r="Q6089" s="94"/>
      <c r="R6089" s="94"/>
      <c r="S6089" s="94"/>
      <c r="T6089" s="94"/>
      <c r="U6089" s="94"/>
      <c r="V6089" s="94"/>
      <c r="W6089" s="94"/>
      <c r="X6089" s="94"/>
      <c r="Y6089" s="94"/>
      <c r="Z6089" s="94"/>
      <c r="AA6089" s="94"/>
      <c r="AB6089" s="94"/>
      <c r="AC6089" s="94"/>
      <c r="AD6089" s="94"/>
      <c r="AE6089" s="94"/>
      <c r="AF6089" s="94"/>
      <c r="AG6089" s="94"/>
      <c r="AH6089" s="94"/>
    </row>
    <row r="6090" ht="12.75" hidden="1" customHeight="1" outlineLevel="1">
      <c r="A6090" s="122">
        <v>42067.0</v>
      </c>
      <c r="B6090" s="32" t="s">
        <v>347</v>
      </c>
      <c r="C6090" s="32" t="s">
        <v>1844</v>
      </c>
      <c r="D6090" s="708">
        <v>150.0</v>
      </c>
      <c r="E6090" s="195">
        <v>42.695</v>
      </c>
      <c r="F6090" s="709">
        <v>0.44333333333333336</v>
      </c>
      <c r="G6090" s="195" t="s">
        <v>453</v>
      </c>
      <c r="H6090" s="710">
        <v>1.12</v>
      </c>
      <c r="I6090" s="256"/>
      <c r="J6090" s="67">
        <f t="shared" si="377"/>
        <v>6403.13</v>
      </c>
      <c r="L6090" s="70"/>
      <c r="M6090" s="934"/>
      <c r="N6090" s="94"/>
      <c r="O6090" s="94"/>
      <c r="P6090" s="94"/>
      <c r="Q6090" s="94"/>
      <c r="R6090" s="94"/>
      <c r="S6090" s="94"/>
      <c r="T6090" s="94"/>
      <c r="U6090" s="94"/>
      <c r="V6090" s="94"/>
      <c r="W6090" s="94"/>
      <c r="X6090" s="94"/>
      <c r="Y6090" s="94"/>
      <c r="Z6090" s="94"/>
      <c r="AA6090" s="94"/>
      <c r="AB6090" s="94"/>
      <c r="AC6090" s="94"/>
      <c r="AD6090" s="94"/>
      <c r="AE6090" s="94"/>
      <c r="AF6090" s="94"/>
      <c r="AG6090" s="94"/>
      <c r="AH6090" s="94"/>
    </row>
    <row r="6091" ht="12.75" hidden="1" customHeight="1" outlineLevel="1">
      <c r="A6091" s="122">
        <v>42067.0</v>
      </c>
      <c r="B6091" s="32" t="s">
        <v>347</v>
      </c>
      <c r="C6091" s="32" t="s">
        <v>2192</v>
      </c>
      <c r="D6091" s="708">
        <v>500.0</v>
      </c>
      <c r="E6091" s="195">
        <v>12.591</v>
      </c>
      <c r="F6091" s="709">
        <v>0.443912037037037</v>
      </c>
      <c r="G6091" s="195" t="s">
        <v>453</v>
      </c>
      <c r="H6091" s="710">
        <v>2.12</v>
      </c>
      <c r="I6091" s="256"/>
      <c r="J6091" s="67">
        <f t="shared" si="377"/>
        <v>6293.38</v>
      </c>
      <c r="L6091" s="70"/>
      <c r="M6091" s="934"/>
      <c r="N6091" s="94"/>
      <c r="O6091" s="94"/>
      <c r="P6091" s="94"/>
      <c r="Q6091" s="94"/>
      <c r="R6091" s="94"/>
      <c r="S6091" s="94"/>
      <c r="T6091" s="94"/>
      <c r="U6091" s="94"/>
      <c r="V6091" s="94"/>
      <c r="W6091" s="94"/>
      <c r="X6091" s="94"/>
      <c r="Y6091" s="94"/>
      <c r="Z6091" s="94"/>
      <c r="AA6091" s="94"/>
      <c r="AB6091" s="94"/>
      <c r="AC6091" s="94"/>
      <c r="AD6091" s="94"/>
      <c r="AE6091" s="94"/>
      <c r="AF6091" s="94"/>
      <c r="AG6091" s="94"/>
      <c r="AH6091" s="94"/>
    </row>
    <row r="6092" ht="12.75" hidden="1" customHeight="1" outlineLevel="1">
      <c r="A6092" s="122">
        <v>42067.0</v>
      </c>
      <c r="B6092" s="32" t="s">
        <v>343</v>
      </c>
      <c r="C6092" s="32" t="s">
        <v>2192</v>
      </c>
      <c r="D6092" s="708">
        <v>1000.0</v>
      </c>
      <c r="E6092" s="195">
        <v>12.849</v>
      </c>
      <c r="F6092" s="709">
        <v>0.6253587962962963</v>
      </c>
      <c r="G6092" s="195" t="s">
        <v>453</v>
      </c>
      <c r="H6092" s="710">
        <v>4.0</v>
      </c>
      <c r="I6092" s="256"/>
      <c r="J6092" s="67">
        <f t="shared" si="377"/>
        <v>-12853</v>
      </c>
      <c r="L6092" s="70"/>
      <c r="M6092" s="934"/>
      <c r="N6092" s="94"/>
      <c r="O6092" s="94"/>
      <c r="P6092" s="94"/>
      <c r="Q6092" s="94"/>
      <c r="R6092" s="94"/>
      <c r="S6092" s="94"/>
      <c r="T6092" s="94"/>
      <c r="U6092" s="94"/>
      <c r="V6092" s="94"/>
      <c r="W6092" s="94"/>
      <c r="X6092" s="94"/>
      <c r="Y6092" s="94"/>
      <c r="Z6092" s="94"/>
      <c r="AA6092" s="94"/>
      <c r="AB6092" s="94"/>
      <c r="AC6092" s="94"/>
      <c r="AD6092" s="94"/>
      <c r="AE6092" s="94"/>
      <c r="AF6092" s="94"/>
      <c r="AG6092" s="94"/>
      <c r="AH6092" s="94"/>
    </row>
    <row r="6093" ht="12.75" hidden="1" customHeight="1" outlineLevel="1">
      <c r="A6093" s="122">
        <v>42067.0</v>
      </c>
      <c r="B6093" s="32" t="s">
        <v>343</v>
      </c>
      <c r="C6093" s="32" t="s">
        <v>1844</v>
      </c>
      <c r="D6093" s="708">
        <v>450.0</v>
      </c>
      <c r="E6093" s="195">
        <v>43.83</v>
      </c>
      <c r="F6093" s="709">
        <v>0.6255555555555555</v>
      </c>
      <c r="G6093" s="195" t="s">
        <v>453</v>
      </c>
      <c r="H6093" s="710">
        <v>1.85</v>
      </c>
      <c r="I6093" s="256"/>
      <c r="J6093" s="67">
        <f t="shared" si="377"/>
        <v>-19725.35</v>
      </c>
      <c r="L6093" s="70"/>
      <c r="M6093" s="934"/>
      <c r="N6093" s="94"/>
      <c r="O6093" s="94"/>
      <c r="P6093" s="94"/>
      <c r="Q6093" s="94"/>
      <c r="R6093" s="94"/>
      <c r="S6093" s="94"/>
      <c r="T6093" s="94"/>
      <c r="U6093" s="94"/>
      <c r="V6093" s="94"/>
      <c r="W6093" s="94"/>
      <c r="X6093" s="94"/>
      <c r="Y6093" s="94"/>
      <c r="Z6093" s="94"/>
      <c r="AA6093" s="94"/>
      <c r="AB6093" s="94"/>
      <c r="AC6093" s="94"/>
      <c r="AD6093" s="94"/>
      <c r="AE6093" s="94"/>
      <c r="AF6093" s="94"/>
      <c r="AG6093" s="94"/>
      <c r="AH6093" s="94"/>
    </row>
    <row r="6094" ht="12.75" hidden="1" customHeight="1" outlineLevel="1">
      <c r="A6094" s="122">
        <v>42067.0</v>
      </c>
      <c r="B6094" s="32" t="s">
        <v>343</v>
      </c>
      <c r="C6094" s="32" t="s">
        <v>2048</v>
      </c>
      <c r="D6094" s="708">
        <v>1500.0</v>
      </c>
      <c r="E6094" s="195">
        <v>10.769</v>
      </c>
      <c r="F6094" s="709">
        <v>0.634525462962963</v>
      </c>
      <c r="G6094" s="195" t="s">
        <v>453</v>
      </c>
      <c r="H6094" s="710">
        <v>6.0</v>
      </c>
      <c r="I6094" s="256"/>
      <c r="J6094" s="67">
        <f t="shared" si="377"/>
        <v>-16159.5</v>
      </c>
      <c r="L6094" s="70"/>
      <c r="M6094" s="934"/>
      <c r="N6094" s="94"/>
      <c r="O6094" s="94"/>
      <c r="P6094" s="94"/>
      <c r="Q6094" s="94"/>
      <c r="R6094" s="94"/>
      <c r="S6094" s="94"/>
      <c r="T6094" s="94"/>
      <c r="U6094" s="94"/>
      <c r="V6094" s="94"/>
      <c r="W6094" s="94"/>
      <c r="X6094" s="94"/>
      <c r="Y6094" s="94"/>
      <c r="Z6094" s="94"/>
      <c r="AA6094" s="94"/>
      <c r="AB6094" s="94"/>
      <c r="AC6094" s="94"/>
      <c r="AD6094" s="94"/>
      <c r="AE6094" s="94"/>
      <c r="AF6094" s="94"/>
      <c r="AG6094" s="94"/>
      <c r="AH6094" s="94"/>
    </row>
    <row r="6095" ht="12.75" hidden="1" customHeight="1" outlineLevel="1">
      <c r="A6095" s="122">
        <v>42067.0</v>
      </c>
      <c r="B6095" s="32" t="s">
        <v>343</v>
      </c>
      <c r="C6095" s="32" t="s">
        <v>369</v>
      </c>
      <c r="D6095" s="708">
        <v>5000.0</v>
      </c>
      <c r="E6095" s="195">
        <v>6.75</v>
      </c>
      <c r="F6095" s="709">
        <v>0.6480555555555556</v>
      </c>
      <c r="G6095" s="195" t="s">
        <v>453</v>
      </c>
      <c r="H6095" s="710">
        <v>24.55</v>
      </c>
      <c r="I6095" s="256"/>
      <c r="J6095" s="67">
        <f t="shared" si="377"/>
        <v>-33774.55</v>
      </c>
      <c r="L6095" s="70"/>
      <c r="M6095" s="934"/>
      <c r="N6095" s="94"/>
      <c r="O6095" s="94"/>
      <c r="P6095" s="94"/>
      <c r="Q6095" s="94"/>
      <c r="R6095" s="94"/>
      <c r="S6095" s="94"/>
      <c r="T6095" s="94"/>
      <c r="U6095" s="94"/>
      <c r="V6095" s="94"/>
      <c r="W6095" s="94"/>
      <c r="X6095" s="94"/>
      <c r="Y6095" s="94"/>
      <c r="Z6095" s="94"/>
      <c r="AA6095" s="94"/>
      <c r="AB6095" s="94"/>
      <c r="AC6095" s="94"/>
      <c r="AD6095" s="94"/>
      <c r="AE6095" s="94"/>
      <c r="AF6095" s="94"/>
      <c r="AG6095" s="94"/>
      <c r="AH6095" s="94"/>
    </row>
    <row r="6096" ht="12.75" hidden="1" customHeight="1" outlineLevel="1">
      <c r="A6096" s="122">
        <v>42067.0</v>
      </c>
      <c r="B6096" s="32" t="s">
        <v>343</v>
      </c>
      <c r="C6096" s="32" t="s">
        <v>784</v>
      </c>
      <c r="D6096" s="708">
        <v>6000.0</v>
      </c>
      <c r="E6096" s="195">
        <v>6.899</v>
      </c>
      <c r="F6096" s="709">
        <v>0.6493865740740741</v>
      </c>
      <c r="G6096" s="195" t="s">
        <v>453</v>
      </c>
      <c r="H6096" s="710">
        <v>24.0</v>
      </c>
      <c r="I6096" s="256"/>
      <c r="J6096" s="67">
        <f t="shared" si="377"/>
        <v>-41418</v>
      </c>
      <c r="L6096" s="70"/>
      <c r="M6096" s="934"/>
      <c r="N6096" s="94"/>
      <c r="O6096" s="94"/>
      <c r="P6096" s="94"/>
      <c r="Q6096" s="94"/>
      <c r="R6096" s="94"/>
      <c r="S6096" s="94"/>
      <c r="T6096" s="94"/>
      <c r="U6096" s="94"/>
      <c r="V6096" s="94"/>
      <c r="W6096" s="94"/>
      <c r="X6096" s="94"/>
      <c r="Y6096" s="94"/>
      <c r="Z6096" s="94"/>
      <c r="AA6096" s="94"/>
      <c r="AB6096" s="94"/>
      <c r="AC6096" s="94"/>
      <c r="AD6096" s="94"/>
      <c r="AE6096" s="94"/>
      <c r="AF6096" s="94"/>
      <c r="AG6096" s="94"/>
      <c r="AH6096" s="94"/>
    </row>
    <row r="6097" ht="12.75" hidden="1" customHeight="1" outlineLevel="1">
      <c r="A6097" s="122">
        <v>42067.0</v>
      </c>
      <c r="B6097" s="32" t="s">
        <v>343</v>
      </c>
      <c r="C6097" s="32" t="s">
        <v>790</v>
      </c>
      <c r="D6097" s="708">
        <v>4000.0</v>
      </c>
      <c r="E6097" s="195">
        <v>6.17</v>
      </c>
      <c r="F6097" s="709">
        <v>0.6496527777777777</v>
      </c>
      <c r="G6097" s="195" t="s">
        <v>453</v>
      </c>
      <c r="H6097" s="710">
        <v>18.82</v>
      </c>
      <c r="I6097" s="256"/>
      <c r="J6097" s="67">
        <f t="shared" si="377"/>
        <v>-24698.82</v>
      </c>
      <c r="L6097" s="70"/>
      <c r="M6097" s="934"/>
      <c r="N6097" s="94"/>
      <c r="O6097" s="94"/>
      <c r="P6097" s="94"/>
      <c r="Q6097" s="94"/>
      <c r="R6097" s="94"/>
      <c r="S6097" s="94"/>
      <c r="T6097" s="94"/>
      <c r="U6097" s="94"/>
      <c r="V6097" s="94"/>
      <c r="W6097" s="94"/>
      <c r="X6097" s="94"/>
      <c r="Y6097" s="94"/>
      <c r="Z6097" s="94"/>
      <c r="AA6097" s="94"/>
      <c r="AB6097" s="94"/>
      <c r="AC6097" s="94"/>
      <c r="AD6097" s="94"/>
      <c r="AE6097" s="94"/>
      <c r="AF6097" s="94"/>
      <c r="AG6097" s="94"/>
      <c r="AH6097" s="94"/>
    </row>
    <row r="6098" ht="12.75" hidden="1" customHeight="1" outlineLevel="1">
      <c r="A6098" s="122">
        <v>42067.0</v>
      </c>
      <c r="B6098" s="32" t="s">
        <v>347</v>
      </c>
      <c r="C6098" s="32" t="s">
        <v>1158</v>
      </c>
      <c r="D6098" s="708">
        <v>150.0</v>
      </c>
      <c r="E6098" s="195">
        <v>45.15</v>
      </c>
      <c r="F6098" s="709">
        <v>0.6658912037037037</v>
      </c>
      <c r="G6098" s="195" t="s">
        <v>453</v>
      </c>
      <c r="H6098" s="710">
        <v>1.12</v>
      </c>
      <c r="I6098" s="256"/>
      <c r="J6098" s="67">
        <f t="shared" si="377"/>
        <v>6771.38</v>
      </c>
      <c r="L6098" s="70"/>
      <c r="M6098" s="934"/>
      <c r="N6098" s="94"/>
      <c r="O6098" s="94"/>
      <c r="P6098" s="94"/>
      <c r="Q6098" s="94"/>
      <c r="R6098" s="94"/>
      <c r="S6098" s="94"/>
      <c r="T6098" s="94"/>
      <c r="U6098" s="94"/>
      <c r="V6098" s="94"/>
      <c r="W6098" s="94"/>
      <c r="X6098" s="94"/>
      <c r="Y6098" s="94"/>
      <c r="Z6098" s="94"/>
      <c r="AA6098" s="94"/>
      <c r="AB6098" s="94"/>
      <c r="AC6098" s="94"/>
      <c r="AD6098" s="94"/>
      <c r="AE6098" s="94"/>
      <c r="AF6098" s="94"/>
      <c r="AG6098" s="94"/>
      <c r="AH6098" s="94"/>
    </row>
    <row r="6099" ht="12.75" hidden="1" customHeight="1" outlineLevel="1">
      <c r="A6099" s="122">
        <v>42067.0</v>
      </c>
      <c r="B6099" s="1"/>
      <c r="C6099" s="1" t="s">
        <v>339</v>
      </c>
      <c r="D6099" s="74"/>
      <c r="E6099" s="67"/>
      <c r="F6099" s="75"/>
      <c r="G6099" s="67"/>
      <c r="H6099" s="68"/>
      <c r="I6099" s="76"/>
      <c r="K6099" s="968" t="s">
        <v>2845</v>
      </c>
      <c r="L6099" s="934"/>
      <c r="M6099" s="934"/>
    </row>
    <row r="6100" ht="12.75" hidden="1" customHeight="1" outlineLevel="1">
      <c r="A6100" s="122">
        <v>42067.0</v>
      </c>
      <c r="B6100" s="1"/>
      <c r="C6100" s="1" t="s">
        <v>429</v>
      </c>
      <c r="D6100" s="74"/>
      <c r="E6100" s="67"/>
      <c r="F6100" s="75"/>
      <c r="G6100" s="67"/>
      <c r="H6100" s="68"/>
      <c r="I6100" s="76"/>
      <c r="J6100" s="67"/>
      <c r="K6100" s="9" t="s">
        <v>2839</v>
      </c>
      <c r="L6100" s="934"/>
      <c r="M6100" s="934"/>
    </row>
    <row r="6101" ht="12.75" hidden="1" customHeight="1" outlineLevel="1">
      <c r="A6101" s="122">
        <v>42067.0</v>
      </c>
      <c r="B6101" s="1"/>
      <c r="C6101" s="1" t="s">
        <v>431</v>
      </c>
      <c r="D6101" s="74"/>
      <c r="E6101" s="67"/>
      <c r="F6101" s="75"/>
      <c r="G6101" s="67"/>
      <c r="H6101" s="68"/>
      <c r="I6101" s="76"/>
      <c r="J6101" s="67"/>
      <c r="K6101" s="7" t="s">
        <v>1126</v>
      </c>
      <c r="L6101" s="934"/>
      <c r="M6101" s="934"/>
    </row>
    <row r="6102" ht="12.75" hidden="1" customHeight="1" outlineLevel="1">
      <c r="A6102" s="122">
        <v>42067.0</v>
      </c>
      <c r="B6102" s="1"/>
      <c r="C6102" s="1" t="s">
        <v>433</v>
      </c>
      <c r="D6102" s="74"/>
      <c r="E6102" s="67"/>
      <c r="F6102" s="75"/>
      <c r="G6102" s="67"/>
      <c r="H6102" s="68"/>
      <c r="I6102" s="76"/>
      <c r="J6102" s="67"/>
      <c r="K6102" s="7" t="s">
        <v>1103</v>
      </c>
      <c r="L6102" s="934"/>
      <c r="M6102" s="934"/>
    </row>
    <row r="6103" ht="12.75" hidden="1" customHeight="1" outlineLevel="1">
      <c r="A6103" s="122">
        <v>42067.0</v>
      </c>
      <c r="B6103" s="1"/>
      <c r="C6103" s="1" t="s">
        <v>435</v>
      </c>
      <c r="D6103" s="74"/>
      <c r="E6103" s="67"/>
      <c r="F6103" s="75"/>
      <c r="G6103" s="67"/>
      <c r="H6103" s="68"/>
      <c r="I6103" s="76"/>
      <c r="J6103" s="67"/>
      <c r="K6103" s="9" t="s">
        <v>2802</v>
      </c>
      <c r="L6103" s="934"/>
      <c r="M6103" s="934"/>
    </row>
    <row r="6104" ht="12.75" hidden="1" customHeight="1" outlineLevel="1">
      <c r="A6104" s="122">
        <v>42068.0</v>
      </c>
      <c r="B6104" s="32" t="s">
        <v>347</v>
      </c>
      <c r="C6104" s="32" t="s">
        <v>784</v>
      </c>
      <c r="D6104" s="708">
        <v>6000.0</v>
      </c>
      <c r="E6104" s="195">
        <v>6.751</v>
      </c>
      <c r="F6104" s="709">
        <v>0.39791666666666664</v>
      </c>
      <c r="G6104" s="195" t="s">
        <v>453</v>
      </c>
      <c r="H6104" s="710">
        <v>27.55</v>
      </c>
      <c r="I6104" s="256"/>
      <c r="J6104" s="67">
        <f t="shared" ref="J6104:J6112" si="378">IF(B6104="SLD",D6104*E6104,-D6104*E6104)-H6104</f>
        <v>40478.45</v>
      </c>
      <c r="L6104" s="70"/>
      <c r="M6104" s="934"/>
      <c r="N6104" s="94"/>
      <c r="O6104" s="94"/>
      <c r="P6104" s="94"/>
      <c r="Q6104" s="94"/>
      <c r="R6104" s="94"/>
      <c r="S6104" s="94"/>
      <c r="T6104" s="94"/>
      <c r="U6104" s="94"/>
      <c r="V6104" s="94"/>
      <c r="W6104" s="94"/>
      <c r="X6104" s="94"/>
      <c r="Y6104" s="94"/>
      <c r="Z6104" s="94"/>
      <c r="AA6104" s="94"/>
      <c r="AB6104" s="94"/>
      <c r="AC6104" s="94"/>
      <c r="AD6104" s="94"/>
      <c r="AE6104" s="94"/>
      <c r="AF6104" s="94"/>
      <c r="AG6104" s="94"/>
      <c r="AH6104" s="94"/>
    </row>
    <row r="6105" ht="12.75" hidden="1" customHeight="1" outlineLevel="1">
      <c r="A6105" s="122">
        <v>42068.0</v>
      </c>
      <c r="B6105" s="32" t="s">
        <v>347</v>
      </c>
      <c r="C6105" s="32" t="s">
        <v>790</v>
      </c>
      <c r="D6105" s="708">
        <v>3500.0</v>
      </c>
      <c r="E6105" s="195">
        <v>6.071</v>
      </c>
      <c r="F6105" s="709">
        <v>0.39804398148148146</v>
      </c>
      <c r="G6105" s="195" t="s">
        <v>453</v>
      </c>
      <c r="H6105" s="710">
        <v>14.79</v>
      </c>
      <c r="I6105" s="256"/>
      <c r="J6105" s="67">
        <f t="shared" si="378"/>
        <v>21233.71</v>
      </c>
      <c r="L6105" s="70"/>
      <c r="M6105" s="934"/>
      <c r="N6105" s="94"/>
      <c r="O6105" s="94"/>
      <c r="P6105" s="94"/>
      <c r="Q6105" s="94"/>
      <c r="R6105" s="94"/>
      <c r="S6105" s="94"/>
      <c r="T6105" s="94"/>
      <c r="U6105" s="94"/>
      <c r="V6105" s="94"/>
      <c r="W6105" s="94"/>
      <c r="X6105" s="94"/>
      <c r="Y6105" s="94"/>
      <c r="Z6105" s="94"/>
      <c r="AA6105" s="94"/>
      <c r="AB6105" s="94"/>
      <c r="AC6105" s="94"/>
      <c r="AD6105" s="94"/>
      <c r="AE6105" s="94"/>
      <c r="AF6105" s="94"/>
      <c r="AG6105" s="94"/>
      <c r="AH6105" s="94"/>
    </row>
    <row r="6106" ht="12.75" hidden="1" customHeight="1" outlineLevel="1">
      <c r="A6106" s="122">
        <v>42068.0</v>
      </c>
      <c r="B6106" s="32" t="s">
        <v>347</v>
      </c>
      <c r="C6106" s="32" t="s">
        <v>369</v>
      </c>
      <c r="D6106" s="708">
        <v>5000.0</v>
      </c>
      <c r="E6106" s="195">
        <v>6.466</v>
      </c>
      <c r="F6106" s="709">
        <v>0.3982986111111111</v>
      </c>
      <c r="G6106" s="195" t="s">
        <v>453</v>
      </c>
      <c r="H6106" s="710">
        <v>23.59</v>
      </c>
      <c r="I6106" s="256"/>
      <c r="J6106" s="67">
        <f t="shared" si="378"/>
        <v>32306.41</v>
      </c>
      <c r="L6106" s="70"/>
      <c r="M6106" s="934"/>
      <c r="N6106" s="94"/>
      <c r="O6106" s="94"/>
      <c r="P6106" s="94"/>
      <c r="Q6106" s="94"/>
      <c r="R6106" s="94"/>
      <c r="S6106" s="94"/>
      <c r="T6106" s="94"/>
      <c r="U6106" s="94"/>
      <c r="V6106" s="94"/>
      <c r="W6106" s="94"/>
      <c r="X6106" s="94"/>
      <c r="Y6106" s="94"/>
      <c r="Z6106" s="94"/>
      <c r="AA6106" s="94"/>
      <c r="AB6106" s="94"/>
      <c r="AC6106" s="94"/>
      <c r="AD6106" s="94"/>
      <c r="AE6106" s="94"/>
      <c r="AF6106" s="94"/>
      <c r="AG6106" s="94"/>
      <c r="AH6106" s="94"/>
    </row>
    <row r="6107" ht="12.75" hidden="1" customHeight="1" outlineLevel="1">
      <c r="A6107" s="122">
        <v>42068.0</v>
      </c>
      <c r="B6107" s="32" t="s">
        <v>347</v>
      </c>
      <c r="C6107" s="32" t="s">
        <v>2192</v>
      </c>
      <c r="D6107" s="708">
        <v>1250.0</v>
      </c>
      <c r="E6107" s="195">
        <v>12.7</v>
      </c>
      <c r="F6107" s="709">
        <v>0.399525462962963</v>
      </c>
      <c r="G6107" s="195" t="s">
        <v>453</v>
      </c>
      <c r="H6107" s="710">
        <v>5.34</v>
      </c>
      <c r="I6107" s="256"/>
      <c r="J6107" s="67">
        <f t="shared" si="378"/>
        <v>15869.66</v>
      </c>
      <c r="L6107" s="70"/>
      <c r="M6107" s="934"/>
      <c r="N6107" s="94"/>
      <c r="O6107" s="94"/>
      <c r="P6107" s="94"/>
      <c r="Q6107" s="94"/>
      <c r="R6107" s="94"/>
      <c r="S6107" s="94"/>
      <c r="T6107" s="94"/>
      <c r="U6107" s="94"/>
      <c r="V6107" s="94"/>
      <c r="W6107" s="94"/>
      <c r="X6107" s="94"/>
      <c r="Y6107" s="94"/>
      <c r="Z6107" s="94"/>
      <c r="AA6107" s="94"/>
      <c r="AB6107" s="94"/>
      <c r="AC6107" s="94"/>
      <c r="AD6107" s="94"/>
      <c r="AE6107" s="94"/>
      <c r="AF6107" s="94"/>
      <c r="AG6107" s="94"/>
      <c r="AH6107" s="94"/>
    </row>
    <row r="6108" ht="12.75" hidden="1" customHeight="1" outlineLevel="1">
      <c r="A6108" s="122">
        <v>42068.0</v>
      </c>
      <c r="B6108" s="32" t="s">
        <v>347</v>
      </c>
      <c r="C6108" s="32" t="s">
        <v>2048</v>
      </c>
      <c r="D6108" s="708">
        <v>1500.0</v>
      </c>
      <c r="E6108" s="195">
        <v>10.746</v>
      </c>
      <c r="F6108" s="709">
        <v>0.3999189814814815</v>
      </c>
      <c r="G6108" s="195" t="s">
        <v>453</v>
      </c>
      <c r="H6108" s="710">
        <v>7.2</v>
      </c>
      <c r="I6108" s="256"/>
      <c r="J6108" s="67">
        <f t="shared" si="378"/>
        <v>16111.8</v>
      </c>
      <c r="L6108" s="70"/>
      <c r="M6108" s="934"/>
      <c r="N6108" s="94"/>
      <c r="O6108" s="94"/>
      <c r="P6108" s="94"/>
      <c r="Q6108" s="94"/>
      <c r="R6108" s="94"/>
      <c r="S6108" s="94"/>
      <c r="T6108" s="94"/>
      <c r="U6108" s="94"/>
      <c r="V6108" s="94"/>
      <c r="W6108" s="94"/>
      <c r="X6108" s="94"/>
      <c r="Y6108" s="94"/>
      <c r="Z6108" s="94"/>
      <c r="AA6108" s="94"/>
      <c r="AB6108" s="94"/>
      <c r="AC6108" s="94"/>
      <c r="AD6108" s="94"/>
      <c r="AE6108" s="94"/>
      <c r="AF6108" s="94"/>
      <c r="AG6108" s="94"/>
      <c r="AH6108" s="94"/>
    </row>
    <row r="6109" ht="12.75" hidden="1" customHeight="1" outlineLevel="1">
      <c r="A6109" s="122">
        <v>42068.0</v>
      </c>
      <c r="B6109" s="32" t="s">
        <v>347</v>
      </c>
      <c r="C6109" s="32" t="s">
        <v>1844</v>
      </c>
      <c r="D6109" s="708">
        <v>300.0</v>
      </c>
      <c r="E6109" s="195">
        <v>43.35</v>
      </c>
      <c r="F6109" s="709">
        <v>0.40133101851851855</v>
      </c>
      <c r="G6109" s="195" t="s">
        <v>453</v>
      </c>
      <c r="H6109" s="710">
        <v>1.44</v>
      </c>
      <c r="I6109" s="256"/>
      <c r="J6109" s="67">
        <f t="shared" si="378"/>
        <v>13003.56</v>
      </c>
      <c r="L6109" s="70"/>
      <c r="M6109" s="934"/>
      <c r="N6109" s="94"/>
      <c r="O6109" s="94"/>
      <c r="P6109" s="94"/>
      <c r="Q6109" s="94"/>
      <c r="R6109" s="94"/>
      <c r="S6109" s="94"/>
      <c r="T6109" s="94"/>
      <c r="U6109" s="94"/>
      <c r="V6109" s="94"/>
      <c r="W6109" s="94"/>
      <c r="X6109" s="94"/>
      <c r="Y6109" s="94"/>
      <c r="Z6109" s="94"/>
      <c r="AA6109" s="94"/>
      <c r="AB6109" s="94"/>
      <c r="AC6109" s="94"/>
      <c r="AD6109" s="94"/>
      <c r="AE6109" s="94"/>
      <c r="AF6109" s="94"/>
      <c r="AG6109" s="94"/>
      <c r="AH6109" s="94"/>
    </row>
    <row r="6110" ht="12.75" hidden="1" customHeight="1" outlineLevel="1">
      <c r="A6110" s="122">
        <v>42068.0</v>
      </c>
      <c r="B6110" s="32" t="s">
        <v>347</v>
      </c>
      <c r="C6110" s="32" t="s">
        <v>784</v>
      </c>
      <c r="D6110" s="708">
        <v>2000.0</v>
      </c>
      <c r="E6110" s="195">
        <v>6.6701</v>
      </c>
      <c r="F6110" s="709">
        <v>0.4022222222222222</v>
      </c>
      <c r="G6110" s="195" t="s">
        <v>453</v>
      </c>
      <c r="H6110" s="710">
        <v>8.25</v>
      </c>
      <c r="I6110" s="256"/>
      <c r="J6110" s="67">
        <f t="shared" si="378"/>
        <v>13331.95</v>
      </c>
      <c r="L6110" s="70"/>
      <c r="M6110" s="934"/>
      <c r="N6110" s="94"/>
      <c r="O6110" s="94"/>
      <c r="P6110" s="94"/>
      <c r="Q6110" s="94"/>
      <c r="R6110" s="94"/>
      <c r="S6110" s="94"/>
      <c r="T6110" s="94"/>
      <c r="U6110" s="94"/>
      <c r="V6110" s="94"/>
      <c r="W6110" s="94"/>
      <c r="X6110" s="94"/>
      <c r="Y6110" s="94"/>
      <c r="Z6110" s="94"/>
      <c r="AA6110" s="94"/>
      <c r="AB6110" s="94"/>
      <c r="AC6110" s="94"/>
      <c r="AD6110" s="94"/>
      <c r="AE6110" s="94"/>
      <c r="AF6110" s="94"/>
      <c r="AG6110" s="94"/>
      <c r="AH6110" s="94"/>
    </row>
    <row r="6111" ht="12.75" hidden="1" customHeight="1" outlineLevel="1">
      <c r="A6111" s="122">
        <v>42068.0</v>
      </c>
      <c r="B6111" s="32" t="s">
        <v>347</v>
      </c>
      <c r="C6111" s="32" t="s">
        <v>790</v>
      </c>
      <c r="D6111" s="708">
        <v>2000.0</v>
      </c>
      <c r="E6111" s="195">
        <v>6.071</v>
      </c>
      <c r="F6111" s="709">
        <v>0.402349537037037</v>
      </c>
      <c r="G6111" s="195" t="s">
        <v>453</v>
      </c>
      <c r="H6111" s="710">
        <v>8.22</v>
      </c>
      <c r="I6111" s="256"/>
      <c r="J6111" s="67">
        <f t="shared" si="378"/>
        <v>12133.78</v>
      </c>
      <c r="L6111" s="70"/>
      <c r="M6111" s="934"/>
      <c r="N6111" s="94"/>
      <c r="O6111" s="94"/>
      <c r="P6111" s="94"/>
      <c r="Q6111" s="94"/>
      <c r="R6111" s="94"/>
      <c r="S6111" s="94"/>
      <c r="T6111" s="94"/>
      <c r="U6111" s="94"/>
      <c r="V6111" s="94"/>
      <c r="W6111" s="94"/>
      <c r="X6111" s="94"/>
      <c r="Y6111" s="94"/>
      <c r="Z6111" s="94"/>
      <c r="AA6111" s="94"/>
      <c r="AB6111" s="94"/>
      <c r="AC6111" s="94"/>
      <c r="AD6111" s="94"/>
      <c r="AE6111" s="94"/>
      <c r="AF6111" s="94"/>
      <c r="AG6111" s="94"/>
      <c r="AH6111" s="94"/>
    </row>
    <row r="6112" ht="12.75" hidden="1" customHeight="1" outlineLevel="1">
      <c r="A6112" s="122">
        <v>42068.0</v>
      </c>
      <c r="B6112" s="32" t="s">
        <v>343</v>
      </c>
      <c r="C6112" s="32" t="s">
        <v>1221</v>
      </c>
      <c r="D6112" s="708">
        <v>150.0</v>
      </c>
      <c r="E6112" s="195">
        <v>42.37</v>
      </c>
      <c r="F6112" s="709">
        <v>0.5840740740740741</v>
      </c>
      <c r="G6112" s="195" t="s">
        <v>453</v>
      </c>
      <c r="H6112" s="710">
        <v>1.0</v>
      </c>
      <c r="I6112" s="256"/>
      <c r="J6112" s="67">
        <f t="shared" si="378"/>
        <v>-6356.5</v>
      </c>
      <c r="L6112" s="70"/>
      <c r="M6112" s="934"/>
      <c r="N6112" s="94"/>
      <c r="O6112" s="94"/>
      <c r="P6112" s="94"/>
      <c r="Q6112" s="94"/>
      <c r="R6112" s="94"/>
      <c r="S6112" s="94"/>
      <c r="T6112" s="94"/>
      <c r="U6112" s="94"/>
      <c r="V6112" s="94"/>
      <c r="W6112" s="94"/>
      <c r="X6112" s="94"/>
      <c r="Y6112" s="94"/>
      <c r="Z6112" s="94"/>
      <c r="AA6112" s="94"/>
      <c r="AB6112" s="94"/>
      <c r="AC6112" s="94"/>
      <c r="AD6112" s="94"/>
      <c r="AE6112" s="94"/>
      <c r="AF6112" s="94"/>
      <c r="AG6112" s="94"/>
      <c r="AH6112" s="94"/>
    </row>
    <row r="6113" ht="12.75" hidden="1" customHeight="1" outlineLevel="1">
      <c r="A6113" s="122">
        <v>42067.0</v>
      </c>
      <c r="B6113" s="1"/>
      <c r="C6113" s="1" t="s">
        <v>339</v>
      </c>
      <c r="D6113" s="74"/>
      <c r="E6113" s="67"/>
      <c r="F6113" s="75"/>
      <c r="G6113" s="67"/>
      <c r="H6113" s="68"/>
      <c r="I6113" s="76"/>
      <c r="K6113" s="968" t="s">
        <v>2848</v>
      </c>
      <c r="L6113" s="934"/>
      <c r="M6113" s="934"/>
    </row>
    <row r="6114" ht="12.75" hidden="1" customHeight="1" outlineLevel="1">
      <c r="A6114" s="122">
        <v>42067.0</v>
      </c>
      <c r="B6114" s="1"/>
      <c r="C6114" s="1" t="s">
        <v>429</v>
      </c>
      <c r="D6114" s="74"/>
      <c r="E6114" s="67"/>
      <c r="F6114" s="75"/>
      <c r="G6114" s="67"/>
      <c r="H6114" s="68"/>
      <c r="I6114" s="76"/>
      <c r="J6114" s="67"/>
      <c r="K6114" s="9" t="s">
        <v>2839</v>
      </c>
      <c r="L6114" s="934"/>
      <c r="M6114" s="934"/>
    </row>
    <row r="6115" ht="12.75" hidden="1" customHeight="1" outlineLevel="1">
      <c r="A6115" s="122">
        <v>42067.0</v>
      </c>
      <c r="B6115" s="1"/>
      <c r="C6115" s="1" t="s">
        <v>431</v>
      </c>
      <c r="D6115" s="74"/>
      <c r="E6115" s="67"/>
      <c r="F6115" s="75"/>
      <c r="G6115" s="67"/>
      <c r="H6115" s="68"/>
      <c r="I6115" s="76"/>
      <c r="J6115" s="67"/>
      <c r="K6115" s="7" t="s">
        <v>1126</v>
      </c>
      <c r="L6115" s="934"/>
      <c r="M6115" s="934"/>
    </row>
    <row r="6116" ht="12.75" hidden="1" customHeight="1" outlineLevel="1">
      <c r="A6116" s="122">
        <v>42067.0</v>
      </c>
      <c r="B6116" s="1"/>
      <c r="C6116" s="1" t="s">
        <v>433</v>
      </c>
      <c r="D6116" s="74"/>
      <c r="E6116" s="67"/>
      <c r="F6116" s="75"/>
      <c r="G6116" s="67"/>
      <c r="H6116" s="68"/>
      <c r="I6116" s="76"/>
      <c r="J6116" s="67"/>
      <c r="K6116" s="7" t="s">
        <v>1103</v>
      </c>
      <c r="L6116" s="934"/>
      <c r="M6116" s="934"/>
    </row>
    <row r="6117" ht="12.75" hidden="1" customHeight="1" outlineLevel="1">
      <c r="A6117" s="122">
        <v>42067.0</v>
      </c>
      <c r="B6117" s="1"/>
      <c r="C6117" s="1" t="s">
        <v>435</v>
      </c>
      <c r="D6117" s="74"/>
      <c r="E6117" s="67"/>
      <c r="F6117" s="75"/>
      <c r="G6117" s="67"/>
      <c r="H6117" s="68"/>
      <c r="I6117" s="76"/>
      <c r="J6117" s="67"/>
      <c r="K6117" s="9" t="s">
        <v>2802</v>
      </c>
      <c r="L6117" s="934"/>
      <c r="M6117" s="934"/>
    </row>
    <row r="6118" ht="12.75" hidden="1" customHeight="1" outlineLevel="1">
      <c r="A6118" s="122">
        <v>42069.0</v>
      </c>
      <c r="B6118" s="32" t="s">
        <v>343</v>
      </c>
      <c r="C6118" s="32" t="s">
        <v>1158</v>
      </c>
      <c r="D6118" s="708">
        <v>150.0</v>
      </c>
      <c r="E6118" s="195">
        <v>44.589</v>
      </c>
      <c r="F6118" s="709">
        <v>0.4094675925925926</v>
      </c>
      <c r="G6118" s="195" t="s">
        <v>453</v>
      </c>
      <c r="H6118" s="710">
        <v>1.0</v>
      </c>
      <c r="I6118" s="256"/>
      <c r="J6118" s="67">
        <f t="shared" ref="J6118:J6122" si="379">IF(B6118="SLD",D6118*E6118,-D6118*E6118)-H6118</f>
        <v>-6689.35</v>
      </c>
      <c r="L6118" s="70"/>
      <c r="M6118" s="934"/>
      <c r="N6118" s="94"/>
      <c r="O6118" s="94"/>
      <c r="P6118" s="94"/>
      <c r="Q6118" s="94"/>
      <c r="R6118" s="94"/>
      <c r="S6118" s="94"/>
      <c r="T6118" s="94"/>
      <c r="U6118" s="94"/>
      <c r="V6118" s="94"/>
      <c r="W6118" s="94"/>
      <c r="X6118" s="94"/>
      <c r="Y6118" s="94"/>
      <c r="Z6118" s="94"/>
      <c r="AA6118" s="94"/>
      <c r="AB6118" s="94"/>
      <c r="AC6118" s="94"/>
      <c r="AD6118" s="94"/>
      <c r="AE6118" s="94"/>
      <c r="AF6118" s="94"/>
      <c r="AG6118" s="94"/>
      <c r="AH6118" s="94"/>
    </row>
    <row r="6119" ht="12.75" hidden="1" customHeight="1" outlineLevel="1">
      <c r="A6119" s="122">
        <v>42069.0</v>
      </c>
      <c r="B6119" s="32" t="s">
        <v>347</v>
      </c>
      <c r="C6119" s="32" t="s">
        <v>790</v>
      </c>
      <c r="D6119" s="708">
        <v>2000.0</v>
      </c>
      <c r="E6119" s="195">
        <v>6.0101</v>
      </c>
      <c r="F6119" s="709">
        <v>0.4396759259259259</v>
      </c>
      <c r="G6119" s="195" t="s">
        <v>453</v>
      </c>
      <c r="H6119" s="710">
        <v>8.22</v>
      </c>
      <c r="I6119" s="256"/>
      <c r="J6119" s="67">
        <f t="shared" si="379"/>
        <v>12011.98</v>
      </c>
      <c r="L6119" s="70"/>
      <c r="M6119" s="934"/>
      <c r="N6119" s="94"/>
      <c r="O6119" s="94"/>
      <c r="P6119" s="94"/>
      <c r="Q6119" s="94"/>
      <c r="R6119" s="94"/>
      <c r="S6119" s="94"/>
      <c r="T6119" s="94"/>
      <c r="U6119" s="94"/>
      <c r="V6119" s="94"/>
      <c r="W6119" s="94"/>
      <c r="X6119" s="94"/>
      <c r="Y6119" s="94"/>
      <c r="Z6119" s="94"/>
      <c r="AA6119" s="94"/>
      <c r="AB6119" s="94"/>
      <c r="AC6119" s="94"/>
      <c r="AD6119" s="94"/>
      <c r="AE6119" s="94"/>
      <c r="AF6119" s="94"/>
      <c r="AG6119" s="94"/>
      <c r="AH6119" s="94"/>
    </row>
    <row r="6120" ht="12.75" hidden="1" customHeight="1" outlineLevel="1">
      <c r="A6120" s="122">
        <v>42069.0</v>
      </c>
      <c r="B6120" s="32" t="s">
        <v>347</v>
      </c>
      <c r="C6120" s="32" t="s">
        <v>369</v>
      </c>
      <c r="D6120" s="708">
        <v>1500.0</v>
      </c>
      <c r="E6120" s="195">
        <v>6.4101</v>
      </c>
      <c r="F6120" s="709">
        <v>0.4398958333333333</v>
      </c>
      <c r="G6120" s="195" t="s">
        <v>453</v>
      </c>
      <c r="H6120" s="710">
        <v>6.18</v>
      </c>
      <c r="I6120" s="256"/>
      <c r="J6120" s="67">
        <f t="shared" si="379"/>
        <v>9608.97</v>
      </c>
      <c r="L6120" s="70"/>
      <c r="M6120" s="934"/>
      <c r="N6120" s="94"/>
      <c r="O6120" s="94"/>
      <c r="P6120" s="94"/>
      <c r="Q6120" s="94"/>
      <c r="R6120" s="94"/>
      <c r="S6120" s="94"/>
      <c r="T6120" s="94"/>
      <c r="U6120" s="94"/>
      <c r="V6120" s="94"/>
      <c r="W6120" s="94"/>
      <c r="X6120" s="94"/>
      <c r="Y6120" s="94"/>
      <c r="Z6120" s="94"/>
      <c r="AA6120" s="94"/>
      <c r="AB6120" s="94"/>
      <c r="AC6120" s="94"/>
      <c r="AD6120" s="94"/>
      <c r="AE6120" s="94"/>
      <c r="AF6120" s="94"/>
      <c r="AG6120" s="94"/>
      <c r="AH6120" s="94"/>
    </row>
    <row r="6121" ht="12.75" hidden="1" customHeight="1" outlineLevel="1">
      <c r="A6121" s="122">
        <v>42069.0</v>
      </c>
      <c r="B6121" s="32" t="s">
        <v>347</v>
      </c>
      <c r="C6121" s="32" t="s">
        <v>790</v>
      </c>
      <c r="D6121" s="708">
        <v>2000.0</v>
      </c>
      <c r="E6121" s="195">
        <v>5.971</v>
      </c>
      <c r="F6121" s="709">
        <v>0.5882523148148148</v>
      </c>
      <c r="G6121" s="195" t="s">
        <v>453</v>
      </c>
      <c r="H6121" s="710">
        <v>8.22</v>
      </c>
      <c r="I6121" s="256"/>
      <c r="J6121" s="67">
        <f t="shared" si="379"/>
        <v>11933.78</v>
      </c>
      <c r="L6121" s="70"/>
      <c r="M6121" s="934"/>
      <c r="N6121" s="94"/>
      <c r="O6121" s="94"/>
      <c r="P6121" s="94"/>
      <c r="Q6121" s="94"/>
      <c r="R6121" s="94"/>
      <c r="S6121" s="94"/>
      <c r="T6121" s="94"/>
      <c r="U6121" s="94"/>
      <c r="V6121" s="94"/>
      <c r="W6121" s="94"/>
      <c r="X6121" s="94"/>
      <c r="Y6121" s="94"/>
      <c r="Z6121" s="94"/>
      <c r="AA6121" s="94"/>
      <c r="AB6121" s="94"/>
      <c r="AC6121" s="94"/>
      <c r="AD6121" s="94"/>
      <c r="AE6121" s="94"/>
      <c r="AF6121" s="94"/>
      <c r="AG6121" s="94"/>
      <c r="AH6121" s="94"/>
    </row>
    <row r="6122" ht="12.75" hidden="1" customHeight="1" outlineLevel="1">
      <c r="A6122" s="122">
        <v>42069.0</v>
      </c>
      <c r="B6122" s="32" t="s">
        <v>343</v>
      </c>
      <c r="C6122" s="32" t="s">
        <v>1221</v>
      </c>
      <c r="D6122" s="708">
        <v>150.0</v>
      </c>
      <c r="E6122" s="195">
        <v>41.0899</v>
      </c>
      <c r="F6122" s="709">
        <v>0.6072222222222222</v>
      </c>
      <c r="G6122" s="195" t="s">
        <v>453</v>
      </c>
      <c r="H6122" s="710">
        <v>1.0</v>
      </c>
      <c r="I6122" s="256"/>
      <c r="J6122" s="67">
        <f t="shared" si="379"/>
        <v>-6164.485</v>
      </c>
      <c r="L6122" s="70"/>
      <c r="M6122" s="934"/>
      <c r="N6122" s="94"/>
      <c r="O6122" s="94"/>
      <c r="P6122" s="94"/>
      <c r="Q6122" s="94"/>
      <c r="R6122" s="94"/>
      <c r="S6122" s="94"/>
      <c r="T6122" s="94"/>
      <c r="U6122" s="94"/>
      <c r="V6122" s="94"/>
      <c r="W6122" s="94"/>
      <c r="X6122" s="94"/>
      <c r="Y6122" s="94"/>
      <c r="Z6122" s="94"/>
      <c r="AA6122" s="94"/>
      <c r="AB6122" s="94"/>
      <c r="AC6122" s="94"/>
      <c r="AD6122" s="94"/>
      <c r="AE6122" s="94"/>
      <c r="AF6122" s="94"/>
      <c r="AG6122" s="94"/>
      <c r="AH6122" s="94"/>
    </row>
    <row r="6123" ht="12.75" hidden="1" customHeight="1" outlineLevel="1">
      <c r="A6123" s="122">
        <v>42069.0</v>
      </c>
      <c r="B6123" s="1"/>
      <c r="C6123" s="1" t="s">
        <v>339</v>
      </c>
      <c r="D6123" s="74"/>
      <c r="E6123" s="67"/>
      <c r="F6123" s="75"/>
      <c r="G6123" s="67"/>
      <c r="H6123" s="68"/>
      <c r="I6123" s="76"/>
      <c r="K6123" s="968" t="s">
        <v>2849</v>
      </c>
      <c r="L6123" s="934"/>
      <c r="M6123" s="934"/>
    </row>
    <row r="6124" ht="12.75" hidden="1" customHeight="1" outlineLevel="1">
      <c r="A6124" s="122">
        <v>42069.0</v>
      </c>
      <c r="B6124" s="1"/>
      <c r="C6124" s="1" t="s">
        <v>429</v>
      </c>
      <c r="D6124" s="74"/>
      <c r="E6124" s="67"/>
      <c r="F6124" s="75"/>
      <c r="G6124" s="67"/>
      <c r="H6124" s="68"/>
      <c r="I6124" s="76"/>
      <c r="J6124" s="67"/>
      <c r="K6124" s="9" t="s">
        <v>2839</v>
      </c>
      <c r="L6124" s="934"/>
      <c r="M6124" s="934"/>
    </row>
    <row r="6125" ht="12.75" hidden="1" customHeight="1" outlineLevel="1">
      <c r="A6125" s="122">
        <v>42069.0</v>
      </c>
      <c r="B6125" s="1"/>
      <c r="C6125" s="1" t="s">
        <v>431</v>
      </c>
      <c r="D6125" s="74"/>
      <c r="E6125" s="67"/>
      <c r="F6125" s="75"/>
      <c r="G6125" s="67"/>
      <c r="H6125" s="68"/>
      <c r="I6125" s="76"/>
      <c r="J6125" s="67"/>
      <c r="K6125" s="7" t="s">
        <v>1126</v>
      </c>
      <c r="L6125" s="934"/>
      <c r="M6125" s="934"/>
    </row>
    <row r="6126" ht="12.75" hidden="1" customHeight="1" outlineLevel="1">
      <c r="A6126" s="122">
        <v>42069.0</v>
      </c>
      <c r="B6126" s="1"/>
      <c r="C6126" s="1" t="s">
        <v>433</v>
      </c>
      <c r="D6126" s="74"/>
      <c r="E6126" s="67"/>
      <c r="F6126" s="75"/>
      <c r="G6126" s="67"/>
      <c r="H6126" s="68"/>
      <c r="I6126" s="76"/>
      <c r="J6126" s="67"/>
      <c r="K6126" s="7" t="s">
        <v>1103</v>
      </c>
      <c r="L6126" s="934"/>
      <c r="M6126" s="934"/>
    </row>
    <row r="6127" ht="12.75" hidden="1" customHeight="1" outlineLevel="1">
      <c r="A6127" s="122">
        <v>42069.0</v>
      </c>
      <c r="B6127" s="1"/>
      <c r="C6127" s="1" t="s">
        <v>435</v>
      </c>
      <c r="D6127" s="74"/>
      <c r="E6127" s="67"/>
      <c r="F6127" s="75"/>
      <c r="G6127" s="67"/>
      <c r="H6127" s="68"/>
      <c r="I6127" s="76"/>
      <c r="J6127" s="67"/>
      <c r="K6127" s="9" t="s">
        <v>2802</v>
      </c>
      <c r="L6127" s="934"/>
      <c r="M6127" s="934"/>
    </row>
    <row r="6128" ht="12.75" hidden="1" customHeight="1" outlineLevel="1">
      <c r="A6128" s="122">
        <v>42072.0</v>
      </c>
      <c r="B6128" s="32" t="s">
        <v>343</v>
      </c>
      <c r="C6128" s="32" t="s">
        <v>1158</v>
      </c>
      <c r="D6128" s="708">
        <v>150.0</v>
      </c>
      <c r="E6128" s="195">
        <v>44.0982</v>
      </c>
      <c r="F6128" s="709">
        <v>0.4128472222222222</v>
      </c>
      <c r="G6128" s="195" t="s">
        <v>453</v>
      </c>
      <c r="H6128" s="710">
        <v>1.0</v>
      </c>
      <c r="I6128" s="256"/>
      <c r="J6128" s="67">
        <f t="shared" ref="J6128:J6130" si="380">IF(B6128="SLD",D6128*E6128,-D6128*E6128)-H6128</f>
        <v>-6615.73</v>
      </c>
      <c r="L6128" s="70"/>
      <c r="M6128" s="934"/>
      <c r="N6128" s="94"/>
      <c r="O6128" s="94"/>
      <c r="P6128" s="94"/>
      <c r="Q6128" s="94"/>
      <c r="R6128" s="94"/>
      <c r="S6128" s="94"/>
      <c r="T6128" s="94"/>
      <c r="U6128" s="94"/>
      <c r="V6128" s="94"/>
      <c r="W6128" s="94"/>
      <c r="X6128" s="94"/>
      <c r="Y6128" s="94"/>
      <c r="Z6128" s="94"/>
      <c r="AA6128" s="94"/>
      <c r="AB6128" s="94"/>
      <c r="AC6128" s="94"/>
      <c r="AD6128" s="94"/>
      <c r="AE6128" s="94"/>
      <c r="AF6128" s="94"/>
      <c r="AG6128" s="94"/>
      <c r="AH6128" s="94"/>
    </row>
    <row r="6129" ht="12.75" hidden="1" customHeight="1" outlineLevel="1">
      <c r="A6129" s="122">
        <v>42072.0</v>
      </c>
      <c r="B6129" s="32" t="s">
        <v>343</v>
      </c>
      <c r="C6129" s="32" t="s">
        <v>1164</v>
      </c>
      <c r="D6129" s="708">
        <v>150.0</v>
      </c>
      <c r="E6129" s="195">
        <v>43.627</v>
      </c>
      <c r="F6129" s="709">
        <v>0.41337962962962965</v>
      </c>
      <c r="G6129" s="195" t="s">
        <v>453</v>
      </c>
      <c r="H6129" s="710">
        <v>1.0</v>
      </c>
      <c r="I6129" s="256"/>
      <c r="J6129" s="67">
        <f t="shared" si="380"/>
        <v>-6545.05</v>
      </c>
      <c r="L6129" s="70"/>
      <c r="M6129" s="934"/>
      <c r="N6129" s="94"/>
      <c r="O6129" s="94"/>
      <c r="P6129" s="94"/>
      <c r="Q6129" s="94"/>
      <c r="R6129" s="94"/>
      <c r="S6129" s="94"/>
      <c r="T6129" s="94"/>
      <c r="U6129" s="94"/>
      <c r="V6129" s="94"/>
      <c r="W6129" s="94"/>
      <c r="X6129" s="94"/>
      <c r="Y6129" s="94"/>
      <c r="Z6129" s="94"/>
      <c r="AA6129" s="94"/>
      <c r="AB6129" s="94"/>
      <c r="AC6129" s="94"/>
      <c r="AD6129" s="94"/>
      <c r="AE6129" s="94"/>
      <c r="AF6129" s="94"/>
      <c r="AG6129" s="94"/>
      <c r="AH6129" s="94"/>
    </row>
    <row r="6130" ht="12.75" hidden="1" customHeight="1" outlineLevel="1">
      <c r="A6130" s="122">
        <v>42072.0</v>
      </c>
      <c r="B6130" s="32" t="s">
        <v>343</v>
      </c>
      <c r="C6130" s="32" t="s">
        <v>2142</v>
      </c>
      <c r="D6130" s="708">
        <v>400.0</v>
      </c>
      <c r="E6130" s="195">
        <v>31.638</v>
      </c>
      <c r="F6130" s="709">
        <v>0.4135185185185185</v>
      </c>
      <c r="G6130" s="195" t="s">
        <v>453</v>
      </c>
      <c r="H6130" s="710">
        <v>1.6</v>
      </c>
      <c r="I6130" s="256"/>
      <c r="J6130" s="67">
        <f t="shared" si="380"/>
        <v>-12656.8</v>
      </c>
      <c r="L6130" s="70"/>
      <c r="M6130" s="934"/>
      <c r="N6130" s="94"/>
      <c r="O6130" s="94"/>
      <c r="P6130" s="94"/>
      <c r="Q6130" s="94"/>
      <c r="R6130" s="94"/>
      <c r="S6130" s="94"/>
      <c r="T6130" s="94"/>
      <c r="U6130" s="94"/>
      <c r="V6130" s="94"/>
      <c r="W6130" s="94"/>
      <c r="X6130" s="94"/>
      <c r="Y6130" s="94"/>
      <c r="Z6130" s="94"/>
      <c r="AA6130" s="94"/>
      <c r="AB6130" s="94"/>
      <c r="AC6130" s="94"/>
      <c r="AD6130" s="94"/>
      <c r="AE6130" s="94"/>
      <c r="AF6130" s="94"/>
      <c r="AG6130" s="94"/>
      <c r="AH6130" s="94"/>
    </row>
    <row r="6131" ht="12.75" hidden="1" customHeight="1" outlineLevel="1">
      <c r="A6131" s="122">
        <v>42069.0</v>
      </c>
      <c r="B6131" s="1"/>
      <c r="C6131" s="1" t="s">
        <v>339</v>
      </c>
      <c r="D6131" s="74"/>
      <c r="E6131" s="67"/>
      <c r="F6131" s="75"/>
      <c r="G6131" s="67"/>
      <c r="H6131" s="68"/>
      <c r="I6131" s="76"/>
      <c r="K6131" s="968" t="s">
        <v>2850</v>
      </c>
      <c r="L6131" s="934"/>
      <c r="M6131" s="934"/>
    </row>
    <row r="6132" ht="12.75" hidden="1" customHeight="1" outlineLevel="1">
      <c r="A6132" s="122">
        <v>42069.0</v>
      </c>
      <c r="B6132" s="1"/>
      <c r="C6132" s="1" t="s">
        <v>429</v>
      </c>
      <c r="D6132" s="74"/>
      <c r="E6132" s="67"/>
      <c r="F6132" s="75"/>
      <c r="G6132" s="67"/>
      <c r="H6132" s="68"/>
      <c r="I6132" s="76"/>
      <c r="J6132" s="67"/>
      <c r="K6132" s="9" t="s">
        <v>2839</v>
      </c>
      <c r="L6132" s="934"/>
      <c r="M6132" s="934"/>
    </row>
    <row r="6133" ht="12.75" hidden="1" customHeight="1" outlineLevel="1">
      <c r="A6133" s="122">
        <v>42069.0</v>
      </c>
      <c r="B6133" s="1"/>
      <c r="C6133" s="1" t="s">
        <v>431</v>
      </c>
      <c r="D6133" s="74"/>
      <c r="E6133" s="67"/>
      <c r="F6133" s="75"/>
      <c r="G6133" s="67"/>
      <c r="H6133" s="68"/>
      <c r="I6133" s="76"/>
      <c r="J6133" s="67"/>
      <c r="K6133" s="7" t="s">
        <v>1126</v>
      </c>
      <c r="L6133" s="934"/>
      <c r="M6133" s="934"/>
    </row>
    <row r="6134" ht="12.75" hidden="1" customHeight="1" outlineLevel="1">
      <c r="A6134" s="122">
        <v>42069.0</v>
      </c>
      <c r="B6134" s="1"/>
      <c r="C6134" s="1" t="s">
        <v>433</v>
      </c>
      <c r="D6134" s="74"/>
      <c r="E6134" s="67"/>
      <c r="F6134" s="75"/>
      <c r="G6134" s="67"/>
      <c r="H6134" s="68"/>
      <c r="I6134" s="76"/>
      <c r="J6134" s="67"/>
      <c r="K6134" s="7" t="s">
        <v>1103</v>
      </c>
      <c r="L6134" s="934"/>
      <c r="M6134" s="934"/>
    </row>
    <row r="6135" ht="12.75" hidden="1" customHeight="1" outlineLevel="1">
      <c r="A6135" s="122">
        <v>42069.0</v>
      </c>
      <c r="B6135" s="1"/>
      <c r="C6135" s="1" t="s">
        <v>435</v>
      </c>
      <c r="D6135" s="74"/>
      <c r="E6135" s="67"/>
      <c r="F6135" s="75"/>
      <c r="G6135" s="67"/>
      <c r="H6135" s="68"/>
      <c r="I6135" s="76"/>
      <c r="J6135" s="67"/>
      <c r="K6135" s="9" t="s">
        <v>2802</v>
      </c>
      <c r="L6135" s="934"/>
      <c r="M6135" s="934"/>
    </row>
    <row r="6136" ht="12.75" hidden="1" customHeight="1" outlineLevel="1">
      <c r="A6136" s="122">
        <v>42073.0</v>
      </c>
      <c r="B6136" s="32" t="s">
        <v>343</v>
      </c>
      <c r="C6136" s="32" t="s">
        <v>1249</v>
      </c>
      <c r="D6136" s="708">
        <v>100.0</v>
      </c>
      <c r="E6136" s="195">
        <v>103.0274</v>
      </c>
      <c r="F6136" s="709">
        <v>0.5299652777777778</v>
      </c>
      <c r="G6136" s="195" t="s">
        <v>453</v>
      </c>
      <c r="H6136" s="710">
        <v>1.0</v>
      </c>
      <c r="I6136" s="256"/>
      <c r="J6136" s="67">
        <f>IF(B6136="SLD",D6136*E6136,-D6136*E6136)-H6136</f>
        <v>-10303.74</v>
      </c>
      <c r="L6136" s="70"/>
      <c r="M6136" s="934"/>
      <c r="N6136" s="94"/>
      <c r="O6136" s="94"/>
      <c r="P6136" s="94"/>
      <c r="Q6136" s="94"/>
      <c r="R6136" s="94"/>
      <c r="S6136" s="94"/>
      <c r="T6136" s="94"/>
      <c r="U6136" s="94"/>
      <c r="V6136" s="94"/>
      <c r="W6136" s="94"/>
      <c r="X6136" s="94"/>
      <c r="Y6136" s="94"/>
      <c r="Z6136" s="94"/>
      <c r="AA6136" s="94"/>
      <c r="AB6136" s="94"/>
      <c r="AC6136" s="94"/>
      <c r="AD6136" s="94"/>
      <c r="AE6136" s="94"/>
      <c r="AF6136" s="94"/>
      <c r="AG6136" s="94"/>
      <c r="AH6136" s="94"/>
    </row>
    <row r="6137" ht="12.75" hidden="1" customHeight="1" outlineLevel="1">
      <c r="A6137" s="122">
        <v>42073.0</v>
      </c>
      <c r="B6137" s="1"/>
      <c r="C6137" s="1" t="s">
        <v>339</v>
      </c>
      <c r="D6137" s="74"/>
      <c r="E6137" s="67"/>
      <c r="F6137" s="75"/>
      <c r="G6137" s="67"/>
      <c r="H6137" s="68"/>
      <c r="I6137" s="76"/>
      <c r="K6137" s="968" t="s">
        <v>2851</v>
      </c>
      <c r="L6137" s="934"/>
      <c r="M6137" s="934"/>
    </row>
    <row r="6138" ht="12.75" hidden="1" customHeight="1" outlineLevel="1">
      <c r="A6138" s="122">
        <v>42073.0</v>
      </c>
      <c r="B6138" s="1"/>
      <c r="C6138" s="1" t="s">
        <v>429</v>
      </c>
      <c r="D6138" s="74"/>
      <c r="E6138" s="67"/>
      <c r="F6138" s="75"/>
      <c r="G6138" s="67"/>
      <c r="H6138" s="68"/>
      <c r="I6138" s="76"/>
      <c r="J6138" s="67"/>
      <c r="K6138" s="9" t="s">
        <v>2839</v>
      </c>
      <c r="L6138" s="934"/>
      <c r="M6138" s="934"/>
    </row>
    <row r="6139" ht="12.75" hidden="1" customHeight="1" outlineLevel="1">
      <c r="A6139" s="122">
        <v>42073.0</v>
      </c>
      <c r="B6139" s="1"/>
      <c r="C6139" s="1" t="s">
        <v>431</v>
      </c>
      <c r="D6139" s="74"/>
      <c r="E6139" s="67"/>
      <c r="F6139" s="75"/>
      <c r="G6139" s="67"/>
      <c r="H6139" s="68"/>
      <c r="I6139" s="76"/>
      <c r="J6139" s="67"/>
      <c r="K6139" s="7" t="s">
        <v>1126</v>
      </c>
      <c r="L6139" s="934"/>
      <c r="M6139" s="934"/>
    </row>
    <row r="6140" ht="12.75" hidden="1" customHeight="1" outlineLevel="1">
      <c r="A6140" s="122">
        <v>42073.0</v>
      </c>
      <c r="B6140" s="1"/>
      <c r="C6140" s="1" t="s">
        <v>433</v>
      </c>
      <c r="D6140" s="74"/>
      <c r="E6140" s="67"/>
      <c r="F6140" s="75"/>
      <c r="G6140" s="67"/>
      <c r="H6140" s="68"/>
      <c r="I6140" s="76"/>
      <c r="J6140" s="67"/>
      <c r="K6140" s="7" t="s">
        <v>1103</v>
      </c>
      <c r="L6140" s="934"/>
      <c r="M6140" s="934"/>
    </row>
    <row r="6141" ht="12.75" hidden="1" customHeight="1" outlineLevel="1">
      <c r="A6141" s="122">
        <v>42073.0</v>
      </c>
      <c r="B6141" s="1"/>
      <c r="C6141" s="1" t="s">
        <v>435</v>
      </c>
      <c r="D6141" s="74"/>
      <c r="E6141" s="67"/>
      <c r="F6141" s="75"/>
      <c r="G6141" s="67"/>
      <c r="H6141" s="68"/>
      <c r="I6141" s="76"/>
      <c r="J6141" s="67"/>
      <c r="K6141" s="9" t="s">
        <v>2802</v>
      </c>
      <c r="L6141" s="934"/>
      <c r="M6141" s="934"/>
    </row>
    <row r="6142" ht="12.75" hidden="1" customHeight="1" outlineLevel="1">
      <c r="A6142" s="122">
        <v>42076.0</v>
      </c>
      <c r="B6142" s="32" t="s">
        <v>347</v>
      </c>
      <c r="C6142" s="32" t="s">
        <v>1844</v>
      </c>
      <c r="D6142" s="708">
        <v>250.0</v>
      </c>
      <c r="E6142" s="195">
        <v>41.114</v>
      </c>
      <c r="F6142" s="709">
        <v>0.46196759259259257</v>
      </c>
      <c r="G6142" s="195" t="s">
        <v>453</v>
      </c>
      <c r="H6142" s="710">
        <v>1.34</v>
      </c>
      <c r="I6142" s="256"/>
      <c r="J6142" s="67">
        <f t="shared" ref="J6142:J6147" si="381">IF(B6142="SLD",D6142*E6142,-D6142*E6142)-H6142</f>
        <v>10277.16</v>
      </c>
      <c r="L6142" s="70"/>
      <c r="M6142" s="934"/>
      <c r="N6142" s="94"/>
      <c r="O6142" s="94"/>
      <c r="P6142" s="94"/>
      <c r="Q6142" s="94"/>
      <c r="R6142" s="94"/>
      <c r="S6142" s="94"/>
      <c r="T6142" s="94"/>
      <c r="U6142" s="94"/>
      <c r="V6142" s="94"/>
      <c r="W6142" s="94"/>
      <c r="X6142" s="94"/>
      <c r="Y6142" s="94"/>
      <c r="Z6142" s="94"/>
      <c r="AA6142" s="94"/>
      <c r="AB6142" s="94"/>
      <c r="AC6142" s="94"/>
      <c r="AD6142" s="94"/>
      <c r="AE6142" s="94"/>
      <c r="AF6142" s="94"/>
      <c r="AG6142" s="94"/>
      <c r="AH6142" s="94"/>
    </row>
    <row r="6143" ht="12.75" hidden="1" customHeight="1" outlineLevel="1">
      <c r="A6143" s="122">
        <v>42076.0</v>
      </c>
      <c r="B6143" s="32" t="s">
        <v>347</v>
      </c>
      <c r="C6143" s="32" t="s">
        <v>2192</v>
      </c>
      <c r="D6143" s="708">
        <v>100.0</v>
      </c>
      <c r="E6143" s="195">
        <v>11.781</v>
      </c>
      <c r="F6143" s="709">
        <v>0.462025462962963</v>
      </c>
      <c r="G6143" s="195" t="s">
        <v>453</v>
      </c>
      <c r="H6143" s="710">
        <v>1.02</v>
      </c>
      <c r="I6143" s="256"/>
      <c r="J6143" s="67">
        <f t="shared" si="381"/>
        <v>1177.08</v>
      </c>
      <c r="L6143" s="70"/>
      <c r="M6143" s="934"/>
      <c r="N6143" s="94"/>
      <c r="O6143" s="94"/>
      <c r="P6143" s="94"/>
      <c r="Q6143" s="94"/>
      <c r="R6143" s="94"/>
      <c r="S6143" s="94"/>
      <c r="T6143" s="94"/>
      <c r="U6143" s="94"/>
      <c r="V6143" s="94"/>
      <c r="W6143" s="94"/>
      <c r="X6143" s="94"/>
      <c r="Y6143" s="94"/>
      <c r="Z6143" s="94"/>
      <c r="AA6143" s="94"/>
      <c r="AB6143" s="94"/>
      <c r="AC6143" s="94"/>
      <c r="AD6143" s="94"/>
      <c r="AE6143" s="94"/>
      <c r="AF6143" s="94"/>
      <c r="AG6143" s="94"/>
      <c r="AH6143" s="94"/>
    </row>
    <row r="6144" ht="12.75" hidden="1" customHeight="1" outlineLevel="1">
      <c r="A6144" s="122">
        <v>42076.0</v>
      </c>
      <c r="B6144" s="32" t="s">
        <v>347</v>
      </c>
      <c r="C6144" s="32" t="s">
        <v>2192</v>
      </c>
      <c r="D6144" s="708">
        <v>900.0</v>
      </c>
      <c r="E6144" s="195">
        <v>11.79</v>
      </c>
      <c r="F6144" s="709">
        <v>0.4622453703703704</v>
      </c>
      <c r="G6144" s="195" t="s">
        <v>453</v>
      </c>
      <c r="H6144" s="710">
        <v>3.8</v>
      </c>
      <c r="I6144" s="256"/>
      <c r="J6144" s="67">
        <f t="shared" si="381"/>
        <v>10607.2</v>
      </c>
      <c r="L6144" s="70"/>
      <c r="M6144" s="934"/>
      <c r="N6144" s="94"/>
      <c r="O6144" s="94"/>
      <c r="P6144" s="94"/>
      <c r="Q6144" s="94"/>
      <c r="R6144" s="94"/>
      <c r="S6144" s="94"/>
      <c r="T6144" s="94"/>
      <c r="U6144" s="94"/>
      <c r="V6144" s="94"/>
      <c r="W6144" s="94"/>
      <c r="X6144" s="94"/>
      <c r="Y6144" s="94"/>
      <c r="Z6144" s="94"/>
      <c r="AA6144" s="94"/>
      <c r="AB6144" s="94"/>
      <c r="AC6144" s="94"/>
      <c r="AD6144" s="94"/>
      <c r="AE6144" s="94"/>
      <c r="AF6144" s="94"/>
      <c r="AG6144" s="94"/>
      <c r="AH6144" s="94"/>
    </row>
    <row r="6145" ht="12.75" hidden="1" customHeight="1" outlineLevel="1">
      <c r="A6145" s="122">
        <v>42076.0</v>
      </c>
      <c r="B6145" s="32" t="s">
        <v>347</v>
      </c>
      <c r="C6145" s="32" t="s">
        <v>1844</v>
      </c>
      <c r="D6145" s="708">
        <v>200.0</v>
      </c>
      <c r="E6145" s="195">
        <v>40.713</v>
      </c>
      <c r="F6145" s="709">
        <v>0.48886574074074074</v>
      </c>
      <c r="G6145" s="195" t="s">
        <v>453</v>
      </c>
      <c r="H6145" s="710">
        <v>1.15</v>
      </c>
      <c r="I6145" s="256"/>
      <c r="J6145" s="67">
        <f t="shared" si="381"/>
        <v>8141.45</v>
      </c>
      <c r="L6145" s="70"/>
      <c r="M6145" s="934"/>
      <c r="N6145" s="94"/>
      <c r="O6145" s="94"/>
      <c r="P6145" s="94"/>
      <c r="Q6145" s="94"/>
      <c r="R6145" s="94"/>
      <c r="S6145" s="94"/>
      <c r="T6145" s="94"/>
      <c r="U6145" s="94"/>
      <c r="V6145" s="94"/>
      <c r="W6145" s="94"/>
      <c r="X6145" s="94"/>
      <c r="Y6145" s="94"/>
      <c r="Z6145" s="94"/>
      <c r="AA6145" s="94"/>
      <c r="AB6145" s="94"/>
      <c r="AC6145" s="94"/>
      <c r="AD6145" s="94"/>
      <c r="AE6145" s="94"/>
      <c r="AF6145" s="94"/>
      <c r="AG6145" s="94"/>
      <c r="AH6145" s="94"/>
    </row>
    <row r="6146" ht="12.75" hidden="1" customHeight="1" outlineLevel="1">
      <c r="A6146" s="122">
        <v>42076.0</v>
      </c>
      <c r="B6146" s="32" t="s">
        <v>347</v>
      </c>
      <c r="C6146" s="32" t="s">
        <v>2048</v>
      </c>
      <c r="D6146" s="708">
        <v>100.0</v>
      </c>
      <c r="E6146" s="195">
        <v>9.071</v>
      </c>
      <c r="F6146" s="709">
        <v>0.49028935185185185</v>
      </c>
      <c r="G6146" s="195" t="s">
        <v>453</v>
      </c>
      <c r="H6146" s="710">
        <v>1.02</v>
      </c>
      <c r="I6146" s="256"/>
      <c r="J6146" s="67">
        <f t="shared" si="381"/>
        <v>906.08</v>
      </c>
      <c r="L6146" s="70"/>
      <c r="M6146" s="934"/>
      <c r="N6146" s="94"/>
      <c r="O6146" s="94"/>
      <c r="P6146" s="94"/>
      <c r="Q6146" s="94"/>
      <c r="R6146" s="94"/>
      <c r="S6146" s="94"/>
      <c r="T6146" s="94"/>
      <c r="U6146" s="94"/>
      <c r="V6146" s="94"/>
      <c r="W6146" s="94"/>
      <c r="X6146" s="94"/>
      <c r="Y6146" s="94"/>
      <c r="Z6146" s="94"/>
      <c r="AA6146" s="94"/>
      <c r="AB6146" s="94"/>
      <c r="AC6146" s="94"/>
      <c r="AD6146" s="94"/>
      <c r="AE6146" s="94"/>
      <c r="AF6146" s="94"/>
      <c r="AG6146" s="94"/>
      <c r="AH6146" s="94"/>
    </row>
    <row r="6147" ht="12.75" hidden="1" customHeight="1" outlineLevel="1">
      <c r="A6147" s="122">
        <v>42076.0</v>
      </c>
      <c r="B6147" s="32" t="s">
        <v>347</v>
      </c>
      <c r="C6147" s="32" t="s">
        <v>2048</v>
      </c>
      <c r="D6147" s="708">
        <v>1400.0</v>
      </c>
      <c r="E6147" s="195">
        <v>9.071</v>
      </c>
      <c r="F6147" s="709">
        <v>0.49042824074074076</v>
      </c>
      <c r="G6147" s="195" t="s">
        <v>453</v>
      </c>
      <c r="H6147" s="710">
        <v>5.83</v>
      </c>
      <c r="I6147" s="256"/>
      <c r="J6147" s="67">
        <f t="shared" si="381"/>
        <v>12693.57</v>
      </c>
      <c r="L6147" s="70"/>
      <c r="M6147" s="934"/>
      <c r="N6147" s="94"/>
      <c r="O6147" s="94"/>
      <c r="P6147" s="94"/>
      <c r="Q6147" s="94"/>
      <c r="R6147" s="94"/>
      <c r="S6147" s="94"/>
      <c r="T6147" s="94"/>
      <c r="U6147" s="94"/>
      <c r="V6147" s="94"/>
      <c r="W6147" s="94"/>
      <c r="X6147" s="94"/>
      <c r="Y6147" s="94"/>
      <c r="Z6147" s="94"/>
      <c r="AA6147" s="94"/>
      <c r="AB6147" s="94"/>
      <c r="AC6147" s="94"/>
      <c r="AD6147" s="94"/>
      <c r="AE6147" s="94"/>
      <c r="AF6147" s="94"/>
      <c r="AG6147" s="94"/>
      <c r="AH6147" s="94"/>
    </row>
    <row r="6148" ht="12.75" hidden="1" customHeight="1" outlineLevel="1">
      <c r="A6148" s="122">
        <v>42076.0</v>
      </c>
      <c r="B6148" s="1"/>
      <c r="C6148" s="1" t="s">
        <v>339</v>
      </c>
      <c r="D6148" s="74"/>
      <c r="E6148" s="67"/>
      <c r="F6148" s="75"/>
      <c r="G6148" s="67"/>
      <c r="H6148" s="68"/>
      <c r="I6148" s="76"/>
      <c r="K6148" s="968" t="s">
        <v>2852</v>
      </c>
      <c r="L6148" s="934"/>
      <c r="M6148" s="934"/>
    </row>
    <row r="6149" ht="12.75" hidden="1" customHeight="1" outlineLevel="1">
      <c r="A6149" s="122">
        <v>42076.0</v>
      </c>
      <c r="B6149" s="1"/>
      <c r="C6149" s="1" t="s">
        <v>429</v>
      </c>
      <c r="D6149" s="74"/>
      <c r="E6149" s="67"/>
      <c r="F6149" s="75"/>
      <c r="G6149" s="67"/>
      <c r="H6149" s="68"/>
      <c r="I6149" s="76"/>
      <c r="J6149" s="67"/>
      <c r="K6149" s="9" t="s">
        <v>2839</v>
      </c>
      <c r="L6149" s="934"/>
      <c r="M6149" s="934"/>
    </row>
    <row r="6150" ht="12.75" hidden="1" customHeight="1" outlineLevel="1">
      <c r="A6150" s="122">
        <v>42076.0</v>
      </c>
      <c r="B6150" s="1"/>
      <c r="C6150" s="1" t="s">
        <v>431</v>
      </c>
      <c r="D6150" s="74"/>
      <c r="E6150" s="67"/>
      <c r="F6150" s="75"/>
      <c r="G6150" s="67"/>
      <c r="H6150" s="68"/>
      <c r="I6150" s="76"/>
      <c r="J6150" s="67"/>
      <c r="K6150" s="7" t="s">
        <v>1126</v>
      </c>
      <c r="L6150" s="934"/>
      <c r="M6150" s="934"/>
    </row>
    <row r="6151" ht="12.75" hidden="1" customHeight="1" outlineLevel="1">
      <c r="A6151" s="122">
        <v>42076.0</v>
      </c>
      <c r="B6151" s="1"/>
      <c r="C6151" s="1" t="s">
        <v>433</v>
      </c>
      <c r="D6151" s="74"/>
      <c r="E6151" s="67"/>
      <c r="F6151" s="75"/>
      <c r="G6151" s="67"/>
      <c r="H6151" s="68"/>
      <c r="I6151" s="76"/>
      <c r="J6151" s="67"/>
      <c r="K6151" s="7" t="s">
        <v>1103</v>
      </c>
      <c r="L6151" s="934"/>
      <c r="M6151" s="934"/>
    </row>
    <row r="6152" ht="12.75" hidden="1" customHeight="1" outlineLevel="1">
      <c r="A6152" s="122">
        <v>42076.0</v>
      </c>
      <c r="B6152" s="1"/>
      <c r="C6152" s="1" t="s">
        <v>435</v>
      </c>
      <c r="D6152" s="74"/>
      <c r="E6152" s="67"/>
      <c r="F6152" s="75"/>
      <c r="G6152" s="67"/>
      <c r="H6152" s="68"/>
      <c r="I6152" s="76"/>
      <c r="J6152" s="67"/>
      <c r="K6152" s="9" t="s">
        <v>2802</v>
      </c>
      <c r="L6152" s="934"/>
      <c r="M6152" s="934"/>
    </row>
    <row r="6153" ht="12.75" hidden="1" customHeight="1" outlineLevel="1">
      <c r="A6153" s="122">
        <v>42079.0</v>
      </c>
      <c r="B6153" s="32" t="s">
        <v>343</v>
      </c>
      <c r="C6153" s="32" t="s">
        <v>1162</v>
      </c>
      <c r="D6153" s="708">
        <v>200.0</v>
      </c>
      <c r="E6153" s="195">
        <v>143.98</v>
      </c>
      <c r="F6153" s="709">
        <v>0.42011574074074076</v>
      </c>
      <c r="G6153" s="195" t="s">
        <v>453</v>
      </c>
      <c r="H6153" s="710">
        <v>1.0</v>
      </c>
      <c r="I6153" s="256"/>
      <c r="J6153" s="67">
        <f t="shared" ref="J6153:J6158" si="382">IF(B6153="SLD",D6153*E6153,-D6153*E6153)-H6153</f>
        <v>-28797</v>
      </c>
      <c r="L6153" s="70"/>
      <c r="M6153" s="934"/>
      <c r="N6153" s="94"/>
      <c r="O6153" s="94"/>
      <c r="P6153" s="94"/>
      <c r="Q6153" s="94"/>
      <c r="R6153" s="94"/>
      <c r="S6153" s="94"/>
      <c r="T6153" s="94"/>
      <c r="U6153" s="94"/>
      <c r="V6153" s="94"/>
      <c r="W6153" s="94"/>
      <c r="X6153" s="94"/>
      <c r="Y6153" s="94"/>
      <c r="Z6153" s="94"/>
      <c r="AA6153" s="94"/>
      <c r="AB6153" s="94"/>
      <c r="AC6153" s="94"/>
      <c r="AD6153" s="94"/>
      <c r="AE6153" s="94"/>
      <c r="AF6153" s="94"/>
      <c r="AG6153" s="94"/>
      <c r="AH6153" s="94"/>
    </row>
    <row r="6154" ht="12.75" hidden="1" customHeight="1" outlineLevel="1">
      <c r="A6154" s="122">
        <v>42079.0</v>
      </c>
      <c r="B6154" s="32" t="s">
        <v>343</v>
      </c>
      <c r="C6154" s="32" t="s">
        <v>2853</v>
      </c>
      <c r="D6154" s="708">
        <v>750.0</v>
      </c>
      <c r="E6154" s="195">
        <v>26.042</v>
      </c>
      <c r="F6154" s="709">
        <v>0.4208912037037037</v>
      </c>
      <c r="G6154" s="195" t="s">
        <v>453</v>
      </c>
      <c r="H6154" s="710">
        <v>3.75</v>
      </c>
      <c r="I6154" s="256"/>
      <c r="J6154" s="67">
        <f t="shared" si="382"/>
        <v>-19535.25</v>
      </c>
      <c r="L6154" s="70"/>
      <c r="M6154" s="934"/>
      <c r="N6154" s="94"/>
      <c r="O6154" s="94"/>
      <c r="P6154" s="94"/>
      <c r="Q6154" s="94"/>
      <c r="R6154" s="94"/>
      <c r="S6154" s="94"/>
      <c r="T6154" s="94"/>
      <c r="U6154" s="94"/>
      <c r="V6154" s="94"/>
      <c r="W6154" s="94"/>
      <c r="X6154" s="94"/>
      <c r="Y6154" s="94"/>
      <c r="Z6154" s="94"/>
      <c r="AA6154" s="94"/>
      <c r="AB6154" s="94"/>
      <c r="AC6154" s="94"/>
      <c r="AD6154" s="94"/>
      <c r="AE6154" s="94"/>
      <c r="AF6154" s="94"/>
      <c r="AG6154" s="94"/>
      <c r="AH6154" s="94"/>
    </row>
    <row r="6155" ht="12.75" hidden="1" customHeight="1" outlineLevel="1">
      <c r="A6155" s="122">
        <v>42079.0</v>
      </c>
      <c r="B6155" s="32" t="s">
        <v>343</v>
      </c>
      <c r="C6155" s="32" t="s">
        <v>2144</v>
      </c>
      <c r="D6155" s="708">
        <v>250.0</v>
      </c>
      <c r="E6155" s="195">
        <v>84.997</v>
      </c>
      <c r="F6155" s="709">
        <v>0.4212037037037037</v>
      </c>
      <c r="G6155" s="195" t="s">
        <v>453</v>
      </c>
      <c r="H6155" s="710">
        <v>1.0</v>
      </c>
      <c r="I6155" s="256"/>
      <c r="J6155" s="67">
        <f t="shared" si="382"/>
        <v>-21250.25</v>
      </c>
      <c r="L6155" s="70"/>
      <c r="M6155" s="934"/>
      <c r="N6155" s="94"/>
      <c r="O6155" s="94"/>
      <c r="P6155" s="94"/>
      <c r="Q6155" s="94"/>
      <c r="R6155" s="94"/>
      <c r="S6155" s="94"/>
      <c r="T6155" s="94"/>
      <c r="U6155" s="94"/>
      <c r="V6155" s="94"/>
      <c r="W6155" s="94"/>
      <c r="X6155" s="94"/>
      <c r="Y6155" s="94"/>
      <c r="Z6155" s="94"/>
      <c r="AA6155" s="94"/>
      <c r="AB6155" s="94"/>
      <c r="AC6155" s="94"/>
      <c r="AD6155" s="94"/>
      <c r="AE6155" s="94"/>
      <c r="AF6155" s="94"/>
      <c r="AG6155" s="94"/>
      <c r="AH6155" s="94"/>
    </row>
    <row r="6156" ht="12.75" hidden="1" customHeight="1" outlineLevel="1">
      <c r="A6156" s="122">
        <v>42079.0</v>
      </c>
      <c r="B6156" s="32" t="s">
        <v>347</v>
      </c>
      <c r="C6156" s="32" t="s">
        <v>2048</v>
      </c>
      <c r="D6156" s="708">
        <v>1500.0</v>
      </c>
      <c r="E6156" s="195">
        <v>8.841</v>
      </c>
      <c r="F6156" s="709">
        <v>0.47908564814814814</v>
      </c>
      <c r="G6156" s="195" t="s">
        <v>453</v>
      </c>
      <c r="H6156" s="710">
        <v>6.24</v>
      </c>
      <c r="I6156" s="256"/>
      <c r="J6156" s="67">
        <f t="shared" si="382"/>
        <v>13255.26</v>
      </c>
      <c r="L6156" s="70"/>
      <c r="M6156" s="934"/>
      <c r="N6156" s="94"/>
      <c r="O6156" s="94"/>
      <c r="P6156" s="94"/>
      <c r="Q6156" s="94"/>
      <c r="R6156" s="94"/>
      <c r="S6156" s="94"/>
      <c r="T6156" s="94"/>
      <c r="U6156" s="94"/>
      <c r="V6156" s="94"/>
      <c r="W6156" s="94"/>
      <c r="X6156" s="94"/>
      <c r="Y6156" s="94"/>
      <c r="Z6156" s="94"/>
      <c r="AA6156" s="94"/>
      <c r="AB6156" s="94"/>
      <c r="AC6156" s="94"/>
      <c r="AD6156" s="94"/>
      <c r="AE6156" s="94"/>
      <c r="AF6156" s="94"/>
      <c r="AG6156" s="94"/>
      <c r="AH6156" s="94"/>
    </row>
    <row r="6157" ht="12.75" hidden="1" customHeight="1" outlineLevel="1">
      <c r="A6157" s="122">
        <v>42079.0</v>
      </c>
      <c r="B6157" s="32" t="s">
        <v>347</v>
      </c>
      <c r="C6157" s="32" t="s">
        <v>1844</v>
      </c>
      <c r="D6157" s="708">
        <v>200.0</v>
      </c>
      <c r="E6157" s="195">
        <v>39.99</v>
      </c>
      <c r="F6157" s="709">
        <v>0.4792939814814815</v>
      </c>
      <c r="G6157" s="195" t="s">
        <v>453</v>
      </c>
      <c r="H6157" s="710">
        <v>1.15</v>
      </c>
      <c r="I6157" s="256"/>
      <c r="J6157" s="67">
        <f t="shared" si="382"/>
        <v>7996.85</v>
      </c>
      <c r="L6157" s="70"/>
      <c r="M6157" s="934"/>
      <c r="N6157" s="94"/>
      <c r="O6157" s="94"/>
      <c r="P6157" s="94"/>
      <c r="Q6157" s="94"/>
      <c r="R6157" s="94"/>
      <c r="S6157" s="94"/>
      <c r="T6157" s="94"/>
      <c r="U6157" s="94"/>
      <c r="V6157" s="94"/>
      <c r="W6157" s="94"/>
      <c r="X6157" s="94"/>
      <c r="Y6157" s="94"/>
      <c r="Z6157" s="94"/>
      <c r="AA6157" s="94"/>
      <c r="AB6157" s="94"/>
      <c r="AC6157" s="94"/>
      <c r="AD6157" s="94"/>
      <c r="AE6157" s="94"/>
      <c r="AF6157" s="94"/>
      <c r="AG6157" s="94"/>
      <c r="AH6157" s="94"/>
    </row>
    <row r="6158" ht="12.75" hidden="1" customHeight="1" outlineLevel="1">
      <c r="A6158" s="122">
        <v>42079.0</v>
      </c>
      <c r="B6158" s="32" t="s">
        <v>347</v>
      </c>
      <c r="C6158" s="32" t="s">
        <v>2192</v>
      </c>
      <c r="D6158" s="708">
        <v>1000.0</v>
      </c>
      <c r="E6158" s="195">
        <v>11.291</v>
      </c>
      <c r="F6158" s="709">
        <v>0.47944444444444445</v>
      </c>
      <c r="G6158" s="195" t="s">
        <v>453</v>
      </c>
      <c r="H6158" s="710">
        <v>4.21</v>
      </c>
      <c r="I6158" s="256"/>
      <c r="J6158" s="67">
        <f t="shared" si="382"/>
        <v>11286.79</v>
      </c>
      <c r="L6158" s="70"/>
      <c r="M6158" s="934"/>
      <c r="N6158" s="94"/>
      <c r="O6158" s="94"/>
      <c r="P6158" s="94"/>
      <c r="Q6158" s="94"/>
      <c r="R6158" s="94"/>
      <c r="S6158" s="94"/>
      <c r="T6158" s="94"/>
      <c r="U6158" s="94"/>
      <c r="V6158" s="94"/>
      <c r="W6158" s="94"/>
      <c r="X6158" s="94"/>
      <c r="Y6158" s="94"/>
      <c r="Z6158" s="94"/>
      <c r="AA6158" s="94"/>
      <c r="AB6158" s="94"/>
      <c r="AC6158" s="94"/>
      <c r="AD6158" s="94"/>
      <c r="AE6158" s="94"/>
      <c r="AF6158" s="94"/>
      <c r="AG6158" s="94"/>
      <c r="AH6158" s="94"/>
    </row>
    <row r="6159" ht="12.75" hidden="1" customHeight="1" outlineLevel="1">
      <c r="A6159" s="122">
        <v>42076.0</v>
      </c>
      <c r="B6159" s="1"/>
      <c r="C6159" s="1" t="s">
        <v>339</v>
      </c>
      <c r="D6159" s="74"/>
      <c r="E6159" s="67"/>
      <c r="F6159" s="75"/>
      <c r="G6159" s="67"/>
      <c r="H6159" s="68"/>
      <c r="I6159" s="76"/>
      <c r="K6159" s="968" t="s">
        <v>2854</v>
      </c>
      <c r="L6159" s="934"/>
      <c r="M6159" s="934"/>
    </row>
    <row r="6160" ht="12.75" hidden="1" customHeight="1" outlineLevel="1">
      <c r="A6160" s="122">
        <v>42076.0</v>
      </c>
      <c r="B6160" s="1"/>
      <c r="C6160" s="1" t="s">
        <v>429</v>
      </c>
      <c r="D6160" s="74"/>
      <c r="E6160" s="67"/>
      <c r="F6160" s="75"/>
      <c r="G6160" s="67"/>
      <c r="H6160" s="68"/>
      <c r="I6160" s="76"/>
      <c r="J6160" s="67"/>
      <c r="K6160" s="9" t="s">
        <v>2839</v>
      </c>
      <c r="L6160" s="934"/>
      <c r="M6160" s="934"/>
    </row>
    <row r="6161" ht="12.75" hidden="1" customHeight="1" outlineLevel="1">
      <c r="A6161" s="122">
        <v>42076.0</v>
      </c>
      <c r="B6161" s="1"/>
      <c r="C6161" s="1" t="s">
        <v>431</v>
      </c>
      <c r="D6161" s="74"/>
      <c r="E6161" s="67"/>
      <c r="F6161" s="75"/>
      <c r="G6161" s="67"/>
      <c r="H6161" s="68"/>
      <c r="I6161" s="76"/>
      <c r="J6161" s="67"/>
      <c r="K6161" s="7" t="s">
        <v>1126</v>
      </c>
      <c r="L6161" s="934"/>
      <c r="M6161" s="934"/>
    </row>
    <row r="6162" ht="12.75" hidden="1" customHeight="1" outlineLevel="1">
      <c r="A6162" s="122">
        <v>42076.0</v>
      </c>
      <c r="B6162" s="1"/>
      <c r="C6162" s="1" t="s">
        <v>433</v>
      </c>
      <c r="D6162" s="74"/>
      <c r="E6162" s="67"/>
      <c r="F6162" s="75"/>
      <c r="G6162" s="67"/>
      <c r="H6162" s="68"/>
      <c r="I6162" s="76"/>
      <c r="J6162" s="67"/>
      <c r="K6162" s="7" t="s">
        <v>1103</v>
      </c>
      <c r="L6162" s="934"/>
      <c r="M6162" s="934"/>
    </row>
    <row r="6163" ht="12.75" hidden="1" customHeight="1" outlineLevel="1">
      <c r="A6163" s="122">
        <v>42076.0</v>
      </c>
      <c r="B6163" s="1"/>
      <c r="C6163" s="1" t="s">
        <v>435</v>
      </c>
      <c r="D6163" s="74"/>
      <c r="E6163" s="67"/>
      <c r="F6163" s="75"/>
      <c r="G6163" s="67"/>
      <c r="H6163" s="68"/>
      <c r="I6163" s="76"/>
      <c r="J6163" s="67"/>
      <c r="K6163" s="9" t="s">
        <v>2802</v>
      </c>
      <c r="L6163" s="934"/>
      <c r="M6163" s="934"/>
    </row>
    <row r="6164" ht="12.75" hidden="1" customHeight="1" outlineLevel="1">
      <c r="A6164" s="122">
        <v>42080.0</v>
      </c>
      <c r="B6164" s="32" t="s">
        <v>347</v>
      </c>
      <c r="C6164" s="32" t="s">
        <v>1607</v>
      </c>
      <c r="D6164" s="708">
        <v>500.0</v>
      </c>
      <c r="E6164" s="195">
        <v>24.981</v>
      </c>
      <c r="F6164" s="709">
        <v>0.4149074074074074</v>
      </c>
      <c r="G6164" s="195" t="s">
        <v>453</v>
      </c>
      <c r="H6164" s="710">
        <v>2.63</v>
      </c>
      <c r="I6164" s="256"/>
      <c r="J6164" s="67">
        <f t="shared" ref="J6164:J6172" si="383">IF(B6164="SLD",D6164*E6164,-D6164*E6164)-H6164</f>
        <v>12487.87</v>
      </c>
      <c r="L6164" s="70"/>
      <c r="M6164" s="934"/>
      <c r="N6164" s="94"/>
      <c r="O6164" s="94"/>
      <c r="P6164" s="94"/>
      <c r="Q6164" s="94"/>
      <c r="R6164" s="94"/>
      <c r="S6164" s="94"/>
      <c r="T6164" s="94"/>
      <c r="U6164" s="94"/>
      <c r="V6164" s="94"/>
      <c r="W6164" s="94"/>
      <c r="X6164" s="94"/>
      <c r="Y6164" s="94"/>
      <c r="Z6164" s="94"/>
      <c r="AA6164" s="94"/>
      <c r="AB6164" s="94"/>
      <c r="AC6164" s="94"/>
      <c r="AD6164" s="94"/>
      <c r="AE6164" s="94"/>
      <c r="AF6164" s="94"/>
      <c r="AG6164" s="94"/>
      <c r="AH6164" s="94"/>
    </row>
    <row r="6165" ht="12.75" hidden="1" customHeight="1" outlineLevel="1">
      <c r="A6165" s="122">
        <v>42080.0</v>
      </c>
      <c r="B6165" s="32" t="s">
        <v>343</v>
      </c>
      <c r="C6165" s="32" t="s">
        <v>1607</v>
      </c>
      <c r="D6165" s="708">
        <v>500.0</v>
      </c>
      <c r="E6165" s="195">
        <v>25.25</v>
      </c>
      <c r="F6165" s="709">
        <v>0.5072685185185185</v>
      </c>
      <c r="G6165" s="195" t="s">
        <v>453</v>
      </c>
      <c r="H6165" s="710">
        <v>2.1</v>
      </c>
      <c r="I6165" s="256"/>
      <c r="J6165" s="67">
        <f t="shared" si="383"/>
        <v>-12627.1</v>
      </c>
      <c r="L6165" s="70"/>
      <c r="M6165" s="934"/>
      <c r="N6165" s="94"/>
      <c r="O6165" s="94"/>
      <c r="P6165" s="94"/>
      <c r="Q6165" s="94"/>
      <c r="R6165" s="94"/>
      <c r="S6165" s="94"/>
      <c r="T6165" s="94"/>
      <c r="U6165" s="94"/>
      <c r="V6165" s="94"/>
      <c r="W6165" s="94"/>
      <c r="X6165" s="94"/>
      <c r="Y6165" s="94"/>
      <c r="Z6165" s="94"/>
      <c r="AA6165" s="94"/>
      <c r="AB6165" s="94"/>
      <c r="AC6165" s="94"/>
      <c r="AD6165" s="94"/>
      <c r="AE6165" s="94"/>
      <c r="AF6165" s="94"/>
      <c r="AG6165" s="94"/>
      <c r="AH6165" s="94"/>
    </row>
    <row r="6166" ht="12.75" hidden="1" customHeight="1" outlineLevel="1">
      <c r="A6166" s="122">
        <v>42080.0</v>
      </c>
      <c r="B6166" s="32" t="s">
        <v>343</v>
      </c>
      <c r="C6166" s="32" t="s">
        <v>784</v>
      </c>
      <c r="D6166" s="708">
        <v>7000.0</v>
      </c>
      <c r="E6166" s="195">
        <v>6.018</v>
      </c>
      <c r="F6166" s="709">
        <v>0.5170023148148148</v>
      </c>
      <c r="G6166" s="94" t="s">
        <v>453</v>
      </c>
      <c r="H6166" s="710">
        <v>28.0</v>
      </c>
      <c r="I6166" s="256"/>
      <c r="J6166" s="67">
        <f t="shared" si="383"/>
        <v>-42154</v>
      </c>
      <c r="L6166" s="70"/>
      <c r="M6166" s="934"/>
      <c r="N6166" s="94"/>
      <c r="O6166" s="94"/>
      <c r="P6166" s="94"/>
      <c r="Q6166" s="94"/>
      <c r="R6166" s="94"/>
      <c r="S6166" s="94"/>
      <c r="T6166" s="94"/>
      <c r="U6166" s="94"/>
      <c r="V6166" s="94"/>
      <c r="W6166" s="94"/>
      <c r="X6166" s="94"/>
      <c r="Y6166" s="94"/>
      <c r="Z6166" s="94"/>
      <c r="AA6166" s="94"/>
      <c r="AB6166" s="94"/>
      <c r="AC6166" s="94"/>
      <c r="AD6166" s="94"/>
      <c r="AE6166" s="94"/>
      <c r="AF6166" s="94"/>
      <c r="AG6166" s="94"/>
      <c r="AH6166" s="94"/>
    </row>
    <row r="6167" ht="12.75" hidden="1" customHeight="1" outlineLevel="1">
      <c r="A6167" s="122">
        <v>42080.0</v>
      </c>
      <c r="B6167" s="32" t="s">
        <v>343</v>
      </c>
      <c r="C6167" s="32" t="s">
        <v>790</v>
      </c>
      <c r="D6167" s="708">
        <v>7000.0</v>
      </c>
      <c r="E6167" s="195">
        <v>5.14</v>
      </c>
      <c r="F6167" s="709">
        <v>0.5172222222222222</v>
      </c>
      <c r="G6167" s="195" t="s">
        <v>453</v>
      </c>
      <c r="H6167" s="710">
        <v>28.28</v>
      </c>
      <c r="I6167" s="256"/>
      <c r="J6167" s="67">
        <f t="shared" si="383"/>
        <v>-36008.28</v>
      </c>
      <c r="L6167" s="70"/>
      <c r="M6167" s="934"/>
      <c r="N6167" s="94"/>
      <c r="O6167" s="94"/>
      <c r="P6167" s="94"/>
      <c r="Q6167" s="94"/>
      <c r="R6167" s="94"/>
      <c r="S6167" s="94"/>
      <c r="T6167" s="94"/>
      <c r="U6167" s="94"/>
      <c r="V6167" s="94"/>
      <c r="W6167" s="94"/>
      <c r="X6167" s="94"/>
      <c r="Y6167" s="94"/>
      <c r="Z6167" s="94"/>
      <c r="AA6167" s="94"/>
      <c r="AB6167" s="94"/>
      <c r="AC6167" s="94"/>
      <c r="AD6167" s="94"/>
      <c r="AE6167" s="94"/>
      <c r="AF6167" s="94"/>
      <c r="AG6167" s="94"/>
      <c r="AH6167" s="94"/>
    </row>
    <row r="6168" ht="12.75" hidden="1" customHeight="1" outlineLevel="1">
      <c r="A6168" s="122">
        <v>42080.0</v>
      </c>
      <c r="B6168" s="32" t="s">
        <v>343</v>
      </c>
      <c r="C6168" s="32" t="s">
        <v>790</v>
      </c>
      <c r="D6168" s="708">
        <v>4000.0</v>
      </c>
      <c r="E6168" s="195">
        <v>5.17</v>
      </c>
      <c r="F6168" s="709">
        <v>0.5267708333333333</v>
      </c>
      <c r="G6168" s="195" t="s">
        <v>453</v>
      </c>
      <c r="H6168" s="710">
        <v>20.0</v>
      </c>
      <c r="I6168" s="256"/>
      <c r="J6168" s="67">
        <f t="shared" si="383"/>
        <v>-20700</v>
      </c>
      <c r="L6168" s="70"/>
      <c r="M6168" s="934"/>
      <c r="N6168" s="94"/>
      <c r="O6168" s="94"/>
      <c r="P6168" s="94"/>
      <c r="Q6168" s="94"/>
      <c r="R6168" s="94"/>
      <c r="S6168" s="94"/>
      <c r="T6168" s="94"/>
      <c r="U6168" s="94"/>
      <c r="V6168" s="94"/>
      <c r="W6168" s="94"/>
      <c r="X6168" s="94"/>
      <c r="Y6168" s="94"/>
      <c r="Z6168" s="94"/>
      <c r="AA6168" s="94"/>
      <c r="AB6168" s="94"/>
      <c r="AC6168" s="94"/>
      <c r="AD6168" s="94"/>
      <c r="AE6168" s="94"/>
      <c r="AF6168" s="94"/>
      <c r="AG6168" s="94"/>
      <c r="AH6168" s="94"/>
    </row>
    <row r="6169" ht="12.75" hidden="1" customHeight="1" outlineLevel="1">
      <c r="A6169" s="122">
        <v>42080.0</v>
      </c>
      <c r="B6169" s="32" t="s">
        <v>343</v>
      </c>
      <c r="C6169" s="32" t="s">
        <v>784</v>
      </c>
      <c r="D6169" s="708">
        <v>4000.0</v>
      </c>
      <c r="E6169" s="195">
        <v>6.03</v>
      </c>
      <c r="F6169" s="709">
        <v>0.5273032407407408</v>
      </c>
      <c r="G6169" s="195" t="s">
        <v>453</v>
      </c>
      <c r="H6169" s="710">
        <v>17.1</v>
      </c>
      <c r="I6169" s="256"/>
      <c r="J6169" s="67">
        <f t="shared" si="383"/>
        <v>-24137.1</v>
      </c>
      <c r="L6169" s="70"/>
      <c r="M6169" s="934"/>
      <c r="N6169" s="94"/>
      <c r="O6169" s="94"/>
      <c r="P6169" s="94"/>
      <c r="Q6169" s="94"/>
      <c r="R6169" s="94"/>
      <c r="S6169" s="94"/>
      <c r="T6169" s="94"/>
      <c r="U6169" s="94"/>
      <c r="V6169" s="94"/>
      <c r="W6169" s="94"/>
      <c r="X6169" s="94"/>
      <c r="Y6169" s="94"/>
      <c r="Z6169" s="94"/>
      <c r="AA6169" s="94"/>
      <c r="AB6169" s="94"/>
      <c r="AC6169" s="94"/>
      <c r="AD6169" s="94"/>
      <c r="AE6169" s="94"/>
      <c r="AF6169" s="94"/>
      <c r="AG6169" s="94"/>
      <c r="AH6169" s="94"/>
    </row>
    <row r="6170" ht="12.75" hidden="1" customHeight="1" outlineLevel="1">
      <c r="A6170" s="122">
        <v>42080.0</v>
      </c>
      <c r="B6170" s="32" t="s">
        <v>343</v>
      </c>
      <c r="C6170" s="32" t="s">
        <v>784</v>
      </c>
      <c r="D6170" s="708">
        <v>2000.0</v>
      </c>
      <c r="E6170" s="195">
        <v>6.079</v>
      </c>
      <c r="F6170" s="709">
        <v>0.5686342592592593</v>
      </c>
      <c r="G6170" s="195" t="s">
        <v>453</v>
      </c>
      <c r="H6170" s="710">
        <v>8.0</v>
      </c>
      <c r="I6170" s="256"/>
      <c r="J6170" s="67">
        <f t="shared" si="383"/>
        <v>-12166</v>
      </c>
      <c r="L6170" s="70"/>
      <c r="M6170" s="934"/>
      <c r="N6170" s="94"/>
      <c r="O6170" s="94"/>
      <c r="P6170" s="94"/>
      <c r="Q6170" s="94"/>
      <c r="R6170" s="94"/>
      <c r="S6170" s="94"/>
      <c r="T6170" s="94"/>
      <c r="U6170" s="94"/>
      <c r="V6170" s="94"/>
      <c r="W6170" s="94"/>
      <c r="X6170" s="94"/>
      <c r="Y6170" s="94"/>
      <c r="Z6170" s="94"/>
      <c r="AA6170" s="94"/>
      <c r="AB6170" s="94"/>
      <c r="AC6170" s="94"/>
      <c r="AD6170" s="94"/>
      <c r="AE6170" s="94"/>
      <c r="AF6170" s="94"/>
      <c r="AG6170" s="94"/>
      <c r="AH6170" s="94"/>
    </row>
    <row r="6171" ht="12.75" hidden="1" customHeight="1" outlineLevel="1">
      <c r="A6171" s="122">
        <v>42080.0</v>
      </c>
      <c r="B6171" s="32" t="s">
        <v>343</v>
      </c>
      <c r="C6171" s="32" t="s">
        <v>790</v>
      </c>
      <c r="D6171" s="708">
        <v>1500.0</v>
      </c>
      <c r="E6171" s="195">
        <v>5.279</v>
      </c>
      <c r="F6171" s="709">
        <v>0.5688078703703704</v>
      </c>
      <c r="G6171" s="195" t="s">
        <v>453</v>
      </c>
      <c r="H6171" s="710">
        <v>6.3</v>
      </c>
      <c r="I6171" s="256"/>
      <c r="J6171" s="67">
        <f t="shared" si="383"/>
        <v>-7924.8</v>
      </c>
      <c r="L6171" s="70"/>
      <c r="M6171" s="934"/>
      <c r="N6171" s="94"/>
      <c r="O6171" s="94"/>
      <c r="P6171" s="94"/>
      <c r="Q6171" s="94"/>
      <c r="R6171" s="94"/>
      <c r="S6171" s="94"/>
      <c r="T6171" s="94"/>
      <c r="U6171" s="94"/>
      <c r="V6171" s="94"/>
      <c r="W6171" s="94"/>
      <c r="X6171" s="94"/>
      <c r="Y6171" s="94"/>
      <c r="Z6171" s="94"/>
      <c r="AA6171" s="94"/>
      <c r="AB6171" s="94"/>
      <c r="AC6171" s="94"/>
      <c r="AD6171" s="94"/>
      <c r="AE6171" s="94"/>
      <c r="AF6171" s="94"/>
      <c r="AG6171" s="94"/>
      <c r="AH6171" s="94"/>
    </row>
    <row r="6172" ht="12.75" hidden="1" customHeight="1" outlineLevel="1">
      <c r="A6172" s="122">
        <v>42080.0</v>
      </c>
      <c r="B6172" s="32" t="s">
        <v>343</v>
      </c>
      <c r="C6172" s="32" t="s">
        <v>2142</v>
      </c>
      <c r="D6172" s="708">
        <v>400.0</v>
      </c>
      <c r="E6172" s="195">
        <v>32.37</v>
      </c>
      <c r="F6172" s="709">
        <v>0.6590625</v>
      </c>
      <c r="G6172" s="195" t="s">
        <v>453</v>
      </c>
      <c r="H6172" s="710">
        <v>1.9</v>
      </c>
      <c r="I6172" s="256"/>
      <c r="J6172" s="67">
        <f t="shared" si="383"/>
        <v>-12949.9</v>
      </c>
      <c r="L6172" s="70"/>
      <c r="M6172" s="934"/>
      <c r="N6172" s="94"/>
      <c r="O6172" s="94"/>
      <c r="P6172" s="94"/>
      <c r="Q6172" s="94"/>
      <c r="R6172" s="94"/>
      <c r="S6172" s="94"/>
      <c r="T6172" s="94"/>
      <c r="U6172" s="94"/>
      <c r="V6172" s="94"/>
      <c r="W6172" s="94"/>
      <c r="X6172" s="94"/>
      <c r="Y6172" s="94"/>
      <c r="Z6172" s="94"/>
      <c r="AA6172" s="94"/>
      <c r="AB6172" s="94"/>
      <c r="AC6172" s="94"/>
      <c r="AD6172" s="94"/>
      <c r="AE6172" s="94"/>
      <c r="AF6172" s="94"/>
      <c r="AG6172" s="94"/>
      <c r="AH6172" s="94"/>
    </row>
    <row r="6173" ht="12.75" hidden="1" customHeight="1" outlineLevel="1">
      <c r="A6173" s="122">
        <v>42080.0</v>
      </c>
      <c r="B6173" s="1"/>
      <c r="C6173" s="1" t="s">
        <v>339</v>
      </c>
      <c r="D6173" s="74"/>
      <c r="E6173" s="67"/>
      <c r="F6173" s="75"/>
      <c r="G6173" s="67"/>
      <c r="H6173" s="68"/>
      <c r="I6173" s="76"/>
      <c r="K6173" s="968" t="s">
        <v>2855</v>
      </c>
      <c r="L6173" s="934"/>
      <c r="M6173" s="934"/>
    </row>
    <row r="6174" ht="12.75" hidden="1" customHeight="1" outlineLevel="1">
      <c r="A6174" s="122">
        <v>42080.0</v>
      </c>
      <c r="B6174" s="1"/>
      <c r="C6174" s="1" t="s">
        <v>429</v>
      </c>
      <c r="D6174" s="74"/>
      <c r="E6174" s="67"/>
      <c r="F6174" s="75"/>
      <c r="G6174" s="67"/>
      <c r="H6174" s="68"/>
      <c r="I6174" s="76"/>
      <c r="J6174" s="67"/>
      <c r="K6174" s="9" t="s">
        <v>2839</v>
      </c>
      <c r="L6174" s="934"/>
      <c r="M6174" s="934"/>
    </row>
    <row r="6175" ht="12.75" hidden="1" customHeight="1" outlineLevel="1">
      <c r="A6175" s="122">
        <v>42080.0</v>
      </c>
      <c r="B6175" s="1"/>
      <c r="C6175" s="1" t="s">
        <v>431</v>
      </c>
      <c r="D6175" s="74"/>
      <c r="E6175" s="67"/>
      <c r="F6175" s="75"/>
      <c r="G6175" s="67"/>
      <c r="H6175" s="68"/>
      <c r="I6175" s="76"/>
      <c r="J6175" s="67"/>
      <c r="K6175" s="7" t="s">
        <v>1126</v>
      </c>
      <c r="L6175" s="934"/>
      <c r="M6175" s="934"/>
    </row>
    <row r="6176" ht="12.75" hidden="1" customHeight="1" outlineLevel="1">
      <c r="A6176" s="122">
        <v>42080.0</v>
      </c>
      <c r="B6176" s="1"/>
      <c r="C6176" s="1" t="s">
        <v>433</v>
      </c>
      <c r="D6176" s="74"/>
      <c r="E6176" s="67"/>
      <c r="F6176" s="75"/>
      <c r="G6176" s="67"/>
      <c r="H6176" s="68"/>
      <c r="I6176" s="76"/>
      <c r="J6176" s="67"/>
      <c r="K6176" s="7" t="s">
        <v>1103</v>
      </c>
      <c r="L6176" s="934"/>
      <c r="M6176" s="934"/>
    </row>
    <row r="6177" ht="12.75" hidden="1" customHeight="1" outlineLevel="1">
      <c r="A6177" s="122">
        <v>42080.0</v>
      </c>
      <c r="B6177" s="1"/>
      <c r="C6177" s="1" t="s">
        <v>435</v>
      </c>
      <c r="D6177" s="74"/>
      <c r="E6177" s="67"/>
      <c r="F6177" s="75"/>
      <c r="G6177" s="67"/>
      <c r="H6177" s="68"/>
      <c r="I6177" s="76"/>
      <c r="J6177" s="67"/>
      <c r="K6177" s="9" t="s">
        <v>2802</v>
      </c>
      <c r="L6177" s="934"/>
      <c r="M6177" s="934"/>
    </row>
    <row r="6178" ht="12.75" hidden="1" customHeight="1" outlineLevel="1">
      <c r="A6178" s="122">
        <v>42081.0</v>
      </c>
      <c r="B6178" s="32" t="s">
        <v>343</v>
      </c>
      <c r="C6178" s="32" t="s">
        <v>1074</v>
      </c>
      <c r="D6178" s="708">
        <v>200.0</v>
      </c>
      <c r="E6178" s="195">
        <v>114.788</v>
      </c>
      <c r="F6178" s="709">
        <v>0.40622685185185187</v>
      </c>
      <c r="G6178" s="195" t="s">
        <v>453</v>
      </c>
      <c r="H6178" s="710">
        <v>1.0</v>
      </c>
      <c r="I6178" s="256"/>
      <c r="J6178" s="67">
        <f t="shared" ref="J6178:J6192" si="384">IF(B6178="SLD",D6178*E6178,-D6178*E6178)-H6178</f>
        <v>-22958.6</v>
      </c>
      <c r="L6178" s="70"/>
      <c r="M6178" s="934"/>
      <c r="N6178" s="94"/>
      <c r="O6178" s="94"/>
      <c r="P6178" s="94"/>
      <c r="Q6178" s="94"/>
      <c r="R6178" s="94"/>
      <c r="S6178" s="94"/>
      <c r="T6178" s="94"/>
      <c r="U6178" s="94"/>
      <c r="V6178" s="94"/>
      <c r="W6178" s="94"/>
      <c r="X6178" s="94"/>
      <c r="Y6178" s="94"/>
      <c r="Z6178" s="94"/>
      <c r="AA6178" s="94"/>
      <c r="AB6178" s="94"/>
      <c r="AC6178" s="94"/>
      <c r="AD6178" s="94"/>
      <c r="AE6178" s="94"/>
      <c r="AF6178" s="94"/>
      <c r="AG6178" s="94"/>
      <c r="AH6178" s="94"/>
    </row>
    <row r="6179" ht="12.75" hidden="1" customHeight="1" outlineLevel="1">
      <c r="A6179" s="122">
        <v>42081.0</v>
      </c>
      <c r="B6179" s="32" t="s">
        <v>343</v>
      </c>
      <c r="C6179" s="32" t="s">
        <v>2856</v>
      </c>
      <c r="D6179" s="708">
        <v>200.0</v>
      </c>
      <c r="E6179" s="195">
        <v>108.47</v>
      </c>
      <c r="F6179" s="709">
        <v>0.4065162037037037</v>
      </c>
      <c r="G6179" s="195" t="s">
        <v>453</v>
      </c>
      <c r="H6179" s="710">
        <v>1.0</v>
      </c>
      <c r="I6179" s="256"/>
      <c r="J6179" s="67">
        <f t="shared" si="384"/>
        <v>-21695</v>
      </c>
      <c r="L6179" s="70"/>
      <c r="M6179" s="934"/>
      <c r="N6179" s="94"/>
      <c r="O6179" s="94"/>
      <c r="P6179" s="94"/>
      <c r="Q6179" s="94"/>
      <c r="R6179" s="94"/>
      <c r="S6179" s="94"/>
      <c r="T6179" s="94"/>
      <c r="U6179" s="94"/>
      <c r="V6179" s="94"/>
      <c r="W6179" s="94"/>
      <c r="X6179" s="94"/>
      <c r="Y6179" s="94"/>
      <c r="Z6179" s="94"/>
      <c r="AA6179" s="94"/>
      <c r="AB6179" s="94"/>
      <c r="AC6179" s="94"/>
      <c r="AD6179" s="94"/>
      <c r="AE6179" s="94"/>
      <c r="AF6179" s="94"/>
      <c r="AG6179" s="94"/>
      <c r="AH6179" s="94"/>
    </row>
    <row r="6180" ht="12.75" hidden="1" customHeight="1" outlineLevel="1">
      <c r="A6180" s="122">
        <v>42081.0</v>
      </c>
      <c r="B6180" s="32" t="s">
        <v>343</v>
      </c>
      <c r="C6180" s="32" t="s">
        <v>2142</v>
      </c>
      <c r="D6180" s="708">
        <v>400.0</v>
      </c>
      <c r="E6180" s="195">
        <v>32.002</v>
      </c>
      <c r="F6180" s="709">
        <v>0.40686342592592595</v>
      </c>
      <c r="G6180" s="195" t="s">
        <v>453</v>
      </c>
      <c r="H6180" s="710">
        <v>2.0</v>
      </c>
      <c r="I6180" s="256"/>
      <c r="J6180" s="67">
        <f t="shared" si="384"/>
        <v>-12802.8</v>
      </c>
      <c r="L6180" s="70"/>
      <c r="M6180" s="934"/>
      <c r="N6180" s="94"/>
      <c r="O6180" s="94"/>
      <c r="P6180" s="94"/>
      <c r="Q6180" s="94"/>
      <c r="R6180" s="94"/>
      <c r="S6180" s="94"/>
      <c r="T6180" s="94"/>
      <c r="U6180" s="94"/>
      <c r="V6180" s="94"/>
      <c r="W6180" s="94"/>
      <c r="X6180" s="94"/>
      <c r="Y6180" s="94"/>
      <c r="Z6180" s="94"/>
      <c r="AA6180" s="94"/>
      <c r="AB6180" s="94"/>
      <c r="AC6180" s="94"/>
      <c r="AD6180" s="94"/>
      <c r="AE6180" s="94"/>
      <c r="AF6180" s="94"/>
      <c r="AG6180" s="94"/>
      <c r="AH6180" s="94"/>
    </row>
    <row r="6181" ht="12.75" hidden="1" customHeight="1" outlineLevel="1">
      <c r="A6181" s="122">
        <v>42081.0</v>
      </c>
      <c r="B6181" s="32" t="s">
        <v>347</v>
      </c>
      <c r="C6181" s="32" t="s">
        <v>2048</v>
      </c>
      <c r="D6181" s="708">
        <v>2000.0</v>
      </c>
      <c r="E6181" s="195">
        <v>8.94</v>
      </c>
      <c r="F6181" s="709">
        <v>0.4118981481481481</v>
      </c>
      <c r="G6181" s="195" t="s">
        <v>453</v>
      </c>
      <c r="H6181" s="710">
        <v>10.33</v>
      </c>
      <c r="I6181" s="256"/>
      <c r="J6181" s="67">
        <f t="shared" si="384"/>
        <v>17869.67</v>
      </c>
      <c r="L6181" s="70"/>
      <c r="M6181" s="934"/>
      <c r="N6181" s="94"/>
      <c r="O6181" s="94"/>
      <c r="P6181" s="94"/>
      <c r="Q6181" s="94"/>
      <c r="R6181" s="94"/>
      <c r="S6181" s="94"/>
      <c r="T6181" s="94"/>
      <c r="U6181" s="94"/>
      <c r="V6181" s="94"/>
      <c r="W6181" s="94"/>
      <c r="X6181" s="94"/>
      <c r="Y6181" s="94"/>
      <c r="Z6181" s="94"/>
      <c r="AA6181" s="94"/>
      <c r="AB6181" s="94"/>
      <c r="AC6181" s="94"/>
      <c r="AD6181" s="94"/>
      <c r="AE6181" s="94"/>
      <c r="AF6181" s="94"/>
      <c r="AG6181" s="94"/>
      <c r="AH6181" s="94"/>
    </row>
    <row r="6182" ht="12.75" hidden="1" customHeight="1" outlineLevel="1">
      <c r="A6182" s="122">
        <v>42081.0</v>
      </c>
      <c r="B6182" s="32" t="s">
        <v>347</v>
      </c>
      <c r="C6182" s="32" t="s">
        <v>2192</v>
      </c>
      <c r="D6182" s="708">
        <v>2000.0</v>
      </c>
      <c r="E6182" s="195">
        <v>11.18</v>
      </c>
      <c r="F6182" s="709">
        <v>0.41203703703703703</v>
      </c>
      <c r="G6182" s="195" t="s">
        <v>453</v>
      </c>
      <c r="H6182" s="710">
        <v>10.41</v>
      </c>
      <c r="I6182" s="256"/>
      <c r="J6182" s="67">
        <f t="shared" si="384"/>
        <v>22349.59</v>
      </c>
      <c r="L6182" s="70"/>
      <c r="M6182" s="934"/>
      <c r="N6182" s="94"/>
      <c r="O6182" s="94"/>
      <c r="P6182" s="94"/>
      <c r="Q6182" s="94"/>
      <c r="R6182" s="94"/>
      <c r="S6182" s="94"/>
      <c r="T6182" s="94"/>
      <c r="U6182" s="94"/>
      <c r="V6182" s="94"/>
      <c r="W6182" s="94"/>
      <c r="X6182" s="94"/>
      <c r="Y6182" s="94"/>
      <c r="Z6182" s="94"/>
      <c r="AA6182" s="94"/>
      <c r="AB6182" s="94"/>
      <c r="AC6182" s="94"/>
      <c r="AD6182" s="94"/>
      <c r="AE6182" s="94"/>
      <c r="AF6182" s="94"/>
      <c r="AG6182" s="94"/>
      <c r="AH6182" s="94"/>
    </row>
    <row r="6183" ht="12.75" hidden="1" customHeight="1" outlineLevel="1">
      <c r="A6183" s="122">
        <v>42081.0</v>
      </c>
      <c r="B6183" s="32" t="s">
        <v>347</v>
      </c>
      <c r="C6183" s="32" t="s">
        <v>1844</v>
      </c>
      <c r="D6183" s="708">
        <v>200.0</v>
      </c>
      <c r="E6183" s="195">
        <v>39.15</v>
      </c>
      <c r="F6183" s="709">
        <v>0.41215277777777776</v>
      </c>
      <c r="G6183" s="195" t="s">
        <v>453</v>
      </c>
      <c r="H6183" s="710">
        <v>1.14</v>
      </c>
      <c r="I6183" s="256"/>
      <c r="J6183" s="67">
        <f t="shared" si="384"/>
        <v>7828.86</v>
      </c>
      <c r="L6183" s="70"/>
      <c r="M6183" s="934"/>
      <c r="N6183" s="94"/>
      <c r="O6183" s="94"/>
      <c r="P6183" s="94"/>
      <c r="Q6183" s="94"/>
      <c r="R6183" s="94"/>
      <c r="S6183" s="94"/>
      <c r="T6183" s="94"/>
      <c r="U6183" s="94"/>
      <c r="V6183" s="94"/>
      <c r="W6183" s="94"/>
      <c r="X6183" s="94"/>
      <c r="Y6183" s="94"/>
      <c r="Z6183" s="94"/>
      <c r="AA6183" s="94"/>
      <c r="AB6183" s="94"/>
      <c r="AC6183" s="94"/>
      <c r="AD6183" s="94"/>
      <c r="AE6183" s="94"/>
      <c r="AF6183" s="94"/>
      <c r="AG6183" s="94"/>
      <c r="AH6183" s="94"/>
    </row>
    <row r="6184" ht="12.75" hidden="1" customHeight="1" outlineLevel="1">
      <c r="A6184" s="122">
        <v>42081.0</v>
      </c>
      <c r="B6184" s="32" t="s">
        <v>343</v>
      </c>
      <c r="C6184" s="32" t="s">
        <v>2048</v>
      </c>
      <c r="D6184" s="708">
        <v>7500.0</v>
      </c>
      <c r="E6184" s="195">
        <v>9.42</v>
      </c>
      <c r="F6184" s="709">
        <v>0.5974074074074074</v>
      </c>
      <c r="G6184" s="195" t="s">
        <v>453</v>
      </c>
      <c r="H6184" s="710">
        <v>32.9</v>
      </c>
      <c r="I6184" s="256"/>
      <c r="J6184" s="67">
        <f t="shared" si="384"/>
        <v>-70682.9</v>
      </c>
      <c r="L6184" s="70"/>
      <c r="M6184" s="934"/>
      <c r="N6184" s="94"/>
      <c r="O6184" s="94"/>
      <c r="P6184" s="94"/>
      <c r="Q6184" s="94"/>
      <c r="R6184" s="94"/>
      <c r="S6184" s="94"/>
      <c r="T6184" s="94"/>
      <c r="U6184" s="94"/>
      <c r="V6184" s="94"/>
      <c r="W6184" s="94"/>
      <c r="X6184" s="94"/>
      <c r="Y6184" s="94"/>
      <c r="Z6184" s="94"/>
      <c r="AA6184" s="94"/>
      <c r="AB6184" s="94"/>
      <c r="AC6184" s="94"/>
      <c r="AD6184" s="94"/>
      <c r="AE6184" s="94"/>
      <c r="AF6184" s="94"/>
      <c r="AG6184" s="94"/>
      <c r="AH6184" s="94"/>
    </row>
    <row r="6185" ht="12.75" hidden="1" customHeight="1" outlineLevel="1">
      <c r="A6185" s="122">
        <v>42081.0</v>
      </c>
      <c r="B6185" s="32" t="s">
        <v>343</v>
      </c>
      <c r="C6185" s="32" t="s">
        <v>2192</v>
      </c>
      <c r="D6185" s="708">
        <v>5500.0</v>
      </c>
      <c r="E6185" s="195">
        <v>11.63</v>
      </c>
      <c r="F6185" s="709">
        <v>0.5976388888888889</v>
      </c>
      <c r="G6185" s="195" t="s">
        <v>453</v>
      </c>
      <c r="H6185" s="710">
        <v>22.8</v>
      </c>
      <c r="I6185" s="256"/>
      <c r="J6185" s="67">
        <f t="shared" si="384"/>
        <v>-63987.8</v>
      </c>
      <c r="L6185" s="70"/>
      <c r="M6185" s="934"/>
      <c r="N6185" s="94"/>
      <c r="O6185" s="94"/>
      <c r="P6185" s="94"/>
      <c r="Q6185" s="94"/>
      <c r="R6185" s="94"/>
      <c r="S6185" s="94"/>
      <c r="T6185" s="94"/>
      <c r="U6185" s="94"/>
      <c r="V6185" s="94"/>
      <c r="W6185" s="94"/>
      <c r="X6185" s="94"/>
      <c r="Y6185" s="94"/>
      <c r="Z6185" s="94"/>
      <c r="AA6185" s="94"/>
      <c r="AB6185" s="94"/>
      <c r="AC6185" s="94"/>
      <c r="AD6185" s="94"/>
      <c r="AE6185" s="94"/>
      <c r="AF6185" s="94"/>
      <c r="AG6185" s="94"/>
      <c r="AH6185" s="94"/>
    </row>
    <row r="6186" ht="12.75" hidden="1" customHeight="1" outlineLevel="1">
      <c r="A6186" s="122">
        <v>42081.0</v>
      </c>
      <c r="B6186" s="32" t="s">
        <v>343</v>
      </c>
      <c r="C6186" s="32" t="s">
        <v>1844</v>
      </c>
      <c r="D6186" s="708">
        <v>1200.0</v>
      </c>
      <c r="E6186" s="195">
        <v>40.87</v>
      </c>
      <c r="F6186" s="709">
        <v>0.5979745370370371</v>
      </c>
      <c r="G6186" s="195" t="s">
        <v>453</v>
      </c>
      <c r="H6186" s="710">
        <v>5.0</v>
      </c>
      <c r="I6186" s="256"/>
      <c r="J6186" s="67">
        <f t="shared" si="384"/>
        <v>-49049</v>
      </c>
      <c r="L6186" s="70"/>
      <c r="M6186" s="934"/>
      <c r="N6186" s="94"/>
      <c r="O6186" s="94"/>
      <c r="P6186" s="94"/>
      <c r="Q6186" s="94"/>
      <c r="R6186" s="94"/>
      <c r="S6186" s="94"/>
      <c r="T6186" s="94"/>
      <c r="U6186" s="94"/>
      <c r="V6186" s="94"/>
      <c r="W6186" s="94"/>
      <c r="X6186" s="94"/>
      <c r="Y6186" s="94"/>
      <c r="Z6186" s="94"/>
      <c r="AA6186" s="94"/>
      <c r="AB6186" s="94"/>
      <c r="AC6186" s="94"/>
      <c r="AD6186" s="94"/>
      <c r="AE6186" s="94"/>
      <c r="AF6186" s="94"/>
      <c r="AG6186" s="94"/>
      <c r="AH6186" s="94"/>
    </row>
    <row r="6187" ht="12.75" hidden="1" customHeight="1" outlineLevel="1">
      <c r="A6187" s="122">
        <v>42081.0</v>
      </c>
      <c r="B6187" s="32" t="s">
        <v>347</v>
      </c>
      <c r="C6187" s="32" t="s">
        <v>1158</v>
      </c>
      <c r="D6187" s="708">
        <v>350.0</v>
      </c>
      <c r="E6187" s="195">
        <v>45.561</v>
      </c>
      <c r="F6187" s="709">
        <v>0.5988078703703704</v>
      </c>
      <c r="G6187" s="195" t="s">
        <v>453</v>
      </c>
      <c r="H6187" s="710">
        <v>1.69</v>
      </c>
      <c r="I6187" s="256"/>
      <c r="J6187" s="67">
        <f t="shared" si="384"/>
        <v>15944.66</v>
      </c>
      <c r="L6187" s="70"/>
      <c r="M6187" s="934"/>
      <c r="N6187" s="94"/>
      <c r="O6187" s="94"/>
      <c r="P6187" s="94"/>
      <c r="Q6187" s="94"/>
      <c r="R6187" s="94"/>
      <c r="S6187" s="94"/>
      <c r="T6187" s="94"/>
      <c r="U6187" s="94"/>
      <c r="V6187" s="94"/>
      <c r="W6187" s="94"/>
      <c r="X6187" s="94"/>
      <c r="Y6187" s="94"/>
      <c r="Z6187" s="94"/>
      <c r="AA6187" s="94"/>
      <c r="AB6187" s="94"/>
      <c r="AC6187" s="94"/>
      <c r="AD6187" s="94"/>
      <c r="AE6187" s="94"/>
      <c r="AF6187" s="94"/>
      <c r="AG6187" s="94"/>
      <c r="AH6187" s="94"/>
    </row>
    <row r="6188" ht="12.75" hidden="1" customHeight="1" outlineLevel="1">
      <c r="A6188" s="122">
        <v>42081.0</v>
      </c>
      <c r="B6188" s="32" t="s">
        <v>347</v>
      </c>
      <c r="C6188" s="32" t="s">
        <v>1164</v>
      </c>
      <c r="D6188" s="708">
        <v>300.0</v>
      </c>
      <c r="E6188" s="195">
        <v>45.361</v>
      </c>
      <c r="F6188" s="709">
        <v>0.5992592592592593</v>
      </c>
      <c r="G6188" s="195" t="s">
        <v>453</v>
      </c>
      <c r="H6188" s="710">
        <v>1.45</v>
      </c>
      <c r="I6188" s="256"/>
      <c r="J6188" s="67">
        <f t="shared" si="384"/>
        <v>13606.85</v>
      </c>
      <c r="L6188" s="70"/>
      <c r="M6188" s="934"/>
      <c r="N6188" s="94"/>
      <c r="O6188" s="94"/>
      <c r="P6188" s="94"/>
      <c r="Q6188" s="94"/>
      <c r="R6188" s="94"/>
      <c r="S6188" s="94"/>
      <c r="T6188" s="94"/>
      <c r="U6188" s="94"/>
      <c r="V6188" s="94"/>
      <c r="W6188" s="94"/>
      <c r="X6188" s="94"/>
      <c r="Y6188" s="94"/>
      <c r="Z6188" s="94"/>
      <c r="AA6188" s="94"/>
      <c r="AB6188" s="94"/>
      <c r="AC6188" s="94"/>
      <c r="AD6188" s="94"/>
      <c r="AE6188" s="94"/>
      <c r="AF6188" s="94"/>
      <c r="AG6188" s="94"/>
      <c r="AH6188" s="94"/>
    </row>
    <row r="6189" ht="12.75" hidden="1" customHeight="1" outlineLevel="1">
      <c r="A6189" s="122">
        <v>42081.0</v>
      </c>
      <c r="B6189" s="32" t="s">
        <v>347</v>
      </c>
      <c r="C6189" s="32" t="s">
        <v>784</v>
      </c>
      <c r="D6189" s="708">
        <v>1500.0</v>
      </c>
      <c r="E6189" s="195">
        <v>6.065</v>
      </c>
      <c r="F6189" s="709">
        <v>0.6130671296296296</v>
      </c>
      <c r="G6189" s="195" t="s">
        <v>453</v>
      </c>
      <c r="H6189" s="710">
        <v>7.67</v>
      </c>
      <c r="I6189" s="256"/>
      <c r="J6189" s="67">
        <f t="shared" si="384"/>
        <v>9089.83</v>
      </c>
      <c r="L6189" s="70"/>
      <c r="M6189" s="934"/>
      <c r="N6189" s="94"/>
      <c r="O6189" s="94"/>
      <c r="P6189" s="94"/>
      <c r="Q6189" s="94"/>
      <c r="R6189" s="94"/>
      <c r="S6189" s="94"/>
      <c r="T6189" s="94"/>
      <c r="U6189" s="94"/>
      <c r="V6189" s="94"/>
      <c r="W6189" s="94"/>
      <c r="X6189" s="94"/>
      <c r="Y6189" s="94"/>
      <c r="Z6189" s="94"/>
      <c r="AA6189" s="94"/>
      <c r="AB6189" s="94"/>
      <c r="AC6189" s="94"/>
      <c r="AD6189" s="94"/>
      <c r="AE6189" s="94"/>
      <c r="AF6189" s="94"/>
      <c r="AG6189" s="94"/>
      <c r="AH6189" s="94"/>
    </row>
    <row r="6190" ht="12.75" hidden="1" customHeight="1" outlineLevel="1">
      <c r="A6190" s="122">
        <v>42081.0</v>
      </c>
      <c r="B6190" s="32" t="s">
        <v>347</v>
      </c>
      <c r="C6190" s="32" t="s">
        <v>784</v>
      </c>
      <c r="D6190" s="708">
        <v>1500.0</v>
      </c>
      <c r="E6190" s="195">
        <v>6.051</v>
      </c>
      <c r="F6190" s="709">
        <v>0.6180555555555556</v>
      </c>
      <c r="G6190" s="195" t="s">
        <v>453</v>
      </c>
      <c r="H6190" s="710">
        <v>6.17</v>
      </c>
      <c r="I6190" s="256"/>
      <c r="J6190" s="67">
        <f t="shared" si="384"/>
        <v>9070.33</v>
      </c>
      <c r="L6190" s="70"/>
      <c r="M6190" s="934"/>
      <c r="N6190" s="94"/>
      <c r="O6190" s="94"/>
      <c r="P6190" s="94"/>
      <c r="Q6190" s="94"/>
      <c r="R6190" s="94"/>
      <c r="S6190" s="94"/>
      <c r="T6190" s="94"/>
      <c r="U6190" s="94"/>
      <c r="V6190" s="94"/>
      <c r="W6190" s="94"/>
      <c r="X6190" s="94"/>
      <c r="Y6190" s="94"/>
      <c r="Z6190" s="94"/>
      <c r="AA6190" s="94"/>
      <c r="AB6190" s="94"/>
      <c r="AC6190" s="94"/>
      <c r="AD6190" s="94"/>
      <c r="AE6190" s="94"/>
      <c r="AF6190" s="94"/>
      <c r="AG6190" s="94"/>
      <c r="AH6190" s="94"/>
    </row>
    <row r="6191" ht="12.75" hidden="1" customHeight="1" outlineLevel="1">
      <c r="A6191" s="122">
        <v>42081.0</v>
      </c>
      <c r="B6191" s="32" t="s">
        <v>343</v>
      </c>
      <c r="C6191" s="32" t="s">
        <v>369</v>
      </c>
      <c r="D6191" s="708">
        <v>2000.0</v>
      </c>
      <c r="E6191" s="195">
        <v>4.42</v>
      </c>
      <c r="F6191" s="709">
        <v>0.6332523148148148</v>
      </c>
      <c r="G6191" s="195" t="s">
        <v>453</v>
      </c>
      <c r="H6191" s="710">
        <v>8.0</v>
      </c>
      <c r="I6191" s="256"/>
      <c r="J6191" s="67">
        <f t="shared" si="384"/>
        <v>-8848</v>
      </c>
      <c r="L6191" s="70"/>
      <c r="M6191" s="934"/>
      <c r="N6191" s="94"/>
      <c r="O6191" s="94"/>
      <c r="P6191" s="94"/>
      <c r="Q6191" s="94"/>
      <c r="R6191" s="94"/>
      <c r="S6191" s="94"/>
      <c r="T6191" s="94"/>
      <c r="U6191" s="94"/>
      <c r="V6191" s="94"/>
      <c r="W6191" s="94"/>
      <c r="X6191" s="94"/>
      <c r="Y6191" s="94"/>
      <c r="Z6191" s="94"/>
      <c r="AA6191" s="94"/>
      <c r="AB6191" s="94"/>
      <c r="AC6191" s="94"/>
      <c r="AD6191" s="94"/>
      <c r="AE6191" s="94"/>
      <c r="AF6191" s="94"/>
      <c r="AG6191" s="94"/>
      <c r="AH6191" s="94"/>
    </row>
    <row r="6192" ht="12.75" hidden="1" customHeight="1" outlineLevel="1">
      <c r="A6192" s="122">
        <v>42081.0</v>
      </c>
      <c r="B6192" s="32" t="s">
        <v>343</v>
      </c>
      <c r="C6192" s="32" t="s">
        <v>369</v>
      </c>
      <c r="D6192" s="708">
        <v>4000.0</v>
      </c>
      <c r="E6192" s="195">
        <v>4.41</v>
      </c>
      <c r="F6192" s="709">
        <v>0.6344560185185185</v>
      </c>
      <c r="G6192" s="195" t="s">
        <v>453</v>
      </c>
      <c r="H6192" s="710">
        <v>16.0</v>
      </c>
      <c r="I6192" s="256"/>
      <c r="J6192" s="67">
        <f t="shared" si="384"/>
        <v>-17656</v>
      </c>
      <c r="L6192" s="70"/>
      <c r="M6192" s="934"/>
      <c r="N6192" s="94"/>
      <c r="O6192" s="94"/>
      <c r="P6192" s="94"/>
      <c r="Q6192" s="94"/>
      <c r="R6192" s="94"/>
      <c r="S6192" s="94"/>
      <c r="T6192" s="94"/>
      <c r="U6192" s="94"/>
      <c r="V6192" s="94"/>
      <c r="W6192" s="94"/>
      <c r="X6192" s="94"/>
      <c r="Y6192" s="94"/>
      <c r="Z6192" s="94"/>
      <c r="AA6192" s="94"/>
      <c r="AB6192" s="94"/>
      <c r="AC6192" s="94"/>
      <c r="AD6192" s="94"/>
      <c r="AE6192" s="94"/>
      <c r="AF6192" s="94"/>
      <c r="AG6192" s="94"/>
      <c r="AH6192" s="94"/>
    </row>
    <row r="6193" ht="12.75" hidden="1" customHeight="1" outlineLevel="1">
      <c r="A6193" s="122">
        <v>42081.0</v>
      </c>
      <c r="B6193" s="1"/>
      <c r="C6193" s="1" t="s">
        <v>339</v>
      </c>
      <c r="D6193" s="74"/>
      <c r="E6193" s="67"/>
      <c r="F6193" s="75"/>
      <c r="G6193" s="67"/>
      <c r="H6193" s="68"/>
      <c r="I6193" s="76"/>
      <c r="K6193" s="968" t="s">
        <v>2859</v>
      </c>
      <c r="L6193" s="934"/>
      <c r="M6193" s="934"/>
    </row>
    <row r="6194" ht="12.75" hidden="1" customHeight="1" outlineLevel="1">
      <c r="A6194" s="122">
        <v>42081.0</v>
      </c>
      <c r="B6194" s="1"/>
      <c r="C6194" s="1" t="s">
        <v>429</v>
      </c>
      <c r="D6194" s="74"/>
      <c r="E6194" s="67"/>
      <c r="F6194" s="75"/>
      <c r="G6194" s="67"/>
      <c r="H6194" s="68"/>
      <c r="I6194" s="76"/>
      <c r="J6194" s="67"/>
      <c r="K6194" s="9" t="s">
        <v>2839</v>
      </c>
      <c r="L6194" s="934"/>
      <c r="M6194" s="934"/>
    </row>
    <row r="6195" ht="12.75" hidden="1" customHeight="1" outlineLevel="1">
      <c r="A6195" s="122">
        <v>42081.0</v>
      </c>
      <c r="B6195" s="1"/>
      <c r="C6195" s="1" t="s">
        <v>431</v>
      </c>
      <c r="D6195" s="74"/>
      <c r="E6195" s="67"/>
      <c r="F6195" s="75"/>
      <c r="G6195" s="67"/>
      <c r="H6195" s="68"/>
      <c r="I6195" s="76"/>
      <c r="J6195" s="67"/>
      <c r="K6195" s="7" t="s">
        <v>1126</v>
      </c>
      <c r="L6195" s="934"/>
      <c r="M6195" s="934"/>
    </row>
    <row r="6196" ht="12.75" hidden="1" customHeight="1" outlineLevel="1">
      <c r="A6196" s="122">
        <v>42081.0</v>
      </c>
      <c r="B6196" s="1"/>
      <c r="C6196" s="1" t="s">
        <v>433</v>
      </c>
      <c r="D6196" s="74"/>
      <c r="E6196" s="67"/>
      <c r="F6196" s="75"/>
      <c r="G6196" s="67"/>
      <c r="H6196" s="68"/>
      <c r="I6196" s="76"/>
      <c r="J6196" s="67"/>
      <c r="K6196" s="7" t="s">
        <v>1103</v>
      </c>
      <c r="L6196" s="934"/>
      <c r="M6196" s="934"/>
    </row>
    <row r="6197" ht="12.75" hidden="1" customHeight="1" outlineLevel="1">
      <c r="A6197" s="122">
        <v>42081.0</v>
      </c>
      <c r="B6197" s="1"/>
      <c r="C6197" s="1" t="s">
        <v>435</v>
      </c>
      <c r="D6197" s="74"/>
      <c r="E6197" s="67"/>
      <c r="F6197" s="75"/>
      <c r="G6197" s="67"/>
      <c r="H6197" s="68"/>
      <c r="I6197" s="76"/>
      <c r="J6197" s="67"/>
      <c r="K6197" s="9" t="s">
        <v>2802</v>
      </c>
      <c r="L6197" s="934"/>
      <c r="M6197" s="934"/>
    </row>
    <row r="6198" ht="12.75" hidden="1" customHeight="1" outlineLevel="1">
      <c r="A6198" s="122">
        <v>42082.0</v>
      </c>
      <c r="B6198" s="32" t="s">
        <v>347</v>
      </c>
      <c r="C6198" s="32" t="s">
        <v>790</v>
      </c>
      <c r="D6198" s="708">
        <v>4000.0</v>
      </c>
      <c r="E6198" s="195">
        <v>5.461</v>
      </c>
      <c r="F6198" s="709">
        <v>0.39719907407407407</v>
      </c>
      <c r="G6198" s="195" t="s">
        <v>453</v>
      </c>
      <c r="H6198" s="710">
        <v>16.4</v>
      </c>
      <c r="I6198" s="256"/>
      <c r="J6198" s="67">
        <f t="shared" ref="J6198:J6227" si="385">IF(B6198="SLD",D6198*E6198,-D6198*E6198)-H6198</f>
        <v>21827.6</v>
      </c>
      <c r="L6198" s="70"/>
      <c r="M6198" s="934"/>
      <c r="N6198" s="94"/>
      <c r="O6198" s="94"/>
      <c r="P6198" s="94"/>
      <c r="Q6198" s="94"/>
      <c r="R6198" s="94"/>
      <c r="S6198" s="94"/>
      <c r="T6198" s="94"/>
      <c r="U6198" s="94"/>
      <c r="V6198" s="94"/>
      <c r="W6198" s="94"/>
      <c r="X6198" s="94"/>
      <c r="Y6198" s="94"/>
      <c r="Z6198" s="94"/>
      <c r="AA6198" s="94"/>
      <c r="AB6198" s="94"/>
      <c r="AC6198" s="94"/>
      <c r="AD6198" s="94"/>
      <c r="AE6198" s="94"/>
      <c r="AF6198" s="94"/>
      <c r="AG6198" s="94"/>
      <c r="AH6198" s="94"/>
    </row>
    <row r="6199" ht="12.75" hidden="1" customHeight="1" outlineLevel="1">
      <c r="A6199" s="122">
        <v>42082.0</v>
      </c>
      <c r="B6199" s="32" t="s">
        <v>347</v>
      </c>
      <c r="C6199" s="32" t="s">
        <v>784</v>
      </c>
      <c r="D6199" s="708">
        <v>4000.0</v>
      </c>
      <c r="E6199" s="195">
        <v>5.941</v>
      </c>
      <c r="F6199" s="709">
        <v>0.3974652777777778</v>
      </c>
      <c r="G6199" s="195" t="s">
        <v>453</v>
      </c>
      <c r="H6199" s="710">
        <v>16.44</v>
      </c>
      <c r="I6199" s="256"/>
      <c r="J6199" s="67">
        <f t="shared" si="385"/>
        <v>23747.56</v>
      </c>
      <c r="L6199" s="70"/>
      <c r="M6199" s="934"/>
      <c r="N6199" s="94"/>
      <c r="O6199" s="94"/>
      <c r="P6199" s="94"/>
      <c r="Q6199" s="94"/>
      <c r="R6199" s="94"/>
      <c r="S6199" s="94"/>
      <c r="T6199" s="94"/>
      <c r="U6199" s="94"/>
      <c r="V6199" s="94"/>
      <c r="W6199" s="94"/>
      <c r="X6199" s="94"/>
      <c r="Y6199" s="94"/>
      <c r="Z6199" s="94"/>
      <c r="AA6199" s="94"/>
      <c r="AB6199" s="94"/>
      <c r="AC6199" s="94"/>
      <c r="AD6199" s="94"/>
      <c r="AE6199" s="94"/>
      <c r="AF6199" s="94"/>
      <c r="AG6199" s="94"/>
      <c r="AH6199" s="94"/>
    </row>
    <row r="6200" ht="12.75" hidden="1" customHeight="1" outlineLevel="1">
      <c r="A6200" s="122">
        <v>42082.0</v>
      </c>
      <c r="B6200" s="32" t="s">
        <v>347</v>
      </c>
      <c r="C6200" s="32" t="s">
        <v>2048</v>
      </c>
      <c r="D6200" s="708">
        <v>1000.0</v>
      </c>
      <c r="E6200" s="195">
        <v>9.311</v>
      </c>
      <c r="F6200" s="709">
        <v>0.39762731481481484</v>
      </c>
      <c r="G6200" s="195" t="s">
        <v>453</v>
      </c>
      <c r="H6200" s="710">
        <v>4.17</v>
      </c>
      <c r="I6200" s="256"/>
      <c r="J6200" s="67">
        <f t="shared" si="385"/>
        <v>9306.83</v>
      </c>
      <c r="L6200" s="70"/>
      <c r="M6200" s="934"/>
      <c r="N6200" s="94"/>
      <c r="O6200" s="94"/>
      <c r="P6200" s="94"/>
      <c r="Q6200" s="94"/>
      <c r="R6200" s="94"/>
      <c r="S6200" s="94"/>
      <c r="T6200" s="94"/>
      <c r="U6200" s="94"/>
      <c r="V6200" s="94"/>
      <c r="W6200" s="94"/>
      <c r="X6200" s="94"/>
      <c r="Y6200" s="94"/>
      <c r="Z6200" s="94"/>
      <c r="AA6200" s="94"/>
      <c r="AB6200" s="94"/>
      <c r="AC6200" s="94"/>
      <c r="AD6200" s="94"/>
      <c r="AE6200" s="94"/>
      <c r="AF6200" s="94"/>
      <c r="AG6200" s="94"/>
      <c r="AH6200" s="94"/>
    </row>
    <row r="6201" ht="12.75" hidden="1" customHeight="1" outlineLevel="1">
      <c r="A6201" s="122">
        <v>42082.0</v>
      </c>
      <c r="B6201" s="32" t="s">
        <v>343</v>
      </c>
      <c r="C6201" s="32" t="s">
        <v>2861</v>
      </c>
      <c r="D6201" s="708">
        <v>100.0</v>
      </c>
      <c r="E6201" s="195">
        <v>193.98</v>
      </c>
      <c r="F6201" s="709">
        <v>0.3987962962962963</v>
      </c>
      <c r="G6201" s="195" t="s">
        <v>453</v>
      </c>
      <c r="H6201" s="710">
        <v>1.0</v>
      </c>
      <c r="I6201" s="256"/>
      <c r="J6201" s="67">
        <f t="shared" si="385"/>
        <v>-19399</v>
      </c>
      <c r="L6201" s="70"/>
      <c r="M6201" s="934"/>
      <c r="N6201" s="94"/>
      <c r="O6201" s="94"/>
      <c r="P6201" s="94"/>
      <c r="Q6201" s="94"/>
      <c r="R6201" s="94"/>
      <c r="S6201" s="94"/>
      <c r="T6201" s="94"/>
      <c r="U6201" s="94"/>
      <c r="V6201" s="94"/>
      <c r="W6201" s="94"/>
      <c r="X6201" s="94"/>
      <c r="Y6201" s="94"/>
      <c r="Z6201" s="94"/>
      <c r="AA6201" s="94"/>
      <c r="AB6201" s="94"/>
      <c r="AC6201" s="94"/>
      <c r="AD6201" s="94"/>
      <c r="AE6201" s="94"/>
      <c r="AF6201" s="94"/>
      <c r="AG6201" s="94"/>
      <c r="AH6201" s="94"/>
    </row>
    <row r="6202" ht="12.75" hidden="1" customHeight="1" outlineLevel="1">
      <c r="A6202" s="122">
        <v>42082.0</v>
      </c>
      <c r="B6202" s="32" t="s">
        <v>347</v>
      </c>
      <c r="C6202" s="32" t="s">
        <v>790</v>
      </c>
      <c r="D6202" s="708">
        <v>2000.0</v>
      </c>
      <c r="E6202" s="195">
        <v>5.441</v>
      </c>
      <c r="F6202" s="709">
        <v>0.4616898148148148</v>
      </c>
      <c r="G6202" s="195" t="s">
        <v>453</v>
      </c>
      <c r="H6202" s="710">
        <v>8.2</v>
      </c>
      <c r="I6202" s="256"/>
      <c r="J6202" s="67">
        <f t="shared" si="385"/>
        <v>10873.8</v>
      </c>
      <c r="L6202" s="70"/>
      <c r="M6202" s="934"/>
      <c r="N6202" s="94"/>
      <c r="O6202" s="94"/>
      <c r="P6202" s="94"/>
      <c r="Q6202" s="94"/>
      <c r="R6202" s="94"/>
      <c r="S6202" s="94"/>
      <c r="T6202" s="94"/>
      <c r="U6202" s="94"/>
      <c r="V6202" s="94"/>
      <c r="W6202" s="94"/>
      <c r="X6202" s="94"/>
      <c r="Y6202" s="94"/>
      <c r="Z6202" s="94"/>
      <c r="AA6202" s="94"/>
      <c r="AB6202" s="94"/>
      <c r="AC6202" s="94"/>
      <c r="AD6202" s="94"/>
      <c r="AE6202" s="94"/>
      <c r="AF6202" s="94"/>
      <c r="AG6202" s="94"/>
      <c r="AH6202" s="94"/>
    </row>
    <row r="6203" ht="12.75" hidden="1" customHeight="1" outlineLevel="1">
      <c r="A6203" s="122">
        <v>42082.0</v>
      </c>
      <c r="B6203" s="32" t="s">
        <v>347</v>
      </c>
      <c r="C6203" s="32" t="s">
        <v>784</v>
      </c>
      <c r="D6203" s="708">
        <v>2000.0</v>
      </c>
      <c r="E6203" s="195">
        <v>5.971</v>
      </c>
      <c r="F6203" s="709">
        <v>0.4619097222222222</v>
      </c>
      <c r="G6203" s="195" t="s">
        <v>453</v>
      </c>
      <c r="H6203" s="710">
        <v>8.22</v>
      </c>
      <c r="I6203" s="256"/>
      <c r="J6203" s="67">
        <f t="shared" si="385"/>
        <v>11933.78</v>
      </c>
      <c r="L6203" s="70"/>
      <c r="M6203" s="934"/>
      <c r="N6203" s="94"/>
      <c r="O6203" s="94"/>
      <c r="P6203" s="94"/>
      <c r="Q6203" s="94"/>
      <c r="R6203" s="94"/>
      <c r="S6203" s="94"/>
      <c r="T6203" s="94"/>
      <c r="U6203" s="94"/>
      <c r="V6203" s="94"/>
      <c r="W6203" s="94"/>
      <c r="X6203" s="94"/>
      <c r="Y6203" s="94"/>
      <c r="Z6203" s="94"/>
      <c r="AA6203" s="94"/>
      <c r="AB6203" s="94"/>
      <c r="AC6203" s="94"/>
      <c r="AD6203" s="94"/>
      <c r="AE6203" s="94"/>
      <c r="AF6203" s="94"/>
      <c r="AG6203" s="94"/>
      <c r="AH6203" s="94"/>
    </row>
    <row r="6204" ht="12.75" hidden="1" customHeight="1" outlineLevel="1">
      <c r="A6204" s="122">
        <v>42082.0</v>
      </c>
      <c r="B6204" s="32" t="s">
        <v>347</v>
      </c>
      <c r="C6204" s="32" t="s">
        <v>2048</v>
      </c>
      <c r="D6204" s="708">
        <v>1000.0</v>
      </c>
      <c r="E6204" s="195">
        <v>9.441</v>
      </c>
      <c r="F6204" s="709">
        <v>0.4627662037037037</v>
      </c>
      <c r="G6204" s="195" t="s">
        <v>453</v>
      </c>
      <c r="H6204" s="710">
        <v>4.17</v>
      </c>
      <c r="I6204" s="256"/>
      <c r="J6204" s="67">
        <f t="shared" si="385"/>
        <v>9436.83</v>
      </c>
      <c r="L6204" s="70"/>
      <c r="M6204" s="934"/>
      <c r="N6204" s="94"/>
      <c r="O6204" s="94"/>
      <c r="P6204" s="94"/>
      <c r="Q6204" s="94"/>
      <c r="R6204" s="94"/>
      <c r="S6204" s="94"/>
      <c r="T6204" s="94"/>
      <c r="U6204" s="94"/>
      <c r="V6204" s="94"/>
      <c r="W6204" s="94"/>
      <c r="X6204" s="94"/>
      <c r="Y6204" s="94"/>
      <c r="Z6204" s="94"/>
      <c r="AA6204" s="94"/>
      <c r="AB6204" s="94"/>
      <c r="AC6204" s="94"/>
      <c r="AD6204" s="94"/>
      <c r="AE6204" s="94"/>
      <c r="AF6204" s="94"/>
      <c r="AG6204" s="94"/>
      <c r="AH6204" s="94"/>
    </row>
    <row r="6205" ht="12.75" hidden="1" customHeight="1" outlineLevel="1">
      <c r="A6205" s="122">
        <v>42082.0</v>
      </c>
      <c r="B6205" s="32" t="s">
        <v>347</v>
      </c>
      <c r="C6205" s="32" t="s">
        <v>2192</v>
      </c>
      <c r="D6205" s="708">
        <v>750.0</v>
      </c>
      <c r="E6205" s="195">
        <v>11.603</v>
      </c>
      <c r="F6205" s="709">
        <v>0.4632523148148148</v>
      </c>
      <c r="G6205" s="195" t="s">
        <v>453</v>
      </c>
      <c r="H6205" s="710">
        <v>3.16</v>
      </c>
      <c r="I6205" s="256"/>
      <c r="J6205" s="67">
        <f t="shared" si="385"/>
        <v>8699.09</v>
      </c>
      <c r="L6205" s="70"/>
      <c r="M6205" s="934"/>
      <c r="N6205" s="94"/>
      <c r="O6205" s="94"/>
      <c r="P6205" s="94"/>
      <c r="Q6205" s="94"/>
      <c r="R6205" s="94"/>
      <c r="S6205" s="94"/>
      <c r="T6205" s="94"/>
      <c r="U6205" s="94"/>
      <c r="V6205" s="94"/>
      <c r="W6205" s="94"/>
      <c r="X6205" s="94"/>
      <c r="Y6205" s="94"/>
      <c r="Z6205" s="94"/>
      <c r="AA6205" s="94"/>
      <c r="AB6205" s="94"/>
      <c r="AC6205" s="94"/>
      <c r="AD6205" s="94"/>
      <c r="AE6205" s="94"/>
      <c r="AF6205" s="94"/>
      <c r="AG6205" s="94"/>
      <c r="AH6205" s="94"/>
    </row>
    <row r="6206" ht="12.75" hidden="1" customHeight="1" outlineLevel="1">
      <c r="A6206" s="122">
        <v>42082.0</v>
      </c>
      <c r="B6206" s="32" t="s">
        <v>347</v>
      </c>
      <c r="C6206" s="32" t="s">
        <v>1844</v>
      </c>
      <c r="D6206" s="708">
        <v>100.0</v>
      </c>
      <c r="E6206" s="195">
        <v>40.181</v>
      </c>
      <c r="F6206" s="709">
        <v>0.46394675925925927</v>
      </c>
      <c r="G6206" s="195" t="s">
        <v>453</v>
      </c>
      <c r="H6206" s="710">
        <v>1.07</v>
      </c>
      <c r="I6206" s="256"/>
      <c r="J6206" s="67">
        <f t="shared" si="385"/>
        <v>4017.03</v>
      </c>
      <c r="L6206" s="70"/>
      <c r="M6206" s="934"/>
      <c r="N6206" s="94"/>
      <c r="O6206" s="94"/>
      <c r="P6206" s="94"/>
      <c r="Q6206" s="94"/>
      <c r="R6206" s="94"/>
      <c r="S6206" s="94"/>
      <c r="T6206" s="94"/>
      <c r="U6206" s="94"/>
      <c r="V6206" s="94"/>
      <c r="W6206" s="94"/>
      <c r="X6206" s="94"/>
      <c r="Y6206" s="94"/>
      <c r="Z6206" s="94"/>
      <c r="AA6206" s="94"/>
      <c r="AB6206" s="94"/>
      <c r="AC6206" s="94"/>
      <c r="AD6206" s="94"/>
      <c r="AE6206" s="94"/>
      <c r="AF6206" s="94"/>
      <c r="AG6206" s="94"/>
      <c r="AH6206" s="94"/>
    </row>
    <row r="6207" ht="12.75" hidden="1" customHeight="1" outlineLevel="1">
      <c r="A6207" s="122">
        <v>42082.0</v>
      </c>
      <c r="B6207" s="32" t="s">
        <v>347</v>
      </c>
      <c r="C6207" s="32" t="s">
        <v>784</v>
      </c>
      <c r="D6207" s="708">
        <v>4000.0</v>
      </c>
      <c r="E6207" s="195">
        <v>5.96</v>
      </c>
      <c r="F6207" s="709">
        <v>0.46524305555555556</v>
      </c>
      <c r="G6207" s="195" t="s">
        <v>453</v>
      </c>
      <c r="H6207" s="710">
        <v>20.24</v>
      </c>
      <c r="I6207" s="256"/>
      <c r="J6207" s="67">
        <f t="shared" si="385"/>
        <v>23819.76</v>
      </c>
      <c r="L6207" s="70"/>
      <c r="M6207" s="934"/>
      <c r="N6207" s="94"/>
      <c r="O6207" s="94"/>
      <c r="P6207" s="94"/>
      <c r="Q6207" s="94"/>
      <c r="R6207" s="94"/>
      <c r="S6207" s="94"/>
      <c r="T6207" s="94"/>
      <c r="U6207" s="94"/>
      <c r="V6207" s="94"/>
      <c r="W6207" s="94"/>
      <c r="X6207" s="94"/>
      <c r="Y6207" s="94"/>
      <c r="Z6207" s="94"/>
      <c r="AA6207" s="94"/>
      <c r="AB6207" s="94"/>
      <c r="AC6207" s="94"/>
      <c r="AD6207" s="94"/>
      <c r="AE6207" s="94"/>
      <c r="AF6207" s="94"/>
      <c r="AG6207" s="94"/>
      <c r="AH6207" s="94"/>
    </row>
    <row r="6208" ht="12.75" hidden="1" customHeight="1" outlineLevel="1">
      <c r="A6208" s="122">
        <v>42082.0</v>
      </c>
      <c r="B6208" s="32" t="s">
        <v>347</v>
      </c>
      <c r="C6208" s="32" t="s">
        <v>784</v>
      </c>
      <c r="D6208" s="708">
        <v>4000.0</v>
      </c>
      <c r="E6208" s="195">
        <v>5.891</v>
      </c>
      <c r="F6208" s="709">
        <v>0.4900231481481481</v>
      </c>
      <c r="G6208" s="195" t="s">
        <v>453</v>
      </c>
      <c r="H6208" s="710">
        <v>16.43</v>
      </c>
      <c r="I6208" s="256"/>
      <c r="J6208" s="67">
        <f t="shared" si="385"/>
        <v>23547.57</v>
      </c>
      <c r="L6208" s="70"/>
      <c r="M6208" s="934"/>
      <c r="N6208" s="94"/>
      <c r="O6208" s="94"/>
      <c r="P6208" s="94"/>
      <c r="Q6208" s="94"/>
      <c r="R6208" s="94"/>
      <c r="S6208" s="94"/>
      <c r="T6208" s="94"/>
      <c r="U6208" s="94"/>
      <c r="V6208" s="94"/>
      <c r="W6208" s="94"/>
      <c r="X6208" s="94"/>
      <c r="Y6208" s="94"/>
      <c r="Z6208" s="94"/>
      <c r="AA6208" s="94"/>
      <c r="AB6208" s="94"/>
      <c r="AC6208" s="94"/>
      <c r="AD6208" s="94"/>
      <c r="AE6208" s="94"/>
      <c r="AF6208" s="94"/>
      <c r="AG6208" s="94"/>
      <c r="AH6208" s="94"/>
    </row>
    <row r="6209" ht="12.75" hidden="1" customHeight="1" outlineLevel="1">
      <c r="A6209" s="122">
        <v>42082.0</v>
      </c>
      <c r="B6209" s="32" t="s">
        <v>347</v>
      </c>
      <c r="C6209" s="32" t="s">
        <v>790</v>
      </c>
      <c r="D6209" s="708">
        <v>2000.0</v>
      </c>
      <c r="E6209" s="195">
        <v>5.41</v>
      </c>
      <c r="F6209" s="709">
        <v>0.49011574074074077</v>
      </c>
      <c r="G6209" s="195" t="s">
        <v>453</v>
      </c>
      <c r="H6209" s="710">
        <v>8.2</v>
      </c>
      <c r="I6209" s="256"/>
      <c r="J6209" s="67">
        <f t="shared" si="385"/>
        <v>10811.8</v>
      </c>
      <c r="L6209" s="70"/>
      <c r="M6209" s="934"/>
      <c r="N6209" s="94"/>
      <c r="O6209" s="94"/>
      <c r="P6209" s="94"/>
      <c r="Q6209" s="94"/>
      <c r="R6209" s="94"/>
      <c r="S6209" s="94"/>
      <c r="T6209" s="94"/>
      <c r="U6209" s="94"/>
      <c r="V6209" s="94"/>
      <c r="W6209" s="94"/>
      <c r="X6209" s="94"/>
      <c r="Y6209" s="94"/>
      <c r="Z6209" s="94"/>
      <c r="AA6209" s="94"/>
      <c r="AB6209" s="94"/>
      <c r="AC6209" s="94"/>
      <c r="AD6209" s="94"/>
      <c r="AE6209" s="94"/>
      <c r="AF6209" s="94"/>
      <c r="AG6209" s="94"/>
      <c r="AH6209" s="94"/>
    </row>
    <row r="6210" ht="12.75" hidden="1" customHeight="1" outlineLevel="1">
      <c r="A6210" s="122">
        <v>42082.0</v>
      </c>
      <c r="B6210" s="32" t="s">
        <v>347</v>
      </c>
      <c r="C6210" s="32" t="s">
        <v>2048</v>
      </c>
      <c r="D6210" s="708">
        <v>1000.0</v>
      </c>
      <c r="E6210" s="195">
        <v>9.351</v>
      </c>
      <c r="F6210" s="709">
        <v>0.49027777777777776</v>
      </c>
      <c r="G6210" s="195" t="s">
        <v>453</v>
      </c>
      <c r="H6210" s="710">
        <v>4.17</v>
      </c>
      <c r="I6210" s="256"/>
      <c r="J6210" s="67">
        <f t="shared" si="385"/>
        <v>9346.83</v>
      </c>
      <c r="L6210" s="70"/>
      <c r="M6210" s="934"/>
      <c r="N6210" s="94"/>
      <c r="O6210" s="94"/>
      <c r="P6210" s="94"/>
      <c r="Q6210" s="94"/>
      <c r="R6210" s="94"/>
      <c r="S6210" s="94"/>
      <c r="T6210" s="94"/>
      <c r="U6210" s="94"/>
      <c r="V6210" s="94"/>
      <c r="W6210" s="94"/>
      <c r="X6210" s="94"/>
      <c r="Y6210" s="94"/>
      <c r="Z6210" s="94"/>
      <c r="AA6210" s="94"/>
      <c r="AB6210" s="94"/>
      <c r="AC6210" s="94"/>
      <c r="AD6210" s="94"/>
      <c r="AE6210" s="94"/>
      <c r="AF6210" s="94"/>
      <c r="AG6210" s="94"/>
      <c r="AH6210" s="94"/>
    </row>
    <row r="6211" ht="12.75" hidden="1" customHeight="1" outlineLevel="1">
      <c r="A6211" s="122">
        <v>42082.0</v>
      </c>
      <c r="B6211" s="32" t="s">
        <v>347</v>
      </c>
      <c r="C6211" s="32" t="s">
        <v>790</v>
      </c>
      <c r="D6211" s="708">
        <v>2000.0</v>
      </c>
      <c r="E6211" s="195">
        <v>5.391</v>
      </c>
      <c r="F6211" s="709">
        <v>0.5018402777777777</v>
      </c>
      <c r="G6211" s="195" t="s">
        <v>453</v>
      </c>
      <c r="H6211" s="710">
        <v>8.2</v>
      </c>
      <c r="I6211" s="256"/>
      <c r="J6211" s="67">
        <f t="shared" si="385"/>
        <v>10773.8</v>
      </c>
      <c r="L6211" s="70"/>
      <c r="M6211" s="934"/>
      <c r="N6211" s="94"/>
      <c r="O6211" s="94"/>
      <c r="P6211" s="94"/>
      <c r="Q6211" s="94"/>
      <c r="R6211" s="94"/>
      <c r="S6211" s="94"/>
      <c r="T6211" s="94"/>
      <c r="U6211" s="94"/>
      <c r="V6211" s="94"/>
      <c r="W6211" s="94"/>
      <c r="X6211" s="94"/>
      <c r="Y6211" s="94"/>
      <c r="Z6211" s="94"/>
      <c r="AA6211" s="94"/>
      <c r="AB6211" s="94"/>
      <c r="AC6211" s="94"/>
      <c r="AD6211" s="94"/>
      <c r="AE6211" s="94"/>
      <c r="AF6211" s="94"/>
      <c r="AG6211" s="94"/>
      <c r="AH6211" s="94"/>
    </row>
    <row r="6212" ht="12.75" hidden="1" customHeight="1" outlineLevel="1">
      <c r="A6212" s="122">
        <v>42082.0</v>
      </c>
      <c r="B6212" s="32" t="s">
        <v>347</v>
      </c>
      <c r="C6212" s="32" t="s">
        <v>784</v>
      </c>
      <c r="D6212" s="708">
        <v>2000.0</v>
      </c>
      <c r="E6212" s="195">
        <v>5.88</v>
      </c>
      <c r="F6212" s="709">
        <v>0.5019675925925926</v>
      </c>
      <c r="G6212" s="195" t="s">
        <v>453</v>
      </c>
      <c r="H6212" s="710">
        <v>10.22</v>
      </c>
      <c r="I6212" s="256"/>
      <c r="J6212" s="67">
        <f t="shared" si="385"/>
        <v>11749.78</v>
      </c>
      <c r="L6212" s="70"/>
      <c r="M6212" s="934"/>
      <c r="N6212" s="94"/>
      <c r="O6212" s="94"/>
      <c r="P6212" s="94"/>
      <c r="Q6212" s="94"/>
      <c r="R6212" s="94"/>
      <c r="S6212" s="94"/>
      <c r="T6212" s="94"/>
      <c r="U6212" s="94"/>
      <c r="V6212" s="94"/>
      <c r="W6212" s="94"/>
      <c r="X6212" s="94"/>
      <c r="Y6212" s="94"/>
      <c r="Z6212" s="94"/>
      <c r="AA6212" s="94"/>
      <c r="AB6212" s="94"/>
      <c r="AC6212" s="94"/>
      <c r="AD6212" s="94"/>
      <c r="AE6212" s="94"/>
      <c r="AF6212" s="94"/>
      <c r="AG6212" s="94"/>
      <c r="AH6212" s="94"/>
    </row>
    <row r="6213" ht="12.75" hidden="1" customHeight="1" outlineLevel="1">
      <c r="A6213" s="122">
        <v>42082.0</v>
      </c>
      <c r="B6213" s="32" t="s">
        <v>347</v>
      </c>
      <c r="C6213" s="32" t="s">
        <v>790</v>
      </c>
      <c r="D6213" s="708">
        <v>1500.0</v>
      </c>
      <c r="E6213" s="195">
        <v>5.371</v>
      </c>
      <c r="F6213" s="709">
        <v>0.5082060185185185</v>
      </c>
      <c r="G6213" s="195" t="s">
        <v>453</v>
      </c>
      <c r="H6213" s="710">
        <v>6.15</v>
      </c>
      <c r="I6213" s="256"/>
      <c r="J6213" s="67">
        <f t="shared" si="385"/>
        <v>8050.35</v>
      </c>
      <c r="L6213" s="70"/>
      <c r="M6213" s="934"/>
      <c r="N6213" s="94"/>
      <c r="O6213" s="94"/>
      <c r="P6213" s="94"/>
      <c r="Q6213" s="94"/>
      <c r="R6213" s="94"/>
      <c r="S6213" s="94"/>
      <c r="T6213" s="94"/>
      <c r="U6213" s="94"/>
      <c r="V6213" s="94"/>
      <c r="W6213" s="94"/>
      <c r="X6213" s="94"/>
      <c r="Y6213" s="94"/>
      <c r="Z6213" s="94"/>
      <c r="AA6213" s="94"/>
      <c r="AB6213" s="94"/>
      <c r="AC6213" s="94"/>
      <c r="AD6213" s="94"/>
      <c r="AE6213" s="94"/>
      <c r="AF6213" s="94"/>
      <c r="AG6213" s="94"/>
      <c r="AH6213" s="94"/>
    </row>
    <row r="6214" ht="12.75" hidden="1" customHeight="1" outlineLevel="1">
      <c r="A6214" s="122">
        <v>42082.0</v>
      </c>
      <c r="B6214" s="32" t="s">
        <v>347</v>
      </c>
      <c r="C6214" s="32" t="s">
        <v>2048</v>
      </c>
      <c r="D6214" s="708">
        <v>1500.0</v>
      </c>
      <c r="E6214" s="195">
        <v>9.27</v>
      </c>
      <c r="F6214" s="709">
        <v>0.5103587962962963</v>
      </c>
      <c r="G6214" s="195" t="s">
        <v>453</v>
      </c>
      <c r="H6214" s="710">
        <v>6.26</v>
      </c>
      <c r="I6214" s="256"/>
      <c r="J6214" s="67">
        <f t="shared" si="385"/>
        <v>13898.74</v>
      </c>
      <c r="L6214" s="70"/>
      <c r="M6214" s="934"/>
      <c r="N6214" s="94"/>
      <c r="O6214" s="94"/>
      <c r="P6214" s="94"/>
      <c r="Q6214" s="94"/>
      <c r="R6214" s="94"/>
      <c r="S6214" s="94"/>
      <c r="T6214" s="94"/>
      <c r="U6214" s="94"/>
      <c r="V6214" s="94"/>
      <c r="W6214" s="94"/>
      <c r="X6214" s="94"/>
      <c r="Y6214" s="94"/>
      <c r="Z6214" s="94"/>
      <c r="AA6214" s="94"/>
      <c r="AB6214" s="94"/>
      <c r="AC6214" s="94"/>
      <c r="AD6214" s="94"/>
      <c r="AE6214" s="94"/>
      <c r="AF6214" s="94"/>
      <c r="AG6214" s="94"/>
      <c r="AH6214" s="94"/>
    </row>
    <row r="6215" ht="12.75" hidden="1" customHeight="1" outlineLevel="1">
      <c r="A6215" s="122">
        <v>42082.0</v>
      </c>
      <c r="B6215" s="32" t="s">
        <v>347</v>
      </c>
      <c r="C6215" s="32" t="s">
        <v>784</v>
      </c>
      <c r="D6215" s="708">
        <v>2000.0</v>
      </c>
      <c r="E6215" s="195">
        <v>5.87</v>
      </c>
      <c r="F6215" s="709">
        <v>0.5107407407407407</v>
      </c>
      <c r="G6215" s="195" t="s">
        <v>453</v>
      </c>
      <c r="H6215" s="710">
        <v>8.22</v>
      </c>
      <c r="I6215" s="256"/>
      <c r="J6215" s="67">
        <f t="shared" si="385"/>
        <v>11731.78</v>
      </c>
      <c r="L6215" s="70"/>
      <c r="M6215" s="934"/>
      <c r="N6215" s="94"/>
      <c r="O6215" s="94"/>
      <c r="P6215" s="94"/>
      <c r="Q6215" s="94"/>
      <c r="R6215" s="94"/>
      <c r="S6215" s="94"/>
      <c r="T6215" s="94"/>
      <c r="U6215" s="94"/>
      <c r="V6215" s="94"/>
      <c r="W6215" s="94"/>
      <c r="X6215" s="94"/>
      <c r="Y6215" s="94"/>
      <c r="Z6215" s="94"/>
      <c r="AA6215" s="94"/>
      <c r="AB6215" s="94"/>
      <c r="AC6215" s="94"/>
      <c r="AD6215" s="94"/>
      <c r="AE6215" s="94"/>
      <c r="AF6215" s="94"/>
      <c r="AG6215" s="94"/>
      <c r="AH6215" s="94"/>
    </row>
    <row r="6216" ht="12.75" hidden="1" customHeight="1" outlineLevel="1">
      <c r="A6216" s="122">
        <v>42083.0</v>
      </c>
      <c r="B6216" s="32" t="s">
        <v>343</v>
      </c>
      <c r="C6216" s="32" t="s">
        <v>2862</v>
      </c>
      <c r="D6216" s="708">
        <v>200.0</v>
      </c>
      <c r="E6216" s="195">
        <v>96.33</v>
      </c>
      <c r="F6216" s="709">
        <v>0.4188541666666667</v>
      </c>
      <c r="G6216" s="195" t="s">
        <v>453</v>
      </c>
      <c r="H6216" s="710">
        <v>1.0</v>
      </c>
      <c r="I6216" s="256"/>
      <c r="J6216" s="67">
        <f t="shared" si="385"/>
        <v>-19267</v>
      </c>
      <c r="L6216" s="70"/>
      <c r="M6216" s="934"/>
      <c r="N6216" s="94"/>
      <c r="O6216" s="94"/>
      <c r="P6216" s="94"/>
      <c r="Q6216" s="94"/>
      <c r="R6216" s="94"/>
      <c r="S6216" s="94"/>
      <c r="T6216" s="94"/>
      <c r="U6216" s="94"/>
      <c r="V6216" s="94"/>
      <c r="W6216" s="94"/>
      <c r="X6216" s="94"/>
      <c r="Y6216" s="94"/>
      <c r="Z6216" s="94"/>
      <c r="AA6216" s="94"/>
      <c r="AB6216" s="94"/>
      <c r="AC6216" s="94"/>
      <c r="AD6216" s="94"/>
      <c r="AE6216" s="94"/>
      <c r="AF6216" s="94"/>
      <c r="AG6216" s="94"/>
      <c r="AH6216" s="94"/>
    </row>
    <row r="6217" ht="12.75" hidden="1" customHeight="1" outlineLevel="1">
      <c r="A6217" s="122">
        <v>42083.0</v>
      </c>
      <c r="B6217" s="32" t="s">
        <v>343</v>
      </c>
      <c r="C6217" s="32" t="s">
        <v>1158</v>
      </c>
      <c r="D6217" s="708">
        <v>300.0</v>
      </c>
      <c r="E6217" s="195">
        <v>47.599</v>
      </c>
      <c r="F6217" s="709">
        <v>0.41899305555555555</v>
      </c>
      <c r="G6217" s="195" t="s">
        <v>453</v>
      </c>
      <c r="H6217" s="710">
        <v>1.2</v>
      </c>
      <c r="I6217" s="256"/>
      <c r="J6217" s="67">
        <f t="shared" si="385"/>
        <v>-14280.9</v>
      </c>
      <c r="L6217" s="70"/>
      <c r="M6217" s="934"/>
      <c r="N6217" s="94"/>
      <c r="O6217" s="94"/>
      <c r="P6217" s="94"/>
      <c r="Q6217" s="94"/>
      <c r="R6217" s="94"/>
      <c r="S6217" s="94"/>
      <c r="T6217" s="94"/>
      <c r="U6217" s="94"/>
      <c r="V6217" s="94"/>
      <c r="W6217" s="94"/>
      <c r="X6217" s="94"/>
      <c r="Y6217" s="94"/>
      <c r="Z6217" s="94"/>
      <c r="AA6217" s="94"/>
      <c r="AB6217" s="94"/>
      <c r="AC6217" s="94"/>
      <c r="AD6217" s="94"/>
      <c r="AE6217" s="94"/>
      <c r="AF6217" s="94"/>
      <c r="AG6217" s="94"/>
      <c r="AH6217" s="94"/>
    </row>
    <row r="6218" ht="12.75" hidden="1" customHeight="1" outlineLevel="1">
      <c r="A6218" s="122">
        <v>42083.0</v>
      </c>
      <c r="B6218" s="32" t="s">
        <v>343</v>
      </c>
      <c r="C6218" s="32" t="s">
        <v>1164</v>
      </c>
      <c r="D6218" s="708">
        <v>250.0</v>
      </c>
      <c r="E6218" s="195">
        <v>46.44</v>
      </c>
      <c r="F6218" s="709">
        <v>0.4191550925925926</v>
      </c>
      <c r="G6218" s="195" t="s">
        <v>453</v>
      </c>
      <c r="H6218" s="710">
        <v>1.25</v>
      </c>
      <c r="I6218" s="256"/>
      <c r="J6218" s="67">
        <f t="shared" si="385"/>
        <v>-11611.25</v>
      </c>
      <c r="L6218" s="70"/>
      <c r="M6218" s="934"/>
      <c r="N6218" s="94"/>
      <c r="O6218" s="94"/>
      <c r="P6218" s="94"/>
      <c r="Q6218" s="94"/>
      <c r="R6218" s="94"/>
      <c r="S6218" s="94"/>
      <c r="T6218" s="94"/>
      <c r="U6218" s="94"/>
      <c r="V6218" s="94"/>
      <c r="W6218" s="94"/>
      <c r="X6218" s="94"/>
      <c r="Y6218" s="94"/>
      <c r="Z6218" s="94"/>
      <c r="AA6218" s="94"/>
      <c r="AB6218" s="94"/>
      <c r="AC6218" s="94"/>
      <c r="AD6218" s="94"/>
      <c r="AE6218" s="94"/>
      <c r="AF6218" s="94"/>
      <c r="AG6218" s="94"/>
      <c r="AH6218" s="94"/>
    </row>
    <row r="6219" ht="12.75" hidden="1" customHeight="1" outlineLevel="1">
      <c r="A6219" s="122">
        <v>42083.0</v>
      </c>
      <c r="B6219" s="32" t="s">
        <v>343</v>
      </c>
      <c r="C6219" s="32" t="s">
        <v>2142</v>
      </c>
      <c r="D6219" s="708">
        <v>400.0</v>
      </c>
      <c r="E6219" s="195">
        <v>32.64</v>
      </c>
      <c r="F6219" s="709">
        <v>0.4197337962962963</v>
      </c>
      <c r="G6219" s="195" t="s">
        <v>453</v>
      </c>
      <c r="H6219" s="710">
        <v>2.5</v>
      </c>
      <c r="I6219" s="256"/>
      <c r="J6219" s="67">
        <f t="shared" si="385"/>
        <v>-13058.5</v>
      </c>
      <c r="L6219" s="70"/>
      <c r="M6219" s="934"/>
      <c r="N6219" s="94"/>
      <c r="O6219" s="94"/>
      <c r="P6219" s="94"/>
      <c r="Q6219" s="94"/>
      <c r="R6219" s="94"/>
      <c r="S6219" s="94"/>
      <c r="T6219" s="94"/>
      <c r="U6219" s="94"/>
      <c r="V6219" s="94"/>
      <c r="W6219" s="94"/>
      <c r="X6219" s="94"/>
      <c r="Y6219" s="94"/>
      <c r="Z6219" s="94"/>
      <c r="AA6219" s="94"/>
      <c r="AB6219" s="94"/>
      <c r="AC6219" s="94"/>
      <c r="AD6219" s="94"/>
      <c r="AE6219" s="94"/>
      <c r="AF6219" s="94"/>
      <c r="AG6219" s="94"/>
      <c r="AH6219" s="94"/>
    </row>
    <row r="6220" ht="12.75" hidden="1" customHeight="1" outlineLevel="1">
      <c r="A6220" s="122">
        <v>42083.0</v>
      </c>
      <c r="B6220" s="32" t="s">
        <v>343</v>
      </c>
      <c r="C6220" s="32" t="s">
        <v>790</v>
      </c>
      <c r="D6220" s="708">
        <v>11500.0</v>
      </c>
      <c r="E6220" s="195">
        <v>5.519</v>
      </c>
      <c r="F6220" s="709">
        <v>0.47578703703703706</v>
      </c>
      <c r="G6220" s="195" t="s">
        <v>453</v>
      </c>
      <c r="H6220" s="710">
        <v>54.3</v>
      </c>
      <c r="I6220" s="256"/>
      <c r="J6220" s="67">
        <f t="shared" si="385"/>
        <v>-63522.8</v>
      </c>
      <c r="L6220" s="70"/>
      <c r="M6220" s="934"/>
      <c r="N6220" s="94"/>
      <c r="O6220" s="94"/>
      <c r="P6220" s="94"/>
      <c r="Q6220" s="94"/>
      <c r="R6220" s="94"/>
      <c r="S6220" s="94"/>
      <c r="T6220" s="94"/>
      <c r="U6220" s="94"/>
      <c r="V6220" s="94"/>
      <c r="W6220" s="94"/>
      <c r="X6220" s="94"/>
      <c r="Y6220" s="94"/>
      <c r="Z6220" s="94"/>
      <c r="AA6220" s="94"/>
      <c r="AB6220" s="94"/>
      <c r="AC6220" s="94"/>
      <c r="AD6220" s="94"/>
      <c r="AE6220" s="94"/>
      <c r="AF6220" s="94"/>
      <c r="AG6220" s="94"/>
      <c r="AH6220" s="94"/>
    </row>
    <row r="6221" ht="12.75" hidden="1" customHeight="1" outlineLevel="1">
      <c r="A6221" s="122">
        <v>42083.0</v>
      </c>
      <c r="B6221" s="32" t="s">
        <v>343</v>
      </c>
      <c r="C6221" s="32" t="s">
        <v>784</v>
      </c>
      <c r="D6221" s="708">
        <v>21000.0</v>
      </c>
      <c r="E6221" s="195">
        <v>6.06</v>
      </c>
      <c r="F6221" s="709">
        <v>0.4764583333333333</v>
      </c>
      <c r="G6221" s="195" t="s">
        <v>453</v>
      </c>
      <c r="H6221" s="710">
        <v>102.1</v>
      </c>
      <c r="I6221" s="256"/>
      <c r="J6221" s="67">
        <f t="shared" si="385"/>
        <v>-127362.1</v>
      </c>
      <c r="L6221" s="70"/>
      <c r="M6221" s="934"/>
      <c r="N6221" s="94"/>
      <c r="O6221" s="94"/>
      <c r="P6221" s="94"/>
      <c r="Q6221" s="94"/>
      <c r="R6221" s="94"/>
      <c r="S6221" s="94"/>
      <c r="T6221" s="94"/>
      <c r="U6221" s="94"/>
      <c r="V6221" s="94"/>
      <c r="W6221" s="94"/>
      <c r="X6221" s="94"/>
      <c r="Y6221" s="94"/>
      <c r="Z6221" s="94"/>
      <c r="AA6221" s="94"/>
      <c r="AB6221" s="94"/>
      <c r="AC6221" s="94"/>
      <c r="AD6221" s="94"/>
      <c r="AE6221" s="94"/>
      <c r="AF6221" s="94"/>
      <c r="AG6221" s="94"/>
      <c r="AH6221" s="94"/>
    </row>
    <row r="6222" ht="12.75" hidden="1" customHeight="1" outlineLevel="1">
      <c r="A6222" s="122">
        <v>42083.0</v>
      </c>
      <c r="B6222" s="32" t="s">
        <v>343</v>
      </c>
      <c r="C6222" s="32" t="s">
        <v>2048</v>
      </c>
      <c r="D6222" s="708">
        <v>4800.0</v>
      </c>
      <c r="E6222" s="195">
        <v>9.81</v>
      </c>
      <c r="F6222" s="709">
        <v>0.4769907407407407</v>
      </c>
      <c r="G6222" s="195" t="s">
        <v>453</v>
      </c>
      <c r="H6222" s="710">
        <v>24.0</v>
      </c>
      <c r="I6222" s="256"/>
      <c r="J6222" s="67">
        <f t="shared" si="385"/>
        <v>-47112</v>
      </c>
      <c r="L6222" s="70"/>
      <c r="M6222" s="934"/>
      <c r="N6222" s="94"/>
      <c r="O6222" s="94"/>
      <c r="P6222" s="94"/>
      <c r="Q6222" s="94"/>
      <c r="R6222" s="94"/>
      <c r="S6222" s="94"/>
      <c r="T6222" s="94"/>
      <c r="U6222" s="94"/>
      <c r="V6222" s="94"/>
      <c r="W6222" s="94"/>
      <c r="X6222" s="94"/>
      <c r="Y6222" s="94"/>
      <c r="Z6222" s="94"/>
      <c r="AA6222" s="94"/>
      <c r="AB6222" s="94"/>
      <c r="AC6222" s="94"/>
      <c r="AD6222" s="94"/>
      <c r="AE6222" s="94"/>
      <c r="AF6222" s="94"/>
      <c r="AG6222" s="94"/>
      <c r="AH6222" s="94"/>
    </row>
    <row r="6223" ht="12.75" hidden="1" customHeight="1" outlineLevel="1">
      <c r="A6223" s="122">
        <v>42083.0</v>
      </c>
      <c r="B6223" s="32" t="s">
        <v>343</v>
      </c>
      <c r="C6223" s="32" t="s">
        <v>2192</v>
      </c>
      <c r="D6223" s="708">
        <v>1100.0</v>
      </c>
      <c r="E6223" s="195">
        <v>11.919</v>
      </c>
      <c r="F6223" s="709">
        <v>0.4783101851851852</v>
      </c>
      <c r="G6223" s="195" t="s">
        <v>453</v>
      </c>
      <c r="H6223" s="710">
        <v>4.4</v>
      </c>
      <c r="I6223" s="256"/>
      <c r="J6223" s="67">
        <f t="shared" si="385"/>
        <v>-13115.3</v>
      </c>
      <c r="L6223" s="70"/>
      <c r="M6223" s="934"/>
      <c r="N6223" s="94"/>
      <c r="O6223" s="94"/>
      <c r="P6223" s="94"/>
      <c r="Q6223" s="94"/>
      <c r="R6223" s="94"/>
      <c r="S6223" s="94"/>
      <c r="T6223" s="94"/>
      <c r="U6223" s="94"/>
      <c r="V6223" s="94"/>
      <c r="W6223" s="94"/>
      <c r="X6223" s="94"/>
      <c r="Y6223" s="94"/>
      <c r="Z6223" s="94"/>
      <c r="AA6223" s="94"/>
      <c r="AB6223" s="94"/>
      <c r="AC6223" s="94"/>
      <c r="AD6223" s="94"/>
      <c r="AE6223" s="94"/>
      <c r="AF6223" s="94"/>
      <c r="AG6223" s="94"/>
      <c r="AH6223" s="94"/>
    </row>
    <row r="6224" ht="12.75" hidden="1" customHeight="1" outlineLevel="1">
      <c r="A6224" s="122">
        <v>42083.0</v>
      </c>
      <c r="B6224" s="32" t="s">
        <v>343</v>
      </c>
      <c r="C6224" s="32" t="s">
        <v>1844</v>
      </c>
      <c r="D6224" s="708">
        <v>150.0</v>
      </c>
      <c r="E6224" s="195">
        <v>41.61</v>
      </c>
      <c r="F6224" s="709">
        <v>0.47854166666666664</v>
      </c>
      <c r="G6224" s="195" t="s">
        <v>453</v>
      </c>
      <c r="H6224" s="710">
        <v>1.0</v>
      </c>
      <c r="I6224" s="256"/>
      <c r="J6224" s="67">
        <f t="shared" si="385"/>
        <v>-6242.5</v>
      </c>
      <c r="L6224" s="70"/>
      <c r="M6224" s="934"/>
      <c r="N6224" s="94"/>
      <c r="O6224" s="94"/>
      <c r="P6224" s="94"/>
      <c r="Q6224" s="94"/>
      <c r="R6224" s="94"/>
      <c r="S6224" s="94"/>
      <c r="T6224" s="94"/>
      <c r="U6224" s="94"/>
      <c r="V6224" s="94"/>
      <c r="W6224" s="94"/>
      <c r="X6224" s="94"/>
      <c r="Y6224" s="94"/>
      <c r="Z6224" s="94"/>
      <c r="AA6224" s="94"/>
      <c r="AB6224" s="94"/>
      <c r="AC6224" s="94"/>
      <c r="AD6224" s="94"/>
      <c r="AE6224" s="94"/>
      <c r="AF6224" s="94"/>
      <c r="AG6224" s="94"/>
      <c r="AH6224" s="94"/>
    </row>
    <row r="6225" ht="12.75" hidden="1" customHeight="1" outlineLevel="1">
      <c r="A6225" s="122">
        <v>42083.0</v>
      </c>
      <c r="B6225" s="32" t="s">
        <v>347</v>
      </c>
      <c r="C6225" s="32" t="s">
        <v>2539</v>
      </c>
      <c r="D6225" s="708">
        <v>250.0</v>
      </c>
      <c r="E6225" s="195">
        <v>48.46</v>
      </c>
      <c r="F6225" s="709">
        <v>0.510011574074074</v>
      </c>
      <c r="G6225" s="195" t="s">
        <v>453</v>
      </c>
      <c r="H6225" s="710">
        <v>1.47</v>
      </c>
      <c r="I6225" s="256"/>
      <c r="J6225" s="67">
        <f t="shared" si="385"/>
        <v>12113.53</v>
      </c>
      <c r="L6225" s="70"/>
      <c r="M6225" s="934"/>
      <c r="N6225" s="94"/>
      <c r="O6225" s="94"/>
      <c r="P6225" s="94"/>
      <c r="Q6225" s="94"/>
      <c r="R6225" s="94"/>
      <c r="S6225" s="94"/>
      <c r="T6225" s="94"/>
      <c r="U6225" s="94"/>
      <c r="V6225" s="94"/>
      <c r="W6225" s="94"/>
      <c r="X6225" s="94"/>
      <c r="Y6225" s="94"/>
      <c r="Z6225" s="94"/>
      <c r="AA6225" s="94"/>
      <c r="AB6225" s="94"/>
      <c r="AC6225" s="94"/>
      <c r="AD6225" s="94"/>
      <c r="AE6225" s="94"/>
      <c r="AF6225" s="94"/>
      <c r="AG6225" s="94"/>
      <c r="AH6225" s="94"/>
    </row>
    <row r="6226" ht="12.75" hidden="1" customHeight="1" outlineLevel="1">
      <c r="A6226" s="122">
        <v>42083.0</v>
      </c>
      <c r="B6226" s="32" t="s">
        <v>347</v>
      </c>
      <c r="C6226" s="32" t="s">
        <v>1158</v>
      </c>
      <c r="D6226" s="708">
        <v>600.0</v>
      </c>
      <c r="E6226" s="195">
        <v>47.301</v>
      </c>
      <c r="F6226" s="709">
        <v>0.5105787037037037</v>
      </c>
      <c r="G6226" s="195" t="s">
        <v>453</v>
      </c>
      <c r="H6226" s="710">
        <v>2.92</v>
      </c>
      <c r="I6226" s="256"/>
      <c r="J6226" s="67">
        <f t="shared" si="385"/>
        <v>28377.68</v>
      </c>
      <c r="L6226" s="70"/>
      <c r="M6226" s="934"/>
      <c r="N6226" s="94"/>
      <c r="O6226" s="94"/>
      <c r="P6226" s="94"/>
      <c r="Q6226" s="94"/>
      <c r="R6226" s="94"/>
      <c r="S6226" s="94"/>
      <c r="T6226" s="94"/>
      <c r="U6226" s="94"/>
      <c r="V6226" s="94"/>
      <c r="W6226" s="94"/>
      <c r="X6226" s="94"/>
      <c r="Y6226" s="94"/>
      <c r="Z6226" s="94"/>
      <c r="AA6226" s="94"/>
      <c r="AB6226" s="94"/>
      <c r="AC6226" s="94"/>
      <c r="AD6226" s="94"/>
      <c r="AE6226" s="94"/>
      <c r="AF6226" s="94"/>
      <c r="AG6226" s="94"/>
      <c r="AH6226" s="94"/>
    </row>
    <row r="6227" ht="12.75" hidden="1" customHeight="1" outlineLevel="1">
      <c r="A6227" s="122">
        <v>42083.0</v>
      </c>
      <c r="B6227" s="32" t="s">
        <v>347</v>
      </c>
      <c r="C6227" s="32" t="s">
        <v>1164</v>
      </c>
      <c r="D6227" s="708">
        <v>500.0</v>
      </c>
      <c r="E6227" s="195">
        <v>46.381</v>
      </c>
      <c r="F6227" s="709">
        <v>0.5109722222222223</v>
      </c>
      <c r="G6227" s="195" t="s">
        <v>453</v>
      </c>
      <c r="H6227" s="710">
        <v>2.93</v>
      </c>
      <c r="I6227" s="256"/>
      <c r="J6227" s="67">
        <f t="shared" si="385"/>
        <v>23187.57</v>
      </c>
      <c r="L6227" s="70"/>
      <c r="M6227" s="934"/>
      <c r="N6227" s="94"/>
      <c r="O6227" s="94"/>
      <c r="P6227" s="94"/>
      <c r="Q6227" s="94"/>
      <c r="R6227" s="94"/>
      <c r="S6227" s="94"/>
      <c r="T6227" s="94"/>
      <c r="U6227" s="94"/>
      <c r="V6227" s="94"/>
      <c r="W6227" s="94"/>
      <c r="X6227" s="94"/>
      <c r="Y6227" s="94"/>
      <c r="Z6227" s="94"/>
      <c r="AA6227" s="94"/>
      <c r="AB6227" s="94"/>
      <c r="AC6227" s="94"/>
      <c r="AD6227" s="94"/>
      <c r="AE6227" s="94"/>
      <c r="AF6227" s="94"/>
      <c r="AG6227" s="94"/>
      <c r="AH6227" s="94"/>
    </row>
    <row r="6228" ht="12.75" hidden="1" customHeight="1" outlineLevel="1">
      <c r="A6228" s="122">
        <v>42083.0</v>
      </c>
      <c r="B6228" s="1"/>
      <c r="C6228" s="1" t="s">
        <v>339</v>
      </c>
      <c r="D6228" s="74"/>
      <c r="E6228" s="67"/>
      <c r="F6228" s="75"/>
      <c r="G6228" s="67"/>
      <c r="H6228" s="68"/>
      <c r="I6228" s="76"/>
      <c r="K6228" s="968" t="s">
        <v>2863</v>
      </c>
      <c r="L6228" s="934"/>
      <c r="M6228" s="934"/>
    </row>
    <row r="6229" ht="12.75" hidden="1" customHeight="1" outlineLevel="1">
      <c r="A6229" s="122">
        <v>42083.0</v>
      </c>
      <c r="B6229" s="1"/>
      <c r="C6229" s="1" t="s">
        <v>429</v>
      </c>
      <c r="D6229" s="74"/>
      <c r="E6229" s="67"/>
      <c r="F6229" s="75"/>
      <c r="G6229" s="67"/>
      <c r="H6229" s="68"/>
      <c r="I6229" s="76"/>
      <c r="J6229" s="67"/>
      <c r="K6229" s="9" t="s">
        <v>2839</v>
      </c>
      <c r="L6229" s="934"/>
      <c r="M6229" s="934"/>
    </row>
    <row r="6230" ht="12.75" hidden="1" customHeight="1" outlineLevel="1">
      <c r="A6230" s="122">
        <v>42083.0</v>
      </c>
      <c r="B6230" s="1"/>
      <c r="C6230" s="1" t="s">
        <v>431</v>
      </c>
      <c r="D6230" s="74"/>
      <c r="E6230" s="67"/>
      <c r="F6230" s="75"/>
      <c r="G6230" s="67"/>
      <c r="H6230" s="68"/>
      <c r="I6230" s="76"/>
      <c r="J6230" s="67"/>
      <c r="K6230" s="7" t="s">
        <v>1126</v>
      </c>
      <c r="L6230" s="934"/>
      <c r="M6230" s="934"/>
    </row>
    <row r="6231" ht="12.75" hidden="1" customHeight="1" outlineLevel="1">
      <c r="A6231" s="122">
        <v>42083.0</v>
      </c>
      <c r="B6231" s="1"/>
      <c r="C6231" s="1" t="s">
        <v>433</v>
      </c>
      <c r="D6231" s="74"/>
      <c r="E6231" s="67"/>
      <c r="F6231" s="75"/>
      <c r="G6231" s="67"/>
      <c r="H6231" s="68"/>
      <c r="I6231" s="76"/>
      <c r="J6231" s="67"/>
      <c r="K6231" s="7" t="s">
        <v>1103</v>
      </c>
      <c r="L6231" s="934"/>
      <c r="M6231" s="934"/>
    </row>
    <row r="6232" ht="12.75" hidden="1" customHeight="1" outlineLevel="1">
      <c r="A6232" s="122">
        <v>42083.0</v>
      </c>
      <c r="B6232" s="1"/>
      <c r="C6232" s="1" t="s">
        <v>435</v>
      </c>
      <c r="D6232" s="74"/>
      <c r="E6232" s="67"/>
      <c r="F6232" s="75"/>
      <c r="G6232" s="67"/>
      <c r="H6232" s="68"/>
      <c r="I6232" s="76"/>
      <c r="J6232" s="67"/>
      <c r="K6232" s="9" t="s">
        <v>2802</v>
      </c>
      <c r="L6232" s="934"/>
      <c r="M6232" s="934"/>
    </row>
    <row r="6233" ht="12.75" hidden="1" customHeight="1" outlineLevel="1">
      <c r="A6233" s="122">
        <v>42086.0</v>
      </c>
      <c r="B6233" s="32" t="s">
        <v>343</v>
      </c>
      <c r="C6233" s="32" t="s">
        <v>369</v>
      </c>
      <c r="D6233" s="708">
        <v>1000.0</v>
      </c>
      <c r="E6233" s="195">
        <v>4.49</v>
      </c>
      <c r="F6233" s="709">
        <v>0.3993287037037037</v>
      </c>
      <c r="G6233" s="195" t="s">
        <v>453</v>
      </c>
      <c r="H6233" s="710">
        <v>5.0</v>
      </c>
      <c r="I6233" s="256"/>
      <c r="J6233" s="67">
        <f t="shared" ref="J6233:J6242" si="386">IF(B6233="SLD",D6233*E6233,-D6233*E6233)-H6233</f>
        <v>-4495</v>
      </c>
      <c r="L6233" s="70"/>
      <c r="M6233" s="934"/>
      <c r="N6233" s="94"/>
      <c r="O6233" s="94"/>
      <c r="P6233" s="94"/>
      <c r="Q6233" s="94"/>
      <c r="R6233" s="94"/>
      <c r="S6233" s="94"/>
      <c r="T6233" s="94"/>
      <c r="U6233" s="94"/>
      <c r="V6233" s="94"/>
      <c r="W6233" s="94"/>
      <c r="X6233" s="94"/>
      <c r="Y6233" s="94"/>
      <c r="Z6233" s="94"/>
      <c r="AA6233" s="94"/>
      <c r="AB6233" s="94"/>
      <c r="AC6233" s="94"/>
      <c r="AD6233" s="94"/>
      <c r="AE6233" s="94"/>
      <c r="AF6233" s="94"/>
      <c r="AG6233" s="94"/>
      <c r="AH6233" s="94"/>
    </row>
    <row r="6234" ht="12.75" hidden="1" customHeight="1" outlineLevel="1">
      <c r="A6234" s="122">
        <v>42086.0</v>
      </c>
      <c r="B6234" s="32" t="s">
        <v>343</v>
      </c>
      <c r="C6234" s="32" t="s">
        <v>2539</v>
      </c>
      <c r="D6234" s="708">
        <v>250.0</v>
      </c>
      <c r="E6234" s="195">
        <v>48.96</v>
      </c>
      <c r="F6234" s="709">
        <v>0.40900462962962963</v>
      </c>
      <c r="G6234" s="195" t="s">
        <v>453</v>
      </c>
      <c r="H6234" s="710">
        <v>1.05</v>
      </c>
      <c r="I6234" s="256"/>
      <c r="J6234" s="67">
        <f t="shared" si="386"/>
        <v>-12241.05</v>
      </c>
      <c r="L6234" s="70"/>
      <c r="M6234" s="934"/>
      <c r="N6234" s="94"/>
      <c r="O6234" s="94"/>
      <c r="P6234" s="94"/>
      <c r="Q6234" s="94"/>
      <c r="R6234" s="94"/>
      <c r="S6234" s="94"/>
      <c r="T6234" s="94"/>
      <c r="U6234" s="94"/>
      <c r="V6234" s="94"/>
      <c r="W6234" s="94"/>
      <c r="X6234" s="94"/>
      <c r="Y6234" s="94"/>
      <c r="Z6234" s="94"/>
      <c r="AA6234" s="94"/>
      <c r="AB6234" s="94"/>
      <c r="AC6234" s="94"/>
      <c r="AD6234" s="94"/>
      <c r="AE6234" s="94"/>
      <c r="AF6234" s="94"/>
      <c r="AG6234" s="94"/>
      <c r="AH6234" s="94"/>
    </row>
    <row r="6235" ht="12.75" hidden="1" customHeight="1" outlineLevel="1">
      <c r="A6235" s="122">
        <v>42086.0</v>
      </c>
      <c r="B6235" s="32" t="s">
        <v>347</v>
      </c>
      <c r="C6235" s="32" t="s">
        <v>784</v>
      </c>
      <c r="D6235" s="708">
        <v>1000.0</v>
      </c>
      <c r="E6235" s="195">
        <v>6.28</v>
      </c>
      <c r="F6235" s="709">
        <v>0.4544328703703704</v>
      </c>
      <c r="G6235" s="195" t="s">
        <v>453</v>
      </c>
      <c r="H6235" s="710">
        <v>5.12</v>
      </c>
      <c r="I6235" s="256"/>
      <c r="J6235" s="67">
        <f t="shared" si="386"/>
        <v>6274.88</v>
      </c>
      <c r="L6235" s="70"/>
      <c r="M6235" s="934"/>
      <c r="N6235" s="94"/>
      <c r="O6235" s="94"/>
      <c r="P6235" s="94"/>
      <c r="Q6235" s="94"/>
      <c r="R6235" s="94"/>
      <c r="S6235" s="94"/>
      <c r="T6235" s="94"/>
      <c r="U6235" s="94"/>
      <c r="V6235" s="94"/>
      <c r="W6235" s="94"/>
      <c r="X6235" s="94"/>
      <c r="Y6235" s="94"/>
      <c r="Z6235" s="94"/>
      <c r="AA6235" s="94"/>
      <c r="AB6235" s="94"/>
      <c r="AC6235" s="94"/>
      <c r="AD6235" s="94"/>
      <c r="AE6235" s="94"/>
      <c r="AF6235" s="94"/>
      <c r="AG6235" s="94"/>
      <c r="AH6235" s="94"/>
    </row>
    <row r="6236" ht="12.75" hidden="1" customHeight="1" outlineLevel="1">
      <c r="A6236" s="122">
        <v>42086.0</v>
      </c>
      <c r="B6236" s="32" t="s">
        <v>347</v>
      </c>
      <c r="C6236" s="32" t="s">
        <v>790</v>
      </c>
      <c r="D6236" s="708">
        <v>1000.0</v>
      </c>
      <c r="E6236" s="195">
        <v>5.75</v>
      </c>
      <c r="F6236" s="709">
        <v>0.45532407407407405</v>
      </c>
      <c r="G6236" s="195" t="s">
        <v>453</v>
      </c>
      <c r="H6236" s="710">
        <v>5.11</v>
      </c>
      <c r="I6236" s="256"/>
      <c r="J6236" s="67">
        <f t="shared" si="386"/>
        <v>5744.89</v>
      </c>
      <c r="L6236" s="70"/>
      <c r="M6236" s="934"/>
      <c r="N6236" s="94"/>
      <c r="O6236" s="94"/>
      <c r="P6236" s="94"/>
      <c r="Q6236" s="94"/>
      <c r="R6236" s="94"/>
      <c r="S6236" s="94"/>
      <c r="T6236" s="94"/>
      <c r="U6236" s="94"/>
      <c r="V6236" s="94"/>
      <c r="W6236" s="94"/>
      <c r="X6236" s="94"/>
      <c r="Y6236" s="94"/>
      <c r="Z6236" s="94"/>
      <c r="AA6236" s="94"/>
      <c r="AB6236" s="94"/>
      <c r="AC6236" s="94"/>
      <c r="AD6236" s="94"/>
      <c r="AE6236" s="94"/>
      <c r="AF6236" s="94"/>
      <c r="AG6236" s="94"/>
      <c r="AH6236" s="94"/>
    </row>
    <row r="6237" ht="12.75" hidden="1" customHeight="1" outlineLevel="1">
      <c r="A6237" s="122">
        <v>42086.0</v>
      </c>
      <c r="B6237" s="32" t="s">
        <v>347</v>
      </c>
      <c r="C6237" s="32" t="s">
        <v>784</v>
      </c>
      <c r="D6237" s="708">
        <v>2000.0</v>
      </c>
      <c r="E6237" s="195">
        <v>6.271</v>
      </c>
      <c r="F6237" s="709">
        <v>0.4740972222222222</v>
      </c>
      <c r="G6237" s="195" t="s">
        <v>453</v>
      </c>
      <c r="H6237" s="710">
        <v>8.23</v>
      </c>
      <c r="I6237" s="256"/>
      <c r="J6237" s="67">
        <f t="shared" si="386"/>
        <v>12533.77</v>
      </c>
      <c r="L6237" s="70"/>
      <c r="M6237" s="934"/>
      <c r="N6237" s="94"/>
      <c r="O6237" s="94"/>
      <c r="P6237" s="94"/>
      <c r="Q6237" s="94"/>
      <c r="R6237" s="94"/>
      <c r="S6237" s="94"/>
      <c r="T6237" s="94"/>
      <c r="U6237" s="94"/>
      <c r="V6237" s="94"/>
      <c r="W6237" s="94"/>
      <c r="X6237" s="94"/>
      <c r="Y6237" s="94"/>
      <c r="Z6237" s="94"/>
      <c r="AA6237" s="94"/>
      <c r="AB6237" s="94"/>
      <c r="AC6237" s="94"/>
      <c r="AD6237" s="94"/>
      <c r="AE6237" s="94"/>
      <c r="AF6237" s="94"/>
      <c r="AG6237" s="94"/>
      <c r="AH6237" s="94"/>
    </row>
    <row r="6238" ht="12.75" hidden="1" customHeight="1" outlineLevel="1">
      <c r="A6238" s="122">
        <v>42086.0</v>
      </c>
      <c r="B6238" s="32" t="s">
        <v>347</v>
      </c>
      <c r="C6238" s="32" t="s">
        <v>1844</v>
      </c>
      <c r="D6238" s="708">
        <v>100.0</v>
      </c>
      <c r="E6238" s="195">
        <v>41.113</v>
      </c>
      <c r="F6238" s="709">
        <v>0.4858101851851852</v>
      </c>
      <c r="G6238" s="195" t="s">
        <v>453</v>
      </c>
      <c r="H6238" s="710">
        <v>1.08</v>
      </c>
      <c r="I6238" s="256"/>
      <c r="J6238" s="67">
        <f t="shared" si="386"/>
        <v>4110.22</v>
      </c>
      <c r="L6238" s="70"/>
      <c r="M6238" s="934"/>
      <c r="N6238" s="94"/>
      <c r="O6238" s="94"/>
      <c r="P6238" s="94"/>
      <c r="Q6238" s="94"/>
      <c r="R6238" s="94"/>
      <c r="S6238" s="94"/>
      <c r="T6238" s="94"/>
      <c r="U6238" s="94"/>
      <c r="V6238" s="94"/>
      <c r="W6238" s="94"/>
      <c r="X6238" s="94"/>
      <c r="Y6238" s="94"/>
      <c r="Z6238" s="94"/>
      <c r="AA6238" s="94"/>
      <c r="AB6238" s="94"/>
      <c r="AC6238" s="94"/>
      <c r="AD6238" s="94"/>
      <c r="AE6238" s="94"/>
      <c r="AF6238" s="94"/>
      <c r="AG6238" s="94"/>
      <c r="AH6238" s="94"/>
    </row>
    <row r="6239" ht="12.75" hidden="1" customHeight="1" outlineLevel="1">
      <c r="A6239" s="122">
        <v>42086.0</v>
      </c>
      <c r="B6239" s="32" t="s">
        <v>347</v>
      </c>
      <c r="C6239" s="32" t="s">
        <v>2048</v>
      </c>
      <c r="D6239" s="708">
        <v>600.0</v>
      </c>
      <c r="E6239" s="195">
        <v>10.041</v>
      </c>
      <c r="F6239" s="709">
        <v>0.4862962962962963</v>
      </c>
      <c r="G6239" s="195" t="s">
        <v>453</v>
      </c>
      <c r="H6239" s="710">
        <v>2.51</v>
      </c>
      <c r="I6239" s="256"/>
      <c r="J6239" s="67">
        <f t="shared" si="386"/>
        <v>6022.09</v>
      </c>
      <c r="L6239" s="70"/>
      <c r="M6239" s="934"/>
      <c r="N6239" s="94"/>
      <c r="O6239" s="94"/>
      <c r="P6239" s="94"/>
      <c r="Q6239" s="94"/>
      <c r="R6239" s="94"/>
      <c r="S6239" s="94"/>
      <c r="T6239" s="94"/>
      <c r="U6239" s="94"/>
      <c r="V6239" s="94"/>
      <c r="W6239" s="94"/>
      <c r="X6239" s="94"/>
      <c r="Y6239" s="94"/>
      <c r="Z6239" s="94"/>
      <c r="AA6239" s="94"/>
      <c r="AB6239" s="94"/>
      <c r="AC6239" s="94"/>
      <c r="AD6239" s="94"/>
      <c r="AE6239" s="94"/>
      <c r="AF6239" s="94"/>
      <c r="AG6239" s="94"/>
      <c r="AH6239" s="94"/>
    </row>
    <row r="6240" ht="12.75" hidden="1" customHeight="1" outlineLevel="1">
      <c r="A6240" s="122">
        <v>42086.0</v>
      </c>
      <c r="B6240" s="32" t="s">
        <v>347</v>
      </c>
      <c r="C6240" s="32" t="s">
        <v>1844</v>
      </c>
      <c r="D6240" s="708">
        <v>150.0</v>
      </c>
      <c r="E6240" s="195">
        <v>39.43</v>
      </c>
      <c r="F6240" s="709">
        <v>0.5985185185185186</v>
      </c>
      <c r="G6240" s="195" t="s">
        <v>453</v>
      </c>
      <c r="H6240" s="710">
        <v>1.11</v>
      </c>
      <c r="I6240" s="256"/>
      <c r="J6240" s="67">
        <f t="shared" si="386"/>
        <v>5913.39</v>
      </c>
      <c r="L6240" s="70"/>
      <c r="M6240" s="934"/>
      <c r="N6240" s="94"/>
      <c r="O6240" s="94"/>
      <c r="P6240" s="94"/>
      <c r="Q6240" s="94"/>
      <c r="R6240" s="94"/>
      <c r="S6240" s="94"/>
      <c r="T6240" s="94"/>
      <c r="U6240" s="94"/>
      <c r="V6240" s="94"/>
      <c r="W6240" s="94"/>
      <c r="X6240" s="94"/>
      <c r="Y6240" s="94"/>
      <c r="Z6240" s="94"/>
      <c r="AA6240" s="94"/>
      <c r="AB6240" s="94"/>
      <c r="AC6240" s="94"/>
      <c r="AD6240" s="94"/>
      <c r="AE6240" s="94"/>
      <c r="AF6240" s="94"/>
      <c r="AG6240" s="94"/>
      <c r="AH6240" s="94"/>
    </row>
    <row r="6241" ht="12.75" hidden="1" customHeight="1" outlineLevel="1">
      <c r="A6241" s="122">
        <v>42086.0</v>
      </c>
      <c r="B6241" s="32" t="s">
        <v>347</v>
      </c>
      <c r="C6241" s="32" t="s">
        <v>784</v>
      </c>
      <c r="D6241" s="708">
        <v>1000.0</v>
      </c>
      <c r="E6241" s="195">
        <v>6.43</v>
      </c>
      <c r="F6241" s="709">
        <v>0.6067708333333334</v>
      </c>
      <c r="G6241" s="195" t="s">
        <v>453</v>
      </c>
      <c r="H6241" s="710">
        <v>5.12</v>
      </c>
      <c r="I6241" s="256"/>
      <c r="J6241" s="67">
        <f t="shared" si="386"/>
        <v>6424.88</v>
      </c>
      <c r="L6241" s="70"/>
      <c r="M6241" s="934"/>
      <c r="N6241" s="94"/>
      <c r="O6241" s="94"/>
      <c r="P6241" s="94"/>
      <c r="Q6241" s="94"/>
      <c r="R6241" s="94"/>
      <c r="S6241" s="94"/>
      <c r="T6241" s="94"/>
      <c r="U6241" s="94"/>
      <c r="V6241" s="94"/>
      <c r="W6241" s="94"/>
      <c r="X6241" s="94"/>
      <c r="Y6241" s="94"/>
      <c r="Z6241" s="94"/>
      <c r="AA6241" s="94"/>
      <c r="AB6241" s="94"/>
      <c r="AC6241" s="94"/>
      <c r="AD6241" s="94"/>
      <c r="AE6241" s="94"/>
      <c r="AF6241" s="94"/>
      <c r="AG6241" s="94"/>
      <c r="AH6241" s="94"/>
    </row>
    <row r="6242" ht="12.75" hidden="1" customHeight="1" outlineLevel="1">
      <c r="A6242" s="122">
        <v>42086.0</v>
      </c>
      <c r="B6242" s="32" t="s">
        <v>347</v>
      </c>
      <c r="C6242" s="32" t="s">
        <v>2048</v>
      </c>
      <c r="D6242" s="708">
        <v>450.0</v>
      </c>
      <c r="E6242" s="195">
        <v>9.891</v>
      </c>
      <c r="F6242" s="709">
        <v>0.6103240740740741</v>
      </c>
      <c r="G6242" s="195" t="s">
        <v>453</v>
      </c>
      <c r="H6242" s="710">
        <v>1.88</v>
      </c>
      <c r="I6242" s="256"/>
      <c r="J6242" s="67">
        <f t="shared" si="386"/>
        <v>4449.07</v>
      </c>
      <c r="L6242" s="70"/>
      <c r="M6242" s="934"/>
      <c r="N6242" s="94"/>
      <c r="O6242" s="94"/>
      <c r="P6242" s="94"/>
      <c r="Q6242" s="94"/>
      <c r="R6242" s="94"/>
      <c r="S6242" s="94"/>
      <c r="T6242" s="94"/>
      <c r="U6242" s="94"/>
      <c r="V6242" s="94"/>
      <c r="W6242" s="94"/>
      <c r="X6242" s="94"/>
      <c r="Y6242" s="94"/>
      <c r="Z6242" s="94"/>
      <c r="AA6242" s="94"/>
      <c r="AB6242" s="94"/>
      <c r="AC6242" s="94"/>
      <c r="AD6242" s="94"/>
      <c r="AE6242" s="94"/>
      <c r="AF6242" s="94"/>
      <c r="AG6242" s="94"/>
      <c r="AH6242" s="94"/>
    </row>
    <row r="6243" ht="12.75" hidden="1" customHeight="1" outlineLevel="1">
      <c r="A6243" s="122">
        <v>42086.0</v>
      </c>
      <c r="B6243" s="1"/>
      <c r="C6243" s="1" t="s">
        <v>339</v>
      </c>
      <c r="D6243" s="74"/>
      <c r="E6243" s="67"/>
      <c r="F6243" s="75"/>
      <c r="G6243" s="67"/>
      <c r="H6243" s="68"/>
      <c r="I6243" s="76"/>
      <c r="K6243" s="968" t="s">
        <v>2864</v>
      </c>
      <c r="L6243" s="934"/>
      <c r="M6243" s="934"/>
    </row>
    <row r="6244" ht="12.75" hidden="1" customHeight="1" outlineLevel="1">
      <c r="A6244" s="122">
        <v>42086.0</v>
      </c>
      <c r="B6244" s="1"/>
      <c r="C6244" s="1" t="s">
        <v>429</v>
      </c>
      <c r="D6244" s="74"/>
      <c r="E6244" s="67"/>
      <c r="F6244" s="75"/>
      <c r="G6244" s="67"/>
      <c r="H6244" s="68"/>
      <c r="I6244" s="76"/>
      <c r="J6244" s="67"/>
      <c r="K6244" s="9" t="s">
        <v>2839</v>
      </c>
      <c r="L6244" s="934"/>
      <c r="M6244" s="934"/>
    </row>
    <row r="6245" ht="12.75" hidden="1" customHeight="1" outlineLevel="1">
      <c r="A6245" s="122">
        <v>42086.0</v>
      </c>
      <c r="B6245" s="1"/>
      <c r="C6245" s="1" t="s">
        <v>431</v>
      </c>
      <c r="D6245" s="74"/>
      <c r="E6245" s="67"/>
      <c r="F6245" s="75"/>
      <c r="G6245" s="67"/>
      <c r="H6245" s="68"/>
      <c r="I6245" s="76"/>
      <c r="J6245" s="67"/>
      <c r="K6245" s="7" t="s">
        <v>1126</v>
      </c>
      <c r="L6245" s="934"/>
      <c r="M6245" s="934"/>
    </row>
    <row r="6246" ht="12.75" hidden="1" customHeight="1" outlineLevel="1">
      <c r="A6246" s="122">
        <v>42086.0</v>
      </c>
      <c r="B6246" s="1"/>
      <c r="C6246" s="1" t="s">
        <v>433</v>
      </c>
      <c r="D6246" s="74"/>
      <c r="E6246" s="67"/>
      <c r="F6246" s="75"/>
      <c r="G6246" s="67"/>
      <c r="H6246" s="68"/>
      <c r="I6246" s="76"/>
      <c r="J6246" s="67"/>
      <c r="K6246" s="7" t="s">
        <v>1103</v>
      </c>
      <c r="L6246" s="934"/>
      <c r="M6246" s="934"/>
    </row>
    <row r="6247" ht="12.75" hidden="1" customHeight="1" outlineLevel="1">
      <c r="A6247" s="122">
        <v>42086.0</v>
      </c>
      <c r="B6247" s="1"/>
      <c r="C6247" s="1" t="s">
        <v>435</v>
      </c>
      <c r="D6247" s="74"/>
      <c r="E6247" s="67"/>
      <c r="F6247" s="75"/>
      <c r="G6247" s="67"/>
      <c r="H6247" s="68"/>
      <c r="I6247" s="76"/>
      <c r="J6247" s="67"/>
      <c r="K6247" s="9" t="s">
        <v>2802</v>
      </c>
      <c r="L6247" s="934"/>
      <c r="M6247" s="934"/>
    </row>
    <row r="6248" ht="12.75" hidden="1" customHeight="1" outlineLevel="1">
      <c r="A6248" s="122">
        <v>42087.0</v>
      </c>
      <c r="B6248" s="32" t="s">
        <v>347</v>
      </c>
      <c r="C6248" s="32" t="s">
        <v>784</v>
      </c>
      <c r="D6248" s="708">
        <v>1000.0</v>
      </c>
      <c r="E6248" s="195">
        <v>6.411</v>
      </c>
      <c r="F6248" s="709">
        <v>0.39806712962962965</v>
      </c>
      <c r="G6248" s="195" t="s">
        <v>453</v>
      </c>
      <c r="H6248" s="710">
        <v>4.82</v>
      </c>
      <c r="I6248" s="256"/>
      <c r="J6248" s="67">
        <f t="shared" ref="J6248:J6263" si="387">IF(B6248="SLD",D6248*E6248,-D6248*E6248)-H6248</f>
        <v>6406.18</v>
      </c>
      <c r="L6248" s="70"/>
      <c r="M6248" s="934"/>
      <c r="N6248" s="94"/>
      <c r="O6248" s="94"/>
      <c r="P6248" s="94"/>
      <c r="Q6248" s="94"/>
      <c r="R6248" s="94"/>
      <c r="S6248" s="94"/>
      <c r="T6248" s="94"/>
      <c r="U6248" s="94"/>
      <c r="V6248" s="94"/>
      <c r="W6248" s="94"/>
      <c r="X6248" s="94"/>
      <c r="Y6248" s="94"/>
      <c r="Z6248" s="94"/>
      <c r="AA6248" s="94"/>
      <c r="AB6248" s="94"/>
      <c r="AC6248" s="94"/>
      <c r="AD6248" s="94"/>
      <c r="AE6248" s="94"/>
      <c r="AF6248" s="94"/>
      <c r="AG6248" s="94"/>
      <c r="AH6248" s="94"/>
    </row>
    <row r="6249" ht="12.75" hidden="1" customHeight="1" outlineLevel="1">
      <c r="A6249" s="122">
        <v>42087.0</v>
      </c>
      <c r="B6249" s="32" t="s">
        <v>347</v>
      </c>
      <c r="C6249" s="32" t="s">
        <v>790</v>
      </c>
      <c r="D6249" s="708">
        <v>1500.0</v>
      </c>
      <c r="E6249" s="195">
        <v>5.88</v>
      </c>
      <c r="F6249" s="709">
        <v>0.3983101851851852</v>
      </c>
      <c r="G6249" s="195" t="s">
        <v>453</v>
      </c>
      <c r="H6249" s="710">
        <v>7.66</v>
      </c>
      <c r="I6249" s="256"/>
      <c r="J6249" s="67">
        <f t="shared" si="387"/>
        <v>8812.34</v>
      </c>
      <c r="L6249" s="70"/>
      <c r="M6249" s="934"/>
      <c r="N6249" s="94"/>
      <c r="O6249" s="94"/>
      <c r="P6249" s="94"/>
      <c r="Q6249" s="94"/>
      <c r="R6249" s="94"/>
      <c r="S6249" s="94"/>
      <c r="T6249" s="94"/>
      <c r="U6249" s="94"/>
      <c r="V6249" s="94"/>
      <c r="W6249" s="94"/>
      <c r="X6249" s="94"/>
      <c r="Y6249" s="94"/>
      <c r="Z6249" s="94"/>
      <c r="AA6249" s="94"/>
      <c r="AB6249" s="94"/>
      <c r="AC6249" s="94"/>
      <c r="AD6249" s="94"/>
      <c r="AE6249" s="94"/>
      <c r="AF6249" s="94"/>
      <c r="AG6249" s="94"/>
      <c r="AH6249" s="94"/>
    </row>
    <row r="6250" ht="12.75" hidden="1" customHeight="1" outlineLevel="1">
      <c r="A6250" s="122">
        <v>42087.0</v>
      </c>
      <c r="B6250" s="32" t="s">
        <v>347</v>
      </c>
      <c r="C6250" s="32" t="s">
        <v>784</v>
      </c>
      <c r="D6250" s="708">
        <v>500.0</v>
      </c>
      <c r="E6250" s="195">
        <v>6.41</v>
      </c>
      <c r="F6250" s="709">
        <v>0.3995023148148148</v>
      </c>
      <c r="G6250" s="195" t="s">
        <v>453</v>
      </c>
      <c r="H6250" s="710">
        <v>2.56</v>
      </c>
      <c r="I6250" s="256"/>
      <c r="J6250" s="67">
        <f t="shared" si="387"/>
        <v>3202.44</v>
      </c>
      <c r="L6250" s="70"/>
      <c r="M6250" s="934"/>
      <c r="N6250" s="94"/>
      <c r="O6250" s="94"/>
      <c r="P6250" s="94"/>
      <c r="Q6250" s="94"/>
      <c r="R6250" s="94"/>
      <c r="S6250" s="94"/>
      <c r="T6250" s="94"/>
      <c r="U6250" s="94"/>
      <c r="V6250" s="94"/>
      <c r="W6250" s="94"/>
      <c r="X6250" s="94"/>
      <c r="Y6250" s="94"/>
      <c r="Z6250" s="94"/>
      <c r="AA6250" s="94"/>
      <c r="AB6250" s="94"/>
      <c r="AC6250" s="94"/>
      <c r="AD6250" s="94"/>
      <c r="AE6250" s="94"/>
      <c r="AF6250" s="94"/>
      <c r="AG6250" s="94"/>
      <c r="AH6250" s="94"/>
    </row>
    <row r="6251" ht="12.75" hidden="1" customHeight="1" outlineLevel="1">
      <c r="A6251" s="122">
        <v>42087.0</v>
      </c>
      <c r="B6251" s="32" t="s">
        <v>347</v>
      </c>
      <c r="C6251" s="32" t="s">
        <v>784</v>
      </c>
      <c r="D6251" s="708">
        <v>1000.0</v>
      </c>
      <c r="E6251" s="195">
        <v>6.38</v>
      </c>
      <c r="F6251" s="709">
        <v>0.4001851851851852</v>
      </c>
      <c r="G6251" s="195" t="s">
        <v>453</v>
      </c>
      <c r="H6251" s="710">
        <v>4.12</v>
      </c>
      <c r="I6251" s="256"/>
      <c r="J6251" s="67">
        <f t="shared" si="387"/>
        <v>6375.88</v>
      </c>
      <c r="L6251" s="70"/>
      <c r="M6251" s="934"/>
      <c r="N6251" s="94"/>
      <c r="O6251" s="94"/>
      <c r="P6251" s="94"/>
      <c r="Q6251" s="94"/>
      <c r="R6251" s="94"/>
      <c r="S6251" s="94"/>
      <c r="T6251" s="94"/>
      <c r="U6251" s="94"/>
      <c r="V6251" s="94"/>
      <c r="W6251" s="94"/>
      <c r="X6251" s="94"/>
      <c r="Y6251" s="94"/>
      <c r="Z6251" s="94"/>
      <c r="AA6251" s="94"/>
      <c r="AB6251" s="94"/>
      <c r="AC6251" s="94"/>
      <c r="AD6251" s="94"/>
      <c r="AE6251" s="94"/>
      <c r="AF6251" s="94"/>
      <c r="AG6251" s="94"/>
      <c r="AH6251" s="94"/>
    </row>
    <row r="6252" ht="12.75" hidden="1" customHeight="1" outlineLevel="1">
      <c r="A6252" s="122">
        <v>42087.0</v>
      </c>
      <c r="B6252" s="32" t="s">
        <v>347</v>
      </c>
      <c r="C6252" s="32" t="s">
        <v>2192</v>
      </c>
      <c r="D6252" s="708">
        <v>300.0</v>
      </c>
      <c r="E6252" s="195">
        <v>12.021</v>
      </c>
      <c r="F6252" s="709">
        <v>0.40108796296296295</v>
      </c>
      <c r="G6252" s="195" t="s">
        <v>453</v>
      </c>
      <c r="H6252" s="710">
        <v>1.27</v>
      </c>
      <c r="I6252" s="256"/>
      <c r="J6252" s="67">
        <f t="shared" si="387"/>
        <v>3605.03</v>
      </c>
      <c r="L6252" s="70"/>
      <c r="M6252" s="934"/>
      <c r="N6252" s="94"/>
      <c r="O6252" s="94"/>
      <c r="P6252" s="94"/>
      <c r="Q6252" s="94"/>
      <c r="R6252" s="94"/>
      <c r="S6252" s="94"/>
      <c r="T6252" s="94"/>
      <c r="U6252" s="94"/>
      <c r="V6252" s="94"/>
      <c r="W6252" s="94"/>
      <c r="X6252" s="94"/>
      <c r="Y6252" s="94"/>
      <c r="Z6252" s="94"/>
      <c r="AA6252" s="94"/>
      <c r="AB6252" s="94"/>
      <c r="AC6252" s="94"/>
      <c r="AD6252" s="94"/>
      <c r="AE6252" s="94"/>
      <c r="AF6252" s="94"/>
      <c r="AG6252" s="94"/>
      <c r="AH6252" s="94"/>
    </row>
    <row r="6253" ht="12.75" hidden="1" customHeight="1" outlineLevel="1">
      <c r="A6253" s="122">
        <v>42087.0</v>
      </c>
      <c r="B6253" s="32" t="s">
        <v>347</v>
      </c>
      <c r="C6253" s="32" t="s">
        <v>784</v>
      </c>
      <c r="D6253" s="708">
        <v>1000.0</v>
      </c>
      <c r="E6253" s="195">
        <v>6.35</v>
      </c>
      <c r="F6253" s="709">
        <v>0.40318287037037037</v>
      </c>
      <c r="G6253" s="195" t="s">
        <v>453</v>
      </c>
      <c r="H6253" s="710">
        <v>5.12</v>
      </c>
      <c r="I6253" s="256"/>
      <c r="J6253" s="67">
        <f t="shared" si="387"/>
        <v>6344.88</v>
      </c>
      <c r="L6253" s="70"/>
      <c r="M6253" s="934"/>
      <c r="N6253" s="94"/>
      <c r="O6253" s="94"/>
      <c r="P6253" s="94"/>
      <c r="Q6253" s="94"/>
      <c r="R6253" s="94"/>
      <c r="S6253" s="94"/>
      <c r="T6253" s="94"/>
      <c r="U6253" s="94"/>
      <c r="V6253" s="94"/>
      <c r="W6253" s="94"/>
      <c r="X6253" s="94"/>
      <c r="Y6253" s="94"/>
      <c r="Z6253" s="94"/>
      <c r="AA6253" s="94"/>
      <c r="AB6253" s="94"/>
      <c r="AC6253" s="94"/>
      <c r="AD6253" s="94"/>
      <c r="AE6253" s="94"/>
      <c r="AF6253" s="94"/>
      <c r="AG6253" s="94"/>
      <c r="AH6253" s="94"/>
    </row>
    <row r="6254" ht="12.75" hidden="1" customHeight="1" outlineLevel="1">
      <c r="A6254" s="122">
        <v>42087.0</v>
      </c>
      <c r="B6254" s="32" t="s">
        <v>347</v>
      </c>
      <c r="C6254" s="32" t="s">
        <v>790</v>
      </c>
      <c r="D6254" s="708">
        <v>1000.0</v>
      </c>
      <c r="E6254" s="195">
        <v>5.86</v>
      </c>
      <c r="F6254" s="709">
        <v>0.4033101851851852</v>
      </c>
      <c r="G6254" s="195" t="s">
        <v>453</v>
      </c>
      <c r="H6254" s="710">
        <v>4.11</v>
      </c>
      <c r="I6254" s="256"/>
      <c r="J6254" s="67">
        <f t="shared" si="387"/>
        <v>5855.89</v>
      </c>
      <c r="L6254" s="70"/>
      <c r="M6254" s="934"/>
      <c r="N6254" s="94"/>
      <c r="O6254" s="94"/>
      <c r="P6254" s="94"/>
      <c r="Q6254" s="94"/>
      <c r="R6254" s="94"/>
      <c r="S6254" s="94"/>
      <c r="T6254" s="94"/>
      <c r="U6254" s="94"/>
      <c r="V6254" s="94"/>
      <c r="W6254" s="94"/>
      <c r="X6254" s="94"/>
      <c r="Y6254" s="94"/>
      <c r="Z6254" s="94"/>
      <c r="AA6254" s="94"/>
      <c r="AB6254" s="94"/>
      <c r="AC6254" s="94"/>
      <c r="AD6254" s="94"/>
      <c r="AE6254" s="94"/>
      <c r="AF6254" s="94"/>
      <c r="AG6254" s="94"/>
      <c r="AH6254" s="94"/>
    </row>
    <row r="6255" ht="12.75" hidden="1" customHeight="1" outlineLevel="1">
      <c r="A6255" s="122">
        <v>42087.0</v>
      </c>
      <c r="B6255" s="32" t="s">
        <v>343</v>
      </c>
      <c r="C6255" s="32" t="s">
        <v>1400</v>
      </c>
      <c r="D6255" s="708">
        <v>400.0</v>
      </c>
      <c r="E6255" s="195">
        <v>81.54</v>
      </c>
      <c r="F6255" s="709">
        <v>0.40949074074074077</v>
      </c>
      <c r="G6255" s="195" t="s">
        <v>453</v>
      </c>
      <c r="H6255" s="710">
        <v>2.0</v>
      </c>
      <c r="I6255" s="256"/>
      <c r="J6255" s="67">
        <f t="shared" si="387"/>
        <v>-32618</v>
      </c>
      <c r="L6255" s="70"/>
      <c r="M6255" s="934"/>
      <c r="N6255" s="94"/>
      <c r="O6255" s="94"/>
      <c r="P6255" s="94"/>
      <c r="Q6255" s="94"/>
      <c r="R6255" s="94"/>
      <c r="S6255" s="94"/>
      <c r="T6255" s="94"/>
      <c r="U6255" s="94"/>
      <c r="V6255" s="94"/>
      <c r="W6255" s="94"/>
      <c r="X6255" s="94"/>
      <c r="Y6255" s="94"/>
      <c r="Z6255" s="94"/>
      <c r="AA6255" s="94"/>
      <c r="AB6255" s="94"/>
      <c r="AC6255" s="94"/>
      <c r="AD6255" s="94"/>
      <c r="AE6255" s="94"/>
      <c r="AF6255" s="94"/>
      <c r="AG6255" s="94"/>
      <c r="AH6255" s="94"/>
    </row>
    <row r="6256" ht="12.75" hidden="1" customHeight="1" outlineLevel="1">
      <c r="A6256" s="122">
        <v>42087.0</v>
      </c>
      <c r="B6256" s="32" t="s">
        <v>347</v>
      </c>
      <c r="C6256" s="32" t="s">
        <v>2192</v>
      </c>
      <c r="D6256" s="708">
        <v>300.0</v>
      </c>
      <c r="E6256" s="195">
        <v>12.03</v>
      </c>
      <c r="F6256" s="709">
        <v>0.48113425925925923</v>
      </c>
      <c r="G6256" s="195" t="s">
        <v>453</v>
      </c>
      <c r="H6256" s="710">
        <v>1.57</v>
      </c>
      <c r="I6256" s="256"/>
      <c r="J6256" s="67">
        <f t="shared" si="387"/>
        <v>3607.43</v>
      </c>
      <c r="L6256" s="70"/>
      <c r="M6256" s="934"/>
      <c r="N6256" s="94"/>
      <c r="O6256" s="94"/>
      <c r="P6256" s="94"/>
      <c r="Q6256" s="94"/>
      <c r="R6256" s="94"/>
      <c r="S6256" s="94"/>
      <c r="T6256" s="94"/>
      <c r="U6256" s="94"/>
      <c r="V6256" s="94"/>
      <c r="W6256" s="94"/>
      <c r="X6256" s="94"/>
      <c r="Y6256" s="94"/>
      <c r="Z6256" s="94"/>
      <c r="AA6256" s="94"/>
      <c r="AB6256" s="94"/>
      <c r="AC6256" s="94"/>
      <c r="AD6256" s="94"/>
      <c r="AE6256" s="94"/>
      <c r="AF6256" s="94"/>
      <c r="AG6256" s="94"/>
      <c r="AH6256" s="94"/>
    </row>
    <row r="6257" ht="12.75" hidden="1" customHeight="1" outlineLevel="1">
      <c r="A6257" s="122">
        <v>42087.0</v>
      </c>
      <c r="B6257" s="32" t="s">
        <v>347</v>
      </c>
      <c r="C6257" s="32" t="s">
        <v>369</v>
      </c>
      <c r="D6257" s="708">
        <v>1000.0</v>
      </c>
      <c r="E6257" s="195">
        <v>4.901</v>
      </c>
      <c r="F6257" s="709">
        <v>0.4829513888888889</v>
      </c>
      <c r="G6257" s="195" t="s">
        <v>453</v>
      </c>
      <c r="H6257" s="710">
        <v>4.09</v>
      </c>
      <c r="I6257" s="256"/>
      <c r="J6257" s="67">
        <f t="shared" si="387"/>
        <v>4896.91</v>
      </c>
      <c r="L6257" s="70"/>
      <c r="M6257" s="934"/>
      <c r="N6257" s="94"/>
      <c r="O6257" s="94"/>
      <c r="P6257" s="94"/>
      <c r="Q6257" s="94"/>
      <c r="R6257" s="94"/>
      <c r="S6257" s="94"/>
      <c r="T6257" s="94"/>
      <c r="U6257" s="94"/>
      <c r="V6257" s="94"/>
      <c r="W6257" s="94"/>
      <c r="X6257" s="94"/>
      <c r="Y6257" s="94"/>
      <c r="Z6257" s="94"/>
      <c r="AA6257" s="94"/>
      <c r="AB6257" s="94"/>
      <c r="AC6257" s="94"/>
      <c r="AD6257" s="94"/>
      <c r="AE6257" s="94"/>
      <c r="AF6257" s="94"/>
      <c r="AG6257" s="94"/>
      <c r="AH6257" s="94"/>
    </row>
    <row r="6258" ht="12.75" hidden="1" customHeight="1" outlineLevel="1">
      <c r="A6258" s="122">
        <v>42087.0</v>
      </c>
      <c r="B6258" s="32" t="s">
        <v>347</v>
      </c>
      <c r="C6258" s="32" t="s">
        <v>784</v>
      </c>
      <c r="D6258" s="708">
        <v>1500.0</v>
      </c>
      <c r="E6258" s="195">
        <v>6.291</v>
      </c>
      <c r="F6258" s="709">
        <v>0.488125</v>
      </c>
      <c r="G6258" s="195" t="s">
        <v>453</v>
      </c>
      <c r="H6258" s="710">
        <v>6.17</v>
      </c>
      <c r="I6258" s="256"/>
      <c r="J6258" s="67">
        <f t="shared" si="387"/>
        <v>9430.33</v>
      </c>
      <c r="L6258" s="70"/>
      <c r="M6258" s="934"/>
      <c r="N6258" s="94"/>
      <c r="O6258" s="94"/>
      <c r="P6258" s="94"/>
      <c r="Q6258" s="94"/>
      <c r="R6258" s="94"/>
      <c r="S6258" s="94"/>
      <c r="T6258" s="94"/>
      <c r="U6258" s="94"/>
      <c r="V6258" s="94"/>
      <c r="W6258" s="94"/>
      <c r="X6258" s="94"/>
      <c r="Y6258" s="94"/>
      <c r="Z6258" s="94"/>
      <c r="AA6258" s="94"/>
      <c r="AB6258" s="94"/>
      <c r="AC6258" s="94"/>
      <c r="AD6258" s="94"/>
      <c r="AE6258" s="94"/>
      <c r="AF6258" s="94"/>
      <c r="AG6258" s="94"/>
      <c r="AH6258" s="94"/>
    </row>
    <row r="6259" ht="12.75" hidden="1" customHeight="1" outlineLevel="1">
      <c r="A6259" s="122">
        <v>42087.0</v>
      </c>
      <c r="B6259" s="32" t="s">
        <v>347</v>
      </c>
      <c r="C6259" s="32" t="s">
        <v>790</v>
      </c>
      <c r="D6259" s="708">
        <v>5000.0</v>
      </c>
      <c r="E6259" s="195">
        <v>5.802</v>
      </c>
      <c r="F6259" s="709">
        <v>0.4882523148148148</v>
      </c>
      <c r="G6259" s="195" t="s">
        <v>453</v>
      </c>
      <c r="H6259" s="710">
        <v>20.53</v>
      </c>
      <c r="I6259" s="256"/>
      <c r="J6259" s="67">
        <f t="shared" si="387"/>
        <v>28989.47</v>
      </c>
      <c r="L6259" s="70"/>
      <c r="M6259" s="934"/>
      <c r="N6259" s="94"/>
      <c r="O6259" s="94"/>
      <c r="P6259" s="94"/>
      <c r="Q6259" s="94"/>
      <c r="R6259" s="94"/>
      <c r="S6259" s="94"/>
      <c r="T6259" s="94"/>
      <c r="U6259" s="94"/>
      <c r="V6259" s="94"/>
      <c r="W6259" s="94"/>
      <c r="X6259" s="94"/>
      <c r="Y6259" s="94"/>
      <c r="Z6259" s="94"/>
      <c r="AA6259" s="94"/>
      <c r="AB6259" s="94"/>
      <c r="AC6259" s="94"/>
      <c r="AD6259" s="94"/>
      <c r="AE6259" s="94"/>
      <c r="AF6259" s="94"/>
      <c r="AG6259" s="94"/>
      <c r="AH6259" s="94"/>
    </row>
    <row r="6260" ht="12.75" hidden="1" customHeight="1" outlineLevel="1">
      <c r="A6260" s="122">
        <v>42087.0</v>
      </c>
      <c r="B6260" s="32" t="s">
        <v>347</v>
      </c>
      <c r="C6260" s="32" t="s">
        <v>2048</v>
      </c>
      <c r="D6260" s="708">
        <v>750.0</v>
      </c>
      <c r="E6260" s="195">
        <v>9.671</v>
      </c>
      <c r="F6260" s="709">
        <v>0.4884722222222222</v>
      </c>
      <c r="G6260" s="195" t="s">
        <v>453</v>
      </c>
      <c r="H6260" s="710">
        <v>3.13</v>
      </c>
      <c r="I6260" s="256"/>
      <c r="J6260" s="67">
        <f t="shared" si="387"/>
        <v>7250.12</v>
      </c>
      <c r="L6260" s="70"/>
      <c r="M6260" s="934"/>
      <c r="N6260" s="94"/>
      <c r="O6260" s="94"/>
      <c r="P6260" s="94"/>
      <c r="Q6260" s="94"/>
      <c r="R6260" s="94"/>
      <c r="S6260" s="94"/>
      <c r="T6260" s="94"/>
      <c r="U6260" s="94"/>
      <c r="V6260" s="94"/>
      <c r="W6260" s="94"/>
      <c r="X6260" s="94"/>
      <c r="Y6260" s="94"/>
      <c r="Z6260" s="94"/>
      <c r="AA6260" s="94"/>
      <c r="AB6260" s="94"/>
      <c r="AC6260" s="94"/>
      <c r="AD6260" s="94"/>
      <c r="AE6260" s="94"/>
      <c r="AF6260" s="94"/>
      <c r="AG6260" s="94"/>
      <c r="AH6260" s="94"/>
    </row>
    <row r="6261" ht="12.75" hidden="1" customHeight="1" outlineLevel="1">
      <c r="A6261" s="122">
        <v>42087.0</v>
      </c>
      <c r="B6261" s="32" t="s">
        <v>347</v>
      </c>
      <c r="C6261" s="32" t="s">
        <v>784</v>
      </c>
      <c r="D6261" s="708">
        <v>1000.0</v>
      </c>
      <c r="E6261" s="195">
        <v>6.301</v>
      </c>
      <c r="F6261" s="709">
        <v>0.5004513888888888</v>
      </c>
      <c r="G6261" s="195" t="s">
        <v>453</v>
      </c>
      <c r="H6261" s="710">
        <v>4.12</v>
      </c>
      <c r="I6261" s="256"/>
      <c r="J6261" s="67">
        <f t="shared" si="387"/>
        <v>6296.88</v>
      </c>
      <c r="L6261" s="70"/>
      <c r="M6261" s="934"/>
      <c r="N6261" s="94"/>
      <c r="O6261" s="94"/>
      <c r="P6261" s="94"/>
      <c r="Q6261" s="94"/>
      <c r="R6261" s="94"/>
      <c r="S6261" s="94"/>
      <c r="T6261" s="94"/>
      <c r="U6261" s="94"/>
      <c r="V6261" s="94"/>
      <c r="W6261" s="94"/>
      <c r="X6261" s="94"/>
      <c r="Y6261" s="94"/>
      <c r="Z6261" s="94"/>
      <c r="AA6261" s="94"/>
      <c r="AB6261" s="94"/>
      <c r="AC6261" s="94"/>
      <c r="AD6261" s="94"/>
      <c r="AE6261" s="94"/>
      <c r="AF6261" s="94"/>
      <c r="AG6261" s="94"/>
      <c r="AH6261" s="94"/>
    </row>
    <row r="6262" ht="12.75" hidden="1" customHeight="1" outlineLevel="1">
      <c r="A6262" s="122">
        <v>42087.0</v>
      </c>
      <c r="B6262" s="32" t="s">
        <v>343</v>
      </c>
      <c r="C6262" s="32" t="s">
        <v>790</v>
      </c>
      <c r="D6262" s="708">
        <v>3500.0</v>
      </c>
      <c r="E6262" s="195">
        <v>5.8668</v>
      </c>
      <c r="F6262" s="709">
        <v>0.5035763888888889</v>
      </c>
      <c r="G6262" s="195" t="s">
        <v>453</v>
      </c>
      <c r="H6262" s="710">
        <v>14.0</v>
      </c>
      <c r="I6262" s="256"/>
      <c r="J6262" s="67">
        <f t="shared" si="387"/>
        <v>-20547.8</v>
      </c>
      <c r="L6262" s="70"/>
      <c r="M6262" s="934"/>
      <c r="N6262" s="94"/>
      <c r="O6262" s="94"/>
      <c r="P6262" s="94"/>
      <c r="Q6262" s="94"/>
      <c r="R6262" s="94"/>
      <c r="S6262" s="94"/>
      <c r="T6262" s="94"/>
      <c r="U6262" s="94"/>
      <c r="V6262" s="94"/>
      <c r="W6262" s="94"/>
      <c r="X6262" s="94"/>
      <c r="Y6262" s="94"/>
      <c r="Z6262" s="94"/>
      <c r="AA6262" s="94"/>
      <c r="AB6262" s="94"/>
      <c r="AC6262" s="94"/>
      <c r="AD6262" s="94"/>
      <c r="AE6262" s="94"/>
      <c r="AF6262" s="94"/>
      <c r="AG6262" s="94"/>
      <c r="AH6262" s="94"/>
    </row>
    <row r="6263" ht="12.75" hidden="1" customHeight="1" outlineLevel="1">
      <c r="A6263" s="122">
        <v>42087.0</v>
      </c>
      <c r="B6263" s="32" t="s">
        <v>347</v>
      </c>
      <c r="C6263" s="32" t="s">
        <v>369</v>
      </c>
      <c r="D6263" s="708">
        <v>1000.0</v>
      </c>
      <c r="E6263" s="195">
        <v>4.881</v>
      </c>
      <c r="F6263" s="709">
        <v>0.5292129629629629</v>
      </c>
      <c r="G6263" s="195" t="s">
        <v>453</v>
      </c>
      <c r="H6263" s="710">
        <v>4.09</v>
      </c>
      <c r="I6263" s="256"/>
      <c r="J6263" s="67">
        <f t="shared" si="387"/>
        <v>4876.91</v>
      </c>
      <c r="L6263" s="70"/>
      <c r="M6263" s="934"/>
      <c r="N6263" s="94"/>
      <c r="O6263" s="94"/>
      <c r="P6263" s="94"/>
      <c r="Q6263" s="94"/>
      <c r="R6263" s="94"/>
      <c r="S6263" s="94"/>
      <c r="T6263" s="94"/>
      <c r="U6263" s="94"/>
      <c r="V6263" s="94"/>
      <c r="W6263" s="94"/>
      <c r="X6263" s="94"/>
      <c r="Y6263" s="94"/>
      <c r="Z6263" s="94"/>
      <c r="AA6263" s="94"/>
      <c r="AB6263" s="94"/>
      <c r="AC6263" s="94"/>
      <c r="AD6263" s="94"/>
      <c r="AE6263" s="94"/>
      <c r="AF6263" s="94"/>
      <c r="AG6263" s="94"/>
      <c r="AH6263" s="94"/>
    </row>
    <row r="6264" ht="12.75" hidden="1" customHeight="1" outlineLevel="1">
      <c r="A6264" s="122">
        <v>42087.0</v>
      </c>
      <c r="B6264" s="1"/>
      <c r="C6264" s="1" t="s">
        <v>339</v>
      </c>
      <c r="D6264" s="74"/>
      <c r="E6264" s="67"/>
      <c r="F6264" s="75"/>
      <c r="G6264" s="67"/>
      <c r="H6264" s="68"/>
      <c r="I6264" s="76"/>
      <c r="K6264" s="968" t="s">
        <v>2873</v>
      </c>
      <c r="L6264" s="934"/>
      <c r="M6264" s="934"/>
    </row>
    <row r="6265" ht="12.75" hidden="1" customHeight="1" outlineLevel="1">
      <c r="A6265" s="122">
        <v>42087.0</v>
      </c>
      <c r="B6265" s="1"/>
      <c r="C6265" s="1" t="s">
        <v>429</v>
      </c>
      <c r="D6265" s="74"/>
      <c r="E6265" s="67"/>
      <c r="F6265" s="75"/>
      <c r="G6265" s="67"/>
      <c r="H6265" s="68"/>
      <c r="I6265" s="76"/>
      <c r="J6265" s="67"/>
      <c r="K6265" s="9" t="s">
        <v>2839</v>
      </c>
      <c r="L6265" s="934"/>
      <c r="M6265" s="934"/>
    </row>
    <row r="6266" ht="12.75" hidden="1" customHeight="1" outlineLevel="1">
      <c r="A6266" s="122">
        <v>42087.0</v>
      </c>
      <c r="B6266" s="1"/>
      <c r="C6266" s="1" t="s">
        <v>431</v>
      </c>
      <c r="D6266" s="74"/>
      <c r="E6266" s="67"/>
      <c r="F6266" s="75"/>
      <c r="G6266" s="67"/>
      <c r="H6266" s="68"/>
      <c r="I6266" s="76"/>
      <c r="J6266" s="67"/>
      <c r="K6266" s="7" t="s">
        <v>1126</v>
      </c>
      <c r="L6266" s="934"/>
      <c r="M6266" s="934"/>
    </row>
    <row r="6267" ht="12.75" hidden="1" customHeight="1" outlineLevel="1">
      <c r="A6267" s="122">
        <v>42087.0</v>
      </c>
      <c r="B6267" s="1"/>
      <c r="C6267" s="1" t="s">
        <v>433</v>
      </c>
      <c r="D6267" s="74"/>
      <c r="E6267" s="67"/>
      <c r="F6267" s="75"/>
      <c r="G6267" s="67"/>
      <c r="H6267" s="68"/>
      <c r="I6267" s="76"/>
      <c r="J6267" s="67"/>
      <c r="K6267" s="7" t="s">
        <v>1103</v>
      </c>
      <c r="L6267" s="934"/>
      <c r="M6267" s="934"/>
    </row>
    <row r="6268" ht="12.75" hidden="1" customHeight="1" outlineLevel="1">
      <c r="A6268" s="122">
        <v>42087.0</v>
      </c>
      <c r="B6268" s="1"/>
      <c r="C6268" s="1" t="s">
        <v>435</v>
      </c>
      <c r="D6268" s="74"/>
      <c r="E6268" s="67"/>
      <c r="F6268" s="75"/>
      <c r="G6268" s="67"/>
      <c r="H6268" s="68"/>
      <c r="I6268" s="76"/>
      <c r="J6268" s="67"/>
      <c r="K6268" s="9" t="s">
        <v>2802</v>
      </c>
      <c r="L6268" s="934"/>
      <c r="M6268" s="934"/>
    </row>
    <row r="6269" ht="12.75" hidden="1" customHeight="1" outlineLevel="1">
      <c r="A6269" s="122">
        <v>42088.0</v>
      </c>
      <c r="B6269" s="32" t="s">
        <v>343</v>
      </c>
      <c r="C6269" s="32" t="s">
        <v>1221</v>
      </c>
      <c r="D6269" s="708">
        <v>150.0</v>
      </c>
      <c r="E6269" s="195">
        <v>40.07</v>
      </c>
      <c r="F6269" s="709">
        <v>0.40421296296296294</v>
      </c>
      <c r="G6269" s="195" t="s">
        <v>453</v>
      </c>
      <c r="H6269" s="710">
        <v>1.0</v>
      </c>
      <c r="I6269" s="256"/>
      <c r="J6269" s="67">
        <f t="shared" ref="J6269:J6343" si="388">IF(B6269="SLD",D6269*E6269,-D6269*E6269)-H6269</f>
        <v>-6011.5</v>
      </c>
      <c r="L6269" s="70"/>
      <c r="M6269" s="934"/>
      <c r="N6269" s="94"/>
      <c r="O6269" s="94"/>
      <c r="P6269" s="94"/>
      <c r="Q6269" s="94"/>
      <c r="R6269" s="94"/>
      <c r="S6269" s="94"/>
      <c r="T6269" s="94"/>
      <c r="U6269" s="94"/>
      <c r="V6269" s="94"/>
      <c r="W6269" s="94"/>
      <c r="X6269" s="94"/>
      <c r="Y6269" s="94"/>
      <c r="Z6269" s="94"/>
      <c r="AA6269" s="94"/>
      <c r="AB6269" s="94"/>
      <c r="AC6269" s="94"/>
      <c r="AD6269" s="94"/>
      <c r="AE6269" s="94"/>
      <c r="AF6269" s="94"/>
      <c r="AG6269" s="94"/>
      <c r="AH6269" s="94"/>
    </row>
    <row r="6270" ht="12.75" hidden="1" customHeight="1" outlineLevel="1">
      <c r="A6270" s="122">
        <v>42088.0</v>
      </c>
      <c r="B6270" s="32" t="s">
        <v>347</v>
      </c>
      <c r="C6270" s="32" t="s">
        <v>2342</v>
      </c>
      <c r="D6270" s="708">
        <v>100.0</v>
      </c>
      <c r="E6270" s="195">
        <v>61.79</v>
      </c>
      <c r="F6270" s="709">
        <v>0.47908564814814814</v>
      </c>
      <c r="G6270" s="195" t="s">
        <v>453</v>
      </c>
      <c r="H6270" s="710">
        <v>1.11</v>
      </c>
      <c r="I6270" s="256"/>
      <c r="J6270" s="67">
        <f t="shared" si="388"/>
        <v>6177.89</v>
      </c>
      <c r="L6270" s="70"/>
      <c r="M6270" s="934"/>
      <c r="N6270" s="94"/>
      <c r="O6270" s="94"/>
      <c r="P6270" s="94"/>
      <c r="Q6270" s="94"/>
      <c r="R6270" s="94"/>
      <c r="S6270" s="94"/>
      <c r="T6270" s="94"/>
      <c r="U6270" s="94"/>
      <c r="V6270" s="94"/>
      <c r="W6270" s="94"/>
      <c r="X6270" s="94"/>
      <c r="Y6270" s="94"/>
      <c r="Z6270" s="94"/>
      <c r="AA6270" s="94"/>
      <c r="AB6270" s="94"/>
      <c r="AC6270" s="94"/>
      <c r="AD6270" s="94"/>
      <c r="AE6270" s="94"/>
      <c r="AF6270" s="94"/>
      <c r="AG6270" s="94"/>
      <c r="AH6270" s="94"/>
    </row>
    <row r="6271" ht="12.75" hidden="1" customHeight="1" outlineLevel="1">
      <c r="A6271" s="122">
        <v>42088.0</v>
      </c>
      <c r="B6271" s="32" t="s">
        <v>347</v>
      </c>
      <c r="C6271" s="32" t="s">
        <v>2792</v>
      </c>
      <c r="D6271" s="708">
        <v>150.0</v>
      </c>
      <c r="E6271" s="195">
        <v>37.657</v>
      </c>
      <c r="F6271" s="709">
        <v>0.48050925925925925</v>
      </c>
      <c r="G6271" s="195" t="s">
        <v>453</v>
      </c>
      <c r="H6271" s="710">
        <v>1.1</v>
      </c>
      <c r="I6271" s="256"/>
      <c r="J6271" s="67">
        <f t="shared" si="388"/>
        <v>5647.45</v>
      </c>
      <c r="L6271" s="70"/>
      <c r="M6271" s="934"/>
      <c r="N6271" s="94"/>
      <c r="O6271" s="94"/>
      <c r="P6271" s="94"/>
      <c r="Q6271" s="94"/>
      <c r="R6271" s="94"/>
      <c r="S6271" s="94"/>
      <c r="T6271" s="94"/>
      <c r="U6271" s="94"/>
      <c r="V6271" s="94"/>
      <c r="W6271" s="94"/>
      <c r="X6271" s="94"/>
      <c r="Y6271" s="94"/>
      <c r="Z6271" s="94"/>
      <c r="AA6271" s="94"/>
      <c r="AB6271" s="94"/>
      <c r="AC6271" s="94"/>
      <c r="AD6271" s="94"/>
      <c r="AE6271" s="94"/>
      <c r="AF6271" s="94"/>
      <c r="AG6271" s="94"/>
      <c r="AH6271" s="94"/>
    </row>
    <row r="6272" ht="12.75" hidden="1" customHeight="1" outlineLevel="1">
      <c r="A6272" s="122">
        <v>42088.0</v>
      </c>
      <c r="B6272" s="32" t="s">
        <v>347</v>
      </c>
      <c r="C6272" s="32" t="s">
        <v>1607</v>
      </c>
      <c r="D6272" s="708">
        <v>250.0</v>
      </c>
      <c r="E6272" s="195">
        <v>24.0</v>
      </c>
      <c r="F6272" s="709">
        <v>0.48292824074074076</v>
      </c>
      <c r="G6272" s="195" t="s">
        <v>453</v>
      </c>
      <c r="H6272" s="710">
        <v>1.36</v>
      </c>
      <c r="I6272" s="256"/>
      <c r="J6272" s="67">
        <f t="shared" si="388"/>
        <v>5998.64</v>
      </c>
      <c r="L6272" s="70"/>
      <c r="M6272" s="934"/>
      <c r="N6272" s="94"/>
      <c r="O6272" s="94"/>
      <c r="P6272" s="94"/>
      <c r="Q6272" s="94"/>
      <c r="R6272" s="94"/>
      <c r="S6272" s="94"/>
      <c r="T6272" s="94"/>
      <c r="U6272" s="94"/>
      <c r="V6272" s="94"/>
      <c r="W6272" s="94"/>
      <c r="X6272" s="94"/>
      <c r="Y6272" s="94"/>
      <c r="Z6272" s="94"/>
      <c r="AA6272" s="94"/>
      <c r="AB6272" s="94"/>
      <c r="AC6272" s="94"/>
      <c r="AD6272" s="94"/>
      <c r="AE6272" s="94"/>
      <c r="AF6272" s="94"/>
      <c r="AG6272" s="94"/>
      <c r="AH6272" s="94"/>
    </row>
    <row r="6273" ht="12.75" hidden="1" customHeight="1" outlineLevel="1">
      <c r="A6273" s="122">
        <v>42088.0</v>
      </c>
      <c r="B6273" s="32" t="s">
        <v>347</v>
      </c>
      <c r="C6273" s="32" t="s">
        <v>1325</v>
      </c>
      <c r="D6273" s="708">
        <v>100.0</v>
      </c>
      <c r="E6273" s="195">
        <v>61.74</v>
      </c>
      <c r="F6273" s="709">
        <v>0.4835185185185185</v>
      </c>
      <c r="G6273" s="195" t="s">
        <v>453</v>
      </c>
      <c r="H6273" s="710">
        <v>1.11</v>
      </c>
      <c r="I6273" s="256"/>
      <c r="J6273" s="67">
        <f t="shared" si="388"/>
        <v>6172.89</v>
      </c>
      <c r="L6273" s="70"/>
      <c r="M6273" s="934"/>
      <c r="N6273" s="94"/>
      <c r="O6273" s="94"/>
      <c r="P6273" s="94"/>
      <c r="Q6273" s="94"/>
      <c r="R6273" s="94"/>
      <c r="S6273" s="94"/>
      <c r="T6273" s="94"/>
      <c r="U6273" s="94"/>
      <c r="V6273" s="94"/>
      <c r="W6273" s="94"/>
      <c r="X6273" s="94"/>
      <c r="Y6273" s="94"/>
      <c r="Z6273" s="94"/>
      <c r="AA6273" s="94"/>
      <c r="AB6273" s="94"/>
      <c r="AC6273" s="94"/>
      <c r="AD6273" s="94"/>
      <c r="AE6273" s="94"/>
      <c r="AF6273" s="94"/>
      <c r="AG6273" s="94"/>
      <c r="AH6273" s="94"/>
    </row>
    <row r="6274" ht="12.75" hidden="1" customHeight="1" outlineLevel="1">
      <c r="A6274" s="122">
        <v>42088.0</v>
      </c>
      <c r="B6274" s="32" t="s">
        <v>347</v>
      </c>
      <c r="C6274" s="32" t="s">
        <v>344</v>
      </c>
      <c r="D6274" s="708">
        <v>100.0</v>
      </c>
      <c r="E6274" s="195">
        <v>55.145</v>
      </c>
      <c r="F6274" s="709">
        <v>0.48387731481481483</v>
      </c>
      <c r="G6274" s="195" t="s">
        <v>453</v>
      </c>
      <c r="H6274" s="710">
        <v>1.1</v>
      </c>
      <c r="I6274" s="256"/>
      <c r="J6274" s="67">
        <f t="shared" si="388"/>
        <v>5513.4</v>
      </c>
      <c r="L6274" s="70"/>
      <c r="M6274" s="934"/>
      <c r="N6274" s="94"/>
      <c r="O6274" s="94"/>
      <c r="P6274" s="94"/>
      <c r="Q6274" s="94"/>
      <c r="R6274" s="94"/>
      <c r="S6274" s="94"/>
      <c r="T6274" s="94"/>
      <c r="U6274" s="94"/>
      <c r="V6274" s="94"/>
      <c r="W6274" s="94"/>
      <c r="X6274" s="94"/>
      <c r="Y6274" s="94"/>
      <c r="Z6274" s="94"/>
      <c r="AA6274" s="94"/>
      <c r="AB6274" s="94"/>
      <c r="AC6274" s="94"/>
      <c r="AD6274" s="94"/>
      <c r="AE6274" s="94"/>
      <c r="AF6274" s="94"/>
      <c r="AG6274" s="94"/>
      <c r="AH6274" s="94"/>
    </row>
    <row r="6275" ht="12.75" hidden="1" customHeight="1" outlineLevel="1">
      <c r="A6275" s="122">
        <v>42088.0</v>
      </c>
      <c r="B6275" s="32" t="s">
        <v>347</v>
      </c>
      <c r="C6275" s="32" t="s">
        <v>2142</v>
      </c>
      <c r="D6275" s="708">
        <v>800.0</v>
      </c>
      <c r="E6275" s="195">
        <v>31.188</v>
      </c>
      <c r="F6275" s="709">
        <v>0.4874074074074074</v>
      </c>
      <c r="G6275" s="195" t="s">
        <v>453</v>
      </c>
      <c r="H6275" s="710">
        <v>4.46</v>
      </c>
      <c r="I6275" s="256"/>
      <c r="J6275" s="67">
        <f t="shared" si="388"/>
        <v>24945.94</v>
      </c>
      <c r="L6275" s="70"/>
      <c r="M6275" s="934"/>
      <c r="N6275" s="94"/>
      <c r="O6275" s="94"/>
      <c r="P6275" s="94"/>
      <c r="Q6275" s="94"/>
      <c r="R6275" s="94"/>
      <c r="S6275" s="94"/>
      <c r="T6275" s="94"/>
      <c r="U6275" s="94"/>
      <c r="V6275" s="94"/>
      <c r="W6275" s="94"/>
      <c r="X6275" s="94"/>
      <c r="Y6275" s="94"/>
      <c r="Z6275" s="94"/>
      <c r="AA6275" s="94"/>
      <c r="AB6275" s="94"/>
      <c r="AC6275" s="94"/>
      <c r="AD6275" s="94"/>
      <c r="AE6275" s="94"/>
      <c r="AF6275" s="94"/>
      <c r="AG6275" s="94"/>
      <c r="AH6275" s="94"/>
    </row>
    <row r="6276" ht="12.75" hidden="1" customHeight="1" outlineLevel="1">
      <c r="A6276" s="122">
        <v>42088.0</v>
      </c>
      <c r="B6276" s="32" t="s">
        <v>347</v>
      </c>
      <c r="C6276" s="32" t="s">
        <v>1735</v>
      </c>
      <c r="D6276" s="708">
        <v>150.0</v>
      </c>
      <c r="E6276" s="195">
        <v>40.91</v>
      </c>
      <c r="F6276" s="709">
        <v>0.48756944444444444</v>
      </c>
      <c r="G6276" s="195" t="s">
        <v>453</v>
      </c>
      <c r="H6276" s="710">
        <v>1.11</v>
      </c>
      <c r="I6276" s="256"/>
      <c r="J6276" s="67">
        <f t="shared" si="388"/>
        <v>6135.39</v>
      </c>
      <c r="L6276" s="70"/>
      <c r="M6276" s="934"/>
      <c r="N6276" s="94"/>
      <c r="O6276" s="94"/>
      <c r="P6276" s="94"/>
      <c r="Q6276" s="94"/>
      <c r="R6276" s="94"/>
      <c r="S6276" s="94"/>
      <c r="T6276" s="94"/>
      <c r="U6276" s="94"/>
      <c r="V6276" s="94"/>
      <c r="W6276" s="94"/>
      <c r="X6276" s="94"/>
      <c r="Y6276" s="94"/>
      <c r="Z6276" s="94"/>
      <c r="AA6276" s="94"/>
      <c r="AB6276" s="94"/>
      <c r="AC6276" s="94"/>
      <c r="AD6276" s="94"/>
      <c r="AE6276" s="94"/>
      <c r="AF6276" s="94"/>
      <c r="AG6276" s="94"/>
      <c r="AH6276" s="94"/>
    </row>
    <row r="6277" ht="12.75" hidden="1" customHeight="1" outlineLevel="1">
      <c r="A6277" s="122">
        <v>42088.0</v>
      </c>
      <c r="B6277" s="32" t="s">
        <v>347</v>
      </c>
      <c r="C6277" s="32" t="s">
        <v>2837</v>
      </c>
      <c r="D6277" s="708">
        <v>450.0</v>
      </c>
      <c r="E6277" s="195">
        <v>28.962</v>
      </c>
      <c r="F6277" s="709">
        <v>0.4888310185185185</v>
      </c>
      <c r="G6277" s="195" t="s">
        <v>453</v>
      </c>
      <c r="H6277" s="710">
        <v>2.34</v>
      </c>
      <c r="I6277" s="256"/>
      <c r="J6277" s="67">
        <f t="shared" si="388"/>
        <v>13030.56</v>
      </c>
      <c r="L6277" s="70"/>
      <c r="M6277" s="934"/>
      <c r="N6277" s="94"/>
      <c r="O6277" s="94"/>
      <c r="P6277" s="94"/>
      <c r="Q6277" s="94"/>
      <c r="R6277" s="94"/>
      <c r="S6277" s="94"/>
      <c r="T6277" s="94"/>
      <c r="U6277" s="94"/>
      <c r="V6277" s="94"/>
      <c r="W6277" s="94"/>
      <c r="X6277" s="94"/>
      <c r="Y6277" s="94"/>
      <c r="Z6277" s="94"/>
      <c r="AA6277" s="94"/>
      <c r="AB6277" s="94"/>
      <c r="AC6277" s="94"/>
      <c r="AD6277" s="94"/>
      <c r="AE6277" s="94"/>
      <c r="AF6277" s="94"/>
      <c r="AG6277" s="94"/>
      <c r="AH6277" s="94"/>
    </row>
    <row r="6278" ht="12.75" hidden="1" customHeight="1" outlineLevel="1">
      <c r="A6278" s="122">
        <v>42088.0</v>
      </c>
      <c r="B6278" s="32" t="s">
        <v>347</v>
      </c>
      <c r="C6278" s="32" t="s">
        <v>1060</v>
      </c>
      <c r="D6278" s="708">
        <v>200.0</v>
      </c>
      <c r="E6278" s="195">
        <v>43.38</v>
      </c>
      <c r="F6278" s="709">
        <v>0.4891898148148148</v>
      </c>
      <c r="G6278" s="195" t="s">
        <v>453</v>
      </c>
      <c r="H6278" s="710">
        <v>1.16</v>
      </c>
      <c r="I6278" s="256"/>
      <c r="J6278" s="67">
        <f t="shared" si="388"/>
        <v>8674.84</v>
      </c>
      <c r="L6278" s="70"/>
      <c r="M6278" s="934"/>
      <c r="N6278" s="94"/>
      <c r="O6278" s="94"/>
      <c r="P6278" s="94"/>
      <c r="Q6278" s="94"/>
      <c r="R6278" s="94"/>
      <c r="S6278" s="94"/>
      <c r="T6278" s="94"/>
      <c r="U6278" s="94"/>
      <c r="V6278" s="94"/>
      <c r="W6278" s="94"/>
      <c r="X6278" s="94"/>
      <c r="Y6278" s="94"/>
      <c r="Z6278" s="94"/>
      <c r="AA6278" s="94"/>
      <c r="AB6278" s="94"/>
      <c r="AC6278" s="94"/>
      <c r="AD6278" s="94"/>
      <c r="AE6278" s="94"/>
      <c r="AF6278" s="94"/>
      <c r="AG6278" s="94"/>
      <c r="AH6278" s="94"/>
    </row>
    <row r="6279" ht="12.75" hidden="1" customHeight="1" outlineLevel="1">
      <c r="A6279" s="122">
        <v>42088.0</v>
      </c>
      <c r="B6279" s="32" t="s">
        <v>347</v>
      </c>
      <c r="C6279" s="32" t="s">
        <v>1074</v>
      </c>
      <c r="D6279" s="708">
        <v>50.0</v>
      </c>
      <c r="E6279" s="195">
        <v>115.172</v>
      </c>
      <c r="F6279" s="709">
        <v>0.4915393518518518</v>
      </c>
      <c r="G6279" s="195" t="s">
        <v>453</v>
      </c>
      <c r="H6279" s="710">
        <v>1.11</v>
      </c>
      <c r="I6279" s="256"/>
      <c r="J6279" s="67">
        <f t="shared" si="388"/>
        <v>5757.49</v>
      </c>
      <c r="L6279" s="70"/>
      <c r="M6279" s="934"/>
      <c r="N6279" s="94"/>
      <c r="O6279" s="94"/>
      <c r="P6279" s="94"/>
      <c r="Q6279" s="94"/>
      <c r="R6279" s="94"/>
      <c r="S6279" s="94"/>
      <c r="T6279" s="94"/>
      <c r="U6279" s="94"/>
      <c r="V6279" s="94"/>
      <c r="W6279" s="94"/>
      <c r="X6279" s="94"/>
      <c r="Y6279" s="94"/>
      <c r="Z6279" s="94"/>
      <c r="AA6279" s="94"/>
      <c r="AB6279" s="94"/>
      <c r="AC6279" s="94"/>
      <c r="AD6279" s="94"/>
      <c r="AE6279" s="94"/>
      <c r="AF6279" s="94"/>
      <c r="AG6279" s="94"/>
      <c r="AH6279" s="94"/>
    </row>
    <row r="6280" ht="12.75" hidden="1" customHeight="1" outlineLevel="1">
      <c r="A6280" s="122">
        <v>42088.0</v>
      </c>
      <c r="B6280" s="32" t="s">
        <v>347</v>
      </c>
      <c r="C6280" s="32" t="s">
        <v>2856</v>
      </c>
      <c r="D6280" s="708">
        <v>50.0</v>
      </c>
      <c r="E6280" s="195">
        <v>109.628</v>
      </c>
      <c r="F6280" s="709">
        <v>0.49193287037037037</v>
      </c>
      <c r="G6280" s="195" t="s">
        <v>453</v>
      </c>
      <c r="H6280" s="710">
        <v>1.1</v>
      </c>
      <c r="I6280" s="256"/>
      <c r="J6280" s="67">
        <f t="shared" si="388"/>
        <v>5480.3</v>
      </c>
      <c r="L6280" s="70"/>
      <c r="M6280" s="934"/>
      <c r="N6280" s="94"/>
      <c r="O6280" s="94"/>
      <c r="P6280" s="94"/>
      <c r="Q6280" s="94"/>
      <c r="R6280" s="94"/>
      <c r="S6280" s="94"/>
      <c r="T6280" s="94"/>
      <c r="U6280" s="94"/>
      <c r="V6280" s="94"/>
      <c r="W6280" s="94"/>
      <c r="X6280" s="94"/>
      <c r="Y6280" s="94"/>
      <c r="Z6280" s="94"/>
      <c r="AA6280" s="94"/>
      <c r="AB6280" s="94"/>
      <c r="AC6280" s="94"/>
      <c r="AD6280" s="94"/>
      <c r="AE6280" s="94"/>
      <c r="AF6280" s="94"/>
      <c r="AG6280" s="94"/>
      <c r="AH6280" s="94"/>
    </row>
    <row r="6281" ht="12.75" hidden="1" customHeight="1" outlineLevel="1">
      <c r="A6281" s="122">
        <v>42088.0</v>
      </c>
      <c r="B6281" s="32" t="s">
        <v>347</v>
      </c>
      <c r="C6281" s="32" t="s">
        <v>2539</v>
      </c>
      <c r="D6281" s="708">
        <v>250.0</v>
      </c>
      <c r="E6281" s="195">
        <v>46.79</v>
      </c>
      <c r="F6281" s="709">
        <v>0.49324074074074076</v>
      </c>
      <c r="G6281" s="195" t="s">
        <v>453</v>
      </c>
      <c r="H6281" s="710">
        <v>1.47</v>
      </c>
      <c r="I6281" s="256"/>
      <c r="J6281" s="67">
        <f t="shared" si="388"/>
        <v>11696.03</v>
      </c>
      <c r="L6281" s="70"/>
      <c r="M6281" s="934"/>
      <c r="N6281" s="94"/>
      <c r="O6281" s="94"/>
      <c r="P6281" s="94"/>
      <c r="Q6281" s="94"/>
      <c r="R6281" s="94"/>
      <c r="S6281" s="94"/>
      <c r="T6281" s="94"/>
      <c r="U6281" s="94"/>
      <c r="V6281" s="94"/>
      <c r="W6281" s="94"/>
      <c r="X6281" s="94"/>
      <c r="Y6281" s="94"/>
      <c r="Z6281" s="94"/>
      <c r="AA6281" s="94"/>
      <c r="AB6281" s="94"/>
      <c r="AC6281" s="94"/>
      <c r="AD6281" s="94"/>
      <c r="AE6281" s="94"/>
      <c r="AF6281" s="94"/>
      <c r="AG6281" s="94"/>
      <c r="AH6281" s="94"/>
    </row>
    <row r="6282" ht="12.75" hidden="1" customHeight="1" outlineLevel="1">
      <c r="A6282" s="122">
        <v>42088.0</v>
      </c>
      <c r="B6282" s="32" t="s">
        <v>347</v>
      </c>
      <c r="C6282" s="32" t="s">
        <v>2539</v>
      </c>
      <c r="D6282" s="708">
        <v>300.0</v>
      </c>
      <c r="E6282" s="195">
        <v>46.75</v>
      </c>
      <c r="F6282" s="709">
        <v>0.49385416666666665</v>
      </c>
      <c r="G6282" s="195" t="s">
        <v>453</v>
      </c>
      <c r="H6282" s="710">
        <v>1.76</v>
      </c>
      <c r="I6282" s="256"/>
      <c r="J6282" s="67">
        <f t="shared" si="388"/>
        <v>14023.24</v>
      </c>
      <c r="L6282" s="70"/>
      <c r="M6282" s="934"/>
      <c r="N6282" s="94"/>
      <c r="O6282" s="94"/>
      <c r="P6282" s="94"/>
      <c r="Q6282" s="94"/>
      <c r="R6282" s="94"/>
      <c r="S6282" s="94"/>
      <c r="T6282" s="94"/>
      <c r="U6282" s="94"/>
      <c r="V6282" s="94"/>
      <c r="W6282" s="94"/>
      <c r="X6282" s="94"/>
      <c r="Y6282" s="94"/>
      <c r="Z6282" s="94"/>
      <c r="AA6282" s="94"/>
      <c r="AB6282" s="94"/>
      <c r="AC6282" s="94"/>
      <c r="AD6282" s="94"/>
      <c r="AE6282" s="94"/>
      <c r="AF6282" s="94"/>
      <c r="AG6282" s="94"/>
      <c r="AH6282" s="94"/>
    </row>
    <row r="6283" ht="12.75" hidden="1" customHeight="1" outlineLevel="1">
      <c r="A6283" s="122">
        <v>42088.0</v>
      </c>
      <c r="B6283" s="32" t="s">
        <v>347</v>
      </c>
      <c r="C6283" s="32" t="s">
        <v>1185</v>
      </c>
      <c r="D6283" s="708">
        <v>20.0</v>
      </c>
      <c r="E6283" s="195">
        <v>327.513</v>
      </c>
      <c r="F6283" s="709">
        <v>0.49659722222222225</v>
      </c>
      <c r="G6283" s="195" t="s">
        <v>453</v>
      </c>
      <c r="H6283" s="710">
        <v>1.12</v>
      </c>
      <c r="I6283" s="256"/>
      <c r="J6283" s="67">
        <f t="shared" si="388"/>
        <v>6549.14</v>
      </c>
      <c r="L6283" s="70"/>
      <c r="M6283" s="934"/>
      <c r="N6283" s="94"/>
      <c r="O6283" s="94"/>
      <c r="P6283" s="94"/>
      <c r="Q6283" s="94"/>
      <c r="R6283" s="94"/>
      <c r="S6283" s="94"/>
      <c r="T6283" s="94"/>
      <c r="U6283" s="94"/>
      <c r="V6283" s="94"/>
      <c r="W6283" s="94"/>
      <c r="X6283" s="94"/>
      <c r="Y6283" s="94"/>
      <c r="Z6283" s="94"/>
      <c r="AA6283" s="94"/>
      <c r="AB6283" s="94"/>
      <c r="AC6283" s="94"/>
      <c r="AD6283" s="94"/>
      <c r="AE6283" s="94"/>
      <c r="AF6283" s="94"/>
      <c r="AG6283" s="94"/>
      <c r="AH6283" s="94"/>
    </row>
    <row r="6284" ht="12.75" hidden="1" customHeight="1" outlineLevel="1">
      <c r="A6284" s="122">
        <v>42088.0</v>
      </c>
      <c r="B6284" s="32" t="s">
        <v>343</v>
      </c>
      <c r="C6284" s="32" t="s">
        <v>784</v>
      </c>
      <c r="D6284" s="708">
        <v>6000.0</v>
      </c>
      <c r="E6284" s="195">
        <v>6.19</v>
      </c>
      <c r="F6284" s="709">
        <v>0.49716435185185187</v>
      </c>
      <c r="G6284" s="195" t="s">
        <v>453</v>
      </c>
      <c r="H6284" s="710">
        <v>30.0</v>
      </c>
      <c r="I6284" s="256"/>
      <c r="J6284" s="67">
        <f t="shared" si="388"/>
        <v>-37170</v>
      </c>
      <c r="L6284" s="70"/>
      <c r="M6284" s="934"/>
      <c r="N6284" s="94"/>
      <c r="O6284" s="94"/>
      <c r="P6284" s="94"/>
      <c r="Q6284" s="94"/>
      <c r="R6284" s="94"/>
      <c r="S6284" s="94"/>
      <c r="T6284" s="94"/>
      <c r="U6284" s="94"/>
      <c r="V6284" s="94"/>
      <c r="W6284" s="94"/>
      <c r="X6284" s="94"/>
      <c r="Y6284" s="94"/>
      <c r="Z6284" s="94"/>
      <c r="AA6284" s="94"/>
      <c r="AB6284" s="94"/>
      <c r="AC6284" s="94"/>
      <c r="AD6284" s="94"/>
      <c r="AE6284" s="94"/>
      <c r="AF6284" s="94"/>
      <c r="AG6284" s="94"/>
      <c r="AH6284" s="94"/>
    </row>
    <row r="6285" ht="12.75" hidden="1" customHeight="1" outlineLevel="1">
      <c r="A6285" s="122">
        <v>42088.0</v>
      </c>
      <c r="B6285" s="32" t="s">
        <v>343</v>
      </c>
      <c r="C6285" s="32" t="s">
        <v>790</v>
      </c>
      <c r="D6285" s="708">
        <v>3000.0</v>
      </c>
      <c r="E6285" s="195">
        <v>6.04</v>
      </c>
      <c r="F6285" s="709">
        <v>0.4991435185185185</v>
      </c>
      <c r="G6285" s="195" t="s">
        <v>453</v>
      </c>
      <c r="H6285" s="710">
        <v>15.0</v>
      </c>
      <c r="I6285" s="256"/>
      <c r="J6285" s="67">
        <f t="shared" si="388"/>
        <v>-18135</v>
      </c>
      <c r="L6285" s="70"/>
      <c r="M6285" s="934"/>
      <c r="N6285" s="94"/>
      <c r="O6285" s="94"/>
      <c r="P6285" s="94"/>
      <c r="Q6285" s="94"/>
      <c r="R6285" s="94"/>
      <c r="S6285" s="94"/>
      <c r="T6285" s="94"/>
      <c r="U6285" s="94"/>
      <c r="V6285" s="94"/>
      <c r="W6285" s="94"/>
      <c r="X6285" s="94"/>
      <c r="Y6285" s="94"/>
      <c r="Z6285" s="94"/>
      <c r="AA6285" s="94"/>
      <c r="AB6285" s="94"/>
      <c r="AC6285" s="94"/>
      <c r="AD6285" s="94"/>
      <c r="AE6285" s="94"/>
      <c r="AF6285" s="94"/>
      <c r="AG6285" s="94"/>
      <c r="AH6285" s="94"/>
    </row>
    <row r="6286" ht="12.75" hidden="1" customHeight="1" outlineLevel="1">
      <c r="A6286" s="122">
        <v>42088.0</v>
      </c>
      <c r="B6286" s="32" t="s">
        <v>343</v>
      </c>
      <c r="C6286" s="32" t="s">
        <v>2048</v>
      </c>
      <c r="D6286" s="708">
        <v>1500.0</v>
      </c>
      <c r="E6286" s="195">
        <v>9.93</v>
      </c>
      <c r="F6286" s="709">
        <v>0.49975694444444446</v>
      </c>
      <c r="G6286" s="195" t="s">
        <v>453</v>
      </c>
      <c r="H6286" s="710">
        <v>6.3</v>
      </c>
      <c r="I6286" s="256"/>
      <c r="J6286" s="67">
        <f t="shared" si="388"/>
        <v>-14901.3</v>
      </c>
      <c r="L6286" s="70"/>
      <c r="M6286" s="934"/>
      <c r="N6286" s="94"/>
      <c r="O6286" s="94"/>
      <c r="P6286" s="94"/>
      <c r="Q6286" s="94"/>
      <c r="R6286" s="94"/>
      <c r="S6286" s="94"/>
      <c r="T6286" s="94"/>
      <c r="U6286" s="94"/>
      <c r="V6286" s="94"/>
      <c r="W6286" s="94"/>
      <c r="X6286" s="94"/>
      <c r="Y6286" s="94"/>
      <c r="Z6286" s="94"/>
      <c r="AA6286" s="94"/>
      <c r="AB6286" s="94"/>
      <c r="AC6286" s="94"/>
      <c r="AD6286" s="94"/>
      <c r="AE6286" s="94"/>
      <c r="AF6286" s="94"/>
      <c r="AG6286" s="94"/>
      <c r="AH6286" s="94"/>
    </row>
    <row r="6287" ht="12.75" hidden="1" customHeight="1" outlineLevel="1">
      <c r="A6287" s="122">
        <v>42088.0</v>
      </c>
      <c r="B6287" s="32" t="s">
        <v>343</v>
      </c>
      <c r="C6287" s="32" t="s">
        <v>369</v>
      </c>
      <c r="D6287" s="708">
        <v>2000.0</v>
      </c>
      <c r="E6287" s="195">
        <v>5.27</v>
      </c>
      <c r="F6287" s="709">
        <v>0.5</v>
      </c>
      <c r="G6287" s="195" t="s">
        <v>453</v>
      </c>
      <c r="H6287" s="710">
        <v>10.0</v>
      </c>
      <c r="I6287" s="256"/>
      <c r="J6287" s="67">
        <f t="shared" si="388"/>
        <v>-10550</v>
      </c>
      <c r="L6287" s="70"/>
      <c r="M6287" s="934"/>
      <c r="N6287" s="94"/>
      <c r="O6287" s="94"/>
      <c r="P6287" s="94"/>
      <c r="Q6287" s="94"/>
      <c r="R6287" s="94"/>
      <c r="S6287" s="94"/>
      <c r="T6287" s="94"/>
      <c r="U6287" s="94"/>
      <c r="V6287" s="94"/>
      <c r="W6287" s="94"/>
      <c r="X6287" s="94"/>
      <c r="Y6287" s="94"/>
      <c r="Z6287" s="94"/>
      <c r="AA6287" s="94"/>
      <c r="AB6287" s="94"/>
      <c r="AC6287" s="94"/>
      <c r="AD6287" s="94"/>
      <c r="AE6287" s="94"/>
      <c r="AF6287" s="94"/>
      <c r="AG6287" s="94"/>
      <c r="AH6287" s="94"/>
    </row>
    <row r="6288" ht="12.75" hidden="1" customHeight="1" outlineLevel="1">
      <c r="A6288" s="122">
        <v>42088.0</v>
      </c>
      <c r="B6288" s="32" t="s">
        <v>343</v>
      </c>
      <c r="C6288" s="32" t="s">
        <v>1844</v>
      </c>
      <c r="D6288" s="708">
        <v>250.0</v>
      </c>
      <c r="E6288" s="195">
        <v>40.306</v>
      </c>
      <c r="F6288" s="709">
        <v>0.5003587962962963</v>
      </c>
      <c r="G6288" s="195" t="s">
        <v>453</v>
      </c>
      <c r="H6288" s="710">
        <v>1.25</v>
      </c>
      <c r="I6288" s="256"/>
      <c r="J6288" s="67">
        <f t="shared" si="388"/>
        <v>-10077.75</v>
      </c>
      <c r="L6288" s="70"/>
      <c r="M6288" s="934"/>
      <c r="N6288" s="94"/>
      <c r="O6288" s="94"/>
      <c r="P6288" s="94"/>
      <c r="Q6288" s="94"/>
      <c r="R6288" s="94"/>
      <c r="S6288" s="94"/>
      <c r="T6288" s="94"/>
      <c r="U6288" s="94"/>
      <c r="V6288" s="94"/>
      <c r="W6288" s="94"/>
      <c r="X6288" s="94"/>
      <c r="Y6288" s="94"/>
      <c r="Z6288" s="94"/>
      <c r="AA6288" s="94"/>
      <c r="AB6288" s="94"/>
      <c r="AC6288" s="94"/>
      <c r="AD6288" s="94"/>
      <c r="AE6288" s="94"/>
      <c r="AF6288" s="94"/>
      <c r="AG6288" s="94"/>
      <c r="AH6288" s="94"/>
    </row>
    <row r="6289" ht="12.75" hidden="1" customHeight="1" outlineLevel="1">
      <c r="A6289" s="122">
        <v>42088.0</v>
      </c>
      <c r="B6289" s="32" t="s">
        <v>343</v>
      </c>
      <c r="C6289" s="32" t="s">
        <v>2192</v>
      </c>
      <c r="D6289" s="708">
        <v>500.0</v>
      </c>
      <c r="E6289" s="195">
        <v>12.37</v>
      </c>
      <c r="F6289" s="709">
        <v>0.5008680555555556</v>
      </c>
      <c r="G6289" s="195" t="s">
        <v>453</v>
      </c>
      <c r="H6289" s="710">
        <v>2.5</v>
      </c>
      <c r="I6289" s="256"/>
      <c r="J6289" s="67">
        <f t="shared" si="388"/>
        <v>-6187.5</v>
      </c>
      <c r="L6289" s="70"/>
      <c r="M6289" s="934"/>
      <c r="N6289" s="94"/>
      <c r="O6289" s="94"/>
      <c r="P6289" s="94"/>
      <c r="Q6289" s="94"/>
      <c r="R6289" s="94"/>
      <c r="S6289" s="94"/>
      <c r="T6289" s="94"/>
      <c r="U6289" s="94"/>
      <c r="V6289" s="94"/>
      <c r="W6289" s="94"/>
      <c r="X6289" s="94"/>
      <c r="Y6289" s="94"/>
      <c r="Z6289" s="94"/>
      <c r="AA6289" s="94"/>
      <c r="AB6289" s="94"/>
      <c r="AC6289" s="94"/>
      <c r="AD6289" s="94"/>
      <c r="AE6289" s="94"/>
      <c r="AF6289" s="94"/>
      <c r="AG6289" s="94"/>
      <c r="AH6289" s="94"/>
    </row>
    <row r="6290" ht="12.75" hidden="1" customHeight="1" outlineLevel="1">
      <c r="A6290" s="122">
        <v>42088.0</v>
      </c>
      <c r="B6290" s="32" t="s">
        <v>347</v>
      </c>
      <c r="C6290" s="32" t="s">
        <v>2861</v>
      </c>
      <c r="D6290" s="708">
        <v>25.0</v>
      </c>
      <c r="E6290" s="195">
        <v>197.9</v>
      </c>
      <c r="F6290" s="709">
        <v>0.5020254629629629</v>
      </c>
      <c r="G6290" s="195" t="s">
        <v>453</v>
      </c>
      <c r="H6290" s="710">
        <v>1.09</v>
      </c>
      <c r="I6290" s="256"/>
      <c r="J6290" s="67">
        <f t="shared" si="388"/>
        <v>4946.41</v>
      </c>
      <c r="L6290" s="70"/>
      <c r="M6290" s="934"/>
      <c r="N6290" s="94"/>
      <c r="O6290" s="94"/>
      <c r="P6290" s="94"/>
      <c r="Q6290" s="94"/>
      <c r="R6290" s="94"/>
      <c r="S6290" s="94"/>
      <c r="T6290" s="94"/>
      <c r="U6290" s="94"/>
      <c r="V6290" s="94"/>
      <c r="W6290" s="94"/>
      <c r="X6290" s="94"/>
      <c r="Y6290" s="94"/>
      <c r="Z6290" s="94"/>
      <c r="AA6290" s="94"/>
      <c r="AB6290" s="94"/>
      <c r="AC6290" s="94"/>
      <c r="AD6290" s="94"/>
      <c r="AE6290" s="94"/>
      <c r="AF6290" s="94"/>
      <c r="AG6290" s="94"/>
      <c r="AH6290" s="94"/>
    </row>
    <row r="6291" ht="12.75" hidden="1" customHeight="1" outlineLevel="1">
      <c r="A6291" s="122">
        <v>42088.0</v>
      </c>
      <c r="B6291" s="32" t="s">
        <v>347</v>
      </c>
      <c r="C6291" s="32" t="s">
        <v>2853</v>
      </c>
      <c r="D6291" s="708">
        <v>250.0</v>
      </c>
      <c r="E6291" s="195">
        <v>25.572</v>
      </c>
      <c r="F6291" s="709">
        <v>0.5024305555555556</v>
      </c>
      <c r="G6291" s="195" t="s">
        <v>453</v>
      </c>
      <c r="H6291" s="710">
        <v>1.37</v>
      </c>
      <c r="I6291" s="256"/>
      <c r="J6291" s="67">
        <f t="shared" si="388"/>
        <v>6391.63</v>
      </c>
      <c r="L6291" s="70"/>
      <c r="M6291" s="934"/>
      <c r="N6291" s="94"/>
      <c r="O6291" s="94"/>
      <c r="P6291" s="94"/>
      <c r="Q6291" s="94"/>
      <c r="R6291" s="94"/>
      <c r="S6291" s="94"/>
      <c r="T6291" s="94"/>
      <c r="U6291" s="94"/>
      <c r="V6291" s="94"/>
      <c r="W6291" s="94"/>
      <c r="X6291" s="94"/>
      <c r="Y6291" s="94"/>
      <c r="Z6291" s="94"/>
      <c r="AA6291" s="94"/>
      <c r="AB6291" s="94"/>
      <c r="AC6291" s="94"/>
      <c r="AD6291" s="94"/>
      <c r="AE6291" s="94"/>
      <c r="AF6291" s="94"/>
      <c r="AG6291" s="94"/>
      <c r="AH6291" s="94"/>
    </row>
    <row r="6292" ht="12.75" hidden="1" customHeight="1" outlineLevel="1">
      <c r="A6292" s="122">
        <v>42088.0</v>
      </c>
      <c r="B6292" s="32" t="s">
        <v>347</v>
      </c>
      <c r="C6292" s="32" t="s">
        <v>2862</v>
      </c>
      <c r="D6292" s="708">
        <v>50.0</v>
      </c>
      <c r="E6292" s="195">
        <v>96.16</v>
      </c>
      <c r="F6292" s="709">
        <v>0.5028125</v>
      </c>
      <c r="G6292" s="195" t="s">
        <v>453</v>
      </c>
      <c r="H6292" s="710">
        <v>1.09</v>
      </c>
      <c r="I6292" s="256"/>
      <c r="J6292" s="67">
        <f t="shared" si="388"/>
        <v>4806.91</v>
      </c>
      <c r="L6292" s="70"/>
      <c r="M6292" s="934"/>
      <c r="N6292" s="94"/>
      <c r="O6292" s="94"/>
      <c r="P6292" s="94"/>
      <c r="Q6292" s="94"/>
      <c r="R6292" s="94"/>
      <c r="S6292" s="94"/>
      <c r="T6292" s="94"/>
      <c r="U6292" s="94"/>
      <c r="V6292" s="94"/>
      <c r="W6292" s="94"/>
      <c r="X6292" s="94"/>
      <c r="Y6292" s="94"/>
      <c r="Z6292" s="94"/>
      <c r="AA6292" s="94"/>
      <c r="AB6292" s="94"/>
      <c r="AC6292" s="94"/>
      <c r="AD6292" s="94"/>
      <c r="AE6292" s="94"/>
      <c r="AF6292" s="94"/>
      <c r="AG6292" s="94"/>
      <c r="AH6292" s="94"/>
    </row>
    <row r="6293" ht="12.75" hidden="1" customHeight="1" outlineLevel="1">
      <c r="A6293" s="122">
        <v>42088.0</v>
      </c>
      <c r="B6293" s="32" t="s">
        <v>347</v>
      </c>
      <c r="C6293" s="32" t="s">
        <v>2144</v>
      </c>
      <c r="D6293" s="708">
        <v>75.0</v>
      </c>
      <c r="E6293" s="195">
        <v>85.55</v>
      </c>
      <c r="F6293" s="709">
        <v>0.5030902777777778</v>
      </c>
      <c r="G6293" s="195" t="s">
        <v>453</v>
      </c>
      <c r="H6293" s="710">
        <v>1.12</v>
      </c>
      <c r="I6293" s="256"/>
      <c r="J6293" s="67">
        <f t="shared" si="388"/>
        <v>6415.13</v>
      </c>
      <c r="L6293" s="70"/>
      <c r="M6293" s="934"/>
      <c r="N6293" s="94"/>
      <c r="O6293" s="94"/>
      <c r="P6293" s="94"/>
      <c r="Q6293" s="94"/>
      <c r="R6293" s="94"/>
      <c r="S6293" s="94"/>
      <c r="T6293" s="94"/>
      <c r="U6293" s="94"/>
      <c r="V6293" s="94"/>
      <c r="W6293" s="94"/>
      <c r="X6293" s="94"/>
      <c r="Y6293" s="94"/>
      <c r="Z6293" s="94"/>
      <c r="AA6293" s="94"/>
      <c r="AB6293" s="94"/>
      <c r="AC6293" s="94"/>
      <c r="AD6293" s="94"/>
      <c r="AE6293" s="94"/>
      <c r="AF6293" s="94"/>
      <c r="AG6293" s="94"/>
      <c r="AH6293" s="94"/>
    </row>
    <row r="6294" ht="12.75" hidden="1" customHeight="1" outlineLevel="1">
      <c r="A6294" s="122">
        <v>42088.0</v>
      </c>
      <c r="B6294" s="32" t="s">
        <v>347</v>
      </c>
      <c r="C6294" s="32" t="s">
        <v>2177</v>
      </c>
      <c r="D6294" s="708">
        <v>25.0</v>
      </c>
      <c r="E6294" s="195">
        <v>198.68</v>
      </c>
      <c r="F6294" s="709">
        <v>0.5038194444444445</v>
      </c>
      <c r="G6294" s="195" t="s">
        <v>453</v>
      </c>
      <c r="H6294" s="710">
        <v>1.09</v>
      </c>
      <c r="I6294" s="256"/>
      <c r="J6294" s="67">
        <f t="shared" si="388"/>
        <v>4965.91</v>
      </c>
      <c r="L6294" s="70"/>
      <c r="M6294" s="934"/>
      <c r="N6294" s="94"/>
      <c r="O6294" s="94"/>
      <c r="P6294" s="94"/>
      <c r="Q6294" s="94"/>
      <c r="R6294" s="94"/>
      <c r="S6294" s="94"/>
      <c r="T6294" s="94"/>
      <c r="U6294" s="94"/>
      <c r="V6294" s="94"/>
      <c r="W6294" s="94"/>
      <c r="X6294" s="94"/>
      <c r="Y6294" s="94"/>
      <c r="Z6294" s="94"/>
      <c r="AA6294" s="94"/>
      <c r="AB6294" s="94"/>
      <c r="AC6294" s="94"/>
      <c r="AD6294" s="94"/>
      <c r="AE6294" s="94"/>
      <c r="AF6294" s="94"/>
      <c r="AG6294" s="94"/>
      <c r="AH6294" s="94"/>
    </row>
    <row r="6295" ht="12.75" hidden="1" customHeight="1" outlineLevel="1">
      <c r="A6295" s="122">
        <v>42088.0</v>
      </c>
      <c r="B6295" s="32" t="s">
        <v>347</v>
      </c>
      <c r="C6295" s="32" t="s">
        <v>1766</v>
      </c>
      <c r="D6295" s="708">
        <v>75.0</v>
      </c>
      <c r="E6295" s="195">
        <v>77.6</v>
      </c>
      <c r="F6295" s="709">
        <v>0.5049189814814815</v>
      </c>
      <c r="G6295" s="195" t="s">
        <v>453</v>
      </c>
      <c r="H6295" s="710">
        <v>1.11</v>
      </c>
      <c r="I6295" s="256"/>
      <c r="J6295" s="67">
        <f t="shared" si="388"/>
        <v>5818.89</v>
      </c>
      <c r="L6295" s="70"/>
      <c r="M6295" s="934"/>
      <c r="N6295" s="94"/>
      <c r="O6295" s="94"/>
      <c r="P6295" s="94"/>
      <c r="Q6295" s="94"/>
      <c r="R6295" s="94"/>
      <c r="S6295" s="94"/>
      <c r="T6295" s="94"/>
      <c r="U6295" s="94"/>
      <c r="V6295" s="94"/>
      <c r="W6295" s="94"/>
      <c r="X6295" s="94"/>
      <c r="Y6295" s="94"/>
      <c r="Z6295" s="94"/>
      <c r="AA6295" s="94"/>
      <c r="AB6295" s="94"/>
      <c r="AC6295" s="94"/>
      <c r="AD6295" s="94"/>
      <c r="AE6295" s="94"/>
      <c r="AF6295" s="94"/>
      <c r="AG6295" s="94"/>
      <c r="AH6295" s="94"/>
    </row>
    <row r="6296" ht="12.75" hidden="1" customHeight="1" outlineLevel="1">
      <c r="A6296" s="122">
        <v>42088.0</v>
      </c>
      <c r="B6296" s="32" t="s">
        <v>347</v>
      </c>
      <c r="C6296" s="32" t="s">
        <v>1345</v>
      </c>
      <c r="D6296" s="708">
        <v>40.0</v>
      </c>
      <c r="E6296" s="195">
        <v>162.907</v>
      </c>
      <c r="F6296" s="709">
        <v>0.5068865740740741</v>
      </c>
      <c r="G6296" s="195" t="s">
        <v>453</v>
      </c>
      <c r="H6296" s="710">
        <v>1.12</v>
      </c>
      <c r="I6296" s="256"/>
      <c r="J6296" s="67">
        <f t="shared" si="388"/>
        <v>6515.16</v>
      </c>
      <c r="L6296" s="70"/>
      <c r="M6296" s="934"/>
      <c r="N6296" s="94"/>
      <c r="O6296" s="94"/>
      <c r="P6296" s="94"/>
      <c r="Q6296" s="94"/>
      <c r="R6296" s="94"/>
      <c r="S6296" s="94"/>
      <c r="T6296" s="94"/>
      <c r="U6296" s="94"/>
      <c r="V6296" s="94"/>
      <c r="W6296" s="94"/>
      <c r="X6296" s="94"/>
      <c r="Y6296" s="94"/>
      <c r="Z6296" s="94"/>
      <c r="AA6296" s="94"/>
      <c r="AB6296" s="94"/>
      <c r="AC6296" s="94"/>
      <c r="AD6296" s="94"/>
      <c r="AE6296" s="94"/>
      <c r="AF6296" s="94"/>
      <c r="AG6296" s="94"/>
      <c r="AH6296" s="94"/>
    </row>
    <row r="6297" ht="12.75" hidden="1" customHeight="1" outlineLevel="1">
      <c r="A6297" s="122">
        <v>42088.0</v>
      </c>
      <c r="B6297" s="32" t="s">
        <v>347</v>
      </c>
      <c r="C6297" s="32" t="s">
        <v>2157</v>
      </c>
      <c r="D6297" s="708">
        <v>200.0</v>
      </c>
      <c r="E6297" s="195">
        <v>93.77</v>
      </c>
      <c r="F6297" s="709">
        <v>0.5075578703703704</v>
      </c>
      <c r="G6297" s="195" t="s">
        <v>453</v>
      </c>
      <c r="H6297" s="710">
        <v>1.35</v>
      </c>
      <c r="I6297" s="256"/>
      <c r="J6297" s="67">
        <f t="shared" si="388"/>
        <v>18752.65</v>
      </c>
      <c r="L6297" s="70"/>
      <c r="M6297" s="934"/>
      <c r="N6297" s="94"/>
      <c r="O6297" s="94"/>
      <c r="P6297" s="94"/>
      <c r="Q6297" s="94"/>
      <c r="R6297" s="94"/>
      <c r="S6297" s="94"/>
      <c r="T6297" s="94"/>
      <c r="U6297" s="94"/>
      <c r="V6297" s="94"/>
      <c r="W6297" s="94"/>
      <c r="X6297" s="94"/>
      <c r="Y6297" s="94"/>
      <c r="Z6297" s="94"/>
      <c r="AA6297" s="94"/>
      <c r="AB6297" s="94"/>
      <c r="AC6297" s="94"/>
      <c r="AD6297" s="94"/>
      <c r="AE6297" s="94"/>
      <c r="AF6297" s="94"/>
      <c r="AG6297" s="94"/>
      <c r="AH6297" s="94"/>
    </row>
    <row r="6298" ht="12.75" hidden="1" customHeight="1" outlineLevel="1">
      <c r="A6298" s="122">
        <v>42088.0</v>
      </c>
      <c r="B6298" s="32" t="s">
        <v>347</v>
      </c>
      <c r="C6298" s="32" t="s">
        <v>1249</v>
      </c>
      <c r="D6298" s="708">
        <v>50.0</v>
      </c>
      <c r="E6298" s="195">
        <v>113.21</v>
      </c>
      <c r="F6298" s="709">
        <v>0.5080555555555556</v>
      </c>
      <c r="G6298" s="195" t="s">
        <v>453</v>
      </c>
      <c r="H6298" s="710">
        <v>1.1</v>
      </c>
      <c r="I6298" s="256"/>
      <c r="J6298" s="67">
        <f t="shared" si="388"/>
        <v>5659.4</v>
      </c>
      <c r="L6298" s="70"/>
      <c r="M6298" s="934"/>
      <c r="N6298" s="94"/>
      <c r="O6298" s="94"/>
      <c r="P6298" s="94"/>
      <c r="Q6298" s="94"/>
      <c r="R6298" s="94"/>
      <c r="S6298" s="94"/>
      <c r="T6298" s="94"/>
      <c r="U6298" s="94"/>
      <c r="V6298" s="94"/>
      <c r="W6298" s="94"/>
      <c r="X6298" s="94"/>
      <c r="Y6298" s="94"/>
      <c r="Z6298" s="94"/>
      <c r="AA6298" s="94"/>
      <c r="AB6298" s="94"/>
      <c r="AC6298" s="94"/>
      <c r="AD6298" s="94"/>
      <c r="AE6298" s="94"/>
      <c r="AF6298" s="94"/>
      <c r="AG6298" s="94"/>
      <c r="AH6298" s="94"/>
    </row>
    <row r="6299" ht="12.75" hidden="1" customHeight="1" outlineLevel="1">
      <c r="A6299" s="122">
        <v>42088.0</v>
      </c>
      <c r="B6299" s="32" t="s">
        <v>343</v>
      </c>
      <c r="C6299" s="32" t="s">
        <v>784</v>
      </c>
      <c r="D6299" s="708">
        <v>2000.0</v>
      </c>
      <c r="E6299" s="195">
        <v>6.18</v>
      </c>
      <c r="F6299" s="709">
        <v>0.513425925925926</v>
      </c>
      <c r="G6299" s="195" t="s">
        <v>453</v>
      </c>
      <c r="H6299" s="710">
        <v>10.0</v>
      </c>
      <c r="I6299" s="256"/>
      <c r="J6299" s="67">
        <f t="shared" si="388"/>
        <v>-12370</v>
      </c>
      <c r="L6299" s="70"/>
      <c r="M6299" s="934"/>
      <c r="N6299" s="94"/>
      <c r="O6299" s="94"/>
      <c r="P6299" s="94"/>
      <c r="Q6299" s="94"/>
      <c r="R6299" s="94"/>
      <c r="S6299" s="94"/>
      <c r="T6299" s="94"/>
      <c r="U6299" s="94"/>
      <c r="V6299" s="94"/>
      <c r="W6299" s="94"/>
      <c r="X6299" s="94"/>
      <c r="Y6299" s="94"/>
      <c r="Z6299" s="94"/>
      <c r="AA6299" s="94"/>
      <c r="AB6299" s="94"/>
      <c r="AC6299" s="94"/>
      <c r="AD6299" s="94"/>
      <c r="AE6299" s="94"/>
      <c r="AF6299" s="94"/>
      <c r="AG6299" s="94"/>
      <c r="AH6299" s="94"/>
    </row>
    <row r="6300" ht="12.75" hidden="1" customHeight="1" outlineLevel="1">
      <c r="A6300" s="122">
        <v>42088.0</v>
      </c>
      <c r="B6300" s="32" t="s">
        <v>343</v>
      </c>
      <c r="C6300" s="32" t="s">
        <v>790</v>
      </c>
      <c r="D6300" s="708">
        <v>1500.0</v>
      </c>
      <c r="E6300" s="195">
        <v>6.059</v>
      </c>
      <c r="F6300" s="709">
        <v>0.5135995370370371</v>
      </c>
      <c r="G6300" s="195" t="s">
        <v>453</v>
      </c>
      <c r="H6300" s="710">
        <v>6.3</v>
      </c>
      <c r="I6300" s="256"/>
      <c r="J6300" s="67">
        <f t="shared" si="388"/>
        <v>-9094.8</v>
      </c>
      <c r="L6300" s="70"/>
      <c r="M6300" s="934"/>
      <c r="N6300" s="94"/>
      <c r="O6300" s="94"/>
      <c r="P6300" s="94"/>
      <c r="Q6300" s="94"/>
      <c r="R6300" s="94"/>
      <c r="S6300" s="94"/>
      <c r="T6300" s="94"/>
      <c r="U6300" s="94"/>
      <c r="V6300" s="94"/>
      <c r="W6300" s="94"/>
      <c r="X6300" s="94"/>
      <c r="Y6300" s="94"/>
      <c r="Z6300" s="94"/>
      <c r="AA6300" s="94"/>
      <c r="AB6300" s="94"/>
      <c r="AC6300" s="94"/>
      <c r="AD6300" s="94"/>
      <c r="AE6300" s="94"/>
      <c r="AF6300" s="94"/>
      <c r="AG6300" s="94"/>
      <c r="AH6300" s="94"/>
    </row>
    <row r="6301" ht="12.75" hidden="1" customHeight="1" outlineLevel="1">
      <c r="A6301" s="122">
        <v>42088.0</v>
      </c>
      <c r="B6301" s="32" t="s">
        <v>347</v>
      </c>
      <c r="C6301" s="32" t="s">
        <v>1400</v>
      </c>
      <c r="D6301" s="708">
        <v>200.0</v>
      </c>
      <c r="E6301" s="195">
        <v>80.34</v>
      </c>
      <c r="F6301" s="709">
        <v>0.5165509259259259</v>
      </c>
      <c r="G6301" s="195" t="s">
        <v>453</v>
      </c>
      <c r="H6301" s="710">
        <v>1.3</v>
      </c>
      <c r="I6301" s="256"/>
      <c r="J6301" s="67">
        <f t="shared" si="388"/>
        <v>16066.7</v>
      </c>
      <c r="L6301" s="70"/>
      <c r="M6301" s="934"/>
      <c r="N6301" s="94"/>
      <c r="O6301" s="94"/>
      <c r="P6301" s="94"/>
      <c r="Q6301" s="94"/>
      <c r="R6301" s="94"/>
      <c r="S6301" s="94"/>
      <c r="T6301" s="94"/>
      <c r="U6301" s="94"/>
      <c r="V6301" s="94"/>
      <c r="W6301" s="94"/>
      <c r="X6301" s="94"/>
      <c r="Y6301" s="94"/>
      <c r="Z6301" s="94"/>
      <c r="AA6301" s="94"/>
      <c r="AB6301" s="94"/>
      <c r="AC6301" s="94"/>
      <c r="AD6301" s="94"/>
      <c r="AE6301" s="94"/>
      <c r="AF6301" s="94"/>
      <c r="AG6301" s="94"/>
      <c r="AH6301" s="94"/>
    </row>
    <row r="6302" ht="12.75" hidden="1" customHeight="1" outlineLevel="1">
      <c r="A6302" s="122">
        <v>42088.0</v>
      </c>
      <c r="B6302" s="32" t="s">
        <v>347</v>
      </c>
      <c r="C6302" s="32" t="s">
        <v>1221</v>
      </c>
      <c r="D6302" s="708">
        <v>300.0</v>
      </c>
      <c r="E6302" s="195">
        <v>39.92</v>
      </c>
      <c r="F6302" s="709">
        <v>0.5194212962962963</v>
      </c>
      <c r="G6302" s="195" t="s">
        <v>453</v>
      </c>
      <c r="H6302" s="710">
        <v>1.72</v>
      </c>
      <c r="I6302" s="256"/>
      <c r="J6302" s="67">
        <f t="shared" si="388"/>
        <v>11974.28</v>
      </c>
      <c r="L6302" s="70"/>
      <c r="M6302" s="934"/>
      <c r="N6302" s="94"/>
      <c r="O6302" s="94"/>
      <c r="P6302" s="94"/>
      <c r="Q6302" s="94"/>
      <c r="R6302" s="94"/>
      <c r="S6302" s="94"/>
      <c r="T6302" s="94"/>
      <c r="U6302" s="94"/>
      <c r="V6302" s="94"/>
      <c r="W6302" s="94"/>
      <c r="X6302" s="94"/>
      <c r="Y6302" s="94"/>
      <c r="Z6302" s="94"/>
      <c r="AA6302" s="94"/>
      <c r="AB6302" s="94"/>
      <c r="AC6302" s="94"/>
      <c r="AD6302" s="94"/>
      <c r="AE6302" s="94"/>
      <c r="AF6302" s="94"/>
      <c r="AG6302" s="94"/>
      <c r="AH6302" s="94"/>
    </row>
    <row r="6303" ht="12.75" hidden="1" customHeight="1" outlineLevel="1">
      <c r="A6303" s="122">
        <v>42088.0</v>
      </c>
      <c r="B6303" s="32" t="s">
        <v>343</v>
      </c>
      <c r="C6303" s="32" t="s">
        <v>369</v>
      </c>
      <c r="D6303" s="708">
        <v>500.0</v>
      </c>
      <c r="E6303" s="195">
        <v>5.46</v>
      </c>
      <c r="F6303" s="709">
        <v>0.5206712962962963</v>
      </c>
      <c r="G6303" s="195" t="s">
        <v>453</v>
      </c>
      <c r="H6303" s="710">
        <v>2.5</v>
      </c>
      <c r="I6303" s="256"/>
      <c r="J6303" s="67">
        <f t="shared" si="388"/>
        <v>-2732.5</v>
      </c>
      <c r="L6303" s="70"/>
      <c r="M6303" s="934"/>
      <c r="N6303" s="94"/>
      <c r="O6303" s="94"/>
      <c r="P6303" s="94"/>
      <c r="Q6303" s="94"/>
      <c r="R6303" s="94"/>
      <c r="S6303" s="94"/>
      <c r="T6303" s="94"/>
      <c r="U6303" s="94"/>
      <c r="V6303" s="94"/>
      <c r="W6303" s="94"/>
      <c r="X6303" s="94"/>
      <c r="Y6303" s="94"/>
      <c r="Z6303" s="94"/>
      <c r="AA6303" s="94"/>
      <c r="AB6303" s="94"/>
      <c r="AC6303" s="94"/>
      <c r="AD6303" s="94"/>
      <c r="AE6303" s="94"/>
      <c r="AF6303" s="94"/>
      <c r="AG6303" s="94"/>
      <c r="AH6303" s="94"/>
    </row>
    <row r="6304" ht="12.75" hidden="1" customHeight="1" outlineLevel="1">
      <c r="A6304" s="122">
        <v>42088.0</v>
      </c>
      <c r="B6304" s="32" t="s">
        <v>347</v>
      </c>
      <c r="C6304" s="32" t="s">
        <v>1162</v>
      </c>
      <c r="D6304" s="708">
        <v>85.0</v>
      </c>
      <c r="E6304" s="195">
        <v>142.15</v>
      </c>
      <c r="F6304" s="709">
        <v>0.5232060185185186</v>
      </c>
      <c r="G6304" s="195" t="s">
        <v>453</v>
      </c>
      <c r="H6304" s="710">
        <v>1.22</v>
      </c>
      <c r="I6304" s="256"/>
      <c r="J6304" s="67">
        <f t="shared" si="388"/>
        <v>12081.53</v>
      </c>
      <c r="L6304" s="70"/>
      <c r="M6304" s="934"/>
      <c r="N6304" s="94"/>
      <c r="O6304" s="94"/>
      <c r="P6304" s="94"/>
      <c r="Q6304" s="94"/>
      <c r="R6304" s="94"/>
      <c r="S6304" s="94"/>
      <c r="T6304" s="94"/>
      <c r="U6304" s="94"/>
      <c r="V6304" s="94"/>
      <c r="W6304" s="94"/>
      <c r="X6304" s="94"/>
      <c r="Y6304" s="94"/>
      <c r="Z6304" s="94"/>
      <c r="AA6304" s="94"/>
      <c r="AB6304" s="94"/>
      <c r="AC6304" s="94"/>
      <c r="AD6304" s="94"/>
      <c r="AE6304" s="94"/>
      <c r="AF6304" s="94"/>
      <c r="AG6304" s="94"/>
      <c r="AH6304" s="94"/>
    </row>
    <row r="6305" ht="12.75" hidden="1" customHeight="1" outlineLevel="1">
      <c r="A6305" s="122">
        <v>42088.0</v>
      </c>
      <c r="B6305" s="32" t="s">
        <v>347</v>
      </c>
      <c r="C6305" s="32" t="s">
        <v>1249</v>
      </c>
      <c r="D6305" s="708">
        <v>50.0</v>
      </c>
      <c r="E6305" s="195">
        <v>113.06</v>
      </c>
      <c r="F6305" s="709">
        <v>0.5242592592592593</v>
      </c>
      <c r="G6305" s="195" t="s">
        <v>453</v>
      </c>
      <c r="H6305" s="710">
        <v>1.1</v>
      </c>
      <c r="I6305" s="256"/>
      <c r="J6305" s="67">
        <f t="shared" si="388"/>
        <v>5651.9</v>
      </c>
      <c r="L6305" s="70"/>
      <c r="M6305" s="934"/>
      <c r="N6305" s="94"/>
      <c r="O6305" s="94"/>
      <c r="P6305" s="94"/>
      <c r="Q6305" s="94"/>
      <c r="R6305" s="94"/>
      <c r="S6305" s="94"/>
      <c r="T6305" s="94"/>
      <c r="U6305" s="94"/>
      <c r="V6305" s="94"/>
      <c r="W6305" s="94"/>
      <c r="X6305" s="94"/>
      <c r="Y6305" s="94"/>
      <c r="Z6305" s="94"/>
      <c r="AA6305" s="94"/>
      <c r="AB6305" s="94"/>
      <c r="AC6305" s="94"/>
      <c r="AD6305" s="94"/>
      <c r="AE6305" s="94"/>
      <c r="AF6305" s="94"/>
      <c r="AG6305" s="94"/>
      <c r="AH6305" s="94"/>
    </row>
    <row r="6306" ht="12.75" hidden="1" customHeight="1" outlineLevel="1">
      <c r="A6306" s="122">
        <v>42088.0</v>
      </c>
      <c r="B6306" s="32" t="s">
        <v>347</v>
      </c>
      <c r="C6306" s="32" t="s">
        <v>1325</v>
      </c>
      <c r="D6306" s="708">
        <v>300.0</v>
      </c>
      <c r="E6306" s="195">
        <v>61.373</v>
      </c>
      <c r="F6306" s="709">
        <v>0.5307175925925925</v>
      </c>
      <c r="G6306" s="195" t="s">
        <v>453</v>
      </c>
      <c r="H6306" s="710">
        <v>1.84</v>
      </c>
      <c r="I6306" s="256"/>
      <c r="J6306" s="67">
        <f t="shared" si="388"/>
        <v>18410.06</v>
      </c>
      <c r="L6306" s="70"/>
      <c r="M6306" s="934"/>
      <c r="N6306" s="94"/>
      <c r="O6306" s="94"/>
      <c r="P6306" s="94"/>
      <c r="Q6306" s="94"/>
      <c r="R6306" s="94"/>
      <c r="S6306" s="94"/>
      <c r="T6306" s="94"/>
      <c r="U6306" s="94"/>
      <c r="V6306" s="94"/>
      <c r="W6306" s="94"/>
      <c r="X6306" s="94"/>
      <c r="Y6306" s="94"/>
      <c r="Z6306" s="94"/>
      <c r="AA6306" s="94"/>
      <c r="AB6306" s="94"/>
      <c r="AC6306" s="94"/>
      <c r="AD6306" s="94"/>
      <c r="AE6306" s="94"/>
      <c r="AF6306" s="94"/>
      <c r="AG6306" s="94"/>
      <c r="AH6306" s="94"/>
    </row>
    <row r="6307" ht="12.75" hidden="1" customHeight="1" outlineLevel="1">
      <c r="A6307" s="122">
        <v>42088.0</v>
      </c>
      <c r="B6307" s="32" t="s">
        <v>347</v>
      </c>
      <c r="C6307" s="32" t="s">
        <v>2837</v>
      </c>
      <c r="D6307" s="708">
        <v>450.0</v>
      </c>
      <c r="E6307" s="195">
        <v>28.955</v>
      </c>
      <c r="F6307" s="709">
        <v>0.5336342592592592</v>
      </c>
      <c r="G6307" s="195" t="s">
        <v>453</v>
      </c>
      <c r="H6307" s="710">
        <v>2.04</v>
      </c>
      <c r="I6307" s="256"/>
      <c r="J6307" s="67">
        <f t="shared" si="388"/>
        <v>13027.71</v>
      </c>
      <c r="L6307" s="70"/>
      <c r="M6307" s="934"/>
      <c r="N6307" s="94"/>
      <c r="O6307" s="94"/>
      <c r="P6307" s="94"/>
      <c r="Q6307" s="94"/>
      <c r="R6307" s="94"/>
      <c r="S6307" s="94"/>
      <c r="T6307" s="94"/>
      <c r="U6307" s="94"/>
      <c r="V6307" s="94"/>
      <c r="W6307" s="94"/>
      <c r="X6307" s="94"/>
      <c r="Y6307" s="94"/>
      <c r="Z6307" s="94"/>
      <c r="AA6307" s="94"/>
      <c r="AB6307" s="94"/>
      <c r="AC6307" s="94"/>
      <c r="AD6307" s="94"/>
      <c r="AE6307" s="94"/>
      <c r="AF6307" s="94"/>
      <c r="AG6307" s="94"/>
      <c r="AH6307" s="94"/>
    </row>
    <row r="6308" ht="12.75" hidden="1" customHeight="1" outlineLevel="1">
      <c r="A6308" s="122">
        <v>42088.0</v>
      </c>
      <c r="B6308" s="32" t="s">
        <v>347</v>
      </c>
      <c r="C6308" s="32" t="s">
        <v>2539</v>
      </c>
      <c r="D6308" s="708">
        <v>300.0</v>
      </c>
      <c r="E6308" s="195">
        <v>46.66</v>
      </c>
      <c r="F6308" s="709">
        <v>0.5347685185185185</v>
      </c>
      <c r="G6308" s="195" t="s">
        <v>453</v>
      </c>
      <c r="H6308" s="710">
        <v>1.46</v>
      </c>
      <c r="I6308" s="256"/>
      <c r="J6308" s="67">
        <f t="shared" si="388"/>
        <v>13996.54</v>
      </c>
      <c r="L6308" s="70"/>
      <c r="M6308" s="934"/>
      <c r="N6308" s="94"/>
      <c r="O6308" s="94"/>
      <c r="P6308" s="94"/>
      <c r="Q6308" s="94"/>
      <c r="R6308" s="94"/>
      <c r="S6308" s="94"/>
      <c r="T6308" s="94"/>
      <c r="U6308" s="94"/>
      <c r="V6308" s="94"/>
      <c r="W6308" s="94"/>
      <c r="X6308" s="94"/>
      <c r="Y6308" s="94"/>
      <c r="Z6308" s="94"/>
      <c r="AA6308" s="94"/>
      <c r="AB6308" s="94"/>
      <c r="AC6308" s="94"/>
      <c r="AD6308" s="94"/>
      <c r="AE6308" s="94"/>
      <c r="AF6308" s="94"/>
      <c r="AG6308" s="94"/>
      <c r="AH6308" s="94"/>
    </row>
    <row r="6309" ht="12.75" hidden="1" customHeight="1" outlineLevel="1">
      <c r="A6309" s="122">
        <v>42088.0</v>
      </c>
      <c r="B6309" s="32" t="s">
        <v>347</v>
      </c>
      <c r="C6309" s="32" t="s">
        <v>1766</v>
      </c>
      <c r="D6309" s="708">
        <v>175.0</v>
      </c>
      <c r="E6309" s="195">
        <v>77.193</v>
      </c>
      <c r="F6309" s="709">
        <v>0.5366435185185185</v>
      </c>
      <c r="G6309" s="195" t="s">
        <v>453</v>
      </c>
      <c r="H6309" s="710">
        <v>1.25</v>
      </c>
      <c r="I6309" s="256"/>
      <c r="J6309" s="67">
        <f t="shared" si="388"/>
        <v>13507.525</v>
      </c>
      <c r="L6309" s="70"/>
      <c r="M6309" s="934"/>
      <c r="N6309" s="94"/>
      <c r="O6309" s="94"/>
      <c r="P6309" s="94"/>
      <c r="Q6309" s="94"/>
      <c r="R6309" s="94"/>
      <c r="S6309" s="94"/>
      <c r="T6309" s="94"/>
      <c r="U6309" s="94"/>
      <c r="V6309" s="94"/>
      <c r="W6309" s="94"/>
      <c r="X6309" s="94"/>
      <c r="Y6309" s="94"/>
      <c r="Z6309" s="94"/>
      <c r="AA6309" s="94"/>
      <c r="AB6309" s="94"/>
      <c r="AC6309" s="94"/>
      <c r="AD6309" s="94"/>
      <c r="AE6309" s="94"/>
      <c r="AF6309" s="94"/>
      <c r="AG6309" s="94"/>
      <c r="AH6309" s="94"/>
    </row>
    <row r="6310" ht="12.75" hidden="1" customHeight="1" outlineLevel="1">
      <c r="A6310" s="122">
        <v>42088.0</v>
      </c>
      <c r="B6310" s="32" t="s">
        <v>347</v>
      </c>
      <c r="C6310" s="32" t="s">
        <v>2792</v>
      </c>
      <c r="D6310" s="708">
        <v>450.0</v>
      </c>
      <c r="E6310" s="195">
        <v>37.576</v>
      </c>
      <c r="F6310" s="709">
        <v>0.5421064814814814</v>
      </c>
      <c r="G6310" s="195" t="s">
        <v>453</v>
      </c>
      <c r="H6310" s="710">
        <v>2.41</v>
      </c>
      <c r="I6310" s="256"/>
      <c r="J6310" s="67">
        <f t="shared" si="388"/>
        <v>16906.79</v>
      </c>
      <c r="L6310" s="70"/>
      <c r="M6310" s="934"/>
      <c r="N6310" s="94"/>
      <c r="O6310" s="94"/>
      <c r="P6310" s="94"/>
      <c r="Q6310" s="94"/>
      <c r="R6310" s="94"/>
      <c r="S6310" s="94"/>
      <c r="T6310" s="94"/>
      <c r="U6310" s="94"/>
      <c r="V6310" s="94"/>
      <c r="W6310" s="94"/>
      <c r="X6310" s="94"/>
      <c r="Y6310" s="94"/>
      <c r="Z6310" s="94"/>
      <c r="AA6310" s="94"/>
      <c r="AB6310" s="94"/>
      <c r="AC6310" s="94"/>
      <c r="AD6310" s="94"/>
      <c r="AE6310" s="94"/>
      <c r="AF6310" s="94"/>
      <c r="AG6310" s="94"/>
      <c r="AH6310" s="94"/>
    </row>
    <row r="6311" ht="12.75" hidden="1" customHeight="1" outlineLevel="1">
      <c r="A6311" s="122">
        <v>42088.0</v>
      </c>
      <c r="B6311" s="32" t="s">
        <v>347</v>
      </c>
      <c r="C6311" s="32" t="s">
        <v>1607</v>
      </c>
      <c r="D6311" s="708">
        <v>650.0</v>
      </c>
      <c r="E6311" s="195">
        <v>23.971</v>
      </c>
      <c r="F6311" s="709">
        <v>0.5423263888888888</v>
      </c>
      <c r="G6311" s="195" t="s">
        <v>453</v>
      </c>
      <c r="H6311" s="710">
        <v>3.09</v>
      </c>
      <c r="I6311" s="256"/>
      <c r="J6311" s="67">
        <f t="shared" si="388"/>
        <v>15578.06</v>
      </c>
      <c r="L6311" s="70"/>
      <c r="M6311" s="934"/>
      <c r="N6311" s="94"/>
      <c r="O6311" s="94"/>
      <c r="P6311" s="94"/>
      <c r="Q6311" s="94"/>
      <c r="R6311" s="94"/>
      <c r="S6311" s="94"/>
      <c r="T6311" s="94"/>
      <c r="U6311" s="94"/>
      <c r="V6311" s="94"/>
      <c r="W6311" s="94"/>
      <c r="X6311" s="94"/>
      <c r="Y6311" s="94"/>
      <c r="Z6311" s="94"/>
      <c r="AA6311" s="94"/>
      <c r="AB6311" s="94"/>
      <c r="AC6311" s="94"/>
      <c r="AD6311" s="94"/>
      <c r="AE6311" s="94"/>
      <c r="AF6311" s="94"/>
      <c r="AG6311" s="94"/>
      <c r="AH6311" s="94"/>
    </row>
    <row r="6312" ht="12.75" hidden="1" customHeight="1" outlineLevel="1">
      <c r="A6312" s="122">
        <v>42088.0</v>
      </c>
      <c r="B6312" s="32" t="s">
        <v>347</v>
      </c>
      <c r="C6312" s="32" t="s">
        <v>1495</v>
      </c>
      <c r="D6312" s="708">
        <v>150.0</v>
      </c>
      <c r="E6312" s="195">
        <v>46.82</v>
      </c>
      <c r="F6312" s="709">
        <v>0.5428356481481481</v>
      </c>
      <c r="G6312" s="195" t="s">
        <v>453</v>
      </c>
      <c r="H6312" s="710">
        <v>1.13</v>
      </c>
      <c r="I6312" s="256"/>
      <c r="J6312" s="67">
        <f t="shared" si="388"/>
        <v>7021.87</v>
      </c>
      <c r="L6312" s="70"/>
      <c r="M6312" s="934"/>
      <c r="N6312" s="94"/>
      <c r="O6312" s="94"/>
      <c r="P6312" s="94"/>
      <c r="Q6312" s="94"/>
      <c r="R6312" s="94"/>
      <c r="S6312" s="94"/>
      <c r="T6312" s="94"/>
      <c r="U6312" s="94"/>
      <c r="V6312" s="94"/>
      <c r="W6312" s="94"/>
      <c r="X6312" s="94"/>
      <c r="Y6312" s="94"/>
      <c r="Z6312" s="94"/>
      <c r="AA6312" s="94"/>
      <c r="AB6312" s="94"/>
      <c r="AC6312" s="94"/>
      <c r="AD6312" s="94"/>
      <c r="AE6312" s="94"/>
      <c r="AF6312" s="94"/>
      <c r="AG6312" s="94"/>
      <c r="AH6312" s="94"/>
    </row>
    <row r="6313" ht="12.75" hidden="1" customHeight="1" outlineLevel="1">
      <c r="A6313" s="122">
        <v>42088.0</v>
      </c>
      <c r="B6313" s="32" t="s">
        <v>347</v>
      </c>
      <c r="C6313" s="32" t="s">
        <v>1249</v>
      </c>
      <c r="D6313" s="708">
        <v>50.0</v>
      </c>
      <c r="E6313" s="195">
        <v>113.09</v>
      </c>
      <c r="F6313" s="709">
        <v>0.5451157407407408</v>
      </c>
      <c r="G6313" s="195" t="s">
        <v>453</v>
      </c>
      <c r="H6313" s="710">
        <v>1.1</v>
      </c>
      <c r="I6313" s="256"/>
      <c r="J6313" s="67">
        <f t="shared" si="388"/>
        <v>5653.4</v>
      </c>
      <c r="L6313" s="70"/>
      <c r="M6313" s="934"/>
      <c r="N6313" s="94"/>
      <c r="O6313" s="94"/>
      <c r="P6313" s="94"/>
      <c r="Q6313" s="94"/>
      <c r="R6313" s="94"/>
      <c r="S6313" s="94"/>
      <c r="T6313" s="94"/>
      <c r="U6313" s="94"/>
      <c r="V6313" s="94"/>
      <c r="W6313" s="94"/>
      <c r="X6313" s="94"/>
      <c r="Y6313" s="94"/>
      <c r="Z6313" s="94"/>
      <c r="AA6313" s="94"/>
      <c r="AB6313" s="94"/>
      <c r="AC6313" s="94"/>
      <c r="AD6313" s="94"/>
      <c r="AE6313" s="94"/>
      <c r="AF6313" s="94"/>
      <c r="AG6313" s="94"/>
      <c r="AH6313" s="94"/>
    </row>
    <row r="6314" ht="12.75" hidden="1" customHeight="1" outlineLevel="1">
      <c r="A6314" s="122">
        <v>42088.0</v>
      </c>
      <c r="B6314" s="32" t="s">
        <v>347</v>
      </c>
      <c r="C6314" s="32" t="s">
        <v>1244</v>
      </c>
      <c r="D6314" s="708">
        <v>50.0</v>
      </c>
      <c r="E6314" s="195">
        <v>100.28</v>
      </c>
      <c r="F6314" s="709">
        <v>0.5454745370370371</v>
      </c>
      <c r="G6314" s="195" t="s">
        <v>453</v>
      </c>
      <c r="H6314" s="710">
        <v>1.09</v>
      </c>
      <c r="I6314" s="256"/>
      <c r="J6314" s="67">
        <f t="shared" si="388"/>
        <v>5012.91</v>
      </c>
      <c r="L6314" s="70"/>
      <c r="M6314" s="934"/>
      <c r="N6314" s="94"/>
      <c r="O6314" s="94"/>
      <c r="P6314" s="94"/>
      <c r="Q6314" s="94"/>
      <c r="R6314" s="94"/>
      <c r="S6314" s="94"/>
      <c r="T6314" s="94"/>
      <c r="U6314" s="94"/>
      <c r="V6314" s="94"/>
      <c r="W6314" s="94"/>
      <c r="X6314" s="94"/>
      <c r="Y6314" s="94"/>
      <c r="Z6314" s="94"/>
      <c r="AA6314" s="94"/>
      <c r="AB6314" s="94"/>
      <c r="AC6314" s="94"/>
      <c r="AD6314" s="94"/>
      <c r="AE6314" s="94"/>
      <c r="AF6314" s="94"/>
      <c r="AG6314" s="94"/>
      <c r="AH6314" s="94"/>
    </row>
    <row r="6315" ht="12.75" hidden="1" customHeight="1" outlineLevel="1">
      <c r="A6315" s="122">
        <v>42088.0</v>
      </c>
      <c r="B6315" s="32" t="s">
        <v>347</v>
      </c>
      <c r="C6315" s="32" t="s">
        <v>2856</v>
      </c>
      <c r="D6315" s="708">
        <v>150.0</v>
      </c>
      <c r="E6315" s="195">
        <v>109.13</v>
      </c>
      <c r="F6315" s="709">
        <v>0.5458101851851852</v>
      </c>
      <c r="G6315" s="195" t="s">
        <v>453</v>
      </c>
      <c r="H6315" s="710">
        <v>1.3</v>
      </c>
      <c r="I6315" s="256"/>
      <c r="J6315" s="67">
        <f t="shared" si="388"/>
        <v>16368.2</v>
      </c>
      <c r="L6315" s="70"/>
      <c r="M6315" s="934"/>
      <c r="N6315" s="94"/>
      <c r="O6315" s="94"/>
      <c r="P6315" s="94"/>
      <c r="Q6315" s="94"/>
      <c r="R6315" s="94"/>
      <c r="S6315" s="94"/>
      <c r="T6315" s="94"/>
      <c r="U6315" s="94"/>
      <c r="V6315" s="94"/>
      <c r="W6315" s="94"/>
      <c r="X6315" s="94"/>
      <c r="Y6315" s="94"/>
      <c r="Z6315" s="94"/>
      <c r="AA6315" s="94"/>
      <c r="AB6315" s="94"/>
      <c r="AC6315" s="94"/>
      <c r="AD6315" s="94"/>
      <c r="AE6315" s="94"/>
      <c r="AF6315" s="94"/>
      <c r="AG6315" s="94"/>
      <c r="AH6315" s="94"/>
    </row>
    <row r="6316" ht="12.75" hidden="1" customHeight="1" outlineLevel="1">
      <c r="A6316" s="122">
        <v>42088.0</v>
      </c>
      <c r="B6316" s="32" t="s">
        <v>347</v>
      </c>
      <c r="C6316" s="32" t="s">
        <v>2853</v>
      </c>
      <c r="D6316" s="708">
        <v>500.0</v>
      </c>
      <c r="E6316" s="195">
        <v>25.442</v>
      </c>
      <c r="F6316" s="709">
        <v>0.5461458333333333</v>
      </c>
      <c r="G6316" s="195" t="s">
        <v>453</v>
      </c>
      <c r="H6316" s="710">
        <v>2.33</v>
      </c>
      <c r="I6316" s="256"/>
      <c r="J6316" s="67">
        <f t="shared" si="388"/>
        <v>12718.67</v>
      </c>
      <c r="L6316" s="70"/>
      <c r="M6316" s="934"/>
      <c r="N6316" s="94"/>
      <c r="O6316" s="94"/>
      <c r="P6316" s="94"/>
      <c r="Q6316" s="94"/>
      <c r="R6316" s="94"/>
      <c r="S6316" s="94"/>
      <c r="T6316" s="94"/>
      <c r="U6316" s="94"/>
      <c r="V6316" s="94"/>
      <c r="W6316" s="94"/>
      <c r="X6316" s="94"/>
      <c r="Y6316" s="94"/>
      <c r="Z6316" s="94"/>
      <c r="AA6316" s="94"/>
      <c r="AB6316" s="94"/>
      <c r="AC6316" s="94"/>
      <c r="AD6316" s="94"/>
      <c r="AE6316" s="94"/>
      <c r="AF6316" s="94"/>
      <c r="AG6316" s="94"/>
      <c r="AH6316" s="94"/>
    </row>
    <row r="6317" ht="12.75" hidden="1" customHeight="1" outlineLevel="1">
      <c r="A6317" s="122">
        <v>42088.0</v>
      </c>
      <c r="B6317" s="32" t="s">
        <v>347</v>
      </c>
      <c r="C6317" s="32" t="s">
        <v>2862</v>
      </c>
      <c r="D6317" s="708">
        <v>150.0</v>
      </c>
      <c r="E6317" s="195">
        <v>95.96</v>
      </c>
      <c r="F6317" s="709">
        <v>0.5462962962962963</v>
      </c>
      <c r="G6317" s="195" t="s">
        <v>453</v>
      </c>
      <c r="H6317" s="710">
        <v>1.26</v>
      </c>
      <c r="I6317" s="256"/>
      <c r="J6317" s="67">
        <f t="shared" si="388"/>
        <v>14392.74</v>
      </c>
      <c r="L6317" s="70"/>
      <c r="M6317" s="934"/>
      <c r="N6317" s="94"/>
      <c r="O6317" s="94"/>
      <c r="P6317" s="94"/>
      <c r="Q6317" s="94"/>
      <c r="R6317" s="94"/>
      <c r="S6317" s="94"/>
      <c r="T6317" s="94"/>
      <c r="U6317" s="94"/>
      <c r="V6317" s="94"/>
      <c r="W6317" s="94"/>
      <c r="X6317" s="94"/>
      <c r="Y6317" s="94"/>
      <c r="Z6317" s="94"/>
      <c r="AA6317" s="94"/>
      <c r="AB6317" s="94"/>
      <c r="AC6317" s="94"/>
      <c r="AD6317" s="94"/>
      <c r="AE6317" s="94"/>
      <c r="AF6317" s="94"/>
      <c r="AG6317" s="94"/>
      <c r="AH6317" s="94"/>
    </row>
    <row r="6318" ht="12.75" hidden="1" customHeight="1" outlineLevel="1">
      <c r="A6318" s="122">
        <v>42088.0</v>
      </c>
      <c r="B6318" s="32" t="s">
        <v>347</v>
      </c>
      <c r="C6318" s="32" t="s">
        <v>1735</v>
      </c>
      <c r="D6318" s="708">
        <v>250.0</v>
      </c>
      <c r="E6318" s="195">
        <v>41.008</v>
      </c>
      <c r="F6318" s="709">
        <v>0.5469675925925926</v>
      </c>
      <c r="G6318" s="195" t="s">
        <v>453</v>
      </c>
      <c r="H6318" s="710">
        <v>2.19</v>
      </c>
      <c r="I6318" s="256"/>
      <c r="J6318" s="67">
        <f t="shared" si="388"/>
        <v>10249.81</v>
      </c>
      <c r="L6318" s="70"/>
      <c r="M6318" s="934"/>
      <c r="N6318" s="94"/>
      <c r="O6318" s="94"/>
      <c r="P6318" s="94"/>
      <c r="Q6318" s="94"/>
      <c r="R6318" s="94"/>
      <c r="S6318" s="94"/>
      <c r="T6318" s="94"/>
      <c r="U6318" s="94"/>
      <c r="V6318" s="94"/>
      <c r="W6318" s="94"/>
      <c r="X6318" s="94"/>
      <c r="Y6318" s="94"/>
      <c r="Z6318" s="94"/>
      <c r="AA6318" s="94"/>
      <c r="AB6318" s="94"/>
      <c r="AC6318" s="94"/>
      <c r="AD6318" s="94"/>
      <c r="AE6318" s="94"/>
      <c r="AF6318" s="94"/>
      <c r="AG6318" s="94"/>
      <c r="AH6318" s="94"/>
    </row>
    <row r="6319" ht="12.75" hidden="1" customHeight="1" outlineLevel="1">
      <c r="A6319" s="122">
        <v>42088.0</v>
      </c>
      <c r="B6319" s="32" t="s">
        <v>347</v>
      </c>
      <c r="C6319" s="32" t="s">
        <v>344</v>
      </c>
      <c r="D6319" s="708">
        <v>100.0</v>
      </c>
      <c r="E6319" s="195">
        <v>54.95</v>
      </c>
      <c r="F6319" s="709">
        <v>0.5764930555555555</v>
      </c>
      <c r="G6319" s="195" t="s">
        <v>453</v>
      </c>
      <c r="H6319" s="710">
        <v>1.1</v>
      </c>
      <c r="I6319" s="256"/>
      <c r="J6319" s="67">
        <f t="shared" si="388"/>
        <v>5493.9</v>
      </c>
      <c r="L6319" s="70"/>
      <c r="M6319" s="934"/>
      <c r="N6319" s="94"/>
      <c r="O6319" s="94"/>
      <c r="P6319" s="94"/>
      <c r="Q6319" s="94"/>
      <c r="R6319" s="94"/>
      <c r="S6319" s="94"/>
      <c r="T6319" s="94"/>
      <c r="U6319" s="94"/>
      <c r="V6319" s="94"/>
      <c r="W6319" s="94"/>
      <c r="X6319" s="94"/>
      <c r="Y6319" s="94"/>
      <c r="Z6319" s="94"/>
      <c r="AA6319" s="94"/>
      <c r="AB6319" s="94"/>
      <c r="AC6319" s="94"/>
      <c r="AD6319" s="94"/>
      <c r="AE6319" s="94"/>
      <c r="AF6319" s="94"/>
      <c r="AG6319" s="94"/>
      <c r="AH6319" s="94"/>
    </row>
    <row r="6320" ht="12.75" hidden="1" customHeight="1" outlineLevel="1">
      <c r="A6320" s="122">
        <v>42088.0</v>
      </c>
      <c r="B6320" s="32" t="s">
        <v>347</v>
      </c>
      <c r="C6320" s="32" t="s">
        <v>1074</v>
      </c>
      <c r="D6320" s="708">
        <v>150.0</v>
      </c>
      <c r="E6320" s="195">
        <v>113.68</v>
      </c>
      <c r="F6320" s="709">
        <v>0.661099537037037</v>
      </c>
      <c r="G6320" s="195" t="s">
        <v>453</v>
      </c>
      <c r="H6320" s="710">
        <v>1.31</v>
      </c>
      <c r="I6320" s="256"/>
      <c r="J6320" s="67">
        <f t="shared" si="388"/>
        <v>17050.69</v>
      </c>
      <c r="L6320" s="70"/>
      <c r="M6320" s="934"/>
      <c r="N6320" s="94"/>
      <c r="O6320" s="94"/>
      <c r="P6320" s="94"/>
      <c r="Q6320" s="94"/>
      <c r="R6320" s="94"/>
      <c r="S6320" s="94"/>
      <c r="T6320" s="94"/>
      <c r="U6320" s="94"/>
      <c r="V6320" s="94"/>
      <c r="W6320" s="94"/>
      <c r="X6320" s="94"/>
      <c r="Y6320" s="94"/>
      <c r="Z6320" s="94"/>
      <c r="AA6320" s="94"/>
      <c r="AB6320" s="94"/>
      <c r="AC6320" s="94"/>
      <c r="AD6320" s="94"/>
      <c r="AE6320" s="94"/>
      <c r="AF6320" s="94"/>
      <c r="AG6320" s="94"/>
      <c r="AH6320" s="94"/>
    </row>
    <row r="6321" ht="12.75" hidden="1" customHeight="1" outlineLevel="1">
      <c r="A6321" s="122">
        <v>42088.0</v>
      </c>
      <c r="B6321" s="32" t="s">
        <v>347</v>
      </c>
      <c r="C6321" s="32" t="s">
        <v>1400</v>
      </c>
      <c r="D6321" s="708">
        <v>200.0</v>
      </c>
      <c r="E6321" s="195">
        <v>80.07</v>
      </c>
      <c r="F6321" s="709">
        <v>0.661261574074074</v>
      </c>
      <c r="G6321" s="195" t="s">
        <v>453</v>
      </c>
      <c r="H6321" s="710">
        <v>1.29</v>
      </c>
      <c r="I6321" s="256"/>
      <c r="J6321" s="67">
        <f t="shared" si="388"/>
        <v>16012.71</v>
      </c>
      <c r="L6321" s="70"/>
      <c r="M6321" s="934"/>
      <c r="N6321" s="94"/>
      <c r="O6321" s="94"/>
      <c r="P6321" s="94"/>
      <c r="Q6321" s="94"/>
      <c r="R6321" s="94"/>
      <c r="S6321" s="94"/>
      <c r="T6321" s="94"/>
      <c r="U6321" s="94"/>
      <c r="V6321" s="94"/>
      <c r="W6321" s="94"/>
      <c r="X6321" s="94"/>
      <c r="Y6321" s="94"/>
      <c r="Z6321" s="94"/>
      <c r="AA6321" s="94"/>
      <c r="AB6321" s="94"/>
      <c r="AC6321" s="94"/>
      <c r="AD6321" s="94"/>
      <c r="AE6321" s="94"/>
      <c r="AF6321" s="94"/>
      <c r="AG6321" s="94"/>
      <c r="AH6321" s="94"/>
    </row>
    <row r="6322" ht="12.75" hidden="1" customHeight="1" outlineLevel="1">
      <c r="A6322" s="122">
        <v>42088.0</v>
      </c>
      <c r="B6322" s="32" t="s">
        <v>347</v>
      </c>
      <c r="C6322" s="32" t="s">
        <v>2144</v>
      </c>
      <c r="D6322" s="708">
        <v>175.0</v>
      </c>
      <c r="E6322" s="195">
        <v>85.12</v>
      </c>
      <c r="F6322" s="709">
        <v>0.661400462962963</v>
      </c>
      <c r="G6322" s="195" t="s">
        <v>453</v>
      </c>
      <c r="H6322" s="710">
        <v>1.27</v>
      </c>
      <c r="I6322" s="256"/>
      <c r="J6322" s="67">
        <f t="shared" si="388"/>
        <v>14894.73</v>
      </c>
      <c r="L6322" s="70"/>
      <c r="M6322" s="934"/>
      <c r="N6322" s="94"/>
      <c r="O6322" s="94"/>
      <c r="P6322" s="94"/>
      <c r="Q6322" s="94"/>
      <c r="R6322" s="94"/>
      <c r="S6322" s="94"/>
      <c r="T6322" s="94"/>
      <c r="U6322" s="94"/>
      <c r="V6322" s="94"/>
      <c r="W6322" s="94"/>
      <c r="X6322" s="94"/>
      <c r="Y6322" s="94"/>
      <c r="Z6322" s="94"/>
      <c r="AA6322" s="94"/>
      <c r="AB6322" s="94"/>
      <c r="AC6322" s="94"/>
      <c r="AD6322" s="94"/>
      <c r="AE6322" s="94"/>
      <c r="AF6322" s="94"/>
      <c r="AG6322" s="94"/>
      <c r="AH6322" s="94"/>
    </row>
    <row r="6323" ht="12.75" hidden="1" customHeight="1" outlineLevel="1">
      <c r="A6323" s="122">
        <v>42088.0</v>
      </c>
      <c r="B6323" s="32" t="s">
        <v>347</v>
      </c>
      <c r="C6323" s="32" t="s">
        <v>2861</v>
      </c>
      <c r="D6323" s="708">
        <v>75.0</v>
      </c>
      <c r="E6323" s="195">
        <v>196.94</v>
      </c>
      <c r="F6323" s="709">
        <v>0.6615393518518519</v>
      </c>
      <c r="G6323" s="195" t="s">
        <v>453</v>
      </c>
      <c r="H6323" s="710">
        <v>1.27</v>
      </c>
      <c r="I6323" s="256"/>
      <c r="J6323" s="67">
        <f t="shared" si="388"/>
        <v>14769.23</v>
      </c>
      <c r="L6323" s="70"/>
      <c r="M6323" s="934"/>
      <c r="N6323" s="94"/>
      <c r="O6323" s="94"/>
      <c r="P6323" s="94"/>
      <c r="Q6323" s="94"/>
      <c r="R6323" s="94"/>
      <c r="S6323" s="94"/>
      <c r="T6323" s="94"/>
      <c r="U6323" s="94"/>
      <c r="V6323" s="94"/>
      <c r="W6323" s="94"/>
      <c r="X6323" s="94"/>
      <c r="Y6323" s="94"/>
      <c r="Z6323" s="94"/>
      <c r="AA6323" s="94"/>
      <c r="AB6323" s="94"/>
      <c r="AC6323" s="94"/>
      <c r="AD6323" s="94"/>
      <c r="AE6323" s="94"/>
      <c r="AF6323" s="94"/>
      <c r="AG6323" s="94"/>
      <c r="AH6323" s="94"/>
    </row>
    <row r="6324" ht="12.75" hidden="1" customHeight="1" outlineLevel="1">
      <c r="A6324" s="122">
        <v>42089.0</v>
      </c>
      <c r="B6324" s="32" t="s">
        <v>347</v>
      </c>
      <c r="C6324" s="32" t="s">
        <v>790</v>
      </c>
      <c r="D6324" s="708">
        <v>3000.0</v>
      </c>
      <c r="E6324" s="195">
        <v>5.85</v>
      </c>
      <c r="F6324" s="709">
        <v>0.4308680555555556</v>
      </c>
      <c r="G6324" s="195" t="s">
        <v>453</v>
      </c>
      <c r="H6324" s="710">
        <v>15.32</v>
      </c>
      <c r="I6324" s="256"/>
      <c r="J6324" s="67">
        <f t="shared" si="388"/>
        <v>17534.68</v>
      </c>
      <c r="L6324" s="70"/>
      <c r="M6324" s="934"/>
      <c r="N6324" s="94"/>
      <c r="O6324" s="94"/>
      <c r="P6324" s="94"/>
      <c r="Q6324" s="94"/>
      <c r="R6324" s="94"/>
      <c r="S6324" s="94"/>
      <c r="T6324" s="94"/>
      <c r="U6324" s="94"/>
      <c r="V6324" s="94"/>
      <c r="W6324" s="94"/>
      <c r="X6324" s="94"/>
      <c r="Y6324" s="94"/>
      <c r="Z6324" s="94"/>
      <c r="AA6324" s="94"/>
      <c r="AB6324" s="94"/>
      <c r="AC6324" s="94"/>
      <c r="AD6324" s="94"/>
      <c r="AE6324" s="94"/>
      <c r="AF6324" s="94"/>
      <c r="AG6324" s="94"/>
      <c r="AH6324" s="94"/>
    </row>
    <row r="6325" ht="12.75" hidden="1" customHeight="1" outlineLevel="1">
      <c r="A6325" s="122">
        <v>42089.0</v>
      </c>
      <c r="B6325" s="32" t="s">
        <v>347</v>
      </c>
      <c r="C6325" s="32" t="s">
        <v>784</v>
      </c>
      <c r="D6325" s="708">
        <v>4500.0</v>
      </c>
      <c r="E6325" s="195">
        <v>6.06</v>
      </c>
      <c r="F6325" s="709">
        <v>0.43114583333333334</v>
      </c>
      <c r="G6325" s="195" t="s">
        <v>453</v>
      </c>
      <c r="H6325" s="710">
        <v>21.0</v>
      </c>
      <c r="I6325" s="256"/>
      <c r="J6325" s="67">
        <f t="shared" si="388"/>
        <v>27249</v>
      </c>
      <c r="L6325" s="70"/>
      <c r="M6325" s="934"/>
      <c r="N6325" s="94"/>
      <c r="O6325" s="94"/>
      <c r="P6325" s="94"/>
      <c r="Q6325" s="94"/>
      <c r="R6325" s="94"/>
      <c r="S6325" s="94"/>
      <c r="T6325" s="94"/>
      <c r="U6325" s="94"/>
      <c r="V6325" s="94"/>
      <c r="W6325" s="94"/>
      <c r="X6325" s="94"/>
      <c r="Y6325" s="94"/>
      <c r="Z6325" s="94"/>
      <c r="AA6325" s="94"/>
      <c r="AB6325" s="94"/>
      <c r="AC6325" s="94"/>
      <c r="AD6325" s="94"/>
      <c r="AE6325" s="94"/>
      <c r="AF6325" s="94"/>
      <c r="AG6325" s="94"/>
      <c r="AH6325" s="94"/>
    </row>
    <row r="6326" ht="12.75" hidden="1" customHeight="1" outlineLevel="1">
      <c r="A6326" s="122">
        <v>42089.0</v>
      </c>
      <c r="B6326" s="32" t="s">
        <v>347</v>
      </c>
      <c r="C6326" s="32" t="s">
        <v>2048</v>
      </c>
      <c r="D6326" s="708">
        <v>1500.0</v>
      </c>
      <c r="E6326" s="195">
        <v>10.1</v>
      </c>
      <c r="F6326" s="709">
        <v>0.43277777777777776</v>
      </c>
      <c r="G6326" s="195" t="s">
        <v>453</v>
      </c>
      <c r="H6326" s="710">
        <v>7.78</v>
      </c>
      <c r="I6326" s="256"/>
      <c r="J6326" s="67">
        <f t="shared" si="388"/>
        <v>15142.22</v>
      </c>
      <c r="L6326" s="70"/>
      <c r="M6326" s="934"/>
      <c r="N6326" s="94"/>
      <c r="O6326" s="94"/>
      <c r="P6326" s="94"/>
      <c r="Q6326" s="94"/>
      <c r="R6326" s="94"/>
      <c r="S6326" s="94"/>
      <c r="T6326" s="94"/>
      <c r="U6326" s="94"/>
      <c r="V6326" s="94"/>
      <c r="W6326" s="94"/>
      <c r="X6326" s="94"/>
      <c r="Y6326" s="94"/>
      <c r="Z6326" s="94"/>
      <c r="AA6326" s="94"/>
      <c r="AB6326" s="94"/>
      <c r="AC6326" s="94"/>
      <c r="AD6326" s="94"/>
      <c r="AE6326" s="94"/>
      <c r="AF6326" s="94"/>
      <c r="AG6326" s="94"/>
      <c r="AH6326" s="94"/>
    </row>
    <row r="6327" ht="12.75" hidden="1" customHeight="1" outlineLevel="1">
      <c r="A6327" s="122">
        <v>42089.0</v>
      </c>
      <c r="B6327" s="32" t="s">
        <v>347</v>
      </c>
      <c r="C6327" s="32" t="s">
        <v>790</v>
      </c>
      <c r="D6327" s="708">
        <v>500.0</v>
      </c>
      <c r="E6327" s="195">
        <v>5.86</v>
      </c>
      <c r="F6327" s="709">
        <v>0.43332175925925925</v>
      </c>
      <c r="G6327" s="195" t="s">
        <v>453</v>
      </c>
      <c r="H6327" s="710">
        <v>2.55</v>
      </c>
      <c r="I6327" s="256"/>
      <c r="J6327" s="67">
        <f t="shared" si="388"/>
        <v>2927.45</v>
      </c>
      <c r="L6327" s="70"/>
      <c r="M6327" s="934"/>
      <c r="N6327" s="94"/>
      <c r="O6327" s="94"/>
      <c r="P6327" s="94"/>
      <c r="Q6327" s="94"/>
      <c r="R6327" s="94"/>
      <c r="S6327" s="94"/>
      <c r="T6327" s="94"/>
      <c r="U6327" s="94"/>
      <c r="V6327" s="94"/>
      <c r="W6327" s="94"/>
      <c r="X6327" s="94"/>
      <c r="Y6327" s="94"/>
      <c r="Z6327" s="94"/>
      <c r="AA6327" s="94"/>
      <c r="AB6327" s="94"/>
      <c r="AC6327" s="94"/>
      <c r="AD6327" s="94"/>
      <c r="AE6327" s="94"/>
      <c r="AF6327" s="94"/>
      <c r="AG6327" s="94"/>
      <c r="AH6327" s="94"/>
    </row>
    <row r="6328" ht="12.75" hidden="1" customHeight="1" outlineLevel="1">
      <c r="A6328" s="122">
        <v>42089.0</v>
      </c>
      <c r="B6328" s="32" t="s">
        <v>347</v>
      </c>
      <c r="C6328" s="32" t="s">
        <v>369</v>
      </c>
      <c r="D6328" s="708">
        <v>1200.0</v>
      </c>
      <c r="E6328" s="195">
        <v>4.971</v>
      </c>
      <c r="F6328" s="709">
        <v>0.4337847222222222</v>
      </c>
      <c r="G6328" s="195" t="s">
        <v>453</v>
      </c>
      <c r="H6328" s="710">
        <v>5.31</v>
      </c>
      <c r="I6328" s="256"/>
      <c r="J6328" s="67">
        <f t="shared" si="388"/>
        <v>5959.89</v>
      </c>
      <c r="L6328" s="70"/>
      <c r="M6328" s="934"/>
      <c r="N6328" s="94"/>
      <c r="O6328" s="94"/>
      <c r="P6328" s="94"/>
      <c r="Q6328" s="94"/>
      <c r="R6328" s="94"/>
      <c r="S6328" s="94"/>
      <c r="T6328" s="94"/>
      <c r="U6328" s="94"/>
      <c r="V6328" s="94"/>
      <c r="W6328" s="94"/>
      <c r="X6328" s="94"/>
      <c r="Y6328" s="94"/>
      <c r="Z6328" s="94"/>
      <c r="AA6328" s="94"/>
      <c r="AB6328" s="94"/>
      <c r="AC6328" s="94"/>
      <c r="AD6328" s="94"/>
      <c r="AE6328" s="94"/>
      <c r="AF6328" s="94"/>
      <c r="AG6328" s="94"/>
      <c r="AH6328" s="94"/>
    </row>
    <row r="6329" ht="12.75" hidden="1" customHeight="1" outlineLevel="1">
      <c r="A6329" s="122">
        <v>42089.0</v>
      </c>
      <c r="B6329" s="32" t="s">
        <v>347</v>
      </c>
      <c r="C6329" s="32" t="s">
        <v>369</v>
      </c>
      <c r="D6329" s="708">
        <v>300.0</v>
      </c>
      <c r="E6329" s="195">
        <v>4.98</v>
      </c>
      <c r="F6329" s="709">
        <v>0.4341203703703704</v>
      </c>
      <c r="G6329" s="195" t="s">
        <v>453</v>
      </c>
      <c r="H6329" s="710">
        <v>1.33</v>
      </c>
      <c r="I6329" s="256"/>
      <c r="J6329" s="67">
        <f t="shared" si="388"/>
        <v>1492.67</v>
      </c>
      <c r="L6329" s="70"/>
      <c r="M6329" s="934"/>
      <c r="N6329" s="94"/>
      <c r="O6329" s="94"/>
      <c r="P6329" s="94"/>
      <c r="Q6329" s="94"/>
      <c r="R6329" s="94"/>
      <c r="S6329" s="94"/>
      <c r="T6329" s="94"/>
      <c r="U6329" s="94"/>
      <c r="V6329" s="94"/>
      <c r="W6329" s="94"/>
      <c r="X6329" s="94"/>
      <c r="Y6329" s="94"/>
      <c r="Z6329" s="94"/>
      <c r="AA6329" s="94"/>
      <c r="AB6329" s="94"/>
      <c r="AC6329" s="94"/>
      <c r="AD6329" s="94"/>
      <c r="AE6329" s="94"/>
      <c r="AF6329" s="94"/>
      <c r="AG6329" s="94"/>
      <c r="AH6329" s="94"/>
    </row>
    <row r="6330" ht="12.75" hidden="1" customHeight="1" outlineLevel="1">
      <c r="A6330" s="122">
        <v>42089.0</v>
      </c>
      <c r="B6330" s="32" t="s">
        <v>347</v>
      </c>
      <c r="C6330" s="32" t="s">
        <v>784</v>
      </c>
      <c r="D6330" s="708">
        <v>2000.0</v>
      </c>
      <c r="E6330" s="195">
        <v>6.0</v>
      </c>
      <c r="F6330" s="709">
        <v>0.6205208333333333</v>
      </c>
      <c r="G6330" s="195" t="s">
        <v>453</v>
      </c>
      <c r="H6330" s="710">
        <v>10.22</v>
      </c>
      <c r="I6330" s="256"/>
      <c r="J6330" s="67">
        <f t="shared" si="388"/>
        <v>11989.78</v>
      </c>
      <c r="L6330" s="70"/>
      <c r="M6330" s="934"/>
      <c r="N6330" s="94"/>
      <c r="O6330" s="94"/>
      <c r="P6330" s="94"/>
      <c r="Q6330" s="94"/>
      <c r="R6330" s="94"/>
      <c r="S6330" s="94"/>
      <c r="T6330" s="94"/>
      <c r="U6330" s="94"/>
      <c r="V6330" s="94"/>
      <c r="W6330" s="94"/>
      <c r="X6330" s="94"/>
      <c r="Y6330" s="94"/>
      <c r="Z6330" s="94"/>
      <c r="AA6330" s="94"/>
      <c r="AB6330" s="94"/>
      <c r="AC6330" s="94"/>
      <c r="AD6330" s="94"/>
      <c r="AE6330" s="94"/>
      <c r="AF6330" s="94"/>
      <c r="AG6330" s="94"/>
      <c r="AH6330" s="94"/>
    </row>
    <row r="6331" ht="12.75" hidden="1" customHeight="1" outlineLevel="1">
      <c r="A6331" s="122">
        <v>42089.0</v>
      </c>
      <c r="B6331" s="32" t="s">
        <v>347</v>
      </c>
      <c r="C6331" s="32" t="s">
        <v>790</v>
      </c>
      <c r="D6331" s="708">
        <v>2000.0</v>
      </c>
      <c r="E6331" s="195">
        <v>5.83</v>
      </c>
      <c r="F6331" s="709">
        <v>0.6207754629629629</v>
      </c>
      <c r="G6331" s="195" t="s">
        <v>453</v>
      </c>
      <c r="H6331" s="710">
        <v>10.21</v>
      </c>
      <c r="I6331" s="256"/>
      <c r="J6331" s="67">
        <f t="shared" si="388"/>
        <v>11649.79</v>
      </c>
      <c r="L6331" s="70"/>
      <c r="M6331" s="934"/>
      <c r="N6331" s="94"/>
      <c r="O6331" s="94"/>
      <c r="P6331" s="94"/>
      <c r="Q6331" s="94"/>
      <c r="R6331" s="94"/>
      <c r="S6331" s="94"/>
      <c r="T6331" s="94"/>
      <c r="U6331" s="94"/>
      <c r="V6331" s="94"/>
      <c r="W6331" s="94"/>
      <c r="X6331" s="94"/>
      <c r="Y6331" s="94"/>
      <c r="Z6331" s="94"/>
      <c r="AA6331" s="94"/>
      <c r="AB6331" s="94"/>
      <c r="AC6331" s="94"/>
      <c r="AD6331" s="94"/>
      <c r="AE6331" s="94"/>
      <c r="AF6331" s="94"/>
      <c r="AG6331" s="94"/>
      <c r="AH6331" s="94"/>
    </row>
    <row r="6332" ht="12.75" hidden="1" customHeight="1" outlineLevel="1">
      <c r="A6332" s="122">
        <v>42089.0</v>
      </c>
      <c r="B6332" s="32" t="s">
        <v>347</v>
      </c>
      <c r="C6332" s="32" t="s">
        <v>2048</v>
      </c>
      <c r="D6332" s="708">
        <v>1000.0</v>
      </c>
      <c r="E6332" s="195">
        <v>10.021</v>
      </c>
      <c r="F6332" s="709">
        <v>0.6222106481481482</v>
      </c>
      <c r="G6332" s="195" t="s">
        <v>453</v>
      </c>
      <c r="H6332" s="710">
        <v>4.38</v>
      </c>
      <c r="I6332" s="256"/>
      <c r="J6332" s="67">
        <f t="shared" si="388"/>
        <v>10016.62</v>
      </c>
      <c r="L6332" s="70"/>
      <c r="M6332" s="934"/>
      <c r="N6332" s="94"/>
      <c r="O6332" s="94"/>
      <c r="P6332" s="94"/>
      <c r="Q6332" s="94"/>
      <c r="R6332" s="94"/>
      <c r="S6332" s="94"/>
      <c r="T6332" s="94"/>
      <c r="U6332" s="94"/>
      <c r="V6332" s="94"/>
      <c r="W6332" s="94"/>
      <c r="X6332" s="94"/>
      <c r="Y6332" s="94"/>
      <c r="Z6332" s="94"/>
      <c r="AA6332" s="94"/>
      <c r="AB6332" s="94"/>
      <c r="AC6332" s="94"/>
      <c r="AD6332" s="94"/>
      <c r="AE6332" s="94"/>
      <c r="AF6332" s="94"/>
      <c r="AG6332" s="94"/>
      <c r="AH6332" s="94"/>
    </row>
    <row r="6333" ht="12.75" hidden="1" customHeight="1" outlineLevel="1">
      <c r="A6333" s="122">
        <v>42089.0</v>
      </c>
      <c r="B6333" s="32" t="s">
        <v>347</v>
      </c>
      <c r="C6333" s="32" t="s">
        <v>369</v>
      </c>
      <c r="D6333" s="708">
        <v>2000.0</v>
      </c>
      <c r="E6333" s="195">
        <v>4.781</v>
      </c>
      <c r="F6333" s="709">
        <v>0.6226041666666666</v>
      </c>
      <c r="G6333" s="195" t="s">
        <v>453</v>
      </c>
      <c r="H6333" s="710">
        <v>8.48</v>
      </c>
      <c r="I6333" s="256"/>
      <c r="J6333" s="67">
        <f t="shared" si="388"/>
        <v>9553.52</v>
      </c>
      <c r="L6333" s="70"/>
      <c r="M6333" s="934"/>
      <c r="N6333" s="94"/>
      <c r="O6333" s="94"/>
      <c r="P6333" s="94"/>
      <c r="Q6333" s="94"/>
      <c r="R6333" s="94"/>
      <c r="S6333" s="94"/>
      <c r="T6333" s="94"/>
      <c r="U6333" s="94"/>
      <c r="V6333" s="94"/>
      <c r="W6333" s="94"/>
      <c r="X6333" s="94"/>
      <c r="Y6333" s="94"/>
      <c r="Z6333" s="94"/>
      <c r="AA6333" s="94"/>
      <c r="AB6333" s="94"/>
      <c r="AC6333" s="94"/>
      <c r="AD6333" s="94"/>
      <c r="AE6333" s="94"/>
      <c r="AF6333" s="94"/>
      <c r="AG6333" s="94"/>
      <c r="AH6333" s="94"/>
    </row>
    <row r="6334" ht="12.75" hidden="1" customHeight="1" outlineLevel="1">
      <c r="A6334" s="122">
        <v>42089.0</v>
      </c>
      <c r="B6334" s="32" t="s">
        <v>343</v>
      </c>
      <c r="C6334" s="32" t="s">
        <v>2862</v>
      </c>
      <c r="D6334" s="708">
        <v>250.0</v>
      </c>
      <c r="E6334" s="195">
        <v>94.419</v>
      </c>
      <c r="F6334" s="709">
        <v>0.6334375</v>
      </c>
      <c r="G6334" s="195" t="s">
        <v>453</v>
      </c>
      <c r="H6334" s="710">
        <v>1.05</v>
      </c>
      <c r="I6334" s="256"/>
      <c r="J6334" s="67">
        <f t="shared" si="388"/>
        <v>-23605.8</v>
      </c>
      <c r="L6334" s="70"/>
      <c r="M6334" s="934"/>
      <c r="N6334" s="94"/>
      <c r="O6334" s="94"/>
      <c r="P6334" s="94"/>
      <c r="Q6334" s="94"/>
      <c r="R6334" s="94"/>
      <c r="S6334" s="94"/>
      <c r="T6334" s="94"/>
      <c r="U6334" s="94"/>
      <c r="V6334" s="94"/>
      <c r="W6334" s="94"/>
      <c r="X6334" s="94"/>
      <c r="Y6334" s="94"/>
      <c r="Z6334" s="94"/>
      <c r="AA6334" s="94"/>
      <c r="AB6334" s="94"/>
      <c r="AC6334" s="94"/>
      <c r="AD6334" s="94"/>
      <c r="AE6334" s="94"/>
      <c r="AF6334" s="94"/>
      <c r="AG6334" s="94"/>
      <c r="AH6334" s="94"/>
    </row>
    <row r="6335" ht="12.75" hidden="1" customHeight="1" outlineLevel="1">
      <c r="A6335" s="122">
        <v>42089.0</v>
      </c>
      <c r="B6335" s="32" t="s">
        <v>343</v>
      </c>
      <c r="C6335" s="32" t="s">
        <v>2144</v>
      </c>
      <c r="D6335" s="708">
        <v>300.0</v>
      </c>
      <c r="E6335" s="195">
        <v>84.88</v>
      </c>
      <c r="F6335" s="709">
        <v>0.6337384259259259</v>
      </c>
      <c r="G6335" s="195" t="s">
        <v>453</v>
      </c>
      <c r="H6335" s="710">
        <v>1.5</v>
      </c>
      <c r="I6335" s="256"/>
      <c r="J6335" s="67">
        <f t="shared" si="388"/>
        <v>-25465.5</v>
      </c>
      <c r="L6335" s="70"/>
      <c r="M6335" s="934"/>
      <c r="N6335" s="94"/>
      <c r="O6335" s="94"/>
      <c r="P6335" s="94"/>
      <c r="Q6335" s="94"/>
      <c r="R6335" s="94"/>
      <c r="S6335" s="94"/>
      <c r="T6335" s="94"/>
      <c r="U6335" s="94"/>
      <c r="V6335" s="94"/>
      <c r="W6335" s="94"/>
      <c r="X6335" s="94"/>
      <c r="Y6335" s="94"/>
      <c r="Z6335" s="94"/>
      <c r="AA6335" s="94"/>
      <c r="AB6335" s="94"/>
      <c r="AC6335" s="94"/>
      <c r="AD6335" s="94"/>
      <c r="AE6335" s="94"/>
      <c r="AF6335" s="94"/>
      <c r="AG6335" s="94"/>
      <c r="AH6335" s="94"/>
    </row>
    <row r="6336" ht="12.75" hidden="1" customHeight="1" outlineLevel="1">
      <c r="A6336" s="122">
        <v>42089.0</v>
      </c>
      <c r="B6336" s="32" t="s">
        <v>343</v>
      </c>
      <c r="C6336" s="32" t="s">
        <v>1152</v>
      </c>
      <c r="D6336" s="708">
        <v>250.0</v>
      </c>
      <c r="E6336" s="195">
        <v>78.498</v>
      </c>
      <c r="F6336" s="709">
        <v>0.6340162037037037</v>
      </c>
      <c r="G6336" s="195" t="s">
        <v>453</v>
      </c>
      <c r="H6336" s="710">
        <v>1.0</v>
      </c>
      <c r="I6336" s="256"/>
      <c r="J6336" s="67">
        <f t="shared" si="388"/>
        <v>-19625.5</v>
      </c>
      <c r="L6336" s="70"/>
      <c r="M6336" s="934"/>
      <c r="N6336" s="94"/>
      <c r="O6336" s="94"/>
      <c r="P6336" s="94"/>
      <c r="Q6336" s="94"/>
      <c r="R6336" s="94"/>
      <c r="S6336" s="94"/>
      <c r="T6336" s="94"/>
      <c r="U6336" s="94"/>
      <c r="V6336" s="94"/>
      <c r="W6336" s="94"/>
      <c r="X6336" s="94"/>
      <c r="Y6336" s="94"/>
      <c r="Z6336" s="94"/>
      <c r="AA6336" s="94"/>
      <c r="AB6336" s="94"/>
      <c r="AC6336" s="94"/>
      <c r="AD6336" s="94"/>
      <c r="AE6336" s="94"/>
      <c r="AF6336" s="94"/>
      <c r="AG6336" s="94"/>
      <c r="AH6336" s="94"/>
    </row>
    <row r="6337" ht="12.75" hidden="1" customHeight="1" outlineLevel="1">
      <c r="A6337" s="122">
        <v>42089.0</v>
      </c>
      <c r="B6337" s="32" t="s">
        <v>343</v>
      </c>
      <c r="C6337" s="32" t="s">
        <v>1766</v>
      </c>
      <c r="D6337" s="708">
        <v>250.0</v>
      </c>
      <c r="E6337" s="195">
        <v>77.226</v>
      </c>
      <c r="F6337" s="709">
        <v>0.6346296296296297</v>
      </c>
      <c r="G6337" s="195" t="s">
        <v>453</v>
      </c>
      <c r="H6337" s="710">
        <v>1.25</v>
      </c>
      <c r="I6337" s="256"/>
      <c r="J6337" s="67">
        <f t="shared" si="388"/>
        <v>-19307.75</v>
      </c>
      <c r="L6337" s="70"/>
      <c r="M6337" s="934"/>
      <c r="N6337" s="94"/>
      <c r="O6337" s="94"/>
      <c r="P6337" s="94"/>
      <c r="Q6337" s="94"/>
      <c r="R6337" s="94"/>
      <c r="S6337" s="94"/>
      <c r="T6337" s="94"/>
      <c r="U6337" s="94"/>
      <c r="V6337" s="94"/>
      <c r="W6337" s="94"/>
      <c r="X6337" s="94"/>
      <c r="Y6337" s="94"/>
      <c r="Z6337" s="94"/>
      <c r="AA6337" s="94"/>
      <c r="AB6337" s="94"/>
      <c r="AC6337" s="94"/>
      <c r="AD6337" s="94"/>
      <c r="AE6337" s="94"/>
      <c r="AF6337" s="94"/>
      <c r="AG6337" s="94"/>
      <c r="AH6337" s="94"/>
    </row>
    <row r="6338" ht="12.75" hidden="1" customHeight="1" outlineLevel="1">
      <c r="A6338" s="122">
        <v>42089.0</v>
      </c>
      <c r="B6338" s="32" t="s">
        <v>343</v>
      </c>
      <c r="C6338" s="32" t="s">
        <v>2861</v>
      </c>
      <c r="D6338" s="708">
        <v>100.0</v>
      </c>
      <c r="E6338" s="195">
        <v>196.529</v>
      </c>
      <c r="F6338" s="709">
        <v>0.6347800925925926</v>
      </c>
      <c r="G6338" s="195" t="s">
        <v>453</v>
      </c>
      <c r="H6338" s="710">
        <v>2.0</v>
      </c>
      <c r="I6338" s="256"/>
      <c r="J6338" s="67">
        <f t="shared" si="388"/>
        <v>-19654.9</v>
      </c>
      <c r="L6338" s="70"/>
      <c r="M6338" s="934"/>
      <c r="N6338" s="94"/>
      <c r="O6338" s="94"/>
      <c r="P6338" s="94"/>
      <c r="Q6338" s="94"/>
      <c r="R6338" s="94"/>
      <c r="S6338" s="94"/>
      <c r="T6338" s="94"/>
      <c r="U6338" s="94"/>
      <c r="V6338" s="94"/>
      <c r="W6338" s="94"/>
      <c r="X6338" s="94"/>
      <c r="Y6338" s="94"/>
      <c r="Z6338" s="94"/>
      <c r="AA6338" s="94"/>
      <c r="AB6338" s="94"/>
      <c r="AC6338" s="94"/>
      <c r="AD6338" s="94"/>
      <c r="AE6338" s="94"/>
      <c r="AF6338" s="94"/>
      <c r="AG6338" s="94"/>
      <c r="AH6338" s="94"/>
    </row>
    <row r="6339" ht="12.75" hidden="1" customHeight="1" outlineLevel="1">
      <c r="A6339" s="122">
        <v>42089.0</v>
      </c>
      <c r="B6339" s="32" t="s">
        <v>343</v>
      </c>
      <c r="C6339" s="32" t="s">
        <v>1074</v>
      </c>
      <c r="D6339" s="708">
        <v>175.0</v>
      </c>
      <c r="E6339" s="195">
        <v>112.5299</v>
      </c>
      <c r="F6339" s="709">
        <v>0.6351157407407407</v>
      </c>
      <c r="G6339" s="195" t="s">
        <v>453</v>
      </c>
      <c r="H6339" s="710">
        <v>1.0</v>
      </c>
      <c r="I6339" s="256"/>
      <c r="J6339" s="67">
        <f t="shared" si="388"/>
        <v>-19693.7325</v>
      </c>
      <c r="L6339" s="70"/>
      <c r="M6339" s="934"/>
      <c r="N6339" s="94"/>
      <c r="O6339" s="94"/>
      <c r="P6339" s="94"/>
      <c r="Q6339" s="94"/>
      <c r="R6339" s="94"/>
      <c r="S6339" s="94"/>
      <c r="T6339" s="94"/>
      <c r="U6339" s="94"/>
      <c r="V6339" s="94"/>
      <c r="W6339" s="94"/>
      <c r="X6339" s="94"/>
      <c r="Y6339" s="94"/>
      <c r="Z6339" s="94"/>
      <c r="AA6339" s="94"/>
      <c r="AB6339" s="94"/>
      <c r="AC6339" s="94"/>
      <c r="AD6339" s="94"/>
      <c r="AE6339" s="94"/>
      <c r="AF6339" s="94"/>
      <c r="AG6339" s="94"/>
      <c r="AH6339" s="94"/>
    </row>
    <row r="6340" ht="12.75" hidden="1" customHeight="1" outlineLevel="1">
      <c r="A6340" s="122">
        <v>42089.0</v>
      </c>
      <c r="B6340" s="32" t="s">
        <v>343</v>
      </c>
      <c r="C6340" s="32" t="s">
        <v>2177</v>
      </c>
      <c r="D6340" s="708">
        <v>25.0</v>
      </c>
      <c r="E6340" s="195">
        <v>198.433</v>
      </c>
      <c r="F6340" s="709">
        <v>0.6658912037037037</v>
      </c>
      <c r="G6340" s="195" t="s">
        <v>453</v>
      </c>
      <c r="H6340" s="710">
        <v>1.0</v>
      </c>
      <c r="I6340" s="256"/>
      <c r="J6340" s="67">
        <f t="shared" si="388"/>
        <v>-4961.825</v>
      </c>
      <c r="L6340" s="70"/>
      <c r="M6340" s="934"/>
      <c r="N6340" s="94"/>
      <c r="O6340" s="94"/>
      <c r="P6340" s="94"/>
      <c r="Q6340" s="94"/>
      <c r="R6340" s="94"/>
      <c r="S6340" s="94"/>
      <c r="T6340" s="94"/>
      <c r="U6340" s="94"/>
      <c r="V6340" s="94"/>
      <c r="W6340" s="94"/>
      <c r="X6340" s="94"/>
      <c r="Y6340" s="94"/>
      <c r="Z6340" s="94"/>
      <c r="AA6340" s="94"/>
      <c r="AB6340" s="94"/>
      <c r="AC6340" s="94"/>
      <c r="AD6340" s="94"/>
      <c r="AE6340" s="94"/>
      <c r="AF6340" s="94"/>
      <c r="AG6340" s="94"/>
      <c r="AH6340" s="94"/>
    </row>
    <row r="6341" ht="12.75" hidden="1" customHeight="1" outlineLevel="1">
      <c r="A6341" s="122">
        <v>42089.0</v>
      </c>
      <c r="B6341" s="32" t="s">
        <v>343</v>
      </c>
      <c r="C6341" s="32" t="s">
        <v>2412</v>
      </c>
      <c r="D6341" s="708">
        <v>100.0</v>
      </c>
      <c r="E6341" s="195">
        <v>63.11</v>
      </c>
      <c r="F6341" s="709">
        <v>0.6661805555555556</v>
      </c>
      <c r="G6341" s="195" t="s">
        <v>453</v>
      </c>
      <c r="H6341" s="710">
        <v>1.0</v>
      </c>
      <c r="I6341" s="256"/>
      <c r="J6341" s="67">
        <f t="shared" si="388"/>
        <v>-6312</v>
      </c>
      <c r="L6341" s="70"/>
      <c r="M6341" s="934"/>
      <c r="N6341" s="94"/>
      <c r="O6341" s="94"/>
      <c r="P6341" s="94"/>
      <c r="Q6341" s="94"/>
      <c r="R6341" s="94"/>
      <c r="S6341" s="94"/>
      <c r="T6341" s="94"/>
      <c r="U6341" s="94"/>
      <c r="V6341" s="94"/>
      <c r="W6341" s="94"/>
      <c r="X6341" s="94"/>
      <c r="Y6341" s="94"/>
      <c r="Z6341" s="94"/>
      <c r="AA6341" s="94"/>
      <c r="AB6341" s="94"/>
      <c r="AC6341" s="94"/>
      <c r="AD6341" s="94"/>
      <c r="AE6341" s="94"/>
      <c r="AF6341" s="94"/>
      <c r="AG6341" s="94"/>
      <c r="AH6341" s="94"/>
    </row>
    <row r="6342" ht="12.75" hidden="1" customHeight="1" outlineLevel="1">
      <c r="A6342" s="122">
        <v>42089.0</v>
      </c>
      <c r="B6342" s="32" t="s">
        <v>343</v>
      </c>
      <c r="C6342" s="32" t="s">
        <v>1357</v>
      </c>
      <c r="D6342" s="708">
        <v>100.0</v>
      </c>
      <c r="E6342" s="195">
        <v>40.35</v>
      </c>
      <c r="F6342" s="709">
        <v>0.6663541666666667</v>
      </c>
      <c r="G6342" s="195" t="s">
        <v>453</v>
      </c>
      <c r="H6342" s="710">
        <v>1.0</v>
      </c>
      <c r="I6342" s="256"/>
      <c r="J6342" s="67">
        <f t="shared" si="388"/>
        <v>-4036</v>
      </c>
      <c r="L6342" s="70"/>
      <c r="M6342" s="934"/>
      <c r="N6342" s="94"/>
      <c r="O6342" s="94"/>
      <c r="P6342" s="94"/>
      <c r="Q6342" s="94"/>
      <c r="R6342" s="94"/>
      <c r="S6342" s="94"/>
      <c r="T6342" s="94"/>
      <c r="U6342" s="94"/>
      <c r="V6342" s="94"/>
      <c r="W6342" s="94"/>
      <c r="X6342" s="94"/>
      <c r="Y6342" s="94"/>
      <c r="Z6342" s="94"/>
      <c r="AA6342" s="94"/>
      <c r="AB6342" s="94"/>
      <c r="AC6342" s="94"/>
      <c r="AD6342" s="94"/>
      <c r="AE6342" s="94"/>
      <c r="AF6342" s="94"/>
      <c r="AG6342" s="94"/>
      <c r="AH6342" s="94"/>
    </row>
    <row r="6343" ht="12.75" hidden="1" customHeight="1" outlineLevel="1">
      <c r="A6343" s="122">
        <v>42089.0</v>
      </c>
      <c r="B6343" s="32" t="s">
        <v>343</v>
      </c>
      <c r="C6343" s="32" t="s">
        <v>344</v>
      </c>
      <c r="D6343" s="708">
        <v>100.0</v>
      </c>
      <c r="E6343" s="195">
        <v>54.24</v>
      </c>
      <c r="F6343" s="709">
        <v>0.6688194444444444</v>
      </c>
      <c r="G6343" s="195" t="s">
        <v>453</v>
      </c>
      <c r="H6343" s="710">
        <v>1.0</v>
      </c>
      <c r="I6343" s="256"/>
      <c r="J6343" s="67">
        <f t="shared" si="388"/>
        <v>-5425</v>
      </c>
      <c r="L6343" s="70"/>
      <c r="M6343" s="934"/>
      <c r="N6343" s="94"/>
      <c r="O6343" s="94"/>
      <c r="P6343" s="94"/>
      <c r="Q6343" s="94"/>
      <c r="R6343" s="94"/>
      <c r="S6343" s="94"/>
      <c r="T6343" s="94"/>
      <c r="U6343" s="94"/>
      <c r="V6343" s="94"/>
      <c r="W6343" s="94"/>
      <c r="X6343" s="94"/>
      <c r="Y6343" s="94"/>
      <c r="Z6343" s="94"/>
      <c r="AA6343" s="94"/>
      <c r="AB6343" s="94"/>
      <c r="AC6343" s="94"/>
      <c r="AD6343" s="94"/>
      <c r="AE6343" s="94"/>
      <c r="AF6343" s="94"/>
      <c r="AG6343" s="94"/>
      <c r="AH6343" s="94"/>
    </row>
    <row r="6344" ht="12.75" hidden="1" customHeight="1" outlineLevel="1">
      <c r="A6344" s="122">
        <v>42090.0</v>
      </c>
      <c r="B6344" s="1"/>
      <c r="C6344" s="1" t="s">
        <v>339</v>
      </c>
      <c r="D6344" s="74"/>
      <c r="E6344" s="67"/>
      <c r="F6344" s="75"/>
      <c r="G6344" s="67"/>
      <c r="H6344" s="68"/>
      <c r="I6344" s="76"/>
      <c r="K6344" s="968" t="s">
        <v>2887</v>
      </c>
      <c r="L6344" s="934"/>
      <c r="M6344" s="934"/>
    </row>
    <row r="6345" ht="12.75" hidden="1" customHeight="1" outlineLevel="1">
      <c r="A6345" s="122">
        <v>42090.0</v>
      </c>
      <c r="B6345" s="1"/>
      <c r="C6345" s="1" t="s">
        <v>429</v>
      </c>
      <c r="D6345" s="74"/>
      <c r="E6345" s="67"/>
      <c r="F6345" s="75"/>
      <c r="G6345" s="67"/>
      <c r="H6345" s="68"/>
      <c r="I6345" s="76"/>
      <c r="J6345" s="67"/>
      <c r="K6345" s="9" t="s">
        <v>2839</v>
      </c>
      <c r="L6345" s="934"/>
      <c r="M6345" s="934"/>
    </row>
    <row r="6346" ht="12.75" hidden="1" customHeight="1" outlineLevel="1">
      <c r="A6346" s="122">
        <v>42090.0</v>
      </c>
      <c r="B6346" s="1"/>
      <c r="C6346" s="1" t="s">
        <v>431</v>
      </c>
      <c r="D6346" s="74"/>
      <c r="E6346" s="67"/>
      <c r="F6346" s="75"/>
      <c r="G6346" s="67"/>
      <c r="H6346" s="68"/>
      <c r="I6346" s="76"/>
      <c r="J6346" s="67"/>
      <c r="K6346" s="7" t="s">
        <v>1126</v>
      </c>
      <c r="L6346" s="934"/>
      <c r="M6346" s="934"/>
    </row>
    <row r="6347" ht="12.75" hidden="1" customHeight="1" outlineLevel="1">
      <c r="A6347" s="122">
        <v>42090.0</v>
      </c>
      <c r="B6347" s="1"/>
      <c r="C6347" s="1" t="s">
        <v>433</v>
      </c>
      <c r="D6347" s="74"/>
      <c r="E6347" s="67"/>
      <c r="F6347" s="75"/>
      <c r="G6347" s="67"/>
      <c r="H6347" s="68"/>
      <c r="I6347" s="76"/>
      <c r="J6347" s="67"/>
      <c r="K6347" s="7" t="s">
        <v>1103</v>
      </c>
      <c r="L6347" s="934"/>
      <c r="M6347" s="934"/>
    </row>
    <row r="6348" ht="12.75" hidden="1" customHeight="1" outlineLevel="1">
      <c r="A6348" s="122">
        <v>42090.0</v>
      </c>
      <c r="B6348" s="1"/>
      <c r="C6348" s="1" t="s">
        <v>435</v>
      </c>
      <c r="D6348" s="74"/>
      <c r="E6348" s="67"/>
      <c r="F6348" s="75"/>
      <c r="G6348" s="67"/>
      <c r="H6348" s="68"/>
      <c r="I6348" s="76"/>
      <c r="J6348" s="67"/>
      <c r="K6348" s="9" t="s">
        <v>2802</v>
      </c>
      <c r="L6348" s="934"/>
      <c r="M6348" s="934"/>
    </row>
    <row r="6349" ht="12.75" hidden="1" customHeight="1" outlineLevel="1">
      <c r="A6349" s="122">
        <v>42090.0</v>
      </c>
      <c r="B6349" s="32" t="s">
        <v>347</v>
      </c>
      <c r="C6349" s="32" t="s">
        <v>784</v>
      </c>
      <c r="D6349" s="708">
        <v>4500.0</v>
      </c>
      <c r="E6349" s="195">
        <v>5.71</v>
      </c>
      <c r="F6349" s="709">
        <v>0.4299074074074074</v>
      </c>
      <c r="G6349" s="195" t="s">
        <v>453</v>
      </c>
      <c r="H6349" s="710">
        <v>19.87</v>
      </c>
      <c r="I6349" s="256"/>
      <c r="J6349" s="67">
        <f t="shared" ref="J6349:J6382" si="389">IF(B6349="SLD",D6349*E6349,-D6349*E6349)-H6349</f>
        <v>25675.13</v>
      </c>
      <c r="L6349" s="70"/>
      <c r="M6349" s="934"/>
      <c r="N6349" s="94"/>
      <c r="O6349" s="94"/>
      <c r="P6349" s="94"/>
      <c r="Q6349" s="94"/>
      <c r="R6349" s="94"/>
      <c r="S6349" s="94"/>
      <c r="T6349" s="94"/>
      <c r="U6349" s="94"/>
      <c r="V6349" s="94"/>
      <c r="W6349" s="94"/>
      <c r="X6349" s="94"/>
      <c r="Y6349" s="94"/>
      <c r="Z6349" s="94"/>
      <c r="AA6349" s="94"/>
      <c r="AB6349" s="94"/>
      <c r="AC6349" s="94"/>
      <c r="AD6349" s="94"/>
      <c r="AE6349" s="94"/>
      <c r="AF6349" s="94"/>
      <c r="AG6349" s="94"/>
      <c r="AH6349" s="94"/>
    </row>
    <row r="6350" ht="12.75" hidden="1" customHeight="1" outlineLevel="1">
      <c r="A6350" s="122">
        <v>42090.0</v>
      </c>
      <c r="B6350" s="32" t="s">
        <v>347</v>
      </c>
      <c r="C6350" s="32" t="s">
        <v>790</v>
      </c>
      <c r="D6350" s="708">
        <v>3000.0</v>
      </c>
      <c r="E6350" s="195">
        <v>5.66</v>
      </c>
      <c r="F6350" s="709">
        <v>0.4299884259259259</v>
      </c>
      <c r="G6350" s="195" t="s">
        <v>453</v>
      </c>
      <c r="H6350" s="710">
        <v>13.41</v>
      </c>
      <c r="I6350" s="256"/>
      <c r="J6350" s="67">
        <f t="shared" si="389"/>
        <v>16966.59</v>
      </c>
      <c r="L6350" s="70"/>
      <c r="M6350" s="934"/>
      <c r="N6350" s="94"/>
      <c r="O6350" s="94"/>
      <c r="P6350" s="94"/>
      <c r="Q6350" s="94"/>
      <c r="R6350" s="94"/>
      <c r="S6350" s="94"/>
      <c r="T6350" s="94"/>
      <c r="U6350" s="94"/>
      <c r="V6350" s="94"/>
      <c r="W6350" s="94"/>
      <c r="X6350" s="94"/>
      <c r="Y6350" s="94"/>
      <c r="Z6350" s="94"/>
      <c r="AA6350" s="94"/>
      <c r="AB6350" s="94"/>
      <c r="AC6350" s="94"/>
      <c r="AD6350" s="94"/>
      <c r="AE6350" s="94"/>
      <c r="AF6350" s="94"/>
      <c r="AG6350" s="94"/>
      <c r="AH6350" s="94"/>
    </row>
    <row r="6351" ht="12.75" hidden="1" customHeight="1" outlineLevel="1">
      <c r="A6351" s="122">
        <v>42090.0</v>
      </c>
      <c r="B6351" s="32" t="s">
        <v>347</v>
      </c>
      <c r="C6351" s="32" t="s">
        <v>2048</v>
      </c>
      <c r="D6351" s="708">
        <v>1500.0</v>
      </c>
      <c r="E6351" s="195">
        <v>9.673</v>
      </c>
      <c r="F6351" s="709">
        <v>0.4301041666666667</v>
      </c>
      <c r="G6351" s="195" t="s">
        <v>453</v>
      </c>
      <c r="H6351" s="710">
        <v>6.57</v>
      </c>
      <c r="I6351" s="256"/>
      <c r="J6351" s="67">
        <f t="shared" si="389"/>
        <v>14502.93</v>
      </c>
      <c r="L6351" s="70"/>
      <c r="M6351" s="934"/>
      <c r="N6351" s="94"/>
      <c r="O6351" s="94"/>
      <c r="P6351" s="94"/>
      <c r="Q6351" s="94"/>
      <c r="R6351" s="94"/>
      <c r="S6351" s="94"/>
      <c r="T6351" s="94"/>
      <c r="U6351" s="94"/>
      <c r="V6351" s="94"/>
      <c r="W6351" s="94"/>
      <c r="X6351" s="94"/>
      <c r="Y6351" s="94"/>
      <c r="Z6351" s="94"/>
      <c r="AA6351" s="94"/>
      <c r="AB6351" s="94"/>
      <c r="AC6351" s="94"/>
      <c r="AD6351" s="94"/>
      <c r="AE6351" s="94"/>
      <c r="AF6351" s="94"/>
      <c r="AG6351" s="94"/>
      <c r="AH6351" s="94"/>
    </row>
    <row r="6352" ht="12.75" hidden="1" customHeight="1" outlineLevel="1">
      <c r="A6352" s="122">
        <v>42090.0</v>
      </c>
      <c r="B6352" s="32" t="s">
        <v>347</v>
      </c>
      <c r="C6352" s="32" t="s">
        <v>369</v>
      </c>
      <c r="D6352" s="708">
        <v>1500.0</v>
      </c>
      <c r="E6352" s="195">
        <v>4.831</v>
      </c>
      <c r="F6352" s="709">
        <v>0.4302546296296296</v>
      </c>
      <c r="G6352" s="195" t="s">
        <v>453</v>
      </c>
      <c r="H6352" s="710">
        <v>6.43</v>
      </c>
      <c r="I6352" s="256"/>
      <c r="J6352" s="67">
        <f t="shared" si="389"/>
        <v>7240.07</v>
      </c>
      <c r="L6352" s="70"/>
      <c r="M6352" s="934"/>
      <c r="N6352" s="94"/>
      <c r="O6352" s="94"/>
      <c r="P6352" s="94"/>
      <c r="Q6352" s="94"/>
      <c r="R6352" s="94"/>
      <c r="S6352" s="94"/>
      <c r="T6352" s="94"/>
      <c r="U6352" s="94"/>
      <c r="V6352" s="94"/>
      <c r="W6352" s="94"/>
      <c r="X6352" s="94"/>
      <c r="Y6352" s="94"/>
      <c r="Z6352" s="94"/>
      <c r="AA6352" s="94"/>
      <c r="AB6352" s="94"/>
      <c r="AC6352" s="94"/>
      <c r="AD6352" s="94"/>
      <c r="AE6352" s="94"/>
      <c r="AF6352" s="94"/>
      <c r="AG6352" s="94"/>
      <c r="AH6352" s="94"/>
    </row>
    <row r="6353" ht="12.75" hidden="1" customHeight="1" outlineLevel="1">
      <c r="A6353" s="122">
        <v>42090.0</v>
      </c>
      <c r="B6353" s="32" t="s">
        <v>347</v>
      </c>
      <c r="C6353" s="32" t="s">
        <v>784</v>
      </c>
      <c r="D6353" s="708">
        <v>100.0</v>
      </c>
      <c r="E6353" s="195">
        <v>5.67</v>
      </c>
      <c r="F6353" s="709">
        <v>0.43851851851851853</v>
      </c>
      <c r="G6353" s="195" t="s">
        <v>453</v>
      </c>
      <c r="H6353" s="710">
        <v>1.01</v>
      </c>
      <c r="I6353" s="256"/>
      <c r="J6353" s="67">
        <f t="shared" si="389"/>
        <v>565.99</v>
      </c>
      <c r="L6353" s="70"/>
      <c r="M6353" s="934"/>
      <c r="N6353" s="94"/>
      <c r="O6353" s="94"/>
      <c r="P6353" s="94"/>
      <c r="Q6353" s="94"/>
      <c r="R6353" s="94"/>
      <c r="S6353" s="94"/>
      <c r="T6353" s="94"/>
      <c r="U6353" s="94"/>
      <c r="V6353" s="94"/>
      <c r="W6353" s="94"/>
      <c r="X6353" s="94"/>
      <c r="Y6353" s="94"/>
      <c r="Z6353" s="94"/>
      <c r="AA6353" s="94"/>
      <c r="AB6353" s="94"/>
      <c r="AC6353" s="94"/>
      <c r="AD6353" s="94"/>
      <c r="AE6353" s="94"/>
      <c r="AF6353" s="94"/>
      <c r="AG6353" s="94"/>
      <c r="AH6353" s="94"/>
    </row>
    <row r="6354" ht="12.75" hidden="1" customHeight="1" outlineLevel="1">
      <c r="A6354" s="122">
        <v>42090.0</v>
      </c>
      <c r="B6354" s="32" t="s">
        <v>347</v>
      </c>
      <c r="C6354" s="32" t="s">
        <v>784</v>
      </c>
      <c r="D6354" s="708">
        <v>100.0</v>
      </c>
      <c r="E6354" s="195">
        <v>5.67</v>
      </c>
      <c r="F6354" s="709">
        <v>0.43864583333333335</v>
      </c>
      <c r="G6354" s="195" t="s">
        <v>453</v>
      </c>
      <c r="H6354" s="710">
        <v>1.01</v>
      </c>
      <c r="I6354" s="256"/>
      <c r="J6354" s="67">
        <f t="shared" si="389"/>
        <v>565.99</v>
      </c>
      <c r="L6354" s="70"/>
      <c r="M6354" s="934"/>
      <c r="N6354" s="94"/>
      <c r="O6354" s="94"/>
      <c r="P6354" s="94"/>
      <c r="Q6354" s="94"/>
      <c r="R6354" s="94"/>
      <c r="S6354" s="94"/>
      <c r="T6354" s="94"/>
      <c r="U6354" s="94"/>
      <c r="V6354" s="94"/>
      <c r="W6354" s="94"/>
      <c r="X6354" s="94"/>
      <c r="Y6354" s="94"/>
      <c r="Z6354" s="94"/>
      <c r="AA6354" s="94"/>
      <c r="AB6354" s="94"/>
      <c r="AC6354" s="94"/>
      <c r="AD6354" s="94"/>
      <c r="AE6354" s="94"/>
      <c r="AF6354" s="94"/>
      <c r="AG6354" s="94"/>
      <c r="AH6354" s="94"/>
    </row>
    <row r="6355" ht="12.75" hidden="1" customHeight="1" outlineLevel="1">
      <c r="A6355" s="122">
        <v>42090.0</v>
      </c>
      <c r="B6355" s="32" t="s">
        <v>347</v>
      </c>
      <c r="C6355" s="32" t="s">
        <v>784</v>
      </c>
      <c r="D6355" s="708">
        <v>5800.0</v>
      </c>
      <c r="E6355" s="195">
        <v>5.67</v>
      </c>
      <c r="F6355" s="709">
        <v>0.4388310185185185</v>
      </c>
      <c r="G6355" s="195" t="s">
        <v>453</v>
      </c>
      <c r="H6355" s="710">
        <v>29.61</v>
      </c>
      <c r="I6355" s="256"/>
      <c r="J6355" s="67">
        <f t="shared" si="389"/>
        <v>32856.39</v>
      </c>
      <c r="L6355" s="70"/>
      <c r="M6355" s="934"/>
      <c r="N6355" s="94"/>
      <c r="O6355" s="94"/>
      <c r="P6355" s="94"/>
      <c r="Q6355" s="94"/>
      <c r="R6355" s="94"/>
      <c r="S6355" s="94"/>
      <c r="T6355" s="94"/>
      <c r="U6355" s="94"/>
      <c r="V6355" s="94"/>
      <c r="W6355" s="94"/>
      <c r="X6355" s="94"/>
      <c r="Y6355" s="94"/>
      <c r="Z6355" s="94"/>
      <c r="AA6355" s="94"/>
      <c r="AB6355" s="94"/>
      <c r="AC6355" s="94"/>
      <c r="AD6355" s="94"/>
      <c r="AE6355" s="94"/>
      <c r="AF6355" s="94"/>
      <c r="AG6355" s="94"/>
      <c r="AH6355" s="94"/>
    </row>
    <row r="6356" ht="12.75" hidden="1" customHeight="1" outlineLevel="1">
      <c r="A6356" s="122">
        <v>42090.0</v>
      </c>
      <c r="B6356" s="32" t="s">
        <v>347</v>
      </c>
      <c r="C6356" s="32" t="s">
        <v>790</v>
      </c>
      <c r="D6356" s="708">
        <v>4500.0</v>
      </c>
      <c r="E6356" s="195">
        <v>5.63</v>
      </c>
      <c r="F6356" s="709">
        <v>0.43894675925925924</v>
      </c>
      <c r="G6356" s="195" t="s">
        <v>453</v>
      </c>
      <c r="H6356" s="710">
        <v>22.97</v>
      </c>
      <c r="I6356" s="256"/>
      <c r="J6356" s="67">
        <f t="shared" si="389"/>
        <v>25312.03</v>
      </c>
      <c r="L6356" s="70"/>
      <c r="M6356" s="934"/>
      <c r="N6356" s="94"/>
      <c r="O6356" s="94"/>
      <c r="P6356" s="94"/>
      <c r="Q6356" s="94"/>
      <c r="R6356" s="94"/>
      <c r="S6356" s="94"/>
      <c r="T6356" s="94"/>
      <c r="U6356" s="94"/>
      <c r="V6356" s="94"/>
      <c r="W6356" s="94"/>
      <c r="X6356" s="94"/>
      <c r="Y6356" s="94"/>
      <c r="Z6356" s="94"/>
      <c r="AA6356" s="94"/>
      <c r="AB6356" s="94"/>
      <c r="AC6356" s="94"/>
      <c r="AD6356" s="94"/>
      <c r="AE6356" s="94"/>
      <c r="AF6356" s="94"/>
      <c r="AG6356" s="94"/>
      <c r="AH6356" s="94"/>
    </row>
    <row r="6357" ht="12.75" hidden="1" customHeight="1" outlineLevel="1">
      <c r="A6357" s="122">
        <v>42090.0</v>
      </c>
      <c r="B6357" s="32" t="s">
        <v>347</v>
      </c>
      <c r="C6357" s="32" t="s">
        <v>2048</v>
      </c>
      <c r="D6357" s="708">
        <v>2000.0</v>
      </c>
      <c r="E6357" s="195">
        <v>9.621</v>
      </c>
      <c r="F6357" s="709">
        <v>0.4391087962962963</v>
      </c>
      <c r="G6357" s="195" t="s">
        <v>453</v>
      </c>
      <c r="H6357" s="710">
        <v>8.35</v>
      </c>
      <c r="I6357" s="256"/>
      <c r="J6357" s="67">
        <f t="shared" si="389"/>
        <v>19233.65</v>
      </c>
      <c r="L6357" s="70"/>
      <c r="M6357" s="934"/>
      <c r="N6357" s="94"/>
      <c r="O6357" s="94"/>
      <c r="P6357" s="94"/>
      <c r="Q6357" s="94"/>
      <c r="R6357" s="94"/>
      <c r="S6357" s="94"/>
      <c r="T6357" s="94"/>
      <c r="U6357" s="94"/>
      <c r="V6357" s="94"/>
      <c r="W6357" s="94"/>
      <c r="X6357" s="94"/>
      <c r="Y6357" s="94"/>
      <c r="Z6357" s="94"/>
      <c r="AA6357" s="94"/>
      <c r="AB6357" s="94"/>
      <c r="AC6357" s="94"/>
      <c r="AD6357" s="94"/>
      <c r="AE6357" s="94"/>
      <c r="AF6357" s="94"/>
      <c r="AG6357" s="94"/>
      <c r="AH6357" s="94"/>
    </row>
    <row r="6358" ht="12.75" hidden="1" customHeight="1" outlineLevel="1">
      <c r="A6358" s="122">
        <v>42090.0</v>
      </c>
      <c r="B6358" s="32" t="s">
        <v>347</v>
      </c>
      <c r="C6358" s="32" t="s">
        <v>369</v>
      </c>
      <c r="D6358" s="708">
        <v>1500.0</v>
      </c>
      <c r="E6358" s="195">
        <v>4.841</v>
      </c>
      <c r="F6358" s="709">
        <v>0.4393287037037037</v>
      </c>
      <c r="G6358" s="195" t="s">
        <v>453</v>
      </c>
      <c r="H6358" s="710">
        <v>7.63</v>
      </c>
      <c r="I6358" s="256"/>
      <c r="J6358" s="67">
        <f t="shared" si="389"/>
        <v>7253.87</v>
      </c>
      <c r="L6358" s="70"/>
      <c r="M6358" s="934"/>
      <c r="N6358" s="94"/>
      <c r="O6358" s="94"/>
      <c r="P6358" s="94"/>
      <c r="Q6358" s="94"/>
      <c r="R6358" s="94"/>
      <c r="S6358" s="94"/>
      <c r="T6358" s="94"/>
      <c r="U6358" s="94"/>
      <c r="V6358" s="94"/>
      <c r="W6358" s="94"/>
      <c r="X6358" s="94"/>
      <c r="Y6358" s="94"/>
      <c r="Z6358" s="94"/>
      <c r="AA6358" s="94"/>
      <c r="AB6358" s="94"/>
      <c r="AC6358" s="94"/>
      <c r="AD6358" s="94"/>
      <c r="AE6358" s="94"/>
      <c r="AF6358" s="94"/>
      <c r="AG6358" s="94"/>
      <c r="AH6358" s="94"/>
    </row>
    <row r="6359" ht="12.75" hidden="1" customHeight="1" outlineLevel="1">
      <c r="A6359" s="122">
        <v>42090.0</v>
      </c>
      <c r="B6359" s="32" t="s">
        <v>343</v>
      </c>
      <c r="C6359" s="32" t="s">
        <v>2157</v>
      </c>
      <c r="D6359" s="708">
        <v>100.0</v>
      </c>
      <c r="E6359" s="195">
        <v>93.04</v>
      </c>
      <c r="F6359" s="709">
        <v>0.4734027777777778</v>
      </c>
      <c r="G6359" s="195" t="s">
        <v>453</v>
      </c>
      <c r="H6359" s="710">
        <v>1.0</v>
      </c>
      <c r="I6359" s="256"/>
      <c r="J6359" s="67">
        <f t="shared" si="389"/>
        <v>-9305</v>
      </c>
      <c r="L6359" s="70"/>
      <c r="M6359" s="934"/>
      <c r="N6359" s="94"/>
      <c r="O6359" s="94"/>
      <c r="P6359" s="94"/>
      <c r="Q6359" s="94"/>
      <c r="R6359" s="94"/>
      <c r="S6359" s="94"/>
      <c r="T6359" s="94"/>
      <c r="U6359" s="94"/>
      <c r="V6359" s="94"/>
      <c r="W6359" s="94"/>
      <c r="X6359" s="94"/>
      <c r="Y6359" s="94"/>
      <c r="Z6359" s="94"/>
      <c r="AA6359" s="94"/>
      <c r="AB6359" s="94"/>
      <c r="AC6359" s="94"/>
      <c r="AD6359" s="94"/>
      <c r="AE6359" s="94"/>
      <c r="AF6359" s="94"/>
      <c r="AG6359" s="94"/>
      <c r="AH6359" s="94"/>
    </row>
    <row r="6360" ht="12.75" hidden="1" customHeight="1" outlineLevel="1">
      <c r="A6360" s="122">
        <v>42093.0</v>
      </c>
      <c r="B6360" s="32" t="s">
        <v>343</v>
      </c>
      <c r="C6360" s="32" t="s">
        <v>784</v>
      </c>
      <c r="D6360" s="708">
        <v>10000.0</v>
      </c>
      <c r="E6360" s="195">
        <v>5.78</v>
      </c>
      <c r="F6360" s="709">
        <v>0.5982407407407407</v>
      </c>
      <c r="G6360" s="195" t="s">
        <v>453</v>
      </c>
      <c r="H6360" s="710">
        <v>48.0</v>
      </c>
      <c r="I6360" s="256"/>
      <c r="J6360" s="67">
        <f t="shared" si="389"/>
        <v>-57848</v>
      </c>
      <c r="L6360" s="70"/>
      <c r="M6360" s="934"/>
      <c r="N6360" s="94"/>
      <c r="O6360" s="94"/>
      <c r="P6360" s="94"/>
      <c r="Q6360" s="94"/>
      <c r="R6360" s="94"/>
      <c r="S6360" s="94"/>
      <c r="T6360" s="94"/>
      <c r="U6360" s="94"/>
      <c r="V6360" s="94"/>
      <c r="W6360" s="94"/>
      <c r="X6360" s="94"/>
      <c r="Y6360" s="94"/>
      <c r="Z6360" s="94"/>
      <c r="AA6360" s="94"/>
      <c r="AB6360" s="94"/>
      <c r="AC6360" s="94"/>
      <c r="AD6360" s="94"/>
      <c r="AE6360" s="94"/>
      <c r="AF6360" s="94"/>
      <c r="AG6360" s="94"/>
      <c r="AH6360" s="94"/>
    </row>
    <row r="6361" ht="12.75" hidden="1" customHeight="1" outlineLevel="1">
      <c r="A6361" s="122">
        <v>42093.0</v>
      </c>
      <c r="B6361" s="32" t="s">
        <v>343</v>
      </c>
      <c r="C6361" s="32" t="s">
        <v>790</v>
      </c>
      <c r="D6361" s="708">
        <v>10000.0</v>
      </c>
      <c r="E6361" s="195">
        <v>5.95</v>
      </c>
      <c r="F6361" s="709">
        <v>0.5984375</v>
      </c>
      <c r="G6361" s="195" t="s">
        <v>453</v>
      </c>
      <c r="H6361" s="710">
        <v>46.6</v>
      </c>
      <c r="I6361" s="256"/>
      <c r="J6361" s="67">
        <f t="shared" si="389"/>
        <v>-59546.6</v>
      </c>
      <c r="L6361" s="70"/>
      <c r="M6361" s="934"/>
      <c r="N6361" s="94"/>
      <c r="O6361" s="94"/>
      <c r="P6361" s="94"/>
      <c r="Q6361" s="94"/>
      <c r="R6361" s="94"/>
      <c r="S6361" s="94"/>
      <c r="T6361" s="94"/>
      <c r="U6361" s="94"/>
      <c r="V6361" s="94"/>
      <c r="W6361" s="94"/>
      <c r="X6361" s="94"/>
      <c r="Y6361" s="94"/>
      <c r="Z6361" s="94"/>
      <c r="AA6361" s="94"/>
      <c r="AB6361" s="94"/>
      <c r="AC6361" s="94"/>
      <c r="AD6361" s="94"/>
      <c r="AE6361" s="94"/>
      <c r="AF6361" s="94"/>
      <c r="AG6361" s="94"/>
      <c r="AH6361" s="94"/>
    </row>
    <row r="6362" ht="12.75" hidden="1" customHeight="1" outlineLevel="1">
      <c r="A6362" s="122">
        <v>42093.0</v>
      </c>
      <c r="B6362" s="32" t="s">
        <v>343</v>
      </c>
      <c r="C6362" s="32" t="s">
        <v>2048</v>
      </c>
      <c r="D6362" s="708">
        <v>4500.0</v>
      </c>
      <c r="E6362" s="195">
        <v>9.51</v>
      </c>
      <c r="F6362" s="709">
        <v>0.598738425925926</v>
      </c>
      <c r="G6362" s="195" t="s">
        <v>453</v>
      </c>
      <c r="H6362" s="710">
        <v>22.5</v>
      </c>
      <c r="I6362" s="256"/>
      <c r="J6362" s="67">
        <f t="shared" si="389"/>
        <v>-42817.5</v>
      </c>
      <c r="L6362" s="70"/>
      <c r="M6362" s="934"/>
      <c r="N6362" s="94"/>
      <c r="O6362" s="94"/>
      <c r="P6362" s="94"/>
      <c r="Q6362" s="94"/>
      <c r="R6362" s="94"/>
      <c r="S6362" s="94"/>
      <c r="T6362" s="94"/>
      <c r="U6362" s="94"/>
      <c r="V6362" s="94"/>
      <c r="W6362" s="94"/>
      <c r="X6362" s="94"/>
      <c r="Y6362" s="94"/>
      <c r="Z6362" s="94"/>
      <c r="AA6362" s="94"/>
      <c r="AB6362" s="94"/>
      <c r="AC6362" s="94"/>
      <c r="AD6362" s="94"/>
      <c r="AE6362" s="94"/>
      <c r="AF6362" s="94"/>
      <c r="AG6362" s="94"/>
      <c r="AH6362" s="94"/>
    </row>
    <row r="6363" ht="12.75" hidden="1" customHeight="1" outlineLevel="1">
      <c r="A6363" s="122">
        <v>42093.0</v>
      </c>
      <c r="B6363" s="32" t="s">
        <v>343</v>
      </c>
      <c r="C6363" s="32" t="s">
        <v>369</v>
      </c>
      <c r="D6363" s="708">
        <v>4000.0</v>
      </c>
      <c r="E6363" s="195">
        <v>4.94</v>
      </c>
      <c r="F6363" s="709">
        <v>0.5995254629629629</v>
      </c>
      <c r="G6363" s="195" t="s">
        <v>453</v>
      </c>
      <c r="H6363" s="710">
        <v>17.5</v>
      </c>
      <c r="I6363" s="256"/>
      <c r="J6363" s="67">
        <f t="shared" si="389"/>
        <v>-19777.5</v>
      </c>
      <c r="L6363" s="70"/>
      <c r="M6363" s="934"/>
      <c r="N6363" s="94"/>
      <c r="O6363" s="94"/>
      <c r="P6363" s="94"/>
      <c r="Q6363" s="94"/>
      <c r="R6363" s="94"/>
      <c r="S6363" s="94"/>
      <c r="T6363" s="94"/>
      <c r="U6363" s="94"/>
      <c r="V6363" s="94"/>
      <c r="W6363" s="94"/>
      <c r="X6363" s="94"/>
      <c r="Y6363" s="94"/>
      <c r="Z6363" s="94"/>
      <c r="AA6363" s="94"/>
      <c r="AB6363" s="94"/>
      <c r="AC6363" s="94"/>
      <c r="AD6363" s="94"/>
      <c r="AE6363" s="94"/>
      <c r="AF6363" s="94"/>
      <c r="AG6363" s="94"/>
      <c r="AH6363" s="94"/>
    </row>
    <row r="6364" ht="12.75" hidden="1" customHeight="1" outlineLevel="1">
      <c r="A6364" s="122">
        <v>42093.0</v>
      </c>
      <c r="B6364" s="32" t="s">
        <v>343</v>
      </c>
      <c r="C6364" s="32" t="s">
        <v>784</v>
      </c>
      <c r="D6364" s="708">
        <v>6000.0</v>
      </c>
      <c r="E6364" s="195">
        <v>5.78</v>
      </c>
      <c r="F6364" s="709">
        <v>0.6000578703703704</v>
      </c>
      <c r="G6364" s="195" t="s">
        <v>453</v>
      </c>
      <c r="H6364" s="710">
        <v>28.0</v>
      </c>
      <c r="I6364" s="256"/>
      <c r="J6364" s="67">
        <f t="shared" si="389"/>
        <v>-34708</v>
      </c>
      <c r="L6364" s="70"/>
      <c r="M6364" s="934"/>
      <c r="N6364" s="94"/>
      <c r="O6364" s="94"/>
      <c r="P6364" s="94"/>
      <c r="Q6364" s="94"/>
      <c r="R6364" s="94"/>
      <c r="S6364" s="94"/>
      <c r="T6364" s="94"/>
      <c r="U6364" s="94"/>
      <c r="V6364" s="94"/>
      <c r="W6364" s="94"/>
      <c r="X6364" s="94"/>
      <c r="Y6364" s="94"/>
      <c r="Z6364" s="94"/>
      <c r="AA6364" s="94"/>
      <c r="AB6364" s="94"/>
      <c r="AC6364" s="94"/>
      <c r="AD6364" s="94"/>
      <c r="AE6364" s="94"/>
      <c r="AF6364" s="94"/>
      <c r="AG6364" s="94"/>
      <c r="AH6364" s="94"/>
    </row>
    <row r="6365" ht="12.75" hidden="1" customHeight="1" outlineLevel="1">
      <c r="A6365" s="122">
        <v>42093.0</v>
      </c>
      <c r="B6365" s="32" t="s">
        <v>343</v>
      </c>
      <c r="C6365" s="32" t="s">
        <v>790</v>
      </c>
      <c r="D6365" s="708">
        <v>2500.0</v>
      </c>
      <c r="E6365" s="195">
        <v>5.949</v>
      </c>
      <c r="F6365" s="709">
        <v>0.6002777777777778</v>
      </c>
      <c r="G6365" s="195" t="s">
        <v>453</v>
      </c>
      <c r="H6365" s="710">
        <v>12.5</v>
      </c>
      <c r="I6365" s="256"/>
      <c r="J6365" s="67">
        <f t="shared" si="389"/>
        <v>-14885</v>
      </c>
      <c r="L6365" s="70"/>
      <c r="M6365" s="934"/>
      <c r="N6365" s="94"/>
      <c r="O6365" s="94"/>
      <c r="P6365" s="94"/>
      <c r="Q6365" s="94"/>
      <c r="R6365" s="94"/>
      <c r="S6365" s="94"/>
      <c r="T6365" s="94"/>
      <c r="U6365" s="94"/>
      <c r="V6365" s="94"/>
      <c r="W6365" s="94"/>
      <c r="X6365" s="94"/>
      <c r="Y6365" s="94"/>
      <c r="Z6365" s="94"/>
      <c r="AA6365" s="94"/>
      <c r="AB6365" s="94"/>
      <c r="AC6365" s="94"/>
      <c r="AD6365" s="94"/>
      <c r="AE6365" s="94"/>
      <c r="AF6365" s="94"/>
      <c r="AG6365" s="94"/>
      <c r="AH6365" s="94"/>
    </row>
    <row r="6366" ht="12.75" hidden="1" customHeight="1" outlineLevel="1">
      <c r="A6366" s="122">
        <v>42093.0</v>
      </c>
      <c r="B6366" s="32" t="s">
        <v>343</v>
      </c>
      <c r="C6366" s="32" t="s">
        <v>2048</v>
      </c>
      <c r="D6366" s="708">
        <v>1000.0</v>
      </c>
      <c r="E6366" s="195">
        <v>9.51</v>
      </c>
      <c r="F6366" s="709">
        <v>0.6009722222222222</v>
      </c>
      <c r="G6366" s="195" t="s">
        <v>453</v>
      </c>
      <c r="H6366" s="710">
        <v>5.0</v>
      </c>
      <c r="I6366" s="256"/>
      <c r="J6366" s="67">
        <f t="shared" si="389"/>
        <v>-9515</v>
      </c>
      <c r="L6366" s="70"/>
      <c r="M6366" s="934"/>
      <c r="N6366" s="94"/>
      <c r="O6366" s="94"/>
      <c r="P6366" s="94"/>
      <c r="Q6366" s="94"/>
      <c r="R6366" s="94"/>
      <c r="S6366" s="94"/>
      <c r="T6366" s="94"/>
      <c r="U6366" s="94"/>
      <c r="V6366" s="94"/>
      <c r="W6366" s="94"/>
      <c r="X6366" s="94"/>
      <c r="Y6366" s="94"/>
      <c r="Z6366" s="94"/>
      <c r="AA6366" s="94"/>
      <c r="AB6366" s="94"/>
      <c r="AC6366" s="94"/>
      <c r="AD6366" s="94"/>
      <c r="AE6366" s="94"/>
      <c r="AF6366" s="94"/>
      <c r="AG6366" s="94"/>
      <c r="AH6366" s="94"/>
    </row>
    <row r="6367" ht="12.75" hidden="1" customHeight="1" outlineLevel="1">
      <c r="A6367" s="122">
        <v>42093.0</v>
      </c>
      <c r="B6367" s="32" t="s">
        <v>343</v>
      </c>
      <c r="C6367" s="32" t="s">
        <v>369</v>
      </c>
      <c r="D6367" s="708">
        <v>1500.0</v>
      </c>
      <c r="E6367" s="195">
        <v>4.929</v>
      </c>
      <c r="F6367" s="709">
        <v>0.6023148148148149</v>
      </c>
      <c r="G6367" s="195" t="s">
        <v>453</v>
      </c>
      <c r="H6367" s="710">
        <v>6.3</v>
      </c>
      <c r="I6367" s="256"/>
      <c r="J6367" s="67">
        <f t="shared" si="389"/>
        <v>-7399.8</v>
      </c>
      <c r="L6367" s="70"/>
      <c r="M6367" s="934"/>
      <c r="N6367" s="94"/>
      <c r="O6367" s="94"/>
      <c r="P6367" s="94"/>
      <c r="Q6367" s="94"/>
      <c r="R6367" s="94"/>
      <c r="S6367" s="94"/>
      <c r="T6367" s="94"/>
      <c r="U6367" s="94"/>
      <c r="V6367" s="94"/>
      <c r="W6367" s="94"/>
      <c r="X6367" s="94"/>
      <c r="Y6367" s="94"/>
      <c r="Z6367" s="94"/>
      <c r="AA6367" s="94"/>
      <c r="AB6367" s="94"/>
      <c r="AC6367" s="94"/>
      <c r="AD6367" s="94"/>
      <c r="AE6367" s="94"/>
      <c r="AF6367" s="94"/>
      <c r="AG6367" s="94"/>
      <c r="AH6367" s="94"/>
    </row>
    <row r="6368" ht="12.75" hidden="1" customHeight="1" outlineLevel="1">
      <c r="A6368" s="122">
        <v>42093.0</v>
      </c>
      <c r="B6368" s="32" t="s">
        <v>343</v>
      </c>
      <c r="C6368" s="32" t="s">
        <v>784</v>
      </c>
      <c r="D6368" s="708">
        <v>1000.0</v>
      </c>
      <c r="E6368" s="195">
        <v>5.75</v>
      </c>
      <c r="F6368" s="709">
        <v>0.6084606481481482</v>
      </c>
      <c r="G6368" s="195" t="s">
        <v>453</v>
      </c>
      <c r="H6368" s="710">
        <v>5.0</v>
      </c>
      <c r="I6368" s="256"/>
      <c r="J6368" s="67">
        <f t="shared" si="389"/>
        <v>-5755</v>
      </c>
      <c r="L6368" s="70"/>
      <c r="M6368" s="934"/>
      <c r="N6368" s="94"/>
      <c r="O6368" s="94"/>
      <c r="P6368" s="94"/>
      <c r="Q6368" s="94"/>
      <c r="R6368" s="94"/>
      <c r="S6368" s="94"/>
      <c r="T6368" s="94"/>
      <c r="U6368" s="94"/>
      <c r="V6368" s="94"/>
      <c r="W6368" s="94"/>
      <c r="X6368" s="94"/>
      <c r="Y6368" s="94"/>
      <c r="Z6368" s="94"/>
      <c r="AA6368" s="94"/>
      <c r="AB6368" s="94"/>
      <c r="AC6368" s="94"/>
      <c r="AD6368" s="94"/>
      <c r="AE6368" s="94"/>
      <c r="AF6368" s="94"/>
      <c r="AG6368" s="94"/>
      <c r="AH6368" s="94"/>
    </row>
    <row r="6369" ht="12.75" hidden="1" customHeight="1" outlineLevel="1">
      <c r="A6369" s="122">
        <v>42093.0</v>
      </c>
      <c r="B6369" s="32" t="s">
        <v>343</v>
      </c>
      <c r="C6369" s="32" t="s">
        <v>784</v>
      </c>
      <c r="D6369" s="708">
        <v>1500.0</v>
      </c>
      <c r="E6369" s="195">
        <v>5.79</v>
      </c>
      <c r="F6369" s="709">
        <v>0.6137615740740741</v>
      </c>
      <c r="G6369" s="195" t="s">
        <v>453</v>
      </c>
      <c r="H6369" s="710">
        <v>7.2</v>
      </c>
      <c r="I6369" s="256"/>
      <c r="J6369" s="67">
        <f t="shared" si="389"/>
        <v>-8692.2</v>
      </c>
      <c r="L6369" s="70"/>
      <c r="M6369" s="934"/>
      <c r="N6369" s="94"/>
      <c r="O6369" s="94"/>
      <c r="P6369" s="94"/>
      <c r="Q6369" s="94"/>
      <c r="R6369" s="94"/>
      <c r="S6369" s="94"/>
      <c r="T6369" s="94"/>
      <c r="U6369" s="94"/>
      <c r="V6369" s="94"/>
      <c r="W6369" s="94"/>
      <c r="X6369" s="94"/>
      <c r="Y6369" s="94"/>
      <c r="Z6369" s="94"/>
      <c r="AA6369" s="94"/>
      <c r="AB6369" s="94"/>
      <c r="AC6369" s="94"/>
      <c r="AD6369" s="94"/>
      <c r="AE6369" s="94"/>
      <c r="AF6369" s="94"/>
      <c r="AG6369" s="94"/>
      <c r="AH6369" s="94"/>
    </row>
    <row r="6370" ht="12.75" hidden="1" customHeight="1" outlineLevel="1">
      <c r="A6370" s="122">
        <v>42093.0</v>
      </c>
      <c r="B6370" s="32" t="s">
        <v>343</v>
      </c>
      <c r="C6370" s="32" t="s">
        <v>2048</v>
      </c>
      <c r="D6370" s="708">
        <v>500.0</v>
      </c>
      <c r="E6370" s="195">
        <v>9.65</v>
      </c>
      <c r="F6370" s="709">
        <v>0.6140740740740741</v>
      </c>
      <c r="G6370" s="195" t="s">
        <v>453</v>
      </c>
      <c r="H6370" s="710">
        <v>2.5</v>
      </c>
      <c r="I6370" s="256"/>
      <c r="J6370" s="67">
        <f t="shared" si="389"/>
        <v>-4827.5</v>
      </c>
      <c r="L6370" s="70"/>
      <c r="M6370" s="934"/>
      <c r="N6370" s="94"/>
      <c r="O6370" s="94"/>
      <c r="P6370" s="94"/>
      <c r="Q6370" s="94"/>
      <c r="R6370" s="94"/>
      <c r="S6370" s="94"/>
      <c r="T6370" s="94"/>
      <c r="U6370" s="94"/>
      <c r="V6370" s="94"/>
      <c r="W6370" s="94"/>
      <c r="X6370" s="94"/>
      <c r="Y6370" s="94"/>
      <c r="Z6370" s="94"/>
      <c r="AA6370" s="94"/>
      <c r="AB6370" s="94"/>
      <c r="AC6370" s="94"/>
      <c r="AD6370" s="94"/>
      <c r="AE6370" s="94"/>
      <c r="AF6370" s="94"/>
      <c r="AG6370" s="94"/>
      <c r="AH6370" s="94"/>
    </row>
    <row r="6371" ht="12.75" hidden="1" customHeight="1" outlineLevel="1">
      <c r="A6371" s="122">
        <v>42093.0</v>
      </c>
      <c r="B6371" s="32" t="s">
        <v>343</v>
      </c>
      <c r="C6371" s="32" t="s">
        <v>790</v>
      </c>
      <c r="D6371" s="708">
        <v>750.0</v>
      </c>
      <c r="E6371" s="195">
        <v>5.946</v>
      </c>
      <c r="F6371" s="709">
        <v>0.6143287037037037</v>
      </c>
      <c r="G6371" s="195" t="s">
        <v>453</v>
      </c>
      <c r="H6371" s="710">
        <v>3.75</v>
      </c>
      <c r="I6371" s="256"/>
      <c r="J6371" s="67">
        <f t="shared" si="389"/>
        <v>-4463.25</v>
      </c>
      <c r="L6371" s="70"/>
      <c r="M6371" s="934"/>
      <c r="N6371" s="94"/>
      <c r="O6371" s="94"/>
      <c r="P6371" s="94"/>
      <c r="Q6371" s="94"/>
      <c r="R6371" s="94"/>
      <c r="S6371" s="94"/>
      <c r="T6371" s="94"/>
      <c r="U6371" s="94"/>
      <c r="V6371" s="94"/>
      <c r="W6371" s="94"/>
      <c r="X6371" s="94"/>
      <c r="Y6371" s="94"/>
      <c r="Z6371" s="94"/>
      <c r="AA6371" s="94"/>
      <c r="AB6371" s="94"/>
      <c r="AC6371" s="94"/>
      <c r="AD6371" s="94"/>
      <c r="AE6371" s="94"/>
      <c r="AF6371" s="94"/>
      <c r="AG6371" s="94"/>
      <c r="AH6371" s="94"/>
    </row>
    <row r="6372" ht="12.75" hidden="1" customHeight="1" outlineLevel="1">
      <c r="A6372" s="122">
        <v>42093.0</v>
      </c>
      <c r="B6372" s="32" t="s">
        <v>343</v>
      </c>
      <c r="C6372" s="32" t="s">
        <v>369</v>
      </c>
      <c r="D6372" s="708">
        <v>750.0</v>
      </c>
      <c r="E6372" s="195">
        <v>4.94</v>
      </c>
      <c r="F6372" s="709">
        <v>0.6146990740740741</v>
      </c>
      <c r="G6372" s="195" t="s">
        <v>453</v>
      </c>
      <c r="H6372" s="710">
        <v>3.75</v>
      </c>
      <c r="I6372" s="256"/>
      <c r="J6372" s="67">
        <f t="shared" si="389"/>
        <v>-3708.75</v>
      </c>
      <c r="L6372" s="70"/>
      <c r="M6372" s="934"/>
      <c r="N6372" s="94"/>
      <c r="O6372" s="94"/>
      <c r="P6372" s="94"/>
      <c r="Q6372" s="94"/>
      <c r="R6372" s="94"/>
      <c r="S6372" s="94"/>
      <c r="T6372" s="94"/>
      <c r="U6372" s="94"/>
      <c r="V6372" s="94"/>
      <c r="W6372" s="94"/>
      <c r="X6372" s="94"/>
      <c r="Y6372" s="94"/>
      <c r="Z6372" s="94"/>
      <c r="AA6372" s="94"/>
      <c r="AB6372" s="94"/>
      <c r="AC6372" s="94"/>
      <c r="AD6372" s="94"/>
      <c r="AE6372" s="94"/>
      <c r="AF6372" s="94"/>
      <c r="AG6372" s="94"/>
      <c r="AH6372" s="94"/>
    </row>
    <row r="6373" ht="12.75" hidden="1" customHeight="1" outlineLevel="1">
      <c r="A6373" s="122">
        <v>42094.0</v>
      </c>
      <c r="B6373" s="32" t="s">
        <v>347</v>
      </c>
      <c r="C6373" s="32" t="s">
        <v>369</v>
      </c>
      <c r="D6373" s="708">
        <v>1250.0</v>
      </c>
      <c r="E6373" s="195">
        <v>4.83</v>
      </c>
      <c r="F6373" s="709">
        <v>0.39980324074074075</v>
      </c>
      <c r="G6373" s="195" t="s">
        <v>453</v>
      </c>
      <c r="H6373" s="710">
        <v>5.11</v>
      </c>
      <c r="I6373" s="256"/>
      <c r="J6373" s="67">
        <f t="shared" si="389"/>
        <v>6032.39</v>
      </c>
      <c r="L6373" s="70"/>
      <c r="M6373" s="934"/>
      <c r="N6373" s="94"/>
      <c r="O6373" s="94"/>
      <c r="P6373" s="94"/>
      <c r="Q6373" s="94"/>
      <c r="R6373" s="94"/>
      <c r="S6373" s="94"/>
      <c r="T6373" s="94"/>
      <c r="U6373" s="94"/>
      <c r="V6373" s="94"/>
      <c r="W6373" s="94"/>
      <c r="X6373" s="94"/>
      <c r="Y6373" s="94"/>
      <c r="Z6373" s="94"/>
      <c r="AA6373" s="94"/>
      <c r="AB6373" s="94"/>
      <c r="AC6373" s="94"/>
      <c r="AD6373" s="94"/>
      <c r="AE6373" s="94"/>
      <c r="AF6373" s="94"/>
      <c r="AG6373" s="94"/>
      <c r="AH6373" s="94"/>
    </row>
    <row r="6374" ht="12.75" hidden="1" customHeight="1" outlineLevel="1">
      <c r="A6374" s="122">
        <v>42094.0</v>
      </c>
      <c r="B6374" s="32" t="s">
        <v>347</v>
      </c>
      <c r="C6374" s="32" t="s">
        <v>784</v>
      </c>
      <c r="D6374" s="708">
        <v>6000.0</v>
      </c>
      <c r="E6374" s="195">
        <v>5.651</v>
      </c>
      <c r="F6374" s="709">
        <v>0.4011689814814815</v>
      </c>
      <c r="G6374" s="195" t="s">
        <v>453</v>
      </c>
      <c r="H6374" s="710">
        <v>27.42</v>
      </c>
      <c r="I6374" s="256"/>
      <c r="J6374" s="67">
        <f t="shared" si="389"/>
        <v>33878.58</v>
      </c>
      <c r="L6374" s="70"/>
      <c r="M6374" s="934"/>
      <c r="N6374" s="94"/>
      <c r="O6374" s="94"/>
      <c r="P6374" s="94"/>
      <c r="Q6374" s="94"/>
      <c r="R6374" s="94"/>
      <c r="S6374" s="94"/>
      <c r="T6374" s="94"/>
      <c r="U6374" s="94"/>
      <c r="V6374" s="94"/>
      <c r="W6374" s="94"/>
      <c r="X6374" s="94"/>
      <c r="Y6374" s="94"/>
      <c r="Z6374" s="94"/>
      <c r="AA6374" s="94"/>
      <c r="AB6374" s="94"/>
      <c r="AC6374" s="94"/>
      <c r="AD6374" s="94"/>
      <c r="AE6374" s="94"/>
      <c r="AF6374" s="94"/>
      <c r="AG6374" s="94"/>
      <c r="AH6374" s="94"/>
    </row>
    <row r="6375" ht="12.75" hidden="1" customHeight="1" outlineLevel="1">
      <c r="A6375" s="122">
        <v>42094.0</v>
      </c>
      <c r="B6375" s="32" t="s">
        <v>347</v>
      </c>
      <c r="C6375" s="32" t="s">
        <v>2048</v>
      </c>
      <c r="D6375" s="708">
        <v>2500.0</v>
      </c>
      <c r="E6375" s="195">
        <v>9.36</v>
      </c>
      <c r="F6375" s="709">
        <v>0.4015625</v>
      </c>
      <c r="G6375" s="195" t="s">
        <v>453</v>
      </c>
      <c r="H6375" s="710">
        <v>12.93</v>
      </c>
      <c r="I6375" s="256"/>
      <c r="J6375" s="67">
        <f t="shared" si="389"/>
        <v>23387.07</v>
      </c>
      <c r="L6375" s="70"/>
      <c r="M6375" s="934"/>
      <c r="N6375" s="94"/>
      <c r="O6375" s="94"/>
      <c r="P6375" s="94"/>
      <c r="Q6375" s="94"/>
      <c r="R6375" s="94"/>
      <c r="S6375" s="94"/>
      <c r="T6375" s="94"/>
      <c r="U6375" s="94"/>
      <c r="V6375" s="94"/>
      <c r="W6375" s="94"/>
      <c r="X6375" s="94"/>
      <c r="Y6375" s="94"/>
      <c r="Z6375" s="94"/>
      <c r="AA6375" s="94"/>
      <c r="AB6375" s="94"/>
      <c r="AC6375" s="94"/>
      <c r="AD6375" s="94"/>
      <c r="AE6375" s="94"/>
      <c r="AF6375" s="94"/>
      <c r="AG6375" s="94"/>
      <c r="AH6375" s="94"/>
    </row>
    <row r="6376" ht="12.75" hidden="1" customHeight="1" outlineLevel="1">
      <c r="A6376" s="122">
        <v>42094.0</v>
      </c>
      <c r="B6376" s="32" t="s">
        <v>347</v>
      </c>
      <c r="C6376" s="32" t="s">
        <v>790</v>
      </c>
      <c r="D6376" s="708">
        <v>4000.0</v>
      </c>
      <c r="E6376" s="195">
        <v>5.89</v>
      </c>
      <c r="F6376" s="709">
        <v>0.4026388888888889</v>
      </c>
      <c r="G6376" s="195" t="s">
        <v>453</v>
      </c>
      <c r="H6376" s="710">
        <v>18.03</v>
      </c>
      <c r="I6376" s="256"/>
      <c r="J6376" s="67">
        <f t="shared" si="389"/>
        <v>23541.97</v>
      </c>
      <c r="L6376" s="70"/>
      <c r="M6376" s="934"/>
      <c r="N6376" s="94"/>
      <c r="O6376" s="94"/>
      <c r="P6376" s="94"/>
      <c r="Q6376" s="94"/>
      <c r="R6376" s="94"/>
      <c r="S6376" s="94"/>
      <c r="T6376" s="94"/>
      <c r="U6376" s="94"/>
      <c r="V6376" s="94"/>
      <c r="W6376" s="94"/>
      <c r="X6376" s="94"/>
      <c r="Y6376" s="94"/>
      <c r="Z6376" s="94"/>
      <c r="AA6376" s="94"/>
      <c r="AB6376" s="94"/>
      <c r="AC6376" s="94"/>
      <c r="AD6376" s="94"/>
      <c r="AE6376" s="94"/>
      <c r="AF6376" s="94"/>
      <c r="AG6376" s="94"/>
      <c r="AH6376" s="94"/>
    </row>
    <row r="6377" ht="12.75" hidden="1" customHeight="1" outlineLevel="1">
      <c r="A6377" s="122">
        <v>42094.0</v>
      </c>
      <c r="B6377" s="32" t="s">
        <v>347</v>
      </c>
      <c r="C6377" s="32" t="s">
        <v>369</v>
      </c>
      <c r="D6377" s="708">
        <v>2000.0</v>
      </c>
      <c r="E6377" s="195">
        <v>4.761</v>
      </c>
      <c r="F6377" s="709">
        <v>0.40319444444444447</v>
      </c>
      <c r="G6377" s="195" t="s">
        <v>453</v>
      </c>
      <c r="H6377" s="710">
        <v>8.18</v>
      </c>
      <c r="I6377" s="256"/>
      <c r="J6377" s="67">
        <f t="shared" si="389"/>
        <v>9513.82</v>
      </c>
      <c r="L6377" s="70"/>
      <c r="M6377" s="934"/>
      <c r="N6377" s="94"/>
      <c r="O6377" s="94"/>
      <c r="P6377" s="94"/>
      <c r="Q6377" s="94"/>
      <c r="R6377" s="94"/>
      <c r="S6377" s="94"/>
      <c r="T6377" s="94"/>
      <c r="U6377" s="94"/>
      <c r="V6377" s="94"/>
      <c r="W6377" s="94"/>
      <c r="X6377" s="94"/>
      <c r="Y6377" s="94"/>
      <c r="Z6377" s="94"/>
      <c r="AA6377" s="94"/>
      <c r="AB6377" s="94"/>
      <c r="AC6377" s="94"/>
      <c r="AD6377" s="94"/>
      <c r="AE6377" s="94"/>
      <c r="AF6377" s="94"/>
      <c r="AG6377" s="94"/>
      <c r="AH6377" s="94"/>
    </row>
    <row r="6378" ht="12.75" hidden="1" customHeight="1" outlineLevel="1">
      <c r="A6378" s="122">
        <v>42094.0</v>
      </c>
      <c r="B6378" s="32" t="s">
        <v>347</v>
      </c>
      <c r="C6378" s="32" t="s">
        <v>784</v>
      </c>
      <c r="D6378" s="708">
        <v>12500.0</v>
      </c>
      <c r="E6378" s="195">
        <v>5.64</v>
      </c>
      <c r="F6378" s="709">
        <v>0.40369212962962964</v>
      </c>
      <c r="G6378" s="195" t="s">
        <v>453</v>
      </c>
      <c r="H6378" s="710">
        <v>63.8</v>
      </c>
      <c r="I6378" s="256"/>
      <c r="J6378" s="67">
        <f t="shared" si="389"/>
        <v>70436.2</v>
      </c>
      <c r="L6378" s="70"/>
      <c r="M6378" s="934"/>
      <c r="N6378" s="94"/>
      <c r="O6378" s="94"/>
      <c r="P6378" s="94"/>
      <c r="Q6378" s="94"/>
      <c r="R6378" s="94"/>
      <c r="S6378" s="94"/>
      <c r="T6378" s="94"/>
      <c r="U6378" s="94"/>
      <c r="V6378" s="94"/>
      <c r="W6378" s="94"/>
      <c r="X6378" s="94"/>
      <c r="Y6378" s="94"/>
      <c r="Z6378" s="94"/>
      <c r="AA6378" s="94"/>
      <c r="AB6378" s="94"/>
      <c r="AC6378" s="94"/>
      <c r="AD6378" s="94"/>
      <c r="AE6378" s="94"/>
      <c r="AF6378" s="94"/>
      <c r="AG6378" s="94"/>
      <c r="AH6378" s="94"/>
    </row>
    <row r="6379" ht="12.75" hidden="1" customHeight="1" outlineLevel="1">
      <c r="A6379" s="122">
        <v>42094.0</v>
      </c>
      <c r="B6379" s="32" t="s">
        <v>347</v>
      </c>
      <c r="C6379" s="32" t="s">
        <v>790</v>
      </c>
      <c r="D6379" s="708">
        <v>9250.0</v>
      </c>
      <c r="E6379" s="195">
        <v>5.86</v>
      </c>
      <c r="F6379" s="709">
        <v>0.40425925925925926</v>
      </c>
      <c r="G6379" s="195" t="s">
        <v>453</v>
      </c>
      <c r="H6379" s="710">
        <v>45.25</v>
      </c>
      <c r="I6379" s="256"/>
      <c r="J6379" s="67">
        <f t="shared" si="389"/>
        <v>54159.75</v>
      </c>
      <c r="L6379" s="70"/>
      <c r="M6379" s="934"/>
      <c r="N6379" s="94"/>
      <c r="O6379" s="94"/>
      <c r="P6379" s="94"/>
      <c r="Q6379" s="94"/>
      <c r="R6379" s="94"/>
      <c r="S6379" s="94"/>
      <c r="T6379" s="94"/>
      <c r="U6379" s="94"/>
      <c r="V6379" s="94"/>
      <c r="W6379" s="94"/>
      <c r="X6379" s="94"/>
      <c r="Y6379" s="94"/>
      <c r="Z6379" s="94"/>
      <c r="AA6379" s="94"/>
      <c r="AB6379" s="94"/>
      <c r="AC6379" s="94"/>
      <c r="AD6379" s="94"/>
      <c r="AE6379" s="94"/>
      <c r="AF6379" s="94"/>
      <c r="AG6379" s="94"/>
      <c r="AH6379" s="94"/>
    </row>
    <row r="6380" ht="12.75" hidden="1" customHeight="1" outlineLevel="1">
      <c r="A6380" s="122">
        <v>42094.0</v>
      </c>
      <c r="B6380" s="32" t="s">
        <v>347</v>
      </c>
      <c r="C6380" s="32" t="s">
        <v>2048</v>
      </c>
      <c r="D6380" s="708">
        <v>2000.0</v>
      </c>
      <c r="E6380" s="195">
        <v>9.4</v>
      </c>
      <c r="F6380" s="709">
        <v>0.4047453703703704</v>
      </c>
      <c r="G6380" s="195" t="s">
        <v>453</v>
      </c>
      <c r="H6380" s="710">
        <v>8.35</v>
      </c>
      <c r="I6380" s="256"/>
      <c r="J6380" s="67">
        <f t="shared" si="389"/>
        <v>18791.65</v>
      </c>
      <c r="L6380" s="70"/>
      <c r="M6380" s="934"/>
      <c r="N6380" s="94"/>
      <c r="O6380" s="94"/>
      <c r="P6380" s="94"/>
      <c r="Q6380" s="94"/>
      <c r="R6380" s="94"/>
      <c r="S6380" s="94"/>
      <c r="T6380" s="94"/>
      <c r="U6380" s="94"/>
      <c r="V6380" s="94"/>
      <c r="W6380" s="94"/>
      <c r="X6380" s="94"/>
      <c r="Y6380" s="94"/>
      <c r="Z6380" s="94"/>
      <c r="AA6380" s="94"/>
      <c r="AB6380" s="94"/>
      <c r="AC6380" s="94"/>
      <c r="AD6380" s="94"/>
      <c r="AE6380" s="94"/>
      <c r="AF6380" s="94"/>
      <c r="AG6380" s="94"/>
      <c r="AH6380" s="94"/>
    </row>
    <row r="6381" ht="12.75" hidden="1" customHeight="1" outlineLevel="1">
      <c r="A6381" s="122">
        <v>42094.0</v>
      </c>
      <c r="B6381" s="32" t="s">
        <v>347</v>
      </c>
      <c r="C6381" s="32" t="s">
        <v>369</v>
      </c>
      <c r="D6381" s="708">
        <v>3000.0</v>
      </c>
      <c r="E6381" s="195">
        <v>4.771</v>
      </c>
      <c r="F6381" s="709">
        <v>0.4050925925925926</v>
      </c>
      <c r="G6381" s="195" t="s">
        <v>453</v>
      </c>
      <c r="H6381" s="710">
        <v>12.56</v>
      </c>
      <c r="I6381" s="256"/>
      <c r="J6381" s="67">
        <f t="shared" si="389"/>
        <v>14300.44</v>
      </c>
      <c r="L6381" s="70"/>
      <c r="M6381" s="934"/>
      <c r="N6381" s="94"/>
      <c r="O6381" s="94"/>
      <c r="P6381" s="94"/>
      <c r="Q6381" s="94"/>
      <c r="R6381" s="94"/>
      <c r="S6381" s="94"/>
      <c r="T6381" s="94"/>
      <c r="U6381" s="94"/>
      <c r="V6381" s="94"/>
      <c r="W6381" s="94"/>
      <c r="X6381" s="94"/>
      <c r="Y6381" s="94"/>
      <c r="Z6381" s="94"/>
      <c r="AA6381" s="94"/>
      <c r="AB6381" s="94"/>
      <c r="AC6381" s="94"/>
      <c r="AD6381" s="94"/>
      <c r="AE6381" s="94"/>
      <c r="AF6381" s="94"/>
      <c r="AG6381" s="94"/>
      <c r="AH6381" s="94"/>
    </row>
    <row r="6382" ht="12.75" hidden="1" customHeight="1" outlineLevel="1">
      <c r="A6382" s="122">
        <v>42094.0</v>
      </c>
      <c r="B6382" s="32" t="s">
        <v>343</v>
      </c>
      <c r="C6382" s="32" t="s">
        <v>1400</v>
      </c>
      <c r="D6382" s="708">
        <v>250.0</v>
      </c>
      <c r="E6382" s="195">
        <v>78.449</v>
      </c>
      <c r="F6382" s="709">
        <v>0.5752314814814815</v>
      </c>
      <c r="G6382" s="195" t="s">
        <v>453</v>
      </c>
      <c r="H6382" s="710">
        <v>1.0</v>
      </c>
      <c r="I6382" s="256"/>
      <c r="J6382" s="67">
        <f t="shared" si="389"/>
        <v>-19613.25</v>
      </c>
      <c r="L6382" s="70"/>
      <c r="M6382" s="934"/>
      <c r="N6382" s="94"/>
      <c r="O6382" s="94"/>
      <c r="P6382" s="94"/>
      <c r="Q6382" s="94"/>
      <c r="R6382" s="94"/>
      <c r="S6382" s="94"/>
      <c r="T6382" s="94"/>
      <c r="U6382" s="94"/>
      <c r="V6382" s="94"/>
      <c r="W6382" s="94"/>
      <c r="X6382" s="94"/>
      <c r="Y6382" s="94"/>
      <c r="Z6382" s="94"/>
      <c r="AA6382" s="94"/>
      <c r="AB6382" s="94"/>
      <c r="AC6382" s="94"/>
      <c r="AD6382" s="94"/>
      <c r="AE6382" s="94"/>
      <c r="AF6382" s="94"/>
      <c r="AG6382" s="94"/>
      <c r="AH6382" s="94"/>
    </row>
    <row r="6383" ht="12.75" hidden="1" customHeight="1" outlineLevel="1">
      <c r="A6383" s="122">
        <v>42094.0</v>
      </c>
      <c r="B6383" s="1"/>
      <c r="C6383" s="1" t="s">
        <v>339</v>
      </c>
      <c r="D6383" s="74"/>
      <c r="E6383" s="67"/>
      <c r="F6383" s="75"/>
      <c r="G6383" s="67"/>
      <c r="H6383" s="68"/>
      <c r="I6383" s="76"/>
      <c r="K6383" s="968" t="s">
        <v>2906</v>
      </c>
      <c r="L6383" s="934"/>
      <c r="M6383" s="934"/>
    </row>
    <row r="6384" ht="12.75" hidden="1" customHeight="1" outlineLevel="1">
      <c r="A6384" s="122">
        <v>42094.0</v>
      </c>
      <c r="B6384" s="1"/>
      <c r="C6384" s="1" t="s">
        <v>429</v>
      </c>
      <c r="D6384" s="74"/>
      <c r="E6384" s="67"/>
      <c r="F6384" s="75"/>
      <c r="G6384" s="67"/>
      <c r="H6384" s="68"/>
      <c r="I6384" s="76"/>
      <c r="J6384" s="67"/>
      <c r="K6384" s="9" t="s">
        <v>2839</v>
      </c>
      <c r="L6384" s="934"/>
      <c r="M6384" s="934"/>
    </row>
    <row r="6385" ht="12.75" hidden="1" customHeight="1" outlineLevel="1">
      <c r="A6385" s="122">
        <v>42094.0</v>
      </c>
      <c r="B6385" s="1"/>
      <c r="C6385" s="1" t="s">
        <v>431</v>
      </c>
      <c r="D6385" s="74"/>
      <c r="E6385" s="67"/>
      <c r="F6385" s="75"/>
      <c r="G6385" s="67"/>
      <c r="H6385" s="68"/>
      <c r="I6385" s="76"/>
      <c r="J6385" s="67"/>
      <c r="K6385" s="7" t="s">
        <v>1126</v>
      </c>
      <c r="L6385" s="934"/>
      <c r="M6385" s="934"/>
    </row>
    <row r="6386" ht="12.75" hidden="1" customHeight="1" outlineLevel="1">
      <c r="A6386" s="122">
        <v>42094.0</v>
      </c>
      <c r="B6386" s="1"/>
      <c r="C6386" s="1" t="s">
        <v>433</v>
      </c>
      <c r="D6386" s="74"/>
      <c r="E6386" s="67"/>
      <c r="F6386" s="75"/>
      <c r="G6386" s="67"/>
      <c r="H6386" s="68"/>
      <c r="I6386" s="76"/>
      <c r="J6386" s="67"/>
      <c r="K6386" s="7" t="s">
        <v>1103</v>
      </c>
      <c r="L6386" s="934"/>
      <c r="M6386" s="934"/>
    </row>
    <row r="6387" ht="12.75" hidden="1" customHeight="1" outlineLevel="1">
      <c r="A6387" s="122">
        <v>42094.0</v>
      </c>
      <c r="B6387" s="1"/>
      <c r="C6387" s="1" t="s">
        <v>435</v>
      </c>
      <c r="D6387" s="74"/>
      <c r="E6387" s="67"/>
      <c r="F6387" s="75"/>
      <c r="G6387" s="67"/>
      <c r="H6387" s="68"/>
      <c r="I6387" s="76"/>
      <c r="J6387" s="67"/>
      <c r="K6387" s="9" t="s">
        <v>2802</v>
      </c>
      <c r="L6387" s="934"/>
      <c r="M6387" s="934"/>
    </row>
    <row r="6388" ht="12.75" hidden="1" customHeight="1" outlineLevel="1">
      <c r="A6388" s="122">
        <v>42095.0</v>
      </c>
      <c r="B6388" s="32" t="s">
        <v>343</v>
      </c>
      <c r="C6388" s="32" t="s">
        <v>2142</v>
      </c>
      <c r="D6388" s="708">
        <v>200.0</v>
      </c>
      <c r="E6388" s="195">
        <v>30.576</v>
      </c>
      <c r="F6388" s="709">
        <v>0.45167824074074076</v>
      </c>
      <c r="G6388" s="195" t="s">
        <v>453</v>
      </c>
      <c r="H6388" s="710">
        <v>1.0</v>
      </c>
      <c r="I6388" s="256"/>
      <c r="J6388" s="67">
        <f t="shared" ref="J6388:J6410" si="390">IF(B6388="SLD",D6388*E6388,-D6388*E6388)-H6388</f>
        <v>-6116.2</v>
      </c>
      <c r="L6388" s="70"/>
      <c r="M6388" s="934"/>
      <c r="N6388" s="94"/>
      <c r="O6388" s="94"/>
      <c r="P6388" s="94"/>
      <c r="Q6388" s="94"/>
      <c r="R6388" s="94"/>
      <c r="S6388" s="94"/>
      <c r="T6388" s="94"/>
      <c r="U6388" s="94"/>
      <c r="V6388" s="94"/>
      <c r="W6388" s="94"/>
      <c r="X6388" s="94"/>
      <c r="Y6388" s="94"/>
      <c r="Z6388" s="94"/>
      <c r="AA6388" s="94"/>
      <c r="AB6388" s="94"/>
      <c r="AC6388" s="94"/>
      <c r="AD6388" s="94"/>
      <c r="AE6388" s="94"/>
      <c r="AF6388" s="94"/>
      <c r="AG6388" s="94"/>
      <c r="AH6388" s="94"/>
    </row>
    <row r="6389" ht="12.75" hidden="1" customHeight="1" outlineLevel="1">
      <c r="A6389" s="122">
        <v>42095.0</v>
      </c>
      <c r="B6389" s="32" t="s">
        <v>343</v>
      </c>
      <c r="C6389" s="32" t="s">
        <v>2142</v>
      </c>
      <c r="D6389" s="708">
        <v>600.0</v>
      </c>
      <c r="E6389" s="195">
        <v>30.63</v>
      </c>
      <c r="F6389" s="709">
        <v>0.45358796296296294</v>
      </c>
      <c r="G6389" s="195" t="s">
        <v>453</v>
      </c>
      <c r="H6389" s="710">
        <v>3.0</v>
      </c>
      <c r="I6389" s="256"/>
      <c r="J6389" s="67">
        <f t="shared" si="390"/>
        <v>-18381</v>
      </c>
      <c r="L6389" s="70"/>
      <c r="M6389" s="934"/>
      <c r="N6389" s="94"/>
      <c r="O6389" s="94"/>
      <c r="P6389" s="94"/>
      <c r="Q6389" s="94"/>
      <c r="R6389" s="94"/>
      <c r="S6389" s="94"/>
      <c r="T6389" s="94"/>
      <c r="U6389" s="94"/>
      <c r="V6389" s="94"/>
      <c r="W6389" s="94"/>
      <c r="X6389" s="94"/>
      <c r="Y6389" s="94"/>
      <c r="Z6389" s="94"/>
      <c r="AA6389" s="94"/>
      <c r="AB6389" s="94"/>
      <c r="AC6389" s="94"/>
      <c r="AD6389" s="94"/>
      <c r="AE6389" s="94"/>
      <c r="AF6389" s="94"/>
      <c r="AG6389" s="94"/>
      <c r="AH6389" s="94"/>
    </row>
    <row r="6390" ht="12.75" hidden="1" customHeight="1" outlineLevel="1">
      <c r="A6390" s="122">
        <v>42095.0</v>
      </c>
      <c r="B6390" s="32" t="s">
        <v>347</v>
      </c>
      <c r="C6390" s="32" t="s">
        <v>1221</v>
      </c>
      <c r="D6390" s="708">
        <v>350.0</v>
      </c>
      <c r="E6390" s="195">
        <v>37.201</v>
      </c>
      <c r="F6390" s="709">
        <v>0.46936342592592595</v>
      </c>
      <c r="G6390" s="195" t="s">
        <v>453</v>
      </c>
      <c r="H6390" s="710">
        <v>1.64</v>
      </c>
      <c r="I6390" s="256"/>
      <c r="J6390" s="67">
        <f t="shared" si="390"/>
        <v>13018.71</v>
      </c>
      <c r="L6390" s="70"/>
      <c r="M6390" s="934"/>
      <c r="N6390" s="94"/>
      <c r="O6390" s="94"/>
      <c r="P6390" s="94"/>
      <c r="Q6390" s="94"/>
      <c r="R6390" s="94"/>
      <c r="S6390" s="94"/>
      <c r="T6390" s="94"/>
      <c r="U6390" s="94"/>
      <c r="V6390" s="94"/>
      <c r="W6390" s="94"/>
      <c r="X6390" s="94"/>
      <c r="Y6390" s="94"/>
      <c r="Z6390" s="94"/>
      <c r="AA6390" s="94"/>
      <c r="AB6390" s="94"/>
      <c r="AC6390" s="94"/>
      <c r="AD6390" s="94"/>
      <c r="AE6390" s="94"/>
      <c r="AF6390" s="94"/>
      <c r="AG6390" s="94"/>
      <c r="AH6390" s="94"/>
    </row>
    <row r="6391" ht="12.75" hidden="1" customHeight="1" outlineLevel="1">
      <c r="A6391" s="122">
        <v>42095.0</v>
      </c>
      <c r="B6391" s="32" t="s">
        <v>343</v>
      </c>
      <c r="C6391" s="32" t="s">
        <v>1221</v>
      </c>
      <c r="D6391" s="708">
        <v>650.0</v>
      </c>
      <c r="E6391" s="195">
        <v>37.812</v>
      </c>
      <c r="F6391" s="709">
        <v>0.5734027777777778</v>
      </c>
      <c r="G6391" s="195" t="s">
        <v>453</v>
      </c>
      <c r="H6391" s="710">
        <v>3.25</v>
      </c>
      <c r="I6391" s="256"/>
      <c r="J6391" s="67">
        <f t="shared" si="390"/>
        <v>-24581.05</v>
      </c>
      <c r="L6391" s="70"/>
      <c r="M6391" s="934"/>
      <c r="N6391" s="94"/>
      <c r="O6391" s="94"/>
      <c r="P6391" s="94"/>
      <c r="Q6391" s="94"/>
      <c r="R6391" s="94"/>
      <c r="S6391" s="94"/>
      <c r="T6391" s="94"/>
      <c r="U6391" s="94"/>
      <c r="V6391" s="94"/>
      <c r="W6391" s="94"/>
      <c r="X6391" s="94"/>
      <c r="Y6391" s="94"/>
      <c r="Z6391" s="94"/>
      <c r="AA6391" s="94"/>
      <c r="AB6391" s="94"/>
      <c r="AC6391" s="94"/>
      <c r="AD6391" s="94"/>
      <c r="AE6391" s="94"/>
      <c r="AF6391" s="94"/>
      <c r="AG6391" s="94"/>
      <c r="AH6391" s="94"/>
    </row>
    <row r="6392" ht="12.75" hidden="1" customHeight="1" outlineLevel="1">
      <c r="A6392" s="122">
        <v>42095.0</v>
      </c>
      <c r="B6392" s="32" t="s">
        <v>343</v>
      </c>
      <c r="C6392" s="32" t="s">
        <v>1249</v>
      </c>
      <c r="D6392" s="708">
        <v>50.0</v>
      </c>
      <c r="E6392" s="195">
        <v>111.8675</v>
      </c>
      <c r="F6392" s="709">
        <v>0.5760995370370371</v>
      </c>
      <c r="G6392" s="195" t="s">
        <v>453</v>
      </c>
      <c r="H6392" s="710">
        <v>1.0</v>
      </c>
      <c r="I6392" s="256"/>
      <c r="J6392" s="67">
        <f t="shared" si="390"/>
        <v>-5594.375</v>
      </c>
      <c r="L6392" s="70"/>
      <c r="M6392" s="934"/>
      <c r="N6392" s="94"/>
      <c r="O6392" s="94"/>
      <c r="P6392" s="94"/>
      <c r="Q6392" s="94"/>
      <c r="R6392" s="94"/>
      <c r="S6392" s="94"/>
      <c r="T6392" s="94"/>
      <c r="U6392" s="94"/>
      <c r="V6392" s="94"/>
      <c r="W6392" s="94"/>
      <c r="X6392" s="94"/>
      <c r="Y6392" s="94"/>
      <c r="Z6392" s="94"/>
      <c r="AA6392" s="94"/>
      <c r="AB6392" s="94"/>
      <c r="AC6392" s="94"/>
      <c r="AD6392" s="94"/>
      <c r="AE6392" s="94"/>
      <c r="AF6392" s="94"/>
      <c r="AG6392" s="94"/>
      <c r="AH6392" s="94"/>
    </row>
    <row r="6393" ht="12.75" hidden="1" customHeight="1" outlineLevel="1">
      <c r="A6393" s="122">
        <v>42095.0</v>
      </c>
      <c r="B6393" s="32" t="s">
        <v>347</v>
      </c>
      <c r="C6393" s="32" t="s">
        <v>784</v>
      </c>
      <c r="D6393" s="708">
        <v>2000.0</v>
      </c>
      <c r="E6393" s="195">
        <v>5.54</v>
      </c>
      <c r="F6393" s="709">
        <v>0.6048611111111111</v>
      </c>
      <c r="G6393" s="195" t="s">
        <v>453</v>
      </c>
      <c r="H6393" s="710">
        <v>10.2</v>
      </c>
      <c r="I6393" s="256"/>
      <c r="J6393" s="67">
        <f t="shared" si="390"/>
        <v>11069.8</v>
      </c>
      <c r="L6393" s="70"/>
      <c r="M6393" s="934"/>
      <c r="N6393" s="94"/>
      <c r="O6393" s="94"/>
      <c r="P6393" s="94"/>
      <c r="Q6393" s="94"/>
      <c r="R6393" s="94"/>
      <c r="S6393" s="94"/>
      <c r="T6393" s="94"/>
      <c r="U6393" s="94"/>
      <c r="V6393" s="94"/>
      <c r="W6393" s="94"/>
      <c r="X6393" s="94"/>
      <c r="Y6393" s="94"/>
      <c r="Z6393" s="94"/>
      <c r="AA6393" s="94"/>
      <c r="AB6393" s="94"/>
      <c r="AC6393" s="94"/>
      <c r="AD6393" s="94"/>
      <c r="AE6393" s="94"/>
      <c r="AF6393" s="94"/>
      <c r="AG6393" s="94"/>
      <c r="AH6393" s="94"/>
    </row>
    <row r="6394" ht="12.75" hidden="1" customHeight="1" outlineLevel="1">
      <c r="A6394" s="122">
        <v>42096.0</v>
      </c>
      <c r="B6394" s="32" t="s">
        <v>343</v>
      </c>
      <c r="C6394" s="32" t="s">
        <v>790</v>
      </c>
      <c r="D6394" s="708">
        <v>10000.0</v>
      </c>
      <c r="E6394" s="195">
        <v>6.68</v>
      </c>
      <c r="F6394" s="709">
        <v>0.45112268518518517</v>
      </c>
      <c r="G6394" s="195" t="s">
        <v>453</v>
      </c>
      <c r="H6394" s="710">
        <v>45.1</v>
      </c>
      <c r="I6394" s="256"/>
      <c r="J6394" s="67">
        <f t="shared" si="390"/>
        <v>-66845.1</v>
      </c>
      <c r="L6394" s="70"/>
      <c r="M6394" s="934"/>
      <c r="N6394" s="94"/>
      <c r="O6394" s="94"/>
      <c r="P6394" s="94"/>
      <c r="Q6394" s="94"/>
      <c r="R6394" s="94"/>
      <c r="S6394" s="94"/>
      <c r="T6394" s="94"/>
      <c r="U6394" s="94"/>
      <c r="V6394" s="94"/>
      <c r="W6394" s="94"/>
      <c r="X6394" s="94"/>
      <c r="Y6394" s="94"/>
      <c r="Z6394" s="94"/>
      <c r="AA6394" s="94"/>
      <c r="AB6394" s="94"/>
      <c r="AC6394" s="94"/>
      <c r="AD6394" s="94"/>
      <c r="AE6394" s="94"/>
      <c r="AF6394" s="94"/>
      <c r="AG6394" s="94"/>
      <c r="AH6394" s="94"/>
    </row>
    <row r="6395" ht="12.75" hidden="1" customHeight="1" outlineLevel="1">
      <c r="A6395" s="122">
        <v>42096.0</v>
      </c>
      <c r="B6395" s="32" t="s">
        <v>343</v>
      </c>
      <c r="C6395" s="32" t="s">
        <v>784</v>
      </c>
      <c r="D6395" s="708">
        <v>15000.0</v>
      </c>
      <c r="E6395" s="195">
        <v>5.64</v>
      </c>
      <c r="F6395" s="709">
        <v>0.4517476851851852</v>
      </c>
      <c r="G6395" s="195" t="s">
        <v>453</v>
      </c>
      <c r="H6395" s="710">
        <v>62.2</v>
      </c>
      <c r="I6395" s="256"/>
      <c r="J6395" s="67">
        <f t="shared" si="390"/>
        <v>-84662.2</v>
      </c>
      <c r="L6395" s="70"/>
      <c r="M6395" s="934"/>
      <c r="N6395" s="94"/>
      <c r="O6395" s="94"/>
      <c r="P6395" s="94"/>
      <c r="Q6395" s="94"/>
      <c r="R6395" s="94"/>
      <c r="S6395" s="94"/>
      <c r="T6395" s="94"/>
      <c r="U6395" s="94"/>
      <c r="V6395" s="94"/>
      <c r="W6395" s="94"/>
      <c r="X6395" s="94"/>
      <c r="Y6395" s="94"/>
      <c r="Z6395" s="94"/>
      <c r="AA6395" s="94"/>
      <c r="AB6395" s="94"/>
      <c r="AC6395" s="94"/>
      <c r="AD6395" s="94"/>
      <c r="AE6395" s="94"/>
      <c r="AF6395" s="94"/>
      <c r="AG6395" s="94"/>
      <c r="AH6395" s="94"/>
    </row>
    <row r="6396" ht="12.75" hidden="1" customHeight="1" outlineLevel="1">
      <c r="A6396" s="122">
        <v>42096.0</v>
      </c>
      <c r="B6396" s="32" t="s">
        <v>343</v>
      </c>
      <c r="C6396" s="32" t="s">
        <v>2048</v>
      </c>
      <c r="D6396" s="708">
        <v>3500.0</v>
      </c>
      <c r="E6396" s="195">
        <v>9.598</v>
      </c>
      <c r="F6396" s="709">
        <v>0.4523263888888889</v>
      </c>
      <c r="G6396" s="195" t="s">
        <v>453</v>
      </c>
      <c r="H6396" s="710">
        <v>15.7</v>
      </c>
      <c r="I6396" s="256"/>
      <c r="J6396" s="67">
        <f t="shared" si="390"/>
        <v>-33608.7</v>
      </c>
      <c r="L6396" s="70"/>
      <c r="M6396" s="934"/>
      <c r="N6396" s="94"/>
      <c r="O6396" s="94"/>
      <c r="P6396" s="94"/>
      <c r="Q6396" s="94"/>
      <c r="R6396" s="94"/>
      <c r="S6396" s="94"/>
      <c r="T6396" s="94"/>
      <c r="U6396" s="94"/>
      <c r="V6396" s="94"/>
      <c r="W6396" s="94"/>
      <c r="X6396" s="94"/>
      <c r="Y6396" s="94"/>
      <c r="Z6396" s="94"/>
      <c r="AA6396" s="94"/>
      <c r="AB6396" s="94"/>
      <c r="AC6396" s="94"/>
      <c r="AD6396" s="94"/>
      <c r="AE6396" s="94"/>
      <c r="AF6396" s="94"/>
      <c r="AG6396" s="94"/>
      <c r="AH6396" s="94"/>
    </row>
    <row r="6397" ht="12.75" hidden="1" customHeight="1" outlineLevel="1">
      <c r="A6397" s="122">
        <v>42096.0</v>
      </c>
      <c r="B6397" s="32" t="s">
        <v>343</v>
      </c>
      <c r="C6397" s="32" t="s">
        <v>369</v>
      </c>
      <c r="D6397" s="708">
        <v>5000.0</v>
      </c>
      <c r="E6397" s="195">
        <v>4.566</v>
      </c>
      <c r="F6397" s="709">
        <v>0.45336805555555554</v>
      </c>
      <c r="G6397" s="195" t="s">
        <v>453</v>
      </c>
      <c r="H6397" s="710">
        <v>25.0</v>
      </c>
      <c r="I6397" s="256"/>
      <c r="J6397" s="67">
        <f t="shared" si="390"/>
        <v>-22855</v>
      </c>
      <c r="L6397" s="70"/>
      <c r="M6397" s="934"/>
      <c r="N6397" s="94"/>
      <c r="O6397" s="94"/>
      <c r="P6397" s="94"/>
      <c r="Q6397" s="94"/>
      <c r="R6397" s="94"/>
      <c r="S6397" s="94"/>
      <c r="T6397" s="94"/>
      <c r="U6397" s="94"/>
      <c r="V6397" s="94"/>
      <c r="W6397" s="94"/>
      <c r="X6397" s="94"/>
      <c r="Y6397" s="94"/>
      <c r="Z6397" s="94"/>
      <c r="AA6397" s="94"/>
      <c r="AB6397" s="94"/>
      <c r="AC6397" s="94"/>
      <c r="AD6397" s="94"/>
      <c r="AE6397" s="94"/>
      <c r="AF6397" s="94"/>
      <c r="AG6397" s="94"/>
      <c r="AH6397" s="94"/>
    </row>
    <row r="6398" ht="12.75" hidden="1" customHeight="1" outlineLevel="1">
      <c r="A6398" s="122">
        <v>42096.0</v>
      </c>
      <c r="B6398" s="32" t="s">
        <v>343</v>
      </c>
      <c r="C6398" s="32" t="s">
        <v>784</v>
      </c>
      <c r="D6398" s="708">
        <v>4000.0</v>
      </c>
      <c r="E6398" s="195">
        <v>5.68</v>
      </c>
      <c r="F6398" s="709">
        <v>0.45858796296296295</v>
      </c>
      <c r="G6398" s="195" t="s">
        <v>453</v>
      </c>
      <c r="H6398" s="710">
        <v>17.9</v>
      </c>
      <c r="I6398" s="256"/>
      <c r="J6398" s="67">
        <f t="shared" si="390"/>
        <v>-22737.9</v>
      </c>
      <c r="L6398" s="70"/>
      <c r="M6398" s="934"/>
      <c r="N6398" s="94"/>
      <c r="O6398" s="94"/>
      <c r="P6398" s="94"/>
      <c r="Q6398" s="94"/>
      <c r="R6398" s="94"/>
      <c r="S6398" s="94"/>
      <c r="T6398" s="94"/>
      <c r="U6398" s="94"/>
      <c r="V6398" s="94"/>
      <c r="W6398" s="94"/>
      <c r="X6398" s="94"/>
      <c r="Y6398" s="94"/>
      <c r="Z6398" s="94"/>
      <c r="AA6398" s="94"/>
      <c r="AB6398" s="94"/>
      <c r="AC6398" s="94"/>
      <c r="AD6398" s="94"/>
      <c r="AE6398" s="94"/>
      <c r="AF6398" s="94"/>
      <c r="AG6398" s="94"/>
      <c r="AH6398" s="94"/>
    </row>
    <row r="6399" ht="12.75" hidden="1" customHeight="1" outlineLevel="1">
      <c r="A6399" s="122">
        <v>42096.0</v>
      </c>
      <c r="B6399" s="32" t="s">
        <v>343</v>
      </c>
      <c r="C6399" s="32" t="s">
        <v>790</v>
      </c>
      <c r="D6399" s="708">
        <v>2500.0</v>
      </c>
      <c r="E6399" s="195">
        <v>6.69</v>
      </c>
      <c r="F6399" s="709">
        <v>0.45869212962962963</v>
      </c>
      <c r="G6399" s="195" t="s">
        <v>453</v>
      </c>
      <c r="H6399" s="710">
        <v>10.9</v>
      </c>
      <c r="I6399" s="256"/>
      <c r="J6399" s="67">
        <f t="shared" si="390"/>
        <v>-16735.9</v>
      </c>
      <c r="L6399" s="70"/>
      <c r="M6399" s="934"/>
      <c r="N6399" s="94"/>
      <c r="O6399" s="94"/>
      <c r="P6399" s="94"/>
      <c r="Q6399" s="94"/>
      <c r="R6399" s="94"/>
      <c r="S6399" s="94"/>
      <c r="T6399" s="94"/>
      <c r="U6399" s="94"/>
      <c r="V6399" s="94"/>
      <c r="W6399" s="94"/>
      <c r="X6399" s="94"/>
      <c r="Y6399" s="94"/>
      <c r="Z6399" s="94"/>
      <c r="AA6399" s="94"/>
      <c r="AB6399" s="94"/>
      <c r="AC6399" s="94"/>
      <c r="AD6399" s="94"/>
      <c r="AE6399" s="94"/>
      <c r="AF6399" s="94"/>
      <c r="AG6399" s="94"/>
      <c r="AH6399" s="94"/>
    </row>
    <row r="6400" ht="12.75" hidden="1" customHeight="1" outlineLevel="1">
      <c r="A6400" s="122">
        <v>42096.0</v>
      </c>
      <c r="B6400" s="32" t="s">
        <v>343</v>
      </c>
      <c r="C6400" s="32" t="s">
        <v>2192</v>
      </c>
      <c r="D6400" s="708">
        <v>250.0</v>
      </c>
      <c r="E6400" s="195">
        <v>13.04</v>
      </c>
      <c r="F6400" s="709">
        <v>0.4598726851851852</v>
      </c>
      <c r="G6400" s="195" t="s">
        <v>453</v>
      </c>
      <c r="H6400" s="710">
        <v>1.1</v>
      </c>
      <c r="I6400" s="256"/>
      <c r="J6400" s="67">
        <f t="shared" si="390"/>
        <v>-3261.1</v>
      </c>
      <c r="L6400" s="70"/>
      <c r="M6400" s="934"/>
      <c r="N6400" s="94"/>
      <c r="O6400" s="94"/>
      <c r="P6400" s="94"/>
      <c r="Q6400" s="94"/>
      <c r="R6400" s="94"/>
      <c r="S6400" s="94"/>
      <c r="T6400" s="94"/>
      <c r="U6400" s="94"/>
      <c r="V6400" s="94"/>
      <c r="W6400" s="94"/>
      <c r="X6400" s="94"/>
      <c r="Y6400" s="94"/>
      <c r="Z6400" s="94"/>
      <c r="AA6400" s="94"/>
      <c r="AB6400" s="94"/>
      <c r="AC6400" s="94"/>
      <c r="AD6400" s="94"/>
      <c r="AE6400" s="94"/>
      <c r="AF6400" s="94"/>
      <c r="AG6400" s="94"/>
      <c r="AH6400" s="94"/>
    </row>
    <row r="6401" ht="12.75" hidden="1" customHeight="1" outlineLevel="1">
      <c r="A6401" s="122">
        <v>42096.0</v>
      </c>
      <c r="B6401" s="32" t="s">
        <v>343</v>
      </c>
      <c r="C6401" s="32" t="s">
        <v>1844</v>
      </c>
      <c r="D6401" s="708">
        <v>50.0</v>
      </c>
      <c r="E6401" s="195">
        <v>47.1</v>
      </c>
      <c r="F6401" s="709">
        <v>0.4599652777777778</v>
      </c>
      <c r="G6401" s="195" t="s">
        <v>453</v>
      </c>
      <c r="H6401" s="710">
        <v>1.0</v>
      </c>
      <c r="I6401" s="256"/>
      <c r="J6401" s="67">
        <f t="shared" si="390"/>
        <v>-2356</v>
      </c>
      <c r="L6401" s="70"/>
      <c r="M6401" s="934"/>
      <c r="N6401" s="94"/>
      <c r="O6401" s="94"/>
      <c r="P6401" s="94"/>
      <c r="Q6401" s="94"/>
      <c r="R6401" s="94"/>
      <c r="S6401" s="94"/>
      <c r="T6401" s="94"/>
      <c r="U6401" s="94"/>
      <c r="V6401" s="94"/>
      <c r="W6401" s="94"/>
      <c r="X6401" s="94"/>
      <c r="Y6401" s="94"/>
      <c r="Z6401" s="94"/>
      <c r="AA6401" s="94"/>
      <c r="AB6401" s="94"/>
      <c r="AC6401" s="94"/>
      <c r="AD6401" s="94"/>
      <c r="AE6401" s="94"/>
      <c r="AF6401" s="94"/>
      <c r="AG6401" s="94"/>
      <c r="AH6401" s="94"/>
    </row>
    <row r="6402" ht="12.75" hidden="1" customHeight="1" outlineLevel="1">
      <c r="A6402" s="122">
        <v>42096.0</v>
      </c>
      <c r="B6402" s="32" t="s">
        <v>343</v>
      </c>
      <c r="C6402" s="32" t="s">
        <v>784</v>
      </c>
      <c r="D6402" s="708">
        <v>1500.0</v>
      </c>
      <c r="E6402" s="195">
        <v>5.69</v>
      </c>
      <c r="F6402" s="709">
        <v>0.4611689814814815</v>
      </c>
      <c r="G6402" s="195" t="s">
        <v>453</v>
      </c>
      <c r="H6402" s="710">
        <v>7.5</v>
      </c>
      <c r="I6402" s="256"/>
      <c r="J6402" s="67">
        <f t="shared" si="390"/>
        <v>-8542.5</v>
      </c>
      <c r="L6402" s="70"/>
      <c r="M6402" s="934"/>
      <c r="N6402" s="94"/>
      <c r="O6402" s="94"/>
      <c r="P6402" s="94"/>
      <c r="Q6402" s="94"/>
      <c r="R6402" s="94"/>
      <c r="S6402" s="94"/>
      <c r="T6402" s="94"/>
      <c r="U6402" s="94"/>
      <c r="V6402" s="94"/>
      <c r="W6402" s="94"/>
      <c r="X6402" s="94"/>
      <c r="Y6402" s="94"/>
      <c r="Z6402" s="94"/>
      <c r="AA6402" s="94"/>
      <c r="AB6402" s="94"/>
      <c r="AC6402" s="94"/>
      <c r="AD6402" s="94"/>
      <c r="AE6402" s="94"/>
      <c r="AF6402" s="94"/>
      <c r="AG6402" s="94"/>
      <c r="AH6402" s="94"/>
    </row>
    <row r="6403" ht="12.75" hidden="1" customHeight="1" outlineLevel="1">
      <c r="A6403" s="122">
        <v>42096.0</v>
      </c>
      <c r="B6403" s="32" t="s">
        <v>343</v>
      </c>
      <c r="C6403" s="32" t="s">
        <v>2048</v>
      </c>
      <c r="D6403" s="708">
        <v>750.0</v>
      </c>
      <c r="E6403" s="195">
        <v>9.649</v>
      </c>
      <c r="F6403" s="709">
        <v>0.4612731481481481</v>
      </c>
      <c r="G6403" s="195" t="s">
        <v>453</v>
      </c>
      <c r="H6403" s="710">
        <v>3.0</v>
      </c>
      <c r="I6403" s="256"/>
      <c r="J6403" s="67">
        <f t="shared" si="390"/>
        <v>-7239.75</v>
      </c>
      <c r="L6403" s="70"/>
      <c r="M6403" s="934"/>
      <c r="N6403" s="94"/>
      <c r="O6403" s="94"/>
      <c r="P6403" s="94"/>
      <c r="Q6403" s="94"/>
      <c r="R6403" s="94"/>
      <c r="S6403" s="94"/>
      <c r="T6403" s="94"/>
      <c r="U6403" s="94"/>
      <c r="V6403" s="94"/>
      <c r="W6403" s="94"/>
      <c r="X6403" s="94"/>
      <c r="Y6403" s="94"/>
      <c r="Z6403" s="94"/>
      <c r="AA6403" s="94"/>
      <c r="AB6403" s="94"/>
      <c r="AC6403" s="94"/>
      <c r="AD6403" s="94"/>
      <c r="AE6403" s="94"/>
      <c r="AF6403" s="94"/>
      <c r="AG6403" s="94"/>
      <c r="AH6403" s="94"/>
    </row>
    <row r="6404" ht="12.75" hidden="1" customHeight="1" outlineLevel="1">
      <c r="A6404" s="122">
        <v>42096.0</v>
      </c>
      <c r="B6404" s="32" t="s">
        <v>343</v>
      </c>
      <c r="C6404" s="32" t="s">
        <v>790</v>
      </c>
      <c r="D6404" s="708">
        <v>750.0</v>
      </c>
      <c r="E6404" s="195">
        <v>6.69</v>
      </c>
      <c r="F6404" s="709">
        <v>0.4613657407407407</v>
      </c>
      <c r="G6404" s="195" t="s">
        <v>453</v>
      </c>
      <c r="H6404" s="710">
        <v>3.75</v>
      </c>
      <c r="I6404" s="256"/>
      <c r="J6404" s="67">
        <f t="shared" si="390"/>
        <v>-5021.25</v>
      </c>
      <c r="L6404" s="70"/>
      <c r="M6404" s="934"/>
      <c r="N6404" s="94"/>
      <c r="O6404" s="94"/>
      <c r="P6404" s="94"/>
      <c r="Q6404" s="94"/>
      <c r="R6404" s="94"/>
      <c r="S6404" s="94"/>
      <c r="T6404" s="94"/>
      <c r="U6404" s="94"/>
      <c r="V6404" s="94"/>
      <c r="W6404" s="94"/>
      <c r="X6404" s="94"/>
      <c r="Y6404" s="94"/>
      <c r="Z6404" s="94"/>
      <c r="AA6404" s="94"/>
      <c r="AB6404" s="94"/>
      <c r="AC6404" s="94"/>
      <c r="AD6404" s="94"/>
      <c r="AE6404" s="94"/>
      <c r="AF6404" s="94"/>
      <c r="AG6404" s="94"/>
      <c r="AH6404" s="94"/>
    </row>
    <row r="6405" ht="12.75" hidden="1" customHeight="1" outlineLevel="1">
      <c r="A6405" s="122">
        <v>42096.0</v>
      </c>
      <c r="B6405" s="32" t="s">
        <v>343</v>
      </c>
      <c r="C6405" s="32" t="s">
        <v>369</v>
      </c>
      <c r="D6405" s="708">
        <v>1000.0</v>
      </c>
      <c r="E6405" s="195">
        <v>4.62</v>
      </c>
      <c r="F6405" s="709">
        <v>0.4614814814814815</v>
      </c>
      <c r="G6405" s="195" t="s">
        <v>453</v>
      </c>
      <c r="H6405" s="710">
        <v>4.97</v>
      </c>
      <c r="I6405" s="256"/>
      <c r="J6405" s="67">
        <f t="shared" si="390"/>
        <v>-4624.97</v>
      </c>
      <c r="L6405" s="70"/>
      <c r="M6405" s="934"/>
      <c r="N6405" s="94"/>
      <c r="O6405" s="94"/>
      <c r="P6405" s="94"/>
      <c r="Q6405" s="94"/>
      <c r="R6405" s="94"/>
      <c r="S6405" s="94"/>
      <c r="T6405" s="94"/>
      <c r="U6405" s="94"/>
      <c r="V6405" s="94"/>
      <c r="W6405" s="94"/>
      <c r="X6405" s="94"/>
      <c r="Y6405" s="94"/>
      <c r="Z6405" s="94"/>
      <c r="AA6405" s="94"/>
      <c r="AB6405" s="94"/>
      <c r="AC6405" s="94"/>
      <c r="AD6405" s="94"/>
      <c r="AE6405" s="94"/>
      <c r="AF6405" s="94"/>
      <c r="AG6405" s="94"/>
      <c r="AH6405" s="94"/>
    </row>
    <row r="6406" ht="12.75" hidden="1" customHeight="1" outlineLevel="1">
      <c r="A6406" s="122">
        <v>42096.0</v>
      </c>
      <c r="B6406" s="32" t="s">
        <v>347</v>
      </c>
      <c r="C6406" s="32" t="s">
        <v>2142</v>
      </c>
      <c r="D6406" s="708">
        <v>800.0</v>
      </c>
      <c r="E6406" s="195">
        <v>30.301</v>
      </c>
      <c r="F6406" s="709">
        <v>0.4907523148148148</v>
      </c>
      <c r="G6406" s="195" t="s">
        <v>453</v>
      </c>
      <c r="H6406" s="710">
        <v>3.65</v>
      </c>
      <c r="I6406" s="256"/>
      <c r="J6406" s="67">
        <f t="shared" si="390"/>
        <v>24237.15</v>
      </c>
      <c r="L6406" s="70"/>
      <c r="M6406" s="934"/>
      <c r="N6406" s="94"/>
      <c r="O6406" s="94"/>
      <c r="P6406" s="94"/>
      <c r="Q6406" s="94"/>
      <c r="R6406" s="94"/>
      <c r="S6406" s="94"/>
      <c r="T6406" s="94"/>
      <c r="U6406" s="94"/>
      <c r="V6406" s="94"/>
      <c r="W6406" s="94"/>
      <c r="X6406" s="94"/>
      <c r="Y6406" s="94"/>
      <c r="Z6406" s="94"/>
      <c r="AA6406" s="94"/>
      <c r="AB6406" s="94"/>
      <c r="AC6406" s="94"/>
      <c r="AD6406" s="94"/>
      <c r="AE6406" s="94"/>
      <c r="AF6406" s="94"/>
      <c r="AG6406" s="94"/>
      <c r="AH6406" s="94"/>
    </row>
    <row r="6407" ht="12.75" hidden="1" customHeight="1" outlineLevel="1">
      <c r="A6407" s="122">
        <v>42096.0</v>
      </c>
      <c r="B6407" s="32" t="s">
        <v>343</v>
      </c>
      <c r="C6407" s="32" t="s">
        <v>2142</v>
      </c>
      <c r="D6407" s="708">
        <v>800.0</v>
      </c>
      <c r="E6407" s="195">
        <v>30.5599</v>
      </c>
      <c r="F6407" s="709">
        <v>0.5973263888888889</v>
      </c>
      <c r="G6407" s="195" t="s">
        <v>453</v>
      </c>
      <c r="H6407" s="710">
        <v>3.2</v>
      </c>
      <c r="I6407" s="256"/>
      <c r="J6407" s="67">
        <f t="shared" si="390"/>
        <v>-24451.12</v>
      </c>
      <c r="L6407" s="70"/>
      <c r="M6407" s="934"/>
      <c r="N6407" s="94"/>
      <c r="O6407" s="94"/>
      <c r="P6407" s="94"/>
      <c r="Q6407" s="94"/>
      <c r="R6407" s="94"/>
      <c r="S6407" s="94"/>
      <c r="T6407" s="94"/>
      <c r="U6407" s="94"/>
      <c r="V6407" s="94"/>
      <c r="W6407" s="94"/>
      <c r="X6407" s="94"/>
      <c r="Y6407" s="94"/>
      <c r="Z6407" s="94"/>
      <c r="AA6407" s="94"/>
      <c r="AB6407" s="94"/>
      <c r="AC6407" s="94"/>
      <c r="AD6407" s="94"/>
      <c r="AE6407" s="94"/>
      <c r="AF6407" s="94"/>
      <c r="AG6407" s="94"/>
      <c r="AH6407" s="94"/>
    </row>
    <row r="6408" ht="12.75" hidden="1" customHeight="1" outlineLevel="1">
      <c r="A6408" s="122">
        <v>42100.0</v>
      </c>
      <c r="B6408" s="32" t="s">
        <v>343</v>
      </c>
      <c r="C6408" s="32" t="s">
        <v>2142</v>
      </c>
      <c r="D6408" s="708">
        <v>500.0</v>
      </c>
      <c r="E6408" s="195">
        <v>30.819</v>
      </c>
      <c r="F6408" s="709">
        <v>0.4534375</v>
      </c>
      <c r="G6408" s="195" t="s">
        <v>453</v>
      </c>
      <c r="H6408" s="710">
        <v>2.3</v>
      </c>
      <c r="I6408" s="256"/>
      <c r="J6408" s="67">
        <f t="shared" si="390"/>
        <v>-15411.8</v>
      </c>
      <c r="L6408" s="70"/>
      <c r="M6408" s="934"/>
      <c r="N6408" s="94"/>
      <c r="O6408" s="94"/>
      <c r="P6408" s="94"/>
      <c r="Q6408" s="94"/>
      <c r="R6408" s="94"/>
      <c r="S6408" s="94"/>
      <c r="T6408" s="94"/>
      <c r="U6408" s="94"/>
      <c r="V6408" s="94"/>
      <c r="W6408" s="94"/>
      <c r="X6408" s="94"/>
      <c r="Y6408" s="94"/>
      <c r="Z6408" s="94"/>
      <c r="AA6408" s="94"/>
      <c r="AB6408" s="94"/>
      <c r="AC6408" s="94"/>
      <c r="AD6408" s="94"/>
      <c r="AE6408" s="94"/>
      <c r="AF6408" s="94"/>
      <c r="AG6408" s="94"/>
      <c r="AH6408" s="94"/>
    </row>
    <row r="6409" ht="12.75" hidden="1" customHeight="1" outlineLevel="1">
      <c r="A6409" s="122">
        <v>42100.0</v>
      </c>
      <c r="B6409" s="32" t="s">
        <v>343</v>
      </c>
      <c r="C6409" s="32" t="s">
        <v>1162</v>
      </c>
      <c r="D6409" s="708">
        <v>50.0</v>
      </c>
      <c r="E6409" s="195">
        <v>149.99</v>
      </c>
      <c r="F6409" s="709">
        <v>0.47555555555555556</v>
      </c>
      <c r="G6409" s="195" t="s">
        <v>453</v>
      </c>
      <c r="H6409" s="710">
        <v>1.0</v>
      </c>
      <c r="I6409" s="256"/>
      <c r="J6409" s="67">
        <f t="shared" si="390"/>
        <v>-7500.5</v>
      </c>
      <c r="L6409" s="70"/>
      <c r="M6409" s="934"/>
      <c r="N6409" s="94"/>
      <c r="O6409" s="94"/>
      <c r="P6409" s="94"/>
      <c r="Q6409" s="94"/>
      <c r="R6409" s="94"/>
      <c r="S6409" s="94"/>
      <c r="T6409" s="94"/>
      <c r="U6409" s="94"/>
      <c r="V6409" s="94"/>
      <c r="W6409" s="94"/>
      <c r="X6409" s="94"/>
      <c r="Y6409" s="94"/>
      <c r="Z6409" s="94"/>
      <c r="AA6409" s="94"/>
      <c r="AB6409" s="94"/>
      <c r="AC6409" s="94"/>
      <c r="AD6409" s="94"/>
      <c r="AE6409" s="94"/>
      <c r="AF6409" s="94"/>
      <c r="AG6409" s="94"/>
      <c r="AH6409" s="94"/>
    </row>
    <row r="6410" ht="12.75" hidden="1" customHeight="1" outlineLevel="1">
      <c r="A6410" s="122">
        <v>42100.0</v>
      </c>
      <c r="B6410" s="32" t="s">
        <v>343</v>
      </c>
      <c r="C6410" s="32" t="s">
        <v>2342</v>
      </c>
      <c r="D6410" s="708">
        <v>150.0</v>
      </c>
      <c r="E6410" s="195">
        <v>58.5072</v>
      </c>
      <c r="F6410" s="709">
        <v>0.4867708333333333</v>
      </c>
      <c r="G6410" s="195" t="s">
        <v>453</v>
      </c>
      <c r="H6410" s="710">
        <v>1.0</v>
      </c>
      <c r="I6410" s="256"/>
      <c r="J6410" s="67">
        <f t="shared" si="390"/>
        <v>-8777.08</v>
      </c>
      <c r="L6410" s="70"/>
      <c r="M6410" s="934"/>
      <c r="N6410" s="94"/>
      <c r="O6410" s="94"/>
      <c r="P6410" s="94"/>
      <c r="Q6410" s="94"/>
      <c r="R6410" s="94"/>
      <c r="S6410" s="94"/>
      <c r="T6410" s="94"/>
      <c r="U6410" s="94"/>
      <c r="V6410" s="94"/>
      <c r="W6410" s="94"/>
      <c r="X6410" s="94"/>
      <c r="Y6410" s="94"/>
      <c r="Z6410" s="94"/>
      <c r="AA6410" s="94"/>
      <c r="AB6410" s="94"/>
      <c r="AC6410" s="94"/>
      <c r="AD6410" s="94"/>
      <c r="AE6410" s="94"/>
      <c r="AF6410" s="94"/>
      <c r="AG6410" s="94"/>
      <c r="AH6410" s="94"/>
    </row>
    <row r="6411" ht="12.75" hidden="1" customHeight="1" outlineLevel="1">
      <c r="A6411" s="122">
        <v>42100.0</v>
      </c>
      <c r="B6411" s="1"/>
      <c r="C6411" s="1" t="s">
        <v>339</v>
      </c>
      <c r="D6411" s="74"/>
      <c r="E6411" s="67"/>
      <c r="F6411" s="75"/>
      <c r="G6411" s="67"/>
      <c r="H6411" s="68"/>
      <c r="I6411" s="76"/>
      <c r="K6411" s="968" t="s">
        <v>2913</v>
      </c>
      <c r="L6411" s="934"/>
      <c r="M6411" s="934"/>
    </row>
    <row r="6412" ht="12.75" hidden="1" customHeight="1" outlineLevel="1">
      <c r="A6412" s="122">
        <v>42100.0</v>
      </c>
      <c r="B6412" s="1"/>
      <c r="C6412" s="1" t="s">
        <v>429</v>
      </c>
      <c r="D6412" s="74"/>
      <c r="E6412" s="67"/>
      <c r="F6412" s="75"/>
      <c r="G6412" s="67"/>
      <c r="H6412" s="68"/>
      <c r="I6412" s="76"/>
      <c r="J6412" s="67"/>
      <c r="K6412" s="9" t="s">
        <v>2839</v>
      </c>
      <c r="L6412" s="934"/>
      <c r="M6412" s="934"/>
    </row>
    <row r="6413" ht="12.75" hidden="1" customHeight="1" outlineLevel="1">
      <c r="A6413" s="122">
        <v>42100.0</v>
      </c>
      <c r="B6413" s="1"/>
      <c r="C6413" s="1" t="s">
        <v>431</v>
      </c>
      <c r="D6413" s="74"/>
      <c r="E6413" s="67"/>
      <c r="F6413" s="75"/>
      <c r="G6413" s="67"/>
      <c r="H6413" s="68"/>
      <c r="I6413" s="76"/>
      <c r="J6413" s="67"/>
      <c r="K6413" s="7" t="s">
        <v>1126</v>
      </c>
      <c r="L6413" s="934"/>
      <c r="M6413" s="934"/>
    </row>
    <row r="6414" ht="12.75" hidden="1" customHeight="1" outlineLevel="1">
      <c r="A6414" s="122">
        <v>42100.0</v>
      </c>
      <c r="B6414" s="1"/>
      <c r="C6414" s="1" t="s">
        <v>433</v>
      </c>
      <c r="D6414" s="74"/>
      <c r="E6414" s="67"/>
      <c r="F6414" s="75"/>
      <c r="G6414" s="67"/>
      <c r="H6414" s="68"/>
      <c r="I6414" s="76"/>
      <c r="J6414" s="67"/>
      <c r="K6414" s="7" t="s">
        <v>1103</v>
      </c>
      <c r="L6414" s="934"/>
      <c r="M6414" s="934"/>
    </row>
    <row r="6415" ht="12.75" hidden="1" customHeight="1" outlineLevel="1">
      <c r="A6415" s="122">
        <v>42100.0</v>
      </c>
      <c r="B6415" s="1"/>
      <c r="C6415" s="1" t="s">
        <v>435</v>
      </c>
      <c r="D6415" s="74"/>
      <c r="E6415" s="67"/>
      <c r="F6415" s="75"/>
      <c r="G6415" s="67"/>
      <c r="H6415" s="68"/>
      <c r="I6415" s="76"/>
      <c r="J6415" s="67"/>
      <c r="K6415" s="9" t="s">
        <v>2802</v>
      </c>
      <c r="L6415" s="934"/>
      <c r="M6415" s="934"/>
    </row>
    <row r="6416" ht="12.75" hidden="1" customHeight="1" outlineLevel="1">
      <c r="A6416" s="122">
        <v>42101.0</v>
      </c>
      <c r="B6416" s="32" t="s">
        <v>347</v>
      </c>
      <c r="C6416" s="32" t="s">
        <v>790</v>
      </c>
      <c r="D6416" s="708">
        <v>2750.0</v>
      </c>
      <c r="E6416" s="195">
        <v>6.661</v>
      </c>
      <c r="F6416" s="709">
        <v>0.39711805555555557</v>
      </c>
      <c r="G6416" s="195" t="s">
        <v>453</v>
      </c>
      <c r="H6416" s="710">
        <v>12.54</v>
      </c>
      <c r="I6416" s="256"/>
      <c r="J6416" s="67">
        <f t="shared" ref="J6416:J6426" si="391">IF(B6416="SLD",D6416*E6416,-D6416*E6416)-H6416</f>
        <v>18305.21</v>
      </c>
      <c r="L6416" s="70"/>
      <c r="M6416" s="934"/>
      <c r="N6416" s="94"/>
      <c r="O6416" s="94"/>
      <c r="P6416" s="94"/>
      <c r="Q6416" s="94"/>
      <c r="R6416" s="94"/>
      <c r="S6416" s="94"/>
      <c r="T6416" s="94"/>
      <c r="U6416" s="94"/>
      <c r="V6416" s="94"/>
      <c r="W6416" s="94"/>
      <c r="X6416" s="94"/>
      <c r="Y6416" s="94"/>
      <c r="Z6416" s="94"/>
      <c r="AA6416" s="94"/>
      <c r="AB6416" s="94"/>
      <c r="AC6416" s="94"/>
      <c r="AD6416" s="94"/>
      <c r="AE6416" s="94"/>
      <c r="AF6416" s="94"/>
      <c r="AG6416" s="94"/>
      <c r="AH6416" s="94"/>
    </row>
    <row r="6417" ht="12.75" hidden="1" customHeight="1" outlineLevel="1">
      <c r="A6417" s="122">
        <v>42101.0</v>
      </c>
      <c r="B6417" s="32" t="s">
        <v>343</v>
      </c>
      <c r="C6417" s="32" t="s">
        <v>790</v>
      </c>
      <c r="D6417" s="708">
        <v>2750.0</v>
      </c>
      <c r="E6417" s="195">
        <v>6.87</v>
      </c>
      <c r="F6417" s="709">
        <v>0.5009375</v>
      </c>
      <c r="G6417" s="195" t="s">
        <v>453</v>
      </c>
      <c r="H6417" s="710">
        <v>13.75</v>
      </c>
      <c r="I6417" s="256"/>
      <c r="J6417" s="67">
        <f t="shared" si="391"/>
        <v>-18906.25</v>
      </c>
      <c r="L6417" s="70"/>
      <c r="M6417" s="934"/>
      <c r="N6417" s="94"/>
      <c r="O6417" s="94"/>
      <c r="P6417" s="94"/>
      <c r="Q6417" s="94"/>
      <c r="R6417" s="94"/>
      <c r="S6417" s="94"/>
      <c r="T6417" s="94"/>
      <c r="U6417" s="94"/>
      <c r="V6417" s="94"/>
      <c r="W6417" s="94"/>
      <c r="X6417" s="94"/>
      <c r="Y6417" s="94"/>
      <c r="Z6417" s="94"/>
      <c r="AA6417" s="94"/>
      <c r="AB6417" s="94"/>
      <c r="AC6417" s="94"/>
      <c r="AD6417" s="94"/>
      <c r="AE6417" s="94"/>
      <c r="AF6417" s="94"/>
      <c r="AG6417" s="94"/>
      <c r="AH6417" s="94"/>
    </row>
    <row r="6418" ht="12.75" hidden="1" customHeight="1" outlineLevel="1">
      <c r="A6418" s="122">
        <v>42101.0</v>
      </c>
      <c r="B6418" s="32" t="s">
        <v>347</v>
      </c>
      <c r="C6418" s="32" t="s">
        <v>790</v>
      </c>
      <c r="D6418" s="708">
        <v>1000.0</v>
      </c>
      <c r="E6418" s="195">
        <v>6.88</v>
      </c>
      <c r="F6418" s="709">
        <v>0.5793402777777777</v>
      </c>
      <c r="G6418" s="195" t="s">
        <v>453</v>
      </c>
      <c r="H6418" s="710">
        <v>4.53</v>
      </c>
      <c r="I6418" s="256"/>
      <c r="J6418" s="67">
        <f t="shared" si="391"/>
        <v>6875.47</v>
      </c>
      <c r="L6418" s="70"/>
      <c r="M6418" s="934"/>
      <c r="N6418" s="94"/>
      <c r="O6418" s="94"/>
      <c r="P6418" s="94"/>
      <c r="Q6418" s="94"/>
      <c r="R6418" s="94"/>
      <c r="S6418" s="94"/>
      <c r="T6418" s="94"/>
      <c r="U6418" s="94"/>
      <c r="V6418" s="94"/>
      <c r="W6418" s="94"/>
      <c r="X6418" s="94"/>
      <c r="Y6418" s="94"/>
      <c r="Z6418" s="94"/>
      <c r="AA6418" s="94"/>
      <c r="AB6418" s="94"/>
      <c r="AC6418" s="94"/>
      <c r="AD6418" s="94"/>
      <c r="AE6418" s="94"/>
      <c r="AF6418" s="94"/>
      <c r="AG6418" s="94"/>
      <c r="AH6418" s="94"/>
    </row>
    <row r="6419" ht="12.75" hidden="1" customHeight="1" outlineLevel="1">
      <c r="A6419" s="122">
        <v>42101.0</v>
      </c>
      <c r="B6419" s="32" t="s">
        <v>347</v>
      </c>
      <c r="C6419" s="32" t="s">
        <v>2048</v>
      </c>
      <c r="D6419" s="708">
        <v>750.0</v>
      </c>
      <c r="E6419" s="195">
        <v>10.47</v>
      </c>
      <c r="F6419" s="709">
        <v>0.579837962962963</v>
      </c>
      <c r="G6419" s="195" t="s">
        <v>453</v>
      </c>
      <c r="H6419" s="710">
        <v>3.89</v>
      </c>
      <c r="I6419" s="256"/>
      <c r="J6419" s="67">
        <f t="shared" si="391"/>
        <v>7848.61</v>
      </c>
      <c r="L6419" s="70"/>
      <c r="M6419" s="934"/>
      <c r="N6419" s="94"/>
      <c r="O6419" s="94"/>
      <c r="P6419" s="94"/>
      <c r="Q6419" s="94"/>
      <c r="R6419" s="94"/>
      <c r="S6419" s="94"/>
      <c r="T6419" s="94"/>
      <c r="U6419" s="94"/>
      <c r="V6419" s="94"/>
      <c r="W6419" s="94"/>
      <c r="X6419" s="94"/>
      <c r="Y6419" s="94"/>
      <c r="Z6419" s="94"/>
      <c r="AA6419" s="94"/>
      <c r="AB6419" s="94"/>
      <c r="AC6419" s="94"/>
      <c r="AD6419" s="94"/>
      <c r="AE6419" s="94"/>
      <c r="AF6419" s="94"/>
      <c r="AG6419" s="94"/>
      <c r="AH6419" s="94"/>
    </row>
    <row r="6420" ht="12.75" hidden="1" customHeight="1" outlineLevel="1">
      <c r="A6420" s="122">
        <v>42101.0</v>
      </c>
      <c r="B6420" s="32" t="s">
        <v>347</v>
      </c>
      <c r="C6420" s="32" t="s">
        <v>1400</v>
      </c>
      <c r="D6420" s="708">
        <v>250.0</v>
      </c>
      <c r="E6420" s="195">
        <v>78.391</v>
      </c>
      <c r="F6420" s="709">
        <v>0.6500578703703703</v>
      </c>
      <c r="G6420" s="195" t="s">
        <v>453</v>
      </c>
      <c r="H6420" s="710">
        <v>1.36</v>
      </c>
      <c r="I6420" s="256"/>
      <c r="J6420" s="67">
        <f t="shared" si="391"/>
        <v>19596.39</v>
      </c>
      <c r="L6420" s="70"/>
      <c r="M6420" s="934"/>
      <c r="N6420" s="94"/>
      <c r="O6420" s="94"/>
      <c r="P6420" s="94"/>
      <c r="Q6420" s="94"/>
      <c r="R6420" s="94"/>
      <c r="S6420" s="94"/>
      <c r="T6420" s="94"/>
      <c r="U6420" s="94"/>
      <c r="V6420" s="94"/>
      <c r="W6420" s="94"/>
      <c r="X6420" s="94"/>
      <c r="Y6420" s="94"/>
      <c r="Z6420" s="94"/>
      <c r="AA6420" s="94"/>
      <c r="AB6420" s="94"/>
      <c r="AC6420" s="94"/>
      <c r="AD6420" s="94"/>
      <c r="AE6420" s="94"/>
      <c r="AF6420" s="94"/>
      <c r="AG6420" s="94"/>
      <c r="AH6420" s="94"/>
    </row>
    <row r="6421" ht="12.75" hidden="1" customHeight="1" outlineLevel="1">
      <c r="A6421" s="122">
        <v>42101.0</v>
      </c>
      <c r="B6421" s="32" t="s">
        <v>343</v>
      </c>
      <c r="C6421" s="32" t="s">
        <v>369</v>
      </c>
      <c r="D6421" s="708">
        <v>1000.0</v>
      </c>
      <c r="E6421" s="195">
        <v>4.94</v>
      </c>
      <c r="F6421" s="709">
        <v>0.6647800925925926</v>
      </c>
      <c r="G6421" s="195" t="s">
        <v>453</v>
      </c>
      <c r="H6421" s="710">
        <v>5.0</v>
      </c>
      <c r="I6421" s="256"/>
      <c r="J6421" s="67">
        <f t="shared" si="391"/>
        <v>-4945</v>
      </c>
      <c r="L6421" s="70"/>
      <c r="M6421" s="934"/>
      <c r="N6421" s="94"/>
      <c r="O6421" s="94"/>
      <c r="P6421" s="94"/>
      <c r="Q6421" s="94"/>
      <c r="R6421" s="94"/>
      <c r="S6421" s="94"/>
      <c r="T6421" s="94"/>
      <c r="U6421" s="94"/>
      <c r="V6421" s="94"/>
      <c r="W6421" s="94"/>
      <c r="X6421" s="94"/>
      <c r="Y6421" s="94"/>
      <c r="Z6421" s="94"/>
      <c r="AA6421" s="94"/>
      <c r="AB6421" s="94"/>
      <c r="AC6421" s="94"/>
      <c r="AD6421" s="94"/>
      <c r="AE6421" s="94"/>
      <c r="AF6421" s="94"/>
      <c r="AG6421" s="94"/>
      <c r="AH6421" s="94"/>
    </row>
    <row r="6422" ht="12.75" hidden="1" customHeight="1" outlineLevel="1">
      <c r="A6422" s="122">
        <v>42101.0</v>
      </c>
      <c r="B6422" s="32" t="s">
        <v>343</v>
      </c>
      <c r="C6422" s="32" t="s">
        <v>2048</v>
      </c>
      <c r="D6422" s="708">
        <v>1500.0</v>
      </c>
      <c r="E6422" s="195">
        <v>10.6</v>
      </c>
      <c r="F6422" s="709">
        <v>0.6649421296296296</v>
      </c>
      <c r="G6422" s="195" t="s">
        <v>453</v>
      </c>
      <c r="H6422" s="710">
        <v>7.5</v>
      </c>
      <c r="I6422" s="256"/>
      <c r="J6422" s="67">
        <f t="shared" si="391"/>
        <v>-15907.5</v>
      </c>
      <c r="L6422" s="70"/>
      <c r="M6422" s="934"/>
      <c r="N6422" s="94"/>
      <c r="O6422" s="94"/>
      <c r="P6422" s="94"/>
      <c r="Q6422" s="94"/>
      <c r="R6422" s="94"/>
      <c r="S6422" s="94"/>
      <c r="T6422" s="94"/>
      <c r="U6422" s="94"/>
      <c r="V6422" s="94"/>
      <c r="W6422" s="94"/>
      <c r="X6422" s="94"/>
      <c r="Y6422" s="94"/>
      <c r="Z6422" s="94"/>
      <c r="AA6422" s="94"/>
      <c r="AB6422" s="94"/>
      <c r="AC6422" s="94"/>
      <c r="AD6422" s="94"/>
      <c r="AE6422" s="94"/>
      <c r="AF6422" s="94"/>
      <c r="AG6422" s="94"/>
      <c r="AH6422" s="94"/>
    </row>
    <row r="6423" ht="12.75" hidden="1" customHeight="1" outlineLevel="1">
      <c r="A6423" s="122">
        <v>42101.0</v>
      </c>
      <c r="B6423" s="32" t="s">
        <v>343</v>
      </c>
      <c r="C6423" s="32" t="s">
        <v>790</v>
      </c>
      <c r="D6423" s="708">
        <v>1750.0</v>
      </c>
      <c r="E6423" s="195">
        <v>6.92</v>
      </c>
      <c r="F6423" s="709">
        <v>0.6650462962962963</v>
      </c>
      <c r="G6423" s="195" t="s">
        <v>453</v>
      </c>
      <c r="H6423" s="710">
        <v>8.75</v>
      </c>
      <c r="I6423" s="256"/>
      <c r="J6423" s="67">
        <f t="shared" si="391"/>
        <v>-12118.75</v>
      </c>
      <c r="L6423" s="70"/>
      <c r="M6423" s="934"/>
      <c r="N6423" s="94"/>
      <c r="O6423" s="94"/>
      <c r="P6423" s="94"/>
      <c r="Q6423" s="94"/>
      <c r="R6423" s="94"/>
      <c r="S6423" s="94"/>
      <c r="T6423" s="94"/>
      <c r="U6423" s="94"/>
      <c r="V6423" s="94"/>
      <c r="W6423" s="94"/>
      <c r="X6423" s="94"/>
      <c r="Y6423" s="94"/>
      <c r="Z6423" s="94"/>
      <c r="AA6423" s="94"/>
      <c r="AB6423" s="94"/>
      <c r="AC6423" s="94"/>
      <c r="AD6423" s="94"/>
      <c r="AE6423" s="94"/>
      <c r="AF6423" s="94"/>
      <c r="AG6423" s="94"/>
      <c r="AH6423" s="94"/>
    </row>
    <row r="6424" ht="12.75" hidden="1" customHeight="1" outlineLevel="1">
      <c r="A6424" s="122">
        <v>42101.0</v>
      </c>
      <c r="B6424" s="32" t="s">
        <v>343</v>
      </c>
      <c r="C6424" s="32" t="s">
        <v>784</v>
      </c>
      <c r="D6424" s="708">
        <v>1500.0</v>
      </c>
      <c r="E6424" s="195">
        <v>6.08</v>
      </c>
      <c r="F6424" s="709">
        <v>0.665162037037037</v>
      </c>
      <c r="G6424" s="195" t="s">
        <v>453</v>
      </c>
      <c r="H6424" s="710">
        <v>7.5</v>
      </c>
      <c r="I6424" s="256"/>
      <c r="J6424" s="67">
        <f t="shared" si="391"/>
        <v>-9127.5</v>
      </c>
      <c r="L6424" s="70"/>
      <c r="M6424" s="934"/>
      <c r="N6424" s="94"/>
      <c r="O6424" s="94"/>
      <c r="P6424" s="94"/>
      <c r="Q6424" s="94"/>
      <c r="R6424" s="94"/>
      <c r="S6424" s="94"/>
      <c r="T6424" s="94"/>
      <c r="U6424" s="94"/>
      <c r="V6424" s="94"/>
      <c r="W6424" s="94"/>
      <c r="X6424" s="94"/>
      <c r="Y6424" s="94"/>
      <c r="Z6424" s="94"/>
      <c r="AA6424" s="94"/>
      <c r="AB6424" s="94"/>
      <c r="AC6424" s="94"/>
      <c r="AD6424" s="94"/>
      <c r="AE6424" s="94"/>
      <c r="AF6424" s="94"/>
      <c r="AG6424" s="94"/>
      <c r="AH6424" s="94"/>
    </row>
    <row r="6425" ht="12.75" hidden="1" customHeight="1" outlineLevel="1">
      <c r="A6425" s="122">
        <v>42101.0</v>
      </c>
      <c r="B6425" s="32" t="s">
        <v>347</v>
      </c>
      <c r="C6425" s="32" t="s">
        <v>2861</v>
      </c>
      <c r="D6425" s="708">
        <v>100.0</v>
      </c>
      <c r="E6425" s="195">
        <v>197.15</v>
      </c>
      <c r="F6425" s="709">
        <v>0.6657638888888889</v>
      </c>
      <c r="G6425" s="195" t="s">
        <v>453</v>
      </c>
      <c r="H6425" s="710">
        <v>1.36</v>
      </c>
      <c r="I6425" s="256"/>
      <c r="J6425" s="67">
        <f t="shared" si="391"/>
        <v>19713.64</v>
      </c>
      <c r="L6425" s="70"/>
      <c r="M6425" s="934"/>
      <c r="N6425" s="94"/>
      <c r="O6425" s="94"/>
      <c r="P6425" s="94"/>
      <c r="Q6425" s="94"/>
      <c r="R6425" s="94"/>
      <c r="S6425" s="94"/>
      <c r="T6425" s="94"/>
      <c r="U6425" s="94"/>
      <c r="V6425" s="94"/>
      <c r="W6425" s="94"/>
      <c r="X6425" s="94"/>
      <c r="Y6425" s="94"/>
      <c r="Z6425" s="94"/>
      <c r="AA6425" s="94"/>
      <c r="AB6425" s="94"/>
      <c r="AC6425" s="94"/>
      <c r="AD6425" s="94"/>
      <c r="AE6425" s="94"/>
      <c r="AF6425" s="94"/>
      <c r="AG6425" s="94"/>
      <c r="AH6425" s="94"/>
    </row>
    <row r="6426" ht="12.75" hidden="1" customHeight="1" outlineLevel="1">
      <c r="A6426" s="122">
        <v>42101.0</v>
      </c>
      <c r="B6426" s="32" t="s">
        <v>347</v>
      </c>
      <c r="C6426" s="32" t="s">
        <v>2412</v>
      </c>
      <c r="D6426" s="708">
        <v>300.0</v>
      </c>
      <c r="E6426" s="195">
        <v>61.433</v>
      </c>
      <c r="F6426" s="709">
        <v>0.6665972222222222</v>
      </c>
      <c r="G6426" s="195" t="s">
        <v>453</v>
      </c>
      <c r="H6426" s="710">
        <v>1.54</v>
      </c>
      <c r="I6426" s="256"/>
      <c r="J6426" s="67">
        <f t="shared" si="391"/>
        <v>18428.36</v>
      </c>
      <c r="L6426" s="70"/>
      <c r="M6426" s="934"/>
      <c r="N6426" s="94"/>
      <c r="O6426" s="94"/>
      <c r="P6426" s="94"/>
      <c r="Q6426" s="94"/>
      <c r="R6426" s="94"/>
      <c r="S6426" s="94"/>
      <c r="T6426" s="94"/>
      <c r="U6426" s="94"/>
      <c r="V6426" s="94"/>
      <c r="W6426" s="94"/>
      <c r="X6426" s="94"/>
      <c r="Y6426" s="94"/>
      <c r="Z6426" s="94"/>
      <c r="AA6426" s="94"/>
      <c r="AB6426" s="94"/>
      <c r="AC6426" s="94"/>
      <c r="AD6426" s="94"/>
      <c r="AE6426" s="94"/>
      <c r="AF6426" s="94"/>
      <c r="AG6426" s="94"/>
      <c r="AH6426" s="94"/>
    </row>
    <row r="6427" ht="12.75" hidden="1" customHeight="1" outlineLevel="1">
      <c r="A6427" s="122">
        <v>42101.0</v>
      </c>
      <c r="B6427" s="1"/>
      <c r="C6427" s="1" t="s">
        <v>339</v>
      </c>
      <c r="D6427" s="74"/>
      <c r="E6427" s="67"/>
      <c r="F6427" s="75"/>
      <c r="G6427" s="67"/>
      <c r="H6427" s="68"/>
      <c r="I6427" s="76"/>
      <c r="K6427" s="968" t="s">
        <v>2914</v>
      </c>
      <c r="L6427" s="934"/>
      <c r="M6427" s="934"/>
    </row>
    <row r="6428" ht="12.75" hidden="1" customHeight="1" outlineLevel="1">
      <c r="A6428" s="122">
        <v>42101.0</v>
      </c>
      <c r="B6428" s="1"/>
      <c r="C6428" s="1" t="s">
        <v>429</v>
      </c>
      <c r="D6428" s="74"/>
      <c r="E6428" s="67"/>
      <c r="F6428" s="75"/>
      <c r="G6428" s="67"/>
      <c r="H6428" s="68"/>
      <c r="I6428" s="76"/>
      <c r="J6428" s="67"/>
      <c r="K6428" s="9" t="s">
        <v>2839</v>
      </c>
      <c r="L6428" s="934"/>
      <c r="M6428" s="934"/>
    </row>
    <row r="6429" ht="12.75" hidden="1" customHeight="1" outlineLevel="1">
      <c r="A6429" s="122">
        <v>42101.0</v>
      </c>
      <c r="B6429" s="1"/>
      <c r="C6429" s="1" t="s">
        <v>431</v>
      </c>
      <c r="D6429" s="74"/>
      <c r="E6429" s="67"/>
      <c r="F6429" s="75"/>
      <c r="G6429" s="67"/>
      <c r="H6429" s="68"/>
      <c r="I6429" s="76"/>
      <c r="J6429" s="67"/>
      <c r="K6429" s="7" t="s">
        <v>1126</v>
      </c>
      <c r="L6429" s="934"/>
      <c r="M6429" s="934"/>
    </row>
    <row r="6430" ht="12.75" hidden="1" customHeight="1" outlineLevel="1">
      <c r="A6430" s="122">
        <v>42101.0</v>
      </c>
      <c r="B6430" s="1"/>
      <c r="C6430" s="1" t="s">
        <v>433</v>
      </c>
      <c r="D6430" s="74"/>
      <c r="E6430" s="67"/>
      <c r="F6430" s="75"/>
      <c r="G6430" s="67"/>
      <c r="H6430" s="68"/>
      <c r="I6430" s="76"/>
      <c r="J6430" s="67"/>
      <c r="K6430" s="7" t="s">
        <v>1103</v>
      </c>
      <c r="L6430" s="934"/>
      <c r="M6430" s="934"/>
    </row>
    <row r="6431" ht="12.75" hidden="1" customHeight="1" outlineLevel="1">
      <c r="A6431" s="122">
        <v>42101.0</v>
      </c>
      <c r="B6431" s="1"/>
      <c r="C6431" s="1" t="s">
        <v>435</v>
      </c>
      <c r="D6431" s="74"/>
      <c r="E6431" s="67"/>
      <c r="F6431" s="75"/>
      <c r="G6431" s="67"/>
      <c r="H6431" s="68"/>
      <c r="I6431" s="76"/>
      <c r="J6431" s="67"/>
      <c r="K6431" s="9" t="s">
        <v>2802</v>
      </c>
      <c r="L6431" s="934"/>
      <c r="M6431" s="934"/>
    </row>
    <row r="6432" ht="12.75" hidden="1" customHeight="1" outlineLevel="1">
      <c r="A6432" s="122">
        <v>42102.0</v>
      </c>
      <c r="B6432" s="32" t="s">
        <v>347</v>
      </c>
      <c r="C6432" s="32" t="s">
        <v>2048</v>
      </c>
      <c r="D6432" s="708">
        <v>1250.0</v>
      </c>
      <c r="E6432" s="195">
        <v>10.3732</v>
      </c>
      <c r="F6432" s="709">
        <v>0.44061342592592595</v>
      </c>
      <c r="G6432" s="195" t="s">
        <v>453</v>
      </c>
      <c r="H6432" s="710">
        <v>5.24</v>
      </c>
      <c r="I6432" s="256"/>
      <c r="J6432" s="67">
        <f t="shared" ref="J6432:J6478" si="392">IF(B6432="SLD",D6432*E6432,-D6432*E6432)-H6432</f>
        <v>12961.26</v>
      </c>
      <c r="L6432" s="70"/>
      <c r="M6432" s="934"/>
      <c r="N6432" s="94"/>
      <c r="O6432" s="94"/>
      <c r="P6432" s="94"/>
      <c r="Q6432" s="94"/>
      <c r="R6432" s="94"/>
      <c r="S6432" s="94"/>
      <c r="T6432" s="94"/>
      <c r="U6432" s="94"/>
      <c r="V6432" s="94"/>
      <c r="W6432" s="94"/>
      <c r="X6432" s="94"/>
      <c r="Y6432" s="94"/>
      <c r="Z6432" s="94"/>
      <c r="AA6432" s="94"/>
      <c r="AB6432" s="94"/>
      <c r="AC6432" s="94"/>
      <c r="AD6432" s="94"/>
      <c r="AE6432" s="94"/>
      <c r="AF6432" s="94"/>
      <c r="AG6432" s="94"/>
      <c r="AH6432" s="94"/>
    </row>
    <row r="6433" ht="12.75" hidden="1" customHeight="1" outlineLevel="1">
      <c r="A6433" s="122">
        <v>42102.0</v>
      </c>
      <c r="B6433" s="32" t="s">
        <v>343</v>
      </c>
      <c r="C6433" s="32" t="s">
        <v>1400</v>
      </c>
      <c r="D6433" s="708">
        <v>250.0</v>
      </c>
      <c r="E6433" s="195">
        <v>78.94</v>
      </c>
      <c r="F6433" s="709">
        <v>0.44787037037037036</v>
      </c>
      <c r="G6433" s="195" t="s">
        <v>453</v>
      </c>
      <c r="H6433" s="710">
        <v>1.1</v>
      </c>
      <c r="I6433" s="256"/>
      <c r="J6433" s="67">
        <f t="shared" si="392"/>
        <v>-19736.1</v>
      </c>
      <c r="L6433" s="70"/>
      <c r="M6433" s="934"/>
      <c r="N6433" s="94"/>
      <c r="O6433" s="94"/>
      <c r="P6433" s="94"/>
      <c r="Q6433" s="94"/>
      <c r="R6433" s="94"/>
      <c r="S6433" s="94"/>
      <c r="T6433" s="94"/>
      <c r="U6433" s="94"/>
      <c r="V6433" s="94"/>
      <c r="W6433" s="94"/>
      <c r="X6433" s="94"/>
      <c r="Y6433" s="94"/>
      <c r="Z6433" s="94"/>
      <c r="AA6433" s="94"/>
      <c r="AB6433" s="94"/>
      <c r="AC6433" s="94"/>
      <c r="AD6433" s="94"/>
      <c r="AE6433" s="94"/>
      <c r="AF6433" s="94"/>
      <c r="AG6433" s="94"/>
      <c r="AH6433" s="94"/>
    </row>
    <row r="6434" ht="12.75" hidden="1" customHeight="1" outlineLevel="1">
      <c r="A6434" s="122">
        <v>42102.0</v>
      </c>
      <c r="B6434" s="32" t="s">
        <v>343</v>
      </c>
      <c r="C6434" s="32" t="s">
        <v>2861</v>
      </c>
      <c r="D6434" s="708">
        <v>100.0</v>
      </c>
      <c r="E6434" s="195">
        <v>196.65</v>
      </c>
      <c r="F6434" s="709">
        <v>0.44864583333333335</v>
      </c>
      <c r="G6434" s="195" t="s">
        <v>453</v>
      </c>
      <c r="H6434" s="710">
        <v>1.0</v>
      </c>
      <c r="I6434" s="256"/>
      <c r="J6434" s="67">
        <f t="shared" si="392"/>
        <v>-19666</v>
      </c>
      <c r="L6434" s="70"/>
      <c r="M6434" s="934"/>
      <c r="N6434" s="94"/>
      <c r="O6434" s="94"/>
      <c r="P6434" s="94"/>
      <c r="Q6434" s="94"/>
      <c r="R6434" s="94"/>
      <c r="S6434" s="94"/>
      <c r="T6434" s="94"/>
      <c r="U6434" s="94"/>
      <c r="V6434" s="94"/>
      <c r="W6434" s="94"/>
      <c r="X6434" s="94"/>
      <c r="Y6434" s="94"/>
      <c r="Z6434" s="94"/>
      <c r="AA6434" s="94"/>
      <c r="AB6434" s="94"/>
      <c r="AC6434" s="94"/>
      <c r="AD6434" s="94"/>
      <c r="AE6434" s="94"/>
      <c r="AF6434" s="94"/>
      <c r="AG6434" s="94"/>
      <c r="AH6434" s="94"/>
    </row>
    <row r="6435" ht="12.75" hidden="1" customHeight="1" outlineLevel="1">
      <c r="A6435" s="122">
        <v>42102.0</v>
      </c>
      <c r="B6435" s="32" t="s">
        <v>347</v>
      </c>
      <c r="C6435" s="32" t="s">
        <v>784</v>
      </c>
      <c r="D6435" s="708">
        <v>2500.0</v>
      </c>
      <c r="E6435" s="195">
        <v>6.151</v>
      </c>
      <c r="F6435" s="709">
        <v>0.4554166666666667</v>
      </c>
      <c r="G6435" s="195" t="s">
        <v>453</v>
      </c>
      <c r="H6435" s="710">
        <v>10.98</v>
      </c>
      <c r="I6435" s="256"/>
      <c r="J6435" s="67">
        <f t="shared" si="392"/>
        <v>15366.52</v>
      </c>
      <c r="L6435" s="70"/>
      <c r="M6435" s="934"/>
      <c r="N6435" s="94"/>
      <c r="O6435" s="94"/>
      <c r="P6435" s="94"/>
      <c r="Q6435" s="94"/>
      <c r="R6435" s="94"/>
      <c r="S6435" s="94"/>
      <c r="T6435" s="94"/>
      <c r="U6435" s="94"/>
      <c r="V6435" s="94"/>
      <c r="W6435" s="94"/>
      <c r="X6435" s="94"/>
      <c r="Y6435" s="94"/>
      <c r="Z6435" s="94"/>
      <c r="AA6435" s="94"/>
      <c r="AB6435" s="94"/>
      <c r="AC6435" s="94"/>
      <c r="AD6435" s="94"/>
      <c r="AE6435" s="94"/>
      <c r="AF6435" s="94"/>
      <c r="AG6435" s="94"/>
      <c r="AH6435" s="94"/>
    </row>
    <row r="6436" ht="12.75" hidden="1" customHeight="1" outlineLevel="1">
      <c r="A6436" s="122">
        <v>42102.0</v>
      </c>
      <c r="B6436" s="32" t="s">
        <v>347</v>
      </c>
      <c r="C6436" s="32" t="s">
        <v>790</v>
      </c>
      <c r="D6436" s="708">
        <v>1500.0</v>
      </c>
      <c r="E6436" s="195">
        <v>6.91</v>
      </c>
      <c r="F6436" s="709">
        <v>0.47430555555555554</v>
      </c>
      <c r="G6436" s="195" t="s">
        <v>453</v>
      </c>
      <c r="H6436" s="710">
        <v>7.69</v>
      </c>
      <c r="I6436" s="256"/>
      <c r="J6436" s="67">
        <f t="shared" si="392"/>
        <v>10357.31</v>
      </c>
      <c r="L6436" s="70"/>
      <c r="M6436" s="934"/>
      <c r="N6436" s="94"/>
      <c r="O6436" s="94"/>
      <c r="P6436" s="94"/>
      <c r="Q6436" s="94"/>
      <c r="R6436" s="94"/>
      <c r="S6436" s="94"/>
      <c r="T6436" s="94"/>
      <c r="U6436" s="94"/>
      <c r="V6436" s="94"/>
      <c r="W6436" s="94"/>
      <c r="X6436" s="94"/>
      <c r="Y6436" s="94"/>
      <c r="Z6436" s="94"/>
      <c r="AA6436" s="94"/>
      <c r="AB6436" s="94"/>
      <c r="AC6436" s="94"/>
      <c r="AD6436" s="94"/>
      <c r="AE6436" s="94"/>
      <c r="AF6436" s="94"/>
      <c r="AG6436" s="94"/>
      <c r="AH6436" s="94"/>
    </row>
    <row r="6437" ht="12.75" hidden="1" customHeight="1" outlineLevel="1">
      <c r="A6437" s="122">
        <v>42102.0</v>
      </c>
      <c r="B6437" s="32" t="s">
        <v>347</v>
      </c>
      <c r="C6437" s="32" t="s">
        <v>1844</v>
      </c>
      <c r="D6437" s="708">
        <v>200.0</v>
      </c>
      <c r="E6437" s="195">
        <v>48.21</v>
      </c>
      <c r="F6437" s="709">
        <v>0.47461805555555553</v>
      </c>
      <c r="G6437" s="195" t="s">
        <v>453</v>
      </c>
      <c r="H6437" s="710">
        <v>1.18</v>
      </c>
      <c r="I6437" s="256"/>
      <c r="J6437" s="67">
        <f t="shared" si="392"/>
        <v>9640.82</v>
      </c>
      <c r="L6437" s="70"/>
      <c r="M6437" s="934"/>
      <c r="N6437" s="94"/>
      <c r="O6437" s="94"/>
      <c r="P6437" s="94"/>
      <c r="Q6437" s="94"/>
      <c r="R6437" s="94"/>
      <c r="S6437" s="94"/>
      <c r="T6437" s="94"/>
      <c r="U6437" s="94"/>
      <c r="V6437" s="94"/>
      <c r="W6437" s="94"/>
      <c r="X6437" s="94"/>
      <c r="Y6437" s="94"/>
      <c r="Z6437" s="94"/>
      <c r="AA6437" s="94"/>
      <c r="AB6437" s="94"/>
      <c r="AC6437" s="94"/>
      <c r="AD6437" s="94"/>
      <c r="AE6437" s="94"/>
      <c r="AF6437" s="94"/>
      <c r="AG6437" s="94"/>
      <c r="AH6437" s="94"/>
    </row>
    <row r="6438" ht="12.75" hidden="1" customHeight="1" outlineLevel="1">
      <c r="A6438" s="122">
        <v>42102.0</v>
      </c>
      <c r="B6438" s="32" t="s">
        <v>347</v>
      </c>
      <c r="C6438" s="32" t="s">
        <v>784</v>
      </c>
      <c r="D6438" s="708">
        <v>2500.0</v>
      </c>
      <c r="E6438" s="195">
        <v>6.15</v>
      </c>
      <c r="F6438" s="709">
        <v>0.4757986111111111</v>
      </c>
      <c r="G6438" s="195" t="s">
        <v>453</v>
      </c>
      <c r="H6438" s="710">
        <v>12.68</v>
      </c>
      <c r="I6438" s="256"/>
      <c r="J6438" s="67">
        <f t="shared" si="392"/>
        <v>15362.32</v>
      </c>
      <c r="L6438" s="70"/>
      <c r="M6438" s="934"/>
      <c r="N6438" s="94"/>
      <c r="O6438" s="94"/>
      <c r="P6438" s="94"/>
      <c r="Q6438" s="94"/>
      <c r="R6438" s="94"/>
      <c r="S6438" s="94"/>
      <c r="T6438" s="94"/>
      <c r="U6438" s="94"/>
      <c r="V6438" s="94"/>
      <c r="W6438" s="94"/>
      <c r="X6438" s="94"/>
      <c r="Y6438" s="94"/>
      <c r="Z6438" s="94"/>
      <c r="AA6438" s="94"/>
      <c r="AB6438" s="94"/>
      <c r="AC6438" s="94"/>
      <c r="AD6438" s="94"/>
      <c r="AE6438" s="94"/>
      <c r="AF6438" s="94"/>
      <c r="AG6438" s="94"/>
      <c r="AH6438" s="94"/>
    </row>
    <row r="6439" ht="12.75" hidden="1" customHeight="1" outlineLevel="1">
      <c r="A6439" s="122">
        <v>42102.0</v>
      </c>
      <c r="B6439" s="32" t="s">
        <v>347</v>
      </c>
      <c r="C6439" s="32" t="s">
        <v>2048</v>
      </c>
      <c r="D6439" s="708">
        <v>750.0</v>
      </c>
      <c r="E6439" s="195">
        <v>10.25</v>
      </c>
      <c r="F6439" s="709">
        <v>0.5156944444444445</v>
      </c>
      <c r="G6439" s="195" t="s">
        <v>453</v>
      </c>
      <c r="H6439" s="710">
        <v>3.14</v>
      </c>
      <c r="I6439" s="256"/>
      <c r="J6439" s="67">
        <f t="shared" si="392"/>
        <v>7684.36</v>
      </c>
      <c r="L6439" s="70"/>
      <c r="M6439" s="934"/>
      <c r="N6439" s="94"/>
      <c r="O6439" s="94"/>
      <c r="P6439" s="94"/>
      <c r="Q6439" s="94"/>
      <c r="R6439" s="94"/>
      <c r="S6439" s="94"/>
      <c r="T6439" s="94"/>
      <c r="U6439" s="94"/>
      <c r="V6439" s="94"/>
      <c r="W6439" s="94"/>
      <c r="X6439" s="94"/>
      <c r="Y6439" s="94"/>
      <c r="Z6439" s="94"/>
      <c r="AA6439" s="94"/>
      <c r="AB6439" s="94"/>
      <c r="AC6439" s="94"/>
      <c r="AD6439" s="94"/>
      <c r="AE6439" s="94"/>
      <c r="AF6439" s="94"/>
      <c r="AG6439" s="94"/>
      <c r="AH6439" s="94"/>
    </row>
    <row r="6440" ht="12.75" hidden="1" customHeight="1" outlineLevel="1">
      <c r="A6440" s="122">
        <v>42102.0</v>
      </c>
      <c r="B6440" s="32" t="s">
        <v>343</v>
      </c>
      <c r="C6440" s="32" t="s">
        <v>790</v>
      </c>
      <c r="D6440" s="708">
        <v>1500.0</v>
      </c>
      <c r="E6440" s="195">
        <v>7.08</v>
      </c>
      <c r="F6440" s="709">
        <v>0.5682407407407407</v>
      </c>
      <c r="G6440" s="195" t="s">
        <v>453</v>
      </c>
      <c r="H6440" s="710">
        <v>7.3</v>
      </c>
      <c r="I6440" s="256"/>
      <c r="J6440" s="67">
        <f t="shared" si="392"/>
        <v>-10627.3</v>
      </c>
      <c r="L6440" s="70"/>
      <c r="M6440" s="934"/>
      <c r="N6440" s="94"/>
      <c r="O6440" s="94"/>
      <c r="P6440" s="94"/>
      <c r="Q6440" s="94"/>
      <c r="R6440" s="94"/>
      <c r="S6440" s="94"/>
      <c r="T6440" s="94"/>
      <c r="U6440" s="94"/>
      <c r="V6440" s="94"/>
      <c r="W6440" s="94"/>
      <c r="X6440" s="94"/>
      <c r="Y6440" s="94"/>
      <c r="Z6440" s="94"/>
      <c r="AA6440" s="94"/>
      <c r="AB6440" s="94"/>
      <c r="AC6440" s="94"/>
      <c r="AD6440" s="94"/>
      <c r="AE6440" s="94"/>
      <c r="AF6440" s="94"/>
      <c r="AG6440" s="94"/>
      <c r="AH6440" s="94"/>
    </row>
    <row r="6441" ht="12.75" hidden="1" customHeight="1" outlineLevel="1">
      <c r="A6441" s="122">
        <v>42102.0</v>
      </c>
      <c r="B6441" s="32" t="s">
        <v>343</v>
      </c>
      <c r="C6441" s="32" t="s">
        <v>784</v>
      </c>
      <c r="D6441" s="708">
        <v>5000.0</v>
      </c>
      <c r="E6441" s="195">
        <v>6.24</v>
      </c>
      <c r="F6441" s="709">
        <v>0.5683564814814814</v>
      </c>
      <c r="G6441" s="195" t="s">
        <v>453</v>
      </c>
      <c r="H6441" s="710">
        <v>25.0</v>
      </c>
      <c r="I6441" s="256"/>
      <c r="J6441" s="67">
        <f t="shared" si="392"/>
        <v>-31225</v>
      </c>
      <c r="L6441" s="70"/>
      <c r="M6441" s="934"/>
      <c r="N6441" s="94"/>
      <c r="O6441" s="94"/>
      <c r="P6441" s="94"/>
      <c r="Q6441" s="94"/>
      <c r="R6441" s="94"/>
      <c r="S6441" s="94"/>
      <c r="T6441" s="94"/>
      <c r="U6441" s="94"/>
      <c r="V6441" s="94"/>
      <c r="W6441" s="94"/>
      <c r="X6441" s="94"/>
      <c r="Y6441" s="94"/>
      <c r="Z6441" s="94"/>
      <c r="AA6441" s="94"/>
      <c r="AB6441" s="94"/>
      <c r="AC6441" s="94"/>
      <c r="AD6441" s="94"/>
      <c r="AE6441" s="94"/>
      <c r="AF6441" s="94"/>
      <c r="AG6441" s="94"/>
      <c r="AH6441" s="94"/>
    </row>
    <row r="6442" ht="12.75" hidden="1" customHeight="1" outlineLevel="1">
      <c r="A6442" s="122">
        <v>42102.0</v>
      </c>
      <c r="B6442" s="32" t="s">
        <v>343</v>
      </c>
      <c r="C6442" s="32" t="s">
        <v>2048</v>
      </c>
      <c r="D6442" s="708">
        <v>2000.0</v>
      </c>
      <c r="E6442" s="195">
        <v>10.35</v>
      </c>
      <c r="F6442" s="709">
        <v>0.5684837962962963</v>
      </c>
      <c r="G6442" s="195" t="s">
        <v>453</v>
      </c>
      <c r="H6442" s="710">
        <v>8.1</v>
      </c>
      <c r="I6442" s="256"/>
      <c r="J6442" s="67">
        <f t="shared" si="392"/>
        <v>-20708.1</v>
      </c>
      <c r="L6442" s="70"/>
      <c r="M6442" s="934"/>
      <c r="N6442" s="94"/>
      <c r="O6442" s="94"/>
      <c r="P6442" s="94"/>
      <c r="Q6442" s="94"/>
      <c r="R6442" s="94"/>
      <c r="S6442" s="94"/>
      <c r="T6442" s="94"/>
      <c r="U6442" s="94"/>
      <c r="V6442" s="94"/>
      <c r="W6442" s="94"/>
      <c r="X6442" s="94"/>
      <c r="Y6442" s="94"/>
      <c r="Z6442" s="94"/>
      <c r="AA6442" s="94"/>
      <c r="AB6442" s="94"/>
      <c r="AC6442" s="94"/>
      <c r="AD6442" s="94"/>
      <c r="AE6442" s="94"/>
      <c r="AF6442" s="94"/>
      <c r="AG6442" s="94"/>
      <c r="AH6442" s="94"/>
    </row>
    <row r="6443" ht="12.75" hidden="1" customHeight="1" outlineLevel="1">
      <c r="A6443" s="122">
        <v>42102.0</v>
      </c>
      <c r="B6443" s="32" t="s">
        <v>343</v>
      </c>
      <c r="C6443" s="32" t="s">
        <v>1844</v>
      </c>
      <c r="D6443" s="708">
        <v>200.0</v>
      </c>
      <c r="E6443" s="195">
        <v>48.645</v>
      </c>
      <c r="F6443" s="709">
        <v>0.568599537037037</v>
      </c>
      <c r="G6443" s="195" t="s">
        <v>453</v>
      </c>
      <c r="H6443" s="710">
        <v>1.0</v>
      </c>
      <c r="I6443" s="256"/>
      <c r="J6443" s="67">
        <f t="shared" si="392"/>
        <v>-9730</v>
      </c>
      <c r="L6443" s="70"/>
      <c r="M6443" s="934"/>
      <c r="N6443" s="94"/>
      <c r="O6443" s="94"/>
      <c r="P6443" s="94"/>
      <c r="Q6443" s="94"/>
      <c r="R6443" s="94"/>
      <c r="S6443" s="94"/>
      <c r="T6443" s="94"/>
      <c r="U6443" s="94"/>
      <c r="V6443" s="94"/>
      <c r="W6443" s="94"/>
      <c r="X6443" s="94"/>
      <c r="Y6443" s="94"/>
      <c r="Z6443" s="94"/>
      <c r="AA6443" s="94"/>
      <c r="AB6443" s="94"/>
      <c r="AC6443" s="94"/>
      <c r="AD6443" s="94"/>
      <c r="AE6443" s="94"/>
      <c r="AF6443" s="94"/>
      <c r="AG6443" s="94"/>
      <c r="AH6443" s="94"/>
    </row>
    <row r="6444" ht="12.75" hidden="1" customHeight="1" outlineLevel="1">
      <c r="A6444" s="122">
        <v>42102.0</v>
      </c>
      <c r="B6444" s="32" t="s">
        <v>347</v>
      </c>
      <c r="C6444" s="32" t="s">
        <v>2048</v>
      </c>
      <c r="D6444" s="708">
        <v>2000.0</v>
      </c>
      <c r="E6444" s="195">
        <v>10.281</v>
      </c>
      <c r="F6444" s="709">
        <v>0.6334606481481482</v>
      </c>
      <c r="G6444" s="195" t="s">
        <v>453</v>
      </c>
      <c r="H6444" s="710">
        <v>8.68</v>
      </c>
      <c r="I6444" s="256"/>
      <c r="J6444" s="67">
        <f t="shared" si="392"/>
        <v>20553.32</v>
      </c>
      <c r="L6444" s="70"/>
      <c r="M6444" s="934"/>
      <c r="N6444" s="94"/>
      <c r="O6444" s="94"/>
      <c r="P6444" s="94"/>
      <c r="Q6444" s="94"/>
      <c r="R6444" s="94"/>
      <c r="S6444" s="94"/>
      <c r="T6444" s="94"/>
      <c r="U6444" s="94"/>
      <c r="V6444" s="94"/>
      <c r="W6444" s="94"/>
      <c r="X6444" s="94"/>
      <c r="Y6444" s="94"/>
      <c r="Z6444" s="94"/>
      <c r="AA6444" s="94"/>
      <c r="AB6444" s="94"/>
      <c r="AC6444" s="94"/>
      <c r="AD6444" s="94"/>
      <c r="AE6444" s="94"/>
      <c r="AF6444" s="94"/>
      <c r="AG6444" s="94"/>
      <c r="AH6444" s="94"/>
    </row>
    <row r="6445" ht="12.75" hidden="1" customHeight="1" outlineLevel="1">
      <c r="A6445" s="122">
        <v>42102.0</v>
      </c>
      <c r="B6445" s="32" t="s">
        <v>347</v>
      </c>
      <c r="C6445" s="32" t="s">
        <v>1844</v>
      </c>
      <c r="D6445" s="708">
        <v>200.0</v>
      </c>
      <c r="E6445" s="195">
        <v>48.18</v>
      </c>
      <c r="F6445" s="709">
        <v>0.633900462962963</v>
      </c>
      <c r="G6445" s="195" t="s">
        <v>453</v>
      </c>
      <c r="H6445" s="710">
        <v>1.18</v>
      </c>
      <c r="I6445" s="256"/>
      <c r="J6445" s="67">
        <f t="shared" si="392"/>
        <v>9634.82</v>
      </c>
      <c r="L6445" s="70"/>
      <c r="M6445" s="934"/>
      <c r="N6445" s="94"/>
      <c r="O6445" s="94"/>
      <c r="P6445" s="94"/>
      <c r="Q6445" s="94"/>
      <c r="R6445" s="94"/>
      <c r="S6445" s="94"/>
      <c r="T6445" s="94"/>
      <c r="U6445" s="94"/>
      <c r="V6445" s="94"/>
      <c r="W6445" s="94"/>
      <c r="X6445" s="94"/>
      <c r="Y6445" s="94"/>
      <c r="Z6445" s="94"/>
      <c r="AA6445" s="94"/>
      <c r="AB6445" s="94"/>
      <c r="AC6445" s="94"/>
      <c r="AD6445" s="94"/>
      <c r="AE6445" s="94"/>
      <c r="AF6445" s="94"/>
      <c r="AG6445" s="94"/>
      <c r="AH6445" s="94"/>
    </row>
    <row r="6446" ht="12.75" hidden="1" customHeight="1" outlineLevel="1">
      <c r="A6446" s="122">
        <v>42102.0</v>
      </c>
      <c r="B6446" s="32" t="s">
        <v>347</v>
      </c>
      <c r="C6446" s="32" t="s">
        <v>790</v>
      </c>
      <c r="D6446" s="708">
        <v>2500.0</v>
      </c>
      <c r="E6446" s="195">
        <v>6.87</v>
      </c>
      <c r="F6446" s="709">
        <v>0.6439930555555555</v>
      </c>
      <c r="G6446" s="195" t="s">
        <v>453</v>
      </c>
      <c r="H6446" s="710">
        <v>12.82</v>
      </c>
      <c r="I6446" s="256"/>
      <c r="J6446" s="67">
        <f t="shared" si="392"/>
        <v>17162.18</v>
      </c>
      <c r="L6446" s="70"/>
      <c r="M6446" s="934"/>
      <c r="N6446" s="94"/>
      <c r="O6446" s="94"/>
      <c r="P6446" s="94"/>
      <c r="Q6446" s="94"/>
      <c r="R6446" s="94"/>
      <c r="S6446" s="94"/>
      <c r="T6446" s="94"/>
      <c r="U6446" s="94"/>
      <c r="V6446" s="94"/>
      <c r="W6446" s="94"/>
      <c r="X6446" s="94"/>
      <c r="Y6446" s="94"/>
      <c r="Z6446" s="94"/>
      <c r="AA6446" s="94"/>
      <c r="AB6446" s="94"/>
      <c r="AC6446" s="94"/>
      <c r="AD6446" s="94"/>
      <c r="AE6446" s="94"/>
      <c r="AF6446" s="94"/>
      <c r="AG6446" s="94"/>
      <c r="AH6446" s="94"/>
    </row>
    <row r="6447" ht="12.75" hidden="1" customHeight="1" outlineLevel="1">
      <c r="A6447" s="122">
        <v>42102.0</v>
      </c>
      <c r="B6447" s="32" t="s">
        <v>347</v>
      </c>
      <c r="C6447" s="32" t="s">
        <v>784</v>
      </c>
      <c r="D6447" s="708">
        <v>7500.0</v>
      </c>
      <c r="E6447" s="195">
        <v>6.11</v>
      </c>
      <c r="F6447" s="709">
        <v>0.6475231481481482</v>
      </c>
      <c r="G6447" s="195" t="s">
        <v>453</v>
      </c>
      <c r="H6447" s="710">
        <v>38.14</v>
      </c>
      <c r="I6447" s="256"/>
      <c r="J6447" s="67">
        <f t="shared" si="392"/>
        <v>45786.86</v>
      </c>
      <c r="L6447" s="70"/>
      <c r="M6447" s="934"/>
      <c r="N6447" s="94"/>
      <c r="O6447" s="94"/>
      <c r="P6447" s="94"/>
      <c r="Q6447" s="94"/>
      <c r="R6447" s="94"/>
      <c r="S6447" s="94"/>
      <c r="T6447" s="94"/>
      <c r="U6447" s="94"/>
      <c r="V6447" s="94"/>
      <c r="W6447" s="94"/>
      <c r="X6447" s="94"/>
      <c r="Y6447" s="94"/>
      <c r="Z6447" s="94"/>
      <c r="AA6447" s="94"/>
      <c r="AB6447" s="94"/>
      <c r="AC6447" s="94"/>
      <c r="AD6447" s="94"/>
      <c r="AE6447" s="94"/>
      <c r="AF6447" s="94"/>
      <c r="AG6447" s="94"/>
      <c r="AH6447" s="94"/>
    </row>
    <row r="6448" ht="12.75" hidden="1" customHeight="1" outlineLevel="1">
      <c r="A6448" s="122">
        <v>42102.0</v>
      </c>
      <c r="B6448" s="32" t="s">
        <v>343</v>
      </c>
      <c r="C6448" s="32" t="s">
        <v>2412</v>
      </c>
      <c r="D6448" s="708">
        <v>300.0</v>
      </c>
      <c r="E6448" s="195">
        <v>62.13</v>
      </c>
      <c r="F6448" s="709">
        <v>0.6664930555555556</v>
      </c>
      <c r="G6448" s="195" t="s">
        <v>453</v>
      </c>
      <c r="H6448" s="710">
        <v>1.3</v>
      </c>
      <c r="I6448" s="256"/>
      <c r="J6448" s="67">
        <f t="shared" si="392"/>
        <v>-18640.3</v>
      </c>
      <c r="L6448" s="70"/>
      <c r="M6448" s="934"/>
      <c r="N6448" s="94"/>
      <c r="O6448" s="94"/>
      <c r="P6448" s="94"/>
      <c r="Q6448" s="94"/>
      <c r="R6448" s="94"/>
      <c r="S6448" s="94"/>
      <c r="T6448" s="94"/>
      <c r="U6448" s="94"/>
      <c r="V6448" s="94"/>
      <c r="W6448" s="94"/>
      <c r="X6448" s="94"/>
      <c r="Y6448" s="94"/>
      <c r="Z6448" s="94"/>
      <c r="AA6448" s="94"/>
      <c r="AB6448" s="94"/>
      <c r="AC6448" s="94"/>
      <c r="AD6448" s="94"/>
      <c r="AE6448" s="94"/>
      <c r="AF6448" s="94"/>
      <c r="AG6448" s="94"/>
      <c r="AH6448" s="94"/>
    </row>
    <row r="6449" ht="12.75" hidden="1" customHeight="1" outlineLevel="1">
      <c r="A6449" s="122">
        <v>42103.0</v>
      </c>
      <c r="B6449" s="32" t="s">
        <v>347</v>
      </c>
      <c r="C6449" s="32" t="s">
        <v>369</v>
      </c>
      <c r="D6449" s="708">
        <v>2000.0</v>
      </c>
      <c r="E6449" s="195">
        <v>4.62</v>
      </c>
      <c r="F6449" s="709">
        <v>0.3993287037037037</v>
      </c>
      <c r="G6449" s="195" t="s">
        <v>453</v>
      </c>
      <c r="H6449" s="710">
        <v>10.17</v>
      </c>
      <c r="I6449" s="256"/>
      <c r="J6449" s="67">
        <f t="shared" si="392"/>
        <v>9229.83</v>
      </c>
      <c r="L6449" s="70"/>
      <c r="M6449" s="934"/>
      <c r="N6449" s="94"/>
      <c r="O6449" s="94"/>
      <c r="P6449" s="94"/>
      <c r="Q6449" s="94"/>
      <c r="R6449" s="94"/>
      <c r="S6449" s="94"/>
      <c r="T6449" s="94"/>
      <c r="U6449" s="94"/>
      <c r="V6449" s="94"/>
      <c r="W6449" s="94"/>
      <c r="X6449" s="94"/>
      <c r="Y6449" s="94"/>
      <c r="Z6449" s="94"/>
      <c r="AA6449" s="94"/>
      <c r="AB6449" s="94"/>
      <c r="AC6449" s="94"/>
      <c r="AD6449" s="94"/>
      <c r="AE6449" s="94"/>
      <c r="AF6449" s="94"/>
      <c r="AG6449" s="94"/>
      <c r="AH6449" s="94"/>
    </row>
    <row r="6450" ht="12.75" hidden="1" customHeight="1" outlineLevel="1">
      <c r="A6450" s="122">
        <v>42103.0</v>
      </c>
      <c r="B6450" s="32" t="s">
        <v>343</v>
      </c>
      <c r="C6450" s="32" t="s">
        <v>790</v>
      </c>
      <c r="D6450" s="708">
        <v>2500.0</v>
      </c>
      <c r="E6450" s="195">
        <v>7.266</v>
      </c>
      <c r="F6450" s="709">
        <v>0.4266435185185185</v>
      </c>
      <c r="G6450" s="195" t="s">
        <v>453</v>
      </c>
      <c r="H6450" s="710">
        <v>12.5</v>
      </c>
      <c r="I6450" s="256"/>
      <c r="J6450" s="67">
        <f t="shared" si="392"/>
        <v>-18177.5</v>
      </c>
      <c r="L6450" s="70"/>
      <c r="M6450" s="934"/>
      <c r="N6450" s="94"/>
      <c r="O6450" s="94"/>
      <c r="P6450" s="94"/>
      <c r="Q6450" s="94"/>
      <c r="R6450" s="94"/>
      <c r="S6450" s="94"/>
      <c r="T6450" s="94"/>
      <c r="U6450" s="94"/>
      <c r="V6450" s="94"/>
      <c r="W6450" s="94"/>
      <c r="X6450" s="94"/>
      <c r="Y6450" s="94"/>
      <c r="Z6450" s="94"/>
      <c r="AA6450" s="94"/>
      <c r="AB6450" s="94"/>
      <c r="AC6450" s="94"/>
      <c r="AD6450" s="94"/>
      <c r="AE6450" s="94"/>
      <c r="AF6450" s="94"/>
      <c r="AG6450" s="94"/>
      <c r="AH6450" s="94"/>
    </row>
    <row r="6451" ht="12.75" hidden="1" customHeight="1" outlineLevel="1">
      <c r="A6451" s="122">
        <v>42103.0</v>
      </c>
      <c r="B6451" s="32" t="s">
        <v>343</v>
      </c>
      <c r="C6451" s="32" t="s">
        <v>1844</v>
      </c>
      <c r="D6451" s="708">
        <v>200.0</v>
      </c>
      <c r="E6451" s="195">
        <v>49.75</v>
      </c>
      <c r="F6451" s="709">
        <v>0.4268634259259259</v>
      </c>
      <c r="G6451" s="195" t="s">
        <v>453</v>
      </c>
      <c r="H6451" s="710">
        <v>1.0</v>
      </c>
      <c r="I6451" s="256"/>
      <c r="J6451" s="67">
        <f t="shared" si="392"/>
        <v>-9951</v>
      </c>
      <c r="L6451" s="70"/>
      <c r="M6451" s="934"/>
      <c r="N6451" s="94"/>
      <c r="O6451" s="94"/>
      <c r="P6451" s="94"/>
      <c r="Q6451" s="94"/>
      <c r="R6451" s="94"/>
      <c r="S6451" s="94"/>
      <c r="T6451" s="94"/>
      <c r="U6451" s="94"/>
      <c r="V6451" s="94"/>
      <c r="W6451" s="94"/>
      <c r="X6451" s="94"/>
      <c r="Y6451" s="94"/>
      <c r="Z6451" s="94"/>
      <c r="AA6451" s="94"/>
      <c r="AB6451" s="94"/>
      <c r="AC6451" s="94"/>
      <c r="AD6451" s="94"/>
      <c r="AE6451" s="94"/>
      <c r="AF6451" s="94"/>
      <c r="AG6451" s="94"/>
      <c r="AH6451" s="94"/>
    </row>
    <row r="6452" ht="12.75" hidden="1" customHeight="1" outlineLevel="1">
      <c r="A6452" s="122">
        <v>42103.0</v>
      </c>
      <c r="B6452" s="32" t="s">
        <v>343</v>
      </c>
      <c r="C6452" s="32" t="s">
        <v>784</v>
      </c>
      <c r="D6452" s="708">
        <v>7500.0</v>
      </c>
      <c r="E6452" s="195">
        <v>6.13</v>
      </c>
      <c r="F6452" s="709">
        <v>0.43291666666666667</v>
      </c>
      <c r="G6452" s="195" t="s">
        <v>453</v>
      </c>
      <c r="H6452" s="710">
        <v>33.0</v>
      </c>
      <c r="I6452" s="256"/>
      <c r="J6452" s="67">
        <f t="shared" si="392"/>
        <v>-46008</v>
      </c>
      <c r="L6452" s="70"/>
      <c r="M6452" s="934"/>
      <c r="N6452" s="94"/>
      <c r="O6452" s="94"/>
      <c r="P6452" s="94"/>
      <c r="Q6452" s="94"/>
      <c r="R6452" s="94"/>
      <c r="S6452" s="94"/>
      <c r="T6452" s="94"/>
      <c r="U6452" s="94"/>
      <c r="V6452" s="94"/>
      <c r="W6452" s="94"/>
      <c r="X6452" s="94"/>
      <c r="Y6452" s="94"/>
      <c r="Z6452" s="94"/>
      <c r="AA6452" s="94"/>
      <c r="AB6452" s="94"/>
      <c r="AC6452" s="94"/>
      <c r="AD6452" s="94"/>
      <c r="AE6452" s="94"/>
      <c r="AF6452" s="94"/>
      <c r="AG6452" s="94"/>
      <c r="AH6452" s="94"/>
    </row>
    <row r="6453" ht="12.75" hidden="1" customHeight="1" outlineLevel="1">
      <c r="A6453" s="122">
        <v>42103.0</v>
      </c>
      <c r="B6453" s="32" t="s">
        <v>343</v>
      </c>
      <c r="C6453" s="32" t="s">
        <v>2048</v>
      </c>
      <c r="D6453" s="708">
        <v>2000.0</v>
      </c>
      <c r="E6453" s="195">
        <v>10.45</v>
      </c>
      <c r="F6453" s="709">
        <v>0.43299768518518517</v>
      </c>
      <c r="G6453" s="195" t="s">
        <v>453</v>
      </c>
      <c r="H6453" s="710">
        <v>8.3</v>
      </c>
      <c r="I6453" s="256"/>
      <c r="J6453" s="67">
        <f t="shared" si="392"/>
        <v>-20908.3</v>
      </c>
      <c r="L6453" s="70"/>
      <c r="M6453" s="934"/>
      <c r="N6453" s="94"/>
      <c r="O6453" s="94"/>
      <c r="P6453" s="94"/>
      <c r="Q6453" s="94"/>
      <c r="R6453" s="94"/>
      <c r="S6453" s="94"/>
      <c r="T6453" s="94"/>
      <c r="U6453" s="94"/>
      <c r="V6453" s="94"/>
      <c r="W6453" s="94"/>
      <c r="X6453" s="94"/>
      <c r="Y6453" s="94"/>
      <c r="Z6453" s="94"/>
      <c r="AA6453" s="94"/>
      <c r="AB6453" s="94"/>
      <c r="AC6453" s="94"/>
      <c r="AD6453" s="94"/>
      <c r="AE6453" s="94"/>
      <c r="AF6453" s="94"/>
      <c r="AG6453" s="94"/>
      <c r="AH6453" s="94"/>
    </row>
    <row r="6454" ht="12.75" hidden="1" customHeight="1" outlineLevel="1">
      <c r="A6454" s="122">
        <v>42103.0</v>
      </c>
      <c r="B6454" s="32" t="s">
        <v>347</v>
      </c>
      <c r="C6454" s="32" t="s">
        <v>2048</v>
      </c>
      <c r="D6454" s="708">
        <v>2000.0</v>
      </c>
      <c r="E6454" s="195">
        <v>10.38</v>
      </c>
      <c r="F6454" s="709">
        <v>0.44189814814814815</v>
      </c>
      <c r="G6454" s="195" t="s">
        <v>453</v>
      </c>
      <c r="H6454" s="710">
        <v>9.48</v>
      </c>
      <c r="I6454" s="256"/>
      <c r="J6454" s="67">
        <f t="shared" si="392"/>
        <v>20750.52</v>
      </c>
      <c r="L6454" s="70"/>
      <c r="M6454" s="934"/>
      <c r="N6454" s="94"/>
      <c r="O6454" s="94"/>
      <c r="P6454" s="94"/>
      <c r="Q6454" s="94"/>
      <c r="R6454" s="94"/>
      <c r="S6454" s="94"/>
      <c r="T6454" s="94"/>
      <c r="U6454" s="94"/>
      <c r="V6454" s="94"/>
      <c r="W6454" s="94"/>
      <c r="X6454" s="94"/>
      <c r="Y6454" s="94"/>
      <c r="Z6454" s="94"/>
      <c r="AA6454" s="94"/>
      <c r="AB6454" s="94"/>
      <c r="AC6454" s="94"/>
      <c r="AD6454" s="94"/>
      <c r="AE6454" s="94"/>
      <c r="AF6454" s="94"/>
      <c r="AG6454" s="94"/>
      <c r="AH6454" s="94"/>
    </row>
    <row r="6455" ht="12.75" hidden="1" customHeight="1" outlineLevel="1">
      <c r="A6455" s="122">
        <v>42103.0</v>
      </c>
      <c r="B6455" s="32" t="s">
        <v>347</v>
      </c>
      <c r="C6455" s="32" t="s">
        <v>784</v>
      </c>
      <c r="D6455" s="708">
        <v>26.0</v>
      </c>
      <c r="E6455" s="195">
        <v>6.19</v>
      </c>
      <c r="F6455" s="709">
        <v>0.505150462962963</v>
      </c>
      <c r="G6455" s="195" t="s">
        <v>453</v>
      </c>
      <c r="H6455" s="710">
        <v>1.0</v>
      </c>
      <c r="I6455" s="256"/>
      <c r="J6455" s="67">
        <f t="shared" si="392"/>
        <v>159.94</v>
      </c>
      <c r="L6455" s="70"/>
      <c r="M6455" s="934"/>
      <c r="N6455" s="94"/>
      <c r="O6455" s="94"/>
      <c r="P6455" s="94"/>
      <c r="Q6455" s="94"/>
      <c r="R6455" s="94"/>
      <c r="S6455" s="94"/>
      <c r="T6455" s="94"/>
      <c r="U6455" s="94"/>
      <c r="V6455" s="94"/>
      <c r="W6455" s="94"/>
      <c r="X6455" s="94"/>
      <c r="Y6455" s="94"/>
      <c r="Z6455" s="94"/>
      <c r="AA6455" s="94"/>
      <c r="AB6455" s="94"/>
      <c r="AC6455" s="94"/>
      <c r="AD6455" s="94"/>
      <c r="AE6455" s="94"/>
      <c r="AF6455" s="94"/>
      <c r="AG6455" s="94"/>
      <c r="AH6455" s="94"/>
    </row>
    <row r="6456" ht="12.75" hidden="1" customHeight="1" outlineLevel="1">
      <c r="A6456" s="122">
        <v>42103.0</v>
      </c>
      <c r="B6456" s="32" t="s">
        <v>343</v>
      </c>
      <c r="C6456" s="32" t="s">
        <v>369</v>
      </c>
      <c r="D6456" s="708">
        <v>1000.0</v>
      </c>
      <c r="E6456" s="195">
        <v>5.019</v>
      </c>
      <c r="F6456" s="709">
        <v>0.6655208333333333</v>
      </c>
      <c r="G6456" s="195" t="s">
        <v>453</v>
      </c>
      <c r="H6456" s="710">
        <v>5.0</v>
      </c>
      <c r="I6456" s="256"/>
      <c r="J6456" s="67">
        <f t="shared" si="392"/>
        <v>-5024</v>
      </c>
      <c r="L6456" s="70"/>
      <c r="M6456" s="934"/>
      <c r="N6456" s="94"/>
      <c r="O6456" s="94"/>
      <c r="P6456" s="94"/>
      <c r="Q6456" s="94"/>
      <c r="R6456" s="94"/>
      <c r="S6456" s="94"/>
      <c r="T6456" s="94"/>
      <c r="U6456" s="94"/>
      <c r="V6456" s="94"/>
      <c r="W6456" s="94"/>
      <c r="X6456" s="94"/>
      <c r="Y6456" s="94"/>
      <c r="Z6456" s="94"/>
      <c r="AA6456" s="94"/>
      <c r="AB6456" s="94"/>
      <c r="AC6456" s="94"/>
      <c r="AD6456" s="94"/>
      <c r="AE6456" s="94"/>
      <c r="AF6456" s="94"/>
      <c r="AG6456" s="94"/>
      <c r="AH6456" s="94"/>
    </row>
    <row r="6457" ht="12.75" hidden="1" customHeight="1" outlineLevel="1">
      <c r="A6457" s="122">
        <v>42103.0</v>
      </c>
      <c r="B6457" s="32" t="s">
        <v>343</v>
      </c>
      <c r="C6457" s="32" t="s">
        <v>2048</v>
      </c>
      <c r="D6457" s="708">
        <v>1000.0</v>
      </c>
      <c r="E6457" s="195">
        <v>10.72</v>
      </c>
      <c r="F6457" s="709">
        <v>0.6656018518518518</v>
      </c>
      <c r="G6457" s="195" t="s">
        <v>453</v>
      </c>
      <c r="H6457" s="710">
        <v>5.0</v>
      </c>
      <c r="I6457" s="256"/>
      <c r="J6457" s="67">
        <f t="shared" si="392"/>
        <v>-10725</v>
      </c>
      <c r="L6457" s="70"/>
      <c r="M6457" s="934"/>
      <c r="N6457" s="94"/>
      <c r="O6457" s="94"/>
      <c r="P6457" s="94"/>
      <c r="Q6457" s="94"/>
      <c r="R6457" s="94"/>
      <c r="S6457" s="94"/>
      <c r="T6457" s="94"/>
      <c r="U6457" s="94"/>
      <c r="V6457" s="94"/>
      <c r="W6457" s="94"/>
      <c r="X6457" s="94"/>
      <c r="Y6457" s="94"/>
      <c r="Z6457" s="94"/>
      <c r="AA6457" s="94"/>
      <c r="AB6457" s="94"/>
      <c r="AC6457" s="94"/>
      <c r="AD6457" s="94"/>
      <c r="AE6457" s="94"/>
      <c r="AF6457" s="94"/>
      <c r="AG6457" s="94"/>
      <c r="AH6457" s="94"/>
    </row>
    <row r="6458" ht="12.75" hidden="1" customHeight="1" outlineLevel="1">
      <c r="A6458" s="122">
        <v>42104.0</v>
      </c>
      <c r="B6458" s="32" t="s">
        <v>343</v>
      </c>
      <c r="C6458" s="32" t="s">
        <v>2048</v>
      </c>
      <c r="D6458" s="708">
        <v>1000.0</v>
      </c>
      <c r="E6458" s="195">
        <v>10.94</v>
      </c>
      <c r="F6458" s="709">
        <v>0.3972569444444444</v>
      </c>
      <c r="G6458" s="195" t="s">
        <v>453</v>
      </c>
      <c r="H6458" s="710">
        <v>5.0</v>
      </c>
      <c r="I6458" s="256"/>
      <c r="J6458" s="67">
        <f t="shared" si="392"/>
        <v>-10945</v>
      </c>
      <c r="L6458" s="70"/>
      <c r="M6458" s="934"/>
      <c r="N6458" s="94"/>
      <c r="O6458" s="94"/>
      <c r="P6458" s="94"/>
      <c r="Q6458" s="94"/>
      <c r="R6458" s="94"/>
      <c r="S6458" s="94"/>
      <c r="T6458" s="94"/>
      <c r="U6458" s="94"/>
      <c r="V6458" s="94"/>
      <c r="W6458" s="94"/>
      <c r="X6458" s="94"/>
      <c r="Y6458" s="94"/>
      <c r="Z6458" s="94"/>
      <c r="AA6458" s="94"/>
      <c r="AB6458" s="94"/>
      <c r="AC6458" s="94"/>
      <c r="AD6458" s="94"/>
      <c r="AE6458" s="94"/>
      <c r="AF6458" s="94"/>
      <c r="AG6458" s="94"/>
      <c r="AH6458" s="94"/>
    </row>
    <row r="6459" ht="12.75" hidden="1" customHeight="1" outlineLevel="1">
      <c r="A6459" s="122">
        <v>42104.0</v>
      </c>
      <c r="B6459" s="32" t="s">
        <v>343</v>
      </c>
      <c r="C6459" s="32" t="s">
        <v>369</v>
      </c>
      <c r="D6459" s="708">
        <v>1000.0</v>
      </c>
      <c r="E6459" s="195">
        <v>5.03</v>
      </c>
      <c r="F6459" s="709">
        <v>0.39762731481481484</v>
      </c>
      <c r="G6459" s="195" t="s">
        <v>453</v>
      </c>
      <c r="H6459" s="710">
        <v>5.0</v>
      </c>
      <c r="I6459" s="256"/>
      <c r="J6459" s="67">
        <f t="shared" si="392"/>
        <v>-5035</v>
      </c>
      <c r="L6459" s="70"/>
      <c r="M6459" s="934"/>
      <c r="N6459" s="94"/>
      <c r="O6459" s="94"/>
      <c r="P6459" s="94"/>
      <c r="Q6459" s="94"/>
      <c r="R6459" s="94"/>
      <c r="S6459" s="94"/>
      <c r="T6459" s="94"/>
      <c r="U6459" s="94"/>
      <c r="V6459" s="94"/>
      <c r="W6459" s="94"/>
      <c r="X6459" s="94"/>
      <c r="Y6459" s="94"/>
      <c r="Z6459" s="94"/>
      <c r="AA6459" s="94"/>
      <c r="AB6459" s="94"/>
      <c r="AC6459" s="94"/>
      <c r="AD6459" s="94"/>
      <c r="AE6459" s="94"/>
      <c r="AF6459" s="94"/>
      <c r="AG6459" s="94"/>
      <c r="AH6459" s="94"/>
    </row>
    <row r="6460" ht="12.75" hidden="1" customHeight="1" outlineLevel="1">
      <c r="A6460" s="122">
        <v>42104.0</v>
      </c>
      <c r="B6460" s="32" t="s">
        <v>343</v>
      </c>
      <c r="C6460" s="32" t="s">
        <v>784</v>
      </c>
      <c r="D6460" s="74"/>
      <c r="E6460" s="67"/>
      <c r="F6460" s="709">
        <v>0.39796296296296296</v>
      </c>
      <c r="G6460" s="195" t="s">
        <v>453</v>
      </c>
      <c r="H6460" s="710">
        <v>0.0</v>
      </c>
      <c r="I6460" s="256"/>
      <c r="J6460" s="67">
        <f t="shared" si="392"/>
        <v>0</v>
      </c>
      <c r="L6460" s="70"/>
      <c r="M6460" s="934"/>
      <c r="N6460" s="94"/>
      <c r="O6460" s="94"/>
      <c r="P6460" s="94"/>
      <c r="Q6460" s="94"/>
      <c r="R6460" s="94"/>
      <c r="S6460" s="94"/>
      <c r="T6460" s="94"/>
      <c r="U6460" s="94"/>
      <c r="V6460" s="94"/>
      <c r="W6460" s="94"/>
      <c r="X6460" s="94"/>
      <c r="Y6460" s="94"/>
      <c r="Z6460" s="94"/>
      <c r="AA6460" s="94"/>
      <c r="AB6460" s="94"/>
      <c r="AC6460" s="94"/>
      <c r="AD6460" s="94"/>
      <c r="AE6460" s="94"/>
      <c r="AF6460" s="94"/>
      <c r="AG6460" s="94"/>
      <c r="AH6460" s="94"/>
    </row>
    <row r="6461" ht="12.75" hidden="1" customHeight="1" outlineLevel="1">
      <c r="A6461" s="122">
        <v>42104.0</v>
      </c>
      <c r="B6461" s="32" t="s">
        <v>343</v>
      </c>
      <c r="C6461" s="32" t="s">
        <v>784</v>
      </c>
      <c r="D6461" s="708">
        <v>26.0</v>
      </c>
      <c r="E6461" s="195">
        <v>6.17</v>
      </c>
      <c r="F6461" s="709">
        <v>0.39796296296296296</v>
      </c>
      <c r="G6461" s="195" t="s">
        <v>453</v>
      </c>
      <c r="H6461" s="710">
        <v>1.0</v>
      </c>
      <c r="I6461" s="256"/>
      <c r="J6461" s="67">
        <f t="shared" si="392"/>
        <v>-161.42</v>
      </c>
      <c r="L6461" s="70"/>
      <c r="M6461" s="934"/>
      <c r="N6461" s="94"/>
      <c r="O6461" s="94"/>
      <c r="P6461" s="94"/>
      <c r="Q6461" s="94"/>
      <c r="R6461" s="94"/>
      <c r="S6461" s="94"/>
      <c r="T6461" s="94"/>
      <c r="U6461" s="94"/>
      <c r="V6461" s="94"/>
      <c r="W6461" s="94"/>
      <c r="X6461" s="94"/>
      <c r="Y6461" s="94"/>
      <c r="Z6461" s="94"/>
      <c r="AA6461" s="94"/>
      <c r="AB6461" s="94"/>
      <c r="AC6461" s="94"/>
      <c r="AD6461" s="94"/>
      <c r="AE6461" s="94"/>
      <c r="AF6461" s="94"/>
      <c r="AG6461" s="94"/>
      <c r="AH6461" s="94"/>
    </row>
    <row r="6462" ht="12.75" hidden="1" customHeight="1" outlineLevel="1">
      <c r="A6462" s="122">
        <v>42104.0</v>
      </c>
      <c r="B6462" s="32" t="s">
        <v>343</v>
      </c>
      <c r="C6462" s="32" t="s">
        <v>784</v>
      </c>
      <c r="D6462" s="708">
        <v>-26.0</v>
      </c>
      <c r="E6462" s="195">
        <v>6.17</v>
      </c>
      <c r="F6462" s="709">
        <v>0.39796296296296296</v>
      </c>
      <c r="G6462" s="195" t="s">
        <v>453</v>
      </c>
      <c r="H6462" s="710">
        <v>-1.0</v>
      </c>
      <c r="I6462" s="256"/>
      <c r="J6462" s="67">
        <f t="shared" si="392"/>
        <v>161.42</v>
      </c>
      <c r="L6462" s="70"/>
      <c r="M6462" s="934"/>
      <c r="N6462" s="94"/>
      <c r="O6462" s="94"/>
      <c r="P6462" s="94"/>
      <c r="Q6462" s="94"/>
      <c r="R6462" s="94"/>
      <c r="S6462" s="94"/>
      <c r="T6462" s="94"/>
      <c r="U6462" s="94"/>
      <c r="V6462" s="94"/>
      <c r="W6462" s="94"/>
      <c r="X6462" s="94"/>
      <c r="Y6462" s="94"/>
      <c r="Z6462" s="94"/>
      <c r="AA6462" s="94"/>
      <c r="AB6462" s="94"/>
      <c r="AC6462" s="94"/>
      <c r="AD6462" s="94"/>
      <c r="AE6462" s="94"/>
      <c r="AF6462" s="94"/>
      <c r="AG6462" s="94"/>
      <c r="AH6462" s="94"/>
    </row>
    <row r="6463" ht="12.75" hidden="1" customHeight="1" outlineLevel="1">
      <c r="A6463" s="122">
        <v>42104.0</v>
      </c>
      <c r="B6463" s="32" t="s">
        <v>343</v>
      </c>
      <c r="C6463" s="32" t="s">
        <v>784</v>
      </c>
      <c r="D6463" s="708">
        <v>26.0</v>
      </c>
      <c r="E6463" s="195">
        <v>6.17</v>
      </c>
      <c r="F6463" s="709">
        <v>0.39796296296296296</v>
      </c>
      <c r="G6463" s="195" t="s">
        <v>453</v>
      </c>
      <c r="H6463" s="710">
        <v>1.0</v>
      </c>
      <c r="I6463" s="256"/>
      <c r="J6463" s="67">
        <f t="shared" si="392"/>
        <v>-161.42</v>
      </c>
      <c r="L6463" s="70"/>
      <c r="M6463" s="934"/>
      <c r="N6463" s="94"/>
      <c r="O6463" s="94"/>
      <c r="P6463" s="94"/>
      <c r="Q6463" s="94"/>
      <c r="R6463" s="94"/>
      <c r="S6463" s="94"/>
      <c r="T6463" s="94"/>
      <c r="U6463" s="94"/>
      <c r="V6463" s="94"/>
      <c r="W6463" s="94"/>
      <c r="X6463" s="94"/>
      <c r="Y6463" s="94"/>
      <c r="Z6463" s="94"/>
      <c r="AA6463" s="94"/>
      <c r="AB6463" s="94"/>
      <c r="AC6463" s="94"/>
      <c r="AD6463" s="94"/>
      <c r="AE6463" s="94"/>
      <c r="AF6463" s="94"/>
      <c r="AG6463" s="94"/>
      <c r="AH6463" s="94"/>
    </row>
    <row r="6464" ht="12.75" hidden="1" customHeight="1" outlineLevel="1">
      <c r="A6464" s="122">
        <v>42107.0</v>
      </c>
      <c r="B6464" s="32" t="s">
        <v>343</v>
      </c>
      <c r="C6464" s="32" t="s">
        <v>1185</v>
      </c>
      <c r="D6464" s="708">
        <v>70.0</v>
      </c>
      <c r="E6464" s="195">
        <v>326.12</v>
      </c>
      <c r="F6464" s="709">
        <v>0.4343634259259259</v>
      </c>
      <c r="G6464" s="195" t="s">
        <v>453</v>
      </c>
      <c r="H6464" s="710">
        <v>1.0</v>
      </c>
      <c r="I6464" s="256"/>
      <c r="J6464" s="67">
        <f t="shared" si="392"/>
        <v>-22829.4</v>
      </c>
      <c r="L6464" s="70"/>
      <c r="M6464" s="934"/>
      <c r="N6464" s="94"/>
      <c r="O6464" s="94"/>
      <c r="P6464" s="94"/>
      <c r="Q6464" s="94"/>
      <c r="R6464" s="94"/>
      <c r="S6464" s="94"/>
      <c r="T6464" s="94"/>
      <c r="U6464" s="94"/>
      <c r="V6464" s="94"/>
      <c r="W6464" s="94"/>
      <c r="X6464" s="94"/>
      <c r="Y6464" s="94"/>
      <c r="Z6464" s="94"/>
      <c r="AA6464" s="94"/>
      <c r="AB6464" s="94"/>
      <c r="AC6464" s="94"/>
      <c r="AD6464" s="94"/>
      <c r="AE6464" s="94"/>
      <c r="AF6464" s="94"/>
      <c r="AG6464" s="94"/>
      <c r="AH6464" s="94"/>
    </row>
    <row r="6465" ht="12.75" hidden="1" customHeight="1" outlineLevel="1">
      <c r="A6465" s="122">
        <v>42107.0</v>
      </c>
      <c r="B6465" s="32" t="s">
        <v>343</v>
      </c>
      <c r="C6465" s="32" t="s">
        <v>1244</v>
      </c>
      <c r="D6465" s="708">
        <v>125.0</v>
      </c>
      <c r="E6465" s="195">
        <v>103.6981</v>
      </c>
      <c r="F6465" s="709">
        <v>0.43769675925925927</v>
      </c>
      <c r="G6465" s="195" t="s">
        <v>453</v>
      </c>
      <c r="H6465" s="710">
        <v>1.0</v>
      </c>
      <c r="I6465" s="256"/>
      <c r="J6465" s="67">
        <f t="shared" si="392"/>
        <v>-12963.2625</v>
      </c>
      <c r="L6465" s="70"/>
      <c r="M6465" s="934"/>
      <c r="N6465" s="94"/>
      <c r="O6465" s="94"/>
      <c r="P6465" s="94"/>
      <c r="Q6465" s="94"/>
      <c r="R6465" s="94"/>
      <c r="S6465" s="94"/>
      <c r="T6465" s="94"/>
      <c r="U6465" s="94"/>
      <c r="V6465" s="94"/>
      <c r="W6465" s="94"/>
      <c r="X6465" s="94"/>
      <c r="Y6465" s="94"/>
      <c r="Z6465" s="94"/>
      <c r="AA6465" s="94"/>
      <c r="AB6465" s="94"/>
      <c r="AC6465" s="94"/>
      <c r="AD6465" s="94"/>
      <c r="AE6465" s="94"/>
      <c r="AF6465" s="94"/>
      <c r="AG6465" s="94"/>
      <c r="AH6465" s="94"/>
    </row>
    <row r="6466" ht="12.75" hidden="1" customHeight="1" outlineLevel="1">
      <c r="A6466" s="122">
        <v>42107.0</v>
      </c>
      <c r="B6466" s="32" t="s">
        <v>343</v>
      </c>
      <c r="C6466" s="32" t="s">
        <v>1221</v>
      </c>
      <c r="D6466" s="708">
        <v>300.0</v>
      </c>
      <c r="E6466" s="195">
        <v>39.25</v>
      </c>
      <c r="F6466" s="709">
        <v>0.43940972222222224</v>
      </c>
      <c r="G6466" s="195" t="s">
        <v>453</v>
      </c>
      <c r="H6466" s="710">
        <v>1.5</v>
      </c>
      <c r="I6466" s="256"/>
      <c r="J6466" s="67">
        <f t="shared" si="392"/>
        <v>-11776.5</v>
      </c>
      <c r="L6466" s="70"/>
      <c r="M6466" s="934"/>
      <c r="N6466" s="94"/>
      <c r="O6466" s="94"/>
      <c r="P6466" s="94"/>
      <c r="Q6466" s="94"/>
      <c r="R6466" s="94"/>
      <c r="S6466" s="94"/>
      <c r="T6466" s="94"/>
      <c r="U6466" s="94"/>
      <c r="V6466" s="94"/>
      <c r="W6466" s="94"/>
      <c r="X6466" s="94"/>
      <c r="Y6466" s="94"/>
      <c r="Z6466" s="94"/>
      <c r="AA6466" s="94"/>
      <c r="AB6466" s="94"/>
      <c r="AC6466" s="94"/>
      <c r="AD6466" s="94"/>
      <c r="AE6466" s="94"/>
      <c r="AF6466" s="94"/>
      <c r="AG6466" s="94"/>
      <c r="AH6466" s="94"/>
    </row>
    <row r="6467" ht="12.75" hidden="1" customHeight="1" outlineLevel="1">
      <c r="A6467" s="122">
        <v>42107.0</v>
      </c>
      <c r="B6467" s="32" t="s">
        <v>343</v>
      </c>
      <c r="C6467" s="32" t="s">
        <v>1060</v>
      </c>
      <c r="D6467" s="708">
        <v>300.0</v>
      </c>
      <c r="E6467" s="195">
        <v>44.328</v>
      </c>
      <c r="F6467" s="709">
        <v>0.45944444444444443</v>
      </c>
      <c r="G6467" s="195" t="s">
        <v>453</v>
      </c>
      <c r="H6467" s="710">
        <v>1.2</v>
      </c>
      <c r="I6467" s="256"/>
      <c r="J6467" s="67">
        <f t="shared" si="392"/>
        <v>-13299.6</v>
      </c>
      <c r="L6467" s="70"/>
      <c r="M6467" s="934"/>
      <c r="N6467" s="94"/>
      <c r="O6467" s="94"/>
      <c r="P6467" s="94"/>
      <c r="Q6467" s="94"/>
      <c r="R6467" s="94"/>
      <c r="S6467" s="94"/>
      <c r="T6467" s="94"/>
      <c r="U6467" s="94"/>
      <c r="V6467" s="94"/>
      <c r="W6467" s="94"/>
      <c r="X6467" s="94"/>
      <c r="Y6467" s="94"/>
      <c r="Z6467" s="94"/>
      <c r="AA6467" s="94"/>
      <c r="AB6467" s="94"/>
      <c r="AC6467" s="94"/>
      <c r="AD6467" s="94"/>
      <c r="AE6467" s="94"/>
      <c r="AF6467" s="94"/>
      <c r="AG6467" s="94"/>
      <c r="AH6467" s="94"/>
    </row>
    <row r="6468" ht="12.75" hidden="1" customHeight="1" outlineLevel="1">
      <c r="A6468" s="122">
        <v>42107.0</v>
      </c>
      <c r="B6468" s="32" t="s">
        <v>343</v>
      </c>
      <c r="C6468" s="32" t="s">
        <v>1221</v>
      </c>
      <c r="D6468" s="708">
        <v>200.0</v>
      </c>
      <c r="E6468" s="195">
        <v>39.349</v>
      </c>
      <c r="F6468" s="709">
        <v>0.4865162037037037</v>
      </c>
      <c r="G6468" s="195" t="s">
        <v>453</v>
      </c>
      <c r="H6468" s="710">
        <v>1.0</v>
      </c>
      <c r="I6468" s="256"/>
      <c r="J6468" s="67">
        <f t="shared" si="392"/>
        <v>-7870.8</v>
      </c>
      <c r="L6468" s="70"/>
      <c r="M6468" s="934"/>
      <c r="N6468" s="94"/>
      <c r="O6468" s="94"/>
      <c r="P6468" s="94"/>
      <c r="Q6468" s="94"/>
      <c r="R6468" s="94"/>
      <c r="S6468" s="94"/>
      <c r="T6468" s="94"/>
      <c r="U6468" s="94"/>
      <c r="V6468" s="94"/>
      <c r="W6468" s="94"/>
      <c r="X6468" s="94"/>
      <c r="Y6468" s="94"/>
      <c r="Z6468" s="94"/>
      <c r="AA6468" s="94"/>
      <c r="AB6468" s="94"/>
      <c r="AC6468" s="94"/>
      <c r="AD6468" s="94"/>
      <c r="AE6468" s="94"/>
      <c r="AF6468" s="94"/>
      <c r="AG6468" s="94"/>
      <c r="AH6468" s="94"/>
    </row>
    <row r="6469" ht="12.75" hidden="1" customHeight="1" outlineLevel="1">
      <c r="A6469" s="122">
        <v>42107.0</v>
      </c>
      <c r="B6469" s="32" t="s">
        <v>347</v>
      </c>
      <c r="C6469" s="32" t="s">
        <v>369</v>
      </c>
      <c r="D6469" s="708">
        <v>4000.0</v>
      </c>
      <c r="E6469" s="195">
        <v>4.78</v>
      </c>
      <c r="F6469" s="709">
        <v>0.49194444444444446</v>
      </c>
      <c r="G6469" s="195" t="s">
        <v>453</v>
      </c>
      <c r="H6469" s="710">
        <v>20.05</v>
      </c>
      <c r="I6469" s="256"/>
      <c r="J6469" s="67">
        <f t="shared" si="392"/>
        <v>19099.95</v>
      </c>
      <c r="L6469" s="70"/>
      <c r="M6469" s="934"/>
      <c r="N6469" s="94"/>
      <c r="O6469" s="94"/>
      <c r="P6469" s="94"/>
      <c r="Q6469" s="94"/>
      <c r="R6469" s="94"/>
      <c r="S6469" s="94"/>
      <c r="T6469" s="94"/>
      <c r="U6469" s="94"/>
      <c r="V6469" s="94"/>
      <c r="W6469" s="94"/>
      <c r="X6469" s="94"/>
      <c r="Y6469" s="94"/>
      <c r="Z6469" s="94"/>
      <c r="AA6469" s="94"/>
      <c r="AB6469" s="94"/>
      <c r="AC6469" s="94"/>
      <c r="AD6469" s="94"/>
      <c r="AE6469" s="94"/>
      <c r="AF6469" s="94"/>
      <c r="AG6469" s="94"/>
      <c r="AH6469" s="94"/>
    </row>
    <row r="6470" ht="12.75" hidden="1" customHeight="1" outlineLevel="1">
      <c r="A6470" s="122">
        <v>42107.0</v>
      </c>
      <c r="B6470" s="32" t="s">
        <v>343</v>
      </c>
      <c r="C6470" s="32" t="s">
        <v>1060</v>
      </c>
      <c r="D6470" s="708">
        <v>150.0</v>
      </c>
      <c r="E6470" s="195">
        <v>44.56</v>
      </c>
      <c r="F6470" s="709">
        <v>0.5153587962962963</v>
      </c>
      <c r="G6470" s="195" t="s">
        <v>453</v>
      </c>
      <c r="H6470" s="710">
        <v>1.0</v>
      </c>
      <c r="I6470" s="256"/>
      <c r="J6470" s="67">
        <f t="shared" si="392"/>
        <v>-6685</v>
      </c>
      <c r="L6470" s="70"/>
      <c r="M6470" s="934"/>
      <c r="N6470" s="94"/>
      <c r="O6470" s="94"/>
      <c r="P6470" s="94"/>
      <c r="Q6470" s="94"/>
      <c r="R6470" s="94"/>
      <c r="S6470" s="94"/>
      <c r="T6470" s="94"/>
      <c r="U6470" s="94"/>
      <c r="V6470" s="94"/>
      <c r="W6470" s="94"/>
      <c r="X6470" s="94"/>
      <c r="Y6470" s="94"/>
      <c r="Z6470" s="94"/>
      <c r="AA6470" s="94"/>
      <c r="AB6470" s="94"/>
      <c r="AC6470" s="94"/>
      <c r="AD6470" s="94"/>
      <c r="AE6470" s="94"/>
      <c r="AF6470" s="94"/>
      <c r="AG6470" s="94"/>
      <c r="AH6470" s="94"/>
    </row>
    <row r="6471" ht="12.75" hidden="1" customHeight="1" outlineLevel="1">
      <c r="A6471" s="122">
        <v>42108.0</v>
      </c>
      <c r="B6471" s="32" t="s">
        <v>343</v>
      </c>
      <c r="C6471" s="32" t="s">
        <v>369</v>
      </c>
      <c r="D6471" s="708">
        <v>4000.0</v>
      </c>
      <c r="E6471" s="195">
        <v>5.194</v>
      </c>
      <c r="F6471" s="709">
        <v>0.5124884259259259</v>
      </c>
      <c r="G6471" s="195" t="s">
        <v>453</v>
      </c>
      <c r="H6471" s="710">
        <v>19.9</v>
      </c>
      <c r="I6471" s="256"/>
      <c r="J6471" s="67">
        <f t="shared" si="392"/>
        <v>-20795.9</v>
      </c>
      <c r="L6471" s="70"/>
      <c r="M6471" s="934"/>
      <c r="N6471" s="94"/>
      <c r="O6471" s="94"/>
      <c r="P6471" s="94"/>
      <c r="Q6471" s="94"/>
      <c r="R6471" s="94"/>
      <c r="S6471" s="94"/>
      <c r="T6471" s="94"/>
      <c r="U6471" s="94"/>
      <c r="V6471" s="94"/>
      <c r="W6471" s="94"/>
      <c r="X6471" s="94"/>
      <c r="Y6471" s="94"/>
      <c r="Z6471" s="94"/>
      <c r="AA6471" s="94"/>
      <c r="AB6471" s="94"/>
      <c r="AC6471" s="94"/>
      <c r="AD6471" s="94"/>
      <c r="AE6471" s="94"/>
      <c r="AF6471" s="94"/>
      <c r="AG6471" s="94"/>
      <c r="AH6471" s="94"/>
    </row>
    <row r="6472" ht="12.75" hidden="1" customHeight="1" outlineLevel="1">
      <c r="A6472" s="122">
        <v>42110.0</v>
      </c>
      <c r="B6472" s="32" t="s">
        <v>343</v>
      </c>
      <c r="C6472" s="32" t="s">
        <v>1221</v>
      </c>
      <c r="D6472" s="708">
        <v>200.0</v>
      </c>
      <c r="E6472" s="195">
        <v>39.73</v>
      </c>
      <c r="F6472" s="709">
        <v>0.4486805555555556</v>
      </c>
      <c r="G6472" s="195" t="s">
        <v>453</v>
      </c>
      <c r="H6472" s="710">
        <v>1.0</v>
      </c>
      <c r="I6472" s="256"/>
      <c r="J6472" s="67">
        <f t="shared" si="392"/>
        <v>-7947</v>
      </c>
      <c r="L6472" s="70"/>
      <c r="M6472" s="934"/>
      <c r="N6472" s="94"/>
      <c r="O6472" s="94"/>
      <c r="P6472" s="94"/>
      <c r="Q6472" s="94"/>
      <c r="R6472" s="94"/>
      <c r="S6472" s="94"/>
      <c r="T6472" s="94"/>
      <c r="U6472" s="94"/>
      <c r="V6472" s="94"/>
      <c r="W6472" s="94"/>
      <c r="X6472" s="94"/>
      <c r="Y6472" s="94"/>
      <c r="Z6472" s="94"/>
      <c r="AA6472" s="94"/>
      <c r="AB6472" s="94"/>
      <c r="AC6472" s="94"/>
      <c r="AD6472" s="94"/>
      <c r="AE6472" s="94"/>
      <c r="AF6472" s="94"/>
      <c r="AG6472" s="94"/>
      <c r="AH6472" s="94"/>
    </row>
    <row r="6473" ht="12.75" hidden="1" customHeight="1" outlineLevel="1">
      <c r="A6473" s="122">
        <v>42110.0</v>
      </c>
      <c r="B6473" s="32" t="s">
        <v>343</v>
      </c>
      <c r="C6473" s="32" t="s">
        <v>344</v>
      </c>
      <c r="D6473" s="708">
        <v>150.0</v>
      </c>
      <c r="E6473" s="195">
        <v>58.52</v>
      </c>
      <c r="F6473" s="709">
        <v>0.46034722222222224</v>
      </c>
      <c r="G6473" s="195" t="s">
        <v>453</v>
      </c>
      <c r="H6473" s="710">
        <v>1.0</v>
      </c>
      <c r="I6473" s="256"/>
      <c r="J6473" s="67">
        <f t="shared" si="392"/>
        <v>-8779</v>
      </c>
      <c r="L6473" s="70"/>
      <c r="M6473" s="934"/>
      <c r="N6473" s="94"/>
      <c r="O6473" s="94"/>
      <c r="P6473" s="94"/>
      <c r="Q6473" s="94"/>
      <c r="R6473" s="94"/>
      <c r="S6473" s="94"/>
      <c r="T6473" s="94"/>
      <c r="U6473" s="94"/>
      <c r="V6473" s="94"/>
      <c r="W6473" s="94"/>
      <c r="X6473" s="94"/>
      <c r="Y6473" s="94"/>
      <c r="Z6473" s="94"/>
      <c r="AA6473" s="94"/>
      <c r="AB6473" s="94"/>
      <c r="AC6473" s="94"/>
      <c r="AD6473" s="94"/>
      <c r="AE6473" s="94"/>
      <c r="AF6473" s="94"/>
      <c r="AG6473" s="94"/>
      <c r="AH6473" s="94"/>
    </row>
    <row r="6474" ht="12.75" hidden="1" customHeight="1" outlineLevel="1">
      <c r="A6474" s="122">
        <v>42110.0</v>
      </c>
      <c r="B6474" s="32" t="s">
        <v>343</v>
      </c>
      <c r="C6474" s="32" t="s">
        <v>1485</v>
      </c>
      <c r="D6474" s="708">
        <v>500.0</v>
      </c>
      <c r="E6474" s="195">
        <v>4.98</v>
      </c>
      <c r="F6474" s="709">
        <v>0.549074074074074</v>
      </c>
      <c r="G6474" s="195" t="s">
        <v>453</v>
      </c>
      <c r="H6474" s="710">
        <v>2.5</v>
      </c>
      <c r="I6474" s="256"/>
      <c r="J6474" s="67">
        <f t="shared" si="392"/>
        <v>-2492.5</v>
      </c>
      <c r="L6474" s="70"/>
      <c r="M6474" s="934"/>
      <c r="N6474" s="94"/>
      <c r="O6474" s="94"/>
      <c r="P6474" s="94"/>
      <c r="Q6474" s="94"/>
      <c r="R6474" s="94"/>
      <c r="S6474" s="94"/>
      <c r="T6474" s="94"/>
      <c r="U6474" s="94"/>
      <c r="V6474" s="94"/>
      <c r="W6474" s="94"/>
      <c r="X6474" s="94"/>
      <c r="Y6474" s="94"/>
      <c r="Z6474" s="94"/>
      <c r="AA6474" s="94"/>
      <c r="AB6474" s="94"/>
      <c r="AC6474" s="94"/>
      <c r="AD6474" s="94"/>
      <c r="AE6474" s="94"/>
      <c r="AF6474" s="94"/>
      <c r="AG6474" s="94"/>
      <c r="AH6474" s="94"/>
    </row>
    <row r="6475" ht="12.75" hidden="1" customHeight="1" outlineLevel="1">
      <c r="A6475" s="122">
        <v>42110.0</v>
      </c>
      <c r="B6475" s="32" t="s">
        <v>343</v>
      </c>
      <c r="C6475" s="32" t="s">
        <v>1483</v>
      </c>
      <c r="D6475" s="708">
        <v>500.0</v>
      </c>
      <c r="E6475" s="195">
        <v>2.74</v>
      </c>
      <c r="F6475" s="709">
        <v>0.5492824074074074</v>
      </c>
      <c r="G6475" s="195" t="s">
        <v>453</v>
      </c>
      <c r="H6475" s="710">
        <v>2.5</v>
      </c>
      <c r="I6475" s="256"/>
      <c r="J6475" s="67">
        <f t="shared" si="392"/>
        <v>-1372.5</v>
      </c>
      <c r="L6475" s="70"/>
      <c r="M6475" s="934"/>
      <c r="N6475" s="94"/>
      <c r="O6475" s="94"/>
      <c r="P6475" s="94"/>
      <c r="Q6475" s="94"/>
      <c r="R6475" s="94"/>
      <c r="S6475" s="94"/>
      <c r="T6475" s="94"/>
      <c r="U6475" s="94"/>
      <c r="V6475" s="94"/>
      <c r="W6475" s="94"/>
      <c r="X6475" s="94"/>
      <c r="Y6475" s="94"/>
      <c r="Z6475" s="94"/>
      <c r="AA6475" s="94"/>
      <c r="AB6475" s="94"/>
      <c r="AC6475" s="94"/>
      <c r="AD6475" s="94"/>
      <c r="AE6475" s="94"/>
      <c r="AF6475" s="94"/>
      <c r="AG6475" s="94"/>
      <c r="AH6475" s="94"/>
    </row>
    <row r="6476" ht="12.75" hidden="1" customHeight="1" outlineLevel="1">
      <c r="A6476" s="122">
        <v>42110.0</v>
      </c>
      <c r="B6476" s="32" t="s">
        <v>343</v>
      </c>
      <c r="C6476" s="32" t="s">
        <v>1092</v>
      </c>
      <c r="D6476" s="708">
        <v>500.0</v>
      </c>
      <c r="E6476" s="195">
        <v>4.9</v>
      </c>
      <c r="F6476" s="709">
        <v>0.5493518518518519</v>
      </c>
      <c r="G6476" s="195" t="s">
        <v>453</v>
      </c>
      <c r="H6476" s="710">
        <v>2.5</v>
      </c>
      <c r="I6476" s="256"/>
      <c r="J6476" s="67">
        <f t="shared" si="392"/>
        <v>-2452.5</v>
      </c>
      <c r="L6476" s="70"/>
      <c r="M6476" s="934"/>
      <c r="N6476" s="94"/>
      <c r="O6476" s="94"/>
      <c r="P6476" s="94"/>
      <c r="Q6476" s="94"/>
      <c r="R6476" s="94"/>
      <c r="S6476" s="94"/>
      <c r="T6476" s="94"/>
      <c r="U6476" s="94"/>
      <c r="V6476" s="94"/>
      <c r="W6476" s="94"/>
      <c r="X6476" s="94"/>
      <c r="Y6476" s="94"/>
      <c r="Z6476" s="94"/>
      <c r="AA6476" s="94"/>
      <c r="AB6476" s="94"/>
      <c r="AC6476" s="94"/>
      <c r="AD6476" s="94"/>
      <c r="AE6476" s="94"/>
      <c r="AF6476" s="94"/>
      <c r="AG6476" s="94"/>
      <c r="AH6476" s="94"/>
    </row>
    <row r="6477" ht="12.75" hidden="1" customHeight="1" outlineLevel="1">
      <c r="A6477" s="122">
        <v>42110.0</v>
      </c>
      <c r="B6477" s="32" t="s">
        <v>343</v>
      </c>
      <c r="C6477" s="32" t="s">
        <v>604</v>
      </c>
      <c r="D6477" s="708">
        <v>500.0</v>
      </c>
      <c r="E6477" s="195">
        <v>2.86</v>
      </c>
      <c r="F6477" s="709">
        <v>0.549375</v>
      </c>
      <c r="G6477" s="195" t="s">
        <v>453</v>
      </c>
      <c r="H6477" s="710">
        <v>2.5</v>
      </c>
      <c r="I6477" s="256"/>
      <c r="J6477" s="67">
        <f t="shared" si="392"/>
        <v>-1432.5</v>
      </c>
      <c r="L6477" s="70"/>
      <c r="M6477" s="934"/>
      <c r="N6477" s="94"/>
      <c r="O6477" s="94"/>
      <c r="P6477" s="94"/>
      <c r="Q6477" s="94"/>
      <c r="R6477" s="94"/>
      <c r="S6477" s="94"/>
      <c r="T6477" s="94"/>
      <c r="U6477" s="94"/>
      <c r="V6477" s="94"/>
      <c r="W6477" s="94"/>
      <c r="X6477" s="94"/>
      <c r="Y6477" s="94"/>
      <c r="Z6477" s="94"/>
      <c r="AA6477" s="94"/>
      <c r="AB6477" s="94"/>
      <c r="AC6477" s="94"/>
      <c r="AD6477" s="94"/>
      <c r="AE6477" s="94"/>
      <c r="AF6477" s="94"/>
      <c r="AG6477" s="94"/>
      <c r="AH6477" s="94"/>
    </row>
    <row r="6478" ht="12.75" hidden="1" customHeight="1" outlineLevel="1">
      <c r="A6478" s="122">
        <v>42110.0</v>
      </c>
      <c r="B6478" s="32" t="s">
        <v>343</v>
      </c>
      <c r="C6478" s="32" t="s">
        <v>1345</v>
      </c>
      <c r="D6478" s="708">
        <v>40.0</v>
      </c>
      <c r="E6478" s="195">
        <v>166.82</v>
      </c>
      <c r="F6478" s="709">
        <v>0.5687731481481482</v>
      </c>
      <c r="G6478" s="195" t="s">
        <v>453</v>
      </c>
      <c r="H6478" s="710">
        <v>1.0</v>
      </c>
      <c r="I6478" s="256"/>
      <c r="J6478" s="67">
        <f t="shared" si="392"/>
        <v>-6673.8</v>
      </c>
      <c r="L6478" s="70"/>
      <c r="M6478" s="934"/>
      <c r="N6478" s="94"/>
      <c r="O6478" s="94"/>
      <c r="P6478" s="94"/>
      <c r="Q6478" s="94"/>
      <c r="R6478" s="94"/>
      <c r="S6478" s="94"/>
      <c r="T6478" s="94"/>
      <c r="U6478" s="94"/>
      <c r="V6478" s="94"/>
      <c r="W6478" s="94"/>
      <c r="X6478" s="94"/>
      <c r="Y6478" s="94"/>
      <c r="Z6478" s="94"/>
      <c r="AA6478" s="94"/>
      <c r="AB6478" s="94"/>
      <c r="AC6478" s="94"/>
      <c r="AD6478" s="94"/>
      <c r="AE6478" s="94"/>
      <c r="AF6478" s="94"/>
      <c r="AG6478" s="94"/>
      <c r="AH6478" s="94"/>
    </row>
    <row r="6479" ht="12.75" hidden="1" customHeight="1" outlineLevel="1">
      <c r="A6479" s="122">
        <v>42110.0</v>
      </c>
      <c r="B6479" s="1"/>
      <c r="C6479" s="1" t="s">
        <v>339</v>
      </c>
      <c r="D6479" s="74"/>
      <c r="E6479" s="67"/>
      <c r="F6479" s="75"/>
      <c r="G6479" s="67"/>
      <c r="H6479" s="68"/>
      <c r="I6479" s="76"/>
      <c r="K6479" s="968" t="s">
        <v>2931</v>
      </c>
      <c r="L6479" s="934"/>
      <c r="M6479" s="934"/>
    </row>
    <row r="6480" ht="12.75" hidden="1" customHeight="1" outlineLevel="1">
      <c r="A6480" s="122">
        <v>42110.0</v>
      </c>
      <c r="B6480" s="1"/>
      <c r="C6480" s="1" t="s">
        <v>429</v>
      </c>
      <c r="D6480" s="74"/>
      <c r="E6480" s="67"/>
      <c r="F6480" s="75"/>
      <c r="G6480" s="67"/>
      <c r="H6480" s="68"/>
      <c r="I6480" s="76"/>
      <c r="J6480" s="67"/>
      <c r="K6480" s="9" t="s">
        <v>2839</v>
      </c>
      <c r="L6480" s="934"/>
      <c r="M6480" s="934"/>
    </row>
    <row r="6481" ht="12.75" hidden="1" customHeight="1" outlineLevel="1">
      <c r="A6481" s="122">
        <v>42110.0</v>
      </c>
      <c r="B6481" s="1"/>
      <c r="C6481" s="1" t="s">
        <v>431</v>
      </c>
      <c r="D6481" s="74"/>
      <c r="E6481" s="67"/>
      <c r="F6481" s="75"/>
      <c r="G6481" s="67"/>
      <c r="H6481" s="68"/>
      <c r="I6481" s="76"/>
      <c r="J6481" s="67"/>
      <c r="K6481" s="7" t="s">
        <v>1126</v>
      </c>
      <c r="L6481" s="934"/>
      <c r="M6481" s="934"/>
    </row>
    <row r="6482" ht="12.75" hidden="1" customHeight="1" outlineLevel="1">
      <c r="A6482" s="122">
        <v>42110.0</v>
      </c>
      <c r="B6482" s="1"/>
      <c r="C6482" s="1" t="s">
        <v>433</v>
      </c>
      <c r="D6482" s="74"/>
      <c r="E6482" s="67"/>
      <c r="F6482" s="75"/>
      <c r="G6482" s="67"/>
      <c r="H6482" s="68"/>
      <c r="I6482" s="76"/>
      <c r="J6482" s="67"/>
      <c r="K6482" s="7" t="s">
        <v>1103</v>
      </c>
      <c r="L6482" s="934"/>
      <c r="M6482" s="934"/>
    </row>
    <row r="6483" ht="12.75" hidden="1" customHeight="1" outlineLevel="1">
      <c r="A6483" s="122">
        <v>42110.0</v>
      </c>
      <c r="B6483" s="1"/>
      <c r="C6483" s="1" t="s">
        <v>435</v>
      </c>
      <c r="D6483" s="74"/>
      <c r="E6483" s="67"/>
      <c r="F6483" s="75"/>
      <c r="G6483" s="67"/>
      <c r="H6483" s="68"/>
      <c r="I6483" s="76"/>
      <c r="J6483" s="67"/>
      <c r="K6483" s="9" t="s">
        <v>2802</v>
      </c>
      <c r="L6483" s="934"/>
      <c r="M6483" s="934"/>
    </row>
    <row r="6484" ht="12.75" hidden="1" customHeight="1" outlineLevel="1">
      <c r="A6484" s="122">
        <v>42111.0</v>
      </c>
      <c r="B6484" s="32" t="s">
        <v>347</v>
      </c>
      <c r="C6484" s="32" t="s">
        <v>369</v>
      </c>
      <c r="D6484" s="708">
        <v>4000.0</v>
      </c>
      <c r="E6484" s="195">
        <v>5.233</v>
      </c>
      <c r="F6484" s="709">
        <v>0.5830324074074074</v>
      </c>
      <c r="G6484" s="195" t="s">
        <v>453</v>
      </c>
      <c r="H6484" s="710">
        <v>16.79</v>
      </c>
      <c r="I6484" s="256"/>
      <c r="J6484" s="67">
        <f t="shared" ref="J6484:J6492" si="393">IF(B6484="SLD",D6484*E6484,-D6484*E6484)-H6484</f>
        <v>20915.21</v>
      </c>
      <c r="L6484" s="70"/>
      <c r="M6484" s="934"/>
      <c r="N6484" s="94"/>
      <c r="O6484" s="94"/>
      <c r="P6484" s="94"/>
      <c r="Q6484" s="94"/>
      <c r="R6484" s="94"/>
      <c r="S6484" s="94"/>
      <c r="T6484" s="94"/>
      <c r="U6484" s="94"/>
      <c r="V6484" s="94"/>
      <c r="W6484" s="94"/>
      <c r="X6484" s="94"/>
      <c r="Y6484" s="94"/>
      <c r="Z6484" s="94"/>
      <c r="AA6484" s="94"/>
      <c r="AB6484" s="94"/>
      <c r="AC6484" s="94"/>
      <c r="AD6484" s="94"/>
      <c r="AE6484" s="94"/>
      <c r="AF6484" s="94"/>
      <c r="AG6484" s="94"/>
      <c r="AH6484" s="94"/>
    </row>
    <row r="6485" ht="12.75" hidden="1" customHeight="1" outlineLevel="1">
      <c r="A6485" s="122">
        <v>42111.0</v>
      </c>
      <c r="B6485" s="32" t="s">
        <v>347</v>
      </c>
      <c r="C6485" s="32" t="s">
        <v>784</v>
      </c>
      <c r="D6485" s="708">
        <v>8000.0</v>
      </c>
      <c r="E6485" s="195">
        <v>5.85</v>
      </c>
      <c r="F6485" s="709">
        <v>0.5857523148148148</v>
      </c>
      <c r="G6485" s="195" t="s">
        <v>453</v>
      </c>
      <c r="H6485" s="710">
        <v>36.86</v>
      </c>
      <c r="I6485" s="256"/>
      <c r="J6485" s="67">
        <f t="shared" si="393"/>
        <v>46763.14</v>
      </c>
      <c r="L6485" s="70"/>
      <c r="M6485" s="934"/>
      <c r="N6485" s="94"/>
      <c r="O6485" s="94"/>
      <c r="P6485" s="94"/>
      <c r="Q6485" s="94"/>
      <c r="R6485" s="94"/>
      <c r="S6485" s="94"/>
      <c r="T6485" s="94"/>
      <c r="U6485" s="94"/>
      <c r="V6485" s="94"/>
      <c r="W6485" s="94"/>
      <c r="X6485" s="94"/>
      <c r="Y6485" s="94"/>
      <c r="Z6485" s="94"/>
      <c r="AA6485" s="94"/>
      <c r="AB6485" s="94"/>
      <c r="AC6485" s="94"/>
      <c r="AD6485" s="94"/>
      <c r="AE6485" s="94"/>
      <c r="AF6485" s="94"/>
      <c r="AG6485" s="94"/>
      <c r="AH6485" s="94"/>
    </row>
    <row r="6486" ht="12.75" hidden="1" customHeight="1" outlineLevel="1">
      <c r="A6486" s="122">
        <v>42111.0</v>
      </c>
      <c r="B6486" s="32" t="s">
        <v>347</v>
      </c>
      <c r="C6486" s="32" t="s">
        <v>344</v>
      </c>
      <c r="D6486" s="708">
        <v>200.0</v>
      </c>
      <c r="E6486" s="195">
        <v>57.12</v>
      </c>
      <c r="F6486" s="709">
        <v>0.5970138888888888</v>
      </c>
      <c r="G6486" s="195" t="s">
        <v>453</v>
      </c>
      <c r="H6486" s="710">
        <v>1.21</v>
      </c>
      <c r="I6486" s="256"/>
      <c r="J6486" s="67">
        <f t="shared" si="393"/>
        <v>11422.79</v>
      </c>
      <c r="L6486" s="70"/>
      <c r="M6486" s="934"/>
      <c r="N6486" s="94"/>
      <c r="O6486" s="94"/>
      <c r="P6486" s="94"/>
      <c r="Q6486" s="94"/>
      <c r="R6486" s="94"/>
      <c r="S6486" s="94"/>
      <c r="T6486" s="94"/>
      <c r="U6486" s="94"/>
      <c r="V6486" s="94"/>
      <c r="W6486" s="94"/>
      <c r="X6486" s="94"/>
      <c r="Y6486" s="94"/>
      <c r="Z6486" s="94"/>
      <c r="AA6486" s="94"/>
      <c r="AB6486" s="94"/>
      <c r="AC6486" s="94"/>
      <c r="AD6486" s="94"/>
      <c r="AE6486" s="94"/>
      <c r="AF6486" s="94"/>
      <c r="AG6486" s="94"/>
      <c r="AH6486" s="94"/>
    </row>
    <row r="6487" ht="12.75" hidden="1" customHeight="1" outlineLevel="1">
      <c r="A6487" s="122">
        <v>42111.0</v>
      </c>
      <c r="B6487" s="32" t="s">
        <v>347</v>
      </c>
      <c r="C6487" s="32" t="s">
        <v>2048</v>
      </c>
      <c r="D6487" s="708">
        <v>1500.0</v>
      </c>
      <c r="E6487" s="195">
        <v>11.93</v>
      </c>
      <c r="F6487" s="709">
        <v>0.6061111111111112</v>
      </c>
      <c r="G6487" s="195" t="s">
        <v>453</v>
      </c>
      <c r="H6487" s="710">
        <v>6.73</v>
      </c>
      <c r="I6487" s="256"/>
      <c r="J6487" s="67">
        <f t="shared" si="393"/>
        <v>17888.27</v>
      </c>
      <c r="L6487" s="70"/>
      <c r="M6487" s="934"/>
      <c r="N6487" s="94"/>
      <c r="O6487" s="94"/>
      <c r="P6487" s="94"/>
      <c r="Q6487" s="94"/>
      <c r="R6487" s="94"/>
      <c r="S6487" s="94"/>
      <c r="T6487" s="94"/>
      <c r="U6487" s="94"/>
      <c r="V6487" s="94"/>
      <c r="W6487" s="94"/>
      <c r="X6487" s="94"/>
      <c r="Y6487" s="94"/>
      <c r="Z6487" s="94"/>
      <c r="AA6487" s="94"/>
      <c r="AB6487" s="94"/>
      <c r="AC6487" s="94"/>
      <c r="AD6487" s="94"/>
      <c r="AE6487" s="94"/>
      <c r="AF6487" s="94"/>
      <c r="AG6487" s="94"/>
      <c r="AH6487" s="94"/>
    </row>
    <row r="6488" ht="12.75" hidden="1" customHeight="1" outlineLevel="1">
      <c r="A6488" s="122">
        <v>42111.0</v>
      </c>
      <c r="B6488" s="32" t="s">
        <v>343</v>
      </c>
      <c r="C6488" s="32" t="s">
        <v>344</v>
      </c>
      <c r="D6488" s="708">
        <v>200.0</v>
      </c>
      <c r="E6488" s="195">
        <v>57.18</v>
      </c>
      <c r="F6488" s="709">
        <v>0.6077314814814815</v>
      </c>
      <c r="G6488" s="195" t="s">
        <v>453</v>
      </c>
      <c r="H6488" s="710">
        <v>1.0</v>
      </c>
      <c r="I6488" s="256"/>
      <c r="J6488" s="67">
        <f t="shared" si="393"/>
        <v>-11437</v>
      </c>
      <c r="L6488" s="70"/>
      <c r="M6488" s="934"/>
      <c r="N6488" s="94"/>
      <c r="O6488" s="94"/>
      <c r="P6488" s="94"/>
      <c r="Q6488" s="94"/>
      <c r="R6488" s="94"/>
      <c r="S6488" s="94"/>
      <c r="T6488" s="94"/>
      <c r="U6488" s="94"/>
      <c r="V6488" s="94"/>
      <c r="W6488" s="94"/>
      <c r="X6488" s="94"/>
      <c r="Y6488" s="94"/>
      <c r="Z6488" s="94"/>
      <c r="AA6488" s="94"/>
      <c r="AB6488" s="94"/>
      <c r="AC6488" s="94"/>
      <c r="AD6488" s="94"/>
      <c r="AE6488" s="94"/>
      <c r="AF6488" s="94"/>
      <c r="AG6488" s="94"/>
      <c r="AH6488" s="94"/>
    </row>
    <row r="6489" ht="12.75" hidden="1" customHeight="1" outlineLevel="1">
      <c r="A6489" s="122">
        <v>42111.0</v>
      </c>
      <c r="B6489" s="32" t="s">
        <v>347</v>
      </c>
      <c r="C6489" s="32" t="s">
        <v>1357</v>
      </c>
      <c r="D6489" s="708">
        <v>450.0</v>
      </c>
      <c r="E6489" s="195">
        <v>41.64</v>
      </c>
      <c r="F6489" s="709">
        <v>0.6264351851851852</v>
      </c>
      <c r="G6489" s="195" t="s">
        <v>453</v>
      </c>
      <c r="H6489" s="710">
        <v>2.44</v>
      </c>
      <c r="I6489" s="256"/>
      <c r="J6489" s="67">
        <f t="shared" si="393"/>
        <v>18735.56</v>
      </c>
      <c r="L6489" s="70"/>
      <c r="M6489" s="934"/>
      <c r="N6489" s="94"/>
      <c r="O6489" s="94"/>
      <c r="P6489" s="94"/>
      <c r="Q6489" s="94"/>
      <c r="R6489" s="94"/>
      <c r="S6489" s="94"/>
      <c r="T6489" s="94"/>
      <c r="U6489" s="94"/>
      <c r="V6489" s="94"/>
      <c r="W6489" s="94"/>
      <c r="X6489" s="94"/>
      <c r="Y6489" s="94"/>
      <c r="Z6489" s="94"/>
      <c r="AA6489" s="94"/>
      <c r="AB6489" s="94"/>
      <c r="AC6489" s="94"/>
      <c r="AD6489" s="94"/>
      <c r="AE6489" s="94"/>
      <c r="AF6489" s="94"/>
      <c r="AG6489" s="94"/>
      <c r="AH6489" s="94"/>
    </row>
    <row r="6490" ht="12.75" hidden="1" customHeight="1" outlineLevel="1">
      <c r="A6490" s="122">
        <v>42111.0</v>
      </c>
      <c r="B6490" s="32" t="s">
        <v>347</v>
      </c>
      <c r="C6490" s="32" t="s">
        <v>2412</v>
      </c>
      <c r="D6490" s="708">
        <v>300.0</v>
      </c>
      <c r="E6490" s="195">
        <v>61.481</v>
      </c>
      <c r="F6490" s="709">
        <v>0.6266666666666667</v>
      </c>
      <c r="G6490" s="195" t="s">
        <v>453</v>
      </c>
      <c r="H6490" s="710">
        <v>1.54</v>
      </c>
      <c r="I6490" s="256"/>
      <c r="J6490" s="67">
        <f t="shared" si="393"/>
        <v>18442.76</v>
      </c>
      <c r="L6490" s="70"/>
      <c r="M6490" s="934"/>
      <c r="N6490" s="94"/>
      <c r="O6490" s="94"/>
      <c r="P6490" s="94"/>
      <c r="Q6490" s="94"/>
      <c r="R6490" s="94"/>
      <c r="S6490" s="94"/>
      <c r="T6490" s="94"/>
      <c r="U6490" s="94"/>
      <c r="V6490" s="94"/>
      <c r="W6490" s="94"/>
      <c r="X6490" s="94"/>
      <c r="Y6490" s="94"/>
      <c r="Z6490" s="94"/>
      <c r="AA6490" s="94"/>
      <c r="AB6490" s="94"/>
      <c r="AC6490" s="94"/>
      <c r="AD6490" s="94"/>
      <c r="AE6490" s="94"/>
      <c r="AF6490" s="94"/>
      <c r="AG6490" s="94"/>
      <c r="AH6490" s="94"/>
    </row>
    <row r="6491" ht="12.75" hidden="1" customHeight="1" outlineLevel="1">
      <c r="A6491" s="122">
        <v>42111.0</v>
      </c>
      <c r="B6491" s="32" t="s">
        <v>347</v>
      </c>
      <c r="C6491" s="32" t="s">
        <v>344</v>
      </c>
      <c r="D6491" s="708">
        <v>550.0</v>
      </c>
      <c r="E6491" s="195">
        <v>57.21</v>
      </c>
      <c r="F6491" s="709">
        <v>0.6268287037037037</v>
      </c>
      <c r="G6491" s="195" t="s">
        <v>453</v>
      </c>
      <c r="H6491" s="710">
        <v>3.33</v>
      </c>
      <c r="I6491" s="256"/>
      <c r="J6491" s="67">
        <f t="shared" si="393"/>
        <v>31462.17</v>
      </c>
      <c r="L6491" s="70"/>
      <c r="M6491" s="934"/>
      <c r="N6491" s="94"/>
      <c r="O6491" s="94"/>
      <c r="P6491" s="94"/>
      <c r="Q6491" s="94"/>
      <c r="R6491" s="94"/>
      <c r="S6491" s="94"/>
      <c r="T6491" s="94"/>
      <c r="U6491" s="94"/>
      <c r="V6491" s="94"/>
      <c r="W6491" s="94"/>
      <c r="X6491" s="94"/>
      <c r="Y6491" s="94"/>
      <c r="Z6491" s="94"/>
      <c r="AA6491" s="94"/>
      <c r="AB6491" s="94"/>
      <c r="AC6491" s="94"/>
      <c r="AD6491" s="94"/>
      <c r="AE6491" s="94"/>
      <c r="AF6491" s="94"/>
      <c r="AG6491" s="94"/>
      <c r="AH6491" s="94"/>
    </row>
    <row r="6492" ht="12.75" hidden="1" customHeight="1" outlineLevel="1">
      <c r="A6492" s="122">
        <v>42111.0</v>
      </c>
      <c r="B6492" s="32" t="s">
        <v>347</v>
      </c>
      <c r="C6492" s="32" t="s">
        <v>1766</v>
      </c>
      <c r="D6492" s="708">
        <v>250.0</v>
      </c>
      <c r="E6492" s="195">
        <v>76.47</v>
      </c>
      <c r="F6492" s="709">
        <v>0.6280902777777778</v>
      </c>
      <c r="G6492" s="195" t="s">
        <v>453</v>
      </c>
      <c r="H6492" s="710">
        <v>1.55</v>
      </c>
      <c r="I6492" s="256"/>
      <c r="J6492" s="67">
        <f t="shared" si="393"/>
        <v>19115.95</v>
      </c>
      <c r="L6492" s="70"/>
      <c r="M6492" s="934"/>
      <c r="N6492" s="94"/>
      <c r="O6492" s="94"/>
      <c r="P6492" s="94"/>
      <c r="Q6492" s="94"/>
      <c r="R6492" s="94"/>
      <c r="S6492" s="94"/>
      <c r="T6492" s="94"/>
      <c r="U6492" s="94"/>
      <c r="V6492" s="94"/>
      <c r="W6492" s="94"/>
      <c r="X6492" s="94"/>
      <c r="Y6492" s="94"/>
      <c r="Z6492" s="94"/>
      <c r="AA6492" s="94"/>
      <c r="AB6492" s="94"/>
      <c r="AC6492" s="94"/>
      <c r="AD6492" s="94"/>
      <c r="AE6492" s="94"/>
      <c r="AF6492" s="94"/>
      <c r="AG6492" s="94"/>
      <c r="AH6492" s="94"/>
    </row>
    <row r="6493" ht="12.75" hidden="1" customHeight="1" outlineLevel="1">
      <c r="A6493" s="122">
        <v>42113.0</v>
      </c>
      <c r="B6493" s="1"/>
      <c r="C6493" s="1" t="s">
        <v>339</v>
      </c>
      <c r="D6493" s="74"/>
      <c r="E6493" s="67"/>
      <c r="F6493" s="75"/>
      <c r="G6493" s="67"/>
      <c r="H6493" s="68"/>
      <c r="I6493" s="76"/>
      <c r="K6493" s="968" t="s">
        <v>2942</v>
      </c>
      <c r="L6493" s="934"/>
      <c r="M6493" s="934"/>
    </row>
    <row r="6494" ht="12.75" hidden="1" customHeight="1" outlineLevel="1">
      <c r="A6494" s="122">
        <v>42113.0</v>
      </c>
      <c r="B6494" s="1"/>
      <c r="C6494" s="1" t="s">
        <v>429</v>
      </c>
      <c r="D6494" s="74"/>
      <c r="E6494" s="67"/>
      <c r="F6494" s="75"/>
      <c r="G6494" s="67"/>
      <c r="H6494" s="68"/>
      <c r="I6494" s="76"/>
      <c r="J6494" s="67"/>
      <c r="K6494" s="9" t="s">
        <v>2839</v>
      </c>
      <c r="L6494" s="934"/>
      <c r="M6494" s="934"/>
    </row>
    <row r="6495" ht="12.75" hidden="1" customHeight="1" outlineLevel="1">
      <c r="A6495" s="122">
        <v>42113.0</v>
      </c>
      <c r="B6495" s="1"/>
      <c r="C6495" s="1" t="s">
        <v>431</v>
      </c>
      <c r="D6495" s="74"/>
      <c r="E6495" s="67"/>
      <c r="F6495" s="75"/>
      <c r="G6495" s="67"/>
      <c r="H6495" s="68"/>
      <c r="I6495" s="76"/>
      <c r="J6495" s="67"/>
      <c r="K6495" s="7" t="s">
        <v>1126</v>
      </c>
      <c r="L6495" s="934"/>
      <c r="M6495" s="934"/>
    </row>
    <row r="6496" ht="12.75" hidden="1" customHeight="1" outlineLevel="1">
      <c r="A6496" s="122">
        <v>42113.0</v>
      </c>
      <c r="B6496" s="1"/>
      <c r="C6496" s="1" t="s">
        <v>433</v>
      </c>
      <c r="D6496" s="74"/>
      <c r="E6496" s="67"/>
      <c r="F6496" s="75"/>
      <c r="G6496" s="67"/>
      <c r="H6496" s="68"/>
      <c r="I6496" s="76"/>
      <c r="J6496" s="67"/>
      <c r="K6496" s="7" t="s">
        <v>1103</v>
      </c>
      <c r="L6496" s="934"/>
      <c r="M6496" s="934"/>
    </row>
    <row r="6497" ht="12.75" hidden="1" customHeight="1" outlineLevel="1">
      <c r="A6497" s="122">
        <v>42113.0</v>
      </c>
      <c r="B6497" s="1"/>
      <c r="C6497" s="1" t="s">
        <v>435</v>
      </c>
      <c r="D6497" s="74"/>
      <c r="E6497" s="67"/>
      <c r="F6497" s="75"/>
      <c r="G6497" s="67"/>
      <c r="H6497" s="68"/>
      <c r="I6497" s="76"/>
      <c r="J6497" s="67"/>
      <c r="K6497" s="9" t="s">
        <v>2802</v>
      </c>
      <c r="L6497" s="934"/>
      <c r="M6497" s="934"/>
    </row>
    <row r="6498" ht="12.75" hidden="1" customHeight="1" outlineLevel="1">
      <c r="A6498" s="122">
        <v>42114.0</v>
      </c>
      <c r="B6498" s="32" t="s">
        <v>343</v>
      </c>
      <c r="C6498" s="32" t="s">
        <v>344</v>
      </c>
      <c r="D6498" s="708">
        <v>225.0</v>
      </c>
      <c r="E6498" s="195">
        <v>57.75</v>
      </c>
      <c r="F6498" s="709">
        <v>0.3963425925925926</v>
      </c>
      <c r="G6498" s="195" t="s">
        <v>453</v>
      </c>
      <c r="H6498" s="710">
        <v>1.12</v>
      </c>
      <c r="I6498" s="256"/>
      <c r="J6498" s="67">
        <f t="shared" ref="J6498:J6525" si="394">IF(B6498="SLD",D6498*E6498,-D6498*E6498)-H6498</f>
        <v>-12994.87</v>
      </c>
      <c r="L6498" s="70"/>
      <c r="M6498" s="934"/>
      <c r="N6498" s="94"/>
      <c r="O6498" s="94"/>
      <c r="P6498" s="94"/>
      <c r="Q6498" s="94"/>
      <c r="R6498" s="94"/>
      <c r="S6498" s="94"/>
      <c r="T6498" s="94"/>
      <c r="U6498" s="94"/>
      <c r="V6498" s="94"/>
      <c r="W6498" s="94"/>
      <c r="X6498" s="94"/>
      <c r="Y6498" s="94"/>
      <c r="Z6498" s="94"/>
      <c r="AA6498" s="94"/>
      <c r="AB6498" s="94"/>
      <c r="AC6498" s="94"/>
      <c r="AD6498" s="94"/>
      <c r="AE6498" s="94"/>
      <c r="AF6498" s="94"/>
      <c r="AG6498" s="94"/>
      <c r="AH6498" s="94"/>
    </row>
    <row r="6499" ht="12.75" hidden="1" customHeight="1" outlineLevel="1">
      <c r="A6499" s="122">
        <v>42114.0</v>
      </c>
      <c r="B6499" s="32" t="s">
        <v>343</v>
      </c>
      <c r="C6499" s="32" t="s">
        <v>1357</v>
      </c>
      <c r="D6499" s="708">
        <v>300.0</v>
      </c>
      <c r="E6499" s="195">
        <v>41.94</v>
      </c>
      <c r="F6499" s="709">
        <v>0.3975810185185185</v>
      </c>
      <c r="G6499" s="195" t="s">
        <v>453</v>
      </c>
      <c r="H6499" s="710">
        <v>1.5</v>
      </c>
      <c r="I6499" s="256"/>
      <c r="J6499" s="67">
        <f t="shared" si="394"/>
        <v>-12583.5</v>
      </c>
      <c r="L6499" s="70"/>
      <c r="M6499" s="934"/>
      <c r="N6499" s="94"/>
      <c r="O6499" s="94"/>
      <c r="P6499" s="94"/>
      <c r="Q6499" s="94"/>
      <c r="R6499" s="94"/>
      <c r="S6499" s="94"/>
      <c r="T6499" s="94"/>
      <c r="U6499" s="94"/>
      <c r="V6499" s="94"/>
      <c r="W6499" s="94"/>
      <c r="X6499" s="94"/>
      <c r="Y6499" s="94"/>
      <c r="Z6499" s="94"/>
      <c r="AA6499" s="94"/>
      <c r="AB6499" s="94"/>
      <c r="AC6499" s="94"/>
      <c r="AD6499" s="94"/>
      <c r="AE6499" s="94"/>
      <c r="AF6499" s="94"/>
      <c r="AG6499" s="94"/>
      <c r="AH6499" s="94"/>
    </row>
    <row r="6500" ht="12.75" hidden="1" customHeight="1" outlineLevel="1">
      <c r="A6500" s="122">
        <v>42114.0</v>
      </c>
      <c r="B6500" s="32" t="s">
        <v>343</v>
      </c>
      <c r="C6500" s="32" t="s">
        <v>1766</v>
      </c>
      <c r="D6500" s="708">
        <v>125.0</v>
      </c>
      <c r="E6500" s="195">
        <v>76.99</v>
      </c>
      <c r="F6500" s="709">
        <v>0.3978125</v>
      </c>
      <c r="G6500" s="195" t="s">
        <v>453</v>
      </c>
      <c r="H6500" s="710">
        <v>1.0</v>
      </c>
      <c r="I6500" s="256"/>
      <c r="J6500" s="67">
        <f t="shared" si="394"/>
        <v>-9624.75</v>
      </c>
      <c r="L6500" s="70"/>
      <c r="M6500" s="934"/>
      <c r="N6500" s="94"/>
      <c r="O6500" s="94"/>
      <c r="P6500" s="94"/>
      <c r="Q6500" s="94"/>
      <c r="R6500" s="94"/>
      <c r="S6500" s="94"/>
      <c r="T6500" s="94"/>
      <c r="U6500" s="94"/>
      <c r="V6500" s="94"/>
      <c r="W6500" s="94"/>
      <c r="X6500" s="94"/>
      <c r="Y6500" s="94"/>
      <c r="Z6500" s="94"/>
      <c r="AA6500" s="94"/>
      <c r="AB6500" s="94"/>
      <c r="AC6500" s="94"/>
      <c r="AD6500" s="94"/>
      <c r="AE6500" s="94"/>
      <c r="AF6500" s="94"/>
      <c r="AG6500" s="94"/>
      <c r="AH6500" s="94"/>
    </row>
    <row r="6501" ht="12.75" hidden="1" customHeight="1" outlineLevel="1">
      <c r="A6501" s="122">
        <v>42114.0</v>
      </c>
      <c r="B6501" s="32" t="s">
        <v>347</v>
      </c>
      <c r="C6501" s="32" t="s">
        <v>2342</v>
      </c>
      <c r="D6501" s="708">
        <v>100.0</v>
      </c>
      <c r="E6501" s="195">
        <v>68.64</v>
      </c>
      <c r="F6501" s="709">
        <v>0.40171296296296294</v>
      </c>
      <c r="G6501" s="195" t="s">
        <v>453</v>
      </c>
      <c r="H6501" s="710">
        <v>1.13</v>
      </c>
      <c r="I6501" s="256"/>
      <c r="J6501" s="67">
        <f t="shared" si="394"/>
        <v>6862.87</v>
      </c>
      <c r="L6501" s="70"/>
      <c r="M6501" s="934"/>
      <c r="N6501" s="94"/>
      <c r="O6501" s="94"/>
      <c r="P6501" s="94"/>
      <c r="Q6501" s="94"/>
      <c r="R6501" s="94"/>
      <c r="S6501" s="94"/>
      <c r="T6501" s="94"/>
      <c r="U6501" s="94"/>
      <c r="V6501" s="94"/>
      <c r="W6501" s="94"/>
      <c r="X6501" s="94"/>
      <c r="Y6501" s="94"/>
      <c r="Z6501" s="94"/>
      <c r="AA6501" s="94"/>
      <c r="AB6501" s="94"/>
      <c r="AC6501" s="94"/>
      <c r="AD6501" s="94"/>
      <c r="AE6501" s="94"/>
      <c r="AF6501" s="94"/>
      <c r="AG6501" s="94"/>
      <c r="AH6501" s="94"/>
    </row>
    <row r="6502" ht="12.75" hidden="1" customHeight="1" outlineLevel="1">
      <c r="A6502" s="122">
        <v>42114.0</v>
      </c>
      <c r="B6502" s="32" t="s">
        <v>347</v>
      </c>
      <c r="C6502" s="32" t="s">
        <v>2142</v>
      </c>
      <c r="D6502" s="708">
        <v>600.0</v>
      </c>
      <c r="E6502" s="195">
        <v>30.802</v>
      </c>
      <c r="F6502" s="709">
        <v>0.40564814814814815</v>
      </c>
      <c r="G6502" s="195" t="s">
        <v>453</v>
      </c>
      <c r="H6502" s="710">
        <v>3.04</v>
      </c>
      <c r="I6502" s="256"/>
      <c r="J6502" s="67">
        <f t="shared" si="394"/>
        <v>18478.16</v>
      </c>
      <c r="L6502" s="70"/>
      <c r="M6502" s="934"/>
      <c r="N6502" s="94"/>
      <c r="O6502" s="94"/>
      <c r="P6502" s="94"/>
      <c r="Q6502" s="94"/>
      <c r="R6502" s="94"/>
      <c r="S6502" s="94"/>
      <c r="T6502" s="94"/>
      <c r="U6502" s="94"/>
      <c r="V6502" s="94"/>
      <c r="W6502" s="94"/>
      <c r="X6502" s="94"/>
      <c r="Y6502" s="94"/>
      <c r="Z6502" s="94"/>
      <c r="AA6502" s="94"/>
      <c r="AB6502" s="94"/>
      <c r="AC6502" s="94"/>
      <c r="AD6502" s="94"/>
      <c r="AE6502" s="94"/>
      <c r="AF6502" s="94"/>
      <c r="AG6502" s="94"/>
      <c r="AH6502" s="94"/>
    </row>
    <row r="6503" ht="12.75" hidden="1" customHeight="1" outlineLevel="1">
      <c r="A6503" s="122">
        <v>42114.0</v>
      </c>
      <c r="B6503" s="32" t="s">
        <v>347</v>
      </c>
      <c r="C6503" s="32" t="s">
        <v>2142</v>
      </c>
      <c r="D6503" s="708">
        <v>400.0</v>
      </c>
      <c r="E6503" s="195">
        <v>30.81</v>
      </c>
      <c r="F6503" s="709">
        <v>0.4099074074074074</v>
      </c>
      <c r="G6503" s="195" t="s">
        <v>453</v>
      </c>
      <c r="H6503" s="710">
        <v>2.23</v>
      </c>
      <c r="I6503" s="256"/>
      <c r="J6503" s="67">
        <f t="shared" si="394"/>
        <v>12321.77</v>
      </c>
      <c r="L6503" s="70"/>
      <c r="M6503" s="934"/>
      <c r="N6503" s="94"/>
      <c r="O6503" s="94"/>
      <c r="P6503" s="94"/>
      <c r="Q6503" s="94"/>
      <c r="R6503" s="94"/>
      <c r="S6503" s="94"/>
      <c r="T6503" s="94"/>
      <c r="U6503" s="94"/>
      <c r="V6503" s="94"/>
      <c r="W6503" s="94"/>
      <c r="X6503" s="94"/>
      <c r="Y6503" s="94"/>
      <c r="Z6503" s="94"/>
      <c r="AA6503" s="94"/>
      <c r="AB6503" s="94"/>
      <c r="AC6503" s="94"/>
      <c r="AD6503" s="94"/>
      <c r="AE6503" s="94"/>
      <c r="AF6503" s="94"/>
      <c r="AG6503" s="94"/>
      <c r="AH6503" s="94"/>
    </row>
    <row r="6504" ht="12.75" hidden="1" customHeight="1" outlineLevel="1">
      <c r="A6504" s="122">
        <v>42114.0</v>
      </c>
      <c r="B6504" s="32" t="s">
        <v>347</v>
      </c>
      <c r="C6504" s="32" t="s">
        <v>1060</v>
      </c>
      <c r="D6504" s="708">
        <v>500.0</v>
      </c>
      <c r="E6504" s="195">
        <v>43.11</v>
      </c>
      <c r="F6504" s="709">
        <v>0.41381944444444446</v>
      </c>
      <c r="G6504" s="195" t="s">
        <v>453</v>
      </c>
      <c r="H6504" s="710">
        <v>2.4</v>
      </c>
      <c r="I6504" s="256"/>
      <c r="J6504" s="67">
        <f t="shared" si="394"/>
        <v>21552.6</v>
      </c>
      <c r="L6504" s="70"/>
      <c r="M6504" s="934"/>
      <c r="N6504" s="94"/>
      <c r="O6504" s="94"/>
      <c r="P6504" s="94"/>
      <c r="Q6504" s="94"/>
      <c r="R6504" s="94"/>
      <c r="S6504" s="94"/>
      <c r="T6504" s="94"/>
      <c r="U6504" s="94"/>
      <c r="V6504" s="94"/>
      <c r="W6504" s="94"/>
      <c r="X6504" s="94"/>
      <c r="Y6504" s="94"/>
      <c r="Z6504" s="94"/>
      <c r="AA6504" s="94"/>
      <c r="AB6504" s="94"/>
      <c r="AC6504" s="94"/>
      <c r="AD6504" s="94"/>
      <c r="AE6504" s="94"/>
      <c r="AF6504" s="94"/>
      <c r="AG6504" s="94"/>
      <c r="AH6504" s="94"/>
    </row>
    <row r="6505" ht="12.75" hidden="1" customHeight="1" outlineLevel="1">
      <c r="A6505" s="122">
        <v>42114.0</v>
      </c>
      <c r="B6505" s="32" t="s">
        <v>347</v>
      </c>
      <c r="C6505" s="32" t="s">
        <v>1221</v>
      </c>
      <c r="D6505" s="708">
        <v>400.0</v>
      </c>
      <c r="E6505" s="195">
        <v>38.7</v>
      </c>
      <c r="F6505" s="709">
        <v>0.4146875</v>
      </c>
      <c r="G6505" s="195" t="s">
        <v>453</v>
      </c>
      <c r="H6505" s="710">
        <v>2.28</v>
      </c>
      <c r="I6505" s="256"/>
      <c r="J6505" s="67">
        <f t="shared" si="394"/>
        <v>15477.72</v>
      </c>
      <c r="L6505" s="70"/>
      <c r="M6505" s="934"/>
      <c r="N6505" s="94"/>
      <c r="O6505" s="94"/>
      <c r="P6505" s="94"/>
      <c r="Q6505" s="94"/>
      <c r="R6505" s="94"/>
      <c r="S6505" s="94"/>
      <c r="T6505" s="94"/>
      <c r="U6505" s="94"/>
      <c r="V6505" s="94"/>
      <c r="W6505" s="94"/>
      <c r="X6505" s="94"/>
      <c r="Y6505" s="94"/>
      <c r="Z6505" s="94"/>
      <c r="AA6505" s="94"/>
      <c r="AB6505" s="94"/>
      <c r="AC6505" s="94"/>
      <c r="AD6505" s="94"/>
      <c r="AE6505" s="94"/>
      <c r="AF6505" s="94"/>
      <c r="AG6505" s="94"/>
      <c r="AH6505" s="94"/>
    </row>
    <row r="6506" ht="12.75" hidden="1" customHeight="1" outlineLevel="1">
      <c r="A6506" s="122">
        <v>42114.0</v>
      </c>
      <c r="B6506" s="32" t="s">
        <v>347</v>
      </c>
      <c r="C6506" s="32" t="s">
        <v>1185</v>
      </c>
      <c r="D6506" s="708">
        <v>100.0</v>
      </c>
      <c r="E6506" s="195">
        <v>324.47</v>
      </c>
      <c r="F6506" s="709">
        <v>0.41498842592592594</v>
      </c>
      <c r="G6506" s="195" t="s">
        <v>453</v>
      </c>
      <c r="H6506" s="710">
        <v>1.6</v>
      </c>
      <c r="I6506" s="256"/>
      <c r="J6506" s="67">
        <f t="shared" si="394"/>
        <v>32445.4</v>
      </c>
      <c r="L6506" s="70"/>
      <c r="M6506" s="934"/>
      <c r="N6506" s="94"/>
      <c r="O6506" s="94"/>
      <c r="P6506" s="94"/>
      <c r="Q6506" s="94"/>
      <c r="R6506" s="94"/>
      <c r="S6506" s="94"/>
      <c r="T6506" s="94"/>
      <c r="U6506" s="94"/>
      <c r="V6506" s="94"/>
      <c r="W6506" s="94"/>
      <c r="X6506" s="94"/>
      <c r="Y6506" s="94"/>
      <c r="Z6506" s="94"/>
      <c r="AA6506" s="94"/>
      <c r="AB6506" s="94"/>
      <c r="AC6506" s="94"/>
      <c r="AD6506" s="94"/>
      <c r="AE6506" s="94"/>
      <c r="AF6506" s="94"/>
      <c r="AG6506" s="94"/>
      <c r="AH6506" s="94"/>
    </row>
    <row r="6507" ht="12.75" hidden="1" customHeight="1" outlineLevel="1">
      <c r="A6507" s="122">
        <v>42114.0</v>
      </c>
      <c r="B6507" s="32" t="s">
        <v>343</v>
      </c>
      <c r="C6507" s="32" t="s">
        <v>2048</v>
      </c>
      <c r="D6507" s="708">
        <v>750.0</v>
      </c>
      <c r="E6507" s="195">
        <v>11.99</v>
      </c>
      <c r="F6507" s="709">
        <v>0.4152199074074074</v>
      </c>
      <c r="G6507" s="195" t="s">
        <v>453</v>
      </c>
      <c r="H6507" s="710">
        <v>3.0</v>
      </c>
      <c r="I6507" s="256"/>
      <c r="J6507" s="67">
        <f t="shared" si="394"/>
        <v>-8995.5</v>
      </c>
      <c r="L6507" s="70"/>
      <c r="M6507" s="934"/>
      <c r="N6507" s="94"/>
      <c r="O6507" s="94"/>
      <c r="P6507" s="94"/>
      <c r="Q6507" s="94"/>
      <c r="R6507" s="94"/>
      <c r="S6507" s="94"/>
      <c r="T6507" s="94"/>
      <c r="U6507" s="94"/>
      <c r="V6507" s="94"/>
      <c r="W6507" s="94"/>
      <c r="X6507" s="94"/>
      <c r="Y6507" s="94"/>
      <c r="Z6507" s="94"/>
      <c r="AA6507" s="94"/>
      <c r="AB6507" s="94"/>
      <c r="AC6507" s="94"/>
      <c r="AD6507" s="94"/>
      <c r="AE6507" s="94"/>
      <c r="AF6507" s="94"/>
      <c r="AG6507" s="94"/>
      <c r="AH6507" s="94"/>
    </row>
    <row r="6508" ht="12.75" hidden="1" customHeight="1" outlineLevel="1">
      <c r="A6508" s="122">
        <v>42114.0</v>
      </c>
      <c r="B6508" s="32" t="s">
        <v>343</v>
      </c>
      <c r="C6508" s="32" t="s">
        <v>369</v>
      </c>
      <c r="D6508" s="708">
        <v>2200.0</v>
      </c>
      <c r="E6508" s="195">
        <v>5.255</v>
      </c>
      <c r="F6508" s="709">
        <v>0.41586805555555556</v>
      </c>
      <c r="G6508" s="195" t="s">
        <v>453</v>
      </c>
      <c r="H6508" s="710">
        <v>11.0</v>
      </c>
      <c r="I6508" s="256"/>
      <c r="J6508" s="67">
        <f t="shared" si="394"/>
        <v>-11572</v>
      </c>
      <c r="L6508" s="70"/>
      <c r="M6508" s="934"/>
      <c r="N6508" s="94"/>
      <c r="O6508" s="94"/>
      <c r="P6508" s="94"/>
      <c r="Q6508" s="94"/>
      <c r="R6508" s="94"/>
      <c r="S6508" s="94"/>
      <c r="T6508" s="94"/>
      <c r="U6508" s="94"/>
      <c r="V6508" s="94"/>
      <c r="W6508" s="94"/>
      <c r="X6508" s="94"/>
      <c r="Y6508" s="94"/>
      <c r="Z6508" s="94"/>
      <c r="AA6508" s="94"/>
      <c r="AB6508" s="94"/>
      <c r="AC6508" s="94"/>
      <c r="AD6508" s="94"/>
      <c r="AE6508" s="94"/>
      <c r="AF6508" s="94"/>
      <c r="AG6508" s="94"/>
      <c r="AH6508" s="94"/>
    </row>
    <row r="6509" ht="12.75" hidden="1" customHeight="1" outlineLevel="1">
      <c r="A6509" s="122">
        <v>42114.0</v>
      </c>
      <c r="B6509" s="32" t="s">
        <v>343</v>
      </c>
      <c r="C6509" s="32" t="s">
        <v>784</v>
      </c>
      <c r="D6509" s="708">
        <v>4500.0</v>
      </c>
      <c r="E6509" s="195">
        <v>5.929</v>
      </c>
      <c r="F6509" s="709">
        <v>0.4164351851851852</v>
      </c>
      <c r="G6509" s="195" t="s">
        <v>453</v>
      </c>
      <c r="H6509" s="710">
        <v>22.0</v>
      </c>
      <c r="I6509" s="256"/>
      <c r="J6509" s="67">
        <f t="shared" si="394"/>
        <v>-26702.5</v>
      </c>
      <c r="L6509" s="70"/>
      <c r="M6509" s="934"/>
      <c r="N6509" s="94"/>
      <c r="O6509" s="94"/>
      <c r="P6509" s="94"/>
      <c r="Q6509" s="94"/>
      <c r="R6509" s="94"/>
      <c r="S6509" s="94"/>
      <c r="T6509" s="94"/>
      <c r="U6509" s="94"/>
      <c r="V6509" s="94"/>
      <c r="W6509" s="94"/>
      <c r="X6509" s="94"/>
      <c r="Y6509" s="94"/>
      <c r="Z6509" s="94"/>
      <c r="AA6509" s="94"/>
      <c r="AB6509" s="94"/>
      <c r="AC6509" s="94"/>
      <c r="AD6509" s="94"/>
      <c r="AE6509" s="94"/>
      <c r="AF6509" s="94"/>
      <c r="AG6509" s="94"/>
      <c r="AH6509" s="94"/>
    </row>
    <row r="6510" ht="12.75" hidden="1" customHeight="1" outlineLevel="1">
      <c r="A6510" s="122">
        <v>42114.0</v>
      </c>
      <c r="B6510" s="32" t="s">
        <v>347</v>
      </c>
      <c r="C6510" s="32" t="s">
        <v>2142</v>
      </c>
      <c r="D6510" s="708">
        <v>500.0</v>
      </c>
      <c r="E6510" s="195">
        <v>30.75</v>
      </c>
      <c r="F6510" s="709">
        <v>0.41758101851851853</v>
      </c>
      <c r="G6510" s="195" t="s">
        <v>453</v>
      </c>
      <c r="H6510" s="710">
        <v>2.68</v>
      </c>
      <c r="I6510" s="256"/>
      <c r="J6510" s="67">
        <f t="shared" si="394"/>
        <v>15372.32</v>
      </c>
      <c r="L6510" s="70"/>
      <c r="M6510" s="934"/>
      <c r="N6510" s="94"/>
      <c r="O6510" s="94"/>
      <c r="P6510" s="94"/>
      <c r="Q6510" s="94"/>
      <c r="R6510" s="94"/>
      <c r="S6510" s="94"/>
      <c r="T6510" s="94"/>
      <c r="U6510" s="94"/>
      <c r="V6510" s="94"/>
      <c r="W6510" s="94"/>
      <c r="X6510" s="94"/>
      <c r="Y6510" s="94"/>
      <c r="Z6510" s="94"/>
      <c r="AA6510" s="94"/>
      <c r="AB6510" s="94"/>
      <c r="AC6510" s="94"/>
      <c r="AD6510" s="94"/>
      <c r="AE6510" s="94"/>
      <c r="AF6510" s="94"/>
      <c r="AG6510" s="94"/>
      <c r="AH6510" s="94"/>
    </row>
    <row r="6511" ht="12.75" hidden="1" customHeight="1" outlineLevel="1">
      <c r="A6511" s="122">
        <v>42114.0</v>
      </c>
      <c r="B6511" s="32" t="s">
        <v>347</v>
      </c>
      <c r="C6511" s="32" t="s">
        <v>1060</v>
      </c>
      <c r="D6511" s="708">
        <v>250.0</v>
      </c>
      <c r="E6511" s="195">
        <v>43.141</v>
      </c>
      <c r="F6511" s="709">
        <v>0.41782407407407407</v>
      </c>
      <c r="G6511" s="195" t="s">
        <v>453</v>
      </c>
      <c r="H6511" s="710">
        <v>1.2</v>
      </c>
      <c r="I6511" s="256"/>
      <c r="J6511" s="67">
        <f t="shared" si="394"/>
        <v>10784.05</v>
      </c>
      <c r="L6511" s="70"/>
      <c r="M6511" s="934"/>
      <c r="N6511" s="94"/>
      <c r="O6511" s="94"/>
      <c r="P6511" s="94"/>
      <c r="Q6511" s="94"/>
      <c r="R6511" s="94"/>
      <c r="S6511" s="94"/>
      <c r="T6511" s="94"/>
      <c r="U6511" s="94"/>
      <c r="V6511" s="94"/>
      <c r="W6511" s="94"/>
      <c r="X6511" s="94"/>
      <c r="Y6511" s="94"/>
      <c r="Z6511" s="94"/>
      <c r="AA6511" s="94"/>
      <c r="AB6511" s="94"/>
      <c r="AC6511" s="94"/>
      <c r="AD6511" s="94"/>
      <c r="AE6511" s="94"/>
      <c r="AF6511" s="94"/>
      <c r="AG6511" s="94"/>
      <c r="AH6511" s="94"/>
    </row>
    <row r="6512" ht="12.75" hidden="1" customHeight="1" outlineLevel="1">
      <c r="A6512" s="122">
        <v>42114.0</v>
      </c>
      <c r="B6512" s="32" t="s">
        <v>347</v>
      </c>
      <c r="C6512" s="32" t="s">
        <v>1221</v>
      </c>
      <c r="D6512" s="708">
        <v>300.0</v>
      </c>
      <c r="E6512" s="195">
        <v>38.651</v>
      </c>
      <c r="F6512" s="709">
        <v>0.4189351851851852</v>
      </c>
      <c r="G6512" s="195" t="s">
        <v>453</v>
      </c>
      <c r="H6512" s="710">
        <v>1.41</v>
      </c>
      <c r="I6512" s="256"/>
      <c r="J6512" s="67">
        <f t="shared" si="394"/>
        <v>11593.89</v>
      </c>
      <c r="L6512" s="70"/>
      <c r="M6512" s="934"/>
      <c r="N6512" s="94"/>
      <c r="O6512" s="94"/>
      <c r="P6512" s="94"/>
      <c r="Q6512" s="94"/>
      <c r="R6512" s="94"/>
      <c r="S6512" s="94"/>
      <c r="T6512" s="94"/>
      <c r="U6512" s="94"/>
      <c r="V6512" s="94"/>
      <c r="W6512" s="94"/>
      <c r="X6512" s="94"/>
      <c r="Y6512" s="94"/>
      <c r="Z6512" s="94"/>
      <c r="AA6512" s="94"/>
      <c r="AB6512" s="94"/>
      <c r="AC6512" s="94"/>
      <c r="AD6512" s="94"/>
      <c r="AE6512" s="94"/>
      <c r="AF6512" s="94"/>
      <c r="AG6512" s="94"/>
      <c r="AH6512" s="94"/>
    </row>
    <row r="6513" ht="12.75" hidden="1" customHeight="1" outlineLevel="1">
      <c r="A6513" s="122">
        <v>42114.0</v>
      </c>
      <c r="B6513" s="32" t="s">
        <v>347</v>
      </c>
      <c r="C6513" s="32" t="s">
        <v>1244</v>
      </c>
      <c r="D6513" s="708">
        <v>75.0</v>
      </c>
      <c r="E6513" s="195">
        <v>101.18</v>
      </c>
      <c r="F6513" s="709">
        <v>0.4195601851851852</v>
      </c>
      <c r="G6513" s="195" t="s">
        <v>453</v>
      </c>
      <c r="H6513" s="710">
        <v>1.14</v>
      </c>
      <c r="I6513" s="256"/>
      <c r="J6513" s="67">
        <f t="shared" si="394"/>
        <v>7587.36</v>
      </c>
      <c r="L6513" s="70"/>
      <c r="M6513" s="934"/>
      <c r="N6513" s="94"/>
      <c r="O6513" s="94"/>
      <c r="P6513" s="94"/>
      <c r="Q6513" s="94"/>
      <c r="R6513" s="94"/>
      <c r="S6513" s="94"/>
      <c r="T6513" s="94"/>
      <c r="U6513" s="94"/>
      <c r="V6513" s="94"/>
      <c r="W6513" s="94"/>
      <c r="X6513" s="94"/>
      <c r="Y6513" s="94"/>
      <c r="Z6513" s="94"/>
      <c r="AA6513" s="94"/>
      <c r="AB6513" s="94"/>
      <c r="AC6513" s="94"/>
      <c r="AD6513" s="94"/>
      <c r="AE6513" s="94"/>
      <c r="AF6513" s="94"/>
      <c r="AG6513" s="94"/>
      <c r="AH6513" s="94"/>
    </row>
    <row r="6514" ht="12.75" hidden="1" customHeight="1" outlineLevel="1">
      <c r="A6514" s="122">
        <v>42114.0</v>
      </c>
      <c r="B6514" s="32" t="s">
        <v>347</v>
      </c>
      <c r="C6514" s="32" t="s">
        <v>1345</v>
      </c>
      <c r="D6514" s="708">
        <v>40.0</v>
      </c>
      <c r="E6514" s="195">
        <v>164.39</v>
      </c>
      <c r="F6514" s="709">
        <v>0.42018518518518516</v>
      </c>
      <c r="G6514" s="195" t="s">
        <v>453</v>
      </c>
      <c r="H6514" s="710">
        <v>1.12</v>
      </c>
      <c r="I6514" s="256"/>
      <c r="J6514" s="67">
        <f t="shared" si="394"/>
        <v>6574.48</v>
      </c>
      <c r="L6514" s="70"/>
      <c r="M6514" s="934"/>
      <c r="N6514" s="94"/>
      <c r="O6514" s="94"/>
      <c r="P6514" s="94"/>
      <c r="Q6514" s="94"/>
      <c r="R6514" s="94"/>
      <c r="S6514" s="94"/>
      <c r="T6514" s="94"/>
      <c r="U6514" s="94"/>
      <c r="V6514" s="94"/>
      <c r="W6514" s="94"/>
      <c r="X6514" s="94"/>
      <c r="Y6514" s="94"/>
      <c r="Z6514" s="94"/>
      <c r="AA6514" s="94"/>
      <c r="AB6514" s="94"/>
      <c r="AC6514" s="94"/>
      <c r="AD6514" s="94"/>
      <c r="AE6514" s="94"/>
      <c r="AF6514" s="94"/>
      <c r="AG6514" s="94"/>
      <c r="AH6514" s="94"/>
    </row>
    <row r="6515" ht="12.75" hidden="1" customHeight="1" outlineLevel="1">
      <c r="A6515" s="122">
        <v>42114.0</v>
      </c>
      <c r="B6515" s="32" t="s">
        <v>347</v>
      </c>
      <c r="C6515" s="32" t="s">
        <v>1249</v>
      </c>
      <c r="D6515" s="708">
        <v>50.0</v>
      </c>
      <c r="E6515" s="195">
        <v>112.98</v>
      </c>
      <c r="F6515" s="709">
        <v>0.42083333333333334</v>
      </c>
      <c r="G6515" s="195" t="s">
        <v>453</v>
      </c>
      <c r="H6515" s="710">
        <v>1.1</v>
      </c>
      <c r="I6515" s="256"/>
      <c r="J6515" s="67">
        <f t="shared" si="394"/>
        <v>5647.9</v>
      </c>
      <c r="L6515" s="70"/>
      <c r="M6515" s="934"/>
      <c r="N6515" s="94"/>
      <c r="O6515" s="94"/>
      <c r="P6515" s="94"/>
      <c r="Q6515" s="94"/>
      <c r="R6515" s="94"/>
      <c r="S6515" s="94"/>
      <c r="T6515" s="94"/>
      <c r="U6515" s="94"/>
      <c r="V6515" s="94"/>
      <c r="W6515" s="94"/>
      <c r="X6515" s="94"/>
      <c r="Y6515" s="94"/>
      <c r="Z6515" s="94"/>
      <c r="AA6515" s="94"/>
      <c r="AB6515" s="94"/>
      <c r="AC6515" s="94"/>
      <c r="AD6515" s="94"/>
      <c r="AE6515" s="94"/>
      <c r="AF6515" s="94"/>
      <c r="AG6515" s="94"/>
      <c r="AH6515" s="94"/>
    </row>
    <row r="6516" ht="12.75" hidden="1" customHeight="1" outlineLevel="1">
      <c r="A6516" s="122">
        <v>42114.0</v>
      </c>
      <c r="B6516" s="32" t="s">
        <v>347</v>
      </c>
      <c r="C6516" s="32" t="s">
        <v>2157</v>
      </c>
      <c r="D6516" s="708">
        <v>150.0</v>
      </c>
      <c r="E6516" s="195">
        <v>92.632</v>
      </c>
      <c r="F6516" s="709">
        <v>0.421875</v>
      </c>
      <c r="G6516" s="195" t="s">
        <v>453</v>
      </c>
      <c r="H6516" s="710">
        <v>1.26</v>
      </c>
      <c r="I6516" s="256"/>
      <c r="J6516" s="67">
        <f t="shared" si="394"/>
        <v>13893.54</v>
      </c>
      <c r="L6516" s="70"/>
      <c r="M6516" s="934"/>
      <c r="N6516" s="94"/>
      <c r="O6516" s="94"/>
      <c r="P6516" s="94"/>
      <c r="Q6516" s="94"/>
      <c r="R6516" s="94"/>
      <c r="S6516" s="94"/>
      <c r="T6516" s="94"/>
      <c r="U6516" s="94"/>
      <c r="V6516" s="94"/>
      <c r="W6516" s="94"/>
      <c r="X6516" s="94"/>
      <c r="Y6516" s="94"/>
      <c r="Z6516" s="94"/>
      <c r="AA6516" s="94"/>
      <c r="AB6516" s="94"/>
      <c r="AC6516" s="94"/>
      <c r="AD6516" s="94"/>
      <c r="AE6516" s="94"/>
      <c r="AF6516" s="94"/>
      <c r="AG6516" s="94"/>
      <c r="AH6516" s="94"/>
    </row>
    <row r="6517" ht="12.75" hidden="1" customHeight="1" outlineLevel="1">
      <c r="A6517" s="122">
        <v>42114.0</v>
      </c>
      <c r="B6517" s="32" t="s">
        <v>347</v>
      </c>
      <c r="C6517" s="32" t="s">
        <v>2862</v>
      </c>
      <c r="D6517" s="708">
        <v>125.0</v>
      </c>
      <c r="E6517" s="195">
        <v>101.75</v>
      </c>
      <c r="F6517" s="709">
        <v>0.42212962962962963</v>
      </c>
      <c r="G6517" s="195" t="s">
        <v>453</v>
      </c>
      <c r="H6517" s="710">
        <v>1.23</v>
      </c>
      <c r="I6517" s="256"/>
      <c r="J6517" s="67">
        <f t="shared" si="394"/>
        <v>12717.52</v>
      </c>
      <c r="L6517" s="70"/>
      <c r="M6517" s="934"/>
      <c r="N6517" s="94"/>
      <c r="O6517" s="94"/>
      <c r="P6517" s="94"/>
      <c r="Q6517" s="94"/>
      <c r="R6517" s="94"/>
      <c r="S6517" s="94"/>
      <c r="T6517" s="94"/>
      <c r="U6517" s="94"/>
      <c r="V6517" s="94"/>
      <c r="W6517" s="94"/>
      <c r="X6517" s="94"/>
      <c r="Y6517" s="94"/>
      <c r="Z6517" s="94"/>
      <c r="AA6517" s="94"/>
      <c r="AB6517" s="94"/>
      <c r="AC6517" s="94"/>
      <c r="AD6517" s="94"/>
      <c r="AE6517" s="94"/>
      <c r="AF6517" s="94"/>
      <c r="AG6517" s="94"/>
      <c r="AH6517" s="94"/>
    </row>
    <row r="6518" ht="12.75" hidden="1" customHeight="1" outlineLevel="1">
      <c r="A6518" s="122">
        <v>42114.0</v>
      </c>
      <c r="B6518" s="32" t="s">
        <v>347</v>
      </c>
      <c r="C6518" s="32" t="s">
        <v>1082</v>
      </c>
      <c r="D6518" s="708">
        <v>20.0</v>
      </c>
      <c r="E6518" s="195">
        <v>689.734</v>
      </c>
      <c r="F6518" s="709">
        <v>0.42256944444444444</v>
      </c>
      <c r="G6518" s="195" t="s">
        <v>453</v>
      </c>
      <c r="H6518" s="710">
        <v>1.25</v>
      </c>
      <c r="I6518" s="256"/>
      <c r="J6518" s="67">
        <f t="shared" si="394"/>
        <v>13793.43</v>
      </c>
      <c r="L6518" s="70"/>
      <c r="M6518" s="934"/>
      <c r="N6518" s="94"/>
      <c r="O6518" s="94"/>
      <c r="P6518" s="94"/>
      <c r="Q6518" s="94"/>
      <c r="R6518" s="94"/>
      <c r="S6518" s="94"/>
      <c r="T6518" s="94"/>
      <c r="U6518" s="94"/>
      <c r="V6518" s="94"/>
      <c r="W6518" s="94"/>
      <c r="X6518" s="94"/>
      <c r="Y6518" s="94"/>
      <c r="Z6518" s="94"/>
      <c r="AA6518" s="94"/>
      <c r="AB6518" s="94"/>
      <c r="AC6518" s="94"/>
      <c r="AD6518" s="94"/>
      <c r="AE6518" s="94"/>
      <c r="AF6518" s="94"/>
      <c r="AG6518" s="94"/>
      <c r="AH6518" s="94"/>
    </row>
    <row r="6519" ht="12.75" hidden="1" customHeight="1" outlineLevel="1">
      <c r="A6519" s="122">
        <v>42114.0</v>
      </c>
      <c r="B6519" s="32" t="s">
        <v>347</v>
      </c>
      <c r="C6519" s="32" t="s">
        <v>1074</v>
      </c>
      <c r="D6519" s="708">
        <v>90.0</v>
      </c>
      <c r="E6519" s="195">
        <v>113.222</v>
      </c>
      <c r="F6519" s="709">
        <v>0.4232175925925926</v>
      </c>
      <c r="G6519" s="195" t="s">
        <v>453</v>
      </c>
      <c r="H6519" s="710">
        <v>1.19</v>
      </c>
      <c r="I6519" s="256"/>
      <c r="J6519" s="67">
        <f t="shared" si="394"/>
        <v>10188.79</v>
      </c>
      <c r="L6519" s="70"/>
      <c r="M6519" s="934"/>
      <c r="N6519" s="94"/>
      <c r="O6519" s="94"/>
      <c r="P6519" s="94"/>
      <c r="Q6519" s="94"/>
      <c r="R6519" s="94"/>
      <c r="S6519" s="94"/>
      <c r="T6519" s="94"/>
      <c r="U6519" s="94"/>
      <c r="V6519" s="94"/>
      <c r="W6519" s="94"/>
      <c r="X6519" s="94"/>
      <c r="Y6519" s="94"/>
      <c r="Z6519" s="94"/>
      <c r="AA6519" s="94"/>
      <c r="AB6519" s="94"/>
      <c r="AC6519" s="94"/>
      <c r="AD6519" s="94"/>
      <c r="AE6519" s="94"/>
      <c r="AF6519" s="94"/>
      <c r="AG6519" s="94"/>
      <c r="AH6519" s="94"/>
    </row>
    <row r="6520" ht="12.75" hidden="1" customHeight="1" outlineLevel="1">
      <c r="A6520" s="122">
        <v>42114.0</v>
      </c>
      <c r="B6520" s="32" t="s">
        <v>347</v>
      </c>
      <c r="C6520" s="32" t="s">
        <v>2142</v>
      </c>
      <c r="D6520" s="708">
        <v>400.0</v>
      </c>
      <c r="E6520" s="195">
        <v>30.712</v>
      </c>
      <c r="F6520" s="709">
        <v>0.4314236111111111</v>
      </c>
      <c r="G6520" s="195" t="s">
        <v>453</v>
      </c>
      <c r="H6520" s="710">
        <v>1.83</v>
      </c>
      <c r="I6520" s="256"/>
      <c r="J6520" s="67">
        <f t="shared" si="394"/>
        <v>12282.97</v>
      </c>
      <c r="L6520" s="70"/>
      <c r="M6520" s="934"/>
      <c r="N6520" s="94"/>
      <c r="O6520" s="94"/>
      <c r="P6520" s="94"/>
      <c r="Q6520" s="94"/>
      <c r="R6520" s="94"/>
      <c r="S6520" s="94"/>
      <c r="T6520" s="94"/>
      <c r="U6520" s="94"/>
      <c r="V6520" s="94"/>
      <c r="W6520" s="94"/>
      <c r="X6520" s="94"/>
      <c r="Y6520" s="94"/>
      <c r="Z6520" s="94"/>
      <c r="AA6520" s="94"/>
      <c r="AB6520" s="94"/>
      <c r="AC6520" s="94"/>
      <c r="AD6520" s="94"/>
      <c r="AE6520" s="94"/>
      <c r="AF6520" s="94"/>
      <c r="AG6520" s="94"/>
      <c r="AH6520" s="94"/>
    </row>
    <row r="6521" ht="12.75" hidden="1" customHeight="1" outlineLevel="1">
      <c r="A6521" s="122">
        <v>42114.0</v>
      </c>
      <c r="B6521" s="32" t="s">
        <v>343</v>
      </c>
      <c r="C6521" s="32" t="s">
        <v>2862</v>
      </c>
      <c r="D6521" s="708">
        <v>200.0</v>
      </c>
      <c r="E6521" s="195">
        <v>103.85</v>
      </c>
      <c r="F6521" s="709">
        <v>0.6314351851851852</v>
      </c>
      <c r="G6521" s="195" t="s">
        <v>453</v>
      </c>
      <c r="H6521" s="710">
        <v>1.0</v>
      </c>
      <c r="I6521" s="256"/>
      <c r="J6521" s="67">
        <f t="shared" si="394"/>
        <v>-20771</v>
      </c>
      <c r="L6521" s="70"/>
      <c r="M6521" s="934"/>
      <c r="N6521" s="94"/>
      <c r="O6521" s="94"/>
      <c r="P6521" s="94"/>
      <c r="Q6521" s="94"/>
      <c r="R6521" s="94"/>
      <c r="S6521" s="94"/>
      <c r="T6521" s="94"/>
      <c r="U6521" s="94"/>
      <c r="V6521" s="94"/>
      <c r="W6521" s="94"/>
      <c r="X6521" s="94"/>
      <c r="Y6521" s="94"/>
      <c r="Z6521" s="94"/>
      <c r="AA6521" s="94"/>
      <c r="AB6521" s="94"/>
      <c r="AC6521" s="94"/>
      <c r="AD6521" s="94"/>
      <c r="AE6521" s="94"/>
      <c r="AF6521" s="94"/>
      <c r="AG6521" s="94"/>
      <c r="AH6521" s="94"/>
    </row>
    <row r="6522" ht="12.75" hidden="1" customHeight="1" outlineLevel="1">
      <c r="A6522" s="122">
        <v>42115.0</v>
      </c>
      <c r="B6522" s="32" t="s">
        <v>343</v>
      </c>
      <c r="C6522" s="32" t="s">
        <v>1061</v>
      </c>
      <c r="D6522" s="708">
        <v>600.0</v>
      </c>
      <c r="E6522" s="195">
        <v>46.9</v>
      </c>
      <c r="F6522" s="709">
        <v>0.397349537037037</v>
      </c>
      <c r="G6522" s="195" t="s">
        <v>453</v>
      </c>
      <c r="H6522" s="710">
        <v>3.0</v>
      </c>
      <c r="I6522" s="256"/>
      <c r="J6522" s="67">
        <f t="shared" si="394"/>
        <v>-28143</v>
      </c>
      <c r="L6522" s="70"/>
      <c r="M6522" s="934"/>
      <c r="N6522" s="94"/>
      <c r="O6522" s="94"/>
      <c r="P6522" s="94"/>
      <c r="Q6522" s="94"/>
      <c r="R6522" s="94"/>
      <c r="S6522" s="94"/>
      <c r="T6522" s="94"/>
      <c r="U6522" s="94"/>
      <c r="V6522" s="94"/>
      <c r="W6522" s="94"/>
      <c r="X6522" s="94"/>
      <c r="Y6522" s="94"/>
      <c r="Z6522" s="94"/>
      <c r="AA6522" s="94"/>
      <c r="AB6522" s="94"/>
      <c r="AC6522" s="94"/>
      <c r="AD6522" s="94"/>
      <c r="AE6522" s="94"/>
      <c r="AF6522" s="94"/>
      <c r="AG6522" s="94"/>
      <c r="AH6522" s="94"/>
    </row>
    <row r="6523" ht="12.75" hidden="1" customHeight="1" outlineLevel="1">
      <c r="A6523" s="122">
        <v>42115.0</v>
      </c>
      <c r="B6523" s="32" t="s">
        <v>347</v>
      </c>
      <c r="C6523" s="32" t="s">
        <v>790</v>
      </c>
      <c r="D6523" s="708">
        <v>1500.0</v>
      </c>
      <c r="E6523" s="195">
        <v>8.67</v>
      </c>
      <c r="F6523" s="709">
        <v>0.5402083333333333</v>
      </c>
      <c r="G6523" s="195" t="s">
        <v>453</v>
      </c>
      <c r="H6523" s="710">
        <v>7.74</v>
      </c>
      <c r="I6523" s="256"/>
      <c r="J6523" s="67">
        <f t="shared" si="394"/>
        <v>12997.26</v>
      </c>
      <c r="L6523" s="70"/>
      <c r="M6523" s="934"/>
      <c r="N6523" s="94"/>
      <c r="O6523" s="94"/>
      <c r="P6523" s="94"/>
      <c r="Q6523" s="94"/>
      <c r="R6523" s="94"/>
      <c r="S6523" s="94"/>
      <c r="T6523" s="94"/>
      <c r="U6523" s="94"/>
      <c r="V6523" s="94"/>
      <c r="W6523" s="94"/>
      <c r="X6523" s="94"/>
      <c r="Y6523" s="94"/>
      <c r="Z6523" s="94"/>
      <c r="AA6523" s="94"/>
      <c r="AB6523" s="94"/>
      <c r="AC6523" s="94"/>
      <c r="AD6523" s="94"/>
      <c r="AE6523" s="94"/>
      <c r="AF6523" s="94"/>
      <c r="AG6523" s="94"/>
      <c r="AH6523" s="94"/>
    </row>
    <row r="6524" ht="12.75" hidden="1" customHeight="1" outlineLevel="1">
      <c r="A6524" s="122">
        <v>42115.0</v>
      </c>
      <c r="B6524" s="32" t="s">
        <v>347</v>
      </c>
      <c r="C6524" s="32" t="s">
        <v>2861</v>
      </c>
      <c r="D6524" s="708">
        <v>100.0</v>
      </c>
      <c r="E6524" s="195">
        <v>192.065</v>
      </c>
      <c r="F6524" s="709">
        <v>0.5652314814814815</v>
      </c>
      <c r="G6524" s="195" t="s">
        <v>453</v>
      </c>
      <c r="H6524" s="710">
        <v>1.35</v>
      </c>
      <c r="I6524" s="256"/>
      <c r="J6524" s="67">
        <f t="shared" si="394"/>
        <v>19205.15</v>
      </c>
      <c r="L6524" s="70"/>
      <c r="M6524" s="934"/>
      <c r="N6524" s="94"/>
      <c r="O6524" s="94"/>
      <c r="P6524" s="94"/>
      <c r="Q6524" s="94"/>
      <c r="R6524" s="94"/>
      <c r="S6524" s="94"/>
      <c r="T6524" s="94"/>
      <c r="U6524" s="94"/>
      <c r="V6524" s="94"/>
      <c r="W6524" s="94"/>
      <c r="X6524" s="94"/>
      <c r="Y6524" s="94"/>
      <c r="Z6524" s="94"/>
      <c r="AA6524" s="94"/>
      <c r="AB6524" s="94"/>
      <c r="AC6524" s="94"/>
      <c r="AD6524" s="94"/>
      <c r="AE6524" s="94"/>
      <c r="AF6524" s="94"/>
      <c r="AG6524" s="94"/>
      <c r="AH6524" s="94"/>
    </row>
    <row r="6525" ht="12.75" hidden="1" customHeight="1" outlineLevel="1">
      <c r="A6525" s="122">
        <v>42115.0</v>
      </c>
      <c r="B6525" s="32" t="s">
        <v>343</v>
      </c>
      <c r="C6525" s="32" t="s">
        <v>2861</v>
      </c>
      <c r="D6525" s="708">
        <v>50.0</v>
      </c>
      <c r="E6525" s="195">
        <v>191.865</v>
      </c>
      <c r="F6525" s="709">
        <v>0.5880092592592593</v>
      </c>
      <c r="G6525" s="195" t="s">
        <v>453</v>
      </c>
      <c r="H6525" s="710">
        <v>1.0</v>
      </c>
      <c r="I6525" s="256"/>
      <c r="J6525" s="67">
        <f t="shared" si="394"/>
        <v>-9594.25</v>
      </c>
      <c r="L6525" s="70"/>
      <c r="M6525" s="934"/>
      <c r="N6525" s="94"/>
      <c r="O6525" s="94"/>
      <c r="P6525" s="94"/>
      <c r="Q6525" s="94"/>
      <c r="R6525" s="94"/>
      <c r="S6525" s="94"/>
      <c r="T6525" s="94"/>
      <c r="U6525" s="94"/>
      <c r="V6525" s="94"/>
      <c r="W6525" s="94"/>
      <c r="X6525" s="94"/>
      <c r="Y6525" s="94"/>
      <c r="Z6525" s="94"/>
      <c r="AA6525" s="94"/>
      <c r="AB6525" s="94"/>
      <c r="AC6525" s="94"/>
      <c r="AD6525" s="94"/>
      <c r="AE6525" s="94"/>
      <c r="AF6525" s="94"/>
      <c r="AG6525" s="94"/>
      <c r="AH6525" s="94"/>
    </row>
    <row r="6526" ht="12.75" hidden="1" customHeight="1" outlineLevel="1">
      <c r="A6526" s="122">
        <v>42115.0</v>
      </c>
      <c r="B6526" s="1"/>
      <c r="C6526" s="1" t="s">
        <v>339</v>
      </c>
      <c r="D6526" s="74"/>
      <c r="E6526" s="67"/>
      <c r="F6526" s="75"/>
      <c r="G6526" s="67"/>
      <c r="H6526" s="68"/>
      <c r="I6526" s="76"/>
      <c r="K6526" s="968" t="s">
        <v>2957</v>
      </c>
      <c r="L6526" s="934"/>
      <c r="M6526" s="934"/>
    </row>
    <row r="6527" ht="12.75" hidden="1" customHeight="1" outlineLevel="1">
      <c r="A6527" s="122">
        <v>42115.0</v>
      </c>
      <c r="B6527" s="1"/>
      <c r="C6527" s="1" t="s">
        <v>429</v>
      </c>
      <c r="D6527" s="74"/>
      <c r="E6527" s="67"/>
      <c r="F6527" s="75"/>
      <c r="G6527" s="67"/>
      <c r="H6527" s="68"/>
      <c r="I6527" s="76"/>
      <c r="J6527" s="67"/>
      <c r="K6527" s="9" t="s">
        <v>2839</v>
      </c>
      <c r="L6527" s="934"/>
      <c r="M6527" s="934"/>
    </row>
    <row r="6528" ht="12.75" hidden="1" customHeight="1" outlineLevel="1">
      <c r="A6528" s="122">
        <v>42115.0</v>
      </c>
      <c r="B6528" s="1"/>
      <c r="C6528" s="1" t="s">
        <v>431</v>
      </c>
      <c r="D6528" s="74"/>
      <c r="E6528" s="67"/>
      <c r="F6528" s="75"/>
      <c r="G6528" s="67"/>
      <c r="H6528" s="68"/>
      <c r="I6528" s="76"/>
      <c r="J6528" s="67"/>
      <c r="K6528" s="7" t="s">
        <v>1126</v>
      </c>
      <c r="L6528" s="934"/>
      <c r="M6528" s="934"/>
    </row>
    <row r="6529" ht="12.75" hidden="1" customHeight="1" outlineLevel="1">
      <c r="A6529" s="122">
        <v>42115.0</v>
      </c>
      <c r="B6529" s="1"/>
      <c r="C6529" s="1" t="s">
        <v>433</v>
      </c>
      <c r="D6529" s="74"/>
      <c r="E6529" s="67"/>
      <c r="F6529" s="75"/>
      <c r="G6529" s="67"/>
      <c r="H6529" s="68"/>
      <c r="I6529" s="76"/>
      <c r="J6529" s="67"/>
      <c r="K6529" s="7" t="s">
        <v>1103</v>
      </c>
      <c r="L6529" s="934"/>
      <c r="M6529" s="934"/>
    </row>
    <row r="6530" ht="12.75" hidden="1" customHeight="1" outlineLevel="1">
      <c r="A6530" s="122">
        <v>42115.0</v>
      </c>
      <c r="B6530" s="1"/>
      <c r="C6530" s="1" t="s">
        <v>435</v>
      </c>
      <c r="D6530" s="74"/>
      <c r="E6530" s="67"/>
      <c r="F6530" s="75"/>
      <c r="G6530" s="67"/>
      <c r="H6530" s="68"/>
      <c r="I6530" s="76"/>
      <c r="J6530" s="67"/>
      <c r="K6530" s="9" t="s">
        <v>2802</v>
      </c>
      <c r="L6530" s="934"/>
      <c r="M6530" s="934"/>
    </row>
    <row r="6531" ht="12.75" hidden="1" customHeight="1" outlineLevel="1">
      <c r="A6531" s="122">
        <v>42117.0</v>
      </c>
      <c r="B6531" s="32" t="s">
        <v>343</v>
      </c>
      <c r="C6531" s="32" t="s">
        <v>2048</v>
      </c>
      <c r="D6531" s="708">
        <v>750.0</v>
      </c>
      <c r="E6531" s="195">
        <v>11.87</v>
      </c>
      <c r="F6531" s="709">
        <v>0.4187268518518519</v>
      </c>
      <c r="G6531" s="195" t="s">
        <v>453</v>
      </c>
      <c r="H6531" s="710">
        <v>3.75</v>
      </c>
      <c r="I6531" s="256"/>
      <c r="J6531" s="67">
        <f t="shared" ref="J6531:J6534" si="395">IF(B6531="SLD",D6531*E6531,-D6531*E6531)-H6531</f>
        <v>-8906.25</v>
      </c>
      <c r="L6531" s="70"/>
      <c r="M6531" s="934"/>
      <c r="N6531" s="94"/>
      <c r="O6531" s="94"/>
      <c r="P6531" s="94"/>
      <c r="Q6531" s="94"/>
      <c r="R6531" s="94"/>
      <c r="S6531" s="94"/>
      <c r="T6531" s="94"/>
      <c r="U6531" s="94"/>
      <c r="V6531" s="94"/>
      <c r="W6531" s="94"/>
      <c r="X6531" s="94"/>
      <c r="Y6531" s="94"/>
      <c r="Z6531" s="94"/>
      <c r="AA6531" s="94"/>
      <c r="AB6531" s="94"/>
      <c r="AC6531" s="94"/>
      <c r="AD6531" s="94"/>
      <c r="AE6531" s="94"/>
      <c r="AF6531" s="94"/>
      <c r="AG6531" s="94"/>
      <c r="AH6531" s="94"/>
    </row>
    <row r="6532" ht="12.75" hidden="1" customHeight="1" outlineLevel="1">
      <c r="A6532" s="122">
        <v>42117.0</v>
      </c>
      <c r="B6532" s="32" t="s">
        <v>343</v>
      </c>
      <c r="C6532" s="32" t="s">
        <v>784</v>
      </c>
      <c r="D6532" s="708">
        <v>3500.0</v>
      </c>
      <c r="E6532" s="195">
        <v>6.73</v>
      </c>
      <c r="F6532" s="709">
        <v>0.4189236111111111</v>
      </c>
      <c r="G6532" s="195" t="s">
        <v>453</v>
      </c>
      <c r="H6532" s="710">
        <v>15.2</v>
      </c>
      <c r="I6532" s="256"/>
      <c r="J6532" s="67">
        <f t="shared" si="395"/>
        <v>-23570.2</v>
      </c>
      <c r="L6532" s="70"/>
      <c r="M6532" s="934"/>
      <c r="N6532" s="94"/>
      <c r="O6532" s="94"/>
      <c r="P6532" s="94"/>
      <c r="Q6532" s="94"/>
      <c r="R6532" s="94"/>
      <c r="S6532" s="94"/>
      <c r="T6532" s="94"/>
      <c r="U6532" s="94"/>
      <c r="V6532" s="94"/>
      <c r="W6532" s="94"/>
      <c r="X6532" s="94"/>
      <c r="Y6532" s="94"/>
      <c r="Z6532" s="94"/>
      <c r="AA6532" s="94"/>
      <c r="AB6532" s="94"/>
      <c r="AC6532" s="94"/>
      <c r="AD6532" s="94"/>
      <c r="AE6532" s="94"/>
      <c r="AF6532" s="94"/>
      <c r="AG6532" s="94"/>
      <c r="AH6532" s="94"/>
    </row>
    <row r="6533" ht="12.75" hidden="1" customHeight="1" outlineLevel="1">
      <c r="A6533" s="122">
        <v>42117.0</v>
      </c>
      <c r="B6533" s="32" t="s">
        <v>343</v>
      </c>
      <c r="C6533" s="32" t="s">
        <v>790</v>
      </c>
      <c r="D6533" s="708">
        <v>1500.0</v>
      </c>
      <c r="E6533" s="195">
        <v>8.85</v>
      </c>
      <c r="F6533" s="709">
        <v>0.41931712962962964</v>
      </c>
      <c r="G6533" s="195" t="s">
        <v>453</v>
      </c>
      <c r="H6533" s="710">
        <v>7.5</v>
      </c>
      <c r="I6533" s="256"/>
      <c r="J6533" s="67">
        <f t="shared" si="395"/>
        <v>-13282.5</v>
      </c>
      <c r="L6533" s="70"/>
      <c r="M6533" s="934"/>
      <c r="N6533" s="94"/>
      <c r="O6533" s="94"/>
      <c r="P6533" s="94"/>
      <c r="Q6533" s="94"/>
      <c r="R6533" s="94"/>
      <c r="S6533" s="94"/>
      <c r="T6533" s="94"/>
      <c r="U6533" s="94"/>
      <c r="V6533" s="94"/>
      <c r="W6533" s="94"/>
      <c r="X6533" s="94"/>
      <c r="Y6533" s="94"/>
      <c r="Z6533" s="94"/>
      <c r="AA6533" s="94"/>
      <c r="AB6533" s="94"/>
      <c r="AC6533" s="94"/>
      <c r="AD6533" s="94"/>
      <c r="AE6533" s="94"/>
      <c r="AF6533" s="94"/>
      <c r="AG6533" s="94"/>
      <c r="AH6533" s="94"/>
    </row>
    <row r="6534" ht="12.75" hidden="1" customHeight="1" outlineLevel="1">
      <c r="A6534" s="122">
        <v>42117.0</v>
      </c>
      <c r="B6534" s="32" t="s">
        <v>343</v>
      </c>
      <c r="C6534" s="32" t="s">
        <v>369</v>
      </c>
      <c r="D6534" s="708">
        <v>1800.0</v>
      </c>
      <c r="E6534" s="195">
        <v>5.139</v>
      </c>
      <c r="F6534" s="709">
        <v>0.4194212962962963</v>
      </c>
      <c r="G6534" s="195" t="s">
        <v>453</v>
      </c>
      <c r="H6534" s="710">
        <v>7.7</v>
      </c>
      <c r="I6534" s="256"/>
      <c r="J6534" s="67">
        <f t="shared" si="395"/>
        <v>-9257.9</v>
      </c>
      <c r="L6534" s="70"/>
      <c r="M6534" s="934"/>
      <c r="N6534" s="94"/>
      <c r="O6534" s="94"/>
      <c r="P6534" s="94"/>
      <c r="Q6534" s="94"/>
      <c r="R6534" s="94"/>
      <c r="S6534" s="94"/>
      <c r="T6534" s="94"/>
      <c r="U6534" s="94"/>
      <c r="V6534" s="94"/>
      <c r="W6534" s="94"/>
      <c r="X6534" s="94"/>
      <c r="Y6534" s="94"/>
      <c r="Z6534" s="94"/>
      <c r="AA6534" s="94"/>
      <c r="AB6534" s="94"/>
      <c r="AC6534" s="94"/>
      <c r="AD6534" s="94"/>
      <c r="AE6534" s="94"/>
      <c r="AF6534" s="94"/>
      <c r="AG6534" s="94"/>
      <c r="AH6534" s="94"/>
    </row>
    <row r="6535" ht="12.75" hidden="1" customHeight="1" outlineLevel="1">
      <c r="A6535" s="122">
        <v>42117.0</v>
      </c>
      <c r="B6535" s="32" t="s">
        <v>347</v>
      </c>
      <c r="C6535" s="32" t="s">
        <v>784</v>
      </c>
      <c r="D6535" s="708">
        <v>100.0</v>
      </c>
      <c r="E6535" s="195">
        <v>1.98</v>
      </c>
      <c r="F6535" s="709">
        <v>0.43016203703703704</v>
      </c>
      <c r="G6535" s="195" t="s">
        <v>453</v>
      </c>
      <c r="H6535" s="710">
        <v>79.56</v>
      </c>
      <c r="I6535" s="256"/>
      <c r="J6535" s="67">
        <f>(IF(B6535="SLD",D6535*E6535,-D6535*E6535)*100)-H6535</f>
        <v>19720.44</v>
      </c>
      <c r="L6535" s="70"/>
      <c r="M6535" s="934"/>
      <c r="N6535" s="94"/>
      <c r="O6535" s="94"/>
      <c r="P6535" s="94"/>
      <c r="Q6535" s="94"/>
      <c r="R6535" s="94"/>
      <c r="S6535" s="94"/>
      <c r="T6535" s="94"/>
      <c r="U6535" s="94"/>
      <c r="V6535" s="94"/>
      <c r="W6535" s="94"/>
      <c r="X6535" s="94"/>
      <c r="Y6535" s="94"/>
      <c r="Z6535" s="94"/>
      <c r="AA6535" s="94"/>
      <c r="AB6535" s="94"/>
      <c r="AC6535" s="94"/>
      <c r="AD6535" s="94"/>
      <c r="AE6535" s="94"/>
      <c r="AF6535" s="94"/>
      <c r="AG6535" s="94"/>
      <c r="AH6535" s="94"/>
    </row>
    <row r="6536" ht="12.75" hidden="1" customHeight="1" outlineLevel="1">
      <c r="A6536" s="122">
        <v>42117.0</v>
      </c>
      <c r="B6536" s="32" t="s">
        <v>343</v>
      </c>
      <c r="C6536" s="32" t="s">
        <v>1061</v>
      </c>
      <c r="D6536" s="708">
        <v>300.0</v>
      </c>
      <c r="E6536" s="195">
        <v>46.619</v>
      </c>
      <c r="F6536" s="709">
        <v>0.6593518518518519</v>
      </c>
      <c r="G6536" s="195" t="s">
        <v>453</v>
      </c>
      <c r="H6536" s="710">
        <v>1.2</v>
      </c>
      <c r="I6536" s="256"/>
      <c r="J6536" s="67">
        <f t="shared" ref="J6536:J6542" si="396">IF(B6536="SLD",D6536*E6536,-D6536*E6536)-H6536</f>
        <v>-13986.9</v>
      </c>
      <c r="L6536" s="70"/>
      <c r="M6536" s="934"/>
      <c r="N6536" s="94"/>
      <c r="O6536" s="94"/>
      <c r="P6536" s="94"/>
      <c r="Q6536" s="94"/>
      <c r="R6536" s="94"/>
      <c r="S6536" s="94"/>
      <c r="T6536" s="94"/>
      <c r="U6536" s="94"/>
      <c r="V6536" s="94"/>
      <c r="W6536" s="94"/>
      <c r="X6536" s="94"/>
      <c r="Y6536" s="94"/>
      <c r="Z6536" s="94"/>
      <c r="AA6536" s="94"/>
      <c r="AB6536" s="94"/>
      <c r="AC6536" s="94"/>
      <c r="AD6536" s="94"/>
      <c r="AE6536" s="94"/>
      <c r="AF6536" s="94"/>
      <c r="AG6536" s="94"/>
      <c r="AH6536" s="94"/>
    </row>
    <row r="6537" ht="12.75" hidden="1" customHeight="1" outlineLevel="1">
      <c r="A6537" s="122">
        <v>42118.0</v>
      </c>
      <c r="B6537" s="32" t="s">
        <v>347</v>
      </c>
      <c r="C6537" s="32" t="s">
        <v>1766</v>
      </c>
      <c r="D6537" s="708">
        <v>125.0</v>
      </c>
      <c r="E6537" s="195">
        <v>70.09</v>
      </c>
      <c r="F6537" s="709">
        <v>0.3972222222222222</v>
      </c>
      <c r="G6537" s="195" t="s">
        <v>453</v>
      </c>
      <c r="H6537" s="710">
        <v>1.16</v>
      </c>
      <c r="I6537" s="256"/>
      <c r="J6537" s="67">
        <f t="shared" si="396"/>
        <v>8760.09</v>
      </c>
      <c r="L6537" s="70"/>
      <c r="M6537" s="934"/>
      <c r="N6537" s="94"/>
      <c r="O6537" s="94"/>
      <c r="P6537" s="94"/>
      <c r="Q6537" s="94"/>
      <c r="R6537" s="94"/>
      <c r="S6537" s="94"/>
      <c r="T6537" s="94"/>
      <c r="U6537" s="94"/>
      <c r="V6537" s="94"/>
      <c r="W6537" s="94"/>
      <c r="X6537" s="94"/>
      <c r="Y6537" s="94"/>
      <c r="Z6537" s="94"/>
      <c r="AA6537" s="94"/>
      <c r="AB6537" s="94"/>
      <c r="AC6537" s="94"/>
      <c r="AD6537" s="94"/>
      <c r="AE6537" s="94"/>
      <c r="AF6537" s="94"/>
      <c r="AG6537" s="94"/>
      <c r="AH6537" s="94"/>
    </row>
    <row r="6538" ht="12.75" hidden="1" customHeight="1" outlineLevel="1">
      <c r="A6538" s="122">
        <v>42118.0</v>
      </c>
      <c r="B6538" s="32" t="s">
        <v>343</v>
      </c>
      <c r="C6538" s="32" t="s">
        <v>2963</v>
      </c>
      <c r="D6538" s="708">
        <v>400.0</v>
      </c>
      <c r="E6538" s="195">
        <v>50.89</v>
      </c>
      <c r="F6538" s="709">
        <v>0.6376388888888889</v>
      </c>
      <c r="G6538" s="195" t="s">
        <v>453</v>
      </c>
      <c r="H6538" s="710">
        <v>1.8</v>
      </c>
      <c r="I6538" s="256"/>
      <c r="J6538" s="67">
        <f t="shared" si="396"/>
        <v>-20357.8</v>
      </c>
      <c r="L6538" s="70"/>
      <c r="M6538" s="934"/>
      <c r="N6538" s="94"/>
      <c r="O6538" s="94"/>
      <c r="P6538" s="94"/>
      <c r="Q6538" s="94"/>
      <c r="R6538" s="94"/>
      <c r="S6538" s="94"/>
      <c r="T6538" s="94"/>
      <c r="U6538" s="94"/>
      <c r="V6538" s="94"/>
      <c r="W6538" s="94"/>
      <c r="X6538" s="94"/>
      <c r="Y6538" s="94"/>
      <c r="Z6538" s="94"/>
      <c r="AA6538" s="94"/>
      <c r="AB6538" s="94"/>
      <c r="AC6538" s="94"/>
      <c r="AD6538" s="94"/>
      <c r="AE6538" s="94"/>
      <c r="AF6538" s="94"/>
      <c r="AG6538" s="94"/>
      <c r="AH6538" s="94"/>
    </row>
    <row r="6539" ht="12.75" hidden="1" customHeight="1" outlineLevel="1">
      <c r="A6539" s="122">
        <v>42128.0</v>
      </c>
      <c r="B6539" s="32" t="s">
        <v>343</v>
      </c>
      <c r="C6539" s="32" t="s">
        <v>2453</v>
      </c>
      <c r="D6539" s="708">
        <v>350.0</v>
      </c>
      <c r="E6539" s="195">
        <v>60.67</v>
      </c>
      <c r="F6539" s="709">
        <v>0.4028935185185185</v>
      </c>
      <c r="G6539" s="195" t="s">
        <v>453</v>
      </c>
      <c r="H6539" s="710">
        <v>1.75</v>
      </c>
      <c r="I6539" s="256"/>
      <c r="J6539" s="67">
        <f t="shared" si="396"/>
        <v>-21236.25</v>
      </c>
      <c r="L6539" s="70"/>
      <c r="M6539" s="934"/>
      <c r="N6539" s="94"/>
      <c r="O6539" s="94"/>
      <c r="P6539" s="94"/>
      <c r="Q6539" s="94"/>
      <c r="R6539" s="94"/>
      <c r="S6539" s="94"/>
      <c r="T6539" s="94"/>
      <c r="U6539" s="94"/>
      <c r="V6539" s="94"/>
      <c r="W6539" s="94"/>
      <c r="X6539" s="94"/>
      <c r="Y6539" s="94"/>
      <c r="Z6539" s="94"/>
      <c r="AA6539" s="94"/>
      <c r="AB6539" s="94"/>
      <c r="AC6539" s="94"/>
      <c r="AD6539" s="94"/>
      <c r="AE6539" s="94"/>
      <c r="AF6539" s="94"/>
      <c r="AG6539" s="94"/>
      <c r="AH6539" s="94"/>
    </row>
    <row r="6540" ht="12.75" hidden="1" customHeight="1" outlineLevel="1">
      <c r="A6540" s="122">
        <v>42128.0</v>
      </c>
      <c r="B6540" s="32" t="s">
        <v>343</v>
      </c>
      <c r="C6540" s="32" t="s">
        <v>2495</v>
      </c>
      <c r="D6540" s="708">
        <v>500.0</v>
      </c>
      <c r="E6540" s="195">
        <v>27.579</v>
      </c>
      <c r="F6540" s="709">
        <v>0.4240509259259259</v>
      </c>
      <c r="G6540" s="195" t="s">
        <v>453</v>
      </c>
      <c r="H6540" s="710">
        <v>2.2</v>
      </c>
      <c r="I6540" s="256"/>
      <c r="J6540" s="67">
        <f t="shared" si="396"/>
        <v>-13791.7</v>
      </c>
      <c r="L6540" s="70"/>
      <c r="M6540" s="934"/>
      <c r="N6540" s="94"/>
      <c r="O6540" s="94"/>
      <c r="P6540" s="94"/>
      <c r="Q6540" s="94"/>
      <c r="R6540" s="94"/>
      <c r="S6540" s="94"/>
      <c r="T6540" s="94"/>
      <c r="U6540" s="94"/>
      <c r="V6540" s="94"/>
      <c r="W6540" s="94"/>
      <c r="X6540" s="94"/>
      <c r="Y6540" s="94"/>
      <c r="Z6540" s="94"/>
      <c r="AA6540" s="94"/>
      <c r="AB6540" s="94"/>
      <c r="AC6540" s="94"/>
      <c r="AD6540" s="94"/>
      <c r="AE6540" s="94"/>
      <c r="AF6540" s="94"/>
      <c r="AG6540" s="94"/>
      <c r="AH6540" s="94"/>
    </row>
    <row r="6541" ht="12.75" hidden="1" customHeight="1" outlineLevel="1">
      <c r="A6541" s="122">
        <v>42128.0</v>
      </c>
      <c r="B6541" s="32" t="s">
        <v>343</v>
      </c>
      <c r="C6541" s="32" t="s">
        <v>2862</v>
      </c>
      <c r="D6541" s="708">
        <v>75.0</v>
      </c>
      <c r="E6541" s="195">
        <v>105.07</v>
      </c>
      <c r="F6541" s="709">
        <v>0.5978703703703704</v>
      </c>
      <c r="G6541" s="195" t="s">
        <v>453</v>
      </c>
      <c r="H6541" s="710">
        <v>1.0</v>
      </c>
      <c r="I6541" s="256"/>
      <c r="J6541" s="67">
        <f t="shared" si="396"/>
        <v>-7881.25</v>
      </c>
      <c r="L6541" s="70"/>
      <c r="M6541" s="934"/>
      <c r="N6541" s="94"/>
      <c r="O6541" s="94"/>
      <c r="P6541" s="94"/>
      <c r="Q6541" s="94"/>
      <c r="R6541" s="94"/>
      <c r="S6541" s="94"/>
      <c r="T6541" s="94"/>
      <c r="U6541" s="94"/>
      <c r="V6541" s="94"/>
      <c r="W6541" s="94"/>
      <c r="X6541" s="94"/>
      <c r="Y6541" s="94"/>
      <c r="Z6541" s="94"/>
      <c r="AA6541" s="94"/>
      <c r="AB6541" s="94"/>
      <c r="AC6541" s="94"/>
      <c r="AD6541" s="94"/>
      <c r="AE6541" s="94"/>
      <c r="AF6541" s="94"/>
      <c r="AG6541" s="94"/>
      <c r="AH6541" s="94"/>
    </row>
    <row r="6542" ht="12.75" hidden="1" customHeight="1" outlineLevel="1">
      <c r="A6542" s="122">
        <v>42128.0</v>
      </c>
      <c r="B6542" s="32" t="s">
        <v>343</v>
      </c>
      <c r="C6542" s="32" t="s">
        <v>2966</v>
      </c>
      <c r="D6542" s="708">
        <v>150.0</v>
      </c>
      <c r="E6542" s="195">
        <v>84.36</v>
      </c>
      <c r="F6542" s="709">
        <v>0.6159606481481481</v>
      </c>
      <c r="G6542" s="195" t="s">
        <v>453</v>
      </c>
      <c r="H6542" s="710">
        <v>1.0</v>
      </c>
      <c r="I6542" s="256"/>
      <c r="J6542" s="67">
        <f t="shared" si="396"/>
        <v>-12655</v>
      </c>
      <c r="L6542" s="70"/>
      <c r="M6542" s="934"/>
      <c r="N6542" s="94"/>
      <c r="O6542" s="94"/>
      <c r="P6542" s="94"/>
      <c r="Q6542" s="94"/>
      <c r="R6542" s="94"/>
      <c r="S6542" s="94"/>
      <c r="T6542" s="94"/>
      <c r="U6542" s="94"/>
      <c r="V6542" s="94"/>
      <c r="W6542" s="94"/>
      <c r="X6542" s="94"/>
      <c r="Y6542" s="94"/>
      <c r="Z6542" s="94"/>
      <c r="AA6542" s="94"/>
      <c r="AB6542" s="94"/>
      <c r="AC6542" s="94"/>
      <c r="AD6542" s="94"/>
      <c r="AE6542" s="94"/>
      <c r="AF6542" s="94"/>
      <c r="AG6542" s="94"/>
      <c r="AH6542" s="94"/>
    </row>
    <row r="6543" ht="12.75" hidden="1" customHeight="1" outlineLevel="1">
      <c r="A6543" s="122">
        <v>42128.0</v>
      </c>
      <c r="B6543" s="1"/>
      <c r="C6543" s="1" t="s">
        <v>339</v>
      </c>
      <c r="D6543" s="74"/>
      <c r="E6543" s="67"/>
      <c r="F6543" s="75"/>
      <c r="G6543" s="67"/>
      <c r="H6543" s="68"/>
      <c r="I6543" s="76"/>
      <c r="K6543" s="968" t="s">
        <v>2967</v>
      </c>
      <c r="L6543" s="934"/>
      <c r="M6543" s="934"/>
    </row>
    <row r="6544" ht="12.75" hidden="1" customHeight="1" outlineLevel="1">
      <c r="A6544" s="122">
        <v>42128.0</v>
      </c>
      <c r="B6544" s="1"/>
      <c r="C6544" s="1" t="s">
        <v>429</v>
      </c>
      <c r="D6544" s="74"/>
      <c r="E6544" s="67"/>
      <c r="F6544" s="75"/>
      <c r="G6544" s="67"/>
      <c r="H6544" s="68"/>
      <c r="I6544" s="76"/>
      <c r="J6544" s="67"/>
      <c r="K6544" s="9" t="s">
        <v>2839</v>
      </c>
      <c r="L6544" s="934"/>
      <c r="M6544" s="934"/>
    </row>
    <row r="6545" ht="12.75" hidden="1" customHeight="1" outlineLevel="1">
      <c r="A6545" s="122">
        <v>42128.0</v>
      </c>
      <c r="B6545" s="1"/>
      <c r="C6545" s="1" t="s">
        <v>431</v>
      </c>
      <c r="D6545" s="74"/>
      <c r="E6545" s="67"/>
      <c r="F6545" s="75"/>
      <c r="G6545" s="67"/>
      <c r="H6545" s="68"/>
      <c r="I6545" s="76"/>
      <c r="J6545" s="67"/>
      <c r="K6545" s="7" t="s">
        <v>1126</v>
      </c>
      <c r="L6545" s="934"/>
      <c r="M6545" s="934"/>
    </row>
    <row r="6546" ht="12.75" hidden="1" customHeight="1" outlineLevel="1">
      <c r="A6546" s="122">
        <v>42128.0</v>
      </c>
      <c r="B6546" s="1"/>
      <c r="C6546" s="1" t="s">
        <v>433</v>
      </c>
      <c r="D6546" s="74"/>
      <c r="E6546" s="67"/>
      <c r="F6546" s="75"/>
      <c r="G6546" s="67"/>
      <c r="H6546" s="68"/>
      <c r="I6546" s="76"/>
      <c r="J6546" s="67"/>
      <c r="K6546" s="7" t="s">
        <v>1103</v>
      </c>
      <c r="L6546" s="934"/>
      <c r="M6546" s="934"/>
    </row>
    <row r="6547" ht="12.75" hidden="1" customHeight="1" outlineLevel="1">
      <c r="A6547" s="122">
        <v>42128.0</v>
      </c>
      <c r="B6547" s="1"/>
      <c r="C6547" s="1" t="s">
        <v>435</v>
      </c>
      <c r="D6547" s="74"/>
      <c r="E6547" s="67"/>
      <c r="F6547" s="75"/>
      <c r="G6547" s="67"/>
      <c r="H6547" s="68"/>
      <c r="I6547" s="76"/>
      <c r="J6547" s="67"/>
      <c r="K6547" s="9" t="s">
        <v>2802</v>
      </c>
      <c r="L6547" s="934"/>
      <c r="M6547" s="934"/>
    </row>
    <row r="6548" ht="12.75" hidden="1" customHeight="1" outlineLevel="1">
      <c r="A6548" s="122">
        <v>42131.0</v>
      </c>
      <c r="B6548" s="32" t="s">
        <v>343</v>
      </c>
      <c r="C6548" s="32" t="s">
        <v>344</v>
      </c>
      <c r="D6548" s="708">
        <v>225.0</v>
      </c>
      <c r="E6548" s="195">
        <v>58.68</v>
      </c>
      <c r="F6548" s="709">
        <v>0.44438657407407406</v>
      </c>
      <c r="G6548" s="195" t="s">
        <v>453</v>
      </c>
      <c r="H6548" s="710">
        <v>1.1</v>
      </c>
      <c r="I6548" s="256"/>
      <c r="J6548" s="67">
        <f>IF(B6548="SLD",D6548*E6548,-D6548*E6548)-H6548</f>
        <v>-13204.1</v>
      </c>
      <c r="L6548" s="70"/>
      <c r="M6548" s="934"/>
      <c r="N6548" s="94"/>
      <c r="O6548" s="94"/>
      <c r="P6548" s="94"/>
      <c r="Q6548" s="94"/>
      <c r="R6548" s="94"/>
      <c r="S6548" s="94"/>
      <c r="T6548" s="94"/>
      <c r="U6548" s="94"/>
      <c r="V6548" s="94"/>
      <c r="W6548" s="94"/>
      <c r="X6548" s="94"/>
      <c r="Y6548" s="94"/>
      <c r="Z6548" s="94"/>
      <c r="AA6548" s="94"/>
      <c r="AB6548" s="94"/>
      <c r="AC6548" s="94"/>
      <c r="AD6548" s="94"/>
      <c r="AE6548" s="94"/>
      <c r="AF6548" s="94"/>
      <c r="AG6548" s="94"/>
      <c r="AH6548" s="94"/>
    </row>
    <row r="6549" ht="12.75" hidden="1" customHeight="1" outlineLevel="1">
      <c r="A6549" s="122">
        <v>42133.0</v>
      </c>
      <c r="B6549" s="1"/>
      <c r="C6549" s="1" t="s">
        <v>339</v>
      </c>
      <c r="D6549" s="74"/>
      <c r="E6549" s="67"/>
      <c r="F6549" s="75"/>
      <c r="G6549" s="67"/>
      <c r="H6549" s="68"/>
      <c r="I6549" s="76"/>
      <c r="K6549" s="968" t="s">
        <v>2971</v>
      </c>
      <c r="L6549" s="934"/>
      <c r="M6549" s="934"/>
    </row>
    <row r="6550" ht="12.75" hidden="1" customHeight="1" outlineLevel="1">
      <c r="A6550" s="122">
        <v>42133.0</v>
      </c>
      <c r="B6550" s="1"/>
      <c r="C6550" s="1" t="s">
        <v>429</v>
      </c>
      <c r="D6550" s="74"/>
      <c r="E6550" s="67"/>
      <c r="F6550" s="75"/>
      <c r="G6550" s="67"/>
      <c r="H6550" s="68"/>
      <c r="I6550" s="76"/>
      <c r="J6550" s="67"/>
      <c r="K6550" s="9" t="s">
        <v>2839</v>
      </c>
      <c r="L6550" s="934"/>
      <c r="M6550" s="934"/>
    </row>
    <row r="6551" ht="12.75" hidden="1" customHeight="1" outlineLevel="1">
      <c r="A6551" s="122">
        <v>42133.0</v>
      </c>
      <c r="B6551" s="1"/>
      <c r="C6551" s="1" t="s">
        <v>431</v>
      </c>
      <c r="D6551" s="74"/>
      <c r="E6551" s="67"/>
      <c r="F6551" s="75"/>
      <c r="G6551" s="67"/>
      <c r="H6551" s="68"/>
      <c r="I6551" s="76"/>
      <c r="J6551" s="67"/>
      <c r="K6551" s="7" t="s">
        <v>1126</v>
      </c>
      <c r="L6551" s="934"/>
      <c r="M6551" s="934"/>
    </row>
    <row r="6552" ht="12.75" hidden="1" customHeight="1" outlineLevel="1">
      <c r="A6552" s="122">
        <v>42133.0</v>
      </c>
      <c r="B6552" s="1"/>
      <c r="C6552" s="1" t="s">
        <v>433</v>
      </c>
      <c r="D6552" s="74"/>
      <c r="E6552" s="67"/>
      <c r="F6552" s="75"/>
      <c r="G6552" s="67"/>
      <c r="H6552" s="68"/>
      <c r="I6552" s="76"/>
      <c r="J6552" s="67"/>
      <c r="K6552" s="7" t="s">
        <v>1103</v>
      </c>
      <c r="L6552" s="934"/>
      <c r="M6552" s="934"/>
    </row>
    <row r="6553" ht="12.75" hidden="1" customHeight="1" outlineLevel="1">
      <c r="A6553" s="122">
        <v>42133.0</v>
      </c>
      <c r="B6553" s="1"/>
      <c r="C6553" s="1" t="s">
        <v>435</v>
      </c>
      <c r="D6553" s="74"/>
      <c r="E6553" s="67"/>
      <c r="F6553" s="75"/>
      <c r="G6553" s="67"/>
      <c r="H6553" s="68"/>
      <c r="I6553" s="76"/>
      <c r="J6553" s="67"/>
      <c r="K6553" s="9" t="s">
        <v>2802</v>
      </c>
      <c r="L6553" s="934"/>
      <c r="M6553" s="934"/>
    </row>
    <row r="6554" ht="12.75" hidden="1" customHeight="1" outlineLevel="1">
      <c r="A6554" s="122">
        <v>42137.0</v>
      </c>
      <c r="B6554" s="32" t="s">
        <v>347</v>
      </c>
      <c r="C6554" s="32" t="s">
        <v>784</v>
      </c>
      <c r="D6554" s="708">
        <v>3000.0</v>
      </c>
      <c r="E6554" s="195">
        <v>7.27</v>
      </c>
      <c r="F6554" s="709">
        <v>0.44059027777777776</v>
      </c>
      <c r="G6554" s="195" t="s">
        <v>453</v>
      </c>
      <c r="H6554" s="710">
        <v>13.9</v>
      </c>
      <c r="I6554" s="256"/>
      <c r="J6554" s="67">
        <f t="shared" ref="J6554:J6564" si="397">IF(B6554="SLD",D6554*E6554,-D6554*E6554)-H6554</f>
        <v>21796.1</v>
      </c>
      <c r="L6554" s="70"/>
      <c r="M6554" s="934"/>
      <c r="N6554" s="94"/>
      <c r="O6554" s="94"/>
      <c r="P6554" s="94"/>
      <c r="Q6554" s="94"/>
      <c r="R6554" s="94"/>
      <c r="S6554" s="94"/>
      <c r="T6554" s="94"/>
      <c r="U6554" s="94"/>
      <c r="V6554" s="94"/>
      <c r="W6554" s="94"/>
      <c r="X6554" s="94"/>
      <c r="Y6554" s="94"/>
      <c r="Z6554" s="94"/>
      <c r="AA6554" s="94"/>
      <c r="AB6554" s="94"/>
      <c r="AC6554" s="94"/>
      <c r="AD6554" s="94"/>
      <c r="AE6554" s="94"/>
      <c r="AF6554" s="94"/>
      <c r="AG6554" s="94"/>
      <c r="AH6554" s="94"/>
    </row>
    <row r="6555" ht="12.75" hidden="1" customHeight="1" outlineLevel="1">
      <c r="A6555" s="122">
        <v>42137.0</v>
      </c>
      <c r="B6555" s="32" t="s">
        <v>347</v>
      </c>
      <c r="C6555" s="32" t="s">
        <v>369</v>
      </c>
      <c r="D6555" s="708">
        <v>2000.0</v>
      </c>
      <c r="E6555" s="195">
        <v>6.01</v>
      </c>
      <c r="F6555" s="709">
        <v>0.4409375</v>
      </c>
      <c r="G6555" s="195" t="s">
        <v>453</v>
      </c>
      <c r="H6555" s="710">
        <v>8.72</v>
      </c>
      <c r="I6555" s="256"/>
      <c r="J6555" s="67">
        <f t="shared" si="397"/>
        <v>12011.28</v>
      </c>
      <c r="L6555" s="70"/>
      <c r="M6555" s="934"/>
      <c r="N6555" s="94"/>
      <c r="O6555" s="94"/>
      <c r="P6555" s="94"/>
      <c r="Q6555" s="94"/>
      <c r="R6555" s="94"/>
      <c r="S6555" s="94"/>
      <c r="T6555" s="94"/>
      <c r="U6555" s="94"/>
      <c r="V6555" s="94"/>
      <c r="W6555" s="94"/>
      <c r="X6555" s="94"/>
      <c r="Y6555" s="94"/>
      <c r="Z6555" s="94"/>
      <c r="AA6555" s="94"/>
      <c r="AB6555" s="94"/>
      <c r="AC6555" s="94"/>
      <c r="AD6555" s="94"/>
      <c r="AE6555" s="94"/>
      <c r="AF6555" s="94"/>
      <c r="AG6555" s="94"/>
      <c r="AH6555" s="94"/>
    </row>
    <row r="6556" ht="12.75" hidden="1" customHeight="1" outlineLevel="1">
      <c r="A6556" s="122">
        <v>42137.0</v>
      </c>
      <c r="B6556" s="32" t="s">
        <v>347</v>
      </c>
      <c r="C6556" s="32" t="s">
        <v>369</v>
      </c>
      <c r="D6556" s="708">
        <v>2000.0</v>
      </c>
      <c r="E6556" s="195">
        <v>5.881</v>
      </c>
      <c r="F6556" s="709">
        <v>0.6108101851851852</v>
      </c>
      <c r="G6556" s="195" t="s">
        <v>453</v>
      </c>
      <c r="H6556" s="710">
        <v>8.52</v>
      </c>
      <c r="I6556" s="256"/>
      <c r="J6556" s="67">
        <f t="shared" si="397"/>
        <v>11753.48</v>
      </c>
      <c r="L6556" s="70"/>
      <c r="M6556" s="934"/>
      <c r="N6556" s="94"/>
      <c r="O6556" s="94"/>
      <c r="P6556" s="94"/>
      <c r="Q6556" s="94"/>
      <c r="R6556" s="94"/>
      <c r="S6556" s="94"/>
      <c r="T6556" s="94"/>
      <c r="U6556" s="94"/>
      <c r="V6556" s="94"/>
      <c r="W6556" s="94"/>
      <c r="X6556" s="94"/>
      <c r="Y6556" s="94"/>
      <c r="Z6556" s="94"/>
      <c r="AA6556" s="94"/>
      <c r="AB6556" s="94"/>
      <c r="AC6556" s="94"/>
      <c r="AD6556" s="94"/>
      <c r="AE6556" s="94"/>
      <c r="AF6556" s="94"/>
      <c r="AG6556" s="94"/>
      <c r="AH6556" s="94"/>
    </row>
    <row r="6557" ht="12.75" hidden="1" customHeight="1" outlineLevel="1">
      <c r="A6557" s="122">
        <v>42137.0</v>
      </c>
      <c r="B6557" s="32" t="s">
        <v>347</v>
      </c>
      <c r="C6557" s="32" t="s">
        <v>784</v>
      </c>
      <c r="D6557" s="708">
        <v>3000.0</v>
      </c>
      <c r="E6557" s="195">
        <v>7.16</v>
      </c>
      <c r="F6557" s="709">
        <v>0.6213541666666667</v>
      </c>
      <c r="G6557" s="195" t="s">
        <v>453</v>
      </c>
      <c r="H6557" s="710">
        <v>15.4</v>
      </c>
      <c r="I6557" s="256"/>
      <c r="J6557" s="67">
        <f t="shared" si="397"/>
        <v>21464.6</v>
      </c>
      <c r="L6557" s="70"/>
      <c r="M6557" s="934"/>
      <c r="N6557" s="94"/>
      <c r="O6557" s="94"/>
      <c r="P6557" s="94"/>
      <c r="Q6557" s="94"/>
      <c r="R6557" s="94"/>
      <c r="S6557" s="94"/>
      <c r="T6557" s="94"/>
      <c r="U6557" s="94"/>
      <c r="V6557" s="94"/>
      <c r="W6557" s="94"/>
      <c r="X6557" s="94"/>
      <c r="Y6557" s="94"/>
      <c r="Z6557" s="94"/>
      <c r="AA6557" s="94"/>
      <c r="AB6557" s="94"/>
      <c r="AC6557" s="94"/>
      <c r="AD6557" s="94"/>
      <c r="AE6557" s="94"/>
      <c r="AF6557" s="94"/>
      <c r="AG6557" s="94"/>
      <c r="AH6557" s="94"/>
    </row>
    <row r="6558" ht="12.75" hidden="1" customHeight="1" outlineLevel="1">
      <c r="A6558" s="122">
        <v>42137.0</v>
      </c>
      <c r="B6558" s="32" t="s">
        <v>343</v>
      </c>
      <c r="C6558" s="32" t="s">
        <v>605</v>
      </c>
      <c r="D6558" s="708">
        <v>225.0</v>
      </c>
      <c r="E6558" s="195">
        <v>80.76</v>
      </c>
      <c r="F6558" s="709">
        <v>0.621875</v>
      </c>
      <c r="G6558" s="195" t="s">
        <v>453</v>
      </c>
      <c r="H6558" s="710">
        <v>1.12</v>
      </c>
      <c r="I6558" s="256"/>
      <c r="J6558" s="67">
        <f t="shared" si="397"/>
        <v>-18172.12</v>
      </c>
      <c r="L6558" s="70"/>
      <c r="M6558" s="934"/>
      <c r="N6558" s="94"/>
      <c r="O6558" s="94"/>
      <c r="P6558" s="94"/>
      <c r="Q6558" s="94"/>
      <c r="R6558" s="94"/>
      <c r="S6558" s="94"/>
      <c r="T6558" s="94"/>
      <c r="U6558" s="94"/>
      <c r="V6558" s="94"/>
      <c r="W6558" s="94"/>
      <c r="X6558" s="94"/>
      <c r="Y6558" s="94"/>
      <c r="Z6558" s="94"/>
      <c r="AA6558" s="94"/>
      <c r="AB6558" s="94"/>
      <c r="AC6558" s="94"/>
      <c r="AD6558" s="94"/>
      <c r="AE6558" s="94"/>
      <c r="AF6558" s="94"/>
      <c r="AG6558" s="94"/>
      <c r="AH6558" s="94"/>
    </row>
    <row r="6559" ht="12.75" hidden="1" customHeight="1" outlineLevel="1">
      <c r="A6559" s="122">
        <v>42137.0</v>
      </c>
      <c r="B6559" s="32" t="s">
        <v>343</v>
      </c>
      <c r="C6559" s="32" t="s">
        <v>870</v>
      </c>
      <c r="D6559" s="708">
        <v>150.0</v>
      </c>
      <c r="E6559" s="195">
        <v>102.19</v>
      </c>
      <c r="F6559" s="709">
        <v>0.622037037037037</v>
      </c>
      <c r="G6559" s="195" t="s">
        <v>453</v>
      </c>
      <c r="H6559" s="710">
        <v>1.0</v>
      </c>
      <c r="I6559" s="256"/>
      <c r="J6559" s="67">
        <f t="shared" si="397"/>
        <v>-15329.5</v>
      </c>
      <c r="L6559" s="70"/>
      <c r="M6559" s="934"/>
      <c r="N6559" s="94"/>
      <c r="O6559" s="94"/>
      <c r="P6559" s="94"/>
      <c r="Q6559" s="94"/>
      <c r="R6559" s="94"/>
      <c r="S6559" s="94"/>
      <c r="T6559" s="94"/>
      <c r="U6559" s="94"/>
      <c r="V6559" s="94"/>
      <c r="W6559" s="94"/>
      <c r="X6559" s="94"/>
      <c r="Y6559" s="94"/>
      <c r="Z6559" s="94"/>
      <c r="AA6559" s="94"/>
      <c r="AB6559" s="94"/>
      <c r="AC6559" s="94"/>
      <c r="AD6559" s="94"/>
      <c r="AE6559" s="94"/>
      <c r="AF6559" s="94"/>
      <c r="AG6559" s="94"/>
      <c r="AH6559" s="94"/>
    </row>
    <row r="6560" ht="12.75" hidden="1" customHeight="1" outlineLevel="1">
      <c r="A6560" s="122">
        <v>42137.0</v>
      </c>
      <c r="B6560" s="32" t="s">
        <v>347</v>
      </c>
      <c r="C6560" s="32" t="s">
        <v>369</v>
      </c>
      <c r="D6560" s="708">
        <v>2000.0</v>
      </c>
      <c r="E6560" s="195">
        <v>5.87</v>
      </c>
      <c r="F6560" s="709">
        <v>0.6272106481481482</v>
      </c>
      <c r="G6560" s="195" t="s">
        <v>453</v>
      </c>
      <c r="H6560" s="710">
        <v>10.22</v>
      </c>
      <c r="I6560" s="256"/>
      <c r="J6560" s="67">
        <f t="shared" si="397"/>
        <v>11729.78</v>
      </c>
      <c r="L6560" s="70"/>
      <c r="M6560" s="934"/>
      <c r="N6560" s="94"/>
      <c r="O6560" s="94"/>
      <c r="P6560" s="94"/>
      <c r="Q6560" s="94"/>
      <c r="R6560" s="94"/>
      <c r="S6560" s="94"/>
      <c r="T6560" s="94"/>
      <c r="U6560" s="94"/>
      <c r="V6560" s="94"/>
      <c r="W6560" s="94"/>
      <c r="X6560" s="94"/>
      <c r="Y6560" s="94"/>
      <c r="Z6560" s="94"/>
      <c r="AA6560" s="94"/>
      <c r="AB6560" s="94"/>
      <c r="AC6560" s="94"/>
      <c r="AD6560" s="94"/>
      <c r="AE6560" s="94"/>
      <c r="AF6560" s="94"/>
      <c r="AG6560" s="94"/>
      <c r="AH6560" s="94"/>
    </row>
    <row r="6561" ht="12.75" hidden="1" customHeight="1" outlineLevel="1">
      <c r="A6561" s="122">
        <v>42137.0</v>
      </c>
      <c r="B6561" s="32" t="s">
        <v>347</v>
      </c>
      <c r="C6561" s="32" t="s">
        <v>784</v>
      </c>
      <c r="D6561" s="708">
        <v>3000.0</v>
      </c>
      <c r="E6561" s="195">
        <v>7.14</v>
      </c>
      <c r="F6561" s="709">
        <v>0.6297685185185186</v>
      </c>
      <c r="G6561" s="195" t="s">
        <v>453</v>
      </c>
      <c r="H6561" s="710">
        <v>15.29</v>
      </c>
      <c r="I6561" s="256"/>
      <c r="J6561" s="67">
        <f t="shared" si="397"/>
        <v>21404.71</v>
      </c>
      <c r="L6561" s="70"/>
      <c r="M6561" s="934"/>
      <c r="N6561" s="94"/>
      <c r="O6561" s="94"/>
      <c r="P6561" s="94"/>
      <c r="Q6561" s="94"/>
      <c r="R6561" s="94"/>
      <c r="S6561" s="94"/>
      <c r="T6561" s="94"/>
      <c r="U6561" s="94"/>
      <c r="V6561" s="94"/>
      <c r="W6561" s="94"/>
      <c r="X6561" s="94"/>
      <c r="Y6561" s="94"/>
      <c r="Z6561" s="94"/>
      <c r="AA6561" s="94"/>
      <c r="AB6561" s="94"/>
      <c r="AC6561" s="94"/>
      <c r="AD6561" s="94"/>
      <c r="AE6561" s="94"/>
      <c r="AF6561" s="94"/>
      <c r="AG6561" s="94"/>
      <c r="AH6561" s="94"/>
    </row>
    <row r="6562" ht="12.75" hidden="1" customHeight="1" outlineLevel="1">
      <c r="A6562" s="122">
        <v>42137.0</v>
      </c>
      <c r="B6562" s="32" t="s">
        <v>347</v>
      </c>
      <c r="C6562" s="32" t="s">
        <v>369</v>
      </c>
      <c r="D6562" s="708">
        <v>3000.0</v>
      </c>
      <c r="E6562" s="195">
        <v>5.878</v>
      </c>
      <c r="F6562" s="709">
        <v>0.6303587962962963</v>
      </c>
      <c r="G6562" s="195" t="s">
        <v>453</v>
      </c>
      <c r="H6562" s="710">
        <v>15.32</v>
      </c>
      <c r="I6562" s="256"/>
      <c r="J6562" s="67">
        <f t="shared" si="397"/>
        <v>17618.68</v>
      </c>
      <c r="L6562" s="70"/>
      <c r="M6562" s="934"/>
      <c r="N6562" s="94"/>
      <c r="O6562" s="94"/>
      <c r="P6562" s="94"/>
      <c r="Q6562" s="94"/>
      <c r="R6562" s="94"/>
      <c r="S6562" s="94"/>
      <c r="T6562" s="94"/>
      <c r="U6562" s="94"/>
      <c r="V6562" s="94"/>
      <c r="W6562" s="94"/>
      <c r="X6562" s="94"/>
      <c r="Y6562" s="94"/>
      <c r="Z6562" s="94"/>
      <c r="AA6562" s="94"/>
      <c r="AB6562" s="94"/>
      <c r="AC6562" s="94"/>
      <c r="AD6562" s="94"/>
      <c r="AE6562" s="94"/>
      <c r="AF6562" s="94"/>
      <c r="AG6562" s="94"/>
      <c r="AH6562" s="94"/>
    </row>
    <row r="6563" ht="12.75" hidden="1" customHeight="1" outlineLevel="1">
      <c r="A6563" s="122">
        <v>42137.0</v>
      </c>
      <c r="B6563" s="32" t="s">
        <v>347</v>
      </c>
      <c r="C6563" s="32" t="s">
        <v>784</v>
      </c>
      <c r="D6563" s="708">
        <v>3000.0</v>
      </c>
      <c r="E6563" s="195">
        <v>7.14</v>
      </c>
      <c r="F6563" s="709">
        <v>0.6363194444444444</v>
      </c>
      <c r="G6563" s="195" t="s">
        <v>453</v>
      </c>
      <c r="H6563" s="710">
        <v>15.39</v>
      </c>
      <c r="I6563" s="256"/>
      <c r="J6563" s="67">
        <f t="shared" si="397"/>
        <v>21404.61</v>
      </c>
      <c r="L6563" s="70"/>
      <c r="M6563" s="934"/>
      <c r="N6563" s="94"/>
      <c r="O6563" s="94"/>
      <c r="P6563" s="94"/>
      <c r="Q6563" s="94"/>
      <c r="R6563" s="94"/>
      <c r="S6563" s="94"/>
      <c r="T6563" s="94"/>
      <c r="U6563" s="94"/>
      <c r="V6563" s="94"/>
      <c r="W6563" s="94"/>
      <c r="X6563" s="94"/>
      <c r="Y6563" s="94"/>
      <c r="Z6563" s="94"/>
      <c r="AA6563" s="94"/>
      <c r="AB6563" s="94"/>
      <c r="AC6563" s="94"/>
      <c r="AD6563" s="94"/>
      <c r="AE6563" s="94"/>
      <c r="AF6563" s="94"/>
      <c r="AG6563" s="94"/>
      <c r="AH6563" s="94"/>
    </row>
    <row r="6564" ht="12.75" hidden="1" customHeight="1" outlineLevel="1">
      <c r="A6564" s="122">
        <v>42137.0</v>
      </c>
      <c r="B6564" s="32" t="s">
        <v>347</v>
      </c>
      <c r="C6564" s="32" t="s">
        <v>369</v>
      </c>
      <c r="D6564" s="708">
        <v>3000.0</v>
      </c>
      <c r="E6564" s="195">
        <v>5.85</v>
      </c>
      <c r="F6564" s="709">
        <v>0.6365277777777778</v>
      </c>
      <c r="G6564" s="195" t="s">
        <v>453</v>
      </c>
      <c r="H6564" s="710">
        <v>15.32</v>
      </c>
      <c r="I6564" s="256"/>
      <c r="J6564" s="67">
        <f t="shared" si="397"/>
        <v>17534.68</v>
      </c>
      <c r="L6564" s="70"/>
      <c r="M6564" s="934"/>
      <c r="N6564" s="94"/>
      <c r="O6564" s="94"/>
      <c r="P6564" s="94"/>
      <c r="Q6564" s="94"/>
      <c r="R6564" s="94"/>
      <c r="S6564" s="94"/>
      <c r="T6564" s="94"/>
      <c r="U6564" s="94"/>
      <c r="V6564" s="94"/>
      <c r="W6564" s="94"/>
      <c r="X6564" s="94"/>
      <c r="Y6564" s="94"/>
      <c r="Z6564" s="94"/>
      <c r="AA6564" s="94"/>
      <c r="AB6564" s="94"/>
      <c r="AC6564" s="94"/>
      <c r="AD6564" s="94"/>
      <c r="AE6564" s="94"/>
      <c r="AF6564" s="94"/>
      <c r="AG6564" s="94"/>
      <c r="AH6564" s="94"/>
    </row>
    <row r="6565" ht="12.75" hidden="1" customHeight="1" outlineLevel="1">
      <c r="A6565" s="122">
        <v>42137.0</v>
      </c>
      <c r="B6565" s="1"/>
      <c r="C6565" s="1" t="s">
        <v>339</v>
      </c>
      <c r="D6565" s="74"/>
      <c r="E6565" s="67"/>
      <c r="F6565" s="75"/>
      <c r="G6565" s="67"/>
      <c r="H6565" s="68"/>
      <c r="I6565" s="76"/>
      <c r="K6565" s="968" t="s">
        <v>2978</v>
      </c>
      <c r="L6565" s="934"/>
      <c r="M6565" s="934"/>
    </row>
    <row r="6566" ht="12.75" hidden="1" customHeight="1" outlineLevel="1">
      <c r="A6566" s="122">
        <v>42137.0</v>
      </c>
      <c r="B6566" s="1"/>
      <c r="C6566" s="1" t="s">
        <v>429</v>
      </c>
      <c r="D6566" s="74"/>
      <c r="E6566" s="67"/>
      <c r="F6566" s="75"/>
      <c r="G6566" s="67"/>
      <c r="H6566" s="68"/>
      <c r="I6566" s="76"/>
      <c r="J6566" s="67"/>
      <c r="K6566" s="9" t="s">
        <v>2839</v>
      </c>
      <c r="L6566" s="934"/>
      <c r="M6566" s="934"/>
    </row>
    <row r="6567" ht="12.75" hidden="1" customHeight="1" outlineLevel="1">
      <c r="A6567" s="122">
        <v>42137.0</v>
      </c>
      <c r="B6567" s="1"/>
      <c r="C6567" s="1" t="s">
        <v>431</v>
      </c>
      <c r="D6567" s="74"/>
      <c r="E6567" s="67"/>
      <c r="F6567" s="75"/>
      <c r="G6567" s="67"/>
      <c r="H6567" s="68"/>
      <c r="I6567" s="76"/>
      <c r="J6567" s="67"/>
      <c r="K6567" s="7" t="s">
        <v>1126</v>
      </c>
      <c r="L6567" s="934"/>
      <c r="M6567" s="934"/>
    </row>
    <row r="6568" ht="12.75" hidden="1" customHeight="1" outlineLevel="1">
      <c r="A6568" s="122">
        <v>42137.0</v>
      </c>
      <c r="B6568" s="1"/>
      <c r="C6568" s="1" t="s">
        <v>433</v>
      </c>
      <c r="D6568" s="74"/>
      <c r="E6568" s="67"/>
      <c r="F6568" s="75"/>
      <c r="G6568" s="67"/>
      <c r="H6568" s="68"/>
      <c r="I6568" s="76"/>
      <c r="J6568" s="67"/>
      <c r="K6568" s="7" t="s">
        <v>1103</v>
      </c>
      <c r="L6568" s="934"/>
      <c r="M6568" s="934"/>
    </row>
    <row r="6569" ht="12.75" hidden="1" customHeight="1" outlineLevel="1">
      <c r="A6569" s="122">
        <v>42137.0</v>
      </c>
      <c r="B6569" s="1"/>
      <c r="C6569" s="1" t="s">
        <v>435</v>
      </c>
      <c r="D6569" s="74"/>
      <c r="E6569" s="67"/>
      <c r="F6569" s="75"/>
      <c r="G6569" s="67"/>
      <c r="H6569" s="68"/>
      <c r="I6569" s="76"/>
      <c r="J6569" s="67"/>
      <c r="K6569" s="9" t="s">
        <v>2802</v>
      </c>
      <c r="L6569" s="934"/>
      <c r="M6569" s="934"/>
    </row>
    <row r="6570" ht="12.75" hidden="1" customHeight="1" outlineLevel="1">
      <c r="A6570" s="122">
        <v>42138.0</v>
      </c>
      <c r="B6570" s="32" t="s">
        <v>343</v>
      </c>
      <c r="C6570" s="32" t="s">
        <v>1049</v>
      </c>
      <c r="D6570" s="708">
        <v>10.0</v>
      </c>
      <c r="E6570" s="195">
        <v>778.04</v>
      </c>
      <c r="F6570" s="709">
        <v>0.40086805555555555</v>
      </c>
      <c r="G6570" s="195" t="s">
        <v>453</v>
      </c>
      <c r="H6570" s="710">
        <v>1.0</v>
      </c>
      <c r="I6570" s="256"/>
      <c r="J6570" s="67">
        <f t="shared" ref="J6570:J6576" si="398">IF(B6570="SLD",D6570*E6570,-D6570*E6570)-H6570</f>
        <v>-7781.4</v>
      </c>
      <c r="L6570" s="70"/>
      <c r="M6570" s="934"/>
      <c r="N6570" s="94"/>
      <c r="O6570" s="94"/>
      <c r="P6570" s="94"/>
      <c r="Q6570" s="94"/>
      <c r="R6570" s="94"/>
      <c r="S6570" s="94"/>
      <c r="T6570" s="94"/>
      <c r="U6570" s="94"/>
      <c r="V6570" s="94"/>
      <c r="W6570" s="94"/>
      <c r="X6570" s="94"/>
      <c r="Y6570" s="94"/>
      <c r="Z6570" s="94"/>
      <c r="AA6570" s="94"/>
      <c r="AB6570" s="94"/>
      <c r="AC6570" s="94"/>
      <c r="AD6570" s="94"/>
      <c r="AE6570" s="94"/>
      <c r="AF6570" s="94"/>
      <c r="AG6570" s="94"/>
      <c r="AH6570" s="94"/>
    </row>
    <row r="6571" ht="12.75" hidden="1" customHeight="1" outlineLevel="1">
      <c r="A6571" s="122">
        <v>42138.0</v>
      </c>
      <c r="B6571" s="32" t="s">
        <v>343</v>
      </c>
      <c r="C6571" s="32" t="s">
        <v>870</v>
      </c>
      <c r="D6571" s="708">
        <v>300.0</v>
      </c>
      <c r="E6571" s="195">
        <v>104.32</v>
      </c>
      <c r="F6571" s="709">
        <v>0.46207175925925925</v>
      </c>
      <c r="G6571" s="195" t="s">
        <v>453</v>
      </c>
      <c r="H6571" s="710">
        <v>1.5</v>
      </c>
      <c r="I6571" s="256"/>
      <c r="J6571" s="67">
        <f t="shared" si="398"/>
        <v>-31297.5</v>
      </c>
      <c r="L6571" s="70"/>
      <c r="M6571" s="934"/>
      <c r="N6571" s="94"/>
      <c r="O6571" s="94"/>
      <c r="P6571" s="94"/>
      <c r="Q6571" s="94"/>
      <c r="R6571" s="94"/>
      <c r="S6571" s="94"/>
      <c r="T6571" s="94"/>
      <c r="U6571" s="94"/>
      <c r="V6571" s="94"/>
      <c r="W6571" s="94"/>
      <c r="X6571" s="94"/>
      <c r="Y6571" s="94"/>
      <c r="Z6571" s="94"/>
      <c r="AA6571" s="94"/>
      <c r="AB6571" s="94"/>
      <c r="AC6571" s="94"/>
      <c r="AD6571" s="94"/>
      <c r="AE6571" s="94"/>
      <c r="AF6571" s="94"/>
      <c r="AG6571" s="94"/>
      <c r="AH6571" s="94"/>
    </row>
    <row r="6572" ht="12.75" hidden="1" customHeight="1" outlineLevel="1">
      <c r="A6572" s="122">
        <v>42138.0</v>
      </c>
      <c r="B6572" s="32" t="s">
        <v>343</v>
      </c>
      <c r="C6572" s="32" t="s">
        <v>605</v>
      </c>
      <c r="D6572" s="708">
        <v>400.0</v>
      </c>
      <c r="E6572" s="195">
        <v>81.593</v>
      </c>
      <c r="F6572" s="709">
        <v>0.4622453703703704</v>
      </c>
      <c r="G6572" s="195" t="s">
        <v>453</v>
      </c>
      <c r="H6572" s="710">
        <v>2.0</v>
      </c>
      <c r="I6572" s="256"/>
      <c r="J6572" s="67">
        <f t="shared" si="398"/>
        <v>-32639.2</v>
      </c>
      <c r="L6572" s="70"/>
      <c r="M6572" s="934"/>
      <c r="N6572" s="94"/>
      <c r="O6572" s="94"/>
      <c r="P6572" s="94"/>
      <c r="Q6572" s="94"/>
      <c r="R6572" s="94"/>
      <c r="S6572" s="94"/>
      <c r="T6572" s="94"/>
      <c r="U6572" s="94"/>
      <c r="V6572" s="94"/>
      <c r="W6572" s="94"/>
      <c r="X6572" s="94"/>
      <c r="Y6572" s="94"/>
      <c r="Z6572" s="94"/>
      <c r="AA6572" s="94"/>
      <c r="AB6572" s="94"/>
      <c r="AC6572" s="94"/>
      <c r="AD6572" s="94"/>
      <c r="AE6572" s="94"/>
      <c r="AF6572" s="94"/>
      <c r="AG6572" s="94"/>
      <c r="AH6572" s="94"/>
    </row>
    <row r="6573" ht="12.75" hidden="1" customHeight="1" outlineLevel="1">
      <c r="A6573" s="122">
        <v>42138.0</v>
      </c>
      <c r="B6573" s="32" t="s">
        <v>343</v>
      </c>
      <c r="C6573" s="32" t="s">
        <v>1382</v>
      </c>
      <c r="D6573" s="708">
        <v>40.0</v>
      </c>
      <c r="E6573" s="195">
        <v>147.35</v>
      </c>
      <c r="F6573" s="709">
        <v>0.5941550925925926</v>
      </c>
      <c r="G6573" s="195" t="s">
        <v>453</v>
      </c>
      <c r="H6573" s="710">
        <v>1.0</v>
      </c>
      <c r="I6573" s="256"/>
      <c r="J6573" s="67">
        <f t="shared" si="398"/>
        <v>-5895</v>
      </c>
      <c r="L6573" s="70"/>
      <c r="M6573" s="934"/>
      <c r="N6573" s="94"/>
      <c r="O6573" s="94"/>
      <c r="P6573" s="94"/>
      <c r="Q6573" s="94"/>
      <c r="R6573" s="94"/>
      <c r="S6573" s="94"/>
      <c r="T6573" s="94"/>
      <c r="U6573" s="94"/>
      <c r="V6573" s="94"/>
      <c r="W6573" s="94"/>
      <c r="X6573" s="94"/>
      <c r="Y6573" s="94"/>
      <c r="Z6573" s="94"/>
      <c r="AA6573" s="94"/>
      <c r="AB6573" s="94"/>
      <c r="AC6573" s="94"/>
      <c r="AD6573" s="94"/>
      <c r="AE6573" s="94"/>
      <c r="AF6573" s="94"/>
      <c r="AG6573" s="94"/>
      <c r="AH6573" s="94"/>
    </row>
    <row r="6574" ht="12.75" hidden="1" customHeight="1" outlineLevel="1">
      <c r="A6574" s="122">
        <v>42138.0</v>
      </c>
      <c r="B6574" s="32" t="s">
        <v>343</v>
      </c>
      <c r="C6574" s="32" t="s">
        <v>344</v>
      </c>
      <c r="D6574" s="708">
        <v>150.0</v>
      </c>
      <c r="E6574" s="195">
        <v>58.89</v>
      </c>
      <c r="F6574" s="709">
        <v>0.5949189814814815</v>
      </c>
      <c r="G6574" s="195" t="s">
        <v>453</v>
      </c>
      <c r="H6574" s="710">
        <v>1.0</v>
      </c>
      <c r="I6574" s="256"/>
      <c r="J6574" s="67">
        <f t="shared" si="398"/>
        <v>-8834.5</v>
      </c>
      <c r="L6574" s="70"/>
      <c r="M6574" s="934"/>
      <c r="N6574" s="94"/>
      <c r="O6574" s="94"/>
      <c r="P6574" s="94"/>
      <c r="Q6574" s="94"/>
      <c r="R6574" s="94"/>
      <c r="S6574" s="94"/>
      <c r="T6574" s="94"/>
      <c r="U6574" s="94"/>
      <c r="V6574" s="94"/>
      <c r="W6574" s="94"/>
      <c r="X6574" s="94"/>
      <c r="Y6574" s="94"/>
      <c r="Z6574" s="94"/>
      <c r="AA6574" s="94"/>
      <c r="AB6574" s="94"/>
      <c r="AC6574" s="94"/>
      <c r="AD6574" s="94"/>
      <c r="AE6574" s="94"/>
      <c r="AF6574" s="94"/>
      <c r="AG6574" s="94"/>
      <c r="AH6574" s="94"/>
    </row>
    <row r="6575" ht="12.75" hidden="1" customHeight="1" outlineLevel="1">
      <c r="A6575" s="122">
        <v>42138.0</v>
      </c>
      <c r="B6575" s="32" t="s">
        <v>343</v>
      </c>
      <c r="C6575" s="32" t="s">
        <v>1244</v>
      </c>
      <c r="D6575" s="708">
        <v>100.0</v>
      </c>
      <c r="E6575" s="195">
        <v>108.289</v>
      </c>
      <c r="F6575" s="709">
        <v>0.5956018518518519</v>
      </c>
      <c r="G6575" s="195" t="s">
        <v>453</v>
      </c>
      <c r="H6575" s="710">
        <v>1.0</v>
      </c>
      <c r="I6575" s="256"/>
      <c r="J6575" s="67">
        <f t="shared" si="398"/>
        <v>-10829.9</v>
      </c>
      <c r="L6575" s="70"/>
      <c r="M6575" s="934"/>
      <c r="N6575" s="94"/>
      <c r="O6575" s="94"/>
      <c r="P6575" s="94"/>
      <c r="Q6575" s="94"/>
      <c r="R6575" s="94"/>
      <c r="S6575" s="94"/>
      <c r="T6575" s="94"/>
      <c r="U6575" s="94"/>
      <c r="V6575" s="94"/>
      <c r="W6575" s="94"/>
      <c r="X6575" s="94"/>
      <c r="Y6575" s="94"/>
      <c r="Z6575" s="94"/>
      <c r="AA6575" s="94"/>
      <c r="AB6575" s="94"/>
      <c r="AC6575" s="94"/>
      <c r="AD6575" s="94"/>
      <c r="AE6575" s="94"/>
      <c r="AF6575" s="94"/>
      <c r="AG6575" s="94"/>
      <c r="AH6575" s="94"/>
    </row>
    <row r="6576" ht="12.75" hidden="1" customHeight="1" outlineLevel="1">
      <c r="A6576" s="122">
        <v>42138.0</v>
      </c>
      <c r="B6576" s="32" t="s">
        <v>343</v>
      </c>
      <c r="C6576" s="32" t="s">
        <v>1345</v>
      </c>
      <c r="D6576" s="708">
        <v>40.0</v>
      </c>
      <c r="E6576" s="195">
        <v>161.91</v>
      </c>
      <c r="F6576" s="709">
        <v>0.5970949074074074</v>
      </c>
      <c r="G6576" s="195" t="s">
        <v>453</v>
      </c>
      <c r="H6576" s="710">
        <v>1.0</v>
      </c>
      <c r="I6576" s="256"/>
      <c r="J6576" s="67">
        <f t="shared" si="398"/>
        <v>-6477.4</v>
      </c>
      <c r="L6576" s="70"/>
      <c r="M6576" s="934"/>
      <c r="N6576" s="94"/>
      <c r="O6576" s="94"/>
      <c r="P6576" s="94"/>
      <c r="Q6576" s="94"/>
      <c r="R6576" s="94"/>
      <c r="S6576" s="94"/>
      <c r="T6576" s="94"/>
      <c r="U6576" s="94"/>
      <c r="V6576" s="94"/>
      <c r="W6576" s="94"/>
      <c r="X6576" s="94"/>
      <c r="Y6576" s="94"/>
      <c r="Z6576" s="94"/>
      <c r="AA6576" s="94"/>
      <c r="AB6576" s="94"/>
      <c r="AC6576" s="94"/>
      <c r="AD6576" s="94"/>
      <c r="AE6576" s="94"/>
      <c r="AF6576" s="94"/>
      <c r="AG6576" s="94"/>
      <c r="AH6576" s="94"/>
    </row>
    <row r="6577" ht="12.75" hidden="1" customHeight="1" outlineLevel="1">
      <c r="A6577" s="122">
        <v>42138.0</v>
      </c>
      <c r="B6577" s="1"/>
      <c r="C6577" s="1" t="s">
        <v>339</v>
      </c>
      <c r="D6577" s="74"/>
      <c r="E6577" s="67"/>
      <c r="F6577" s="75"/>
      <c r="G6577" s="67"/>
      <c r="H6577" s="68"/>
      <c r="I6577" s="76"/>
      <c r="K6577" s="968" t="s">
        <v>2979</v>
      </c>
      <c r="L6577" s="934"/>
      <c r="M6577" s="934"/>
    </row>
    <row r="6578" ht="12.75" hidden="1" customHeight="1" outlineLevel="1">
      <c r="A6578" s="122">
        <v>42138.0</v>
      </c>
      <c r="B6578" s="1"/>
      <c r="C6578" s="1" t="s">
        <v>429</v>
      </c>
      <c r="D6578" s="74"/>
      <c r="E6578" s="67"/>
      <c r="F6578" s="75"/>
      <c r="G6578" s="67"/>
      <c r="H6578" s="68"/>
      <c r="I6578" s="76"/>
      <c r="J6578" s="67"/>
      <c r="K6578" s="9" t="s">
        <v>2839</v>
      </c>
      <c r="L6578" s="934"/>
      <c r="M6578" s="934"/>
    </row>
    <row r="6579" ht="12.75" hidden="1" customHeight="1" outlineLevel="1">
      <c r="A6579" s="122">
        <v>42138.0</v>
      </c>
      <c r="B6579" s="1"/>
      <c r="C6579" s="1" t="s">
        <v>431</v>
      </c>
      <c r="D6579" s="74"/>
      <c r="E6579" s="67"/>
      <c r="F6579" s="75"/>
      <c r="G6579" s="67"/>
      <c r="H6579" s="68"/>
      <c r="I6579" s="76"/>
      <c r="J6579" s="67"/>
      <c r="K6579" s="7" t="s">
        <v>1126</v>
      </c>
      <c r="L6579" s="934"/>
      <c r="M6579" s="934"/>
    </row>
    <row r="6580" ht="12.75" hidden="1" customHeight="1" outlineLevel="1">
      <c r="A6580" s="122">
        <v>42138.0</v>
      </c>
      <c r="B6580" s="1"/>
      <c r="C6580" s="1" t="s">
        <v>433</v>
      </c>
      <c r="D6580" s="74"/>
      <c r="E6580" s="67"/>
      <c r="F6580" s="75"/>
      <c r="G6580" s="67"/>
      <c r="H6580" s="68"/>
      <c r="I6580" s="76"/>
      <c r="J6580" s="67"/>
      <c r="K6580" s="7" t="s">
        <v>1103</v>
      </c>
      <c r="L6580" s="934"/>
      <c r="M6580" s="934"/>
    </row>
    <row r="6581" ht="12.75" hidden="1" customHeight="1" outlineLevel="1">
      <c r="A6581" s="122">
        <v>42138.0</v>
      </c>
      <c r="B6581" s="1"/>
      <c r="C6581" s="1" t="s">
        <v>435</v>
      </c>
      <c r="D6581" s="74"/>
      <c r="E6581" s="67"/>
      <c r="F6581" s="75"/>
      <c r="G6581" s="67"/>
      <c r="H6581" s="68"/>
      <c r="I6581" s="76"/>
      <c r="J6581" s="67"/>
      <c r="K6581" s="9" t="s">
        <v>2802</v>
      </c>
      <c r="L6581" s="934"/>
      <c r="M6581" s="934"/>
    </row>
    <row r="6582" ht="12.75" hidden="1" customHeight="1" outlineLevel="1">
      <c r="A6582" s="122">
        <v>42139.0</v>
      </c>
      <c r="B6582" s="32" t="s">
        <v>343</v>
      </c>
      <c r="C6582" s="32" t="s">
        <v>1221</v>
      </c>
      <c r="D6582" s="708">
        <v>250.0</v>
      </c>
      <c r="E6582" s="195">
        <v>41.432</v>
      </c>
      <c r="F6582" s="709">
        <v>0.3992824074074074</v>
      </c>
      <c r="G6582" s="195" t="s">
        <v>453</v>
      </c>
      <c r="H6582" s="710">
        <v>1.2</v>
      </c>
      <c r="I6582" s="256"/>
      <c r="J6582" s="67">
        <f t="shared" ref="J6582:J6583" si="399">IF(B6582="SLD",D6582*E6582,-D6582*E6582)-H6582</f>
        <v>-10359.2</v>
      </c>
      <c r="L6582" s="70"/>
      <c r="M6582" s="934"/>
      <c r="N6582" s="94"/>
      <c r="O6582" s="94"/>
      <c r="P6582" s="94"/>
      <c r="Q6582" s="94"/>
      <c r="R6582" s="94"/>
      <c r="S6582" s="94"/>
      <c r="T6582" s="94"/>
      <c r="U6582" s="94"/>
      <c r="V6582" s="94"/>
      <c r="W6582" s="94"/>
      <c r="X6582" s="94"/>
      <c r="Y6582" s="94"/>
      <c r="Z6582" s="94"/>
      <c r="AA6582" s="94"/>
      <c r="AB6582" s="94"/>
      <c r="AC6582" s="94"/>
      <c r="AD6582" s="94"/>
      <c r="AE6582" s="94"/>
      <c r="AF6582" s="94"/>
      <c r="AG6582" s="94"/>
      <c r="AH6582" s="94"/>
    </row>
    <row r="6583" ht="12.75" hidden="1" customHeight="1" outlineLevel="1">
      <c r="A6583" s="122">
        <v>42142.0</v>
      </c>
      <c r="B6583" s="32" t="s">
        <v>343</v>
      </c>
      <c r="C6583" s="32" t="s">
        <v>2434</v>
      </c>
      <c r="D6583" s="708">
        <v>100.0</v>
      </c>
      <c r="E6583" s="195">
        <v>215.27</v>
      </c>
      <c r="F6583" s="709">
        <v>0.396712962962963</v>
      </c>
      <c r="G6583" s="195" t="s">
        <v>453</v>
      </c>
      <c r="H6583" s="710">
        <v>1.0</v>
      </c>
      <c r="I6583" s="256"/>
      <c r="J6583" s="67">
        <f t="shared" si="399"/>
        <v>-21528</v>
      </c>
      <c r="L6583" s="70"/>
      <c r="M6583" s="934"/>
      <c r="N6583" s="94"/>
      <c r="O6583" s="94"/>
      <c r="P6583" s="94"/>
      <c r="Q6583" s="94"/>
      <c r="R6583" s="94"/>
      <c r="S6583" s="94"/>
      <c r="T6583" s="94"/>
      <c r="U6583" s="94"/>
      <c r="V6583" s="94"/>
      <c r="W6583" s="94"/>
      <c r="X6583" s="94"/>
      <c r="Y6583" s="94"/>
      <c r="Z6583" s="94"/>
      <c r="AA6583" s="94"/>
      <c r="AB6583" s="94"/>
      <c r="AC6583" s="94"/>
      <c r="AD6583" s="94"/>
      <c r="AE6583" s="94"/>
      <c r="AF6583" s="94"/>
      <c r="AG6583" s="94"/>
      <c r="AH6583" s="94"/>
    </row>
    <row r="6584" ht="12.75" hidden="1" customHeight="1" outlineLevel="1">
      <c r="A6584" s="122">
        <v>42142.0</v>
      </c>
      <c r="B6584" s="1"/>
      <c r="C6584" s="1" t="s">
        <v>339</v>
      </c>
      <c r="D6584" s="74"/>
      <c r="E6584" s="67"/>
      <c r="F6584" s="75"/>
      <c r="G6584" s="67"/>
      <c r="H6584" s="68"/>
      <c r="I6584" s="76"/>
      <c r="K6584" s="968" t="s">
        <v>2980</v>
      </c>
      <c r="L6584" s="934"/>
      <c r="M6584" s="934"/>
    </row>
    <row r="6585" ht="12.75" hidden="1" customHeight="1" outlineLevel="1">
      <c r="A6585" s="122">
        <v>42142.0</v>
      </c>
      <c r="B6585" s="1"/>
      <c r="C6585" s="1" t="s">
        <v>429</v>
      </c>
      <c r="D6585" s="74"/>
      <c r="E6585" s="67"/>
      <c r="F6585" s="75"/>
      <c r="G6585" s="67"/>
      <c r="H6585" s="68"/>
      <c r="I6585" s="76"/>
      <c r="J6585" s="67"/>
      <c r="K6585" s="9" t="s">
        <v>2839</v>
      </c>
      <c r="L6585" s="934"/>
      <c r="M6585" s="934"/>
    </row>
    <row r="6586" ht="12.75" hidden="1" customHeight="1" outlineLevel="1">
      <c r="A6586" s="122">
        <v>42142.0</v>
      </c>
      <c r="B6586" s="1"/>
      <c r="C6586" s="1" t="s">
        <v>431</v>
      </c>
      <c r="D6586" s="74"/>
      <c r="E6586" s="67"/>
      <c r="F6586" s="75"/>
      <c r="G6586" s="67"/>
      <c r="H6586" s="68"/>
      <c r="I6586" s="76"/>
      <c r="J6586" s="67"/>
      <c r="K6586" s="7" t="s">
        <v>1126</v>
      </c>
      <c r="L6586" s="934"/>
      <c r="M6586" s="934"/>
    </row>
    <row r="6587" ht="12.75" hidden="1" customHeight="1" outlineLevel="1">
      <c r="A6587" s="122">
        <v>42142.0</v>
      </c>
      <c r="B6587" s="1"/>
      <c r="C6587" s="1" t="s">
        <v>433</v>
      </c>
      <c r="D6587" s="74"/>
      <c r="E6587" s="67"/>
      <c r="F6587" s="75"/>
      <c r="G6587" s="67"/>
      <c r="H6587" s="68"/>
      <c r="I6587" s="76"/>
      <c r="J6587" s="67"/>
      <c r="K6587" s="7" t="s">
        <v>1103</v>
      </c>
      <c r="L6587" s="934"/>
      <c r="M6587" s="934"/>
    </row>
    <row r="6588" ht="12.75" hidden="1" customHeight="1" outlineLevel="1">
      <c r="A6588" s="122">
        <v>42142.0</v>
      </c>
      <c r="B6588" s="1"/>
      <c r="C6588" s="1" t="s">
        <v>435</v>
      </c>
      <c r="D6588" s="74"/>
      <c r="E6588" s="67"/>
      <c r="F6588" s="75"/>
      <c r="G6588" s="67"/>
      <c r="H6588" s="68"/>
      <c r="I6588" s="76"/>
      <c r="J6588" s="67"/>
      <c r="K6588" s="9" t="s">
        <v>2802</v>
      </c>
      <c r="L6588" s="934"/>
      <c r="M6588" s="934"/>
    </row>
    <row r="6589" ht="12.75" hidden="1" customHeight="1" outlineLevel="1">
      <c r="A6589" s="122">
        <v>42143.0</v>
      </c>
      <c r="B6589" s="32" t="s">
        <v>347</v>
      </c>
      <c r="C6589" s="32" t="s">
        <v>790</v>
      </c>
      <c r="D6589" s="708">
        <v>1400.0</v>
      </c>
      <c r="E6589" s="195">
        <v>9.29</v>
      </c>
      <c r="F6589" s="709">
        <v>0.39642361111111113</v>
      </c>
      <c r="G6589" s="195" t="s">
        <v>453</v>
      </c>
      <c r="H6589" s="710">
        <v>5.84</v>
      </c>
      <c r="I6589" s="256"/>
      <c r="J6589" s="67">
        <f t="shared" ref="J6589:J6592" si="400">IF(B6589="SLD",D6589*E6589,-D6589*E6589)-H6589</f>
        <v>13000.16</v>
      </c>
      <c r="L6589" s="70"/>
      <c r="M6589" s="934"/>
      <c r="N6589" s="94"/>
      <c r="O6589" s="94"/>
      <c r="P6589" s="94"/>
      <c r="Q6589" s="94"/>
      <c r="R6589" s="94"/>
      <c r="S6589" s="94"/>
      <c r="T6589" s="94"/>
      <c r="U6589" s="94"/>
      <c r="V6589" s="94"/>
      <c r="W6589" s="94"/>
      <c r="X6589" s="94"/>
      <c r="Y6589" s="94"/>
      <c r="Z6589" s="94"/>
      <c r="AA6589" s="94"/>
      <c r="AB6589" s="94"/>
      <c r="AC6589" s="94"/>
      <c r="AD6589" s="94"/>
      <c r="AE6589" s="94"/>
      <c r="AF6589" s="94"/>
      <c r="AG6589" s="94"/>
      <c r="AH6589" s="94"/>
    </row>
    <row r="6590" ht="12.75" hidden="1" customHeight="1" outlineLevel="1">
      <c r="A6590" s="122">
        <v>42143.0</v>
      </c>
      <c r="B6590" s="32" t="s">
        <v>347</v>
      </c>
      <c r="C6590" s="32" t="s">
        <v>2048</v>
      </c>
      <c r="D6590" s="708">
        <v>1000.0</v>
      </c>
      <c r="E6590" s="195">
        <v>12.9</v>
      </c>
      <c r="F6590" s="709">
        <v>0.39730324074074075</v>
      </c>
      <c r="G6590" s="195" t="s">
        <v>453</v>
      </c>
      <c r="H6590" s="710">
        <v>5.24</v>
      </c>
      <c r="I6590" s="256"/>
      <c r="J6590" s="67">
        <f t="shared" si="400"/>
        <v>12894.76</v>
      </c>
      <c r="L6590" s="70"/>
      <c r="M6590" s="934"/>
      <c r="N6590" s="94"/>
      <c r="O6590" s="94"/>
      <c r="P6590" s="94"/>
      <c r="Q6590" s="94"/>
      <c r="R6590" s="94"/>
      <c r="S6590" s="94"/>
      <c r="T6590" s="94"/>
      <c r="U6590" s="94"/>
      <c r="V6590" s="94"/>
      <c r="W6590" s="94"/>
      <c r="X6590" s="94"/>
      <c r="Y6590" s="94"/>
      <c r="Z6590" s="94"/>
      <c r="AA6590" s="94"/>
      <c r="AB6590" s="94"/>
      <c r="AC6590" s="94"/>
      <c r="AD6590" s="94"/>
      <c r="AE6590" s="94"/>
      <c r="AF6590" s="94"/>
      <c r="AG6590" s="94"/>
      <c r="AH6590" s="94"/>
    </row>
    <row r="6591" ht="12.75" hidden="1" customHeight="1" outlineLevel="1">
      <c r="A6591" s="122">
        <v>42143.0</v>
      </c>
      <c r="B6591" s="32" t="s">
        <v>347</v>
      </c>
      <c r="C6591" s="32" t="s">
        <v>790</v>
      </c>
      <c r="D6591" s="708">
        <v>700.0</v>
      </c>
      <c r="E6591" s="195">
        <v>9.201</v>
      </c>
      <c r="F6591" s="709">
        <v>0.40988425925925925</v>
      </c>
      <c r="G6591" s="195" t="s">
        <v>453</v>
      </c>
      <c r="H6591" s="710">
        <v>3.52</v>
      </c>
      <c r="I6591" s="256"/>
      <c r="J6591" s="67">
        <f t="shared" si="400"/>
        <v>6437.18</v>
      </c>
      <c r="L6591" s="70"/>
      <c r="M6591" s="934"/>
      <c r="N6591" s="94"/>
      <c r="O6591" s="94"/>
      <c r="P6591" s="94"/>
      <c r="Q6591" s="94"/>
      <c r="R6591" s="94"/>
      <c r="S6591" s="94"/>
      <c r="T6591" s="94"/>
      <c r="U6591" s="94"/>
      <c r="V6591" s="94"/>
      <c r="W6591" s="94"/>
      <c r="X6591" s="94"/>
      <c r="Y6591" s="94"/>
      <c r="Z6591" s="94"/>
      <c r="AA6591" s="94"/>
      <c r="AB6591" s="94"/>
      <c r="AC6591" s="94"/>
      <c r="AD6591" s="94"/>
      <c r="AE6591" s="94"/>
      <c r="AF6591" s="94"/>
      <c r="AG6591" s="94"/>
      <c r="AH6591" s="94"/>
    </row>
    <row r="6592" ht="12.75" hidden="1" customHeight="1" outlineLevel="1">
      <c r="A6592" s="122">
        <v>42143.0</v>
      </c>
      <c r="B6592" s="32" t="s">
        <v>347</v>
      </c>
      <c r="C6592" s="32" t="s">
        <v>2048</v>
      </c>
      <c r="D6592" s="708">
        <v>500.0</v>
      </c>
      <c r="E6592" s="195">
        <v>12.711</v>
      </c>
      <c r="F6592" s="709">
        <v>0.40998842592592594</v>
      </c>
      <c r="G6592" s="195" t="s">
        <v>453</v>
      </c>
      <c r="H6592" s="710">
        <v>2.12</v>
      </c>
      <c r="I6592" s="256"/>
      <c r="J6592" s="67">
        <f t="shared" si="400"/>
        <v>6353.38</v>
      </c>
      <c r="L6592" s="70"/>
      <c r="M6592" s="934"/>
      <c r="N6592" s="94"/>
      <c r="O6592" s="94"/>
      <c r="P6592" s="94"/>
      <c r="Q6592" s="94"/>
      <c r="R6592" s="94"/>
      <c r="S6592" s="94"/>
      <c r="T6592" s="94"/>
      <c r="U6592" s="94"/>
      <c r="V6592" s="94"/>
      <c r="W6592" s="94"/>
      <c r="X6592" s="94"/>
      <c r="Y6592" s="94"/>
      <c r="Z6592" s="94"/>
      <c r="AA6592" s="94"/>
      <c r="AB6592" s="94"/>
      <c r="AC6592" s="94"/>
      <c r="AD6592" s="94"/>
      <c r="AE6592" s="94"/>
      <c r="AF6592" s="94"/>
      <c r="AG6592" s="94"/>
      <c r="AH6592" s="94"/>
    </row>
    <row r="6593" ht="12.75" hidden="1" customHeight="1" outlineLevel="1">
      <c r="A6593" s="122">
        <v>42143.0</v>
      </c>
      <c r="B6593" s="1"/>
      <c r="C6593" s="1" t="s">
        <v>339</v>
      </c>
      <c r="D6593" s="74"/>
      <c r="E6593" s="67"/>
      <c r="F6593" s="75"/>
      <c r="G6593" s="67"/>
      <c r="H6593" s="68"/>
      <c r="I6593" s="76"/>
      <c r="K6593" s="968" t="s">
        <v>2981</v>
      </c>
      <c r="L6593" s="934"/>
      <c r="M6593" s="934"/>
    </row>
    <row r="6594" ht="12.75" hidden="1" customHeight="1" outlineLevel="1">
      <c r="A6594" s="122">
        <v>42143.0</v>
      </c>
      <c r="B6594" s="1"/>
      <c r="C6594" s="1" t="s">
        <v>429</v>
      </c>
      <c r="D6594" s="74"/>
      <c r="E6594" s="67"/>
      <c r="F6594" s="75"/>
      <c r="G6594" s="67"/>
      <c r="H6594" s="68"/>
      <c r="I6594" s="76"/>
      <c r="J6594" s="67"/>
      <c r="K6594" s="9" t="s">
        <v>2839</v>
      </c>
      <c r="L6594" s="934"/>
      <c r="M6594" s="934"/>
    </row>
    <row r="6595" ht="12.75" hidden="1" customHeight="1" outlineLevel="1">
      <c r="A6595" s="122">
        <v>42143.0</v>
      </c>
      <c r="B6595" s="1"/>
      <c r="C6595" s="1" t="s">
        <v>431</v>
      </c>
      <c r="D6595" s="74"/>
      <c r="E6595" s="67"/>
      <c r="F6595" s="75"/>
      <c r="G6595" s="67"/>
      <c r="H6595" s="68"/>
      <c r="I6595" s="76"/>
      <c r="J6595" s="67"/>
      <c r="K6595" s="7" t="s">
        <v>1126</v>
      </c>
      <c r="L6595" s="934"/>
      <c r="M6595" s="934"/>
    </row>
    <row r="6596" ht="12.75" hidden="1" customHeight="1" outlineLevel="1">
      <c r="A6596" s="122">
        <v>42143.0</v>
      </c>
      <c r="B6596" s="1"/>
      <c r="C6596" s="1" t="s">
        <v>433</v>
      </c>
      <c r="D6596" s="74"/>
      <c r="E6596" s="67"/>
      <c r="F6596" s="75"/>
      <c r="G6596" s="67"/>
      <c r="H6596" s="68"/>
      <c r="I6596" s="76"/>
      <c r="J6596" s="67"/>
      <c r="K6596" s="7" t="s">
        <v>1103</v>
      </c>
      <c r="L6596" s="934"/>
      <c r="M6596" s="934"/>
    </row>
    <row r="6597" ht="12.75" hidden="1" customHeight="1" outlineLevel="1">
      <c r="A6597" s="122">
        <v>42143.0</v>
      </c>
      <c r="B6597" s="1"/>
      <c r="C6597" s="1" t="s">
        <v>435</v>
      </c>
      <c r="D6597" s="74"/>
      <c r="E6597" s="67"/>
      <c r="F6597" s="75"/>
      <c r="G6597" s="67"/>
      <c r="H6597" s="68"/>
      <c r="I6597" s="76"/>
      <c r="J6597" s="67"/>
      <c r="K6597" s="9" t="s">
        <v>2802</v>
      </c>
      <c r="L6597" s="934"/>
      <c r="M6597" s="934"/>
    </row>
    <row r="6598" ht="12.75" hidden="1" customHeight="1" outlineLevel="1">
      <c r="A6598" s="122">
        <v>42144.0</v>
      </c>
      <c r="B6598" s="32" t="s">
        <v>343</v>
      </c>
      <c r="C6598" s="32" t="s">
        <v>2142</v>
      </c>
      <c r="D6598" s="708">
        <v>100.0</v>
      </c>
      <c r="E6598" s="195">
        <v>31.99</v>
      </c>
      <c r="F6598" s="709">
        <v>0.40216435185185184</v>
      </c>
      <c r="G6598" s="195" t="s">
        <v>453</v>
      </c>
      <c r="H6598" s="710">
        <v>1.0</v>
      </c>
      <c r="I6598" s="256"/>
      <c r="J6598" s="67">
        <f t="shared" ref="J6598:J6615" si="401">IF(B6598="SLD",D6598*E6598,-D6598*E6598)-H6598</f>
        <v>-3200</v>
      </c>
      <c r="L6598" s="70"/>
      <c r="M6598" s="934"/>
      <c r="N6598" s="94"/>
      <c r="O6598" s="94"/>
      <c r="P6598" s="94"/>
      <c r="Q6598" s="94"/>
      <c r="R6598" s="94"/>
      <c r="S6598" s="94"/>
      <c r="T6598" s="94"/>
      <c r="U6598" s="94"/>
      <c r="V6598" s="94"/>
      <c r="W6598" s="94"/>
      <c r="X6598" s="94"/>
      <c r="Y6598" s="94"/>
      <c r="Z6598" s="94"/>
      <c r="AA6598" s="94"/>
      <c r="AB6598" s="94"/>
      <c r="AC6598" s="94"/>
      <c r="AD6598" s="94"/>
      <c r="AE6598" s="94"/>
      <c r="AF6598" s="94"/>
      <c r="AG6598" s="94"/>
      <c r="AH6598" s="94"/>
    </row>
    <row r="6599" ht="12.75" hidden="1" customHeight="1" outlineLevel="1">
      <c r="A6599" s="122">
        <v>42144.0</v>
      </c>
      <c r="B6599" s="32" t="s">
        <v>343</v>
      </c>
      <c r="C6599" s="32" t="s">
        <v>1185</v>
      </c>
      <c r="D6599" s="708">
        <v>15.0</v>
      </c>
      <c r="E6599" s="195">
        <v>327.79</v>
      </c>
      <c r="F6599" s="709">
        <v>0.40275462962962966</v>
      </c>
      <c r="G6599" s="195" t="s">
        <v>453</v>
      </c>
      <c r="H6599" s="710">
        <v>1.0</v>
      </c>
      <c r="I6599" s="256"/>
      <c r="J6599" s="67">
        <f t="shared" si="401"/>
        <v>-4917.85</v>
      </c>
      <c r="L6599" s="70"/>
      <c r="M6599" s="934"/>
      <c r="N6599" s="94"/>
      <c r="O6599" s="94"/>
      <c r="P6599" s="94"/>
      <c r="Q6599" s="94"/>
      <c r="R6599" s="94"/>
      <c r="S6599" s="94"/>
      <c r="T6599" s="94"/>
      <c r="U6599" s="94"/>
      <c r="V6599" s="94"/>
      <c r="W6599" s="94"/>
      <c r="X6599" s="94"/>
      <c r="Y6599" s="94"/>
      <c r="Z6599" s="94"/>
      <c r="AA6599" s="94"/>
      <c r="AB6599" s="94"/>
      <c r="AC6599" s="94"/>
      <c r="AD6599" s="94"/>
      <c r="AE6599" s="94"/>
      <c r="AF6599" s="94"/>
      <c r="AG6599" s="94"/>
      <c r="AH6599" s="94"/>
    </row>
    <row r="6600" ht="12.75" hidden="1" customHeight="1" outlineLevel="1">
      <c r="A6600" s="122">
        <v>42144.0</v>
      </c>
      <c r="B6600" s="32" t="s">
        <v>347</v>
      </c>
      <c r="C6600" s="32" t="s">
        <v>790</v>
      </c>
      <c r="D6600" s="708">
        <v>1400.0</v>
      </c>
      <c r="E6600" s="195">
        <v>9.01</v>
      </c>
      <c r="F6600" s="709">
        <v>0.44506944444444446</v>
      </c>
      <c r="G6600" s="195" t="s">
        <v>453</v>
      </c>
      <c r="H6600" s="710">
        <v>7.23</v>
      </c>
      <c r="I6600" s="256"/>
      <c r="J6600" s="67">
        <f t="shared" si="401"/>
        <v>12606.77</v>
      </c>
      <c r="L6600" s="70"/>
      <c r="M6600" s="934"/>
      <c r="N6600" s="94"/>
      <c r="O6600" s="94"/>
      <c r="P6600" s="94"/>
      <c r="Q6600" s="94"/>
      <c r="R6600" s="94"/>
      <c r="S6600" s="94"/>
      <c r="T6600" s="94"/>
      <c r="U6600" s="94"/>
      <c r="V6600" s="94"/>
      <c r="W6600" s="94"/>
      <c r="X6600" s="94"/>
      <c r="Y6600" s="94"/>
      <c r="Z6600" s="94"/>
      <c r="AA6600" s="94"/>
      <c r="AB6600" s="94"/>
      <c r="AC6600" s="94"/>
      <c r="AD6600" s="94"/>
      <c r="AE6600" s="94"/>
      <c r="AF6600" s="94"/>
      <c r="AG6600" s="94"/>
      <c r="AH6600" s="94"/>
    </row>
    <row r="6601" ht="12.75" hidden="1" customHeight="1" outlineLevel="1">
      <c r="A6601" s="122">
        <v>42144.0</v>
      </c>
      <c r="B6601" s="32" t="s">
        <v>347</v>
      </c>
      <c r="C6601" s="32" t="s">
        <v>2048</v>
      </c>
      <c r="D6601" s="708">
        <v>1000.0</v>
      </c>
      <c r="E6601" s="195">
        <v>12.82</v>
      </c>
      <c r="F6601" s="709">
        <v>0.44547453703703704</v>
      </c>
      <c r="G6601" s="195" t="s">
        <v>453</v>
      </c>
      <c r="H6601" s="710">
        <v>4.94</v>
      </c>
      <c r="I6601" s="256"/>
      <c r="J6601" s="67">
        <f t="shared" si="401"/>
        <v>12815.06</v>
      </c>
      <c r="L6601" s="70"/>
      <c r="M6601" s="934"/>
      <c r="N6601" s="94"/>
      <c r="O6601" s="94"/>
      <c r="P6601" s="94"/>
      <c r="Q6601" s="94"/>
      <c r="R6601" s="94"/>
      <c r="S6601" s="94"/>
      <c r="T6601" s="94"/>
      <c r="U6601" s="94"/>
      <c r="V6601" s="94"/>
      <c r="W6601" s="94"/>
      <c r="X6601" s="94"/>
      <c r="Y6601" s="94"/>
      <c r="Z6601" s="94"/>
      <c r="AA6601" s="94"/>
      <c r="AB6601" s="94"/>
      <c r="AC6601" s="94"/>
      <c r="AD6601" s="94"/>
      <c r="AE6601" s="94"/>
      <c r="AF6601" s="94"/>
      <c r="AG6601" s="94"/>
      <c r="AH6601" s="94"/>
    </row>
    <row r="6602" ht="12.75" hidden="1" customHeight="1" outlineLevel="1">
      <c r="A6602" s="122">
        <v>42144.0</v>
      </c>
      <c r="B6602" s="32" t="s">
        <v>347</v>
      </c>
      <c r="C6602" s="32" t="s">
        <v>369</v>
      </c>
      <c r="D6602" s="708">
        <v>2000.0</v>
      </c>
      <c r="E6602" s="195">
        <v>4.83</v>
      </c>
      <c r="F6602" s="709">
        <v>0.44658564814814816</v>
      </c>
      <c r="G6602" s="195" t="s">
        <v>453</v>
      </c>
      <c r="H6602" s="710">
        <v>10.18</v>
      </c>
      <c r="I6602" s="256"/>
      <c r="J6602" s="67">
        <f t="shared" si="401"/>
        <v>9649.82</v>
      </c>
      <c r="L6602" s="70"/>
      <c r="M6602" s="934"/>
      <c r="N6602" s="94"/>
      <c r="O6602" s="94"/>
      <c r="P6602" s="94"/>
      <c r="Q6602" s="94"/>
      <c r="R6602" s="94"/>
      <c r="S6602" s="94"/>
      <c r="T6602" s="94"/>
      <c r="U6602" s="94"/>
      <c r="V6602" s="94"/>
      <c r="W6602" s="94"/>
      <c r="X6602" s="94"/>
      <c r="Y6602" s="94"/>
      <c r="Z6602" s="94"/>
      <c r="AA6602" s="94"/>
      <c r="AB6602" s="94"/>
      <c r="AC6602" s="94"/>
      <c r="AD6602" s="94"/>
      <c r="AE6602" s="94"/>
      <c r="AF6602" s="94"/>
      <c r="AG6602" s="94"/>
      <c r="AH6602" s="94"/>
    </row>
    <row r="6603" ht="12.75" hidden="1" customHeight="1" outlineLevel="1">
      <c r="A6603" s="122">
        <v>42144.0</v>
      </c>
      <c r="B6603" s="32" t="s">
        <v>347</v>
      </c>
      <c r="C6603" s="32" t="s">
        <v>784</v>
      </c>
      <c r="D6603" s="708">
        <v>2000.0</v>
      </c>
      <c r="E6603" s="195">
        <v>6.561</v>
      </c>
      <c r="F6603" s="709">
        <v>0.44850694444444444</v>
      </c>
      <c r="G6603" s="195" t="s">
        <v>453</v>
      </c>
      <c r="H6603" s="710">
        <v>8.84</v>
      </c>
      <c r="I6603" s="256"/>
      <c r="J6603" s="67">
        <f t="shared" si="401"/>
        <v>13113.16</v>
      </c>
      <c r="L6603" s="70"/>
      <c r="M6603" s="934"/>
      <c r="N6603" s="94"/>
      <c r="O6603" s="94"/>
      <c r="P6603" s="94"/>
      <c r="Q6603" s="94"/>
      <c r="R6603" s="94"/>
      <c r="S6603" s="94"/>
      <c r="T6603" s="94"/>
      <c r="U6603" s="94"/>
      <c r="V6603" s="94"/>
      <c r="W6603" s="94"/>
      <c r="X6603" s="94"/>
      <c r="Y6603" s="94"/>
      <c r="Z6603" s="94"/>
      <c r="AA6603" s="94"/>
      <c r="AB6603" s="94"/>
      <c r="AC6603" s="94"/>
      <c r="AD6603" s="94"/>
      <c r="AE6603" s="94"/>
      <c r="AF6603" s="94"/>
      <c r="AG6603" s="94"/>
      <c r="AH6603" s="94"/>
    </row>
    <row r="6604" ht="12.75" hidden="1" customHeight="1" outlineLevel="1">
      <c r="A6604" s="122">
        <v>42144.0</v>
      </c>
      <c r="B6604" s="32" t="s">
        <v>347</v>
      </c>
      <c r="C6604" s="32" t="s">
        <v>369</v>
      </c>
      <c r="D6604" s="708">
        <v>3000.0</v>
      </c>
      <c r="E6604" s="195">
        <v>4.811</v>
      </c>
      <c r="F6604" s="709">
        <v>0.4519212962962963</v>
      </c>
      <c r="G6604" s="195" t="s">
        <v>453</v>
      </c>
      <c r="H6604" s="710">
        <v>12.67</v>
      </c>
      <c r="I6604" s="256"/>
      <c r="J6604" s="67">
        <f t="shared" si="401"/>
        <v>14420.33</v>
      </c>
      <c r="L6604" s="70"/>
      <c r="M6604" s="934"/>
      <c r="N6604" s="94"/>
      <c r="O6604" s="94"/>
      <c r="P6604" s="94"/>
      <c r="Q6604" s="94"/>
      <c r="R6604" s="94"/>
      <c r="S6604" s="94"/>
      <c r="T6604" s="94"/>
      <c r="U6604" s="94"/>
      <c r="V6604" s="94"/>
      <c r="W6604" s="94"/>
      <c r="X6604" s="94"/>
      <c r="Y6604" s="94"/>
      <c r="Z6604" s="94"/>
      <c r="AA6604" s="94"/>
      <c r="AB6604" s="94"/>
      <c r="AC6604" s="94"/>
      <c r="AD6604" s="94"/>
      <c r="AE6604" s="94"/>
      <c r="AF6604" s="94"/>
      <c r="AG6604" s="94"/>
      <c r="AH6604" s="94"/>
    </row>
    <row r="6605" ht="12.75" hidden="1" customHeight="1" outlineLevel="1">
      <c r="A6605" s="122">
        <v>42144.0</v>
      </c>
      <c r="B6605" s="32" t="s">
        <v>347</v>
      </c>
      <c r="C6605" s="32" t="s">
        <v>790</v>
      </c>
      <c r="D6605" s="708">
        <v>1500.0</v>
      </c>
      <c r="E6605" s="195">
        <v>8.99</v>
      </c>
      <c r="F6605" s="709">
        <v>0.45253472222222224</v>
      </c>
      <c r="G6605" s="195" t="s">
        <v>453</v>
      </c>
      <c r="H6605" s="710">
        <v>7.75</v>
      </c>
      <c r="I6605" s="256"/>
      <c r="J6605" s="67">
        <f t="shared" si="401"/>
        <v>13477.25</v>
      </c>
      <c r="L6605" s="70"/>
      <c r="M6605" s="934"/>
      <c r="N6605" s="94"/>
      <c r="O6605" s="94"/>
      <c r="P6605" s="94"/>
      <c r="Q6605" s="94"/>
      <c r="R6605" s="94"/>
      <c r="S6605" s="94"/>
      <c r="T6605" s="94"/>
      <c r="U6605" s="94"/>
      <c r="V6605" s="94"/>
      <c r="W6605" s="94"/>
      <c r="X6605" s="94"/>
      <c r="Y6605" s="94"/>
      <c r="Z6605" s="94"/>
      <c r="AA6605" s="94"/>
      <c r="AB6605" s="94"/>
      <c r="AC6605" s="94"/>
      <c r="AD6605" s="94"/>
      <c r="AE6605" s="94"/>
      <c r="AF6605" s="94"/>
      <c r="AG6605" s="94"/>
      <c r="AH6605" s="94"/>
    </row>
    <row r="6606" ht="12.75" hidden="1" customHeight="1" outlineLevel="1">
      <c r="A6606" s="122">
        <v>42144.0</v>
      </c>
      <c r="B6606" s="32" t="s">
        <v>347</v>
      </c>
      <c r="C6606" s="32" t="s">
        <v>784</v>
      </c>
      <c r="D6606" s="708">
        <v>2000.0</v>
      </c>
      <c r="E6606" s="195">
        <v>6.56</v>
      </c>
      <c r="F6606" s="709">
        <v>0.45296296296296296</v>
      </c>
      <c r="G6606" s="195" t="s">
        <v>453</v>
      </c>
      <c r="H6606" s="710">
        <v>9.44</v>
      </c>
      <c r="I6606" s="256"/>
      <c r="J6606" s="67">
        <f t="shared" si="401"/>
        <v>13110.56</v>
      </c>
      <c r="L6606" s="70"/>
      <c r="M6606" s="934"/>
      <c r="N6606" s="94"/>
      <c r="O6606" s="94"/>
      <c r="P6606" s="94"/>
      <c r="Q6606" s="94"/>
      <c r="R6606" s="94"/>
      <c r="S6606" s="94"/>
      <c r="T6606" s="94"/>
      <c r="U6606" s="94"/>
      <c r="V6606" s="94"/>
      <c r="W6606" s="94"/>
      <c r="X6606" s="94"/>
      <c r="Y6606" s="94"/>
      <c r="Z6606" s="94"/>
      <c r="AA6606" s="94"/>
      <c r="AB6606" s="94"/>
      <c r="AC6606" s="94"/>
      <c r="AD6606" s="94"/>
      <c r="AE6606" s="94"/>
      <c r="AF6606" s="94"/>
      <c r="AG6606" s="94"/>
      <c r="AH6606" s="94"/>
    </row>
    <row r="6607" ht="12.75" hidden="1" customHeight="1" outlineLevel="1">
      <c r="A6607" s="122">
        <v>42144.0</v>
      </c>
      <c r="B6607" s="32" t="s">
        <v>347</v>
      </c>
      <c r="C6607" s="32" t="s">
        <v>2048</v>
      </c>
      <c r="D6607" s="708">
        <v>1000.0</v>
      </c>
      <c r="E6607" s="195">
        <v>12.79</v>
      </c>
      <c r="F6607" s="709">
        <v>0.45393518518518516</v>
      </c>
      <c r="G6607" s="195" t="s">
        <v>453</v>
      </c>
      <c r="H6607" s="710">
        <v>5.24</v>
      </c>
      <c r="I6607" s="256"/>
      <c r="J6607" s="67">
        <f t="shared" si="401"/>
        <v>12784.76</v>
      </c>
      <c r="L6607" s="70"/>
      <c r="M6607" s="934"/>
      <c r="N6607" s="94"/>
      <c r="O6607" s="94"/>
      <c r="P6607" s="94"/>
      <c r="Q6607" s="94"/>
      <c r="R6607" s="94"/>
      <c r="S6607" s="94"/>
      <c r="T6607" s="94"/>
      <c r="U6607" s="94"/>
      <c r="V6607" s="94"/>
      <c r="W6607" s="94"/>
      <c r="X6607" s="94"/>
      <c r="Y6607" s="94"/>
      <c r="Z6607" s="94"/>
      <c r="AA6607" s="94"/>
      <c r="AB6607" s="94"/>
      <c r="AC6607" s="94"/>
      <c r="AD6607" s="94"/>
      <c r="AE6607" s="94"/>
      <c r="AF6607" s="94"/>
      <c r="AG6607" s="94"/>
      <c r="AH6607" s="94"/>
    </row>
    <row r="6608" ht="12.75" hidden="1" customHeight="1" outlineLevel="1">
      <c r="A6608" s="122">
        <v>42144.0</v>
      </c>
      <c r="B6608" s="32" t="s">
        <v>343</v>
      </c>
      <c r="C6608" s="32" t="s">
        <v>784</v>
      </c>
      <c r="D6608" s="708">
        <v>8000.0</v>
      </c>
      <c r="E6608" s="195">
        <v>6.749</v>
      </c>
      <c r="F6608" s="709">
        <v>0.5483217592592593</v>
      </c>
      <c r="G6608" s="195" t="s">
        <v>453</v>
      </c>
      <c r="H6608" s="710">
        <v>37.9</v>
      </c>
      <c r="I6608" s="256"/>
      <c r="J6608" s="67">
        <f t="shared" si="401"/>
        <v>-54029.9</v>
      </c>
      <c r="L6608" s="70"/>
      <c r="M6608" s="934"/>
      <c r="N6608" s="94"/>
      <c r="O6608" s="94"/>
      <c r="P6608" s="94"/>
      <c r="Q6608" s="94"/>
      <c r="R6608" s="94"/>
      <c r="S6608" s="94"/>
      <c r="T6608" s="94"/>
      <c r="U6608" s="94"/>
      <c r="V6608" s="94"/>
      <c r="W6608" s="94"/>
      <c r="X6608" s="94"/>
      <c r="Y6608" s="94"/>
      <c r="Z6608" s="94"/>
      <c r="AA6608" s="94"/>
      <c r="AB6608" s="94"/>
      <c r="AC6608" s="94"/>
      <c r="AD6608" s="94"/>
      <c r="AE6608" s="94"/>
      <c r="AF6608" s="94"/>
      <c r="AG6608" s="94"/>
      <c r="AH6608" s="94"/>
    </row>
    <row r="6609" ht="12.75" hidden="1" customHeight="1" outlineLevel="1">
      <c r="A6609" s="122">
        <v>42144.0</v>
      </c>
      <c r="B6609" s="32" t="s">
        <v>343</v>
      </c>
      <c r="C6609" s="32" t="s">
        <v>790</v>
      </c>
      <c r="D6609" s="708">
        <v>2500.0</v>
      </c>
      <c r="E6609" s="195">
        <v>9.2</v>
      </c>
      <c r="F6609" s="709">
        <v>0.5484722222222222</v>
      </c>
      <c r="G6609" s="195" t="s">
        <v>453</v>
      </c>
      <c r="H6609" s="710">
        <v>12.5</v>
      </c>
      <c r="I6609" s="256"/>
      <c r="J6609" s="67">
        <f t="shared" si="401"/>
        <v>-23012.5</v>
      </c>
      <c r="L6609" s="70"/>
      <c r="M6609" s="934"/>
      <c r="N6609" s="94"/>
      <c r="O6609" s="94"/>
      <c r="P6609" s="94"/>
      <c r="Q6609" s="94"/>
      <c r="R6609" s="94"/>
      <c r="S6609" s="94"/>
      <c r="T6609" s="94"/>
      <c r="U6609" s="94"/>
      <c r="V6609" s="94"/>
      <c r="W6609" s="94"/>
      <c r="X6609" s="94"/>
      <c r="Y6609" s="94"/>
      <c r="Z6609" s="94"/>
      <c r="AA6609" s="94"/>
      <c r="AB6609" s="94"/>
      <c r="AC6609" s="94"/>
      <c r="AD6609" s="94"/>
      <c r="AE6609" s="94"/>
      <c r="AF6609" s="94"/>
      <c r="AG6609" s="94"/>
      <c r="AH6609" s="94"/>
    </row>
    <row r="6610" ht="12.75" hidden="1" customHeight="1" outlineLevel="1">
      <c r="A6610" s="122">
        <v>42144.0</v>
      </c>
      <c r="B6610" s="32" t="s">
        <v>343</v>
      </c>
      <c r="C6610" s="32" t="s">
        <v>790</v>
      </c>
      <c r="D6610" s="708">
        <v>2500.0</v>
      </c>
      <c r="E6610" s="195">
        <v>9.19</v>
      </c>
      <c r="F6610" s="709">
        <v>0.5555787037037037</v>
      </c>
      <c r="G6610" s="195" t="s">
        <v>453</v>
      </c>
      <c r="H6610" s="710">
        <v>11.8</v>
      </c>
      <c r="I6610" s="256"/>
      <c r="J6610" s="67">
        <f t="shared" si="401"/>
        <v>-22986.8</v>
      </c>
      <c r="L6610" s="70"/>
      <c r="M6610" s="934"/>
      <c r="N6610" s="94"/>
      <c r="O6610" s="94"/>
      <c r="P6610" s="94"/>
      <c r="Q6610" s="94"/>
      <c r="R6610" s="94"/>
      <c r="S6610" s="94"/>
      <c r="T6610" s="94"/>
      <c r="U6610" s="94"/>
      <c r="V6610" s="94"/>
      <c r="W6610" s="94"/>
      <c r="X6610" s="94"/>
      <c r="Y6610" s="94"/>
      <c r="Z6610" s="94"/>
      <c r="AA6610" s="94"/>
      <c r="AB6610" s="94"/>
      <c r="AC6610" s="94"/>
      <c r="AD6610" s="94"/>
      <c r="AE6610" s="94"/>
      <c r="AF6610" s="94"/>
      <c r="AG6610" s="94"/>
      <c r="AH6610" s="94"/>
    </row>
    <row r="6611" ht="12.75" hidden="1" customHeight="1" outlineLevel="1">
      <c r="A6611" s="122">
        <v>42144.0</v>
      </c>
      <c r="B6611" s="32" t="s">
        <v>343</v>
      </c>
      <c r="C6611" s="32" t="s">
        <v>784</v>
      </c>
      <c r="D6611" s="708">
        <v>8000.0</v>
      </c>
      <c r="E6611" s="195">
        <v>6.77</v>
      </c>
      <c r="F6611" s="709">
        <v>0.556400462962963</v>
      </c>
      <c r="G6611" s="195" t="s">
        <v>453</v>
      </c>
      <c r="H6611" s="710">
        <v>37.4</v>
      </c>
      <c r="I6611" s="256"/>
      <c r="J6611" s="67">
        <f t="shared" si="401"/>
        <v>-54197.4</v>
      </c>
      <c r="L6611" s="70"/>
      <c r="M6611" s="934"/>
      <c r="N6611" s="94"/>
      <c r="O6611" s="94"/>
      <c r="P6611" s="94"/>
      <c r="Q6611" s="94"/>
      <c r="R6611" s="94"/>
      <c r="S6611" s="94"/>
      <c r="T6611" s="94"/>
      <c r="U6611" s="94"/>
      <c r="V6611" s="94"/>
      <c r="W6611" s="94"/>
      <c r="X6611" s="94"/>
      <c r="Y6611" s="94"/>
      <c r="Z6611" s="94"/>
      <c r="AA6611" s="94"/>
      <c r="AB6611" s="94"/>
      <c r="AC6611" s="94"/>
      <c r="AD6611" s="94"/>
      <c r="AE6611" s="94"/>
      <c r="AF6611" s="94"/>
      <c r="AG6611" s="94"/>
      <c r="AH6611" s="94"/>
    </row>
    <row r="6612" ht="12.75" hidden="1" customHeight="1" outlineLevel="1">
      <c r="A6612" s="122">
        <v>42144.0</v>
      </c>
      <c r="B6612" s="32" t="s">
        <v>343</v>
      </c>
      <c r="C6612" s="32" t="s">
        <v>369</v>
      </c>
      <c r="D6612" s="708">
        <v>1000.0</v>
      </c>
      <c r="E6612" s="195">
        <v>4.839</v>
      </c>
      <c r="F6612" s="709">
        <v>0.5759375</v>
      </c>
      <c r="G6612" s="195" t="s">
        <v>453</v>
      </c>
      <c r="H6612" s="710">
        <v>4.0</v>
      </c>
      <c r="I6612" s="256"/>
      <c r="J6612" s="67">
        <f t="shared" si="401"/>
        <v>-4843</v>
      </c>
      <c r="L6612" s="70"/>
      <c r="M6612" s="934"/>
      <c r="N6612" s="94"/>
      <c r="O6612" s="94"/>
      <c r="P6612" s="94"/>
      <c r="Q6612" s="94"/>
      <c r="R6612" s="94"/>
      <c r="S6612" s="94"/>
      <c r="T6612" s="94"/>
      <c r="U6612" s="94"/>
      <c r="V6612" s="94"/>
      <c r="W6612" s="94"/>
      <c r="X6612" s="94"/>
      <c r="Y6612" s="94"/>
      <c r="Z6612" s="94"/>
      <c r="AA6612" s="94"/>
      <c r="AB6612" s="94"/>
      <c r="AC6612" s="94"/>
      <c r="AD6612" s="94"/>
      <c r="AE6612" s="94"/>
      <c r="AF6612" s="94"/>
      <c r="AG6612" s="94"/>
      <c r="AH6612" s="94"/>
    </row>
    <row r="6613" ht="12.75" hidden="1" customHeight="1" outlineLevel="1">
      <c r="A6613" s="122">
        <v>42144.0</v>
      </c>
      <c r="B6613" s="32" t="s">
        <v>343</v>
      </c>
      <c r="C6613" s="32" t="s">
        <v>2048</v>
      </c>
      <c r="D6613" s="708">
        <v>3500.0</v>
      </c>
      <c r="E6613" s="195">
        <v>12.85</v>
      </c>
      <c r="F6613" s="709">
        <v>0.5769097222222223</v>
      </c>
      <c r="G6613" s="195" t="s">
        <v>453</v>
      </c>
      <c r="H6613" s="710">
        <v>15.5</v>
      </c>
      <c r="I6613" s="256"/>
      <c r="J6613" s="67">
        <f t="shared" si="401"/>
        <v>-44990.5</v>
      </c>
      <c r="L6613" s="70"/>
      <c r="M6613" s="934"/>
      <c r="N6613" s="94"/>
      <c r="O6613" s="94"/>
      <c r="P6613" s="94"/>
      <c r="Q6613" s="94"/>
      <c r="R6613" s="94"/>
      <c r="S6613" s="94"/>
      <c r="T6613" s="94"/>
      <c r="U6613" s="94"/>
      <c r="V6613" s="94"/>
      <c r="W6613" s="94"/>
      <c r="X6613" s="94"/>
      <c r="Y6613" s="94"/>
      <c r="Z6613" s="94"/>
      <c r="AA6613" s="94"/>
      <c r="AB6613" s="94"/>
      <c r="AC6613" s="94"/>
      <c r="AD6613" s="94"/>
      <c r="AE6613" s="94"/>
      <c r="AF6613" s="94"/>
      <c r="AG6613" s="94"/>
      <c r="AH6613" s="94"/>
    </row>
    <row r="6614" ht="12.75" hidden="1" customHeight="1" outlineLevel="1">
      <c r="A6614" s="122">
        <v>42144.0</v>
      </c>
      <c r="B6614" s="32" t="s">
        <v>343</v>
      </c>
      <c r="C6614" s="32" t="s">
        <v>369</v>
      </c>
      <c r="D6614" s="708">
        <v>8000.0</v>
      </c>
      <c r="E6614" s="195">
        <v>4.83</v>
      </c>
      <c r="F6614" s="709">
        <v>0.5816898148148149</v>
      </c>
      <c r="G6614" s="195" t="s">
        <v>453</v>
      </c>
      <c r="H6614" s="710">
        <v>38.0</v>
      </c>
      <c r="I6614" s="256"/>
      <c r="J6614" s="67">
        <f t="shared" si="401"/>
        <v>-38678</v>
      </c>
      <c r="L6614" s="70"/>
      <c r="M6614" s="934"/>
      <c r="N6614" s="94"/>
      <c r="O6614" s="94"/>
      <c r="P6614" s="94"/>
      <c r="Q6614" s="94"/>
      <c r="R6614" s="94"/>
      <c r="S6614" s="94"/>
      <c r="T6614" s="94"/>
      <c r="U6614" s="94"/>
      <c r="V6614" s="94"/>
      <c r="W6614" s="94"/>
      <c r="X6614" s="94"/>
      <c r="Y6614" s="94"/>
      <c r="Z6614" s="94"/>
      <c r="AA6614" s="94"/>
      <c r="AB6614" s="94"/>
      <c r="AC6614" s="94"/>
      <c r="AD6614" s="94"/>
      <c r="AE6614" s="94"/>
      <c r="AF6614" s="94"/>
      <c r="AG6614" s="94"/>
      <c r="AH6614" s="94"/>
    </row>
    <row r="6615" ht="12.75" hidden="1" customHeight="1" outlineLevel="1">
      <c r="A6615" s="122">
        <v>42144.0</v>
      </c>
      <c r="B6615" s="32" t="s">
        <v>343</v>
      </c>
      <c r="C6615" s="32" t="s">
        <v>369</v>
      </c>
      <c r="D6615" s="708">
        <v>8000.0</v>
      </c>
      <c r="E6615" s="195">
        <v>4.88</v>
      </c>
      <c r="F6615" s="709">
        <v>0.5826736111111112</v>
      </c>
      <c r="G6615" s="195" t="s">
        <v>453</v>
      </c>
      <c r="H6615" s="710">
        <v>38.0</v>
      </c>
      <c r="I6615" s="256"/>
      <c r="J6615" s="67">
        <f t="shared" si="401"/>
        <v>-39078</v>
      </c>
      <c r="L6615" s="70"/>
      <c r="M6615" s="934"/>
      <c r="N6615" s="94"/>
      <c r="O6615" s="94"/>
      <c r="P6615" s="94"/>
      <c r="Q6615" s="94"/>
      <c r="R6615" s="94"/>
      <c r="S6615" s="94"/>
      <c r="T6615" s="94"/>
      <c r="U6615" s="94"/>
      <c r="V6615" s="94"/>
      <c r="W6615" s="94"/>
      <c r="X6615" s="94"/>
      <c r="Y6615" s="94"/>
      <c r="Z6615" s="94"/>
      <c r="AA6615" s="94"/>
      <c r="AB6615" s="94"/>
      <c r="AC6615" s="94"/>
      <c r="AD6615" s="94"/>
      <c r="AE6615" s="94"/>
      <c r="AF6615" s="94"/>
      <c r="AG6615" s="94"/>
      <c r="AH6615" s="94"/>
    </row>
    <row r="6616" ht="12.75" hidden="1" customHeight="1" outlineLevel="1">
      <c r="A6616" s="122">
        <v>42144.0</v>
      </c>
      <c r="B6616" s="1"/>
      <c r="C6616" s="1" t="s">
        <v>339</v>
      </c>
      <c r="D6616" s="74"/>
      <c r="E6616" s="67"/>
      <c r="F6616" s="75"/>
      <c r="G6616" s="67"/>
      <c r="H6616" s="68"/>
      <c r="I6616" s="76"/>
      <c r="K6616" s="968" t="s">
        <v>2982</v>
      </c>
      <c r="L6616" s="934"/>
      <c r="M6616" s="934"/>
    </row>
    <row r="6617" ht="12.75" hidden="1" customHeight="1" outlineLevel="1">
      <c r="A6617" s="122">
        <v>42144.0</v>
      </c>
      <c r="B6617" s="1"/>
      <c r="C6617" s="1" t="s">
        <v>429</v>
      </c>
      <c r="D6617" s="74"/>
      <c r="E6617" s="67"/>
      <c r="F6617" s="75"/>
      <c r="G6617" s="67"/>
      <c r="H6617" s="68"/>
      <c r="I6617" s="76"/>
      <c r="J6617" s="67"/>
      <c r="K6617" s="9" t="s">
        <v>2839</v>
      </c>
      <c r="L6617" s="934"/>
      <c r="M6617" s="934"/>
    </row>
    <row r="6618" ht="12.75" hidden="1" customHeight="1" outlineLevel="1">
      <c r="A6618" s="122">
        <v>42144.0</v>
      </c>
      <c r="B6618" s="1"/>
      <c r="C6618" s="1" t="s">
        <v>431</v>
      </c>
      <c r="D6618" s="74"/>
      <c r="E6618" s="67"/>
      <c r="F6618" s="75"/>
      <c r="G6618" s="67"/>
      <c r="H6618" s="68"/>
      <c r="I6618" s="76"/>
      <c r="J6618" s="67"/>
      <c r="K6618" s="7" t="s">
        <v>1126</v>
      </c>
      <c r="L6618" s="934"/>
      <c r="M6618" s="934"/>
    </row>
    <row r="6619" ht="12.75" hidden="1" customHeight="1" outlineLevel="1">
      <c r="A6619" s="122">
        <v>42144.0</v>
      </c>
      <c r="B6619" s="1"/>
      <c r="C6619" s="1" t="s">
        <v>433</v>
      </c>
      <c r="D6619" s="74"/>
      <c r="E6619" s="67"/>
      <c r="F6619" s="75"/>
      <c r="G6619" s="67"/>
      <c r="H6619" s="68"/>
      <c r="I6619" s="76"/>
      <c r="J6619" s="67"/>
      <c r="K6619" s="7" t="s">
        <v>1103</v>
      </c>
      <c r="L6619" s="934"/>
      <c r="M6619" s="934"/>
    </row>
    <row r="6620" ht="12.75" hidden="1" customHeight="1" outlineLevel="1">
      <c r="A6620" s="122">
        <v>42144.0</v>
      </c>
      <c r="B6620" s="1"/>
      <c r="C6620" s="1" t="s">
        <v>435</v>
      </c>
      <c r="D6620" s="74"/>
      <c r="E6620" s="67"/>
      <c r="F6620" s="75"/>
      <c r="G6620" s="67"/>
      <c r="H6620" s="68"/>
      <c r="I6620" s="76"/>
      <c r="J6620" s="67"/>
      <c r="K6620" s="9" t="s">
        <v>2802</v>
      </c>
      <c r="L6620" s="934"/>
      <c r="M6620" s="934"/>
    </row>
    <row r="6621" ht="12.75" hidden="1" customHeight="1" outlineLevel="1">
      <c r="A6621" s="122">
        <v>42145.0</v>
      </c>
      <c r="B6621" s="32" t="s">
        <v>343</v>
      </c>
      <c r="C6621" s="32" t="s">
        <v>1061</v>
      </c>
      <c r="D6621" s="708">
        <v>200.0</v>
      </c>
      <c r="E6621" s="195">
        <v>48.168</v>
      </c>
      <c r="F6621" s="709">
        <v>0.4182986111111111</v>
      </c>
      <c r="G6621" s="195" t="s">
        <v>453</v>
      </c>
      <c r="H6621" s="710">
        <v>1.0</v>
      </c>
      <c r="I6621" s="256"/>
      <c r="J6621" s="67">
        <f t="shared" ref="J6621:J6654" si="402">IF(B6621="SLD",D6621*E6621,-D6621*E6621)-H6621</f>
        <v>-9634.6</v>
      </c>
      <c r="L6621" s="70"/>
      <c r="M6621" s="934"/>
      <c r="N6621" s="94"/>
      <c r="O6621" s="94"/>
      <c r="P6621" s="94"/>
      <c r="Q6621" s="94"/>
      <c r="R6621" s="94"/>
      <c r="S6621" s="94"/>
      <c r="T6621" s="94"/>
      <c r="U6621" s="94"/>
      <c r="V6621" s="94"/>
      <c r="W6621" s="94"/>
      <c r="X6621" s="94"/>
      <c r="Y6621" s="94"/>
      <c r="Z6621" s="94"/>
      <c r="AA6621" s="94"/>
      <c r="AB6621" s="94"/>
      <c r="AC6621" s="94"/>
      <c r="AD6621" s="94"/>
      <c r="AE6621" s="94"/>
      <c r="AF6621" s="94"/>
      <c r="AG6621" s="94"/>
      <c r="AH6621" s="94"/>
    </row>
    <row r="6622" ht="12.75" hidden="1" customHeight="1" outlineLevel="1">
      <c r="A6622" s="122">
        <v>42145.0</v>
      </c>
      <c r="B6622" s="32" t="s">
        <v>347</v>
      </c>
      <c r="C6622" s="32" t="s">
        <v>369</v>
      </c>
      <c r="D6622" s="708">
        <v>2500.0</v>
      </c>
      <c r="E6622" s="195">
        <v>4.9401</v>
      </c>
      <c r="F6622" s="709">
        <v>0.42681712962962964</v>
      </c>
      <c r="G6622" s="195" t="s">
        <v>453</v>
      </c>
      <c r="H6622" s="710">
        <v>10.23</v>
      </c>
      <c r="I6622" s="256"/>
      <c r="J6622" s="67">
        <f t="shared" si="402"/>
        <v>12340.02</v>
      </c>
      <c r="L6622" s="70"/>
      <c r="M6622" s="934"/>
      <c r="N6622" s="94"/>
      <c r="O6622" s="94"/>
      <c r="P6622" s="94"/>
      <c r="Q6622" s="94"/>
      <c r="R6622" s="94"/>
      <c r="S6622" s="94"/>
      <c r="T6622" s="94"/>
      <c r="U6622" s="94"/>
      <c r="V6622" s="94"/>
      <c r="W6622" s="94"/>
      <c r="X6622" s="94"/>
      <c r="Y6622" s="94"/>
      <c r="Z6622" s="94"/>
      <c r="AA6622" s="94"/>
      <c r="AB6622" s="94"/>
      <c r="AC6622" s="94"/>
      <c r="AD6622" s="94"/>
      <c r="AE6622" s="94"/>
      <c r="AF6622" s="94"/>
      <c r="AG6622" s="94"/>
      <c r="AH6622" s="94"/>
    </row>
    <row r="6623" ht="12.75" hidden="1" customHeight="1" outlineLevel="1">
      <c r="A6623" s="122">
        <v>42145.0</v>
      </c>
      <c r="B6623" s="32" t="s">
        <v>343</v>
      </c>
      <c r="C6623" s="32" t="s">
        <v>2177</v>
      </c>
      <c r="D6623" s="708">
        <v>100.0</v>
      </c>
      <c r="E6623" s="195">
        <v>232.87</v>
      </c>
      <c r="F6623" s="709">
        <v>0.44149305555555557</v>
      </c>
      <c r="G6623" s="195" t="s">
        <v>453</v>
      </c>
      <c r="H6623" s="710">
        <v>1.0</v>
      </c>
      <c r="I6623" s="256"/>
      <c r="J6623" s="67">
        <f t="shared" si="402"/>
        <v>-23288</v>
      </c>
      <c r="L6623" s="70"/>
      <c r="M6623" s="934"/>
      <c r="N6623" s="94"/>
      <c r="O6623" s="94"/>
      <c r="P6623" s="94"/>
      <c r="Q6623" s="94"/>
      <c r="R6623" s="94"/>
      <c r="S6623" s="94"/>
      <c r="T6623" s="94"/>
      <c r="U6623" s="94"/>
      <c r="V6623" s="94"/>
      <c r="W6623" s="94"/>
      <c r="X6623" s="94"/>
      <c r="Y6623" s="94"/>
      <c r="Z6623" s="94"/>
      <c r="AA6623" s="94"/>
      <c r="AB6623" s="94"/>
      <c r="AC6623" s="94"/>
      <c r="AD6623" s="94"/>
      <c r="AE6623" s="94"/>
      <c r="AF6623" s="94"/>
      <c r="AG6623" s="94"/>
      <c r="AH6623" s="94"/>
    </row>
    <row r="6624" ht="12.75" hidden="1" customHeight="1" outlineLevel="1">
      <c r="A6624" s="122">
        <v>42145.0</v>
      </c>
      <c r="B6624" s="32" t="s">
        <v>347</v>
      </c>
      <c r="C6624" s="32" t="s">
        <v>2342</v>
      </c>
      <c r="D6624" s="708">
        <v>100.0</v>
      </c>
      <c r="E6624" s="195">
        <v>69.873</v>
      </c>
      <c r="F6624" s="709">
        <v>0.663449074074074</v>
      </c>
      <c r="G6624" s="195" t="s">
        <v>453</v>
      </c>
      <c r="H6624" s="710">
        <v>1.13</v>
      </c>
      <c r="I6624" s="256"/>
      <c r="J6624" s="67">
        <f t="shared" si="402"/>
        <v>6986.17</v>
      </c>
      <c r="L6624" s="70"/>
      <c r="M6624" s="934"/>
      <c r="N6624" s="94"/>
      <c r="O6624" s="94"/>
      <c r="P6624" s="94"/>
      <c r="Q6624" s="94"/>
      <c r="R6624" s="94"/>
      <c r="S6624" s="94"/>
      <c r="T6624" s="94"/>
      <c r="U6624" s="94"/>
      <c r="V6624" s="94"/>
      <c r="W6624" s="94"/>
      <c r="X6624" s="94"/>
      <c r="Y6624" s="94"/>
      <c r="Z6624" s="94"/>
      <c r="AA6624" s="94"/>
      <c r="AB6624" s="94"/>
      <c r="AC6624" s="94"/>
      <c r="AD6624" s="94"/>
      <c r="AE6624" s="94"/>
      <c r="AF6624" s="94"/>
      <c r="AG6624" s="94"/>
      <c r="AH6624" s="94"/>
    </row>
    <row r="6625" ht="12.75" hidden="1" customHeight="1" outlineLevel="1">
      <c r="A6625" s="122">
        <v>42145.0</v>
      </c>
      <c r="B6625" s="32" t="s">
        <v>343</v>
      </c>
      <c r="C6625" s="32" t="s">
        <v>369</v>
      </c>
      <c r="D6625" s="708">
        <v>2500.0</v>
      </c>
      <c r="E6625" s="195">
        <v>5.04</v>
      </c>
      <c r="F6625" s="709">
        <v>0.6660300925925926</v>
      </c>
      <c r="G6625" s="195" t="s">
        <v>453</v>
      </c>
      <c r="H6625" s="710">
        <v>12.5</v>
      </c>
      <c r="I6625" s="256"/>
      <c r="J6625" s="67">
        <f t="shared" si="402"/>
        <v>-12612.5</v>
      </c>
      <c r="L6625" s="70"/>
      <c r="M6625" s="934"/>
      <c r="N6625" s="94"/>
      <c r="O6625" s="94"/>
      <c r="P6625" s="94"/>
      <c r="Q6625" s="94"/>
      <c r="R6625" s="94"/>
      <c r="S6625" s="94"/>
      <c r="T6625" s="94"/>
      <c r="U6625" s="94"/>
      <c r="V6625" s="94"/>
      <c r="W6625" s="94"/>
      <c r="X6625" s="94"/>
      <c r="Y6625" s="94"/>
      <c r="Z6625" s="94"/>
      <c r="AA6625" s="94"/>
      <c r="AB6625" s="94"/>
      <c r="AC6625" s="94"/>
      <c r="AD6625" s="94"/>
      <c r="AE6625" s="94"/>
      <c r="AF6625" s="94"/>
      <c r="AG6625" s="94"/>
      <c r="AH6625" s="94"/>
    </row>
    <row r="6626" ht="12.75" hidden="1" customHeight="1" outlineLevel="1">
      <c r="A6626" s="122">
        <v>42146.0</v>
      </c>
      <c r="B6626" s="32" t="s">
        <v>343</v>
      </c>
      <c r="C6626" s="32" t="s">
        <v>1400</v>
      </c>
      <c r="D6626" s="708">
        <v>100.0</v>
      </c>
      <c r="E6626" s="195">
        <v>80.787</v>
      </c>
      <c r="F6626" s="709">
        <v>0.39621527777777776</v>
      </c>
      <c r="G6626" s="195" t="s">
        <v>453</v>
      </c>
      <c r="H6626" s="710">
        <v>1.0</v>
      </c>
      <c r="I6626" s="256"/>
      <c r="J6626" s="67">
        <f t="shared" si="402"/>
        <v>-8079.7</v>
      </c>
      <c r="L6626" s="70"/>
      <c r="M6626" s="934"/>
      <c r="N6626" s="94"/>
      <c r="O6626" s="94"/>
      <c r="P6626" s="94"/>
      <c r="Q6626" s="94"/>
      <c r="R6626" s="94"/>
      <c r="S6626" s="94"/>
      <c r="T6626" s="94"/>
      <c r="U6626" s="94"/>
      <c r="V6626" s="94"/>
      <c r="W6626" s="94"/>
      <c r="X6626" s="94"/>
      <c r="Y6626" s="94"/>
      <c r="Z6626" s="94"/>
      <c r="AA6626" s="94"/>
      <c r="AB6626" s="94"/>
      <c r="AC6626" s="94"/>
      <c r="AD6626" s="94"/>
      <c r="AE6626" s="94"/>
      <c r="AF6626" s="94"/>
      <c r="AG6626" s="94"/>
      <c r="AH6626" s="94"/>
    </row>
    <row r="6627" ht="12.75" hidden="1" customHeight="1" outlineLevel="1">
      <c r="A6627" s="122">
        <v>42146.0</v>
      </c>
      <c r="B6627" s="32" t="s">
        <v>343</v>
      </c>
      <c r="C6627" s="32" t="s">
        <v>1060</v>
      </c>
      <c r="D6627" s="708">
        <v>200.0</v>
      </c>
      <c r="E6627" s="195">
        <v>45.87</v>
      </c>
      <c r="F6627" s="709">
        <v>0.39664351851851853</v>
      </c>
      <c r="G6627" s="195" t="s">
        <v>453</v>
      </c>
      <c r="H6627" s="710">
        <v>1.0</v>
      </c>
      <c r="I6627" s="256"/>
      <c r="J6627" s="67">
        <f t="shared" si="402"/>
        <v>-9175</v>
      </c>
      <c r="L6627" s="70"/>
      <c r="M6627" s="934"/>
      <c r="N6627" s="94"/>
      <c r="O6627" s="94"/>
      <c r="P6627" s="94"/>
      <c r="Q6627" s="94"/>
      <c r="R6627" s="94"/>
      <c r="S6627" s="94"/>
      <c r="T6627" s="94"/>
      <c r="U6627" s="94"/>
      <c r="V6627" s="94"/>
      <c r="W6627" s="94"/>
      <c r="X6627" s="94"/>
      <c r="Y6627" s="94"/>
      <c r="Z6627" s="94"/>
      <c r="AA6627" s="94"/>
      <c r="AB6627" s="94"/>
      <c r="AC6627" s="94"/>
      <c r="AD6627" s="94"/>
      <c r="AE6627" s="94"/>
      <c r="AF6627" s="94"/>
      <c r="AG6627" s="94"/>
      <c r="AH6627" s="94"/>
    </row>
    <row r="6628" ht="12.75" hidden="1" customHeight="1" outlineLevel="1">
      <c r="A6628" s="122">
        <v>42146.0</v>
      </c>
      <c r="B6628" s="32" t="s">
        <v>343</v>
      </c>
      <c r="C6628" s="32" t="s">
        <v>2342</v>
      </c>
      <c r="D6628" s="708">
        <v>100.0</v>
      </c>
      <c r="E6628" s="195">
        <v>70.13</v>
      </c>
      <c r="F6628" s="709">
        <v>0.4</v>
      </c>
      <c r="G6628" s="195" t="s">
        <v>453</v>
      </c>
      <c r="H6628" s="710">
        <v>1.0</v>
      </c>
      <c r="I6628" s="256"/>
      <c r="J6628" s="67">
        <f t="shared" si="402"/>
        <v>-7014</v>
      </c>
      <c r="L6628" s="70"/>
      <c r="M6628" s="934"/>
      <c r="N6628" s="94"/>
      <c r="O6628" s="94"/>
      <c r="P6628" s="94"/>
      <c r="Q6628" s="94"/>
      <c r="R6628" s="94"/>
      <c r="S6628" s="94"/>
      <c r="T6628" s="94"/>
      <c r="U6628" s="94"/>
      <c r="V6628" s="94"/>
      <c r="W6628" s="94"/>
      <c r="X6628" s="94"/>
      <c r="Y6628" s="94"/>
      <c r="Z6628" s="94"/>
      <c r="AA6628" s="94"/>
      <c r="AB6628" s="94"/>
      <c r="AC6628" s="94"/>
      <c r="AD6628" s="94"/>
      <c r="AE6628" s="94"/>
      <c r="AF6628" s="94"/>
      <c r="AG6628" s="94"/>
      <c r="AH6628" s="94"/>
    </row>
    <row r="6629" ht="12.75" hidden="1" customHeight="1" outlineLevel="1">
      <c r="A6629" s="122">
        <v>42146.0</v>
      </c>
      <c r="B6629" s="32" t="s">
        <v>343</v>
      </c>
      <c r="C6629" s="32" t="s">
        <v>2983</v>
      </c>
      <c r="D6629" s="708">
        <v>200.0</v>
      </c>
      <c r="E6629" s="195">
        <v>55.775</v>
      </c>
      <c r="F6629" s="709">
        <v>0.44425925925925924</v>
      </c>
      <c r="G6629" s="195" t="s">
        <v>453</v>
      </c>
      <c r="H6629" s="710">
        <v>1.0</v>
      </c>
      <c r="I6629" s="256"/>
      <c r="J6629" s="67">
        <f t="shared" si="402"/>
        <v>-11156</v>
      </c>
      <c r="L6629" s="70"/>
      <c r="M6629" s="934"/>
      <c r="N6629" s="94"/>
      <c r="O6629" s="94"/>
      <c r="P6629" s="94"/>
      <c r="Q6629" s="94"/>
      <c r="R6629" s="94"/>
      <c r="S6629" s="94"/>
      <c r="T6629" s="94"/>
      <c r="U6629" s="94"/>
      <c r="V6629" s="94"/>
      <c r="W6629" s="94"/>
      <c r="X6629" s="94"/>
      <c r="Y6629" s="94"/>
      <c r="Z6629" s="94"/>
      <c r="AA6629" s="94"/>
      <c r="AB6629" s="94"/>
      <c r="AC6629" s="94"/>
      <c r="AD6629" s="94"/>
      <c r="AE6629" s="94"/>
      <c r="AF6629" s="94"/>
      <c r="AG6629" s="94"/>
      <c r="AH6629" s="94"/>
    </row>
    <row r="6630" ht="12.75" hidden="1" customHeight="1" outlineLevel="1">
      <c r="A6630" s="122">
        <v>42150.0</v>
      </c>
      <c r="B6630" s="32" t="s">
        <v>343</v>
      </c>
      <c r="C6630" s="32" t="s">
        <v>346</v>
      </c>
      <c r="D6630" s="708">
        <v>200.0</v>
      </c>
      <c r="E6630" s="195">
        <v>132.76</v>
      </c>
      <c r="F6630" s="709">
        <v>0.3968287037037037</v>
      </c>
      <c r="G6630" s="195" t="s">
        <v>453</v>
      </c>
      <c r="H6630" s="710">
        <v>1.0</v>
      </c>
      <c r="I6630" s="256"/>
      <c r="J6630" s="67">
        <f t="shared" si="402"/>
        <v>-26553</v>
      </c>
      <c r="L6630" s="70"/>
      <c r="M6630" s="934"/>
      <c r="N6630" s="94"/>
      <c r="O6630" s="94"/>
      <c r="P6630" s="94"/>
      <c r="Q6630" s="94"/>
      <c r="R6630" s="94"/>
      <c r="S6630" s="94"/>
      <c r="T6630" s="94"/>
      <c r="U6630" s="94"/>
      <c r="V6630" s="94"/>
      <c r="W6630" s="94"/>
      <c r="X6630" s="94"/>
      <c r="Y6630" s="94"/>
      <c r="Z6630" s="94"/>
      <c r="AA6630" s="94"/>
      <c r="AB6630" s="94"/>
      <c r="AC6630" s="94"/>
      <c r="AD6630" s="94"/>
      <c r="AE6630" s="94"/>
      <c r="AF6630" s="94"/>
      <c r="AG6630" s="94"/>
      <c r="AH6630" s="94"/>
    </row>
    <row r="6631" ht="12.75" hidden="1" customHeight="1" outlineLevel="1">
      <c r="A6631" s="122">
        <v>42150.0</v>
      </c>
      <c r="B6631" s="32" t="s">
        <v>347</v>
      </c>
      <c r="C6631" s="32" t="s">
        <v>790</v>
      </c>
      <c r="D6631" s="708">
        <v>2000.0</v>
      </c>
      <c r="E6631" s="195">
        <v>8.68</v>
      </c>
      <c r="F6631" s="709">
        <v>0.44697916666666665</v>
      </c>
      <c r="G6631" s="195" t="s">
        <v>453</v>
      </c>
      <c r="H6631" s="710">
        <v>10.12</v>
      </c>
      <c r="I6631" s="256"/>
      <c r="J6631" s="67">
        <f t="shared" si="402"/>
        <v>17349.88</v>
      </c>
      <c r="L6631" s="70"/>
      <c r="M6631" s="934"/>
      <c r="N6631" s="94"/>
      <c r="O6631" s="94"/>
      <c r="P6631" s="94"/>
      <c r="Q6631" s="94"/>
      <c r="R6631" s="94"/>
      <c r="S6631" s="94"/>
      <c r="T6631" s="94"/>
      <c r="U6631" s="94"/>
      <c r="V6631" s="94"/>
      <c r="W6631" s="94"/>
      <c r="X6631" s="94"/>
      <c r="Y6631" s="94"/>
      <c r="Z6631" s="94"/>
      <c r="AA6631" s="94"/>
      <c r="AB6631" s="94"/>
      <c r="AC6631" s="94"/>
      <c r="AD6631" s="94"/>
      <c r="AE6631" s="94"/>
      <c r="AF6631" s="94"/>
      <c r="AG6631" s="94"/>
      <c r="AH6631" s="94"/>
    </row>
    <row r="6632" ht="12.75" hidden="1" customHeight="1" outlineLevel="1">
      <c r="A6632" s="122">
        <v>42150.0</v>
      </c>
      <c r="B6632" s="32" t="s">
        <v>347</v>
      </c>
      <c r="C6632" s="32" t="s">
        <v>790</v>
      </c>
      <c r="D6632" s="708">
        <v>2000.0</v>
      </c>
      <c r="E6632" s="195">
        <v>8.6</v>
      </c>
      <c r="F6632" s="709">
        <v>0.4825231481481482</v>
      </c>
      <c r="G6632" s="195" t="s">
        <v>453</v>
      </c>
      <c r="H6632" s="710">
        <v>9.82</v>
      </c>
      <c r="I6632" s="256"/>
      <c r="J6632" s="67">
        <f t="shared" si="402"/>
        <v>17190.18</v>
      </c>
      <c r="L6632" s="70"/>
      <c r="M6632" s="934"/>
      <c r="N6632" s="94"/>
      <c r="O6632" s="94"/>
      <c r="P6632" s="94"/>
      <c r="Q6632" s="94"/>
      <c r="R6632" s="94"/>
      <c r="S6632" s="94"/>
      <c r="T6632" s="94"/>
      <c r="U6632" s="94"/>
      <c r="V6632" s="94"/>
      <c r="W6632" s="94"/>
      <c r="X6632" s="94"/>
      <c r="Y6632" s="94"/>
      <c r="Z6632" s="94"/>
      <c r="AA6632" s="94"/>
      <c r="AB6632" s="94"/>
      <c r="AC6632" s="94"/>
      <c r="AD6632" s="94"/>
      <c r="AE6632" s="94"/>
      <c r="AF6632" s="94"/>
      <c r="AG6632" s="94"/>
      <c r="AH6632" s="94"/>
    </row>
    <row r="6633" ht="12.75" hidden="1" customHeight="1" outlineLevel="1">
      <c r="A6633" s="122">
        <v>42150.0</v>
      </c>
      <c r="B6633" s="32" t="s">
        <v>347</v>
      </c>
      <c r="C6633" s="32" t="s">
        <v>790</v>
      </c>
      <c r="D6633" s="708">
        <v>2000.0</v>
      </c>
      <c r="E6633" s="195">
        <v>8.601</v>
      </c>
      <c r="F6633" s="709">
        <v>0.4925347222222222</v>
      </c>
      <c r="G6633" s="195" t="s">
        <v>453</v>
      </c>
      <c r="H6633" s="710">
        <v>8.32</v>
      </c>
      <c r="I6633" s="256"/>
      <c r="J6633" s="67">
        <f t="shared" si="402"/>
        <v>17193.68</v>
      </c>
      <c r="L6633" s="70"/>
      <c r="M6633" s="934"/>
      <c r="N6633" s="94"/>
      <c r="O6633" s="94"/>
      <c r="P6633" s="94"/>
      <c r="Q6633" s="94"/>
      <c r="R6633" s="94"/>
      <c r="S6633" s="94"/>
      <c r="T6633" s="94"/>
      <c r="U6633" s="94"/>
      <c r="V6633" s="94"/>
      <c r="W6633" s="94"/>
      <c r="X6633" s="94"/>
      <c r="Y6633" s="94"/>
      <c r="Z6633" s="94"/>
      <c r="AA6633" s="94"/>
      <c r="AB6633" s="94"/>
      <c r="AC6633" s="94"/>
      <c r="AD6633" s="94"/>
      <c r="AE6633" s="94"/>
      <c r="AF6633" s="94"/>
      <c r="AG6633" s="94"/>
      <c r="AH6633" s="94"/>
    </row>
    <row r="6634" ht="12.75" hidden="1" customHeight="1" outlineLevel="1">
      <c r="A6634" s="122">
        <v>42150.0</v>
      </c>
      <c r="B6634" s="32" t="s">
        <v>347</v>
      </c>
      <c r="C6634" s="32" t="s">
        <v>870</v>
      </c>
      <c r="D6634" s="708">
        <v>600.0</v>
      </c>
      <c r="E6634" s="195">
        <v>99.927</v>
      </c>
      <c r="F6634" s="709">
        <v>0.6179745370370371</v>
      </c>
      <c r="G6634" s="195" t="s">
        <v>453</v>
      </c>
      <c r="H6634" s="710">
        <v>3.8</v>
      </c>
      <c r="I6634" s="256"/>
      <c r="J6634" s="67">
        <f t="shared" si="402"/>
        <v>59952.4</v>
      </c>
      <c r="L6634" s="70"/>
      <c r="M6634" s="934"/>
      <c r="N6634" s="94"/>
      <c r="O6634" s="94"/>
      <c r="P6634" s="94"/>
      <c r="Q6634" s="94"/>
      <c r="R6634" s="94"/>
      <c r="S6634" s="94"/>
      <c r="T6634" s="94"/>
      <c r="U6634" s="94"/>
      <c r="V6634" s="94"/>
      <c r="W6634" s="94"/>
      <c r="X6634" s="94"/>
      <c r="Y6634" s="94"/>
      <c r="Z6634" s="94"/>
      <c r="AA6634" s="94"/>
      <c r="AB6634" s="94"/>
      <c r="AC6634" s="94"/>
      <c r="AD6634" s="94"/>
      <c r="AE6634" s="94"/>
      <c r="AF6634" s="94"/>
      <c r="AG6634" s="94"/>
      <c r="AH6634" s="94"/>
    </row>
    <row r="6635" ht="12.75" hidden="1" customHeight="1" outlineLevel="1">
      <c r="A6635" s="122">
        <v>42150.0</v>
      </c>
      <c r="B6635" s="32" t="s">
        <v>347</v>
      </c>
      <c r="C6635" s="32" t="s">
        <v>605</v>
      </c>
      <c r="D6635" s="708">
        <v>800.0</v>
      </c>
      <c r="E6635" s="195">
        <v>78.882</v>
      </c>
      <c r="F6635" s="709">
        <v>0.6181481481481481</v>
      </c>
      <c r="G6635" s="195" t="s">
        <v>453</v>
      </c>
      <c r="H6635" s="710">
        <v>4.36</v>
      </c>
      <c r="I6635" s="256"/>
      <c r="J6635" s="67">
        <f t="shared" si="402"/>
        <v>63101.24</v>
      </c>
      <c r="L6635" s="70"/>
      <c r="M6635" s="934"/>
      <c r="N6635" s="94"/>
      <c r="O6635" s="94"/>
      <c r="P6635" s="94"/>
      <c r="Q6635" s="94"/>
      <c r="R6635" s="94"/>
      <c r="S6635" s="94"/>
      <c r="T6635" s="94"/>
      <c r="U6635" s="94"/>
      <c r="V6635" s="94"/>
      <c r="W6635" s="94"/>
      <c r="X6635" s="94"/>
      <c r="Y6635" s="94"/>
      <c r="Z6635" s="94"/>
      <c r="AA6635" s="94"/>
      <c r="AB6635" s="94"/>
      <c r="AC6635" s="94"/>
      <c r="AD6635" s="94"/>
      <c r="AE6635" s="94"/>
      <c r="AF6635" s="94"/>
      <c r="AG6635" s="94"/>
      <c r="AH6635" s="94"/>
    </row>
    <row r="6636" ht="12.75" hidden="1" customHeight="1" outlineLevel="1">
      <c r="A6636" s="122">
        <v>42150.0</v>
      </c>
      <c r="B6636" s="32" t="s">
        <v>347</v>
      </c>
      <c r="C6636" s="32" t="s">
        <v>2453</v>
      </c>
      <c r="D6636" s="708">
        <v>350.0</v>
      </c>
      <c r="E6636" s="195">
        <v>53.657</v>
      </c>
      <c r="F6636" s="709">
        <v>0.6196064814814815</v>
      </c>
      <c r="G6636" s="195" t="s">
        <v>453</v>
      </c>
      <c r="H6636" s="710">
        <v>1.75</v>
      </c>
      <c r="I6636" s="256"/>
      <c r="J6636" s="67">
        <f t="shared" si="402"/>
        <v>18778.2</v>
      </c>
      <c r="L6636" s="70"/>
      <c r="M6636" s="934"/>
      <c r="N6636" s="94"/>
      <c r="O6636" s="94"/>
      <c r="P6636" s="94"/>
      <c r="Q6636" s="94"/>
      <c r="R6636" s="94"/>
      <c r="S6636" s="94"/>
      <c r="T6636" s="94"/>
      <c r="U6636" s="94"/>
      <c r="V6636" s="94"/>
      <c r="W6636" s="94"/>
      <c r="X6636" s="94"/>
      <c r="Y6636" s="94"/>
      <c r="Z6636" s="94"/>
      <c r="AA6636" s="94"/>
      <c r="AB6636" s="94"/>
      <c r="AC6636" s="94"/>
      <c r="AD6636" s="94"/>
      <c r="AE6636" s="94"/>
      <c r="AF6636" s="94"/>
      <c r="AG6636" s="94"/>
      <c r="AH6636" s="94"/>
    </row>
    <row r="6637" ht="12.75" hidden="1" customHeight="1" outlineLevel="1">
      <c r="A6637" s="122">
        <v>42150.0</v>
      </c>
      <c r="B6637" s="32" t="s">
        <v>347</v>
      </c>
      <c r="C6637" s="32" t="s">
        <v>1221</v>
      </c>
      <c r="D6637" s="708">
        <v>600.0</v>
      </c>
      <c r="E6637" s="195">
        <v>38.9</v>
      </c>
      <c r="F6637" s="709">
        <v>0.6212037037037037</v>
      </c>
      <c r="G6637" s="195" t="s">
        <v>453</v>
      </c>
      <c r="H6637" s="710">
        <v>3.43</v>
      </c>
      <c r="I6637" s="256"/>
      <c r="J6637" s="67">
        <f t="shared" si="402"/>
        <v>23336.57</v>
      </c>
      <c r="L6637" s="70"/>
      <c r="M6637" s="934"/>
      <c r="N6637" s="94"/>
      <c r="O6637" s="94"/>
      <c r="P6637" s="94"/>
      <c r="Q6637" s="94"/>
      <c r="R6637" s="94"/>
      <c r="S6637" s="94"/>
      <c r="T6637" s="94"/>
      <c r="U6637" s="94"/>
      <c r="V6637" s="94"/>
      <c r="W6637" s="94"/>
      <c r="X6637" s="94"/>
      <c r="Y6637" s="94"/>
      <c r="Z6637" s="94"/>
      <c r="AA6637" s="94"/>
      <c r="AB6637" s="94"/>
      <c r="AC6637" s="94"/>
      <c r="AD6637" s="94"/>
      <c r="AE6637" s="94"/>
      <c r="AF6637" s="94"/>
      <c r="AG6637" s="94"/>
      <c r="AH6637" s="94"/>
    </row>
    <row r="6638" ht="12.75" hidden="1" customHeight="1" outlineLevel="1">
      <c r="A6638" s="122">
        <v>42150.0</v>
      </c>
      <c r="B6638" s="32" t="s">
        <v>347</v>
      </c>
      <c r="C6638" s="32" t="s">
        <v>1382</v>
      </c>
      <c r="D6638" s="708">
        <v>200.0</v>
      </c>
      <c r="E6638" s="195">
        <v>145.4375</v>
      </c>
      <c r="F6638" s="709">
        <v>0.6262962962962964</v>
      </c>
      <c r="G6638" s="195" t="s">
        <v>453</v>
      </c>
      <c r="H6638" s="710">
        <v>1.54</v>
      </c>
      <c r="I6638" s="256"/>
      <c r="J6638" s="67">
        <f t="shared" si="402"/>
        <v>29085.96</v>
      </c>
      <c r="L6638" s="70"/>
      <c r="M6638" s="934"/>
      <c r="N6638" s="94"/>
      <c r="O6638" s="94"/>
      <c r="P6638" s="94"/>
      <c r="Q6638" s="94"/>
      <c r="R6638" s="94"/>
      <c r="S6638" s="94"/>
      <c r="T6638" s="94"/>
      <c r="U6638" s="94"/>
      <c r="V6638" s="94"/>
      <c r="W6638" s="94"/>
      <c r="X6638" s="94"/>
      <c r="Y6638" s="94"/>
      <c r="Z6638" s="94"/>
      <c r="AA6638" s="94"/>
      <c r="AB6638" s="94"/>
      <c r="AC6638" s="94"/>
      <c r="AD6638" s="94"/>
      <c r="AE6638" s="94"/>
      <c r="AF6638" s="94"/>
      <c r="AG6638" s="94"/>
      <c r="AH6638" s="94"/>
    </row>
    <row r="6639" ht="12.75" hidden="1" customHeight="1" outlineLevel="1">
      <c r="A6639" s="122">
        <v>42150.0</v>
      </c>
      <c r="B6639" s="32" t="s">
        <v>347</v>
      </c>
      <c r="C6639" s="32" t="s">
        <v>346</v>
      </c>
      <c r="D6639" s="708">
        <v>200.0</v>
      </c>
      <c r="E6639" s="195">
        <v>129.201</v>
      </c>
      <c r="F6639" s="709">
        <v>0.6267708333333334</v>
      </c>
      <c r="G6639" s="195" t="s">
        <v>453</v>
      </c>
      <c r="H6639" s="710">
        <v>1.48</v>
      </c>
      <c r="I6639" s="256"/>
      <c r="J6639" s="67">
        <f t="shared" si="402"/>
        <v>25838.72</v>
      </c>
      <c r="L6639" s="70"/>
      <c r="M6639" s="934"/>
      <c r="N6639" s="94"/>
      <c r="O6639" s="94"/>
      <c r="P6639" s="94"/>
      <c r="Q6639" s="94"/>
      <c r="R6639" s="94"/>
      <c r="S6639" s="94"/>
      <c r="T6639" s="94"/>
      <c r="U6639" s="94"/>
      <c r="V6639" s="94"/>
      <c r="W6639" s="94"/>
      <c r="X6639" s="94"/>
      <c r="Y6639" s="94"/>
      <c r="Z6639" s="94"/>
      <c r="AA6639" s="94"/>
      <c r="AB6639" s="94"/>
      <c r="AC6639" s="94"/>
      <c r="AD6639" s="94"/>
      <c r="AE6639" s="94"/>
      <c r="AF6639" s="94"/>
      <c r="AG6639" s="94"/>
      <c r="AH6639" s="94"/>
    </row>
    <row r="6640" ht="12.75" hidden="1" customHeight="1" outlineLevel="1">
      <c r="A6640" s="122">
        <v>42150.0</v>
      </c>
      <c r="B6640" s="32" t="s">
        <v>347</v>
      </c>
      <c r="C6640" s="32" t="s">
        <v>1221</v>
      </c>
      <c r="D6640" s="708">
        <v>650.0</v>
      </c>
      <c r="E6640" s="195">
        <v>38.931</v>
      </c>
      <c r="F6640" s="709">
        <v>0.6272337962962963</v>
      </c>
      <c r="G6640" s="195" t="s">
        <v>453</v>
      </c>
      <c r="H6640" s="710">
        <v>3.42</v>
      </c>
      <c r="I6640" s="256"/>
      <c r="J6640" s="67">
        <f t="shared" si="402"/>
        <v>25301.73</v>
      </c>
      <c r="L6640" s="70"/>
      <c r="M6640" s="934"/>
      <c r="N6640" s="94"/>
      <c r="O6640" s="94"/>
      <c r="P6640" s="94"/>
      <c r="Q6640" s="94"/>
      <c r="R6640" s="94"/>
      <c r="S6640" s="94"/>
      <c r="T6640" s="94"/>
      <c r="U6640" s="94"/>
      <c r="V6640" s="94"/>
      <c r="W6640" s="94"/>
      <c r="X6640" s="94"/>
      <c r="Y6640" s="94"/>
      <c r="Z6640" s="94"/>
      <c r="AA6640" s="94"/>
      <c r="AB6640" s="94"/>
      <c r="AC6640" s="94"/>
      <c r="AD6640" s="94"/>
      <c r="AE6640" s="94"/>
      <c r="AF6640" s="94"/>
      <c r="AG6640" s="94"/>
      <c r="AH6640" s="94"/>
    </row>
    <row r="6641" ht="12.75" hidden="1" customHeight="1" outlineLevel="1">
      <c r="A6641" s="122">
        <v>42150.0</v>
      </c>
      <c r="B6641" s="32" t="s">
        <v>347</v>
      </c>
      <c r="C6641" s="32" t="s">
        <v>2157</v>
      </c>
      <c r="D6641" s="708">
        <v>150.0</v>
      </c>
      <c r="E6641" s="195">
        <v>92.4</v>
      </c>
      <c r="F6641" s="709">
        <v>0.6273842592592592</v>
      </c>
      <c r="G6641" s="195" t="s">
        <v>453</v>
      </c>
      <c r="H6641" s="710">
        <v>1.26</v>
      </c>
      <c r="I6641" s="256"/>
      <c r="J6641" s="67">
        <f t="shared" si="402"/>
        <v>13858.74</v>
      </c>
      <c r="L6641" s="70"/>
      <c r="M6641" s="934"/>
      <c r="N6641" s="94"/>
      <c r="O6641" s="94"/>
      <c r="P6641" s="94"/>
      <c r="Q6641" s="94"/>
      <c r="R6641" s="94"/>
      <c r="S6641" s="94"/>
      <c r="T6641" s="94"/>
      <c r="U6641" s="94"/>
      <c r="V6641" s="94"/>
      <c r="W6641" s="94"/>
      <c r="X6641" s="94"/>
      <c r="Y6641" s="94"/>
      <c r="Z6641" s="94"/>
      <c r="AA6641" s="94"/>
      <c r="AB6641" s="94"/>
      <c r="AC6641" s="94"/>
      <c r="AD6641" s="94"/>
      <c r="AE6641" s="94"/>
      <c r="AF6641" s="94"/>
      <c r="AG6641" s="94"/>
      <c r="AH6641" s="94"/>
    </row>
    <row r="6642" ht="12.75" hidden="1" customHeight="1" outlineLevel="1">
      <c r="A6642" s="122">
        <v>42150.0</v>
      </c>
      <c r="B6642" s="32" t="s">
        <v>347</v>
      </c>
      <c r="C6642" s="32" t="s">
        <v>2983</v>
      </c>
      <c r="D6642" s="708">
        <v>200.0</v>
      </c>
      <c r="E6642" s="195">
        <v>54.03</v>
      </c>
      <c r="F6642" s="709">
        <v>0.6274884259259259</v>
      </c>
      <c r="G6642" s="195" t="s">
        <v>453</v>
      </c>
      <c r="H6642" s="710">
        <v>1.2</v>
      </c>
      <c r="I6642" s="256"/>
      <c r="J6642" s="67">
        <f t="shared" si="402"/>
        <v>10804.8</v>
      </c>
      <c r="L6642" s="70"/>
      <c r="M6642" s="934"/>
      <c r="N6642" s="94"/>
      <c r="O6642" s="94"/>
      <c r="P6642" s="94"/>
      <c r="Q6642" s="94"/>
      <c r="R6642" s="94"/>
      <c r="S6642" s="94"/>
      <c r="T6642" s="94"/>
      <c r="U6642" s="94"/>
      <c r="V6642" s="94"/>
      <c r="W6642" s="94"/>
      <c r="X6642" s="94"/>
      <c r="Y6642" s="94"/>
      <c r="Z6642" s="94"/>
      <c r="AA6642" s="94"/>
      <c r="AB6642" s="94"/>
      <c r="AC6642" s="94"/>
      <c r="AD6642" s="94"/>
      <c r="AE6642" s="94"/>
      <c r="AF6642" s="94"/>
      <c r="AG6642" s="94"/>
      <c r="AH6642" s="94"/>
    </row>
    <row r="6643" ht="12.75" hidden="1" customHeight="1" outlineLevel="1">
      <c r="A6643" s="122">
        <v>42150.0</v>
      </c>
      <c r="B6643" s="32" t="s">
        <v>347</v>
      </c>
      <c r="C6643" s="32" t="s">
        <v>2963</v>
      </c>
      <c r="D6643" s="708">
        <v>400.0</v>
      </c>
      <c r="E6643" s="195">
        <v>50.384</v>
      </c>
      <c r="F6643" s="709">
        <v>0.6275694444444444</v>
      </c>
      <c r="G6643" s="195" t="s">
        <v>453</v>
      </c>
      <c r="H6643" s="710">
        <v>2.37</v>
      </c>
      <c r="I6643" s="256"/>
      <c r="J6643" s="67">
        <f t="shared" si="402"/>
        <v>20151.23</v>
      </c>
      <c r="L6643" s="70"/>
      <c r="M6643" s="934"/>
      <c r="N6643" s="94"/>
      <c r="O6643" s="94"/>
      <c r="P6643" s="94"/>
      <c r="Q6643" s="94"/>
      <c r="R6643" s="94"/>
      <c r="S6643" s="94"/>
      <c r="T6643" s="94"/>
      <c r="U6643" s="94"/>
      <c r="V6643" s="94"/>
      <c r="W6643" s="94"/>
      <c r="X6643" s="94"/>
      <c r="Y6643" s="94"/>
      <c r="Z6643" s="94"/>
      <c r="AA6643" s="94"/>
      <c r="AB6643" s="94"/>
      <c r="AC6643" s="94"/>
      <c r="AD6643" s="94"/>
      <c r="AE6643" s="94"/>
      <c r="AF6643" s="94"/>
      <c r="AG6643" s="94"/>
      <c r="AH6643" s="94"/>
    </row>
    <row r="6644" ht="12.75" hidden="1" customHeight="1" outlineLevel="1">
      <c r="A6644" s="122">
        <v>42150.0</v>
      </c>
      <c r="B6644" s="32" t="s">
        <v>347</v>
      </c>
      <c r="C6644" s="32" t="s">
        <v>1074</v>
      </c>
      <c r="D6644" s="708">
        <v>85.0</v>
      </c>
      <c r="E6644" s="195">
        <v>110.82</v>
      </c>
      <c r="F6644" s="709">
        <v>0.627662037037037</v>
      </c>
      <c r="G6644" s="195" t="s">
        <v>453</v>
      </c>
      <c r="H6644" s="710">
        <v>1.17</v>
      </c>
      <c r="I6644" s="256"/>
      <c r="J6644" s="67">
        <f t="shared" si="402"/>
        <v>9418.53</v>
      </c>
      <c r="L6644" s="70"/>
      <c r="M6644" s="934"/>
      <c r="N6644" s="94"/>
      <c r="O6644" s="94"/>
      <c r="P6644" s="94"/>
      <c r="Q6644" s="94"/>
      <c r="R6644" s="94"/>
      <c r="S6644" s="94"/>
      <c r="T6644" s="94"/>
      <c r="U6644" s="94"/>
      <c r="V6644" s="94"/>
      <c r="W6644" s="94"/>
      <c r="X6644" s="94"/>
      <c r="Y6644" s="94"/>
      <c r="Z6644" s="94"/>
      <c r="AA6644" s="94"/>
      <c r="AB6644" s="94"/>
      <c r="AC6644" s="94"/>
      <c r="AD6644" s="94"/>
      <c r="AE6644" s="94"/>
      <c r="AF6644" s="94"/>
      <c r="AG6644" s="94"/>
      <c r="AH6644" s="94"/>
    </row>
    <row r="6645" ht="12.75" hidden="1" customHeight="1" outlineLevel="1">
      <c r="A6645" s="122">
        <v>42150.0</v>
      </c>
      <c r="B6645" s="32" t="s">
        <v>347</v>
      </c>
      <c r="C6645" s="32" t="s">
        <v>2144</v>
      </c>
      <c r="D6645" s="708">
        <v>300.0</v>
      </c>
      <c r="E6645" s="195">
        <v>84.5102</v>
      </c>
      <c r="F6645" s="709">
        <v>0.6277546296296296</v>
      </c>
      <c r="G6645" s="195" t="s">
        <v>453</v>
      </c>
      <c r="H6645" s="710">
        <v>1.67</v>
      </c>
      <c r="I6645" s="256"/>
      <c r="J6645" s="67">
        <f t="shared" si="402"/>
        <v>25351.39</v>
      </c>
      <c r="L6645" s="70"/>
      <c r="M6645" s="934"/>
      <c r="N6645" s="94"/>
      <c r="O6645" s="94"/>
      <c r="P6645" s="94"/>
      <c r="Q6645" s="94"/>
      <c r="R6645" s="94"/>
      <c r="S6645" s="94"/>
      <c r="T6645" s="94"/>
      <c r="U6645" s="94"/>
      <c r="V6645" s="94"/>
      <c r="W6645" s="94"/>
      <c r="X6645" s="94"/>
      <c r="Y6645" s="94"/>
      <c r="Z6645" s="94"/>
      <c r="AA6645" s="94"/>
      <c r="AB6645" s="94"/>
      <c r="AC6645" s="94"/>
      <c r="AD6645" s="94"/>
      <c r="AE6645" s="94"/>
      <c r="AF6645" s="94"/>
      <c r="AG6645" s="94"/>
      <c r="AH6645" s="94"/>
    </row>
    <row r="6646" ht="12.75" hidden="1" customHeight="1" outlineLevel="1">
      <c r="A6646" s="122">
        <v>42150.0</v>
      </c>
      <c r="B6646" s="32" t="s">
        <v>347</v>
      </c>
      <c r="C6646" s="32" t="s">
        <v>2853</v>
      </c>
      <c r="D6646" s="708">
        <v>350.0</v>
      </c>
      <c r="E6646" s="195">
        <v>26.991</v>
      </c>
      <c r="F6646" s="709">
        <v>0.6278472222222222</v>
      </c>
      <c r="G6646" s="195" t="s">
        <v>453</v>
      </c>
      <c r="H6646" s="710">
        <v>1.92</v>
      </c>
      <c r="I6646" s="256"/>
      <c r="J6646" s="67">
        <f t="shared" si="402"/>
        <v>9444.93</v>
      </c>
      <c r="L6646" s="70"/>
      <c r="M6646" s="934"/>
      <c r="N6646" s="94"/>
      <c r="O6646" s="94"/>
      <c r="P6646" s="94"/>
      <c r="Q6646" s="94"/>
      <c r="R6646" s="94"/>
      <c r="S6646" s="94"/>
      <c r="T6646" s="94"/>
      <c r="U6646" s="94"/>
      <c r="V6646" s="94"/>
      <c r="W6646" s="94"/>
      <c r="X6646" s="94"/>
      <c r="Y6646" s="94"/>
      <c r="Z6646" s="94"/>
      <c r="AA6646" s="94"/>
      <c r="AB6646" s="94"/>
      <c r="AC6646" s="94"/>
      <c r="AD6646" s="94"/>
      <c r="AE6646" s="94"/>
      <c r="AF6646" s="94"/>
      <c r="AG6646" s="94"/>
      <c r="AH6646" s="94"/>
    </row>
    <row r="6647" ht="12.75" hidden="1" customHeight="1" outlineLevel="1">
      <c r="A6647" s="122">
        <v>42150.0</v>
      </c>
      <c r="B6647" s="32" t="s">
        <v>347</v>
      </c>
      <c r="C6647" s="32" t="s">
        <v>2495</v>
      </c>
      <c r="D6647" s="708">
        <v>500.0</v>
      </c>
      <c r="E6647" s="195">
        <v>27.46</v>
      </c>
      <c r="F6647" s="709">
        <v>0.627974537037037</v>
      </c>
      <c r="G6647" s="195" t="s">
        <v>453</v>
      </c>
      <c r="H6647" s="710">
        <v>2.75</v>
      </c>
      <c r="I6647" s="256"/>
      <c r="J6647" s="67">
        <f t="shared" si="402"/>
        <v>13727.25</v>
      </c>
      <c r="L6647" s="70"/>
      <c r="M6647" s="934"/>
      <c r="N6647" s="94"/>
      <c r="O6647" s="94"/>
      <c r="P6647" s="94"/>
      <c r="Q6647" s="94"/>
      <c r="R6647" s="94"/>
      <c r="S6647" s="94"/>
      <c r="T6647" s="94"/>
      <c r="U6647" s="94"/>
      <c r="V6647" s="94"/>
      <c r="W6647" s="94"/>
      <c r="X6647" s="94"/>
      <c r="Y6647" s="94"/>
      <c r="Z6647" s="94"/>
      <c r="AA6647" s="94"/>
      <c r="AB6647" s="94"/>
      <c r="AC6647" s="94"/>
      <c r="AD6647" s="94"/>
      <c r="AE6647" s="94"/>
      <c r="AF6647" s="94"/>
      <c r="AG6647" s="94"/>
      <c r="AH6647" s="94"/>
    </row>
    <row r="6648" ht="12.75" hidden="1" customHeight="1" outlineLevel="1">
      <c r="A6648" s="122">
        <v>42150.0</v>
      </c>
      <c r="B6648" s="32" t="s">
        <v>347</v>
      </c>
      <c r="C6648" s="32" t="s">
        <v>2966</v>
      </c>
      <c r="D6648" s="708">
        <v>150.0</v>
      </c>
      <c r="E6648" s="195">
        <v>84.941</v>
      </c>
      <c r="F6648" s="709">
        <v>0.6325462962962963</v>
      </c>
      <c r="G6648" s="195" t="s">
        <v>453</v>
      </c>
      <c r="H6648" s="710">
        <v>1.23</v>
      </c>
      <c r="I6648" s="256"/>
      <c r="J6648" s="67">
        <f t="shared" si="402"/>
        <v>12739.92</v>
      </c>
      <c r="L6648" s="70"/>
      <c r="M6648" s="934"/>
      <c r="N6648" s="94"/>
      <c r="O6648" s="94"/>
      <c r="P6648" s="94"/>
      <c r="Q6648" s="94"/>
      <c r="R6648" s="94"/>
      <c r="S6648" s="94"/>
      <c r="T6648" s="94"/>
      <c r="U6648" s="94"/>
      <c r="V6648" s="94"/>
      <c r="W6648" s="94"/>
      <c r="X6648" s="94"/>
      <c r="Y6648" s="94"/>
      <c r="Z6648" s="94"/>
      <c r="AA6648" s="94"/>
      <c r="AB6648" s="94"/>
      <c r="AC6648" s="94"/>
      <c r="AD6648" s="94"/>
      <c r="AE6648" s="94"/>
      <c r="AF6648" s="94"/>
      <c r="AG6648" s="94"/>
      <c r="AH6648" s="94"/>
    </row>
    <row r="6649" ht="12.75" hidden="1" customHeight="1" outlineLevel="1">
      <c r="A6649" s="122">
        <v>42150.0</v>
      </c>
      <c r="B6649" s="32" t="s">
        <v>347</v>
      </c>
      <c r="C6649" s="32" t="s">
        <v>2861</v>
      </c>
      <c r="D6649" s="708">
        <v>50.0</v>
      </c>
      <c r="E6649" s="195">
        <v>193.68</v>
      </c>
      <c r="F6649" s="709">
        <v>0.6326736111111111</v>
      </c>
      <c r="G6649" s="195" t="s">
        <v>453</v>
      </c>
      <c r="H6649" s="710">
        <v>1.18</v>
      </c>
      <c r="I6649" s="256"/>
      <c r="J6649" s="67">
        <f t="shared" si="402"/>
        <v>9682.82</v>
      </c>
      <c r="L6649" s="70"/>
      <c r="M6649" s="934"/>
      <c r="N6649" s="94"/>
      <c r="O6649" s="94"/>
      <c r="P6649" s="94"/>
      <c r="Q6649" s="94"/>
      <c r="R6649" s="94"/>
      <c r="S6649" s="94"/>
      <c r="T6649" s="94"/>
      <c r="U6649" s="94"/>
      <c r="V6649" s="94"/>
      <c r="W6649" s="94"/>
      <c r="X6649" s="94"/>
      <c r="Y6649" s="94"/>
      <c r="Z6649" s="94"/>
      <c r="AA6649" s="94"/>
      <c r="AB6649" s="94"/>
      <c r="AC6649" s="94"/>
      <c r="AD6649" s="94"/>
      <c r="AE6649" s="94"/>
      <c r="AF6649" s="94"/>
      <c r="AG6649" s="94"/>
      <c r="AH6649" s="94"/>
    </row>
    <row r="6650" ht="12.75" hidden="1" customHeight="1" outlineLevel="1">
      <c r="A6650" s="122">
        <v>42150.0</v>
      </c>
      <c r="B6650" s="32" t="s">
        <v>347</v>
      </c>
      <c r="C6650" s="32" t="s">
        <v>2342</v>
      </c>
      <c r="D6650" s="708">
        <v>100.0</v>
      </c>
      <c r="E6650" s="195">
        <v>70.3</v>
      </c>
      <c r="F6650" s="709">
        <v>0.6366087962962963</v>
      </c>
      <c r="G6650" s="195" t="s">
        <v>453</v>
      </c>
      <c r="H6650" s="710">
        <v>1.13</v>
      </c>
      <c r="I6650" s="256"/>
      <c r="J6650" s="67">
        <f t="shared" si="402"/>
        <v>7028.87</v>
      </c>
      <c r="L6650" s="70"/>
      <c r="M6650" s="934"/>
      <c r="N6650" s="94"/>
      <c r="O6650" s="94"/>
      <c r="P6650" s="94"/>
      <c r="Q6650" s="94"/>
      <c r="R6650" s="94"/>
      <c r="S6650" s="94"/>
      <c r="T6650" s="94"/>
      <c r="U6650" s="94"/>
      <c r="V6650" s="94"/>
      <c r="W6650" s="94"/>
      <c r="X6650" s="94"/>
      <c r="Y6650" s="94"/>
      <c r="Z6650" s="94"/>
      <c r="AA6650" s="94"/>
      <c r="AB6650" s="94"/>
      <c r="AC6650" s="94"/>
      <c r="AD6650" s="94"/>
      <c r="AE6650" s="94"/>
      <c r="AF6650" s="94"/>
      <c r="AG6650" s="94"/>
      <c r="AH6650" s="94"/>
    </row>
    <row r="6651" ht="12.75" hidden="1" customHeight="1" outlineLevel="1">
      <c r="A6651" s="122">
        <v>42150.0</v>
      </c>
      <c r="B6651" s="32" t="s">
        <v>347</v>
      </c>
      <c r="C6651" s="32" t="s">
        <v>1357</v>
      </c>
      <c r="D6651" s="708">
        <v>300.0</v>
      </c>
      <c r="E6651" s="195">
        <v>42.511</v>
      </c>
      <c r="F6651" s="709">
        <v>0.6376967592592593</v>
      </c>
      <c r="G6651" s="195" t="s">
        <v>453</v>
      </c>
      <c r="H6651" s="710">
        <v>1.43</v>
      </c>
      <c r="I6651" s="256"/>
      <c r="J6651" s="67">
        <f t="shared" si="402"/>
        <v>12751.87</v>
      </c>
      <c r="L6651" s="70"/>
      <c r="M6651" s="934"/>
      <c r="N6651" s="94"/>
      <c r="O6651" s="94"/>
      <c r="P6651" s="94"/>
      <c r="Q6651" s="94"/>
      <c r="R6651" s="94"/>
      <c r="S6651" s="94"/>
      <c r="T6651" s="94"/>
      <c r="U6651" s="94"/>
      <c r="V6651" s="94"/>
      <c r="W6651" s="94"/>
      <c r="X6651" s="94"/>
      <c r="Y6651" s="94"/>
      <c r="Z6651" s="94"/>
      <c r="AA6651" s="94"/>
      <c r="AB6651" s="94"/>
      <c r="AC6651" s="94"/>
      <c r="AD6651" s="94"/>
      <c r="AE6651" s="94"/>
      <c r="AF6651" s="94"/>
      <c r="AG6651" s="94"/>
      <c r="AH6651" s="94"/>
    </row>
    <row r="6652" ht="12.75" hidden="1" customHeight="1" outlineLevel="1">
      <c r="A6652" s="122">
        <v>42150.0</v>
      </c>
      <c r="B6652" s="32" t="s">
        <v>347</v>
      </c>
      <c r="C6652" s="32" t="s">
        <v>1400</v>
      </c>
      <c r="D6652" s="708">
        <v>350.0</v>
      </c>
      <c r="E6652" s="195">
        <v>80.206</v>
      </c>
      <c r="F6652" s="709">
        <v>0.637800925925926</v>
      </c>
      <c r="G6652" s="195" t="s">
        <v>453</v>
      </c>
      <c r="H6652" s="710">
        <v>2.27</v>
      </c>
      <c r="I6652" s="256"/>
      <c r="J6652" s="67">
        <f t="shared" si="402"/>
        <v>28069.83</v>
      </c>
      <c r="L6652" s="70"/>
      <c r="M6652" s="934"/>
      <c r="N6652" s="94"/>
      <c r="O6652" s="94"/>
      <c r="P6652" s="94"/>
      <c r="Q6652" s="94"/>
      <c r="R6652" s="94"/>
      <c r="S6652" s="94"/>
      <c r="T6652" s="94"/>
      <c r="U6652" s="94"/>
      <c r="V6652" s="94"/>
      <c r="W6652" s="94"/>
      <c r="X6652" s="94"/>
      <c r="Y6652" s="94"/>
      <c r="Z6652" s="94"/>
      <c r="AA6652" s="94"/>
      <c r="AB6652" s="94"/>
      <c r="AC6652" s="94"/>
      <c r="AD6652" s="94"/>
      <c r="AE6652" s="94"/>
      <c r="AF6652" s="94"/>
      <c r="AG6652" s="94"/>
      <c r="AH6652" s="94"/>
    </row>
    <row r="6653" ht="12.75" hidden="1" customHeight="1" outlineLevel="1">
      <c r="A6653" s="122">
        <v>42150.0</v>
      </c>
      <c r="B6653" s="32" t="s">
        <v>347</v>
      </c>
      <c r="C6653" s="32" t="s">
        <v>2434</v>
      </c>
      <c r="D6653" s="708">
        <v>100.0</v>
      </c>
      <c r="E6653" s="195">
        <v>217.91</v>
      </c>
      <c r="F6653" s="709">
        <v>0.6388078703703703</v>
      </c>
      <c r="G6653" s="195" t="s">
        <v>453</v>
      </c>
      <c r="H6653" s="710">
        <v>1.4</v>
      </c>
      <c r="I6653" s="256"/>
      <c r="J6653" s="67">
        <f t="shared" si="402"/>
        <v>21789.6</v>
      </c>
      <c r="L6653" s="70"/>
      <c r="M6653" s="934"/>
      <c r="N6653" s="94"/>
      <c r="O6653" s="94"/>
      <c r="P6653" s="94"/>
      <c r="Q6653" s="94"/>
      <c r="R6653" s="94"/>
      <c r="S6653" s="94"/>
      <c r="T6653" s="94"/>
      <c r="U6653" s="94"/>
      <c r="V6653" s="94"/>
      <c r="W6653" s="94"/>
      <c r="X6653" s="94"/>
      <c r="Y6653" s="94"/>
      <c r="Z6653" s="94"/>
      <c r="AA6653" s="94"/>
      <c r="AB6653" s="94"/>
      <c r="AC6653" s="94"/>
      <c r="AD6653" s="94"/>
      <c r="AE6653" s="94"/>
      <c r="AF6653" s="94"/>
      <c r="AG6653" s="94"/>
      <c r="AH6653" s="94"/>
    </row>
    <row r="6654" ht="12.75" hidden="1" customHeight="1" outlineLevel="1">
      <c r="A6654" s="122">
        <v>42150.0</v>
      </c>
      <c r="B6654" s="32" t="s">
        <v>347</v>
      </c>
      <c r="C6654" s="32" t="s">
        <v>1152</v>
      </c>
      <c r="D6654" s="708">
        <v>250.0</v>
      </c>
      <c r="E6654" s="195">
        <v>79.523</v>
      </c>
      <c r="F6654" s="709">
        <v>0.6392245370370371</v>
      </c>
      <c r="G6654" s="195" t="s">
        <v>453</v>
      </c>
      <c r="H6654" s="710">
        <v>1.37</v>
      </c>
      <c r="I6654" s="256"/>
      <c r="J6654" s="67">
        <f t="shared" si="402"/>
        <v>19879.38</v>
      </c>
      <c r="L6654" s="70"/>
      <c r="M6654" s="934"/>
      <c r="N6654" s="94"/>
      <c r="O6654" s="94"/>
      <c r="P6654" s="94"/>
      <c r="Q6654" s="94"/>
      <c r="R6654" s="94"/>
      <c r="S6654" s="94"/>
      <c r="T6654" s="94"/>
      <c r="U6654" s="94"/>
      <c r="V6654" s="94"/>
      <c r="W6654" s="94"/>
      <c r="X6654" s="94"/>
      <c r="Y6654" s="94"/>
      <c r="Z6654" s="94"/>
      <c r="AA6654" s="94"/>
      <c r="AB6654" s="94"/>
      <c r="AC6654" s="94"/>
      <c r="AD6654" s="94"/>
      <c r="AE6654" s="94"/>
      <c r="AF6654" s="94"/>
      <c r="AG6654" s="94"/>
      <c r="AH6654" s="94"/>
    </row>
    <row r="6655" ht="12.75" hidden="1" customHeight="1" outlineLevel="1">
      <c r="A6655" s="122">
        <v>42150.0</v>
      </c>
      <c r="B6655" s="1"/>
      <c r="C6655" s="1" t="s">
        <v>339</v>
      </c>
      <c r="D6655" s="74"/>
      <c r="E6655" s="67"/>
      <c r="F6655" s="75"/>
      <c r="G6655" s="67"/>
      <c r="H6655" s="68"/>
      <c r="I6655" s="76"/>
      <c r="K6655" s="968" t="s">
        <v>2989</v>
      </c>
      <c r="L6655" s="934"/>
      <c r="M6655" s="934"/>
    </row>
    <row r="6656" ht="12.75" hidden="1" customHeight="1" outlineLevel="1">
      <c r="A6656" s="122">
        <v>42150.0</v>
      </c>
      <c r="B6656" s="1"/>
      <c r="C6656" s="1" t="s">
        <v>429</v>
      </c>
      <c r="D6656" s="74"/>
      <c r="E6656" s="67"/>
      <c r="F6656" s="75"/>
      <c r="G6656" s="67"/>
      <c r="H6656" s="68"/>
      <c r="I6656" s="76"/>
      <c r="J6656" s="67"/>
      <c r="K6656" s="9" t="s">
        <v>2839</v>
      </c>
      <c r="L6656" s="934"/>
      <c r="M6656" s="934"/>
    </row>
    <row r="6657" ht="12.75" hidden="1" customHeight="1" outlineLevel="1">
      <c r="A6657" s="122">
        <v>42150.0</v>
      </c>
      <c r="B6657" s="1"/>
      <c r="C6657" s="1" t="s">
        <v>431</v>
      </c>
      <c r="D6657" s="74"/>
      <c r="E6657" s="67"/>
      <c r="F6657" s="75"/>
      <c r="G6657" s="67"/>
      <c r="H6657" s="68"/>
      <c r="I6657" s="76"/>
      <c r="J6657" s="67"/>
      <c r="K6657" s="7" t="s">
        <v>1126</v>
      </c>
      <c r="L6657" s="934"/>
      <c r="M6657" s="934"/>
    </row>
    <row r="6658" ht="12.75" hidden="1" customHeight="1" outlineLevel="1">
      <c r="A6658" s="122">
        <v>42150.0</v>
      </c>
      <c r="B6658" s="1"/>
      <c r="C6658" s="1" t="s">
        <v>433</v>
      </c>
      <c r="D6658" s="74"/>
      <c r="E6658" s="67"/>
      <c r="F6658" s="75"/>
      <c r="G6658" s="67"/>
      <c r="H6658" s="68"/>
      <c r="I6658" s="76"/>
      <c r="J6658" s="67"/>
      <c r="K6658" s="7" t="s">
        <v>1103</v>
      </c>
      <c r="L6658" s="934"/>
      <c r="M6658" s="934"/>
    </row>
    <row r="6659" ht="12.75" hidden="1" customHeight="1" outlineLevel="1">
      <c r="A6659" s="122">
        <v>42150.0</v>
      </c>
      <c r="B6659" s="1"/>
      <c r="C6659" s="1" t="s">
        <v>435</v>
      </c>
      <c r="D6659" s="74"/>
      <c r="E6659" s="67"/>
      <c r="F6659" s="75"/>
      <c r="G6659" s="67"/>
      <c r="H6659" s="68"/>
      <c r="I6659" s="76"/>
      <c r="J6659" s="67"/>
      <c r="K6659" s="9" t="s">
        <v>2802</v>
      </c>
      <c r="L6659" s="934"/>
      <c r="M6659" s="934"/>
    </row>
    <row r="6660" ht="12.75" hidden="1" customHeight="1" outlineLevel="1">
      <c r="A6660" s="122">
        <v>42150.0</v>
      </c>
      <c r="B6660" s="32" t="s">
        <v>343</v>
      </c>
      <c r="C6660" s="32" t="s">
        <v>1382</v>
      </c>
      <c r="D6660" s="708">
        <v>135.0</v>
      </c>
      <c r="E6660" s="195">
        <v>145.78</v>
      </c>
      <c r="F6660" s="709">
        <v>0.3977662037037037</v>
      </c>
      <c r="G6660" s="195" t="s">
        <v>453</v>
      </c>
      <c r="H6660" s="710">
        <v>1.0</v>
      </c>
      <c r="I6660" s="256"/>
      <c r="J6660" s="67">
        <f t="shared" ref="J6660:J6675" si="403">IF(B6660="SLD",D6660*E6660,-D6660*E6660)-H6660</f>
        <v>-19681.3</v>
      </c>
      <c r="L6660" s="70"/>
      <c r="M6660" s="934"/>
      <c r="N6660" s="94"/>
      <c r="O6660" s="94"/>
      <c r="P6660" s="94"/>
      <c r="Q6660" s="94"/>
      <c r="R6660" s="94"/>
      <c r="S6660" s="94"/>
      <c r="T6660" s="94"/>
      <c r="U6660" s="94"/>
      <c r="V6660" s="94"/>
      <c r="W6660" s="94"/>
      <c r="X6660" s="94"/>
      <c r="Y6660" s="94"/>
      <c r="Z6660" s="94"/>
      <c r="AA6660" s="94"/>
      <c r="AB6660" s="94"/>
      <c r="AC6660" s="94"/>
      <c r="AD6660" s="94"/>
      <c r="AE6660" s="94"/>
      <c r="AF6660" s="94"/>
      <c r="AG6660" s="94"/>
      <c r="AH6660" s="94"/>
    </row>
    <row r="6661" ht="12.75" hidden="1" customHeight="1" outlineLevel="1">
      <c r="A6661" s="122">
        <v>42150.0</v>
      </c>
      <c r="B6661" s="32" t="s">
        <v>343</v>
      </c>
      <c r="C6661" s="32" t="s">
        <v>1221</v>
      </c>
      <c r="D6661" s="708">
        <v>500.0</v>
      </c>
      <c r="E6661" s="195">
        <v>38.724</v>
      </c>
      <c r="F6661" s="709">
        <v>0.3980324074074074</v>
      </c>
      <c r="G6661" s="195" t="s">
        <v>453</v>
      </c>
      <c r="H6661" s="710">
        <v>2.3</v>
      </c>
      <c r="I6661" s="256"/>
      <c r="J6661" s="67">
        <f t="shared" si="403"/>
        <v>-19364.3</v>
      </c>
      <c r="L6661" s="70"/>
      <c r="M6661" s="934"/>
      <c r="N6661" s="94"/>
      <c r="O6661" s="94"/>
      <c r="P6661" s="94"/>
      <c r="Q6661" s="94"/>
      <c r="R6661" s="94"/>
      <c r="S6661" s="94"/>
      <c r="T6661" s="94"/>
      <c r="U6661" s="94"/>
      <c r="V6661" s="94"/>
      <c r="W6661" s="94"/>
      <c r="X6661" s="94"/>
      <c r="Y6661" s="94"/>
      <c r="Z6661" s="94"/>
      <c r="AA6661" s="94"/>
      <c r="AB6661" s="94"/>
      <c r="AC6661" s="94"/>
      <c r="AD6661" s="94"/>
      <c r="AE6661" s="94"/>
      <c r="AF6661" s="94"/>
      <c r="AG6661" s="94"/>
      <c r="AH6661" s="94"/>
    </row>
    <row r="6662" ht="12.75" hidden="1" customHeight="1" outlineLevel="1">
      <c r="A6662" s="122">
        <v>42150.0</v>
      </c>
      <c r="B6662" s="32" t="s">
        <v>343</v>
      </c>
      <c r="C6662" s="32" t="s">
        <v>346</v>
      </c>
      <c r="D6662" s="708">
        <v>200.0</v>
      </c>
      <c r="E6662" s="195">
        <v>130.25</v>
      </c>
      <c r="F6662" s="709">
        <v>0.39827546296296296</v>
      </c>
      <c r="G6662" s="195" t="s">
        <v>453</v>
      </c>
      <c r="H6662" s="710">
        <v>1.0</v>
      </c>
      <c r="I6662" s="256"/>
      <c r="J6662" s="67">
        <f t="shared" si="403"/>
        <v>-26051</v>
      </c>
      <c r="L6662" s="70"/>
      <c r="M6662" s="934"/>
      <c r="N6662" s="94"/>
      <c r="O6662" s="94"/>
      <c r="P6662" s="94"/>
      <c r="Q6662" s="94"/>
      <c r="R6662" s="94"/>
      <c r="S6662" s="94"/>
      <c r="T6662" s="94"/>
      <c r="U6662" s="94"/>
      <c r="V6662" s="94"/>
      <c r="W6662" s="94"/>
      <c r="X6662" s="94"/>
      <c r="Y6662" s="94"/>
      <c r="Z6662" s="94"/>
      <c r="AA6662" s="94"/>
      <c r="AB6662" s="94"/>
      <c r="AC6662" s="94"/>
      <c r="AD6662" s="94"/>
      <c r="AE6662" s="94"/>
      <c r="AF6662" s="94"/>
      <c r="AG6662" s="94"/>
      <c r="AH6662" s="94"/>
    </row>
    <row r="6663" ht="12.75" hidden="1" customHeight="1" outlineLevel="1">
      <c r="A6663" s="122">
        <v>42150.0</v>
      </c>
      <c r="B6663" s="32" t="s">
        <v>347</v>
      </c>
      <c r="C6663" s="32" t="s">
        <v>1060</v>
      </c>
      <c r="D6663" s="708">
        <v>200.0</v>
      </c>
      <c r="E6663" s="195">
        <v>45.76</v>
      </c>
      <c r="F6663" s="709">
        <v>0.399375</v>
      </c>
      <c r="G6663" s="195" t="s">
        <v>453</v>
      </c>
      <c r="H6663" s="710">
        <v>1.17</v>
      </c>
      <c r="I6663" s="256"/>
      <c r="J6663" s="67">
        <f t="shared" si="403"/>
        <v>9150.83</v>
      </c>
      <c r="L6663" s="70"/>
      <c r="M6663" s="934"/>
      <c r="N6663" s="94"/>
      <c r="O6663" s="94"/>
      <c r="P6663" s="94"/>
      <c r="Q6663" s="94"/>
      <c r="R6663" s="94"/>
      <c r="S6663" s="94"/>
      <c r="T6663" s="94"/>
      <c r="U6663" s="94"/>
      <c r="V6663" s="94"/>
      <c r="W6663" s="94"/>
      <c r="X6663" s="94"/>
      <c r="Y6663" s="94"/>
      <c r="Z6663" s="94"/>
      <c r="AA6663" s="94"/>
      <c r="AB6663" s="94"/>
      <c r="AC6663" s="94"/>
      <c r="AD6663" s="94"/>
      <c r="AE6663" s="94"/>
      <c r="AF6663" s="94"/>
      <c r="AG6663" s="94"/>
      <c r="AH6663" s="94"/>
    </row>
    <row r="6664" ht="12.75" hidden="1" customHeight="1" outlineLevel="1">
      <c r="A6664" s="122">
        <v>42150.0</v>
      </c>
      <c r="B6664" s="32" t="s">
        <v>347</v>
      </c>
      <c r="C6664" s="32" t="s">
        <v>2142</v>
      </c>
      <c r="D6664" s="708">
        <v>100.0</v>
      </c>
      <c r="E6664" s="195">
        <v>32.21</v>
      </c>
      <c r="F6664" s="709">
        <v>0.3996875</v>
      </c>
      <c r="G6664" s="195" t="s">
        <v>453</v>
      </c>
      <c r="H6664" s="710">
        <v>1.06</v>
      </c>
      <c r="I6664" s="256"/>
      <c r="J6664" s="67">
        <f t="shared" si="403"/>
        <v>3219.94</v>
      </c>
      <c r="L6664" s="70"/>
      <c r="M6664" s="934"/>
      <c r="N6664" s="94"/>
      <c r="O6664" s="94"/>
      <c r="P6664" s="94"/>
      <c r="Q6664" s="94"/>
      <c r="R6664" s="94"/>
      <c r="S6664" s="94"/>
      <c r="T6664" s="94"/>
      <c r="U6664" s="94"/>
      <c r="V6664" s="94"/>
      <c r="W6664" s="94"/>
      <c r="X6664" s="94"/>
      <c r="Y6664" s="94"/>
      <c r="Z6664" s="94"/>
      <c r="AA6664" s="94"/>
      <c r="AB6664" s="94"/>
      <c r="AC6664" s="94"/>
      <c r="AD6664" s="94"/>
      <c r="AE6664" s="94"/>
      <c r="AF6664" s="94"/>
      <c r="AG6664" s="94"/>
      <c r="AH6664" s="94"/>
    </row>
    <row r="6665" ht="12.75" hidden="1" customHeight="1" outlineLevel="1">
      <c r="A6665" s="122">
        <v>42150.0</v>
      </c>
      <c r="B6665" s="32" t="s">
        <v>347</v>
      </c>
      <c r="C6665" s="32" t="s">
        <v>1061</v>
      </c>
      <c r="D6665" s="708">
        <v>125.0</v>
      </c>
      <c r="E6665" s="195">
        <v>47.83</v>
      </c>
      <c r="F6665" s="709">
        <v>0.40074074074074073</v>
      </c>
      <c r="G6665" s="195" t="s">
        <v>453</v>
      </c>
      <c r="H6665" s="710">
        <v>1.11</v>
      </c>
      <c r="I6665" s="256"/>
      <c r="J6665" s="67">
        <f t="shared" si="403"/>
        <v>5977.64</v>
      </c>
      <c r="L6665" s="70"/>
      <c r="M6665" s="934"/>
      <c r="N6665" s="94"/>
      <c r="O6665" s="94"/>
      <c r="P6665" s="94"/>
      <c r="Q6665" s="94"/>
      <c r="R6665" s="94"/>
      <c r="S6665" s="94"/>
      <c r="T6665" s="94"/>
      <c r="U6665" s="94"/>
      <c r="V6665" s="94"/>
      <c r="W6665" s="94"/>
      <c r="X6665" s="94"/>
      <c r="Y6665" s="94"/>
      <c r="Z6665" s="94"/>
      <c r="AA6665" s="94"/>
      <c r="AB6665" s="94"/>
      <c r="AC6665" s="94"/>
      <c r="AD6665" s="94"/>
      <c r="AE6665" s="94"/>
      <c r="AF6665" s="94"/>
      <c r="AG6665" s="94"/>
      <c r="AH6665" s="94"/>
    </row>
    <row r="6666" ht="12.75" hidden="1" customHeight="1" outlineLevel="1">
      <c r="A6666" s="122">
        <v>42150.0</v>
      </c>
      <c r="B6666" s="32" t="s">
        <v>347</v>
      </c>
      <c r="C6666" s="32" t="s">
        <v>2177</v>
      </c>
      <c r="D6666" s="708">
        <v>50.0</v>
      </c>
      <c r="E6666" s="195">
        <v>235.8</v>
      </c>
      <c r="F6666" s="709">
        <v>0.4015740740740741</v>
      </c>
      <c r="G6666" s="195" t="s">
        <v>453</v>
      </c>
      <c r="H6666" s="710">
        <v>1.22</v>
      </c>
      <c r="I6666" s="256"/>
      <c r="J6666" s="67">
        <f t="shared" si="403"/>
        <v>11788.78</v>
      </c>
      <c r="L6666" s="70"/>
      <c r="M6666" s="934"/>
      <c r="N6666" s="94"/>
      <c r="O6666" s="94"/>
      <c r="P6666" s="94"/>
      <c r="Q6666" s="94"/>
      <c r="R6666" s="94"/>
      <c r="S6666" s="94"/>
      <c r="T6666" s="94"/>
      <c r="U6666" s="94"/>
      <c r="V6666" s="94"/>
      <c r="W6666" s="94"/>
      <c r="X6666" s="94"/>
      <c r="Y6666" s="94"/>
      <c r="Z6666" s="94"/>
      <c r="AA6666" s="94"/>
      <c r="AB6666" s="94"/>
      <c r="AC6666" s="94"/>
      <c r="AD6666" s="94"/>
      <c r="AE6666" s="94"/>
      <c r="AF6666" s="94"/>
      <c r="AG6666" s="94"/>
      <c r="AH6666" s="94"/>
    </row>
    <row r="6667" ht="12.75" hidden="1" customHeight="1" outlineLevel="1">
      <c r="A6667" s="122">
        <v>42150.0</v>
      </c>
      <c r="B6667" s="32" t="s">
        <v>347</v>
      </c>
      <c r="C6667" s="32" t="s">
        <v>1244</v>
      </c>
      <c r="D6667" s="708">
        <v>100.0</v>
      </c>
      <c r="E6667" s="195">
        <v>110.822</v>
      </c>
      <c r="F6667" s="709">
        <v>0.4020138888888889</v>
      </c>
      <c r="G6667" s="195" t="s">
        <v>453</v>
      </c>
      <c r="H6667" s="710">
        <v>1.2</v>
      </c>
      <c r="I6667" s="256"/>
      <c r="J6667" s="67">
        <f t="shared" si="403"/>
        <v>11081</v>
      </c>
      <c r="L6667" s="70"/>
      <c r="M6667" s="934"/>
      <c r="N6667" s="94"/>
      <c r="O6667" s="94"/>
      <c r="P6667" s="94"/>
      <c r="Q6667" s="94"/>
      <c r="R6667" s="94"/>
      <c r="S6667" s="94"/>
      <c r="T6667" s="94"/>
      <c r="U6667" s="94"/>
      <c r="V6667" s="94"/>
      <c r="W6667" s="94"/>
      <c r="X6667" s="94"/>
      <c r="Y6667" s="94"/>
      <c r="Z6667" s="94"/>
      <c r="AA6667" s="94"/>
      <c r="AB6667" s="94"/>
      <c r="AC6667" s="94"/>
      <c r="AD6667" s="94"/>
      <c r="AE6667" s="94"/>
      <c r="AF6667" s="94"/>
      <c r="AG6667" s="94"/>
      <c r="AH6667" s="94"/>
    </row>
    <row r="6668" ht="12.75" hidden="1" customHeight="1" outlineLevel="1">
      <c r="A6668" s="122">
        <v>42150.0</v>
      </c>
      <c r="B6668" s="32" t="s">
        <v>343</v>
      </c>
      <c r="C6668" s="32" t="s">
        <v>344</v>
      </c>
      <c r="D6668" s="708">
        <v>100.0</v>
      </c>
      <c r="E6668" s="195">
        <v>59.3554</v>
      </c>
      <c r="F6668" s="709">
        <v>0.40217592592592594</v>
      </c>
      <c r="G6668" s="195" t="s">
        <v>453</v>
      </c>
      <c r="H6668" s="710">
        <v>1.0</v>
      </c>
      <c r="I6668" s="256"/>
      <c r="J6668" s="67">
        <f t="shared" si="403"/>
        <v>-5936.54</v>
      </c>
      <c r="L6668" s="70"/>
      <c r="M6668" s="934"/>
      <c r="N6668" s="94"/>
      <c r="O6668" s="94"/>
      <c r="P6668" s="94"/>
      <c r="Q6668" s="94"/>
      <c r="R6668" s="94"/>
      <c r="S6668" s="94"/>
      <c r="T6668" s="94"/>
      <c r="U6668" s="94"/>
      <c r="V6668" s="94"/>
      <c r="W6668" s="94"/>
      <c r="X6668" s="94"/>
      <c r="Y6668" s="94"/>
      <c r="Z6668" s="94"/>
      <c r="AA6668" s="94"/>
      <c r="AB6668" s="94"/>
      <c r="AC6668" s="94"/>
      <c r="AD6668" s="94"/>
      <c r="AE6668" s="94"/>
      <c r="AF6668" s="94"/>
      <c r="AG6668" s="94"/>
      <c r="AH6668" s="94"/>
    </row>
    <row r="6669" ht="12.75" hidden="1" customHeight="1" outlineLevel="1">
      <c r="A6669" s="122">
        <v>42150.0</v>
      </c>
      <c r="B6669" s="32" t="s">
        <v>347</v>
      </c>
      <c r="C6669" s="32" t="s">
        <v>1162</v>
      </c>
      <c r="D6669" s="708">
        <v>50.0</v>
      </c>
      <c r="E6669" s="195">
        <v>156.03</v>
      </c>
      <c r="F6669" s="709">
        <v>0.40252314814814816</v>
      </c>
      <c r="G6669" s="195" t="s">
        <v>453</v>
      </c>
      <c r="H6669" s="710">
        <v>1.14</v>
      </c>
      <c r="I6669" s="256"/>
      <c r="J6669" s="67">
        <f t="shared" si="403"/>
        <v>7800.36</v>
      </c>
      <c r="L6669" s="70"/>
      <c r="M6669" s="934"/>
      <c r="N6669" s="94"/>
      <c r="O6669" s="94"/>
      <c r="P6669" s="94"/>
      <c r="Q6669" s="94"/>
      <c r="R6669" s="94"/>
      <c r="S6669" s="94"/>
      <c r="T6669" s="94"/>
      <c r="U6669" s="94"/>
      <c r="V6669" s="94"/>
      <c r="W6669" s="94"/>
      <c r="X6669" s="94"/>
      <c r="Y6669" s="94"/>
      <c r="Z6669" s="94"/>
      <c r="AA6669" s="94"/>
      <c r="AB6669" s="94"/>
      <c r="AC6669" s="94"/>
      <c r="AD6669" s="94"/>
      <c r="AE6669" s="94"/>
      <c r="AF6669" s="94"/>
      <c r="AG6669" s="94"/>
      <c r="AH6669" s="94"/>
    </row>
    <row r="6670" ht="12.75" hidden="1" customHeight="1" outlineLevel="1">
      <c r="A6670" s="122">
        <v>42150.0</v>
      </c>
      <c r="B6670" s="32" t="s">
        <v>347</v>
      </c>
      <c r="C6670" s="32" t="s">
        <v>344</v>
      </c>
      <c r="D6670" s="708">
        <v>200.0</v>
      </c>
      <c r="E6670" s="195">
        <v>59.292</v>
      </c>
      <c r="F6670" s="709">
        <v>0.40291666666666665</v>
      </c>
      <c r="G6670" s="195" t="s">
        <v>453</v>
      </c>
      <c r="H6670" s="710">
        <v>1.22</v>
      </c>
      <c r="I6670" s="256"/>
      <c r="J6670" s="67">
        <f t="shared" si="403"/>
        <v>11857.18</v>
      </c>
      <c r="L6670" s="70"/>
      <c r="M6670" s="934"/>
      <c r="N6670" s="94"/>
      <c r="O6670" s="94"/>
      <c r="P6670" s="94"/>
      <c r="Q6670" s="94"/>
      <c r="R6670" s="94"/>
      <c r="S6670" s="94"/>
      <c r="T6670" s="94"/>
      <c r="U6670" s="94"/>
      <c r="V6670" s="94"/>
      <c r="W6670" s="94"/>
      <c r="X6670" s="94"/>
      <c r="Y6670" s="94"/>
      <c r="Z6670" s="94"/>
      <c r="AA6670" s="94"/>
      <c r="AB6670" s="94"/>
      <c r="AC6670" s="94"/>
      <c r="AD6670" s="94"/>
      <c r="AE6670" s="94"/>
      <c r="AF6670" s="94"/>
      <c r="AG6670" s="94"/>
      <c r="AH6670" s="94"/>
    </row>
    <row r="6671" ht="12.75" hidden="1" customHeight="1" outlineLevel="1">
      <c r="A6671" s="122">
        <v>42150.0</v>
      </c>
      <c r="B6671" s="32" t="s">
        <v>347</v>
      </c>
      <c r="C6671" s="32" t="s">
        <v>1249</v>
      </c>
      <c r="D6671" s="708">
        <v>50.0</v>
      </c>
      <c r="E6671" s="195">
        <v>113.07</v>
      </c>
      <c r="F6671" s="709">
        <v>0.4033449074074074</v>
      </c>
      <c r="G6671" s="195" t="s">
        <v>453</v>
      </c>
      <c r="H6671" s="710">
        <v>1.1</v>
      </c>
      <c r="I6671" s="256"/>
      <c r="J6671" s="67">
        <f t="shared" si="403"/>
        <v>5652.4</v>
      </c>
      <c r="L6671" s="70"/>
      <c r="M6671" s="934"/>
      <c r="N6671" s="94"/>
      <c r="O6671" s="94"/>
      <c r="P6671" s="94"/>
      <c r="Q6671" s="94"/>
      <c r="R6671" s="94"/>
      <c r="S6671" s="94"/>
      <c r="T6671" s="94"/>
      <c r="U6671" s="94"/>
      <c r="V6671" s="94"/>
      <c r="W6671" s="94"/>
      <c r="X6671" s="94"/>
      <c r="Y6671" s="94"/>
      <c r="Z6671" s="94"/>
      <c r="AA6671" s="94"/>
      <c r="AB6671" s="94"/>
      <c r="AC6671" s="94"/>
      <c r="AD6671" s="94"/>
      <c r="AE6671" s="94"/>
      <c r="AF6671" s="94"/>
      <c r="AG6671" s="94"/>
      <c r="AH6671" s="94"/>
    </row>
    <row r="6672" ht="12.75" hidden="1" customHeight="1" outlineLevel="1">
      <c r="A6672" s="122">
        <v>42150.0</v>
      </c>
      <c r="B6672" s="32" t="s">
        <v>343</v>
      </c>
      <c r="C6672" s="32" t="s">
        <v>790</v>
      </c>
      <c r="D6672" s="708">
        <v>4250.0</v>
      </c>
      <c r="E6672" s="195">
        <v>8.58</v>
      </c>
      <c r="F6672" s="709">
        <v>0.4440162037037037</v>
      </c>
      <c r="G6672" s="195" t="s">
        <v>453</v>
      </c>
      <c r="H6672" s="710">
        <v>19.25</v>
      </c>
      <c r="I6672" s="256"/>
      <c r="J6672" s="67">
        <f t="shared" si="403"/>
        <v>-36484.25</v>
      </c>
      <c r="L6672" s="70"/>
      <c r="M6672" s="934"/>
      <c r="N6672" s="94"/>
      <c r="O6672" s="94"/>
      <c r="P6672" s="94"/>
      <c r="Q6672" s="94"/>
      <c r="R6672" s="94"/>
      <c r="S6672" s="94"/>
      <c r="T6672" s="94"/>
      <c r="U6672" s="94"/>
      <c r="V6672" s="94"/>
      <c r="W6672" s="94"/>
      <c r="X6672" s="94"/>
      <c r="Y6672" s="94"/>
      <c r="Z6672" s="94"/>
      <c r="AA6672" s="94"/>
      <c r="AB6672" s="94"/>
      <c r="AC6672" s="94"/>
      <c r="AD6672" s="94"/>
      <c r="AE6672" s="94"/>
      <c r="AF6672" s="94"/>
      <c r="AG6672" s="94"/>
      <c r="AH6672" s="94"/>
    </row>
    <row r="6673" ht="12.75" hidden="1" customHeight="1" outlineLevel="1">
      <c r="A6673" s="122">
        <v>42150.0</v>
      </c>
      <c r="B6673" s="32" t="s">
        <v>347</v>
      </c>
      <c r="C6673" s="32" t="s">
        <v>784</v>
      </c>
      <c r="D6673" s="708">
        <v>3000.0</v>
      </c>
      <c r="E6673" s="195">
        <v>6.4632</v>
      </c>
      <c r="F6673" s="709">
        <v>0.46655092592592595</v>
      </c>
      <c r="G6673" s="195" t="s">
        <v>453</v>
      </c>
      <c r="H6673" s="710">
        <v>12.36</v>
      </c>
      <c r="I6673" s="256"/>
      <c r="J6673" s="67">
        <f t="shared" si="403"/>
        <v>19377.24</v>
      </c>
      <c r="L6673" s="70"/>
      <c r="M6673" s="934"/>
      <c r="N6673" s="94"/>
      <c r="O6673" s="94"/>
      <c r="P6673" s="94"/>
      <c r="Q6673" s="94"/>
      <c r="R6673" s="94"/>
      <c r="S6673" s="94"/>
      <c r="T6673" s="94"/>
      <c r="U6673" s="94"/>
      <c r="V6673" s="94"/>
      <c r="W6673" s="94"/>
      <c r="X6673" s="94"/>
      <c r="Y6673" s="94"/>
      <c r="Z6673" s="94"/>
      <c r="AA6673" s="94"/>
      <c r="AB6673" s="94"/>
      <c r="AC6673" s="94"/>
      <c r="AD6673" s="94"/>
      <c r="AE6673" s="94"/>
      <c r="AF6673" s="94"/>
      <c r="AG6673" s="94"/>
      <c r="AH6673" s="94"/>
    </row>
    <row r="6674" ht="12.75" hidden="1" customHeight="1" outlineLevel="1">
      <c r="A6674" s="122">
        <v>42150.0</v>
      </c>
      <c r="B6674" s="32" t="s">
        <v>347</v>
      </c>
      <c r="C6674" s="32" t="s">
        <v>784</v>
      </c>
      <c r="D6674" s="708">
        <v>500.0</v>
      </c>
      <c r="E6674" s="195">
        <v>6.473</v>
      </c>
      <c r="F6674" s="709">
        <v>0.4673726851851852</v>
      </c>
      <c r="G6674" s="195" t="s">
        <v>453</v>
      </c>
      <c r="H6674" s="710">
        <v>2.36</v>
      </c>
      <c r="I6674" s="256"/>
      <c r="J6674" s="67">
        <f t="shared" si="403"/>
        <v>3234.14</v>
      </c>
      <c r="L6674" s="70"/>
      <c r="M6674" s="934"/>
      <c r="N6674" s="94"/>
      <c r="O6674" s="94"/>
      <c r="P6674" s="94"/>
      <c r="Q6674" s="94"/>
      <c r="R6674" s="94"/>
      <c r="S6674" s="94"/>
      <c r="T6674" s="94"/>
      <c r="U6674" s="94"/>
      <c r="V6674" s="94"/>
      <c r="W6674" s="94"/>
      <c r="X6674" s="94"/>
      <c r="Y6674" s="94"/>
      <c r="Z6674" s="94"/>
      <c r="AA6674" s="94"/>
      <c r="AB6674" s="94"/>
      <c r="AC6674" s="94"/>
      <c r="AD6674" s="94"/>
      <c r="AE6674" s="94"/>
      <c r="AF6674" s="94"/>
      <c r="AG6674" s="94"/>
      <c r="AH6674" s="94"/>
    </row>
    <row r="6675" ht="12.75" hidden="1" customHeight="1" outlineLevel="1">
      <c r="A6675" s="122">
        <v>42150.0</v>
      </c>
      <c r="B6675" s="32" t="s">
        <v>347</v>
      </c>
      <c r="C6675" s="32" t="s">
        <v>2048</v>
      </c>
      <c r="D6675" s="708">
        <v>1100.0</v>
      </c>
      <c r="E6675" s="195">
        <v>12.82</v>
      </c>
      <c r="F6675" s="709">
        <v>0.46804398148148146</v>
      </c>
      <c r="G6675" s="195" t="s">
        <v>453</v>
      </c>
      <c r="H6675" s="710">
        <v>5.76</v>
      </c>
      <c r="I6675" s="256"/>
      <c r="J6675" s="67">
        <f t="shared" si="403"/>
        <v>14096.24</v>
      </c>
      <c r="L6675" s="70"/>
      <c r="M6675" s="934"/>
      <c r="N6675" s="94"/>
      <c r="O6675" s="94"/>
      <c r="P6675" s="94"/>
      <c r="Q6675" s="94"/>
      <c r="R6675" s="94"/>
      <c r="S6675" s="94"/>
      <c r="T6675" s="94"/>
      <c r="U6675" s="94"/>
      <c r="V6675" s="94"/>
      <c r="W6675" s="94"/>
      <c r="X6675" s="94"/>
      <c r="Y6675" s="94"/>
      <c r="Z6675" s="94"/>
      <c r="AA6675" s="94"/>
      <c r="AB6675" s="94"/>
      <c r="AC6675" s="94"/>
      <c r="AD6675" s="94"/>
      <c r="AE6675" s="94"/>
      <c r="AF6675" s="94"/>
      <c r="AG6675" s="94"/>
      <c r="AH6675" s="94"/>
    </row>
    <row r="6676" ht="12.75" hidden="1" customHeight="1" outlineLevel="1">
      <c r="A6676" s="122">
        <v>42151.0</v>
      </c>
      <c r="B6676" s="1"/>
      <c r="C6676" s="1" t="s">
        <v>339</v>
      </c>
      <c r="D6676" s="74"/>
      <c r="E6676" s="67"/>
      <c r="F6676" s="75"/>
      <c r="G6676" s="67"/>
      <c r="H6676" s="68"/>
      <c r="I6676" s="76"/>
      <c r="K6676" s="968" t="s">
        <v>2995</v>
      </c>
      <c r="L6676" s="934"/>
      <c r="M6676" s="934"/>
    </row>
    <row r="6677" ht="12.75" hidden="1" customHeight="1" outlineLevel="1">
      <c r="A6677" s="122">
        <v>42151.0</v>
      </c>
      <c r="B6677" s="1"/>
      <c r="C6677" s="1" t="s">
        <v>429</v>
      </c>
      <c r="D6677" s="74"/>
      <c r="E6677" s="67"/>
      <c r="F6677" s="75"/>
      <c r="G6677" s="67"/>
      <c r="H6677" s="68"/>
      <c r="I6677" s="76"/>
      <c r="J6677" s="67"/>
      <c r="K6677" s="9" t="s">
        <v>2839</v>
      </c>
      <c r="L6677" s="934"/>
      <c r="M6677" s="934"/>
    </row>
    <row r="6678" ht="12.75" hidden="1" customHeight="1" outlineLevel="1">
      <c r="A6678" s="122">
        <v>42151.0</v>
      </c>
      <c r="B6678" s="1"/>
      <c r="C6678" s="1" t="s">
        <v>431</v>
      </c>
      <c r="D6678" s="74"/>
      <c r="E6678" s="67"/>
      <c r="F6678" s="75"/>
      <c r="G6678" s="67"/>
      <c r="H6678" s="68"/>
      <c r="I6678" s="76"/>
      <c r="J6678" s="67"/>
      <c r="K6678" s="7" t="s">
        <v>1126</v>
      </c>
      <c r="L6678" s="934"/>
      <c r="M6678" s="934"/>
    </row>
    <row r="6679" ht="12.75" hidden="1" customHeight="1" outlineLevel="1">
      <c r="A6679" s="122">
        <v>42151.0</v>
      </c>
      <c r="B6679" s="1"/>
      <c r="C6679" s="1" t="s">
        <v>433</v>
      </c>
      <c r="D6679" s="74"/>
      <c r="E6679" s="67"/>
      <c r="F6679" s="75"/>
      <c r="G6679" s="67"/>
      <c r="H6679" s="68"/>
      <c r="I6679" s="76"/>
      <c r="J6679" s="67"/>
      <c r="K6679" s="7" t="s">
        <v>1103</v>
      </c>
      <c r="L6679" s="934"/>
      <c r="M6679" s="934"/>
    </row>
    <row r="6680" ht="12.75" hidden="1" customHeight="1" outlineLevel="1">
      <c r="A6680" s="122">
        <v>42151.0</v>
      </c>
      <c r="B6680" s="1"/>
      <c r="C6680" s="1" t="s">
        <v>435</v>
      </c>
      <c r="D6680" s="74"/>
      <c r="E6680" s="67"/>
      <c r="F6680" s="75"/>
      <c r="G6680" s="67"/>
      <c r="H6680" s="68"/>
      <c r="I6680" s="76"/>
      <c r="J6680" s="67"/>
      <c r="K6680" s="9" t="s">
        <v>2802</v>
      </c>
      <c r="L6680" s="934"/>
      <c r="M6680" s="934"/>
    </row>
    <row r="6681" ht="12.75" hidden="1" customHeight="1" outlineLevel="1">
      <c r="A6681" s="122">
        <v>42152.0</v>
      </c>
      <c r="B6681" s="32" t="s">
        <v>343</v>
      </c>
      <c r="C6681" s="32" t="s">
        <v>605</v>
      </c>
      <c r="D6681" s="708">
        <v>125.0</v>
      </c>
      <c r="E6681" s="195">
        <v>79.47</v>
      </c>
      <c r="F6681" s="709">
        <v>0.5187268518518519</v>
      </c>
      <c r="G6681" s="195" t="s">
        <v>453</v>
      </c>
      <c r="H6681" s="710">
        <v>1.0</v>
      </c>
      <c r="I6681" s="256"/>
      <c r="J6681" s="67">
        <f>IF(B6681="SLD",D6681*E6681,-D6681*E6681)-H6681</f>
        <v>-9934.75</v>
      </c>
      <c r="L6681" s="70"/>
      <c r="M6681" s="934"/>
      <c r="N6681" s="94"/>
      <c r="O6681" s="94"/>
      <c r="P6681" s="94"/>
      <c r="Q6681" s="94"/>
      <c r="R6681" s="94"/>
      <c r="S6681" s="94"/>
      <c r="T6681" s="94"/>
      <c r="U6681" s="94"/>
      <c r="V6681" s="94"/>
      <c r="W6681" s="94"/>
      <c r="X6681" s="94"/>
      <c r="Y6681" s="94"/>
      <c r="Z6681" s="94"/>
      <c r="AA6681" s="94"/>
      <c r="AB6681" s="94"/>
      <c r="AC6681" s="94"/>
      <c r="AD6681" s="94"/>
      <c r="AE6681" s="94"/>
      <c r="AF6681" s="94"/>
      <c r="AG6681" s="94"/>
      <c r="AH6681" s="94"/>
    </row>
    <row r="6682" ht="12.75" hidden="1" customHeight="1" outlineLevel="1">
      <c r="A6682" s="122">
        <v>42152.0</v>
      </c>
      <c r="B6682" s="1"/>
      <c r="C6682" s="1" t="s">
        <v>339</v>
      </c>
      <c r="D6682" s="74"/>
      <c r="E6682" s="67"/>
      <c r="F6682" s="75"/>
      <c r="G6682" s="67"/>
      <c r="H6682" s="68"/>
      <c r="I6682" s="76"/>
      <c r="K6682" s="968" t="s">
        <v>2996</v>
      </c>
      <c r="L6682" s="934"/>
      <c r="M6682" s="934"/>
    </row>
    <row r="6683" ht="12.75" hidden="1" customHeight="1" outlineLevel="1">
      <c r="A6683" s="122">
        <v>42152.0</v>
      </c>
      <c r="B6683" s="1"/>
      <c r="C6683" s="1" t="s">
        <v>429</v>
      </c>
      <c r="D6683" s="74"/>
      <c r="E6683" s="67"/>
      <c r="F6683" s="75"/>
      <c r="G6683" s="67"/>
      <c r="H6683" s="68"/>
      <c r="I6683" s="76"/>
      <c r="J6683" s="67"/>
      <c r="K6683" s="9" t="s">
        <v>2839</v>
      </c>
      <c r="L6683" s="934"/>
      <c r="M6683" s="934"/>
    </row>
    <row r="6684" ht="12.75" hidden="1" customHeight="1" outlineLevel="1">
      <c r="A6684" s="122">
        <v>42152.0</v>
      </c>
      <c r="B6684" s="1"/>
      <c r="C6684" s="1" t="s">
        <v>431</v>
      </c>
      <c r="D6684" s="74"/>
      <c r="E6684" s="67"/>
      <c r="F6684" s="75"/>
      <c r="G6684" s="67"/>
      <c r="H6684" s="68"/>
      <c r="I6684" s="76"/>
      <c r="J6684" s="67"/>
      <c r="K6684" s="7" t="s">
        <v>1126</v>
      </c>
      <c r="L6684" s="934"/>
      <c r="M6684" s="934"/>
    </row>
    <row r="6685" ht="12.75" hidden="1" customHeight="1" outlineLevel="1">
      <c r="A6685" s="122">
        <v>42152.0</v>
      </c>
      <c r="B6685" s="1"/>
      <c r="C6685" s="1" t="s">
        <v>433</v>
      </c>
      <c r="D6685" s="74"/>
      <c r="E6685" s="67"/>
      <c r="F6685" s="75"/>
      <c r="G6685" s="67"/>
      <c r="H6685" s="68"/>
      <c r="I6685" s="76"/>
      <c r="J6685" s="67"/>
      <c r="K6685" s="7" t="s">
        <v>1103</v>
      </c>
      <c r="L6685" s="934"/>
      <c r="M6685" s="934"/>
    </row>
    <row r="6686" ht="12.75" hidden="1" customHeight="1" outlineLevel="1">
      <c r="A6686" s="122">
        <v>42152.0</v>
      </c>
      <c r="B6686" s="1"/>
      <c r="C6686" s="1" t="s">
        <v>435</v>
      </c>
      <c r="D6686" s="74"/>
      <c r="E6686" s="67"/>
      <c r="F6686" s="75"/>
      <c r="G6686" s="67"/>
      <c r="H6686" s="68"/>
      <c r="I6686" s="76"/>
      <c r="J6686" s="67"/>
      <c r="K6686" s="9" t="s">
        <v>2802</v>
      </c>
      <c r="L6686" s="934"/>
      <c r="M6686" s="934"/>
    </row>
    <row r="6687" ht="12.75" hidden="1" customHeight="1" outlineLevel="1">
      <c r="A6687" s="122">
        <v>42153.0</v>
      </c>
      <c r="B6687" s="32" t="s">
        <v>347</v>
      </c>
      <c r="C6687" s="32" t="s">
        <v>369</v>
      </c>
      <c r="D6687" s="708">
        <v>2500.0</v>
      </c>
      <c r="E6687" s="195">
        <v>5.537</v>
      </c>
      <c r="F6687" s="709">
        <v>0.3987384259259259</v>
      </c>
      <c r="G6687" s="195" t="s">
        <v>453</v>
      </c>
      <c r="H6687" s="710">
        <v>11.25</v>
      </c>
      <c r="I6687" s="256"/>
      <c r="J6687" s="67">
        <f>IF(B6687="SLD",D6687*E6687,-D6687*E6687)-H6687</f>
        <v>13831.25</v>
      </c>
      <c r="L6687" s="70"/>
      <c r="M6687" s="934"/>
      <c r="N6687" s="94"/>
      <c r="O6687" s="94"/>
      <c r="P6687" s="94"/>
      <c r="Q6687" s="94"/>
      <c r="R6687" s="94"/>
      <c r="S6687" s="94"/>
      <c r="T6687" s="94"/>
      <c r="U6687" s="94"/>
      <c r="V6687" s="94"/>
      <c r="W6687" s="94"/>
      <c r="X6687" s="94"/>
      <c r="Y6687" s="94"/>
      <c r="Z6687" s="94"/>
      <c r="AA6687" s="94"/>
      <c r="AB6687" s="94"/>
      <c r="AC6687" s="94"/>
      <c r="AD6687" s="94"/>
      <c r="AE6687" s="94"/>
      <c r="AF6687" s="94"/>
      <c r="AG6687" s="94"/>
      <c r="AH6687" s="94"/>
    </row>
    <row r="6688" ht="12.75" hidden="1" customHeight="1" outlineLevel="1">
      <c r="A6688" s="122">
        <v>42153.0</v>
      </c>
      <c r="B6688" s="1"/>
      <c r="C6688" s="1" t="s">
        <v>339</v>
      </c>
      <c r="D6688" s="74"/>
      <c r="E6688" s="67"/>
      <c r="F6688" s="75"/>
      <c r="G6688" s="67"/>
      <c r="H6688" s="68"/>
      <c r="I6688" s="76"/>
      <c r="K6688" s="968" t="s">
        <v>2997</v>
      </c>
      <c r="L6688" s="934"/>
      <c r="M6688" s="934"/>
    </row>
    <row r="6689" ht="12.75" hidden="1" customHeight="1" outlineLevel="1">
      <c r="A6689" s="122">
        <v>42153.0</v>
      </c>
      <c r="B6689" s="1"/>
      <c r="C6689" s="1" t="s">
        <v>429</v>
      </c>
      <c r="D6689" s="74"/>
      <c r="E6689" s="67"/>
      <c r="F6689" s="75"/>
      <c r="G6689" s="67"/>
      <c r="H6689" s="68"/>
      <c r="I6689" s="76"/>
      <c r="J6689" s="67"/>
      <c r="K6689" s="9" t="s">
        <v>2839</v>
      </c>
      <c r="L6689" s="934"/>
      <c r="M6689" s="934"/>
    </row>
    <row r="6690" ht="12.75" hidden="1" customHeight="1" outlineLevel="1">
      <c r="A6690" s="122">
        <v>42153.0</v>
      </c>
      <c r="B6690" s="1"/>
      <c r="C6690" s="1" t="s">
        <v>431</v>
      </c>
      <c r="D6690" s="74"/>
      <c r="E6690" s="67"/>
      <c r="F6690" s="75"/>
      <c r="G6690" s="67"/>
      <c r="H6690" s="68"/>
      <c r="I6690" s="76"/>
      <c r="J6690" s="67"/>
      <c r="K6690" s="7" t="s">
        <v>1126</v>
      </c>
      <c r="L6690" s="934"/>
      <c r="M6690" s="934"/>
    </row>
    <row r="6691" ht="12.75" hidden="1" customHeight="1" outlineLevel="1">
      <c r="A6691" s="122">
        <v>42153.0</v>
      </c>
      <c r="B6691" s="1"/>
      <c r="C6691" s="1" t="s">
        <v>433</v>
      </c>
      <c r="D6691" s="74"/>
      <c r="E6691" s="67"/>
      <c r="F6691" s="75"/>
      <c r="G6691" s="67"/>
      <c r="H6691" s="68"/>
      <c r="I6691" s="76"/>
      <c r="J6691" s="67"/>
      <c r="K6691" s="7" t="s">
        <v>1103</v>
      </c>
      <c r="L6691" s="934"/>
      <c r="M6691" s="934"/>
    </row>
    <row r="6692" ht="12.75" hidden="1" customHeight="1" outlineLevel="1">
      <c r="A6692" s="122">
        <v>42153.0</v>
      </c>
      <c r="B6692" s="1"/>
      <c r="C6692" s="1" t="s">
        <v>435</v>
      </c>
      <c r="D6692" s="74"/>
      <c r="E6692" s="67"/>
      <c r="F6692" s="75"/>
      <c r="G6692" s="67"/>
      <c r="H6692" s="68"/>
      <c r="I6692" s="76"/>
      <c r="J6692" s="67"/>
      <c r="K6692" s="9" t="s">
        <v>2802</v>
      </c>
      <c r="L6692" s="934"/>
      <c r="M6692" s="934"/>
    </row>
    <row r="6693" ht="12.75" hidden="1" customHeight="1" outlineLevel="1">
      <c r="A6693" s="122">
        <v>42156.0</v>
      </c>
      <c r="B6693" s="32" t="s">
        <v>343</v>
      </c>
      <c r="C6693" s="32" t="s">
        <v>2434</v>
      </c>
      <c r="D6693" s="708">
        <v>30.0</v>
      </c>
      <c r="E6693" s="195">
        <v>212.84</v>
      </c>
      <c r="F6693" s="709">
        <v>0.4075347222222222</v>
      </c>
      <c r="G6693" s="195" t="s">
        <v>453</v>
      </c>
      <c r="H6693" s="710">
        <v>1.0</v>
      </c>
      <c r="I6693" s="256"/>
      <c r="J6693" s="67">
        <f t="shared" ref="J6693:J6696" si="404">IF(B6693="SLD",D6693*E6693,-D6693*E6693)-H6693</f>
        <v>-6386.2</v>
      </c>
      <c r="L6693" s="70"/>
      <c r="M6693" s="934"/>
      <c r="N6693" s="94"/>
      <c r="O6693" s="94"/>
      <c r="P6693" s="94"/>
      <c r="Q6693" s="94"/>
      <c r="R6693" s="94"/>
      <c r="S6693" s="94"/>
      <c r="T6693" s="94"/>
      <c r="U6693" s="94"/>
      <c r="V6693" s="94"/>
      <c r="W6693" s="94"/>
      <c r="X6693" s="94"/>
      <c r="Y6693" s="94"/>
      <c r="Z6693" s="94"/>
      <c r="AA6693" s="94"/>
      <c r="AB6693" s="94"/>
      <c r="AC6693" s="94"/>
      <c r="AD6693" s="94"/>
      <c r="AE6693" s="94"/>
      <c r="AF6693" s="94"/>
      <c r="AG6693" s="94"/>
      <c r="AH6693" s="94"/>
    </row>
    <row r="6694" ht="12.75" hidden="1" customHeight="1" outlineLevel="1">
      <c r="A6694" s="122">
        <v>42156.0</v>
      </c>
      <c r="B6694" s="32" t="s">
        <v>343</v>
      </c>
      <c r="C6694" s="32" t="s">
        <v>1400</v>
      </c>
      <c r="D6694" s="708">
        <v>75.0</v>
      </c>
      <c r="E6694" s="195">
        <v>79.31</v>
      </c>
      <c r="F6694" s="709">
        <v>0.43344907407407407</v>
      </c>
      <c r="G6694" s="195" t="s">
        <v>453</v>
      </c>
      <c r="H6694" s="710">
        <v>1.0</v>
      </c>
      <c r="I6694" s="256"/>
      <c r="J6694" s="67">
        <f t="shared" si="404"/>
        <v>-5949.25</v>
      </c>
      <c r="L6694" s="70"/>
      <c r="M6694" s="934"/>
      <c r="N6694" s="94"/>
      <c r="O6694" s="94"/>
      <c r="P6694" s="94"/>
      <c r="Q6694" s="94"/>
      <c r="R6694" s="94"/>
      <c r="S6694" s="94"/>
      <c r="T6694" s="94"/>
      <c r="U6694" s="94"/>
      <c r="V6694" s="94"/>
      <c r="W6694" s="94"/>
      <c r="X6694" s="94"/>
      <c r="Y6694" s="94"/>
      <c r="Z6694" s="94"/>
      <c r="AA6694" s="94"/>
      <c r="AB6694" s="94"/>
      <c r="AC6694" s="94"/>
      <c r="AD6694" s="94"/>
      <c r="AE6694" s="94"/>
      <c r="AF6694" s="94"/>
      <c r="AG6694" s="94"/>
      <c r="AH6694" s="94"/>
    </row>
    <row r="6695" ht="12.75" hidden="1" customHeight="1" outlineLevel="1">
      <c r="A6695" s="122">
        <v>42156.0</v>
      </c>
      <c r="B6695" s="32" t="s">
        <v>343</v>
      </c>
      <c r="C6695" s="32" t="s">
        <v>2144</v>
      </c>
      <c r="D6695" s="708">
        <v>75.0</v>
      </c>
      <c r="E6695" s="195">
        <v>84.29</v>
      </c>
      <c r="F6695" s="709">
        <v>0.4336574074074074</v>
      </c>
      <c r="G6695" s="195" t="s">
        <v>453</v>
      </c>
      <c r="H6695" s="710">
        <v>1.0</v>
      </c>
      <c r="I6695" s="256"/>
      <c r="J6695" s="67">
        <f t="shared" si="404"/>
        <v>-6322.75</v>
      </c>
      <c r="L6695" s="70"/>
      <c r="M6695" s="934"/>
      <c r="N6695" s="94"/>
      <c r="O6695" s="94"/>
      <c r="P6695" s="94"/>
      <c r="Q6695" s="94"/>
      <c r="R6695" s="94"/>
      <c r="S6695" s="94"/>
      <c r="T6695" s="94"/>
      <c r="U6695" s="94"/>
      <c r="V6695" s="94"/>
      <c r="W6695" s="94"/>
      <c r="X6695" s="94"/>
      <c r="Y6695" s="94"/>
      <c r="Z6695" s="94"/>
      <c r="AA6695" s="94"/>
      <c r="AB6695" s="94"/>
      <c r="AC6695" s="94"/>
      <c r="AD6695" s="94"/>
      <c r="AE6695" s="94"/>
      <c r="AF6695" s="94"/>
      <c r="AG6695" s="94"/>
      <c r="AH6695" s="94"/>
    </row>
    <row r="6696" ht="12.75" hidden="1" customHeight="1" outlineLevel="1">
      <c r="A6696" s="122">
        <v>42156.0</v>
      </c>
      <c r="B6696" s="32" t="s">
        <v>343</v>
      </c>
      <c r="C6696" s="32" t="s">
        <v>2142</v>
      </c>
      <c r="D6696" s="708">
        <v>100.0</v>
      </c>
      <c r="E6696" s="195">
        <v>32.379</v>
      </c>
      <c r="F6696" s="709">
        <v>0.6479861111111112</v>
      </c>
      <c r="G6696" s="195" t="s">
        <v>453</v>
      </c>
      <c r="H6696" s="710">
        <v>1.0</v>
      </c>
      <c r="I6696" s="256"/>
      <c r="J6696" s="67">
        <f t="shared" si="404"/>
        <v>-3238.9</v>
      </c>
      <c r="L6696" s="70"/>
      <c r="M6696" s="934"/>
      <c r="N6696" s="94"/>
      <c r="O6696" s="94"/>
      <c r="P6696" s="94"/>
      <c r="Q6696" s="94"/>
      <c r="R6696" s="94"/>
      <c r="S6696" s="94"/>
      <c r="T6696" s="94"/>
      <c r="U6696" s="94"/>
      <c r="V6696" s="94"/>
      <c r="W6696" s="94"/>
      <c r="X6696" s="94"/>
      <c r="Y6696" s="94"/>
      <c r="Z6696" s="94"/>
      <c r="AA6696" s="94"/>
      <c r="AB6696" s="94"/>
      <c r="AC6696" s="94"/>
      <c r="AD6696" s="94"/>
      <c r="AE6696" s="94"/>
      <c r="AF6696" s="94"/>
      <c r="AG6696" s="94"/>
      <c r="AH6696" s="94"/>
    </row>
    <row r="6697" ht="12.75" hidden="1" customHeight="1" outlineLevel="1">
      <c r="A6697" s="122">
        <v>42156.0</v>
      </c>
      <c r="B6697" s="1"/>
      <c r="C6697" s="1" t="s">
        <v>339</v>
      </c>
      <c r="D6697" s="74"/>
      <c r="E6697" s="67"/>
      <c r="F6697" s="75"/>
      <c r="G6697" s="67"/>
      <c r="H6697" s="68"/>
      <c r="I6697" s="76"/>
      <c r="K6697" s="968" t="s">
        <v>2998</v>
      </c>
      <c r="L6697" s="934"/>
      <c r="M6697" s="934"/>
    </row>
    <row r="6698" ht="12.75" hidden="1" customHeight="1" outlineLevel="1">
      <c r="A6698" s="122">
        <v>42156.0</v>
      </c>
      <c r="B6698" s="1"/>
      <c r="C6698" s="1" t="s">
        <v>429</v>
      </c>
      <c r="D6698" s="74"/>
      <c r="E6698" s="67"/>
      <c r="F6698" s="75"/>
      <c r="G6698" s="67"/>
      <c r="H6698" s="68"/>
      <c r="I6698" s="76"/>
      <c r="J6698" s="67"/>
      <c r="K6698" s="9" t="s">
        <v>2839</v>
      </c>
      <c r="L6698" s="934"/>
      <c r="M6698" s="934"/>
    </row>
    <row r="6699" ht="12.75" hidden="1" customHeight="1" outlineLevel="1">
      <c r="A6699" s="122">
        <v>42156.0</v>
      </c>
      <c r="B6699" s="1"/>
      <c r="C6699" s="1" t="s">
        <v>431</v>
      </c>
      <c r="D6699" s="74"/>
      <c r="E6699" s="67"/>
      <c r="F6699" s="75"/>
      <c r="G6699" s="67"/>
      <c r="H6699" s="68"/>
      <c r="I6699" s="76"/>
      <c r="J6699" s="67"/>
      <c r="K6699" s="7" t="s">
        <v>1126</v>
      </c>
      <c r="L6699" s="934"/>
      <c r="M6699" s="934"/>
    </row>
    <row r="6700" ht="12.75" hidden="1" customHeight="1" outlineLevel="1">
      <c r="A6700" s="122">
        <v>42156.0</v>
      </c>
      <c r="B6700" s="1"/>
      <c r="C6700" s="1" t="s">
        <v>433</v>
      </c>
      <c r="D6700" s="74"/>
      <c r="E6700" s="67"/>
      <c r="F6700" s="75"/>
      <c r="G6700" s="67"/>
      <c r="H6700" s="68"/>
      <c r="I6700" s="76"/>
      <c r="J6700" s="67"/>
      <c r="K6700" s="7" t="s">
        <v>1103</v>
      </c>
      <c r="L6700" s="934"/>
      <c r="M6700" s="934"/>
    </row>
    <row r="6701" ht="12.75" hidden="1" customHeight="1" outlineLevel="1">
      <c r="A6701" s="122">
        <v>42156.0</v>
      </c>
      <c r="B6701" s="1"/>
      <c r="C6701" s="1" t="s">
        <v>435</v>
      </c>
      <c r="D6701" s="74"/>
      <c r="E6701" s="67"/>
      <c r="F6701" s="75"/>
      <c r="G6701" s="67"/>
      <c r="H6701" s="68"/>
      <c r="I6701" s="76"/>
      <c r="J6701" s="67"/>
      <c r="K6701" s="9" t="s">
        <v>2802</v>
      </c>
      <c r="L6701" s="934"/>
      <c r="M6701" s="934"/>
    </row>
    <row r="6702" ht="12.75" hidden="1" customHeight="1" outlineLevel="1">
      <c r="A6702" s="122">
        <v>42157.0</v>
      </c>
      <c r="B6702" s="32" t="s">
        <v>343</v>
      </c>
      <c r="C6702" s="32" t="s">
        <v>1061</v>
      </c>
      <c r="D6702" s="708">
        <v>225.0</v>
      </c>
      <c r="E6702" s="195">
        <v>47.5991</v>
      </c>
      <c r="F6702" s="709">
        <v>0.4023263888888889</v>
      </c>
      <c r="G6702" s="195" t="s">
        <v>453</v>
      </c>
      <c r="H6702" s="710">
        <v>1.0</v>
      </c>
      <c r="I6702" s="256"/>
      <c r="J6702" s="67">
        <f>IF(B6702="SLD",D6702*E6702,-D6702*E6702)-H6702</f>
        <v>-10710.7975</v>
      </c>
      <c r="L6702" s="70"/>
      <c r="M6702" s="934"/>
      <c r="N6702" s="94"/>
      <c r="O6702" s="94"/>
      <c r="P6702" s="94"/>
      <c r="Q6702" s="94"/>
      <c r="R6702" s="94"/>
      <c r="S6702" s="94"/>
      <c r="T6702" s="94"/>
      <c r="U6702" s="94"/>
      <c r="V6702" s="94"/>
      <c r="W6702" s="94"/>
      <c r="X6702" s="94"/>
      <c r="Y6702" s="94"/>
      <c r="Z6702" s="94"/>
      <c r="AA6702" s="94"/>
      <c r="AB6702" s="94"/>
      <c r="AC6702" s="94"/>
      <c r="AD6702" s="94"/>
      <c r="AE6702" s="94"/>
      <c r="AF6702" s="94"/>
      <c r="AG6702" s="94"/>
      <c r="AH6702" s="94"/>
    </row>
    <row r="6703" ht="12.75" hidden="1" customHeight="1" outlineLevel="1">
      <c r="A6703" s="122">
        <v>42157.0</v>
      </c>
      <c r="B6703" s="1"/>
      <c r="C6703" s="1" t="s">
        <v>339</v>
      </c>
      <c r="D6703" s="74"/>
      <c r="E6703" s="67"/>
      <c r="F6703" s="75"/>
      <c r="G6703" s="67"/>
      <c r="H6703" s="68"/>
      <c r="I6703" s="76"/>
      <c r="K6703" s="968" t="s">
        <v>2999</v>
      </c>
      <c r="L6703" s="934"/>
      <c r="M6703" s="934"/>
    </row>
    <row r="6704" ht="12.75" hidden="1" customHeight="1" outlineLevel="1">
      <c r="A6704" s="122">
        <v>42157.0</v>
      </c>
      <c r="B6704" s="1"/>
      <c r="C6704" s="1" t="s">
        <v>429</v>
      </c>
      <c r="D6704" s="74"/>
      <c r="E6704" s="67"/>
      <c r="F6704" s="75"/>
      <c r="G6704" s="67"/>
      <c r="H6704" s="68"/>
      <c r="I6704" s="76"/>
      <c r="J6704" s="67"/>
      <c r="K6704" s="9" t="s">
        <v>2839</v>
      </c>
      <c r="L6704" s="934"/>
      <c r="M6704" s="934"/>
    </row>
    <row r="6705" ht="12.75" hidden="1" customHeight="1" outlineLevel="1">
      <c r="A6705" s="122">
        <v>42157.0</v>
      </c>
      <c r="B6705" s="1"/>
      <c r="C6705" s="1" t="s">
        <v>431</v>
      </c>
      <c r="D6705" s="74"/>
      <c r="E6705" s="67"/>
      <c r="F6705" s="75"/>
      <c r="G6705" s="67"/>
      <c r="H6705" s="68"/>
      <c r="I6705" s="76"/>
      <c r="J6705" s="67"/>
      <c r="K6705" s="7" t="s">
        <v>1126</v>
      </c>
      <c r="L6705" s="934"/>
      <c r="M6705" s="934"/>
    </row>
    <row r="6706" ht="12.75" hidden="1" customHeight="1" outlineLevel="1">
      <c r="A6706" s="122">
        <v>42157.0</v>
      </c>
      <c r="B6706" s="1"/>
      <c r="C6706" s="1" t="s">
        <v>433</v>
      </c>
      <c r="D6706" s="74"/>
      <c r="E6706" s="67"/>
      <c r="F6706" s="75"/>
      <c r="G6706" s="67"/>
      <c r="H6706" s="68"/>
      <c r="I6706" s="76"/>
      <c r="J6706" s="67"/>
      <c r="K6706" s="7" t="s">
        <v>1103</v>
      </c>
      <c r="L6706" s="934"/>
      <c r="M6706" s="934"/>
    </row>
    <row r="6707" ht="12.75" hidden="1" customHeight="1" outlineLevel="1">
      <c r="A6707" s="122">
        <v>42157.0</v>
      </c>
      <c r="B6707" s="1"/>
      <c r="C6707" s="1" t="s">
        <v>435</v>
      </c>
      <c r="D6707" s="74"/>
      <c r="E6707" s="67"/>
      <c r="F6707" s="75"/>
      <c r="G6707" s="67"/>
      <c r="H6707" s="68"/>
      <c r="I6707" s="76"/>
      <c r="J6707" s="67"/>
      <c r="K6707" s="9" t="s">
        <v>2802</v>
      </c>
      <c r="L6707" s="934"/>
      <c r="M6707" s="934"/>
    </row>
    <row r="6708" ht="12.75" hidden="1" customHeight="1" outlineLevel="1">
      <c r="A6708" s="122">
        <v>42158.0</v>
      </c>
      <c r="B6708" s="32" t="s">
        <v>343</v>
      </c>
      <c r="C6708" s="32" t="s">
        <v>352</v>
      </c>
      <c r="D6708" s="708">
        <v>115.0</v>
      </c>
      <c r="E6708" s="195">
        <v>57.059</v>
      </c>
      <c r="F6708" s="709">
        <v>0.48439814814814813</v>
      </c>
      <c r="G6708" s="195" t="s">
        <v>453</v>
      </c>
      <c r="H6708" s="710">
        <v>1.0</v>
      </c>
      <c r="I6708" s="256"/>
      <c r="J6708" s="67">
        <f t="shared" ref="J6708:J6711" si="405">IF(B6708="SLD",D6708*E6708,-D6708*E6708)-H6708</f>
        <v>-6562.785</v>
      </c>
      <c r="L6708" s="70"/>
      <c r="M6708" s="934"/>
      <c r="N6708" s="94"/>
      <c r="O6708" s="94"/>
      <c r="P6708" s="94"/>
      <c r="Q6708" s="94"/>
      <c r="R6708" s="94"/>
      <c r="S6708" s="94"/>
      <c r="T6708" s="94"/>
      <c r="U6708" s="94"/>
      <c r="V6708" s="94"/>
      <c r="W6708" s="94"/>
      <c r="X6708" s="94"/>
      <c r="Y6708" s="94"/>
      <c r="Z6708" s="94"/>
      <c r="AA6708" s="94"/>
      <c r="AB6708" s="94"/>
      <c r="AC6708" s="94"/>
      <c r="AD6708" s="94"/>
      <c r="AE6708" s="94"/>
      <c r="AF6708" s="94"/>
      <c r="AG6708" s="94"/>
      <c r="AH6708" s="94"/>
    </row>
    <row r="6709" ht="12.75" hidden="1" customHeight="1" outlineLevel="1">
      <c r="A6709" s="122">
        <v>42159.0</v>
      </c>
      <c r="B6709" s="32" t="s">
        <v>347</v>
      </c>
      <c r="C6709" s="32" t="s">
        <v>790</v>
      </c>
      <c r="D6709" s="708">
        <v>1000.0</v>
      </c>
      <c r="E6709" s="195">
        <v>8.54</v>
      </c>
      <c r="F6709" s="709">
        <v>0.6345717592592592</v>
      </c>
      <c r="G6709" s="195" t="s">
        <v>453</v>
      </c>
      <c r="H6709" s="710">
        <v>5.16</v>
      </c>
      <c r="I6709" s="256"/>
      <c r="J6709" s="67">
        <f t="shared" si="405"/>
        <v>8534.84</v>
      </c>
      <c r="L6709" s="70"/>
      <c r="M6709" s="934"/>
      <c r="N6709" s="94"/>
      <c r="O6709" s="94"/>
      <c r="P6709" s="94"/>
      <c r="Q6709" s="94"/>
      <c r="R6709" s="94"/>
      <c r="S6709" s="94"/>
      <c r="T6709" s="94"/>
      <c r="U6709" s="94"/>
      <c r="V6709" s="94"/>
      <c r="W6709" s="94"/>
      <c r="X6709" s="94"/>
      <c r="Y6709" s="94"/>
      <c r="Z6709" s="94"/>
      <c r="AA6709" s="94"/>
      <c r="AB6709" s="94"/>
      <c r="AC6709" s="94"/>
      <c r="AD6709" s="94"/>
      <c r="AE6709" s="94"/>
      <c r="AF6709" s="94"/>
      <c r="AG6709" s="94"/>
      <c r="AH6709" s="94"/>
    </row>
    <row r="6710" ht="12.75" hidden="1" customHeight="1" outlineLevel="1">
      <c r="A6710" s="122">
        <v>42159.0</v>
      </c>
      <c r="B6710" s="32" t="s">
        <v>347</v>
      </c>
      <c r="C6710" s="32" t="s">
        <v>784</v>
      </c>
      <c r="D6710" s="708">
        <v>1500.0</v>
      </c>
      <c r="E6710" s="195">
        <v>6.46</v>
      </c>
      <c r="F6710" s="709">
        <v>0.6348611111111111</v>
      </c>
      <c r="G6710" s="195" t="s">
        <v>453</v>
      </c>
      <c r="H6710" s="710">
        <v>7.68</v>
      </c>
      <c r="I6710" s="256"/>
      <c r="J6710" s="67">
        <f t="shared" si="405"/>
        <v>9682.32</v>
      </c>
      <c r="L6710" s="70"/>
      <c r="M6710" s="934"/>
      <c r="N6710" s="94"/>
      <c r="O6710" s="94"/>
      <c r="P6710" s="94"/>
      <c r="Q6710" s="94"/>
      <c r="R6710" s="94"/>
      <c r="S6710" s="94"/>
      <c r="T6710" s="94"/>
      <c r="U6710" s="94"/>
      <c r="V6710" s="94"/>
      <c r="W6710" s="94"/>
      <c r="X6710" s="94"/>
      <c r="Y6710" s="94"/>
      <c r="Z6710" s="94"/>
      <c r="AA6710" s="94"/>
      <c r="AB6710" s="94"/>
      <c r="AC6710" s="94"/>
      <c r="AD6710" s="94"/>
      <c r="AE6710" s="94"/>
      <c r="AF6710" s="94"/>
      <c r="AG6710" s="94"/>
      <c r="AH6710" s="94"/>
    </row>
    <row r="6711" ht="12.75" hidden="1" customHeight="1" outlineLevel="1">
      <c r="A6711" s="122">
        <v>42159.0</v>
      </c>
      <c r="B6711" s="32" t="s">
        <v>347</v>
      </c>
      <c r="C6711" s="32" t="s">
        <v>2048</v>
      </c>
      <c r="D6711" s="708">
        <v>900.0</v>
      </c>
      <c r="E6711" s="195">
        <v>12.181</v>
      </c>
      <c r="F6711" s="709">
        <v>0.6354398148148148</v>
      </c>
      <c r="G6711" s="195" t="s">
        <v>453</v>
      </c>
      <c r="H6711" s="710">
        <v>3.8</v>
      </c>
      <c r="I6711" s="256"/>
      <c r="J6711" s="67">
        <f t="shared" si="405"/>
        <v>10959.1</v>
      </c>
      <c r="L6711" s="70"/>
      <c r="M6711" s="934"/>
      <c r="N6711" s="94"/>
      <c r="O6711" s="94"/>
      <c r="P6711" s="94"/>
      <c r="Q6711" s="94"/>
      <c r="R6711" s="94"/>
      <c r="S6711" s="94"/>
      <c r="T6711" s="94"/>
      <c r="U6711" s="94"/>
      <c r="V6711" s="94"/>
      <c r="W6711" s="94"/>
      <c r="X6711" s="94"/>
      <c r="Y6711" s="94"/>
      <c r="Z6711" s="94"/>
      <c r="AA6711" s="94"/>
      <c r="AB6711" s="94"/>
      <c r="AC6711" s="94"/>
      <c r="AD6711" s="94"/>
      <c r="AE6711" s="94"/>
      <c r="AF6711" s="94"/>
      <c r="AG6711" s="94"/>
      <c r="AH6711" s="94"/>
    </row>
    <row r="6712" ht="12.75" hidden="1" customHeight="1" outlineLevel="1">
      <c r="A6712" s="122">
        <v>42160.0</v>
      </c>
      <c r="B6712" s="1"/>
      <c r="C6712" s="1" t="s">
        <v>339</v>
      </c>
      <c r="D6712" s="74"/>
      <c r="E6712" s="67"/>
      <c r="F6712" s="75"/>
      <c r="G6712" s="67"/>
      <c r="H6712" s="68"/>
      <c r="I6712" s="76"/>
      <c r="K6712" s="968" t="s">
        <v>3000</v>
      </c>
      <c r="L6712" s="934"/>
      <c r="M6712" s="934"/>
    </row>
    <row r="6713" ht="12.75" hidden="1" customHeight="1" outlineLevel="1">
      <c r="A6713" s="122">
        <v>42160.0</v>
      </c>
      <c r="B6713" s="1"/>
      <c r="C6713" s="1" t="s">
        <v>429</v>
      </c>
      <c r="D6713" s="74"/>
      <c r="E6713" s="67"/>
      <c r="F6713" s="75"/>
      <c r="G6713" s="67"/>
      <c r="H6713" s="68"/>
      <c r="I6713" s="76"/>
      <c r="J6713" s="67"/>
      <c r="K6713" s="9" t="s">
        <v>2839</v>
      </c>
      <c r="L6713" s="934"/>
      <c r="M6713" s="934"/>
    </row>
    <row r="6714" ht="12.75" hidden="1" customHeight="1" outlineLevel="1">
      <c r="A6714" s="122">
        <v>42160.0</v>
      </c>
      <c r="B6714" s="1"/>
      <c r="C6714" s="1" t="s">
        <v>431</v>
      </c>
      <c r="D6714" s="74"/>
      <c r="E6714" s="67"/>
      <c r="F6714" s="75"/>
      <c r="G6714" s="67"/>
      <c r="H6714" s="68"/>
      <c r="I6714" s="76"/>
      <c r="J6714" s="67"/>
      <c r="K6714" s="7" t="s">
        <v>1126</v>
      </c>
      <c r="L6714" s="934"/>
      <c r="M6714" s="934"/>
    </row>
    <row r="6715" ht="12.75" hidden="1" customHeight="1" outlineLevel="1">
      <c r="A6715" s="122">
        <v>42160.0</v>
      </c>
      <c r="B6715" s="1"/>
      <c r="C6715" s="1" t="s">
        <v>433</v>
      </c>
      <c r="D6715" s="74"/>
      <c r="E6715" s="67"/>
      <c r="F6715" s="75"/>
      <c r="G6715" s="67"/>
      <c r="H6715" s="68"/>
      <c r="I6715" s="76"/>
      <c r="J6715" s="67"/>
      <c r="K6715" s="7" t="s">
        <v>1103</v>
      </c>
      <c r="L6715" s="934"/>
      <c r="M6715" s="934"/>
    </row>
    <row r="6716" ht="12.75" hidden="1" customHeight="1" outlineLevel="1">
      <c r="A6716" s="122">
        <v>42160.0</v>
      </c>
      <c r="B6716" s="1"/>
      <c r="C6716" s="1" t="s">
        <v>435</v>
      </c>
      <c r="D6716" s="74"/>
      <c r="E6716" s="67"/>
      <c r="F6716" s="75"/>
      <c r="G6716" s="67"/>
      <c r="H6716" s="68"/>
      <c r="I6716" s="76"/>
      <c r="J6716" s="67"/>
      <c r="K6716" s="9" t="s">
        <v>2802</v>
      </c>
      <c r="L6716" s="934"/>
      <c r="M6716" s="934"/>
    </row>
    <row r="6717" ht="12.75" hidden="1" customHeight="1" outlineLevel="1">
      <c r="A6717" s="122">
        <v>42160.0</v>
      </c>
      <c r="B6717" s="32" t="s">
        <v>347</v>
      </c>
      <c r="C6717" s="32" t="s">
        <v>2048</v>
      </c>
      <c r="D6717" s="708">
        <v>100.0</v>
      </c>
      <c r="E6717" s="195">
        <v>12.0832</v>
      </c>
      <c r="F6717" s="709">
        <v>0.404525462962963</v>
      </c>
      <c r="G6717" s="195" t="s">
        <v>453</v>
      </c>
      <c r="H6717" s="710">
        <v>1.02</v>
      </c>
      <c r="I6717" s="256"/>
      <c r="J6717" s="67">
        <f t="shared" ref="J6717:J6727" si="406">IF(B6717="SLD",D6717*E6717,-D6717*E6717)-H6717</f>
        <v>1207.3</v>
      </c>
      <c r="L6717" s="70"/>
      <c r="M6717" s="934"/>
      <c r="N6717" s="94"/>
      <c r="O6717" s="94"/>
      <c r="P6717" s="94"/>
      <c r="Q6717" s="94"/>
      <c r="R6717" s="94"/>
      <c r="S6717" s="94"/>
      <c r="T6717" s="94"/>
      <c r="U6717" s="94"/>
      <c r="V6717" s="94"/>
      <c r="W6717" s="94"/>
      <c r="X6717" s="94"/>
      <c r="Y6717" s="94"/>
      <c r="Z6717" s="94"/>
      <c r="AA6717" s="94"/>
      <c r="AB6717" s="94"/>
      <c r="AC6717" s="94"/>
      <c r="AD6717" s="94"/>
      <c r="AE6717" s="94"/>
      <c r="AF6717" s="94"/>
      <c r="AG6717" s="94"/>
      <c r="AH6717" s="94"/>
    </row>
    <row r="6718" ht="12.75" hidden="1" customHeight="1" outlineLevel="1">
      <c r="A6718" s="122">
        <v>42160.0</v>
      </c>
      <c r="B6718" s="32" t="s">
        <v>347</v>
      </c>
      <c r="C6718" s="32" t="s">
        <v>784</v>
      </c>
      <c r="D6718" s="708">
        <v>100.0</v>
      </c>
      <c r="E6718" s="195">
        <v>6.46</v>
      </c>
      <c r="F6718" s="709">
        <v>0.4045949074074074</v>
      </c>
      <c r="G6718" s="195" t="s">
        <v>453</v>
      </c>
      <c r="H6718" s="710">
        <v>1.01</v>
      </c>
      <c r="I6718" s="256"/>
      <c r="J6718" s="67">
        <f t="shared" si="406"/>
        <v>644.99</v>
      </c>
      <c r="L6718" s="70"/>
      <c r="M6718" s="934"/>
      <c r="N6718" s="94"/>
      <c r="O6718" s="94"/>
      <c r="P6718" s="94"/>
      <c r="Q6718" s="94"/>
      <c r="R6718" s="94"/>
      <c r="S6718" s="94"/>
      <c r="T6718" s="94"/>
      <c r="U6718" s="94"/>
      <c r="V6718" s="94"/>
      <c r="W6718" s="94"/>
      <c r="X6718" s="94"/>
      <c r="Y6718" s="94"/>
      <c r="Z6718" s="94"/>
      <c r="AA6718" s="94"/>
      <c r="AB6718" s="94"/>
      <c r="AC6718" s="94"/>
      <c r="AD6718" s="94"/>
      <c r="AE6718" s="94"/>
      <c r="AF6718" s="94"/>
      <c r="AG6718" s="94"/>
      <c r="AH6718" s="94"/>
    </row>
    <row r="6719" ht="12.75" hidden="1" customHeight="1" outlineLevel="1">
      <c r="A6719" s="122">
        <v>42160.0</v>
      </c>
      <c r="B6719" s="32" t="s">
        <v>347</v>
      </c>
      <c r="C6719" s="32" t="s">
        <v>790</v>
      </c>
      <c r="D6719" s="708">
        <v>1250.0</v>
      </c>
      <c r="E6719" s="195">
        <v>8.47</v>
      </c>
      <c r="F6719" s="709">
        <v>0.4048148148148148</v>
      </c>
      <c r="G6719" s="195" t="s">
        <v>453</v>
      </c>
      <c r="H6719" s="710">
        <v>6.34</v>
      </c>
      <c r="I6719" s="256"/>
      <c r="J6719" s="67">
        <f t="shared" si="406"/>
        <v>10581.16</v>
      </c>
      <c r="L6719" s="70"/>
      <c r="M6719" s="934"/>
      <c r="N6719" s="94"/>
      <c r="O6719" s="94"/>
      <c r="P6719" s="94"/>
      <c r="Q6719" s="94"/>
      <c r="R6719" s="94"/>
      <c r="S6719" s="94"/>
      <c r="T6719" s="94"/>
      <c r="U6719" s="94"/>
      <c r="V6719" s="94"/>
      <c r="W6719" s="94"/>
      <c r="X6719" s="94"/>
      <c r="Y6719" s="94"/>
      <c r="Z6719" s="94"/>
      <c r="AA6719" s="94"/>
      <c r="AB6719" s="94"/>
      <c r="AC6719" s="94"/>
      <c r="AD6719" s="94"/>
      <c r="AE6719" s="94"/>
      <c r="AF6719" s="94"/>
      <c r="AG6719" s="94"/>
      <c r="AH6719" s="94"/>
    </row>
    <row r="6720" ht="12.75" hidden="1" customHeight="1" outlineLevel="1">
      <c r="A6720" s="122">
        <v>42160.0</v>
      </c>
      <c r="B6720" s="32" t="s">
        <v>347</v>
      </c>
      <c r="C6720" s="32" t="s">
        <v>369</v>
      </c>
      <c r="D6720" s="708">
        <v>1000.0</v>
      </c>
      <c r="E6720" s="195">
        <v>5.3</v>
      </c>
      <c r="F6720" s="709">
        <v>0.4049189814814815</v>
      </c>
      <c r="G6720" s="195" t="s">
        <v>453</v>
      </c>
      <c r="H6720" s="710">
        <v>5.1</v>
      </c>
      <c r="I6720" s="256"/>
      <c r="J6720" s="67">
        <f t="shared" si="406"/>
        <v>5294.9</v>
      </c>
      <c r="L6720" s="70"/>
      <c r="M6720" s="934"/>
      <c r="N6720" s="94"/>
      <c r="O6720" s="94"/>
      <c r="P6720" s="94"/>
      <c r="Q6720" s="94"/>
      <c r="R6720" s="94"/>
      <c r="S6720" s="94"/>
      <c r="T6720" s="94"/>
      <c r="U6720" s="94"/>
      <c r="V6720" s="94"/>
      <c r="W6720" s="94"/>
      <c r="X6720" s="94"/>
      <c r="Y6720" s="94"/>
      <c r="Z6720" s="94"/>
      <c r="AA6720" s="94"/>
      <c r="AB6720" s="94"/>
      <c r="AC6720" s="94"/>
      <c r="AD6720" s="94"/>
      <c r="AE6720" s="94"/>
      <c r="AF6720" s="94"/>
      <c r="AG6720" s="94"/>
      <c r="AH6720" s="94"/>
    </row>
    <row r="6721" ht="12.75" hidden="1" customHeight="1" outlineLevel="1">
      <c r="A6721" s="122">
        <v>42160.0</v>
      </c>
      <c r="B6721" s="32" t="s">
        <v>347</v>
      </c>
      <c r="C6721" s="32" t="s">
        <v>2048</v>
      </c>
      <c r="D6721" s="708">
        <v>900.0</v>
      </c>
      <c r="E6721" s="195">
        <v>12.1</v>
      </c>
      <c r="F6721" s="709">
        <v>0.4055902777777778</v>
      </c>
      <c r="G6721" s="195" t="s">
        <v>453</v>
      </c>
      <c r="H6721" s="710">
        <v>4.7</v>
      </c>
      <c r="I6721" s="256"/>
      <c r="J6721" s="67">
        <f t="shared" si="406"/>
        <v>10885.3</v>
      </c>
      <c r="L6721" s="70"/>
      <c r="M6721" s="934"/>
      <c r="N6721" s="94"/>
      <c r="O6721" s="94"/>
      <c r="P6721" s="94"/>
      <c r="Q6721" s="94"/>
      <c r="R6721" s="94"/>
      <c r="S6721" s="94"/>
      <c r="T6721" s="94"/>
      <c r="U6721" s="94"/>
      <c r="V6721" s="94"/>
      <c r="W6721" s="94"/>
      <c r="X6721" s="94"/>
      <c r="Y6721" s="94"/>
      <c r="Z6721" s="94"/>
      <c r="AA6721" s="94"/>
      <c r="AB6721" s="94"/>
      <c r="AC6721" s="94"/>
      <c r="AD6721" s="94"/>
      <c r="AE6721" s="94"/>
      <c r="AF6721" s="94"/>
      <c r="AG6721" s="94"/>
      <c r="AH6721" s="94"/>
    </row>
    <row r="6722" ht="12.75" hidden="1" customHeight="1" outlineLevel="1">
      <c r="A6722" s="122">
        <v>42160.0</v>
      </c>
      <c r="B6722" s="32" t="s">
        <v>347</v>
      </c>
      <c r="C6722" s="32" t="s">
        <v>784</v>
      </c>
      <c r="D6722" s="708">
        <v>1400.0</v>
      </c>
      <c r="E6722" s="195">
        <v>6.46</v>
      </c>
      <c r="F6722" s="709">
        <v>0.4058449074074074</v>
      </c>
      <c r="G6722" s="195" t="s">
        <v>453</v>
      </c>
      <c r="H6722" s="710">
        <v>6.77</v>
      </c>
      <c r="I6722" s="256"/>
      <c r="J6722" s="67">
        <f t="shared" si="406"/>
        <v>9037.23</v>
      </c>
      <c r="L6722" s="70"/>
      <c r="M6722" s="934"/>
      <c r="N6722" s="94"/>
      <c r="O6722" s="94"/>
      <c r="P6722" s="94"/>
      <c r="Q6722" s="94"/>
      <c r="R6722" s="94"/>
      <c r="S6722" s="94"/>
      <c r="T6722" s="94"/>
      <c r="U6722" s="94"/>
      <c r="V6722" s="94"/>
      <c r="W6722" s="94"/>
      <c r="X6722" s="94"/>
      <c r="Y6722" s="94"/>
      <c r="Z6722" s="94"/>
      <c r="AA6722" s="94"/>
      <c r="AB6722" s="94"/>
      <c r="AC6722" s="94"/>
      <c r="AD6722" s="94"/>
      <c r="AE6722" s="94"/>
      <c r="AF6722" s="94"/>
      <c r="AG6722" s="94"/>
      <c r="AH6722" s="94"/>
    </row>
    <row r="6723" ht="12.75" hidden="1" customHeight="1" outlineLevel="1">
      <c r="A6723" s="122">
        <v>42160.0</v>
      </c>
      <c r="B6723" s="32" t="s">
        <v>347</v>
      </c>
      <c r="C6723" s="32" t="s">
        <v>369</v>
      </c>
      <c r="D6723" s="708">
        <v>2000.0</v>
      </c>
      <c r="E6723" s="195">
        <v>5.2032</v>
      </c>
      <c r="F6723" s="709">
        <v>0.4514930555555556</v>
      </c>
      <c r="G6723" s="195" t="s">
        <v>453</v>
      </c>
      <c r="H6723" s="710">
        <v>8.19</v>
      </c>
      <c r="I6723" s="256"/>
      <c r="J6723" s="67">
        <f t="shared" si="406"/>
        <v>10398.21</v>
      </c>
      <c r="L6723" s="70"/>
      <c r="M6723" s="934"/>
      <c r="N6723" s="94"/>
      <c r="O6723" s="94"/>
      <c r="P6723" s="94"/>
      <c r="Q6723" s="94"/>
      <c r="R6723" s="94"/>
      <c r="S6723" s="94"/>
      <c r="T6723" s="94"/>
      <c r="U6723" s="94"/>
      <c r="V6723" s="94"/>
      <c r="W6723" s="94"/>
      <c r="X6723" s="94"/>
      <c r="Y6723" s="94"/>
      <c r="Z6723" s="94"/>
      <c r="AA6723" s="94"/>
      <c r="AB6723" s="94"/>
      <c r="AC6723" s="94"/>
      <c r="AD6723" s="94"/>
      <c r="AE6723" s="94"/>
      <c r="AF6723" s="94"/>
      <c r="AG6723" s="94"/>
      <c r="AH6723" s="94"/>
    </row>
    <row r="6724" ht="12.75" hidden="1" customHeight="1" outlineLevel="1">
      <c r="A6724" s="122">
        <v>42160.0</v>
      </c>
      <c r="B6724" s="32" t="s">
        <v>347</v>
      </c>
      <c r="C6724" s="32" t="s">
        <v>369</v>
      </c>
      <c r="D6724" s="708">
        <v>2500.0</v>
      </c>
      <c r="E6724" s="195">
        <v>5.2232</v>
      </c>
      <c r="F6724" s="709">
        <v>0.46890046296296295</v>
      </c>
      <c r="G6724" s="195" t="s">
        <v>453</v>
      </c>
      <c r="H6724" s="710">
        <v>10.24</v>
      </c>
      <c r="I6724" s="256"/>
      <c r="J6724" s="67">
        <f t="shared" si="406"/>
        <v>13047.76</v>
      </c>
      <c r="L6724" s="70"/>
      <c r="M6724" s="934"/>
      <c r="N6724" s="94"/>
      <c r="O6724" s="94"/>
      <c r="P6724" s="94"/>
      <c r="Q6724" s="94"/>
      <c r="R6724" s="94"/>
      <c r="S6724" s="94"/>
      <c r="T6724" s="94"/>
      <c r="U6724" s="94"/>
      <c r="V6724" s="94"/>
      <c r="W6724" s="94"/>
      <c r="X6724" s="94"/>
      <c r="Y6724" s="94"/>
      <c r="Z6724" s="94"/>
      <c r="AA6724" s="94"/>
      <c r="AB6724" s="94"/>
      <c r="AC6724" s="94"/>
      <c r="AD6724" s="94"/>
      <c r="AE6724" s="94"/>
      <c r="AF6724" s="94"/>
      <c r="AG6724" s="94"/>
      <c r="AH6724" s="94"/>
    </row>
    <row r="6725" ht="12.75" hidden="1" customHeight="1" outlineLevel="1">
      <c r="A6725" s="122">
        <v>42160.0</v>
      </c>
      <c r="B6725" s="32" t="s">
        <v>347</v>
      </c>
      <c r="C6725" s="32" t="s">
        <v>369</v>
      </c>
      <c r="D6725" s="708">
        <v>100.0</v>
      </c>
      <c r="E6725" s="195">
        <v>5.21</v>
      </c>
      <c r="F6725" s="709">
        <v>0.48922453703703705</v>
      </c>
      <c r="G6725" s="195" t="s">
        <v>453</v>
      </c>
      <c r="H6725" s="710">
        <v>1.01</v>
      </c>
      <c r="I6725" s="256"/>
      <c r="J6725" s="67">
        <f t="shared" si="406"/>
        <v>519.99</v>
      </c>
      <c r="L6725" s="70"/>
      <c r="M6725" s="934"/>
      <c r="N6725" s="94"/>
      <c r="O6725" s="94"/>
      <c r="P6725" s="94"/>
      <c r="Q6725" s="94"/>
      <c r="R6725" s="94"/>
      <c r="S6725" s="94"/>
      <c r="T6725" s="94"/>
      <c r="U6725" s="94"/>
      <c r="V6725" s="94"/>
      <c r="W6725" s="94"/>
      <c r="X6725" s="94"/>
      <c r="Y6725" s="94"/>
      <c r="Z6725" s="94"/>
      <c r="AA6725" s="94"/>
      <c r="AB6725" s="94"/>
      <c r="AC6725" s="94"/>
      <c r="AD6725" s="94"/>
      <c r="AE6725" s="94"/>
      <c r="AF6725" s="94"/>
      <c r="AG6725" s="94"/>
      <c r="AH6725" s="94"/>
    </row>
    <row r="6726" ht="12.75" hidden="1" customHeight="1" outlineLevel="1">
      <c r="A6726" s="122">
        <v>42160.0</v>
      </c>
      <c r="B6726" s="32" t="s">
        <v>347</v>
      </c>
      <c r="C6726" s="32" t="s">
        <v>369</v>
      </c>
      <c r="D6726" s="708">
        <v>1900.0</v>
      </c>
      <c r="E6726" s="195">
        <v>5.21</v>
      </c>
      <c r="F6726" s="709">
        <v>0.489375</v>
      </c>
      <c r="G6726" s="195" t="s">
        <v>453</v>
      </c>
      <c r="H6726" s="710">
        <v>9.68</v>
      </c>
      <c r="I6726" s="256"/>
      <c r="J6726" s="67">
        <f t="shared" si="406"/>
        <v>9889.32</v>
      </c>
      <c r="L6726" s="70"/>
      <c r="M6726" s="934"/>
      <c r="N6726" s="94"/>
      <c r="O6726" s="94"/>
      <c r="P6726" s="94"/>
      <c r="Q6726" s="94"/>
      <c r="R6726" s="94"/>
      <c r="S6726" s="94"/>
      <c r="T6726" s="94"/>
      <c r="U6726" s="94"/>
      <c r="V6726" s="94"/>
      <c r="W6726" s="94"/>
      <c r="X6726" s="94"/>
      <c r="Y6726" s="94"/>
      <c r="Z6726" s="94"/>
      <c r="AA6726" s="94"/>
      <c r="AB6726" s="94"/>
      <c r="AC6726" s="94"/>
      <c r="AD6726" s="94"/>
      <c r="AE6726" s="94"/>
      <c r="AF6726" s="94"/>
      <c r="AG6726" s="94"/>
      <c r="AH6726" s="94"/>
    </row>
    <row r="6727" ht="12.75" hidden="1" customHeight="1" outlineLevel="1">
      <c r="A6727" s="122">
        <v>42160.0</v>
      </c>
      <c r="B6727" s="32" t="s">
        <v>347</v>
      </c>
      <c r="C6727" s="32" t="s">
        <v>784</v>
      </c>
      <c r="D6727" s="708">
        <v>2000.0</v>
      </c>
      <c r="E6727" s="195">
        <v>6.451</v>
      </c>
      <c r="F6727" s="709">
        <v>0.4894791666666667</v>
      </c>
      <c r="G6727" s="195" t="s">
        <v>453</v>
      </c>
      <c r="H6727" s="710">
        <v>9.14</v>
      </c>
      <c r="I6727" s="256"/>
      <c r="J6727" s="67">
        <f t="shared" si="406"/>
        <v>12892.86</v>
      </c>
      <c r="L6727" s="70"/>
      <c r="M6727" s="934"/>
      <c r="N6727" s="94"/>
      <c r="O6727" s="94"/>
      <c r="P6727" s="94"/>
      <c r="Q6727" s="94"/>
      <c r="R6727" s="94"/>
      <c r="S6727" s="94"/>
      <c r="T6727" s="94"/>
      <c r="U6727" s="94"/>
      <c r="V6727" s="94"/>
      <c r="W6727" s="94"/>
      <c r="X6727" s="94"/>
      <c r="Y6727" s="94"/>
      <c r="Z6727" s="94"/>
      <c r="AA6727" s="94"/>
      <c r="AB6727" s="94"/>
      <c r="AC6727" s="94"/>
      <c r="AD6727" s="94"/>
      <c r="AE6727" s="94"/>
      <c r="AF6727" s="94"/>
      <c r="AG6727" s="94"/>
      <c r="AH6727" s="94"/>
    </row>
    <row r="6728" ht="12.75" hidden="1" customHeight="1" outlineLevel="1">
      <c r="A6728" s="122">
        <v>42160.0</v>
      </c>
      <c r="B6728" s="1"/>
      <c r="C6728" s="1" t="s">
        <v>339</v>
      </c>
      <c r="D6728" s="74"/>
      <c r="E6728" s="67"/>
      <c r="F6728" s="75"/>
      <c r="G6728" s="67"/>
      <c r="H6728" s="68"/>
      <c r="I6728" s="76"/>
      <c r="K6728" s="968" t="s">
        <v>3000</v>
      </c>
      <c r="L6728" s="934"/>
      <c r="M6728" s="934"/>
    </row>
    <row r="6729" ht="12.75" hidden="1" customHeight="1" outlineLevel="1">
      <c r="A6729" s="122">
        <v>42160.0</v>
      </c>
      <c r="B6729" s="1"/>
      <c r="C6729" s="1" t="s">
        <v>429</v>
      </c>
      <c r="D6729" s="74"/>
      <c r="E6729" s="67"/>
      <c r="F6729" s="75"/>
      <c r="G6729" s="67"/>
      <c r="H6729" s="68"/>
      <c r="I6729" s="76"/>
      <c r="J6729" s="67"/>
      <c r="K6729" s="9" t="s">
        <v>2839</v>
      </c>
      <c r="L6729" s="934"/>
      <c r="M6729" s="934"/>
    </row>
    <row r="6730" ht="12.75" hidden="1" customHeight="1" outlineLevel="1">
      <c r="A6730" s="122">
        <v>42160.0</v>
      </c>
      <c r="B6730" s="1"/>
      <c r="C6730" s="1" t="s">
        <v>431</v>
      </c>
      <c r="D6730" s="74"/>
      <c r="E6730" s="67"/>
      <c r="F6730" s="75"/>
      <c r="G6730" s="67"/>
      <c r="H6730" s="68"/>
      <c r="I6730" s="76"/>
      <c r="J6730" s="67"/>
      <c r="K6730" s="7" t="s">
        <v>1126</v>
      </c>
      <c r="L6730" s="934"/>
      <c r="M6730" s="934"/>
    </row>
    <row r="6731" ht="12.75" hidden="1" customHeight="1" outlineLevel="1">
      <c r="A6731" s="122">
        <v>42160.0</v>
      </c>
      <c r="B6731" s="1"/>
      <c r="C6731" s="1" t="s">
        <v>433</v>
      </c>
      <c r="D6731" s="74"/>
      <c r="E6731" s="67"/>
      <c r="F6731" s="75"/>
      <c r="G6731" s="67"/>
      <c r="H6731" s="68"/>
      <c r="I6731" s="76"/>
      <c r="J6731" s="67"/>
      <c r="K6731" s="7" t="s">
        <v>1103</v>
      </c>
      <c r="L6731" s="934"/>
      <c r="M6731" s="934"/>
    </row>
    <row r="6732" ht="12.75" hidden="1" customHeight="1" outlineLevel="1">
      <c r="A6732" s="122">
        <v>42160.0</v>
      </c>
      <c r="B6732" s="1"/>
      <c r="C6732" s="1" t="s">
        <v>435</v>
      </c>
      <c r="D6732" s="74"/>
      <c r="E6732" s="67"/>
      <c r="F6732" s="75"/>
      <c r="G6732" s="67"/>
      <c r="H6732" s="68"/>
      <c r="I6732" s="76"/>
      <c r="J6732" s="67"/>
      <c r="K6732" s="9" t="s">
        <v>2802</v>
      </c>
      <c r="L6732" s="934"/>
      <c r="M6732" s="934"/>
    </row>
    <row r="6733" ht="12.75" hidden="1" customHeight="1" outlineLevel="1">
      <c r="A6733" s="122">
        <v>42160.0</v>
      </c>
      <c r="B6733" s="32" t="s">
        <v>347</v>
      </c>
      <c r="C6733" s="32" t="s">
        <v>369</v>
      </c>
      <c r="D6733" s="708">
        <v>4000.0</v>
      </c>
      <c r="E6733" s="195">
        <v>5.1801</v>
      </c>
      <c r="F6733" s="709">
        <v>0.43105324074074075</v>
      </c>
      <c r="G6733" s="195" t="s">
        <v>453</v>
      </c>
      <c r="H6733" s="710">
        <v>16.38</v>
      </c>
      <c r="I6733" s="256"/>
      <c r="J6733" s="67">
        <f t="shared" ref="J6733:J6741" si="407">IF(B6733="SLD",D6733*E6733,-D6733*E6733)-H6733</f>
        <v>20704.02</v>
      </c>
      <c r="L6733" s="70"/>
      <c r="M6733" s="934"/>
      <c r="N6733" s="94"/>
      <c r="O6733" s="94"/>
      <c r="P6733" s="94"/>
      <c r="Q6733" s="94"/>
      <c r="R6733" s="94"/>
      <c r="S6733" s="94"/>
      <c r="T6733" s="94"/>
      <c r="U6733" s="94"/>
      <c r="V6733" s="94"/>
      <c r="W6733" s="94"/>
      <c r="X6733" s="94"/>
      <c r="Y6733" s="94"/>
      <c r="Z6733" s="94"/>
      <c r="AA6733" s="94"/>
      <c r="AB6733" s="94"/>
      <c r="AC6733" s="94"/>
      <c r="AD6733" s="94"/>
      <c r="AE6733" s="94"/>
      <c r="AF6733" s="94"/>
      <c r="AG6733" s="94"/>
      <c r="AH6733" s="94"/>
    </row>
    <row r="6734" ht="12.75" hidden="1" customHeight="1" outlineLevel="1">
      <c r="A6734" s="122">
        <v>42160.0</v>
      </c>
      <c r="B6734" s="32" t="s">
        <v>347</v>
      </c>
      <c r="C6734" s="32" t="s">
        <v>369</v>
      </c>
      <c r="D6734" s="708">
        <v>3000.0</v>
      </c>
      <c r="E6734" s="195">
        <v>5.15</v>
      </c>
      <c r="F6734" s="709">
        <v>0.4465625</v>
      </c>
      <c r="G6734" s="195" t="s">
        <v>453</v>
      </c>
      <c r="H6734" s="710">
        <v>15.18</v>
      </c>
      <c r="I6734" s="256"/>
      <c r="J6734" s="67">
        <f t="shared" si="407"/>
        <v>15434.82</v>
      </c>
      <c r="L6734" s="70"/>
      <c r="M6734" s="934"/>
      <c r="N6734" s="94"/>
      <c r="O6734" s="94"/>
      <c r="P6734" s="94"/>
      <c r="Q6734" s="94"/>
      <c r="R6734" s="94"/>
      <c r="S6734" s="94"/>
      <c r="T6734" s="94"/>
      <c r="U6734" s="94"/>
      <c r="V6734" s="94"/>
      <c r="W6734" s="94"/>
      <c r="X6734" s="94"/>
      <c r="Y6734" s="94"/>
      <c r="Z6734" s="94"/>
      <c r="AA6734" s="94"/>
      <c r="AB6734" s="94"/>
      <c r="AC6734" s="94"/>
      <c r="AD6734" s="94"/>
      <c r="AE6734" s="94"/>
      <c r="AF6734" s="94"/>
      <c r="AG6734" s="94"/>
      <c r="AH6734" s="94"/>
    </row>
    <row r="6735" ht="12.75" hidden="1" customHeight="1" outlineLevel="1">
      <c r="A6735" s="122">
        <v>42160.0</v>
      </c>
      <c r="B6735" s="32" t="s">
        <v>347</v>
      </c>
      <c r="C6735" s="32" t="s">
        <v>369</v>
      </c>
      <c r="D6735" s="708">
        <v>3000.0</v>
      </c>
      <c r="E6735" s="195">
        <v>5.13</v>
      </c>
      <c r="F6735" s="709">
        <v>0.45305555555555554</v>
      </c>
      <c r="G6735" s="195" t="s">
        <v>453</v>
      </c>
      <c r="H6735" s="710">
        <v>12.28</v>
      </c>
      <c r="I6735" s="256"/>
      <c r="J6735" s="67">
        <f t="shared" si="407"/>
        <v>15377.72</v>
      </c>
      <c r="L6735" s="70"/>
      <c r="M6735" s="934"/>
      <c r="N6735" s="94"/>
      <c r="O6735" s="94"/>
      <c r="P6735" s="94"/>
      <c r="Q6735" s="94"/>
      <c r="R6735" s="94"/>
      <c r="S6735" s="94"/>
      <c r="T6735" s="94"/>
      <c r="U6735" s="94"/>
      <c r="V6735" s="94"/>
      <c r="W6735" s="94"/>
      <c r="X6735" s="94"/>
      <c r="Y6735" s="94"/>
      <c r="Z6735" s="94"/>
      <c r="AA6735" s="94"/>
      <c r="AB6735" s="94"/>
      <c r="AC6735" s="94"/>
      <c r="AD6735" s="94"/>
      <c r="AE6735" s="94"/>
      <c r="AF6735" s="94"/>
      <c r="AG6735" s="94"/>
      <c r="AH6735" s="94"/>
    </row>
    <row r="6736" ht="12.75" hidden="1" customHeight="1" outlineLevel="1">
      <c r="A6736" s="122">
        <v>42160.0</v>
      </c>
      <c r="B6736" s="32" t="s">
        <v>347</v>
      </c>
      <c r="C6736" s="32" t="s">
        <v>369</v>
      </c>
      <c r="D6736" s="708">
        <v>7000.0</v>
      </c>
      <c r="E6736" s="195">
        <v>5.09</v>
      </c>
      <c r="F6736" s="709">
        <v>0.46015046296296297</v>
      </c>
      <c r="G6736" s="195" t="s">
        <v>453</v>
      </c>
      <c r="H6736" s="710">
        <v>34.46</v>
      </c>
      <c r="I6736" s="256"/>
      <c r="J6736" s="67">
        <f t="shared" si="407"/>
        <v>35595.54</v>
      </c>
      <c r="L6736" s="70"/>
      <c r="M6736" s="934"/>
      <c r="N6736" s="94"/>
      <c r="O6736" s="94"/>
      <c r="P6736" s="94"/>
      <c r="Q6736" s="94"/>
      <c r="R6736" s="94"/>
      <c r="S6736" s="94"/>
      <c r="T6736" s="94"/>
      <c r="U6736" s="94"/>
      <c r="V6736" s="94"/>
      <c r="W6736" s="94"/>
      <c r="X6736" s="94"/>
      <c r="Y6736" s="94"/>
      <c r="Z6736" s="94"/>
      <c r="AA6736" s="94"/>
      <c r="AB6736" s="94"/>
      <c r="AC6736" s="94"/>
      <c r="AD6736" s="94"/>
      <c r="AE6736" s="94"/>
      <c r="AF6736" s="94"/>
      <c r="AG6736" s="94"/>
      <c r="AH6736" s="94"/>
    </row>
    <row r="6737" ht="12.75" hidden="1" customHeight="1" outlineLevel="1">
      <c r="A6737" s="122">
        <v>42160.0</v>
      </c>
      <c r="B6737" s="32" t="s">
        <v>347</v>
      </c>
      <c r="C6737" s="32" t="s">
        <v>2048</v>
      </c>
      <c r="D6737" s="708">
        <v>1000.0</v>
      </c>
      <c r="E6737" s="195">
        <v>12.48</v>
      </c>
      <c r="F6737" s="709">
        <v>0.46684027777777776</v>
      </c>
      <c r="G6737" s="195" t="s">
        <v>453</v>
      </c>
      <c r="H6737" s="710">
        <v>4.23</v>
      </c>
      <c r="I6737" s="256"/>
      <c r="J6737" s="67">
        <f t="shared" si="407"/>
        <v>12475.77</v>
      </c>
      <c r="L6737" s="70"/>
      <c r="M6737" s="934"/>
      <c r="N6737" s="94"/>
      <c r="O6737" s="94"/>
      <c r="P6737" s="94"/>
      <c r="Q6737" s="94"/>
      <c r="R6737" s="94"/>
      <c r="S6737" s="94"/>
      <c r="T6737" s="94"/>
      <c r="U6737" s="94"/>
      <c r="V6737" s="94"/>
      <c r="W6737" s="94"/>
      <c r="X6737" s="94"/>
      <c r="Y6737" s="94"/>
      <c r="Z6737" s="94"/>
      <c r="AA6737" s="94"/>
      <c r="AB6737" s="94"/>
      <c r="AC6737" s="94"/>
      <c r="AD6737" s="94"/>
      <c r="AE6737" s="94"/>
      <c r="AF6737" s="94"/>
      <c r="AG6737" s="94"/>
      <c r="AH6737" s="94"/>
    </row>
    <row r="6738" ht="12.75" hidden="1" customHeight="1" outlineLevel="1">
      <c r="A6738" s="122">
        <v>42160.0</v>
      </c>
      <c r="B6738" s="32" t="s">
        <v>347</v>
      </c>
      <c r="C6738" s="32" t="s">
        <v>369</v>
      </c>
      <c r="D6738" s="708">
        <v>3000.0</v>
      </c>
      <c r="E6738" s="195">
        <v>5.01</v>
      </c>
      <c r="F6738" s="709">
        <v>0.5999305555555555</v>
      </c>
      <c r="G6738" s="195" t="s">
        <v>453</v>
      </c>
      <c r="H6738" s="710">
        <v>14.78</v>
      </c>
      <c r="I6738" s="256"/>
      <c r="J6738" s="67">
        <f t="shared" si="407"/>
        <v>15015.22</v>
      </c>
      <c r="L6738" s="70"/>
      <c r="M6738" s="934"/>
      <c r="N6738" s="94"/>
      <c r="O6738" s="94"/>
      <c r="P6738" s="94"/>
      <c r="Q6738" s="94"/>
      <c r="R6738" s="94"/>
      <c r="S6738" s="94"/>
      <c r="T6738" s="94"/>
      <c r="U6738" s="94"/>
      <c r="V6738" s="94"/>
      <c r="W6738" s="94"/>
      <c r="X6738" s="94"/>
      <c r="Y6738" s="94"/>
      <c r="Z6738" s="94"/>
      <c r="AA6738" s="94"/>
      <c r="AB6738" s="94"/>
      <c r="AC6738" s="94"/>
      <c r="AD6738" s="94"/>
      <c r="AE6738" s="94"/>
      <c r="AF6738" s="94"/>
      <c r="AG6738" s="94"/>
      <c r="AH6738" s="94"/>
    </row>
    <row r="6739" ht="12.75" hidden="1" customHeight="1" outlineLevel="1">
      <c r="A6739" s="122">
        <v>42160.0</v>
      </c>
      <c r="B6739" s="32" t="s">
        <v>347</v>
      </c>
      <c r="C6739" s="32" t="s">
        <v>784</v>
      </c>
      <c r="D6739" s="708">
        <v>2000.0</v>
      </c>
      <c r="E6739" s="195">
        <v>6.46</v>
      </c>
      <c r="F6739" s="709">
        <v>0.6063425925925926</v>
      </c>
      <c r="G6739" s="195" t="s">
        <v>453</v>
      </c>
      <c r="H6739" s="710">
        <v>8.24</v>
      </c>
      <c r="I6739" s="256"/>
      <c r="J6739" s="67">
        <f t="shared" si="407"/>
        <v>12911.76</v>
      </c>
      <c r="L6739" s="70"/>
      <c r="M6739" s="934"/>
      <c r="N6739" s="94"/>
      <c r="O6739" s="94"/>
      <c r="P6739" s="94"/>
      <c r="Q6739" s="94"/>
      <c r="R6739" s="94"/>
      <c r="S6739" s="94"/>
      <c r="T6739" s="94"/>
      <c r="U6739" s="94"/>
      <c r="V6739" s="94"/>
      <c r="W6739" s="94"/>
      <c r="X6739" s="94"/>
      <c r="Y6739" s="94"/>
      <c r="Z6739" s="94"/>
      <c r="AA6739" s="94"/>
      <c r="AB6739" s="94"/>
      <c r="AC6739" s="94"/>
      <c r="AD6739" s="94"/>
      <c r="AE6739" s="94"/>
      <c r="AF6739" s="94"/>
      <c r="AG6739" s="94"/>
      <c r="AH6739" s="94"/>
    </row>
    <row r="6740" ht="12.75" hidden="1" customHeight="1" outlineLevel="1">
      <c r="A6740" s="122">
        <v>42160.0</v>
      </c>
      <c r="B6740" s="32" t="s">
        <v>343</v>
      </c>
      <c r="C6740" s="32" t="s">
        <v>790</v>
      </c>
      <c r="D6740" s="708">
        <v>2000.0</v>
      </c>
      <c r="E6740" s="195">
        <v>8.8</v>
      </c>
      <c r="F6740" s="709">
        <v>0.6487847222222223</v>
      </c>
      <c r="G6740" s="195" t="s">
        <v>453</v>
      </c>
      <c r="H6740" s="710">
        <v>8.0</v>
      </c>
      <c r="I6740" s="256"/>
      <c r="J6740" s="67">
        <f t="shared" si="407"/>
        <v>-17608</v>
      </c>
      <c r="L6740" s="70"/>
      <c r="M6740" s="934"/>
      <c r="N6740" s="94"/>
      <c r="O6740" s="94"/>
      <c r="P6740" s="94"/>
      <c r="Q6740" s="94"/>
      <c r="R6740" s="94"/>
      <c r="S6740" s="94"/>
      <c r="T6740" s="94"/>
      <c r="U6740" s="94"/>
      <c r="V6740" s="94"/>
      <c r="W6740" s="94"/>
      <c r="X6740" s="94"/>
      <c r="Y6740" s="94"/>
      <c r="Z6740" s="94"/>
      <c r="AA6740" s="94"/>
      <c r="AB6740" s="94"/>
      <c r="AC6740" s="94"/>
      <c r="AD6740" s="94"/>
      <c r="AE6740" s="94"/>
      <c r="AF6740" s="94"/>
      <c r="AG6740" s="94"/>
      <c r="AH6740" s="94"/>
    </row>
    <row r="6741" ht="12.75" hidden="1" customHeight="1" outlineLevel="1">
      <c r="A6741" s="122">
        <v>42160.0</v>
      </c>
      <c r="B6741" s="32" t="s">
        <v>343</v>
      </c>
      <c r="C6741" s="32" t="s">
        <v>790</v>
      </c>
      <c r="D6741" s="708">
        <v>2000.0</v>
      </c>
      <c r="E6741" s="195">
        <v>8.8</v>
      </c>
      <c r="F6741" s="709">
        <v>0.6496064814814815</v>
      </c>
      <c r="G6741" s="195" t="s">
        <v>453</v>
      </c>
      <c r="H6741" s="710">
        <v>8.0</v>
      </c>
      <c r="I6741" s="256"/>
      <c r="J6741" s="67">
        <f t="shared" si="407"/>
        <v>-17608</v>
      </c>
      <c r="L6741" s="70"/>
      <c r="M6741" s="934"/>
      <c r="N6741" s="94"/>
      <c r="O6741" s="94"/>
      <c r="P6741" s="94"/>
      <c r="Q6741" s="94"/>
      <c r="R6741" s="94"/>
      <c r="S6741" s="94"/>
      <c r="T6741" s="94"/>
      <c r="U6741" s="94"/>
      <c r="V6741" s="94"/>
      <c r="W6741" s="94"/>
      <c r="X6741" s="94"/>
      <c r="Y6741" s="94"/>
      <c r="Z6741" s="94"/>
      <c r="AA6741" s="94"/>
      <c r="AB6741" s="94"/>
      <c r="AC6741" s="94"/>
      <c r="AD6741" s="94"/>
      <c r="AE6741" s="94"/>
      <c r="AF6741" s="94"/>
      <c r="AG6741" s="94"/>
      <c r="AH6741" s="94"/>
    </row>
    <row r="6742" ht="12.75" hidden="1" customHeight="1" outlineLevel="1">
      <c r="A6742" s="122">
        <v>42163.0</v>
      </c>
      <c r="B6742" s="1"/>
      <c r="C6742" s="1" t="s">
        <v>339</v>
      </c>
      <c r="D6742" s="74"/>
      <c r="E6742" s="67"/>
      <c r="F6742" s="75"/>
      <c r="G6742" s="67"/>
      <c r="H6742" s="68"/>
      <c r="I6742" s="76"/>
      <c r="K6742" s="968" t="s">
        <v>3001</v>
      </c>
      <c r="L6742" s="934"/>
      <c r="M6742" s="934"/>
    </row>
    <row r="6743" ht="12.75" hidden="1" customHeight="1" outlineLevel="1">
      <c r="A6743" s="122">
        <v>42163.0</v>
      </c>
      <c r="B6743" s="1"/>
      <c r="C6743" s="1" t="s">
        <v>429</v>
      </c>
      <c r="D6743" s="74"/>
      <c r="E6743" s="67"/>
      <c r="F6743" s="75"/>
      <c r="G6743" s="67"/>
      <c r="H6743" s="68"/>
      <c r="I6743" s="76"/>
      <c r="J6743" s="67"/>
      <c r="K6743" s="9" t="s">
        <v>2839</v>
      </c>
      <c r="L6743" s="934"/>
      <c r="M6743" s="934"/>
    </row>
    <row r="6744" ht="12.75" hidden="1" customHeight="1" outlineLevel="1">
      <c r="A6744" s="122">
        <v>42163.0</v>
      </c>
      <c r="B6744" s="1"/>
      <c r="C6744" s="1" t="s">
        <v>431</v>
      </c>
      <c r="D6744" s="74"/>
      <c r="E6744" s="67"/>
      <c r="F6744" s="75"/>
      <c r="G6744" s="67"/>
      <c r="H6744" s="68"/>
      <c r="I6744" s="76"/>
      <c r="J6744" s="67"/>
      <c r="K6744" s="7" t="s">
        <v>1126</v>
      </c>
      <c r="L6744" s="934"/>
      <c r="M6744" s="934"/>
    </row>
    <row r="6745" ht="12.75" hidden="1" customHeight="1" outlineLevel="1">
      <c r="A6745" s="122">
        <v>42163.0</v>
      </c>
      <c r="B6745" s="1"/>
      <c r="C6745" s="1" t="s">
        <v>433</v>
      </c>
      <c r="D6745" s="74"/>
      <c r="E6745" s="67"/>
      <c r="F6745" s="75"/>
      <c r="G6745" s="67"/>
      <c r="H6745" s="68"/>
      <c r="I6745" s="76"/>
      <c r="J6745" s="67"/>
      <c r="K6745" s="7" t="s">
        <v>1103</v>
      </c>
      <c r="L6745" s="934"/>
      <c r="M6745" s="934"/>
    </row>
    <row r="6746" ht="12.75" hidden="1" customHeight="1" outlineLevel="1">
      <c r="A6746" s="122">
        <v>42163.0</v>
      </c>
      <c r="B6746" s="1"/>
      <c r="C6746" s="1" t="s">
        <v>435</v>
      </c>
      <c r="D6746" s="74"/>
      <c r="E6746" s="67"/>
      <c r="F6746" s="75"/>
      <c r="G6746" s="67"/>
      <c r="H6746" s="68"/>
      <c r="I6746" s="76"/>
      <c r="J6746" s="67"/>
      <c r="K6746" s="9" t="s">
        <v>2802</v>
      </c>
      <c r="L6746" s="934"/>
      <c r="M6746" s="934"/>
    </row>
    <row r="6747" ht="12.75" hidden="1" customHeight="1" outlineLevel="1">
      <c r="A6747" s="122">
        <v>42165.0</v>
      </c>
      <c r="B6747" s="32" t="s">
        <v>343</v>
      </c>
      <c r="C6747" s="32" t="s">
        <v>2098</v>
      </c>
      <c r="D6747" s="708">
        <v>115.0</v>
      </c>
      <c r="E6747" s="195">
        <v>58.89</v>
      </c>
      <c r="F6747" s="709">
        <v>0.44658564814814816</v>
      </c>
      <c r="G6747" s="195" t="s">
        <v>453</v>
      </c>
      <c r="H6747" s="710">
        <v>1.0</v>
      </c>
      <c r="I6747" s="256"/>
      <c r="J6747" s="67">
        <f>IF(B6747="SLD",D6747*E6747,-D6747*E6747)-H6747</f>
        <v>-6773.35</v>
      </c>
      <c r="L6747" s="70"/>
      <c r="M6747" s="934"/>
      <c r="N6747" s="94"/>
      <c r="O6747" s="94"/>
      <c r="P6747" s="94"/>
      <c r="Q6747" s="94"/>
      <c r="R6747" s="94"/>
      <c r="S6747" s="94"/>
      <c r="T6747" s="94"/>
      <c r="U6747" s="94"/>
      <c r="V6747" s="94"/>
      <c r="W6747" s="94"/>
      <c r="X6747" s="94"/>
      <c r="Y6747" s="94"/>
      <c r="Z6747" s="94"/>
      <c r="AA6747" s="94"/>
      <c r="AB6747" s="94"/>
      <c r="AC6747" s="94"/>
      <c r="AD6747" s="94"/>
      <c r="AE6747" s="94"/>
      <c r="AF6747" s="94"/>
      <c r="AG6747" s="94"/>
      <c r="AH6747" s="94"/>
    </row>
    <row r="6748" ht="12.75" hidden="1" customHeight="1" outlineLevel="1">
      <c r="A6748" s="122">
        <v>42165.0</v>
      </c>
      <c r="B6748" s="1"/>
      <c r="C6748" s="1" t="s">
        <v>339</v>
      </c>
      <c r="D6748" s="74"/>
      <c r="E6748" s="67"/>
      <c r="F6748" s="75"/>
      <c r="G6748" s="67"/>
      <c r="H6748" s="68"/>
      <c r="I6748" s="76"/>
      <c r="K6748" s="968" t="s">
        <v>3002</v>
      </c>
      <c r="L6748" s="934"/>
      <c r="M6748" s="934"/>
    </row>
    <row r="6749" ht="12.75" hidden="1" customHeight="1" outlineLevel="1">
      <c r="A6749" s="122">
        <v>42165.0</v>
      </c>
      <c r="B6749" s="1"/>
      <c r="C6749" s="1" t="s">
        <v>429</v>
      </c>
      <c r="D6749" s="74"/>
      <c r="E6749" s="67"/>
      <c r="F6749" s="75"/>
      <c r="G6749" s="67"/>
      <c r="H6749" s="68"/>
      <c r="I6749" s="76"/>
      <c r="J6749" s="67"/>
      <c r="K6749" s="9" t="s">
        <v>2839</v>
      </c>
      <c r="L6749" s="934"/>
      <c r="M6749" s="934"/>
    </row>
    <row r="6750" ht="12.75" hidden="1" customHeight="1" outlineLevel="1">
      <c r="A6750" s="122">
        <v>42165.0</v>
      </c>
      <c r="B6750" s="1"/>
      <c r="C6750" s="1" t="s">
        <v>431</v>
      </c>
      <c r="D6750" s="74"/>
      <c r="E6750" s="67"/>
      <c r="F6750" s="75"/>
      <c r="G6750" s="67"/>
      <c r="H6750" s="68"/>
      <c r="I6750" s="76"/>
      <c r="J6750" s="67"/>
      <c r="K6750" s="7" t="s">
        <v>1126</v>
      </c>
      <c r="L6750" s="934"/>
      <c r="M6750" s="934"/>
    </row>
    <row r="6751" ht="12.75" hidden="1" customHeight="1" outlineLevel="1">
      <c r="A6751" s="122">
        <v>42165.0</v>
      </c>
      <c r="B6751" s="1"/>
      <c r="C6751" s="1" t="s">
        <v>433</v>
      </c>
      <c r="D6751" s="74"/>
      <c r="E6751" s="67"/>
      <c r="F6751" s="75"/>
      <c r="G6751" s="67"/>
      <c r="H6751" s="68"/>
      <c r="I6751" s="76"/>
      <c r="J6751" s="67"/>
      <c r="K6751" s="7" t="s">
        <v>1103</v>
      </c>
      <c r="L6751" s="934"/>
      <c r="M6751" s="934"/>
    </row>
    <row r="6752" ht="12.75" hidden="1" customHeight="1" outlineLevel="1">
      <c r="A6752" s="122">
        <v>42165.0</v>
      </c>
      <c r="B6752" s="1"/>
      <c r="C6752" s="1" t="s">
        <v>435</v>
      </c>
      <c r="D6752" s="74"/>
      <c r="E6752" s="67"/>
      <c r="F6752" s="75"/>
      <c r="G6752" s="67"/>
      <c r="H6752" s="68"/>
      <c r="I6752" s="76"/>
      <c r="J6752" s="67"/>
      <c r="K6752" s="9" t="s">
        <v>2802</v>
      </c>
      <c r="L6752" s="934"/>
      <c r="M6752" s="934"/>
    </row>
    <row r="6753" ht="12.75" hidden="1" customHeight="1" outlineLevel="1">
      <c r="A6753" s="122">
        <v>42166.0</v>
      </c>
      <c r="B6753" s="32" t="s">
        <v>347</v>
      </c>
      <c r="C6753" s="32" t="s">
        <v>790</v>
      </c>
      <c r="D6753" s="708">
        <v>4000.0</v>
      </c>
      <c r="E6753" s="195">
        <v>8.93</v>
      </c>
      <c r="F6753" s="709">
        <v>0.4091550925925926</v>
      </c>
      <c r="G6753" s="195" t="s">
        <v>453</v>
      </c>
      <c r="H6753" s="710">
        <v>20.66</v>
      </c>
      <c r="I6753" s="256"/>
      <c r="J6753" s="67">
        <f t="shared" ref="J6753:J6768" si="408">IF(B6753="SLD",D6753*E6753,-D6753*E6753)-H6753</f>
        <v>35699.34</v>
      </c>
      <c r="L6753" s="70"/>
      <c r="M6753" s="934"/>
      <c r="N6753" s="94"/>
      <c r="O6753" s="94"/>
      <c r="P6753" s="94"/>
      <c r="Q6753" s="94"/>
      <c r="R6753" s="94"/>
      <c r="S6753" s="94"/>
      <c r="T6753" s="94"/>
      <c r="U6753" s="94"/>
      <c r="V6753" s="94"/>
      <c r="W6753" s="94"/>
      <c r="X6753" s="94"/>
      <c r="Y6753" s="94"/>
      <c r="Z6753" s="94"/>
      <c r="AA6753" s="94"/>
      <c r="AB6753" s="94"/>
      <c r="AC6753" s="94"/>
      <c r="AD6753" s="94"/>
      <c r="AE6753" s="94"/>
      <c r="AF6753" s="94"/>
      <c r="AG6753" s="94"/>
      <c r="AH6753" s="94"/>
    </row>
    <row r="6754" ht="12.75" hidden="1" customHeight="1" outlineLevel="1">
      <c r="A6754" s="122">
        <v>42166.0</v>
      </c>
      <c r="B6754" s="32" t="s">
        <v>343</v>
      </c>
      <c r="C6754" s="32" t="s">
        <v>784</v>
      </c>
      <c r="D6754" s="708">
        <v>2000.0</v>
      </c>
      <c r="E6754" s="195">
        <v>6.86</v>
      </c>
      <c r="F6754" s="709">
        <v>0.6208912037037037</v>
      </c>
      <c r="G6754" s="195" t="s">
        <v>453</v>
      </c>
      <c r="H6754" s="710">
        <v>9.7</v>
      </c>
      <c r="I6754" s="256"/>
      <c r="J6754" s="67">
        <f t="shared" si="408"/>
        <v>-13729.7</v>
      </c>
      <c r="L6754" s="70"/>
      <c r="M6754" s="934"/>
      <c r="N6754" s="94"/>
      <c r="O6754" s="94"/>
      <c r="P6754" s="94"/>
      <c r="Q6754" s="94"/>
      <c r="R6754" s="94"/>
      <c r="S6754" s="94"/>
      <c r="T6754" s="94"/>
      <c r="U6754" s="94"/>
      <c r="V6754" s="94"/>
      <c r="W6754" s="94"/>
      <c r="X6754" s="94"/>
      <c r="Y6754" s="94"/>
      <c r="Z6754" s="94"/>
      <c r="AA6754" s="94"/>
      <c r="AB6754" s="94"/>
      <c r="AC6754" s="94"/>
      <c r="AD6754" s="94"/>
      <c r="AE6754" s="94"/>
      <c r="AF6754" s="94"/>
      <c r="AG6754" s="94"/>
      <c r="AH6754" s="94"/>
    </row>
    <row r="6755" ht="12.75" hidden="1" customHeight="1" outlineLevel="1">
      <c r="A6755" s="122">
        <v>42166.0</v>
      </c>
      <c r="B6755" s="32" t="s">
        <v>343</v>
      </c>
      <c r="C6755" s="32" t="s">
        <v>369</v>
      </c>
      <c r="D6755" s="708">
        <v>2000.0</v>
      </c>
      <c r="E6755" s="195">
        <v>5.489</v>
      </c>
      <c r="F6755" s="709">
        <v>0.6213657407407407</v>
      </c>
      <c r="G6755" s="195" t="s">
        <v>453</v>
      </c>
      <c r="H6755" s="710">
        <v>8.0</v>
      </c>
      <c r="I6755" s="256"/>
      <c r="J6755" s="67">
        <f t="shared" si="408"/>
        <v>-10986</v>
      </c>
      <c r="L6755" s="70"/>
      <c r="M6755" s="934"/>
      <c r="N6755" s="94"/>
      <c r="O6755" s="94"/>
      <c r="P6755" s="94"/>
      <c r="Q6755" s="94"/>
      <c r="R6755" s="94"/>
      <c r="S6755" s="94"/>
      <c r="T6755" s="94"/>
      <c r="U6755" s="94"/>
      <c r="V6755" s="94"/>
      <c r="W6755" s="94"/>
      <c r="X6755" s="94"/>
      <c r="Y6755" s="94"/>
      <c r="Z6755" s="94"/>
      <c r="AA6755" s="94"/>
      <c r="AB6755" s="94"/>
      <c r="AC6755" s="94"/>
      <c r="AD6755" s="94"/>
      <c r="AE6755" s="94"/>
      <c r="AF6755" s="94"/>
      <c r="AG6755" s="94"/>
      <c r="AH6755" s="94"/>
    </row>
    <row r="6756" ht="12.75" hidden="1" customHeight="1" outlineLevel="1">
      <c r="A6756" s="122">
        <v>42166.0</v>
      </c>
      <c r="B6756" s="32" t="s">
        <v>343</v>
      </c>
      <c r="C6756" s="32" t="s">
        <v>369</v>
      </c>
      <c r="D6756" s="708">
        <v>3000.0</v>
      </c>
      <c r="E6756" s="195">
        <v>5.489</v>
      </c>
      <c r="F6756" s="709">
        <v>0.6219444444444444</v>
      </c>
      <c r="G6756" s="195" t="s">
        <v>453</v>
      </c>
      <c r="H6756" s="710">
        <v>13.0</v>
      </c>
      <c r="I6756" s="256"/>
      <c r="J6756" s="67">
        <f t="shared" si="408"/>
        <v>-16480</v>
      </c>
      <c r="L6756" s="70"/>
      <c r="M6756" s="934"/>
      <c r="N6756" s="94"/>
      <c r="O6756" s="94"/>
      <c r="P6756" s="94"/>
      <c r="Q6756" s="94"/>
      <c r="R6756" s="94"/>
      <c r="S6756" s="94"/>
      <c r="T6756" s="94"/>
      <c r="U6756" s="94"/>
      <c r="V6756" s="94"/>
      <c r="W6756" s="94"/>
      <c r="X6756" s="94"/>
      <c r="Y6756" s="94"/>
      <c r="Z6756" s="94"/>
      <c r="AA6756" s="94"/>
      <c r="AB6756" s="94"/>
      <c r="AC6756" s="94"/>
      <c r="AD6756" s="94"/>
      <c r="AE6756" s="94"/>
      <c r="AF6756" s="94"/>
      <c r="AG6756" s="94"/>
      <c r="AH6756" s="94"/>
    </row>
    <row r="6757" ht="12.75" hidden="1" customHeight="1" outlineLevel="1">
      <c r="A6757" s="122">
        <v>42166.0</v>
      </c>
      <c r="B6757" s="32" t="s">
        <v>343</v>
      </c>
      <c r="C6757" s="32" t="s">
        <v>369</v>
      </c>
      <c r="D6757" s="708">
        <v>5000.0</v>
      </c>
      <c r="E6757" s="195">
        <v>5.489</v>
      </c>
      <c r="F6757" s="709">
        <v>0.622337962962963</v>
      </c>
      <c r="G6757" s="195" t="s">
        <v>453</v>
      </c>
      <c r="H6757" s="710">
        <v>23.0</v>
      </c>
      <c r="I6757" s="256"/>
      <c r="J6757" s="67">
        <f t="shared" si="408"/>
        <v>-27468</v>
      </c>
      <c r="L6757" s="70"/>
      <c r="M6757" s="934"/>
      <c r="N6757" s="94"/>
      <c r="O6757" s="94"/>
      <c r="P6757" s="94"/>
      <c r="Q6757" s="94"/>
      <c r="R6757" s="94"/>
      <c r="S6757" s="94"/>
      <c r="T6757" s="94"/>
      <c r="U6757" s="94"/>
      <c r="V6757" s="94"/>
      <c r="W6757" s="94"/>
      <c r="X6757" s="94"/>
      <c r="Y6757" s="94"/>
      <c r="Z6757" s="94"/>
      <c r="AA6757" s="94"/>
      <c r="AB6757" s="94"/>
      <c r="AC6757" s="94"/>
      <c r="AD6757" s="94"/>
      <c r="AE6757" s="94"/>
      <c r="AF6757" s="94"/>
      <c r="AG6757" s="94"/>
      <c r="AH6757" s="94"/>
    </row>
    <row r="6758" ht="12.75" hidden="1" customHeight="1" outlineLevel="1">
      <c r="A6758" s="122">
        <v>42166.0</v>
      </c>
      <c r="B6758" s="32" t="s">
        <v>343</v>
      </c>
      <c r="C6758" s="32" t="s">
        <v>784</v>
      </c>
      <c r="D6758" s="708">
        <v>2500.0</v>
      </c>
      <c r="E6758" s="195">
        <v>6.85</v>
      </c>
      <c r="F6758" s="709">
        <v>0.6226273148148148</v>
      </c>
      <c r="G6758" s="195" t="s">
        <v>453</v>
      </c>
      <c r="H6758" s="710">
        <v>12.2</v>
      </c>
      <c r="I6758" s="256"/>
      <c r="J6758" s="67">
        <f t="shared" si="408"/>
        <v>-17137.2</v>
      </c>
      <c r="L6758" s="70"/>
      <c r="M6758" s="934"/>
      <c r="N6758" s="94"/>
      <c r="O6758" s="94"/>
      <c r="P6758" s="94"/>
      <c r="Q6758" s="94"/>
      <c r="R6758" s="94"/>
      <c r="S6758" s="94"/>
      <c r="T6758" s="94"/>
      <c r="U6758" s="94"/>
      <c r="V6758" s="94"/>
      <c r="W6758" s="94"/>
      <c r="X6758" s="94"/>
      <c r="Y6758" s="94"/>
      <c r="Z6758" s="94"/>
      <c r="AA6758" s="94"/>
      <c r="AB6758" s="94"/>
      <c r="AC6758" s="94"/>
      <c r="AD6758" s="94"/>
      <c r="AE6758" s="94"/>
      <c r="AF6758" s="94"/>
      <c r="AG6758" s="94"/>
      <c r="AH6758" s="94"/>
    </row>
    <row r="6759" ht="12.75" hidden="1" customHeight="1" outlineLevel="1">
      <c r="A6759" s="122">
        <v>42166.0</v>
      </c>
      <c r="B6759" s="32" t="s">
        <v>343</v>
      </c>
      <c r="C6759" s="32" t="s">
        <v>369</v>
      </c>
      <c r="D6759" s="708">
        <v>5000.0</v>
      </c>
      <c r="E6759" s="195">
        <v>5.49</v>
      </c>
      <c r="F6759" s="709">
        <v>0.6227893518518518</v>
      </c>
      <c r="G6759" s="195" t="s">
        <v>453</v>
      </c>
      <c r="H6759" s="710">
        <v>24.0</v>
      </c>
      <c r="I6759" s="256"/>
      <c r="J6759" s="67">
        <f t="shared" si="408"/>
        <v>-27474</v>
      </c>
      <c r="L6759" s="70"/>
      <c r="M6759" s="934"/>
      <c r="N6759" s="94"/>
      <c r="O6759" s="94"/>
      <c r="P6759" s="94"/>
      <c r="Q6759" s="94"/>
      <c r="R6759" s="94"/>
      <c r="S6759" s="94"/>
      <c r="T6759" s="94"/>
      <c r="U6759" s="94"/>
      <c r="V6759" s="94"/>
      <c r="W6759" s="94"/>
      <c r="X6759" s="94"/>
      <c r="Y6759" s="94"/>
      <c r="Z6759" s="94"/>
      <c r="AA6759" s="94"/>
      <c r="AB6759" s="94"/>
      <c r="AC6759" s="94"/>
      <c r="AD6759" s="94"/>
      <c r="AE6759" s="94"/>
      <c r="AF6759" s="94"/>
      <c r="AG6759" s="94"/>
      <c r="AH6759" s="94"/>
    </row>
    <row r="6760" ht="12.75" hidden="1" customHeight="1" outlineLevel="1">
      <c r="A6760" s="122">
        <v>42166.0</v>
      </c>
      <c r="B6760" s="32" t="s">
        <v>343</v>
      </c>
      <c r="C6760" s="32" t="s">
        <v>790</v>
      </c>
      <c r="D6760" s="708">
        <v>4000.0</v>
      </c>
      <c r="E6760" s="195">
        <v>9.089</v>
      </c>
      <c r="F6760" s="709">
        <v>0.6229745370370371</v>
      </c>
      <c r="G6760" s="195" t="s">
        <v>453</v>
      </c>
      <c r="H6760" s="710">
        <v>17.8</v>
      </c>
      <c r="I6760" s="256"/>
      <c r="J6760" s="67">
        <f t="shared" si="408"/>
        <v>-36373.8</v>
      </c>
      <c r="L6760" s="70"/>
      <c r="M6760" s="934"/>
      <c r="N6760" s="94"/>
      <c r="O6760" s="94"/>
      <c r="P6760" s="94"/>
      <c r="Q6760" s="94"/>
      <c r="R6760" s="94"/>
      <c r="S6760" s="94"/>
      <c r="T6760" s="94"/>
      <c r="U6760" s="94"/>
      <c r="V6760" s="94"/>
      <c r="W6760" s="94"/>
      <c r="X6760" s="94"/>
      <c r="Y6760" s="94"/>
      <c r="Z6760" s="94"/>
      <c r="AA6760" s="94"/>
      <c r="AB6760" s="94"/>
      <c r="AC6760" s="94"/>
      <c r="AD6760" s="94"/>
      <c r="AE6760" s="94"/>
      <c r="AF6760" s="94"/>
      <c r="AG6760" s="94"/>
      <c r="AH6760" s="94"/>
    </row>
    <row r="6761" ht="12.75" hidden="1" customHeight="1" outlineLevel="1">
      <c r="A6761" s="122">
        <v>42166.0</v>
      </c>
      <c r="B6761" s="32" t="s">
        <v>343</v>
      </c>
      <c r="C6761" s="32" t="s">
        <v>784</v>
      </c>
      <c r="D6761" s="708">
        <v>6000.0</v>
      </c>
      <c r="E6761" s="195">
        <v>6.848</v>
      </c>
      <c r="F6761" s="709">
        <v>0.6231134259259259</v>
      </c>
      <c r="G6761" s="195" t="s">
        <v>453</v>
      </c>
      <c r="H6761" s="710">
        <v>25.0</v>
      </c>
      <c r="I6761" s="256"/>
      <c r="J6761" s="67">
        <f t="shared" si="408"/>
        <v>-41113</v>
      </c>
      <c r="L6761" s="70"/>
      <c r="M6761" s="934"/>
      <c r="N6761" s="94"/>
      <c r="O6761" s="94"/>
      <c r="P6761" s="94"/>
      <c r="Q6761" s="94"/>
      <c r="R6761" s="94"/>
      <c r="S6761" s="94"/>
      <c r="T6761" s="94"/>
      <c r="U6761" s="94"/>
      <c r="V6761" s="94"/>
      <c r="W6761" s="94"/>
      <c r="X6761" s="94"/>
      <c r="Y6761" s="94"/>
      <c r="Z6761" s="94"/>
      <c r="AA6761" s="94"/>
      <c r="AB6761" s="94"/>
      <c r="AC6761" s="94"/>
      <c r="AD6761" s="94"/>
      <c r="AE6761" s="94"/>
      <c r="AF6761" s="94"/>
      <c r="AG6761" s="94"/>
      <c r="AH6761" s="94"/>
    </row>
    <row r="6762" ht="12.75" hidden="1" customHeight="1" outlineLevel="1">
      <c r="A6762" s="122">
        <v>42166.0</v>
      </c>
      <c r="B6762" s="32" t="s">
        <v>343</v>
      </c>
      <c r="C6762" s="32" t="s">
        <v>369</v>
      </c>
      <c r="D6762" s="708">
        <v>5000.0</v>
      </c>
      <c r="E6762" s="195">
        <v>5.49</v>
      </c>
      <c r="F6762" s="709">
        <v>0.623287037037037</v>
      </c>
      <c r="G6762" s="195" t="s">
        <v>453</v>
      </c>
      <c r="H6762" s="710">
        <v>25.0</v>
      </c>
      <c r="I6762" s="256"/>
      <c r="J6762" s="67">
        <f t="shared" si="408"/>
        <v>-27475</v>
      </c>
      <c r="L6762" s="70"/>
      <c r="M6762" s="934"/>
      <c r="N6762" s="94"/>
      <c r="O6762" s="94"/>
      <c r="P6762" s="94"/>
      <c r="Q6762" s="94"/>
      <c r="R6762" s="94"/>
      <c r="S6762" s="94"/>
      <c r="T6762" s="94"/>
      <c r="U6762" s="94"/>
      <c r="V6762" s="94"/>
      <c r="W6762" s="94"/>
      <c r="X6762" s="94"/>
      <c r="Y6762" s="94"/>
      <c r="Z6762" s="94"/>
      <c r="AA6762" s="94"/>
      <c r="AB6762" s="94"/>
      <c r="AC6762" s="94"/>
      <c r="AD6762" s="94"/>
      <c r="AE6762" s="94"/>
      <c r="AF6762" s="94"/>
      <c r="AG6762" s="94"/>
      <c r="AH6762" s="94"/>
    </row>
    <row r="6763" ht="12.75" hidden="1" customHeight="1" outlineLevel="1">
      <c r="A6763" s="122">
        <v>42166.0</v>
      </c>
      <c r="B6763" s="32" t="s">
        <v>343</v>
      </c>
      <c r="C6763" s="32" t="s">
        <v>2048</v>
      </c>
      <c r="D6763" s="708">
        <v>4000.0</v>
      </c>
      <c r="E6763" s="195">
        <v>12.169</v>
      </c>
      <c r="F6763" s="709">
        <v>0.6234027777777778</v>
      </c>
      <c r="G6763" s="195" t="s">
        <v>453</v>
      </c>
      <c r="H6763" s="710">
        <v>19.9</v>
      </c>
      <c r="I6763" s="256"/>
      <c r="J6763" s="67">
        <f t="shared" si="408"/>
        <v>-48695.9</v>
      </c>
      <c r="L6763" s="70"/>
      <c r="M6763" s="934"/>
      <c r="N6763" s="94"/>
      <c r="O6763" s="94"/>
      <c r="P6763" s="94"/>
      <c r="Q6763" s="94"/>
      <c r="R6763" s="94"/>
      <c r="S6763" s="94"/>
      <c r="T6763" s="94"/>
      <c r="U6763" s="94"/>
      <c r="V6763" s="94"/>
      <c r="W6763" s="94"/>
      <c r="X6763" s="94"/>
      <c r="Y6763" s="94"/>
      <c r="Z6763" s="94"/>
      <c r="AA6763" s="94"/>
      <c r="AB6763" s="94"/>
      <c r="AC6763" s="94"/>
      <c r="AD6763" s="94"/>
      <c r="AE6763" s="94"/>
      <c r="AF6763" s="94"/>
      <c r="AG6763" s="94"/>
      <c r="AH6763" s="94"/>
    </row>
    <row r="6764" ht="12.75" hidden="1" customHeight="1" outlineLevel="1">
      <c r="A6764" s="122">
        <v>42166.0</v>
      </c>
      <c r="B6764" s="32" t="s">
        <v>343</v>
      </c>
      <c r="C6764" s="32" t="s">
        <v>369</v>
      </c>
      <c r="D6764" s="708">
        <v>10000.0</v>
      </c>
      <c r="E6764" s="195">
        <v>5.5</v>
      </c>
      <c r="F6764" s="709">
        <v>0.6235879629629629</v>
      </c>
      <c r="G6764" s="195" t="s">
        <v>453</v>
      </c>
      <c r="H6764" s="710">
        <v>49.4</v>
      </c>
      <c r="I6764" s="256"/>
      <c r="J6764" s="67">
        <f t="shared" si="408"/>
        <v>-55049.4</v>
      </c>
      <c r="L6764" s="70"/>
      <c r="M6764" s="934"/>
      <c r="N6764" s="94"/>
      <c r="O6764" s="94"/>
      <c r="P6764" s="94"/>
      <c r="Q6764" s="94"/>
      <c r="R6764" s="94"/>
      <c r="S6764" s="94"/>
      <c r="T6764" s="94"/>
      <c r="U6764" s="94"/>
      <c r="V6764" s="94"/>
      <c r="W6764" s="94"/>
      <c r="X6764" s="94"/>
      <c r="Y6764" s="94"/>
      <c r="Z6764" s="94"/>
      <c r="AA6764" s="94"/>
      <c r="AB6764" s="94"/>
      <c r="AC6764" s="94"/>
      <c r="AD6764" s="94"/>
      <c r="AE6764" s="94"/>
      <c r="AF6764" s="94"/>
      <c r="AG6764" s="94"/>
      <c r="AH6764" s="94"/>
    </row>
    <row r="6765" ht="12.75" hidden="1" customHeight="1" outlineLevel="1">
      <c r="A6765" s="122">
        <v>42167.0</v>
      </c>
      <c r="B6765" s="32" t="s">
        <v>347</v>
      </c>
      <c r="C6765" s="32" t="s">
        <v>784</v>
      </c>
      <c r="D6765" s="708">
        <v>3000.0</v>
      </c>
      <c r="E6765" s="195">
        <v>6.78</v>
      </c>
      <c r="F6765" s="709">
        <v>0.4021064814814815</v>
      </c>
      <c r="G6765" s="195" t="s">
        <v>453</v>
      </c>
      <c r="H6765" s="710">
        <v>12.37</v>
      </c>
      <c r="I6765" s="256"/>
      <c r="J6765" s="67">
        <f t="shared" si="408"/>
        <v>20327.63</v>
      </c>
      <c r="L6765" s="70"/>
      <c r="M6765" s="934"/>
      <c r="N6765" s="94"/>
      <c r="O6765" s="94"/>
      <c r="P6765" s="94"/>
      <c r="Q6765" s="94"/>
      <c r="R6765" s="94"/>
      <c r="S6765" s="94"/>
      <c r="T6765" s="94"/>
      <c r="U6765" s="94"/>
      <c r="V6765" s="94"/>
      <c r="W6765" s="94"/>
      <c r="X6765" s="94"/>
      <c r="Y6765" s="94"/>
      <c r="Z6765" s="94"/>
      <c r="AA6765" s="94"/>
      <c r="AB6765" s="94"/>
      <c r="AC6765" s="94"/>
      <c r="AD6765" s="94"/>
      <c r="AE6765" s="94"/>
      <c r="AF6765" s="94"/>
      <c r="AG6765" s="94"/>
      <c r="AH6765" s="94"/>
    </row>
    <row r="6766" ht="12.75" hidden="1" customHeight="1" outlineLevel="1">
      <c r="A6766" s="122">
        <v>42167.0</v>
      </c>
      <c r="B6766" s="32" t="s">
        <v>347</v>
      </c>
      <c r="C6766" s="32" t="s">
        <v>790</v>
      </c>
      <c r="D6766" s="708">
        <v>1400.0</v>
      </c>
      <c r="E6766" s="195">
        <v>9.081</v>
      </c>
      <c r="F6766" s="709">
        <v>0.40269675925925924</v>
      </c>
      <c r="G6766" s="195" t="s">
        <v>453</v>
      </c>
      <c r="H6766" s="710">
        <v>5.83</v>
      </c>
      <c r="I6766" s="256"/>
      <c r="J6766" s="67">
        <f t="shared" si="408"/>
        <v>12707.57</v>
      </c>
      <c r="L6766" s="70"/>
      <c r="M6766" s="934"/>
      <c r="N6766" s="94"/>
      <c r="O6766" s="94"/>
      <c r="P6766" s="94"/>
      <c r="Q6766" s="94"/>
      <c r="R6766" s="94"/>
      <c r="S6766" s="94"/>
      <c r="T6766" s="94"/>
      <c r="U6766" s="94"/>
      <c r="V6766" s="94"/>
      <c r="W6766" s="94"/>
      <c r="X6766" s="94"/>
      <c r="Y6766" s="94"/>
      <c r="Z6766" s="94"/>
      <c r="AA6766" s="94"/>
      <c r="AB6766" s="94"/>
      <c r="AC6766" s="94"/>
      <c r="AD6766" s="94"/>
      <c r="AE6766" s="94"/>
      <c r="AF6766" s="94"/>
      <c r="AG6766" s="94"/>
      <c r="AH6766" s="94"/>
    </row>
    <row r="6767" ht="12.75" hidden="1" customHeight="1" outlineLevel="1">
      <c r="A6767" s="122">
        <v>42167.0</v>
      </c>
      <c r="B6767" s="32" t="s">
        <v>347</v>
      </c>
      <c r="C6767" s="32" t="s">
        <v>2048</v>
      </c>
      <c r="D6767" s="708">
        <v>1100.0</v>
      </c>
      <c r="E6767" s="195">
        <v>12.0801</v>
      </c>
      <c r="F6767" s="709">
        <v>0.40296296296296297</v>
      </c>
      <c r="G6767" s="195" t="s">
        <v>453</v>
      </c>
      <c r="H6767" s="710">
        <v>4.64</v>
      </c>
      <c r="I6767" s="256"/>
      <c r="J6767" s="67">
        <f t="shared" si="408"/>
        <v>13283.47</v>
      </c>
      <c r="L6767" s="70"/>
      <c r="M6767" s="934"/>
      <c r="N6767" s="94"/>
      <c r="O6767" s="94"/>
      <c r="P6767" s="94"/>
      <c r="Q6767" s="94"/>
      <c r="R6767" s="94"/>
      <c r="S6767" s="94"/>
      <c r="T6767" s="94"/>
      <c r="U6767" s="94"/>
      <c r="V6767" s="94"/>
      <c r="W6767" s="94"/>
      <c r="X6767" s="94"/>
      <c r="Y6767" s="94"/>
      <c r="Z6767" s="94"/>
      <c r="AA6767" s="94"/>
      <c r="AB6767" s="94"/>
      <c r="AC6767" s="94"/>
      <c r="AD6767" s="94"/>
      <c r="AE6767" s="94"/>
      <c r="AF6767" s="94"/>
      <c r="AG6767" s="94"/>
      <c r="AH6767" s="94"/>
    </row>
    <row r="6768" ht="12.75" hidden="1" customHeight="1" outlineLevel="1">
      <c r="A6768" s="122">
        <v>42167.0</v>
      </c>
      <c r="B6768" s="32" t="s">
        <v>347</v>
      </c>
      <c r="C6768" s="32" t="s">
        <v>369</v>
      </c>
      <c r="D6768" s="708">
        <v>2400.0</v>
      </c>
      <c r="E6768" s="195">
        <v>5.463</v>
      </c>
      <c r="F6768" s="709">
        <v>0.4032175925925926</v>
      </c>
      <c r="G6768" s="195" t="s">
        <v>453</v>
      </c>
      <c r="H6768" s="710">
        <v>12.24</v>
      </c>
      <c r="I6768" s="256"/>
      <c r="J6768" s="67">
        <f t="shared" si="408"/>
        <v>13098.96</v>
      </c>
      <c r="L6768" s="70"/>
      <c r="M6768" s="934"/>
      <c r="N6768" s="94"/>
      <c r="O6768" s="94"/>
      <c r="P6768" s="94"/>
      <c r="Q6768" s="94"/>
      <c r="R6768" s="94"/>
      <c r="S6768" s="94"/>
      <c r="T6768" s="94"/>
      <c r="U6768" s="94"/>
      <c r="V6768" s="94"/>
      <c r="W6768" s="94"/>
      <c r="X6768" s="94"/>
      <c r="Y6768" s="94"/>
      <c r="Z6768" s="94"/>
      <c r="AA6768" s="94"/>
      <c r="AB6768" s="94"/>
      <c r="AC6768" s="94"/>
      <c r="AD6768" s="94"/>
      <c r="AE6768" s="94"/>
      <c r="AF6768" s="94"/>
      <c r="AG6768" s="94"/>
      <c r="AH6768" s="94"/>
    </row>
    <row r="6769" ht="12.75" hidden="1" customHeight="1" outlineLevel="1">
      <c r="A6769" s="122">
        <v>42167.0</v>
      </c>
      <c r="B6769" s="1"/>
      <c r="C6769" s="1" t="s">
        <v>339</v>
      </c>
      <c r="D6769" s="74"/>
      <c r="E6769" s="67"/>
      <c r="F6769" s="75"/>
      <c r="G6769" s="67"/>
      <c r="H6769" s="68"/>
      <c r="I6769" s="76"/>
      <c r="K6769" s="968" t="s">
        <v>3003</v>
      </c>
      <c r="L6769" s="934"/>
      <c r="M6769" s="934"/>
    </row>
    <row r="6770" ht="12.75" hidden="1" customHeight="1" outlineLevel="1">
      <c r="A6770" s="122">
        <v>42167.0</v>
      </c>
      <c r="B6770" s="1"/>
      <c r="C6770" s="1" t="s">
        <v>429</v>
      </c>
      <c r="D6770" s="74"/>
      <c r="E6770" s="67"/>
      <c r="F6770" s="75"/>
      <c r="G6770" s="67"/>
      <c r="H6770" s="68"/>
      <c r="I6770" s="76"/>
      <c r="J6770" s="67"/>
      <c r="K6770" s="9" t="s">
        <v>2839</v>
      </c>
      <c r="L6770" s="934"/>
      <c r="M6770" s="934"/>
    </row>
    <row r="6771" ht="12.75" hidden="1" customHeight="1" outlineLevel="1">
      <c r="A6771" s="122">
        <v>42167.0</v>
      </c>
      <c r="B6771" s="1"/>
      <c r="C6771" s="1" t="s">
        <v>431</v>
      </c>
      <c r="D6771" s="74"/>
      <c r="E6771" s="67"/>
      <c r="F6771" s="75"/>
      <c r="G6771" s="67"/>
      <c r="H6771" s="68"/>
      <c r="I6771" s="76"/>
      <c r="J6771" s="67"/>
      <c r="K6771" s="7" t="s">
        <v>1126</v>
      </c>
      <c r="L6771" s="934"/>
      <c r="M6771" s="934"/>
    </row>
    <row r="6772" ht="12.75" hidden="1" customHeight="1" outlineLevel="1">
      <c r="A6772" s="122">
        <v>42167.0</v>
      </c>
      <c r="B6772" s="1"/>
      <c r="C6772" s="1" t="s">
        <v>433</v>
      </c>
      <c r="D6772" s="74"/>
      <c r="E6772" s="67"/>
      <c r="F6772" s="75"/>
      <c r="G6772" s="67"/>
      <c r="H6772" s="68"/>
      <c r="I6772" s="76"/>
      <c r="J6772" s="67"/>
      <c r="K6772" s="7" t="s">
        <v>1103</v>
      </c>
      <c r="L6772" s="934"/>
      <c r="M6772" s="934"/>
    </row>
    <row r="6773" ht="12.75" hidden="1" customHeight="1" outlineLevel="1">
      <c r="A6773" s="122">
        <v>42167.0</v>
      </c>
      <c r="B6773" s="1"/>
      <c r="C6773" s="1" t="s">
        <v>435</v>
      </c>
      <c r="D6773" s="74"/>
      <c r="E6773" s="67"/>
      <c r="F6773" s="75"/>
      <c r="G6773" s="67"/>
      <c r="H6773" s="68"/>
      <c r="I6773" s="76"/>
      <c r="J6773" s="67"/>
      <c r="K6773" s="9" t="s">
        <v>2802</v>
      </c>
      <c r="L6773" s="934"/>
      <c r="M6773" s="934"/>
    </row>
    <row r="6774" ht="12.75" hidden="1" customHeight="1" outlineLevel="1">
      <c r="A6774" s="122">
        <v>42170.0</v>
      </c>
      <c r="B6774" s="32" t="s">
        <v>347</v>
      </c>
      <c r="C6774" s="32" t="s">
        <v>1633</v>
      </c>
      <c r="D6774" s="708">
        <v>250.0</v>
      </c>
      <c r="E6774" s="195">
        <v>25.04</v>
      </c>
      <c r="F6774" s="709">
        <v>0.3972337962962963</v>
      </c>
      <c r="G6774" s="195" t="s">
        <v>453</v>
      </c>
      <c r="H6774" s="710">
        <v>1.37</v>
      </c>
      <c r="I6774" s="256"/>
      <c r="J6774" s="67">
        <f t="shared" ref="J6774:J6779" si="409">IF(B6774="SLD",D6774*E6774,-D6774*E6774)-H6774</f>
        <v>6258.63</v>
      </c>
      <c r="L6774" s="70"/>
      <c r="M6774" s="934"/>
      <c r="N6774" s="94"/>
      <c r="O6774" s="94"/>
      <c r="P6774" s="94"/>
      <c r="Q6774" s="94"/>
      <c r="R6774" s="94"/>
      <c r="S6774" s="94"/>
      <c r="T6774" s="94"/>
      <c r="U6774" s="94"/>
      <c r="V6774" s="94"/>
      <c r="W6774" s="94"/>
      <c r="X6774" s="94"/>
      <c r="Y6774" s="94"/>
      <c r="Z6774" s="94"/>
      <c r="AA6774" s="94"/>
      <c r="AB6774" s="94"/>
      <c r="AC6774" s="94"/>
      <c r="AD6774" s="94"/>
      <c r="AE6774" s="94"/>
      <c r="AF6774" s="94"/>
      <c r="AG6774" s="94"/>
      <c r="AH6774" s="94"/>
    </row>
    <row r="6775" ht="12.75" hidden="1" customHeight="1" outlineLevel="1">
      <c r="A6775" s="122">
        <v>42170.0</v>
      </c>
      <c r="B6775" s="32" t="s">
        <v>347</v>
      </c>
      <c r="C6775" s="32" t="s">
        <v>1839</v>
      </c>
      <c r="D6775" s="708">
        <v>800.0</v>
      </c>
      <c r="E6775" s="195">
        <v>12.17</v>
      </c>
      <c r="F6775" s="709">
        <v>0.3978703703703704</v>
      </c>
      <c r="G6775" s="195" t="s">
        <v>453</v>
      </c>
      <c r="H6775" s="710">
        <v>4.18</v>
      </c>
      <c r="I6775" s="256"/>
      <c r="J6775" s="67">
        <f t="shared" si="409"/>
        <v>9731.82</v>
      </c>
      <c r="L6775" s="70"/>
      <c r="M6775" s="934"/>
      <c r="N6775" s="94"/>
      <c r="O6775" s="94"/>
      <c r="P6775" s="94"/>
      <c r="Q6775" s="94"/>
      <c r="R6775" s="94"/>
      <c r="S6775" s="94"/>
      <c r="T6775" s="94"/>
      <c r="U6775" s="94"/>
      <c r="V6775" s="94"/>
      <c r="W6775" s="94"/>
      <c r="X6775" s="94"/>
      <c r="Y6775" s="94"/>
      <c r="Z6775" s="94"/>
      <c r="AA6775" s="94"/>
      <c r="AB6775" s="94"/>
      <c r="AC6775" s="94"/>
      <c r="AD6775" s="94"/>
      <c r="AE6775" s="94"/>
      <c r="AF6775" s="94"/>
      <c r="AG6775" s="94"/>
      <c r="AH6775" s="94"/>
    </row>
    <row r="6776" ht="12.75" hidden="1" customHeight="1" outlineLevel="1">
      <c r="A6776" s="122">
        <v>42170.0</v>
      </c>
      <c r="B6776" s="32" t="s">
        <v>343</v>
      </c>
      <c r="C6776" s="32" t="s">
        <v>847</v>
      </c>
      <c r="D6776" s="708">
        <v>50.0</v>
      </c>
      <c r="E6776" s="195">
        <v>135.94</v>
      </c>
      <c r="F6776" s="709">
        <v>0.3982060185185185</v>
      </c>
      <c r="G6776" s="195" t="s">
        <v>453</v>
      </c>
      <c r="H6776" s="710">
        <v>1.0</v>
      </c>
      <c r="I6776" s="256"/>
      <c r="J6776" s="67">
        <f t="shared" si="409"/>
        <v>-6798</v>
      </c>
      <c r="L6776" s="70"/>
      <c r="M6776" s="934"/>
      <c r="N6776" s="94"/>
      <c r="O6776" s="94"/>
      <c r="P6776" s="94"/>
      <c r="Q6776" s="94"/>
      <c r="R6776" s="94"/>
      <c r="S6776" s="94"/>
      <c r="T6776" s="94"/>
      <c r="U6776" s="94"/>
      <c r="V6776" s="94"/>
      <c r="W6776" s="94"/>
      <c r="X6776" s="94"/>
      <c r="Y6776" s="94"/>
      <c r="Z6776" s="94"/>
      <c r="AA6776" s="94"/>
      <c r="AB6776" s="94"/>
      <c r="AC6776" s="94"/>
      <c r="AD6776" s="94"/>
      <c r="AE6776" s="94"/>
      <c r="AF6776" s="94"/>
      <c r="AG6776" s="94"/>
      <c r="AH6776" s="94"/>
    </row>
    <row r="6777" ht="12.75" hidden="1" customHeight="1" outlineLevel="1">
      <c r="A6777" s="122">
        <v>42170.0</v>
      </c>
      <c r="B6777" s="32" t="s">
        <v>347</v>
      </c>
      <c r="C6777" s="32" t="s">
        <v>2195</v>
      </c>
      <c r="D6777" s="708">
        <v>250.0</v>
      </c>
      <c r="E6777" s="195">
        <v>24.47</v>
      </c>
      <c r="F6777" s="709">
        <v>0.41225694444444444</v>
      </c>
      <c r="G6777" s="195" t="s">
        <v>453</v>
      </c>
      <c r="H6777" s="710">
        <v>1.36</v>
      </c>
      <c r="I6777" s="256"/>
      <c r="J6777" s="67">
        <f t="shared" si="409"/>
        <v>6116.14</v>
      </c>
      <c r="L6777" s="70"/>
      <c r="M6777" s="934"/>
      <c r="N6777" s="94"/>
      <c r="O6777" s="94"/>
      <c r="P6777" s="94"/>
      <c r="Q6777" s="94"/>
      <c r="R6777" s="94"/>
      <c r="S6777" s="94"/>
      <c r="T6777" s="94"/>
      <c r="U6777" s="94"/>
      <c r="V6777" s="94"/>
      <c r="W6777" s="94"/>
      <c r="X6777" s="94"/>
      <c r="Y6777" s="94"/>
      <c r="Z6777" s="94"/>
      <c r="AA6777" s="94"/>
      <c r="AB6777" s="94"/>
      <c r="AC6777" s="94"/>
      <c r="AD6777" s="94"/>
      <c r="AE6777" s="94"/>
      <c r="AF6777" s="94"/>
      <c r="AG6777" s="94"/>
      <c r="AH6777" s="94"/>
    </row>
    <row r="6778" ht="12.75" hidden="1" customHeight="1" outlineLevel="1">
      <c r="A6778" s="122">
        <v>42170.0</v>
      </c>
      <c r="B6778" s="32" t="s">
        <v>343</v>
      </c>
      <c r="C6778" s="32" t="s">
        <v>3006</v>
      </c>
      <c r="D6778" s="708">
        <v>110.0</v>
      </c>
      <c r="E6778" s="195">
        <v>58.795</v>
      </c>
      <c r="F6778" s="709">
        <v>0.6408796296296296</v>
      </c>
      <c r="G6778" s="195" t="s">
        <v>453</v>
      </c>
      <c r="H6778" s="710">
        <v>1.0</v>
      </c>
      <c r="I6778" s="256"/>
      <c r="J6778" s="67">
        <f t="shared" si="409"/>
        <v>-6468.45</v>
      </c>
      <c r="L6778" s="70"/>
      <c r="M6778" s="934"/>
      <c r="N6778" s="94"/>
      <c r="O6778" s="94"/>
      <c r="P6778" s="94"/>
      <c r="Q6778" s="94"/>
      <c r="R6778" s="94"/>
      <c r="S6778" s="94"/>
      <c r="T6778" s="94"/>
      <c r="U6778" s="94"/>
      <c r="V6778" s="94"/>
      <c r="W6778" s="94"/>
      <c r="X6778" s="94"/>
      <c r="Y6778" s="94"/>
      <c r="Z6778" s="94"/>
      <c r="AA6778" s="94"/>
      <c r="AB6778" s="94"/>
      <c r="AC6778" s="94"/>
      <c r="AD6778" s="94"/>
      <c r="AE6778" s="94"/>
      <c r="AF6778" s="94"/>
      <c r="AG6778" s="94"/>
      <c r="AH6778" s="94"/>
    </row>
    <row r="6779" ht="12.75" hidden="1" customHeight="1" outlineLevel="1">
      <c r="A6779" s="122">
        <v>42170.0</v>
      </c>
      <c r="B6779" s="32" t="s">
        <v>343</v>
      </c>
      <c r="C6779" s="32" t="s">
        <v>1400</v>
      </c>
      <c r="D6779" s="708">
        <v>50.0</v>
      </c>
      <c r="E6779" s="195">
        <v>79.155</v>
      </c>
      <c r="F6779" s="709">
        <v>0.6427083333333333</v>
      </c>
      <c r="G6779" s="195" t="s">
        <v>453</v>
      </c>
      <c r="H6779" s="710">
        <v>1.0</v>
      </c>
      <c r="I6779" s="256"/>
      <c r="J6779" s="67">
        <f t="shared" si="409"/>
        <v>-3958.75</v>
      </c>
      <c r="L6779" s="70"/>
      <c r="M6779" s="934"/>
      <c r="N6779" s="94"/>
      <c r="O6779" s="94"/>
      <c r="P6779" s="94"/>
      <c r="Q6779" s="94"/>
      <c r="R6779" s="94"/>
      <c r="S6779" s="94"/>
      <c r="T6779" s="94"/>
      <c r="U6779" s="94"/>
      <c r="V6779" s="94"/>
      <c r="W6779" s="94"/>
      <c r="X6779" s="94"/>
      <c r="Y6779" s="94"/>
      <c r="Z6779" s="94"/>
      <c r="AA6779" s="94"/>
      <c r="AB6779" s="94"/>
      <c r="AC6779" s="94"/>
      <c r="AD6779" s="94"/>
      <c r="AE6779" s="94"/>
      <c r="AF6779" s="94"/>
      <c r="AG6779" s="94"/>
      <c r="AH6779" s="94"/>
    </row>
    <row r="6780" ht="12.75" hidden="1" customHeight="1" outlineLevel="1">
      <c r="A6780" s="122">
        <v>42171.0</v>
      </c>
      <c r="B6780" s="1"/>
      <c r="C6780" s="1" t="s">
        <v>339</v>
      </c>
      <c r="D6780" s="74"/>
      <c r="E6780" s="67"/>
      <c r="F6780" s="75"/>
      <c r="G6780" s="67"/>
      <c r="H6780" s="68"/>
      <c r="I6780" s="76"/>
      <c r="K6780" s="968" t="s">
        <v>3008</v>
      </c>
      <c r="L6780" s="934"/>
      <c r="M6780" s="934"/>
    </row>
    <row r="6781" ht="12.75" hidden="1" customHeight="1" outlineLevel="1">
      <c r="A6781" s="122">
        <v>42171.0</v>
      </c>
      <c r="B6781" s="1"/>
      <c r="C6781" s="1" t="s">
        <v>429</v>
      </c>
      <c r="D6781" s="74"/>
      <c r="E6781" s="67"/>
      <c r="F6781" s="75"/>
      <c r="G6781" s="67"/>
      <c r="H6781" s="68"/>
      <c r="I6781" s="76"/>
      <c r="J6781" s="67"/>
      <c r="K6781" s="9" t="s">
        <v>2839</v>
      </c>
      <c r="L6781" s="934"/>
      <c r="M6781" s="934"/>
    </row>
    <row r="6782" ht="12.75" hidden="1" customHeight="1" outlineLevel="1">
      <c r="A6782" s="122">
        <v>42171.0</v>
      </c>
      <c r="B6782" s="1"/>
      <c r="C6782" s="1" t="s">
        <v>431</v>
      </c>
      <c r="D6782" s="74"/>
      <c r="E6782" s="67"/>
      <c r="F6782" s="75"/>
      <c r="G6782" s="67"/>
      <c r="H6782" s="68"/>
      <c r="I6782" s="76"/>
      <c r="J6782" s="67"/>
      <c r="K6782" s="7" t="s">
        <v>1126</v>
      </c>
      <c r="L6782" s="934"/>
      <c r="M6782" s="934"/>
    </row>
    <row r="6783" ht="12.75" hidden="1" customHeight="1" outlineLevel="1">
      <c r="A6783" s="122">
        <v>42171.0</v>
      </c>
      <c r="B6783" s="1"/>
      <c r="C6783" s="1" t="s">
        <v>433</v>
      </c>
      <c r="D6783" s="74"/>
      <c r="E6783" s="67"/>
      <c r="F6783" s="75"/>
      <c r="G6783" s="67"/>
      <c r="H6783" s="68"/>
      <c r="I6783" s="76"/>
      <c r="J6783" s="67"/>
      <c r="K6783" s="7" t="s">
        <v>1103</v>
      </c>
      <c r="L6783" s="934"/>
      <c r="M6783" s="934"/>
    </row>
    <row r="6784" ht="12.75" hidden="1" customHeight="1" outlineLevel="1">
      <c r="A6784" s="122">
        <v>42171.0</v>
      </c>
      <c r="B6784" s="1"/>
      <c r="C6784" s="1" t="s">
        <v>435</v>
      </c>
      <c r="D6784" s="74"/>
      <c r="E6784" s="67"/>
      <c r="F6784" s="75"/>
      <c r="G6784" s="67"/>
      <c r="H6784" s="68"/>
      <c r="I6784" s="76"/>
      <c r="J6784" s="67"/>
      <c r="K6784" s="9" t="s">
        <v>2802</v>
      </c>
      <c r="L6784" s="934"/>
      <c r="M6784" s="934"/>
    </row>
    <row r="6785" ht="12.75" hidden="1" customHeight="1" outlineLevel="1">
      <c r="A6785" s="122">
        <v>42171.0</v>
      </c>
      <c r="B6785" s="32" t="s">
        <v>343</v>
      </c>
      <c r="C6785" s="32" t="s">
        <v>371</v>
      </c>
      <c r="D6785" s="708">
        <v>75.0</v>
      </c>
      <c r="E6785" s="195">
        <v>84.58</v>
      </c>
      <c r="F6785" s="709">
        <v>0.3969328703703704</v>
      </c>
      <c r="G6785" s="195" t="s">
        <v>453</v>
      </c>
      <c r="H6785" s="710">
        <v>1.0</v>
      </c>
      <c r="I6785" s="256"/>
      <c r="J6785" s="67">
        <f t="shared" ref="J6785:J6786" si="410">IF(B6785="SLD",D6785*E6785,-D6785*E6785)-H6785</f>
        <v>-6344.5</v>
      </c>
      <c r="L6785" s="70"/>
      <c r="M6785" s="934"/>
      <c r="N6785" s="94"/>
      <c r="O6785" s="94"/>
      <c r="P6785" s="94"/>
      <c r="Q6785" s="94"/>
      <c r="R6785" s="94"/>
      <c r="S6785" s="94"/>
      <c r="T6785" s="94"/>
      <c r="U6785" s="94"/>
      <c r="V6785" s="94"/>
      <c r="W6785" s="94"/>
      <c r="X6785" s="94"/>
      <c r="Y6785" s="94"/>
      <c r="Z6785" s="94"/>
      <c r="AA6785" s="94"/>
      <c r="AB6785" s="94"/>
      <c r="AC6785" s="94"/>
      <c r="AD6785" s="94"/>
      <c r="AE6785" s="94"/>
      <c r="AF6785" s="94"/>
      <c r="AG6785" s="94"/>
      <c r="AH6785" s="94"/>
    </row>
    <row r="6786" ht="12.75" hidden="1" customHeight="1" outlineLevel="1">
      <c r="A6786" s="122">
        <v>42171.0</v>
      </c>
      <c r="B6786" s="32" t="s">
        <v>343</v>
      </c>
      <c r="C6786" s="32" t="s">
        <v>1061</v>
      </c>
      <c r="D6786" s="708">
        <v>200.0</v>
      </c>
      <c r="E6786" s="195">
        <v>46.7982</v>
      </c>
      <c r="F6786" s="709">
        <v>0.40435185185185185</v>
      </c>
      <c r="G6786" s="195" t="s">
        <v>453</v>
      </c>
      <c r="H6786" s="710">
        <v>1.0</v>
      </c>
      <c r="I6786" s="256"/>
      <c r="J6786" s="67">
        <f t="shared" si="410"/>
        <v>-9360.64</v>
      </c>
      <c r="L6786" s="70"/>
      <c r="M6786" s="934"/>
      <c r="N6786" s="94"/>
      <c r="O6786" s="94"/>
      <c r="P6786" s="94"/>
      <c r="Q6786" s="94"/>
      <c r="R6786" s="94"/>
      <c r="S6786" s="94"/>
      <c r="T6786" s="94"/>
      <c r="U6786" s="94"/>
      <c r="V6786" s="94"/>
      <c r="W6786" s="94"/>
      <c r="X6786" s="94"/>
      <c r="Y6786" s="94"/>
      <c r="Z6786" s="94"/>
      <c r="AA6786" s="94"/>
      <c r="AB6786" s="94"/>
      <c r="AC6786" s="94"/>
      <c r="AD6786" s="94"/>
      <c r="AE6786" s="94"/>
      <c r="AF6786" s="94"/>
      <c r="AG6786" s="94"/>
      <c r="AH6786" s="94"/>
    </row>
    <row r="6787" ht="12.75" hidden="1" customHeight="1" outlineLevel="1">
      <c r="A6787" s="122">
        <v>42173.0</v>
      </c>
      <c r="B6787" s="1"/>
      <c r="C6787" s="1" t="s">
        <v>339</v>
      </c>
      <c r="D6787" s="74"/>
      <c r="E6787" s="67"/>
      <c r="F6787" s="75"/>
      <c r="G6787" s="67"/>
      <c r="H6787" s="68"/>
      <c r="I6787" s="76"/>
      <c r="K6787" s="968" t="s">
        <v>3014</v>
      </c>
      <c r="L6787" s="934"/>
      <c r="M6787" s="934"/>
    </row>
    <row r="6788" ht="12.75" hidden="1" customHeight="1" outlineLevel="1">
      <c r="A6788" s="122">
        <v>42173.0</v>
      </c>
      <c r="B6788" s="1"/>
      <c r="C6788" s="1" t="s">
        <v>429</v>
      </c>
      <c r="D6788" s="74"/>
      <c r="E6788" s="67"/>
      <c r="F6788" s="75"/>
      <c r="G6788" s="67"/>
      <c r="H6788" s="68"/>
      <c r="I6788" s="76"/>
      <c r="J6788" s="67"/>
      <c r="K6788" s="9" t="s">
        <v>2839</v>
      </c>
      <c r="L6788" s="934"/>
      <c r="M6788" s="934"/>
    </row>
    <row r="6789" ht="12.75" hidden="1" customHeight="1" outlineLevel="1">
      <c r="A6789" s="122">
        <v>42173.0</v>
      </c>
      <c r="B6789" s="1"/>
      <c r="C6789" s="1" t="s">
        <v>431</v>
      </c>
      <c r="D6789" s="74"/>
      <c r="E6789" s="67"/>
      <c r="F6789" s="75"/>
      <c r="G6789" s="67"/>
      <c r="H6789" s="68"/>
      <c r="I6789" s="76"/>
      <c r="J6789" s="67"/>
      <c r="K6789" s="7" t="s">
        <v>1126</v>
      </c>
      <c r="L6789" s="934"/>
      <c r="M6789" s="934"/>
    </row>
    <row r="6790" ht="12.75" hidden="1" customHeight="1" outlineLevel="1">
      <c r="A6790" s="122">
        <v>42173.0</v>
      </c>
      <c r="B6790" s="1"/>
      <c r="C6790" s="1" t="s">
        <v>433</v>
      </c>
      <c r="D6790" s="74"/>
      <c r="E6790" s="67"/>
      <c r="F6790" s="75"/>
      <c r="G6790" s="67"/>
      <c r="H6790" s="68"/>
      <c r="I6790" s="76"/>
      <c r="J6790" s="67"/>
      <c r="K6790" s="7" t="s">
        <v>1103</v>
      </c>
      <c r="L6790" s="934"/>
      <c r="M6790" s="934"/>
    </row>
    <row r="6791" ht="12.75" hidden="1" customHeight="1" outlineLevel="1">
      <c r="A6791" s="122">
        <v>42173.0</v>
      </c>
      <c r="B6791" s="1"/>
      <c r="C6791" s="1" t="s">
        <v>435</v>
      </c>
      <c r="D6791" s="74"/>
      <c r="E6791" s="67"/>
      <c r="F6791" s="75"/>
      <c r="G6791" s="67"/>
      <c r="H6791" s="68"/>
      <c r="I6791" s="76"/>
      <c r="J6791" s="67"/>
      <c r="K6791" s="9" t="s">
        <v>2802</v>
      </c>
      <c r="L6791" s="934"/>
      <c r="M6791" s="934"/>
    </row>
    <row r="6792" ht="12.75" hidden="1" customHeight="1" outlineLevel="1">
      <c r="A6792" s="122">
        <v>42174.0</v>
      </c>
      <c r="B6792" s="32" t="s">
        <v>347</v>
      </c>
      <c r="C6792" s="32" t="s">
        <v>784</v>
      </c>
      <c r="D6792" s="708">
        <v>1000.0</v>
      </c>
      <c r="E6792" s="195">
        <v>6.521</v>
      </c>
      <c r="F6792" s="709">
        <v>0.3965162037037037</v>
      </c>
      <c r="G6792" s="195" t="s">
        <v>453</v>
      </c>
      <c r="H6792" s="710">
        <v>4.12</v>
      </c>
      <c r="I6792" s="256"/>
      <c r="J6792" s="67">
        <f t="shared" ref="J6792:J6798" si="411">IF(B6792="SLD",D6792*E6792,-D6792*E6792)-H6792</f>
        <v>6516.88</v>
      </c>
      <c r="L6792" s="70"/>
      <c r="M6792" s="934"/>
      <c r="N6792" s="94"/>
      <c r="O6792" s="94"/>
      <c r="P6792" s="94"/>
      <c r="Q6792" s="94"/>
      <c r="R6792" s="94"/>
      <c r="S6792" s="94"/>
      <c r="T6792" s="94"/>
      <c r="U6792" s="94"/>
      <c r="V6792" s="94"/>
      <c r="W6792" s="94"/>
      <c r="X6792" s="94"/>
      <c r="Y6792" s="94"/>
      <c r="Z6792" s="94"/>
      <c r="AA6792" s="94"/>
      <c r="AB6792" s="94"/>
      <c r="AC6792" s="94"/>
      <c r="AD6792" s="94"/>
      <c r="AE6792" s="94"/>
      <c r="AF6792" s="94"/>
      <c r="AG6792" s="94"/>
      <c r="AH6792" s="94"/>
    </row>
    <row r="6793" ht="12.75" hidden="1" customHeight="1" outlineLevel="1">
      <c r="A6793" s="122">
        <v>42174.0</v>
      </c>
      <c r="B6793" s="32" t="s">
        <v>347</v>
      </c>
      <c r="C6793" s="32" t="s">
        <v>2090</v>
      </c>
      <c r="D6793" s="708">
        <v>575.0</v>
      </c>
      <c r="E6793" s="195">
        <v>10.98</v>
      </c>
      <c r="F6793" s="709">
        <v>0.3972222222222222</v>
      </c>
      <c r="G6793" s="195" t="s">
        <v>453</v>
      </c>
      <c r="H6793" s="710">
        <v>2.99</v>
      </c>
      <c r="I6793" s="256"/>
      <c r="J6793" s="67">
        <f t="shared" si="411"/>
        <v>6310.51</v>
      </c>
      <c r="L6793" s="70"/>
      <c r="M6793" s="934"/>
      <c r="N6793" s="94"/>
      <c r="O6793" s="94"/>
      <c r="P6793" s="94"/>
      <c r="Q6793" s="94"/>
      <c r="R6793" s="94"/>
      <c r="S6793" s="94"/>
      <c r="T6793" s="94"/>
      <c r="U6793" s="94"/>
      <c r="V6793" s="94"/>
      <c r="W6793" s="94"/>
      <c r="X6793" s="94"/>
      <c r="Y6793" s="94"/>
      <c r="Z6793" s="94"/>
      <c r="AA6793" s="94"/>
      <c r="AB6793" s="94"/>
      <c r="AC6793" s="94"/>
      <c r="AD6793" s="94"/>
      <c r="AE6793" s="94"/>
      <c r="AF6793" s="94"/>
      <c r="AG6793" s="94"/>
      <c r="AH6793" s="94"/>
    </row>
    <row r="6794" ht="12.75" hidden="1" customHeight="1" outlineLevel="1">
      <c r="A6794" s="122">
        <v>42174.0</v>
      </c>
      <c r="B6794" s="32" t="s">
        <v>347</v>
      </c>
      <c r="C6794" s="32" t="s">
        <v>369</v>
      </c>
      <c r="D6794" s="708">
        <v>1200.0</v>
      </c>
      <c r="E6794" s="195">
        <v>5.03</v>
      </c>
      <c r="F6794" s="709">
        <v>0.3972453703703704</v>
      </c>
      <c r="G6794" s="195" t="s">
        <v>453</v>
      </c>
      <c r="H6794" s="710">
        <v>6.11</v>
      </c>
      <c r="I6794" s="256"/>
      <c r="J6794" s="67">
        <f t="shared" si="411"/>
        <v>6029.89</v>
      </c>
      <c r="L6794" s="70"/>
      <c r="M6794" s="934"/>
      <c r="N6794" s="94"/>
      <c r="O6794" s="94"/>
      <c r="P6794" s="94"/>
      <c r="Q6794" s="94"/>
      <c r="R6794" s="94"/>
      <c r="S6794" s="94"/>
      <c r="T6794" s="94"/>
      <c r="U6794" s="94"/>
      <c r="V6794" s="94"/>
      <c r="W6794" s="94"/>
      <c r="X6794" s="94"/>
      <c r="Y6794" s="94"/>
      <c r="Z6794" s="94"/>
      <c r="AA6794" s="94"/>
      <c r="AB6794" s="94"/>
      <c r="AC6794" s="94"/>
      <c r="AD6794" s="94"/>
      <c r="AE6794" s="94"/>
      <c r="AF6794" s="94"/>
      <c r="AG6794" s="94"/>
      <c r="AH6794" s="94"/>
    </row>
    <row r="6795" ht="12.75" hidden="1" customHeight="1" outlineLevel="1">
      <c r="A6795" s="122">
        <v>42174.0</v>
      </c>
      <c r="B6795" s="32" t="s">
        <v>347</v>
      </c>
      <c r="C6795" s="32" t="s">
        <v>784</v>
      </c>
      <c r="D6795" s="708">
        <v>1000.0</v>
      </c>
      <c r="E6795" s="195">
        <v>6.511</v>
      </c>
      <c r="F6795" s="709">
        <v>0.46677083333333336</v>
      </c>
      <c r="G6795" s="195" t="s">
        <v>453</v>
      </c>
      <c r="H6795" s="710">
        <v>4.12</v>
      </c>
      <c r="I6795" s="256"/>
      <c r="J6795" s="67">
        <f t="shared" si="411"/>
        <v>6506.88</v>
      </c>
      <c r="L6795" s="70"/>
      <c r="M6795" s="934"/>
      <c r="N6795" s="94"/>
      <c r="O6795" s="94"/>
      <c r="P6795" s="94"/>
      <c r="Q6795" s="94"/>
      <c r="R6795" s="94"/>
      <c r="S6795" s="94"/>
      <c r="T6795" s="94"/>
      <c r="U6795" s="94"/>
      <c r="V6795" s="94"/>
      <c r="W6795" s="94"/>
      <c r="X6795" s="94"/>
      <c r="Y6795" s="94"/>
      <c r="Z6795" s="94"/>
      <c r="AA6795" s="94"/>
      <c r="AB6795" s="94"/>
      <c r="AC6795" s="94"/>
      <c r="AD6795" s="94"/>
      <c r="AE6795" s="94"/>
      <c r="AF6795" s="94"/>
      <c r="AG6795" s="94"/>
      <c r="AH6795" s="94"/>
    </row>
    <row r="6796" ht="12.75" hidden="1" customHeight="1" outlineLevel="1">
      <c r="A6796" s="122">
        <v>42174.0</v>
      </c>
      <c r="B6796" s="32" t="s">
        <v>347</v>
      </c>
      <c r="C6796" s="32" t="s">
        <v>369</v>
      </c>
      <c r="D6796" s="708">
        <v>1200.0</v>
      </c>
      <c r="E6796" s="195">
        <v>5.1332</v>
      </c>
      <c r="F6796" s="709">
        <v>0.4668171296296296</v>
      </c>
      <c r="G6796" s="195" t="s">
        <v>453</v>
      </c>
      <c r="H6796" s="710">
        <v>4.91</v>
      </c>
      <c r="I6796" s="256"/>
      <c r="J6796" s="67">
        <f t="shared" si="411"/>
        <v>6154.93</v>
      </c>
      <c r="L6796" s="70"/>
      <c r="M6796" s="934"/>
      <c r="N6796" s="94"/>
      <c r="O6796" s="94"/>
      <c r="P6796" s="94"/>
      <c r="Q6796" s="94"/>
      <c r="R6796" s="94"/>
      <c r="S6796" s="94"/>
      <c r="T6796" s="94"/>
      <c r="U6796" s="94"/>
      <c r="V6796" s="94"/>
      <c r="W6796" s="94"/>
      <c r="X6796" s="94"/>
      <c r="Y6796" s="94"/>
      <c r="Z6796" s="94"/>
      <c r="AA6796" s="94"/>
      <c r="AB6796" s="94"/>
      <c r="AC6796" s="94"/>
      <c r="AD6796" s="94"/>
      <c r="AE6796" s="94"/>
      <c r="AF6796" s="94"/>
      <c r="AG6796" s="94"/>
      <c r="AH6796" s="94"/>
    </row>
    <row r="6797" ht="12.75" hidden="1" customHeight="1" outlineLevel="1">
      <c r="A6797" s="122">
        <v>42174.0</v>
      </c>
      <c r="B6797" s="32" t="s">
        <v>347</v>
      </c>
      <c r="C6797" s="32" t="s">
        <v>784</v>
      </c>
      <c r="D6797" s="708">
        <v>1000.0</v>
      </c>
      <c r="E6797" s="195">
        <v>6.511</v>
      </c>
      <c r="F6797" s="709">
        <v>0.4725</v>
      </c>
      <c r="G6797" s="195" t="s">
        <v>453</v>
      </c>
      <c r="H6797" s="710">
        <v>4.12</v>
      </c>
      <c r="I6797" s="256"/>
      <c r="J6797" s="67">
        <f t="shared" si="411"/>
        <v>6506.88</v>
      </c>
      <c r="L6797" s="70"/>
      <c r="M6797" s="934"/>
      <c r="N6797" s="94"/>
      <c r="O6797" s="94"/>
      <c r="P6797" s="94"/>
      <c r="Q6797" s="94"/>
      <c r="R6797" s="94"/>
      <c r="S6797" s="94"/>
      <c r="T6797" s="94"/>
      <c r="U6797" s="94"/>
      <c r="V6797" s="94"/>
      <c r="W6797" s="94"/>
      <c r="X6797" s="94"/>
      <c r="Y6797" s="94"/>
      <c r="Z6797" s="94"/>
      <c r="AA6797" s="94"/>
      <c r="AB6797" s="94"/>
      <c r="AC6797" s="94"/>
      <c r="AD6797" s="94"/>
      <c r="AE6797" s="94"/>
      <c r="AF6797" s="94"/>
      <c r="AG6797" s="94"/>
      <c r="AH6797" s="94"/>
    </row>
    <row r="6798" ht="12.75" hidden="1" customHeight="1" outlineLevel="1">
      <c r="A6798" s="122">
        <v>42174.0</v>
      </c>
      <c r="B6798" s="32" t="s">
        <v>347</v>
      </c>
      <c r="C6798" s="32" t="s">
        <v>369</v>
      </c>
      <c r="D6798" s="708">
        <v>1200.0</v>
      </c>
      <c r="E6798" s="195">
        <v>5.0433</v>
      </c>
      <c r="F6798" s="709">
        <v>0.6023495370370371</v>
      </c>
      <c r="G6798" s="195" t="s">
        <v>453</v>
      </c>
      <c r="H6798" s="710">
        <v>4.91</v>
      </c>
      <c r="I6798" s="256"/>
      <c r="J6798" s="67">
        <f t="shared" si="411"/>
        <v>6047.05</v>
      </c>
      <c r="L6798" s="70"/>
      <c r="M6798" s="934"/>
      <c r="N6798" s="94"/>
      <c r="O6798" s="94"/>
      <c r="P6798" s="94"/>
      <c r="Q6798" s="94"/>
      <c r="R6798" s="94"/>
      <c r="S6798" s="94"/>
      <c r="T6798" s="94"/>
      <c r="U6798" s="94"/>
      <c r="V6798" s="94"/>
      <c r="W6798" s="94"/>
      <c r="X6798" s="94"/>
      <c r="Y6798" s="94"/>
      <c r="Z6798" s="94"/>
      <c r="AA6798" s="94"/>
      <c r="AB6798" s="94"/>
      <c r="AC6798" s="94"/>
      <c r="AD6798" s="94"/>
      <c r="AE6798" s="94"/>
      <c r="AF6798" s="94"/>
      <c r="AG6798" s="94"/>
      <c r="AH6798" s="94"/>
    </row>
    <row r="6799" ht="12.75" hidden="1" customHeight="1" outlineLevel="1">
      <c r="A6799" s="122">
        <v>42175.0</v>
      </c>
      <c r="B6799" s="1"/>
      <c r="C6799" s="1" t="s">
        <v>339</v>
      </c>
      <c r="D6799" s="74"/>
      <c r="E6799" s="67"/>
      <c r="F6799" s="75"/>
      <c r="G6799" s="67"/>
      <c r="H6799" s="68"/>
      <c r="I6799" s="76"/>
      <c r="K6799" s="968" t="s">
        <v>3022</v>
      </c>
      <c r="L6799" s="934"/>
      <c r="M6799" s="934"/>
    </row>
    <row r="6800" ht="12.75" hidden="1" customHeight="1" outlineLevel="1">
      <c r="A6800" s="122">
        <v>42175.0</v>
      </c>
      <c r="B6800" s="1"/>
      <c r="C6800" s="1" t="s">
        <v>429</v>
      </c>
      <c r="D6800" s="74"/>
      <c r="E6800" s="67"/>
      <c r="F6800" s="75"/>
      <c r="G6800" s="67"/>
      <c r="H6800" s="68"/>
      <c r="I6800" s="76"/>
      <c r="J6800" s="67"/>
      <c r="K6800" s="9" t="s">
        <v>2839</v>
      </c>
      <c r="L6800" s="934"/>
      <c r="M6800" s="934"/>
    </row>
    <row r="6801" ht="12.75" hidden="1" customHeight="1" outlineLevel="1">
      <c r="A6801" s="122">
        <v>42175.0</v>
      </c>
      <c r="B6801" s="1"/>
      <c r="C6801" s="1" t="s">
        <v>431</v>
      </c>
      <c r="D6801" s="74"/>
      <c r="E6801" s="67"/>
      <c r="F6801" s="75"/>
      <c r="G6801" s="67"/>
      <c r="H6801" s="68"/>
      <c r="I6801" s="76"/>
      <c r="J6801" s="67"/>
      <c r="K6801" s="7" t="s">
        <v>1126</v>
      </c>
      <c r="L6801" s="934"/>
      <c r="M6801" s="934"/>
    </row>
    <row r="6802" ht="12.75" hidden="1" customHeight="1" outlineLevel="1">
      <c r="A6802" s="122">
        <v>42175.0</v>
      </c>
      <c r="B6802" s="1"/>
      <c r="C6802" s="1" t="s">
        <v>433</v>
      </c>
      <c r="D6802" s="74"/>
      <c r="E6802" s="67"/>
      <c r="F6802" s="75"/>
      <c r="G6802" s="67"/>
      <c r="H6802" s="68"/>
      <c r="I6802" s="76"/>
      <c r="J6802" s="67"/>
      <c r="K6802" s="7" t="s">
        <v>1103</v>
      </c>
      <c r="L6802" s="934"/>
      <c r="M6802" s="934"/>
    </row>
    <row r="6803" ht="12.75" hidden="1" customHeight="1" outlineLevel="1">
      <c r="A6803" s="122">
        <v>42175.0</v>
      </c>
      <c r="B6803" s="1"/>
      <c r="C6803" s="1" t="s">
        <v>435</v>
      </c>
      <c r="D6803" s="74"/>
      <c r="E6803" s="67"/>
      <c r="F6803" s="75"/>
      <c r="G6803" s="67"/>
      <c r="H6803" s="68"/>
      <c r="I6803" s="76"/>
      <c r="J6803" s="67"/>
      <c r="K6803" s="9" t="s">
        <v>2802</v>
      </c>
      <c r="L6803" s="934"/>
      <c r="M6803" s="934"/>
    </row>
    <row r="6804" ht="12.75" hidden="1" customHeight="1" outlineLevel="1">
      <c r="A6804" s="122">
        <v>42177.0</v>
      </c>
      <c r="B6804" s="32" t="s">
        <v>347</v>
      </c>
      <c r="C6804" s="32" t="s">
        <v>3024</v>
      </c>
      <c r="D6804" s="708">
        <v>650.0</v>
      </c>
      <c r="E6804" s="195">
        <v>19.3548</v>
      </c>
      <c r="F6804" s="709">
        <v>0.3986458333333333</v>
      </c>
      <c r="G6804" s="195" t="s">
        <v>453</v>
      </c>
      <c r="H6804" s="710">
        <v>2.83</v>
      </c>
      <c r="I6804" s="256"/>
      <c r="J6804" s="67">
        <f t="shared" ref="J6804:J6809" si="412">IF(B6804="SLD",D6804*E6804,-D6804*E6804)-H6804</f>
        <v>12577.79</v>
      </c>
      <c r="L6804" s="70"/>
      <c r="M6804" s="934"/>
      <c r="N6804" s="94"/>
      <c r="O6804" s="94"/>
      <c r="P6804" s="94"/>
      <c r="Q6804" s="94"/>
      <c r="R6804" s="94"/>
      <c r="S6804" s="94"/>
      <c r="T6804" s="94"/>
      <c r="U6804" s="94"/>
      <c r="V6804" s="94"/>
      <c r="W6804" s="94"/>
      <c r="X6804" s="94"/>
      <c r="Y6804" s="94"/>
      <c r="Z6804" s="94"/>
      <c r="AA6804" s="94"/>
      <c r="AB6804" s="94"/>
      <c r="AC6804" s="94"/>
      <c r="AD6804" s="94"/>
      <c r="AE6804" s="94"/>
      <c r="AF6804" s="94"/>
      <c r="AG6804" s="94"/>
      <c r="AH6804" s="94"/>
    </row>
    <row r="6805" ht="12.75" hidden="1" customHeight="1" outlineLevel="1">
      <c r="A6805" s="122">
        <v>42177.0</v>
      </c>
      <c r="B6805" s="32" t="s">
        <v>347</v>
      </c>
      <c r="C6805" s="32" t="s">
        <v>369</v>
      </c>
      <c r="D6805" s="708">
        <v>2000.0</v>
      </c>
      <c r="E6805" s="195">
        <v>4.981</v>
      </c>
      <c r="F6805" s="709">
        <v>0.39934027777777775</v>
      </c>
      <c r="G6805" s="195" t="s">
        <v>453</v>
      </c>
      <c r="H6805" s="710">
        <v>8.18</v>
      </c>
      <c r="I6805" s="256"/>
      <c r="J6805" s="67">
        <f t="shared" si="412"/>
        <v>9953.82</v>
      </c>
      <c r="L6805" s="70"/>
      <c r="M6805" s="934"/>
      <c r="N6805" s="94"/>
      <c r="O6805" s="94"/>
      <c r="P6805" s="94"/>
      <c r="Q6805" s="94"/>
      <c r="R6805" s="94"/>
      <c r="S6805" s="94"/>
      <c r="T6805" s="94"/>
      <c r="U6805" s="94"/>
      <c r="V6805" s="94"/>
      <c r="W6805" s="94"/>
      <c r="X6805" s="94"/>
      <c r="Y6805" s="94"/>
      <c r="Z6805" s="94"/>
      <c r="AA6805" s="94"/>
      <c r="AB6805" s="94"/>
      <c r="AC6805" s="94"/>
      <c r="AD6805" s="94"/>
      <c r="AE6805" s="94"/>
      <c r="AF6805" s="94"/>
      <c r="AG6805" s="94"/>
      <c r="AH6805" s="94"/>
    </row>
    <row r="6806" ht="12.75" hidden="1" customHeight="1" outlineLevel="1">
      <c r="A6806" s="122">
        <v>42177.0</v>
      </c>
      <c r="B6806" s="32" t="s">
        <v>347</v>
      </c>
      <c r="C6806" s="32" t="s">
        <v>784</v>
      </c>
      <c r="D6806" s="708">
        <v>2000.0</v>
      </c>
      <c r="E6806" s="195">
        <v>6.52</v>
      </c>
      <c r="F6806" s="709">
        <v>0.39944444444444444</v>
      </c>
      <c r="G6806" s="195" t="s">
        <v>453</v>
      </c>
      <c r="H6806" s="710">
        <v>8.24</v>
      </c>
      <c r="I6806" s="256"/>
      <c r="J6806" s="67">
        <f t="shared" si="412"/>
        <v>13031.76</v>
      </c>
      <c r="L6806" s="70"/>
      <c r="M6806" s="934"/>
      <c r="N6806" s="94"/>
      <c r="O6806" s="94"/>
      <c r="P6806" s="94"/>
      <c r="Q6806" s="94"/>
      <c r="R6806" s="94"/>
      <c r="S6806" s="94"/>
      <c r="T6806" s="94"/>
      <c r="U6806" s="94"/>
      <c r="V6806" s="94"/>
      <c r="W6806" s="94"/>
      <c r="X6806" s="94"/>
      <c r="Y6806" s="94"/>
      <c r="Z6806" s="94"/>
      <c r="AA6806" s="94"/>
      <c r="AB6806" s="94"/>
      <c r="AC6806" s="94"/>
      <c r="AD6806" s="94"/>
      <c r="AE6806" s="94"/>
      <c r="AF6806" s="94"/>
      <c r="AG6806" s="94"/>
      <c r="AH6806" s="94"/>
    </row>
    <row r="6807" ht="12.75" hidden="1" customHeight="1" outlineLevel="1">
      <c r="A6807" s="122">
        <v>42177.0</v>
      </c>
      <c r="B6807" s="32" t="s">
        <v>347</v>
      </c>
      <c r="C6807" s="32" t="s">
        <v>369</v>
      </c>
      <c r="D6807" s="708">
        <v>2000.0</v>
      </c>
      <c r="E6807" s="195">
        <v>4.95</v>
      </c>
      <c r="F6807" s="709">
        <v>0.40011574074074074</v>
      </c>
      <c r="G6807" s="195" t="s">
        <v>453</v>
      </c>
      <c r="H6807" s="710">
        <v>10.18</v>
      </c>
      <c r="I6807" s="256"/>
      <c r="J6807" s="67">
        <f t="shared" si="412"/>
        <v>9889.82</v>
      </c>
      <c r="L6807" s="70"/>
      <c r="M6807" s="934"/>
      <c r="N6807" s="94"/>
      <c r="O6807" s="94"/>
      <c r="P6807" s="94"/>
      <c r="Q6807" s="94"/>
      <c r="R6807" s="94"/>
      <c r="S6807" s="94"/>
      <c r="T6807" s="94"/>
      <c r="U6807" s="94"/>
      <c r="V6807" s="94"/>
      <c r="W6807" s="94"/>
      <c r="X6807" s="94"/>
      <c r="Y6807" s="94"/>
      <c r="Z6807" s="94"/>
      <c r="AA6807" s="94"/>
      <c r="AB6807" s="94"/>
      <c r="AC6807" s="94"/>
      <c r="AD6807" s="94"/>
      <c r="AE6807" s="94"/>
      <c r="AF6807" s="94"/>
      <c r="AG6807" s="94"/>
      <c r="AH6807" s="94"/>
    </row>
    <row r="6808" ht="12.75" hidden="1" customHeight="1" outlineLevel="1">
      <c r="A6808" s="122">
        <v>42177.0</v>
      </c>
      <c r="B6808" s="32" t="s">
        <v>347</v>
      </c>
      <c r="C6808" s="32" t="s">
        <v>784</v>
      </c>
      <c r="D6808" s="708">
        <v>2000.0</v>
      </c>
      <c r="E6808" s="195">
        <v>6.4701</v>
      </c>
      <c r="F6808" s="709">
        <v>0.4002893518518518</v>
      </c>
      <c r="G6808" s="195" t="s">
        <v>453</v>
      </c>
      <c r="H6808" s="710">
        <v>8.24</v>
      </c>
      <c r="I6808" s="256"/>
      <c r="J6808" s="67">
        <f t="shared" si="412"/>
        <v>12931.96</v>
      </c>
      <c r="L6808" s="70"/>
      <c r="M6808" s="934"/>
      <c r="N6808" s="94"/>
      <c r="O6808" s="94"/>
      <c r="P6808" s="94"/>
      <c r="Q6808" s="94"/>
      <c r="R6808" s="94"/>
      <c r="S6808" s="94"/>
      <c r="T6808" s="94"/>
      <c r="U6808" s="94"/>
      <c r="V6808" s="94"/>
      <c r="W6808" s="94"/>
      <c r="X6808" s="94"/>
      <c r="Y6808" s="94"/>
      <c r="Z6808" s="94"/>
      <c r="AA6808" s="94"/>
      <c r="AB6808" s="94"/>
      <c r="AC6808" s="94"/>
      <c r="AD6808" s="94"/>
      <c r="AE6808" s="94"/>
      <c r="AF6808" s="94"/>
      <c r="AG6808" s="94"/>
      <c r="AH6808" s="94"/>
    </row>
    <row r="6809" ht="12.75" hidden="1" customHeight="1" outlineLevel="1">
      <c r="A6809" s="122">
        <v>42177.0</v>
      </c>
      <c r="B6809" s="32" t="s">
        <v>347</v>
      </c>
      <c r="C6809" s="32" t="s">
        <v>369</v>
      </c>
      <c r="D6809" s="708">
        <v>2000.0</v>
      </c>
      <c r="E6809" s="195">
        <v>4.9</v>
      </c>
      <c r="F6809" s="709">
        <v>0.46532407407407406</v>
      </c>
      <c r="G6809" s="195" t="s">
        <v>453</v>
      </c>
      <c r="H6809" s="710">
        <v>10.18</v>
      </c>
      <c r="I6809" s="256"/>
      <c r="J6809" s="67">
        <f t="shared" si="412"/>
        <v>9789.82</v>
      </c>
      <c r="L6809" s="70"/>
      <c r="M6809" s="934"/>
      <c r="N6809" s="94"/>
      <c r="O6809" s="94"/>
      <c r="P6809" s="94"/>
      <c r="Q6809" s="94"/>
      <c r="R6809" s="94"/>
      <c r="S6809" s="94"/>
      <c r="T6809" s="94"/>
      <c r="U6809" s="94"/>
      <c r="V6809" s="94"/>
      <c r="W6809" s="94"/>
      <c r="X6809" s="94"/>
      <c r="Y6809" s="94"/>
      <c r="Z6809" s="94"/>
      <c r="AA6809" s="94"/>
      <c r="AB6809" s="94"/>
      <c r="AC6809" s="94"/>
      <c r="AD6809" s="94"/>
      <c r="AE6809" s="94"/>
      <c r="AF6809" s="94"/>
      <c r="AG6809" s="94"/>
      <c r="AH6809" s="94"/>
    </row>
    <row r="6810" ht="12.75" hidden="1" customHeight="1" outlineLevel="1">
      <c r="A6810" s="122">
        <v>42177.0</v>
      </c>
      <c r="B6810" s="1"/>
      <c r="C6810" s="1" t="s">
        <v>339</v>
      </c>
      <c r="D6810" s="74"/>
      <c r="E6810" s="67"/>
      <c r="F6810" s="75"/>
      <c r="G6810" s="67"/>
      <c r="H6810" s="68"/>
      <c r="I6810" s="76"/>
      <c r="K6810" s="968" t="s">
        <v>3027</v>
      </c>
      <c r="L6810" s="934"/>
      <c r="M6810" s="934"/>
    </row>
    <row r="6811" ht="12.75" hidden="1" customHeight="1" outlineLevel="1">
      <c r="A6811" s="122">
        <v>42177.0</v>
      </c>
      <c r="B6811" s="1"/>
      <c r="C6811" s="1" t="s">
        <v>429</v>
      </c>
      <c r="D6811" s="74"/>
      <c r="E6811" s="67"/>
      <c r="F6811" s="75"/>
      <c r="G6811" s="67"/>
      <c r="H6811" s="68"/>
      <c r="I6811" s="76"/>
      <c r="J6811" s="67"/>
      <c r="K6811" s="9" t="s">
        <v>2839</v>
      </c>
      <c r="L6811" s="934"/>
      <c r="M6811" s="934"/>
    </row>
    <row r="6812" ht="12.75" hidden="1" customHeight="1" outlineLevel="1">
      <c r="A6812" s="122">
        <v>42177.0</v>
      </c>
      <c r="B6812" s="1"/>
      <c r="C6812" s="1" t="s">
        <v>431</v>
      </c>
      <c r="D6812" s="74"/>
      <c r="E6812" s="67"/>
      <c r="F6812" s="75"/>
      <c r="G6812" s="67"/>
      <c r="H6812" s="68"/>
      <c r="I6812" s="76"/>
      <c r="J6812" s="67"/>
      <c r="K6812" s="7" t="s">
        <v>1126</v>
      </c>
      <c r="L6812" s="934"/>
      <c r="M6812" s="934"/>
    </row>
    <row r="6813" ht="12.75" hidden="1" customHeight="1" outlineLevel="1">
      <c r="A6813" s="122">
        <v>42177.0</v>
      </c>
      <c r="B6813" s="1"/>
      <c r="C6813" s="1" t="s">
        <v>433</v>
      </c>
      <c r="D6813" s="74"/>
      <c r="E6813" s="67"/>
      <c r="F6813" s="75"/>
      <c r="G6813" s="67"/>
      <c r="H6813" s="68"/>
      <c r="I6813" s="76"/>
      <c r="J6813" s="67"/>
      <c r="K6813" s="7" t="s">
        <v>1103</v>
      </c>
      <c r="L6813" s="934"/>
      <c r="M6813" s="934"/>
    </row>
    <row r="6814" ht="12.75" hidden="1" customHeight="1" outlineLevel="1">
      <c r="A6814" s="122">
        <v>42177.0</v>
      </c>
      <c r="B6814" s="1"/>
      <c r="C6814" s="1" t="s">
        <v>435</v>
      </c>
      <c r="D6814" s="74"/>
      <c r="E6814" s="67"/>
      <c r="F6814" s="75"/>
      <c r="G6814" s="67"/>
      <c r="H6814" s="68"/>
      <c r="I6814" s="76"/>
      <c r="J6814" s="67"/>
      <c r="K6814" s="9" t="s">
        <v>2802</v>
      </c>
      <c r="L6814" s="934"/>
      <c r="M6814" s="934"/>
    </row>
    <row r="6815" ht="12.75" hidden="1" customHeight="1" outlineLevel="1">
      <c r="A6815" s="122">
        <v>42179.0</v>
      </c>
      <c r="B6815" s="32" t="s">
        <v>347</v>
      </c>
      <c r="C6815" s="32" t="s">
        <v>369</v>
      </c>
      <c r="D6815" s="708">
        <v>2000.0</v>
      </c>
      <c r="E6815" s="195">
        <v>4.711</v>
      </c>
      <c r="F6815" s="709">
        <v>0.6196875</v>
      </c>
      <c r="G6815" s="195" t="s">
        <v>453</v>
      </c>
      <c r="H6815" s="710">
        <v>8.17</v>
      </c>
      <c r="I6815" s="256"/>
      <c r="J6815" s="67">
        <f t="shared" ref="J6815:J6821" si="413">IF(B6815="SLD",D6815*E6815,-D6815*E6815)-H6815</f>
        <v>9413.83</v>
      </c>
      <c r="L6815" s="70"/>
      <c r="M6815" s="934"/>
      <c r="N6815" s="94"/>
      <c r="O6815" s="94"/>
      <c r="P6815" s="94"/>
      <c r="Q6815" s="94"/>
      <c r="R6815" s="94"/>
      <c r="S6815" s="94"/>
      <c r="T6815" s="94"/>
      <c r="U6815" s="94"/>
      <c r="V6815" s="94"/>
      <c r="W6815" s="94"/>
      <c r="X6815" s="94"/>
      <c r="Y6815" s="94"/>
      <c r="Z6815" s="94"/>
      <c r="AA6815" s="94"/>
      <c r="AB6815" s="94"/>
      <c r="AC6815" s="94"/>
      <c r="AD6815" s="94"/>
      <c r="AE6815" s="94"/>
      <c r="AF6815" s="94"/>
      <c r="AG6815" s="94"/>
      <c r="AH6815" s="94"/>
    </row>
    <row r="6816" ht="12.75" hidden="1" customHeight="1" outlineLevel="1">
      <c r="A6816" s="122">
        <v>42179.0</v>
      </c>
      <c r="B6816" s="32" t="s">
        <v>347</v>
      </c>
      <c r="C6816" s="32" t="s">
        <v>784</v>
      </c>
      <c r="D6816" s="708">
        <v>2000.0</v>
      </c>
      <c r="E6816" s="195">
        <v>6.372</v>
      </c>
      <c r="F6816" s="709">
        <v>0.619849537037037</v>
      </c>
      <c r="G6816" s="195" t="s">
        <v>453</v>
      </c>
      <c r="H6816" s="710">
        <v>8.23</v>
      </c>
      <c r="I6816" s="256"/>
      <c r="J6816" s="67">
        <f t="shared" si="413"/>
        <v>12735.77</v>
      </c>
      <c r="L6816" s="70"/>
      <c r="M6816" s="934"/>
      <c r="N6816" s="94"/>
      <c r="O6816" s="94"/>
      <c r="P6816" s="94"/>
      <c r="Q6816" s="94"/>
      <c r="R6816" s="94"/>
      <c r="S6816" s="94"/>
      <c r="T6816" s="94"/>
      <c r="U6816" s="94"/>
      <c r="V6816" s="94"/>
      <c r="W6816" s="94"/>
      <c r="X6816" s="94"/>
      <c r="Y6816" s="94"/>
      <c r="Z6816" s="94"/>
      <c r="AA6816" s="94"/>
      <c r="AB6816" s="94"/>
      <c r="AC6816" s="94"/>
      <c r="AD6816" s="94"/>
      <c r="AE6816" s="94"/>
      <c r="AF6816" s="94"/>
      <c r="AG6816" s="94"/>
      <c r="AH6816" s="94"/>
    </row>
    <row r="6817" ht="12.75" hidden="1" customHeight="1" outlineLevel="1">
      <c r="A6817" s="122">
        <v>42179.0</v>
      </c>
      <c r="B6817" s="32" t="s">
        <v>347</v>
      </c>
      <c r="C6817" s="32" t="s">
        <v>784</v>
      </c>
      <c r="D6817" s="708">
        <v>2000.0</v>
      </c>
      <c r="E6817" s="195">
        <v>6.37</v>
      </c>
      <c r="F6817" s="709">
        <v>0.6218171296296297</v>
      </c>
      <c r="G6817" s="195" t="s">
        <v>453</v>
      </c>
      <c r="H6817" s="710">
        <v>10.03</v>
      </c>
      <c r="I6817" s="256"/>
      <c r="J6817" s="67">
        <f t="shared" si="413"/>
        <v>12729.97</v>
      </c>
      <c r="L6817" s="70"/>
      <c r="M6817" s="934"/>
      <c r="N6817" s="94"/>
      <c r="O6817" s="94"/>
      <c r="P6817" s="94"/>
      <c r="Q6817" s="94"/>
      <c r="R6817" s="94"/>
      <c r="S6817" s="94"/>
      <c r="T6817" s="94"/>
      <c r="U6817" s="94"/>
      <c r="V6817" s="94"/>
      <c r="W6817" s="94"/>
      <c r="X6817" s="94"/>
      <c r="Y6817" s="94"/>
      <c r="Z6817" s="94"/>
      <c r="AA6817" s="94"/>
      <c r="AB6817" s="94"/>
      <c r="AC6817" s="94"/>
      <c r="AD6817" s="94"/>
      <c r="AE6817" s="94"/>
      <c r="AF6817" s="94"/>
      <c r="AG6817" s="94"/>
      <c r="AH6817" s="94"/>
    </row>
    <row r="6818" ht="12.75" hidden="1" customHeight="1" outlineLevel="1">
      <c r="A6818" s="122">
        <v>42179.0</v>
      </c>
      <c r="B6818" s="32" t="s">
        <v>347</v>
      </c>
      <c r="C6818" s="32" t="s">
        <v>369</v>
      </c>
      <c r="D6818" s="708">
        <v>2000.0</v>
      </c>
      <c r="E6818" s="195">
        <v>4.721</v>
      </c>
      <c r="F6818" s="709">
        <v>0.6219444444444444</v>
      </c>
      <c r="G6818" s="195" t="s">
        <v>453</v>
      </c>
      <c r="H6818" s="710">
        <v>8.17</v>
      </c>
      <c r="I6818" s="256"/>
      <c r="J6818" s="67">
        <f t="shared" si="413"/>
        <v>9433.83</v>
      </c>
      <c r="L6818" s="70"/>
      <c r="M6818" s="934"/>
      <c r="N6818" s="94"/>
      <c r="O6818" s="94"/>
      <c r="P6818" s="94"/>
      <c r="Q6818" s="94"/>
      <c r="R6818" s="94"/>
      <c r="S6818" s="94"/>
      <c r="T6818" s="94"/>
      <c r="U6818" s="94"/>
      <c r="V6818" s="94"/>
      <c r="W6818" s="94"/>
      <c r="X6818" s="94"/>
      <c r="Y6818" s="94"/>
      <c r="Z6818" s="94"/>
      <c r="AA6818" s="94"/>
      <c r="AB6818" s="94"/>
      <c r="AC6818" s="94"/>
      <c r="AD6818" s="94"/>
      <c r="AE6818" s="94"/>
      <c r="AF6818" s="94"/>
      <c r="AG6818" s="94"/>
      <c r="AH6818" s="94"/>
    </row>
    <row r="6819" ht="12.75" hidden="1" customHeight="1" outlineLevel="1">
      <c r="A6819" s="122">
        <v>42179.0</v>
      </c>
      <c r="B6819" s="32" t="s">
        <v>347</v>
      </c>
      <c r="C6819" s="32" t="s">
        <v>369</v>
      </c>
      <c r="D6819" s="708">
        <v>2000.0</v>
      </c>
      <c r="E6819" s="195">
        <v>4.71</v>
      </c>
      <c r="F6819" s="709">
        <v>0.6244212962962963</v>
      </c>
      <c r="G6819" s="195" t="s">
        <v>453</v>
      </c>
      <c r="H6819" s="710">
        <v>10.17</v>
      </c>
      <c r="I6819" s="256"/>
      <c r="J6819" s="67">
        <f t="shared" si="413"/>
        <v>9409.83</v>
      </c>
      <c r="L6819" s="70"/>
      <c r="M6819" s="934"/>
      <c r="N6819" s="94"/>
      <c r="O6819" s="94"/>
      <c r="P6819" s="94"/>
      <c r="Q6819" s="94"/>
      <c r="R6819" s="94"/>
      <c r="S6819" s="94"/>
      <c r="T6819" s="94"/>
      <c r="U6819" s="94"/>
      <c r="V6819" s="94"/>
      <c r="W6819" s="94"/>
      <c r="X6819" s="94"/>
      <c r="Y6819" s="94"/>
      <c r="Z6819" s="94"/>
      <c r="AA6819" s="94"/>
      <c r="AB6819" s="94"/>
      <c r="AC6819" s="94"/>
      <c r="AD6819" s="94"/>
      <c r="AE6819" s="94"/>
      <c r="AF6819" s="94"/>
      <c r="AG6819" s="94"/>
      <c r="AH6819" s="94"/>
    </row>
    <row r="6820" ht="12.75" hidden="1" customHeight="1" outlineLevel="1">
      <c r="A6820" s="122">
        <v>42179.0</v>
      </c>
      <c r="B6820" s="32" t="s">
        <v>347</v>
      </c>
      <c r="C6820" s="32" t="s">
        <v>784</v>
      </c>
      <c r="D6820" s="708">
        <v>2000.0</v>
      </c>
      <c r="E6820" s="195">
        <v>6.36</v>
      </c>
      <c r="F6820" s="709">
        <v>0.6245023148148148</v>
      </c>
      <c r="G6820" s="195" t="s">
        <v>453</v>
      </c>
      <c r="H6820" s="710">
        <v>9.63</v>
      </c>
      <c r="I6820" s="256"/>
      <c r="J6820" s="67">
        <f t="shared" si="413"/>
        <v>12710.37</v>
      </c>
      <c r="L6820" s="70"/>
      <c r="M6820" s="934"/>
      <c r="N6820" s="94"/>
      <c r="O6820" s="94"/>
      <c r="P6820" s="94"/>
      <c r="Q6820" s="94"/>
      <c r="R6820" s="94"/>
      <c r="S6820" s="94"/>
      <c r="T6820" s="94"/>
      <c r="U6820" s="94"/>
      <c r="V6820" s="94"/>
      <c r="W6820" s="94"/>
      <c r="X6820" s="94"/>
      <c r="Y6820" s="94"/>
      <c r="Z6820" s="94"/>
      <c r="AA6820" s="94"/>
      <c r="AB6820" s="94"/>
      <c r="AC6820" s="94"/>
      <c r="AD6820" s="94"/>
      <c r="AE6820" s="94"/>
      <c r="AF6820" s="94"/>
      <c r="AG6820" s="94"/>
      <c r="AH6820" s="94"/>
    </row>
    <row r="6821" ht="12.75" hidden="1" customHeight="1" outlineLevel="1">
      <c r="A6821" s="122">
        <v>42181.0</v>
      </c>
      <c r="B6821" s="32" t="s">
        <v>343</v>
      </c>
      <c r="C6821" s="32" t="s">
        <v>1164</v>
      </c>
      <c r="D6821" s="708">
        <v>200.0</v>
      </c>
      <c r="E6821" s="195">
        <v>34.55</v>
      </c>
      <c r="F6821" s="709">
        <v>0.39880787037037035</v>
      </c>
      <c r="G6821" s="195" t="s">
        <v>453</v>
      </c>
      <c r="H6821" s="710">
        <v>1.0</v>
      </c>
      <c r="I6821" s="256"/>
      <c r="J6821" s="67">
        <f t="shared" si="413"/>
        <v>-6911</v>
      </c>
      <c r="L6821" s="70"/>
      <c r="M6821" s="934"/>
      <c r="N6821" s="94"/>
      <c r="O6821" s="94"/>
      <c r="P6821" s="94"/>
      <c r="Q6821" s="94"/>
      <c r="R6821" s="94"/>
      <c r="S6821" s="94"/>
      <c r="T6821" s="94"/>
      <c r="U6821" s="94"/>
      <c r="V6821" s="94"/>
      <c r="W6821" s="94"/>
      <c r="X6821" s="94"/>
      <c r="Y6821" s="94"/>
      <c r="Z6821" s="94"/>
      <c r="AA6821" s="94"/>
      <c r="AB6821" s="94"/>
      <c r="AC6821" s="94"/>
      <c r="AD6821" s="94"/>
      <c r="AE6821" s="94"/>
      <c r="AF6821" s="94"/>
      <c r="AG6821" s="94"/>
      <c r="AH6821" s="94"/>
    </row>
    <row r="6822" ht="12.75" hidden="1" customHeight="1" outlineLevel="1">
      <c r="A6822" s="122">
        <v>42181.0</v>
      </c>
      <c r="B6822" s="1"/>
      <c r="C6822" s="1" t="s">
        <v>339</v>
      </c>
      <c r="D6822" s="74"/>
      <c r="E6822" s="67"/>
      <c r="F6822" s="75"/>
      <c r="G6822" s="67"/>
      <c r="H6822" s="68"/>
      <c r="I6822" s="76"/>
      <c r="K6822" s="968" t="s">
        <v>3033</v>
      </c>
      <c r="L6822" s="934"/>
      <c r="M6822" s="934"/>
    </row>
    <row r="6823" ht="12.75" hidden="1" customHeight="1" outlineLevel="1">
      <c r="A6823" s="122">
        <v>42181.0</v>
      </c>
      <c r="B6823" s="1"/>
      <c r="C6823" s="1" t="s">
        <v>429</v>
      </c>
      <c r="D6823" s="74"/>
      <c r="E6823" s="67"/>
      <c r="F6823" s="75"/>
      <c r="G6823" s="67"/>
      <c r="H6823" s="68"/>
      <c r="I6823" s="76"/>
      <c r="J6823" s="67"/>
      <c r="K6823" s="9" t="s">
        <v>2839</v>
      </c>
      <c r="L6823" s="934"/>
      <c r="M6823" s="934"/>
    </row>
    <row r="6824" ht="12.75" hidden="1" customHeight="1" outlineLevel="1">
      <c r="A6824" s="122">
        <v>42181.0</v>
      </c>
      <c r="B6824" s="1"/>
      <c r="C6824" s="1" t="s">
        <v>431</v>
      </c>
      <c r="D6824" s="74"/>
      <c r="E6824" s="67"/>
      <c r="F6824" s="75"/>
      <c r="G6824" s="67"/>
      <c r="H6824" s="68"/>
      <c r="I6824" s="76"/>
      <c r="J6824" s="67"/>
      <c r="K6824" s="7" t="s">
        <v>1126</v>
      </c>
      <c r="L6824" s="934"/>
      <c r="M6824" s="934"/>
    </row>
    <row r="6825" ht="12.75" hidden="1" customHeight="1" outlineLevel="1">
      <c r="A6825" s="122">
        <v>42181.0</v>
      </c>
      <c r="B6825" s="1"/>
      <c r="C6825" s="1" t="s">
        <v>433</v>
      </c>
      <c r="D6825" s="74"/>
      <c r="E6825" s="67"/>
      <c r="F6825" s="75"/>
      <c r="G6825" s="67"/>
      <c r="H6825" s="68"/>
      <c r="I6825" s="76"/>
      <c r="J6825" s="67"/>
      <c r="K6825" s="7" t="s">
        <v>1103</v>
      </c>
      <c r="L6825" s="934"/>
      <c r="M6825" s="934"/>
    </row>
    <row r="6826" ht="12.75" hidden="1" customHeight="1" outlineLevel="1">
      <c r="A6826" s="122">
        <v>42181.0</v>
      </c>
      <c r="B6826" s="1"/>
      <c r="C6826" s="1" t="s">
        <v>435</v>
      </c>
      <c r="D6826" s="74"/>
      <c r="E6826" s="67"/>
      <c r="F6826" s="75"/>
      <c r="G6826" s="67"/>
      <c r="H6826" s="68"/>
      <c r="I6826" s="76"/>
      <c r="J6826" s="67"/>
      <c r="K6826" s="9" t="s">
        <v>2802</v>
      </c>
      <c r="L6826" s="934"/>
      <c r="M6826" s="934"/>
    </row>
    <row r="6827" ht="12.75" hidden="1" customHeight="1" outlineLevel="1">
      <c r="A6827" s="122">
        <v>42184.0</v>
      </c>
      <c r="B6827" s="32" t="s">
        <v>347</v>
      </c>
      <c r="C6827" s="32" t="s">
        <v>790</v>
      </c>
      <c r="D6827" s="708">
        <v>600.0</v>
      </c>
      <c r="E6827" s="195">
        <v>8.94</v>
      </c>
      <c r="F6827" s="709">
        <v>0.5739814814814815</v>
      </c>
      <c r="G6827" s="195" t="s">
        <v>453</v>
      </c>
      <c r="H6827" s="710">
        <v>2.5</v>
      </c>
      <c r="I6827" s="256"/>
      <c r="J6827" s="67">
        <f t="shared" ref="J6827:J6829" si="414">IF(B6827="SLD",D6827*E6827,-D6827*E6827)-H6827</f>
        <v>5361.5</v>
      </c>
      <c r="L6827" s="70"/>
      <c r="M6827" s="934"/>
      <c r="N6827" s="94"/>
      <c r="O6827" s="94"/>
      <c r="P6827" s="94"/>
      <c r="Q6827" s="94"/>
      <c r="R6827" s="94"/>
      <c r="S6827" s="94"/>
      <c r="T6827" s="94"/>
      <c r="U6827" s="94"/>
      <c r="V6827" s="94"/>
      <c r="W6827" s="94"/>
      <c r="X6827" s="94"/>
      <c r="Y6827" s="94"/>
      <c r="Z6827" s="94"/>
      <c r="AA6827" s="94"/>
      <c r="AB6827" s="94"/>
      <c r="AC6827" s="94"/>
      <c r="AD6827" s="94"/>
      <c r="AE6827" s="94"/>
      <c r="AF6827" s="94"/>
      <c r="AG6827" s="94"/>
      <c r="AH6827" s="94"/>
    </row>
    <row r="6828" ht="12.75" hidden="1" customHeight="1" outlineLevel="1">
      <c r="A6828" s="122">
        <v>42184.0</v>
      </c>
      <c r="B6828" s="32" t="s">
        <v>347</v>
      </c>
      <c r="C6828" s="32" t="s">
        <v>1164</v>
      </c>
      <c r="D6828" s="708">
        <v>200.0</v>
      </c>
      <c r="E6828" s="195">
        <v>33.42</v>
      </c>
      <c r="F6828" s="709">
        <v>0.602037037037037</v>
      </c>
      <c r="G6828" s="195" t="s">
        <v>453</v>
      </c>
      <c r="H6828" s="710">
        <v>1.12</v>
      </c>
      <c r="I6828" s="256"/>
      <c r="J6828" s="67">
        <f t="shared" si="414"/>
        <v>6682.88</v>
      </c>
      <c r="L6828" s="70"/>
      <c r="M6828" s="934"/>
      <c r="N6828" s="94"/>
      <c r="O6828" s="94"/>
      <c r="P6828" s="94"/>
      <c r="Q6828" s="94"/>
      <c r="R6828" s="94"/>
      <c r="S6828" s="94"/>
      <c r="T6828" s="94"/>
      <c r="U6828" s="94"/>
      <c r="V6828" s="94"/>
      <c r="W6828" s="94"/>
      <c r="X6828" s="94"/>
      <c r="Y6828" s="94"/>
      <c r="Z6828" s="94"/>
      <c r="AA6828" s="94"/>
      <c r="AB6828" s="94"/>
      <c r="AC6828" s="94"/>
      <c r="AD6828" s="94"/>
      <c r="AE6828" s="94"/>
      <c r="AF6828" s="94"/>
      <c r="AG6828" s="94"/>
      <c r="AH6828" s="94"/>
    </row>
    <row r="6829" ht="12.75" hidden="1" customHeight="1" outlineLevel="1">
      <c r="A6829" s="122">
        <v>42184.0</v>
      </c>
      <c r="B6829" s="32" t="s">
        <v>347</v>
      </c>
      <c r="C6829" s="32" t="s">
        <v>371</v>
      </c>
      <c r="D6829" s="708">
        <v>75.0</v>
      </c>
      <c r="E6829" s="195">
        <v>76.235</v>
      </c>
      <c r="F6829" s="709">
        <v>0.6021643518518518</v>
      </c>
      <c r="G6829" s="195" t="s">
        <v>453</v>
      </c>
      <c r="H6829" s="710">
        <v>1.11</v>
      </c>
      <c r="I6829" s="256"/>
      <c r="J6829" s="67">
        <f t="shared" si="414"/>
        <v>5716.515</v>
      </c>
      <c r="L6829" s="70"/>
      <c r="M6829" s="934"/>
      <c r="N6829" s="94"/>
      <c r="O6829" s="94"/>
      <c r="P6829" s="94"/>
      <c r="Q6829" s="94"/>
      <c r="R6829" s="94"/>
      <c r="S6829" s="94"/>
      <c r="T6829" s="94"/>
      <c r="U6829" s="94"/>
      <c r="V6829" s="94"/>
      <c r="W6829" s="94"/>
      <c r="X6829" s="94"/>
      <c r="Y6829" s="94"/>
      <c r="Z6829" s="94"/>
      <c r="AA6829" s="94"/>
      <c r="AB6829" s="94"/>
      <c r="AC6829" s="94"/>
      <c r="AD6829" s="94"/>
      <c r="AE6829" s="94"/>
      <c r="AF6829" s="94"/>
      <c r="AG6829" s="94"/>
      <c r="AH6829" s="94"/>
    </row>
    <row r="6830" ht="12.75" hidden="1" customHeight="1" outlineLevel="1">
      <c r="A6830" s="122">
        <v>42184.0</v>
      </c>
      <c r="B6830" s="1"/>
      <c r="C6830" s="1" t="s">
        <v>339</v>
      </c>
      <c r="D6830" s="74"/>
      <c r="E6830" s="67"/>
      <c r="F6830" s="75"/>
      <c r="G6830" s="67"/>
      <c r="H6830" s="68"/>
      <c r="I6830" s="76"/>
      <c r="K6830" s="968" t="s">
        <v>3036</v>
      </c>
      <c r="L6830" s="934"/>
      <c r="M6830" s="934"/>
    </row>
    <row r="6831" ht="12.75" hidden="1" customHeight="1" outlineLevel="1">
      <c r="A6831" s="122">
        <v>42184.0</v>
      </c>
      <c r="B6831" s="1"/>
      <c r="C6831" s="1" t="s">
        <v>429</v>
      </c>
      <c r="D6831" s="74"/>
      <c r="E6831" s="67"/>
      <c r="F6831" s="75"/>
      <c r="G6831" s="67"/>
      <c r="H6831" s="68"/>
      <c r="I6831" s="76"/>
      <c r="J6831" s="67"/>
      <c r="K6831" s="9" t="s">
        <v>2839</v>
      </c>
      <c r="L6831" s="934"/>
      <c r="M6831" s="934"/>
    </row>
    <row r="6832" ht="12.75" hidden="1" customHeight="1" outlineLevel="1">
      <c r="A6832" s="122">
        <v>42184.0</v>
      </c>
      <c r="B6832" s="1"/>
      <c r="C6832" s="1" t="s">
        <v>431</v>
      </c>
      <c r="D6832" s="74"/>
      <c r="E6832" s="67"/>
      <c r="F6832" s="75"/>
      <c r="G6832" s="67"/>
      <c r="H6832" s="68"/>
      <c r="I6832" s="76"/>
      <c r="J6832" s="67"/>
      <c r="K6832" s="7" t="s">
        <v>1126</v>
      </c>
      <c r="L6832" s="934"/>
      <c r="M6832" s="934"/>
    </row>
    <row r="6833" ht="12.75" hidden="1" customHeight="1" outlineLevel="1">
      <c r="A6833" s="122">
        <v>42184.0</v>
      </c>
      <c r="B6833" s="1"/>
      <c r="C6833" s="1" t="s">
        <v>433</v>
      </c>
      <c r="D6833" s="74"/>
      <c r="E6833" s="67"/>
      <c r="F6833" s="75"/>
      <c r="G6833" s="67"/>
      <c r="H6833" s="68"/>
      <c r="I6833" s="76"/>
      <c r="J6833" s="67"/>
      <c r="K6833" s="7" t="s">
        <v>1103</v>
      </c>
      <c r="L6833" s="934"/>
      <c r="M6833" s="934"/>
    </row>
    <row r="6834" ht="12.75" hidden="1" customHeight="1" outlineLevel="1">
      <c r="A6834" s="122">
        <v>42184.0</v>
      </c>
      <c r="B6834" s="1"/>
      <c r="C6834" s="1" t="s">
        <v>435</v>
      </c>
      <c r="D6834" s="74"/>
      <c r="E6834" s="67"/>
      <c r="F6834" s="75"/>
      <c r="G6834" s="67"/>
      <c r="H6834" s="68"/>
      <c r="I6834" s="76"/>
      <c r="J6834" s="67"/>
      <c r="K6834" s="9" t="s">
        <v>2802</v>
      </c>
      <c r="L6834" s="934"/>
      <c r="M6834" s="934"/>
    </row>
    <row r="6835" ht="12.75" hidden="1" customHeight="1" outlineLevel="1">
      <c r="A6835" s="122">
        <v>42185.0</v>
      </c>
      <c r="B6835" s="32" t="s">
        <v>343</v>
      </c>
      <c r="C6835" s="32" t="s">
        <v>371</v>
      </c>
      <c r="D6835" s="708">
        <v>75.0</v>
      </c>
      <c r="E6835" s="195">
        <v>76.0</v>
      </c>
      <c r="F6835" s="709">
        <v>0.3958449074074074</v>
      </c>
      <c r="G6835" s="195" t="s">
        <v>453</v>
      </c>
      <c r="H6835" s="710">
        <v>1.0</v>
      </c>
      <c r="I6835" s="256"/>
      <c r="J6835" s="67">
        <f t="shared" ref="J6835:J6850" si="415">IF(B6835="SLD",D6835*E6835,-D6835*E6835)-H6835</f>
        <v>-5701</v>
      </c>
      <c r="L6835" s="70"/>
      <c r="M6835" s="934"/>
      <c r="N6835" s="94"/>
      <c r="O6835" s="94"/>
      <c r="P6835" s="94"/>
      <c r="Q6835" s="94"/>
      <c r="R6835" s="94"/>
      <c r="S6835" s="94"/>
      <c r="T6835" s="94"/>
      <c r="U6835" s="94"/>
      <c r="V6835" s="94"/>
      <c r="W6835" s="94"/>
      <c r="X6835" s="94"/>
      <c r="Y6835" s="94"/>
      <c r="Z6835" s="94"/>
      <c r="AA6835" s="94"/>
      <c r="AB6835" s="94"/>
      <c r="AC6835" s="94"/>
      <c r="AD6835" s="94"/>
      <c r="AE6835" s="94"/>
      <c r="AF6835" s="94"/>
      <c r="AG6835" s="94"/>
      <c r="AH6835" s="94"/>
    </row>
    <row r="6836" ht="12.75" hidden="1" customHeight="1" outlineLevel="1">
      <c r="A6836" s="122">
        <v>42185.0</v>
      </c>
      <c r="B6836" s="32" t="s">
        <v>343</v>
      </c>
      <c r="C6836" s="32" t="s">
        <v>3040</v>
      </c>
      <c r="D6836" s="708">
        <v>45.0</v>
      </c>
      <c r="E6836" s="195">
        <v>137.57</v>
      </c>
      <c r="F6836" s="709">
        <v>0.39684027777777775</v>
      </c>
      <c r="G6836" s="195" t="s">
        <v>453</v>
      </c>
      <c r="H6836" s="710">
        <v>1.0</v>
      </c>
      <c r="I6836" s="256"/>
      <c r="J6836" s="67">
        <f t="shared" si="415"/>
        <v>-6191.65</v>
      </c>
      <c r="L6836" s="70"/>
      <c r="M6836" s="934"/>
      <c r="N6836" s="94"/>
      <c r="O6836" s="94"/>
      <c r="P6836" s="94"/>
      <c r="Q6836" s="94"/>
      <c r="R6836" s="94"/>
      <c r="S6836" s="94"/>
      <c r="T6836" s="94"/>
      <c r="U6836" s="94"/>
      <c r="V6836" s="94"/>
      <c r="W6836" s="94"/>
      <c r="X6836" s="94"/>
      <c r="Y6836" s="94"/>
      <c r="Z6836" s="94"/>
      <c r="AA6836" s="94"/>
      <c r="AB6836" s="94"/>
      <c r="AC6836" s="94"/>
      <c r="AD6836" s="94"/>
      <c r="AE6836" s="94"/>
      <c r="AF6836" s="94"/>
      <c r="AG6836" s="94"/>
      <c r="AH6836" s="94"/>
    </row>
    <row r="6837" ht="12.75" hidden="1" customHeight="1" outlineLevel="1">
      <c r="A6837" s="122">
        <v>42185.0</v>
      </c>
      <c r="B6837" s="32" t="s">
        <v>343</v>
      </c>
      <c r="C6837" s="32" t="s">
        <v>1164</v>
      </c>
      <c r="D6837" s="708">
        <v>200.0</v>
      </c>
      <c r="E6837" s="195">
        <v>33.569</v>
      </c>
      <c r="F6837" s="709">
        <v>0.42462962962962963</v>
      </c>
      <c r="G6837" s="195" t="s">
        <v>453</v>
      </c>
      <c r="H6837" s="710">
        <v>1.0</v>
      </c>
      <c r="I6837" s="256"/>
      <c r="J6837" s="67">
        <f t="shared" si="415"/>
        <v>-6714.8</v>
      </c>
      <c r="L6837" s="70"/>
      <c r="M6837" s="934"/>
      <c r="N6837" s="94"/>
      <c r="O6837" s="94"/>
      <c r="P6837" s="94"/>
      <c r="Q6837" s="94"/>
      <c r="R6837" s="94"/>
      <c r="S6837" s="94"/>
      <c r="T6837" s="94"/>
      <c r="U6837" s="94"/>
      <c r="V6837" s="94"/>
      <c r="W6837" s="94"/>
      <c r="X6837" s="94"/>
      <c r="Y6837" s="94"/>
      <c r="Z6837" s="94"/>
      <c r="AA6837" s="94"/>
      <c r="AB6837" s="94"/>
      <c r="AC6837" s="94"/>
      <c r="AD6837" s="94"/>
      <c r="AE6837" s="94"/>
      <c r="AF6837" s="94"/>
      <c r="AG6837" s="94"/>
      <c r="AH6837" s="94"/>
    </row>
    <row r="6838" ht="12.75" hidden="1" customHeight="1" outlineLevel="1">
      <c r="A6838" s="122">
        <v>42185.0</v>
      </c>
      <c r="B6838" s="32" t="s">
        <v>347</v>
      </c>
      <c r="C6838" s="32" t="s">
        <v>784</v>
      </c>
      <c r="D6838" s="708">
        <v>2000.0</v>
      </c>
      <c r="E6838" s="195">
        <v>5.99</v>
      </c>
      <c r="F6838" s="709">
        <v>0.43020833333333336</v>
      </c>
      <c r="G6838" s="195" t="s">
        <v>453</v>
      </c>
      <c r="H6838" s="710">
        <v>8.22</v>
      </c>
      <c r="I6838" s="256"/>
      <c r="J6838" s="67">
        <f t="shared" si="415"/>
        <v>11971.78</v>
      </c>
      <c r="L6838" s="70"/>
      <c r="M6838" s="934"/>
      <c r="N6838" s="94"/>
      <c r="O6838" s="94"/>
      <c r="P6838" s="94"/>
      <c r="Q6838" s="94"/>
      <c r="R6838" s="94"/>
      <c r="S6838" s="94"/>
      <c r="T6838" s="94"/>
      <c r="U6838" s="94"/>
      <c r="V6838" s="94"/>
      <c r="W6838" s="94"/>
      <c r="X6838" s="94"/>
      <c r="Y6838" s="94"/>
      <c r="Z6838" s="94"/>
      <c r="AA6838" s="94"/>
      <c r="AB6838" s="94"/>
      <c r="AC6838" s="94"/>
      <c r="AD6838" s="94"/>
      <c r="AE6838" s="94"/>
      <c r="AF6838" s="94"/>
      <c r="AG6838" s="94"/>
      <c r="AH6838" s="94"/>
    </row>
    <row r="6839" ht="12.75" hidden="1" customHeight="1" outlineLevel="1">
      <c r="A6839" s="122">
        <v>42185.0</v>
      </c>
      <c r="B6839" s="32" t="s">
        <v>347</v>
      </c>
      <c r="C6839" s="32" t="s">
        <v>3024</v>
      </c>
      <c r="D6839" s="708">
        <v>350.0</v>
      </c>
      <c r="E6839" s="195">
        <v>19.24</v>
      </c>
      <c r="F6839" s="709">
        <v>0.4352662037037037</v>
      </c>
      <c r="G6839" s="195" t="s">
        <v>453</v>
      </c>
      <c r="H6839" s="710">
        <v>1.52</v>
      </c>
      <c r="I6839" s="256"/>
      <c r="J6839" s="67">
        <f t="shared" si="415"/>
        <v>6732.48</v>
      </c>
      <c r="L6839" s="70"/>
      <c r="M6839" s="934"/>
      <c r="N6839" s="94"/>
      <c r="O6839" s="94"/>
      <c r="P6839" s="94"/>
      <c r="Q6839" s="94"/>
      <c r="R6839" s="94"/>
      <c r="S6839" s="94"/>
      <c r="T6839" s="94"/>
      <c r="U6839" s="94"/>
      <c r="V6839" s="94"/>
      <c r="W6839" s="94"/>
      <c r="X6839" s="94"/>
      <c r="Y6839" s="94"/>
      <c r="Z6839" s="94"/>
      <c r="AA6839" s="94"/>
      <c r="AB6839" s="94"/>
      <c r="AC6839" s="94"/>
      <c r="AD6839" s="94"/>
      <c r="AE6839" s="94"/>
      <c r="AF6839" s="94"/>
      <c r="AG6839" s="94"/>
      <c r="AH6839" s="94"/>
    </row>
    <row r="6840" ht="12.75" hidden="1" customHeight="1" outlineLevel="1">
      <c r="A6840" s="122">
        <v>42185.0</v>
      </c>
      <c r="B6840" s="32" t="s">
        <v>347</v>
      </c>
      <c r="C6840" s="32" t="s">
        <v>784</v>
      </c>
      <c r="D6840" s="708">
        <v>4000.0</v>
      </c>
      <c r="E6840" s="195">
        <v>5.97</v>
      </c>
      <c r="F6840" s="709">
        <v>0.43953703703703706</v>
      </c>
      <c r="G6840" s="195" t="s">
        <v>453</v>
      </c>
      <c r="H6840" s="710">
        <v>17.94</v>
      </c>
      <c r="I6840" s="256"/>
      <c r="J6840" s="67">
        <f t="shared" si="415"/>
        <v>23862.06</v>
      </c>
      <c r="L6840" s="70"/>
      <c r="M6840" s="934"/>
      <c r="N6840" s="94"/>
      <c r="O6840" s="94"/>
      <c r="P6840" s="94"/>
      <c r="Q6840" s="94"/>
      <c r="R6840" s="94"/>
      <c r="S6840" s="94"/>
      <c r="T6840" s="94"/>
      <c r="U6840" s="94"/>
      <c r="V6840" s="94"/>
      <c r="W6840" s="94"/>
      <c r="X6840" s="94"/>
      <c r="Y6840" s="94"/>
      <c r="Z6840" s="94"/>
      <c r="AA6840" s="94"/>
      <c r="AB6840" s="94"/>
      <c r="AC6840" s="94"/>
      <c r="AD6840" s="94"/>
      <c r="AE6840" s="94"/>
      <c r="AF6840" s="94"/>
      <c r="AG6840" s="94"/>
      <c r="AH6840" s="94"/>
    </row>
    <row r="6841" ht="12.75" hidden="1" customHeight="1" outlineLevel="1">
      <c r="A6841" s="122">
        <v>42186.0</v>
      </c>
      <c r="B6841" s="32" t="s">
        <v>347</v>
      </c>
      <c r="C6841" s="32" t="s">
        <v>790</v>
      </c>
      <c r="D6841" s="708">
        <v>1000.0</v>
      </c>
      <c r="E6841" s="195">
        <v>8.92</v>
      </c>
      <c r="F6841" s="709">
        <v>0.4883912037037037</v>
      </c>
      <c r="G6841" s="195" t="s">
        <v>453</v>
      </c>
      <c r="H6841" s="710">
        <v>5.16</v>
      </c>
      <c r="I6841" s="256"/>
      <c r="J6841" s="67">
        <f t="shared" si="415"/>
        <v>8914.84</v>
      </c>
      <c r="L6841" s="70"/>
      <c r="M6841" s="934"/>
      <c r="N6841" s="94"/>
      <c r="O6841" s="94"/>
      <c r="P6841" s="94"/>
      <c r="Q6841" s="94"/>
      <c r="R6841" s="94"/>
      <c r="S6841" s="94"/>
      <c r="T6841" s="94"/>
      <c r="U6841" s="94"/>
      <c r="V6841" s="94"/>
      <c r="W6841" s="94"/>
      <c r="X6841" s="94"/>
      <c r="Y6841" s="94"/>
      <c r="Z6841" s="94"/>
      <c r="AA6841" s="94"/>
      <c r="AB6841" s="94"/>
      <c r="AC6841" s="94"/>
      <c r="AD6841" s="94"/>
      <c r="AE6841" s="94"/>
      <c r="AF6841" s="94"/>
      <c r="AG6841" s="94"/>
      <c r="AH6841" s="94"/>
    </row>
    <row r="6842" ht="12.75" hidden="1" customHeight="1" outlineLevel="1">
      <c r="A6842" s="122">
        <v>42186.0</v>
      </c>
      <c r="B6842" s="32" t="s">
        <v>347</v>
      </c>
      <c r="C6842" s="32" t="s">
        <v>1839</v>
      </c>
      <c r="D6842" s="708">
        <v>400.0</v>
      </c>
      <c r="E6842" s="195">
        <v>10.751</v>
      </c>
      <c r="F6842" s="709">
        <v>0.49314814814814817</v>
      </c>
      <c r="G6842" s="195" t="s">
        <v>453</v>
      </c>
      <c r="H6842" s="710">
        <v>1.68</v>
      </c>
      <c r="I6842" s="256"/>
      <c r="J6842" s="67">
        <f t="shared" si="415"/>
        <v>4298.72</v>
      </c>
      <c r="L6842" s="70"/>
      <c r="M6842" s="934"/>
      <c r="N6842" s="94"/>
      <c r="O6842" s="94"/>
      <c r="P6842" s="94"/>
      <c r="Q6842" s="94"/>
      <c r="R6842" s="94"/>
      <c r="S6842" s="94"/>
      <c r="T6842" s="94"/>
      <c r="U6842" s="94"/>
      <c r="V6842" s="94"/>
      <c r="W6842" s="94"/>
      <c r="X6842" s="94"/>
      <c r="Y6842" s="94"/>
      <c r="Z6842" s="94"/>
      <c r="AA6842" s="94"/>
      <c r="AB6842" s="94"/>
      <c r="AC6842" s="94"/>
      <c r="AD6842" s="94"/>
      <c r="AE6842" s="94"/>
      <c r="AF6842" s="94"/>
      <c r="AG6842" s="94"/>
      <c r="AH6842" s="94"/>
    </row>
    <row r="6843" ht="12.75" hidden="1" customHeight="1" outlineLevel="1">
      <c r="A6843" s="122">
        <v>42186.0</v>
      </c>
      <c r="B6843" s="32" t="s">
        <v>347</v>
      </c>
      <c r="C6843" s="32" t="s">
        <v>784</v>
      </c>
      <c r="D6843" s="708">
        <v>2000.0</v>
      </c>
      <c r="E6843" s="195">
        <v>5.83</v>
      </c>
      <c r="F6843" s="709">
        <v>0.4947685185185185</v>
      </c>
      <c r="G6843" s="195" t="s">
        <v>453</v>
      </c>
      <c r="H6843" s="710">
        <v>9.71</v>
      </c>
      <c r="I6843" s="256"/>
      <c r="J6843" s="67">
        <f t="shared" si="415"/>
        <v>11650.29</v>
      </c>
      <c r="L6843" s="70"/>
      <c r="M6843" s="934"/>
      <c r="N6843" s="94"/>
      <c r="O6843" s="94"/>
      <c r="P6843" s="94"/>
      <c r="Q6843" s="94"/>
      <c r="R6843" s="94"/>
      <c r="S6843" s="94"/>
      <c r="T6843" s="94"/>
      <c r="U6843" s="94"/>
      <c r="V6843" s="94"/>
      <c r="W6843" s="94"/>
      <c r="X6843" s="94"/>
      <c r="Y6843" s="94"/>
      <c r="Z6843" s="94"/>
      <c r="AA6843" s="94"/>
      <c r="AB6843" s="94"/>
      <c r="AC6843" s="94"/>
      <c r="AD6843" s="94"/>
      <c r="AE6843" s="94"/>
      <c r="AF6843" s="94"/>
      <c r="AG6843" s="94"/>
      <c r="AH6843" s="94"/>
    </row>
    <row r="6844" ht="12.75" hidden="1" customHeight="1" outlineLevel="1">
      <c r="A6844" s="122">
        <v>42186.0</v>
      </c>
      <c r="B6844" s="32" t="s">
        <v>347</v>
      </c>
      <c r="C6844" s="32" t="s">
        <v>1633</v>
      </c>
      <c r="D6844" s="708">
        <v>150.0</v>
      </c>
      <c r="E6844" s="195">
        <v>20.44</v>
      </c>
      <c r="F6844" s="709">
        <v>0.49672453703703706</v>
      </c>
      <c r="G6844" s="195" t="s">
        <v>453</v>
      </c>
      <c r="H6844" s="710">
        <v>1.06</v>
      </c>
      <c r="I6844" s="256"/>
      <c r="J6844" s="67">
        <f t="shared" si="415"/>
        <v>3064.94</v>
      </c>
      <c r="L6844" s="70"/>
      <c r="M6844" s="934"/>
      <c r="N6844" s="94"/>
      <c r="O6844" s="94"/>
      <c r="P6844" s="94"/>
      <c r="Q6844" s="94"/>
      <c r="R6844" s="94"/>
      <c r="S6844" s="94"/>
      <c r="T6844" s="94"/>
      <c r="U6844" s="94"/>
      <c r="V6844" s="94"/>
      <c r="W6844" s="94"/>
      <c r="X6844" s="94"/>
      <c r="Y6844" s="94"/>
      <c r="Z6844" s="94"/>
      <c r="AA6844" s="94"/>
      <c r="AB6844" s="94"/>
      <c r="AC6844" s="94"/>
      <c r="AD6844" s="94"/>
      <c r="AE6844" s="94"/>
      <c r="AF6844" s="94"/>
      <c r="AG6844" s="94"/>
      <c r="AH6844" s="94"/>
    </row>
    <row r="6845" ht="12.75" hidden="1" customHeight="1" outlineLevel="1">
      <c r="A6845" s="122">
        <v>42186.0</v>
      </c>
      <c r="B6845" s="32" t="s">
        <v>347</v>
      </c>
      <c r="C6845" s="32" t="s">
        <v>2195</v>
      </c>
      <c r="D6845" s="708">
        <v>150.0</v>
      </c>
      <c r="E6845" s="195">
        <v>20.205</v>
      </c>
      <c r="F6845" s="709">
        <v>0.4968634259259259</v>
      </c>
      <c r="G6845" s="195" t="s">
        <v>453</v>
      </c>
      <c r="H6845" s="710">
        <v>1.06</v>
      </c>
      <c r="I6845" s="256"/>
      <c r="J6845" s="67">
        <f t="shared" si="415"/>
        <v>3029.69</v>
      </c>
      <c r="L6845" s="70"/>
      <c r="M6845" s="934"/>
      <c r="N6845" s="94"/>
      <c r="O6845" s="94"/>
      <c r="P6845" s="94"/>
      <c r="Q6845" s="94"/>
      <c r="R6845" s="94"/>
      <c r="S6845" s="94"/>
      <c r="T6845" s="94"/>
      <c r="U6845" s="94"/>
      <c r="V6845" s="94"/>
      <c r="W6845" s="94"/>
      <c r="X6845" s="94"/>
      <c r="Y6845" s="94"/>
      <c r="Z6845" s="94"/>
      <c r="AA6845" s="94"/>
      <c r="AB6845" s="94"/>
      <c r="AC6845" s="94"/>
      <c r="AD6845" s="94"/>
      <c r="AE6845" s="94"/>
      <c r="AF6845" s="94"/>
      <c r="AG6845" s="94"/>
      <c r="AH6845" s="94"/>
    </row>
    <row r="6846" ht="12.75" hidden="1" customHeight="1" outlineLevel="1">
      <c r="A6846" s="122">
        <v>42186.0</v>
      </c>
      <c r="B6846" s="32" t="s">
        <v>347</v>
      </c>
      <c r="C6846" s="32" t="s">
        <v>2090</v>
      </c>
      <c r="D6846" s="708">
        <v>425.0</v>
      </c>
      <c r="E6846" s="195">
        <v>9.53</v>
      </c>
      <c r="F6846" s="709">
        <v>0.4988310185185185</v>
      </c>
      <c r="G6846" s="195" t="s">
        <v>453</v>
      </c>
      <c r="H6846" s="710">
        <v>2.2</v>
      </c>
      <c r="I6846" s="256"/>
      <c r="J6846" s="67">
        <f t="shared" si="415"/>
        <v>4048.05</v>
      </c>
      <c r="L6846" s="70"/>
      <c r="M6846" s="934"/>
      <c r="N6846" s="94"/>
      <c r="O6846" s="94"/>
      <c r="P6846" s="94"/>
      <c r="Q6846" s="94"/>
      <c r="R6846" s="94"/>
      <c r="S6846" s="94"/>
      <c r="T6846" s="94"/>
      <c r="U6846" s="94"/>
      <c r="V6846" s="94"/>
      <c r="W6846" s="94"/>
      <c r="X6846" s="94"/>
      <c r="Y6846" s="94"/>
      <c r="Z6846" s="94"/>
      <c r="AA6846" s="94"/>
      <c r="AB6846" s="94"/>
      <c r="AC6846" s="94"/>
      <c r="AD6846" s="94"/>
      <c r="AE6846" s="94"/>
      <c r="AF6846" s="94"/>
      <c r="AG6846" s="94"/>
      <c r="AH6846" s="94"/>
    </row>
    <row r="6847" ht="12.75" hidden="1" customHeight="1" outlineLevel="1">
      <c r="A6847" s="122">
        <v>42186.0</v>
      </c>
      <c r="B6847" s="32" t="s">
        <v>347</v>
      </c>
      <c r="C6847" s="32" t="s">
        <v>1164</v>
      </c>
      <c r="D6847" s="708">
        <v>200.0</v>
      </c>
      <c r="E6847" s="195">
        <v>31.58</v>
      </c>
      <c r="F6847" s="709">
        <v>0.5999884259259259</v>
      </c>
      <c r="G6847" s="195" t="s">
        <v>453</v>
      </c>
      <c r="H6847" s="710">
        <v>1.12</v>
      </c>
      <c r="I6847" s="256"/>
      <c r="J6847" s="67">
        <f t="shared" si="415"/>
        <v>6314.88</v>
      </c>
      <c r="L6847" s="70"/>
      <c r="M6847" s="934"/>
      <c r="N6847" s="94"/>
      <c r="O6847" s="94"/>
      <c r="P6847" s="94"/>
      <c r="Q6847" s="94"/>
      <c r="R6847" s="94"/>
      <c r="S6847" s="94"/>
      <c r="T6847" s="94"/>
      <c r="U6847" s="94"/>
      <c r="V6847" s="94"/>
      <c r="W6847" s="94"/>
      <c r="X6847" s="94"/>
      <c r="Y6847" s="94"/>
      <c r="Z6847" s="94"/>
      <c r="AA6847" s="94"/>
      <c r="AB6847" s="94"/>
      <c r="AC6847" s="94"/>
      <c r="AD6847" s="94"/>
      <c r="AE6847" s="94"/>
      <c r="AF6847" s="94"/>
      <c r="AG6847" s="94"/>
      <c r="AH6847" s="94"/>
    </row>
    <row r="6848" ht="12.75" hidden="1" customHeight="1" outlineLevel="1">
      <c r="A6848" s="122">
        <v>42186.0</v>
      </c>
      <c r="B6848" s="32" t="s">
        <v>347</v>
      </c>
      <c r="C6848" s="32" t="s">
        <v>371</v>
      </c>
      <c r="D6848" s="708">
        <v>75.0</v>
      </c>
      <c r="E6848" s="195">
        <v>74.67</v>
      </c>
      <c r="F6848" s="709">
        <v>0.6005902777777777</v>
      </c>
      <c r="G6848" s="195" t="s">
        <v>453</v>
      </c>
      <c r="H6848" s="710">
        <v>1.1</v>
      </c>
      <c r="I6848" s="256"/>
      <c r="J6848" s="67">
        <f t="shared" si="415"/>
        <v>5599.15</v>
      </c>
      <c r="L6848" s="70"/>
      <c r="M6848" s="934"/>
      <c r="N6848" s="94"/>
      <c r="O6848" s="94"/>
      <c r="P6848" s="94"/>
      <c r="Q6848" s="94"/>
      <c r="R6848" s="94"/>
      <c r="S6848" s="94"/>
      <c r="T6848" s="94"/>
      <c r="U6848" s="94"/>
      <c r="V6848" s="94"/>
      <c r="W6848" s="94"/>
      <c r="X6848" s="94"/>
      <c r="Y6848" s="94"/>
      <c r="Z6848" s="94"/>
      <c r="AA6848" s="94"/>
      <c r="AB6848" s="94"/>
      <c r="AC6848" s="94"/>
      <c r="AD6848" s="94"/>
      <c r="AE6848" s="94"/>
      <c r="AF6848" s="94"/>
      <c r="AG6848" s="94"/>
      <c r="AH6848" s="94"/>
    </row>
    <row r="6849" ht="12.75" hidden="1" customHeight="1" outlineLevel="1">
      <c r="A6849" s="122">
        <v>42187.0</v>
      </c>
      <c r="B6849" s="32" t="s">
        <v>343</v>
      </c>
      <c r="C6849" s="32" t="s">
        <v>2585</v>
      </c>
      <c r="D6849" s="708">
        <v>500.0</v>
      </c>
      <c r="E6849" s="195">
        <v>11.95</v>
      </c>
      <c r="F6849" s="709">
        <v>0.4149421296296296</v>
      </c>
      <c r="G6849" s="195" t="s">
        <v>453</v>
      </c>
      <c r="H6849" s="710">
        <v>2.5</v>
      </c>
      <c r="I6849" s="256"/>
      <c r="J6849" s="67">
        <f t="shared" si="415"/>
        <v>-5977.5</v>
      </c>
      <c r="L6849" s="70"/>
      <c r="M6849" s="934"/>
      <c r="N6849" s="94"/>
      <c r="O6849" s="94"/>
      <c r="P6849" s="94"/>
      <c r="Q6849" s="94"/>
      <c r="R6849" s="94"/>
      <c r="S6849" s="94"/>
      <c r="T6849" s="94"/>
      <c r="U6849" s="94"/>
      <c r="V6849" s="94"/>
      <c r="W6849" s="94"/>
      <c r="X6849" s="94"/>
      <c r="Y6849" s="94"/>
      <c r="Z6849" s="94"/>
      <c r="AA6849" s="94"/>
      <c r="AB6849" s="94"/>
      <c r="AC6849" s="94"/>
      <c r="AD6849" s="94"/>
      <c r="AE6849" s="94"/>
      <c r="AF6849" s="94"/>
      <c r="AG6849" s="94"/>
      <c r="AH6849" s="94"/>
    </row>
    <row r="6850" ht="12.75" hidden="1" customHeight="1" outlineLevel="1">
      <c r="A6850" s="122">
        <v>42187.0</v>
      </c>
      <c r="B6850" s="32" t="s">
        <v>347</v>
      </c>
      <c r="C6850" s="32" t="s">
        <v>3024</v>
      </c>
      <c r="D6850" s="708">
        <v>500.0</v>
      </c>
      <c r="E6850" s="195">
        <v>20.533</v>
      </c>
      <c r="F6850" s="709">
        <v>0.6337615740740741</v>
      </c>
      <c r="G6850" s="195" t="s">
        <v>453</v>
      </c>
      <c r="H6850" s="710">
        <v>2.69</v>
      </c>
      <c r="I6850" s="256"/>
      <c r="J6850" s="67">
        <f t="shared" si="415"/>
        <v>10263.81</v>
      </c>
      <c r="L6850" s="70"/>
      <c r="M6850" s="934"/>
      <c r="N6850" s="94"/>
      <c r="O6850" s="94"/>
      <c r="P6850" s="94"/>
      <c r="Q6850" s="94"/>
      <c r="R6850" s="94"/>
      <c r="S6850" s="94"/>
      <c r="T6850" s="94"/>
      <c r="U6850" s="94"/>
      <c r="V6850" s="94"/>
      <c r="W6850" s="94"/>
      <c r="X6850" s="94"/>
      <c r="Y6850" s="94"/>
      <c r="Z6850" s="94"/>
      <c r="AA6850" s="94"/>
      <c r="AB6850" s="94"/>
      <c r="AC6850" s="94"/>
      <c r="AD6850" s="94"/>
      <c r="AE6850" s="94"/>
      <c r="AF6850" s="94"/>
      <c r="AG6850" s="94"/>
      <c r="AH6850" s="94"/>
    </row>
    <row r="6851" ht="12.75" hidden="1" customHeight="1" outlineLevel="1">
      <c r="A6851" s="122">
        <v>42187.0</v>
      </c>
      <c r="B6851" s="1"/>
      <c r="C6851" s="1" t="s">
        <v>339</v>
      </c>
      <c r="D6851" s="74"/>
      <c r="E6851" s="67"/>
      <c r="F6851" s="75"/>
      <c r="G6851" s="67"/>
      <c r="H6851" s="68"/>
      <c r="I6851" s="76"/>
      <c r="K6851" s="968" t="s">
        <v>3045</v>
      </c>
      <c r="L6851" s="934"/>
      <c r="M6851" s="934"/>
    </row>
    <row r="6852" ht="12.75" hidden="1" customHeight="1" outlineLevel="1">
      <c r="A6852" s="122">
        <v>42187.0</v>
      </c>
      <c r="B6852" s="1"/>
      <c r="C6852" s="1" t="s">
        <v>429</v>
      </c>
      <c r="D6852" s="74"/>
      <c r="E6852" s="67"/>
      <c r="F6852" s="75"/>
      <c r="G6852" s="67"/>
      <c r="H6852" s="68"/>
      <c r="I6852" s="76"/>
      <c r="J6852" s="67"/>
      <c r="K6852" s="9" t="s">
        <v>2839</v>
      </c>
      <c r="L6852" s="934"/>
      <c r="M6852" s="934"/>
    </row>
    <row r="6853" ht="12.75" hidden="1" customHeight="1" outlineLevel="1">
      <c r="A6853" s="122">
        <v>42187.0</v>
      </c>
      <c r="B6853" s="1"/>
      <c r="C6853" s="1" t="s">
        <v>431</v>
      </c>
      <c r="D6853" s="74"/>
      <c r="E6853" s="67"/>
      <c r="F6853" s="75"/>
      <c r="G6853" s="67"/>
      <c r="H6853" s="68"/>
      <c r="I6853" s="76"/>
      <c r="J6853" s="67"/>
      <c r="K6853" s="7" t="s">
        <v>1126</v>
      </c>
      <c r="L6853" s="934"/>
      <c r="M6853" s="934"/>
    </row>
    <row r="6854" ht="12.75" hidden="1" customHeight="1" outlineLevel="1">
      <c r="A6854" s="122">
        <v>42187.0</v>
      </c>
      <c r="B6854" s="1"/>
      <c r="C6854" s="1" t="s">
        <v>433</v>
      </c>
      <c r="D6854" s="74"/>
      <c r="E6854" s="67"/>
      <c r="F6854" s="75"/>
      <c r="G6854" s="67"/>
      <c r="H6854" s="68"/>
      <c r="I6854" s="76"/>
      <c r="J6854" s="67"/>
      <c r="K6854" s="7" t="s">
        <v>1103</v>
      </c>
      <c r="L6854" s="934"/>
      <c r="M6854" s="934"/>
    </row>
    <row r="6855" ht="12.75" hidden="1" customHeight="1" outlineLevel="1">
      <c r="A6855" s="122">
        <v>42187.0</v>
      </c>
      <c r="B6855" s="1"/>
      <c r="C6855" s="1" t="s">
        <v>435</v>
      </c>
      <c r="D6855" s="74"/>
      <c r="E6855" s="67"/>
      <c r="F6855" s="75"/>
      <c r="G6855" s="67"/>
      <c r="H6855" s="68"/>
      <c r="I6855" s="76"/>
      <c r="J6855" s="67"/>
      <c r="K6855" s="9" t="s">
        <v>2802</v>
      </c>
      <c r="L6855" s="934"/>
      <c r="M6855" s="934"/>
    </row>
    <row r="6856" ht="12.75" hidden="1" customHeight="1" outlineLevel="1">
      <c r="A6856" s="122">
        <v>42191.0</v>
      </c>
      <c r="B6856" s="32" t="s">
        <v>347</v>
      </c>
      <c r="C6856" s="32" t="s">
        <v>3024</v>
      </c>
      <c r="D6856" s="708">
        <v>750.0</v>
      </c>
      <c r="E6856" s="195">
        <v>20.201</v>
      </c>
      <c r="F6856" s="709">
        <v>0.401875</v>
      </c>
      <c r="G6856" s="195" t="s">
        <v>453</v>
      </c>
      <c r="H6856" s="710">
        <v>3.28</v>
      </c>
      <c r="I6856" s="256"/>
      <c r="J6856" s="67">
        <f t="shared" ref="J6856:J6863" si="416">IF(B6856="SLD",D6856*E6856,-D6856*E6856)-H6856</f>
        <v>15147.47</v>
      </c>
      <c r="L6856" s="70"/>
      <c r="M6856" s="934"/>
      <c r="N6856" s="94"/>
      <c r="O6856" s="94"/>
      <c r="P6856" s="94"/>
      <c r="Q6856" s="94"/>
      <c r="R6856" s="94"/>
      <c r="S6856" s="94"/>
      <c r="T6856" s="94"/>
      <c r="U6856" s="94"/>
      <c r="V6856" s="94"/>
      <c r="W6856" s="94"/>
      <c r="X6856" s="94"/>
      <c r="Y6856" s="94"/>
      <c r="Z6856" s="94"/>
      <c r="AA6856" s="94"/>
      <c r="AB6856" s="94"/>
      <c r="AC6856" s="94"/>
      <c r="AD6856" s="94"/>
      <c r="AE6856" s="94"/>
      <c r="AF6856" s="94"/>
      <c r="AG6856" s="94"/>
      <c r="AH6856" s="94"/>
    </row>
    <row r="6857" ht="12.75" hidden="1" customHeight="1" outlineLevel="1">
      <c r="A6857" s="122">
        <v>42191.0</v>
      </c>
      <c r="B6857" s="32" t="s">
        <v>343</v>
      </c>
      <c r="C6857" s="32" t="s">
        <v>2585</v>
      </c>
      <c r="D6857" s="708">
        <v>300.0</v>
      </c>
      <c r="E6857" s="195">
        <v>12.009</v>
      </c>
      <c r="F6857" s="709">
        <v>0.4096990740740741</v>
      </c>
      <c r="G6857" s="195" t="s">
        <v>453</v>
      </c>
      <c r="H6857" s="710">
        <v>1.5</v>
      </c>
      <c r="I6857" s="256"/>
      <c r="J6857" s="67">
        <f t="shared" si="416"/>
        <v>-3604.2</v>
      </c>
      <c r="L6857" s="70"/>
      <c r="M6857" s="934"/>
      <c r="N6857" s="94"/>
      <c r="O6857" s="94"/>
      <c r="P6857" s="94"/>
      <c r="Q6857" s="94"/>
      <c r="R6857" s="94"/>
      <c r="S6857" s="94"/>
      <c r="T6857" s="94"/>
      <c r="U6857" s="94"/>
      <c r="V6857" s="94"/>
      <c r="W6857" s="94"/>
      <c r="X6857" s="94"/>
      <c r="Y6857" s="94"/>
      <c r="Z6857" s="94"/>
      <c r="AA6857" s="94"/>
      <c r="AB6857" s="94"/>
      <c r="AC6857" s="94"/>
      <c r="AD6857" s="94"/>
      <c r="AE6857" s="94"/>
      <c r="AF6857" s="94"/>
      <c r="AG6857" s="94"/>
      <c r="AH6857" s="94"/>
    </row>
    <row r="6858" ht="12.75" hidden="1" customHeight="1" outlineLevel="1">
      <c r="A6858" s="122">
        <v>42191.0</v>
      </c>
      <c r="B6858" s="32" t="s">
        <v>343</v>
      </c>
      <c r="C6858" s="32" t="s">
        <v>1249</v>
      </c>
      <c r="D6858" s="708">
        <v>75.0</v>
      </c>
      <c r="E6858" s="195">
        <v>107.83</v>
      </c>
      <c r="F6858" s="709">
        <v>0.43387731481481484</v>
      </c>
      <c r="G6858" s="195" t="s">
        <v>453</v>
      </c>
      <c r="H6858" s="710">
        <v>1.0</v>
      </c>
      <c r="I6858" s="256"/>
      <c r="J6858" s="67">
        <f t="shared" si="416"/>
        <v>-8088.25</v>
      </c>
      <c r="L6858" s="70"/>
      <c r="M6858" s="934"/>
      <c r="N6858" s="94"/>
      <c r="O6858" s="94"/>
      <c r="P6858" s="94"/>
      <c r="Q6858" s="94"/>
      <c r="R6858" s="94"/>
      <c r="S6858" s="94"/>
      <c r="T6858" s="94"/>
      <c r="U6858" s="94"/>
      <c r="V6858" s="94"/>
      <c r="W6858" s="94"/>
      <c r="X6858" s="94"/>
      <c r="Y6858" s="94"/>
      <c r="Z6858" s="94"/>
      <c r="AA6858" s="94"/>
      <c r="AB6858" s="94"/>
      <c r="AC6858" s="94"/>
      <c r="AD6858" s="94"/>
      <c r="AE6858" s="94"/>
      <c r="AF6858" s="94"/>
      <c r="AG6858" s="94"/>
      <c r="AH6858" s="94"/>
    </row>
    <row r="6859" ht="12.75" hidden="1" customHeight="1" outlineLevel="1">
      <c r="A6859" s="122">
        <v>42191.0</v>
      </c>
      <c r="B6859" s="32" t="s">
        <v>343</v>
      </c>
      <c r="C6859" s="32" t="s">
        <v>1162</v>
      </c>
      <c r="D6859" s="708">
        <v>50.0</v>
      </c>
      <c r="E6859" s="195">
        <v>160.0</v>
      </c>
      <c r="F6859" s="709">
        <v>0.43429398148148146</v>
      </c>
      <c r="G6859" s="195" t="s">
        <v>453</v>
      </c>
      <c r="H6859" s="710">
        <v>1.0</v>
      </c>
      <c r="I6859" s="256"/>
      <c r="J6859" s="67">
        <f t="shared" si="416"/>
        <v>-8001</v>
      </c>
      <c r="L6859" s="70"/>
      <c r="M6859" s="934"/>
      <c r="N6859" s="94"/>
      <c r="O6859" s="94"/>
      <c r="P6859" s="94"/>
      <c r="Q6859" s="94"/>
      <c r="R6859" s="94"/>
      <c r="S6859" s="94"/>
      <c r="T6859" s="94"/>
      <c r="U6859" s="94"/>
      <c r="V6859" s="94"/>
      <c r="W6859" s="94"/>
      <c r="X6859" s="94"/>
      <c r="Y6859" s="94"/>
      <c r="Z6859" s="94"/>
      <c r="AA6859" s="94"/>
      <c r="AB6859" s="94"/>
      <c r="AC6859" s="94"/>
      <c r="AD6859" s="94"/>
      <c r="AE6859" s="94"/>
      <c r="AF6859" s="94"/>
      <c r="AG6859" s="94"/>
      <c r="AH6859" s="94"/>
    </row>
    <row r="6860" ht="12.75" hidden="1" customHeight="1" outlineLevel="1">
      <c r="A6860" s="122">
        <v>42191.0</v>
      </c>
      <c r="B6860" s="32" t="s">
        <v>343</v>
      </c>
      <c r="C6860" s="32" t="s">
        <v>3006</v>
      </c>
      <c r="D6860" s="708">
        <v>65.0</v>
      </c>
      <c r="E6860" s="195">
        <v>58.24</v>
      </c>
      <c r="F6860" s="709">
        <v>0.4350115740740741</v>
      </c>
      <c r="G6860" s="195" t="s">
        <v>453</v>
      </c>
      <c r="H6860" s="710">
        <v>1.0</v>
      </c>
      <c r="I6860" s="256"/>
      <c r="J6860" s="67">
        <f t="shared" si="416"/>
        <v>-3786.6</v>
      </c>
      <c r="L6860" s="70"/>
      <c r="M6860" s="934"/>
      <c r="N6860" s="94"/>
      <c r="O6860" s="94"/>
      <c r="P6860" s="94"/>
      <c r="Q6860" s="94"/>
      <c r="R6860" s="94"/>
      <c r="S6860" s="94"/>
      <c r="T6860" s="94"/>
      <c r="U6860" s="94"/>
      <c r="V6860" s="94"/>
      <c r="W6860" s="94"/>
      <c r="X6860" s="94"/>
      <c r="Y6860" s="94"/>
      <c r="Z6860" s="94"/>
      <c r="AA6860" s="94"/>
      <c r="AB6860" s="94"/>
      <c r="AC6860" s="94"/>
      <c r="AD6860" s="94"/>
      <c r="AE6860" s="94"/>
      <c r="AF6860" s="94"/>
      <c r="AG6860" s="94"/>
      <c r="AH6860" s="94"/>
    </row>
    <row r="6861" ht="12.75" hidden="1" customHeight="1" outlineLevel="1">
      <c r="A6861" s="122">
        <v>42191.0</v>
      </c>
      <c r="B6861" s="32" t="s">
        <v>343</v>
      </c>
      <c r="C6861" s="32" t="s">
        <v>3040</v>
      </c>
      <c r="D6861" s="708">
        <v>30.0</v>
      </c>
      <c r="E6861" s="195">
        <v>136.887</v>
      </c>
      <c r="F6861" s="709">
        <v>0.43539351851851854</v>
      </c>
      <c r="G6861" s="195" t="s">
        <v>453</v>
      </c>
      <c r="H6861" s="710">
        <v>1.0</v>
      </c>
      <c r="I6861" s="256"/>
      <c r="J6861" s="67">
        <f t="shared" si="416"/>
        <v>-4107.61</v>
      </c>
      <c r="L6861" s="70"/>
      <c r="M6861" s="934"/>
      <c r="N6861" s="94"/>
      <c r="O6861" s="94"/>
      <c r="P6861" s="94"/>
      <c r="Q6861" s="94"/>
      <c r="R6861" s="94"/>
      <c r="S6861" s="94"/>
      <c r="T6861" s="94"/>
      <c r="U6861" s="94"/>
      <c r="V6861" s="94"/>
      <c r="W6861" s="94"/>
      <c r="X6861" s="94"/>
      <c r="Y6861" s="94"/>
      <c r="Z6861" s="94"/>
      <c r="AA6861" s="94"/>
      <c r="AB6861" s="94"/>
      <c r="AC6861" s="94"/>
      <c r="AD6861" s="94"/>
      <c r="AE6861" s="94"/>
      <c r="AF6861" s="94"/>
      <c r="AG6861" s="94"/>
      <c r="AH6861" s="94"/>
    </row>
    <row r="6862" ht="12.75" hidden="1" customHeight="1" outlineLevel="1">
      <c r="A6862" s="122">
        <v>42191.0</v>
      </c>
      <c r="B6862" s="32" t="s">
        <v>347</v>
      </c>
      <c r="C6862" s="32" t="s">
        <v>3024</v>
      </c>
      <c r="D6862" s="708">
        <v>750.0</v>
      </c>
      <c r="E6862" s="195">
        <v>20.221</v>
      </c>
      <c r="F6862" s="709">
        <v>0.5926736111111112</v>
      </c>
      <c r="G6862" s="195" t="s">
        <v>453</v>
      </c>
      <c r="H6862" s="710">
        <v>3.28</v>
      </c>
      <c r="I6862" s="256"/>
      <c r="J6862" s="67">
        <f t="shared" si="416"/>
        <v>15162.47</v>
      </c>
      <c r="L6862" s="70"/>
      <c r="M6862" s="934"/>
      <c r="N6862" s="94"/>
      <c r="O6862" s="94"/>
      <c r="P6862" s="94"/>
      <c r="Q6862" s="94"/>
      <c r="R6862" s="94"/>
      <c r="S6862" s="94"/>
      <c r="T6862" s="94"/>
      <c r="U6862" s="94"/>
      <c r="V6862" s="94"/>
      <c r="W6862" s="94"/>
      <c r="X6862" s="94"/>
      <c r="Y6862" s="94"/>
      <c r="Z6862" s="94"/>
      <c r="AA6862" s="94"/>
      <c r="AB6862" s="94"/>
      <c r="AC6862" s="94"/>
      <c r="AD6862" s="94"/>
      <c r="AE6862" s="94"/>
      <c r="AF6862" s="94"/>
      <c r="AG6862" s="94"/>
      <c r="AH6862" s="94"/>
    </row>
    <row r="6863" ht="12.75" hidden="1" customHeight="1" outlineLevel="1">
      <c r="A6863" s="122">
        <v>42191.0</v>
      </c>
      <c r="B6863" s="32" t="s">
        <v>347</v>
      </c>
      <c r="C6863" s="32" t="s">
        <v>3024</v>
      </c>
      <c r="D6863" s="708">
        <v>1000.0</v>
      </c>
      <c r="E6863" s="195">
        <v>20.081</v>
      </c>
      <c r="F6863" s="709">
        <v>0.6352546296296296</v>
      </c>
      <c r="G6863" s="195" t="s">
        <v>453</v>
      </c>
      <c r="H6863" s="710">
        <v>4.37</v>
      </c>
      <c r="I6863" s="256"/>
      <c r="J6863" s="67">
        <f t="shared" si="416"/>
        <v>20076.63</v>
      </c>
      <c r="L6863" s="70"/>
      <c r="M6863" s="934"/>
      <c r="N6863" s="94"/>
      <c r="O6863" s="94"/>
      <c r="P6863" s="94"/>
      <c r="Q6863" s="94"/>
      <c r="R6863" s="94"/>
      <c r="S6863" s="94"/>
      <c r="T6863" s="94"/>
      <c r="U6863" s="94"/>
      <c r="V6863" s="94"/>
      <c r="W6863" s="94"/>
      <c r="X6863" s="94"/>
      <c r="Y6863" s="94"/>
      <c r="Z6863" s="94"/>
      <c r="AA6863" s="94"/>
      <c r="AB6863" s="94"/>
      <c r="AC6863" s="94"/>
      <c r="AD6863" s="94"/>
      <c r="AE6863" s="94"/>
      <c r="AF6863" s="94"/>
      <c r="AG6863" s="94"/>
      <c r="AH6863" s="94"/>
    </row>
    <row r="6864" ht="12.75" hidden="1" customHeight="1" outlineLevel="1">
      <c r="A6864" s="122">
        <v>42191.0</v>
      </c>
      <c r="B6864" s="1"/>
      <c r="C6864" s="1" t="s">
        <v>339</v>
      </c>
      <c r="D6864" s="74"/>
      <c r="E6864" s="67"/>
      <c r="F6864" s="75"/>
      <c r="G6864" s="67"/>
      <c r="H6864" s="68"/>
      <c r="I6864" s="76"/>
      <c r="K6864" s="968" t="s">
        <v>3045</v>
      </c>
      <c r="L6864" s="934"/>
      <c r="M6864" s="934"/>
    </row>
    <row r="6865" ht="12.75" hidden="1" customHeight="1" outlineLevel="1">
      <c r="A6865" s="122">
        <v>42191.0</v>
      </c>
      <c r="B6865" s="1"/>
      <c r="C6865" s="1" t="s">
        <v>429</v>
      </c>
      <c r="D6865" s="74"/>
      <c r="E6865" s="67"/>
      <c r="F6865" s="75"/>
      <c r="G6865" s="67"/>
      <c r="H6865" s="68"/>
      <c r="I6865" s="76"/>
      <c r="J6865" s="67"/>
      <c r="K6865" s="9" t="s">
        <v>2839</v>
      </c>
      <c r="L6865" s="934"/>
      <c r="M6865" s="934"/>
    </row>
    <row r="6866" ht="12.75" hidden="1" customHeight="1" outlineLevel="1">
      <c r="A6866" s="122">
        <v>42191.0</v>
      </c>
      <c r="B6866" s="1"/>
      <c r="C6866" s="1" t="s">
        <v>431</v>
      </c>
      <c r="D6866" s="74"/>
      <c r="E6866" s="67"/>
      <c r="F6866" s="75"/>
      <c r="G6866" s="67"/>
      <c r="H6866" s="68"/>
      <c r="I6866" s="76"/>
      <c r="J6866" s="67"/>
      <c r="K6866" s="7" t="s">
        <v>1126</v>
      </c>
      <c r="L6866" s="934"/>
      <c r="M6866" s="934"/>
    </row>
    <row r="6867" ht="12.75" hidden="1" customHeight="1" outlineLevel="1">
      <c r="A6867" s="122">
        <v>42191.0</v>
      </c>
      <c r="B6867" s="1"/>
      <c r="C6867" s="1" t="s">
        <v>433</v>
      </c>
      <c r="D6867" s="74"/>
      <c r="E6867" s="67"/>
      <c r="F6867" s="75"/>
      <c r="G6867" s="67"/>
      <c r="H6867" s="68"/>
      <c r="I6867" s="76"/>
      <c r="J6867" s="67"/>
      <c r="K6867" s="7" t="s">
        <v>1103</v>
      </c>
      <c r="L6867" s="934"/>
      <c r="M6867" s="934"/>
    </row>
    <row r="6868" ht="12.75" hidden="1" customHeight="1" outlineLevel="1">
      <c r="A6868" s="122">
        <v>42191.0</v>
      </c>
      <c r="B6868" s="1"/>
      <c r="C6868" s="1" t="s">
        <v>435</v>
      </c>
      <c r="D6868" s="74"/>
      <c r="E6868" s="67"/>
      <c r="F6868" s="75"/>
      <c r="G6868" s="67"/>
      <c r="H6868" s="68"/>
      <c r="I6868" s="76"/>
      <c r="J6868" s="67"/>
      <c r="K6868" s="9" t="s">
        <v>2802</v>
      </c>
      <c r="L6868" s="934"/>
      <c r="M6868" s="934"/>
    </row>
    <row r="6869" ht="12.75" hidden="1" customHeight="1" outlineLevel="1">
      <c r="A6869" s="122">
        <v>42192.0</v>
      </c>
      <c r="B6869" s="32" t="s">
        <v>343</v>
      </c>
      <c r="C6869" s="32" t="s">
        <v>784</v>
      </c>
      <c r="D6869" s="708">
        <v>4000.0</v>
      </c>
      <c r="E6869" s="195">
        <v>5.589</v>
      </c>
      <c r="F6869" s="709">
        <v>0.6380555555555556</v>
      </c>
      <c r="G6869" s="195" t="s">
        <v>453</v>
      </c>
      <c r="H6869" s="710">
        <v>16.0</v>
      </c>
      <c r="I6869" s="256"/>
      <c r="J6869" s="67">
        <f t="shared" ref="J6869:J6887" si="417">IF(B6869="SLD",D6869*E6869,-D6869*E6869)-H6869</f>
        <v>-22372</v>
      </c>
      <c r="L6869" s="70"/>
      <c r="M6869" s="934"/>
      <c r="N6869" s="94"/>
      <c r="O6869" s="94"/>
      <c r="P6869" s="94"/>
      <c r="Q6869" s="94"/>
      <c r="R6869" s="94"/>
      <c r="S6869" s="94"/>
      <c r="T6869" s="94"/>
      <c r="U6869" s="94"/>
      <c r="V6869" s="94"/>
      <c r="W6869" s="94"/>
      <c r="X6869" s="94"/>
      <c r="Y6869" s="94"/>
      <c r="Z6869" s="94"/>
      <c r="AA6869" s="94"/>
      <c r="AB6869" s="94"/>
      <c r="AC6869" s="94"/>
      <c r="AD6869" s="94"/>
      <c r="AE6869" s="94"/>
      <c r="AF6869" s="94"/>
      <c r="AG6869" s="94"/>
      <c r="AH6869" s="94"/>
    </row>
    <row r="6870" ht="12.75" hidden="1" customHeight="1" outlineLevel="1">
      <c r="A6870" s="122">
        <v>42192.0</v>
      </c>
      <c r="B6870" s="32" t="s">
        <v>343</v>
      </c>
      <c r="C6870" s="32" t="s">
        <v>369</v>
      </c>
      <c r="D6870" s="708">
        <v>4000.0</v>
      </c>
      <c r="E6870" s="195">
        <v>3.449</v>
      </c>
      <c r="F6870" s="709">
        <v>0.6384375</v>
      </c>
      <c r="G6870" s="195" t="s">
        <v>453</v>
      </c>
      <c r="H6870" s="710">
        <v>17.8</v>
      </c>
      <c r="I6870" s="256"/>
      <c r="J6870" s="67">
        <f t="shared" si="417"/>
        <v>-13813.8</v>
      </c>
      <c r="L6870" s="70"/>
      <c r="M6870" s="934"/>
      <c r="N6870" s="94"/>
      <c r="O6870" s="94"/>
      <c r="P6870" s="94"/>
      <c r="Q6870" s="94"/>
      <c r="R6870" s="94"/>
      <c r="S6870" s="94"/>
      <c r="T6870" s="94"/>
      <c r="U6870" s="94"/>
      <c r="V6870" s="94"/>
      <c r="W6870" s="94"/>
      <c r="X6870" s="94"/>
      <c r="Y6870" s="94"/>
      <c r="Z6870" s="94"/>
      <c r="AA6870" s="94"/>
      <c r="AB6870" s="94"/>
      <c r="AC6870" s="94"/>
      <c r="AD6870" s="94"/>
      <c r="AE6870" s="94"/>
      <c r="AF6870" s="94"/>
      <c r="AG6870" s="94"/>
      <c r="AH6870" s="94"/>
    </row>
    <row r="6871" ht="12.75" hidden="1" customHeight="1" outlineLevel="1">
      <c r="A6871" s="122">
        <v>42192.0</v>
      </c>
      <c r="B6871" s="32" t="s">
        <v>343</v>
      </c>
      <c r="C6871" s="32" t="s">
        <v>784</v>
      </c>
      <c r="D6871" s="708">
        <v>5000.0</v>
      </c>
      <c r="E6871" s="195">
        <v>5.6</v>
      </c>
      <c r="F6871" s="709">
        <v>0.6386226851851852</v>
      </c>
      <c r="G6871" s="195" t="s">
        <v>453</v>
      </c>
      <c r="H6871" s="710">
        <v>20.0</v>
      </c>
      <c r="I6871" s="256"/>
      <c r="J6871" s="67">
        <f t="shared" si="417"/>
        <v>-28020</v>
      </c>
      <c r="L6871" s="70"/>
      <c r="M6871" s="934"/>
      <c r="N6871" s="94"/>
      <c r="O6871" s="94"/>
      <c r="P6871" s="94"/>
      <c r="Q6871" s="94"/>
      <c r="R6871" s="94"/>
      <c r="S6871" s="94"/>
      <c r="T6871" s="94"/>
      <c r="U6871" s="94"/>
      <c r="V6871" s="94"/>
      <c r="W6871" s="94"/>
      <c r="X6871" s="94"/>
      <c r="Y6871" s="94"/>
      <c r="Z6871" s="94"/>
      <c r="AA6871" s="94"/>
      <c r="AB6871" s="94"/>
      <c r="AC6871" s="94"/>
      <c r="AD6871" s="94"/>
      <c r="AE6871" s="94"/>
      <c r="AF6871" s="94"/>
      <c r="AG6871" s="94"/>
      <c r="AH6871" s="94"/>
    </row>
    <row r="6872" ht="12.75" hidden="1" customHeight="1" outlineLevel="1">
      <c r="A6872" s="122">
        <v>42192.0</v>
      </c>
      <c r="B6872" s="32" t="s">
        <v>343</v>
      </c>
      <c r="C6872" s="32" t="s">
        <v>3024</v>
      </c>
      <c r="D6872" s="708">
        <v>2000.0</v>
      </c>
      <c r="E6872" s="195">
        <v>21.32</v>
      </c>
      <c r="F6872" s="709">
        <v>0.6387847222222223</v>
      </c>
      <c r="G6872" s="195" t="s">
        <v>453</v>
      </c>
      <c r="H6872" s="710">
        <v>10.0</v>
      </c>
      <c r="I6872" s="256"/>
      <c r="J6872" s="67">
        <f t="shared" si="417"/>
        <v>-42650</v>
      </c>
      <c r="L6872" s="70"/>
      <c r="M6872" s="934"/>
      <c r="N6872" s="94"/>
      <c r="O6872" s="94"/>
      <c r="P6872" s="94"/>
      <c r="Q6872" s="94"/>
      <c r="R6872" s="94"/>
      <c r="S6872" s="94"/>
      <c r="T6872" s="94"/>
      <c r="U6872" s="94"/>
      <c r="V6872" s="94"/>
      <c r="W6872" s="94"/>
      <c r="X6872" s="94"/>
      <c r="Y6872" s="94"/>
      <c r="Z6872" s="94"/>
      <c r="AA6872" s="94"/>
      <c r="AB6872" s="94"/>
      <c r="AC6872" s="94"/>
      <c r="AD6872" s="94"/>
      <c r="AE6872" s="94"/>
      <c r="AF6872" s="94"/>
      <c r="AG6872" s="94"/>
      <c r="AH6872" s="94"/>
    </row>
    <row r="6873" ht="12.75" hidden="1" customHeight="1" outlineLevel="1">
      <c r="A6873" s="122">
        <v>42192.0</v>
      </c>
      <c r="B6873" s="32" t="s">
        <v>343</v>
      </c>
      <c r="C6873" s="32" t="s">
        <v>1839</v>
      </c>
      <c r="D6873" s="708">
        <v>1200.0</v>
      </c>
      <c r="E6873" s="195">
        <v>11.42</v>
      </c>
      <c r="F6873" s="709">
        <v>0.6401273148148148</v>
      </c>
      <c r="G6873" s="195" t="s">
        <v>453</v>
      </c>
      <c r="H6873" s="710">
        <v>6.0</v>
      </c>
      <c r="I6873" s="256"/>
      <c r="J6873" s="67">
        <f t="shared" si="417"/>
        <v>-13710</v>
      </c>
      <c r="L6873" s="70"/>
      <c r="M6873" s="934"/>
      <c r="N6873" s="94"/>
      <c r="O6873" s="94"/>
      <c r="P6873" s="94"/>
      <c r="Q6873" s="94"/>
      <c r="R6873" s="94"/>
      <c r="S6873" s="94"/>
      <c r="T6873" s="94"/>
      <c r="U6873" s="94"/>
      <c r="V6873" s="94"/>
      <c r="W6873" s="94"/>
      <c r="X6873" s="94"/>
      <c r="Y6873" s="94"/>
      <c r="Z6873" s="94"/>
      <c r="AA6873" s="94"/>
      <c r="AB6873" s="94"/>
      <c r="AC6873" s="94"/>
      <c r="AD6873" s="94"/>
      <c r="AE6873" s="94"/>
      <c r="AF6873" s="94"/>
      <c r="AG6873" s="94"/>
      <c r="AH6873" s="94"/>
    </row>
    <row r="6874" ht="12.75" hidden="1" customHeight="1" outlineLevel="1">
      <c r="A6874" s="122">
        <v>42192.0</v>
      </c>
      <c r="B6874" s="32" t="s">
        <v>343</v>
      </c>
      <c r="C6874" s="32" t="s">
        <v>3024</v>
      </c>
      <c r="D6874" s="708">
        <v>1800.0</v>
      </c>
      <c r="E6874" s="195">
        <v>21.335</v>
      </c>
      <c r="F6874" s="709">
        <v>0.6403819444444444</v>
      </c>
      <c r="G6874" s="195" t="s">
        <v>453</v>
      </c>
      <c r="H6874" s="710">
        <v>8.9</v>
      </c>
      <c r="I6874" s="256"/>
      <c r="J6874" s="67">
        <f t="shared" si="417"/>
        <v>-38411.9</v>
      </c>
      <c r="L6874" s="70"/>
      <c r="M6874" s="934"/>
      <c r="N6874" s="94"/>
      <c r="O6874" s="94"/>
      <c r="P6874" s="94"/>
      <c r="Q6874" s="94"/>
      <c r="R6874" s="94"/>
      <c r="S6874" s="94"/>
      <c r="T6874" s="94"/>
      <c r="U6874" s="94"/>
      <c r="V6874" s="94"/>
      <c r="W6874" s="94"/>
      <c r="X6874" s="94"/>
      <c r="Y6874" s="94"/>
      <c r="Z6874" s="94"/>
      <c r="AA6874" s="94"/>
      <c r="AB6874" s="94"/>
      <c r="AC6874" s="94"/>
      <c r="AD6874" s="94"/>
      <c r="AE6874" s="94"/>
      <c r="AF6874" s="94"/>
      <c r="AG6874" s="94"/>
      <c r="AH6874" s="94"/>
    </row>
    <row r="6875" ht="12.75" hidden="1" customHeight="1" outlineLevel="1">
      <c r="A6875" s="122">
        <v>42192.0</v>
      </c>
      <c r="B6875" s="32" t="s">
        <v>343</v>
      </c>
      <c r="C6875" s="32" t="s">
        <v>2195</v>
      </c>
      <c r="D6875" s="708">
        <v>200.0</v>
      </c>
      <c r="E6875" s="195">
        <v>17.398</v>
      </c>
      <c r="F6875" s="709">
        <v>0.6406944444444445</v>
      </c>
      <c r="G6875" s="195" t="s">
        <v>453</v>
      </c>
      <c r="H6875" s="710">
        <v>1.0</v>
      </c>
      <c r="I6875" s="256"/>
      <c r="J6875" s="67">
        <f t="shared" si="417"/>
        <v>-3480.6</v>
      </c>
      <c r="L6875" s="70"/>
      <c r="M6875" s="934"/>
      <c r="N6875" s="94"/>
      <c r="O6875" s="94"/>
      <c r="P6875" s="94"/>
      <c r="Q6875" s="94"/>
      <c r="R6875" s="94"/>
      <c r="S6875" s="94"/>
      <c r="T6875" s="94"/>
      <c r="U6875" s="94"/>
      <c r="V6875" s="94"/>
      <c r="W6875" s="94"/>
      <c r="X6875" s="94"/>
      <c r="Y6875" s="94"/>
      <c r="Z6875" s="94"/>
      <c r="AA6875" s="94"/>
      <c r="AB6875" s="94"/>
      <c r="AC6875" s="94"/>
      <c r="AD6875" s="94"/>
      <c r="AE6875" s="94"/>
      <c r="AF6875" s="94"/>
      <c r="AG6875" s="94"/>
      <c r="AH6875" s="94"/>
    </row>
    <row r="6876" ht="12.75" hidden="1" customHeight="1" outlineLevel="1">
      <c r="A6876" s="122">
        <v>42192.0</v>
      </c>
      <c r="B6876" s="32" t="s">
        <v>343</v>
      </c>
      <c r="C6876" s="32" t="s">
        <v>1633</v>
      </c>
      <c r="D6876" s="708">
        <v>200.0</v>
      </c>
      <c r="E6876" s="195">
        <v>20.62</v>
      </c>
      <c r="F6876" s="709">
        <v>0.6408912037037037</v>
      </c>
      <c r="G6876" s="195" t="s">
        <v>453</v>
      </c>
      <c r="H6876" s="710">
        <v>1.0</v>
      </c>
      <c r="I6876" s="256"/>
      <c r="J6876" s="67">
        <f t="shared" si="417"/>
        <v>-4125</v>
      </c>
      <c r="L6876" s="70"/>
      <c r="M6876" s="934"/>
      <c r="N6876" s="94"/>
      <c r="O6876" s="94"/>
      <c r="P6876" s="94"/>
      <c r="Q6876" s="94"/>
      <c r="R6876" s="94"/>
      <c r="S6876" s="94"/>
      <c r="T6876" s="94"/>
      <c r="U6876" s="94"/>
      <c r="V6876" s="94"/>
      <c r="W6876" s="94"/>
      <c r="X6876" s="94"/>
      <c r="Y6876" s="94"/>
      <c r="Z6876" s="94"/>
      <c r="AA6876" s="94"/>
      <c r="AB6876" s="94"/>
      <c r="AC6876" s="94"/>
      <c r="AD6876" s="94"/>
      <c r="AE6876" s="94"/>
      <c r="AF6876" s="94"/>
      <c r="AG6876" s="94"/>
      <c r="AH6876" s="94"/>
    </row>
    <row r="6877" ht="12.75" hidden="1" customHeight="1" outlineLevel="1">
      <c r="A6877" s="122">
        <v>42192.0</v>
      </c>
      <c r="B6877" s="32" t="s">
        <v>343</v>
      </c>
      <c r="C6877" s="32" t="s">
        <v>2090</v>
      </c>
      <c r="D6877" s="708">
        <v>500.0</v>
      </c>
      <c r="E6877" s="195">
        <v>9.529</v>
      </c>
      <c r="F6877" s="709">
        <v>0.6420833333333333</v>
      </c>
      <c r="G6877" s="195" t="s">
        <v>453</v>
      </c>
      <c r="H6877" s="710">
        <v>2.0</v>
      </c>
      <c r="I6877" s="256"/>
      <c r="J6877" s="67">
        <f t="shared" si="417"/>
        <v>-4766.5</v>
      </c>
      <c r="L6877" s="70"/>
      <c r="M6877" s="934"/>
      <c r="N6877" s="94"/>
      <c r="O6877" s="94"/>
      <c r="P6877" s="94"/>
      <c r="Q6877" s="94"/>
      <c r="R6877" s="94"/>
      <c r="S6877" s="94"/>
      <c r="T6877" s="94"/>
      <c r="U6877" s="94"/>
      <c r="V6877" s="94"/>
      <c r="W6877" s="94"/>
      <c r="X6877" s="94"/>
      <c r="Y6877" s="94"/>
      <c r="Z6877" s="94"/>
      <c r="AA6877" s="94"/>
      <c r="AB6877" s="94"/>
      <c r="AC6877" s="94"/>
      <c r="AD6877" s="94"/>
      <c r="AE6877" s="94"/>
      <c r="AF6877" s="94"/>
      <c r="AG6877" s="94"/>
      <c r="AH6877" s="94"/>
    </row>
    <row r="6878" ht="12.75" hidden="1" customHeight="1" outlineLevel="1">
      <c r="A6878" s="122">
        <v>42192.0</v>
      </c>
      <c r="B6878" s="32" t="s">
        <v>343</v>
      </c>
      <c r="C6878" s="32" t="s">
        <v>2048</v>
      </c>
      <c r="D6878" s="708">
        <v>600.0</v>
      </c>
      <c r="E6878" s="195">
        <v>9.9</v>
      </c>
      <c r="F6878" s="709">
        <v>0.6424537037037037</v>
      </c>
      <c r="G6878" s="195" t="s">
        <v>453</v>
      </c>
      <c r="H6878" s="710">
        <v>3.0</v>
      </c>
      <c r="I6878" s="256"/>
      <c r="J6878" s="67">
        <f t="shared" si="417"/>
        <v>-5943</v>
      </c>
      <c r="L6878" s="70"/>
      <c r="M6878" s="934"/>
      <c r="N6878" s="94"/>
      <c r="O6878" s="94"/>
      <c r="P6878" s="94"/>
      <c r="Q6878" s="94"/>
      <c r="R6878" s="94"/>
      <c r="S6878" s="94"/>
      <c r="T6878" s="94"/>
      <c r="U6878" s="94"/>
      <c r="V6878" s="94"/>
      <c r="W6878" s="94"/>
      <c r="X6878" s="94"/>
      <c r="Y6878" s="94"/>
      <c r="Z6878" s="94"/>
      <c r="AA6878" s="94"/>
      <c r="AB6878" s="94"/>
      <c r="AC6878" s="94"/>
      <c r="AD6878" s="94"/>
      <c r="AE6878" s="94"/>
      <c r="AF6878" s="94"/>
      <c r="AG6878" s="94"/>
      <c r="AH6878" s="94"/>
    </row>
    <row r="6879" ht="12.75" hidden="1" customHeight="1" outlineLevel="1">
      <c r="A6879" s="122">
        <v>42192.0</v>
      </c>
      <c r="B6879" s="32" t="s">
        <v>343</v>
      </c>
      <c r="C6879" s="32" t="s">
        <v>784</v>
      </c>
      <c r="D6879" s="708">
        <v>5000.0</v>
      </c>
      <c r="E6879" s="195">
        <v>5.61</v>
      </c>
      <c r="F6879" s="709">
        <v>0.6427199074074074</v>
      </c>
      <c r="G6879" s="195" t="s">
        <v>453</v>
      </c>
      <c r="H6879" s="710">
        <v>25.0</v>
      </c>
      <c r="I6879" s="256"/>
      <c r="J6879" s="67">
        <f t="shared" si="417"/>
        <v>-28075</v>
      </c>
      <c r="L6879" s="70"/>
      <c r="M6879" s="934"/>
      <c r="N6879" s="94"/>
      <c r="O6879" s="94"/>
      <c r="P6879" s="94"/>
      <c r="Q6879" s="94"/>
      <c r="R6879" s="94"/>
      <c r="S6879" s="94"/>
      <c r="T6879" s="94"/>
      <c r="U6879" s="94"/>
      <c r="V6879" s="94"/>
      <c r="W6879" s="94"/>
      <c r="X6879" s="94"/>
      <c r="Y6879" s="94"/>
      <c r="Z6879" s="94"/>
      <c r="AA6879" s="94"/>
      <c r="AB6879" s="94"/>
      <c r="AC6879" s="94"/>
      <c r="AD6879" s="94"/>
      <c r="AE6879" s="94"/>
      <c r="AF6879" s="94"/>
      <c r="AG6879" s="94"/>
      <c r="AH6879" s="94"/>
    </row>
    <row r="6880" ht="12.75" hidden="1" customHeight="1" outlineLevel="1">
      <c r="A6880" s="122">
        <v>42192.0</v>
      </c>
      <c r="B6880" s="32" t="s">
        <v>343</v>
      </c>
      <c r="C6880" s="32" t="s">
        <v>790</v>
      </c>
      <c r="D6880" s="708">
        <v>1500.0</v>
      </c>
      <c r="E6880" s="195">
        <v>8.27</v>
      </c>
      <c r="F6880" s="709">
        <v>0.6429861111111111</v>
      </c>
      <c r="G6880" s="195" t="s">
        <v>453</v>
      </c>
      <c r="H6880" s="710">
        <v>7.1</v>
      </c>
      <c r="I6880" s="256"/>
      <c r="J6880" s="67">
        <f t="shared" si="417"/>
        <v>-12412.1</v>
      </c>
      <c r="L6880" s="70"/>
      <c r="M6880" s="934"/>
      <c r="N6880" s="94"/>
      <c r="O6880" s="94"/>
      <c r="P6880" s="94"/>
      <c r="Q6880" s="94"/>
      <c r="R6880" s="94"/>
      <c r="S6880" s="94"/>
      <c r="T6880" s="94"/>
      <c r="U6880" s="94"/>
      <c r="V6880" s="94"/>
      <c r="W6880" s="94"/>
      <c r="X6880" s="94"/>
      <c r="Y6880" s="94"/>
      <c r="Z6880" s="94"/>
      <c r="AA6880" s="94"/>
      <c r="AB6880" s="94"/>
      <c r="AC6880" s="94"/>
      <c r="AD6880" s="94"/>
      <c r="AE6880" s="94"/>
      <c r="AF6880" s="94"/>
      <c r="AG6880" s="94"/>
      <c r="AH6880" s="94"/>
    </row>
    <row r="6881" ht="12.75" hidden="1" customHeight="1" outlineLevel="1">
      <c r="A6881" s="122">
        <v>42192.0</v>
      </c>
      <c r="B6881" s="32" t="s">
        <v>343</v>
      </c>
      <c r="C6881" s="32" t="s">
        <v>369</v>
      </c>
      <c r="D6881" s="708">
        <v>7000.0</v>
      </c>
      <c r="E6881" s="195">
        <v>3.469</v>
      </c>
      <c r="F6881" s="709">
        <v>0.6433449074074075</v>
      </c>
      <c r="G6881" s="195" t="s">
        <v>453</v>
      </c>
      <c r="H6881" s="710">
        <v>32.3</v>
      </c>
      <c r="I6881" s="256"/>
      <c r="J6881" s="67">
        <f t="shared" si="417"/>
        <v>-24315.3</v>
      </c>
      <c r="L6881" s="70"/>
      <c r="M6881" s="934"/>
      <c r="N6881" s="94"/>
      <c r="O6881" s="94"/>
      <c r="P6881" s="94"/>
      <c r="Q6881" s="94"/>
      <c r="R6881" s="94"/>
      <c r="S6881" s="94"/>
      <c r="T6881" s="94"/>
      <c r="U6881" s="94"/>
      <c r="V6881" s="94"/>
      <c r="W6881" s="94"/>
      <c r="X6881" s="94"/>
      <c r="Y6881" s="94"/>
      <c r="Z6881" s="94"/>
      <c r="AA6881" s="94"/>
      <c r="AB6881" s="94"/>
      <c r="AC6881" s="94"/>
      <c r="AD6881" s="94"/>
      <c r="AE6881" s="94"/>
      <c r="AF6881" s="94"/>
      <c r="AG6881" s="94"/>
      <c r="AH6881" s="94"/>
    </row>
    <row r="6882" ht="12.75" hidden="1" customHeight="1" outlineLevel="1">
      <c r="A6882" s="122">
        <v>42192.0</v>
      </c>
      <c r="B6882" s="32" t="s">
        <v>343</v>
      </c>
      <c r="C6882" s="32" t="s">
        <v>784</v>
      </c>
      <c r="D6882" s="708">
        <v>5000.0</v>
      </c>
      <c r="E6882" s="195">
        <v>5.609</v>
      </c>
      <c r="F6882" s="709">
        <v>0.6435532407407407</v>
      </c>
      <c r="G6882" s="195" t="s">
        <v>453</v>
      </c>
      <c r="H6882" s="710">
        <v>25.0</v>
      </c>
      <c r="I6882" s="256"/>
      <c r="J6882" s="67">
        <f t="shared" si="417"/>
        <v>-28070</v>
      </c>
      <c r="L6882" s="70"/>
      <c r="M6882" s="934"/>
      <c r="N6882" s="94"/>
      <c r="O6882" s="94"/>
      <c r="P6882" s="94"/>
      <c r="Q6882" s="94"/>
      <c r="R6882" s="94"/>
      <c r="S6882" s="94"/>
      <c r="T6882" s="94"/>
      <c r="U6882" s="94"/>
      <c r="V6882" s="94"/>
      <c r="W6882" s="94"/>
      <c r="X6882" s="94"/>
      <c r="Y6882" s="94"/>
      <c r="Z6882" s="94"/>
      <c r="AA6882" s="94"/>
      <c r="AB6882" s="94"/>
      <c r="AC6882" s="94"/>
      <c r="AD6882" s="94"/>
      <c r="AE6882" s="94"/>
      <c r="AF6882" s="94"/>
      <c r="AG6882" s="94"/>
      <c r="AH6882" s="94"/>
    </row>
    <row r="6883" ht="12.75" hidden="1" customHeight="1" outlineLevel="1">
      <c r="A6883" s="122">
        <v>42192.0</v>
      </c>
      <c r="B6883" s="32" t="s">
        <v>343</v>
      </c>
      <c r="C6883" s="32" t="s">
        <v>790</v>
      </c>
      <c r="D6883" s="708">
        <v>750.0</v>
      </c>
      <c r="E6883" s="195">
        <v>8.29</v>
      </c>
      <c r="F6883" s="709">
        <v>0.6445949074074074</v>
      </c>
      <c r="G6883" s="195" t="s">
        <v>453</v>
      </c>
      <c r="H6883" s="710">
        <v>3.0</v>
      </c>
      <c r="I6883" s="256"/>
      <c r="J6883" s="67">
        <f t="shared" si="417"/>
        <v>-6220.5</v>
      </c>
      <c r="L6883" s="70"/>
      <c r="M6883" s="934"/>
      <c r="N6883" s="94"/>
      <c r="O6883" s="94"/>
      <c r="P6883" s="94"/>
      <c r="Q6883" s="94"/>
      <c r="R6883" s="94"/>
      <c r="S6883" s="94"/>
      <c r="T6883" s="94"/>
      <c r="U6883" s="94"/>
      <c r="V6883" s="94"/>
      <c r="W6883" s="94"/>
      <c r="X6883" s="94"/>
      <c r="Y6883" s="94"/>
      <c r="Z6883" s="94"/>
      <c r="AA6883" s="94"/>
      <c r="AB6883" s="94"/>
      <c r="AC6883" s="94"/>
      <c r="AD6883" s="94"/>
      <c r="AE6883" s="94"/>
      <c r="AF6883" s="94"/>
      <c r="AG6883" s="94"/>
      <c r="AH6883" s="94"/>
    </row>
    <row r="6884" ht="12.75" hidden="1" customHeight="1" outlineLevel="1">
      <c r="A6884" s="122">
        <v>42192.0</v>
      </c>
      <c r="B6884" s="32" t="s">
        <v>343</v>
      </c>
      <c r="C6884" s="32" t="s">
        <v>369</v>
      </c>
      <c r="D6884" s="708">
        <v>3500.0</v>
      </c>
      <c r="E6884" s="195">
        <v>3.47</v>
      </c>
      <c r="F6884" s="709">
        <v>0.6447916666666667</v>
      </c>
      <c r="G6884" s="195" t="s">
        <v>453</v>
      </c>
      <c r="H6884" s="710">
        <v>16.3</v>
      </c>
      <c r="I6884" s="256"/>
      <c r="J6884" s="67">
        <f t="shared" si="417"/>
        <v>-12161.3</v>
      </c>
      <c r="L6884" s="70"/>
      <c r="M6884" s="934"/>
      <c r="N6884" s="94"/>
      <c r="O6884" s="94"/>
      <c r="P6884" s="94"/>
      <c r="Q6884" s="94"/>
      <c r="R6884" s="94"/>
      <c r="S6884" s="94"/>
      <c r="T6884" s="94"/>
      <c r="U6884" s="94"/>
      <c r="V6884" s="94"/>
      <c r="W6884" s="94"/>
      <c r="X6884" s="94"/>
      <c r="Y6884" s="94"/>
      <c r="Z6884" s="94"/>
      <c r="AA6884" s="94"/>
      <c r="AB6884" s="94"/>
      <c r="AC6884" s="94"/>
      <c r="AD6884" s="94"/>
      <c r="AE6884" s="94"/>
      <c r="AF6884" s="94"/>
      <c r="AG6884" s="94"/>
      <c r="AH6884" s="94"/>
    </row>
    <row r="6885" ht="12.75" hidden="1" customHeight="1" outlineLevel="1">
      <c r="A6885" s="122">
        <v>42192.0</v>
      </c>
      <c r="B6885" s="32" t="s">
        <v>343</v>
      </c>
      <c r="C6885" s="32" t="s">
        <v>784</v>
      </c>
      <c r="D6885" s="708">
        <v>2000.0</v>
      </c>
      <c r="E6885" s="195">
        <v>5.62</v>
      </c>
      <c r="F6885" s="709">
        <v>0.6449305555555556</v>
      </c>
      <c r="G6885" s="195" t="s">
        <v>453</v>
      </c>
      <c r="H6885" s="710">
        <v>10.0</v>
      </c>
      <c r="I6885" s="256"/>
      <c r="J6885" s="67">
        <f t="shared" si="417"/>
        <v>-11250</v>
      </c>
      <c r="L6885" s="70"/>
      <c r="M6885" s="934"/>
      <c r="N6885" s="94"/>
      <c r="O6885" s="94"/>
      <c r="P6885" s="94"/>
      <c r="Q6885" s="94"/>
      <c r="R6885" s="94"/>
      <c r="S6885" s="94"/>
      <c r="T6885" s="94"/>
      <c r="U6885" s="94"/>
      <c r="V6885" s="94"/>
      <c r="W6885" s="94"/>
      <c r="X6885" s="94"/>
      <c r="Y6885" s="94"/>
      <c r="Z6885" s="94"/>
      <c r="AA6885" s="94"/>
      <c r="AB6885" s="94"/>
      <c r="AC6885" s="94"/>
      <c r="AD6885" s="94"/>
      <c r="AE6885" s="94"/>
      <c r="AF6885" s="94"/>
      <c r="AG6885" s="94"/>
      <c r="AH6885" s="94"/>
    </row>
    <row r="6886" ht="12.75" hidden="1" customHeight="1" outlineLevel="1">
      <c r="A6886" s="122">
        <v>42192.0</v>
      </c>
      <c r="B6886" s="32" t="s">
        <v>343</v>
      </c>
      <c r="C6886" s="32" t="s">
        <v>2090</v>
      </c>
      <c r="D6886" s="708">
        <v>500.0</v>
      </c>
      <c r="E6886" s="195">
        <v>9.619</v>
      </c>
      <c r="F6886" s="709">
        <v>0.6508449074074074</v>
      </c>
      <c r="G6886" s="195" t="s">
        <v>453</v>
      </c>
      <c r="H6886" s="710">
        <v>2.0</v>
      </c>
      <c r="I6886" s="256"/>
      <c r="J6886" s="67">
        <f t="shared" si="417"/>
        <v>-4811.5</v>
      </c>
      <c r="L6886" s="70"/>
      <c r="M6886" s="934"/>
      <c r="N6886" s="94"/>
      <c r="O6886" s="94"/>
      <c r="P6886" s="94"/>
      <c r="Q6886" s="94"/>
      <c r="R6886" s="94"/>
      <c r="S6886" s="94"/>
      <c r="T6886" s="94"/>
      <c r="U6886" s="94"/>
      <c r="V6886" s="94"/>
      <c r="W6886" s="94"/>
      <c r="X6886" s="94"/>
      <c r="Y6886" s="94"/>
      <c r="Z6886" s="94"/>
      <c r="AA6886" s="94"/>
      <c r="AB6886" s="94"/>
      <c r="AC6886" s="94"/>
      <c r="AD6886" s="94"/>
      <c r="AE6886" s="94"/>
      <c r="AF6886" s="94"/>
      <c r="AG6886" s="94"/>
      <c r="AH6886" s="94"/>
    </row>
    <row r="6887" ht="12.75" hidden="1" customHeight="1" outlineLevel="1">
      <c r="A6887" s="122">
        <v>42192.0</v>
      </c>
      <c r="B6887" s="32" t="s">
        <v>347</v>
      </c>
      <c r="C6887" s="32" t="s">
        <v>2342</v>
      </c>
      <c r="D6887" s="708">
        <v>150.0</v>
      </c>
      <c r="E6887" s="195">
        <v>71.38</v>
      </c>
      <c r="F6887" s="709">
        <v>0.6575115740740741</v>
      </c>
      <c r="G6887" s="195" t="s">
        <v>453</v>
      </c>
      <c r="H6887" s="710">
        <v>1.2</v>
      </c>
      <c r="I6887" s="256"/>
      <c r="J6887" s="67">
        <f t="shared" si="417"/>
        <v>10705.8</v>
      </c>
      <c r="L6887" s="70"/>
      <c r="M6887" s="934"/>
      <c r="N6887" s="94"/>
      <c r="O6887" s="94"/>
      <c r="P6887" s="94"/>
      <c r="Q6887" s="94"/>
      <c r="R6887" s="94"/>
      <c r="S6887" s="94"/>
      <c r="T6887" s="94"/>
      <c r="U6887" s="94"/>
      <c r="V6887" s="94"/>
      <c r="W6887" s="94"/>
      <c r="X6887" s="94"/>
      <c r="Y6887" s="94"/>
      <c r="Z6887" s="94"/>
      <c r="AA6887" s="94"/>
      <c r="AB6887" s="94"/>
      <c r="AC6887" s="94"/>
      <c r="AD6887" s="94"/>
      <c r="AE6887" s="94"/>
      <c r="AF6887" s="94"/>
      <c r="AG6887" s="94"/>
      <c r="AH6887" s="94"/>
    </row>
    <row r="6888" ht="12.75" hidden="1" customHeight="1" outlineLevel="1">
      <c r="A6888" s="122">
        <v>42192.0</v>
      </c>
      <c r="B6888" s="1"/>
      <c r="C6888" s="1" t="s">
        <v>339</v>
      </c>
      <c r="D6888" s="74"/>
      <c r="E6888" s="67"/>
      <c r="F6888" s="75"/>
      <c r="G6888" s="67"/>
      <c r="H6888" s="68"/>
      <c r="I6888" s="76"/>
      <c r="K6888" s="968" t="s">
        <v>3046</v>
      </c>
      <c r="L6888" s="934"/>
      <c r="M6888" s="934"/>
    </row>
    <row r="6889" ht="12.75" hidden="1" customHeight="1" outlineLevel="1">
      <c r="A6889" s="122">
        <v>42192.0</v>
      </c>
      <c r="B6889" s="1"/>
      <c r="C6889" s="1" t="s">
        <v>429</v>
      </c>
      <c r="D6889" s="74"/>
      <c r="E6889" s="67"/>
      <c r="F6889" s="75"/>
      <c r="G6889" s="67"/>
      <c r="H6889" s="68"/>
      <c r="I6889" s="76"/>
      <c r="J6889" s="67"/>
      <c r="K6889" s="9" t="s">
        <v>2839</v>
      </c>
      <c r="L6889" s="934"/>
      <c r="M6889" s="934"/>
    </row>
    <row r="6890" ht="12.75" hidden="1" customHeight="1" outlineLevel="1">
      <c r="A6890" s="122">
        <v>42192.0</v>
      </c>
      <c r="B6890" s="1"/>
      <c r="C6890" s="1" t="s">
        <v>431</v>
      </c>
      <c r="D6890" s="74"/>
      <c r="E6890" s="67"/>
      <c r="F6890" s="75"/>
      <c r="G6890" s="67"/>
      <c r="H6890" s="68"/>
      <c r="I6890" s="76"/>
      <c r="J6890" s="67"/>
      <c r="K6890" s="7" t="s">
        <v>1126</v>
      </c>
      <c r="L6890" s="934"/>
      <c r="M6890" s="934"/>
    </row>
    <row r="6891" ht="12.75" hidden="1" customHeight="1" outlineLevel="1">
      <c r="A6891" s="122">
        <v>42192.0</v>
      </c>
      <c r="B6891" s="1"/>
      <c r="C6891" s="1" t="s">
        <v>433</v>
      </c>
      <c r="D6891" s="74"/>
      <c r="E6891" s="67"/>
      <c r="F6891" s="75"/>
      <c r="G6891" s="67"/>
      <c r="H6891" s="68"/>
      <c r="I6891" s="76"/>
      <c r="J6891" s="67"/>
      <c r="K6891" s="7" t="s">
        <v>1103</v>
      </c>
      <c r="L6891" s="934"/>
      <c r="M6891" s="934"/>
    </row>
    <row r="6892" ht="12.75" hidden="1" customHeight="1" outlineLevel="1">
      <c r="A6892" s="122">
        <v>42192.0</v>
      </c>
      <c r="B6892" s="1"/>
      <c r="C6892" s="1" t="s">
        <v>435</v>
      </c>
      <c r="D6892" s="74"/>
      <c r="E6892" s="67"/>
      <c r="F6892" s="75"/>
      <c r="G6892" s="67"/>
      <c r="H6892" s="68"/>
      <c r="I6892" s="76"/>
      <c r="J6892" s="67"/>
      <c r="K6892" s="9" t="s">
        <v>2802</v>
      </c>
      <c r="L6892" s="934"/>
      <c r="M6892" s="934"/>
    </row>
    <row r="6893" ht="12.75" hidden="1" customHeight="1" outlineLevel="1">
      <c r="A6893" s="122">
        <v>42193.0</v>
      </c>
      <c r="B6893" s="32" t="s">
        <v>347</v>
      </c>
      <c r="C6893" s="32" t="s">
        <v>784</v>
      </c>
      <c r="D6893" s="708">
        <v>3000.0</v>
      </c>
      <c r="E6893" s="195">
        <v>5.3901</v>
      </c>
      <c r="F6893" s="709">
        <v>0.3965972222222222</v>
      </c>
      <c r="G6893" s="195" t="s">
        <v>453</v>
      </c>
      <c r="H6893" s="710">
        <v>12.3</v>
      </c>
      <c r="I6893" s="256"/>
      <c r="J6893" s="67">
        <f t="shared" ref="J6893:J6920" si="418">IF(B6893="SLD",D6893*E6893,-D6893*E6893)-H6893</f>
        <v>16158</v>
      </c>
      <c r="L6893" s="70"/>
      <c r="M6893" s="934"/>
      <c r="N6893" s="94"/>
      <c r="O6893" s="94"/>
      <c r="P6893" s="94"/>
      <c r="Q6893" s="94"/>
      <c r="R6893" s="94"/>
      <c r="S6893" s="94"/>
      <c r="T6893" s="94"/>
      <c r="U6893" s="94"/>
      <c r="V6893" s="94"/>
      <c r="W6893" s="94"/>
      <c r="X6893" s="94"/>
      <c r="Y6893" s="94"/>
      <c r="Z6893" s="94"/>
      <c r="AA6893" s="94"/>
      <c r="AB6893" s="94"/>
      <c r="AC6893" s="94"/>
      <c r="AD6893" s="94"/>
      <c r="AE6893" s="94"/>
      <c r="AF6893" s="94"/>
      <c r="AG6893" s="94"/>
      <c r="AH6893" s="94"/>
    </row>
    <row r="6894" ht="12.75" hidden="1" customHeight="1" outlineLevel="1">
      <c r="A6894" s="122">
        <v>42193.0</v>
      </c>
      <c r="B6894" s="32" t="s">
        <v>347</v>
      </c>
      <c r="C6894" s="32" t="s">
        <v>3024</v>
      </c>
      <c r="D6894" s="708">
        <v>200.0</v>
      </c>
      <c r="E6894" s="195">
        <v>20.87</v>
      </c>
      <c r="F6894" s="709">
        <v>0.4026851851851852</v>
      </c>
      <c r="G6894" s="195" t="s">
        <v>453</v>
      </c>
      <c r="H6894" s="710">
        <v>1.08</v>
      </c>
      <c r="I6894" s="256"/>
      <c r="J6894" s="67">
        <f t="shared" si="418"/>
        <v>4172.92</v>
      </c>
      <c r="L6894" s="70"/>
      <c r="M6894" s="934"/>
      <c r="N6894" s="94"/>
      <c r="O6894" s="94"/>
      <c r="P6894" s="94"/>
      <c r="Q6894" s="94"/>
      <c r="R6894" s="94"/>
      <c r="S6894" s="94"/>
      <c r="T6894" s="94"/>
      <c r="U6894" s="94"/>
      <c r="V6894" s="94"/>
      <c r="W6894" s="94"/>
      <c r="X6894" s="94"/>
      <c r="Y6894" s="94"/>
      <c r="Z6894" s="94"/>
      <c r="AA6894" s="94"/>
      <c r="AB6894" s="94"/>
      <c r="AC6894" s="94"/>
      <c r="AD6894" s="94"/>
      <c r="AE6894" s="94"/>
      <c r="AF6894" s="94"/>
      <c r="AG6894" s="94"/>
      <c r="AH6894" s="94"/>
    </row>
    <row r="6895" ht="12.75" hidden="1" customHeight="1" outlineLevel="1">
      <c r="A6895" s="122">
        <v>42193.0</v>
      </c>
      <c r="B6895" s="32" t="s">
        <v>347</v>
      </c>
      <c r="C6895" s="32" t="s">
        <v>3024</v>
      </c>
      <c r="D6895" s="708">
        <v>400.0</v>
      </c>
      <c r="E6895" s="195">
        <v>20.831</v>
      </c>
      <c r="F6895" s="709">
        <v>0.40390046296296295</v>
      </c>
      <c r="G6895" s="195" t="s">
        <v>453</v>
      </c>
      <c r="H6895" s="710">
        <v>1.75</v>
      </c>
      <c r="I6895" s="256"/>
      <c r="J6895" s="67">
        <f t="shared" si="418"/>
        <v>8330.65</v>
      </c>
      <c r="L6895" s="70"/>
      <c r="M6895" s="934"/>
      <c r="N6895" s="94"/>
      <c r="O6895" s="94"/>
      <c r="P6895" s="94"/>
      <c r="Q6895" s="94"/>
      <c r="R6895" s="94"/>
      <c r="S6895" s="94"/>
      <c r="T6895" s="94"/>
      <c r="U6895" s="94"/>
      <c r="V6895" s="94"/>
      <c r="W6895" s="94"/>
      <c r="X6895" s="94"/>
      <c r="Y6895" s="94"/>
      <c r="Z6895" s="94"/>
      <c r="AA6895" s="94"/>
      <c r="AB6895" s="94"/>
      <c r="AC6895" s="94"/>
      <c r="AD6895" s="94"/>
      <c r="AE6895" s="94"/>
      <c r="AF6895" s="94"/>
      <c r="AG6895" s="94"/>
      <c r="AH6895" s="94"/>
    </row>
    <row r="6896" ht="12.75" hidden="1" customHeight="1" outlineLevel="1">
      <c r="A6896" s="122">
        <v>42193.0</v>
      </c>
      <c r="B6896" s="32" t="s">
        <v>347</v>
      </c>
      <c r="C6896" s="32" t="s">
        <v>3024</v>
      </c>
      <c r="D6896" s="708">
        <v>200.0</v>
      </c>
      <c r="E6896" s="195">
        <v>20.743</v>
      </c>
      <c r="F6896" s="709">
        <v>0.40520833333333334</v>
      </c>
      <c r="G6896" s="195" t="s">
        <v>453</v>
      </c>
      <c r="H6896" s="710">
        <v>1.08</v>
      </c>
      <c r="I6896" s="256"/>
      <c r="J6896" s="67">
        <f t="shared" si="418"/>
        <v>4147.52</v>
      </c>
      <c r="L6896" s="70"/>
      <c r="M6896" s="934"/>
      <c r="N6896" s="94"/>
      <c r="O6896" s="94"/>
      <c r="P6896" s="94"/>
      <c r="Q6896" s="94"/>
      <c r="R6896" s="94"/>
      <c r="S6896" s="94"/>
      <c r="T6896" s="94"/>
      <c r="U6896" s="94"/>
      <c r="V6896" s="94"/>
      <c r="W6896" s="94"/>
      <c r="X6896" s="94"/>
      <c r="Y6896" s="94"/>
      <c r="Z6896" s="94"/>
      <c r="AA6896" s="94"/>
      <c r="AB6896" s="94"/>
      <c r="AC6896" s="94"/>
      <c r="AD6896" s="94"/>
      <c r="AE6896" s="94"/>
      <c r="AF6896" s="94"/>
      <c r="AG6896" s="94"/>
      <c r="AH6896" s="94"/>
    </row>
    <row r="6897" ht="12.75" hidden="1" customHeight="1" outlineLevel="1">
      <c r="A6897" s="122">
        <v>42193.0</v>
      </c>
      <c r="B6897" s="32" t="s">
        <v>347</v>
      </c>
      <c r="C6897" s="32" t="s">
        <v>3024</v>
      </c>
      <c r="D6897" s="708">
        <v>500.0</v>
      </c>
      <c r="E6897" s="195">
        <v>20.75</v>
      </c>
      <c r="F6897" s="709">
        <v>0.40912037037037036</v>
      </c>
      <c r="G6897" s="195" t="s">
        <v>453</v>
      </c>
      <c r="H6897" s="710">
        <v>2.69</v>
      </c>
      <c r="I6897" s="256"/>
      <c r="J6897" s="67">
        <f t="shared" si="418"/>
        <v>10372.31</v>
      </c>
      <c r="L6897" s="70"/>
      <c r="M6897" s="934"/>
      <c r="N6897" s="94"/>
      <c r="O6897" s="94"/>
      <c r="P6897" s="94"/>
      <c r="Q6897" s="94"/>
      <c r="R6897" s="94"/>
      <c r="S6897" s="94"/>
      <c r="T6897" s="94"/>
      <c r="U6897" s="94"/>
      <c r="V6897" s="94"/>
      <c r="W6897" s="94"/>
      <c r="X6897" s="94"/>
      <c r="Y6897" s="94"/>
      <c r="Z6897" s="94"/>
      <c r="AA6897" s="94"/>
      <c r="AB6897" s="94"/>
      <c r="AC6897" s="94"/>
      <c r="AD6897" s="94"/>
      <c r="AE6897" s="94"/>
      <c r="AF6897" s="94"/>
      <c r="AG6897" s="94"/>
      <c r="AH6897" s="94"/>
    </row>
    <row r="6898" ht="12.75" hidden="1" customHeight="1" outlineLevel="1">
      <c r="A6898" s="122">
        <v>42193.0</v>
      </c>
      <c r="B6898" s="32" t="s">
        <v>347</v>
      </c>
      <c r="C6898" s="32" t="s">
        <v>784</v>
      </c>
      <c r="D6898" s="708">
        <v>4000.0</v>
      </c>
      <c r="E6898" s="195">
        <v>5.482</v>
      </c>
      <c r="F6898" s="709">
        <v>0.4096412037037037</v>
      </c>
      <c r="G6898" s="195" t="s">
        <v>453</v>
      </c>
      <c r="H6898" s="710">
        <v>19.9</v>
      </c>
      <c r="I6898" s="256"/>
      <c r="J6898" s="67">
        <f t="shared" si="418"/>
        <v>21908.1</v>
      </c>
      <c r="L6898" s="70"/>
      <c r="M6898" s="934"/>
      <c r="N6898" s="94"/>
      <c r="O6898" s="94"/>
      <c r="P6898" s="94"/>
      <c r="Q6898" s="94"/>
      <c r="R6898" s="94"/>
      <c r="S6898" s="94"/>
      <c r="T6898" s="94"/>
      <c r="U6898" s="94"/>
      <c r="V6898" s="94"/>
      <c r="W6898" s="94"/>
      <c r="X6898" s="94"/>
      <c r="Y6898" s="94"/>
      <c r="Z6898" s="94"/>
      <c r="AA6898" s="94"/>
      <c r="AB6898" s="94"/>
      <c r="AC6898" s="94"/>
      <c r="AD6898" s="94"/>
      <c r="AE6898" s="94"/>
      <c r="AF6898" s="94"/>
      <c r="AG6898" s="94"/>
      <c r="AH6898" s="94"/>
    </row>
    <row r="6899" ht="12.75" hidden="1" customHeight="1" outlineLevel="1">
      <c r="A6899" s="122">
        <v>42193.0</v>
      </c>
      <c r="B6899" s="32" t="s">
        <v>347</v>
      </c>
      <c r="C6899" s="32" t="s">
        <v>2048</v>
      </c>
      <c r="D6899" s="708">
        <v>500.0</v>
      </c>
      <c r="E6899" s="195">
        <v>9.771</v>
      </c>
      <c r="F6899" s="709">
        <v>0.41302083333333334</v>
      </c>
      <c r="G6899" s="195" t="s">
        <v>453</v>
      </c>
      <c r="H6899" s="710">
        <v>2.09</v>
      </c>
      <c r="I6899" s="256"/>
      <c r="J6899" s="67">
        <f t="shared" si="418"/>
        <v>4883.41</v>
      </c>
      <c r="L6899" s="70"/>
      <c r="M6899" s="934"/>
      <c r="N6899" s="94"/>
      <c r="O6899" s="94"/>
      <c r="P6899" s="94"/>
      <c r="Q6899" s="94"/>
      <c r="R6899" s="94"/>
      <c r="S6899" s="94"/>
      <c r="T6899" s="94"/>
      <c r="U6899" s="94"/>
      <c r="V6899" s="94"/>
      <c r="W6899" s="94"/>
      <c r="X6899" s="94"/>
      <c r="Y6899" s="94"/>
      <c r="Z6899" s="94"/>
      <c r="AA6899" s="94"/>
      <c r="AB6899" s="94"/>
      <c r="AC6899" s="94"/>
      <c r="AD6899" s="94"/>
      <c r="AE6899" s="94"/>
      <c r="AF6899" s="94"/>
      <c r="AG6899" s="94"/>
      <c r="AH6899" s="94"/>
    </row>
    <row r="6900" ht="12.75" hidden="1" customHeight="1" outlineLevel="1">
      <c r="A6900" s="122">
        <v>42193.0</v>
      </c>
      <c r="B6900" s="32" t="s">
        <v>347</v>
      </c>
      <c r="C6900" s="32" t="s">
        <v>790</v>
      </c>
      <c r="D6900" s="708">
        <v>750.0</v>
      </c>
      <c r="E6900" s="195">
        <v>8.191</v>
      </c>
      <c r="F6900" s="709">
        <v>0.41315972222222225</v>
      </c>
      <c r="G6900" s="195" t="s">
        <v>453</v>
      </c>
      <c r="H6900" s="710">
        <v>3.76</v>
      </c>
      <c r="I6900" s="256"/>
      <c r="J6900" s="67">
        <f t="shared" si="418"/>
        <v>6139.49</v>
      </c>
      <c r="L6900" s="70"/>
      <c r="M6900" s="934"/>
      <c r="N6900" s="94"/>
      <c r="O6900" s="94"/>
      <c r="P6900" s="94"/>
      <c r="Q6900" s="94"/>
      <c r="R6900" s="94"/>
      <c r="S6900" s="94"/>
      <c r="T6900" s="94"/>
      <c r="U6900" s="94"/>
      <c r="V6900" s="94"/>
      <c r="W6900" s="94"/>
      <c r="X6900" s="94"/>
      <c r="Y6900" s="94"/>
      <c r="Z6900" s="94"/>
      <c r="AA6900" s="94"/>
      <c r="AB6900" s="94"/>
      <c r="AC6900" s="94"/>
      <c r="AD6900" s="94"/>
      <c r="AE6900" s="94"/>
      <c r="AF6900" s="94"/>
      <c r="AG6900" s="94"/>
      <c r="AH6900" s="94"/>
    </row>
    <row r="6901" ht="12.75" hidden="1" customHeight="1" outlineLevel="1">
      <c r="A6901" s="122">
        <v>42193.0</v>
      </c>
      <c r="B6901" s="32" t="s">
        <v>347</v>
      </c>
      <c r="C6901" s="32" t="s">
        <v>784</v>
      </c>
      <c r="D6901" s="708">
        <v>5000.0</v>
      </c>
      <c r="E6901" s="195">
        <v>5.44</v>
      </c>
      <c r="F6901" s="709">
        <v>0.41333333333333333</v>
      </c>
      <c r="G6901" s="195" t="s">
        <v>453</v>
      </c>
      <c r="H6901" s="710">
        <v>23.29</v>
      </c>
      <c r="I6901" s="256"/>
      <c r="J6901" s="67">
        <f t="shared" si="418"/>
        <v>27176.71</v>
      </c>
      <c r="L6901" s="70"/>
      <c r="M6901" s="934"/>
      <c r="N6901" s="94"/>
      <c r="O6901" s="94"/>
      <c r="P6901" s="94"/>
      <c r="Q6901" s="94"/>
      <c r="R6901" s="94"/>
      <c r="S6901" s="94"/>
      <c r="T6901" s="94"/>
      <c r="U6901" s="94"/>
      <c r="V6901" s="94"/>
      <c r="W6901" s="94"/>
      <c r="X6901" s="94"/>
      <c r="Y6901" s="94"/>
      <c r="Z6901" s="94"/>
      <c r="AA6901" s="94"/>
      <c r="AB6901" s="94"/>
      <c r="AC6901" s="94"/>
      <c r="AD6901" s="94"/>
      <c r="AE6901" s="94"/>
      <c r="AF6901" s="94"/>
      <c r="AG6901" s="94"/>
      <c r="AH6901" s="94"/>
    </row>
    <row r="6902" ht="12.75" hidden="1" customHeight="1" outlineLevel="1">
      <c r="A6902" s="122">
        <v>42193.0</v>
      </c>
      <c r="B6902" s="32" t="s">
        <v>347</v>
      </c>
      <c r="C6902" s="32" t="s">
        <v>1452</v>
      </c>
      <c r="D6902" s="708">
        <v>215.0</v>
      </c>
      <c r="E6902" s="195">
        <v>85.41</v>
      </c>
      <c r="F6902" s="709">
        <v>0.4183912037037037</v>
      </c>
      <c r="G6902" s="195" t="s">
        <v>453</v>
      </c>
      <c r="H6902" s="710">
        <v>1.41</v>
      </c>
      <c r="I6902" s="256"/>
      <c r="J6902" s="67">
        <f t="shared" si="418"/>
        <v>18361.74</v>
      </c>
      <c r="L6902" s="70"/>
      <c r="M6902" s="934"/>
      <c r="N6902" s="94"/>
      <c r="O6902" s="94"/>
      <c r="P6902" s="94"/>
      <c r="Q6902" s="94"/>
      <c r="R6902" s="94"/>
      <c r="S6902" s="94"/>
      <c r="T6902" s="94"/>
      <c r="U6902" s="94"/>
      <c r="V6902" s="94"/>
      <c r="W6902" s="94"/>
      <c r="X6902" s="94"/>
      <c r="Y6902" s="94"/>
      <c r="Z6902" s="94"/>
      <c r="AA6902" s="94"/>
      <c r="AB6902" s="94"/>
      <c r="AC6902" s="94"/>
      <c r="AD6902" s="94"/>
      <c r="AE6902" s="94"/>
      <c r="AF6902" s="94"/>
      <c r="AG6902" s="94"/>
      <c r="AH6902" s="94"/>
    </row>
    <row r="6903" ht="12.75" hidden="1" customHeight="1" outlineLevel="1">
      <c r="A6903" s="122">
        <v>42193.0</v>
      </c>
      <c r="B6903" s="32" t="s">
        <v>347</v>
      </c>
      <c r="C6903" s="32" t="s">
        <v>3024</v>
      </c>
      <c r="D6903" s="708">
        <v>500.0</v>
      </c>
      <c r="E6903" s="195">
        <v>20.64</v>
      </c>
      <c r="F6903" s="709">
        <v>0.42162037037037037</v>
      </c>
      <c r="G6903" s="195" t="s">
        <v>453</v>
      </c>
      <c r="H6903" s="710">
        <v>2.69</v>
      </c>
      <c r="I6903" s="256"/>
      <c r="J6903" s="67">
        <f t="shared" si="418"/>
        <v>10317.31</v>
      </c>
      <c r="L6903" s="70"/>
      <c r="M6903" s="934"/>
      <c r="N6903" s="94"/>
      <c r="O6903" s="94"/>
      <c r="P6903" s="94"/>
      <c r="Q6903" s="94"/>
      <c r="R6903" s="94"/>
      <c r="S6903" s="94"/>
      <c r="T6903" s="94"/>
      <c r="U6903" s="94"/>
      <c r="V6903" s="94"/>
      <c r="W6903" s="94"/>
      <c r="X6903" s="94"/>
      <c r="Y6903" s="94"/>
      <c r="Z6903" s="94"/>
      <c r="AA6903" s="94"/>
      <c r="AB6903" s="94"/>
      <c r="AC6903" s="94"/>
      <c r="AD6903" s="94"/>
      <c r="AE6903" s="94"/>
      <c r="AF6903" s="94"/>
      <c r="AG6903" s="94"/>
      <c r="AH6903" s="94"/>
    </row>
    <row r="6904" ht="12.75" hidden="1" customHeight="1" outlineLevel="1">
      <c r="A6904" s="122">
        <v>42193.0</v>
      </c>
      <c r="B6904" s="32" t="s">
        <v>347</v>
      </c>
      <c r="C6904" s="32" t="s">
        <v>790</v>
      </c>
      <c r="D6904" s="708">
        <v>2500.0</v>
      </c>
      <c r="E6904" s="195">
        <v>8.1</v>
      </c>
      <c r="F6904" s="709">
        <v>0.421875</v>
      </c>
      <c r="G6904" s="195" t="s">
        <v>453</v>
      </c>
      <c r="H6904" s="710">
        <v>12.87</v>
      </c>
      <c r="I6904" s="256"/>
      <c r="J6904" s="67">
        <f t="shared" si="418"/>
        <v>20237.13</v>
      </c>
      <c r="L6904" s="70"/>
      <c r="M6904" s="934"/>
      <c r="N6904" s="94"/>
      <c r="O6904" s="94"/>
      <c r="P6904" s="94"/>
      <c r="Q6904" s="94"/>
      <c r="R6904" s="94"/>
      <c r="S6904" s="94"/>
      <c r="T6904" s="94"/>
      <c r="U6904" s="94"/>
      <c r="V6904" s="94"/>
      <c r="W6904" s="94"/>
      <c r="X6904" s="94"/>
      <c r="Y6904" s="94"/>
      <c r="Z6904" s="94"/>
      <c r="AA6904" s="94"/>
      <c r="AB6904" s="94"/>
      <c r="AC6904" s="94"/>
      <c r="AD6904" s="94"/>
      <c r="AE6904" s="94"/>
      <c r="AF6904" s="94"/>
      <c r="AG6904" s="94"/>
      <c r="AH6904" s="94"/>
    </row>
    <row r="6905" ht="12.75" hidden="1" customHeight="1" outlineLevel="1">
      <c r="A6905" s="122">
        <v>42193.0</v>
      </c>
      <c r="B6905" s="32" t="s">
        <v>347</v>
      </c>
      <c r="C6905" s="32" t="s">
        <v>2048</v>
      </c>
      <c r="D6905" s="708">
        <v>1000.0</v>
      </c>
      <c r="E6905" s="195">
        <v>9.731</v>
      </c>
      <c r="F6905" s="709">
        <v>0.4221875</v>
      </c>
      <c r="G6905" s="195" t="s">
        <v>453</v>
      </c>
      <c r="H6905" s="710">
        <v>4.18</v>
      </c>
      <c r="I6905" s="256"/>
      <c r="J6905" s="67">
        <f t="shared" si="418"/>
        <v>9726.82</v>
      </c>
      <c r="L6905" s="70"/>
      <c r="M6905" s="934"/>
      <c r="N6905" s="94"/>
      <c r="O6905" s="94"/>
      <c r="P6905" s="94"/>
      <c r="Q6905" s="94"/>
      <c r="R6905" s="94"/>
      <c r="S6905" s="94"/>
      <c r="T6905" s="94"/>
      <c r="U6905" s="94"/>
      <c r="V6905" s="94"/>
      <c r="W6905" s="94"/>
      <c r="X6905" s="94"/>
      <c r="Y6905" s="94"/>
      <c r="Z6905" s="94"/>
      <c r="AA6905" s="94"/>
      <c r="AB6905" s="94"/>
      <c r="AC6905" s="94"/>
      <c r="AD6905" s="94"/>
      <c r="AE6905" s="94"/>
      <c r="AF6905" s="94"/>
      <c r="AG6905" s="94"/>
      <c r="AH6905" s="94"/>
    </row>
    <row r="6906" ht="12.75" hidden="1" customHeight="1" outlineLevel="1">
      <c r="A6906" s="122">
        <v>42193.0</v>
      </c>
      <c r="B6906" s="32" t="s">
        <v>343</v>
      </c>
      <c r="C6906" s="32" t="s">
        <v>2090</v>
      </c>
      <c r="D6906" s="708">
        <v>1100.0</v>
      </c>
      <c r="E6906" s="195">
        <v>9.39</v>
      </c>
      <c r="F6906" s="709">
        <v>0.42341435185185183</v>
      </c>
      <c r="G6906" s="195" t="s">
        <v>453</v>
      </c>
      <c r="H6906" s="710">
        <v>5.5</v>
      </c>
      <c r="I6906" s="256"/>
      <c r="J6906" s="67">
        <f t="shared" si="418"/>
        <v>-10334.5</v>
      </c>
      <c r="L6906" s="70"/>
      <c r="M6906" s="934"/>
      <c r="N6906" s="94"/>
      <c r="O6906" s="94"/>
      <c r="P6906" s="94"/>
      <c r="Q6906" s="94"/>
      <c r="R6906" s="94"/>
      <c r="S6906" s="94"/>
      <c r="T6906" s="94"/>
      <c r="U6906" s="94"/>
      <c r="V6906" s="94"/>
      <c r="W6906" s="94"/>
      <c r="X6906" s="94"/>
      <c r="Y6906" s="94"/>
      <c r="Z6906" s="94"/>
      <c r="AA6906" s="94"/>
      <c r="AB6906" s="94"/>
      <c r="AC6906" s="94"/>
      <c r="AD6906" s="94"/>
      <c r="AE6906" s="94"/>
      <c r="AF6906" s="94"/>
      <c r="AG6906" s="94"/>
      <c r="AH6906" s="94"/>
    </row>
    <row r="6907" ht="12.75" hidden="1" customHeight="1" outlineLevel="1">
      <c r="A6907" s="122">
        <v>42193.0</v>
      </c>
      <c r="B6907" s="32" t="s">
        <v>347</v>
      </c>
      <c r="C6907" s="32" t="s">
        <v>2090</v>
      </c>
      <c r="D6907" s="708">
        <v>4100.0</v>
      </c>
      <c r="E6907" s="195">
        <v>9.363</v>
      </c>
      <c r="F6907" s="709">
        <v>0.4239236111111111</v>
      </c>
      <c r="G6907" s="195" t="s">
        <v>453</v>
      </c>
      <c r="H6907" s="710">
        <v>20.41</v>
      </c>
      <c r="I6907" s="256"/>
      <c r="J6907" s="67">
        <f t="shared" si="418"/>
        <v>38367.89</v>
      </c>
      <c r="L6907" s="70"/>
      <c r="M6907" s="934"/>
      <c r="N6907" s="94"/>
      <c r="O6907" s="94"/>
      <c r="P6907" s="94"/>
      <c r="Q6907" s="94"/>
      <c r="R6907" s="94"/>
      <c r="S6907" s="94"/>
      <c r="T6907" s="94"/>
      <c r="U6907" s="94"/>
      <c r="V6907" s="94"/>
      <c r="W6907" s="94"/>
      <c r="X6907" s="94"/>
      <c r="Y6907" s="94"/>
      <c r="Z6907" s="94"/>
      <c r="AA6907" s="94"/>
      <c r="AB6907" s="94"/>
      <c r="AC6907" s="94"/>
      <c r="AD6907" s="94"/>
      <c r="AE6907" s="94"/>
      <c r="AF6907" s="94"/>
      <c r="AG6907" s="94"/>
      <c r="AH6907" s="94"/>
    </row>
    <row r="6908" ht="12.75" hidden="1" customHeight="1" outlineLevel="1">
      <c r="A6908" s="122">
        <v>42193.0</v>
      </c>
      <c r="B6908" s="32" t="s">
        <v>347</v>
      </c>
      <c r="C6908" s="32" t="s">
        <v>3024</v>
      </c>
      <c r="D6908" s="708">
        <v>2000.0</v>
      </c>
      <c r="E6908" s="195">
        <v>20.71</v>
      </c>
      <c r="F6908" s="709">
        <v>0.43118055555555557</v>
      </c>
      <c r="G6908" s="195" t="s">
        <v>453</v>
      </c>
      <c r="H6908" s="710">
        <v>9.36</v>
      </c>
      <c r="I6908" s="256"/>
      <c r="J6908" s="67">
        <f t="shared" si="418"/>
        <v>41410.64</v>
      </c>
      <c r="L6908" s="70"/>
      <c r="M6908" s="934"/>
      <c r="N6908" s="94"/>
      <c r="O6908" s="94"/>
      <c r="P6908" s="94"/>
      <c r="Q6908" s="94"/>
      <c r="R6908" s="94"/>
      <c r="S6908" s="94"/>
      <c r="T6908" s="94"/>
      <c r="U6908" s="94"/>
      <c r="V6908" s="94"/>
      <c r="W6908" s="94"/>
      <c r="X6908" s="94"/>
      <c r="Y6908" s="94"/>
      <c r="Z6908" s="94"/>
      <c r="AA6908" s="94"/>
      <c r="AB6908" s="94"/>
      <c r="AC6908" s="94"/>
      <c r="AD6908" s="94"/>
      <c r="AE6908" s="94"/>
      <c r="AF6908" s="94"/>
      <c r="AG6908" s="94"/>
      <c r="AH6908" s="94"/>
    </row>
    <row r="6909" ht="12.75" hidden="1" customHeight="1" outlineLevel="1">
      <c r="A6909" s="122">
        <v>42193.0</v>
      </c>
      <c r="B6909" s="32" t="s">
        <v>347</v>
      </c>
      <c r="C6909" s="32" t="s">
        <v>784</v>
      </c>
      <c r="D6909" s="708">
        <v>5000.0</v>
      </c>
      <c r="E6909" s="195">
        <v>5.45</v>
      </c>
      <c r="F6909" s="709">
        <v>0.43137731481481484</v>
      </c>
      <c r="G6909" s="195" t="s">
        <v>453</v>
      </c>
      <c r="H6909" s="710">
        <v>25.5</v>
      </c>
      <c r="I6909" s="256"/>
      <c r="J6909" s="67">
        <f t="shared" si="418"/>
        <v>27224.5</v>
      </c>
      <c r="L6909" s="70"/>
      <c r="M6909" s="934"/>
      <c r="N6909" s="94"/>
      <c r="O6909" s="94"/>
      <c r="P6909" s="94"/>
      <c r="Q6909" s="94"/>
      <c r="R6909" s="94"/>
      <c r="S6909" s="94"/>
      <c r="T6909" s="94"/>
      <c r="U6909" s="94"/>
      <c r="V6909" s="94"/>
      <c r="W6909" s="94"/>
      <c r="X6909" s="94"/>
      <c r="Y6909" s="94"/>
      <c r="Z6909" s="94"/>
      <c r="AA6909" s="94"/>
      <c r="AB6909" s="94"/>
      <c r="AC6909" s="94"/>
      <c r="AD6909" s="94"/>
      <c r="AE6909" s="94"/>
      <c r="AF6909" s="94"/>
      <c r="AG6909" s="94"/>
      <c r="AH6909" s="94"/>
    </row>
    <row r="6910" ht="12.75" hidden="1" customHeight="1" outlineLevel="1">
      <c r="A6910" s="122">
        <v>42193.0</v>
      </c>
      <c r="B6910" s="32" t="s">
        <v>347</v>
      </c>
      <c r="C6910" s="32" t="s">
        <v>1839</v>
      </c>
      <c r="D6910" s="708">
        <v>750.0</v>
      </c>
      <c r="E6910" s="195">
        <v>11.14</v>
      </c>
      <c r="F6910" s="709">
        <v>0.4403240740740741</v>
      </c>
      <c r="G6910" s="195" t="s">
        <v>453</v>
      </c>
      <c r="H6910" s="710">
        <v>3.9</v>
      </c>
      <c r="I6910" s="256"/>
      <c r="J6910" s="67">
        <f t="shared" si="418"/>
        <v>8351.1</v>
      </c>
      <c r="L6910" s="70"/>
      <c r="M6910" s="934"/>
      <c r="N6910" s="94"/>
      <c r="O6910" s="94"/>
      <c r="P6910" s="94"/>
      <c r="Q6910" s="94"/>
      <c r="R6910" s="94"/>
      <c r="S6910" s="94"/>
      <c r="T6910" s="94"/>
      <c r="U6910" s="94"/>
      <c r="V6910" s="94"/>
      <c r="W6910" s="94"/>
      <c r="X6910" s="94"/>
      <c r="Y6910" s="94"/>
      <c r="Z6910" s="94"/>
      <c r="AA6910" s="94"/>
      <c r="AB6910" s="94"/>
      <c r="AC6910" s="94"/>
      <c r="AD6910" s="94"/>
      <c r="AE6910" s="94"/>
      <c r="AF6910" s="94"/>
      <c r="AG6910" s="94"/>
      <c r="AH6910" s="94"/>
    </row>
    <row r="6911" ht="12.75" hidden="1" customHeight="1" outlineLevel="1">
      <c r="A6911" s="122">
        <v>42193.0</v>
      </c>
      <c r="B6911" s="32" t="s">
        <v>347</v>
      </c>
      <c r="C6911" s="32" t="s">
        <v>784</v>
      </c>
      <c r="D6911" s="708">
        <v>5000.0</v>
      </c>
      <c r="E6911" s="195">
        <v>5.35</v>
      </c>
      <c r="F6911" s="709">
        <v>0.4637962962962963</v>
      </c>
      <c r="G6911" s="195" t="s">
        <v>453</v>
      </c>
      <c r="H6911" s="710">
        <v>23.09</v>
      </c>
      <c r="I6911" s="256"/>
      <c r="J6911" s="67">
        <f t="shared" si="418"/>
        <v>26726.91</v>
      </c>
      <c r="L6911" s="70"/>
      <c r="M6911" s="934"/>
      <c r="N6911" s="94"/>
      <c r="O6911" s="94"/>
      <c r="P6911" s="94"/>
      <c r="Q6911" s="94"/>
      <c r="R6911" s="94"/>
      <c r="S6911" s="94"/>
      <c r="T6911" s="94"/>
      <c r="U6911" s="94"/>
      <c r="V6911" s="94"/>
      <c r="W6911" s="94"/>
      <c r="X6911" s="94"/>
      <c r="Y6911" s="94"/>
      <c r="Z6911" s="94"/>
      <c r="AA6911" s="94"/>
      <c r="AB6911" s="94"/>
      <c r="AC6911" s="94"/>
      <c r="AD6911" s="94"/>
      <c r="AE6911" s="94"/>
      <c r="AF6911" s="94"/>
      <c r="AG6911" s="94"/>
      <c r="AH6911" s="94"/>
    </row>
    <row r="6912" ht="12.75" hidden="1" customHeight="1" outlineLevel="1">
      <c r="A6912" s="122">
        <v>42193.0</v>
      </c>
      <c r="B6912" s="32" t="s">
        <v>347</v>
      </c>
      <c r="C6912" s="32" t="s">
        <v>790</v>
      </c>
      <c r="D6912" s="708">
        <v>2000.0</v>
      </c>
      <c r="E6912" s="195">
        <v>8.05</v>
      </c>
      <c r="F6912" s="709">
        <v>0.464537037037037</v>
      </c>
      <c r="G6912" s="195" t="s">
        <v>453</v>
      </c>
      <c r="H6912" s="710">
        <v>10.2</v>
      </c>
      <c r="I6912" s="256"/>
      <c r="J6912" s="67">
        <f t="shared" si="418"/>
        <v>16089.8</v>
      </c>
      <c r="L6912" s="70"/>
      <c r="M6912" s="934"/>
      <c r="N6912" s="94"/>
      <c r="O6912" s="94"/>
      <c r="P6912" s="94"/>
      <c r="Q6912" s="94"/>
      <c r="R6912" s="94"/>
      <c r="S6912" s="94"/>
      <c r="T6912" s="94"/>
      <c r="U6912" s="94"/>
      <c r="V6912" s="94"/>
      <c r="W6912" s="94"/>
      <c r="X6912" s="94"/>
      <c r="Y6912" s="94"/>
      <c r="Z6912" s="94"/>
      <c r="AA6912" s="94"/>
      <c r="AB6912" s="94"/>
      <c r="AC6912" s="94"/>
      <c r="AD6912" s="94"/>
      <c r="AE6912" s="94"/>
      <c r="AF6912" s="94"/>
      <c r="AG6912" s="94"/>
      <c r="AH6912" s="94"/>
    </row>
    <row r="6913" ht="12.75" hidden="1" customHeight="1" outlineLevel="1">
      <c r="A6913" s="122">
        <v>42193.0</v>
      </c>
      <c r="B6913" s="32" t="s">
        <v>347</v>
      </c>
      <c r="C6913" s="32" t="s">
        <v>2090</v>
      </c>
      <c r="D6913" s="708">
        <v>3000.0</v>
      </c>
      <c r="E6913" s="195">
        <v>9.231</v>
      </c>
      <c r="F6913" s="709">
        <v>0.4647685185185185</v>
      </c>
      <c r="G6913" s="195" t="s">
        <v>453</v>
      </c>
      <c r="H6913" s="710">
        <v>13.21</v>
      </c>
      <c r="I6913" s="256"/>
      <c r="J6913" s="67">
        <f t="shared" si="418"/>
        <v>27679.79</v>
      </c>
      <c r="L6913" s="70"/>
      <c r="M6913" s="934"/>
      <c r="N6913" s="94"/>
      <c r="O6913" s="94"/>
      <c r="P6913" s="94"/>
      <c r="Q6913" s="94"/>
      <c r="R6913" s="94"/>
      <c r="S6913" s="94"/>
      <c r="T6913" s="94"/>
      <c r="U6913" s="94"/>
      <c r="V6913" s="94"/>
      <c r="W6913" s="94"/>
      <c r="X6913" s="94"/>
      <c r="Y6913" s="94"/>
      <c r="Z6913" s="94"/>
      <c r="AA6913" s="94"/>
      <c r="AB6913" s="94"/>
      <c r="AC6913" s="94"/>
      <c r="AD6913" s="94"/>
      <c r="AE6913" s="94"/>
      <c r="AF6913" s="94"/>
      <c r="AG6913" s="94"/>
      <c r="AH6913" s="94"/>
    </row>
    <row r="6914" ht="12.75" hidden="1" customHeight="1" outlineLevel="1">
      <c r="A6914" s="122">
        <v>42193.0</v>
      </c>
      <c r="B6914" s="32" t="s">
        <v>347</v>
      </c>
      <c r="C6914" s="32" t="s">
        <v>2048</v>
      </c>
      <c r="D6914" s="708">
        <v>2000.0</v>
      </c>
      <c r="E6914" s="195">
        <v>9.551</v>
      </c>
      <c r="F6914" s="709">
        <v>0.4653587962962963</v>
      </c>
      <c r="G6914" s="195" t="s">
        <v>453</v>
      </c>
      <c r="H6914" s="710">
        <v>8.35</v>
      </c>
      <c r="I6914" s="256"/>
      <c r="J6914" s="67">
        <f t="shared" si="418"/>
        <v>19093.65</v>
      </c>
      <c r="L6914" s="70"/>
      <c r="M6914" s="934"/>
      <c r="N6914" s="94"/>
      <c r="O6914" s="94"/>
      <c r="P6914" s="94"/>
      <c r="Q6914" s="94"/>
      <c r="R6914" s="94"/>
      <c r="S6914" s="94"/>
      <c r="T6914" s="94"/>
      <c r="U6914" s="94"/>
      <c r="V6914" s="94"/>
      <c r="W6914" s="94"/>
      <c r="X6914" s="94"/>
      <c r="Y6914" s="94"/>
      <c r="Z6914" s="94"/>
      <c r="AA6914" s="94"/>
      <c r="AB6914" s="94"/>
      <c r="AC6914" s="94"/>
      <c r="AD6914" s="94"/>
      <c r="AE6914" s="94"/>
      <c r="AF6914" s="94"/>
      <c r="AG6914" s="94"/>
      <c r="AH6914" s="94"/>
    </row>
    <row r="6915" ht="12.75" hidden="1" customHeight="1" outlineLevel="1">
      <c r="A6915" s="122">
        <v>42193.0</v>
      </c>
      <c r="B6915" s="32" t="s">
        <v>347</v>
      </c>
      <c r="C6915" s="32" t="s">
        <v>1839</v>
      </c>
      <c r="D6915" s="708">
        <v>750.0</v>
      </c>
      <c r="E6915" s="195">
        <v>11.0</v>
      </c>
      <c r="F6915" s="709">
        <v>0.4699189814814815</v>
      </c>
      <c r="G6915" s="195" t="s">
        <v>453</v>
      </c>
      <c r="H6915" s="710">
        <v>3.55</v>
      </c>
      <c r="I6915" s="256"/>
      <c r="J6915" s="67">
        <f t="shared" si="418"/>
        <v>8246.45</v>
      </c>
      <c r="L6915" s="70"/>
      <c r="M6915" s="934"/>
      <c r="N6915" s="94"/>
      <c r="O6915" s="94"/>
      <c r="P6915" s="94"/>
      <c r="Q6915" s="94"/>
      <c r="R6915" s="94"/>
      <c r="S6915" s="94"/>
      <c r="T6915" s="94"/>
      <c r="U6915" s="94"/>
      <c r="V6915" s="94"/>
      <c r="W6915" s="94"/>
      <c r="X6915" s="94"/>
      <c r="Y6915" s="94"/>
      <c r="Z6915" s="94"/>
      <c r="AA6915" s="94"/>
      <c r="AB6915" s="94"/>
      <c r="AC6915" s="94"/>
      <c r="AD6915" s="94"/>
      <c r="AE6915" s="94"/>
      <c r="AF6915" s="94"/>
      <c r="AG6915" s="94"/>
      <c r="AH6915" s="94"/>
    </row>
    <row r="6916" ht="12.75" hidden="1" customHeight="1" outlineLevel="1">
      <c r="A6916" s="122">
        <v>42193.0</v>
      </c>
      <c r="B6916" s="32" t="s">
        <v>347</v>
      </c>
      <c r="C6916" s="32" t="s">
        <v>1633</v>
      </c>
      <c r="D6916" s="708">
        <v>200.0</v>
      </c>
      <c r="E6916" s="195">
        <v>20.225</v>
      </c>
      <c r="F6916" s="709">
        <v>0.47074074074074074</v>
      </c>
      <c r="G6916" s="195" t="s">
        <v>453</v>
      </c>
      <c r="H6916" s="710">
        <v>2.07</v>
      </c>
      <c r="I6916" s="256"/>
      <c r="J6916" s="67">
        <f t="shared" si="418"/>
        <v>4042.93</v>
      </c>
      <c r="L6916" s="70"/>
      <c r="M6916" s="934"/>
      <c r="N6916" s="94"/>
      <c r="O6916" s="94"/>
      <c r="P6916" s="94"/>
      <c r="Q6916" s="94"/>
      <c r="R6916" s="94"/>
      <c r="S6916" s="94"/>
      <c r="T6916" s="94"/>
      <c r="U6916" s="94"/>
      <c r="V6916" s="94"/>
      <c r="W6916" s="94"/>
      <c r="X6916" s="94"/>
      <c r="Y6916" s="94"/>
      <c r="Z6916" s="94"/>
      <c r="AA6916" s="94"/>
      <c r="AB6916" s="94"/>
      <c r="AC6916" s="94"/>
      <c r="AD6916" s="94"/>
      <c r="AE6916" s="94"/>
      <c r="AF6916" s="94"/>
      <c r="AG6916" s="94"/>
      <c r="AH6916" s="94"/>
    </row>
    <row r="6917" ht="12.75" hidden="1" customHeight="1" outlineLevel="1">
      <c r="A6917" s="122">
        <v>42193.0</v>
      </c>
      <c r="B6917" s="32" t="s">
        <v>347</v>
      </c>
      <c r="C6917" s="32" t="s">
        <v>2195</v>
      </c>
      <c r="D6917" s="708">
        <v>200.0</v>
      </c>
      <c r="E6917" s="195">
        <v>17.407</v>
      </c>
      <c r="F6917" s="709">
        <v>0.4709027777777778</v>
      </c>
      <c r="G6917" s="195" t="s">
        <v>453</v>
      </c>
      <c r="H6917" s="710">
        <v>1.06</v>
      </c>
      <c r="I6917" s="256"/>
      <c r="J6917" s="67">
        <f t="shared" si="418"/>
        <v>3480.34</v>
      </c>
      <c r="L6917" s="70"/>
      <c r="M6917" s="934"/>
      <c r="N6917" s="94"/>
      <c r="O6917" s="94"/>
      <c r="P6917" s="94"/>
      <c r="Q6917" s="94"/>
      <c r="R6917" s="94"/>
      <c r="S6917" s="94"/>
      <c r="T6917" s="94"/>
      <c r="U6917" s="94"/>
      <c r="V6917" s="94"/>
      <c r="W6917" s="94"/>
      <c r="X6917" s="94"/>
      <c r="Y6917" s="94"/>
      <c r="Z6917" s="94"/>
      <c r="AA6917" s="94"/>
      <c r="AB6917" s="94"/>
      <c r="AC6917" s="94"/>
      <c r="AD6917" s="94"/>
      <c r="AE6917" s="94"/>
      <c r="AF6917" s="94"/>
      <c r="AG6917" s="94"/>
      <c r="AH6917" s="94"/>
    </row>
    <row r="6918" ht="12.75" hidden="1" customHeight="1" outlineLevel="1">
      <c r="A6918" s="122">
        <v>42193.0</v>
      </c>
      <c r="B6918" s="32" t="s">
        <v>347</v>
      </c>
      <c r="C6918" s="32" t="s">
        <v>3024</v>
      </c>
      <c r="D6918" s="708">
        <v>1000.0</v>
      </c>
      <c r="E6918" s="195">
        <v>20.611</v>
      </c>
      <c r="F6918" s="709">
        <v>0.4739467592592593</v>
      </c>
      <c r="G6918" s="195" t="s">
        <v>453</v>
      </c>
      <c r="H6918" s="710">
        <v>4.38</v>
      </c>
      <c r="I6918" s="256"/>
      <c r="J6918" s="67">
        <f t="shared" si="418"/>
        <v>20606.62</v>
      </c>
      <c r="L6918" s="70"/>
      <c r="M6918" s="934"/>
      <c r="N6918" s="94"/>
      <c r="O6918" s="94"/>
      <c r="P6918" s="94"/>
      <c r="Q6918" s="94"/>
      <c r="R6918" s="94"/>
      <c r="S6918" s="94"/>
      <c r="T6918" s="94"/>
      <c r="U6918" s="94"/>
      <c r="V6918" s="94"/>
      <c r="W6918" s="94"/>
      <c r="X6918" s="94"/>
      <c r="Y6918" s="94"/>
      <c r="Z6918" s="94"/>
      <c r="AA6918" s="94"/>
      <c r="AB6918" s="94"/>
      <c r="AC6918" s="94"/>
      <c r="AD6918" s="94"/>
      <c r="AE6918" s="94"/>
      <c r="AF6918" s="94"/>
      <c r="AG6918" s="94"/>
      <c r="AH6918" s="94"/>
    </row>
    <row r="6919" ht="12.75" hidden="1" customHeight="1" outlineLevel="1">
      <c r="A6919" s="122">
        <v>42193.0</v>
      </c>
      <c r="B6919" s="32" t="s">
        <v>347</v>
      </c>
      <c r="C6919" s="32" t="s">
        <v>784</v>
      </c>
      <c r="D6919" s="708">
        <v>5000.0</v>
      </c>
      <c r="E6919" s="195">
        <v>5.31</v>
      </c>
      <c r="F6919" s="709">
        <v>0.6434722222222222</v>
      </c>
      <c r="G6919" s="195" t="s">
        <v>453</v>
      </c>
      <c r="H6919" s="710">
        <v>25.29</v>
      </c>
      <c r="I6919" s="256"/>
      <c r="J6919" s="67">
        <f t="shared" si="418"/>
        <v>26524.71</v>
      </c>
      <c r="L6919" s="70"/>
      <c r="M6919" s="934"/>
      <c r="N6919" s="94"/>
      <c r="O6919" s="94"/>
      <c r="P6919" s="94"/>
      <c r="Q6919" s="94"/>
      <c r="R6919" s="94"/>
      <c r="S6919" s="94"/>
      <c r="T6919" s="94"/>
      <c r="U6919" s="94"/>
      <c r="V6919" s="94"/>
      <c r="W6919" s="94"/>
      <c r="X6919" s="94"/>
      <c r="Y6919" s="94"/>
      <c r="Z6919" s="94"/>
      <c r="AA6919" s="94"/>
      <c r="AB6919" s="94"/>
      <c r="AC6919" s="94"/>
      <c r="AD6919" s="94"/>
      <c r="AE6919" s="94"/>
      <c r="AF6919" s="94"/>
      <c r="AG6919" s="94"/>
      <c r="AH6919" s="94"/>
    </row>
    <row r="6920" ht="12.75" hidden="1" customHeight="1" outlineLevel="1">
      <c r="A6920" s="122">
        <v>42193.0</v>
      </c>
      <c r="B6920" s="32" t="s">
        <v>347</v>
      </c>
      <c r="C6920" s="32" t="s">
        <v>2090</v>
      </c>
      <c r="D6920" s="708">
        <v>3000.0</v>
      </c>
      <c r="E6920" s="195">
        <v>8.99</v>
      </c>
      <c r="F6920" s="709">
        <v>0.6437152777777778</v>
      </c>
      <c r="G6920" s="195" t="s">
        <v>453</v>
      </c>
      <c r="H6920" s="710">
        <v>15.5</v>
      </c>
      <c r="I6920" s="256"/>
      <c r="J6920" s="67">
        <f t="shared" si="418"/>
        <v>26954.5</v>
      </c>
      <c r="L6920" s="70"/>
      <c r="M6920" s="934"/>
      <c r="N6920" s="94"/>
      <c r="O6920" s="94"/>
      <c r="P6920" s="94"/>
      <c r="Q6920" s="94"/>
      <c r="R6920" s="94"/>
      <c r="S6920" s="94"/>
      <c r="T6920" s="94"/>
      <c r="U6920" s="94"/>
      <c r="V6920" s="94"/>
      <c r="W6920" s="94"/>
      <c r="X6920" s="94"/>
      <c r="Y6920" s="94"/>
      <c r="Z6920" s="94"/>
      <c r="AA6920" s="94"/>
      <c r="AB6920" s="94"/>
      <c r="AC6920" s="94"/>
      <c r="AD6920" s="94"/>
      <c r="AE6920" s="94"/>
      <c r="AF6920" s="94"/>
      <c r="AG6920" s="94"/>
      <c r="AH6920" s="94"/>
    </row>
    <row r="6921" ht="12.75" hidden="1" customHeight="1" outlineLevel="1">
      <c r="A6921" s="122">
        <v>42192.0</v>
      </c>
      <c r="B6921" s="1"/>
      <c r="C6921" s="1" t="s">
        <v>339</v>
      </c>
      <c r="D6921" s="74"/>
      <c r="E6921" s="67"/>
      <c r="F6921" s="75"/>
      <c r="G6921" s="67"/>
      <c r="H6921" s="68"/>
      <c r="I6921" s="76"/>
      <c r="K6921" s="968" t="s">
        <v>3048</v>
      </c>
      <c r="L6921" s="934"/>
      <c r="M6921" s="934"/>
    </row>
    <row r="6922" ht="12.75" hidden="1" customHeight="1" outlineLevel="1">
      <c r="A6922" s="122">
        <v>42192.0</v>
      </c>
      <c r="B6922" s="1"/>
      <c r="C6922" s="1" t="s">
        <v>429</v>
      </c>
      <c r="D6922" s="74"/>
      <c r="E6922" s="67"/>
      <c r="F6922" s="75"/>
      <c r="G6922" s="67"/>
      <c r="H6922" s="68"/>
      <c r="I6922" s="76"/>
      <c r="J6922" s="67"/>
      <c r="K6922" s="9" t="s">
        <v>3049</v>
      </c>
      <c r="L6922" s="934"/>
      <c r="M6922" s="934"/>
    </row>
    <row r="6923" ht="12.75" hidden="1" customHeight="1" outlineLevel="1">
      <c r="A6923" s="122">
        <v>42192.0</v>
      </c>
      <c r="B6923" s="1"/>
      <c r="C6923" s="1" t="s">
        <v>431</v>
      </c>
      <c r="D6923" s="74"/>
      <c r="E6923" s="67"/>
      <c r="F6923" s="75"/>
      <c r="G6923" s="67"/>
      <c r="H6923" s="68"/>
      <c r="I6923" s="76"/>
      <c r="J6923" s="67"/>
      <c r="K6923" s="7" t="s">
        <v>1126</v>
      </c>
      <c r="L6923" s="934"/>
      <c r="M6923" s="934"/>
    </row>
    <row r="6924" ht="12.75" hidden="1" customHeight="1" outlineLevel="1">
      <c r="A6924" s="122">
        <v>42192.0</v>
      </c>
      <c r="B6924" s="1"/>
      <c r="C6924" s="1" t="s">
        <v>433</v>
      </c>
      <c r="D6924" s="74"/>
      <c r="E6924" s="67"/>
      <c r="F6924" s="75"/>
      <c r="G6924" s="67"/>
      <c r="H6924" s="68"/>
      <c r="I6924" s="76"/>
      <c r="J6924" s="67"/>
      <c r="K6924" s="7" t="s">
        <v>1103</v>
      </c>
      <c r="L6924" s="934"/>
      <c r="M6924" s="934"/>
    </row>
    <row r="6925" ht="12.75" hidden="1" customHeight="1" outlineLevel="1">
      <c r="A6925" s="122">
        <v>42192.0</v>
      </c>
      <c r="B6925" s="1"/>
      <c r="C6925" s="1" t="s">
        <v>435</v>
      </c>
      <c r="D6925" s="74"/>
      <c r="E6925" s="67"/>
      <c r="F6925" s="75"/>
      <c r="G6925" s="67"/>
      <c r="H6925" s="68"/>
      <c r="I6925" s="76"/>
      <c r="J6925" s="67"/>
      <c r="K6925" s="9" t="s">
        <v>2802</v>
      </c>
      <c r="L6925" s="934"/>
      <c r="M6925" s="934"/>
    </row>
    <row r="6926" ht="12.75" hidden="1" customHeight="1" outlineLevel="1">
      <c r="A6926" s="122">
        <v>42195.0</v>
      </c>
      <c r="B6926" s="32" t="s">
        <v>343</v>
      </c>
      <c r="C6926" s="32" t="s">
        <v>1357</v>
      </c>
      <c r="D6926" s="708">
        <v>325.0</v>
      </c>
      <c r="E6926" s="195">
        <v>44.499</v>
      </c>
      <c r="F6926" s="709">
        <v>0.4917361111111111</v>
      </c>
      <c r="G6926" s="195" t="s">
        <v>453</v>
      </c>
      <c r="H6926" s="710">
        <v>1.32</v>
      </c>
      <c r="I6926" s="256"/>
      <c r="J6926" s="67">
        <f t="shared" ref="J6926:J6928" si="419">IF(B6926="SLD",D6926*E6926,-D6926*E6926)-H6926</f>
        <v>-14463.495</v>
      </c>
      <c r="L6926" s="70"/>
      <c r="M6926" s="934"/>
      <c r="N6926" s="94"/>
      <c r="O6926" s="94"/>
      <c r="P6926" s="94"/>
      <c r="Q6926" s="94"/>
      <c r="R6926" s="94"/>
      <c r="S6926" s="94"/>
      <c r="T6926" s="94"/>
      <c r="U6926" s="94"/>
      <c r="V6926" s="94"/>
      <c r="W6926" s="94"/>
      <c r="X6926" s="94"/>
      <c r="Y6926" s="94"/>
      <c r="Z6926" s="94"/>
      <c r="AA6926" s="94"/>
      <c r="AB6926" s="94"/>
      <c r="AC6926" s="94"/>
      <c r="AD6926" s="94"/>
      <c r="AE6926" s="94"/>
      <c r="AF6926" s="94"/>
      <c r="AG6926" s="94"/>
      <c r="AH6926" s="94"/>
    </row>
    <row r="6927" ht="12.75" hidden="1" customHeight="1" outlineLevel="1">
      <c r="A6927" s="122">
        <v>42195.0</v>
      </c>
      <c r="B6927" s="32" t="s">
        <v>343</v>
      </c>
      <c r="C6927" s="32" t="s">
        <v>2177</v>
      </c>
      <c r="D6927" s="708">
        <v>25.0</v>
      </c>
      <c r="E6927" s="195">
        <v>229.66</v>
      </c>
      <c r="F6927" s="709">
        <v>0.507800925925926</v>
      </c>
      <c r="G6927" s="195" t="s">
        <v>453</v>
      </c>
      <c r="H6927" s="710">
        <v>1.0</v>
      </c>
      <c r="I6927" s="256"/>
      <c r="J6927" s="67">
        <f t="shared" si="419"/>
        <v>-5742.5</v>
      </c>
      <c r="L6927" s="70"/>
      <c r="M6927" s="934"/>
      <c r="N6927" s="94"/>
      <c r="O6927" s="94"/>
      <c r="P6927" s="94"/>
      <c r="Q6927" s="94"/>
      <c r="R6927" s="94"/>
      <c r="S6927" s="94"/>
      <c r="T6927" s="94"/>
      <c r="U6927" s="94"/>
      <c r="V6927" s="94"/>
      <c r="W6927" s="94"/>
      <c r="X6927" s="94"/>
      <c r="Y6927" s="94"/>
      <c r="Z6927" s="94"/>
      <c r="AA6927" s="94"/>
      <c r="AB6927" s="94"/>
      <c r="AC6927" s="94"/>
      <c r="AD6927" s="94"/>
      <c r="AE6927" s="94"/>
      <c r="AF6927" s="94"/>
      <c r="AG6927" s="94"/>
      <c r="AH6927" s="94"/>
    </row>
    <row r="6928" ht="12.75" hidden="1" customHeight="1" outlineLevel="1">
      <c r="A6928" s="122">
        <v>42195.0</v>
      </c>
      <c r="B6928" s="32" t="s">
        <v>347</v>
      </c>
      <c r="C6928" s="32" t="s">
        <v>2434</v>
      </c>
      <c r="D6928" s="708">
        <v>30.0</v>
      </c>
      <c r="E6928" s="195">
        <v>191.27</v>
      </c>
      <c r="F6928" s="709">
        <v>0.6567013888888888</v>
      </c>
      <c r="G6928" s="195" t="s">
        <v>453</v>
      </c>
      <c r="H6928" s="710">
        <v>1.11</v>
      </c>
      <c r="I6928" s="256"/>
      <c r="J6928" s="67">
        <f t="shared" si="419"/>
        <v>5736.99</v>
      </c>
      <c r="L6928" s="70"/>
      <c r="M6928" s="934"/>
      <c r="N6928" s="94"/>
      <c r="O6928" s="94"/>
      <c r="P6928" s="94"/>
      <c r="Q6928" s="94"/>
      <c r="R6928" s="94"/>
      <c r="S6928" s="94"/>
      <c r="T6928" s="94"/>
      <c r="U6928" s="94"/>
      <c r="V6928" s="94"/>
      <c r="W6928" s="94"/>
      <c r="X6928" s="94"/>
      <c r="Y6928" s="94"/>
      <c r="Z6928" s="94"/>
      <c r="AA6928" s="94"/>
      <c r="AB6928" s="94"/>
      <c r="AC6928" s="94"/>
      <c r="AD6928" s="94"/>
      <c r="AE6928" s="94"/>
      <c r="AF6928" s="94"/>
      <c r="AG6928" s="94"/>
      <c r="AH6928" s="94"/>
    </row>
    <row r="6929" ht="12.75" hidden="1" customHeight="1" outlineLevel="1">
      <c r="A6929" s="122">
        <v>42195.0</v>
      </c>
      <c r="B6929" s="1"/>
      <c r="C6929" s="1" t="s">
        <v>339</v>
      </c>
      <c r="D6929" s="74"/>
      <c r="E6929" s="67"/>
      <c r="F6929" s="75"/>
      <c r="G6929" s="67"/>
      <c r="H6929" s="68"/>
      <c r="I6929" s="76"/>
      <c r="K6929" s="968" t="s">
        <v>3051</v>
      </c>
      <c r="L6929" s="934"/>
      <c r="M6929" s="934"/>
    </row>
    <row r="6930" ht="12.75" hidden="1" customHeight="1" outlineLevel="1">
      <c r="A6930" s="122">
        <v>42195.0</v>
      </c>
      <c r="B6930" s="1"/>
      <c r="C6930" s="1" t="s">
        <v>429</v>
      </c>
      <c r="D6930" s="74"/>
      <c r="E6930" s="67"/>
      <c r="F6930" s="75"/>
      <c r="G6930" s="67"/>
      <c r="H6930" s="68"/>
      <c r="I6930" s="76"/>
      <c r="J6930" s="67"/>
      <c r="K6930" s="9" t="s">
        <v>3049</v>
      </c>
      <c r="L6930" s="934"/>
      <c r="M6930" s="934"/>
    </row>
    <row r="6931" ht="12.75" hidden="1" customHeight="1" outlineLevel="1">
      <c r="A6931" s="122">
        <v>42195.0</v>
      </c>
      <c r="B6931" s="1"/>
      <c r="C6931" s="1" t="s">
        <v>431</v>
      </c>
      <c r="D6931" s="74"/>
      <c r="E6931" s="67"/>
      <c r="F6931" s="75"/>
      <c r="G6931" s="67"/>
      <c r="H6931" s="68"/>
      <c r="I6931" s="76"/>
      <c r="J6931" s="67"/>
      <c r="K6931" s="7" t="s">
        <v>1126</v>
      </c>
      <c r="L6931" s="934"/>
      <c r="M6931" s="934"/>
    </row>
    <row r="6932" ht="12.75" hidden="1" customHeight="1" outlineLevel="1">
      <c r="A6932" s="122">
        <v>42195.0</v>
      </c>
      <c r="B6932" s="1"/>
      <c r="C6932" s="1" t="s">
        <v>433</v>
      </c>
      <c r="D6932" s="74"/>
      <c r="E6932" s="67"/>
      <c r="F6932" s="75"/>
      <c r="G6932" s="67"/>
      <c r="H6932" s="68"/>
      <c r="I6932" s="76"/>
      <c r="J6932" s="67"/>
      <c r="K6932" s="7" t="s">
        <v>1103</v>
      </c>
      <c r="L6932" s="934"/>
      <c r="M6932" s="934"/>
    </row>
    <row r="6933" ht="12.75" hidden="1" customHeight="1" outlineLevel="1">
      <c r="A6933" s="122">
        <v>42195.0</v>
      </c>
      <c r="B6933" s="1"/>
      <c r="C6933" s="1" t="s">
        <v>435</v>
      </c>
      <c r="D6933" s="74"/>
      <c r="E6933" s="67"/>
      <c r="F6933" s="75"/>
      <c r="G6933" s="67"/>
      <c r="H6933" s="68"/>
      <c r="I6933" s="76"/>
      <c r="J6933" s="67"/>
      <c r="K6933" s="9" t="s">
        <v>2802</v>
      </c>
      <c r="L6933" s="934"/>
      <c r="M6933" s="934"/>
    </row>
    <row r="6934" ht="12.75" hidden="1" customHeight="1" outlineLevel="1">
      <c r="A6934" s="122">
        <v>42198.0</v>
      </c>
      <c r="B6934" s="32" t="s">
        <v>343</v>
      </c>
      <c r="C6934" s="32" t="s">
        <v>1061</v>
      </c>
      <c r="D6934" s="708">
        <v>200.0</v>
      </c>
      <c r="E6934" s="195">
        <v>46.87</v>
      </c>
      <c r="F6934" s="709">
        <v>0.3978125</v>
      </c>
      <c r="G6934" s="195" t="s">
        <v>453</v>
      </c>
      <c r="H6934" s="710">
        <v>1.0</v>
      </c>
      <c r="I6934" s="256"/>
      <c r="J6934" s="67">
        <f t="shared" ref="J6934:J6962" si="420">IF(B6934="SLD",D6934*E6934,-D6934*E6934)-H6934</f>
        <v>-9375</v>
      </c>
      <c r="L6934" s="70"/>
      <c r="M6934" s="934"/>
      <c r="N6934" s="94"/>
      <c r="O6934" s="94"/>
      <c r="P6934" s="94"/>
      <c r="Q6934" s="94"/>
      <c r="R6934" s="94"/>
      <c r="S6934" s="94"/>
      <c r="T6934" s="94"/>
      <c r="U6934" s="94"/>
      <c r="V6934" s="94"/>
      <c r="W6934" s="94"/>
      <c r="X6934" s="94"/>
      <c r="Y6934" s="94"/>
      <c r="Z6934" s="94"/>
      <c r="AA6934" s="94"/>
      <c r="AB6934" s="94"/>
      <c r="AC6934" s="94"/>
      <c r="AD6934" s="94"/>
      <c r="AE6934" s="94"/>
      <c r="AF6934" s="94"/>
      <c r="AG6934" s="94"/>
      <c r="AH6934" s="94"/>
    </row>
    <row r="6935" ht="12.75" hidden="1" customHeight="1" outlineLevel="1">
      <c r="A6935" s="122">
        <v>42198.0</v>
      </c>
      <c r="B6935" s="32" t="s">
        <v>343</v>
      </c>
      <c r="C6935" s="32" t="s">
        <v>346</v>
      </c>
      <c r="D6935" s="708">
        <v>50.0</v>
      </c>
      <c r="E6935" s="195">
        <v>124.9</v>
      </c>
      <c r="F6935" s="709">
        <v>0.3982291666666667</v>
      </c>
      <c r="G6935" s="195" t="s">
        <v>453</v>
      </c>
      <c r="H6935" s="710">
        <v>1.0</v>
      </c>
      <c r="I6935" s="256"/>
      <c r="J6935" s="67">
        <f t="shared" si="420"/>
        <v>-6246</v>
      </c>
      <c r="L6935" s="70"/>
      <c r="M6935" s="934"/>
      <c r="N6935" s="94"/>
      <c r="O6935" s="94"/>
      <c r="P6935" s="94"/>
      <c r="Q6935" s="94"/>
      <c r="R6935" s="94"/>
      <c r="S6935" s="94"/>
      <c r="T6935" s="94"/>
      <c r="U6935" s="94"/>
      <c r="V6935" s="94"/>
      <c r="W6935" s="94"/>
      <c r="X6935" s="94"/>
      <c r="Y6935" s="94"/>
      <c r="Z6935" s="94"/>
      <c r="AA6935" s="94"/>
      <c r="AB6935" s="94"/>
      <c r="AC6935" s="94"/>
      <c r="AD6935" s="94"/>
      <c r="AE6935" s="94"/>
      <c r="AF6935" s="94"/>
      <c r="AG6935" s="94"/>
      <c r="AH6935" s="94"/>
    </row>
    <row r="6936" ht="12.75" hidden="1" customHeight="1" outlineLevel="1">
      <c r="A6936" s="122">
        <v>42198.0</v>
      </c>
      <c r="B6936" s="32" t="s">
        <v>343</v>
      </c>
      <c r="C6936" s="32" t="s">
        <v>417</v>
      </c>
      <c r="D6936" s="708">
        <v>6.0</v>
      </c>
      <c r="E6936" s="195">
        <v>1153.99</v>
      </c>
      <c r="F6936" s="709">
        <v>0.39846064814814813</v>
      </c>
      <c r="G6936" s="195" t="s">
        <v>453</v>
      </c>
      <c r="H6936" s="710">
        <v>1.0</v>
      </c>
      <c r="I6936" s="256"/>
      <c r="J6936" s="67">
        <f t="shared" si="420"/>
        <v>-6924.94</v>
      </c>
      <c r="L6936" s="70"/>
      <c r="M6936" s="934"/>
      <c r="N6936" s="94"/>
      <c r="O6936" s="94"/>
      <c r="P6936" s="94"/>
      <c r="Q6936" s="94"/>
      <c r="R6936" s="94"/>
      <c r="S6936" s="94"/>
      <c r="T6936" s="94"/>
      <c r="U6936" s="94"/>
      <c r="V6936" s="94"/>
      <c r="W6936" s="94"/>
      <c r="X6936" s="94"/>
      <c r="Y6936" s="94"/>
      <c r="Z6936" s="94"/>
      <c r="AA6936" s="94"/>
      <c r="AB6936" s="94"/>
      <c r="AC6936" s="94"/>
      <c r="AD6936" s="94"/>
      <c r="AE6936" s="94"/>
      <c r="AF6936" s="94"/>
      <c r="AG6936" s="94"/>
      <c r="AH6936" s="94"/>
    </row>
    <row r="6937" ht="12.75" hidden="1" customHeight="1" outlineLevel="1">
      <c r="A6937" s="122">
        <v>42198.0</v>
      </c>
      <c r="B6937" s="32" t="s">
        <v>343</v>
      </c>
      <c r="C6937" s="32" t="s">
        <v>2195</v>
      </c>
      <c r="D6937" s="708">
        <v>400.0</v>
      </c>
      <c r="E6937" s="195">
        <v>17.7</v>
      </c>
      <c r="F6937" s="709">
        <v>0.5878125</v>
      </c>
      <c r="G6937" s="195" t="s">
        <v>453</v>
      </c>
      <c r="H6937" s="710">
        <v>2.0</v>
      </c>
      <c r="I6937" s="256"/>
      <c r="J6937" s="67">
        <f t="shared" si="420"/>
        <v>-7082</v>
      </c>
      <c r="L6937" s="70"/>
      <c r="M6937" s="934"/>
      <c r="N6937" s="94"/>
      <c r="O6937" s="94"/>
      <c r="P6937" s="94"/>
      <c r="Q6937" s="94"/>
      <c r="R6937" s="94"/>
      <c r="S6937" s="94"/>
      <c r="T6937" s="94"/>
      <c r="U6937" s="94"/>
      <c r="V6937" s="94"/>
      <c r="W6937" s="94"/>
      <c r="X6937" s="94"/>
      <c r="Y6937" s="94"/>
      <c r="Z6937" s="94"/>
      <c r="AA6937" s="94"/>
      <c r="AB6937" s="94"/>
      <c r="AC6937" s="94"/>
      <c r="AD6937" s="94"/>
      <c r="AE6937" s="94"/>
      <c r="AF6937" s="94"/>
      <c r="AG6937" s="94"/>
      <c r="AH6937" s="94"/>
    </row>
    <row r="6938" ht="12.75" hidden="1" customHeight="1" outlineLevel="1">
      <c r="A6938" s="122">
        <v>42198.0</v>
      </c>
      <c r="B6938" s="32" t="s">
        <v>343</v>
      </c>
      <c r="C6938" s="32" t="s">
        <v>784</v>
      </c>
      <c r="D6938" s="708">
        <v>5000.0</v>
      </c>
      <c r="E6938" s="195">
        <v>5.809</v>
      </c>
      <c r="F6938" s="709">
        <v>0.5880324074074074</v>
      </c>
      <c r="G6938" s="195" t="s">
        <v>453</v>
      </c>
      <c r="H6938" s="710">
        <v>25.0</v>
      </c>
      <c r="I6938" s="256"/>
      <c r="J6938" s="67">
        <f t="shared" si="420"/>
        <v>-29070</v>
      </c>
      <c r="L6938" s="70"/>
      <c r="M6938" s="934"/>
      <c r="N6938" s="94"/>
      <c r="O6938" s="94"/>
      <c r="P6938" s="94"/>
      <c r="Q6938" s="94"/>
      <c r="R6938" s="94"/>
      <c r="S6938" s="94"/>
      <c r="T6938" s="94"/>
      <c r="U6938" s="94"/>
      <c r="V6938" s="94"/>
      <c r="W6938" s="94"/>
      <c r="X6938" s="94"/>
      <c r="Y6938" s="94"/>
      <c r="Z6938" s="94"/>
      <c r="AA6938" s="94"/>
      <c r="AB6938" s="94"/>
      <c r="AC6938" s="94"/>
      <c r="AD6938" s="94"/>
      <c r="AE6938" s="94"/>
      <c r="AF6938" s="94"/>
      <c r="AG6938" s="94"/>
      <c r="AH6938" s="94"/>
    </row>
    <row r="6939" ht="12.75" hidden="1" customHeight="1" outlineLevel="1">
      <c r="A6939" s="122">
        <v>42198.0</v>
      </c>
      <c r="B6939" s="32" t="s">
        <v>343</v>
      </c>
      <c r="C6939" s="32" t="s">
        <v>3024</v>
      </c>
      <c r="D6939" s="708">
        <v>1000.0</v>
      </c>
      <c r="E6939" s="195">
        <v>22.259</v>
      </c>
      <c r="F6939" s="709">
        <v>0.5885532407407408</v>
      </c>
      <c r="G6939" s="195" t="s">
        <v>453</v>
      </c>
      <c r="H6939" s="710">
        <v>4.0</v>
      </c>
      <c r="I6939" s="256"/>
      <c r="J6939" s="67">
        <f t="shared" si="420"/>
        <v>-22263</v>
      </c>
      <c r="L6939" s="70"/>
      <c r="M6939" s="934"/>
      <c r="N6939" s="94"/>
      <c r="O6939" s="94"/>
      <c r="P6939" s="94"/>
      <c r="Q6939" s="94"/>
      <c r="R6939" s="94"/>
      <c r="S6939" s="94"/>
      <c r="T6939" s="94"/>
      <c r="U6939" s="94"/>
      <c r="V6939" s="94"/>
      <c r="W6939" s="94"/>
      <c r="X6939" s="94"/>
      <c r="Y6939" s="94"/>
      <c r="Z6939" s="94"/>
      <c r="AA6939" s="94"/>
      <c r="AB6939" s="94"/>
      <c r="AC6939" s="94"/>
      <c r="AD6939" s="94"/>
      <c r="AE6939" s="94"/>
      <c r="AF6939" s="94"/>
      <c r="AG6939" s="94"/>
      <c r="AH6939" s="94"/>
    </row>
    <row r="6940" ht="12.75" hidden="1" customHeight="1" outlineLevel="1">
      <c r="A6940" s="122">
        <v>42198.0</v>
      </c>
      <c r="B6940" s="32" t="s">
        <v>343</v>
      </c>
      <c r="C6940" s="32" t="s">
        <v>2048</v>
      </c>
      <c r="D6940" s="708">
        <v>4000.0</v>
      </c>
      <c r="E6940" s="195">
        <v>9.839</v>
      </c>
      <c r="F6940" s="709">
        <v>0.5889583333333334</v>
      </c>
      <c r="G6940" s="195" t="s">
        <v>453</v>
      </c>
      <c r="H6940" s="710">
        <v>16.0</v>
      </c>
      <c r="I6940" s="256"/>
      <c r="J6940" s="67">
        <f t="shared" si="420"/>
        <v>-39372</v>
      </c>
      <c r="L6940" s="70"/>
      <c r="M6940" s="934"/>
      <c r="N6940" s="94"/>
      <c r="O6940" s="94"/>
      <c r="P6940" s="94"/>
      <c r="Q6940" s="94"/>
      <c r="R6940" s="94"/>
      <c r="S6940" s="94"/>
      <c r="T6940" s="94"/>
      <c r="U6940" s="94"/>
      <c r="V6940" s="94"/>
      <c r="W6940" s="94"/>
      <c r="X6940" s="94"/>
      <c r="Y6940" s="94"/>
      <c r="Z6940" s="94"/>
      <c r="AA6940" s="94"/>
      <c r="AB6940" s="94"/>
      <c r="AC6940" s="94"/>
      <c r="AD6940" s="94"/>
      <c r="AE6940" s="94"/>
      <c r="AF6940" s="94"/>
      <c r="AG6940" s="94"/>
      <c r="AH6940" s="94"/>
    </row>
    <row r="6941" ht="12.75" hidden="1" customHeight="1" outlineLevel="1">
      <c r="A6941" s="122">
        <v>42198.0</v>
      </c>
      <c r="B6941" s="32" t="s">
        <v>343</v>
      </c>
      <c r="C6941" s="32" t="s">
        <v>1947</v>
      </c>
      <c r="D6941" s="708">
        <v>50.0</v>
      </c>
      <c r="E6941" s="195">
        <v>67.23</v>
      </c>
      <c r="F6941" s="709">
        <v>0.5892708333333333</v>
      </c>
      <c r="G6941" s="195" t="s">
        <v>453</v>
      </c>
      <c r="H6941" s="710">
        <v>1.0</v>
      </c>
      <c r="I6941" s="256"/>
      <c r="J6941" s="67">
        <f t="shared" si="420"/>
        <v>-3362.5</v>
      </c>
      <c r="L6941" s="70"/>
      <c r="M6941" s="934"/>
      <c r="N6941" s="94"/>
      <c r="O6941" s="94"/>
      <c r="P6941" s="94"/>
      <c r="Q6941" s="94"/>
      <c r="R6941" s="94"/>
      <c r="S6941" s="94"/>
      <c r="T6941" s="94"/>
      <c r="U6941" s="94"/>
      <c r="V6941" s="94"/>
      <c r="W6941" s="94"/>
      <c r="X6941" s="94"/>
      <c r="Y6941" s="94"/>
      <c r="Z6941" s="94"/>
      <c r="AA6941" s="94"/>
      <c r="AB6941" s="94"/>
      <c r="AC6941" s="94"/>
      <c r="AD6941" s="94"/>
      <c r="AE6941" s="94"/>
      <c r="AF6941" s="94"/>
      <c r="AG6941" s="94"/>
      <c r="AH6941" s="94"/>
    </row>
    <row r="6942" ht="12.75" hidden="1" customHeight="1" outlineLevel="1">
      <c r="A6942" s="122">
        <v>42198.0</v>
      </c>
      <c r="B6942" s="32" t="s">
        <v>343</v>
      </c>
      <c r="C6942" s="32" t="s">
        <v>784</v>
      </c>
      <c r="D6942" s="708">
        <v>5000.0</v>
      </c>
      <c r="E6942" s="195">
        <v>5.8</v>
      </c>
      <c r="F6942" s="709">
        <v>0.5894907407407407</v>
      </c>
      <c r="G6942" s="195" t="s">
        <v>453</v>
      </c>
      <c r="H6942" s="710">
        <v>21.9</v>
      </c>
      <c r="I6942" s="256"/>
      <c r="J6942" s="67">
        <f t="shared" si="420"/>
        <v>-29021.9</v>
      </c>
      <c r="L6942" s="70"/>
      <c r="M6942" s="934"/>
      <c r="N6942" s="94"/>
      <c r="O6942" s="94"/>
      <c r="P6942" s="94"/>
      <c r="Q6942" s="94"/>
      <c r="R6942" s="94"/>
      <c r="S6942" s="94"/>
      <c r="T6942" s="94"/>
      <c r="U6942" s="94"/>
      <c r="V6942" s="94"/>
      <c r="W6942" s="94"/>
      <c r="X6942" s="94"/>
      <c r="Y6942" s="94"/>
      <c r="Z6942" s="94"/>
      <c r="AA6942" s="94"/>
      <c r="AB6942" s="94"/>
      <c r="AC6942" s="94"/>
      <c r="AD6942" s="94"/>
      <c r="AE6942" s="94"/>
      <c r="AF6942" s="94"/>
      <c r="AG6942" s="94"/>
      <c r="AH6942" s="94"/>
    </row>
    <row r="6943" ht="12.75" hidden="1" customHeight="1" outlineLevel="1">
      <c r="A6943" s="122">
        <v>42198.0</v>
      </c>
      <c r="B6943" s="32" t="s">
        <v>343</v>
      </c>
      <c r="C6943" s="32" t="s">
        <v>3024</v>
      </c>
      <c r="D6943" s="708">
        <v>1000.0</v>
      </c>
      <c r="E6943" s="195">
        <v>22.259</v>
      </c>
      <c r="F6943" s="709">
        <v>0.5896296296296296</v>
      </c>
      <c r="G6943" s="195" t="s">
        <v>453</v>
      </c>
      <c r="H6943" s="710">
        <v>4.0</v>
      </c>
      <c r="I6943" s="256"/>
      <c r="J6943" s="67">
        <f t="shared" si="420"/>
        <v>-22263</v>
      </c>
      <c r="L6943" s="70"/>
      <c r="M6943" s="934"/>
      <c r="N6943" s="94"/>
      <c r="O6943" s="94"/>
      <c r="P6943" s="94"/>
      <c r="Q6943" s="94"/>
      <c r="R6943" s="94"/>
      <c r="S6943" s="94"/>
      <c r="T6943" s="94"/>
      <c r="U6943" s="94"/>
      <c r="V6943" s="94"/>
      <c r="W6943" s="94"/>
      <c r="X6943" s="94"/>
      <c r="Y6943" s="94"/>
      <c r="Z6943" s="94"/>
      <c r="AA6943" s="94"/>
      <c r="AB6943" s="94"/>
      <c r="AC6943" s="94"/>
      <c r="AD6943" s="94"/>
      <c r="AE6943" s="94"/>
      <c r="AF6943" s="94"/>
      <c r="AG6943" s="94"/>
      <c r="AH6943" s="94"/>
    </row>
    <row r="6944" ht="12.75" hidden="1" customHeight="1" outlineLevel="1">
      <c r="A6944" s="122">
        <v>42198.0</v>
      </c>
      <c r="B6944" s="32" t="s">
        <v>343</v>
      </c>
      <c r="C6944" s="32" t="s">
        <v>2090</v>
      </c>
      <c r="D6944" s="708">
        <v>2000.0</v>
      </c>
      <c r="E6944" s="195">
        <v>9.44</v>
      </c>
      <c r="F6944" s="709">
        <v>0.5901157407407407</v>
      </c>
      <c r="G6944" s="195" t="s">
        <v>453</v>
      </c>
      <c r="H6944" s="710">
        <v>8.0</v>
      </c>
      <c r="I6944" s="256"/>
      <c r="J6944" s="67">
        <f t="shared" si="420"/>
        <v>-18888</v>
      </c>
      <c r="L6944" s="70"/>
      <c r="M6944" s="934"/>
      <c r="N6944" s="94"/>
      <c r="O6944" s="94"/>
      <c r="P6944" s="94"/>
      <c r="Q6944" s="94"/>
      <c r="R6944" s="94"/>
      <c r="S6944" s="94"/>
      <c r="T6944" s="94"/>
      <c r="U6944" s="94"/>
      <c r="V6944" s="94"/>
      <c r="W6944" s="94"/>
      <c r="X6944" s="94"/>
      <c r="Y6944" s="94"/>
      <c r="Z6944" s="94"/>
      <c r="AA6944" s="94"/>
      <c r="AB6944" s="94"/>
      <c r="AC6944" s="94"/>
      <c r="AD6944" s="94"/>
      <c r="AE6944" s="94"/>
      <c r="AF6944" s="94"/>
      <c r="AG6944" s="94"/>
      <c r="AH6944" s="94"/>
    </row>
    <row r="6945" ht="12.75" hidden="1" customHeight="1" outlineLevel="1">
      <c r="A6945" s="122">
        <v>42198.0</v>
      </c>
      <c r="B6945" s="32" t="s">
        <v>343</v>
      </c>
      <c r="C6945" s="32" t="s">
        <v>1633</v>
      </c>
      <c r="D6945" s="708">
        <v>400.0</v>
      </c>
      <c r="E6945" s="195">
        <v>19.92</v>
      </c>
      <c r="F6945" s="709">
        <v>0.5906018518518519</v>
      </c>
      <c r="G6945" s="195" t="s">
        <v>453</v>
      </c>
      <c r="H6945" s="710">
        <v>1.7</v>
      </c>
      <c r="I6945" s="256"/>
      <c r="J6945" s="67">
        <f t="shared" si="420"/>
        <v>-7969.7</v>
      </c>
      <c r="L6945" s="70"/>
      <c r="M6945" s="934"/>
      <c r="N6945" s="94"/>
      <c r="O6945" s="94"/>
      <c r="P6945" s="94"/>
      <c r="Q6945" s="94"/>
      <c r="R6945" s="94"/>
      <c r="S6945" s="94"/>
      <c r="T6945" s="94"/>
      <c r="U6945" s="94"/>
      <c r="V6945" s="94"/>
      <c r="W6945" s="94"/>
      <c r="X6945" s="94"/>
      <c r="Y6945" s="94"/>
      <c r="Z6945" s="94"/>
      <c r="AA6945" s="94"/>
      <c r="AB6945" s="94"/>
      <c r="AC6945" s="94"/>
      <c r="AD6945" s="94"/>
      <c r="AE6945" s="94"/>
      <c r="AF6945" s="94"/>
      <c r="AG6945" s="94"/>
      <c r="AH6945" s="94"/>
    </row>
    <row r="6946" ht="12.75" hidden="1" customHeight="1" outlineLevel="1">
      <c r="A6946" s="122">
        <v>42198.0</v>
      </c>
      <c r="B6946" s="32" t="s">
        <v>343</v>
      </c>
      <c r="C6946" s="32" t="s">
        <v>2090</v>
      </c>
      <c r="D6946" s="708">
        <v>2000.0</v>
      </c>
      <c r="E6946" s="195">
        <v>9.44</v>
      </c>
      <c r="F6946" s="709">
        <v>0.5909143518518518</v>
      </c>
      <c r="G6946" s="195" t="s">
        <v>453</v>
      </c>
      <c r="H6946" s="710">
        <v>8.0</v>
      </c>
      <c r="I6946" s="256"/>
      <c r="J6946" s="67">
        <f t="shared" si="420"/>
        <v>-18888</v>
      </c>
      <c r="L6946" s="70"/>
      <c r="M6946" s="934"/>
      <c r="N6946" s="94"/>
      <c r="O6946" s="94"/>
      <c r="P6946" s="94"/>
      <c r="Q6946" s="94"/>
      <c r="R6946" s="94"/>
      <c r="S6946" s="94"/>
      <c r="T6946" s="94"/>
      <c r="U6946" s="94"/>
      <c r="V6946" s="94"/>
      <c r="W6946" s="94"/>
      <c r="X6946" s="94"/>
      <c r="Y6946" s="94"/>
      <c r="Z6946" s="94"/>
      <c r="AA6946" s="94"/>
      <c r="AB6946" s="94"/>
      <c r="AC6946" s="94"/>
      <c r="AD6946" s="94"/>
      <c r="AE6946" s="94"/>
      <c r="AF6946" s="94"/>
      <c r="AG6946" s="94"/>
      <c r="AH6946" s="94"/>
    </row>
    <row r="6947" ht="12.75" hidden="1" customHeight="1" outlineLevel="1">
      <c r="A6947" s="122">
        <v>42198.0</v>
      </c>
      <c r="B6947" s="32" t="s">
        <v>343</v>
      </c>
      <c r="C6947" s="32" t="s">
        <v>790</v>
      </c>
      <c r="D6947" s="708">
        <v>3000.0</v>
      </c>
      <c r="E6947" s="195">
        <v>8.479</v>
      </c>
      <c r="F6947" s="709">
        <v>0.5913425925925926</v>
      </c>
      <c r="G6947" s="195" t="s">
        <v>453</v>
      </c>
      <c r="H6947" s="710">
        <v>12.0</v>
      </c>
      <c r="I6947" s="256"/>
      <c r="J6947" s="67">
        <f t="shared" si="420"/>
        <v>-25449</v>
      </c>
      <c r="L6947" s="70"/>
      <c r="M6947" s="934"/>
      <c r="N6947" s="94"/>
      <c r="O6947" s="94"/>
      <c r="P6947" s="94"/>
      <c r="Q6947" s="94"/>
      <c r="R6947" s="94"/>
      <c r="S6947" s="94"/>
      <c r="T6947" s="94"/>
      <c r="U6947" s="94"/>
      <c r="V6947" s="94"/>
      <c r="W6947" s="94"/>
      <c r="X6947" s="94"/>
      <c r="Y6947" s="94"/>
      <c r="Z6947" s="94"/>
      <c r="AA6947" s="94"/>
      <c r="AB6947" s="94"/>
      <c r="AC6947" s="94"/>
      <c r="AD6947" s="94"/>
      <c r="AE6947" s="94"/>
      <c r="AF6947" s="94"/>
      <c r="AG6947" s="94"/>
      <c r="AH6947" s="94"/>
    </row>
    <row r="6948" ht="12.75" hidden="1" customHeight="1" outlineLevel="1">
      <c r="A6948" s="122">
        <v>42198.0</v>
      </c>
      <c r="B6948" s="32" t="s">
        <v>343</v>
      </c>
      <c r="C6948" s="32" t="s">
        <v>784</v>
      </c>
      <c r="D6948" s="708">
        <v>5000.0</v>
      </c>
      <c r="E6948" s="195">
        <v>5.79</v>
      </c>
      <c r="F6948" s="709">
        <v>0.5918055555555556</v>
      </c>
      <c r="G6948" s="195" t="s">
        <v>453</v>
      </c>
      <c r="H6948" s="710">
        <v>25.0</v>
      </c>
      <c r="I6948" s="256"/>
      <c r="J6948" s="67">
        <f t="shared" si="420"/>
        <v>-28975</v>
      </c>
      <c r="L6948" s="70"/>
      <c r="M6948" s="934"/>
      <c r="N6948" s="94"/>
      <c r="O6948" s="94"/>
      <c r="P6948" s="94"/>
      <c r="Q6948" s="94"/>
      <c r="R6948" s="94"/>
      <c r="S6948" s="94"/>
      <c r="T6948" s="94"/>
      <c r="U6948" s="94"/>
      <c r="V6948" s="94"/>
      <c r="W6948" s="94"/>
      <c r="X6948" s="94"/>
      <c r="Y6948" s="94"/>
      <c r="Z6948" s="94"/>
      <c r="AA6948" s="94"/>
      <c r="AB6948" s="94"/>
      <c r="AC6948" s="94"/>
      <c r="AD6948" s="94"/>
      <c r="AE6948" s="94"/>
      <c r="AF6948" s="94"/>
      <c r="AG6948" s="94"/>
      <c r="AH6948" s="94"/>
    </row>
    <row r="6949" ht="12.75" hidden="1" customHeight="1" outlineLevel="1">
      <c r="A6949" s="122">
        <v>42198.0</v>
      </c>
      <c r="B6949" s="32" t="s">
        <v>343</v>
      </c>
      <c r="C6949" s="32" t="s">
        <v>3024</v>
      </c>
      <c r="D6949" s="708">
        <v>1500.0</v>
      </c>
      <c r="E6949" s="195">
        <v>22.27</v>
      </c>
      <c r="F6949" s="709">
        <v>0.5919907407407408</v>
      </c>
      <c r="G6949" s="195" t="s">
        <v>453</v>
      </c>
      <c r="H6949" s="710">
        <v>7.1</v>
      </c>
      <c r="I6949" s="256"/>
      <c r="J6949" s="67">
        <f t="shared" si="420"/>
        <v>-33412.1</v>
      </c>
      <c r="L6949" s="70"/>
      <c r="M6949" s="934"/>
      <c r="N6949" s="94"/>
      <c r="O6949" s="94"/>
      <c r="P6949" s="94"/>
      <c r="Q6949" s="94"/>
      <c r="R6949" s="94"/>
      <c r="S6949" s="94"/>
      <c r="T6949" s="94"/>
      <c r="U6949" s="94"/>
      <c r="V6949" s="94"/>
      <c r="W6949" s="94"/>
      <c r="X6949" s="94"/>
      <c r="Y6949" s="94"/>
      <c r="Z6949" s="94"/>
      <c r="AA6949" s="94"/>
      <c r="AB6949" s="94"/>
      <c r="AC6949" s="94"/>
      <c r="AD6949" s="94"/>
      <c r="AE6949" s="94"/>
      <c r="AF6949" s="94"/>
      <c r="AG6949" s="94"/>
      <c r="AH6949" s="94"/>
    </row>
    <row r="6950" ht="12.75" hidden="1" customHeight="1" outlineLevel="1">
      <c r="A6950" s="122">
        <v>42198.0</v>
      </c>
      <c r="B6950" s="32" t="s">
        <v>343</v>
      </c>
      <c r="C6950" s="32" t="s">
        <v>784</v>
      </c>
      <c r="D6950" s="708">
        <v>5000.0</v>
      </c>
      <c r="E6950" s="195">
        <v>5.8</v>
      </c>
      <c r="F6950" s="709">
        <v>0.5924652777777778</v>
      </c>
      <c r="G6950" s="195" t="s">
        <v>453</v>
      </c>
      <c r="H6950" s="710">
        <v>24.0</v>
      </c>
      <c r="I6950" s="256"/>
      <c r="J6950" s="67">
        <f t="shared" si="420"/>
        <v>-29024</v>
      </c>
      <c r="L6950" s="70"/>
      <c r="M6950" s="934"/>
      <c r="N6950" s="94"/>
      <c r="O6950" s="94"/>
      <c r="P6950" s="94"/>
      <c r="Q6950" s="94"/>
      <c r="R6950" s="94"/>
      <c r="S6950" s="94"/>
      <c r="T6950" s="94"/>
      <c r="U6950" s="94"/>
      <c r="V6950" s="94"/>
      <c r="W6950" s="94"/>
      <c r="X6950" s="94"/>
      <c r="Y6950" s="94"/>
      <c r="Z6950" s="94"/>
      <c r="AA6950" s="94"/>
      <c r="AB6950" s="94"/>
      <c r="AC6950" s="94"/>
      <c r="AD6950" s="94"/>
      <c r="AE6950" s="94"/>
      <c r="AF6950" s="94"/>
      <c r="AG6950" s="94"/>
      <c r="AH6950" s="94"/>
    </row>
    <row r="6951" ht="12.75" hidden="1" customHeight="1" outlineLevel="1">
      <c r="A6951" s="122">
        <v>42198.0</v>
      </c>
      <c r="B6951" s="32" t="s">
        <v>343</v>
      </c>
      <c r="C6951" s="32" t="s">
        <v>2090</v>
      </c>
      <c r="D6951" s="708">
        <v>3000.0</v>
      </c>
      <c r="E6951" s="195">
        <v>9.452</v>
      </c>
      <c r="F6951" s="709">
        <v>0.5925694444444445</v>
      </c>
      <c r="G6951" s="195" t="s">
        <v>453</v>
      </c>
      <c r="H6951" s="710">
        <v>14.0</v>
      </c>
      <c r="I6951" s="256"/>
      <c r="J6951" s="67">
        <f t="shared" si="420"/>
        <v>-28370</v>
      </c>
      <c r="L6951" s="70"/>
      <c r="M6951" s="934"/>
      <c r="N6951" s="94"/>
      <c r="O6951" s="94"/>
      <c r="P6951" s="94"/>
      <c r="Q6951" s="94"/>
      <c r="R6951" s="94"/>
      <c r="S6951" s="94"/>
      <c r="T6951" s="94"/>
      <c r="U6951" s="94"/>
      <c r="V6951" s="94"/>
      <c r="W6951" s="94"/>
      <c r="X6951" s="94"/>
      <c r="Y6951" s="94"/>
      <c r="Z6951" s="94"/>
      <c r="AA6951" s="94"/>
      <c r="AB6951" s="94"/>
      <c r="AC6951" s="94"/>
      <c r="AD6951" s="94"/>
      <c r="AE6951" s="94"/>
      <c r="AF6951" s="94"/>
      <c r="AG6951" s="94"/>
      <c r="AH6951" s="94"/>
    </row>
    <row r="6952" ht="12.75" hidden="1" customHeight="1" outlineLevel="1">
      <c r="A6952" s="122">
        <v>42198.0</v>
      </c>
      <c r="B6952" s="32" t="s">
        <v>343</v>
      </c>
      <c r="C6952" s="32" t="s">
        <v>784</v>
      </c>
      <c r="D6952" s="708">
        <v>5000.0</v>
      </c>
      <c r="E6952" s="195">
        <v>5.8</v>
      </c>
      <c r="F6952" s="709">
        <v>0.5928935185185186</v>
      </c>
      <c r="G6952" s="195" t="s">
        <v>453</v>
      </c>
      <c r="H6952" s="710">
        <v>25.0</v>
      </c>
      <c r="I6952" s="256"/>
      <c r="J6952" s="67">
        <f t="shared" si="420"/>
        <v>-29025</v>
      </c>
      <c r="L6952" s="70"/>
      <c r="M6952" s="934"/>
      <c r="N6952" s="94"/>
      <c r="O6952" s="94"/>
      <c r="P6952" s="94"/>
      <c r="Q6952" s="94"/>
      <c r="R6952" s="94"/>
      <c r="S6952" s="94"/>
      <c r="T6952" s="94"/>
      <c r="U6952" s="94"/>
      <c r="V6952" s="94"/>
      <c r="W6952" s="94"/>
      <c r="X6952" s="94"/>
      <c r="Y6952" s="94"/>
      <c r="Z6952" s="94"/>
      <c r="AA6952" s="94"/>
      <c r="AB6952" s="94"/>
      <c r="AC6952" s="94"/>
      <c r="AD6952" s="94"/>
      <c r="AE6952" s="94"/>
      <c r="AF6952" s="94"/>
      <c r="AG6952" s="94"/>
      <c r="AH6952" s="94"/>
    </row>
    <row r="6953" ht="12.75" hidden="1" customHeight="1" outlineLevel="1">
      <c r="A6953" s="122">
        <v>42198.0</v>
      </c>
      <c r="B6953" s="32" t="s">
        <v>343</v>
      </c>
      <c r="C6953" s="32" t="s">
        <v>3024</v>
      </c>
      <c r="D6953" s="708">
        <v>1500.0</v>
      </c>
      <c r="E6953" s="195">
        <v>22.297</v>
      </c>
      <c r="F6953" s="709">
        <v>0.5933796296296296</v>
      </c>
      <c r="G6953" s="195" t="s">
        <v>453</v>
      </c>
      <c r="H6953" s="710">
        <v>6.4</v>
      </c>
      <c r="I6953" s="256"/>
      <c r="J6953" s="67">
        <f t="shared" si="420"/>
        <v>-33451.9</v>
      </c>
      <c r="L6953" s="70"/>
      <c r="M6953" s="934"/>
      <c r="N6953" s="94"/>
      <c r="O6953" s="94"/>
      <c r="P6953" s="94"/>
      <c r="Q6953" s="94"/>
      <c r="R6953" s="94"/>
      <c r="S6953" s="94"/>
      <c r="T6953" s="94"/>
      <c r="U6953" s="94"/>
      <c r="V6953" s="94"/>
      <c r="W6953" s="94"/>
      <c r="X6953" s="94"/>
      <c r="Y6953" s="94"/>
      <c r="Z6953" s="94"/>
      <c r="AA6953" s="94"/>
      <c r="AB6953" s="94"/>
      <c r="AC6953" s="94"/>
      <c r="AD6953" s="94"/>
      <c r="AE6953" s="94"/>
      <c r="AF6953" s="94"/>
      <c r="AG6953" s="94"/>
      <c r="AH6953" s="94"/>
    </row>
    <row r="6954" ht="12.75" hidden="1" customHeight="1" outlineLevel="1">
      <c r="A6954" s="122">
        <v>42198.0</v>
      </c>
      <c r="B6954" s="32" t="s">
        <v>343</v>
      </c>
      <c r="C6954" s="32" t="s">
        <v>784</v>
      </c>
      <c r="D6954" s="708">
        <v>5000.0</v>
      </c>
      <c r="E6954" s="195">
        <v>5.81</v>
      </c>
      <c r="F6954" s="709">
        <v>0.5935532407407408</v>
      </c>
      <c r="G6954" s="195" t="s">
        <v>453</v>
      </c>
      <c r="H6954" s="710">
        <v>24.1</v>
      </c>
      <c r="I6954" s="256"/>
      <c r="J6954" s="67">
        <f t="shared" si="420"/>
        <v>-29074.1</v>
      </c>
      <c r="L6954" s="70"/>
      <c r="M6954" s="934"/>
      <c r="N6954" s="94"/>
      <c r="O6954" s="94"/>
      <c r="P6954" s="94"/>
      <c r="Q6954" s="94"/>
      <c r="R6954" s="94"/>
      <c r="S6954" s="94"/>
      <c r="T6954" s="94"/>
      <c r="U6954" s="94"/>
      <c r="V6954" s="94"/>
      <c r="W6954" s="94"/>
      <c r="X6954" s="94"/>
      <c r="Y6954" s="94"/>
      <c r="Z6954" s="94"/>
      <c r="AA6954" s="94"/>
      <c r="AB6954" s="94"/>
      <c r="AC6954" s="94"/>
      <c r="AD6954" s="94"/>
      <c r="AE6954" s="94"/>
      <c r="AF6954" s="94"/>
      <c r="AG6954" s="94"/>
      <c r="AH6954" s="94"/>
    </row>
    <row r="6955" ht="12.75" hidden="1" customHeight="1" outlineLevel="1">
      <c r="A6955" s="122">
        <v>42198.0</v>
      </c>
      <c r="B6955" s="32" t="s">
        <v>343</v>
      </c>
      <c r="C6955" s="32" t="s">
        <v>790</v>
      </c>
      <c r="D6955" s="708">
        <v>3000.0</v>
      </c>
      <c r="E6955" s="195">
        <v>8.479</v>
      </c>
      <c r="F6955" s="709">
        <v>0.5936342592592593</v>
      </c>
      <c r="G6955" s="195" t="s">
        <v>453</v>
      </c>
      <c r="H6955" s="710">
        <v>12.5</v>
      </c>
      <c r="I6955" s="256"/>
      <c r="J6955" s="67">
        <f t="shared" si="420"/>
        <v>-25449.5</v>
      </c>
      <c r="L6955" s="70"/>
      <c r="M6955" s="934"/>
      <c r="N6955" s="94"/>
      <c r="O6955" s="94"/>
      <c r="P6955" s="94"/>
      <c r="Q6955" s="94"/>
      <c r="R6955" s="94"/>
      <c r="S6955" s="94"/>
      <c r="T6955" s="94"/>
      <c r="U6955" s="94"/>
      <c r="V6955" s="94"/>
      <c r="W6955" s="94"/>
      <c r="X6955" s="94"/>
      <c r="Y6955" s="94"/>
      <c r="Z6955" s="94"/>
      <c r="AA6955" s="94"/>
      <c r="AB6955" s="94"/>
      <c r="AC6955" s="94"/>
      <c r="AD6955" s="94"/>
      <c r="AE6955" s="94"/>
      <c r="AF6955" s="94"/>
      <c r="AG6955" s="94"/>
      <c r="AH6955" s="94"/>
    </row>
    <row r="6956" ht="12.75" hidden="1" customHeight="1" outlineLevel="1">
      <c r="A6956" s="122">
        <v>42198.0</v>
      </c>
      <c r="B6956" s="32" t="s">
        <v>343</v>
      </c>
      <c r="C6956" s="32" t="s">
        <v>2090</v>
      </c>
      <c r="D6956" s="708">
        <v>2000.0</v>
      </c>
      <c r="E6956" s="195">
        <v>9.449</v>
      </c>
      <c r="F6956" s="709">
        <v>0.5937152777777778</v>
      </c>
      <c r="G6956" s="195" t="s">
        <v>453</v>
      </c>
      <c r="H6956" s="710">
        <v>8.0</v>
      </c>
      <c r="I6956" s="256"/>
      <c r="J6956" s="67">
        <f t="shared" si="420"/>
        <v>-18906</v>
      </c>
      <c r="L6956" s="70"/>
      <c r="M6956" s="934"/>
      <c r="N6956" s="94"/>
      <c r="O6956" s="94"/>
      <c r="P6956" s="94"/>
      <c r="Q6956" s="94"/>
      <c r="R6956" s="94"/>
      <c r="S6956" s="94"/>
      <c r="T6956" s="94"/>
      <c r="U6956" s="94"/>
      <c r="V6956" s="94"/>
      <c r="W6956" s="94"/>
      <c r="X6956" s="94"/>
      <c r="Y6956" s="94"/>
      <c r="Z6956" s="94"/>
      <c r="AA6956" s="94"/>
      <c r="AB6956" s="94"/>
      <c r="AC6956" s="94"/>
      <c r="AD6956" s="94"/>
      <c r="AE6956" s="94"/>
      <c r="AF6956" s="94"/>
      <c r="AG6956" s="94"/>
      <c r="AH6956" s="94"/>
    </row>
    <row r="6957" ht="12.75" hidden="1" customHeight="1" outlineLevel="1">
      <c r="A6957" s="122">
        <v>42198.0</v>
      </c>
      <c r="B6957" s="32" t="s">
        <v>343</v>
      </c>
      <c r="C6957" s="32" t="s">
        <v>1839</v>
      </c>
      <c r="D6957" s="708">
        <v>1500.0</v>
      </c>
      <c r="E6957" s="195">
        <v>11.07</v>
      </c>
      <c r="F6957" s="709">
        <v>0.5938078703703704</v>
      </c>
      <c r="G6957" s="195" t="s">
        <v>453</v>
      </c>
      <c r="H6957" s="710">
        <v>6.0</v>
      </c>
      <c r="I6957" s="256"/>
      <c r="J6957" s="67">
        <f t="shared" si="420"/>
        <v>-16611</v>
      </c>
      <c r="L6957" s="70"/>
      <c r="M6957" s="934"/>
      <c r="N6957" s="94"/>
      <c r="O6957" s="94"/>
      <c r="P6957" s="94"/>
      <c r="Q6957" s="94"/>
      <c r="R6957" s="94"/>
      <c r="S6957" s="94"/>
      <c r="T6957" s="94"/>
      <c r="U6957" s="94"/>
      <c r="V6957" s="94"/>
      <c r="W6957" s="94"/>
      <c r="X6957" s="94"/>
      <c r="Y6957" s="94"/>
      <c r="Z6957" s="94"/>
      <c r="AA6957" s="94"/>
      <c r="AB6957" s="94"/>
      <c r="AC6957" s="94"/>
      <c r="AD6957" s="94"/>
      <c r="AE6957" s="94"/>
      <c r="AF6957" s="94"/>
      <c r="AG6957" s="94"/>
      <c r="AH6957" s="94"/>
    </row>
    <row r="6958" ht="12.75" hidden="1" customHeight="1" outlineLevel="1">
      <c r="A6958" s="122">
        <v>42198.0</v>
      </c>
      <c r="B6958" s="32" t="s">
        <v>343</v>
      </c>
      <c r="C6958" s="32" t="s">
        <v>369</v>
      </c>
      <c r="D6958" s="708">
        <v>1700.0</v>
      </c>
      <c r="E6958" s="195">
        <v>3.53</v>
      </c>
      <c r="F6958" s="709">
        <v>0.5941319444444444</v>
      </c>
      <c r="G6958" s="195" t="s">
        <v>453</v>
      </c>
      <c r="H6958" s="710">
        <v>8.5</v>
      </c>
      <c r="I6958" s="256"/>
      <c r="J6958" s="67">
        <f t="shared" si="420"/>
        <v>-6009.5</v>
      </c>
      <c r="L6958" s="70"/>
      <c r="M6958" s="934"/>
      <c r="N6958" s="94"/>
      <c r="O6958" s="94"/>
      <c r="P6958" s="94"/>
      <c r="Q6958" s="94"/>
      <c r="R6958" s="94"/>
      <c r="S6958" s="94"/>
      <c r="T6958" s="94"/>
      <c r="U6958" s="94"/>
      <c r="V6958" s="94"/>
      <c r="W6958" s="94"/>
      <c r="X6958" s="94"/>
      <c r="Y6958" s="94"/>
      <c r="Z6958" s="94"/>
      <c r="AA6958" s="94"/>
      <c r="AB6958" s="94"/>
      <c r="AC6958" s="94"/>
      <c r="AD6958" s="94"/>
      <c r="AE6958" s="94"/>
      <c r="AF6958" s="94"/>
      <c r="AG6958" s="94"/>
      <c r="AH6958" s="94"/>
    </row>
    <row r="6959" ht="12.75" hidden="1" customHeight="1" outlineLevel="1">
      <c r="A6959" s="122">
        <v>42198.0</v>
      </c>
      <c r="B6959" s="32" t="s">
        <v>347</v>
      </c>
      <c r="C6959" s="32" t="s">
        <v>1382</v>
      </c>
      <c r="D6959" s="708">
        <v>135.0</v>
      </c>
      <c r="E6959" s="195">
        <v>136.323</v>
      </c>
      <c r="F6959" s="709">
        <v>0.6017824074074074</v>
      </c>
      <c r="G6959" s="195" t="s">
        <v>453</v>
      </c>
      <c r="H6959" s="710">
        <v>1.34</v>
      </c>
      <c r="I6959" s="256"/>
      <c r="J6959" s="67">
        <f t="shared" si="420"/>
        <v>18402.265</v>
      </c>
      <c r="L6959" s="70"/>
      <c r="M6959" s="934"/>
      <c r="N6959" s="94"/>
      <c r="O6959" s="94"/>
      <c r="P6959" s="94"/>
      <c r="Q6959" s="94"/>
      <c r="R6959" s="94"/>
      <c r="S6959" s="94"/>
      <c r="T6959" s="94"/>
      <c r="U6959" s="94"/>
      <c r="V6959" s="94"/>
      <c r="W6959" s="94"/>
      <c r="X6959" s="94"/>
      <c r="Y6959" s="94"/>
      <c r="Z6959" s="94"/>
      <c r="AA6959" s="94"/>
      <c r="AB6959" s="94"/>
      <c r="AC6959" s="94"/>
      <c r="AD6959" s="94"/>
      <c r="AE6959" s="94"/>
      <c r="AF6959" s="94"/>
      <c r="AG6959" s="94"/>
      <c r="AH6959" s="94"/>
    </row>
    <row r="6960" ht="12.75" hidden="1" customHeight="1" outlineLevel="1">
      <c r="A6960" s="122">
        <v>42198.0</v>
      </c>
      <c r="B6960" s="32" t="s">
        <v>347</v>
      </c>
      <c r="C6960" s="32" t="s">
        <v>847</v>
      </c>
      <c r="D6960" s="708">
        <v>50.0</v>
      </c>
      <c r="E6960" s="195">
        <v>153.95</v>
      </c>
      <c r="F6960" s="709">
        <v>0.6033912037037037</v>
      </c>
      <c r="G6960" s="195" t="s">
        <v>453</v>
      </c>
      <c r="H6960" s="710">
        <v>1.14</v>
      </c>
      <c r="I6960" s="256"/>
      <c r="J6960" s="67">
        <f t="shared" si="420"/>
        <v>7696.36</v>
      </c>
      <c r="L6960" s="70"/>
      <c r="M6960" s="934"/>
      <c r="N6960" s="94"/>
      <c r="O6960" s="94"/>
      <c r="P6960" s="94"/>
      <c r="Q6960" s="94"/>
      <c r="R6960" s="94"/>
      <c r="S6960" s="94"/>
      <c r="T6960" s="94"/>
      <c r="U6960" s="94"/>
      <c r="V6960" s="94"/>
      <c r="W6960" s="94"/>
      <c r="X6960" s="94"/>
      <c r="Y6960" s="94"/>
      <c r="Z6960" s="94"/>
      <c r="AA6960" s="94"/>
      <c r="AB6960" s="94"/>
      <c r="AC6960" s="94"/>
      <c r="AD6960" s="94"/>
      <c r="AE6960" s="94"/>
      <c r="AF6960" s="94"/>
      <c r="AG6960" s="94"/>
      <c r="AH6960" s="94"/>
    </row>
    <row r="6961" ht="12.75" hidden="1" customHeight="1" outlineLevel="1">
      <c r="A6961" s="122">
        <v>42198.0</v>
      </c>
      <c r="B6961" s="32" t="s">
        <v>347</v>
      </c>
      <c r="C6961" s="32" t="s">
        <v>2342</v>
      </c>
      <c r="D6961" s="708">
        <v>100.0</v>
      </c>
      <c r="E6961" s="195">
        <v>70.6701</v>
      </c>
      <c r="F6961" s="709">
        <v>0.6041203703703704</v>
      </c>
      <c r="G6961" s="195" t="s">
        <v>453</v>
      </c>
      <c r="H6961" s="710">
        <v>1.13</v>
      </c>
      <c r="I6961" s="256"/>
      <c r="J6961" s="67">
        <f t="shared" si="420"/>
        <v>7065.88</v>
      </c>
      <c r="L6961" s="70"/>
      <c r="M6961" s="934"/>
      <c r="N6961" s="94"/>
      <c r="O6961" s="94"/>
      <c r="P6961" s="94"/>
      <c r="Q6961" s="94"/>
      <c r="R6961" s="94"/>
      <c r="S6961" s="94"/>
      <c r="T6961" s="94"/>
      <c r="U6961" s="94"/>
      <c r="V6961" s="94"/>
      <c r="W6961" s="94"/>
      <c r="X6961" s="94"/>
      <c r="Y6961" s="94"/>
      <c r="Z6961" s="94"/>
      <c r="AA6961" s="94"/>
      <c r="AB6961" s="94"/>
      <c r="AC6961" s="94"/>
      <c r="AD6961" s="94"/>
      <c r="AE6961" s="94"/>
      <c r="AF6961" s="94"/>
      <c r="AG6961" s="94"/>
      <c r="AH6961" s="94"/>
    </row>
    <row r="6962" ht="12.75" hidden="1" customHeight="1" outlineLevel="1">
      <c r="A6962" s="122">
        <v>42198.0</v>
      </c>
      <c r="B6962" s="32" t="s">
        <v>347</v>
      </c>
      <c r="C6962" s="32" t="s">
        <v>1221</v>
      </c>
      <c r="D6962" s="708">
        <v>200.0</v>
      </c>
      <c r="E6962" s="195">
        <v>40.33</v>
      </c>
      <c r="F6962" s="709">
        <v>0.6112268518518519</v>
      </c>
      <c r="G6962" s="195" t="s">
        <v>453</v>
      </c>
      <c r="H6962" s="710">
        <v>1.15</v>
      </c>
      <c r="I6962" s="256"/>
      <c r="J6962" s="67">
        <f t="shared" si="420"/>
        <v>8064.85</v>
      </c>
      <c r="L6962" s="70"/>
      <c r="M6962" s="934"/>
      <c r="N6962" s="94"/>
      <c r="O6962" s="94"/>
      <c r="P6962" s="94"/>
      <c r="Q6962" s="94"/>
      <c r="R6962" s="94"/>
      <c r="S6962" s="94"/>
      <c r="T6962" s="94"/>
      <c r="U6962" s="94"/>
      <c r="V6962" s="94"/>
      <c r="W6962" s="94"/>
      <c r="X6962" s="94"/>
      <c r="Y6962" s="94"/>
      <c r="Z6962" s="94"/>
      <c r="AA6962" s="94"/>
      <c r="AB6962" s="94"/>
      <c r="AC6962" s="94"/>
      <c r="AD6962" s="94"/>
      <c r="AE6962" s="94"/>
      <c r="AF6962" s="94"/>
      <c r="AG6962" s="94"/>
      <c r="AH6962" s="94"/>
    </row>
    <row r="6963" ht="12.75" hidden="1" customHeight="1" outlineLevel="1">
      <c r="A6963" s="122">
        <v>42198.0</v>
      </c>
      <c r="B6963" s="1"/>
      <c r="C6963" s="1" t="s">
        <v>339</v>
      </c>
      <c r="D6963" s="74"/>
      <c r="E6963" s="67"/>
      <c r="F6963" s="75"/>
      <c r="G6963" s="67"/>
      <c r="H6963" s="68"/>
      <c r="I6963" s="76"/>
      <c r="K6963" s="968" t="s">
        <v>3054</v>
      </c>
      <c r="L6963" s="934"/>
      <c r="M6963" s="934"/>
    </row>
    <row r="6964" ht="12.75" hidden="1" customHeight="1" outlineLevel="1">
      <c r="A6964" s="122">
        <v>42198.0</v>
      </c>
      <c r="B6964" s="1"/>
      <c r="C6964" s="1" t="s">
        <v>429</v>
      </c>
      <c r="D6964" s="74"/>
      <c r="E6964" s="67"/>
      <c r="F6964" s="75"/>
      <c r="G6964" s="67"/>
      <c r="H6964" s="68"/>
      <c r="I6964" s="76"/>
      <c r="J6964" s="67"/>
      <c r="K6964" s="9" t="s">
        <v>3049</v>
      </c>
      <c r="L6964" s="934"/>
      <c r="M6964" s="934"/>
    </row>
    <row r="6965" ht="12.75" hidden="1" customHeight="1" outlineLevel="1">
      <c r="A6965" s="122">
        <v>42198.0</v>
      </c>
      <c r="B6965" s="1"/>
      <c r="C6965" s="1" t="s">
        <v>431</v>
      </c>
      <c r="D6965" s="74"/>
      <c r="E6965" s="67"/>
      <c r="F6965" s="75"/>
      <c r="G6965" s="67"/>
      <c r="H6965" s="68"/>
      <c r="I6965" s="76"/>
      <c r="J6965" s="67"/>
      <c r="K6965" s="7" t="s">
        <v>1126</v>
      </c>
      <c r="L6965" s="934"/>
      <c r="M6965" s="934"/>
    </row>
    <row r="6966" ht="12.75" hidden="1" customHeight="1" outlineLevel="1">
      <c r="A6966" s="122">
        <v>42198.0</v>
      </c>
      <c r="B6966" s="1"/>
      <c r="C6966" s="1" t="s">
        <v>433</v>
      </c>
      <c r="D6966" s="74"/>
      <c r="E6966" s="67"/>
      <c r="F6966" s="75"/>
      <c r="G6966" s="67"/>
      <c r="H6966" s="68"/>
      <c r="I6966" s="76"/>
      <c r="J6966" s="67"/>
      <c r="K6966" s="7" t="s">
        <v>1103</v>
      </c>
      <c r="L6966" s="934"/>
      <c r="M6966" s="934"/>
    </row>
    <row r="6967" ht="12.75" hidden="1" customHeight="1" outlineLevel="1">
      <c r="A6967" s="122">
        <v>42198.0</v>
      </c>
      <c r="B6967" s="1"/>
      <c r="C6967" s="1" t="s">
        <v>435</v>
      </c>
      <c r="D6967" s="74"/>
      <c r="E6967" s="67"/>
      <c r="F6967" s="75"/>
      <c r="G6967" s="67"/>
      <c r="H6967" s="68"/>
      <c r="I6967" s="76"/>
      <c r="J6967" s="67"/>
      <c r="K6967" s="9" t="s">
        <v>2802</v>
      </c>
      <c r="L6967" s="934"/>
      <c r="M6967" s="934"/>
    </row>
    <row r="6968" ht="12.75" hidden="1" customHeight="1" outlineLevel="1">
      <c r="A6968" s="122">
        <v>42199.0</v>
      </c>
      <c r="B6968" s="32" t="s">
        <v>347</v>
      </c>
      <c r="C6968" s="32" t="s">
        <v>784</v>
      </c>
      <c r="D6968" s="708">
        <v>2350.0</v>
      </c>
      <c r="E6968" s="195">
        <v>5.7801</v>
      </c>
      <c r="F6968" s="709">
        <v>0.39729166666666665</v>
      </c>
      <c r="G6968" s="195" t="s">
        <v>453</v>
      </c>
      <c r="H6968" s="710">
        <v>9.65</v>
      </c>
      <c r="I6968" s="256"/>
      <c r="J6968" s="67">
        <f t="shared" ref="J6968:J6972" si="421">IF(B6968="SLD",D6968*E6968,-D6968*E6968)-H6968</f>
        <v>13573.585</v>
      </c>
      <c r="L6968" s="70"/>
      <c r="M6968" s="934"/>
      <c r="N6968" s="94"/>
      <c r="O6968" s="94"/>
      <c r="P6968" s="94"/>
      <c r="Q6968" s="94"/>
      <c r="R6968" s="94"/>
      <c r="S6968" s="94"/>
      <c r="T6968" s="94"/>
      <c r="U6968" s="94"/>
      <c r="V6968" s="94"/>
      <c r="W6968" s="94"/>
      <c r="X6968" s="94"/>
      <c r="Y6968" s="94"/>
      <c r="Z6968" s="94"/>
      <c r="AA6968" s="94"/>
      <c r="AB6968" s="94"/>
      <c r="AC6968" s="94"/>
      <c r="AD6968" s="94"/>
      <c r="AE6968" s="94"/>
      <c r="AF6968" s="94"/>
      <c r="AG6968" s="94"/>
      <c r="AH6968" s="94"/>
    </row>
    <row r="6969" ht="12.75" hidden="1" customHeight="1" outlineLevel="1">
      <c r="A6969" s="122">
        <v>42199.0</v>
      </c>
      <c r="B6969" s="32" t="s">
        <v>347</v>
      </c>
      <c r="C6969" s="32" t="s">
        <v>3024</v>
      </c>
      <c r="D6969" s="708">
        <v>700.0</v>
      </c>
      <c r="E6969" s="195">
        <v>21.94</v>
      </c>
      <c r="F6969" s="709">
        <v>0.39849537037037036</v>
      </c>
      <c r="G6969" s="195" t="s">
        <v>453</v>
      </c>
      <c r="H6969" s="710">
        <v>3.78</v>
      </c>
      <c r="I6969" s="256"/>
      <c r="J6969" s="67">
        <f t="shared" si="421"/>
        <v>15354.22</v>
      </c>
      <c r="L6969" s="70"/>
      <c r="M6969" s="934"/>
      <c r="N6969" s="94"/>
      <c r="O6969" s="94"/>
      <c r="P6969" s="94"/>
      <c r="Q6969" s="94"/>
      <c r="R6969" s="94"/>
      <c r="S6969" s="94"/>
      <c r="T6969" s="94"/>
      <c r="U6969" s="94"/>
      <c r="V6969" s="94"/>
      <c r="W6969" s="94"/>
      <c r="X6969" s="94"/>
      <c r="Y6969" s="94"/>
      <c r="Z6969" s="94"/>
      <c r="AA6969" s="94"/>
      <c r="AB6969" s="94"/>
      <c r="AC6969" s="94"/>
      <c r="AD6969" s="94"/>
      <c r="AE6969" s="94"/>
      <c r="AF6969" s="94"/>
      <c r="AG6969" s="94"/>
      <c r="AH6969" s="94"/>
    </row>
    <row r="6970" ht="12.75" hidden="1" customHeight="1" outlineLevel="1">
      <c r="A6970" s="122">
        <v>42199.0</v>
      </c>
      <c r="B6970" s="32" t="s">
        <v>347</v>
      </c>
      <c r="C6970" s="32" t="s">
        <v>790</v>
      </c>
      <c r="D6970" s="708">
        <v>800.0</v>
      </c>
      <c r="E6970" s="195">
        <v>8.38</v>
      </c>
      <c r="F6970" s="709">
        <v>0.3987615740740741</v>
      </c>
      <c r="G6970" s="195" t="s">
        <v>453</v>
      </c>
      <c r="H6970" s="710">
        <v>3.62</v>
      </c>
      <c r="I6970" s="256"/>
      <c r="J6970" s="67">
        <f t="shared" si="421"/>
        <v>6700.38</v>
      </c>
      <c r="L6970" s="70"/>
      <c r="M6970" s="934"/>
      <c r="N6970" s="94"/>
      <c r="O6970" s="94"/>
      <c r="P6970" s="94"/>
      <c r="Q6970" s="94"/>
      <c r="R6970" s="94"/>
      <c r="S6970" s="94"/>
      <c r="T6970" s="94"/>
      <c r="U6970" s="94"/>
      <c r="V6970" s="94"/>
      <c r="W6970" s="94"/>
      <c r="X6970" s="94"/>
      <c r="Y6970" s="94"/>
      <c r="Z6970" s="94"/>
      <c r="AA6970" s="94"/>
      <c r="AB6970" s="94"/>
      <c r="AC6970" s="94"/>
      <c r="AD6970" s="94"/>
      <c r="AE6970" s="94"/>
      <c r="AF6970" s="94"/>
      <c r="AG6970" s="94"/>
      <c r="AH6970" s="94"/>
    </row>
    <row r="6971" ht="12.75" hidden="1" customHeight="1" outlineLevel="1">
      <c r="A6971" s="122">
        <v>42199.0</v>
      </c>
      <c r="B6971" s="32" t="s">
        <v>347</v>
      </c>
      <c r="C6971" s="32" t="s">
        <v>2048</v>
      </c>
      <c r="D6971" s="708">
        <v>700.0</v>
      </c>
      <c r="E6971" s="195">
        <v>9.8</v>
      </c>
      <c r="F6971" s="709">
        <v>0.39893518518518517</v>
      </c>
      <c r="G6971" s="195" t="s">
        <v>453</v>
      </c>
      <c r="H6971" s="710">
        <v>2.93</v>
      </c>
      <c r="I6971" s="256"/>
      <c r="J6971" s="67">
        <f t="shared" si="421"/>
        <v>6857.07</v>
      </c>
      <c r="L6971" s="70"/>
      <c r="M6971" s="934"/>
      <c r="N6971" s="94"/>
      <c r="O6971" s="94"/>
      <c r="P6971" s="94"/>
      <c r="Q6971" s="94"/>
      <c r="R6971" s="94"/>
      <c r="S6971" s="94"/>
      <c r="T6971" s="94"/>
      <c r="U6971" s="94"/>
      <c r="V6971" s="94"/>
      <c r="W6971" s="94"/>
      <c r="X6971" s="94"/>
      <c r="Y6971" s="94"/>
      <c r="Z6971" s="94"/>
      <c r="AA6971" s="94"/>
      <c r="AB6971" s="94"/>
      <c r="AC6971" s="94"/>
      <c r="AD6971" s="94"/>
      <c r="AE6971" s="94"/>
      <c r="AF6971" s="94"/>
      <c r="AG6971" s="94"/>
      <c r="AH6971" s="94"/>
    </row>
    <row r="6972" ht="12.75" hidden="1" customHeight="1" outlineLevel="1">
      <c r="A6972" s="122">
        <v>42199.0</v>
      </c>
      <c r="B6972" s="32" t="s">
        <v>347</v>
      </c>
      <c r="C6972" s="32" t="s">
        <v>784</v>
      </c>
      <c r="D6972" s="708">
        <v>450.0</v>
      </c>
      <c r="E6972" s="195">
        <v>5.711</v>
      </c>
      <c r="F6972" s="709">
        <v>0.3997685185185185</v>
      </c>
      <c r="G6972" s="195" t="s">
        <v>453</v>
      </c>
      <c r="H6972" s="710">
        <v>1.85</v>
      </c>
      <c r="I6972" s="256"/>
      <c r="J6972" s="67">
        <f t="shared" si="421"/>
        <v>2568.1</v>
      </c>
      <c r="L6972" s="70"/>
      <c r="M6972" s="934"/>
      <c r="N6972" s="94"/>
      <c r="O6972" s="94"/>
      <c r="P6972" s="94"/>
      <c r="Q6972" s="94"/>
      <c r="R6972" s="94"/>
      <c r="S6972" s="94"/>
      <c r="T6972" s="94"/>
      <c r="U6972" s="94"/>
      <c r="V6972" s="94"/>
      <c r="W6972" s="94"/>
      <c r="X6972" s="94"/>
      <c r="Y6972" s="94"/>
      <c r="Z6972" s="94"/>
      <c r="AA6972" s="94"/>
      <c r="AB6972" s="94"/>
      <c r="AC6972" s="94"/>
      <c r="AD6972" s="94"/>
      <c r="AE6972" s="94"/>
      <c r="AF6972" s="94"/>
      <c r="AG6972" s="94"/>
      <c r="AH6972" s="94"/>
    </row>
    <row r="6973" ht="12.75" hidden="1" customHeight="1" outlineLevel="1">
      <c r="A6973" s="122">
        <v>42199.0</v>
      </c>
      <c r="B6973" s="974"/>
      <c r="C6973" s="32" t="s">
        <v>339</v>
      </c>
      <c r="D6973" s="708"/>
      <c r="E6973" s="195"/>
      <c r="F6973" s="709"/>
      <c r="G6973" s="195"/>
      <c r="H6973" s="710"/>
      <c r="I6973" s="256"/>
      <c r="J6973" s="67"/>
      <c r="K6973" s="968" t="s">
        <v>3054</v>
      </c>
      <c r="L6973" s="934"/>
      <c r="M6973" s="934"/>
    </row>
    <row r="6974" ht="12.75" hidden="1" customHeight="1" outlineLevel="1">
      <c r="A6974" s="122">
        <v>42199.0</v>
      </c>
      <c r="B6974" s="974"/>
      <c r="C6974" s="32" t="s">
        <v>429</v>
      </c>
      <c r="D6974" s="708"/>
      <c r="E6974" s="195"/>
      <c r="F6974" s="709"/>
      <c r="G6974" s="195"/>
      <c r="H6974" s="710"/>
      <c r="I6974" s="256"/>
      <c r="J6974" s="67"/>
      <c r="K6974" s="9" t="s">
        <v>3049</v>
      </c>
      <c r="L6974" s="934"/>
      <c r="M6974" s="934"/>
    </row>
    <row r="6975" ht="12.75" hidden="1" customHeight="1" outlineLevel="1">
      <c r="A6975" s="122">
        <v>42199.0</v>
      </c>
      <c r="B6975" s="974"/>
      <c r="C6975" s="32" t="s">
        <v>431</v>
      </c>
      <c r="D6975" s="708"/>
      <c r="E6975" s="195"/>
      <c r="F6975" s="709"/>
      <c r="G6975" s="195"/>
      <c r="H6975" s="710"/>
      <c r="I6975" s="256"/>
      <c r="J6975" s="67"/>
      <c r="K6975" s="7" t="s">
        <v>1126</v>
      </c>
      <c r="L6975" s="934"/>
      <c r="M6975" s="934"/>
    </row>
    <row r="6976" ht="12.75" hidden="1" customHeight="1" outlineLevel="1">
      <c r="A6976" s="122">
        <v>42199.0</v>
      </c>
      <c r="B6976" s="974"/>
      <c r="C6976" s="32" t="s">
        <v>433</v>
      </c>
      <c r="D6976" s="708"/>
      <c r="E6976" s="195"/>
      <c r="F6976" s="709"/>
      <c r="G6976" s="195"/>
      <c r="H6976" s="710"/>
      <c r="I6976" s="256"/>
      <c r="J6976" s="67"/>
      <c r="K6976" s="7" t="s">
        <v>1103</v>
      </c>
      <c r="L6976" s="934"/>
      <c r="M6976" s="934"/>
    </row>
    <row r="6977" ht="12.75" hidden="1" customHeight="1" outlineLevel="1">
      <c r="A6977" s="122">
        <v>42199.0</v>
      </c>
      <c r="B6977" s="974"/>
      <c r="C6977" s="32" t="s">
        <v>435</v>
      </c>
      <c r="D6977" s="708"/>
      <c r="E6977" s="195"/>
      <c r="F6977" s="709"/>
      <c r="G6977" s="195"/>
      <c r="H6977" s="710"/>
      <c r="I6977" s="256"/>
      <c r="J6977" s="67"/>
      <c r="K6977" s="9" t="s">
        <v>2802</v>
      </c>
      <c r="L6977" s="934"/>
      <c r="M6977" s="934"/>
    </row>
    <row r="6978" ht="12.75" hidden="1" customHeight="1" outlineLevel="1">
      <c r="A6978" s="122">
        <v>42201.0</v>
      </c>
      <c r="B6978" s="974" t="s">
        <v>347</v>
      </c>
      <c r="C6978" s="226" t="s">
        <v>784</v>
      </c>
      <c r="D6978" s="708">
        <v>200.0</v>
      </c>
      <c r="E6978" s="975">
        <v>5.52</v>
      </c>
      <c r="F6978" s="709"/>
      <c r="G6978" s="195"/>
      <c r="H6978" s="976">
        <v>-1.02</v>
      </c>
      <c r="I6978" s="256"/>
      <c r="J6978" s="67">
        <f t="shared" ref="J6978:J7022" si="422">IF(B6978="SLD",D6978*E6978,-D6978*E6978)-H6978</f>
        <v>1105.02</v>
      </c>
      <c r="L6978" s="70"/>
      <c r="M6978" s="934"/>
    </row>
    <row r="6979" ht="12.75" hidden="1" customHeight="1" outlineLevel="1">
      <c r="A6979" s="122">
        <v>42201.0</v>
      </c>
      <c r="B6979" s="974" t="s">
        <v>347</v>
      </c>
      <c r="C6979" s="226" t="s">
        <v>784</v>
      </c>
      <c r="D6979" s="708">
        <v>900.0</v>
      </c>
      <c r="E6979" s="975">
        <v>5.52</v>
      </c>
      <c r="F6979" s="709"/>
      <c r="G6979" s="195"/>
      <c r="H6979" s="976">
        <v>-3.49</v>
      </c>
      <c r="I6979" s="256"/>
      <c r="J6979" s="67">
        <f t="shared" si="422"/>
        <v>4971.49</v>
      </c>
      <c r="L6979" s="70"/>
      <c r="M6979" s="934"/>
    </row>
    <row r="6980" ht="12.75" hidden="1" customHeight="1" outlineLevel="1">
      <c r="A6980" s="122">
        <v>42201.0</v>
      </c>
      <c r="B6980" s="974" t="s">
        <v>347</v>
      </c>
      <c r="C6980" s="226" t="s">
        <v>784</v>
      </c>
      <c r="D6980" s="708">
        <v>100.0</v>
      </c>
      <c r="E6980" s="975">
        <v>5.52</v>
      </c>
      <c r="F6980" s="709"/>
      <c r="G6980" s="195"/>
      <c r="H6980" s="976">
        <v>-0.41</v>
      </c>
      <c r="I6980" s="256"/>
      <c r="J6980" s="67">
        <f t="shared" si="422"/>
        <v>552.41</v>
      </c>
      <c r="L6980" s="70"/>
      <c r="M6980" s="934"/>
    </row>
    <row r="6981" ht="12.75" hidden="1" customHeight="1" outlineLevel="1">
      <c r="A6981" s="122">
        <v>42202.0</v>
      </c>
      <c r="B6981" s="974" t="s">
        <v>347</v>
      </c>
      <c r="C6981" s="226" t="s">
        <v>1839</v>
      </c>
      <c r="D6981" s="977">
        <v>650.0</v>
      </c>
      <c r="E6981" s="975">
        <v>10.871</v>
      </c>
      <c r="F6981" s="709"/>
      <c r="G6981" s="195"/>
      <c r="H6981" s="976">
        <v>-2.73</v>
      </c>
      <c r="I6981" s="256"/>
      <c r="J6981" s="67">
        <f t="shared" si="422"/>
        <v>7068.88</v>
      </c>
      <c r="L6981" s="70"/>
      <c r="M6981" s="934"/>
    </row>
    <row r="6982" ht="12.75" hidden="1" customHeight="1" outlineLevel="1">
      <c r="A6982" s="122">
        <v>42202.0</v>
      </c>
      <c r="B6982" s="974" t="s">
        <v>347</v>
      </c>
      <c r="C6982" s="226" t="s">
        <v>1633</v>
      </c>
      <c r="D6982" s="977">
        <v>400.0</v>
      </c>
      <c r="E6982" s="975">
        <v>17.351</v>
      </c>
      <c r="F6982" s="709"/>
      <c r="G6982" s="195"/>
      <c r="H6982" s="976">
        <v>-1.73</v>
      </c>
      <c r="I6982" s="256"/>
      <c r="J6982" s="67">
        <f t="shared" si="422"/>
        <v>6942.13</v>
      </c>
      <c r="L6982" s="70"/>
      <c r="M6982" s="934"/>
    </row>
    <row r="6983" ht="12.75" hidden="1" customHeight="1" outlineLevel="1">
      <c r="A6983" s="122">
        <v>42202.0</v>
      </c>
      <c r="B6983" s="974" t="s">
        <v>347</v>
      </c>
      <c r="C6983" s="226" t="s">
        <v>3024</v>
      </c>
      <c r="D6983" s="977">
        <v>200.0</v>
      </c>
      <c r="E6983" s="975">
        <v>20.93</v>
      </c>
      <c r="F6983" s="709"/>
      <c r="G6983" s="195"/>
      <c r="H6983" s="976">
        <v>-1.08</v>
      </c>
      <c r="I6983" s="256"/>
      <c r="J6983" s="67">
        <f t="shared" si="422"/>
        <v>4187.08</v>
      </c>
      <c r="L6983" s="70"/>
      <c r="M6983" s="934"/>
    </row>
    <row r="6984" ht="12.75" hidden="1" customHeight="1" outlineLevel="1">
      <c r="A6984" s="122">
        <v>42202.0</v>
      </c>
      <c r="B6984" s="974" t="s">
        <v>347</v>
      </c>
      <c r="C6984" s="226" t="s">
        <v>3024</v>
      </c>
      <c r="D6984" s="977">
        <v>100.0</v>
      </c>
      <c r="E6984" s="975">
        <v>20.9308</v>
      </c>
      <c r="F6984" s="709"/>
      <c r="G6984" s="195"/>
      <c r="H6984" s="976">
        <v>-0.44</v>
      </c>
      <c r="I6984" s="256"/>
      <c r="J6984" s="67">
        <f t="shared" si="422"/>
        <v>2093.52</v>
      </c>
      <c r="L6984" s="70"/>
      <c r="M6984" s="934"/>
    </row>
    <row r="6985" ht="12.75" hidden="1" customHeight="1" outlineLevel="1">
      <c r="A6985" s="122">
        <v>42202.0</v>
      </c>
      <c r="B6985" s="974" t="s">
        <v>347</v>
      </c>
      <c r="C6985" s="226" t="s">
        <v>3024</v>
      </c>
      <c r="D6985" s="977">
        <v>300.0</v>
      </c>
      <c r="E6985" s="975">
        <v>20.8902</v>
      </c>
      <c r="F6985" s="709"/>
      <c r="G6985" s="195"/>
      <c r="H6985" s="976">
        <v>-1.32</v>
      </c>
      <c r="I6985" s="256"/>
      <c r="J6985" s="67">
        <f t="shared" si="422"/>
        <v>6268.38</v>
      </c>
      <c r="L6985" s="70"/>
      <c r="M6985" s="934"/>
    </row>
    <row r="6986" ht="12.75" hidden="1" customHeight="1" outlineLevel="1">
      <c r="A6986" s="122">
        <v>42202.0</v>
      </c>
      <c r="B6986" s="974" t="s">
        <v>347</v>
      </c>
      <c r="C6986" s="226" t="s">
        <v>3024</v>
      </c>
      <c r="D6986" s="977">
        <v>300.0</v>
      </c>
      <c r="E6986" s="975">
        <v>20.8602</v>
      </c>
      <c r="F6986" s="709"/>
      <c r="G6986" s="195"/>
      <c r="H6986" s="976">
        <v>-1.32</v>
      </c>
      <c r="I6986" s="256"/>
      <c r="J6986" s="67">
        <f t="shared" si="422"/>
        <v>6259.38</v>
      </c>
      <c r="L6986" s="70"/>
      <c r="M6986" s="934"/>
    </row>
    <row r="6987" ht="12.75" hidden="1" customHeight="1" outlineLevel="1">
      <c r="A6987" s="122">
        <v>42202.0</v>
      </c>
      <c r="B6987" s="974" t="s">
        <v>347</v>
      </c>
      <c r="C6987" s="226" t="s">
        <v>790</v>
      </c>
      <c r="D6987" s="977">
        <v>800.0</v>
      </c>
      <c r="E6987" s="975">
        <v>8.06</v>
      </c>
      <c r="F6987" s="709"/>
      <c r="G6987" s="195"/>
      <c r="H6987" s="976">
        <v>-3.32</v>
      </c>
      <c r="I6987" s="256"/>
      <c r="J6987" s="67">
        <f t="shared" si="422"/>
        <v>6451.32</v>
      </c>
      <c r="L6987" s="70"/>
      <c r="M6987" s="934"/>
    </row>
    <row r="6988" ht="12.75" hidden="1" customHeight="1" outlineLevel="1">
      <c r="A6988" s="122">
        <v>42202.0</v>
      </c>
      <c r="B6988" s="974" t="s">
        <v>347</v>
      </c>
      <c r="C6988" s="226" t="s">
        <v>790</v>
      </c>
      <c r="D6988" s="977">
        <v>400.0</v>
      </c>
      <c r="E6988" s="975">
        <v>8.0001</v>
      </c>
      <c r="F6988" s="709"/>
      <c r="G6988" s="195"/>
      <c r="H6988" s="976">
        <v>-1.66</v>
      </c>
      <c r="I6988" s="256"/>
      <c r="J6988" s="67">
        <f t="shared" si="422"/>
        <v>3201.7</v>
      </c>
      <c r="L6988" s="70"/>
      <c r="M6988" s="934"/>
    </row>
    <row r="6989" ht="12.75" hidden="1" customHeight="1" outlineLevel="1">
      <c r="A6989" s="122">
        <v>42202.0</v>
      </c>
      <c r="B6989" s="974" t="s">
        <v>347</v>
      </c>
      <c r="C6989" s="226" t="s">
        <v>790</v>
      </c>
      <c r="D6989" s="977">
        <v>200.0</v>
      </c>
      <c r="E6989" s="975">
        <v>8.01</v>
      </c>
      <c r="F6989" s="709"/>
      <c r="G6989" s="195"/>
      <c r="H6989" s="976">
        <v>-1.03</v>
      </c>
      <c r="I6989" s="256"/>
      <c r="J6989" s="67">
        <f t="shared" si="422"/>
        <v>1603.03</v>
      </c>
      <c r="L6989" s="70"/>
      <c r="M6989" s="934"/>
    </row>
    <row r="6990" ht="12.75" hidden="1" customHeight="1" outlineLevel="1">
      <c r="A6990" s="122">
        <v>42202.0</v>
      </c>
      <c r="B6990" s="974" t="s">
        <v>347</v>
      </c>
      <c r="C6990" s="226" t="s">
        <v>790</v>
      </c>
      <c r="D6990" s="977">
        <v>600.0</v>
      </c>
      <c r="E6990" s="975">
        <v>8.0101</v>
      </c>
      <c r="F6990" s="709"/>
      <c r="G6990" s="195"/>
      <c r="H6990" s="976">
        <v>-2.29</v>
      </c>
      <c r="I6990" s="256"/>
      <c r="J6990" s="67">
        <f t="shared" si="422"/>
        <v>4808.35</v>
      </c>
      <c r="L6990" s="70"/>
      <c r="M6990" s="934"/>
    </row>
    <row r="6991" ht="12.75" hidden="1" customHeight="1" outlineLevel="1">
      <c r="A6991" s="122">
        <v>42202.0</v>
      </c>
      <c r="B6991" s="974" t="s">
        <v>347</v>
      </c>
      <c r="C6991" s="226" t="s">
        <v>2048</v>
      </c>
      <c r="D6991" s="977">
        <v>750.0</v>
      </c>
      <c r="E6991" s="975">
        <v>9.071</v>
      </c>
      <c r="F6991" s="709"/>
      <c r="G6991" s="195"/>
      <c r="H6991" s="976">
        <v>-3.13</v>
      </c>
      <c r="I6991" s="256"/>
      <c r="J6991" s="67">
        <f t="shared" si="422"/>
        <v>6806.38</v>
      </c>
      <c r="L6991" s="70"/>
      <c r="M6991" s="934"/>
    </row>
    <row r="6992" ht="12.75" hidden="1" customHeight="1" outlineLevel="1">
      <c r="A6992" s="122">
        <v>42202.0</v>
      </c>
      <c r="B6992" s="974" t="s">
        <v>347</v>
      </c>
      <c r="C6992" s="226" t="s">
        <v>2048</v>
      </c>
      <c r="D6992" s="977">
        <v>100.0</v>
      </c>
      <c r="E6992" s="975">
        <v>9.05</v>
      </c>
      <c r="F6992" s="709"/>
      <c r="G6992" s="195"/>
      <c r="H6992" s="976">
        <v>-1.02</v>
      </c>
      <c r="I6992" s="256"/>
      <c r="J6992" s="67">
        <f t="shared" si="422"/>
        <v>906.02</v>
      </c>
      <c r="L6992" s="70"/>
      <c r="M6992" s="934"/>
    </row>
    <row r="6993" ht="12.75" hidden="1" customHeight="1" outlineLevel="1">
      <c r="A6993" s="122">
        <v>42202.0</v>
      </c>
      <c r="B6993" s="974" t="s">
        <v>347</v>
      </c>
      <c r="C6993" s="226" t="s">
        <v>2048</v>
      </c>
      <c r="D6993" s="977">
        <v>200.0</v>
      </c>
      <c r="E6993" s="975">
        <v>9.05</v>
      </c>
      <c r="F6993" s="709"/>
      <c r="G6993" s="195"/>
      <c r="H6993" s="976">
        <v>-0.53</v>
      </c>
      <c r="I6993" s="256"/>
      <c r="J6993" s="67">
        <f t="shared" si="422"/>
        <v>1810.53</v>
      </c>
      <c r="L6993" s="70"/>
      <c r="M6993" s="934"/>
    </row>
    <row r="6994" ht="12.75" hidden="1" customHeight="1" outlineLevel="1">
      <c r="A6994" s="122">
        <v>42202.0</v>
      </c>
      <c r="B6994" s="974" t="s">
        <v>347</v>
      </c>
      <c r="C6994" s="226" t="s">
        <v>2090</v>
      </c>
      <c r="D6994" s="977">
        <v>100.0</v>
      </c>
      <c r="E6994" s="975">
        <v>8.66</v>
      </c>
      <c r="F6994" s="709"/>
      <c r="G6994" s="195"/>
      <c r="H6994" s="976">
        <v>-1.02</v>
      </c>
      <c r="I6994" s="256"/>
      <c r="J6994" s="67">
        <f t="shared" si="422"/>
        <v>867.02</v>
      </c>
      <c r="L6994" s="70"/>
      <c r="M6994" s="934"/>
    </row>
    <row r="6995" ht="12.75" hidden="1" customHeight="1" outlineLevel="1">
      <c r="A6995" s="122">
        <v>42202.0</v>
      </c>
      <c r="B6995" s="974" t="s">
        <v>347</v>
      </c>
      <c r="C6995" s="226" t="s">
        <v>2090</v>
      </c>
      <c r="D6995" s="977">
        <v>200.0</v>
      </c>
      <c r="E6995" s="975">
        <v>8.66</v>
      </c>
      <c r="F6995" s="709"/>
      <c r="G6995" s="195"/>
      <c r="H6995" s="976">
        <v>-0.53</v>
      </c>
      <c r="I6995" s="256"/>
      <c r="J6995" s="67">
        <f t="shared" si="422"/>
        <v>1732.53</v>
      </c>
      <c r="L6995" s="70"/>
      <c r="M6995" s="934"/>
    </row>
    <row r="6996" ht="12.75" hidden="1" customHeight="1" outlineLevel="1">
      <c r="A6996" s="122">
        <v>42202.0</v>
      </c>
      <c r="B6996" s="974" t="s">
        <v>347</v>
      </c>
      <c r="C6996" s="226" t="s">
        <v>2090</v>
      </c>
      <c r="D6996" s="977">
        <v>200.0</v>
      </c>
      <c r="E6996" s="975">
        <v>8.66</v>
      </c>
      <c r="F6996" s="709"/>
      <c r="G6996" s="195"/>
      <c r="H6996" s="976">
        <v>-1.03</v>
      </c>
      <c r="I6996" s="256"/>
      <c r="J6996" s="67">
        <f t="shared" si="422"/>
        <v>1733.03</v>
      </c>
      <c r="L6996" s="70"/>
      <c r="M6996" s="934"/>
    </row>
    <row r="6997" ht="12.75" hidden="1" customHeight="1" outlineLevel="1">
      <c r="A6997" s="122">
        <v>42202.0</v>
      </c>
      <c r="B6997" s="974" t="s">
        <v>347</v>
      </c>
      <c r="C6997" s="226" t="s">
        <v>2090</v>
      </c>
      <c r="D6997" s="977">
        <v>300.0</v>
      </c>
      <c r="E6997" s="975">
        <v>8.66</v>
      </c>
      <c r="F6997" s="709"/>
      <c r="G6997" s="195"/>
      <c r="H6997" s="976">
        <v>-1.55</v>
      </c>
      <c r="I6997" s="256"/>
      <c r="J6997" s="67">
        <f t="shared" si="422"/>
        <v>2599.55</v>
      </c>
      <c r="L6997" s="70"/>
      <c r="M6997" s="934"/>
    </row>
    <row r="6998" ht="12.75" hidden="1" customHeight="1" outlineLevel="1">
      <c r="A6998" s="122">
        <v>42202.0</v>
      </c>
      <c r="B6998" s="974" t="s">
        <v>347</v>
      </c>
      <c r="C6998" s="226" t="s">
        <v>2090</v>
      </c>
      <c r="D6998" s="977">
        <v>200.0</v>
      </c>
      <c r="E6998" s="975">
        <v>8.66</v>
      </c>
      <c r="F6998" s="709"/>
      <c r="G6998" s="195"/>
      <c r="H6998" s="976">
        <v>-1.03</v>
      </c>
      <c r="I6998" s="256"/>
      <c r="J6998" s="67">
        <f t="shared" si="422"/>
        <v>1733.03</v>
      </c>
      <c r="L6998" s="70"/>
      <c r="M6998" s="934"/>
    </row>
    <row r="6999" ht="12.75" hidden="1" customHeight="1" outlineLevel="1">
      <c r="A6999" s="122">
        <v>42202.0</v>
      </c>
      <c r="B6999" s="974" t="s">
        <v>347</v>
      </c>
      <c r="C6999" s="226" t="s">
        <v>2090</v>
      </c>
      <c r="D6999" s="977">
        <v>100.0</v>
      </c>
      <c r="E6999" s="975">
        <v>8.7</v>
      </c>
      <c r="F6999" s="709"/>
      <c r="G6999" s="195"/>
      <c r="H6999" s="976">
        <v>-1.02</v>
      </c>
      <c r="I6999" s="256"/>
      <c r="J6999" s="67">
        <f t="shared" si="422"/>
        <v>871.02</v>
      </c>
      <c r="L6999" s="70"/>
      <c r="M6999" s="934"/>
    </row>
    <row r="7000" ht="12.75" hidden="1" customHeight="1" outlineLevel="1">
      <c r="A7000" s="122">
        <v>42202.0</v>
      </c>
      <c r="B7000" s="974" t="s">
        <v>347</v>
      </c>
      <c r="C7000" s="226" t="s">
        <v>2090</v>
      </c>
      <c r="D7000" s="977">
        <v>600.0</v>
      </c>
      <c r="E7000" s="975">
        <v>8.7</v>
      </c>
      <c r="F7000" s="709"/>
      <c r="G7000" s="195"/>
      <c r="H7000" s="976">
        <v>-2.0</v>
      </c>
      <c r="I7000" s="256"/>
      <c r="J7000" s="67">
        <f t="shared" si="422"/>
        <v>5222</v>
      </c>
      <c r="L7000" s="70"/>
      <c r="M7000" s="934"/>
    </row>
    <row r="7001" ht="12.75" hidden="1" customHeight="1" outlineLevel="1">
      <c r="A7001" s="122">
        <v>42202.0</v>
      </c>
      <c r="B7001" s="974" t="s">
        <v>347</v>
      </c>
      <c r="C7001" s="226" t="s">
        <v>2090</v>
      </c>
      <c r="D7001" s="977">
        <v>300.0</v>
      </c>
      <c r="E7001" s="975">
        <v>8.7</v>
      </c>
      <c r="F7001" s="709"/>
      <c r="G7001" s="195"/>
      <c r="H7001" s="976">
        <v>-1.55</v>
      </c>
      <c r="I7001" s="256"/>
      <c r="J7001" s="67">
        <f t="shared" si="422"/>
        <v>2611.55</v>
      </c>
      <c r="L7001" s="70"/>
      <c r="M7001" s="934"/>
    </row>
    <row r="7002" ht="12.75" hidden="1" customHeight="1" outlineLevel="1">
      <c r="A7002" s="122">
        <v>42202.0</v>
      </c>
      <c r="B7002" s="974" t="s">
        <v>347</v>
      </c>
      <c r="C7002" s="226" t="s">
        <v>784</v>
      </c>
      <c r="D7002" s="977">
        <v>100.0</v>
      </c>
      <c r="E7002" s="975">
        <v>5.43</v>
      </c>
      <c r="F7002" s="709"/>
      <c r="G7002" s="195"/>
      <c r="H7002" s="976">
        <v>-1.01</v>
      </c>
      <c r="I7002" s="256"/>
      <c r="J7002" s="67">
        <f t="shared" si="422"/>
        <v>544.01</v>
      </c>
      <c r="L7002" s="70"/>
      <c r="M7002" s="934"/>
    </row>
    <row r="7003" ht="12.75" hidden="1" customHeight="1" outlineLevel="1">
      <c r="A7003" s="122">
        <v>42202.0</v>
      </c>
      <c r="B7003" s="974" t="s">
        <v>347</v>
      </c>
      <c r="C7003" s="226" t="s">
        <v>784</v>
      </c>
      <c r="D7003" s="977">
        <v>200.0</v>
      </c>
      <c r="E7003" s="975">
        <v>5.43</v>
      </c>
      <c r="F7003" s="709"/>
      <c r="G7003" s="195"/>
      <c r="H7003" s="976">
        <v>-0.52</v>
      </c>
      <c r="I7003" s="256"/>
      <c r="J7003" s="67">
        <f t="shared" si="422"/>
        <v>1086.52</v>
      </c>
      <c r="L7003" s="70"/>
      <c r="M7003" s="934"/>
    </row>
    <row r="7004" ht="12.75" hidden="1" customHeight="1" outlineLevel="1">
      <c r="A7004" s="122">
        <v>42202.0</v>
      </c>
      <c r="B7004" s="974" t="s">
        <v>347</v>
      </c>
      <c r="C7004" s="226" t="s">
        <v>784</v>
      </c>
      <c r="D7004" s="977">
        <v>100.0</v>
      </c>
      <c r="E7004" s="975">
        <v>5.43</v>
      </c>
      <c r="F7004" s="709"/>
      <c r="G7004" s="195"/>
      <c r="H7004" s="976">
        <v>-0.51</v>
      </c>
      <c r="I7004" s="256"/>
      <c r="J7004" s="67">
        <f t="shared" si="422"/>
        <v>543.51</v>
      </c>
      <c r="L7004" s="70"/>
      <c r="M7004" s="934"/>
    </row>
    <row r="7005" ht="12.75" hidden="1" customHeight="1" outlineLevel="1">
      <c r="A7005" s="122">
        <v>42202.0</v>
      </c>
      <c r="B7005" s="974" t="s">
        <v>347</v>
      </c>
      <c r="C7005" s="226" t="s">
        <v>784</v>
      </c>
      <c r="D7005" s="977">
        <v>100.0</v>
      </c>
      <c r="E7005" s="975">
        <v>5.43</v>
      </c>
      <c r="F7005" s="709"/>
      <c r="G7005" s="195"/>
      <c r="H7005" s="976">
        <v>-0.51</v>
      </c>
      <c r="I7005" s="256"/>
      <c r="J7005" s="67">
        <f t="shared" si="422"/>
        <v>543.51</v>
      </c>
      <c r="L7005" s="70"/>
      <c r="M7005" s="934"/>
    </row>
    <row r="7006" ht="12.75" hidden="1" customHeight="1" outlineLevel="1">
      <c r="A7006" s="122">
        <v>42202.0</v>
      </c>
      <c r="B7006" s="974" t="s">
        <v>347</v>
      </c>
      <c r="C7006" s="226" t="s">
        <v>784</v>
      </c>
      <c r="D7006" s="977">
        <v>200.0</v>
      </c>
      <c r="E7006" s="975">
        <v>5.43</v>
      </c>
      <c r="F7006" s="709"/>
      <c r="G7006" s="195"/>
      <c r="H7006" s="976">
        <v>-1.02</v>
      </c>
      <c r="I7006" s="256"/>
      <c r="J7006" s="67">
        <f t="shared" si="422"/>
        <v>1087.02</v>
      </c>
      <c r="L7006" s="70"/>
      <c r="M7006" s="934"/>
    </row>
    <row r="7007" ht="12.75" hidden="1" customHeight="1" outlineLevel="1">
      <c r="A7007" s="122">
        <v>42202.0</v>
      </c>
      <c r="B7007" s="974" t="s">
        <v>347</v>
      </c>
      <c r="C7007" s="226" t="s">
        <v>784</v>
      </c>
      <c r="D7007" s="977">
        <v>50.0</v>
      </c>
      <c r="E7007" s="975">
        <v>5.43</v>
      </c>
      <c r="F7007" s="709"/>
      <c r="G7007" s="195"/>
      <c r="H7007" s="976">
        <v>-0.25</v>
      </c>
      <c r="I7007" s="256"/>
      <c r="J7007" s="67">
        <f t="shared" si="422"/>
        <v>271.75</v>
      </c>
      <c r="L7007" s="70"/>
      <c r="M7007" s="934"/>
    </row>
    <row r="7008" ht="12.75" hidden="1" customHeight="1" outlineLevel="1">
      <c r="A7008" s="122">
        <v>42202.0</v>
      </c>
      <c r="B7008" s="974" t="s">
        <v>347</v>
      </c>
      <c r="C7008" s="226" t="s">
        <v>784</v>
      </c>
      <c r="D7008" s="977">
        <v>100.0</v>
      </c>
      <c r="E7008" s="975">
        <v>5.42</v>
      </c>
      <c r="F7008" s="709"/>
      <c r="G7008" s="195"/>
      <c r="H7008" s="976">
        <v>-1.01</v>
      </c>
      <c r="I7008" s="256"/>
      <c r="J7008" s="67">
        <f t="shared" si="422"/>
        <v>543.01</v>
      </c>
      <c r="L7008" s="70"/>
      <c r="M7008" s="934"/>
    </row>
    <row r="7009" ht="12.75" hidden="1" customHeight="1" outlineLevel="1">
      <c r="A7009" s="122">
        <v>42202.0</v>
      </c>
      <c r="B7009" s="974" t="s">
        <v>347</v>
      </c>
      <c r="C7009" s="226" t="s">
        <v>784</v>
      </c>
      <c r="D7009" s="977">
        <v>200.0</v>
      </c>
      <c r="E7009" s="975">
        <v>5.42</v>
      </c>
      <c r="F7009" s="709"/>
      <c r="G7009" s="195"/>
      <c r="H7009" s="976">
        <v>-0.52</v>
      </c>
      <c r="I7009" s="256"/>
      <c r="J7009" s="67">
        <f t="shared" si="422"/>
        <v>1084.52</v>
      </c>
      <c r="L7009" s="70"/>
      <c r="M7009" s="934"/>
    </row>
    <row r="7010" ht="12.75" hidden="1" customHeight="1" outlineLevel="1">
      <c r="A7010" s="122">
        <v>42202.0</v>
      </c>
      <c r="B7010" s="974" t="s">
        <v>347</v>
      </c>
      <c r="C7010" s="226" t="s">
        <v>784</v>
      </c>
      <c r="D7010" s="977">
        <v>100.0</v>
      </c>
      <c r="E7010" s="975">
        <v>5.42</v>
      </c>
      <c r="F7010" s="709"/>
      <c r="G7010" s="195"/>
      <c r="H7010" s="976">
        <v>-0.51</v>
      </c>
      <c r="I7010" s="256"/>
      <c r="J7010" s="67">
        <f t="shared" si="422"/>
        <v>542.51</v>
      </c>
      <c r="L7010" s="70"/>
      <c r="M7010" s="934"/>
    </row>
    <row r="7011" ht="12.75" hidden="1" customHeight="1" outlineLevel="1">
      <c r="A7011" s="122">
        <v>42202.0</v>
      </c>
      <c r="B7011" s="974" t="s">
        <v>347</v>
      </c>
      <c r="C7011" s="226" t="s">
        <v>784</v>
      </c>
      <c r="D7011" s="977">
        <v>50.0</v>
      </c>
      <c r="E7011" s="975">
        <v>5.42</v>
      </c>
      <c r="F7011" s="709"/>
      <c r="G7011" s="195"/>
      <c r="H7011" s="976">
        <v>-0.2</v>
      </c>
      <c r="I7011" s="256"/>
      <c r="J7011" s="67">
        <f t="shared" si="422"/>
        <v>271.2</v>
      </c>
      <c r="L7011" s="70"/>
      <c r="M7011" s="934"/>
    </row>
    <row r="7012" ht="12.75" hidden="1" customHeight="1" outlineLevel="1">
      <c r="A7012" s="122">
        <v>42202.0</v>
      </c>
      <c r="B7012" s="974" t="s">
        <v>347</v>
      </c>
      <c r="C7012" s="226" t="s">
        <v>784</v>
      </c>
      <c r="D7012" s="977">
        <v>300.0</v>
      </c>
      <c r="E7012" s="975">
        <v>5.42</v>
      </c>
      <c r="F7012" s="709"/>
      <c r="G7012" s="195"/>
      <c r="H7012" s="976">
        <v>-1.53</v>
      </c>
      <c r="I7012" s="256"/>
      <c r="J7012" s="67">
        <f t="shared" si="422"/>
        <v>1627.53</v>
      </c>
      <c r="L7012" s="70"/>
      <c r="M7012" s="934"/>
    </row>
    <row r="7013" ht="12.75" hidden="1" customHeight="1" outlineLevel="1">
      <c r="A7013" s="122">
        <v>42202.0</v>
      </c>
      <c r="B7013" s="974" t="s">
        <v>347</v>
      </c>
      <c r="C7013" s="226" t="s">
        <v>784</v>
      </c>
      <c r="D7013" s="977">
        <v>100.0</v>
      </c>
      <c r="E7013" s="975">
        <v>5.42</v>
      </c>
      <c r="F7013" s="709"/>
      <c r="G7013" s="195"/>
      <c r="H7013" s="976">
        <v>-0.51</v>
      </c>
      <c r="I7013" s="256"/>
      <c r="J7013" s="67">
        <f t="shared" si="422"/>
        <v>542.51</v>
      </c>
      <c r="L7013" s="70"/>
      <c r="M7013" s="934"/>
    </row>
    <row r="7014" ht="12.75" hidden="1" customHeight="1" outlineLevel="1">
      <c r="A7014" s="122">
        <v>42202.0</v>
      </c>
      <c r="B7014" s="974" t="s">
        <v>347</v>
      </c>
      <c r="C7014" s="226" t="s">
        <v>784</v>
      </c>
      <c r="D7014" s="977">
        <v>100.0</v>
      </c>
      <c r="E7014" s="975">
        <v>5.42</v>
      </c>
      <c r="F7014" s="709"/>
      <c r="G7014" s="195"/>
      <c r="H7014" s="976">
        <v>-0.51</v>
      </c>
      <c r="I7014" s="256"/>
      <c r="J7014" s="67">
        <f t="shared" si="422"/>
        <v>542.51</v>
      </c>
      <c r="L7014" s="70"/>
      <c r="M7014" s="934"/>
    </row>
    <row r="7015" ht="12.75" hidden="1" customHeight="1" outlineLevel="1">
      <c r="A7015" s="122">
        <v>42202.0</v>
      </c>
      <c r="B7015" s="974" t="s">
        <v>347</v>
      </c>
      <c r="C7015" s="226" t="s">
        <v>784</v>
      </c>
      <c r="D7015" s="977">
        <v>300.0</v>
      </c>
      <c r="E7015" s="975">
        <v>5.42</v>
      </c>
      <c r="F7015" s="709"/>
      <c r="G7015" s="195"/>
      <c r="H7015" s="976">
        <v>-1.53</v>
      </c>
      <c r="I7015" s="256"/>
      <c r="J7015" s="67">
        <f t="shared" si="422"/>
        <v>1627.53</v>
      </c>
      <c r="L7015" s="70"/>
      <c r="M7015" s="934"/>
    </row>
    <row r="7016" ht="12.75" hidden="1" customHeight="1" outlineLevel="1">
      <c r="A7016" s="122">
        <v>42202.0</v>
      </c>
      <c r="B7016" s="974" t="s">
        <v>347</v>
      </c>
      <c r="C7016" s="226" t="s">
        <v>784</v>
      </c>
      <c r="D7016" s="977">
        <v>200.0</v>
      </c>
      <c r="E7016" s="975">
        <v>5.41</v>
      </c>
      <c r="F7016" s="709"/>
      <c r="G7016" s="195"/>
      <c r="H7016" s="976">
        <v>-1.02</v>
      </c>
      <c r="I7016" s="256"/>
      <c r="J7016" s="67">
        <f t="shared" si="422"/>
        <v>1083.02</v>
      </c>
      <c r="L7016" s="70"/>
      <c r="M7016" s="934"/>
    </row>
    <row r="7017" ht="12.75" hidden="1" customHeight="1" outlineLevel="1">
      <c r="A7017" s="122">
        <v>42202.0</v>
      </c>
      <c r="B7017" s="974" t="s">
        <v>347</v>
      </c>
      <c r="C7017" s="226" t="s">
        <v>784</v>
      </c>
      <c r="D7017" s="977">
        <v>200.0</v>
      </c>
      <c r="E7017" s="975">
        <v>5.41</v>
      </c>
      <c r="F7017" s="709"/>
      <c r="G7017" s="195"/>
      <c r="H7017" s="976">
        <v>-1.02</v>
      </c>
      <c r="I7017" s="256"/>
      <c r="J7017" s="67">
        <f t="shared" si="422"/>
        <v>1083.02</v>
      </c>
      <c r="L7017" s="70"/>
      <c r="M7017" s="934"/>
    </row>
    <row r="7018" ht="12.75" hidden="1" customHeight="1" outlineLevel="1">
      <c r="A7018" s="122">
        <v>42202.0</v>
      </c>
      <c r="B7018" s="974" t="s">
        <v>347</v>
      </c>
      <c r="C7018" s="226" t="s">
        <v>784</v>
      </c>
      <c r="D7018" s="977">
        <v>100.0</v>
      </c>
      <c r="E7018" s="975">
        <v>5.41</v>
      </c>
      <c r="F7018" s="709"/>
      <c r="G7018" s="195"/>
      <c r="H7018" s="976">
        <v>-0.51</v>
      </c>
      <c r="I7018" s="256"/>
      <c r="J7018" s="67">
        <f t="shared" si="422"/>
        <v>541.51</v>
      </c>
      <c r="L7018" s="70"/>
      <c r="M7018" s="934"/>
    </row>
    <row r="7019" ht="12.75" hidden="1" customHeight="1" outlineLevel="1">
      <c r="A7019" s="122">
        <v>42202.0</v>
      </c>
      <c r="B7019" s="974" t="s">
        <v>347</v>
      </c>
      <c r="C7019" s="226" t="s">
        <v>784</v>
      </c>
      <c r="D7019" s="977">
        <v>900.0</v>
      </c>
      <c r="E7019" s="975">
        <v>5.41</v>
      </c>
      <c r="F7019" s="709"/>
      <c r="G7019" s="195"/>
      <c r="H7019" s="976">
        <v>-3.69</v>
      </c>
      <c r="I7019" s="256"/>
      <c r="J7019" s="67">
        <f t="shared" si="422"/>
        <v>4872.69</v>
      </c>
      <c r="L7019" s="70"/>
      <c r="M7019" s="934"/>
    </row>
    <row r="7020" ht="12.75" hidden="1" customHeight="1" outlineLevel="1">
      <c r="A7020" s="122">
        <v>42202.0</v>
      </c>
      <c r="B7020" s="974" t="s">
        <v>347</v>
      </c>
      <c r="C7020" s="226" t="s">
        <v>784</v>
      </c>
      <c r="D7020" s="977">
        <v>100.0</v>
      </c>
      <c r="E7020" s="975">
        <v>5.41</v>
      </c>
      <c r="F7020" s="709"/>
      <c r="G7020" s="195"/>
      <c r="H7020" s="976">
        <v>-0.41</v>
      </c>
      <c r="I7020" s="256"/>
      <c r="J7020" s="67">
        <f t="shared" si="422"/>
        <v>541.41</v>
      </c>
      <c r="L7020" s="70"/>
      <c r="M7020" s="934"/>
    </row>
    <row r="7021" ht="12.75" hidden="1" customHeight="1" outlineLevel="1">
      <c r="A7021" s="122">
        <v>42202.0</v>
      </c>
      <c r="B7021" s="974" t="s">
        <v>347</v>
      </c>
      <c r="C7021" s="226" t="s">
        <v>2195</v>
      </c>
      <c r="D7021" s="977">
        <v>100.0</v>
      </c>
      <c r="E7021" s="975">
        <v>17.01</v>
      </c>
      <c r="F7021" s="709"/>
      <c r="G7021" s="195"/>
      <c r="H7021" s="976">
        <v>-1.03</v>
      </c>
      <c r="I7021" s="256"/>
      <c r="J7021" s="67">
        <f t="shared" si="422"/>
        <v>1702.03</v>
      </c>
      <c r="L7021" s="70"/>
      <c r="M7021" s="934"/>
    </row>
    <row r="7022" ht="12.75" hidden="1" customHeight="1" outlineLevel="1">
      <c r="A7022" s="122">
        <v>42202.0</v>
      </c>
      <c r="B7022" s="974" t="s">
        <v>347</v>
      </c>
      <c r="C7022" s="226" t="s">
        <v>2195</v>
      </c>
      <c r="D7022" s="977">
        <v>300.0</v>
      </c>
      <c r="E7022" s="975">
        <v>17.0</v>
      </c>
      <c r="F7022" s="709"/>
      <c r="G7022" s="195"/>
      <c r="H7022" s="976">
        <v>-0.69</v>
      </c>
      <c r="I7022" s="256"/>
      <c r="J7022" s="67">
        <f t="shared" si="422"/>
        <v>5100.69</v>
      </c>
      <c r="L7022" s="70"/>
      <c r="M7022" s="934"/>
    </row>
    <row r="7023" ht="12.75" hidden="1" customHeight="1" outlineLevel="1">
      <c r="A7023" s="122">
        <v>42202.0</v>
      </c>
      <c r="B7023" s="974"/>
      <c r="C7023" s="32" t="s">
        <v>339</v>
      </c>
      <c r="D7023" s="708"/>
      <c r="E7023" s="195"/>
      <c r="F7023" s="709"/>
      <c r="G7023" s="195"/>
      <c r="H7023" s="710"/>
      <c r="I7023" s="256"/>
      <c r="J7023" s="67"/>
      <c r="K7023" s="968" t="s">
        <v>3060</v>
      </c>
      <c r="L7023" s="934"/>
      <c r="M7023" s="934"/>
    </row>
    <row r="7024" ht="12.75" hidden="1" customHeight="1" outlineLevel="1">
      <c r="A7024" s="122">
        <v>42202.0</v>
      </c>
      <c r="B7024" s="974"/>
      <c r="C7024" s="32" t="s">
        <v>429</v>
      </c>
      <c r="D7024" s="708"/>
      <c r="E7024" s="195"/>
      <c r="F7024" s="709"/>
      <c r="G7024" s="195"/>
      <c r="H7024" s="710"/>
      <c r="I7024" s="256"/>
      <c r="J7024" s="67"/>
      <c r="K7024" s="9" t="s">
        <v>3049</v>
      </c>
      <c r="L7024" s="934"/>
      <c r="M7024" s="934"/>
    </row>
    <row r="7025" ht="12.75" hidden="1" customHeight="1" outlineLevel="1">
      <c r="A7025" s="122">
        <v>42202.0</v>
      </c>
      <c r="B7025" s="974"/>
      <c r="C7025" s="32" t="s">
        <v>431</v>
      </c>
      <c r="D7025" s="708"/>
      <c r="E7025" s="195"/>
      <c r="F7025" s="709"/>
      <c r="G7025" s="195"/>
      <c r="H7025" s="710"/>
      <c r="I7025" s="256"/>
      <c r="J7025" s="67"/>
      <c r="K7025" s="7" t="s">
        <v>1126</v>
      </c>
      <c r="L7025" s="934"/>
      <c r="M7025" s="934"/>
    </row>
    <row r="7026" ht="12.75" hidden="1" customHeight="1" outlineLevel="1">
      <c r="A7026" s="122">
        <v>42202.0</v>
      </c>
      <c r="B7026" s="974"/>
      <c r="C7026" s="32" t="s">
        <v>433</v>
      </c>
      <c r="D7026" s="708"/>
      <c r="E7026" s="195"/>
      <c r="F7026" s="709"/>
      <c r="G7026" s="195"/>
      <c r="H7026" s="710"/>
      <c r="I7026" s="256"/>
      <c r="J7026" s="67"/>
      <c r="K7026" s="7" t="s">
        <v>1103</v>
      </c>
      <c r="L7026" s="934"/>
      <c r="M7026" s="934"/>
    </row>
    <row r="7027" ht="12.75" hidden="1" customHeight="1" outlineLevel="1">
      <c r="A7027" s="122">
        <v>42202.0</v>
      </c>
      <c r="B7027" s="974"/>
      <c r="C7027" s="32" t="s">
        <v>435</v>
      </c>
      <c r="D7027" s="708"/>
      <c r="E7027" s="195"/>
      <c r="F7027" s="709"/>
      <c r="G7027" s="195"/>
      <c r="H7027" s="710"/>
      <c r="I7027" s="256"/>
      <c r="J7027" s="67"/>
      <c r="K7027" s="9" t="s">
        <v>2802</v>
      </c>
      <c r="L7027" s="934"/>
      <c r="M7027" s="934"/>
    </row>
    <row r="7028" ht="12.75" hidden="1" customHeight="1" outlineLevel="1">
      <c r="A7028" s="122">
        <v>42205.0</v>
      </c>
      <c r="B7028" s="32" t="s">
        <v>347</v>
      </c>
      <c r="C7028" s="32" t="s">
        <v>2048</v>
      </c>
      <c r="D7028" s="708">
        <v>750.0</v>
      </c>
      <c r="E7028" s="195">
        <v>8.811</v>
      </c>
      <c r="F7028" s="709">
        <v>0.43444444444444447</v>
      </c>
      <c r="G7028" s="195" t="s">
        <v>453</v>
      </c>
      <c r="H7028" s="710">
        <v>3.12</v>
      </c>
      <c r="I7028" s="256"/>
      <c r="J7028" s="67">
        <f t="shared" ref="J7028:J7044" si="423">IF(B7028="SLD",D7028*E7028,-D7028*E7028)-H7028</f>
        <v>6605.13</v>
      </c>
      <c r="L7028" s="70"/>
      <c r="M7028" s="934"/>
      <c r="N7028" s="94"/>
      <c r="O7028" s="94"/>
      <c r="P7028" s="94"/>
      <c r="Q7028" s="94"/>
      <c r="R7028" s="94"/>
      <c r="S7028" s="94"/>
      <c r="T7028" s="94"/>
      <c r="U7028" s="94"/>
      <c r="V7028" s="94"/>
      <c r="W7028" s="94"/>
      <c r="X7028" s="94"/>
      <c r="Y7028" s="94"/>
      <c r="Z7028" s="94"/>
      <c r="AA7028" s="94"/>
      <c r="AB7028" s="94"/>
      <c r="AC7028" s="94"/>
      <c r="AD7028" s="94"/>
      <c r="AE7028" s="94"/>
      <c r="AF7028" s="94"/>
      <c r="AG7028" s="94"/>
      <c r="AH7028" s="94"/>
    </row>
    <row r="7029" ht="12.75" hidden="1" customHeight="1" outlineLevel="1">
      <c r="A7029" s="122">
        <v>42205.0</v>
      </c>
      <c r="B7029" s="32" t="s">
        <v>347</v>
      </c>
      <c r="C7029" s="32" t="s">
        <v>2090</v>
      </c>
      <c r="D7029" s="708">
        <v>750.0</v>
      </c>
      <c r="E7029" s="195">
        <v>8.34</v>
      </c>
      <c r="F7029" s="709">
        <v>0.4345601851851852</v>
      </c>
      <c r="G7029" s="195" t="s">
        <v>453</v>
      </c>
      <c r="H7029" s="710">
        <v>3.12</v>
      </c>
      <c r="I7029" s="256"/>
      <c r="J7029" s="67">
        <f t="shared" si="423"/>
        <v>6251.88</v>
      </c>
      <c r="L7029" s="70"/>
      <c r="M7029" s="934"/>
      <c r="N7029" s="94"/>
      <c r="O7029" s="94"/>
      <c r="P7029" s="94"/>
      <c r="Q7029" s="94"/>
      <c r="R7029" s="94"/>
      <c r="S7029" s="94"/>
      <c r="T7029" s="94"/>
      <c r="U7029" s="94"/>
      <c r="V7029" s="94"/>
      <c r="W7029" s="94"/>
      <c r="X7029" s="94"/>
      <c r="Y7029" s="94"/>
      <c r="Z7029" s="94"/>
      <c r="AA7029" s="94"/>
      <c r="AB7029" s="94"/>
      <c r="AC7029" s="94"/>
      <c r="AD7029" s="94"/>
      <c r="AE7029" s="94"/>
      <c r="AF7029" s="94"/>
      <c r="AG7029" s="94"/>
      <c r="AH7029" s="94"/>
    </row>
    <row r="7030" ht="12.75" hidden="1" customHeight="1" outlineLevel="1">
      <c r="A7030" s="122">
        <v>42205.0</v>
      </c>
      <c r="B7030" s="32" t="s">
        <v>347</v>
      </c>
      <c r="C7030" s="32" t="s">
        <v>790</v>
      </c>
      <c r="D7030" s="708">
        <v>1000.0</v>
      </c>
      <c r="E7030" s="195">
        <v>7.59</v>
      </c>
      <c r="F7030" s="709">
        <v>0.43493055555555554</v>
      </c>
      <c r="G7030" s="195" t="s">
        <v>453</v>
      </c>
      <c r="H7030" s="710">
        <v>5.14</v>
      </c>
      <c r="I7030" s="256"/>
      <c r="J7030" s="67">
        <f t="shared" si="423"/>
        <v>7584.86</v>
      </c>
      <c r="L7030" s="70"/>
      <c r="M7030" s="934"/>
      <c r="N7030" s="94"/>
      <c r="O7030" s="94"/>
      <c r="P7030" s="94"/>
      <c r="Q7030" s="94"/>
      <c r="R7030" s="94"/>
      <c r="S7030" s="94"/>
      <c r="T7030" s="94"/>
      <c r="U7030" s="94"/>
      <c r="V7030" s="94"/>
      <c r="W7030" s="94"/>
      <c r="X7030" s="94"/>
      <c r="Y7030" s="94"/>
      <c r="Z7030" s="94"/>
      <c r="AA7030" s="94"/>
      <c r="AB7030" s="94"/>
      <c r="AC7030" s="94"/>
      <c r="AD7030" s="94"/>
      <c r="AE7030" s="94"/>
      <c r="AF7030" s="94"/>
      <c r="AG7030" s="94"/>
      <c r="AH7030" s="94"/>
    </row>
    <row r="7031" ht="12.75" hidden="1" customHeight="1" outlineLevel="1">
      <c r="A7031" s="122">
        <v>42205.0</v>
      </c>
      <c r="B7031" s="32" t="s">
        <v>347</v>
      </c>
      <c r="C7031" s="32" t="s">
        <v>784</v>
      </c>
      <c r="D7031" s="708">
        <v>2500.0</v>
      </c>
      <c r="E7031" s="195">
        <v>5.421</v>
      </c>
      <c r="F7031" s="709">
        <v>0.4354513888888889</v>
      </c>
      <c r="G7031" s="195" t="s">
        <v>453</v>
      </c>
      <c r="H7031" s="710">
        <v>10.25</v>
      </c>
      <c r="I7031" s="256"/>
      <c r="J7031" s="67">
        <f t="shared" si="423"/>
        <v>13542.25</v>
      </c>
      <c r="L7031" s="70"/>
      <c r="M7031" s="934"/>
      <c r="N7031" s="94"/>
      <c r="O7031" s="94"/>
      <c r="P7031" s="94"/>
      <c r="Q7031" s="94"/>
      <c r="R7031" s="94"/>
      <c r="S7031" s="94"/>
      <c r="T7031" s="94"/>
      <c r="U7031" s="94"/>
      <c r="V7031" s="94"/>
      <c r="W7031" s="94"/>
      <c r="X7031" s="94"/>
      <c r="Y7031" s="94"/>
      <c r="Z7031" s="94"/>
      <c r="AA7031" s="94"/>
      <c r="AB7031" s="94"/>
      <c r="AC7031" s="94"/>
      <c r="AD7031" s="94"/>
      <c r="AE7031" s="94"/>
      <c r="AF7031" s="94"/>
      <c r="AG7031" s="94"/>
      <c r="AH7031" s="94"/>
    </row>
    <row r="7032" ht="12.75" hidden="1" customHeight="1" outlineLevel="1">
      <c r="A7032" s="122">
        <v>42205.0</v>
      </c>
      <c r="B7032" s="32" t="s">
        <v>347</v>
      </c>
      <c r="C7032" s="32" t="s">
        <v>3024</v>
      </c>
      <c r="D7032" s="708">
        <v>400.0</v>
      </c>
      <c r="E7032" s="195">
        <v>20.5258</v>
      </c>
      <c r="F7032" s="709">
        <v>0.43699074074074074</v>
      </c>
      <c r="G7032" s="195" t="s">
        <v>453</v>
      </c>
      <c r="H7032" s="710">
        <v>1.75</v>
      </c>
      <c r="I7032" s="256"/>
      <c r="J7032" s="67">
        <f t="shared" si="423"/>
        <v>8208.57</v>
      </c>
      <c r="L7032" s="70"/>
      <c r="M7032" s="934"/>
      <c r="N7032" s="94"/>
      <c r="O7032" s="94"/>
      <c r="P7032" s="94"/>
      <c r="Q7032" s="94"/>
      <c r="R7032" s="94"/>
      <c r="S7032" s="94"/>
      <c r="T7032" s="94"/>
      <c r="U7032" s="94"/>
      <c r="V7032" s="94"/>
      <c r="W7032" s="94"/>
      <c r="X7032" s="94"/>
      <c r="Y7032" s="94"/>
      <c r="Z7032" s="94"/>
      <c r="AA7032" s="94"/>
      <c r="AB7032" s="94"/>
      <c r="AC7032" s="94"/>
      <c r="AD7032" s="94"/>
      <c r="AE7032" s="94"/>
      <c r="AF7032" s="94"/>
      <c r="AG7032" s="94"/>
      <c r="AH7032" s="94"/>
    </row>
    <row r="7033" ht="12.75" hidden="1" customHeight="1" outlineLevel="1">
      <c r="A7033" s="122">
        <v>42205.0</v>
      </c>
      <c r="B7033" s="32" t="s">
        <v>343</v>
      </c>
      <c r="C7033" s="32" t="s">
        <v>371</v>
      </c>
      <c r="D7033" s="708">
        <v>75.0</v>
      </c>
      <c r="E7033" s="195">
        <v>71.24</v>
      </c>
      <c r="F7033" s="709">
        <v>0.4809953703703704</v>
      </c>
      <c r="G7033" s="195" t="s">
        <v>453</v>
      </c>
      <c r="H7033" s="710">
        <v>1.0</v>
      </c>
      <c r="I7033" s="256"/>
      <c r="J7033" s="67">
        <f t="shared" si="423"/>
        <v>-5344</v>
      </c>
      <c r="L7033" s="70"/>
      <c r="M7033" s="934"/>
      <c r="N7033" s="94"/>
      <c r="O7033" s="94"/>
      <c r="P7033" s="94"/>
      <c r="Q7033" s="94"/>
      <c r="R7033" s="94"/>
      <c r="S7033" s="94"/>
      <c r="T7033" s="94"/>
      <c r="U7033" s="94"/>
      <c r="V7033" s="94"/>
      <c r="W7033" s="94"/>
      <c r="X7033" s="94"/>
      <c r="Y7033" s="94"/>
      <c r="Z7033" s="94"/>
      <c r="AA7033" s="94"/>
      <c r="AB7033" s="94"/>
      <c r="AC7033" s="94"/>
      <c r="AD7033" s="94"/>
      <c r="AE7033" s="94"/>
      <c r="AF7033" s="94"/>
      <c r="AG7033" s="94"/>
      <c r="AH7033" s="94"/>
    </row>
    <row r="7034" ht="12.75" hidden="1" customHeight="1" outlineLevel="1">
      <c r="A7034" s="122">
        <v>42205.0</v>
      </c>
      <c r="B7034" s="32" t="s">
        <v>343</v>
      </c>
      <c r="C7034" s="32" t="s">
        <v>2434</v>
      </c>
      <c r="D7034" s="708">
        <v>30.0</v>
      </c>
      <c r="E7034" s="195">
        <v>194.31</v>
      </c>
      <c r="F7034" s="709">
        <v>0.4813310185185185</v>
      </c>
      <c r="G7034" s="195" t="s">
        <v>453</v>
      </c>
      <c r="H7034" s="710">
        <v>1.0</v>
      </c>
      <c r="I7034" s="256"/>
      <c r="J7034" s="67">
        <f t="shared" si="423"/>
        <v>-5830.3</v>
      </c>
      <c r="L7034" s="70"/>
      <c r="M7034" s="934"/>
      <c r="N7034" s="94"/>
      <c r="O7034" s="94"/>
      <c r="P7034" s="94"/>
      <c r="Q7034" s="94"/>
      <c r="R7034" s="94"/>
      <c r="S7034" s="94"/>
      <c r="T7034" s="94"/>
      <c r="U7034" s="94"/>
      <c r="V7034" s="94"/>
      <c r="W7034" s="94"/>
      <c r="X7034" s="94"/>
      <c r="Y7034" s="94"/>
      <c r="Z7034" s="94"/>
      <c r="AA7034" s="94"/>
      <c r="AB7034" s="94"/>
      <c r="AC7034" s="94"/>
      <c r="AD7034" s="94"/>
      <c r="AE7034" s="94"/>
      <c r="AF7034" s="94"/>
      <c r="AG7034" s="94"/>
      <c r="AH7034" s="94"/>
    </row>
    <row r="7035" ht="12.75" hidden="1" customHeight="1" outlineLevel="1">
      <c r="A7035" s="122">
        <v>42205.0</v>
      </c>
      <c r="B7035" s="32" t="s">
        <v>347</v>
      </c>
      <c r="C7035" s="32" t="s">
        <v>3024</v>
      </c>
      <c r="D7035" s="708">
        <v>500.0</v>
      </c>
      <c r="E7035" s="195">
        <v>20.46</v>
      </c>
      <c r="F7035" s="709">
        <v>0.5796064814814815</v>
      </c>
      <c r="G7035" s="195" t="s">
        <v>453</v>
      </c>
      <c r="H7035" s="710">
        <v>2.69</v>
      </c>
      <c r="I7035" s="256"/>
      <c r="J7035" s="67">
        <f t="shared" si="423"/>
        <v>10227.31</v>
      </c>
      <c r="L7035" s="70"/>
      <c r="M7035" s="934"/>
      <c r="N7035" s="94"/>
      <c r="O7035" s="94"/>
      <c r="P7035" s="94"/>
      <c r="Q7035" s="94"/>
      <c r="R7035" s="94"/>
      <c r="S7035" s="94"/>
      <c r="T7035" s="94"/>
      <c r="U7035" s="94"/>
      <c r="V7035" s="94"/>
      <c r="W7035" s="94"/>
      <c r="X7035" s="94"/>
      <c r="Y7035" s="94"/>
      <c r="Z7035" s="94"/>
      <c r="AA7035" s="94"/>
      <c r="AB7035" s="94"/>
      <c r="AC7035" s="94"/>
      <c r="AD7035" s="94"/>
      <c r="AE7035" s="94"/>
      <c r="AF7035" s="94"/>
      <c r="AG7035" s="94"/>
      <c r="AH7035" s="94"/>
    </row>
    <row r="7036" ht="12.75" hidden="1" customHeight="1" outlineLevel="1">
      <c r="A7036" s="122">
        <v>42205.0</v>
      </c>
      <c r="B7036" s="32" t="s">
        <v>347</v>
      </c>
      <c r="C7036" s="32" t="s">
        <v>784</v>
      </c>
      <c r="D7036" s="708">
        <v>2000.0</v>
      </c>
      <c r="E7036" s="195">
        <v>5.461</v>
      </c>
      <c r="F7036" s="709">
        <v>0.6102546296296296</v>
      </c>
      <c r="G7036" s="195" t="s">
        <v>453</v>
      </c>
      <c r="H7036" s="710">
        <v>9.4</v>
      </c>
      <c r="I7036" s="256"/>
      <c r="J7036" s="67">
        <f t="shared" si="423"/>
        <v>10912.6</v>
      </c>
      <c r="L7036" s="70"/>
      <c r="M7036" s="934"/>
      <c r="N7036" s="94"/>
      <c r="O7036" s="94"/>
      <c r="P7036" s="94"/>
      <c r="Q7036" s="94"/>
      <c r="R7036" s="94"/>
      <c r="S7036" s="94"/>
      <c r="T7036" s="94"/>
      <c r="U7036" s="94"/>
      <c r="V7036" s="94"/>
      <c r="W7036" s="94"/>
      <c r="X7036" s="94"/>
      <c r="Y7036" s="94"/>
      <c r="Z7036" s="94"/>
      <c r="AA7036" s="94"/>
      <c r="AB7036" s="94"/>
      <c r="AC7036" s="94"/>
      <c r="AD7036" s="94"/>
      <c r="AE7036" s="94"/>
      <c r="AF7036" s="94"/>
      <c r="AG7036" s="94"/>
      <c r="AH7036" s="94"/>
    </row>
    <row r="7037" ht="12.75" hidden="1" customHeight="1" outlineLevel="1">
      <c r="A7037" s="122">
        <v>42205.0</v>
      </c>
      <c r="B7037" s="32" t="s">
        <v>347</v>
      </c>
      <c r="C7037" s="32" t="s">
        <v>2090</v>
      </c>
      <c r="D7037" s="708">
        <v>1250.0</v>
      </c>
      <c r="E7037" s="195">
        <v>8.17</v>
      </c>
      <c r="F7037" s="709">
        <v>0.6148148148148148</v>
      </c>
      <c r="G7037" s="195" t="s">
        <v>453</v>
      </c>
      <c r="H7037" s="710">
        <v>6.44</v>
      </c>
      <c r="I7037" s="256"/>
      <c r="J7037" s="67">
        <f t="shared" si="423"/>
        <v>10206.06</v>
      </c>
      <c r="L7037" s="70"/>
      <c r="M7037" s="934"/>
      <c r="N7037" s="94"/>
      <c r="O7037" s="94"/>
      <c r="P7037" s="94"/>
      <c r="Q7037" s="94"/>
      <c r="R7037" s="94"/>
      <c r="S7037" s="94"/>
      <c r="T7037" s="94"/>
      <c r="U7037" s="94"/>
      <c r="V7037" s="94"/>
      <c r="W7037" s="94"/>
      <c r="X7037" s="94"/>
      <c r="Y7037" s="94"/>
      <c r="Z7037" s="94"/>
      <c r="AA7037" s="94"/>
      <c r="AB7037" s="94"/>
      <c r="AC7037" s="94"/>
      <c r="AD7037" s="94"/>
      <c r="AE7037" s="94"/>
      <c r="AF7037" s="94"/>
      <c r="AG7037" s="94"/>
      <c r="AH7037" s="94"/>
    </row>
    <row r="7038" ht="12.75" hidden="1" customHeight="1" outlineLevel="1">
      <c r="A7038" s="122">
        <v>42205.0</v>
      </c>
      <c r="B7038" s="32" t="s">
        <v>347</v>
      </c>
      <c r="C7038" s="32" t="s">
        <v>2048</v>
      </c>
      <c r="D7038" s="708">
        <v>1000.0</v>
      </c>
      <c r="E7038" s="195">
        <v>8.84</v>
      </c>
      <c r="F7038" s="709">
        <v>0.6158912037037036</v>
      </c>
      <c r="G7038" s="195" t="s">
        <v>453</v>
      </c>
      <c r="H7038" s="710">
        <v>5.16</v>
      </c>
      <c r="I7038" s="256"/>
      <c r="J7038" s="67">
        <f t="shared" si="423"/>
        <v>8834.84</v>
      </c>
      <c r="L7038" s="70"/>
      <c r="M7038" s="934"/>
      <c r="N7038" s="94"/>
      <c r="O7038" s="94"/>
      <c r="P7038" s="94"/>
      <c r="Q7038" s="94"/>
      <c r="R7038" s="94"/>
      <c r="S7038" s="94"/>
      <c r="T7038" s="94"/>
      <c r="U7038" s="94"/>
      <c r="V7038" s="94"/>
      <c r="W7038" s="94"/>
      <c r="X7038" s="94"/>
      <c r="Y7038" s="94"/>
      <c r="Z7038" s="94"/>
      <c r="AA7038" s="94"/>
      <c r="AB7038" s="94"/>
      <c r="AC7038" s="94"/>
      <c r="AD7038" s="94"/>
      <c r="AE7038" s="94"/>
      <c r="AF7038" s="94"/>
      <c r="AG7038" s="94"/>
      <c r="AH7038" s="94"/>
    </row>
    <row r="7039" ht="12.75" hidden="1" customHeight="1" outlineLevel="1">
      <c r="A7039" s="122">
        <v>42205.0</v>
      </c>
      <c r="B7039" s="32" t="s">
        <v>347</v>
      </c>
      <c r="C7039" s="32" t="s">
        <v>790</v>
      </c>
      <c r="D7039" s="708">
        <v>700.0</v>
      </c>
      <c r="E7039" s="195">
        <v>7.52</v>
      </c>
      <c r="F7039" s="709">
        <v>0.6161805555555555</v>
      </c>
      <c r="G7039" s="195" t="s">
        <v>453</v>
      </c>
      <c r="H7039" s="710">
        <v>3.6</v>
      </c>
      <c r="I7039" s="256"/>
      <c r="J7039" s="67">
        <f t="shared" si="423"/>
        <v>5260.4</v>
      </c>
      <c r="L7039" s="70"/>
      <c r="M7039" s="934"/>
      <c r="N7039" s="94"/>
      <c r="O7039" s="94"/>
      <c r="P7039" s="94"/>
      <c r="Q7039" s="94"/>
      <c r="R7039" s="94"/>
      <c r="S7039" s="94"/>
      <c r="T7039" s="94"/>
      <c r="U7039" s="94"/>
      <c r="V7039" s="94"/>
      <c r="W7039" s="94"/>
      <c r="X7039" s="94"/>
      <c r="Y7039" s="94"/>
      <c r="Z7039" s="94"/>
      <c r="AA7039" s="94"/>
      <c r="AB7039" s="94"/>
      <c r="AC7039" s="94"/>
      <c r="AD7039" s="94"/>
      <c r="AE7039" s="94"/>
      <c r="AF7039" s="94"/>
      <c r="AG7039" s="94"/>
      <c r="AH7039" s="94"/>
    </row>
    <row r="7040" ht="12.75" hidden="1" customHeight="1" outlineLevel="1">
      <c r="A7040" s="122">
        <v>42205.0</v>
      </c>
      <c r="B7040" s="32" t="s">
        <v>347</v>
      </c>
      <c r="C7040" s="32" t="s">
        <v>2048</v>
      </c>
      <c r="D7040" s="708">
        <v>1000.0</v>
      </c>
      <c r="E7040" s="195">
        <v>8.84</v>
      </c>
      <c r="F7040" s="709">
        <v>0.6177083333333333</v>
      </c>
      <c r="G7040" s="195" t="s">
        <v>453</v>
      </c>
      <c r="H7040" s="710">
        <v>5.16</v>
      </c>
      <c r="I7040" s="256"/>
      <c r="J7040" s="67">
        <f t="shared" si="423"/>
        <v>8834.84</v>
      </c>
      <c r="L7040" s="70"/>
      <c r="M7040" s="934"/>
      <c r="N7040" s="94"/>
      <c r="O7040" s="94"/>
      <c r="P7040" s="94"/>
      <c r="Q7040" s="94"/>
      <c r="R7040" s="94"/>
      <c r="S7040" s="94"/>
      <c r="T7040" s="94"/>
      <c r="U7040" s="94"/>
      <c r="V7040" s="94"/>
      <c r="W7040" s="94"/>
      <c r="X7040" s="94"/>
      <c r="Y7040" s="94"/>
      <c r="Z7040" s="94"/>
      <c r="AA7040" s="94"/>
      <c r="AB7040" s="94"/>
      <c r="AC7040" s="94"/>
      <c r="AD7040" s="94"/>
      <c r="AE7040" s="94"/>
      <c r="AF7040" s="94"/>
      <c r="AG7040" s="94"/>
      <c r="AH7040" s="94"/>
    </row>
    <row r="7041" ht="12.75" hidden="1" customHeight="1" outlineLevel="1">
      <c r="A7041" s="122">
        <v>42205.0</v>
      </c>
      <c r="B7041" s="32" t="s">
        <v>347</v>
      </c>
      <c r="C7041" s="32" t="s">
        <v>2090</v>
      </c>
      <c r="D7041" s="708">
        <v>1500.0</v>
      </c>
      <c r="E7041" s="195">
        <v>8.121</v>
      </c>
      <c r="F7041" s="709">
        <v>0.6178356481481482</v>
      </c>
      <c r="G7041" s="195" t="s">
        <v>453</v>
      </c>
      <c r="H7041" s="710">
        <v>6.22</v>
      </c>
      <c r="I7041" s="256"/>
      <c r="J7041" s="67">
        <f t="shared" si="423"/>
        <v>12175.28</v>
      </c>
      <c r="L7041" s="70"/>
      <c r="M7041" s="934"/>
      <c r="N7041" s="94"/>
      <c r="O7041" s="94"/>
      <c r="P7041" s="94"/>
      <c r="Q7041" s="94"/>
      <c r="R7041" s="94"/>
      <c r="S7041" s="94"/>
      <c r="T7041" s="94"/>
      <c r="U7041" s="94"/>
      <c r="V7041" s="94"/>
      <c r="W7041" s="94"/>
      <c r="X7041" s="94"/>
      <c r="Y7041" s="94"/>
      <c r="Z7041" s="94"/>
      <c r="AA7041" s="94"/>
      <c r="AB7041" s="94"/>
      <c r="AC7041" s="94"/>
      <c r="AD7041" s="94"/>
      <c r="AE7041" s="94"/>
      <c r="AF7041" s="94"/>
      <c r="AG7041" s="94"/>
      <c r="AH7041" s="94"/>
    </row>
    <row r="7042" ht="12.75" hidden="1" customHeight="1" outlineLevel="1">
      <c r="A7042" s="122">
        <v>42205.0</v>
      </c>
      <c r="B7042" s="32" t="s">
        <v>347</v>
      </c>
      <c r="C7042" s="32" t="s">
        <v>790</v>
      </c>
      <c r="D7042" s="708">
        <v>1200.0</v>
      </c>
      <c r="E7042" s="195">
        <v>7.49</v>
      </c>
      <c r="F7042" s="709">
        <v>0.6183101851851852</v>
      </c>
      <c r="G7042" s="195" t="s">
        <v>453</v>
      </c>
      <c r="H7042" s="710">
        <v>6.17</v>
      </c>
      <c r="I7042" s="256"/>
      <c r="J7042" s="67">
        <f t="shared" si="423"/>
        <v>8981.83</v>
      </c>
      <c r="L7042" s="70"/>
      <c r="M7042" s="934"/>
      <c r="N7042" s="94"/>
      <c r="O7042" s="94"/>
      <c r="P7042" s="94"/>
      <c r="Q7042" s="94"/>
      <c r="R7042" s="94"/>
      <c r="S7042" s="94"/>
      <c r="T7042" s="94"/>
      <c r="U7042" s="94"/>
      <c r="V7042" s="94"/>
      <c r="W7042" s="94"/>
      <c r="X7042" s="94"/>
      <c r="Y7042" s="94"/>
      <c r="Z7042" s="94"/>
      <c r="AA7042" s="94"/>
      <c r="AB7042" s="94"/>
      <c r="AC7042" s="94"/>
      <c r="AD7042" s="94"/>
      <c r="AE7042" s="94"/>
      <c r="AF7042" s="94"/>
      <c r="AG7042" s="94"/>
      <c r="AH7042" s="94"/>
    </row>
    <row r="7043" ht="12.75" hidden="1" customHeight="1" outlineLevel="1">
      <c r="A7043" s="122">
        <v>42205.0</v>
      </c>
      <c r="B7043" s="32" t="s">
        <v>347</v>
      </c>
      <c r="C7043" s="32" t="s">
        <v>3024</v>
      </c>
      <c r="D7043" s="708">
        <v>500.0</v>
      </c>
      <c r="E7043" s="195">
        <v>20.46</v>
      </c>
      <c r="F7043" s="709">
        <v>0.6316319444444445</v>
      </c>
      <c r="G7043" s="195" t="s">
        <v>453</v>
      </c>
      <c r="H7043" s="710">
        <v>2.39</v>
      </c>
      <c r="I7043" s="256"/>
      <c r="J7043" s="67">
        <f t="shared" si="423"/>
        <v>10227.61</v>
      </c>
      <c r="L7043" s="70"/>
      <c r="M7043" s="934"/>
      <c r="N7043" s="94"/>
      <c r="O7043" s="94"/>
      <c r="P7043" s="94"/>
      <c r="Q7043" s="94"/>
      <c r="R7043" s="94"/>
      <c r="S7043" s="94"/>
      <c r="T7043" s="94"/>
      <c r="U7043" s="94"/>
      <c r="V7043" s="94"/>
      <c r="W7043" s="94"/>
      <c r="X7043" s="94"/>
      <c r="Y7043" s="94"/>
      <c r="Z7043" s="94"/>
      <c r="AA7043" s="94"/>
      <c r="AB7043" s="94"/>
      <c r="AC7043" s="94"/>
      <c r="AD7043" s="94"/>
      <c r="AE7043" s="94"/>
      <c r="AF7043" s="94"/>
      <c r="AG7043" s="94"/>
      <c r="AH7043" s="94"/>
    </row>
    <row r="7044" ht="12.75" hidden="1" customHeight="1" outlineLevel="1">
      <c r="A7044" s="122">
        <v>42205.0</v>
      </c>
      <c r="B7044" s="32" t="s">
        <v>347</v>
      </c>
      <c r="C7044" s="32" t="s">
        <v>784</v>
      </c>
      <c r="D7044" s="708">
        <v>2000.0</v>
      </c>
      <c r="E7044" s="195">
        <v>5.43</v>
      </c>
      <c r="F7044" s="709">
        <v>0.6318518518518519</v>
      </c>
      <c r="G7044" s="195" t="s">
        <v>453</v>
      </c>
      <c r="H7044" s="710">
        <v>8.2</v>
      </c>
      <c r="I7044" s="256"/>
      <c r="J7044" s="67">
        <f t="shared" si="423"/>
        <v>10851.8</v>
      </c>
      <c r="L7044" s="70"/>
      <c r="M7044" s="934"/>
      <c r="N7044" s="94"/>
      <c r="O7044" s="94"/>
      <c r="P7044" s="94"/>
      <c r="Q7044" s="94"/>
      <c r="R7044" s="94"/>
      <c r="S7044" s="94"/>
      <c r="T7044" s="94"/>
      <c r="U7044" s="94"/>
      <c r="V7044" s="94"/>
      <c r="W7044" s="94"/>
      <c r="X7044" s="94"/>
      <c r="Y7044" s="94"/>
      <c r="Z7044" s="94"/>
      <c r="AA7044" s="94"/>
      <c r="AB7044" s="94"/>
      <c r="AC7044" s="94"/>
      <c r="AD7044" s="94"/>
      <c r="AE7044" s="94"/>
      <c r="AF7044" s="94"/>
      <c r="AG7044" s="94"/>
      <c r="AH7044" s="94"/>
    </row>
    <row r="7045" ht="12.75" hidden="1" customHeight="1" outlineLevel="1">
      <c r="A7045" s="122">
        <v>42205.0</v>
      </c>
      <c r="B7045" s="974"/>
      <c r="C7045" s="32" t="s">
        <v>339</v>
      </c>
      <c r="D7045" s="708"/>
      <c r="E7045" s="195"/>
      <c r="F7045" s="709"/>
      <c r="G7045" s="195"/>
      <c r="H7045" s="710"/>
      <c r="I7045" s="256"/>
      <c r="J7045" s="67"/>
      <c r="K7045" s="968" t="s">
        <v>3060</v>
      </c>
      <c r="L7045" s="934"/>
      <c r="M7045" s="934"/>
    </row>
    <row r="7046" ht="12.75" hidden="1" customHeight="1" outlineLevel="1">
      <c r="A7046" s="122">
        <v>42205.0</v>
      </c>
      <c r="B7046" s="974"/>
      <c r="C7046" s="32" t="s">
        <v>429</v>
      </c>
      <c r="D7046" s="708"/>
      <c r="E7046" s="195"/>
      <c r="F7046" s="709"/>
      <c r="G7046" s="195"/>
      <c r="H7046" s="710"/>
      <c r="I7046" s="256"/>
      <c r="J7046" s="67"/>
      <c r="K7046" s="9" t="s">
        <v>3049</v>
      </c>
      <c r="L7046" s="934"/>
      <c r="M7046" s="934"/>
    </row>
    <row r="7047" ht="12.75" hidden="1" customHeight="1" outlineLevel="1">
      <c r="A7047" s="122">
        <v>42205.0</v>
      </c>
      <c r="B7047" s="974"/>
      <c r="C7047" s="32" t="s">
        <v>431</v>
      </c>
      <c r="D7047" s="708"/>
      <c r="E7047" s="195"/>
      <c r="F7047" s="709"/>
      <c r="G7047" s="195"/>
      <c r="H7047" s="710"/>
      <c r="I7047" s="256"/>
      <c r="J7047" s="67"/>
      <c r="K7047" s="7" t="s">
        <v>1126</v>
      </c>
      <c r="L7047" s="934"/>
      <c r="M7047" s="934"/>
    </row>
    <row r="7048" ht="12.75" hidden="1" customHeight="1" outlineLevel="1">
      <c r="A7048" s="122">
        <v>42205.0</v>
      </c>
      <c r="B7048" s="974"/>
      <c r="C7048" s="32" t="s">
        <v>433</v>
      </c>
      <c r="D7048" s="708"/>
      <c r="E7048" s="195"/>
      <c r="F7048" s="709"/>
      <c r="G7048" s="195"/>
      <c r="H7048" s="710"/>
      <c r="I7048" s="256"/>
      <c r="J7048" s="67"/>
      <c r="K7048" s="7" t="s">
        <v>1103</v>
      </c>
      <c r="L7048" s="934"/>
      <c r="M7048" s="934"/>
    </row>
    <row r="7049" ht="12.75" hidden="1" customHeight="1" outlineLevel="1">
      <c r="A7049" s="122">
        <v>42205.0</v>
      </c>
      <c r="B7049" s="974"/>
      <c r="C7049" s="32" t="s">
        <v>435</v>
      </c>
      <c r="D7049" s="708"/>
      <c r="E7049" s="195"/>
      <c r="F7049" s="709"/>
      <c r="G7049" s="195"/>
      <c r="H7049" s="710"/>
      <c r="I7049" s="256"/>
      <c r="J7049" s="67"/>
      <c r="K7049" s="9" t="s">
        <v>2802</v>
      </c>
      <c r="L7049" s="934"/>
      <c r="M7049" s="934"/>
    </row>
    <row r="7050" ht="12.75" hidden="1" customHeight="1" outlineLevel="1">
      <c r="A7050" s="882">
        <v>42206.0</v>
      </c>
      <c r="B7050" s="32" t="s">
        <v>347</v>
      </c>
      <c r="C7050" s="32" t="s">
        <v>1839</v>
      </c>
      <c r="D7050" s="32">
        <v>850.0</v>
      </c>
      <c r="E7050" s="94">
        <v>9.6</v>
      </c>
      <c r="F7050" s="982">
        <v>0.6079513888888889</v>
      </c>
      <c r="G7050" s="32" t="s">
        <v>453</v>
      </c>
      <c r="H7050" s="710">
        <v>4.4</v>
      </c>
      <c r="I7050" s="256"/>
      <c r="J7050" s="67">
        <f t="shared" ref="J7050:J7052" si="424">IF(B7050="SLD",D7050*E7050,-D7050*E7050)-H7050</f>
        <v>8155.6</v>
      </c>
      <c r="L7050" s="70"/>
      <c r="M7050" s="934"/>
      <c r="N7050" s="94"/>
      <c r="O7050" s="94"/>
      <c r="P7050" s="94"/>
      <c r="Q7050" s="94"/>
      <c r="R7050" s="94"/>
      <c r="S7050" s="94"/>
      <c r="T7050" s="94"/>
      <c r="U7050" s="94"/>
      <c r="V7050" s="94"/>
      <c r="W7050" s="94"/>
      <c r="X7050" s="94"/>
      <c r="Y7050" s="94"/>
      <c r="Z7050" s="94"/>
      <c r="AA7050" s="94"/>
      <c r="AB7050" s="94"/>
      <c r="AC7050" s="94"/>
      <c r="AD7050" s="94"/>
      <c r="AE7050" s="94"/>
      <c r="AF7050" s="94"/>
      <c r="AG7050" s="94"/>
      <c r="AH7050" s="94"/>
    </row>
    <row r="7051" ht="12.75" hidden="1" customHeight="1" outlineLevel="1">
      <c r="A7051" s="882">
        <v>42206.0</v>
      </c>
      <c r="B7051" s="32" t="s">
        <v>347</v>
      </c>
      <c r="C7051" s="32" t="s">
        <v>2195</v>
      </c>
      <c r="D7051" s="32">
        <v>400.0</v>
      </c>
      <c r="E7051" s="94">
        <v>16.873</v>
      </c>
      <c r="F7051" s="982">
        <v>0.6085069444444444</v>
      </c>
      <c r="G7051" s="32" t="s">
        <v>453</v>
      </c>
      <c r="H7051" s="710">
        <v>1.72</v>
      </c>
      <c r="I7051" s="256"/>
      <c r="J7051" s="67">
        <f t="shared" si="424"/>
        <v>6747.48</v>
      </c>
      <c r="L7051" s="70"/>
      <c r="M7051" s="934"/>
      <c r="N7051" s="94"/>
      <c r="O7051" s="94"/>
      <c r="P7051" s="94"/>
      <c r="Q7051" s="94"/>
      <c r="R7051" s="94"/>
      <c r="S7051" s="94"/>
      <c r="T7051" s="94"/>
      <c r="U7051" s="94"/>
      <c r="V7051" s="94"/>
      <c r="W7051" s="94"/>
      <c r="X7051" s="94"/>
      <c r="Y7051" s="94"/>
      <c r="Z7051" s="94"/>
      <c r="AA7051" s="94"/>
      <c r="AB7051" s="94"/>
      <c r="AC7051" s="94"/>
      <c r="AD7051" s="94"/>
      <c r="AE7051" s="94"/>
      <c r="AF7051" s="94"/>
      <c r="AG7051" s="94"/>
      <c r="AH7051" s="94"/>
    </row>
    <row r="7052" ht="12.75" hidden="1" customHeight="1" outlineLevel="1">
      <c r="A7052" s="882">
        <v>42206.0</v>
      </c>
      <c r="B7052" s="32" t="s">
        <v>347</v>
      </c>
      <c r="C7052" s="32" t="s">
        <v>1633</v>
      </c>
      <c r="D7052" s="32">
        <v>400.0</v>
      </c>
      <c r="E7052" s="94">
        <v>17.52</v>
      </c>
      <c r="F7052" s="982">
        <v>0.610462962962963</v>
      </c>
      <c r="G7052" s="32" t="s">
        <v>453</v>
      </c>
      <c r="H7052" s="710">
        <v>2.13</v>
      </c>
      <c r="I7052" s="256"/>
      <c r="J7052" s="67">
        <f t="shared" si="424"/>
        <v>7005.87</v>
      </c>
      <c r="L7052" s="70"/>
      <c r="M7052" s="934"/>
      <c r="N7052" s="94"/>
      <c r="O7052" s="94"/>
      <c r="P7052" s="94"/>
      <c r="Q7052" s="94"/>
      <c r="R7052" s="94"/>
      <c r="S7052" s="94"/>
      <c r="T7052" s="94"/>
      <c r="U7052" s="94"/>
      <c r="V7052" s="94"/>
      <c r="W7052" s="94"/>
      <c r="X7052" s="94"/>
      <c r="Y7052" s="94"/>
      <c r="Z7052" s="94"/>
      <c r="AA7052" s="94"/>
      <c r="AB7052" s="94"/>
      <c r="AC7052" s="94"/>
      <c r="AD7052" s="94"/>
      <c r="AE7052" s="94"/>
      <c r="AF7052" s="94"/>
      <c r="AG7052" s="94"/>
      <c r="AH7052" s="94"/>
    </row>
    <row r="7053" ht="12.75" hidden="1" customHeight="1" outlineLevel="1">
      <c r="A7053" s="122">
        <v>42206.0</v>
      </c>
      <c r="B7053" s="974"/>
      <c r="C7053" s="32" t="s">
        <v>339</v>
      </c>
      <c r="D7053" s="708"/>
      <c r="E7053" s="195"/>
      <c r="F7053" s="709"/>
      <c r="G7053" s="195"/>
      <c r="H7053" s="710"/>
      <c r="I7053" s="256"/>
      <c r="J7053" s="67"/>
      <c r="K7053" s="968" t="s">
        <v>3060</v>
      </c>
      <c r="L7053" s="934"/>
      <c r="M7053" s="934"/>
    </row>
    <row r="7054" ht="12.75" hidden="1" customHeight="1" outlineLevel="1">
      <c r="A7054" s="122">
        <v>42206.0</v>
      </c>
      <c r="B7054" s="974"/>
      <c r="C7054" s="32" t="s">
        <v>429</v>
      </c>
      <c r="D7054" s="708"/>
      <c r="E7054" s="195"/>
      <c r="F7054" s="709"/>
      <c r="G7054" s="195"/>
      <c r="H7054" s="710"/>
      <c r="I7054" s="256"/>
      <c r="J7054" s="67"/>
      <c r="K7054" s="9" t="s">
        <v>3049</v>
      </c>
      <c r="L7054" s="934"/>
      <c r="M7054" s="934"/>
    </row>
    <row r="7055" ht="12.75" hidden="1" customHeight="1" outlineLevel="1">
      <c r="A7055" s="122">
        <v>42206.0</v>
      </c>
      <c r="B7055" s="974"/>
      <c r="C7055" s="32" t="s">
        <v>431</v>
      </c>
      <c r="D7055" s="708"/>
      <c r="E7055" s="195"/>
      <c r="F7055" s="709"/>
      <c r="G7055" s="195"/>
      <c r="H7055" s="710"/>
      <c r="I7055" s="256"/>
      <c r="J7055" s="67"/>
      <c r="K7055" s="7" t="s">
        <v>1126</v>
      </c>
      <c r="L7055" s="934"/>
      <c r="M7055" s="934"/>
    </row>
    <row r="7056" ht="12.75" hidden="1" customHeight="1" outlineLevel="1">
      <c r="A7056" s="122">
        <v>42206.0</v>
      </c>
      <c r="B7056" s="974"/>
      <c r="C7056" s="32" t="s">
        <v>433</v>
      </c>
      <c r="D7056" s="708"/>
      <c r="E7056" s="195"/>
      <c r="F7056" s="709"/>
      <c r="G7056" s="195"/>
      <c r="H7056" s="710"/>
      <c r="I7056" s="256"/>
      <c r="J7056" s="67"/>
      <c r="K7056" s="7" t="s">
        <v>1103</v>
      </c>
      <c r="L7056" s="934"/>
      <c r="M7056" s="934"/>
    </row>
    <row r="7057" ht="12.75" hidden="1" customHeight="1" outlineLevel="1">
      <c r="A7057" s="122">
        <v>42206.0</v>
      </c>
      <c r="B7057" s="974"/>
      <c r="C7057" s="32" t="s">
        <v>435</v>
      </c>
      <c r="D7057" s="708"/>
      <c r="E7057" s="195"/>
      <c r="F7057" s="709"/>
      <c r="G7057" s="195"/>
      <c r="H7057" s="710"/>
      <c r="I7057" s="256"/>
      <c r="J7057" s="67"/>
      <c r="K7057" s="9" t="s">
        <v>2802</v>
      </c>
      <c r="L7057" s="934"/>
      <c r="M7057" s="934"/>
    </row>
    <row r="7058" ht="12.75" hidden="1" customHeight="1" outlineLevel="1">
      <c r="A7058" s="122">
        <v>42207.0</v>
      </c>
      <c r="B7058" s="32" t="s">
        <v>347</v>
      </c>
      <c r="C7058" s="32" t="s">
        <v>1781</v>
      </c>
      <c r="D7058" s="983">
        <v>1000.0</v>
      </c>
      <c r="E7058" s="94">
        <v>7.11</v>
      </c>
      <c r="F7058" s="982">
        <v>0.3996296296296296</v>
      </c>
      <c r="G7058" s="32" t="s">
        <v>453</v>
      </c>
      <c r="H7058" s="710">
        <v>4.93</v>
      </c>
      <c r="I7058" s="256"/>
      <c r="J7058" s="67">
        <f t="shared" ref="J7058:J7082" si="425">IF(B7058="SLD",D7058*E7058,-D7058*E7058)-H7058</f>
        <v>7105.07</v>
      </c>
      <c r="L7058" s="70"/>
      <c r="M7058" s="934"/>
      <c r="N7058" s="94"/>
      <c r="O7058" s="94"/>
      <c r="P7058" s="94"/>
      <c r="Q7058" s="94"/>
      <c r="R7058" s="94"/>
      <c r="S7058" s="94"/>
      <c r="T7058" s="94"/>
      <c r="U7058" s="94"/>
      <c r="V7058" s="94"/>
      <c r="W7058" s="94"/>
      <c r="X7058" s="94"/>
      <c r="Y7058" s="94"/>
      <c r="Z7058" s="94"/>
      <c r="AA7058" s="94"/>
      <c r="AB7058" s="94"/>
      <c r="AC7058" s="94"/>
      <c r="AD7058" s="94"/>
      <c r="AE7058" s="94"/>
      <c r="AF7058" s="94"/>
      <c r="AG7058" s="94"/>
      <c r="AH7058" s="94"/>
    </row>
    <row r="7059" ht="12.75" hidden="1" customHeight="1" outlineLevel="1">
      <c r="A7059" s="122">
        <v>42207.0</v>
      </c>
      <c r="B7059" s="32" t="s">
        <v>343</v>
      </c>
      <c r="C7059" s="32" t="s">
        <v>346</v>
      </c>
      <c r="D7059" s="32">
        <v>50.0</v>
      </c>
      <c r="E7059" s="94">
        <v>123.66</v>
      </c>
      <c r="F7059" s="982">
        <v>0.4022337962962963</v>
      </c>
      <c r="G7059" s="32" t="s">
        <v>453</v>
      </c>
      <c r="H7059" s="710">
        <v>1.0</v>
      </c>
      <c r="I7059" s="256"/>
      <c r="J7059" s="67">
        <f t="shared" si="425"/>
        <v>-6184</v>
      </c>
      <c r="L7059" s="70"/>
      <c r="M7059" s="934"/>
      <c r="N7059" s="94"/>
      <c r="O7059" s="94"/>
      <c r="P7059" s="94"/>
      <c r="Q7059" s="94"/>
      <c r="R7059" s="94"/>
      <c r="S7059" s="94"/>
      <c r="T7059" s="94"/>
      <c r="U7059" s="94"/>
      <c r="V7059" s="94"/>
      <c r="W7059" s="94"/>
      <c r="X7059" s="94"/>
      <c r="Y7059" s="94"/>
      <c r="Z7059" s="94"/>
      <c r="AA7059" s="94"/>
      <c r="AB7059" s="94"/>
      <c r="AC7059" s="94"/>
      <c r="AD7059" s="94"/>
      <c r="AE7059" s="94"/>
      <c r="AF7059" s="94"/>
      <c r="AG7059" s="94"/>
      <c r="AH7059" s="94"/>
    </row>
    <row r="7060" ht="12.75" hidden="1" customHeight="1" outlineLevel="1">
      <c r="A7060" s="122">
        <v>42207.0</v>
      </c>
      <c r="B7060" s="32" t="s">
        <v>343</v>
      </c>
      <c r="C7060" s="32" t="s">
        <v>1485</v>
      </c>
      <c r="D7060" s="32">
        <v>500.0</v>
      </c>
      <c r="E7060" s="94">
        <v>4.43</v>
      </c>
      <c r="F7060" s="982">
        <v>0.4036689814814815</v>
      </c>
      <c r="G7060" s="32" t="s">
        <v>453</v>
      </c>
      <c r="H7060" s="710">
        <v>2.5</v>
      </c>
      <c r="I7060" s="256"/>
      <c r="J7060" s="67">
        <f t="shared" si="425"/>
        <v>-2217.5</v>
      </c>
      <c r="L7060" s="70"/>
      <c r="M7060" s="934"/>
      <c r="N7060" s="94"/>
      <c r="O7060" s="94"/>
      <c r="P7060" s="94"/>
      <c r="Q7060" s="94"/>
      <c r="R7060" s="94"/>
      <c r="S7060" s="94"/>
      <c r="T7060" s="94"/>
      <c r="U7060" s="94"/>
      <c r="V7060" s="94"/>
      <c r="W7060" s="94"/>
      <c r="X7060" s="94"/>
      <c r="Y7060" s="94"/>
      <c r="Z7060" s="94"/>
      <c r="AA7060" s="94"/>
      <c r="AB7060" s="94"/>
      <c r="AC7060" s="94"/>
      <c r="AD7060" s="94"/>
      <c r="AE7060" s="94"/>
      <c r="AF7060" s="94"/>
      <c r="AG7060" s="94"/>
      <c r="AH7060" s="94"/>
    </row>
    <row r="7061" ht="12.75" hidden="1" customHeight="1" outlineLevel="1">
      <c r="A7061" s="122">
        <v>42207.0</v>
      </c>
      <c r="B7061" s="32" t="s">
        <v>343</v>
      </c>
      <c r="C7061" s="32" t="s">
        <v>1092</v>
      </c>
      <c r="D7061" s="32">
        <v>500.0</v>
      </c>
      <c r="E7061" s="94">
        <v>4.43</v>
      </c>
      <c r="F7061" s="982">
        <v>0.4037847222222222</v>
      </c>
      <c r="G7061" s="32" t="s">
        <v>453</v>
      </c>
      <c r="H7061" s="710">
        <v>2.5</v>
      </c>
      <c r="I7061" s="256"/>
      <c r="J7061" s="67">
        <f t="shared" si="425"/>
        <v>-2217.5</v>
      </c>
      <c r="L7061" s="70"/>
      <c r="M7061" s="934"/>
      <c r="N7061" s="94"/>
      <c r="O7061" s="94"/>
      <c r="P7061" s="94"/>
      <c r="Q7061" s="94"/>
      <c r="R7061" s="94"/>
      <c r="S7061" s="94"/>
      <c r="T7061" s="94"/>
      <c r="U7061" s="94"/>
      <c r="V7061" s="94"/>
      <c r="W7061" s="94"/>
      <c r="X7061" s="94"/>
      <c r="Y7061" s="94"/>
      <c r="Z7061" s="94"/>
      <c r="AA7061" s="94"/>
      <c r="AB7061" s="94"/>
      <c r="AC7061" s="94"/>
      <c r="AD7061" s="94"/>
      <c r="AE7061" s="94"/>
      <c r="AF7061" s="94"/>
      <c r="AG7061" s="94"/>
      <c r="AH7061" s="94"/>
    </row>
    <row r="7062" ht="12.75" hidden="1" customHeight="1" outlineLevel="1">
      <c r="A7062" s="122">
        <v>42207.0</v>
      </c>
      <c r="B7062" s="32" t="s">
        <v>343</v>
      </c>
      <c r="C7062" s="32" t="s">
        <v>1483</v>
      </c>
      <c r="D7062" s="32">
        <v>500.0</v>
      </c>
      <c r="E7062" s="94">
        <v>2.42</v>
      </c>
      <c r="F7062" s="982">
        <v>0.40391203703703704</v>
      </c>
      <c r="G7062" s="32" t="s">
        <v>453</v>
      </c>
      <c r="H7062" s="710">
        <v>2.5</v>
      </c>
      <c r="I7062" s="256"/>
      <c r="J7062" s="67">
        <f t="shared" si="425"/>
        <v>-1212.5</v>
      </c>
      <c r="L7062" s="70"/>
      <c r="M7062" s="934"/>
      <c r="N7062" s="94"/>
      <c r="O7062" s="94"/>
      <c r="P7062" s="94"/>
      <c r="Q7062" s="94"/>
      <c r="R7062" s="94"/>
      <c r="S7062" s="94"/>
      <c r="T7062" s="94"/>
      <c r="U7062" s="94"/>
      <c r="V7062" s="94"/>
      <c r="W7062" s="94"/>
      <c r="X7062" s="94"/>
      <c r="Y7062" s="94"/>
      <c r="Z7062" s="94"/>
      <c r="AA7062" s="94"/>
      <c r="AB7062" s="94"/>
      <c r="AC7062" s="94"/>
      <c r="AD7062" s="94"/>
      <c r="AE7062" s="94"/>
      <c r="AF7062" s="94"/>
      <c r="AG7062" s="94"/>
      <c r="AH7062" s="94"/>
    </row>
    <row r="7063" ht="12.75" hidden="1" customHeight="1" outlineLevel="1">
      <c r="A7063" s="122">
        <v>42207.0</v>
      </c>
      <c r="B7063" s="32" t="s">
        <v>343</v>
      </c>
      <c r="C7063" s="32" t="s">
        <v>604</v>
      </c>
      <c r="D7063" s="32">
        <v>500.0</v>
      </c>
      <c r="E7063" s="94">
        <v>2.52</v>
      </c>
      <c r="F7063" s="982">
        <v>0.4041666666666667</v>
      </c>
      <c r="G7063" s="32" t="s">
        <v>453</v>
      </c>
      <c r="H7063" s="710">
        <v>2.5</v>
      </c>
      <c r="I7063" s="256"/>
      <c r="J7063" s="67">
        <f t="shared" si="425"/>
        <v>-1262.5</v>
      </c>
      <c r="L7063" s="70"/>
      <c r="M7063" s="934"/>
      <c r="N7063" s="94"/>
      <c r="O7063" s="94"/>
      <c r="P7063" s="94"/>
      <c r="Q7063" s="94"/>
      <c r="R7063" s="94"/>
      <c r="S7063" s="94"/>
      <c r="T7063" s="94"/>
      <c r="U7063" s="94"/>
      <c r="V7063" s="94"/>
      <c r="W7063" s="94"/>
      <c r="X7063" s="94"/>
      <c r="Y7063" s="94"/>
      <c r="Z7063" s="94"/>
      <c r="AA7063" s="94"/>
      <c r="AB7063" s="94"/>
      <c r="AC7063" s="94"/>
      <c r="AD7063" s="94"/>
      <c r="AE7063" s="94"/>
      <c r="AF7063" s="94"/>
      <c r="AG7063" s="94"/>
      <c r="AH7063" s="94"/>
    </row>
    <row r="7064" ht="12.75" hidden="1" customHeight="1" outlineLevel="1">
      <c r="A7064" s="122">
        <v>42207.0</v>
      </c>
      <c r="B7064" s="32" t="s">
        <v>347</v>
      </c>
      <c r="C7064" s="32" t="s">
        <v>784</v>
      </c>
      <c r="D7064" s="983">
        <v>3000.0</v>
      </c>
      <c r="E7064" s="94">
        <v>5.371</v>
      </c>
      <c r="F7064" s="982">
        <v>0.4957638888888889</v>
      </c>
      <c r="G7064" s="32" t="s">
        <v>453</v>
      </c>
      <c r="H7064" s="710">
        <v>14.0</v>
      </c>
      <c r="I7064" s="256"/>
      <c r="J7064" s="67">
        <f t="shared" si="425"/>
        <v>16099</v>
      </c>
      <c r="L7064" s="70"/>
      <c r="M7064" s="934"/>
      <c r="N7064" s="94"/>
      <c r="O7064" s="94"/>
      <c r="P7064" s="94"/>
      <c r="Q7064" s="94"/>
      <c r="R7064" s="94"/>
      <c r="S7064" s="94"/>
      <c r="T7064" s="94"/>
      <c r="U7064" s="94"/>
      <c r="V7064" s="94"/>
      <c r="W7064" s="94"/>
      <c r="X7064" s="94"/>
      <c r="Y7064" s="94"/>
      <c r="Z7064" s="94"/>
      <c r="AA7064" s="94"/>
      <c r="AB7064" s="94"/>
      <c r="AC7064" s="94"/>
      <c r="AD7064" s="94"/>
      <c r="AE7064" s="94"/>
      <c r="AF7064" s="94"/>
      <c r="AG7064" s="94"/>
      <c r="AH7064" s="94"/>
    </row>
    <row r="7065" ht="12.75" hidden="1" customHeight="1" outlineLevel="1">
      <c r="A7065" s="122">
        <v>42207.0</v>
      </c>
      <c r="B7065" s="32" t="s">
        <v>347</v>
      </c>
      <c r="C7065" s="32" t="s">
        <v>790</v>
      </c>
      <c r="D7065" s="983">
        <v>1300.0</v>
      </c>
      <c r="E7065" s="94">
        <v>7.18</v>
      </c>
      <c r="F7065" s="982">
        <v>0.5077546296296296</v>
      </c>
      <c r="G7065" s="32" t="s">
        <v>453</v>
      </c>
      <c r="H7065" s="710">
        <v>6.57</v>
      </c>
      <c r="I7065" s="256"/>
      <c r="J7065" s="67">
        <f t="shared" si="425"/>
        <v>9327.43</v>
      </c>
      <c r="L7065" s="70"/>
      <c r="M7065" s="934"/>
      <c r="N7065" s="94"/>
      <c r="O7065" s="94"/>
      <c r="P7065" s="94"/>
      <c r="Q7065" s="94"/>
      <c r="R7065" s="94"/>
      <c r="S7065" s="94"/>
      <c r="T7065" s="94"/>
      <c r="U7065" s="94"/>
      <c r="V7065" s="94"/>
      <c r="W7065" s="94"/>
      <c r="X7065" s="94"/>
      <c r="Y7065" s="94"/>
      <c r="Z7065" s="94"/>
      <c r="AA7065" s="94"/>
      <c r="AB7065" s="94"/>
      <c r="AC7065" s="94"/>
      <c r="AD7065" s="94"/>
      <c r="AE7065" s="94"/>
      <c r="AF7065" s="94"/>
      <c r="AG7065" s="94"/>
      <c r="AH7065" s="94"/>
    </row>
    <row r="7066" ht="12.75" hidden="1" customHeight="1" outlineLevel="1">
      <c r="A7066" s="122">
        <v>42207.0</v>
      </c>
      <c r="B7066" s="32" t="s">
        <v>347</v>
      </c>
      <c r="C7066" s="32" t="s">
        <v>2048</v>
      </c>
      <c r="D7066" s="983">
        <v>1200.0</v>
      </c>
      <c r="E7066" s="94">
        <v>8.931</v>
      </c>
      <c r="F7066" s="982">
        <v>0.5084953703703704</v>
      </c>
      <c r="G7066" s="32" t="s">
        <v>453</v>
      </c>
      <c r="H7066" s="710">
        <v>5.0</v>
      </c>
      <c r="I7066" s="256"/>
      <c r="J7066" s="67">
        <f t="shared" si="425"/>
        <v>10712.2</v>
      </c>
      <c r="L7066" s="70"/>
      <c r="M7066" s="934"/>
      <c r="N7066" s="94"/>
      <c r="O7066" s="94"/>
      <c r="P7066" s="94"/>
      <c r="Q7066" s="94"/>
      <c r="R7066" s="94"/>
      <c r="S7066" s="94"/>
      <c r="T7066" s="94"/>
      <c r="U7066" s="94"/>
      <c r="V7066" s="94"/>
      <c r="W7066" s="94"/>
      <c r="X7066" s="94"/>
      <c r="Y7066" s="94"/>
      <c r="Z7066" s="94"/>
      <c r="AA7066" s="94"/>
      <c r="AB7066" s="94"/>
      <c r="AC7066" s="94"/>
      <c r="AD7066" s="94"/>
      <c r="AE7066" s="94"/>
      <c r="AF7066" s="94"/>
      <c r="AG7066" s="94"/>
      <c r="AH7066" s="94"/>
    </row>
    <row r="7067" ht="12.75" hidden="1" customHeight="1" outlineLevel="1">
      <c r="A7067" s="122">
        <v>42207.0</v>
      </c>
      <c r="B7067" s="32" t="s">
        <v>347</v>
      </c>
      <c r="C7067" s="32" t="s">
        <v>2090</v>
      </c>
      <c r="D7067" s="983">
        <v>1500.0</v>
      </c>
      <c r="E7067" s="94">
        <v>8.01</v>
      </c>
      <c r="F7067" s="982">
        <v>0.509988425925926</v>
      </c>
      <c r="G7067" s="32" t="s">
        <v>453</v>
      </c>
      <c r="H7067" s="710">
        <v>6.22</v>
      </c>
      <c r="I7067" s="256"/>
      <c r="J7067" s="67">
        <f t="shared" si="425"/>
        <v>12008.78</v>
      </c>
      <c r="L7067" s="70"/>
      <c r="M7067" s="934"/>
      <c r="N7067" s="94"/>
      <c r="O7067" s="94"/>
      <c r="P7067" s="94"/>
      <c r="Q7067" s="94"/>
      <c r="R7067" s="94"/>
      <c r="S7067" s="94"/>
      <c r="T7067" s="94"/>
      <c r="U7067" s="94"/>
      <c r="V7067" s="94"/>
      <c r="W7067" s="94"/>
      <c r="X7067" s="94"/>
      <c r="Y7067" s="94"/>
      <c r="Z7067" s="94"/>
      <c r="AA7067" s="94"/>
      <c r="AB7067" s="94"/>
      <c r="AC7067" s="94"/>
      <c r="AD7067" s="94"/>
      <c r="AE7067" s="94"/>
      <c r="AF7067" s="94"/>
      <c r="AG7067" s="94"/>
      <c r="AH7067" s="94"/>
    </row>
    <row r="7068" ht="12.75" hidden="1" customHeight="1" outlineLevel="1">
      <c r="A7068" s="122">
        <v>42207.0</v>
      </c>
      <c r="B7068" s="32" t="s">
        <v>347</v>
      </c>
      <c r="C7068" s="32" t="s">
        <v>784</v>
      </c>
      <c r="D7068" s="983">
        <v>3000.0</v>
      </c>
      <c r="E7068" s="94">
        <v>5.361</v>
      </c>
      <c r="F7068" s="982">
        <v>0.5121296296296296</v>
      </c>
      <c r="G7068" s="32" t="s">
        <v>453</v>
      </c>
      <c r="H7068" s="710">
        <v>12.3</v>
      </c>
      <c r="I7068" s="256"/>
      <c r="J7068" s="67">
        <f t="shared" si="425"/>
        <v>16070.7</v>
      </c>
      <c r="L7068" s="70"/>
      <c r="M7068" s="934"/>
      <c r="N7068" s="94"/>
      <c r="O7068" s="94"/>
      <c r="P7068" s="94"/>
      <c r="Q7068" s="94"/>
      <c r="R7068" s="94"/>
      <c r="S7068" s="94"/>
      <c r="T7068" s="94"/>
      <c r="U7068" s="94"/>
      <c r="V7068" s="94"/>
      <c r="W7068" s="94"/>
      <c r="X7068" s="94"/>
      <c r="Y7068" s="94"/>
      <c r="Z7068" s="94"/>
      <c r="AA7068" s="94"/>
      <c r="AB7068" s="94"/>
      <c r="AC7068" s="94"/>
      <c r="AD7068" s="94"/>
      <c r="AE7068" s="94"/>
      <c r="AF7068" s="94"/>
      <c r="AG7068" s="94"/>
      <c r="AH7068" s="94"/>
    </row>
    <row r="7069" ht="12.75" hidden="1" customHeight="1" outlineLevel="1">
      <c r="A7069" s="122">
        <v>42207.0</v>
      </c>
      <c r="B7069" s="32" t="s">
        <v>347</v>
      </c>
      <c r="C7069" s="32" t="s">
        <v>790</v>
      </c>
      <c r="D7069" s="983">
        <v>1000.0</v>
      </c>
      <c r="E7069" s="94">
        <v>7.113</v>
      </c>
      <c r="F7069" s="982">
        <v>0.5531134259259259</v>
      </c>
      <c r="G7069" s="32" t="s">
        <v>453</v>
      </c>
      <c r="H7069" s="710">
        <v>5.03</v>
      </c>
      <c r="I7069" s="256"/>
      <c r="J7069" s="67">
        <f t="shared" si="425"/>
        <v>7107.97</v>
      </c>
      <c r="L7069" s="70"/>
      <c r="M7069" s="934"/>
      <c r="N7069" s="94"/>
      <c r="O7069" s="94"/>
      <c r="P7069" s="94"/>
      <c r="Q7069" s="94"/>
      <c r="R7069" s="94"/>
      <c r="S7069" s="94"/>
      <c r="T7069" s="94"/>
      <c r="U7069" s="94"/>
      <c r="V7069" s="94"/>
      <c r="W7069" s="94"/>
      <c r="X7069" s="94"/>
      <c r="Y7069" s="94"/>
      <c r="Z7069" s="94"/>
      <c r="AA7069" s="94"/>
      <c r="AB7069" s="94"/>
      <c r="AC7069" s="94"/>
      <c r="AD7069" s="94"/>
      <c r="AE7069" s="94"/>
      <c r="AF7069" s="94"/>
      <c r="AG7069" s="94"/>
      <c r="AH7069" s="94"/>
    </row>
    <row r="7070" ht="12.75" hidden="1" customHeight="1" outlineLevel="1">
      <c r="A7070" s="122">
        <v>42207.0</v>
      </c>
      <c r="B7070" s="32" t="s">
        <v>347</v>
      </c>
      <c r="C7070" s="32" t="s">
        <v>2090</v>
      </c>
      <c r="D7070" s="983">
        <v>1000.0</v>
      </c>
      <c r="E7070" s="94">
        <v>7.9</v>
      </c>
      <c r="F7070" s="982">
        <v>0.5533101851851852</v>
      </c>
      <c r="G7070" s="32" t="s">
        <v>453</v>
      </c>
      <c r="H7070" s="710">
        <v>4.65</v>
      </c>
      <c r="I7070" s="256"/>
      <c r="J7070" s="67">
        <f t="shared" si="425"/>
        <v>7895.35</v>
      </c>
      <c r="L7070" s="70"/>
      <c r="M7070" s="934"/>
      <c r="N7070" s="94"/>
      <c r="O7070" s="94"/>
      <c r="P7070" s="94"/>
      <c r="Q7070" s="94"/>
      <c r="R7070" s="94"/>
      <c r="S7070" s="94"/>
      <c r="T7070" s="94"/>
      <c r="U7070" s="94"/>
      <c r="V7070" s="94"/>
      <c r="W7070" s="94"/>
      <c r="X7070" s="94"/>
      <c r="Y7070" s="94"/>
      <c r="Z7070" s="94"/>
      <c r="AA7070" s="94"/>
      <c r="AB7070" s="94"/>
      <c r="AC7070" s="94"/>
      <c r="AD7070" s="94"/>
      <c r="AE7070" s="94"/>
      <c r="AF7070" s="94"/>
      <c r="AG7070" s="94"/>
      <c r="AH7070" s="94"/>
    </row>
    <row r="7071" ht="12.75" hidden="1" customHeight="1" outlineLevel="1">
      <c r="A7071" s="122">
        <v>42207.0</v>
      </c>
      <c r="B7071" s="32" t="s">
        <v>347</v>
      </c>
      <c r="C7071" s="32" t="s">
        <v>784</v>
      </c>
      <c r="D7071" s="983">
        <v>4000.0</v>
      </c>
      <c r="E7071" s="94">
        <v>5.352</v>
      </c>
      <c r="F7071" s="982">
        <v>0.5541203703703703</v>
      </c>
      <c r="G7071" s="32" t="s">
        <v>453</v>
      </c>
      <c r="H7071" s="710">
        <v>16.39</v>
      </c>
      <c r="I7071" s="256"/>
      <c r="J7071" s="67">
        <f t="shared" si="425"/>
        <v>21391.61</v>
      </c>
      <c r="L7071" s="70"/>
      <c r="M7071" s="934"/>
      <c r="N7071" s="94"/>
      <c r="O7071" s="94"/>
      <c r="P7071" s="94"/>
      <c r="Q7071" s="94"/>
      <c r="R7071" s="94"/>
      <c r="S7071" s="94"/>
      <c r="T7071" s="94"/>
      <c r="U7071" s="94"/>
      <c r="V7071" s="94"/>
      <c r="W7071" s="94"/>
      <c r="X7071" s="94"/>
      <c r="Y7071" s="94"/>
      <c r="Z7071" s="94"/>
      <c r="AA7071" s="94"/>
      <c r="AB7071" s="94"/>
      <c r="AC7071" s="94"/>
      <c r="AD7071" s="94"/>
      <c r="AE7071" s="94"/>
      <c r="AF7071" s="94"/>
      <c r="AG7071" s="94"/>
      <c r="AH7071" s="94"/>
    </row>
    <row r="7072" ht="12.75" hidden="1" customHeight="1" outlineLevel="1">
      <c r="A7072" s="122">
        <v>42207.0</v>
      </c>
      <c r="B7072" s="32" t="s">
        <v>347</v>
      </c>
      <c r="C7072" s="32" t="s">
        <v>2048</v>
      </c>
      <c r="D7072" s="983">
        <v>1300.0</v>
      </c>
      <c r="E7072" s="94">
        <v>8.82</v>
      </c>
      <c r="F7072" s="982">
        <v>0.5544560185185186</v>
      </c>
      <c r="G7072" s="32" t="s">
        <v>453</v>
      </c>
      <c r="H7072" s="710">
        <v>6.71</v>
      </c>
      <c r="I7072" s="256"/>
      <c r="J7072" s="67">
        <f t="shared" si="425"/>
        <v>11459.29</v>
      </c>
      <c r="L7072" s="70"/>
      <c r="M7072" s="934"/>
      <c r="N7072" s="94"/>
      <c r="O7072" s="94"/>
      <c r="P7072" s="94"/>
      <c r="Q7072" s="94"/>
      <c r="R7072" s="94"/>
      <c r="S7072" s="94"/>
      <c r="T7072" s="94"/>
      <c r="U7072" s="94"/>
      <c r="V7072" s="94"/>
      <c r="W7072" s="94"/>
      <c r="X7072" s="94"/>
      <c r="Y7072" s="94"/>
      <c r="Z7072" s="94"/>
      <c r="AA7072" s="94"/>
      <c r="AB7072" s="94"/>
      <c r="AC7072" s="94"/>
      <c r="AD7072" s="94"/>
      <c r="AE7072" s="94"/>
      <c r="AF7072" s="94"/>
      <c r="AG7072" s="94"/>
      <c r="AH7072" s="94"/>
    </row>
    <row r="7073" ht="12.75" hidden="1" customHeight="1" outlineLevel="1">
      <c r="A7073" s="122">
        <v>42207.0</v>
      </c>
      <c r="B7073" s="32" t="s">
        <v>347</v>
      </c>
      <c r="C7073" s="32" t="s">
        <v>1839</v>
      </c>
      <c r="D7073" s="983">
        <v>1000.0</v>
      </c>
      <c r="E7073" s="94">
        <v>9.06</v>
      </c>
      <c r="F7073" s="982">
        <v>0.6002777777777778</v>
      </c>
      <c r="G7073" s="32" t="s">
        <v>453</v>
      </c>
      <c r="H7073" s="710">
        <v>5.17</v>
      </c>
      <c r="I7073" s="256"/>
      <c r="J7073" s="67">
        <f t="shared" si="425"/>
        <v>9054.83</v>
      </c>
      <c r="L7073" s="70"/>
      <c r="M7073" s="934"/>
      <c r="N7073" s="94"/>
      <c r="O7073" s="94"/>
      <c r="P7073" s="94"/>
      <c r="Q7073" s="94"/>
      <c r="R7073" s="94"/>
      <c r="S7073" s="94"/>
      <c r="T7073" s="94"/>
      <c r="U7073" s="94"/>
      <c r="V7073" s="94"/>
      <c r="W7073" s="94"/>
      <c r="X7073" s="94"/>
      <c r="Y7073" s="94"/>
      <c r="Z7073" s="94"/>
      <c r="AA7073" s="94"/>
      <c r="AB7073" s="94"/>
      <c r="AC7073" s="94"/>
      <c r="AD7073" s="94"/>
      <c r="AE7073" s="94"/>
      <c r="AF7073" s="94"/>
      <c r="AG7073" s="94"/>
      <c r="AH7073" s="94"/>
    </row>
    <row r="7074" ht="12.75" hidden="1" customHeight="1" outlineLevel="1">
      <c r="A7074" s="122">
        <v>42207.0</v>
      </c>
      <c r="B7074" s="32" t="s">
        <v>343</v>
      </c>
      <c r="C7074" s="32" t="s">
        <v>2862</v>
      </c>
      <c r="D7074" s="32">
        <v>50.0</v>
      </c>
      <c r="E7074" s="94">
        <v>117.67</v>
      </c>
      <c r="F7074" s="982">
        <v>0.6650231481481481</v>
      </c>
      <c r="G7074" s="32" t="s">
        <v>453</v>
      </c>
      <c r="H7074" s="710">
        <v>1.0</v>
      </c>
      <c r="I7074" s="256"/>
      <c r="J7074" s="67">
        <f t="shared" si="425"/>
        <v>-5884.5</v>
      </c>
      <c r="L7074" s="70"/>
      <c r="M7074" s="934"/>
      <c r="N7074" s="94"/>
      <c r="O7074" s="94"/>
      <c r="P7074" s="94"/>
      <c r="Q7074" s="94"/>
      <c r="R7074" s="94"/>
      <c r="S7074" s="94"/>
      <c r="T7074" s="94"/>
      <c r="U7074" s="94"/>
      <c r="V7074" s="94"/>
      <c r="W7074" s="94"/>
      <c r="X7074" s="94"/>
      <c r="Y7074" s="94"/>
      <c r="Z7074" s="94"/>
      <c r="AA7074" s="94"/>
      <c r="AB7074" s="94"/>
      <c r="AC7074" s="94"/>
      <c r="AD7074" s="94"/>
      <c r="AE7074" s="94"/>
      <c r="AF7074" s="94"/>
      <c r="AG7074" s="94"/>
      <c r="AH7074" s="94"/>
    </row>
    <row r="7075" ht="12.75" hidden="1" customHeight="1" outlineLevel="1">
      <c r="A7075" s="122">
        <v>42208.0</v>
      </c>
      <c r="B7075" s="32" t="s">
        <v>343</v>
      </c>
      <c r="C7075" s="32" t="s">
        <v>1995</v>
      </c>
      <c r="D7075" s="32">
        <v>150.0</v>
      </c>
      <c r="E7075" s="94">
        <v>46.29</v>
      </c>
      <c r="F7075" s="982">
        <v>0.4267361111111111</v>
      </c>
      <c r="G7075" s="32" t="s">
        <v>453</v>
      </c>
      <c r="H7075" s="710">
        <v>1.0</v>
      </c>
      <c r="I7075" s="256"/>
      <c r="J7075" s="67">
        <f t="shared" si="425"/>
        <v>-6944.5</v>
      </c>
      <c r="L7075" s="70"/>
      <c r="M7075" s="934"/>
      <c r="N7075" s="94"/>
      <c r="O7075" s="94"/>
      <c r="P7075" s="94"/>
      <c r="Q7075" s="94"/>
      <c r="R7075" s="94"/>
      <c r="S7075" s="94"/>
      <c r="T7075" s="94"/>
      <c r="U7075" s="94"/>
      <c r="V7075" s="94"/>
      <c r="W7075" s="94"/>
      <c r="X7075" s="94"/>
      <c r="Y7075" s="94"/>
      <c r="Z7075" s="94"/>
      <c r="AA7075" s="94"/>
      <c r="AB7075" s="94"/>
      <c r="AC7075" s="94"/>
      <c r="AD7075" s="94"/>
      <c r="AE7075" s="94"/>
      <c r="AF7075" s="94"/>
      <c r="AG7075" s="94"/>
      <c r="AH7075" s="94"/>
    </row>
    <row r="7076" ht="12.75" hidden="1" customHeight="1" outlineLevel="1">
      <c r="A7076" s="122">
        <v>42208.0</v>
      </c>
      <c r="B7076" s="32" t="s">
        <v>347</v>
      </c>
      <c r="C7076" s="32" t="s">
        <v>784</v>
      </c>
      <c r="D7076" s="983">
        <v>4000.0</v>
      </c>
      <c r="E7076" s="94">
        <v>5.31</v>
      </c>
      <c r="F7076" s="982">
        <v>0.47195601851851854</v>
      </c>
      <c r="G7076" s="32" t="s">
        <v>453</v>
      </c>
      <c r="H7076" s="710">
        <v>20.39</v>
      </c>
      <c r="I7076" s="256"/>
      <c r="J7076" s="67">
        <f t="shared" si="425"/>
        <v>21219.61</v>
      </c>
      <c r="L7076" s="70"/>
      <c r="M7076" s="934"/>
      <c r="N7076" s="94"/>
      <c r="O7076" s="94"/>
      <c r="P7076" s="94"/>
      <c r="Q7076" s="94"/>
      <c r="R7076" s="94"/>
      <c r="S7076" s="94"/>
      <c r="T7076" s="94"/>
      <c r="U7076" s="94"/>
      <c r="V7076" s="94"/>
      <c r="W7076" s="94"/>
      <c r="X7076" s="94"/>
      <c r="Y7076" s="94"/>
      <c r="Z7076" s="94"/>
      <c r="AA7076" s="94"/>
      <c r="AB7076" s="94"/>
      <c r="AC7076" s="94"/>
      <c r="AD7076" s="94"/>
      <c r="AE7076" s="94"/>
      <c r="AF7076" s="94"/>
      <c r="AG7076" s="94"/>
      <c r="AH7076" s="94"/>
    </row>
    <row r="7077" ht="12.75" hidden="1" customHeight="1" outlineLevel="1">
      <c r="A7077" s="122">
        <v>42209.0</v>
      </c>
      <c r="B7077" s="32" t="s">
        <v>347</v>
      </c>
      <c r="C7077" s="32" t="s">
        <v>2048</v>
      </c>
      <c r="D7077" s="983">
        <v>3000.0</v>
      </c>
      <c r="E7077" s="94">
        <v>8.76</v>
      </c>
      <c r="F7077" s="982">
        <v>0.46032407407407405</v>
      </c>
      <c r="G7077" s="32" t="s">
        <v>453</v>
      </c>
      <c r="H7077" s="710">
        <v>15.08</v>
      </c>
      <c r="I7077" s="256"/>
      <c r="J7077" s="67">
        <f t="shared" si="425"/>
        <v>26264.92</v>
      </c>
      <c r="L7077" s="70"/>
      <c r="M7077" s="934"/>
      <c r="N7077" s="94"/>
      <c r="O7077" s="94"/>
      <c r="P7077" s="94"/>
      <c r="Q7077" s="94"/>
      <c r="R7077" s="94"/>
      <c r="S7077" s="94"/>
      <c r="T7077" s="94"/>
      <c r="U7077" s="94"/>
      <c r="V7077" s="94"/>
      <c r="W7077" s="94"/>
      <c r="X7077" s="94"/>
      <c r="Y7077" s="94"/>
      <c r="Z7077" s="94"/>
      <c r="AA7077" s="94"/>
      <c r="AB7077" s="94"/>
      <c r="AC7077" s="94"/>
      <c r="AD7077" s="94"/>
      <c r="AE7077" s="94"/>
      <c r="AF7077" s="94"/>
      <c r="AG7077" s="94"/>
      <c r="AH7077" s="94"/>
    </row>
    <row r="7078" ht="12.75" hidden="1" customHeight="1" outlineLevel="1">
      <c r="A7078" s="122">
        <v>42209.0</v>
      </c>
      <c r="B7078" s="32" t="s">
        <v>347</v>
      </c>
      <c r="C7078" s="32" t="s">
        <v>3024</v>
      </c>
      <c r="D7078" s="983">
        <v>1500.0</v>
      </c>
      <c r="E7078" s="94">
        <v>20.47</v>
      </c>
      <c r="F7078" s="982">
        <v>0.460625</v>
      </c>
      <c r="G7078" s="32" t="s">
        <v>453</v>
      </c>
      <c r="H7078" s="710">
        <v>7.46</v>
      </c>
      <c r="I7078" s="256"/>
      <c r="J7078" s="67">
        <f t="shared" si="425"/>
        <v>30697.54</v>
      </c>
      <c r="L7078" s="70"/>
      <c r="M7078" s="934"/>
      <c r="N7078" s="94"/>
      <c r="O7078" s="94"/>
      <c r="P7078" s="94"/>
      <c r="Q7078" s="94"/>
      <c r="R7078" s="94"/>
      <c r="S7078" s="94"/>
      <c r="T7078" s="94"/>
      <c r="U7078" s="94"/>
      <c r="V7078" s="94"/>
      <c r="W7078" s="94"/>
      <c r="X7078" s="94"/>
      <c r="Y7078" s="94"/>
      <c r="Z7078" s="94"/>
      <c r="AA7078" s="94"/>
      <c r="AB7078" s="94"/>
      <c r="AC7078" s="94"/>
      <c r="AD7078" s="94"/>
      <c r="AE7078" s="94"/>
      <c r="AF7078" s="94"/>
      <c r="AG7078" s="94"/>
      <c r="AH7078" s="94"/>
    </row>
    <row r="7079" ht="12.75" hidden="1" customHeight="1" outlineLevel="1">
      <c r="A7079" s="122">
        <v>42212.0</v>
      </c>
      <c r="B7079" s="32" t="s">
        <v>343</v>
      </c>
      <c r="C7079" s="32" t="s">
        <v>2862</v>
      </c>
      <c r="D7079" s="32">
        <v>50.0</v>
      </c>
      <c r="E7079" s="94">
        <v>110.77</v>
      </c>
      <c r="F7079" s="982">
        <v>0.41151620370370373</v>
      </c>
      <c r="G7079" s="32" t="s">
        <v>453</v>
      </c>
      <c r="H7079" s="710">
        <v>1.0</v>
      </c>
      <c r="I7079" s="256"/>
      <c r="J7079" s="67">
        <f t="shared" si="425"/>
        <v>-5539.5</v>
      </c>
      <c r="L7079" s="70"/>
      <c r="M7079" s="934"/>
      <c r="N7079" s="94"/>
      <c r="O7079" s="94"/>
      <c r="P7079" s="94"/>
      <c r="Q7079" s="94"/>
      <c r="R7079" s="94"/>
      <c r="S7079" s="94"/>
      <c r="T7079" s="94"/>
      <c r="U7079" s="94"/>
      <c r="V7079" s="94"/>
      <c r="W7079" s="94"/>
      <c r="X7079" s="94"/>
      <c r="Y7079" s="94"/>
      <c r="Z7079" s="94"/>
      <c r="AA7079" s="94"/>
      <c r="AB7079" s="94"/>
      <c r="AC7079" s="94"/>
      <c r="AD7079" s="94"/>
      <c r="AE7079" s="94"/>
      <c r="AF7079" s="94"/>
      <c r="AG7079" s="94"/>
      <c r="AH7079" s="94"/>
    </row>
    <row r="7080" ht="12.75" hidden="1" customHeight="1" outlineLevel="1">
      <c r="A7080" s="122">
        <v>42212.0</v>
      </c>
      <c r="B7080" s="32" t="s">
        <v>343</v>
      </c>
      <c r="C7080" s="32" t="s">
        <v>2342</v>
      </c>
      <c r="D7080" s="32">
        <v>50.0</v>
      </c>
      <c r="E7080" s="94">
        <v>57.499</v>
      </c>
      <c r="F7080" s="982">
        <v>0.447037037037037</v>
      </c>
      <c r="G7080" s="32" t="s">
        <v>453</v>
      </c>
      <c r="H7080" s="710">
        <v>1.0</v>
      </c>
      <c r="I7080" s="256"/>
      <c r="J7080" s="67">
        <f t="shared" si="425"/>
        <v>-2875.95</v>
      </c>
      <c r="L7080" s="70"/>
      <c r="M7080" s="934"/>
      <c r="N7080" s="94"/>
      <c r="O7080" s="94"/>
      <c r="P7080" s="94"/>
      <c r="Q7080" s="94"/>
      <c r="R7080" s="94"/>
      <c r="S7080" s="94"/>
      <c r="T7080" s="94"/>
      <c r="U7080" s="94"/>
      <c r="V7080" s="94"/>
      <c r="W7080" s="94"/>
      <c r="X7080" s="94"/>
      <c r="Y7080" s="94"/>
      <c r="Z7080" s="94"/>
      <c r="AA7080" s="94"/>
      <c r="AB7080" s="94"/>
      <c r="AC7080" s="94"/>
      <c r="AD7080" s="94"/>
      <c r="AE7080" s="94"/>
      <c r="AF7080" s="94"/>
      <c r="AG7080" s="94"/>
      <c r="AH7080" s="94"/>
    </row>
    <row r="7081" ht="12.75" hidden="1" customHeight="1" outlineLevel="1">
      <c r="A7081" s="122">
        <v>42212.0</v>
      </c>
      <c r="B7081" s="32" t="s">
        <v>347</v>
      </c>
      <c r="C7081" s="32" t="s">
        <v>784</v>
      </c>
      <c r="D7081" s="983">
        <v>2000.0</v>
      </c>
      <c r="E7081" s="94">
        <v>5.001</v>
      </c>
      <c r="F7081" s="982">
        <v>0.6656481481481481</v>
      </c>
      <c r="G7081" s="32" t="s">
        <v>453</v>
      </c>
      <c r="H7081" s="710">
        <v>8.18</v>
      </c>
      <c r="I7081" s="256"/>
      <c r="J7081" s="67">
        <f t="shared" si="425"/>
        <v>9993.82</v>
      </c>
      <c r="L7081" s="70"/>
      <c r="M7081" s="934"/>
      <c r="N7081" s="94"/>
      <c r="O7081" s="94"/>
      <c r="P7081" s="94"/>
      <c r="Q7081" s="94"/>
      <c r="R7081" s="94"/>
      <c r="S7081" s="94"/>
      <c r="T7081" s="94"/>
      <c r="U7081" s="94"/>
      <c r="V7081" s="94"/>
      <c r="W7081" s="94"/>
      <c r="X7081" s="94"/>
      <c r="Y7081" s="94"/>
      <c r="Z7081" s="94"/>
      <c r="AA7081" s="94"/>
      <c r="AB7081" s="94"/>
      <c r="AC7081" s="94"/>
      <c r="AD7081" s="94"/>
      <c r="AE7081" s="94"/>
      <c r="AF7081" s="94"/>
      <c r="AG7081" s="94"/>
      <c r="AH7081" s="94"/>
    </row>
    <row r="7082" ht="12.75" hidden="1" customHeight="1" outlineLevel="1">
      <c r="A7082" s="122">
        <v>42212.0</v>
      </c>
      <c r="B7082" s="32" t="s">
        <v>347</v>
      </c>
      <c r="C7082" s="32" t="s">
        <v>2048</v>
      </c>
      <c r="D7082" s="983">
        <v>2000.0</v>
      </c>
      <c r="E7082" s="94">
        <v>8.261</v>
      </c>
      <c r="F7082" s="982">
        <v>0.6658217592592592</v>
      </c>
      <c r="G7082" s="32" t="s">
        <v>453</v>
      </c>
      <c r="H7082" s="710">
        <v>8.3</v>
      </c>
      <c r="I7082" s="256"/>
      <c r="J7082" s="67">
        <f t="shared" si="425"/>
        <v>16513.7</v>
      </c>
      <c r="L7082" s="70"/>
      <c r="M7082" s="934"/>
      <c r="N7082" s="94"/>
      <c r="O7082" s="94"/>
      <c r="P7082" s="94"/>
      <c r="Q7082" s="94"/>
      <c r="R7082" s="94"/>
      <c r="S7082" s="94"/>
      <c r="T7082" s="94"/>
      <c r="U7082" s="94"/>
      <c r="V7082" s="94"/>
      <c r="W7082" s="94"/>
      <c r="X7082" s="94"/>
      <c r="Y7082" s="94"/>
      <c r="Z7082" s="94"/>
      <c r="AA7082" s="94"/>
      <c r="AB7082" s="94"/>
      <c r="AC7082" s="94"/>
      <c r="AD7082" s="94"/>
      <c r="AE7082" s="94"/>
      <c r="AF7082" s="94"/>
      <c r="AG7082" s="94"/>
      <c r="AH7082" s="94"/>
    </row>
    <row r="7083" ht="12.75" hidden="1" customHeight="1" outlineLevel="1">
      <c r="A7083" s="122">
        <v>42212.0</v>
      </c>
      <c r="B7083" s="974"/>
      <c r="C7083" s="32" t="s">
        <v>339</v>
      </c>
      <c r="D7083" s="708"/>
      <c r="E7083" s="195"/>
      <c r="F7083" s="709"/>
      <c r="G7083" s="195"/>
      <c r="H7083" s="710"/>
      <c r="I7083" s="256"/>
      <c r="J7083" s="67"/>
      <c r="K7083" s="968" t="s">
        <v>3075</v>
      </c>
      <c r="L7083" s="934"/>
      <c r="M7083" s="934"/>
    </row>
    <row r="7084" ht="12.75" hidden="1" customHeight="1" outlineLevel="1">
      <c r="A7084" s="122">
        <v>42212.0</v>
      </c>
      <c r="B7084" s="974"/>
      <c r="C7084" s="32" t="s">
        <v>429</v>
      </c>
      <c r="D7084" s="708"/>
      <c r="E7084" s="195"/>
      <c r="F7084" s="709"/>
      <c r="G7084" s="195"/>
      <c r="H7084" s="710"/>
      <c r="I7084" s="256"/>
      <c r="J7084" s="67"/>
      <c r="K7084" s="9" t="s">
        <v>3049</v>
      </c>
      <c r="L7084" s="934"/>
      <c r="M7084" s="934"/>
    </row>
    <row r="7085" ht="12.75" hidden="1" customHeight="1" outlineLevel="1">
      <c r="A7085" s="122">
        <v>42212.0</v>
      </c>
      <c r="B7085" s="974"/>
      <c r="C7085" s="32" t="s">
        <v>431</v>
      </c>
      <c r="D7085" s="708"/>
      <c r="E7085" s="195"/>
      <c r="F7085" s="709"/>
      <c r="G7085" s="195"/>
      <c r="H7085" s="710"/>
      <c r="I7085" s="256"/>
      <c r="J7085" s="67"/>
      <c r="K7085" s="7" t="s">
        <v>1126</v>
      </c>
      <c r="L7085" s="934"/>
      <c r="M7085" s="934"/>
    </row>
    <row r="7086" ht="12.75" hidden="1" customHeight="1" outlineLevel="1">
      <c r="A7086" s="122">
        <v>42212.0</v>
      </c>
      <c r="B7086" s="974"/>
      <c r="C7086" s="32" t="s">
        <v>433</v>
      </c>
      <c r="D7086" s="708"/>
      <c r="E7086" s="195"/>
      <c r="F7086" s="709"/>
      <c r="G7086" s="195"/>
      <c r="H7086" s="710"/>
      <c r="I7086" s="256"/>
      <c r="J7086" s="67"/>
      <c r="K7086" s="7" t="s">
        <v>1103</v>
      </c>
      <c r="L7086" s="934"/>
      <c r="M7086" s="934"/>
    </row>
    <row r="7087" ht="12.75" hidden="1" customHeight="1" outlineLevel="1">
      <c r="A7087" s="122">
        <v>42212.0</v>
      </c>
      <c r="B7087" s="974"/>
      <c r="C7087" s="32" t="s">
        <v>435</v>
      </c>
      <c r="D7087" s="708"/>
      <c r="E7087" s="195"/>
      <c r="F7087" s="709"/>
      <c r="G7087" s="195"/>
      <c r="H7087" s="710"/>
      <c r="I7087" s="256"/>
      <c r="J7087" s="67"/>
      <c r="K7087" s="9" t="s">
        <v>2802</v>
      </c>
      <c r="L7087" s="934"/>
      <c r="M7087" s="934"/>
    </row>
    <row r="7088" ht="12.75" hidden="1" customHeight="1" outlineLevel="1">
      <c r="A7088" s="122">
        <v>42214.0</v>
      </c>
      <c r="B7088" s="32" t="s">
        <v>343</v>
      </c>
      <c r="C7088" s="32" t="s">
        <v>346</v>
      </c>
      <c r="D7088" s="32">
        <v>100.0</v>
      </c>
      <c r="E7088" s="94">
        <v>123.025</v>
      </c>
      <c r="F7088" s="982">
        <v>0.40184027777777775</v>
      </c>
      <c r="G7088" s="32" t="s">
        <v>453</v>
      </c>
      <c r="H7088" s="710">
        <v>1.0</v>
      </c>
      <c r="I7088" s="256"/>
      <c r="J7088" s="67">
        <f t="shared" ref="J7088:J7132" si="426">IF(B7088="SLD",D7088*E7088,-D7088*E7088)-H7088</f>
        <v>-12303.5</v>
      </c>
      <c r="L7088" s="70"/>
      <c r="M7088" s="934"/>
      <c r="N7088" s="94"/>
      <c r="O7088" s="94"/>
      <c r="P7088" s="94"/>
      <c r="Q7088" s="94"/>
      <c r="R7088" s="94"/>
      <c r="S7088" s="94"/>
      <c r="T7088" s="94"/>
      <c r="U7088" s="94"/>
      <c r="V7088" s="94"/>
      <c r="W7088" s="94"/>
      <c r="X7088" s="94"/>
      <c r="Y7088" s="94"/>
      <c r="Z7088" s="94"/>
      <c r="AA7088" s="94"/>
      <c r="AB7088" s="94"/>
      <c r="AC7088" s="94"/>
      <c r="AD7088" s="94"/>
      <c r="AE7088" s="94"/>
      <c r="AF7088" s="94"/>
      <c r="AG7088" s="94"/>
      <c r="AH7088" s="94"/>
    </row>
    <row r="7089" ht="12.75" hidden="1" customHeight="1" outlineLevel="1">
      <c r="A7089" s="122">
        <v>42214.0</v>
      </c>
      <c r="B7089" s="32" t="s">
        <v>343</v>
      </c>
      <c r="C7089" s="32" t="s">
        <v>1061</v>
      </c>
      <c r="D7089" s="32">
        <v>200.0</v>
      </c>
      <c r="E7089" s="94">
        <v>45.126</v>
      </c>
      <c r="F7089" s="982">
        <v>0.41909722222222223</v>
      </c>
      <c r="G7089" s="32" t="s">
        <v>453</v>
      </c>
      <c r="H7089" s="710">
        <v>1.0</v>
      </c>
      <c r="I7089" s="256"/>
      <c r="J7089" s="67">
        <f t="shared" si="426"/>
        <v>-9026.2</v>
      </c>
      <c r="L7089" s="70"/>
      <c r="M7089" s="934"/>
      <c r="N7089" s="94"/>
      <c r="O7089" s="94"/>
      <c r="P7089" s="94"/>
      <c r="Q7089" s="94"/>
      <c r="R7089" s="94"/>
      <c r="S7089" s="94"/>
      <c r="T7089" s="94"/>
      <c r="U7089" s="94"/>
      <c r="V7089" s="94"/>
      <c r="W7089" s="94"/>
      <c r="X7089" s="94"/>
      <c r="Y7089" s="94"/>
      <c r="Z7089" s="94"/>
      <c r="AA7089" s="94"/>
      <c r="AB7089" s="94"/>
      <c r="AC7089" s="94"/>
      <c r="AD7089" s="94"/>
      <c r="AE7089" s="94"/>
      <c r="AF7089" s="94"/>
      <c r="AG7089" s="94"/>
      <c r="AH7089" s="94"/>
    </row>
    <row r="7090" ht="12.75" hidden="1" customHeight="1" outlineLevel="1">
      <c r="A7090" s="122">
        <v>42214.0</v>
      </c>
      <c r="B7090" s="32" t="s">
        <v>343</v>
      </c>
      <c r="C7090" s="32" t="s">
        <v>784</v>
      </c>
      <c r="D7090" s="983">
        <v>5000.0</v>
      </c>
      <c r="E7090" s="94">
        <v>5.569</v>
      </c>
      <c r="F7090" s="982">
        <v>0.441875</v>
      </c>
      <c r="G7090" s="32" t="s">
        <v>453</v>
      </c>
      <c r="H7090" s="710">
        <v>21.0</v>
      </c>
      <c r="I7090" s="256"/>
      <c r="J7090" s="67">
        <f t="shared" si="426"/>
        <v>-27866</v>
      </c>
      <c r="L7090" s="70"/>
      <c r="M7090" s="934"/>
      <c r="N7090" s="94"/>
      <c r="O7090" s="94"/>
      <c r="P7090" s="94"/>
      <c r="Q7090" s="94"/>
      <c r="R7090" s="94"/>
      <c r="S7090" s="94"/>
      <c r="T7090" s="94"/>
      <c r="U7090" s="94"/>
      <c r="V7090" s="94"/>
      <c r="W7090" s="94"/>
      <c r="X7090" s="94"/>
      <c r="Y7090" s="94"/>
      <c r="Z7090" s="94"/>
      <c r="AA7090" s="94"/>
      <c r="AB7090" s="94"/>
      <c r="AC7090" s="94"/>
      <c r="AD7090" s="94"/>
      <c r="AE7090" s="94"/>
      <c r="AF7090" s="94"/>
      <c r="AG7090" s="94"/>
      <c r="AH7090" s="94"/>
    </row>
    <row r="7091" ht="12.75" hidden="1" customHeight="1" outlineLevel="1">
      <c r="A7091" s="122">
        <v>42214.0</v>
      </c>
      <c r="B7091" s="32" t="s">
        <v>343</v>
      </c>
      <c r="C7091" s="32" t="s">
        <v>2048</v>
      </c>
      <c r="D7091" s="983">
        <v>2000.0</v>
      </c>
      <c r="E7091" s="94">
        <v>9.68</v>
      </c>
      <c r="F7091" s="982">
        <v>0.44903935185185184</v>
      </c>
      <c r="G7091" s="32" t="s">
        <v>453</v>
      </c>
      <c r="H7091" s="710">
        <v>10.0</v>
      </c>
      <c r="I7091" s="256"/>
      <c r="J7091" s="67">
        <f t="shared" si="426"/>
        <v>-19370</v>
      </c>
      <c r="L7091" s="70"/>
      <c r="M7091" s="934"/>
      <c r="N7091" s="94"/>
      <c r="O7091" s="94"/>
      <c r="P7091" s="94"/>
      <c r="Q7091" s="94"/>
      <c r="R7091" s="94"/>
      <c r="S7091" s="94"/>
      <c r="T7091" s="94"/>
      <c r="U7091" s="94"/>
      <c r="V7091" s="94"/>
      <c r="W7091" s="94"/>
      <c r="X7091" s="94"/>
      <c r="Y7091" s="94"/>
      <c r="Z7091" s="94"/>
      <c r="AA7091" s="94"/>
      <c r="AB7091" s="94"/>
      <c r="AC7091" s="94"/>
      <c r="AD7091" s="94"/>
      <c r="AE7091" s="94"/>
      <c r="AF7091" s="94"/>
      <c r="AG7091" s="94"/>
      <c r="AH7091" s="94"/>
    </row>
    <row r="7092" ht="12.75" hidden="1" customHeight="1" outlineLevel="1">
      <c r="A7092" s="122">
        <v>42214.0</v>
      </c>
      <c r="B7092" s="32" t="s">
        <v>343</v>
      </c>
      <c r="C7092" s="32" t="s">
        <v>784</v>
      </c>
      <c r="D7092" s="983">
        <v>5000.0</v>
      </c>
      <c r="E7092" s="94">
        <v>5.5868</v>
      </c>
      <c r="F7092" s="982">
        <v>0.44917824074074075</v>
      </c>
      <c r="G7092" s="32" t="s">
        <v>453</v>
      </c>
      <c r="H7092" s="710">
        <v>20.0</v>
      </c>
      <c r="I7092" s="256"/>
      <c r="J7092" s="67">
        <f t="shared" si="426"/>
        <v>-27954</v>
      </c>
      <c r="L7092" s="70"/>
      <c r="M7092" s="934"/>
      <c r="N7092" s="94"/>
      <c r="O7092" s="94"/>
      <c r="P7092" s="94"/>
      <c r="Q7092" s="94"/>
      <c r="R7092" s="94"/>
      <c r="S7092" s="94"/>
      <c r="T7092" s="94"/>
      <c r="U7092" s="94"/>
      <c r="V7092" s="94"/>
      <c r="W7092" s="94"/>
      <c r="X7092" s="94"/>
      <c r="Y7092" s="94"/>
      <c r="Z7092" s="94"/>
      <c r="AA7092" s="94"/>
      <c r="AB7092" s="94"/>
      <c r="AC7092" s="94"/>
      <c r="AD7092" s="94"/>
      <c r="AE7092" s="94"/>
      <c r="AF7092" s="94"/>
      <c r="AG7092" s="94"/>
      <c r="AH7092" s="94"/>
    </row>
    <row r="7093" ht="12.75" hidden="1" customHeight="1" outlineLevel="1">
      <c r="A7093" s="122">
        <v>42214.0</v>
      </c>
      <c r="B7093" s="32" t="s">
        <v>343</v>
      </c>
      <c r="C7093" s="32" t="s">
        <v>2048</v>
      </c>
      <c r="D7093" s="983">
        <v>2000.0</v>
      </c>
      <c r="E7093" s="94">
        <v>9.68</v>
      </c>
      <c r="F7093" s="982">
        <v>0.44925925925925925</v>
      </c>
      <c r="G7093" s="32" t="s">
        <v>453</v>
      </c>
      <c r="H7093" s="710">
        <v>8.6</v>
      </c>
      <c r="I7093" s="256"/>
      <c r="J7093" s="67">
        <f t="shared" si="426"/>
        <v>-19368.6</v>
      </c>
      <c r="L7093" s="70"/>
      <c r="M7093" s="934"/>
      <c r="N7093" s="94"/>
      <c r="O7093" s="94"/>
      <c r="P7093" s="94"/>
      <c r="Q7093" s="94"/>
      <c r="R7093" s="94"/>
      <c r="S7093" s="94"/>
      <c r="T7093" s="94"/>
      <c r="U7093" s="94"/>
      <c r="V7093" s="94"/>
      <c r="W7093" s="94"/>
      <c r="X7093" s="94"/>
      <c r="Y7093" s="94"/>
      <c r="Z7093" s="94"/>
      <c r="AA7093" s="94"/>
      <c r="AB7093" s="94"/>
      <c r="AC7093" s="94"/>
      <c r="AD7093" s="94"/>
      <c r="AE7093" s="94"/>
      <c r="AF7093" s="94"/>
      <c r="AG7093" s="94"/>
      <c r="AH7093" s="94"/>
    </row>
    <row r="7094" ht="12.75" hidden="1" customHeight="1" outlineLevel="1">
      <c r="A7094" s="122">
        <v>42214.0</v>
      </c>
      <c r="B7094" s="32" t="s">
        <v>343</v>
      </c>
      <c r="C7094" s="32" t="s">
        <v>2048</v>
      </c>
      <c r="D7094" s="983">
        <v>2000.0</v>
      </c>
      <c r="E7094" s="94">
        <v>9.7</v>
      </c>
      <c r="F7094" s="982">
        <v>0.4496875</v>
      </c>
      <c r="G7094" s="32" t="s">
        <v>453</v>
      </c>
      <c r="H7094" s="710">
        <v>9.8</v>
      </c>
      <c r="I7094" s="256"/>
      <c r="J7094" s="67">
        <f t="shared" si="426"/>
        <v>-19409.8</v>
      </c>
      <c r="L7094" s="70"/>
      <c r="M7094" s="934"/>
      <c r="N7094" s="94"/>
      <c r="O7094" s="94"/>
      <c r="P7094" s="94"/>
      <c r="Q7094" s="94"/>
      <c r="R7094" s="94"/>
      <c r="S7094" s="94"/>
      <c r="T7094" s="94"/>
      <c r="U7094" s="94"/>
      <c r="V7094" s="94"/>
      <c r="W7094" s="94"/>
      <c r="X7094" s="94"/>
      <c r="Y7094" s="94"/>
      <c r="Z7094" s="94"/>
      <c r="AA7094" s="94"/>
      <c r="AB7094" s="94"/>
      <c r="AC7094" s="94"/>
      <c r="AD7094" s="94"/>
      <c r="AE7094" s="94"/>
      <c r="AF7094" s="94"/>
      <c r="AG7094" s="94"/>
      <c r="AH7094" s="94"/>
    </row>
    <row r="7095" ht="12.75" hidden="1" customHeight="1" outlineLevel="1">
      <c r="A7095" s="122">
        <v>42214.0</v>
      </c>
      <c r="B7095" s="32" t="s">
        <v>343</v>
      </c>
      <c r="C7095" s="32" t="s">
        <v>784</v>
      </c>
      <c r="D7095" s="983">
        <v>5000.0</v>
      </c>
      <c r="E7095" s="94">
        <v>5.588</v>
      </c>
      <c r="F7095" s="982">
        <v>0.44984953703703706</v>
      </c>
      <c r="G7095" s="32" t="s">
        <v>453</v>
      </c>
      <c r="H7095" s="710">
        <v>20.0</v>
      </c>
      <c r="I7095" s="256"/>
      <c r="J7095" s="67">
        <f t="shared" si="426"/>
        <v>-27960</v>
      </c>
      <c r="L7095" s="70"/>
      <c r="M7095" s="934"/>
      <c r="N7095" s="94"/>
      <c r="O7095" s="94"/>
      <c r="P7095" s="94"/>
      <c r="Q7095" s="94"/>
      <c r="R7095" s="94"/>
      <c r="S7095" s="94"/>
      <c r="T7095" s="94"/>
      <c r="U7095" s="94"/>
      <c r="V7095" s="94"/>
      <c r="W7095" s="94"/>
      <c r="X7095" s="94"/>
      <c r="Y7095" s="94"/>
      <c r="Z7095" s="94"/>
      <c r="AA7095" s="94"/>
      <c r="AB7095" s="94"/>
      <c r="AC7095" s="94"/>
      <c r="AD7095" s="94"/>
      <c r="AE7095" s="94"/>
      <c r="AF7095" s="94"/>
      <c r="AG7095" s="94"/>
      <c r="AH7095" s="94"/>
    </row>
    <row r="7096" ht="12.75" hidden="1" customHeight="1" outlineLevel="1">
      <c r="A7096" s="122">
        <v>42214.0</v>
      </c>
      <c r="B7096" s="32" t="s">
        <v>343</v>
      </c>
      <c r="C7096" s="32" t="s">
        <v>2195</v>
      </c>
      <c r="D7096" s="32">
        <v>800.0</v>
      </c>
      <c r="E7096" s="94">
        <v>15.39</v>
      </c>
      <c r="F7096" s="982">
        <v>0.45013888888888887</v>
      </c>
      <c r="G7096" s="32" t="s">
        <v>453</v>
      </c>
      <c r="H7096" s="710">
        <v>3.6</v>
      </c>
      <c r="I7096" s="256"/>
      <c r="J7096" s="67">
        <f t="shared" si="426"/>
        <v>-12315.6</v>
      </c>
      <c r="L7096" s="70"/>
      <c r="M7096" s="934"/>
      <c r="N7096" s="94"/>
      <c r="O7096" s="94"/>
      <c r="P7096" s="94"/>
      <c r="Q7096" s="94"/>
      <c r="R7096" s="94"/>
      <c r="S7096" s="94"/>
      <c r="T7096" s="94"/>
      <c r="U7096" s="94"/>
      <c r="V7096" s="94"/>
      <c r="W7096" s="94"/>
      <c r="X7096" s="94"/>
      <c r="Y7096" s="94"/>
      <c r="Z7096" s="94"/>
      <c r="AA7096" s="94"/>
      <c r="AB7096" s="94"/>
      <c r="AC7096" s="94"/>
      <c r="AD7096" s="94"/>
      <c r="AE7096" s="94"/>
      <c r="AF7096" s="94"/>
      <c r="AG7096" s="94"/>
      <c r="AH7096" s="94"/>
    </row>
    <row r="7097" ht="12.75" hidden="1" customHeight="1" outlineLevel="1">
      <c r="A7097" s="122">
        <v>42214.0</v>
      </c>
      <c r="B7097" s="32" t="s">
        <v>343</v>
      </c>
      <c r="C7097" s="32" t="s">
        <v>2048</v>
      </c>
      <c r="D7097" s="983">
        <v>3000.0</v>
      </c>
      <c r="E7097" s="94">
        <v>9.729</v>
      </c>
      <c r="F7097" s="982">
        <v>0.4507175925925926</v>
      </c>
      <c r="G7097" s="32" t="s">
        <v>453</v>
      </c>
      <c r="H7097" s="710">
        <v>12.0</v>
      </c>
      <c r="I7097" s="256"/>
      <c r="J7097" s="67">
        <f t="shared" si="426"/>
        <v>-29199</v>
      </c>
      <c r="L7097" s="70"/>
      <c r="M7097" s="934"/>
      <c r="N7097" s="94"/>
      <c r="O7097" s="94"/>
      <c r="P7097" s="94"/>
      <c r="Q7097" s="94"/>
      <c r="R7097" s="94"/>
      <c r="S7097" s="94"/>
      <c r="T7097" s="94"/>
      <c r="U7097" s="94"/>
      <c r="V7097" s="94"/>
      <c r="W7097" s="94"/>
      <c r="X7097" s="94"/>
      <c r="Y7097" s="94"/>
      <c r="Z7097" s="94"/>
      <c r="AA7097" s="94"/>
      <c r="AB7097" s="94"/>
      <c r="AC7097" s="94"/>
      <c r="AD7097" s="94"/>
      <c r="AE7097" s="94"/>
      <c r="AF7097" s="94"/>
      <c r="AG7097" s="94"/>
      <c r="AH7097" s="94"/>
    </row>
    <row r="7098" ht="12.75" hidden="1" customHeight="1" outlineLevel="1">
      <c r="A7098" s="122">
        <v>42214.0</v>
      </c>
      <c r="B7098" s="32" t="s">
        <v>343</v>
      </c>
      <c r="C7098" s="32" t="s">
        <v>790</v>
      </c>
      <c r="D7098" s="983">
        <v>5000.0</v>
      </c>
      <c r="E7098" s="94">
        <v>6.94</v>
      </c>
      <c r="F7098" s="982">
        <v>0.4509375</v>
      </c>
      <c r="G7098" s="32" t="s">
        <v>453</v>
      </c>
      <c r="H7098" s="710">
        <v>25.0</v>
      </c>
      <c r="I7098" s="256"/>
      <c r="J7098" s="67">
        <f t="shared" si="426"/>
        <v>-34725</v>
      </c>
      <c r="L7098" s="70"/>
      <c r="M7098" s="934"/>
      <c r="N7098" s="94"/>
      <c r="O7098" s="94"/>
      <c r="P7098" s="94"/>
      <c r="Q7098" s="94"/>
      <c r="R7098" s="94"/>
      <c r="S7098" s="94"/>
      <c r="T7098" s="94"/>
      <c r="U7098" s="94"/>
      <c r="V7098" s="94"/>
      <c r="W7098" s="94"/>
      <c r="X7098" s="94"/>
      <c r="Y7098" s="94"/>
      <c r="Z7098" s="94"/>
      <c r="AA7098" s="94"/>
      <c r="AB7098" s="94"/>
      <c r="AC7098" s="94"/>
      <c r="AD7098" s="94"/>
      <c r="AE7098" s="94"/>
      <c r="AF7098" s="94"/>
      <c r="AG7098" s="94"/>
      <c r="AH7098" s="94"/>
    </row>
    <row r="7099" ht="12.75" hidden="1" customHeight="1" outlineLevel="1">
      <c r="A7099" s="122">
        <v>42214.0</v>
      </c>
      <c r="B7099" s="32" t="s">
        <v>343</v>
      </c>
      <c r="C7099" s="32" t="s">
        <v>2048</v>
      </c>
      <c r="D7099" s="983">
        <v>3000.0</v>
      </c>
      <c r="E7099" s="94">
        <v>9.749</v>
      </c>
      <c r="F7099" s="982">
        <v>0.45123842592592595</v>
      </c>
      <c r="G7099" s="32" t="s">
        <v>453</v>
      </c>
      <c r="H7099" s="710">
        <v>13.0</v>
      </c>
      <c r="I7099" s="256"/>
      <c r="J7099" s="67">
        <f t="shared" si="426"/>
        <v>-29260</v>
      </c>
      <c r="L7099" s="70"/>
      <c r="M7099" s="934"/>
      <c r="N7099" s="94"/>
      <c r="O7099" s="94"/>
      <c r="P7099" s="94"/>
      <c r="Q7099" s="94"/>
      <c r="R7099" s="94"/>
      <c r="S7099" s="94"/>
      <c r="T7099" s="94"/>
      <c r="U7099" s="94"/>
      <c r="V7099" s="94"/>
      <c r="W7099" s="94"/>
      <c r="X7099" s="94"/>
      <c r="Y7099" s="94"/>
      <c r="Z7099" s="94"/>
      <c r="AA7099" s="94"/>
      <c r="AB7099" s="94"/>
      <c r="AC7099" s="94"/>
      <c r="AD7099" s="94"/>
      <c r="AE7099" s="94"/>
      <c r="AF7099" s="94"/>
      <c r="AG7099" s="94"/>
      <c r="AH7099" s="94"/>
    </row>
    <row r="7100" ht="12.75" hidden="1" customHeight="1" outlineLevel="1">
      <c r="A7100" s="122">
        <v>42214.0</v>
      </c>
      <c r="B7100" s="32" t="s">
        <v>343</v>
      </c>
      <c r="C7100" s="32" t="s">
        <v>790</v>
      </c>
      <c r="D7100" s="983">
        <v>3000.0</v>
      </c>
      <c r="E7100" s="94">
        <v>6.948</v>
      </c>
      <c r="F7100" s="982">
        <v>0.4513773148148148</v>
      </c>
      <c r="G7100" s="32" t="s">
        <v>453</v>
      </c>
      <c r="H7100" s="710">
        <v>12.8</v>
      </c>
      <c r="I7100" s="256"/>
      <c r="J7100" s="67">
        <f t="shared" si="426"/>
        <v>-20856.8</v>
      </c>
      <c r="L7100" s="70"/>
      <c r="M7100" s="934"/>
      <c r="N7100" s="94"/>
      <c r="O7100" s="94"/>
      <c r="P7100" s="94"/>
      <c r="Q7100" s="94"/>
      <c r="R7100" s="94"/>
      <c r="S7100" s="94"/>
      <c r="T7100" s="94"/>
      <c r="U7100" s="94"/>
      <c r="V7100" s="94"/>
      <c r="W7100" s="94"/>
      <c r="X7100" s="94"/>
      <c r="Y7100" s="94"/>
      <c r="Z7100" s="94"/>
      <c r="AA7100" s="94"/>
      <c r="AB7100" s="94"/>
      <c r="AC7100" s="94"/>
      <c r="AD7100" s="94"/>
      <c r="AE7100" s="94"/>
      <c r="AF7100" s="94"/>
      <c r="AG7100" s="94"/>
      <c r="AH7100" s="94"/>
    </row>
    <row r="7101" ht="12.75" hidden="1" customHeight="1" outlineLevel="1">
      <c r="A7101" s="122">
        <v>42214.0</v>
      </c>
      <c r="B7101" s="32" t="s">
        <v>343</v>
      </c>
      <c r="C7101" s="32" t="s">
        <v>784</v>
      </c>
      <c r="D7101" s="983">
        <v>15000.0</v>
      </c>
      <c r="E7101" s="94">
        <v>5.597</v>
      </c>
      <c r="F7101" s="982">
        <v>0.45157407407407407</v>
      </c>
      <c r="G7101" s="32" t="s">
        <v>453</v>
      </c>
      <c r="H7101" s="710">
        <v>60.0</v>
      </c>
      <c r="I7101" s="256"/>
      <c r="J7101" s="67">
        <f t="shared" si="426"/>
        <v>-84015</v>
      </c>
      <c r="L7101" s="70"/>
      <c r="M7101" s="934"/>
      <c r="N7101" s="94"/>
      <c r="O7101" s="94"/>
      <c r="P7101" s="94"/>
      <c r="Q7101" s="94"/>
      <c r="R7101" s="94"/>
      <c r="S7101" s="94"/>
      <c r="T7101" s="94"/>
      <c r="U7101" s="94"/>
      <c r="V7101" s="94"/>
      <c r="W7101" s="94"/>
      <c r="X7101" s="94"/>
      <c r="Y7101" s="94"/>
      <c r="Z7101" s="94"/>
      <c r="AA7101" s="94"/>
      <c r="AB7101" s="94"/>
      <c r="AC7101" s="94"/>
      <c r="AD7101" s="94"/>
      <c r="AE7101" s="94"/>
      <c r="AF7101" s="94"/>
      <c r="AG7101" s="94"/>
      <c r="AH7101" s="94"/>
    </row>
    <row r="7102" ht="12.75" hidden="1" customHeight="1" outlineLevel="1">
      <c r="A7102" s="122">
        <v>42214.0</v>
      </c>
      <c r="B7102" s="32" t="s">
        <v>343</v>
      </c>
      <c r="C7102" s="32" t="s">
        <v>3024</v>
      </c>
      <c r="D7102" s="983">
        <v>4500.0</v>
      </c>
      <c r="E7102" s="94">
        <v>20.267</v>
      </c>
      <c r="F7102" s="982">
        <v>0.45185185185185184</v>
      </c>
      <c r="G7102" s="32" t="s">
        <v>453</v>
      </c>
      <c r="H7102" s="710">
        <v>22.3</v>
      </c>
      <c r="I7102" s="256"/>
      <c r="J7102" s="67">
        <f t="shared" si="426"/>
        <v>-91223.8</v>
      </c>
      <c r="L7102" s="70"/>
      <c r="M7102" s="934"/>
      <c r="N7102" s="94"/>
      <c r="O7102" s="94"/>
      <c r="P7102" s="94"/>
      <c r="Q7102" s="94"/>
      <c r="R7102" s="94"/>
      <c r="S7102" s="94"/>
      <c r="T7102" s="94"/>
      <c r="U7102" s="94"/>
      <c r="V7102" s="94"/>
      <c r="W7102" s="94"/>
      <c r="X7102" s="94"/>
      <c r="Y7102" s="94"/>
      <c r="Z7102" s="94"/>
      <c r="AA7102" s="94"/>
      <c r="AB7102" s="94"/>
      <c r="AC7102" s="94"/>
      <c r="AD7102" s="94"/>
      <c r="AE7102" s="94"/>
      <c r="AF7102" s="94"/>
      <c r="AG7102" s="94"/>
      <c r="AH7102" s="94"/>
    </row>
    <row r="7103" ht="12.75" hidden="1" customHeight="1" outlineLevel="1">
      <c r="A7103" s="122">
        <v>42214.0</v>
      </c>
      <c r="B7103" s="32" t="s">
        <v>343</v>
      </c>
      <c r="C7103" s="32" t="s">
        <v>2090</v>
      </c>
      <c r="D7103" s="983">
        <v>8000.0</v>
      </c>
      <c r="E7103" s="94">
        <v>7.488</v>
      </c>
      <c r="F7103" s="982">
        <v>0.452025462962963</v>
      </c>
      <c r="G7103" s="32" t="s">
        <v>453</v>
      </c>
      <c r="H7103" s="710">
        <v>35.7</v>
      </c>
      <c r="I7103" s="256"/>
      <c r="J7103" s="67">
        <f t="shared" si="426"/>
        <v>-59939.7</v>
      </c>
      <c r="L7103" s="70"/>
      <c r="M7103" s="934"/>
      <c r="N7103" s="94"/>
      <c r="O7103" s="94"/>
      <c r="P7103" s="94"/>
      <c r="Q7103" s="94"/>
      <c r="R7103" s="94"/>
      <c r="S7103" s="94"/>
      <c r="T7103" s="94"/>
      <c r="U7103" s="94"/>
      <c r="V7103" s="94"/>
      <c r="W7103" s="94"/>
      <c r="X7103" s="94"/>
      <c r="Y7103" s="94"/>
      <c r="Z7103" s="94"/>
      <c r="AA7103" s="94"/>
      <c r="AB7103" s="94"/>
      <c r="AC7103" s="94"/>
      <c r="AD7103" s="94"/>
      <c r="AE7103" s="94"/>
      <c r="AF7103" s="94"/>
      <c r="AG7103" s="94"/>
      <c r="AH7103" s="94"/>
    </row>
    <row r="7104" ht="12.75" hidden="1" customHeight="1" outlineLevel="1">
      <c r="A7104" s="122">
        <v>42214.0</v>
      </c>
      <c r="B7104" s="32" t="s">
        <v>343</v>
      </c>
      <c r="C7104" s="32" t="s">
        <v>1839</v>
      </c>
      <c r="D7104" s="983">
        <v>2500.0</v>
      </c>
      <c r="E7104" s="94">
        <v>9.3</v>
      </c>
      <c r="F7104" s="982">
        <v>0.45216435185185183</v>
      </c>
      <c r="G7104" s="32" t="s">
        <v>453</v>
      </c>
      <c r="H7104" s="710">
        <v>12.2</v>
      </c>
      <c r="I7104" s="256"/>
      <c r="J7104" s="67">
        <f t="shared" si="426"/>
        <v>-23262.2</v>
      </c>
      <c r="L7104" s="70"/>
      <c r="M7104" s="934"/>
      <c r="N7104" s="94"/>
      <c r="O7104" s="94"/>
      <c r="P7104" s="94"/>
      <c r="Q7104" s="94"/>
      <c r="R7104" s="94"/>
      <c r="S7104" s="94"/>
      <c r="T7104" s="94"/>
      <c r="U7104" s="94"/>
      <c r="V7104" s="94"/>
      <c r="W7104" s="94"/>
      <c r="X7104" s="94"/>
      <c r="Y7104" s="94"/>
      <c r="Z7104" s="94"/>
      <c r="AA7104" s="94"/>
      <c r="AB7104" s="94"/>
      <c r="AC7104" s="94"/>
      <c r="AD7104" s="94"/>
      <c r="AE7104" s="94"/>
      <c r="AF7104" s="94"/>
      <c r="AG7104" s="94"/>
      <c r="AH7104" s="94"/>
    </row>
    <row r="7105" ht="12.75" hidden="1" customHeight="1" outlineLevel="1">
      <c r="A7105" s="122">
        <v>42214.0</v>
      </c>
      <c r="B7105" s="32" t="s">
        <v>343</v>
      </c>
      <c r="C7105" s="32" t="s">
        <v>1633</v>
      </c>
      <c r="D7105" s="32">
        <v>800.0</v>
      </c>
      <c r="E7105" s="94">
        <v>17.009</v>
      </c>
      <c r="F7105" s="982">
        <v>0.4522800925925926</v>
      </c>
      <c r="G7105" s="32" t="s">
        <v>453</v>
      </c>
      <c r="H7105" s="710">
        <v>3.2</v>
      </c>
      <c r="I7105" s="256"/>
      <c r="J7105" s="67">
        <f t="shared" si="426"/>
        <v>-13610.4</v>
      </c>
      <c r="L7105" s="70"/>
      <c r="M7105" s="934"/>
      <c r="N7105" s="94"/>
      <c r="O7105" s="94"/>
      <c r="P7105" s="94"/>
      <c r="Q7105" s="94"/>
      <c r="R7105" s="94"/>
      <c r="S7105" s="94"/>
      <c r="T7105" s="94"/>
      <c r="U7105" s="94"/>
      <c r="V7105" s="94"/>
      <c r="W7105" s="94"/>
      <c r="X7105" s="94"/>
      <c r="Y7105" s="94"/>
      <c r="Z7105" s="94"/>
      <c r="AA7105" s="94"/>
      <c r="AB7105" s="94"/>
      <c r="AC7105" s="94"/>
      <c r="AD7105" s="94"/>
      <c r="AE7105" s="94"/>
      <c r="AF7105" s="94"/>
      <c r="AG7105" s="94"/>
      <c r="AH7105" s="94"/>
    </row>
    <row r="7106" ht="12.75" hidden="1" customHeight="1" outlineLevel="1">
      <c r="A7106" s="122">
        <v>42214.0</v>
      </c>
      <c r="B7106" s="32" t="s">
        <v>343</v>
      </c>
      <c r="C7106" s="32" t="s">
        <v>1781</v>
      </c>
      <c r="D7106" s="983">
        <v>1000.0</v>
      </c>
      <c r="E7106" s="94">
        <v>6.95</v>
      </c>
      <c r="F7106" s="982">
        <v>0.45234953703703706</v>
      </c>
      <c r="G7106" s="32" t="s">
        <v>453</v>
      </c>
      <c r="H7106" s="710">
        <v>4.7</v>
      </c>
      <c r="I7106" s="256"/>
      <c r="J7106" s="67">
        <f t="shared" si="426"/>
        <v>-6954.7</v>
      </c>
      <c r="L7106" s="70"/>
      <c r="M7106" s="934"/>
      <c r="N7106" s="94"/>
      <c r="O7106" s="94"/>
      <c r="P7106" s="94"/>
      <c r="Q7106" s="94"/>
      <c r="R7106" s="94"/>
      <c r="S7106" s="94"/>
      <c r="T7106" s="94"/>
      <c r="U7106" s="94"/>
      <c r="V7106" s="94"/>
      <c r="W7106" s="94"/>
      <c r="X7106" s="94"/>
      <c r="Y7106" s="94"/>
      <c r="Z7106" s="94"/>
      <c r="AA7106" s="94"/>
      <c r="AB7106" s="94"/>
      <c r="AC7106" s="94"/>
      <c r="AD7106" s="94"/>
      <c r="AE7106" s="94"/>
      <c r="AF7106" s="94"/>
      <c r="AG7106" s="94"/>
      <c r="AH7106" s="94"/>
    </row>
    <row r="7107" ht="12.75" hidden="1" customHeight="1" outlineLevel="1">
      <c r="A7107" s="122">
        <v>42214.0</v>
      </c>
      <c r="B7107" s="32" t="s">
        <v>343</v>
      </c>
      <c r="C7107" s="32" t="s">
        <v>369</v>
      </c>
      <c r="D7107" s="32">
        <v>900.0</v>
      </c>
      <c r="E7107" s="94">
        <v>2.98</v>
      </c>
      <c r="F7107" s="982">
        <v>0.45284722222222223</v>
      </c>
      <c r="G7107" s="32" t="s">
        <v>453</v>
      </c>
      <c r="H7107" s="710">
        <v>4.2</v>
      </c>
      <c r="I7107" s="256"/>
      <c r="J7107" s="67">
        <f t="shared" si="426"/>
        <v>-2686.2</v>
      </c>
      <c r="L7107" s="70"/>
      <c r="M7107" s="934"/>
      <c r="N7107" s="94"/>
      <c r="O7107" s="94"/>
      <c r="P7107" s="94"/>
      <c r="Q7107" s="94"/>
      <c r="R7107" s="94"/>
      <c r="S7107" s="94"/>
      <c r="T7107" s="94"/>
      <c r="U7107" s="94"/>
      <c r="V7107" s="94"/>
      <c r="W7107" s="94"/>
      <c r="X7107" s="94"/>
      <c r="Y7107" s="94"/>
      <c r="Z7107" s="94"/>
      <c r="AA7107" s="94"/>
      <c r="AB7107" s="94"/>
      <c r="AC7107" s="94"/>
      <c r="AD7107" s="94"/>
      <c r="AE7107" s="94"/>
      <c r="AF7107" s="94"/>
      <c r="AG7107" s="94"/>
      <c r="AH7107" s="94"/>
    </row>
    <row r="7108" ht="12.75" hidden="1" customHeight="1" outlineLevel="1">
      <c r="A7108" s="122">
        <v>42214.0</v>
      </c>
      <c r="B7108" s="32" t="s">
        <v>347</v>
      </c>
      <c r="C7108" s="32" t="s">
        <v>2434</v>
      </c>
      <c r="D7108" s="32">
        <v>30.0</v>
      </c>
      <c r="E7108" s="94">
        <v>193.77</v>
      </c>
      <c r="F7108" s="982">
        <v>0.48148148148148145</v>
      </c>
      <c r="G7108" s="32" t="s">
        <v>453</v>
      </c>
      <c r="H7108" s="710">
        <v>1.11</v>
      </c>
      <c r="I7108" s="256"/>
      <c r="J7108" s="67">
        <f t="shared" si="426"/>
        <v>5811.99</v>
      </c>
      <c r="L7108" s="70"/>
      <c r="M7108" s="934"/>
      <c r="N7108" s="94"/>
      <c r="O7108" s="94"/>
      <c r="P7108" s="94"/>
      <c r="Q7108" s="94"/>
      <c r="R7108" s="94"/>
      <c r="S7108" s="94"/>
      <c r="T7108" s="94"/>
      <c r="U7108" s="94"/>
      <c r="V7108" s="94"/>
      <c r="W7108" s="94"/>
      <c r="X7108" s="94"/>
      <c r="Y7108" s="94"/>
      <c r="Z7108" s="94"/>
      <c r="AA7108" s="94"/>
      <c r="AB7108" s="94"/>
      <c r="AC7108" s="94"/>
      <c r="AD7108" s="94"/>
      <c r="AE7108" s="94"/>
      <c r="AF7108" s="94"/>
      <c r="AG7108" s="94"/>
      <c r="AH7108" s="94"/>
    </row>
    <row r="7109" ht="12.75" hidden="1" customHeight="1" outlineLevel="1">
      <c r="A7109" s="122">
        <v>42214.0</v>
      </c>
      <c r="B7109" s="32" t="s">
        <v>347</v>
      </c>
      <c r="C7109" s="32" t="s">
        <v>371</v>
      </c>
      <c r="D7109" s="32">
        <v>75.0</v>
      </c>
      <c r="E7109" s="94">
        <v>74.94</v>
      </c>
      <c r="F7109" s="982">
        <v>0.48225694444444445</v>
      </c>
      <c r="G7109" s="32" t="s">
        <v>453</v>
      </c>
      <c r="H7109" s="710">
        <v>1.1</v>
      </c>
      <c r="I7109" s="256"/>
      <c r="J7109" s="67">
        <f t="shared" si="426"/>
        <v>5619.4</v>
      </c>
      <c r="L7109" s="70"/>
      <c r="M7109" s="934"/>
      <c r="N7109" s="94"/>
      <c r="O7109" s="94"/>
      <c r="P7109" s="94"/>
      <c r="Q7109" s="94"/>
      <c r="R7109" s="94"/>
      <c r="S7109" s="94"/>
      <c r="T7109" s="94"/>
      <c r="U7109" s="94"/>
      <c r="V7109" s="94"/>
      <c r="W7109" s="94"/>
      <c r="X7109" s="94"/>
      <c r="Y7109" s="94"/>
      <c r="Z7109" s="94"/>
      <c r="AA7109" s="94"/>
      <c r="AB7109" s="94"/>
      <c r="AC7109" s="94"/>
      <c r="AD7109" s="94"/>
      <c r="AE7109" s="94"/>
      <c r="AF7109" s="94"/>
      <c r="AG7109" s="94"/>
      <c r="AH7109" s="94"/>
    </row>
    <row r="7110" ht="12.75" hidden="1" customHeight="1" outlineLevel="1">
      <c r="A7110" s="122">
        <v>42214.0</v>
      </c>
      <c r="B7110" s="32" t="s">
        <v>347</v>
      </c>
      <c r="C7110" s="32" t="s">
        <v>1221</v>
      </c>
      <c r="D7110" s="32">
        <v>100.0</v>
      </c>
      <c r="E7110" s="94">
        <v>42.852</v>
      </c>
      <c r="F7110" s="982">
        <v>0.4836226851851852</v>
      </c>
      <c r="G7110" s="32" t="s">
        <v>453</v>
      </c>
      <c r="H7110" s="710">
        <v>1.08</v>
      </c>
      <c r="I7110" s="256"/>
      <c r="J7110" s="67">
        <f t="shared" si="426"/>
        <v>4284.12</v>
      </c>
      <c r="L7110" s="70"/>
      <c r="M7110" s="934"/>
      <c r="N7110" s="94"/>
      <c r="O7110" s="94"/>
      <c r="P7110" s="94"/>
      <c r="Q7110" s="94"/>
      <c r="R7110" s="94"/>
      <c r="S7110" s="94"/>
      <c r="T7110" s="94"/>
      <c r="U7110" s="94"/>
      <c r="V7110" s="94"/>
      <c r="W7110" s="94"/>
      <c r="X7110" s="94"/>
      <c r="Y7110" s="94"/>
      <c r="Z7110" s="94"/>
      <c r="AA7110" s="94"/>
      <c r="AB7110" s="94"/>
      <c r="AC7110" s="94"/>
      <c r="AD7110" s="94"/>
      <c r="AE7110" s="94"/>
      <c r="AF7110" s="94"/>
      <c r="AG7110" s="94"/>
      <c r="AH7110" s="94"/>
    </row>
    <row r="7111" ht="12.75" hidden="1" customHeight="1" outlineLevel="1">
      <c r="A7111" s="122">
        <v>42214.0</v>
      </c>
      <c r="B7111" s="32" t="s">
        <v>347</v>
      </c>
      <c r="C7111" s="32" t="s">
        <v>3024</v>
      </c>
      <c r="D7111" s="32">
        <v>800.0</v>
      </c>
      <c r="E7111" s="94">
        <v>20.22</v>
      </c>
      <c r="F7111" s="982">
        <v>0.4936226851851852</v>
      </c>
      <c r="G7111" s="32" t="s">
        <v>453</v>
      </c>
      <c r="H7111" s="710">
        <v>3.7</v>
      </c>
      <c r="I7111" s="256"/>
      <c r="J7111" s="67">
        <f t="shared" si="426"/>
        <v>16172.3</v>
      </c>
      <c r="L7111" s="70"/>
      <c r="M7111" s="934"/>
      <c r="N7111" s="94"/>
      <c r="O7111" s="94"/>
      <c r="P7111" s="94"/>
      <c r="Q7111" s="94"/>
      <c r="R7111" s="94"/>
      <c r="S7111" s="94"/>
      <c r="T7111" s="94"/>
      <c r="U7111" s="94"/>
      <c r="V7111" s="94"/>
      <c r="W7111" s="94"/>
      <c r="X7111" s="94"/>
      <c r="Y7111" s="94"/>
      <c r="Z7111" s="94"/>
      <c r="AA7111" s="94"/>
      <c r="AB7111" s="94"/>
      <c r="AC7111" s="94"/>
      <c r="AD7111" s="94"/>
      <c r="AE7111" s="94"/>
      <c r="AF7111" s="94"/>
      <c r="AG7111" s="94"/>
      <c r="AH7111" s="94"/>
    </row>
    <row r="7112" ht="12.75" hidden="1" customHeight="1" outlineLevel="1">
      <c r="A7112" s="122">
        <v>42214.0</v>
      </c>
      <c r="B7112" s="32" t="s">
        <v>347</v>
      </c>
      <c r="C7112" s="32" t="s">
        <v>2048</v>
      </c>
      <c r="D7112" s="983">
        <v>1300.0</v>
      </c>
      <c r="E7112" s="94">
        <v>9.51</v>
      </c>
      <c r="F7112" s="982">
        <v>0.4954513888888889</v>
      </c>
      <c r="G7112" s="32" t="s">
        <v>453</v>
      </c>
      <c r="H7112" s="710">
        <v>6.53</v>
      </c>
      <c r="I7112" s="256"/>
      <c r="J7112" s="67">
        <f t="shared" si="426"/>
        <v>12356.47</v>
      </c>
      <c r="L7112" s="70"/>
      <c r="M7112" s="934"/>
      <c r="N7112" s="94"/>
      <c r="O7112" s="94"/>
      <c r="P7112" s="94"/>
      <c r="Q7112" s="94"/>
      <c r="R7112" s="94"/>
      <c r="S7112" s="94"/>
      <c r="T7112" s="94"/>
      <c r="U7112" s="94"/>
      <c r="V7112" s="94"/>
      <c r="W7112" s="94"/>
      <c r="X7112" s="94"/>
      <c r="Y7112" s="94"/>
      <c r="Z7112" s="94"/>
      <c r="AA7112" s="94"/>
      <c r="AB7112" s="94"/>
      <c r="AC7112" s="94"/>
      <c r="AD7112" s="94"/>
      <c r="AE7112" s="94"/>
      <c r="AF7112" s="94"/>
      <c r="AG7112" s="94"/>
      <c r="AH7112" s="94"/>
    </row>
    <row r="7113" ht="12.75" hidden="1" customHeight="1" outlineLevel="1">
      <c r="A7113" s="122">
        <v>42214.0</v>
      </c>
      <c r="B7113" s="32" t="s">
        <v>347</v>
      </c>
      <c r="C7113" s="32" t="s">
        <v>784</v>
      </c>
      <c r="D7113" s="983">
        <v>3500.0</v>
      </c>
      <c r="E7113" s="94">
        <v>5.552</v>
      </c>
      <c r="F7113" s="982">
        <v>0.49569444444444444</v>
      </c>
      <c r="G7113" s="32" t="s">
        <v>453</v>
      </c>
      <c r="H7113" s="710">
        <v>15.46</v>
      </c>
      <c r="I7113" s="256"/>
      <c r="J7113" s="67">
        <f t="shared" si="426"/>
        <v>19416.54</v>
      </c>
      <c r="L7113" s="70"/>
      <c r="M7113" s="934"/>
      <c r="N7113" s="94"/>
      <c r="O7113" s="94"/>
      <c r="P7113" s="94"/>
      <c r="Q7113" s="94"/>
      <c r="R7113" s="94"/>
      <c r="S7113" s="94"/>
      <c r="T7113" s="94"/>
      <c r="U7113" s="94"/>
      <c r="V7113" s="94"/>
      <c r="W7113" s="94"/>
      <c r="X7113" s="94"/>
      <c r="Y7113" s="94"/>
      <c r="Z7113" s="94"/>
      <c r="AA7113" s="94"/>
      <c r="AB7113" s="94"/>
      <c r="AC7113" s="94"/>
      <c r="AD7113" s="94"/>
      <c r="AE7113" s="94"/>
      <c r="AF7113" s="94"/>
      <c r="AG7113" s="94"/>
      <c r="AH7113" s="94"/>
    </row>
    <row r="7114" ht="12.75" hidden="1" customHeight="1" outlineLevel="1">
      <c r="A7114" s="122">
        <v>42214.0</v>
      </c>
      <c r="B7114" s="32" t="s">
        <v>347</v>
      </c>
      <c r="C7114" s="32" t="s">
        <v>790</v>
      </c>
      <c r="D7114" s="983">
        <v>1700.0</v>
      </c>
      <c r="E7114" s="94">
        <v>6.99</v>
      </c>
      <c r="F7114" s="982">
        <v>0.4958680555555556</v>
      </c>
      <c r="G7114" s="32" t="s">
        <v>453</v>
      </c>
      <c r="H7114" s="710">
        <v>7.02</v>
      </c>
      <c r="I7114" s="256"/>
      <c r="J7114" s="67">
        <f t="shared" si="426"/>
        <v>11875.98</v>
      </c>
      <c r="L7114" s="70"/>
      <c r="M7114" s="934"/>
      <c r="N7114" s="94"/>
      <c r="O7114" s="94"/>
      <c r="P7114" s="94"/>
      <c r="Q7114" s="94"/>
      <c r="R7114" s="94"/>
      <c r="S7114" s="94"/>
      <c r="T7114" s="94"/>
      <c r="U7114" s="94"/>
      <c r="V7114" s="94"/>
      <c r="W7114" s="94"/>
      <c r="X7114" s="94"/>
      <c r="Y7114" s="94"/>
      <c r="Z7114" s="94"/>
      <c r="AA7114" s="94"/>
      <c r="AB7114" s="94"/>
      <c r="AC7114" s="94"/>
      <c r="AD7114" s="94"/>
      <c r="AE7114" s="94"/>
      <c r="AF7114" s="94"/>
      <c r="AG7114" s="94"/>
      <c r="AH7114" s="94"/>
    </row>
    <row r="7115" ht="12.75" hidden="1" customHeight="1" outlineLevel="1">
      <c r="A7115" s="122">
        <v>42214.0</v>
      </c>
      <c r="B7115" s="32" t="s">
        <v>347</v>
      </c>
      <c r="C7115" s="32" t="s">
        <v>784</v>
      </c>
      <c r="D7115" s="32">
        <v>400.0</v>
      </c>
      <c r="E7115" s="94">
        <v>5.5701</v>
      </c>
      <c r="F7115" s="982">
        <v>0.4975462962962963</v>
      </c>
      <c r="G7115" s="32" t="s">
        <v>453</v>
      </c>
      <c r="H7115" s="710">
        <v>1.64</v>
      </c>
      <c r="I7115" s="256"/>
      <c r="J7115" s="67">
        <f t="shared" si="426"/>
        <v>2226.4</v>
      </c>
      <c r="L7115" s="70"/>
      <c r="M7115" s="934"/>
      <c r="N7115" s="94"/>
      <c r="O7115" s="94"/>
      <c r="P7115" s="94"/>
      <c r="Q7115" s="94"/>
      <c r="R7115" s="94"/>
      <c r="S7115" s="94"/>
      <c r="T7115" s="94"/>
      <c r="U7115" s="94"/>
      <c r="V7115" s="94"/>
      <c r="W7115" s="94"/>
      <c r="X7115" s="94"/>
      <c r="Y7115" s="94"/>
      <c r="Z7115" s="94"/>
      <c r="AA7115" s="94"/>
      <c r="AB7115" s="94"/>
      <c r="AC7115" s="94"/>
      <c r="AD7115" s="94"/>
      <c r="AE7115" s="94"/>
      <c r="AF7115" s="94"/>
      <c r="AG7115" s="94"/>
      <c r="AH7115" s="94"/>
    </row>
    <row r="7116" ht="12.75" hidden="1" customHeight="1" outlineLevel="1">
      <c r="A7116" s="122">
        <v>42214.0</v>
      </c>
      <c r="B7116" s="32" t="s">
        <v>347</v>
      </c>
      <c r="C7116" s="32" t="s">
        <v>784</v>
      </c>
      <c r="D7116" s="32">
        <v>900.0</v>
      </c>
      <c r="E7116" s="94">
        <v>5.561</v>
      </c>
      <c r="F7116" s="982">
        <v>0.4981597222222222</v>
      </c>
      <c r="G7116" s="32" t="s">
        <v>453</v>
      </c>
      <c r="H7116" s="710">
        <v>3.89</v>
      </c>
      <c r="I7116" s="256"/>
      <c r="J7116" s="67">
        <f t="shared" si="426"/>
        <v>5001.01</v>
      </c>
      <c r="L7116" s="70"/>
      <c r="M7116" s="934"/>
      <c r="N7116" s="94"/>
      <c r="O7116" s="94"/>
      <c r="P7116" s="94"/>
      <c r="Q7116" s="94"/>
      <c r="R7116" s="94"/>
      <c r="S7116" s="94"/>
      <c r="T7116" s="94"/>
      <c r="U7116" s="94"/>
      <c r="V7116" s="94"/>
      <c r="W7116" s="94"/>
      <c r="X7116" s="94"/>
      <c r="Y7116" s="94"/>
      <c r="Z7116" s="94"/>
      <c r="AA7116" s="94"/>
      <c r="AB7116" s="94"/>
      <c r="AC7116" s="94"/>
      <c r="AD7116" s="94"/>
      <c r="AE7116" s="94"/>
      <c r="AF7116" s="94"/>
      <c r="AG7116" s="94"/>
      <c r="AH7116" s="94"/>
    </row>
    <row r="7117" ht="12.75" hidden="1" customHeight="1" outlineLevel="1">
      <c r="A7117" s="122">
        <v>42214.0</v>
      </c>
      <c r="B7117" s="32" t="s">
        <v>347</v>
      </c>
      <c r="C7117" s="32" t="s">
        <v>2090</v>
      </c>
      <c r="D7117" s="983">
        <v>2000.0</v>
      </c>
      <c r="E7117" s="94">
        <v>7.39</v>
      </c>
      <c r="F7117" s="982">
        <v>0.5891666666666666</v>
      </c>
      <c r="G7117" s="32" t="s">
        <v>453</v>
      </c>
      <c r="H7117" s="710">
        <v>10.27</v>
      </c>
      <c r="I7117" s="256"/>
      <c r="J7117" s="67">
        <f t="shared" si="426"/>
        <v>14769.73</v>
      </c>
      <c r="L7117" s="70"/>
      <c r="M7117" s="934"/>
      <c r="N7117" s="94"/>
      <c r="O7117" s="94"/>
      <c r="P7117" s="94"/>
      <c r="Q7117" s="94"/>
      <c r="R7117" s="94"/>
      <c r="S7117" s="94"/>
      <c r="T7117" s="94"/>
      <c r="U7117" s="94"/>
      <c r="V7117" s="94"/>
      <c r="W7117" s="94"/>
      <c r="X7117" s="94"/>
      <c r="Y7117" s="94"/>
      <c r="Z7117" s="94"/>
      <c r="AA7117" s="94"/>
      <c r="AB7117" s="94"/>
      <c r="AC7117" s="94"/>
      <c r="AD7117" s="94"/>
      <c r="AE7117" s="94"/>
      <c r="AF7117" s="94"/>
      <c r="AG7117" s="94"/>
      <c r="AH7117" s="94"/>
    </row>
    <row r="7118" ht="12.75" hidden="1" customHeight="1" outlineLevel="1">
      <c r="A7118" s="122">
        <v>42214.0</v>
      </c>
      <c r="B7118" s="32" t="s">
        <v>347</v>
      </c>
      <c r="C7118" s="32" t="s">
        <v>1839</v>
      </c>
      <c r="D7118" s="32">
        <v>500.0</v>
      </c>
      <c r="E7118" s="94">
        <v>9.162</v>
      </c>
      <c r="F7118" s="982">
        <v>0.5912962962962963</v>
      </c>
      <c r="G7118" s="32" t="s">
        <v>453</v>
      </c>
      <c r="H7118" s="710">
        <v>2.58</v>
      </c>
      <c r="I7118" s="256"/>
      <c r="J7118" s="67">
        <f t="shared" si="426"/>
        <v>4578.42</v>
      </c>
      <c r="L7118" s="70"/>
      <c r="M7118" s="934"/>
      <c r="N7118" s="94"/>
      <c r="O7118" s="94"/>
      <c r="P7118" s="94"/>
      <c r="Q7118" s="94"/>
      <c r="R7118" s="94"/>
      <c r="S7118" s="94"/>
      <c r="T7118" s="94"/>
      <c r="U7118" s="94"/>
      <c r="V7118" s="94"/>
      <c r="W7118" s="94"/>
      <c r="X7118" s="94"/>
      <c r="Y7118" s="94"/>
      <c r="Z7118" s="94"/>
      <c r="AA7118" s="94"/>
      <c r="AB7118" s="94"/>
      <c r="AC7118" s="94"/>
      <c r="AD7118" s="94"/>
      <c r="AE7118" s="94"/>
      <c r="AF7118" s="94"/>
      <c r="AG7118" s="94"/>
      <c r="AH7118" s="94"/>
    </row>
    <row r="7119" ht="12.75" hidden="1" customHeight="1" outlineLevel="1">
      <c r="A7119" s="122">
        <v>42214.0</v>
      </c>
      <c r="B7119" s="32" t="s">
        <v>347</v>
      </c>
      <c r="C7119" s="32" t="s">
        <v>2195</v>
      </c>
      <c r="D7119" s="32">
        <v>250.0</v>
      </c>
      <c r="E7119" s="94">
        <v>15.301</v>
      </c>
      <c r="F7119" s="982">
        <v>0.5920138888888888</v>
      </c>
      <c r="G7119" s="32" t="s">
        <v>453</v>
      </c>
      <c r="H7119" s="710">
        <v>1.22</v>
      </c>
      <c r="I7119" s="256"/>
      <c r="J7119" s="67">
        <f t="shared" si="426"/>
        <v>3824.03</v>
      </c>
      <c r="L7119" s="70"/>
      <c r="M7119" s="934"/>
      <c r="N7119" s="94"/>
      <c r="O7119" s="94"/>
      <c r="P7119" s="94"/>
      <c r="Q7119" s="94"/>
      <c r="R7119" s="94"/>
      <c r="S7119" s="94"/>
      <c r="T7119" s="94"/>
      <c r="U7119" s="94"/>
      <c r="V7119" s="94"/>
      <c r="W7119" s="94"/>
      <c r="X7119" s="94"/>
      <c r="Y7119" s="94"/>
      <c r="Z7119" s="94"/>
      <c r="AA7119" s="94"/>
      <c r="AB7119" s="94"/>
      <c r="AC7119" s="94"/>
      <c r="AD7119" s="94"/>
      <c r="AE7119" s="94"/>
      <c r="AF7119" s="94"/>
      <c r="AG7119" s="94"/>
      <c r="AH7119" s="94"/>
    </row>
    <row r="7120" ht="12.75" hidden="1" customHeight="1" outlineLevel="1">
      <c r="A7120" s="122">
        <v>42214.0</v>
      </c>
      <c r="B7120" s="32" t="s">
        <v>347</v>
      </c>
      <c r="C7120" s="32" t="s">
        <v>1633</v>
      </c>
      <c r="D7120" s="32">
        <v>250.0</v>
      </c>
      <c r="E7120" s="94">
        <v>16.511</v>
      </c>
      <c r="F7120" s="982">
        <v>0.5921759259259259</v>
      </c>
      <c r="G7120" s="32" t="s">
        <v>453</v>
      </c>
      <c r="H7120" s="710">
        <v>1.08</v>
      </c>
      <c r="I7120" s="256"/>
      <c r="J7120" s="67">
        <f t="shared" si="426"/>
        <v>4126.67</v>
      </c>
      <c r="L7120" s="70"/>
      <c r="M7120" s="934"/>
      <c r="N7120" s="94"/>
      <c r="O7120" s="94"/>
      <c r="P7120" s="94"/>
      <c r="Q7120" s="94"/>
      <c r="R7120" s="94"/>
      <c r="S7120" s="94"/>
      <c r="T7120" s="94"/>
      <c r="U7120" s="94"/>
      <c r="V7120" s="94"/>
      <c r="W7120" s="94"/>
      <c r="X7120" s="94"/>
      <c r="Y7120" s="94"/>
      <c r="Z7120" s="94"/>
      <c r="AA7120" s="94"/>
      <c r="AB7120" s="94"/>
      <c r="AC7120" s="94"/>
      <c r="AD7120" s="94"/>
      <c r="AE7120" s="94"/>
      <c r="AF7120" s="94"/>
      <c r="AG7120" s="94"/>
      <c r="AH7120" s="94"/>
    </row>
    <row r="7121" ht="12.75" hidden="1" customHeight="1" outlineLevel="1">
      <c r="A7121" s="122">
        <v>42214.0</v>
      </c>
      <c r="B7121" s="32" t="s">
        <v>347</v>
      </c>
      <c r="C7121" s="32" t="s">
        <v>3024</v>
      </c>
      <c r="D7121" s="32">
        <v>200.0</v>
      </c>
      <c r="E7121" s="94">
        <v>19.951</v>
      </c>
      <c r="F7121" s="982">
        <v>0.6451851851851852</v>
      </c>
      <c r="G7121" s="32" t="s">
        <v>453</v>
      </c>
      <c r="H7121" s="710">
        <v>1.07</v>
      </c>
      <c r="I7121" s="256"/>
      <c r="J7121" s="67">
        <f t="shared" si="426"/>
        <v>3989.13</v>
      </c>
      <c r="L7121" s="70"/>
      <c r="M7121" s="934"/>
      <c r="N7121" s="94"/>
      <c r="O7121" s="94"/>
      <c r="P7121" s="94"/>
      <c r="Q7121" s="94"/>
      <c r="R7121" s="94"/>
      <c r="S7121" s="94"/>
      <c r="T7121" s="94"/>
      <c r="U7121" s="94"/>
      <c r="V7121" s="94"/>
      <c r="W7121" s="94"/>
      <c r="X7121" s="94"/>
      <c r="Y7121" s="94"/>
      <c r="Z7121" s="94"/>
      <c r="AA7121" s="94"/>
      <c r="AB7121" s="94"/>
      <c r="AC7121" s="94"/>
      <c r="AD7121" s="94"/>
      <c r="AE7121" s="94"/>
      <c r="AF7121" s="94"/>
      <c r="AG7121" s="94"/>
      <c r="AH7121" s="94"/>
    </row>
    <row r="7122" ht="12.75" hidden="1" customHeight="1" outlineLevel="1">
      <c r="A7122" s="122">
        <v>42215.0</v>
      </c>
      <c r="B7122" s="32" t="s">
        <v>347</v>
      </c>
      <c r="C7122" s="32" t="s">
        <v>2090</v>
      </c>
      <c r="D7122" s="32">
        <v>750.0</v>
      </c>
      <c r="E7122" s="94">
        <v>7.28</v>
      </c>
      <c r="F7122" s="982">
        <v>0.4581134259259259</v>
      </c>
      <c r="G7122" s="32" t="s">
        <v>453</v>
      </c>
      <c r="H7122" s="710">
        <v>3.45</v>
      </c>
      <c r="I7122" s="256"/>
      <c r="J7122" s="67">
        <f t="shared" si="426"/>
        <v>5456.55</v>
      </c>
      <c r="L7122" s="70"/>
      <c r="M7122" s="934"/>
      <c r="N7122" s="94"/>
      <c r="O7122" s="94"/>
      <c r="P7122" s="94"/>
      <c r="Q7122" s="94"/>
      <c r="R7122" s="94"/>
      <c r="S7122" s="94"/>
      <c r="T7122" s="94"/>
      <c r="U7122" s="94"/>
      <c r="V7122" s="94"/>
      <c r="W7122" s="94"/>
      <c r="X7122" s="94"/>
      <c r="Y7122" s="94"/>
      <c r="Z7122" s="94"/>
      <c r="AA7122" s="94"/>
      <c r="AB7122" s="94"/>
      <c r="AC7122" s="94"/>
      <c r="AD7122" s="94"/>
      <c r="AE7122" s="94"/>
      <c r="AF7122" s="94"/>
      <c r="AG7122" s="94"/>
      <c r="AH7122" s="94"/>
    </row>
    <row r="7123" ht="12.75" hidden="1" customHeight="1" outlineLevel="1">
      <c r="A7123" s="122">
        <v>42215.0</v>
      </c>
      <c r="B7123" s="32" t="s">
        <v>347</v>
      </c>
      <c r="C7123" s="32" t="s">
        <v>1839</v>
      </c>
      <c r="D7123" s="32">
        <v>500.0</v>
      </c>
      <c r="E7123" s="94">
        <v>9.06</v>
      </c>
      <c r="F7123" s="982">
        <v>0.45849537037037036</v>
      </c>
      <c r="G7123" s="32" t="s">
        <v>453</v>
      </c>
      <c r="H7123" s="710">
        <v>2.08</v>
      </c>
      <c r="I7123" s="256"/>
      <c r="J7123" s="67">
        <f t="shared" si="426"/>
        <v>4527.92</v>
      </c>
      <c r="L7123" s="70"/>
      <c r="M7123" s="934"/>
      <c r="N7123" s="94"/>
      <c r="O7123" s="94"/>
      <c r="P7123" s="94"/>
      <c r="Q7123" s="94"/>
      <c r="R7123" s="94"/>
      <c r="S7123" s="94"/>
      <c r="T7123" s="94"/>
      <c r="U7123" s="94"/>
      <c r="V7123" s="94"/>
      <c r="W7123" s="94"/>
      <c r="X7123" s="94"/>
      <c r="Y7123" s="94"/>
      <c r="Z7123" s="94"/>
      <c r="AA7123" s="94"/>
      <c r="AB7123" s="94"/>
      <c r="AC7123" s="94"/>
      <c r="AD7123" s="94"/>
      <c r="AE7123" s="94"/>
      <c r="AF7123" s="94"/>
      <c r="AG7123" s="94"/>
      <c r="AH7123" s="94"/>
    </row>
    <row r="7124" ht="12.75" hidden="1" customHeight="1" outlineLevel="1">
      <c r="A7124" s="122">
        <v>42215.0</v>
      </c>
      <c r="B7124" s="32" t="s">
        <v>347</v>
      </c>
      <c r="C7124" s="32" t="s">
        <v>1633</v>
      </c>
      <c r="D7124" s="32">
        <v>250.0</v>
      </c>
      <c r="E7124" s="94">
        <v>16.69</v>
      </c>
      <c r="F7124" s="982">
        <v>0.45863425925925927</v>
      </c>
      <c r="G7124" s="32" t="s">
        <v>453</v>
      </c>
      <c r="H7124" s="710">
        <v>1.13</v>
      </c>
      <c r="I7124" s="256"/>
      <c r="J7124" s="67">
        <f t="shared" si="426"/>
        <v>4171.37</v>
      </c>
      <c r="L7124" s="70"/>
      <c r="M7124" s="934"/>
      <c r="N7124" s="94"/>
      <c r="O7124" s="94"/>
      <c r="P7124" s="94"/>
      <c r="Q7124" s="94"/>
      <c r="R7124" s="94"/>
      <c r="S7124" s="94"/>
      <c r="T7124" s="94"/>
      <c r="U7124" s="94"/>
      <c r="V7124" s="94"/>
      <c r="W7124" s="94"/>
      <c r="X7124" s="94"/>
      <c r="Y7124" s="94"/>
      <c r="Z7124" s="94"/>
      <c r="AA7124" s="94"/>
      <c r="AB7124" s="94"/>
      <c r="AC7124" s="94"/>
      <c r="AD7124" s="94"/>
      <c r="AE7124" s="94"/>
      <c r="AF7124" s="94"/>
      <c r="AG7124" s="94"/>
      <c r="AH7124" s="94"/>
    </row>
    <row r="7125" ht="12.75" hidden="1" customHeight="1" outlineLevel="1">
      <c r="A7125" s="122">
        <v>42215.0</v>
      </c>
      <c r="B7125" s="32" t="s">
        <v>347</v>
      </c>
      <c r="C7125" s="32" t="s">
        <v>1781</v>
      </c>
      <c r="D7125" s="32">
        <v>500.0</v>
      </c>
      <c r="E7125" s="94">
        <v>7.12</v>
      </c>
      <c r="F7125" s="982">
        <v>0.45989583333333334</v>
      </c>
      <c r="G7125" s="32" t="s">
        <v>453</v>
      </c>
      <c r="H7125" s="710">
        <v>2.27</v>
      </c>
      <c r="I7125" s="256"/>
      <c r="J7125" s="67">
        <f t="shared" si="426"/>
        <v>3557.73</v>
      </c>
      <c r="L7125" s="70"/>
      <c r="M7125" s="934"/>
      <c r="N7125" s="94"/>
      <c r="O7125" s="94"/>
      <c r="P7125" s="94"/>
      <c r="Q7125" s="94"/>
      <c r="R7125" s="94"/>
      <c r="S7125" s="94"/>
      <c r="T7125" s="94"/>
      <c r="U7125" s="94"/>
      <c r="V7125" s="94"/>
      <c r="W7125" s="94"/>
      <c r="X7125" s="94"/>
      <c r="Y7125" s="94"/>
      <c r="Z7125" s="94"/>
      <c r="AA7125" s="94"/>
      <c r="AB7125" s="94"/>
      <c r="AC7125" s="94"/>
      <c r="AD7125" s="94"/>
      <c r="AE7125" s="94"/>
      <c r="AF7125" s="94"/>
      <c r="AG7125" s="94"/>
      <c r="AH7125" s="94"/>
    </row>
    <row r="7126" ht="12.75" hidden="1" customHeight="1" outlineLevel="1">
      <c r="A7126" s="122">
        <v>42215.0</v>
      </c>
      <c r="B7126" s="32" t="s">
        <v>347</v>
      </c>
      <c r="C7126" s="32" t="s">
        <v>2048</v>
      </c>
      <c r="D7126" s="32">
        <v>700.0</v>
      </c>
      <c r="E7126" s="94">
        <v>9.36</v>
      </c>
      <c r="F7126" s="982">
        <v>0.4683449074074074</v>
      </c>
      <c r="G7126" s="32" t="s">
        <v>453</v>
      </c>
      <c r="H7126" s="710">
        <v>3.42</v>
      </c>
      <c r="I7126" s="256"/>
      <c r="J7126" s="67">
        <f t="shared" si="426"/>
        <v>6548.58</v>
      </c>
      <c r="L7126" s="70"/>
      <c r="M7126" s="934"/>
      <c r="N7126" s="94"/>
      <c r="O7126" s="94"/>
      <c r="P7126" s="94"/>
      <c r="Q7126" s="94"/>
      <c r="R7126" s="94"/>
      <c r="S7126" s="94"/>
      <c r="T7126" s="94"/>
      <c r="U7126" s="94"/>
      <c r="V7126" s="94"/>
      <c r="W7126" s="94"/>
      <c r="X7126" s="94"/>
      <c r="Y7126" s="94"/>
      <c r="Z7126" s="94"/>
      <c r="AA7126" s="94"/>
      <c r="AB7126" s="94"/>
      <c r="AC7126" s="94"/>
      <c r="AD7126" s="94"/>
      <c r="AE7126" s="94"/>
      <c r="AF7126" s="94"/>
      <c r="AG7126" s="94"/>
      <c r="AH7126" s="94"/>
    </row>
    <row r="7127" ht="12.75" hidden="1" customHeight="1" outlineLevel="1">
      <c r="A7127" s="122">
        <v>42215.0</v>
      </c>
      <c r="B7127" s="32" t="s">
        <v>347</v>
      </c>
      <c r="C7127" s="32" t="s">
        <v>790</v>
      </c>
      <c r="D7127" s="983">
        <v>1000.0</v>
      </c>
      <c r="E7127" s="94">
        <v>6.832</v>
      </c>
      <c r="F7127" s="982">
        <v>0.4687962962962963</v>
      </c>
      <c r="G7127" s="32" t="s">
        <v>453</v>
      </c>
      <c r="H7127" s="710">
        <v>5.03</v>
      </c>
      <c r="I7127" s="256"/>
      <c r="J7127" s="67">
        <f t="shared" si="426"/>
        <v>6826.97</v>
      </c>
      <c r="L7127" s="70"/>
      <c r="M7127" s="934"/>
      <c r="N7127" s="94"/>
      <c r="O7127" s="94"/>
      <c r="P7127" s="94"/>
      <c r="Q7127" s="94"/>
      <c r="R7127" s="94"/>
      <c r="S7127" s="94"/>
      <c r="T7127" s="94"/>
      <c r="U7127" s="94"/>
      <c r="V7127" s="94"/>
      <c r="W7127" s="94"/>
      <c r="X7127" s="94"/>
      <c r="Y7127" s="94"/>
      <c r="Z7127" s="94"/>
      <c r="AA7127" s="94"/>
      <c r="AB7127" s="94"/>
      <c r="AC7127" s="94"/>
      <c r="AD7127" s="94"/>
      <c r="AE7127" s="94"/>
      <c r="AF7127" s="94"/>
      <c r="AG7127" s="94"/>
      <c r="AH7127" s="94"/>
    </row>
    <row r="7128" ht="12.75" hidden="1" customHeight="1" outlineLevel="1">
      <c r="A7128" s="122">
        <v>42215.0</v>
      </c>
      <c r="B7128" s="32" t="s">
        <v>347</v>
      </c>
      <c r="C7128" s="32" t="s">
        <v>3024</v>
      </c>
      <c r="D7128" s="32">
        <v>200.0</v>
      </c>
      <c r="E7128" s="94">
        <v>20.422</v>
      </c>
      <c r="F7128" s="982">
        <v>0.47041666666666665</v>
      </c>
      <c r="G7128" s="32" t="s">
        <v>453</v>
      </c>
      <c r="H7128" s="710">
        <v>1.08</v>
      </c>
      <c r="I7128" s="256"/>
      <c r="J7128" s="67">
        <f t="shared" si="426"/>
        <v>4083.32</v>
      </c>
      <c r="L7128" s="70"/>
      <c r="M7128" s="934"/>
      <c r="N7128" s="94"/>
      <c r="O7128" s="94"/>
      <c r="P7128" s="94"/>
      <c r="Q7128" s="94"/>
      <c r="R7128" s="94"/>
      <c r="S7128" s="94"/>
      <c r="T7128" s="94"/>
      <c r="U7128" s="94"/>
      <c r="V7128" s="94"/>
      <c r="W7128" s="94"/>
      <c r="X7128" s="94"/>
      <c r="Y7128" s="94"/>
      <c r="Z7128" s="94"/>
      <c r="AA7128" s="94"/>
      <c r="AB7128" s="94"/>
      <c r="AC7128" s="94"/>
      <c r="AD7128" s="94"/>
      <c r="AE7128" s="94"/>
      <c r="AF7128" s="94"/>
      <c r="AG7128" s="94"/>
      <c r="AH7128" s="94"/>
    </row>
    <row r="7129" ht="12.75" hidden="1" customHeight="1" outlineLevel="1">
      <c r="A7129" s="122">
        <v>42215.0</v>
      </c>
      <c r="B7129" s="32" t="s">
        <v>343</v>
      </c>
      <c r="C7129" s="32" t="s">
        <v>2963</v>
      </c>
      <c r="D7129" s="32">
        <v>150.0</v>
      </c>
      <c r="E7129" s="94">
        <v>47.36</v>
      </c>
      <c r="F7129" s="982">
        <v>0.47467592592592595</v>
      </c>
      <c r="G7129" s="32" t="s">
        <v>453</v>
      </c>
      <c r="H7129" s="710">
        <v>1.0</v>
      </c>
      <c r="I7129" s="256"/>
      <c r="J7129" s="67">
        <f t="shared" si="426"/>
        <v>-7105</v>
      </c>
      <c r="L7129" s="70"/>
      <c r="M7129" s="934"/>
      <c r="N7129" s="94"/>
      <c r="O7129" s="94"/>
      <c r="P7129" s="94"/>
      <c r="Q7129" s="94"/>
      <c r="R7129" s="94"/>
      <c r="S7129" s="94"/>
      <c r="T7129" s="94"/>
      <c r="U7129" s="94"/>
      <c r="V7129" s="94"/>
      <c r="W7129" s="94"/>
      <c r="X7129" s="94"/>
      <c r="Y7129" s="94"/>
      <c r="Z7129" s="94"/>
      <c r="AA7129" s="94"/>
      <c r="AB7129" s="94"/>
      <c r="AC7129" s="94"/>
      <c r="AD7129" s="94"/>
      <c r="AE7129" s="94"/>
      <c r="AF7129" s="94"/>
      <c r="AG7129" s="94"/>
      <c r="AH7129" s="94"/>
    </row>
    <row r="7130" ht="12.75" hidden="1" customHeight="1" outlineLevel="1">
      <c r="A7130" s="122">
        <v>42215.0</v>
      </c>
      <c r="B7130" s="32" t="s">
        <v>343</v>
      </c>
      <c r="C7130" s="32" t="s">
        <v>2385</v>
      </c>
      <c r="D7130" s="32">
        <v>70.0</v>
      </c>
      <c r="E7130" s="94">
        <v>106.6</v>
      </c>
      <c r="F7130" s="982">
        <v>0.47511574074074076</v>
      </c>
      <c r="G7130" s="32" t="s">
        <v>453</v>
      </c>
      <c r="H7130" s="710">
        <v>1.0</v>
      </c>
      <c r="I7130" s="256"/>
      <c r="J7130" s="67">
        <f t="shared" si="426"/>
        <v>-7463</v>
      </c>
      <c r="L7130" s="70"/>
      <c r="M7130" s="934"/>
      <c r="N7130" s="94"/>
      <c r="O7130" s="94"/>
      <c r="P7130" s="94"/>
      <c r="Q7130" s="94"/>
      <c r="R7130" s="94"/>
      <c r="S7130" s="94"/>
      <c r="T7130" s="94"/>
      <c r="U7130" s="94"/>
      <c r="V7130" s="94"/>
      <c r="W7130" s="94"/>
      <c r="X7130" s="94"/>
      <c r="Y7130" s="94"/>
      <c r="Z7130" s="94"/>
      <c r="AA7130" s="94"/>
      <c r="AB7130" s="94"/>
      <c r="AC7130" s="94"/>
      <c r="AD7130" s="94"/>
      <c r="AE7130" s="94"/>
      <c r="AF7130" s="94"/>
      <c r="AG7130" s="94"/>
      <c r="AH7130" s="94"/>
    </row>
    <row r="7131" ht="12.75" hidden="1" customHeight="1" outlineLevel="1">
      <c r="A7131" s="122">
        <v>42215.0</v>
      </c>
      <c r="B7131" s="32" t="s">
        <v>347</v>
      </c>
      <c r="C7131" s="32" t="s">
        <v>2195</v>
      </c>
      <c r="D7131" s="32">
        <v>250.0</v>
      </c>
      <c r="E7131" s="94">
        <v>15.53</v>
      </c>
      <c r="F7131" s="982">
        <v>0.48657407407407405</v>
      </c>
      <c r="G7131" s="32" t="s">
        <v>453</v>
      </c>
      <c r="H7131" s="710">
        <v>1.32</v>
      </c>
      <c r="I7131" s="256"/>
      <c r="J7131" s="67">
        <f t="shared" si="426"/>
        <v>3881.18</v>
      </c>
      <c r="L7131" s="70"/>
      <c r="M7131" s="934"/>
      <c r="N7131" s="94"/>
      <c r="O7131" s="94"/>
      <c r="P7131" s="94"/>
      <c r="Q7131" s="94"/>
      <c r="R7131" s="94"/>
      <c r="S7131" s="94"/>
      <c r="T7131" s="94"/>
      <c r="U7131" s="94"/>
      <c r="V7131" s="94"/>
      <c r="W7131" s="94"/>
      <c r="X7131" s="94"/>
      <c r="Y7131" s="94"/>
      <c r="Z7131" s="94"/>
      <c r="AA7131" s="94"/>
      <c r="AB7131" s="94"/>
      <c r="AC7131" s="94"/>
      <c r="AD7131" s="94"/>
      <c r="AE7131" s="94"/>
      <c r="AF7131" s="94"/>
      <c r="AG7131" s="94"/>
      <c r="AH7131" s="94"/>
    </row>
    <row r="7132" ht="12.75" hidden="1" customHeight="1" outlineLevel="1">
      <c r="A7132" s="122">
        <v>42215.0</v>
      </c>
      <c r="B7132" s="32" t="s">
        <v>343</v>
      </c>
      <c r="C7132" s="32" t="s">
        <v>1088</v>
      </c>
      <c r="D7132" s="32">
        <v>5.0</v>
      </c>
      <c r="E7132" s="94">
        <v>1482.02</v>
      </c>
      <c r="F7132" s="982">
        <v>0.6248842592592593</v>
      </c>
      <c r="G7132" s="32" t="s">
        <v>453</v>
      </c>
      <c r="H7132" s="710">
        <v>1.0</v>
      </c>
      <c r="I7132" s="256"/>
      <c r="J7132" s="67">
        <f t="shared" si="426"/>
        <v>-7411.1</v>
      </c>
      <c r="L7132" s="70"/>
      <c r="M7132" s="934"/>
      <c r="N7132" s="94"/>
      <c r="O7132" s="94"/>
      <c r="P7132" s="94"/>
      <c r="Q7132" s="94"/>
      <c r="R7132" s="94"/>
      <c r="S7132" s="94"/>
      <c r="T7132" s="94"/>
      <c r="U7132" s="94"/>
      <c r="V7132" s="94"/>
      <c r="W7132" s="94"/>
      <c r="X7132" s="94"/>
      <c r="Y7132" s="94"/>
      <c r="Z7132" s="94"/>
      <c r="AA7132" s="94"/>
      <c r="AB7132" s="94"/>
      <c r="AC7132" s="94"/>
      <c r="AD7132" s="94"/>
      <c r="AE7132" s="94"/>
      <c r="AF7132" s="94"/>
      <c r="AG7132" s="94"/>
      <c r="AH7132" s="94"/>
    </row>
    <row r="7133" ht="12.75" hidden="1" customHeight="1" outlineLevel="1">
      <c r="A7133" s="122">
        <v>42215.0</v>
      </c>
      <c r="B7133" s="974"/>
      <c r="C7133" s="32" t="s">
        <v>339</v>
      </c>
      <c r="D7133" s="708"/>
      <c r="E7133" s="195"/>
      <c r="F7133" s="709"/>
      <c r="G7133" s="195"/>
      <c r="H7133" s="710"/>
      <c r="I7133" s="256"/>
      <c r="J7133" s="67"/>
      <c r="K7133" s="968" t="s">
        <v>3076</v>
      </c>
      <c r="L7133" s="934"/>
      <c r="M7133" s="934"/>
    </row>
    <row r="7134" ht="12.75" hidden="1" customHeight="1" outlineLevel="1">
      <c r="A7134" s="122">
        <v>42215.0</v>
      </c>
      <c r="B7134" s="974"/>
      <c r="C7134" s="32" t="s">
        <v>429</v>
      </c>
      <c r="D7134" s="708"/>
      <c r="E7134" s="195"/>
      <c r="F7134" s="709"/>
      <c r="G7134" s="195"/>
      <c r="H7134" s="710"/>
      <c r="I7134" s="256"/>
      <c r="J7134" s="67"/>
      <c r="K7134" s="9" t="s">
        <v>3049</v>
      </c>
      <c r="L7134" s="934"/>
      <c r="M7134" s="934"/>
    </row>
    <row r="7135" ht="12.75" hidden="1" customHeight="1" outlineLevel="1">
      <c r="A7135" s="122">
        <v>42215.0</v>
      </c>
      <c r="B7135" s="974"/>
      <c r="C7135" s="32" t="s">
        <v>431</v>
      </c>
      <c r="D7135" s="708"/>
      <c r="E7135" s="195"/>
      <c r="F7135" s="709"/>
      <c r="G7135" s="195"/>
      <c r="H7135" s="710"/>
      <c r="I7135" s="256"/>
      <c r="J7135" s="67"/>
      <c r="K7135" s="7" t="s">
        <v>1126</v>
      </c>
      <c r="L7135" s="934"/>
      <c r="M7135" s="934"/>
    </row>
    <row r="7136" ht="12.75" hidden="1" customHeight="1" outlineLevel="1">
      <c r="A7136" s="122">
        <v>42215.0</v>
      </c>
      <c r="B7136" s="974"/>
      <c r="C7136" s="32" t="s">
        <v>433</v>
      </c>
      <c r="D7136" s="708"/>
      <c r="E7136" s="195"/>
      <c r="F7136" s="709"/>
      <c r="G7136" s="195"/>
      <c r="H7136" s="710"/>
      <c r="I7136" s="256"/>
      <c r="J7136" s="67"/>
      <c r="K7136" s="7" t="s">
        <v>1103</v>
      </c>
      <c r="L7136" s="934"/>
      <c r="M7136" s="934"/>
    </row>
    <row r="7137" ht="12.75" hidden="1" customHeight="1" outlineLevel="1">
      <c r="A7137" s="122">
        <v>42215.0</v>
      </c>
      <c r="B7137" s="974"/>
      <c r="C7137" s="32" t="s">
        <v>435</v>
      </c>
      <c r="D7137" s="708"/>
      <c r="E7137" s="195"/>
      <c r="F7137" s="709"/>
      <c r="G7137" s="195"/>
      <c r="H7137" s="710"/>
      <c r="I7137" s="256"/>
      <c r="J7137" s="67"/>
      <c r="K7137" s="9" t="s">
        <v>2802</v>
      </c>
      <c r="L7137" s="934"/>
      <c r="M7137" s="934"/>
    </row>
    <row r="7138" ht="12.75" hidden="1" customHeight="1" outlineLevel="1">
      <c r="A7138" s="122">
        <v>42216.0</v>
      </c>
      <c r="B7138" s="32" t="s">
        <v>347</v>
      </c>
      <c r="C7138" s="32" t="s">
        <v>2048</v>
      </c>
      <c r="D7138" s="32">
        <v>500.0</v>
      </c>
      <c r="E7138" s="94">
        <v>9.0</v>
      </c>
      <c r="F7138" s="984">
        <v>42216.52050925926</v>
      </c>
      <c r="G7138" s="32" t="s">
        <v>453</v>
      </c>
      <c r="H7138" s="710">
        <v>2.58</v>
      </c>
      <c r="I7138" s="256"/>
      <c r="J7138" s="67">
        <f t="shared" ref="J7138:J7171" si="427">IF(B7138="SLD",D7138*E7138,-D7138*E7138)-H7138</f>
        <v>4497.42</v>
      </c>
      <c r="L7138" s="70"/>
      <c r="M7138" s="934"/>
      <c r="N7138" s="94"/>
      <c r="O7138" s="94"/>
      <c r="P7138" s="94"/>
      <c r="Q7138" s="94"/>
      <c r="R7138" s="94"/>
      <c r="S7138" s="94"/>
      <c r="T7138" s="94"/>
      <c r="U7138" s="94"/>
      <c r="V7138" s="94"/>
      <c r="W7138" s="94"/>
      <c r="X7138" s="94"/>
      <c r="Y7138" s="94"/>
      <c r="Z7138" s="94"/>
      <c r="AA7138" s="94"/>
      <c r="AB7138" s="94"/>
      <c r="AC7138" s="94"/>
      <c r="AD7138" s="94"/>
      <c r="AE7138" s="94"/>
      <c r="AF7138" s="94"/>
      <c r="AG7138" s="94"/>
      <c r="AH7138" s="94"/>
    </row>
    <row r="7139" ht="12.75" hidden="1" customHeight="1" outlineLevel="1">
      <c r="A7139" s="122">
        <v>42216.0</v>
      </c>
      <c r="B7139" s="32" t="s">
        <v>347</v>
      </c>
      <c r="C7139" s="32" t="s">
        <v>3024</v>
      </c>
      <c r="D7139" s="32">
        <v>200.0</v>
      </c>
      <c r="E7139" s="94">
        <v>20.741</v>
      </c>
      <c r="F7139" s="984">
        <v>42216.5209375</v>
      </c>
      <c r="G7139" s="32" t="s">
        <v>453</v>
      </c>
      <c r="H7139" s="710">
        <v>1.08</v>
      </c>
      <c r="I7139" s="256"/>
      <c r="J7139" s="67">
        <f t="shared" si="427"/>
        <v>4147.12</v>
      </c>
      <c r="L7139" s="70"/>
      <c r="M7139" s="934"/>
      <c r="N7139" s="94"/>
      <c r="O7139" s="94"/>
      <c r="P7139" s="94"/>
      <c r="Q7139" s="94"/>
      <c r="R7139" s="94"/>
      <c r="S7139" s="94"/>
      <c r="T7139" s="94"/>
      <c r="U7139" s="94"/>
      <c r="V7139" s="94"/>
      <c r="W7139" s="94"/>
      <c r="X7139" s="94"/>
      <c r="Y7139" s="94"/>
      <c r="Z7139" s="94"/>
      <c r="AA7139" s="94"/>
      <c r="AB7139" s="94"/>
      <c r="AC7139" s="94"/>
      <c r="AD7139" s="94"/>
      <c r="AE7139" s="94"/>
      <c r="AF7139" s="94"/>
      <c r="AG7139" s="94"/>
      <c r="AH7139" s="94"/>
    </row>
    <row r="7140" ht="12.75" hidden="1" customHeight="1" outlineLevel="1">
      <c r="A7140" s="122">
        <v>42216.0</v>
      </c>
      <c r="B7140" s="32" t="s">
        <v>347</v>
      </c>
      <c r="C7140" s="32" t="s">
        <v>784</v>
      </c>
      <c r="D7140" s="983">
        <v>1200.0</v>
      </c>
      <c r="E7140" s="94">
        <v>5.28</v>
      </c>
      <c r="F7140" s="984">
        <v>42216.521319444444</v>
      </c>
      <c r="G7140" s="32" t="s">
        <v>453</v>
      </c>
      <c r="H7140" s="710">
        <v>5.02</v>
      </c>
      <c r="I7140" s="256"/>
      <c r="J7140" s="67">
        <f t="shared" si="427"/>
        <v>6330.98</v>
      </c>
      <c r="L7140" s="70"/>
      <c r="M7140" s="934"/>
      <c r="N7140" s="94"/>
      <c r="O7140" s="94"/>
      <c r="P7140" s="94"/>
      <c r="Q7140" s="94"/>
      <c r="R7140" s="94"/>
      <c r="S7140" s="94"/>
      <c r="T7140" s="94"/>
      <c r="U7140" s="94"/>
      <c r="V7140" s="94"/>
      <c r="W7140" s="94"/>
      <c r="X7140" s="94"/>
      <c r="Y7140" s="94"/>
      <c r="Z7140" s="94"/>
      <c r="AA7140" s="94"/>
      <c r="AB7140" s="94"/>
      <c r="AC7140" s="94"/>
      <c r="AD7140" s="94"/>
      <c r="AE7140" s="94"/>
      <c r="AF7140" s="94"/>
      <c r="AG7140" s="94"/>
      <c r="AH7140" s="94"/>
    </row>
    <row r="7141" ht="12.75" hidden="1" customHeight="1" outlineLevel="1">
      <c r="A7141" s="122">
        <v>42216.0</v>
      </c>
      <c r="B7141" s="32" t="s">
        <v>347</v>
      </c>
      <c r="C7141" s="32" t="s">
        <v>1839</v>
      </c>
      <c r="D7141" s="32">
        <v>500.0</v>
      </c>
      <c r="E7141" s="94">
        <v>8.81</v>
      </c>
      <c r="F7141" s="984">
        <v>42216.55945601852</v>
      </c>
      <c r="G7141" s="32" t="s">
        <v>453</v>
      </c>
      <c r="H7141" s="710">
        <v>2.18</v>
      </c>
      <c r="I7141" s="256"/>
      <c r="J7141" s="67">
        <f t="shared" si="427"/>
        <v>4402.82</v>
      </c>
      <c r="L7141" s="70"/>
      <c r="M7141" s="934"/>
      <c r="N7141" s="94"/>
      <c r="O7141" s="94"/>
      <c r="P7141" s="94"/>
      <c r="Q7141" s="94"/>
      <c r="R7141" s="94"/>
      <c r="S7141" s="94"/>
      <c r="T7141" s="94"/>
      <c r="U7141" s="94"/>
      <c r="V7141" s="94"/>
      <c r="W7141" s="94"/>
      <c r="X7141" s="94"/>
      <c r="Y7141" s="94"/>
      <c r="Z7141" s="94"/>
      <c r="AA7141" s="94"/>
      <c r="AB7141" s="94"/>
      <c r="AC7141" s="94"/>
      <c r="AD7141" s="94"/>
      <c r="AE7141" s="94"/>
      <c r="AF7141" s="94"/>
      <c r="AG7141" s="94"/>
      <c r="AH7141" s="94"/>
    </row>
    <row r="7142" ht="12.75" hidden="1" customHeight="1" outlineLevel="1">
      <c r="A7142" s="122">
        <v>42216.0</v>
      </c>
      <c r="B7142" s="32" t="s">
        <v>347</v>
      </c>
      <c r="C7142" s="32" t="s">
        <v>1633</v>
      </c>
      <c r="D7142" s="32">
        <v>250.0</v>
      </c>
      <c r="E7142" s="94">
        <v>16.504</v>
      </c>
      <c r="F7142" s="984">
        <v>42216.559699074074</v>
      </c>
      <c r="G7142" s="32" t="s">
        <v>453</v>
      </c>
      <c r="H7142" s="710">
        <v>1.23</v>
      </c>
      <c r="I7142" s="256"/>
      <c r="J7142" s="67">
        <f t="shared" si="427"/>
        <v>4124.77</v>
      </c>
      <c r="L7142" s="70"/>
      <c r="M7142" s="934"/>
      <c r="N7142" s="94"/>
      <c r="O7142" s="94"/>
      <c r="P7142" s="94"/>
      <c r="Q7142" s="94"/>
      <c r="R7142" s="94"/>
      <c r="S7142" s="94"/>
      <c r="T7142" s="94"/>
      <c r="U7142" s="94"/>
      <c r="V7142" s="94"/>
      <c r="W7142" s="94"/>
      <c r="X7142" s="94"/>
      <c r="Y7142" s="94"/>
      <c r="Z7142" s="94"/>
      <c r="AA7142" s="94"/>
      <c r="AB7142" s="94"/>
      <c r="AC7142" s="94"/>
      <c r="AD7142" s="94"/>
      <c r="AE7142" s="94"/>
      <c r="AF7142" s="94"/>
      <c r="AG7142" s="94"/>
      <c r="AH7142" s="94"/>
    </row>
    <row r="7143" ht="12.75" hidden="1" customHeight="1" outlineLevel="1">
      <c r="A7143" s="122">
        <v>42216.0</v>
      </c>
      <c r="B7143" s="32" t="s">
        <v>347</v>
      </c>
      <c r="C7143" s="32" t="s">
        <v>2195</v>
      </c>
      <c r="D7143" s="32">
        <v>250.0</v>
      </c>
      <c r="E7143" s="94">
        <v>15.88</v>
      </c>
      <c r="F7143" s="984">
        <v>42216.561111111114</v>
      </c>
      <c r="G7143" s="32" t="s">
        <v>453</v>
      </c>
      <c r="H7143" s="710">
        <v>1.32</v>
      </c>
      <c r="I7143" s="256"/>
      <c r="J7143" s="67">
        <f t="shared" si="427"/>
        <v>3968.68</v>
      </c>
      <c r="L7143" s="70"/>
      <c r="M7143" s="934"/>
      <c r="N7143" s="94"/>
      <c r="O7143" s="94"/>
      <c r="P7143" s="94"/>
      <c r="Q7143" s="94"/>
      <c r="R7143" s="94"/>
      <c r="S7143" s="94"/>
      <c r="T7143" s="94"/>
      <c r="U7143" s="94"/>
      <c r="V7143" s="94"/>
      <c r="W7143" s="94"/>
      <c r="X7143" s="94"/>
      <c r="Y7143" s="94"/>
      <c r="Z7143" s="94"/>
      <c r="AA7143" s="94"/>
      <c r="AB7143" s="94"/>
      <c r="AC7143" s="94"/>
      <c r="AD7143" s="94"/>
      <c r="AE7143" s="94"/>
      <c r="AF7143" s="94"/>
      <c r="AG7143" s="94"/>
      <c r="AH7143" s="94"/>
    </row>
    <row r="7144" ht="12.75" hidden="1" customHeight="1" outlineLevel="1">
      <c r="A7144" s="122">
        <v>42216.0</v>
      </c>
      <c r="B7144" s="32" t="s">
        <v>347</v>
      </c>
      <c r="C7144" s="32" t="s">
        <v>1633</v>
      </c>
      <c r="D7144" s="32">
        <v>250.0</v>
      </c>
      <c r="E7144" s="94">
        <v>16.51</v>
      </c>
      <c r="F7144" s="984">
        <v>42216.56123842593</v>
      </c>
      <c r="G7144" s="32" t="s">
        <v>453</v>
      </c>
      <c r="H7144" s="710">
        <v>1.33</v>
      </c>
      <c r="I7144" s="256"/>
      <c r="J7144" s="67">
        <f t="shared" si="427"/>
        <v>4126.17</v>
      </c>
      <c r="L7144" s="70"/>
      <c r="M7144" s="934"/>
      <c r="N7144" s="94"/>
      <c r="O7144" s="94"/>
      <c r="P7144" s="94"/>
      <c r="Q7144" s="94"/>
      <c r="R7144" s="94"/>
      <c r="S7144" s="94"/>
      <c r="T7144" s="94"/>
      <c r="U7144" s="94"/>
      <c r="V7144" s="94"/>
      <c r="W7144" s="94"/>
      <c r="X7144" s="94"/>
      <c r="Y7144" s="94"/>
      <c r="Z7144" s="94"/>
      <c r="AA7144" s="94"/>
      <c r="AB7144" s="94"/>
      <c r="AC7144" s="94"/>
      <c r="AD7144" s="94"/>
      <c r="AE7144" s="94"/>
      <c r="AF7144" s="94"/>
      <c r="AG7144" s="94"/>
      <c r="AH7144" s="94"/>
    </row>
    <row r="7145" ht="12.75" hidden="1" customHeight="1" outlineLevel="1">
      <c r="A7145" s="122">
        <v>42216.0</v>
      </c>
      <c r="B7145" s="32" t="s">
        <v>347</v>
      </c>
      <c r="C7145" s="32" t="s">
        <v>790</v>
      </c>
      <c r="D7145" s="32">
        <v>500.0</v>
      </c>
      <c r="E7145" s="94">
        <v>6.87</v>
      </c>
      <c r="F7145" s="984">
        <v>42216.56355324074</v>
      </c>
      <c r="G7145" s="32" t="s">
        <v>453</v>
      </c>
      <c r="H7145" s="710">
        <v>2.06</v>
      </c>
      <c r="I7145" s="256"/>
      <c r="J7145" s="67">
        <f t="shared" si="427"/>
        <v>3432.94</v>
      </c>
      <c r="L7145" s="70"/>
      <c r="M7145" s="934"/>
      <c r="N7145" s="94"/>
      <c r="O7145" s="94"/>
      <c r="P7145" s="94"/>
      <c r="Q7145" s="94"/>
      <c r="R7145" s="94"/>
      <c r="S7145" s="94"/>
      <c r="T7145" s="94"/>
      <c r="U7145" s="94"/>
      <c r="V7145" s="94"/>
      <c r="W7145" s="94"/>
      <c r="X7145" s="94"/>
      <c r="Y7145" s="94"/>
      <c r="Z7145" s="94"/>
      <c r="AA7145" s="94"/>
      <c r="AB7145" s="94"/>
      <c r="AC7145" s="94"/>
      <c r="AD7145" s="94"/>
      <c r="AE7145" s="94"/>
      <c r="AF7145" s="94"/>
      <c r="AG7145" s="94"/>
      <c r="AH7145" s="94"/>
    </row>
    <row r="7146" ht="12.75" hidden="1" customHeight="1" outlineLevel="1">
      <c r="A7146" s="122">
        <v>42216.0</v>
      </c>
      <c r="B7146" s="32" t="s">
        <v>347</v>
      </c>
      <c r="C7146" s="32" t="s">
        <v>3024</v>
      </c>
      <c r="D7146" s="32">
        <v>200.0</v>
      </c>
      <c r="E7146" s="94">
        <v>20.6</v>
      </c>
      <c r="F7146" s="984">
        <v>42216.56553240741</v>
      </c>
      <c r="G7146" s="32" t="s">
        <v>453</v>
      </c>
      <c r="H7146" s="710">
        <v>1.08</v>
      </c>
      <c r="I7146" s="256"/>
      <c r="J7146" s="67">
        <f t="shared" si="427"/>
        <v>4118.92</v>
      </c>
      <c r="L7146" s="70"/>
      <c r="M7146" s="934"/>
      <c r="N7146" s="94"/>
      <c r="O7146" s="94"/>
      <c r="P7146" s="94"/>
      <c r="Q7146" s="94"/>
      <c r="R7146" s="94"/>
      <c r="S7146" s="94"/>
      <c r="T7146" s="94"/>
      <c r="U7146" s="94"/>
      <c r="V7146" s="94"/>
      <c r="W7146" s="94"/>
      <c r="X7146" s="94"/>
      <c r="Y7146" s="94"/>
      <c r="Z7146" s="94"/>
      <c r="AA7146" s="94"/>
      <c r="AB7146" s="94"/>
      <c r="AC7146" s="94"/>
      <c r="AD7146" s="94"/>
      <c r="AE7146" s="94"/>
      <c r="AF7146" s="94"/>
      <c r="AG7146" s="94"/>
      <c r="AH7146" s="94"/>
    </row>
    <row r="7147" ht="12.75" hidden="1" customHeight="1" outlineLevel="1">
      <c r="A7147" s="122">
        <v>42216.0</v>
      </c>
      <c r="B7147" s="32" t="s">
        <v>347</v>
      </c>
      <c r="C7147" s="32" t="s">
        <v>790</v>
      </c>
      <c r="D7147" s="32">
        <v>800.0</v>
      </c>
      <c r="E7147" s="94">
        <v>6.86</v>
      </c>
      <c r="F7147" s="984">
        <v>42216.577256944445</v>
      </c>
      <c r="G7147" s="32" t="s">
        <v>453</v>
      </c>
      <c r="H7147" s="710">
        <v>3.9</v>
      </c>
      <c r="I7147" s="256"/>
      <c r="J7147" s="67">
        <f t="shared" si="427"/>
        <v>5484.1</v>
      </c>
      <c r="L7147" s="70"/>
      <c r="M7147" s="934"/>
      <c r="N7147" s="94"/>
      <c r="O7147" s="94"/>
      <c r="P7147" s="94"/>
      <c r="Q7147" s="94"/>
      <c r="R7147" s="94"/>
      <c r="S7147" s="94"/>
      <c r="T7147" s="94"/>
      <c r="U7147" s="94"/>
      <c r="V7147" s="94"/>
      <c r="W7147" s="94"/>
      <c r="X7147" s="94"/>
      <c r="Y7147" s="94"/>
      <c r="Z7147" s="94"/>
      <c r="AA7147" s="94"/>
      <c r="AB7147" s="94"/>
      <c r="AC7147" s="94"/>
      <c r="AD7147" s="94"/>
      <c r="AE7147" s="94"/>
      <c r="AF7147" s="94"/>
      <c r="AG7147" s="94"/>
      <c r="AH7147" s="94"/>
    </row>
    <row r="7148" ht="12.75" hidden="1" customHeight="1" outlineLevel="1">
      <c r="A7148" s="122">
        <v>42216.0</v>
      </c>
      <c r="B7148" s="32" t="s">
        <v>347</v>
      </c>
      <c r="C7148" s="32" t="s">
        <v>2048</v>
      </c>
      <c r="D7148" s="32">
        <v>500.0</v>
      </c>
      <c r="E7148" s="94">
        <v>8.87</v>
      </c>
      <c r="F7148" s="984">
        <v>42216.57734953704</v>
      </c>
      <c r="G7148" s="32" t="s">
        <v>453</v>
      </c>
      <c r="H7148" s="710">
        <v>2.58</v>
      </c>
      <c r="I7148" s="256"/>
      <c r="J7148" s="67">
        <f t="shared" si="427"/>
        <v>4432.42</v>
      </c>
      <c r="L7148" s="70"/>
      <c r="M7148" s="934"/>
      <c r="N7148" s="94"/>
      <c r="O7148" s="94"/>
      <c r="P7148" s="94"/>
      <c r="Q7148" s="94"/>
      <c r="R7148" s="94"/>
      <c r="S7148" s="94"/>
      <c r="T7148" s="94"/>
      <c r="U7148" s="94"/>
      <c r="V7148" s="94"/>
      <c r="W7148" s="94"/>
      <c r="X7148" s="94"/>
      <c r="Y7148" s="94"/>
      <c r="Z7148" s="94"/>
      <c r="AA7148" s="94"/>
      <c r="AB7148" s="94"/>
      <c r="AC7148" s="94"/>
      <c r="AD7148" s="94"/>
      <c r="AE7148" s="94"/>
      <c r="AF7148" s="94"/>
      <c r="AG7148" s="94"/>
      <c r="AH7148" s="94"/>
    </row>
    <row r="7149" ht="12.75" hidden="1" customHeight="1" outlineLevel="1">
      <c r="A7149" s="122">
        <v>42216.0</v>
      </c>
      <c r="B7149" s="32" t="s">
        <v>343</v>
      </c>
      <c r="C7149" s="32" t="s">
        <v>2048</v>
      </c>
      <c r="D7149" s="32">
        <v>500.0</v>
      </c>
      <c r="E7149" s="94">
        <v>8.9</v>
      </c>
      <c r="F7149" s="984">
        <v>42216.57986111111</v>
      </c>
      <c r="G7149" s="32" t="s">
        <v>453</v>
      </c>
      <c r="H7149" s="710">
        <v>2.4</v>
      </c>
      <c r="I7149" s="256"/>
      <c r="J7149" s="67">
        <f t="shared" si="427"/>
        <v>-4452.4</v>
      </c>
      <c r="L7149" s="70"/>
      <c r="M7149" s="934"/>
      <c r="N7149" s="94"/>
      <c r="O7149" s="94"/>
      <c r="P7149" s="94"/>
      <c r="Q7149" s="94"/>
      <c r="R7149" s="94"/>
      <c r="S7149" s="94"/>
      <c r="T7149" s="94"/>
      <c r="U7149" s="94"/>
      <c r="V7149" s="94"/>
      <c r="W7149" s="94"/>
      <c r="X7149" s="94"/>
      <c r="Y7149" s="94"/>
      <c r="Z7149" s="94"/>
      <c r="AA7149" s="94"/>
      <c r="AB7149" s="94"/>
      <c r="AC7149" s="94"/>
      <c r="AD7149" s="94"/>
      <c r="AE7149" s="94"/>
      <c r="AF7149" s="94"/>
      <c r="AG7149" s="94"/>
      <c r="AH7149" s="94"/>
    </row>
    <row r="7150" ht="12.75" hidden="1" customHeight="1" outlineLevel="1">
      <c r="A7150" s="122">
        <v>42216.0</v>
      </c>
      <c r="B7150" s="32" t="s">
        <v>343</v>
      </c>
      <c r="C7150" s="32" t="s">
        <v>790</v>
      </c>
      <c r="D7150" s="32">
        <v>400.0</v>
      </c>
      <c r="E7150" s="94">
        <v>6.86</v>
      </c>
      <c r="F7150" s="984">
        <v>42216.57991898148</v>
      </c>
      <c r="G7150" s="32" t="s">
        <v>453</v>
      </c>
      <c r="H7150" s="710">
        <v>2.0</v>
      </c>
      <c r="I7150" s="256"/>
      <c r="J7150" s="67">
        <f t="shared" si="427"/>
        <v>-2746</v>
      </c>
      <c r="L7150" s="70"/>
      <c r="M7150" s="934"/>
      <c r="N7150" s="94"/>
      <c r="O7150" s="94"/>
      <c r="P7150" s="94"/>
      <c r="Q7150" s="94"/>
      <c r="R7150" s="94"/>
      <c r="S7150" s="94"/>
      <c r="T7150" s="94"/>
      <c r="U7150" s="94"/>
      <c r="V7150" s="94"/>
      <c r="W7150" s="94"/>
      <c r="X7150" s="94"/>
      <c r="Y7150" s="94"/>
      <c r="Z7150" s="94"/>
      <c r="AA7150" s="94"/>
      <c r="AB7150" s="94"/>
      <c r="AC7150" s="94"/>
      <c r="AD7150" s="94"/>
      <c r="AE7150" s="94"/>
      <c r="AF7150" s="94"/>
      <c r="AG7150" s="94"/>
      <c r="AH7150" s="94"/>
    </row>
    <row r="7151" ht="12.75" hidden="1" customHeight="1" outlineLevel="1">
      <c r="A7151" s="122">
        <v>42216.0</v>
      </c>
      <c r="B7151" s="32" t="s">
        <v>347</v>
      </c>
      <c r="C7151" s="32" t="s">
        <v>2048</v>
      </c>
      <c r="D7151" s="32">
        <v>300.0</v>
      </c>
      <c r="E7151" s="94">
        <v>8.891</v>
      </c>
      <c r="F7151" s="984">
        <v>42216.580347222225</v>
      </c>
      <c r="G7151" s="32" t="s">
        <v>453</v>
      </c>
      <c r="H7151" s="710">
        <v>1.25</v>
      </c>
      <c r="I7151" s="256"/>
      <c r="J7151" s="67">
        <f t="shared" si="427"/>
        <v>2666.05</v>
      </c>
      <c r="L7151" s="70"/>
      <c r="M7151" s="934"/>
      <c r="N7151" s="94"/>
      <c r="O7151" s="94"/>
      <c r="P7151" s="94"/>
      <c r="Q7151" s="94"/>
      <c r="R7151" s="94"/>
      <c r="S7151" s="94"/>
      <c r="T7151" s="94"/>
      <c r="U7151" s="94"/>
      <c r="V7151" s="94"/>
      <c r="W7151" s="94"/>
      <c r="X7151" s="94"/>
      <c r="Y7151" s="94"/>
      <c r="Z7151" s="94"/>
      <c r="AA7151" s="94"/>
      <c r="AB7151" s="94"/>
      <c r="AC7151" s="94"/>
      <c r="AD7151" s="94"/>
      <c r="AE7151" s="94"/>
      <c r="AF7151" s="94"/>
      <c r="AG7151" s="94"/>
      <c r="AH7151" s="94"/>
    </row>
    <row r="7152" ht="12.75" hidden="1" customHeight="1" outlineLevel="1">
      <c r="A7152" s="122">
        <v>42219.0</v>
      </c>
      <c r="B7152" s="32" t="s">
        <v>347</v>
      </c>
      <c r="C7152" s="32" t="s">
        <v>3024</v>
      </c>
      <c r="D7152" s="983">
        <v>1400.0</v>
      </c>
      <c r="E7152" s="94">
        <v>20.011</v>
      </c>
      <c r="F7152" s="982">
        <v>0.4921412037037037</v>
      </c>
      <c r="G7152" s="32" t="s">
        <v>453</v>
      </c>
      <c r="H7152" s="710">
        <v>6.12</v>
      </c>
      <c r="I7152" s="256"/>
      <c r="J7152" s="67">
        <f t="shared" si="427"/>
        <v>28009.28</v>
      </c>
      <c r="L7152" s="70"/>
      <c r="M7152" s="934"/>
      <c r="N7152" s="94"/>
      <c r="O7152" s="94"/>
      <c r="P7152" s="94"/>
      <c r="Q7152" s="94"/>
      <c r="R7152" s="94"/>
      <c r="S7152" s="94"/>
      <c r="T7152" s="94"/>
      <c r="U7152" s="94"/>
      <c r="V7152" s="94"/>
      <c r="W7152" s="94"/>
      <c r="X7152" s="94"/>
      <c r="Y7152" s="94"/>
      <c r="Z7152" s="94"/>
      <c r="AA7152" s="94"/>
      <c r="AB7152" s="94"/>
      <c r="AC7152" s="94"/>
      <c r="AD7152" s="94"/>
      <c r="AE7152" s="94"/>
      <c r="AF7152" s="94"/>
      <c r="AG7152" s="94"/>
      <c r="AH7152" s="94"/>
    </row>
    <row r="7153" ht="12.75" hidden="1" customHeight="1" outlineLevel="1">
      <c r="A7153" s="122">
        <v>42219.0</v>
      </c>
      <c r="B7153" s="32" t="s">
        <v>347</v>
      </c>
      <c r="C7153" s="32" t="s">
        <v>784</v>
      </c>
      <c r="D7153" s="983">
        <v>4000.0</v>
      </c>
      <c r="E7153" s="94">
        <v>5.18</v>
      </c>
      <c r="F7153" s="982">
        <v>0.49300925925925926</v>
      </c>
      <c r="G7153" s="32" t="s">
        <v>453</v>
      </c>
      <c r="H7153" s="710">
        <v>20.38</v>
      </c>
      <c r="I7153" s="256"/>
      <c r="J7153" s="67">
        <f t="shared" si="427"/>
        <v>20699.62</v>
      </c>
      <c r="L7153" s="70"/>
      <c r="M7153" s="934"/>
      <c r="N7153" s="94"/>
      <c r="O7153" s="94"/>
      <c r="P7153" s="94"/>
      <c r="Q7153" s="94"/>
      <c r="R7153" s="94"/>
      <c r="S7153" s="94"/>
      <c r="T7153" s="94"/>
      <c r="U7153" s="94"/>
      <c r="V7153" s="94"/>
      <c r="W7153" s="94"/>
      <c r="X7153" s="94"/>
      <c r="Y7153" s="94"/>
      <c r="Z7153" s="94"/>
      <c r="AA7153" s="94"/>
      <c r="AB7153" s="94"/>
      <c r="AC7153" s="94"/>
      <c r="AD7153" s="94"/>
      <c r="AE7153" s="94"/>
      <c r="AF7153" s="94"/>
      <c r="AG7153" s="94"/>
      <c r="AH7153" s="94"/>
    </row>
    <row r="7154" ht="12.75" hidden="1" customHeight="1" outlineLevel="1">
      <c r="A7154" s="122">
        <v>42219.0</v>
      </c>
      <c r="B7154" s="32" t="s">
        <v>347</v>
      </c>
      <c r="C7154" s="32" t="s">
        <v>2090</v>
      </c>
      <c r="D7154" s="983">
        <v>3250.0</v>
      </c>
      <c r="E7154" s="94">
        <v>7.026</v>
      </c>
      <c r="F7154" s="982">
        <v>0.49418981481481483</v>
      </c>
      <c r="G7154" s="32" t="s">
        <v>453</v>
      </c>
      <c r="H7154" s="710">
        <v>16.57</v>
      </c>
      <c r="I7154" s="256"/>
      <c r="J7154" s="67">
        <f t="shared" si="427"/>
        <v>22817.93</v>
      </c>
      <c r="L7154" s="70"/>
      <c r="M7154" s="934"/>
      <c r="N7154" s="94"/>
      <c r="O7154" s="94"/>
      <c r="P7154" s="94"/>
      <c r="Q7154" s="94"/>
      <c r="R7154" s="94"/>
      <c r="S7154" s="94"/>
      <c r="T7154" s="94"/>
      <c r="U7154" s="94"/>
      <c r="V7154" s="94"/>
      <c r="W7154" s="94"/>
      <c r="X7154" s="94"/>
      <c r="Y7154" s="94"/>
      <c r="Z7154" s="94"/>
      <c r="AA7154" s="94"/>
      <c r="AB7154" s="94"/>
      <c r="AC7154" s="94"/>
      <c r="AD7154" s="94"/>
      <c r="AE7154" s="94"/>
      <c r="AF7154" s="94"/>
      <c r="AG7154" s="94"/>
      <c r="AH7154" s="94"/>
    </row>
    <row r="7155" ht="12.75" hidden="1" customHeight="1" outlineLevel="1">
      <c r="A7155" s="122">
        <v>42219.0</v>
      </c>
      <c r="B7155" s="32" t="s">
        <v>347</v>
      </c>
      <c r="C7155" s="32" t="s">
        <v>2048</v>
      </c>
      <c r="D7155" s="32">
        <v>100.0</v>
      </c>
      <c r="E7155" s="94">
        <v>8.42</v>
      </c>
      <c r="F7155" s="982">
        <v>0.49471064814814814</v>
      </c>
      <c r="G7155" s="32" t="s">
        <v>453</v>
      </c>
      <c r="H7155" s="710">
        <v>1.02</v>
      </c>
      <c r="I7155" s="256"/>
      <c r="J7155" s="67">
        <f t="shared" si="427"/>
        <v>840.98</v>
      </c>
      <c r="L7155" s="70"/>
      <c r="M7155" s="934"/>
      <c r="N7155" s="94"/>
      <c r="O7155" s="94"/>
      <c r="P7155" s="94"/>
      <c r="Q7155" s="94"/>
      <c r="R7155" s="94"/>
      <c r="S7155" s="94"/>
      <c r="T7155" s="94"/>
      <c r="U7155" s="94"/>
      <c r="V7155" s="94"/>
      <c r="W7155" s="94"/>
      <c r="X7155" s="94"/>
      <c r="Y7155" s="94"/>
      <c r="Z7155" s="94"/>
      <c r="AA7155" s="94"/>
      <c r="AB7155" s="94"/>
      <c r="AC7155" s="94"/>
      <c r="AD7155" s="94"/>
      <c r="AE7155" s="94"/>
      <c r="AF7155" s="94"/>
      <c r="AG7155" s="94"/>
      <c r="AH7155" s="94"/>
    </row>
    <row r="7156" ht="12.75" hidden="1" customHeight="1" outlineLevel="1">
      <c r="A7156" s="122">
        <v>42219.0</v>
      </c>
      <c r="B7156" s="32" t="s">
        <v>347</v>
      </c>
      <c r="C7156" s="32" t="s">
        <v>2048</v>
      </c>
      <c r="D7156" s="983">
        <v>2100.0</v>
      </c>
      <c r="E7156" s="94">
        <v>8.432</v>
      </c>
      <c r="F7156" s="982">
        <v>0.49483796296296295</v>
      </c>
      <c r="G7156" s="32" t="s">
        <v>453</v>
      </c>
      <c r="H7156" s="710">
        <v>9.53</v>
      </c>
      <c r="I7156" s="256"/>
      <c r="J7156" s="67">
        <f t="shared" si="427"/>
        <v>17697.67</v>
      </c>
      <c r="L7156" s="70"/>
      <c r="M7156" s="934"/>
      <c r="N7156" s="94"/>
      <c r="O7156" s="94"/>
      <c r="P7156" s="94"/>
      <c r="Q7156" s="94"/>
      <c r="R7156" s="94"/>
      <c r="S7156" s="94"/>
      <c r="T7156" s="94"/>
      <c r="U7156" s="94"/>
      <c r="V7156" s="94"/>
      <c r="W7156" s="94"/>
      <c r="X7156" s="94"/>
      <c r="Y7156" s="94"/>
      <c r="Z7156" s="94"/>
      <c r="AA7156" s="94"/>
      <c r="AB7156" s="94"/>
      <c r="AC7156" s="94"/>
      <c r="AD7156" s="94"/>
      <c r="AE7156" s="94"/>
      <c r="AF7156" s="94"/>
      <c r="AG7156" s="94"/>
      <c r="AH7156" s="94"/>
    </row>
    <row r="7157" ht="12.75" hidden="1" customHeight="1" outlineLevel="1">
      <c r="A7157" s="122">
        <v>42219.0</v>
      </c>
      <c r="B7157" s="32" t="s">
        <v>347</v>
      </c>
      <c r="C7157" s="32" t="s">
        <v>790</v>
      </c>
      <c r="D7157" s="983">
        <v>1400.0</v>
      </c>
      <c r="E7157" s="94">
        <v>6.46</v>
      </c>
      <c r="F7157" s="982">
        <v>0.4948958333333333</v>
      </c>
      <c r="G7157" s="32" t="s">
        <v>453</v>
      </c>
      <c r="H7157" s="710">
        <v>5.77</v>
      </c>
      <c r="I7157" s="256"/>
      <c r="J7157" s="67">
        <f t="shared" si="427"/>
        <v>9038.23</v>
      </c>
      <c r="L7157" s="70"/>
      <c r="M7157" s="934"/>
      <c r="N7157" s="94"/>
      <c r="O7157" s="94"/>
      <c r="P7157" s="94"/>
      <c r="Q7157" s="94"/>
      <c r="R7157" s="94"/>
      <c r="S7157" s="94"/>
      <c r="T7157" s="94"/>
      <c r="U7157" s="94"/>
      <c r="V7157" s="94"/>
      <c r="W7157" s="94"/>
      <c r="X7157" s="94"/>
      <c r="Y7157" s="94"/>
      <c r="Z7157" s="94"/>
      <c r="AA7157" s="94"/>
      <c r="AB7157" s="94"/>
      <c r="AC7157" s="94"/>
      <c r="AD7157" s="94"/>
      <c r="AE7157" s="94"/>
      <c r="AF7157" s="94"/>
      <c r="AG7157" s="94"/>
      <c r="AH7157" s="94"/>
    </row>
    <row r="7158" ht="12.75" hidden="1" customHeight="1" outlineLevel="1">
      <c r="A7158" s="122">
        <v>42219.0</v>
      </c>
      <c r="B7158" s="32" t="s">
        <v>347</v>
      </c>
      <c r="C7158" s="32" t="s">
        <v>1839</v>
      </c>
      <c r="D7158" s="983">
        <v>1500.0</v>
      </c>
      <c r="E7158" s="94">
        <v>8.481</v>
      </c>
      <c r="F7158" s="982">
        <v>0.49712962962962964</v>
      </c>
      <c r="G7158" s="32" t="s">
        <v>453</v>
      </c>
      <c r="H7158" s="710">
        <v>6.23</v>
      </c>
      <c r="I7158" s="256"/>
      <c r="J7158" s="67">
        <f t="shared" si="427"/>
        <v>12715.27</v>
      </c>
      <c r="L7158" s="70"/>
      <c r="M7158" s="934"/>
      <c r="N7158" s="94"/>
      <c r="O7158" s="94"/>
      <c r="P7158" s="94"/>
      <c r="Q7158" s="94"/>
      <c r="R7158" s="94"/>
      <c r="S7158" s="94"/>
      <c r="T7158" s="94"/>
      <c r="U7158" s="94"/>
      <c r="V7158" s="94"/>
      <c r="W7158" s="94"/>
      <c r="X7158" s="94"/>
      <c r="Y7158" s="94"/>
      <c r="Z7158" s="94"/>
      <c r="AA7158" s="94"/>
      <c r="AB7158" s="94"/>
      <c r="AC7158" s="94"/>
      <c r="AD7158" s="94"/>
      <c r="AE7158" s="94"/>
      <c r="AF7158" s="94"/>
      <c r="AG7158" s="94"/>
      <c r="AH7158" s="94"/>
    </row>
    <row r="7159" ht="12.75" hidden="1" customHeight="1" outlineLevel="1">
      <c r="A7159" s="122">
        <v>42219.0</v>
      </c>
      <c r="B7159" s="32" t="s">
        <v>347</v>
      </c>
      <c r="C7159" s="32" t="s">
        <v>1633</v>
      </c>
      <c r="D7159" s="983">
        <v>1000.0</v>
      </c>
      <c r="E7159" s="94">
        <v>15.606</v>
      </c>
      <c r="F7159" s="982">
        <v>0.4971875</v>
      </c>
      <c r="G7159" s="32" t="s">
        <v>453</v>
      </c>
      <c r="H7159" s="710">
        <v>5.09</v>
      </c>
      <c r="I7159" s="256"/>
      <c r="J7159" s="67">
        <f t="shared" si="427"/>
        <v>15600.91</v>
      </c>
      <c r="L7159" s="70"/>
      <c r="M7159" s="934"/>
      <c r="N7159" s="94"/>
      <c r="O7159" s="94"/>
      <c r="P7159" s="94"/>
      <c r="Q7159" s="94"/>
      <c r="R7159" s="94"/>
      <c r="S7159" s="94"/>
      <c r="T7159" s="94"/>
      <c r="U7159" s="94"/>
      <c r="V7159" s="94"/>
      <c r="W7159" s="94"/>
      <c r="X7159" s="94"/>
      <c r="Y7159" s="94"/>
      <c r="Z7159" s="94"/>
      <c r="AA7159" s="94"/>
      <c r="AB7159" s="94"/>
      <c r="AC7159" s="94"/>
      <c r="AD7159" s="94"/>
      <c r="AE7159" s="94"/>
      <c r="AF7159" s="94"/>
      <c r="AG7159" s="94"/>
      <c r="AH7159" s="94"/>
    </row>
    <row r="7160" ht="12.75" hidden="1" customHeight="1" outlineLevel="1">
      <c r="A7160" s="122">
        <v>42219.0</v>
      </c>
      <c r="B7160" s="32" t="s">
        <v>347</v>
      </c>
      <c r="C7160" s="32" t="s">
        <v>1781</v>
      </c>
      <c r="D7160" s="32">
        <v>100.0</v>
      </c>
      <c r="E7160" s="94">
        <v>6.761</v>
      </c>
      <c r="F7160" s="982">
        <v>0.49733796296296295</v>
      </c>
      <c r="G7160" s="32" t="s">
        <v>453</v>
      </c>
      <c r="H7160" s="710">
        <v>1.01</v>
      </c>
      <c r="I7160" s="256"/>
      <c r="J7160" s="67">
        <f t="shared" si="427"/>
        <v>675.09</v>
      </c>
      <c r="L7160" s="70"/>
      <c r="M7160" s="934"/>
      <c r="N7160" s="94"/>
      <c r="O7160" s="94"/>
      <c r="P7160" s="94"/>
      <c r="Q7160" s="94"/>
      <c r="R7160" s="94"/>
      <c r="S7160" s="94"/>
      <c r="T7160" s="94"/>
      <c r="U7160" s="94"/>
      <c r="V7160" s="94"/>
      <c r="W7160" s="94"/>
      <c r="X7160" s="94"/>
      <c r="Y7160" s="94"/>
      <c r="Z7160" s="94"/>
      <c r="AA7160" s="94"/>
      <c r="AB7160" s="94"/>
      <c r="AC7160" s="94"/>
      <c r="AD7160" s="94"/>
      <c r="AE7160" s="94"/>
      <c r="AF7160" s="94"/>
      <c r="AG7160" s="94"/>
      <c r="AH7160" s="94"/>
    </row>
    <row r="7161" ht="12.75" hidden="1" customHeight="1" outlineLevel="1">
      <c r="A7161" s="122">
        <v>42219.0</v>
      </c>
      <c r="B7161" s="32" t="s">
        <v>347</v>
      </c>
      <c r="C7161" s="32" t="s">
        <v>1781</v>
      </c>
      <c r="D7161" s="32">
        <v>400.0</v>
      </c>
      <c r="E7161" s="94">
        <v>6.761</v>
      </c>
      <c r="F7161" s="982">
        <v>0.4974884259259259</v>
      </c>
      <c r="G7161" s="32" t="s">
        <v>453</v>
      </c>
      <c r="H7161" s="710">
        <v>1.65</v>
      </c>
      <c r="I7161" s="256"/>
      <c r="J7161" s="67">
        <f t="shared" si="427"/>
        <v>2702.75</v>
      </c>
      <c r="L7161" s="70"/>
      <c r="M7161" s="934"/>
      <c r="N7161" s="94"/>
      <c r="O7161" s="94"/>
      <c r="P7161" s="94"/>
      <c r="Q7161" s="94"/>
      <c r="R7161" s="94"/>
      <c r="S7161" s="94"/>
      <c r="T7161" s="94"/>
      <c r="U7161" s="94"/>
      <c r="V7161" s="94"/>
      <c r="W7161" s="94"/>
      <c r="X7161" s="94"/>
      <c r="Y7161" s="94"/>
      <c r="Z7161" s="94"/>
      <c r="AA7161" s="94"/>
      <c r="AB7161" s="94"/>
      <c r="AC7161" s="94"/>
      <c r="AD7161" s="94"/>
      <c r="AE7161" s="94"/>
      <c r="AF7161" s="94"/>
      <c r="AG7161" s="94"/>
      <c r="AH7161" s="94"/>
    </row>
    <row r="7162" ht="12.75" hidden="1" customHeight="1" outlineLevel="1">
      <c r="A7162" s="122">
        <v>42219.0</v>
      </c>
      <c r="B7162" s="32" t="s">
        <v>347</v>
      </c>
      <c r="C7162" s="32" t="s">
        <v>2090</v>
      </c>
      <c r="D7162" s="983">
        <v>1500.0</v>
      </c>
      <c r="E7162" s="94">
        <v>7.013</v>
      </c>
      <c r="F7162" s="982">
        <v>0.4999074074074074</v>
      </c>
      <c r="G7162" s="32" t="s">
        <v>453</v>
      </c>
      <c r="H7162" s="710">
        <v>7.59</v>
      </c>
      <c r="I7162" s="256"/>
      <c r="J7162" s="67">
        <f t="shared" si="427"/>
        <v>10511.91</v>
      </c>
      <c r="L7162" s="70"/>
      <c r="M7162" s="934"/>
      <c r="N7162" s="94"/>
      <c r="O7162" s="94"/>
      <c r="P7162" s="94"/>
      <c r="Q7162" s="94"/>
      <c r="R7162" s="94"/>
      <c r="S7162" s="94"/>
      <c r="T7162" s="94"/>
      <c r="U7162" s="94"/>
      <c r="V7162" s="94"/>
      <c r="W7162" s="94"/>
      <c r="X7162" s="94"/>
      <c r="Y7162" s="94"/>
      <c r="Z7162" s="94"/>
      <c r="AA7162" s="94"/>
      <c r="AB7162" s="94"/>
      <c r="AC7162" s="94"/>
      <c r="AD7162" s="94"/>
      <c r="AE7162" s="94"/>
      <c r="AF7162" s="94"/>
      <c r="AG7162" s="94"/>
      <c r="AH7162" s="94"/>
    </row>
    <row r="7163" ht="12.75" hidden="1" customHeight="1" outlineLevel="1">
      <c r="A7163" s="122">
        <v>42219.0</v>
      </c>
      <c r="B7163" s="32" t="s">
        <v>347</v>
      </c>
      <c r="C7163" s="32" t="s">
        <v>2048</v>
      </c>
      <c r="D7163" s="983">
        <v>1000.0</v>
      </c>
      <c r="E7163" s="94">
        <v>8.41</v>
      </c>
      <c r="F7163" s="982">
        <v>0.5000347222222222</v>
      </c>
      <c r="G7163" s="32" t="s">
        <v>453</v>
      </c>
      <c r="H7163" s="710">
        <v>4.15</v>
      </c>
      <c r="I7163" s="256"/>
      <c r="J7163" s="67">
        <f t="shared" si="427"/>
        <v>8405.85</v>
      </c>
      <c r="L7163" s="70"/>
      <c r="M7163" s="934"/>
      <c r="N7163" s="94"/>
      <c r="O7163" s="94"/>
      <c r="P7163" s="94"/>
      <c r="Q7163" s="94"/>
      <c r="R7163" s="94"/>
      <c r="S7163" s="94"/>
      <c r="T7163" s="94"/>
      <c r="U7163" s="94"/>
      <c r="V7163" s="94"/>
      <c r="W7163" s="94"/>
      <c r="X7163" s="94"/>
      <c r="Y7163" s="94"/>
      <c r="Z7163" s="94"/>
      <c r="AA7163" s="94"/>
      <c r="AB7163" s="94"/>
      <c r="AC7163" s="94"/>
      <c r="AD7163" s="94"/>
      <c r="AE7163" s="94"/>
      <c r="AF7163" s="94"/>
      <c r="AG7163" s="94"/>
      <c r="AH7163" s="94"/>
    </row>
    <row r="7164" ht="12.75" hidden="1" customHeight="1" outlineLevel="1">
      <c r="A7164" s="122">
        <v>42219.0</v>
      </c>
      <c r="B7164" s="32" t="s">
        <v>347</v>
      </c>
      <c r="C7164" s="32" t="s">
        <v>784</v>
      </c>
      <c r="D7164" s="983">
        <v>2000.0</v>
      </c>
      <c r="E7164" s="94">
        <v>5.171</v>
      </c>
      <c r="F7164" s="982">
        <v>0.5003935185185185</v>
      </c>
      <c r="G7164" s="32" t="s">
        <v>453</v>
      </c>
      <c r="H7164" s="710">
        <v>8.19</v>
      </c>
      <c r="I7164" s="256"/>
      <c r="J7164" s="67">
        <f t="shared" si="427"/>
        <v>10333.81</v>
      </c>
      <c r="L7164" s="70"/>
      <c r="M7164" s="934"/>
      <c r="N7164" s="94"/>
      <c r="O7164" s="94"/>
      <c r="P7164" s="94"/>
      <c r="Q7164" s="94"/>
      <c r="R7164" s="94"/>
      <c r="S7164" s="94"/>
      <c r="T7164" s="94"/>
      <c r="U7164" s="94"/>
      <c r="V7164" s="94"/>
      <c r="W7164" s="94"/>
      <c r="X7164" s="94"/>
      <c r="Y7164" s="94"/>
      <c r="Z7164" s="94"/>
      <c r="AA7164" s="94"/>
      <c r="AB7164" s="94"/>
      <c r="AC7164" s="94"/>
      <c r="AD7164" s="94"/>
      <c r="AE7164" s="94"/>
      <c r="AF7164" s="94"/>
      <c r="AG7164" s="94"/>
      <c r="AH7164" s="94"/>
    </row>
    <row r="7165" ht="12.75" hidden="1" customHeight="1" outlineLevel="1">
      <c r="A7165" s="122">
        <v>42219.0</v>
      </c>
      <c r="B7165" s="32" t="s">
        <v>347</v>
      </c>
      <c r="C7165" s="32" t="s">
        <v>3024</v>
      </c>
      <c r="D7165" s="983">
        <v>1000.0</v>
      </c>
      <c r="E7165" s="94">
        <v>20.02</v>
      </c>
      <c r="F7165" s="982">
        <v>0.5004861111111111</v>
      </c>
      <c r="G7165" s="32" t="s">
        <v>453</v>
      </c>
      <c r="H7165" s="710">
        <v>4.37</v>
      </c>
      <c r="I7165" s="256"/>
      <c r="J7165" s="67">
        <f t="shared" si="427"/>
        <v>20015.63</v>
      </c>
      <c r="L7165" s="70"/>
      <c r="M7165" s="934"/>
      <c r="N7165" s="94"/>
      <c r="O7165" s="94"/>
      <c r="P7165" s="94"/>
      <c r="Q7165" s="94"/>
      <c r="R7165" s="94"/>
      <c r="S7165" s="94"/>
      <c r="T7165" s="94"/>
      <c r="U7165" s="94"/>
      <c r="V7165" s="94"/>
      <c r="W7165" s="94"/>
      <c r="X7165" s="94"/>
      <c r="Y7165" s="94"/>
      <c r="Z7165" s="94"/>
      <c r="AA7165" s="94"/>
      <c r="AB7165" s="94"/>
      <c r="AC7165" s="94"/>
      <c r="AD7165" s="94"/>
      <c r="AE7165" s="94"/>
      <c r="AF7165" s="94"/>
      <c r="AG7165" s="94"/>
      <c r="AH7165" s="94"/>
    </row>
    <row r="7166" ht="12.75" hidden="1" customHeight="1" outlineLevel="1">
      <c r="A7166" s="122">
        <v>42219.0</v>
      </c>
      <c r="B7166" s="32" t="s">
        <v>347</v>
      </c>
      <c r="C7166" s="32" t="s">
        <v>2195</v>
      </c>
      <c r="D7166" s="32">
        <v>750.0</v>
      </c>
      <c r="E7166" s="94">
        <v>14.181</v>
      </c>
      <c r="F7166" s="982">
        <v>0.5350810185185185</v>
      </c>
      <c r="G7166" s="32" t="s">
        <v>453</v>
      </c>
      <c r="H7166" s="710">
        <v>4.73</v>
      </c>
      <c r="I7166" s="256"/>
      <c r="J7166" s="67">
        <f t="shared" si="427"/>
        <v>10631.02</v>
      </c>
      <c r="L7166" s="70"/>
      <c r="M7166" s="934"/>
      <c r="N7166" s="94"/>
      <c r="O7166" s="94"/>
      <c r="P7166" s="94"/>
      <c r="Q7166" s="94"/>
      <c r="R7166" s="94"/>
      <c r="S7166" s="94"/>
      <c r="T7166" s="94"/>
      <c r="U7166" s="94"/>
      <c r="V7166" s="94"/>
      <c r="W7166" s="94"/>
      <c r="X7166" s="94"/>
      <c r="Y7166" s="94"/>
      <c r="Z7166" s="94"/>
      <c r="AA7166" s="94"/>
      <c r="AB7166" s="94"/>
      <c r="AC7166" s="94"/>
      <c r="AD7166" s="94"/>
      <c r="AE7166" s="94"/>
      <c r="AF7166" s="94"/>
      <c r="AG7166" s="94"/>
      <c r="AH7166" s="94"/>
    </row>
    <row r="7167" ht="12.75" hidden="1" customHeight="1" outlineLevel="1">
      <c r="A7167" s="122">
        <v>42219.0</v>
      </c>
      <c r="B7167" s="32" t="s">
        <v>347</v>
      </c>
      <c r="C7167" s="32" t="s">
        <v>790</v>
      </c>
      <c r="D7167" s="983">
        <v>1500.0</v>
      </c>
      <c r="E7167" s="94">
        <v>6.28</v>
      </c>
      <c r="F7167" s="982">
        <v>0.6003819444444445</v>
      </c>
      <c r="G7167" s="32" t="s">
        <v>453</v>
      </c>
      <c r="H7167" s="710">
        <v>6.17</v>
      </c>
      <c r="I7167" s="256"/>
      <c r="J7167" s="67">
        <f t="shared" si="427"/>
        <v>9413.83</v>
      </c>
      <c r="L7167" s="70"/>
      <c r="M7167" s="934"/>
      <c r="N7167" s="94"/>
      <c r="O7167" s="94"/>
      <c r="P7167" s="94"/>
      <c r="Q7167" s="94"/>
      <c r="R7167" s="94"/>
      <c r="S7167" s="94"/>
      <c r="T7167" s="94"/>
      <c r="U7167" s="94"/>
      <c r="V7167" s="94"/>
      <c r="W7167" s="94"/>
      <c r="X7167" s="94"/>
      <c r="Y7167" s="94"/>
      <c r="Z7167" s="94"/>
      <c r="AA7167" s="94"/>
      <c r="AB7167" s="94"/>
      <c r="AC7167" s="94"/>
      <c r="AD7167" s="94"/>
      <c r="AE7167" s="94"/>
      <c r="AF7167" s="94"/>
      <c r="AG7167" s="94"/>
      <c r="AH7167" s="94"/>
    </row>
    <row r="7168" ht="12.75" hidden="1" customHeight="1" outlineLevel="1">
      <c r="A7168" s="122">
        <v>42219.0</v>
      </c>
      <c r="B7168" s="32" t="s">
        <v>347</v>
      </c>
      <c r="C7168" s="32" t="s">
        <v>2048</v>
      </c>
      <c r="D7168" s="983">
        <v>1000.0</v>
      </c>
      <c r="E7168" s="94">
        <v>8.1601</v>
      </c>
      <c r="F7168" s="982">
        <v>0.6005208333333333</v>
      </c>
      <c r="G7168" s="32" t="s">
        <v>453</v>
      </c>
      <c r="H7168" s="710">
        <v>4.15</v>
      </c>
      <c r="I7168" s="256"/>
      <c r="J7168" s="67">
        <f t="shared" si="427"/>
        <v>8155.95</v>
      </c>
      <c r="L7168" s="70"/>
      <c r="M7168" s="934"/>
      <c r="N7168" s="94"/>
      <c r="O7168" s="94"/>
      <c r="P7168" s="94"/>
      <c r="Q7168" s="94"/>
      <c r="R7168" s="94"/>
      <c r="S7168" s="94"/>
      <c r="T7168" s="94"/>
      <c r="U7168" s="94"/>
      <c r="V7168" s="94"/>
      <c r="W7168" s="94"/>
      <c r="X7168" s="94"/>
      <c r="Y7168" s="94"/>
      <c r="Z7168" s="94"/>
      <c r="AA7168" s="94"/>
      <c r="AB7168" s="94"/>
      <c r="AC7168" s="94"/>
      <c r="AD7168" s="94"/>
      <c r="AE7168" s="94"/>
      <c r="AF7168" s="94"/>
      <c r="AG7168" s="94"/>
      <c r="AH7168" s="94"/>
    </row>
    <row r="7169" ht="12.75" hidden="1" customHeight="1" outlineLevel="1">
      <c r="A7169" s="122">
        <v>42219.0</v>
      </c>
      <c r="B7169" s="32" t="s">
        <v>347</v>
      </c>
      <c r="C7169" s="32" t="s">
        <v>2090</v>
      </c>
      <c r="D7169" s="983">
        <v>1000.0</v>
      </c>
      <c r="E7169" s="94">
        <v>6.99</v>
      </c>
      <c r="F7169" s="982">
        <v>0.6185648148148148</v>
      </c>
      <c r="G7169" s="32" t="s">
        <v>453</v>
      </c>
      <c r="H7169" s="710">
        <v>5.13</v>
      </c>
      <c r="I7169" s="256"/>
      <c r="J7169" s="67">
        <f t="shared" si="427"/>
        <v>6984.87</v>
      </c>
      <c r="L7169" s="70"/>
      <c r="M7169" s="934"/>
      <c r="N7169" s="94"/>
      <c r="O7169" s="94"/>
      <c r="P7169" s="94"/>
      <c r="Q7169" s="94"/>
      <c r="R7169" s="94"/>
      <c r="S7169" s="94"/>
      <c r="T7169" s="94"/>
      <c r="U7169" s="94"/>
      <c r="V7169" s="94"/>
      <c r="W7169" s="94"/>
      <c r="X7169" s="94"/>
      <c r="Y7169" s="94"/>
      <c r="Z7169" s="94"/>
      <c r="AA7169" s="94"/>
      <c r="AB7169" s="94"/>
      <c r="AC7169" s="94"/>
      <c r="AD7169" s="94"/>
      <c r="AE7169" s="94"/>
      <c r="AF7169" s="94"/>
      <c r="AG7169" s="94"/>
      <c r="AH7169" s="94"/>
    </row>
    <row r="7170" ht="12.75" hidden="1" customHeight="1" outlineLevel="1">
      <c r="A7170" s="122">
        <v>42219.0</v>
      </c>
      <c r="B7170" s="32" t="s">
        <v>347</v>
      </c>
      <c r="C7170" s="32" t="s">
        <v>784</v>
      </c>
      <c r="D7170" s="983">
        <v>1500.0</v>
      </c>
      <c r="E7170" s="94">
        <v>5.141</v>
      </c>
      <c r="F7170" s="982">
        <v>0.6188773148148148</v>
      </c>
      <c r="G7170" s="32" t="s">
        <v>453</v>
      </c>
      <c r="H7170" s="710">
        <v>6.44</v>
      </c>
      <c r="I7170" s="256"/>
      <c r="J7170" s="67">
        <f t="shared" si="427"/>
        <v>7705.06</v>
      </c>
      <c r="L7170" s="70"/>
      <c r="M7170" s="934"/>
      <c r="N7170" s="94"/>
      <c r="O7170" s="94"/>
      <c r="P7170" s="94"/>
      <c r="Q7170" s="94"/>
      <c r="R7170" s="94"/>
      <c r="S7170" s="94"/>
      <c r="T7170" s="94"/>
      <c r="U7170" s="94"/>
      <c r="V7170" s="94"/>
      <c r="W7170" s="94"/>
      <c r="X7170" s="94"/>
      <c r="Y7170" s="94"/>
      <c r="Z7170" s="94"/>
      <c r="AA7170" s="94"/>
      <c r="AB7170" s="94"/>
      <c r="AC7170" s="94"/>
      <c r="AD7170" s="94"/>
      <c r="AE7170" s="94"/>
      <c r="AF7170" s="94"/>
      <c r="AG7170" s="94"/>
      <c r="AH7170" s="94"/>
    </row>
    <row r="7171" ht="12.75" hidden="1" customHeight="1" outlineLevel="1">
      <c r="A7171" s="122">
        <v>42219.0</v>
      </c>
      <c r="B7171" s="32" t="s">
        <v>347</v>
      </c>
      <c r="C7171" s="32" t="s">
        <v>3024</v>
      </c>
      <c r="D7171" s="983">
        <v>1500.0</v>
      </c>
      <c r="E7171" s="94">
        <v>20.12</v>
      </c>
      <c r="F7171" s="982">
        <v>0.6192013888888889</v>
      </c>
      <c r="G7171" s="32" t="s">
        <v>453</v>
      </c>
      <c r="H7171" s="710">
        <v>8.84</v>
      </c>
      <c r="I7171" s="256"/>
      <c r="J7171" s="67">
        <f t="shared" si="427"/>
        <v>30171.16</v>
      </c>
      <c r="L7171" s="70"/>
      <c r="M7171" s="934"/>
      <c r="N7171" s="94"/>
      <c r="O7171" s="94"/>
      <c r="P7171" s="94"/>
      <c r="Q7171" s="94"/>
      <c r="R7171" s="94"/>
      <c r="S7171" s="94"/>
      <c r="T7171" s="94"/>
      <c r="U7171" s="94"/>
      <c r="V7171" s="94"/>
      <c r="W7171" s="94"/>
      <c r="X7171" s="94"/>
      <c r="Y7171" s="94"/>
      <c r="Z7171" s="94"/>
      <c r="AA7171" s="94"/>
      <c r="AB7171" s="94"/>
      <c r="AC7171" s="94"/>
      <c r="AD7171" s="94"/>
      <c r="AE7171" s="94"/>
      <c r="AF7171" s="94"/>
      <c r="AG7171" s="94"/>
      <c r="AH7171" s="94"/>
    </row>
    <row r="7172" ht="12.75" hidden="1" customHeight="1" outlineLevel="1">
      <c r="A7172" s="122">
        <v>42219.0</v>
      </c>
      <c r="B7172" s="974"/>
      <c r="C7172" s="32" t="s">
        <v>339</v>
      </c>
      <c r="D7172" s="708"/>
      <c r="E7172" s="195"/>
      <c r="F7172" s="709"/>
      <c r="G7172" s="195"/>
      <c r="H7172" s="710"/>
      <c r="I7172" s="256"/>
      <c r="J7172" s="67"/>
      <c r="K7172" s="968" t="s">
        <v>3095</v>
      </c>
      <c r="L7172" s="934"/>
      <c r="M7172" s="934"/>
    </row>
    <row r="7173" ht="12.75" hidden="1" customHeight="1" outlineLevel="1">
      <c r="A7173" s="122">
        <v>42219.0</v>
      </c>
      <c r="B7173" s="974"/>
      <c r="C7173" s="32" t="s">
        <v>429</v>
      </c>
      <c r="D7173" s="708"/>
      <c r="E7173" s="195"/>
      <c r="F7173" s="709"/>
      <c r="G7173" s="195"/>
      <c r="H7173" s="710"/>
      <c r="I7173" s="256"/>
      <c r="J7173" s="67"/>
      <c r="K7173" s="9" t="s">
        <v>3049</v>
      </c>
      <c r="L7173" s="934"/>
      <c r="M7173" s="934"/>
    </row>
    <row r="7174" ht="12.75" hidden="1" customHeight="1" outlineLevel="1">
      <c r="A7174" s="122">
        <v>42219.0</v>
      </c>
      <c r="B7174" s="974"/>
      <c r="C7174" s="32" t="s">
        <v>431</v>
      </c>
      <c r="D7174" s="708"/>
      <c r="E7174" s="195"/>
      <c r="F7174" s="709"/>
      <c r="G7174" s="195"/>
      <c r="H7174" s="710"/>
      <c r="I7174" s="256"/>
      <c r="J7174" s="67"/>
      <c r="K7174" s="7" t="s">
        <v>1126</v>
      </c>
      <c r="L7174" s="934"/>
      <c r="M7174" s="934"/>
    </row>
    <row r="7175" ht="12.75" hidden="1" customHeight="1" outlineLevel="1">
      <c r="A7175" s="122">
        <v>42219.0</v>
      </c>
      <c r="B7175" s="974"/>
      <c r="C7175" s="32" t="s">
        <v>433</v>
      </c>
      <c r="D7175" s="708"/>
      <c r="E7175" s="195"/>
      <c r="F7175" s="709"/>
      <c r="G7175" s="195"/>
      <c r="H7175" s="710"/>
      <c r="I7175" s="256"/>
      <c r="J7175" s="67"/>
      <c r="K7175" s="7" t="s">
        <v>1103</v>
      </c>
      <c r="L7175" s="934"/>
      <c r="M7175" s="934"/>
    </row>
    <row r="7176" ht="12.75" hidden="1" customHeight="1" outlineLevel="1">
      <c r="A7176" s="122">
        <v>42219.0</v>
      </c>
      <c r="B7176" s="974"/>
      <c r="C7176" s="32" t="s">
        <v>435</v>
      </c>
      <c r="D7176" s="708"/>
      <c r="E7176" s="195"/>
      <c r="F7176" s="709"/>
      <c r="G7176" s="195"/>
      <c r="H7176" s="710"/>
      <c r="I7176" s="256"/>
      <c r="J7176" s="67"/>
      <c r="K7176" s="9" t="s">
        <v>2802</v>
      </c>
      <c r="L7176" s="934"/>
      <c r="M7176" s="934"/>
    </row>
    <row r="7177" ht="12.75" hidden="1" customHeight="1" outlineLevel="1">
      <c r="A7177" s="122">
        <v>42222.0</v>
      </c>
      <c r="B7177" s="32" t="s">
        <v>343</v>
      </c>
      <c r="C7177" s="32" t="s">
        <v>2342</v>
      </c>
      <c r="D7177" s="32">
        <v>150.0</v>
      </c>
      <c r="E7177" s="94">
        <v>55.3445</v>
      </c>
      <c r="F7177" s="982">
        <v>0.3968055555555556</v>
      </c>
      <c r="G7177" s="32" t="s">
        <v>453</v>
      </c>
      <c r="H7177" s="710">
        <v>1.0</v>
      </c>
      <c r="I7177" s="256"/>
      <c r="J7177" s="67">
        <f t="shared" ref="J7177:J7205" si="428">IF(B7177="SLD",D7177*E7177,-D7177*E7177)-H7177</f>
        <v>-8302.675</v>
      </c>
      <c r="L7177" s="70"/>
      <c r="M7177" s="934"/>
      <c r="N7177" s="94"/>
      <c r="O7177" s="94"/>
      <c r="P7177" s="94"/>
      <c r="Q7177" s="94"/>
      <c r="R7177" s="94"/>
      <c r="S7177" s="94"/>
      <c r="T7177" s="94"/>
      <c r="U7177" s="94"/>
      <c r="V7177" s="94"/>
      <c r="W7177" s="94"/>
      <c r="X7177" s="94"/>
      <c r="Y7177" s="94"/>
      <c r="Z7177" s="94"/>
      <c r="AA7177" s="94"/>
      <c r="AB7177" s="94"/>
      <c r="AC7177" s="94"/>
      <c r="AD7177" s="94"/>
      <c r="AE7177" s="94"/>
      <c r="AF7177" s="94"/>
      <c r="AG7177" s="94"/>
      <c r="AH7177" s="94"/>
    </row>
    <row r="7178" ht="12.75" hidden="1" customHeight="1" outlineLevel="1">
      <c r="A7178" s="122">
        <v>42222.0</v>
      </c>
      <c r="B7178" s="32" t="s">
        <v>347</v>
      </c>
      <c r="C7178" s="32" t="s">
        <v>790</v>
      </c>
      <c r="D7178" s="983">
        <v>2000.0</v>
      </c>
      <c r="E7178" s="94">
        <v>6.1601</v>
      </c>
      <c r="F7178" s="982">
        <v>0.39751157407407406</v>
      </c>
      <c r="G7178" s="32" t="s">
        <v>453</v>
      </c>
      <c r="H7178" s="710">
        <v>8.23</v>
      </c>
      <c r="I7178" s="256"/>
      <c r="J7178" s="67">
        <f t="shared" si="428"/>
        <v>12311.97</v>
      </c>
      <c r="L7178" s="70"/>
      <c r="M7178" s="934"/>
      <c r="N7178" s="94"/>
      <c r="O7178" s="94"/>
      <c r="P7178" s="94"/>
      <c r="Q7178" s="94"/>
      <c r="R7178" s="94"/>
      <c r="S7178" s="94"/>
      <c r="T7178" s="94"/>
      <c r="U7178" s="94"/>
      <c r="V7178" s="94"/>
      <c r="W7178" s="94"/>
      <c r="X7178" s="94"/>
      <c r="Y7178" s="94"/>
      <c r="Z7178" s="94"/>
      <c r="AA7178" s="94"/>
      <c r="AB7178" s="94"/>
      <c r="AC7178" s="94"/>
      <c r="AD7178" s="94"/>
      <c r="AE7178" s="94"/>
      <c r="AF7178" s="94"/>
      <c r="AG7178" s="94"/>
      <c r="AH7178" s="94"/>
    </row>
    <row r="7179" ht="12.75" hidden="1" customHeight="1" outlineLevel="1">
      <c r="A7179" s="122">
        <v>42222.0</v>
      </c>
      <c r="B7179" s="32" t="s">
        <v>347</v>
      </c>
      <c r="C7179" s="32" t="s">
        <v>2090</v>
      </c>
      <c r="D7179" s="983">
        <v>1500.0</v>
      </c>
      <c r="E7179" s="94">
        <v>6.922</v>
      </c>
      <c r="F7179" s="982">
        <v>0.3998263888888889</v>
      </c>
      <c r="G7179" s="32" t="s">
        <v>453</v>
      </c>
      <c r="H7179" s="710">
        <v>6.79</v>
      </c>
      <c r="I7179" s="256"/>
      <c r="J7179" s="67">
        <f t="shared" si="428"/>
        <v>10376.21</v>
      </c>
      <c r="L7179" s="70"/>
      <c r="M7179" s="934"/>
      <c r="N7179" s="94"/>
      <c r="O7179" s="94"/>
      <c r="P7179" s="94"/>
      <c r="Q7179" s="94"/>
      <c r="R7179" s="94"/>
      <c r="S7179" s="94"/>
      <c r="T7179" s="94"/>
      <c r="U7179" s="94"/>
      <c r="V7179" s="94"/>
      <c r="W7179" s="94"/>
      <c r="X7179" s="94"/>
      <c r="Y7179" s="94"/>
      <c r="Z7179" s="94"/>
      <c r="AA7179" s="94"/>
      <c r="AB7179" s="94"/>
      <c r="AC7179" s="94"/>
      <c r="AD7179" s="94"/>
      <c r="AE7179" s="94"/>
      <c r="AF7179" s="94"/>
      <c r="AG7179" s="94"/>
      <c r="AH7179" s="94"/>
    </row>
    <row r="7180" ht="12.75" hidden="1" customHeight="1" outlineLevel="1">
      <c r="A7180" s="122">
        <v>42222.0</v>
      </c>
      <c r="B7180" s="32" t="s">
        <v>347</v>
      </c>
      <c r="C7180" s="32" t="s">
        <v>2048</v>
      </c>
      <c r="D7180" s="983">
        <v>1000.0</v>
      </c>
      <c r="E7180" s="94">
        <v>7.8</v>
      </c>
      <c r="F7180" s="982">
        <v>0.4011342592592593</v>
      </c>
      <c r="G7180" s="32" t="s">
        <v>453</v>
      </c>
      <c r="H7180" s="710">
        <v>5.14</v>
      </c>
      <c r="I7180" s="256"/>
      <c r="J7180" s="67">
        <f t="shared" si="428"/>
        <v>7794.86</v>
      </c>
      <c r="L7180" s="70"/>
      <c r="M7180" s="934"/>
      <c r="N7180" s="94"/>
      <c r="O7180" s="94"/>
      <c r="P7180" s="94"/>
      <c r="Q7180" s="94"/>
      <c r="R7180" s="94"/>
      <c r="S7180" s="94"/>
      <c r="T7180" s="94"/>
      <c r="U7180" s="94"/>
      <c r="V7180" s="94"/>
      <c r="W7180" s="94"/>
      <c r="X7180" s="94"/>
      <c r="Y7180" s="94"/>
      <c r="Z7180" s="94"/>
      <c r="AA7180" s="94"/>
      <c r="AB7180" s="94"/>
      <c r="AC7180" s="94"/>
      <c r="AD7180" s="94"/>
      <c r="AE7180" s="94"/>
      <c r="AF7180" s="94"/>
      <c r="AG7180" s="94"/>
      <c r="AH7180" s="94"/>
    </row>
    <row r="7181" ht="12.75" hidden="1" customHeight="1" outlineLevel="1">
      <c r="A7181" s="122">
        <v>42222.0</v>
      </c>
      <c r="B7181" s="32" t="s">
        <v>347</v>
      </c>
      <c r="C7181" s="32" t="s">
        <v>790</v>
      </c>
      <c r="D7181" s="983">
        <v>1500.0</v>
      </c>
      <c r="E7181" s="94">
        <v>6.12</v>
      </c>
      <c r="F7181" s="982">
        <v>0.4015162037037037</v>
      </c>
      <c r="G7181" s="32" t="s">
        <v>453</v>
      </c>
      <c r="H7181" s="710">
        <v>7.17</v>
      </c>
      <c r="I7181" s="256"/>
      <c r="J7181" s="67">
        <f t="shared" si="428"/>
        <v>9172.83</v>
      </c>
      <c r="L7181" s="70"/>
      <c r="M7181" s="934"/>
      <c r="N7181" s="94"/>
      <c r="O7181" s="94"/>
      <c r="P7181" s="94"/>
      <c r="Q7181" s="94"/>
      <c r="R7181" s="94"/>
      <c r="S7181" s="94"/>
      <c r="T7181" s="94"/>
      <c r="U7181" s="94"/>
      <c r="V7181" s="94"/>
      <c r="W7181" s="94"/>
      <c r="X7181" s="94"/>
      <c r="Y7181" s="94"/>
      <c r="Z7181" s="94"/>
      <c r="AA7181" s="94"/>
      <c r="AB7181" s="94"/>
      <c r="AC7181" s="94"/>
      <c r="AD7181" s="94"/>
      <c r="AE7181" s="94"/>
      <c r="AF7181" s="94"/>
      <c r="AG7181" s="94"/>
      <c r="AH7181" s="94"/>
    </row>
    <row r="7182" ht="12.75" hidden="1" customHeight="1" outlineLevel="1">
      <c r="A7182" s="122">
        <v>42222.0</v>
      </c>
      <c r="B7182" s="32" t="s">
        <v>347</v>
      </c>
      <c r="C7182" s="32" t="s">
        <v>784</v>
      </c>
      <c r="D7182" s="983">
        <v>1000.0</v>
      </c>
      <c r="E7182" s="94">
        <v>5.363</v>
      </c>
      <c r="F7182" s="982">
        <v>0.4074652777777778</v>
      </c>
      <c r="G7182" s="32" t="s">
        <v>453</v>
      </c>
      <c r="H7182" s="710">
        <v>4.1</v>
      </c>
      <c r="I7182" s="256"/>
      <c r="J7182" s="67">
        <f t="shared" si="428"/>
        <v>5358.9</v>
      </c>
      <c r="L7182" s="70"/>
      <c r="M7182" s="934"/>
      <c r="N7182" s="94"/>
      <c r="O7182" s="94"/>
      <c r="P7182" s="94"/>
      <c r="Q7182" s="94"/>
      <c r="R7182" s="94"/>
      <c r="S7182" s="94"/>
      <c r="T7182" s="94"/>
      <c r="U7182" s="94"/>
      <c r="V7182" s="94"/>
      <c r="W7182" s="94"/>
      <c r="X7182" s="94"/>
      <c r="Y7182" s="94"/>
      <c r="Z7182" s="94"/>
      <c r="AA7182" s="94"/>
      <c r="AB7182" s="94"/>
      <c r="AC7182" s="94"/>
      <c r="AD7182" s="94"/>
      <c r="AE7182" s="94"/>
      <c r="AF7182" s="94"/>
      <c r="AG7182" s="94"/>
      <c r="AH7182" s="94"/>
    </row>
    <row r="7183" ht="12.75" hidden="1" customHeight="1" outlineLevel="1">
      <c r="A7183" s="122">
        <v>42222.0</v>
      </c>
      <c r="B7183" s="32" t="s">
        <v>343</v>
      </c>
      <c r="C7183" s="32" t="s">
        <v>369</v>
      </c>
      <c r="D7183" s="32">
        <v>400.0</v>
      </c>
      <c r="E7183" s="94">
        <v>2.649</v>
      </c>
      <c r="F7183" s="982">
        <v>0.4973726851851852</v>
      </c>
      <c r="G7183" s="32" t="s">
        <v>453</v>
      </c>
      <c r="H7183" s="710">
        <v>1.6</v>
      </c>
      <c r="I7183" s="256"/>
      <c r="J7183" s="67">
        <f t="shared" si="428"/>
        <v>-1061.2</v>
      </c>
      <c r="L7183" s="70"/>
      <c r="M7183" s="934"/>
      <c r="N7183" s="94"/>
      <c r="O7183" s="94"/>
      <c r="P7183" s="94"/>
      <c r="Q7183" s="94"/>
      <c r="R7183" s="94"/>
      <c r="S7183" s="94"/>
      <c r="T7183" s="94"/>
      <c r="U7183" s="94"/>
      <c r="V7183" s="94"/>
      <c r="W7183" s="94"/>
      <c r="X7183" s="94"/>
      <c r="Y7183" s="94"/>
      <c r="Z7183" s="94"/>
      <c r="AA7183" s="94"/>
      <c r="AB7183" s="94"/>
      <c r="AC7183" s="94"/>
      <c r="AD7183" s="94"/>
      <c r="AE7183" s="94"/>
      <c r="AF7183" s="94"/>
      <c r="AG7183" s="94"/>
      <c r="AH7183" s="94"/>
    </row>
    <row r="7184" ht="12.75" hidden="1" customHeight="1" outlineLevel="1">
      <c r="A7184" s="122">
        <v>42222.0</v>
      </c>
      <c r="B7184" s="32" t="s">
        <v>343</v>
      </c>
      <c r="C7184" s="32" t="s">
        <v>369</v>
      </c>
      <c r="D7184" s="32">
        <v>300.0</v>
      </c>
      <c r="E7184" s="94">
        <v>2.819</v>
      </c>
      <c r="F7184" s="982">
        <v>0.5813773148148148</v>
      </c>
      <c r="G7184" s="32" t="s">
        <v>453</v>
      </c>
      <c r="H7184" s="710">
        <v>1.2</v>
      </c>
      <c r="I7184" s="256"/>
      <c r="J7184" s="67">
        <f t="shared" si="428"/>
        <v>-846.9</v>
      </c>
      <c r="L7184" s="70"/>
      <c r="M7184" s="934"/>
      <c r="N7184" s="94"/>
      <c r="O7184" s="94"/>
      <c r="P7184" s="94"/>
      <c r="Q7184" s="94"/>
      <c r="R7184" s="94"/>
      <c r="S7184" s="94"/>
      <c r="T7184" s="94"/>
      <c r="U7184" s="94"/>
      <c r="V7184" s="94"/>
      <c r="W7184" s="94"/>
      <c r="X7184" s="94"/>
      <c r="Y7184" s="94"/>
      <c r="Z7184" s="94"/>
      <c r="AA7184" s="94"/>
      <c r="AB7184" s="94"/>
      <c r="AC7184" s="94"/>
      <c r="AD7184" s="94"/>
      <c r="AE7184" s="94"/>
      <c r="AF7184" s="94"/>
      <c r="AG7184" s="94"/>
      <c r="AH7184" s="94"/>
    </row>
    <row r="7185" ht="12.75" hidden="1" customHeight="1" outlineLevel="1">
      <c r="A7185" s="122">
        <v>42222.0</v>
      </c>
      <c r="B7185" s="32" t="s">
        <v>343</v>
      </c>
      <c r="C7185" s="32" t="s">
        <v>1839</v>
      </c>
      <c r="D7185" s="983">
        <v>2000.0</v>
      </c>
      <c r="E7185" s="94">
        <v>8.339</v>
      </c>
      <c r="F7185" s="982">
        <v>0.641238425925926</v>
      </c>
      <c r="G7185" s="32" t="s">
        <v>453</v>
      </c>
      <c r="H7185" s="710">
        <v>9.0</v>
      </c>
      <c r="I7185" s="256"/>
      <c r="J7185" s="67">
        <f t="shared" si="428"/>
        <v>-16687</v>
      </c>
      <c r="L7185" s="70"/>
      <c r="M7185" s="934"/>
      <c r="N7185" s="94"/>
      <c r="O7185" s="94"/>
      <c r="P7185" s="94"/>
      <c r="Q7185" s="94"/>
      <c r="R7185" s="94"/>
      <c r="S7185" s="94"/>
      <c r="T7185" s="94"/>
      <c r="U7185" s="94"/>
      <c r="V7185" s="94"/>
      <c r="W7185" s="94"/>
      <c r="X7185" s="94"/>
      <c r="Y7185" s="94"/>
      <c r="Z7185" s="94"/>
      <c r="AA7185" s="94"/>
      <c r="AB7185" s="94"/>
      <c r="AC7185" s="94"/>
      <c r="AD7185" s="94"/>
      <c r="AE7185" s="94"/>
      <c r="AF7185" s="94"/>
      <c r="AG7185" s="94"/>
      <c r="AH7185" s="94"/>
    </row>
    <row r="7186" ht="12.75" hidden="1" customHeight="1" outlineLevel="1">
      <c r="A7186" s="122">
        <v>42222.0</v>
      </c>
      <c r="B7186" s="32" t="s">
        <v>343</v>
      </c>
      <c r="C7186" s="32" t="s">
        <v>2048</v>
      </c>
      <c r="D7186" s="983">
        <v>4000.0</v>
      </c>
      <c r="E7186" s="94">
        <v>8.559</v>
      </c>
      <c r="F7186" s="982">
        <v>0.6415393518518518</v>
      </c>
      <c r="G7186" s="32" t="s">
        <v>453</v>
      </c>
      <c r="H7186" s="710">
        <v>18.0</v>
      </c>
      <c r="I7186" s="256"/>
      <c r="J7186" s="67">
        <f t="shared" si="428"/>
        <v>-34254</v>
      </c>
      <c r="L7186" s="70"/>
      <c r="M7186" s="934"/>
      <c r="N7186" s="94"/>
      <c r="O7186" s="94"/>
      <c r="P7186" s="94"/>
      <c r="Q7186" s="94"/>
      <c r="R7186" s="94"/>
      <c r="S7186" s="94"/>
      <c r="T7186" s="94"/>
      <c r="U7186" s="94"/>
      <c r="V7186" s="94"/>
      <c r="W7186" s="94"/>
      <c r="X7186" s="94"/>
      <c r="Y7186" s="94"/>
      <c r="Z7186" s="94"/>
      <c r="AA7186" s="94"/>
      <c r="AB7186" s="94"/>
      <c r="AC7186" s="94"/>
      <c r="AD7186" s="94"/>
      <c r="AE7186" s="94"/>
      <c r="AF7186" s="94"/>
      <c r="AG7186" s="94"/>
      <c r="AH7186" s="94"/>
    </row>
    <row r="7187" ht="12.75" hidden="1" customHeight="1" outlineLevel="1">
      <c r="A7187" s="122">
        <v>42222.0</v>
      </c>
      <c r="B7187" s="32" t="s">
        <v>343</v>
      </c>
      <c r="C7187" s="32" t="s">
        <v>2048</v>
      </c>
      <c r="D7187" s="983">
        <v>2500.0</v>
      </c>
      <c r="E7187" s="94">
        <v>8.56</v>
      </c>
      <c r="F7187" s="982">
        <v>0.6417476851851852</v>
      </c>
      <c r="G7187" s="32" t="s">
        <v>453</v>
      </c>
      <c r="H7187" s="710">
        <v>12.5</v>
      </c>
      <c r="I7187" s="256"/>
      <c r="J7187" s="67">
        <f t="shared" si="428"/>
        <v>-21412.5</v>
      </c>
      <c r="L7187" s="70"/>
      <c r="M7187" s="934"/>
      <c r="N7187" s="94"/>
      <c r="O7187" s="94"/>
      <c r="P7187" s="94"/>
      <c r="Q7187" s="94"/>
      <c r="R7187" s="94"/>
      <c r="S7187" s="94"/>
      <c r="T7187" s="94"/>
      <c r="U7187" s="94"/>
      <c r="V7187" s="94"/>
      <c r="W7187" s="94"/>
      <c r="X7187" s="94"/>
      <c r="Y7187" s="94"/>
      <c r="Z7187" s="94"/>
      <c r="AA7187" s="94"/>
      <c r="AB7187" s="94"/>
      <c r="AC7187" s="94"/>
      <c r="AD7187" s="94"/>
      <c r="AE7187" s="94"/>
      <c r="AF7187" s="94"/>
      <c r="AG7187" s="94"/>
      <c r="AH7187" s="94"/>
    </row>
    <row r="7188" ht="12.75" hidden="1" customHeight="1" outlineLevel="1">
      <c r="A7188" s="122">
        <v>42222.0</v>
      </c>
      <c r="B7188" s="32" t="s">
        <v>343</v>
      </c>
      <c r="C7188" s="32" t="s">
        <v>1781</v>
      </c>
      <c r="D7188" s="983">
        <v>1000.0</v>
      </c>
      <c r="E7188" s="94">
        <v>6.869</v>
      </c>
      <c r="F7188" s="982">
        <v>0.6419791666666667</v>
      </c>
      <c r="G7188" s="32" t="s">
        <v>453</v>
      </c>
      <c r="H7188" s="710">
        <v>4.0</v>
      </c>
      <c r="I7188" s="256"/>
      <c r="J7188" s="67">
        <f t="shared" si="428"/>
        <v>-6873</v>
      </c>
      <c r="L7188" s="70"/>
      <c r="M7188" s="934"/>
      <c r="N7188" s="94"/>
      <c r="O7188" s="94"/>
      <c r="P7188" s="94"/>
      <c r="Q7188" s="94"/>
      <c r="R7188" s="94"/>
      <c r="S7188" s="94"/>
      <c r="T7188" s="94"/>
      <c r="U7188" s="94"/>
      <c r="V7188" s="94"/>
      <c r="W7188" s="94"/>
      <c r="X7188" s="94"/>
      <c r="Y7188" s="94"/>
      <c r="Z7188" s="94"/>
      <c r="AA7188" s="94"/>
      <c r="AB7188" s="94"/>
      <c r="AC7188" s="94"/>
      <c r="AD7188" s="94"/>
      <c r="AE7188" s="94"/>
      <c r="AF7188" s="94"/>
      <c r="AG7188" s="94"/>
      <c r="AH7188" s="94"/>
    </row>
    <row r="7189" ht="12.75" hidden="1" customHeight="1" outlineLevel="1">
      <c r="A7189" s="122">
        <v>42222.0</v>
      </c>
      <c r="B7189" s="32" t="s">
        <v>343</v>
      </c>
      <c r="C7189" s="32" t="s">
        <v>2090</v>
      </c>
      <c r="D7189" s="983">
        <v>5000.0</v>
      </c>
      <c r="E7189" s="94">
        <v>7.35</v>
      </c>
      <c r="F7189" s="982">
        <v>0.6421875</v>
      </c>
      <c r="G7189" s="32" t="s">
        <v>453</v>
      </c>
      <c r="H7189" s="710">
        <v>23.3</v>
      </c>
      <c r="I7189" s="256"/>
      <c r="J7189" s="67">
        <f t="shared" si="428"/>
        <v>-36773.3</v>
      </c>
      <c r="L7189" s="70"/>
      <c r="M7189" s="934"/>
      <c r="N7189" s="94"/>
      <c r="O7189" s="94"/>
      <c r="P7189" s="94"/>
      <c r="Q7189" s="94"/>
      <c r="R7189" s="94"/>
      <c r="S7189" s="94"/>
      <c r="T7189" s="94"/>
      <c r="U7189" s="94"/>
      <c r="V7189" s="94"/>
      <c r="W7189" s="94"/>
      <c r="X7189" s="94"/>
      <c r="Y7189" s="94"/>
      <c r="Z7189" s="94"/>
      <c r="AA7189" s="94"/>
      <c r="AB7189" s="94"/>
      <c r="AC7189" s="94"/>
      <c r="AD7189" s="94"/>
      <c r="AE7189" s="94"/>
      <c r="AF7189" s="94"/>
      <c r="AG7189" s="94"/>
      <c r="AH7189" s="94"/>
    </row>
    <row r="7190" ht="12.75" hidden="1" customHeight="1" outlineLevel="1">
      <c r="A7190" s="122">
        <v>42222.0</v>
      </c>
      <c r="B7190" s="32" t="s">
        <v>343</v>
      </c>
      <c r="C7190" s="32" t="s">
        <v>2090</v>
      </c>
      <c r="D7190" s="983">
        <v>3000.0</v>
      </c>
      <c r="E7190" s="94">
        <v>7.34</v>
      </c>
      <c r="F7190" s="982">
        <v>0.6425</v>
      </c>
      <c r="G7190" s="32" t="s">
        <v>453</v>
      </c>
      <c r="H7190" s="710">
        <v>15.0</v>
      </c>
      <c r="I7190" s="256"/>
      <c r="J7190" s="67">
        <f t="shared" si="428"/>
        <v>-22035</v>
      </c>
      <c r="L7190" s="70"/>
      <c r="M7190" s="934"/>
      <c r="N7190" s="94"/>
      <c r="O7190" s="94"/>
      <c r="P7190" s="94"/>
      <c r="Q7190" s="94"/>
      <c r="R7190" s="94"/>
      <c r="S7190" s="94"/>
      <c r="T7190" s="94"/>
      <c r="U7190" s="94"/>
      <c r="V7190" s="94"/>
      <c r="W7190" s="94"/>
      <c r="X7190" s="94"/>
      <c r="Y7190" s="94"/>
      <c r="Z7190" s="94"/>
      <c r="AA7190" s="94"/>
      <c r="AB7190" s="94"/>
      <c r="AC7190" s="94"/>
      <c r="AD7190" s="94"/>
      <c r="AE7190" s="94"/>
      <c r="AF7190" s="94"/>
      <c r="AG7190" s="94"/>
      <c r="AH7190" s="94"/>
    </row>
    <row r="7191" ht="12.75" hidden="1" customHeight="1" outlineLevel="1">
      <c r="A7191" s="122">
        <v>42222.0</v>
      </c>
      <c r="B7191" s="32" t="s">
        <v>343</v>
      </c>
      <c r="C7191" s="32" t="s">
        <v>3024</v>
      </c>
      <c r="D7191" s="983">
        <v>2500.0</v>
      </c>
      <c r="E7191" s="94">
        <v>22.38</v>
      </c>
      <c r="F7191" s="982">
        <v>0.6427083333333333</v>
      </c>
      <c r="G7191" s="32" t="s">
        <v>453</v>
      </c>
      <c r="H7191" s="710">
        <v>12.5</v>
      </c>
      <c r="I7191" s="256"/>
      <c r="J7191" s="67">
        <f t="shared" si="428"/>
        <v>-55962.5</v>
      </c>
      <c r="L7191" s="70"/>
      <c r="M7191" s="934"/>
      <c r="N7191" s="94"/>
      <c r="O7191" s="94"/>
      <c r="P7191" s="94"/>
      <c r="Q7191" s="94"/>
      <c r="R7191" s="94"/>
      <c r="S7191" s="94"/>
      <c r="T7191" s="94"/>
      <c r="U7191" s="94"/>
      <c r="V7191" s="94"/>
      <c r="W7191" s="94"/>
      <c r="X7191" s="94"/>
      <c r="Y7191" s="94"/>
      <c r="Z7191" s="94"/>
      <c r="AA7191" s="94"/>
      <c r="AB7191" s="94"/>
      <c r="AC7191" s="94"/>
      <c r="AD7191" s="94"/>
      <c r="AE7191" s="94"/>
      <c r="AF7191" s="94"/>
      <c r="AG7191" s="94"/>
      <c r="AH7191" s="94"/>
    </row>
    <row r="7192" ht="12.75" hidden="1" customHeight="1" outlineLevel="1">
      <c r="A7192" s="122">
        <v>42222.0</v>
      </c>
      <c r="B7192" s="32" t="s">
        <v>343</v>
      </c>
      <c r="C7192" s="32" t="s">
        <v>3024</v>
      </c>
      <c r="D7192" s="983">
        <v>2500.0</v>
      </c>
      <c r="E7192" s="94">
        <v>22.379</v>
      </c>
      <c r="F7192" s="982">
        <v>0.643125</v>
      </c>
      <c r="G7192" s="32" t="s">
        <v>453</v>
      </c>
      <c r="H7192" s="710">
        <v>10.2</v>
      </c>
      <c r="I7192" s="256"/>
      <c r="J7192" s="67">
        <f t="shared" si="428"/>
        <v>-55957.7</v>
      </c>
      <c r="L7192" s="70"/>
      <c r="M7192" s="934"/>
      <c r="N7192" s="94"/>
      <c r="O7192" s="94"/>
      <c r="P7192" s="94"/>
      <c r="Q7192" s="94"/>
      <c r="R7192" s="94"/>
      <c r="S7192" s="94"/>
      <c r="T7192" s="94"/>
      <c r="U7192" s="94"/>
      <c r="V7192" s="94"/>
      <c r="W7192" s="94"/>
      <c r="X7192" s="94"/>
      <c r="Y7192" s="94"/>
      <c r="Z7192" s="94"/>
      <c r="AA7192" s="94"/>
      <c r="AB7192" s="94"/>
      <c r="AC7192" s="94"/>
      <c r="AD7192" s="94"/>
      <c r="AE7192" s="94"/>
      <c r="AF7192" s="94"/>
      <c r="AG7192" s="94"/>
      <c r="AH7192" s="94"/>
    </row>
    <row r="7193" ht="12.75" hidden="1" customHeight="1" outlineLevel="1">
      <c r="A7193" s="122">
        <v>42222.0</v>
      </c>
      <c r="B7193" s="32" t="s">
        <v>343</v>
      </c>
      <c r="C7193" s="32" t="s">
        <v>1633</v>
      </c>
      <c r="D7193" s="983">
        <v>1000.0</v>
      </c>
      <c r="E7193" s="94">
        <v>14.38</v>
      </c>
      <c r="F7193" s="982">
        <v>0.6434143518518518</v>
      </c>
      <c r="G7193" s="32" t="s">
        <v>453</v>
      </c>
      <c r="H7193" s="710">
        <v>4.3</v>
      </c>
      <c r="I7193" s="256"/>
      <c r="J7193" s="67">
        <f t="shared" si="428"/>
        <v>-14384.3</v>
      </c>
      <c r="L7193" s="70"/>
      <c r="M7193" s="934"/>
      <c r="N7193" s="94"/>
      <c r="O7193" s="94"/>
      <c r="P7193" s="94"/>
      <c r="Q7193" s="94"/>
      <c r="R7193" s="94"/>
      <c r="S7193" s="94"/>
      <c r="T7193" s="94"/>
      <c r="U7193" s="94"/>
      <c r="V7193" s="94"/>
      <c r="W7193" s="94"/>
      <c r="X7193" s="94"/>
      <c r="Y7193" s="94"/>
      <c r="Z7193" s="94"/>
      <c r="AA7193" s="94"/>
      <c r="AB7193" s="94"/>
      <c r="AC7193" s="94"/>
      <c r="AD7193" s="94"/>
      <c r="AE7193" s="94"/>
      <c r="AF7193" s="94"/>
      <c r="AG7193" s="94"/>
      <c r="AH7193" s="94"/>
    </row>
    <row r="7194" ht="12.75" hidden="1" customHeight="1" outlineLevel="1">
      <c r="A7194" s="122">
        <v>42222.0</v>
      </c>
      <c r="B7194" s="32" t="s">
        <v>343</v>
      </c>
      <c r="C7194" s="32" t="s">
        <v>2195</v>
      </c>
      <c r="D7194" s="32">
        <v>750.0</v>
      </c>
      <c r="E7194" s="94">
        <v>12.489</v>
      </c>
      <c r="F7194" s="982">
        <v>0.6436458333333334</v>
      </c>
      <c r="G7194" s="32" t="s">
        <v>453</v>
      </c>
      <c r="H7194" s="710">
        <v>3.3</v>
      </c>
      <c r="I7194" s="256"/>
      <c r="J7194" s="67">
        <f t="shared" si="428"/>
        <v>-9370.05</v>
      </c>
      <c r="L7194" s="70"/>
      <c r="M7194" s="934"/>
      <c r="N7194" s="94"/>
      <c r="O7194" s="94"/>
      <c r="P7194" s="94"/>
      <c r="Q7194" s="94"/>
      <c r="R7194" s="94"/>
      <c r="S7194" s="94"/>
      <c r="T7194" s="94"/>
      <c r="U7194" s="94"/>
      <c r="V7194" s="94"/>
      <c r="W7194" s="94"/>
      <c r="X7194" s="94"/>
      <c r="Y7194" s="94"/>
      <c r="Z7194" s="94"/>
      <c r="AA7194" s="94"/>
      <c r="AB7194" s="94"/>
      <c r="AC7194" s="94"/>
      <c r="AD7194" s="94"/>
      <c r="AE7194" s="94"/>
      <c r="AF7194" s="94"/>
      <c r="AG7194" s="94"/>
      <c r="AH7194" s="94"/>
    </row>
    <row r="7195" ht="12.75" hidden="1" customHeight="1" outlineLevel="1">
      <c r="A7195" s="122">
        <v>42222.0</v>
      </c>
      <c r="B7195" s="32" t="s">
        <v>343</v>
      </c>
      <c r="C7195" s="32" t="s">
        <v>784</v>
      </c>
      <c r="D7195" s="983">
        <v>7500.0</v>
      </c>
      <c r="E7195" s="94">
        <v>5.548</v>
      </c>
      <c r="F7195" s="982">
        <v>0.6438657407407408</v>
      </c>
      <c r="G7195" s="32" t="s">
        <v>453</v>
      </c>
      <c r="H7195" s="710">
        <v>30.0</v>
      </c>
      <c r="I7195" s="256"/>
      <c r="J7195" s="67">
        <f t="shared" si="428"/>
        <v>-41640</v>
      </c>
      <c r="L7195" s="70"/>
      <c r="M7195" s="934"/>
      <c r="N7195" s="94"/>
      <c r="O7195" s="94"/>
      <c r="P7195" s="94"/>
      <c r="Q7195" s="94"/>
      <c r="R7195" s="94"/>
      <c r="S7195" s="94"/>
      <c r="T7195" s="94"/>
      <c r="U7195" s="94"/>
      <c r="V7195" s="94"/>
      <c r="W7195" s="94"/>
      <c r="X7195" s="94"/>
      <c r="Y7195" s="94"/>
      <c r="Z7195" s="94"/>
      <c r="AA7195" s="94"/>
      <c r="AB7195" s="94"/>
      <c r="AC7195" s="94"/>
      <c r="AD7195" s="94"/>
      <c r="AE7195" s="94"/>
      <c r="AF7195" s="94"/>
      <c r="AG7195" s="94"/>
      <c r="AH7195" s="94"/>
    </row>
    <row r="7196" ht="12.75" hidden="1" customHeight="1" outlineLevel="1">
      <c r="A7196" s="122">
        <v>42222.0</v>
      </c>
      <c r="B7196" s="32" t="s">
        <v>343</v>
      </c>
      <c r="C7196" s="32" t="s">
        <v>790</v>
      </c>
      <c r="D7196" s="983">
        <v>5000.0</v>
      </c>
      <c r="E7196" s="94">
        <v>6.5</v>
      </c>
      <c r="F7196" s="982">
        <v>0.6441550925925926</v>
      </c>
      <c r="G7196" s="32" t="s">
        <v>453</v>
      </c>
      <c r="H7196" s="710">
        <v>20.0</v>
      </c>
      <c r="I7196" s="256"/>
      <c r="J7196" s="67">
        <f t="shared" si="428"/>
        <v>-32520</v>
      </c>
      <c r="L7196" s="70"/>
      <c r="M7196" s="934"/>
      <c r="N7196" s="94"/>
      <c r="O7196" s="94"/>
      <c r="P7196" s="94"/>
      <c r="Q7196" s="94"/>
      <c r="R7196" s="94"/>
      <c r="S7196" s="94"/>
      <c r="T7196" s="94"/>
      <c r="U7196" s="94"/>
      <c r="V7196" s="94"/>
      <c r="W7196" s="94"/>
      <c r="X7196" s="94"/>
      <c r="Y7196" s="94"/>
      <c r="Z7196" s="94"/>
      <c r="AA7196" s="94"/>
      <c r="AB7196" s="94"/>
      <c r="AC7196" s="94"/>
      <c r="AD7196" s="94"/>
      <c r="AE7196" s="94"/>
      <c r="AF7196" s="94"/>
      <c r="AG7196" s="94"/>
      <c r="AH7196" s="94"/>
    </row>
    <row r="7197" ht="12.75" hidden="1" customHeight="1" outlineLevel="1">
      <c r="A7197" s="122">
        <v>42222.0</v>
      </c>
      <c r="B7197" s="32" t="s">
        <v>343</v>
      </c>
      <c r="C7197" s="32" t="s">
        <v>790</v>
      </c>
      <c r="D7197" s="983">
        <v>2500.0</v>
      </c>
      <c r="E7197" s="94">
        <v>6.48</v>
      </c>
      <c r="F7197" s="982">
        <v>0.6451157407407407</v>
      </c>
      <c r="G7197" s="32" t="s">
        <v>453</v>
      </c>
      <c r="H7197" s="710">
        <v>10.5</v>
      </c>
      <c r="I7197" s="256"/>
      <c r="J7197" s="67">
        <f t="shared" si="428"/>
        <v>-16210.5</v>
      </c>
      <c r="L7197" s="70"/>
      <c r="M7197" s="934"/>
      <c r="N7197" s="94"/>
      <c r="O7197" s="94"/>
      <c r="P7197" s="94"/>
      <c r="Q7197" s="94"/>
      <c r="R7197" s="94"/>
      <c r="S7197" s="94"/>
      <c r="T7197" s="94"/>
      <c r="U7197" s="94"/>
      <c r="V7197" s="94"/>
      <c r="W7197" s="94"/>
      <c r="X7197" s="94"/>
      <c r="Y7197" s="94"/>
      <c r="Z7197" s="94"/>
      <c r="AA7197" s="94"/>
      <c r="AB7197" s="94"/>
      <c r="AC7197" s="94"/>
      <c r="AD7197" s="94"/>
      <c r="AE7197" s="94"/>
      <c r="AF7197" s="94"/>
      <c r="AG7197" s="94"/>
      <c r="AH7197" s="94"/>
    </row>
    <row r="7198" ht="12.75" hidden="1" customHeight="1" outlineLevel="1">
      <c r="A7198" s="122">
        <v>42222.0</v>
      </c>
      <c r="B7198" s="32" t="s">
        <v>343</v>
      </c>
      <c r="C7198" s="32" t="s">
        <v>784</v>
      </c>
      <c r="D7198" s="983">
        <v>2000.0</v>
      </c>
      <c r="E7198" s="94">
        <v>5.55</v>
      </c>
      <c r="F7198" s="982">
        <v>0.6479861111111112</v>
      </c>
      <c r="G7198" s="32" t="s">
        <v>453</v>
      </c>
      <c r="H7198" s="710">
        <v>8.0</v>
      </c>
      <c r="I7198" s="256"/>
      <c r="J7198" s="67">
        <f t="shared" si="428"/>
        <v>-11108</v>
      </c>
      <c r="L7198" s="70"/>
      <c r="M7198" s="934"/>
      <c r="N7198" s="94"/>
      <c r="O7198" s="94"/>
      <c r="P7198" s="94"/>
      <c r="Q7198" s="94"/>
      <c r="R7198" s="94"/>
      <c r="S7198" s="94"/>
      <c r="T7198" s="94"/>
      <c r="U7198" s="94"/>
      <c r="V7198" s="94"/>
      <c r="W7198" s="94"/>
      <c r="X7198" s="94"/>
      <c r="Y7198" s="94"/>
      <c r="Z7198" s="94"/>
      <c r="AA7198" s="94"/>
      <c r="AB7198" s="94"/>
      <c r="AC7198" s="94"/>
      <c r="AD7198" s="94"/>
      <c r="AE7198" s="94"/>
      <c r="AF7198" s="94"/>
      <c r="AG7198" s="94"/>
      <c r="AH7198" s="94"/>
    </row>
    <row r="7199" ht="12.75" hidden="1" customHeight="1" outlineLevel="1">
      <c r="A7199" s="122">
        <v>42222.0</v>
      </c>
      <c r="B7199" s="32" t="s">
        <v>347</v>
      </c>
      <c r="C7199" s="32" t="s">
        <v>1400</v>
      </c>
      <c r="D7199" s="32">
        <v>125.0</v>
      </c>
      <c r="E7199" s="94">
        <v>74.791</v>
      </c>
      <c r="F7199" s="982">
        <v>0.648275462962963</v>
      </c>
      <c r="G7199" s="32" t="s">
        <v>453</v>
      </c>
      <c r="H7199" s="710">
        <v>1.17</v>
      </c>
      <c r="I7199" s="256"/>
      <c r="J7199" s="67">
        <f t="shared" si="428"/>
        <v>9347.705</v>
      </c>
      <c r="L7199" s="70"/>
      <c r="M7199" s="934"/>
      <c r="N7199" s="94"/>
      <c r="O7199" s="94"/>
      <c r="P7199" s="94"/>
      <c r="Q7199" s="94"/>
      <c r="R7199" s="94"/>
      <c r="S7199" s="94"/>
      <c r="T7199" s="94"/>
      <c r="U7199" s="94"/>
      <c r="V7199" s="94"/>
      <c r="W7199" s="94"/>
      <c r="X7199" s="94"/>
      <c r="Y7199" s="94"/>
      <c r="Z7199" s="94"/>
      <c r="AA7199" s="94"/>
      <c r="AB7199" s="94"/>
      <c r="AC7199" s="94"/>
      <c r="AD7199" s="94"/>
      <c r="AE7199" s="94"/>
      <c r="AF7199" s="94"/>
      <c r="AG7199" s="94"/>
      <c r="AH7199" s="94"/>
    </row>
    <row r="7200" ht="12.75" hidden="1" customHeight="1" outlineLevel="1">
      <c r="A7200" s="122">
        <v>42222.0</v>
      </c>
      <c r="B7200" s="32" t="s">
        <v>347</v>
      </c>
      <c r="C7200" s="32" t="s">
        <v>1221</v>
      </c>
      <c r="D7200" s="32">
        <v>200.0</v>
      </c>
      <c r="E7200" s="94">
        <v>43.091</v>
      </c>
      <c r="F7200" s="982">
        <v>0.6484722222222222</v>
      </c>
      <c r="G7200" s="32" t="s">
        <v>453</v>
      </c>
      <c r="H7200" s="710">
        <v>1.16</v>
      </c>
      <c r="I7200" s="256"/>
      <c r="J7200" s="67">
        <f t="shared" si="428"/>
        <v>8617.04</v>
      </c>
      <c r="L7200" s="70"/>
      <c r="M7200" s="934"/>
      <c r="N7200" s="94"/>
      <c r="O7200" s="94"/>
      <c r="P7200" s="94"/>
      <c r="Q7200" s="94"/>
      <c r="R7200" s="94"/>
      <c r="S7200" s="94"/>
      <c r="T7200" s="94"/>
      <c r="U7200" s="94"/>
      <c r="V7200" s="94"/>
      <c r="W7200" s="94"/>
      <c r="X7200" s="94"/>
      <c r="Y7200" s="94"/>
      <c r="Z7200" s="94"/>
      <c r="AA7200" s="94"/>
      <c r="AB7200" s="94"/>
      <c r="AC7200" s="94"/>
      <c r="AD7200" s="94"/>
      <c r="AE7200" s="94"/>
      <c r="AF7200" s="94"/>
      <c r="AG7200" s="94"/>
      <c r="AH7200" s="94"/>
    </row>
    <row r="7201" ht="12.75" hidden="1" customHeight="1" outlineLevel="1">
      <c r="A7201" s="122">
        <v>42222.0</v>
      </c>
      <c r="B7201" s="32" t="s">
        <v>347</v>
      </c>
      <c r="C7201" s="32" t="s">
        <v>2144</v>
      </c>
      <c r="D7201" s="32">
        <v>75.0</v>
      </c>
      <c r="E7201" s="94">
        <v>79.04</v>
      </c>
      <c r="F7201" s="982">
        <v>0.6488773148148148</v>
      </c>
      <c r="G7201" s="32" t="s">
        <v>453</v>
      </c>
      <c r="H7201" s="710">
        <v>1.11</v>
      </c>
      <c r="I7201" s="256"/>
      <c r="J7201" s="67">
        <f t="shared" si="428"/>
        <v>5926.89</v>
      </c>
      <c r="L7201" s="70"/>
      <c r="M7201" s="934"/>
      <c r="N7201" s="94"/>
      <c r="O7201" s="94"/>
      <c r="P7201" s="94"/>
      <c r="Q7201" s="94"/>
      <c r="R7201" s="94"/>
      <c r="S7201" s="94"/>
      <c r="T7201" s="94"/>
      <c r="U7201" s="94"/>
      <c r="V7201" s="94"/>
      <c r="W7201" s="94"/>
      <c r="X7201" s="94"/>
      <c r="Y7201" s="94"/>
      <c r="Z7201" s="94"/>
      <c r="AA7201" s="94"/>
      <c r="AB7201" s="94"/>
      <c r="AC7201" s="94"/>
      <c r="AD7201" s="94"/>
      <c r="AE7201" s="94"/>
      <c r="AF7201" s="94"/>
      <c r="AG7201" s="94"/>
      <c r="AH7201" s="94"/>
    </row>
    <row r="7202" ht="12.75" hidden="1" customHeight="1" outlineLevel="1">
      <c r="A7202" s="122">
        <v>42222.0</v>
      </c>
      <c r="B7202" s="32" t="s">
        <v>347</v>
      </c>
      <c r="C7202" s="32" t="s">
        <v>605</v>
      </c>
      <c r="D7202" s="32">
        <v>125.0</v>
      </c>
      <c r="E7202" s="94">
        <v>79.63</v>
      </c>
      <c r="F7202" s="982">
        <v>0.6523611111111111</v>
      </c>
      <c r="G7202" s="32" t="s">
        <v>453</v>
      </c>
      <c r="H7202" s="710">
        <v>1.18</v>
      </c>
      <c r="I7202" s="256"/>
      <c r="J7202" s="67">
        <f t="shared" si="428"/>
        <v>9952.57</v>
      </c>
      <c r="L7202" s="70"/>
      <c r="M7202" s="934"/>
      <c r="N7202" s="94"/>
      <c r="O7202" s="94"/>
      <c r="P7202" s="94"/>
      <c r="Q7202" s="94"/>
      <c r="R7202" s="94"/>
      <c r="S7202" s="94"/>
      <c r="T7202" s="94"/>
      <c r="U7202" s="94"/>
      <c r="V7202" s="94"/>
      <c r="W7202" s="94"/>
      <c r="X7202" s="94"/>
      <c r="Y7202" s="94"/>
      <c r="Z7202" s="94"/>
      <c r="AA7202" s="94"/>
      <c r="AB7202" s="94"/>
      <c r="AC7202" s="94"/>
      <c r="AD7202" s="94"/>
      <c r="AE7202" s="94"/>
      <c r="AF7202" s="94"/>
      <c r="AG7202" s="94"/>
      <c r="AH7202" s="94"/>
    </row>
    <row r="7203" ht="12.75" hidden="1" customHeight="1" outlineLevel="1">
      <c r="A7203" s="122">
        <v>42222.0</v>
      </c>
      <c r="B7203" s="32" t="s">
        <v>347</v>
      </c>
      <c r="C7203" s="32" t="s">
        <v>3024</v>
      </c>
      <c r="D7203" s="32">
        <v>250.0</v>
      </c>
      <c r="E7203" s="94">
        <v>22.42</v>
      </c>
      <c r="F7203" s="982">
        <v>0.655636574074074</v>
      </c>
      <c r="G7203" s="32" t="s">
        <v>453</v>
      </c>
      <c r="H7203" s="710">
        <v>1.25</v>
      </c>
      <c r="I7203" s="256"/>
      <c r="J7203" s="67">
        <f t="shared" si="428"/>
        <v>5603.75</v>
      </c>
      <c r="L7203" s="70"/>
      <c r="M7203" s="934"/>
      <c r="N7203" s="94"/>
      <c r="O7203" s="94"/>
      <c r="P7203" s="94"/>
      <c r="Q7203" s="94"/>
      <c r="R7203" s="94"/>
      <c r="S7203" s="94"/>
      <c r="T7203" s="94"/>
      <c r="U7203" s="94"/>
      <c r="V7203" s="94"/>
      <c r="W7203" s="94"/>
      <c r="X7203" s="94"/>
      <c r="Y7203" s="94"/>
      <c r="Z7203" s="94"/>
      <c r="AA7203" s="94"/>
      <c r="AB7203" s="94"/>
      <c r="AC7203" s="94"/>
      <c r="AD7203" s="94"/>
      <c r="AE7203" s="94"/>
      <c r="AF7203" s="94"/>
      <c r="AG7203" s="94"/>
      <c r="AH7203" s="94"/>
    </row>
    <row r="7204" ht="12.75" hidden="1" customHeight="1" outlineLevel="1">
      <c r="A7204" s="122">
        <v>42222.0</v>
      </c>
      <c r="B7204" s="32" t="s">
        <v>347</v>
      </c>
      <c r="C7204" s="32" t="s">
        <v>417</v>
      </c>
      <c r="D7204" s="32">
        <v>6.0</v>
      </c>
      <c r="E7204" s="94">
        <v>1352.71</v>
      </c>
      <c r="F7204" s="982">
        <v>0.657962962962963</v>
      </c>
      <c r="G7204" s="32" t="s">
        <v>453</v>
      </c>
      <c r="H7204" s="710">
        <v>1.15</v>
      </c>
      <c r="I7204" s="256"/>
      <c r="J7204" s="67">
        <f t="shared" si="428"/>
        <v>8115.11</v>
      </c>
      <c r="L7204" s="70"/>
      <c r="M7204" s="934"/>
      <c r="N7204" s="94"/>
      <c r="O7204" s="94"/>
      <c r="P7204" s="94"/>
      <c r="Q7204" s="94"/>
      <c r="R7204" s="94"/>
      <c r="S7204" s="94"/>
      <c r="T7204" s="94"/>
      <c r="U7204" s="94"/>
      <c r="V7204" s="94"/>
      <c r="W7204" s="94"/>
      <c r="X7204" s="94"/>
      <c r="Y7204" s="94"/>
      <c r="Z7204" s="94"/>
      <c r="AA7204" s="94"/>
      <c r="AB7204" s="94"/>
      <c r="AC7204" s="94"/>
      <c r="AD7204" s="94"/>
      <c r="AE7204" s="94"/>
      <c r="AF7204" s="94"/>
      <c r="AG7204" s="94"/>
      <c r="AH7204" s="94"/>
    </row>
    <row r="7205" ht="12.75" hidden="1" customHeight="1" outlineLevel="1">
      <c r="A7205" s="122">
        <v>42222.0</v>
      </c>
      <c r="B7205" s="32" t="s">
        <v>347</v>
      </c>
      <c r="C7205" s="32" t="s">
        <v>2098</v>
      </c>
      <c r="D7205" s="32">
        <v>115.0</v>
      </c>
      <c r="E7205" s="94">
        <v>65.01</v>
      </c>
      <c r="F7205" s="982">
        <v>0.6649074074074074</v>
      </c>
      <c r="G7205" s="32" t="s">
        <v>453</v>
      </c>
      <c r="H7205" s="710">
        <v>1.14</v>
      </c>
      <c r="I7205" s="256"/>
      <c r="J7205" s="67">
        <f t="shared" si="428"/>
        <v>7475.01</v>
      </c>
      <c r="L7205" s="70"/>
      <c r="M7205" s="934"/>
      <c r="N7205" s="94"/>
      <c r="O7205" s="94"/>
      <c r="P7205" s="94"/>
      <c r="Q7205" s="94"/>
      <c r="R7205" s="94"/>
      <c r="S7205" s="94"/>
      <c r="T7205" s="94"/>
      <c r="U7205" s="94"/>
      <c r="V7205" s="94"/>
      <c r="W7205" s="94"/>
      <c r="X7205" s="94"/>
      <c r="Y7205" s="94"/>
      <c r="Z7205" s="94"/>
      <c r="AA7205" s="94"/>
      <c r="AB7205" s="94"/>
      <c r="AC7205" s="94"/>
      <c r="AD7205" s="94"/>
      <c r="AE7205" s="94"/>
      <c r="AF7205" s="94"/>
      <c r="AG7205" s="94"/>
      <c r="AH7205" s="94"/>
    </row>
    <row r="7206" ht="12.75" hidden="1" customHeight="1" outlineLevel="1">
      <c r="A7206" s="122">
        <v>42222.0</v>
      </c>
      <c r="B7206" s="974"/>
      <c r="C7206" s="32" t="s">
        <v>339</v>
      </c>
      <c r="D7206" s="708"/>
      <c r="E7206" s="195"/>
      <c r="F7206" s="709"/>
      <c r="G7206" s="195"/>
      <c r="H7206" s="710"/>
      <c r="I7206" s="256"/>
      <c r="J7206" s="67"/>
      <c r="K7206" s="968" t="s">
        <v>3101</v>
      </c>
      <c r="L7206" s="934"/>
      <c r="M7206" s="934"/>
    </row>
    <row r="7207" ht="12.75" hidden="1" customHeight="1" outlineLevel="1">
      <c r="A7207" s="122">
        <v>42222.0</v>
      </c>
      <c r="B7207" s="974"/>
      <c r="C7207" s="32" t="s">
        <v>429</v>
      </c>
      <c r="D7207" s="708"/>
      <c r="E7207" s="195"/>
      <c r="F7207" s="709"/>
      <c r="G7207" s="195"/>
      <c r="H7207" s="710"/>
      <c r="I7207" s="256"/>
      <c r="J7207" s="67"/>
      <c r="K7207" s="9" t="s">
        <v>3049</v>
      </c>
      <c r="L7207" s="934"/>
      <c r="M7207" s="934"/>
    </row>
    <row r="7208" ht="12.75" hidden="1" customHeight="1" outlineLevel="1">
      <c r="A7208" s="122">
        <v>42222.0</v>
      </c>
      <c r="B7208" s="974"/>
      <c r="C7208" s="32" t="s">
        <v>431</v>
      </c>
      <c r="D7208" s="708"/>
      <c r="E7208" s="195"/>
      <c r="F7208" s="709"/>
      <c r="G7208" s="195"/>
      <c r="H7208" s="710"/>
      <c r="I7208" s="256"/>
      <c r="J7208" s="67"/>
      <c r="K7208" s="7" t="s">
        <v>1126</v>
      </c>
      <c r="L7208" s="934"/>
      <c r="M7208" s="934"/>
    </row>
    <row r="7209" ht="12.75" hidden="1" customHeight="1" outlineLevel="1">
      <c r="A7209" s="122">
        <v>42222.0</v>
      </c>
      <c r="B7209" s="974"/>
      <c r="C7209" s="32" t="s">
        <v>433</v>
      </c>
      <c r="D7209" s="708"/>
      <c r="E7209" s="195"/>
      <c r="F7209" s="709"/>
      <c r="G7209" s="195"/>
      <c r="H7209" s="710"/>
      <c r="I7209" s="256"/>
      <c r="J7209" s="67"/>
      <c r="K7209" s="7" t="s">
        <v>1103</v>
      </c>
      <c r="L7209" s="934"/>
      <c r="M7209" s="934"/>
    </row>
    <row r="7210" ht="12.75" hidden="1" customHeight="1" outlineLevel="1">
      <c r="A7210" s="122">
        <v>42222.0</v>
      </c>
      <c r="B7210" s="974"/>
      <c r="C7210" s="32" t="s">
        <v>435</v>
      </c>
      <c r="D7210" s="708"/>
      <c r="E7210" s="195"/>
      <c r="F7210" s="709"/>
      <c r="G7210" s="195"/>
      <c r="H7210" s="710"/>
      <c r="I7210" s="256"/>
      <c r="J7210" s="67"/>
      <c r="K7210" s="9" t="s">
        <v>2802</v>
      </c>
      <c r="L7210" s="934"/>
      <c r="M7210" s="934"/>
    </row>
    <row r="7211" ht="12.75" hidden="1" customHeight="1" outlineLevel="1">
      <c r="A7211" s="122">
        <v>42223.0</v>
      </c>
      <c r="B7211" s="32" t="s">
        <v>347</v>
      </c>
      <c r="C7211" s="32" t="s">
        <v>2963</v>
      </c>
      <c r="D7211" s="32">
        <v>150.0</v>
      </c>
      <c r="E7211" s="94">
        <v>46.17</v>
      </c>
      <c r="F7211" s="982">
        <v>0.3977199074074074</v>
      </c>
      <c r="G7211" s="32" t="s">
        <v>453</v>
      </c>
      <c r="H7211" s="710">
        <v>1.13</v>
      </c>
      <c r="I7211" s="256"/>
      <c r="J7211" s="67">
        <f t="shared" ref="J7211:J7227" si="429">IF(B7211="SLD",D7211*E7211,-D7211*E7211)-H7211</f>
        <v>6924.37</v>
      </c>
      <c r="L7211" s="70"/>
      <c r="M7211" s="934"/>
      <c r="N7211" s="94"/>
      <c r="O7211" s="94"/>
      <c r="P7211" s="94"/>
      <c r="Q7211" s="94"/>
      <c r="R7211" s="94"/>
      <c r="S7211" s="94"/>
      <c r="T7211" s="94"/>
      <c r="U7211" s="94"/>
      <c r="V7211" s="94"/>
      <c r="W7211" s="94"/>
      <c r="X7211" s="94"/>
      <c r="Y7211" s="94"/>
      <c r="Z7211" s="94"/>
      <c r="AA7211" s="94"/>
      <c r="AB7211" s="94"/>
      <c r="AC7211" s="94"/>
      <c r="AD7211" s="94"/>
      <c r="AE7211" s="94"/>
      <c r="AF7211" s="94"/>
      <c r="AG7211" s="94"/>
      <c r="AH7211" s="94"/>
    </row>
    <row r="7212" ht="12.75" hidden="1" customHeight="1" outlineLevel="1">
      <c r="A7212" s="122">
        <v>42223.0</v>
      </c>
      <c r="B7212" s="32" t="s">
        <v>343</v>
      </c>
      <c r="C7212" s="32" t="s">
        <v>1056</v>
      </c>
      <c r="D7212" s="32">
        <v>30.0</v>
      </c>
      <c r="E7212" s="94">
        <v>241.94</v>
      </c>
      <c r="F7212" s="982">
        <v>0.39818287037037037</v>
      </c>
      <c r="G7212" s="32" t="s">
        <v>453</v>
      </c>
      <c r="H7212" s="710">
        <v>1.0</v>
      </c>
      <c r="I7212" s="256"/>
      <c r="J7212" s="67">
        <f t="shared" si="429"/>
        <v>-7259.2</v>
      </c>
      <c r="L7212" s="70"/>
      <c r="M7212" s="934"/>
      <c r="N7212" s="94"/>
      <c r="O7212" s="94"/>
      <c r="P7212" s="94"/>
      <c r="Q7212" s="94"/>
      <c r="R7212" s="94"/>
      <c r="S7212" s="94"/>
      <c r="T7212" s="94"/>
      <c r="U7212" s="94"/>
      <c r="V7212" s="94"/>
      <c r="W7212" s="94"/>
      <c r="X7212" s="94"/>
      <c r="Y7212" s="94"/>
      <c r="Z7212" s="94"/>
      <c r="AA7212" s="94"/>
      <c r="AB7212" s="94"/>
      <c r="AC7212" s="94"/>
      <c r="AD7212" s="94"/>
      <c r="AE7212" s="94"/>
      <c r="AF7212" s="94"/>
      <c r="AG7212" s="94"/>
      <c r="AH7212" s="94"/>
    </row>
    <row r="7213" ht="12.75" hidden="1" customHeight="1" outlineLevel="1">
      <c r="A7213" s="122">
        <v>42223.0</v>
      </c>
      <c r="B7213" s="32" t="s">
        <v>347</v>
      </c>
      <c r="C7213" s="32" t="s">
        <v>1061</v>
      </c>
      <c r="D7213" s="32">
        <v>200.0</v>
      </c>
      <c r="E7213" s="94">
        <v>46.01</v>
      </c>
      <c r="F7213" s="982">
        <v>0.39868055555555554</v>
      </c>
      <c r="G7213" s="32" t="s">
        <v>453</v>
      </c>
      <c r="H7213" s="710">
        <v>1.17</v>
      </c>
      <c r="I7213" s="256"/>
      <c r="J7213" s="67">
        <f t="shared" si="429"/>
        <v>9200.83</v>
      </c>
      <c r="L7213" s="70"/>
      <c r="M7213" s="934"/>
      <c r="N7213" s="94"/>
      <c r="O7213" s="94"/>
      <c r="P7213" s="94"/>
      <c r="Q7213" s="94"/>
      <c r="R7213" s="94"/>
      <c r="S7213" s="94"/>
      <c r="T7213" s="94"/>
      <c r="U7213" s="94"/>
      <c r="V7213" s="94"/>
      <c r="W7213" s="94"/>
      <c r="X7213" s="94"/>
      <c r="Y7213" s="94"/>
      <c r="Z7213" s="94"/>
      <c r="AA7213" s="94"/>
      <c r="AB7213" s="94"/>
      <c r="AC7213" s="94"/>
      <c r="AD7213" s="94"/>
      <c r="AE7213" s="94"/>
      <c r="AF7213" s="94"/>
      <c r="AG7213" s="94"/>
      <c r="AH7213" s="94"/>
    </row>
    <row r="7214" ht="12.75" hidden="1" customHeight="1" outlineLevel="1">
      <c r="A7214" s="122">
        <v>42223.0</v>
      </c>
      <c r="B7214" s="32" t="s">
        <v>347</v>
      </c>
      <c r="C7214" s="32" t="s">
        <v>3024</v>
      </c>
      <c r="D7214" s="32">
        <v>250.0</v>
      </c>
      <c r="E7214" s="94">
        <v>23.172</v>
      </c>
      <c r="F7214" s="982">
        <v>0.4073726851851852</v>
      </c>
      <c r="G7214" s="32" t="s">
        <v>453</v>
      </c>
      <c r="H7214" s="710">
        <v>1.31</v>
      </c>
      <c r="I7214" s="256"/>
      <c r="J7214" s="67">
        <f t="shared" si="429"/>
        <v>5791.69</v>
      </c>
      <c r="L7214" s="70"/>
      <c r="M7214" s="934"/>
      <c r="N7214" s="94"/>
      <c r="O7214" s="94"/>
      <c r="P7214" s="94"/>
      <c r="Q7214" s="94"/>
      <c r="R7214" s="94"/>
      <c r="S7214" s="94"/>
      <c r="T7214" s="94"/>
      <c r="U7214" s="94"/>
      <c r="V7214" s="94"/>
      <c r="W7214" s="94"/>
      <c r="X7214" s="94"/>
      <c r="Y7214" s="94"/>
      <c r="Z7214" s="94"/>
      <c r="AA7214" s="94"/>
      <c r="AB7214" s="94"/>
      <c r="AC7214" s="94"/>
      <c r="AD7214" s="94"/>
      <c r="AE7214" s="94"/>
      <c r="AF7214" s="94"/>
      <c r="AG7214" s="94"/>
      <c r="AH7214" s="94"/>
    </row>
    <row r="7215" ht="12.75" hidden="1" customHeight="1" outlineLevel="1">
      <c r="A7215" s="122">
        <v>42223.0</v>
      </c>
      <c r="B7215" s="32" t="s">
        <v>347</v>
      </c>
      <c r="C7215" s="32" t="s">
        <v>1781</v>
      </c>
      <c r="D7215" s="32">
        <v>500.0</v>
      </c>
      <c r="E7215" s="94">
        <v>7.14</v>
      </c>
      <c r="F7215" s="982">
        <v>0.4803587962962963</v>
      </c>
      <c r="G7215" s="32" t="s">
        <v>453</v>
      </c>
      <c r="H7215" s="710">
        <v>2.57</v>
      </c>
      <c r="I7215" s="256"/>
      <c r="J7215" s="67">
        <f t="shared" si="429"/>
        <v>3567.43</v>
      </c>
      <c r="L7215" s="70"/>
      <c r="M7215" s="934"/>
      <c r="N7215" s="94"/>
      <c r="O7215" s="94"/>
      <c r="P7215" s="94"/>
      <c r="Q7215" s="94"/>
      <c r="R7215" s="94"/>
      <c r="S7215" s="94"/>
      <c r="T7215" s="94"/>
      <c r="U7215" s="94"/>
      <c r="V7215" s="94"/>
      <c r="W7215" s="94"/>
      <c r="X7215" s="94"/>
      <c r="Y7215" s="94"/>
      <c r="Z7215" s="94"/>
      <c r="AA7215" s="94"/>
      <c r="AB7215" s="94"/>
      <c r="AC7215" s="94"/>
      <c r="AD7215" s="94"/>
      <c r="AE7215" s="94"/>
      <c r="AF7215" s="94"/>
      <c r="AG7215" s="94"/>
      <c r="AH7215" s="94"/>
    </row>
    <row r="7216" ht="12.75" hidden="1" customHeight="1" outlineLevel="1">
      <c r="A7216" s="122">
        <v>42223.0</v>
      </c>
      <c r="B7216" s="32" t="s">
        <v>343</v>
      </c>
      <c r="C7216" s="32" t="s">
        <v>2342</v>
      </c>
      <c r="D7216" s="32">
        <v>150.0</v>
      </c>
      <c r="E7216" s="94">
        <v>55.51</v>
      </c>
      <c r="F7216" s="982">
        <v>0.4824189814814815</v>
      </c>
      <c r="G7216" s="32" t="s">
        <v>453</v>
      </c>
      <c r="H7216" s="710">
        <v>1.0</v>
      </c>
      <c r="I7216" s="256"/>
      <c r="J7216" s="67">
        <f t="shared" si="429"/>
        <v>-8327.5</v>
      </c>
      <c r="L7216" s="70"/>
      <c r="M7216" s="934"/>
      <c r="N7216" s="94"/>
      <c r="O7216" s="94"/>
      <c r="P7216" s="94"/>
      <c r="Q7216" s="94"/>
      <c r="R7216" s="94"/>
      <c r="S7216" s="94"/>
      <c r="T7216" s="94"/>
      <c r="U7216" s="94"/>
      <c r="V7216" s="94"/>
      <c r="W7216" s="94"/>
      <c r="X7216" s="94"/>
      <c r="Y7216" s="94"/>
      <c r="Z7216" s="94"/>
      <c r="AA7216" s="94"/>
      <c r="AB7216" s="94"/>
      <c r="AC7216" s="94"/>
      <c r="AD7216" s="94"/>
      <c r="AE7216" s="94"/>
      <c r="AF7216" s="94"/>
      <c r="AG7216" s="94"/>
      <c r="AH7216" s="94"/>
    </row>
    <row r="7217" ht="12.75" hidden="1" customHeight="1" outlineLevel="1">
      <c r="A7217" s="122">
        <v>42223.0</v>
      </c>
      <c r="B7217" s="32" t="s">
        <v>347</v>
      </c>
      <c r="C7217" s="32" t="s">
        <v>3088</v>
      </c>
      <c r="D7217" s="32">
        <v>350.0</v>
      </c>
      <c r="E7217" s="94">
        <v>18.131</v>
      </c>
      <c r="F7217" s="982">
        <v>0.5102430555555556</v>
      </c>
      <c r="G7217" s="32" t="s">
        <v>453</v>
      </c>
      <c r="H7217" s="710">
        <v>1.52</v>
      </c>
      <c r="I7217" s="256"/>
      <c r="J7217" s="67">
        <f t="shared" si="429"/>
        <v>6344.33</v>
      </c>
      <c r="L7217" s="70"/>
      <c r="M7217" s="934"/>
      <c r="N7217" s="94"/>
      <c r="O7217" s="94"/>
      <c r="P7217" s="94"/>
      <c r="Q7217" s="94"/>
      <c r="R7217" s="94"/>
      <c r="S7217" s="94"/>
      <c r="T7217" s="94"/>
      <c r="U7217" s="94"/>
      <c r="V7217" s="94"/>
      <c r="W7217" s="94"/>
      <c r="X7217" s="94"/>
      <c r="Y7217" s="94"/>
      <c r="Z7217" s="94"/>
      <c r="AA7217" s="94"/>
      <c r="AB7217" s="94"/>
      <c r="AC7217" s="94"/>
      <c r="AD7217" s="94"/>
      <c r="AE7217" s="94"/>
      <c r="AF7217" s="94"/>
      <c r="AG7217" s="94"/>
      <c r="AH7217" s="94"/>
    </row>
    <row r="7218" ht="12.75" hidden="1" customHeight="1" outlineLevel="1">
      <c r="A7218" s="122">
        <v>42223.0</v>
      </c>
      <c r="B7218" s="32" t="s">
        <v>343</v>
      </c>
      <c r="C7218" s="32" t="s">
        <v>1400</v>
      </c>
      <c r="D7218" s="32">
        <v>125.0</v>
      </c>
      <c r="E7218" s="94">
        <v>79.88</v>
      </c>
      <c r="F7218" s="982">
        <v>0.6131481481481481</v>
      </c>
      <c r="G7218" s="32" t="s">
        <v>453</v>
      </c>
      <c r="H7218" s="710">
        <v>1.0</v>
      </c>
      <c r="I7218" s="256"/>
      <c r="J7218" s="67">
        <f t="shared" si="429"/>
        <v>-9986</v>
      </c>
      <c r="L7218" s="70"/>
      <c r="M7218" s="934"/>
      <c r="N7218" s="94"/>
      <c r="O7218" s="94"/>
      <c r="P7218" s="94"/>
      <c r="Q7218" s="94"/>
      <c r="R7218" s="94"/>
      <c r="S7218" s="94"/>
      <c r="T7218" s="94"/>
      <c r="U7218" s="94"/>
      <c r="V7218" s="94"/>
      <c r="W7218" s="94"/>
      <c r="X7218" s="94"/>
      <c r="Y7218" s="94"/>
      <c r="Z7218" s="94"/>
      <c r="AA7218" s="94"/>
      <c r="AB7218" s="94"/>
      <c r="AC7218" s="94"/>
      <c r="AD7218" s="94"/>
      <c r="AE7218" s="94"/>
      <c r="AF7218" s="94"/>
      <c r="AG7218" s="94"/>
      <c r="AH7218" s="94"/>
    </row>
    <row r="7219" ht="12.75" hidden="1" customHeight="1" outlineLevel="1">
      <c r="A7219" s="122">
        <v>42223.0</v>
      </c>
      <c r="B7219" s="32" t="s">
        <v>347</v>
      </c>
      <c r="C7219" s="32" t="s">
        <v>2048</v>
      </c>
      <c r="D7219" s="32">
        <v>500.0</v>
      </c>
      <c r="E7219" s="94">
        <v>8.373</v>
      </c>
      <c r="F7219" s="982">
        <v>0.6194675925925925</v>
      </c>
      <c r="G7219" s="32" t="s">
        <v>453</v>
      </c>
      <c r="H7219" s="710">
        <v>2.48</v>
      </c>
      <c r="I7219" s="256"/>
      <c r="J7219" s="67">
        <f t="shared" si="429"/>
        <v>4184.02</v>
      </c>
      <c r="L7219" s="70"/>
      <c r="M7219" s="934"/>
      <c r="N7219" s="94"/>
      <c r="O7219" s="94"/>
      <c r="P7219" s="94"/>
      <c r="Q7219" s="94"/>
      <c r="R7219" s="94"/>
      <c r="S7219" s="94"/>
      <c r="T7219" s="94"/>
      <c r="U7219" s="94"/>
      <c r="V7219" s="94"/>
      <c r="W7219" s="94"/>
      <c r="X7219" s="94"/>
      <c r="Y7219" s="94"/>
      <c r="Z7219" s="94"/>
      <c r="AA7219" s="94"/>
      <c r="AB7219" s="94"/>
      <c r="AC7219" s="94"/>
      <c r="AD7219" s="94"/>
      <c r="AE7219" s="94"/>
      <c r="AF7219" s="94"/>
      <c r="AG7219" s="94"/>
      <c r="AH7219" s="94"/>
    </row>
    <row r="7220" ht="12.75" hidden="1" customHeight="1" outlineLevel="1">
      <c r="A7220" s="122">
        <v>42223.0</v>
      </c>
      <c r="B7220" s="32" t="s">
        <v>347</v>
      </c>
      <c r="C7220" s="32" t="s">
        <v>1781</v>
      </c>
      <c r="D7220" s="32">
        <v>250.0</v>
      </c>
      <c r="E7220" s="94">
        <v>7.0601</v>
      </c>
      <c r="F7220" s="982">
        <v>0.6206481481481482</v>
      </c>
      <c r="G7220" s="32" t="s">
        <v>453</v>
      </c>
      <c r="H7220" s="710">
        <v>1.03</v>
      </c>
      <c r="I7220" s="256"/>
      <c r="J7220" s="67">
        <f t="shared" si="429"/>
        <v>1763.995</v>
      </c>
      <c r="L7220" s="70"/>
      <c r="M7220" s="934"/>
      <c r="N7220" s="94"/>
      <c r="O7220" s="94"/>
      <c r="P7220" s="94"/>
      <c r="Q7220" s="94"/>
      <c r="R7220" s="94"/>
      <c r="S7220" s="94"/>
      <c r="T7220" s="94"/>
      <c r="U7220" s="94"/>
      <c r="V7220" s="94"/>
      <c r="W7220" s="94"/>
      <c r="X7220" s="94"/>
      <c r="Y7220" s="94"/>
      <c r="Z7220" s="94"/>
      <c r="AA7220" s="94"/>
      <c r="AB7220" s="94"/>
      <c r="AC7220" s="94"/>
      <c r="AD7220" s="94"/>
      <c r="AE7220" s="94"/>
      <c r="AF7220" s="94"/>
      <c r="AG7220" s="94"/>
      <c r="AH7220" s="94"/>
    </row>
    <row r="7221" ht="12.75" hidden="1" customHeight="1" outlineLevel="1">
      <c r="A7221" s="122">
        <v>42223.0</v>
      </c>
      <c r="B7221" s="32" t="s">
        <v>347</v>
      </c>
      <c r="C7221" s="32" t="s">
        <v>1781</v>
      </c>
      <c r="D7221" s="32">
        <v>250.0</v>
      </c>
      <c r="E7221" s="94">
        <v>7.01</v>
      </c>
      <c r="F7221" s="982">
        <v>0.630462962962963</v>
      </c>
      <c r="G7221" s="32" t="s">
        <v>453</v>
      </c>
      <c r="H7221" s="710">
        <v>1.03</v>
      </c>
      <c r="I7221" s="256"/>
      <c r="J7221" s="67">
        <f t="shared" si="429"/>
        <v>1751.47</v>
      </c>
      <c r="L7221" s="70"/>
      <c r="M7221" s="934"/>
      <c r="N7221" s="94"/>
      <c r="O7221" s="94"/>
      <c r="P7221" s="94"/>
      <c r="Q7221" s="94"/>
      <c r="R7221" s="94"/>
      <c r="S7221" s="94"/>
      <c r="T7221" s="94"/>
      <c r="U7221" s="94"/>
      <c r="V7221" s="94"/>
      <c r="W7221" s="94"/>
      <c r="X7221" s="94"/>
      <c r="Y7221" s="94"/>
      <c r="Z7221" s="94"/>
      <c r="AA7221" s="94"/>
      <c r="AB7221" s="94"/>
      <c r="AC7221" s="94"/>
      <c r="AD7221" s="94"/>
      <c r="AE7221" s="94"/>
      <c r="AF7221" s="94"/>
      <c r="AG7221" s="94"/>
      <c r="AH7221" s="94"/>
    </row>
    <row r="7222" ht="12.75" hidden="1" customHeight="1" outlineLevel="1">
      <c r="A7222" s="122">
        <v>42223.0</v>
      </c>
      <c r="B7222" s="32" t="s">
        <v>343</v>
      </c>
      <c r="C7222" s="32" t="s">
        <v>2177</v>
      </c>
      <c r="D7222" s="32">
        <v>25.0</v>
      </c>
      <c r="E7222" s="94">
        <v>245.11</v>
      </c>
      <c r="F7222" s="982">
        <v>0.6317013888888889</v>
      </c>
      <c r="G7222" s="32" t="s">
        <v>453</v>
      </c>
      <c r="H7222" s="710">
        <v>1.0</v>
      </c>
      <c r="I7222" s="256"/>
      <c r="J7222" s="67">
        <f t="shared" si="429"/>
        <v>-6128.75</v>
      </c>
      <c r="L7222" s="70"/>
      <c r="M7222" s="934"/>
      <c r="N7222" s="94"/>
      <c r="O7222" s="94"/>
      <c r="P7222" s="94"/>
      <c r="Q7222" s="94"/>
      <c r="R7222" s="94"/>
      <c r="S7222" s="94"/>
      <c r="T7222" s="94"/>
      <c r="U7222" s="94"/>
      <c r="V7222" s="94"/>
      <c r="W7222" s="94"/>
      <c r="X7222" s="94"/>
      <c r="Y7222" s="94"/>
      <c r="Z7222" s="94"/>
      <c r="AA7222" s="94"/>
      <c r="AB7222" s="94"/>
      <c r="AC7222" s="94"/>
      <c r="AD7222" s="94"/>
      <c r="AE7222" s="94"/>
      <c r="AF7222" s="94"/>
      <c r="AG7222" s="94"/>
      <c r="AH7222" s="94"/>
    </row>
    <row r="7223" ht="12.75" hidden="1" customHeight="1" outlineLevel="1">
      <c r="A7223" s="122">
        <v>42223.0</v>
      </c>
      <c r="B7223" s="32" t="s">
        <v>343</v>
      </c>
      <c r="C7223" s="32" t="s">
        <v>1061</v>
      </c>
      <c r="D7223" s="32">
        <v>400.0</v>
      </c>
      <c r="E7223" s="94">
        <v>46.479</v>
      </c>
      <c r="F7223" s="982">
        <v>0.6380555555555556</v>
      </c>
      <c r="G7223" s="32" t="s">
        <v>453</v>
      </c>
      <c r="H7223" s="710">
        <v>1.6</v>
      </c>
      <c r="I7223" s="256"/>
      <c r="J7223" s="67">
        <f t="shared" si="429"/>
        <v>-18593.2</v>
      </c>
      <c r="L7223" s="70"/>
      <c r="M7223" s="934"/>
      <c r="N7223" s="94"/>
      <c r="O7223" s="94"/>
      <c r="P7223" s="94"/>
      <c r="Q7223" s="94"/>
      <c r="R7223" s="94"/>
      <c r="S7223" s="94"/>
      <c r="T7223" s="94"/>
      <c r="U7223" s="94"/>
      <c r="V7223" s="94"/>
      <c r="W7223" s="94"/>
      <c r="X7223" s="94"/>
      <c r="Y7223" s="94"/>
      <c r="Z7223" s="94"/>
      <c r="AA7223" s="94"/>
      <c r="AB7223" s="94"/>
      <c r="AC7223" s="94"/>
      <c r="AD7223" s="94"/>
      <c r="AE7223" s="94"/>
      <c r="AF7223" s="94"/>
      <c r="AG7223" s="94"/>
      <c r="AH7223" s="94"/>
    </row>
    <row r="7224" ht="12.75" hidden="1" customHeight="1" outlineLevel="1">
      <c r="A7224" s="122">
        <v>42223.0</v>
      </c>
      <c r="B7224" s="32" t="s">
        <v>343</v>
      </c>
      <c r="C7224" s="32" t="s">
        <v>2853</v>
      </c>
      <c r="D7224" s="32">
        <v>150.0</v>
      </c>
      <c r="E7224" s="94">
        <v>22.31</v>
      </c>
      <c r="F7224" s="982">
        <v>0.6429513888888889</v>
      </c>
      <c r="G7224" s="32" t="s">
        <v>453</v>
      </c>
      <c r="H7224" s="710">
        <v>1.0</v>
      </c>
      <c r="I7224" s="256"/>
      <c r="J7224" s="67">
        <f t="shared" si="429"/>
        <v>-3347.5</v>
      </c>
      <c r="L7224" s="70"/>
      <c r="M7224" s="934"/>
      <c r="N7224" s="94"/>
      <c r="O7224" s="94"/>
      <c r="P7224" s="94"/>
      <c r="Q7224" s="94"/>
      <c r="R7224" s="94"/>
      <c r="S7224" s="94"/>
      <c r="T7224" s="94"/>
      <c r="U7224" s="94"/>
      <c r="V7224" s="94"/>
      <c r="W7224" s="94"/>
      <c r="X7224" s="94"/>
      <c r="Y7224" s="94"/>
      <c r="Z7224" s="94"/>
      <c r="AA7224" s="94"/>
      <c r="AB7224" s="94"/>
      <c r="AC7224" s="94"/>
      <c r="AD7224" s="94"/>
      <c r="AE7224" s="94"/>
      <c r="AF7224" s="94"/>
      <c r="AG7224" s="94"/>
      <c r="AH7224" s="94"/>
    </row>
    <row r="7225" ht="12.75" hidden="1" customHeight="1" outlineLevel="1">
      <c r="A7225" s="122">
        <v>42223.0</v>
      </c>
      <c r="B7225" s="32" t="s">
        <v>347</v>
      </c>
      <c r="C7225" s="32" t="s">
        <v>1781</v>
      </c>
      <c r="D7225" s="32">
        <v>250.0</v>
      </c>
      <c r="E7225" s="94">
        <v>6.98</v>
      </c>
      <c r="F7225" s="982">
        <v>0.6483680555555555</v>
      </c>
      <c r="G7225" s="32" t="s">
        <v>453</v>
      </c>
      <c r="H7225" s="710">
        <v>1.03</v>
      </c>
      <c r="I7225" s="256"/>
      <c r="J7225" s="67">
        <f t="shared" si="429"/>
        <v>1743.97</v>
      </c>
      <c r="L7225" s="70"/>
      <c r="M7225" s="934"/>
      <c r="N7225" s="94"/>
      <c r="O7225" s="94"/>
      <c r="P7225" s="94"/>
      <c r="Q7225" s="94"/>
      <c r="R7225" s="94"/>
      <c r="S7225" s="94"/>
      <c r="T7225" s="94"/>
      <c r="U7225" s="94"/>
      <c r="V7225" s="94"/>
      <c r="W7225" s="94"/>
      <c r="X7225" s="94"/>
      <c r="Y7225" s="94"/>
      <c r="Z7225" s="94"/>
      <c r="AA7225" s="94"/>
      <c r="AB7225" s="94"/>
      <c r="AC7225" s="94"/>
      <c r="AD7225" s="94"/>
      <c r="AE7225" s="94"/>
      <c r="AF7225" s="94"/>
      <c r="AG7225" s="94"/>
      <c r="AH7225" s="94"/>
    </row>
    <row r="7226" ht="12.75" hidden="1" customHeight="1" outlineLevel="1">
      <c r="A7226" s="122">
        <v>42223.0</v>
      </c>
      <c r="B7226" s="32" t="s">
        <v>347</v>
      </c>
      <c r="C7226" s="32" t="s">
        <v>1781</v>
      </c>
      <c r="D7226" s="32">
        <v>250.0</v>
      </c>
      <c r="E7226" s="94">
        <v>6.98</v>
      </c>
      <c r="F7226" s="982">
        <v>0.6486574074074074</v>
      </c>
      <c r="G7226" s="32" t="s">
        <v>453</v>
      </c>
      <c r="H7226" s="710">
        <v>1.03</v>
      </c>
      <c r="I7226" s="256"/>
      <c r="J7226" s="67">
        <f t="shared" si="429"/>
        <v>1743.97</v>
      </c>
      <c r="L7226" s="70"/>
      <c r="M7226" s="934"/>
      <c r="N7226" s="94"/>
      <c r="O7226" s="94"/>
      <c r="P7226" s="94"/>
      <c r="Q7226" s="94"/>
      <c r="R7226" s="94"/>
      <c r="S7226" s="94"/>
      <c r="T7226" s="94"/>
      <c r="U7226" s="94"/>
      <c r="V7226" s="94"/>
      <c r="W7226" s="94"/>
      <c r="X7226" s="94"/>
      <c r="Y7226" s="94"/>
      <c r="Z7226" s="94"/>
      <c r="AA7226" s="94"/>
      <c r="AB7226" s="94"/>
      <c r="AC7226" s="94"/>
      <c r="AD7226" s="94"/>
      <c r="AE7226" s="94"/>
      <c r="AF7226" s="94"/>
      <c r="AG7226" s="94"/>
      <c r="AH7226" s="94"/>
    </row>
    <row r="7227" ht="12.75" hidden="1" customHeight="1" outlineLevel="1">
      <c r="A7227" s="122">
        <v>42223.0</v>
      </c>
      <c r="B7227" s="32" t="s">
        <v>343</v>
      </c>
      <c r="C7227" s="32" t="s">
        <v>2853</v>
      </c>
      <c r="D7227" s="32">
        <v>150.0</v>
      </c>
      <c r="E7227" s="94">
        <v>22.41</v>
      </c>
      <c r="F7227" s="982">
        <v>0.6488194444444444</v>
      </c>
      <c r="G7227" s="32" t="s">
        <v>453</v>
      </c>
      <c r="H7227" s="710">
        <v>1.0</v>
      </c>
      <c r="I7227" s="256"/>
      <c r="J7227" s="67">
        <f t="shared" si="429"/>
        <v>-3362.5</v>
      </c>
      <c r="L7227" s="70"/>
      <c r="M7227" s="934"/>
      <c r="N7227" s="94"/>
      <c r="O7227" s="94"/>
      <c r="P7227" s="94"/>
      <c r="Q7227" s="94"/>
      <c r="R7227" s="94"/>
      <c r="S7227" s="94"/>
      <c r="T7227" s="94"/>
      <c r="U7227" s="94"/>
      <c r="V7227" s="94"/>
      <c r="W7227" s="94"/>
      <c r="X7227" s="94"/>
      <c r="Y7227" s="94"/>
      <c r="Z7227" s="94"/>
      <c r="AA7227" s="94"/>
      <c r="AB7227" s="94"/>
      <c r="AC7227" s="94"/>
      <c r="AD7227" s="94"/>
      <c r="AE7227" s="94"/>
      <c r="AF7227" s="94"/>
      <c r="AG7227" s="94"/>
      <c r="AH7227" s="94"/>
    </row>
    <row r="7228" ht="12.75" hidden="1" customHeight="1" outlineLevel="1">
      <c r="A7228" s="122">
        <v>42223.0</v>
      </c>
      <c r="B7228" s="974"/>
      <c r="C7228" s="32" t="s">
        <v>339</v>
      </c>
      <c r="D7228" s="708"/>
      <c r="E7228" s="195"/>
      <c r="F7228" s="709"/>
      <c r="G7228" s="195"/>
      <c r="H7228" s="710"/>
      <c r="I7228" s="256"/>
      <c r="J7228" s="67"/>
      <c r="K7228" s="968" t="s">
        <v>3102</v>
      </c>
      <c r="L7228" s="934"/>
      <c r="M7228" s="934"/>
    </row>
    <row r="7229" ht="12.75" hidden="1" customHeight="1" outlineLevel="1">
      <c r="A7229" s="122">
        <v>42223.0</v>
      </c>
      <c r="B7229" s="974"/>
      <c r="C7229" s="32" t="s">
        <v>429</v>
      </c>
      <c r="D7229" s="708"/>
      <c r="E7229" s="195"/>
      <c r="F7229" s="709"/>
      <c r="G7229" s="195"/>
      <c r="H7229" s="710"/>
      <c r="I7229" s="256"/>
      <c r="J7229" s="67"/>
      <c r="K7229" s="9" t="s">
        <v>3049</v>
      </c>
      <c r="L7229" s="934"/>
      <c r="M7229" s="934"/>
    </row>
    <row r="7230" ht="12.75" hidden="1" customHeight="1" outlineLevel="1">
      <c r="A7230" s="122">
        <v>42223.0</v>
      </c>
      <c r="B7230" s="974"/>
      <c r="C7230" s="32" t="s">
        <v>431</v>
      </c>
      <c r="D7230" s="708"/>
      <c r="E7230" s="195"/>
      <c r="F7230" s="709"/>
      <c r="G7230" s="195"/>
      <c r="H7230" s="710"/>
      <c r="I7230" s="256"/>
      <c r="J7230" s="67"/>
      <c r="K7230" s="7" t="s">
        <v>1126</v>
      </c>
      <c r="L7230" s="934"/>
      <c r="M7230" s="934"/>
    </row>
    <row r="7231" ht="12.75" hidden="1" customHeight="1" outlineLevel="1">
      <c r="A7231" s="122">
        <v>42223.0</v>
      </c>
      <c r="B7231" s="974"/>
      <c r="C7231" s="32" t="s">
        <v>433</v>
      </c>
      <c r="D7231" s="708"/>
      <c r="E7231" s="195"/>
      <c r="F7231" s="709"/>
      <c r="G7231" s="195"/>
      <c r="H7231" s="710"/>
      <c r="I7231" s="256"/>
      <c r="J7231" s="67"/>
      <c r="K7231" s="7" t="s">
        <v>1103</v>
      </c>
      <c r="L7231" s="934"/>
      <c r="M7231" s="934"/>
    </row>
    <row r="7232" ht="12.75" hidden="1" customHeight="1" outlineLevel="1">
      <c r="A7232" s="122">
        <v>42223.0</v>
      </c>
      <c r="B7232" s="974"/>
      <c r="C7232" s="32" t="s">
        <v>435</v>
      </c>
      <c r="D7232" s="708"/>
      <c r="E7232" s="195"/>
      <c r="F7232" s="709"/>
      <c r="G7232" s="195"/>
      <c r="H7232" s="710"/>
      <c r="I7232" s="256"/>
      <c r="J7232" s="67"/>
      <c r="K7232" s="9" t="s">
        <v>2802</v>
      </c>
      <c r="L7232" s="934"/>
      <c r="M7232" s="934"/>
    </row>
    <row r="7233" ht="12.75" hidden="1" customHeight="1" outlineLevel="1">
      <c r="A7233" s="122">
        <v>42226.0</v>
      </c>
      <c r="B7233" s="32" t="s">
        <v>343</v>
      </c>
      <c r="C7233" s="32" t="s">
        <v>2342</v>
      </c>
      <c r="D7233" s="32">
        <v>100.0</v>
      </c>
      <c r="E7233" s="94">
        <v>57.17</v>
      </c>
      <c r="F7233" s="982">
        <v>0.3959722222222222</v>
      </c>
      <c r="G7233" s="32" t="s">
        <v>453</v>
      </c>
      <c r="H7233" s="710">
        <v>1.0</v>
      </c>
      <c r="I7233" s="256"/>
      <c r="J7233" s="67">
        <f t="shared" ref="J7233:J7240" si="430">IF(B7233="SLD",D7233*E7233,-D7233*E7233)-H7233</f>
        <v>-5718</v>
      </c>
      <c r="L7233" s="70"/>
      <c r="M7233" s="934"/>
      <c r="N7233" s="94"/>
      <c r="O7233" s="94"/>
      <c r="P7233" s="94"/>
      <c r="Q7233" s="94"/>
      <c r="R7233" s="94"/>
      <c r="S7233" s="94"/>
      <c r="T7233" s="94"/>
      <c r="U7233" s="94"/>
      <c r="V7233" s="94"/>
      <c r="W7233" s="94"/>
      <c r="X7233" s="94"/>
      <c r="Y7233" s="94"/>
      <c r="Z7233" s="94"/>
      <c r="AA7233" s="94"/>
      <c r="AB7233" s="94"/>
      <c r="AC7233" s="94"/>
      <c r="AD7233" s="94"/>
      <c r="AE7233" s="94"/>
      <c r="AF7233" s="94"/>
      <c r="AG7233" s="94"/>
      <c r="AH7233" s="94"/>
    </row>
    <row r="7234" ht="12.75" hidden="1" customHeight="1" outlineLevel="1">
      <c r="A7234" s="122">
        <v>42226.0</v>
      </c>
      <c r="B7234" s="32" t="s">
        <v>343</v>
      </c>
      <c r="C7234" s="32" t="s">
        <v>1060</v>
      </c>
      <c r="D7234" s="32">
        <v>200.0</v>
      </c>
      <c r="E7234" s="94">
        <v>45.51</v>
      </c>
      <c r="F7234" s="982">
        <v>0.39618055555555554</v>
      </c>
      <c r="G7234" s="32" t="s">
        <v>453</v>
      </c>
      <c r="H7234" s="710">
        <v>1.0</v>
      </c>
      <c r="I7234" s="256"/>
      <c r="J7234" s="67">
        <f t="shared" si="430"/>
        <v>-9103</v>
      </c>
      <c r="L7234" s="70"/>
      <c r="M7234" s="934"/>
      <c r="N7234" s="94"/>
      <c r="O7234" s="94"/>
      <c r="P7234" s="94"/>
      <c r="Q7234" s="94"/>
      <c r="R7234" s="94"/>
      <c r="S7234" s="94"/>
      <c r="T7234" s="94"/>
      <c r="U7234" s="94"/>
      <c r="V7234" s="94"/>
      <c r="W7234" s="94"/>
      <c r="X7234" s="94"/>
      <c r="Y7234" s="94"/>
      <c r="Z7234" s="94"/>
      <c r="AA7234" s="94"/>
      <c r="AB7234" s="94"/>
      <c r="AC7234" s="94"/>
      <c r="AD7234" s="94"/>
      <c r="AE7234" s="94"/>
      <c r="AF7234" s="94"/>
      <c r="AG7234" s="94"/>
      <c r="AH7234" s="94"/>
    </row>
    <row r="7235" ht="12.75" hidden="1" customHeight="1" outlineLevel="1">
      <c r="A7235" s="122">
        <v>42226.0</v>
      </c>
      <c r="B7235" s="32" t="s">
        <v>347</v>
      </c>
      <c r="C7235" s="32" t="s">
        <v>2048</v>
      </c>
      <c r="D7235" s="983">
        <v>1000.0</v>
      </c>
      <c r="E7235" s="94">
        <v>8.151</v>
      </c>
      <c r="F7235" s="982">
        <v>0.39649305555555553</v>
      </c>
      <c r="G7235" s="32" t="s">
        <v>453</v>
      </c>
      <c r="H7235" s="710">
        <v>4.15</v>
      </c>
      <c r="I7235" s="256"/>
      <c r="J7235" s="67">
        <f t="shared" si="430"/>
        <v>8146.85</v>
      </c>
      <c r="L7235" s="70"/>
      <c r="M7235" s="934"/>
      <c r="N7235" s="94"/>
      <c r="O7235" s="94"/>
      <c r="P7235" s="94"/>
      <c r="Q7235" s="94"/>
      <c r="R7235" s="94"/>
      <c r="S7235" s="94"/>
      <c r="T7235" s="94"/>
      <c r="U7235" s="94"/>
      <c r="V7235" s="94"/>
      <c r="W7235" s="94"/>
      <c r="X7235" s="94"/>
      <c r="Y7235" s="94"/>
      <c r="Z7235" s="94"/>
      <c r="AA7235" s="94"/>
      <c r="AB7235" s="94"/>
      <c r="AC7235" s="94"/>
      <c r="AD7235" s="94"/>
      <c r="AE7235" s="94"/>
      <c r="AF7235" s="94"/>
      <c r="AG7235" s="94"/>
      <c r="AH7235" s="94"/>
    </row>
    <row r="7236" ht="12.75" hidden="1" customHeight="1" outlineLevel="1">
      <c r="A7236" s="122">
        <v>42226.0</v>
      </c>
      <c r="B7236" s="32" t="s">
        <v>347</v>
      </c>
      <c r="C7236" s="32" t="s">
        <v>784</v>
      </c>
      <c r="D7236" s="983">
        <v>1000.0</v>
      </c>
      <c r="E7236" s="94">
        <v>5.29</v>
      </c>
      <c r="F7236" s="982">
        <v>0.3965972222222222</v>
      </c>
      <c r="G7236" s="32" t="s">
        <v>453</v>
      </c>
      <c r="H7236" s="710">
        <v>4.5</v>
      </c>
      <c r="I7236" s="256"/>
      <c r="J7236" s="67">
        <f t="shared" si="430"/>
        <v>5285.5</v>
      </c>
      <c r="L7236" s="70"/>
      <c r="M7236" s="934"/>
      <c r="N7236" s="94"/>
      <c r="O7236" s="94"/>
      <c r="P7236" s="94"/>
      <c r="Q7236" s="94"/>
      <c r="R7236" s="94"/>
      <c r="S7236" s="94"/>
      <c r="T7236" s="94"/>
      <c r="U7236" s="94"/>
      <c r="V7236" s="94"/>
      <c r="W7236" s="94"/>
      <c r="X7236" s="94"/>
      <c r="Y7236" s="94"/>
      <c r="Z7236" s="94"/>
      <c r="AA7236" s="94"/>
      <c r="AB7236" s="94"/>
      <c r="AC7236" s="94"/>
      <c r="AD7236" s="94"/>
      <c r="AE7236" s="94"/>
      <c r="AF7236" s="94"/>
      <c r="AG7236" s="94"/>
      <c r="AH7236" s="94"/>
    </row>
    <row r="7237" ht="12.75" hidden="1" customHeight="1" outlineLevel="1">
      <c r="A7237" s="122">
        <v>42226.0</v>
      </c>
      <c r="B7237" s="32" t="s">
        <v>347</v>
      </c>
      <c r="C7237" s="32" t="s">
        <v>790</v>
      </c>
      <c r="D7237" s="983">
        <v>1000.0</v>
      </c>
      <c r="E7237" s="94">
        <v>6.07</v>
      </c>
      <c r="F7237" s="982">
        <v>0.39666666666666667</v>
      </c>
      <c r="G7237" s="32" t="s">
        <v>453</v>
      </c>
      <c r="H7237" s="710">
        <v>5.11</v>
      </c>
      <c r="I7237" s="256"/>
      <c r="J7237" s="67">
        <f t="shared" si="430"/>
        <v>6064.89</v>
      </c>
      <c r="L7237" s="70"/>
      <c r="M7237" s="934"/>
      <c r="N7237" s="94"/>
      <c r="O7237" s="94"/>
      <c r="P7237" s="94"/>
      <c r="Q7237" s="94"/>
      <c r="R7237" s="94"/>
      <c r="S7237" s="94"/>
      <c r="T7237" s="94"/>
      <c r="U7237" s="94"/>
      <c r="V7237" s="94"/>
      <c r="W7237" s="94"/>
      <c r="X7237" s="94"/>
      <c r="Y7237" s="94"/>
      <c r="Z7237" s="94"/>
      <c r="AA7237" s="94"/>
      <c r="AB7237" s="94"/>
      <c r="AC7237" s="94"/>
      <c r="AD7237" s="94"/>
      <c r="AE7237" s="94"/>
      <c r="AF7237" s="94"/>
      <c r="AG7237" s="94"/>
      <c r="AH7237" s="94"/>
    </row>
    <row r="7238" ht="12.75" hidden="1" customHeight="1" outlineLevel="1">
      <c r="A7238" s="122">
        <v>42226.0</v>
      </c>
      <c r="B7238" s="32" t="s">
        <v>347</v>
      </c>
      <c r="C7238" s="32" t="s">
        <v>1839</v>
      </c>
      <c r="D7238" s="983">
        <v>1000.0</v>
      </c>
      <c r="E7238" s="94">
        <v>8.45</v>
      </c>
      <c r="F7238" s="982">
        <v>0.39707175925925925</v>
      </c>
      <c r="G7238" s="32" t="s">
        <v>453</v>
      </c>
      <c r="H7238" s="710">
        <v>4.16</v>
      </c>
      <c r="I7238" s="256"/>
      <c r="J7238" s="67">
        <f t="shared" si="430"/>
        <v>8445.84</v>
      </c>
      <c r="L7238" s="70"/>
      <c r="M7238" s="934"/>
      <c r="N7238" s="94"/>
      <c r="O7238" s="94"/>
      <c r="P7238" s="94"/>
      <c r="Q7238" s="94"/>
      <c r="R7238" s="94"/>
      <c r="S7238" s="94"/>
      <c r="T7238" s="94"/>
      <c r="U7238" s="94"/>
      <c r="V7238" s="94"/>
      <c r="W7238" s="94"/>
      <c r="X7238" s="94"/>
      <c r="Y7238" s="94"/>
      <c r="Z7238" s="94"/>
      <c r="AA7238" s="94"/>
      <c r="AB7238" s="94"/>
      <c r="AC7238" s="94"/>
      <c r="AD7238" s="94"/>
      <c r="AE7238" s="94"/>
      <c r="AF7238" s="94"/>
      <c r="AG7238" s="94"/>
      <c r="AH7238" s="94"/>
    </row>
    <row r="7239" ht="12.75" hidden="1" customHeight="1" outlineLevel="1">
      <c r="A7239" s="122">
        <v>42226.0</v>
      </c>
      <c r="B7239" s="32" t="s">
        <v>347</v>
      </c>
      <c r="C7239" s="32" t="s">
        <v>2090</v>
      </c>
      <c r="D7239" s="983">
        <v>1000.0</v>
      </c>
      <c r="E7239" s="94">
        <v>7.18</v>
      </c>
      <c r="F7239" s="982">
        <v>0.39828703703703705</v>
      </c>
      <c r="G7239" s="32" t="s">
        <v>453</v>
      </c>
      <c r="H7239" s="710">
        <v>5.13</v>
      </c>
      <c r="I7239" s="256"/>
      <c r="J7239" s="67">
        <f t="shared" si="430"/>
        <v>7174.87</v>
      </c>
      <c r="L7239" s="70"/>
      <c r="M7239" s="934"/>
      <c r="N7239" s="94"/>
      <c r="O7239" s="94"/>
      <c r="P7239" s="94"/>
      <c r="Q7239" s="94"/>
      <c r="R7239" s="94"/>
      <c r="S7239" s="94"/>
      <c r="T7239" s="94"/>
      <c r="U7239" s="94"/>
      <c r="V7239" s="94"/>
      <c r="W7239" s="94"/>
      <c r="X7239" s="94"/>
      <c r="Y7239" s="94"/>
      <c r="Z7239" s="94"/>
      <c r="AA7239" s="94"/>
      <c r="AB7239" s="94"/>
      <c r="AC7239" s="94"/>
      <c r="AD7239" s="94"/>
      <c r="AE7239" s="94"/>
      <c r="AF7239" s="94"/>
      <c r="AG7239" s="94"/>
      <c r="AH7239" s="94"/>
    </row>
    <row r="7240" ht="12.75" hidden="1" customHeight="1" outlineLevel="1">
      <c r="A7240" s="122">
        <v>42226.0</v>
      </c>
      <c r="B7240" s="32" t="s">
        <v>347</v>
      </c>
      <c r="C7240" s="32" t="s">
        <v>3024</v>
      </c>
      <c r="D7240" s="32">
        <v>200.0</v>
      </c>
      <c r="E7240" s="94">
        <v>23.2825</v>
      </c>
      <c r="F7240" s="982">
        <v>0.40405092592592595</v>
      </c>
      <c r="G7240" s="32" t="s">
        <v>453</v>
      </c>
      <c r="H7240" s="710">
        <v>1.09</v>
      </c>
      <c r="I7240" s="256"/>
      <c r="J7240" s="67">
        <f t="shared" si="430"/>
        <v>4655.41</v>
      </c>
      <c r="L7240" s="70"/>
      <c r="M7240" s="934"/>
      <c r="N7240" s="94"/>
      <c r="O7240" s="94"/>
      <c r="P7240" s="94"/>
      <c r="Q7240" s="94"/>
      <c r="R7240" s="94"/>
      <c r="S7240" s="94"/>
      <c r="T7240" s="94"/>
      <c r="U7240" s="94"/>
      <c r="V7240" s="94"/>
      <c r="W7240" s="94"/>
      <c r="X7240" s="94"/>
      <c r="Y7240" s="94"/>
      <c r="Z7240" s="94"/>
      <c r="AA7240" s="94"/>
      <c r="AB7240" s="94"/>
      <c r="AC7240" s="94"/>
      <c r="AD7240" s="94"/>
      <c r="AE7240" s="94"/>
      <c r="AF7240" s="94"/>
      <c r="AG7240" s="94"/>
      <c r="AH7240" s="94"/>
    </row>
    <row r="7241" ht="12.75" hidden="1" customHeight="1" outlineLevel="1">
      <c r="A7241" s="122">
        <v>42226.0</v>
      </c>
      <c r="B7241" s="974"/>
      <c r="C7241" s="32" t="s">
        <v>339</v>
      </c>
      <c r="D7241" s="708"/>
      <c r="E7241" s="195"/>
      <c r="F7241" s="709"/>
      <c r="G7241" s="195"/>
      <c r="H7241" s="710"/>
      <c r="I7241" s="256"/>
      <c r="J7241" s="67"/>
      <c r="K7241" s="968" t="s">
        <v>3103</v>
      </c>
      <c r="L7241" s="934"/>
      <c r="M7241" s="934"/>
    </row>
    <row r="7242" ht="12.75" hidden="1" customHeight="1" outlineLevel="1">
      <c r="A7242" s="122">
        <v>42226.0</v>
      </c>
      <c r="B7242" s="974"/>
      <c r="C7242" s="32" t="s">
        <v>429</v>
      </c>
      <c r="D7242" s="708"/>
      <c r="E7242" s="195"/>
      <c r="F7242" s="709"/>
      <c r="G7242" s="195"/>
      <c r="H7242" s="710"/>
      <c r="I7242" s="256"/>
      <c r="J7242" s="67"/>
      <c r="K7242" s="9" t="s">
        <v>3049</v>
      </c>
      <c r="L7242" s="934"/>
      <c r="M7242" s="934"/>
    </row>
    <row r="7243" ht="12.75" hidden="1" customHeight="1" outlineLevel="1">
      <c r="A7243" s="122">
        <v>42226.0</v>
      </c>
      <c r="B7243" s="974"/>
      <c r="C7243" s="32" t="s">
        <v>431</v>
      </c>
      <c r="D7243" s="708"/>
      <c r="E7243" s="195"/>
      <c r="F7243" s="709"/>
      <c r="G7243" s="195"/>
      <c r="H7243" s="710"/>
      <c r="I7243" s="256"/>
      <c r="J7243" s="67"/>
      <c r="K7243" s="7" t="s">
        <v>1126</v>
      </c>
      <c r="L7243" s="934"/>
      <c r="M7243" s="934"/>
    </row>
    <row r="7244" ht="12.75" hidden="1" customHeight="1" outlineLevel="1">
      <c r="A7244" s="122">
        <v>42226.0</v>
      </c>
      <c r="B7244" s="974"/>
      <c r="C7244" s="32" t="s">
        <v>433</v>
      </c>
      <c r="D7244" s="708"/>
      <c r="E7244" s="195"/>
      <c r="F7244" s="709"/>
      <c r="G7244" s="195"/>
      <c r="H7244" s="710"/>
      <c r="I7244" s="256"/>
      <c r="J7244" s="67"/>
      <c r="K7244" s="7" t="s">
        <v>1103</v>
      </c>
      <c r="L7244" s="934"/>
      <c r="M7244" s="934"/>
    </row>
    <row r="7245" ht="12.75" hidden="1" customHeight="1" outlineLevel="1">
      <c r="A7245" s="122">
        <v>42226.0</v>
      </c>
      <c r="B7245" s="974"/>
      <c r="C7245" s="32" t="s">
        <v>435</v>
      </c>
      <c r="D7245" s="708"/>
      <c r="E7245" s="195"/>
      <c r="F7245" s="709"/>
      <c r="G7245" s="195"/>
      <c r="H7245" s="710"/>
      <c r="I7245" s="256"/>
      <c r="J7245" s="67"/>
      <c r="K7245" s="9" t="s">
        <v>2802</v>
      </c>
      <c r="L7245" s="934"/>
      <c r="M7245" s="934"/>
    </row>
    <row r="7246" ht="12.75" hidden="1" customHeight="1" outlineLevel="1">
      <c r="A7246" s="122">
        <v>42228.0</v>
      </c>
      <c r="B7246" s="32" t="s">
        <v>343</v>
      </c>
      <c r="C7246" s="32" t="s">
        <v>3104</v>
      </c>
      <c r="D7246" s="32">
        <v>150.0</v>
      </c>
      <c r="E7246" s="94">
        <v>45.71</v>
      </c>
      <c r="F7246" s="982">
        <v>0.3966550925925926</v>
      </c>
      <c r="G7246" s="32" t="s">
        <v>453</v>
      </c>
      <c r="H7246" s="710">
        <v>1.0</v>
      </c>
      <c r="I7246" s="256"/>
      <c r="J7246" s="67">
        <f t="shared" ref="J7246:J7249" si="431">IF(B7246="SLD",D7246*E7246,-D7246*E7246)-H7246</f>
        <v>-6857.5</v>
      </c>
      <c r="L7246" s="70"/>
      <c r="M7246" s="934"/>
      <c r="N7246" s="94"/>
      <c r="O7246" s="94"/>
      <c r="P7246" s="94"/>
      <c r="Q7246" s="94"/>
      <c r="R7246" s="94"/>
      <c r="S7246" s="94"/>
      <c r="T7246" s="94"/>
      <c r="U7246" s="94"/>
      <c r="V7246" s="94"/>
      <c r="W7246" s="94"/>
      <c r="X7246" s="94"/>
      <c r="Y7246" s="94"/>
      <c r="Z7246" s="94"/>
      <c r="AA7246" s="94"/>
      <c r="AB7246" s="94"/>
      <c r="AC7246" s="94"/>
      <c r="AD7246" s="94"/>
      <c r="AE7246" s="94"/>
      <c r="AF7246" s="94"/>
      <c r="AG7246" s="94"/>
      <c r="AH7246" s="94"/>
    </row>
    <row r="7247" ht="12.75" hidden="1" customHeight="1" outlineLevel="1">
      <c r="A7247" s="122">
        <v>42228.0</v>
      </c>
      <c r="B7247" s="32" t="s">
        <v>343</v>
      </c>
      <c r="C7247" s="32" t="s">
        <v>2412</v>
      </c>
      <c r="D7247" s="32">
        <v>100.0</v>
      </c>
      <c r="E7247" s="94">
        <v>68.23</v>
      </c>
      <c r="F7247" s="982">
        <v>0.39688657407407407</v>
      </c>
      <c r="G7247" s="32" t="s">
        <v>453</v>
      </c>
      <c r="H7247" s="710">
        <v>1.0</v>
      </c>
      <c r="I7247" s="256"/>
      <c r="J7247" s="67">
        <f t="shared" si="431"/>
        <v>-6824</v>
      </c>
      <c r="L7247" s="70"/>
      <c r="M7247" s="934"/>
      <c r="N7247" s="94"/>
      <c r="O7247" s="94"/>
      <c r="P7247" s="94"/>
      <c r="Q7247" s="94"/>
      <c r="R7247" s="94"/>
      <c r="S7247" s="94"/>
      <c r="T7247" s="94"/>
      <c r="U7247" s="94"/>
      <c r="V7247" s="94"/>
      <c r="W7247" s="94"/>
      <c r="X7247" s="94"/>
      <c r="Y7247" s="94"/>
      <c r="Z7247" s="94"/>
      <c r="AA7247" s="94"/>
      <c r="AB7247" s="94"/>
      <c r="AC7247" s="94"/>
      <c r="AD7247" s="94"/>
      <c r="AE7247" s="94"/>
      <c r="AF7247" s="94"/>
      <c r="AG7247" s="94"/>
      <c r="AH7247" s="94"/>
    </row>
    <row r="7248" ht="12.75" hidden="1" customHeight="1" outlineLevel="1">
      <c r="A7248" s="122">
        <v>42228.0</v>
      </c>
      <c r="B7248" s="32" t="s">
        <v>343</v>
      </c>
      <c r="C7248" s="32" t="s">
        <v>2142</v>
      </c>
      <c r="D7248" s="32">
        <v>200.0</v>
      </c>
      <c r="E7248" s="94">
        <v>34.87</v>
      </c>
      <c r="F7248" s="982">
        <v>0.6287037037037037</v>
      </c>
      <c r="G7248" s="32" t="s">
        <v>453</v>
      </c>
      <c r="H7248" s="710">
        <v>1.0</v>
      </c>
      <c r="I7248" s="256"/>
      <c r="J7248" s="67">
        <f t="shared" si="431"/>
        <v>-6975</v>
      </c>
      <c r="L7248" s="70"/>
      <c r="M7248" s="934"/>
      <c r="N7248" s="94"/>
      <c r="O7248" s="94"/>
      <c r="P7248" s="94"/>
      <c r="Q7248" s="94"/>
      <c r="R7248" s="94"/>
      <c r="S7248" s="94"/>
      <c r="T7248" s="94"/>
      <c r="U7248" s="94"/>
      <c r="V7248" s="94"/>
      <c r="W7248" s="94"/>
      <c r="X7248" s="94"/>
      <c r="Y7248" s="94"/>
      <c r="Z7248" s="94"/>
      <c r="AA7248" s="94"/>
      <c r="AB7248" s="94"/>
      <c r="AC7248" s="94"/>
      <c r="AD7248" s="94"/>
      <c r="AE7248" s="94"/>
      <c r="AF7248" s="94"/>
      <c r="AG7248" s="94"/>
      <c r="AH7248" s="94"/>
    </row>
    <row r="7249" ht="12.75" hidden="1" customHeight="1" outlineLevel="1">
      <c r="A7249" s="122">
        <v>42228.0</v>
      </c>
      <c r="B7249" s="32" t="s">
        <v>347</v>
      </c>
      <c r="C7249" s="32" t="s">
        <v>1839</v>
      </c>
      <c r="D7249" s="983">
        <v>1000.0</v>
      </c>
      <c r="E7249" s="94">
        <v>8.06</v>
      </c>
      <c r="F7249" s="982">
        <v>0.6495949074074074</v>
      </c>
      <c r="G7249" s="32" t="s">
        <v>453</v>
      </c>
      <c r="H7249" s="710">
        <v>4.95</v>
      </c>
      <c r="I7249" s="256"/>
      <c r="J7249" s="67">
        <f t="shared" si="431"/>
        <v>8055.05</v>
      </c>
      <c r="L7249" s="70"/>
      <c r="M7249" s="934"/>
      <c r="N7249" s="94"/>
      <c r="O7249" s="94"/>
      <c r="P7249" s="94"/>
      <c r="Q7249" s="94"/>
      <c r="R7249" s="94"/>
      <c r="S7249" s="94"/>
      <c r="T7249" s="94"/>
      <c r="U7249" s="94"/>
      <c r="V7249" s="94"/>
      <c r="W7249" s="94"/>
      <c r="X7249" s="94"/>
      <c r="Y7249" s="94"/>
      <c r="Z7249" s="94"/>
      <c r="AA7249" s="94"/>
      <c r="AB7249" s="94"/>
      <c r="AC7249" s="94"/>
      <c r="AD7249" s="94"/>
      <c r="AE7249" s="94"/>
      <c r="AF7249" s="94"/>
      <c r="AG7249" s="94"/>
      <c r="AH7249" s="94"/>
    </row>
    <row r="7250" ht="12.75" hidden="1" customHeight="1" outlineLevel="1">
      <c r="A7250" s="122">
        <v>42228.0</v>
      </c>
      <c r="B7250" s="974"/>
      <c r="C7250" s="32" t="s">
        <v>339</v>
      </c>
      <c r="D7250" s="708"/>
      <c r="E7250" s="195"/>
      <c r="F7250" s="709"/>
      <c r="G7250" s="195"/>
      <c r="H7250" s="710"/>
      <c r="I7250" s="256"/>
      <c r="J7250" s="67"/>
      <c r="K7250" s="968" t="s">
        <v>3103</v>
      </c>
      <c r="L7250" s="934"/>
      <c r="M7250" s="934"/>
    </row>
    <row r="7251" ht="12.75" hidden="1" customHeight="1" outlineLevel="1">
      <c r="A7251" s="122">
        <v>42228.0</v>
      </c>
      <c r="B7251" s="974"/>
      <c r="C7251" s="32" t="s">
        <v>429</v>
      </c>
      <c r="D7251" s="708"/>
      <c r="E7251" s="195"/>
      <c r="F7251" s="709"/>
      <c r="G7251" s="195"/>
      <c r="H7251" s="710"/>
      <c r="I7251" s="256"/>
      <c r="J7251" s="67"/>
      <c r="K7251" s="9" t="s">
        <v>3049</v>
      </c>
      <c r="L7251" s="934"/>
      <c r="M7251" s="934"/>
    </row>
    <row r="7252" ht="12.75" hidden="1" customHeight="1" outlineLevel="1">
      <c r="A7252" s="122">
        <v>42228.0</v>
      </c>
      <c r="B7252" s="974"/>
      <c r="C7252" s="32" t="s">
        <v>431</v>
      </c>
      <c r="D7252" s="708"/>
      <c r="E7252" s="195"/>
      <c r="F7252" s="709"/>
      <c r="G7252" s="195"/>
      <c r="H7252" s="710"/>
      <c r="I7252" s="256"/>
      <c r="J7252" s="67"/>
      <c r="K7252" s="7" t="s">
        <v>1126</v>
      </c>
      <c r="L7252" s="934"/>
      <c r="M7252" s="934"/>
    </row>
    <row r="7253" ht="12.75" hidden="1" customHeight="1" outlineLevel="1">
      <c r="A7253" s="122">
        <v>42228.0</v>
      </c>
      <c r="B7253" s="974"/>
      <c r="C7253" s="32" t="s">
        <v>433</v>
      </c>
      <c r="D7253" s="708"/>
      <c r="E7253" s="195"/>
      <c r="F7253" s="709"/>
      <c r="G7253" s="195"/>
      <c r="H7253" s="710"/>
      <c r="I7253" s="256"/>
      <c r="J7253" s="67"/>
      <c r="K7253" s="7" t="s">
        <v>1103</v>
      </c>
      <c r="L7253" s="934"/>
      <c r="M7253" s="934"/>
    </row>
    <row r="7254" ht="12.75" hidden="1" customHeight="1" outlineLevel="1">
      <c r="A7254" s="122">
        <v>42228.0</v>
      </c>
      <c r="B7254" s="974"/>
      <c r="C7254" s="32" t="s">
        <v>435</v>
      </c>
      <c r="D7254" s="708"/>
      <c r="E7254" s="195"/>
      <c r="F7254" s="709"/>
      <c r="G7254" s="195"/>
      <c r="H7254" s="710"/>
      <c r="I7254" s="256"/>
      <c r="J7254" s="67"/>
      <c r="K7254" s="9" t="s">
        <v>2802</v>
      </c>
      <c r="L7254" s="934"/>
      <c r="M7254" s="934"/>
    </row>
    <row r="7255" ht="12.75" hidden="1" customHeight="1" outlineLevel="1">
      <c r="A7255" s="122">
        <v>42229.0</v>
      </c>
      <c r="B7255" s="32" t="s">
        <v>347</v>
      </c>
      <c r="C7255" s="32" t="s">
        <v>2090</v>
      </c>
      <c r="D7255" s="983">
        <v>1000.0</v>
      </c>
      <c r="E7255" s="94">
        <v>7.243</v>
      </c>
      <c r="F7255" s="982">
        <v>0.3984722222222222</v>
      </c>
      <c r="G7255" s="32" t="s">
        <v>453</v>
      </c>
      <c r="H7255" s="710">
        <v>4.13</v>
      </c>
      <c r="I7255" s="256"/>
      <c r="J7255" s="67">
        <f t="shared" ref="J7255:J7264" si="432">IF(B7255="SLD",D7255*E7255,-D7255*E7255)-H7255</f>
        <v>7238.87</v>
      </c>
      <c r="L7255" s="70"/>
      <c r="M7255" s="934"/>
      <c r="N7255" s="94"/>
      <c r="O7255" s="94"/>
      <c r="P7255" s="94"/>
      <c r="Q7255" s="94"/>
      <c r="R7255" s="94"/>
      <c r="S7255" s="94"/>
      <c r="T7255" s="94"/>
      <c r="U7255" s="94"/>
      <c r="V7255" s="94"/>
      <c r="W7255" s="94"/>
      <c r="X7255" s="94"/>
      <c r="Y7255" s="94"/>
      <c r="Z7255" s="94"/>
      <c r="AA7255" s="94"/>
      <c r="AB7255" s="94"/>
      <c r="AC7255" s="94"/>
      <c r="AD7255" s="94"/>
      <c r="AE7255" s="94"/>
      <c r="AF7255" s="94"/>
      <c r="AG7255" s="94"/>
      <c r="AH7255" s="94"/>
    </row>
    <row r="7256" ht="12.75" hidden="1" customHeight="1" outlineLevel="1">
      <c r="A7256" s="122">
        <v>42229.0</v>
      </c>
      <c r="B7256" s="32" t="s">
        <v>343</v>
      </c>
      <c r="C7256" s="32" t="s">
        <v>1060</v>
      </c>
      <c r="D7256" s="32">
        <v>200.0</v>
      </c>
      <c r="E7256" s="94">
        <v>44.468</v>
      </c>
      <c r="F7256" s="982">
        <v>0.3987384259259259</v>
      </c>
      <c r="G7256" s="32" t="s">
        <v>453</v>
      </c>
      <c r="H7256" s="710">
        <v>1.0</v>
      </c>
      <c r="I7256" s="256"/>
      <c r="J7256" s="67">
        <f t="shared" si="432"/>
        <v>-8894.6</v>
      </c>
      <c r="L7256" s="70"/>
      <c r="M7256" s="934"/>
      <c r="N7256" s="94"/>
      <c r="O7256" s="94"/>
      <c r="P7256" s="94"/>
      <c r="Q7256" s="94"/>
      <c r="R7256" s="94"/>
      <c r="S7256" s="94"/>
      <c r="T7256" s="94"/>
      <c r="U7256" s="94"/>
      <c r="V7256" s="94"/>
      <c r="W7256" s="94"/>
      <c r="X7256" s="94"/>
      <c r="Y7256" s="94"/>
      <c r="Z7256" s="94"/>
      <c r="AA7256" s="94"/>
      <c r="AB7256" s="94"/>
      <c r="AC7256" s="94"/>
      <c r="AD7256" s="94"/>
      <c r="AE7256" s="94"/>
      <c r="AF7256" s="94"/>
      <c r="AG7256" s="94"/>
      <c r="AH7256" s="94"/>
    </row>
    <row r="7257" ht="12.75" hidden="1" customHeight="1" outlineLevel="1">
      <c r="A7257" s="122">
        <v>42229.0</v>
      </c>
      <c r="B7257" s="32" t="s">
        <v>343</v>
      </c>
      <c r="C7257" s="32" t="s">
        <v>1310</v>
      </c>
      <c r="D7257" s="32">
        <v>25.0</v>
      </c>
      <c r="E7257" s="94">
        <v>317.01</v>
      </c>
      <c r="F7257" s="982">
        <v>0.39914351851851854</v>
      </c>
      <c r="G7257" s="32" t="s">
        <v>453</v>
      </c>
      <c r="H7257" s="710">
        <v>1.0</v>
      </c>
      <c r="I7257" s="256"/>
      <c r="J7257" s="67">
        <f t="shared" si="432"/>
        <v>-7926.25</v>
      </c>
      <c r="L7257" s="70"/>
      <c r="M7257" s="934"/>
      <c r="N7257" s="94"/>
      <c r="O7257" s="94"/>
      <c r="P7257" s="94"/>
      <c r="Q7257" s="94"/>
      <c r="R7257" s="94"/>
      <c r="S7257" s="94"/>
      <c r="T7257" s="94"/>
      <c r="U7257" s="94"/>
      <c r="V7257" s="94"/>
      <c r="W7257" s="94"/>
      <c r="X7257" s="94"/>
      <c r="Y7257" s="94"/>
      <c r="Z7257" s="94"/>
      <c r="AA7257" s="94"/>
      <c r="AB7257" s="94"/>
      <c r="AC7257" s="94"/>
      <c r="AD7257" s="94"/>
      <c r="AE7257" s="94"/>
      <c r="AF7257" s="94"/>
      <c r="AG7257" s="94"/>
      <c r="AH7257" s="94"/>
    </row>
    <row r="7258" ht="12.75" hidden="1" customHeight="1" outlineLevel="1">
      <c r="A7258" s="122">
        <v>42229.0</v>
      </c>
      <c r="B7258" s="32" t="s">
        <v>347</v>
      </c>
      <c r="C7258" s="32" t="s">
        <v>790</v>
      </c>
      <c r="D7258" s="983">
        <v>1000.0</v>
      </c>
      <c r="E7258" s="94">
        <v>6.221</v>
      </c>
      <c r="F7258" s="982">
        <v>0.40150462962962963</v>
      </c>
      <c r="G7258" s="32" t="s">
        <v>453</v>
      </c>
      <c r="H7258" s="710">
        <v>4.11</v>
      </c>
      <c r="I7258" s="256"/>
      <c r="J7258" s="67">
        <f t="shared" si="432"/>
        <v>6216.89</v>
      </c>
      <c r="L7258" s="70"/>
      <c r="M7258" s="934"/>
      <c r="N7258" s="94"/>
      <c r="O7258" s="94"/>
      <c r="P7258" s="94"/>
      <c r="Q7258" s="94"/>
      <c r="R7258" s="94"/>
      <c r="S7258" s="94"/>
      <c r="T7258" s="94"/>
      <c r="U7258" s="94"/>
      <c r="V7258" s="94"/>
      <c r="W7258" s="94"/>
      <c r="X7258" s="94"/>
      <c r="Y7258" s="94"/>
      <c r="Z7258" s="94"/>
      <c r="AA7258" s="94"/>
      <c r="AB7258" s="94"/>
      <c r="AC7258" s="94"/>
      <c r="AD7258" s="94"/>
      <c r="AE7258" s="94"/>
      <c r="AF7258" s="94"/>
      <c r="AG7258" s="94"/>
      <c r="AH7258" s="94"/>
    </row>
    <row r="7259" ht="12.75" hidden="1" customHeight="1" outlineLevel="1">
      <c r="A7259" s="122">
        <v>42229.0</v>
      </c>
      <c r="B7259" s="32" t="s">
        <v>347</v>
      </c>
      <c r="C7259" s="32" t="s">
        <v>2048</v>
      </c>
      <c r="D7259" s="983">
        <v>1000.0</v>
      </c>
      <c r="E7259" s="94">
        <v>8.321</v>
      </c>
      <c r="F7259" s="982">
        <v>0.40164351851851854</v>
      </c>
      <c r="G7259" s="32" t="s">
        <v>453</v>
      </c>
      <c r="H7259" s="710">
        <v>4.15</v>
      </c>
      <c r="I7259" s="256"/>
      <c r="J7259" s="67">
        <f t="shared" si="432"/>
        <v>8316.85</v>
      </c>
      <c r="L7259" s="70"/>
      <c r="M7259" s="934"/>
      <c r="N7259" s="94"/>
      <c r="O7259" s="94"/>
      <c r="P7259" s="94"/>
      <c r="Q7259" s="94"/>
      <c r="R7259" s="94"/>
      <c r="S7259" s="94"/>
      <c r="T7259" s="94"/>
      <c r="U7259" s="94"/>
      <c r="V7259" s="94"/>
      <c r="W7259" s="94"/>
      <c r="X7259" s="94"/>
      <c r="Y7259" s="94"/>
      <c r="Z7259" s="94"/>
      <c r="AA7259" s="94"/>
      <c r="AB7259" s="94"/>
      <c r="AC7259" s="94"/>
      <c r="AD7259" s="94"/>
      <c r="AE7259" s="94"/>
      <c r="AF7259" s="94"/>
      <c r="AG7259" s="94"/>
      <c r="AH7259" s="94"/>
    </row>
    <row r="7260" ht="12.75" hidden="1" customHeight="1" outlineLevel="1">
      <c r="A7260" s="122">
        <v>42229.0</v>
      </c>
      <c r="B7260" s="32" t="s">
        <v>347</v>
      </c>
      <c r="C7260" s="32" t="s">
        <v>784</v>
      </c>
      <c r="D7260" s="983">
        <v>1000.0</v>
      </c>
      <c r="E7260" s="94">
        <v>5.431</v>
      </c>
      <c r="F7260" s="982">
        <v>0.40196759259259257</v>
      </c>
      <c r="G7260" s="32" t="s">
        <v>453</v>
      </c>
      <c r="H7260" s="710">
        <v>4.1</v>
      </c>
      <c r="I7260" s="256"/>
      <c r="J7260" s="67">
        <f t="shared" si="432"/>
        <v>5426.9</v>
      </c>
      <c r="L7260" s="70"/>
      <c r="M7260" s="934"/>
      <c r="N7260" s="94"/>
      <c r="O7260" s="94"/>
      <c r="P7260" s="94"/>
      <c r="Q7260" s="94"/>
      <c r="R7260" s="94"/>
      <c r="S7260" s="94"/>
      <c r="T7260" s="94"/>
      <c r="U7260" s="94"/>
      <c r="V7260" s="94"/>
      <c r="W7260" s="94"/>
      <c r="X7260" s="94"/>
      <c r="Y7260" s="94"/>
      <c r="Z7260" s="94"/>
      <c r="AA7260" s="94"/>
      <c r="AB7260" s="94"/>
      <c r="AC7260" s="94"/>
      <c r="AD7260" s="94"/>
      <c r="AE7260" s="94"/>
      <c r="AF7260" s="94"/>
      <c r="AG7260" s="94"/>
      <c r="AH7260" s="94"/>
    </row>
    <row r="7261" ht="12.75" hidden="1" customHeight="1" outlineLevel="1">
      <c r="A7261" s="122">
        <v>42229.0</v>
      </c>
      <c r="B7261" s="32" t="s">
        <v>343</v>
      </c>
      <c r="C7261" s="32" t="s">
        <v>1249</v>
      </c>
      <c r="D7261" s="32">
        <v>75.0</v>
      </c>
      <c r="E7261" s="94">
        <v>104.48</v>
      </c>
      <c r="F7261" s="982">
        <v>0.4026736111111111</v>
      </c>
      <c r="G7261" s="32" t="s">
        <v>453</v>
      </c>
      <c r="H7261" s="710">
        <v>1.0</v>
      </c>
      <c r="I7261" s="256"/>
      <c r="J7261" s="67">
        <f t="shared" si="432"/>
        <v>-7837</v>
      </c>
      <c r="L7261" s="70"/>
      <c r="M7261" s="934"/>
      <c r="N7261" s="94"/>
      <c r="O7261" s="94"/>
      <c r="P7261" s="94"/>
      <c r="Q7261" s="94"/>
      <c r="R7261" s="94"/>
      <c r="S7261" s="94"/>
      <c r="T7261" s="94"/>
      <c r="U7261" s="94"/>
      <c r="V7261" s="94"/>
      <c r="W7261" s="94"/>
      <c r="X7261" s="94"/>
      <c r="Y7261" s="94"/>
      <c r="Z7261" s="94"/>
      <c r="AA7261" s="94"/>
      <c r="AB7261" s="94"/>
      <c r="AC7261" s="94"/>
      <c r="AD7261" s="94"/>
      <c r="AE7261" s="94"/>
      <c r="AF7261" s="94"/>
      <c r="AG7261" s="94"/>
      <c r="AH7261" s="94"/>
    </row>
    <row r="7262" ht="12.75" hidden="1" customHeight="1" outlineLevel="1">
      <c r="A7262" s="122">
        <v>42229.0</v>
      </c>
      <c r="B7262" s="32" t="s">
        <v>343</v>
      </c>
      <c r="C7262" s="32" t="s">
        <v>3006</v>
      </c>
      <c r="D7262" s="32">
        <v>175.0</v>
      </c>
      <c r="E7262" s="94">
        <v>57.44</v>
      </c>
      <c r="F7262" s="982">
        <v>0.4033101851851852</v>
      </c>
      <c r="G7262" s="32" t="s">
        <v>453</v>
      </c>
      <c r="H7262" s="710">
        <v>1.0</v>
      </c>
      <c r="I7262" s="256"/>
      <c r="J7262" s="67">
        <f t="shared" si="432"/>
        <v>-10053</v>
      </c>
      <c r="L7262" s="70"/>
      <c r="M7262" s="934"/>
      <c r="N7262" s="94"/>
      <c r="O7262" s="94"/>
      <c r="P7262" s="94"/>
      <c r="Q7262" s="94"/>
      <c r="R7262" s="94"/>
      <c r="S7262" s="94"/>
      <c r="T7262" s="94"/>
      <c r="U7262" s="94"/>
      <c r="V7262" s="94"/>
      <c r="W7262" s="94"/>
      <c r="X7262" s="94"/>
      <c r="Y7262" s="94"/>
      <c r="Z7262" s="94"/>
      <c r="AA7262" s="94"/>
      <c r="AB7262" s="94"/>
      <c r="AC7262" s="94"/>
      <c r="AD7262" s="94"/>
      <c r="AE7262" s="94"/>
      <c r="AF7262" s="94"/>
      <c r="AG7262" s="94"/>
      <c r="AH7262" s="94"/>
    </row>
    <row r="7263" ht="12.75" hidden="1" customHeight="1" outlineLevel="1">
      <c r="A7263" s="122">
        <v>42229.0</v>
      </c>
      <c r="B7263" s="32" t="s">
        <v>347</v>
      </c>
      <c r="C7263" s="32" t="s">
        <v>2090</v>
      </c>
      <c r="D7263" s="983">
        <v>1000.0</v>
      </c>
      <c r="E7263" s="94">
        <v>7.1</v>
      </c>
      <c r="F7263" s="982">
        <v>0.4093981481481481</v>
      </c>
      <c r="G7263" s="32" t="s">
        <v>453</v>
      </c>
      <c r="H7263" s="710">
        <v>5.13</v>
      </c>
      <c r="I7263" s="256"/>
      <c r="J7263" s="67">
        <f t="shared" si="432"/>
        <v>7094.87</v>
      </c>
      <c r="L7263" s="70"/>
      <c r="M7263" s="934"/>
      <c r="N7263" s="94"/>
      <c r="O7263" s="94"/>
      <c r="P7263" s="94"/>
      <c r="Q7263" s="94"/>
      <c r="R7263" s="94"/>
      <c r="S7263" s="94"/>
      <c r="T7263" s="94"/>
      <c r="U7263" s="94"/>
      <c r="V7263" s="94"/>
      <c r="W7263" s="94"/>
      <c r="X7263" s="94"/>
      <c r="Y7263" s="94"/>
      <c r="Z7263" s="94"/>
      <c r="AA7263" s="94"/>
      <c r="AB7263" s="94"/>
      <c r="AC7263" s="94"/>
      <c r="AD7263" s="94"/>
      <c r="AE7263" s="94"/>
      <c r="AF7263" s="94"/>
      <c r="AG7263" s="94"/>
      <c r="AH7263" s="94"/>
    </row>
    <row r="7264" ht="12.75" hidden="1" customHeight="1" outlineLevel="1">
      <c r="A7264" s="122">
        <v>42229.0</v>
      </c>
      <c r="B7264" s="32" t="s">
        <v>343</v>
      </c>
      <c r="C7264" s="32" t="s">
        <v>2585</v>
      </c>
      <c r="D7264" s="32">
        <v>400.0</v>
      </c>
      <c r="E7264" s="94">
        <v>12.46</v>
      </c>
      <c r="F7264" s="982">
        <v>0.4137615740740741</v>
      </c>
      <c r="G7264" s="32" t="s">
        <v>453</v>
      </c>
      <c r="H7264" s="710">
        <v>1.6</v>
      </c>
      <c r="I7264" s="256"/>
      <c r="J7264" s="67">
        <f t="shared" si="432"/>
        <v>-4985.6</v>
      </c>
      <c r="L7264" s="70"/>
      <c r="M7264" s="934"/>
      <c r="N7264" s="94"/>
      <c r="O7264" s="94"/>
      <c r="P7264" s="94"/>
      <c r="Q7264" s="94"/>
      <c r="R7264" s="94"/>
      <c r="S7264" s="94"/>
      <c r="T7264" s="94"/>
      <c r="U7264" s="94"/>
      <c r="V7264" s="94"/>
      <c r="W7264" s="94"/>
      <c r="X7264" s="94"/>
      <c r="Y7264" s="94"/>
      <c r="Z7264" s="94"/>
      <c r="AA7264" s="94"/>
      <c r="AB7264" s="94"/>
      <c r="AC7264" s="94"/>
      <c r="AD7264" s="94"/>
      <c r="AE7264" s="94"/>
      <c r="AF7264" s="94"/>
      <c r="AG7264" s="94"/>
      <c r="AH7264" s="94"/>
    </row>
    <row r="7265" ht="12.75" hidden="1" customHeight="1" outlineLevel="1">
      <c r="A7265" s="122">
        <v>42229.0</v>
      </c>
      <c r="B7265" s="974"/>
      <c r="C7265" s="32" t="s">
        <v>339</v>
      </c>
      <c r="D7265" s="708"/>
      <c r="E7265" s="195"/>
      <c r="F7265" s="709"/>
      <c r="G7265" s="195"/>
      <c r="H7265" s="710"/>
      <c r="I7265" s="256"/>
      <c r="J7265" s="67"/>
      <c r="K7265" s="968" t="s">
        <v>3105</v>
      </c>
      <c r="L7265" s="934"/>
      <c r="M7265" s="934"/>
    </row>
    <row r="7266" ht="12.75" hidden="1" customHeight="1" outlineLevel="1">
      <c r="A7266" s="122">
        <v>42229.0</v>
      </c>
      <c r="B7266" s="974"/>
      <c r="C7266" s="32" t="s">
        <v>429</v>
      </c>
      <c r="D7266" s="708"/>
      <c r="E7266" s="195"/>
      <c r="F7266" s="709"/>
      <c r="G7266" s="195"/>
      <c r="H7266" s="710"/>
      <c r="I7266" s="256"/>
      <c r="J7266" s="67"/>
      <c r="K7266" s="9" t="s">
        <v>3049</v>
      </c>
      <c r="L7266" s="934"/>
      <c r="M7266" s="934"/>
    </row>
    <row r="7267" ht="12.75" hidden="1" customHeight="1" outlineLevel="1">
      <c r="A7267" s="122">
        <v>42229.0</v>
      </c>
      <c r="B7267" s="974"/>
      <c r="C7267" s="32" t="s">
        <v>431</v>
      </c>
      <c r="D7267" s="708"/>
      <c r="E7267" s="195"/>
      <c r="F7267" s="709"/>
      <c r="G7267" s="195"/>
      <c r="H7267" s="710"/>
      <c r="I7267" s="256"/>
      <c r="J7267" s="67"/>
      <c r="K7267" s="7" t="s">
        <v>1126</v>
      </c>
      <c r="L7267" s="934"/>
      <c r="M7267" s="934"/>
    </row>
    <row r="7268" ht="12.75" hidden="1" customHeight="1" outlineLevel="1">
      <c r="A7268" s="122">
        <v>42229.0</v>
      </c>
      <c r="B7268" s="974"/>
      <c r="C7268" s="32" t="s">
        <v>433</v>
      </c>
      <c r="D7268" s="708"/>
      <c r="E7268" s="195"/>
      <c r="F7268" s="709"/>
      <c r="G7268" s="195"/>
      <c r="H7268" s="710"/>
      <c r="I7268" s="256"/>
      <c r="J7268" s="67"/>
      <c r="K7268" s="7" t="s">
        <v>1103</v>
      </c>
      <c r="L7268" s="934"/>
      <c r="M7268" s="934"/>
    </row>
    <row r="7269" ht="12.75" hidden="1" customHeight="1" outlineLevel="1">
      <c r="A7269" s="122">
        <v>42229.0</v>
      </c>
      <c r="B7269" s="974"/>
      <c r="C7269" s="32" t="s">
        <v>435</v>
      </c>
      <c r="D7269" s="708"/>
      <c r="E7269" s="195"/>
      <c r="F7269" s="709"/>
      <c r="G7269" s="195"/>
      <c r="H7269" s="710"/>
      <c r="I7269" s="256"/>
      <c r="J7269" s="67"/>
      <c r="K7269" s="9" t="s">
        <v>2802</v>
      </c>
      <c r="L7269" s="934"/>
      <c r="M7269" s="934"/>
    </row>
    <row r="7270" ht="12.75" hidden="1" customHeight="1" outlineLevel="1">
      <c r="A7270" s="122">
        <v>42230.0</v>
      </c>
      <c r="B7270" s="32" t="s">
        <v>347</v>
      </c>
      <c r="C7270" s="32" t="s">
        <v>2090</v>
      </c>
      <c r="D7270" s="983">
        <v>1000.0</v>
      </c>
      <c r="E7270" s="94">
        <v>6.981</v>
      </c>
      <c r="F7270" s="982">
        <v>0.4142476851851852</v>
      </c>
      <c r="G7270" s="32" t="s">
        <v>453</v>
      </c>
      <c r="H7270" s="710">
        <v>4.13</v>
      </c>
      <c r="I7270" s="256"/>
      <c r="J7270" s="67">
        <f t="shared" ref="J7270:J7283" si="433">IF(B7270="SLD",D7270*E7270,-D7270*E7270)-H7270</f>
        <v>6976.87</v>
      </c>
      <c r="L7270" s="70"/>
      <c r="M7270" s="934"/>
      <c r="N7270" s="94"/>
      <c r="O7270" s="94"/>
      <c r="P7270" s="94"/>
      <c r="Q7270" s="94"/>
      <c r="R7270" s="94"/>
      <c r="S7270" s="94"/>
      <c r="T7270" s="94"/>
      <c r="U7270" s="94"/>
      <c r="V7270" s="94"/>
      <c r="W7270" s="94"/>
      <c r="X7270" s="94"/>
      <c r="Y7270" s="94"/>
      <c r="Z7270" s="94"/>
      <c r="AA7270" s="94"/>
      <c r="AB7270" s="94"/>
      <c r="AC7270" s="94"/>
      <c r="AD7270" s="94"/>
      <c r="AE7270" s="94"/>
      <c r="AF7270" s="94"/>
      <c r="AG7270" s="94"/>
      <c r="AH7270" s="94"/>
    </row>
    <row r="7271" ht="12.75" hidden="1" customHeight="1" outlineLevel="1">
      <c r="A7271" s="122">
        <v>42230.0</v>
      </c>
      <c r="B7271" s="32" t="s">
        <v>347</v>
      </c>
      <c r="C7271" s="32" t="s">
        <v>2090</v>
      </c>
      <c r="D7271" s="983">
        <v>1000.0</v>
      </c>
      <c r="E7271" s="94">
        <v>6.981</v>
      </c>
      <c r="F7271" s="982">
        <v>0.41434027777777777</v>
      </c>
      <c r="G7271" s="32" t="s">
        <v>453</v>
      </c>
      <c r="H7271" s="710">
        <v>4.13</v>
      </c>
      <c r="I7271" s="256"/>
      <c r="J7271" s="67">
        <f t="shared" si="433"/>
        <v>6976.87</v>
      </c>
      <c r="L7271" s="70"/>
      <c r="M7271" s="934"/>
      <c r="N7271" s="94"/>
      <c r="O7271" s="94"/>
      <c r="P7271" s="94"/>
      <c r="Q7271" s="94"/>
      <c r="R7271" s="94"/>
      <c r="S7271" s="94"/>
      <c r="T7271" s="94"/>
      <c r="U7271" s="94"/>
      <c r="V7271" s="94"/>
      <c r="W7271" s="94"/>
      <c r="X7271" s="94"/>
      <c r="Y7271" s="94"/>
      <c r="Z7271" s="94"/>
      <c r="AA7271" s="94"/>
      <c r="AB7271" s="94"/>
      <c r="AC7271" s="94"/>
      <c r="AD7271" s="94"/>
      <c r="AE7271" s="94"/>
      <c r="AF7271" s="94"/>
      <c r="AG7271" s="94"/>
      <c r="AH7271" s="94"/>
    </row>
    <row r="7272" ht="12.75" hidden="1" customHeight="1" outlineLevel="1">
      <c r="A7272" s="122">
        <v>42230.0</v>
      </c>
      <c r="B7272" s="32" t="s">
        <v>347</v>
      </c>
      <c r="C7272" s="32" t="s">
        <v>2048</v>
      </c>
      <c r="D7272" s="983">
        <v>1000.0</v>
      </c>
      <c r="E7272" s="94">
        <v>8.06</v>
      </c>
      <c r="F7272" s="982">
        <v>0.4177199074074074</v>
      </c>
      <c r="G7272" s="32" t="s">
        <v>453</v>
      </c>
      <c r="H7272" s="710">
        <v>5.15</v>
      </c>
      <c r="I7272" s="256"/>
      <c r="J7272" s="67">
        <f t="shared" si="433"/>
        <v>8054.85</v>
      </c>
      <c r="L7272" s="70"/>
      <c r="M7272" s="934"/>
      <c r="N7272" s="94"/>
      <c r="O7272" s="94"/>
      <c r="P7272" s="94"/>
      <c r="Q7272" s="94"/>
      <c r="R7272" s="94"/>
      <c r="S7272" s="94"/>
      <c r="T7272" s="94"/>
      <c r="U7272" s="94"/>
      <c r="V7272" s="94"/>
      <c r="W7272" s="94"/>
      <c r="X7272" s="94"/>
      <c r="Y7272" s="94"/>
      <c r="Z7272" s="94"/>
      <c r="AA7272" s="94"/>
      <c r="AB7272" s="94"/>
      <c r="AC7272" s="94"/>
      <c r="AD7272" s="94"/>
      <c r="AE7272" s="94"/>
      <c r="AF7272" s="94"/>
      <c r="AG7272" s="94"/>
      <c r="AH7272" s="94"/>
    </row>
    <row r="7273" ht="12.75" hidden="1" customHeight="1" outlineLevel="1">
      <c r="A7273" s="122">
        <v>42230.0</v>
      </c>
      <c r="B7273" s="32" t="s">
        <v>347</v>
      </c>
      <c r="C7273" s="32" t="s">
        <v>784</v>
      </c>
      <c r="D7273" s="983">
        <v>1000.0</v>
      </c>
      <c r="E7273" s="94">
        <v>5.281</v>
      </c>
      <c r="F7273" s="982">
        <v>0.42265046296296294</v>
      </c>
      <c r="G7273" s="32" t="s">
        <v>453</v>
      </c>
      <c r="H7273" s="710">
        <v>4.1</v>
      </c>
      <c r="I7273" s="256"/>
      <c r="J7273" s="67">
        <f t="shared" si="433"/>
        <v>5276.9</v>
      </c>
      <c r="L7273" s="70"/>
      <c r="M7273" s="934"/>
      <c r="N7273" s="94"/>
      <c r="O7273" s="94"/>
      <c r="P7273" s="94"/>
      <c r="Q7273" s="94"/>
      <c r="R7273" s="94"/>
      <c r="S7273" s="94"/>
      <c r="T7273" s="94"/>
      <c r="U7273" s="94"/>
      <c r="V7273" s="94"/>
      <c r="W7273" s="94"/>
      <c r="X7273" s="94"/>
      <c r="Y7273" s="94"/>
      <c r="Z7273" s="94"/>
      <c r="AA7273" s="94"/>
      <c r="AB7273" s="94"/>
      <c r="AC7273" s="94"/>
      <c r="AD7273" s="94"/>
      <c r="AE7273" s="94"/>
      <c r="AF7273" s="94"/>
      <c r="AG7273" s="94"/>
      <c r="AH7273" s="94"/>
    </row>
    <row r="7274" ht="12.75" hidden="1" customHeight="1" outlineLevel="1">
      <c r="A7274" s="122">
        <v>42230.0</v>
      </c>
      <c r="B7274" s="32" t="s">
        <v>347</v>
      </c>
      <c r="C7274" s="32" t="s">
        <v>1839</v>
      </c>
      <c r="D7274" s="983">
        <v>1000.0</v>
      </c>
      <c r="E7274" s="94">
        <v>7.45</v>
      </c>
      <c r="F7274" s="982">
        <v>0.42319444444444443</v>
      </c>
      <c r="G7274" s="32" t="s">
        <v>453</v>
      </c>
      <c r="H7274" s="710">
        <v>5.14</v>
      </c>
      <c r="I7274" s="256"/>
      <c r="J7274" s="67">
        <f t="shared" si="433"/>
        <v>7444.86</v>
      </c>
      <c r="L7274" s="70"/>
      <c r="M7274" s="934"/>
      <c r="N7274" s="94"/>
      <c r="O7274" s="94"/>
      <c r="P7274" s="94"/>
      <c r="Q7274" s="94"/>
      <c r="R7274" s="94"/>
      <c r="S7274" s="94"/>
      <c r="T7274" s="94"/>
      <c r="U7274" s="94"/>
      <c r="V7274" s="94"/>
      <c r="W7274" s="94"/>
      <c r="X7274" s="94"/>
      <c r="Y7274" s="94"/>
      <c r="Z7274" s="94"/>
      <c r="AA7274" s="94"/>
      <c r="AB7274" s="94"/>
      <c r="AC7274" s="94"/>
      <c r="AD7274" s="94"/>
      <c r="AE7274" s="94"/>
      <c r="AF7274" s="94"/>
      <c r="AG7274" s="94"/>
      <c r="AH7274" s="94"/>
    </row>
    <row r="7275" ht="12.75" hidden="1" customHeight="1" outlineLevel="1">
      <c r="A7275" s="122">
        <v>42230.0</v>
      </c>
      <c r="B7275" s="32" t="s">
        <v>347</v>
      </c>
      <c r="C7275" s="32" t="s">
        <v>2090</v>
      </c>
      <c r="D7275" s="32">
        <v>100.0</v>
      </c>
      <c r="E7275" s="94">
        <v>7.03</v>
      </c>
      <c r="F7275" s="982">
        <v>0.42440972222222223</v>
      </c>
      <c r="G7275" s="32" t="s">
        <v>453</v>
      </c>
      <c r="H7275" s="710">
        <v>1.01</v>
      </c>
      <c r="I7275" s="256"/>
      <c r="J7275" s="67">
        <f t="shared" si="433"/>
        <v>701.99</v>
      </c>
      <c r="L7275" s="70"/>
      <c r="M7275" s="934"/>
      <c r="N7275" s="94"/>
      <c r="O7275" s="94"/>
      <c r="P7275" s="94"/>
      <c r="Q7275" s="94"/>
      <c r="R7275" s="94"/>
      <c r="S7275" s="94"/>
      <c r="T7275" s="94"/>
      <c r="U7275" s="94"/>
      <c r="V7275" s="94"/>
      <c r="W7275" s="94"/>
      <c r="X7275" s="94"/>
      <c r="Y7275" s="94"/>
      <c r="Z7275" s="94"/>
      <c r="AA7275" s="94"/>
      <c r="AB7275" s="94"/>
      <c r="AC7275" s="94"/>
      <c r="AD7275" s="94"/>
      <c r="AE7275" s="94"/>
      <c r="AF7275" s="94"/>
      <c r="AG7275" s="94"/>
      <c r="AH7275" s="94"/>
    </row>
    <row r="7276" ht="12.75" hidden="1" customHeight="1" outlineLevel="1">
      <c r="A7276" s="122">
        <v>42230.0</v>
      </c>
      <c r="B7276" s="32" t="s">
        <v>347</v>
      </c>
      <c r="C7276" s="32" t="s">
        <v>2090</v>
      </c>
      <c r="D7276" s="32">
        <v>900.0</v>
      </c>
      <c r="E7276" s="94">
        <v>7.031</v>
      </c>
      <c r="F7276" s="982">
        <v>0.4245023148148148</v>
      </c>
      <c r="G7276" s="32" t="s">
        <v>453</v>
      </c>
      <c r="H7276" s="710">
        <v>4.52</v>
      </c>
      <c r="I7276" s="256"/>
      <c r="J7276" s="67">
        <f t="shared" si="433"/>
        <v>6323.38</v>
      </c>
      <c r="L7276" s="70"/>
      <c r="M7276" s="934"/>
      <c r="N7276" s="94"/>
      <c r="O7276" s="94"/>
      <c r="P7276" s="94"/>
      <c r="Q7276" s="94"/>
      <c r="R7276" s="94"/>
      <c r="S7276" s="94"/>
      <c r="T7276" s="94"/>
      <c r="U7276" s="94"/>
      <c r="V7276" s="94"/>
      <c r="W7276" s="94"/>
      <c r="X7276" s="94"/>
      <c r="Y7276" s="94"/>
      <c r="Z7276" s="94"/>
      <c r="AA7276" s="94"/>
      <c r="AB7276" s="94"/>
      <c r="AC7276" s="94"/>
      <c r="AD7276" s="94"/>
      <c r="AE7276" s="94"/>
      <c r="AF7276" s="94"/>
      <c r="AG7276" s="94"/>
      <c r="AH7276" s="94"/>
    </row>
    <row r="7277" ht="12.75" hidden="1" customHeight="1" outlineLevel="1">
      <c r="A7277" s="122">
        <v>42230.0</v>
      </c>
      <c r="B7277" s="32" t="s">
        <v>347</v>
      </c>
      <c r="C7277" s="32" t="s">
        <v>784</v>
      </c>
      <c r="D7277" s="983">
        <v>1000.0</v>
      </c>
      <c r="E7277" s="94">
        <v>5.27</v>
      </c>
      <c r="F7277" s="982">
        <v>0.5169675925925926</v>
      </c>
      <c r="G7277" s="32" t="s">
        <v>453</v>
      </c>
      <c r="H7277" s="710">
        <v>4.2</v>
      </c>
      <c r="I7277" s="256"/>
      <c r="J7277" s="67">
        <f t="shared" si="433"/>
        <v>5265.8</v>
      </c>
      <c r="L7277" s="70"/>
      <c r="M7277" s="934"/>
      <c r="N7277" s="94"/>
      <c r="O7277" s="94"/>
      <c r="P7277" s="94"/>
      <c r="Q7277" s="94"/>
      <c r="R7277" s="94"/>
      <c r="S7277" s="94"/>
      <c r="T7277" s="94"/>
      <c r="U7277" s="94"/>
      <c r="V7277" s="94"/>
      <c r="W7277" s="94"/>
      <c r="X7277" s="94"/>
      <c r="Y7277" s="94"/>
      <c r="Z7277" s="94"/>
      <c r="AA7277" s="94"/>
      <c r="AB7277" s="94"/>
      <c r="AC7277" s="94"/>
      <c r="AD7277" s="94"/>
      <c r="AE7277" s="94"/>
      <c r="AF7277" s="94"/>
      <c r="AG7277" s="94"/>
      <c r="AH7277" s="94"/>
    </row>
    <row r="7278" ht="12.75" hidden="1" customHeight="1" outlineLevel="1">
      <c r="A7278" s="122">
        <v>42230.0</v>
      </c>
      <c r="B7278" s="32" t="s">
        <v>347</v>
      </c>
      <c r="C7278" s="32" t="s">
        <v>2090</v>
      </c>
      <c r="D7278" s="32">
        <v>100.0</v>
      </c>
      <c r="E7278" s="94">
        <v>7.0</v>
      </c>
      <c r="F7278" s="982">
        <v>0.5170023148148148</v>
      </c>
      <c r="G7278" s="32" t="s">
        <v>453</v>
      </c>
      <c r="H7278" s="710">
        <v>1.01</v>
      </c>
      <c r="I7278" s="256"/>
      <c r="J7278" s="67">
        <f t="shared" si="433"/>
        <v>698.99</v>
      </c>
      <c r="L7278" s="70"/>
      <c r="M7278" s="934"/>
      <c r="N7278" s="94"/>
      <c r="O7278" s="94"/>
      <c r="P7278" s="94"/>
      <c r="Q7278" s="94"/>
      <c r="R7278" s="94"/>
      <c r="S7278" s="94"/>
      <c r="T7278" s="94"/>
      <c r="U7278" s="94"/>
      <c r="V7278" s="94"/>
      <c r="W7278" s="94"/>
      <c r="X7278" s="94"/>
      <c r="Y7278" s="94"/>
      <c r="Z7278" s="94"/>
      <c r="AA7278" s="94"/>
      <c r="AB7278" s="94"/>
      <c r="AC7278" s="94"/>
      <c r="AD7278" s="94"/>
      <c r="AE7278" s="94"/>
      <c r="AF7278" s="94"/>
      <c r="AG7278" s="94"/>
      <c r="AH7278" s="94"/>
    </row>
    <row r="7279" ht="12.75" hidden="1" customHeight="1" outlineLevel="1">
      <c r="A7279" s="122">
        <v>42230.0</v>
      </c>
      <c r="B7279" s="32" t="s">
        <v>347</v>
      </c>
      <c r="C7279" s="32" t="s">
        <v>2090</v>
      </c>
      <c r="D7279" s="32">
        <v>900.0</v>
      </c>
      <c r="E7279" s="94">
        <v>7.0001</v>
      </c>
      <c r="F7279" s="982">
        <v>0.5171064814814815</v>
      </c>
      <c r="G7279" s="32" t="s">
        <v>453</v>
      </c>
      <c r="H7279" s="710">
        <v>3.72</v>
      </c>
      <c r="I7279" s="256"/>
      <c r="J7279" s="67">
        <f t="shared" si="433"/>
        <v>6296.37</v>
      </c>
      <c r="L7279" s="70"/>
      <c r="M7279" s="934"/>
      <c r="N7279" s="94"/>
      <c r="O7279" s="94"/>
      <c r="P7279" s="94"/>
      <c r="Q7279" s="94"/>
      <c r="R7279" s="94"/>
      <c r="S7279" s="94"/>
      <c r="T7279" s="94"/>
      <c r="U7279" s="94"/>
      <c r="V7279" s="94"/>
      <c r="W7279" s="94"/>
      <c r="X7279" s="94"/>
      <c r="Y7279" s="94"/>
      <c r="Z7279" s="94"/>
      <c r="AA7279" s="94"/>
      <c r="AB7279" s="94"/>
      <c r="AC7279" s="94"/>
      <c r="AD7279" s="94"/>
      <c r="AE7279" s="94"/>
      <c r="AF7279" s="94"/>
      <c r="AG7279" s="94"/>
      <c r="AH7279" s="94"/>
    </row>
    <row r="7280" ht="12.75" hidden="1" customHeight="1" outlineLevel="1">
      <c r="A7280" s="122">
        <v>42230.0</v>
      </c>
      <c r="B7280" s="32" t="s">
        <v>347</v>
      </c>
      <c r="C7280" s="32" t="s">
        <v>784</v>
      </c>
      <c r="D7280" s="983">
        <v>2000.0</v>
      </c>
      <c r="E7280" s="94">
        <v>5.24</v>
      </c>
      <c r="F7280" s="982">
        <v>0.5336689814814815</v>
      </c>
      <c r="G7280" s="32" t="s">
        <v>453</v>
      </c>
      <c r="H7280" s="710">
        <v>10.19</v>
      </c>
      <c r="I7280" s="256"/>
      <c r="J7280" s="67">
        <f t="shared" si="433"/>
        <v>10469.81</v>
      </c>
      <c r="L7280" s="70"/>
      <c r="M7280" s="934"/>
      <c r="N7280" s="94"/>
      <c r="O7280" s="94"/>
      <c r="P7280" s="94"/>
      <c r="Q7280" s="94"/>
      <c r="R7280" s="94"/>
      <c r="S7280" s="94"/>
      <c r="T7280" s="94"/>
      <c r="U7280" s="94"/>
      <c r="V7280" s="94"/>
      <c r="W7280" s="94"/>
      <c r="X7280" s="94"/>
      <c r="Y7280" s="94"/>
      <c r="Z7280" s="94"/>
      <c r="AA7280" s="94"/>
      <c r="AB7280" s="94"/>
      <c r="AC7280" s="94"/>
      <c r="AD7280" s="94"/>
      <c r="AE7280" s="94"/>
      <c r="AF7280" s="94"/>
      <c r="AG7280" s="94"/>
      <c r="AH7280" s="94"/>
    </row>
    <row r="7281" ht="12.75" hidden="1" customHeight="1" outlineLevel="1">
      <c r="A7281" s="122">
        <v>42230.0</v>
      </c>
      <c r="B7281" s="32" t="s">
        <v>347</v>
      </c>
      <c r="C7281" s="32" t="s">
        <v>2090</v>
      </c>
      <c r="D7281" s="983">
        <v>1000.0</v>
      </c>
      <c r="E7281" s="94">
        <v>6.961</v>
      </c>
      <c r="F7281" s="982">
        <v>0.5337268518518519</v>
      </c>
      <c r="G7281" s="32" t="s">
        <v>453</v>
      </c>
      <c r="H7281" s="710">
        <v>4.13</v>
      </c>
      <c r="I7281" s="256"/>
      <c r="J7281" s="67">
        <f t="shared" si="433"/>
        <v>6956.87</v>
      </c>
      <c r="L7281" s="70"/>
      <c r="M7281" s="934"/>
      <c r="N7281" s="94"/>
      <c r="O7281" s="94"/>
      <c r="P7281" s="94"/>
      <c r="Q7281" s="94"/>
      <c r="R7281" s="94"/>
      <c r="S7281" s="94"/>
      <c r="T7281" s="94"/>
      <c r="U7281" s="94"/>
      <c r="V7281" s="94"/>
      <c r="W7281" s="94"/>
      <c r="X7281" s="94"/>
      <c r="Y7281" s="94"/>
      <c r="Z7281" s="94"/>
      <c r="AA7281" s="94"/>
      <c r="AB7281" s="94"/>
      <c r="AC7281" s="94"/>
      <c r="AD7281" s="94"/>
      <c r="AE7281" s="94"/>
      <c r="AF7281" s="94"/>
      <c r="AG7281" s="94"/>
      <c r="AH7281" s="94"/>
    </row>
    <row r="7282" ht="12.75" hidden="1" customHeight="1" outlineLevel="1">
      <c r="A7282" s="122">
        <v>42230.0</v>
      </c>
      <c r="B7282" s="32" t="s">
        <v>347</v>
      </c>
      <c r="C7282" s="32" t="s">
        <v>790</v>
      </c>
      <c r="D7282" s="983">
        <v>2000.0</v>
      </c>
      <c r="E7282" s="94">
        <v>5.991</v>
      </c>
      <c r="F7282" s="982">
        <v>0.6064236111111111</v>
      </c>
      <c r="G7282" s="32" t="s">
        <v>453</v>
      </c>
      <c r="H7282" s="710">
        <v>8.22</v>
      </c>
      <c r="I7282" s="256"/>
      <c r="J7282" s="67">
        <f t="shared" si="433"/>
        <v>11973.78</v>
      </c>
      <c r="L7282" s="70"/>
      <c r="M7282" s="934"/>
      <c r="N7282" s="94"/>
      <c r="O7282" s="94"/>
      <c r="P7282" s="94"/>
      <c r="Q7282" s="94"/>
      <c r="R7282" s="94"/>
      <c r="S7282" s="94"/>
      <c r="T7282" s="94"/>
      <c r="U7282" s="94"/>
      <c r="V7282" s="94"/>
      <c r="W7282" s="94"/>
      <c r="X7282" s="94"/>
      <c r="Y7282" s="94"/>
      <c r="Z7282" s="94"/>
      <c r="AA7282" s="94"/>
      <c r="AB7282" s="94"/>
      <c r="AC7282" s="94"/>
      <c r="AD7282" s="94"/>
      <c r="AE7282" s="94"/>
      <c r="AF7282" s="94"/>
      <c r="AG7282" s="94"/>
      <c r="AH7282" s="94"/>
    </row>
    <row r="7283" ht="12.75" hidden="1" customHeight="1" outlineLevel="1">
      <c r="A7283" s="122">
        <v>42230.0</v>
      </c>
      <c r="B7283" s="32" t="s">
        <v>347</v>
      </c>
      <c r="C7283" s="32" t="s">
        <v>1781</v>
      </c>
      <c r="D7283" s="32">
        <v>500.0</v>
      </c>
      <c r="E7283" s="94">
        <v>7.66</v>
      </c>
      <c r="F7283" s="982">
        <v>0.6516203703703703</v>
      </c>
      <c r="G7283" s="32" t="s">
        <v>453</v>
      </c>
      <c r="H7283" s="710">
        <v>2.47</v>
      </c>
      <c r="I7283" s="256"/>
      <c r="J7283" s="67">
        <f t="shared" si="433"/>
        <v>3827.53</v>
      </c>
      <c r="L7283" s="70"/>
      <c r="M7283" s="934"/>
      <c r="N7283" s="94"/>
      <c r="O7283" s="94"/>
      <c r="P7283" s="94"/>
      <c r="Q7283" s="94"/>
      <c r="R7283" s="94"/>
      <c r="S7283" s="94"/>
      <c r="T7283" s="94"/>
      <c r="U7283" s="94"/>
      <c r="V7283" s="94"/>
      <c r="W7283" s="94"/>
      <c r="X7283" s="94"/>
      <c r="Y7283" s="94"/>
      <c r="Z7283" s="94"/>
      <c r="AA7283" s="94"/>
      <c r="AB7283" s="94"/>
      <c r="AC7283" s="94"/>
      <c r="AD7283" s="94"/>
      <c r="AE7283" s="94"/>
      <c r="AF7283" s="94"/>
      <c r="AG7283" s="94"/>
      <c r="AH7283" s="94"/>
    </row>
    <row r="7284" ht="12.75" hidden="1" customHeight="1" outlineLevel="1">
      <c r="A7284" s="122">
        <v>42230.0</v>
      </c>
      <c r="B7284" s="974"/>
      <c r="C7284" s="32" t="s">
        <v>339</v>
      </c>
      <c r="D7284" s="708"/>
      <c r="E7284" s="195"/>
      <c r="F7284" s="709"/>
      <c r="G7284" s="195"/>
      <c r="H7284" s="710"/>
      <c r="I7284" s="256"/>
      <c r="J7284" s="67"/>
      <c r="K7284" s="968" t="s">
        <v>3105</v>
      </c>
      <c r="L7284" s="934"/>
      <c r="M7284" s="934"/>
    </row>
    <row r="7285" ht="12.75" hidden="1" customHeight="1" outlineLevel="1">
      <c r="A7285" s="122">
        <v>42230.0</v>
      </c>
      <c r="B7285" s="974"/>
      <c r="C7285" s="32" t="s">
        <v>429</v>
      </c>
      <c r="D7285" s="708"/>
      <c r="E7285" s="195"/>
      <c r="F7285" s="709"/>
      <c r="G7285" s="195"/>
      <c r="H7285" s="710"/>
      <c r="I7285" s="256"/>
      <c r="J7285" s="67"/>
      <c r="K7285" s="9" t="s">
        <v>3049</v>
      </c>
      <c r="L7285" s="934"/>
      <c r="M7285" s="934"/>
    </row>
    <row r="7286" ht="12.75" hidden="1" customHeight="1" outlineLevel="1">
      <c r="A7286" s="122">
        <v>42230.0</v>
      </c>
      <c r="B7286" s="974"/>
      <c r="C7286" s="32" t="s">
        <v>431</v>
      </c>
      <c r="D7286" s="708"/>
      <c r="E7286" s="195"/>
      <c r="F7286" s="709"/>
      <c r="G7286" s="195"/>
      <c r="H7286" s="710"/>
      <c r="I7286" s="256"/>
      <c r="J7286" s="67"/>
      <c r="K7286" s="7" t="s">
        <v>1126</v>
      </c>
      <c r="L7286" s="934"/>
      <c r="M7286" s="934"/>
    </row>
    <row r="7287" ht="12.75" hidden="1" customHeight="1" outlineLevel="1">
      <c r="A7287" s="122">
        <v>42230.0</v>
      </c>
      <c r="B7287" s="974"/>
      <c r="C7287" s="32" t="s">
        <v>433</v>
      </c>
      <c r="D7287" s="708"/>
      <c r="E7287" s="195"/>
      <c r="F7287" s="709"/>
      <c r="G7287" s="195"/>
      <c r="H7287" s="710"/>
      <c r="I7287" s="256"/>
      <c r="J7287" s="67"/>
      <c r="K7287" s="7" t="s">
        <v>1103</v>
      </c>
      <c r="L7287" s="934"/>
      <c r="M7287" s="934"/>
    </row>
    <row r="7288" ht="12.75" hidden="1" customHeight="1" outlineLevel="1">
      <c r="A7288" s="122">
        <v>42230.0</v>
      </c>
      <c r="B7288" s="974"/>
      <c r="C7288" s="32" t="s">
        <v>435</v>
      </c>
      <c r="D7288" s="708"/>
      <c r="E7288" s="195"/>
      <c r="F7288" s="709"/>
      <c r="G7288" s="195"/>
      <c r="H7288" s="710"/>
      <c r="I7288" s="256"/>
      <c r="J7288" s="67"/>
      <c r="K7288" s="9" t="s">
        <v>2802</v>
      </c>
      <c r="L7288" s="934"/>
      <c r="M7288" s="934"/>
    </row>
    <row r="7289" ht="12.75" hidden="1" customHeight="1" outlineLevel="1">
      <c r="A7289" s="122">
        <v>42233.0</v>
      </c>
      <c r="B7289" s="32" t="s">
        <v>347</v>
      </c>
      <c r="C7289" s="32" t="s">
        <v>1839</v>
      </c>
      <c r="D7289" s="983">
        <v>1000.0</v>
      </c>
      <c r="E7289" s="94">
        <v>7.4027</v>
      </c>
      <c r="F7289" s="982">
        <v>0.3986458333333333</v>
      </c>
      <c r="G7289" s="32" t="s">
        <v>453</v>
      </c>
      <c r="H7289" s="710">
        <v>4.14</v>
      </c>
      <c r="I7289" s="256"/>
      <c r="J7289" s="67">
        <f t="shared" ref="J7289:J7300" si="434">IF(B7289="SLD",D7289*E7289,-D7289*E7289)-H7289</f>
        <v>7398.56</v>
      </c>
      <c r="L7289" s="70"/>
      <c r="M7289" s="934"/>
      <c r="N7289" s="94"/>
      <c r="O7289" s="94"/>
      <c r="P7289" s="94"/>
      <c r="Q7289" s="94"/>
      <c r="R7289" s="94"/>
      <c r="S7289" s="94"/>
      <c r="T7289" s="94"/>
      <c r="U7289" s="94"/>
      <c r="V7289" s="94"/>
      <c r="W7289" s="94"/>
      <c r="X7289" s="94"/>
      <c r="Y7289" s="94"/>
      <c r="Z7289" s="94"/>
      <c r="AA7289" s="94"/>
      <c r="AB7289" s="94"/>
      <c r="AC7289" s="94"/>
      <c r="AD7289" s="94"/>
      <c r="AE7289" s="94"/>
      <c r="AF7289" s="94"/>
      <c r="AG7289" s="94"/>
      <c r="AH7289" s="94"/>
    </row>
    <row r="7290" ht="12.75" hidden="1" customHeight="1" outlineLevel="1">
      <c r="A7290" s="122">
        <v>42233.0</v>
      </c>
      <c r="B7290" s="32" t="s">
        <v>347</v>
      </c>
      <c r="C7290" s="32" t="s">
        <v>3024</v>
      </c>
      <c r="D7290" s="32">
        <v>200.0</v>
      </c>
      <c r="E7290" s="94">
        <v>21.615</v>
      </c>
      <c r="F7290" s="982">
        <v>0.39895833333333336</v>
      </c>
      <c r="G7290" s="32" t="s">
        <v>453</v>
      </c>
      <c r="H7290" s="710">
        <v>1.08</v>
      </c>
      <c r="I7290" s="256"/>
      <c r="J7290" s="67">
        <f t="shared" si="434"/>
        <v>4321.92</v>
      </c>
      <c r="L7290" s="70"/>
      <c r="M7290" s="934"/>
      <c r="N7290" s="94"/>
      <c r="O7290" s="94"/>
      <c r="P7290" s="94"/>
      <c r="Q7290" s="94"/>
      <c r="R7290" s="94"/>
      <c r="S7290" s="94"/>
      <c r="T7290" s="94"/>
      <c r="U7290" s="94"/>
      <c r="V7290" s="94"/>
      <c r="W7290" s="94"/>
      <c r="X7290" s="94"/>
      <c r="Y7290" s="94"/>
      <c r="Z7290" s="94"/>
      <c r="AA7290" s="94"/>
      <c r="AB7290" s="94"/>
      <c r="AC7290" s="94"/>
      <c r="AD7290" s="94"/>
      <c r="AE7290" s="94"/>
      <c r="AF7290" s="94"/>
      <c r="AG7290" s="94"/>
      <c r="AH7290" s="94"/>
    </row>
    <row r="7291" ht="12.75" hidden="1" customHeight="1" outlineLevel="1">
      <c r="A7291" s="122">
        <v>42233.0</v>
      </c>
      <c r="B7291" s="32" t="s">
        <v>347</v>
      </c>
      <c r="C7291" s="32" t="s">
        <v>790</v>
      </c>
      <c r="D7291" s="983">
        <v>1000.0</v>
      </c>
      <c r="E7291" s="94">
        <v>5.911</v>
      </c>
      <c r="F7291" s="982">
        <v>0.3994097222222222</v>
      </c>
      <c r="G7291" s="32" t="s">
        <v>453</v>
      </c>
      <c r="H7291" s="710">
        <v>4.11</v>
      </c>
      <c r="I7291" s="256"/>
      <c r="J7291" s="67">
        <f t="shared" si="434"/>
        <v>5906.89</v>
      </c>
      <c r="L7291" s="70"/>
      <c r="M7291" s="934"/>
      <c r="N7291" s="94"/>
      <c r="O7291" s="94"/>
      <c r="P7291" s="94"/>
      <c r="Q7291" s="94"/>
      <c r="R7291" s="94"/>
      <c r="S7291" s="94"/>
      <c r="T7291" s="94"/>
      <c r="U7291" s="94"/>
      <c r="V7291" s="94"/>
      <c r="W7291" s="94"/>
      <c r="X7291" s="94"/>
      <c r="Y7291" s="94"/>
      <c r="Z7291" s="94"/>
      <c r="AA7291" s="94"/>
      <c r="AB7291" s="94"/>
      <c r="AC7291" s="94"/>
      <c r="AD7291" s="94"/>
      <c r="AE7291" s="94"/>
      <c r="AF7291" s="94"/>
      <c r="AG7291" s="94"/>
      <c r="AH7291" s="94"/>
    </row>
    <row r="7292" ht="12.75" hidden="1" customHeight="1" outlineLevel="1">
      <c r="A7292" s="122">
        <v>42233.0</v>
      </c>
      <c r="B7292" s="32" t="s">
        <v>347</v>
      </c>
      <c r="C7292" s="32" t="s">
        <v>2090</v>
      </c>
      <c r="D7292" s="983">
        <v>1000.0</v>
      </c>
      <c r="E7292" s="94">
        <v>6.851</v>
      </c>
      <c r="F7292" s="982">
        <v>0.4007060185185185</v>
      </c>
      <c r="G7292" s="32" t="s">
        <v>453</v>
      </c>
      <c r="H7292" s="710">
        <v>4.13</v>
      </c>
      <c r="I7292" s="256"/>
      <c r="J7292" s="67">
        <f t="shared" si="434"/>
        <v>6846.87</v>
      </c>
      <c r="L7292" s="70"/>
      <c r="M7292" s="934"/>
      <c r="N7292" s="94"/>
      <c r="O7292" s="94"/>
      <c r="P7292" s="94"/>
      <c r="Q7292" s="94"/>
      <c r="R7292" s="94"/>
      <c r="S7292" s="94"/>
      <c r="T7292" s="94"/>
      <c r="U7292" s="94"/>
      <c r="V7292" s="94"/>
      <c r="W7292" s="94"/>
      <c r="X7292" s="94"/>
      <c r="Y7292" s="94"/>
      <c r="Z7292" s="94"/>
      <c r="AA7292" s="94"/>
      <c r="AB7292" s="94"/>
      <c r="AC7292" s="94"/>
      <c r="AD7292" s="94"/>
      <c r="AE7292" s="94"/>
      <c r="AF7292" s="94"/>
      <c r="AG7292" s="94"/>
      <c r="AH7292" s="94"/>
    </row>
    <row r="7293" ht="12.75" hidden="1" customHeight="1" outlineLevel="1">
      <c r="A7293" s="122">
        <v>42233.0</v>
      </c>
      <c r="B7293" s="32" t="s">
        <v>347</v>
      </c>
      <c r="C7293" s="32" t="s">
        <v>3024</v>
      </c>
      <c r="D7293" s="32">
        <v>600.0</v>
      </c>
      <c r="E7293" s="94">
        <v>21.52</v>
      </c>
      <c r="F7293" s="982">
        <v>0.4103587962962963</v>
      </c>
      <c r="G7293" s="32" t="s">
        <v>453</v>
      </c>
      <c r="H7293" s="710">
        <v>2.64</v>
      </c>
      <c r="I7293" s="256"/>
      <c r="J7293" s="67">
        <f t="shared" si="434"/>
        <v>12909.36</v>
      </c>
      <c r="L7293" s="70"/>
      <c r="M7293" s="934"/>
      <c r="N7293" s="94"/>
      <c r="O7293" s="94"/>
      <c r="P7293" s="94"/>
      <c r="Q7293" s="94"/>
      <c r="R7293" s="94"/>
      <c r="S7293" s="94"/>
      <c r="T7293" s="94"/>
      <c r="U7293" s="94"/>
      <c r="V7293" s="94"/>
      <c r="W7293" s="94"/>
      <c r="X7293" s="94"/>
      <c r="Y7293" s="94"/>
      <c r="Z7293" s="94"/>
      <c r="AA7293" s="94"/>
      <c r="AB7293" s="94"/>
      <c r="AC7293" s="94"/>
      <c r="AD7293" s="94"/>
      <c r="AE7293" s="94"/>
      <c r="AF7293" s="94"/>
      <c r="AG7293" s="94"/>
      <c r="AH7293" s="94"/>
    </row>
    <row r="7294" ht="12.75" hidden="1" customHeight="1" outlineLevel="1">
      <c r="A7294" s="122">
        <v>42233.0</v>
      </c>
      <c r="B7294" s="32" t="s">
        <v>347</v>
      </c>
      <c r="C7294" s="32" t="s">
        <v>2090</v>
      </c>
      <c r="D7294" s="983">
        <v>2000.0</v>
      </c>
      <c r="E7294" s="94">
        <v>6.81</v>
      </c>
      <c r="F7294" s="982">
        <v>0.4429976851851852</v>
      </c>
      <c r="G7294" s="32" t="s">
        <v>453</v>
      </c>
      <c r="H7294" s="710">
        <v>10.25</v>
      </c>
      <c r="I7294" s="256"/>
      <c r="J7294" s="67">
        <f t="shared" si="434"/>
        <v>13609.75</v>
      </c>
      <c r="L7294" s="70"/>
      <c r="M7294" s="934"/>
      <c r="N7294" s="94"/>
      <c r="O7294" s="94"/>
      <c r="P7294" s="94"/>
      <c r="Q7294" s="94"/>
      <c r="R7294" s="94"/>
      <c r="S7294" s="94"/>
      <c r="T7294" s="94"/>
      <c r="U7294" s="94"/>
      <c r="V7294" s="94"/>
      <c r="W7294" s="94"/>
      <c r="X7294" s="94"/>
      <c r="Y7294" s="94"/>
      <c r="Z7294" s="94"/>
      <c r="AA7294" s="94"/>
      <c r="AB7294" s="94"/>
      <c r="AC7294" s="94"/>
      <c r="AD7294" s="94"/>
      <c r="AE7294" s="94"/>
      <c r="AF7294" s="94"/>
      <c r="AG7294" s="94"/>
      <c r="AH7294" s="94"/>
    </row>
    <row r="7295" ht="12.75" hidden="1" customHeight="1" outlineLevel="1">
      <c r="A7295" s="122">
        <v>42233.0</v>
      </c>
      <c r="B7295" s="32" t="s">
        <v>347</v>
      </c>
      <c r="C7295" s="32" t="s">
        <v>2090</v>
      </c>
      <c r="D7295" s="983">
        <v>3000.0</v>
      </c>
      <c r="E7295" s="94">
        <v>6.801</v>
      </c>
      <c r="F7295" s="982">
        <v>0.44341435185185185</v>
      </c>
      <c r="G7295" s="32" t="s">
        <v>453</v>
      </c>
      <c r="H7295" s="710">
        <v>13.38</v>
      </c>
      <c r="I7295" s="256"/>
      <c r="J7295" s="67">
        <f t="shared" si="434"/>
        <v>20389.62</v>
      </c>
      <c r="L7295" s="70"/>
      <c r="M7295" s="934"/>
      <c r="N7295" s="94"/>
      <c r="O7295" s="94"/>
      <c r="P7295" s="94"/>
      <c r="Q7295" s="94"/>
      <c r="R7295" s="94"/>
      <c r="S7295" s="94"/>
      <c r="T7295" s="94"/>
      <c r="U7295" s="94"/>
      <c r="V7295" s="94"/>
      <c r="W7295" s="94"/>
      <c r="X7295" s="94"/>
      <c r="Y7295" s="94"/>
      <c r="Z7295" s="94"/>
      <c r="AA7295" s="94"/>
      <c r="AB7295" s="94"/>
      <c r="AC7295" s="94"/>
      <c r="AD7295" s="94"/>
      <c r="AE7295" s="94"/>
      <c r="AF7295" s="94"/>
      <c r="AG7295" s="94"/>
      <c r="AH7295" s="94"/>
    </row>
    <row r="7296" ht="12.75" hidden="1" customHeight="1" outlineLevel="1">
      <c r="A7296" s="122">
        <v>42233.0</v>
      </c>
      <c r="B7296" s="32" t="s">
        <v>347</v>
      </c>
      <c r="C7296" s="32" t="s">
        <v>2090</v>
      </c>
      <c r="D7296" s="983">
        <v>3000.0</v>
      </c>
      <c r="E7296" s="94">
        <v>6.81</v>
      </c>
      <c r="F7296" s="982">
        <v>0.4466087962962963</v>
      </c>
      <c r="G7296" s="32" t="s">
        <v>453</v>
      </c>
      <c r="H7296" s="710">
        <v>12.38</v>
      </c>
      <c r="I7296" s="256"/>
      <c r="J7296" s="67">
        <f t="shared" si="434"/>
        <v>20417.62</v>
      </c>
      <c r="L7296" s="70"/>
      <c r="M7296" s="934"/>
      <c r="N7296" s="94"/>
      <c r="O7296" s="94"/>
      <c r="P7296" s="94"/>
      <c r="Q7296" s="94"/>
      <c r="R7296" s="94"/>
      <c r="S7296" s="94"/>
      <c r="T7296" s="94"/>
      <c r="U7296" s="94"/>
      <c r="V7296" s="94"/>
      <c r="W7296" s="94"/>
      <c r="X7296" s="94"/>
      <c r="Y7296" s="94"/>
      <c r="Z7296" s="94"/>
      <c r="AA7296" s="94"/>
      <c r="AB7296" s="94"/>
      <c r="AC7296" s="94"/>
      <c r="AD7296" s="94"/>
      <c r="AE7296" s="94"/>
      <c r="AF7296" s="94"/>
      <c r="AG7296" s="94"/>
      <c r="AH7296" s="94"/>
    </row>
    <row r="7297" ht="12.75" hidden="1" customHeight="1" outlineLevel="1">
      <c r="A7297" s="122">
        <v>42233.0</v>
      </c>
      <c r="B7297" s="32" t="s">
        <v>347</v>
      </c>
      <c r="C7297" s="32" t="s">
        <v>2048</v>
      </c>
      <c r="D7297" s="983">
        <v>1000.0</v>
      </c>
      <c r="E7297" s="94">
        <v>7.72</v>
      </c>
      <c r="F7297" s="982">
        <v>0.4505208333333333</v>
      </c>
      <c r="G7297" s="32" t="s">
        <v>453</v>
      </c>
      <c r="H7297" s="710">
        <v>5.14</v>
      </c>
      <c r="I7297" s="256"/>
      <c r="J7297" s="67">
        <f t="shared" si="434"/>
        <v>7714.86</v>
      </c>
      <c r="L7297" s="70"/>
      <c r="M7297" s="934"/>
      <c r="N7297" s="94"/>
      <c r="O7297" s="94"/>
      <c r="P7297" s="94"/>
      <c r="Q7297" s="94"/>
      <c r="R7297" s="94"/>
      <c r="S7297" s="94"/>
      <c r="T7297" s="94"/>
      <c r="U7297" s="94"/>
      <c r="V7297" s="94"/>
      <c r="W7297" s="94"/>
      <c r="X7297" s="94"/>
      <c r="Y7297" s="94"/>
      <c r="Z7297" s="94"/>
      <c r="AA7297" s="94"/>
      <c r="AB7297" s="94"/>
      <c r="AC7297" s="94"/>
      <c r="AD7297" s="94"/>
      <c r="AE7297" s="94"/>
      <c r="AF7297" s="94"/>
      <c r="AG7297" s="94"/>
      <c r="AH7297" s="94"/>
    </row>
    <row r="7298" ht="12.75" hidden="1" customHeight="1" outlineLevel="1">
      <c r="A7298" s="122">
        <v>42233.0</v>
      </c>
      <c r="B7298" s="32" t="s">
        <v>347</v>
      </c>
      <c r="C7298" s="32" t="s">
        <v>784</v>
      </c>
      <c r="D7298" s="983">
        <v>2000.0</v>
      </c>
      <c r="E7298" s="94">
        <v>5.17</v>
      </c>
      <c r="F7298" s="982">
        <v>0.5826736111111112</v>
      </c>
      <c r="G7298" s="32" t="s">
        <v>453</v>
      </c>
      <c r="H7298" s="710">
        <v>8.19</v>
      </c>
      <c r="I7298" s="256"/>
      <c r="J7298" s="67">
        <f t="shared" si="434"/>
        <v>10331.81</v>
      </c>
      <c r="L7298" s="70"/>
      <c r="M7298" s="934"/>
      <c r="N7298" s="94"/>
      <c r="O7298" s="94"/>
      <c r="P7298" s="94"/>
      <c r="Q7298" s="94"/>
      <c r="R7298" s="94"/>
      <c r="S7298" s="94"/>
      <c r="T7298" s="94"/>
      <c r="U7298" s="94"/>
      <c r="V7298" s="94"/>
      <c r="W7298" s="94"/>
      <c r="X7298" s="94"/>
      <c r="Y7298" s="94"/>
      <c r="Z7298" s="94"/>
      <c r="AA7298" s="94"/>
      <c r="AB7298" s="94"/>
      <c r="AC7298" s="94"/>
      <c r="AD7298" s="94"/>
      <c r="AE7298" s="94"/>
      <c r="AF7298" s="94"/>
      <c r="AG7298" s="94"/>
      <c r="AH7298" s="94"/>
    </row>
    <row r="7299" ht="12.75" hidden="1" customHeight="1" outlineLevel="1">
      <c r="A7299" s="122">
        <v>42233.0</v>
      </c>
      <c r="B7299" s="32" t="s">
        <v>347</v>
      </c>
      <c r="C7299" s="32" t="s">
        <v>784</v>
      </c>
      <c r="D7299" s="983">
        <v>2000.0</v>
      </c>
      <c r="E7299" s="94">
        <v>5.17</v>
      </c>
      <c r="F7299" s="982">
        <v>0.5833564814814814</v>
      </c>
      <c r="G7299" s="32" t="s">
        <v>453</v>
      </c>
      <c r="H7299" s="710">
        <v>10.19</v>
      </c>
      <c r="I7299" s="256"/>
      <c r="J7299" s="67">
        <f t="shared" si="434"/>
        <v>10329.81</v>
      </c>
      <c r="L7299" s="70"/>
      <c r="M7299" s="934"/>
      <c r="N7299" s="94"/>
      <c r="O7299" s="94"/>
      <c r="P7299" s="94"/>
      <c r="Q7299" s="94"/>
      <c r="R7299" s="94"/>
      <c r="S7299" s="94"/>
      <c r="T7299" s="94"/>
      <c r="U7299" s="94"/>
      <c r="V7299" s="94"/>
      <c r="W7299" s="94"/>
      <c r="X7299" s="94"/>
      <c r="Y7299" s="94"/>
      <c r="Z7299" s="94"/>
      <c r="AA7299" s="94"/>
      <c r="AB7299" s="94"/>
      <c r="AC7299" s="94"/>
      <c r="AD7299" s="94"/>
      <c r="AE7299" s="94"/>
      <c r="AF7299" s="94"/>
      <c r="AG7299" s="94"/>
      <c r="AH7299" s="94"/>
    </row>
    <row r="7300" ht="12.75" hidden="1" customHeight="1" outlineLevel="1">
      <c r="A7300" s="122">
        <v>42235.0</v>
      </c>
      <c r="B7300" s="32" t="s">
        <v>343</v>
      </c>
      <c r="C7300" s="32" t="s">
        <v>1249</v>
      </c>
      <c r="D7300" s="32">
        <v>100.0</v>
      </c>
      <c r="E7300" s="94">
        <v>106.0178</v>
      </c>
      <c r="F7300" s="982">
        <v>0.537337962962963</v>
      </c>
      <c r="G7300" s="32" t="s">
        <v>453</v>
      </c>
      <c r="H7300" s="710">
        <v>1.0</v>
      </c>
      <c r="I7300" s="256"/>
      <c r="J7300" s="67">
        <f t="shared" si="434"/>
        <v>-10602.78</v>
      </c>
      <c r="L7300" s="70"/>
      <c r="M7300" s="934"/>
      <c r="N7300" s="94"/>
      <c r="O7300" s="94"/>
      <c r="P7300" s="94"/>
      <c r="Q7300" s="94"/>
      <c r="R7300" s="94"/>
      <c r="S7300" s="94"/>
      <c r="T7300" s="94"/>
      <c r="U7300" s="94"/>
      <c r="V7300" s="94"/>
      <c r="W7300" s="94"/>
      <c r="X7300" s="94"/>
      <c r="Y7300" s="94"/>
      <c r="Z7300" s="94"/>
      <c r="AA7300" s="94"/>
      <c r="AB7300" s="94"/>
      <c r="AC7300" s="94"/>
      <c r="AD7300" s="94"/>
      <c r="AE7300" s="94"/>
      <c r="AF7300" s="94"/>
      <c r="AG7300" s="94"/>
      <c r="AH7300" s="94"/>
    </row>
    <row r="7301" ht="12.75" hidden="1" customHeight="1" outlineLevel="1">
      <c r="A7301" s="122">
        <v>42235.0</v>
      </c>
      <c r="B7301" s="974"/>
      <c r="C7301" s="32" t="s">
        <v>339</v>
      </c>
      <c r="D7301" s="708"/>
      <c r="E7301" s="195"/>
      <c r="F7301" s="709"/>
      <c r="G7301" s="195"/>
      <c r="H7301" s="710"/>
      <c r="I7301" s="256"/>
      <c r="J7301" s="67"/>
      <c r="K7301" s="968" t="s">
        <v>3108</v>
      </c>
      <c r="L7301" s="934"/>
      <c r="M7301" s="934"/>
    </row>
    <row r="7302" ht="12.75" hidden="1" customHeight="1" outlineLevel="1">
      <c r="A7302" s="122">
        <v>42235.0</v>
      </c>
      <c r="B7302" s="974"/>
      <c r="C7302" s="32" t="s">
        <v>429</v>
      </c>
      <c r="D7302" s="708"/>
      <c r="E7302" s="195"/>
      <c r="F7302" s="709"/>
      <c r="G7302" s="195"/>
      <c r="H7302" s="710"/>
      <c r="I7302" s="256"/>
      <c r="J7302" s="67"/>
      <c r="K7302" s="9" t="s">
        <v>3049</v>
      </c>
      <c r="L7302" s="934"/>
      <c r="M7302" s="934"/>
    </row>
    <row r="7303" ht="12.75" hidden="1" customHeight="1" outlineLevel="1">
      <c r="A7303" s="122">
        <v>42235.0</v>
      </c>
      <c r="B7303" s="974"/>
      <c r="C7303" s="32" t="s">
        <v>431</v>
      </c>
      <c r="D7303" s="708"/>
      <c r="E7303" s="195"/>
      <c r="F7303" s="709"/>
      <c r="G7303" s="195"/>
      <c r="H7303" s="710"/>
      <c r="I7303" s="256"/>
      <c r="J7303" s="67"/>
      <c r="K7303" s="7" t="s">
        <v>1126</v>
      </c>
      <c r="L7303" s="934"/>
      <c r="M7303" s="934"/>
    </row>
    <row r="7304" ht="12.75" hidden="1" customHeight="1" outlineLevel="1">
      <c r="A7304" s="122">
        <v>42235.0</v>
      </c>
      <c r="B7304" s="974"/>
      <c r="C7304" s="32" t="s">
        <v>433</v>
      </c>
      <c r="D7304" s="708"/>
      <c r="E7304" s="195"/>
      <c r="F7304" s="709"/>
      <c r="G7304" s="195"/>
      <c r="H7304" s="710"/>
      <c r="I7304" s="256"/>
      <c r="J7304" s="67"/>
      <c r="K7304" s="7" t="s">
        <v>1103</v>
      </c>
      <c r="L7304" s="934"/>
      <c r="M7304" s="934"/>
    </row>
    <row r="7305" ht="12.75" hidden="1" customHeight="1" outlineLevel="1">
      <c r="A7305" s="122">
        <v>42235.0</v>
      </c>
      <c r="B7305" s="974"/>
      <c r="C7305" s="32" t="s">
        <v>435</v>
      </c>
      <c r="D7305" s="708"/>
      <c r="E7305" s="195"/>
      <c r="F7305" s="709"/>
      <c r="G7305" s="195"/>
      <c r="H7305" s="710"/>
      <c r="I7305" s="256"/>
      <c r="J7305" s="67"/>
      <c r="K7305" s="9" t="s">
        <v>2802</v>
      </c>
      <c r="L7305" s="934"/>
      <c r="M7305" s="934"/>
    </row>
    <row r="7306" ht="12.75" hidden="1" customHeight="1" outlineLevel="1">
      <c r="A7306" s="122">
        <v>42237.0</v>
      </c>
      <c r="B7306" s="32" t="s">
        <v>347</v>
      </c>
      <c r="C7306" s="32" t="s">
        <v>346</v>
      </c>
      <c r="D7306" s="32">
        <v>100.0</v>
      </c>
      <c r="E7306" s="94">
        <v>107.93</v>
      </c>
      <c r="F7306" s="982">
        <v>0.5175578703703704</v>
      </c>
      <c r="G7306" s="32" t="s">
        <v>453</v>
      </c>
      <c r="H7306" s="710">
        <v>1.2</v>
      </c>
      <c r="I7306" s="256"/>
      <c r="J7306" s="67">
        <f t="shared" ref="J7306:J7315" si="435">IF(B7306="SLD",D7306*E7306,-D7306*E7306)-H7306</f>
        <v>10791.8</v>
      </c>
      <c r="L7306" s="70"/>
      <c r="M7306" s="934"/>
      <c r="N7306" s="94"/>
      <c r="O7306" s="94"/>
      <c r="P7306" s="94"/>
      <c r="Q7306" s="94"/>
      <c r="R7306" s="94"/>
      <c r="S7306" s="94"/>
      <c r="T7306" s="94"/>
      <c r="U7306" s="94"/>
      <c r="V7306" s="94"/>
      <c r="W7306" s="94"/>
      <c r="X7306" s="94"/>
      <c r="Y7306" s="94"/>
      <c r="Z7306" s="94"/>
      <c r="AA7306" s="94"/>
      <c r="AB7306" s="94"/>
      <c r="AC7306" s="94"/>
      <c r="AD7306" s="94"/>
      <c r="AE7306" s="94"/>
      <c r="AF7306" s="94"/>
      <c r="AG7306" s="94"/>
      <c r="AH7306" s="94"/>
    </row>
    <row r="7307" ht="12.75" hidden="1" customHeight="1" outlineLevel="1">
      <c r="A7307" s="122">
        <v>42237.0</v>
      </c>
      <c r="B7307" s="32" t="s">
        <v>347</v>
      </c>
      <c r="C7307" s="32" t="s">
        <v>3040</v>
      </c>
      <c r="D7307" s="32">
        <v>75.0</v>
      </c>
      <c r="E7307" s="94">
        <v>135.1211</v>
      </c>
      <c r="F7307" s="982">
        <v>0.530613425925926</v>
      </c>
      <c r="G7307" s="32" t="s">
        <v>453</v>
      </c>
      <c r="H7307" s="710">
        <v>1.19</v>
      </c>
      <c r="I7307" s="256"/>
      <c r="J7307" s="67">
        <f t="shared" si="435"/>
        <v>10132.8925</v>
      </c>
      <c r="L7307" s="70"/>
      <c r="M7307" s="934"/>
      <c r="N7307" s="94"/>
      <c r="O7307" s="94"/>
      <c r="P7307" s="94"/>
      <c r="Q7307" s="94"/>
      <c r="R7307" s="94"/>
      <c r="S7307" s="94"/>
      <c r="T7307" s="94"/>
      <c r="U7307" s="94"/>
      <c r="V7307" s="94"/>
      <c r="W7307" s="94"/>
      <c r="X7307" s="94"/>
      <c r="Y7307" s="94"/>
      <c r="Z7307" s="94"/>
      <c r="AA7307" s="94"/>
      <c r="AB7307" s="94"/>
      <c r="AC7307" s="94"/>
      <c r="AD7307" s="94"/>
      <c r="AE7307" s="94"/>
      <c r="AF7307" s="94"/>
      <c r="AG7307" s="94"/>
      <c r="AH7307" s="94"/>
    </row>
    <row r="7308" ht="12.75" hidden="1" customHeight="1" outlineLevel="1">
      <c r="A7308" s="122">
        <v>42237.0</v>
      </c>
      <c r="B7308" s="32" t="s">
        <v>347</v>
      </c>
      <c r="C7308" s="32" t="s">
        <v>1400</v>
      </c>
      <c r="D7308" s="32">
        <v>125.0</v>
      </c>
      <c r="E7308" s="94">
        <v>77.472</v>
      </c>
      <c r="F7308" s="982">
        <v>0.5308796296296296</v>
      </c>
      <c r="G7308" s="32" t="s">
        <v>453</v>
      </c>
      <c r="H7308" s="710">
        <v>1.18</v>
      </c>
      <c r="I7308" s="256"/>
      <c r="J7308" s="67">
        <f t="shared" si="435"/>
        <v>9682.82</v>
      </c>
      <c r="L7308" s="70"/>
      <c r="M7308" s="934"/>
      <c r="N7308" s="94"/>
      <c r="O7308" s="94"/>
      <c r="P7308" s="94"/>
      <c r="Q7308" s="94"/>
      <c r="R7308" s="94"/>
      <c r="S7308" s="94"/>
      <c r="T7308" s="94"/>
      <c r="U7308" s="94"/>
      <c r="V7308" s="94"/>
      <c r="W7308" s="94"/>
      <c r="X7308" s="94"/>
      <c r="Y7308" s="94"/>
      <c r="Z7308" s="94"/>
      <c r="AA7308" s="94"/>
      <c r="AB7308" s="94"/>
      <c r="AC7308" s="94"/>
      <c r="AD7308" s="94"/>
      <c r="AE7308" s="94"/>
      <c r="AF7308" s="94"/>
      <c r="AG7308" s="94"/>
      <c r="AH7308" s="94"/>
    </row>
    <row r="7309" ht="12.75" hidden="1" customHeight="1" outlineLevel="1">
      <c r="A7309" s="122">
        <v>42237.0</v>
      </c>
      <c r="B7309" s="32" t="s">
        <v>347</v>
      </c>
      <c r="C7309" s="32" t="s">
        <v>2090</v>
      </c>
      <c r="D7309" s="983">
        <v>5000.0</v>
      </c>
      <c r="E7309" s="94">
        <v>6.28</v>
      </c>
      <c r="F7309" s="982">
        <v>0.6473148148148148</v>
      </c>
      <c r="G7309" s="32" t="s">
        <v>453</v>
      </c>
      <c r="H7309" s="710">
        <v>23.68</v>
      </c>
      <c r="I7309" s="256"/>
      <c r="J7309" s="67">
        <f t="shared" si="435"/>
        <v>31376.32</v>
      </c>
      <c r="L7309" s="70"/>
      <c r="M7309" s="934"/>
      <c r="N7309" s="94"/>
      <c r="O7309" s="94"/>
      <c r="P7309" s="94"/>
      <c r="Q7309" s="94"/>
      <c r="R7309" s="94"/>
      <c r="S7309" s="94"/>
      <c r="T7309" s="94"/>
      <c r="U7309" s="94"/>
      <c r="V7309" s="94"/>
      <c r="W7309" s="94"/>
      <c r="X7309" s="94"/>
      <c r="Y7309" s="94"/>
      <c r="Z7309" s="94"/>
      <c r="AA7309" s="94"/>
      <c r="AB7309" s="94"/>
      <c r="AC7309" s="94"/>
      <c r="AD7309" s="94"/>
      <c r="AE7309" s="94"/>
      <c r="AF7309" s="94"/>
      <c r="AG7309" s="94"/>
      <c r="AH7309" s="94"/>
    </row>
    <row r="7310" ht="12.75" hidden="1" customHeight="1" outlineLevel="1">
      <c r="A7310" s="122">
        <v>42237.0</v>
      </c>
      <c r="B7310" s="32" t="s">
        <v>347</v>
      </c>
      <c r="C7310" s="32" t="s">
        <v>784</v>
      </c>
      <c r="D7310" s="983">
        <v>5000.0</v>
      </c>
      <c r="E7310" s="94">
        <v>4.8101</v>
      </c>
      <c r="F7310" s="982">
        <v>0.6474189814814815</v>
      </c>
      <c r="G7310" s="32" t="s">
        <v>453</v>
      </c>
      <c r="H7310" s="710">
        <v>20.44</v>
      </c>
      <c r="I7310" s="256"/>
      <c r="J7310" s="67">
        <f t="shared" si="435"/>
        <v>24030.06</v>
      </c>
      <c r="L7310" s="70"/>
      <c r="M7310" s="934"/>
      <c r="N7310" s="94"/>
      <c r="O7310" s="94"/>
      <c r="P7310" s="94"/>
      <c r="Q7310" s="94"/>
      <c r="R7310" s="94"/>
      <c r="S7310" s="94"/>
      <c r="T7310" s="94"/>
      <c r="U7310" s="94"/>
      <c r="V7310" s="94"/>
      <c r="W7310" s="94"/>
      <c r="X7310" s="94"/>
      <c r="Y7310" s="94"/>
      <c r="Z7310" s="94"/>
      <c r="AA7310" s="94"/>
      <c r="AB7310" s="94"/>
      <c r="AC7310" s="94"/>
      <c r="AD7310" s="94"/>
      <c r="AE7310" s="94"/>
      <c r="AF7310" s="94"/>
      <c r="AG7310" s="94"/>
      <c r="AH7310" s="94"/>
    </row>
    <row r="7311" ht="12.75" hidden="1" customHeight="1" outlineLevel="1">
      <c r="A7311" s="122">
        <v>42237.0</v>
      </c>
      <c r="B7311" s="32" t="s">
        <v>347</v>
      </c>
      <c r="C7311" s="32" t="s">
        <v>2090</v>
      </c>
      <c r="D7311" s="983">
        <v>3000.0</v>
      </c>
      <c r="E7311" s="94">
        <v>6.271</v>
      </c>
      <c r="F7311" s="982">
        <v>0.6481134259259259</v>
      </c>
      <c r="G7311" s="32" t="s">
        <v>453</v>
      </c>
      <c r="H7311" s="710">
        <v>12.45</v>
      </c>
      <c r="I7311" s="256"/>
      <c r="J7311" s="67">
        <f t="shared" si="435"/>
        <v>18800.55</v>
      </c>
      <c r="L7311" s="70"/>
      <c r="M7311" s="934"/>
      <c r="N7311" s="94"/>
      <c r="O7311" s="94"/>
      <c r="P7311" s="94"/>
      <c r="Q7311" s="94"/>
      <c r="R7311" s="94"/>
      <c r="S7311" s="94"/>
      <c r="T7311" s="94"/>
      <c r="U7311" s="94"/>
      <c r="V7311" s="94"/>
      <c r="W7311" s="94"/>
      <c r="X7311" s="94"/>
      <c r="Y7311" s="94"/>
      <c r="Z7311" s="94"/>
      <c r="AA7311" s="94"/>
      <c r="AB7311" s="94"/>
      <c r="AC7311" s="94"/>
      <c r="AD7311" s="94"/>
      <c r="AE7311" s="94"/>
      <c r="AF7311" s="94"/>
      <c r="AG7311" s="94"/>
      <c r="AH7311" s="94"/>
    </row>
    <row r="7312" ht="12.75" hidden="1" customHeight="1" outlineLevel="1">
      <c r="A7312" s="122">
        <v>42237.0</v>
      </c>
      <c r="B7312" s="32" t="s">
        <v>347</v>
      </c>
      <c r="C7312" s="32" t="s">
        <v>784</v>
      </c>
      <c r="D7312" s="983">
        <v>3000.0</v>
      </c>
      <c r="E7312" s="94">
        <v>4.81</v>
      </c>
      <c r="F7312" s="982">
        <v>0.6482523148148148</v>
      </c>
      <c r="G7312" s="32" t="s">
        <v>453</v>
      </c>
      <c r="H7312" s="710">
        <v>15.27</v>
      </c>
      <c r="I7312" s="256"/>
      <c r="J7312" s="67">
        <f t="shared" si="435"/>
        <v>14414.73</v>
      </c>
      <c r="L7312" s="70"/>
      <c r="M7312" s="934"/>
      <c r="N7312" s="94"/>
      <c r="O7312" s="94"/>
      <c r="P7312" s="94"/>
      <c r="Q7312" s="94"/>
      <c r="R7312" s="94"/>
      <c r="S7312" s="94"/>
      <c r="T7312" s="94"/>
      <c r="U7312" s="94"/>
      <c r="V7312" s="94"/>
      <c r="W7312" s="94"/>
      <c r="X7312" s="94"/>
      <c r="Y7312" s="94"/>
      <c r="Z7312" s="94"/>
      <c r="AA7312" s="94"/>
      <c r="AB7312" s="94"/>
      <c r="AC7312" s="94"/>
      <c r="AD7312" s="94"/>
      <c r="AE7312" s="94"/>
      <c r="AF7312" s="94"/>
      <c r="AG7312" s="94"/>
      <c r="AH7312" s="94"/>
    </row>
    <row r="7313" ht="12.75" hidden="1" customHeight="1" outlineLevel="1">
      <c r="A7313" s="122">
        <v>42237.0</v>
      </c>
      <c r="B7313" s="32" t="s">
        <v>347</v>
      </c>
      <c r="C7313" s="32" t="s">
        <v>2090</v>
      </c>
      <c r="D7313" s="983">
        <v>3000.0</v>
      </c>
      <c r="E7313" s="94">
        <v>6.26</v>
      </c>
      <c r="F7313" s="982">
        <v>0.6492476851851852</v>
      </c>
      <c r="G7313" s="32" t="s">
        <v>453</v>
      </c>
      <c r="H7313" s="710">
        <v>14.25</v>
      </c>
      <c r="I7313" s="256"/>
      <c r="J7313" s="67">
        <f t="shared" si="435"/>
        <v>18765.75</v>
      </c>
      <c r="L7313" s="70"/>
      <c r="M7313" s="934"/>
      <c r="N7313" s="94"/>
      <c r="O7313" s="94"/>
      <c r="P7313" s="94"/>
      <c r="Q7313" s="94"/>
      <c r="R7313" s="94"/>
      <c r="S7313" s="94"/>
      <c r="T7313" s="94"/>
      <c r="U7313" s="94"/>
      <c r="V7313" s="94"/>
      <c r="W7313" s="94"/>
      <c r="X7313" s="94"/>
      <c r="Y7313" s="94"/>
      <c r="Z7313" s="94"/>
      <c r="AA7313" s="94"/>
      <c r="AB7313" s="94"/>
      <c r="AC7313" s="94"/>
      <c r="AD7313" s="94"/>
      <c r="AE7313" s="94"/>
      <c r="AF7313" s="94"/>
      <c r="AG7313" s="94"/>
      <c r="AH7313" s="94"/>
    </row>
    <row r="7314" ht="12.75" hidden="1" customHeight="1" outlineLevel="1">
      <c r="A7314" s="122">
        <v>42237.0</v>
      </c>
      <c r="B7314" s="32" t="s">
        <v>347</v>
      </c>
      <c r="C7314" s="32" t="s">
        <v>784</v>
      </c>
      <c r="D7314" s="32">
        <v>400.0</v>
      </c>
      <c r="E7314" s="94">
        <v>4.7901</v>
      </c>
      <c r="F7314" s="982">
        <v>0.6493402777777778</v>
      </c>
      <c r="G7314" s="32" t="s">
        <v>453</v>
      </c>
      <c r="H7314" s="710">
        <v>1.64</v>
      </c>
      <c r="I7314" s="256"/>
      <c r="J7314" s="67">
        <f t="shared" si="435"/>
        <v>1914.4</v>
      </c>
      <c r="L7314" s="70"/>
      <c r="M7314" s="934"/>
      <c r="N7314" s="94"/>
      <c r="O7314" s="94"/>
      <c r="P7314" s="94"/>
      <c r="Q7314" s="94"/>
      <c r="R7314" s="94"/>
      <c r="S7314" s="94"/>
      <c r="T7314" s="94"/>
      <c r="U7314" s="94"/>
      <c r="V7314" s="94"/>
      <c r="W7314" s="94"/>
      <c r="X7314" s="94"/>
      <c r="Y7314" s="94"/>
      <c r="Z7314" s="94"/>
      <c r="AA7314" s="94"/>
      <c r="AB7314" s="94"/>
      <c r="AC7314" s="94"/>
      <c r="AD7314" s="94"/>
      <c r="AE7314" s="94"/>
      <c r="AF7314" s="94"/>
      <c r="AG7314" s="94"/>
      <c r="AH7314" s="94"/>
    </row>
    <row r="7315" ht="12.75" hidden="1" customHeight="1" outlineLevel="1">
      <c r="A7315" s="122">
        <v>42237.0</v>
      </c>
      <c r="B7315" s="32" t="s">
        <v>347</v>
      </c>
      <c r="C7315" s="32" t="s">
        <v>784</v>
      </c>
      <c r="D7315" s="983">
        <v>3600.0</v>
      </c>
      <c r="E7315" s="94">
        <v>4.7901</v>
      </c>
      <c r="F7315" s="982">
        <v>0.6494328703703703</v>
      </c>
      <c r="G7315" s="32" t="s">
        <v>453</v>
      </c>
      <c r="H7315" s="710">
        <v>14.72</v>
      </c>
      <c r="I7315" s="256"/>
      <c r="J7315" s="67">
        <f t="shared" si="435"/>
        <v>17229.64</v>
      </c>
      <c r="L7315" s="70"/>
      <c r="M7315" s="934"/>
      <c r="N7315" s="94"/>
      <c r="O7315" s="94"/>
      <c r="P7315" s="94"/>
      <c r="Q7315" s="94"/>
      <c r="R7315" s="94"/>
      <c r="S7315" s="94"/>
      <c r="T7315" s="94"/>
      <c r="U7315" s="94"/>
      <c r="V7315" s="94"/>
      <c r="W7315" s="94"/>
      <c r="X7315" s="94"/>
      <c r="Y7315" s="94"/>
      <c r="Z7315" s="94"/>
      <c r="AA7315" s="94"/>
      <c r="AB7315" s="94"/>
      <c r="AC7315" s="94"/>
      <c r="AD7315" s="94"/>
      <c r="AE7315" s="94"/>
      <c r="AF7315" s="94"/>
      <c r="AG7315" s="94"/>
      <c r="AH7315" s="94"/>
    </row>
    <row r="7316" ht="12.75" hidden="1" customHeight="1" outlineLevel="1">
      <c r="A7316" s="122">
        <v>42237.0</v>
      </c>
      <c r="B7316" s="974"/>
      <c r="C7316" s="32" t="s">
        <v>339</v>
      </c>
      <c r="D7316" s="708"/>
      <c r="E7316" s="195"/>
      <c r="F7316" s="709"/>
      <c r="G7316" s="195"/>
      <c r="H7316" s="710"/>
      <c r="I7316" s="256"/>
      <c r="J7316" s="67"/>
      <c r="K7316" s="968" t="s">
        <v>3109</v>
      </c>
      <c r="L7316" s="934"/>
      <c r="M7316" s="934"/>
    </row>
    <row r="7317" ht="12.75" hidden="1" customHeight="1" outlineLevel="1">
      <c r="A7317" s="122">
        <v>42237.0</v>
      </c>
      <c r="B7317" s="974"/>
      <c r="C7317" s="32" t="s">
        <v>429</v>
      </c>
      <c r="D7317" s="708"/>
      <c r="E7317" s="195"/>
      <c r="F7317" s="709"/>
      <c r="G7317" s="195"/>
      <c r="H7317" s="710"/>
      <c r="I7317" s="256"/>
      <c r="J7317" s="67"/>
      <c r="K7317" s="9" t="s">
        <v>3049</v>
      </c>
      <c r="L7317" s="934"/>
      <c r="M7317" s="934"/>
    </row>
    <row r="7318" ht="12.75" hidden="1" customHeight="1" outlineLevel="1">
      <c r="A7318" s="122">
        <v>42237.0</v>
      </c>
      <c r="B7318" s="974"/>
      <c r="C7318" s="32" t="s">
        <v>431</v>
      </c>
      <c r="D7318" s="708"/>
      <c r="E7318" s="195"/>
      <c r="F7318" s="709"/>
      <c r="G7318" s="195"/>
      <c r="H7318" s="710"/>
      <c r="I7318" s="256"/>
      <c r="J7318" s="67"/>
      <c r="K7318" s="7" t="s">
        <v>1126</v>
      </c>
      <c r="L7318" s="934"/>
      <c r="M7318" s="934"/>
    </row>
    <row r="7319" ht="12.75" hidden="1" customHeight="1" outlineLevel="1">
      <c r="A7319" s="122">
        <v>42237.0</v>
      </c>
      <c r="B7319" s="974"/>
      <c r="C7319" s="32" t="s">
        <v>433</v>
      </c>
      <c r="D7319" s="708"/>
      <c r="E7319" s="195"/>
      <c r="F7319" s="709"/>
      <c r="G7319" s="195"/>
      <c r="H7319" s="710"/>
      <c r="I7319" s="256"/>
      <c r="J7319" s="67"/>
      <c r="K7319" s="7" t="s">
        <v>1103</v>
      </c>
      <c r="L7319" s="934"/>
      <c r="M7319" s="934"/>
    </row>
    <row r="7320" ht="12.75" hidden="1" customHeight="1" outlineLevel="1">
      <c r="A7320" s="122">
        <v>42237.0</v>
      </c>
      <c r="B7320" s="974"/>
      <c r="C7320" s="32" t="s">
        <v>435</v>
      </c>
      <c r="D7320" s="708"/>
      <c r="E7320" s="195"/>
      <c r="F7320" s="709"/>
      <c r="G7320" s="195"/>
      <c r="H7320" s="710"/>
      <c r="I7320" s="256"/>
      <c r="J7320" s="67"/>
      <c r="K7320" s="9" t="s">
        <v>2802</v>
      </c>
      <c r="L7320" s="934"/>
      <c r="M7320" s="934"/>
    </row>
    <row r="7321" ht="12.75" hidden="1" customHeight="1" outlineLevel="1">
      <c r="A7321" s="122">
        <v>42240.0</v>
      </c>
      <c r="B7321" s="32" t="s">
        <v>343</v>
      </c>
      <c r="C7321" s="32" t="s">
        <v>1781</v>
      </c>
      <c r="D7321" s="983">
        <v>1000.0</v>
      </c>
      <c r="E7321" s="94">
        <v>7.91</v>
      </c>
      <c r="F7321" s="982">
        <v>0.4293518518518519</v>
      </c>
      <c r="G7321" s="32" t="s">
        <v>453</v>
      </c>
      <c r="H7321" s="710">
        <v>5.0</v>
      </c>
      <c r="I7321" s="256"/>
      <c r="J7321" s="67">
        <f t="shared" ref="J7321:J7325" si="436">IF(B7321="SLD",D7321*E7321,-D7321*E7321)-H7321</f>
        <v>-7915</v>
      </c>
      <c r="L7321" s="70"/>
      <c r="M7321" s="934"/>
      <c r="N7321" s="94"/>
      <c r="O7321" s="94"/>
      <c r="P7321" s="94"/>
      <c r="Q7321" s="94"/>
      <c r="R7321" s="94"/>
      <c r="S7321" s="94"/>
      <c r="T7321" s="94"/>
      <c r="U7321" s="94"/>
      <c r="V7321" s="94"/>
      <c r="W7321" s="94"/>
      <c r="X7321" s="94"/>
      <c r="Y7321" s="94"/>
      <c r="Z7321" s="94"/>
      <c r="AA7321" s="94"/>
      <c r="AB7321" s="94"/>
      <c r="AC7321" s="94"/>
      <c r="AD7321" s="94"/>
      <c r="AE7321" s="94"/>
      <c r="AF7321" s="94"/>
      <c r="AG7321" s="94"/>
      <c r="AH7321" s="94"/>
    </row>
    <row r="7322" ht="12.75" hidden="1" customHeight="1" outlineLevel="1">
      <c r="A7322" s="122">
        <v>42240.0</v>
      </c>
      <c r="B7322" s="32" t="s">
        <v>343</v>
      </c>
      <c r="C7322" s="32" t="s">
        <v>346</v>
      </c>
      <c r="D7322" s="32">
        <v>100.0</v>
      </c>
      <c r="E7322" s="94">
        <v>105.72</v>
      </c>
      <c r="F7322" s="982">
        <v>0.43409722222222225</v>
      </c>
      <c r="G7322" s="32" t="s">
        <v>453</v>
      </c>
      <c r="H7322" s="710">
        <v>1.0</v>
      </c>
      <c r="I7322" s="256"/>
      <c r="J7322" s="67">
        <f t="shared" si="436"/>
        <v>-10573</v>
      </c>
      <c r="L7322" s="70"/>
      <c r="M7322" s="934"/>
      <c r="N7322" s="94"/>
      <c r="O7322" s="94"/>
      <c r="P7322" s="94"/>
      <c r="Q7322" s="94"/>
      <c r="R7322" s="94"/>
      <c r="S7322" s="94"/>
      <c r="T7322" s="94"/>
      <c r="U7322" s="94"/>
      <c r="V7322" s="94"/>
      <c r="W7322" s="94"/>
      <c r="X7322" s="94"/>
      <c r="Y7322" s="94"/>
      <c r="Z7322" s="94"/>
      <c r="AA7322" s="94"/>
      <c r="AB7322" s="94"/>
      <c r="AC7322" s="94"/>
      <c r="AD7322" s="94"/>
      <c r="AE7322" s="94"/>
      <c r="AF7322" s="94"/>
      <c r="AG7322" s="94"/>
      <c r="AH7322" s="94"/>
    </row>
    <row r="7323" ht="12.75" hidden="1" customHeight="1" outlineLevel="1">
      <c r="A7323" s="122">
        <v>42240.0</v>
      </c>
      <c r="B7323" s="32" t="s">
        <v>343</v>
      </c>
      <c r="C7323" s="32" t="s">
        <v>2177</v>
      </c>
      <c r="D7323" s="32">
        <v>25.0</v>
      </c>
      <c r="E7323" s="94">
        <v>224.18</v>
      </c>
      <c r="F7323" s="982">
        <v>0.43594907407407407</v>
      </c>
      <c r="G7323" s="32" t="s">
        <v>453</v>
      </c>
      <c r="H7323" s="710">
        <v>1.0</v>
      </c>
      <c r="I7323" s="256"/>
      <c r="J7323" s="67">
        <f t="shared" si="436"/>
        <v>-5605.5</v>
      </c>
      <c r="L7323" s="70"/>
      <c r="M7323" s="934"/>
      <c r="N7323" s="94"/>
      <c r="O7323" s="94"/>
      <c r="P7323" s="94"/>
      <c r="Q7323" s="94"/>
      <c r="R7323" s="94"/>
      <c r="S7323" s="94"/>
      <c r="T7323" s="94"/>
      <c r="U7323" s="94"/>
      <c r="V7323" s="94"/>
      <c r="W7323" s="94"/>
      <c r="X7323" s="94"/>
      <c r="Y7323" s="94"/>
      <c r="Z7323" s="94"/>
      <c r="AA7323" s="94"/>
      <c r="AB7323" s="94"/>
      <c r="AC7323" s="94"/>
      <c r="AD7323" s="94"/>
      <c r="AE7323" s="94"/>
      <c r="AF7323" s="94"/>
      <c r="AG7323" s="94"/>
      <c r="AH7323" s="94"/>
    </row>
    <row r="7324" ht="12.75" hidden="1" customHeight="1" outlineLevel="1">
      <c r="A7324" s="122">
        <v>42240.0</v>
      </c>
      <c r="B7324" s="32" t="s">
        <v>343</v>
      </c>
      <c r="C7324" s="32" t="s">
        <v>1781</v>
      </c>
      <c r="D7324" s="983">
        <v>1000.0</v>
      </c>
      <c r="E7324" s="94">
        <v>7.889</v>
      </c>
      <c r="F7324" s="982">
        <v>0.4432291666666667</v>
      </c>
      <c r="G7324" s="32" t="s">
        <v>453</v>
      </c>
      <c r="H7324" s="710">
        <v>4.0</v>
      </c>
      <c r="I7324" s="256"/>
      <c r="J7324" s="67">
        <f t="shared" si="436"/>
        <v>-7893</v>
      </c>
      <c r="L7324" s="70"/>
      <c r="M7324" s="934"/>
      <c r="N7324" s="94"/>
      <c r="O7324" s="94"/>
      <c r="P7324" s="94"/>
      <c r="Q7324" s="94"/>
      <c r="R7324" s="94"/>
      <c r="S7324" s="94"/>
      <c r="T7324" s="94"/>
      <c r="U7324" s="94"/>
      <c r="V7324" s="94"/>
      <c r="W7324" s="94"/>
      <c r="X7324" s="94"/>
      <c r="Y7324" s="94"/>
      <c r="Z7324" s="94"/>
      <c r="AA7324" s="94"/>
      <c r="AB7324" s="94"/>
      <c r="AC7324" s="94"/>
      <c r="AD7324" s="94"/>
      <c r="AE7324" s="94"/>
      <c r="AF7324" s="94"/>
      <c r="AG7324" s="94"/>
      <c r="AH7324" s="94"/>
    </row>
    <row r="7325" ht="12.75" hidden="1" customHeight="1" outlineLevel="1">
      <c r="A7325" s="122">
        <v>42240.0</v>
      </c>
      <c r="B7325" s="32" t="s">
        <v>343</v>
      </c>
      <c r="C7325" s="32" t="s">
        <v>2862</v>
      </c>
      <c r="D7325" s="32">
        <v>100.0</v>
      </c>
      <c r="E7325" s="94">
        <v>101.4</v>
      </c>
      <c r="F7325" s="982">
        <v>0.4471643518518518</v>
      </c>
      <c r="G7325" s="32" t="s">
        <v>453</v>
      </c>
      <c r="H7325" s="710">
        <v>1.0</v>
      </c>
      <c r="I7325" s="256"/>
      <c r="J7325" s="67">
        <f t="shared" si="436"/>
        <v>-10141</v>
      </c>
      <c r="L7325" s="70"/>
      <c r="M7325" s="934"/>
      <c r="N7325" s="94"/>
      <c r="O7325" s="94"/>
      <c r="P7325" s="94"/>
      <c r="Q7325" s="94"/>
      <c r="R7325" s="94"/>
      <c r="S7325" s="94"/>
      <c r="T7325" s="94"/>
      <c r="U7325" s="94"/>
      <c r="V7325" s="94"/>
      <c r="W7325" s="94"/>
      <c r="X7325" s="94"/>
      <c r="Y7325" s="94"/>
      <c r="Z7325" s="94"/>
      <c r="AA7325" s="94"/>
      <c r="AB7325" s="94"/>
      <c r="AC7325" s="94"/>
      <c r="AD7325" s="94"/>
      <c r="AE7325" s="94"/>
      <c r="AF7325" s="94"/>
      <c r="AG7325" s="94"/>
      <c r="AH7325" s="94"/>
    </row>
    <row r="7326" ht="12.75" hidden="1" customHeight="1" outlineLevel="1">
      <c r="A7326" s="122">
        <v>42240.0</v>
      </c>
      <c r="B7326" s="974"/>
      <c r="C7326" s="32" t="s">
        <v>339</v>
      </c>
      <c r="D7326" s="708"/>
      <c r="E7326" s="195"/>
      <c r="F7326" s="709"/>
      <c r="G7326" s="195"/>
      <c r="H7326" s="710"/>
      <c r="I7326" s="256"/>
      <c r="J7326" s="67"/>
      <c r="K7326" s="968" t="s">
        <v>3110</v>
      </c>
      <c r="L7326" s="934"/>
      <c r="M7326" s="934"/>
    </row>
    <row r="7327" ht="12.75" hidden="1" customHeight="1" outlineLevel="1">
      <c r="A7327" s="122">
        <v>42240.0</v>
      </c>
      <c r="B7327" s="974"/>
      <c r="C7327" s="32" t="s">
        <v>429</v>
      </c>
      <c r="D7327" s="708"/>
      <c r="E7327" s="195"/>
      <c r="F7327" s="709"/>
      <c r="G7327" s="195"/>
      <c r="H7327" s="710"/>
      <c r="I7327" s="256"/>
      <c r="J7327" s="67"/>
      <c r="K7327" s="9" t="s">
        <v>3049</v>
      </c>
      <c r="L7327" s="934"/>
      <c r="M7327" s="934"/>
    </row>
    <row r="7328" ht="12.75" hidden="1" customHeight="1" outlineLevel="1">
      <c r="A7328" s="122">
        <v>42240.0</v>
      </c>
      <c r="B7328" s="974"/>
      <c r="C7328" s="32" t="s">
        <v>431</v>
      </c>
      <c r="D7328" s="708"/>
      <c r="E7328" s="195"/>
      <c r="F7328" s="709"/>
      <c r="G7328" s="195"/>
      <c r="H7328" s="710"/>
      <c r="I7328" s="256"/>
      <c r="J7328" s="67"/>
      <c r="K7328" s="7" t="s">
        <v>1126</v>
      </c>
      <c r="L7328" s="934"/>
      <c r="M7328" s="934"/>
    </row>
    <row r="7329" ht="12.75" hidden="1" customHeight="1" outlineLevel="1">
      <c r="A7329" s="122">
        <v>42240.0</v>
      </c>
      <c r="B7329" s="974"/>
      <c r="C7329" s="32" t="s">
        <v>433</v>
      </c>
      <c r="D7329" s="708"/>
      <c r="E7329" s="195"/>
      <c r="F7329" s="709"/>
      <c r="G7329" s="195"/>
      <c r="H7329" s="710"/>
      <c r="I7329" s="256"/>
      <c r="J7329" s="67"/>
      <c r="K7329" s="7" t="s">
        <v>1103</v>
      </c>
      <c r="L7329" s="934"/>
      <c r="M7329" s="934"/>
    </row>
    <row r="7330" ht="12.75" hidden="1" customHeight="1" outlineLevel="1">
      <c r="A7330" s="122">
        <v>42240.0</v>
      </c>
      <c r="B7330" s="974"/>
      <c r="C7330" s="32" t="s">
        <v>435</v>
      </c>
      <c r="D7330" s="708"/>
      <c r="E7330" s="195"/>
      <c r="F7330" s="709"/>
      <c r="G7330" s="195"/>
      <c r="H7330" s="710"/>
      <c r="I7330" s="256"/>
      <c r="J7330" s="67"/>
      <c r="K7330" s="9" t="s">
        <v>3111</v>
      </c>
      <c r="L7330" s="934"/>
      <c r="M7330" s="934"/>
    </row>
    <row r="7331" ht="12.75" hidden="1" customHeight="1" outlineLevel="1">
      <c r="A7331" s="122">
        <v>42241.0</v>
      </c>
      <c r="B7331" s="32" t="s">
        <v>347</v>
      </c>
      <c r="C7331" s="32" t="s">
        <v>1781</v>
      </c>
      <c r="D7331" s="983">
        <v>2000.0</v>
      </c>
      <c r="E7331" s="94">
        <v>7.37</v>
      </c>
      <c r="F7331" s="982">
        <v>0.39869212962962963</v>
      </c>
      <c r="G7331" s="32" t="s">
        <v>453</v>
      </c>
      <c r="H7331" s="710">
        <v>10.27</v>
      </c>
      <c r="I7331" s="256"/>
      <c r="J7331" s="67">
        <f t="shared" ref="J7331:J7343" si="437">IF(B7331="SLD",D7331*E7331,-D7331*E7331)-H7331</f>
        <v>14729.73</v>
      </c>
      <c r="L7331" s="70"/>
      <c r="M7331" s="934"/>
      <c r="N7331" s="94"/>
      <c r="O7331" s="94"/>
      <c r="P7331" s="94"/>
      <c r="Q7331" s="94"/>
      <c r="R7331" s="94"/>
      <c r="S7331" s="94"/>
      <c r="T7331" s="94"/>
      <c r="U7331" s="94"/>
      <c r="V7331" s="94"/>
      <c r="W7331" s="94"/>
      <c r="X7331" s="94"/>
      <c r="Y7331" s="94"/>
      <c r="Z7331" s="94"/>
      <c r="AA7331" s="94"/>
      <c r="AB7331" s="94"/>
      <c r="AC7331" s="94"/>
      <c r="AD7331" s="94"/>
      <c r="AE7331" s="94"/>
      <c r="AF7331" s="94"/>
      <c r="AG7331" s="94"/>
      <c r="AH7331" s="94"/>
    </row>
    <row r="7332" ht="12.75" hidden="1" customHeight="1" outlineLevel="1">
      <c r="A7332" s="122">
        <v>42241.0</v>
      </c>
      <c r="B7332" s="32" t="s">
        <v>347</v>
      </c>
      <c r="C7332" s="32" t="s">
        <v>1781</v>
      </c>
      <c r="D7332" s="983">
        <v>2500.0</v>
      </c>
      <c r="E7332" s="94">
        <v>7.32</v>
      </c>
      <c r="F7332" s="982">
        <v>0.39944444444444444</v>
      </c>
      <c r="G7332" s="32" t="s">
        <v>453</v>
      </c>
      <c r="H7332" s="710">
        <v>12.84</v>
      </c>
      <c r="I7332" s="256"/>
      <c r="J7332" s="67">
        <f t="shared" si="437"/>
        <v>18287.16</v>
      </c>
      <c r="L7332" s="70"/>
      <c r="M7332" s="934"/>
      <c r="N7332" s="94"/>
      <c r="O7332" s="94"/>
      <c r="P7332" s="94"/>
      <c r="Q7332" s="94"/>
      <c r="R7332" s="94"/>
      <c r="S7332" s="94"/>
      <c r="T7332" s="94"/>
      <c r="U7332" s="94"/>
      <c r="V7332" s="94"/>
      <c r="W7332" s="94"/>
      <c r="X7332" s="94"/>
      <c r="Y7332" s="94"/>
      <c r="Z7332" s="94"/>
      <c r="AA7332" s="94"/>
      <c r="AB7332" s="94"/>
      <c r="AC7332" s="94"/>
      <c r="AD7332" s="94"/>
      <c r="AE7332" s="94"/>
      <c r="AF7332" s="94"/>
      <c r="AG7332" s="94"/>
      <c r="AH7332" s="94"/>
    </row>
    <row r="7333" ht="12.75" hidden="1" customHeight="1" outlineLevel="1">
      <c r="A7333" s="122">
        <v>42241.0</v>
      </c>
      <c r="B7333" s="32" t="s">
        <v>343</v>
      </c>
      <c r="C7333" s="32" t="s">
        <v>1061</v>
      </c>
      <c r="D7333" s="32">
        <v>200.0</v>
      </c>
      <c r="E7333" s="94">
        <v>41.135</v>
      </c>
      <c r="F7333" s="982">
        <v>0.39993055555555557</v>
      </c>
      <c r="G7333" s="32" t="s">
        <v>453</v>
      </c>
      <c r="H7333" s="710">
        <v>1.0</v>
      </c>
      <c r="I7333" s="256"/>
      <c r="J7333" s="67">
        <f t="shared" si="437"/>
        <v>-8228</v>
      </c>
      <c r="L7333" s="70"/>
      <c r="M7333" s="934"/>
      <c r="N7333" s="94"/>
      <c r="O7333" s="94"/>
      <c r="P7333" s="94"/>
      <c r="Q7333" s="94"/>
      <c r="R7333" s="94"/>
      <c r="S7333" s="94"/>
      <c r="T7333" s="94"/>
      <c r="U7333" s="94"/>
      <c r="V7333" s="94"/>
      <c r="W7333" s="94"/>
      <c r="X7333" s="94"/>
      <c r="Y7333" s="94"/>
      <c r="Z7333" s="94"/>
      <c r="AA7333" s="94"/>
      <c r="AB7333" s="94"/>
      <c r="AC7333" s="94"/>
      <c r="AD7333" s="94"/>
      <c r="AE7333" s="94"/>
      <c r="AF7333" s="94"/>
      <c r="AG7333" s="94"/>
      <c r="AH7333" s="94"/>
    </row>
    <row r="7334" ht="12.75" hidden="1" customHeight="1" outlineLevel="1">
      <c r="A7334" s="122">
        <v>42241.0</v>
      </c>
      <c r="B7334" s="32" t="s">
        <v>343</v>
      </c>
      <c r="C7334" s="32" t="s">
        <v>1056</v>
      </c>
      <c r="D7334" s="32">
        <v>20.0</v>
      </c>
      <c r="E7334" s="94">
        <v>237.89</v>
      </c>
      <c r="F7334" s="982">
        <v>0.4005902777777778</v>
      </c>
      <c r="G7334" s="32" t="s">
        <v>453</v>
      </c>
      <c r="H7334" s="710">
        <v>1.0</v>
      </c>
      <c r="I7334" s="256"/>
      <c r="J7334" s="67">
        <f t="shared" si="437"/>
        <v>-4758.8</v>
      </c>
      <c r="L7334" s="70"/>
      <c r="M7334" s="934"/>
      <c r="N7334" s="94"/>
      <c r="O7334" s="94"/>
      <c r="P7334" s="94"/>
      <c r="Q7334" s="94"/>
      <c r="R7334" s="94"/>
      <c r="S7334" s="94"/>
      <c r="T7334" s="94"/>
      <c r="U7334" s="94"/>
      <c r="V7334" s="94"/>
      <c r="W7334" s="94"/>
      <c r="X7334" s="94"/>
      <c r="Y7334" s="94"/>
      <c r="Z7334" s="94"/>
      <c r="AA7334" s="94"/>
      <c r="AB7334" s="94"/>
      <c r="AC7334" s="94"/>
      <c r="AD7334" s="94"/>
      <c r="AE7334" s="94"/>
      <c r="AF7334" s="94"/>
      <c r="AG7334" s="94"/>
      <c r="AH7334" s="94"/>
    </row>
    <row r="7335" ht="12.75" hidden="1" customHeight="1" outlineLevel="1">
      <c r="A7335" s="122">
        <v>42241.0</v>
      </c>
      <c r="B7335" s="32" t="s">
        <v>343</v>
      </c>
      <c r="C7335" s="32" t="s">
        <v>3040</v>
      </c>
      <c r="D7335" s="32">
        <v>100.0</v>
      </c>
      <c r="E7335" s="94">
        <v>133.44</v>
      </c>
      <c r="F7335" s="982">
        <v>0.40120370370370373</v>
      </c>
      <c r="G7335" s="32" t="s">
        <v>453</v>
      </c>
      <c r="H7335" s="710">
        <v>1.0</v>
      </c>
      <c r="I7335" s="256"/>
      <c r="J7335" s="67">
        <f t="shared" si="437"/>
        <v>-13345</v>
      </c>
      <c r="L7335" s="70"/>
      <c r="M7335" s="934"/>
      <c r="N7335" s="94"/>
      <c r="O7335" s="94"/>
      <c r="P7335" s="94"/>
      <c r="Q7335" s="94"/>
      <c r="R7335" s="94"/>
      <c r="S7335" s="94"/>
      <c r="T7335" s="94"/>
      <c r="U7335" s="94"/>
      <c r="V7335" s="94"/>
      <c r="W7335" s="94"/>
      <c r="X7335" s="94"/>
      <c r="Y7335" s="94"/>
      <c r="Z7335" s="94"/>
      <c r="AA7335" s="94"/>
      <c r="AB7335" s="94"/>
      <c r="AC7335" s="94"/>
      <c r="AD7335" s="94"/>
      <c r="AE7335" s="94"/>
      <c r="AF7335" s="94"/>
      <c r="AG7335" s="94"/>
      <c r="AH7335" s="94"/>
    </row>
    <row r="7336" ht="12.75" hidden="1" customHeight="1" outlineLevel="1">
      <c r="A7336" s="122">
        <v>42241.0</v>
      </c>
      <c r="B7336" s="32" t="s">
        <v>343</v>
      </c>
      <c r="C7336" s="32" t="s">
        <v>1310</v>
      </c>
      <c r="D7336" s="32">
        <v>25.0</v>
      </c>
      <c r="E7336" s="94">
        <v>301.51</v>
      </c>
      <c r="F7336" s="982">
        <v>0.402037037037037</v>
      </c>
      <c r="G7336" s="32" t="s">
        <v>453</v>
      </c>
      <c r="H7336" s="710">
        <v>1.0</v>
      </c>
      <c r="I7336" s="256"/>
      <c r="J7336" s="67">
        <f t="shared" si="437"/>
        <v>-7538.75</v>
      </c>
      <c r="L7336" s="70"/>
      <c r="M7336" s="934"/>
      <c r="N7336" s="94"/>
      <c r="O7336" s="94"/>
      <c r="P7336" s="94"/>
      <c r="Q7336" s="94"/>
      <c r="R7336" s="94"/>
      <c r="S7336" s="94"/>
      <c r="T7336" s="94"/>
      <c r="U7336" s="94"/>
      <c r="V7336" s="94"/>
      <c r="W7336" s="94"/>
      <c r="X7336" s="94"/>
      <c r="Y7336" s="94"/>
      <c r="Z7336" s="94"/>
      <c r="AA7336" s="94"/>
      <c r="AB7336" s="94"/>
      <c r="AC7336" s="94"/>
      <c r="AD7336" s="94"/>
      <c r="AE7336" s="94"/>
      <c r="AF7336" s="94"/>
      <c r="AG7336" s="94"/>
      <c r="AH7336" s="94"/>
    </row>
    <row r="7337" ht="12.75" hidden="1" customHeight="1" outlineLevel="1">
      <c r="A7337" s="122">
        <v>42241.0</v>
      </c>
      <c r="B7337" s="32" t="s">
        <v>343</v>
      </c>
      <c r="C7337" s="32" t="s">
        <v>1088</v>
      </c>
      <c r="D7337" s="32">
        <v>5.0</v>
      </c>
      <c r="E7337" s="94">
        <v>1503.8</v>
      </c>
      <c r="F7337" s="982">
        <v>0.4053587962962963</v>
      </c>
      <c r="G7337" s="32" t="s">
        <v>453</v>
      </c>
      <c r="H7337" s="710">
        <v>1.0</v>
      </c>
      <c r="I7337" s="256"/>
      <c r="J7337" s="67">
        <f t="shared" si="437"/>
        <v>-7520</v>
      </c>
      <c r="L7337" s="70"/>
      <c r="M7337" s="934"/>
      <c r="N7337" s="94"/>
      <c r="O7337" s="94"/>
      <c r="P7337" s="94"/>
      <c r="Q7337" s="94"/>
      <c r="R7337" s="94"/>
      <c r="S7337" s="94"/>
      <c r="T7337" s="94"/>
      <c r="U7337" s="94"/>
      <c r="V7337" s="94"/>
      <c r="W7337" s="94"/>
      <c r="X7337" s="94"/>
      <c r="Y7337" s="94"/>
      <c r="Z7337" s="94"/>
      <c r="AA7337" s="94"/>
      <c r="AB7337" s="94"/>
      <c r="AC7337" s="94"/>
      <c r="AD7337" s="94"/>
      <c r="AE7337" s="94"/>
      <c r="AF7337" s="94"/>
      <c r="AG7337" s="94"/>
      <c r="AH7337" s="94"/>
    </row>
    <row r="7338" ht="12.75" hidden="1" customHeight="1" outlineLevel="1">
      <c r="A7338" s="122">
        <v>42241.0</v>
      </c>
      <c r="B7338" s="32" t="s">
        <v>343</v>
      </c>
      <c r="C7338" s="32" t="s">
        <v>605</v>
      </c>
      <c r="D7338" s="32">
        <v>100.0</v>
      </c>
      <c r="E7338" s="94">
        <v>72.315</v>
      </c>
      <c r="F7338" s="982">
        <v>0.41030092592592593</v>
      </c>
      <c r="G7338" s="32" t="s">
        <v>453</v>
      </c>
      <c r="H7338" s="710">
        <v>1.0</v>
      </c>
      <c r="I7338" s="256"/>
      <c r="J7338" s="67">
        <f t="shared" si="437"/>
        <v>-7232.5</v>
      </c>
      <c r="L7338" s="70"/>
      <c r="M7338" s="934"/>
      <c r="N7338" s="94"/>
      <c r="O7338" s="94"/>
      <c r="P7338" s="94"/>
      <c r="Q7338" s="94"/>
      <c r="R7338" s="94"/>
      <c r="S7338" s="94"/>
      <c r="T7338" s="94"/>
      <c r="U7338" s="94"/>
      <c r="V7338" s="94"/>
      <c r="W7338" s="94"/>
      <c r="X7338" s="94"/>
      <c r="Y7338" s="94"/>
      <c r="Z7338" s="94"/>
      <c r="AA7338" s="94"/>
      <c r="AB7338" s="94"/>
      <c r="AC7338" s="94"/>
      <c r="AD7338" s="94"/>
      <c r="AE7338" s="94"/>
      <c r="AF7338" s="94"/>
      <c r="AG7338" s="94"/>
      <c r="AH7338" s="94"/>
    </row>
    <row r="7339" ht="12.75" hidden="1" customHeight="1" outlineLevel="1">
      <c r="A7339" s="122">
        <v>42241.0</v>
      </c>
      <c r="B7339" s="32" t="s">
        <v>343</v>
      </c>
      <c r="C7339" s="32" t="s">
        <v>1382</v>
      </c>
      <c r="D7339" s="32">
        <v>50.0</v>
      </c>
      <c r="E7339" s="94">
        <v>137.29</v>
      </c>
      <c r="F7339" s="982">
        <v>0.41094907407407405</v>
      </c>
      <c r="G7339" s="32" t="s">
        <v>453</v>
      </c>
      <c r="H7339" s="710">
        <v>1.0</v>
      </c>
      <c r="I7339" s="256"/>
      <c r="J7339" s="67">
        <f t="shared" si="437"/>
        <v>-6865.5</v>
      </c>
      <c r="L7339" s="70"/>
      <c r="M7339" s="934"/>
      <c r="N7339" s="94"/>
      <c r="O7339" s="94"/>
      <c r="P7339" s="94"/>
      <c r="Q7339" s="94"/>
      <c r="R7339" s="94"/>
      <c r="S7339" s="94"/>
      <c r="T7339" s="94"/>
      <c r="U7339" s="94"/>
      <c r="V7339" s="94"/>
      <c r="W7339" s="94"/>
      <c r="X7339" s="94"/>
      <c r="Y7339" s="94"/>
      <c r="Z7339" s="94"/>
      <c r="AA7339" s="94"/>
      <c r="AB7339" s="94"/>
      <c r="AC7339" s="94"/>
      <c r="AD7339" s="94"/>
      <c r="AE7339" s="94"/>
      <c r="AF7339" s="94"/>
      <c r="AG7339" s="94"/>
      <c r="AH7339" s="94"/>
    </row>
    <row r="7340" ht="12.75" hidden="1" customHeight="1" outlineLevel="1">
      <c r="A7340" s="122">
        <v>42241.0</v>
      </c>
      <c r="B7340" s="32" t="s">
        <v>343</v>
      </c>
      <c r="C7340" s="32" t="s">
        <v>352</v>
      </c>
      <c r="D7340" s="32">
        <v>150.0</v>
      </c>
      <c r="E7340" s="94">
        <v>52.46</v>
      </c>
      <c r="F7340" s="982">
        <v>0.4113773148148148</v>
      </c>
      <c r="G7340" s="32" t="s">
        <v>453</v>
      </c>
      <c r="H7340" s="710">
        <v>1.0</v>
      </c>
      <c r="I7340" s="256"/>
      <c r="J7340" s="67">
        <f t="shared" si="437"/>
        <v>-7870</v>
      </c>
      <c r="L7340" s="70"/>
      <c r="M7340" s="934"/>
      <c r="N7340" s="94"/>
      <c r="O7340" s="94"/>
      <c r="P7340" s="94"/>
      <c r="Q7340" s="94"/>
      <c r="R7340" s="94"/>
      <c r="S7340" s="94"/>
      <c r="T7340" s="94"/>
      <c r="U7340" s="94"/>
      <c r="V7340" s="94"/>
      <c r="W7340" s="94"/>
      <c r="X7340" s="94"/>
      <c r="Y7340" s="94"/>
      <c r="Z7340" s="94"/>
      <c r="AA7340" s="94"/>
      <c r="AB7340" s="94"/>
      <c r="AC7340" s="94"/>
      <c r="AD7340" s="94"/>
      <c r="AE7340" s="94"/>
      <c r="AF7340" s="94"/>
      <c r="AG7340" s="94"/>
      <c r="AH7340" s="94"/>
    </row>
    <row r="7341" ht="12.75" hidden="1" customHeight="1" outlineLevel="1">
      <c r="A7341" s="122">
        <v>42241.0</v>
      </c>
      <c r="B7341" s="32" t="s">
        <v>347</v>
      </c>
      <c r="C7341" s="32" t="s">
        <v>1781</v>
      </c>
      <c r="D7341" s="983">
        <v>1000.0</v>
      </c>
      <c r="E7341" s="94">
        <v>6.96</v>
      </c>
      <c r="F7341" s="982">
        <v>0.4299884259259259</v>
      </c>
      <c r="G7341" s="32" t="s">
        <v>453</v>
      </c>
      <c r="H7341" s="710">
        <v>5.13</v>
      </c>
      <c r="I7341" s="256"/>
      <c r="J7341" s="67">
        <f t="shared" si="437"/>
        <v>6954.87</v>
      </c>
      <c r="L7341" s="70"/>
      <c r="M7341" s="934"/>
      <c r="N7341" s="94"/>
      <c r="O7341" s="94"/>
      <c r="P7341" s="94"/>
      <c r="Q7341" s="94"/>
      <c r="R7341" s="94"/>
      <c r="S7341" s="94"/>
      <c r="T7341" s="94"/>
      <c r="U7341" s="94"/>
      <c r="V7341" s="94"/>
      <c r="W7341" s="94"/>
      <c r="X7341" s="94"/>
      <c r="Y7341" s="94"/>
      <c r="Z7341" s="94"/>
      <c r="AA7341" s="94"/>
      <c r="AB7341" s="94"/>
      <c r="AC7341" s="94"/>
      <c r="AD7341" s="94"/>
      <c r="AE7341" s="94"/>
      <c r="AF7341" s="94"/>
      <c r="AG7341" s="94"/>
      <c r="AH7341" s="94"/>
    </row>
    <row r="7342" ht="12.75" hidden="1" customHeight="1" outlineLevel="1">
      <c r="A7342" s="122">
        <v>42242.0</v>
      </c>
      <c r="B7342" s="32" t="s">
        <v>347</v>
      </c>
      <c r="C7342" s="32" t="s">
        <v>2195</v>
      </c>
      <c r="D7342" s="32">
        <v>750.0</v>
      </c>
      <c r="E7342" s="94">
        <v>11.831</v>
      </c>
      <c r="F7342" s="982">
        <v>0.5916782407407407</v>
      </c>
      <c r="G7342" s="32" t="s">
        <v>453</v>
      </c>
      <c r="H7342" s="710">
        <v>3.46</v>
      </c>
      <c r="I7342" s="256"/>
      <c r="J7342" s="67">
        <f t="shared" si="437"/>
        <v>8869.79</v>
      </c>
      <c r="L7342" s="70"/>
      <c r="M7342" s="934"/>
      <c r="N7342" s="94"/>
      <c r="O7342" s="94"/>
      <c r="P7342" s="94"/>
      <c r="Q7342" s="94"/>
      <c r="R7342" s="94"/>
      <c r="S7342" s="94"/>
      <c r="T7342" s="94"/>
      <c r="U7342" s="94"/>
      <c r="V7342" s="94"/>
      <c r="W7342" s="94"/>
      <c r="X7342" s="94"/>
      <c r="Y7342" s="94"/>
      <c r="Z7342" s="94"/>
      <c r="AA7342" s="94"/>
      <c r="AB7342" s="94"/>
      <c r="AC7342" s="94"/>
      <c r="AD7342" s="94"/>
      <c r="AE7342" s="94"/>
      <c r="AF7342" s="94"/>
      <c r="AG7342" s="94"/>
      <c r="AH7342" s="94"/>
    </row>
    <row r="7343" ht="12.75" hidden="1" customHeight="1" outlineLevel="1">
      <c r="A7343" s="122">
        <v>42242.0</v>
      </c>
      <c r="B7343" s="32" t="s">
        <v>347</v>
      </c>
      <c r="C7343" s="32" t="s">
        <v>2195</v>
      </c>
      <c r="D7343" s="983">
        <v>1000.0</v>
      </c>
      <c r="E7343" s="94">
        <v>11.7</v>
      </c>
      <c r="F7343" s="982">
        <v>0.6516435185185185</v>
      </c>
      <c r="G7343" s="32" t="s">
        <v>453</v>
      </c>
      <c r="H7343" s="710">
        <v>5.22</v>
      </c>
      <c r="I7343" s="256"/>
      <c r="J7343" s="67">
        <f t="shared" si="437"/>
        <v>11694.78</v>
      </c>
      <c r="L7343" s="70"/>
      <c r="M7343" s="934"/>
      <c r="N7343" s="94"/>
      <c r="O7343" s="94"/>
      <c r="P7343" s="94"/>
      <c r="Q7343" s="94"/>
      <c r="R7343" s="94"/>
      <c r="S7343" s="94"/>
      <c r="T7343" s="94"/>
      <c r="U7343" s="94"/>
      <c r="V7343" s="94"/>
      <c r="W7343" s="94"/>
      <c r="X7343" s="94"/>
      <c r="Y7343" s="94"/>
      <c r="Z7343" s="94"/>
      <c r="AA7343" s="94"/>
      <c r="AB7343" s="94"/>
      <c r="AC7343" s="94"/>
      <c r="AD7343" s="94"/>
      <c r="AE7343" s="94"/>
      <c r="AF7343" s="94"/>
      <c r="AG7343" s="94"/>
      <c r="AH7343" s="94"/>
    </row>
    <row r="7344" ht="12.75" hidden="1" customHeight="1" outlineLevel="1">
      <c r="A7344" s="122">
        <v>42242.0</v>
      </c>
      <c r="B7344" s="974"/>
      <c r="C7344" s="32" t="s">
        <v>339</v>
      </c>
      <c r="D7344" s="708"/>
      <c r="E7344" s="195"/>
      <c r="F7344" s="709"/>
      <c r="G7344" s="195"/>
      <c r="H7344" s="710"/>
      <c r="I7344" s="256"/>
      <c r="J7344" s="67"/>
      <c r="K7344" s="968" t="s">
        <v>3112</v>
      </c>
      <c r="L7344" s="934"/>
      <c r="M7344" s="934"/>
    </row>
    <row r="7345" ht="12.75" hidden="1" customHeight="1" outlineLevel="1">
      <c r="A7345" s="122">
        <v>42242.0</v>
      </c>
      <c r="B7345" s="974"/>
      <c r="C7345" s="32" t="s">
        <v>429</v>
      </c>
      <c r="D7345" s="708"/>
      <c r="E7345" s="195"/>
      <c r="F7345" s="709"/>
      <c r="G7345" s="195"/>
      <c r="H7345" s="710"/>
      <c r="I7345" s="256"/>
      <c r="J7345" s="67"/>
      <c r="K7345" s="9" t="s">
        <v>3049</v>
      </c>
      <c r="L7345" s="934"/>
      <c r="M7345" s="934"/>
    </row>
    <row r="7346" ht="12.75" hidden="1" customHeight="1" outlineLevel="1">
      <c r="A7346" s="122">
        <v>42242.0</v>
      </c>
      <c r="B7346" s="974"/>
      <c r="C7346" s="32" t="s">
        <v>431</v>
      </c>
      <c r="D7346" s="708"/>
      <c r="E7346" s="195"/>
      <c r="F7346" s="709"/>
      <c r="G7346" s="195"/>
      <c r="H7346" s="710"/>
      <c r="I7346" s="256"/>
      <c r="J7346" s="67"/>
      <c r="K7346" s="7" t="s">
        <v>1126</v>
      </c>
      <c r="L7346" s="934"/>
      <c r="M7346" s="934"/>
    </row>
    <row r="7347" ht="12.75" hidden="1" customHeight="1" outlineLevel="1">
      <c r="A7347" s="122">
        <v>42242.0</v>
      </c>
      <c r="B7347" s="974"/>
      <c r="C7347" s="32" t="s">
        <v>433</v>
      </c>
      <c r="D7347" s="708"/>
      <c r="E7347" s="195"/>
      <c r="F7347" s="709"/>
      <c r="G7347" s="195"/>
      <c r="H7347" s="710"/>
      <c r="I7347" s="256"/>
      <c r="J7347" s="67"/>
      <c r="K7347" s="7" t="s">
        <v>1103</v>
      </c>
      <c r="L7347" s="934"/>
      <c r="M7347" s="934"/>
    </row>
    <row r="7348" ht="12.75" hidden="1" customHeight="1" outlineLevel="1">
      <c r="A7348" s="122">
        <v>42242.0</v>
      </c>
      <c r="B7348" s="974"/>
      <c r="C7348" s="32" t="s">
        <v>435</v>
      </c>
      <c r="D7348" s="708"/>
      <c r="E7348" s="195"/>
      <c r="F7348" s="709"/>
      <c r="G7348" s="195"/>
      <c r="H7348" s="710"/>
      <c r="I7348" s="256"/>
      <c r="J7348" s="67"/>
      <c r="K7348" s="9" t="s">
        <v>3113</v>
      </c>
      <c r="L7348" s="934"/>
      <c r="M7348" s="934"/>
    </row>
    <row r="7349" ht="12.75" hidden="1" customHeight="1" outlineLevel="1">
      <c r="A7349" s="122">
        <v>42243.0</v>
      </c>
      <c r="B7349" s="32" t="s">
        <v>347</v>
      </c>
      <c r="C7349" s="32" t="s">
        <v>1893</v>
      </c>
      <c r="D7349" s="983">
        <v>1000.0</v>
      </c>
      <c r="E7349" s="94">
        <v>9.12</v>
      </c>
      <c r="F7349" s="982">
        <v>0.41730324074074077</v>
      </c>
      <c r="G7349" s="32" t="s">
        <v>453</v>
      </c>
      <c r="H7349" s="710">
        <v>4.97</v>
      </c>
      <c r="I7349" s="256"/>
      <c r="J7349" s="67">
        <f t="shared" ref="J7349:J7386" si="438">IF(B7349="SLD",D7349*E7349,-D7349*E7349)-H7349</f>
        <v>9115.03</v>
      </c>
      <c r="L7349" s="70"/>
      <c r="M7349" s="934"/>
      <c r="N7349" s="94"/>
      <c r="O7349" s="94"/>
      <c r="P7349" s="94"/>
      <c r="Q7349" s="94"/>
      <c r="R7349" s="94"/>
      <c r="S7349" s="94"/>
      <c r="T7349" s="94"/>
      <c r="U7349" s="94"/>
      <c r="V7349" s="94"/>
      <c r="W7349" s="94"/>
      <c r="X7349" s="94"/>
      <c r="Y7349" s="94"/>
      <c r="Z7349" s="94"/>
      <c r="AA7349" s="94"/>
      <c r="AB7349" s="94"/>
      <c r="AC7349" s="94"/>
      <c r="AD7349" s="94"/>
      <c r="AE7349" s="94"/>
      <c r="AF7349" s="94"/>
      <c r="AG7349" s="94"/>
      <c r="AH7349" s="94"/>
    </row>
    <row r="7350" ht="12.75" hidden="1" customHeight="1" outlineLevel="1">
      <c r="A7350" s="122">
        <v>42243.0</v>
      </c>
      <c r="B7350" s="32" t="s">
        <v>343</v>
      </c>
      <c r="C7350" s="32" t="s">
        <v>2195</v>
      </c>
      <c r="D7350" s="983">
        <v>1000.0</v>
      </c>
      <c r="E7350" s="94">
        <v>14.384</v>
      </c>
      <c r="F7350" s="982">
        <v>0.45990740740740743</v>
      </c>
      <c r="G7350" s="32" t="s">
        <v>453</v>
      </c>
      <c r="H7350" s="710">
        <v>4.2</v>
      </c>
      <c r="I7350" s="256"/>
      <c r="J7350" s="67">
        <f t="shared" si="438"/>
        <v>-14388.2</v>
      </c>
      <c r="L7350" s="70"/>
      <c r="M7350" s="934"/>
      <c r="N7350" s="94"/>
      <c r="O7350" s="94"/>
      <c r="P7350" s="94"/>
      <c r="Q7350" s="94"/>
      <c r="R7350" s="94"/>
      <c r="S7350" s="94"/>
      <c r="T7350" s="94"/>
      <c r="U7350" s="94"/>
      <c r="V7350" s="94"/>
      <c r="W7350" s="94"/>
      <c r="X7350" s="94"/>
      <c r="Y7350" s="94"/>
      <c r="Z7350" s="94"/>
      <c r="AA7350" s="94"/>
      <c r="AB7350" s="94"/>
      <c r="AC7350" s="94"/>
      <c r="AD7350" s="94"/>
      <c r="AE7350" s="94"/>
      <c r="AF7350" s="94"/>
      <c r="AG7350" s="94"/>
      <c r="AH7350" s="94"/>
    </row>
    <row r="7351" ht="12.75" hidden="1" customHeight="1" outlineLevel="1">
      <c r="A7351" s="122">
        <v>42243.0</v>
      </c>
      <c r="B7351" s="32" t="s">
        <v>343</v>
      </c>
      <c r="C7351" s="32" t="s">
        <v>1893</v>
      </c>
      <c r="D7351" s="983">
        <v>1000.0</v>
      </c>
      <c r="E7351" s="94">
        <v>9.43</v>
      </c>
      <c r="F7351" s="982">
        <v>0.46131944444444445</v>
      </c>
      <c r="G7351" s="32" t="s">
        <v>453</v>
      </c>
      <c r="H7351" s="710">
        <v>5.0</v>
      </c>
      <c r="I7351" s="256"/>
      <c r="J7351" s="67">
        <f t="shared" si="438"/>
        <v>-9435</v>
      </c>
      <c r="L7351" s="70"/>
      <c r="M7351" s="934"/>
      <c r="N7351" s="94"/>
      <c r="O7351" s="94"/>
      <c r="P7351" s="94"/>
      <c r="Q7351" s="94"/>
      <c r="R7351" s="94"/>
      <c r="S7351" s="94"/>
      <c r="T7351" s="94"/>
      <c r="U7351" s="94"/>
      <c r="V7351" s="94"/>
      <c r="W7351" s="94"/>
      <c r="X7351" s="94"/>
      <c r="Y7351" s="94"/>
      <c r="Z7351" s="94"/>
      <c r="AA7351" s="94"/>
      <c r="AB7351" s="94"/>
      <c r="AC7351" s="94"/>
      <c r="AD7351" s="94"/>
      <c r="AE7351" s="94"/>
      <c r="AF7351" s="94"/>
      <c r="AG7351" s="94"/>
      <c r="AH7351" s="94"/>
    </row>
    <row r="7352" ht="12.75" hidden="1" customHeight="1" outlineLevel="1">
      <c r="A7352" s="122">
        <v>42243.0</v>
      </c>
      <c r="B7352" s="32" t="s">
        <v>343</v>
      </c>
      <c r="C7352" s="32" t="s">
        <v>2090</v>
      </c>
      <c r="D7352" s="983">
        <v>5000.0</v>
      </c>
      <c r="E7352" s="94">
        <v>6.18</v>
      </c>
      <c r="F7352" s="982">
        <v>0.4616550925925926</v>
      </c>
      <c r="G7352" s="32" t="s">
        <v>453</v>
      </c>
      <c r="H7352" s="710">
        <v>25.0</v>
      </c>
      <c r="I7352" s="256"/>
      <c r="J7352" s="67">
        <f t="shared" si="438"/>
        <v>-30925</v>
      </c>
      <c r="L7352" s="70"/>
      <c r="M7352" s="934"/>
      <c r="N7352" s="94"/>
      <c r="O7352" s="94"/>
      <c r="P7352" s="94"/>
      <c r="Q7352" s="94"/>
      <c r="R7352" s="94"/>
      <c r="S7352" s="94"/>
      <c r="T7352" s="94"/>
      <c r="U7352" s="94"/>
      <c r="V7352" s="94"/>
      <c r="W7352" s="94"/>
      <c r="X7352" s="94"/>
      <c r="Y7352" s="94"/>
      <c r="Z7352" s="94"/>
      <c r="AA7352" s="94"/>
      <c r="AB7352" s="94"/>
      <c r="AC7352" s="94"/>
      <c r="AD7352" s="94"/>
      <c r="AE7352" s="94"/>
      <c r="AF7352" s="94"/>
      <c r="AG7352" s="94"/>
      <c r="AH7352" s="94"/>
    </row>
    <row r="7353" ht="12.75" hidden="1" customHeight="1" outlineLevel="1">
      <c r="A7353" s="122">
        <v>42243.0</v>
      </c>
      <c r="B7353" s="32" t="s">
        <v>343</v>
      </c>
      <c r="C7353" s="32" t="s">
        <v>2195</v>
      </c>
      <c r="D7353" s="32">
        <v>500.0</v>
      </c>
      <c r="E7353" s="94">
        <v>14.369</v>
      </c>
      <c r="F7353" s="982">
        <v>0.4621875</v>
      </c>
      <c r="G7353" s="32" t="s">
        <v>453</v>
      </c>
      <c r="H7353" s="710">
        <v>2.1</v>
      </c>
      <c r="I7353" s="256"/>
      <c r="J7353" s="67">
        <f t="shared" si="438"/>
        <v>-7186.6</v>
      </c>
      <c r="L7353" s="70"/>
      <c r="M7353" s="934"/>
      <c r="N7353" s="94"/>
      <c r="O7353" s="94"/>
      <c r="P7353" s="94"/>
      <c r="Q7353" s="94"/>
      <c r="R7353" s="94"/>
      <c r="S7353" s="94"/>
      <c r="T7353" s="94"/>
      <c r="U7353" s="94"/>
      <c r="V7353" s="94"/>
      <c r="W7353" s="94"/>
      <c r="X7353" s="94"/>
      <c r="Y7353" s="94"/>
      <c r="Z7353" s="94"/>
      <c r="AA7353" s="94"/>
      <c r="AB7353" s="94"/>
      <c r="AC7353" s="94"/>
      <c r="AD7353" s="94"/>
      <c r="AE7353" s="94"/>
      <c r="AF7353" s="94"/>
      <c r="AG7353" s="94"/>
      <c r="AH7353" s="94"/>
    </row>
    <row r="7354" ht="12.75" hidden="1" customHeight="1" outlineLevel="1">
      <c r="A7354" s="122">
        <v>42243.0</v>
      </c>
      <c r="B7354" s="32" t="s">
        <v>343</v>
      </c>
      <c r="C7354" s="32" t="s">
        <v>1633</v>
      </c>
      <c r="D7354" s="32">
        <v>500.0</v>
      </c>
      <c r="E7354" s="94">
        <v>13.768</v>
      </c>
      <c r="F7354" s="982">
        <v>0.46265046296296297</v>
      </c>
      <c r="G7354" s="32" t="s">
        <v>453</v>
      </c>
      <c r="H7354" s="710">
        <v>2.0</v>
      </c>
      <c r="I7354" s="256"/>
      <c r="J7354" s="67">
        <f t="shared" si="438"/>
        <v>-6886</v>
      </c>
      <c r="L7354" s="70"/>
      <c r="M7354" s="934"/>
      <c r="N7354" s="94"/>
      <c r="O7354" s="94"/>
      <c r="P7354" s="94"/>
      <c r="Q7354" s="94"/>
      <c r="R7354" s="94"/>
      <c r="S7354" s="94"/>
      <c r="T7354" s="94"/>
      <c r="U7354" s="94"/>
      <c r="V7354" s="94"/>
      <c r="W7354" s="94"/>
      <c r="X7354" s="94"/>
      <c r="Y7354" s="94"/>
      <c r="Z7354" s="94"/>
      <c r="AA7354" s="94"/>
      <c r="AB7354" s="94"/>
      <c r="AC7354" s="94"/>
      <c r="AD7354" s="94"/>
      <c r="AE7354" s="94"/>
      <c r="AF7354" s="94"/>
      <c r="AG7354" s="94"/>
      <c r="AH7354" s="94"/>
    </row>
    <row r="7355" ht="12.75" hidden="1" customHeight="1" outlineLevel="1">
      <c r="A7355" s="122">
        <v>42243.0</v>
      </c>
      <c r="B7355" s="32" t="s">
        <v>343</v>
      </c>
      <c r="C7355" s="32" t="s">
        <v>2090</v>
      </c>
      <c r="D7355" s="983">
        <v>10000.0</v>
      </c>
      <c r="E7355" s="94">
        <v>6.23</v>
      </c>
      <c r="F7355" s="982">
        <v>0.46319444444444446</v>
      </c>
      <c r="G7355" s="32" t="s">
        <v>453</v>
      </c>
      <c r="H7355" s="710">
        <v>48.42</v>
      </c>
      <c r="I7355" s="256"/>
      <c r="J7355" s="67">
        <f t="shared" si="438"/>
        <v>-62348.42</v>
      </c>
      <c r="L7355" s="70"/>
      <c r="M7355" s="934"/>
      <c r="N7355" s="94"/>
      <c r="O7355" s="94"/>
      <c r="P7355" s="94"/>
      <c r="Q7355" s="94"/>
      <c r="R7355" s="94"/>
      <c r="S7355" s="94"/>
      <c r="T7355" s="94"/>
      <c r="U7355" s="94"/>
      <c r="V7355" s="94"/>
      <c r="W7355" s="94"/>
      <c r="X7355" s="94"/>
      <c r="Y7355" s="94"/>
      <c r="Z7355" s="94"/>
      <c r="AA7355" s="94"/>
      <c r="AB7355" s="94"/>
      <c r="AC7355" s="94"/>
      <c r="AD7355" s="94"/>
      <c r="AE7355" s="94"/>
      <c r="AF7355" s="94"/>
      <c r="AG7355" s="94"/>
      <c r="AH7355" s="94"/>
    </row>
    <row r="7356" ht="12.75" hidden="1" customHeight="1" outlineLevel="1">
      <c r="A7356" s="122">
        <v>42243.0</v>
      </c>
      <c r="B7356" s="32" t="s">
        <v>343</v>
      </c>
      <c r="C7356" s="32" t="s">
        <v>784</v>
      </c>
      <c r="D7356" s="983">
        <v>7000.0</v>
      </c>
      <c r="E7356" s="94">
        <v>4.83</v>
      </c>
      <c r="F7356" s="982">
        <v>0.46347222222222223</v>
      </c>
      <c r="G7356" s="32" t="s">
        <v>453</v>
      </c>
      <c r="H7356" s="710">
        <v>35.0</v>
      </c>
      <c r="I7356" s="256"/>
      <c r="J7356" s="67">
        <f t="shared" si="438"/>
        <v>-33845</v>
      </c>
      <c r="L7356" s="70"/>
      <c r="M7356" s="934"/>
      <c r="N7356" s="94"/>
      <c r="O7356" s="94"/>
      <c r="P7356" s="94"/>
      <c r="Q7356" s="94"/>
      <c r="R7356" s="94"/>
      <c r="S7356" s="94"/>
      <c r="T7356" s="94"/>
      <c r="U7356" s="94"/>
      <c r="V7356" s="94"/>
      <c r="W7356" s="94"/>
      <c r="X7356" s="94"/>
      <c r="Y7356" s="94"/>
      <c r="Z7356" s="94"/>
      <c r="AA7356" s="94"/>
      <c r="AB7356" s="94"/>
      <c r="AC7356" s="94"/>
      <c r="AD7356" s="94"/>
      <c r="AE7356" s="94"/>
      <c r="AF7356" s="94"/>
      <c r="AG7356" s="94"/>
      <c r="AH7356" s="94"/>
    </row>
    <row r="7357" ht="12.75" hidden="1" customHeight="1" outlineLevel="1">
      <c r="A7357" s="122">
        <v>42243.0</v>
      </c>
      <c r="B7357" s="32" t="s">
        <v>343</v>
      </c>
      <c r="C7357" s="32" t="s">
        <v>784</v>
      </c>
      <c r="D7357" s="983">
        <v>10000.0</v>
      </c>
      <c r="E7357" s="94">
        <v>4.828</v>
      </c>
      <c r="F7357" s="982">
        <v>0.4642361111111111</v>
      </c>
      <c r="G7357" s="32" t="s">
        <v>453</v>
      </c>
      <c r="H7357" s="710">
        <v>49.9</v>
      </c>
      <c r="I7357" s="256"/>
      <c r="J7357" s="67">
        <f t="shared" si="438"/>
        <v>-48329.9</v>
      </c>
      <c r="L7357" s="70"/>
      <c r="M7357" s="934"/>
      <c r="N7357" s="94"/>
      <c r="O7357" s="94"/>
      <c r="P7357" s="94"/>
      <c r="Q7357" s="94"/>
      <c r="R7357" s="94"/>
      <c r="S7357" s="94"/>
      <c r="T7357" s="94"/>
      <c r="U7357" s="94"/>
      <c r="V7357" s="94"/>
      <c r="W7357" s="94"/>
      <c r="X7357" s="94"/>
      <c r="Y7357" s="94"/>
      <c r="Z7357" s="94"/>
      <c r="AA7357" s="94"/>
      <c r="AB7357" s="94"/>
      <c r="AC7357" s="94"/>
      <c r="AD7357" s="94"/>
      <c r="AE7357" s="94"/>
      <c r="AF7357" s="94"/>
      <c r="AG7357" s="94"/>
      <c r="AH7357" s="94"/>
    </row>
    <row r="7358" ht="12.75" hidden="1" customHeight="1" outlineLevel="1">
      <c r="A7358" s="122">
        <v>42243.0</v>
      </c>
      <c r="B7358" s="32" t="s">
        <v>343</v>
      </c>
      <c r="C7358" s="32" t="s">
        <v>2195</v>
      </c>
      <c r="D7358" s="32">
        <v>500.0</v>
      </c>
      <c r="E7358" s="94">
        <v>14.544</v>
      </c>
      <c r="F7358" s="982">
        <v>0.46466435185185184</v>
      </c>
      <c r="G7358" s="32" t="s">
        <v>453</v>
      </c>
      <c r="H7358" s="710">
        <v>2.2</v>
      </c>
      <c r="I7358" s="256"/>
      <c r="J7358" s="67">
        <f t="shared" si="438"/>
        <v>-7274.2</v>
      </c>
      <c r="L7358" s="70"/>
      <c r="M7358" s="934"/>
      <c r="N7358" s="94"/>
      <c r="O7358" s="94"/>
      <c r="P7358" s="94"/>
      <c r="Q7358" s="94"/>
      <c r="R7358" s="94"/>
      <c r="S7358" s="94"/>
      <c r="T7358" s="94"/>
      <c r="U7358" s="94"/>
      <c r="V7358" s="94"/>
      <c r="W7358" s="94"/>
      <c r="X7358" s="94"/>
      <c r="Y7358" s="94"/>
      <c r="Z7358" s="94"/>
      <c r="AA7358" s="94"/>
      <c r="AB7358" s="94"/>
      <c r="AC7358" s="94"/>
      <c r="AD7358" s="94"/>
      <c r="AE7358" s="94"/>
      <c r="AF7358" s="94"/>
      <c r="AG7358" s="94"/>
      <c r="AH7358" s="94"/>
    </row>
    <row r="7359" ht="12.75" hidden="1" customHeight="1" outlineLevel="1">
      <c r="A7359" s="122">
        <v>42243.0</v>
      </c>
      <c r="B7359" s="32" t="s">
        <v>343</v>
      </c>
      <c r="C7359" s="32" t="s">
        <v>3024</v>
      </c>
      <c r="D7359" s="983">
        <v>1500.0</v>
      </c>
      <c r="E7359" s="94">
        <v>18.62</v>
      </c>
      <c r="F7359" s="982">
        <v>0.46532407407407406</v>
      </c>
      <c r="G7359" s="32" t="s">
        <v>453</v>
      </c>
      <c r="H7359" s="710">
        <v>6.0</v>
      </c>
      <c r="I7359" s="256"/>
      <c r="J7359" s="67">
        <f t="shared" si="438"/>
        <v>-27936</v>
      </c>
      <c r="L7359" s="70"/>
      <c r="M7359" s="934"/>
      <c r="N7359" s="94"/>
      <c r="O7359" s="94"/>
      <c r="P7359" s="94"/>
      <c r="Q7359" s="94"/>
      <c r="R7359" s="94"/>
      <c r="S7359" s="94"/>
      <c r="T7359" s="94"/>
      <c r="U7359" s="94"/>
      <c r="V7359" s="94"/>
      <c r="W7359" s="94"/>
      <c r="X7359" s="94"/>
      <c r="Y7359" s="94"/>
      <c r="Z7359" s="94"/>
      <c r="AA7359" s="94"/>
      <c r="AB7359" s="94"/>
      <c r="AC7359" s="94"/>
      <c r="AD7359" s="94"/>
      <c r="AE7359" s="94"/>
      <c r="AF7359" s="94"/>
      <c r="AG7359" s="94"/>
      <c r="AH7359" s="94"/>
    </row>
    <row r="7360" ht="12.75" hidden="1" customHeight="1" outlineLevel="1">
      <c r="A7360" s="122">
        <v>42243.0</v>
      </c>
      <c r="B7360" s="32" t="s">
        <v>343</v>
      </c>
      <c r="C7360" s="32" t="s">
        <v>2090</v>
      </c>
      <c r="D7360" s="983">
        <v>4000.0</v>
      </c>
      <c r="E7360" s="94">
        <v>6.24</v>
      </c>
      <c r="F7360" s="982">
        <v>0.46577546296296296</v>
      </c>
      <c r="G7360" s="32" t="s">
        <v>453</v>
      </c>
      <c r="H7360" s="710">
        <v>20.0</v>
      </c>
      <c r="I7360" s="256"/>
      <c r="J7360" s="67">
        <f t="shared" si="438"/>
        <v>-24980</v>
      </c>
      <c r="L7360" s="70"/>
      <c r="M7360" s="934"/>
      <c r="N7360" s="94"/>
      <c r="O7360" s="94"/>
      <c r="P7360" s="94"/>
      <c r="Q7360" s="94"/>
      <c r="R7360" s="94"/>
      <c r="S7360" s="94"/>
      <c r="T7360" s="94"/>
      <c r="U7360" s="94"/>
      <c r="V7360" s="94"/>
      <c r="W7360" s="94"/>
      <c r="X7360" s="94"/>
      <c r="Y7360" s="94"/>
      <c r="Z7360" s="94"/>
      <c r="AA7360" s="94"/>
      <c r="AB7360" s="94"/>
      <c r="AC7360" s="94"/>
      <c r="AD7360" s="94"/>
      <c r="AE7360" s="94"/>
      <c r="AF7360" s="94"/>
      <c r="AG7360" s="94"/>
      <c r="AH7360" s="94"/>
    </row>
    <row r="7361" ht="12.75" hidden="1" customHeight="1" outlineLevel="1">
      <c r="A7361" s="122">
        <v>42243.0</v>
      </c>
      <c r="B7361" s="32" t="s">
        <v>343</v>
      </c>
      <c r="C7361" s="32" t="s">
        <v>784</v>
      </c>
      <c r="D7361" s="983">
        <v>2000.0</v>
      </c>
      <c r="E7361" s="94">
        <v>4.796</v>
      </c>
      <c r="F7361" s="982">
        <v>0.4659027777777778</v>
      </c>
      <c r="G7361" s="32" t="s">
        <v>453</v>
      </c>
      <c r="H7361" s="710">
        <v>9.5</v>
      </c>
      <c r="I7361" s="256"/>
      <c r="J7361" s="67">
        <f t="shared" si="438"/>
        <v>-9601.5</v>
      </c>
      <c r="L7361" s="70"/>
      <c r="M7361" s="934"/>
      <c r="N7361" s="94"/>
      <c r="O7361" s="94"/>
      <c r="P7361" s="94"/>
      <c r="Q7361" s="94"/>
      <c r="R7361" s="94"/>
      <c r="S7361" s="94"/>
      <c r="T7361" s="94"/>
      <c r="U7361" s="94"/>
      <c r="V7361" s="94"/>
      <c r="W7361" s="94"/>
      <c r="X7361" s="94"/>
      <c r="Y7361" s="94"/>
      <c r="Z7361" s="94"/>
      <c r="AA7361" s="94"/>
      <c r="AB7361" s="94"/>
      <c r="AC7361" s="94"/>
      <c r="AD7361" s="94"/>
      <c r="AE7361" s="94"/>
      <c r="AF7361" s="94"/>
      <c r="AG7361" s="94"/>
      <c r="AH7361" s="94"/>
    </row>
    <row r="7362" ht="12.75" hidden="1" customHeight="1" outlineLevel="1">
      <c r="A7362" s="122">
        <v>42243.0</v>
      </c>
      <c r="B7362" s="32" t="s">
        <v>343</v>
      </c>
      <c r="C7362" s="32" t="s">
        <v>1839</v>
      </c>
      <c r="D7362" s="983">
        <v>2500.0</v>
      </c>
      <c r="E7362" s="94">
        <v>7.09</v>
      </c>
      <c r="F7362" s="982">
        <v>0.46684027777777776</v>
      </c>
      <c r="G7362" s="32" t="s">
        <v>453</v>
      </c>
      <c r="H7362" s="710">
        <v>12.5</v>
      </c>
      <c r="I7362" s="256"/>
      <c r="J7362" s="67">
        <f t="shared" si="438"/>
        <v>-17737.5</v>
      </c>
      <c r="L7362" s="70"/>
      <c r="M7362" s="934"/>
      <c r="N7362" s="94"/>
      <c r="O7362" s="94"/>
      <c r="P7362" s="94"/>
      <c r="Q7362" s="94"/>
      <c r="R7362" s="94"/>
      <c r="S7362" s="94"/>
      <c r="T7362" s="94"/>
      <c r="U7362" s="94"/>
      <c r="V7362" s="94"/>
      <c r="W7362" s="94"/>
      <c r="X7362" s="94"/>
      <c r="Y7362" s="94"/>
      <c r="Z7362" s="94"/>
      <c r="AA7362" s="94"/>
      <c r="AB7362" s="94"/>
      <c r="AC7362" s="94"/>
      <c r="AD7362" s="94"/>
      <c r="AE7362" s="94"/>
      <c r="AF7362" s="94"/>
      <c r="AG7362" s="94"/>
      <c r="AH7362" s="94"/>
    </row>
    <row r="7363" ht="12.75" hidden="1" customHeight="1" outlineLevel="1">
      <c r="A7363" s="122">
        <v>42243.0</v>
      </c>
      <c r="B7363" s="32" t="s">
        <v>343</v>
      </c>
      <c r="C7363" s="32" t="s">
        <v>1781</v>
      </c>
      <c r="D7363" s="983">
        <v>4500.0</v>
      </c>
      <c r="E7363" s="94">
        <v>6.659</v>
      </c>
      <c r="F7363" s="982">
        <v>0.4673148148148148</v>
      </c>
      <c r="G7363" s="32" t="s">
        <v>453</v>
      </c>
      <c r="H7363" s="710">
        <v>18.0</v>
      </c>
      <c r="I7363" s="256"/>
      <c r="J7363" s="67">
        <f t="shared" si="438"/>
        <v>-29983.5</v>
      </c>
      <c r="L7363" s="70"/>
      <c r="M7363" s="934"/>
      <c r="N7363" s="94"/>
      <c r="O7363" s="94"/>
      <c r="P7363" s="94"/>
      <c r="Q7363" s="94"/>
      <c r="R7363" s="94"/>
      <c r="S7363" s="94"/>
      <c r="T7363" s="94"/>
      <c r="U7363" s="94"/>
      <c r="V7363" s="94"/>
      <c r="W7363" s="94"/>
      <c r="X7363" s="94"/>
      <c r="Y7363" s="94"/>
      <c r="Z7363" s="94"/>
      <c r="AA7363" s="94"/>
      <c r="AB7363" s="94"/>
      <c r="AC7363" s="94"/>
      <c r="AD7363" s="94"/>
      <c r="AE7363" s="94"/>
      <c r="AF7363" s="94"/>
      <c r="AG7363" s="94"/>
      <c r="AH7363" s="94"/>
    </row>
    <row r="7364" ht="12.75" hidden="1" customHeight="1" outlineLevel="1">
      <c r="A7364" s="122">
        <v>42243.0</v>
      </c>
      <c r="B7364" s="32" t="s">
        <v>343</v>
      </c>
      <c r="C7364" s="32" t="s">
        <v>2048</v>
      </c>
      <c r="D7364" s="983">
        <v>3000.0</v>
      </c>
      <c r="E7364" s="94">
        <v>7.018</v>
      </c>
      <c r="F7364" s="982">
        <v>0.4676388888888889</v>
      </c>
      <c r="G7364" s="32" t="s">
        <v>453</v>
      </c>
      <c r="H7364" s="710">
        <v>13.2</v>
      </c>
      <c r="I7364" s="256"/>
      <c r="J7364" s="67">
        <f t="shared" si="438"/>
        <v>-21067.2</v>
      </c>
      <c r="L7364" s="70"/>
      <c r="M7364" s="934"/>
      <c r="N7364" s="94"/>
      <c r="O7364" s="94"/>
      <c r="P7364" s="94"/>
      <c r="Q7364" s="94"/>
      <c r="R7364" s="94"/>
      <c r="S7364" s="94"/>
      <c r="T7364" s="94"/>
      <c r="U7364" s="94"/>
      <c r="V7364" s="94"/>
      <c r="W7364" s="94"/>
      <c r="X7364" s="94"/>
      <c r="Y7364" s="94"/>
      <c r="Z7364" s="94"/>
      <c r="AA7364" s="94"/>
      <c r="AB7364" s="94"/>
      <c r="AC7364" s="94"/>
      <c r="AD7364" s="94"/>
      <c r="AE7364" s="94"/>
      <c r="AF7364" s="94"/>
      <c r="AG7364" s="94"/>
      <c r="AH7364" s="94"/>
    </row>
    <row r="7365" ht="12.75" hidden="1" customHeight="1" outlineLevel="1">
      <c r="A7365" s="122">
        <v>42243.0</v>
      </c>
      <c r="B7365" s="32" t="s">
        <v>343</v>
      </c>
      <c r="C7365" s="32" t="s">
        <v>790</v>
      </c>
      <c r="D7365" s="983">
        <v>3750.0</v>
      </c>
      <c r="E7365" s="94">
        <v>5.595</v>
      </c>
      <c r="F7365" s="982">
        <v>0.46784722222222225</v>
      </c>
      <c r="G7365" s="32" t="s">
        <v>453</v>
      </c>
      <c r="H7365" s="710">
        <v>18.35</v>
      </c>
      <c r="I7365" s="256"/>
      <c r="J7365" s="67">
        <f t="shared" si="438"/>
        <v>-20999.6</v>
      </c>
      <c r="L7365" s="70"/>
      <c r="M7365" s="934"/>
      <c r="N7365" s="94"/>
      <c r="O7365" s="94"/>
      <c r="P7365" s="94"/>
      <c r="Q7365" s="94"/>
      <c r="R7365" s="94"/>
      <c r="S7365" s="94"/>
      <c r="T7365" s="94"/>
      <c r="U7365" s="94"/>
      <c r="V7365" s="94"/>
      <c r="W7365" s="94"/>
      <c r="X7365" s="94"/>
      <c r="Y7365" s="94"/>
      <c r="Z7365" s="94"/>
      <c r="AA7365" s="94"/>
      <c r="AB7365" s="94"/>
      <c r="AC7365" s="94"/>
      <c r="AD7365" s="94"/>
      <c r="AE7365" s="94"/>
      <c r="AF7365" s="94"/>
      <c r="AG7365" s="94"/>
      <c r="AH7365" s="94"/>
    </row>
    <row r="7366" ht="12.75" hidden="1" customHeight="1" outlineLevel="1">
      <c r="A7366" s="122">
        <v>42243.0</v>
      </c>
      <c r="B7366" s="32" t="s">
        <v>347</v>
      </c>
      <c r="C7366" s="32" t="s">
        <v>2142</v>
      </c>
      <c r="D7366" s="32">
        <v>900.0</v>
      </c>
      <c r="E7366" s="94">
        <v>32.409</v>
      </c>
      <c r="F7366" s="982">
        <v>0.4713657407407407</v>
      </c>
      <c r="G7366" s="32" t="s">
        <v>453</v>
      </c>
      <c r="H7366" s="710">
        <v>4.34</v>
      </c>
      <c r="I7366" s="256"/>
      <c r="J7366" s="67">
        <f t="shared" si="438"/>
        <v>29163.76</v>
      </c>
      <c r="L7366" s="70"/>
      <c r="M7366" s="934"/>
      <c r="N7366" s="94"/>
      <c r="O7366" s="94"/>
      <c r="P7366" s="94"/>
      <c r="Q7366" s="94"/>
      <c r="R7366" s="94"/>
      <c r="S7366" s="94"/>
      <c r="T7366" s="94"/>
      <c r="U7366" s="94"/>
      <c r="V7366" s="94"/>
      <c r="W7366" s="94"/>
      <c r="X7366" s="94"/>
      <c r="Y7366" s="94"/>
      <c r="Z7366" s="94"/>
      <c r="AA7366" s="94"/>
      <c r="AB7366" s="94"/>
      <c r="AC7366" s="94"/>
      <c r="AD7366" s="94"/>
      <c r="AE7366" s="94"/>
      <c r="AF7366" s="94"/>
      <c r="AG7366" s="94"/>
      <c r="AH7366" s="94"/>
    </row>
    <row r="7367" ht="12.75" hidden="1" customHeight="1" outlineLevel="1">
      <c r="A7367" s="122">
        <v>42243.0</v>
      </c>
      <c r="B7367" s="32" t="s">
        <v>347</v>
      </c>
      <c r="C7367" s="32" t="s">
        <v>2142</v>
      </c>
      <c r="D7367" s="983">
        <v>1000.0</v>
      </c>
      <c r="E7367" s="94">
        <v>32.29</v>
      </c>
      <c r="F7367" s="982">
        <v>0.4801388888888889</v>
      </c>
      <c r="G7367" s="32" t="s">
        <v>453</v>
      </c>
      <c r="H7367" s="710">
        <v>5.59</v>
      </c>
      <c r="I7367" s="256"/>
      <c r="J7367" s="67">
        <f t="shared" si="438"/>
        <v>32284.41</v>
      </c>
      <c r="L7367" s="70"/>
      <c r="M7367" s="934"/>
      <c r="N7367" s="94"/>
      <c r="O7367" s="94"/>
      <c r="P7367" s="94"/>
      <c r="Q7367" s="94"/>
      <c r="R7367" s="94"/>
      <c r="S7367" s="94"/>
      <c r="T7367" s="94"/>
      <c r="U7367" s="94"/>
      <c r="V7367" s="94"/>
      <c r="W7367" s="94"/>
      <c r="X7367" s="94"/>
      <c r="Y7367" s="94"/>
      <c r="Z7367" s="94"/>
      <c r="AA7367" s="94"/>
      <c r="AB7367" s="94"/>
      <c r="AC7367" s="94"/>
      <c r="AD7367" s="94"/>
      <c r="AE7367" s="94"/>
      <c r="AF7367" s="94"/>
      <c r="AG7367" s="94"/>
      <c r="AH7367" s="94"/>
    </row>
    <row r="7368" ht="12.75" hidden="1" customHeight="1" outlineLevel="1">
      <c r="A7368" s="122">
        <v>42243.0</v>
      </c>
      <c r="B7368" s="32" t="s">
        <v>343</v>
      </c>
      <c r="C7368" s="32" t="s">
        <v>2195</v>
      </c>
      <c r="D7368" s="32">
        <v>250.0</v>
      </c>
      <c r="E7368" s="94">
        <v>14.57</v>
      </c>
      <c r="F7368" s="982">
        <v>0.48266203703703703</v>
      </c>
      <c r="G7368" s="32" t="s">
        <v>453</v>
      </c>
      <c r="H7368" s="710">
        <v>1.0</v>
      </c>
      <c r="I7368" s="256"/>
      <c r="J7368" s="67">
        <f t="shared" si="438"/>
        <v>-3643.5</v>
      </c>
      <c r="L7368" s="70"/>
      <c r="M7368" s="934"/>
      <c r="N7368" s="94"/>
      <c r="O7368" s="94"/>
      <c r="P7368" s="94"/>
      <c r="Q7368" s="94"/>
      <c r="R7368" s="94"/>
      <c r="S7368" s="94"/>
      <c r="T7368" s="94"/>
      <c r="U7368" s="94"/>
      <c r="V7368" s="94"/>
      <c r="W7368" s="94"/>
      <c r="X7368" s="94"/>
      <c r="Y7368" s="94"/>
      <c r="Z7368" s="94"/>
      <c r="AA7368" s="94"/>
      <c r="AB7368" s="94"/>
      <c r="AC7368" s="94"/>
      <c r="AD7368" s="94"/>
      <c r="AE7368" s="94"/>
      <c r="AF7368" s="94"/>
      <c r="AG7368" s="94"/>
      <c r="AH7368" s="94"/>
    </row>
    <row r="7369" ht="12.75" hidden="1" customHeight="1" outlineLevel="1">
      <c r="A7369" s="122">
        <v>42243.0</v>
      </c>
      <c r="B7369" s="32" t="s">
        <v>343</v>
      </c>
      <c r="C7369" s="32" t="s">
        <v>784</v>
      </c>
      <c r="D7369" s="983">
        <v>1500.0</v>
      </c>
      <c r="E7369" s="94">
        <v>4.77</v>
      </c>
      <c r="F7369" s="982">
        <v>0.4829976851851852</v>
      </c>
      <c r="G7369" s="32" t="s">
        <v>453</v>
      </c>
      <c r="H7369" s="710">
        <v>6.0</v>
      </c>
      <c r="I7369" s="256"/>
      <c r="J7369" s="67">
        <f t="shared" si="438"/>
        <v>-7161</v>
      </c>
      <c r="L7369" s="70"/>
      <c r="M7369" s="934"/>
      <c r="N7369" s="94"/>
      <c r="O7369" s="94"/>
      <c r="P7369" s="94"/>
      <c r="Q7369" s="94"/>
      <c r="R7369" s="94"/>
      <c r="S7369" s="94"/>
      <c r="T7369" s="94"/>
      <c r="U7369" s="94"/>
      <c r="V7369" s="94"/>
      <c r="W7369" s="94"/>
      <c r="X7369" s="94"/>
      <c r="Y7369" s="94"/>
      <c r="Z7369" s="94"/>
      <c r="AA7369" s="94"/>
      <c r="AB7369" s="94"/>
      <c r="AC7369" s="94"/>
      <c r="AD7369" s="94"/>
      <c r="AE7369" s="94"/>
      <c r="AF7369" s="94"/>
      <c r="AG7369" s="94"/>
      <c r="AH7369" s="94"/>
    </row>
    <row r="7370" ht="12.75" hidden="1" customHeight="1" outlineLevel="1">
      <c r="A7370" s="122">
        <v>42243.0</v>
      </c>
      <c r="B7370" s="32" t="s">
        <v>343</v>
      </c>
      <c r="C7370" s="32" t="s">
        <v>2090</v>
      </c>
      <c r="D7370" s="983">
        <v>1000.0</v>
      </c>
      <c r="E7370" s="94">
        <v>6.22</v>
      </c>
      <c r="F7370" s="982">
        <v>0.4832175925925926</v>
      </c>
      <c r="G7370" s="32" t="s">
        <v>453</v>
      </c>
      <c r="H7370" s="710">
        <v>4.0</v>
      </c>
      <c r="I7370" s="256"/>
      <c r="J7370" s="67">
        <f t="shared" si="438"/>
        <v>-6224</v>
      </c>
      <c r="L7370" s="70"/>
      <c r="M7370" s="934"/>
      <c r="N7370" s="94"/>
      <c r="O7370" s="94"/>
      <c r="P7370" s="94"/>
      <c r="Q7370" s="94"/>
      <c r="R7370" s="94"/>
      <c r="S7370" s="94"/>
      <c r="T7370" s="94"/>
      <c r="U7370" s="94"/>
      <c r="V7370" s="94"/>
      <c r="W7370" s="94"/>
      <c r="X7370" s="94"/>
      <c r="Y7370" s="94"/>
      <c r="Z7370" s="94"/>
      <c r="AA7370" s="94"/>
      <c r="AB7370" s="94"/>
      <c r="AC7370" s="94"/>
      <c r="AD7370" s="94"/>
      <c r="AE7370" s="94"/>
      <c r="AF7370" s="94"/>
      <c r="AG7370" s="94"/>
      <c r="AH7370" s="94"/>
    </row>
    <row r="7371" ht="12.75" hidden="1" customHeight="1" outlineLevel="1">
      <c r="A7371" s="122">
        <v>42243.0</v>
      </c>
      <c r="B7371" s="32" t="s">
        <v>343</v>
      </c>
      <c r="C7371" s="32" t="s">
        <v>2048</v>
      </c>
      <c r="D7371" s="983">
        <v>1500.0</v>
      </c>
      <c r="E7371" s="94">
        <v>6.92</v>
      </c>
      <c r="F7371" s="982">
        <v>0.48355324074074074</v>
      </c>
      <c r="G7371" s="32" t="s">
        <v>453</v>
      </c>
      <c r="H7371" s="710">
        <v>7.5</v>
      </c>
      <c r="I7371" s="256"/>
      <c r="J7371" s="67">
        <f t="shared" si="438"/>
        <v>-10387.5</v>
      </c>
      <c r="L7371" s="70"/>
      <c r="M7371" s="934"/>
      <c r="N7371" s="94"/>
      <c r="O7371" s="94"/>
      <c r="P7371" s="94"/>
      <c r="Q7371" s="94"/>
      <c r="R7371" s="94"/>
      <c r="S7371" s="94"/>
      <c r="T7371" s="94"/>
      <c r="U7371" s="94"/>
      <c r="V7371" s="94"/>
      <c r="W7371" s="94"/>
      <c r="X7371" s="94"/>
      <c r="Y7371" s="94"/>
      <c r="Z7371" s="94"/>
      <c r="AA7371" s="94"/>
      <c r="AB7371" s="94"/>
      <c r="AC7371" s="94"/>
      <c r="AD7371" s="94"/>
      <c r="AE7371" s="94"/>
      <c r="AF7371" s="94"/>
      <c r="AG7371" s="94"/>
      <c r="AH7371" s="94"/>
    </row>
    <row r="7372" ht="12.75" hidden="1" customHeight="1" outlineLevel="1">
      <c r="A7372" s="122">
        <v>42243.0</v>
      </c>
      <c r="B7372" s="32" t="s">
        <v>343</v>
      </c>
      <c r="C7372" s="32" t="s">
        <v>790</v>
      </c>
      <c r="D7372" s="983">
        <v>1900.0</v>
      </c>
      <c r="E7372" s="94">
        <v>5.559</v>
      </c>
      <c r="F7372" s="982">
        <v>0.48398148148148146</v>
      </c>
      <c r="G7372" s="32" t="s">
        <v>453</v>
      </c>
      <c r="H7372" s="710">
        <v>7.6</v>
      </c>
      <c r="I7372" s="256"/>
      <c r="J7372" s="67">
        <f t="shared" si="438"/>
        <v>-10569.7</v>
      </c>
      <c r="L7372" s="70"/>
      <c r="M7372" s="934"/>
      <c r="N7372" s="94"/>
      <c r="O7372" s="94"/>
      <c r="P7372" s="94"/>
      <c r="Q7372" s="94"/>
      <c r="R7372" s="94"/>
      <c r="S7372" s="94"/>
      <c r="T7372" s="94"/>
      <c r="U7372" s="94"/>
      <c r="V7372" s="94"/>
      <c r="W7372" s="94"/>
      <c r="X7372" s="94"/>
      <c r="Y7372" s="94"/>
      <c r="Z7372" s="94"/>
      <c r="AA7372" s="94"/>
      <c r="AB7372" s="94"/>
      <c r="AC7372" s="94"/>
      <c r="AD7372" s="94"/>
      <c r="AE7372" s="94"/>
      <c r="AF7372" s="94"/>
      <c r="AG7372" s="94"/>
      <c r="AH7372" s="94"/>
    </row>
    <row r="7373" ht="12.75" hidden="1" customHeight="1" outlineLevel="1">
      <c r="A7373" s="122">
        <v>42243.0</v>
      </c>
      <c r="B7373" s="32" t="s">
        <v>343</v>
      </c>
      <c r="C7373" s="32" t="s">
        <v>1839</v>
      </c>
      <c r="D7373" s="983">
        <v>1250.0</v>
      </c>
      <c r="E7373" s="94">
        <v>6.88</v>
      </c>
      <c r="F7373" s="982">
        <v>0.484375</v>
      </c>
      <c r="G7373" s="32" t="s">
        <v>453</v>
      </c>
      <c r="H7373" s="710">
        <v>5.0</v>
      </c>
      <c r="I7373" s="256"/>
      <c r="J7373" s="67">
        <f t="shared" si="438"/>
        <v>-8605</v>
      </c>
      <c r="L7373" s="70"/>
      <c r="M7373" s="934"/>
      <c r="N7373" s="94"/>
      <c r="O7373" s="94"/>
      <c r="P7373" s="94"/>
      <c r="Q7373" s="94"/>
      <c r="R7373" s="94"/>
      <c r="S7373" s="94"/>
      <c r="T7373" s="94"/>
      <c r="U7373" s="94"/>
      <c r="V7373" s="94"/>
      <c r="W7373" s="94"/>
      <c r="X7373" s="94"/>
      <c r="Y7373" s="94"/>
      <c r="Z7373" s="94"/>
      <c r="AA7373" s="94"/>
      <c r="AB7373" s="94"/>
      <c r="AC7373" s="94"/>
      <c r="AD7373" s="94"/>
      <c r="AE7373" s="94"/>
      <c r="AF7373" s="94"/>
      <c r="AG7373" s="94"/>
      <c r="AH7373" s="94"/>
    </row>
    <row r="7374" ht="12.75" hidden="1" customHeight="1" outlineLevel="1">
      <c r="A7374" s="122">
        <v>42243.0</v>
      </c>
      <c r="B7374" s="32" t="s">
        <v>347</v>
      </c>
      <c r="C7374" s="32" t="s">
        <v>1249</v>
      </c>
      <c r="D7374" s="32">
        <v>100.0</v>
      </c>
      <c r="E7374" s="94">
        <v>100.38</v>
      </c>
      <c r="F7374" s="982">
        <v>0.6052199074074074</v>
      </c>
      <c r="G7374" s="32" t="s">
        <v>453</v>
      </c>
      <c r="H7374" s="710">
        <v>1.18</v>
      </c>
      <c r="I7374" s="256"/>
      <c r="J7374" s="67">
        <f t="shared" si="438"/>
        <v>10036.82</v>
      </c>
      <c r="L7374" s="70"/>
      <c r="M7374" s="934"/>
      <c r="N7374" s="94"/>
      <c r="O7374" s="94"/>
      <c r="P7374" s="94"/>
      <c r="Q7374" s="94"/>
      <c r="R7374" s="94"/>
      <c r="S7374" s="94"/>
      <c r="T7374" s="94"/>
      <c r="U7374" s="94"/>
      <c r="V7374" s="94"/>
      <c r="W7374" s="94"/>
      <c r="X7374" s="94"/>
      <c r="Y7374" s="94"/>
      <c r="Z7374" s="94"/>
      <c r="AA7374" s="94"/>
      <c r="AB7374" s="94"/>
      <c r="AC7374" s="94"/>
      <c r="AD7374" s="94"/>
      <c r="AE7374" s="94"/>
      <c r="AF7374" s="94"/>
      <c r="AG7374" s="94"/>
      <c r="AH7374" s="94"/>
    </row>
    <row r="7375" ht="12.75" hidden="1" customHeight="1" outlineLevel="1">
      <c r="A7375" s="122">
        <v>42243.0</v>
      </c>
      <c r="B7375" s="32" t="s">
        <v>347</v>
      </c>
      <c r="C7375" s="32" t="s">
        <v>1345</v>
      </c>
      <c r="D7375" s="32">
        <v>50.0</v>
      </c>
      <c r="E7375" s="94">
        <v>153.72</v>
      </c>
      <c r="F7375" s="982">
        <v>0.606724537037037</v>
      </c>
      <c r="G7375" s="32" t="s">
        <v>453</v>
      </c>
      <c r="H7375" s="710">
        <v>1.14</v>
      </c>
      <c r="I7375" s="256"/>
      <c r="J7375" s="67">
        <f t="shared" si="438"/>
        <v>7684.86</v>
      </c>
      <c r="L7375" s="70"/>
      <c r="M7375" s="934"/>
      <c r="N7375" s="94"/>
      <c r="O7375" s="94"/>
      <c r="P7375" s="94"/>
      <c r="Q7375" s="94"/>
      <c r="R7375" s="94"/>
      <c r="S7375" s="94"/>
      <c r="T7375" s="94"/>
      <c r="U7375" s="94"/>
      <c r="V7375" s="94"/>
      <c r="W7375" s="94"/>
      <c r="X7375" s="94"/>
      <c r="Y7375" s="94"/>
      <c r="Z7375" s="94"/>
      <c r="AA7375" s="94"/>
      <c r="AB7375" s="94"/>
      <c r="AC7375" s="94"/>
      <c r="AD7375" s="94"/>
      <c r="AE7375" s="94"/>
      <c r="AF7375" s="94"/>
      <c r="AG7375" s="94"/>
      <c r="AH7375" s="94"/>
    </row>
    <row r="7376" ht="12.75" hidden="1" customHeight="1" outlineLevel="1">
      <c r="A7376" s="122">
        <v>42243.0</v>
      </c>
      <c r="B7376" s="32" t="s">
        <v>347</v>
      </c>
      <c r="C7376" s="32" t="s">
        <v>1249</v>
      </c>
      <c r="D7376" s="32">
        <v>100.0</v>
      </c>
      <c r="E7376" s="94">
        <v>99.86</v>
      </c>
      <c r="F7376" s="982">
        <v>0.6234953703703704</v>
      </c>
      <c r="G7376" s="32" t="s">
        <v>453</v>
      </c>
      <c r="H7376" s="710">
        <v>1.18</v>
      </c>
      <c r="I7376" s="256"/>
      <c r="J7376" s="67">
        <f t="shared" si="438"/>
        <v>9984.82</v>
      </c>
      <c r="L7376" s="70"/>
      <c r="M7376" s="934"/>
      <c r="N7376" s="94"/>
      <c r="O7376" s="94"/>
      <c r="P7376" s="94"/>
      <c r="Q7376" s="94"/>
      <c r="R7376" s="94"/>
      <c r="S7376" s="94"/>
      <c r="T7376" s="94"/>
      <c r="U7376" s="94"/>
      <c r="V7376" s="94"/>
      <c r="W7376" s="94"/>
      <c r="X7376" s="94"/>
      <c r="Y7376" s="94"/>
      <c r="Z7376" s="94"/>
      <c r="AA7376" s="94"/>
      <c r="AB7376" s="94"/>
      <c r="AC7376" s="94"/>
      <c r="AD7376" s="94"/>
      <c r="AE7376" s="94"/>
      <c r="AF7376" s="94"/>
      <c r="AG7376" s="94"/>
      <c r="AH7376" s="94"/>
    </row>
    <row r="7377" ht="12.75" hidden="1" customHeight="1" outlineLevel="1">
      <c r="A7377" s="122">
        <v>42243.0</v>
      </c>
      <c r="B7377" s="32" t="s">
        <v>347</v>
      </c>
      <c r="C7377" s="32" t="s">
        <v>1244</v>
      </c>
      <c r="D7377" s="32">
        <v>100.0</v>
      </c>
      <c r="E7377" s="94">
        <v>106.47</v>
      </c>
      <c r="F7377" s="982">
        <v>0.62375</v>
      </c>
      <c r="G7377" s="32" t="s">
        <v>453</v>
      </c>
      <c r="H7377" s="710">
        <v>1.2</v>
      </c>
      <c r="I7377" s="256"/>
      <c r="J7377" s="67">
        <f t="shared" si="438"/>
        <v>10645.8</v>
      </c>
      <c r="L7377" s="70"/>
      <c r="M7377" s="934"/>
      <c r="N7377" s="94"/>
      <c r="O7377" s="94"/>
      <c r="P7377" s="94"/>
      <c r="Q7377" s="94"/>
      <c r="R7377" s="94"/>
      <c r="S7377" s="94"/>
      <c r="T7377" s="94"/>
      <c r="U7377" s="94"/>
      <c r="V7377" s="94"/>
      <c r="W7377" s="94"/>
      <c r="X7377" s="94"/>
      <c r="Y7377" s="94"/>
      <c r="Z7377" s="94"/>
      <c r="AA7377" s="94"/>
      <c r="AB7377" s="94"/>
      <c r="AC7377" s="94"/>
      <c r="AD7377" s="94"/>
      <c r="AE7377" s="94"/>
      <c r="AF7377" s="94"/>
      <c r="AG7377" s="94"/>
      <c r="AH7377" s="94"/>
    </row>
    <row r="7378" ht="12.75" hidden="1" customHeight="1" outlineLevel="1">
      <c r="A7378" s="122">
        <v>42243.0</v>
      </c>
      <c r="B7378" s="32" t="s">
        <v>347</v>
      </c>
      <c r="C7378" s="32" t="s">
        <v>2342</v>
      </c>
      <c r="D7378" s="32">
        <v>200.0</v>
      </c>
      <c r="E7378" s="94">
        <v>50.945</v>
      </c>
      <c r="F7378" s="982">
        <v>0.6239467592592592</v>
      </c>
      <c r="G7378" s="32" t="s">
        <v>453</v>
      </c>
      <c r="H7378" s="710">
        <v>1.19</v>
      </c>
      <c r="I7378" s="256"/>
      <c r="J7378" s="67">
        <f t="shared" si="438"/>
        <v>10187.81</v>
      </c>
      <c r="L7378" s="70"/>
      <c r="M7378" s="934"/>
      <c r="N7378" s="94"/>
      <c r="O7378" s="94"/>
      <c r="P7378" s="94"/>
      <c r="Q7378" s="94"/>
      <c r="R7378" s="94"/>
      <c r="S7378" s="94"/>
      <c r="T7378" s="94"/>
      <c r="U7378" s="94"/>
      <c r="V7378" s="94"/>
      <c r="W7378" s="94"/>
      <c r="X7378" s="94"/>
      <c r="Y7378" s="94"/>
      <c r="Z7378" s="94"/>
      <c r="AA7378" s="94"/>
      <c r="AB7378" s="94"/>
      <c r="AC7378" s="94"/>
      <c r="AD7378" s="94"/>
      <c r="AE7378" s="94"/>
      <c r="AF7378" s="94"/>
      <c r="AG7378" s="94"/>
      <c r="AH7378" s="94"/>
    </row>
    <row r="7379" ht="12.75" hidden="1" customHeight="1" outlineLevel="1">
      <c r="A7379" s="122">
        <v>42243.0</v>
      </c>
      <c r="B7379" s="32" t="s">
        <v>347</v>
      </c>
      <c r="C7379" s="32" t="s">
        <v>1345</v>
      </c>
      <c r="D7379" s="32">
        <v>50.0</v>
      </c>
      <c r="E7379" s="94">
        <v>152.17</v>
      </c>
      <c r="F7379" s="982">
        <v>0.6242824074074074</v>
      </c>
      <c r="G7379" s="32" t="s">
        <v>453</v>
      </c>
      <c r="H7379" s="710">
        <v>1.14</v>
      </c>
      <c r="I7379" s="256"/>
      <c r="J7379" s="67">
        <f t="shared" si="438"/>
        <v>7607.36</v>
      </c>
      <c r="L7379" s="70"/>
      <c r="M7379" s="934"/>
      <c r="N7379" s="94"/>
      <c r="O7379" s="94"/>
      <c r="P7379" s="94"/>
      <c r="Q7379" s="94"/>
      <c r="R7379" s="94"/>
      <c r="S7379" s="94"/>
      <c r="T7379" s="94"/>
      <c r="U7379" s="94"/>
      <c r="V7379" s="94"/>
      <c r="W7379" s="94"/>
      <c r="X7379" s="94"/>
      <c r="Y7379" s="94"/>
      <c r="Z7379" s="94"/>
      <c r="AA7379" s="94"/>
      <c r="AB7379" s="94"/>
      <c r="AC7379" s="94"/>
      <c r="AD7379" s="94"/>
      <c r="AE7379" s="94"/>
      <c r="AF7379" s="94"/>
      <c r="AG7379" s="94"/>
      <c r="AH7379" s="94"/>
    </row>
    <row r="7380" ht="12.75" hidden="1" customHeight="1" outlineLevel="1">
      <c r="A7380" s="122">
        <v>42243.0</v>
      </c>
      <c r="B7380" s="32" t="s">
        <v>347</v>
      </c>
      <c r="C7380" s="32" t="s">
        <v>605</v>
      </c>
      <c r="D7380" s="32">
        <v>100.0</v>
      </c>
      <c r="E7380" s="94">
        <v>73.84</v>
      </c>
      <c r="F7380" s="982">
        <v>0.6261458333333333</v>
      </c>
      <c r="G7380" s="32" t="s">
        <v>453</v>
      </c>
      <c r="H7380" s="710">
        <v>1.14</v>
      </c>
      <c r="I7380" s="256"/>
      <c r="J7380" s="67">
        <f t="shared" si="438"/>
        <v>7382.86</v>
      </c>
      <c r="L7380" s="70"/>
      <c r="M7380" s="934"/>
      <c r="N7380" s="94"/>
      <c r="O7380" s="94"/>
      <c r="P7380" s="94"/>
      <c r="Q7380" s="94"/>
      <c r="R7380" s="94"/>
      <c r="S7380" s="94"/>
      <c r="T7380" s="94"/>
      <c r="U7380" s="94"/>
      <c r="V7380" s="94"/>
      <c r="W7380" s="94"/>
      <c r="X7380" s="94"/>
      <c r="Y7380" s="94"/>
      <c r="Z7380" s="94"/>
      <c r="AA7380" s="94"/>
      <c r="AB7380" s="94"/>
      <c r="AC7380" s="94"/>
      <c r="AD7380" s="94"/>
      <c r="AE7380" s="94"/>
      <c r="AF7380" s="94"/>
      <c r="AG7380" s="94"/>
      <c r="AH7380" s="94"/>
    </row>
    <row r="7381" ht="12.75" hidden="1" customHeight="1" outlineLevel="1">
      <c r="A7381" s="122">
        <v>42243.0</v>
      </c>
      <c r="B7381" s="32" t="s">
        <v>347</v>
      </c>
      <c r="C7381" s="32" t="s">
        <v>3104</v>
      </c>
      <c r="D7381" s="32">
        <v>150.0</v>
      </c>
      <c r="E7381" s="94">
        <v>44.161</v>
      </c>
      <c r="F7381" s="982">
        <v>0.6279861111111111</v>
      </c>
      <c r="G7381" s="32" t="s">
        <v>453</v>
      </c>
      <c r="H7381" s="710">
        <v>1.12</v>
      </c>
      <c r="I7381" s="256"/>
      <c r="J7381" s="67">
        <f t="shared" si="438"/>
        <v>6623.03</v>
      </c>
      <c r="L7381" s="70"/>
      <c r="M7381" s="934"/>
      <c r="N7381" s="94"/>
      <c r="O7381" s="94"/>
      <c r="P7381" s="94"/>
      <c r="Q7381" s="94"/>
      <c r="R7381" s="94"/>
      <c r="S7381" s="94"/>
      <c r="T7381" s="94"/>
      <c r="U7381" s="94"/>
      <c r="V7381" s="94"/>
      <c r="W7381" s="94"/>
      <c r="X7381" s="94"/>
      <c r="Y7381" s="94"/>
      <c r="Z7381" s="94"/>
      <c r="AA7381" s="94"/>
      <c r="AB7381" s="94"/>
      <c r="AC7381" s="94"/>
      <c r="AD7381" s="94"/>
      <c r="AE7381" s="94"/>
      <c r="AF7381" s="94"/>
      <c r="AG7381" s="94"/>
      <c r="AH7381" s="94"/>
    </row>
    <row r="7382" ht="12.75" hidden="1" customHeight="1" outlineLevel="1">
      <c r="A7382" s="122">
        <v>42243.0</v>
      </c>
      <c r="B7382" s="32" t="s">
        <v>347</v>
      </c>
      <c r="C7382" s="32" t="s">
        <v>2862</v>
      </c>
      <c r="D7382" s="32">
        <v>100.0</v>
      </c>
      <c r="E7382" s="94">
        <v>105.87</v>
      </c>
      <c r="F7382" s="982">
        <v>0.6299421296296296</v>
      </c>
      <c r="G7382" s="32" t="s">
        <v>453</v>
      </c>
      <c r="H7382" s="710">
        <v>1.19</v>
      </c>
      <c r="I7382" s="256"/>
      <c r="J7382" s="67">
        <f t="shared" si="438"/>
        <v>10585.81</v>
      </c>
      <c r="L7382" s="70"/>
      <c r="M7382" s="934"/>
      <c r="N7382" s="94"/>
      <c r="O7382" s="94"/>
      <c r="P7382" s="94"/>
      <c r="Q7382" s="94"/>
      <c r="R7382" s="94"/>
      <c r="S7382" s="94"/>
      <c r="T7382" s="94"/>
      <c r="U7382" s="94"/>
      <c r="V7382" s="94"/>
      <c r="W7382" s="94"/>
      <c r="X7382" s="94"/>
      <c r="Y7382" s="94"/>
      <c r="Z7382" s="94"/>
      <c r="AA7382" s="94"/>
      <c r="AB7382" s="94"/>
      <c r="AC7382" s="94"/>
      <c r="AD7382" s="94"/>
      <c r="AE7382" s="94"/>
      <c r="AF7382" s="94"/>
      <c r="AG7382" s="94"/>
      <c r="AH7382" s="94"/>
    </row>
    <row r="7383" ht="12.75" hidden="1" customHeight="1" outlineLevel="1">
      <c r="A7383" s="122">
        <v>42243.0</v>
      </c>
      <c r="B7383" s="32" t="s">
        <v>347</v>
      </c>
      <c r="C7383" s="32" t="s">
        <v>1382</v>
      </c>
      <c r="D7383" s="32">
        <v>50.0</v>
      </c>
      <c r="E7383" s="94">
        <v>138.36</v>
      </c>
      <c r="F7383" s="982">
        <v>0.6342708333333333</v>
      </c>
      <c r="G7383" s="32" t="s">
        <v>453</v>
      </c>
      <c r="H7383" s="710">
        <v>1.13</v>
      </c>
      <c r="I7383" s="256"/>
      <c r="J7383" s="67">
        <f t="shared" si="438"/>
        <v>6916.87</v>
      </c>
      <c r="L7383" s="70"/>
      <c r="M7383" s="934"/>
      <c r="N7383" s="94"/>
      <c r="O7383" s="94"/>
      <c r="P7383" s="94"/>
      <c r="Q7383" s="94"/>
      <c r="R7383" s="94"/>
      <c r="S7383" s="94"/>
      <c r="T7383" s="94"/>
      <c r="U7383" s="94"/>
      <c r="V7383" s="94"/>
      <c r="W7383" s="94"/>
      <c r="X7383" s="94"/>
      <c r="Y7383" s="94"/>
      <c r="Z7383" s="94"/>
      <c r="AA7383" s="94"/>
      <c r="AB7383" s="94"/>
      <c r="AC7383" s="94"/>
      <c r="AD7383" s="94"/>
      <c r="AE7383" s="94"/>
      <c r="AF7383" s="94"/>
      <c r="AG7383" s="94"/>
      <c r="AH7383" s="94"/>
    </row>
    <row r="7384" ht="12.75" hidden="1" customHeight="1" outlineLevel="1">
      <c r="A7384" s="122">
        <v>42243.0</v>
      </c>
      <c r="B7384" s="32" t="s">
        <v>347</v>
      </c>
      <c r="C7384" s="32" t="s">
        <v>2385</v>
      </c>
      <c r="D7384" s="32">
        <v>70.0</v>
      </c>
      <c r="E7384" s="94">
        <v>101.36</v>
      </c>
      <c r="F7384" s="982">
        <v>0.6353125</v>
      </c>
      <c r="G7384" s="32" t="s">
        <v>453</v>
      </c>
      <c r="H7384" s="710">
        <v>1.13</v>
      </c>
      <c r="I7384" s="256"/>
      <c r="J7384" s="67">
        <f t="shared" si="438"/>
        <v>7094.07</v>
      </c>
      <c r="L7384" s="70"/>
      <c r="M7384" s="934"/>
      <c r="N7384" s="94"/>
      <c r="O7384" s="94"/>
      <c r="P7384" s="94"/>
      <c r="Q7384" s="94"/>
      <c r="R7384" s="94"/>
      <c r="S7384" s="94"/>
      <c r="T7384" s="94"/>
      <c r="U7384" s="94"/>
      <c r="V7384" s="94"/>
      <c r="W7384" s="94"/>
      <c r="X7384" s="94"/>
      <c r="Y7384" s="94"/>
      <c r="Z7384" s="94"/>
      <c r="AA7384" s="94"/>
      <c r="AB7384" s="94"/>
      <c r="AC7384" s="94"/>
      <c r="AD7384" s="94"/>
      <c r="AE7384" s="94"/>
      <c r="AF7384" s="94"/>
      <c r="AG7384" s="94"/>
      <c r="AH7384" s="94"/>
    </row>
    <row r="7385" ht="12.75" hidden="1" customHeight="1" outlineLevel="1">
      <c r="A7385" s="122">
        <v>42243.0</v>
      </c>
      <c r="B7385" s="32" t="s">
        <v>347</v>
      </c>
      <c r="C7385" s="32" t="s">
        <v>1049</v>
      </c>
      <c r="D7385" s="32">
        <v>10.0</v>
      </c>
      <c r="E7385" s="94">
        <v>820.11</v>
      </c>
      <c r="F7385" s="982">
        <v>0.6426851851851851</v>
      </c>
      <c r="G7385" s="32" t="s">
        <v>453</v>
      </c>
      <c r="H7385" s="710">
        <v>1.15</v>
      </c>
      <c r="I7385" s="256"/>
      <c r="J7385" s="67">
        <f t="shared" si="438"/>
        <v>8199.95</v>
      </c>
      <c r="L7385" s="70"/>
      <c r="M7385" s="934"/>
      <c r="N7385" s="94"/>
      <c r="O7385" s="94"/>
      <c r="P7385" s="94"/>
      <c r="Q7385" s="94"/>
      <c r="R7385" s="94"/>
      <c r="S7385" s="94"/>
      <c r="T7385" s="94"/>
      <c r="U7385" s="94"/>
      <c r="V7385" s="94"/>
      <c r="W7385" s="94"/>
      <c r="X7385" s="94"/>
      <c r="Y7385" s="94"/>
      <c r="Z7385" s="94"/>
      <c r="AA7385" s="94"/>
      <c r="AB7385" s="94"/>
      <c r="AC7385" s="94"/>
      <c r="AD7385" s="94"/>
      <c r="AE7385" s="94"/>
      <c r="AF7385" s="94"/>
      <c r="AG7385" s="94"/>
      <c r="AH7385" s="94"/>
    </row>
    <row r="7386" ht="12.75" hidden="1" customHeight="1" outlineLevel="1">
      <c r="A7386" s="122">
        <v>42243.0</v>
      </c>
      <c r="B7386" s="32" t="s">
        <v>347</v>
      </c>
      <c r="C7386" s="32" t="s">
        <v>1185</v>
      </c>
      <c r="D7386" s="32">
        <v>15.0</v>
      </c>
      <c r="E7386" s="94">
        <v>372.49</v>
      </c>
      <c r="F7386" s="982">
        <v>0.646087962962963</v>
      </c>
      <c r="G7386" s="32" t="s">
        <v>453</v>
      </c>
      <c r="H7386" s="710">
        <v>1.1</v>
      </c>
      <c r="I7386" s="256"/>
      <c r="J7386" s="67">
        <f t="shared" si="438"/>
        <v>5586.25</v>
      </c>
      <c r="L7386" s="70"/>
      <c r="M7386" s="934"/>
      <c r="N7386" s="94"/>
      <c r="O7386" s="94"/>
      <c r="P7386" s="94"/>
      <c r="Q7386" s="94"/>
      <c r="R7386" s="94"/>
      <c r="S7386" s="94"/>
      <c r="T7386" s="94"/>
      <c r="U7386" s="94"/>
      <c r="V7386" s="94"/>
      <c r="W7386" s="94"/>
      <c r="X7386" s="94"/>
      <c r="Y7386" s="94"/>
      <c r="Z7386" s="94"/>
      <c r="AA7386" s="94"/>
      <c r="AB7386" s="94"/>
      <c r="AC7386" s="94"/>
      <c r="AD7386" s="94"/>
      <c r="AE7386" s="94"/>
      <c r="AF7386" s="94"/>
      <c r="AG7386" s="94"/>
      <c r="AH7386" s="94"/>
    </row>
    <row r="7387" ht="12.75" hidden="1" customHeight="1" outlineLevel="1">
      <c r="A7387" s="122">
        <v>42243.0</v>
      </c>
      <c r="B7387" s="974"/>
      <c r="C7387" s="32" t="s">
        <v>339</v>
      </c>
      <c r="D7387" s="708"/>
      <c r="E7387" s="195"/>
      <c r="F7387" s="709"/>
      <c r="G7387" s="195"/>
      <c r="H7387" s="710"/>
      <c r="I7387" s="256"/>
      <c r="J7387" s="67"/>
      <c r="K7387" s="968" t="s">
        <v>3112</v>
      </c>
      <c r="L7387" s="934"/>
      <c r="M7387" s="934"/>
    </row>
    <row r="7388" ht="12.75" hidden="1" customHeight="1" outlineLevel="1">
      <c r="A7388" s="122">
        <v>42243.0</v>
      </c>
      <c r="B7388" s="974"/>
      <c r="C7388" s="32" t="s">
        <v>429</v>
      </c>
      <c r="D7388" s="708"/>
      <c r="E7388" s="195"/>
      <c r="F7388" s="709"/>
      <c r="G7388" s="195"/>
      <c r="H7388" s="710"/>
      <c r="I7388" s="256"/>
      <c r="J7388" s="67"/>
      <c r="K7388" s="9" t="s">
        <v>3049</v>
      </c>
      <c r="L7388" s="934"/>
      <c r="M7388" s="934"/>
    </row>
    <row r="7389" ht="12.75" hidden="1" customHeight="1" outlineLevel="1">
      <c r="A7389" s="122">
        <v>42243.0</v>
      </c>
      <c r="B7389" s="974"/>
      <c r="C7389" s="32" t="s">
        <v>431</v>
      </c>
      <c r="D7389" s="708"/>
      <c r="E7389" s="195"/>
      <c r="F7389" s="709"/>
      <c r="G7389" s="195"/>
      <c r="H7389" s="710"/>
      <c r="I7389" s="256"/>
      <c r="J7389" s="67"/>
      <c r="K7389" s="7" t="s">
        <v>1126</v>
      </c>
      <c r="L7389" s="934"/>
      <c r="M7389" s="934"/>
    </row>
    <row r="7390" ht="12.75" hidden="1" customHeight="1" outlineLevel="1">
      <c r="A7390" s="122">
        <v>42243.0</v>
      </c>
      <c r="B7390" s="974"/>
      <c r="C7390" s="32" t="s">
        <v>433</v>
      </c>
      <c r="D7390" s="708"/>
      <c r="E7390" s="195"/>
      <c r="F7390" s="709"/>
      <c r="G7390" s="195"/>
      <c r="H7390" s="710"/>
      <c r="I7390" s="256"/>
      <c r="J7390" s="67"/>
      <c r="K7390" s="7" t="s">
        <v>1103</v>
      </c>
      <c r="L7390" s="934"/>
      <c r="M7390" s="934"/>
    </row>
    <row r="7391" ht="12.75" hidden="1" customHeight="1" outlineLevel="1">
      <c r="A7391" s="122">
        <v>42243.0</v>
      </c>
      <c r="B7391" s="974"/>
      <c r="C7391" s="32" t="s">
        <v>435</v>
      </c>
      <c r="D7391" s="708"/>
      <c r="E7391" s="195"/>
      <c r="F7391" s="709"/>
      <c r="G7391" s="195"/>
      <c r="H7391" s="710"/>
      <c r="I7391" s="256"/>
      <c r="J7391" s="67"/>
      <c r="K7391" s="9" t="s">
        <v>3113</v>
      </c>
      <c r="L7391" s="934"/>
      <c r="M7391" s="934"/>
    </row>
    <row r="7392" ht="12.75" hidden="1" customHeight="1" outlineLevel="1">
      <c r="A7392" s="122">
        <v>42244.0</v>
      </c>
      <c r="B7392" s="32" t="s">
        <v>347</v>
      </c>
      <c r="C7392" s="32" t="s">
        <v>1061</v>
      </c>
      <c r="D7392" s="32">
        <v>200.0</v>
      </c>
      <c r="E7392" s="94">
        <v>41.803</v>
      </c>
      <c r="F7392" s="982">
        <v>0.4078935185185185</v>
      </c>
      <c r="G7392" s="32" t="s">
        <v>453</v>
      </c>
      <c r="H7392" s="710">
        <v>1.15</v>
      </c>
      <c r="I7392" s="256"/>
      <c r="J7392" s="67">
        <f t="shared" ref="J7392:J7397" si="439">IF(B7392="SLD",D7392*E7392,-D7392*E7392)-H7392</f>
        <v>8359.45</v>
      </c>
      <c r="L7392" s="70"/>
      <c r="M7392" s="934"/>
      <c r="N7392" s="94"/>
      <c r="O7392" s="94"/>
      <c r="P7392" s="94"/>
      <c r="Q7392" s="94"/>
      <c r="R7392" s="94"/>
      <c r="S7392" s="94"/>
      <c r="T7392" s="94"/>
      <c r="U7392" s="94"/>
      <c r="V7392" s="94"/>
      <c r="W7392" s="94"/>
      <c r="X7392" s="94"/>
      <c r="Y7392" s="94"/>
      <c r="Z7392" s="94"/>
      <c r="AA7392" s="94"/>
      <c r="AB7392" s="94"/>
      <c r="AC7392" s="94"/>
      <c r="AD7392" s="94"/>
      <c r="AE7392" s="94"/>
      <c r="AF7392" s="94"/>
      <c r="AG7392" s="94"/>
      <c r="AH7392" s="94"/>
    </row>
    <row r="7393" ht="12.75" hidden="1" customHeight="1" outlineLevel="1">
      <c r="A7393" s="122">
        <v>42244.0</v>
      </c>
      <c r="B7393" s="32" t="s">
        <v>347</v>
      </c>
      <c r="C7393" s="32" t="s">
        <v>346</v>
      </c>
      <c r="D7393" s="32">
        <v>50.0</v>
      </c>
      <c r="E7393" s="94">
        <v>112.032</v>
      </c>
      <c r="F7393" s="982">
        <v>0.40815972222222224</v>
      </c>
      <c r="G7393" s="32" t="s">
        <v>453</v>
      </c>
      <c r="H7393" s="710">
        <v>1.1</v>
      </c>
      <c r="I7393" s="256"/>
      <c r="J7393" s="67">
        <f t="shared" si="439"/>
        <v>5600.5</v>
      </c>
      <c r="L7393" s="70"/>
      <c r="M7393" s="934"/>
      <c r="N7393" s="94"/>
      <c r="O7393" s="94"/>
      <c r="P7393" s="94"/>
      <c r="Q7393" s="94"/>
      <c r="R7393" s="94"/>
      <c r="S7393" s="94"/>
      <c r="T7393" s="94"/>
      <c r="U7393" s="94"/>
      <c r="V7393" s="94"/>
      <c r="W7393" s="94"/>
      <c r="X7393" s="94"/>
      <c r="Y7393" s="94"/>
      <c r="Z7393" s="94"/>
      <c r="AA7393" s="94"/>
      <c r="AB7393" s="94"/>
      <c r="AC7393" s="94"/>
      <c r="AD7393" s="94"/>
      <c r="AE7393" s="94"/>
      <c r="AF7393" s="94"/>
      <c r="AG7393" s="94"/>
      <c r="AH7393" s="94"/>
    </row>
    <row r="7394" ht="12.75" hidden="1" customHeight="1" outlineLevel="1">
      <c r="A7394" s="122">
        <v>42244.0</v>
      </c>
      <c r="B7394" s="32" t="s">
        <v>347</v>
      </c>
      <c r="C7394" s="32" t="s">
        <v>352</v>
      </c>
      <c r="D7394" s="32">
        <v>150.0</v>
      </c>
      <c r="E7394" s="94">
        <v>53.6</v>
      </c>
      <c r="F7394" s="982">
        <v>0.5900925925925926</v>
      </c>
      <c r="G7394" s="32" t="s">
        <v>453</v>
      </c>
      <c r="H7394" s="710">
        <v>1.15</v>
      </c>
      <c r="I7394" s="256"/>
      <c r="J7394" s="67">
        <f t="shared" si="439"/>
        <v>8038.85</v>
      </c>
      <c r="L7394" s="70"/>
      <c r="M7394" s="934"/>
      <c r="N7394" s="94"/>
      <c r="O7394" s="94"/>
      <c r="P7394" s="94"/>
      <c r="Q7394" s="94"/>
      <c r="R7394" s="94"/>
      <c r="S7394" s="94"/>
      <c r="T7394" s="94"/>
      <c r="U7394" s="94"/>
      <c r="V7394" s="94"/>
      <c r="W7394" s="94"/>
      <c r="X7394" s="94"/>
      <c r="Y7394" s="94"/>
      <c r="Z7394" s="94"/>
      <c r="AA7394" s="94"/>
      <c r="AB7394" s="94"/>
      <c r="AC7394" s="94"/>
      <c r="AD7394" s="94"/>
      <c r="AE7394" s="94"/>
      <c r="AF7394" s="94"/>
      <c r="AG7394" s="94"/>
      <c r="AH7394" s="94"/>
    </row>
    <row r="7395" ht="12.75" hidden="1" customHeight="1" outlineLevel="1">
      <c r="A7395" s="122">
        <v>42244.0</v>
      </c>
      <c r="B7395" s="32" t="s">
        <v>347</v>
      </c>
      <c r="C7395" s="32" t="s">
        <v>784</v>
      </c>
      <c r="D7395" s="32">
        <v>100.0</v>
      </c>
      <c r="E7395" s="94">
        <v>4.85</v>
      </c>
      <c r="F7395" s="982">
        <v>0.6352893518518519</v>
      </c>
      <c r="G7395" s="32" t="s">
        <v>453</v>
      </c>
      <c r="H7395" s="710">
        <v>1.01</v>
      </c>
      <c r="I7395" s="256"/>
      <c r="J7395" s="67">
        <f t="shared" si="439"/>
        <v>483.99</v>
      </c>
      <c r="L7395" s="70"/>
      <c r="M7395" s="934"/>
      <c r="N7395" s="94"/>
      <c r="O7395" s="94"/>
      <c r="P7395" s="94"/>
      <c r="Q7395" s="94"/>
      <c r="R7395" s="94"/>
      <c r="S7395" s="94"/>
      <c r="T7395" s="94"/>
      <c r="U7395" s="94"/>
      <c r="V7395" s="94"/>
      <c r="W7395" s="94"/>
      <c r="X7395" s="94"/>
      <c r="Y7395" s="94"/>
      <c r="Z7395" s="94"/>
      <c r="AA7395" s="94"/>
      <c r="AB7395" s="94"/>
      <c r="AC7395" s="94"/>
      <c r="AD7395" s="94"/>
      <c r="AE7395" s="94"/>
      <c r="AF7395" s="94"/>
      <c r="AG7395" s="94"/>
      <c r="AH7395" s="94"/>
    </row>
    <row r="7396" ht="12.75" hidden="1" customHeight="1" outlineLevel="1">
      <c r="A7396" s="122">
        <v>42244.0</v>
      </c>
      <c r="B7396" s="32" t="s">
        <v>347</v>
      </c>
      <c r="C7396" s="32" t="s">
        <v>784</v>
      </c>
      <c r="D7396" s="32">
        <v>900.0</v>
      </c>
      <c r="E7396" s="94">
        <v>4.86</v>
      </c>
      <c r="F7396" s="982">
        <v>0.6354166666666666</v>
      </c>
      <c r="G7396" s="32" t="s">
        <v>453</v>
      </c>
      <c r="H7396" s="710">
        <v>4.28</v>
      </c>
      <c r="I7396" s="256"/>
      <c r="J7396" s="67">
        <f t="shared" si="439"/>
        <v>4369.72</v>
      </c>
      <c r="L7396" s="70"/>
      <c r="M7396" s="934"/>
      <c r="N7396" s="94"/>
      <c r="O7396" s="94"/>
      <c r="P7396" s="94"/>
      <c r="Q7396" s="94"/>
      <c r="R7396" s="94"/>
      <c r="S7396" s="94"/>
      <c r="T7396" s="94"/>
      <c r="U7396" s="94"/>
      <c r="V7396" s="94"/>
      <c r="W7396" s="94"/>
      <c r="X7396" s="94"/>
      <c r="Y7396" s="94"/>
      <c r="Z7396" s="94"/>
      <c r="AA7396" s="94"/>
      <c r="AB7396" s="94"/>
      <c r="AC7396" s="94"/>
      <c r="AD7396" s="94"/>
      <c r="AE7396" s="94"/>
      <c r="AF7396" s="94"/>
      <c r="AG7396" s="94"/>
      <c r="AH7396" s="94"/>
    </row>
    <row r="7397" ht="12.75" hidden="1" customHeight="1" outlineLevel="1">
      <c r="A7397" s="122">
        <v>42244.0</v>
      </c>
      <c r="B7397" s="32" t="s">
        <v>347</v>
      </c>
      <c r="C7397" s="32" t="s">
        <v>790</v>
      </c>
      <c r="D7397" s="983">
        <v>1150.0</v>
      </c>
      <c r="E7397" s="94">
        <v>5.72</v>
      </c>
      <c r="F7397" s="982">
        <v>0.6524074074074074</v>
      </c>
      <c r="G7397" s="32" t="s">
        <v>453</v>
      </c>
      <c r="H7397" s="710">
        <v>4.72</v>
      </c>
      <c r="I7397" s="256"/>
      <c r="J7397" s="67">
        <f t="shared" si="439"/>
        <v>6573.28</v>
      </c>
      <c r="L7397" s="70"/>
      <c r="M7397" s="934"/>
      <c r="N7397" s="94"/>
      <c r="O7397" s="94"/>
      <c r="P7397" s="94"/>
      <c r="Q7397" s="94"/>
      <c r="R7397" s="94"/>
      <c r="S7397" s="94"/>
      <c r="T7397" s="94"/>
      <c r="U7397" s="94"/>
      <c r="V7397" s="94"/>
      <c r="W7397" s="94"/>
      <c r="X7397" s="94"/>
      <c r="Y7397" s="94"/>
      <c r="Z7397" s="94"/>
      <c r="AA7397" s="94"/>
      <c r="AB7397" s="94"/>
      <c r="AC7397" s="94"/>
      <c r="AD7397" s="94"/>
      <c r="AE7397" s="94"/>
      <c r="AF7397" s="94"/>
      <c r="AG7397" s="94"/>
      <c r="AH7397" s="94"/>
    </row>
    <row r="7398" ht="12.75" hidden="1" customHeight="1" outlineLevel="1">
      <c r="A7398" s="122">
        <v>42244.0</v>
      </c>
      <c r="B7398" s="974"/>
      <c r="C7398" s="32" t="s">
        <v>339</v>
      </c>
      <c r="D7398" s="708"/>
      <c r="E7398" s="195"/>
      <c r="F7398" s="709"/>
      <c r="G7398" s="195"/>
      <c r="H7398" s="710"/>
      <c r="I7398" s="256"/>
      <c r="J7398" s="67"/>
      <c r="K7398" s="968" t="s">
        <v>3131</v>
      </c>
      <c r="L7398" s="934"/>
      <c r="M7398" s="934"/>
    </row>
    <row r="7399" ht="12.75" hidden="1" customHeight="1" outlineLevel="1">
      <c r="A7399" s="122">
        <v>42244.0</v>
      </c>
      <c r="B7399" s="974"/>
      <c r="C7399" s="32" t="s">
        <v>429</v>
      </c>
      <c r="D7399" s="708"/>
      <c r="E7399" s="195"/>
      <c r="F7399" s="709"/>
      <c r="G7399" s="195"/>
      <c r="H7399" s="710"/>
      <c r="I7399" s="256"/>
      <c r="J7399" s="67"/>
      <c r="K7399" s="9" t="s">
        <v>3049</v>
      </c>
      <c r="L7399" s="934"/>
      <c r="M7399" s="934"/>
    </row>
    <row r="7400" ht="12.75" hidden="1" customHeight="1" outlineLevel="1">
      <c r="A7400" s="122">
        <v>42244.0</v>
      </c>
      <c r="B7400" s="974"/>
      <c r="C7400" s="32" t="s">
        <v>431</v>
      </c>
      <c r="D7400" s="708"/>
      <c r="E7400" s="195"/>
      <c r="F7400" s="709"/>
      <c r="G7400" s="195"/>
      <c r="H7400" s="710"/>
      <c r="I7400" s="256"/>
      <c r="J7400" s="67"/>
      <c r="K7400" s="7" t="s">
        <v>1126</v>
      </c>
      <c r="L7400" s="934"/>
      <c r="M7400" s="934"/>
    </row>
    <row r="7401" ht="12.75" hidden="1" customHeight="1" outlineLevel="1">
      <c r="A7401" s="122">
        <v>42244.0</v>
      </c>
      <c r="B7401" s="974"/>
      <c r="C7401" s="32" t="s">
        <v>433</v>
      </c>
      <c r="D7401" s="708"/>
      <c r="E7401" s="195"/>
      <c r="F7401" s="709"/>
      <c r="G7401" s="195"/>
      <c r="H7401" s="710"/>
      <c r="I7401" s="256"/>
      <c r="J7401" s="67"/>
      <c r="K7401" s="7" t="s">
        <v>1103</v>
      </c>
      <c r="L7401" s="934"/>
      <c r="M7401" s="934"/>
    </row>
    <row r="7402" ht="12.75" hidden="1" customHeight="1" outlineLevel="1">
      <c r="A7402" s="122">
        <v>42244.0</v>
      </c>
      <c r="B7402" s="974"/>
      <c r="C7402" s="32" t="s">
        <v>435</v>
      </c>
      <c r="D7402" s="708"/>
      <c r="E7402" s="195"/>
      <c r="F7402" s="709"/>
      <c r="G7402" s="195"/>
      <c r="H7402" s="710"/>
      <c r="I7402" s="256"/>
      <c r="J7402" s="67"/>
      <c r="K7402" s="9" t="s">
        <v>3113</v>
      </c>
      <c r="L7402" s="934"/>
      <c r="M7402" s="934"/>
    </row>
    <row r="7403" ht="12.75" hidden="1" customHeight="1" outlineLevel="1">
      <c r="A7403" s="122">
        <v>42247.0</v>
      </c>
      <c r="B7403" s="32" t="s">
        <v>347</v>
      </c>
      <c r="C7403" s="32" t="s">
        <v>1893</v>
      </c>
      <c r="D7403" s="983">
        <v>1000.0</v>
      </c>
      <c r="E7403" s="94">
        <v>10.271</v>
      </c>
      <c r="F7403" s="984">
        <v>42247.40421296296</v>
      </c>
      <c r="G7403" s="32" t="s">
        <v>453</v>
      </c>
      <c r="H7403" s="710">
        <v>4.19</v>
      </c>
      <c r="I7403" s="256"/>
      <c r="J7403" s="67">
        <f t="shared" ref="J7403:J7448" si="440">IF(B7403="SLD",D7403*E7403,-D7403*E7403)-H7403</f>
        <v>10266.81</v>
      </c>
      <c r="L7403" s="70"/>
      <c r="M7403" s="934"/>
      <c r="N7403" s="94"/>
      <c r="O7403" s="94"/>
      <c r="P7403" s="94"/>
      <c r="Q7403" s="94"/>
      <c r="R7403" s="94"/>
      <c r="S7403" s="94"/>
      <c r="T7403" s="94"/>
      <c r="U7403" s="94"/>
      <c r="V7403" s="94"/>
      <c r="W7403" s="94"/>
      <c r="X7403" s="94"/>
      <c r="Y7403" s="94"/>
      <c r="Z7403" s="94"/>
      <c r="AA7403" s="94"/>
      <c r="AB7403" s="94"/>
      <c r="AC7403" s="94"/>
      <c r="AD7403" s="94"/>
      <c r="AE7403" s="94"/>
      <c r="AF7403" s="94"/>
      <c r="AG7403" s="94"/>
      <c r="AH7403" s="94"/>
    </row>
    <row r="7404" ht="12.75" hidden="1" customHeight="1" outlineLevel="1">
      <c r="A7404" s="122">
        <v>42247.0</v>
      </c>
      <c r="B7404" s="32" t="s">
        <v>347</v>
      </c>
      <c r="C7404" s="32" t="s">
        <v>2090</v>
      </c>
      <c r="D7404" s="983">
        <v>1000.0</v>
      </c>
      <c r="E7404" s="94">
        <v>6.74</v>
      </c>
      <c r="F7404" s="984">
        <v>42247.40675925926</v>
      </c>
      <c r="G7404" s="32" t="s">
        <v>453</v>
      </c>
      <c r="H7404" s="710">
        <v>4.82</v>
      </c>
      <c r="I7404" s="256"/>
      <c r="J7404" s="67">
        <f t="shared" si="440"/>
        <v>6735.18</v>
      </c>
      <c r="L7404" s="70"/>
      <c r="M7404" s="934"/>
      <c r="N7404" s="94"/>
      <c r="O7404" s="94"/>
      <c r="P7404" s="94"/>
      <c r="Q7404" s="94"/>
      <c r="R7404" s="94"/>
      <c r="S7404" s="94"/>
      <c r="T7404" s="94"/>
      <c r="U7404" s="94"/>
      <c r="V7404" s="94"/>
      <c r="W7404" s="94"/>
      <c r="X7404" s="94"/>
      <c r="Y7404" s="94"/>
      <c r="Z7404" s="94"/>
      <c r="AA7404" s="94"/>
      <c r="AB7404" s="94"/>
      <c r="AC7404" s="94"/>
      <c r="AD7404" s="94"/>
      <c r="AE7404" s="94"/>
      <c r="AF7404" s="94"/>
      <c r="AG7404" s="94"/>
      <c r="AH7404" s="94"/>
    </row>
    <row r="7405" ht="12.75" hidden="1" customHeight="1" outlineLevel="1">
      <c r="A7405" s="122">
        <v>42247.0</v>
      </c>
      <c r="B7405" s="32" t="s">
        <v>347</v>
      </c>
      <c r="C7405" s="32" t="s">
        <v>1839</v>
      </c>
      <c r="D7405" s="32">
        <v>500.0</v>
      </c>
      <c r="E7405" s="94">
        <v>7.09</v>
      </c>
      <c r="F7405" s="984">
        <v>42247.41043981481</v>
      </c>
      <c r="G7405" s="32" t="s">
        <v>453</v>
      </c>
      <c r="H7405" s="710">
        <v>2.57</v>
      </c>
      <c r="I7405" s="256"/>
      <c r="J7405" s="67">
        <f t="shared" si="440"/>
        <v>3542.43</v>
      </c>
      <c r="L7405" s="70"/>
      <c r="M7405" s="934"/>
      <c r="N7405" s="94"/>
      <c r="O7405" s="94"/>
      <c r="P7405" s="94"/>
      <c r="Q7405" s="94"/>
      <c r="R7405" s="94"/>
      <c r="S7405" s="94"/>
      <c r="T7405" s="94"/>
      <c r="U7405" s="94"/>
      <c r="V7405" s="94"/>
      <c r="W7405" s="94"/>
      <c r="X7405" s="94"/>
      <c r="Y7405" s="94"/>
      <c r="Z7405" s="94"/>
      <c r="AA7405" s="94"/>
      <c r="AB7405" s="94"/>
      <c r="AC7405" s="94"/>
      <c r="AD7405" s="94"/>
      <c r="AE7405" s="94"/>
      <c r="AF7405" s="94"/>
      <c r="AG7405" s="94"/>
      <c r="AH7405" s="94"/>
    </row>
    <row r="7406" ht="12.75" hidden="1" customHeight="1" outlineLevel="1">
      <c r="A7406" s="122">
        <v>42247.0</v>
      </c>
      <c r="B7406" s="32" t="s">
        <v>347</v>
      </c>
      <c r="C7406" s="32" t="s">
        <v>2195</v>
      </c>
      <c r="D7406" s="32">
        <v>500.0</v>
      </c>
      <c r="E7406" s="94">
        <v>14.25</v>
      </c>
      <c r="F7406" s="984">
        <v>42247.41612268519</v>
      </c>
      <c r="G7406" s="32" t="s">
        <v>453</v>
      </c>
      <c r="H7406" s="710">
        <v>2.63</v>
      </c>
      <c r="I7406" s="256"/>
      <c r="J7406" s="67">
        <f t="shared" si="440"/>
        <v>7122.37</v>
      </c>
      <c r="L7406" s="70"/>
      <c r="M7406" s="934"/>
      <c r="N7406" s="94"/>
      <c r="O7406" s="94"/>
      <c r="P7406" s="94"/>
      <c r="Q7406" s="94"/>
      <c r="R7406" s="94"/>
      <c r="S7406" s="94"/>
      <c r="T7406" s="94"/>
      <c r="U7406" s="94"/>
      <c r="V7406" s="94"/>
      <c r="W7406" s="94"/>
      <c r="X7406" s="94"/>
      <c r="Y7406" s="94"/>
      <c r="Z7406" s="94"/>
      <c r="AA7406" s="94"/>
      <c r="AB7406" s="94"/>
      <c r="AC7406" s="94"/>
      <c r="AD7406" s="94"/>
      <c r="AE7406" s="94"/>
      <c r="AF7406" s="94"/>
      <c r="AG7406" s="94"/>
      <c r="AH7406" s="94"/>
    </row>
    <row r="7407" ht="12.75" hidden="1" customHeight="1" outlineLevel="1">
      <c r="A7407" s="122">
        <v>42247.0</v>
      </c>
      <c r="B7407" s="32" t="s">
        <v>347</v>
      </c>
      <c r="C7407" s="32" t="s">
        <v>1633</v>
      </c>
      <c r="D7407" s="32">
        <v>500.0</v>
      </c>
      <c r="E7407" s="94">
        <v>14.03</v>
      </c>
      <c r="F7407" s="984">
        <v>42247.41674768519</v>
      </c>
      <c r="G7407" s="32" t="s">
        <v>453</v>
      </c>
      <c r="H7407" s="710">
        <v>2.43</v>
      </c>
      <c r="I7407" s="256"/>
      <c r="J7407" s="67">
        <f t="shared" si="440"/>
        <v>7012.57</v>
      </c>
      <c r="L7407" s="70"/>
      <c r="M7407" s="934"/>
      <c r="N7407" s="94"/>
      <c r="O7407" s="94"/>
      <c r="P7407" s="94"/>
      <c r="Q7407" s="94"/>
      <c r="R7407" s="94"/>
      <c r="S7407" s="94"/>
      <c r="T7407" s="94"/>
      <c r="U7407" s="94"/>
      <c r="V7407" s="94"/>
      <c r="W7407" s="94"/>
      <c r="X7407" s="94"/>
      <c r="Y7407" s="94"/>
      <c r="Z7407" s="94"/>
      <c r="AA7407" s="94"/>
      <c r="AB7407" s="94"/>
      <c r="AC7407" s="94"/>
      <c r="AD7407" s="94"/>
      <c r="AE7407" s="94"/>
      <c r="AF7407" s="94"/>
      <c r="AG7407" s="94"/>
      <c r="AH7407" s="94"/>
    </row>
    <row r="7408" ht="12.75" hidden="1" customHeight="1" outlineLevel="1">
      <c r="A7408" s="122">
        <v>42247.0</v>
      </c>
      <c r="B7408" s="32" t="s">
        <v>347</v>
      </c>
      <c r="C7408" s="32" t="s">
        <v>3024</v>
      </c>
      <c r="D7408" s="983">
        <v>1000.0</v>
      </c>
      <c r="E7408" s="94">
        <v>17.459</v>
      </c>
      <c r="F7408" s="984">
        <v>42247.42300925926</v>
      </c>
      <c r="G7408" s="32" t="s">
        <v>453</v>
      </c>
      <c r="H7408" s="710">
        <v>5.32</v>
      </c>
      <c r="I7408" s="256"/>
      <c r="J7408" s="67">
        <f t="shared" si="440"/>
        <v>17453.68</v>
      </c>
      <c r="L7408" s="70"/>
      <c r="M7408" s="934"/>
      <c r="N7408" s="94"/>
      <c r="O7408" s="94"/>
      <c r="P7408" s="94"/>
      <c r="Q7408" s="94"/>
      <c r="R7408" s="94"/>
      <c r="S7408" s="94"/>
      <c r="T7408" s="94"/>
      <c r="U7408" s="94"/>
      <c r="V7408" s="94"/>
      <c r="W7408" s="94"/>
      <c r="X7408" s="94"/>
      <c r="Y7408" s="94"/>
      <c r="Z7408" s="94"/>
      <c r="AA7408" s="94"/>
      <c r="AB7408" s="94"/>
      <c r="AC7408" s="94"/>
      <c r="AD7408" s="94"/>
      <c r="AE7408" s="94"/>
      <c r="AF7408" s="94"/>
      <c r="AG7408" s="94"/>
      <c r="AH7408" s="94"/>
    </row>
    <row r="7409" ht="12.75" hidden="1" customHeight="1" outlineLevel="1">
      <c r="A7409" s="122">
        <v>42247.0</v>
      </c>
      <c r="B7409" s="32" t="s">
        <v>343</v>
      </c>
      <c r="C7409" s="32" t="s">
        <v>2862</v>
      </c>
      <c r="D7409" s="32">
        <v>100.0</v>
      </c>
      <c r="E7409" s="94">
        <v>107.55</v>
      </c>
      <c r="F7409" s="984">
        <v>42247.42474537037</v>
      </c>
      <c r="G7409" s="32" t="s">
        <v>453</v>
      </c>
      <c r="H7409" s="710">
        <v>1.0</v>
      </c>
      <c r="I7409" s="256"/>
      <c r="J7409" s="67">
        <f t="shared" si="440"/>
        <v>-10756</v>
      </c>
      <c r="L7409" s="70"/>
      <c r="M7409" s="934"/>
      <c r="N7409" s="94"/>
      <c r="O7409" s="94"/>
      <c r="P7409" s="94"/>
      <c r="Q7409" s="94"/>
      <c r="R7409" s="94"/>
      <c r="S7409" s="94"/>
      <c r="T7409" s="94"/>
      <c r="U7409" s="94"/>
      <c r="V7409" s="94"/>
      <c r="W7409" s="94"/>
      <c r="X7409" s="94"/>
      <c r="Y7409" s="94"/>
      <c r="Z7409" s="94"/>
      <c r="AA7409" s="94"/>
      <c r="AB7409" s="94"/>
      <c r="AC7409" s="94"/>
      <c r="AD7409" s="94"/>
      <c r="AE7409" s="94"/>
      <c r="AF7409" s="94"/>
      <c r="AG7409" s="94"/>
      <c r="AH7409" s="94"/>
    </row>
    <row r="7410" ht="12.75" hidden="1" customHeight="1" outlineLevel="1">
      <c r="A7410" s="122">
        <v>42247.0</v>
      </c>
      <c r="B7410" s="32" t="s">
        <v>343</v>
      </c>
      <c r="C7410" s="32" t="s">
        <v>2342</v>
      </c>
      <c r="D7410" s="32">
        <v>200.0</v>
      </c>
      <c r="E7410" s="94">
        <v>50.59</v>
      </c>
      <c r="F7410" s="984">
        <v>42247.424942129626</v>
      </c>
      <c r="G7410" s="32" t="s">
        <v>453</v>
      </c>
      <c r="H7410" s="710">
        <v>1.0</v>
      </c>
      <c r="I7410" s="256"/>
      <c r="J7410" s="67">
        <f t="shared" si="440"/>
        <v>-10119</v>
      </c>
      <c r="L7410" s="70"/>
      <c r="M7410" s="934"/>
      <c r="N7410" s="94"/>
      <c r="O7410" s="94"/>
      <c r="P7410" s="94"/>
      <c r="Q7410" s="94"/>
      <c r="R7410" s="94"/>
      <c r="S7410" s="94"/>
      <c r="T7410" s="94"/>
      <c r="U7410" s="94"/>
      <c r="V7410" s="94"/>
      <c r="W7410" s="94"/>
      <c r="X7410" s="94"/>
      <c r="Y7410" s="94"/>
      <c r="Z7410" s="94"/>
      <c r="AA7410" s="94"/>
      <c r="AB7410" s="94"/>
      <c r="AC7410" s="94"/>
      <c r="AD7410" s="94"/>
      <c r="AE7410" s="94"/>
      <c r="AF7410" s="94"/>
      <c r="AG7410" s="94"/>
      <c r="AH7410" s="94"/>
    </row>
    <row r="7411" ht="12.75" hidden="1" customHeight="1" outlineLevel="1">
      <c r="A7411" s="122">
        <v>42247.0</v>
      </c>
      <c r="B7411" s="32" t="s">
        <v>347</v>
      </c>
      <c r="C7411" s="32" t="s">
        <v>1781</v>
      </c>
      <c r="D7411" s="983">
        <v>1000.0</v>
      </c>
      <c r="E7411" s="94">
        <v>6.681</v>
      </c>
      <c r="F7411" s="984">
        <v>42247.43087962963</v>
      </c>
      <c r="G7411" s="32" t="s">
        <v>453</v>
      </c>
      <c r="H7411" s="710">
        <v>4.12</v>
      </c>
      <c r="I7411" s="256"/>
      <c r="J7411" s="67">
        <f t="shared" si="440"/>
        <v>6676.88</v>
      </c>
      <c r="L7411" s="70"/>
      <c r="M7411" s="934"/>
      <c r="N7411" s="94"/>
      <c r="O7411" s="94"/>
      <c r="P7411" s="94"/>
      <c r="Q7411" s="94"/>
      <c r="R7411" s="94"/>
      <c r="S7411" s="94"/>
      <c r="T7411" s="94"/>
      <c r="U7411" s="94"/>
      <c r="V7411" s="94"/>
      <c r="W7411" s="94"/>
      <c r="X7411" s="94"/>
      <c r="Y7411" s="94"/>
      <c r="Z7411" s="94"/>
      <c r="AA7411" s="94"/>
      <c r="AB7411" s="94"/>
      <c r="AC7411" s="94"/>
      <c r="AD7411" s="94"/>
      <c r="AE7411" s="94"/>
      <c r="AF7411" s="94"/>
      <c r="AG7411" s="94"/>
      <c r="AH7411" s="94"/>
    </row>
    <row r="7412" ht="12.75" hidden="1" customHeight="1" outlineLevel="1">
      <c r="A7412" s="122">
        <v>42247.0</v>
      </c>
      <c r="B7412" s="32" t="s">
        <v>343</v>
      </c>
      <c r="C7412" s="32" t="s">
        <v>2585</v>
      </c>
      <c r="D7412" s="32">
        <v>400.0</v>
      </c>
      <c r="E7412" s="94">
        <v>12.033</v>
      </c>
      <c r="F7412" s="984">
        <v>42247.44474537037</v>
      </c>
      <c r="G7412" s="32" t="s">
        <v>453</v>
      </c>
      <c r="H7412" s="710">
        <v>1.6</v>
      </c>
      <c r="I7412" s="256"/>
      <c r="J7412" s="67">
        <f t="shared" si="440"/>
        <v>-4814.8</v>
      </c>
      <c r="L7412" s="70"/>
      <c r="M7412" s="934"/>
      <c r="N7412" s="94"/>
      <c r="O7412" s="94"/>
      <c r="P7412" s="94"/>
      <c r="Q7412" s="94"/>
      <c r="R7412" s="94"/>
      <c r="S7412" s="94"/>
      <c r="T7412" s="94"/>
      <c r="U7412" s="94"/>
      <c r="V7412" s="94"/>
      <c r="W7412" s="94"/>
      <c r="X7412" s="94"/>
      <c r="Y7412" s="94"/>
      <c r="Z7412" s="94"/>
      <c r="AA7412" s="94"/>
      <c r="AB7412" s="94"/>
      <c r="AC7412" s="94"/>
      <c r="AD7412" s="94"/>
      <c r="AE7412" s="94"/>
      <c r="AF7412" s="94"/>
      <c r="AG7412" s="94"/>
      <c r="AH7412" s="94"/>
    </row>
    <row r="7413" ht="12.75" hidden="1" customHeight="1" outlineLevel="1">
      <c r="A7413" s="122">
        <v>42247.0</v>
      </c>
      <c r="B7413" s="32" t="s">
        <v>343</v>
      </c>
      <c r="C7413" s="32" t="s">
        <v>605</v>
      </c>
      <c r="D7413" s="32">
        <v>100.0</v>
      </c>
      <c r="E7413" s="94">
        <v>79.405</v>
      </c>
      <c r="F7413" s="984">
        <v>42247.45533564815</v>
      </c>
      <c r="G7413" s="32" t="s">
        <v>453</v>
      </c>
      <c r="H7413" s="710">
        <v>1.0</v>
      </c>
      <c r="I7413" s="256"/>
      <c r="J7413" s="67">
        <f t="shared" si="440"/>
        <v>-7941.5</v>
      </c>
      <c r="L7413" s="70"/>
      <c r="M7413" s="934"/>
      <c r="N7413" s="94"/>
      <c r="O7413" s="94"/>
      <c r="P7413" s="94"/>
      <c r="Q7413" s="94"/>
      <c r="R7413" s="94"/>
      <c r="S7413" s="94"/>
      <c r="T7413" s="94"/>
      <c r="U7413" s="94"/>
      <c r="V7413" s="94"/>
      <c r="W7413" s="94"/>
      <c r="X7413" s="94"/>
      <c r="Y7413" s="94"/>
      <c r="Z7413" s="94"/>
      <c r="AA7413" s="94"/>
      <c r="AB7413" s="94"/>
      <c r="AC7413" s="94"/>
      <c r="AD7413" s="94"/>
      <c r="AE7413" s="94"/>
      <c r="AF7413" s="94"/>
      <c r="AG7413" s="94"/>
      <c r="AH7413" s="94"/>
    </row>
    <row r="7414" ht="12.75" hidden="1" customHeight="1" outlineLevel="1">
      <c r="A7414" s="122">
        <v>42247.0</v>
      </c>
      <c r="B7414" s="32" t="s">
        <v>347</v>
      </c>
      <c r="C7414" s="32" t="s">
        <v>2048</v>
      </c>
      <c r="D7414" s="32">
        <v>500.0</v>
      </c>
      <c r="E7414" s="94">
        <v>8.05</v>
      </c>
      <c r="F7414" s="984">
        <v>42247.63140046296</v>
      </c>
      <c r="G7414" s="32" t="s">
        <v>453</v>
      </c>
      <c r="H7414" s="710">
        <v>2.57</v>
      </c>
      <c r="I7414" s="256"/>
      <c r="J7414" s="67">
        <f t="shared" si="440"/>
        <v>4022.43</v>
      </c>
      <c r="L7414" s="70"/>
      <c r="M7414" s="934"/>
      <c r="N7414" s="94"/>
      <c r="O7414" s="94"/>
      <c r="P7414" s="94"/>
      <c r="Q7414" s="94"/>
      <c r="R7414" s="94"/>
      <c r="S7414" s="94"/>
      <c r="T7414" s="94"/>
      <c r="U7414" s="94"/>
      <c r="V7414" s="94"/>
      <c r="W7414" s="94"/>
      <c r="X7414" s="94"/>
      <c r="Y7414" s="94"/>
      <c r="Z7414" s="94"/>
      <c r="AA7414" s="94"/>
      <c r="AB7414" s="94"/>
      <c r="AC7414" s="94"/>
      <c r="AD7414" s="94"/>
      <c r="AE7414" s="94"/>
      <c r="AF7414" s="94"/>
      <c r="AG7414" s="94"/>
      <c r="AH7414" s="94"/>
    </row>
    <row r="7415" ht="12.75" hidden="1" customHeight="1" outlineLevel="1">
      <c r="A7415" s="122">
        <v>42247.0</v>
      </c>
      <c r="B7415" s="32" t="s">
        <v>343</v>
      </c>
      <c r="C7415" s="32" t="s">
        <v>3132</v>
      </c>
      <c r="D7415" s="32">
        <v>50.0</v>
      </c>
      <c r="E7415" s="94">
        <v>133.27</v>
      </c>
      <c r="F7415" s="984">
        <v>42247.643796296295</v>
      </c>
      <c r="G7415" s="32" t="s">
        <v>453</v>
      </c>
      <c r="H7415" s="710">
        <v>1.0</v>
      </c>
      <c r="I7415" s="256"/>
      <c r="J7415" s="67">
        <f t="shared" si="440"/>
        <v>-6664.5</v>
      </c>
      <c r="L7415" s="70"/>
      <c r="M7415" s="934"/>
      <c r="N7415" s="94"/>
      <c r="O7415" s="94"/>
      <c r="P7415" s="94"/>
      <c r="Q7415" s="94"/>
      <c r="R7415" s="94"/>
      <c r="S7415" s="94"/>
      <c r="T7415" s="94"/>
      <c r="U7415" s="94"/>
      <c r="V7415" s="94"/>
      <c r="W7415" s="94"/>
      <c r="X7415" s="94"/>
      <c r="Y7415" s="94"/>
      <c r="Z7415" s="94"/>
      <c r="AA7415" s="94"/>
      <c r="AB7415" s="94"/>
      <c r="AC7415" s="94"/>
      <c r="AD7415" s="94"/>
      <c r="AE7415" s="94"/>
      <c r="AF7415" s="94"/>
      <c r="AG7415" s="94"/>
      <c r="AH7415" s="94"/>
    </row>
    <row r="7416" ht="12.75" hidden="1" customHeight="1" outlineLevel="1">
      <c r="A7416" s="122">
        <v>42248.0</v>
      </c>
      <c r="B7416" s="32" t="s">
        <v>347</v>
      </c>
      <c r="C7416" s="32" t="s">
        <v>1947</v>
      </c>
      <c r="D7416" s="32">
        <v>100.0</v>
      </c>
      <c r="E7416" s="94">
        <v>61.33</v>
      </c>
      <c r="F7416" s="984">
        <v>42248.40049768519</v>
      </c>
      <c r="G7416" s="32" t="s">
        <v>453</v>
      </c>
      <c r="H7416" s="710">
        <v>1.11</v>
      </c>
      <c r="I7416" s="256"/>
      <c r="J7416" s="67">
        <f t="shared" si="440"/>
        <v>6131.89</v>
      </c>
      <c r="L7416" s="70"/>
      <c r="M7416" s="934"/>
      <c r="N7416" s="94"/>
      <c r="O7416" s="94"/>
      <c r="P7416" s="94"/>
      <c r="Q7416" s="94"/>
      <c r="R7416" s="94"/>
      <c r="S7416" s="94"/>
      <c r="T7416" s="94"/>
      <c r="U7416" s="94"/>
      <c r="V7416" s="94"/>
      <c r="W7416" s="94"/>
      <c r="X7416" s="94"/>
      <c r="Y7416" s="94"/>
      <c r="Z7416" s="94"/>
      <c r="AA7416" s="94"/>
      <c r="AB7416" s="94"/>
      <c r="AC7416" s="94"/>
      <c r="AD7416" s="94"/>
      <c r="AE7416" s="94"/>
      <c r="AF7416" s="94"/>
      <c r="AG7416" s="94"/>
      <c r="AH7416" s="94"/>
    </row>
    <row r="7417" ht="12.75" hidden="1" customHeight="1" outlineLevel="1">
      <c r="A7417" s="122">
        <v>42248.0</v>
      </c>
      <c r="B7417" s="32" t="s">
        <v>343</v>
      </c>
      <c r="C7417" s="32" t="s">
        <v>1249</v>
      </c>
      <c r="D7417" s="32">
        <v>100.0</v>
      </c>
      <c r="E7417" s="94">
        <v>100.21</v>
      </c>
      <c r="F7417" s="984">
        <v>42248.44097222222</v>
      </c>
      <c r="G7417" s="32" t="s">
        <v>453</v>
      </c>
      <c r="H7417" s="710">
        <v>1.0</v>
      </c>
      <c r="I7417" s="256"/>
      <c r="J7417" s="67">
        <f t="shared" si="440"/>
        <v>-10022</v>
      </c>
      <c r="L7417" s="70"/>
      <c r="M7417" s="934"/>
      <c r="N7417" s="94"/>
      <c r="O7417" s="94"/>
      <c r="P7417" s="94"/>
      <c r="Q7417" s="94"/>
      <c r="R7417" s="94"/>
      <c r="S7417" s="94"/>
      <c r="T7417" s="94"/>
      <c r="U7417" s="94"/>
      <c r="V7417" s="94"/>
      <c r="W7417" s="94"/>
      <c r="X7417" s="94"/>
      <c r="Y7417" s="94"/>
      <c r="Z7417" s="94"/>
      <c r="AA7417" s="94"/>
      <c r="AB7417" s="94"/>
      <c r="AC7417" s="94"/>
      <c r="AD7417" s="94"/>
      <c r="AE7417" s="94"/>
      <c r="AF7417" s="94"/>
      <c r="AG7417" s="94"/>
      <c r="AH7417" s="94"/>
    </row>
    <row r="7418" ht="12.75" hidden="1" customHeight="1" outlineLevel="1">
      <c r="A7418" s="122">
        <v>42249.0</v>
      </c>
      <c r="B7418" s="32" t="s">
        <v>347</v>
      </c>
      <c r="C7418" s="32" t="s">
        <v>784</v>
      </c>
      <c r="D7418" s="32">
        <v>500.0</v>
      </c>
      <c r="E7418" s="94">
        <v>4.77</v>
      </c>
      <c r="F7418" s="982">
        <v>0.4020949074074074</v>
      </c>
      <c r="G7418" s="32" t="s">
        <v>453</v>
      </c>
      <c r="H7418" s="710">
        <v>2.24</v>
      </c>
      <c r="I7418" s="256"/>
      <c r="J7418" s="67">
        <f t="shared" si="440"/>
        <v>2382.76</v>
      </c>
      <c r="L7418" s="70"/>
      <c r="M7418" s="934"/>
      <c r="N7418" s="94"/>
      <c r="O7418" s="94"/>
      <c r="P7418" s="94"/>
      <c r="Q7418" s="94"/>
      <c r="R7418" s="94"/>
      <c r="S7418" s="94"/>
      <c r="T7418" s="94"/>
      <c r="U7418" s="94"/>
      <c r="V7418" s="94"/>
      <c r="W7418" s="94"/>
      <c r="X7418" s="94"/>
      <c r="Y7418" s="94"/>
      <c r="Z7418" s="94"/>
      <c r="AA7418" s="94"/>
      <c r="AB7418" s="94"/>
      <c r="AC7418" s="94"/>
      <c r="AD7418" s="94"/>
      <c r="AE7418" s="94"/>
      <c r="AF7418" s="94"/>
      <c r="AG7418" s="94"/>
      <c r="AH7418" s="94"/>
    </row>
    <row r="7419" ht="12.75" hidden="1" customHeight="1" outlineLevel="1">
      <c r="A7419" s="122">
        <v>42249.0</v>
      </c>
      <c r="B7419" s="32" t="s">
        <v>347</v>
      </c>
      <c r="C7419" s="32" t="s">
        <v>784</v>
      </c>
      <c r="D7419" s="32">
        <v>500.0</v>
      </c>
      <c r="E7419" s="94">
        <v>4.7801</v>
      </c>
      <c r="F7419" s="982">
        <v>0.40284722222222225</v>
      </c>
      <c r="G7419" s="32" t="s">
        <v>453</v>
      </c>
      <c r="H7419" s="710">
        <v>2.04</v>
      </c>
      <c r="I7419" s="256"/>
      <c r="J7419" s="67">
        <f t="shared" si="440"/>
        <v>2388.01</v>
      </c>
      <c r="L7419" s="70"/>
      <c r="M7419" s="934"/>
      <c r="N7419" s="94"/>
      <c r="O7419" s="94"/>
      <c r="P7419" s="94"/>
      <c r="Q7419" s="94"/>
      <c r="R7419" s="94"/>
      <c r="S7419" s="94"/>
      <c r="T7419" s="94"/>
      <c r="U7419" s="94"/>
      <c r="V7419" s="94"/>
      <c r="W7419" s="94"/>
      <c r="X7419" s="94"/>
      <c r="Y7419" s="94"/>
      <c r="Z7419" s="94"/>
      <c r="AA7419" s="94"/>
      <c r="AB7419" s="94"/>
      <c r="AC7419" s="94"/>
      <c r="AD7419" s="94"/>
      <c r="AE7419" s="94"/>
      <c r="AF7419" s="94"/>
      <c r="AG7419" s="94"/>
      <c r="AH7419" s="94"/>
    </row>
    <row r="7420" ht="12.75" hidden="1" customHeight="1" outlineLevel="1">
      <c r="A7420" s="122">
        <v>42250.0</v>
      </c>
      <c r="B7420" s="32" t="s">
        <v>347</v>
      </c>
      <c r="C7420" s="32" t="s">
        <v>1890</v>
      </c>
      <c r="D7420" s="32">
        <v>500.0</v>
      </c>
      <c r="E7420" s="94">
        <v>16.17</v>
      </c>
      <c r="F7420" s="982">
        <v>0.39944444444444444</v>
      </c>
      <c r="G7420" s="32" t="s">
        <v>453</v>
      </c>
      <c r="H7420" s="710">
        <v>2.65</v>
      </c>
      <c r="I7420" s="256"/>
      <c r="J7420" s="67">
        <f t="shared" si="440"/>
        <v>8082.35</v>
      </c>
      <c r="L7420" s="70"/>
      <c r="M7420" s="934"/>
      <c r="N7420" s="94"/>
      <c r="O7420" s="94"/>
      <c r="P7420" s="94"/>
      <c r="Q7420" s="94"/>
      <c r="R7420" s="94"/>
      <c r="S7420" s="94"/>
      <c r="T7420" s="94"/>
      <c r="U7420" s="94"/>
      <c r="V7420" s="94"/>
      <c r="W7420" s="94"/>
      <c r="X7420" s="94"/>
      <c r="Y7420" s="94"/>
      <c r="Z7420" s="94"/>
      <c r="AA7420" s="94"/>
      <c r="AB7420" s="94"/>
      <c r="AC7420" s="94"/>
      <c r="AD7420" s="94"/>
      <c r="AE7420" s="94"/>
      <c r="AF7420" s="94"/>
      <c r="AG7420" s="94"/>
      <c r="AH7420" s="94"/>
    </row>
    <row r="7421" ht="12.75" hidden="1" customHeight="1" outlineLevel="1">
      <c r="A7421" s="122">
        <v>42250.0</v>
      </c>
      <c r="B7421" s="32" t="s">
        <v>347</v>
      </c>
      <c r="C7421" s="32" t="s">
        <v>2936</v>
      </c>
      <c r="D7421" s="32">
        <v>200.0</v>
      </c>
      <c r="E7421" s="94">
        <v>34.89</v>
      </c>
      <c r="F7421" s="982">
        <v>0.3997453703703704</v>
      </c>
      <c r="G7421" s="32" t="s">
        <v>453</v>
      </c>
      <c r="H7421" s="710">
        <v>1.0</v>
      </c>
      <c r="I7421" s="256"/>
      <c r="J7421" s="67">
        <f t="shared" si="440"/>
        <v>6977</v>
      </c>
      <c r="L7421" s="70"/>
      <c r="M7421" s="934"/>
      <c r="N7421" s="94"/>
      <c r="O7421" s="94"/>
      <c r="P7421" s="94"/>
      <c r="Q7421" s="94"/>
      <c r="R7421" s="94"/>
      <c r="S7421" s="94"/>
      <c r="T7421" s="94"/>
      <c r="U7421" s="94"/>
      <c r="V7421" s="94"/>
      <c r="W7421" s="94"/>
      <c r="X7421" s="94"/>
      <c r="Y7421" s="94"/>
      <c r="Z7421" s="94"/>
      <c r="AA7421" s="94"/>
      <c r="AB7421" s="94"/>
      <c r="AC7421" s="94"/>
      <c r="AD7421" s="94"/>
      <c r="AE7421" s="94"/>
      <c r="AF7421" s="94"/>
      <c r="AG7421" s="94"/>
      <c r="AH7421" s="94"/>
    </row>
    <row r="7422" ht="12.0" hidden="1" customHeight="1" outlineLevel="1">
      <c r="A7422" s="122">
        <v>42250.0</v>
      </c>
      <c r="B7422" s="32" t="s">
        <v>347</v>
      </c>
      <c r="C7422" s="32" t="s">
        <v>1781</v>
      </c>
      <c r="D7422" s="983">
        <v>1000.0</v>
      </c>
      <c r="E7422" s="94">
        <v>6.661</v>
      </c>
      <c r="F7422" s="982">
        <v>0.4870023148148148</v>
      </c>
      <c r="G7422" s="32" t="s">
        <v>453</v>
      </c>
      <c r="H7422" s="710">
        <v>4.12</v>
      </c>
      <c r="I7422" s="256"/>
      <c r="J7422" s="67">
        <f t="shared" si="440"/>
        <v>6656.88</v>
      </c>
      <c r="L7422" s="70"/>
      <c r="M7422" s="934"/>
      <c r="N7422" s="94"/>
      <c r="O7422" s="94"/>
      <c r="P7422" s="94"/>
      <c r="Q7422" s="94"/>
      <c r="R7422" s="94"/>
      <c r="S7422" s="94"/>
      <c r="T7422" s="94"/>
      <c r="U7422" s="94"/>
      <c r="V7422" s="94"/>
      <c r="W7422" s="94"/>
      <c r="X7422" s="94"/>
      <c r="Y7422" s="94"/>
      <c r="Z7422" s="94"/>
      <c r="AA7422" s="94"/>
      <c r="AB7422" s="94"/>
      <c r="AC7422" s="94"/>
      <c r="AD7422" s="94"/>
      <c r="AE7422" s="94"/>
      <c r="AF7422" s="94"/>
      <c r="AG7422" s="94"/>
      <c r="AH7422" s="94"/>
    </row>
    <row r="7423" ht="12.75" hidden="1" customHeight="1" outlineLevel="1">
      <c r="A7423" s="122">
        <v>42250.0</v>
      </c>
      <c r="B7423" s="32" t="s">
        <v>347</v>
      </c>
      <c r="C7423" s="32" t="s">
        <v>1781</v>
      </c>
      <c r="D7423" s="983">
        <v>2000.0</v>
      </c>
      <c r="E7423" s="94">
        <v>6.47</v>
      </c>
      <c r="F7423" s="982">
        <v>0.5872453703703704</v>
      </c>
      <c r="G7423" s="32" t="s">
        <v>453</v>
      </c>
      <c r="H7423" s="710">
        <v>10.24</v>
      </c>
      <c r="I7423" s="256"/>
      <c r="J7423" s="67">
        <f t="shared" si="440"/>
        <v>12929.76</v>
      </c>
      <c r="L7423" s="70"/>
      <c r="M7423" s="934"/>
      <c r="N7423" s="94"/>
      <c r="O7423" s="94"/>
      <c r="P7423" s="94"/>
      <c r="Q7423" s="94"/>
      <c r="R7423" s="94"/>
      <c r="S7423" s="94"/>
      <c r="T7423" s="94"/>
      <c r="U7423" s="94"/>
      <c r="V7423" s="94"/>
      <c r="W7423" s="94"/>
      <c r="X7423" s="94"/>
      <c r="Y7423" s="94"/>
      <c r="Z7423" s="94"/>
      <c r="AA7423" s="94"/>
      <c r="AB7423" s="94"/>
      <c r="AC7423" s="94"/>
      <c r="AD7423" s="94"/>
      <c r="AE7423" s="94"/>
      <c r="AF7423" s="94"/>
      <c r="AG7423" s="94"/>
      <c r="AH7423" s="94"/>
    </row>
    <row r="7424" ht="12.75" hidden="1" customHeight="1" outlineLevel="1">
      <c r="A7424" s="122">
        <v>42250.0</v>
      </c>
      <c r="B7424" s="32" t="s">
        <v>347</v>
      </c>
      <c r="C7424" s="32" t="s">
        <v>1947</v>
      </c>
      <c r="D7424" s="32">
        <v>100.0</v>
      </c>
      <c r="E7424" s="94">
        <v>58.17</v>
      </c>
      <c r="F7424" s="982">
        <v>0.5875347222222222</v>
      </c>
      <c r="G7424" s="32" t="s">
        <v>453</v>
      </c>
      <c r="H7424" s="710">
        <v>1.11</v>
      </c>
      <c r="I7424" s="256"/>
      <c r="J7424" s="67">
        <f t="shared" si="440"/>
        <v>5815.89</v>
      </c>
      <c r="L7424" s="70"/>
      <c r="M7424" s="934"/>
      <c r="N7424" s="94"/>
      <c r="O7424" s="94"/>
      <c r="P7424" s="94"/>
      <c r="Q7424" s="94"/>
      <c r="R7424" s="94"/>
      <c r="S7424" s="94"/>
      <c r="T7424" s="94"/>
      <c r="U7424" s="94"/>
      <c r="V7424" s="94"/>
      <c r="W7424" s="94"/>
      <c r="X7424" s="94"/>
      <c r="Y7424" s="94"/>
      <c r="Z7424" s="94"/>
      <c r="AA7424" s="94"/>
      <c r="AB7424" s="94"/>
      <c r="AC7424" s="94"/>
      <c r="AD7424" s="94"/>
      <c r="AE7424" s="94"/>
      <c r="AF7424" s="94"/>
      <c r="AG7424" s="94"/>
      <c r="AH7424" s="94"/>
    </row>
    <row r="7425" ht="12.75" hidden="1" customHeight="1" outlineLevel="1">
      <c r="A7425" s="122">
        <v>42250.0</v>
      </c>
      <c r="B7425" s="32" t="s">
        <v>347</v>
      </c>
      <c r="C7425" s="32" t="s">
        <v>1947</v>
      </c>
      <c r="D7425" s="32">
        <v>100.0</v>
      </c>
      <c r="E7425" s="94">
        <v>57.73</v>
      </c>
      <c r="F7425" s="982">
        <v>0.6438425925925926</v>
      </c>
      <c r="G7425" s="32" t="s">
        <v>453</v>
      </c>
      <c r="H7425" s="710">
        <v>1.11</v>
      </c>
      <c r="I7425" s="256"/>
      <c r="J7425" s="67">
        <f t="shared" si="440"/>
        <v>5771.89</v>
      </c>
      <c r="L7425" s="70"/>
      <c r="M7425" s="934"/>
      <c r="N7425" s="94"/>
      <c r="O7425" s="94"/>
      <c r="P7425" s="94"/>
      <c r="Q7425" s="94"/>
      <c r="R7425" s="94"/>
      <c r="S7425" s="94"/>
      <c r="T7425" s="94"/>
      <c r="U7425" s="94"/>
      <c r="V7425" s="94"/>
      <c r="W7425" s="94"/>
      <c r="X7425" s="94"/>
      <c r="Y7425" s="94"/>
      <c r="Z7425" s="94"/>
      <c r="AA7425" s="94"/>
      <c r="AB7425" s="94"/>
      <c r="AC7425" s="94"/>
      <c r="AD7425" s="94"/>
      <c r="AE7425" s="94"/>
      <c r="AF7425" s="94"/>
      <c r="AG7425" s="94"/>
      <c r="AH7425" s="94"/>
    </row>
    <row r="7426" ht="12.75" hidden="1" customHeight="1" outlineLevel="1">
      <c r="A7426" s="122">
        <v>42251.0</v>
      </c>
      <c r="B7426" s="32" t="s">
        <v>347</v>
      </c>
      <c r="C7426" s="32" t="s">
        <v>1633</v>
      </c>
      <c r="D7426" s="983">
        <v>1250.0</v>
      </c>
      <c r="E7426" s="94">
        <v>13.56</v>
      </c>
      <c r="F7426" s="982">
        <v>0.4092708333333333</v>
      </c>
      <c r="G7426" s="32" t="s">
        <v>453</v>
      </c>
      <c r="H7426" s="710">
        <v>5.31</v>
      </c>
      <c r="I7426" s="256"/>
      <c r="J7426" s="67">
        <f t="shared" si="440"/>
        <v>16944.69</v>
      </c>
      <c r="L7426" s="70"/>
      <c r="M7426" s="934"/>
      <c r="N7426" s="94"/>
      <c r="O7426" s="94"/>
      <c r="P7426" s="94"/>
      <c r="Q7426" s="94"/>
      <c r="R7426" s="94"/>
      <c r="S7426" s="94"/>
      <c r="T7426" s="94"/>
      <c r="U7426" s="94"/>
      <c r="V7426" s="94"/>
      <c r="W7426" s="94"/>
      <c r="X7426" s="94"/>
      <c r="Y7426" s="94"/>
      <c r="Z7426" s="94"/>
      <c r="AA7426" s="94"/>
      <c r="AB7426" s="94"/>
      <c r="AC7426" s="94"/>
      <c r="AD7426" s="94"/>
      <c r="AE7426" s="94"/>
      <c r="AF7426" s="94"/>
      <c r="AG7426" s="94"/>
      <c r="AH7426" s="94"/>
    </row>
    <row r="7427" ht="12.75" hidden="1" customHeight="1" outlineLevel="1">
      <c r="A7427" s="122">
        <v>42251.0</v>
      </c>
      <c r="B7427" s="32" t="s">
        <v>347</v>
      </c>
      <c r="C7427" s="32" t="s">
        <v>1893</v>
      </c>
      <c r="D7427" s="983">
        <v>1000.0</v>
      </c>
      <c r="E7427" s="94">
        <v>9.661</v>
      </c>
      <c r="F7427" s="982">
        <v>0.409849537037037</v>
      </c>
      <c r="G7427" s="32" t="s">
        <v>453</v>
      </c>
      <c r="H7427" s="710">
        <v>4.18</v>
      </c>
      <c r="I7427" s="256"/>
      <c r="J7427" s="67">
        <f t="shared" si="440"/>
        <v>9656.82</v>
      </c>
      <c r="L7427" s="70"/>
      <c r="M7427" s="934"/>
      <c r="N7427" s="94"/>
      <c r="O7427" s="94"/>
      <c r="P7427" s="94"/>
      <c r="Q7427" s="94"/>
      <c r="R7427" s="94"/>
      <c r="S7427" s="94"/>
      <c r="T7427" s="94"/>
      <c r="U7427" s="94"/>
      <c r="V7427" s="94"/>
      <c r="W7427" s="94"/>
      <c r="X7427" s="94"/>
      <c r="Y7427" s="94"/>
      <c r="Z7427" s="94"/>
      <c r="AA7427" s="94"/>
      <c r="AB7427" s="94"/>
      <c r="AC7427" s="94"/>
      <c r="AD7427" s="94"/>
      <c r="AE7427" s="94"/>
      <c r="AF7427" s="94"/>
      <c r="AG7427" s="94"/>
      <c r="AH7427" s="94"/>
    </row>
    <row r="7428" ht="12.75" hidden="1" customHeight="1" outlineLevel="1">
      <c r="A7428" s="122">
        <v>42251.0</v>
      </c>
      <c r="B7428" s="32" t="s">
        <v>347</v>
      </c>
      <c r="C7428" s="32" t="s">
        <v>2090</v>
      </c>
      <c r="D7428" s="983">
        <v>1000.0</v>
      </c>
      <c r="E7428" s="94">
        <v>6.491</v>
      </c>
      <c r="F7428" s="982">
        <v>0.4101273148148148</v>
      </c>
      <c r="G7428" s="32" t="s">
        <v>453</v>
      </c>
      <c r="H7428" s="710">
        <v>4.12</v>
      </c>
      <c r="I7428" s="256"/>
      <c r="J7428" s="67">
        <f t="shared" si="440"/>
        <v>6486.88</v>
      </c>
      <c r="L7428" s="70"/>
      <c r="M7428" s="934"/>
      <c r="N7428" s="94"/>
      <c r="O7428" s="94"/>
      <c r="P7428" s="94"/>
      <c r="Q7428" s="94"/>
      <c r="R7428" s="94"/>
      <c r="S7428" s="94"/>
      <c r="T7428" s="94"/>
      <c r="U7428" s="94"/>
      <c r="V7428" s="94"/>
      <c r="W7428" s="94"/>
      <c r="X7428" s="94"/>
      <c r="Y7428" s="94"/>
      <c r="Z7428" s="94"/>
      <c r="AA7428" s="94"/>
      <c r="AB7428" s="94"/>
      <c r="AC7428" s="94"/>
      <c r="AD7428" s="94"/>
      <c r="AE7428" s="94"/>
      <c r="AF7428" s="94"/>
      <c r="AG7428" s="94"/>
      <c r="AH7428" s="94"/>
    </row>
    <row r="7429" ht="12.75" hidden="1" customHeight="1" outlineLevel="1">
      <c r="A7429" s="122">
        <v>42251.0</v>
      </c>
      <c r="B7429" s="32" t="s">
        <v>347</v>
      </c>
      <c r="C7429" s="32" t="s">
        <v>784</v>
      </c>
      <c r="D7429" s="983">
        <v>1000.0</v>
      </c>
      <c r="E7429" s="94">
        <v>4.821</v>
      </c>
      <c r="F7429" s="982">
        <v>0.41028935185185184</v>
      </c>
      <c r="G7429" s="32" t="s">
        <v>453</v>
      </c>
      <c r="H7429" s="710">
        <v>4.19</v>
      </c>
      <c r="I7429" s="256"/>
      <c r="J7429" s="67">
        <f t="shared" si="440"/>
        <v>4816.81</v>
      </c>
      <c r="L7429" s="70"/>
      <c r="M7429" s="934"/>
      <c r="N7429" s="94"/>
      <c r="O7429" s="94"/>
      <c r="P7429" s="94"/>
      <c r="Q7429" s="94"/>
      <c r="R7429" s="94"/>
      <c r="S7429" s="94"/>
      <c r="T7429" s="94"/>
      <c r="U7429" s="94"/>
      <c r="V7429" s="94"/>
      <c r="W7429" s="94"/>
      <c r="X7429" s="94"/>
      <c r="Y7429" s="94"/>
      <c r="Z7429" s="94"/>
      <c r="AA7429" s="94"/>
      <c r="AB7429" s="94"/>
      <c r="AC7429" s="94"/>
      <c r="AD7429" s="94"/>
      <c r="AE7429" s="94"/>
      <c r="AF7429" s="94"/>
      <c r="AG7429" s="94"/>
      <c r="AH7429" s="94"/>
    </row>
    <row r="7430" ht="12.75" hidden="1" customHeight="1" outlineLevel="1">
      <c r="A7430" s="122">
        <v>42251.0</v>
      </c>
      <c r="B7430" s="32" t="s">
        <v>347</v>
      </c>
      <c r="C7430" s="32" t="s">
        <v>2195</v>
      </c>
      <c r="D7430" s="32">
        <v>750.0</v>
      </c>
      <c r="E7430" s="94">
        <v>15.291</v>
      </c>
      <c r="F7430" s="982">
        <v>0.41065972222222225</v>
      </c>
      <c r="G7430" s="32" t="s">
        <v>453</v>
      </c>
      <c r="H7430" s="710">
        <v>3.76</v>
      </c>
      <c r="I7430" s="256"/>
      <c r="J7430" s="67">
        <f t="shared" si="440"/>
        <v>11464.49</v>
      </c>
      <c r="L7430" s="70"/>
      <c r="M7430" s="934"/>
      <c r="N7430" s="94"/>
      <c r="O7430" s="94"/>
      <c r="P7430" s="94"/>
      <c r="Q7430" s="94"/>
      <c r="R7430" s="94"/>
      <c r="S7430" s="94"/>
      <c r="T7430" s="94"/>
      <c r="U7430" s="94"/>
      <c r="V7430" s="94"/>
      <c r="W7430" s="94"/>
      <c r="X7430" s="94"/>
      <c r="Y7430" s="94"/>
      <c r="Z7430" s="94"/>
      <c r="AA7430" s="94"/>
      <c r="AB7430" s="94"/>
      <c r="AC7430" s="94"/>
      <c r="AD7430" s="94"/>
      <c r="AE7430" s="94"/>
      <c r="AF7430" s="94"/>
      <c r="AG7430" s="94"/>
      <c r="AH7430" s="94"/>
    </row>
    <row r="7431" ht="12.75" hidden="1" customHeight="1" outlineLevel="1">
      <c r="A7431" s="122">
        <v>42251.0</v>
      </c>
      <c r="B7431" s="32" t="s">
        <v>347</v>
      </c>
      <c r="C7431" s="32" t="s">
        <v>1890</v>
      </c>
      <c r="D7431" s="32">
        <v>500.0</v>
      </c>
      <c r="E7431" s="94">
        <v>15.88</v>
      </c>
      <c r="F7431" s="982">
        <v>0.4110300925925926</v>
      </c>
      <c r="G7431" s="32" t="s">
        <v>453</v>
      </c>
      <c r="H7431" s="710">
        <v>2.65</v>
      </c>
      <c r="I7431" s="256"/>
      <c r="J7431" s="67">
        <f t="shared" si="440"/>
        <v>7937.35</v>
      </c>
      <c r="L7431" s="70"/>
      <c r="M7431" s="934"/>
      <c r="N7431" s="94"/>
      <c r="O7431" s="94"/>
      <c r="P7431" s="94"/>
      <c r="Q7431" s="94"/>
      <c r="R7431" s="94"/>
      <c r="S7431" s="94"/>
      <c r="T7431" s="94"/>
      <c r="U7431" s="94"/>
      <c r="V7431" s="94"/>
      <c r="W7431" s="94"/>
      <c r="X7431" s="94"/>
      <c r="Y7431" s="94"/>
      <c r="Z7431" s="94"/>
      <c r="AA7431" s="94"/>
      <c r="AB7431" s="94"/>
      <c r="AC7431" s="94"/>
      <c r="AD7431" s="94"/>
      <c r="AE7431" s="94"/>
      <c r="AF7431" s="94"/>
      <c r="AG7431" s="94"/>
      <c r="AH7431" s="94"/>
    </row>
    <row r="7432" ht="12.75" hidden="1" customHeight="1" outlineLevel="1">
      <c r="A7432" s="122">
        <v>42251.0</v>
      </c>
      <c r="B7432" s="32" t="s">
        <v>347</v>
      </c>
      <c r="C7432" s="32" t="s">
        <v>790</v>
      </c>
      <c r="D7432" s="983">
        <v>1000.0</v>
      </c>
      <c r="E7432" s="94">
        <v>5.291</v>
      </c>
      <c r="F7432" s="982">
        <v>0.4117476851851852</v>
      </c>
      <c r="G7432" s="32" t="s">
        <v>453</v>
      </c>
      <c r="H7432" s="710">
        <v>4.1</v>
      </c>
      <c r="I7432" s="256"/>
      <c r="J7432" s="67">
        <f t="shared" si="440"/>
        <v>5286.9</v>
      </c>
      <c r="L7432" s="70"/>
      <c r="M7432" s="934"/>
      <c r="N7432" s="94"/>
      <c r="O7432" s="94"/>
      <c r="P7432" s="94"/>
      <c r="Q7432" s="94"/>
      <c r="R7432" s="94"/>
      <c r="S7432" s="94"/>
      <c r="T7432" s="94"/>
      <c r="U7432" s="94"/>
      <c r="V7432" s="94"/>
      <c r="W7432" s="94"/>
      <c r="X7432" s="94"/>
      <c r="Y7432" s="94"/>
      <c r="Z7432" s="94"/>
      <c r="AA7432" s="94"/>
      <c r="AB7432" s="94"/>
      <c r="AC7432" s="94"/>
      <c r="AD7432" s="94"/>
      <c r="AE7432" s="94"/>
      <c r="AF7432" s="94"/>
      <c r="AG7432" s="94"/>
      <c r="AH7432" s="94"/>
    </row>
    <row r="7433" ht="12.75" hidden="1" customHeight="1" outlineLevel="1">
      <c r="A7433" s="122">
        <v>42251.0</v>
      </c>
      <c r="B7433" s="32" t="s">
        <v>347</v>
      </c>
      <c r="C7433" s="32" t="s">
        <v>1893</v>
      </c>
      <c r="D7433" s="983">
        <v>1000.0</v>
      </c>
      <c r="E7433" s="94">
        <v>9.63</v>
      </c>
      <c r="F7433" s="982">
        <v>0.41322916666666665</v>
      </c>
      <c r="G7433" s="32" t="s">
        <v>453</v>
      </c>
      <c r="H7433" s="710">
        <v>5.18</v>
      </c>
      <c r="I7433" s="256"/>
      <c r="J7433" s="67">
        <f t="shared" si="440"/>
        <v>9624.82</v>
      </c>
      <c r="L7433" s="70"/>
      <c r="M7433" s="934"/>
      <c r="N7433" s="94"/>
      <c r="O7433" s="94"/>
      <c r="P7433" s="94"/>
      <c r="Q7433" s="94"/>
      <c r="R7433" s="94"/>
      <c r="S7433" s="94"/>
      <c r="T7433" s="94"/>
      <c r="U7433" s="94"/>
      <c r="V7433" s="94"/>
      <c r="W7433" s="94"/>
      <c r="X7433" s="94"/>
      <c r="Y7433" s="94"/>
      <c r="Z7433" s="94"/>
      <c r="AA7433" s="94"/>
      <c r="AB7433" s="94"/>
      <c r="AC7433" s="94"/>
      <c r="AD7433" s="94"/>
      <c r="AE7433" s="94"/>
      <c r="AF7433" s="94"/>
      <c r="AG7433" s="94"/>
      <c r="AH7433" s="94"/>
    </row>
    <row r="7434" ht="12.75" hidden="1" customHeight="1" outlineLevel="1">
      <c r="A7434" s="122">
        <v>42251.0</v>
      </c>
      <c r="B7434" s="32" t="s">
        <v>347</v>
      </c>
      <c r="C7434" s="32" t="s">
        <v>2195</v>
      </c>
      <c r="D7434" s="32">
        <v>500.0</v>
      </c>
      <c r="E7434" s="94">
        <v>15.16</v>
      </c>
      <c r="F7434" s="982">
        <v>0.4151273148148148</v>
      </c>
      <c r="G7434" s="32" t="s">
        <v>453</v>
      </c>
      <c r="H7434" s="710">
        <v>2.64</v>
      </c>
      <c r="I7434" s="256"/>
      <c r="J7434" s="67">
        <f t="shared" si="440"/>
        <v>7577.36</v>
      </c>
      <c r="L7434" s="70"/>
      <c r="M7434" s="934"/>
      <c r="N7434" s="94"/>
      <c r="O7434" s="94"/>
      <c r="P7434" s="94"/>
      <c r="Q7434" s="94"/>
      <c r="R7434" s="94"/>
      <c r="S7434" s="94"/>
      <c r="T7434" s="94"/>
      <c r="U7434" s="94"/>
      <c r="V7434" s="94"/>
      <c r="W7434" s="94"/>
      <c r="X7434" s="94"/>
      <c r="Y7434" s="94"/>
      <c r="Z7434" s="94"/>
      <c r="AA7434" s="94"/>
      <c r="AB7434" s="94"/>
      <c r="AC7434" s="94"/>
      <c r="AD7434" s="94"/>
      <c r="AE7434" s="94"/>
      <c r="AF7434" s="94"/>
      <c r="AG7434" s="94"/>
      <c r="AH7434" s="94"/>
    </row>
    <row r="7435" ht="12.75" hidden="1" customHeight="1" outlineLevel="1">
      <c r="A7435" s="122">
        <v>42251.0</v>
      </c>
      <c r="B7435" s="32" t="s">
        <v>347</v>
      </c>
      <c r="C7435" s="32" t="s">
        <v>2090</v>
      </c>
      <c r="D7435" s="983">
        <v>3000.0</v>
      </c>
      <c r="E7435" s="94">
        <v>6.379</v>
      </c>
      <c r="F7435" s="982">
        <v>0.4162152777777778</v>
      </c>
      <c r="G7435" s="32" t="s">
        <v>453</v>
      </c>
      <c r="H7435" s="710">
        <v>13.15</v>
      </c>
      <c r="I7435" s="256"/>
      <c r="J7435" s="67">
        <f t="shared" si="440"/>
        <v>19123.85</v>
      </c>
      <c r="L7435" s="70"/>
      <c r="M7435" s="934"/>
      <c r="N7435" s="94"/>
      <c r="O7435" s="94"/>
      <c r="P7435" s="94"/>
      <c r="Q7435" s="94"/>
      <c r="R7435" s="94"/>
      <c r="S7435" s="94"/>
      <c r="T7435" s="94"/>
      <c r="U7435" s="94"/>
      <c r="V7435" s="94"/>
      <c r="W7435" s="94"/>
      <c r="X7435" s="94"/>
      <c r="Y7435" s="94"/>
      <c r="Z7435" s="94"/>
      <c r="AA7435" s="94"/>
      <c r="AB7435" s="94"/>
      <c r="AC7435" s="94"/>
      <c r="AD7435" s="94"/>
      <c r="AE7435" s="94"/>
      <c r="AF7435" s="94"/>
      <c r="AG7435" s="94"/>
      <c r="AH7435" s="94"/>
    </row>
    <row r="7436" ht="12.75" hidden="1" customHeight="1" outlineLevel="1">
      <c r="A7436" s="122">
        <v>42251.0</v>
      </c>
      <c r="B7436" s="32" t="s">
        <v>347</v>
      </c>
      <c r="C7436" s="32" t="s">
        <v>784</v>
      </c>
      <c r="D7436" s="983">
        <v>4500.0</v>
      </c>
      <c r="E7436" s="94">
        <v>4.821</v>
      </c>
      <c r="F7436" s="982">
        <v>0.4164467592592593</v>
      </c>
      <c r="G7436" s="32" t="s">
        <v>453</v>
      </c>
      <c r="H7436" s="710">
        <v>19.0</v>
      </c>
      <c r="I7436" s="256"/>
      <c r="J7436" s="67">
        <f t="shared" si="440"/>
        <v>21675.5</v>
      </c>
      <c r="L7436" s="70"/>
      <c r="M7436" s="934"/>
      <c r="N7436" s="94"/>
      <c r="O7436" s="94"/>
      <c r="P7436" s="94"/>
      <c r="Q7436" s="94"/>
      <c r="R7436" s="94"/>
      <c r="S7436" s="94"/>
      <c r="T7436" s="94"/>
      <c r="U7436" s="94"/>
      <c r="V7436" s="94"/>
      <c r="W7436" s="94"/>
      <c r="X7436" s="94"/>
      <c r="Y7436" s="94"/>
      <c r="Z7436" s="94"/>
      <c r="AA7436" s="94"/>
      <c r="AB7436" s="94"/>
      <c r="AC7436" s="94"/>
      <c r="AD7436" s="94"/>
      <c r="AE7436" s="94"/>
      <c r="AF7436" s="94"/>
      <c r="AG7436" s="94"/>
      <c r="AH7436" s="94"/>
    </row>
    <row r="7437" ht="12.75" hidden="1" customHeight="1" outlineLevel="1">
      <c r="A7437" s="122">
        <v>42251.0</v>
      </c>
      <c r="B7437" s="32" t="s">
        <v>347</v>
      </c>
      <c r="C7437" s="32" t="s">
        <v>2090</v>
      </c>
      <c r="D7437" s="983">
        <v>3000.0</v>
      </c>
      <c r="E7437" s="94">
        <v>6.411</v>
      </c>
      <c r="F7437" s="982">
        <v>0.4475925925925926</v>
      </c>
      <c r="G7437" s="32" t="s">
        <v>453</v>
      </c>
      <c r="H7437" s="710">
        <v>12.35</v>
      </c>
      <c r="I7437" s="256"/>
      <c r="J7437" s="67">
        <f t="shared" si="440"/>
        <v>19220.65</v>
      </c>
      <c r="L7437" s="70"/>
      <c r="M7437" s="934"/>
      <c r="N7437" s="94"/>
      <c r="O7437" s="94"/>
      <c r="P7437" s="94"/>
      <c r="Q7437" s="94"/>
      <c r="R7437" s="94"/>
      <c r="S7437" s="94"/>
      <c r="T7437" s="94"/>
      <c r="U7437" s="94"/>
      <c r="V7437" s="94"/>
      <c r="W7437" s="94"/>
      <c r="X7437" s="94"/>
      <c r="Y7437" s="94"/>
      <c r="Z7437" s="94"/>
      <c r="AA7437" s="94"/>
      <c r="AB7437" s="94"/>
      <c r="AC7437" s="94"/>
      <c r="AD7437" s="94"/>
      <c r="AE7437" s="94"/>
      <c r="AF7437" s="94"/>
      <c r="AG7437" s="94"/>
      <c r="AH7437" s="94"/>
    </row>
    <row r="7438" ht="12.75" hidden="1" customHeight="1" outlineLevel="1">
      <c r="A7438" s="122">
        <v>42251.0</v>
      </c>
      <c r="B7438" s="32" t="s">
        <v>347</v>
      </c>
      <c r="C7438" s="32" t="s">
        <v>1893</v>
      </c>
      <c r="D7438" s="983">
        <v>1000.0</v>
      </c>
      <c r="E7438" s="94">
        <v>9.63</v>
      </c>
      <c r="F7438" s="982">
        <v>0.4478125</v>
      </c>
      <c r="G7438" s="32" t="s">
        <v>453</v>
      </c>
      <c r="H7438" s="710">
        <v>4.18</v>
      </c>
      <c r="I7438" s="256"/>
      <c r="J7438" s="67">
        <f t="shared" si="440"/>
        <v>9625.82</v>
      </c>
      <c r="L7438" s="70"/>
      <c r="M7438" s="934"/>
      <c r="N7438" s="94"/>
      <c r="O7438" s="94"/>
      <c r="P7438" s="94"/>
      <c r="Q7438" s="94"/>
      <c r="R7438" s="94"/>
      <c r="S7438" s="94"/>
      <c r="T7438" s="94"/>
      <c r="U7438" s="94"/>
      <c r="V7438" s="94"/>
      <c r="W7438" s="94"/>
      <c r="X7438" s="94"/>
      <c r="Y7438" s="94"/>
      <c r="Z7438" s="94"/>
      <c r="AA7438" s="94"/>
      <c r="AB7438" s="94"/>
      <c r="AC7438" s="94"/>
      <c r="AD7438" s="94"/>
      <c r="AE7438" s="94"/>
      <c r="AF7438" s="94"/>
      <c r="AG7438" s="94"/>
      <c r="AH7438" s="94"/>
    </row>
    <row r="7439" ht="12.75" hidden="1" customHeight="1" outlineLevel="1">
      <c r="A7439" s="122">
        <v>42251.0</v>
      </c>
      <c r="B7439" s="32" t="s">
        <v>347</v>
      </c>
      <c r="C7439" s="32" t="s">
        <v>2195</v>
      </c>
      <c r="D7439" s="32">
        <v>500.0</v>
      </c>
      <c r="E7439" s="94">
        <v>15.07</v>
      </c>
      <c r="F7439" s="982">
        <v>0.44806712962962963</v>
      </c>
      <c r="G7439" s="32" t="s">
        <v>453</v>
      </c>
      <c r="H7439" s="710">
        <v>2.64</v>
      </c>
      <c r="I7439" s="256"/>
      <c r="J7439" s="67">
        <f t="shared" si="440"/>
        <v>7532.36</v>
      </c>
      <c r="L7439" s="70"/>
      <c r="M7439" s="934"/>
      <c r="N7439" s="94"/>
      <c r="O7439" s="94"/>
      <c r="P7439" s="94"/>
      <c r="Q7439" s="94"/>
      <c r="R7439" s="94"/>
      <c r="S7439" s="94"/>
      <c r="T7439" s="94"/>
      <c r="U7439" s="94"/>
      <c r="V7439" s="94"/>
      <c r="W7439" s="94"/>
      <c r="X7439" s="94"/>
      <c r="Y7439" s="94"/>
      <c r="Z7439" s="94"/>
      <c r="AA7439" s="94"/>
      <c r="AB7439" s="94"/>
      <c r="AC7439" s="94"/>
      <c r="AD7439" s="94"/>
      <c r="AE7439" s="94"/>
      <c r="AF7439" s="94"/>
      <c r="AG7439" s="94"/>
      <c r="AH7439" s="94"/>
    </row>
    <row r="7440" ht="12.75" hidden="1" customHeight="1" outlineLevel="1">
      <c r="A7440" s="122">
        <v>42251.0</v>
      </c>
      <c r="B7440" s="32" t="s">
        <v>347</v>
      </c>
      <c r="C7440" s="32" t="s">
        <v>784</v>
      </c>
      <c r="D7440" s="983">
        <v>4000.0</v>
      </c>
      <c r="E7440" s="94">
        <v>4.812</v>
      </c>
      <c r="F7440" s="982">
        <v>0.44836805555555553</v>
      </c>
      <c r="G7440" s="32" t="s">
        <v>453</v>
      </c>
      <c r="H7440" s="710">
        <v>20.35</v>
      </c>
      <c r="I7440" s="256"/>
      <c r="J7440" s="67">
        <f t="shared" si="440"/>
        <v>19227.65</v>
      </c>
      <c r="L7440" s="70"/>
      <c r="M7440" s="934"/>
      <c r="N7440" s="94"/>
      <c r="O7440" s="94"/>
      <c r="P7440" s="94"/>
      <c r="Q7440" s="94"/>
      <c r="R7440" s="94"/>
      <c r="S7440" s="94"/>
      <c r="T7440" s="94"/>
      <c r="U7440" s="94"/>
      <c r="V7440" s="94"/>
      <c r="W7440" s="94"/>
      <c r="X7440" s="94"/>
      <c r="Y7440" s="94"/>
      <c r="Z7440" s="94"/>
      <c r="AA7440" s="94"/>
      <c r="AB7440" s="94"/>
      <c r="AC7440" s="94"/>
      <c r="AD7440" s="94"/>
      <c r="AE7440" s="94"/>
      <c r="AF7440" s="94"/>
      <c r="AG7440" s="94"/>
      <c r="AH7440" s="94"/>
    </row>
    <row r="7441" ht="12.75" hidden="1" customHeight="1" outlineLevel="1">
      <c r="A7441" s="122">
        <v>42251.0</v>
      </c>
      <c r="B7441" s="32" t="s">
        <v>347</v>
      </c>
      <c r="C7441" s="32" t="s">
        <v>1633</v>
      </c>
      <c r="D7441" s="32">
        <v>750.0</v>
      </c>
      <c r="E7441" s="94">
        <v>13.521</v>
      </c>
      <c r="F7441" s="982">
        <v>0.4486111111111111</v>
      </c>
      <c r="G7441" s="32" t="s">
        <v>453</v>
      </c>
      <c r="H7441" s="710">
        <v>3.19</v>
      </c>
      <c r="I7441" s="256"/>
      <c r="J7441" s="67">
        <f t="shared" si="440"/>
        <v>10137.56</v>
      </c>
      <c r="L7441" s="70"/>
      <c r="M7441" s="934"/>
      <c r="N7441" s="94"/>
      <c r="O7441" s="94"/>
      <c r="P7441" s="94"/>
      <c r="Q7441" s="94"/>
      <c r="R7441" s="94"/>
      <c r="S7441" s="94"/>
      <c r="T7441" s="94"/>
      <c r="U7441" s="94"/>
      <c r="V7441" s="94"/>
      <c r="W7441" s="94"/>
      <c r="X7441" s="94"/>
      <c r="Y7441" s="94"/>
      <c r="Z7441" s="94"/>
      <c r="AA7441" s="94"/>
      <c r="AB7441" s="94"/>
      <c r="AC7441" s="94"/>
      <c r="AD7441" s="94"/>
      <c r="AE7441" s="94"/>
      <c r="AF7441" s="94"/>
      <c r="AG7441" s="94"/>
      <c r="AH7441" s="94"/>
    </row>
    <row r="7442" ht="12.75" hidden="1" customHeight="1" outlineLevel="1">
      <c r="A7442" s="122">
        <v>42251.0</v>
      </c>
      <c r="B7442" s="32" t="s">
        <v>347</v>
      </c>
      <c r="C7442" s="32" t="s">
        <v>1781</v>
      </c>
      <c r="D7442" s="983">
        <v>1500.0</v>
      </c>
      <c r="E7442" s="94">
        <v>6.241</v>
      </c>
      <c r="F7442" s="982">
        <v>0.44907407407407407</v>
      </c>
      <c r="G7442" s="32" t="s">
        <v>453</v>
      </c>
      <c r="H7442" s="710">
        <v>6.17</v>
      </c>
      <c r="I7442" s="256"/>
      <c r="J7442" s="67">
        <f t="shared" si="440"/>
        <v>9355.33</v>
      </c>
      <c r="L7442" s="70"/>
      <c r="M7442" s="934"/>
      <c r="N7442" s="94"/>
      <c r="O7442" s="94"/>
      <c r="P7442" s="94"/>
      <c r="Q7442" s="94"/>
      <c r="R7442" s="94"/>
      <c r="S7442" s="94"/>
      <c r="T7442" s="94"/>
      <c r="U7442" s="94"/>
      <c r="V7442" s="94"/>
      <c r="W7442" s="94"/>
      <c r="X7442" s="94"/>
      <c r="Y7442" s="94"/>
      <c r="Z7442" s="94"/>
      <c r="AA7442" s="94"/>
      <c r="AB7442" s="94"/>
      <c r="AC7442" s="94"/>
      <c r="AD7442" s="94"/>
      <c r="AE7442" s="94"/>
      <c r="AF7442" s="94"/>
      <c r="AG7442" s="94"/>
      <c r="AH7442" s="94"/>
    </row>
    <row r="7443" ht="12.75" hidden="1" customHeight="1" outlineLevel="1">
      <c r="A7443" s="122">
        <v>42251.0</v>
      </c>
      <c r="B7443" s="32" t="s">
        <v>347</v>
      </c>
      <c r="C7443" s="32" t="s">
        <v>790</v>
      </c>
      <c r="D7443" s="983">
        <v>2000.0</v>
      </c>
      <c r="E7443" s="94">
        <v>5.32</v>
      </c>
      <c r="F7443" s="982">
        <v>0.449537037037037</v>
      </c>
      <c r="G7443" s="32" t="s">
        <v>453</v>
      </c>
      <c r="H7443" s="710">
        <v>8.2</v>
      </c>
      <c r="I7443" s="256"/>
      <c r="J7443" s="67">
        <f t="shared" si="440"/>
        <v>10631.8</v>
      </c>
      <c r="L7443" s="70"/>
      <c r="M7443" s="934"/>
      <c r="N7443" s="94"/>
      <c r="O7443" s="94"/>
      <c r="P7443" s="94"/>
      <c r="Q7443" s="94"/>
      <c r="R7443" s="94"/>
      <c r="S7443" s="94"/>
      <c r="T7443" s="94"/>
      <c r="U7443" s="94"/>
      <c r="V7443" s="94"/>
      <c r="W7443" s="94"/>
      <c r="X7443" s="94"/>
      <c r="Y7443" s="94"/>
      <c r="Z7443" s="94"/>
      <c r="AA7443" s="94"/>
      <c r="AB7443" s="94"/>
      <c r="AC7443" s="94"/>
      <c r="AD7443" s="94"/>
      <c r="AE7443" s="94"/>
      <c r="AF7443" s="94"/>
      <c r="AG7443" s="94"/>
      <c r="AH7443" s="94"/>
    </row>
    <row r="7444" ht="12.75" hidden="1" customHeight="1" outlineLevel="1">
      <c r="A7444" s="122">
        <v>42251.0</v>
      </c>
      <c r="B7444" s="32" t="s">
        <v>347</v>
      </c>
      <c r="C7444" s="32" t="s">
        <v>2090</v>
      </c>
      <c r="D7444" s="983">
        <v>6000.0</v>
      </c>
      <c r="E7444" s="94">
        <v>6.35</v>
      </c>
      <c r="F7444" s="982">
        <v>0.4525462962962963</v>
      </c>
      <c r="G7444" s="32" t="s">
        <v>453</v>
      </c>
      <c r="H7444" s="710">
        <v>30.1</v>
      </c>
      <c r="I7444" s="256"/>
      <c r="J7444" s="67">
        <f t="shared" si="440"/>
        <v>38069.9</v>
      </c>
      <c r="L7444" s="70"/>
      <c r="M7444" s="934"/>
      <c r="N7444" s="94"/>
      <c r="O7444" s="94"/>
      <c r="P7444" s="94"/>
      <c r="Q7444" s="94"/>
      <c r="R7444" s="94"/>
      <c r="S7444" s="94"/>
      <c r="T7444" s="94"/>
      <c r="U7444" s="94"/>
      <c r="V7444" s="94"/>
      <c r="W7444" s="94"/>
      <c r="X7444" s="94"/>
      <c r="Y7444" s="94"/>
      <c r="Z7444" s="94"/>
      <c r="AA7444" s="94"/>
      <c r="AB7444" s="94"/>
      <c r="AC7444" s="94"/>
      <c r="AD7444" s="94"/>
      <c r="AE7444" s="94"/>
      <c r="AF7444" s="94"/>
      <c r="AG7444" s="94"/>
      <c r="AH7444" s="94"/>
    </row>
    <row r="7445" ht="12.75" hidden="1" customHeight="1" outlineLevel="1">
      <c r="A7445" s="122">
        <v>42251.0</v>
      </c>
      <c r="B7445" s="32" t="s">
        <v>347</v>
      </c>
      <c r="C7445" s="32" t="s">
        <v>784</v>
      </c>
      <c r="D7445" s="983">
        <v>8000.0</v>
      </c>
      <c r="E7445" s="94">
        <v>4.77</v>
      </c>
      <c r="F7445" s="982">
        <v>0.4526851851851852</v>
      </c>
      <c r="G7445" s="32" t="s">
        <v>453</v>
      </c>
      <c r="H7445" s="710">
        <v>40.7</v>
      </c>
      <c r="I7445" s="256"/>
      <c r="J7445" s="67">
        <f t="shared" si="440"/>
        <v>38119.3</v>
      </c>
      <c r="L7445" s="70"/>
      <c r="M7445" s="934"/>
      <c r="N7445" s="94"/>
      <c r="O7445" s="94"/>
      <c r="P7445" s="94"/>
      <c r="Q7445" s="94"/>
      <c r="R7445" s="94"/>
      <c r="S7445" s="94"/>
      <c r="T7445" s="94"/>
      <c r="U7445" s="94"/>
      <c r="V7445" s="94"/>
      <c r="W7445" s="94"/>
      <c r="X7445" s="94"/>
      <c r="Y7445" s="94"/>
      <c r="Z7445" s="94"/>
      <c r="AA7445" s="94"/>
      <c r="AB7445" s="94"/>
      <c r="AC7445" s="94"/>
      <c r="AD7445" s="94"/>
      <c r="AE7445" s="94"/>
      <c r="AF7445" s="94"/>
      <c r="AG7445" s="94"/>
      <c r="AH7445" s="94"/>
    </row>
    <row r="7446" ht="12.75" hidden="1" customHeight="1" outlineLevel="1">
      <c r="A7446" s="122">
        <v>42251.0</v>
      </c>
      <c r="B7446" s="32" t="s">
        <v>347</v>
      </c>
      <c r="C7446" s="32" t="s">
        <v>1890</v>
      </c>
      <c r="D7446" s="32">
        <v>500.0</v>
      </c>
      <c r="E7446" s="94">
        <v>15.701</v>
      </c>
      <c r="F7446" s="982">
        <v>0.45413194444444444</v>
      </c>
      <c r="G7446" s="32" t="s">
        <v>453</v>
      </c>
      <c r="H7446" s="710">
        <v>2.14</v>
      </c>
      <c r="I7446" s="256"/>
      <c r="J7446" s="67">
        <f t="shared" si="440"/>
        <v>7848.36</v>
      </c>
      <c r="L7446" s="70"/>
      <c r="M7446" s="934"/>
      <c r="N7446" s="94"/>
      <c r="O7446" s="94"/>
      <c r="P7446" s="94"/>
      <c r="Q7446" s="94"/>
      <c r="R7446" s="94"/>
      <c r="S7446" s="94"/>
      <c r="T7446" s="94"/>
      <c r="U7446" s="94"/>
      <c r="V7446" s="94"/>
      <c r="W7446" s="94"/>
      <c r="X7446" s="94"/>
      <c r="Y7446" s="94"/>
      <c r="Z7446" s="94"/>
      <c r="AA7446" s="94"/>
      <c r="AB7446" s="94"/>
      <c r="AC7446" s="94"/>
      <c r="AD7446" s="94"/>
      <c r="AE7446" s="94"/>
      <c r="AF7446" s="94"/>
      <c r="AG7446" s="94"/>
      <c r="AH7446" s="94"/>
    </row>
    <row r="7447" ht="12.75" hidden="1" customHeight="1" outlineLevel="1">
      <c r="A7447" s="122">
        <v>42251.0</v>
      </c>
      <c r="B7447" s="32" t="s">
        <v>347</v>
      </c>
      <c r="C7447" s="32" t="s">
        <v>1947</v>
      </c>
      <c r="D7447" s="32">
        <v>100.0</v>
      </c>
      <c r="E7447" s="94">
        <v>56.322</v>
      </c>
      <c r="F7447" s="982">
        <v>0.4544675925925926</v>
      </c>
      <c r="G7447" s="32" t="s">
        <v>453</v>
      </c>
      <c r="H7447" s="710">
        <v>1.1</v>
      </c>
      <c r="I7447" s="256"/>
      <c r="J7447" s="67">
        <f t="shared" si="440"/>
        <v>5631.1</v>
      </c>
      <c r="L7447" s="70"/>
      <c r="M7447" s="934"/>
      <c r="N7447" s="94"/>
      <c r="O7447" s="94"/>
      <c r="P7447" s="94"/>
      <c r="Q7447" s="94"/>
      <c r="R7447" s="94"/>
      <c r="S7447" s="94"/>
      <c r="T7447" s="94"/>
      <c r="U7447" s="94"/>
      <c r="V7447" s="94"/>
      <c r="W7447" s="94"/>
      <c r="X7447" s="94"/>
      <c r="Y7447" s="94"/>
      <c r="Z7447" s="94"/>
      <c r="AA7447" s="94"/>
      <c r="AB7447" s="94"/>
      <c r="AC7447" s="94"/>
      <c r="AD7447" s="94"/>
      <c r="AE7447" s="94"/>
      <c r="AF7447" s="94"/>
      <c r="AG7447" s="94"/>
      <c r="AH7447" s="94"/>
    </row>
    <row r="7448" ht="12.75" hidden="1" customHeight="1" outlineLevel="1">
      <c r="A7448" s="122">
        <v>42251.0</v>
      </c>
      <c r="B7448" s="32" t="s">
        <v>347</v>
      </c>
      <c r="C7448" s="32" t="s">
        <v>790</v>
      </c>
      <c r="D7448" s="983">
        <v>2000.0</v>
      </c>
      <c r="E7448" s="94">
        <v>5.301</v>
      </c>
      <c r="F7448" s="982">
        <v>0.45469907407407406</v>
      </c>
      <c r="G7448" s="32" t="s">
        <v>453</v>
      </c>
      <c r="H7448" s="710">
        <v>8.2</v>
      </c>
      <c r="I7448" s="256"/>
      <c r="J7448" s="67">
        <f t="shared" si="440"/>
        <v>10593.8</v>
      </c>
      <c r="L7448" s="70"/>
      <c r="M7448" s="934"/>
      <c r="N7448" s="94"/>
      <c r="O7448" s="94"/>
      <c r="P7448" s="94"/>
      <c r="Q7448" s="94"/>
      <c r="R7448" s="94"/>
      <c r="S7448" s="94"/>
      <c r="T7448" s="94"/>
      <c r="U7448" s="94"/>
      <c r="V7448" s="94"/>
      <c r="W7448" s="94"/>
      <c r="X7448" s="94"/>
      <c r="Y7448" s="94"/>
      <c r="Z7448" s="94"/>
      <c r="AA7448" s="94"/>
      <c r="AB7448" s="94"/>
      <c r="AC7448" s="94"/>
      <c r="AD7448" s="94"/>
      <c r="AE7448" s="94"/>
      <c r="AF7448" s="94"/>
      <c r="AG7448" s="94"/>
      <c r="AH7448" s="94"/>
    </row>
    <row r="7449" ht="12.75" hidden="1" customHeight="1" outlineLevel="1">
      <c r="A7449" s="122">
        <v>42251.0</v>
      </c>
      <c r="B7449" s="974"/>
      <c r="C7449" s="32" t="s">
        <v>339</v>
      </c>
      <c r="D7449" s="708"/>
      <c r="E7449" s="195"/>
      <c r="F7449" s="709"/>
      <c r="G7449" s="195"/>
      <c r="H7449" s="710"/>
      <c r="I7449" s="256"/>
      <c r="J7449" s="67"/>
      <c r="K7449" s="968" t="s">
        <v>3133</v>
      </c>
      <c r="L7449" s="934"/>
      <c r="M7449" s="934"/>
    </row>
    <row r="7450" ht="12.75" hidden="1" customHeight="1" outlineLevel="1">
      <c r="A7450" s="122">
        <v>42251.0</v>
      </c>
      <c r="B7450" s="974"/>
      <c r="C7450" s="32" t="s">
        <v>429</v>
      </c>
      <c r="D7450" s="708"/>
      <c r="E7450" s="195"/>
      <c r="F7450" s="709"/>
      <c r="G7450" s="195"/>
      <c r="H7450" s="710"/>
      <c r="I7450" s="256"/>
      <c r="J7450" s="67"/>
      <c r="K7450" s="9" t="s">
        <v>3049</v>
      </c>
      <c r="L7450" s="934"/>
      <c r="M7450" s="934"/>
    </row>
    <row r="7451" ht="12.75" hidden="1" customHeight="1" outlineLevel="1">
      <c r="A7451" s="122">
        <v>42251.0</v>
      </c>
      <c r="B7451" s="974"/>
      <c r="C7451" s="32" t="s">
        <v>431</v>
      </c>
      <c r="D7451" s="708"/>
      <c r="E7451" s="195"/>
      <c r="F7451" s="709"/>
      <c r="G7451" s="195"/>
      <c r="H7451" s="710"/>
      <c r="I7451" s="256"/>
      <c r="J7451" s="67"/>
      <c r="K7451" s="7" t="s">
        <v>1126</v>
      </c>
      <c r="L7451" s="934"/>
      <c r="M7451" s="934"/>
    </row>
    <row r="7452" ht="12.75" hidden="1" customHeight="1" outlineLevel="1">
      <c r="A7452" s="122">
        <v>42251.0</v>
      </c>
      <c r="B7452" s="974"/>
      <c r="C7452" s="32" t="s">
        <v>433</v>
      </c>
      <c r="D7452" s="708"/>
      <c r="E7452" s="195"/>
      <c r="F7452" s="709"/>
      <c r="G7452" s="195"/>
      <c r="H7452" s="710"/>
      <c r="I7452" s="256"/>
      <c r="J7452" s="67"/>
      <c r="K7452" s="7" t="s">
        <v>1103</v>
      </c>
      <c r="L7452" s="934"/>
      <c r="M7452" s="934"/>
    </row>
    <row r="7453" ht="12.75" hidden="1" customHeight="1" outlineLevel="1">
      <c r="A7453" s="122">
        <v>42251.0</v>
      </c>
      <c r="B7453" s="974"/>
      <c r="C7453" s="32" t="s">
        <v>435</v>
      </c>
      <c r="D7453" s="708"/>
      <c r="E7453" s="195"/>
      <c r="F7453" s="709"/>
      <c r="G7453" s="195"/>
      <c r="H7453" s="710"/>
      <c r="I7453" s="256"/>
      <c r="J7453" s="67"/>
      <c r="K7453" s="9" t="s">
        <v>3134</v>
      </c>
      <c r="L7453" s="934"/>
      <c r="M7453" s="934"/>
    </row>
    <row r="7454" ht="12.75" hidden="1" customHeight="1" outlineLevel="1">
      <c r="A7454" s="122">
        <v>42256.0</v>
      </c>
      <c r="B7454" s="32" t="s">
        <v>343</v>
      </c>
      <c r="C7454" s="32" t="s">
        <v>2090</v>
      </c>
      <c r="D7454" s="983">
        <v>5000.0</v>
      </c>
      <c r="E7454" s="94">
        <v>6.899</v>
      </c>
      <c r="F7454" s="984">
        <v>42256.665972222225</v>
      </c>
      <c r="G7454" s="32" t="s">
        <v>453</v>
      </c>
      <c r="H7454" s="710">
        <v>21.1</v>
      </c>
      <c r="I7454" s="256"/>
      <c r="J7454" s="67">
        <f t="shared" ref="J7454:J7457" si="441">IF(B7454="SLD",D7454*E7454,-D7454*E7454)-H7454</f>
        <v>-34516.1</v>
      </c>
      <c r="L7454" s="70"/>
      <c r="M7454" s="934"/>
      <c r="N7454" s="94"/>
      <c r="O7454" s="94"/>
      <c r="P7454" s="94"/>
      <c r="Q7454" s="94"/>
      <c r="R7454" s="94"/>
      <c r="S7454" s="94"/>
      <c r="T7454" s="94"/>
      <c r="U7454" s="94"/>
      <c r="V7454" s="94"/>
      <c r="W7454" s="94"/>
      <c r="X7454" s="94"/>
      <c r="Y7454" s="94"/>
      <c r="Z7454" s="94"/>
      <c r="AA7454" s="94"/>
      <c r="AB7454" s="94"/>
      <c r="AC7454" s="94"/>
      <c r="AD7454" s="94"/>
      <c r="AE7454" s="94"/>
      <c r="AF7454" s="94"/>
      <c r="AG7454" s="94"/>
      <c r="AH7454" s="94"/>
    </row>
    <row r="7455" ht="12.75" hidden="1" customHeight="1" outlineLevel="1">
      <c r="A7455" s="122">
        <v>42256.0</v>
      </c>
      <c r="B7455" s="32" t="s">
        <v>343</v>
      </c>
      <c r="C7455" s="32" t="s">
        <v>784</v>
      </c>
      <c r="D7455" s="983">
        <v>6500.0</v>
      </c>
      <c r="E7455" s="94">
        <v>5.01</v>
      </c>
      <c r="F7455" s="984">
        <v>42256.66612268519</v>
      </c>
      <c r="G7455" s="32" t="s">
        <v>453</v>
      </c>
      <c r="H7455" s="710">
        <v>30.1</v>
      </c>
      <c r="I7455" s="256"/>
      <c r="J7455" s="67">
        <f t="shared" si="441"/>
        <v>-32595.1</v>
      </c>
      <c r="L7455" s="70"/>
      <c r="M7455" s="934"/>
      <c r="N7455" s="94"/>
      <c r="O7455" s="94"/>
      <c r="P7455" s="94"/>
      <c r="Q7455" s="94"/>
      <c r="R7455" s="94"/>
      <c r="S7455" s="94"/>
      <c r="T7455" s="94"/>
      <c r="U7455" s="94"/>
      <c r="V7455" s="94"/>
      <c r="W7455" s="94"/>
      <c r="X7455" s="94"/>
      <c r="Y7455" s="94"/>
      <c r="Z7455" s="94"/>
      <c r="AA7455" s="94"/>
      <c r="AB7455" s="94"/>
      <c r="AC7455" s="94"/>
      <c r="AD7455" s="94"/>
      <c r="AE7455" s="94"/>
      <c r="AF7455" s="94"/>
      <c r="AG7455" s="94"/>
      <c r="AH7455" s="94"/>
    </row>
    <row r="7456" ht="12.75" hidden="1" customHeight="1" outlineLevel="1">
      <c r="A7456" s="122">
        <v>42256.0</v>
      </c>
      <c r="B7456" s="32" t="s">
        <v>343</v>
      </c>
      <c r="C7456" s="32" t="s">
        <v>2090</v>
      </c>
      <c r="D7456" s="983">
        <v>8000.0</v>
      </c>
      <c r="E7456" s="94">
        <v>6.91</v>
      </c>
      <c r="F7456" s="984">
        <v>42256.6665625</v>
      </c>
      <c r="G7456" s="32" t="s">
        <v>453</v>
      </c>
      <c r="H7456" s="710">
        <v>39.27</v>
      </c>
      <c r="I7456" s="256"/>
      <c r="J7456" s="67">
        <f t="shared" si="441"/>
        <v>-55319.27</v>
      </c>
      <c r="L7456" s="70"/>
      <c r="M7456" s="934"/>
      <c r="N7456" s="94"/>
      <c r="O7456" s="94"/>
      <c r="P7456" s="94"/>
      <c r="Q7456" s="94"/>
      <c r="R7456" s="94"/>
      <c r="S7456" s="94"/>
      <c r="T7456" s="94"/>
      <c r="U7456" s="94"/>
      <c r="V7456" s="94"/>
      <c r="W7456" s="94"/>
      <c r="X7456" s="94"/>
      <c r="Y7456" s="94"/>
      <c r="Z7456" s="94"/>
      <c r="AA7456" s="94"/>
      <c r="AB7456" s="94"/>
      <c r="AC7456" s="94"/>
      <c r="AD7456" s="94"/>
      <c r="AE7456" s="94"/>
      <c r="AF7456" s="94"/>
      <c r="AG7456" s="94"/>
      <c r="AH7456" s="94"/>
    </row>
    <row r="7457" ht="12.75" hidden="1" customHeight="1" outlineLevel="1">
      <c r="A7457" s="122">
        <v>42258.0</v>
      </c>
      <c r="B7457" s="32" t="s">
        <v>347</v>
      </c>
      <c r="C7457" s="32" t="s">
        <v>2090</v>
      </c>
      <c r="D7457" s="983">
        <v>2000.0</v>
      </c>
      <c r="E7457" s="94">
        <v>6.491</v>
      </c>
      <c r="F7457" s="982">
        <v>0.45510416666666664</v>
      </c>
      <c r="G7457" s="32" t="s">
        <v>453</v>
      </c>
      <c r="H7457" s="710">
        <v>8.24</v>
      </c>
      <c r="I7457" s="256"/>
      <c r="J7457" s="67">
        <f t="shared" si="441"/>
        <v>12973.76</v>
      </c>
      <c r="L7457" s="70"/>
      <c r="M7457" s="934"/>
      <c r="N7457" s="94"/>
      <c r="O7457" s="94"/>
      <c r="P7457" s="94"/>
      <c r="Q7457" s="94"/>
      <c r="R7457" s="94"/>
      <c r="S7457" s="94"/>
      <c r="T7457" s="94"/>
      <c r="U7457" s="94"/>
      <c r="V7457" s="94"/>
      <c r="W7457" s="94"/>
      <c r="X7457" s="94"/>
      <c r="Y7457" s="94"/>
      <c r="Z7457" s="94"/>
      <c r="AA7457" s="94"/>
      <c r="AB7457" s="94"/>
      <c r="AC7457" s="94"/>
      <c r="AD7457" s="94"/>
      <c r="AE7457" s="94"/>
      <c r="AF7457" s="94"/>
      <c r="AG7457" s="94"/>
      <c r="AH7457" s="94"/>
    </row>
    <row r="7458" ht="12.75" hidden="1" customHeight="1" outlineLevel="1">
      <c r="A7458" s="122">
        <v>42258.0</v>
      </c>
      <c r="B7458" s="974"/>
      <c r="C7458" s="32" t="s">
        <v>339</v>
      </c>
      <c r="D7458" s="708"/>
      <c r="E7458" s="195"/>
      <c r="F7458" s="709"/>
      <c r="G7458" s="195"/>
      <c r="H7458" s="710"/>
      <c r="I7458" s="256"/>
      <c r="J7458" s="67"/>
      <c r="K7458" s="968" t="s">
        <v>3135</v>
      </c>
      <c r="L7458" s="934"/>
      <c r="M7458" s="934"/>
    </row>
    <row r="7459" ht="12.75" hidden="1" customHeight="1" outlineLevel="1">
      <c r="A7459" s="122">
        <v>42258.0</v>
      </c>
      <c r="B7459" s="974"/>
      <c r="C7459" s="32" t="s">
        <v>429</v>
      </c>
      <c r="D7459" s="708"/>
      <c r="E7459" s="195"/>
      <c r="F7459" s="709"/>
      <c r="G7459" s="195"/>
      <c r="H7459" s="710"/>
      <c r="I7459" s="256"/>
      <c r="J7459" s="67"/>
      <c r="K7459" s="9" t="s">
        <v>3049</v>
      </c>
      <c r="L7459" s="934"/>
      <c r="M7459" s="934"/>
    </row>
    <row r="7460" ht="12.75" hidden="1" customHeight="1" outlineLevel="1">
      <c r="A7460" s="122">
        <v>42258.0</v>
      </c>
      <c r="B7460" s="974"/>
      <c r="C7460" s="32" t="s">
        <v>431</v>
      </c>
      <c r="D7460" s="708"/>
      <c r="E7460" s="195"/>
      <c r="F7460" s="709"/>
      <c r="G7460" s="195"/>
      <c r="H7460" s="710"/>
      <c r="I7460" s="256"/>
      <c r="J7460" s="67"/>
      <c r="K7460" s="7" t="s">
        <v>1126</v>
      </c>
      <c r="L7460" s="934"/>
      <c r="M7460" s="934"/>
    </row>
    <row r="7461" ht="12.75" hidden="1" customHeight="1" outlineLevel="1">
      <c r="A7461" s="122">
        <v>42258.0</v>
      </c>
      <c r="B7461" s="974"/>
      <c r="C7461" s="32" t="s">
        <v>433</v>
      </c>
      <c r="D7461" s="708"/>
      <c r="E7461" s="195"/>
      <c r="F7461" s="709"/>
      <c r="G7461" s="195"/>
      <c r="H7461" s="710"/>
      <c r="I7461" s="256"/>
      <c r="J7461" s="67"/>
      <c r="K7461" s="7" t="s">
        <v>1103</v>
      </c>
      <c r="L7461" s="934"/>
      <c r="M7461" s="934"/>
    </row>
    <row r="7462" ht="12.75" hidden="1" customHeight="1" outlineLevel="1">
      <c r="A7462" s="122">
        <v>42258.0</v>
      </c>
      <c r="B7462" s="974"/>
      <c r="C7462" s="32" t="s">
        <v>435</v>
      </c>
      <c r="D7462" s="708"/>
      <c r="E7462" s="195"/>
      <c r="F7462" s="709"/>
      <c r="G7462" s="195"/>
      <c r="H7462" s="710"/>
      <c r="I7462" s="256"/>
      <c r="J7462" s="67"/>
      <c r="K7462" s="9" t="s">
        <v>3134</v>
      </c>
      <c r="L7462" s="934"/>
      <c r="M7462" s="934"/>
    </row>
    <row r="7463" ht="12.75" hidden="1" customHeight="1" outlineLevel="1">
      <c r="A7463" s="202">
        <v>42261.0</v>
      </c>
      <c r="B7463" s="985" t="s">
        <v>343</v>
      </c>
      <c r="C7463" s="94" t="s">
        <v>3136</v>
      </c>
      <c r="D7463" s="94">
        <v>175.0</v>
      </c>
      <c r="E7463" s="94">
        <v>40.504</v>
      </c>
      <c r="F7463" s="986">
        <v>0.40716435185185185</v>
      </c>
      <c r="G7463" s="94" t="s">
        <v>453</v>
      </c>
      <c r="H7463" s="987">
        <v>1.0</v>
      </c>
      <c r="I7463" s="988"/>
      <c r="J7463" s="67">
        <f t="shared" ref="J7463:J7464" si="442">IF(B7463="SLD",D7463*E7463,-D7463*E7463)-H7463</f>
        <v>-7089.2</v>
      </c>
      <c r="L7463" s="70"/>
      <c r="M7463" s="934"/>
    </row>
    <row r="7464" ht="12.75" hidden="1" customHeight="1" outlineLevel="1">
      <c r="A7464" s="202">
        <v>42261.0</v>
      </c>
      <c r="B7464" s="985" t="s">
        <v>347</v>
      </c>
      <c r="C7464" s="94" t="s">
        <v>2210</v>
      </c>
      <c r="D7464" s="94">
        <v>100.0</v>
      </c>
      <c r="E7464" s="94">
        <v>66.9412</v>
      </c>
      <c r="F7464" s="986">
        <v>0.4025578703703704</v>
      </c>
      <c r="G7464" s="94" t="s">
        <v>453</v>
      </c>
      <c r="H7464" s="987">
        <v>1.12</v>
      </c>
      <c r="I7464" s="988"/>
      <c r="J7464" s="67">
        <f t="shared" si="442"/>
        <v>6693</v>
      </c>
      <c r="L7464" s="70"/>
      <c r="M7464" s="934"/>
    </row>
    <row r="7465" ht="12.75" hidden="1" customHeight="1" outlineLevel="1">
      <c r="A7465" s="122">
        <v>42258.0</v>
      </c>
      <c r="B7465" s="974"/>
      <c r="C7465" s="32" t="s">
        <v>339</v>
      </c>
      <c r="D7465" s="708"/>
      <c r="E7465" s="195"/>
      <c r="F7465" s="709"/>
      <c r="G7465" s="195"/>
      <c r="H7465" s="710"/>
      <c r="I7465" s="256"/>
      <c r="J7465" s="67"/>
      <c r="K7465" s="968" t="s">
        <v>3137</v>
      </c>
      <c r="L7465" s="934"/>
      <c r="M7465" s="934"/>
    </row>
    <row r="7466" ht="12.75" hidden="1" customHeight="1" outlineLevel="1">
      <c r="A7466" s="122">
        <v>42258.0</v>
      </c>
      <c r="B7466" s="974"/>
      <c r="C7466" s="32" t="s">
        <v>429</v>
      </c>
      <c r="D7466" s="708"/>
      <c r="E7466" s="195"/>
      <c r="F7466" s="709"/>
      <c r="G7466" s="195"/>
      <c r="H7466" s="710"/>
      <c r="I7466" s="256"/>
      <c r="J7466" s="67"/>
      <c r="K7466" s="9" t="s">
        <v>3049</v>
      </c>
      <c r="L7466" s="934"/>
      <c r="M7466" s="934"/>
    </row>
    <row r="7467" ht="12.75" hidden="1" customHeight="1" outlineLevel="1">
      <c r="A7467" s="122">
        <v>42258.0</v>
      </c>
      <c r="B7467" s="974"/>
      <c r="C7467" s="32" t="s">
        <v>431</v>
      </c>
      <c r="D7467" s="708"/>
      <c r="E7467" s="195"/>
      <c r="F7467" s="709"/>
      <c r="G7467" s="195"/>
      <c r="H7467" s="710"/>
      <c r="I7467" s="256"/>
      <c r="J7467" s="67"/>
      <c r="K7467" s="7" t="s">
        <v>1126</v>
      </c>
      <c r="L7467" s="934"/>
      <c r="M7467" s="934"/>
    </row>
    <row r="7468" ht="12.75" hidden="1" customHeight="1" outlineLevel="1">
      <c r="A7468" s="122">
        <v>42258.0</v>
      </c>
      <c r="B7468" s="974"/>
      <c r="C7468" s="32" t="s">
        <v>433</v>
      </c>
      <c r="D7468" s="708"/>
      <c r="E7468" s="195"/>
      <c r="F7468" s="709"/>
      <c r="G7468" s="195"/>
      <c r="H7468" s="710"/>
      <c r="I7468" s="256"/>
      <c r="J7468" s="67"/>
      <c r="K7468" s="7" t="s">
        <v>1103</v>
      </c>
      <c r="L7468" s="934"/>
      <c r="M7468" s="934"/>
    </row>
    <row r="7469" ht="12.75" hidden="1" customHeight="1" outlineLevel="1">
      <c r="A7469" s="122">
        <v>42258.0</v>
      </c>
      <c r="B7469" s="974"/>
      <c r="C7469" s="32" t="s">
        <v>435</v>
      </c>
      <c r="D7469" s="708"/>
      <c r="E7469" s="195"/>
      <c r="F7469" s="709"/>
      <c r="G7469" s="195"/>
      <c r="H7469" s="710"/>
      <c r="I7469" s="256"/>
      <c r="J7469" s="67"/>
      <c r="K7469" s="9" t="s">
        <v>3134</v>
      </c>
      <c r="L7469" s="934"/>
      <c r="M7469" s="934"/>
    </row>
    <row r="7470" ht="12.75" hidden="1" customHeight="1" outlineLevel="1">
      <c r="A7470" s="202">
        <v>42263.0</v>
      </c>
      <c r="B7470" s="985" t="s">
        <v>343</v>
      </c>
      <c r="C7470" s="94" t="s">
        <v>3024</v>
      </c>
      <c r="D7470" s="286">
        <v>1500.0</v>
      </c>
      <c r="E7470" s="94">
        <v>18.459</v>
      </c>
      <c r="F7470" s="986">
        <v>0.4538425925925926</v>
      </c>
      <c r="G7470" s="94" t="s">
        <v>453</v>
      </c>
      <c r="H7470" s="987">
        <v>6.0</v>
      </c>
      <c r="I7470" s="988"/>
      <c r="J7470" s="67">
        <f t="shared" ref="J7470:J7488" si="443">IF(B7470="SLD",D7470*E7470,-D7470*E7470)-H7470</f>
        <v>-27694.5</v>
      </c>
      <c r="L7470" s="70"/>
      <c r="M7470" s="934"/>
    </row>
    <row r="7471" ht="12.75" hidden="1" customHeight="1" outlineLevel="1">
      <c r="A7471" s="202">
        <v>42263.0</v>
      </c>
      <c r="B7471" s="985" t="s">
        <v>343</v>
      </c>
      <c r="C7471" s="94" t="s">
        <v>1890</v>
      </c>
      <c r="D7471" s="286">
        <v>1250.0</v>
      </c>
      <c r="E7471" s="94">
        <v>17.334</v>
      </c>
      <c r="F7471" s="986">
        <v>0.45457175925925924</v>
      </c>
      <c r="G7471" s="94" t="s">
        <v>453</v>
      </c>
      <c r="H7471" s="987">
        <v>5.55</v>
      </c>
      <c r="I7471" s="988"/>
      <c r="J7471" s="67">
        <f t="shared" si="443"/>
        <v>-21673.05</v>
      </c>
      <c r="L7471" s="70"/>
      <c r="M7471" s="934"/>
    </row>
    <row r="7472" ht="12.75" hidden="1" customHeight="1" outlineLevel="1">
      <c r="A7472" s="202">
        <v>42263.0</v>
      </c>
      <c r="B7472" s="985" t="s">
        <v>343</v>
      </c>
      <c r="C7472" s="94" t="s">
        <v>790</v>
      </c>
      <c r="D7472" s="286">
        <v>6000.0</v>
      </c>
      <c r="E7472" s="94">
        <v>4.81</v>
      </c>
      <c r="F7472" s="986">
        <v>0.4550925925925926</v>
      </c>
      <c r="G7472" s="94" t="s">
        <v>453</v>
      </c>
      <c r="H7472" s="987">
        <v>28.0</v>
      </c>
      <c r="I7472" s="988"/>
      <c r="J7472" s="67">
        <f t="shared" si="443"/>
        <v>-28888</v>
      </c>
      <c r="L7472" s="70"/>
      <c r="M7472" s="934"/>
    </row>
    <row r="7473" ht="12.75" hidden="1" customHeight="1" outlineLevel="1">
      <c r="A7473" s="202">
        <v>42263.0</v>
      </c>
      <c r="B7473" s="985" t="s">
        <v>343</v>
      </c>
      <c r="C7473" s="94" t="s">
        <v>2048</v>
      </c>
      <c r="D7473" s="286">
        <v>1500.0</v>
      </c>
      <c r="E7473" s="94">
        <v>7.499</v>
      </c>
      <c r="F7473" s="986">
        <v>0.45534722222222224</v>
      </c>
      <c r="G7473" s="94" t="s">
        <v>453</v>
      </c>
      <c r="H7473" s="987">
        <v>6.0</v>
      </c>
      <c r="I7473" s="988"/>
      <c r="J7473" s="67">
        <f t="shared" si="443"/>
        <v>-11254.5</v>
      </c>
      <c r="L7473" s="70"/>
      <c r="M7473" s="934"/>
    </row>
    <row r="7474" ht="12.75" hidden="1" customHeight="1" outlineLevel="1">
      <c r="A7474" s="202">
        <v>42263.0</v>
      </c>
      <c r="B7474" s="985" t="s">
        <v>343</v>
      </c>
      <c r="C7474" s="94" t="s">
        <v>1839</v>
      </c>
      <c r="D7474" s="286">
        <v>1250.0</v>
      </c>
      <c r="E7474" s="94">
        <v>8.24</v>
      </c>
      <c r="F7474" s="986">
        <v>0.45591435185185186</v>
      </c>
      <c r="G7474" s="94" t="s">
        <v>453</v>
      </c>
      <c r="H7474" s="987">
        <v>5.0</v>
      </c>
      <c r="I7474" s="988"/>
      <c r="J7474" s="67">
        <f t="shared" si="443"/>
        <v>-10305</v>
      </c>
      <c r="L7474" s="70"/>
      <c r="M7474" s="934"/>
    </row>
    <row r="7475" ht="12.75" hidden="1" customHeight="1" outlineLevel="1">
      <c r="A7475" s="202">
        <v>42263.0</v>
      </c>
      <c r="B7475" s="985" t="s">
        <v>343</v>
      </c>
      <c r="C7475" s="94" t="s">
        <v>2195</v>
      </c>
      <c r="D7475" s="286">
        <v>2000.0</v>
      </c>
      <c r="E7475" s="94">
        <v>15.249</v>
      </c>
      <c r="F7475" s="986">
        <v>0.45644675925925926</v>
      </c>
      <c r="G7475" s="94" t="s">
        <v>453</v>
      </c>
      <c r="H7475" s="987">
        <v>9.3</v>
      </c>
      <c r="I7475" s="988"/>
      <c r="J7475" s="67">
        <f t="shared" si="443"/>
        <v>-30507.3</v>
      </c>
      <c r="L7475" s="70"/>
      <c r="M7475" s="934"/>
    </row>
    <row r="7476" ht="12.75" hidden="1" customHeight="1" outlineLevel="1">
      <c r="A7476" s="202">
        <v>42263.0</v>
      </c>
      <c r="B7476" s="985" t="s">
        <v>343</v>
      </c>
      <c r="C7476" s="94" t="s">
        <v>1633</v>
      </c>
      <c r="D7476" s="286">
        <v>2000.0</v>
      </c>
      <c r="E7476" s="94">
        <v>13.51</v>
      </c>
      <c r="F7476" s="986">
        <v>0.4571527777777778</v>
      </c>
      <c r="G7476" s="94" t="s">
        <v>453</v>
      </c>
      <c r="H7476" s="987">
        <v>8.0</v>
      </c>
      <c r="I7476" s="988"/>
      <c r="J7476" s="67">
        <f t="shared" si="443"/>
        <v>-27028</v>
      </c>
      <c r="L7476" s="70"/>
      <c r="M7476" s="934"/>
    </row>
    <row r="7477" ht="12.75" hidden="1" customHeight="1" outlineLevel="1">
      <c r="A7477" s="202">
        <v>42263.0</v>
      </c>
      <c r="B7477" s="985" t="s">
        <v>343</v>
      </c>
      <c r="C7477" s="94" t="s">
        <v>1781</v>
      </c>
      <c r="D7477" s="286">
        <v>6000.0</v>
      </c>
      <c r="E7477" s="94">
        <v>6.59</v>
      </c>
      <c r="F7477" s="986">
        <v>0.4577662037037037</v>
      </c>
      <c r="G7477" s="94" t="s">
        <v>453</v>
      </c>
      <c r="H7477" s="987">
        <v>28.0</v>
      </c>
      <c r="I7477" s="988"/>
      <c r="J7477" s="67">
        <f t="shared" si="443"/>
        <v>-39568</v>
      </c>
      <c r="L7477" s="70"/>
      <c r="M7477" s="934"/>
    </row>
    <row r="7478" ht="12.75" hidden="1" customHeight="1" outlineLevel="1">
      <c r="A7478" s="202">
        <v>42263.0</v>
      </c>
      <c r="B7478" s="985" t="s">
        <v>343</v>
      </c>
      <c r="C7478" s="94" t="s">
        <v>1893</v>
      </c>
      <c r="D7478" s="286">
        <v>3500.0</v>
      </c>
      <c r="E7478" s="94">
        <v>11.649</v>
      </c>
      <c r="F7478" s="986">
        <v>0.45815972222222223</v>
      </c>
      <c r="G7478" s="94" t="s">
        <v>453</v>
      </c>
      <c r="H7478" s="987">
        <v>17.5</v>
      </c>
      <c r="I7478" s="988"/>
      <c r="J7478" s="67">
        <f t="shared" si="443"/>
        <v>-40789</v>
      </c>
      <c r="L7478" s="70"/>
      <c r="M7478" s="934"/>
    </row>
    <row r="7479" ht="12.75" hidden="1" customHeight="1" outlineLevel="1">
      <c r="A7479" s="202">
        <v>42263.0</v>
      </c>
      <c r="B7479" s="985" t="s">
        <v>343</v>
      </c>
      <c r="C7479" s="94" t="s">
        <v>2090</v>
      </c>
      <c r="D7479" s="286">
        <v>5000.0</v>
      </c>
      <c r="E7479" s="94">
        <v>6.602</v>
      </c>
      <c r="F7479" s="986">
        <v>0.45958333333333334</v>
      </c>
      <c r="G7479" s="94" t="s">
        <v>453</v>
      </c>
      <c r="H7479" s="987">
        <v>24.1</v>
      </c>
      <c r="I7479" s="988"/>
      <c r="J7479" s="67">
        <f t="shared" si="443"/>
        <v>-33034.1</v>
      </c>
      <c r="L7479" s="70"/>
      <c r="M7479" s="934"/>
    </row>
    <row r="7480" ht="12.75" hidden="1" customHeight="1" outlineLevel="1">
      <c r="A7480" s="202">
        <v>42263.0</v>
      </c>
      <c r="B7480" s="985" t="s">
        <v>343</v>
      </c>
      <c r="C7480" s="94" t="s">
        <v>2210</v>
      </c>
      <c r="D7480" s="94">
        <v>50.0</v>
      </c>
      <c r="E7480" s="94">
        <v>73.9199</v>
      </c>
      <c r="F7480" s="986">
        <v>0.46077546296296296</v>
      </c>
      <c r="G7480" s="94" t="s">
        <v>453</v>
      </c>
      <c r="H7480" s="987">
        <v>1.0</v>
      </c>
      <c r="I7480" s="988"/>
      <c r="J7480" s="67">
        <f t="shared" si="443"/>
        <v>-3696.995</v>
      </c>
      <c r="L7480" s="70"/>
      <c r="M7480" s="934"/>
    </row>
    <row r="7481" ht="12.75" hidden="1" customHeight="1" outlineLevel="1">
      <c r="A7481" s="202">
        <v>42263.0</v>
      </c>
      <c r="B7481" s="985" t="s">
        <v>343</v>
      </c>
      <c r="C7481" s="94" t="s">
        <v>784</v>
      </c>
      <c r="D7481" s="286">
        <v>16000.0</v>
      </c>
      <c r="E7481" s="94">
        <v>4.987</v>
      </c>
      <c r="F7481" s="986">
        <v>0.46108796296296295</v>
      </c>
      <c r="G7481" s="94" t="s">
        <v>453</v>
      </c>
      <c r="H7481" s="987">
        <v>64.0</v>
      </c>
      <c r="I7481" s="988"/>
      <c r="J7481" s="67">
        <f t="shared" si="443"/>
        <v>-79856</v>
      </c>
      <c r="L7481" s="70"/>
      <c r="M7481" s="934"/>
    </row>
    <row r="7482" ht="12.75" hidden="1" customHeight="1" outlineLevel="1">
      <c r="A7482" s="202">
        <v>42263.0</v>
      </c>
      <c r="B7482" s="985" t="s">
        <v>343</v>
      </c>
      <c r="C7482" s="94" t="s">
        <v>3024</v>
      </c>
      <c r="D7482" s="94">
        <v>500.0</v>
      </c>
      <c r="E7482" s="94">
        <v>18.49</v>
      </c>
      <c r="F7482" s="986">
        <v>0.4634375</v>
      </c>
      <c r="G7482" s="94" t="s">
        <v>453</v>
      </c>
      <c r="H7482" s="987">
        <v>2.2</v>
      </c>
      <c r="I7482" s="988"/>
      <c r="J7482" s="67">
        <f t="shared" si="443"/>
        <v>-9247.2</v>
      </c>
      <c r="L7482" s="70"/>
      <c r="M7482" s="934"/>
    </row>
    <row r="7483" ht="12.75" hidden="1" customHeight="1" outlineLevel="1">
      <c r="A7483" s="202">
        <v>42263.0</v>
      </c>
      <c r="B7483" s="985" t="s">
        <v>343</v>
      </c>
      <c r="C7483" s="94" t="s">
        <v>1947</v>
      </c>
      <c r="D7483" s="94">
        <v>300.0</v>
      </c>
      <c r="E7483" s="94">
        <v>55.379</v>
      </c>
      <c r="F7483" s="986">
        <v>0.46422453703703703</v>
      </c>
      <c r="G7483" s="94" t="s">
        <v>453</v>
      </c>
      <c r="H7483" s="987">
        <v>1.3</v>
      </c>
      <c r="I7483" s="988"/>
      <c r="J7483" s="67">
        <f t="shared" si="443"/>
        <v>-16615</v>
      </c>
      <c r="L7483" s="70"/>
      <c r="M7483" s="934"/>
    </row>
    <row r="7484" ht="12.75" hidden="1" customHeight="1" outlineLevel="1">
      <c r="A7484" s="202">
        <v>42263.0</v>
      </c>
      <c r="B7484" s="985" t="s">
        <v>343</v>
      </c>
      <c r="C7484" s="94" t="s">
        <v>2090</v>
      </c>
      <c r="D7484" s="286">
        <v>1000.0</v>
      </c>
      <c r="E7484" s="94">
        <v>6.6568</v>
      </c>
      <c r="F7484" s="986">
        <v>0.4644097222222222</v>
      </c>
      <c r="G7484" s="94" t="s">
        <v>453</v>
      </c>
      <c r="H7484" s="987">
        <v>4.0</v>
      </c>
      <c r="I7484" s="988"/>
      <c r="J7484" s="67">
        <f t="shared" si="443"/>
        <v>-6660.8</v>
      </c>
      <c r="L7484" s="70"/>
      <c r="M7484" s="934"/>
    </row>
    <row r="7485" ht="12.75" hidden="1" customHeight="1" outlineLevel="1">
      <c r="A7485" s="202">
        <v>42263.0</v>
      </c>
      <c r="B7485" s="985" t="s">
        <v>347</v>
      </c>
      <c r="C7485" s="94" t="s">
        <v>1249</v>
      </c>
      <c r="D7485" s="94">
        <v>100.0</v>
      </c>
      <c r="E7485" s="94">
        <v>105.35</v>
      </c>
      <c r="F7485" s="986">
        <v>0.4655324074074074</v>
      </c>
      <c r="G7485" s="94" t="s">
        <v>453</v>
      </c>
      <c r="H7485" s="987">
        <v>1.19</v>
      </c>
      <c r="I7485" s="988"/>
      <c r="J7485" s="67">
        <f t="shared" si="443"/>
        <v>10533.81</v>
      </c>
      <c r="L7485" s="70"/>
      <c r="M7485" s="934"/>
    </row>
    <row r="7486" ht="12.75" hidden="1" customHeight="1" outlineLevel="1">
      <c r="A7486" s="202">
        <v>42263.0</v>
      </c>
      <c r="B7486" s="985" t="s">
        <v>343</v>
      </c>
      <c r="C7486" s="94" t="s">
        <v>1633</v>
      </c>
      <c r="D7486" s="94">
        <v>500.0</v>
      </c>
      <c r="E7486" s="94">
        <v>13.599</v>
      </c>
      <c r="F7486" s="986">
        <v>0.4708333333333333</v>
      </c>
      <c r="G7486" s="94" t="s">
        <v>453</v>
      </c>
      <c r="H7486" s="987">
        <v>2.0</v>
      </c>
      <c r="I7486" s="988"/>
      <c r="J7486" s="67">
        <f t="shared" si="443"/>
        <v>-6801.5</v>
      </c>
      <c r="L7486" s="70"/>
      <c r="M7486" s="934"/>
    </row>
    <row r="7487" ht="12.75" hidden="1" customHeight="1" outlineLevel="1">
      <c r="A7487" s="202">
        <v>42263.0</v>
      </c>
      <c r="B7487" s="985" t="s">
        <v>347</v>
      </c>
      <c r="C7487" s="94" t="s">
        <v>2342</v>
      </c>
      <c r="D7487" s="94">
        <v>100.0</v>
      </c>
      <c r="E7487" s="94">
        <v>48.891</v>
      </c>
      <c r="F7487" s="986">
        <v>0.4840277777777778</v>
      </c>
      <c r="G7487" s="94" t="s">
        <v>453</v>
      </c>
      <c r="H7487" s="987">
        <v>1.09</v>
      </c>
      <c r="I7487" s="988"/>
      <c r="J7487" s="67">
        <f t="shared" si="443"/>
        <v>4888.01</v>
      </c>
      <c r="L7487" s="70"/>
      <c r="M7487" s="934"/>
    </row>
    <row r="7488" ht="12.75" hidden="1" customHeight="1" outlineLevel="1">
      <c r="A7488" s="202">
        <v>42263.0</v>
      </c>
      <c r="B7488" s="985" t="s">
        <v>343</v>
      </c>
      <c r="C7488" s="94" t="s">
        <v>790</v>
      </c>
      <c r="D7488" s="286">
        <v>1000.0</v>
      </c>
      <c r="E7488" s="94">
        <v>4.959</v>
      </c>
      <c r="F7488" s="986">
        <v>0.6481365740740741</v>
      </c>
      <c r="G7488" s="94" t="s">
        <v>453</v>
      </c>
      <c r="H7488" s="987">
        <v>4.0</v>
      </c>
      <c r="I7488" s="988"/>
      <c r="J7488" s="67">
        <f t="shared" si="443"/>
        <v>-4963</v>
      </c>
      <c r="L7488" s="70"/>
      <c r="M7488" s="934"/>
    </row>
    <row r="7489" ht="12.75" hidden="1" customHeight="1" outlineLevel="1">
      <c r="A7489" s="122">
        <v>42263.0</v>
      </c>
      <c r="B7489" s="974"/>
      <c r="C7489" s="32" t="s">
        <v>339</v>
      </c>
      <c r="D7489" s="708"/>
      <c r="E7489" s="195"/>
      <c r="F7489" s="709"/>
      <c r="G7489" s="195"/>
      <c r="H7489" s="710"/>
      <c r="I7489" s="256"/>
      <c r="J7489" s="67"/>
      <c r="K7489" s="968" t="s">
        <v>3137</v>
      </c>
      <c r="L7489" s="934"/>
      <c r="M7489" s="934"/>
    </row>
    <row r="7490" ht="12.75" hidden="1" customHeight="1" outlineLevel="1">
      <c r="A7490" s="122">
        <v>42263.0</v>
      </c>
      <c r="B7490" s="974"/>
      <c r="C7490" s="32" t="s">
        <v>429</v>
      </c>
      <c r="D7490" s="708"/>
      <c r="E7490" s="195"/>
      <c r="F7490" s="709"/>
      <c r="G7490" s="195"/>
      <c r="H7490" s="710"/>
      <c r="I7490" s="256"/>
      <c r="J7490" s="67"/>
      <c r="K7490" s="9" t="s">
        <v>3049</v>
      </c>
      <c r="L7490" s="934"/>
      <c r="M7490" s="934"/>
    </row>
    <row r="7491" ht="12.75" hidden="1" customHeight="1" outlineLevel="1">
      <c r="A7491" s="122">
        <v>42263.0</v>
      </c>
      <c r="B7491" s="974"/>
      <c r="C7491" s="32" t="s">
        <v>431</v>
      </c>
      <c r="D7491" s="708"/>
      <c r="E7491" s="195"/>
      <c r="F7491" s="709"/>
      <c r="G7491" s="195"/>
      <c r="H7491" s="710"/>
      <c r="I7491" s="256"/>
      <c r="J7491" s="67"/>
      <c r="K7491" s="7" t="s">
        <v>1126</v>
      </c>
      <c r="L7491" s="934"/>
      <c r="M7491" s="934"/>
    </row>
    <row r="7492" ht="12.75" hidden="1" customHeight="1" outlineLevel="1">
      <c r="A7492" s="122">
        <v>42263.0</v>
      </c>
      <c r="B7492" s="974"/>
      <c r="C7492" s="32" t="s">
        <v>433</v>
      </c>
      <c r="D7492" s="708"/>
      <c r="E7492" s="195"/>
      <c r="F7492" s="709"/>
      <c r="G7492" s="195"/>
      <c r="H7492" s="710"/>
      <c r="I7492" s="256"/>
      <c r="J7492" s="67"/>
      <c r="K7492" s="7" t="s">
        <v>1103</v>
      </c>
      <c r="L7492" s="934"/>
      <c r="M7492" s="934"/>
    </row>
    <row r="7493" ht="12.75" hidden="1" customHeight="1" outlineLevel="1">
      <c r="A7493" s="122">
        <v>42263.0</v>
      </c>
      <c r="B7493" s="974"/>
      <c r="C7493" s="32" t="s">
        <v>435</v>
      </c>
      <c r="D7493" s="708"/>
      <c r="E7493" s="195"/>
      <c r="F7493" s="709"/>
      <c r="G7493" s="195"/>
      <c r="H7493" s="710"/>
      <c r="I7493" s="256"/>
      <c r="J7493" s="67"/>
      <c r="K7493" s="9" t="s">
        <v>3134</v>
      </c>
      <c r="L7493" s="934"/>
      <c r="M7493" s="934"/>
    </row>
    <row r="7494" ht="12.75" hidden="1" customHeight="1" outlineLevel="1">
      <c r="A7494" s="202">
        <v>42264.0</v>
      </c>
      <c r="B7494" s="985" t="s">
        <v>347</v>
      </c>
      <c r="C7494" s="94" t="s">
        <v>1947</v>
      </c>
      <c r="D7494" s="94">
        <v>50.0</v>
      </c>
      <c r="E7494" s="94">
        <v>53.85</v>
      </c>
      <c r="F7494" s="986">
        <v>0.6634027777777778</v>
      </c>
      <c r="G7494" s="94" t="s">
        <v>453</v>
      </c>
      <c r="H7494" s="987">
        <v>1.05</v>
      </c>
      <c r="I7494" s="988" t="s">
        <v>3145</v>
      </c>
      <c r="J7494" s="67">
        <f t="shared" ref="J7494:J7498" si="444">IF(B7494="SLD",D7494*E7494,-D7494*E7494)-H7494</f>
        <v>2691.45</v>
      </c>
      <c r="L7494" s="70"/>
      <c r="M7494" s="934"/>
    </row>
    <row r="7495" ht="12.75" hidden="1" customHeight="1" outlineLevel="1">
      <c r="A7495" s="202">
        <v>42264.0</v>
      </c>
      <c r="B7495" s="985" t="s">
        <v>343</v>
      </c>
      <c r="C7495" s="94" t="s">
        <v>2585</v>
      </c>
      <c r="D7495" s="94">
        <v>400.0</v>
      </c>
      <c r="E7495" s="94">
        <v>12.002</v>
      </c>
      <c r="F7495" s="986">
        <v>0.6264120370370371</v>
      </c>
      <c r="G7495" s="94" t="s">
        <v>453</v>
      </c>
      <c r="H7495" s="987">
        <v>1.8</v>
      </c>
      <c r="I7495" s="988" t="s">
        <v>3145</v>
      </c>
      <c r="J7495" s="67">
        <f t="shared" si="444"/>
        <v>-4802.6</v>
      </c>
      <c r="L7495" s="70"/>
      <c r="M7495" s="934"/>
    </row>
    <row r="7496" ht="12.75" hidden="1" customHeight="1" outlineLevel="1">
      <c r="A7496" s="202">
        <v>42264.0</v>
      </c>
      <c r="B7496" s="985" t="s">
        <v>343</v>
      </c>
      <c r="C7496" s="94" t="s">
        <v>344</v>
      </c>
      <c r="D7496" s="94">
        <v>200.0</v>
      </c>
      <c r="E7496" s="94">
        <v>59.359</v>
      </c>
      <c r="F7496" s="986">
        <v>0.6262268518518519</v>
      </c>
      <c r="G7496" s="94" t="s">
        <v>453</v>
      </c>
      <c r="H7496" s="987">
        <v>1.0</v>
      </c>
      <c r="I7496" s="988" t="s">
        <v>3145</v>
      </c>
      <c r="J7496" s="67">
        <f t="shared" si="444"/>
        <v>-11872.8</v>
      </c>
      <c r="L7496" s="70"/>
      <c r="M7496" s="934"/>
    </row>
    <row r="7497" ht="12.75" hidden="1" customHeight="1" outlineLevel="1">
      <c r="A7497" s="202">
        <v>42264.0</v>
      </c>
      <c r="B7497" s="985" t="s">
        <v>347</v>
      </c>
      <c r="C7497" s="94" t="s">
        <v>3024</v>
      </c>
      <c r="D7497" s="94">
        <v>500.0</v>
      </c>
      <c r="E7497" s="94">
        <v>18.154</v>
      </c>
      <c r="F7497" s="986">
        <v>0.4138310185185185</v>
      </c>
      <c r="G7497" s="94" t="s">
        <v>453</v>
      </c>
      <c r="H7497" s="987">
        <v>2.57</v>
      </c>
      <c r="I7497" s="988" t="s">
        <v>3145</v>
      </c>
      <c r="J7497" s="67">
        <f t="shared" si="444"/>
        <v>9074.43</v>
      </c>
      <c r="L7497" s="70"/>
      <c r="M7497" s="934"/>
    </row>
    <row r="7498" ht="12.75" hidden="1" customHeight="1" outlineLevel="1">
      <c r="A7498" s="202">
        <v>42264.0</v>
      </c>
      <c r="B7498" s="985" t="s">
        <v>347</v>
      </c>
      <c r="C7498" s="94" t="s">
        <v>1947</v>
      </c>
      <c r="D7498" s="94">
        <v>50.0</v>
      </c>
      <c r="E7498" s="94">
        <v>55.09</v>
      </c>
      <c r="F7498" s="986">
        <v>0.41355324074074074</v>
      </c>
      <c r="G7498" s="94" t="s">
        <v>453</v>
      </c>
      <c r="H7498" s="987">
        <v>1.05</v>
      </c>
      <c r="I7498" s="988" t="s">
        <v>3145</v>
      </c>
      <c r="J7498" s="67">
        <f t="shared" si="444"/>
        <v>2753.45</v>
      </c>
      <c r="L7498" s="70"/>
      <c r="M7498" s="934"/>
    </row>
    <row r="7499" ht="12.75" hidden="1" customHeight="1" outlineLevel="1">
      <c r="A7499" s="122">
        <v>42263.0</v>
      </c>
      <c r="B7499" s="974"/>
      <c r="C7499" s="32" t="s">
        <v>339</v>
      </c>
      <c r="D7499" s="708"/>
      <c r="E7499" s="195"/>
      <c r="F7499" s="709"/>
      <c r="G7499" s="195"/>
      <c r="H7499" s="710"/>
      <c r="I7499" s="256"/>
      <c r="J7499" s="67"/>
      <c r="K7499" s="968" t="s">
        <v>3149</v>
      </c>
      <c r="L7499" s="934"/>
      <c r="M7499" s="934"/>
    </row>
    <row r="7500" ht="12.75" hidden="1" customHeight="1" outlineLevel="1">
      <c r="A7500" s="122">
        <v>42263.0</v>
      </c>
      <c r="B7500" s="974"/>
      <c r="C7500" s="32" t="s">
        <v>429</v>
      </c>
      <c r="D7500" s="708"/>
      <c r="E7500" s="195"/>
      <c r="F7500" s="709"/>
      <c r="G7500" s="195"/>
      <c r="H7500" s="710"/>
      <c r="I7500" s="256"/>
      <c r="J7500" s="67"/>
      <c r="K7500" s="9" t="s">
        <v>3049</v>
      </c>
      <c r="L7500" s="934"/>
      <c r="M7500" s="934"/>
    </row>
    <row r="7501" ht="12.75" hidden="1" customHeight="1" outlineLevel="1">
      <c r="A7501" s="122">
        <v>42263.0</v>
      </c>
      <c r="B7501" s="974"/>
      <c r="C7501" s="32" t="s">
        <v>431</v>
      </c>
      <c r="D7501" s="708"/>
      <c r="E7501" s="195"/>
      <c r="F7501" s="709"/>
      <c r="G7501" s="195"/>
      <c r="H7501" s="710"/>
      <c r="I7501" s="256"/>
      <c r="J7501" s="67"/>
      <c r="K7501" s="7" t="s">
        <v>1126</v>
      </c>
      <c r="L7501" s="934"/>
      <c r="M7501" s="934"/>
    </row>
    <row r="7502" ht="12.75" hidden="1" customHeight="1" outlineLevel="1">
      <c r="A7502" s="122">
        <v>42263.0</v>
      </c>
      <c r="B7502" s="974"/>
      <c r="C7502" s="32" t="s">
        <v>433</v>
      </c>
      <c r="D7502" s="708"/>
      <c r="E7502" s="195"/>
      <c r="F7502" s="709"/>
      <c r="G7502" s="195"/>
      <c r="H7502" s="710"/>
      <c r="I7502" s="256"/>
      <c r="J7502" s="67"/>
      <c r="K7502" s="7" t="s">
        <v>1103</v>
      </c>
      <c r="L7502" s="934"/>
      <c r="M7502" s="934"/>
    </row>
    <row r="7503" ht="12.75" hidden="1" customHeight="1" outlineLevel="1">
      <c r="A7503" s="122">
        <v>42263.0</v>
      </c>
      <c r="B7503" s="974"/>
      <c r="C7503" s="32" t="s">
        <v>435</v>
      </c>
      <c r="D7503" s="708"/>
      <c r="E7503" s="195"/>
      <c r="F7503" s="709"/>
      <c r="G7503" s="195"/>
      <c r="H7503" s="710"/>
      <c r="I7503" s="256"/>
      <c r="J7503" s="67"/>
      <c r="K7503" s="9" t="s">
        <v>3134</v>
      </c>
      <c r="L7503" s="934"/>
      <c r="M7503" s="934"/>
    </row>
    <row r="7504" ht="12.75" hidden="1" customHeight="1" outlineLevel="1">
      <c r="A7504" s="202">
        <v>42265.0</v>
      </c>
      <c r="B7504" s="985" t="s">
        <v>343</v>
      </c>
      <c r="C7504" s="94" t="s">
        <v>1060</v>
      </c>
      <c r="D7504" s="94">
        <v>200.0</v>
      </c>
      <c r="E7504" s="94">
        <v>40.78</v>
      </c>
      <c r="F7504" s="986">
        <v>0.43730324074074073</v>
      </c>
      <c r="G7504" s="94" t="s">
        <v>453</v>
      </c>
      <c r="H7504" s="987">
        <v>1.0</v>
      </c>
      <c r="I7504" s="988" t="s">
        <v>3145</v>
      </c>
      <c r="J7504" s="67">
        <f>IF(B7504="SLD",D7504*E7504,-D7504*E7504)-H7504</f>
        <v>-8157</v>
      </c>
      <c r="L7504" s="70"/>
      <c r="M7504" s="934"/>
    </row>
    <row r="7505" ht="12.75" hidden="1" customHeight="1" outlineLevel="1">
      <c r="A7505" s="122">
        <v>42265.0</v>
      </c>
      <c r="B7505" s="974"/>
      <c r="C7505" s="32" t="s">
        <v>339</v>
      </c>
      <c r="D7505" s="708"/>
      <c r="E7505" s="195"/>
      <c r="F7505" s="709"/>
      <c r="G7505" s="195"/>
      <c r="H7505" s="710"/>
      <c r="I7505" s="256"/>
      <c r="J7505" s="67"/>
      <c r="K7505" s="968" t="s">
        <v>3151</v>
      </c>
      <c r="L7505" s="934"/>
      <c r="M7505" s="934"/>
    </row>
    <row r="7506" ht="12.75" hidden="1" customHeight="1" outlineLevel="1">
      <c r="A7506" s="122">
        <v>42265.0</v>
      </c>
      <c r="B7506" s="974"/>
      <c r="C7506" s="32" t="s">
        <v>429</v>
      </c>
      <c r="D7506" s="708"/>
      <c r="E7506" s="195"/>
      <c r="F7506" s="709"/>
      <c r="G7506" s="195"/>
      <c r="H7506" s="710"/>
      <c r="I7506" s="256"/>
      <c r="J7506" s="67"/>
      <c r="K7506" s="9" t="s">
        <v>3049</v>
      </c>
      <c r="L7506" s="934"/>
      <c r="M7506" s="934"/>
    </row>
    <row r="7507" ht="12.75" hidden="1" customHeight="1" outlineLevel="1">
      <c r="A7507" s="122">
        <v>42265.0</v>
      </c>
      <c r="B7507" s="974"/>
      <c r="C7507" s="32" t="s">
        <v>431</v>
      </c>
      <c r="D7507" s="708"/>
      <c r="E7507" s="195"/>
      <c r="F7507" s="709"/>
      <c r="G7507" s="195"/>
      <c r="H7507" s="710"/>
      <c r="I7507" s="256"/>
      <c r="J7507" s="67"/>
      <c r="K7507" s="7" t="s">
        <v>1126</v>
      </c>
      <c r="L7507" s="934"/>
      <c r="M7507" s="934"/>
    </row>
    <row r="7508" ht="12.75" hidden="1" customHeight="1" outlineLevel="1">
      <c r="A7508" s="122">
        <v>42265.0</v>
      </c>
      <c r="B7508" s="974"/>
      <c r="C7508" s="32" t="s">
        <v>433</v>
      </c>
      <c r="D7508" s="708"/>
      <c r="E7508" s="195"/>
      <c r="F7508" s="709"/>
      <c r="G7508" s="195"/>
      <c r="H7508" s="710"/>
      <c r="I7508" s="256"/>
      <c r="J7508" s="67"/>
      <c r="K7508" s="7" t="s">
        <v>1103</v>
      </c>
      <c r="L7508" s="934"/>
      <c r="M7508" s="934"/>
    </row>
    <row r="7509" ht="12.75" hidden="1" customHeight="1" outlineLevel="1">
      <c r="A7509" s="122">
        <v>42265.0</v>
      </c>
      <c r="B7509" s="974"/>
      <c r="C7509" s="32" t="s">
        <v>435</v>
      </c>
      <c r="D7509" s="708"/>
      <c r="E7509" s="195"/>
      <c r="F7509" s="709"/>
      <c r="G7509" s="195"/>
      <c r="H7509" s="710"/>
      <c r="I7509" s="256"/>
      <c r="J7509" s="67"/>
      <c r="K7509" s="9" t="s">
        <v>3134</v>
      </c>
      <c r="L7509" s="934"/>
      <c r="M7509" s="934"/>
    </row>
    <row r="7510" ht="12.75" hidden="1" customHeight="1" outlineLevel="1">
      <c r="A7510" s="202">
        <v>42268.0</v>
      </c>
      <c r="B7510" s="985" t="s">
        <v>347</v>
      </c>
      <c r="C7510" s="94" t="s">
        <v>1947</v>
      </c>
      <c r="D7510" s="94">
        <v>100.0</v>
      </c>
      <c r="E7510" s="94">
        <v>52.29</v>
      </c>
      <c r="F7510" s="986">
        <v>0.6563194444444445</v>
      </c>
      <c r="G7510" s="94" t="s">
        <v>453</v>
      </c>
      <c r="H7510" s="987">
        <v>1.1</v>
      </c>
      <c r="I7510" s="988" t="s">
        <v>3145</v>
      </c>
      <c r="J7510" s="67">
        <f t="shared" ref="J7510:J7535" si="445">IF(B7510="SLD",D7510*E7510,-D7510*E7510)-H7510</f>
        <v>5227.9</v>
      </c>
      <c r="L7510" s="70"/>
      <c r="M7510" s="934"/>
    </row>
    <row r="7511" ht="12.75" hidden="1" customHeight="1" outlineLevel="1">
      <c r="A7511" s="202">
        <v>42269.0</v>
      </c>
      <c r="B7511" s="985" t="s">
        <v>347</v>
      </c>
      <c r="C7511" s="94" t="s">
        <v>1890</v>
      </c>
      <c r="D7511" s="94">
        <v>500.0</v>
      </c>
      <c r="E7511" s="94">
        <v>15.22</v>
      </c>
      <c r="F7511" s="986">
        <v>0.4516203703703704</v>
      </c>
      <c r="G7511" s="94" t="s">
        <v>453</v>
      </c>
      <c r="H7511" s="987">
        <v>2.14</v>
      </c>
      <c r="I7511" s="988" t="s">
        <v>3145</v>
      </c>
      <c r="J7511" s="67">
        <f t="shared" si="445"/>
        <v>7607.86</v>
      </c>
      <c r="L7511" s="70"/>
      <c r="M7511" s="934"/>
    </row>
    <row r="7512" ht="12.75" hidden="1" customHeight="1" outlineLevel="1">
      <c r="A7512" s="202">
        <v>42269.0</v>
      </c>
      <c r="B7512" s="985" t="s">
        <v>347</v>
      </c>
      <c r="C7512" s="94" t="s">
        <v>1947</v>
      </c>
      <c r="D7512" s="94">
        <v>100.0</v>
      </c>
      <c r="E7512" s="94">
        <v>51.3</v>
      </c>
      <c r="F7512" s="986">
        <v>0.45131944444444444</v>
      </c>
      <c r="G7512" s="94" t="s">
        <v>453</v>
      </c>
      <c r="H7512" s="987">
        <v>1.09</v>
      </c>
      <c r="I7512" s="988" t="s">
        <v>3145</v>
      </c>
      <c r="J7512" s="67">
        <f t="shared" si="445"/>
        <v>5128.91</v>
      </c>
      <c r="L7512" s="70"/>
      <c r="M7512" s="934"/>
    </row>
    <row r="7513" ht="12.75" hidden="1" customHeight="1" outlineLevel="1">
      <c r="A7513" s="202">
        <v>42269.0</v>
      </c>
      <c r="B7513" s="985" t="s">
        <v>347</v>
      </c>
      <c r="C7513" s="94" t="s">
        <v>2048</v>
      </c>
      <c r="D7513" s="286">
        <v>1000.0</v>
      </c>
      <c r="E7513" s="94">
        <v>6.884</v>
      </c>
      <c r="F7513" s="986">
        <v>0.45092592592592595</v>
      </c>
      <c r="G7513" s="94" t="s">
        <v>453</v>
      </c>
      <c r="H7513" s="987">
        <v>4.83</v>
      </c>
      <c r="I7513" s="988" t="s">
        <v>3145</v>
      </c>
      <c r="J7513" s="67">
        <f t="shared" si="445"/>
        <v>6879.17</v>
      </c>
      <c r="L7513" s="70"/>
      <c r="M7513" s="934"/>
    </row>
    <row r="7514" ht="12.75" hidden="1" customHeight="1" outlineLevel="1">
      <c r="A7514" s="202">
        <v>42269.0</v>
      </c>
      <c r="B7514" s="985" t="s">
        <v>347</v>
      </c>
      <c r="C7514" s="94" t="s">
        <v>790</v>
      </c>
      <c r="D7514" s="286">
        <v>1000.0</v>
      </c>
      <c r="E7514" s="94">
        <v>4.07</v>
      </c>
      <c r="F7514" s="986">
        <v>0.44950231481481484</v>
      </c>
      <c r="G7514" s="94" t="s">
        <v>453</v>
      </c>
      <c r="H7514" s="987">
        <v>4.97</v>
      </c>
      <c r="I7514" s="988" t="s">
        <v>3145</v>
      </c>
      <c r="J7514" s="67">
        <f t="shared" si="445"/>
        <v>4065.03</v>
      </c>
      <c r="L7514" s="70"/>
      <c r="M7514" s="934"/>
    </row>
    <row r="7515" ht="12.75" hidden="1" customHeight="1" outlineLevel="1">
      <c r="A7515" s="202">
        <v>42269.0</v>
      </c>
      <c r="B7515" s="985" t="s">
        <v>347</v>
      </c>
      <c r="C7515" s="94" t="s">
        <v>1781</v>
      </c>
      <c r="D7515" s="286">
        <v>1000.0</v>
      </c>
      <c r="E7515" s="94">
        <v>6.261</v>
      </c>
      <c r="F7515" s="986">
        <v>0.44842592592592595</v>
      </c>
      <c r="G7515" s="94" t="s">
        <v>453</v>
      </c>
      <c r="H7515" s="987">
        <v>4.12</v>
      </c>
      <c r="I7515" s="988" t="s">
        <v>3145</v>
      </c>
      <c r="J7515" s="67">
        <f t="shared" si="445"/>
        <v>6256.88</v>
      </c>
      <c r="L7515" s="70"/>
      <c r="M7515" s="934"/>
    </row>
    <row r="7516" ht="12.75" hidden="1" customHeight="1" outlineLevel="1">
      <c r="A7516" s="202">
        <v>42269.0</v>
      </c>
      <c r="B7516" s="985" t="s">
        <v>347</v>
      </c>
      <c r="C7516" s="94" t="s">
        <v>2048</v>
      </c>
      <c r="D7516" s="286">
        <v>1000.0</v>
      </c>
      <c r="E7516" s="94">
        <v>6.8932</v>
      </c>
      <c r="F7516" s="986">
        <v>0.4478009259259259</v>
      </c>
      <c r="G7516" s="94" t="s">
        <v>453</v>
      </c>
      <c r="H7516" s="987">
        <v>4.13</v>
      </c>
      <c r="I7516" s="988" t="s">
        <v>3145</v>
      </c>
      <c r="J7516" s="67">
        <f t="shared" si="445"/>
        <v>6889.07</v>
      </c>
      <c r="L7516" s="70"/>
      <c r="M7516" s="934"/>
    </row>
    <row r="7517" ht="12.75" hidden="1" customHeight="1" outlineLevel="1">
      <c r="A7517" s="202">
        <v>42269.0</v>
      </c>
      <c r="B7517" s="985" t="s">
        <v>347</v>
      </c>
      <c r="C7517" s="94" t="s">
        <v>784</v>
      </c>
      <c r="D7517" s="286">
        <v>1500.0</v>
      </c>
      <c r="E7517" s="94">
        <v>4.74</v>
      </c>
      <c r="F7517" s="986">
        <v>0.44180555555555556</v>
      </c>
      <c r="G7517" s="94" t="s">
        <v>453</v>
      </c>
      <c r="H7517" s="987">
        <v>7.63</v>
      </c>
      <c r="I7517" s="988" t="s">
        <v>3145</v>
      </c>
      <c r="J7517" s="67">
        <f t="shared" si="445"/>
        <v>7102.37</v>
      </c>
      <c r="L7517" s="70"/>
      <c r="M7517" s="934"/>
    </row>
    <row r="7518" ht="12.75" hidden="1" customHeight="1" outlineLevel="1">
      <c r="A7518" s="202">
        <v>42269.0</v>
      </c>
      <c r="B7518" s="985" t="s">
        <v>347</v>
      </c>
      <c r="C7518" s="94" t="s">
        <v>784</v>
      </c>
      <c r="D7518" s="286">
        <v>1500.0</v>
      </c>
      <c r="E7518" s="94">
        <v>4.8033</v>
      </c>
      <c r="F7518" s="986">
        <v>0.41506944444444444</v>
      </c>
      <c r="G7518" s="94" t="s">
        <v>453</v>
      </c>
      <c r="H7518" s="987">
        <v>6.13</v>
      </c>
      <c r="I7518" s="988" t="s">
        <v>3145</v>
      </c>
      <c r="J7518" s="67">
        <f t="shared" si="445"/>
        <v>7198.82</v>
      </c>
      <c r="L7518" s="70"/>
      <c r="M7518" s="934"/>
    </row>
    <row r="7519" ht="12.75" hidden="1" customHeight="1" outlineLevel="1">
      <c r="A7519" s="202">
        <v>42269.0</v>
      </c>
      <c r="B7519" s="985" t="s">
        <v>347</v>
      </c>
      <c r="C7519" s="94" t="s">
        <v>1839</v>
      </c>
      <c r="D7519" s="94">
        <v>750.0</v>
      </c>
      <c r="E7519" s="94">
        <v>8.311</v>
      </c>
      <c r="F7519" s="986">
        <v>0.4138541666666667</v>
      </c>
      <c r="G7519" s="94" t="s">
        <v>453</v>
      </c>
      <c r="H7519" s="987">
        <v>3.11</v>
      </c>
      <c r="I7519" s="988" t="s">
        <v>3145</v>
      </c>
      <c r="J7519" s="67">
        <f t="shared" si="445"/>
        <v>6230.14</v>
      </c>
      <c r="L7519" s="70"/>
      <c r="M7519" s="934"/>
    </row>
    <row r="7520" ht="12.75" hidden="1" customHeight="1" outlineLevel="1">
      <c r="A7520" s="202">
        <v>42269.0</v>
      </c>
      <c r="B7520" s="985" t="s">
        <v>347</v>
      </c>
      <c r="C7520" s="94" t="s">
        <v>2195</v>
      </c>
      <c r="D7520" s="94">
        <v>500.0</v>
      </c>
      <c r="E7520" s="94">
        <v>14.951</v>
      </c>
      <c r="F7520" s="986">
        <v>0.41346064814814815</v>
      </c>
      <c r="G7520" s="94" t="s">
        <v>453</v>
      </c>
      <c r="H7520" s="987">
        <v>2.44</v>
      </c>
      <c r="I7520" s="988" t="s">
        <v>3145</v>
      </c>
      <c r="J7520" s="67">
        <f t="shared" si="445"/>
        <v>7473.06</v>
      </c>
      <c r="L7520" s="70"/>
      <c r="M7520" s="934"/>
    </row>
    <row r="7521" ht="12.75" hidden="1" customHeight="1" outlineLevel="1">
      <c r="A7521" s="202">
        <v>42269.0</v>
      </c>
      <c r="B7521" s="985" t="s">
        <v>347</v>
      </c>
      <c r="C7521" s="94" t="s">
        <v>1633</v>
      </c>
      <c r="D7521" s="94">
        <v>500.0</v>
      </c>
      <c r="E7521" s="94">
        <v>12.571</v>
      </c>
      <c r="F7521" s="986">
        <v>0.4131712962962963</v>
      </c>
      <c r="G7521" s="94" t="s">
        <v>453</v>
      </c>
      <c r="H7521" s="987">
        <v>2.22</v>
      </c>
      <c r="I7521" s="988" t="s">
        <v>3145</v>
      </c>
      <c r="J7521" s="67">
        <f t="shared" si="445"/>
        <v>6283.28</v>
      </c>
      <c r="L7521" s="70"/>
      <c r="M7521" s="934"/>
    </row>
    <row r="7522" ht="12.75" hidden="1" customHeight="1" outlineLevel="1">
      <c r="A7522" s="202">
        <v>42269.0</v>
      </c>
      <c r="B7522" s="985" t="s">
        <v>347</v>
      </c>
      <c r="C7522" s="94" t="s">
        <v>790</v>
      </c>
      <c r="D7522" s="286">
        <v>1000.0</v>
      </c>
      <c r="E7522" s="94">
        <v>4.121</v>
      </c>
      <c r="F7522" s="986">
        <v>0.41172453703703704</v>
      </c>
      <c r="G7522" s="94" t="s">
        <v>453</v>
      </c>
      <c r="H7522" s="987">
        <v>4.08</v>
      </c>
      <c r="I7522" s="988" t="s">
        <v>3145</v>
      </c>
      <c r="J7522" s="67">
        <f t="shared" si="445"/>
        <v>4116.92</v>
      </c>
      <c r="L7522" s="70"/>
      <c r="M7522" s="934"/>
    </row>
    <row r="7523" ht="12.75" hidden="1" customHeight="1" outlineLevel="1">
      <c r="A7523" s="202">
        <v>42269.0</v>
      </c>
      <c r="B7523" s="985" t="s">
        <v>347</v>
      </c>
      <c r="C7523" s="94" t="s">
        <v>1890</v>
      </c>
      <c r="D7523" s="94">
        <v>500.0</v>
      </c>
      <c r="E7523" s="94">
        <v>15.284</v>
      </c>
      <c r="F7523" s="986">
        <v>0.4114467592592593</v>
      </c>
      <c r="G7523" s="94" t="s">
        <v>453</v>
      </c>
      <c r="H7523" s="987">
        <v>2.54</v>
      </c>
      <c r="I7523" s="988" t="s">
        <v>3145</v>
      </c>
      <c r="J7523" s="67">
        <f t="shared" si="445"/>
        <v>7639.46</v>
      </c>
      <c r="L7523" s="70"/>
      <c r="M7523" s="934"/>
    </row>
    <row r="7524" ht="12.75" hidden="1" customHeight="1" outlineLevel="1">
      <c r="A7524" s="202">
        <v>42269.0</v>
      </c>
      <c r="B7524" s="985" t="s">
        <v>347</v>
      </c>
      <c r="C7524" s="94" t="s">
        <v>2090</v>
      </c>
      <c r="D7524" s="286">
        <v>2000.0</v>
      </c>
      <c r="E7524" s="94">
        <v>5.371</v>
      </c>
      <c r="F7524" s="986">
        <v>0.40872685185185187</v>
      </c>
      <c r="G7524" s="94" t="s">
        <v>453</v>
      </c>
      <c r="H7524" s="987">
        <v>8.2</v>
      </c>
      <c r="I7524" s="988" t="s">
        <v>3145</v>
      </c>
      <c r="J7524" s="67">
        <f t="shared" si="445"/>
        <v>10733.8</v>
      </c>
      <c r="L7524" s="70"/>
      <c r="M7524" s="934"/>
    </row>
    <row r="7525" ht="12.75" hidden="1" customHeight="1" outlineLevel="1">
      <c r="A7525" s="202">
        <v>42269.0</v>
      </c>
      <c r="B7525" s="985" t="s">
        <v>347</v>
      </c>
      <c r="C7525" s="94" t="s">
        <v>1839</v>
      </c>
      <c r="D7525" s="286">
        <v>1000.0</v>
      </c>
      <c r="E7525" s="94">
        <v>8.371</v>
      </c>
      <c r="F7525" s="986">
        <v>0.4031018518518519</v>
      </c>
      <c r="G7525" s="94" t="s">
        <v>453</v>
      </c>
      <c r="H7525" s="987">
        <v>4.15</v>
      </c>
      <c r="I7525" s="988" t="s">
        <v>3145</v>
      </c>
      <c r="J7525" s="67">
        <f t="shared" si="445"/>
        <v>8366.85</v>
      </c>
      <c r="L7525" s="70"/>
      <c r="M7525" s="934"/>
    </row>
    <row r="7526" ht="12.75" hidden="1" customHeight="1" outlineLevel="1">
      <c r="A7526" s="202">
        <v>42269.0</v>
      </c>
      <c r="B7526" s="985" t="s">
        <v>347</v>
      </c>
      <c r="C7526" s="94" t="s">
        <v>784</v>
      </c>
      <c r="D7526" s="286">
        <v>1500.0</v>
      </c>
      <c r="E7526" s="94">
        <v>4.76</v>
      </c>
      <c r="F7526" s="986">
        <v>0.4028125</v>
      </c>
      <c r="G7526" s="94" t="s">
        <v>453</v>
      </c>
      <c r="H7526" s="987">
        <v>7.63</v>
      </c>
      <c r="I7526" s="988" t="s">
        <v>3145</v>
      </c>
      <c r="J7526" s="67">
        <f t="shared" si="445"/>
        <v>7132.37</v>
      </c>
      <c r="L7526" s="70"/>
      <c r="M7526" s="934"/>
    </row>
    <row r="7527" ht="12.75" hidden="1" customHeight="1" outlineLevel="1">
      <c r="A7527" s="202">
        <v>42269.0</v>
      </c>
      <c r="B7527" s="985" t="s">
        <v>347</v>
      </c>
      <c r="C7527" s="94" t="s">
        <v>2195</v>
      </c>
      <c r="D7527" s="94">
        <v>500.0</v>
      </c>
      <c r="E7527" s="94">
        <v>14.94</v>
      </c>
      <c r="F7527" s="986">
        <v>0.40229166666666666</v>
      </c>
      <c r="G7527" s="94" t="s">
        <v>453</v>
      </c>
      <c r="H7527" s="987">
        <v>2.14</v>
      </c>
      <c r="I7527" s="988" t="s">
        <v>3145</v>
      </c>
      <c r="J7527" s="67">
        <f t="shared" si="445"/>
        <v>7467.86</v>
      </c>
      <c r="L7527" s="70"/>
      <c r="M7527" s="934"/>
    </row>
    <row r="7528" ht="12.75" hidden="1" customHeight="1" outlineLevel="1">
      <c r="A7528" s="202">
        <v>42269.0</v>
      </c>
      <c r="B7528" s="985" t="s">
        <v>347</v>
      </c>
      <c r="C7528" s="94" t="s">
        <v>1893</v>
      </c>
      <c r="D7528" s="286">
        <v>1000.0</v>
      </c>
      <c r="E7528" s="94">
        <v>9.929</v>
      </c>
      <c r="F7528" s="986">
        <v>0.40108796296296295</v>
      </c>
      <c r="G7528" s="94" t="s">
        <v>453</v>
      </c>
      <c r="H7528" s="987">
        <v>5.18</v>
      </c>
      <c r="I7528" s="988" t="s">
        <v>3145</v>
      </c>
      <c r="J7528" s="67">
        <f t="shared" si="445"/>
        <v>9923.82</v>
      </c>
      <c r="L7528" s="70"/>
      <c r="M7528" s="934"/>
    </row>
    <row r="7529" ht="12.75" hidden="1" customHeight="1" outlineLevel="1">
      <c r="A7529" s="202">
        <v>42269.0</v>
      </c>
      <c r="B7529" s="985" t="s">
        <v>347</v>
      </c>
      <c r="C7529" s="94" t="s">
        <v>790</v>
      </c>
      <c r="D7529" s="286">
        <v>1000.0</v>
      </c>
      <c r="E7529" s="94">
        <v>4.111</v>
      </c>
      <c r="F7529" s="986">
        <v>0.40045138888888887</v>
      </c>
      <c r="G7529" s="94" t="s">
        <v>453</v>
      </c>
      <c r="H7529" s="987">
        <v>4.08</v>
      </c>
      <c r="I7529" s="988" t="s">
        <v>3145</v>
      </c>
      <c r="J7529" s="67">
        <f t="shared" si="445"/>
        <v>4106.92</v>
      </c>
      <c r="L7529" s="70"/>
      <c r="M7529" s="934"/>
    </row>
    <row r="7530" ht="12.75" hidden="1" customHeight="1" outlineLevel="1">
      <c r="A7530" s="202">
        <v>42269.0</v>
      </c>
      <c r="B7530" s="985" t="s">
        <v>347</v>
      </c>
      <c r="C7530" s="94" t="s">
        <v>1781</v>
      </c>
      <c r="D7530" s="286">
        <v>1000.0</v>
      </c>
      <c r="E7530" s="94">
        <v>6.4</v>
      </c>
      <c r="F7530" s="986">
        <v>0.39894675925925926</v>
      </c>
      <c r="G7530" s="94" t="s">
        <v>453</v>
      </c>
      <c r="H7530" s="987">
        <v>5.12</v>
      </c>
      <c r="I7530" s="988" t="s">
        <v>3145</v>
      </c>
      <c r="J7530" s="67">
        <f t="shared" si="445"/>
        <v>6394.88</v>
      </c>
      <c r="L7530" s="70"/>
      <c r="M7530" s="934"/>
    </row>
    <row r="7531" ht="12.75" hidden="1" customHeight="1" outlineLevel="1">
      <c r="A7531" s="202">
        <v>42269.0</v>
      </c>
      <c r="B7531" s="985" t="s">
        <v>347</v>
      </c>
      <c r="C7531" s="94" t="s">
        <v>1890</v>
      </c>
      <c r="D7531" s="94">
        <v>250.0</v>
      </c>
      <c r="E7531" s="94">
        <v>15.0</v>
      </c>
      <c r="F7531" s="986">
        <v>0.39869212962962963</v>
      </c>
      <c r="G7531" s="94" t="s">
        <v>453</v>
      </c>
      <c r="H7531" s="987">
        <v>1.22</v>
      </c>
      <c r="I7531" s="988" t="s">
        <v>3145</v>
      </c>
      <c r="J7531" s="67">
        <f t="shared" si="445"/>
        <v>3748.78</v>
      </c>
      <c r="L7531" s="70"/>
      <c r="M7531" s="934"/>
    </row>
    <row r="7532" ht="12.75" hidden="1" customHeight="1" outlineLevel="1">
      <c r="A7532" s="202">
        <v>42269.0</v>
      </c>
      <c r="B7532" s="985" t="s">
        <v>347</v>
      </c>
      <c r="C7532" s="94" t="s">
        <v>2048</v>
      </c>
      <c r="D7532" s="94">
        <v>500.0</v>
      </c>
      <c r="E7532" s="94">
        <v>6.6827</v>
      </c>
      <c r="F7532" s="986">
        <v>0.39841435185185187</v>
      </c>
      <c r="G7532" s="94" t="s">
        <v>453</v>
      </c>
      <c r="H7532" s="987">
        <v>2.06</v>
      </c>
      <c r="I7532" s="988" t="s">
        <v>3145</v>
      </c>
      <c r="J7532" s="67">
        <f t="shared" si="445"/>
        <v>3339.29</v>
      </c>
      <c r="L7532" s="70"/>
      <c r="M7532" s="934"/>
    </row>
    <row r="7533" ht="12.75" hidden="1" customHeight="1" outlineLevel="1">
      <c r="A7533" s="202">
        <v>42269.0</v>
      </c>
      <c r="B7533" s="985" t="s">
        <v>347</v>
      </c>
      <c r="C7533" s="94" t="s">
        <v>1633</v>
      </c>
      <c r="D7533" s="94">
        <v>500.0</v>
      </c>
      <c r="E7533" s="94">
        <v>12.571</v>
      </c>
      <c r="F7533" s="986">
        <v>0.3981365740740741</v>
      </c>
      <c r="G7533" s="94" t="s">
        <v>453</v>
      </c>
      <c r="H7533" s="987">
        <v>2.22</v>
      </c>
      <c r="I7533" s="988" t="s">
        <v>3145</v>
      </c>
      <c r="J7533" s="67">
        <f t="shared" si="445"/>
        <v>6283.28</v>
      </c>
      <c r="L7533" s="70"/>
      <c r="M7533" s="934"/>
    </row>
    <row r="7534" ht="12.75" hidden="1" customHeight="1" outlineLevel="1">
      <c r="A7534" s="202">
        <v>42269.0</v>
      </c>
      <c r="B7534" s="985" t="s">
        <v>347</v>
      </c>
      <c r="C7534" s="94" t="s">
        <v>3024</v>
      </c>
      <c r="D7534" s="94">
        <v>500.0</v>
      </c>
      <c r="E7534" s="94">
        <v>16.71</v>
      </c>
      <c r="F7534" s="986">
        <v>0.39766203703703706</v>
      </c>
      <c r="G7534" s="94" t="s">
        <v>453</v>
      </c>
      <c r="H7534" s="987">
        <v>2.35</v>
      </c>
      <c r="I7534" s="988" t="s">
        <v>3145</v>
      </c>
      <c r="J7534" s="67">
        <f t="shared" si="445"/>
        <v>8352.65</v>
      </c>
      <c r="L7534" s="70"/>
      <c r="M7534" s="934"/>
    </row>
    <row r="7535" ht="12.75" hidden="1" customHeight="1" outlineLevel="1">
      <c r="A7535" s="202">
        <v>42269.0</v>
      </c>
      <c r="B7535" s="985" t="s">
        <v>347</v>
      </c>
      <c r="C7535" s="94" t="s">
        <v>2210</v>
      </c>
      <c r="D7535" s="94">
        <v>100.0</v>
      </c>
      <c r="E7535" s="94">
        <v>64.66</v>
      </c>
      <c r="F7535" s="986">
        <v>0.3974652777777778</v>
      </c>
      <c r="G7535" s="94" t="s">
        <v>453</v>
      </c>
      <c r="H7535" s="987">
        <v>1.12</v>
      </c>
      <c r="I7535" s="988" t="s">
        <v>3145</v>
      </c>
      <c r="J7535" s="67">
        <f t="shared" si="445"/>
        <v>6464.88</v>
      </c>
      <c r="L7535" s="70"/>
      <c r="M7535" s="934"/>
    </row>
    <row r="7536" ht="12.75" hidden="1" customHeight="1" outlineLevel="1">
      <c r="A7536" s="122">
        <v>42270.0</v>
      </c>
      <c r="B7536" s="974"/>
      <c r="C7536" s="32" t="s">
        <v>339</v>
      </c>
      <c r="D7536" s="708"/>
      <c r="E7536" s="195"/>
      <c r="F7536" s="709"/>
      <c r="G7536" s="195"/>
      <c r="H7536" s="710"/>
      <c r="I7536" s="256"/>
      <c r="J7536" s="67"/>
      <c r="K7536" s="968" t="s">
        <v>3157</v>
      </c>
      <c r="L7536" s="934"/>
      <c r="M7536" s="934"/>
    </row>
    <row r="7537" ht="12.75" hidden="1" customHeight="1" outlineLevel="1">
      <c r="A7537" s="122">
        <v>42270.0</v>
      </c>
      <c r="B7537" s="974"/>
      <c r="C7537" s="32" t="s">
        <v>429</v>
      </c>
      <c r="D7537" s="708"/>
      <c r="E7537" s="195"/>
      <c r="F7537" s="709"/>
      <c r="G7537" s="195"/>
      <c r="H7537" s="710"/>
      <c r="I7537" s="256"/>
      <c r="J7537" s="67"/>
      <c r="K7537" s="9" t="s">
        <v>3049</v>
      </c>
      <c r="L7537" s="934"/>
      <c r="M7537" s="934"/>
    </row>
    <row r="7538" ht="12.75" hidden="1" customHeight="1" outlineLevel="1">
      <c r="A7538" s="122">
        <v>42270.0</v>
      </c>
      <c r="B7538" s="974"/>
      <c r="C7538" s="32" t="s">
        <v>431</v>
      </c>
      <c r="D7538" s="708"/>
      <c r="E7538" s="195"/>
      <c r="F7538" s="709"/>
      <c r="G7538" s="195"/>
      <c r="H7538" s="710"/>
      <c r="I7538" s="256"/>
      <c r="J7538" s="67"/>
      <c r="K7538" s="7" t="s">
        <v>1126</v>
      </c>
      <c r="L7538" s="934"/>
      <c r="M7538" s="934"/>
    </row>
    <row r="7539" ht="12.75" hidden="1" customHeight="1" outlineLevel="1">
      <c r="A7539" s="122">
        <v>42270.0</v>
      </c>
      <c r="B7539" s="974"/>
      <c r="C7539" s="32" t="s">
        <v>433</v>
      </c>
      <c r="D7539" s="708"/>
      <c r="E7539" s="195"/>
      <c r="F7539" s="709"/>
      <c r="G7539" s="195"/>
      <c r="H7539" s="710"/>
      <c r="I7539" s="256"/>
      <c r="J7539" s="67"/>
      <c r="K7539" s="7" t="s">
        <v>1103</v>
      </c>
      <c r="L7539" s="934"/>
      <c r="M7539" s="934"/>
    </row>
    <row r="7540" ht="12.75" hidden="1" customHeight="1" outlineLevel="1">
      <c r="A7540" s="122">
        <v>42270.0</v>
      </c>
      <c r="B7540" s="974"/>
      <c r="C7540" s="32" t="s">
        <v>435</v>
      </c>
      <c r="D7540" s="708"/>
      <c r="E7540" s="195"/>
      <c r="F7540" s="709"/>
      <c r="G7540" s="195"/>
      <c r="H7540" s="710"/>
      <c r="I7540" s="256"/>
      <c r="J7540" s="67"/>
      <c r="K7540" s="9" t="s">
        <v>3134</v>
      </c>
      <c r="L7540" s="934"/>
      <c r="M7540" s="934"/>
    </row>
    <row r="7541" ht="12.75" hidden="1" customHeight="1" outlineLevel="1">
      <c r="A7541" s="202">
        <v>42270.0</v>
      </c>
      <c r="B7541" s="985" t="s">
        <v>343</v>
      </c>
      <c r="C7541" s="94" t="s">
        <v>458</v>
      </c>
      <c r="D7541" s="94">
        <v>100.0</v>
      </c>
      <c r="E7541" s="94">
        <v>69.55</v>
      </c>
      <c r="F7541" s="986">
        <v>0.6087152777777778</v>
      </c>
      <c r="G7541" s="94" t="s">
        <v>453</v>
      </c>
      <c r="H7541" s="987">
        <v>1.0</v>
      </c>
      <c r="I7541" s="988" t="s">
        <v>3145</v>
      </c>
      <c r="J7541" s="67">
        <f t="shared" ref="J7541:J7551" si="446">IF(B7541="SLD",D7541*E7541,-D7541*E7541)-H7541</f>
        <v>-6956</v>
      </c>
      <c r="L7541" s="70"/>
      <c r="M7541" s="934"/>
    </row>
    <row r="7542" ht="12.75" hidden="1" customHeight="1" outlineLevel="1">
      <c r="A7542" s="202">
        <v>42270.0</v>
      </c>
      <c r="B7542" s="985" t="s">
        <v>347</v>
      </c>
      <c r="C7542" s="94" t="s">
        <v>1781</v>
      </c>
      <c r="D7542" s="286">
        <v>2500.0</v>
      </c>
      <c r="E7542" s="94">
        <v>5.9701</v>
      </c>
      <c r="F7542" s="986">
        <v>0.5824305555555556</v>
      </c>
      <c r="G7542" s="94" t="s">
        <v>453</v>
      </c>
      <c r="H7542" s="987">
        <v>10.27</v>
      </c>
      <c r="I7542" s="988" t="s">
        <v>3145</v>
      </c>
      <c r="J7542" s="67">
        <f t="shared" si="446"/>
        <v>14914.98</v>
      </c>
      <c r="L7542" s="70"/>
      <c r="M7542" s="934"/>
    </row>
    <row r="7543" ht="12.75" hidden="1" customHeight="1" outlineLevel="1">
      <c r="A7543" s="202">
        <v>42270.0</v>
      </c>
      <c r="B7543" s="985" t="s">
        <v>347</v>
      </c>
      <c r="C7543" s="94" t="s">
        <v>1781</v>
      </c>
      <c r="D7543" s="286">
        <v>2500.0</v>
      </c>
      <c r="E7543" s="94">
        <v>5.991</v>
      </c>
      <c r="F7543" s="986">
        <v>0.5819444444444445</v>
      </c>
      <c r="G7543" s="94" t="s">
        <v>453</v>
      </c>
      <c r="H7543" s="987">
        <v>10.48</v>
      </c>
      <c r="I7543" s="988" t="s">
        <v>3145</v>
      </c>
      <c r="J7543" s="67">
        <f t="shared" si="446"/>
        <v>14967.02</v>
      </c>
      <c r="L7543" s="70"/>
      <c r="M7543" s="934"/>
    </row>
    <row r="7544" ht="12.75" hidden="1" customHeight="1" outlineLevel="1">
      <c r="A7544" s="202">
        <v>42270.0</v>
      </c>
      <c r="B7544" s="985" t="s">
        <v>347</v>
      </c>
      <c r="C7544" s="94" t="s">
        <v>1893</v>
      </c>
      <c r="D7544" s="286">
        <v>1000.0</v>
      </c>
      <c r="E7544" s="94">
        <v>10.161</v>
      </c>
      <c r="F7544" s="986">
        <v>0.45872685185185186</v>
      </c>
      <c r="G7544" s="94" t="s">
        <v>453</v>
      </c>
      <c r="H7544" s="987">
        <v>4.19</v>
      </c>
      <c r="I7544" s="988" t="s">
        <v>3145</v>
      </c>
      <c r="J7544" s="67">
        <f t="shared" si="446"/>
        <v>10156.81</v>
      </c>
      <c r="L7544" s="70"/>
      <c r="M7544" s="934"/>
    </row>
    <row r="7545" ht="12.75" hidden="1" customHeight="1" outlineLevel="1">
      <c r="A7545" s="202">
        <v>42270.0</v>
      </c>
      <c r="B7545" s="985" t="s">
        <v>347</v>
      </c>
      <c r="C7545" s="94" t="s">
        <v>2195</v>
      </c>
      <c r="D7545" s="94">
        <v>500.0</v>
      </c>
      <c r="E7545" s="94">
        <v>13.902</v>
      </c>
      <c r="F7545" s="986">
        <v>0.4032060185185185</v>
      </c>
      <c r="G7545" s="94" t="s">
        <v>453</v>
      </c>
      <c r="H7545" s="987">
        <v>2.43</v>
      </c>
      <c r="I7545" s="988" t="s">
        <v>3145</v>
      </c>
      <c r="J7545" s="67">
        <f t="shared" si="446"/>
        <v>6948.57</v>
      </c>
      <c r="L7545" s="70"/>
      <c r="M7545" s="934"/>
    </row>
    <row r="7546" ht="12.75" hidden="1" customHeight="1" outlineLevel="1">
      <c r="A7546" s="202">
        <v>42270.0</v>
      </c>
      <c r="B7546" s="985" t="s">
        <v>347</v>
      </c>
      <c r="C7546" s="94" t="s">
        <v>1905</v>
      </c>
      <c r="D7546" s="94">
        <v>500.0</v>
      </c>
      <c r="E7546" s="94">
        <v>32.46</v>
      </c>
      <c r="F7546" s="986">
        <v>0.4014583333333333</v>
      </c>
      <c r="G7546" s="94" t="s">
        <v>453</v>
      </c>
      <c r="H7546" s="987">
        <v>2.3</v>
      </c>
      <c r="I7546" s="988" t="s">
        <v>3145</v>
      </c>
      <c r="J7546" s="67">
        <f t="shared" si="446"/>
        <v>16227.7</v>
      </c>
      <c r="L7546" s="70"/>
      <c r="M7546" s="934"/>
    </row>
    <row r="7547" ht="12.75" hidden="1" customHeight="1" outlineLevel="1">
      <c r="A7547" s="202">
        <v>42270.0</v>
      </c>
      <c r="B7547" s="985" t="s">
        <v>347</v>
      </c>
      <c r="C7547" s="94" t="s">
        <v>2210</v>
      </c>
      <c r="D7547" s="94">
        <v>50.0</v>
      </c>
      <c r="E7547" s="94">
        <v>62.2</v>
      </c>
      <c r="F7547" s="986">
        <v>0.40045138888888887</v>
      </c>
      <c r="G7547" s="94" t="s">
        <v>453</v>
      </c>
      <c r="H7547" s="987">
        <v>1.06</v>
      </c>
      <c r="I7547" s="988" t="s">
        <v>3145</v>
      </c>
      <c r="J7547" s="67">
        <f t="shared" si="446"/>
        <v>3108.94</v>
      </c>
      <c r="L7547" s="70"/>
      <c r="M7547" s="934"/>
    </row>
    <row r="7548" ht="12.75" hidden="1" customHeight="1" outlineLevel="1">
      <c r="A7548" s="202">
        <v>42270.0</v>
      </c>
      <c r="B7548" s="985" t="s">
        <v>347</v>
      </c>
      <c r="C7548" s="94" t="s">
        <v>3024</v>
      </c>
      <c r="D7548" s="94">
        <v>500.0</v>
      </c>
      <c r="E7548" s="94">
        <v>16.1722</v>
      </c>
      <c r="F7548" s="986">
        <v>0.4003009259259259</v>
      </c>
      <c r="G7548" s="94" t="s">
        <v>453</v>
      </c>
      <c r="H7548" s="987">
        <v>2.15</v>
      </c>
      <c r="I7548" s="988" t="s">
        <v>3145</v>
      </c>
      <c r="J7548" s="67">
        <f t="shared" si="446"/>
        <v>8083.95</v>
      </c>
      <c r="L7548" s="70"/>
      <c r="M7548" s="934"/>
    </row>
    <row r="7549" ht="12.75" hidden="1" customHeight="1" outlineLevel="1">
      <c r="A7549" s="202">
        <v>42270.0</v>
      </c>
      <c r="B7549" s="985" t="s">
        <v>347</v>
      </c>
      <c r="C7549" s="94" t="s">
        <v>784</v>
      </c>
      <c r="D7549" s="286">
        <v>2000.0</v>
      </c>
      <c r="E7549" s="94">
        <v>4.791</v>
      </c>
      <c r="F7549" s="986">
        <v>0.3975810185185185</v>
      </c>
      <c r="G7549" s="94" t="s">
        <v>453</v>
      </c>
      <c r="H7549" s="987">
        <v>8.18</v>
      </c>
      <c r="I7549" s="988" t="s">
        <v>3145</v>
      </c>
      <c r="J7549" s="67">
        <f t="shared" si="446"/>
        <v>9573.82</v>
      </c>
      <c r="L7549" s="70"/>
      <c r="M7549" s="934"/>
    </row>
    <row r="7550" ht="12.75" hidden="1" customHeight="1" outlineLevel="1">
      <c r="A7550" s="202">
        <v>42270.0</v>
      </c>
      <c r="B7550" s="985" t="s">
        <v>347</v>
      </c>
      <c r="C7550" s="94" t="s">
        <v>1893</v>
      </c>
      <c r="D7550" s="94">
        <v>500.0</v>
      </c>
      <c r="E7550" s="94">
        <v>10.571</v>
      </c>
      <c r="F7550" s="986">
        <v>0.3973611111111111</v>
      </c>
      <c r="G7550" s="94" t="s">
        <v>453</v>
      </c>
      <c r="H7550" s="987">
        <v>2.1</v>
      </c>
      <c r="I7550" s="988" t="s">
        <v>3145</v>
      </c>
      <c r="J7550" s="67">
        <f t="shared" si="446"/>
        <v>5283.4</v>
      </c>
      <c r="L7550" s="70"/>
      <c r="M7550" s="934"/>
    </row>
    <row r="7551" ht="12.75" hidden="1" customHeight="1" outlineLevel="1">
      <c r="A7551" s="202">
        <v>42270.0</v>
      </c>
      <c r="B7551" s="985" t="s">
        <v>347</v>
      </c>
      <c r="C7551" s="94" t="s">
        <v>1905</v>
      </c>
      <c r="D7551" s="94">
        <v>500.0</v>
      </c>
      <c r="E7551" s="94">
        <v>32.68</v>
      </c>
      <c r="F7551" s="986">
        <v>0.396875</v>
      </c>
      <c r="G7551" s="94" t="s">
        <v>453</v>
      </c>
      <c r="H7551" s="987">
        <v>2.3</v>
      </c>
      <c r="I7551" s="988" t="s">
        <v>3145</v>
      </c>
      <c r="J7551" s="67">
        <f t="shared" si="446"/>
        <v>16337.7</v>
      </c>
      <c r="L7551" s="70"/>
      <c r="M7551" s="934"/>
    </row>
    <row r="7552" ht="12.75" hidden="1" customHeight="1" outlineLevel="1">
      <c r="A7552" s="122">
        <v>42270.0</v>
      </c>
      <c r="B7552" s="974"/>
      <c r="C7552" s="32" t="s">
        <v>339</v>
      </c>
      <c r="D7552" s="708"/>
      <c r="E7552" s="195"/>
      <c r="F7552" s="709"/>
      <c r="G7552" s="195"/>
      <c r="H7552" s="710"/>
      <c r="I7552" s="256"/>
      <c r="J7552" s="67"/>
      <c r="K7552" s="968" t="s">
        <v>3158</v>
      </c>
      <c r="L7552" s="934"/>
      <c r="M7552" s="934"/>
    </row>
    <row r="7553" ht="12.75" hidden="1" customHeight="1" outlineLevel="1">
      <c r="A7553" s="122">
        <v>42270.0</v>
      </c>
      <c r="B7553" s="974"/>
      <c r="C7553" s="32" t="s">
        <v>429</v>
      </c>
      <c r="D7553" s="708"/>
      <c r="E7553" s="195"/>
      <c r="F7553" s="709"/>
      <c r="G7553" s="195"/>
      <c r="H7553" s="710"/>
      <c r="I7553" s="256"/>
      <c r="J7553" s="67"/>
      <c r="K7553" s="9" t="s">
        <v>3049</v>
      </c>
      <c r="L7553" s="934"/>
      <c r="M7553" s="934"/>
    </row>
    <row r="7554" ht="12.75" hidden="1" customHeight="1" outlineLevel="1">
      <c r="A7554" s="122">
        <v>42270.0</v>
      </c>
      <c r="B7554" s="974"/>
      <c r="C7554" s="32" t="s">
        <v>431</v>
      </c>
      <c r="D7554" s="708"/>
      <c r="E7554" s="195"/>
      <c r="F7554" s="709"/>
      <c r="G7554" s="195"/>
      <c r="H7554" s="710"/>
      <c r="I7554" s="256"/>
      <c r="J7554" s="67"/>
      <c r="K7554" s="7" t="s">
        <v>1126</v>
      </c>
      <c r="L7554" s="934"/>
      <c r="M7554" s="934"/>
    </row>
    <row r="7555" ht="12.75" hidden="1" customHeight="1" outlineLevel="1">
      <c r="A7555" s="122">
        <v>42270.0</v>
      </c>
      <c r="B7555" s="974"/>
      <c r="C7555" s="32" t="s">
        <v>433</v>
      </c>
      <c r="D7555" s="708"/>
      <c r="E7555" s="195"/>
      <c r="F7555" s="709"/>
      <c r="G7555" s="195"/>
      <c r="H7555" s="710"/>
      <c r="I7555" s="256"/>
      <c r="J7555" s="67"/>
      <c r="K7555" s="7" t="s">
        <v>1103</v>
      </c>
      <c r="L7555" s="934"/>
      <c r="M7555" s="934"/>
    </row>
    <row r="7556" ht="12.75" hidden="1" customHeight="1" outlineLevel="1">
      <c r="A7556" s="122">
        <v>42270.0</v>
      </c>
      <c r="B7556" s="974"/>
      <c r="C7556" s="32" t="s">
        <v>435</v>
      </c>
      <c r="D7556" s="708"/>
      <c r="E7556" s="195"/>
      <c r="F7556" s="709"/>
      <c r="G7556" s="195"/>
      <c r="H7556" s="710"/>
      <c r="I7556" s="256"/>
      <c r="J7556" s="67"/>
      <c r="K7556" s="9" t="s">
        <v>3134</v>
      </c>
      <c r="L7556" s="934"/>
      <c r="M7556" s="934"/>
    </row>
    <row r="7557" ht="12.75" hidden="1" customHeight="1" outlineLevel="1">
      <c r="A7557" s="202">
        <v>42271.0</v>
      </c>
      <c r="B7557" s="985" t="s">
        <v>347</v>
      </c>
      <c r="C7557" s="94" t="s">
        <v>1244</v>
      </c>
      <c r="D7557" s="94">
        <v>100.0</v>
      </c>
      <c r="E7557" s="94">
        <v>101.97</v>
      </c>
      <c r="F7557" s="986">
        <v>0.5453819444444444</v>
      </c>
      <c r="G7557" s="94" t="s">
        <v>453</v>
      </c>
      <c r="H7557" s="987">
        <v>1.19</v>
      </c>
      <c r="I7557" s="988" t="s">
        <v>3145</v>
      </c>
      <c r="J7557" s="67">
        <f t="shared" ref="J7557:J7560" si="447">IF(B7557="SLD",D7557*E7557,-D7557*E7557)-H7557</f>
        <v>10195.81</v>
      </c>
      <c r="L7557" s="70"/>
      <c r="M7557" s="934"/>
    </row>
    <row r="7558" ht="12.75" hidden="1" customHeight="1" outlineLevel="1">
      <c r="A7558" s="202">
        <v>42271.0</v>
      </c>
      <c r="B7558" s="985" t="s">
        <v>347</v>
      </c>
      <c r="C7558" s="94" t="s">
        <v>1345</v>
      </c>
      <c r="D7558" s="94">
        <v>50.0</v>
      </c>
      <c r="E7558" s="94">
        <v>142.73</v>
      </c>
      <c r="F7558" s="986">
        <v>0.5458217592592592</v>
      </c>
      <c r="G7558" s="94" t="s">
        <v>453</v>
      </c>
      <c r="H7558" s="987">
        <v>1.13</v>
      </c>
      <c r="I7558" s="988" t="s">
        <v>3145</v>
      </c>
      <c r="J7558" s="67">
        <f t="shared" si="447"/>
        <v>7135.37</v>
      </c>
      <c r="L7558" s="70"/>
      <c r="M7558" s="934"/>
    </row>
    <row r="7559" ht="12.75" hidden="1" customHeight="1" outlineLevel="1">
      <c r="A7559" s="202">
        <v>42271.0</v>
      </c>
      <c r="B7559" s="985" t="s">
        <v>347</v>
      </c>
      <c r="C7559" s="94" t="s">
        <v>2342</v>
      </c>
      <c r="D7559" s="94">
        <v>200.0</v>
      </c>
      <c r="E7559" s="94">
        <v>44.58</v>
      </c>
      <c r="F7559" s="986">
        <v>0.5471180555555556</v>
      </c>
      <c r="G7559" s="94" t="s">
        <v>453</v>
      </c>
      <c r="H7559" s="987">
        <v>1.16</v>
      </c>
      <c r="I7559" s="988" t="s">
        <v>3145</v>
      </c>
      <c r="J7559" s="67">
        <f t="shared" si="447"/>
        <v>8914.84</v>
      </c>
      <c r="L7559" s="70"/>
      <c r="M7559" s="934"/>
    </row>
    <row r="7560" ht="12.75" hidden="1" customHeight="1" outlineLevel="1">
      <c r="A7560" s="202">
        <v>42271.0</v>
      </c>
      <c r="B7560" s="985" t="s">
        <v>347</v>
      </c>
      <c r="C7560" s="94" t="s">
        <v>2342</v>
      </c>
      <c r="D7560" s="94">
        <v>200.0</v>
      </c>
      <c r="E7560" s="94">
        <v>44.28</v>
      </c>
      <c r="F7560" s="986">
        <v>0.5697337962962963</v>
      </c>
      <c r="G7560" s="94" t="s">
        <v>453</v>
      </c>
      <c r="H7560" s="987">
        <v>1.16</v>
      </c>
      <c r="I7560" s="988" t="s">
        <v>3145</v>
      </c>
      <c r="J7560" s="67">
        <f t="shared" si="447"/>
        <v>8854.84</v>
      </c>
      <c r="L7560" s="70"/>
      <c r="M7560" s="934"/>
    </row>
    <row r="7561" ht="12.75" hidden="1" customHeight="1" outlineLevel="1">
      <c r="A7561" s="122">
        <v>42271.0</v>
      </c>
      <c r="B7561" s="974"/>
      <c r="C7561" s="32" t="s">
        <v>339</v>
      </c>
      <c r="D7561" s="708"/>
      <c r="E7561" s="195"/>
      <c r="F7561" s="709"/>
      <c r="G7561" s="195"/>
      <c r="H7561" s="710"/>
      <c r="I7561" s="256"/>
      <c r="J7561" s="67"/>
      <c r="K7561" s="968" t="s">
        <v>3159</v>
      </c>
      <c r="L7561" s="934"/>
      <c r="M7561" s="934"/>
    </row>
    <row r="7562" ht="12.75" hidden="1" customHeight="1" outlineLevel="1">
      <c r="A7562" s="122">
        <v>42271.0</v>
      </c>
      <c r="B7562" s="974"/>
      <c r="C7562" s="32" t="s">
        <v>429</v>
      </c>
      <c r="D7562" s="708"/>
      <c r="E7562" s="195"/>
      <c r="F7562" s="709"/>
      <c r="G7562" s="195"/>
      <c r="H7562" s="710"/>
      <c r="I7562" s="256"/>
      <c r="J7562" s="67"/>
      <c r="K7562" s="9" t="s">
        <v>3049</v>
      </c>
      <c r="L7562" s="934"/>
      <c r="M7562" s="934"/>
    </row>
    <row r="7563" ht="12.75" hidden="1" customHeight="1" outlineLevel="1">
      <c r="A7563" s="122">
        <v>42271.0</v>
      </c>
      <c r="B7563" s="974"/>
      <c r="C7563" s="32" t="s">
        <v>431</v>
      </c>
      <c r="D7563" s="708"/>
      <c r="E7563" s="195"/>
      <c r="F7563" s="709"/>
      <c r="G7563" s="195"/>
      <c r="H7563" s="710"/>
      <c r="I7563" s="256"/>
      <c r="J7563" s="67"/>
      <c r="K7563" s="7" t="s">
        <v>1126</v>
      </c>
      <c r="L7563" s="934"/>
      <c r="M7563" s="934"/>
    </row>
    <row r="7564" ht="12.75" hidden="1" customHeight="1" outlineLevel="1">
      <c r="A7564" s="122">
        <v>42271.0</v>
      </c>
      <c r="B7564" s="974"/>
      <c r="C7564" s="32" t="s">
        <v>433</v>
      </c>
      <c r="D7564" s="708"/>
      <c r="E7564" s="195"/>
      <c r="F7564" s="709"/>
      <c r="G7564" s="195"/>
      <c r="H7564" s="710"/>
      <c r="I7564" s="256"/>
      <c r="J7564" s="67"/>
      <c r="K7564" s="7" t="s">
        <v>1103</v>
      </c>
      <c r="L7564" s="934"/>
      <c r="M7564" s="934"/>
    </row>
    <row r="7565" ht="12.75" hidden="1" customHeight="1" outlineLevel="1">
      <c r="A7565" s="122">
        <v>42271.0</v>
      </c>
      <c r="B7565" s="974"/>
      <c r="C7565" s="32" t="s">
        <v>435</v>
      </c>
      <c r="D7565" s="708"/>
      <c r="E7565" s="195"/>
      <c r="F7565" s="709"/>
      <c r="G7565" s="195"/>
      <c r="H7565" s="710"/>
      <c r="I7565" s="256"/>
      <c r="J7565" s="67"/>
      <c r="K7565" s="9" t="s">
        <v>3134</v>
      </c>
      <c r="L7565" s="934"/>
      <c r="M7565" s="934"/>
    </row>
    <row r="7566" ht="12.75" hidden="1" customHeight="1" outlineLevel="1">
      <c r="A7566" s="202">
        <v>42272.0</v>
      </c>
      <c r="B7566" s="985" t="s">
        <v>343</v>
      </c>
      <c r="C7566" s="94" t="s">
        <v>1244</v>
      </c>
      <c r="D7566" s="94">
        <v>200.0</v>
      </c>
      <c r="E7566" s="94">
        <v>103.812</v>
      </c>
      <c r="F7566" s="986">
        <v>0.3961226851851852</v>
      </c>
      <c r="G7566" s="94" t="s">
        <v>453</v>
      </c>
      <c r="H7566" s="987">
        <v>1.0</v>
      </c>
      <c r="I7566" s="988" t="s">
        <v>3145</v>
      </c>
      <c r="J7566" s="67">
        <f t="shared" ref="J7566:J7579" si="448">IF(B7566="SLD",D7566*E7566,-D7566*E7566)-H7566</f>
        <v>-20763.4</v>
      </c>
      <c r="L7566" s="70"/>
      <c r="M7566" s="934"/>
    </row>
    <row r="7567" ht="12.75" hidden="1" customHeight="1" outlineLevel="1">
      <c r="A7567" s="202">
        <v>42272.0</v>
      </c>
      <c r="B7567" s="985" t="s">
        <v>343</v>
      </c>
      <c r="C7567" s="94" t="s">
        <v>2342</v>
      </c>
      <c r="D7567" s="94">
        <v>600.0</v>
      </c>
      <c r="E7567" s="94">
        <v>45.947</v>
      </c>
      <c r="F7567" s="986">
        <v>0.39641203703703703</v>
      </c>
      <c r="G7567" s="94" t="s">
        <v>453</v>
      </c>
      <c r="H7567" s="987">
        <v>3.0</v>
      </c>
      <c r="I7567" s="988" t="s">
        <v>3145</v>
      </c>
      <c r="J7567" s="67">
        <f t="shared" si="448"/>
        <v>-27571.2</v>
      </c>
      <c r="L7567" s="70"/>
      <c r="M7567" s="934"/>
    </row>
    <row r="7568" ht="12.75" hidden="1" customHeight="1" outlineLevel="1">
      <c r="A7568" s="202">
        <v>42272.0</v>
      </c>
      <c r="B7568" s="985" t="s">
        <v>343</v>
      </c>
      <c r="C7568" s="94" t="s">
        <v>1345</v>
      </c>
      <c r="D7568" s="94">
        <v>100.0</v>
      </c>
      <c r="E7568" s="94">
        <v>145.83</v>
      </c>
      <c r="F7568" s="986">
        <v>0.3965162037037037</v>
      </c>
      <c r="G7568" s="94" t="s">
        <v>453</v>
      </c>
      <c r="H7568" s="987">
        <v>1.0</v>
      </c>
      <c r="I7568" s="988" t="s">
        <v>3145</v>
      </c>
      <c r="J7568" s="67">
        <f t="shared" si="448"/>
        <v>-14584</v>
      </c>
      <c r="L7568" s="70"/>
      <c r="M7568" s="934"/>
    </row>
    <row r="7569" ht="12.75" hidden="1" customHeight="1" outlineLevel="1">
      <c r="A7569" s="202">
        <v>42272.0</v>
      </c>
      <c r="B7569" s="985" t="s">
        <v>343</v>
      </c>
      <c r="C7569" s="94" t="s">
        <v>1249</v>
      </c>
      <c r="D7569" s="94">
        <v>100.0</v>
      </c>
      <c r="E7569" s="94">
        <v>102.44</v>
      </c>
      <c r="F7569" s="986">
        <v>0.39730324074074075</v>
      </c>
      <c r="G7569" s="94" t="s">
        <v>453</v>
      </c>
      <c r="H7569" s="987">
        <v>1.0</v>
      </c>
      <c r="I7569" s="988" t="s">
        <v>3145</v>
      </c>
      <c r="J7569" s="67">
        <f t="shared" si="448"/>
        <v>-10245</v>
      </c>
      <c r="L7569" s="70"/>
      <c r="M7569" s="934"/>
    </row>
    <row r="7570" ht="12.75" hidden="1" customHeight="1" outlineLevel="1">
      <c r="A7570" s="202">
        <v>42272.0</v>
      </c>
      <c r="B7570" s="985" t="s">
        <v>347</v>
      </c>
      <c r="C7570" s="94" t="s">
        <v>784</v>
      </c>
      <c r="D7570" s="286">
        <v>4000.0</v>
      </c>
      <c r="E7570" s="94">
        <v>4.66</v>
      </c>
      <c r="F7570" s="986">
        <v>0.39849537037037036</v>
      </c>
      <c r="G7570" s="94" t="s">
        <v>453</v>
      </c>
      <c r="H7570" s="987">
        <v>19.64</v>
      </c>
      <c r="I7570" s="988" t="s">
        <v>3145</v>
      </c>
      <c r="J7570" s="67">
        <f t="shared" si="448"/>
        <v>18620.36</v>
      </c>
      <c r="L7570" s="70"/>
      <c r="M7570" s="934"/>
    </row>
    <row r="7571" ht="12.75" hidden="1" customHeight="1" outlineLevel="1">
      <c r="A7571" s="202">
        <v>42272.0</v>
      </c>
      <c r="B7571" s="985" t="s">
        <v>343</v>
      </c>
      <c r="C7571" s="94" t="s">
        <v>1310</v>
      </c>
      <c r="D7571" s="94">
        <v>25.0</v>
      </c>
      <c r="E7571" s="94">
        <v>292.55</v>
      </c>
      <c r="F7571" s="986">
        <v>0.40010416666666665</v>
      </c>
      <c r="G7571" s="94" t="s">
        <v>453</v>
      </c>
      <c r="H7571" s="987">
        <v>1.0</v>
      </c>
      <c r="I7571" s="988" t="s">
        <v>3145</v>
      </c>
      <c r="J7571" s="67">
        <f t="shared" si="448"/>
        <v>-7314.75</v>
      </c>
      <c r="L7571" s="70"/>
      <c r="M7571" s="934"/>
    </row>
    <row r="7572" ht="12.75" hidden="1" customHeight="1" outlineLevel="1">
      <c r="A7572" s="202">
        <v>42272.0</v>
      </c>
      <c r="B7572" s="985" t="s">
        <v>343</v>
      </c>
      <c r="C7572" s="94" t="s">
        <v>1995</v>
      </c>
      <c r="D7572" s="94">
        <v>75.0</v>
      </c>
      <c r="E7572" s="94">
        <v>45.17</v>
      </c>
      <c r="F7572" s="986">
        <v>0.40045138888888887</v>
      </c>
      <c r="G7572" s="94" t="s">
        <v>453</v>
      </c>
      <c r="H7572" s="987">
        <v>1.0</v>
      </c>
      <c r="I7572" s="988" t="s">
        <v>3145</v>
      </c>
      <c r="J7572" s="67">
        <f t="shared" si="448"/>
        <v>-3388.75</v>
      </c>
      <c r="L7572" s="70"/>
      <c r="M7572" s="934"/>
    </row>
    <row r="7573" ht="12.75" hidden="1" customHeight="1" outlineLevel="1">
      <c r="A7573" s="202">
        <v>42272.0</v>
      </c>
      <c r="B7573" s="985" t="s">
        <v>343</v>
      </c>
      <c r="C7573" s="94" t="s">
        <v>3132</v>
      </c>
      <c r="D7573" s="94">
        <v>25.0</v>
      </c>
      <c r="E7573" s="94">
        <v>139.58</v>
      </c>
      <c r="F7573" s="986">
        <v>0.4008449074074074</v>
      </c>
      <c r="G7573" s="94" t="s">
        <v>453</v>
      </c>
      <c r="H7573" s="987">
        <v>1.0</v>
      </c>
      <c r="I7573" s="988" t="s">
        <v>3145</v>
      </c>
      <c r="J7573" s="67">
        <f t="shared" si="448"/>
        <v>-3490.5</v>
      </c>
      <c r="L7573" s="70"/>
      <c r="M7573" s="934"/>
    </row>
    <row r="7574" ht="12.75" hidden="1" customHeight="1" outlineLevel="1">
      <c r="A7574" s="202">
        <v>42272.0</v>
      </c>
      <c r="B7574" s="985" t="s">
        <v>343</v>
      </c>
      <c r="C7574" s="94" t="s">
        <v>3136</v>
      </c>
      <c r="D7574" s="94">
        <v>75.0</v>
      </c>
      <c r="E7574" s="94">
        <v>42.61</v>
      </c>
      <c r="F7574" s="986">
        <v>0.4012962962962963</v>
      </c>
      <c r="G7574" s="94" t="s">
        <v>453</v>
      </c>
      <c r="H7574" s="987">
        <v>1.0</v>
      </c>
      <c r="I7574" s="988" t="s">
        <v>3145</v>
      </c>
      <c r="J7574" s="67">
        <f t="shared" si="448"/>
        <v>-3196.75</v>
      </c>
      <c r="L7574" s="70"/>
      <c r="M7574" s="934"/>
    </row>
    <row r="7575" ht="12.75" hidden="1" customHeight="1" outlineLevel="1">
      <c r="A7575" s="202">
        <v>42272.0</v>
      </c>
      <c r="B7575" s="985" t="s">
        <v>343</v>
      </c>
      <c r="C7575" s="94" t="s">
        <v>2177</v>
      </c>
      <c r="D7575" s="94">
        <v>25.0</v>
      </c>
      <c r="E7575" s="94">
        <v>206.91</v>
      </c>
      <c r="F7575" s="986">
        <v>0.45152777777777775</v>
      </c>
      <c r="G7575" s="94" t="s">
        <v>453</v>
      </c>
      <c r="H7575" s="987">
        <v>1.0</v>
      </c>
      <c r="I7575" s="988" t="s">
        <v>3145</v>
      </c>
      <c r="J7575" s="67">
        <f t="shared" si="448"/>
        <v>-5173.75</v>
      </c>
      <c r="L7575" s="70"/>
      <c r="M7575" s="934"/>
    </row>
    <row r="7576" ht="12.75" hidden="1" customHeight="1" outlineLevel="1">
      <c r="A7576" s="202">
        <v>42272.0</v>
      </c>
      <c r="B7576" s="985" t="s">
        <v>343</v>
      </c>
      <c r="C7576" s="94" t="s">
        <v>1485</v>
      </c>
      <c r="D7576" s="94">
        <v>500.0</v>
      </c>
      <c r="E7576" s="94">
        <v>4.8399</v>
      </c>
      <c r="F7576" s="986">
        <v>0.6236689814814815</v>
      </c>
      <c r="G7576" s="94" t="s">
        <v>453</v>
      </c>
      <c r="H7576" s="987">
        <v>2.5</v>
      </c>
      <c r="I7576" s="988" t="s">
        <v>3145</v>
      </c>
      <c r="J7576" s="67">
        <f t="shared" si="448"/>
        <v>-2422.45</v>
      </c>
      <c r="L7576" s="70"/>
      <c r="M7576" s="934"/>
    </row>
    <row r="7577" ht="12.75" hidden="1" customHeight="1" outlineLevel="1">
      <c r="A7577" s="202">
        <v>42272.0</v>
      </c>
      <c r="B7577" s="985" t="s">
        <v>343</v>
      </c>
      <c r="C7577" s="94" t="s">
        <v>1092</v>
      </c>
      <c r="D7577" s="94">
        <v>500.0</v>
      </c>
      <c r="E7577" s="94">
        <v>4.83</v>
      </c>
      <c r="F7577" s="986">
        <v>0.6237615740740741</v>
      </c>
      <c r="G7577" s="94" t="s">
        <v>453</v>
      </c>
      <c r="H7577" s="987">
        <v>2.5</v>
      </c>
      <c r="I7577" s="988" t="s">
        <v>3145</v>
      </c>
      <c r="J7577" s="67">
        <f t="shared" si="448"/>
        <v>-2417.5</v>
      </c>
      <c r="L7577" s="70"/>
      <c r="M7577" s="934"/>
    </row>
    <row r="7578" ht="12.75" hidden="1" customHeight="1" outlineLevel="1">
      <c r="A7578" s="202">
        <v>42272.0</v>
      </c>
      <c r="B7578" s="985" t="s">
        <v>343</v>
      </c>
      <c r="C7578" s="94" t="s">
        <v>604</v>
      </c>
      <c r="D7578" s="94">
        <v>500.0</v>
      </c>
      <c r="E7578" s="94">
        <v>2.3199</v>
      </c>
      <c r="F7578" s="986">
        <v>0.6240509259259259</v>
      </c>
      <c r="G7578" s="94" t="s">
        <v>453</v>
      </c>
      <c r="H7578" s="987">
        <v>2.5</v>
      </c>
      <c r="I7578" s="988" t="s">
        <v>3145</v>
      </c>
      <c r="J7578" s="67">
        <f t="shared" si="448"/>
        <v>-1162.45</v>
      </c>
      <c r="L7578" s="70"/>
      <c r="M7578" s="934"/>
    </row>
    <row r="7579" ht="12.75" hidden="1" customHeight="1" outlineLevel="1">
      <c r="A7579" s="202">
        <v>42272.0</v>
      </c>
      <c r="B7579" s="985" t="s">
        <v>343</v>
      </c>
      <c r="C7579" s="94" t="s">
        <v>1483</v>
      </c>
      <c r="D7579" s="94">
        <v>500.0</v>
      </c>
      <c r="E7579" s="94">
        <v>2.23</v>
      </c>
      <c r="F7579" s="986">
        <v>0.6247106481481481</v>
      </c>
      <c r="G7579" s="94" t="s">
        <v>453</v>
      </c>
      <c r="H7579" s="987">
        <v>2.5</v>
      </c>
      <c r="I7579" s="988" t="s">
        <v>3145</v>
      </c>
      <c r="J7579" s="67">
        <f t="shared" si="448"/>
        <v>-1117.5</v>
      </c>
      <c r="L7579" s="70"/>
      <c r="M7579" s="934"/>
    </row>
    <row r="7580" ht="12.75" hidden="1" customHeight="1" outlineLevel="1">
      <c r="A7580" s="122">
        <v>42272.0</v>
      </c>
      <c r="B7580" s="974"/>
      <c r="C7580" s="32" t="s">
        <v>339</v>
      </c>
      <c r="D7580" s="708"/>
      <c r="E7580" s="195"/>
      <c r="F7580" s="709"/>
      <c r="G7580" s="195"/>
      <c r="H7580" s="710"/>
      <c r="I7580" s="256"/>
      <c r="J7580" s="67"/>
      <c r="K7580" s="968" t="s">
        <v>3160</v>
      </c>
      <c r="L7580" s="934"/>
      <c r="M7580" s="934"/>
    </row>
    <row r="7581" ht="12.75" hidden="1" customHeight="1" outlineLevel="1">
      <c r="A7581" s="122">
        <v>42272.0</v>
      </c>
      <c r="B7581" s="974"/>
      <c r="C7581" s="32" t="s">
        <v>429</v>
      </c>
      <c r="D7581" s="708"/>
      <c r="E7581" s="195"/>
      <c r="F7581" s="709"/>
      <c r="G7581" s="195"/>
      <c r="H7581" s="710"/>
      <c r="I7581" s="256"/>
      <c r="J7581" s="67"/>
      <c r="K7581" s="9" t="s">
        <v>3049</v>
      </c>
      <c r="L7581" s="934"/>
      <c r="M7581" s="934"/>
    </row>
    <row r="7582" ht="12.75" hidden="1" customHeight="1" outlineLevel="1">
      <c r="A7582" s="122">
        <v>42272.0</v>
      </c>
      <c r="B7582" s="974"/>
      <c r="C7582" s="32" t="s">
        <v>431</v>
      </c>
      <c r="D7582" s="708"/>
      <c r="E7582" s="195"/>
      <c r="F7582" s="709"/>
      <c r="G7582" s="195"/>
      <c r="H7582" s="710"/>
      <c r="I7582" s="256"/>
      <c r="J7582" s="67"/>
      <c r="K7582" s="7" t="s">
        <v>1126</v>
      </c>
      <c r="L7582" s="934"/>
      <c r="M7582" s="934"/>
    </row>
    <row r="7583" ht="12.75" hidden="1" customHeight="1" outlineLevel="1">
      <c r="A7583" s="122">
        <v>42272.0</v>
      </c>
      <c r="B7583" s="974"/>
      <c r="C7583" s="32" t="s">
        <v>433</v>
      </c>
      <c r="D7583" s="708"/>
      <c r="E7583" s="195"/>
      <c r="F7583" s="709"/>
      <c r="G7583" s="195"/>
      <c r="H7583" s="710"/>
      <c r="I7583" s="256"/>
      <c r="J7583" s="67"/>
      <c r="K7583" s="7" t="s">
        <v>1103</v>
      </c>
      <c r="L7583" s="934"/>
      <c r="M7583" s="934"/>
    </row>
    <row r="7584" ht="12.75" hidden="1" customHeight="1" outlineLevel="1">
      <c r="A7584" s="122">
        <v>42272.0</v>
      </c>
      <c r="B7584" s="974"/>
      <c r="C7584" s="32" t="s">
        <v>435</v>
      </c>
      <c r="D7584" s="708"/>
      <c r="E7584" s="195"/>
      <c r="F7584" s="709"/>
      <c r="G7584" s="195"/>
      <c r="H7584" s="710"/>
      <c r="I7584" s="256"/>
      <c r="J7584" s="67"/>
      <c r="K7584" s="9" t="s">
        <v>3134</v>
      </c>
      <c r="L7584" s="934"/>
      <c r="M7584" s="934"/>
    </row>
    <row r="7585" ht="12.75" hidden="1" customHeight="1" outlineLevel="1">
      <c r="A7585" s="202">
        <v>42275.0</v>
      </c>
      <c r="B7585" s="985" t="s">
        <v>343</v>
      </c>
      <c r="C7585" s="94" t="s">
        <v>1049</v>
      </c>
      <c r="D7585" s="94">
        <v>15.0</v>
      </c>
      <c r="E7585" s="94">
        <v>803.12</v>
      </c>
      <c r="F7585" s="986">
        <v>0.4058449074074074</v>
      </c>
      <c r="G7585" s="94" t="s">
        <v>453</v>
      </c>
      <c r="H7585" s="987">
        <v>1.0</v>
      </c>
      <c r="I7585" s="988" t="s">
        <v>3145</v>
      </c>
      <c r="J7585" s="67">
        <f t="shared" ref="J7585:J7605" si="449">IF(B7585="SLD",D7585*E7585,-D7585*E7585)-H7585</f>
        <v>-12047.8</v>
      </c>
      <c r="L7585" s="70"/>
      <c r="M7585" s="934"/>
    </row>
    <row r="7586" ht="12.75" hidden="1" customHeight="1" outlineLevel="1">
      <c r="A7586" s="202">
        <v>42275.0</v>
      </c>
      <c r="B7586" s="985" t="s">
        <v>347</v>
      </c>
      <c r="C7586" s="94" t="s">
        <v>1890</v>
      </c>
      <c r="D7586" s="94">
        <v>500.0</v>
      </c>
      <c r="E7586" s="94">
        <v>13.93</v>
      </c>
      <c r="F7586" s="986">
        <v>0.46793981481481484</v>
      </c>
      <c r="G7586" s="94" t="s">
        <v>453</v>
      </c>
      <c r="H7586" s="987">
        <v>2.63</v>
      </c>
      <c r="I7586" s="988" t="s">
        <v>3145</v>
      </c>
      <c r="J7586" s="67">
        <f t="shared" si="449"/>
        <v>6962.37</v>
      </c>
      <c r="L7586" s="70"/>
      <c r="M7586" s="934"/>
    </row>
    <row r="7587" ht="12.75" hidden="1" customHeight="1" outlineLevel="1">
      <c r="A7587" s="202">
        <v>42275.0</v>
      </c>
      <c r="B7587" s="985" t="s">
        <v>347</v>
      </c>
      <c r="C7587" s="94" t="s">
        <v>1781</v>
      </c>
      <c r="D7587" s="286">
        <v>3000.0</v>
      </c>
      <c r="E7587" s="94">
        <v>6.38</v>
      </c>
      <c r="F7587" s="986">
        <v>0.4692013888888889</v>
      </c>
      <c r="G7587" s="94" t="s">
        <v>453</v>
      </c>
      <c r="H7587" s="987">
        <v>15.35</v>
      </c>
      <c r="I7587" s="988" t="s">
        <v>3145</v>
      </c>
      <c r="J7587" s="67">
        <f t="shared" si="449"/>
        <v>19124.65</v>
      </c>
      <c r="L7587" s="70"/>
      <c r="M7587" s="934"/>
    </row>
    <row r="7588" ht="12.75" hidden="1" customHeight="1" outlineLevel="1">
      <c r="A7588" s="202">
        <v>42275.0</v>
      </c>
      <c r="B7588" s="985" t="s">
        <v>347</v>
      </c>
      <c r="C7588" s="94" t="s">
        <v>2177</v>
      </c>
      <c r="D7588" s="94">
        <v>100.0</v>
      </c>
      <c r="E7588" s="94">
        <v>165.43</v>
      </c>
      <c r="F7588" s="986">
        <v>0.5952546296296296</v>
      </c>
      <c r="G7588" s="94" t="s">
        <v>453</v>
      </c>
      <c r="H7588" s="987">
        <v>1.3</v>
      </c>
      <c r="I7588" s="988" t="s">
        <v>3145</v>
      </c>
      <c r="J7588" s="67">
        <f t="shared" si="449"/>
        <v>16541.7</v>
      </c>
      <c r="L7588" s="70"/>
      <c r="M7588" s="934"/>
    </row>
    <row r="7589" ht="12.75" hidden="1" customHeight="1" outlineLevel="1">
      <c r="A7589" s="202">
        <v>42275.0</v>
      </c>
      <c r="B7589" s="985" t="s">
        <v>347</v>
      </c>
      <c r="C7589" s="94" t="s">
        <v>1310</v>
      </c>
      <c r="D7589" s="94">
        <v>35.0</v>
      </c>
      <c r="E7589" s="94">
        <v>250.205</v>
      </c>
      <c r="F7589" s="986">
        <v>0.5954398148148148</v>
      </c>
      <c r="G7589" s="94" t="s">
        <v>453</v>
      </c>
      <c r="H7589" s="987">
        <v>1.16</v>
      </c>
      <c r="I7589" s="988" t="s">
        <v>3145</v>
      </c>
      <c r="J7589" s="67">
        <f t="shared" si="449"/>
        <v>8756.015</v>
      </c>
      <c r="L7589" s="70"/>
      <c r="M7589" s="934"/>
    </row>
    <row r="7590" ht="12.75" hidden="1" customHeight="1" outlineLevel="1">
      <c r="A7590" s="202">
        <v>42275.0</v>
      </c>
      <c r="B7590" s="985" t="s">
        <v>347</v>
      </c>
      <c r="C7590" s="94" t="s">
        <v>2342</v>
      </c>
      <c r="D7590" s="94">
        <v>400.0</v>
      </c>
      <c r="E7590" s="94">
        <v>39.901</v>
      </c>
      <c r="F7590" s="986">
        <v>0.595625</v>
      </c>
      <c r="G7590" s="94" t="s">
        <v>453</v>
      </c>
      <c r="H7590" s="987">
        <v>1.89</v>
      </c>
      <c r="I7590" s="988" t="s">
        <v>3145</v>
      </c>
      <c r="J7590" s="67">
        <f t="shared" si="449"/>
        <v>15958.51</v>
      </c>
      <c r="L7590" s="70"/>
      <c r="M7590" s="934"/>
    </row>
    <row r="7591" ht="12.75" hidden="1" customHeight="1" outlineLevel="1">
      <c r="A7591" s="202">
        <v>42275.0</v>
      </c>
      <c r="B7591" s="985" t="s">
        <v>347</v>
      </c>
      <c r="C7591" s="94" t="s">
        <v>1244</v>
      </c>
      <c r="D7591" s="94">
        <v>150.0</v>
      </c>
      <c r="E7591" s="94">
        <v>94.7102</v>
      </c>
      <c r="F7591" s="986">
        <v>0.5958217592592593</v>
      </c>
      <c r="G7591" s="94" t="s">
        <v>453</v>
      </c>
      <c r="H7591" s="987">
        <v>1.26</v>
      </c>
      <c r="I7591" s="988" t="s">
        <v>3145</v>
      </c>
      <c r="J7591" s="67">
        <f t="shared" si="449"/>
        <v>14205.27</v>
      </c>
      <c r="L7591" s="70"/>
      <c r="M7591" s="934"/>
    </row>
    <row r="7592" ht="12.75" hidden="1" customHeight="1" outlineLevel="1">
      <c r="A7592" s="202">
        <v>42275.0</v>
      </c>
      <c r="B7592" s="985" t="s">
        <v>347</v>
      </c>
      <c r="C7592" s="94" t="s">
        <v>1249</v>
      </c>
      <c r="D7592" s="94">
        <v>175.0</v>
      </c>
      <c r="E7592" s="94">
        <v>96.32</v>
      </c>
      <c r="F7592" s="986">
        <v>0.5961574074074074</v>
      </c>
      <c r="G7592" s="94" t="s">
        <v>453</v>
      </c>
      <c r="H7592" s="987">
        <v>1.31</v>
      </c>
      <c r="I7592" s="988" t="s">
        <v>3145</v>
      </c>
      <c r="J7592" s="67">
        <f t="shared" si="449"/>
        <v>16854.69</v>
      </c>
      <c r="L7592" s="70"/>
      <c r="M7592" s="934"/>
    </row>
    <row r="7593" ht="12.75" hidden="1" customHeight="1" outlineLevel="1">
      <c r="A7593" s="202">
        <v>42275.0</v>
      </c>
      <c r="B7593" s="985" t="s">
        <v>347</v>
      </c>
      <c r="C7593" s="94" t="s">
        <v>1345</v>
      </c>
      <c r="D7593" s="94">
        <v>175.0</v>
      </c>
      <c r="E7593" s="94">
        <v>130.288</v>
      </c>
      <c r="F7593" s="986">
        <v>0.5965972222222222</v>
      </c>
      <c r="G7593" s="94" t="s">
        <v>453</v>
      </c>
      <c r="H7593" s="987">
        <v>1.42</v>
      </c>
      <c r="I7593" s="988" t="s">
        <v>3145</v>
      </c>
      <c r="J7593" s="67">
        <f t="shared" si="449"/>
        <v>22798.98</v>
      </c>
      <c r="L7593" s="70"/>
      <c r="M7593" s="934"/>
    </row>
    <row r="7594" ht="12.75" hidden="1" customHeight="1" outlineLevel="1">
      <c r="A7594" s="202">
        <v>42275.0</v>
      </c>
      <c r="B7594" s="985" t="s">
        <v>343</v>
      </c>
      <c r="C7594" s="94" t="s">
        <v>1345</v>
      </c>
      <c r="D7594" s="94">
        <v>25.0</v>
      </c>
      <c r="E7594" s="94">
        <v>130.2</v>
      </c>
      <c r="F7594" s="986">
        <v>0.5968171296296296</v>
      </c>
      <c r="G7594" s="94" t="s">
        <v>453</v>
      </c>
      <c r="H7594" s="987">
        <v>1.0</v>
      </c>
      <c r="I7594" s="988" t="s">
        <v>3145</v>
      </c>
      <c r="J7594" s="67">
        <f t="shared" si="449"/>
        <v>-3256</v>
      </c>
      <c r="L7594" s="70"/>
      <c r="M7594" s="934"/>
    </row>
    <row r="7595" ht="12.75" hidden="1" customHeight="1" outlineLevel="1">
      <c r="A7595" s="202">
        <v>42275.0</v>
      </c>
      <c r="B7595" s="985" t="s">
        <v>347</v>
      </c>
      <c r="C7595" s="94" t="s">
        <v>2177</v>
      </c>
      <c r="D7595" s="94">
        <v>175.0</v>
      </c>
      <c r="E7595" s="94">
        <v>162.21</v>
      </c>
      <c r="F7595" s="986">
        <v>0.5978009259259259</v>
      </c>
      <c r="G7595" s="94" t="s">
        <v>453</v>
      </c>
      <c r="H7595" s="987">
        <v>1.52</v>
      </c>
      <c r="I7595" s="988" t="s">
        <v>3145</v>
      </c>
      <c r="J7595" s="67">
        <f t="shared" si="449"/>
        <v>28385.23</v>
      </c>
      <c r="L7595" s="70"/>
      <c r="M7595" s="934"/>
    </row>
    <row r="7596" ht="12.75" hidden="1" customHeight="1" outlineLevel="1">
      <c r="A7596" s="202">
        <v>42275.0</v>
      </c>
      <c r="B7596" s="985" t="s">
        <v>347</v>
      </c>
      <c r="C7596" s="94" t="s">
        <v>1249</v>
      </c>
      <c r="D7596" s="94">
        <v>175.0</v>
      </c>
      <c r="E7596" s="94">
        <v>96.32</v>
      </c>
      <c r="F7596" s="986">
        <v>0.5980208333333333</v>
      </c>
      <c r="G7596" s="94" t="s">
        <v>453</v>
      </c>
      <c r="H7596" s="987">
        <v>1.31</v>
      </c>
      <c r="I7596" s="988" t="s">
        <v>3145</v>
      </c>
      <c r="J7596" s="67">
        <f t="shared" si="449"/>
        <v>16854.69</v>
      </c>
      <c r="L7596" s="70"/>
      <c r="M7596" s="934"/>
    </row>
    <row r="7597" ht="12.75" hidden="1" customHeight="1" outlineLevel="1">
      <c r="A7597" s="202">
        <v>42275.0</v>
      </c>
      <c r="B7597" s="985" t="s">
        <v>347</v>
      </c>
      <c r="C7597" s="94" t="s">
        <v>2342</v>
      </c>
      <c r="D7597" s="94">
        <v>400.0</v>
      </c>
      <c r="E7597" s="94">
        <v>39.92</v>
      </c>
      <c r="F7597" s="986">
        <v>0.5983333333333334</v>
      </c>
      <c r="G7597" s="94" t="s">
        <v>453</v>
      </c>
      <c r="H7597" s="987">
        <v>1.99</v>
      </c>
      <c r="I7597" s="988" t="s">
        <v>3145</v>
      </c>
      <c r="J7597" s="67">
        <f t="shared" si="449"/>
        <v>15966.01</v>
      </c>
      <c r="L7597" s="70"/>
      <c r="M7597" s="934"/>
    </row>
    <row r="7598" ht="12.75" hidden="1" customHeight="1" outlineLevel="1">
      <c r="A7598" s="202">
        <v>42275.0</v>
      </c>
      <c r="B7598" s="985" t="s">
        <v>347</v>
      </c>
      <c r="C7598" s="94" t="s">
        <v>1244</v>
      </c>
      <c r="D7598" s="94">
        <v>150.0</v>
      </c>
      <c r="E7598" s="94">
        <v>94.887</v>
      </c>
      <c r="F7598" s="986">
        <v>0.5985532407407408</v>
      </c>
      <c r="G7598" s="94" t="s">
        <v>453</v>
      </c>
      <c r="H7598" s="987">
        <v>1.26</v>
      </c>
      <c r="I7598" s="988" t="s">
        <v>3145</v>
      </c>
      <c r="J7598" s="67">
        <f t="shared" si="449"/>
        <v>14231.79</v>
      </c>
      <c r="L7598" s="70"/>
      <c r="M7598" s="934"/>
    </row>
    <row r="7599" ht="12.75" hidden="1" customHeight="1" outlineLevel="1">
      <c r="A7599" s="202">
        <v>42275.0</v>
      </c>
      <c r="B7599" s="985" t="s">
        <v>347</v>
      </c>
      <c r="C7599" s="94" t="s">
        <v>1310</v>
      </c>
      <c r="D7599" s="94">
        <v>40.0</v>
      </c>
      <c r="E7599" s="94">
        <v>251.53</v>
      </c>
      <c r="F7599" s="986">
        <v>0.5986921296296296</v>
      </c>
      <c r="G7599" s="94" t="s">
        <v>453</v>
      </c>
      <c r="H7599" s="987">
        <v>1.19</v>
      </c>
      <c r="I7599" s="988" t="s">
        <v>3145</v>
      </c>
      <c r="J7599" s="67">
        <f t="shared" si="449"/>
        <v>10060.01</v>
      </c>
      <c r="L7599" s="70"/>
      <c r="M7599" s="934"/>
    </row>
    <row r="7600" ht="12.75" hidden="1" customHeight="1" outlineLevel="1">
      <c r="A7600" s="202">
        <v>42275.0</v>
      </c>
      <c r="B7600" s="985" t="s">
        <v>343</v>
      </c>
      <c r="C7600" s="94" t="s">
        <v>1995</v>
      </c>
      <c r="D7600" s="94">
        <v>175.0</v>
      </c>
      <c r="E7600" s="94">
        <v>45.7</v>
      </c>
      <c r="F7600" s="986">
        <v>0.6209837962962963</v>
      </c>
      <c r="G7600" s="94" t="s">
        <v>453</v>
      </c>
      <c r="H7600" s="987">
        <v>1.0</v>
      </c>
      <c r="I7600" s="988" t="s">
        <v>3145</v>
      </c>
      <c r="J7600" s="67">
        <f t="shared" si="449"/>
        <v>-7998.5</v>
      </c>
      <c r="L7600" s="70"/>
      <c r="M7600" s="934"/>
    </row>
    <row r="7601" ht="12.75" hidden="1" customHeight="1" outlineLevel="1">
      <c r="A7601" s="202">
        <v>42275.0</v>
      </c>
      <c r="B7601" s="985" t="s">
        <v>343</v>
      </c>
      <c r="C7601" s="94" t="s">
        <v>2585</v>
      </c>
      <c r="D7601" s="94">
        <v>500.0</v>
      </c>
      <c r="E7601" s="94">
        <v>10.747</v>
      </c>
      <c r="F7601" s="986">
        <v>0.6216435185185185</v>
      </c>
      <c r="G7601" s="94" t="s">
        <v>453</v>
      </c>
      <c r="H7601" s="987">
        <v>2.5</v>
      </c>
      <c r="I7601" s="988" t="s">
        <v>3145</v>
      </c>
      <c r="J7601" s="67">
        <f t="shared" si="449"/>
        <v>-5376</v>
      </c>
      <c r="L7601" s="70"/>
      <c r="M7601" s="934"/>
    </row>
    <row r="7602" ht="12.75" hidden="1" customHeight="1" outlineLevel="1">
      <c r="A7602" s="202">
        <v>42275.0</v>
      </c>
      <c r="B7602" s="985" t="s">
        <v>343</v>
      </c>
      <c r="C7602" s="94" t="s">
        <v>3136</v>
      </c>
      <c r="D7602" s="94">
        <v>150.0</v>
      </c>
      <c r="E7602" s="94">
        <v>41.029</v>
      </c>
      <c r="F7602" s="986">
        <v>0.6218865740740741</v>
      </c>
      <c r="G7602" s="94" t="s">
        <v>453</v>
      </c>
      <c r="H7602" s="987">
        <v>1.0</v>
      </c>
      <c r="I7602" s="988" t="s">
        <v>3145</v>
      </c>
      <c r="J7602" s="67">
        <f t="shared" si="449"/>
        <v>-6155.35</v>
      </c>
      <c r="L7602" s="70"/>
      <c r="M7602" s="934"/>
    </row>
    <row r="7603" ht="12.75" hidden="1" customHeight="1" outlineLevel="1">
      <c r="A7603" s="202">
        <v>42275.0</v>
      </c>
      <c r="B7603" s="985" t="s">
        <v>343</v>
      </c>
      <c r="C7603" s="94" t="s">
        <v>3132</v>
      </c>
      <c r="D7603" s="94">
        <v>50.0</v>
      </c>
      <c r="E7603" s="94">
        <v>136.1</v>
      </c>
      <c r="F7603" s="986">
        <v>0.6225347222222222</v>
      </c>
      <c r="G7603" s="94" t="s">
        <v>453</v>
      </c>
      <c r="H7603" s="987">
        <v>1.0</v>
      </c>
      <c r="I7603" s="988" t="s">
        <v>3145</v>
      </c>
      <c r="J7603" s="67">
        <f t="shared" si="449"/>
        <v>-6806</v>
      </c>
      <c r="L7603" s="70"/>
      <c r="M7603" s="934"/>
    </row>
    <row r="7604" ht="12.75" hidden="1" customHeight="1" outlineLevel="1">
      <c r="A7604" s="202">
        <v>42275.0</v>
      </c>
      <c r="B7604" s="985" t="s">
        <v>347</v>
      </c>
      <c r="C7604" s="94" t="s">
        <v>1061</v>
      </c>
      <c r="D7604" s="94">
        <v>500.0</v>
      </c>
      <c r="E7604" s="94">
        <v>38.24</v>
      </c>
      <c r="F7604" s="986">
        <v>0.6509259259259259</v>
      </c>
      <c r="G7604" s="94" t="s">
        <v>453</v>
      </c>
      <c r="H7604" s="987">
        <v>2.85</v>
      </c>
      <c r="I7604" s="988" t="s">
        <v>3145</v>
      </c>
      <c r="J7604" s="67">
        <f t="shared" si="449"/>
        <v>19117.15</v>
      </c>
      <c r="L7604" s="70"/>
      <c r="M7604" s="934"/>
    </row>
    <row r="7605" ht="12.75" hidden="1" customHeight="1" outlineLevel="1">
      <c r="A7605" s="202">
        <v>42275.0</v>
      </c>
      <c r="B7605" s="985" t="s">
        <v>347</v>
      </c>
      <c r="C7605" s="94" t="s">
        <v>1061</v>
      </c>
      <c r="D7605" s="94">
        <v>500.0</v>
      </c>
      <c r="E7605" s="94">
        <v>38.422</v>
      </c>
      <c r="F7605" s="986">
        <v>0.6618055555555555</v>
      </c>
      <c r="G7605" s="94" t="s">
        <v>453</v>
      </c>
      <c r="H7605" s="987">
        <v>2.65</v>
      </c>
      <c r="I7605" s="988" t="s">
        <v>3145</v>
      </c>
      <c r="J7605" s="67">
        <f t="shared" si="449"/>
        <v>19208.35</v>
      </c>
      <c r="L7605" s="70"/>
      <c r="M7605" s="934"/>
    </row>
    <row r="7606" ht="12.75" hidden="1" customHeight="1" outlineLevel="1">
      <c r="A7606" s="122">
        <v>42275.0</v>
      </c>
      <c r="B7606" s="974"/>
      <c r="C7606" s="32" t="s">
        <v>339</v>
      </c>
      <c r="D7606" s="708"/>
      <c r="E7606" s="195"/>
      <c r="F7606" s="709"/>
      <c r="G7606" s="195"/>
      <c r="H7606" s="710"/>
      <c r="I7606" s="256"/>
      <c r="J7606" s="67"/>
      <c r="K7606" s="968" t="s">
        <v>3160</v>
      </c>
      <c r="L7606" s="934"/>
      <c r="M7606" s="934"/>
    </row>
    <row r="7607" ht="12.75" hidden="1" customHeight="1" outlineLevel="1">
      <c r="A7607" s="122">
        <v>42275.0</v>
      </c>
      <c r="B7607" s="974"/>
      <c r="C7607" s="32" t="s">
        <v>429</v>
      </c>
      <c r="D7607" s="708"/>
      <c r="E7607" s="195"/>
      <c r="F7607" s="709"/>
      <c r="G7607" s="195"/>
      <c r="H7607" s="710"/>
      <c r="I7607" s="256"/>
      <c r="J7607" s="67"/>
      <c r="K7607" s="9" t="s">
        <v>3161</v>
      </c>
      <c r="L7607" s="934"/>
      <c r="M7607" s="934"/>
    </row>
    <row r="7608" ht="12.75" hidden="1" customHeight="1" outlineLevel="1">
      <c r="A7608" s="122">
        <v>42275.0</v>
      </c>
      <c r="B7608" s="974"/>
      <c r="C7608" s="32" t="s">
        <v>431</v>
      </c>
      <c r="D7608" s="708"/>
      <c r="E7608" s="195"/>
      <c r="F7608" s="709"/>
      <c r="G7608" s="195"/>
      <c r="H7608" s="710"/>
      <c r="I7608" s="256"/>
      <c r="J7608" s="67"/>
      <c r="K7608" s="7" t="s">
        <v>1126</v>
      </c>
      <c r="L7608" s="934"/>
      <c r="M7608" s="934"/>
    </row>
    <row r="7609" ht="12.75" hidden="1" customHeight="1" outlineLevel="1">
      <c r="A7609" s="122">
        <v>42275.0</v>
      </c>
      <c r="B7609" s="974"/>
      <c r="C7609" s="32" t="s">
        <v>433</v>
      </c>
      <c r="D7609" s="708"/>
      <c r="E7609" s="195"/>
      <c r="F7609" s="709"/>
      <c r="G7609" s="195"/>
      <c r="H7609" s="710"/>
      <c r="I7609" s="256"/>
      <c r="J7609" s="67"/>
      <c r="K7609" s="7" t="s">
        <v>1103</v>
      </c>
      <c r="L7609" s="934"/>
      <c r="M7609" s="934"/>
    </row>
    <row r="7610" ht="12.75" hidden="1" customHeight="1" outlineLevel="1">
      <c r="A7610" s="122">
        <v>42275.0</v>
      </c>
      <c r="B7610" s="974"/>
      <c r="C7610" s="32" t="s">
        <v>435</v>
      </c>
      <c r="D7610" s="708"/>
      <c r="E7610" s="195"/>
      <c r="F7610" s="709"/>
      <c r="G7610" s="195"/>
      <c r="H7610" s="710"/>
      <c r="I7610" s="256"/>
      <c r="J7610" s="67"/>
      <c r="K7610" s="9" t="s">
        <v>3134</v>
      </c>
      <c r="L7610" s="934"/>
      <c r="M7610" s="934"/>
    </row>
    <row r="7611" ht="12.75" hidden="1" customHeight="1" outlineLevel="1">
      <c r="A7611" s="202">
        <v>42277.0</v>
      </c>
      <c r="B7611" s="985" t="s">
        <v>343</v>
      </c>
      <c r="C7611" s="94" t="s">
        <v>605</v>
      </c>
      <c r="D7611" s="94">
        <v>100.0</v>
      </c>
      <c r="E7611" s="94">
        <v>76.47</v>
      </c>
      <c r="F7611" s="986">
        <v>0.4032986111111111</v>
      </c>
      <c r="G7611" s="94" t="s">
        <v>453</v>
      </c>
      <c r="H7611" s="987">
        <v>1.0</v>
      </c>
      <c r="I7611" s="988" t="s">
        <v>3145</v>
      </c>
      <c r="J7611" s="67">
        <f t="shared" ref="J7611:J7623" si="450">IF(B7611="SLD",D7611*E7611,-D7611*E7611)-H7611</f>
        <v>-7648</v>
      </c>
      <c r="L7611" s="70"/>
      <c r="M7611" s="934"/>
    </row>
    <row r="7612" ht="12.75" hidden="1" customHeight="1" outlineLevel="1">
      <c r="A7612" s="202">
        <v>42277.0</v>
      </c>
      <c r="B7612" s="985" t="s">
        <v>343</v>
      </c>
      <c r="C7612" s="94" t="s">
        <v>1061</v>
      </c>
      <c r="D7612" s="286">
        <v>1500.0</v>
      </c>
      <c r="E7612" s="94">
        <v>38.229</v>
      </c>
      <c r="F7612" s="986">
        <v>0.4219560185185185</v>
      </c>
      <c r="G7612" s="94" t="s">
        <v>453</v>
      </c>
      <c r="H7612" s="987">
        <v>6.0</v>
      </c>
      <c r="I7612" s="988" t="s">
        <v>3145</v>
      </c>
      <c r="J7612" s="67">
        <f t="shared" si="450"/>
        <v>-57349.5</v>
      </c>
      <c r="L7612" s="70"/>
      <c r="M7612" s="934"/>
    </row>
    <row r="7613" ht="12.75" hidden="1" customHeight="1" outlineLevel="1">
      <c r="A7613" s="202">
        <v>42277.0</v>
      </c>
      <c r="B7613" s="985" t="s">
        <v>343</v>
      </c>
      <c r="C7613" s="94" t="s">
        <v>1060</v>
      </c>
      <c r="D7613" s="94">
        <v>600.0</v>
      </c>
      <c r="E7613" s="94">
        <v>38.699</v>
      </c>
      <c r="F7613" s="986">
        <v>0.4223263888888889</v>
      </c>
      <c r="G7613" s="94" t="s">
        <v>453</v>
      </c>
      <c r="H7613" s="987">
        <v>2.4</v>
      </c>
      <c r="I7613" s="988" t="s">
        <v>3145</v>
      </c>
      <c r="J7613" s="67">
        <f t="shared" si="450"/>
        <v>-23221.8</v>
      </c>
      <c r="L7613" s="70"/>
      <c r="M7613" s="934"/>
    </row>
    <row r="7614" ht="12.75" hidden="1" customHeight="1" outlineLevel="1">
      <c r="A7614" s="202">
        <v>42277.0</v>
      </c>
      <c r="B7614" s="985" t="s">
        <v>343</v>
      </c>
      <c r="C7614" s="94" t="s">
        <v>3006</v>
      </c>
      <c r="D7614" s="94">
        <v>150.0</v>
      </c>
      <c r="E7614" s="94">
        <v>54.104</v>
      </c>
      <c r="F7614" s="986">
        <v>0.42324074074074075</v>
      </c>
      <c r="G7614" s="94" t="s">
        <v>453</v>
      </c>
      <c r="H7614" s="987">
        <v>1.0</v>
      </c>
      <c r="I7614" s="988" t="s">
        <v>3145</v>
      </c>
      <c r="J7614" s="67">
        <f t="shared" si="450"/>
        <v>-8116.6</v>
      </c>
      <c r="L7614" s="70"/>
      <c r="M7614" s="934"/>
    </row>
    <row r="7615" ht="12.75" hidden="1" customHeight="1" outlineLevel="1">
      <c r="A7615" s="202">
        <v>42277.0</v>
      </c>
      <c r="B7615" s="985" t="s">
        <v>343</v>
      </c>
      <c r="C7615" s="94" t="s">
        <v>790</v>
      </c>
      <c r="D7615" s="286">
        <v>2000.0</v>
      </c>
      <c r="E7615" s="94">
        <v>4.29</v>
      </c>
      <c r="F7615" s="986">
        <v>0.6382407407407408</v>
      </c>
      <c r="G7615" s="94" t="s">
        <v>453</v>
      </c>
      <c r="H7615" s="987">
        <v>8.0</v>
      </c>
      <c r="I7615" s="988" t="s">
        <v>3145</v>
      </c>
      <c r="J7615" s="67">
        <f t="shared" si="450"/>
        <v>-8588</v>
      </c>
      <c r="L7615" s="70"/>
      <c r="M7615" s="934"/>
    </row>
    <row r="7616" ht="12.75" hidden="1" customHeight="1" outlineLevel="1">
      <c r="A7616" s="202">
        <v>42277.0</v>
      </c>
      <c r="B7616" s="985" t="s">
        <v>343</v>
      </c>
      <c r="C7616" s="94" t="s">
        <v>790</v>
      </c>
      <c r="D7616" s="286">
        <v>1800.0</v>
      </c>
      <c r="E7616" s="94">
        <v>4.3</v>
      </c>
      <c r="F7616" s="986">
        <v>0.6395717592592592</v>
      </c>
      <c r="G7616" s="94" t="s">
        <v>453</v>
      </c>
      <c r="H7616" s="987">
        <v>7.4</v>
      </c>
      <c r="I7616" s="988" t="s">
        <v>3145</v>
      </c>
      <c r="J7616" s="67">
        <f t="shared" si="450"/>
        <v>-7747.4</v>
      </c>
      <c r="L7616" s="70"/>
      <c r="M7616" s="934"/>
    </row>
    <row r="7617" ht="12.75" hidden="1" customHeight="1" outlineLevel="1">
      <c r="A7617" s="202">
        <v>42277.0</v>
      </c>
      <c r="B7617" s="985" t="s">
        <v>343</v>
      </c>
      <c r="C7617" s="94" t="s">
        <v>1893</v>
      </c>
      <c r="D7617" s="286">
        <v>2000.0</v>
      </c>
      <c r="E7617" s="94">
        <v>9.669</v>
      </c>
      <c r="F7617" s="986">
        <v>0.6413541666666667</v>
      </c>
      <c r="G7617" s="94" t="s">
        <v>453</v>
      </c>
      <c r="H7617" s="987">
        <v>8.0</v>
      </c>
      <c r="I7617" s="988" t="s">
        <v>3145</v>
      </c>
      <c r="J7617" s="67">
        <f t="shared" si="450"/>
        <v>-19346</v>
      </c>
      <c r="L7617" s="70"/>
      <c r="M7617" s="934"/>
    </row>
    <row r="7618" ht="12.75" hidden="1" customHeight="1" outlineLevel="1">
      <c r="A7618" s="202">
        <v>42277.0</v>
      </c>
      <c r="B7618" s="985" t="s">
        <v>343</v>
      </c>
      <c r="C7618" s="94" t="s">
        <v>1839</v>
      </c>
      <c r="D7618" s="286">
        <v>1000.0</v>
      </c>
      <c r="E7618" s="94">
        <v>7.19</v>
      </c>
      <c r="F7618" s="986">
        <v>0.6428356481481482</v>
      </c>
      <c r="G7618" s="94" t="s">
        <v>453</v>
      </c>
      <c r="H7618" s="987">
        <v>4.9</v>
      </c>
      <c r="I7618" s="988" t="s">
        <v>3145</v>
      </c>
      <c r="J7618" s="67">
        <f t="shared" si="450"/>
        <v>-7194.9</v>
      </c>
      <c r="L7618" s="70"/>
      <c r="M7618" s="934"/>
    </row>
    <row r="7619" ht="12.75" hidden="1" customHeight="1" outlineLevel="1">
      <c r="A7619" s="202">
        <v>42277.0</v>
      </c>
      <c r="B7619" s="985" t="s">
        <v>343</v>
      </c>
      <c r="C7619" s="94" t="s">
        <v>1633</v>
      </c>
      <c r="D7619" s="94">
        <v>750.0</v>
      </c>
      <c r="E7619" s="94">
        <v>9.769</v>
      </c>
      <c r="F7619" s="986">
        <v>0.6443634259259259</v>
      </c>
      <c r="G7619" s="94" t="s">
        <v>453</v>
      </c>
      <c r="H7619" s="987">
        <v>3.0</v>
      </c>
      <c r="I7619" s="988" t="s">
        <v>3145</v>
      </c>
      <c r="J7619" s="67">
        <f t="shared" si="450"/>
        <v>-7329.75</v>
      </c>
      <c r="L7619" s="70"/>
      <c r="M7619" s="934"/>
    </row>
    <row r="7620" ht="12.75" hidden="1" customHeight="1" outlineLevel="1">
      <c r="A7620" s="202">
        <v>42277.0</v>
      </c>
      <c r="B7620" s="985" t="s">
        <v>343</v>
      </c>
      <c r="C7620" s="94" t="s">
        <v>784</v>
      </c>
      <c r="D7620" s="286">
        <v>9000.0</v>
      </c>
      <c r="E7620" s="94">
        <v>4.16</v>
      </c>
      <c r="F7620" s="986">
        <v>0.6458217592592592</v>
      </c>
      <c r="G7620" s="94" t="s">
        <v>453</v>
      </c>
      <c r="H7620" s="987">
        <v>37.2</v>
      </c>
      <c r="I7620" s="988" t="s">
        <v>3145</v>
      </c>
      <c r="J7620" s="67">
        <f t="shared" si="450"/>
        <v>-37477.2</v>
      </c>
      <c r="L7620" s="70"/>
      <c r="M7620" s="934"/>
    </row>
    <row r="7621" ht="12.75" hidden="1" customHeight="1" outlineLevel="1">
      <c r="A7621" s="202">
        <v>42277.0</v>
      </c>
      <c r="B7621" s="985" t="s">
        <v>343</v>
      </c>
      <c r="C7621" s="94" t="s">
        <v>2195</v>
      </c>
      <c r="D7621" s="286">
        <v>1600.0</v>
      </c>
      <c r="E7621" s="94">
        <v>14.012</v>
      </c>
      <c r="F7621" s="986">
        <v>0.6479976851851852</v>
      </c>
      <c r="G7621" s="94" t="s">
        <v>453</v>
      </c>
      <c r="H7621" s="987">
        <v>7.0</v>
      </c>
      <c r="I7621" s="988" t="s">
        <v>3145</v>
      </c>
      <c r="J7621" s="67">
        <f t="shared" si="450"/>
        <v>-22426.2</v>
      </c>
      <c r="L7621" s="70"/>
      <c r="M7621" s="934"/>
    </row>
    <row r="7622" ht="12.75" hidden="1" customHeight="1" outlineLevel="1">
      <c r="A7622" s="202">
        <v>42277.0</v>
      </c>
      <c r="B7622" s="985" t="s">
        <v>343</v>
      </c>
      <c r="C7622" s="94" t="s">
        <v>1781</v>
      </c>
      <c r="D7622" s="286">
        <v>5000.0</v>
      </c>
      <c r="E7622" s="94">
        <v>6.3</v>
      </c>
      <c r="F7622" s="986">
        <v>0.6507175925925925</v>
      </c>
      <c r="G7622" s="94" t="s">
        <v>453</v>
      </c>
      <c r="H7622" s="987">
        <v>25.0</v>
      </c>
      <c r="I7622" s="988" t="s">
        <v>3145</v>
      </c>
      <c r="J7622" s="67">
        <f t="shared" si="450"/>
        <v>-31525</v>
      </c>
      <c r="L7622" s="70"/>
      <c r="M7622" s="934"/>
    </row>
    <row r="7623" ht="12.75" hidden="1" customHeight="1" outlineLevel="1">
      <c r="A7623" s="202">
        <v>42277.0</v>
      </c>
      <c r="B7623" s="985" t="s">
        <v>343</v>
      </c>
      <c r="C7623" s="94" t="s">
        <v>1781</v>
      </c>
      <c r="D7623" s="286">
        <v>5000.0</v>
      </c>
      <c r="E7623" s="94">
        <v>6.299</v>
      </c>
      <c r="F7623" s="986">
        <v>0.6521990740740741</v>
      </c>
      <c r="G7623" s="94" t="s">
        <v>453</v>
      </c>
      <c r="H7623" s="987">
        <v>21.1</v>
      </c>
      <c r="I7623" s="988" t="s">
        <v>3145</v>
      </c>
      <c r="J7623" s="67">
        <f t="shared" si="450"/>
        <v>-31516.1</v>
      </c>
      <c r="L7623" s="70"/>
      <c r="M7623" s="934"/>
    </row>
    <row r="7624" ht="12.75" hidden="1" customHeight="1" outlineLevel="1">
      <c r="A7624" s="122">
        <v>42277.0</v>
      </c>
      <c r="B7624" s="974"/>
      <c r="C7624" s="32" t="s">
        <v>339</v>
      </c>
      <c r="D7624" s="708"/>
      <c r="E7624" s="195"/>
      <c r="F7624" s="709"/>
      <c r="G7624" s="195"/>
      <c r="H7624" s="710"/>
      <c r="I7624" s="256"/>
      <c r="J7624" s="67"/>
      <c r="K7624" s="968" t="s">
        <v>3162</v>
      </c>
      <c r="L7624" s="934"/>
      <c r="M7624" s="934"/>
    </row>
    <row r="7625" ht="12.75" hidden="1" customHeight="1" outlineLevel="1">
      <c r="A7625" s="122">
        <v>42277.0</v>
      </c>
      <c r="B7625" s="974"/>
      <c r="C7625" s="32" t="s">
        <v>429</v>
      </c>
      <c r="D7625" s="708"/>
      <c r="E7625" s="195"/>
      <c r="F7625" s="709"/>
      <c r="G7625" s="195"/>
      <c r="H7625" s="710"/>
      <c r="I7625" s="256"/>
      <c r="J7625" s="67"/>
      <c r="K7625" s="9" t="s">
        <v>3161</v>
      </c>
      <c r="L7625" s="934"/>
      <c r="M7625" s="934"/>
    </row>
    <row r="7626" ht="12.75" hidden="1" customHeight="1" outlineLevel="1">
      <c r="A7626" s="122">
        <v>42277.0</v>
      </c>
      <c r="B7626" s="974"/>
      <c r="C7626" s="32" t="s">
        <v>431</v>
      </c>
      <c r="D7626" s="708"/>
      <c r="E7626" s="195"/>
      <c r="F7626" s="709"/>
      <c r="G7626" s="195"/>
      <c r="H7626" s="710"/>
      <c r="I7626" s="256"/>
      <c r="J7626" s="67"/>
      <c r="K7626" s="7" t="s">
        <v>1126</v>
      </c>
      <c r="L7626" s="934"/>
      <c r="M7626" s="934"/>
    </row>
    <row r="7627" ht="12.75" hidden="1" customHeight="1" outlineLevel="1">
      <c r="A7627" s="122">
        <v>42277.0</v>
      </c>
      <c r="B7627" s="974"/>
      <c r="C7627" s="32" t="s">
        <v>433</v>
      </c>
      <c r="D7627" s="708"/>
      <c r="E7627" s="195"/>
      <c r="F7627" s="709"/>
      <c r="G7627" s="195"/>
      <c r="H7627" s="710"/>
      <c r="I7627" s="256"/>
      <c r="J7627" s="67"/>
      <c r="K7627" s="7" t="s">
        <v>1103</v>
      </c>
      <c r="L7627" s="934"/>
      <c r="M7627" s="934"/>
    </row>
    <row r="7628" ht="12.75" hidden="1" customHeight="1" outlineLevel="1">
      <c r="A7628" s="122">
        <v>42277.0</v>
      </c>
      <c r="B7628" s="974"/>
      <c r="C7628" s="32" t="s">
        <v>435</v>
      </c>
      <c r="D7628" s="708"/>
      <c r="E7628" s="195"/>
      <c r="F7628" s="709"/>
      <c r="G7628" s="195"/>
      <c r="H7628" s="710"/>
      <c r="I7628" s="256"/>
      <c r="J7628" s="67"/>
      <c r="K7628" s="9" t="s">
        <v>3134</v>
      </c>
      <c r="L7628" s="934"/>
      <c r="M7628" s="934"/>
    </row>
    <row r="7629" ht="12.75" hidden="1" customHeight="1" outlineLevel="1">
      <c r="A7629" s="202">
        <v>42278.0</v>
      </c>
      <c r="B7629" s="985" t="s">
        <v>347</v>
      </c>
      <c r="C7629" s="94" t="s">
        <v>1781</v>
      </c>
      <c r="D7629" s="286">
        <v>1000.0</v>
      </c>
      <c r="E7629" s="94">
        <v>6.3</v>
      </c>
      <c r="F7629" s="986">
        <v>0.45011574074074073</v>
      </c>
      <c r="G7629" s="94" t="s">
        <v>453</v>
      </c>
      <c r="H7629" s="987">
        <v>4.62</v>
      </c>
      <c r="I7629" s="988" t="s">
        <v>3145</v>
      </c>
      <c r="J7629" s="67">
        <f t="shared" ref="J7629:J7635" si="451">IF(B7629="SLD",D7629*E7629,-D7629*E7629)-H7629</f>
        <v>6295.38</v>
      </c>
      <c r="L7629" s="70"/>
      <c r="M7629" s="934"/>
    </row>
    <row r="7630" ht="12.75" hidden="1" customHeight="1" outlineLevel="1">
      <c r="A7630" s="202">
        <v>42278.0</v>
      </c>
      <c r="B7630" s="985" t="s">
        <v>347</v>
      </c>
      <c r="C7630" s="94" t="s">
        <v>1905</v>
      </c>
      <c r="D7630" s="94">
        <v>500.0</v>
      </c>
      <c r="E7630" s="94">
        <v>27.42</v>
      </c>
      <c r="F7630" s="986">
        <v>0.4554050925925926</v>
      </c>
      <c r="G7630" s="94" t="s">
        <v>453</v>
      </c>
      <c r="H7630" s="987">
        <v>2.25</v>
      </c>
      <c r="I7630" s="988" t="s">
        <v>3145</v>
      </c>
      <c r="J7630" s="67">
        <f t="shared" si="451"/>
        <v>13707.75</v>
      </c>
      <c r="L7630" s="70"/>
      <c r="M7630" s="934"/>
    </row>
    <row r="7631" ht="12.75" hidden="1" customHeight="1" outlineLevel="1">
      <c r="A7631" s="202">
        <v>42278.0</v>
      </c>
      <c r="B7631" s="985" t="s">
        <v>347</v>
      </c>
      <c r="C7631" s="94" t="s">
        <v>2195</v>
      </c>
      <c r="D7631" s="94">
        <v>500.0</v>
      </c>
      <c r="E7631" s="94">
        <v>13.317</v>
      </c>
      <c r="F7631" s="986">
        <v>0.5905902777777777</v>
      </c>
      <c r="G7631" s="94" t="s">
        <v>453</v>
      </c>
      <c r="H7631" s="987">
        <v>2.52</v>
      </c>
      <c r="I7631" s="988" t="s">
        <v>3145</v>
      </c>
      <c r="J7631" s="67">
        <f t="shared" si="451"/>
        <v>6655.98</v>
      </c>
      <c r="L7631" s="70"/>
      <c r="M7631" s="934"/>
    </row>
    <row r="7632" ht="12.75" hidden="1" customHeight="1" outlineLevel="1">
      <c r="A7632" s="202">
        <v>42278.0</v>
      </c>
      <c r="B7632" s="985" t="s">
        <v>347</v>
      </c>
      <c r="C7632" s="94" t="s">
        <v>2195</v>
      </c>
      <c r="D7632" s="94">
        <v>500.0</v>
      </c>
      <c r="E7632" s="94">
        <v>13.338</v>
      </c>
      <c r="F7632" s="986">
        <v>0.5912037037037037</v>
      </c>
      <c r="G7632" s="94" t="s">
        <v>453</v>
      </c>
      <c r="H7632" s="987">
        <v>2.42</v>
      </c>
      <c r="I7632" s="988" t="s">
        <v>3145</v>
      </c>
      <c r="J7632" s="67">
        <f t="shared" si="451"/>
        <v>6666.58</v>
      </c>
      <c r="L7632" s="70"/>
      <c r="M7632" s="934"/>
    </row>
    <row r="7633" ht="12.75" hidden="1" customHeight="1" outlineLevel="1">
      <c r="A7633" s="202">
        <v>42278.0</v>
      </c>
      <c r="B7633" s="985" t="s">
        <v>347</v>
      </c>
      <c r="C7633" s="94" t="s">
        <v>2195</v>
      </c>
      <c r="D7633" s="94">
        <v>600.0</v>
      </c>
      <c r="E7633" s="94">
        <v>13.271</v>
      </c>
      <c r="F7633" s="986">
        <v>0.6010300925925925</v>
      </c>
      <c r="G7633" s="94" t="s">
        <v>453</v>
      </c>
      <c r="H7633" s="987">
        <v>2.95</v>
      </c>
      <c r="I7633" s="988" t="s">
        <v>3145</v>
      </c>
      <c r="J7633" s="67">
        <f t="shared" si="451"/>
        <v>7959.65</v>
      </c>
      <c r="L7633" s="70"/>
      <c r="M7633" s="934"/>
    </row>
    <row r="7634" ht="12.75" hidden="1" customHeight="1" outlineLevel="1">
      <c r="A7634" s="202">
        <v>42278.0</v>
      </c>
      <c r="B7634" s="985" t="s">
        <v>347</v>
      </c>
      <c r="C7634" s="94" t="s">
        <v>1905</v>
      </c>
      <c r="D7634" s="94">
        <v>500.0</v>
      </c>
      <c r="E7634" s="94">
        <v>27.69</v>
      </c>
      <c r="F7634" s="986">
        <v>0.6172685185185185</v>
      </c>
      <c r="G7634" s="94" t="s">
        <v>453</v>
      </c>
      <c r="H7634" s="987">
        <v>2.45</v>
      </c>
      <c r="I7634" s="988" t="s">
        <v>3145</v>
      </c>
      <c r="J7634" s="67">
        <f t="shared" si="451"/>
        <v>13842.55</v>
      </c>
      <c r="L7634" s="70"/>
      <c r="M7634" s="934"/>
    </row>
    <row r="7635" ht="12.75" hidden="1" customHeight="1" outlineLevel="1">
      <c r="A7635" s="202">
        <v>42278.0</v>
      </c>
      <c r="B7635" s="985" t="s">
        <v>347</v>
      </c>
      <c r="C7635" s="94" t="s">
        <v>1781</v>
      </c>
      <c r="D7635" s="286">
        <v>1500.0</v>
      </c>
      <c r="E7635" s="94">
        <v>6.151</v>
      </c>
      <c r="F7635" s="986">
        <v>0.6504745370370371</v>
      </c>
      <c r="G7635" s="94" t="s">
        <v>453</v>
      </c>
      <c r="H7635" s="987">
        <v>6.37</v>
      </c>
      <c r="I7635" s="988" t="s">
        <v>3145</v>
      </c>
      <c r="J7635" s="67">
        <f t="shared" si="451"/>
        <v>9220.13</v>
      </c>
      <c r="L7635" s="70"/>
      <c r="M7635" s="934"/>
    </row>
    <row r="7636" ht="12.75" hidden="1" customHeight="1" outlineLevel="1">
      <c r="A7636" s="122">
        <v>42278.0</v>
      </c>
      <c r="B7636" s="974"/>
      <c r="C7636" s="32" t="s">
        <v>339</v>
      </c>
      <c r="D7636" s="708"/>
      <c r="E7636" s="195"/>
      <c r="F7636" s="709"/>
      <c r="G7636" s="195"/>
      <c r="H7636" s="710"/>
      <c r="I7636" s="256"/>
      <c r="J7636" s="67"/>
      <c r="K7636" s="968" t="s">
        <v>3167</v>
      </c>
      <c r="L7636" s="934"/>
      <c r="M7636" s="934"/>
    </row>
    <row r="7637" ht="12.75" hidden="1" customHeight="1" outlineLevel="1">
      <c r="A7637" s="122">
        <v>42278.0</v>
      </c>
      <c r="B7637" s="974"/>
      <c r="C7637" s="32" t="s">
        <v>429</v>
      </c>
      <c r="D7637" s="708"/>
      <c r="E7637" s="195"/>
      <c r="F7637" s="709"/>
      <c r="G7637" s="195"/>
      <c r="H7637" s="710"/>
      <c r="I7637" s="256"/>
      <c r="J7637" s="67"/>
      <c r="K7637" s="9" t="s">
        <v>3161</v>
      </c>
      <c r="L7637" s="934"/>
      <c r="M7637" s="934"/>
    </row>
    <row r="7638" ht="12.75" hidden="1" customHeight="1" outlineLevel="1">
      <c r="A7638" s="122">
        <v>42278.0</v>
      </c>
      <c r="B7638" s="974"/>
      <c r="C7638" s="32" t="s">
        <v>431</v>
      </c>
      <c r="D7638" s="708"/>
      <c r="E7638" s="195"/>
      <c r="F7638" s="709"/>
      <c r="G7638" s="195"/>
      <c r="H7638" s="710"/>
      <c r="I7638" s="256"/>
      <c r="J7638" s="67"/>
      <c r="K7638" s="7" t="s">
        <v>1126</v>
      </c>
      <c r="L7638" s="934"/>
      <c r="M7638" s="934"/>
    </row>
    <row r="7639" ht="12.75" hidden="1" customHeight="1" outlineLevel="1">
      <c r="A7639" s="122">
        <v>42278.0</v>
      </c>
      <c r="B7639" s="974"/>
      <c r="C7639" s="32" t="s">
        <v>433</v>
      </c>
      <c r="D7639" s="708"/>
      <c r="E7639" s="195"/>
      <c r="F7639" s="709"/>
      <c r="G7639" s="195"/>
      <c r="H7639" s="710"/>
      <c r="I7639" s="256"/>
      <c r="J7639" s="67"/>
      <c r="K7639" s="7" t="s">
        <v>1103</v>
      </c>
      <c r="L7639" s="934"/>
      <c r="M7639" s="934"/>
    </row>
    <row r="7640" ht="12.75" hidden="1" customHeight="1" outlineLevel="1">
      <c r="A7640" s="122">
        <v>42278.0</v>
      </c>
      <c r="B7640" s="974"/>
      <c r="C7640" s="32" t="s">
        <v>435</v>
      </c>
      <c r="D7640" s="708"/>
      <c r="E7640" s="195"/>
      <c r="F7640" s="709"/>
      <c r="G7640" s="195"/>
      <c r="H7640" s="710"/>
      <c r="I7640" s="256"/>
      <c r="J7640" s="67"/>
      <c r="K7640" s="9" t="s">
        <v>3134</v>
      </c>
      <c r="L7640" s="934"/>
      <c r="M7640" s="934"/>
    </row>
    <row r="7641" ht="12.75" hidden="1" customHeight="1" outlineLevel="1">
      <c r="A7641" s="990">
        <v>42279.0</v>
      </c>
      <c r="B7641" s="985" t="s">
        <v>343</v>
      </c>
      <c r="C7641" s="94" t="s">
        <v>1839</v>
      </c>
      <c r="D7641" s="286">
        <v>1250.0</v>
      </c>
      <c r="E7641" s="94">
        <v>7.21</v>
      </c>
      <c r="F7641" s="986">
        <v>0.37732638888888886</v>
      </c>
      <c r="G7641" s="94" t="s">
        <v>453</v>
      </c>
      <c r="H7641" s="937"/>
      <c r="I7641" s="988" t="s">
        <v>3145</v>
      </c>
      <c r="J7641" s="67">
        <f t="shared" ref="J7641:J7642" si="452">IF(B7641="SLD",D7641*E7641,-D7641*E7641)-H7641</f>
        <v>-9012.5</v>
      </c>
      <c r="L7641" s="70"/>
      <c r="M7641" s="934"/>
    </row>
    <row r="7642" ht="12.75" hidden="1" customHeight="1" outlineLevel="1">
      <c r="A7642" s="990">
        <v>42279.0</v>
      </c>
      <c r="B7642" s="985" t="s">
        <v>347</v>
      </c>
      <c r="C7642" s="94" t="s">
        <v>1893</v>
      </c>
      <c r="D7642" s="286">
        <v>1000.0</v>
      </c>
      <c r="E7642" s="94">
        <v>9.81</v>
      </c>
      <c r="F7642" s="986">
        <v>0.41100694444444447</v>
      </c>
      <c r="G7642" s="94" t="s">
        <v>453</v>
      </c>
      <c r="H7642" s="987">
        <v>4.78</v>
      </c>
      <c r="I7642" s="988" t="s">
        <v>3145</v>
      </c>
      <c r="J7642" s="67">
        <f t="shared" si="452"/>
        <v>9805.22</v>
      </c>
      <c r="L7642" s="70"/>
      <c r="M7642" s="934"/>
    </row>
    <row r="7643" ht="12.75" hidden="1" customHeight="1" outlineLevel="1">
      <c r="A7643" s="122">
        <v>42279.0</v>
      </c>
      <c r="B7643" s="974"/>
      <c r="C7643" s="32" t="s">
        <v>339</v>
      </c>
      <c r="D7643" s="708"/>
      <c r="E7643" s="195"/>
      <c r="F7643" s="709"/>
      <c r="G7643" s="195"/>
      <c r="H7643" s="710"/>
      <c r="I7643" s="256"/>
      <c r="J7643" s="67"/>
      <c r="K7643" s="968" t="s">
        <v>3167</v>
      </c>
      <c r="L7643" s="934"/>
      <c r="M7643" s="934"/>
    </row>
    <row r="7644" ht="12.75" hidden="1" customHeight="1" outlineLevel="1">
      <c r="A7644" s="122">
        <v>42279.0</v>
      </c>
      <c r="B7644" s="974"/>
      <c r="C7644" s="32" t="s">
        <v>429</v>
      </c>
      <c r="D7644" s="708"/>
      <c r="E7644" s="195"/>
      <c r="F7644" s="709"/>
      <c r="G7644" s="195"/>
      <c r="H7644" s="710"/>
      <c r="I7644" s="256"/>
      <c r="J7644" s="67"/>
      <c r="K7644" s="9" t="s">
        <v>3161</v>
      </c>
      <c r="L7644" s="934"/>
      <c r="M7644" s="934"/>
    </row>
    <row r="7645" ht="12.75" hidden="1" customHeight="1" outlineLevel="1">
      <c r="A7645" s="122">
        <v>42279.0</v>
      </c>
      <c r="B7645" s="974"/>
      <c r="C7645" s="32" t="s">
        <v>431</v>
      </c>
      <c r="D7645" s="708"/>
      <c r="E7645" s="195"/>
      <c r="F7645" s="709"/>
      <c r="G7645" s="195"/>
      <c r="H7645" s="710"/>
      <c r="I7645" s="256"/>
      <c r="J7645" s="67"/>
      <c r="K7645" s="7" t="s">
        <v>1126</v>
      </c>
      <c r="L7645" s="934"/>
      <c r="M7645" s="934"/>
    </row>
    <row r="7646" ht="12.75" hidden="1" customHeight="1" outlineLevel="1">
      <c r="A7646" s="122">
        <v>42279.0</v>
      </c>
      <c r="B7646" s="974"/>
      <c r="C7646" s="32" t="s">
        <v>433</v>
      </c>
      <c r="D7646" s="708"/>
      <c r="E7646" s="195"/>
      <c r="F7646" s="709"/>
      <c r="G7646" s="195"/>
      <c r="H7646" s="710"/>
      <c r="I7646" s="256"/>
      <c r="J7646" s="67"/>
      <c r="K7646" s="7" t="s">
        <v>1103</v>
      </c>
      <c r="L7646" s="934"/>
      <c r="M7646" s="934"/>
    </row>
    <row r="7647" ht="12.75" hidden="1" customHeight="1" outlineLevel="1">
      <c r="A7647" s="122">
        <v>42279.0</v>
      </c>
      <c r="B7647" s="974"/>
      <c r="C7647" s="32" t="s">
        <v>435</v>
      </c>
      <c r="D7647" s="708"/>
      <c r="E7647" s="195"/>
      <c r="F7647" s="709"/>
      <c r="G7647" s="195"/>
      <c r="H7647" s="710"/>
      <c r="I7647" s="256"/>
      <c r="J7647" s="67"/>
      <c r="K7647" s="9" t="s">
        <v>3134</v>
      </c>
      <c r="L7647" s="934"/>
      <c r="M7647" s="934"/>
    </row>
    <row r="7648" ht="12.75" hidden="1" customHeight="1" outlineLevel="1">
      <c r="A7648" s="202">
        <v>42282.0</v>
      </c>
      <c r="B7648" s="985" t="s">
        <v>343</v>
      </c>
      <c r="C7648" s="94" t="s">
        <v>2048</v>
      </c>
      <c r="D7648" s="286">
        <v>2000.0</v>
      </c>
      <c r="E7648" s="94">
        <v>6.5368</v>
      </c>
      <c r="F7648" s="986">
        <v>0.40622685185185187</v>
      </c>
      <c r="G7648" s="94" t="s">
        <v>453</v>
      </c>
      <c r="H7648" s="987">
        <v>8.0</v>
      </c>
      <c r="I7648" s="988" t="s">
        <v>3145</v>
      </c>
      <c r="J7648" s="67">
        <f t="shared" ref="J7648:J7669" si="453">IF(B7648="SLD",D7648*E7648,-D7648*E7648)-H7648</f>
        <v>-13081.6</v>
      </c>
      <c r="L7648" s="70"/>
      <c r="M7648" s="934"/>
    </row>
    <row r="7649" ht="12.75" hidden="1" customHeight="1" outlineLevel="1">
      <c r="A7649" s="202">
        <v>42282.0</v>
      </c>
      <c r="B7649" s="985" t="s">
        <v>343</v>
      </c>
      <c r="C7649" s="94" t="s">
        <v>2090</v>
      </c>
      <c r="D7649" s="286">
        <v>2000.0</v>
      </c>
      <c r="E7649" s="94">
        <v>5.41</v>
      </c>
      <c r="F7649" s="986">
        <v>0.40640046296296295</v>
      </c>
      <c r="G7649" s="94" t="s">
        <v>453</v>
      </c>
      <c r="H7649" s="987">
        <v>10.0</v>
      </c>
      <c r="I7649" s="988" t="s">
        <v>3145</v>
      </c>
      <c r="J7649" s="67">
        <f t="shared" si="453"/>
        <v>-10830</v>
      </c>
      <c r="L7649" s="70"/>
      <c r="M7649" s="934"/>
    </row>
    <row r="7650" ht="12.75" hidden="1" customHeight="1" outlineLevel="1">
      <c r="A7650" s="202">
        <v>42282.0</v>
      </c>
      <c r="B7650" s="985" t="s">
        <v>343</v>
      </c>
      <c r="C7650" s="94" t="s">
        <v>2210</v>
      </c>
      <c r="D7650" s="94">
        <v>150.0</v>
      </c>
      <c r="E7650" s="94">
        <v>66.94</v>
      </c>
      <c r="F7650" s="986">
        <v>0.40677083333333336</v>
      </c>
      <c r="G7650" s="94" t="s">
        <v>453</v>
      </c>
      <c r="H7650" s="987">
        <v>1.0</v>
      </c>
      <c r="I7650" s="988" t="s">
        <v>3145</v>
      </c>
      <c r="J7650" s="67">
        <f t="shared" si="453"/>
        <v>-10042</v>
      </c>
      <c r="L7650" s="70"/>
      <c r="M7650" s="934"/>
    </row>
    <row r="7651" ht="12.75" hidden="1" customHeight="1" outlineLevel="1">
      <c r="A7651" s="202">
        <v>42282.0</v>
      </c>
      <c r="B7651" s="985" t="s">
        <v>343</v>
      </c>
      <c r="C7651" s="94" t="s">
        <v>3024</v>
      </c>
      <c r="D7651" s="286">
        <v>1000.0</v>
      </c>
      <c r="E7651" s="94">
        <v>16.29</v>
      </c>
      <c r="F7651" s="986">
        <v>0.4070023148148148</v>
      </c>
      <c r="G7651" s="94" t="s">
        <v>453</v>
      </c>
      <c r="H7651" s="987">
        <v>4.1</v>
      </c>
      <c r="I7651" s="988" t="s">
        <v>3145</v>
      </c>
      <c r="J7651" s="67">
        <f t="shared" si="453"/>
        <v>-16294.1</v>
      </c>
      <c r="L7651" s="70"/>
      <c r="M7651" s="934"/>
    </row>
    <row r="7652" ht="12.75" hidden="1" customHeight="1" outlineLevel="1">
      <c r="A7652" s="202">
        <v>42282.0</v>
      </c>
      <c r="B7652" s="985" t="s">
        <v>343</v>
      </c>
      <c r="C7652" s="94" t="s">
        <v>1890</v>
      </c>
      <c r="D7652" s="286">
        <v>1750.0</v>
      </c>
      <c r="E7652" s="94">
        <v>15.26</v>
      </c>
      <c r="F7652" s="986">
        <v>0.4074189814814815</v>
      </c>
      <c r="G7652" s="94" t="s">
        <v>453</v>
      </c>
      <c r="H7652" s="987">
        <v>7.7</v>
      </c>
      <c r="I7652" s="988" t="s">
        <v>3145</v>
      </c>
      <c r="J7652" s="67">
        <f t="shared" si="453"/>
        <v>-26712.7</v>
      </c>
      <c r="L7652" s="70"/>
      <c r="M7652" s="934"/>
    </row>
    <row r="7653" ht="12.75" hidden="1" customHeight="1" outlineLevel="1">
      <c r="A7653" s="202">
        <v>42282.0</v>
      </c>
      <c r="B7653" s="985" t="s">
        <v>343</v>
      </c>
      <c r="C7653" s="94" t="s">
        <v>2048</v>
      </c>
      <c r="D7653" s="94">
        <v>500.0</v>
      </c>
      <c r="E7653" s="94">
        <v>6.5168</v>
      </c>
      <c r="F7653" s="986">
        <v>0.40752314814814816</v>
      </c>
      <c r="G7653" s="94" t="s">
        <v>453</v>
      </c>
      <c r="H7653" s="987">
        <v>2.0</v>
      </c>
      <c r="I7653" s="988" t="s">
        <v>3145</v>
      </c>
      <c r="J7653" s="67">
        <f t="shared" si="453"/>
        <v>-3260.4</v>
      </c>
      <c r="L7653" s="70"/>
      <c r="M7653" s="934"/>
    </row>
    <row r="7654" ht="12.75" hidden="1" customHeight="1" outlineLevel="1">
      <c r="A7654" s="202">
        <v>42282.0</v>
      </c>
      <c r="B7654" s="985" t="s">
        <v>343</v>
      </c>
      <c r="C7654" s="94" t="s">
        <v>1633</v>
      </c>
      <c r="D7654" s="94">
        <v>250.0</v>
      </c>
      <c r="E7654" s="94">
        <v>10.34</v>
      </c>
      <c r="F7654" s="986">
        <v>0.40791666666666665</v>
      </c>
      <c r="G7654" s="94" t="s">
        <v>453</v>
      </c>
      <c r="H7654" s="987">
        <v>1.0</v>
      </c>
      <c r="I7654" s="988" t="s">
        <v>3145</v>
      </c>
      <c r="J7654" s="67">
        <f t="shared" si="453"/>
        <v>-2586</v>
      </c>
      <c r="L7654" s="70"/>
      <c r="M7654" s="934"/>
    </row>
    <row r="7655" ht="12.75" hidden="1" customHeight="1" outlineLevel="1">
      <c r="A7655" s="202">
        <v>42282.0</v>
      </c>
      <c r="B7655" s="985" t="s">
        <v>343</v>
      </c>
      <c r="C7655" s="94" t="s">
        <v>1781</v>
      </c>
      <c r="D7655" s="286">
        <v>2500.0</v>
      </c>
      <c r="E7655" s="94">
        <v>6.81</v>
      </c>
      <c r="F7655" s="986">
        <v>0.4096875</v>
      </c>
      <c r="G7655" s="94" t="s">
        <v>453</v>
      </c>
      <c r="H7655" s="987">
        <v>10.1</v>
      </c>
      <c r="I7655" s="988" t="s">
        <v>3145</v>
      </c>
      <c r="J7655" s="67">
        <f t="shared" si="453"/>
        <v>-17035.1</v>
      </c>
      <c r="L7655" s="70"/>
      <c r="M7655" s="934"/>
    </row>
    <row r="7656" ht="12.75" hidden="1" customHeight="1" outlineLevel="1">
      <c r="A7656" s="202">
        <v>42282.0</v>
      </c>
      <c r="B7656" s="985" t="s">
        <v>343</v>
      </c>
      <c r="C7656" s="94" t="s">
        <v>1947</v>
      </c>
      <c r="D7656" s="94">
        <v>300.0</v>
      </c>
      <c r="E7656" s="94">
        <v>51.397</v>
      </c>
      <c r="F7656" s="986">
        <v>0.4178472222222222</v>
      </c>
      <c r="G7656" s="94" t="s">
        <v>453</v>
      </c>
      <c r="H7656" s="987">
        <v>1.3</v>
      </c>
      <c r="I7656" s="988" t="s">
        <v>3145</v>
      </c>
      <c r="J7656" s="67">
        <f t="shared" si="453"/>
        <v>-15420.4</v>
      </c>
      <c r="L7656" s="70"/>
      <c r="M7656" s="934"/>
    </row>
    <row r="7657" ht="12.75" hidden="1" customHeight="1" outlineLevel="1">
      <c r="A7657" s="202">
        <v>42282.0</v>
      </c>
      <c r="B7657" s="985" t="s">
        <v>343</v>
      </c>
      <c r="C7657" s="94" t="s">
        <v>1893</v>
      </c>
      <c r="D7657" s="286">
        <v>1500.0</v>
      </c>
      <c r="E7657" s="94">
        <v>10.9668</v>
      </c>
      <c r="F7657" s="986">
        <v>0.42442129629629627</v>
      </c>
      <c r="G7657" s="94" t="s">
        <v>453</v>
      </c>
      <c r="H7657" s="987">
        <v>6.0</v>
      </c>
      <c r="I7657" s="988" t="s">
        <v>3145</v>
      </c>
      <c r="J7657" s="67">
        <f t="shared" si="453"/>
        <v>-16456.2</v>
      </c>
      <c r="L7657" s="70"/>
      <c r="M7657" s="934"/>
    </row>
    <row r="7658" ht="12.75" hidden="1" customHeight="1" outlineLevel="1">
      <c r="A7658" s="202">
        <v>42282.0</v>
      </c>
      <c r="B7658" s="985" t="s">
        <v>343</v>
      </c>
      <c r="C7658" s="94" t="s">
        <v>2195</v>
      </c>
      <c r="D7658" s="286">
        <v>1000.0</v>
      </c>
      <c r="E7658" s="94">
        <v>14.333</v>
      </c>
      <c r="F7658" s="986">
        <v>0.4252430555555556</v>
      </c>
      <c r="G7658" s="94" t="s">
        <v>453</v>
      </c>
      <c r="H7658" s="987">
        <v>4.6</v>
      </c>
      <c r="I7658" s="988" t="s">
        <v>3145</v>
      </c>
      <c r="J7658" s="67">
        <f t="shared" si="453"/>
        <v>-14337.6</v>
      </c>
      <c r="L7658" s="70"/>
      <c r="M7658" s="934"/>
    </row>
    <row r="7659" ht="12.75" hidden="1" customHeight="1" outlineLevel="1">
      <c r="A7659" s="202">
        <v>42282.0</v>
      </c>
      <c r="B7659" s="985" t="s">
        <v>343</v>
      </c>
      <c r="C7659" s="94" t="s">
        <v>2195</v>
      </c>
      <c r="D7659" s="94">
        <v>750.0</v>
      </c>
      <c r="E7659" s="94">
        <v>14.438</v>
      </c>
      <c r="F7659" s="986">
        <v>0.4255439814814815</v>
      </c>
      <c r="G7659" s="94" t="s">
        <v>453</v>
      </c>
      <c r="H7659" s="987">
        <v>3.55</v>
      </c>
      <c r="I7659" s="988" t="s">
        <v>3145</v>
      </c>
      <c r="J7659" s="67">
        <f t="shared" si="453"/>
        <v>-10832.05</v>
      </c>
      <c r="L7659" s="70"/>
      <c r="M7659" s="934"/>
    </row>
    <row r="7660" ht="12.75" hidden="1" customHeight="1" outlineLevel="1">
      <c r="A7660" s="202">
        <v>42282.0</v>
      </c>
      <c r="B7660" s="985" t="s">
        <v>343</v>
      </c>
      <c r="C7660" s="94" t="s">
        <v>1905</v>
      </c>
      <c r="D7660" s="286">
        <v>1800.0</v>
      </c>
      <c r="E7660" s="94">
        <v>31.03</v>
      </c>
      <c r="F7660" s="986">
        <v>0.42693287037037037</v>
      </c>
      <c r="G7660" s="94" t="s">
        <v>453</v>
      </c>
      <c r="H7660" s="987">
        <v>8.6</v>
      </c>
      <c r="I7660" s="988" t="s">
        <v>3145</v>
      </c>
      <c r="J7660" s="67">
        <f t="shared" si="453"/>
        <v>-55862.6</v>
      </c>
      <c r="L7660" s="70"/>
      <c r="M7660" s="934"/>
    </row>
    <row r="7661" ht="12.75" hidden="1" customHeight="1" outlineLevel="1">
      <c r="A7661" s="202">
        <v>42282.0</v>
      </c>
      <c r="B7661" s="985" t="s">
        <v>347</v>
      </c>
      <c r="C7661" s="94" t="s">
        <v>346</v>
      </c>
      <c r="D7661" s="94">
        <v>150.0</v>
      </c>
      <c r="E7661" s="94">
        <v>109.28</v>
      </c>
      <c r="F7661" s="986">
        <v>0.4280324074074074</v>
      </c>
      <c r="G7661" s="94" t="s">
        <v>453</v>
      </c>
      <c r="H7661" s="987">
        <v>1.3</v>
      </c>
      <c r="I7661" s="988" t="s">
        <v>3145</v>
      </c>
      <c r="J7661" s="67">
        <f t="shared" si="453"/>
        <v>16390.7</v>
      </c>
      <c r="L7661" s="70"/>
      <c r="M7661" s="934"/>
    </row>
    <row r="7662" ht="12.75" hidden="1" customHeight="1" outlineLevel="1">
      <c r="A7662" s="202">
        <v>42282.0</v>
      </c>
      <c r="B7662" s="985" t="s">
        <v>347</v>
      </c>
      <c r="C7662" s="94" t="s">
        <v>2210</v>
      </c>
      <c r="D7662" s="94">
        <v>100.0</v>
      </c>
      <c r="E7662" s="94">
        <v>61.7</v>
      </c>
      <c r="F7662" s="986">
        <v>0.4374652777777778</v>
      </c>
      <c r="G7662" s="94" t="s">
        <v>453</v>
      </c>
      <c r="H7662" s="987">
        <v>1.11</v>
      </c>
      <c r="I7662" s="988" t="s">
        <v>3145</v>
      </c>
      <c r="J7662" s="67">
        <f t="shared" si="453"/>
        <v>6168.89</v>
      </c>
      <c r="L7662" s="70"/>
      <c r="M7662" s="934"/>
    </row>
    <row r="7663" ht="12.75" hidden="1" customHeight="1" outlineLevel="1">
      <c r="A7663" s="202">
        <v>42282.0</v>
      </c>
      <c r="B7663" s="985" t="s">
        <v>347</v>
      </c>
      <c r="C7663" s="94" t="s">
        <v>1061</v>
      </c>
      <c r="D7663" s="94">
        <v>300.0</v>
      </c>
      <c r="E7663" s="94">
        <v>41.622</v>
      </c>
      <c r="F7663" s="986">
        <v>0.5410763888888889</v>
      </c>
      <c r="G7663" s="94" t="s">
        <v>453</v>
      </c>
      <c r="H7663" s="987">
        <v>1.73</v>
      </c>
      <c r="I7663" s="988" t="s">
        <v>3145</v>
      </c>
      <c r="J7663" s="67">
        <f t="shared" si="453"/>
        <v>12484.87</v>
      </c>
      <c r="L7663" s="70"/>
      <c r="M7663" s="934"/>
    </row>
    <row r="7664" ht="12.75" hidden="1" customHeight="1" outlineLevel="1">
      <c r="A7664" s="202">
        <v>42282.0</v>
      </c>
      <c r="B7664" s="985" t="s">
        <v>347</v>
      </c>
      <c r="C7664" s="94" t="s">
        <v>1060</v>
      </c>
      <c r="D7664" s="94">
        <v>100.0</v>
      </c>
      <c r="E7664" s="94">
        <v>39.691</v>
      </c>
      <c r="F7664" s="986">
        <v>0.5415162037037037</v>
      </c>
      <c r="G7664" s="94" t="s">
        <v>453</v>
      </c>
      <c r="H7664" s="987">
        <v>1.07</v>
      </c>
      <c r="I7664" s="988" t="s">
        <v>3145</v>
      </c>
      <c r="J7664" s="67">
        <f t="shared" si="453"/>
        <v>3968.03</v>
      </c>
      <c r="L7664" s="70"/>
      <c r="M7664" s="934"/>
    </row>
    <row r="7665" ht="12.75" hidden="1" customHeight="1" outlineLevel="1">
      <c r="A7665" s="202">
        <v>42282.0</v>
      </c>
      <c r="B7665" s="985" t="s">
        <v>343</v>
      </c>
      <c r="C7665" s="94" t="s">
        <v>784</v>
      </c>
      <c r="D7665" s="286">
        <v>1000.0</v>
      </c>
      <c r="E7665" s="94">
        <v>4.61</v>
      </c>
      <c r="F7665" s="986">
        <v>0.5458449074074074</v>
      </c>
      <c r="G7665" s="94" t="s">
        <v>453</v>
      </c>
      <c r="H7665" s="987">
        <v>4.0</v>
      </c>
      <c r="I7665" s="988" t="s">
        <v>3145</v>
      </c>
      <c r="J7665" s="67">
        <f t="shared" si="453"/>
        <v>-4614</v>
      </c>
      <c r="L7665" s="70"/>
      <c r="M7665" s="934"/>
    </row>
    <row r="7666" ht="12.75" hidden="1" customHeight="1" outlineLevel="1">
      <c r="A7666" s="202">
        <v>42282.0</v>
      </c>
      <c r="B7666" s="985" t="s">
        <v>347</v>
      </c>
      <c r="C7666" s="94" t="s">
        <v>1061</v>
      </c>
      <c r="D7666" s="94">
        <v>100.0</v>
      </c>
      <c r="E7666" s="94">
        <v>41.62</v>
      </c>
      <c r="F7666" s="986">
        <v>0.5460300925925926</v>
      </c>
      <c r="G7666" s="94" t="s">
        <v>453</v>
      </c>
      <c r="H7666" s="987">
        <v>1.08</v>
      </c>
      <c r="I7666" s="988" t="s">
        <v>3145</v>
      </c>
      <c r="J7666" s="67">
        <f t="shared" si="453"/>
        <v>4160.92</v>
      </c>
      <c r="L7666" s="70"/>
      <c r="M7666" s="934"/>
    </row>
    <row r="7667" ht="12.75" hidden="1" customHeight="1" outlineLevel="1">
      <c r="A7667" s="202">
        <v>42282.0</v>
      </c>
      <c r="B7667" s="985" t="s">
        <v>343</v>
      </c>
      <c r="C7667" s="94" t="s">
        <v>1633</v>
      </c>
      <c r="D7667" s="94">
        <v>250.0</v>
      </c>
      <c r="E7667" s="94">
        <v>10.818</v>
      </c>
      <c r="F7667" s="986">
        <v>0.5801620370370371</v>
      </c>
      <c r="G7667" s="94" t="s">
        <v>453</v>
      </c>
      <c r="H7667" s="987">
        <v>1.15</v>
      </c>
      <c r="I7667" s="988" t="s">
        <v>3145</v>
      </c>
      <c r="J7667" s="67">
        <f t="shared" si="453"/>
        <v>-2705.65</v>
      </c>
      <c r="L7667" s="70"/>
      <c r="M7667" s="934"/>
    </row>
    <row r="7668" ht="12.75" hidden="1" customHeight="1" outlineLevel="1">
      <c r="A7668" s="202">
        <v>42282.0</v>
      </c>
      <c r="B7668" s="985" t="s">
        <v>343</v>
      </c>
      <c r="C7668" s="94" t="s">
        <v>1893</v>
      </c>
      <c r="D7668" s="94">
        <v>250.0</v>
      </c>
      <c r="E7668" s="94">
        <v>11.158</v>
      </c>
      <c r="F7668" s="986">
        <v>0.580625</v>
      </c>
      <c r="G7668" s="94" t="s">
        <v>453</v>
      </c>
      <c r="H7668" s="987">
        <v>1.0</v>
      </c>
      <c r="I7668" s="988" t="s">
        <v>3145</v>
      </c>
      <c r="J7668" s="67">
        <f t="shared" si="453"/>
        <v>-2790.5</v>
      </c>
      <c r="L7668" s="70"/>
      <c r="M7668" s="934"/>
    </row>
    <row r="7669" ht="12.75" hidden="1" customHeight="1" outlineLevel="1">
      <c r="A7669" s="202">
        <v>42282.0</v>
      </c>
      <c r="B7669" s="985" t="s">
        <v>343</v>
      </c>
      <c r="C7669" s="94" t="s">
        <v>2210</v>
      </c>
      <c r="D7669" s="94">
        <v>100.0</v>
      </c>
      <c r="E7669" s="94">
        <v>63.59</v>
      </c>
      <c r="F7669" s="986">
        <v>0.5118634259259259</v>
      </c>
      <c r="G7669" s="94" t="s">
        <v>453</v>
      </c>
      <c r="H7669" s="987">
        <v>1.0</v>
      </c>
      <c r="I7669" s="988" t="s">
        <v>3145</v>
      </c>
      <c r="J7669" s="67">
        <f t="shared" si="453"/>
        <v>-6360</v>
      </c>
      <c r="L7669" s="70"/>
      <c r="M7669" s="934"/>
    </row>
    <row r="7670" ht="12.75" hidden="1" customHeight="1" outlineLevel="1">
      <c r="A7670" s="122">
        <v>42282.0</v>
      </c>
      <c r="B7670" s="974"/>
      <c r="C7670" s="32" t="s">
        <v>339</v>
      </c>
      <c r="D7670" s="708"/>
      <c r="E7670" s="195"/>
      <c r="F7670" s="709"/>
      <c r="G7670" s="195"/>
      <c r="H7670" s="710"/>
      <c r="I7670" s="256"/>
      <c r="J7670" s="67"/>
      <c r="K7670" s="968" t="s">
        <v>3169</v>
      </c>
      <c r="L7670" s="934"/>
      <c r="M7670" s="934"/>
    </row>
    <row r="7671" ht="12.75" hidden="1" customHeight="1" outlineLevel="1">
      <c r="A7671" s="122">
        <v>42282.0</v>
      </c>
      <c r="B7671" s="974"/>
      <c r="C7671" s="32" t="s">
        <v>429</v>
      </c>
      <c r="D7671" s="708"/>
      <c r="E7671" s="195"/>
      <c r="F7671" s="709"/>
      <c r="G7671" s="195"/>
      <c r="H7671" s="710"/>
      <c r="I7671" s="256"/>
      <c r="J7671" s="67"/>
      <c r="K7671" s="9" t="s">
        <v>3161</v>
      </c>
      <c r="L7671" s="934"/>
      <c r="M7671" s="934"/>
    </row>
    <row r="7672" ht="12.75" hidden="1" customHeight="1" outlineLevel="1">
      <c r="A7672" s="122">
        <v>42282.0</v>
      </c>
      <c r="B7672" s="974"/>
      <c r="C7672" s="32" t="s">
        <v>431</v>
      </c>
      <c r="D7672" s="708"/>
      <c r="E7672" s="195"/>
      <c r="F7672" s="709"/>
      <c r="G7672" s="195"/>
      <c r="H7672" s="710"/>
      <c r="I7672" s="256"/>
      <c r="J7672" s="67"/>
      <c r="K7672" s="7" t="s">
        <v>1126</v>
      </c>
      <c r="L7672" s="934"/>
      <c r="M7672" s="934"/>
    </row>
    <row r="7673" ht="12.75" hidden="1" customHeight="1" outlineLevel="1">
      <c r="A7673" s="122">
        <v>42282.0</v>
      </c>
      <c r="B7673" s="974"/>
      <c r="C7673" s="32" t="s">
        <v>433</v>
      </c>
      <c r="D7673" s="708"/>
      <c r="E7673" s="195"/>
      <c r="F7673" s="709"/>
      <c r="G7673" s="195"/>
      <c r="H7673" s="710"/>
      <c r="I7673" s="256"/>
      <c r="J7673" s="67"/>
      <c r="K7673" s="7" t="s">
        <v>1103</v>
      </c>
      <c r="L7673" s="934"/>
      <c r="M7673" s="934"/>
    </row>
    <row r="7674" ht="12.75" hidden="1" customHeight="1" outlineLevel="1">
      <c r="A7674" s="122">
        <v>42282.0</v>
      </c>
      <c r="B7674" s="974"/>
      <c r="C7674" s="32" t="s">
        <v>435</v>
      </c>
      <c r="D7674" s="708"/>
      <c r="E7674" s="195"/>
      <c r="F7674" s="709"/>
      <c r="G7674" s="195"/>
      <c r="H7674" s="710"/>
      <c r="I7674" s="256"/>
      <c r="J7674" s="67"/>
      <c r="K7674" s="9" t="s">
        <v>3134</v>
      </c>
      <c r="L7674" s="934"/>
      <c r="M7674" s="934"/>
    </row>
    <row r="7675" ht="12.75" hidden="1" customHeight="1" outlineLevel="1">
      <c r="A7675" s="202">
        <v>42283.0</v>
      </c>
      <c r="B7675" s="985" t="s">
        <v>347</v>
      </c>
      <c r="C7675" s="94" t="s">
        <v>2862</v>
      </c>
      <c r="D7675" s="94">
        <v>100.0</v>
      </c>
      <c r="E7675" s="94">
        <v>110.99</v>
      </c>
      <c r="F7675" s="986">
        <v>0.5940856481481481</v>
      </c>
      <c r="G7675" s="94" t="s">
        <v>453</v>
      </c>
      <c r="H7675" s="987">
        <v>1.2</v>
      </c>
      <c r="I7675" s="988" t="s">
        <v>3145</v>
      </c>
      <c r="J7675" s="67">
        <f t="shared" ref="J7675:J7678" si="454">IF(B7675="SLD",D7675*E7675,-D7675*E7675)-H7675</f>
        <v>11097.8</v>
      </c>
      <c r="L7675" s="70"/>
      <c r="M7675" s="934"/>
    </row>
    <row r="7676" ht="12.75" hidden="1" customHeight="1" outlineLevel="1">
      <c r="A7676" s="202">
        <v>42283.0</v>
      </c>
      <c r="B7676" s="985" t="s">
        <v>347</v>
      </c>
      <c r="C7676" s="94" t="s">
        <v>2195</v>
      </c>
      <c r="D7676" s="94">
        <v>250.0</v>
      </c>
      <c r="E7676" s="94">
        <v>14.29</v>
      </c>
      <c r="F7676" s="986">
        <v>0.6275347222222222</v>
      </c>
      <c r="G7676" s="94" t="s">
        <v>453</v>
      </c>
      <c r="H7676" s="987">
        <v>1.32</v>
      </c>
      <c r="I7676" s="988" t="s">
        <v>3145</v>
      </c>
      <c r="J7676" s="67">
        <f t="shared" si="454"/>
        <v>3571.18</v>
      </c>
      <c r="L7676" s="70"/>
      <c r="M7676" s="934"/>
    </row>
    <row r="7677" ht="12.75" hidden="1" customHeight="1" outlineLevel="1">
      <c r="A7677" s="202">
        <v>42284.0</v>
      </c>
      <c r="B7677" s="985" t="s">
        <v>347</v>
      </c>
      <c r="C7677" s="94" t="s">
        <v>1781</v>
      </c>
      <c r="D7677" s="94">
        <v>500.0</v>
      </c>
      <c r="E7677" s="94">
        <v>7.1201</v>
      </c>
      <c r="F7677" s="986">
        <v>0.4908796296296296</v>
      </c>
      <c r="G7677" s="94" t="s">
        <v>453</v>
      </c>
      <c r="H7677" s="987">
        <v>2.07</v>
      </c>
      <c r="I7677" s="988" t="s">
        <v>3145</v>
      </c>
      <c r="J7677" s="67">
        <f t="shared" si="454"/>
        <v>3557.98</v>
      </c>
      <c r="L7677" s="70"/>
      <c r="M7677" s="934"/>
    </row>
    <row r="7678" ht="12.75" hidden="1" customHeight="1" outlineLevel="1">
      <c r="A7678" s="202">
        <v>42284.0</v>
      </c>
      <c r="B7678" s="985" t="s">
        <v>347</v>
      </c>
      <c r="C7678" s="94" t="s">
        <v>1890</v>
      </c>
      <c r="D7678" s="94">
        <v>250.0</v>
      </c>
      <c r="E7678" s="94">
        <v>15.54</v>
      </c>
      <c r="F7678" s="986">
        <v>0.4938078703703704</v>
      </c>
      <c r="G7678" s="94" t="s">
        <v>453</v>
      </c>
      <c r="H7678" s="987">
        <v>1.32</v>
      </c>
      <c r="I7678" s="988" t="s">
        <v>3145</v>
      </c>
      <c r="J7678" s="67">
        <f t="shared" si="454"/>
        <v>3883.68</v>
      </c>
      <c r="L7678" s="70"/>
      <c r="M7678" s="934"/>
    </row>
    <row r="7679" ht="12.75" hidden="1" customHeight="1" outlineLevel="1">
      <c r="A7679" s="122">
        <v>42284.0</v>
      </c>
      <c r="B7679" s="974"/>
      <c r="C7679" s="32" t="s">
        <v>339</v>
      </c>
      <c r="D7679" s="708"/>
      <c r="E7679" s="195"/>
      <c r="F7679" s="709"/>
      <c r="G7679" s="195"/>
      <c r="H7679" s="710"/>
      <c r="I7679" s="256"/>
      <c r="J7679" s="67"/>
      <c r="K7679" s="968" t="s">
        <v>3169</v>
      </c>
      <c r="L7679" s="934"/>
      <c r="M7679" s="934"/>
    </row>
    <row r="7680" ht="12.75" hidden="1" customHeight="1" outlineLevel="1">
      <c r="A7680" s="122">
        <v>42284.0</v>
      </c>
      <c r="B7680" s="974"/>
      <c r="C7680" s="32" t="s">
        <v>429</v>
      </c>
      <c r="D7680" s="708"/>
      <c r="E7680" s="195"/>
      <c r="F7680" s="709"/>
      <c r="G7680" s="195"/>
      <c r="H7680" s="710"/>
      <c r="I7680" s="256"/>
      <c r="J7680" s="67"/>
      <c r="K7680" s="9" t="s">
        <v>3161</v>
      </c>
      <c r="L7680" s="934"/>
      <c r="M7680" s="934"/>
    </row>
    <row r="7681" ht="12.75" hidden="1" customHeight="1" outlineLevel="1">
      <c r="A7681" s="122">
        <v>42284.0</v>
      </c>
      <c r="B7681" s="974"/>
      <c r="C7681" s="32" t="s">
        <v>431</v>
      </c>
      <c r="D7681" s="708"/>
      <c r="E7681" s="195"/>
      <c r="F7681" s="709"/>
      <c r="G7681" s="195"/>
      <c r="H7681" s="710"/>
      <c r="I7681" s="256"/>
      <c r="J7681" s="67"/>
      <c r="K7681" s="7" t="s">
        <v>1126</v>
      </c>
      <c r="L7681" s="934"/>
      <c r="M7681" s="934"/>
    </row>
    <row r="7682" ht="12.75" hidden="1" customHeight="1" outlineLevel="1">
      <c r="A7682" s="122">
        <v>42284.0</v>
      </c>
      <c r="B7682" s="974"/>
      <c r="C7682" s="32" t="s">
        <v>433</v>
      </c>
      <c r="D7682" s="708"/>
      <c r="E7682" s="195"/>
      <c r="F7682" s="709"/>
      <c r="G7682" s="195"/>
      <c r="H7682" s="710"/>
      <c r="I7682" s="256"/>
      <c r="J7682" s="67"/>
      <c r="K7682" s="7" t="s">
        <v>1103</v>
      </c>
      <c r="L7682" s="934"/>
      <c r="M7682" s="934"/>
    </row>
    <row r="7683" ht="12.75" hidden="1" customHeight="1" outlineLevel="1">
      <c r="A7683" s="122">
        <v>42284.0</v>
      </c>
      <c r="B7683" s="974"/>
      <c r="C7683" s="32" t="s">
        <v>435</v>
      </c>
      <c r="D7683" s="708"/>
      <c r="E7683" s="195"/>
      <c r="F7683" s="709"/>
      <c r="G7683" s="195"/>
      <c r="H7683" s="710"/>
      <c r="I7683" s="256"/>
      <c r="J7683" s="67"/>
      <c r="K7683" s="9" t="s">
        <v>3134</v>
      </c>
      <c r="L7683" s="934"/>
      <c r="M7683" s="934"/>
    </row>
    <row r="7684" ht="12.75" hidden="1" customHeight="1" outlineLevel="1">
      <c r="A7684" s="202">
        <v>42285.0</v>
      </c>
      <c r="B7684" s="985" t="s">
        <v>347</v>
      </c>
      <c r="C7684" s="94" t="s">
        <v>3024</v>
      </c>
      <c r="D7684" s="94">
        <v>500.0</v>
      </c>
      <c r="E7684" s="94">
        <v>17.85</v>
      </c>
      <c r="F7684" s="986">
        <v>0.4023263888888889</v>
      </c>
      <c r="G7684" s="94" t="s">
        <v>453</v>
      </c>
      <c r="H7684" s="987">
        <v>2.66</v>
      </c>
      <c r="I7684" s="988" t="s">
        <v>3145</v>
      </c>
      <c r="J7684" s="67">
        <f t="shared" ref="J7684:J7700" si="455">IF(B7684="SLD",D7684*E7684,-D7684*E7684)-H7684</f>
        <v>8922.34</v>
      </c>
      <c r="L7684" s="70"/>
      <c r="M7684" s="934"/>
    </row>
    <row r="7685" ht="12.75" hidden="1" customHeight="1" outlineLevel="1">
      <c r="A7685" s="202">
        <v>42285.0</v>
      </c>
      <c r="B7685" s="985" t="s">
        <v>347</v>
      </c>
      <c r="C7685" s="94" t="s">
        <v>2210</v>
      </c>
      <c r="D7685" s="94">
        <v>100.0</v>
      </c>
      <c r="E7685" s="94">
        <v>71.39</v>
      </c>
      <c r="F7685" s="986">
        <v>0.40293981481481483</v>
      </c>
      <c r="G7685" s="94" t="s">
        <v>453</v>
      </c>
      <c r="H7685" s="987">
        <v>1.13</v>
      </c>
      <c r="I7685" s="988" t="s">
        <v>3145</v>
      </c>
      <c r="J7685" s="67">
        <f t="shared" si="455"/>
        <v>7137.87</v>
      </c>
      <c r="L7685" s="70"/>
      <c r="M7685" s="934"/>
    </row>
    <row r="7686" ht="12.75" hidden="1" customHeight="1" outlineLevel="1">
      <c r="A7686" s="202">
        <v>42285.0</v>
      </c>
      <c r="B7686" s="985" t="s">
        <v>347</v>
      </c>
      <c r="C7686" s="94" t="s">
        <v>2048</v>
      </c>
      <c r="D7686" s="286">
        <v>1000.0</v>
      </c>
      <c r="E7686" s="94">
        <v>7.561</v>
      </c>
      <c r="F7686" s="986">
        <v>0.4050347222222222</v>
      </c>
      <c r="G7686" s="94" t="s">
        <v>453</v>
      </c>
      <c r="H7686" s="987">
        <v>4.14</v>
      </c>
      <c r="I7686" s="988" t="s">
        <v>3145</v>
      </c>
      <c r="J7686" s="67">
        <f t="shared" si="455"/>
        <v>7556.86</v>
      </c>
      <c r="L7686" s="70"/>
      <c r="M7686" s="934"/>
    </row>
    <row r="7687" ht="12.75" hidden="1" customHeight="1" outlineLevel="1">
      <c r="A7687" s="202">
        <v>42285.0</v>
      </c>
      <c r="B7687" s="985" t="s">
        <v>347</v>
      </c>
      <c r="C7687" s="94" t="s">
        <v>1781</v>
      </c>
      <c r="D7687" s="94">
        <v>500.0</v>
      </c>
      <c r="E7687" s="94">
        <v>7.153</v>
      </c>
      <c r="F7687" s="986">
        <v>0.4054513888888889</v>
      </c>
      <c r="G7687" s="94" t="s">
        <v>453</v>
      </c>
      <c r="H7687" s="987">
        <v>2.37</v>
      </c>
      <c r="I7687" s="988" t="s">
        <v>3145</v>
      </c>
      <c r="J7687" s="67">
        <f t="shared" si="455"/>
        <v>3574.13</v>
      </c>
      <c r="L7687" s="70"/>
      <c r="M7687" s="934"/>
    </row>
    <row r="7688" ht="12.75" hidden="1" customHeight="1" outlineLevel="1">
      <c r="A7688" s="202">
        <v>42285.0</v>
      </c>
      <c r="B7688" s="985" t="s">
        <v>347</v>
      </c>
      <c r="C7688" s="94" t="s">
        <v>790</v>
      </c>
      <c r="D7688" s="286">
        <v>1800.0</v>
      </c>
      <c r="E7688" s="94">
        <v>5.32</v>
      </c>
      <c r="F7688" s="986">
        <v>0.4095023148148148</v>
      </c>
      <c r="G7688" s="94" t="s">
        <v>453</v>
      </c>
      <c r="H7688" s="987">
        <v>9.18</v>
      </c>
      <c r="I7688" s="988" t="s">
        <v>3145</v>
      </c>
      <c r="J7688" s="67">
        <f t="shared" si="455"/>
        <v>9566.82</v>
      </c>
      <c r="L7688" s="70"/>
      <c r="M7688" s="934"/>
    </row>
    <row r="7689" ht="12.75" hidden="1" customHeight="1" outlineLevel="1">
      <c r="A7689" s="202">
        <v>42285.0</v>
      </c>
      <c r="B7689" s="985" t="s">
        <v>347</v>
      </c>
      <c r="C7689" s="94" t="s">
        <v>1633</v>
      </c>
      <c r="D7689" s="94">
        <v>750.0</v>
      </c>
      <c r="E7689" s="94">
        <v>11.221</v>
      </c>
      <c r="F7689" s="986">
        <v>0.4122337962962963</v>
      </c>
      <c r="G7689" s="94" t="s">
        <v>453</v>
      </c>
      <c r="H7689" s="987">
        <v>3.15</v>
      </c>
      <c r="I7689" s="988" t="s">
        <v>3145</v>
      </c>
      <c r="J7689" s="67">
        <f t="shared" si="455"/>
        <v>8412.6</v>
      </c>
      <c r="L7689" s="70"/>
      <c r="M7689" s="934"/>
    </row>
    <row r="7690" ht="12.75" hidden="1" customHeight="1" outlineLevel="1">
      <c r="A7690" s="202">
        <v>42285.0</v>
      </c>
      <c r="B7690" s="985" t="s">
        <v>347</v>
      </c>
      <c r="C7690" s="94" t="s">
        <v>1890</v>
      </c>
      <c r="D7690" s="94">
        <v>250.0</v>
      </c>
      <c r="E7690" s="94">
        <v>15.911</v>
      </c>
      <c r="F7690" s="986">
        <v>0.4151736111111111</v>
      </c>
      <c r="G7690" s="94" t="s">
        <v>453</v>
      </c>
      <c r="H7690" s="987">
        <v>1.07</v>
      </c>
      <c r="I7690" s="988" t="s">
        <v>3145</v>
      </c>
      <c r="J7690" s="67">
        <f t="shared" si="455"/>
        <v>3976.68</v>
      </c>
      <c r="L7690" s="70"/>
      <c r="M7690" s="934"/>
    </row>
    <row r="7691" ht="12.75" hidden="1" customHeight="1" outlineLevel="1">
      <c r="A7691" s="202">
        <v>42285.0</v>
      </c>
      <c r="B7691" s="985" t="s">
        <v>347</v>
      </c>
      <c r="C7691" s="94" t="s">
        <v>1893</v>
      </c>
      <c r="D7691" s="94">
        <v>500.0</v>
      </c>
      <c r="E7691" s="94">
        <v>12.921</v>
      </c>
      <c r="F7691" s="986">
        <v>0.41680555555555554</v>
      </c>
      <c r="G7691" s="94" t="s">
        <v>453</v>
      </c>
      <c r="H7691" s="987">
        <v>2.32</v>
      </c>
      <c r="I7691" s="988" t="s">
        <v>3145</v>
      </c>
      <c r="J7691" s="67">
        <f t="shared" si="455"/>
        <v>6458.18</v>
      </c>
      <c r="L7691" s="70"/>
      <c r="M7691" s="934"/>
    </row>
    <row r="7692" ht="12.75" hidden="1" customHeight="1" outlineLevel="1">
      <c r="A7692" s="202">
        <v>42285.0</v>
      </c>
      <c r="B7692" s="985" t="s">
        <v>347</v>
      </c>
      <c r="C7692" s="94" t="s">
        <v>1905</v>
      </c>
      <c r="D7692" s="94">
        <v>300.0</v>
      </c>
      <c r="E7692" s="94">
        <v>33.06</v>
      </c>
      <c r="F7692" s="986">
        <v>0.42288194444444444</v>
      </c>
      <c r="G7692" s="94" t="s">
        <v>453</v>
      </c>
      <c r="H7692" s="987">
        <v>1.38</v>
      </c>
      <c r="I7692" s="988" t="s">
        <v>3145</v>
      </c>
      <c r="J7692" s="67">
        <f t="shared" si="455"/>
        <v>9916.62</v>
      </c>
      <c r="L7692" s="70"/>
      <c r="M7692" s="934"/>
    </row>
    <row r="7693" ht="12.75" hidden="1" customHeight="1" outlineLevel="1">
      <c r="A7693" s="202">
        <v>42285.0</v>
      </c>
      <c r="B7693" s="985" t="s">
        <v>347</v>
      </c>
      <c r="C7693" s="94" t="s">
        <v>1947</v>
      </c>
      <c r="D7693" s="94">
        <v>100.0</v>
      </c>
      <c r="E7693" s="94">
        <v>53.6327</v>
      </c>
      <c r="F7693" s="986">
        <v>0.42368055555555556</v>
      </c>
      <c r="G7693" s="94" t="s">
        <v>453</v>
      </c>
      <c r="H7693" s="987">
        <v>1.1</v>
      </c>
      <c r="I7693" s="988" t="s">
        <v>3145</v>
      </c>
      <c r="J7693" s="67">
        <f t="shared" si="455"/>
        <v>5362.17</v>
      </c>
      <c r="L7693" s="70"/>
      <c r="M7693" s="934"/>
    </row>
    <row r="7694" ht="12.75" hidden="1" customHeight="1" outlineLevel="1">
      <c r="A7694" s="202">
        <v>42285.0</v>
      </c>
      <c r="B7694" s="985" t="s">
        <v>347</v>
      </c>
      <c r="C7694" s="94" t="s">
        <v>1839</v>
      </c>
      <c r="D7694" s="94">
        <v>800.0</v>
      </c>
      <c r="E7694" s="94">
        <v>9.03</v>
      </c>
      <c r="F7694" s="986">
        <v>0.4307638888888889</v>
      </c>
      <c r="G7694" s="94" t="s">
        <v>453</v>
      </c>
      <c r="H7694" s="987">
        <v>4.13</v>
      </c>
      <c r="I7694" s="988" t="s">
        <v>3145</v>
      </c>
      <c r="J7694" s="67">
        <f t="shared" si="455"/>
        <v>7219.87</v>
      </c>
      <c r="L7694" s="70"/>
      <c r="M7694" s="934"/>
    </row>
    <row r="7695" ht="12.75" hidden="1" customHeight="1" outlineLevel="1">
      <c r="A7695" s="202">
        <v>42285.0</v>
      </c>
      <c r="B7695" s="985" t="s">
        <v>347</v>
      </c>
      <c r="C7695" s="94" t="s">
        <v>784</v>
      </c>
      <c r="D7695" s="286">
        <v>1000.0</v>
      </c>
      <c r="E7695" s="94">
        <v>5.12</v>
      </c>
      <c r="F7695" s="986">
        <v>0.4349189814814815</v>
      </c>
      <c r="G7695" s="94" t="s">
        <v>453</v>
      </c>
      <c r="H7695" s="987">
        <v>5.09</v>
      </c>
      <c r="I7695" s="988" t="s">
        <v>3145</v>
      </c>
      <c r="J7695" s="67">
        <f t="shared" si="455"/>
        <v>5114.91</v>
      </c>
      <c r="L7695" s="70"/>
      <c r="M7695" s="934"/>
    </row>
    <row r="7696" ht="12.75" hidden="1" customHeight="1" outlineLevel="1">
      <c r="A7696" s="202">
        <v>42285.0</v>
      </c>
      <c r="B7696" s="985" t="s">
        <v>347</v>
      </c>
      <c r="C7696" s="94" t="s">
        <v>2048</v>
      </c>
      <c r="D7696" s="286">
        <v>1000.0</v>
      </c>
      <c r="E7696" s="94">
        <v>7.3232</v>
      </c>
      <c r="F7696" s="986">
        <v>0.4425115740740741</v>
      </c>
      <c r="G7696" s="94" t="s">
        <v>453</v>
      </c>
      <c r="H7696" s="987">
        <v>4.13</v>
      </c>
      <c r="I7696" s="988" t="s">
        <v>3145</v>
      </c>
      <c r="J7696" s="67">
        <f t="shared" si="455"/>
        <v>7319.07</v>
      </c>
      <c r="L7696" s="70"/>
      <c r="M7696" s="934"/>
    </row>
    <row r="7697" ht="12.75" hidden="1" customHeight="1" outlineLevel="1">
      <c r="A7697" s="202">
        <v>42285.0</v>
      </c>
      <c r="B7697" s="985" t="s">
        <v>347</v>
      </c>
      <c r="C7697" s="94" t="s">
        <v>1905</v>
      </c>
      <c r="D7697" s="94">
        <v>500.0</v>
      </c>
      <c r="E7697" s="94">
        <v>32.613</v>
      </c>
      <c r="F7697" s="986">
        <v>0.4428587962962963</v>
      </c>
      <c r="G7697" s="94" t="s">
        <v>453</v>
      </c>
      <c r="H7697" s="987">
        <v>2.3</v>
      </c>
      <c r="I7697" s="988" t="s">
        <v>3145</v>
      </c>
      <c r="J7697" s="67">
        <f t="shared" si="455"/>
        <v>16304.2</v>
      </c>
      <c r="L7697" s="70"/>
      <c r="M7697" s="934"/>
    </row>
    <row r="7698" ht="12.75" hidden="1" customHeight="1" outlineLevel="1">
      <c r="A7698" s="202">
        <v>42285.0</v>
      </c>
      <c r="B7698" s="985" t="s">
        <v>347</v>
      </c>
      <c r="C7698" s="94" t="s">
        <v>3024</v>
      </c>
      <c r="D7698" s="286">
        <v>1000.0</v>
      </c>
      <c r="E7698" s="94">
        <v>17.76</v>
      </c>
      <c r="F7698" s="986">
        <v>0.4434375</v>
      </c>
      <c r="G7698" s="94" t="s">
        <v>453</v>
      </c>
      <c r="H7698" s="987">
        <v>4.43</v>
      </c>
      <c r="I7698" s="988" t="s">
        <v>3145</v>
      </c>
      <c r="J7698" s="67">
        <f t="shared" si="455"/>
        <v>17755.57</v>
      </c>
      <c r="L7698" s="70"/>
      <c r="M7698" s="934"/>
    </row>
    <row r="7699" ht="12.75" hidden="1" customHeight="1" outlineLevel="1">
      <c r="A7699" s="202">
        <v>42285.0</v>
      </c>
      <c r="B7699" s="985" t="s">
        <v>347</v>
      </c>
      <c r="C7699" s="94" t="s">
        <v>1890</v>
      </c>
      <c r="D7699" s="94">
        <v>250.0</v>
      </c>
      <c r="E7699" s="94">
        <v>15.571</v>
      </c>
      <c r="F7699" s="986">
        <v>0.4456134259259259</v>
      </c>
      <c r="G7699" s="94" t="s">
        <v>453</v>
      </c>
      <c r="H7699" s="987">
        <v>1.07</v>
      </c>
      <c r="I7699" s="988" t="s">
        <v>3145</v>
      </c>
      <c r="J7699" s="67">
        <f t="shared" si="455"/>
        <v>3891.68</v>
      </c>
      <c r="L7699" s="70"/>
      <c r="M7699" s="934"/>
    </row>
    <row r="7700" ht="12.75" hidden="1" customHeight="1" outlineLevel="1">
      <c r="A7700" s="202">
        <v>42285.0</v>
      </c>
      <c r="B7700" s="985" t="s">
        <v>347</v>
      </c>
      <c r="C7700" s="94" t="s">
        <v>1633</v>
      </c>
      <c r="D7700" s="94">
        <v>500.0</v>
      </c>
      <c r="E7700" s="94">
        <v>11.08</v>
      </c>
      <c r="F7700" s="986">
        <v>0.4462847222222222</v>
      </c>
      <c r="G7700" s="94" t="s">
        <v>453</v>
      </c>
      <c r="H7700" s="987">
        <v>2.6</v>
      </c>
      <c r="I7700" s="988" t="s">
        <v>3145</v>
      </c>
      <c r="J7700" s="67">
        <f t="shared" si="455"/>
        <v>5537.4</v>
      </c>
      <c r="L7700" s="70"/>
      <c r="M7700" s="934"/>
    </row>
    <row r="7701" ht="12.75" hidden="1" customHeight="1" outlineLevel="1">
      <c r="A7701" s="122">
        <v>42287.0</v>
      </c>
      <c r="B7701" s="974"/>
      <c r="C7701" s="32" t="s">
        <v>339</v>
      </c>
      <c r="D7701" s="708"/>
      <c r="E7701" s="195"/>
      <c r="F7701" s="709"/>
      <c r="G7701" s="195"/>
      <c r="H7701" s="710"/>
      <c r="I7701" s="256"/>
      <c r="J7701" s="67"/>
      <c r="K7701" s="968" t="s">
        <v>3170</v>
      </c>
      <c r="L7701" s="934"/>
      <c r="M7701" s="934"/>
    </row>
    <row r="7702" ht="12.75" hidden="1" customHeight="1" outlineLevel="1">
      <c r="A7702" s="122">
        <v>42287.0</v>
      </c>
      <c r="B7702" s="974"/>
      <c r="C7702" s="32" t="s">
        <v>429</v>
      </c>
      <c r="D7702" s="708"/>
      <c r="E7702" s="195"/>
      <c r="F7702" s="709"/>
      <c r="G7702" s="195"/>
      <c r="H7702" s="710"/>
      <c r="I7702" s="256"/>
      <c r="J7702" s="67"/>
      <c r="K7702" s="9" t="s">
        <v>3161</v>
      </c>
      <c r="L7702" s="934"/>
      <c r="M7702" s="934"/>
    </row>
    <row r="7703" ht="12.75" hidden="1" customHeight="1" outlineLevel="1">
      <c r="A7703" s="122">
        <v>42287.0</v>
      </c>
      <c r="B7703" s="974"/>
      <c r="C7703" s="32" t="s">
        <v>431</v>
      </c>
      <c r="D7703" s="708"/>
      <c r="E7703" s="195"/>
      <c r="F7703" s="709"/>
      <c r="G7703" s="195"/>
      <c r="H7703" s="710"/>
      <c r="I7703" s="256"/>
      <c r="J7703" s="67"/>
      <c r="K7703" s="7" t="s">
        <v>1126</v>
      </c>
      <c r="L7703" s="934"/>
      <c r="M7703" s="934"/>
    </row>
    <row r="7704" ht="12.75" hidden="1" customHeight="1" outlineLevel="1">
      <c r="A7704" s="122">
        <v>42287.0</v>
      </c>
      <c r="B7704" s="974"/>
      <c r="C7704" s="32" t="s">
        <v>433</v>
      </c>
      <c r="D7704" s="708"/>
      <c r="E7704" s="195"/>
      <c r="F7704" s="709"/>
      <c r="G7704" s="195"/>
      <c r="H7704" s="710"/>
      <c r="I7704" s="256"/>
      <c r="J7704" s="67"/>
      <c r="K7704" s="7" t="s">
        <v>1103</v>
      </c>
      <c r="L7704" s="934"/>
      <c r="M7704" s="934"/>
    </row>
    <row r="7705" ht="12.75" hidden="1" customHeight="1" outlineLevel="1">
      <c r="A7705" s="122">
        <v>42287.0</v>
      </c>
      <c r="B7705" s="974"/>
      <c r="C7705" s="32" t="s">
        <v>435</v>
      </c>
      <c r="D7705" s="708"/>
      <c r="E7705" s="195"/>
      <c r="F7705" s="709"/>
      <c r="G7705" s="195"/>
      <c r="H7705" s="710"/>
      <c r="I7705" s="256"/>
      <c r="J7705" s="67"/>
      <c r="K7705" s="9" t="s">
        <v>3134</v>
      </c>
      <c r="L7705" s="934"/>
      <c r="M7705" s="934"/>
    </row>
    <row r="7706" ht="12.75" hidden="1" customHeight="1" outlineLevel="1">
      <c r="A7706" s="202">
        <v>42289.0</v>
      </c>
      <c r="B7706" s="985" t="s">
        <v>343</v>
      </c>
      <c r="C7706" s="94" t="s">
        <v>1164</v>
      </c>
      <c r="D7706" s="94">
        <v>500.0</v>
      </c>
      <c r="E7706" s="94">
        <v>40.1</v>
      </c>
      <c r="F7706" s="986">
        <v>0.3985763888888889</v>
      </c>
      <c r="G7706" s="94" t="s">
        <v>453</v>
      </c>
      <c r="H7706" s="987">
        <v>2.5</v>
      </c>
      <c r="I7706" s="988" t="s">
        <v>3145</v>
      </c>
      <c r="J7706" s="67">
        <f t="shared" ref="J7706:J7717" si="456">IF(B7706="SLD",D7706*E7706,-D7706*E7706)-H7706</f>
        <v>-20052.5</v>
      </c>
      <c r="L7706" s="70"/>
      <c r="M7706" s="934"/>
    </row>
    <row r="7707" ht="12.75" hidden="1" customHeight="1" outlineLevel="1">
      <c r="A7707" s="202">
        <v>42289.0</v>
      </c>
      <c r="B7707" s="985" t="s">
        <v>343</v>
      </c>
      <c r="C7707" s="94" t="s">
        <v>346</v>
      </c>
      <c r="D7707" s="94">
        <v>200.0</v>
      </c>
      <c r="E7707" s="94">
        <v>112.5497</v>
      </c>
      <c r="F7707" s="986">
        <v>0.3989699074074074</v>
      </c>
      <c r="G7707" s="94" t="s">
        <v>453</v>
      </c>
      <c r="H7707" s="987">
        <v>1.0</v>
      </c>
      <c r="I7707" s="988" t="s">
        <v>3145</v>
      </c>
      <c r="J7707" s="67">
        <f t="shared" si="456"/>
        <v>-22510.94</v>
      </c>
      <c r="L7707" s="70"/>
      <c r="M7707" s="934"/>
    </row>
    <row r="7708" ht="12.75" hidden="1" customHeight="1" outlineLevel="1">
      <c r="A7708" s="202">
        <v>42289.0</v>
      </c>
      <c r="B7708" s="985" t="s">
        <v>347</v>
      </c>
      <c r="C7708" s="94" t="s">
        <v>790</v>
      </c>
      <c r="D7708" s="286">
        <v>1000.0</v>
      </c>
      <c r="E7708" s="94">
        <v>5.51</v>
      </c>
      <c r="F7708" s="986">
        <v>0.4008912037037037</v>
      </c>
      <c r="G7708" s="94" t="s">
        <v>453</v>
      </c>
      <c r="H7708" s="987">
        <v>5.1</v>
      </c>
      <c r="I7708" s="988" t="s">
        <v>3145</v>
      </c>
      <c r="J7708" s="67">
        <f t="shared" si="456"/>
        <v>5504.9</v>
      </c>
      <c r="L7708" s="70"/>
      <c r="M7708" s="934"/>
    </row>
    <row r="7709" ht="12.75" hidden="1" customHeight="1" outlineLevel="1">
      <c r="A7709" s="202">
        <v>42289.0</v>
      </c>
      <c r="B7709" s="985" t="s">
        <v>347</v>
      </c>
      <c r="C7709" s="94" t="s">
        <v>2090</v>
      </c>
      <c r="D7709" s="286">
        <v>1500.0</v>
      </c>
      <c r="E7709" s="94">
        <v>7.28</v>
      </c>
      <c r="F7709" s="986">
        <v>0.40131944444444445</v>
      </c>
      <c r="G7709" s="94" t="s">
        <v>453</v>
      </c>
      <c r="H7709" s="987">
        <v>7.7</v>
      </c>
      <c r="I7709" s="988" t="s">
        <v>3145</v>
      </c>
      <c r="J7709" s="67">
        <f t="shared" si="456"/>
        <v>10912.3</v>
      </c>
      <c r="L7709" s="70"/>
      <c r="M7709" s="934"/>
    </row>
    <row r="7710" ht="12.75" hidden="1" customHeight="1" outlineLevel="1">
      <c r="A7710" s="202">
        <v>42289.0</v>
      </c>
      <c r="B7710" s="985" t="s">
        <v>347</v>
      </c>
      <c r="C7710" s="94" t="s">
        <v>784</v>
      </c>
      <c r="D7710" s="286">
        <v>1000.0</v>
      </c>
      <c r="E7710" s="94">
        <v>5.35</v>
      </c>
      <c r="F7710" s="986">
        <v>0.40189814814814817</v>
      </c>
      <c r="G7710" s="94" t="s">
        <v>453</v>
      </c>
      <c r="H7710" s="987">
        <v>4.2</v>
      </c>
      <c r="I7710" s="988" t="s">
        <v>3145</v>
      </c>
      <c r="J7710" s="67">
        <f t="shared" si="456"/>
        <v>5345.8</v>
      </c>
      <c r="L7710" s="70"/>
      <c r="M7710" s="934"/>
    </row>
    <row r="7711" ht="12.75" hidden="1" customHeight="1" outlineLevel="1">
      <c r="A7711" s="202">
        <v>42289.0</v>
      </c>
      <c r="B7711" s="985" t="s">
        <v>347</v>
      </c>
      <c r="C7711" s="94" t="s">
        <v>1893</v>
      </c>
      <c r="D7711" s="94">
        <v>500.0</v>
      </c>
      <c r="E7711" s="94">
        <v>13.0801</v>
      </c>
      <c r="F7711" s="986">
        <v>0.40326388888888887</v>
      </c>
      <c r="G7711" s="94" t="s">
        <v>453</v>
      </c>
      <c r="H7711" s="987">
        <v>2.12</v>
      </c>
      <c r="I7711" s="988" t="s">
        <v>3145</v>
      </c>
      <c r="J7711" s="67">
        <f t="shared" si="456"/>
        <v>6537.93</v>
      </c>
      <c r="L7711" s="70"/>
      <c r="M7711" s="934"/>
    </row>
    <row r="7712" ht="12.75" hidden="1" customHeight="1" outlineLevel="1">
      <c r="A7712" s="202">
        <v>42289.0</v>
      </c>
      <c r="B7712" s="985" t="s">
        <v>347</v>
      </c>
      <c r="C7712" s="94" t="s">
        <v>2195</v>
      </c>
      <c r="D7712" s="94">
        <v>250.0</v>
      </c>
      <c r="E7712" s="94">
        <v>15.372</v>
      </c>
      <c r="F7712" s="986">
        <v>0.40805555555555556</v>
      </c>
      <c r="G7712" s="94" t="s">
        <v>453</v>
      </c>
      <c r="H7712" s="987">
        <v>1.12</v>
      </c>
      <c r="I7712" s="988" t="s">
        <v>3145</v>
      </c>
      <c r="J7712" s="67">
        <f t="shared" si="456"/>
        <v>3841.88</v>
      </c>
      <c r="L7712" s="70"/>
      <c r="M7712" s="934"/>
    </row>
    <row r="7713" ht="12.75" hidden="1" customHeight="1" outlineLevel="1">
      <c r="A7713" s="202">
        <v>42289.0</v>
      </c>
      <c r="B7713" s="985" t="s">
        <v>347</v>
      </c>
      <c r="C7713" s="94" t="s">
        <v>1633</v>
      </c>
      <c r="D7713" s="94">
        <v>500.0</v>
      </c>
      <c r="E7713" s="94">
        <v>11.42</v>
      </c>
      <c r="F7713" s="986">
        <v>0.4085185185185185</v>
      </c>
      <c r="G7713" s="94" t="s">
        <v>453</v>
      </c>
      <c r="H7713" s="987">
        <v>2.51</v>
      </c>
      <c r="I7713" s="988" t="s">
        <v>3145</v>
      </c>
      <c r="J7713" s="67">
        <f t="shared" si="456"/>
        <v>5707.49</v>
      </c>
      <c r="L7713" s="70"/>
      <c r="M7713" s="934"/>
    </row>
    <row r="7714" ht="12.75" hidden="1" customHeight="1" outlineLevel="1">
      <c r="A7714" s="202">
        <v>42289.0</v>
      </c>
      <c r="B7714" s="985" t="s">
        <v>347</v>
      </c>
      <c r="C7714" s="94" t="s">
        <v>2090</v>
      </c>
      <c r="D7714" s="286">
        <v>1000.0</v>
      </c>
      <c r="E7714" s="94">
        <v>7.074</v>
      </c>
      <c r="F7714" s="986">
        <v>0.41344907407407405</v>
      </c>
      <c r="G7714" s="94" t="s">
        <v>453</v>
      </c>
      <c r="H7714" s="987">
        <v>4.53</v>
      </c>
      <c r="I7714" s="988" t="s">
        <v>3145</v>
      </c>
      <c r="J7714" s="67">
        <f t="shared" si="456"/>
        <v>7069.47</v>
      </c>
      <c r="L7714" s="70"/>
      <c r="M7714" s="934"/>
    </row>
    <row r="7715" ht="12.75" hidden="1" customHeight="1" outlineLevel="1">
      <c r="A7715" s="202">
        <v>42289.0</v>
      </c>
      <c r="B7715" s="985" t="s">
        <v>347</v>
      </c>
      <c r="C7715" s="94" t="s">
        <v>784</v>
      </c>
      <c r="D7715" s="286">
        <v>1000.0</v>
      </c>
      <c r="E7715" s="94">
        <v>5.281</v>
      </c>
      <c r="F7715" s="986">
        <v>0.41467592592592595</v>
      </c>
      <c r="G7715" s="94" t="s">
        <v>453</v>
      </c>
      <c r="H7715" s="987">
        <v>4.1</v>
      </c>
      <c r="I7715" s="988" t="s">
        <v>3145</v>
      </c>
      <c r="J7715" s="67">
        <f t="shared" si="456"/>
        <v>5276.9</v>
      </c>
      <c r="L7715" s="70"/>
      <c r="M7715" s="934"/>
    </row>
    <row r="7716" ht="12.75" hidden="1" customHeight="1" outlineLevel="1">
      <c r="A7716" s="202">
        <v>42289.0</v>
      </c>
      <c r="B7716" s="985" t="s">
        <v>347</v>
      </c>
      <c r="C7716" s="94" t="s">
        <v>1947</v>
      </c>
      <c r="D7716" s="94">
        <v>200.0</v>
      </c>
      <c r="E7716" s="94">
        <v>50.16</v>
      </c>
      <c r="F7716" s="986">
        <v>0.4447453703703704</v>
      </c>
      <c r="G7716" s="94" t="s">
        <v>453</v>
      </c>
      <c r="H7716" s="987">
        <v>1.18</v>
      </c>
      <c r="I7716" s="988" t="s">
        <v>3145</v>
      </c>
      <c r="J7716" s="67">
        <f t="shared" si="456"/>
        <v>10030.82</v>
      </c>
      <c r="L7716" s="70"/>
      <c r="M7716" s="934"/>
    </row>
    <row r="7717" ht="12.75" hidden="1" customHeight="1" outlineLevel="1">
      <c r="A7717" s="202">
        <v>42289.0</v>
      </c>
      <c r="B7717" s="985" t="s">
        <v>343</v>
      </c>
      <c r="C7717" s="94" t="s">
        <v>1158</v>
      </c>
      <c r="D7717" s="94">
        <v>300.0</v>
      </c>
      <c r="E7717" s="94">
        <v>47.989</v>
      </c>
      <c r="F7717" s="986">
        <v>0.4470601851851852</v>
      </c>
      <c r="G7717" s="94" t="s">
        <v>453</v>
      </c>
      <c r="H7717" s="987">
        <v>1.2</v>
      </c>
      <c r="I7717" s="988" t="s">
        <v>3145</v>
      </c>
      <c r="J7717" s="67">
        <f t="shared" si="456"/>
        <v>-14397.9</v>
      </c>
      <c r="L7717" s="70"/>
      <c r="M7717" s="934"/>
    </row>
    <row r="7718" ht="12.75" hidden="1" customHeight="1" outlineLevel="1">
      <c r="A7718" s="122">
        <v>42287.0</v>
      </c>
      <c r="B7718" s="974"/>
      <c r="C7718" s="32" t="s">
        <v>339</v>
      </c>
      <c r="D7718" s="708"/>
      <c r="E7718" s="195"/>
      <c r="F7718" s="709"/>
      <c r="G7718" s="195"/>
      <c r="H7718" s="710"/>
      <c r="I7718" s="256"/>
      <c r="J7718" s="67"/>
      <c r="K7718" s="968" t="s">
        <v>3171</v>
      </c>
      <c r="L7718" s="934"/>
      <c r="M7718" s="934"/>
    </row>
    <row r="7719" ht="12.75" hidden="1" customHeight="1" outlineLevel="1">
      <c r="A7719" s="122">
        <v>42289.0</v>
      </c>
      <c r="B7719" s="974"/>
      <c r="C7719" s="32" t="s">
        <v>429</v>
      </c>
      <c r="D7719" s="708"/>
      <c r="E7719" s="195"/>
      <c r="F7719" s="709"/>
      <c r="G7719" s="195"/>
      <c r="H7719" s="710"/>
      <c r="I7719" s="256"/>
      <c r="J7719" s="67"/>
      <c r="K7719" s="9" t="s">
        <v>3161</v>
      </c>
      <c r="L7719" s="934"/>
      <c r="M7719" s="934"/>
    </row>
    <row r="7720" ht="12.75" hidden="1" customHeight="1" outlineLevel="1">
      <c r="A7720" s="122">
        <v>42289.0</v>
      </c>
      <c r="B7720" s="974"/>
      <c r="C7720" s="32" t="s">
        <v>431</v>
      </c>
      <c r="D7720" s="708"/>
      <c r="E7720" s="195"/>
      <c r="F7720" s="709"/>
      <c r="G7720" s="195"/>
      <c r="H7720" s="710"/>
      <c r="I7720" s="256"/>
      <c r="J7720" s="67"/>
      <c r="K7720" s="7" t="s">
        <v>1126</v>
      </c>
      <c r="L7720" s="934"/>
      <c r="M7720" s="934"/>
    </row>
    <row r="7721" ht="12.75" hidden="1" customHeight="1" outlineLevel="1">
      <c r="A7721" s="122">
        <v>42289.0</v>
      </c>
      <c r="B7721" s="974"/>
      <c r="C7721" s="32" t="s">
        <v>433</v>
      </c>
      <c r="D7721" s="708"/>
      <c r="E7721" s="195"/>
      <c r="F7721" s="709"/>
      <c r="G7721" s="195"/>
      <c r="H7721" s="710"/>
      <c r="I7721" s="256"/>
      <c r="J7721" s="67"/>
      <c r="K7721" s="7" t="s">
        <v>1103</v>
      </c>
      <c r="L7721" s="934"/>
      <c r="M7721" s="934"/>
    </row>
    <row r="7722" ht="12.75" hidden="1" customHeight="1" outlineLevel="1">
      <c r="A7722" s="122">
        <v>42289.0</v>
      </c>
      <c r="B7722" s="974"/>
      <c r="C7722" s="32" t="s">
        <v>435</v>
      </c>
      <c r="D7722" s="708"/>
      <c r="E7722" s="195"/>
      <c r="F7722" s="709"/>
      <c r="G7722" s="195"/>
      <c r="H7722" s="710"/>
      <c r="I7722" s="256"/>
      <c r="J7722" s="67"/>
      <c r="K7722" s="9" t="s">
        <v>3134</v>
      </c>
      <c r="L7722" s="934"/>
      <c r="M7722" s="934"/>
    </row>
    <row r="7723" ht="12.75" hidden="1" customHeight="1" outlineLevel="1">
      <c r="A7723" s="202">
        <v>42290.0</v>
      </c>
      <c r="B7723" s="985" t="s">
        <v>347</v>
      </c>
      <c r="C7723" s="94" t="s">
        <v>790</v>
      </c>
      <c r="D7723" s="286">
        <v>1000.0</v>
      </c>
      <c r="E7723" s="94">
        <v>5.141</v>
      </c>
      <c r="F7723" s="986">
        <v>0.3979861111111111</v>
      </c>
      <c r="G7723" s="94" t="s">
        <v>453</v>
      </c>
      <c r="H7723" s="987">
        <v>4.29</v>
      </c>
      <c r="I7723" s="988" t="s">
        <v>3145</v>
      </c>
      <c r="J7723" s="67">
        <f t="shared" ref="J7723:J7728" si="457">IF(B7723="SLD",D7723*E7723,-D7723*E7723)-H7723</f>
        <v>5136.71</v>
      </c>
      <c r="L7723" s="70"/>
      <c r="M7723" s="934"/>
    </row>
    <row r="7724" ht="12.75" hidden="1" customHeight="1" outlineLevel="1">
      <c r="A7724" s="202">
        <v>42290.0</v>
      </c>
      <c r="B7724" s="985" t="s">
        <v>347</v>
      </c>
      <c r="C7724" s="94" t="s">
        <v>1893</v>
      </c>
      <c r="D7724" s="94">
        <v>400.0</v>
      </c>
      <c r="E7724" s="94">
        <v>12.233</v>
      </c>
      <c r="F7724" s="986">
        <v>0.39806712962962965</v>
      </c>
      <c r="G7724" s="94" t="s">
        <v>453</v>
      </c>
      <c r="H7724" s="987">
        <v>1.89</v>
      </c>
      <c r="I7724" s="988" t="s">
        <v>3145</v>
      </c>
      <c r="J7724" s="67">
        <f t="shared" si="457"/>
        <v>4891.31</v>
      </c>
      <c r="L7724" s="70"/>
      <c r="M7724" s="934"/>
    </row>
    <row r="7725" ht="12.75" hidden="1" customHeight="1" outlineLevel="1">
      <c r="A7725" s="202">
        <v>42290.0</v>
      </c>
      <c r="B7725" s="985" t="s">
        <v>347</v>
      </c>
      <c r="C7725" s="94" t="s">
        <v>3024</v>
      </c>
      <c r="D7725" s="94">
        <v>500.0</v>
      </c>
      <c r="E7725" s="94">
        <v>18.151</v>
      </c>
      <c r="F7725" s="986">
        <v>0.4777546296296296</v>
      </c>
      <c r="G7725" s="94" t="s">
        <v>453</v>
      </c>
      <c r="H7725" s="987">
        <v>2.17</v>
      </c>
      <c r="I7725" s="988" t="s">
        <v>3145</v>
      </c>
      <c r="J7725" s="67">
        <f t="shared" si="457"/>
        <v>9073.33</v>
      </c>
      <c r="L7725" s="70"/>
      <c r="M7725" s="934"/>
    </row>
    <row r="7726" ht="12.75" hidden="1" customHeight="1" outlineLevel="1">
      <c r="A7726" s="202">
        <v>42290.0</v>
      </c>
      <c r="B7726" s="985" t="s">
        <v>347</v>
      </c>
      <c r="C7726" s="94" t="s">
        <v>2210</v>
      </c>
      <c r="D7726" s="94">
        <v>100.0</v>
      </c>
      <c r="E7726" s="94">
        <v>71.455</v>
      </c>
      <c r="F7726" s="986">
        <v>0.4778935185185185</v>
      </c>
      <c r="G7726" s="94" t="s">
        <v>453</v>
      </c>
      <c r="H7726" s="987">
        <v>1.13</v>
      </c>
      <c r="I7726" s="988" t="s">
        <v>3145</v>
      </c>
      <c r="J7726" s="67">
        <f t="shared" si="457"/>
        <v>7144.37</v>
      </c>
      <c r="L7726" s="70"/>
      <c r="M7726" s="934"/>
    </row>
    <row r="7727" ht="12.75" hidden="1" customHeight="1" outlineLevel="1">
      <c r="A7727" s="202">
        <v>42290.0</v>
      </c>
      <c r="B7727" s="985" t="s">
        <v>343</v>
      </c>
      <c r="C7727" s="94" t="s">
        <v>1249</v>
      </c>
      <c r="D7727" s="94">
        <v>250.0</v>
      </c>
      <c r="E7727" s="94">
        <v>94.37</v>
      </c>
      <c r="F7727" s="986">
        <v>0.628449074074074</v>
      </c>
      <c r="G7727" s="94" t="s">
        <v>453</v>
      </c>
      <c r="H7727" s="987">
        <v>1.15</v>
      </c>
      <c r="I7727" s="988" t="s">
        <v>3145</v>
      </c>
      <c r="J7727" s="67">
        <f t="shared" si="457"/>
        <v>-23593.65</v>
      </c>
      <c r="L7727" s="70"/>
      <c r="M7727" s="934"/>
    </row>
    <row r="7728" ht="12.75" hidden="1" customHeight="1" outlineLevel="1">
      <c r="A7728" s="202">
        <v>42290.0</v>
      </c>
      <c r="B7728" s="985" t="s">
        <v>347</v>
      </c>
      <c r="C7728" s="94" t="s">
        <v>2195</v>
      </c>
      <c r="D7728" s="94">
        <v>750.0</v>
      </c>
      <c r="E7728" s="94">
        <v>14.845</v>
      </c>
      <c r="F7728" s="986">
        <v>0.6617708333333333</v>
      </c>
      <c r="G7728" s="94" t="s">
        <v>453</v>
      </c>
      <c r="H7728" s="987">
        <v>3.55</v>
      </c>
      <c r="I7728" s="988" t="s">
        <v>3145</v>
      </c>
      <c r="J7728" s="67">
        <f t="shared" si="457"/>
        <v>11130.2</v>
      </c>
      <c r="L7728" s="70"/>
      <c r="M7728" s="934"/>
    </row>
    <row r="7729" ht="12.75" hidden="1" customHeight="1" outlineLevel="1">
      <c r="A7729" s="122">
        <v>42290.0</v>
      </c>
      <c r="B7729" s="974"/>
      <c r="C7729" s="32" t="s">
        <v>339</v>
      </c>
      <c r="D7729" s="708"/>
      <c r="E7729" s="195"/>
      <c r="F7729" s="709"/>
      <c r="G7729" s="195"/>
      <c r="H7729" s="710"/>
      <c r="I7729" s="256"/>
      <c r="J7729" s="67"/>
      <c r="K7729" s="968" t="s">
        <v>3172</v>
      </c>
      <c r="L7729" s="934"/>
      <c r="M7729" s="934"/>
    </row>
    <row r="7730" ht="12.75" hidden="1" customHeight="1" outlineLevel="1">
      <c r="A7730" s="122">
        <v>42290.0</v>
      </c>
      <c r="B7730" s="974"/>
      <c r="C7730" s="32" t="s">
        <v>429</v>
      </c>
      <c r="D7730" s="708"/>
      <c r="E7730" s="195"/>
      <c r="F7730" s="709"/>
      <c r="G7730" s="195"/>
      <c r="H7730" s="710"/>
      <c r="I7730" s="256"/>
      <c r="J7730" s="67"/>
      <c r="K7730" s="9" t="s">
        <v>3161</v>
      </c>
      <c r="L7730" s="934"/>
      <c r="M7730" s="934"/>
    </row>
    <row r="7731" ht="12.75" hidden="1" customHeight="1" outlineLevel="1">
      <c r="A7731" s="122">
        <v>42290.0</v>
      </c>
      <c r="B7731" s="974"/>
      <c r="C7731" s="32" t="s">
        <v>431</v>
      </c>
      <c r="D7731" s="708"/>
      <c r="E7731" s="195"/>
      <c r="F7731" s="709"/>
      <c r="G7731" s="195"/>
      <c r="H7731" s="710"/>
      <c r="I7731" s="256"/>
      <c r="J7731" s="67"/>
      <c r="K7731" s="7" t="s">
        <v>1126</v>
      </c>
      <c r="L7731" s="934"/>
      <c r="M7731" s="934"/>
    </row>
    <row r="7732" ht="12.75" hidden="1" customHeight="1" outlineLevel="1">
      <c r="A7732" s="122">
        <v>42290.0</v>
      </c>
      <c r="B7732" s="974"/>
      <c r="C7732" s="32" t="s">
        <v>433</v>
      </c>
      <c r="D7732" s="708"/>
      <c r="E7732" s="195"/>
      <c r="F7732" s="709"/>
      <c r="G7732" s="195"/>
      <c r="H7732" s="710"/>
      <c r="I7732" s="256"/>
      <c r="J7732" s="67"/>
      <c r="K7732" s="7" t="s">
        <v>1103</v>
      </c>
      <c r="L7732" s="934"/>
      <c r="M7732" s="934"/>
    </row>
    <row r="7733" ht="12.75" hidden="1" customHeight="1" outlineLevel="1">
      <c r="A7733" s="122">
        <v>42290.0</v>
      </c>
      <c r="B7733" s="974"/>
      <c r="C7733" s="32" t="s">
        <v>435</v>
      </c>
      <c r="D7733" s="708"/>
      <c r="E7733" s="195"/>
      <c r="F7733" s="709"/>
      <c r="G7733" s="195"/>
      <c r="H7733" s="710"/>
      <c r="I7733" s="256"/>
      <c r="J7733" s="67"/>
      <c r="K7733" s="9" t="s">
        <v>3134</v>
      </c>
      <c r="L7733" s="934"/>
      <c r="M7733" s="934"/>
    </row>
    <row r="7734" ht="12.75" hidden="1" customHeight="1" outlineLevel="1">
      <c r="A7734" s="202">
        <v>42293.0</v>
      </c>
      <c r="B7734" s="985" t="s">
        <v>347</v>
      </c>
      <c r="C7734" s="94" t="s">
        <v>2090</v>
      </c>
      <c r="D7734" s="286">
        <v>1500.0</v>
      </c>
      <c r="E7734" s="94">
        <v>6.605</v>
      </c>
      <c r="F7734" s="986">
        <v>0.4068865740740741</v>
      </c>
      <c r="G7734" s="94" t="s">
        <v>453</v>
      </c>
      <c r="H7734" s="987">
        <v>7.08</v>
      </c>
      <c r="I7734" s="988" t="s">
        <v>3145</v>
      </c>
      <c r="J7734" s="67">
        <f t="shared" ref="J7734:J7744" si="458">IF(B7734="SLD",D7734*E7734,-D7734*E7734)-H7734</f>
        <v>9900.42</v>
      </c>
      <c r="L7734" s="70"/>
      <c r="M7734" s="934"/>
    </row>
    <row r="7735" ht="12.75" hidden="1" customHeight="1" outlineLevel="1">
      <c r="A7735" s="202">
        <v>42293.0</v>
      </c>
      <c r="B7735" s="985" t="s">
        <v>347</v>
      </c>
      <c r="C7735" s="94" t="s">
        <v>1893</v>
      </c>
      <c r="D7735" s="94">
        <v>350.0</v>
      </c>
      <c r="E7735" s="94">
        <v>12.7</v>
      </c>
      <c r="F7735" s="986">
        <v>0.4246064814814815</v>
      </c>
      <c r="G7735" s="94" t="s">
        <v>453</v>
      </c>
      <c r="H7735" s="987">
        <v>1.83</v>
      </c>
      <c r="I7735" s="988" t="s">
        <v>3145</v>
      </c>
      <c r="J7735" s="67">
        <f t="shared" si="458"/>
        <v>4443.17</v>
      </c>
      <c r="L7735" s="70"/>
      <c r="M7735" s="934"/>
    </row>
    <row r="7736" ht="12.75" hidden="1" customHeight="1" outlineLevel="1">
      <c r="A7736" s="202">
        <v>42293.0</v>
      </c>
      <c r="B7736" s="985" t="s">
        <v>343</v>
      </c>
      <c r="C7736" s="94" t="s">
        <v>3024</v>
      </c>
      <c r="D7736" s="286">
        <v>1000.0</v>
      </c>
      <c r="E7736" s="94">
        <v>18.61</v>
      </c>
      <c r="F7736" s="986">
        <v>0.593113425925926</v>
      </c>
      <c r="G7736" s="94" t="s">
        <v>453</v>
      </c>
      <c r="H7736" s="987">
        <v>4.9</v>
      </c>
      <c r="I7736" s="988" t="s">
        <v>3145</v>
      </c>
      <c r="J7736" s="67">
        <f t="shared" si="458"/>
        <v>-18614.9</v>
      </c>
      <c r="L7736" s="70"/>
      <c r="M7736" s="934"/>
    </row>
    <row r="7737" ht="12.75" hidden="1" customHeight="1" outlineLevel="1">
      <c r="A7737" s="202">
        <v>42293.0</v>
      </c>
      <c r="B7737" s="985" t="s">
        <v>343</v>
      </c>
      <c r="C7737" s="94" t="s">
        <v>3024</v>
      </c>
      <c r="D7737" s="286">
        <v>1000.0</v>
      </c>
      <c r="E7737" s="94">
        <v>18.599</v>
      </c>
      <c r="F7737" s="986">
        <v>0.593599537037037</v>
      </c>
      <c r="G7737" s="94" t="s">
        <v>453</v>
      </c>
      <c r="H7737" s="987">
        <v>4.0</v>
      </c>
      <c r="I7737" s="988" t="s">
        <v>3145</v>
      </c>
      <c r="J7737" s="67">
        <f t="shared" si="458"/>
        <v>-18603</v>
      </c>
      <c r="L7737" s="70"/>
      <c r="M7737" s="934"/>
    </row>
    <row r="7738" ht="12.75" hidden="1" customHeight="1" outlineLevel="1">
      <c r="A7738" s="202">
        <v>42293.0</v>
      </c>
      <c r="B7738" s="985" t="s">
        <v>347</v>
      </c>
      <c r="C7738" s="94" t="s">
        <v>1061</v>
      </c>
      <c r="D7738" s="94">
        <v>600.0</v>
      </c>
      <c r="E7738" s="94">
        <v>39.322</v>
      </c>
      <c r="F7738" s="986">
        <v>0.5960069444444445</v>
      </c>
      <c r="G7738" s="94" t="s">
        <v>453</v>
      </c>
      <c r="H7738" s="987">
        <v>3.43</v>
      </c>
      <c r="I7738" s="988" t="s">
        <v>3145</v>
      </c>
      <c r="J7738" s="67">
        <f t="shared" si="458"/>
        <v>23589.77</v>
      </c>
      <c r="L7738" s="70"/>
      <c r="M7738" s="934"/>
    </row>
    <row r="7739" ht="12.75" hidden="1" customHeight="1" outlineLevel="1">
      <c r="A7739" s="202">
        <v>42293.0</v>
      </c>
      <c r="B7739" s="985" t="s">
        <v>347</v>
      </c>
      <c r="C7739" s="94" t="s">
        <v>1061</v>
      </c>
      <c r="D7739" s="94">
        <v>500.0</v>
      </c>
      <c r="E7739" s="94">
        <v>39.24</v>
      </c>
      <c r="F7739" s="986">
        <v>0.6000925925925926</v>
      </c>
      <c r="G7739" s="94" t="s">
        <v>453</v>
      </c>
      <c r="H7739" s="987">
        <v>2.86</v>
      </c>
      <c r="I7739" s="988" t="s">
        <v>3145</v>
      </c>
      <c r="J7739" s="67">
        <f t="shared" si="458"/>
        <v>19617.14</v>
      </c>
      <c r="L7739" s="70"/>
      <c r="M7739" s="934"/>
    </row>
    <row r="7740" ht="12.75" hidden="1" customHeight="1" outlineLevel="1">
      <c r="A7740" s="202">
        <v>42293.0</v>
      </c>
      <c r="B7740" s="985" t="s">
        <v>343</v>
      </c>
      <c r="C7740" s="94" t="s">
        <v>2210</v>
      </c>
      <c r="D7740" s="94">
        <v>200.0</v>
      </c>
      <c r="E7740" s="94">
        <v>74.99</v>
      </c>
      <c r="F7740" s="986">
        <v>0.601875</v>
      </c>
      <c r="G7740" s="94" t="s">
        <v>453</v>
      </c>
      <c r="H7740" s="987">
        <v>1.0</v>
      </c>
      <c r="I7740" s="988" t="s">
        <v>3145</v>
      </c>
      <c r="J7740" s="67">
        <f t="shared" si="458"/>
        <v>-14999</v>
      </c>
      <c r="L7740" s="70"/>
      <c r="M7740" s="934"/>
    </row>
    <row r="7741" ht="12.75" hidden="1" customHeight="1" outlineLevel="1">
      <c r="A7741" s="202">
        <v>42293.0</v>
      </c>
      <c r="B7741" s="985" t="s">
        <v>343</v>
      </c>
      <c r="C7741" s="94" t="s">
        <v>3024</v>
      </c>
      <c r="D7741" s="94">
        <v>500.0</v>
      </c>
      <c r="E7741" s="94">
        <v>18.6</v>
      </c>
      <c r="F7741" s="986">
        <v>0.6034143518518519</v>
      </c>
      <c r="G7741" s="94" t="s">
        <v>453</v>
      </c>
      <c r="H7741" s="987">
        <v>2.4</v>
      </c>
      <c r="I7741" s="988" t="s">
        <v>3145</v>
      </c>
      <c r="J7741" s="67">
        <f t="shared" si="458"/>
        <v>-9302.4</v>
      </c>
      <c r="L7741" s="70"/>
      <c r="M7741" s="934"/>
    </row>
    <row r="7742" ht="12.75" hidden="1" customHeight="1" outlineLevel="1">
      <c r="A7742" s="202">
        <v>42293.0</v>
      </c>
      <c r="B7742" s="985" t="s">
        <v>347</v>
      </c>
      <c r="C7742" s="94" t="s">
        <v>3024</v>
      </c>
      <c r="D7742" s="286">
        <v>3000.0</v>
      </c>
      <c r="E7742" s="94">
        <v>18.351</v>
      </c>
      <c r="F7742" s="986">
        <v>0.6595138888888888</v>
      </c>
      <c r="G7742" s="94" t="s">
        <v>453</v>
      </c>
      <c r="H7742" s="987">
        <v>14.01</v>
      </c>
      <c r="I7742" s="988" t="s">
        <v>3145</v>
      </c>
      <c r="J7742" s="67">
        <f t="shared" si="458"/>
        <v>55038.99</v>
      </c>
      <c r="L7742" s="70"/>
      <c r="M7742" s="934"/>
    </row>
    <row r="7743" ht="12.75" hidden="1" customHeight="1" outlineLevel="1">
      <c r="A7743" s="202">
        <v>42293.0</v>
      </c>
      <c r="B7743" s="985" t="s">
        <v>347</v>
      </c>
      <c r="C7743" s="94" t="s">
        <v>2210</v>
      </c>
      <c r="D7743" s="94">
        <v>350.0</v>
      </c>
      <c r="E7743" s="94">
        <v>72.45</v>
      </c>
      <c r="F7743" s="986">
        <v>0.6597337962962962</v>
      </c>
      <c r="G7743" s="94" t="s">
        <v>453</v>
      </c>
      <c r="H7743" s="987">
        <v>2.22</v>
      </c>
      <c r="I7743" s="988" t="s">
        <v>3145</v>
      </c>
      <c r="J7743" s="67">
        <f t="shared" si="458"/>
        <v>25355.28</v>
      </c>
      <c r="L7743" s="70"/>
      <c r="M7743" s="934"/>
    </row>
    <row r="7744" ht="12.75" hidden="1" customHeight="1" outlineLevel="1">
      <c r="A7744" s="202">
        <v>42293.0</v>
      </c>
      <c r="B7744" s="985" t="s">
        <v>343</v>
      </c>
      <c r="C7744" s="94" t="s">
        <v>1061</v>
      </c>
      <c r="D7744" s="286">
        <v>1500.0</v>
      </c>
      <c r="E7744" s="94">
        <v>39.35</v>
      </c>
      <c r="F7744" s="986">
        <v>0.6642708333333334</v>
      </c>
      <c r="G7744" s="94" t="s">
        <v>453</v>
      </c>
      <c r="H7744" s="987">
        <v>6.0</v>
      </c>
      <c r="I7744" s="988" t="s">
        <v>3145</v>
      </c>
      <c r="J7744" s="67">
        <f t="shared" si="458"/>
        <v>-59031</v>
      </c>
      <c r="L7744" s="70"/>
      <c r="M7744" s="934"/>
    </row>
    <row r="7745" ht="12.75" hidden="1" customHeight="1" outlineLevel="1">
      <c r="A7745" s="122">
        <v>42296.0</v>
      </c>
      <c r="B7745" s="974"/>
      <c r="C7745" s="32" t="s">
        <v>339</v>
      </c>
      <c r="D7745" s="1"/>
      <c r="F7745" s="1"/>
      <c r="G7745" s="1"/>
      <c r="H7745" s="68"/>
      <c r="I7745" s="76"/>
      <c r="K7745" s="991" t="s">
        <v>3175</v>
      </c>
      <c r="L7745" s="934"/>
      <c r="M7745" s="934"/>
    </row>
    <row r="7746" ht="12.75" hidden="1" customHeight="1" outlineLevel="1">
      <c r="A7746" s="122">
        <v>42296.0</v>
      </c>
      <c r="B7746" s="974"/>
      <c r="C7746" s="32" t="s">
        <v>429</v>
      </c>
      <c r="D7746" s="1"/>
      <c r="F7746" s="1"/>
      <c r="G7746" s="1"/>
      <c r="H7746" s="68"/>
      <c r="I7746" s="76"/>
      <c r="K7746" s="9" t="s">
        <v>3161</v>
      </c>
      <c r="L7746" s="934"/>
      <c r="M7746" s="934"/>
    </row>
    <row r="7747" ht="12.75" hidden="1" customHeight="1" outlineLevel="1">
      <c r="A7747" s="122">
        <v>42296.0</v>
      </c>
      <c r="B7747" s="974"/>
      <c r="C7747" s="32" t="s">
        <v>431</v>
      </c>
      <c r="D7747" s="1"/>
      <c r="F7747" s="1"/>
      <c r="G7747" s="1"/>
      <c r="H7747" s="68"/>
      <c r="I7747" s="76"/>
      <c r="K7747" s="7" t="s">
        <v>1126</v>
      </c>
      <c r="L7747" s="934"/>
      <c r="M7747" s="934"/>
    </row>
    <row r="7748" ht="12.75" hidden="1" customHeight="1" outlineLevel="1">
      <c r="A7748" s="122">
        <v>42296.0</v>
      </c>
      <c r="B7748" s="974"/>
      <c r="C7748" s="32" t="s">
        <v>433</v>
      </c>
      <c r="D7748" s="1"/>
      <c r="F7748" s="1"/>
      <c r="G7748" s="1"/>
      <c r="H7748" s="68"/>
      <c r="I7748" s="76"/>
      <c r="K7748" s="7" t="s">
        <v>1103</v>
      </c>
      <c r="L7748" s="934"/>
      <c r="M7748" s="934"/>
    </row>
    <row r="7749" ht="12.75" hidden="1" customHeight="1" outlineLevel="1">
      <c r="A7749" s="122">
        <v>42296.0</v>
      </c>
      <c r="B7749" s="974"/>
      <c r="C7749" s="32" t="s">
        <v>435</v>
      </c>
      <c r="D7749" s="1"/>
      <c r="F7749" s="1"/>
      <c r="G7749" s="1"/>
      <c r="H7749" s="68"/>
      <c r="I7749" s="76"/>
      <c r="K7749" s="9" t="s">
        <v>3134</v>
      </c>
      <c r="L7749" s="934"/>
      <c r="M7749" s="934"/>
    </row>
    <row r="7750" ht="12.75" hidden="1" customHeight="1" outlineLevel="1">
      <c r="A7750" s="202">
        <v>42300.0</v>
      </c>
      <c r="B7750" s="985" t="s">
        <v>343</v>
      </c>
      <c r="C7750" s="94" t="s">
        <v>2177</v>
      </c>
      <c r="D7750" s="94">
        <v>100.0</v>
      </c>
      <c r="E7750" s="94">
        <v>117.635</v>
      </c>
      <c r="F7750" s="986">
        <v>0.4057060185185185</v>
      </c>
      <c r="G7750" s="94" t="s">
        <v>453</v>
      </c>
      <c r="H7750" s="987">
        <v>1.0</v>
      </c>
      <c r="I7750" s="988" t="s">
        <v>3145</v>
      </c>
      <c r="J7750" s="67">
        <f t="shared" ref="J7750:J7758" si="459">IF(B7750="SLD",D7750*E7750,-D7750*E7750)-H7750</f>
        <v>-11764.5</v>
      </c>
      <c r="L7750" s="70"/>
      <c r="M7750" s="934"/>
    </row>
    <row r="7751" ht="12.75" hidden="1" customHeight="1" outlineLevel="1">
      <c r="A7751" s="202">
        <v>42300.0</v>
      </c>
      <c r="B7751" s="985" t="s">
        <v>343</v>
      </c>
      <c r="C7751" s="94" t="s">
        <v>2412</v>
      </c>
      <c r="D7751" s="94">
        <v>100.0</v>
      </c>
      <c r="E7751" s="94">
        <v>64.38</v>
      </c>
      <c r="F7751" s="986">
        <v>0.41974537037037035</v>
      </c>
      <c r="G7751" s="94" t="s">
        <v>453</v>
      </c>
      <c r="H7751" s="987">
        <v>1.0</v>
      </c>
      <c r="I7751" s="988" t="s">
        <v>3145</v>
      </c>
      <c r="J7751" s="67">
        <f t="shared" si="459"/>
        <v>-6439</v>
      </c>
      <c r="L7751" s="70"/>
      <c r="M7751" s="934"/>
    </row>
    <row r="7752" ht="12.75" hidden="1" customHeight="1" outlineLevel="1">
      <c r="A7752" s="202">
        <v>42300.0</v>
      </c>
      <c r="B7752" s="985" t="s">
        <v>347</v>
      </c>
      <c r="C7752" s="94" t="s">
        <v>1890</v>
      </c>
      <c r="D7752" s="94">
        <v>500.0</v>
      </c>
      <c r="E7752" s="94">
        <v>16.2801</v>
      </c>
      <c r="F7752" s="986">
        <v>0.4763541666666667</v>
      </c>
      <c r="G7752" s="94" t="s">
        <v>453</v>
      </c>
      <c r="H7752" s="987">
        <v>2.15</v>
      </c>
      <c r="I7752" s="988" t="s">
        <v>3145</v>
      </c>
      <c r="J7752" s="67">
        <f t="shared" si="459"/>
        <v>8137.9</v>
      </c>
      <c r="L7752" s="70"/>
      <c r="M7752" s="934"/>
    </row>
    <row r="7753" ht="12.75" hidden="1" customHeight="1" outlineLevel="1">
      <c r="A7753" s="202">
        <v>42300.0</v>
      </c>
      <c r="B7753" s="985" t="s">
        <v>347</v>
      </c>
      <c r="C7753" s="94" t="s">
        <v>2048</v>
      </c>
      <c r="D7753" s="286">
        <v>1200.0</v>
      </c>
      <c r="E7753" s="94">
        <v>6.761</v>
      </c>
      <c r="F7753" s="986">
        <v>0.4766782407407407</v>
      </c>
      <c r="G7753" s="94" t="s">
        <v>453</v>
      </c>
      <c r="H7753" s="987">
        <v>4.95</v>
      </c>
      <c r="I7753" s="988" t="s">
        <v>3145</v>
      </c>
      <c r="J7753" s="67">
        <f t="shared" si="459"/>
        <v>8108.25</v>
      </c>
      <c r="L7753" s="70"/>
      <c r="M7753" s="934"/>
    </row>
    <row r="7754" ht="12.75" hidden="1" customHeight="1" outlineLevel="1">
      <c r="A7754" s="202">
        <v>42300.0</v>
      </c>
      <c r="B7754" s="985" t="s">
        <v>347</v>
      </c>
      <c r="C7754" s="94" t="s">
        <v>790</v>
      </c>
      <c r="D7754" s="286">
        <v>2000.0</v>
      </c>
      <c r="E7754" s="94">
        <v>4.981</v>
      </c>
      <c r="F7754" s="986">
        <v>0.47788194444444443</v>
      </c>
      <c r="G7754" s="94" t="s">
        <v>453</v>
      </c>
      <c r="H7754" s="987">
        <v>8.78</v>
      </c>
      <c r="I7754" s="988" t="s">
        <v>3145</v>
      </c>
      <c r="J7754" s="67">
        <f t="shared" si="459"/>
        <v>9953.22</v>
      </c>
      <c r="L7754" s="70"/>
      <c r="M7754" s="934"/>
    </row>
    <row r="7755" ht="12.75" hidden="1" customHeight="1" outlineLevel="1">
      <c r="A7755" s="202">
        <v>42300.0</v>
      </c>
      <c r="B7755" s="985" t="s">
        <v>347</v>
      </c>
      <c r="C7755" s="94" t="s">
        <v>1633</v>
      </c>
      <c r="D7755" s="286">
        <v>1000.0</v>
      </c>
      <c r="E7755" s="94">
        <v>9.7401</v>
      </c>
      <c r="F7755" s="986">
        <v>0.4803472222222222</v>
      </c>
      <c r="G7755" s="94" t="s">
        <v>453</v>
      </c>
      <c r="H7755" s="987">
        <v>4.18</v>
      </c>
      <c r="I7755" s="988" t="s">
        <v>3145</v>
      </c>
      <c r="J7755" s="67">
        <f t="shared" si="459"/>
        <v>9735.92</v>
      </c>
      <c r="L7755" s="70"/>
      <c r="M7755" s="934"/>
    </row>
    <row r="7756" ht="12.75" hidden="1" customHeight="1" outlineLevel="1">
      <c r="A7756" s="202">
        <v>42300.0</v>
      </c>
      <c r="B7756" s="985" t="s">
        <v>347</v>
      </c>
      <c r="C7756" s="94" t="s">
        <v>1905</v>
      </c>
      <c r="D7756" s="286">
        <v>1000.0</v>
      </c>
      <c r="E7756" s="94">
        <v>29.082</v>
      </c>
      <c r="F7756" s="986">
        <v>0.4830324074074074</v>
      </c>
      <c r="G7756" s="94" t="s">
        <v>453</v>
      </c>
      <c r="H7756" s="987">
        <v>4.54</v>
      </c>
      <c r="I7756" s="988" t="s">
        <v>3145</v>
      </c>
      <c r="J7756" s="67">
        <f t="shared" si="459"/>
        <v>29077.46</v>
      </c>
      <c r="L7756" s="70"/>
      <c r="M7756" s="934"/>
    </row>
    <row r="7757" ht="12.75" hidden="1" customHeight="1" outlineLevel="1">
      <c r="A7757" s="202">
        <v>42300.0</v>
      </c>
      <c r="B7757" s="985" t="s">
        <v>347</v>
      </c>
      <c r="C7757" s="94" t="s">
        <v>1893</v>
      </c>
      <c r="D7757" s="286">
        <v>1000.0</v>
      </c>
      <c r="E7757" s="94">
        <v>11.99</v>
      </c>
      <c r="F7757" s="986">
        <v>0.507199074074074</v>
      </c>
      <c r="G7757" s="94" t="s">
        <v>453</v>
      </c>
      <c r="H7757" s="987">
        <v>5.22</v>
      </c>
      <c r="I7757" s="988" t="s">
        <v>3145</v>
      </c>
      <c r="J7757" s="67">
        <f t="shared" si="459"/>
        <v>11984.78</v>
      </c>
      <c r="L7757" s="70"/>
      <c r="M7757" s="934"/>
    </row>
    <row r="7758" ht="12.75" hidden="1" customHeight="1" outlineLevel="1">
      <c r="A7758" s="202">
        <v>42300.0</v>
      </c>
      <c r="B7758" s="985" t="s">
        <v>347</v>
      </c>
      <c r="C7758" s="94" t="s">
        <v>1633</v>
      </c>
      <c r="D7758" s="286">
        <v>2000.0</v>
      </c>
      <c r="E7758" s="94">
        <v>9.41</v>
      </c>
      <c r="F7758" s="986">
        <v>0.6342939814814815</v>
      </c>
      <c r="G7758" s="94" t="s">
        <v>453</v>
      </c>
      <c r="H7758" s="987">
        <v>8.35</v>
      </c>
      <c r="I7758" s="988" t="s">
        <v>3145</v>
      </c>
      <c r="J7758" s="67">
        <f t="shared" si="459"/>
        <v>18811.65</v>
      </c>
      <c r="L7758" s="70"/>
      <c r="M7758" s="934"/>
    </row>
    <row r="7759" ht="12.75" hidden="1" customHeight="1" outlineLevel="1">
      <c r="A7759" s="122">
        <v>42300.0</v>
      </c>
      <c r="B7759" s="974"/>
      <c r="C7759" s="32" t="s">
        <v>339</v>
      </c>
      <c r="D7759" s="1"/>
      <c r="F7759" s="1"/>
      <c r="G7759" s="1"/>
      <c r="H7759" s="68"/>
      <c r="I7759" s="76"/>
      <c r="K7759" s="968" t="s">
        <v>3181</v>
      </c>
      <c r="L7759" s="934"/>
      <c r="M7759" s="934"/>
    </row>
    <row r="7760" ht="12.75" hidden="1" customHeight="1" outlineLevel="1">
      <c r="A7760" s="122">
        <v>42300.0</v>
      </c>
      <c r="B7760" s="974"/>
      <c r="C7760" s="32" t="s">
        <v>429</v>
      </c>
      <c r="D7760" s="1"/>
      <c r="F7760" s="1"/>
      <c r="G7760" s="1"/>
      <c r="H7760" s="68"/>
      <c r="I7760" s="76"/>
      <c r="K7760" s="9" t="s">
        <v>3161</v>
      </c>
      <c r="L7760" s="934"/>
      <c r="M7760" s="934"/>
    </row>
    <row r="7761" ht="12.75" hidden="1" customHeight="1" outlineLevel="1">
      <c r="A7761" s="122">
        <v>42300.0</v>
      </c>
      <c r="B7761" s="974"/>
      <c r="C7761" s="32" t="s">
        <v>431</v>
      </c>
      <c r="D7761" s="1"/>
      <c r="F7761" s="1"/>
      <c r="G7761" s="1"/>
      <c r="H7761" s="68"/>
      <c r="I7761" s="76"/>
      <c r="K7761" s="7" t="s">
        <v>1126</v>
      </c>
      <c r="L7761" s="934"/>
      <c r="M7761" s="934"/>
    </row>
    <row r="7762" ht="12.75" hidden="1" customHeight="1" outlineLevel="1">
      <c r="A7762" s="122">
        <v>42300.0</v>
      </c>
      <c r="B7762" s="974"/>
      <c r="C7762" s="32" t="s">
        <v>433</v>
      </c>
      <c r="D7762" s="1"/>
      <c r="F7762" s="1"/>
      <c r="G7762" s="1"/>
      <c r="H7762" s="68"/>
      <c r="I7762" s="76"/>
      <c r="K7762" s="7" t="s">
        <v>1103</v>
      </c>
      <c r="L7762" s="934"/>
      <c r="M7762" s="934"/>
    </row>
    <row r="7763" ht="12.75" hidden="1" customHeight="1" outlineLevel="1">
      <c r="A7763" s="122">
        <v>42300.0</v>
      </c>
      <c r="B7763" s="974"/>
      <c r="C7763" s="32" t="s">
        <v>435</v>
      </c>
      <c r="D7763" s="1"/>
      <c r="F7763" s="1"/>
      <c r="G7763" s="1"/>
      <c r="H7763" s="68"/>
      <c r="I7763" s="76"/>
      <c r="K7763" s="9" t="s">
        <v>3134</v>
      </c>
      <c r="L7763" s="934"/>
      <c r="M7763" s="934"/>
    </row>
    <row r="7764" ht="12.75" hidden="1" customHeight="1" outlineLevel="1">
      <c r="A7764" s="202">
        <v>42303.0</v>
      </c>
      <c r="B7764" s="985" t="s">
        <v>347</v>
      </c>
      <c r="C7764" s="94" t="s">
        <v>2090</v>
      </c>
      <c r="D7764" s="286">
        <v>2000.0</v>
      </c>
      <c r="E7764" s="94">
        <v>6.611</v>
      </c>
      <c r="F7764" s="986">
        <v>0.6296759259259259</v>
      </c>
      <c r="G7764" s="94" t="s">
        <v>453</v>
      </c>
      <c r="H7764" s="987">
        <v>8.84</v>
      </c>
      <c r="I7764" s="988" t="s">
        <v>3145</v>
      </c>
      <c r="J7764" s="67">
        <f t="shared" ref="J7764:J7773" si="460">IF(B7764="SLD",D7764*E7764,-D7764*E7764)-H7764</f>
        <v>13213.16</v>
      </c>
      <c r="L7764" s="70"/>
      <c r="M7764" s="934"/>
    </row>
    <row r="7765" ht="12.75" hidden="1" customHeight="1" outlineLevel="1">
      <c r="A7765" s="202">
        <v>42303.0</v>
      </c>
      <c r="B7765" s="985" t="s">
        <v>347</v>
      </c>
      <c r="C7765" s="94" t="s">
        <v>784</v>
      </c>
      <c r="D7765" s="286">
        <v>3000.0</v>
      </c>
      <c r="E7765" s="94">
        <v>4.5301</v>
      </c>
      <c r="F7765" s="986">
        <v>0.6299074074074074</v>
      </c>
      <c r="G7765" s="94" t="s">
        <v>453</v>
      </c>
      <c r="H7765" s="987">
        <v>12.25</v>
      </c>
      <c r="I7765" s="988" t="s">
        <v>3145</v>
      </c>
      <c r="J7765" s="67">
        <f t="shared" si="460"/>
        <v>13578.05</v>
      </c>
      <c r="L7765" s="70"/>
      <c r="M7765" s="934"/>
    </row>
    <row r="7766" ht="12.75" hidden="1" customHeight="1" outlineLevel="1">
      <c r="A7766" s="202">
        <v>42303.0</v>
      </c>
      <c r="B7766" s="985" t="s">
        <v>347</v>
      </c>
      <c r="C7766" s="94" t="s">
        <v>790</v>
      </c>
      <c r="D7766" s="286">
        <v>3000.0</v>
      </c>
      <c r="E7766" s="94">
        <v>4.901</v>
      </c>
      <c r="F7766" s="986">
        <v>0.6304398148148148</v>
      </c>
      <c r="G7766" s="94" t="s">
        <v>453</v>
      </c>
      <c r="H7766" s="987">
        <v>13.07</v>
      </c>
      <c r="I7766" s="988" t="s">
        <v>3145</v>
      </c>
      <c r="J7766" s="67">
        <f t="shared" si="460"/>
        <v>14689.93</v>
      </c>
      <c r="L7766" s="70"/>
      <c r="M7766" s="934"/>
    </row>
    <row r="7767" ht="12.75" hidden="1" customHeight="1" outlineLevel="1">
      <c r="A7767" s="202">
        <v>42303.0</v>
      </c>
      <c r="B7767" s="985" t="s">
        <v>347</v>
      </c>
      <c r="C7767" s="94" t="s">
        <v>1781</v>
      </c>
      <c r="D7767" s="286">
        <v>3000.0</v>
      </c>
      <c r="E7767" s="94">
        <v>7.55</v>
      </c>
      <c r="F7767" s="986">
        <v>0.6317361111111112</v>
      </c>
      <c r="G7767" s="94" t="s">
        <v>453</v>
      </c>
      <c r="H7767" s="987">
        <v>12.42</v>
      </c>
      <c r="I7767" s="988" t="s">
        <v>3145</v>
      </c>
      <c r="J7767" s="67">
        <f t="shared" si="460"/>
        <v>22637.58</v>
      </c>
      <c r="L7767" s="70"/>
      <c r="M7767" s="934"/>
    </row>
    <row r="7768" ht="12.75" hidden="1" customHeight="1" outlineLevel="1">
      <c r="A7768" s="202">
        <v>42303.0</v>
      </c>
      <c r="B7768" s="985" t="s">
        <v>347</v>
      </c>
      <c r="C7768" s="94" t="s">
        <v>1890</v>
      </c>
      <c r="D7768" s="94">
        <v>100.0</v>
      </c>
      <c r="E7768" s="94">
        <v>15.511</v>
      </c>
      <c r="F7768" s="986">
        <v>0.6335879629629629</v>
      </c>
      <c r="G7768" s="94" t="s">
        <v>453</v>
      </c>
      <c r="H7768" s="987">
        <v>1.03</v>
      </c>
      <c r="I7768" s="988" t="s">
        <v>3145</v>
      </c>
      <c r="J7768" s="67">
        <f t="shared" si="460"/>
        <v>1550.07</v>
      </c>
      <c r="L7768" s="70"/>
      <c r="M7768" s="934"/>
    </row>
    <row r="7769" ht="12.75" hidden="1" customHeight="1" outlineLevel="1">
      <c r="A7769" s="202">
        <v>42303.0</v>
      </c>
      <c r="B7769" s="985" t="s">
        <v>347</v>
      </c>
      <c r="C7769" s="94" t="s">
        <v>1890</v>
      </c>
      <c r="D7769" s="94">
        <v>900.0</v>
      </c>
      <c r="E7769" s="94">
        <v>15.511</v>
      </c>
      <c r="F7769" s="986">
        <v>0.6337615740740741</v>
      </c>
      <c r="G7769" s="94" t="s">
        <v>453</v>
      </c>
      <c r="H7769" s="987">
        <v>3.86</v>
      </c>
      <c r="I7769" s="988" t="s">
        <v>3145</v>
      </c>
      <c r="J7769" s="67">
        <f t="shared" si="460"/>
        <v>13956.04</v>
      </c>
      <c r="L7769" s="70"/>
      <c r="M7769" s="934"/>
    </row>
    <row r="7770" ht="12.75" hidden="1" customHeight="1" outlineLevel="1">
      <c r="A7770" s="202">
        <v>42303.0</v>
      </c>
      <c r="B7770" s="985" t="s">
        <v>347</v>
      </c>
      <c r="C7770" s="94" t="s">
        <v>2048</v>
      </c>
      <c r="D7770" s="286">
        <v>1300.0</v>
      </c>
      <c r="E7770" s="94">
        <v>6.483</v>
      </c>
      <c r="F7770" s="986">
        <v>0.6339236111111111</v>
      </c>
      <c r="G7770" s="94" t="s">
        <v>453</v>
      </c>
      <c r="H7770" s="987">
        <v>6.56</v>
      </c>
      <c r="I7770" s="988" t="s">
        <v>3145</v>
      </c>
      <c r="J7770" s="67">
        <f t="shared" si="460"/>
        <v>8421.34</v>
      </c>
      <c r="L7770" s="70"/>
      <c r="M7770" s="934"/>
    </row>
    <row r="7771" ht="12.75" hidden="1" customHeight="1" outlineLevel="1">
      <c r="A7771" s="202">
        <v>42303.0</v>
      </c>
      <c r="B7771" s="985" t="s">
        <v>343</v>
      </c>
      <c r="C7771" s="94" t="s">
        <v>2195</v>
      </c>
      <c r="D7771" s="94">
        <v>800.0</v>
      </c>
      <c r="E7771" s="94">
        <v>7.739</v>
      </c>
      <c r="F7771" s="986">
        <v>0.6424884259259259</v>
      </c>
      <c r="G7771" s="94" t="s">
        <v>453</v>
      </c>
      <c r="H7771" s="987">
        <v>3.8</v>
      </c>
      <c r="I7771" s="988" t="s">
        <v>3145</v>
      </c>
      <c r="J7771" s="67">
        <f t="shared" si="460"/>
        <v>-6195</v>
      </c>
      <c r="L7771" s="70"/>
      <c r="M7771" s="934"/>
    </row>
    <row r="7772" ht="12.75" hidden="1" customHeight="1" outlineLevel="1">
      <c r="A7772" s="202">
        <v>42303.0</v>
      </c>
      <c r="B7772" s="985" t="s">
        <v>343</v>
      </c>
      <c r="C7772" s="94" t="s">
        <v>2195</v>
      </c>
      <c r="D7772" s="94">
        <v>200.0</v>
      </c>
      <c r="E7772" s="94">
        <v>7.69</v>
      </c>
      <c r="F7772" s="986">
        <v>0.6445949074074074</v>
      </c>
      <c r="G7772" s="94" t="s">
        <v>453</v>
      </c>
      <c r="H7772" s="987">
        <v>1.0</v>
      </c>
      <c r="I7772" s="988" t="s">
        <v>3145</v>
      </c>
      <c r="J7772" s="67">
        <f t="shared" si="460"/>
        <v>-1539</v>
      </c>
      <c r="L7772" s="70"/>
      <c r="M7772" s="934"/>
    </row>
    <row r="7773" ht="12.75" hidden="1" customHeight="1" outlineLevel="1">
      <c r="A7773" s="202">
        <v>42303.0</v>
      </c>
      <c r="B7773" s="985" t="s">
        <v>347</v>
      </c>
      <c r="C7773" s="94" t="s">
        <v>1893</v>
      </c>
      <c r="D7773" s="286">
        <v>1000.0</v>
      </c>
      <c r="E7773" s="94">
        <v>12.01</v>
      </c>
      <c r="F7773" s="986">
        <v>0.6622106481481481</v>
      </c>
      <c r="G7773" s="94" t="s">
        <v>453</v>
      </c>
      <c r="H7773" s="987">
        <v>4.92</v>
      </c>
      <c r="I7773" s="988" t="s">
        <v>3145</v>
      </c>
      <c r="J7773" s="67">
        <f t="shared" si="460"/>
        <v>12005.08</v>
      </c>
      <c r="L7773" s="70"/>
      <c r="M7773" s="934"/>
    </row>
    <row r="7774" ht="12.75" hidden="1" customHeight="1" outlineLevel="1">
      <c r="A7774" s="122">
        <v>42303.0</v>
      </c>
      <c r="B7774" s="992"/>
      <c r="C7774" s="32" t="s">
        <v>339</v>
      </c>
      <c r="D7774" s="1"/>
      <c r="F7774" s="1"/>
      <c r="G7774" s="1"/>
      <c r="H7774" s="68"/>
      <c r="I7774" s="76"/>
      <c r="K7774" s="968" t="s">
        <v>3184</v>
      </c>
      <c r="L7774" s="934"/>
      <c r="M7774" s="934"/>
    </row>
    <row r="7775" ht="12.75" hidden="1" customHeight="1" outlineLevel="1">
      <c r="A7775" s="122">
        <v>42303.0</v>
      </c>
      <c r="B7775" s="992"/>
      <c r="C7775" s="32" t="s">
        <v>429</v>
      </c>
      <c r="D7775" s="1"/>
      <c r="F7775" s="1"/>
      <c r="G7775" s="1"/>
      <c r="H7775" s="68"/>
      <c r="I7775" s="76"/>
      <c r="K7775" s="9" t="s">
        <v>3161</v>
      </c>
      <c r="L7775" s="934"/>
      <c r="M7775" s="934"/>
    </row>
    <row r="7776" ht="12.75" hidden="1" customHeight="1" outlineLevel="1">
      <c r="A7776" s="122">
        <v>42303.0</v>
      </c>
      <c r="B7776" s="992"/>
      <c r="C7776" s="32" t="s">
        <v>431</v>
      </c>
      <c r="D7776" s="1"/>
      <c r="F7776" s="1"/>
      <c r="G7776" s="1"/>
      <c r="H7776" s="68"/>
      <c r="I7776" s="76"/>
      <c r="K7776" s="7" t="s">
        <v>1126</v>
      </c>
      <c r="L7776" s="934"/>
      <c r="M7776" s="934"/>
    </row>
    <row r="7777" ht="12.75" hidden="1" customHeight="1" outlineLevel="1">
      <c r="A7777" s="122">
        <v>42303.0</v>
      </c>
      <c r="B7777" s="992"/>
      <c r="C7777" s="32" t="s">
        <v>433</v>
      </c>
      <c r="D7777" s="1"/>
      <c r="F7777" s="1"/>
      <c r="G7777" s="1"/>
      <c r="H7777" s="68"/>
      <c r="I7777" s="76"/>
      <c r="K7777" s="7" t="s">
        <v>1103</v>
      </c>
      <c r="L7777" s="934"/>
      <c r="M7777" s="934"/>
    </row>
    <row r="7778" ht="12.75" hidden="1" customHeight="1" outlineLevel="1">
      <c r="A7778" s="122">
        <v>42303.0</v>
      </c>
      <c r="B7778" s="992"/>
      <c r="C7778" s="32" t="s">
        <v>435</v>
      </c>
      <c r="D7778" s="1"/>
      <c r="F7778" s="1"/>
      <c r="G7778" s="1"/>
      <c r="H7778" s="68"/>
      <c r="I7778" s="76"/>
      <c r="K7778" s="9" t="s">
        <v>3134</v>
      </c>
      <c r="L7778" s="934"/>
      <c r="M7778" s="934"/>
    </row>
    <row r="7779" ht="12.75" hidden="1" customHeight="1" outlineLevel="1">
      <c r="A7779" s="202">
        <v>42304.0</v>
      </c>
      <c r="B7779" s="985" t="s">
        <v>343</v>
      </c>
      <c r="C7779" s="94" t="s">
        <v>1310</v>
      </c>
      <c r="D7779" s="94">
        <v>30.0</v>
      </c>
      <c r="E7779" s="94">
        <v>279.02</v>
      </c>
      <c r="F7779" s="986">
        <v>0.4136574074074074</v>
      </c>
      <c r="G7779" s="94" t="s">
        <v>453</v>
      </c>
      <c r="H7779" s="987">
        <v>1.0</v>
      </c>
      <c r="I7779" s="988" t="s">
        <v>3145</v>
      </c>
      <c r="J7779" s="67">
        <f t="shared" ref="J7779:J7789" si="461">IF(B7779="SLD",D7779*E7779,-D7779*E7779)-H7779</f>
        <v>-8371.6</v>
      </c>
      <c r="L7779" s="70"/>
      <c r="M7779" s="934"/>
    </row>
    <row r="7780" ht="12.75" hidden="1" customHeight="1" outlineLevel="1">
      <c r="A7780" s="202">
        <v>42304.0</v>
      </c>
      <c r="B7780" s="985" t="s">
        <v>343</v>
      </c>
      <c r="C7780" s="94" t="s">
        <v>2342</v>
      </c>
      <c r="D7780" s="94">
        <v>200.0</v>
      </c>
      <c r="E7780" s="94">
        <v>42.755</v>
      </c>
      <c r="F7780" s="986">
        <v>0.4139467592592593</v>
      </c>
      <c r="G7780" s="94" t="s">
        <v>453</v>
      </c>
      <c r="H7780" s="987">
        <v>1.0</v>
      </c>
      <c r="I7780" s="988" t="s">
        <v>3145</v>
      </c>
      <c r="J7780" s="67">
        <f t="shared" si="461"/>
        <v>-8552</v>
      </c>
      <c r="L7780" s="70"/>
      <c r="M7780" s="934"/>
    </row>
    <row r="7781" ht="12.75" hidden="1" customHeight="1" outlineLevel="1">
      <c r="A7781" s="202">
        <v>42304.0</v>
      </c>
      <c r="B7781" s="985" t="s">
        <v>343</v>
      </c>
      <c r="C7781" s="94" t="s">
        <v>1244</v>
      </c>
      <c r="D7781" s="94">
        <v>75.0</v>
      </c>
      <c r="E7781" s="94">
        <v>109.33</v>
      </c>
      <c r="F7781" s="986">
        <v>0.41421296296296295</v>
      </c>
      <c r="G7781" s="94" t="s">
        <v>453</v>
      </c>
      <c r="H7781" s="987">
        <v>1.0</v>
      </c>
      <c r="I7781" s="988" t="s">
        <v>3145</v>
      </c>
      <c r="J7781" s="67">
        <f t="shared" si="461"/>
        <v>-8200.75</v>
      </c>
      <c r="L7781" s="70"/>
      <c r="M7781" s="934"/>
    </row>
    <row r="7782" ht="12.75" hidden="1" customHeight="1" outlineLevel="1">
      <c r="A7782" s="202">
        <v>42304.0</v>
      </c>
      <c r="B7782" s="985" t="s">
        <v>343</v>
      </c>
      <c r="C7782" s="94" t="s">
        <v>1345</v>
      </c>
      <c r="D7782" s="94">
        <v>50.0</v>
      </c>
      <c r="E7782" s="94">
        <v>159.15</v>
      </c>
      <c r="F7782" s="986">
        <v>0.4144907407407407</v>
      </c>
      <c r="G7782" s="94" t="s">
        <v>453</v>
      </c>
      <c r="H7782" s="987">
        <v>1.0</v>
      </c>
      <c r="I7782" s="988" t="s">
        <v>3145</v>
      </c>
      <c r="J7782" s="67">
        <f t="shared" si="461"/>
        <v>-7958.5</v>
      </c>
      <c r="L7782" s="70"/>
      <c r="M7782" s="934"/>
    </row>
    <row r="7783" ht="12.75" hidden="1" customHeight="1" outlineLevel="1">
      <c r="A7783" s="202">
        <v>42304.0</v>
      </c>
      <c r="B7783" s="985" t="s">
        <v>347</v>
      </c>
      <c r="C7783" s="94" t="s">
        <v>1061</v>
      </c>
      <c r="D7783" s="94">
        <v>300.0</v>
      </c>
      <c r="E7783" s="94">
        <v>40.292</v>
      </c>
      <c r="F7783" s="986">
        <v>0.46978009259259257</v>
      </c>
      <c r="G7783" s="94" t="s">
        <v>453</v>
      </c>
      <c r="H7783" s="987">
        <v>1.42</v>
      </c>
      <c r="I7783" s="988" t="s">
        <v>3145</v>
      </c>
      <c r="J7783" s="67">
        <f t="shared" si="461"/>
        <v>12086.18</v>
      </c>
      <c r="L7783" s="70"/>
      <c r="M7783" s="934"/>
    </row>
    <row r="7784" ht="12.75" hidden="1" customHeight="1" outlineLevel="1">
      <c r="A7784" s="202">
        <v>42305.0</v>
      </c>
      <c r="B7784" s="985" t="s">
        <v>343</v>
      </c>
      <c r="C7784" s="94" t="s">
        <v>2177</v>
      </c>
      <c r="D7784" s="94">
        <v>100.0</v>
      </c>
      <c r="E7784" s="94">
        <v>115.09</v>
      </c>
      <c r="F7784" s="986">
        <v>0.643449074074074</v>
      </c>
      <c r="G7784" s="94" t="s">
        <v>453</v>
      </c>
      <c r="H7784" s="987">
        <v>1.0</v>
      </c>
      <c r="I7784" s="988" t="s">
        <v>3145</v>
      </c>
      <c r="J7784" s="67">
        <f t="shared" si="461"/>
        <v>-11510</v>
      </c>
      <c r="L7784" s="70"/>
      <c r="M7784" s="934"/>
    </row>
    <row r="7785" ht="12.75" hidden="1" customHeight="1" outlineLevel="1">
      <c r="A7785" s="202">
        <v>42305.0</v>
      </c>
      <c r="B7785" s="985" t="s">
        <v>347</v>
      </c>
      <c r="C7785" s="94" t="s">
        <v>1781</v>
      </c>
      <c r="D7785" s="286">
        <v>1500.0</v>
      </c>
      <c r="E7785" s="94">
        <v>7.46</v>
      </c>
      <c r="F7785" s="986">
        <v>0.6219212962962963</v>
      </c>
      <c r="G7785" s="94" t="s">
        <v>453</v>
      </c>
      <c r="H7785" s="987">
        <v>7.01</v>
      </c>
      <c r="I7785" s="988" t="s">
        <v>3145</v>
      </c>
      <c r="J7785" s="67">
        <f t="shared" si="461"/>
        <v>11182.99</v>
      </c>
      <c r="L7785" s="70"/>
      <c r="M7785" s="934"/>
    </row>
    <row r="7786" ht="12.75" hidden="1" customHeight="1" outlineLevel="1">
      <c r="A7786" s="202">
        <v>42305.0</v>
      </c>
      <c r="B7786" s="985" t="s">
        <v>343</v>
      </c>
      <c r="C7786" s="94" t="s">
        <v>2177</v>
      </c>
      <c r="D7786" s="94">
        <v>100.0</v>
      </c>
      <c r="E7786" s="94">
        <v>114.99</v>
      </c>
      <c r="F7786" s="986">
        <v>0.46142361111111113</v>
      </c>
      <c r="G7786" s="94" t="s">
        <v>453</v>
      </c>
      <c r="H7786" s="987">
        <v>1.0</v>
      </c>
      <c r="I7786" s="988" t="s">
        <v>3145</v>
      </c>
      <c r="J7786" s="67">
        <f t="shared" si="461"/>
        <v>-11500</v>
      </c>
      <c r="L7786" s="70"/>
      <c r="M7786" s="934"/>
    </row>
    <row r="7787" ht="12.75" hidden="1" customHeight="1" outlineLevel="1">
      <c r="A7787" s="202">
        <v>42306.0</v>
      </c>
      <c r="B7787" s="985" t="s">
        <v>343</v>
      </c>
      <c r="C7787" s="94" t="s">
        <v>2177</v>
      </c>
      <c r="D7787" s="94">
        <v>100.0</v>
      </c>
      <c r="E7787" s="94">
        <v>120.41</v>
      </c>
      <c r="F7787" s="986">
        <v>0.42369212962962965</v>
      </c>
      <c r="G7787" s="94" t="s">
        <v>453</v>
      </c>
      <c r="H7787" s="987">
        <v>1.0</v>
      </c>
      <c r="I7787" s="988" t="s">
        <v>3145</v>
      </c>
      <c r="J7787" s="67">
        <f t="shared" si="461"/>
        <v>-12042</v>
      </c>
      <c r="L7787" s="70"/>
      <c r="M7787" s="934"/>
    </row>
    <row r="7788" ht="12.75" hidden="1" customHeight="1" outlineLevel="1">
      <c r="A7788" s="202">
        <v>42306.0</v>
      </c>
      <c r="B7788" s="985" t="s">
        <v>347</v>
      </c>
      <c r="C7788" s="94" t="s">
        <v>1905</v>
      </c>
      <c r="D7788" s="94">
        <v>500.0</v>
      </c>
      <c r="E7788" s="94">
        <v>28.37</v>
      </c>
      <c r="F7788" s="986">
        <v>0.630636574074074</v>
      </c>
      <c r="G7788" s="94" t="s">
        <v>453</v>
      </c>
      <c r="H7788" s="987">
        <v>2.36</v>
      </c>
      <c r="I7788" s="988" t="s">
        <v>3145</v>
      </c>
      <c r="J7788" s="67">
        <f t="shared" si="461"/>
        <v>14182.64</v>
      </c>
      <c r="L7788" s="70"/>
      <c r="M7788" s="934"/>
    </row>
    <row r="7789" ht="12.75" hidden="1" customHeight="1" outlineLevel="1">
      <c r="A7789" s="202">
        <v>42306.0</v>
      </c>
      <c r="B7789" s="985" t="s">
        <v>347</v>
      </c>
      <c r="C7789" s="94" t="s">
        <v>2177</v>
      </c>
      <c r="D7789" s="94">
        <v>400.0</v>
      </c>
      <c r="E7789" s="94">
        <v>96.504</v>
      </c>
      <c r="F7789" s="986">
        <v>0.780613425925926</v>
      </c>
      <c r="G7789" s="94" t="s">
        <v>453</v>
      </c>
      <c r="H7789" s="987">
        <v>2.71</v>
      </c>
      <c r="I7789" s="988" t="s">
        <v>3145</v>
      </c>
      <c r="J7789" s="67">
        <f t="shared" si="461"/>
        <v>38598.89</v>
      </c>
      <c r="L7789" s="70"/>
      <c r="M7789" s="934"/>
    </row>
    <row r="7790" ht="12.75" hidden="1" customHeight="1" outlineLevel="1">
      <c r="A7790" s="122">
        <v>42306.0</v>
      </c>
      <c r="B7790" s="992"/>
      <c r="C7790" s="32" t="s">
        <v>339</v>
      </c>
      <c r="D7790" s="1"/>
      <c r="F7790" s="1"/>
      <c r="G7790" s="1"/>
      <c r="H7790" s="68"/>
      <c r="I7790" s="76"/>
      <c r="K7790" s="968" t="s">
        <v>3185</v>
      </c>
      <c r="L7790" s="934"/>
      <c r="M7790" s="934"/>
    </row>
    <row r="7791" ht="12.75" hidden="1" customHeight="1" outlineLevel="1">
      <c r="A7791" s="122">
        <v>42306.0</v>
      </c>
      <c r="B7791" s="992"/>
      <c r="C7791" s="32" t="s">
        <v>429</v>
      </c>
      <c r="D7791" s="1"/>
      <c r="F7791" s="1"/>
      <c r="G7791" s="1"/>
      <c r="H7791" s="68"/>
      <c r="I7791" s="76"/>
      <c r="K7791" s="9" t="s">
        <v>3161</v>
      </c>
      <c r="L7791" s="934"/>
      <c r="M7791" s="934"/>
    </row>
    <row r="7792" ht="12.75" hidden="1" customHeight="1" outlineLevel="1">
      <c r="A7792" s="122">
        <v>42306.0</v>
      </c>
      <c r="B7792" s="992"/>
      <c r="C7792" s="32" t="s">
        <v>431</v>
      </c>
      <c r="D7792" s="1"/>
      <c r="F7792" s="1"/>
      <c r="G7792" s="1"/>
      <c r="H7792" s="68"/>
      <c r="I7792" s="76"/>
      <c r="K7792" s="7" t="s">
        <v>1126</v>
      </c>
      <c r="L7792" s="934"/>
      <c r="M7792" s="934"/>
    </row>
    <row r="7793" ht="12.75" hidden="1" customHeight="1" outlineLevel="1">
      <c r="A7793" s="122">
        <v>42306.0</v>
      </c>
      <c r="B7793" s="992"/>
      <c r="C7793" s="32" t="s">
        <v>433</v>
      </c>
      <c r="D7793" s="1"/>
      <c r="F7793" s="1"/>
      <c r="G7793" s="1"/>
      <c r="H7793" s="68"/>
      <c r="I7793" s="76"/>
      <c r="K7793" s="7" t="s">
        <v>1103</v>
      </c>
      <c r="L7793" s="934"/>
      <c r="M7793" s="934"/>
    </row>
    <row r="7794" ht="12.75" hidden="1" customHeight="1" outlineLevel="1">
      <c r="A7794" s="122">
        <v>42306.0</v>
      </c>
      <c r="B7794" s="992"/>
      <c r="C7794" s="32" t="s">
        <v>435</v>
      </c>
      <c r="D7794" s="1"/>
      <c r="F7794" s="1"/>
      <c r="G7794" s="1"/>
      <c r="H7794" s="68"/>
      <c r="I7794" s="76"/>
      <c r="K7794" s="9" t="s">
        <v>3134</v>
      </c>
      <c r="L7794" s="934"/>
      <c r="M7794" s="934"/>
    </row>
    <row r="7795" ht="12.75" hidden="1" customHeight="1" outlineLevel="1">
      <c r="A7795" s="202">
        <v>42307.0</v>
      </c>
      <c r="B7795" s="985" t="s">
        <v>347</v>
      </c>
      <c r="C7795" s="94" t="s">
        <v>1357</v>
      </c>
      <c r="D7795" s="94">
        <v>325.0</v>
      </c>
      <c r="E7795" s="94">
        <v>36.72</v>
      </c>
      <c r="F7795" s="986">
        <v>0.4259027777777778</v>
      </c>
      <c r="G7795" s="94" t="s">
        <v>453</v>
      </c>
      <c r="H7795" s="987">
        <v>1.84</v>
      </c>
      <c r="I7795" s="988" t="s">
        <v>3145</v>
      </c>
      <c r="J7795" s="67">
        <f t="shared" ref="J7795:J7818" si="462">IF(B7795="SLD",D7795*E7795,-D7795*E7795)-H7795</f>
        <v>11932.16</v>
      </c>
      <c r="L7795" s="70"/>
      <c r="M7795" s="934"/>
    </row>
    <row r="7796" ht="12.75" hidden="1" customHeight="1" outlineLevel="1">
      <c r="A7796" s="202">
        <v>42307.0</v>
      </c>
      <c r="B7796" s="985" t="s">
        <v>347</v>
      </c>
      <c r="C7796" s="94" t="s">
        <v>2342</v>
      </c>
      <c r="D7796" s="94">
        <v>200.0</v>
      </c>
      <c r="E7796" s="94">
        <v>44.3303</v>
      </c>
      <c r="F7796" s="986">
        <v>0.43027777777777776</v>
      </c>
      <c r="G7796" s="94" t="s">
        <v>453</v>
      </c>
      <c r="H7796" s="987">
        <v>1.16</v>
      </c>
      <c r="I7796" s="988" t="s">
        <v>3145</v>
      </c>
      <c r="J7796" s="67">
        <f t="shared" si="462"/>
        <v>8864.9</v>
      </c>
      <c r="L7796" s="70"/>
      <c r="M7796" s="934"/>
    </row>
    <row r="7797" ht="12.75" hidden="1" customHeight="1" outlineLevel="1">
      <c r="A7797" s="202">
        <v>42307.0</v>
      </c>
      <c r="B7797" s="985" t="s">
        <v>343</v>
      </c>
      <c r="C7797" s="94" t="s">
        <v>2090</v>
      </c>
      <c r="D7797" s="286">
        <v>6000.0</v>
      </c>
      <c r="E7797" s="94">
        <v>5.92</v>
      </c>
      <c r="F7797" s="986">
        <v>0.5314351851851852</v>
      </c>
      <c r="G7797" s="94" t="s">
        <v>453</v>
      </c>
      <c r="H7797" s="987">
        <v>27.3</v>
      </c>
      <c r="I7797" s="988" t="s">
        <v>3145</v>
      </c>
      <c r="J7797" s="67">
        <f t="shared" si="462"/>
        <v>-35547.3</v>
      </c>
      <c r="L7797" s="70"/>
      <c r="M7797" s="934"/>
    </row>
    <row r="7798" ht="12.75" hidden="1" customHeight="1" outlineLevel="1">
      <c r="A7798" s="202">
        <v>42307.0</v>
      </c>
      <c r="B7798" s="985" t="s">
        <v>343</v>
      </c>
      <c r="C7798" s="94" t="s">
        <v>784</v>
      </c>
      <c r="D7798" s="286">
        <v>6500.0</v>
      </c>
      <c r="E7798" s="94">
        <v>4.3</v>
      </c>
      <c r="F7798" s="986">
        <v>0.5322685185185185</v>
      </c>
      <c r="G7798" s="94" t="s">
        <v>453</v>
      </c>
      <c r="H7798" s="987">
        <v>26.0</v>
      </c>
      <c r="I7798" s="988" t="s">
        <v>3145</v>
      </c>
      <c r="J7798" s="67">
        <f t="shared" si="462"/>
        <v>-27976</v>
      </c>
      <c r="L7798" s="70"/>
      <c r="M7798" s="934"/>
    </row>
    <row r="7799" ht="12.75" hidden="1" customHeight="1" outlineLevel="1">
      <c r="A7799" s="202">
        <v>42307.0</v>
      </c>
      <c r="B7799" s="985" t="s">
        <v>343</v>
      </c>
      <c r="C7799" s="94" t="s">
        <v>1890</v>
      </c>
      <c r="D7799" s="286">
        <v>2100.0</v>
      </c>
      <c r="E7799" s="94">
        <v>16.309</v>
      </c>
      <c r="F7799" s="986">
        <v>0.534224537037037</v>
      </c>
      <c r="G7799" s="94" t="s">
        <v>453</v>
      </c>
      <c r="H7799" s="987">
        <v>8.5</v>
      </c>
      <c r="I7799" s="988" t="s">
        <v>3145</v>
      </c>
      <c r="J7799" s="67">
        <f t="shared" si="462"/>
        <v>-34257.4</v>
      </c>
      <c r="L7799" s="70"/>
      <c r="M7799" s="934"/>
    </row>
    <row r="7800" ht="12.75" hidden="1" customHeight="1" outlineLevel="1">
      <c r="A7800" s="202">
        <v>42307.0</v>
      </c>
      <c r="B7800" s="985" t="s">
        <v>343</v>
      </c>
      <c r="C7800" s="94" t="s">
        <v>2048</v>
      </c>
      <c r="D7800" s="286">
        <v>4000.0</v>
      </c>
      <c r="E7800" s="94">
        <v>6.41</v>
      </c>
      <c r="F7800" s="986">
        <v>0.5345023148148148</v>
      </c>
      <c r="G7800" s="94" t="s">
        <v>453</v>
      </c>
      <c r="H7800" s="987">
        <v>16.0</v>
      </c>
      <c r="I7800" s="988" t="s">
        <v>3145</v>
      </c>
      <c r="J7800" s="67">
        <f t="shared" si="462"/>
        <v>-25656</v>
      </c>
      <c r="L7800" s="70"/>
      <c r="M7800" s="934"/>
    </row>
    <row r="7801" ht="12.75" hidden="1" customHeight="1" outlineLevel="1">
      <c r="A7801" s="202">
        <v>42307.0</v>
      </c>
      <c r="B7801" s="985" t="s">
        <v>343</v>
      </c>
      <c r="C7801" s="94" t="s">
        <v>1893</v>
      </c>
      <c r="D7801" s="286">
        <v>3500.0</v>
      </c>
      <c r="E7801" s="94">
        <v>11.929</v>
      </c>
      <c r="F7801" s="986">
        <v>0.5403703703703704</v>
      </c>
      <c r="G7801" s="94" t="s">
        <v>453</v>
      </c>
      <c r="H7801" s="987">
        <v>14.1</v>
      </c>
      <c r="I7801" s="988" t="s">
        <v>3145</v>
      </c>
      <c r="J7801" s="67">
        <f t="shared" si="462"/>
        <v>-41765.6</v>
      </c>
      <c r="L7801" s="70"/>
      <c r="M7801" s="934"/>
    </row>
    <row r="7802" ht="12.75" hidden="1" customHeight="1" outlineLevel="1">
      <c r="A7802" s="202">
        <v>42307.0</v>
      </c>
      <c r="B7802" s="985" t="s">
        <v>343</v>
      </c>
      <c r="C7802" s="94" t="s">
        <v>3024</v>
      </c>
      <c r="D7802" s="286">
        <v>2800.0</v>
      </c>
      <c r="E7802" s="94">
        <v>18.799</v>
      </c>
      <c r="F7802" s="986">
        <v>0.5425347222222222</v>
      </c>
      <c r="G7802" s="94" t="s">
        <v>453</v>
      </c>
      <c r="H7802" s="987">
        <v>11.9</v>
      </c>
      <c r="I7802" s="988" t="s">
        <v>3145</v>
      </c>
      <c r="J7802" s="67">
        <f t="shared" si="462"/>
        <v>-52649.1</v>
      </c>
      <c r="L7802" s="70"/>
      <c r="M7802" s="934"/>
    </row>
    <row r="7803" ht="12.75" hidden="1" customHeight="1" outlineLevel="1">
      <c r="A7803" s="202">
        <v>42307.0</v>
      </c>
      <c r="B7803" s="985" t="s">
        <v>343</v>
      </c>
      <c r="C7803" s="94" t="s">
        <v>1781</v>
      </c>
      <c r="D7803" s="286">
        <v>5500.0</v>
      </c>
      <c r="E7803" s="94">
        <v>7.949</v>
      </c>
      <c r="F7803" s="986">
        <v>0.5438194444444444</v>
      </c>
      <c r="G7803" s="94" t="s">
        <v>453</v>
      </c>
      <c r="H7803" s="987">
        <v>22.0</v>
      </c>
      <c r="I7803" s="988" t="s">
        <v>3145</v>
      </c>
      <c r="J7803" s="67">
        <f t="shared" si="462"/>
        <v>-43741.5</v>
      </c>
      <c r="L7803" s="70"/>
      <c r="M7803" s="934"/>
    </row>
    <row r="7804" ht="12.75" hidden="1" customHeight="1" outlineLevel="1">
      <c r="A7804" s="202">
        <v>42307.0</v>
      </c>
      <c r="B7804" s="985" t="s">
        <v>343</v>
      </c>
      <c r="C7804" s="94" t="s">
        <v>1947</v>
      </c>
      <c r="D7804" s="94">
        <v>250.0</v>
      </c>
      <c r="E7804" s="94">
        <v>49.77</v>
      </c>
      <c r="F7804" s="986">
        <v>0.559675925925926</v>
      </c>
      <c r="G7804" s="94" t="s">
        <v>453</v>
      </c>
      <c r="H7804" s="987">
        <v>1.0</v>
      </c>
      <c r="I7804" s="988" t="s">
        <v>3145</v>
      </c>
      <c r="J7804" s="67">
        <f t="shared" si="462"/>
        <v>-12443.5</v>
      </c>
      <c r="L7804" s="70"/>
      <c r="M7804" s="934"/>
    </row>
    <row r="7805" ht="12.75" hidden="1" customHeight="1" outlineLevel="1">
      <c r="A7805" s="202">
        <v>42307.0</v>
      </c>
      <c r="B7805" s="985" t="s">
        <v>343</v>
      </c>
      <c r="C7805" s="94" t="s">
        <v>1905</v>
      </c>
      <c r="D7805" s="286">
        <v>2200.0</v>
      </c>
      <c r="E7805" s="94">
        <v>28.96</v>
      </c>
      <c r="F7805" s="986">
        <v>0.5609837962962962</v>
      </c>
      <c r="G7805" s="94" t="s">
        <v>453</v>
      </c>
      <c r="H7805" s="987">
        <v>9.6</v>
      </c>
      <c r="I7805" s="988" t="s">
        <v>3145</v>
      </c>
      <c r="J7805" s="67">
        <f t="shared" si="462"/>
        <v>-63721.6</v>
      </c>
      <c r="L7805" s="70"/>
      <c r="M7805" s="934"/>
    </row>
    <row r="7806" ht="12.75" hidden="1" customHeight="1" outlineLevel="1">
      <c r="A7806" s="202">
        <v>42307.0</v>
      </c>
      <c r="B7806" s="985" t="s">
        <v>343</v>
      </c>
      <c r="C7806" s="94" t="s">
        <v>2210</v>
      </c>
      <c r="D7806" s="94">
        <v>300.0</v>
      </c>
      <c r="E7806" s="94">
        <v>70.62</v>
      </c>
      <c r="F7806" s="986">
        <v>0.5621296296296296</v>
      </c>
      <c r="G7806" s="94" t="s">
        <v>453</v>
      </c>
      <c r="H7806" s="987">
        <v>1.2</v>
      </c>
      <c r="I7806" s="988" t="s">
        <v>3145</v>
      </c>
      <c r="J7806" s="67">
        <f t="shared" si="462"/>
        <v>-21187.2</v>
      </c>
      <c r="L7806" s="70"/>
      <c r="M7806" s="934"/>
    </row>
    <row r="7807" ht="12.75" hidden="1" customHeight="1" outlineLevel="1">
      <c r="A7807" s="202">
        <v>42307.0</v>
      </c>
      <c r="B7807" s="985" t="s">
        <v>343</v>
      </c>
      <c r="C7807" s="94" t="s">
        <v>790</v>
      </c>
      <c r="D7807" s="286">
        <v>8000.0</v>
      </c>
      <c r="E7807" s="94">
        <v>4.87</v>
      </c>
      <c r="F7807" s="986">
        <v>0.562488425925926</v>
      </c>
      <c r="G7807" s="94" t="s">
        <v>453</v>
      </c>
      <c r="H7807" s="987">
        <v>40.0</v>
      </c>
      <c r="I7807" s="988" t="s">
        <v>3145</v>
      </c>
      <c r="J7807" s="67">
        <f t="shared" si="462"/>
        <v>-39000</v>
      </c>
      <c r="L7807" s="70"/>
      <c r="M7807" s="934"/>
    </row>
    <row r="7808" ht="12.75" hidden="1" customHeight="1" outlineLevel="1">
      <c r="A7808" s="202">
        <v>42307.0</v>
      </c>
      <c r="B7808" s="985" t="s">
        <v>343</v>
      </c>
      <c r="C7808" s="94" t="s">
        <v>1633</v>
      </c>
      <c r="D7808" s="286">
        <v>2000.0</v>
      </c>
      <c r="E7808" s="94">
        <v>6.6</v>
      </c>
      <c r="F7808" s="986">
        <v>0.5670833333333334</v>
      </c>
      <c r="G7808" s="94" t="s">
        <v>453</v>
      </c>
      <c r="H7808" s="987">
        <v>10.0</v>
      </c>
      <c r="I7808" s="988" t="s">
        <v>3145</v>
      </c>
      <c r="J7808" s="67">
        <f t="shared" si="462"/>
        <v>-13210</v>
      </c>
      <c r="L7808" s="70"/>
      <c r="M7808" s="934"/>
    </row>
    <row r="7809" ht="12.75" hidden="1" customHeight="1" outlineLevel="1">
      <c r="A7809" s="202">
        <v>42307.0</v>
      </c>
      <c r="B7809" s="985" t="s">
        <v>343</v>
      </c>
      <c r="C7809" s="94" t="s">
        <v>1839</v>
      </c>
      <c r="D7809" s="94">
        <v>400.0</v>
      </c>
      <c r="E7809" s="94">
        <v>7.18</v>
      </c>
      <c r="F7809" s="986">
        <v>0.5757060185185185</v>
      </c>
      <c r="G7809" s="94" t="s">
        <v>453</v>
      </c>
      <c r="H7809" s="987">
        <v>1.6</v>
      </c>
      <c r="I7809" s="988" t="s">
        <v>3145</v>
      </c>
      <c r="J7809" s="67">
        <f t="shared" si="462"/>
        <v>-2873.6</v>
      </c>
      <c r="L7809" s="70"/>
      <c r="M7809" s="934"/>
    </row>
    <row r="7810" ht="12.75" hidden="1" customHeight="1" outlineLevel="1">
      <c r="A7810" s="202">
        <v>42307.0</v>
      </c>
      <c r="B7810" s="985" t="s">
        <v>347</v>
      </c>
      <c r="C7810" s="94" t="s">
        <v>1049</v>
      </c>
      <c r="D7810" s="94">
        <v>10.0</v>
      </c>
      <c r="E7810" s="94">
        <v>873.17</v>
      </c>
      <c r="F7810" s="986">
        <v>0.5884953703703704</v>
      </c>
      <c r="G7810" s="94" t="s">
        <v>453</v>
      </c>
      <c r="H7810" s="987">
        <v>1.16</v>
      </c>
      <c r="I7810" s="988" t="s">
        <v>3145</v>
      </c>
      <c r="J7810" s="67">
        <f t="shared" si="462"/>
        <v>8730.54</v>
      </c>
      <c r="L7810" s="70"/>
      <c r="M7810" s="934"/>
    </row>
    <row r="7811" ht="12.75" hidden="1" customHeight="1" outlineLevel="1">
      <c r="A7811" s="202">
        <v>42307.0</v>
      </c>
      <c r="B7811" s="985" t="s">
        <v>347</v>
      </c>
      <c r="C7811" s="94" t="s">
        <v>1781</v>
      </c>
      <c r="D7811" s="286">
        <v>5500.0</v>
      </c>
      <c r="E7811" s="94">
        <v>7.771</v>
      </c>
      <c r="F7811" s="986">
        <v>0.6191666666666666</v>
      </c>
      <c r="G7811" s="94" t="s">
        <v>453</v>
      </c>
      <c r="H7811" s="987">
        <v>27.09</v>
      </c>
      <c r="I7811" s="988" t="s">
        <v>3145</v>
      </c>
      <c r="J7811" s="67">
        <f t="shared" si="462"/>
        <v>42713.41</v>
      </c>
      <c r="L7811" s="70"/>
      <c r="M7811" s="934"/>
    </row>
    <row r="7812" ht="12.75" hidden="1" customHeight="1" outlineLevel="1">
      <c r="A7812" s="202">
        <v>42307.0</v>
      </c>
      <c r="B7812" s="985" t="s">
        <v>347</v>
      </c>
      <c r="C7812" s="94" t="s">
        <v>1893</v>
      </c>
      <c r="D7812" s="286">
        <v>4000.0</v>
      </c>
      <c r="E7812" s="94">
        <v>11.74</v>
      </c>
      <c r="F7812" s="986">
        <v>0.6254976851851852</v>
      </c>
      <c r="G7812" s="94" t="s">
        <v>453</v>
      </c>
      <c r="H7812" s="987">
        <v>17.96</v>
      </c>
      <c r="I7812" s="988" t="s">
        <v>3145</v>
      </c>
      <c r="J7812" s="67">
        <f t="shared" si="462"/>
        <v>46942.04</v>
      </c>
      <c r="L7812" s="70"/>
      <c r="M7812" s="934"/>
    </row>
    <row r="7813" ht="12.75" hidden="1" customHeight="1" outlineLevel="1">
      <c r="A7813" s="202">
        <v>42307.0</v>
      </c>
      <c r="B7813" s="985" t="s">
        <v>347</v>
      </c>
      <c r="C7813" s="94" t="s">
        <v>1345</v>
      </c>
      <c r="D7813" s="94">
        <v>50.0</v>
      </c>
      <c r="E7813" s="94">
        <v>158.43</v>
      </c>
      <c r="F7813" s="986">
        <v>0.6265509259259259</v>
      </c>
      <c r="G7813" s="94" t="s">
        <v>453</v>
      </c>
      <c r="H7813" s="987">
        <v>1.15</v>
      </c>
      <c r="I7813" s="988" t="s">
        <v>3145</v>
      </c>
      <c r="J7813" s="67">
        <f t="shared" si="462"/>
        <v>7920.35</v>
      </c>
      <c r="L7813" s="70"/>
      <c r="M7813" s="934"/>
    </row>
    <row r="7814" ht="12.75" hidden="1" customHeight="1" outlineLevel="1">
      <c r="A7814" s="202">
        <v>42307.0</v>
      </c>
      <c r="B7814" s="985" t="s">
        <v>347</v>
      </c>
      <c r="C7814" s="94" t="s">
        <v>1244</v>
      </c>
      <c r="D7814" s="94">
        <v>75.0</v>
      </c>
      <c r="E7814" s="94">
        <v>108.61</v>
      </c>
      <c r="F7814" s="986">
        <v>0.6319560185185186</v>
      </c>
      <c r="G7814" s="94" t="s">
        <v>453</v>
      </c>
      <c r="H7814" s="987">
        <v>1.15</v>
      </c>
      <c r="I7814" s="988" t="s">
        <v>3145</v>
      </c>
      <c r="J7814" s="67">
        <f t="shared" si="462"/>
        <v>8144.6</v>
      </c>
      <c r="L7814" s="70"/>
      <c r="M7814" s="934"/>
    </row>
    <row r="7815" ht="12.75" hidden="1" customHeight="1" outlineLevel="1">
      <c r="A7815" s="202">
        <v>42307.0</v>
      </c>
      <c r="B7815" s="985" t="s">
        <v>347</v>
      </c>
      <c r="C7815" s="94" t="s">
        <v>1310</v>
      </c>
      <c r="D7815" s="94">
        <v>30.0</v>
      </c>
      <c r="E7815" s="94">
        <v>310.44</v>
      </c>
      <c r="F7815" s="986">
        <v>0.6371180555555556</v>
      </c>
      <c r="G7815" s="94" t="s">
        <v>453</v>
      </c>
      <c r="H7815" s="987">
        <v>1.17</v>
      </c>
      <c r="I7815" s="988" t="s">
        <v>3145</v>
      </c>
      <c r="J7815" s="67">
        <f t="shared" si="462"/>
        <v>9312.03</v>
      </c>
      <c r="L7815" s="70"/>
      <c r="M7815" s="934"/>
    </row>
    <row r="7816" ht="12.75" hidden="1" customHeight="1" outlineLevel="1">
      <c r="A7816" s="202">
        <v>42307.0</v>
      </c>
      <c r="B7816" s="985" t="s">
        <v>347</v>
      </c>
      <c r="C7816" s="94" t="s">
        <v>790</v>
      </c>
      <c r="D7816" s="286">
        <v>9000.0</v>
      </c>
      <c r="E7816" s="94">
        <v>4.861</v>
      </c>
      <c r="F7816" s="986">
        <v>0.6460069444444444</v>
      </c>
      <c r="G7816" s="94" t="s">
        <v>453</v>
      </c>
      <c r="H7816" s="987">
        <v>36.8</v>
      </c>
      <c r="I7816" s="988" t="s">
        <v>3145</v>
      </c>
      <c r="J7816" s="67">
        <f t="shared" si="462"/>
        <v>43712.2</v>
      </c>
      <c r="L7816" s="70"/>
      <c r="M7816" s="934"/>
    </row>
    <row r="7817" ht="12.75" hidden="1" customHeight="1" outlineLevel="1">
      <c r="A7817" s="202">
        <v>42307.0</v>
      </c>
      <c r="B7817" s="985" t="s">
        <v>347</v>
      </c>
      <c r="C7817" s="94" t="s">
        <v>3024</v>
      </c>
      <c r="D7817" s="94">
        <v>700.0</v>
      </c>
      <c r="E7817" s="94">
        <v>18.721</v>
      </c>
      <c r="F7817" s="986">
        <v>0.6665972222222222</v>
      </c>
      <c r="G7817" s="94" t="s">
        <v>453</v>
      </c>
      <c r="H7817" s="987">
        <v>3.04</v>
      </c>
      <c r="I7817" s="988" t="s">
        <v>3145</v>
      </c>
      <c r="J7817" s="67">
        <f t="shared" si="462"/>
        <v>13101.66</v>
      </c>
      <c r="L7817" s="70"/>
      <c r="M7817" s="934"/>
    </row>
    <row r="7818" ht="12.75" hidden="1" customHeight="1" outlineLevel="1">
      <c r="A7818" s="202">
        <v>42307.0</v>
      </c>
      <c r="B7818" s="985" t="s">
        <v>347</v>
      </c>
      <c r="C7818" s="94" t="s">
        <v>2210</v>
      </c>
      <c r="D7818" s="94">
        <v>100.0</v>
      </c>
      <c r="E7818" s="94">
        <v>69.86</v>
      </c>
      <c r="F7818" s="986">
        <v>0.6676041666666667</v>
      </c>
      <c r="G7818" s="94" t="s">
        <v>453</v>
      </c>
      <c r="H7818" s="987">
        <v>1.13</v>
      </c>
      <c r="I7818" s="988" t="s">
        <v>3145</v>
      </c>
      <c r="J7818" s="67">
        <f t="shared" si="462"/>
        <v>6984.87</v>
      </c>
      <c r="L7818" s="70"/>
      <c r="M7818" s="934"/>
    </row>
    <row r="7819" ht="12.75" hidden="1" customHeight="1" outlineLevel="1">
      <c r="A7819" s="122">
        <v>42306.0</v>
      </c>
      <c r="B7819" s="992"/>
      <c r="C7819" s="32" t="s">
        <v>339</v>
      </c>
      <c r="D7819" s="1"/>
      <c r="F7819" s="1"/>
      <c r="G7819" s="1"/>
      <c r="H7819" s="68"/>
      <c r="I7819" s="76"/>
      <c r="K7819" s="968" t="s">
        <v>3186</v>
      </c>
      <c r="L7819" s="934"/>
      <c r="M7819" s="934"/>
    </row>
    <row r="7820" ht="12.75" hidden="1" customHeight="1" outlineLevel="1">
      <c r="A7820" s="122">
        <v>42306.0</v>
      </c>
      <c r="B7820" s="992"/>
      <c r="C7820" s="32" t="s">
        <v>429</v>
      </c>
      <c r="D7820" s="1"/>
      <c r="F7820" s="1"/>
      <c r="G7820" s="1"/>
      <c r="H7820" s="68"/>
      <c r="I7820" s="76"/>
      <c r="K7820" s="9" t="s">
        <v>3187</v>
      </c>
      <c r="L7820" s="934"/>
      <c r="M7820" s="934"/>
    </row>
    <row r="7821" ht="12.75" hidden="1" customHeight="1" outlineLevel="1">
      <c r="A7821" s="122">
        <v>42306.0</v>
      </c>
      <c r="B7821" s="992"/>
      <c r="C7821" s="32" t="s">
        <v>431</v>
      </c>
      <c r="D7821" s="1"/>
      <c r="F7821" s="1"/>
      <c r="G7821" s="1"/>
      <c r="H7821" s="68"/>
      <c r="I7821" s="76"/>
      <c r="K7821" s="7" t="s">
        <v>1126</v>
      </c>
      <c r="L7821" s="934"/>
      <c r="M7821" s="934"/>
    </row>
    <row r="7822" ht="12.75" hidden="1" customHeight="1" outlineLevel="1">
      <c r="A7822" s="122">
        <v>42306.0</v>
      </c>
      <c r="B7822" s="992"/>
      <c r="C7822" s="32" t="s">
        <v>433</v>
      </c>
      <c r="D7822" s="1"/>
      <c r="F7822" s="1"/>
      <c r="G7822" s="1"/>
      <c r="H7822" s="68"/>
      <c r="I7822" s="76"/>
      <c r="K7822" s="7" t="s">
        <v>1103</v>
      </c>
      <c r="L7822" s="934"/>
      <c r="M7822" s="934"/>
    </row>
    <row r="7823" ht="12.75" hidden="1" customHeight="1" outlineLevel="1">
      <c r="A7823" s="122">
        <v>42306.0</v>
      </c>
      <c r="B7823" s="992"/>
      <c r="C7823" s="32" t="s">
        <v>435</v>
      </c>
      <c r="D7823" s="1"/>
      <c r="F7823" s="1"/>
      <c r="G7823" s="1"/>
      <c r="H7823" s="68"/>
      <c r="I7823" s="76"/>
      <c r="K7823" s="9" t="s">
        <v>3134</v>
      </c>
      <c r="L7823" s="934"/>
      <c r="M7823" s="934"/>
    </row>
    <row r="7824" ht="12.75" hidden="1" customHeight="1" outlineLevel="1">
      <c r="A7824" s="122">
        <v>42310.0</v>
      </c>
      <c r="B7824" s="985" t="s">
        <v>347</v>
      </c>
      <c r="C7824" s="94" t="s">
        <v>1947</v>
      </c>
      <c r="D7824" s="94">
        <v>600.0</v>
      </c>
      <c r="E7824" s="94">
        <v>48.064</v>
      </c>
      <c r="F7824" s="986">
        <v>0.4451736111111111</v>
      </c>
      <c r="G7824" s="94" t="s">
        <v>453</v>
      </c>
      <c r="H7824" s="987">
        <v>2.93</v>
      </c>
      <c r="I7824" s="988" t="s">
        <v>3145</v>
      </c>
      <c r="J7824" s="67">
        <f t="shared" ref="J7824:J7832" si="463">IF(B7824="SLD",D7824*E7824,-D7824*E7824)-H7824</f>
        <v>28835.47</v>
      </c>
      <c r="L7824" s="70"/>
      <c r="M7824" s="934"/>
    </row>
    <row r="7825" ht="12.75" hidden="1" customHeight="1" outlineLevel="1">
      <c r="A7825" s="122">
        <v>42310.0</v>
      </c>
      <c r="B7825" s="985" t="s">
        <v>347</v>
      </c>
      <c r="C7825" s="94" t="s">
        <v>2090</v>
      </c>
      <c r="D7825" s="286">
        <v>8000.0</v>
      </c>
      <c r="E7825" s="94">
        <v>5.731</v>
      </c>
      <c r="F7825" s="986">
        <v>0.4458564814814815</v>
      </c>
      <c r="G7825" s="94" t="s">
        <v>453</v>
      </c>
      <c r="H7825" s="987">
        <v>35.54</v>
      </c>
      <c r="I7825" s="988" t="s">
        <v>3145</v>
      </c>
      <c r="J7825" s="67">
        <f t="shared" si="463"/>
        <v>45812.46</v>
      </c>
      <c r="L7825" s="70"/>
      <c r="M7825" s="934"/>
    </row>
    <row r="7826" ht="12.75" hidden="1" customHeight="1" outlineLevel="1">
      <c r="A7826" s="122">
        <v>42310.0</v>
      </c>
      <c r="B7826" s="985" t="s">
        <v>347</v>
      </c>
      <c r="C7826" s="94" t="s">
        <v>1893</v>
      </c>
      <c r="D7826" s="286">
        <v>1500.0</v>
      </c>
      <c r="E7826" s="94">
        <v>11.79</v>
      </c>
      <c r="F7826" s="986">
        <v>0.4555208333333333</v>
      </c>
      <c r="G7826" s="94" t="s">
        <v>453</v>
      </c>
      <c r="H7826" s="987">
        <v>7.73</v>
      </c>
      <c r="I7826" s="988" t="s">
        <v>3145</v>
      </c>
      <c r="J7826" s="67">
        <f t="shared" si="463"/>
        <v>17677.27</v>
      </c>
      <c r="L7826" s="70"/>
      <c r="M7826" s="934"/>
    </row>
    <row r="7827" ht="12.75" hidden="1" customHeight="1" outlineLevel="1">
      <c r="A7827" s="122">
        <v>42310.0</v>
      </c>
      <c r="B7827" s="985" t="s">
        <v>343</v>
      </c>
      <c r="C7827" s="94" t="s">
        <v>1357</v>
      </c>
      <c r="D7827" s="94">
        <v>340.0</v>
      </c>
      <c r="E7827" s="94">
        <v>36.3198</v>
      </c>
      <c r="F7827" s="986">
        <v>0.45689814814814816</v>
      </c>
      <c r="G7827" s="94" t="s">
        <v>453</v>
      </c>
      <c r="H7827" s="987">
        <v>1.36</v>
      </c>
      <c r="I7827" s="988" t="s">
        <v>3145</v>
      </c>
      <c r="J7827" s="67">
        <f t="shared" si="463"/>
        <v>-12350.092</v>
      </c>
      <c r="L7827" s="70"/>
      <c r="M7827" s="934"/>
    </row>
    <row r="7828" ht="12.75" hidden="1" customHeight="1" outlineLevel="1">
      <c r="A7828" s="122">
        <v>42310.0</v>
      </c>
      <c r="B7828" s="985" t="s">
        <v>343</v>
      </c>
      <c r="C7828" s="94" t="s">
        <v>1244</v>
      </c>
      <c r="D7828" s="94">
        <v>100.0</v>
      </c>
      <c r="E7828" s="94">
        <v>109.727</v>
      </c>
      <c r="F7828" s="986">
        <v>0.45717592592592593</v>
      </c>
      <c r="G7828" s="94" t="s">
        <v>453</v>
      </c>
      <c r="H7828" s="987">
        <v>1.0</v>
      </c>
      <c r="I7828" s="988" t="s">
        <v>3145</v>
      </c>
      <c r="J7828" s="67">
        <f t="shared" si="463"/>
        <v>-10973.7</v>
      </c>
      <c r="L7828" s="70"/>
      <c r="M7828" s="934"/>
    </row>
    <row r="7829" ht="12.75" hidden="1" customHeight="1" outlineLevel="1">
      <c r="A7829" s="122">
        <v>42310.0</v>
      </c>
      <c r="B7829" s="985" t="s">
        <v>343</v>
      </c>
      <c r="C7829" s="94" t="s">
        <v>1345</v>
      </c>
      <c r="D7829" s="94">
        <v>65.0</v>
      </c>
      <c r="E7829" s="94">
        <v>161.57</v>
      </c>
      <c r="F7829" s="986">
        <v>0.4575462962962963</v>
      </c>
      <c r="G7829" s="94" t="s">
        <v>453</v>
      </c>
      <c r="H7829" s="987">
        <v>1.0</v>
      </c>
      <c r="I7829" s="988" t="s">
        <v>3145</v>
      </c>
      <c r="J7829" s="67">
        <f t="shared" si="463"/>
        <v>-10503.05</v>
      </c>
      <c r="L7829" s="70"/>
      <c r="M7829" s="934"/>
    </row>
    <row r="7830" ht="12.75" hidden="1" customHeight="1" outlineLevel="1">
      <c r="A7830" s="122">
        <v>42310.0</v>
      </c>
      <c r="B7830" s="985" t="s">
        <v>343</v>
      </c>
      <c r="C7830" s="94" t="s">
        <v>2342</v>
      </c>
      <c r="D7830" s="94">
        <v>225.0</v>
      </c>
      <c r="E7830" s="94">
        <v>45.28</v>
      </c>
      <c r="F7830" s="986">
        <v>0.45795138888888887</v>
      </c>
      <c r="G7830" s="94" t="s">
        <v>453</v>
      </c>
      <c r="H7830" s="987">
        <v>1.02</v>
      </c>
      <c r="I7830" s="988" t="s">
        <v>3145</v>
      </c>
      <c r="J7830" s="67">
        <f t="shared" si="463"/>
        <v>-10189.02</v>
      </c>
      <c r="L7830" s="70"/>
      <c r="M7830" s="934"/>
    </row>
    <row r="7831" ht="12.75" hidden="1" customHeight="1" outlineLevel="1">
      <c r="A7831" s="122">
        <v>42310.0</v>
      </c>
      <c r="B7831" s="985" t="s">
        <v>347</v>
      </c>
      <c r="C7831" s="94" t="s">
        <v>2048</v>
      </c>
      <c r="D7831" s="286">
        <v>3000.0</v>
      </c>
      <c r="E7831" s="94">
        <v>6.45</v>
      </c>
      <c r="F7831" s="986">
        <v>0.46023148148148146</v>
      </c>
      <c r="G7831" s="94" t="s">
        <v>453</v>
      </c>
      <c r="H7831" s="987">
        <v>14.56</v>
      </c>
      <c r="I7831" s="988" t="s">
        <v>3145</v>
      </c>
      <c r="J7831" s="67">
        <f t="shared" si="463"/>
        <v>19335.44</v>
      </c>
      <c r="L7831" s="70"/>
      <c r="M7831" s="934"/>
    </row>
    <row r="7832" ht="12.75" hidden="1" customHeight="1" outlineLevel="1">
      <c r="A7832" s="122">
        <v>42310.0</v>
      </c>
      <c r="B7832" s="985" t="s">
        <v>347</v>
      </c>
      <c r="C7832" s="94" t="s">
        <v>1947</v>
      </c>
      <c r="D7832" s="94">
        <v>250.0</v>
      </c>
      <c r="E7832" s="94">
        <v>47.9496</v>
      </c>
      <c r="F7832" s="986">
        <v>0.4649189814814815</v>
      </c>
      <c r="G7832" s="94" t="s">
        <v>453</v>
      </c>
      <c r="H7832" s="987">
        <v>1.22</v>
      </c>
      <c r="I7832" s="988" t="s">
        <v>3145</v>
      </c>
      <c r="J7832" s="67">
        <f t="shared" si="463"/>
        <v>11986.18</v>
      </c>
      <c r="L7832" s="70"/>
      <c r="M7832" s="934"/>
    </row>
    <row r="7833" ht="12.75" hidden="1" customHeight="1" outlineLevel="1">
      <c r="A7833" s="122">
        <v>42310.0</v>
      </c>
      <c r="B7833" s="992"/>
      <c r="C7833" s="32" t="s">
        <v>339</v>
      </c>
      <c r="D7833" s="1"/>
      <c r="F7833" s="1"/>
      <c r="G7833" s="1"/>
      <c r="H7833" s="68"/>
      <c r="I7833" s="76"/>
      <c r="K7833" s="968" t="s">
        <v>3186</v>
      </c>
      <c r="L7833" s="934"/>
      <c r="M7833" s="934"/>
    </row>
    <row r="7834" ht="12.75" hidden="1" customHeight="1" outlineLevel="1">
      <c r="A7834" s="122">
        <v>42310.0</v>
      </c>
      <c r="B7834" s="992"/>
      <c r="C7834" s="32" t="s">
        <v>429</v>
      </c>
      <c r="D7834" s="1"/>
      <c r="F7834" s="1"/>
      <c r="G7834" s="1"/>
      <c r="H7834" s="68"/>
      <c r="I7834" s="76"/>
      <c r="K7834" s="9" t="s">
        <v>3187</v>
      </c>
      <c r="L7834" s="934"/>
      <c r="M7834" s="934"/>
    </row>
    <row r="7835" ht="12.75" hidden="1" customHeight="1" outlineLevel="1">
      <c r="A7835" s="122">
        <v>42310.0</v>
      </c>
      <c r="B7835" s="992"/>
      <c r="C7835" s="32" t="s">
        <v>431</v>
      </c>
      <c r="D7835" s="1"/>
      <c r="F7835" s="1"/>
      <c r="G7835" s="1"/>
      <c r="H7835" s="68"/>
      <c r="I7835" s="76"/>
      <c r="K7835" s="7" t="s">
        <v>1126</v>
      </c>
      <c r="L7835" s="934"/>
      <c r="M7835" s="934"/>
    </row>
    <row r="7836" ht="12.75" hidden="1" customHeight="1" outlineLevel="1">
      <c r="A7836" s="122">
        <v>42310.0</v>
      </c>
      <c r="B7836" s="992"/>
      <c r="C7836" s="32" t="s">
        <v>433</v>
      </c>
      <c r="D7836" s="1"/>
      <c r="F7836" s="1"/>
      <c r="G7836" s="1"/>
      <c r="H7836" s="68"/>
      <c r="I7836" s="76"/>
      <c r="K7836" s="7" t="s">
        <v>1103</v>
      </c>
      <c r="L7836" s="934"/>
      <c r="M7836" s="934"/>
    </row>
    <row r="7837" ht="12.75" hidden="1" customHeight="1" outlineLevel="1">
      <c r="A7837" s="122">
        <v>42310.0</v>
      </c>
      <c r="B7837" s="992"/>
      <c r="C7837" s="32" t="s">
        <v>435</v>
      </c>
      <c r="D7837" s="1"/>
      <c r="F7837" s="1"/>
      <c r="G7837" s="1"/>
      <c r="H7837" s="68"/>
      <c r="I7837" s="76"/>
      <c r="K7837" s="9" t="s">
        <v>3134</v>
      </c>
      <c r="L7837" s="934"/>
      <c r="M7837" s="934"/>
    </row>
    <row r="7838" ht="12.75" hidden="1" customHeight="1" outlineLevel="1">
      <c r="A7838" s="202">
        <v>42311.0</v>
      </c>
      <c r="B7838" s="985" t="s">
        <v>347</v>
      </c>
      <c r="C7838" s="94" t="s">
        <v>1357</v>
      </c>
      <c r="D7838" s="94">
        <v>340.0</v>
      </c>
      <c r="E7838" s="94">
        <v>35.95</v>
      </c>
      <c r="F7838" s="986">
        <v>0.5580787037037037</v>
      </c>
      <c r="G7838" s="94" t="s">
        <v>453</v>
      </c>
      <c r="H7838" s="987">
        <v>1.88</v>
      </c>
      <c r="I7838" s="988" t="s">
        <v>3145</v>
      </c>
      <c r="J7838" s="67">
        <f t="shared" ref="J7838:J7874" si="464">IF(B7838="SLD",D7838*E7838,-D7838*E7838)-H7838</f>
        <v>12221.12</v>
      </c>
      <c r="L7838" s="70"/>
      <c r="M7838" s="934"/>
    </row>
    <row r="7839" ht="12.75" hidden="1" customHeight="1" outlineLevel="1">
      <c r="A7839" s="202">
        <v>42311.0</v>
      </c>
      <c r="B7839" s="985" t="s">
        <v>343</v>
      </c>
      <c r="C7839" s="94" t="s">
        <v>790</v>
      </c>
      <c r="D7839" s="286">
        <v>10000.0</v>
      </c>
      <c r="E7839" s="94">
        <v>5.53</v>
      </c>
      <c r="F7839" s="986">
        <v>0.5586921296296297</v>
      </c>
      <c r="G7839" s="94" t="s">
        <v>453</v>
      </c>
      <c r="H7839" s="987">
        <v>50.0</v>
      </c>
      <c r="I7839" s="988" t="s">
        <v>3145</v>
      </c>
      <c r="J7839" s="67">
        <f t="shared" si="464"/>
        <v>-55350</v>
      </c>
      <c r="L7839" s="70"/>
      <c r="M7839" s="934"/>
    </row>
    <row r="7840" ht="12.75" hidden="1" customHeight="1" outlineLevel="1">
      <c r="A7840" s="202">
        <v>42311.0</v>
      </c>
      <c r="B7840" s="985" t="s">
        <v>343</v>
      </c>
      <c r="C7840" s="94" t="s">
        <v>2090</v>
      </c>
      <c r="D7840" s="286">
        <v>10000.0</v>
      </c>
      <c r="E7840" s="94">
        <v>6.32</v>
      </c>
      <c r="F7840" s="986">
        <v>0.5589004629629629</v>
      </c>
      <c r="G7840" s="94" t="s">
        <v>453</v>
      </c>
      <c r="H7840" s="987">
        <v>48.7</v>
      </c>
      <c r="I7840" s="988" t="s">
        <v>3145</v>
      </c>
      <c r="J7840" s="67">
        <f t="shared" si="464"/>
        <v>-63248.7</v>
      </c>
      <c r="L7840" s="70"/>
      <c r="M7840" s="934"/>
    </row>
    <row r="7841" ht="12.75" hidden="1" customHeight="1" outlineLevel="1">
      <c r="A7841" s="202">
        <v>42311.0</v>
      </c>
      <c r="B7841" s="985" t="s">
        <v>343</v>
      </c>
      <c r="C7841" s="94" t="s">
        <v>1839</v>
      </c>
      <c r="D7841" s="94">
        <v>400.0</v>
      </c>
      <c r="E7841" s="94">
        <v>7.99</v>
      </c>
      <c r="F7841" s="986">
        <v>0.5590740740740741</v>
      </c>
      <c r="G7841" s="94" t="s">
        <v>453</v>
      </c>
      <c r="H7841" s="987">
        <v>1.6</v>
      </c>
      <c r="I7841" s="988" t="s">
        <v>3145</v>
      </c>
      <c r="J7841" s="67">
        <f t="shared" si="464"/>
        <v>-3197.6</v>
      </c>
      <c r="L7841" s="70"/>
      <c r="M7841" s="934"/>
    </row>
    <row r="7842" ht="12.75" hidden="1" customHeight="1" outlineLevel="1">
      <c r="A7842" s="202">
        <v>42311.0</v>
      </c>
      <c r="B7842" s="985" t="s">
        <v>343</v>
      </c>
      <c r="C7842" s="94" t="s">
        <v>2195</v>
      </c>
      <c r="D7842" s="94">
        <v>500.0</v>
      </c>
      <c r="E7842" s="94">
        <v>7.991</v>
      </c>
      <c r="F7842" s="986">
        <v>0.5592824074074074</v>
      </c>
      <c r="G7842" s="94" t="s">
        <v>453</v>
      </c>
      <c r="H7842" s="987">
        <v>2.5</v>
      </c>
      <c r="I7842" s="988" t="s">
        <v>3145</v>
      </c>
      <c r="J7842" s="67">
        <f t="shared" si="464"/>
        <v>-3998</v>
      </c>
      <c r="L7842" s="70"/>
      <c r="M7842" s="934"/>
    </row>
    <row r="7843" ht="12.75" hidden="1" customHeight="1" outlineLevel="1">
      <c r="A7843" s="202">
        <v>42311.0</v>
      </c>
      <c r="B7843" s="985" t="s">
        <v>343</v>
      </c>
      <c r="C7843" s="94" t="s">
        <v>369</v>
      </c>
      <c r="D7843" s="94">
        <v>200.0</v>
      </c>
      <c r="E7843" s="94">
        <v>3.179</v>
      </c>
      <c r="F7843" s="986">
        <v>0.5595601851851851</v>
      </c>
      <c r="G7843" s="94" t="s">
        <v>453</v>
      </c>
      <c r="H7843" s="987">
        <v>1.0</v>
      </c>
      <c r="I7843" s="988" t="s">
        <v>3145</v>
      </c>
      <c r="J7843" s="67">
        <f t="shared" si="464"/>
        <v>-636.8</v>
      </c>
      <c r="L7843" s="70"/>
      <c r="M7843" s="934"/>
    </row>
    <row r="7844" ht="12.75" hidden="1" customHeight="1" outlineLevel="1">
      <c r="A7844" s="202">
        <v>42311.0</v>
      </c>
      <c r="B7844" s="985" t="s">
        <v>343</v>
      </c>
      <c r="C7844" s="94" t="s">
        <v>1893</v>
      </c>
      <c r="D7844" s="286">
        <v>6000.0</v>
      </c>
      <c r="E7844" s="94">
        <v>12.55</v>
      </c>
      <c r="F7844" s="986">
        <v>0.5597800925925925</v>
      </c>
      <c r="G7844" s="94" t="s">
        <v>453</v>
      </c>
      <c r="H7844" s="987">
        <v>29.6</v>
      </c>
      <c r="I7844" s="988" t="s">
        <v>3145</v>
      </c>
      <c r="J7844" s="67">
        <f t="shared" si="464"/>
        <v>-75329.6</v>
      </c>
      <c r="L7844" s="70"/>
      <c r="M7844" s="934"/>
    </row>
    <row r="7845" ht="12.75" hidden="1" customHeight="1" outlineLevel="1">
      <c r="A7845" s="202">
        <v>42311.0</v>
      </c>
      <c r="B7845" s="985" t="s">
        <v>343</v>
      </c>
      <c r="C7845" s="94" t="s">
        <v>1633</v>
      </c>
      <c r="D7845" s="286">
        <v>2000.0</v>
      </c>
      <c r="E7845" s="94">
        <v>8.32</v>
      </c>
      <c r="F7845" s="986">
        <v>0.5601157407407408</v>
      </c>
      <c r="G7845" s="94" t="s">
        <v>453</v>
      </c>
      <c r="H7845" s="987">
        <v>8.0</v>
      </c>
      <c r="I7845" s="988" t="s">
        <v>3145</v>
      </c>
      <c r="J7845" s="67">
        <f t="shared" si="464"/>
        <v>-16648</v>
      </c>
      <c r="L7845" s="70"/>
      <c r="M7845" s="934"/>
    </row>
    <row r="7846" ht="12.75" hidden="1" customHeight="1" outlineLevel="1">
      <c r="A7846" s="202">
        <v>42311.0</v>
      </c>
      <c r="B7846" s="985" t="s">
        <v>343</v>
      </c>
      <c r="C7846" s="94" t="s">
        <v>3024</v>
      </c>
      <c r="D7846" s="94">
        <v>900.0</v>
      </c>
      <c r="E7846" s="94">
        <v>20.01</v>
      </c>
      <c r="F7846" s="986">
        <v>0.5610185185185185</v>
      </c>
      <c r="G7846" s="94" t="s">
        <v>453</v>
      </c>
      <c r="H7846" s="987">
        <v>3.6</v>
      </c>
      <c r="I7846" s="988" t="s">
        <v>3145</v>
      </c>
      <c r="J7846" s="67">
        <f t="shared" si="464"/>
        <v>-18012.6</v>
      </c>
      <c r="L7846" s="70"/>
      <c r="M7846" s="934"/>
    </row>
    <row r="7847" ht="12.75" hidden="1" customHeight="1" outlineLevel="1">
      <c r="A7847" s="202">
        <v>42311.0</v>
      </c>
      <c r="B7847" s="985" t="s">
        <v>343</v>
      </c>
      <c r="C7847" s="94" t="s">
        <v>2048</v>
      </c>
      <c r="D7847" s="286">
        <v>4000.0</v>
      </c>
      <c r="E7847" s="94">
        <v>6.95</v>
      </c>
      <c r="F7847" s="986">
        <v>0.5612615740740741</v>
      </c>
      <c r="G7847" s="94" t="s">
        <v>453</v>
      </c>
      <c r="H7847" s="987">
        <v>20.0</v>
      </c>
      <c r="I7847" s="988" t="s">
        <v>3145</v>
      </c>
      <c r="J7847" s="67">
        <f t="shared" si="464"/>
        <v>-27820</v>
      </c>
      <c r="L7847" s="70"/>
      <c r="M7847" s="934"/>
    </row>
    <row r="7848" ht="12.75" hidden="1" customHeight="1" outlineLevel="1">
      <c r="A7848" s="202">
        <v>42311.0</v>
      </c>
      <c r="B7848" s="985" t="s">
        <v>343</v>
      </c>
      <c r="C7848" s="94" t="s">
        <v>2210</v>
      </c>
      <c r="D7848" s="94">
        <v>100.0</v>
      </c>
      <c r="E7848" s="94">
        <v>74.71</v>
      </c>
      <c r="F7848" s="986">
        <v>0.5617245370370371</v>
      </c>
      <c r="G7848" s="94" t="s">
        <v>453</v>
      </c>
      <c r="H7848" s="987">
        <v>1.0</v>
      </c>
      <c r="I7848" s="988" t="s">
        <v>3145</v>
      </c>
      <c r="J7848" s="67">
        <f t="shared" si="464"/>
        <v>-7472</v>
      </c>
      <c r="L7848" s="70"/>
      <c r="M7848" s="934"/>
    </row>
    <row r="7849" ht="12.75" hidden="1" customHeight="1" outlineLevel="1">
      <c r="A7849" s="202">
        <v>42311.0</v>
      </c>
      <c r="B7849" s="985" t="s">
        <v>343</v>
      </c>
      <c r="C7849" s="94" t="s">
        <v>1947</v>
      </c>
      <c r="D7849" s="94">
        <v>800.0</v>
      </c>
      <c r="E7849" s="94">
        <v>47.619</v>
      </c>
      <c r="F7849" s="986">
        <v>0.5626041666666667</v>
      </c>
      <c r="G7849" s="94" t="s">
        <v>453</v>
      </c>
      <c r="H7849" s="987">
        <v>3.8</v>
      </c>
      <c r="I7849" s="988" t="s">
        <v>3145</v>
      </c>
      <c r="J7849" s="67">
        <f t="shared" si="464"/>
        <v>-38099</v>
      </c>
      <c r="L7849" s="70"/>
      <c r="M7849" s="934"/>
    </row>
    <row r="7850" ht="12.75" hidden="1" customHeight="1" outlineLevel="1">
      <c r="A7850" s="202">
        <v>42311.0</v>
      </c>
      <c r="B7850" s="985" t="s">
        <v>343</v>
      </c>
      <c r="C7850" s="94" t="s">
        <v>784</v>
      </c>
      <c r="D7850" s="286">
        <v>1800.0</v>
      </c>
      <c r="E7850" s="94">
        <v>4.67</v>
      </c>
      <c r="F7850" s="986">
        <v>0.5633101851851852</v>
      </c>
      <c r="G7850" s="94" t="s">
        <v>453</v>
      </c>
      <c r="H7850" s="987">
        <v>7.2</v>
      </c>
      <c r="I7850" s="988" t="s">
        <v>3145</v>
      </c>
      <c r="J7850" s="67">
        <f t="shared" si="464"/>
        <v>-8413.2</v>
      </c>
      <c r="L7850" s="70"/>
      <c r="M7850" s="934"/>
    </row>
    <row r="7851" ht="12.75" hidden="1" customHeight="1" outlineLevel="1">
      <c r="A7851" s="202">
        <v>42311.0</v>
      </c>
      <c r="B7851" s="985" t="s">
        <v>343</v>
      </c>
      <c r="C7851" s="94" t="s">
        <v>1905</v>
      </c>
      <c r="D7851" s="94">
        <v>300.0</v>
      </c>
      <c r="E7851" s="94">
        <v>29.9798</v>
      </c>
      <c r="F7851" s="986">
        <v>0.5645023148148148</v>
      </c>
      <c r="G7851" s="94" t="s">
        <v>453</v>
      </c>
      <c r="H7851" s="987">
        <v>1.2</v>
      </c>
      <c r="I7851" s="988" t="s">
        <v>3145</v>
      </c>
      <c r="J7851" s="67">
        <f t="shared" si="464"/>
        <v>-8995.14</v>
      </c>
      <c r="L7851" s="70"/>
      <c r="M7851" s="934"/>
    </row>
    <row r="7852" ht="12.75" hidden="1" customHeight="1" outlineLevel="1">
      <c r="A7852" s="202">
        <v>42311.0</v>
      </c>
      <c r="B7852" s="985" t="s">
        <v>343</v>
      </c>
      <c r="C7852" s="94" t="s">
        <v>1890</v>
      </c>
      <c r="D7852" s="94">
        <v>400.0</v>
      </c>
      <c r="E7852" s="94">
        <v>18.27</v>
      </c>
      <c r="F7852" s="986">
        <v>0.5648726851851852</v>
      </c>
      <c r="G7852" s="94" t="s">
        <v>453</v>
      </c>
      <c r="H7852" s="987">
        <v>1.9</v>
      </c>
      <c r="I7852" s="988" t="s">
        <v>3145</v>
      </c>
      <c r="J7852" s="67">
        <f t="shared" si="464"/>
        <v>-7309.9</v>
      </c>
      <c r="L7852" s="70"/>
      <c r="M7852" s="934"/>
    </row>
    <row r="7853" ht="12.75" hidden="1" customHeight="1" outlineLevel="1">
      <c r="A7853" s="202">
        <v>42311.0</v>
      </c>
      <c r="B7853" s="985" t="s">
        <v>343</v>
      </c>
      <c r="C7853" s="94" t="s">
        <v>1781</v>
      </c>
      <c r="D7853" s="286">
        <v>5000.0</v>
      </c>
      <c r="E7853" s="94">
        <v>7.749</v>
      </c>
      <c r="F7853" s="986">
        <v>0.5747685185185185</v>
      </c>
      <c r="G7853" s="94" t="s">
        <v>453</v>
      </c>
      <c r="H7853" s="987">
        <v>20.5</v>
      </c>
      <c r="I7853" s="988" t="s">
        <v>3145</v>
      </c>
      <c r="J7853" s="67">
        <f t="shared" si="464"/>
        <v>-38765.5</v>
      </c>
      <c r="L7853" s="70"/>
      <c r="M7853" s="934"/>
    </row>
    <row r="7854" ht="12.75" hidden="1" customHeight="1" outlineLevel="1">
      <c r="A7854" s="202">
        <v>42311.0</v>
      </c>
      <c r="B7854" s="985" t="s">
        <v>347</v>
      </c>
      <c r="C7854" s="94" t="s">
        <v>1061</v>
      </c>
      <c r="D7854" s="94">
        <v>200.0</v>
      </c>
      <c r="E7854" s="94">
        <v>41.57</v>
      </c>
      <c r="F7854" s="986">
        <v>0.5750115740740741</v>
      </c>
      <c r="G7854" s="94" t="s">
        <v>453</v>
      </c>
      <c r="H7854" s="987">
        <v>1.15</v>
      </c>
      <c r="I7854" s="988" t="s">
        <v>3145</v>
      </c>
      <c r="J7854" s="67">
        <f t="shared" si="464"/>
        <v>8312.85</v>
      </c>
      <c r="L7854" s="70"/>
      <c r="M7854" s="934"/>
    </row>
    <row r="7855" ht="12.75" hidden="1" customHeight="1" outlineLevel="1">
      <c r="A7855" s="202">
        <v>42311.0</v>
      </c>
      <c r="B7855" s="985" t="s">
        <v>347</v>
      </c>
      <c r="C7855" s="94" t="s">
        <v>1060</v>
      </c>
      <c r="D7855" s="94">
        <v>200.0</v>
      </c>
      <c r="E7855" s="94">
        <v>40.731</v>
      </c>
      <c r="F7855" s="986">
        <v>0.575150462962963</v>
      </c>
      <c r="G7855" s="94" t="s">
        <v>453</v>
      </c>
      <c r="H7855" s="987">
        <v>1.15</v>
      </c>
      <c r="I7855" s="988" t="s">
        <v>3145</v>
      </c>
      <c r="J7855" s="67">
        <f t="shared" si="464"/>
        <v>8145.05</v>
      </c>
      <c r="L7855" s="70"/>
      <c r="M7855" s="934"/>
    </row>
    <row r="7856" ht="12.75" hidden="1" customHeight="1" outlineLevel="1">
      <c r="A7856" s="202">
        <v>42311.0</v>
      </c>
      <c r="B7856" s="985" t="s">
        <v>347</v>
      </c>
      <c r="C7856" s="94" t="s">
        <v>1158</v>
      </c>
      <c r="D7856" s="94">
        <v>300.0</v>
      </c>
      <c r="E7856" s="94">
        <v>51.0401</v>
      </c>
      <c r="F7856" s="986">
        <v>0.5753125</v>
      </c>
      <c r="G7856" s="94" t="s">
        <v>453</v>
      </c>
      <c r="H7856" s="987">
        <v>1.48</v>
      </c>
      <c r="I7856" s="988" t="s">
        <v>3145</v>
      </c>
      <c r="J7856" s="67">
        <f t="shared" si="464"/>
        <v>15310.55</v>
      </c>
      <c r="L7856" s="70"/>
      <c r="M7856" s="934"/>
    </row>
    <row r="7857" ht="12.75" hidden="1" customHeight="1" outlineLevel="1">
      <c r="A7857" s="202">
        <v>42311.0</v>
      </c>
      <c r="B7857" s="985" t="s">
        <v>347</v>
      </c>
      <c r="C7857" s="94" t="s">
        <v>1164</v>
      </c>
      <c r="D7857" s="94">
        <v>500.0</v>
      </c>
      <c r="E7857" s="94">
        <v>46.601</v>
      </c>
      <c r="F7857" s="986">
        <v>0.5755671296296296</v>
      </c>
      <c r="G7857" s="94" t="s">
        <v>453</v>
      </c>
      <c r="H7857" s="987">
        <v>2.43</v>
      </c>
      <c r="I7857" s="988" t="s">
        <v>3145</v>
      </c>
      <c r="J7857" s="67">
        <f t="shared" si="464"/>
        <v>23298.07</v>
      </c>
      <c r="L7857" s="70"/>
      <c r="M7857" s="934"/>
    </row>
    <row r="7858" ht="12.75" hidden="1" customHeight="1" outlineLevel="1">
      <c r="A7858" s="202">
        <v>42311.0</v>
      </c>
      <c r="B7858" s="985" t="s">
        <v>347</v>
      </c>
      <c r="C7858" s="94" t="s">
        <v>1056</v>
      </c>
      <c r="D7858" s="94">
        <v>25.0</v>
      </c>
      <c r="E7858" s="94">
        <v>269.79</v>
      </c>
      <c r="F7858" s="986">
        <v>0.5798032407407407</v>
      </c>
      <c r="G7858" s="94" t="s">
        <v>453</v>
      </c>
      <c r="H7858" s="987">
        <v>1.12</v>
      </c>
      <c r="I7858" s="988" t="s">
        <v>3145</v>
      </c>
      <c r="J7858" s="67">
        <f t="shared" si="464"/>
        <v>6743.63</v>
      </c>
      <c r="L7858" s="70"/>
      <c r="M7858" s="934"/>
    </row>
    <row r="7859" ht="12.75" hidden="1" customHeight="1" outlineLevel="1">
      <c r="A7859" s="202">
        <v>42311.0</v>
      </c>
      <c r="B7859" s="985" t="s">
        <v>347</v>
      </c>
      <c r="C7859" s="94" t="s">
        <v>3006</v>
      </c>
      <c r="D7859" s="94">
        <v>100.0</v>
      </c>
      <c r="E7859" s="94">
        <v>59.61</v>
      </c>
      <c r="F7859" s="986">
        <v>0.580324074074074</v>
      </c>
      <c r="G7859" s="94" t="s">
        <v>453</v>
      </c>
      <c r="H7859" s="987">
        <v>1.11</v>
      </c>
      <c r="I7859" s="988" t="s">
        <v>3145</v>
      </c>
      <c r="J7859" s="67">
        <f t="shared" si="464"/>
        <v>5959.89</v>
      </c>
      <c r="L7859" s="70"/>
      <c r="M7859" s="934"/>
    </row>
    <row r="7860" ht="12.75" hidden="1" customHeight="1" outlineLevel="1">
      <c r="A7860" s="202">
        <v>42311.0</v>
      </c>
      <c r="B7860" s="985" t="s">
        <v>347</v>
      </c>
      <c r="C7860" s="94" t="s">
        <v>2412</v>
      </c>
      <c r="D7860" s="94">
        <v>100.0</v>
      </c>
      <c r="E7860" s="94">
        <v>65.9204</v>
      </c>
      <c r="F7860" s="986">
        <v>0.5812268518518519</v>
      </c>
      <c r="G7860" s="94" t="s">
        <v>453</v>
      </c>
      <c r="H7860" s="987">
        <v>1.12</v>
      </c>
      <c r="I7860" s="988" t="s">
        <v>3145</v>
      </c>
      <c r="J7860" s="67">
        <f t="shared" si="464"/>
        <v>6590.92</v>
      </c>
      <c r="L7860" s="70"/>
      <c r="M7860" s="934"/>
    </row>
    <row r="7861" ht="12.75" hidden="1" customHeight="1" outlineLevel="1">
      <c r="A7861" s="202">
        <v>42311.0</v>
      </c>
      <c r="B7861" s="985" t="s">
        <v>347</v>
      </c>
      <c r="C7861" s="94" t="s">
        <v>3040</v>
      </c>
      <c r="D7861" s="94">
        <v>50.0</v>
      </c>
      <c r="E7861" s="94">
        <v>137.98</v>
      </c>
      <c r="F7861" s="986">
        <v>0.5815162037037037</v>
      </c>
      <c r="G7861" s="94" t="s">
        <v>453</v>
      </c>
      <c r="H7861" s="987">
        <v>1.13</v>
      </c>
      <c r="I7861" s="988" t="s">
        <v>3145</v>
      </c>
      <c r="J7861" s="67">
        <f t="shared" si="464"/>
        <v>6897.87</v>
      </c>
      <c r="L7861" s="70"/>
      <c r="M7861" s="934"/>
    </row>
    <row r="7862" ht="12.75" hidden="1" customHeight="1" outlineLevel="1">
      <c r="A7862" s="202">
        <v>42312.0</v>
      </c>
      <c r="B7862" s="985" t="s">
        <v>343</v>
      </c>
      <c r="C7862" s="94" t="s">
        <v>1781</v>
      </c>
      <c r="D7862" s="286">
        <v>1000.0</v>
      </c>
      <c r="E7862" s="94">
        <v>7.99</v>
      </c>
      <c r="F7862" s="986">
        <v>0.40260416666666665</v>
      </c>
      <c r="G7862" s="94" t="s">
        <v>453</v>
      </c>
      <c r="H7862" s="987">
        <v>4.0</v>
      </c>
      <c r="I7862" s="988" t="s">
        <v>3145</v>
      </c>
      <c r="J7862" s="67">
        <f t="shared" si="464"/>
        <v>-7994</v>
      </c>
      <c r="L7862" s="70"/>
      <c r="M7862" s="934"/>
    </row>
    <row r="7863" ht="12.75" hidden="1" customHeight="1" outlineLevel="1">
      <c r="A7863" s="202">
        <v>42312.0</v>
      </c>
      <c r="B7863" s="985" t="s">
        <v>347</v>
      </c>
      <c r="C7863" s="94" t="s">
        <v>1781</v>
      </c>
      <c r="D7863" s="286">
        <v>1000.0</v>
      </c>
      <c r="E7863" s="94">
        <v>7.8</v>
      </c>
      <c r="F7863" s="986">
        <v>0.41832175925925924</v>
      </c>
      <c r="G7863" s="94" t="s">
        <v>453</v>
      </c>
      <c r="H7863" s="987">
        <v>4.14</v>
      </c>
      <c r="I7863" s="988" t="s">
        <v>3145</v>
      </c>
      <c r="J7863" s="67">
        <f t="shared" si="464"/>
        <v>7795.86</v>
      </c>
      <c r="L7863" s="70"/>
      <c r="M7863" s="934"/>
    </row>
    <row r="7864" ht="12.75" hidden="1" customHeight="1" outlineLevel="1">
      <c r="A7864" s="202">
        <v>42312.0</v>
      </c>
      <c r="B7864" s="985" t="s">
        <v>347</v>
      </c>
      <c r="C7864" s="94" t="s">
        <v>3024</v>
      </c>
      <c r="D7864" s="94">
        <v>400.0</v>
      </c>
      <c r="E7864" s="94">
        <v>19.9802</v>
      </c>
      <c r="F7864" s="986">
        <v>0.41886574074074073</v>
      </c>
      <c r="G7864" s="94" t="s">
        <v>453</v>
      </c>
      <c r="H7864" s="987">
        <v>1.75</v>
      </c>
      <c r="I7864" s="988" t="s">
        <v>3145</v>
      </c>
      <c r="J7864" s="67">
        <f t="shared" si="464"/>
        <v>7990.33</v>
      </c>
      <c r="L7864" s="70"/>
      <c r="M7864" s="934"/>
    </row>
    <row r="7865" ht="12.75" hidden="1" customHeight="1" outlineLevel="1">
      <c r="A7865" s="202">
        <v>42312.0</v>
      </c>
      <c r="B7865" s="985" t="s">
        <v>347</v>
      </c>
      <c r="C7865" s="94" t="s">
        <v>784</v>
      </c>
      <c r="D7865" s="286">
        <v>1800.0</v>
      </c>
      <c r="E7865" s="94">
        <v>4.68</v>
      </c>
      <c r="F7865" s="986">
        <v>0.4192708333333333</v>
      </c>
      <c r="G7865" s="94" t="s">
        <v>453</v>
      </c>
      <c r="H7865" s="987">
        <v>9.16</v>
      </c>
      <c r="I7865" s="988" t="s">
        <v>3145</v>
      </c>
      <c r="J7865" s="67">
        <f t="shared" si="464"/>
        <v>8414.84</v>
      </c>
      <c r="L7865" s="70"/>
      <c r="M7865" s="934"/>
    </row>
    <row r="7866" ht="12.75" hidden="1" customHeight="1" outlineLevel="1">
      <c r="A7866" s="202">
        <v>42312.0</v>
      </c>
      <c r="B7866" s="985" t="s">
        <v>347</v>
      </c>
      <c r="C7866" s="94" t="s">
        <v>1893</v>
      </c>
      <c r="D7866" s="94">
        <v>600.0</v>
      </c>
      <c r="E7866" s="94">
        <v>12.422</v>
      </c>
      <c r="F7866" s="986">
        <v>0.4216550925925926</v>
      </c>
      <c r="G7866" s="94" t="s">
        <v>453</v>
      </c>
      <c r="H7866" s="987">
        <v>2.94</v>
      </c>
      <c r="I7866" s="988" t="s">
        <v>3145</v>
      </c>
      <c r="J7866" s="67">
        <f t="shared" si="464"/>
        <v>7450.26</v>
      </c>
      <c r="L7866" s="70"/>
      <c r="M7866" s="934"/>
    </row>
    <row r="7867" ht="12.75" hidden="1" customHeight="1" outlineLevel="1">
      <c r="A7867" s="202">
        <v>42312.0</v>
      </c>
      <c r="B7867" s="985" t="s">
        <v>347</v>
      </c>
      <c r="C7867" s="94" t="s">
        <v>1905</v>
      </c>
      <c r="D7867" s="94">
        <v>350.0</v>
      </c>
      <c r="E7867" s="94">
        <v>30.703</v>
      </c>
      <c r="F7867" s="986">
        <v>0.4221412037037037</v>
      </c>
      <c r="G7867" s="94" t="s">
        <v>453</v>
      </c>
      <c r="H7867" s="987">
        <v>1.6</v>
      </c>
      <c r="I7867" s="988" t="s">
        <v>3145</v>
      </c>
      <c r="J7867" s="67">
        <f t="shared" si="464"/>
        <v>10744.45</v>
      </c>
      <c r="L7867" s="70"/>
      <c r="M7867" s="934"/>
    </row>
    <row r="7868" ht="12.75" hidden="1" customHeight="1" outlineLevel="1">
      <c r="A7868" s="202">
        <v>42312.0</v>
      </c>
      <c r="B7868" s="985" t="s">
        <v>347</v>
      </c>
      <c r="C7868" s="94" t="s">
        <v>1890</v>
      </c>
      <c r="D7868" s="94">
        <v>400.0</v>
      </c>
      <c r="E7868" s="94">
        <v>18.29</v>
      </c>
      <c r="F7868" s="986">
        <v>0.42292824074074076</v>
      </c>
      <c r="G7868" s="94" t="s">
        <v>453</v>
      </c>
      <c r="H7868" s="987">
        <v>1.73</v>
      </c>
      <c r="I7868" s="988" t="s">
        <v>3145</v>
      </c>
      <c r="J7868" s="67">
        <f t="shared" si="464"/>
        <v>7314.27</v>
      </c>
      <c r="L7868" s="70"/>
      <c r="M7868" s="934"/>
    </row>
    <row r="7869" ht="12.75" hidden="1" customHeight="1" outlineLevel="1">
      <c r="A7869" s="202">
        <v>42312.0</v>
      </c>
      <c r="B7869" s="985" t="s">
        <v>347</v>
      </c>
      <c r="C7869" s="94" t="s">
        <v>2090</v>
      </c>
      <c r="D7869" s="286">
        <v>3000.0</v>
      </c>
      <c r="E7869" s="94">
        <v>6.201</v>
      </c>
      <c r="F7869" s="986">
        <v>0.4234027777777778</v>
      </c>
      <c r="G7869" s="94" t="s">
        <v>453</v>
      </c>
      <c r="H7869" s="987">
        <v>12.34</v>
      </c>
      <c r="I7869" s="988" t="s">
        <v>3145</v>
      </c>
      <c r="J7869" s="67">
        <f t="shared" si="464"/>
        <v>18590.66</v>
      </c>
      <c r="L7869" s="70"/>
      <c r="M7869" s="934"/>
    </row>
    <row r="7870" ht="12.75" hidden="1" customHeight="1" outlineLevel="1">
      <c r="A7870" s="202">
        <v>42312.0</v>
      </c>
      <c r="B7870" s="985" t="s">
        <v>347</v>
      </c>
      <c r="C7870" s="94" t="s">
        <v>2048</v>
      </c>
      <c r="D7870" s="286">
        <v>1000.0</v>
      </c>
      <c r="E7870" s="94">
        <v>7.171</v>
      </c>
      <c r="F7870" s="986">
        <v>0.42390046296296297</v>
      </c>
      <c r="G7870" s="94" t="s">
        <v>453</v>
      </c>
      <c r="H7870" s="987">
        <v>4.53</v>
      </c>
      <c r="I7870" s="988" t="s">
        <v>3145</v>
      </c>
      <c r="J7870" s="67">
        <f t="shared" si="464"/>
        <v>7166.47</v>
      </c>
      <c r="L7870" s="70"/>
      <c r="M7870" s="934"/>
    </row>
    <row r="7871" ht="12.75" hidden="1" customHeight="1" outlineLevel="1">
      <c r="A7871" s="202">
        <v>42312.0</v>
      </c>
      <c r="B7871" s="985" t="s">
        <v>347</v>
      </c>
      <c r="C7871" s="94" t="s">
        <v>790</v>
      </c>
      <c r="D7871" s="286">
        <v>1400.0</v>
      </c>
      <c r="E7871" s="94">
        <v>5.34</v>
      </c>
      <c r="F7871" s="986">
        <v>0.42488425925925927</v>
      </c>
      <c r="G7871" s="94" t="s">
        <v>453</v>
      </c>
      <c r="H7871" s="987">
        <v>7.14</v>
      </c>
      <c r="I7871" s="988" t="s">
        <v>3145</v>
      </c>
      <c r="J7871" s="67">
        <f t="shared" si="464"/>
        <v>7468.86</v>
      </c>
      <c r="L7871" s="70"/>
      <c r="M7871" s="934"/>
    </row>
    <row r="7872" ht="12.75" hidden="1" customHeight="1" outlineLevel="1">
      <c r="A7872" s="202">
        <v>42312.0</v>
      </c>
      <c r="B7872" s="985" t="s">
        <v>347</v>
      </c>
      <c r="C7872" s="94" t="s">
        <v>1839</v>
      </c>
      <c r="D7872" s="286">
        <v>1000.0</v>
      </c>
      <c r="E7872" s="94">
        <v>7.4501</v>
      </c>
      <c r="F7872" s="986">
        <v>0.42538194444444444</v>
      </c>
      <c r="G7872" s="94" t="s">
        <v>453</v>
      </c>
      <c r="H7872" s="987">
        <v>4.14</v>
      </c>
      <c r="I7872" s="988" t="s">
        <v>3145</v>
      </c>
      <c r="J7872" s="67">
        <f t="shared" si="464"/>
        <v>7445.96</v>
      </c>
      <c r="L7872" s="70"/>
      <c r="M7872" s="934"/>
    </row>
    <row r="7873" ht="12.75" hidden="1" customHeight="1" outlineLevel="1">
      <c r="A7873" s="202">
        <v>42312.0</v>
      </c>
      <c r="B7873" s="985" t="s">
        <v>347</v>
      </c>
      <c r="C7873" s="94" t="s">
        <v>1947</v>
      </c>
      <c r="D7873" s="94">
        <v>50.0</v>
      </c>
      <c r="E7873" s="94">
        <v>48.5611</v>
      </c>
      <c r="F7873" s="986">
        <v>0.4274189814814815</v>
      </c>
      <c r="G7873" s="94" t="s">
        <v>453</v>
      </c>
      <c r="H7873" s="987">
        <v>1.04</v>
      </c>
      <c r="I7873" s="988" t="s">
        <v>3145</v>
      </c>
      <c r="J7873" s="67">
        <f t="shared" si="464"/>
        <v>2427.015</v>
      </c>
      <c r="L7873" s="70"/>
      <c r="M7873" s="934"/>
    </row>
    <row r="7874" ht="12.75" hidden="1" customHeight="1" outlineLevel="1">
      <c r="A7874" s="202">
        <v>42312.0</v>
      </c>
      <c r="B7874" s="985" t="s">
        <v>343</v>
      </c>
      <c r="C7874" s="94" t="s">
        <v>1633</v>
      </c>
      <c r="D7874" s="94">
        <v>300.0</v>
      </c>
      <c r="E7874" s="94">
        <v>8.5499</v>
      </c>
      <c r="F7874" s="986">
        <v>0.44046296296296295</v>
      </c>
      <c r="G7874" s="94" t="s">
        <v>453</v>
      </c>
      <c r="H7874" s="987">
        <v>1.2</v>
      </c>
      <c r="I7874" s="988" t="s">
        <v>3145</v>
      </c>
      <c r="J7874" s="67">
        <f t="shared" si="464"/>
        <v>-2566.17</v>
      </c>
      <c r="L7874" s="70"/>
      <c r="M7874" s="934"/>
    </row>
    <row r="7875" ht="12.75" hidden="1" customHeight="1" outlineLevel="1">
      <c r="A7875" s="122">
        <v>42312.0</v>
      </c>
      <c r="B7875" s="992"/>
      <c r="C7875" s="32" t="s">
        <v>339</v>
      </c>
      <c r="D7875" s="1"/>
      <c r="F7875" s="1"/>
      <c r="G7875" s="1"/>
      <c r="H7875" s="68"/>
      <c r="I7875" s="76"/>
      <c r="K7875" s="201" t="s">
        <v>3188</v>
      </c>
      <c r="L7875" s="934"/>
      <c r="M7875" s="934"/>
    </row>
    <row r="7876" ht="12.75" hidden="1" customHeight="1" outlineLevel="1">
      <c r="A7876" s="122">
        <v>42312.0</v>
      </c>
      <c r="B7876" s="992"/>
      <c r="C7876" s="32" t="s">
        <v>429</v>
      </c>
      <c r="D7876" s="1"/>
      <c r="F7876" s="1"/>
      <c r="G7876" s="1"/>
      <c r="H7876" s="68"/>
      <c r="I7876" s="76"/>
      <c r="K7876" s="9" t="s">
        <v>3187</v>
      </c>
      <c r="L7876" s="934"/>
      <c r="M7876" s="934"/>
    </row>
    <row r="7877" ht="12.75" hidden="1" customHeight="1" outlineLevel="1">
      <c r="A7877" s="122">
        <v>42312.0</v>
      </c>
      <c r="B7877" s="992"/>
      <c r="C7877" s="32" t="s">
        <v>431</v>
      </c>
      <c r="D7877" s="1"/>
      <c r="F7877" s="1"/>
      <c r="G7877" s="1"/>
      <c r="H7877" s="68"/>
      <c r="I7877" s="76"/>
      <c r="K7877" s="7" t="s">
        <v>1126</v>
      </c>
      <c r="L7877" s="934"/>
      <c r="M7877" s="934"/>
    </row>
    <row r="7878" ht="12.75" hidden="1" customHeight="1" outlineLevel="1">
      <c r="A7878" s="122">
        <v>42312.0</v>
      </c>
      <c r="B7878" s="992"/>
      <c r="C7878" s="32" t="s">
        <v>433</v>
      </c>
      <c r="D7878" s="1"/>
      <c r="F7878" s="1"/>
      <c r="G7878" s="1"/>
      <c r="H7878" s="68"/>
      <c r="I7878" s="76"/>
      <c r="K7878" s="7" t="s">
        <v>1103</v>
      </c>
      <c r="L7878" s="934"/>
      <c r="M7878" s="934"/>
    </row>
    <row r="7879" ht="12.75" hidden="1" customHeight="1" outlineLevel="1">
      <c r="A7879" s="122">
        <v>42312.0</v>
      </c>
      <c r="B7879" s="992"/>
      <c r="C7879" s="32" t="s">
        <v>435</v>
      </c>
      <c r="D7879" s="1"/>
      <c r="F7879" s="1"/>
      <c r="G7879" s="1"/>
      <c r="H7879" s="68"/>
      <c r="I7879" s="76"/>
      <c r="K7879" s="9" t="s">
        <v>3134</v>
      </c>
      <c r="L7879" s="934"/>
      <c r="M7879" s="934"/>
    </row>
    <row r="7880" ht="12.75" hidden="1" customHeight="1" outlineLevel="1">
      <c r="A7880" s="202">
        <v>42313.0</v>
      </c>
      <c r="B7880" s="985" t="s">
        <v>347</v>
      </c>
      <c r="C7880" s="94" t="s">
        <v>1893</v>
      </c>
      <c r="D7880" s="94">
        <v>400.0</v>
      </c>
      <c r="E7880" s="94">
        <v>11.421</v>
      </c>
      <c r="F7880" s="986">
        <v>0.44384259259259257</v>
      </c>
      <c r="G7880" s="94" t="s">
        <v>453</v>
      </c>
      <c r="H7880" s="987">
        <v>1.68</v>
      </c>
      <c r="I7880" s="988" t="s">
        <v>3145</v>
      </c>
      <c r="J7880" s="67">
        <f t="shared" ref="J7880:J7890" si="465">IF(B7880="SLD",D7880*E7880,-D7880*E7880)-H7880</f>
        <v>4566.72</v>
      </c>
      <c r="L7880" s="70"/>
      <c r="M7880" s="934"/>
    </row>
    <row r="7881" ht="12.75" hidden="1" customHeight="1" outlineLevel="1">
      <c r="A7881" s="202">
        <v>42313.0</v>
      </c>
      <c r="B7881" s="985" t="s">
        <v>347</v>
      </c>
      <c r="C7881" s="94" t="s">
        <v>1781</v>
      </c>
      <c r="D7881" s="94">
        <v>300.0</v>
      </c>
      <c r="E7881" s="94">
        <v>7.28</v>
      </c>
      <c r="F7881" s="986">
        <v>0.4489699074074074</v>
      </c>
      <c r="G7881" s="94" t="s">
        <v>453</v>
      </c>
      <c r="H7881" s="987">
        <v>1.24</v>
      </c>
      <c r="I7881" s="988" t="s">
        <v>3145</v>
      </c>
      <c r="J7881" s="67">
        <f t="shared" si="465"/>
        <v>2182.76</v>
      </c>
      <c r="L7881" s="70"/>
      <c r="M7881" s="934"/>
    </row>
    <row r="7882" ht="12.75" hidden="1" customHeight="1" outlineLevel="1">
      <c r="A7882" s="202">
        <v>42314.0</v>
      </c>
      <c r="B7882" s="985" t="s">
        <v>347</v>
      </c>
      <c r="C7882" s="94" t="s">
        <v>1821</v>
      </c>
      <c r="D7882" s="94">
        <v>300.0</v>
      </c>
      <c r="E7882" s="94">
        <v>25.1006</v>
      </c>
      <c r="F7882" s="986">
        <v>0.4002777777777778</v>
      </c>
      <c r="G7882" s="94" t="s">
        <v>453</v>
      </c>
      <c r="H7882" s="987">
        <v>1.34</v>
      </c>
      <c r="I7882" s="988" t="s">
        <v>3145</v>
      </c>
      <c r="J7882" s="67">
        <f t="shared" si="465"/>
        <v>7528.84</v>
      </c>
      <c r="L7882" s="70"/>
      <c r="M7882" s="934"/>
    </row>
    <row r="7883" ht="12.75" hidden="1" customHeight="1" outlineLevel="1">
      <c r="A7883" s="202">
        <v>42314.0</v>
      </c>
      <c r="B7883" s="985" t="s">
        <v>347</v>
      </c>
      <c r="C7883" s="94" t="s">
        <v>2585</v>
      </c>
      <c r="D7883" s="94">
        <v>500.0</v>
      </c>
      <c r="E7883" s="94">
        <v>8.061</v>
      </c>
      <c r="F7883" s="986">
        <v>0.4007175925925926</v>
      </c>
      <c r="G7883" s="94" t="s">
        <v>453</v>
      </c>
      <c r="H7883" s="987">
        <v>2.17</v>
      </c>
      <c r="I7883" s="988" t="s">
        <v>3145</v>
      </c>
      <c r="J7883" s="67">
        <f t="shared" si="465"/>
        <v>4028.33</v>
      </c>
      <c r="L7883" s="70"/>
      <c r="M7883" s="934"/>
    </row>
    <row r="7884" ht="12.75" hidden="1" customHeight="1" outlineLevel="1">
      <c r="A7884" s="202">
        <v>42314.0</v>
      </c>
      <c r="B7884" s="985" t="s">
        <v>347</v>
      </c>
      <c r="C7884" s="94" t="s">
        <v>2585</v>
      </c>
      <c r="D7884" s="286">
        <v>1000.0</v>
      </c>
      <c r="E7884" s="94">
        <v>7.949</v>
      </c>
      <c r="F7884" s="986">
        <v>0.40149305555555553</v>
      </c>
      <c r="G7884" s="94" t="s">
        <v>453</v>
      </c>
      <c r="H7884" s="987">
        <v>4.15</v>
      </c>
      <c r="I7884" s="988" t="s">
        <v>3145</v>
      </c>
      <c r="J7884" s="67">
        <f t="shared" si="465"/>
        <v>7944.85</v>
      </c>
      <c r="L7884" s="70"/>
      <c r="M7884" s="934"/>
    </row>
    <row r="7885" ht="12.75" hidden="1" customHeight="1" outlineLevel="1">
      <c r="A7885" s="202">
        <v>42314.0</v>
      </c>
      <c r="B7885" s="985" t="s">
        <v>347</v>
      </c>
      <c r="C7885" s="94" t="s">
        <v>2585</v>
      </c>
      <c r="D7885" s="286">
        <v>1000.0</v>
      </c>
      <c r="E7885" s="94">
        <v>7.977</v>
      </c>
      <c r="F7885" s="986">
        <v>0.40271990740740743</v>
      </c>
      <c r="G7885" s="94" t="s">
        <v>453</v>
      </c>
      <c r="H7885" s="987">
        <v>4.65</v>
      </c>
      <c r="I7885" s="988" t="s">
        <v>3145</v>
      </c>
      <c r="J7885" s="67">
        <f t="shared" si="465"/>
        <v>7972.35</v>
      </c>
      <c r="L7885" s="70"/>
      <c r="M7885" s="934"/>
    </row>
    <row r="7886" ht="12.75" hidden="1" customHeight="1" outlineLevel="1">
      <c r="A7886" s="202">
        <v>42314.0</v>
      </c>
      <c r="B7886" s="985" t="s">
        <v>347</v>
      </c>
      <c r="C7886" s="94" t="s">
        <v>1345</v>
      </c>
      <c r="D7886" s="94">
        <v>25.0</v>
      </c>
      <c r="E7886" s="94">
        <v>159.4</v>
      </c>
      <c r="F7886" s="986">
        <v>0.40341435185185187</v>
      </c>
      <c r="G7886" s="94" t="s">
        <v>453</v>
      </c>
      <c r="H7886" s="987">
        <v>1.07</v>
      </c>
      <c r="I7886" s="988" t="s">
        <v>3145</v>
      </c>
      <c r="J7886" s="67">
        <f t="shared" si="465"/>
        <v>3983.93</v>
      </c>
      <c r="L7886" s="70"/>
      <c r="M7886" s="934"/>
    </row>
    <row r="7887" ht="12.75" hidden="1" customHeight="1" outlineLevel="1">
      <c r="A7887" s="202">
        <v>42314.0</v>
      </c>
      <c r="B7887" s="985" t="s">
        <v>347</v>
      </c>
      <c r="C7887" s="94" t="s">
        <v>1244</v>
      </c>
      <c r="D7887" s="94">
        <v>35.0</v>
      </c>
      <c r="E7887" s="94">
        <v>107.1201</v>
      </c>
      <c r="F7887" s="986">
        <v>0.40381944444444445</v>
      </c>
      <c r="G7887" s="94" t="s">
        <v>453</v>
      </c>
      <c r="H7887" s="987">
        <v>1.07</v>
      </c>
      <c r="I7887" s="988" t="s">
        <v>3145</v>
      </c>
      <c r="J7887" s="67">
        <f t="shared" si="465"/>
        <v>3748.1335</v>
      </c>
      <c r="L7887" s="70"/>
      <c r="M7887" s="934"/>
    </row>
    <row r="7888" ht="12.75" hidden="1" customHeight="1" outlineLevel="1">
      <c r="A7888" s="202">
        <v>42314.0</v>
      </c>
      <c r="B7888" s="985" t="s">
        <v>347</v>
      </c>
      <c r="C7888" s="94" t="s">
        <v>2342</v>
      </c>
      <c r="D7888" s="94">
        <v>75.0</v>
      </c>
      <c r="E7888" s="94">
        <v>45.01</v>
      </c>
      <c r="F7888" s="986">
        <v>0.4062037037037037</v>
      </c>
      <c r="G7888" s="94" t="s">
        <v>453</v>
      </c>
      <c r="H7888" s="987">
        <v>1.06</v>
      </c>
      <c r="I7888" s="988" t="s">
        <v>3145</v>
      </c>
      <c r="J7888" s="67">
        <f t="shared" si="465"/>
        <v>3374.69</v>
      </c>
      <c r="L7888" s="70"/>
      <c r="M7888" s="934"/>
    </row>
    <row r="7889" ht="12.75" hidden="1" customHeight="1" outlineLevel="1">
      <c r="A7889" s="202">
        <v>42314.0</v>
      </c>
      <c r="B7889" s="985" t="s">
        <v>347</v>
      </c>
      <c r="C7889" s="94" t="s">
        <v>605</v>
      </c>
      <c r="D7889" s="94">
        <v>100.0</v>
      </c>
      <c r="E7889" s="94">
        <v>92.67</v>
      </c>
      <c r="F7889" s="986">
        <v>0.41162037037037036</v>
      </c>
      <c r="G7889" s="94" t="s">
        <v>453</v>
      </c>
      <c r="H7889" s="987">
        <v>1.17</v>
      </c>
      <c r="I7889" s="988" t="s">
        <v>3145</v>
      </c>
      <c r="J7889" s="67">
        <f t="shared" si="465"/>
        <v>9265.83</v>
      </c>
      <c r="L7889" s="70"/>
      <c r="M7889" s="934"/>
    </row>
    <row r="7890" ht="12.75" hidden="1" customHeight="1" outlineLevel="1">
      <c r="A7890" s="202">
        <v>42314.0</v>
      </c>
      <c r="B7890" s="985" t="s">
        <v>343</v>
      </c>
      <c r="C7890" s="94" t="s">
        <v>1357</v>
      </c>
      <c r="D7890" s="94">
        <v>175.0</v>
      </c>
      <c r="E7890" s="94">
        <v>36.5</v>
      </c>
      <c r="F7890" s="986">
        <v>0.6204976851851852</v>
      </c>
      <c r="G7890" s="94" t="s">
        <v>453</v>
      </c>
      <c r="H7890" s="987">
        <v>1.0</v>
      </c>
      <c r="I7890" s="988" t="s">
        <v>3145</v>
      </c>
      <c r="J7890" s="67">
        <f t="shared" si="465"/>
        <v>-6388.5</v>
      </c>
      <c r="L7890" s="70"/>
      <c r="M7890" s="934"/>
    </row>
    <row r="7891" ht="12.75" hidden="1" customHeight="1" outlineLevel="1">
      <c r="A7891" s="122">
        <v>42314.0</v>
      </c>
      <c r="B7891" s="992"/>
      <c r="C7891" s="32" t="s">
        <v>339</v>
      </c>
      <c r="D7891" s="1"/>
      <c r="F7891" s="1"/>
      <c r="G7891" s="1"/>
      <c r="H7891" s="68"/>
      <c r="I7891" s="76"/>
      <c r="K7891" s="201" t="s">
        <v>3189</v>
      </c>
      <c r="L7891" s="934"/>
      <c r="M7891" s="934"/>
    </row>
    <row r="7892" ht="12.75" hidden="1" customHeight="1" outlineLevel="1">
      <c r="A7892" s="122">
        <v>42314.0</v>
      </c>
      <c r="B7892" s="992"/>
      <c r="C7892" s="32" t="s">
        <v>429</v>
      </c>
      <c r="D7892" s="1"/>
      <c r="F7892" s="1"/>
      <c r="G7892" s="1"/>
      <c r="H7892" s="68"/>
      <c r="I7892" s="76"/>
      <c r="K7892" s="9" t="s">
        <v>3187</v>
      </c>
      <c r="L7892" s="934"/>
      <c r="M7892" s="934"/>
    </row>
    <row r="7893" ht="12.75" hidden="1" customHeight="1" outlineLevel="1">
      <c r="A7893" s="122">
        <v>42314.0</v>
      </c>
      <c r="B7893" s="992"/>
      <c r="C7893" s="32" t="s">
        <v>431</v>
      </c>
      <c r="D7893" s="1"/>
      <c r="F7893" s="1"/>
      <c r="G7893" s="1"/>
      <c r="H7893" s="68"/>
      <c r="I7893" s="76"/>
      <c r="K7893" s="7" t="s">
        <v>1126</v>
      </c>
      <c r="L7893" s="934"/>
      <c r="M7893" s="934"/>
    </row>
    <row r="7894" ht="12.75" hidden="1" customHeight="1" outlineLevel="1">
      <c r="A7894" s="122">
        <v>42314.0</v>
      </c>
      <c r="B7894" s="992"/>
      <c r="C7894" s="32" t="s">
        <v>433</v>
      </c>
      <c r="D7894" s="1"/>
      <c r="F7894" s="1"/>
      <c r="G7894" s="1"/>
      <c r="H7894" s="68"/>
      <c r="I7894" s="76"/>
      <c r="K7894" s="7" t="s">
        <v>1103</v>
      </c>
      <c r="L7894" s="934"/>
      <c r="M7894" s="934"/>
    </row>
    <row r="7895" ht="12.75" hidden="1" customHeight="1" outlineLevel="1">
      <c r="A7895" s="122">
        <v>42314.0</v>
      </c>
      <c r="B7895" s="992"/>
      <c r="C7895" s="32" t="s">
        <v>435</v>
      </c>
      <c r="D7895" s="1"/>
      <c r="F7895" s="1"/>
      <c r="G7895" s="1"/>
      <c r="H7895" s="68"/>
      <c r="I7895" s="76"/>
      <c r="K7895" s="9" t="s">
        <v>3134</v>
      </c>
      <c r="L7895" s="934"/>
      <c r="M7895" s="934"/>
    </row>
    <row r="7896" ht="12.75" hidden="1" customHeight="1" outlineLevel="1">
      <c r="A7896" s="122">
        <v>42317.0</v>
      </c>
      <c r="B7896" s="985" t="s">
        <v>347</v>
      </c>
      <c r="C7896" s="94" t="s">
        <v>1902</v>
      </c>
      <c r="D7896" s="94">
        <v>300.0</v>
      </c>
      <c r="E7896" s="94">
        <v>14.71</v>
      </c>
      <c r="F7896" s="986">
        <v>0.648275462962963</v>
      </c>
      <c r="G7896" s="94" t="s">
        <v>453</v>
      </c>
      <c r="H7896" s="987">
        <v>1.58</v>
      </c>
      <c r="I7896" s="988" t="s">
        <v>3145</v>
      </c>
      <c r="J7896" s="67">
        <f>IF(B7896="SLD",D7896*E7896,-D7896*E7896)-H7896</f>
        <v>4411.42</v>
      </c>
      <c r="L7896" s="70"/>
      <c r="M7896" s="934"/>
    </row>
    <row r="7897" ht="12.75" hidden="1" customHeight="1" outlineLevel="1">
      <c r="A7897" s="122">
        <v>42317.0</v>
      </c>
      <c r="B7897" s="992"/>
      <c r="C7897" s="32" t="s">
        <v>339</v>
      </c>
      <c r="D7897" s="1"/>
      <c r="F7897" s="1"/>
      <c r="G7897" s="1"/>
      <c r="H7897" s="68"/>
      <c r="I7897" s="76"/>
      <c r="K7897" s="201" t="s">
        <v>3189</v>
      </c>
      <c r="L7897" s="934"/>
      <c r="M7897" s="934"/>
    </row>
    <row r="7898" ht="12.75" hidden="1" customHeight="1" outlineLevel="1">
      <c r="A7898" s="122">
        <v>42317.0</v>
      </c>
      <c r="B7898" s="992"/>
      <c r="C7898" s="32" t="s">
        <v>429</v>
      </c>
      <c r="D7898" s="1"/>
      <c r="F7898" s="1"/>
      <c r="G7898" s="1"/>
      <c r="H7898" s="68"/>
      <c r="I7898" s="76"/>
      <c r="K7898" s="9" t="s">
        <v>3187</v>
      </c>
      <c r="L7898" s="934"/>
      <c r="M7898" s="934"/>
    </row>
    <row r="7899" ht="12.75" hidden="1" customHeight="1" outlineLevel="1">
      <c r="A7899" s="122">
        <v>42317.0</v>
      </c>
      <c r="B7899" s="992"/>
      <c r="C7899" s="32" t="s">
        <v>431</v>
      </c>
      <c r="D7899" s="1"/>
      <c r="F7899" s="1"/>
      <c r="G7899" s="1"/>
      <c r="H7899" s="68"/>
      <c r="I7899" s="76"/>
      <c r="K7899" s="7" t="s">
        <v>1126</v>
      </c>
      <c r="L7899" s="934"/>
      <c r="M7899" s="934"/>
    </row>
    <row r="7900" ht="12.75" hidden="1" customHeight="1" outlineLevel="1">
      <c r="A7900" s="122">
        <v>42317.0</v>
      </c>
      <c r="B7900" s="992"/>
      <c r="C7900" s="32" t="s">
        <v>433</v>
      </c>
      <c r="D7900" s="1"/>
      <c r="F7900" s="1"/>
      <c r="G7900" s="1"/>
      <c r="H7900" s="68"/>
      <c r="I7900" s="76"/>
      <c r="K7900" s="7" t="s">
        <v>1103</v>
      </c>
      <c r="L7900" s="934"/>
      <c r="M7900" s="934"/>
    </row>
    <row r="7901" ht="12.75" hidden="1" customHeight="1" outlineLevel="1">
      <c r="A7901" s="122">
        <v>42317.0</v>
      </c>
      <c r="B7901" s="992"/>
      <c r="C7901" s="32" t="s">
        <v>435</v>
      </c>
      <c r="D7901" s="1"/>
      <c r="F7901" s="1"/>
      <c r="G7901" s="1"/>
      <c r="H7901" s="68"/>
      <c r="I7901" s="76"/>
      <c r="K7901" s="9" t="s">
        <v>3134</v>
      </c>
      <c r="L7901" s="934"/>
      <c r="M7901" s="934"/>
    </row>
    <row r="7902" ht="12.75" hidden="1" customHeight="1" outlineLevel="1">
      <c r="A7902" s="990">
        <v>42318.0</v>
      </c>
      <c r="B7902" s="985" t="s">
        <v>347</v>
      </c>
      <c r="C7902" s="94" t="s">
        <v>1821</v>
      </c>
      <c r="D7902" s="94">
        <v>100.0</v>
      </c>
      <c r="E7902" s="94">
        <v>24.14</v>
      </c>
      <c r="F7902" s="986">
        <v>0.6218171296296297</v>
      </c>
      <c r="G7902" s="94" t="s">
        <v>453</v>
      </c>
      <c r="H7902" s="987">
        <v>1.04</v>
      </c>
      <c r="I7902" s="988" t="s">
        <v>3145</v>
      </c>
      <c r="J7902" s="67">
        <f t="shared" ref="J7902:J7903" si="466">IF(B7902="SLD",D7902*E7902,-D7902*E7902)-H7902</f>
        <v>2412.96</v>
      </c>
      <c r="L7902" s="70"/>
      <c r="M7902" s="934"/>
    </row>
    <row r="7903" ht="12.75" hidden="1" customHeight="1" outlineLevel="1">
      <c r="A7903" s="990">
        <v>42318.0</v>
      </c>
      <c r="B7903" s="985" t="s">
        <v>347</v>
      </c>
      <c r="C7903" s="94" t="s">
        <v>1905</v>
      </c>
      <c r="D7903" s="94">
        <v>250.0</v>
      </c>
      <c r="E7903" s="94">
        <v>28.601</v>
      </c>
      <c r="F7903" s="986">
        <v>0.6245601851851852</v>
      </c>
      <c r="G7903" s="94" t="s">
        <v>453</v>
      </c>
      <c r="H7903" s="987">
        <v>1.23</v>
      </c>
      <c r="I7903" s="988" t="s">
        <v>3145</v>
      </c>
      <c r="J7903" s="67">
        <f t="shared" si="466"/>
        <v>7149.02</v>
      </c>
      <c r="L7903" s="70"/>
      <c r="M7903" s="934"/>
    </row>
    <row r="7904" ht="12.75" hidden="1" customHeight="1" outlineLevel="1">
      <c r="A7904" s="122">
        <v>42318.0</v>
      </c>
      <c r="B7904" s="992"/>
      <c r="C7904" s="32" t="s">
        <v>339</v>
      </c>
      <c r="D7904" s="1"/>
      <c r="F7904" s="1"/>
      <c r="G7904" s="1"/>
      <c r="H7904" s="68"/>
      <c r="I7904" s="76"/>
      <c r="K7904" s="201" t="s">
        <v>3193</v>
      </c>
      <c r="L7904" s="934"/>
      <c r="M7904" s="934"/>
    </row>
    <row r="7905" ht="12.75" hidden="1" customHeight="1" outlineLevel="1">
      <c r="A7905" s="122">
        <v>42318.0</v>
      </c>
      <c r="B7905" s="992"/>
      <c r="C7905" s="32" t="s">
        <v>429</v>
      </c>
      <c r="D7905" s="1"/>
      <c r="F7905" s="1"/>
      <c r="G7905" s="1"/>
      <c r="H7905" s="68"/>
      <c r="I7905" s="76"/>
      <c r="K7905" s="9" t="s">
        <v>3187</v>
      </c>
      <c r="L7905" s="934"/>
      <c r="M7905" s="934"/>
    </row>
    <row r="7906" ht="12.75" hidden="1" customHeight="1" outlineLevel="1">
      <c r="A7906" s="122">
        <v>42318.0</v>
      </c>
      <c r="B7906" s="992"/>
      <c r="C7906" s="32" t="s">
        <v>431</v>
      </c>
      <c r="D7906" s="1"/>
      <c r="F7906" s="1"/>
      <c r="G7906" s="1"/>
      <c r="H7906" s="68"/>
      <c r="I7906" s="76"/>
      <c r="K7906" s="7" t="s">
        <v>1126</v>
      </c>
      <c r="L7906" s="934"/>
      <c r="M7906" s="934"/>
    </row>
    <row r="7907" ht="12.75" hidden="1" customHeight="1" outlineLevel="1">
      <c r="A7907" s="122">
        <v>42318.0</v>
      </c>
      <c r="B7907" s="992"/>
      <c r="C7907" s="32" t="s">
        <v>433</v>
      </c>
      <c r="D7907" s="1"/>
      <c r="F7907" s="1"/>
      <c r="G7907" s="1"/>
      <c r="H7907" s="68"/>
      <c r="I7907" s="76"/>
      <c r="K7907" s="7" t="s">
        <v>1103</v>
      </c>
      <c r="L7907" s="934"/>
      <c r="M7907" s="934"/>
    </row>
    <row r="7908" ht="12.75" hidden="1" customHeight="1" outlineLevel="1">
      <c r="A7908" s="122">
        <v>42318.0</v>
      </c>
      <c r="B7908" s="992"/>
      <c r="C7908" s="32" t="s">
        <v>435</v>
      </c>
      <c r="D7908" s="1"/>
      <c r="F7908" s="1"/>
      <c r="G7908" s="1"/>
      <c r="H7908" s="68"/>
      <c r="I7908" s="76"/>
      <c r="K7908" s="9" t="s">
        <v>3134</v>
      </c>
      <c r="L7908" s="934"/>
      <c r="M7908" s="934"/>
    </row>
    <row r="7909" ht="12.75" hidden="1" customHeight="1" outlineLevel="1">
      <c r="A7909" s="202">
        <v>42320.0</v>
      </c>
      <c r="B7909" s="985" t="s">
        <v>347</v>
      </c>
      <c r="C7909" s="94" t="s">
        <v>2210</v>
      </c>
      <c r="D7909" s="94">
        <v>50.0</v>
      </c>
      <c r="E7909" s="94">
        <v>65.01</v>
      </c>
      <c r="F7909" s="986">
        <v>0.3970486111111111</v>
      </c>
      <c r="G7909" s="94" t="s">
        <v>453</v>
      </c>
      <c r="H7909" s="987">
        <v>1.06</v>
      </c>
      <c r="I7909" s="988" t="s">
        <v>3145</v>
      </c>
      <c r="J7909" s="67">
        <f t="shared" ref="J7909:J7915" si="467">IF(B7909="SLD",D7909*E7909,-D7909*E7909)-H7909</f>
        <v>3249.44</v>
      </c>
      <c r="L7909" s="70"/>
      <c r="M7909" s="934"/>
    </row>
    <row r="7910" ht="12.75" hidden="1" customHeight="1" outlineLevel="1">
      <c r="A7910" s="202">
        <v>42320.0</v>
      </c>
      <c r="B7910" s="985" t="s">
        <v>347</v>
      </c>
      <c r="C7910" s="94" t="s">
        <v>2048</v>
      </c>
      <c r="D7910" s="94">
        <v>500.0</v>
      </c>
      <c r="E7910" s="94">
        <v>6.12</v>
      </c>
      <c r="F7910" s="986">
        <v>0.39707175925925925</v>
      </c>
      <c r="G7910" s="94" t="s">
        <v>453</v>
      </c>
      <c r="H7910" s="987">
        <v>2.56</v>
      </c>
      <c r="I7910" s="988" t="s">
        <v>3145</v>
      </c>
      <c r="J7910" s="67">
        <f t="shared" si="467"/>
        <v>3057.44</v>
      </c>
      <c r="L7910" s="70"/>
      <c r="M7910" s="934"/>
    </row>
    <row r="7911" ht="12.75" hidden="1" customHeight="1" outlineLevel="1">
      <c r="A7911" s="202">
        <v>42320.0</v>
      </c>
      <c r="B7911" s="985" t="s">
        <v>347</v>
      </c>
      <c r="C7911" s="94" t="s">
        <v>790</v>
      </c>
      <c r="D7911" s="94">
        <v>700.0</v>
      </c>
      <c r="E7911" s="94">
        <v>4.73</v>
      </c>
      <c r="F7911" s="986">
        <v>0.397337962962963</v>
      </c>
      <c r="G7911" s="94" t="s">
        <v>453</v>
      </c>
      <c r="H7911" s="987">
        <v>3.36</v>
      </c>
      <c r="I7911" s="988" t="s">
        <v>3145</v>
      </c>
      <c r="J7911" s="67">
        <f t="shared" si="467"/>
        <v>3307.64</v>
      </c>
      <c r="L7911" s="70"/>
      <c r="M7911" s="934"/>
    </row>
    <row r="7912" ht="12.75" hidden="1" customHeight="1" outlineLevel="1">
      <c r="A7912" s="202">
        <v>42320.0</v>
      </c>
      <c r="B7912" s="985" t="s">
        <v>347</v>
      </c>
      <c r="C7912" s="94" t="s">
        <v>1890</v>
      </c>
      <c r="D7912" s="94">
        <v>200.0</v>
      </c>
      <c r="E7912" s="94">
        <v>16.8602</v>
      </c>
      <c r="F7912" s="986">
        <v>0.3976388888888889</v>
      </c>
      <c r="G7912" s="94" t="s">
        <v>453</v>
      </c>
      <c r="H7912" s="987">
        <v>1.06</v>
      </c>
      <c r="I7912" s="988" t="s">
        <v>3145</v>
      </c>
      <c r="J7912" s="67">
        <f t="shared" si="467"/>
        <v>3370.98</v>
      </c>
      <c r="L7912" s="70"/>
      <c r="M7912" s="934"/>
    </row>
    <row r="7913" ht="12.75" hidden="1" customHeight="1" outlineLevel="1">
      <c r="A7913" s="202">
        <v>42320.0</v>
      </c>
      <c r="B7913" s="985" t="s">
        <v>347</v>
      </c>
      <c r="C7913" s="94" t="s">
        <v>1781</v>
      </c>
      <c r="D7913" s="94">
        <v>500.0</v>
      </c>
      <c r="E7913" s="94">
        <v>7.11</v>
      </c>
      <c r="F7913" s="986">
        <v>0.3978125</v>
      </c>
      <c r="G7913" s="94" t="s">
        <v>453</v>
      </c>
      <c r="H7913" s="987">
        <v>2.17</v>
      </c>
      <c r="I7913" s="988" t="s">
        <v>3145</v>
      </c>
      <c r="J7913" s="67">
        <f t="shared" si="467"/>
        <v>3552.83</v>
      </c>
      <c r="L7913" s="70"/>
      <c r="M7913" s="934"/>
    </row>
    <row r="7914" ht="12.75" hidden="1" customHeight="1" outlineLevel="1">
      <c r="A7914" s="202">
        <v>42320.0</v>
      </c>
      <c r="B7914" s="985" t="s">
        <v>347</v>
      </c>
      <c r="C7914" s="94" t="s">
        <v>784</v>
      </c>
      <c r="D7914" s="286">
        <v>2000.0</v>
      </c>
      <c r="E7914" s="94">
        <v>3.93</v>
      </c>
      <c r="F7914" s="986">
        <v>0.3980324074074074</v>
      </c>
      <c r="G7914" s="94" t="s">
        <v>453</v>
      </c>
      <c r="H7914" s="987">
        <v>9.94</v>
      </c>
      <c r="I7914" s="988" t="s">
        <v>3145</v>
      </c>
      <c r="J7914" s="67">
        <f t="shared" si="467"/>
        <v>7850.06</v>
      </c>
      <c r="L7914" s="70"/>
      <c r="M7914" s="934"/>
    </row>
    <row r="7915" ht="12.75" hidden="1" customHeight="1" outlineLevel="1">
      <c r="A7915" s="202">
        <v>42320.0</v>
      </c>
      <c r="B7915" s="985" t="s">
        <v>347</v>
      </c>
      <c r="C7915" s="94" t="s">
        <v>3024</v>
      </c>
      <c r="D7915" s="94">
        <v>350.0</v>
      </c>
      <c r="E7915" s="94">
        <v>17.53</v>
      </c>
      <c r="F7915" s="986">
        <v>0.3983217592592593</v>
      </c>
      <c r="G7915" s="94" t="s">
        <v>453</v>
      </c>
      <c r="H7915" s="987">
        <v>1.51</v>
      </c>
      <c r="I7915" s="988" t="s">
        <v>3145</v>
      </c>
      <c r="J7915" s="67">
        <f t="shared" si="467"/>
        <v>6133.99</v>
      </c>
      <c r="L7915" s="70"/>
      <c r="M7915" s="934"/>
    </row>
    <row r="7916" ht="12.75" hidden="1" customHeight="1" outlineLevel="1">
      <c r="A7916" s="122">
        <v>42320.0</v>
      </c>
      <c r="B7916" s="992"/>
      <c r="C7916" s="32" t="s">
        <v>339</v>
      </c>
      <c r="D7916" s="1"/>
      <c r="F7916" s="1"/>
      <c r="G7916" s="1"/>
      <c r="H7916" s="68"/>
      <c r="I7916" s="76"/>
      <c r="K7916" s="201" t="s">
        <v>3197</v>
      </c>
      <c r="L7916" s="934"/>
      <c r="M7916" s="934"/>
    </row>
    <row r="7917" ht="12.75" hidden="1" customHeight="1" outlineLevel="1">
      <c r="A7917" s="122">
        <v>42320.0</v>
      </c>
      <c r="B7917" s="992"/>
      <c r="C7917" s="32" t="s">
        <v>429</v>
      </c>
      <c r="D7917" s="1"/>
      <c r="F7917" s="1"/>
      <c r="G7917" s="1"/>
      <c r="H7917" s="68"/>
      <c r="I7917" s="76"/>
      <c r="K7917" s="9" t="s">
        <v>3187</v>
      </c>
      <c r="L7917" s="934"/>
      <c r="M7917" s="934"/>
    </row>
    <row r="7918" ht="12.75" hidden="1" customHeight="1" outlineLevel="1">
      <c r="A7918" s="122">
        <v>42320.0</v>
      </c>
      <c r="B7918" s="992"/>
      <c r="C7918" s="32" t="s">
        <v>431</v>
      </c>
      <c r="D7918" s="1"/>
      <c r="F7918" s="1"/>
      <c r="G7918" s="1"/>
      <c r="H7918" s="68"/>
      <c r="I7918" s="76"/>
      <c r="K7918" s="7" t="s">
        <v>1126</v>
      </c>
      <c r="L7918" s="934"/>
      <c r="M7918" s="934"/>
    </row>
    <row r="7919" ht="12.75" hidden="1" customHeight="1" outlineLevel="1">
      <c r="A7919" s="122">
        <v>42320.0</v>
      </c>
      <c r="B7919" s="992"/>
      <c r="C7919" s="32" t="s">
        <v>433</v>
      </c>
      <c r="D7919" s="1"/>
      <c r="F7919" s="1"/>
      <c r="G7919" s="1"/>
      <c r="H7919" s="68"/>
      <c r="I7919" s="76"/>
      <c r="K7919" s="7" t="s">
        <v>1103</v>
      </c>
      <c r="L7919" s="934"/>
      <c r="M7919" s="934"/>
    </row>
    <row r="7920" ht="12.75" hidden="1" customHeight="1" outlineLevel="1">
      <c r="A7920" s="122">
        <v>42320.0</v>
      </c>
      <c r="B7920" s="992"/>
      <c r="C7920" s="32" t="s">
        <v>435</v>
      </c>
      <c r="D7920" s="1"/>
      <c r="F7920" s="1"/>
      <c r="G7920" s="1"/>
      <c r="H7920" s="68"/>
      <c r="I7920" s="76"/>
      <c r="K7920" s="9" t="s">
        <v>3134</v>
      </c>
      <c r="L7920" s="934"/>
      <c r="M7920" s="934"/>
    </row>
    <row r="7921" ht="12.75" hidden="1" customHeight="1" outlineLevel="1">
      <c r="A7921" s="202">
        <v>42324.0</v>
      </c>
      <c r="B7921" s="985" t="s">
        <v>343</v>
      </c>
      <c r="C7921" s="94" t="s">
        <v>344</v>
      </c>
      <c r="D7921" s="94">
        <v>100.0</v>
      </c>
      <c r="E7921" s="94">
        <v>59.7599</v>
      </c>
      <c r="F7921" s="986">
        <v>0.4118865740740741</v>
      </c>
      <c r="G7921" s="94" t="s">
        <v>453</v>
      </c>
      <c r="H7921" s="987">
        <v>1.0</v>
      </c>
      <c r="I7921" s="988" t="s">
        <v>3145</v>
      </c>
      <c r="J7921" s="67">
        <f t="shared" ref="J7921:J7947" si="468">IF(B7921="SLD",D7921*E7921,-D7921*E7921)-H7921</f>
        <v>-5976.99</v>
      </c>
      <c r="L7921" s="70"/>
      <c r="M7921" s="934"/>
    </row>
    <row r="7922" ht="12.75" hidden="1" customHeight="1" outlineLevel="1">
      <c r="A7922" s="202">
        <v>42324.0</v>
      </c>
      <c r="B7922" s="985" t="s">
        <v>343</v>
      </c>
      <c r="C7922" s="94" t="s">
        <v>1244</v>
      </c>
      <c r="D7922" s="94">
        <v>35.0</v>
      </c>
      <c r="E7922" s="94">
        <v>102.51</v>
      </c>
      <c r="F7922" s="986">
        <v>0.41238425925925926</v>
      </c>
      <c r="G7922" s="94" t="s">
        <v>453</v>
      </c>
      <c r="H7922" s="987">
        <v>1.0</v>
      </c>
      <c r="I7922" s="988" t="s">
        <v>3145</v>
      </c>
      <c r="J7922" s="67">
        <f t="shared" si="468"/>
        <v>-3588.85</v>
      </c>
      <c r="L7922" s="70"/>
      <c r="M7922" s="934"/>
    </row>
    <row r="7923" ht="12.75" hidden="1" customHeight="1" outlineLevel="1">
      <c r="A7923" s="202">
        <v>42324.0</v>
      </c>
      <c r="B7923" s="985" t="s">
        <v>343</v>
      </c>
      <c r="C7923" s="94" t="s">
        <v>1345</v>
      </c>
      <c r="D7923" s="94">
        <v>25.0</v>
      </c>
      <c r="E7923" s="94">
        <v>152.31</v>
      </c>
      <c r="F7923" s="986">
        <v>0.41259259259259257</v>
      </c>
      <c r="G7923" s="94" t="s">
        <v>453</v>
      </c>
      <c r="H7923" s="987">
        <v>1.0</v>
      </c>
      <c r="I7923" s="988" t="s">
        <v>3145</v>
      </c>
      <c r="J7923" s="67">
        <f t="shared" si="468"/>
        <v>-3808.75</v>
      </c>
      <c r="L7923" s="70"/>
      <c r="M7923" s="934"/>
    </row>
    <row r="7924" ht="12.75" hidden="1" customHeight="1" outlineLevel="1">
      <c r="A7924" s="202">
        <v>42324.0</v>
      </c>
      <c r="B7924" s="985" t="s">
        <v>343</v>
      </c>
      <c r="C7924" s="94" t="s">
        <v>2862</v>
      </c>
      <c r="D7924" s="94">
        <v>100.0</v>
      </c>
      <c r="E7924" s="94">
        <v>113.79</v>
      </c>
      <c r="F7924" s="986">
        <v>0.41467592592592595</v>
      </c>
      <c r="G7924" s="94" t="s">
        <v>453</v>
      </c>
      <c r="H7924" s="987">
        <v>1.0</v>
      </c>
      <c r="I7924" s="988" t="s">
        <v>3145</v>
      </c>
      <c r="J7924" s="67">
        <f t="shared" si="468"/>
        <v>-11380</v>
      </c>
      <c r="L7924" s="70"/>
      <c r="M7924" s="934"/>
    </row>
    <row r="7925" ht="12.75" hidden="1" customHeight="1" outlineLevel="1">
      <c r="A7925" s="202">
        <v>42324.0</v>
      </c>
      <c r="B7925" s="985" t="s">
        <v>343</v>
      </c>
      <c r="C7925" s="94" t="s">
        <v>346</v>
      </c>
      <c r="D7925" s="94">
        <v>100.0</v>
      </c>
      <c r="E7925" s="94">
        <v>113.51</v>
      </c>
      <c r="F7925" s="986">
        <v>0.4337152777777778</v>
      </c>
      <c r="G7925" s="94" t="s">
        <v>453</v>
      </c>
      <c r="H7925" s="987">
        <v>1.0</v>
      </c>
      <c r="I7925" s="988" t="s">
        <v>3145</v>
      </c>
      <c r="J7925" s="67">
        <f t="shared" si="468"/>
        <v>-11352</v>
      </c>
      <c r="L7925" s="70"/>
      <c r="M7925" s="934"/>
    </row>
    <row r="7926" ht="12.75" hidden="1" customHeight="1" outlineLevel="1">
      <c r="A7926" s="202">
        <v>42324.0</v>
      </c>
      <c r="B7926" s="985" t="s">
        <v>347</v>
      </c>
      <c r="C7926" s="94" t="s">
        <v>784</v>
      </c>
      <c r="D7926" s="286">
        <v>1500.0</v>
      </c>
      <c r="E7926" s="94">
        <v>3.931</v>
      </c>
      <c r="F7926" s="986">
        <v>0.43644675925925924</v>
      </c>
      <c r="G7926" s="94" t="s">
        <v>453</v>
      </c>
      <c r="H7926" s="987">
        <v>6.11</v>
      </c>
      <c r="I7926" s="988" t="s">
        <v>3145</v>
      </c>
      <c r="J7926" s="67">
        <f t="shared" si="468"/>
        <v>5890.39</v>
      </c>
      <c r="L7926" s="70"/>
      <c r="M7926" s="934"/>
    </row>
    <row r="7927" ht="12.75" hidden="1" customHeight="1" outlineLevel="1">
      <c r="A7927" s="202">
        <v>42324.0</v>
      </c>
      <c r="B7927" s="985" t="s">
        <v>347</v>
      </c>
      <c r="C7927" s="94" t="s">
        <v>3024</v>
      </c>
      <c r="D7927" s="94">
        <v>500.0</v>
      </c>
      <c r="E7927" s="94">
        <v>17.08</v>
      </c>
      <c r="F7927" s="986">
        <v>0.4370949074074074</v>
      </c>
      <c r="G7927" s="94" t="s">
        <v>453</v>
      </c>
      <c r="H7927" s="987">
        <v>2.16</v>
      </c>
      <c r="I7927" s="988" t="s">
        <v>3145</v>
      </c>
      <c r="J7927" s="67">
        <f t="shared" si="468"/>
        <v>8537.84</v>
      </c>
      <c r="L7927" s="70"/>
      <c r="M7927" s="934"/>
    </row>
    <row r="7928" ht="12.75" hidden="1" customHeight="1" outlineLevel="1">
      <c r="A7928" s="202">
        <v>42324.0</v>
      </c>
      <c r="B7928" s="985" t="s">
        <v>347</v>
      </c>
      <c r="C7928" s="94" t="s">
        <v>2048</v>
      </c>
      <c r="D7928" s="286">
        <v>1000.0</v>
      </c>
      <c r="E7928" s="94">
        <v>6.28</v>
      </c>
      <c r="F7928" s="986">
        <v>0.44015046296296295</v>
      </c>
      <c r="G7928" s="94" t="s">
        <v>453</v>
      </c>
      <c r="H7928" s="987">
        <v>5.12</v>
      </c>
      <c r="I7928" s="988" t="s">
        <v>3145</v>
      </c>
      <c r="J7928" s="67">
        <f t="shared" si="468"/>
        <v>6274.88</v>
      </c>
      <c r="L7928" s="70"/>
      <c r="M7928" s="934"/>
    </row>
    <row r="7929" ht="12.75" hidden="1" customHeight="1" outlineLevel="1">
      <c r="A7929" s="202">
        <v>42324.0</v>
      </c>
      <c r="B7929" s="985" t="s">
        <v>347</v>
      </c>
      <c r="C7929" s="94" t="s">
        <v>2090</v>
      </c>
      <c r="D7929" s="286">
        <v>1500.0</v>
      </c>
      <c r="E7929" s="94">
        <v>4.471</v>
      </c>
      <c r="F7929" s="986">
        <v>0.46435185185185185</v>
      </c>
      <c r="G7929" s="94" t="s">
        <v>453</v>
      </c>
      <c r="H7929" s="987">
        <v>6.12</v>
      </c>
      <c r="I7929" s="988" t="s">
        <v>3145</v>
      </c>
      <c r="J7929" s="67">
        <f t="shared" si="468"/>
        <v>6700.38</v>
      </c>
      <c r="L7929" s="70"/>
      <c r="M7929" s="934"/>
    </row>
    <row r="7930" ht="12.75" hidden="1" customHeight="1" outlineLevel="1">
      <c r="A7930" s="202">
        <v>42324.0</v>
      </c>
      <c r="B7930" s="985" t="s">
        <v>347</v>
      </c>
      <c r="C7930" s="94" t="s">
        <v>2210</v>
      </c>
      <c r="D7930" s="94">
        <v>100.0</v>
      </c>
      <c r="E7930" s="94">
        <v>61.36</v>
      </c>
      <c r="F7930" s="986">
        <v>0.47043981481481484</v>
      </c>
      <c r="G7930" s="94" t="s">
        <v>453</v>
      </c>
      <c r="H7930" s="987">
        <v>1.11</v>
      </c>
      <c r="I7930" s="988" t="s">
        <v>3145</v>
      </c>
      <c r="J7930" s="67">
        <f t="shared" si="468"/>
        <v>6134.89</v>
      </c>
      <c r="L7930" s="70"/>
      <c r="M7930" s="934"/>
    </row>
    <row r="7931" ht="12.75" hidden="1" customHeight="1" outlineLevel="1">
      <c r="A7931" s="202">
        <v>42324.0</v>
      </c>
      <c r="B7931" s="985" t="s">
        <v>343</v>
      </c>
      <c r="C7931" s="94" t="s">
        <v>2342</v>
      </c>
      <c r="D7931" s="94">
        <v>50.0</v>
      </c>
      <c r="E7931" s="94">
        <v>49.87</v>
      </c>
      <c r="F7931" s="986">
        <v>0.5048032407407408</v>
      </c>
      <c r="G7931" s="94" t="s">
        <v>453</v>
      </c>
      <c r="H7931" s="987">
        <v>1.0</v>
      </c>
      <c r="I7931" s="988" t="s">
        <v>3145</v>
      </c>
      <c r="J7931" s="67">
        <f t="shared" si="468"/>
        <v>-2494.5</v>
      </c>
      <c r="L7931" s="70"/>
      <c r="M7931" s="934"/>
    </row>
    <row r="7932" ht="12.75" hidden="1" customHeight="1" outlineLevel="1">
      <c r="A7932" s="202">
        <v>42325.0</v>
      </c>
      <c r="B7932" s="985" t="s">
        <v>347</v>
      </c>
      <c r="C7932" s="94" t="s">
        <v>1633</v>
      </c>
      <c r="D7932" s="94">
        <v>700.0</v>
      </c>
      <c r="E7932" s="94">
        <v>7.696</v>
      </c>
      <c r="F7932" s="986">
        <v>0.4030324074074074</v>
      </c>
      <c r="G7932" s="94" t="s">
        <v>453</v>
      </c>
      <c r="H7932" s="987">
        <v>3.4</v>
      </c>
      <c r="I7932" s="988" t="s">
        <v>3145</v>
      </c>
      <c r="J7932" s="67">
        <f t="shared" si="468"/>
        <v>5383.8</v>
      </c>
      <c r="L7932" s="70"/>
      <c r="M7932" s="934"/>
    </row>
    <row r="7933" ht="12.75" hidden="1" customHeight="1" outlineLevel="1">
      <c r="A7933" s="202">
        <v>42325.0</v>
      </c>
      <c r="B7933" s="985" t="s">
        <v>347</v>
      </c>
      <c r="C7933" s="94" t="s">
        <v>1905</v>
      </c>
      <c r="D7933" s="94">
        <v>250.0</v>
      </c>
      <c r="E7933" s="94">
        <v>28.778</v>
      </c>
      <c r="F7933" s="986">
        <v>0.420775462962963</v>
      </c>
      <c r="G7933" s="94" t="s">
        <v>453</v>
      </c>
      <c r="H7933" s="987">
        <v>1.13</v>
      </c>
      <c r="I7933" s="988" t="s">
        <v>3145</v>
      </c>
      <c r="J7933" s="67">
        <f t="shared" si="468"/>
        <v>7193.37</v>
      </c>
      <c r="L7933" s="70"/>
      <c r="M7933" s="934"/>
    </row>
    <row r="7934" ht="12.75" hidden="1" customHeight="1" outlineLevel="1">
      <c r="A7934" s="202">
        <v>42325.0</v>
      </c>
      <c r="B7934" s="985" t="s">
        <v>347</v>
      </c>
      <c r="C7934" s="94" t="s">
        <v>1947</v>
      </c>
      <c r="D7934" s="94">
        <v>150.0</v>
      </c>
      <c r="E7934" s="94">
        <v>48.87</v>
      </c>
      <c r="F7934" s="986">
        <v>0.42105324074074074</v>
      </c>
      <c r="G7934" s="94" t="s">
        <v>453</v>
      </c>
      <c r="H7934" s="987">
        <v>1.13</v>
      </c>
      <c r="I7934" s="988" t="s">
        <v>3145</v>
      </c>
      <c r="J7934" s="67">
        <f t="shared" si="468"/>
        <v>7329.37</v>
      </c>
      <c r="L7934" s="70"/>
      <c r="M7934" s="934"/>
    </row>
    <row r="7935" ht="12.75" hidden="1" customHeight="1" outlineLevel="1">
      <c r="A7935" s="202">
        <v>42325.0</v>
      </c>
      <c r="B7935" s="985" t="s">
        <v>347</v>
      </c>
      <c r="C7935" s="94" t="s">
        <v>1821</v>
      </c>
      <c r="D7935" s="94">
        <v>300.0</v>
      </c>
      <c r="E7935" s="94">
        <v>24.4303</v>
      </c>
      <c r="F7935" s="986">
        <v>0.5018287037037037</v>
      </c>
      <c r="G7935" s="94" t="s">
        <v>453</v>
      </c>
      <c r="H7935" s="987">
        <v>1.33</v>
      </c>
      <c r="I7935" s="988" t="s">
        <v>3145</v>
      </c>
      <c r="J7935" s="67">
        <f t="shared" si="468"/>
        <v>7327.76</v>
      </c>
      <c r="L7935" s="70"/>
      <c r="M7935" s="934"/>
    </row>
    <row r="7936" ht="12.75" hidden="1" customHeight="1" outlineLevel="1">
      <c r="A7936" s="202">
        <v>42325.0</v>
      </c>
      <c r="B7936" s="985" t="s">
        <v>347</v>
      </c>
      <c r="C7936" s="94" t="s">
        <v>2210</v>
      </c>
      <c r="D7936" s="94">
        <v>100.0</v>
      </c>
      <c r="E7936" s="94">
        <v>62.48</v>
      </c>
      <c r="F7936" s="986">
        <v>0.5021527777777778</v>
      </c>
      <c r="G7936" s="94" t="s">
        <v>453</v>
      </c>
      <c r="H7936" s="987">
        <v>1.11</v>
      </c>
      <c r="I7936" s="988" t="s">
        <v>3145</v>
      </c>
      <c r="J7936" s="67">
        <f t="shared" si="468"/>
        <v>6246.89</v>
      </c>
      <c r="L7936" s="70"/>
      <c r="M7936" s="934"/>
    </row>
    <row r="7937" ht="12.75" hidden="1" customHeight="1" outlineLevel="1">
      <c r="A7937" s="202">
        <v>42325.0</v>
      </c>
      <c r="B7937" s="985" t="s">
        <v>347</v>
      </c>
      <c r="C7937" s="94" t="s">
        <v>3024</v>
      </c>
      <c r="D7937" s="94">
        <v>500.0</v>
      </c>
      <c r="E7937" s="94">
        <v>16.791</v>
      </c>
      <c r="F7937" s="986">
        <v>0.5027777777777778</v>
      </c>
      <c r="G7937" s="94" t="s">
        <v>453</v>
      </c>
      <c r="H7937" s="987">
        <v>2.25</v>
      </c>
      <c r="I7937" s="988" t="s">
        <v>3145</v>
      </c>
      <c r="J7937" s="67">
        <f t="shared" si="468"/>
        <v>8393.25</v>
      </c>
      <c r="L7937" s="70"/>
      <c r="M7937" s="934"/>
    </row>
    <row r="7938" ht="12.75" hidden="1" customHeight="1" outlineLevel="1">
      <c r="A7938" s="202">
        <v>42325.0</v>
      </c>
      <c r="B7938" s="985" t="s">
        <v>347</v>
      </c>
      <c r="C7938" s="94" t="s">
        <v>1821</v>
      </c>
      <c r="D7938" s="94">
        <v>300.0</v>
      </c>
      <c r="E7938" s="94">
        <v>24.39</v>
      </c>
      <c r="F7938" s="986">
        <v>0.5077893518518518</v>
      </c>
      <c r="G7938" s="94" t="s">
        <v>453</v>
      </c>
      <c r="H7938" s="987">
        <v>1.53</v>
      </c>
      <c r="I7938" s="988" t="s">
        <v>3145</v>
      </c>
      <c r="J7938" s="67">
        <f t="shared" si="468"/>
        <v>7315.47</v>
      </c>
      <c r="L7938" s="70"/>
      <c r="M7938" s="934"/>
    </row>
    <row r="7939" ht="12.75" hidden="1" customHeight="1" outlineLevel="1">
      <c r="A7939" s="202">
        <v>42325.0</v>
      </c>
      <c r="B7939" s="985" t="s">
        <v>347</v>
      </c>
      <c r="C7939" s="94" t="s">
        <v>1905</v>
      </c>
      <c r="D7939" s="94">
        <v>150.0</v>
      </c>
      <c r="E7939" s="94">
        <v>29.161</v>
      </c>
      <c r="F7939" s="986">
        <v>0.5086689814814814</v>
      </c>
      <c r="G7939" s="94" t="s">
        <v>453</v>
      </c>
      <c r="H7939" s="987">
        <v>1.08</v>
      </c>
      <c r="I7939" s="988" t="s">
        <v>3145</v>
      </c>
      <c r="J7939" s="67">
        <f t="shared" si="468"/>
        <v>4373.07</v>
      </c>
      <c r="L7939" s="70"/>
      <c r="M7939" s="934"/>
    </row>
    <row r="7940" ht="12.75" hidden="1" customHeight="1" outlineLevel="1">
      <c r="A7940" s="202">
        <v>42325.0</v>
      </c>
      <c r="B7940" s="985" t="s">
        <v>347</v>
      </c>
      <c r="C7940" s="94" t="s">
        <v>1947</v>
      </c>
      <c r="D7940" s="94">
        <v>150.0</v>
      </c>
      <c r="E7940" s="94">
        <v>48.43</v>
      </c>
      <c r="F7940" s="986">
        <v>0.5090740740740741</v>
      </c>
      <c r="G7940" s="94" t="s">
        <v>453</v>
      </c>
      <c r="H7940" s="987">
        <v>1.13</v>
      </c>
      <c r="I7940" s="988" t="s">
        <v>3145</v>
      </c>
      <c r="J7940" s="67">
        <f t="shared" si="468"/>
        <v>7263.37</v>
      </c>
      <c r="L7940" s="70"/>
      <c r="M7940" s="934"/>
    </row>
    <row r="7941" ht="12.75" hidden="1" customHeight="1" outlineLevel="1">
      <c r="A7941" s="202">
        <v>42325.0</v>
      </c>
      <c r="B7941" s="985" t="s">
        <v>347</v>
      </c>
      <c r="C7941" s="94" t="s">
        <v>1781</v>
      </c>
      <c r="D7941" s="94">
        <v>600.0</v>
      </c>
      <c r="E7941" s="94">
        <v>7.08</v>
      </c>
      <c r="F7941" s="986">
        <v>0.6200694444444445</v>
      </c>
      <c r="G7941" s="94" t="s">
        <v>453</v>
      </c>
      <c r="H7941" s="987">
        <v>2.48</v>
      </c>
      <c r="I7941" s="988" t="s">
        <v>3145</v>
      </c>
      <c r="J7941" s="67">
        <f t="shared" si="468"/>
        <v>4245.52</v>
      </c>
      <c r="L7941" s="70"/>
      <c r="M7941" s="934"/>
    </row>
    <row r="7942" ht="12.75" hidden="1" customHeight="1" outlineLevel="1">
      <c r="A7942" s="202">
        <v>42325.0</v>
      </c>
      <c r="B7942" s="985" t="s">
        <v>347</v>
      </c>
      <c r="C7942" s="94" t="s">
        <v>2048</v>
      </c>
      <c r="D7942" s="286">
        <v>1000.0</v>
      </c>
      <c r="E7942" s="94">
        <v>6.03</v>
      </c>
      <c r="F7942" s="986">
        <v>0.6209953703703703</v>
      </c>
      <c r="G7942" s="94" t="s">
        <v>453</v>
      </c>
      <c r="H7942" s="987">
        <v>4.99</v>
      </c>
      <c r="I7942" s="988" t="s">
        <v>3145</v>
      </c>
      <c r="J7942" s="67">
        <f t="shared" si="468"/>
        <v>6025.01</v>
      </c>
      <c r="L7942" s="70"/>
      <c r="M7942" s="934"/>
    </row>
    <row r="7943" ht="12.75" hidden="1" customHeight="1" outlineLevel="1">
      <c r="A7943" s="202">
        <v>42325.0</v>
      </c>
      <c r="B7943" s="985" t="s">
        <v>347</v>
      </c>
      <c r="C7943" s="94" t="s">
        <v>1890</v>
      </c>
      <c r="D7943" s="94">
        <v>300.0</v>
      </c>
      <c r="E7943" s="94">
        <v>17.231</v>
      </c>
      <c r="F7943" s="986">
        <v>0.6214351851851851</v>
      </c>
      <c r="G7943" s="94" t="s">
        <v>453</v>
      </c>
      <c r="H7943" s="987">
        <v>1.3</v>
      </c>
      <c r="I7943" s="988" t="s">
        <v>3145</v>
      </c>
      <c r="J7943" s="67">
        <f t="shared" si="468"/>
        <v>5168</v>
      </c>
      <c r="L7943" s="70"/>
      <c r="M7943" s="934"/>
    </row>
    <row r="7944" ht="12.75" hidden="1" customHeight="1" outlineLevel="1">
      <c r="A7944" s="202">
        <v>42325.0</v>
      </c>
      <c r="B7944" s="985" t="s">
        <v>347</v>
      </c>
      <c r="C7944" s="94" t="s">
        <v>790</v>
      </c>
      <c r="D7944" s="286">
        <v>1900.0</v>
      </c>
      <c r="E7944" s="94">
        <v>4.892</v>
      </c>
      <c r="F7944" s="986">
        <v>0.6221180555555555</v>
      </c>
      <c r="G7944" s="94" t="s">
        <v>453</v>
      </c>
      <c r="H7944" s="987">
        <v>9.67</v>
      </c>
      <c r="I7944" s="988" t="s">
        <v>3145</v>
      </c>
      <c r="J7944" s="67">
        <f t="shared" si="468"/>
        <v>9285.13</v>
      </c>
      <c r="L7944" s="70"/>
      <c r="M7944" s="934"/>
    </row>
    <row r="7945" ht="12.75" hidden="1" customHeight="1" outlineLevel="1">
      <c r="A7945" s="202">
        <v>42325.0</v>
      </c>
      <c r="B7945" s="985" t="s">
        <v>347</v>
      </c>
      <c r="C7945" s="94" t="s">
        <v>2048</v>
      </c>
      <c r="D7945" s="286">
        <v>3500.0</v>
      </c>
      <c r="E7945" s="94">
        <v>5.981</v>
      </c>
      <c r="F7945" s="986">
        <v>0.6303935185185185</v>
      </c>
      <c r="G7945" s="94" t="s">
        <v>453</v>
      </c>
      <c r="H7945" s="987">
        <v>14.39</v>
      </c>
      <c r="I7945" s="988" t="s">
        <v>3145</v>
      </c>
      <c r="J7945" s="67">
        <f t="shared" si="468"/>
        <v>20919.11</v>
      </c>
      <c r="L7945" s="70"/>
      <c r="M7945" s="934"/>
    </row>
    <row r="7946" ht="12.75" hidden="1" customHeight="1" outlineLevel="1">
      <c r="A7946" s="202">
        <v>42325.0</v>
      </c>
      <c r="B7946" s="985" t="s">
        <v>347</v>
      </c>
      <c r="C7946" s="94" t="s">
        <v>1821</v>
      </c>
      <c r="D7946" s="94">
        <v>300.0</v>
      </c>
      <c r="E7946" s="94">
        <v>23.62</v>
      </c>
      <c r="F7946" s="986">
        <v>0.6421412037037038</v>
      </c>
      <c r="G7946" s="94" t="s">
        <v>453</v>
      </c>
      <c r="H7946" s="987">
        <v>1.63</v>
      </c>
      <c r="I7946" s="988" t="s">
        <v>3145</v>
      </c>
      <c r="J7946" s="67">
        <f t="shared" si="468"/>
        <v>7084.37</v>
      </c>
      <c r="L7946" s="70"/>
      <c r="M7946" s="934"/>
    </row>
    <row r="7947" ht="12.75" hidden="1" customHeight="1" outlineLevel="1">
      <c r="A7947" s="202">
        <v>42325.0</v>
      </c>
      <c r="B7947" s="985" t="s">
        <v>347</v>
      </c>
      <c r="C7947" s="94" t="s">
        <v>1905</v>
      </c>
      <c r="D7947" s="94">
        <v>200.0</v>
      </c>
      <c r="E7947" s="94">
        <v>28.4111</v>
      </c>
      <c r="F7947" s="986">
        <v>0.644074074074074</v>
      </c>
      <c r="G7947" s="94" t="s">
        <v>453</v>
      </c>
      <c r="H7947" s="987">
        <v>1.1</v>
      </c>
      <c r="I7947" s="988" t="s">
        <v>3145</v>
      </c>
      <c r="J7947" s="67">
        <f t="shared" si="468"/>
        <v>5681.12</v>
      </c>
      <c r="L7947" s="70"/>
      <c r="M7947" s="934"/>
    </row>
    <row r="7948" ht="12.75" hidden="1" customHeight="1" outlineLevel="1">
      <c r="A7948" s="122">
        <v>42325.0</v>
      </c>
      <c r="B7948" s="992"/>
      <c r="C7948" s="32" t="s">
        <v>339</v>
      </c>
      <c r="D7948" s="1"/>
      <c r="F7948" s="1"/>
      <c r="G7948" s="1"/>
      <c r="H7948" s="68"/>
      <c r="I7948" s="76"/>
      <c r="K7948" s="201" t="s">
        <v>3207</v>
      </c>
      <c r="L7948" s="934"/>
      <c r="M7948" s="934"/>
    </row>
    <row r="7949" ht="12.75" hidden="1" customHeight="1" outlineLevel="1">
      <c r="A7949" s="122">
        <v>42325.0</v>
      </c>
      <c r="B7949" s="992"/>
      <c r="C7949" s="32" t="s">
        <v>429</v>
      </c>
      <c r="D7949" s="1"/>
      <c r="F7949" s="1"/>
      <c r="G7949" s="1"/>
      <c r="H7949" s="68"/>
      <c r="I7949" s="76"/>
      <c r="K7949" s="9" t="s">
        <v>3187</v>
      </c>
      <c r="L7949" s="934"/>
      <c r="M7949" s="934"/>
    </row>
    <row r="7950" ht="12.75" hidden="1" customHeight="1" outlineLevel="1">
      <c r="A7950" s="122">
        <v>42325.0</v>
      </c>
      <c r="B7950" s="992"/>
      <c r="C7950" s="32" t="s">
        <v>431</v>
      </c>
      <c r="D7950" s="1"/>
      <c r="F7950" s="1"/>
      <c r="G7950" s="1"/>
      <c r="H7950" s="68"/>
      <c r="I7950" s="76"/>
      <c r="K7950" s="7" t="s">
        <v>1126</v>
      </c>
      <c r="L7950" s="934"/>
      <c r="M7950" s="934"/>
    </row>
    <row r="7951" ht="12.75" hidden="1" customHeight="1" outlineLevel="1">
      <c r="A7951" s="122">
        <v>42325.0</v>
      </c>
      <c r="B7951" s="992"/>
      <c r="C7951" s="32" t="s">
        <v>433</v>
      </c>
      <c r="D7951" s="1"/>
      <c r="F7951" s="1"/>
      <c r="G7951" s="1"/>
      <c r="H7951" s="68"/>
      <c r="I7951" s="76"/>
      <c r="K7951" s="7" t="s">
        <v>1103</v>
      </c>
      <c r="L7951" s="934"/>
      <c r="M7951" s="934"/>
    </row>
    <row r="7952" ht="12.75" hidden="1" customHeight="1" outlineLevel="1">
      <c r="A7952" s="122">
        <v>42325.0</v>
      </c>
      <c r="B7952" s="992"/>
      <c r="C7952" s="32" t="s">
        <v>435</v>
      </c>
      <c r="D7952" s="1"/>
      <c r="F7952" s="1"/>
      <c r="G7952" s="1"/>
      <c r="H7952" s="68"/>
      <c r="I7952" s="76"/>
      <c r="K7952" s="9" t="s">
        <v>3134</v>
      </c>
      <c r="L7952" s="934"/>
      <c r="M7952" s="934"/>
    </row>
    <row r="7953" ht="12.75" hidden="1" customHeight="1" outlineLevel="1">
      <c r="A7953" s="202">
        <v>42326.0</v>
      </c>
      <c r="B7953" s="985" t="s">
        <v>343</v>
      </c>
      <c r="C7953" s="94" t="s">
        <v>346</v>
      </c>
      <c r="D7953" s="94">
        <v>50.0</v>
      </c>
      <c r="E7953" s="94">
        <v>117.08</v>
      </c>
      <c r="F7953" s="986">
        <v>0.43527777777777776</v>
      </c>
      <c r="G7953" s="94" t="s">
        <v>453</v>
      </c>
      <c r="H7953" s="987">
        <v>1.0</v>
      </c>
      <c r="I7953" s="988" t="s">
        <v>3145</v>
      </c>
      <c r="J7953" s="67">
        <f t="shared" ref="J7953:J7957" si="469">IF(B7953="SLD",D7953*E7953,-D7953*E7953)-H7953</f>
        <v>-5855</v>
      </c>
      <c r="L7953" s="70"/>
      <c r="M7953" s="934"/>
    </row>
    <row r="7954" ht="12.75" hidden="1" customHeight="1" outlineLevel="1">
      <c r="A7954" s="202">
        <v>42326.0</v>
      </c>
      <c r="B7954" s="985" t="s">
        <v>347</v>
      </c>
      <c r="C7954" s="94" t="s">
        <v>2084</v>
      </c>
      <c r="D7954" s="286">
        <v>2100.0</v>
      </c>
      <c r="E7954" s="94">
        <v>10.411</v>
      </c>
      <c r="F7954" s="986">
        <v>0.6181134259259259</v>
      </c>
      <c r="G7954" s="94" t="s">
        <v>453</v>
      </c>
      <c r="H7954" s="987">
        <v>8.9</v>
      </c>
      <c r="I7954" s="988" t="s">
        <v>3145</v>
      </c>
      <c r="J7954" s="67">
        <f t="shared" si="469"/>
        <v>21854.2</v>
      </c>
      <c r="L7954" s="70"/>
      <c r="M7954" s="934"/>
    </row>
    <row r="7955" ht="12.75" hidden="1" customHeight="1" outlineLevel="1">
      <c r="A7955" s="202">
        <v>42327.0</v>
      </c>
      <c r="B7955" s="985" t="s">
        <v>347</v>
      </c>
      <c r="C7955" s="94" t="s">
        <v>1893</v>
      </c>
      <c r="D7955" s="286">
        <v>2000.0</v>
      </c>
      <c r="E7955" s="94">
        <v>8.6701</v>
      </c>
      <c r="F7955" s="986">
        <v>0.3987037037037037</v>
      </c>
      <c r="G7955" s="94" t="s">
        <v>453</v>
      </c>
      <c r="H7955" s="987">
        <v>8.32</v>
      </c>
      <c r="I7955" s="988" t="s">
        <v>3145</v>
      </c>
      <c r="J7955" s="67">
        <f t="shared" si="469"/>
        <v>17331.88</v>
      </c>
      <c r="L7955" s="70"/>
      <c r="M7955" s="934"/>
    </row>
    <row r="7956" ht="12.75" hidden="1" customHeight="1" outlineLevel="1">
      <c r="A7956" s="202">
        <v>42327.0</v>
      </c>
      <c r="B7956" s="985" t="s">
        <v>347</v>
      </c>
      <c r="C7956" s="94" t="s">
        <v>2090</v>
      </c>
      <c r="D7956" s="286">
        <v>2000.0</v>
      </c>
      <c r="E7956" s="94">
        <v>4.593</v>
      </c>
      <c r="F7956" s="986">
        <v>0.4287152777777778</v>
      </c>
      <c r="G7956" s="94" t="s">
        <v>453</v>
      </c>
      <c r="H7956" s="987">
        <v>9.67</v>
      </c>
      <c r="I7956" s="988" t="s">
        <v>3145</v>
      </c>
      <c r="J7956" s="67">
        <f t="shared" si="469"/>
        <v>9176.33</v>
      </c>
      <c r="L7956" s="70"/>
      <c r="M7956" s="934"/>
    </row>
    <row r="7957" ht="12.75" hidden="1" customHeight="1" outlineLevel="1">
      <c r="A7957" s="202">
        <v>42327.0</v>
      </c>
      <c r="B7957" s="985" t="s">
        <v>347</v>
      </c>
      <c r="C7957" s="94" t="s">
        <v>784</v>
      </c>
      <c r="D7957" s="286">
        <v>2000.0</v>
      </c>
      <c r="E7957" s="94">
        <v>3.873</v>
      </c>
      <c r="F7957" s="986">
        <v>0.47020833333333334</v>
      </c>
      <c r="G7957" s="94" t="s">
        <v>453</v>
      </c>
      <c r="H7957" s="987">
        <v>9.34</v>
      </c>
      <c r="I7957" s="988" t="s">
        <v>3145</v>
      </c>
      <c r="J7957" s="67">
        <f t="shared" si="469"/>
        <v>7736.66</v>
      </c>
      <c r="L7957" s="70"/>
      <c r="M7957" s="934"/>
    </row>
    <row r="7958" ht="12.75" hidden="1" customHeight="1" outlineLevel="1">
      <c r="A7958" s="122">
        <v>42327.0</v>
      </c>
      <c r="B7958" s="992"/>
      <c r="C7958" s="32" t="s">
        <v>339</v>
      </c>
      <c r="D7958" s="1"/>
      <c r="F7958" s="1"/>
      <c r="G7958" s="1"/>
      <c r="H7958" s="68"/>
      <c r="I7958" s="76"/>
      <c r="K7958" s="201" t="s">
        <v>3212</v>
      </c>
      <c r="L7958" s="934"/>
      <c r="M7958" s="934"/>
    </row>
    <row r="7959" ht="12.75" hidden="1" customHeight="1" outlineLevel="1">
      <c r="A7959" s="122">
        <v>42327.0</v>
      </c>
      <c r="B7959" s="992"/>
      <c r="C7959" s="32" t="s">
        <v>429</v>
      </c>
      <c r="D7959" s="1"/>
      <c r="F7959" s="1"/>
      <c r="G7959" s="1"/>
      <c r="H7959" s="68"/>
      <c r="I7959" s="76"/>
      <c r="K7959" s="9" t="s">
        <v>3187</v>
      </c>
      <c r="L7959" s="934"/>
      <c r="M7959" s="934"/>
    </row>
    <row r="7960" ht="12.75" hidden="1" customHeight="1" outlineLevel="1">
      <c r="A7960" s="122">
        <v>42327.0</v>
      </c>
      <c r="B7960" s="992"/>
      <c r="C7960" s="32" t="s">
        <v>431</v>
      </c>
      <c r="D7960" s="1"/>
      <c r="F7960" s="1"/>
      <c r="G7960" s="1"/>
      <c r="H7960" s="68"/>
      <c r="I7960" s="76"/>
      <c r="K7960" s="7" t="s">
        <v>1126</v>
      </c>
      <c r="L7960" s="934"/>
      <c r="M7960" s="934"/>
    </row>
    <row r="7961" ht="12.75" hidden="1" customHeight="1" outlineLevel="1">
      <c r="A7961" s="122">
        <v>42327.0</v>
      </c>
      <c r="B7961" s="992"/>
      <c r="C7961" s="32" t="s">
        <v>433</v>
      </c>
      <c r="D7961" s="1"/>
      <c r="F7961" s="1"/>
      <c r="G7961" s="1"/>
      <c r="H7961" s="68"/>
      <c r="I7961" s="76"/>
      <c r="K7961" s="7" t="s">
        <v>1103</v>
      </c>
      <c r="L7961" s="934"/>
      <c r="M7961" s="934"/>
    </row>
    <row r="7962" ht="12.75" hidden="1" customHeight="1" outlineLevel="1">
      <c r="A7962" s="122">
        <v>42327.0</v>
      </c>
      <c r="B7962" s="992"/>
      <c r="C7962" s="32" t="s">
        <v>435</v>
      </c>
      <c r="D7962" s="1"/>
      <c r="F7962" s="1"/>
      <c r="G7962" s="1"/>
      <c r="H7962" s="68"/>
      <c r="I7962" s="76"/>
      <c r="K7962" s="9" t="s">
        <v>3134</v>
      </c>
      <c r="L7962" s="934"/>
      <c r="M7962" s="934"/>
    </row>
    <row r="7963" ht="12.75" hidden="1" customHeight="1" outlineLevel="1">
      <c r="A7963" s="202">
        <v>42328.0</v>
      </c>
      <c r="B7963" s="985" t="s">
        <v>347</v>
      </c>
      <c r="C7963" s="94" t="s">
        <v>2210</v>
      </c>
      <c r="D7963" s="94">
        <v>150.0</v>
      </c>
      <c r="E7963" s="94">
        <v>59.7505</v>
      </c>
      <c r="F7963" s="986">
        <v>0.6213194444444444</v>
      </c>
      <c r="G7963" s="94" t="s">
        <v>453</v>
      </c>
      <c r="H7963" s="987">
        <v>1.16</v>
      </c>
      <c r="I7963" s="988" t="s">
        <v>3145</v>
      </c>
      <c r="J7963" s="67">
        <f t="shared" ref="J7963:J7971" si="470">IF(B7963="SLD",D7963*E7963,-D7963*E7963)-H7963</f>
        <v>8961.415</v>
      </c>
      <c r="L7963" s="70"/>
      <c r="M7963" s="934"/>
    </row>
    <row r="7964" ht="12.75" hidden="1" customHeight="1" outlineLevel="1">
      <c r="A7964" s="202">
        <v>42328.0</v>
      </c>
      <c r="B7964" s="985" t="s">
        <v>347</v>
      </c>
      <c r="C7964" s="94" t="s">
        <v>3024</v>
      </c>
      <c r="D7964" s="94">
        <v>500.0</v>
      </c>
      <c r="E7964" s="94">
        <v>16.04</v>
      </c>
      <c r="F7964" s="986">
        <v>0.6221412037037037</v>
      </c>
      <c r="G7964" s="94" t="s">
        <v>453</v>
      </c>
      <c r="H7964" s="987">
        <v>2.45</v>
      </c>
      <c r="I7964" s="988" t="s">
        <v>3145</v>
      </c>
      <c r="J7964" s="67">
        <f t="shared" si="470"/>
        <v>8017.55</v>
      </c>
      <c r="L7964" s="70"/>
      <c r="M7964" s="934"/>
    </row>
    <row r="7965" ht="12.75" hidden="1" customHeight="1" outlineLevel="1">
      <c r="A7965" s="202">
        <v>42328.0</v>
      </c>
      <c r="B7965" s="985" t="s">
        <v>347</v>
      </c>
      <c r="C7965" s="94" t="s">
        <v>2090</v>
      </c>
      <c r="D7965" s="286">
        <v>2000.0</v>
      </c>
      <c r="E7965" s="94">
        <v>4.442</v>
      </c>
      <c r="F7965" s="986">
        <v>0.6261458333333333</v>
      </c>
      <c r="G7965" s="94" t="s">
        <v>453</v>
      </c>
      <c r="H7965" s="987">
        <v>9.16</v>
      </c>
      <c r="I7965" s="988" t="s">
        <v>3145</v>
      </c>
      <c r="J7965" s="67">
        <f t="shared" si="470"/>
        <v>8874.84</v>
      </c>
      <c r="L7965" s="70"/>
      <c r="M7965" s="934"/>
    </row>
    <row r="7966" ht="12.75" hidden="1" customHeight="1" outlineLevel="1">
      <c r="A7966" s="202">
        <v>42328.0</v>
      </c>
      <c r="B7966" s="985" t="s">
        <v>347</v>
      </c>
      <c r="C7966" s="94" t="s">
        <v>784</v>
      </c>
      <c r="D7966" s="286">
        <v>2000.0</v>
      </c>
      <c r="E7966" s="94">
        <v>3.83</v>
      </c>
      <c r="F7966" s="986">
        <v>0.6266319444444445</v>
      </c>
      <c r="G7966" s="94" t="s">
        <v>453</v>
      </c>
      <c r="H7966" s="987">
        <v>8.44</v>
      </c>
      <c r="I7966" s="988" t="s">
        <v>3145</v>
      </c>
      <c r="J7966" s="67">
        <f t="shared" si="470"/>
        <v>7651.56</v>
      </c>
      <c r="L7966" s="70"/>
      <c r="M7966" s="934"/>
    </row>
    <row r="7967" ht="12.75" hidden="1" customHeight="1" outlineLevel="1">
      <c r="A7967" s="202">
        <v>42328.0</v>
      </c>
      <c r="B7967" s="985" t="s">
        <v>347</v>
      </c>
      <c r="C7967" s="94" t="s">
        <v>1947</v>
      </c>
      <c r="D7967" s="94">
        <v>150.0</v>
      </c>
      <c r="E7967" s="94">
        <v>50.03</v>
      </c>
      <c r="F7967" s="986">
        <v>0.6272337962962963</v>
      </c>
      <c r="G7967" s="94" t="s">
        <v>453</v>
      </c>
      <c r="H7967" s="987">
        <v>1.14</v>
      </c>
      <c r="I7967" s="988" t="s">
        <v>3145</v>
      </c>
      <c r="J7967" s="67">
        <f t="shared" si="470"/>
        <v>7503.36</v>
      </c>
      <c r="L7967" s="70"/>
      <c r="M7967" s="934"/>
    </row>
    <row r="7968" ht="12.75" hidden="1" customHeight="1" outlineLevel="1">
      <c r="A7968" s="202">
        <v>42328.0</v>
      </c>
      <c r="B7968" s="985" t="s">
        <v>347</v>
      </c>
      <c r="C7968" s="94" t="s">
        <v>1905</v>
      </c>
      <c r="D7968" s="94">
        <v>300.0</v>
      </c>
      <c r="E7968" s="94">
        <v>27.91</v>
      </c>
      <c r="F7968" s="986">
        <v>0.6277199074074075</v>
      </c>
      <c r="G7968" s="94" t="s">
        <v>453</v>
      </c>
      <c r="H7968" s="987">
        <v>1.55</v>
      </c>
      <c r="I7968" s="988" t="s">
        <v>3145</v>
      </c>
      <c r="J7968" s="67">
        <f t="shared" si="470"/>
        <v>8371.45</v>
      </c>
      <c r="L7968" s="70"/>
      <c r="M7968" s="934"/>
    </row>
    <row r="7969" ht="12.75" hidden="1" customHeight="1" outlineLevel="1">
      <c r="A7969" s="202">
        <v>42328.0</v>
      </c>
      <c r="B7969" s="985" t="s">
        <v>347</v>
      </c>
      <c r="C7969" s="94" t="s">
        <v>2084</v>
      </c>
      <c r="D7969" s="94">
        <v>900.0</v>
      </c>
      <c r="E7969" s="94">
        <v>9.071</v>
      </c>
      <c r="F7969" s="986">
        <v>0.6325347222222222</v>
      </c>
      <c r="G7969" s="94" t="s">
        <v>453</v>
      </c>
      <c r="H7969" s="987">
        <v>3.75</v>
      </c>
      <c r="I7969" s="988" t="s">
        <v>3145</v>
      </c>
      <c r="J7969" s="67">
        <f t="shared" si="470"/>
        <v>8160.15</v>
      </c>
      <c r="L7969" s="70"/>
      <c r="M7969" s="934"/>
    </row>
    <row r="7970" ht="12.75" hidden="1" customHeight="1" outlineLevel="1">
      <c r="A7970" s="202">
        <v>42328.0</v>
      </c>
      <c r="B7970" s="985" t="s">
        <v>347</v>
      </c>
      <c r="C7970" s="94" t="s">
        <v>1821</v>
      </c>
      <c r="D7970" s="94">
        <v>700.0</v>
      </c>
      <c r="E7970" s="94">
        <v>21.64</v>
      </c>
      <c r="F7970" s="986">
        <v>0.632800925925926</v>
      </c>
      <c r="G7970" s="94" t="s">
        <v>453</v>
      </c>
      <c r="H7970" s="987">
        <v>3.08</v>
      </c>
      <c r="I7970" s="988" t="s">
        <v>3145</v>
      </c>
      <c r="J7970" s="67">
        <f t="shared" si="470"/>
        <v>15144.92</v>
      </c>
      <c r="L7970" s="70"/>
      <c r="M7970" s="934"/>
    </row>
    <row r="7971" ht="12.75" hidden="1" customHeight="1" outlineLevel="1">
      <c r="A7971" s="202">
        <v>42328.0</v>
      </c>
      <c r="B7971" s="985" t="s">
        <v>347</v>
      </c>
      <c r="C7971" s="94" t="s">
        <v>1781</v>
      </c>
      <c r="D7971" s="286">
        <v>1100.0</v>
      </c>
      <c r="E7971" s="94">
        <v>7.14</v>
      </c>
      <c r="F7971" s="986">
        <v>0.63625</v>
      </c>
      <c r="G7971" s="94" t="s">
        <v>453</v>
      </c>
      <c r="H7971" s="987">
        <v>4.54</v>
      </c>
      <c r="I7971" s="988" t="s">
        <v>3145</v>
      </c>
      <c r="J7971" s="67">
        <f t="shared" si="470"/>
        <v>7849.46</v>
      </c>
      <c r="L7971" s="70"/>
      <c r="M7971" s="934"/>
    </row>
    <row r="7972" ht="12.75" hidden="1" customHeight="1" outlineLevel="1">
      <c r="A7972" s="122">
        <v>42328.0</v>
      </c>
      <c r="B7972" s="992"/>
      <c r="C7972" s="32" t="s">
        <v>339</v>
      </c>
      <c r="D7972" s="1"/>
      <c r="F7972" s="1"/>
      <c r="G7972" s="1"/>
      <c r="H7972" s="68"/>
      <c r="I7972" s="76"/>
      <c r="K7972" s="201" t="s">
        <v>3217</v>
      </c>
      <c r="L7972" s="934"/>
      <c r="M7972" s="934"/>
    </row>
    <row r="7973" ht="12.75" hidden="1" customHeight="1" outlineLevel="1">
      <c r="A7973" s="122">
        <v>42328.0</v>
      </c>
      <c r="B7973" s="992"/>
      <c r="C7973" s="32" t="s">
        <v>429</v>
      </c>
      <c r="D7973" s="1"/>
      <c r="F7973" s="1"/>
      <c r="G7973" s="1"/>
      <c r="H7973" s="68"/>
      <c r="I7973" s="76"/>
      <c r="K7973" s="9" t="s">
        <v>3187</v>
      </c>
      <c r="L7973" s="934"/>
      <c r="M7973" s="934"/>
    </row>
    <row r="7974" ht="12.75" hidden="1" customHeight="1" outlineLevel="1">
      <c r="A7974" s="122">
        <v>42328.0</v>
      </c>
      <c r="B7974" s="992"/>
      <c r="C7974" s="32" t="s">
        <v>431</v>
      </c>
      <c r="D7974" s="1"/>
      <c r="F7974" s="1"/>
      <c r="G7974" s="1"/>
      <c r="H7974" s="68"/>
      <c r="I7974" s="76"/>
      <c r="K7974" s="7" t="s">
        <v>1126</v>
      </c>
      <c r="L7974" s="934"/>
      <c r="M7974" s="934"/>
    </row>
    <row r="7975" ht="12.75" hidden="1" customHeight="1" outlineLevel="1">
      <c r="A7975" s="122">
        <v>42328.0</v>
      </c>
      <c r="B7975" s="992"/>
      <c r="C7975" s="32" t="s">
        <v>433</v>
      </c>
      <c r="D7975" s="1"/>
      <c r="F7975" s="1"/>
      <c r="G7975" s="1"/>
      <c r="H7975" s="68"/>
      <c r="I7975" s="76"/>
      <c r="K7975" s="7" t="s">
        <v>1103</v>
      </c>
      <c r="L7975" s="934"/>
      <c r="M7975" s="934"/>
    </row>
    <row r="7976" ht="12.75" hidden="1" customHeight="1" outlineLevel="1">
      <c r="A7976" s="122">
        <v>42328.0</v>
      </c>
      <c r="B7976" s="992"/>
      <c r="C7976" s="32" t="s">
        <v>435</v>
      </c>
      <c r="D7976" s="1"/>
      <c r="F7976" s="1"/>
      <c r="G7976" s="1"/>
      <c r="H7976" s="68"/>
      <c r="I7976" s="76"/>
      <c r="K7976" s="9" t="s">
        <v>3134</v>
      </c>
      <c r="L7976" s="934"/>
      <c r="M7976" s="934"/>
    </row>
    <row r="7977" ht="12.75" hidden="1" customHeight="1" outlineLevel="1">
      <c r="A7977" s="202">
        <v>42331.0</v>
      </c>
      <c r="B7977" s="985" t="s">
        <v>343</v>
      </c>
      <c r="C7977" s="94" t="s">
        <v>2412</v>
      </c>
      <c r="D7977" s="94">
        <v>100.0</v>
      </c>
      <c r="E7977" s="94">
        <v>66.49</v>
      </c>
      <c r="F7977" s="986">
        <v>0.4249537037037037</v>
      </c>
      <c r="G7977" s="94" t="s">
        <v>453</v>
      </c>
      <c r="H7977" s="987">
        <v>1.0</v>
      </c>
      <c r="I7977" s="988" t="s">
        <v>3145</v>
      </c>
      <c r="J7977" s="67">
        <f t="shared" ref="J7977:J7983" si="471">IF(B7977="SLD",D7977*E7977,-D7977*E7977)-H7977</f>
        <v>-6650</v>
      </c>
      <c r="L7977" s="70"/>
      <c r="M7977" s="934"/>
    </row>
    <row r="7978" ht="12.75" hidden="1" customHeight="1" outlineLevel="1">
      <c r="A7978" s="202">
        <v>42331.0</v>
      </c>
      <c r="B7978" s="985" t="s">
        <v>343</v>
      </c>
      <c r="C7978" s="94" t="s">
        <v>1310</v>
      </c>
      <c r="D7978" s="94">
        <v>30.0</v>
      </c>
      <c r="E7978" s="94">
        <v>304.84</v>
      </c>
      <c r="F7978" s="986">
        <v>0.4275231481481481</v>
      </c>
      <c r="G7978" s="94" t="s">
        <v>453</v>
      </c>
      <c r="H7978" s="987">
        <v>1.0</v>
      </c>
      <c r="I7978" s="988" t="s">
        <v>3145</v>
      </c>
      <c r="J7978" s="67">
        <f t="shared" si="471"/>
        <v>-9146.2</v>
      </c>
      <c r="L7978" s="70"/>
      <c r="M7978" s="934"/>
    </row>
    <row r="7979" ht="12.75" hidden="1" customHeight="1" outlineLevel="1">
      <c r="A7979" s="202">
        <v>42331.0</v>
      </c>
      <c r="B7979" s="985" t="s">
        <v>343</v>
      </c>
      <c r="C7979" s="94" t="s">
        <v>344</v>
      </c>
      <c r="D7979" s="94">
        <v>150.0</v>
      </c>
      <c r="E7979" s="94">
        <v>63.04</v>
      </c>
      <c r="F7979" s="986">
        <v>0.48594907407407406</v>
      </c>
      <c r="G7979" s="94" t="s">
        <v>453</v>
      </c>
      <c r="H7979" s="987">
        <v>1.0</v>
      </c>
      <c r="I7979" s="988" t="s">
        <v>3145</v>
      </c>
      <c r="J7979" s="67">
        <f t="shared" si="471"/>
        <v>-9457</v>
      </c>
      <c r="L7979" s="70"/>
      <c r="M7979" s="934"/>
    </row>
    <row r="7980" ht="12.75" hidden="1" customHeight="1" outlineLevel="1">
      <c r="A7980" s="202">
        <v>42331.0</v>
      </c>
      <c r="B7980" s="985" t="s">
        <v>343</v>
      </c>
      <c r="C7980" s="94" t="s">
        <v>2098</v>
      </c>
      <c r="D7980" s="94">
        <v>150.0</v>
      </c>
      <c r="E7980" s="94">
        <v>61.62</v>
      </c>
      <c r="F7980" s="986">
        <v>0.4864236111111111</v>
      </c>
      <c r="G7980" s="94" t="s">
        <v>453</v>
      </c>
      <c r="H7980" s="987">
        <v>1.0</v>
      </c>
      <c r="I7980" s="988" t="s">
        <v>3145</v>
      </c>
      <c r="J7980" s="67">
        <f t="shared" si="471"/>
        <v>-9244</v>
      </c>
      <c r="L7980" s="70"/>
      <c r="M7980" s="934"/>
    </row>
    <row r="7981" ht="12.75" hidden="1" customHeight="1" outlineLevel="1">
      <c r="A7981" s="202">
        <v>42331.0</v>
      </c>
      <c r="B7981" s="985" t="s">
        <v>343</v>
      </c>
      <c r="C7981" s="94" t="s">
        <v>1382</v>
      </c>
      <c r="D7981" s="94">
        <v>70.0</v>
      </c>
      <c r="E7981" s="94">
        <v>141.19</v>
      </c>
      <c r="F7981" s="986">
        <v>0.4866666666666667</v>
      </c>
      <c r="G7981" s="94" t="s">
        <v>453</v>
      </c>
      <c r="H7981" s="987">
        <v>1.0</v>
      </c>
      <c r="I7981" s="988" t="s">
        <v>3145</v>
      </c>
      <c r="J7981" s="67">
        <f t="shared" si="471"/>
        <v>-9884.3</v>
      </c>
      <c r="L7981" s="70"/>
      <c r="M7981" s="934"/>
    </row>
    <row r="7982" ht="12.75" hidden="1" customHeight="1" outlineLevel="1">
      <c r="A7982" s="202">
        <v>42331.0</v>
      </c>
      <c r="B7982" s="985" t="s">
        <v>347</v>
      </c>
      <c r="C7982" s="94" t="s">
        <v>1633</v>
      </c>
      <c r="D7982" s="286">
        <v>1600.0</v>
      </c>
      <c r="E7982" s="94">
        <v>7.761</v>
      </c>
      <c r="F7982" s="986">
        <v>0.510613425925926</v>
      </c>
      <c r="G7982" s="94" t="s">
        <v>453</v>
      </c>
      <c r="H7982" s="987">
        <v>6.63</v>
      </c>
      <c r="I7982" s="988" t="s">
        <v>3145</v>
      </c>
      <c r="J7982" s="67">
        <f t="shared" si="471"/>
        <v>12410.97</v>
      </c>
      <c r="L7982" s="70"/>
      <c r="M7982" s="934"/>
    </row>
    <row r="7983" ht="12.75" hidden="1" customHeight="1" outlineLevel="1">
      <c r="A7983" s="202">
        <v>42331.0</v>
      </c>
      <c r="B7983" s="985" t="s">
        <v>347</v>
      </c>
      <c r="C7983" s="94" t="s">
        <v>1633</v>
      </c>
      <c r="D7983" s="286">
        <v>1500.0</v>
      </c>
      <c r="E7983" s="94">
        <v>7.75</v>
      </c>
      <c r="F7983" s="986">
        <v>0.5273842592592592</v>
      </c>
      <c r="G7983" s="94" t="s">
        <v>453</v>
      </c>
      <c r="H7983" s="987">
        <v>7.71</v>
      </c>
      <c r="I7983" s="988" t="s">
        <v>3145</v>
      </c>
      <c r="J7983" s="67">
        <f t="shared" si="471"/>
        <v>11617.29</v>
      </c>
      <c r="L7983" s="70"/>
      <c r="M7983" s="934"/>
    </row>
    <row r="7984" ht="12.75" hidden="1" customHeight="1" outlineLevel="1">
      <c r="A7984" s="122">
        <v>42331.0</v>
      </c>
      <c r="B7984" s="992"/>
      <c r="C7984" s="32" t="s">
        <v>339</v>
      </c>
      <c r="D7984" s="1"/>
      <c r="F7984" s="1"/>
      <c r="G7984" s="1"/>
      <c r="H7984" s="68"/>
      <c r="I7984" s="76"/>
      <c r="K7984" s="201" t="s">
        <v>3221</v>
      </c>
      <c r="L7984" s="934"/>
      <c r="M7984" s="934"/>
    </row>
    <row r="7985" ht="12.75" hidden="1" customHeight="1" outlineLevel="1">
      <c r="A7985" s="122">
        <v>42331.0</v>
      </c>
      <c r="B7985" s="992"/>
      <c r="C7985" s="32" t="s">
        <v>429</v>
      </c>
      <c r="D7985" s="1"/>
      <c r="F7985" s="1"/>
      <c r="G7985" s="1"/>
      <c r="H7985" s="68"/>
      <c r="I7985" s="76"/>
      <c r="K7985" s="9" t="s">
        <v>3187</v>
      </c>
      <c r="L7985" s="934"/>
      <c r="M7985" s="934"/>
    </row>
    <row r="7986" ht="12.75" hidden="1" customHeight="1" outlineLevel="1">
      <c r="A7986" s="122">
        <v>42331.0</v>
      </c>
      <c r="B7986" s="992"/>
      <c r="C7986" s="32" t="s">
        <v>431</v>
      </c>
      <c r="D7986" s="1"/>
      <c r="F7986" s="1"/>
      <c r="G7986" s="1"/>
      <c r="H7986" s="68"/>
      <c r="I7986" s="76"/>
      <c r="K7986" s="7" t="s">
        <v>1126</v>
      </c>
      <c r="L7986" s="934"/>
      <c r="M7986" s="934"/>
    </row>
    <row r="7987" ht="12.75" hidden="1" customHeight="1" outlineLevel="1">
      <c r="A7987" s="122">
        <v>42331.0</v>
      </c>
      <c r="B7987" s="992"/>
      <c r="C7987" s="32" t="s">
        <v>433</v>
      </c>
      <c r="D7987" s="1"/>
      <c r="F7987" s="1"/>
      <c r="G7987" s="1"/>
      <c r="H7987" s="68"/>
      <c r="I7987" s="76"/>
      <c r="K7987" s="7" t="s">
        <v>1103</v>
      </c>
      <c r="L7987" s="934"/>
      <c r="M7987" s="934"/>
    </row>
    <row r="7988" ht="12.75" hidden="1" customHeight="1" outlineLevel="1">
      <c r="A7988" s="122">
        <v>42331.0</v>
      </c>
      <c r="B7988" s="992"/>
      <c r="C7988" s="32" t="s">
        <v>435</v>
      </c>
      <c r="D7988" s="1"/>
      <c r="F7988" s="1"/>
      <c r="G7988" s="1"/>
      <c r="H7988" s="68"/>
      <c r="I7988" s="76"/>
      <c r="K7988" s="9" t="s">
        <v>3134</v>
      </c>
      <c r="L7988" s="934"/>
      <c r="M7988" s="934"/>
    </row>
    <row r="7989" ht="12.75" hidden="1" customHeight="1" outlineLevel="1">
      <c r="A7989" s="122">
        <v>42333.0</v>
      </c>
      <c r="B7989" s="985" t="s">
        <v>347</v>
      </c>
      <c r="C7989" s="94" t="s">
        <v>2177</v>
      </c>
      <c r="D7989" s="94">
        <v>100.0</v>
      </c>
      <c r="E7989" s="94">
        <v>87.9</v>
      </c>
      <c r="F7989" s="986">
        <v>0.5169907407407407</v>
      </c>
      <c r="G7989" s="94" t="s">
        <v>453</v>
      </c>
      <c r="H7989" s="987">
        <v>1.16</v>
      </c>
      <c r="I7989" s="988" t="s">
        <v>3145</v>
      </c>
      <c r="J7989" s="67">
        <f t="shared" ref="J7989:J7990" si="472">IF(B7989="SLD",D7989*E7989,-D7989*E7989)-H7989</f>
        <v>8788.84</v>
      </c>
      <c r="L7989" s="70"/>
      <c r="M7989" s="934"/>
    </row>
    <row r="7990" ht="12.75" hidden="1" customHeight="1" outlineLevel="1">
      <c r="A7990" s="122">
        <v>42333.0</v>
      </c>
      <c r="B7990" s="985" t="s">
        <v>343</v>
      </c>
      <c r="C7990" s="94" t="s">
        <v>1249</v>
      </c>
      <c r="D7990" s="94">
        <v>100.0</v>
      </c>
      <c r="E7990" s="94">
        <v>99.19</v>
      </c>
      <c r="F7990" s="986">
        <v>0.5829166666666666</v>
      </c>
      <c r="G7990" s="94" t="s">
        <v>453</v>
      </c>
      <c r="H7990" s="987">
        <v>1.0</v>
      </c>
      <c r="I7990" s="988" t="s">
        <v>3145</v>
      </c>
      <c r="J7990" s="67">
        <f t="shared" si="472"/>
        <v>-9920</v>
      </c>
      <c r="L7990" s="70"/>
      <c r="M7990" s="934"/>
    </row>
    <row r="7991" ht="12.75" hidden="1" customHeight="1" outlineLevel="1">
      <c r="A7991" s="122">
        <v>42333.0</v>
      </c>
      <c r="B7991" s="992"/>
      <c r="C7991" s="32" t="s">
        <v>339</v>
      </c>
      <c r="D7991" s="1"/>
      <c r="F7991" s="1"/>
      <c r="G7991" s="1"/>
      <c r="H7991" s="68"/>
      <c r="I7991" s="76"/>
      <c r="K7991" s="201" t="s">
        <v>3221</v>
      </c>
      <c r="L7991" s="934"/>
      <c r="M7991" s="934"/>
    </row>
    <row r="7992" ht="12.75" hidden="1" customHeight="1" outlineLevel="1">
      <c r="A7992" s="122">
        <v>42333.0</v>
      </c>
      <c r="B7992" s="992"/>
      <c r="C7992" s="32" t="s">
        <v>429</v>
      </c>
      <c r="D7992" s="1"/>
      <c r="F7992" s="1"/>
      <c r="G7992" s="1"/>
      <c r="H7992" s="68"/>
      <c r="I7992" s="76"/>
      <c r="K7992" s="9" t="s">
        <v>3187</v>
      </c>
      <c r="L7992" s="934"/>
      <c r="M7992" s="934"/>
    </row>
    <row r="7993" ht="12.75" hidden="1" customHeight="1" outlineLevel="1">
      <c r="A7993" s="122">
        <v>42333.0</v>
      </c>
      <c r="B7993" s="992"/>
      <c r="C7993" s="32" t="s">
        <v>431</v>
      </c>
      <c r="D7993" s="1"/>
      <c r="F7993" s="1"/>
      <c r="G7993" s="1"/>
      <c r="H7993" s="68"/>
      <c r="I7993" s="76"/>
      <c r="K7993" s="7" t="s">
        <v>1126</v>
      </c>
      <c r="L7993" s="934"/>
      <c r="M7993" s="934"/>
    </row>
    <row r="7994" ht="12.75" hidden="1" customHeight="1" outlineLevel="1">
      <c r="A7994" s="122">
        <v>42333.0</v>
      </c>
      <c r="B7994" s="992"/>
      <c r="C7994" s="32" t="s">
        <v>433</v>
      </c>
      <c r="D7994" s="1"/>
      <c r="F7994" s="1"/>
      <c r="G7994" s="1"/>
      <c r="H7994" s="68"/>
      <c r="I7994" s="76"/>
      <c r="K7994" s="7" t="s">
        <v>1103</v>
      </c>
      <c r="L7994" s="934"/>
      <c r="M7994" s="934"/>
    </row>
    <row r="7995" ht="12.75" hidden="1" customHeight="1" outlineLevel="1">
      <c r="A7995" s="122">
        <v>42333.0</v>
      </c>
      <c r="B7995" s="992"/>
      <c r="C7995" s="32" t="s">
        <v>435</v>
      </c>
      <c r="D7995" s="1"/>
      <c r="F7995" s="1"/>
      <c r="G7995" s="1"/>
      <c r="H7995" s="68"/>
      <c r="I7995" s="76"/>
      <c r="K7995" s="9" t="s">
        <v>3134</v>
      </c>
      <c r="L7995" s="934"/>
      <c r="M7995" s="934"/>
    </row>
    <row r="7996" ht="12.75" hidden="1" customHeight="1" outlineLevel="1">
      <c r="A7996" s="202">
        <v>42335.0</v>
      </c>
      <c r="B7996" s="985" t="s">
        <v>343</v>
      </c>
      <c r="C7996" s="94" t="s">
        <v>3006</v>
      </c>
      <c r="D7996" s="94">
        <v>100.0</v>
      </c>
      <c r="E7996" s="94">
        <v>60.71</v>
      </c>
      <c r="F7996" s="986">
        <v>0.4011111111111111</v>
      </c>
      <c r="G7996" s="94" t="s">
        <v>453</v>
      </c>
      <c r="H7996" s="987">
        <v>1.0</v>
      </c>
      <c r="I7996" s="988" t="s">
        <v>3145</v>
      </c>
      <c r="J7996" s="67">
        <f t="shared" ref="J7996:J8000" si="473">IF(B7996="SLD",D7996*E7996,-D7996*E7996)-H7996</f>
        <v>-6072</v>
      </c>
      <c r="L7996" s="70"/>
      <c r="M7996" s="934"/>
    </row>
    <row r="7997" ht="12.75" hidden="1" customHeight="1" outlineLevel="1">
      <c r="A7997" s="202">
        <v>42335.0</v>
      </c>
      <c r="B7997" s="985" t="s">
        <v>347</v>
      </c>
      <c r="C7997" s="94" t="s">
        <v>790</v>
      </c>
      <c r="D7997" s="286">
        <v>2500.0</v>
      </c>
      <c r="E7997" s="94">
        <v>5.01</v>
      </c>
      <c r="F7997" s="986">
        <v>0.4066550925925926</v>
      </c>
      <c r="G7997" s="94" t="s">
        <v>453</v>
      </c>
      <c r="H7997" s="987">
        <v>12.73</v>
      </c>
      <c r="I7997" s="988" t="s">
        <v>3145</v>
      </c>
      <c r="J7997" s="67">
        <f t="shared" si="473"/>
        <v>12512.27</v>
      </c>
      <c r="L7997" s="70"/>
      <c r="M7997" s="934"/>
    </row>
    <row r="7998" ht="12.75" hidden="1" customHeight="1" outlineLevel="1">
      <c r="A7998" s="202">
        <v>42335.0</v>
      </c>
      <c r="B7998" s="985" t="s">
        <v>347</v>
      </c>
      <c r="C7998" s="94" t="s">
        <v>1781</v>
      </c>
      <c r="D7998" s="286">
        <v>2000.0</v>
      </c>
      <c r="E7998" s="94">
        <v>7.14</v>
      </c>
      <c r="F7998" s="986">
        <v>0.40782407407407406</v>
      </c>
      <c r="G7998" s="94" t="s">
        <v>453</v>
      </c>
      <c r="H7998" s="987">
        <v>8.96</v>
      </c>
      <c r="I7998" s="988" t="s">
        <v>3145</v>
      </c>
      <c r="J7998" s="67">
        <f t="shared" si="473"/>
        <v>14271.04</v>
      </c>
      <c r="L7998" s="70"/>
      <c r="M7998" s="934"/>
    </row>
    <row r="7999" ht="12.75" hidden="1" customHeight="1" outlineLevel="1">
      <c r="A7999" s="202">
        <v>42335.0</v>
      </c>
      <c r="B7999" s="985" t="s">
        <v>347</v>
      </c>
      <c r="C7999" s="94" t="s">
        <v>1633</v>
      </c>
      <c r="D7999" s="286">
        <v>1000.0</v>
      </c>
      <c r="E7999" s="94">
        <v>7.482</v>
      </c>
      <c r="F7999" s="986">
        <v>0.4109143518518519</v>
      </c>
      <c r="G7999" s="94" t="s">
        <v>453</v>
      </c>
      <c r="H7999" s="987">
        <v>4.14</v>
      </c>
      <c r="I7999" s="988" t="s">
        <v>3145</v>
      </c>
      <c r="J7999" s="67">
        <f t="shared" si="473"/>
        <v>7477.86</v>
      </c>
      <c r="L7999" s="70"/>
      <c r="M7999" s="934"/>
    </row>
    <row r="8000" ht="12.75" hidden="1" customHeight="1" outlineLevel="1">
      <c r="A8000" s="202">
        <v>42335.0</v>
      </c>
      <c r="B8000" s="985" t="s">
        <v>347</v>
      </c>
      <c r="C8000" s="94" t="s">
        <v>1821</v>
      </c>
      <c r="D8000" s="286">
        <v>1000.0</v>
      </c>
      <c r="E8000" s="94">
        <v>20.839</v>
      </c>
      <c r="F8000" s="986">
        <v>0.43853009259259257</v>
      </c>
      <c r="G8000" s="94" t="s">
        <v>453</v>
      </c>
      <c r="H8000" s="987">
        <v>5.38</v>
      </c>
      <c r="I8000" s="988" t="s">
        <v>3145</v>
      </c>
      <c r="J8000" s="67">
        <f t="shared" si="473"/>
        <v>20833.62</v>
      </c>
      <c r="L8000" s="70"/>
      <c r="M8000" s="934"/>
    </row>
    <row r="8001" ht="12.75" hidden="1" customHeight="1" outlineLevel="1">
      <c r="A8001" s="122">
        <v>42335.0</v>
      </c>
      <c r="B8001" s="992"/>
      <c r="C8001" s="32" t="s">
        <v>339</v>
      </c>
      <c r="D8001" s="1"/>
      <c r="F8001" s="1"/>
      <c r="G8001" s="1"/>
      <c r="H8001" s="68"/>
      <c r="I8001" s="76"/>
      <c r="K8001" s="201" t="s">
        <v>3221</v>
      </c>
      <c r="L8001" s="934"/>
      <c r="M8001" s="934"/>
    </row>
    <row r="8002" ht="12.75" hidden="1" customHeight="1" outlineLevel="1">
      <c r="A8002" s="122">
        <v>42335.0</v>
      </c>
      <c r="B8002" s="992"/>
      <c r="C8002" s="32" t="s">
        <v>429</v>
      </c>
      <c r="D8002" s="1"/>
      <c r="F8002" s="1"/>
      <c r="G8002" s="1"/>
      <c r="H8002" s="68"/>
      <c r="I8002" s="76"/>
      <c r="K8002" s="9" t="s">
        <v>3187</v>
      </c>
      <c r="L8002" s="934"/>
      <c r="M8002" s="934"/>
    </row>
    <row r="8003" ht="12.75" hidden="1" customHeight="1" outlineLevel="1">
      <c r="A8003" s="122">
        <v>42335.0</v>
      </c>
      <c r="B8003" s="992"/>
      <c r="C8003" s="32" t="s">
        <v>431</v>
      </c>
      <c r="D8003" s="1"/>
      <c r="F8003" s="1"/>
      <c r="G8003" s="1"/>
      <c r="H8003" s="68"/>
      <c r="I8003" s="76"/>
      <c r="K8003" s="7" t="s">
        <v>1126</v>
      </c>
      <c r="L8003" s="934"/>
      <c r="M8003" s="934"/>
    </row>
    <row r="8004" ht="12.75" hidden="1" customHeight="1" outlineLevel="1">
      <c r="A8004" s="122">
        <v>42335.0</v>
      </c>
      <c r="B8004" s="992"/>
      <c r="C8004" s="32" t="s">
        <v>433</v>
      </c>
      <c r="D8004" s="1"/>
      <c r="F8004" s="1"/>
      <c r="G8004" s="1"/>
      <c r="H8004" s="68"/>
      <c r="I8004" s="76"/>
      <c r="K8004" s="7" t="s">
        <v>1103</v>
      </c>
      <c r="L8004" s="934"/>
      <c r="M8004" s="934"/>
    </row>
    <row r="8005" ht="12.75" hidden="1" customHeight="1" outlineLevel="1">
      <c r="A8005" s="122">
        <v>42335.0</v>
      </c>
      <c r="B8005" s="992"/>
      <c r="C8005" s="32" t="s">
        <v>435</v>
      </c>
      <c r="D8005" s="1"/>
      <c r="F8005" s="1"/>
      <c r="G8005" s="1"/>
      <c r="H8005" s="68"/>
      <c r="I8005" s="76"/>
      <c r="K8005" s="9" t="s">
        <v>3134</v>
      </c>
      <c r="L8005" s="934"/>
      <c r="M8005" s="934"/>
    </row>
    <row r="8006" ht="12.75" hidden="1" customHeight="1" outlineLevel="1">
      <c r="A8006" s="202">
        <v>42338.0</v>
      </c>
      <c r="B8006" s="985" t="s">
        <v>343</v>
      </c>
      <c r="C8006" s="94" t="s">
        <v>2936</v>
      </c>
      <c r="D8006" s="94">
        <v>200.0</v>
      </c>
      <c r="E8006" s="94">
        <v>38.2198</v>
      </c>
      <c r="F8006" s="986">
        <v>0.3965625</v>
      </c>
      <c r="G8006" s="94" t="s">
        <v>453</v>
      </c>
      <c r="H8006" s="987">
        <v>1.0</v>
      </c>
      <c r="I8006" s="988" t="s">
        <v>3145</v>
      </c>
      <c r="J8006" s="67">
        <f t="shared" ref="J8006:J8012" si="474">IF(B8006="SLD",D8006*E8006,-D8006*E8006)-H8006</f>
        <v>-7644.96</v>
      </c>
      <c r="L8006" s="70"/>
      <c r="M8006" s="934"/>
    </row>
    <row r="8007" ht="12.75" hidden="1" customHeight="1" outlineLevel="1">
      <c r="A8007" s="202">
        <v>42338.0</v>
      </c>
      <c r="B8007" s="985" t="s">
        <v>343</v>
      </c>
      <c r="C8007" s="94" t="s">
        <v>2412</v>
      </c>
      <c r="D8007" s="94">
        <v>100.0</v>
      </c>
      <c r="E8007" s="94">
        <v>66.12</v>
      </c>
      <c r="F8007" s="986">
        <v>0.39688657407407407</v>
      </c>
      <c r="G8007" s="94" t="s">
        <v>453</v>
      </c>
      <c r="H8007" s="987">
        <v>1.0</v>
      </c>
      <c r="I8007" s="988" t="s">
        <v>3145</v>
      </c>
      <c r="J8007" s="67">
        <f t="shared" si="474"/>
        <v>-6613</v>
      </c>
      <c r="L8007" s="70"/>
      <c r="M8007" s="934"/>
    </row>
    <row r="8008" ht="12.75" hidden="1" customHeight="1" outlineLevel="1">
      <c r="A8008" s="202">
        <v>42338.0</v>
      </c>
      <c r="B8008" s="985" t="s">
        <v>343</v>
      </c>
      <c r="C8008" s="94" t="s">
        <v>605</v>
      </c>
      <c r="D8008" s="94">
        <v>100.0</v>
      </c>
      <c r="E8008" s="94">
        <v>93.08</v>
      </c>
      <c r="F8008" s="986">
        <v>0.3972453703703704</v>
      </c>
      <c r="G8008" s="94" t="s">
        <v>453</v>
      </c>
      <c r="H8008" s="987">
        <v>1.0</v>
      </c>
      <c r="I8008" s="988" t="s">
        <v>3145</v>
      </c>
      <c r="J8008" s="67">
        <f t="shared" si="474"/>
        <v>-9309</v>
      </c>
      <c r="L8008" s="70"/>
      <c r="M8008" s="934"/>
    </row>
    <row r="8009" ht="12.75" hidden="1" customHeight="1" outlineLevel="1">
      <c r="A8009" s="202">
        <v>42338.0</v>
      </c>
      <c r="B8009" s="985" t="s">
        <v>343</v>
      </c>
      <c r="C8009" s="94" t="s">
        <v>2988</v>
      </c>
      <c r="D8009" s="94">
        <v>100.0</v>
      </c>
      <c r="E8009" s="94">
        <v>95.54</v>
      </c>
      <c r="F8009" s="986">
        <v>0.3975462962962963</v>
      </c>
      <c r="G8009" s="94" t="s">
        <v>453</v>
      </c>
      <c r="H8009" s="987">
        <v>1.0</v>
      </c>
      <c r="I8009" s="988" t="s">
        <v>3145</v>
      </c>
      <c r="J8009" s="67">
        <f t="shared" si="474"/>
        <v>-9555</v>
      </c>
      <c r="L8009" s="70"/>
      <c r="M8009" s="934"/>
    </row>
    <row r="8010" ht="12.75" hidden="1" customHeight="1" outlineLevel="1">
      <c r="A8010" s="202">
        <v>42338.0</v>
      </c>
      <c r="B8010" s="985" t="s">
        <v>343</v>
      </c>
      <c r="C8010" s="94" t="s">
        <v>2177</v>
      </c>
      <c r="D8010" s="94">
        <v>100.0</v>
      </c>
      <c r="E8010" s="94">
        <v>86.96</v>
      </c>
      <c r="F8010" s="986">
        <v>0.40243055555555557</v>
      </c>
      <c r="G8010" s="94" t="s">
        <v>453</v>
      </c>
      <c r="H8010" s="987">
        <v>1.0</v>
      </c>
      <c r="I8010" s="988" t="s">
        <v>3145</v>
      </c>
      <c r="J8010" s="67">
        <f t="shared" si="474"/>
        <v>-8697</v>
      </c>
      <c r="L8010" s="70"/>
      <c r="M8010" s="934"/>
    </row>
    <row r="8011" ht="12.75" hidden="1" customHeight="1" outlineLevel="1">
      <c r="A8011" s="202">
        <v>42338.0</v>
      </c>
      <c r="B8011" s="985" t="s">
        <v>343</v>
      </c>
      <c r="C8011" s="94" t="s">
        <v>2988</v>
      </c>
      <c r="D8011" s="94">
        <v>100.0</v>
      </c>
      <c r="E8011" s="94">
        <v>96.57</v>
      </c>
      <c r="F8011" s="986">
        <v>0.4401388888888889</v>
      </c>
      <c r="G8011" s="94" t="s">
        <v>453</v>
      </c>
      <c r="H8011" s="987">
        <v>1.0</v>
      </c>
      <c r="I8011" s="988" t="s">
        <v>3145</v>
      </c>
      <c r="J8011" s="67">
        <f t="shared" si="474"/>
        <v>-9658</v>
      </c>
      <c r="L8011" s="70"/>
      <c r="M8011" s="934"/>
    </row>
    <row r="8012" ht="12.75" hidden="1" customHeight="1" outlineLevel="1">
      <c r="A8012" s="202">
        <v>42338.0</v>
      </c>
      <c r="B8012" s="985" t="s">
        <v>343</v>
      </c>
      <c r="C8012" s="94" t="s">
        <v>2090</v>
      </c>
      <c r="D8012" s="286">
        <v>2000.0</v>
      </c>
      <c r="E8012" s="94">
        <v>4.24</v>
      </c>
      <c r="F8012" s="986">
        <v>0.6658101851851852</v>
      </c>
      <c r="G8012" s="94" t="s">
        <v>453</v>
      </c>
      <c r="H8012" s="987">
        <v>8.0</v>
      </c>
      <c r="I8012" s="988" t="s">
        <v>3145</v>
      </c>
      <c r="J8012" s="67">
        <f t="shared" si="474"/>
        <v>-8488</v>
      </c>
      <c r="L8012" s="70"/>
      <c r="M8012" s="934"/>
    </row>
    <row r="8013" ht="12.75" hidden="1" customHeight="1" outlineLevel="1">
      <c r="A8013" s="122">
        <v>42338.0</v>
      </c>
      <c r="B8013" s="992"/>
      <c r="C8013" s="32" t="s">
        <v>339</v>
      </c>
      <c r="D8013" s="1"/>
      <c r="F8013" s="1"/>
      <c r="G8013" s="1"/>
      <c r="H8013" s="68"/>
      <c r="I8013" s="76"/>
      <c r="K8013" s="201" t="s">
        <v>3224</v>
      </c>
      <c r="L8013" s="934"/>
      <c r="M8013" s="934"/>
    </row>
    <row r="8014" ht="12.75" hidden="1" customHeight="1" outlineLevel="1">
      <c r="A8014" s="122">
        <v>42338.0</v>
      </c>
      <c r="B8014" s="992"/>
      <c r="C8014" s="32" t="s">
        <v>429</v>
      </c>
      <c r="D8014" s="1"/>
      <c r="F8014" s="1"/>
      <c r="G8014" s="1"/>
      <c r="H8014" s="68"/>
      <c r="I8014" s="76"/>
      <c r="K8014" s="9" t="s">
        <v>3187</v>
      </c>
      <c r="L8014" s="934"/>
      <c r="M8014" s="934"/>
    </row>
    <row r="8015" ht="12.75" hidden="1" customHeight="1" outlineLevel="1">
      <c r="A8015" s="122">
        <v>42338.0</v>
      </c>
      <c r="B8015" s="992"/>
      <c r="C8015" s="32" t="s">
        <v>431</v>
      </c>
      <c r="D8015" s="1"/>
      <c r="F8015" s="1"/>
      <c r="G8015" s="1"/>
      <c r="H8015" s="68"/>
      <c r="I8015" s="76"/>
      <c r="K8015" s="7" t="s">
        <v>1126</v>
      </c>
      <c r="L8015" s="934"/>
      <c r="M8015" s="934"/>
    </row>
    <row r="8016" ht="12.75" hidden="1" customHeight="1" outlineLevel="1">
      <c r="A8016" s="122">
        <v>42338.0</v>
      </c>
      <c r="B8016" s="992"/>
      <c r="C8016" s="32" t="s">
        <v>433</v>
      </c>
      <c r="D8016" s="1"/>
      <c r="F8016" s="1"/>
      <c r="G8016" s="1"/>
      <c r="H8016" s="68"/>
      <c r="I8016" s="76"/>
      <c r="K8016" s="7" t="s">
        <v>1103</v>
      </c>
      <c r="L8016" s="934"/>
      <c r="M8016" s="934"/>
    </row>
    <row r="8017" ht="12.75" hidden="1" customHeight="1" outlineLevel="1">
      <c r="A8017" s="122">
        <v>42338.0</v>
      </c>
      <c r="B8017" s="992"/>
      <c r="C8017" s="32" t="s">
        <v>435</v>
      </c>
      <c r="D8017" s="1"/>
      <c r="F8017" s="1"/>
      <c r="G8017" s="1"/>
      <c r="H8017" s="68"/>
      <c r="I8017" s="76"/>
      <c r="K8017" s="9" t="s">
        <v>3134</v>
      </c>
      <c r="L8017" s="934"/>
      <c r="M8017" s="934"/>
    </row>
    <row r="8018" ht="12.75" hidden="1" customHeight="1" outlineLevel="1">
      <c r="A8018" s="202">
        <v>42342.0</v>
      </c>
      <c r="B8018" s="985" t="s">
        <v>347</v>
      </c>
      <c r="C8018" s="94" t="s">
        <v>1902</v>
      </c>
      <c r="D8018" s="94">
        <v>500.0</v>
      </c>
      <c r="E8018" s="94">
        <v>11.1601</v>
      </c>
      <c r="F8018" s="986">
        <v>0.5812847222222223</v>
      </c>
      <c r="G8018" s="94" t="s">
        <v>453</v>
      </c>
      <c r="H8018" s="987">
        <v>2.1</v>
      </c>
      <c r="I8018" s="988" t="s">
        <v>3145</v>
      </c>
      <c r="J8018" s="67">
        <f>IF(B8018="SLD",D8018*E8018,-D8018*E8018)-H8018</f>
        <v>5577.95</v>
      </c>
      <c r="L8018" s="70"/>
      <c r="M8018" s="934"/>
    </row>
    <row r="8019" ht="12.75" hidden="1" customHeight="1" outlineLevel="1">
      <c r="A8019" s="122">
        <v>42342.0</v>
      </c>
      <c r="B8019" s="992"/>
      <c r="C8019" s="32" t="s">
        <v>339</v>
      </c>
      <c r="D8019" s="1"/>
      <c r="F8019" s="1"/>
      <c r="G8019" s="1"/>
      <c r="H8019" s="68"/>
      <c r="I8019" s="76"/>
      <c r="K8019" s="201" t="s">
        <v>3225</v>
      </c>
      <c r="L8019" s="934"/>
      <c r="M8019" s="934"/>
    </row>
    <row r="8020" ht="12.75" hidden="1" customHeight="1" outlineLevel="1">
      <c r="A8020" s="122">
        <v>42342.0</v>
      </c>
      <c r="B8020" s="992"/>
      <c r="C8020" s="32" t="s">
        <v>429</v>
      </c>
      <c r="D8020" s="1"/>
      <c r="F8020" s="1"/>
      <c r="G8020" s="1"/>
      <c r="H8020" s="68"/>
      <c r="I8020" s="76"/>
      <c r="K8020" s="9" t="s">
        <v>3187</v>
      </c>
      <c r="L8020" s="934"/>
      <c r="M8020" s="934"/>
    </row>
    <row r="8021" ht="12.75" hidden="1" customHeight="1" outlineLevel="1">
      <c r="A8021" s="122">
        <v>42342.0</v>
      </c>
      <c r="B8021" s="992"/>
      <c r="C8021" s="32" t="s">
        <v>431</v>
      </c>
      <c r="D8021" s="1"/>
      <c r="F8021" s="1"/>
      <c r="G8021" s="1"/>
      <c r="H8021" s="68"/>
      <c r="I8021" s="76"/>
      <c r="K8021" s="7" t="s">
        <v>1126</v>
      </c>
      <c r="L8021" s="934"/>
      <c r="M8021" s="934"/>
    </row>
    <row r="8022" ht="12.75" hidden="1" customHeight="1" outlineLevel="1">
      <c r="A8022" s="122">
        <v>42342.0</v>
      </c>
      <c r="B8022" s="992"/>
      <c r="C8022" s="32" t="s">
        <v>433</v>
      </c>
      <c r="D8022" s="1"/>
      <c r="F8022" s="1"/>
      <c r="G8022" s="1"/>
      <c r="H8022" s="68"/>
      <c r="I8022" s="76"/>
      <c r="K8022" s="7" t="s">
        <v>1103</v>
      </c>
      <c r="L8022" s="934"/>
      <c r="M8022" s="934"/>
    </row>
    <row r="8023" ht="12.75" hidden="1" customHeight="1" outlineLevel="1">
      <c r="A8023" s="122">
        <v>42342.0</v>
      </c>
      <c r="B8023" s="992"/>
      <c r="C8023" s="32" t="s">
        <v>435</v>
      </c>
      <c r="D8023" s="1"/>
      <c r="F8023" s="1"/>
      <c r="G8023" s="1"/>
      <c r="H8023" s="68"/>
      <c r="I8023" s="76"/>
      <c r="K8023" s="9" t="s">
        <v>3134</v>
      </c>
      <c r="L8023" s="934"/>
      <c r="M8023" s="934"/>
    </row>
    <row r="8024" ht="12.75" hidden="1" customHeight="1" outlineLevel="1">
      <c r="A8024" s="202">
        <v>42347.0</v>
      </c>
      <c r="B8024" s="985" t="s">
        <v>343</v>
      </c>
      <c r="C8024" s="94" t="s">
        <v>1249</v>
      </c>
      <c r="D8024" s="94">
        <v>100.0</v>
      </c>
      <c r="E8024" s="94">
        <v>100.01</v>
      </c>
      <c r="F8024" s="986">
        <v>0.3966550925925926</v>
      </c>
      <c r="G8024" s="94" t="s">
        <v>453</v>
      </c>
      <c r="H8024" s="987">
        <v>1.0</v>
      </c>
      <c r="I8024" s="988" t="s">
        <v>3145</v>
      </c>
      <c r="J8024" s="67">
        <f t="shared" ref="J8024:J8032" si="475">IF(B8024="SLD",D8024*E8024,-D8024*E8024)-H8024</f>
        <v>-10002</v>
      </c>
      <c r="L8024" s="70"/>
      <c r="M8024" s="934"/>
    </row>
    <row r="8025" ht="12.75" hidden="1" customHeight="1" outlineLevel="1">
      <c r="A8025" s="202">
        <v>42347.0</v>
      </c>
      <c r="B8025" s="985" t="s">
        <v>343</v>
      </c>
      <c r="C8025" s="94" t="s">
        <v>346</v>
      </c>
      <c r="D8025" s="94">
        <v>100.0</v>
      </c>
      <c r="E8025" s="94">
        <v>117.47</v>
      </c>
      <c r="F8025" s="986">
        <v>0.3971064814814815</v>
      </c>
      <c r="G8025" s="94" t="s">
        <v>453</v>
      </c>
      <c r="H8025" s="987">
        <v>1.0</v>
      </c>
      <c r="I8025" s="988" t="s">
        <v>3145</v>
      </c>
      <c r="J8025" s="67">
        <f t="shared" si="475"/>
        <v>-11748</v>
      </c>
      <c r="L8025" s="70"/>
      <c r="M8025" s="934"/>
    </row>
    <row r="8026" ht="12.75" hidden="1" customHeight="1" outlineLevel="1">
      <c r="A8026" s="202">
        <v>42347.0</v>
      </c>
      <c r="B8026" s="985" t="s">
        <v>343</v>
      </c>
      <c r="C8026" s="94" t="s">
        <v>344</v>
      </c>
      <c r="D8026" s="94">
        <v>150.0</v>
      </c>
      <c r="E8026" s="94">
        <v>62.6146</v>
      </c>
      <c r="F8026" s="986">
        <v>0.397337962962963</v>
      </c>
      <c r="G8026" s="94" t="s">
        <v>453</v>
      </c>
      <c r="H8026" s="987">
        <v>1.0</v>
      </c>
      <c r="I8026" s="988" t="s">
        <v>3145</v>
      </c>
      <c r="J8026" s="67">
        <f t="shared" si="475"/>
        <v>-9393.19</v>
      </c>
      <c r="L8026" s="70"/>
      <c r="M8026" s="934"/>
    </row>
    <row r="8027" ht="12.75" hidden="1" customHeight="1" outlineLevel="1">
      <c r="A8027" s="202">
        <v>42347.0</v>
      </c>
      <c r="B8027" s="985" t="s">
        <v>347</v>
      </c>
      <c r="C8027" s="94" t="s">
        <v>1947</v>
      </c>
      <c r="D8027" s="94">
        <v>800.0</v>
      </c>
      <c r="E8027" s="94">
        <v>42.102</v>
      </c>
      <c r="F8027" s="986">
        <v>0.49140046296296297</v>
      </c>
      <c r="G8027" s="94" t="s">
        <v>453</v>
      </c>
      <c r="H8027" s="987">
        <v>4.32</v>
      </c>
      <c r="I8027" s="988" t="s">
        <v>3145</v>
      </c>
      <c r="J8027" s="67">
        <f t="shared" si="475"/>
        <v>33677.28</v>
      </c>
      <c r="L8027" s="70"/>
      <c r="M8027" s="934"/>
    </row>
    <row r="8028" ht="12.75" hidden="1" customHeight="1" outlineLevel="1">
      <c r="A8028" s="202">
        <v>42347.0</v>
      </c>
      <c r="B8028" s="985" t="s">
        <v>347</v>
      </c>
      <c r="C8028" s="94" t="s">
        <v>1902</v>
      </c>
      <c r="D8028" s="94">
        <v>500.0</v>
      </c>
      <c r="E8028" s="94">
        <v>10.6602</v>
      </c>
      <c r="F8028" s="986">
        <v>0.5880787037037037</v>
      </c>
      <c r="G8028" s="94" t="s">
        <v>453</v>
      </c>
      <c r="H8028" s="987">
        <v>2.1</v>
      </c>
      <c r="I8028" s="988" t="s">
        <v>3145</v>
      </c>
      <c r="J8028" s="67">
        <f t="shared" si="475"/>
        <v>5328</v>
      </c>
      <c r="L8028" s="70"/>
      <c r="M8028" s="934"/>
    </row>
    <row r="8029" ht="12.75" hidden="1" customHeight="1" outlineLevel="1">
      <c r="A8029" s="202">
        <v>42347.0</v>
      </c>
      <c r="B8029" s="985" t="s">
        <v>347</v>
      </c>
      <c r="C8029" s="94" t="s">
        <v>1902</v>
      </c>
      <c r="D8029" s="94">
        <v>500.0</v>
      </c>
      <c r="E8029" s="94">
        <v>10.644</v>
      </c>
      <c r="F8029" s="986">
        <v>0.5896527777777778</v>
      </c>
      <c r="G8029" s="94" t="s">
        <v>453</v>
      </c>
      <c r="H8029" s="987">
        <v>2.2</v>
      </c>
      <c r="I8029" s="988" t="s">
        <v>3145</v>
      </c>
      <c r="J8029" s="67">
        <f t="shared" si="475"/>
        <v>5319.8</v>
      </c>
      <c r="L8029" s="70"/>
      <c r="M8029" s="934"/>
    </row>
    <row r="8030" ht="12.75" hidden="1" customHeight="1" outlineLevel="1">
      <c r="A8030" s="202">
        <v>42347.0</v>
      </c>
      <c r="B8030" s="985" t="s">
        <v>347</v>
      </c>
      <c r="C8030" s="94" t="s">
        <v>1902</v>
      </c>
      <c r="D8030" s="94">
        <v>500.0</v>
      </c>
      <c r="E8030" s="94">
        <v>10.6601</v>
      </c>
      <c r="F8030" s="986">
        <v>0.590300925925926</v>
      </c>
      <c r="G8030" s="94" t="s">
        <v>453</v>
      </c>
      <c r="H8030" s="987">
        <v>2.1</v>
      </c>
      <c r="I8030" s="988" t="s">
        <v>3145</v>
      </c>
      <c r="J8030" s="67">
        <f t="shared" si="475"/>
        <v>5327.95</v>
      </c>
      <c r="L8030" s="70"/>
      <c r="M8030" s="934"/>
    </row>
    <row r="8031" ht="12.75" hidden="1" customHeight="1" outlineLevel="1">
      <c r="A8031" s="202">
        <v>42347.0</v>
      </c>
      <c r="B8031" s="985" t="s">
        <v>347</v>
      </c>
      <c r="C8031" s="94" t="s">
        <v>790</v>
      </c>
      <c r="D8031" s="286">
        <v>2000.0</v>
      </c>
      <c r="E8031" s="94">
        <v>4.931</v>
      </c>
      <c r="F8031" s="986">
        <v>0.5946296296296296</v>
      </c>
      <c r="G8031" s="94" t="s">
        <v>453</v>
      </c>
      <c r="H8031" s="987">
        <v>8.18</v>
      </c>
      <c r="I8031" s="988" t="s">
        <v>3145</v>
      </c>
      <c r="J8031" s="67">
        <f t="shared" si="475"/>
        <v>9853.82</v>
      </c>
      <c r="L8031" s="70"/>
      <c r="M8031" s="934"/>
    </row>
    <row r="8032" ht="12.75" hidden="1" customHeight="1" outlineLevel="1">
      <c r="A8032" s="202">
        <v>42347.0</v>
      </c>
      <c r="B8032" s="985" t="s">
        <v>343</v>
      </c>
      <c r="C8032" s="94" t="s">
        <v>1249</v>
      </c>
      <c r="D8032" s="94">
        <v>150.0</v>
      </c>
      <c r="E8032" s="94">
        <v>100.96</v>
      </c>
      <c r="F8032" s="986">
        <v>0.5957407407407408</v>
      </c>
      <c r="G8032" s="94" t="s">
        <v>453</v>
      </c>
      <c r="H8032" s="987">
        <v>1.0</v>
      </c>
      <c r="I8032" s="988" t="s">
        <v>3145</v>
      </c>
      <c r="J8032" s="67">
        <f t="shared" si="475"/>
        <v>-15145</v>
      </c>
      <c r="L8032" s="70"/>
      <c r="M8032" s="934"/>
    </row>
    <row r="8033" ht="12.75" hidden="1" customHeight="1" outlineLevel="1">
      <c r="A8033" s="122">
        <v>42347.0</v>
      </c>
      <c r="B8033" s="992"/>
      <c r="C8033" s="32" t="s">
        <v>339</v>
      </c>
      <c r="D8033" s="1"/>
      <c r="F8033" s="1"/>
      <c r="G8033" s="1"/>
      <c r="H8033" s="68"/>
      <c r="I8033" s="76"/>
      <c r="K8033" s="201" t="s">
        <v>3226</v>
      </c>
      <c r="L8033" s="934"/>
      <c r="M8033" s="934"/>
    </row>
    <row r="8034" ht="12.75" hidden="1" customHeight="1" outlineLevel="1">
      <c r="A8034" s="122">
        <v>42347.0</v>
      </c>
      <c r="B8034" s="992"/>
      <c r="C8034" s="32" t="s">
        <v>429</v>
      </c>
      <c r="D8034" s="1"/>
      <c r="F8034" s="1"/>
      <c r="G8034" s="1"/>
      <c r="H8034" s="68"/>
      <c r="I8034" s="76"/>
      <c r="K8034" s="9" t="s">
        <v>3187</v>
      </c>
      <c r="L8034" s="934"/>
      <c r="M8034" s="934"/>
    </row>
    <row r="8035" ht="12.75" hidden="1" customHeight="1" outlineLevel="1">
      <c r="A8035" s="122">
        <v>42347.0</v>
      </c>
      <c r="B8035" s="992"/>
      <c r="C8035" s="32" t="s">
        <v>431</v>
      </c>
      <c r="D8035" s="1"/>
      <c r="F8035" s="1"/>
      <c r="G8035" s="1"/>
      <c r="H8035" s="68"/>
      <c r="I8035" s="76"/>
      <c r="K8035" s="7" t="s">
        <v>1126</v>
      </c>
      <c r="L8035" s="934"/>
      <c r="M8035" s="934"/>
    </row>
    <row r="8036" ht="12.75" hidden="1" customHeight="1" outlineLevel="1">
      <c r="A8036" s="122">
        <v>42347.0</v>
      </c>
      <c r="B8036" s="992"/>
      <c r="C8036" s="32" t="s">
        <v>433</v>
      </c>
      <c r="D8036" s="1"/>
      <c r="F8036" s="1"/>
      <c r="G8036" s="1"/>
      <c r="H8036" s="68"/>
      <c r="I8036" s="76"/>
      <c r="K8036" s="7" t="s">
        <v>1103</v>
      </c>
      <c r="L8036" s="934"/>
      <c r="M8036" s="934"/>
    </row>
    <row r="8037" ht="12.75" hidden="1" customHeight="1" outlineLevel="1">
      <c r="A8037" s="122">
        <v>42347.0</v>
      </c>
      <c r="B8037" s="992"/>
      <c r="C8037" s="32" t="s">
        <v>435</v>
      </c>
      <c r="D8037" s="1"/>
      <c r="F8037" s="1"/>
      <c r="G8037" s="1"/>
      <c r="H8037" s="68"/>
      <c r="I8037" s="76"/>
      <c r="K8037" s="9" t="s">
        <v>3134</v>
      </c>
      <c r="L8037" s="934"/>
      <c r="M8037" s="934"/>
    </row>
    <row r="8038" ht="12.75" hidden="1" customHeight="1" outlineLevel="1">
      <c r="A8038" s="202">
        <v>42349.0</v>
      </c>
      <c r="B8038" s="985" t="s">
        <v>347</v>
      </c>
      <c r="C8038" s="94" t="s">
        <v>1938</v>
      </c>
      <c r="D8038" s="286">
        <v>1000.0</v>
      </c>
      <c r="E8038" s="94">
        <v>16.38</v>
      </c>
      <c r="F8038" s="986">
        <v>0.41886574074074073</v>
      </c>
      <c r="G8038" s="94" t="s">
        <v>453</v>
      </c>
      <c r="H8038" s="987">
        <v>4.3</v>
      </c>
      <c r="I8038" s="988" t="s">
        <v>3145</v>
      </c>
      <c r="J8038" s="67">
        <f>IF(B8038="SLD",D8038*E8038,-D8038*E8038)-H8038</f>
        <v>16375.7</v>
      </c>
      <c r="L8038" s="70"/>
      <c r="M8038" s="934"/>
    </row>
    <row r="8039" ht="12.75" hidden="1" customHeight="1" outlineLevel="1">
      <c r="A8039" s="122">
        <v>42349.0</v>
      </c>
      <c r="B8039" s="992"/>
      <c r="C8039" s="32" t="s">
        <v>339</v>
      </c>
      <c r="D8039" s="1"/>
      <c r="F8039" s="1"/>
      <c r="G8039" s="1"/>
      <c r="H8039" s="68"/>
      <c r="I8039" s="76"/>
      <c r="K8039" s="201" t="s">
        <v>3227</v>
      </c>
      <c r="L8039" s="934"/>
      <c r="M8039" s="934"/>
    </row>
    <row r="8040" ht="12.75" hidden="1" customHeight="1" outlineLevel="1">
      <c r="A8040" s="122">
        <v>42349.0</v>
      </c>
      <c r="B8040" s="992"/>
      <c r="C8040" s="32" t="s">
        <v>429</v>
      </c>
      <c r="D8040" s="1"/>
      <c r="F8040" s="1"/>
      <c r="G8040" s="1"/>
      <c r="H8040" s="68"/>
      <c r="I8040" s="76"/>
      <c r="K8040" s="9" t="s">
        <v>3187</v>
      </c>
      <c r="L8040" s="934"/>
      <c r="M8040" s="934"/>
    </row>
    <row r="8041" ht="12.75" hidden="1" customHeight="1" outlineLevel="1">
      <c r="A8041" s="122">
        <v>42349.0</v>
      </c>
      <c r="B8041" s="992"/>
      <c r="C8041" s="32" t="s">
        <v>431</v>
      </c>
      <c r="D8041" s="1"/>
      <c r="F8041" s="1"/>
      <c r="G8041" s="1"/>
      <c r="H8041" s="68"/>
      <c r="I8041" s="76"/>
      <c r="K8041" s="7" t="s">
        <v>1126</v>
      </c>
      <c r="L8041" s="934"/>
      <c r="M8041" s="934"/>
    </row>
    <row r="8042" ht="12.75" hidden="1" customHeight="1" outlineLevel="1">
      <c r="A8042" s="122">
        <v>42349.0</v>
      </c>
      <c r="B8042" s="992"/>
      <c r="C8042" s="32" t="s">
        <v>433</v>
      </c>
      <c r="D8042" s="1"/>
      <c r="F8042" s="1"/>
      <c r="G8042" s="1"/>
      <c r="H8042" s="68"/>
      <c r="I8042" s="76"/>
      <c r="K8042" s="7" t="s">
        <v>1103</v>
      </c>
      <c r="L8042" s="934"/>
      <c r="M8042" s="934"/>
    </row>
    <row r="8043" ht="12.75" hidden="1" customHeight="1" outlineLevel="1">
      <c r="A8043" s="122">
        <v>42349.0</v>
      </c>
      <c r="B8043" s="992"/>
      <c r="C8043" s="32" t="s">
        <v>435</v>
      </c>
      <c r="D8043" s="1"/>
      <c r="F8043" s="1"/>
      <c r="G8043" s="1"/>
      <c r="H8043" s="68"/>
      <c r="I8043" s="76"/>
      <c r="K8043" s="9" t="s">
        <v>3134</v>
      </c>
      <c r="L8043" s="934"/>
      <c r="M8043" s="934"/>
    </row>
    <row r="8044" ht="12.75" hidden="1" customHeight="1" outlineLevel="1">
      <c r="A8044" s="202">
        <v>42353.0</v>
      </c>
      <c r="B8044" s="985" t="s">
        <v>343</v>
      </c>
      <c r="C8044" s="94" t="s">
        <v>847</v>
      </c>
      <c r="D8044" s="94">
        <v>100.0</v>
      </c>
      <c r="E8044" s="94">
        <v>141.87</v>
      </c>
      <c r="F8044" s="986">
        <v>0.41461805555555553</v>
      </c>
      <c r="G8044" s="94" t="s">
        <v>453</v>
      </c>
      <c r="H8044" s="987">
        <v>1.0</v>
      </c>
      <c r="I8044" s="988" t="s">
        <v>3145</v>
      </c>
      <c r="J8044" s="67">
        <f t="shared" ref="J8044:J8047" si="476">IF(B8044="SLD",D8044*E8044,-D8044*E8044)-H8044</f>
        <v>-14188</v>
      </c>
      <c r="L8044" s="70"/>
      <c r="M8044" s="934"/>
    </row>
    <row r="8045" ht="12.75" hidden="1" customHeight="1" outlineLevel="1">
      <c r="A8045" s="202">
        <v>42353.0</v>
      </c>
      <c r="B8045" s="985" t="s">
        <v>343</v>
      </c>
      <c r="C8045" s="94" t="s">
        <v>1244</v>
      </c>
      <c r="D8045" s="94">
        <v>100.0</v>
      </c>
      <c r="E8045" s="94">
        <v>102.73</v>
      </c>
      <c r="F8045" s="986">
        <v>0.5977893518518519</v>
      </c>
      <c r="G8045" s="94" t="s">
        <v>453</v>
      </c>
      <c r="H8045" s="987">
        <v>1.0</v>
      </c>
      <c r="I8045" s="988" t="s">
        <v>3145</v>
      </c>
      <c r="J8045" s="67">
        <f t="shared" si="476"/>
        <v>-10274</v>
      </c>
      <c r="L8045" s="70"/>
      <c r="M8045" s="934"/>
    </row>
    <row r="8046" ht="12.75" hidden="1" customHeight="1" outlineLevel="1">
      <c r="A8046" s="202">
        <v>42353.0</v>
      </c>
      <c r="B8046" s="985" t="s">
        <v>343</v>
      </c>
      <c r="C8046" s="94" t="s">
        <v>2177</v>
      </c>
      <c r="D8046" s="94">
        <v>200.0</v>
      </c>
      <c r="E8046" s="94">
        <v>112.34</v>
      </c>
      <c r="F8046" s="986">
        <v>0.6145486111111111</v>
      </c>
      <c r="G8046" s="94" t="s">
        <v>453</v>
      </c>
      <c r="H8046" s="987">
        <v>1.0</v>
      </c>
      <c r="I8046" s="988" t="s">
        <v>3145</v>
      </c>
      <c r="J8046" s="67">
        <f t="shared" si="476"/>
        <v>-22469</v>
      </c>
      <c r="L8046" s="70"/>
      <c r="M8046" s="934"/>
    </row>
    <row r="8047" ht="12.75" hidden="1" customHeight="1" outlineLevel="1">
      <c r="A8047" s="202">
        <v>42353.0</v>
      </c>
      <c r="B8047" s="985" t="s">
        <v>343</v>
      </c>
      <c r="C8047" s="94" t="s">
        <v>2177</v>
      </c>
      <c r="D8047" s="94">
        <v>100.0</v>
      </c>
      <c r="E8047" s="94">
        <v>109.21</v>
      </c>
      <c r="F8047" s="986">
        <v>0.6570254629629629</v>
      </c>
      <c r="G8047" s="94" t="s">
        <v>453</v>
      </c>
      <c r="H8047" s="987">
        <v>1.0</v>
      </c>
      <c r="I8047" s="988" t="s">
        <v>3145</v>
      </c>
      <c r="J8047" s="67">
        <f t="shared" si="476"/>
        <v>-10922</v>
      </c>
      <c r="L8047" s="70"/>
      <c r="M8047" s="934"/>
    </row>
    <row r="8048" ht="12.75" hidden="1" customHeight="1" outlineLevel="1">
      <c r="A8048" s="122">
        <v>42353.0</v>
      </c>
      <c r="B8048" s="992"/>
      <c r="C8048" s="32" t="s">
        <v>339</v>
      </c>
      <c r="D8048" s="1"/>
      <c r="F8048" s="1"/>
      <c r="G8048" s="1"/>
      <c r="H8048" s="68"/>
      <c r="I8048" s="76"/>
      <c r="K8048" s="201" t="s">
        <v>3228</v>
      </c>
      <c r="L8048" s="934"/>
      <c r="M8048" s="934"/>
    </row>
    <row r="8049" ht="12.75" hidden="1" customHeight="1" outlineLevel="1">
      <c r="A8049" s="122">
        <v>42353.0</v>
      </c>
      <c r="B8049" s="992"/>
      <c r="C8049" s="32" t="s">
        <v>429</v>
      </c>
      <c r="D8049" s="1"/>
      <c r="F8049" s="1"/>
      <c r="G8049" s="1"/>
      <c r="H8049" s="68"/>
      <c r="I8049" s="76"/>
      <c r="K8049" s="9" t="s">
        <v>3187</v>
      </c>
      <c r="L8049" s="934"/>
      <c r="M8049" s="934"/>
    </row>
    <row r="8050" ht="12.75" hidden="1" customHeight="1" outlineLevel="1">
      <c r="A8050" s="122">
        <v>42353.0</v>
      </c>
      <c r="B8050" s="992"/>
      <c r="C8050" s="32" t="s">
        <v>431</v>
      </c>
      <c r="D8050" s="1"/>
      <c r="F8050" s="1"/>
      <c r="G8050" s="1"/>
      <c r="H8050" s="68"/>
      <c r="I8050" s="76"/>
      <c r="K8050" s="7" t="s">
        <v>1126</v>
      </c>
      <c r="L8050" s="934"/>
      <c r="M8050" s="934"/>
    </row>
    <row r="8051" ht="12.75" hidden="1" customHeight="1" outlineLevel="1">
      <c r="A8051" s="122">
        <v>42353.0</v>
      </c>
      <c r="B8051" s="992"/>
      <c r="C8051" s="32" t="s">
        <v>433</v>
      </c>
      <c r="D8051" s="1"/>
      <c r="F8051" s="1"/>
      <c r="G8051" s="1"/>
      <c r="H8051" s="68"/>
      <c r="I8051" s="76"/>
      <c r="K8051" s="7" t="s">
        <v>1103</v>
      </c>
      <c r="L8051" s="934"/>
      <c r="M8051" s="934"/>
    </row>
    <row r="8052" ht="12.75" hidden="1" customHeight="1" outlineLevel="1">
      <c r="A8052" s="122">
        <v>42353.0</v>
      </c>
      <c r="B8052" s="992"/>
      <c r="C8052" s="32" t="s">
        <v>435</v>
      </c>
      <c r="D8052" s="1"/>
      <c r="F8052" s="1"/>
      <c r="G8052" s="1"/>
      <c r="H8052" s="68"/>
      <c r="I8052" s="76"/>
      <c r="K8052" s="9" t="s">
        <v>3134</v>
      </c>
      <c r="L8052" s="934"/>
      <c r="M8052" s="934"/>
    </row>
    <row r="8053" ht="12.75" hidden="1" customHeight="1" outlineLevel="1">
      <c r="A8053" s="202">
        <v>42354.0</v>
      </c>
      <c r="B8053" s="985" t="s">
        <v>343</v>
      </c>
      <c r="C8053" s="94" t="s">
        <v>1249</v>
      </c>
      <c r="D8053" s="94">
        <v>100.0</v>
      </c>
      <c r="E8053" s="94">
        <v>102.29</v>
      </c>
      <c r="F8053" s="986">
        <v>0.397349537037037</v>
      </c>
      <c r="G8053" s="94" t="s">
        <v>453</v>
      </c>
      <c r="H8053" s="987">
        <v>1.0</v>
      </c>
      <c r="I8053" s="988" t="s">
        <v>3145</v>
      </c>
      <c r="J8053" s="67">
        <f t="shared" ref="J8053:J8054" si="477">IF(B8053="SLD",D8053*E8053,-D8053*E8053)-H8053</f>
        <v>-10230</v>
      </c>
      <c r="L8053" s="70"/>
      <c r="M8053" s="934"/>
    </row>
    <row r="8054" ht="12.75" hidden="1" customHeight="1" outlineLevel="1">
      <c r="A8054" s="202">
        <v>42354.0</v>
      </c>
      <c r="B8054" s="985" t="s">
        <v>343</v>
      </c>
      <c r="C8054" s="94" t="s">
        <v>1358</v>
      </c>
      <c r="D8054" s="94">
        <v>100.0</v>
      </c>
      <c r="E8054" s="94">
        <v>138.84</v>
      </c>
      <c r="F8054" s="986">
        <v>0.3984259259259259</v>
      </c>
      <c r="G8054" s="94" t="s">
        <v>453</v>
      </c>
      <c r="H8054" s="987">
        <v>1.0</v>
      </c>
      <c r="I8054" s="988" t="s">
        <v>3145</v>
      </c>
      <c r="J8054" s="67">
        <f t="shared" si="477"/>
        <v>-13885</v>
      </c>
      <c r="L8054" s="70"/>
      <c r="M8054" s="934"/>
    </row>
    <row r="8055" ht="12.75" hidden="1" customHeight="1" outlineLevel="1">
      <c r="A8055" s="122">
        <v>42354.0</v>
      </c>
      <c r="B8055" s="992"/>
      <c r="C8055" s="32" t="s">
        <v>339</v>
      </c>
      <c r="D8055" s="1"/>
      <c r="F8055" s="1"/>
      <c r="G8055" s="1"/>
      <c r="H8055" s="68"/>
      <c r="I8055" s="76"/>
      <c r="K8055" s="201" t="s">
        <v>3229</v>
      </c>
      <c r="L8055" s="934"/>
      <c r="M8055" s="934"/>
    </row>
    <row r="8056" ht="12.75" hidden="1" customHeight="1" outlineLevel="1">
      <c r="A8056" s="122">
        <v>42354.0</v>
      </c>
      <c r="B8056" s="992"/>
      <c r="C8056" s="32" t="s">
        <v>429</v>
      </c>
      <c r="D8056" s="1"/>
      <c r="F8056" s="1"/>
      <c r="G8056" s="1"/>
      <c r="H8056" s="68"/>
      <c r="I8056" s="76"/>
      <c r="K8056" s="9" t="s">
        <v>3187</v>
      </c>
      <c r="L8056" s="934"/>
      <c r="M8056" s="934"/>
    </row>
    <row r="8057" ht="12.75" hidden="1" customHeight="1" outlineLevel="1">
      <c r="A8057" s="122">
        <v>42354.0</v>
      </c>
      <c r="B8057" s="992"/>
      <c r="C8057" s="32" t="s">
        <v>431</v>
      </c>
      <c r="D8057" s="1"/>
      <c r="F8057" s="1"/>
      <c r="G8057" s="1"/>
      <c r="H8057" s="68"/>
      <c r="I8057" s="76"/>
      <c r="K8057" s="7" t="s">
        <v>1126</v>
      </c>
      <c r="L8057" s="934"/>
      <c r="M8057" s="934"/>
    </row>
    <row r="8058" ht="12.75" hidden="1" customHeight="1" outlineLevel="1">
      <c r="A8058" s="122">
        <v>42354.0</v>
      </c>
      <c r="B8058" s="992"/>
      <c r="C8058" s="32" t="s">
        <v>433</v>
      </c>
      <c r="D8058" s="1"/>
      <c r="F8058" s="1"/>
      <c r="G8058" s="1"/>
      <c r="H8058" s="68"/>
      <c r="I8058" s="76"/>
      <c r="K8058" s="7" t="s">
        <v>1103</v>
      </c>
      <c r="L8058" s="934"/>
      <c r="M8058" s="934"/>
    </row>
    <row r="8059" ht="12.75" hidden="1" customHeight="1" outlineLevel="1">
      <c r="A8059" s="122">
        <v>42354.0</v>
      </c>
      <c r="B8059" s="992"/>
      <c r="C8059" s="32" t="s">
        <v>435</v>
      </c>
      <c r="D8059" s="1"/>
      <c r="F8059" s="1"/>
      <c r="G8059" s="1"/>
      <c r="H8059" s="68"/>
      <c r="I8059" s="76"/>
      <c r="K8059" s="9" t="s">
        <v>3134</v>
      </c>
      <c r="L8059" s="934"/>
      <c r="M8059" s="934"/>
    </row>
    <row r="8060" ht="12.75" hidden="1" customHeight="1" outlineLevel="1">
      <c r="A8060" s="202">
        <v>42355.0</v>
      </c>
      <c r="B8060" s="985" t="s">
        <v>343</v>
      </c>
      <c r="C8060" s="94" t="s">
        <v>605</v>
      </c>
      <c r="D8060" s="94">
        <v>100.0</v>
      </c>
      <c r="E8060" s="94">
        <v>82.6497</v>
      </c>
      <c r="F8060" s="986">
        <v>0.5752893518518518</v>
      </c>
      <c r="G8060" s="94" t="s">
        <v>453</v>
      </c>
      <c r="H8060" s="987">
        <v>1.0</v>
      </c>
      <c r="I8060" s="988" t="s">
        <v>3145</v>
      </c>
      <c r="J8060" s="67">
        <f t="shared" ref="J8060:J8073" si="478">IF(B8060="SLD",D8060*E8060,-D8060*E8060)-H8060</f>
        <v>-8265.97</v>
      </c>
      <c r="L8060" s="70"/>
      <c r="M8060" s="934"/>
    </row>
    <row r="8061" ht="12.75" hidden="1" customHeight="1" outlineLevel="1">
      <c r="A8061" s="202">
        <v>42355.0</v>
      </c>
      <c r="B8061" s="985" t="s">
        <v>347</v>
      </c>
      <c r="C8061" s="94" t="s">
        <v>1902</v>
      </c>
      <c r="D8061" s="286">
        <v>1500.0</v>
      </c>
      <c r="E8061" s="94">
        <v>11.09</v>
      </c>
      <c r="F8061" s="986">
        <v>0.5681597222222222</v>
      </c>
      <c r="G8061" s="94" t="s">
        <v>453</v>
      </c>
      <c r="H8061" s="987">
        <v>7.11</v>
      </c>
      <c r="I8061" s="988" t="s">
        <v>3145</v>
      </c>
      <c r="J8061" s="67">
        <f t="shared" si="478"/>
        <v>16627.89</v>
      </c>
      <c r="L8061" s="70"/>
      <c r="M8061" s="934"/>
    </row>
    <row r="8062" ht="12.75" hidden="1" customHeight="1" outlineLevel="1">
      <c r="A8062" s="202">
        <v>42355.0</v>
      </c>
      <c r="B8062" s="985" t="s">
        <v>343</v>
      </c>
      <c r="C8062" s="94" t="s">
        <v>1310</v>
      </c>
      <c r="D8062" s="94">
        <v>30.0</v>
      </c>
      <c r="E8062" s="94">
        <v>308.97</v>
      </c>
      <c r="F8062" s="986">
        <v>0.5608449074074074</v>
      </c>
      <c r="G8062" s="94" t="s">
        <v>453</v>
      </c>
      <c r="H8062" s="987">
        <v>1.0</v>
      </c>
      <c r="I8062" s="988" t="s">
        <v>3145</v>
      </c>
      <c r="J8062" s="67">
        <f t="shared" si="478"/>
        <v>-9270.1</v>
      </c>
      <c r="L8062" s="70"/>
      <c r="M8062" s="934"/>
    </row>
    <row r="8063" ht="12.75" hidden="1" customHeight="1" outlineLevel="1">
      <c r="A8063" s="202">
        <v>42355.0</v>
      </c>
      <c r="B8063" s="985" t="s">
        <v>343</v>
      </c>
      <c r="C8063" s="94" t="s">
        <v>1249</v>
      </c>
      <c r="D8063" s="94">
        <v>100.0</v>
      </c>
      <c r="E8063" s="94">
        <v>102.48</v>
      </c>
      <c r="F8063" s="986">
        <v>0.56</v>
      </c>
      <c r="G8063" s="94" t="s">
        <v>453</v>
      </c>
      <c r="H8063" s="987">
        <v>1.0</v>
      </c>
      <c r="I8063" s="988" t="s">
        <v>3145</v>
      </c>
      <c r="J8063" s="67">
        <f t="shared" si="478"/>
        <v>-10249</v>
      </c>
      <c r="L8063" s="70"/>
      <c r="M8063" s="934"/>
    </row>
    <row r="8064" ht="12.75" hidden="1" customHeight="1" outlineLevel="1">
      <c r="A8064" s="202">
        <v>42355.0</v>
      </c>
      <c r="B8064" s="985" t="s">
        <v>343</v>
      </c>
      <c r="C8064" s="94" t="s">
        <v>2412</v>
      </c>
      <c r="D8064" s="94">
        <v>100.0</v>
      </c>
      <c r="E8064" s="94">
        <v>63.48</v>
      </c>
      <c r="F8064" s="986">
        <v>0.5589004629629629</v>
      </c>
      <c r="G8064" s="94" t="s">
        <v>453</v>
      </c>
      <c r="H8064" s="987">
        <v>1.0</v>
      </c>
      <c r="I8064" s="988" t="s">
        <v>3145</v>
      </c>
      <c r="J8064" s="67">
        <f t="shared" si="478"/>
        <v>-6349</v>
      </c>
      <c r="L8064" s="70"/>
      <c r="M8064" s="934"/>
    </row>
    <row r="8065" ht="12.75" hidden="1" customHeight="1" outlineLevel="1">
      <c r="A8065" s="202">
        <v>42355.0</v>
      </c>
      <c r="B8065" s="985" t="s">
        <v>343</v>
      </c>
      <c r="C8065" s="94" t="s">
        <v>847</v>
      </c>
      <c r="D8065" s="94">
        <v>200.0</v>
      </c>
      <c r="E8065" s="94">
        <v>142.75</v>
      </c>
      <c r="F8065" s="986">
        <v>0.5585763888888889</v>
      </c>
      <c r="G8065" s="94" t="s">
        <v>453</v>
      </c>
      <c r="H8065" s="987">
        <v>1.0</v>
      </c>
      <c r="I8065" s="988" t="s">
        <v>3145</v>
      </c>
      <c r="J8065" s="67">
        <f t="shared" si="478"/>
        <v>-28551</v>
      </c>
      <c r="L8065" s="70"/>
      <c r="M8065" s="934"/>
    </row>
    <row r="8066" ht="12.75" hidden="1" customHeight="1" outlineLevel="1">
      <c r="A8066" s="202">
        <v>42355.0</v>
      </c>
      <c r="B8066" s="985" t="s">
        <v>347</v>
      </c>
      <c r="C8066" s="94" t="s">
        <v>1890</v>
      </c>
      <c r="D8066" s="286">
        <v>1600.0</v>
      </c>
      <c r="E8066" s="94">
        <v>15.882</v>
      </c>
      <c r="F8066" s="986">
        <v>0.4049421296296296</v>
      </c>
      <c r="G8066" s="94" t="s">
        <v>453</v>
      </c>
      <c r="H8066" s="987">
        <v>7.87</v>
      </c>
      <c r="I8066" s="988" t="s">
        <v>3145</v>
      </c>
      <c r="J8066" s="67">
        <f t="shared" si="478"/>
        <v>25403.33</v>
      </c>
      <c r="L8066" s="70"/>
      <c r="M8066" s="934"/>
    </row>
    <row r="8067" ht="12.75" hidden="1" customHeight="1" outlineLevel="1">
      <c r="A8067" s="202">
        <v>42356.0</v>
      </c>
      <c r="B8067" s="985" t="s">
        <v>347</v>
      </c>
      <c r="C8067" s="94" t="s">
        <v>2177</v>
      </c>
      <c r="D8067" s="94">
        <v>400.0</v>
      </c>
      <c r="E8067" s="94">
        <v>106.71</v>
      </c>
      <c r="F8067" s="986">
        <v>0.42908564814814815</v>
      </c>
      <c r="G8067" s="94" t="s">
        <v>453</v>
      </c>
      <c r="H8067" s="987">
        <v>2.79</v>
      </c>
      <c r="I8067" s="988" t="s">
        <v>3145</v>
      </c>
      <c r="J8067" s="67">
        <f t="shared" si="478"/>
        <v>42681.21</v>
      </c>
      <c r="L8067" s="70"/>
      <c r="M8067" s="934"/>
    </row>
    <row r="8068" ht="12.75" hidden="1" customHeight="1" outlineLevel="1">
      <c r="A8068" s="202">
        <v>42356.0</v>
      </c>
      <c r="B8068" s="985" t="s">
        <v>343</v>
      </c>
      <c r="C8068" s="94" t="s">
        <v>2090</v>
      </c>
      <c r="D8068" s="286">
        <v>4500.0</v>
      </c>
      <c r="E8068" s="94">
        <v>3.369</v>
      </c>
      <c r="F8068" s="986">
        <v>0.46243055555555557</v>
      </c>
      <c r="G8068" s="94" t="s">
        <v>453</v>
      </c>
      <c r="H8068" s="987">
        <v>20.5</v>
      </c>
      <c r="I8068" s="988" t="s">
        <v>3145</v>
      </c>
      <c r="J8068" s="67">
        <f t="shared" si="478"/>
        <v>-15181</v>
      </c>
      <c r="L8068" s="70"/>
      <c r="M8068" s="934"/>
    </row>
    <row r="8069" ht="12.75" hidden="1" customHeight="1" outlineLevel="1">
      <c r="A8069" s="202">
        <v>42356.0</v>
      </c>
      <c r="B8069" s="985" t="s">
        <v>343</v>
      </c>
      <c r="C8069" s="94" t="s">
        <v>2084</v>
      </c>
      <c r="D8069" s="286">
        <v>2000.0</v>
      </c>
      <c r="E8069" s="94">
        <v>5.519</v>
      </c>
      <c r="F8069" s="986">
        <v>0.46291666666666664</v>
      </c>
      <c r="G8069" s="94" t="s">
        <v>453</v>
      </c>
      <c r="H8069" s="987">
        <v>8.3</v>
      </c>
      <c r="I8069" s="988" t="s">
        <v>3145</v>
      </c>
      <c r="J8069" s="67">
        <f t="shared" si="478"/>
        <v>-11046.3</v>
      </c>
      <c r="L8069" s="70"/>
      <c r="M8069" s="934"/>
    </row>
    <row r="8070" ht="12.75" hidden="1" customHeight="1" outlineLevel="1">
      <c r="A8070" s="202">
        <v>42356.0</v>
      </c>
      <c r="B8070" s="985" t="s">
        <v>343</v>
      </c>
      <c r="C8070" s="94" t="s">
        <v>1839</v>
      </c>
      <c r="D8070" s="94">
        <v>500.0</v>
      </c>
      <c r="E8070" s="94">
        <v>3.98</v>
      </c>
      <c r="F8070" s="986">
        <v>0.46318287037037037</v>
      </c>
      <c r="G8070" s="94" t="s">
        <v>453</v>
      </c>
      <c r="H8070" s="987">
        <v>2.0</v>
      </c>
      <c r="I8070" s="988" t="s">
        <v>3145</v>
      </c>
      <c r="J8070" s="67">
        <f t="shared" si="478"/>
        <v>-1992</v>
      </c>
      <c r="L8070" s="70"/>
      <c r="M8070" s="934"/>
    </row>
    <row r="8071" ht="12.75" hidden="1" customHeight="1" outlineLevel="1">
      <c r="A8071" s="202">
        <v>42356.0</v>
      </c>
      <c r="B8071" s="985" t="s">
        <v>343</v>
      </c>
      <c r="C8071" s="94" t="s">
        <v>1781</v>
      </c>
      <c r="D8071" s="286">
        <v>4500.0</v>
      </c>
      <c r="E8071" s="94">
        <v>7.259</v>
      </c>
      <c r="F8071" s="986">
        <v>0.4646527777777778</v>
      </c>
      <c r="G8071" s="94" t="s">
        <v>453</v>
      </c>
      <c r="H8071" s="987">
        <v>18.3</v>
      </c>
      <c r="I8071" s="988" t="s">
        <v>3145</v>
      </c>
      <c r="J8071" s="67">
        <f t="shared" si="478"/>
        <v>-32683.8</v>
      </c>
      <c r="L8071" s="70"/>
      <c r="M8071" s="934"/>
    </row>
    <row r="8072" ht="12.75" hidden="1" customHeight="1" outlineLevel="1">
      <c r="A8072" s="202">
        <v>42356.0</v>
      </c>
      <c r="B8072" s="985" t="s">
        <v>343</v>
      </c>
      <c r="C8072" s="94" t="s">
        <v>1893</v>
      </c>
      <c r="D8072" s="286">
        <v>1000.0</v>
      </c>
      <c r="E8072" s="94">
        <v>6.3799</v>
      </c>
      <c r="F8072" s="986">
        <v>0.46585648148148145</v>
      </c>
      <c r="G8072" s="94" t="s">
        <v>453</v>
      </c>
      <c r="H8072" s="987">
        <v>4.0</v>
      </c>
      <c r="I8072" s="988" t="s">
        <v>3145</v>
      </c>
      <c r="J8072" s="67">
        <f t="shared" si="478"/>
        <v>-6383.9</v>
      </c>
      <c r="L8072" s="70"/>
      <c r="M8072" s="934"/>
    </row>
    <row r="8073" ht="12.75" hidden="1" customHeight="1" outlineLevel="1">
      <c r="A8073" s="202">
        <v>42356.0</v>
      </c>
      <c r="B8073" s="985" t="s">
        <v>347</v>
      </c>
      <c r="C8073" s="94" t="s">
        <v>790</v>
      </c>
      <c r="D8073" s="286">
        <v>1500.0</v>
      </c>
      <c r="E8073" s="94">
        <v>4.301</v>
      </c>
      <c r="F8073" s="986">
        <v>0.6245138888888889</v>
      </c>
      <c r="G8073" s="94" t="s">
        <v>453</v>
      </c>
      <c r="H8073" s="987">
        <v>6.12</v>
      </c>
      <c r="I8073" s="988" t="s">
        <v>3145</v>
      </c>
      <c r="J8073" s="67">
        <f t="shared" si="478"/>
        <v>6445.38</v>
      </c>
      <c r="L8073" s="70"/>
      <c r="M8073" s="934"/>
    </row>
    <row r="8074" ht="12.75" hidden="1" customHeight="1" outlineLevel="1">
      <c r="A8074" s="122">
        <v>42356.0</v>
      </c>
      <c r="B8074" s="992"/>
      <c r="C8074" s="32" t="s">
        <v>339</v>
      </c>
      <c r="D8074" s="1"/>
      <c r="F8074" s="1"/>
      <c r="G8074" s="1"/>
      <c r="H8074" s="68"/>
      <c r="I8074" s="76"/>
      <c r="K8074" s="201" t="s">
        <v>3230</v>
      </c>
      <c r="L8074" s="934"/>
      <c r="M8074" s="934"/>
    </row>
    <row r="8075" ht="12.75" hidden="1" customHeight="1" outlineLevel="1">
      <c r="A8075" s="122">
        <v>42356.0</v>
      </c>
      <c r="B8075" s="992"/>
      <c r="C8075" s="32" t="s">
        <v>429</v>
      </c>
      <c r="D8075" s="1"/>
      <c r="F8075" s="1"/>
      <c r="G8075" s="1"/>
      <c r="H8075" s="68"/>
      <c r="I8075" s="76"/>
      <c r="K8075" s="9" t="s">
        <v>3187</v>
      </c>
      <c r="L8075" s="934"/>
      <c r="M8075" s="934"/>
    </row>
    <row r="8076" ht="12.75" hidden="1" customHeight="1" outlineLevel="1">
      <c r="A8076" s="122">
        <v>42356.0</v>
      </c>
      <c r="B8076" s="992"/>
      <c r="C8076" s="32" t="s">
        <v>431</v>
      </c>
      <c r="D8076" s="1"/>
      <c r="F8076" s="1"/>
      <c r="G8076" s="1"/>
      <c r="H8076" s="68"/>
      <c r="I8076" s="76"/>
      <c r="K8076" s="7" t="s">
        <v>1126</v>
      </c>
      <c r="L8076" s="934"/>
      <c r="M8076" s="934"/>
    </row>
    <row r="8077" ht="12.75" hidden="1" customHeight="1" outlineLevel="1">
      <c r="A8077" s="122">
        <v>42356.0</v>
      </c>
      <c r="B8077" s="992"/>
      <c r="C8077" s="32" t="s">
        <v>433</v>
      </c>
      <c r="D8077" s="1"/>
      <c r="F8077" s="1"/>
      <c r="G8077" s="1"/>
      <c r="H8077" s="68"/>
      <c r="I8077" s="76"/>
      <c r="K8077" s="7" t="s">
        <v>1103</v>
      </c>
      <c r="L8077" s="934"/>
      <c r="M8077" s="934"/>
    </row>
    <row r="8078" ht="12.75" hidden="1" customHeight="1" outlineLevel="1">
      <c r="A8078" s="122">
        <v>42356.0</v>
      </c>
      <c r="B8078" s="992"/>
      <c r="C8078" s="32" t="s">
        <v>435</v>
      </c>
      <c r="D8078" s="1"/>
      <c r="F8078" s="1"/>
      <c r="G8078" s="1"/>
      <c r="H8078" s="68"/>
      <c r="I8078" s="76"/>
      <c r="K8078" s="9" t="s">
        <v>3134</v>
      </c>
      <c r="L8078" s="934"/>
      <c r="M8078" s="934"/>
    </row>
    <row r="8079" ht="12.75" hidden="1" customHeight="1" outlineLevel="1">
      <c r="A8079" s="202">
        <v>42359.0</v>
      </c>
      <c r="B8079" s="985" t="s">
        <v>343</v>
      </c>
      <c r="C8079" s="94" t="s">
        <v>1056</v>
      </c>
      <c r="D8079" s="94">
        <v>65.0</v>
      </c>
      <c r="E8079" s="94">
        <v>252.84</v>
      </c>
      <c r="F8079" s="986">
        <v>0.4000694444444444</v>
      </c>
      <c r="G8079" s="94" t="s">
        <v>453</v>
      </c>
      <c r="H8079" s="987">
        <v>1.0</v>
      </c>
      <c r="I8079" s="988" t="s">
        <v>3145</v>
      </c>
      <c r="J8079" s="67">
        <f t="shared" ref="J8079:J8094" si="479">IF(B8079="SLD",D8079*E8079,-D8079*E8079)-H8079</f>
        <v>-16435.6</v>
      </c>
      <c r="L8079" s="70"/>
      <c r="M8079" s="934"/>
    </row>
    <row r="8080" ht="12.75" hidden="1" customHeight="1" outlineLevel="1">
      <c r="A8080" s="202">
        <v>42359.0</v>
      </c>
      <c r="B8080" s="985" t="s">
        <v>343</v>
      </c>
      <c r="C8080" s="94" t="s">
        <v>1082</v>
      </c>
      <c r="D8080" s="94">
        <v>20.0</v>
      </c>
      <c r="E8080" s="94">
        <v>747.12</v>
      </c>
      <c r="F8080" s="986">
        <v>0.4003125</v>
      </c>
      <c r="G8080" s="94" t="s">
        <v>453</v>
      </c>
      <c r="H8080" s="987">
        <v>1.0</v>
      </c>
      <c r="I8080" s="988" t="s">
        <v>3145</v>
      </c>
      <c r="J8080" s="67">
        <f t="shared" si="479"/>
        <v>-14943.4</v>
      </c>
      <c r="L8080" s="70"/>
      <c r="M8080" s="934"/>
    </row>
    <row r="8081" ht="12.75" hidden="1" customHeight="1" outlineLevel="1">
      <c r="A8081" s="202">
        <v>42359.0</v>
      </c>
      <c r="B8081" s="985" t="s">
        <v>347</v>
      </c>
      <c r="C8081" s="94" t="s">
        <v>790</v>
      </c>
      <c r="D8081" s="286">
        <v>4000.0</v>
      </c>
      <c r="E8081" s="94">
        <v>4.23</v>
      </c>
      <c r="F8081" s="986">
        <v>0.4035532407407407</v>
      </c>
      <c r="G8081" s="94" t="s">
        <v>453</v>
      </c>
      <c r="H8081" s="987">
        <v>17.81</v>
      </c>
      <c r="I8081" s="988" t="s">
        <v>3145</v>
      </c>
      <c r="J8081" s="67">
        <f t="shared" si="479"/>
        <v>16902.19</v>
      </c>
      <c r="L8081" s="70"/>
      <c r="M8081" s="934"/>
    </row>
    <row r="8082" ht="12.75" hidden="1" customHeight="1" outlineLevel="1">
      <c r="A8082" s="202">
        <v>42359.0</v>
      </c>
      <c r="B8082" s="985" t="s">
        <v>347</v>
      </c>
      <c r="C8082" s="94" t="s">
        <v>1902</v>
      </c>
      <c r="D8082" s="286">
        <v>1500.0</v>
      </c>
      <c r="E8082" s="94">
        <v>10.44</v>
      </c>
      <c r="F8082" s="986">
        <v>0.40370370370370373</v>
      </c>
      <c r="G8082" s="94" t="s">
        <v>453</v>
      </c>
      <c r="H8082" s="987">
        <v>7.79</v>
      </c>
      <c r="I8082" s="988" t="s">
        <v>3145</v>
      </c>
      <c r="J8082" s="67">
        <f t="shared" si="479"/>
        <v>15652.21</v>
      </c>
      <c r="L8082" s="70"/>
      <c r="M8082" s="934"/>
    </row>
    <row r="8083" ht="12.75" hidden="1" customHeight="1" outlineLevel="1">
      <c r="A8083" s="202">
        <v>42359.0</v>
      </c>
      <c r="B8083" s="985" t="s">
        <v>343</v>
      </c>
      <c r="C8083" s="94" t="s">
        <v>1221</v>
      </c>
      <c r="D8083" s="94">
        <v>400.0</v>
      </c>
      <c r="E8083" s="94">
        <v>37.36</v>
      </c>
      <c r="F8083" s="986">
        <v>0.4211111111111111</v>
      </c>
      <c r="G8083" s="94" t="s">
        <v>453</v>
      </c>
      <c r="H8083" s="987">
        <v>1.8</v>
      </c>
      <c r="I8083" s="988" t="s">
        <v>3145</v>
      </c>
      <c r="J8083" s="67">
        <f t="shared" si="479"/>
        <v>-14945.8</v>
      </c>
      <c r="L8083" s="70"/>
      <c r="M8083" s="934"/>
    </row>
    <row r="8084" ht="12.75" hidden="1" customHeight="1" outlineLevel="1">
      <c r="A8084" s="202">
        <v>42359.0</v>
      </c>
      <c r="B8084" s="985" t="s">
        <v>343</v>
      </c>
      <c r="C8084" s="94" t="s">
        <v>1357</v>
      </c>
      <c r="D8084" s="94">
        <v>350.0</v>
      </c>
      <c r="E8084" s="94">
        <v>36.008</v>
      </c>
      <c r="F8084" s="986">
        <v>0.42324074074074075</v>
      </c>
      <c r="G8084" s="94" t="s">
        <v>453</v>
      </c>
      <c r="H8084" s="987">
        <v>1.4</v>
      </c>
      <c r="I8084" s="988" t="s">
        <v>3145</v>
      </c>
      <c r="J8084" s="67">
        <f t="shared" si="479"/>
        <v>-12604.2</v>
      </c>
      <c r="L8084" s="70"/>
      <c r="M8084" s="934"/>
    </row>
    <row r="8085" ht="12.75" hidden="1" customHeight="1" outlineLevel="1">
      <c r="A8085" s="202">
        <v>42359.0</v>
      </c>
      <c r="B8085" s="985" t="s">
        <v>343</v>
      </c>
      <c r="C8085" s="94" t="s">
        <v>1088</v>
      </c>
      <c r="D8085" s="94">
        <v>10.0</v>
      </c>
      <c r="E8085" s="94">
        <v>1656.57</v>
      </c>
      <c r="F8085" s="986">
        <v>0.4249074074074074</v>
      </c>
      <c r="G8085" s="94" t="s">
        <v>453</v>
      </c>
      <c r="H8085" s="987">
        <v>1.0</v>
      </c>
      <c r="I8085" s="988" t="s">
        <v>3145</v>
      </c>
      <c r="J8085" s="67">
        <f t="shared" si="479"/>
        <v>-16566.7</v>
      </c>
      <c r="L8085" s="70"/>
      <c r="M8085" s="934"/>
    </row>
    <row r="8086" ht="12.75" hidden="1" customHeight="1" outlineLevel="1">
      <c r="A8086" s="202">
        <v>42359.0</v>
      </c>
      <c r="B8086" s="985" t="s">
        <v>343</v>
      </c>
      <c r="C8086" s="94" t="s">
        <v>3132</v>
      </c>
      <c r="D8086" s="94">
        <v>125.0</v>
      </c>
      <c r="E8086" s="94">
        <v>152.74</v>
      </c>
      <c r="F8086" s="986">
        <v>0.4270486111111111</v>
      </c>
      <c r="G8086" s="94" t="s">
        <v>453</v>
      </c>
      <c r="H8086" s="987">
        <v>1.0</v>
      </c>
      <c r="I8086" s="988" t="s">
        <v>3145</v>
      </c>
      <c r="J8086" s="67">
        <f t="shared" si="479"/>
        <v>-19093.5</v>
      </c>
      <c r="L8086" s="70"/>
      <c r="M8086" s="934"/>
    </row>
    <row r="8087" ht="12.75" hidden="1" customHeight="1" outlineLevel="1">
      <c r="A8087" s="202">
        <v>42359.0</v>
      </c>
      <c r="B8087" s="985" t="s">
        <v>343</v>
      </c>
      <c r="C8087" s="94" t="s">
        <v>1995</v>
      </c>
      <c r="D8087" s="94">
        <v>400.0</v>
      </c>
      <c r="E8087" s="94">
        <v>50.0</v>
      </c>
      <c r="F8087" s="986">
        <v>0.42747685185185186</v>
      </c>
      <c r="G8087" s="94" t="s">
        <v>453</v>
      </c>
      <c r="H8087" s="987">
        <v>1.7</v>
      </c>
      <c r="I8087" s="988" t="s">
        <v>3145</v>
      </c>
      <c r="J8087" s="67">
        <f t="shared" si="479"/>
        <v>-20001.7</v>
      </c>
      <c r="L8087" s="70"/>
      <c r="M8087" s="934"/>
    </row>
    <row r="8088" ht="12.75" hidden="1" customHeight="1" outlineLevel="1">
      <c r="A8088" s="202">
        <v>42359.0</v>
      </c>
      <c r="B8088" s="985" t="s">
        <v>343</v>
      </c>
      <c r="C8088" s="94" t="s">
        <v>3136</v>
      </c>
      <c r="D8088" s="94">
        <v>400.0</v>
      </c>
      <c r="E8088" s="94">
        <v>47.075</v>
      </c>
      <c r="F8088" s="986">
        <v>0.4276388888888889</v>
      </c>
      <c r="G8088" s="94" t="s">
        <v>453</v>
      </c>
      <c r="H8088" s="987">
        <v>2.0</v>
      </c>
      <c r="I8088" s="988" t="s">
        <v>3145</v>
      </c>
      <c r="J8088" s="67">
        <f t="shared" si="479"/>
        <v>-18832</v>
      </c>
      <c r="L8088" s="70"/>
      <c r="M8088" s="934"/>
    </row>
    <row r="8089" ht="12.75" hidden="1" customHeight="1" outlineLevel="1">
      <c r="A8089" s="202">
        <v>42359.0</v>
      </c>
      <c r="B8089" s="985" t="s">
        <v>347</v>
      </c>
      <c r="C8089" s="94" t="s">
        <v>784</v>
      </c>
      <c r="D8089" s="286">
        <v>6000.0</v>
      </c>
      <c r="E8089" s="94">
        <v>3.1701</v>
      </c>
      <c r="F8089" s="986">
        <v>0.43403935185185183</v>
      </c>
      <c r="G8089" s="94" t="s">
        <v>453</v>
      </c>
      <c r="H8089" s="987">
        <v>24.35</v>
      </c>
      <c r="I8089" s="988" t="s">
        <v>3145</v>
      </c>
      <c r="J8089" s="67">
        <f t="shared" si="479"/>
        <v>18996.25</v>
      </c>
      <c r="L8089" s="70"/>
      <c r="M8089" s="934"/>
    </row>
    <row r="8090" ht="12.75" hidden="1" customHeight="1" outlineLevel="1">
      <c r="A8090" s="202">
        <v>42359.0</v>
      </c>
      <c r="B8090" s="985" t="s">
        <v>347</v>
      </c>
      <c r="C8090" s="94" t="s">
        <v>2090</v>
      </c>
      <c r="D8090" s="286">
        <v>4000.0</v>
      </c>
      <c r="E8090" s="94">
        <v>3.501</v>
      </c>
      <c r="F8090" s="986">
        <v>0.47832175925925924</v>
      </c>
      <c r="G8090" s="94" t="s">
        <v>453</v>
      </c>
      <c r="H8090" s="987">
        <v>16.86</v>
      </c>
      <c r="I8090" s="988" t="s">
        <v>3145</v>
      </c>
      <c r="J8090" s="67">
        <f t="shared" si="479"/>
        <v>13987.14</v>
      </c>
      <c r="L8090" s="70"/>
      <c r="M8090" s="934"/>
    </row>
    <row r="8091" ht="12.75" hidden="1" customHeight="1" outlineLevel="1">
      <c r="A8091" s="202">
        <v>42359.0</v>
      </c>
      <c r="B8091" s="985" t="s">
        <v>347</v>
      </c>
      <c r="C8091" s="94" t="s">
        <v>1781</v>
      </c>
      <c r="D8091" s="286">
        <v>1000.0</v>
      </c>
      <c r="E8091" s="94">
        <v>7.49</v>
      </c>
      <c r="F8091" s="986">
        <v>0.4784953703703704</v>
      </c>
      <c r="G8091" s="94" t="s">
        <v>453</v>
      </c>
      <c r="H8091" s="987">
        <v>4.59</v>
      </c>
      <c r="I8091" s="988" t="s">
        <v>3145</v>
      </c>
      <c r="J8091" s="67">
        <f t="shared" si="479"/>
        <v>7485.41</v>
      </c>
      <c r="L8091" s="70"/>
      <c r="M8091" s="934"/>
    </row>
    <row r="8092" ht="12.75" hidden="1" customHeight="1" outlineLevel="1">
      <c r="A8092" s="202">
        <v>42359.0</v>
      </c>
      <c r="B8092" s="985" t="s">
        <v>347</v>
      </c>
      <c r="C8092" s="94" t="s">
        <v>1893</v>
      </c>
      <c r="D8092" s="286">
        <v>2000.0</v>
      </c>
      <c r="E8092" s="94">
        <v>6.311</v>
      </c>
      <c r="F8092" s="986">
        <v>0.47868055555555555</v>
      </c>
      <c r="G8092" s="94" t="s">
        <v>453</v>
      </c>
      <c r="H8092" s="987">
        <v>8.23</v>
      </c>
      <c r="I8092" s="988" t="s">
        <v>3145</v>
      </c>
      <c r="J8092" s="67">
        <f t="shared" si="479"/>
        <v>12613.77</v>
      </c>
      <c r="L8092" s="70"/>
      <c r="M8092" s="934"/>
    </row>
    <row r="8093" ht="12.75" hidden="1" customHeight="1" outlineLevel="1">
      <c r="A8093" s="202">
        <v>42359.0</v>
      </c>
      <c r="B8093" s="985" t="s">
        <v>347</v>
      </c>
      <c r="C8093" s="94" t="s">
        <v>1893</v>
      </c>
      <c r="D8093" s="286">
        <v>2000.0</v>
      </c>
      <c r="E8093" s="94">
        <v>6.3201</v>
      </c>
      <c r="F8093" s="986">
        <v>0.48006944444444444</v>
      </c>
      <c r="G8093" s="94" t="s">
        <v>453</v>
      </c>
      <c r="H8093" s="987">
        <v>8.23</v>
      </c>
      <c r="I8093" s="988" t="s">
        <v>3145</v>
      </c>
      <c r="J8093" s="67">
        <f t="shared" si="479"/>
        <v>12631.97</v>
      </c>
      <c r="L8093" s="70"/>
      <c r="M8093" s="934"/>
    </row>
    <row r="8094" ht="12.75" hidden="1" customHeight="1" outlineLevel="1">
      <c r="A8094" s="202">
        <v>42359.0</v>
      </c>
      <c r="B8094" s="985" t="s">
        <v>347</v>
      </c>
      <c r="C8094" s="94" t="s">
        <v>2090</v>
      </c>
      <c r="D8094" s="286">
        <v>4000.0</v>
      </c>
      <c r="E8094" s="94">
        <v>3.5</v>
      </c>
      <c r="F8094" s="986">
        <v>0.4802777777777778</v>
      </c>
      <c r="G8094" s="94" t="s">
        <v>453</v>
      </c>
      <c r="H8094" s="987">
        <v>19.86</v>
      </c>
      <c r="I8094" s="988" t="s">
        <v>3145</v>
      </c>
      <c r="J8094" s="67">
        <f t="shared" si="479"/>
        <v>13980.14</v>
      </c>
      <c r="L8094" s="70"/>
      <c r="M8094" s="934"/>
    </row>
    <row r="8095" ht="12.75" hidden="1" customHeight="1" outlineLevel="1">
      <c r="A8095" s="122">
        <v>42359.0</v>
      </c>
      <c r="B8095" s="992"/>
      <c r="C8095" s="32" t="s">
        <v>339</v>
      </c>
      <c r="D8095" s="1"/>
      <c r="F8095" s="1"/>
      <c r="G8095" s="1"/>
      <c r="H8095" s="68"/>
      <c r="I8095" s="76"/>
      <c r="K8095" s="201" t="s">
        <v>3231</v>
      </c>
      <c r="L8095" s="934"/>
      <c r="M8095" s="934"/>
    </row>
    <row r="8096" ht="12.75" hidden="1" customHeight="1" outlineLevel="1">
      <c r="A8096" s="122">
        <v>42359.0</v>
      </c>
      <c r="B8096" s="992"/>
      <c r="C8096" s="32" t="s">
        <v>429</v>
      </c>
      <c r="D8096" s="1"/>
      <c r="F8096" s="1"/>
      <c r="G8096" s="1"/>
      <c r="H8096" s="68"/>
      <c r="I8096" s="76"/>
      <c r="K8096" s="9" t="s">
        <v>3187</v>
      </c>
      <c r="L8096" s="934"/>
      <c r="M8096" s="934"/>
    </row>
    <row r="8097" ht="12.75" hidden="1" customHeight="1" outlineLevel="1">
      <c r="A8097" s="122">
        <v>42359.0</v>
      </c>
      <c r="B8097" s="992"/>
      <c r="C8097" s="32" t="s">
        <v>431</v>
      </c>
      <c r="D8097" s="1"/>
      <c r="F8097" s="1"/>
      <c r="G8097" s="1"/>
      <c r="H8097" s="68"/>
      <c r="I8097" s="76"/>
      <c r="K8097" s="7" t="s">
        <v>1126</v>
      </c>
      <c r="L8097" s="934"/>
      <c r="M8097" s="934"/>
    </row>
    <row r="8098" ht="12.75" hidden="1" customHeight="1" outlineLevel="1">
      <c r="A8098" s="122">
        <v>42359.0</v>
      </c>
      <c r="B8098" s="992"/>
      <c r="C8098" s="32" t="s">
        <v>433</v>
      </c>
      <c r="D8098" s="1"/>
      <c r="F8098" s="1"/>
      <c r="G8098" s="1"/>
      <c r="H8098" s="68"/>
      <c r="I8098" s="76"/>
      <c r="K8098" s="7" t="s">
        <v>1103</v>
      </c>
      <c r="L8098" s="934"/>
      <c r="M8098" s="934"/>
    </row>
    <row r="8099" ht="12.75" hidden="1" customHeight="1" outlineLevel="1">
      <c r="A8099" s="122">
        <v>42359.0</v>
      </c>
      <c r="B8099" s="992"/>
      <c r="C8099" s="32" t="s">
        <v>435</v>
      </c>
      <c r="D8099" s="1"/>
      <c r="F8099" s="1"/>
      <c r="G8099" s="1"/>
      <c r="H8099" s="68"/>
      <c r="I8099" s="76"/>
      <c r="K8099" s="9" t="s">
        <v>3134</v>
      </c>
      <c r="L8099" s="934"/>
      <c r="M8099" s="934"/>
    </row>
    <row r="8100" ht="12.75" hidden="1" customHeight="1" outlineLevel="1">
      <c r="A8100" s="202">
        <v>42360.0</v>
      </c>
      <c r="B8100" s="985" t="s">
        <v>343</v>
      </c>
      <c r="C8100" s="94" t="s">
        <v>2048</v>
      </c>
      <c r="D8100" s="286">
        <v>5000.0</v>
      </c>
      <c r="E8100" s="94">
        <v>3.798</v>
      </c>
      <c r="F8100" s="986">
        <v>0.4782638888888889</v>
      </c>
      <c r="G8100" s="94" t="s">
        <v>453</v>
      </c>
      <c r="H8100" s="987">
        <v>21.6</v>
      </c>
      <c r="I8100" s="988" t="s">
        <v>3145</v>
      </c>
      <c r="J8100" s="67">
        <f t="shared" ref="J8100:J8117" si="480">IF(B8100="SLD",D8100*E8100,-D8100*E8100)-H8100</f>
        <v>-19011.6</v>
      </c>
      <c r="L8100" s="70"/>
      <c r="M8100" s="934"/>
    </row>
    <row r="8101" ht="12.75" hidden="1" customHeight="1" outlineLevel="1">
      <c r="A8101" s="202">
        <v>42360.0</v>
      </c>
      <c r="B8101" s="985" t="s">
        <v>343</v>
      </c>
      <c r="C8101" s="94" t="s">
        <v>1938</v>
      </c>
      <c r="D8101" s="286">
        <v>1600.0</v>
      </c>
      <c r="E8101" s="94">
        <v>15.78</v>
      </c>
      <c r="F8101" s="986">
        <v>0.4786111111111111</v>
      </c>
      <c r="G8101" s="94" t="s">
        <v>453</v>
      </c>
      <c r="H8101" s="987">
        <v>6.4</v>
      </c>
      <c r="I8101" s="988" t="s">
        <v>3145</v>
      </c>
      <c r="J8101" s="67">
        <f t="shared" si="480"/>
        <v>-25254.4</v>
      </c>
      <c r="L8101" s="70"/>
      <c r="M8101" s="934"/>
    </row>
    <row r="8102" ht="12.75" hidden="1" customHeight="1" outlineLevel="1">
      <c r="A8102" s="202">
        <v>42360.0</v>
      </c>
      <c r="B8102" s="985" t="s">
        <v>343</v>
      </c>
      <c r="C8102" s="94" t="s">
        <v>1890</v>
      </c>
      <c r="D8102" s="286">
        <v>2100.0</v>
      </c>
      <c r="E8102" s="94">
        <v>15.07</v>
      </c>
      <c r="F8102" s="986">
        <v>0.4792708333333333</v>
      </c>
      <c r="G8102" s="94" t="s">
        <v>453</v>
      </c>
      <c r="H8102" s="987">
        <v>8.4</v>
      </c>
      <c r="I8102" s="988" t="s">
        <v>3145</v>
      </c>
      <c r="J8102" s="67">
        <f t="shared" si="480"/>
        <v>-31655.4</v>
      </c>
      <c r="L8102" s="70"/>
      <c r="M8102" s="934"/>
    </row>
    <row r="8103" ht="12.75" hidden="1" customHeight="1" outlineLevel="1">
      <c r="A8103" s="202">
        <v>42360.0</v>
      </c>
      <c r="B8103" s="985" t="s">
        <v>343</v>
      </c>
      <c r="C8103" s="94" t="s">
        <v>2090</v>
      </c>
      <c r="D8103" s="286">
        <v>8000.0</v>
      </c>
      <c r="E8103" s="94">
        <v>3.589</v>
      </c>
      <c r="F8103" s="986">
        <v>0.4803472222222222</v>
      </c>
      <c r="G8103" s="94" t="s">
        <v>453</v>
      </c>
      <c r="H8103" s="987">
        <v>34.2</v>
      </c>
      <c r="I8103" s="988" t="s">
        <v>3145</v>
      </c>
      <c r="J8103" s="67">
        <f t="shared" si="480"/>
        <v>-28746.2</v>
      </c>
      <c r="L8103" s="70"/>
      <c r="M8103" s="934"/>
    </row>
    <row r="8104" ht="12.75" hidden="1" customHeight="1" outlineLevel="1">
      <c r="A8104" s="202">
        <v>42360.0</v>
      </c>
      <c r="B8104" s="985" t="s">
        <v>343</v>
      </c>
      <c r="C8104" s="94" t="s">
        <v>1902</v>
      </c>
      <c r="D8104" s="286">
        <v>4900.0</v>
      </c>
      <c r="E8104" s="94">
        <v>10.957</v>
      </c>
      <c r="F8104" s="986">
        <v>0.4820023148148148</v>
      </c>
      <c r="G8104" s="94" t="s">
        <v>453</v>
      </c>
      <c r="H8104" s="987">
        <v>20.0</v>
      </c>
      <c r="I8104" s="988" t="s">
        <v>3145</v>
      </c>
      <c r="J8104" s="67">
        <f t="shared" si="480"/>
        <v>-53709.3</v>
      </c>
      <c r="L8104" s="70"/>
      <c r="M8104" s="934"/>
    </row>
    <row r="8105" ht="12.75" hidden="1" customHeight="1" outlineLevel="1">
      <c r="A8105" s="202">
        <v>42360.0</v>
      </c>
      <c r="B8105" s="985" t="s">
        <v>343</v>
      </c>
      <c r="C8105" s="94" t="s">
        <v>1633</v>
      </c>
      <c r="D8105" s="286">
        <v>9000.0</v>
      </c>
      <c r="E8105" s="94">
        <v>8.479</v>
      </c>
      <c r="F8105" s="986">
        <v>0.4832523148148148</v>
      </c>
      <c r="G8105" s="94" t="s">
        <v>453</v>
      </c>
      <c r="H8105" s="987">
        <v>36.0</v>
      </c>
      <c r="I8105" s="988" t="s">
        <v>3145</v>
      </c>
      <c r="J8105" s="67">
        <f t="shared" si="480"/>
        <v>-76347</v>
      </c>
      <c r="L8105" s="70"/>
      <c r="M8105" s="934"/>
    </row>
    <row r="8106" ht="12.75" hidden="1" customHeight="1" outlineLevel="1">
      <c r="A8106" s="202">
        <v>42360.0</v>
      </c>
      <c r="B8106" s="985" t="s">
        <v>343</v>
      </c>
      <c r="C8106" s="94" t="s">
        <v>790</v>
      </c>
      <c r="D8106" s="286">
        <v>12000.0</v>
      </c>
      <c r="E8106" s="94">
        <v>4.239</v>
      </c>
      <c r="F8106" s="986">
        <v>0.4843634259259259</v>
      </c>
      <c r="G8106" s="94" t="s">
        <v>453</v>
      </c>
      <c r="H8106" s="987">
        <v>50.1</v>
      </c>
      <c r="I8106" s="988" t="s">
        <v>3145</v>
      </c>
      <c r="J8106" s="67">
        <f t="shared" si="480"/>
        <v>-50918.1</v>
      </c>
      <c r="L8106" s="70"/>
      <c r="M8106" s="934"/>
    </row>
    <row r="8107" ht="12.75" hidden="1" customHeight="1" outlineLevel="1">
      <c r="A8107" s="202">
        <v>42360.0</v>
      </c>
      <c r="B8107" s="985" t="s">
        <v>343</v>
      </c>
      <c r="C8107" s="94" t="s">
        <v>1947</v>
      </c>
      <c r="D8107" s="286">
        <v>1200.0</v>
      </c>
      <c r="E8107" s="94">
        <v>36.914</v>
      </c>
      <c r="F8107" s="986">
        <v>0.48591435185185183</v>
      </c>
      <c r="G8107" s="94" t="s">
        <v>453</v>
      </c>
      <c r="H8107" s="987">
        <v>6.0</v>
      </c>
      <c r="I8107" s="988" t="s">
        <v>3145</v>
      </c>
      <c r="J8107" s="67">
        <f t="shared" si="480"/>
        <v>-44302.8</v>
      </c>
      <c r="L8107" s="70"/>
      <c r="M8107" s="934"/>
    </row>
    <row r="8108" ht="12.75" hidden="1" customHeight="1" outlineLevel="1">
      <c r="A8108" s="202">
        <v>42360.0</v>
      </c>
      <c r="B8108" s="985" t="s">
        <v>347</v>
      </c>
      <c r="C8108" s="94" t="s">
        <v>790</v>
      </c>
      <c r="D8108" s="286">
        <v>12000.0</v>
      </c>
      <c r="E8108" s="94">
        <v>4.18</v>
      </c>
      <c r="F8108" s="986">
        <v>0.5170486111111111</v>
      </c>
      <c r="G8108" s="94" t="s">
        <v>453</v>
      </c>
      <c r="H8108" s="987">
        <v>60.82</v>
      </c>
      <c r="I8108" s="988" t="s">
        <v>3145</v>
      </c>
      <c r="J8108" s="67">
        <f t="shared" si="480"/>
        <v>50099.18</v>
      </c>
      <c r="L8108" s="70"/>
      <c r="M8108" s="934"/>
    </row>
    <row r="8109" ht="12.75" hidden="1" customHeight="1" outlineLevel="1">
      <c r="A8109" s="202">
        <v>42360.0</v>
      </c>
      <c r="B8109" s="985" t="s">
        <v>347</v>
      </c>
      <c r="C8109" s="94" t="s">
        <v>1781</v>
      </c>
      <c r="D8109" s="286">
        <v>2000.0</v>
      </c>
      <c r="E8109" s="94">
        <v>7.4901</v>
      </c>
      <c r="F8109" s="986">
        <v>0.5206481481481482</v>
      </c>
      <c r="G8109" s="94" t="s">
        <v>453</v>
      </c>
      <c r="H8109" s="987">
        <v>8.28</v>
      </c>
      <c r="I8109" s="988" t="s">
        <v>3145</v>
      </c>
      <c r="J8109" s="67">
        <f t="shared" si="480"/>
        <v>14971.92</v>
      </c>
      <c r="L8109" s="70"/>
      <c r="M8109" s="934"/>
    </row>
    <row r="8110" ht="12.75" hidden="1" customHeight="1" outlineLevel="1">
      <c r="A8110" s="202">
        <v>42360.0</v>
      </c>
      <c r="B8110" s="985" t="s">
        <v>347</v>
      </c>
      <c r="C8110" s="94" t="s">
        <v>1633</v>
      </c>
      <c r="D8110" s="286">
        <v>9000.0</v>
      </c>
      <c r="E8110" s="94">
        <v>8.149</v>
      </c>
      <c r="F8110" s="986">
        <v>0.5511689814814815</v>
      </c>
      <c r="G8110" s="94" t="s">
        <v>453</v>
      </c>
      <c r="H8110" s="987">
        <v>46.26</v>
      </c>
      <c r="I8110" s="988" t="s">
        <v>3145</v>
      </c>
      <c r="J8110" s="67">
        <f t="shared" si="480"/>
        <v>73294.74</v>
      </c>
      <c r="L8110" s="70"/>
      <c r="M8110" s="934"/>
    </row>
    <row r="8111" ht="12.75" hidden="1" customHeight="1" outlineLevel="1">
      <c r="A8111" s="202">
        <v>42360.0</v>
      </c>
      <c r="B8111" s="985" t="s">
        <v>347</v>
      </c>
      <c r="C8111" s="94" t="s">
        <v>1902</v>
      </c>
      <c r="D8111" s="286">
        <v>4900.0</v>
      </c>
      <c r="E8111" s="94">
        <v>11.01</v>
      </c>
      <c r="F8111" s="986">
        <v>0.5869212962962963</v>
      </c>
      <c r="G8111" s="94" t="s">
        <v>453</v>
      </c>
      <c r="H8111" s="987">
        <v>23.79</v>
      </c>
      <c r="I8111" s="988" t="s">
        <v>3145</v>
      </c>
      <c r="J8111" s="67">
        <f t="shared" si="480"/>
        <v>53925.21</v>
      </c>
      <c r="L8111" s="70"/>
      <c r="M8111" s="934"/>
    </row>
    <row r="8112" ht="12.75" hidden="1" customHeight="1" outlineLevel="1">
      <c r="A8112" s="202">
        <v>42360.0</v>
      </c>
      <c r="B8112" s="985" t="s">
        <v>347</v>
      </c>
      <c r="C8112" s="94" t="s">
        <v>2090</v>
      </c>
      <c r="D8112" s="286">
        <v>8000.0</v>
      </c>
      <c r="E8112" s="94">
        <v>3.57</v>
      </c>
      <c r="F8112" s="986">
        <v>0.598599537037037</v>
      </c>
      <c r="G8112" s="94" t="s">
        <v>453</v>
      </c>
      <c r="H8112" s="987">
        <v>38.53</v>
      </c>
      <c r="I8112" s="988" t="s">
        <v>3145</v>
      </c>
      <c r="J8112" s="67">
        <f t="shared" si="480"/>
        <v>28521.47</v>
      </c>
      <c r="L8112" s="70"/>
      <c r="M8112" s="934"/>
    </row>
    <row r="8113" ht="12.75" hidden="1" customHeight="1" outlineLevel="1">
      <c r="A8113" s="202">
        <v>42360.0</v>
      </c>
      <c r="B8113" s="985" t="s">
        <v>347</v>
      </c>
      <c r="C8113" s="94" t="s">
        <v>1890</v>
      </c>
      <c r="D8113" s="286">
        <v>2100.0</v>
      </c>
      <c r="E8113" s="94">
        <v>15.2</v>
      </c>
      <c r="F8113" s="986">
        <v>0.6021412037037037</v>
      </c>
      <c r="G8113" s="94" t="s">
        <v>453</v>
      </c>
      <c r="H8113" s="987">
        <v>11.09</v>
      </c>
      <c r="I8113" s="988" t="s">
        <v>3145</v>
      </c>
      <c r="J8113" s="67">
        <f t="shared" si="480"/>
        <v>31908.91</v>
      </c>
      <c r="L8113" s="70"/>
      <c r="M8113" s="934"/>
    </row>
    <row r="8114" ht="12.75" hidden="1" customHeight="1" outlineLevel="1">
      <c r="A8114" s="202">
        <v>42360.0</v>
      </c>
      <c r="B8114" s="985" t="s">
        <v>343</v>
      </c>
      <c r="C8114" s="94" t="s">
        <v>1905</v>
      </c>
      <c r="D8114" s="94">
        <v>500.0</v>
      </c>
      <c r="E8114" s="94">
        <v>14.782</v>
      </c>
      <c r="F8114" s="986">
        <v>0.6275462962962963</v>
      </c>
      <c r="G8114" s="94" t="s">
        <v>453</v>
      </c>
      <c r="H8114" s="987">
        <v>2.3</v>
      </c>
      <c r="I8114" s="988" t="s">
        <v>3145</v>
      </c>
      <c r="J8114" s="67">
        <f t="shared" si="480"/>
        <v>-7393.3</v>
      </c>
      <c r="L8114" s="70"/>
      <c r="M8114" s="934"/>
    </row>
    <row r="8115" ht="12.75" hidden="1" customHeight="1" outlineLevel="1">
      <c r="A8115" s="202">
        <v>42360.0</v>
      </c>
      <c r="B8115" s="985" t="s">
        <v>347</v>
      </c>
      <c r="C8115" s="94" t="s">
        <v>1781</v>
      </c>
      <c r="D8115" s="286">
        <v>1000.0</v>
      </c>
      <c r="E8115" s="94">
        <v>7.46</v>
      </c>
      <c r="F8115" s="986">
        <v>0.6369097222222222</v>
      </c>
      <c r="G8115" s="94" t="s">
        <v>453</v>
      </c>
      <c r="H8115" s="987">
        <v>4.14</v>
      </c>
      <c r="I8115" s="988" t="s">
        <v>3145</v>
      </c>
      <c r="J8115" s="67">
        <f t="shared" si="480"/>
        <v>7455.86</v>
      </c>
      <c r="L8115" s="70"/>
      <c r="M8115" s="934"/>
    </row>
    <row r="8116" ht="12.75" hidden="1" customHeight="1" outlineLevel="1">
      <c r="A8116" s="202">
        <v>42360.0</v>
      </c>
      <c r="B8116" s="985" t="s">
        <v>347</v>
      </c>
      <c r="C8116" s="94" t="s">
        <v>2084</v>
      </c>
      <c r="D8116" s="286">
        <v>1000.0</v>
      </c>
      <c r="E8116" s="94">
        <v>5.851</v>
      </c>
      <c r="F8116" s="986">
        <v>0.6586689814814815</v>
      </c>
      <c r="G8116" s="94" t="s">
        <v>453</v>
      </c>
      <c r="H8116" s="987">
        <v>4.11</v>
      </c>
      <c r="I8116" s="988" t="s">
        <v>3145</v>
      </c>
      <c r="J8116" s="67">
        <f t="shared" si="480"/>
        <v>5846.89</v>
      </c>
      <c r="L8116" s="70"/>
      <c r="M8116" s="934"/>
    </row>
    <row r="8117" ht="12.75" hidden="1" customHeight="1" outlineLevel="1">
      <c r="A8117" s="202">
        <v>42360.0</v>
      </c>
      <c r="B8117" s="985" t="s">
        <v>347</v>
      </c>
      <c r="C8117" s="94" t="s">
        <v>1938</v>
      </c>
      <c r="D8117" s="286">
        <v>1600.0</v>
      </c>
      <c r="E8117" s="94">
        <v>15.32</v>
      </c>
      <c r="F8117" s="986">
        <v>0.6665046296296296</v>
      </c>
      <c r="G8117" s="94" t="s">
        <v>453</v>
      </c>
      <c r="H8117" s="987">
        <v>6.85</v>
      </c>
      <c r="I8117" s="988" t="s">
        <v>3145</v>
      </c>
      <c r="J8117" s="67">
        <f t="shared" si="480"/>
        <v>24505.15</v>
      </c>
      <c r="L8117" s="70"/>
      <c r="M8117" s="934"/>
    </row>
    <row r="8118" ht="12.75" hidden="1" customHeight="1" outlineLevel="1">
      <c r="A8118" s="122">
        <v>42360.0</v>
      </c>
      <c r="B8118" s="992"/>
      <c r="C8118" s="32" t="s">
        <v>339</v>
      </c>
      <c r="D8118" s="1"/>
      <c r="F8118" s="1"/>
      <c r="G8118" s="1"/>
      <c r="H8118" s="68"/>
      <c r="I8118" s="76"/>
      <c r="K8118" s="201" t="s">
        <v>3234</v>
      </c>
      <c r="L8118" s="934"/>
      <c r="M8118" s="934"/>
    </row>
    <row r="8119" ht="12.75" hidden="1" customHeight="1" outlineLevel="1">
      <c r="A8119" s="122">
        <v>42360.0</v>
      </c>
      <c r="B8119" s="992"/>
      <c r="C8119" s="32" t="s">
        <v>429</v>
      </c>
      <c r="D8119" s="1"/>
      <c r="F8119" s="1"/>
      <c r="G8119" s="1"/>
      <c r="H8119" s="68"/>
      <c r="I8119" s="76"/>
      <c r="K8119" s="9" t="s">
        <v>3187</v>
      </c>
      <c r="L8119" s="934"/>
      <c r="M8119" s="934"/>
    </row>
    <row r="8120" ht="12.75" hidden="1" customHeight="1" outlineLevel="1">
      <c r="A8120" s="122">
        <v>42360.0</v>
      </c>
      <c r="B8120" s="992"/>
      <c r="C8120" s="32" t="s">
        <v>431</v>
      </c>
      <c r="D8120" s="1"/>
      <c r="F8120" s="1"/>
      <c r="G8120" s="1"/>
      <c r="H8120" s="68"/>
      <c r="I8120" s="76"/>
      <c r="K8120" s="7" t="s">
        <v>1126</v>
      </c>
      <c r="L8120" s="934"/>
      <c r="M8120" s="934"/>
    </row>
    <row r="8121" ht="12.75" hidden="1" customHeight="1" outlineLevel="1">
      <c r="A8121" s="122">
        <v>42360.0</v>
      </c>
      <c r="B8121" s="992"/>
      <c r="C8121" s="32" t="s">
        <v>433</v>
      </c>
      <c r="D8121" s="1"/>
      <c r="F8121" s="1"/>
      <c r="G8121" s="1"/>
      <c r="H8121" s="68"/>
      <c r="I8121" s="76"/>
      <c r="K8121" s="7" t="s">
        <v>1103</v>
      </c>
      <c r="L8121" s="934"/>
      <c r="M8121" s="934"/>
    </row>
    <row r="8122" ht="12.75" hidden="1" customHeight="1" outlineLevel="1">
      <c r="A8122" s="122">
        <v>42360.0</v>
      </c>
      <c r="B8122" s="992"/>
      <c r="C8122" s="32" t="s">
        <v>435</v>
      </c>
      <c r="D8122" s="1"/>
      <c r="F8122" s="1"/>
      <c r="G8122" s="1"/>
      <c r="H8122" s="68"/>
      <c r="I8122" s="76"/>
      <c r="K8122" s="9" t="s">
        <v>3134</v>
      </c>
      <c r="L8122" s="934"/>
      <c r="M8122" s="934"/>
    </row>
    <row r="8123" ht="12.75" hidden="1" customHeight="1" outlineLevel="1">
      <c r="A8123" s="202">
        <v>42361.0</v>
      </c>
      <c r="B8123" s="985" t="s">
        <v>343</v>
      </c>
      <c r="C8123" s="94" t="s">
        <v>1839</v>
      </c>
      <c r="D8123" s="94">
        <v>500.0</v>
      </c>
      <c r="E8123" s="94">
        <v>4.03</v>
      </c>
      <c r="F8123" s="986">
        <v>0.40247685185185184</v>
      </c>
      <c r="G8123" s="94" t="s">
        <v>453</v>
      </c>
      <c r="H8123" s="987">
        <v>2.4</v>
      </c>
      <c r="I8123" s="988" t="s">
        <v>3145</v>
      </c>
      <c r="J8123" s="67">
        <f t="shared" ref="J8123:J8140" si="481">IF(B8123="SLD",D8123*E8123,-D8123*E8123)-H8123</f>
        <v>-2017.4</v>
      </c>
      <c r="L8123" s="70"/>
      <c r="M8123" s="934"/>
    </row>
    <row r="8124" ht="12.75" hidden="1" customHeight="1" outlineLevel="1">
      <c r="A8124" s="202">
        <v>42361.0</v>
      </c>
      <c r="B8124" s="985" t="s">
        <v>343</v>
      </c>
      <c r="C8124" s="94" t="s">
        <v>1947</v>
      </c>
      <c r="D8124" s="94">
        <v>300.0</v>
      </c>
      <c r="E8124" s="94">
        <v>37.145</v>
      </c>
      <c r="F8124" s="986">
        <v>0.40238425925925925</v>
      </c>
      <c r="G8124" s="94" t="s">
        <v>453</v>
      </c>
      <c r="H8124" s="987">
        <v>1.2</v>
      </c>
      <c r="I8124" s="988" t="s">
        <v>3145</v>
      </c>
      <c r="J8124" s="67">
        <f t="shared" si="481"/>
        <v>-11144.7</v>
      </c>
      <c r="L8124" s="70"/>
      <c r="M8124" s="934"/>
    </row>
    <row r="8125" ht="12.75" hidden="1" customHeight="1" outlineLevel="1">
      <c r="A8125" s="202">
        <v>42361.0</v>
      </c>
      <c r="B8125" s="985" t="s">
        <v>343</v>
      </c>
      <c r="C8125" s="94" t="s">
        <v>2084</v>
      </c>
      <c r="D8125" s="286">
        <v>2000.0</v>
      </c>
      <c r="E8125" s="94">
        <v>6.2099</v>
      </c>
      <c r="F8125" s="986">
        <v>0.40230324074074075</v>
      </c>
      <c r="G8125" s="94" t="s">
        <v>453</v>
      </c>
      <c r="H8125" s="987">
        <v>8.0</v>
      </c>
      <c r="I8125" s="988" t="s">
        <v>3145</v>
      </c>
      <c r="J8125" s="67">
        <f t="shared" si="481"/>
        <v>-12427.8</v>
      </c>
      <c r="L8125" s="70"/>
      <c r="M8125" s="934"/>
    </row>
    <row r="8126" ht="12.75" hidden="1" customHeight="1" outlineLevel="1">
      <c r="A8126" s="202">
        <v>42361.0</v>
      </c>
      <c r="B8126" s="985" t="s">
        <v>343</v>
      </c>
      <c r="C8126" s="94" t="s">
        <v>1905</v>
      </c>
      <c r="D8126" s="286">
        <v>1000.0</v>
      </c>
      <c r="E8126" s="94">
        <v>15.288</v>
      </c>
      <c r="F8126" s="986">
        <v>0.4021875</v>
      </c>
      <c r="G8126" s="94" t="s">
        <v>453</v>
      </c>
      <c r="H8126" s="987">
        <v>4.1</v>
      </c>
      <c r="I8126" s="988" t="s">
        <v>3145</v>
      </c>
      <c r="J8126" s="67">
        <f t="shared" si="481"/>
        <v>-15292.1</v>
      </c>
      <c r="L8126" s="70"/>
      <c r="M8126" s="934"/>
    </row>
    <row r="8127" ht="12.75" hidden="1" customHeight="1" outlineLevel="1">
      <c r="A8127" s="202">
        <v>42361.0</v>
      </c>
      <c r="B8127" s="985" t="s">
        <v>343</v>
      </c>
      <c r="C8127" s="94" t="s">
        <v>1938</v>
      </c>
      <c r="D8127" s="286">
        <v>2000.0</v>
      </c>
      <c r="E8127" s="94">
        <v>15.849</v>
      </c>
      <c r="F8127" s="986">
        <v>0.4021064814814815</v>
      </c>
      <c r="G8127" s="94" t="s">
        <v>453</v>
      </c>
      <c r="H8127" s="987">
        <v>8.0</v>
      </c>
      <c r="I8127" s="988" t="s">
        <v>3145</v>
      </c>
      <c r="J8127" s="67">
        <f t="shared" si="481"/>
        <v>-31706</v>
      </c>
      <c r="L8127" s="70"/>
      <c r="M8127" s="934"/>
    </row>
    <row r="8128" ht="12.75" hidden="1" customHeight="1" outlineLevel="1">
      <c r="A8128" s="202">
        <v>42361.0</v>
      </c>
      <c r="B8128" s="985" t="s">
        <v>343</v>
      </c>
      <c r="C8128" s="94" t="s">
        <v>1781</v>
      </c>
      <c r="D8128" s="286">
        <v>5000.0</v>
      </c>
      <c r="E8128" s="94">
        <v>7.58</v>
      </c>
      <c r="F8128" s="986">
        <v>0.40197916666666667</v>
      </c>
      <c r="G8128" s="94" t="s">
        <v>453</v>
      </c>
      <c r="H8128" s="987">
        <v>21.1</v>
      </c>
      <c r="I8128" s="988" t="s">
        <v>3145</v>
      </c>
      <c r="J8128" s="67">
        <f t="shared" si="481"/>
        <v>-37921.1</v>
      </c>
      <c r="L8128" s="70"/>
      <c r="M8128" s="934"/>
    </row>
    <row r="8129" ht="12.75" hidden="1" customHeight="1" outlineLevel="1">
      <c r="A8129" s="202">
        <v>42361.0</v>
      </c>
      <c r="B8129" s="985" t="s">
        <v>343</v>
      </c>
      <c r="C8129" s="94" t="s">
        <v>1890</v>
      </c>
      <c r="D8129" s="286">
        <v>2400.0</v>
      </c>
      <c r="E8129" s="94">
        <v>15.848</v>
      </c>
      <c r="F8129" s="986">
        <v>0.40185185185185185</v>
      </c>
      <c r="G8129" s="94" t="s">
        <v>453</v>
      </c>
      <c r="H8129" s="987">
        <v>11.2</v>
      </c>
      <c r="I8129" s="988" t="s">
        <v>3145</v>
      </c>
      <c r="J8129" s="67">
        <f t="shared" si="481"/>
        <v>-38046.4</v>
      </c>
      <c r="L8129" s="70"/>
      <c r="M8129" s="934"/>
    </row>
    <row r="8130" ht="12.75" hidden="1" customHeight="1" outlineLevel="1">
      <c r="A8130" s="202">
        <v>42361.0</v>
      </c>
      <c r="B8130" s="985" t="s">
        <v>343</v>
      </c>
      <c r="C8130" s="94" t="s">
        <v>1890</v>
      </c>
      <c r="D8130" s="94">
        <v>100.0</v>
      </c>
      <c r="E8130" s="94">
        <v>15.81</v>
      </c>
      <c r="F8130" s="986">
        <v>0.40174768518518517</v>
      </c>
      <c r="G8130" s="94" t="s">
        <v>453</v>
      </c>
      <c r="H8130" s="987">
        <v>1.0</v>
      </c>
      <c r="I8130" s="988" t="s">
        <v>3145</v>
      </c>
      <c r="J8130" s="67">
        <f t="shared" si="481"/>
        <v>-1582</v>
      </c>
      <c r="L8130" s="70"/>
      <c r="M8130" s="934"/>
    </row>
    <row r="8131" ht="12.75" hidden="1" customHeight="1" outlineLevel="1">
      <c r="A8131" s="202">
        <v>42361.0</v>
      </c>
      <c r="B8131" s="985" t="s">
        <v>343</v>
      </c>
      <c r="C8131" s="94" t="s">
        <v>784</v>
      </c>
      <c r="D8131" s="286">
        <v>17000.0</v>
      </c>
      <c r="E8131" s="94">
        <v>3.35</v>
      </c>
      <c r="F8131" s="986">
        <v>0.40162037037037035</v>
      </c>
      <c r="G8131" s="94" t="s">
        <v>453</v>
      </c>
      <c r="H8131" s="987">
        <v>82.6</v>
      </c>
      <c r="I8131" s="988" t="s">
        <v>3145</v>
      </c>
      <c r="J8131" s="67">
        <f t="shared" si="481"/>
        <v>-57032.6</v>
      </c>
      <c r="L8131" s="70"/>
      <c r="M8131" s="934"/>
    </row>
    <row r="8132" ht="12.75" hidden="1" customHeight="1" outlineLevel="1">
      <c r="A8132" s="202">
        <v>42361.0</v>
      </c>
      <c r="B8132" s="985" t="s">
        <v>343</v>
      </c>
      <c r="C8132" s="94" t="s">
        <v>2210</v>
      </c>
      <c r="D8132" s="94">
        <v>850.0</v>
      </c>
      <c r="E8132" s="94">
        <v>69.693</v>
      </c>
      <c r="F8132" s="986">
        <v>0.40152777777777776</v>
      </c>
      <c r="G8132" s="94" t="s">
        <v>453</v>
      </c>
      <c r="H8132" s="987">
        <v>3.4</v>
      </c>
      <c r="I8132" s="988" t="s">
        <v>3145</v>
      </c>
      <c r="J8132" s="67">
        <f t="shared" si="481"/>
        <v>-59242.45</v>
      </c>
      <c r="L8132" s="70"/>
      <c r="M8132" s="934"/>
    </row>
    <row r="8133" ht="12.75" hidden="1" customHeight="1" outlineLevel="1">
      <c r="A8133" s="202">
        <v>42361.0</v>
      </c>
      <c r="B8133" s="985" t="s">
        <v>343</v>
      </c>
      <c r="C8133" s="94" t="s">
        <v>1902</v>
      </c>
      <c r="D8133" s="286">
        <v>5500.0</v>
      </c>
      <c r="E8133" s="94">
        <v>11.365</v>
      </c>
      <c r="F8133" s="986">
        <v>0.40133101851851855</v>
      </c>
      <c r="G8133" s="94" t="s">
        <v>453</v>
      </c>
      <c r="H8133" s="987">
        <v>23.1</v>
      </c>
      <c r="I8133" s="988" t="s">
        <v>3145</v>
      </c>
      <c r="J8133" s="67">
        <f t="shared" si="481"/>
        <v>-62530.6</v>
      </c>
      <c r="L8133" s="70"/>
      <c r="M8133" s="934"/>
    </row>
    <row r="8134" ht="12.75" hidden="1" customHeight="1" outlineLevel="1">
      <c r="A8134" s="202">
        <v>42361.0</v>
      </c>
      <c r="B8134" s="985" t="s">
        <v>343</v>
      </c>
      <c r="C8134" s="94" t="s">
        <v>790</v>
      </c>
      <c r="D8134" s="286">
        <v>14000.0</v>
      </c>
      <c r="E8134" s="94">
        <v>4.469</v>
      </c>
      <c r="F8134" s="986">
        <v>0.4012384259259259</v>
      </c>
      <c r="G8134" s="94" t="s">
        <v>453</v>
      </c>
      <c r="H8134" s="987">
        <v>58.7</v>
      </c>
      <c r="I8134" s="988" t="s">
        <v>3145</v>
      </c>
      <c r="J8134" s="67">
        <f t="shared" si="481"/>
        <v>-62624.7</v>
      </c>
      <c r="L8134" s="70"/>
      <c r="M8134" s="934"/>
    </row>
    <row r="8135" ht="12.75" hidden="1" customHeight="1" outlineLevel="1">
      <c r="A8135" s="202">
        <v>42361.0</v>
      </c>
      <c r="B8135" s="985" t="s">
        <v>343</v>
      </c>
      <c r="C8135" s="94" t="s">
        <v>1821</v>
      </c>
      <c r="D8135" s="286">
        <v>3500.0</v>
      </c>
      <c r="E8135" s="94">
        <v>21.645</v>
      </c>
      <c r="F8135" s="986">
        <v>0.4011111111111111</v>
      </c>
      <c r="G8135" s="94" t="s">
        <v>453</v>
      </c>
      <c r="H8135" s="987">
        <v>14.1</v>
      </c>
      <c r="I8135" s="988" t="s">
        <v>3145</v>
      </c>
      <c r="J8135" s="67">
        <f t="shared" si="481"/>
        <v>-75771.6</v>
      </c>
      <c r="L8135" s="70"/>
      <c r="M8135" s="934"/>
    </row>
    <row r="8136" ht="12.75" hidden="1" customHeight="1" outlineLevel="1">
      <c r="A8136" s="202">
        <v>42361.0</v>
      </c>
      <c r="B8136" s="985" t="s">
        <v>343</v>
      </c>
      <c r="C8136" s="94" t="s">
        <v>3024</v>
      </c>
      <c r="D8136" s="286">
        <v>4500.0</v>
      </c>
      <c r="E8136" s="94">
        <v>16.922</v>
      </c>
      <c r="F8136" s="986">
        <v>0.40078703703703705</v>
      </c>
      <c r="G8136" s="94" t="s">
        <v>453</v>
      </c>
      <c r="H8136" s="987">
        <v>18.9</v>
      </c>
      <c r="I8136" s="988" t="s">
        <v>3145</v>
      </c>
      <c r="J8136" s="67">
        <f t="shared" si="481"/>
        <v>-76167.9</v>
      </c>
      <c r="L8136" s="70"/>
      <c r="M8136" s="934"/>
    </row>
    <row r="8137" ht="12.75" hidden="1" customHeight="1" outlineLevel="1">
      <c r="A8137" s="202">
        <v>42361.0</v>
      </c>
      <c r="B8137" s="985" t="s">
        <v>343</v>
      </c>
      <c r="C8137" s="94" t="s">
        <v>1633</v>
      </c>
      <c r="D8137" s="286">
        <v>10000.0</v>
      </c>
      <c r="E8137" s="94">
        <v>8.47</v>
      </c>
      <c r="F8137" s="986">
        <v>0.40063657407407405</v>
      </c>
      <c r="G8137" s="94" t="s">
        <v>453</v>
      </c>
      <c r="H8137" s="987">
        <v>43.2</v>
      </c>
      <c r="I8137" s="988" t="s">
        <v>3145</v>
      </c>
      <c r="J8137" s="67">
        <f t="shared" si="481"/>
        <v>-84743.2</v>
      </c>
      <c r="L8137" s="70"/>
      <c r="M8137" s="934"/>
    </row>
    <row r="8138" ht="12.75" hidden="1" customHeight="1" outlineLevel="1">
      <c r="A8138" s="202">
        <v>42361.0</v>
      </c>
      <c r="B8138" s="985" t="s">
        <v>343</v>
      </c>
      <c r="C8138" s="94" t="s">
        <v>2048</v>
      </c>
      <c r="D8138" s="286">
        <v>2000.0</v>
      </c>
      <c r="E8138" s="94">
        <v>3.99</v>
      </c>
      <c r="F8138" s="986">
        <v>0.4004976851851852</v>
      </c>
      <c r="G8138" s="94" t="s">
        <v>453</v>
      </c>
      <c r="H8138" s="987">
        <v>8.7</v>
      </c>
      <c r="I8138" s="988" t="s">
        <v>3145</v>
      </c>
      <c r="J8138" s="67">
        <f t="shared" si="481"/>
        <v>-7988.7</v>
      </c>
      <c r="L8138" s="70"/>
      <c r="M8138" s="934"/>
    </row>
    <row r="8139" ht="12.75" hidden="1" customHeight="1" outlineLevel="1">
      <c r="A8139" s="202">
        <v>42361.0</v>
      </c>
      <c r="B8139" s="985" t="s">
        <v>343</v>
      </c>
      <c r="C8139" s="94" t="s">
        <v>2090</v>
      </c>
      <c r="D8139" s="286">
        <v>12000.0</v>
      </c>
      <c r="E8139" s="94">
        <v>3.9599</v>
      </c>
      <c r="F8139" s="986">
        <v>0.4000578703703704</v>
      </c>
      <c r="G8139" s="94" t="s">
        <v>453</v>
      </c>
      <c r="H8139" s="987">
        <v>48.0</v>
      </c>
      <c r="I8139" s="988" t="s">
        <v>3145</v>
      </c>
      <c r="J8139" s="67">
        <f t="shared" si="481"/>
        <v>-47566.8</v>
      </c>
      <c r="L8139" s="70"/>
      <c r="M8139" s="934"/>
    </row>
    <row r="8140" ht="12.75" hidden="1" customHeight="1" outlineLevel="1">
      <c r="A8140" s="202">
        <v>42361.0</v>
      </c>
      <c r="B8140" s="985" t="s">
        <v>343</v>
      </c>
      <c r="C8140" s="94" t="s">
        <v>1893</v>
      </c>
      <c r="D8140" s="286">
        <v>6000.0</v>
      </c>
      <c r="E8140" s="94">
        <v>6.95</v>
      </c>
      <c r="F8140" s="986">
        <v>0.3999652777777778</v>
      </c>
      <c r="G8140" s="94" t="s">
        <v>453</v>
      </c>
      <c r="H8140" s="987">
        <v>29.88</v>
      </c>
      <c r="I8140" s="988" t="s">
        <v>3145</v>
      </c>
      <c r="J8140" s="67">
        <f t="shared" si="481"/>
        <v>-41729.88</v>
      </c>
      <c r="L8140" s="70"/>
      <c r="M8140" s="934"/>
    </row>
    <row r="8141" ht="12.75" hidden="1" customHeight="1" outlineLevel="1">
      <c r="A8141" s="122">
        <v>42361.0</v>
      </c>
      <c r="B8141" s="992"/>
      <c r="C8141" s="32" t="s">
        <v>339</v>
      </c>
      <c r="D8141" s="1"/>
      <c r="F8141" s="1"/>
      <c r="G8141" s="1"/>
      <c r="H8141" s="68"/>
      <c r="I8141" s="76"/>
      <c r="K8141" s="201" t="s">
        <v>3234</v>
      </c>
      <c r="L8141" s="934"/>
      <c r="M8141" s="934"/>
    </row>
    <row r="8142" ht="12.75" hidden="1" customHeight="1" outlineLevel="1">
      <c r="A8142" s="122">
        <v>42361.0</v>
      </c>
      <c r="B8142" s="992"/>
      <c r="C8142" s="32" t="s">
        <v>429</v>
      </c>
      <c r="D8142" s="1"/>
      <c r="F8142" s="1"/>
      <c r="G8142" s="1"/>
      <c r="H8142" s="68"/>
      <c r="I8142" s="76"/>
      <c r="K8142" s="9" t="s">
        <v>3187</v>
      </c>
      <c r="L8142" s="934"/>
      <c r="M8142" s="934"/>
    </row>
    <row r="8143" ht="12.75" hidden="1" customHeight="1" outlineLevel="1">
      <c r="A8143" s="122">
        <v>42361.0</v>
      </c>
      <c r="B8143" s="992"/>
      <c r="C8143" s="32" t="s">
        <v>431</v>
      </c>
      <c r="D8143" s="1"/>
      <c r="F8143" s="1"/>
      <c r="G8143" s="1"/>
      <c r="H8143" s="68"/>
      <c r="I8143" s="76"/>
      <c r="K8143" s="7" t="s">
        <v>1126</v>
      </c>
      <c r="L8143" s="934"/>
      <c r="M8143" s="934"/>
    </row>
    <row r="8144" ht="12.75" hidden="1" customHeight="1" outlineLevel="1">
      <c r="A8144" s="122">
        <v>42361.0</v>
      </c>
      <c r="B8144" s="992"/>
      <c r="C8144" s="32" t="s">
        <v>433</v>
      </c>
      <c r="D8144" s="1"/>
      <c r="F8144" s="1"/>
      <c r="G8144" s="1"/>
      <c r="H8144" s="68"/>
      <c r="I8144" s="76"/>
      <c r="K8144" s="7" t="s">
        <v>1103</v>
      </c>
      <c r="L8144" s="934"/>
      <c r="M8144" s="934"/>
    </row>
    <row r="8145" ht="12.75" hidden="1" customHeight="1" outlineLevel="1">
      <c r="A8145" s="122">
        <v>42361.0</v>
      </c>
      <c r="B8145" s="992"/>
      <c r="C8145" s="32" t="s">
        <v>435</v>
      </c>
      <c r="D8145" s="1"/>
      <c r="F8145" s="1"/>
      <c r="G8145" s="1"/>
      <c r="H8145" s="68"/>
      <c r="I8145" s="76"/>
      <c r="K8145" s="9" t="s">
        <v>3134</v>
      </c>
      <c r="L8145" s="934"/>
      <c r="M8145" s="934"/>
    </row>
    <row r="8146" ht="12.75" hidden="1" customHeight="1" outlineLevel="1">
      <c r="A8146" s="202">
        <v>42362.0</v>
      </c>
      <c r="B8146" s="985" t="s">
        <v>347</v>
      </c>
      <c r="C8146" s="94" t="s">
        <v>784</v>
      </c>
      <c r="D8146" s="286">
        <v>8000.0</v>
      </c>
      <c r="E8146" s="94">
        <v>3.33</v>
      </c>
      <c r="F8146" s="986">
        <v>0.41800925925925925</v>
      </c>
      <c r="G8146" s="94" t="s">
        <v>453</v>
      </c>
      <c r="H8146" s="987">
        <v>32.49</v>
      </c>
      <c r="I8146" s="988" t="s">
        <v>3145</v>
      </c>
      <c r="J8146" s="67">
        <f t="shared" ref="J8146:J8176" si="482">IF(B8146="SLD",D8146*E8146,-D8146*E8146)-H8146</f>
        <v>26607.51</v>
      </c>
      <c r="L8146" s="70"/>
      <c r="M8146" s="934"/>
    </row>
    <row r="8147" ht="12.75" hidden="1" customHeight="1" outlineLevel="1">
      <c r="A8147" s="202">
        <v>42362.0</v>
      </c>
      <c r="B8147" s="985" t="s">
        <v>347</v>
      </c>
      <c r="C8147" s="94" t="s">
        <v>1890</v>
      </c>
      <c r="D8147" s="94">
        <v>500.0</v>
      </c>
      <c r="E8147" s="94">
        <v>15.9401</v>
      </c>
      <c r="F8147" s="986">
        <v>0.4181828703703704</v>
      </c>
      <c r="G8147" s="94" t="s">
        <v>453</v>
      </c>
      <c r="H8147" s="987">
        <v>2.15</v>
      </c>
      <c r="I8147" s="988" t="s">
        <v>3145</v>
      </c>
      <c r="J8147" s="67">
        <f t="shared" si="482"/>
        <v>7967.9</v>
      </c>
      <c r="L8147" s="70"/>
      <c r="M8147" s="934"/>
    </row>
    <row r="8148" ht="12.75" hidden="1" customHeight="1" outlineLevel="1">
      <c r="A8148" s="202">
        <v>42362.0</v>
      </c>
      <c r="B8148" s="985" t="s">
        <v>347</v>
      </c>
      <c r="C8148" s="94" t="s">
        <v>1893</v>
      </c>
      <c r="D8148" s="286">
        <v>1000.0</v>
      </c>
      <c r="E8148" s="94">
        <v>7.3</v>
      </c>
      <c r="F8148" s="986">
        <v>0.41952546296296295</v>
      </c>
      <c r="G8148" s="94" t="s">
        <v>453</v>
      </c>
      <c r="H8148" s="987">
        <v>4.53</v>
      </c>
      <c r="I8148" s="988" t="s">
        <v>3145</v>
      </c>
      <c r="J8148" s="67">
        <f t="shared" si="482"/>
        <v>7295.47</v>
      </c>
      <c r="L8148" s="70"/>
      <c r="M8148" s="934"/>
    </row>
    <row r="8149" ht="12.75" hidden="1" customHeight="1" outlineLevel="1">
      <c r="A8149" s="202">
        <v>42362.0</v>
      </c>
      <c r="B8149" s="985" t="s">
        <v>347</v>
      </c>
      <c r="C8149" s="94" t="s">
        <v>3024</v>
      </c>
      <c r="D8149" s="286">
        <v>1200.0</v>
      </c>
      <c r="E8149" s="94">
        <v>17.273</v>
      </c>
      <c r="F8149" s="986">
        <v>0.42128472222222224</v>
      </c>
      <c r="G8149" s="94" t="s">
        <v>453</v>
      </c>
      <c r="H8149" s="987">
        <v>6.08</v>
      </c>
      <c r="I8149" s="988" t="s">
        <v>3145</v>
      </c>
      <c r="J8149" s="67">
        <f t="shared" si="482"/>
        <v>20721.52</v>
      </c>
      <c r="L8149" s="70"/>
      <c r="M8149" s="934"/>
    </row>
    <row r="8150" ht="12.75" hidden="1" customHeight="1" outlineLevel="1">
      <c r="A8150" s="202">
        <v>42362.0</v>
      </c>
      <c r="B8150" s="985" t="s">
        <v>347</v>
      </c>
      <c r="C8150" s="94" t="s">
        <v>1821</v>
      </c>
      <c r="D8150" s="94">
        <v>800.0</v>
      </c>
      <c r="E8150" s="94">
        <v>22.7102</v>
      </c>
      <c r="F8150" s="986">
        <v>0.4219907407407407</v>
      </c>
      <c r="G8150" s="94" t="s">
        <v>453</v>
      </c>
      <c r="H8150" s="987">
        <v>3.53</v>
      </c>
      <c r="I8150" s="988" t="s">
        <v>3145</v>
      </c>
      <c r="J8150" s="67">
        <f t="shared" si="482"/>
        <v>18164.63</v>
      </c>
      <c r="L8150" s="70"/>
      <c r="M8150" s="934"/>
    </row>
    <row r="8151" ht="12.75" hidden="1" customHeight="1" outlineLevel="1">
      <c r="A8151" s="202">
        <v>42362.0</v>
      </c>
      <c r="B8151" s="985" t="s">
        <v>347</v>
      </c>
      <c r="C8151" s="94" t="s">
        <v>2210</v>
      </c>
      <c r="D8151" s="94">
        <v>200.0</v>
      </c>
      <c r="E8151" s="94">
        <v>67.9</v>
      </c>
      <c r="F8151" s="986">
        <v>0.422962962962963</v>
      </c>
      <c r="G8151" s="94" t="s">
        <v>453</v>
      </c>
      <c r="H8151" s="987">
        <v>1.25</v>
      </c>
      <c r="I8151" s="988" t="s">
        <v>3145</v>
      </c>
      <c r="J8151" s="67">
        <f t="shared" si="482"/>
        <v>13578.75</v>
      </c>
      <c r="L8151" s="70"/>
      <c r="M8151" s="934"/>
    </row>
    <row r="8152" ht="12.75" hidden="1" customHeight="1" outlineLevel="1">
      <c r="A8152" s="202">
        <v>42362.0</v>
      </c>
      <c r="B8152" s="985" t="s">
        <v>347</v>
      </c>
      <c r="C8152" s="94" t="s">
        <v>1947</v>
      </c>
      <c r="D8152" s="94">
        <v>300.0</v>
      </c>
      <c r="E8152" s="94">
        <v>39.253</v>
      </c>
      <c r="F8152" s="986">
        <v>0.4310300925925926</v>
      </c>
      <c r="G8152" s="94" t="s">
        <v>453</v>
      </c>
      <c r="H8152" s="987">
        <v>1.72</v>
      </c>
      <c r="I8152" s="988" t="s">
        <v>3145</v>
      </c>
      <c r="J8152" s="67">
        <f t="shared" si="482"/>
        <v>11774.18</v>
      </c>
      <c r="L8152" s="70"/>
      <c r="M8152" s="934"/>
    </row>
    <row r="8153" ht="12.75" hidden="1" customHeight="1" outlineLevel="1">
      <c r="A8153" s="202">
        <v>42362.0</v>
      </c>
      <c r="B8153" s="985" t="s">
        <v>347</v>
      </c>
      <c r="C8153" s="94" t="s">
        <v>344</v>
      </c>
      <c r="D8153" s="94">
        <v>200.0</v>
      </c>
      <c r="E8153" s="94">
        <v>61.4701</v>
      </c>
      <c r="F8153" s="986">
        <v>0.47466435185185185</v>
      </c>
      <c r="G8153" s="94" t="s">
        <v>453</v>
      </c>
      <c r="H8153" s="987">
        <v>1.23</v>
      </c>
      <c r="I8153" s="988" t="s">
        <v>3145</v>
      </c>
      <c r="J8153" s="67">
        <f t="shared" si="482"/>
        <v>12292.79</v>
      </c>
      <c r="L8153" s="70"/>
      <c r="M8153" s="934"/>
    </row>
    <row r="8154" ht="12.75" hidden="1" customHeight="1" outlineLevel="1">
      <c r="A8154" s="202">
        <v>42362.0</v>
      </c>
      <c r="B8154" s="985" t="s">
        <v>347</v>
      </c>
      <c r="C8154" s="94" t="s">
        <v>2862</v>
      </c>
      <c r="D8154" s="94">
        <v>100.0</v>
      </c>
      <c r="E8154" s="94">
        <v>109.33</v>
      </c>
      <c r="F8154" s="986">
        <v>0.4752546296296296</v>
      </c>
      <c r="G8154" s="94" t="s">
        <v>453</v>
      </c>
      <c r="H8154" s="987">
        <v>1.2</v>
      </c>
      <c r="I8154" s="988" t="s">
        <v>3145</v>
      </c>
      <c r="J8154" s="67">
        <f t="shared" si="482"/>
        <v>10931.8</v>
      </c>
      <c r="L8154" s="70"/>
      <c r="M8154" s="934"/>
    </row>
    <row r="8155" ht="12.75" hidden="1" customHeight="1" outlineLevel="1">
      <c r="A8155" s="202">
        <v>42362.0</v>
      </c>
      <c r="B8155" s="985" t="s">
        <v>347</v>
      </c>
      <c r="C8155" s="94" t="s">
        <v>346</v>
      </c>
      <c r="D8155" s="94">
        <v>100.0</v>
      </c>
      <c r="E8155" s="94">
        <v>108.501</v>
      </c>
      <c r="F8155" s="986">
        <v>0.475462962962963</v>
      </c>
      <c r="G8155" s="94" t="s">
        <v>453</v>
      </c>
      <c r="H8155" s="987">
        <v>1.2</v>
      </c>
      <c r="I8155" s="988" t="s">
        <v>3145</v>
      </c>
      <c r="J8155" s="67">
        <f t="shared" si="482"/>
        <v>10848.9</v>
      </c>
      <c r="L8155" s="70"/>
      <c r="M8155" s="934"/>
    </row>
    <row r="8156" ht="12.75" hidden="1" customHeight="1" outlineLevel="1">
      <c r="A8156" s="202">
        <v>42362.0</v>
      </c>
      <c r="B8156" s="985" t="s">
        <v>347</v>
      </c>
      <c r="C8156" s="94" t="s">
        <v>1060</v>
      </c>
      <c r="D8156" s="94">
        <v>250.0</v>
      </c>
      <c r="E8156" s="94">
        <v>37.5501</v>
      </c>
      <c r="F8156" s="986">
        <v>0.4763541666666667</v>
      </c>
      <c r="G8156" s="94" t="s">
        <v>453</v>
      </c>
      <c r="H8156" s="987">
        <v>1.17</v>
      </c>
      <c r="I8156" s="988" t="s">
        <v>3145</v>
      </c>
      <c r="J8156" s="67">
        <f t="shared" si="482"/>
        <v>9386.355</v>
      </c>
      <c r="L8156" s="70"/>
      <c r="M8156" s="934"/>
    </row>
    <row r="8157" ht="12.75" hidden="1" customHeight="1" outlineLevel="1">
      <c r="A8157" s="202">
        <v>42362.0</v>
      </c>
      <c r="B8157" s="985" t="s">
        <v>347</v>
      </c>
      <c r="C8157" s="94" t="s">
        <v>847</v>
      </c>
      <c r="D8157" s="94">
        <v>150.0</v>
      </c>
      <c r="E8157" s="94">
        <v>146.98</v>
      </c>
      <c r="F8157" s="986">
        <v>0.47730324074074076</v>
      </c>
      <c r="G8157" s="94" t="s">
        <v>453</v>
      </c>
      <c r="H8157" s="987">
        <v>1.41</v>
      </c>
      <c r="I8157" s="988" t="s">
        <v>3145</v>
      </c>
      <c r="J8157" s="67">
        <f t="shared" si="482"/>
        <v>22045.59</v>
      </c>
      <c r="L8157" s="70"/>
      <c r="M8157" s="934"/>
    </row>
    <row r="8158" ht="12.75" hidden="1" customHeight="1" outlineLevel="1">
      <c r="A8158" s="202">
        <v>42362.0</v>
      </c>
      <c r="B8158" s="985" t="s">
        <v>347</v>
      </c>
      <c r="C8158" s="94" t="s">
        <v>1061</v>
      </c>
      <c r="D8158" s="94">
        <v>250.0</v>
      </c>
      <c r="E8158" s="94">
        <v>43.16</v>
      </c>
      <c r="F8158" s="986">
        <v>0.47761574074074076</v>
      </c>
      <c r="G8158" s="94" t="s">
        <v>453</v>
      </c>
      <c r="H8158" s="987">
        <v>1.45</v>
      </c>
      <c r="I8158" s="988" t="s">
        <v>3145</v>
      </c>
      <c r="J8158" s="67">
        <f t="shared" si="482"/>
        <v>10788.55</v>
      </c>
      <c r="L8158" s="70"/>
      <c r="M8158" s="934"/>
    </row>
    <row r="8159" ht="12.75" hidden="1" customHeight="1" outlineLevel="1">
      <c r="A8159" s="202">
        <v>42362.0</v>
      </c>
      <c r="B8159" s="985" t="s">
        <v>347</v>
      </c>
      <c r="C8159" s="94" t="s">
        <v>1995</v>
      </c>
      <c r="D8159" s="94">
        <v>200.0</v>
      </c>
      <c r="E8159" s="94">
        <v>50.65</v>
      </c>
      <c r="F8159" s="986">
        <v>0.4798148148148148</v>
      </c>
      <c r="G8159" s="94" t="s">
        <v>453</v>
      </c>
      <c r="H8159" s="987">
        <v>1.19</v>
      </c>
      <c r="I8159" s="988" t="s">
        <v>3145</v>
      </c>
      <c r="J8159" s="67">
        <f t="shared" si="482"/>
        <v>10128.81</v>
      </c>
      <c r="L8159" s="70"/>
      <c r="M8159" s="934"/>
    </row>
    <row r="8160" ht="12.75" hidden="1" customHeight="1" outlineLevel="1">
      <c r="A8160" s="202">
        <v>42362.0</v>
      </c>
      <c r="B8160" s="985" t="s">
        <v>347</v>
      </c>
      <c r="C8160" s="94" t="s">
        <v>3136</v>
      </c>
      <c r="D8160" s="94">
        <v>200.0</v>
      </c>
      <c r="E8160" s="94">
        <v>48.611</v>
      </c>
      <c r="F8160" s="986">
        <v>0.4799189814814815</v>
      </c>
      <c r="G8160" s="94" t="s">
        <v>453</v>
      </c>
      <c r="H8160" s="987">
        <v>1.18</v>
      </c>
      <c r="I8160" s="988" t="s">
        <v>3145</v>
      </c>
      <c r="J8160" s="67">
        <f t="shared" si="482"/>
        <v>9721.02</v>
      </c>
      <c r="L8160" s="70"/>
      <c r="M8160" s="934"/>
    </row>
    <row r="8161" ht="12.75" hidden="1" customHeight="1" outlineLevel="1">
      <c r="A8161" s="202">
        <v>42362.0</v>
      </c>
      <c r="B8161" s="985" t="s">
        <v>347</v>
      </c>
      <c r="C8161" s="94" t="s">
        <v>3132</v>
      </c>
      <c r="D8161" s="94">
        <v>75.0</v>
      </c>
      <c r="E8161" s="94">
        <v>153.32</v>
      </c>
      <c r="F8161" s="986">
        <v>0.48010416666666667</v>
      </c>
      <c r="G8161" s="94" t="s">
        <v>453</v>
      </c>
      <c r="H8161" s="987">
        <v>1.21</v>
      </c>
      <c r="I8161" s="988" t="s">
        <v>3145</v>
      </c>
      <c r="J8161" s="67">
        <f t="shared" si="482"/>
        <v>11497.79</v>
      </c>
      <c r="L8161" s="70"/>
      <c r="M8161" s="934"/>
    </row>
    <row r="8162" ht="12.75" hidden="1" customHeight="1" outlineLevel="1">
      <c r="A8162" s="202">
        <v>42362.0</v>
      </c>
      <c r="B8162" s="985" t="s">
        <v>347</v>
      </c>
      <c r="C8162" s="94" t="s">
        <v>1249</v>
      </c>
      <c r="D8162" s="94">
        <v>300.0</v>
      </c>
      <c r="E8162" s="94">
        <v>103.877</v>
      </c>
      <c r="F8162" s="986">
        <v>0.48336805555555556</v>
      </c>
      <c r="G8162" s="94" t="s">
        <v>453</v>
      </c>
      <c r="H8162" s="987">
        <v>2.07</v>
      </c>
      <c r="I8162" s="988" t="s">
        <v>3145</v>
      </c>
      <c r="J8162" s="67">
        <f t="shared" si="482"/>
        <v>31161.03</v>
      </c>
      <c r="L8162" s="70"/>
      <c r="M8162" s="934"/>
    </row>
    <row r="8163" ht="12.75" hidden="1" customHeight="1" outlineLevel="1">
      <c r="A8163" s="202">
        <v>42362.0</v>
      </c>
      <c r="B8163" s="985" t="s">
        <v>347</v>
      </c>
      <c r="C8163" s="94" t="s">
        <v>1633</v>
      </c>
      <c r="D8163" s="94">
        <v>842.0</v>
      </c>
      <c r="E8163" s="94">
        <v>8.6901</v>
      </c>
      <c r="F8163" s="986">
        <v>0.4916203703703704</v>
      </c>
      <c r="G8163" s="94" t="s">
        <v>453</v>
      </c>
      <c r="H8163" s="987">
        <v>3.5</v>
      </c>
      <c r="I8163" s="988" t="s">
        <v>3145</v>
      </c>
      <c r="J8163" s="67">
        <f t="shared" si="482"/>
        <v>7313.5642</v>
      </c>
      <c r="L8163" s="70"/>
      <c r="M8163" s="934"/>
    </row>
    <row r="8164" ht="12.75" hidden="1" customHeight="1" outlineLevel="1">
      <c r="A8164" s="202">
        <v>42362.0</v>
      </c>
      <c r="B8164" s="985" t="s">
        <v>347</v>
      </c>
      <c r="C8164" s="94" t="s">
        <v>2090</v>
      </c>
      <c r="D8164" s="286">
        <v>5000.0</v>
      </c>
      <c r="E8164" s="94">
        <v>4.04</v>
      </c>
      <c r="F8164" s="986">
        <v>0.49572916666666667</v>
      </c>
      <c r="G8164" s="94" t="s">
        <v>453</v>
      </c>
      <c r="H8164" s="987">
        <v>25.37</v>
      </c>
      <c r="I8164" s="988" t="s">
        <v>3145</v>
      </c>
      <c r="J8164" s="67">
        <f t="shared" si="482"/>
        <v>20174.63</v>
      </c>
      <c r="L8164" s="70"/>
      <c r="M8164" s="934"/>
    </row>
    <row r="8165" ht="12.75" hidden="1" customHeight="1" outlineLevel="1">
      <c r="A8165" s="202">
        <v>42362.0</v>
      </c>
      <c r="B8165" s="985" t="s">
        <v>347</v>
      </c>
      <c r="C8165" s="94" t="s">
        <v>790</v>
      </c>
      <c r="D8165" s="286">
        <v>2000.0</v>
      </c>
      <c r="E8165" s="94">
        <v>4.63</v>
      </c>
      <c r="F8165" s="986">
        <v>0.49877314814814816</v>
      </c>
      <c r="G8165" s="94" t="s">
        <v>453</v>
      </c>
      <c r="H8165" s="987">
        <v>8.17</v>
      </c>
      <c r="I8165" s="988" t="s">
        <v>3145</v>
      </c>
      <c r="J8165" s="67">
        <f t="shared" si="482"/>
        <v>9251.83</v>
      </c>
      <c r="L8165" s="70"/>
      <c r="M8165" s="934"/>
    </row>
    <row r="8166" ht="12.75" hidden="1" customHeight="1" outlineLevel="1">
      <c r="A8166" s="202">
        <v>42362.0</v>
      </c>
      <c r="B8166" s="985" t="s">
        <v>347</v>
      </c>
      <c r="C8166" s="94" t="s">
        <v>1781</v>
      </c>
      <c r="D8166" s="286">
        <v>1000.0</v>
      </c>
      <c r="E8166" s="94">
        <v>7.841</v>
      </c>
      <c r="F8166" s="986">
        <v>0.49938657407407405</v>
      </c>
      <c r="G8166" s="94" t="s">
        <v>453</v>
      </c>
      <c r="H8166" s="987">
        <v>4.14</v>
      </c>
      <c r="I8166" s="988" t="s">
        <v>3145</v>
      </c>
      <c r="J8166" s="67">
        <f t="shared" si="482"/>
        <v>7836.86</v>
      </c>
      <c r="L8166" s="70"/>
      <c r="M8166" s="934"/>
    </row>
    <row r="8167" ht="12.75" hidden="1" customHeight="1" outlineLevel="1">
      <c r="A8167" s="202">
        <v>42362.0</v>
      </c>
      <c r="B8167" s="985" t="s">
        <v>347</v>
      </c>
      <c r="C8167" s="94" t="s">
        <v>1902</v>
      </c>
      <c r="D8167" s="94">
        <v>700.0</v>
      </c>
      <c r="E8167" s="94">
        <v>11.886</v>
      </c>
      <c r="F8167" s="986">
        <v>0.5002893518518519</v>
      </c>
      <c r="G8167" s="94" t="s">
        <v>453</v>
      </c>
      <c r="H8167" s="987">
        <v>3.15</v>
      </c>
      <c r="I8167" s="988" t="s">
        <v>3145</v>
      </c>
      <c r="J8167" s="67">
        <f t="shared" si="482"/>
        <v>8317.05</v>
      </c>
      <c r="L8167" s="70"/>
      <c r="M8167" s="934"/>
    </row>
    <row r="8168" ht="12.75" hidden="1" customHeight="1" outlineLevel="1">
      <c r="A8168" s="202">
        <v>42362.0</v>
      </c>
      <c r="B8168" s="985" t="s">
        <v>347</v>
      </c>
      <c r="C8168" s="94" t="s">
        <v>1947</v>
      </c>
      <c r="D8168" s="94">
        <v>200.0</v>
      </c>
      <c r="E8168" s="94">
        <v>39.01</v>
      </c>
      <c r="F8168" s="986">
        <v>0.5013194444444444</v>
      </c>
      <c r="G8168" s="94" t="s">
        <v>453</v>
      </c>
      <c r="H8168" s="987">
        <v>1.14</v>
      </c>
      <c r="I8168" s="988" t="s">
        <v>3145</v>
      </c>
      <c r="J8168" s="67">
        <f t="shared" si="482"/>
        <v>7800.86</v>
      </c>
      <c r="L8168" s="70"/>
      <c r="M8168" s="934"/>
    </row>
    <row r="8169" ht="12.75" hidden="1" customHeight="1" outlineLevel="1">
      <c r="A8169" s="202">
        <v>42362.0</v>
      </c>
      <c r="B8169" s="985" t="s">
        <v>347</v>
      </c>
      <c r="C8169" s="94" t="s">
        <v>1357</v>
      </c>
      <c r="D8169" s="94">
        <v>200.0</v>
      </c>
      <c r="E8169" s="94">
        <v>38.1</v>
      </c>
      <c r="F8169" s="986">
        <v>0.5067013888888889</v>
      </c>
      <c r="G8169" s="94" t="s">
        <v>453</v>
      </c>
      <c r="H8169" s="987">
        <v>1.14</v>
      </c>
      <c r="I8169" s="988" t="s">
        <v>3145</v>
      </c>
      <c r="J8169" s="67">
        <f t="shared" si="482"/>
        <v>7618.86</v>
      </c>
      <c r="L8169" s="70"/>
      <c r="M8169" s="934"/>
    </row>
    <row r="8170" ht="12.75" hidden="1" customHeight="1" outlineLevel="1">
      <c r="A8170" s="202">
        <v>42362.0</v>
      </c>
      <c r="B8170" s="985" t="s">
        <v>347</v>
      </c>
      <c r="C8170" s="94" t="s">
        <v>2412</v>
      </c>
      <c r="D8170" s="94">
        <v>100.0</v>
      </c>
      <c r="E8170" s="94">
        <v>64.29</v>
      </c>
      <c r="F8170" s="986">
        <v>0.5067824074074074</v>
      </c>
      <c r="G8170" s="94" t="s">
        <v>453</v>
      </c>
      <c r="H8170" s="987">
        <v>1.12</v>
      </c>
      <c r="I8170" s="988" t="s">
        <v>3145</v>
      </c>
      <c r="J8170" s="67">
        <f t="shared" si="482"/>
        <v>6427.88</v>
      </c>
      <c r="L8170" s="70"/>
      <c r="M8170" s="934"/>
    </row>
    <row r="8171" ht="12.75" hidden="1" customHeight="1" outlineLevel="1">
      <c r="A8171" s="202">
        <v>42362.0</v>
      </c>
      <c r="B8171" s="985" t="s">
        <v>347</v>
      </c>
      <c r="C8171" s="94" t="s">
        <v>605</v>
      </c>
      <c r="D8171" s="94">
        <v>100.0</v>
      </c>
      <c r="E8171" s="94">
        <v>84.91</v>
      </c>
      <c r="F8171" s="986">
        <v>0.5068865740740741</v>
      </c>
      <c r="G8171" s="94" t="s">
        <v>453</v>
      </c>
      <c r="H8171" s="987">
        <v>1.16</v>
      </c>
      <c r="I8171" s="988" t="s">
        <v>3145</v>
      </c>
      <c r="J8171" s="67">
        <f t="shared" si="482"/>
        <v>8489.84</v>
      </c>
      <c r="L8171" s="70"/>
      <c r="M8171" s="934"/>
    </row>
    <row r="8172" ht="12.75" hidden="1" customHeight="1" outlineLevel="1">
      <c r="A8172" s="202">
        <v>42362.0</v>
      </c>
      <c r="B8172" s="985" t="s">
        <v>347</v>
      </c>
      <c r="C8172" s="94" t="s">
        <v>1221</v>
      </c>
      <c r="D8172" s="94">
        <v>200.0</v>
      </c>
      <c r="E8172" s="94">
        <v>37.2</v>
      </c>
      <c r="F8172" s="986">
        <v>0.5205324074074074</v>
      </c>
      <c r="G8172" s="94" t="s">
        <v>453</v>
      </c>
      <c r="H8172" s="987">
        <v>1.14</v>
      </c>
      <c r="I8172" s="988" t="s">
        <v>3145</v>
      </c>
      <c r="J8172" s="67">
        <f t="shared" si="482"/>
        <v>7438.86</v>
      </c>
      <c r="L8172" s="70"/>
      <c r="M8172" s="934"/>
    </row>
    <row r="8173" ht="12.75" hidden="1" customHeight="1" outlineLevel="1">
      <c r="A8173" s="202">
        <v>42362.0</v>
      </c>
      <c r="B8173" s="985" t="s">
        <v>347</v>
      </c>
      <c r="C8173" s="94" t="s">
        <v>1088</v>
      </c>
      <c r="D8173" s="94">
        <v>10.0</v>
      </c>
      <c r="E8173" s="94">
        <v>1655.16</v>
      </c>
      <c r="F8173" s="986">
        <v>0.5321759259259259</v>
      </c>
      <c r="G8173" s="94" t="s">
        <v>453</v>
      </c>
      <c r="H8173" s="987">
        <v>1.3</v>
      </c>
      <c r="I8173" s="988" t="s">
        <v>3145</v>
      </c>
      <c r="J8173" s="67">
        <f t="shared" si="482"/>
        <v>16550.3</v>
      </c>
      <c r="L8173" s="70"/>
      <c r="M8173" s="934"/>
    </row>
    <row r="8174" ht="12.75" hidden="1" customHeight="1" outlineLevel="1">
      <c r="A8174" s="202">
        <v>42362.0</v>
      </c>
      <c r="B8174" s="985" t="s">
        <v>347</v>
      </c>
      <c r="C8174" s="94" t="s">
        <v>346</v>
      </c>
      <c r="D8174" s="94">
        <v>250.0</v>
      </c>
      <c r="E8174" s="94">
        <v>107.99</v>
      </c>
      <c r="F8174" s="986">
        <v>0.5397916666666667</v>
      </c>
      <c r="G8174" s="94" t="s">
        <v>453</v>
      </c>
      <c r="H8174" s="987">
        <v>1.75</v>
      </c>
      <c r="I8174" s="988" t="s">
        <v>3145</v>
      </c>
      <c r="J8174" s="67">
        <f t="shared" si="482"/>
        <v>26995.75</v>
      </c>
      <c r="L8174" s="70"/>
      <c r="M8174" s="934"/>
    </row>
    <row r="8175" ht="12.75" hidden="1" customHeight="1" outlineLevel="1">
      <c r="A8175" s="202">
        <v>42362.0</v>
      </c>
      <c r="B8175" s="985" t="s">
        <v>347</v>
      </c>
      <c r="C8175" s="94" t="s">
        <v>1060</v>
      </c>
      <c r="D8175" s="94">
        <v>650.0</v>
      </c>
      <c r="E8175" s="94">
        <v>37.431</v>
      </c>
      <c r="F8175" s="986">
        <v>0.5400347222222223</v>
      </c>
      <c r="G8175" s="94" t="s">
        <v>453</v>
      </c>
      <c r="H8175" s="987">
        <v>3.05</v>
      </c>
      <c r="I8175" s="988" t="s">
        <v>3145</v>
      </c>
      <c r="J8175" s="67">
        <f t="shared" si="482"/>
        <v>24327.1</v>
      </c>
      <c r="L8175" s="70"/>
      <c r="M8175" s="934"/>
    </row>
    <row r="8176" ht="12.75" hidden="1" customHeight="1" outlineLevel="1">
      <c r="A8176" s="202">
        <v>42366.0</v>
      </c>
      <c r="B8176" s="985" t="s">
        <v>347</v>
      </c>
      <c r="C8176" s="94" t="s">
        <v>1061</v>
      </c>
      <c r="D8176" s="94">
        <v>650.0</v>
      </c>
      <c r="E8176" s="94">
        <v>42.241</v>
      </c>
      <c r="F8176" s="986">
        <v>0.43766203703703704</v>
      </c>
      <c r="G8176" s="94" t="s">
        <v>453</v>
      </c>
      <c r="H8176" s="987">
        <v>3.11</v>
      </c>
      <c r="I8176" s="988" t="s">
        <v>3145</v>
      </c>
      <c r="J8176" s="67">
        <f t="shared" si="482"/>
        <v>27453.54</v>
      </c>
      <c r="L8176" s="70"/>
      <c r="M8176" s="934"/>
    </row>
    <row r="8177" ht="12.75" hidden="1" customHeight="1" outlineLevel="1">
      <c r="A8177" s="122">
        <v>42366.0</v>
      </c>
      <c r="B8177" s="992"/>
      <c r="C8177" s="32" t="s">
        <v>339</v>
      </c>
      <c r="D8177" s="1"/>
      <c r="F8177" s="1"/>
      <c r="G8177" s="1"/>
      <c r="H8177" s="68"/>
      <c r="I8177" s="76"/>
      <c r="K8177" s="201" t="s">
        <v>3236</v>
      </c>
      <c r="L8177" s="934"/>
      <c r="M8177" s="934"/>
    </row>
    <row r="8178" ht="12.75" hidden="1" customHeight="1" outlineLevel="1">
      <c r="A8178" s="122">
        <v>42366.0</v>
      </c>
      <c r="B8178" s="992"/>
      <c r="C8178" s="32" t="s">
        <v>429</v>
      </c>
      <c r="D8178" s="1"/>
      <c r="F8178" s="1"/>
      <c r="G8178" s="1"/>
      <c r="H8178" s="68"/>
      <c r="I8178" s="76"/>
      <c r="K8178" s="9" t="s">
        <v>3187</v>
      </c>
      <c r="L8178" s="934"/>
      <c r="M8178" s="934"/>
    </row>
    <row r="8179" ht="12.75" hidden="1" customHeight="1" outlineLevel="1">
      <c r="A8179" s="122">
        <v>42366.0</v>
      </c>
      <c r="B8179" s="992"/>
      <c r="C8179" s="32" t="s">
        <v>431</v>
      </c>
      <c r="D8179" s="1"/>
      <c r="F8179" s="1"/>
      <c r="G8179" s="1"/>
      <c r="H8179" s="68"/>
      <c r="I8179" s="76"/>
      <c r="K8179" s="7" t="s">
        <v>1126</v>
      </c>
      <c r="L8179" s="934"/>
      <c r="M8179" s="934"/>
    </row>
    <row r="8180" ht="12.75" hidden="1" customHeight="1" outlineLevel="1">
      <c r="A8180" s="122">
        <v>42366.0</v>
      </c>
      <c r="B8180" s="992"/>
      <c r="C8180" s="32" t="s">
        <v>433</v>
      </c>
      <c r="D8180" s="1"/>
      <c r="F8180" s="1"/>
      <c r="G8180" s="1"/>
      <c r="H8180" s="68"/>
      <c r="I8180" s="76"/>
      <c r="K8180" s="7" t="s">
        <v>1103</v>
      </c>
      <c r="L8180" s="934"/>
      <c r="M8180" s="934"/>
    </row>
    <row r="8181" ht="12.75" hidden="1" customHeight="1" outlineLevel="1">
      <c r="A8181" s="122">
        <v>42366.0</v>
      </c>
      <c r="B8181" s="992"/>
      <c r="C8181" s="32" t="s">
        <v>435</v>
      </c>
      <c r="D8181" s="1"/>
      <c r="F8181" s="1"/>
      <c r="G8181" s="1"/>
      <c r="H8181" s="68"/>
      <c r="I8181" s="76"/>
      <c r="K8181" s="9" t="s">
        <v>3134</v>
      </c>
      <c r="L8181" s="934"/>
      <c r="M8181" s="934"/>
    </row>
    <row r="8182" ht="12.75" hidden="1" customHeight="1" outlineLevel="1">
      <c r="A8182" s="202">
        <v>42367.0</v>
      </c>
      <c r="B8182" s="985" t="s">
        <v>347</v>
      </c>
      <c r="C8182" s="94" t="s">
        <v>1938</v>
      </c>
      <c r="D8182" s="94">
        <v>400.0</v>
      </c>
      <c r="E8182" s="94">
        <v>15.03</v>
      </c>
      <c r="F8182" s="986">
        <v>0.6469212962962962</v>
      </c>
      <c r="G8182" s="94" t="s">
        <v>453</v>
      </c>
      <c r="H8182" s="987">
        <v>1.71</v>
      </c>
      <c r="I8182" s="988" t="s">
        <v>3145</v>
      </c>
      <c r="J8182" s="67">
        <f t="shared" ref="J8182:J8205" si="483">IF(B8182="SLD",D8182*E8182,-D8182*E8182)-H8182</f>
        <v>6010.29</v>
      </c>
      <c r="L8182" s="70"/>
      <c r="M8182" s="934"/>
    </row>
    <row r="8183" ht="12.75" hidden="1" customHeight="1" outlineLevel="1">
      <c r="A8183" s="202">
        <v>42367.0</v>
      </c>
      <c r="B8183" s="985" t="s">
        <v>347</v>
      </c>
      <c r="C8183" s="94" t="s">
        <v>1310</v>
      </c>
      <c r="D8183" s="94">
        <v>20.0</v>
      </c>
      <c r="E8183" s="94">
        <v>314.63</v>
      </c>
      <c r="F8183" s="986">
        <v>0.6307407407407407</v>
      </c>
      <c r="G8183" s="94" t="s">
        <v>453</v>
      </c>
      <c r="H8183" s="987">
        <v>1.12</v>
      </c>
      <c r="I8183" s="988" t="s">
        <v>3145</v>
      </c>
      <c r="J8183" s="67">
        <f t="shared" si="483"/>
        <v>6291.48</v>
      </c>
      <c r="L8183" s="70"/>
      <c r="M8183" s="934"/>
    </row>
    <row r="8184" ht="12.75" hidden="1" customHeight="1" outlineLevel="1">
      <c r="A8184" s="202">
        <v>42367.0</v>
      </c>
      <c r="B8184" s="985" t="s">
        <v>343</v>
      </c>
      <c r="C8184" s="94" t="s">
        <v>1465</v>
      </c>
      <c r="D8184" s="94">
        <v>20.0</v>
      </c>
      <c r="E8184" s="94">
        <v>310.23</v>
      </c>
      <c r="F8184" s="986">
        <v>0.6304166666666666</v>
      </c>
      <c r="G8184" s="94" t="s">
        <v>453</v>
      </c>
      <c r="H8184" s="987">
        <v>1.0</v>
      </c>
      <c r="I8184" s="988" t="s">
        <v>3145</v>
      </c>
      <c r="J8184" s="67">
        <f t="shared" si="483"/>
        <v>-6205.6</v>
      </c>
      <c r="L8184" s="70"/>
      <c r="M8184" s="934"/>
    </row>
    <row r="8185" ht="12.75" hidden="1" customHeight="1" outlineLevel="1">
      <c r="A8185" s="202">
        <v>42367.0</v>
      </c>
      <c r="B8185" s="985" t="s">
        <v>347</v>
      </c>
      <c r="C8185" s="94" t="s">
        <v>2084</v>
      </c>
      <c r="D8185" s="286">
        <v>1000.0</v>
      </c>
      <c r="E8185" s="94">
        <v>6.78</v>
      </c>
      <c r="F8185" s="986">
        <v>0.4294791666666667</v>
      </c>
      <c r="G8185" s="94" t="s">
        <v>453</v>
      </c>
      <c r="H8185" s="987">
        <v>5.12</v>
      </c>
      <c r="I8185" s="988" t="s">
        <v>3145</v>
      </c>
      <c r="J8185" s="67">
        <f t="shared" si="483"/>
        <v>6774.88</v>
      </c>
      <c r="L8185" s="70"/>
      <c r="M8185" s="934"/>
    </row>
    <row r="8186" ht="12.75" hidden="1" customHeight="1" outlineLevel="1">
      <c r="A8186" s="202">
        <v>42734.0</v>
      </c>
      <c r="B8186" s="985" t="s">
        <v>347</v>
      </c>
      <c r="C8186" s="94" t="s">
        <v>1905</v>
      </c>
      <c r="D8186" s="286">
        <v>1000.0</v>
      </c>
      <c r="E8186" s="94">
        <v>15.221</v>
      </c>
      <c r="F8186" s="993">
        <v>42734.62457175926</v>
      </c>
      <c r="G8186" s="94" t="s">
        <v>453</v>
      </c>
      <c r="H8186" s="987">
        <v>4.58</v>
      </c>
      <c r="I8186" s="988" t="s">
        <v>3145</v>
      </c>
      <c r="J8186" s="67">
        <f t="shared" si="483"/>
        <v>15216.42</v>
      </c>
      <c r="L8186" s="70"/>
      <c r="M8186" s="934"/>
    </row>
    <row r="8187" ht="12.75" hidden="1" customHeight="1" outlineLevel="1">
      <c r="A8187" s="202">
        <v>42734.0</v>
      </c>
      <c r="B8187" s="985" t="s">
        <v>347</v>
      </c>
      <c r="C8187" s="94" t="s">
        <v>3024</v>
      </c>
      <c r="D8187" s="286">
        <v>500.0</v>
      </c>
      <c r="E8187" s="94">
        <v>16.831</v>
      </c>
      <c r="F8187" s="993">
        <v>42734.63353009259</v>
      </c>
      <c r="G8187" s="94" t="s">
        <v>453</v>
      </c>
      <c r="H8187" s="987">
        <v>2.15</v>
      </c>
      <c r="I8187" s="988" t="s">
        <v>3145</v>
      </c>
      <c r="J8187" s="67">
        <f t="shared" si="483"/>
        <v>8413.35</v>
      </c>
      <c r="L8187" s="70"/>
      <c r="M8187" s="934"/>
    </row>
    <row r="8188" ht="12.75" hidden="1" customHeight="1" outlineLevel="1">
      <c r="A8188" s="202">
        <v>42734.0</v>
      </c>
      <c r="B8188" s="985" t="s">
        <v>347</v>
      </c>
      <c r="C8188" s="94" t="s">
        <v>2210</v>
      </c>
      <c r="D8188" s="286">
        <v>100.0</v>
      </c>
      <c r="E8188" s="94">
        <v>68.893</v>
      </c>
      <c r="F8188" s="993">
        <v>42734.633738425924</v>
      </c>
      <c r="G8188" s="94" t="s">
        <v>453</v>
      </c>
      <c r="H8188" s="987">
        <v>1.13</v>
      </c>
      <c r="I8188" s="988" t="s">
        <v>3145</v>
      </c>
      <c r="J8188" s="67">
        <f t="shared" si="483"/>
        <v>6888.17</v>
      </c>
      <c r="L8188" s="70"/>
      <c r="M8188" s="934"/>
    </row>
    <row r="8189" ht="12.75" hidden="1" customHeight="1" outlineLevel="1">
      <c r="A8189" s="202">
        <v>42734.0</v>
      </c>
      <c r="B8189" s="985" t="s">
        <v>347</v>
      </c>
      <c r="C8189" s="94" t="s">
        <v>1893</v>
      </c>
      <c r="D8189" s="286">
        <v>1000.0</v>
      </c>
      <c r="E8189" s="94">
        <v>6.76</v>
      </c>
      <c r="F8189" s="993">
        <v>42734.63616898148</v>
      </c>
      <c r="G8189" s="94" t="s">
        <v>453</v>
      </c>
      <c r="H8189" s="987">
        <v>4.12</v>
      </c>
      <c r="I8189" s="988" t="s">
        <v>3145</v>
      </c>
      <c r="J8189" s="67">
        <f t="shared" si="483"/>
        <v>6755.88</v>
      </c>
      <c r="L8189" s="70"/>
      <c r="M8189" s="934"/>
    </row>
    <row r="8190" ht="12.75" hidden="1" customHeight="1" outlineLevel="1">
      <c r="A8190" s="202">
        <v>42734.0</v>
      </c>
      <c r="B8190" s="985" t="s">
        <v>347</v>
      </c>
      <c r="C8190" s="94" t="s">
        <v>1633</v>
      </c>
      <c r="D8190" s="286">
        <v>1158.0</v>
      </c>
      <c r="E8190" s="94">
        <v>7.76</v>
      </c>
      <c r="F8190" s="993">
        <v>42734.63851851852</v>
      </c>
      <c r="G8190" s="94" t="s">
        <v>453</v>
      </c>
      <c r="H8190" s="987">
        <v>5.96</v>
      </c>
      <c r="I8190" s="988" t="s">
        <v>3145</v>
      </c>
      <c r="J8190" s="67">
        <f t="shared" si="483"/>
        <v>8980.12</v>
      </c>
      <c r="L8190" s="70"/>
      <c r="M8190" s="934"/>
    </row>
    <row r="8191" ht="12.75" hidden="1" customHeight="1" outlineLevel="1">
      <c r="A8191" s="202">
        <v>42734.0</v>
      </c>
      <c r="B8191" s="985" t="s">
        <v>347</v>
      </c>
      <c r="C8191" s="94" t="s">
        <v>1781</v>
      </c>
      <c r="D8191" s="286">
        <v>1000.0</v>
      </c>
      <c r="E8191" s="94">
        <v>7.34</v>
      </c>
      <c r="F8191" s="993">
        <v>42734.639756944445</v>
      </c>
      <c r="G8191" s="94" t="s">
        <v>453</v>
      </c>
      <c r="H8191" s="987">
        <v>4.14</v>
      </c>
      <c r="I8191" s="988" t="s">
        <v>3145</v>
      </c>
      <c r="J8191" s="67">
        <f t="shared" si="483"/>
        <v>7335.86</v>
      </c>
      <c r="L8191" s="70"/>
      <c r="M8191" s="934"/>
    </row>
    <row r="8192" ht="12.75" hidden="1" customHeight="1" outlineLevel="1">
      <c r="A8192" s="202">
        <v>42734.0</v>
      </c>
      <c r="B8192" s="985" t="s">
        <v>347</v>
      </c>
      <c r="C8192" s="94" t="s">
        <v>1902</v>
      </c>
      <c r="D8192" s="286">
        <v>600.0</v>
      </c>
      <c r="E8192" s="94">
        <v>11.481</v>
      </c>
      <c r="F8192" s="993">
        <v>42734.64097222222</v>
      </c>
      <c r="G8192" s="94" t="s">
        <v>453</v>
      </c>
      <c r="H8192" s="987">
        <v>2.53</v>
      </c>
      <c r="I8192" s="988" t="s">
        <v>3145</v>
      </c>
      <c r="J8192" s="67">
        <f t="shared" si="483"/>
        <v>6886.07</v>
      </c>
      <c r="L8192" s="70"/>
      <c r="M8192" s="934"/>
    </row>
    <row r="8193" ht="12.75" hidden="1" customHeight="1" outlineLevel="1">
      <c r="A8193" s="202">
        <v>42734.0</v>
      </c>
      <c r="B8193" s="985" t="s">
        <v>347</v>
      </c>
      <c r="C8193" s="94" t="s">
        <v>1890</v>
      </c>
      <c r="D8193" s="286">
        <v>500.0</v>
      </c>
      <c r="E8193" s="94">
        <v>14.951</v>
      </c>
      <c r="F8193" s="993">
        <v>42734.64121527778</v>
      </c>
      <c r="G8193" s="94" t="s">
        <v>453</v>
      </c>
      <c r="H8193" s="987">
        <v>2.14</v>
      </c>
      <c r="I8193" s="988" t="s">
        <v>3145</v>
      </c>
      <c r="J8193" s="67">
        <f t="shared" si="483"/>
        <v>7473.36</v>
      </c>
      <c r="L8193" s="70"/>
      <c r="M8193" s="934"/>
    </row>
    <row r="8194" ht="12.75" hidden="1" customHeight="1" outlineLevel="1">
      <c r="A8194" s="202">
        <v>42734.0</v>
      </c>
      <c r="B8194" s="985" t="s">
        <v>347</v>
      </c>
      <c r="C8194" s="94" t="s">
        <v>790</v>
      </c>
      <c r="D8194" s="286">
        <v>2000.0</v>
      </c>
      <c r="E8194" s="94">
        <v>4.29</v>
      </c>
      <c r="F8194" s="993">
        <v>42734.64146990741</v>
      </c>
      <c r="G8194" s="94" t="s">
        <v>453</v>
      </c>
      <c r="H8194" s="987">
        <v>10.16</v>
      </c>
      <c r="I8194" s="988" t="s">
        <v>3145</v>
      </c>
      <c r="J8194" s="67">
        <f t="shared" si="483"/>
        <v>8569.84</v>
      </c>
      <c r="L8194" s="70"/>
      <c r="M8194" s="934"/>
    </row>
    <row r="8195" ht="12.75" hidden="1" customHeight="1" outlineLevel="1">
      <c r="A8195" s="202">
        <v>42734.0</v>
      </c>
      <c r="B8195" s="985" t="s">
        <v>347</v>
      </c>
      <c r="C8195" s="94" t="s">
        <v>1902</v>
      </c>
      <c r="D8195" s="286">
        <v>200.0</v>
      </c>
      <c r="E8195" s="94">
        <v>11.441</v>
      </c>
      <c r="F8195" s="993">
        <v>42734.641701388886</v>
      </c>
      <c r="G8195" s="94" t="s">
        <v>453</v>
      </c>
      <c r="H8195" s="987">
        <v>1.04</v>
      </c>
      <c r="I8195" s="988" t="s">
        <v>3145</v>
      </c>
      <c r="J8195" s="67">
        <f t="shared" si="483"/>
        <v>2287.16</v>
      </c>
      <c r="L8195" s="70"/>
      <c r="M8195" s="934"/>
    </row>
    <row r="8196" ht="12.75" hidden="1" customHeight="1" outlineLevel="1">
      <c r="A8196" s="202">
        <v>42734.0</v>
      </c>
      <c r="B8196" s="985" t="s">
        <v>347</v>
      </c>
      <c r="C8196" s="94" t="s">
        <v>1821</v>
      </c>
      <c r="D8196" s="286">
        <v>400.0</v>
      </c>
      <c r="E8196" s="94">
        <v>21.481</v>
      </c>
      <c r="F8196" s="993">
        <v>42734.64800925926</v>
      </c>
      <c r="G8196" s="94" t="s">
        <v>453</v>
      </c>
      <c r="H8196" s="987">
        <v>1.76</v>
      </c>
      <c r="I8196" s="988" t="s">
        <v>3145</v>
      </c>
      <c r="J8196" s="67">
        <f t="shared" si="483"/>
        <v>8590.64</v>
      </c>
      <c r="L8196" s="70"/>
      <c r="M8196" s="934"/>
    </row>
    <row r="8197" ht="12.75" hidden="1" customHeight="1" outlineLevel="1">
      <c r="A8197" s="202">
        <v>42373.0</v>
      </c>
      <c r="B8197" s="985" t="s">
        <v>347</v>
      </c>
      <c r="C8197" s="94" t="s">
        <v>1893</v>
      </c>
      <c r="D8197" s="286">
        <v>1000.0</v>
      </c>
      <c r="E8197" s="94">
        <v>6.63</v>
      </c>
      <c r="F8197" s="986">
        <v>0.3988657407407407</v>
      </c>
      <c r="G8197" s="94" t="s">
        <v>453</v>
      </c>
      <c r="H8197" s="987">
        <v>4.12</v>
      </c>
      <c r="I8197" s="988" t="s">
        <v>3145</v>
      </c>
      <c r="J8197" s="67">
        <f t="shared" si="483"/>
        <v>6625.88</v>
      </c>
      <c r="L8197" s="70"/>
      <c r="M8197" s="934"/>
    </row>
    <row r="8198" ht="12.75" hidden="1" customHeight="1" outlineLevel="1">
      <c r="A8198" s="202">
        <v>42373.0</v>
      </c>
      <c r="B8198" s="985" t="s">
        <v>347</v>
      </c>
      <c r="C8198" s="94" t="s">
        <v>2084</v>
      </c>
      <c r="D8198" s="286">
        <v>1000.0</v>
      </c>
      <c r="E8198" s="94">
        <v>6.951</v>
      </c>
      <c r="F8198" s="986">
        <v>0.3990162037037037</v>
      </c>
      <c r="G8198" s="94" t="s">
        <v>453</v>
      </c>
      <c r="H8198" s="987">
        <v>4.13</v>
      </c>
      <c r="I8198" s="988" t="s">
        <v>3145</v>
      </c>
      <c r="J8198" s="67">
        <f t="shared" si="483"/>
        <v>6946.87</v>
      </c>
      <c r="L8198" s="70"/>
      <c r="M8198" s="934"/>
    </row>
    <row r="8199" ht="12.75" hidden="1" customHeight="1" outlineLevel="1">
      <c r="A8199" s="202">
        <v>42373.0</v>
      </c>
      <c r="B8199" s="985" t="s">
        <v>347</v>
      </c>
      <c r="C8199" s="94" t="s">
        <v>1902</v>
      </c>
      <c r="D8199" s="94">
        <v>750.0</v>
      </c>
      <c r="E8199" s="94">
        <v>11.121</v>
      </c>
      <c r="F8199" s="986">
        <v>0.6013541666666666</v>
      </c>
      <c r="G8199" s="94" t="s">
        <v>453</v>
      </c>
      <c r="H8199" s="987">
        <v>3.15</v>
      </c>
      <c r="I8199" s="988" t="s">
        <v>3145</v>
      </c>
      <c r="J8199" s="67">
        <f t="shared" si="483"/>
        <v>8337.6</v>
      </c>
      <c r="L8199" s="70"/>
      <c r="M8199" s="934"/>
    </row>
    <row r="8200" ht="12.75" hidden="1" customHeight="1" outlineLevel="1">
      <c r="A8200" s="202">
        <v>42373.0</v>
      </c>
      <c r="B8200" s="985" t="s">
        <v>347</v>
      </c>
      <c r="C8200" s="94" t="s">
        <v>2090</v>
      </c>
      <c r="D8200" s="286">
        <v>2000.0</v>
      </c>
      <c r="E8200" s="94">
        <v>3.621</v>
      </c>
      <c r="F8200" s="986">
        <v>0.6055208333333333</v>
      </c>
      <c r="G8200" s="94" t="s">
        <v>453</v>
      </c>
      <c r="H8200" s="987">
        <v>8.13</v>
      </c>
      <c r="I8200" s="988" t="s">
        <v>3145</v>
      </c>
      <c r="J8200" s="67">
        <f t="shared" si="483"/>
        <v>7233.87</v>
      </c>
      <c r="L8200" s="70"/>
      <c r="M8200" s="934"/>
    </row>
    <row r="8201" ht="12.75" hidden="1" customHeight="1" outlineLevel="1">
      <c r="A8201" s="202">
        <v>42373.0</v>
      </c>
      <c r="B8201" s="985" t="s">
        <v>347</v>
      </c>
      <c r="C8201" s="94" t="s">
        <v>784</v>
      </c>
      <c r="D8201" s="286">
        <v>2000.0</v>
      </c>
      <c r="E8201" s="94">
        <v>3.152</v>
      </c>
      <c r="F8201" s="986">
        <v>0.6057060185185185</v>
      </c>
      <c r="G8201" s="94" t="s">
        <v>453</v>
      </c>
      <c r="H8201" s="987">
        <v>9.12</v>
      </c>
      <c r="I8201" s="988" t="s">
        <v>3145</v>
      </c>
      <c r="J8201" s="67">
        <f t="shared" si="483"/>
        <v>6294.88</v>
      </c>
      <c r="L8201" s="70"/>
      <c r="M8201" s="934"/>
    </row>
    <row r="8202" ht="12.75" hidden="1" customHeight="1" outlineLevel="1">
      <c r="A8202" s="202">
        <v>42373.0</v>
      </c>
      <c r="B8202" s="985" t="s">
        <v>343</v>
      </c>
      <c r="C8202" s="94" t="s">
        <v>1092</v>
      </c>
      <c r="D8202" s="94">
        <v>500.0</v>
      </c>
      <c r="E8202" s="94">
        <v>3.58</v>
      </c>
      <c r="F8202" s="986">
        <v>0.6161921296296297</v>
      </c>
      <c r="G8202" s="94" t="s">
        <v>453</v>
      </c>
      <c r="H8202" s="987">
        <v>2.5</v>
      </c>
      <c r="I8202" s="988" t="s">
        <v>3145</v>
      </c>
      <c r="J8202" s="67">
        <f t="shared" si="483"/>
        <v>-1792.5</v>
      </c>
      <c r="L8202" s="70"/>
      <c r="M8202" s="934"/>
    </row>
    <row r="8203" ht="12.75" hidden="1" customHeight="1" outlineLevel="1">
      <c r="A8203" s="202">
        <v>42373.0</v>
      </c>
      <c r="B8203" s="985" t="s">
        <v>343</v>
      </c>
      <c r="C8203" s="94" t="s">
        <v>604</v>
      </c>
      <c r="D8203" s="94">
        <v>500.0</v>
      </c>
      <c r="E8203" s="94">
        <v>1.69</v>
      </c>
      <c r="F8203" s="986">
        <v>0.6164351851851851</v>
      </c>
      <c r="G8203" s="94" t="s">
        <v>453</v>
      </c>
      <c r="H8203" s="987">
        <v>2.5</v>
      </c>
      <c r="I8203" s="988" t="s">
        <v>3145</v>
      </c>
      <c r="J8203" s="67">
        <f t="shared" si="483"/>
        <v>-847.5</v>
      </c>
      <c r="L8203" s="70"/>
      <c r="M8203" s="934"/>
    </row>
    <row r="8204" ht="12.75" hidden="1" customHeight="1" outlineLevel="1">
      <c r="A8204" s="202">
        <v>42373.0</v>
      </c>
      <c r="B8204" s="985" t="s">
        <v>343</v>
      </c>
      <c r="C8204" s="94" t="s">
        <v>1483</v>
      </c>
      <c r="D8204" s="94">
        <v>500.0</v>
      </c>
      <c r="E8204" s="94">
        <v>1.67</v>
      </c>
      <c r="F8204" s="986">
        <v>0.6166087962962963</v>
      </c>
      <c r="G8204" s="94" t="s">
        <v>453</v>
      </c>
      <c r="H8204" s="987">
        <v>2.5</v>
      </c>
      <c r="I8204" s="988" t="s">
        <v>3145</v>
      </c>
      <c r="J8204" s="67">
        <f t="shared" si="483"/>
        <v>-837.5</v>
      </c>
      <c r="L8204" s="70"/>
      <c r="M8204" s="934"/>
    </row>
    <row r="8205" ht="12.75" hidden="1" customHeight="1" outlineLevel="1">
      <c r="A8205" s="202">
        <v>42373.0</v>
      </c>
      <c r="B8205" s="985" t="s">
        <v>343</v>
      </c>
      <c r="C8205" s="94" t="s">
        <v>1485</v>
      </c>
      <c r="D8205" s="94">
        <v>500.0</v>
      </c>
      <c r="E8205" s="94">
        <v>3.544</v>
      </c>
      <c r="F8205" s="986">
        <v>0.6169328703703704</v>
      </c>
      <c r="G8205" s="94" t="s">
        <v>453</v>
      </c>
      <c r="H8205" s="987">
        <v>3.0</v>
      </c>
      <c r="I8205" s="988" t="s">
        <v>3145</v>
      </c>
      <c r="J8205" s="67">
        <f t="shared" si="483"/>
        <v>-1775</v>
      </c>
      <c r="L8205" s="70"/>
      <c r="M8205" s="934"/>
    </row>
    <row r="8206" ht="12.75" hidden="1" customHeight="1" outlineLevel="1">
      <c r="A8206" s="122">
        <v>42366.0</v>
      </c>
      <c r="B8206" s="992"/>
      <c r="C8206" s="32" t="s">
        <v>339</v>
      </c>
      <c r="D8206" s="1"/>
      <c r="F8206" s="1"/>
      <c r="G8206" s="1"/>
      <c r="H8206" s="68"/>
      <c r="I8206" s="76"/>
      <c r="K8206" s="201" t="s">
        <v>3237</v>
      </c>
      <c r="L8206" s="934"/>
      <c r="M8206" s="934"/>
    </row>
    <row r="8207" ht="12.75" hidden="1" customHeight="1" outlineLevel="1">
      <c r="A8207" s="122">
        <v>42366.0</v>
      </c>
      <c r="B8207" s="992"/>
      <c r="C8207" s="32" t="s">
        <v>429</v>
      </c>
      <c r="D8207" s="1"/>
      <c r="F8207" s="1"/>
      <c r="G8207" s="1"/>
      <c r="H8207" s="68"/>
      <c r="I8207" s="76"/>
      <c r="K8207" s="9" t="s">
        <v>3187</v>
      </c>
      <c r="L8207" s="934"/>
      <c r="M8207" s="934"/>
    </row>
    <row r="8208" ht="12.75" hidden="1" customHeight="1" outlineLevel="1">
      <c r="A8208" s="122">
        <v>42366.0</v>
      </c>
      <c r="B8208" s="992"/>
      <c r="C8208" s="32" t="s">
        <v>431</v>
      </c>
      <c r="D8208" s="1"/>
      <c r="F8208" s="1"/>
      <c r="G8208" s="1"/>
      <c r="H8208" s="68"/>
      <c r="I8208" s="76"/>
      <c r="K8208" s="7" t="s">
        <v>1126</v>
      </c>
      <c r="L8208" s="934"/>
      <c r="M8208" s="934"/>
    </row>
    <row r="8209" ht="12.75" hidden="1" customHeight="1" outlineLevel="1">
      <c r="A8209" s="122">
        <v>42366.0</v>
      </c>
      <c r="B8209" s="992"/>
      <c r="C8209" s="32" t="s">
        <v>433</v>
      </c>
      <c r="D8209" s="1"/>
      <c r="F8209" s="1"/>
      <c r="G8209" s="1"/>
      <c r="H8209" s="68"/>
      <c r="I8209" s="76"/>
      <c r="K8209" s="7" t="s">
        <v>1103</v>
      </c>
      <c r="L8209" s="934"/>
      <c r="M8209" s="934"/>
    </row>
    <row r="8210" ht="12.75" hidden="1" customHeight="1" outlineLevel="1">
      <c r="A8210" s="122">
        <v>42366.0</v>
      </c>
      <c r="B8210" s="992"/>
      <c r="C8210" s="32" t="s">
        <v>435</v>
      </c>
      <c r="D8210" s="1"/>
      <c r="F8210" s="1"/>
      <c r="G8210" s="1"/>
      <c r="H8210" s="68"/>
      <c r="I8210" s="76"/>
      <c r="K8210" s="9" t="s">
        <v>3134</v>
      </c>
      <c r="L8210" s="934"/>
      <c r="M8210" s="934"/>
    </row>
    <row r="8211" ht="12.75" hidden="1" customHeight="1" outlineLevel="1">
      <c r="A8211" s="202">
        <v>42374.0</v>
      </c>
      <c r="B8211" s="985" t="s">
        <v>347</v>
      </c>
      <c r="C8211" s="94" t="s">
        <v>790</v>
      </c>
      <c r="D8211" s="286">
        <v>1500.0</v>
      </c>
      <c r="E8211" s="94">
        <v>4.23</v>
      </c>
      <c r="F8211" s="986">
        <v>0.4009490740740741</v>
      </c>
      <c r="G8211" s="94" t="s">
        <v>453</v>
      </c>
      <c r="H8211" s="987">
        <v>6.12</v>
      </c>
      <c r="I8211" s="988" t="s">
        <v>3145</v>
      </c>
      <c r="J8211" s="67">
        <f t="shared" ref="J8211:J8214" si="484">IF(B8211="SLD",D8211*E8211,-D8211*E8211)-H8211</f>
        <v>6338.88</v>
      </c>
      <c r="L8211" s="70"/>
      <c r="M8211" s="934"/>
    </row>
    <row r="8212" ht="12.75" hidden="1" customHeight="1" outlineLevel="1">
      <c r="A8212" s="202">
        <v>42374.0</v>
      </c>
      <c r="B8212" s="985" t="s">
        <v>347</v>
      </c>
      <c r="C8212" s="94" t="s">
        <v>2084</v>
      </c>
      <c r="D8212" s="286">
        <v>1500.0</v>
      </c>
      <c r="E8212" s="94">
        <v>7.523</v>
      </c>
      <c r="F8212" s="986">
        <v>0.40850694444444446</v>
      </c>
      <c r="G8212" s="94" t="s">
        <v>453</v>
      </c>
      <c r="H8212" s="987">
        <v>6.61</v>
      </c>
      <c r="I8212" s="988" t="s">
        <v>3145</v>
      </c>
      <c r="J8212" s="67">
        <f t="shared" si="484"/>
        <v>11277.89</v>
      </c>
      <c r="L8212" s="70"/>
      <c r="M8212" s="934"/>
    </row>
    <row r="8213" ht="12.75" hidden="1" customHeight="1" outlineLevel="1">
      <c r="A8213" s="202">
        <v>42374.0</v>
      </c>
      <c r="B8213" s="985" t="s">
        <v>347</v>
      </c>
      <c r="C8213" s="94" t="s">
        <v>1633</v>
      </c>
      <c r="D8213" s="286">
        <v>1000.0</v>
      </c>
      <c r="E8213" s="94">
        <v>8.162</v>
      </c>
      <c r="F8213" s="986">
        <v>0.4086458333333333</v>
      </c>
      <c r="G8213" s="94" t="s">
        <v>453</v>
      </c>
      <c r="H8213" s="987">
        <v>4.15</v>
      </c>
      <c r="I8213" s="988" t="s">
        <v>3145</v>
      </c>
      <c r="J8213" s="67">
        <f t="shared" si="484"/>
        <v>8157.85</v>
      </c>
      <c r="L8213" s="70"/>
      <c r="M8213" s="934"/>
    </row>
    <row r="8214" ht="12.75" hidden="1" customHeight="1" outlineLevel="1">
      <c r="A8214" s="202">
        <v>42374.0</v>
      </c>
      <c r="B8214" s="985" t="s">
        <v>347</v>
      </c>
      <c r="C8214" s="94" t="s">
        <v>790</v>
      </c>
      <c r="D8214" s="286">
        <v>7000.0</v>
      </c>
      <c r="E8214" s="94">
        <v>4.171</v>
      </c>
      <c r="F8214" s="986">
        <v>0.666261574074074</v>
      </c>
      <c r="G8214" s="94" t="s">
        <v>453</v>
      </c>
      <c r="H8214" s="987">
        <v>28.94</v>
      </c>
      <c r="I8214" s="988" t="s">
        <v>3145</v>
      </c>
      <c r="J8214" s="67">
        <f t="shared" si="484"/>
        <v>29168.06</v>
      </c>
      <c r="L8214" s="70"/>
      <c r="M8214" s="934"/>
    </row>
    <row r="8215" ht="12.75" hidden="1" customHeight="1" outlineLevel="1">
      <c r="A8215" s="122">
        <v>42374.0</v>
      </c>
      <c r="B8215" s="992"/>
      <c r="C8215" s="32" t="s">
        <v>339</v>
      </c>
      <c r="D8215" s="1"/>
      <c r="F8215" s="1"/>
      <c r="G8215" s="1"/>
      <c r="H8215" s="68"/>
      <c r="I8215" s="76"/>
      <c r="K8215" s="994" t="s">
        <v>3238</v>
      </c>
      <c r="L8215" s="934"/>
      <c r="M8215" s="934"/>
    </row>
    <row r="8216" ht="12.75" hidden="1" customHeight="1" outlineLevel="1">
      <c r="A8216" s="122">
        <v>42374.0</v>
      </c>
      <c r="B8216" s="992"/>
      <c r="C8216" s="32" t="s">
        <v>429</v>
      </c>
      <c r="D8216" s="1"/>
      <c r="F8216" s="1"/>
      <c r="G8216" s="1"/>
      <c r="H8216" s="68"/>
      <c r="I8216" s="76"/>
      <c r="K8216" s="9" t="s">
        <v>3187</v>
      </c>
      <c r="L8216" s="934"/>
      <c r="M8216" s="934"/>
    </row>
    <row r="8217" ht="12.75" hidden="1" customHeight="1" outlineLevel="1">
      <c r="A8217" s="122">
        <v>42374.0</v>
      </c>
      <c r="B8217" s="992"/>
      <c r="C8217" s="32" t="s">
        <v>431</v>
      </c>
      <c r="D8217" s="1"/>
      <c r="F8217" s="1"/>
      <c r="G8217" s="1"/>
      <c r="H8217" s="68"/>
      <c r="I8217" s="76"/>
      <c r="K8217" s="7" t="s">
        <v>1126</v>
      </c>
      <c r="L8217" s="934"/>
      <c r="M8217" s="934"/>
    </row>
    <row r="8218" ht="12.75" hidden="1" customHeight="1" outlineLevel="1">
      <c r="A8218" s="122">
        <v>42374.0</v>
      </c>
      <c r="B8218" s="992"/>
      <c r="C8218" s="32" t="s">
        <v>433</v>
      </c>
      <c r="D8218" s="1"/>
      <c r="F8218" s="1"/>
      <c r="G8218" s="1"/>
      <c r="H8218" s="68"/>
      <c r="I8218" s="76"/>
      <c r="K8218" s="7" t="s">
        <v>1103</v>
      </c>
      <c r="L8218" s="934"/>
      <c r="M8218" s="934"/>
    </row>
    <row r="8219" ht="12.75" hidden="1" customHeight="1" outlineLevel="1">
      <c r="A8219" s="122">
        <v>42374.0</v>
      </c>
      <c r="B8219" s="992"/>
      <c r="C8219" s="32" t="s">
        <v>435</v>
      </c>
      <c r="D8219" s="1"/>
      <c r="F8219" s="1"/>
      <c r="G8219" s="1"/>
      <c r="H8219" s="68"/>
      <c r="I8219" s="76"/>
      <c r="K8219" s="9" t="s">
        <v>3134</v>
      </c>
      <c r="L8219" s="934"/>
      <c r="M8219" s="934"/>
    </row>
    <row r="8220" ht="12.75" hidden="1" customHeight="1" outlineLevel="1">
      <c r="A8220" s="202">
        <v>42375.0</v>
      </c>
      <c r="B8220" s="985" t="s">
        <v>347</v>
      </c>
      <c r="C8220" s="94" t="s">
        <v>2090</v>
      </c>
      <c r="D8220" s="286">
        <v>2000.0</v>
      </c>
      <c r="E8220" s="94">
        <v>3.561</v>
      </c>
      <c r="F8220" s="986">
        <v>0.3983449074074074</v>
      </c>
      <c r="G8220" s="94" t="s">
        <v>453</v>
      </c>
      <c r="H8220" s="987">
        <v>8.63</v>
      </c>
      <c r="I8220" s="988" t="s">
        <v>3145</v>
      </c>
      <c r="J8220" s="67">
        <f t="shared" ref="J8220:J8250" si="485">IF(B8220="SLD",D8220*E8220,-D8220*E8220)-H8220</f>
        <v>7113.37</v>
      </c>
      <c r="L8220" s="70"/>
      <c r="M8220" s="934"/>
    </row>
    <row r="8221" ht="12.75" hidden="1" customHeight="1" outlineLevel="1">
      <c r="A8221" s="202">
        <v>42375.0</v>
      </c>
      <c r="B8221" s="985" t="s">
        <v>343</v>
      </c>
      <c r="C8221" s="94" t="s">
        <v>1244</v>
      </c>
      <c r="D8221" s="94">
        <v>100.0</v>
      </c>
      <c r="E8221" s="94">
        <v>99.4389</v>
      </c>
      <c r="F8221" s="986">
        <v>0.45047453703703705</v>
      </c>
      <c r="G8221" s="94" t="s">
        <v>453</v>
      </c>
      <c r="H8221" s="987">
        <v>1.0</v>
      </c>
      <c r="I8221" s="988" t="s">
        <v>3145</v>
      </c>
      <c r="J8221" s="67">
        <f t="shared" si="485"/>
        <v>-9944.89</v>
      </c>
      <c r="L8221" s="70"/>
      <c r="M8221" s="934"/>
    </row>
    <row r="8222" ht="12.75" hidden="1" customHeight="1" outlineLevel="1">
      <c r="A8222" s="202">
        <v>42375.0</v>
      </c>
      <c r="B8222" s="985" t="s">
        <v>347</v>
      </c>
      <c r="C8222" s="94" t="s">
        <v>1890</v>
      </c>
      <c r="D8222" s="286">
        <v>1000.0</v>
      </c>
      <c r="E8222" s="94">
        <v>13.52</v>
      </c>
      <c r="F8222" s="986">
        <v>0.4522569444444444</v>
      </c>
      <c r="G8222" s="94" t="s">
        <v>453</v>
      </c>
      <c r="H8222" s="987">
        <v>5.25</v>
      </c>
      <c r="I8222" s="988" t="s">
        <v>3145</v>
      </c>
      <c r="J8222" s="67">
        <f t="shared" si="485"/>
        <v>13514.75</v>
      </c>
      <c r="L8222" s="70"/>
      <c r="M8222" s="934"/>
    </row>
    <row r="8223" ht="12.75" hidden="1" customHeight="1" outlineLevel="1">
      <c r="A8223" s="202">
        <v>42375.0</v>
      </c>
      <c r="B8223" s="985" t="s">
        <v>347</v>
      </c>
      <c r="C8223" s="94" t="s">
        <v>2084</v>
      </c>
      <c r="D8223" s="286">
        <v>1000.0</v>
      </c>
      <c r="E8223" s="94">
        <v>7.08</v>
      </c>
      <c r="F8223" s="986">
        <v>0.45630787037037035</v>
      </c>
      <c r="G8223" s="94" t="s">
        <v>453</v>
      </c>
      <c r="H8223" s="987">
        <v>4.13</v>
      </c>
      <c r="I8223" s="988" t="s">
        <v>3145</v>
      </c>
      <c r="J8223" s="67">
        <f t="shared" si="485"/>
        <v>7075.87</v>
      </c>
      <c r="L8223" s="70"/>
      <c r="M8223" s="934"/>
    </row>
    <row r="8224" ht="12.75" hidden="1" customHeight="1" outlineLevel="1">
      <c r="A8224" s="202">
        <v>42375.0</v>
      </c>
      <c r="B8224" s="985" t="s">
        <v>347</v>
      </c>
      <c r="C8224" s="94" t="s">
        <v>784</v>
      </c>
      <c r="D8224" s="286">
        <v>3000.0</v>
      </c>
      <c r="E8224" s="94">
        <v>2.94</v>
      </c>
      <c r="F8224" s="986">
        <v>0.45677083333333335</v>
      </c>
      <c r="G8224" s="94" t="s">
        <v>453</v>
      </c>
      <c r="H8224" s="987">
        <v>12.16</v>
      </c>
      <c r="I8224" s="988" t="s">
        <v>3145</v>
      </c>
      <c r="J8224" s="67">
        <f t="shared" si="485"/>
        <v>8807.84</v>
      </c>
      <c r="L8224" s="70"/>
      <c r="M8224" s="934"/>
    </row>
    <row r="8225" ht="12.75" hidden="1" customHeight="1" outlineLevel="1">
      <c r="A8225" s="202">
        <v>42375.0</v>
      </c>
      <c r="B8225" s="985" t="s">
        <v>347</v>
      </c>
      <c r="C8225" s="94" t="s">
        <v>1821</v>
      </c>
      <c r="D8225" s="94">
        <v>600.0</v>
      </c>
      <c r="E8225" s="94">
        <v>20.903</v>
      </c>
      <c r="F8225" s="986">
        <v>0.45741898148148147</v>
      </c>
      <c r="G8225" s="94" t="s">
        <v>453</v>
      </c>
      <c r="H8225" s="987">
        <v>2.63</v>
      </c>
      <c r="I8225" s="988" t="s">
        <v>3145</v>
      </c>
      <c r="J8225" s="67">
        <f t="shared" si="485"/>
        <v>12539.17</v>
      </c>
      <c r="L8225" s="70"/>
      <c r="M8225" s="934"/>
    </row>
    <row r="8226" ht="12.75" hidden="1" customHeight="1" outlineLevel="1">
      <c r="A8226" s="202">
        <v>42375.0</v>
      </c>
      <c r="B8226" s="985" t="s">
        <v>347</v>
      </c>
      <c r="C8226" s="94" t="s">
        <v>1893</v>
      </c>
      <c r="D8226" s="286">
        <v>1500.0</v>
      </c>
      <c r="E8226" s="94">
        <v>6.31</v>
      </c>
      <c r="F8226" s="986">
        <v>0.45762731481481483</v>
      </c>
      <c r="G8226" s="94" t="s">
        <v>453</v>
      </c>
      <c r="H8226" s="987">
        <v>7.57</v>
      </c>
      <c r="I8226" s="988" t="s">
        <v>3145</v>
      </c>
      <c r="J8226" s="67">
        <f t="shared" si="485"/>
        <v>9457.43</v>
      </c>
      <c r="L8226" s="70"/>
      <c r="M8226" s="934"/>
    </row>
    <row r="8227" ht="12.75" hidden="1" customHeight="1" outlineLevel="1">
      <c r="A8227" s="202">
        <v>42375.0</v>
      </c>
      <c r="B8227" s="985" t="s">
        <v>347</v>
      </c>
      <c r="C8227" s="94" t="s">
        <v>3024</v>
      </c>
      <c r="D8227" s="286">
        <v>1000.0</v>
      </c>
      <c r="E8227" s="94">
        <v>16.16</v>
      </c>
      <c r="F8227" s="986">
        <v>0.4584722222222222</v>
      </c>
      <c r="G8227" s="94" t="s">
        <v>453</v>
      </c>
      <c r="H8227" s="987">
        <v>4.3</v>
      </c>
      <c r="I8227" s="988" t="s">
        <v>3145</v>
      </c>
      <c r="J8227" s="67">
        <f t="shared" si="485"/>
        <v>16155.7</v>
      </c>
      <c r="L8227" s="70"/>
      <c r="M8227" s="934"/>
    </row>
    <row r="8228" ht="12.75" hidden="1" customHeight="1" outlineLevel="1">
      <c r="A8228" s="202">
        <v>42375.0</v>
      </c>
      <c r="B8228" s="985" t="s">
        <v>347</v>
      </c>
      <c r="C8228" s="94" t="s">
        <v>2210</v>
      </c>
      <c r="D8228" s="94">
        <v>300.0</v>
      </c>
      <c r="E8228" s="94">
        <v>68.376</v>
      </c>
      <c r="F8228" s="986">
        <v>0.4590625</v>
      </c>
      <c r="G8228" s="94" t="s">
        <v>453</v>
      </c>
      <c r="H8228" s="987">
        <v>1.58</v>
      </c>
      <c r="I8228" s="988" t="s">
        <v>3145</v>
      </c>
      <c r="J8228" s="67">
        <f t="shared" si="485"/>
        <v>20511.22</v>
      </c>
      <c r="L8228" s="70"/>
      <c r="M8228" s="934"/>
    </row>
    <row r="8229" ht="12.75" hidden="1" customHeight="1" outlineLevel="1">
      <c r="A8229" s="202">
        <v>42375.0</v>
      </c>
      <c r="B8229" s="985" t="s">
        <v>347</v>
      </c>
      <c r="C8229" s="94" t="s">
        <v>1633</v>
      </c>
      <c r="D8229" s="286">
        <v>1000.0</v>
      </c>
      <c r="E8229" s="94">
        <v>7.77</v>
      </c>
      <c r="F8229" s="986">
        <v>0.46172453703703703</v>
      </c>
      <c r="G8229" s="94" t="s">
        <v>453</v>
      </c>
      <c r="H8229" s="987">
        <v>5.14</v>
      </c>
      <c r="I8229" s="988" t="s">
        <v>3145</v>
      </c>
      <c r="J8229" s="67">
        <f t="shared" si="485"/>
        <v>7764.86</v>
      </c>
      <c r="L8229" s="70"/>
      <c r="M8229" s="934"/>
    </row>
    <row r="8230" ht="12.75" hidden="1" customHeight="1" outlineLevel="1">
      <c r="A8230" s="202">
        <v>42375.0</v>
      </c>
      <c r="B8230" s="985" t="s">
        <v>347</v>
      </c>
      <c r="C8230" s="94" t="s">
        <v>1938</v>
      </c>
      <c r="D8230" s="94">
        <v>600.0</v>
      </c>
      <c r="E8230" s="94">
        <v>15.04</v>
      </c>
      <c r="F8230" s="986">
        <v>0.4657523148148148</v>
      </c>
      <c r="G8230" s="94" t="s">
        <v>453</v>
      </c>
      <c r="H8230" s="987">
        <v>3.17</v>
      </c>
      <c r="I8230" s="988" t="s">
        <v>3145</v>
      </c>
      <c r="J8230" s="67">
        <f t="shared" si="485"/>
        <v>9020.83</v>
      </c>
      <c r="L8230" s="70"/>
      <c r="M8230" s="934"/>
    </row>
    <row r="8231" ht="12.75" hidden="1" customHeight="1" outlineLevel="1">
      <c r="A8231" s="202">
        <v>42375.0</v>
      </c>
      <c r="B8231" s="985" t="s">
        <v>347</v>
      </c>
      <c r="C8231" s="94" t="s">
        <v>2084</v>
      </c>
      <c r="D8231" s="286">
        <v>1000.0</v>
      </c>
      <c r="E8231" s="94">
        <v>6.961</v>
      </c>
      <c r="F8231" s="986">
        <v>0.4813310185185185</v>
      </c>
      <c r="G8231" s="94" t="s">
        <v>453</v>
      </c>
      <c r="H8231" s="987">
        <v>4.63</v>
      </c>
      <c r="I8231" s="988" t="s">
        <v>3145</v>
      </c>
      <c r="J8231" s="67">
        <f t="shared" si="485"/>
        <v>6956.37</v>
      </c>
      <c r="L8231" s="70"/>
      <c r="M8231" s="934"/>
    </row>
    <row r="8232" ht="12.75" hidden="1" customHeight="1" outlineLevel="1">
      <c r="A8232" s="202">
        <v>42375.0</v>
      </c>
      <c r="B8232" s="985" t="s">
        <v>343</v>
      </c>
      <c r="C8232" s="94" t="s">
        <v>2177</v>
      </c>
      <c r="D8232" s="94">
        <v>200.0</v>
      </c>
      <c r="E8232" s="94">
        <v>104.34</v>
      </c>
      <c r="F8232" s="986">
        <v>0.48530092592592594</v>
      </c>
      <c r="G8232" s="94" t="s">
        <v>453</v>
      </c>
      <c r="H8232" s="987">
        <v>1.0</v>
      </c>
      <c r="I8232" s="988" t="s">
        <v>3145</v>
      </c>
      <c r="J8232" s="67">
        <f t="shared" si="485"/>
        <v>-20869</v>
      </c>
      <c r="L8232" s="70"/>
      <c r="M8232" s="934"/>
    </row>
    <row r="8233" ht="12.75" hidden="1" customHeight="1" outlineLevel="1">
      <c r="A8233" s="202">
        <v>42375.0</v>
      </c>
      <c r="B8233" s="985" t="s">
        <v>343</v>
      </c>
      <c r="C8233" s="94" t="s">
        <v>1244</v>
      </c>
      <c r="D8233" s="94">
        <v>100.0</v>
      </c>
      <c r="E8233" s="94">
        <v>100.5298</v>
      </c>
      <c r="F8233" s="986">
        <v>0.4855902777777778</v>
      </c>
      <c r="G8233" s="94" t="s">
        <v>453</v>
      </c>
      <c r="H8233" s="987">
        <v>1.0</v>
      </c>
      <c r="I8233" s="988" t="s">
        <v>3145</v>
      </c>
      <c r="J8233" s="67">
        <f t="shared" si="485"/>
        <v>-10053.98</v>
      </c>
      <c r="L8233" s="70"/>
      <c r="M8233" s="934"/>
    </row>
    <row r="8234" ht="12.75" hidden="1" customHeight="1" outlineLevel="1">
      <c r="A8234" s="202">
        <v>42375.0</v>
      </c>
      <c r="B8234" s="985" t="s">
        <v>343</v>
      </c>
      <c r="C8234" s="94" t="s">
        <v>1164</v>
      </c>
      <c r="D8234" s="94">
        <v>500.0</v>
      </c>
      <c r="E8234" s="94">
        <v>43.429</v>
      </c>
      <c r="F8234" s="986">
        <v>0.48605324074074074</v>
      </c>
      <c r="G8234" s="94" t="s">
        <v>453</v>
      </c>
      <c r="H8234" s="987">
        <v>2.0</v>
      </c>
      <c r="I8234" s="988" t="s">
        <v>3145</v>
      </c>
      <c r="J8234" s="67">
        <f t="shared" si="485"/>
        <v>-21716.5</v>
      </c>
      <c r="L8234" s="70"/>
      <c r="M8234" s="934"/>
    </row>
    <row r="8235" ht="12.75" hidden="1" customHeight="1" outlineLevel="1">
      <c r="A8235" s="202">
        <v>42375.0</v>
      </c>
      <c r="B8235" s="985" t="s">
        <v>343</v>
      </c>
      <c r="C8235" s="94" t="s">
        <v>1158</v>
      </c>
      <c r="D8235" s="94">
        <v>500.0</v>
      </c>
      <c r="E8235" s="94">
        <v>49.04</v>
      </c>
      <c r="F8235" s="986">
        <v>0.4866898148148148</v>
      </c>
      <c r="G8235" s="94" t="s">
        <v>453</v>
      </c>
      <c r="H8235" s="987">
        <v>2.5</v>
      </c>
      <c r="I8235" s="988" t="s">
        <v>3145</v>
      </c>
      <c r="J8235" s="67">
        <f t="shared" si="485"/>
        <v>-24522.5</v>
      </c>
      <c r="L8235" s="70"/>
      <c r="M8235" s="934"/>
    </row>
    <row r="8236" ht="12.75" hidden="1" customHeight="1" outlineLevel="1">
      <c r="A8236" s="202">
        <v>42375.0</v>
      </c>
      <c r="B8236" s="985" t="s">
        <v>343</v>
      </c>
      <c r="C8236" s="94" t="s">
        <v>847</v>
      </c>
      <c r="D8236" s="94">
        <v>150.0</v>
      </c>
      <c r="E8236" s="94">
        <v>144.455</v>
      </c>
      <c r="F8236" s="986">
        <v>0.48802083333333335</v>
      </c>
      <c r="G8236" s="94" t="s">
        <v>453</v>
      </c>
      <c r="H8236" s="987">
        <v>1.0</v>
      </c>
      <c r="I8236" s="988" t="s">
        <v>3145</v>
      </c>
      <c r="J8236" s="67">
        <f t="shared" si="485"/>
        <v>-21669.25</v>
      </c>
      <c r="L8236" s="70"/>
      <c r="M8236" s="934"/>
    </row>
    <row r="8237" ht="12.75" hidden="1" customHeight="1" outlineLevel="1">
      <c r="A8237" s="202">
        <v>42375.0</v>
      </c>
      <c r="B8237" s="985" t="s">
        <v>343</v>
      </c>
      <c r="C8237" s="94" t="s">
        <v>1244</v>
      </c>
      <c r="D8237" s="94">
        <v>100.0</v>
      </c>
      <c r="E8237" s="94">
        <v>100.4397</v>
      </c>
      <c r="F8237" s="986">
        <v>0.4909722222222222</v>
      </c>
      <c r="G8237" s="94" t="s">
        <v>453</v>
      </c>
      <c r="H8237" s="987">
        <v>1.0</v>
      </c>
      <c r="I8237" s="988" t="s">
        <v>3145</v>
      </c>
      <c r="J8237" s="67">
        <f t="shared" si="485"/>
        <v>-10044.97</v>
      </c>
      <c r="L8237" s="70"/>
      <c r="M8237" s="934"/>
    </row>
    <row r="8238" ht="12.75" hidden="1" customHeight="1" outlineLevel="1">
      <c r="A8238" s="202">
        <v>42375.0</v>
      </c>
      <c r="B8238" s="985" t="s">
        <v>347</v>
      </c>
      <c r="C8238" s="94" t="s">
        <v>790</v>
      </c>
      <c r="D8238" s="286">
        <v>7000.0</v>
      </c>
      <c r="E8238" s="94">
        <v>3.99</v>
      </c>
      <c r="F8238" s="986">
        <v>0.5520486111111111</v>
      </c>
      <c r="G8238" s="94" t="s">
        <v>453</v>
      </c>
      <c r="H8238" s="987">
        <v>32.51</v>
      </c>
      <c r="I8238" s="988" t="s">
        <v>3145</v>
      </c>
      <c r="J8238" s="67">
        <f t="shared" si="485"/>
        <v>27897.49</v>
      </c>
      <c r="L8238" s="70"/>
      <c r="M8238" s="934"/>
    </row>
    <row r="8239" ht="12.75" hidden="1" customHeight="1" outlineLevel="1">
      <c r="A8239" s="202">
        <v>42375.0</v>
      </c>
      <c r="B8239" s="985" t="s">
        <v>347</v>
      </c>
      <c r="C8239" s="94" t="s">
        <v>1938</v>
      </c>
      <c r="D8239" s="286">
        <v>1000.0</v>
      </c>
      <c r="E8239" s="94">
        <v>14.88</v>
      </c>
      <c r="F8239" s="986">
        <v>0.5526504629629629</v>
      </c>
      <c r="G8239" s="94" t="s">
        <v>453</v>
      </c>
      <c r="H8239" s="987">
        <v>4.87</v>
      </c>
      <c r="I8239" s="988" t="s">
        <v>3145</v>
      </c>
      <c r="J8239" s="67">
        <f t="shared" si="485"/>
        <v>14875.13</v>
      </c>
      <c r="L8239" s="70"/>
      <c r="M8239" s="934"/>
    </row>
    <row r="8240" ht="12.75" hidden="1" customHeight="1" outlineLevel="1">
      <c r="A8240" s="202">
        <v>42375.0</v>
      </c>
      <c r="B8240" s="985" t="s">
        <v>347</v>
      </c>
      <c r="C8240" s="94" t="s">
        <v>1905</v>
      </c>
      <c r="D8240" s="286">
        <v>1000.0</v>
      </c>
      <c r="E8240" s="94">
        <v>16.121</v>
      </c>
      <c r="F8240" s="986">
        <v>0.553125</v>
      </c>
      <c r="G8240" s="94" t="s">
        <v>453</v>
      </c>
      <c r="H8240" s="987">
        <v>4.3</v>
      </c>
      <c r="I8240" s="988" t="s">
        <v>3145</v>
      </c>
      <c r="J8240" s="67">
        <f t="shared" si="485"/>
        <v>16116.7</v>
      </c>
      <c r="L8240" s="70"/>
      <c r="M8240" s="934"/>
    </row>
    <row r="8241" ht="12.75" hidden="1" customHeight="1" outlineLevel="1">
      <c r="A8241" s="202">
        <v>42375.0</v>
      </c>
      <c r="B8241" s="985" t="s">
        <v>347</v>
      </c>
      <c r="C8241" s="94" t="s">
        <v>1947</v>
      </c>
      <c r="D8241" s="94">
        <v>500.0</v>
      </c>
      <c r="E8241" s="94">
        <v>37.642</v>
      </c>
      <c r="F8241" s="986">
        <v>0.554050925925926</v>
      </c>
      <c r="G8241" s="94" t="s">
        <v>453</v>
      </c>
      <c r="H8241" s="987">
        <v>2.35</v>
      </c>
      <c r="I8241" s="988" t="s">
        <v>3145</v>
      </c>
      <c r="J8241" s="67">
        <f t="shared" si="485"/>
        <v>18818.65</v>
      </c>
      <c r="L8241" s="70"/>
      <c r="M8241" s="934"/>
    </row>
    <row r="8242" ht="12.75" hidden="1" customHeight="1" outlineLevel="1">
      <c r="A8242" s="202">
        <v>42375.0</v>
      </c>
      <c r="B8242" s="985" t="s">
        <v>347</v>
      </c>
      <c r="C8242" s="94" t="s">
        <v>1633</v>
      </c>
      <c r="D8242" s="286">
        <v>1000.0</v>
      </c>
      <c r="E8242" s="94">
        <v>7.59</v>
      </c>
      <c r="F8242" s="986">
        <v>0.5566203703703704</v>
      </c>
      <c r="G8242" s="94" t="s">
        <v>453</v>
      </c>
      <c r="H8242" s="987">
        <v>5.14</v>
      </c>
      <c r="I8242" s="988" t="s">
        <v>3145</v>
      </c>
      <c r="J8242" s="67">
        <f t="shared" si="485"/>
        <v>7584.86</v>
      </c>
      <c r="L8242" s="70"/>
      <c r="M8242" s="934"/>
    </row>
    <row r="8243" ht="12.75" hidden="1" customHeight="1" outlineLevel="1">
      <c r="A8243" s="202">
        <v>42375.0</v>
      </c>
      <c r="B8243" s="985" t="s">
        <v>347</v>
      </c>
      <c r="C8243" s="94" t="s">
        <v>1821</v>
      </c>
      <c r="D8243" s="94">
        <v>300.0</v>
      </c>
      <c r="E8243" s="94">
        <v>19.9902</v>
      </c>
      <c r="F8243" s="986">
        <v>0.5720601851851852</v>
      </c>
      <c r="G8243" s="94" t="s">
        <v>453</v>
      </c>
      <c r="H8243" s="987">
        <v>1.31</v>
      </c>
      <c r="I8243" s="988" t="s">
        <v>3145</v>
      </c>
      <c r="J8243" s="67">
        <f t="shared" si="485"/>
        <v>5995.75</v>
      </c>
      <c r="L8243" s="70"/>
      <c r="M8243" s="934"/>
    </row>
    <row r="8244" ht="12.75" hidden="1" customHeight="1" outlineLevel="1">
      <c r="A8244" s="202">
        <v>42375.0</v>
      </c>
      <c r="B8244" s="985" t="s">
        <v>347</v>
      </c>
      <c r="C8244" s="94" t="s">
        <v>1905</v>
      </c>
      <c r="D8244" s="286">
        <v>1000.0</v>
      </c>
      <c r="E8244" s="94">
        <v>16.112</v>
      </c>
      <c r="F8244" s="986">
        <v>0.5776388888888889</v>
      </c>
      <c r="G8244" s="94" t="s">
        <v>453</v>
      </c>
      <c r="H8244" s="987">
        <v>4.3</v>
      </c>
      <c r="I8244" s="988" t="s">
        <v>3145</v>
      </c>
      <c r="J8244" s="67">
        <f t="shared" si="485"/>
        <v>16107.7</v>
      </c>
      <c r="L8244" s="70"/>
      <c r="M8244" s="934"/>
    </row>
    <row r="8245" ht="12.75" hidden="1" customHeight="1" outlineLevel="1">
      <c r="A8245" s="202">
        <v>42375.0</v>
      </c>
      <c r="B8245" s="985" t="s">
        <v>347</v>
      </c>
      <c r="C8245" s="94" t="s">
        <v>1947</v>
      </c>
      <c r="D8245" s="94">
        <v>500.0</v>
      </c>
      <c r="E8245" s="94">
        <v>37.48</v>
      </c>
      <c r="F8245" s="986">
        <v>0.5778472222222222</v>
      </c>
      <c r="G8245" s="94" t="s">
        <v>453</v>
      </c>
      <c r="H8245" s="987">
        <v>2.34</v>
      </c>
      <c r="I8245" s="988" t="s">
        <v>3145</v>
      </c>
      <c r="J8245" s="67">
        <f t="shared" si="485"/>
        <v>18737.66</v>
      </c>
      <c r="L8245" s="70"/>
      <c r="M8245" s="934"/>
    </row>
    <row r="8246" ht="12.75" hidden="1" customHeight="1" outlineLevel="1">
      <c r="A8246" s="202">
        <v>42375.0</v>
      </c>
      <c r="B8246" s="985" t="s">
        <v>347</v>
      </c>
      <c r="C8246" s="94" t="s">
        <v>1902</v>
      </c>
      <c r="D8246" s="94">
        <v>750.0</v>
      </c>
      <c r="E8246" s="94">
        <v>9.87</v>
      </c>
      <c r="F8246" s="986">
        <v>0.5802662037037037</v>
      </c>
      <c r="G8246" s="94" t="s">
        <v>453</v>
      </c>
      <c r="H8246" s="987">
        <v>3.14</v>
      </c>
      <c r="I8246" s="988" t="s">
        <v>3145</v>
      </c>
      <c r="J8246" s="67">
        <f t="shared" si="485"/>
        <v>7399.36</v>
      </c>
      <c r="L8246" s="70"/>
      <c r="M8246" s="934"/>
    </row>
    <row r="8247" ht="12.75" hidden="1" customHeight="1" outlineLevel="1">
      <c r="A8247" s="202">
        <v>42375.0</v>
      </c>
      <c r="B8247" s="985" t="s">
        <v>347</v>
      </c>
      <c r="C8247" s="94" t="s">
        <v>784</v>
      </c>
      <c r="D8247" s="286">
        <v>7000.0</v>
      </c>
      <c r="E8247" s="94">
        <v>2.93</v>
      </c>
      <c r="F8247" s="986">
        <v>0.5818402777777778</v>
      </c>
      <c r="G8247" s="94" t="s">
        <v>453</v>
      </c>
      <c r="H8247" s="987">
        <v>28.38</v>
      </c>
      <c r="I8247" s="988" t="s">
        <v>3145</v>
      </c>
      <c r="J8247" s="67">
        <f t="shared" si="485"/>
        <v>20481.62</v>
      </c>
      <c r="L8247" s="70"/>
      <c r="M8247" s="934"/>
    </row>
    <row r="8248" ht="12.75" hidden="1" customHeight="1" outlineLevel="1">
      <c r="A8248" s="202">
        <v>42375.0</v>
      </c>
      <c r="B8248" s="985" t="s">
        <v>347</v>
      </c>
      <c r="C8248" s="94" t="s">
        <v>2090</v>
      </c>
      <c r="D8248" s="286">
        <v>7000.0</v>
      </c>
      <c r="E8248" s="94">
        <v>3.578</v>
      </c>
      <c r="F8248" s="986">
        <v>0.5832986111111111</v>
      </c>
      <c r="G8248" s="94" t="s">
        <v>453</v>
      </c>
      <c r="H8248" s="987">
        <v>32.26</v>
      </c>
      <c r="I8248" s="988" t="s">
        <v>3145</v>
      </c>
      <c r="J8248" s="67">
        <f t="shared" si="485"/>
        <v>25013.74</v>
      </c>
      <c r="L8248" s="70"/>
      <c r="M8248" s="934"/>
    </row>
    <row r="8249" ht="12.75" hidden="1" customHeight="1" outlineLevel="1">
      <c r="A8249" s="202">
        <v>42375.0</v>
      </c>
      <c r="B8249" s="985" t="s">
        <v>347</v>
      </c>
      <c r="C8249" s="94" t="s">
        <v>1893</v>
      </c>
      <c r="D8249" s="286">
        <v>4500.0</v>
      </c>
      <c r="E8249" s="94">
        <v>6.191</v>
      </c>
      <c r="F8249" s="986">
        <v>0.5835763888888889</v>
      </c>
      <c r="G8249" s="94" t="s">
        <v>453</v>
      </c>
      <c r="H8249" s="987">
        <v>19.41</v>
      </c>
      <c r="I8249" s="988" t="s">
        <v>3145</v>
      </c>
      <c r="J8249" s="67">
        <f t="shared" si="485"/>
        <v>27840.09</v>
      </c>
      <c r="L8249" s="70"/>
      <c r="M8249" s="934"/>
    </row>
    <row r="8250" ht="12.75" hidden="1" customHeight="1" outlineLevel="1">
      <c r="A8250" s="202">
        <v>42375.0</v>
      </c>
      <c r="B8250" s="985" t="s">
        <v>343</v>
      </c>
      <c r="C8250" s="94" t="s">
        <v>3040</v>
      </c>
      <c r="D8250" s="94">
        <v>50.0</v>
      </c>
      <c r="E8250" s="94">
        <v>131.68</v>
      </c>
      <c r="F8250" s="986">
        <v>0.6679050925925926</v>
      </c>
      <c r="G8250" s="94" t="s">
        <v>453</v>
      </c>
      <c r="H8250" s="987">
        <v>1.0</v>
      </c>
      <c r="I8250" s="988" t="s">
        <v>3145</v>
      </c>
      <c r="J8250" s="67">
        <f t="shared" si="485"/>
        <v>-6585</v>
      </c>
      <c r="L8250" s="70"/>
      <c r="M8250" s="934"/>
    </row>
    <row r="8251" ht="12.75" hidden="1" customHeight="1" outlineLevel="1">
      <c r="A8251" s="202">
        <v>42375.0</v>
      </c>
      <c r="B8251" s="992"/>
      <c r="C8251" s="32" t="s">
        <v>339</v>
      </c>
      <c r="D8251" s="1"/>
      <c r="F8251" s="1"/>
      <c r="G8251" s="1"/>
      <c r="H8251" s="68"/>
      <c r="I8251" s="76"/>
      <c r="K8251" s="994" t="s">
        <v>3253</v>
      </c>
      <c r="L8251" s="934"/>
      <c r="M8251" s="934"/>
    </row>
    <row r="8252" ht="12.75" hidden="1" customHeight="1" outlineLevel="1">
      <c r="A8252" s="202">
        <v>42375.0</v>
      </c>
      <c r="B8252" s="992"/>
      <c r="C8252" s="32" t="s">
        <v>429</v>
      </c>
      <c r="D8252" s="1"/>
      <c r="F8252" s="1"/>
      <c r="G8252" s="1"/>
      <c r="H8252" s="68"/>
      <c r="I8252" s="76"/>
      <c r="K8252" s="9" t="s">
        <v>3187</v>
      </c>
      <c r="L8252" s="934"/>
      <c r="M8252" s="934"/>
    </row>
    <row r="8253" ht="12.75" hidden="1" customHeight="1" outlineLevel="1">
      <c r="A8253" s="202">
        <v>42375.0</v>
      </c>
      <c r="B8253" s="992"/>
      <c r="C8253" s="32" t="s">
        <v>431</v>
      </c>
      <c r="D8253" s="1"/>
      <c r="F8253" s="1"/>
      <c r="G8253" s="1"/>
      <c r="H8253" s="68"/>
      <c r="I8253" s="76"/>
      <c r="K8253" s="7" t="s">
        <v>1126</v>
      </c>
      <c r="L8253" s="934"/>
      <c r="M8253" s="934"/>
    </row>
    <row r="8254" ht="12.75" hidden="1" customHeight="1" outlineLevel="1">
      <c r="A8254" s="202">
        <v>42375.0</v>
      </c>
      <c r="B8254" s="992"/>
      <c r="C8254" s="32" t="s">
        <v>433</v>
      </c>
      <c r="D8254" s="1"/>
      <c r="F8254" s="1"/>
      <c r="G8254" s="1"/>
      <c r="H8254" s="68"/>
      <c r="I8254" s="76"/>
      <c r="K8254" s="7" t="s">
        <v>1103</v>
      </c>
      <c r="L8254" s="934"/>
      <c r="M8254" s="934"/>
    </row>
    <row r="8255" ht="12.75" hidden="1" customHeight="1" outlineLevel="1">
      <c r="A8255" s="202">
        <v>42375.0</v>
      </c>
      <c r="B8255" s="992"/>
      <c r="C8255" s="32" t="s">
        <v>435</v>
      </c>
      <c r="D8255" s="1"/>
      <c r="F8255" s="1"/>
      <c r="G8255" s="1"/>
      <c r="H8255" s="68"/>
      <c r="I8255" s="76"/>
      <c r="K8255" s="9" t="s">
        <v>3134</v>
      </c>
      <c r="L8255" s="934"/>
      <c r="M8255" s="934"/>
    </row>
    <row r="8256" ht="12.75" hidden="1" customHeight="1" outlineLevel="1">
      <c r="A8256" s="202">
        <v>42376.0</v>
      </c>
      <c r="B8256" s="985" t="s">
        <v>347</v>
      </c>
      <c r="C8256" s="94" t="s">
        <v>3024</v>
      </c>
      <c r="D8256" s="286">
        <v>1300.0</v>
      </c>
      <c r="E8256" s="94">
        <v>14.81</v>
      </c>
      <c r="F8256" s="986">
        <v>0.4112037037037037</v>
      </c>
      <c r="G8256" s="94" t="s">
        <v>453</v>
      </c>
      <c r="H8256" s="987">
        <v>5.55</v>
      </c>
      <c r="I8256" s="988" t="s">
        <v>3145</v>
      </c>
      <c r="J8256" s="67">
        <f t="shared" ref="J8256:J8274" si="486">IF(B8256="SLD",D8256*E8256,-D8256*E8256)-H8256</f>
        <v>19247.45</v>
      </c>
      <c r="L8256" s="70"/>
      <c r="M8256" s="934"/>
    </row>
    <row r="8257" ht="12.75" hidden="1" customHeight="1" outlineLevel="1">
      <c r="A8257" s="202">
        <v>42376.0</v>
      </c>
      <c r="B8257" s="985" t="s">
        <v>347</v>
      </c>
      <c r="C8257" s="94" t="s">
        <v>2210</v>
      </c>
      <c r="D8257" s="94">
        <v>300.0</v>
      </c>
      <c r="E8257" s="94">
        <v>62.69</v>
      </c>
      <c r="F8257" s="986">
        <v>0.41130787037037037</v>
      </c>
      <c r="G8257" s="94" t="s">
        <v>453</v>
      </c>
      <c r="H8257" s="987">
        <v>1.75</v>
      </c>
      <c r="I8257" s="988" t="s">
        <v>3145</v>
      </c>
      <c r="J8257" s="67">
        <f t="shared" si="486"/>
        <v>18805.25</v>
      </c>
      <c r="L8257" s="70"/>
      <c r="M8257" s="934"/>
    </row>
    <row r="8258" ht="12.75" hidden="1" customHeight="1" outlineLevel="1">
      <c r="A8258" s="202">
        <v>42376.0</v>
      </c>
      <c r="B8258" s="985" t="s">
        <v>343</v>
      </c>
      <c r="C8258" s="94" t="s">
        <v>1056</v>
      </c>
      <c r="D8258" s="94">
        <v>30.0</v>
      </c>
      <c r="E8258" s="94">
        <v>244.01</v>
      </c>
      <c r="F8258" s="986">
        <v>0.45871527777777776</v>
      </c>
      <c r="G8258" s="94" t="s">
        <v>453</v>
      </c>
      <c r="H8258" s="987">
        <v>1.0</v>
      </c>
      <c r="I8258" s="988" t="s">
        <v>3145</v>
      </c>
      <c r="J8258" s="67">
        <f t="shared" si="486"/>
        <v>-7321.3</v>
      </c>
      <c r="L8258" s="70"/>
      <c r="M8258" s="934"/>
    </row>
    <row r="8259" ht="12.75" hidden="1" customHeight="1" outlineLevel="1">
      <c r="A8259" s="202">
        <v>42376.0</v>
      </c>
      <c r="B8259" s="985" t="s">
        <v>343</v>
      </c>
      <c r="C8259" s="94" t="s">
        <v>1082</v>
      </c>
      <c r="D8259" s="94">
        <v>10.0</v>
      </c>
      <c r="E8259" s="94">
        <v>739.9999</v>
      </c>
      <c r="F8259" s="986">
        <v>0.45891203703703703</v>
      </c>
      <c r="G8259" s="94" t="s">
        <v>453</v>
      </c>
      <c r="H8259" s="987">
        <v>1.0</v>
      </c>
      <c r="I8259" s="988" t="s">
        <v>3145</v>
      </c>
      <c r="J8259" s="67">
        <f t="shared" si="486"/>
        <v>-7400.999</v>
      </c>
      <c r="L8259" s="70"/>
      <c r="M8259" s="934"/>
    </row>
    <row r="8260" ht="12.75" hidden="1" customHeight="1" outlineLevel="1">
      <c r="A8260" s="202">
        <v>42376.0</v>
      </c>
      <c r="B8260" s="985" t="s">
        <v>343</v>
      </c>
      <c r="C8260" s="94" t="s">
        <v>605</v>
      </c>
      <c r="D8260" s="94">
        <v>100.0</v>
      </c>
      <c r="E8260" s="94">
        <v>78.015</v>
      </c>
      <c r="F8260" s="986">
        <v>0.460625</v>
      </c>
      <c r="G8260" s="94" t="s">
        <v>453</v>
      </c>
      <c r="H8260" s="987">
        <v>1.0</v>
      </c>
      <c r="I8260" s="988" t="s">
        <v>3145</v>
      </c>
      <c r="J8260" s="67">
        <f t="shared" si="486"/>
        <v>-7802.5</v>
      </c>
      <c r="L8260" s="70"/>
      <c r="M8260" s="934"/>
    </row>
    <row r="8261" ht="12.75" hidden="1" customHeight="1" outlineLevel="1">
      <c r="A8261" s="202">
        <v>42376.0</v>
      </c>
      <c r="B8261" s="985" t="s">
        <v>347</v>
      </c>
      <c r="C8261" s="94" t="s">
        <v>1061</v>
      </c>
      <c r="D8261" s="94">
        <v>600.0</v>
      </c>
      <c r="E8261" s="94">
        <v>38.89</v>
      </c>
      <c r="F8261" s="986">
        <v>0.4671875</v>
      </c>
      <c r="G8261" s="94" t="s">
        <v>453</v>
      </c>
      <c r="H8261" s="987">
        <v>3.23</v>
      </c>
      <c r="I8261" s="988" t="s">
        <v>3145</v>
      </c>
      <c r="J8261" s="67">
        <f t="shared" si="486"/>
        <v>23330.77</v>
      </c>
      <c r="L8261" s="70"/>
      <c r="M8261" s="934"/>
    </row>
    <row r="8262" ht="12.75" hidden="1" customHeight="1" outlineLevel="1">
      <c r="A8262" s="202">
        <v>42376.0</v>
      </c>
      <c r="B8262" s="985" t="s">
        <v>347</v>
      </c>
      <c r="C8262" s="94" t="s">
        <v>1060</v>
      </c>
      <c r="D8262" s="94">
        <v>600.0</v>
      </c>
      <c r="E8262" s="94">
        <v>33.74</v>
      </c>
      <c r="F8262" s="986">
        <v>0.4674421296296296</v>
      </c>
      <c r="G8262" s="94" t="s">
        <v>453</v>
      </c>
      <c r="H8262" s="987">
        <v>3.37</v>
      </c>
      <c r="I8262" s="988" t="s">
        <v>3145</v>
      </c>
      <c r="J8262" s="67">
        <f t="shared" si="486"/>
        <v>20240.63</v>
      </c>
      <c r="L8262" s="70"/>
      <c r="M8262" s="934"/>
    </row>
    <row r="8263" ht="12.75" hidden="1" customHeight="1" outlineLevel="1">
      <c r="A8263" s="202">
        <v>42376.0</v>
      </c>
      <c r="B8263" s="985" t="s">
        <v>347</v>
      </c>
      <c r="C8263" s="94" t="s">
        <v>2342</v>
      </c>
      <c r="D8263" s="94">
        <v>100.0</v>
      </c>
      <c r="E8263" s="94">
        <v>52.075</v>
      </c>
      <c r="F8263" s="986">
        <v>0.47466435185185185</v>
      </c>
      <c r="G8263" s="94" t="s">
        <v>453</v>
      </c>
      <c r="H8263" s="987">
        <v>1.1</v>
      </c>
      <c r="I8263" s="988" t="s">
        <v>3145</v>
      </c>
      <c r="J8263" s="67">
        <f t="shared" si="486"/>
        <v>5206.4</v>
      </c>
      <c r="L8263" s="70"/>
      <c r="M8263" s="934"/>
    </row>
    <row r="8264" ht="12.75" hidden="1" customHeight="1" outlineLevel="1">
      <c r="A8264" s="202">
        <v>42376.0</v>
      </c>
      <c r="B8264" s="985" t="s">
        <v>347</v>
      </c>
      <c r="C8264" s="94" t="s">
        <v>1382</v>
      </c>
      <c r="D8264" s="94">
        <v>70.0</v>
      </c>
      <c r="E8264" s="94">
        <v>120.9811</v>
      </c>
      <c r="F8264" s="986">
        <v>0.4753935185185185</v>
      </c>
      <c r="G8264" s="94" t="s">
        <v>453</v>
      </c>
      <c r="H8264" s="987">
        <v>1.16</v>
      </c>
      <c r="I8264" s="988" t="s">
        <v>3145</v>
      </c>
      <c r="J8264" s="67">
        <f t="shared" si="486"/>
        <v>8467.517</v>
      </c>
      <c r="L8264" s="70"/>
      <c r="M8264" s="934"/>
    </row>
    <row r="8265" ht="12.75" hidden="1" customHeight="1" outlineLevel="1">
      <c r="A8265" s="202">
        <v>42376.0</v>
      </c>
      <c r="B8265" s="985" t="s">
        <v>347</v>
      </c>
      <c r="C8265" s="94" t="s">
        <v>2177</v>
      </c>
      <c r="D8265" s="94">
        <v>200.0</v>
      </c>
      <c r="E8265" s="94">
        <v>100.36</v>
      </c>
      <c r="F8265" s="986">
        <v>0.48733796296296295</v>
      </c>
      <c r="G8265" s="94" t="s">
        <v>453</v>
      </c>
      <c r="H8265" s="987">
        <v>1.37</v>
      </c>
      <c r="I8265" s="988" t="s">
        <v>3145</v>
      </c>
      <c r="J8265" s="67">
        <f t="shared" si="486"/>
        <v>20070.63</v>
      </c>
      <c r="L8265" s="70"/>
      <c r="M8265" s="934"/>
    </row>
    <row r="8266" ht="12.75" hidden="1" customHeight="1" outlineLevel="1">
      <c r="A8266" s="202">
        <v>42376.0</v>
      </c>
      <c r="B8266" s="985" t="s">
        <v>347</v>
      </c>
      <c r="C8266" s="94" t="s">
        <v>2988</v>
      </c>
      <c r="D8266" s="94">
        <v>200.0</v>
      </c>
      <c r="E8266" s="94">
        <v>82.202</v>
      </c>
      <c r="F8266" s="986">
        <v>0.4890625</v>
      </c>
      <c r="G8266" s="94" t="s">
        <v>453</v>
      </c>
      <c r="H8266" s="987">
        <v>1.3</v>
      </c>
      <c r="I8266" s="988" t="s">
        <v>3145</v>
      </c>
      <c r="J8266" s="67">
        <f t="shared" si="486"/>
        <v>16439.1</v>
      </c>
      <c r="L8266" s="70"/>
      <c r="M8266" s="934"/>
    </row>
    <row r="8267" ht="12.75" hidden="1" customHeight="1" outlineLevel="1">
      <c r="A8267" s="202">
        <v>42376.0</v>
      </c>
      <c r="B8267" s="985" t="s">
        <v>347</v>
      </c>
      <c r="C8267" s="94" t="s">
        <v>1158</v>
      </c>
      <c r="D8267" s="94">
        <v>500.0</v>
      </c>
      <c r="E8267" s="94">
        <v>47.911</v>
      </c>
      <c r="F8267" s="986">
        <v>0.4923726851851852</v>
      </c>
      <c r="G8267" s="94" t="s">
        <v>453</v>
      </c>
      <c r="H8267" s="987">
        <v>2.44</v>
      </c>
      <c r="I8267" s="988" t="s">
        <v>3145</v>
      </c>
      <c r="J8267" s="67">
        <f t="shared" si="486"/>
        <v>23953.06</v>
      </c>
      <c r="L8267" s="70"/>
      <c r="M8267" s="934"/>
    </row>
    <row r="8268" ht="12.75" hidden="1" customHeight="1" outlineLevel="1">
      <c r="A8268" s="202">
        <v>42376.0</v>
      </c>
      <c r="B8268" s="985" t="s">
        <v>347</v>
      </c>
      <c r="C8268" s="94" t="s">
        <v>1164</v>
      </c>
      <c r="D8268" s="94">
        <v>500.0</v>
      </c>
      <c r="E8268" s="94">
        <v>42.21</v>
      </c>
      <c r="F8268" s="986">
        <v>0.4926041666666667</v>
      </c>
      <c r="G8268" s="94" t="s">
        <v>453</v>
      </c>
      <c r="H8268" s="987">
        <v>2.59</v>
      </c>
      <c r="I8268" s="988" t="s">
        <v>3145</v>
      </c>
      <c r="J8268" s="67">
        <f t="shared" si="486"/>
        <v>21102.41</v>
      </c>
      <c r="L8268" s="70"/>
      <c r="M8268" s="934"/>
    </row>
    <row r="8269" ht="12.75" hidden="1" customHeight="1" outlineLevel="1">
      <c r="A8269" s="202">
        <v>42376.0</v>
      </c>
      <c r="B8269" s="985" t="s">
        <v>347</v>
      </c>
      <c r="C8269" s="94" t="s">
        <v>1244</v>
      </c>
      <c r="D8269" s="94">
        <v>300.0</v>
      </c>
      <c r="E8269" s="94">
        <v>97.89</v>
      </c>
      <c r="F8269" s="986">
        <v>0.49614583333333334</v>
      </c>
      <c r="G8269" s="94" t="s">
        <v>453</v>
      </c>
      <c r="H8269" s="987">
        <v>1.94</v>
      </c>
      <c r="I8269" s="988" t="s">
        <v>3145</v>
      </c>
      <c r="J8269" s="67">
        <f t="shared" si="486"/>
        <v>29365.06</v>
      </c>
      <c r="L8269" s="70"/>
      <c r="M8269" s="934"/>
    </row>
    <row r="8270" ht="12.75" hidden="1" customHeight="1" outlineLevel="1">
      <c r="A8270" s="202">
        <v>42376.0</v>
      </c>
      <c r="B8270" s="985" t="s">
        <v>343</v>
      </c>
      <c r="C8270" s="94" t="s">
        <v>1781</v>
      </c>
      <c r="D8270" s="286">
        <v>2000.0</v>
      </c>
      <c r="E8270" s="94">
        <v>8.78</v>
      </c>
      <c r="F8270" s="986">
        <v>0.5921990740740741</v>
      </c>
      <c r="G8270" s="94" t="s">
        <v>453</v>
      </c>
      <c r="H8270" s="987">
        <v>8.0</v>
      </c>
      <c r="I8270" s="988" t="s">
        <v>3145</v>
      </c>
      <c r="J8270" s="67">
        <f t="shared" si="486"/>
        <v>-17568</v>
      </c>
      <c r="L8270" s="70"/>
      <c r="M8270" s="934"/>
    </row>
    <row r="8271" ht="12.75" hidden="1" customHeight="1" outlineLevel="1">
      <c r="A8271" s="202">
        <v>42376.0</v>
      </c>
      <c r="B8271" s="985" t="s">
        <v>347</v>
      </c>
      <c r="C8271" s="94" t="s">
        <v>1485</v>
      </c>
      <c r="D8271" s="286">
        <v>4000.0</v>
      </c>
      <c r="E8271" s="94">
        <v>3.16</v>
      </c>
      <c r="F8271" s="986">
        <v>0.5950925925925926</v>
      </c>
      <c r="G8271" s="94" t="s">
        <v>453</v>
      </c>
      <c r="H8271" s="987">
        <v>20.23</v>
      </c>
      <c r="I8271" s="988" t="s">
        <v>3145</v>
      </c>
      <c r="J8271" s="67">
        <f t="shared" si="486"/>
        <v>12619.77</v>
      </c>
      <c r="L8271" s="70"/>
      <c r="M8271" s="934"/>
    </row>
    <row r="8272" ht="12.75" hidden="1" customHeight="1" outlineLevel="1">
      <c r="A8272" s="202">
        <v>42376.0</v>
      </c>
      <c r="B8272" s="985" t="s">
        <v>347</v>
      </c>
      <c r="C8272" s="94" t="s">
        <v>1483</v>
      </c>
      <c r="D8272" s="286">
        <v>4000.0</v>
      </c>
      <c r="E8272" s="94">
        <v>1.61</v>
      </c>
      <c r="F8272" s="986">
        <v>0.5953935185185185</v>
      </c>
      <c r="G8272" s="94" t="s">
        <v>453</v>
      </c>
      <c r="H8272" s="987">
        <v>20.12</v>
      </c>
      <c r="I8272" s="988" t="s">
        <v>3145</v>
      </c>
      <c r="J8272" s="67">
        <f t="shared" si="486"/>
        <v>6419.88</v>
      </c>
      <c r="L8272" s="70"/>
      <c r="M8272" s="934"/>
    </row>
    <row r="8273" ht="12.75" hidden="1" customHeight="1" outlineLevel="1">
      <c r="A8273" s="202">
        <v>42376.0</v>
      </c>
      <c r="B8273" s="985" t="s">
        <v>347</v>
      </c>
      <c r="C8273" s="94" t="s">
        <v>604</v>
      </c>
      <c r="D8273" s="286">
        <v>4000.0</v>
      </c>
      <c r="E8273" s="94">
        <v>1.64</v>
      </c>
      <c r="F8273" s="986">
        <v>0.5954282407407407</v>
      </c>
      <c r="G8273" s="94" t="s">
        <v>453</v>
      </c>
      <c r="H8273" s="987">
        <v>20.12</v>
      </c>
      <c r="I8273" s="988" t="s">
        <v>3145</v>
      </c>
      <c r="J8273" s="67">
        <f t="shared" si="486"/>
        <v>6539.88</v>
      </c>
      <c r="L8273" s="70"/>
      <c r="M8273" s="934"/>
    </row>
    <row r="8274" ht="12.75" hidden="1" customHeight="1" outlineLevel="1">
      <c r="A8274" s="202">
        <v>42376.0</v>
      </c>
      <c r="B8274" s="985" t="s">
        <v>347</v>
      </c>
      <c r="C8274" s="94" t="s">
        <v>1092</v>
      </c>
      <c r="D8274" s="286">
        <v>4000.0</v>
      </c>
      <c r="E8274" s="94">
        <v>3.16</v>
      </c>
      <c r="F8274" s="986">
        <v>0.5957754629629629</v>
      </c>
      <c r="G8274" s="94" t="s">
        <v>453</v>
      </c>
      <c r="H8274" s="987">
        <v>20.23</v>
      </c>
      <c r="I8274" s="988" t="s">
        <v>3145</v>
      </c>
      <c r="J8274" s="67">
        <f t="shared" si="486"/>
        <v>12619.77</v>
      </c>
      <c r="L8274" s="70"/>
      <c r="M8274" s="934"/>
    </row>
    <row r="8275" ht="12.75" hidden="1" customHeight="1" outlineLevel="1">
      <c r="A8275" s="202">
        <v>42376.0</v>
      </c>
      <c r="B8275" s="992"/>
      <c r="C8275" s="32" t="s">
        <v>339</v>
      </c>
      <c r="D8275" s="1"/>
      <c r="F8275" s="1"/>
      <c r="G8275" s="1"/>
      <c r="H8275" s="68"/>
      <c r="I8275" s="76"/>
      <c r="K8275" s="994" t="s">
        <v>3253</v>
      </c>
      <c r="L8275" s="934"/>
      <c r="M8275" s="934"/>
    </row>
    <row r="8276" ht="12.75" hidden="1" customHeight="1" outlineLevel="1">
      <c r="A8276" s="202">
        <v>42376.0</v>
      </c>
      <c r="B8276" s="992"/>
      <c r="C8276" s="32" t="s">
        <v>429</v>
      </c>
      <c r="D8276" s="1"/>
      <c r="F8276" s="1"/>
      <c r="G8276" s="1"/>
      <c r="H8276" s="68"/>
      <c r="I8276" s="76"/>
      <c r="K8276" s="9" t="s">
        <v>3187</v>
      </c>
      <c r="L8276" s="934"/>
      <c r="M8276" s="934"/>
    </row>
    <row r="8277" ht="12.75" hidden="1" customHeight="1" outlineLevel="1">
      <c r="A8277" s="202">
        <v>42376.0</v>
      </c>
      <c r="B8277" s="992"/>
      <c r="C8277" s="32" t="s">
        <v>431</v>
      </c>
      <c r="D8277" s="1"/>
      <c r="F8277" s="1"/>
      <c r="G8277" s="1"/>
      <c r="H8277" s="68"/>
      <c r="I8277" s="76"/>
      <c r="K8277" s="7" t="s">
        <v>1126</v>
      </c>
      <c r="L8277" s="934"/>
      <c r="M8277" s="934"/>
    </row>
    <row r="8278" ht="12.75" hidden="1" customHeight="1" outlineLevel="1">
      <c r="A8278" s="202">
        <v>42376.0</v>
      </c>
      <c r="B8278" s="992"/>
      <c r="C8278" s="32" t="s">
        <v>433</v>
      </c>
      <c r="D8278" s="1"/>
      <c r="F8278" s="1"/>
      <c r="G8278" s="1"/>
      <c r="H8278" s="68"/>
      <c r="I8278" s="76"/>
      <c r="K8278" s="7" t="s">
        <v>1103</v>
      </c>
      <c r="L8278" s="934"/>
      <c r="M8278" s="934"/>
    </row>
    <row r="8279" ht="12.75" hidden="1" customHeight="1" outlineLevel="1">
      <c r="A8279" s="202">
        <v>42376.0</v>
      </c>
      <c r="B8279" s="992"/>
      <c r="C8279" s="32" t="s">
        <v>435</v>
      </c>
      <c r="D8279" s="1"/>
      <c r="F8279" s="1"/>
      <c r="G8279" s="1"/>
      <c r="H8279" s="68"/>
      <c r="I8279" s="76"/>
      <c r="K8279" s="9" t="s">
        <v>3134</v>
      </c>
      <c r="L8279" s="934"/>
      <c r="M8279" s="934"/>
    </row>
    <row r="8280" ht="12.75" hidden="1" customHeight="1" outlineLevel="1">
      <c r="A8280" s="202">
        <v>42377.0</v>
      </c>
      <c r="B8280" s="985" t="s">
        <v>347</v>
      </c>
      <c r="C8280" s="94" t="s">
        <v>1781</v>
      </c>
      <c r="D8280" s="286">
        <v>4000.0</v>
      </c>
      <c r="E8280" s="94">
        <v>8.522</v>
      </c>
      <c r="F8280" s="986">
        <v>0.4087615740740741</v>
      </c>
      <c r="G8280" s="94" t="s">
        <v>453</v>
      </c>
      <c r="H8280" s="987">
        <v>17.83</v>
      </c>
      <c r="I8280" s="988" t="s">
        <v>3145</v>
      </c>
      <c r="J8280" s="67">
        <f t="shared" ref="J8280:J8305" si="487">IF(B8280="SLD",D8280*E8280,-D8280*E8280)-H8280</f>
        <v>34070.17</v>
      </c>
      <c r="L8280" s="70"/>
      <c r="M8280" s="934"/>
    </row>
    <row r="8281" ht="12.75" hidden="1" customHeight="1" outlineLevel="1">
      <c r="A8281" s="202">
        <v>42377.0</v>
      </c>
      <c r="B8281" s="985" t="s">
        <v>347</v>
      </c>
      <c r="C8281" s="94" t="s">
        <v>1890</v>
      </c>
      <c r="D8281" s="286">
        <v>2000.0</v>
      </c>
      <c r="E8281" s="94">
        <v>12.7602</v>
      </c>
      <c r="F8281" s="986">
        <v>0.4106944444444444</v>
      </c>
      <c r="G8281" s="94" t="s">
        <v>453</v>
      </c>
      <c r="H8281" s="987">
        <v>8.47</v>
      </c>
      <c r="I8281" s="988" t="s">
        <v>3145</v>
      </c>
      <c r="J8281" s="67">
        <f t="shared" si="487"/>
        <v>25511.93</v>
      </c>
      <c r="L8281" s="70"/>
      <c r="M8281" s="934"/>
    </row>
    <row r="8282" ht="12.75" hidden="1" customHeight="1" outlineLevel="1">
      <c r="A8282" s="202">
        <v>42377.0</v>
      </c>
      <c r="B8282" s="985" t="s">
        <v>347</v>
      </c>
      <c r="C8282" s="94" t="s">
        <v>1902</v>
      </c>
      <c r="D8282" s="286">
        <v>3000.0</v>
      </c>
      <c r="E8282" s="94">
        <v>9.5</v>
      </c>
      <c r="F8282" s="986">
        <v>0.41435185185185186</v>
      </c>
      <c r="G8282" s="94" t="s">
        <v>453</v>
      </c>
      <c r="H8282" s="987">
        <v>12.52</v>
      </c>
      <c r="I8282" s="988" t="s">
        <v>3145</v>
      </c>
      <c r="J8282" s="67">
        <f t="shared" si="487"/>
        <v>28487.48</v>
      </c>
      <c r="L8282" s="70"/>
      <c r="M8282" s="934"/>
    </row>
    <row r="8283" ht="12.75" hidden="1" customHeight="1" outlineLevel="1">
      <c r="A8283" s="202">
        <v>42377.0</v>
      </c>
      <c r="B8283" s="985" t="s">
        <v>343</v>
      </c>
      <c r="C8283" s="94" t="s">
        <v>1821</v>
      </c>
      <c r="D8283" s="94">
        <v>500.0</v>
      </c>
      <c r="E8283" s="94">
        <v>22.5999</v>
      </c>
      <c r="F8283" s="986">
        <v>0.6002314814814815</v>
      </c>
      <c r="G8283" s="94" t="s">
        <v>453</v>
      </c>
      <c r="H8283" s="987">
        <v>2.0</v>
      </c>
      <c r="I8283" s="988" t="s">
        <v>3145</v>
      </c>
      <c r="J8283" s="67">
        <f t="shared" si="487"/>
        <v>-11301.95</v>
      </c>
      <c r="L8283" s="70"/>
      <c r="M8283" s="934"/>
    </row>
    <row r="8284" ht="12.75" hidden="1" customHeight="1" outlineLevel="1">
      <c r="A8284" s="202">
        <v>42377.0</v>
      </c>
      <c r="B8284" s="985" t="s">
        <v>343</v>
      </c>
      <c r="C8284" s="94" t="s">
        <v>1821</v>
      </c>
      <c r="D8284" s="94">
        <v>500.0</v>
      </c>
      <c r="E8284" s="94">
        <v>22.589</v>
      </c>
      <c r="F8284" s="986">
        <v>0.6006828703703704</v>
      </c>
      <c r="G8284" s="94" t="s">
        <v>453</v>
      </c>
      <c r="H8284" s="987">
        <v>2.0</v>
      </c>
      <c r="I8284" s="988" t="s">
        <v>3145</v>
      </c>
      <c r="J8284" s="67">
        <f t="shared" si="487"/>
        <v>-11296.5</v>
      </c>
      <c r="L8284" s="70"/>
      <c r="M8284" s="934"/>
    </row>
    <row r="8285" ht="12.75" hidden="1" customHeight="1" outlineLevel="1">
      <c r="A8285" s="202">
        <v>42377.0</v>
      </c>
      <c r="B8285" s="985" t="s">
        <v>343</v>
      </c>
      <c r="C8285" s="94" t="s">
        <v>1905</v>
      </c>
      <c r="D8285" s="94">
        <v>500.0</v>
      </c>
      <c r="E8285" s="94">
        <v>16.2</v>
      </c>
      <c r="F8285" s="986">
        <v>0.6008680555555556</v>
      </c>
      <c r="G8285" s="94" t="s">
        <v>453</v>
      </c>
      <c r="H8285" s="987">
        <v>2.0</v>
      </c>
      <c r="I8285" s="988" t="s">
        <v>3145</v>
      </c>
      <c r="J8285" s="67">
        <f t="shared" si="487"/>
        <v>-8102</v>
      </c>
      <c r="L8285" s="70"/>
      <c r="M8285" s="934"/>
    </row>
    <row r="8286" ht="12.75" hidden="1" customHeight="1" outlineLevel="1">
      <c r="A8286" s="202">
        <v>42377.0</v>
      </c>
      <c r="B8286" s="985" t="s">
        <v>343</v>
      </c>
      <c r="C8286" s="94" t="s">
        <v>1905</v>
      </c>
      <c r="D8286" s="94">
        <v>500.0</v>
      </c>
      <c r="E8286" s="94">
        <v>16.2098</v>
      </c>
      <c r="F8286" s="986">
        <v>0.6010300925925925</v>
      </c>
      <c r="G8286" s="94" t="s">
        <v>453</v>
      </c>
      <c r="H8286" s="987">
        <v>2.0</v>
      </c>
      <c r="I8286" s="988" t="s">
        <v>3145</v>
      </c>
      <c r="J8286" s="67">
        <f t="shared" si="487"/>
        <v>-8106.9</v>
      </c>
      <c r="L8286" s="70"/>
      <c r="M8286" s="934"/>
    </row>
    <row r="8287" ht="12.75" hidden="1" customHeight="1" outlineLevel="1">
      <c r="A8287" s="202">
        <v>42377.0</v>
      </c>
      <c r="B8287" s="985" t="s">
        <v>343</v>
      </c>
      <c r="C8287" s="94" t="s">
        <v>1905</v>
      </c>
      <c r="D8287" s="94">
        <v>500.0</v>
      </c>
      <c r="E8287" s="94">
        <v>16.109</v>
      </c>
      <c r="F8287" s="986">
        <v>0.6025231481481481</v>
      </c>
      <c r="G8287" s="94" t="s">
        <v>453</v>
      </c>
      <c r="H8287" s="987">
        <v>2.2</v>
      </c>
      <c r="I8287" s="988" t="s">
        <v>3145</v>
      </c>
      <c r="J8287" s="67">
        <f t="shared" si="487"/>
        <v>-8056.7</v>
      </c>
      <c r="L8287" s="70"/>
      <c r="M8287" s="934"/>
    </row>
    <row r="8288" ht="12.75" hidden="1" customHeight="1" outlineLevel="1">
      <c r="A8288" s="202">
        <v>42377.0</v>
      </c>
      <c r="B8288" s="985" t="s">
        <v>343</v>
      </c>
      <c r="C8288" s="94" t="s">
        <v>1821</v>
      </c>
      <c r="D8288" s="94">
        <v>800.0</v>
      </c>
      <c r="E8288" s="94">
        <v>22.578</v>
      </c>
      <c r="F8288" s="986">
        <v>0.6028009259259259</v>
      </c>
      <c r="G8288" s="94" t="s">
        <v>453</v>
      </c>
      <c r="H8288" s="987">
        <v>3.2</v>
      </c>
      <c r="I8288" s="988" t="s">
        <v>3145</v>
      </c>
      <c r="J8288" s="67">
        <f t="shared" si="487"/>
        <v>-18065.6</v>
      </c>
      <c r="L8288" s="70"/>
      <c r="M8288" s="934"/>
    </row>
    <row r="8289" ht="12.75" hidden="1" customHeight="1" outlineLevel="1">
      <c r="A8289" s="202">
        <v>42377.0</v>
      </c>
      <c r="B8289" s="985" t="s">
        <v>343</v>
      </c>
      <c r="C8289" s="94" t="s">
        <v>1905</v>
      </c>
      <c r="D8289" s="94">
        <v>500.0</v>
      </c>
      <c r="E8289" s="94">
        <v>16.139</v>
      </c>
      <c r="F8289" s="986">
        <v>0.6031828703703703</v>
      </c>
      <c r="G8289" s="94" t="s">
        <v>453</v>
      </c>
      <c r="H8289" s="987">
        <v>2.0</v>
      </c>
      <c r="I8289" s="988" t="s">
        <v>3145</v>
      </c>
      <c r="J8289" s="67">
        <f t="shared" si="487"/>
        <v>-8071.5</v>
      </c>
      <c r="L8289" s="70"/>
      <c r="M8289" s="934"/>
    </row>
    <row r="8290" ht="12.75" hidden="1" customHeight="1" outlineLevel="1">
      <c r="A8290" s="202">
        <v>42377.0</v>
      </c>
      <c r="B8290" s="985" t="s">
        <v>343</v>
      </c>
      <c r="C8290" s="94" t="s">
        <v>1633</v>
      </c>
      <c r="D8290" s="286">
        <v>4000.0</v>
      </c>
      <c r="E8290" s="94">
        <v>7.74</v>
      </c>
      <c r="F8290" s="986">
        <v>0.6053125</v>
      </c>
      <c r="G8290" s="94" t="s">
        <v>453</v>
      </c>
      <c r="H8290" s="987">
        <v>16.0</v>
      </c>
      <c r="I8290" s="988" t="s">
        <v>3145</v>
      </c>
      <c r="J8290" s="67">
        <f t="shared" si="487"/>
        <v>-30976</v>
      </c>
      <c r="L8290" s="70"/>
      <c r="M8290" s="934"/>
    </row>
    <row r="8291" ht="12.75" hidden="1" customHeight="1" outlineLevel="1">
      <c r="A8291" s="202">
        <v>42377.0</v>
      </c>
      <c r="B8291" s="985" t="s">
        <v>343</v>
      </c>
      <c r="C8291" s="94" t="s">
        <v>1938</v>
      </c>
      <c r="D8291" s="286">
        <v>1500.0</v>
      </c>
      <c r="E8291" s="94">
        <v>14.909</v>
      </c>
      <c r="F8291" s="986">
        <v>0.6066319444444445</v>
      </c>
      <c r="G8291" s="94" t="s">
        <v>453</v>
      </c>
      <c r="H8291" s="987">
        <v>6.6</v>
      </c>
      <c r="I8291" s="988" t="s">
        <v>3145</v>
      </c>
      <c r="J8291" s="67">
        <f t="shared" si="487"/>
        <v>-22370.1</v>
      </c>
      <c r="L8291" s="70"/>
      <c r="M8291" s="934"/>
    </row>
    <row r="8292" ht="12.75" hidden="1" customHeight="1" outlineLevel="1">
      <c r="A8292" s="202">
        <v>42380.0</v>
      </c>
      <c r="B8292" s="985" t="s">
        <v>347</v>
      </c>
      <c r="C8292" s="94" t="s">
        <v>1821</v>
      </c>
      <c r="D8292" s="94">
        <v>600.0</v>
      </c>
      <c r="E8292" s="94">
        <v>21.964</v>
      </c>
      <c r="F8292" s="986">
        <v>0.399849537037037</v>
      </c>
      <c r="G8292" s="94" t="s">
        <v>453</v>
      </c>
      <c r="H8292" s="987">
        <v>2.74</v>
      </c>
      <c r="I8292" s="988" t="s">
        <v>3145</v>
      </c>
      <c r="J8292" s="67">
        <f t="shared" si="487"/>
        <v>13175.66</v>
      </c>
      <c r="L8292" s="70"/>
      <c r="M8292" s="934"/>
    </row>
    <row r="8293" ht="12.75" hidden="1" customHeight="1" outlineLevel="1">
      <c r="A8293" s="202">
        <v>42380.0</v>
      </c>
      <c r="B8293" s="985" t="s">
        <v>347</v>
      </c>
      <c r="C8293" s="94" t="s">
        <v>1938</v>
      </c>
      <c r="D8293" s="286">
        <v>1000.0</v>
      </c>
      <c r="E8293" s="94">
        <v>14.75</v>
      </c>
      <c r="F8293" s="986">
        <v>0.40001157407407406</v>
      </c>
      <c r="G8293" s="94" t="s">
        <v>453</v>
      </c>
      <c r="H8293" s="987">
        <v>5.27</v>
      </c>
      <c r="I8293" s="988" t="s">
        <v>3145</v>
      </c>
      <c r="J8293" s="67">
        <f t="shared" si="487"/>
        <v>14744.73</v>
      </c>
      <c r="L8293" s="70"/>
      <c r="M8293" s="934"/>
    </row>
    <row r="8294" ht="12.75" hidden="1" customHeight="1" outlineLevel="1">
      <c r="A8294" s="202">
        <v>42380.0</v>
      </c>
      <c r="B8294" s="985" t="s">
        <v>347</v>
      </c>
      <c r="C8294" s="94" t="s">
        <v>1633</v>
      </c>
      <c r="D8294" s="286">
        <v>3000.0</v>
      </c>
      <c r="E8294" s="94">
        <v>7.4901</v>
      </c>
      <c r="F8294" s="986">
        <v>0.40020833333333333</v>
      </c>
      <c r="G8294" s="94" t="s">
        <v>453</v>
      </c>
      <c r="H8294" s="987">
        <v>12.41</v>
      </c>
      <c r="I8294" s="988" t="s">
        <v>3145</v>
      </c>
      <c r="J8294" s="67">
        <f t="shared" si="487"/>
        <v>22457.89</v>
      </c>
      <c r="L8294" s="70"/>
      <c r="M8294" s="934"/>
    </row>
    <row r="8295" ht="12.75" hidden="1" customHeight="1" outlineLevel="1">
      <c r="A8295" s="202">
        <v>42380.0</v>
      </c>
      <c r="B8295" s="985" t="s">
        <v>347</v>
      </c>
      <c r="C8295" s="94" t="s">
        <v>1905</v>
      </c>
      <c r="D8295" s="286">
        <v>1000.0</v>
      </c>
      <c r="E8295" s="94">
        <v>15.895</v>
      </c>
      <c r="F8295" s="986">
        <v>0.40055555555555555</v>
      </c>
      <c r="G8295" s="94" t="s">
        <v>453</v>
      </c>
      <c r="H8295" s="987">
        <v>4.49</v>
      </c>
      <c r="I8295" s="988" t="s">
        <v>3145</v>
      </c>
      <c r="J8295" s="67">
        <f t="shared" si="487"/>
        <v>15890.51</v>
      </c>
      <c r="L8295" s="70"/>
      <c r="M8295" s="934"/>
    </row>
    <row r="8296" ht="12.75" hidden="1" customHeight="1" outlineLevel="1">
      <c r="A8296" s="202">
        <v>42380.0</v>
      </c>
      <c r="B8296" s="985" t="s">
        <v>347</v>
      </c>
      <c r="C8296" s="94" t="s">
        <v>1938</v>
      </c>
      <c r="D8296" s="94">
        <v>500.0</v>
      </c>
      <c r="E8296" s="94">
        <v>14.8</v>
      </c>
      <c r="F8296" s="986">
        <v>0.4013541666666667</v>
      </c>
      <c r="G8296" s="94" t="s">
        <v>453</v>
      </c>
      <c r="H8296" s="987">
        <v>2.54</v>
      </c>
      <c r="I8296" s="988" t="s">
        <v>3145</v>
      </c>
      <c r="J8296" s="67">
        <f t="shared" si="487"/>
        <v>7397.46</v>
      </c>
      <c r="L8296" s="70"/>
      <c r="M8296" s="934"/>
    </row>
    <row r="8297" ht="12.75" hidden="1" customHeight="1" outlineLevel="1">
      <c r="A8297" s="202">
        <v>42380.0</v>
      </c>
      <c r="B8297" s="985" t="s">
        <v>347</v>
      </c>
      <c r="C8297" s="94" t="s">
        <v>1821</v>
      </c>
      <c r="D8297" s="94">
        <v>500.0</v>
      </c>
      <c r="E8297" s="94">
        <v>21.96</v>
      </c>
      <c r="F8297" s="986">
        <v>0.4014814814814815</v>
      </c>
      <c r="G8297" s="94" t="s">
        <v>453</v>
      </c>
      <c r="H8297" s="987">
        <v>2.3</v>
      </c>
      <c r="I8297" s="988" t="s">
        <v>3145</v>
      </c>
      <c r="J8297" s="67">
        <f t="shared" si="487"/>
        <v>10977.7</v>
      </c>
      <c r="L8297" s="70"/>
      <c r="M8297" s="934"/>
    </row>
    <row r="8298" ht="12.75" hidden="1" customHeight="1" outlineLevel="1">
      <c r="A8298" s="202">
        <v>42380.0</v>
      </c>
      <c r="B8298" s="985" t="s">
        <v>347</v>
      </c>
      <c r="C8298" s="94" t="s">
        <v>1633</v>
      </c>
      <c r="D8298" s="286">
        <v>1000.0</v>
      </c>
      <c r="E8298" s="94">
        <v>7.3701</v>
      </c>
      <c r="F8298" s="986">
        <v>0.4017013888888889</v>
      </c>
      <c r="G8298" s="94" t="s">
        <v>453</v>
      </c>
      <c r="H8298" s="987">
        <v>4.14</v>
      </c>
      <c r="I8298" s="988" t="s">
        <v>3145</v>
      </c>
      <c r="J8298" s="67">
        <f t="shared" si="487"/>
        <v>7365.96</v>
      </c>
      <c r="L8298" s="70"/>
      <c r="M8298" s="934"/>
    </row>
    <row r="8299" ht="12.75" hidden="1" customHeight="1" outlineLevel="1">
      <c r="A8299" s="202">
        <v>42380.0</v>
      </c>
      <c r="B8299" s="985" t="s">
        <v>343</v>
      </c>
      <c r="C8299" s="94" t="s">
        <v>2862</v>
      </c>
      <c r="D8299" s="94">
        <v>100.0</v>
      </c>
      <c r="E8299" s="94">
        <v>87.48</v>
      </c>
      <c r="F8299" s="986">
        <v>0.42506944444444444</v>
      </c>
      <c r="G8299" s="94" t="s">
        <v>453</v>
      </c>
      <c r="H8299" s="987">
        <v>1.0</v>
      </c>
      <c r="I8299" s="988" t="s">
        <v>3145</v>
      </c>
      <c r="J8299" s="67">
        <f t="shared" si="487"/>
        <v>-8749</v>
      </c>
      <c r="L8299" s="70"/>
      <c r="M8299" s="934"/>
    </row>
    <row r="8300" ht="12.75" hidden="1" customHeight="1" outlineLevel="1">
      <c r="A8300" s="202">
        <v>42380.0</v>
      </c>
      <c r="B8300" s="985" t="s">
        <v>343</v>
      </c>
      <c r="C8300" s="94" t="s">
        <v>3006</v>
      </c>
      <c r="D8300" s="94">
        <v>200.0</v>
      </c>
      <c r="E8300" s="94">
        <v>55.51</v>
      </c>
      <c r="F8300" s="986">
        <v>0.42596064814814816</v>
      </c>
      <c r="G8300" s="94" t="s">
        <v>453</v>
      </c>
      <c r="H8300" s="987">
        <v>1.0</v>
      </c>
      <c r="I8300" s="988" t="s">
        <v>3145</v>
      </c>
      <c r="J8300" s="67">
        <f t="shared" si="487"/>
        <v>-11103</v>
      </c>
      <c r="L8300" s="70"/>
      <c r="M8300" s="934"/>
    </row>
    <row r="8301" ht="12.75" hidden="1" customHeight="1" outlineLevel="1">
      <c r="A8301" s="202">
        <v>42380.0</v>
      </c>
      <c r="B8301" s="985" t="s">
        <v>343</v>
      </c>
      <c r="C8301" s="94" t="s">
        <v>346</v>
      </c>
      <c r="D8301" s="94">
        <v>200.0</v>
      </c>
      <c r="E8301" s="94">
        <v>98.159</v>
      </c>
      <c r="F8301" s="986">
        <v>0.4305787037037037</v>
      </c>
      <c r="G8301" s="94" t="s">
        <v>453</v>
      </c>
      <c r="H8301" s="987">
        <v>1.0</v>
      </c>
      <c r="I8301" s="988" t="s">
        <v>3145</v>
      </c>
      <c r="J8301" s="67">
        <f t="shared" si="487"/>
        <v>-19632.8</v>
      </c>
      <c r="L8301" s="70"/>
      <c r="M8301" s="934"/>
    </row>
    <row r="8302" ht="12.75" hidden="1" customHeight="1" outlineLevel="1">
      <c r="A8302" s="202">
        <v>42380.0</v>
      </c>
      <c r="B8302" s="985" t="s">
        <v>347</v>
      </c>
      <c r="C8302" s="94" t="s">
        <v>1821</v>
      </c>
      <c r="D8302" s="286">
        <v>1100.0</v>
      </c>
      <c r="E8302" s="94">
        <v>21.023</v>
      </c>
      <c r="F8302" s="986">
        <v>0.5065162037037036</v>
      </c>
      <c r="G8302" s="94" t="s">
        <v>453</v>
      </c>
      <c r="H8302" s="987">
        <v>5.83</v>
      </c>
      <c r="I8302" s="988" t="s">
        <v>3145</v>
      </c>
      <c r="J8302" s="67">
        <f t="shared" si="487"/>
        <v>23119.47</v>
      </c>
      <c r="L8302" s="70"/>
      <c r="M8302" s="934"/>
    </row>
    <row r="8303" ht="12.75" hidden="1" customHeight="1" outlineLevel="1">
      <c r="A8303" s="202">
        <v>42380.0</v>
      </c>
      <c r="B8303" s="985" t="s">
        <v>347</v>
      </c>
      <c r="C8303" s="94" t="s">
        <v>1905</v>
      </c>
      <c r="D8303" s="286">
        <v>1300.0</v>
      </c>
      <c r="E8303" s="94">
        <v>15.289</v>
      </c>
      <c r="F8303" s="986">
        <v>0.5282638888888889</v>
      </c>
      <c r="G8303" s="94" t="s">
        <v>453</v>
      </c>
      <c r="H8303" s="987">
        <v>6.17</v>
      </c>
      <c r="I8303" s="988" t="s">
        <v>3145</v>
      </c>
      <c r="J8303" s="67">
        <f t="shared" si="487"/>
        <v>19869.53</v>
      </c>
      <c r="L8303" s="70"/>
      <c r="M8303" s="934"/>
    </row>
    <row r="8304" ht="12.75" hidden="1" customHeight="1" outlineLevel="1">
      <c r="A8304" s="202">
        <v>42380.0</v>
      </c>
      <c r="B8304" s="985" t="s">
        <v>347</v>
      </c>
      <c r="C8304" s="94" t="s">
        <v>2084</v>
      </c>
      <c r="D8304" s="286">
        <v>2500.0</v>
      </c>
      <c r="E8304" s="94">
        <v>6.411</v>
      </c>
      <c r="F8304" s="986">
        <v>0.5656712962962963</v>
      </c>
      <c r="G8304" s="94" t="s">
        <v>453</v>
      </c>
      <c r="H8304" s="987">
        <v>10.69</v>
      </c>
      <c r="I8304" s="988" t="s">
        <v>3145</v>
      </c>
      <c r="J8304" s="67">
        <f t="shared" si="487"/>
        <v>16016.81</v>
      </c>
      <c r="L8304" s="70"/>
      <c r="M8304" s="934"/>
    </row>
    <row r="8305" ht="12.75" hidden="1" customHeight="1" outlineLevel="1">
      <c r="A8305" s="202">
        <v>42380.0</v>
      </c>
      <c r="B8305" s="985" t="s">
        <v>343</v>
      </c>
      <c r="C8305" s="94" t="s">
        <v>2098</v>
      </c>
      <c r="D8305" s="94">
        <v>150.0</v>
      </c>
      <c r="E8305" s="94">
        <v>59.9</v>
      </c>
      <c r="F8305" s="986">
        <v>0.6472800925925926</v>
      </c>
      <c r="G8305" s="94" t="s">
        <v>453</v>
      </c>
      <c r="H8305" s="987">
        <v>1.0</v>
      </c>
      <c r="I8305" s="988" t="s">
        <v>3145</v>
      </c>
      <c r="J8305" s="67">
        <f t="shared" si="487"/>
        <v>-8986</v>
      </c>
      <c r="L8305" s="70"/>
      <c r="M8305" s="934"/>
    </row>
    <row r="8306" ht="12.75" hidden="1" customHeight="1" outlineLevel="1">
      <c r="A8306" s="990">
        <v>42380.0</v>
      </c>
      <c r="B8306" s="992"/>
      <c r="C8306" s="32" t="s">
        <v>339</v>
      </c>
      <c r="D8306" s="1"/>
      <c r="F8306" s="1"/>
      <c r="G8306" s="1"/>
      <c r="H8306" s="68"/>
      <c r="I8306" s="76"/>
      <c r="K8306" s="994" t="s">
        <v>3272</v>
      </c>
      <c r="L8306" s="934"/>
      <c r="M8306" s="934"/>
    </row>
    <row r="8307" ht="12.75" hidden="1" customHeight="1" outlineLevel="1">
      <c r="A8307" s="990">
        <v>42380.0</v>
      </c>
      <c r="B8307" s="992"/>
      <c r="C8307" s="32" t="s">
        <v>429</v>
      </c>
      <c r="D8307" s="1"/>
      <c r="F8307" s="1"/>
      <c r="G8307" s="1"/>
      <c r="H8307" s="68"/>
      <c r="I8307" s="76"/>
      <c r="K8307" s="9" t="s">
        <v>3187</v>
      </c>
      <c r="L8307" s="934"/>
      <c r="M8307" s="934"/>
    </row>
    <row r="8308" ht="12.75" hidden="1" customHeight="1" outlineLevel="1">
      <c r="A8308" s="990">
        <v>42380.0</v>
      </c>
      <c r="B8308" s="992"/>
      <c r="C8308" s="32" t="s">
        <v>431</v>
      </c>
      <c r="D8308" s="1"/>
      <c r="F8308" s="1"/>
      <c r="G8308" s="1"/>
      <c r="H8308" s="68"/>
      <c r="I8308" s="76"/>
      <c r="K8308" s="7" t="s">
        <v>1126</v>
      </c>
      <c r="L8308" s="934"/>
      <c r="M8308" s="934"/>
    </row>
    <row r="8309" ht="12.75" hidden="1" customHeight="1" outlineLevel="1">
      <c r="A8309" s="990">
        <v>42380.0</v>
      </c>
      <c r="B8309" s="992"/>
      <c r="C8309" s="32" t="s">
        <v>433</v>
      </c>
      <c r="D8309" s="1"/>
      <c r="F8309" s="1"/>
      <c r="G8309" s="1"/>
      <c r="H8309" s="68"/>
      <c r="I8309" s="76"/>
      <c r="K8309" s="7" t="s">
        <v>1103</v>
      </c>
      <c r="L8309" s="934"/>
      <c r="M8309" s="934"/>
    </row>
    <row r="8310" ht="12.75" hidden="1" customHeight="1" outlineLevel="1">
      <c r="A8310" s="990">
        <v>42380.0</v>
      </c>
      <c r="B8310" s="992"/>
      <c r="C8310" s="32" t="s">
        <v>435</v>
      </c>
      <c r="D8310" s="1"/>
      <c r="F8310" s="1"/>
      <c r="G8310" s="1"/>
      <c r="H8310" s="68"/>
      <c r="I8310" s="76"/>
      <c r="K8310" s="9" t="s">
        <v>3134</v>
      </c>
      <c r="L8310" s="934"/>
      <c r="M8310" s="934"/>
    </row>
    <row r="8311" ht="12.75" hidden="1" customHeight="1" outlineLevel="1">
      <c r="A8311" s="202">
        <v>42381.0</v>
      </c>
      <c r="B8311" s="985" t="s">
        <v>343</v>
      </c>
      <c r="C8311" s="94" t="s">
        <v>1221</v>
      </c>
      <c r="D8311" s="94">
        <v>200.0</v>
      </c>
      <c r="E8311" s="94">
        <v>32.869</v>
      </c>
      <c r="F8311" s="986">
        <v>0.41206018518518517</v>
      </c>
      <c r="G8311" s="94" t="s">
        <v>453</v>
      </c>
      <c r="H8311" s="987">
        <v>1.0</v>
      </c>
      <c r="I8311" s="988" t="s">
        <v>3145</v>
      </c>
      <c r="J8311" s="67">
        <f t="shared" ref="J8311:J8326" si="488">IF(B8311="SLD",D8311*E8311,-D8311*E8311)-H8311</f>
        <v>-6574.8</v>
      </c>
      <c r="L8311" s="70"/>
      <c r="M8311" s="934"/>
    </row>
    <row r="8312" ht="12.75" hidden="1" customHeight="1" outlineLevel="1">
      <c r="A8312" s="202">
        <v>42381.0</v>
      </c>
      <c r="B8312" s="985" t="s">
        <v>347</v>
      </c>
      <c r="C8312" s="94" t="s">
        <v>1905</v>
      </c>
      <c r="D8312" s="94">
        <v>700.0</v>
      </c>
      <c r="E8312" s="94">
        <v>14.571</v>
      </c>
      <c r="F8312" s="986">
        <v>0.6642013888888889</v>
      </c>
      <c r="G8312" s="94" t="s">
        <v>453</v>
      </c>
      <c r="H8312" s="987">
        <v>2.99</v>
      </c>
      <c r="I8312" s="988" t="s">
        <v>3145</v>
      </c>
      <c r="J8312" s="67">
        <f t="shared" si="488"/>
        <v>10196.71</v>
      </c>
      <c r="L8312" s="70"/>
      <c r="M8312" s="934"/>
    </row>
    <row r="8313" ht="12.75" hidden="1" customHeight="1" outlineLevel="1">
      <c r="A8313" s="202">
        <v>42382.0</v>
      </c>
      <c r="B8313" s="985" t="s">
        <v>343</v>
      </c>
      <c r="C8313" s="94" t="s">
        <v>344</v>
      </c>
      <c r="D8313" s="94">
        <v>300.0</v>
      </c>
      <c r="E8313" s="94">
        <v>59.128</v>
      </c>
      <c r="F8313" s="986">
        <v>0.41391203703703705</v>
      </c>
      <c r="G8313" s="94" t="s">
        <v>453</v>
      </c>
      <c r="H8313" s="987">
        <v>1.3</v>
      </c>
      <c r="I8313" s="988" t="s">
        <v>3145</v>
      </c>
      <c r="J8313" s="67">
        <f t="shared" si="488"/>
        <v>-17739.7</v>
      </c>
      <c r="L8313" s="70"/>
      <c r="M8313" s="934"/>
    </row>
    <row r="8314" ht="12.75" hidden="1" customHeight="1" outlineLevel="1">
      <c r="A8314" s="202">
        <v>42382.0</v>
      </c>
      <c r="B8314" s="985" t="s">
        <v>343</v>
      </c>
      <c r="C8314" s="94" t="s">
        <v>2342</v>
      </c>
      <c r="D8314" s="94">
        <v>100.0</v>
      </c>
      <c r="E8314" s="94">
        <v>50.7998</v>
      </c>
      <c r="F8314" s="986">
        <v>0.4140509259259259</v>
      </c>
      <c r="G8314" s="94" t="s">
        <v>453</v>
      </c>
      <c r="H8314" s="987">
        <v>1.0</v>
      </c>
      <c r="I8314" s="988" t="s">
        <v>3145</v>
      </c>
      <c r="J8314" s="67">
        <f t="shared" si="488"/>
        <v>-5080.98</v>
      </c>
      <c r="L8314" s="70"/>
      <c r="M8314" s="934"/>
    </row>
    <row r="8315" ht="12.75" hidden="1" customHeight="1" outlineLevel="1">
      <c r="A8315" s="202">
        <v>42382.0</v>
      </c>
      <c r="B8315" s="985" t="s">
        <v>343</v>
      </c>
      <c r="C8315" s="94" t="s">
        <v>1185</v>
      </c>
      <c r="D8315" s="94">
        <v>50.0</v>
      </c>
      <c r="E8315" s="94">
        <v>364.26</v>
      </c>
      <c r="F8315" s="986">
        <v>0.41649305555555555</v>
      </c>
      <c r="G8315" s="94" t="s">
        <v>453</v>
      </c>
      <c r="H8315" s="987">
        <v>1.0</v>
      </c>
      <c r="I8315" s="988" t="s">
        <v>3145</v>
      </c>
      <c r="J8315" s="67">
        <f t="shared" si="488"/>
        <v>-18214</v>
      </c>
      <c r="L8315" s="70"/>
      <c r="M8315" s="934"/>
    </row>
    <row r="8316" ht="12.75" hidden="1" customHeight="1" outlineLevel="1">
      <c r="A8316" s="202">
        <v>42382.0</v>
      </c>
      <c r="B8316" s="985" t="s">
        <v>343</v>
      </c>
      <c r="C8316" s="94" t="s">
        <v>605</v>
      </c>
      <c r="D8316" s="94">
        <v>200.0</v>
      </c>
      <c r="E8316" s="94">
        <v>77.71</v>
      </c>
      <c r="F8316" s="986">
        <v>0.41957175925925927</v>
      </c>
      <c r="G8316" s="94" t="s">
        <v>453</v>
      </c>
      <c r="H8316" s="987">
        <v>1.0</v>
      </c>
      <c r="I8316" s="988" t="s">
        <v>3145</v>
      </c>
      <c r="J8316" s="67">
        <f t="shared" si="488"/>
        <v>-15543</v>
      </c>
      <c r="L8316" s="70"/>
      <c r="M8316" s="934"/>
    </row>
    <row r="8317" ht="12.75" hidden="1" customHeight="1" outlineLevel="1">
      <c r="A8317" s="202">
        <v>42382.0</v>
      </c>
      <c r="B8317" s="985" t="s">
        <v>347</v>
      </c>
      <c r="C8317" s="94" t="s">
        <v>1633</v>
      </c>
      <c r="D8317" s="286">
        <v>3500.0</v>
      </c>
      <c r="E8317" s="94">
        <v>6.06</v>
      </c>
      <c r="F8317" s="986">
        <v>0.4668865740740741</v>
      </c>
      <c r="G8317" s="94" t="s">
        <v>453</v>
      </c>
      <c r="H8317" s="987">
        <v>17.89</v>
      </c>
      <c r="I8317" s="988" t="s">
        <v>3145</v>
      </c>
      <c r="J8317" s="67">
        <f t="shared" si="488"/>
        <v>21192.11</v>
      </c>
      <c r="L8317" s="70"/>
      <c r="M8317" s="934"/>
    </row>
    <row r="8318" ht="12.75" hidden="1" customHeight="1" outlineLevel="1">
      <c r="A8318" s="202">
        <v>42383.0</v>
      </c>
      <c r="B8318" s="985" t="s">
        <v>347</v>
      </c>
      <c r="C8318" s="94" t="s">
        <v>1781</v>
      </c>
      <c r="D8318" s="286">
        <v>2000.0</v>
      </c>
      <c r="E8318" s="94">
        <v>7.8201</v>
      </c>
      <c r="F8318" s="986">
        <v>0.43179398148148146</v>
      </c>
      <c r="G8318" s="94" t="s">
        <v>453</v>
      </c>
      <c r="H8318" s="987">
        <v>8.29</v>
      </c>
      <c r="I8318" s="988" t="s">
        <v>3145</v>
      </c>
      <c r="J8318" s="67">
        <f t="shared" si="488"/>
        <v>15631.91</v>
      </c>
      <c r="L8318" s="70"/>
      <c r="M8318" s="934"/>
    </row>
    <row r="8319" ht="12.75" hidden="1" customHeight="1" outlineLevel="1">
      <c r="A8319" s="202">
        <v>42383.0</v>
      </c>
      <c r="B8319" s="985" t="s">
        <v>347</v>
      </c>
      <c r="C8319" s="94" t="s">
        <v>1781</v>
      </c>
      <c r="D8319" s="286">
        <v>1000.0</v>
      </c>
      <c r="E8319" s="94">
        <v>7.62</v>
      </c>
      <c r="F8319" s="986">
        <v>0.44377314814814817</v>
      </c>
      <c r="G8319" s="94" t="s">
        <v>453</v>
      </c>
      <c r="H8319" s="987">
        <v>5.14</v>
      </c>
      <c r="I8319" s="988" t="s">
        <v>3145</v>
      </c>
      <c r="J8319" s="67">
        <f t="shared" si="488"/>
        <v>7614.86</v>
      </c>
      <c r="L8319" s="70"/>
      <c r="M8319" s="934"/>
    </row>
    <row r="8320" ht="12.75" hidden="1" customHeight="1" outlineLevel="1">
      <c r="A8320" s="202">
        <v>42388.0</v>
      </c>
      <c r="B8320" s="985" t="s">
        <v>343</v>
      </c>
      <c r="C8320" s="94" t="s">
        <v>847</v>
      </c>
      <c r="D8320" s="94">
        <v>100.0</v>
      </c>
      <c r="E8320" s="94">
        <v>139.84</v>
      </c>
      <c r="F8320" s="986">
        <v>0.6523611111111111</v>
      </c>
      <c r="G8320" s="94" t="s">
        <v>453</v>
      </c>
      <c r="H8320" s="987">
        <v>1.0</v>
      </c>
      <c r="I8320" s="988" t="s">
        <v>3145</v>
      </c>
      <c r="J8320" s="67">
        <f t="shared" si="488"/>
        <v>-13985</v>
      </c>
      <c r="L8320" s="70"/>
      <c r="M8320" s="934"/>
    </row>
    <row r="8321" ht="12.75" hidden="1" customHeight="1" outlineLevel="1">
      <c r="A8321" s="202">
        <v>42388.0</v>
      </c>
      <c r="B8321" s="985" t="s">
        <v>343</v>
      </c>
      <c r="C8321" s="94" t="s">
        <v>1358</v>
      </c>
      <c r="D8321" s="94">
        <v>100.0</v>
      </c>
      <c r="E8321" s="94">
        <v>134.72</v>
      </c>
      <c r="F8321" s="986">
        <v>0.6525694444444444</v>
      </c>
      <c r="G8321" s="94" t="s">
        <v>453</v>
      </c>
      <c r="H8321" s="987">
        <v>1.0</v>
      </c>
      <c r="I8321" s="988" t="s">
        <v>3145</v>
      </c>
      <c r="J8321" s="67">
        <f t="shared" si="488"/>
        <v>-13473</v>
      </c>
      <c r="L8321" s="70"/>
      <c r="M8321" s="934"/>
    </row>
    <row r="8322" ht="12.75" hidden="1" customHeight="1" outlineLevel="1">
      <c r="A8322" s="202">
        <v>42388.0</v>
      </c>
      <c r="B8322" s="985" t="s">
        <v>343</v>
      </c>
      <c r="C8322" s="94" t="s">
        <v>605</v>
      </c>
      <c r="D8322" s="94">
        <v>200.0</v>
      </c>
      <c r="E8322" s="94">
        <v>78.81</v>
      </c>
      <c r="F8322" s="986">
        <v>0.6550462962962963</v>
      </c>
      <c r="G8322" s="94" t="s">
        <v>453</v>
      </c>
      <c r="H8322" s="987">
        <v>1.0</v>
      </c>
      <c r="I8322" s="988" t="s">
        <v>3145</v>
      </c>
      <c r="J8322" s="67">
        <f t="shared" si="488"/>
        <v>-15763</v>
      </c>
      <c r="L8322" s="70"/>
      <c r="M8322" s="934"/>
    </row>
    <row r="8323" ht="12.75" hidden="1" customHeight="1" outlineLevel="1">
      <c r="A8323" s="202">
        <v>42388.0</v>
      </c>
      <c r="B8323" s="985" t="s">
        <v>343</v>
      </c>
      <c r="C8323" s="94" t="s">
        <v>1082</v>
      </c>
      <c r="D8323" s="94">
        <v>50.0</v>
      </c>
      <c r="E8323" s="94">
        <v>714.89</v>
      </c>
      <c r="F8323" s="986">
        <v>0.6556712962962963</v>
      </c>
      <c r="G8323" s="94" t="s">
        <v>453</v>
      </c>
      <c r="H8323" s="987">
        <v>1.0</v>
      </c>
      <c r="I8323" s="988" t="s">
        <v>3145</v>
      </c>
      <c r="J8323" s="67">
        <f t="shared" si="488"/>
        <v>-35745.5</v>
      </c>
      <c r="L8323" s="70"/>
      <c r="M8323" s="934"/>
    </row>
    <row r="8324" ht="12.75" hidden="1" customHeight="1" outlineLevel="1">
      <c r="A8324" s="202">
        <v>42388.0</v>
      </c>
      <c r="B8324" s="985" t="s">
        <v>343</v>
      </c>
      <c r="C8324" s="94" t="s">
        <v>1056</v>
      </c>
      <c r="D8324" s="94">
        <v>75.0</v>
      </c>
      <c r="E8324" s="94">
        <v>236.0789</v>
      </c>
      <c r="F8324" s="986">
        <v>0.6560069444444444</v>
      </c>
      <c r="G8324" s="94" t="s">
        <v>453</v>
      </c>
      <c r="H8324" s="987">
        <v>1.0</v>
      </c>
      <c r="I8324" s="988" t="s">
        <v>3145</v>
      </c>
      <c r="J8324" s="67">
        <f t="shared" si="488"/>
        <v>-17706.9175</v>
      </c>
      <c r="L8324" s="70"/>
      <c r="M8324" s="934"/>
    </row>
    <row r="8325" ht="12.75" hidden="1" customHeight="1" outlineLevel="1">
      <c r="A8325" s="202">
        <v>42388.0</v>
      </c>
      <c r="B8325" s="985" t="s">
        <v>343</v>
      </c>
      <c r="C8325" s="94" t="s">
        <v>3040</v>
      </c>
      <c r="D8325" s="94">
        <v>100.0</v>
      </c>
      <c r="E8325" s="94">
        <v>127.76</v>
      </c>
      <c r="F8325" s="986">
        <v>0.6566782407407408</v>
      </c>
      <c r="G8325" s="94" t="s">
        <v>453</v>
      </c>
      <c r="H8325" s="987">
        <v>1.0</v>
      </c>
      <c r="I8325" s="988" t="s">
        <v>3145</v>
      </c>
      <c r="J8325" s="67">
        <f t="shared" si="488"/>
        <v>-12777</v>
      </c>
      <c r="L8325" s="70"/>
      <c r="M8325" s="934"/>
    </row>
    <row r="8326" ht="12.75" hidden="1" customHeight="1" outlineLevel="1">
      <c r="A8326" s="202">
        <v>42388.0</v>
      </c>
      <c r="B8326" s="985" t="s">
        <v>347</v>
      </c>
      <c r="C8326" s="94" t="s">
        <v>1082</v>
      </c>
      <c r="D8326" s="94">
        <v>25.0</v>
      </c>
      <c r="E8326" s="94">
        <v>715.04</v>
      </c>
      <c r="F8326" s="986">
        <v>0.6592824074074074</v>
      </c>
      <c r="G8326" s="94" t="s">
        <v>453</v>
      </c>
      <c r="H8326" s="987">
        <v>1.33</v>
      </c>
      <c r="I8326" s="988" t="s">
        <v>3145</v>
      </c>
      <c r="J8326" s="67">
        <f t="shared" si="488"/>
        <v>17874.67</v>
      </c>
      <c r="L8326" s="70"/>
      <c r="M8326" s="934"/>
    </row>
    <row r="8327" ht="12.75" hidden="1" customHeight="1" outlineLevel="1">
      <c r="A8327" s="990">
        <v>42388.0</v>
      </c>
      <c r="B8327" s="992"/>
      <c r="C8327" s="32" t="s">
        <v>339</v>
      </c>
      <c r="D8327" s="1"/>
      <c r="F8327" s="1"/>
      <c r="G8327" s="1"/>
      <c r="H8327" s="68"/>
      <c r="I8327" s="76"/>
      <c r="K8327" s="994" t="s">
        <v>3280</v>
      </c>
      <c r="L8327" s="934"/>
      <c r="M8327" s="934"/>
    </row>
    <row r="8328" ht="12.75" hidden="1" customHeight="1" outlineLevel="1">
      <c r="A8328" s="990">
        <v>42388.0</v>
      </c>
      <c r="B8328" s="992"/>
      <c r="C8328" s="32" t="s">
        <v>429</v>
      </c>
      <c r="D8328" s="1"/>
      <c r="F8328" s="1"/>
      <c r="G8328" s="1"/>
      <c r="H8328" s="68"/>
      <c r="I8328" s="76"/>
      <c r="K8328" s="9" t="s">
        <v>3187</v>
      </c>
      <c r="L8328" s="934"/>
      <c r="M8328" s="934"/>
    </row>
    <row r="8329" ht="12.75" hidden="1" customHeight="1" outlineLevel="1">
      <c r="A8329" s="990">
        <v>42388.0</v>
      </c>
      <c r="B8329" s="992"/>
      <c r="C8329" s="32" t="s">
        <v>431</v>
      </c>
      <c r="D8329" s="1"/>
      <c r="F8329" s="1"/>
      <c r="G8329" s="1"/>
      <c r="H8329" s="68"/>
      <c r="I8329" s="76"/>
      <c r="K8329" s="7" t="s">
        <v>1126</v>
      </c>
      <c r="L8329" s="934"/>
      <c r="M8329" s="934"/>
    </row>
    <row r="8330" ht="12.75" hidden="1" customHeight="1" outlineLevel="1">
      <c r="A8330" s="990">
        <v>42388.0</v>
      </c>
      <c r="B8330" s="992"/>
      <c r="C8330" s="32" t="s">
        <v>433</v>
      </c>
      <c r="D8330" s="1"/>
      <c r="F8330" s="1"/>
      <c r="G8330" s="1"/>
      <c r="H8330" s="68"/>
      <c r="I8330" s="76"/>
      <c r="K8330" s="7" t="s">
        <v>1103</v>
      </c>
      <c r="L8330" s="934"/>
      <c r="M8330" s="934"/>
    </row>
    <row r="8331" ht="12.75" hidden="1" customHeight="1" outlineLevel="1">
      <c r="A8331" s="990">
        <v>42388.0</v>
      </c>
      <c r="B8331" s="992"/>
      <c r="C8331" s="32" t="s">
        <v>435</v>
      </c>
      <c r="D8331" s="1"/>
      <c r="F8331" s="1"/>
      <c r="G8331" s="1"/>
      <c r="H8331" s="68"/>
      <c r="I8331" s="76"/>
      <c r="K8331" s="9" t="s">
        <v>3134</v>
      </c>
      <c r="L8331" s="934"/>
      <c r="M8331" s="934"/>
    </row>
    <row r="8332" ht="12.75" hidden="1" customHeight="1" outlineLevel="1">
      <c r="A8332" s="202">
        <v>42389.0</v>
      </c>
      <c r="B8332" s="985" t="s">
        <v>343</v>
      </c>
      <c r="C8332" s="94" t="s">
        <v>2342</v>
      </c>
      <c r="D8332" s="94">
        <v>100.0</v>
      </c>
      <c r="E8332" s="94">
        <v>51.387</v>
      </c>
      <c r="F8332" s="986">
        <v>0.623912037037037</v>
      </c>
      <c r="G8332" s="94" t="s">
        <v>453</v>
      </c>
      <c r="H8332" s="987">
        <v>1.0</v>
      </c>
      <c r="I8332" s="988" t="s">
        <v>3145</v>
      </c>
      <c r="J8332" s="67">
        <f t="shared" ref="J8332:J8344" si="489">IF(B8332="SLD",D8332*E8332,-D8332*E8332)-H8332</f>
        <v>-5139.7</v>
      </c>
      <c r="L8332" s="70"/>
      <c r="M8332" s="934"/>
    </row>
    <row r="8333" ht="12.75" hidden="1" customHeight="1" outlineLevel="1">
      <c r="A8333" s="202">
        <v>42389.0</v>
      </c>
      <c r="B8333" s="985" t="s">
        <v>343</v>
      </c>
      <c r="C8333" s="94" t="s">
        <v>1345</v>
      </c>
      <c r="D8333" s="94">
        <v>35.0</v>
      </c>
      <c r="E8333" s="94">
        <v>154.47</v>
      </c>
      <c r="F8333" s="986">
        <v>0.6240277777777777</v>
      </c>
      <c r="G8333" s="94" t="s">
        <v>453</v>
      </c>
      <c r="H8333" s="987">
        <v>1.0</v>
      </c>
      <c r="I8333" s="988" t="s">
        <v>3145</v>
      </c>
      <c r="J8333" s="67">
        <f t="shared" si="489"/>
        <v>-5407.45</v>
      </c>
      <c r="L8333" s="70"/>
      <c r="M8333" s="934"/>
    </row>
    <row r="8334" ht="12.75" hidden="1" customHeight="1" outlineLevel="1">
      <c r="A8334" s="202">
        <v>42389.0</v>
      </c>
      <c r="B8334" s="985" t="s">
        <v>343</v>
      </c>
      <c r="C8334" s="94" t="s">
        <v>1310</v>
      </c>
      <c r="D8334" s="94">
        <v>20.0</v>
      </c>
      <c r="E8334" s="94">
        <v>295.98</v>
      </c>
      <c r="F8334" s="986">
        <v>0.6242476851851851</v>
      </c>
      <c r="G8334" s="94" t="s">
        <v>453</v>
      </c>
      <c r="H8334" s="987">
        <v>1.0</v>
      </c>
      <c r="I8334" s="988" t="s">
        <v>3145</v>
      </c>
      <c r="J8334" s="67">
        <f t="shared" si="489"/>
        <v>-5920.6</v>
      </c>
      <c r="L8334" s="70"/>
      <c r="M8334" s="934"/>
    </row>
    <row r="8335" ht="12.75" hidden="1" customHeight="1" outlineLevel="1">
      <c r="A8335" s="202">
        <v>42389.0</v>
      </c>
      <c r="B8335" s="985" t="s">
        <v>343</v>
      </c>
      <c r="C8335" s="94" t="s">
        <v>2084</v>
      </c>
      <c r="D8335" s="286">
        <v>9500.0</v>
      </c>
      <c r="E8335" s="94">
        <v>7.31</v>
      </c>
      <c r="F8335" s="986">
        <v>0.637800925925926</v>
      </c>
      <c r="G8335" s="94" t="s">
        <v>453</v>
      </c>
      <c r="H8335" s="987">
        <v>42.7</v>
      </c>
      <c r="I8335" s="988" t="s">
        <v>3145</v>
      </c>
      <c r="J8335" s="67">
        <f t="shared" si="489"/>
        <v>-69487.7</v>
      </c>
      <c r="L8335" s="70"/>
      <c r="M8335" s="934"/>
    </row>
    <row r="8336" ht="12.75" hidden="1" customHeight="1" outlineLevel="1">
      <c r="A8336" s="202">
        <v>42389.0</v>
      </c>
      <c r="B8336" s="985" t="s">
        <v>343</v>
      </c>
      <c r="C8336" s="94" t="s">
        <v>1821</v>
      </c>
      <c r="D8336" s="286">
        <v>2900.0</v>
      </c>
      <c r="E8336" s="94">
        <v>22.669</v>
      </c>
      <c r="F8336" s="986">
        <v>0.6381018518518519</v>
      </c>
      <c r="G8336" s="94" t="s">
        <v>453</v>
      </c>
      <c r="H8336" s="987">
        <v>13.6</v>
      </c>
      <c r="I8336" s="988" t="s">
        <v>3145</v>
      </c>
      <c r="J8336" s="67">
        <f t="shared" si="489"/>
        <v>-65753.7</v>
      </c>
      <c r="L8336" s="70"/>
      <c r="M8336" s="934"/>
    </row>
    <row r="8337" ht="12.75" hidden="1" customHeight="1" outlineLevel="1">
      <c r="A8337" s="202">
        <v>42389.0</v>
      </c>
      <c r="B8337" s="985" t="s">
        <v>343</v>
      </c>
      <c r="C8337" s="94" t="s">
        <v>1902</v>
      </c>
      <c r="D8337" s="286">
        <v>3000.0</v>
      </c>
      <c r="E8337" s="94">
        <v>5.787</v>
      </c>
      <c r="F8337" s="986">
        <v>0.6386689814814814</v>
      </c>
      <c r="G8337" s="94" t="s">
        <v>453</v>
      </c>
      <c r="H8337" s="987">
        <v>13.3</v>
      </c>
      <c r="I8337" s="988" t="s">
        <v>3145</v>
      </c>
      <c r="J8337" s="67">
        <f t="shared" si="489"/>
        <v>-17374.3</v>
      </c>
      <c r="L8337" s="70"/>
      <c r="M8337" s="934"/>
    </row>
    <row r="8338" ht="12.75" hidden="1" customHeight="1" outlineLevel="1">
      <c r="A8338" s="202">
        <v>42389.0</v>
      </c>
      <c r="B8338" s="985" t="s">
        <v>343</v>
      </c>
      <c r="C8338" s="94" t="s">
        <v>1893</v>
      </c>
      <c r="D8338" s="286">
        <v>4500.0</v>
      </c>
      <c r="E8338" s="94">
        <v>4.05</v>
      </c>
      <c r="F8338" s="986">
        <v>0.6389814814814815</v>
      </c>
      <c r="G8338" s="94" t="s">
        <v>453</v>
      </c>
      <c r="H8338" s="987">
        <v>20.6</v>
      </c>
      <c r="I8338" s="988" t="s">
        <v>3145</v>
      </c>
      <c r="J8338" s="67">
        <f t="shared" si="489"/>
        <v>-18245.6</v>
      </c>
      <c r="L8338" s="70"/>
      <c r="M8338" s="934"/>
    </row>
    <row r="8339" ht="12.75" hidden="1" customHeight="1" outlineLevel="1">
      <c r="A8339" s="202">
        <v>42389.0</v>
      </c>
      <c r="B8339" s="985" t="s">
        <v>343</v>
      </c>
      <c r="C8339" s="94" t="s">
        <v>1890</v>
      </c>
      <c r="D8339" s="286">
        <v>2500.0</v>
      </c>
      <c r="E8339" s="94">
        <v>9.96</v>
      </c>
      <c r="F8339" s="986">
        <v>0.6392824074074074</v>
      </c>
      <c r="G8339" s="94" t="s">
        <v>453</v>
      </c>
      <c r="H8339" s="987">
        <v>12.3</v>
      </c>
      <c r="I8339" s="988" t="s">
        <v>3145</v>
      </c>
      <c r="J8339" s="67">
        <f t="shared" si="489"/>
        <v>-24912.3</v>
      </c>
      <c r="L8339" s="70"/>
      <c r="M8339" s="934"/>
    </row>
    <row r="8340" ht="12.75" hidden="1" customHeight="1" outlineLevel="1">
      <c r="A8340" s="202">
        <v>42389.0</v>
      </c>
      <c r="B8340" s="985" t="s">
        <v>343</v>
      </c>
      <c r="C8340" s="94" t="s">
        <v>2090</v>
      </c>
      <c r="D8340" s="286">
        <v>8000.0</v>
      </c>
      <c r="E8340" s="94">
        <v>3.55</v>
      </c>
      <c r="F8340" s="986">
        <v>0.6395949074074074</v>
      </c>
      <c r="G8340" s="94" t="s">
        <v>453</v>
      </c>
      <c r="H8340" s="987">
        <v>39.5</v>
      </c>
      <c r="I8340" s="988" t="s">
        <v>3145</v>
      </c>
      <c r="J8340" s="67">
        <f t="shared" si="489"/>
        <v>-28439.5</v>
      </c>
      <c r="L8340" s="70"/>
      <c r="M8340" s="934"/>
    </row>
    <row r="8341" ht="12.75" hidden="1" customHeight="1" outlineLevel="1">
      <c r="A8341" s="202">
        <v>42389.0</v>
      </c>
      <c r="B8341" s="985" t="s">
        <v>343</v>
      </c>
      <c r="C8341" s="94" t="s">
        <v>1633</v>
      </c>
      <c r="D8341" s="286">
        <v>4500.0</v>
      </c>
      <c r="E8341" s="94">
        <v>5.197</v>
      </c>
      <c r="F8341" s="986">
        <v>0.6403587962962963</v>
      </c>
      <c r="G8341" s="94" t="s">
        <v>453</v>
      </c>
      <c r="H8341" s="987">
        <v>20.0</v>
      </c>
      <c r="I8341" s="988" t="s">
        <v>3145</v>
      </c>
      <c r="J8341" s="67">
        <f t="shared" si="489"/>
        <v>-23406.5</v>
      </c>
      <c r="L8341" s="70"/>
      <c r="M8341" s="934"/>
    </row>
    <row r="8342" ht="12.75" hidden="1" customHeight="1" outlineLevel="1">
      <c r="A8342" s="202">
        <v>42389.0</v>
      </c>
      <c r="B8342" s="985" t="s">
        <v>343</v>
      </c>
      <c r="C8342" s="94" t="s">
        <v>784</v>
      </c>
      <c r="D8342" s="286">
        <v>10000.0</v>
      </c>
      <c r="E8342" s="94">
        <v>2.347</v>
      </c>
      <c r="F8342" s="986">
        <v>0.6407523148148148</v>
      </c>
      <c r="G8342" s="94" t="s">
        <v>453</v>
      </c>
      <c r="H8342" s="987">
        <v>42.2</v>
      </c>
      <c r="I8342" s="988" t="s">
        <v>3145</v>
      </c>
      <c r="J8342" s="67">
        <f t="shared" si="489"/>
        <v>-23512.2</v>
      </c>
      <c r="L8342" s="70"/>
      <c r="M8342" s="934"/>
    </row>
    <row r="8343" ht="12.75" hidden="1" customHeight="1" outlineLevel="1">
      <c r="A8343" s="202">
        <v>42389.0</v>
      </c>
      <c r="B8343" s="985" t="s">
        <v>343</v>
      </c>
      <c r="C8343" s="94" t="s">
        <v>1781</v>
      </c>
      <c r="D8343" s="286">
        <v>6000.0</v>
      </c>
      <c r="E8343" s="94">
        <v>8.189</v>
      </c>
      <c r="F8343" s="986">
        <v>0.6414004629629629</v>
      </c>
      <c r="G8343" s="94" t="s">
        <v>453</v>
      </c>
      <c r="H8343" s="987">
        <v>26.7</v>
      </c>
      <c r="I8343" s="988" t="s">
        <v>3145</v>
      </c>
      <c r="J8343" s="67">
        <f t="shared" si="489"/>
        <v>-49160.7</v>
      </c>
      <c r="L8343" s="70"/>
      <c r="M8343" s="934"/>
    </row>
    <row r="8344" ht="12.75" hidden="1" customHeight="1" outlineLevel="1">
      <c r="A8344" s="202">
        <v>42389.0</v>
      </c>
      <c r="B8344" s="985" t="s">
        <v>343</v>
      </c>
      <c r="C8344" s="94" t="s">
        <v>790</v>
      </c>
      <c r="D8344" s="286">
        <v>14000.0</v>
      </c>
      <c r="E8344" s="94">
        <v>2.999</v>
      </c>
      <c r="F8344" s="986">
        <v>0.6419560185185185</v>
      </c>
      <c r="G8344" s="94" t="s">
        <v>453</v>
      </c>
      <c r="H8344" s="987">
        <v>62.9</v>
      </c>
      <c r="I8344" s="988" t="s">
        <v>3145</v>
      </c>
      <c r="J8344" s="67">
        <f t="shared" si="489"/>
        <v>-42048.9</v>
      </c>
      <c r="L8344" s="70"/>
      <c r="M8344" s="934"/>
    </row>
    <row r="8345" ht="12.75" hidden="1" customHeight="1" outlineLevel="1">
      <c r="A8345" s="990">
        <v>42389.0</v>
      </c>
      <c r="B8345" s="992"/>
      <c r="C8345" s="32" t="s">
        <v>339</v>
      </c>
      <c r="D8345" s="1"/>
      <c r="F8345" s="1"/>
      <c r="G8345" s="1"/>
      <c r="H8345" s="68"/>
      <c r="I8345" s="76"/>
      <c r="K8345" s="994" t="s">
        <v>3284</v>
      </c>
      <c r="L8345" s="934"/>
      <c r="M8345" s="934"/>
    </row>
    <row r="8346" ht="12.75" hidden="1" customHeight="1" outlineLevel="1">
      <c r="A8346" s="990">
        <v>42389.0</v>
      </c>
      <c r="B8346" s="992"/>
      <c r="C8346" s="32" t="s">
        <v>429</v>
      </c>
      <c r="D8346" s="1"/>
      <c r="F8346" s="1"/>
      <c r="G8346" s="1"/>
      <c r="H8346" s="68"/>
      <c r="I8346" s="76"/>
      <c r="K8346" s="9" t="s">
        <v>3187</v>
      </c>
      <c r="L8346" s="934"/>
      <c r="M8346" s="934"/>
    </row>
    <row r="8347" ht="12.75" hidden="1" customHeight="1" outlineLevel="1">
      <c r="A8347" s="990">
        <v>42389.0</v>
      </c>
      <c r="B8347" s="992"/>
      <c r="C8347" s="32" t="s">
        <v>431</v>
      </c>
      <c r="D8347" s="1"/>
      <c r="F8347" s="1"/>
      <c r="G8347" s="1"/>
      <c r="H8347" s="68"/>
      <c r="I8347" s="76"/>
      <c r="K8347" s="7" t="s">
        <v>1126</v>
      </c>
      <c r="L8347" s="934"/>
      <c r="M8347" s="934"/>
    </row>
    <row r="8348" ht="12.75" hidden="1" customHeight="1" outlineLevel="1">
      <c r="A8348" s="990">
        <v>42389.0</v>
      </c>
      <c r="B8348" s="992"/>
      <c r="C8348" s="32" t="s">
        <v>433</v>
      </c>
      <c r="D8348" s="1"/>
      <c r="F8348" s="1"/>
      <c r="G8348" s="1"/>
      <c r="H8348" s="68"/>
      <c r="I8348" s="76"/>
      <c r="K8348" s="7" t="s">
        <v>1103</v>
      </c>
      <c r="L8348" s="934"/>
      <c r="M8348" s="934"/>
    </row>
    <row r="8349" ht="12.75" hidden="1" customHeight="1" outlineLevel="1">
      <c r="A8349" s="990">
        <v>42389.0</v>
      </c>
      <c r="B8349" s="992"/>
      <c r="C8349" s="32" t="s">
        <v>435</v>
      </c>
      <c r="D8349" s="1"/>
      <c r="F8349" s="1"/>
      <c r="G8349" s="1"/>
      <c r="H8349" s="68"/>
      <c r="I8349" s="76"/>
      <c r="K8349" s="9" t="s">
        <v>3134</v>
      </c>
      <c r="L8349" s="934"/>
      <c r="M8349" s="934"/>
    </row>
    <row r="8350" ht="12.75" hidden="1" customHeight="1" outlineLevel="1">
      <c r="A8350" s="202">
        <v>42390.0</v>
      </c>
      <c r="B8350" s="985" t="s">
        <v>343</v>
      </c>
      <c r="C8350" s="94" t="s">
        <v>1938</v>
      </c>
      <c r="D8350" s="286">
        <v>4500.0</v>
      </c>
      <c r="E8350" s="94">
        <v>13.73</v>
      </c>
      <c r="F8350" s="986">
        <v>0.4243402777777778</v>
      </c>
      <c r="G8350" s="94" t="s">
        <v>453</v>
      </c>
      <c r="H8350" s="987">
        <v>22.5</v>
      </c>
      <c r="I8350" s="988" t="s">
        <v>3145</v>
      </c>
      <c r="J8350" s="67">
        <f t="shared" ref="J8350:J8392" si="490">IF(B8350="SLD",D8350*E8350,-D8350*E8350)-H8350</f>
        <v>-61807.5</v>
      </c>
      <c r="L8350" s="70"/>
      <c r="M8350" s="934"/>
    </row>
    <row r="8351" ht="12.75" hidden="1" customHeight="1" outlineLevel="1">
      <c r="A8351" s="202">
        <v>42390.0</v>
      </c>
      <c r="B8351" s="985" t="s">
        <v>343</v>
      </c>
      <c r="C8351" s="94" t="s">
        <v>3024</v>
      </c>
      <c r="D8351" s="286">
        <v>2500.0</v>
      </c>
      <c r="E8351" s="94">
        <v>13.589</v>
      </c>
      <c r="F8351" s="986">
        <v>0.425</v>
      </c>
      <c r="G8351" s="94" t="s">
        <v>453</v>
      </c>
      <c r="H8351" s="987">
        <v>10.0</v>
      </c>
      <c r="I8351" s="988" t="s">
        <v>3145</v>
      </c>
      <c r="J8351" s="67">
        <f t="shared" si="490"/>
        <v>-33982.5</v>
      </c>
      <c r="L8351" s="70"/>
      <c r="M8351" s="934"/>
    </row>
    <row r="8352" ht="12.75" hidden="1" customHeight="1" outlineLevel="1">
      <c r="A8352" s="202">
        <v>42390.0</v>
      </c>
      <c r="B8352" s="985" t="s">
        <v>343</v>
      </c>
      <c r="C8352" s="94" t="s">
        <v>1905</v>
      </c>
      <c r="D8352" s="286">
        <v>3500.0</v>
      </c>
      <c r="E8352" s="94">
        <v>11.062</v>
      </c>
      <c r="F8352" s="986">
        <v>0.4256597222222222</v>
      </c>
      <c r="G8352" s="94" t="s">
        <v>453</v>
      </c>
      <c r="H8352" s="987">
        <v>16.1</v>
      </c>
      <c r="I8352" s="988" t="s">
        <v>3145</v>
      </c>
      <c r="J8352" s="67">
        <f t="shared" si="490"/>
        <v>-38733.1</v>
      </c>
      <c r="L8352" s="70"/>
      <c r="M8352" s="934"/>
    </row>
    <row r="8353" ht="12.75" hidden="1" customHeight="1" outlineLevel="1">
      <c r="A8353" s="202">
        <v>42390.0</v>
      </c>
      <c r="B8353" s="985" t="s">
        <v>343</v>
      </c>
      <c r="C8353" s="94" t="s">
        <v>2210</v>
      </c>
      <c r="D8353" s="94">
        <v>600.0</v>
      </c>
      <c r="E8353" s="94">
        <v>56.409</v>
      </c>
      <c r="F8353" s="986">
        <v>0.42659722222222224</v>
      </c>
      <c r="G8353" s="94" t="s">
        <v>453</v>
      </c>
      <c r="H8353" s="987">
        <v>2.4</v>
      </c>
      <c r="I8353" s="988" t="s">
        <v>3145</v>
      </c>
      <c r="J8353" s="67">
        <f t="shared" si="490"/>
        <v>-33847.8</v>
      </c>
      <c r="L8353" s="70"/>
      <c r="M8353" s="934"/>
    </row>
    <row r="8354" ht="12.75" hidden="1" customHeight="1" outlineLevel="1">
      <c r="A8354" s="202">
        <v>42390.0</v>
      </c>
      <c r="B8354" s="985" t="s">
        <v>343</v>
      </c>
      <c r="C8354" s="94" t="s">
        <v>1947</v>
      </c>
      <c r="D8354" s="94">
        <v>800.0</v>
      </c>
      <c r="E8354" s="94">
        <v>29.539</v>
      </c>
      <c r="F8354" s="986">
        <v>0.4277314814814815</v>
      </c>
      <c r="G8354" s="94" t="s">
        <v>453</v>
      </c>
      <c r="H8354" s="987">
        <v>3.2</v>
      </c>
      <c r="I8354" s="988" t="s">
        <v>3145</v>
      </c>
      <c r="J8354" s="67">
        <f t="shared" si="490"/>
        <v>-23634.4</v>
      </c>
      <c r="L8354" s="70"/>
      <c r="M8354" s="934"/>
    </row>
    <row r="8355" ht="12.75" hidden="1" customHeight="1" outlineLevel="1">
      <c r="A8355" s="202">
        <v>42390.0</v>
      </c>
      <c r="B8355" s="985" t="s">
        <v>343</v>
      </c>
      <c r="C8355" s="94" t="s">
        <v>1633</v>
      </c>
      <c r="D8355" s="286">
        <v>1500.0</v>
      </c>
      <c r="E8355" s="94">
        <v>5.519</v>
      </c>
      <c r="F8355" s="986">
        <v>0.4483912037037037</v>
      </c>
      <c r="G8355" s="94" t="s">
        <v>453</v>
      </c>
      <c r="H8355" s="987">
        <v>6.0</v>
      </c>
      <c r="I8355" s="988" t="s">
        <v>3145</v>
      </c>
      <c r="J8355" s="67">
        <f t="shared" si="490"/>
        <v>-8284.5</v>
      </c>
      <c r="L8355" s="70"/>
      <c r="M8355" s="934"/>
    </row>
    <row r="8356" ht="12.75" hidden="1" customHeight="1" outlineLevel="1">
      <c r="A8356" s="202">
        <v>42390.0</v>
      </c>
      <c r="B8356" s="985" t="s">
        <v>343</v>
      </c>
      <c r="C8356" s="94" t="s">
        <v>790</v>
      </c>
      <c r="D8356" s="286">
        <v>3000.0</v>
      </c>
      <c r="E8356" s="94">
        <v>3.009</v>
      </c>
      <c r="F8356" s="986">
        <v>0.44893518518518516</v>
      </c>
      <c r="G8356" s="94" t="s">
        <v>453</v>
      </c>
      <c r="H8356" s="987">
        <v>12.0</v>
      </c>
      <c r="I8356" s="988" t="s">
        <v>3145</v>
      </c>
      <c r="J8356" s="67">
        <f t="shared" si="490"/>
        <v>-9039</v>
      </c>
      <c r="L8356" s="70"/>
      <c r="M8356" s="934"/>
    </row>
    <row r="8357" ht="12.75" hidden="1" customHeight="1" outlineLevel="1">
      <c r="A8357" s="202">
        <v>42390.0</v>
      </c>
      <c r="B8357" s="985" t="s">
        <v>343</v>
      </c>
      <c r="C8357" s="94" t="s">
        <v>2090</v>
      </c>
      <c r="D8357" s="286">
        <v>4000.0</v>
      </c>
      <c r="E8357" s="94">
        <v>3.85</v>
      </c>
      <c r="F8357" s="986">
        <v>0.5030324074074074</v>
      </c>
      <c r="G8357" s="94" t="s">
        <v>453</v>
      </c>
      <c r="H8357" s="987">
        <v>19.3</v>
      </c>
      <c r="I8357" s="988" t="s">
        <v>3145</v>
      </c>
      <c r="J8357" s="67">
        <f t="shared" si="490"/>
        <v>-15419.3</v>
      </c>
      <c r="L8357" s="70"/>
      <c r="M8357" s="934"/>
    </row>
    <row r="8358" ht="12.75" hidden="1" customHeight="1" outlineLevel="1">
      <c r="A8358" s="202">
        <v>42390.0</v>
      </c>
      <c r="B8358" s="985" t="s">
        <v>343</v>
      </c>
      <c r="C8358" s="94" t="s">
        <v>784</v>
      </c>
      <c r="D8358" s="286">
        <v>5000.0</v>
      </c>
      <c r="E8358" s="94">
        <v>2.389</v>
      </c>
      <c r="F8358" s="986">
        <v>0.503125</v>
      </c>
      <c r="G8358" s="94" t="s">
        <v>453</v>
      </c>
      <c r="H8358" s="987">
        <v>21.7</v>
      </c>
      <c r="I8358" s="988" t="s">
        <v>3145</v>
      </c>
      <c r="J8358" s="67">
        <f t="shared" si="490"/>
        <v>-11966.7</v>
      </c>
      <c r="L8358" s="70"/>
      <c r="M8358" s="934"/>
    </row>
    <row r="8359" ht="12.75" hidden="1" customHeight="1" outlineLevel="1">
      <c r="A8359" s="202">
        <v>42390.0</v>
      </c>
      <c r="B8359" s="985" t="s">
        <v>343</v>
      </c>
      <c r="C8359" s="94" t="s">
        <v>790</v>
      </c>
      <c r="D8359" s="286">
        <v>3500.0</v>
      </c>
      <c r="E8359" s="94">
        <v>3.0899</v>
      </c>
      <c r="F8359" s="986">
        <v>0.5032175925925926</v>
      </c>
      <c r="G8359" s="94" t="s">
        <v>453</v>
      </c>
      <c r="H8359" s="987">
        <v>14.0</v>
      </c>
      <c r="I8359" s="988" t="s">
        <v>3145</v>
      </c>
      <c r="J8359" s="67">
        <f t="shared" si="490"/>
        <v>-10828.65</v>
      </c>
      <c r="L8359" s="70"/>
      <c r="M8359" s="934"/>
    </row>
    <row r="8360" ht="12.75" hidden="1" customHeight="1" outlineLevel="1">
      <c r="A8360" s="202">
        <v>42390.0</v>
      </c>
      <c r="B8360" s="985" t="s">
        <v>343</v>
      </c>
      <c r="C8360" s="94" t="s">
        <v>1947</v>
      </c>
      <c r="D8360" s="94">
        <v>350.0</v>
      </c>
      <c r="E8360" s="94">
        <v>29.3797</v>
      </c>
      <c r="F8360" s="986">
        <v>0.5036226851851852</v>
      </c>
      <c r="G8360" s="94" t="s">
        <v>453</v>
      </c>
      <c r="H8360" s="987">
        <v>1.4</v>
      </c>
      <c r="I8360" s="988" t="s">
        <v>3145</v>
      </c>
      <c r="J8360" s="67">
        <f t="shared" si="490"/>
        <v>-10284.295</v>
      </c>
      <c r="L8360" s="70"/>
      <c r="M8360" s="934"/>
    </row>
    <row r="8361" ht="12.75" hidden="1" customHeight="1" outlineLevel="1">
      <c r="A8361" s="202">
        <v>42390.0</v>
      </c>
      <c r="B8361" s="985" t="s">
        <v>343</v>
      </c>
      <c r="C8361" s="94" t="s">
        <v>1893</v>
      </c>
      <c r="D8361" s="286">
        <v>2250.0</v>
      </c>
      <c r="E8361" s="94">
        <v>4.369</v>
      </c>
      <c r="F8361" s="986">
        <v>0.5041319444444444</v>
      </c>
      <c r="G8361" s="94" t="s">
        <v>453</v>
      </c>
      <c r="H8361" s="987">
        <v>9.8</v>
      </c>
      <c r="I8361" s="988" t="s">
        <v>3145</v>
      </c>
      <c r="J8361" s="67">
        <f t="shared" si="490"/>
        <v>-9840.05</v>
      </c>
      <c r="L8361" s="70"/>
      <c r="M8361" s="934"/>
    </row>
    <row r="8362" ht="12.75" hidden="1" customHeight="1" outlineLevel="1">
      <c r="A8362" s="202">
        <v>42390.0</v>
      </c>
      <c r="B8362" s="985" t="s">
        <v>343</v>
      </c>
      <c r="C8362" s="94" t="s">
        <v>1902</v>
      </c>
      <c r="D8362" s="286">
        <v>1500.0</v>
      </c>
      <c r="E8362" s="94">
        <v>5.955</v>
      </c>
      <c r="F8362" s="986">
        <v>0.5042708333333333</v>
      </c>
      <c r="G8362" s="94" t="s">
        <v>453</v>
      </c>
      <c r="H8362" s="987">
        <v>6.0</v>
      </c>
      <c r="I8362" s="988" t="s">
        <v>3145</v>
      </c>
      <c r="J8362" s="67">
        <f t="shared" si="490"/>
        <v>-8938.5</v>
      </c>
      <c r="L8362" s="70"/>
      <c r="M8362" s="934"/>
    </row>
    <row r="8363" ht="12.75" hidden="1" customHeight="1" outlineLevel="1">
      <c r="A8363" s="202">
        <v>42390.0</v>
      </c>
      <c r="B8363" s="985" t="s">
        <v>343</v>
      </c>
      <c r="C8363" s="94" t="s">
        <v>3024</v>
      </c>
      <c r="D8363" s="94">
        <v>750.0</v>
      </c>
      <c r="E8363" s="94">
        <v>13.569</v>
      </c>
      <c r="F8363" s="986">
        <v>0.5049421296296296</v>
      </c>
      <c r="G8363" s="94" t="s">
        <v>453</v>
      </c>
      <c r="H8363" s="987">
        <v>3.0</v>
      </c>
      <c r="I8363" s="988" t="s">
        <v>3145</v>
      </c>
      <c r="J8363" s="67">
        <f t="shared" si="490"/>
        <v>-10179.75</v>
      </c>
      <c r="L8363" s="70"/>
      <c r="M8363" s="934"/>
    </row>
    <row r="8364" ht="12.75" hidden="1" customHeight="1" outlineLevel="1">
      <c r="A8364" s="202">
        <v>42390.0</v>
      </c>
      <c r="B8364" s="985" t="s">
        <v>343</v>
      </c>
      <c r="C8364" s="94" t="s">
        <v>2210</v>
      </c>
      <c r="D8364" s="94">
        <v>150.0</v>
      </c>
      <c r="E8364" s="94">
        <v>57.05</v>
      </c>
      <c r="F8364" s="986">
        <v>0.5050462962962963</v>
      </c>
      <c r="G8364" s="94" t="s">
        <v>453</v>
      </c>
      <c r="H8364" s="987">
        <v>1.0</v>
      </c>
      <c r="I8364" s="988" t="s">
        <v>3145</v>
      </c>
      <c r="J8364" s="67">
        <f t="shared" si="490"/>
        <v>-8558.5</v>
      </c>
      <c r="L8364" s="70"/>
      <c r="M8364" s="934"/>
    </row>
    <row r="8365" ht="12.75" hidden="1" customHeight="1" outlineLevel="1">
      <c r="A8365" s="202">
        <v>42390.0</v>
      </c>
      <c r="B8365" s="985" t="s">
        <v>343</v>
      </c>
      <c r="C8365" s="94" t="s">
        <v>1890</v>
      </c>
      <c r="D8365" s="94">
        <v>750.0</v>
      </c>
      <c r="E8365" s="94">
        <v>10.299</v>
      </c>
      <c r="F8365" s="986">
        <v>0.5053703703703704</v>
      </c>
      <c r="G8365" s="94" t="s">
        <v>453</v>
      </c>
      <c r="H8365" s="987">
        <v>3.0</v>
      </c>
      <c r="I8365" s="988" t="s">
        <v>3145</v>
      </c>
      <c r="J8365" s="67">
        <f t="shared" si="490"/>
        <v>-7727.25</v>
      </c>
      <c r="L8365" s="70"/>
      <c r="M8365" s="934"/>
    </row>
    <row r="8366" ht="12.75" hidden="1" customHeight="1" outlineLevel="1">
      <c r="A8366" s="202">
        <v>42390.0</v>
      </c>
      <c r="B8366" s="985" t="s">
        <v>343</v>
      </c>
      <c r="C8366" s="94" t="s">
        <v>1633</v>
      </c>
      <c r="D8366" s="286">
        <v>1250.0</v>
      </c>
      <c r="E8366" s="94">
        <v>6.12</v>
      </c>
      <c r="F8366" s="986">
        <v>0.5055439814814815</v>
      </c>
      <c r="G8366" s="94" t="s">
        <v>453</v>
      </c>
      <c r="H8366" s="987">
        <v>5.5</v>
      </c>
      <c r="I8366" s="988" t="s">
        <v>3145</v>
      </c>
      <c r="J8366" s="67">
        <f t="shared" si="490"/>
        <v>-7655.5</v>
      </c>
      <c r="L8366" s="70"/>
      <c r="M8366" s="934"/>
    </row>
    <row r="8367" ht="12.75" hidden="1" customHeight="1" outlineLevel="1">
      <c r="A8367" s="202">
        <v>42390.0</v>
      </c>
      <c r="B8367" s="985" t="s">
        <v>343</v>
      </c>
      <c r="C8367" s="94" t="s">
        <v>1821</v>
      </c>
      <c r="D8367" s="94">
        <v>175.0</v>
      </c>
      <c r="E8367" s="94">
        <v>24.38</v>
      </c>
      <c r="F8367" s="986">
        <v>0.505636574074074</v>
      </c>
      <c r="G8367" s="94" t="s">
        <v>453</v>
      </c>
      <c r="H8367" s="987">
        <v>1.0</v>
      </c>
      <c r="I8367" s="988" t="s">
        <v>3145</v>
      </c>
      <c r="J8367" s="67">
        <f t="shared" si="490"/>
        <v>-4267.5</v>
      </c>
      <c r="L8367" s="70"/>
      <c r="M8367" s="934"/>
    </row>
    <row r="8368" ht="12.75" hidden="1" customHeight="1" outlineLevel="1">
      <c r="A8368" s="202">
        <v>42390.0</v>
      </c>
      <c r="B8368" s="985" t="s">
        <v>343</v>
      </c>
      <c r="C8368" s="94" t="s">
        <v>2084</v>
      </c>
      <c r="D8368" s="94">
        <v>500.0</v>
      </c>
      <c r="E8368" s="94">
        <v>8.5499</v>
      </c>
      <c r="F8368" s="986">
        <v>0.5057754629629629</v>
      </c>
      <c r="G8368" s="94" t="s">
        <v>453</v>
      </c>
      <c r="H8368" s="987">
        <v>2.0</v>
      </c>
      <c r="I8368" s="988" t="s">
        <v>3145</v>
      </c>
      <c r="J8368" s="67">
        <f t="shared" si="490"/>
        <v>-4276.95</v>
      </c>
      <c r="L8368" s="70"/>
      <c r="M8368" s="934"/>
    </row>
    <row r="8369" ht="12.75" hidden="1" customHeight="1" outlineLevel="1">
      <c r="A8369" s="202">
        <v>42390.0</v>
      </c>
      <c r="B8369" s="985" t="s">
        <v>343</v>
      </c>
      <c r="C8369" s="94" t="s">
        <v>1781</v>
      </c>
      <c r="D8369" s="94">
        <v>500.0</v>
      </c>
      <c r="E8369" s="94">
        <v>8.029</v>
      </c>
      <c r="F8369" s="986">
        <v>0.5059375</v>
      </c>
      <c r="G8369" s="94" t="s">
        <v>453</v>
      </c>
      <c r="H8369" s="987">
        <v>2.0</v>
      </c>
      <c r="I8369" s="988" t="s">
        <v>3145</v>
      </c>
      <c r="J8369" s="67">
        <f t="shared" si="490"/>
        <v>-4016.5</v>
      </c>
      <c r="L8369" s="70"/>
      <c r="M8369" s="934"/>
    </row>
    <row r="8370" ht="12.75" hidden="1" customHeight="1" outlineLevel="1">
      <c r="A8370" s="202">
        <v>42390.0</v>
      </c>
      <c r="B8370" s="985" t="s">
        <v>343</v>
      </c>
      <c r="C8370" s="94" t="s">
        <v>1938</v>
      </c>
      <c r="D8370" s="94">
        <v>250.0</v>
      </c>
      <c r="E8370" s="94">
        <v>14.417</v>
      </c>
      <c r="F8370" s="986">
        <v>0.5060185185185185</v>
      </c>
      <c r="G8370" s="94" t="s">
        <v>453</v>
      </c>
      <c r="H8370" s="987">
        <v>1.0</v>
      </c>
      <c r="I8370" s="988" t="s">
        <v>3145</v>
      </c>
      <c r="J8370" s="67">
        <f t="shared" si="490"/>
        <v>-3605.25</v>
      </c>
      <c r="L8370" s="70"/>
      <c r="M8370" s="934"/>
    </row>
    <row r="8371" ht="12.75" hidden="1" customHeight="1" outlineLevel="1">
      <c r="A8371" s="202">
        <v>42390.0</v>
      </c>
      <c r="B8371" s="985" t="s">
        <v>343</v>
      </c>
      <c r="C8371" s="94" t="s">
        <v>1905</v>
      </c>
      <c r="D8371" s="94">
        <v>750.0</v>
      </c>
      <c r="E8371" s="94">
        <v>11.859</v>
      </c>
      <c r="F8371" s="986">
        <v>0.5060763888888888</v>
      </c>
      <c r="G8371" s="94" t="s">
        <v>453</v>
      </c>
      <c r="H8371" s="987">
        <v>3.75</v>
      </c>
      <c r="I8371" s="988" t="s">
        <v>3145</v>
      </c>
      <c r="J8371" s="67">
        <f t="shared" si="490"/>
        <v>-8898</v>
      </c>
      <c r="L8371" s="70"/>
      <c r="M8371" s="934"/>
    </row>
    <row r="8372" ht="12.75" hidden="1" customHeight="1" outlineLevel="1">
      <c r="A8372" s="202">
        <v>42390.0</v>
      </c>
      <c r="B8372" s="985" t="s">
        <v>347</v>
      </c>
      <c r="C8372" s="94" t="s">
        <v>784</v>
      </c>
      <c r="D8372" s="286">
        <v>20000.0</v>
      </c>
      <c r="E8372" s="94">
        <v>2.223</v>
      </c>
      <c r="F8372" s="986">
        <v>0.6253587962962963</v>
      </c>
      <c r="G8372" s="94" t="s">
        <v>453</v>
      </c>
      <c r="H8372" s="987">
        <v>87.32</v>
      </c>
      <c r="I8372" s="988" t="s">
        <v>3145</v>
      </c>
      <c r="J8372" s="67">
        <f t="shared" si="490"/>
        <v>44372.68</v>
      </c>
      <c r="L8372" s="70"/>
      <c r="M8372" s="934"/>
    </row>
    <row r="8373" ht="12.75" hidden="1" customHeight="1" outlineLevel="1">
      <c r="A8373" s="202">
        <v>42390.0</v>
      </c>
      <c r="B8373" s="985" t="s">
        <v>347</v>
      </c>
      <c r="C8373" s="94" t="s">
        <v>3024</v>
      </c>
      <c r="D8373" s="94">
        <v>750.0</v>
      </c>
      <c r="E8373" s="94">
        <v>13.264</v>
      </c>
      <c r="F8373" s="986">
        <v>0.6314120370370371</v>
      </c>
      <c r="G8373" s="94" t="s">
        <v>453</v>
      </c>
      <c r="H8373" s="987">
        <v>3.93</v>
      </c>
      <c r="I8373" s="988" t="s">
        <v>3145</v>
      </c>
      <c r="J8373" s="67">
        <f t="shared" si="490"/>
        <v>9944.07</v>
      </c>
      <c r="L8373" s="70"/>
      <c r="M8373" s="934"/>
    </row>
    <row r="8374" ht="12.75" hidden="1" customHeight="1" outlineLevel="1">
      <c r="A8374" s="202">
        <v>42390.0</v>
      </c>
      <c r="B8374" s="985" t="s">
        <v>347</v>
      </c>
      <c r="C8374" s="94" t="s">
        <v>2210</v>
      </c>
      <c r="D8374" s="94">
        <v>150.0</v>
      </c>
      <c r="E8374" s="94">
        <v>56.33</v>
      </c>
      <c r="F8374" s="986">
        <v>0.6315277777777778</v>
      </c>
      <c r="G8374" s="94" t="s">
        <v>453</v>
      </c>
      <c r="H8374" s="987">
        <v>1.16</v>
      </c>
      <c r="I8374" s="988" t="s">
        <v>3145</v>
      </c>
      <c r="J8374" s="67">
        <f t="shared" si="490"/>
        <v>8448.34</v>
      </c>
      <c r="L8374" s="70"/>
      <c r="M8374" s="934"/>
    </row>
    <row r="8375" ht="12.75" hidden="1" customHeight="1" outlineLevel="1">
      <c r="A8375" s="202">
        <v>42390.0</v>
      </c>
      <c r="B8375" s="985" t="s">
        <v>347</v>
      </c>
      <c r="C8375" s="94" t="s">
        <v>784</v>
      </c>
      <c r="D8375" s="286">
        <v>10000.0</v>
      </c>
      <c r="E8375" s="94">
        <v>2.17</v>
      </c>
      <c r="F8375" s="986">
        <v>0.6409953703703704</v>
      </c>
      <c r="G8375" s="94" t="s">
        <v>453</v>
      </c>
      <c r="H8375" s="987">
        <v>49.8</v>
      </c>
      <c r="I8375" s="988" t="s">
        <v>3145</v>
      </c>
      <c r="J8375" s="67">
        <f t="shared" si="490"/>
        <v>21650.2</v>
      </c>
      <c r="L8375" s="70"/>
      <c r="M8375" s="934"/>
    </row>
    <row r="8376" ht="12.75" hidden="1" customHeight="1" outlineLevel="1">
      <c r="A8376" s="990">
        <v>42391.0</v>
      </c>
      <c r="B8376" s="985" t="s">
        <v>347</v>
      </c>
      <c r="C8376" s="94" t="s">
        <v>2084</v>
      </c>
      <c r="D8376" s="94">
        <v>500.0</v>
      </c>
      <c r="E8376" s="94">
        <v>8.56</v>
      </c>
      <c r="F8376" s="986">
        <v>0.423275462962963</v>
      </c>
      <c r="G8376" s="94" t="s">
        <v>453</v>
      </c>
      <c r="H8376" s="987">
        <v>2.58</v>
      </c>
      <c r="I8376" s="988" t="s">
        <v>3145</v>
      </c>
      <c r="J8376" s="67">
        <f t="shared" si="490"/>
        <v>4277.42</v>
      </c>
      <c r="L8376" s="70"/>
      <c r="M8376" s="934"/>
    </row>
    <row r="8377" ht="12.75" hidden="1" customHeight="1" outlineLevel="1">
      <c r="A8377" s="990">
        <v>42391.0</v>
      </c>
      <c r="B8377" s="985" t="s">
        <v>347</v>
      </c>
      <c r="C8377" s="94" t="s">
        <v>1905</v>
      </c>
      <c r="D8377" s="94">
        <v>250.0</v>
      </c>
      <c r="E8377" s="94">
        <v>16.2</v>
      </c>
      <c r="F8377" s="986">
        <v>0.42430555555555555</v>
      </c>
      <c r="G8377" s="94" t="s">
        <v>453</v>
      </c>
      <c r="H8377" s="987">
        <v>1.07</v>
      </c>
      <c r="I8377" s="988" t="s">
        <v>3145</v>
      </c>
      <c r="J8377" s="67">
        <f t="shared" si="490"/>
        <v>4048.93</v>
      </c>
      <c r="L8377" s="70"/>
      <c r="M8377" s="934"/>
    </row>
    <row r="8378" ht="12.75" hidden="1" customHeight="1" outlineLevel="1">
      <c r="A8378" s="990">
        <v>42391.0</v>
      </c>
      <c r="B8378" s="985" t="s">
        <v>347</v>
      </c>
      <c r="C8378" s="94" t="s">
        <v>1893</v>
      </c>
      <c r="D8378" s="286">
        <v>2750.0</v>
      </c>
      <c r="E8378" s="94">
        <v>4.271</v>
      </c>
      <c r="F8378" s="986">
        <v>0.4350115740740741</v>
      </c>
      <c r="G8378" s="94" t="s">
        <v>453</v>
      </c>
      <c r="H8378" s="987">
        <v>11.97</v>
      </c>
      <c r="I8378" s="988" t="s">
        <v>3145</v>
      </c>
      <c r="J8378" s="67">
        <f t="shared" si="490"/>
        <v>11733.28</v>
      </c>
      <c r="L8378" s="70"/>
      <c r="M8378" s="934"/>
    </row>
    <row r="8379" ht="12.75" hidden="1" customHeight="1" outlineLevel="1">
      <c r="A8379" s="990">
        <v>42391.0</v>
      </c>
      <c r="B8379" s="985" t="s">
        <v>347</v>
      </c>
      <c r="C8379" s="94" t="s">
        <v>1821</v>
      </c>
      <c r="D8379" s="94">
        <v>175.0</v>
      </c>
      <c r="E8379" s="94">
        <v>23.96</v>
      </c>
      <c r="F8379" s="986">
        <v>0.4394560185185185</v>
      </c>
      <c r="G8379" s="94" t="s">
        <v>453</v>
      </c>
      <c r="H8379" s="987">
        <v>1.08</v>
      </c>
      <c r="I8379" s="988" t="s">
        <v>3145</v>
      </c>
      <c r="J8379" s="67">
        <f t="shared" si="490"/>
        <v>4191.92</v>
      </c>
      <c r="L8379" s="70"/>
      <c r="M8379" s="934"/>
    </row>
    <row r="8380" ht="12.75" hidden="1" customHeight="1" outlineLevel="1">
      <c r="A8380" s="990">
        <v>42391.0</v>
      </c>
      <c r="B8380" s="985" t="s">
        <v>347</v>
      </c>
      <c r="C8380" s="94" t="s">
        <v>2090</v>
      </c>
      <c r="D8380" s="286">
        <v>8000.0</v>
      </c>
      <c r="E8380" s="94">
        <v>3.651</v>
      </c>
      <c r="F8380" s="986">
        <v>0.48096064814814815</v>
      </c>
      <c r="G8380" s="94" t="s">
        <v>453</v>
      </c>
      <c r="H8380" s="987">
        <v>34.34</v>
      </c>
      <c r="I8380" s="988" t="s">
        <v>3145</v>
      </c>
      <c r="J8380" s="67">
        <f t="shared" si="490"/>
        <v>29173.66</v>
      </c>
      <c r="L8380" s="70"/>
      <c r="M8380" s="934"/>
    </row>
    <row r="8381" ht="12.75" hidden="1" customHeight="1" outlineLevel="1">
      <c r="A8381" s="990">
        <v>42391.0</v>
      </c>
      <c r="B8381" s="985" t="s">
        <v>347</v>
      </c>
      <c r="C8381" s="94" t="s">
        <v>1633</v>
      </c>
      <c r="D8381" s="286">
        <v>1250.0</v>
      </c>
      <c r="E8381" s="94">
        <v>6.0101</v>
      </c>
      <c r="F8381" s="986">
        <v>0.4864236111111111</v>
      </c>
      <c r="G8381" s="94" t="s">
        <v>453</v>
      </c>
      <c r="H8381" s="987">
        <v>5.14</v>
      </c>
      <c r="I8381" s="988" t="s">
        <v>3145</v>
      </c>
      <c r="J8381" s="67">
        <f t="shared" si="490"/>
        <v>7507.485</v>
      </c>
      <c r="L8381" s="70"/>
      <c r="M8381" s="934"/>
    </row>
    <row r="8382" ht="12.75" hidden="1" customHeight="1" outlineLevel="1">
      <c r="A8382" s="990">
        <v>42391.0</v>
      </c>
      <c r="B8382" s="985" t="s">
        <v>343</v>
      </c>
      <c r="C8382" s="94" t="s">
        <v>1092</v>
      </c>
      <c r="D8382" s="286">
        <v>5000.0</v>
      </c>
      <c r="E8382" s="94">
        <v>3.02</v>
      </c>
      <c r="F8382" s="986">
        <v>0.4880555555555556</v>
      </c>
      <c r="G8382" s="94" t="s">
        <v>453</v>
      </c>
      <c r="H8382" s="987">
        <v>25.0</v>
      </c>
      <c r="I8382" s="988" t="s">
        <v>3145</v>
      </c>
      <c r="J8382" s="67">
        <f t="shared" si="490"/>
        <v>-15125</v>
      </c>
      <c r="L8382" s="70"/>
      <c r="M8382" s="934"/>
    </row>
    <row r="8383" ht="12.75" hidden="1" customHeight="1" outlineLevel="1">
      <c r="A8383" s="990">
        <v>42391.0</v>
      </c>
      <c r="B8383" s="985" t="s">
        <v>343</v>
      </c>
      <c r="C8383" s="94" t="s">
        <v>1485</v>
      </c>
      <c r="D8383" s="286">
        <v>5000.0</v>
      </c>
      <c r="E8383" s="94">
        <v>2.99</v>
      </c>
      <c r="F8383" s="986">
        <v>0.4883564814814815</v>
      </c>
      <c r="G8383" s="94" t="s">
        <v>453</v>
      </c>
      <c r="H8383" s="987">
        <v>25.0</v>
      </c>
      <c r="I8383" s="988" t="s">
        <v>3145</v>
      </c>
      <c r="J8383" s="67">
        <f t="shared" si="490"/>
        <v>-14975</v>
      </c>
      <c r="L8383" s="70"/>
      <c r="M8383" s="934"/>
    </row>
    <row r="8384" ht="12.75" hidden="1" customHeight="1" outlineLevel="1">
      <c r="A8384" s="990">
        <v>42391.0</v>
      </c>
      <c r="B8384" s="985" t="s">
        <v>343</v>
      </c>
      <c r="C8384" s="94" t="s">
        <v>604</v>
      </c>
      <c r="D8384" s="286">
        <v>5000.0</v>
      </c>
      <c r="E8384" s="94">
        <v>1.39</v>
      </c>
      <c r="F8384" s="986">
        <v>0.48844907407407406</v>
      </c>
      <c r="G8384" s="94" t="s">
        <v>453</v>
      </c>
      <c r="H8384" s="987">
        <v>25.0</v>
      </c>
      <c r="I8384" s="988" t="s">
        <v>3145</v>
      </c>
      <c r="J8384" s="67">
        <f t="shared" si="490"/>
        <v>-6975</v>
      </c>
      <c r="L8384" s="70"/>
      <c r="M8384" s="934"/>
    </row>
    <row r="8385" ht="12.75" hidden="1" customHeight="1" outlineLevel="1">
      <c r="A8385" s="990">
        <v>42391.0</v>
      </c>
      <c r="B8385" s="985" t="s">
        <v>343</v>
      </c>
      <c r="C8385" s="94" t="s">
        <v>1483</v>
      </c>
      <c r="D8385" s="286">
        <v>5000.0</v>
      </c>
      <c r="E8385" s="94">
        <v>1.37</v>
      </c>
      <c r="F8385" s="986">
        <v>0.49042824074074076</v>
      </c>
      <c r="G8385" s="94" t="s">
        <v>453</v>
      </c>
      <c r="H8385" s="987">
        <v>25.0</v>
      </c>
      <c r="I8385" s="988" t="s">
        <v>3145</v>
      </c>
      <c r="J8385" s="67">
        <f t="shared" si="490"/>
        <v>-6875</v>
      </c>
      <c r="L8385" s="70"/>
      <c r="M8385" s="934"/>
    </row>
    <row r="8386" ht="12.75" hidden="1" customHeight="1" outlineLevel="1">
      <c r="A8386" s="990">
        <v>42391.0</v>
      </c>
      <c r="B8386" s="985" t="s">
        <v>347</v>
      </c>
      <c r="C8386" s="94" t="s">
        <v>2084</v>
      </c>
      <c r="D8386" s="286">
        <v>1000.0</v>
      </c>
      <c r="E8386" s="94">
        <v>8.531</v>
      </c>
      <c r="F8386" s="986">
        <v>0.4984722222222222</v>
      </c>
      <c r="G8386" s="94" t="s">
        <v>453</v>
      </c>
      <c r="H8386" s="987">
        <v>4.36</v>
      </c>
      <c r="I8386" s="988" t="s">
        <v>3145</v>
      </c>
      <c r="J8386" s="67">
        <f t="shared" si="490"/>
        <v>8526.64</v>
      </c>
      <c r="L8386" s="70"/>
      <c r="M8386" s="934"/>
    </row>
    <row r="8387" ht="12.75" hidden="1" customHeight="1" outlineLevel="1">
      <c r="A8387" s="990">
        <v>42391.0</v>
      </c>
      <c r="B8387" s="985" t="s">
        <v>347</v>
      </c>
      <c r="C8387" s="94" t="s">
        <v>1821</v>
      </c>
      <c r="D8387" s="94">
        <v>350.0</v>
      </c>
      <c r="E8387" s="94">
        <v>23.8787</v>
      </c>
      <c r="F8387" s="986">
        <v>0.4988078703703704</v>
      </c>
      <c r="G8387" s="94" t="s">
        <v>453</v>
      </c>
      <c r="H8387" s="987">
        <v>1.55</v>
      </c>
      <c r="I8387" s="988" t="s">
        <v>3145</v>
      </c>
      <c r="J8387" s="67">
        <f t="shared" si="490"/>
        <v>8355.995</v>
      </c>
      <c r="L8387" s="70"/>
      <c r="M8387" s="934"/>
    </row>
    <row r="8388" ht="12.75" hidden="1" customHeight="1" outlineLevel="1">
      <c r="A8388" s="990">
        <v>42391.0</v>
      </c>
      <c r="B8388" s="985" t="s">
        <v>347</v>
      </c>
      <c r="C8388" s="94" t="s">
        <v>1633</v>
      </c>
      <c r="D8388" s="94">
        <v>500.0</v>
      </c>
      <c r="E8388" s="94">
        <v>5.983</v>
      </c>
      <c r="F8388" s="986">
        <v>0.4992824074074074</v>
      </c>
      <c r="G8388" s="94" t="s">
        <v>453</v>
      </c>
      <c r="H8388" s="987">
        <v>2.16</v>
      </c>
      <c r="I8388" s="988" t="s">
        <v>3145</v>
      </c>
      <c r="J8388" s="67">
        <f t="shared" si="490"/>
        <v>2989.34</v>
      </c>
      <c r="L8388" s="70"/>
      <c r="M8388" s="934"/>
    </row>
    <row r="8389" ht="12.75" hidden="1" customHeight="1" outlineLevel="1">
      <c r="A8389" s="990">
        <v>42391.0</v>
      </c>
      <c r="B8389" s="985" t="s">
        <v>347</v>
      </c>
      <c r="C8389" s="94" t="s">
        <v>1893</v>
      </c>
      <c r="D8389" s="286">
        <v>7000.0</v>
      </c>
      <c r="E8389" s="94">
        <v>3.97</v>
      </c>
      <c r="F8389" s="986">
        <v>0.5516203703703704</v>
      </c>
      <c r="G8389" s="94" t="s">
        <v>453</v>
      </c>
      <c r="H8389" s="987">
        <v>35.51</v>
      </c>
      <c r="I8389" s="988" t="s">
        <v>3145</v>
      </c>
      <c r="J8389" s="67">
        <f t="shared" si="490"/>
        <v>27754.49</v>
      </c>
      <c r="L8389" s="70"/>
      <c r="M8389" s="934"/>
    </row>
    <row r="8390" ht="12.75" hidden="1" customHeight="1" outlineLevel="1">
      <c r="A8390" s="990">
        <v>42391.0</v>
      </c>
      <c r="B8390" s="985" t="s">
        <v>347</v>
      </c>
      <c r="C8390" s="94" t="s">
        <v>2090</v>
      </c>
      <c r="D8390" s="286">
        <v>6000.0</v>
      </c>
      <c r="E8390" s="94">
        <v>3.681</v>
      </c>
      <c r="F8390" s="986">
        <v>0.5999189814814815</v>
      </c>
      <c r="G8390" s="94" t="s">
        <v>453</v>
      </c>
      <c r="H8390" s="987">
        <v>24.93</v>
      </c>
      <c r="I8390" s="988" t="s">
        <v>3145</v>
      </c>
      <c r="J8390" s="67">
        <f t="shared" si="490"/>
        <v>22061.07</v>
      </c>
      <c r="L8390" s="70"/>
      <c r="M8390" s="934"/>
    </row>
    <row r="8391" ht="12.75" hidden="1" customHeight="1" outlineLevel="1">
      <c r="A8391" s="990">
        <v>42391.0</v>
      </c>
      <c r="B8391" s="985" t="s">
        <v>347</v>
      </c>
      <c r="C8391" s="94" t="s">
        <v>1890</v>
      </c>
      <c r="D8391" s="94">
        <v>750.0</v>
      </c>
      <c r="E8391" s="94">
        <v>9.57</v>
      </c>
      <c r="F8391" s="986">
        <v>0.6671643518518519</v>
      </c>
      <c r="G8391" s="94" t="s">
        <v>453</v>
      </c>
      <c r="H8391" s="987">
        <v>3.88</v>
      </c>
      <c r="I8391" s="988" t="s">
        <v>3145</v>
      </c>
      <c r="J8391" s="67">
        <f t="shared" si="490"/>
        <v>7173.62</v>
      </c>
      <c r="L8391" s="70"/>
      <c r="M8391" s="934"/>
    </row>
    <row r="8392" ht="12.75" hidden="1" customHeight="1" outlineLevel="1">
      <c r="A8392" s="990">
        <v>42391.0</v>
      </c>
      <c r="B8392" s="985" t="s">
        <v>343</v>
      </c>
      <c r="C8392" s="94" t="s">
        <v>1465</v>
      </c>
      <c r="D8392" s="94">
        <v>20.0</v>
      </c>
      <c r="E8392" s="94">
        <v>269.24</v>
      </c>
      <c r="F8392" s="986">
        <v>0.6809375</v>
      </c>
      <c r="G8392" s="94" t="s">
        <v>453</v>
      </c>
      <c r="H8392" s="987">
        <v>1.0</v>
      </c>
      <c r="I8392" s="988" t="s">
        <v>3145</v>
      </c>
      <c r="J8392" s="67">
        <f t="shared" si="490"/>
        <v>-5385.8</v>
      </c>
      <c r="K8392" s="994"/>
      <c r="L8392" s="70"/>
      <c r="M8392" s="934"/>
    </row>
    <row r="8393" ht="12.75" hidden="1" customHeight="1" outlineLevel="1">
      <c r="A8393" s="990">
        <v>42391.0</v>
      </c>
      <c r="B8393" s="992"/>
      <c r="C8393" s="32" t="s">
        <v>339</v>
      </c>
      <c r="D8393" s="1"/>
      <c r="F8393" s="1"/>
      <c r="G8393" s="1"/>
      <c r="H8393" s="68"/>
      <c r="I8393" s="76"/>
      <c r="K8393" s="994" t="s">
        <v>3285</v>
      </c>
      <c r="L8393" s="934"/>
      <c r="M8393" s="934"/>
    </row>
    <row r="8394" ht="12.75" hidden="1" customHeight="1" outlineLevel="1">
      <c r="A8394" s="990">
        <v>42391.0</v>
      </c>
      <c r="B8394" s="992"/>
      <c r="C8394" s="32" t="s">
        <v>429</v>
      </c>
      <c r="D8394" s="1"/>
      <c r="F8394" s="1"/>
      <c r="G8394" s="1"/>
      <c r="H8394" s="68"/>
      <c r="I8394" s="76"/>
      <c r="K8394" s="9" t="s">
        <v>3187</v>
      </c>
      <c r="L8394" s="934"/>
      <c r="M8394" s="934"/>
    </row>
    <row r="8395" ht="12.75" hidden="1" customHeight="1" outlineLevel="1">
      <c r="A8395" s="990">
        <v>42391.0</v>
      </c>
      <c r="B8395" s="992"/>
      <c r="C8395" s="32" t="s">
        <v>431</v>
      </c>
      <c r="D8395" s="1"/>
      <c r="F8395" s="1"/>
      <c r="G8395" s="1"/>
      <c r="H8395" s="68"/>
      <c r="I8395" s="76"/>
      <c r="K8395" s="7" t="s">
        <v>1126</v>
      </c>
      <c r="L8395" s="934"/>
      <c r="M8395" s="934"/>
    </row>
    <row r="8396" ht="12.75" hidden="1" customHeight="1" outlineLevel="1">
      <c r="A8396" s="990">
        <v>42391.0</v>
      </c>
      <c r="B8396" s="992"/>
      <c r="C8396" s="32" t="s">
        <v>433</v>
      </c>
      <c r="D8396" s="1"/>
      <c r="F8396" s="1"/>
      <c r="G8396" s="1"/>
      <c r="H8396" s="68"/>
      <c r="I8396" s="76"/>
      <c r="K8396" s="7" t="s">
        <v>1103</v>
      </c>
      <c r="L8396" s="934"/>
      <c r="M8396" s="934"/>
    </row>
    <row r="8397" ht="12.75" hidden="1" customHeight="1" outlineLevel="1">
      <c r="A8397" s="990">
        <v>42391.0</v>
      </c>
      <c r="B8397" s="992"/>
      <c r="C8397" s="32" t="s">
        <v>435</v>
      </c>
      <c r="D8397" s="1"/>
      <c r="F8397" s="1"/>
      <c r="G8397" s="1"/>
      <c r="H8397" s="68"/>
      <c r="I8397" s="76"/>
      <c r="K8397" s="9" t="s">
        <v>3134</v>
      </c>
      <c r="L8397" s="934"/>
      <c r="M8397" s="934"/>
    </row>
    <row r="8398" ht="12.75" hidden="1" customHeight="1" outlineLevel="1">
      <c r="A8398" s="202">
        <v>42394.0</v>
      </c>
      <c r="B8398" s="985" t="s">
        <v>347</v>
      </c>
      <c r="C8398" s="94" t="s">
        <v>1816</v>
      </c>
      <c r="D8398" s="94">
        <v>800.0</v>
      </c>
      <c r="E8398" s="94">
        <v>37.946</v>
      </c>
      <c r="F8398" s="986">
        <v>0.5837037037037037</v>
      </c>
      <c r="G8398" s="94" t="s">
        <v>453</v>
      </c>
      <c r="H8398" s="987">
        <v>4.56</v>
      </c>
      <c r="I8398" s="988" t="s">
        <v>3145</v>
      </c>
      <c r="J8398" s="67">
        <f t="shared" ref="J8398:J8424" si="491">IF(B8398="SLD",D8398*E8398,-D8398*E8398)-H8398</f>
        <v>30352.24</v>
      </c>
      <c r="L8398" s="70"/>
      <c r="M8398" s="934"/>
    </row>
    <row r="8399" ht="12.75" hidden="1" customHeight="1" outlineLevel="1">
      <c r="A8399" s="202">
        <v>42394.0</v>
      </c>
      <c r="B8399" s="985" t="s">
        <v>347</v>
      </c>
      <c r="C8399" s="94" t="s">
        <v>3024</v>
      </c>
      <c r="D8399" s="286">
        <v>1500.0</v>
      </c>
      <c r="E8399" s="94">
        <v>13.641</v>
      </c>
      <c r="F8399" s="986">
        <v>0.5807986111111111</v>
      </c>
      <c r="G8399" s="94" t="s">
        <v>453</v>
      </c>
      <c r="H8399" s="987">
        <v>8.38</v>
      </c>
      <c r="I8399" s="988" t="s">
        <v>3145</v>
      </c>
      <c r="J8399" s="67">
        <f t="shared" si="491"/>
        <v>20453.12</v>
      </c>
      <c r="L8399" s="70"/>
      <c r="M8399" s="934"/>
    </row>
    <row r="8400" ht="12.75" hidden="1" customHeight="1" outlineLevel="1">
      <c r="A8400" s="202">
        <v>42394.0</v>
      </c>
      <c r="B8400" s="985" t="s">
        <v>347</v>
      </c>
      <c r="C8400" s="94" t="s">
        <v>1947</v>
      </c>
      <c r="D8400" s="94">
        <v>800.0</v>
      </c>
      <c r="E8400" s="94">
        <v>29.99</v>
      </c>
      <c r="F8400" s="986">
        <v>0.5806828703703704</v>
      </c>
      <c r="G8400" s="94" t="s">
        <v>453</v>
      </c>
      <c r="H8400" s="987">
        <v>3.94</v>
      </c>
      <c r="I8400" s="988" t="s">
        <v>3145</v>
      </c>
      <c r="J8400" s="67">
        <f t="shared" si="491"/>
        <v>23988.06</v>
      </c>
      <c r="L8400" s="70"/>
      <c r="M8400" s="934"/>
    </row>
    <row r="8401" ht="12.75" hidden="1" customHeight="1" outlineLevel="1">
      <c r="A8401" s="202">
        <v>42394.0</v>
      </c>
      <c r="B8401" s="985" t="s">
        <v>347</v>
      </c>
      <c r="C8401" s="94" t="s">
        <v>2210</v>
      </c>
      <c r="D8401" s="94">
        <v>300.0</v>
      </c>
      <c r="E8401" s="94">
        <v>61.911</v>
      </c>
      <c r="F8401" s="986">
        <v>0.5803125</v>
      </c>
      <c r="G8401" s="94" t="s">
        <v>453</v>
      </c>
      <c r="H8401" s="987">
        <v>1.54</v>
      </c>
      <c r="I8401" s="988" t="s">
        <v>3145</v>
      </c>
      <c r="J8401" s="67">
        <f t="shared" si="491"/>
        <v>18571.76</v>
      </c>
      <c r="L8401" s="70"/>
      <c r="M8401" s="934"/>
    </row>
    <row r="8402" ht="12.75" hidden="1" customHeight="1" outlineLevel="1">
      <c r="A8402" s="202">
        <v>42394.0</v>
      </c>
      <c r="B8402" s="985" t="s">
        <v>347</v>
      </c>
      <c r="C8402" s="94" t="s">
        <v>1905</v>
      </c>
      <c r="D8402" s="286">
        <v>1000.0</v>
      </c>
      <c r="E8402" s="94">
        <v>17.674</v>
      </c>
      <c r="F8402" s="986">
        <v>0.5801967592592593</v>
      </c>
      <c r="G8402" s="94" t="s">
        <v>453</v>
      </c>
      <c r="H8402" s="987">
        <v>4.33</v>
      </c>
      <c r="I8402" s="988" t="s">
        <v>3145</v>
      </c>
      <c r="J8402" s="67">
        <f t="shared" si="491"/>
        <v>17669.67</v>
      </c>
      <c r="L8402" s="70"/>
      <c r="M8402" s="934"/>
    </row>
    <row r="8403" ht="12.75" hidden="1" customHeight="1" outlineLevel="1">
      <c r="A8403" s="202">
        <v>42394.0</v>
      </c>
      <c r="B8403" s="985" t="s">
        <v>347</v>
      </c>
      <c r="C8403" s="94" t="s">
        <v>790</v>
      </c>
      <c r="D8403" s="286">
        <v>3000.0</v>
      </c>
      <c r="E8403" s="94">
        <v>2.994</v>
      </c>
      <c r="F8403" s="986">
        <v>0.5790740740740741</v>
      </c>
      <c r="G8403" s="94" t="s">
        <v>453</v>
      </c>
      <c r="H8403" s="987">
        <v>14.87</v>
      </c>
      <c r="I8403" s="988" t="s">
        <v>3145</v>
      </c>
      <c r="J8403" s="67">
        <f t="shared" si="491"/>
        <v>8967.13</v>
      </c>
      <c r="L8403" s="70"/>
      <c r="M8403" s="934"/>
    </row>
    <row r="8404" ht="12.75" hidden="1" customHeight="1" outlineLevel="1">
      <c r="A8404" s="202">
        <v>42394.0</v>
      </c>
      <c r="B8404" s="985" t="s">
        <v>347</v>
      </c>
      <c r="C8404" s="94" t="s">
        <v>1902</v>
      </c>
      <c r="D8404" s="286">
        <v>3000.0</v>
      </c>
      <c r="E8404" s="94">
        <v>5.911</v>
      </c>
      <c r="F8404" s="986">
        <v>0.5784837962962963</v>
      </c>
      <c r="G8404" s="94" t="s">
        <v>453</v>
      </c>
      <c r="H8404" s="987">
        <v>13.43</v>
      </c>
      <c r="I8404" s="988" t="s">
        <v>3145</v>
      </c>
      <c r="J8404" s="67">
        <f t="shared" si="491"/>
        <v>17719.57</v>
      </c>
      <c r="L8404" s="70"/>
      <c r="M8404" s="934"/>
    </row>
    <row r="8405" ht="12.75" hidden="1" customHeight="1" outlineLevel="1">
      <c r="A8405" s="202">
        <v>42394.0</v>
      </c>
      <c r="B8405" s="985" t="s">
        <v>347</v>
      </c>
      <c r="C8405" s="94" t="s">
        <v>1938</v>
      </c>
      <c r="D8405" s="286">
        <v>1000.0</v>
      </c>
      <c r="E8405" s="94">
        <v>14.371</v>
      </c>
      <c r="F8405" s="986">
        <v>0.5763310185185185</v>
      </c>
      <c r="G8405" s="94" t="s">
        <v>453</v>
      </c>
      <c r="H8405" s="987">
        <v>4.26</v>
      </c>
      <c r="I8405" s="988" t="s">
        <v>3145</v>
      </c>
      <c r="J8405" s="67">
        <f t="shared" si="491"/>
        <v>14366.74</v>
      </c>
      <c r="L8405" s="70"/>
      <c r="M8405" s="934"/>
    </row>
    <row r="8406" ht="12.75" hidden="1" customHeight="1" outlineLevel="1">
      <c r="A8406" s="202">
        <v>42394.0</v>
      </c>
      <c r="B8406" s="985" t="s">
        <v>347</v>
      </c>
      <c r="C8406" s="94" t="s">
        <v>3024</v>
      </c>
      <c r="D8406" s="286">
        <v>1500.0</v>
      </c>
      <c r="E8406" s="94">
        <v>13.7604</v>
      </c>
      <c r="F8406" s="986">
        <v>0.42744212962962963</v>
      </c>
      <c r="G8406" s="94" t="s">
        <v>453</v>
      </c>
      <c r="H8406" s="987">
        <v>6.38</v>
      </c>
      <c r="I8406" s="988" t="s">
        <v>3145</v>
      </c>
      <c r="J8406" s="67">
        <f t="shared" si="491"/>
        <v>20634.22</v>
      </c>
      <c r="L8406" s="70"/>
      <c r="M8406" s="934"/>
    </row>
    <row r="8407" ht="12.75" hidden="1" customHeight="1" outlineLevel="1">
      <c r="A8407" s="202">
        <v>42394.0</v>
      </c>
      <c r="B8407" s="985" t="s">
        <v>347</v>
      </c>
      <c r="C8407" s="94" t="s">
        <v>2210</v>
      </c>
      <c r="D8407" s="94">
        <v>300.0</v>
      </c>
      <c r="E8407" s="94">
        <v>62.21</v>
      </c>
      <c r="F8407" s="986">
        <v>0.42733796296296295</v>
      </c>
      <c r="G8407" s="94" t="s">
        <v>453</v>
      </c>
      <c r="H8407" s="987">
        <v>1.54</v>
      </c>
      <c r="I8407" s="988" t="s">
        <v>3145</v>
      </c>
      <c r="J8407" s="67">
        <f t="shared" si="491"/>
        <v>18661.46</v>
      </c>
      <c r="L8407" s="70"/>
      <c r="M8407" s="934"/>
    </row>
    <row r="8408" ht="12.75" hidden="1" customHeight="1" outlineLevel="1">
      <c r="A8408" s="202">
        <v>42394.0</v>
      </c>
      <c r="B8408" s="985" t="s">
        <v>347</v>
      </c>
      <c r="C8408" s="94" t="s">
        <v>1938</v>
      </c>
      <c r="D8408" s="94">
        <v>500.0</v>
      </c>
      <c r="E8408" s="94">
        <v>14.952</v>
      </c>
      <c r="F8408" s="986">
        <v>0.4084143518518519</v>
      </c>
      <c r="G8408" s="94" t="s">
        <v>453</v>
      </c>
      <c r="H8408" s="987">
        <v>2.14</v>
      </c>
      <c r="I8408" s="988" t="s">
        <v>3145</v>
      </c>
      <c r="J8408" s="67">
        <f t="shared" si="491"/>
        <v>7473.86</v>
      </c>
      <c r="L8408" s="70"/>
      <c r="M8408" s="934"/>
    </row>
    <row r="8409" ht="12.75" hidden="1" customHeight="1" outlineLevel="1">
      <c r="A8409" s="202">
        <v>42394.0</v>
      </c>
      <c r="B8409" s="985" t="s">
        <v>343</v>
      </c>
      <c r="C8409" s="94" t="s">
        <v>2862</v>
      </c>
      <c r="D8409" s="94">
        <v>100.0</v>
      </c>
      <c r="E8409" s="94">
        <v>78.6</v>
      </c>
      <c r="F8409" s="986">
        <v>0.40706018518518516</v>
      </c>
      <c r="G8409" s="94" t="s">
        <v>453</v>
      </c>
      <c r="H8409" s="987">
        <v>1.0</v>
      </c>
      <c r="I8409" s="988" t="s">
        <v>3145</v>
      </c>
      <c r="J8409" s="67">
        <f t="shared" si="491"/>
        <v>-7861</v>
      </c>
      <c r="L8409" s="70"/>
      <c r="M8409" s="934"/>
    </row>
    <row r="8410" ht="12.75" hidden="1" customHeight="1" outlineLevel="1">
      <c r="A8410" s="202">
        <v>42394.0</v>
      </c>
      <c r="B8410" s="985" t="s">
        <v>343</v>
      </c>
      <c r="C8410" s="94" t="s">
        <v>346</v>
      </c>
      <c r="D8410" s="94">
        <v>150.0</v>
      </c>
      <c r="E8410" s="94">
        <v>100.4</v>
      </c>
      <c r="F8410" s="986">
        <v>0.4060648148148148</v>
      </c>
      <c r="G8410" s="94" t="s">
        <v>453</v>
      </c>
      <c r="H8410" s="987">
        <v>1.0</v>
      </c>
      <c r="I8410" s="988" t="s">
        <v>3145</v>
      </c>
      <c r="J8410" s="67">
        <f t="shared" si="491"/>
        <v>-15061</v>
      </c>
      <c r="L8410" s="70"/>
      <c r="M8410" s="934"/>
    </row>
    <row r="8411" ht="12.75" hidden="1" customHeight="1" outlineLevel="1">
      <c r="A8411" s="202">
        <v>42394.0</v>
      </c>
      <c r="B8411" s="985" t="s">
        <v>343</v>
      </c>
      <c r="C8411" s="94" t="s">
        <v>1249</v>
      </c>
      <c r="D8411" s="94">
        <v>100.0</v>
      </c>
      <c r="E8411" s="94">
        <v>92.11</v>
      </c>
      <c r="F8411" s="986">
        <v>0.4058333333333333</v>
      </c>
      <c r="G8411" s="94" t="s">
        <v>453</v>
      </c>
      <c r="H8411" s="987">
        <v>1.0</v>
      </c>
      <c r="I8411" s="988" t="s">
        <v>3145</v>
      </c>
      <c r="J8411" s="67">
        <f t="shared" si="491"/>
        <v>-9212</v>
      </c>
      <c r="L8411" s="70"/>
      <c r="M8411" s="934"/>
    </row>
    <row r="8412" ht="12.75" hidden="1" customHeight="1" outlineLevel="1">
      <c r="A8412" s="202">
        <v>42394.0</v>
      </c>
      <c r="B8412" s="985" t="s">
        <v>347</v>
      </c>
      <c r="C8412" s="94" t="s">
        <v>2090</v>
      </c>
      <c r="D8412" s="286">
        <v>2000.0</v>
      </c>
      <c r="E8412" s="94">
        <v>3.571</v>
      </c>
      <c r="F8412" s="986">
        <v>0.40368055555555554</v>
      </c>
      <c r="G8412" s="94" t="s">
        <v>453</v>
      </c>
      <c r="H8412" s="987">
        <v>8.33</v>
      </c>
      <c r="I8412" s="988" t="s">
        <v>3145</v>
      </c>
      <c r="J8412" s="67">
        <f t="shared" si="491"/>
        <v>7133.67</v>
      </c>
      <c r="L8412" s="70"/>
      <c r="M8412" s="934"/>
    </row>
    <row r="8413" ht="12.75" hidden="1" customHeight="1" outlineLevel="1">
      <c r="A8413" s="202">
        <v>42394.0</v>
      </c>
      <c r="B8413" s="985" t="s">
        <v>347</v>
      </c>
      <c r="C8413" s="94" t="s">
        <v>1938</v>
      </c>
      <c r="D8413" s="94">
        <v>250.0</v>
      </c>
      <c r="E8413" s="94">
        <v>14.93</v>
      </c>
      <c r="F8413" s="986">
        <v>0.4024537037037037</v>
      </c>
      <c r="G8413" s="94" t="s">
        <v>453</v>
      </c>
      <c r="H8413" s="987">
        <v>1.07</v>
      </c>
      <c r="I8413" s="988" t="s">
        <v>3145</v>
      </c>
      <c r="J8413" s="67">
        <f t="shared" si="491"/>
        <v>3731.43</v>
      </c>
      <c r="L8413" s="70"/>
      <c r="M8413" s="934"/>
    </row>
    <row r="8414" ht="12.75" hidden="1" customHeight="1" outlineLevel="1">
      <c r="A8414" s="202">
        <v>42394.0</v>
      </c>
      <c r="B8414" s="985" t="s">
        <v>347</v>
      </c>
      <c r="C8414" s="94" t="s">
        <v>1633</v>
      </c>
      <c r="D8414" s="286">
        <v>6000.0</v>
      </c>
      <c r="E8414" s="94">
        <v>5.824</v>
      </c>
      <c r="F8414" s="986">
        <v>0.4008912037037037</v>
      </c>
      <c r="G8414" s="94" t="s">
        <v>453</v>
      </c>
      <c r="H8414" s="987">
        <v>30.64</v>
      </c>
      <c r="I8414" s="988" t="s">
        <v>3145</v>
      </c>
      <c r="J8414" s="67">
        <f t="shared" si="491"/>
        <v>34913.36</v>
      </c>
      <c r="L8414" s="70"/>
      <c r="M8414" s="934"/>
    </row>
    <row r="8415" ht="12.75" hidden="1" customHeight="1" outlineLevel="1">
      <c r="A8415" s="202">
        <v>42394.0</v>
      </c>
      <c r="B8415" s="985" t="s">
        <v>347</v>
      </c>
      <c r="C8415" s="94" t="s">
        <v>2084</v>
      </c>
      <c r="D8415" s="286">
        <v>4000.0</v>
      </c>
      <c r="E8415" s="94">
        <v>8.65</v>
      </c>
      <c r="F8415" s="986">
        <v>0.4006712962962963</v>
      </c>
      <c r="G8415" s="94" t="s">
        <v>453</v>
      </c>
      <c r="H8415" s="987">
        <v>16.64</v>
      </c>
      <c r="I8415" s="988" t="s">
        <v>3145</v>
      </c>
      <c r="J8415" s="67">
        <f t="shared" si="491"/>
        <v>34583.36</v>
      </c>
      <c r="L8415" s="70"/>
      <c r="M8415" s="934"/>
    </row>
    <row r="8416" ht="12.75" hidden="1" customHeight="1" outlineLevel="1">
      <c r="A8416" s="202">
        <v>42394.0</v>
      </c>
      <c r="B8416" s="985" t="s">
        <v>347</v>
      </c>
      <c r="C8416" s="94" t="s">
        <v>1821</v>
      </c>
      <c r="D8416" s="286">
        <v>1400.0</v>
      </c>
      <c r="E8416" s="94">
        <v>23.5252</v>
      </c>
      <c r="F8416" s="986">
        <v>0.4005208333333333</v>
      </c>
      <c r="G8416" s="94" t="s">
        <v>453</v>
      </c>
      <c r="H8416" s="987">
        <v>6.21</v>
      </c>
      <c r="I8416" s="988" t="s">
        <v>3145</v>
      </c>
      <c r="J8416" s="67">
        <f t="shared" si="491"/>
        <v>32929.07</v>
      </c>
      <c r="L8416" s="70"/>
      <c r="M8416" s="934"/>
    </row>
    <row r="8417" ht="12.75" hidden="1" customHeight="1" outlineLevel="1">
      <c r="A8417" s="202">
        <v>42394.0</v>
      </c>
      <c r="B8417" s="985" t="s">
        <v>347</v>
      </c>
      <c r="C8417" s="94" t="s">
        <v>790</v>
      </c>
      <c r="D8417" s="286">
        <v>7000.0</v>
      </c>
      <c r="E8417" s="94">
        <v>2.991</v>
      </c>
      <c r="F8417" s="986">
        <v>0.39989583333333334</v>
      </c>
      <c r="G8417" s="94" t="s">
        <v>453</v>
      </c>
      <c r="H8417" s="987">
        <v>28.39</v>
      </c>
      <c r="I8417" s="988" t="s">
        <v>3145</v>
      </c>
      <c r="J8417" s="67">
        <f t="shared" si="491"/>
        <v>20908.61</v>
      </c>
      <c r="L8417" s="70"/>
      <c r="M8417" s="934"/>
    </row>
    <row r="8418" ht="12.75" hidden="1" customHeight="1" outlineLevel="1">
      <c r="A8418" s="202">
        <v>42394.0</v>
      </c>
      <c r="B8418" s="985" t="s">
        <v>347</v>
      </c>
      <c r="C8418" s="94" t="s">
        <v>1902</v>
      </c>
      <c r="D8418" s="286">
        <v>4500.0</v>
      </c>
      <c r="E8418" s="94">
        <v>6.119</v>
      </c>
      <c r="F8418" s="986">
        <v>0.39946759259259257</v>
      </c>
      <c r="G8418" s="94" t="s">
        <v>453</v>
      </c>
      <c r="H8418" s="987">
        <v>18.61</v>
      </c>
      <c r="I8418" s="988" t="s">
        <v>3145</v>
      </c>
      <c r="J8418" s="67">
        <f t="shared" si="491"/>
        <v>27516.89</v>
      </c>
      <c r="L8418" s="70"/>
      <c r="M8418" s="934"/>
    </row>
    <row r="8419" ht="12.75" hidden="1" customHeight="1" outlineLevel="1">
      <c r="A8419" s="202">
        <v>42394.0</v>
      </c>
      <c r="B8419" s="985" t="s">
        <v>347</v>
      </c>
      <c r="C8419" s="94" t="s">
        <v>1890</v>
      </c>
      <c r="D8419" s="286">
        <v>4500.0</v>
      </c>
      <c r="E8419" s="94">
        <v>9.15</v>
      </c>
      <c r="F8419" s="986">
        <v>0.39934027777777775</v>
      </c>
      <c r="G8419" s="94" t="s">
        <v>453</v>
      </c>
      <c r="H8419" s="987">
        <v>23.26</v>
      </c>
      <c r="I8419" s="988" t="s">
        <v>3145</v>
      </c>
      <c r="J8419" s="67">
        <f t="shared" si="491"/>
        <v>41151.74</v>
      </c>
      <c r="L8419" s="70"/>
      <c r="M8419" s="934"/>
    </row>
    <row r="8420" ht="12.75" hidden="1" customHeight="1" outlineLevel="1">
      <c r="A8420" s="202">
        <v>42394.0</v>
      </c>
      <c r="B8420" s="985" t="s">
        <v>347</v>
      </c>
      <c r="C8420" s="94" t="s">
        <v>1947</v>
      </c>
      <c r="D8420" s="286">
        <v>1000.0</v>
      </c>
      <c r="E8420" s="94">
        <v>30.33</v>
      </c>
      <c r="F8420" s="986">
        <v>0.39836805555555554</v>
      </c>
      <c r="G8420" s="94" t="s">
        <v>453</v>
      </c>
      <c r="H8420" s="987">
        <v>4.56</v>
      </c>
      <c r="I8420" s="988" t="s">
        <v>3145</v>
      </c>
      <c r="J8420" s="67">
        <f t="shared" si="491"/>
        <v>30325.44</v>
      </c>
      <c r="L8420" s="70"/>
      <c r="M8420" s="934"/>
    </row>
    <row r="8421" ht="12.75" hidden="1" customHeight="1" outlineLevel="1">
      <c r="A8421" s="202">
        <v>42394.0</v>
      </c>
      <c r="B8421" s="985" t="s">
        <v>347</v>
      </c>
      <c r="C8421" s="94" t="s">
        <v>1947</v>
      </c>
      <c r="D8421" s="94">
        <v>150.0</v>
      </c>
      <c r="E8421" s="94">
        <v>30.8</v>
      </c>
      <c r="F8421" s="986">
        <v>0.3980092592592593</v>
      </c>
      <c r="G8421" s="94" t="s">
        <v>453</v>
      </c>
      <c r="H8421" s="987">
        <v>1.09</v>
      </c>
      <c r="I8421" s="988" t="s">
        <v>3145</v>
      </c>
      <c r="J8421" s="67">
        <f t="shared" si="491"/>
        <v>4618.91</v>
      </c>
      <c r="L8421" s="70"/>
      <c r="M8421" s="934"/>
    </row>
    <row r="8422" ht="12.75" hidden="1" customHeight="1" outlineLevel="1">
      <c r="A8422" s="202">
        <v>42394.0</v>
      </c>
      <c r="B8422" s="985" t="s">
        <v>347</v>
      </c>
      <c r="C8422" s="94" t="s">
        <v>1905</v>
      </c>
      <c r="D8422" s="286">
        <v>1000.0</v>
      </c>
      <c r="E8422" s="94">
        <v>16.908</v>
      </c>
      <c r="F8422" s="986">
        <v>0.3973726851851852</v>
      </c>
      <c r="G8422" s="94" t="s">
        <v>453</v>
      </c>
      <c r="H8422" s="987">
        <v>4.51</v>
      </c>
      <c r="I8422" s="988" t="s">
        <v>3145</v>
      </c>
      <c r="J8422" s="67">
        <f t="shared" si="491"/>
        <v>16903.49</v>
      </c>
      <c r="L8422" s="70"/>
      <c r="M8422" s="934"/>
    </row>
    <row r="8423" ht="12.75" hidden="1" customHeight="1" outlineLevel="1">
      <c r="A8423" s="202">
        <v>42394.0</v>
      </c>
      <c r="B8423" s="985" t="s">
        <v>347</v>
      </c>
      <c r="C8423" s="94" t="s">
        <v>1893</v>
      </c>
      <c r="D8423" s="286">
        <v>6000.0</v>
      </c>
      <c r="E8423" s="94">
        <v>3.89</v>
      </c>
      <c r="F8423" s="986">
        <v>0.396875</v>
      </c>
      <c r="G8423" s="94" t="s">
        <v>453</v>
      </c>
      <c r="H8423" s="987">
        <v>30.43</v>
      </c>
      <c r="I8423" s="988" t="s">
        <v>3145</v>
      </c>
      <c r="J8423" s="67">
        <f t="shared" si="491"/>
        <v>23309.57</v>
      </c>
      <c r="L8423" s="70"/>
      <c r="M8423" s="934"/>
    </row>
    <row r="8424" ht="12.75" hidden="1" customHeight="1" outlineLevel="1">
      <c r="A8424" s="202">
        <v>42394.0</v>
      </c>
      <c r="B8424" s="985" t="s">
        <v>347</v>
      </c>
      <c r="C8424" s="94" t="s">
        <v>790</v>
      </c>
      <c r="D8424" s="286">
        <v>6500.0</v>
      </c>
      <c r="E8424" s="94">
        <v>2.96</v>
      </c>
      <c r="F8424" s="986">
        <v>0.39652777777777776</v>
      </c>
      <c r="G8424" s="94" t="s">
        <v>453</v>
      </c>
      <c r="H8424" s="987">
        <v>32.85</v>
      </c>
      <c r="I8424" s="988" t="s">
        <v>3145</v>
      </c>
      <c r="J8424" s="67">
        <f t="shared" si="491"/>
        <v>19207.15</v>
      </c>
      <c r="L8424" s="70"/>
      <c r="M8424" s="934"/>
    </row>
    <row r="8425" ht="12.75" hidden="1" customHeight="1" outlineLevel="1">
      <c r="A8425" s="990">
        <v>42394.0</v>
      </c>
      <c r="B8425" s="992"/>
      <c r="C8425" s="32" t="s">
        <v>339</v>
      </c>
      <c r="D8425" s="1"/>
      <c r="F8425" s="1"/>
      <c r="G8425" s="1"/>
      <c r="H8425" s="68"/>
      <c r="I8425" s="76"/>
      <c r="K8425" s="994" t="s">
        <v>3285</v>
      </c>
      <c r="L8425" s="934"/>
      <c r="M8425" s="934"/>
    </row>
    <row r="8426" ht="12.75" hidden="1" customHeight="1" outlineLevel="1">
      <c r="A8426" s="990">
        <v>42394.0</v>
      </c>
      <c r="B8426" s="992"/>
      <c r="C8426" s="32" t="s">
        <v>429</v>
      </c>
      <c r="D8426" s="1"/>
      <c r="F8426" s="1"/>
      <c r="G8426" s="1"/>
      <c r="H8426" s="68"/>
      <c r="I8426" s="76"/>
      <c r="K8426" s="9" t="s">
        <v>3187</v>
      </c>
      <c r="L8426" s="934"/>
      <c r="M8426" s="934"/>
    </row>
    <row r="8427" ht="12.75" hidden="1" customHeight="1" outlineLevel="1">
      <c r="A8427" s="990">
        <v>42394.0</v>
      </c>
      <c r="B8427" s="992"/>
      <c r="C8427" s="32" t="s">
        <v>431</v>
      </c>
      <c r="D8427" s="1"/>
      <c r="F8427" s="1"/>
      <c r="G8427" s="1"/>
      <c r="H8427" s="68"/>
      <c r="I8427" s="76"/>
      <c r="K8427" s="7" t="s">
        <v>1126</v>
      </c>
      <c r="L8427" s="934"/>
      <c r="M8427" s="934"/>
    </row>
    <row r="8428" ht="12.75" hidden="1" customHeight="1" outlineLevel="1">
      <c r="A8428" s="990">
        <v>42394.0</v>
      </c>
      <c r="B8428" s="992"/>
      <c r="C8428" s="32" t="s">
        <v>433</v>
      </c>
      <c r="D8428" s="1"/>
      <c r="F8428" s="1"/>
      <c r="G8428" s="1"/>
      <c r="H8428" s="68"/>
      <c r="I8428" s="76"/>
      <c r="K8428" s="7" t="s">
        <v>1103</v>
      </c>
      <c r="L8428" s="934"/>
      <c r="M8428" s="934"/>
    </row>
    <row r="8429" ht="12.75" hidden="1" customHeight="1" outlineLevel="1">
      <c r="A8429" s="990">
        <v>42394.0</v>
      </c>
      <c r="B8429" s="992"/>
      <c r="C8429" s="32" t="s">
        <v>435</v>
      </c>
      <c r="D8429" s="1"/>
      <c r="F8429" s="1"/>
      <c r="G8429" s="1"/>
      <c r="H8429" s="68"/>
      <c r="I8429" s="76"/>
      <c r="K8429" s="9" t="s">
        <v>3134</v>
      </c>
      <c r="L8429" s="934"/>
      <c r="M8429" s="934"/>
    </row>
    <row r="8430" ht="12.75" hidden="1" customHeight="1" outlineLevel="1">
      <c r="A8430" s="202">
        <v>42395.0</v>
      </c>
      <c r="B8430" s="985" t="s">
        <v>343</v>
      </c>
      <c r="C8430" s="94" t="s">
        <v>1088</v>
      </c>
      <c r="D8430" s="94">
        <v>10.0</v>
      </c>
      <c r="E8430" s="94">
        <v>1588.79</v>
      </c>
      <c r="F8430" s="986">
        <v>0.4049189814814815</v>
      </c>
      <c r="G8430" s="94" t="s">
        <v>453</v>
      </c>
      <c r="H8430" s="987">
        <v>1.0</v>
      </c>
      <c r="I8430" s="988" t="s">
        <v>3145</v>
      </c>
      <c r="J8430" s="67">
        <f t="shared" ref="J8430:J8483" si="492">IF(B8430="SLD",D8430*E8430,-D8430*E8430)-H8430</f>
        <v>-15888.9</v>
      </c>
      <c r="L8430" s="70"/>
      <c r="M8430" s="934"/>
    </row>
    <row r="8431" ht="12.75" hidden="1" customHeight="1" outlineLevel="1">
      <c r="A8431" s="202">
        <v>42395.0</v>
      </c>
      <c r="B8431" s="985" t="s">
        <v>347</v>
      </c>
      <c r="C8431" s="94" t="s">
        <v>1905</v>
      </c>
      <c r="D8431" s="94">
        <v>500.0</v>
      </c>
      <c r="E8431" s="94">
        <v>17.1864</v>
      </c>
      <c r="F8431" s="986">
        <v>0.40318287037037037</v>
      </c>
      <c r="G8431" s="94" t="s">
        <v>453</v>
      </c>
      <c r="H8431" s="987">
        <v>2.16</v>
      </c>
      <c r="I8431" s="988" t="s">
        <v>3145</v>
      </c>
      <c r="J8431" s="67">
        <f t="shared" si="492"/>
        <v>8591.04</v>
      </c>
      <c r="L8431" s="70"/>
      <c r="M8431" s="934"/>
    </row>
    <row r="8432" ht="12.75" hidden="1" customHeight="1" outlineLevel="1">
      <c r="A8432" s="202">
        <v>42396.0</v>
      </c>
      <c r="B8432" s="985" t="s">
        <v>347</v>
      </c>
      <c r="C8432" s="94" t="s">
        <v>3136</v>
      </c>
      <c r="D8432" s="94">
        <v>300.0</v>
      </c>
      <c r="E8432" s="94">
        <v>38.191</v>
      </c>
      <c r="F8432" s="986">
        <v>0.6663657407407407</v>
      </c>
      <c r="G8432" s="94" t="s">
        <v>453</v>
      </c>
      <c r="H8432" s="987">
        <v>1.51</v>
      </c>
      <c r="I8432" s="988" t="s">
        <v>3145</v>
      </c>
      <c r="J8432" s="67">
        <f t="shared" si="492"/>
        <v>11455.79</v>
      </c>
      <c r="L8432" s="70"/>
      <c r="M8432" s="934"/>
    </row>
    <row r="8433" ht="12.75" hidden="1" customHeight="1" outlineLevel="1">
      <c r="A8433" s="202">
        <v>42396.0</v>
      </c>
      <c r="B8433" s="985" t="s">
        <v>347</v>
      </c>
      <c r="C8433" s="94" t="s">
        <v>1249</v>
      </c>
      <c r="D8433" s="94">
        <v>300.0</v>
      </c>
      <c r="E8433" s="94">
        <v>90.13</v>
      </c>
      <c r="F8433" s="986">
        <v>0.6659837962962963</v>
      </c>
      <c r="G8433" s="94" t="s">
        <v>453</v>
      </c>
      <c r="H8433" s="987">
        <v>1.9</v>
      </c>
      <c r="I8433" s="988" t="s">
        <v>3145</v>
      </c>
      <c r="J8433" s="67">
        <f t="shared" si="492"/>
        <v>27037.1</v>
      </c>
      <c r="L8433" s="70"/>
      <c r="M8433" s="934"/>
    </row>
    <row r="8434" ht="12.75" hidden="1" customHeight="1" outlineLevel="1">
      <c r="A8434" s="202">
        <v>42396.0</v>
      </c>
      <c r="B8434" s="985" t="s">
        <v>347</v>
      </c>
      <c r="C8434" s="94" t="s">
        <v>344</v>
      </c>
      <c r="D8434" s="94">
        <v>600.0</v>
      </c>
      <c r="E8434" s="94">
        <v>54.521</v>
      </c>
      <c r="F8434" s="986">
        <v>0.665787037037037</v>
      </c>
      <c r="G8434" s="94" t="s">
        <v>453</v>
      </c>
      <c r="H8434" s="987">
        <v>3.3</v>
      </c>
      <c r="I8434" s="988" t="s">
        <v>3145</v>
      </c>
      <c r="J8434" s="67">
        <f t="shared" si="492"/>
        <v>32709.3</v>
      </c>
      <c r="L8434" s="70"/>
      <c r="M8434" s="934"/>
    </row>
    <row r="8435" ht="12.75" hidden="1" customHeight="1" outlineLevel="1">
      <c r="A8435" s="202">
        <v>42396.0</v>
      </c>
      <c r="B8435" s="985" t="s">
        <v>347</v>
      </c>
      <c r="C8435" s="94" t="s">
        <v>2210</v>
      </c>
      <c r="D8435" s="94">
        <v>250.0</v>
      </c>
      <c r="E8435" s="94">
        <v>62.161</v>
      </c>
      <c r="F8435" s="986">
        <v>0.6644560185185185</v>
      </c>
      <c r="G8435" s="94" t="s">
        <v>453</v>
      </c>
      <c r="H8435" s="987">
        <v>1.39</v>
      </c>
      <c r="I8435" s="988" t="s">
        <v>3145</v>
      </c>
      <c r="J8435" s="67">
        <f t="shared" si="492"/>
        <v>15538.86</v>
      </c>
      <c r="L8435" s="70"/>
      <c r="M8435" s="934"/>
    </row>
    <row r="8436" ht="12.75" hidden="1" customHeight="1" outlineLevel="1">
      <c r="A8436" s="202">
        <v>42396.0</v>
      </c>
      <c r="B8436" s="985" t="s">
        <v>347</v>
      </c>
      <c r="C8436" s="94" t="s">
        <v>2098</v>
      </c>
      <c r="D8436" s="94">
        <v>300.0</v>
      </c>
      <c r="E8436" s="94">
        <v>60.857</v>
      </c>
      <c r="F8436" s="986">
        <v>0.6113888888888889</v>
      </c>
      <c r="G8436" s="94" t="s">
        <v>453</v>
      </c>
      <c r="H8436" s="987">
        <v>1.64</v>
      </c>
      <c r="I8436" s="988" t="s">
        <v>3145</v>
      </c>
      <c r="J8436" s="67">
        <f t="shared" si="492"/>
        <v>18255.46</v>
      </c>
      <c r="L8436" s="70"/>
      <c r="M8436" s="934"/>
    </row>
    <row r="8437" ht="12.75" hidden="1" customHeight="1" outlineLevel="1">
      <c r="A8437" s="202">
        <v>42396.0</v>
      </c>
      <c r="B8437" s="985" t="s">
        <v>347</v>
      </c>
      <c r="C8437" s="94" t="s">
        <v>1345</v>
      </c>
      <c r="D8437" s="94">
        <v>100.0</v>
      </c>
      <c r="E8437" s="94">
        <v>151.33</v>
      </c>
      <c r="F8437" s="986">
        <v>0.6107870370370371</v>
      </c>
      <c r="G8437" s="94" t="s">
        <v>453</v>
      </c>
      <c r="H8437" s="987">
        <v>1.28</v>
      </c>
      <c r="I8437" s="988" t="s">
        <v>3145</v>
      </c>
      <c r="J8437" s="67">
        <f t="shared" si="492"/>
        <v>15131.72</v>
      </c>
      <c r="L8437" s="70"/>
      <c r="M8437" s="934"/>
    </row>
    <row r="8438" ht="12.75" hidden="1" customHeight="1" outlineLevel="1">
      <c r="A8438" s="202">
        <v>42396.0</v>
      </c>
      <c r="B8438" s="985" t="s">
        <v>347</v>
      </c>
      <c r="C8438" s="94" t="s">
        <v>2342</v>
      </c>
      <c r="D8438" s="94">
        <v>300.0</v>
      </c>
      <c r="E8438" s="94">
        <v>52.06</v>
      </c>
      <c r="F8438" s="986">
        <v>0.6103125</v>
      </c>
      <c r="G8438" s="94" t="s">
        <v>453</v>
      </c>
      <c r="H8438" s="987">
        <v>1.79</v>
      </c>
      <c r="I8438" s="988" t="s">
        <v>3145</v>
      </c>
      <c r="J8438" s="67">
        <f t="shared" si="492"/>
        <v>15616.21</v>
      </c>
      <c r="L8438" s="70"/>
      <c r="M8438" s="934"/>
    </row>
    <row r="8439" ht="12.75" hidden="1" customHeight="1" outlineLevel="1">
      <c r="A8439" s="202">
        <v>42396.0</v>
      </c>
      <c r="B8439" s="985" t="s">
        <v>343</v>
      </c>
      <c r="C8439" s="94" t="s">
        <v>1781</v>
      </c>
      <c r="D8439" s="94">
        <v>500.0</v>
      </c>
      <c r="E8439" s="94">
        <v>9.62</v>
      </c>
      <c r="F8439" s="986">
        <v>0.6087962962962963</v>
      </c>
      <c r="G8439" s="94" t="s">
        <v>453</v>
      </c>
      <c r="H8439" s="987">
        <v>2.2</v>
      </c>
      <c r="I8439" s="988" t="s">
        <v>3145</v>
      </c>
      <c r="J8439" s="67">
        <f t="shared" si="492"/>
        <v>-4812.2</v>
      </c>
      <c r="L8439" s="70"/>
      <c r="M8439" s="934"/>
    </row>
    <row r="8440" ht="12.75" hidden="1" customHeight="1" outlineLevel="1">
      <c r="A8440" s="202">
        <v>42396.0</v>
      </c>
      <c r="B8440" s="985" t="s">
        <v>347</v>
      </c>
      <c r="C8440" s="94" t="s">
        <v>1244</v>
      </c>
      <c r="D8440" s="94">
        <v>200.0</v>
      </c>
      <c r="E8440" s="94">
        <v>91.041</v>
      </c>
      <c r="F8440" s="986">
        <v>0.5177083333333333</v>
      </c>
      <c r="G8440" s="94" t="s">
        <v>453</v>
      </c>
      <c r="H8440" s="987">
        <v>1.34</v>
      </c>
      <c r="I8440" s="988" t="s">
        <v>3145</v>
      </c>
      <c r="J8440" s="67">
        <f t="shared" si="492"/>
        <v>18206.86</v>
      </c>
      <c r="L8440" s="70"/>
      <c r="M8440" s="934"/>
    </row>
    <row r="8441" ht="12.75" hidden="1" customHeight="1" outlineLevel="1">
      <c r="A8441" s="202">
        <v>42396.0</v>
      </c>
      <c r="B8441" s="985" t="s">
        <v>347</v>
      </c>
      <c r="C8441" s="94" t="s">
        <v>2862</v>
      </c>
      <c r="D8441" s="94">
        <v>700.0</v>
      </c>
      <c r="E8441" s="94">
        <v>77.049</v>
      </c>
      <c r="F8441" s="986">
        <v>0.5172800925925926</v>
      </c>
      <c r="G8441" s="94" t="s">
        <v>453</v>
      </c>
      <c r="H8441" s="987">
        <v>3.79</v>
      </c>
      <c r="I8441" s="988" t="s">
        <v>3145</v>
      </c>
      <c r="J8441" s="67">
        <f t="shared" si="492"/>
        <v>53930.51</v>
      </c>
      <c r="L8441" s="70"/>
      <c r="M8441" s="934"/>
    </row>
    <row r="8442" ht="12.75" hidden="1" customHeight="1" outlineLevel="1">
      <c r="A8442" s="202">
        <v>42396.0</v>
      </c>
      <c r="B8442" s="985" t="s">
        <v>347</v>
      </c>
      <c r="C8442" s="94" t="s">
        <v>847</v>
      </c>
      <c r="D8442" s="94">
        <v>400.0</v>
      </c>
      <c r="E8442" s="94">
        <v>131.938</v>
      </c>
      <c r="F8442" s="986">
        <v>0.5171412037037038</v>
      </c>
      <c r="G8442" s="94" t="s">
        <v>453</v>
      </c>
      <c r="H8442" s="987">
        <v>2.57</v>
      </c>
      <c r="I8442" s="988" t="s">
        <v>3145</v>
      </c>
      <c r="J8442" s="67">
        <f t="shared" si="492"/>
        <v>52772.63</v>
      </c>
      <c r="L8442" s="70"/>
      <c r="M8442" s="934"/>
    </row>
    <row r="8443" ht="12.75" hidden="1" customHeight="1" outlineLevel="1">
      <c r="A8443" s="202">
        <v>42396.0</v>
      </c>
      <c r="B8443" s="985" t="s">
        <v>347</v>
      </c>
      <c r="C8443" s="94" t="s">
        <v>1221</v>
      </c>
      <c r="D8443" s="94">
        <v>400.0</v>
      </c>
      <c r="E8443" s="94">
        <v>33.07</v>
      </c>
      <c r="F8443" s="986">
        <v>0.5170138888888889</v>
      </c>
      <c r="G8443" s="94" t="s">
        <v>453</v>
      </c>
      <c r="H8443" s="987">
        <v>2.14</v>
      </c>
      <c r="I8443" s="988" t="s">
        <v>3145</v>
      </c>
      <c r="J8443" s="67">
        <f t="shared" si="492"/>
        <v>13225.86</v>
      </c>
      <c r="L8443" s="70"/>
      <c r="M8443" s="934"/>
    </row>
    <row r="8444" ht="12.75" hidden="1" customHeight="1" outlineLevel="1">
      <c r="A8444" s="202">
        <v>42396.0</v>
      </c>
      <c r="B8444" s="985" t="s">
        <v>347</v>
      </c>
      <c r="C8444" s="94" t="s">
        <v>346</v>
      </c>
      <c r="D8444" s="94">
        <v>600.0</v>
      </c>
      <c r="E8444" s="94">
        <v>95.801</v>
      </c>
      <c r="F8444" s="986">
        <v>0.5153935185185186</v>
      </c>
      <c r="G8444" s="94" t="s">
        <v>453</v>
      </c>
      <c r="H8444" s="987">
        <v>3.46</v>
      </c>
      <c r="I8444" s="988" t="s">
        <v>3145</v>
      </c>
      <c r="J8444" s="67">
        <f t="shared" si="492"/>
        <v>57477.14</v>
      </c>
      <c r="L8444" s="70"/>
      <c r="M8444" s="934"/>
    </row>
    <row r="8445" ht="12.75" hidden="1" customHeight="1" outlineLevel="1">
      <c r="A8445" s="202">
        <v>42396.0</v>
      </c>
      <c r="B8445" s="985" t="s">
        <v>343</v>
      </c>
      <c r="C8445" s="94" t="s">
        <v>2210</v>
      </c>
      <c r="D8445" s="94">
        <v>900.0</v>
      </c>
      <c r="E8445" s="94">
        <v>63.521</v>
      </c>
      <c r="F8445" s="986">
        <v>0.5150694444444445</v>
      </c>
      <c r="G8445" s="94" t="s">
        <v>453</v>
      </c>
      <c r="H8445" s="987">
        <v>3.7</v>
      </c>
      <c r="I8445" s="988" t="s">
        <v>3145</v>
      </c>
      <c r="J8445" s="67">
        <f t="shared" si="492"/>
        <v>-57172.6</v>
      </c>
      <c r="L8445" s="70"/>
      <c r="M8445" s="934"/>
    </row>
    <row r="8446" ht="12.75" hidden="1" customHeight="1" outlineLevel="1">
      <c r="A8446" s="202">
        <v>42396.0</v>
      </c>
      <c r="B8446" s="985" t="s">
        <v>343</v>
      </c>
      <c r="C8446" s="94" t="s">
        <v>1947</v>
      </c>
      <c r="D8446" s="286">
        <v>2300.0</v>
      </c>
      <c r="E8446" s="94">
        <v>29.527</v>
      </c>
      <c r="F8446" s="986">
        <v>0.5144791666666667</v>
      </c>
      <c r="G8446" s="94" t="s">
        <v>453</v>
      </c>
      <c r="H8446" s="987">
        <v>10.3</v>
      </c>
      <c r="I8446" s="988" t="s">
        <v>3145</v>
      </c>
      <c r="J8446" s="67">
        <f t="shared" si="492"/>
        <v>-67922.4</v>
      </c>
      <c r="L8446" s="70"/>
      <c r="M8446" s="934"/>
    </row>
    <row r="8447" ht="12.75" hidden="1" customHeight="1" outlineLevel="1">
      <c r="A8447" s="202">
        <v>42396.0</v>
      </c>
      <c r="B8447" s="985" t="s">
        <v>343</v>
      </c>
      <c r="C8447" s="94" t="s">
        <v>1816</v>
      </c>
      <c r="D8447" s="94">
        <v>800.0</v>
      </c>
      <c r="E8447" s="94">
        <v>39.62</v>
      </c>
      <c r="F8447" s="986">
        <v>0.5141898148148148</v>
      </c>
      <c r="G8447" s="94" t="s">
        <v>453</v>
      </c>
      <c r="H8447" s="987">
        <v>3.2</v>
      </c>
      <c r="I8447" s="988" t="s">
        <v>3145</v>
      </c>
      <c r="J8447" s="67">
        <f t="shared" si="492"/>
        <v>-31699.2</v>
      </c>
      <c r="L8447" s="70"/>
      <c r="M8447" s="934"/>
    </row>
    <row r="8448" ht="12.75" hidden="1" customHeight="1" outlineLevel="1">
      <c r="A8448" s="202">
        <v>42396.0</v>
      </c>
      <c r="B8448" s="985" t="s">
        <v>343</v>
      </c>
      <c r="C8448" s="94" t="s">
        <v>1821</v>
      </c>
      <c r="D8448" s="286">
        <v>2100.0</v>
      </c>
      <c r="E8448" s="94">
        <v>26.449</v>
      </c>
      <c r="F8448" s="986">
        <v>0.5139583333333333</v>
      </c>
      <c r="G8448" s="94" t="s">
        <v>453</v>
      </c>
      <c r="H8448" s="987">
        <v>9.0</v>
      </c>
      <c r="I8448" s="988" t="s">
        <v>3145</v>
      </c>
      <c r="J8448" s="67">
        <f t="shared" si="492"/>
        <v>-55551.9</v>
      </c>
      <c r="L8448" s="70"/>
      <c r="M8448" s="934"/>
    </row>
    <row r="8449" ht="12.75" hidden="1" customHeight="1" outlineLevel="1">
      <c r="A8449" s="202">
        <v>42396.0</v>
      </c>
      <c r="B8449" s="985" t="s">
        <v>343</v>
      </c>
      <c r="C8449" s="94" t="s">
        <v>1902</v>
      </c>
      <c r="D8449" s="286">
        <v>9000.0</v>
      </c>
      <c r="E8449" s="94">
        <v>6.246</v>
      </c>
      <c r="F8449" s="986">
        <v>0.513287037037037</v>
      </c>
      <c r="G8449" s="94" t="s">
        <v>453</v>
      </c>
      <c r="H8449" s="987">
        <v>44.3</v>
      </c>
      <c r="I8449" s="988" t="s">
        <v>3145</v>
      </c>
      <c r="J8449" s="67">
        <f t="shared" si="492"/>
        <v>-56258.3</v>
      </c>
      <c r="L8449" s="70"/>
      <c r="M8449" s="934"/>
    </row>
    <row r="8450" ht="12.75" hidden="1" customHeight="1" outlineLevel="1">
      <c r="A8450" s="202">
        <v>42396.0</v>
      </c>
      <c r="B8450" s="985" t="s">
        <v>343</v>
      </c>
      <c r="C8450" s="94" t="s">
        <v>3024</v>
      </c>
      <c r="D8450" s="286">
        <v>4500.0</v>
      </c>
      <c r="E8450" s="94">
        <v>14.568</v>
      </c>
      <c r="F8450" s="986">
        <v>0.5127083333333333</v>
      </c>
      <c r="G8450" s="94" t="s">
        <v>453</v>
      </c>
      <c r="H8450" s="987">
        <v>22.5</v>
      </c>
      <c r="I8450" s="988" t="s">
        <v>3145</v>
      </c>
      <c r="J8450" s="67">
        <f t="shared" si="492"/>
        <v>-65578.5</v>
      </c>
      <c r="L8450" s="70"/>
      <c r="M8450" s="934"/>
    </row>
    <row r="8451" ht="12.75" hidden="1" customHeight="1" outlineLevel="1">
      <c r="A8451" s="202">
        <v>42396.0</v>
      </c>
      <c r="B8451" s="985" t="s">
        <v>343</v>
      </c>
      <c r="C8451" s="94" t="s">
        <v>784</v>
      </c>
      <c r="D8451" s="286">
        <v>35000.0</v>
      </c>
      <c r="E8451" s="94">
        <v>2.37</v>
      </c>
      <c r="F8451" s="986">
        <v>0.5122685185185185</v>
      </c>
      <c r="G8451" s="94" t="s">
        <v>453</v>
      </c>
      <c r="H8451" s="987">
        <v>171.2</v>
      </c>
      <c r="I8451" s="988" t="s">
        <v>3145</v>
      </c>
      <c r="J8451" s="67">
        <f t="shared" si="492"/>
        <v>-83121.2</v>
      </c>
      <c r="L8451" s="70"/>
      <c r="M8451" s="934"/>
    </row>
    <row r="8452" ht="12.75" hidden="1" customHeight="1" outlineLevel="1">
      <c r="A8452" s="202">
        <v>42396.0</v>
      </c>
      <c r="B8452" s="985" t="s">
        <v>343</v>
      </c>
      <c r="C8452" s="94" t="s">
        <v>1905</v>
      </c>
      <c r="D8452" s="286">
        <v>3500.0</v>
      </c>
      <c r="E8452" s="94">
        <v>19.146</v>
      </c>
      <c r="F8452" s="986">
        <v>0.5120486111111111</v>
      </c>
      <c r="G8452" s="94" t="s">
        <v>453</v>
      </c>
      <c r="H8452" s="987">
        <v>15.5</v>
      </c>
      <c r="I8452" s="988" t="s">
        <v>3145</v>
      </c>
      <c r="J8452" s="67">
        <f t="shared" si="492"/>
        <v>-67026.5</v>
      </c>
      <c r="L8452" s="70"/>
      <c r="M8452" s="934"/>
    </row>
    <row r="8453" ht="12.75" hidden="1" customHeight="1" outlineLevel="1">
      <c r="A8453" s="202">
        <v>42396.0</v>
      </c>
      <c r="B8453" s="985" t="s">
        <v>343</v>
      </c>
      <c r="C8453" s="94" t="s">
        <v>790</v>
      </c>
      <c r="D8453" s="286">
        <v>20000.0</v>
      </c>
      <c r="E8453" s="94">
        <v>3.199</v>
      </c>
      <c r="F8453" s="986">
        <v>0.5118865740740741</v>
      </c>
      <c r="G8453" s="94" t="s">
        <v>453</v>
      </c>
      <c r="H8453" s="987">
        <v>89.8</v>
      </c>
      <c r="I8453" s="988" t="s">
        <v>3145</v>
      </c>
      <c r="J8453" s="67">
        <f t="shared" si="492"/>
        <v>-64069.8</v>
      </c>
      <c r="L8453" s="70"/>
      <c r="M8453" s="934"/>
    </row>
    <row r="8454" ht="12.75" hidden="1" customHeight="1" outlineLevel="1">
      <c r="A8454" s="202">
        <v>42396.0</v>
      </c>
      <c r="B8454" s="985" t="s">
        <v>343</v>
      </c>
      <c r="C8454" s="94" t="s">
        <v>2084</v>
      </c>
      <c r="D8454" s="286">
        <v>6000.0</v>
      </c>
      <c r="E8454" s="94">
        <v>9.52</v>
      </c>
      <c r="F8454" s="986">
        <v>0.5116666666666667</v>
      </c>
      <c r="G8454" s="94" t="s">
        <v>453</v>
      </c>
      <c r="H8454" s="987">
        <v>30.0</v>
      </c>
      <c r="I8454" s="988" t="s">
        <v>3145</v>
      </c>
      <c r="J8454" s="67">
        <f t="shared" si="492"/>
        <v>-57150</v>
      </c>
      <c r="L8454" s="70"/>
      <c r="M8454" s="934"/>
    </row>
    <row r="8455" ht="12.75" hidden="1" customHeight="1" outlineLevel="1">
      <c r="A8455" s="202">
        <v>42396.0</v>
      </c>
      <c r="B8455" s="985" t="s">
        <v>343</v>
      </c>
      <c r="C8455" s="94" t="s">
        <v>1633</v>
      </c>
      <c r="D8455" s="286">
        <v>9000.0</v>
      </c>
      <c r="E8455" s="94">
        <v>7.051</v>
      </c>
      <c r="F8455" s="986">
        <v>0.5113888888888889</v>
      </c>
      <c r="G8455" s="94" t="s">
        <v>453</v>
      </c>
      <c r="H8455" s="987">
        <v>44.9</v>
      </c>
      <c r="I8455" s="988" t="s">
        <v>3145</v>
      </c>
      <c r="J8455" s="67">
        <f t="shared" si="492"/>
        <v>-63503.9</v>
      </c>
      <c r="L8455" s="70"/>
      <c r="M8455" s="934"/>
    </row>
    <row r="8456" ht="12.75" hidden="1" customHeight="1" outlineLevel="1">
      <c r="A8456" s="202">
        <v>42396.0</v>
      </c>
      <c r="B8456" s="985" t="s">
        <v>343</v>
      </c>
      <c r="C8456" s="94" t="s">
        <v>1893</v>
      </c>
      <c r="D8456" s="286">
        <v>18000.0</v>
      </c>
      <c r="E8456" s="94">
        <v>4.96</v>
      </c>
      <c r="F8456" s="986">
        <v>0.511099537037037</v>
      </c>
      <c r="G8456" s="94" t="s">
        <v>453</v>
      </c>
      <c r="H8456" s="987">
        <v>87.4</v>
      </c>
      <c r="I8456" s="988" t="s">
        <v>3145</v>
      </c>
      <c r="J8456" s="67">
        <f t="shared" si="492"/>
        <v>-89367.4</v>
      </c>
      <c r="L8456" s="70"/>
      <c r="M8456" s="934"/>
    </row>
    <row r="8457" ht="12.75" hidden="1" customHeight="1" outlineLevel="1">
      <c r="A8457" s="202">
        <v>42397.0</v>
      </c>
      <c r="B8457" s="985" t="s">
        <v>343</v>
      </c>
      <c r="C8457" s="94" t="s">
        <v>3136</v>
      </c>
      <c r="D8457" s="94">
        <v>600.0</v>
      </c>
      <c r="E8457" s="94">
        <v>39.14</v>
      </c>
      <c r="F8457" s="986">
        <v>0.6252893518518519</v>
      </c>
      <c r="G8457" s="94" t="s">
        <v>453</v>
      </c>
      <c r="H8457" s="987">
        <v>2.4</v>
      </c>
      <c r="I8457" s="988" t="s">
        <v>3145</v>
      </c>
      <c r="J8457" s="67">
        <f t="shared" si="492"/>
        <v>-23486.4</v>
      </c>
      <c r="L8457" s="70"/>
      <c r="M8457" s="934"/>
    </row>
    <row r="8458" ht="12.75" hidden="1" customHeight="1" outlineLevel="1">
      <c r="A8458" s="202">
        <v>42397.0</v>
      </c>
      <c r="B8458" s="985" t="s">
        <v>343</v>
      </c>
      <c r="C8458" s="94" t="s">
        <v>344</v>
      </c>
      <c r="D8458" s="94">
        <v>600.0</v>
      </c>
      <c r="E8458" s="94">
        <v>55.078</v>
      </c>
      <c r="F8458" s="986">
        <v>0.6246990740740741</v>
      </c>
      <c r="G8458" s="94" t="s">
        <v>453</v>
      </c>
      <c r="H8458" s="987">
        <v>3.3</v>
      </c>
      <c r="I8458" s="988" t="s">
        <v>3145</v>
      </c>
      <c r="J8458" s="67">
        <f t="shared" si="492"/>
        <v>-33050.1</v>
      </c>
      <c r="L8458" s="70"/>
      <c r="M8458" s="934"/>
    </row>
    <row r="8459" ht="12.75" hidden="1" customHeight="1" outlineLevel="1">
      <c r="A8459" s="202">
        <v>42397.0</v>
      </c>
      <c r="B8459" s="985" t="s">
        <v>347</v>
      </c>
      <c r="C8459" s="94" t="s">
        <v>1310</v>
      </c>
      <c r="D8459" s="94">
        <v>60.0</v>
      </c>
      <c r="E8459" s="94">
        <v>282.265</v>
      </c>
      <c r="F8459" s="986">
        <v>0.6230439814814814</v>
      </c>
      <c r="G8459" s="94" t="s">
        <v>453</v>
      </c>
      <c r="H8459" s="987">
        <v>1.31</v>
      </c>
      <c r="I8459" s="988" t="s">
        <v>3145</v>
      </c>
      <c r="J8459" s="67">
        <f t="shared" si="492"/>
        <v>16934.59</v>
      </c>
      <c r="L8459" s="70"/>
      <c r="M8459" s="934"/>
    </row>
    <row r="8460" ht="12.75" hidden="1" customHeight="1" outlineLevel="1">
      <c r="A8460" s="202">
        <v>42397.0</v>
      </c>
      <c r="B8460" s="985" t="s">
        <v>347</v>
      </c>
      <c r="C8460" s="94" t="s">
        <v>1465</v>
      </c>
      <c r="D8460" s="94">
        <v>40.0</v>
      </c>
      <c r="E8460" s="94">
        <v>265.19</v>
      </c>
      <c r="F8460" s="986">
        <v>0.622824074074074</v>
      </c>
      <c r="G8460" s="94" t="s">
        <v>453</v>
      </c>
      <c r="H8460" s="987">
        <v>1.2</v>
      </c>
      <c r="I8460" s="988" t="s">
        <v>3145</v>
      </c>
      <c r="J8460" s="67">
        <f t="shared" si="492"/>
        <v>10606.4</v>
      </c>
      <c r="L8460" s="70"/>
      <c r="M8460" s="934"/>
    </row>
    <row r="8461" ht="12.75" hidden="1" customHeight="1" outlineLevel="1">
      <c r="A8461" s="202">
        <v>42397.0</v>
      </c>
      <c r="B8461" s="985" t="s">
        <v>347</v>
      </c>
      <c r="C8461" s="94" t="s">
        <v>1249</v>
      </c>
      <c r="D8461" s="94">
        <v>300.0</v>
      </c>
      <c r="E8461" s="94">
        <v>87.271</v>
      </c>
      <c r="F8461" s="986">
        <v>0.622650462962963</v>
      </c>
      <c r="G8461" s="94" t="s">
        <v>453</v>
      </c>
      <c r="H8461" s="987">
        <v>1.88</v>
      </c>
      <c r="I8461" s="988" t="s">
        <v>3145</v>
      </c>
      <c r="J8461" s="67">
        <f t="shared" si="492"/>
        <v>26179.42</v>
      </c>
      <c r="L8461" s="70"/>
      <c r="M8461" s="934"/>
    </row>
    <row r="8462" ht="12.75" hidden="1" customHeight="1" outlineLevel="1">
      <c r="A8462" s="202">
        <v>42397.0</v>
      </c>
      <c r="B8462" s="985" t="s">
        <v>347</v>
      </c>
      <c r="C8462" s="94" t="s">
        <v>784</v>
      </c>
      <c r="D8462" s="286">
        <v>10000.0</v>
      </c>
      <c r="E8462" s="94">
        <v>2.261</v>
      </c>
      <c r="F8462" s="986">
        <v>0.5978009259259259</v>
      </c>
      <c r="G8462" s="94" t="s">
        <v>453</v>
      </c>
      <c r="H8462" s="987">
        <v>44.32</v>
      </c>
      <c r="I8462" s="988" t="s">
        <v>3145</v>
      </c>
      <c r="J8462" s="67">
        <f t="shared" si="492"/>
        <v>22565.68</v>
      </c>
      <c r="L8462" s="70"/>
      <c r="M8462" s="934"/>
    </row>
    <row r="8463" ht="12.75" hidden="1" customHeight="1" outlineLevel="1">
      <c r="A8463" s="202">
        <v>42397.0</v>
      </c>
      <c r="B8463" s="985" t="s">
        <v>343</v>
      </c>
      <c r="C8463" s="94" t="s">
        <v>1995</v>
      </c>
      <c r="D8463" s="94">
        <v>200.0</v>
      </c>
      <c r="E8463" s="94">
        <v>46.21</v>
      </c>
      <c r="F8463" s="986">
        <v>0.4692939814814815</v>
      </c>
      <c r="G8463" s="94" t="s">
        <v>453</v>
      </c>
      <c r="H8463" s="987">
        <v>1.0</v>
      </c>
      <c r="I8463" s="988" t="s">
        <v>3145</v>
      </c>
      <c r="J8463" s="67">
        <f t="shared" si="492"/>
        <v>-9243</v>
      </c>
      <c r="L8463" s="70"/>
      <c r="M8463" s="934"/>
    </row>
    <row r="8464" ht="12.75" hidden="1" customHeight="1" outlineLevel="1">
      <c r="A8464" s="202">
        <v>42397.0</v>
      </c>
      <c r="B8464" s="985" t="s">
        <v>343</v>
      </c>
      <c r="C8464" s="94" t="s">
        <v>3132</v>
      </c>
      <c r="D8464" s="94">
        <v>75.0</v>
      </c>
      <c r="E8464" s="94">
        <v>135.17</v>
      </c>
      <c r="F8464" s="986">
        <v>0.46913194444444445</v>
      </c>
      <c r="G8464" s="94" t="s">
        <v>453</v>
      </c>
      <c r="H8464" s="987">
        <v>1.0</v>
      </c>
      <c r="I8464" s="988" t="s">
        <v>3145</v>
      </c>
      <c r="J8464" s="67">
        <f t="shared" si="492"/>
        <v>-10138.75</v>
      </c>
      <c r="L8464" s="70"/>
      <c r="M8464" s="934"/>
    </row>
    <row r="8465" ht="12.75" hidden="1" customHeight="1" outlineLevel="1">
      <c r="A8465" s="202">
        <v>42397.0</v>
      </c>
      <c r="B8465" s="985" t="s">
        <v>343</v>
      </c>
      <c r="C8465" s="94" t="s">
        <v>2098</v>
      </c>
      <c r="D8465" s="94">
        <v>300.0</v>
      </c>
      <c r="E8465" s="94">
        <v>62.587</v>
      </c>
      <c r="F8465" s="986">
        <v>0.46828703703703706</v>
      </c>
      <c r="G8465" s="94" t="s">
        <v>453</v>
      </c>
      <c r="H8465" s="987">
        <v>1.2</v>
      </c>
      <c r="I8465" s="988" t="s">
        <v>3145</v>
      </c>
      <c r="J8465" s="67">
        <f t="shared" si="492"/>
        <v>-18777.3</v>
      </c>
      <c r="L8465" s="70"/>
      <c r="M8465" s="934"/>
    </row>
    <row r="8466" ht="12.75" hidden="1" customHeight="1" outlineLevel="1">
      <c r="A8466" s="202">
        <v>42397.0</v>
      </c>
      <c r="B8466" s="985" t="s">
        <v>347</v>
      </c>
      <c r="C8466" s="94" t="s">
        <v>1890</v>
      </c>
      <c r="D8466" s="286">
        <v>1000.0</v>
      </c>
      <c r="E8466" s="94">
        <v>9.18</v>
      </c>
      <c r="F8466" s="986">
        <v>0.44829861111111113</v>
      </c>
      <c r="G8466" s="94" t="s">
        <v>453</v>
      </c>
      <c r="H8466" s="987">
        <v>5.17</v>
      </c>
      <c r="I8466" s="988" t="s">
        <v>3145</v>
      </c>
      <c r="J8466" s="67">
        <f t="shared" si="492"/>
        <v>9174.83</v>
      </c>
      <c r="L8466" s="70"/>
      <c r="M8466" s="934"/>
    </row>
    <row r="8467" ht="12.75" hidden="1" customHeight="1" outlineLevel="1">
      <c r="A8467" s="202">
        <v>42397.0</v>
      </c>
      <c r="B8467" s="985" t="s">
        <v>347</v>
      </c>
      <c r="C8467" s="94" t="s">
        <v>2090</v>
      </c>
      <c r="D8467" s="286">
        <v>7000.0</v>
      </c>
      <c r="E8467" s="94">
        <v>3.478</v>
      </c>
      <c r="F8467" s="986">
        <v>0.4396643518518519</v>
      </c>
      <c r="G8467" s="94" t="s">
        <v>453</v>
      </c>
      <c r="H8467" s="987">
        <v>34.15</v>
      </c>
      <c r="I8467" s="988" t="s">
        <v>3145</v>
      </c>
      <c r="J8467" s="67">
        <f t="shared" si="492"/>
        <v>24311.85</v>
      </c>
      <c r="L8467" s="70"/>
      <c r="M8467" s="934"/>
    </row>
    <row r="8468" ht="12.75" hidden="1" customHeight="1" outlineLevel="1">
      <c r="A8468" s="202">
        <v>42397.0</v>
      </c>
      <c r="B8468" s="985" t="s">
        <v>347</v>
      </c>
      <c r="C8468" s="94" t="s">
        <v>1947</v>
      </c>
      <c r="D8468" s="94">
        <v>750.0</v>
      </c>
      <c r="E8468" s="94">
        <v>29.309</v>
      </c>
      <c r="F8468" s="986">
        <v>0.43833333333333335</v>
      </c>
      <c r="G8468" s="94" t="s">
        <v>453</v>
      </c>
      <c r="H8468" s="987">
        <v>3.4</v>
      </c>
      <c r="I8468" s="988" t="s">
        <v>3145</v>
      </c>
      <c r="J8468" s="67">
        <f t="shared" si="492"/>
        <v>21978.35</v>
      </c>
      <c r="L8468" s="70"/>
      <c r="M8468" s="934"/>
    </row>
    <row r="8469" ht="12.75" hidden="1" customHeight="1" outlineLevel="1">
      <c r="A8469" s="202">
        <v>42397.0</v>
      </c>
      <c r="B8469" s="985" t="s">
        <v>347</v>
      </c>
      <c r="C8469" s="94" t="s">
        <v>2210</v>
      </c>
      <c r="D8469" s="94">
        <v>350.0</v>
      </c>
      <c r="E8469" s="94">
        <v>62.72</v>
      </c>
      <c r="F8469" s="986">
        <v>0.43711805555555555</v>
      </c>
      <c r="G8469" s="94" t="s">
        <v>453</v>
      </c>
      <c r="H8469" s="987">
        <v>1.8</v>
      </c>
      <c r="I8469" s="988" t="s">
        <v>3145</v>
      </c>
      <c r="J8469" s="67">
        <f t="shared" si="492"/>
        <v>21950.2</v>
      </c>
      <c r="L8469" s="70"/>
      <c r="M8469" s="934"/>
    </row>
    <row r="8470" ht="12.75" hidden="1" customHeight="1" outlineLevel="1">
      <c r="A8470" s="202">
        <v>42397.0</v>
      </c>
      <c r="B8470" s="985" t="s">
        <v>347</v>
      </c>
      <c r="C8470" s="94" t="s">
        <v>3024</v>
      </c>
      <c r="D8470" s="286">
        <v>1500.0</v>
      </c>
      <c r="E8470" s="94">
        <v>14.851</v>
      </c>
      <c r="F8470" s="986">
        <v>0.4369328703703704</v>
      </c>
      <c r="G8470" s="94" t="s">
        <v>453</v>
      </c>
      <c r="H8470" s="987">
        <v>6.41</v>
      </c>
      <c r="I8470" s="988" t="s">
        <v>3145</v>
      </c>
      <c r="J8470" s="67">
        <f t="shared" si="492"/>
        <v>22270.09</v>
      </c>
      <c r="L8470" s="70"/>
      <c r="M8470" s="934"/>
    </row>
    <row r="8471" ht="12.75" hidden="1" customHeight="1" outlineLevel="1">
      <c r="A8471" s="202">
        <v>42397.0</v>
      </c>
      <c r="B8471" s="985" t="s">
        <v>347</v>
      </c>
      <c r="C8471" s="94" t="s">
        <v>1633</v>
      </c>
      <c r="D8471" s="286">
        <v>1500.0</v>
      </c>
      <c r="E8471" s="94">
        <v>6.671</v>
      </c>
      <c r="F8471" s="986">
        <v>0.4351851851851852</v>
      </c>
      <c r="G8471" s="94" t="s">
        <v>453</v>
      </c>
      <c r="H8471" s="987">
        <v>6.18</v>
      </c>
      <c r="I8471" s="988" t="s">
        <v>3145</v>
      </c>
      <c r="J8471" s="67">
        <f t="shared" si="492"/>
        <v>10000.32</v>
      </c>
      <c r="L8471" s="70"/>
      <c r="M8471" s="934"/>
    </row>
    <row r="8472" ht="12.75" hidden="1" customHeight="1" outlineLevel="1">
      <c r="A8472" s="202">
        <v>42397.0</v>
      </c>
      <c r="B8472" s="985" t="s">
        <v>347</v>
      </c>
      <c r="C8472" s="94" t="s">
        <v>790</v>
      </c>
      <c r="D8472" s="286">
        <v>3000.0</v>
      </c>
      <c r="E8472" s="94">
        <v>3.2101</v>
      </c>
      <c r="F8472" s="986">
        <v>0.43346064814814816</v>
      </c>
      <c r="G8472" s="94" t="s">
        <v>453</v>
      </c>
      <c r="H8472" s="987">
        <v>12.18</v>
      </c>
      <c r="I8472" s="988" t="s">
        <v>3145</v>
      </c>
      <c r="J8472" s="67">
        <f t="shared" si="492"/>
        <v>9618.12</v>
      </c>
      <c r="L8472" s="70"/>
      <c r="M8472" s="934"/>
    </row>
    <row r="8473" ht="12.75" hidden="1" customHeight="1" outlineLevel="1">
      <c r="A8473" s="202">
        <v>42397.0</v>
      </c>
      <c r="B8473" s="985" t="s">
        <v>347</v>
      </c>
      <c r="C8473" s="94" t="s">
        <v>1893</v>
      </c>
      <c r="D8473" s="286">
        <v>4000.0</v>
      </c>
      <c r="E8473" s="94">
        <v>4.251</v>
      </c>
      <c r="F8473" s="986">
        <v>0.4302662037037037</v>
      </c>
      <c r="G8473" s="94" t="s">
        <v>453</v>
      </c>
      <c r="H8473" s="987">
        <v>17.51</v>
      </c>
      <c r="I8473" s="988" t="s">
        <v>3145</v>
      </c>
      <c r="J8473" s="67">
        <f t="shared" si="492"/>
        <v>16986.49</v>
      </c>
      <c r="L8473" s="70"/>
      <c r="M8473" s="934"/>
    </row>
    <row r="8474" ht="12.75" hidden="1" customHeight="1" outlineLevel="1">
      <c r="A8474" s="202">
        <v>42397.0</v>
      </c>
      <c r="B8474" s="985" t="s">
        <v>347</v>
      </c>
      <c r="C8474" s="94" t="s">
        <v>1781</v>
      </c>
      <c r="D8474" s="286">
        <v>1500.0</v>
      </c>
      <c r="E8474" s="94">
        <v>9.371</v>
      </c>
      <c r="F8474" s="986">
        <v>0.42931712962962965</v>
      </c>
      <c r="G8474" s="94" t="s">
        <v>453</v>
      </c>
      <c r="H8474" s="987">
        <v>6.26</v>
      </c>
      <c r="I8474" s="988" t="s">
        <v>3145</v>
      </c>
      <c r="J8474" s="67">
        <f t="shared" si="492"/>
        <v>14050.24</v>
      </c>
      <c r="L8474" s="70"/>
      <c r="M8474" s="934"/>
    </row>
    <row r="8475" ht="12.75" hidden="1" customHeight="1" outlineLevel="1">
      <c r="A8475" s="202">
        <v>42397.0</v>
      </c>
      <c r="B8475" s="985" t="s">
        <v>347</v>
      </c>
      <c r="C8475" s="94" t="s">
        <v>1905</v>
      </c>
      <c r="D8475" s="286">
        <v>1000.0</v>
      </c>
      <c r="E8475" s="94">
        <v>18.454</v>
      </c>
      <c r="F8475" s="986">
        <v>0.42887731481481484</v>
      </c>
      <c r="G8475" s="94" t="s">
        <v>453</v>
      </c>
      <c r="H8475" s="987">
        <v>4.74</v>
      </c>
      <c r="I8475" s="988" t="s">
        <v>3145</v>
      </c>
      <c r="J8475" s="67">
        <f t="shared" si="492"/>
        <v>18449.26</v>
      </c>
      <c r="L8475" s="70"/>
      <c r="M8475" s="934"/>
    </row>
    <row r="8476" ht="12.75" hidden="1" customHeight="1" outlineLevel="1">
      <c r="A8476" s="202">
        <v>42397.0</v>
      </c>
      <c r="B8476" s="985" t="s">
        <v>347</v>
      </c>
      <c r="C8476" s="94" t="s">
        <v>2084</v>
      </c>
      <c r="D8476" s="286">
        <v>1500.0</v>
      </c>
      <c r="E8476" s="94">
        <v>8.623</v>
      </c>
      <c r="F8476" s="986">
        <v>0.42452546296296295</v>
      </c>
      <c r="G8476" s="94" t="s">
        <v>453</v>
      </c>
      <c r="H8476" s="987">
        <v>7.54</v>
      </c>
      <c r="I8476" s="988" t="s">
        <v>3145</v>
      </c>
      <c r="J8476" s="67">
        <f t="shared" si="492"/>
        <v>12926.96</v>
      </c>
      <c r="L8476" s="70"/>
      <c r="M8476" s="934"/>
    </row>
    <row r="8477" ht="12.75" hidden="1" customHeight="1" outlineLevel="1">
      <c r="A8477" s="202">
        <v>42397.0</v>
      </c>
      <c r="B8477" s="985" t="s">
        <v>343</v>
      </c>
      <c r="C8477" s="94" t="s">
        <v>2090</v>
      </c>
      <c r="D8477" s="286">
        <v>10000.0</v>
      </c>
      <c r="E8477" s="94">
        <v>3.71</v>
      </c>
      <c r="F8477" s="986">
        <v>0.40063657407407405</v>
      </c>
      <c r="G8477" s="94" t="s">
        <v>453</v>
      </c>
      <c r="H8477" s="987">
        <v>48.4</v>
      </c>
      <c r="I8477" s="988" t="s">
        <v>3145</v>
      </c>
      <c r="J8477" s="67">
        <f t="shared" si="492"/>
        <v>-37148.4</v>
      </c>
      <c r="L8477" s="70"/>
      <c r="M8477" s="934"/>
    </row>
    <row r="8478" ht="12.75" hidden="1" customHeight="1" outlineLevel="1">
      <c r="A8478" s="202">
        <v>42397.0</v>
      </c>
      <c r="B8478" s="985" t="s">
        <v>343</v>
      </c>
      <c r="C8478" s="94" t="s">
        <v>2090</v>
      </c>
      <c r="D8478" s="286">
        <v>5000.0</v>
      </c>
      <c r="E8478" s="94">
        <v>3.689</v>
      </c>
      <c r="F8478" s="986">
        <v>0.40033564814814815</v>
      </c>
      <c r="G8478" s="94" t="s">
        <v>453</v>
      </c>
      <c r="H8478" s="987">
        <v>20.1</v>
      </c>
      <c r="I8478" s="988" t="s">
        <v>3145</v>
      </c>
      <c r="J8478" s="67">
        <f t="shared" si="492"/>
        <v>-18465.1</v>
      </c>
      <c r="L8478" s="70"/>
      <c r="M8478" s="934"/>
    </row>
    <row r="8479" ht="12.75" hidden="1" customHeight="1" outlineLevel="1">
      <c r="A8479" s="202">
        <v>42397.0</v>
      </c>
      <c r="B8479" s="985" t="s">
        <v>343</v>
      </c>
      <c r="C8479" s="94" t="s">
        <v>2090</v>
      </c>
      <c r="D8479" s="286">
        <v>4100.0</v>
      </c>
      <c r="E8479" s="94">
        <v>3.69</v>
      </c>
      <c r="F8479" s="986">
        <v>0.4000694444444444</v>
      </c>
      <c r="G8479" s="94" t="s">
        <v>453</v>
      </c>
      <c r="H8479" s="987">
        <v>18.5</v>
      </c>
      <c r="I8479" s="988" t="s">
        <v>3145</v>
      </c>
      <c r="J8479" s="67">
        <f t="shared" si="492"/>
        <v>-15147.5</v>
      </c>
      <c r="L8479" s="70"/>
      <c r="M8479" s="934"/>
    </row>
    <row r="8480" ht="12.75" hidden="1" customHeight="1" outlineLevel="1">
      <c r="A8480" s="202">
        <v>42397.0</v>
      </c>
      <c r="B8480" s="985" t="s">
        <v>343</v>
      </c>
      <c r="C8480" s="94" t="s">
        <v>2090</v>
      </c>
      <c r="D8480" s="94">
        <v>900.0</v>
      </c>
      <c r="E8480" s="94">
        <v>3.659</v>
      </c>
      <c r="F8480" s="986">
        <v>0.39899305555555553</v>
      </c>
      <c r="G8480" s="94" t="s">
        <v>453</v>
      </c>
      <c r="H8480" s="987">
        <v>4.5</v>
      </c>
      <c r="I8480" s="988" t="s">
        <v>3145</v>
      </c>
      <c r="J8480" s="67">
        <f t="shared" si="492"/>
        <v>-3297.6</v>
      </c>
      <c r="L8480" s="70"/>
      <c r="M8480" s="934"/>
    </row>
    <row r="8481" ht="12.75" hidden="1" customHeight="1" outlineLevel="1">
      <c r="A8481" s="202">
        <v>42397.0</v>
      </c>
      <c r="B8481" s="985" t="s">
        <v>343</v>
      </c>
      <c r="C8481" s="94" t="s">
        <v>2210</v>
      </c>
      <c r="D8481" s="94">
        <v>250.0</v>
      </c>
      <c r="E8481" s="94">
        <v>65.972</v>
      </c>
      <c r="F8481" s="986">
        <v>0.3985185185185185</v>
      </c>
      <c r="G8481" s="94" t="s">
        <v>453</v>
      </c>
      <c r="H8481" s="987">
        <v>1.0</v>
      </c>
      <c r="I8481" s="988" t="s">
        <v>3145</v>
      </c>
      <c r="J8481" s="67">
        <f t="shared" si="492"/>
        <v>-16494</v>
      </c>
      <c r="L8481" s="70"/>
      <c r="M8481" s="934"/>
    </row>
    <row r="8482" ht="12.75" hidden="1" customHeight="1" outlineLevel="1">
      <c r="A8482" s="202">
        <v>42397.0</v>
      </c>
      <c r="B8482" s="985" t="s">
        <v>343</v>
      </c>
      <c r="C8482" s="94" t="s">
        <v>1890</v>
      </c>
      <c r="D8482" s="286">
        <v>6000.0</v>
      </c>
      <c r="E8482" s="94">
        <v>9.46</v>
      </c>
      <c r="F8482" s="986">
        <v>0.3982986111111111</v>
      </c>
      <c r="G8482" s="94" t="s">
        <v>453</v>
      </c>
      <c r="H8482" s="987">
        <v>30.0</v>
      </c>
      <c r="I8482" s="988" t="s">
        <v>3145</v>
      </c>
      <c r="J8482" s="67">
        <f t="shared" si="492"/>
        <v>-56790</v>
      </c>
      <c r="L8482" s="70"/>
      <c r="M8482" s="934"/>
    </row>
    <row r="8483" ht="12.75" hidden="1" customHeight="1" outlineLevel="1">
      <c r="A8483" s="202">
        <v>42397.0</v>
      </c>
      <c r="B8483" s="985" t="s">
        <v>343</v>
      </c>
      <c r="C8483" s="94" t="s">
        <v>1938</v>
      </c>
      <c r="D8483" s="286">
        <v>2000.0</v>
      </c>
      <c r="E8483" s="94">
        <v>15.2654</v>
      </c>
      <c r="F8483" s="986">
        <v>0.3981018518518519</v>
      </c>
      <c r="G8483" s="94" t="s">
        <v>453</v>
      </c>
      <c r="H8483" s="987">
        <v>8.0</v>
      </c>
      <c r="I8483" s="988" t="s">
        <v>3145</v>
      </c>
      <c r="J8483" s="67">
        <f t="shared" si="492"/>
        <v>-30538.8</v>
      </c>
      <c r="L8483" s="70"/>
      <c r="M8483" s="934"/>
    </row>
    <row r="8484" ht="12.75" hidden="1" customHeight="1" outlineLevel="1">
      <c r="A8484" s="990">
        <v>42397.0</v>
      </c>
      <c r="B8484" s="992"/>
      <c r="C8484" s="32" t="s">
        <v>339</v>
      </c>
      <c r="D8484" s="1"/>
      <c r="F8484" s="1"/>
      <c r="G8484" s="1"/>
      <c r="H8484" s="68"/>
      <c r="I8484" s="76"/>
      <c r="K8484" s="994" t="s">
        <v>3299</v>
      </c>
      <c r="L8484" s="934"/>
      <c r="M8484" s="934"/>
    </row>
    <row r="8485" ht="12.75" hidden="1" customHeight="1" outlineLevel="1">
      <c r="A8485" s="990">
        <v>42397.0</v>
      </c>
      <c r="B8485" s="992"/>
      <c r="C8485" s="32" t="s">
        <v>429</v>
      </c>
      <c r="D8485" s="1"/>
      <c r="F8485" s="1"/>
      <c r="G8485" s="1"/>
      <c r="H8485" s="68"/>
      <c r="I8485" s="76"/>
      <c r="K8485" s="9" t="s">
        <v>3187</v>
      </c>
      <c r="L8485" s="934"/>
      <c r="M8485" s="934"/>
    </row>
    <row r="8486" ht="12.75" hidden="1" customHeight="1" outlineLevel="1">
      <c r="A8486" s="990">
        <v>42397.0</v>
      </c>
      <c r="B8486" s="992"/>
      <c r="C8486" s="32" t="s">
        <v>431</v>
      </c>
      <c r="D8486" s="1"/>
      <c r="F8486" s="1"/>
      <c r="G8486" s="1"/>
      <c r="H8486" s="68"/>
      <c r="I8486" s="76"/>
      <c r="K8486" s="7" t="s">
        <v>1126</v>
      </c>
      <c r="L8486" s="934"/>
      <c r="M8486" s="934"/>
    </row>
    <row r="8487" ht="12.75" hidden="1" customHeight="1" outlineLevel="1">
      <c r="A8487" s="990">
        <v>42397.0</v>
      </c>
      <c r="B8487" s="992"/>
      <c r="C8487" s="32" t="s">
        <v>433</v>
      </c>
      <c r="D8487" s="1"/>
      <c r="F8487" s="1"/>
      <c r="G8487" s="1"/>
      <c r="H8487" s="68"/>
      <c r="I8487" s="76"/>
      <c r="K8487" s="7" t="s">
        <v>1103</v>
      </c>
      <c r="L8487" s="934"/>
      <c r="M8487" s="934"/>
    </row>
    <row r="8488" ht="12.75" hidden="1" customHeight="1" outlineLevel="1">
      <c r="A8488" s="990">
        <v>42397.0</v>
      </c>
      <c r="B8488" s="992"/>
      <c r="C8488" s="32" t="s">
        <v>435</v>
      </c>
      <c r="D8488" s="1"/>
      <c r="F8488" s="1"/>
      <c r="G8488" s="1"/>
      <c r="H8488" s="68"/>
      <c r="I8488" s="76"/>
      <c r="K8488" s="9" t="s">
        <v>3134</v>
      </c>
      <c r="L8488" s="934"/>
      <c r="M8488" s="934"/>
    </row>
    <row r="8489" ht="12.75" hidden="1" customHeight="1" outlineLevel="1">
      <c r="A8489" s="202">
        <v>42398.0</v>
      </c>
      <c r="B8489" s="985" t="s">
        <v>343</v>
      </c>
      <c r="C8489" s="94" t="s">
        <v>2936</v>
      </c>
      <c r="D8489" s="94">
        <v>200.0</v>
      </c>
      <c r="E8489" s="94">
        <v>38.34</v>
      </c>
      <c r="F8489" s="986">
        <v>0.4011111111111111</v>
      </c>
      <c r="G8489" s="94" t="s">
        <v>453</v>
      </c>
      <c r="H8489" s="987">
        <v>1.0</v>
      </c>
      <c r="I8489" s="988" t="s">
        <v>3145</v>
      </c>
      <c r="J8489" s="67">
        <f t="shared" ref="J8489:J8497" si="493">IF(B8489="SLD",D8489*E8489,-D8489*E8489)-H8489</f>
        <v>-7669</v>
      </c>
      <c r="L8489" s="70"/>
      <c r="M8489" s="934"/>
    </row>
    <row r="8490" ht="12.75" hidden="1" customHeight="1" outlineLevel="1">
      <c r="A8490" s="202">
        <v>42398.0</v>
      </c>
      <c r="B8490" s="985" t="s">
        <v>343</v>
      </c>
      <c r="C8490" s="94" t="s">
        <v>1106</v>
      </c>
      <c r="D8490" s="94">
        <v>150.0</v>
      </c>
      <c r="E8490" s="94">
        <v>69.4268</v>
      </c>
      <c r="F8490" s="986">
        <v>0.40130787037037036</v>
      </c>
      <c r="G8490" s="94" t="s">
        <v>453</v>
      </c>
      <c r="H8490" s="987">
        <v>1.0</v>
      </c>
      <c r="I8490" s="988" t="s">
        <v>3145</v>
      </c>
      <c r="J8490" s="67">
        <f t="shared" si="493"/>
        <v>-10415.02</v>
      </c>
      <c r="L8490" s="70"/>
      <c r="M8490" s="934"/>
    </row>
    <row r="8491" ht="12.75" hidden="1" customHeight="1" outlineLevel="1">
      <c r="A8491" s="202">
        <v>42398.0</v>
      </c>
      <c r="B8491" s="985" t="s">
        <v>343</v>
      </c>
      <c r="C8491" s="94" t="s">
        <v>1362</v>
      </c>
      <c r="D8491" s="94">
        <v>100.0</v>
      </c>
      <c r="E8491" s="94">
        <v>112.82</v>
      </c>
      <c r="F8491" s="986">
        <v>0.40144675925925927</v>
      </c>
      <c r="G8491" s="94" t="s">
        <v>453</v>
      </c>
      <c r="H8491" s="987">
        <v>1.0</v>
      </c>
      <c r="I8491" s="988" t="s">
        <v>3145</v>
      </c>
      <c r="J8491" s="67">
        <f t="shared" si="493"/>
        <v>-11283</v>
      </c>
      <c r="L8491" s="70"/>
      <c r="M8491" s="934"/>
    </row>
    <row r="8492" ht="12.75" hidden="1" customHeight="1" outlineLevel="1">
      <c r="A8492" s="202">
        <v>42398.0</v>
      </c>
      <c r="B8492" s="985" t="s">
        <v>343</v>
      </c>
      <c r="C8492" s="94" t="s">
        <v>1131</v>
      </c>
      <c r="D8492" s="94">
        <v>200.0</v>
      </c>
      <c r="E8492" s="94">
        <v>59.6699</v>
      </c>
      <c r="F8492" s="986">
        <v>0.4019097222222222</v>
      </c>
      <c r="G8492" s="94" t="s">
        <v>453</v>
      </c>
      <c r="H8492" s="987">
        <v>1.0</v>
      </c>
      <c r="I8492" s="988" t="s">
        <v>3145</v>
      </c>
      <c r="J8492" s="67">
        <f t="shared" si="493"/>
        <v>-11934.98</v>
      </c>
      <c r="L8492" s="70"/>
      <c r="M8492" s="934"/>
    </row>
    <row r="8493" ht="12.75" hidden="1" customHeight="1" outlineLevel="1">
      <c r="A8493" s="202">
        <v>42398.0</v>
      </c>
      <c r="B8493" s="985" t="s">
        <v>343</v>
      </c>
      <c r="C8493" s="94" t="s">
        <v>346</v>
      </c>
      <c r="D8493" s="94">
        <v>600.0</v>
      </c>
      <c r="E8493" s="94">
        <v>95.58</v>
      </c>
      <c r="F8493" s="986">
        <v>0.41075231481481483</v>
      </c>
      <c r="G8493" s="94" t="s">
        <v>453</v>
      </c>
      <c r="H8493" s="987">
        <v>3.0</v>
      </c>
      <c r="I8493" s="988" t="s">
        <v>3145</v>
      </c>
      <c r="J8493" s="67">
        <f t="shared" si="493"/>
        <v>-57351</v>
      </c>
      <c r="L8493" s="70"/>
      <c r="M8493" s="934"/>
    </row>
    <row r="8494" ht="12.75" hidden="1" customHeight="1" outlineLevel="1">
      <c r="A8494" s="202">
        <v>42398.0</v>
      </c>
      <c r="B8494" s="985" t="s">
        <v>347</v>
      </c>
      <c r="C8494" s="94" t="s">
        <v>1821</v>
      </c>
      <c r="D8494" s="94">
        <v>300.0</v>
      </c>
      <c r="E8494" s="94">
        <v>25.89</v>
      </c>
      <c r="F8494" s="986">
        <v>0.4549074074074074</v>
      </c>
      <c r="G8494" s="94" t="s">
        <v>453</v>
      </c>
      <c r="H8494" s="987">
        <v>1.59</v>
      </c>
      <c r="I8494" s="988" t="s">
        <v>3145</v>
      </c>
      <c r="J8494" s="67">
        <f t="shared" si="493"/>
        <v>7765.41</v>
      </c>
      <c r="L8494" s="70"/>
      <c r="M8494" s="934"/>
    </row>
    <row r="8495" ht="12.75" hidden="1" customHeight="1" outlineLevel="1">
      <c r="A8495" s="202">
        <v>42398.0</v>
      </c>
      <c r="B8495" s="985" t="s">
        <v>347</v>
      </c>
      <c r="C8495" s="94" t="s">
        <v>1902</v>
      </c>
      <c r="D8495" s="286">
        <v>1200.0</v>
      </c>
      <c r="E8495" s="94">
        <v>6.231</v>
      </c>
      <c r="F8495" s="986">
        <v>0.49449074074074073</v>
      </c>
      <c r="G8495" s="94" t="s">
        <v>453</v>
      </c>
      <c r="H8495" s="987">
        <v>4.94</v>
      </c>
      <c r="I8495" s="988" t="s">
        <v>3145</v>
      </c>
      <c r="J8495" s="67">
        <f t="shared" si="493"/>
        <v>7472.26</v>
      </c>
      <c r="L8495" s="70"/>
      <c r="M8495" s="934"/>
    </row>
    <row r="8496" ht="12.75" hidden="1" customHeight="1" outlineLevel="1">
      <c r="A8496" s="202">
        <v>42398.0</v>
      </c>
      <c r="B8496" s="985" t="s">
        <v>343</v>
      </c>
      <c r="C8496" s="94" t="s">
        <v>1074</v>
      </c>
      <c r="D8496" s="94">
        <v>75.0</v>
      </c>
      <c r="E8496" s="94">
        <v>125.4</v>
      </c>
      <c r="F8496" s="986">
        <v>0.6178703703703704</v>
      </c>
      <c r="G8496" s="94" t="s">
        <v>453</v>
      </c>
      <c r="H8496" s="987">
        <v>1.0</v>
      </c>
      <c r="I8496" s="988" t="s">
        <v>3145</v>
      </c>
      <c r="J8496" s="67">
        <f t="shared" si="493"/>
        <v>-9406</v>
      </c>
      <c r="L8496" s="70"/>
      <c r="M8496" s="934"/>
    </row>
    <row r="8497" ht="12.75" hidden="1" customHeight="1" outlineLevel="1">
      <c r="A8497" s="202">
        <v>42398.0</v>
      </c>
      <c r="B8497" s="985" t="s">
        <v>343</v>
      </c>
      <c r="C8497" s="94" t="s">
        <v>352</v>
      </c>
      <c r="D8497" s="94">
        <v>200.0</v>
      </c>
      <c r="E8497" s="94">
        <v>49.8499</v>
      </c>
      <c r="F8497" s="986">
        <v>0.6181712962962963</v>
      </c>
      <c r="G8497" s="94" t="s">
        <v>453</v>
      </c>
      <c r="H8497" s="987">
        <v>1.0</v>
      </c>
      <c r="I8497" s="988" t="s">
        <v>3145</v>
      </c>
      <c r="J8497" s="67">
        <f t="shared" si="493"/>
        <v>-9970.98</v>
      </c>
      <c r="L8497" s="70"/>
      <c r="M8497" s="934"/>
    </row>
    <row r="8498" ht="12.75" hidden="1" customHeight="1" outlineLevel="1">
      <c r="A8498" s="990">
        <v>42397.0</v>
      </c>
      <c r="B8498" s="992"/>
      <c r="C8498" s="32" t="s">
        <v>339</v>
      </c>
      <c r="D8498" s="1"/>
      <c r="F8498" s="1"/>
      <c r="G8498" s="1"/>
      <c r="H8498" s="68"/>
      <c r="I8498" s="76"/>
      <c r="K8498" s="994" t="s">
        <v>3300</v>
      </c>
      <c r="L8498" s="934"/>
      <c r="M8498" s="934"/>
    </row>
    <row r="8499" ht="12.75" hidden="1" customHeight="1" outlineLevel="1">
      <c r="A8499" s="990">
        <v>42397.0</v>
      </c>
      <c r="B8499" s="992"/>
      <c r="C8499" s="32" t="s">
        <v>429</v>
      </c>
      <c r="D8499" s="1"/>
      <c r="F8499" s="1"/>
      <c r="G8499" s="1"/>
      <c r="H8499" s="68"/>
      <c r="I8499" s="76"/>
      <c r="K8499" s="9" t="s">
        <v>3187</v>
      </c>
      <c r="L8499" s="934"/>
      <c r="M8499" s="934"/>
    </row>
    <row r="8500" ht="12.75" hidden="1" customHeight="1" outlineLevel="1">
      <c r="A8500" s="990">
        <v>42397.0</v>
      </c>
      <c r="B8500" s="992"/>
      <c r="C8500" s="32" t="s">
        <v>431</v>
      </c>
      <c r="D8500" s="1"/>
      <c r="F8500" s="1"/>
      <c r="G8500" s="1"/>
      <c r="H8500" s="68"/>
      <c r="I8500" s="76"/>
      <c r="K8500" s="7" t="s">
        <v>1126</v>
      </c>
      <c r="L8500" s="934"/>
      <c r="M8500" s="934"/>
    </row>
    <row r="8501" ht="12.75" hidden="1" customHeight="1" outlineLevel="1">
      <c r="A8501" s="990">
        <v>42397.0</v>
      </c>
      <c r="B8501" s="992"/>
      <c r="C8501" s="32" t="s">
        <v>433</v>
      </c>
      <c r="D8501" s="1"/>
      <c r="F8501" s="1"/>
      <c r="G8501" s="1"/>
      <c r="H8501" s="68"/>
      <c r="I8501" s="76"/>
      <c r="K8501" s="7" t="s">
        <v>1103</v>
      </c>
      <c r="L8501" s="934"/>
      <c r="M8501" s="934"/>
    </row>
    <row r="8502" ht="12.75" hidden="1" customHeight="1" outlineLevel="1">
      <c r="A8502" s="990">
        <v>42397.0</v>
      </c>
      <c r="B8502" s="992"/>
      <c r="C8502" s="32" t="s">
        <v>435</v>
      </c>
      <c r="D8502" s="1"/>
      <c r="F8502" s="1"/>
      <c r="G8502" s="1"/>
      <c r="H8502" s="68"/>
      <c r="I8502" s="76"/>
      <c r="K8502" s="9" t="s">
        <v>3301</v>
      </c>
      <c r="L8502" s="934"/>
      <c r="M8502" s="934"/>
    </row>
    <row r="8503" ht="12.75" hidden="1" customHeight="1" outlineLevel="1">
      <c r="A8503" s="202">
        <v>42401.0</v>
      </c>
      <c r="B8503" s="985" t="s">
        <v>347</v>
      </c>
      <c r="C8503" s="94" t="s">
        <v>2009</v>
      </c>
      <c r="D8503" s="94">
        <v>750.0</v>
      </c>
      <c r="E8503" s="94">
        <v>12.211</v>
      </c>
      <c r="F8503" s="986">
        <v>0.39858796296296295</v>
      </c>
      <c r="G8503" s="94" t="s">
        <v>453</v>
      </c>
      <c r="H8503" s="987">
        <v>3.17</v>
      </c>
      <c r="I8503" s="988" t="s">
        <v>3145</v>
      </c>
      <c r="J8503" s="67">
        <f t="shared" ref="J8503:J8507" si="494">IF(B8503="SLD",D8503*E8503,-D8503*E8503)-H8503</f>
        <v>9155.08</v>
      </c>
      <c r="L8503" s="70"/>
      <c r="M8503" s="934"/>
    </row>
    <row r="8504" ht="12.75" hidden="1" customHeight="1" outlineLevel="1">
      <c r="A8504" s="202">
        <v>42401.0</v>
      </c>
      <c r="B8504" s="985" t="s">
        <v>347</v>
      </c>
      <c r="C8504" s="94" t="s">
        <v>1938</v>
      </c>
      <c r="D8504" s="94">
        <v>750.0</v>
      </c>
      <c r="E8504" s="94">
        <v>15.761</v>
      </c>
      <c r="F8504" s="986">
        <v>0.39895833333333336</v>
      </c>
      <c r="G8504" s="94" t="s">
        <v>453</v>
      </c>
      <c r="H8504" s="987">
        <v>3.22</v>
      </c>
      <c r="I8504" s="988" t="s">
        <v>3145</v>
      </c>
      <c r="J8504" s="67">
        <f t="shared" si="494"/>
        <v>11817.53</v>
      </c>
      <c r="L8504" s="70"/>
      <c r="M8504" s="934"/>
    </row>
    <row r="8505" ht="12.75" hidden="1" customHeight="1" outlineLevel="1">
      <c r="A8505" s="202">
        <v>42401.0</v>
      </c>
      <c r="B8505" s="985" t="s">
        <v>347</v>
      </c>
      <c r="C8505" s="94" t="s">
        <v>1816</v>
      </c>
      <c r="D8505" s="94">
        <v>300.0</v>
      </c>
      <c r="E8505" s="94">
        <v>41.22</v>
      </c>
      <c r="F8505" s="986">
        <v>0.3992824074074074</v>
      </c>
      <c r="G8505" s="94" t="s">
        <v>453</v>
      </c>
      <c r="H8505" s="987">
        <v>1.43</v>
      </c>
      <c r="I8505" s="988" t="s">
        <v>3145</v>
      </c>
      <c r="J8505" s="67">
        <f t="shared" si="494"/>
        <v>12364.57</v>
      </c>
      <c r="L8505" s="70"/>
      <c r="M8505" s="934"/>
    </row>
    <row r="8506" ht="12.75" hidden="1" customHeight="1" outlineLevel="1">
      <c r="A8506" s="202">
        <v>42401.0</v>
      </c>
      <c r="B8506" s="985" t="s">
        <v>343</v>
      </c>
      <c r="C8506" s="94" t="s">
        <v>1286</v>
      </c>
      <c r="D8506" s="94">
        <v>200.0</v>
      </c>
      <c r="E8506" s="94">
        <v>56.15</v>
      </c>
      <c r="F8506" s="986">
        <v>0.39969907407407407</v>
      </c>
      <c r="G8506" s="94" t="s">
        <v>453</v>
      </c>
      <c r="H8506" s="987">
        <v>1.0</v>
      </c>
      <c r="I8506" s="988" t="s">
        <v>3145</v>
      </c>
      <c r="J8506" s="67">
        <f t="shared" si="494"/>
        <v>-11231</v>
      </c>
      <c r="L8506" s="70"/>
      <c r="M8506" s="934"/>
    </row>
    <row r="8507" ht="12.75" hidden="1" customHeight="1" outlineLevel="1">
      <c r="A8507" s="202">
        <v>42401.0</v>
      </c>
      <c r="B8507" s="985" t="s">
        <v>347</v>
      </c>
      <c r="C8507" s="94" t="s">
        <v>2201</v>
      </c>
      <c r="D8507" s="94">
        <v>500.0</v>
      </c>
      <c r="E8507" s="94">
        <v>18.79</v>
      </c>
      <c r="F8507" s="986">
        <v>0.5643402777777777</v>
      </c>
      <c r="G8507" s="94" t="s">
        <v>453</v>
      </c>
      <c r="H8507" s="987">
        <v>2.37</v>
      </c>
      <c r="I8507" s="988" t="s">
        <v>3145</v>
      </c>
      <c r="J8507" s="67">
        <f t="shared" si="494"/>
        <v>9392.63</v>
      </c>
      <c r="L8507" s="70"/>
      <c r="M8507" s="934"/>
    </row>
    <row r="8508" ht="12.75" hidden="1" customHeight="1" outlineLevel="1">
      <c r="A8508" s="990">
        <v>42401.0</v>
      </c>
      <c r="B8508" s="992"/>
      <c r="C8508" s="32" t="s">
        <v>339</v>
      </c>
      <c r="D8508" s="1"/>
      <c r="F8508" s="1"/>
      <c r="G8508" s="1"/>
      <c r="H8508" s="68"/>
      <c r="I8508" s="76"/>
      <c r="K8508" s="994" t="s">
        <v>3302</v>
      </c>
      <c r="L8508" s="934"/>
      <c r="M8508" s="934"/>
    </row>
    <row r="8509" ht="12.75" hidden="1" customHeight="1" outlineLevel="1">
      <c r="A8509" s="990">
        <v>42401.0</v>
      </c>
      <c r="B8509" s="992"/>
      <c r="C8509" s="32" t="s">
        <v>429</v>
      </c>
      <c r="D8509" s="1"/>
      <c r="F8509" s="1"/>
      <c r="G8509" s="1"/>
      <c r="H8509" s="68"/>
      <c r="I8509" s="76"/>
      <c r="K8509" s="9" t="s">
        <v>3187</v>
      </c>
      <c r="L8509" s="934"/>
      <c r="M8509" s="934"/>
    </row>
    <row r="8510" ht="12.75" hidden="1" customHeight="1" outlineLevel="1">
      <c r="A8510" s="990">
        <v>42401.0</v>
      </c>
      <c r="B8510" s="992"/>
      <c r="C8510" s="32" t="s">
        <v>431</v>
      </c>
      <c r="D8510" s="1"/>
      <c r="F8510" s="1"/>
      <c r="G8510" s="1"/>
      <c r="H8510" s="68"/>
      <c r="I8510" s="76"/>
      <c r="K8510" s="7" t="s">
        <v>1126</v>
      </c>
      <c r="L8510" s="934"/>
      <c r="M8510" s="934"/>
    </row>
    <row r="8511" ht="12.75" hidden="1" customHeight="1" outlineLevel="1">
      <c r="A8511" s="990">
        <v>42401.0</v>
      </c>
      <c r="B8511" s="992"/>
      <c r="C8511" s="32" t="s">
        <v>433</v>
      </c>
      <c r="D8511" s="1"/>
      <c r="F8511" s="1"/>
      <c r="G8511" s="1"/>
      <c r="H8511" s="68"/>
      <c r="I8511" s="76"/>
      <c r="K8511" s="7" t="s">
        <v>1103</v>
      </c>
      <c r="L8511" s="934"/>
      <c r="M8511" s="934"/>
    </row>
    <row r="8512" ht="12.75" hidden="1" customHeight="1" outlineLevel="1">
      <c r="A8512" s="990">
        <v>42401.0</v>
      </c>
      <c r="B8512" s="992"/>
      <c r="C8512" s="32" t="s">
        <v>435</v>
      </c>
      <c r="D8512" s="1"/>
      <c r="F8512" s="1"/>
      <c r="G8512" s="1"/>
      <c r="H8512" s="68"/>
      <c r="I8512" s="76"/>
      <c r="K8512" s="9" t="s">
        <v>3301</v>
      </c>
      <c r="L8512" s="934"/>
      <c r="M8512" s="934"/>
    </row>
    <row r="8513" ht="12.75" hidden="1" customHeight="1" outlineLevel="1">
      <c r="A8513" s="202">
        <v>42402.0</v>
      </c>
      <c r="B8513" s="985" t="s">
        <v>347</v>
      </c>
      <c r="C8513" s="94" t="s">
        <v>1823</v>
      </c>
      <c r="D8513" s="94">
        <v>700.0</v>
      </c>
      <c r="E8513" s="94">
        <v>20.143</v>
      </c>
      <c r="F8513" s="986">
        <v>0.4125462962962963</v>
      </c>
      <c r="G8513" s="94" t="s">
        <v>453</v>
      </c>
      <c r="H8513" s="987">
        <v>3.66</v>
      </c>
      <c r="I8513" s="988" t="s">
        <v>3145</v>
      </c>
      <c r="J8513" s="67">
        <f t="shared" ref="J8513:J8538" si="495">IF(B8513="SLD",D8513*E8513,-D8513*E8513)-H8513</f>
        <v>14096.44</v>
      </c>
      <c r="L8513" s="70"/>
      <c r="M8513" s="934"/>
    </row>
    <row r="8514" ht="12.75" hidden="1" customHeight="1" outlineLevel="1">
      <c r="A8514" s="202">
        <v>42402.0</v>
      </c>
      <c r="B8514" s="985" t="s">
        <v>347</v>
      </c>
      <c r="C8514" s="94" t="s">
        <v>2043</v>
      </c>
      <c r="D8514" s="94">
        <v>600.0</v>
      </c>
      <c r="E8514" s="94">
        <v>22.931</v>
      </c>
      <c r="F8514" s="986">
        <v>0.4127546296296296</v>
      </c>
      <c r="G8514" s="94" t="s">
        <v>453</v>
      </c>
      <c r="H8514" s="987">
        <v>2.65</v>
      </c>
      <c r="I8514" s="988" t="s">
        <v>3145</v>
      </c>
      <c r="J8514" s="67">
        <f t="shared" si="495"/>
        <v>13755.95</v>
      </c>
      <c r="L8514" s="70"/>
      <c r="M8514" s="934"/>
    </row>
    <row r="8515" ht="12.75" hidden="1" customHeight="1" outlineLevel="1">
      <c r="A8515" s="202">
        <v>42402.0</v>
      </c>
      <c r="B8515" s="985" t="s">
        <v>347</v>
      </c>
      <c r="C8515" s="94" t="s">
        <v>2048</v>
      </c>
      <c r="D8515" s="286">
        <v>8000.0</v>
      </c>
      <c r="E8515" s="94">
        <v>1.922</v>
      </c>
      <c r="F8515" s="986">
        <v>0.42376157407407405</v>
      </c>
      <c r="G8515" s="94" t="s">
        <v>453</v>
      </c>
      <c r="H8515" s="987">
        <v>34.68</v>
      </c>
      <c r="I8515" s="988" t="s">
        <v>3145</v>
      </c>
      <c r="J8515" s="67">
        <f t="shared" si="495"/>
        <v>15341.32</v>
      </c>
      <c r="L8515" s="70"/>
      <c r="M8515" s="934"/>
    </row>
    <row r="8516" ht="12.75" hidden="1" customHeight="1" outlineLevel="1">
      <c r="A8516" s="202">
        <v>42402.0</v>
      </c>
      <c r="B8516" s="985" t="s">
        <v>347</v>
      </c>
      <c r="C8516" s="94" t="s">
        <v>1839</v>
      </c>
      <c r="D8516" s="286">
        <v>5000.0</v>
      </c>
      <c r="E8516" s="94">
        <v>3.092</v>
      </c>
      <c r="F8516" s="986">
        <v>0.42583333333333334</v>
      </c>
      <c r="G8516" s="94" t="s">
        <v>453</v>
      </c>
      <c r="H8516" s="987">
        <v>21.68</v>
      </c>
      <c r="I8516" s="988" t="s">
        <v>3145</v>
      </c>
      <c r="J8516" s="67">
        <f t="shared" si="495"/>
        <v>15438.32</v>
      </c>
      <c r="L8516" s="70"/>
      <c r="M8516" s="934"/>
    </row>
    <row r="8517" ht="12.75" hidden="1" customHeight="1" outlineLevel="1">
      <c r="A8517" s="202">
        <v>42402.0</v>
      </c>
      <c r="B8517" s="985" t="s">
        <v>347</v>
      </c>
      <c r="C8517" s="94" t="s">
        <v>2090</v>
      </c>
      <c r="D8517" s="286">
        <v>7000.0</v>
      </c>
      <c r="E8517" s="94">
        <v>3.44</v>
      </c>
      <c r="F8517" s="986">
        <v>0.42614583333333333</v>
      </c>
      <c r="G8517" s="94" t="s">
        <v>453</v>
      </c>
      <c r="H8517" s="987">
        <v>28.44</v>
      </c>
      <c r="I8517" s="988" t="s">
        <v>3145</v>
      </c>
      <c r="J8517" s="67">
        <f t="shared" si="495"/>
        <v>24051.56</v>
      </c>
      <c r="L8517" s="70"/>
      <c r="M8517" s="934"/>
    </row>
    <row r="8518" ht="12.75" hidden="1" customHeight="1" outlineLevel="1">
      <c r="A8518" s="202">
        <v>42402.0</v>
      </c>
      <c r="B8518" s="985" t="s">
        <v>347</v>
      </c>
      <c r="C8518" s="94" t="s">
        <v>2210</v>
      </c>
      <c r="D8518" s="94">
        <v>350.0</v>
      </c>
      <c r="E8518" s="94">
        <v>63.427</v>
      </c>
      <c r="F8518" s="986">
        <v>0.4266550925925926</v>
      </c>
      <c r="G8518" s="94" t="s">
        <v>453</v>
      </c>
      <c r="H8518" s="987">
        <v>2.16</v>
      </c>
      <c r="I8518" s="988" t="s">
        <v>3145</v>
      </c>
      <c r="J8518" s="67">
        <f t="shared" si="495"/>
        <v>22197.29</v>
      </c>
      <c r="L8518" s="70"/>
      <c r="M8518" s="934"/>
    </row>
    <row r="8519" ht="12.75" hidden="1" customHeight="1" outlineLevel="1">
      <c r="A8519" s="202">
        <v>42402.0</v>
      </c>
      <c r="B8519" s="985" t="s">
        <v>347</v>
      </c>
      <c r="C8519" s="94" t="s">
        <v>3024</v>
      </c>
      <c r="D8519" s="286">
        <v>1500.0</v>
      </c>
      <c r="E8519" s="94">
        <v>14.21</v>
      </c>
      <c r="F8519" s="986">
        <v>0.42681712962962964</v>
      </c>
      <c r="G8519" s="94" t="s">
        <v>453</v>
      </c>
      <c r="H8519" s="987">
        <v>7.89</v>
      </c>
      <c r="I8519" s="988" t="s">
        <v>3145</v>
      </c>
      <c r="J8519" s="67">
        <f t="shared" si="495"/>
        <v>21307.11</v>
      </c>
      <c r="L8519" s="70"/>
      <c r="M8519" s="934"/>
    </row>
    <row r="8520" ht="12.75" hidden="1" customHeight="1" outlineLevel="1">
      <c r="A8520" s="202">
        <v>42402.0</v>
      </c>
      <c r="B8520" s="985" t="s">
        <v>347</v>
      </c>
      <c r="C8520" s="94" t="s">
        <v>1947</v>
      </c>
      <c r="D8520" s="94">
        <v>750.0</v>
      </c>
      <c r="E8520" s="94">
        <v>28.118</v>
      </c>
      <c r="F8520" s="986">
        <v>0.4269907407407407</v>
      </c>
      <c r="G8520" s="94" t="s">
        <v>453</v>
      </c>
      <c r="H8520" s="987">
        <v>4.04</v>
      </c>
      <c r="I8520" s="988" t="s">
        <v>3145</v>
      </c>
      <c r="J8520" s="67">
        <f t="shared" si="495"/>
        <v>21084.46</v>
      </c>
      <c r="L8520" s="70"/>
      <c r="M8520" s="934"/>
    </row>
    <row r="8521" ht="12.75" hidden="1" customHeight="1" outlineLevel="1">
      <c r="A8521" s="202">
        <v>42402.0</v>
      </c>
      <c r="B8521" s="985" t="s">
        <v>347</v>
      </c>
      <c r="C8521" s="94" t="s">
        <v>1893</v>
      </c>
      <c r="D8521" s="286">
        <v>4000.0</v>
      </c>
      <c r="E8521" s="94">
        <v>4.4701</v>
      </c>
      <c r="F8521" s="986">
        <v>0.42712962962962964</v>
      </c>
      <c r="G8521" s="94" t="s">
        <v>453</v>
      </c>
      <c r="H8521" s="987">
        <v>16.33</v>
      </c>
      <c r="I8521" s="988" t="s">
        <v>3145</v>
      </c>
      <c r="J8521" s="67">
        <f t="shared" si="495"/>
        <v>17864.07</v>
      </c>
      <c r="L8521" s="70"/>
      <c r="M8521" s="934"/>
    </row>
    <row r="8522" ht="12.75" hidden="1" customHeight="1" outlineLevel="1">
      <c r="A8522" s="202">
        <v>42402.0</v>
      </c>
      <c r="B8522" s="985" t="s">
        <v>347</v>
      </c>
      <c r="C8522" s="94" t="s">
        <v>1905</v>
      </c>
      <c r="D8522" s="286">
        <v>1000.0</v>
      </c>
      <c r="E8522" s="94">
        <v>16.951</v>
      </c>
      <c r="F8522" s="986">
        <v>0.42736111111111114</v>
      </c>
      <c r="G8522" s="94" t="s">
        <v>453</v>
      </c>
      <c r="H8522" s="987">
        <v>5.11</v>
      </c>
      <c r="I8522" s="988" t="s">
        <v>3145</v>
      </c>
      <c r="J8522" s="67">
        <f t="shared" si="495"/>
        <v>16945.89</v>
      </c>
      <c r="L8522" s="70"/>
      <c r="M8522" s="934"/>
    </row>
    <row r="8523" ht="12.75" hidden="1" customHeight="1" outlineLevel="1">
      <c r="A8523" s="202">
        <v>42402.0</v>
      </c>
      <c r="B8523" s="985" t="s">
        <v>347</v>
      </c>
      <c r="C8523" s="94" t="s">
        <v>1781</v>
      </c>
      <c r="D8523" s="286">
        <v>1500.0</v>
      </c>
      <c r="E8523" s="94">
        <v>9.84</v>
      </c>
      <c r="F8523" s="986">
        <v>0.42761574074074077</v>
      </c>
      <c r="G8523" s="94" t="s">
        <v>453</v>
      </c>
      <c r="H8523" s="987">
        <v>7.77</v>
      </c>
      <c r="I8523" s="988" t="s">
        <v>3145</v>
      </c>
      <c r="J8523" s="67">
        <f t="shared" si="495"/>
        <v>14752.23</v>
      </c>
      <c r="L8523" s="70"/>
      <c r="M8523" s="934"/>
    </row>
    <row r="8524" ht="12.75" hidden="1" customHeight="1" outlineLevel="1">
      <c r="A8524" s="202">
        <v>42402.0</v>
      </c>
      <c r="B8524" s="985" t="s">
        <v>347</v>
      </c>
      <c r="C8524" s="94" t="s">
        <v>1823</v>
      </c>
      <c r="D8524" s="94">
        <v>700.0</v>
      </c>
      <c r="E8524" s="94">
        <v>20.29</v>
      </c>
      <c r="F8524" s="986">
        <v>0.42800925925925926</v>
      </c>
      <c r="G8524" s="94" t="s">
        <v>453</v>
      </c>
      <c r="H8524" s="987">
        <v>3.66</v>
      </c>
      <c r="I8524" s="988" t="s">
        <v>3145</v>
      </c>
      <c r="J8524" s="67">
        <f t="shared" si="495"/>
        <v>14199.34</v>
      </c>
      <c r="L8524" s="70"/>
      <c r="M8524" s="934"/>
    </row>
    <row r="8525" ht="12.75" hidden="1" customHeight="1" outlineLevel="1">
      <c r="A8525" s="202">
        <v>42402.0</v>
      </c>
      <c r="B8525" s="985" t="s">
        <v>347</v>
      </c>
      <c r="C8525" s="94" t="s">
        <v>2043</v>
      </c>
      <c r="D8525" s="94">
        <v>600.0</v>
      </c>
      <c r="E8525" s="94">
        <v>22.991</v>
      </c>
      <c r="F8525" s="986">
        <v>0.42824074074074076</v>
      </c>
      <c r="G8525" s="94" t="s">
        <v>453</v>
      </c>
      <c r="H8525" s="987">
        <v>2.75</v>
      </c>
      <c r="I8525" s="988" t="s">
        <v>3145</v>
      </c>
      <c r="J8525" s="67">
        <f t="shared" si="495"/>
        <v>13791.85</v>
      </c>
      <c r="L8525" s="70"/>
      <c r="M8525" s="934"/>
    </row>
    <row r="8526" ht="12.75" hidden="1" customHeight="1" outlineLevel="1">
      <c r="A8526" s="202">
        <v>42402.0</v>
      </c>
      <c r="B8526" s="985" t="s">
        <v>347</v>
      </c>
      <c r="C8526" s="94" t="s">
        <v>1633</v>
      </c>
      <c r="D8526" s="286">
        <v>1500.0</v>
      </c>
      <c r="E8526" s="94">
        <v>7.86</v>
      </c>
      <c r="F8526" s="986">
        <v>0.42846064814814816</v>
      </c>
      <c r="G8526" s="94" t="s">
        <v>453</v>
      </c>
      <c r="H8526" s="987">
        <v>6.82</v>
      </c>
      <c r="I8526" s="988" t="s">
        <v>3145</v>
      </c>
      <c r="J8526" s="67">
        <f t="shared" si="495"/>
        <v>11783.18</v>
      </c>
      <c r="L8526" s="70"/>
      <c r="M8526" s="934"/>
    </row>
    <row r="8527" ht="12.75" hidden="1" customHeight="1" outlineLevel="1">
      <c r="A8527" s="202">
        <v>42402.0</v>
      </c>
      <c r="B8527" s="985" t="s">
        <v>347</v>
      </c>
      <c r="C8527" s="94" t="s">
        <v>2084</v>
      </c>
      <c r="D8527" s="286">
        <v>1500.0</v>
      </c>
      <c r="E8527" s="94">
        <v>7.91</v>
      </c>
      <c r="F8527" s="986">
        <v>0.42939814814814814</v>
      </c>
      <c r="G8527" s="94" t="s">
        <v>453</v>
      </c>
      <c r="H8527" s="987">
        <v>7.72</v>
      </c>
      <c r="I8527" s="988" t="s">
        <v>3145</v>
      </c>
      <c r="J8527" s="67">
        <f t="shared" si="495"/>
        <v>11857.28</v>
      </c>
      <c r="L8527" s="70"/>
      <c r="M8527" s="934"/>
    </row>
    <row r="8528" ht="12.75" hidden="1" customHeight="1" outlineLevel="1">
      <c r="A8528" s="202">
        <v>42402.0</v>
      </c>
      <c r="B8528" s="985" t="s">
        <v>347</v>
      </c>
      <c r="C8528" s="94" t="s">
        <v>1816</v>
      </c>
      <c r="D8528" s="94">
        <v>400.0</v>
      </c>
      <c r="E8528" s="94">
        <v>39.191</v>
      </c>
      <c r="F8528" s="986">
        <v>0.4295717592592593</v>
      </c>
      <c r="G8528" s="94" t="s">
        <v>453</v>
      </c>
      <c r="H8528" s="987">
        <v>2.19</v>
      </c>
      <c r="I8528" s="988" t="s">
        <v>3145</v>
      </c>
      <c r="J8528" s="67">
        <f t="shared" si="495"/>
        <v>15674.21</v>
      </c>
      <c r="L8528" s="70"/>
      <c r="M8528" s="934"/>
    </row>
    <row r="8529" ht="12.75" hidden="1" customHeight="1" outlineLevel="1">
      <c r="A8529" s="202">
        <v>42402.0</v>
      </c>
      <c r="B8529" s="985" t="s">
        <v>347</v>
      </c>
      <c r="C8529" s="94" t="s">
        <v>1938</v>
      </c>
      <c r="D8529" s="94">
        <v>750.0</v>
      </c>
      <c r="E8529" s="94">
        <v>14.511</v>
      </c>
      <c r="F8529" s="986">
        <v>0.4297916666666667</v>
      </c>
      <c r="G8529" s="94" t="s">
        <v>453</v>
      </c>
      <c r="H8529" s="987">
        <v>3.95</v>
      </c>
      <c r="I8529" s="988" t="s">
        <v>3145</v>
      </c>
      <c r="J8529" s="67">
        <f t="shared" si="495"/>
        <v>10879.3</v>
      </c>
      <c r="L8529" s="70"/>
      <c r="M8529" s="934"/>
    </row>
    <row r="8530" ht="12.75" hidden="1" customHeight="1" outlineLevel="1">
      <c r="A8530" s="202">
        <v>42402.0</v>
      </c>
      <c r="B8530" s="985" t="s">
        <v>347</v>
      </c>
      <c r="C8530" s="94" t="s">
        <v>2201</v>
      </c>
      <c r="D8530" s="94">
        <v>500.0</v>
      </c>
      <c r="E8530" s="94">
        <v>18.771</v>
      </c>
      <c r="F8530" s="986">
        <v>0.4301157407407407</v>
      </c>
      <c r="G8530" s="94" t="s">
        <v>453</v>
      </c>
      <c r="H8530" s="987">
        <v>2.17</v>
      </c>
      <c r="I8530" s="988" t="s">
        <v>3145</v>
      </c>
      <c r="J8530" s="67">
        <f t="shared" si="495"/>
        <v>9383.33</v>
      </c>
      <c r="L8530" s="70"/>
      <c r="M8530" s="934"/>
    </row>
    <row r="8531" ht="12.75" hidden="1" customHeight="1" outlineLevel="1">
      <c r="A8531" s="202">
        <v>42402.0</v>
      </c>
      <c r="B8531" s="985" t="s">
        <v>347</v>
      </c>
      <c r="C8531" s="94" t="s">
        <v>790</v>
      </c>
      <c r="D8531" s="286">
        <v>4500.0</v>
      </c>
      <c r="E8531" s="94">
        <v>3.031</v>
      </c>
      <c r="F8531" s="986">
        <v>0.4304513888888889</v>
      </c>
      <c r="G8531" s="94" t="s">
        <v>453</v>
      </c>
      <c r="H8531" s="987">
        <v>18.25</v>
      </c>
      <c r="I8531" s="988" t="s">
        <v>3145</v>
      </c>
      <c r="J8531" s="67">
        <f t="shared" si="495"/>
        <v>13621.25</v>
      </c>
      <c r="L8531" s="70"/>
      <c r="M8531" s="934"/>
    </row>
    <row r="8532" ht="12.75" hidden="1" customHeight="1" outlineLevel="1">
      <c r="A8532" s="202">
        <v>42402.0</v>
      </c>
      <c r="B8532" s="985" t="s">
        <v>347</v>
      </c>
      <c r="C8532" s="94" t="s">
        <v>2009</v>
      </c>
      <c r="D8532" s="286">
        <v>1250.0</v>
      </c>
      <c r="E8532" s="94">
        <v>11.621</v>
      </c>
      <c r="F8532" s="986">
        <v>0.43074074074074076</v>
      </c>
      <c r="G8532" s="94" t="s">
        <v>453</v>
      </c>
      <c r="H8532" s="987">
        <v>5.27</v>
      </c>
      <c r="I8532" s="988" t="s">
        <v>3145</v>
      </c>
      <c r="J8532" s="67">
        <f t="shared" si="495"/>
        <v>14520.98</v>
      </c>
      <c r="L8532" s="70"/>
      <c r="M8532" s="934"/>
    </row>
    <row r="8533" ht="12.75" hidden="1" customHeight="1" outlineLevel="1">
      <c r="A8533" s="202">
        <v>42402.0</v>
      </c>
      <c r="B8533" s="985" t="s">
        <v>347</v>
      </c>
      <c r="C8533" s="94" t="s">
        <v>1890</v>
      </c>
      <c r="D8533" s="286">
        <v>2000.0</v>
      </c>
      <c r="E8533" s="94">
        <v>9.0</v>
      </c>
      <c r="F8533" s="986">
        <v>0.43100694444444443</v>
      </c>
      <c r="G8533" s="94" t="s">
        <v>453</v>
      </c>
      <c r="H8533" s="987">
        <v>9.73</v>
      </c>
      <c r="I8533" s="988" t="s">
        <v>3145</v>
      </c>
      <c r="J8533" s="67">
        <f t="shared" si="495"/>
        <v>17990.27</v>
      </c>
      <c r="L8533" s="70"/>
      <c r="M8533" s="934"/>
    </row>
    <row r="8534" ht="12.75" hidden="1" customHeight="1" outlineLevel="1">
      <c r="A8534" s="202">
        <v>42402.0</v>
      </c>
      <c r="B8534" s="985" t="s">
        <v>347</v>
      </c>
      <c r="C8534" s="94" t="s">
        <v>1902</v>
      </c>
      <c r="D8534" s="286">
        <v>2400.0</v>
      </c>
      <c r="E8534" s="94">
        <v>6.3501</v>
      </c>
      <c r="F8534" s="986">
        <v>0.43125</v>
      </c>
      <c r="G8534" s="94" t="s">
        <v>453</v>
      </c>
      <c r="H8534" s="987">
        <v>9.88</v>
      </c>
      <c r="I8534" s="988" t="s">
        <v>3145</v>
      </c>
      <c r="J8534" s="67">
        <f t="shared" si="495"/>
        <v>15230.36</v>
      </c>
      <c r="L8534" s="70"/>
      <c r="M8534" s="934"/>
    </row>
    <row r="8535" ht="12.75" hidden="1" customHeight="1" outlineLevel="1">
      <c r="A8535" s="202">
        <v>42402.0</v>
      </c>
      <c r="B8535" s="985" t="s">
        <v>347</v>
      </c>
      <c r="C8535" s="94" t="s">
        <v>1821</v>
      </c>
      <c r="D8535" s="94">
        <v>300.0</v>
      </c>
      <c r="E8535" s="94">
        <v>25.21</v>
      </c>
      <c r="F8535" s="986">
        <v>0.43149305555555556</v>
      </c>
      <c r="G8535" s="94" t="s">
        <v>453</v>
      </c>
      <c r="H8535" s="987">
        <v>1.64</v>
      </c>
      <c r="I8535" s="988" t="s">
        <v>3145</v>
      </c>
      <c r="J8535" s="67">
        <f t="shared" si="495"/>
        <v>7561.36</v>
      </c>
      <c r="L8535" s="70"/>
      <c r="M8535" s="934"/>
    </row>
    <row r="8536" ht="12.75" hidden="1" customHeight="1" outlineLevel="1">
      <c r="A8536" s="202">
        <v>42402.0</v>
      </c>
      <c r="B8536" s="985" t="s">
        <v>347</v>
      </c>
      <c r="C8536" s="94" t="s">
        <v>1893</v>
      </c>
      <c r="D8536" s="286">
        <v>2000.0</v>
      </c>
      <c r="E8536" s="94">
        <v>4.47</v>
      </c>
      <c r="F8536" s="986">
        <v>0.4735185185185185</v>
      </c>
      <c r="G8536" s="94" t="s">
        <v>453</v>
      </c>
      <c r="H8536" s="987">
        <v>10.16</v>
      </c>
      <c r="I8536" s="988" t="s">
        <v>3145</v>
      </c>
      <c r="J8536" s="67">
        <f t="shared" si="495"/>
        <v>8929.84</v>
      </c>
      <c r="L8536" s="70"/>
      <c r="M8536" s="934"/>
    </row>
    <row r="8537" ht="12.75" hidden="1" customHeight="1" outlineLevel="1">
      <c r="A8537" s="202">
        <v>42402.0</v>
      </c>
      <c r="B8537" s="985" t="s">
        <v>347</v>
      </c>
      <c r="C8537" s="94" t="s">
        <v>1947</v>
      </c>
      <c r="D8537" s="94">
        <v>200.0</v>
      </c>
      <c r="E8537" s="94">
        <v>27.911</v>
      </c>
      <c r="F8537" s="986">
        <v>0.4850115740740741</v>
      </c>
      <c r="G8537" s="94" t="s">
        <v>453</v>
      </c>
      <c r="H8537" s="987">
        <v>1.1</v>
      </c>
      <c r="I8537" s="988" t="s">
        <v>3145</v>
      </c>
      <c r="J8537" s="67">
        <f t="shared" si="495"/>
        <v>5581.1</v>
      </c>
      <c r="L8537" s="70"/>
      <c r="M8537" s="934"/>
    </row>
    <row r="8538" ht="12.75" hidden="1" customHeight="1" outlineLevel="1">
      <c r="A8538" s="202">
        <v>42402.0</v>
      </c>
      <c r="B8538" s="985" t="s">
        <v>347</v>
      </c>
      <c r="C8538" s="94" t="s">
        <v>1905</v>
      </c>
      <c r="D8538" s="94">
        <v>300.0</v>
      </c>
      <c r="E8538" s="94">
        <v>17.392</v>
      </c>
      <c r="F8538" s="986">
        <v>0.4852662037037037</v>
      </c>
      <c r="G8538" s="94" t="s">
        <v>453</v>
      </c>
      <c r="H8538" s="987">
        <v>1.4</v>
      </c>
      <c r="I8538" s="988" t="s">
        <v>3145</v>
      </c>
      <c r="J8538" s="67">
        <f t="shared" si="495"/>
        <v>5216.2</v>
      </c>
      <c r="L8538" s="70"/>
      <c r="M8538" s="934"/>
    </row>
    <row r="8539" ht="12.75" hidden="1" customHeight="1" outlineLevel="1">
      <c r="A8539" s="990">
        <v>42402.0</v>
      </c>
      <c r="B8539" s="992"/>
      <c r="C8539" s="32" t="s">
        <v>339</v>
      </c>
      <c r="D8539" s="1"/>
      <c r="F8539" s="1"/>
      <c r="G8539" s="1"/>
      <c r="H8539" s="68"/>
      <c r="I8539" s="76"/>
      <c r="K8539" s="994" t="s">
        <v>3303</v>
      </c>
      <c r="L8539" s="934"/>
      <c r="M8539" s="934"/>
    </row>
    <row r="8540" ht="12.75" hidden="1" customHeight="1" outlineLevel="1">
      <c r="A8540" s="990">
        <v>42402.0</v>
      </c>
      <c r="B8540" s="992"/>
      <c r="C8540" s="32" t="s">
        <v>429</v>
      </c>
      <c r="D8540" s="1"/>
      <c r="F8540" s="1"/>
      <c r="G8540" s="1"/>
      <c r="H8540" s="68"/>
      <c r="I8540" s="76"/>
      <c r="K8540" s="9" t="s">
        <v>3187</v>
      </c>
      <c r="L8540" s="934"/>
      <c r="M8540" s="934"/>
    </row>
    <row r="8541" ht="12.75" hidden="1" customHeight="1" outlineLevel="1">
      <c r="A8541" s="990">
        <v>42402.0</v>
      </c>
      <c r="B8541" s="992"/>
      <c r="C8541" s="32" t="s">
        <v>431</v>
      </c>
      <c r="D8541" s="1"/>
      <c r="F8541" s="1"/>
      <c r="G8541" s="1"/>
      <c r="H8541" s="68"/>
      <c r="I8541" s="76"/>
      <c r="K8541" s="7" t="s">
        <v>1126</v>
      </c>
      <c r="L8541" s="934"/>
      <c r="M8541" s="934"/>
    </row>
    <row r="8542" ht="12.75" hidden="1" customHeight="1" outlineLevel="1">
      <c r="A8542" s="990">
        <v>42402.0</v>
      </c>
      <c r="B8542" s="992"/>
      <c r="C8542" s="32" t="s">
        <v>433</v>
      </c>
      <c r="D8542" s="1"/>
      <c r="F8542" s="1"/>
      <c r="G8542" s="1"/>
      <c r="H8542" s="68"/>
      <c r="I8542" s="76"/>
      <c r="K8542" s="7" t="s">
        <v>1103</v>
      </c>
      <c r="L8542" s="934"/>
      <c r="M8542" s="934"/>
    </row>
    <row r="8543" ht="12.75" hidden="1" customHeight="1" outlineLevel="1">
      <c r="A8543" s="990">
        <v>42402.0</v>
      </c>
      <c r="B8543" s="992"/>
      <c r="C8543" s="32" t="s">
        <v>435</v>
      </c>
      <c r="D8543" s="1"/>
      <c r="F8543" s="1"/>
      <c r="G8543" s="1"/>
      <c r="H8543" s="68"/>
      <c r="I8543" s="76"/>
      <c r="K8543" s="9" t="s">
        <v>3301</v>
      </c>
      <c r="L8543" s="934"/>
      <c r="M8543" s="934"/>
    </row>
    <row r="8544" ht="12.75" hidden="1" customHeight="1" outlineLevel="1">
      <c r="A8544" s="202">
        <v>42403.0</v>
      </c>
      <c r="B8544" s="985" t="s">
        <v>347</v>
      </c>
      <c r="C8544" s="94" t="s">
        <v>784</v>
      </c>
      <c r="D8544" s="286">
        <v>10000.0</v>
      </c>
      <c r="E8544" s="94">
        <v>2.24</v>
      </c>
      <c r="F8544" s="986">
        <v>0.4197106481481481</v>
      </c>
      <c r="G8544" s="94" t="s">
        <v>453</v>
      </c>
      <c r="H8544" s="987">
        <v>50.41</v>
      </c>
      <c r="I8544" s="988" t="s">
        <v>3145</v>
      </c>
      <c r="J8544" s="67">
        <f t="shared" ref="J8544:J8571" si="496">IF(B8544="SLD",D8544*E8544,-D8544*E8544)-H8544</f>
        <v>22349.59</v>
      </c>
      <c r="L8544" s="70"/>
      <c r="M8544" s="934"/>
    </row>
    <row r="8545" ht="12.75" hidden="1" customHeight="1" outlineLevel="1">
      <c r="A8545" s="202">
        <v>42403.0</v>
      </c>
      <c r="B8545" s="985" t="s">
        <v>343</v>
      </c>
      <c r="C8545" s="94" t="s">
        <v>2090</v>
      </c>
      <c r="D8545" s="286">
        <v>14000.0</v>
      </c>
      <c r="E8545" s="94">
        <v>3.769</v>
      </c>
      <c r="F8545" s="986">
        <v>0.6316203703703703</v>
      </c>
      <c r="G8545" s="94" t="s">
        <v>453</v>
      </c>
      <c r="H8545" s="987">
        <v>69.03</v>
      </c>
      <c r="I8545" s="988" t="s">
        <v>3145</v>
      </c>
      <c r="J8545" s="67">
        <f t="shared" si="496"/>
        <v>-52835.03</v>
      </c>
      <c r="L8545" s="70"/>
      <c r="M8545" s="934"/>
    </row>
    <row r="8546" ht="12.75" hidden="1" customHeight="1" outlineLevel="1">
      <c r="A8546" s="202">
        <v>42403.0</v>
      </c>
      <c r="B8546" s="985" t="s">
        <v>343</v>
      </c>
      <c r="C8546" s="94" t="s">
        <v>1893</v>
      </c>
      <c r="D8546" s="286">
        <v>10000.0</v>
      </c>
      <c r="E8546" s="94">
        <v>4.829</v>
      </c>
      <c r="F8546" s="986">
        <v>0.6320486111111111</v>
      </c>
      <c r="G8546" s="94" t="s">
        <v>453</v>
      </c>
      <c r="H8546" s="987">
        <v>41.0</v>
      </c>
      <c r="I8546" s="988" t="s">
        <v>3145</v>
      </c>
      <c r="J8546" s="67">
        <f t="shared" si="496"/>
        <v>-48331</v>
      </c>
      <c r="L8546" s="70"/>
      <c r="M8546" s="934"/>
    </row>
    <row r="8547" ht="12.75" hidden="1" customHeight="1" outlineLevel="1">
      <c r="A8547" s="202">
        <v>42403.0</v>
      </c>
      <c r="B8547" s="985" t="s">
        <v>343</v>
      </c>
      <c r="C8547" s="94" t="s">
        <v>1947</v>
      </c>
      <c r="D8547" s="286">
        <v>1700.0</v>
      </c>
      <c r="E8547" s="94">
        <v>28.247</v>
      </c>
      <c r="F8547" s="986">
        <v>0.6323148148148148</v>
      </c>
      <c r="G8547" s="94" t="s">
        <v>453</v>
      </c>
      <c r="H8547" s="987">
        <v>6.8</v>
      </c>
      <c r="I8547" s="988" t="s">
        <v>3145</v>
      </c>
      <c r="J8547" s="67">
        <f t="shared" si="496"/>
        <v>-48026.7</v>
      </c>
      <c r="L8547" s="70"/>
      <c r="M8547" s="934"/>
    </row>
    <row r="8548" ht="12.75" hidden="1" customHeight="1" outlineLevel="1">
      <c r="A8548" s="202">
        <v>42403.0</v>
      </c>
      <c r="B8548" s="985" t="s">
        <v>343</v>
      </c>
      <c r="C8548" s="94" t="s">
        <v>784</v>
      </c>
      <c r="D8548" s="286">
        <v>20000.0</v>
      </c>
      <c r="E8548" s="94">
        <v>2.339</v>
      </c>
      <c r="F8548" s="986">
        <v>0.6324884259259259</v>
      </c>
      <c r="G8548" s="94" t="s">
        <v>453</v>
      </c>
      <c r="H8548" s="987">
        <v>87.7</v>
      </c>
      <c r="I8548" s="988" t="s">
        <v>3145</v>
      </c>
      <c r="J8548" s="67">
        <f t="shared" si="496"/>
        <v>-46867.7</v>
      </c>
      <c r="L8548" s="70"/>
      <c r="M8548" s="934"/>
    </row>
    <row r="8549" ht="12.75" hidden="1" customHeight="1" outlineLevel="1">
      <c r="A8549" s="202">
        <v>42403.0</v>
      </c>
      <c r="B8549" s="985" t="s">
        <v>343</v>
      </c>
      <c r="C8549" s="94" t="s">
        <v>2210</v>
      </c>
      <c r="D8549" s="94">
        <v>700.0</v>
      </c>
      <c r="E8549" s="94">
        <v>63.816</v>
      </c>
      <c r="F8549" s="986">
        <v>0.6326273148148148</v>
      </c>
      <c r="G8549" s="94" t="s">
        <v>453</v>
      </c>
      <c r="H8549" s="987">
        <v>2.9</v>
      </c>
      <c r="I8549" s="988" t="s">
        <v>3145</v>
      </c>
      <c r="J8549" s="67">
        <f t="shared" si="496"/>
        <v>-44674.1</v>
      </c>
      <c r="L8549" s="70"/>
      <c r="M8549" s="934"/>
    </row>
    <row r="8550" ht="12.75" hidden="1" customHeight="1" outlineLevel="1">
      <c r="A8550" s="202">
        <v>42403.0</v>
      </c>
      <c r="B8550" s="985" t="s">
        <v>343</v>
      </c>
      <c r="C8550" s="94" t="s">
        <v>3024</v>
      </c>
      <c r="D8550" s="286">
        <v>3000.0</v>
      </c>
      <c r="E8550" s="94">
        <v>14.039</v>
      </c>
      <c r="F8550" s="986">
        <v>0.6327314814814815</v>
      </c>
      <c r="G8550" s="94" t="s">
        <v>453</v>
      </c>
      <c r="H8550" s="987">
        <v>12.9</v>
      </c>
      <c r="I8550" s="988" t="s">
        <v>3145</v>
      </c>
      <c r="J8550" s="67">
        <f t="shared" si="496"/>
        <v>-42129.9</v>
      </c>
      <c r="L8550" s="70"/>
      <c r="M8550" s="934"/>
    </row>
    <row r="8551" ht="12.75" hidden="1" customHeight="1" outlineLevel="1">
      <c r="A8551" s="202">
        <v>42403.0</v>
      </c>
      <c r="B8551" s="985" t="s">
        <v>343</v>
      </c>
      <c r="C8551" s="94" t="s">
        <v>1905</v>
      </c>
      <c r="D8551" s="286">
        <v>2300.0</v>
      </c>
      <c r="E8551" s="94">
        <v>17.439</v>
      </c>
      <c r="F8551" s="986">
        <v>0.6328703703703704</v>
      </c>
      <c r="G8551" s="94" t="s">
        <v>453</v>
      </c>
      <c r="H8551" s="987">
        <v>9.69</v>
      </c>
      <c r="I8551" s="988" t="s">
        <v>3145</v>
      </c>
      <c r="J8551" s="67">
        <f t="shared" si="496"/>
        <v>-40119.39</v>
      </c>
      <c r="L8551" s="70"/>
      <c r="M8551" s="934"/>
    </row>
    <row r="8552" ht="12.75" hidden="1" customHeight="1" outlineLevel="1">
      <c r="A8552" s="202">
        <v>42403.0</v>
      </c>
      <c r="B8552" s="985" t="s">
        <v>343</v>
      </c>
      <c r="C8552" s="94" t="s">
        <v>1781</v>
      </c>
      <c r="D8552" s="286">
        <v>3000.0</v>
      </c>
      <c r="E8552" s="94">
        <v>10.689</v>
      </c>
      <c r="F8552" s="986">
        <v>0.6330092592592592</v>
      </c>
      <c r="G8552" s="94" t="s">
        <v>453</v>
      </c>
      <c r="H8552" s="987">
        <v>12.2</v>
      </c>
      <c r="I8552" s="988" t="s">
        <v>3145</v>
      </c>
      <c r="J8552" s="67">
        <f t="shared" si="496"/>
        <v>-32079.2</v>
      </c>
      <c r="L8552" s="70"/>
      <c r="M8552" s="934"/>
    </row>
    <row r="8553" ht="12.75" hidden="1" customHeight="1" outlineLevel="1">
      <c r="A8553" s="202">
        <v>42403.0</v>
      </c>
      <c r="B8553" s="985" t="s">
        <v>343</v>
      </c>
      <c r="C8553" s="94" t="s">
        <v>2043</v>
      </c>
      <c r="D8553" s="286">
        <v>1200.0</v>
      </c>
      <c r="E8553" s="94">
        <v>24.969</v>
      </c>
      <c r="F8553" s="986">
        <v>0.6333101851851852</v>
      </c>
      <c r="G8553" s="94" t="s">
        <v>453</v>
      </c>
      <c r="H8553" s="987">
        <v>4.9</v>
      </c>
      <c r="I8553" s="988" t="s">
        <v>3145</v>
      </c>
      <c r="J8553" s="67">
        <f t="shared" si="496"/>
        <v>-29967.7</v>
      </c>
      <c r="L8553" s="70"/>
      <c r="M8553" s="934"/>
    </row>
    <row r="8554" ht="12.75" hidden="1" customHeight="1" outlineLevel="1">
      <c r="A8554" s="202">
        <v>42403.0</v>
      </c>
      <c r="B8554" s="985" t="s">
        <v>343</v>
      </c>
      <c r="C8554" s="94" t="s">
        <v>1823</v>
      </c>
      <c r="D8554" s="286">
        <v>1400.0</v>
      </c>
      <c r="E8554" s="94">
        <v>21.359</v>
      </c>
      <c r="F8554" s="986">
        <v>0.6334722222222222</v>
      </c>
      <c r="G8554" s="94" t="s">
        <v>453</v>
      </c>
      <c r="H8554" s="987">
        <v>5.9</v>
      </c>
      <c r="I8554" s="988" t="s">
        <v>3145</v>
      </c>
      <c r="J8554" s="67">
        <f t="shared" si="496"/>
        <v>-29908.5</v>
      </c>
      <c r="L8554" s="70"/>
      <c r="M8554" s="934"/>
    </row>
    <row r="8555" ht="12.75" hidden="1" customHeight="1" outlineLevel="1">
      <c r="A8555" s="202">
        <v>42403.0</v>
      </c>
      <c r="B8555" s="985" t="s">
        <v>343</v>
      </c>
      <c r="C8555" s="94" t="s">
        <v>1816</v>
      </c>
      <c r="D8555" s="94">
        <v>700.0</v>
      </c>
      <c r="E8555" s="94">
        <v>41.189</v>
      </c>
      <c r="F8555" s="986">
        <v>0.6337152777777778</v>
      </c>
      <c r="G8555" s="94" t="s">
        <v>453</v>
      </c>
      <c r="H8555" s="987">
        <v>3.0</v>
      </c>
      <c r="I8555" s="988" t="s">
        <v>3145</v>
      </c>
      <c r="J8555" s="67">
        <f t="shared" si="496"/>
        <v>-28835.3</v>
      </c>
      <c r="L8555" s="70"/>
      <c r="M8555" s="934"/>
    </row>
    <row r="8556" ht="12.75" hidden="1" customHeight="1" outlineLevel="1">
      <c r="A8556" s="202">
        <v>42403.0</v>
      </c>
      <c r="B8556" s="985" t="s">
        <v>343</v>
      </c>
      <c r="C8556" s="94" t="s">
        <v>1890</v>
      </c>
      <c r="D8556" s="286">
        <v>3000.0</v>
      </c>
      <c r="E8556" s="94">
        <v>9.119</v>
      </c>
      <c r="F8556" s="986">
        <v>0.6338657407407408</v>
      </c>
      <c r="G8556" s="94" t="s">
        <v>453</v>
      </c>
      <c r="H8556" s="987">
        <v>12.4</v>
      </c>
      <c r="I8556" s="988" t="s">
        <v>3145</v>
      </c>
      <c r="J8556" s="67">
        <f t="shared" si="496"/>
        <v>-27369.4</v>
      </c>
      <c r="L8556" s="70"/>
      <c r="M8556" s="934"/>
    </row>
    <row r="8557" ht="12.75" hidden="1" customHeight="1" outlineLevel="1">
      <c r="A8557" s="202">
        <v>42403.0</v>
      </c>
      <c r="B8557" s="985" t="s">
        <v>343</v>
      </c>
      <c r="C8557" s="94" t="s">
        <v>2084</v>
      </c>
      <c r="D8557" s="286">
        <v>3000.0</v>
      </c>
      <c r="E8557" s="94">
        <v>8.709</v>
      </c>
      <c r="F8557" s="986">
        <v>0.6339814814814815</v>
      </c>
      <c r="G8557" s="94" t="s">
        <v>453</v>
      </c>
      <c r="H8557" s="987">
        <v>12.9</v>
      </c>
      <c r="I8557" s="988" t="s">
        <v>3145</v>
      </c>
      <c r="J8557" s="67">
        <f t="shared" si="496"/>
        <v>-26139.9</v>
      </c>
      <c r="L8557" s="70"/>
      <c r="M8557" s="934"/>
    </row>
    <row r="8558" ht="12.75" hidden="1" customHeight="1" outlineLevel="1">
      <c r="A8558" s="202">
        <v>42403.0</v>
      </c>
      <c r="B8558" s="985" t="s">
        <v>343</v>
      </c>
      <c r="C8558" s="94" t="s">
        <v>1633</v>
      </c>
      <c r="D8558" s="286">
        <v>3000.0</v>
      </c>
      <c r="E8558" s="94">
        <v>8.67</v>
      </c>
      <c r="F8558" s="986">
        <v>0.6341319444444444</v>
      </c>
      <c r="G8558" s="94" t="s">
        <v>453</v>
      </c>
      <c r="H8558" s="987">
        <v>14.9</v>
      </c>
      <c r="I8558" s="988" t="s">
        <v>3145</v>
      </c>
      <c r="J8558" s="67">
        <f t="shared" si="496"/>
        <v>-26024.9</v>
      </c>
      <c r="L8558" s="70"/>
      <c r="M8558" s="934"/>
    </row>
    <row r="8559" ht="12.75" hidden="1" customHeight="1" outlineLevel="1">
      <c r="A8559" s="202">
        <v>42403.0</v>
      </c>
      <c r="B8559" s="985" t="s">
        <v>343</v>
      </c>
      <c r="C8559" s="94" t="s">
        <v>790</v>
      </c>
      <c r="D8559" s="286">
        <v>7500.0</v>
      </c>
      <c r="E8559" s="94">
        <v>3.167</v>
      </c>
      <c r="F8559" s="986">
        <v>0.6342592592592593</v>
      </c>
      <c r="G8559" s="94" t="s">
        <v>453</v>
      </c>
      <c r="H8559" s="987">
        <v>32.7</v>
      </c>
      <c r="I8559" s="988" t="s">
        <v>3145</v>
      </c>
      <c r="J8559" s="67">
        <f t="shared" si="496"/>
        <v>-23785.2</v>
      </c>
      <c r="L8559" s="70"/>
      <c r="M8559" s="934"/>
    </row>
    <row r="8560" ht="12.75" hidden="1" customHeight="1" outlineLevel="1">
      <c r="A8560" s="202">
        <v>42403.0</v>
      </c>
      <c r="B8560" s="985" t="s">
        <v>343</v>
      </c>
      <c r="C8560" s="94" t="s">
        <v>1902</v>
      </c>
      <c r="D8560" s="286">
        <v>3600.0</v>
      </c>
      <c r="E8560" s="94">
        <v>6.605</v>
      </c>
      <c r="F8560" s="986">
        <v>0.6345138888888889</v>
      </c>
      <c r="G8560" s="94" t="s">
        <v>453</v>
      </c>
      <c r="H8560" s="987">
        <v>15.98</v>
      </c>
      <c r="I8560" s="988" t="s">
        <v>3145</v>
      </c>
      <c r="J8560" s="67">
        <f t="shared" si="496"/>
        <v>-23793.98</v>
      </c>
      <c r="L8560" s="70"/>
      <c r="M8560" s="934"/>
    </row>
    <row r="8561" ht="12.75" hidden="1" customHeight="1" outlineLevel="1">
      <c r="A8561" s="202">
        <v>42403.0</v>
      </c>
      <c r="B8561" s="985" t="s">
        <v>343</v>
      </c>
      <c r="C8561" s="94" t="s">
        <v>2009</v>
      </c>
      <c r="D8561" s="286">
        <v>2000.0</v>
      </c>
      <c r="E8561" s="94">
        <v>11.719</v>
      </c>
      <c r="F8561" s="986">
        <v>0.6346180555555555</v>
      </c>
      <c r="G8561" s="94" t="s">
        <v>453</v>
      </c>
      <c r="H8561" s="987">
        <v>8.0</v>
      </c>
      <c r="I8561" s="988" t="s">
        <v>3145</v>
      </c>
      <c r="J8561" s="67">
        <f t="shared" si="496"/>
        <v>-23446</v>
      </c>
      <c r="L8561" s="70"/>
      <c r="M8561" s="934"/>
    </row>
    <row r="8562" ht="12.75" hidden="1" customHeight="1" outlineLevel="1">
      <c r="A8562" s="202">
        <v>42403.0</v>
      </c>
      <c r="B8562" s="985" t="s">
        <v>343</v>
      </c>
      <c r="C8562" s="94" t="s">
        <v>1938</v>
      </c>
      <c r="D8562" s="286">
        <v>1500.0</v>
      </c>
      <c r="E8562" s="94">
        <v>15.64</v>
      </c>
      <c r="F8562" s="986">
        <v>0.6347569444444444</v>
      </c>
      <c r="G8562" s="94" t="s">
        <v>453</v>
      </c>
      <c r="H8562" s="987">
        <v>6.15</v>
      </c>
      <c r="I8562" s="988" t="s">
        <v>3145</v>
      </c>
      <c r="J8562" s="67">
        <f t="shared" si="496"/>
        <v>-23466.15</v>
      </c>
      <c r="L8562" s="70"/>
      <c r="M8562" s="934"/>
    </row>
    <row r="8563" ht="12.75" hidden="1" customHeight="1" outlineLevel="1">
      <c r="A8563" s="202">
        <v>42403.0</v>
      </c>
      <c r="B8563" s="985" t="s">
        <v>343</v>
      </c>
      <c r="C8563" s="94" t="s">
        <v>2201</v>
      </c>
      <c r="D8563" s="286">
        <v>1000.0</v>
      </c>
      <c r="E8563" s="94">
        <v>18.55</v>
      </c>
      <c r="F8563" s="986">
        <v>0.6349421296296296</v>
      </c>
      <c r="G8563" s="94" t="s">
        <v>453</v>
      </c>
      <c r="H8563" s="987">
        <v>5.0</v>
      </c>
      <c r="I8563" s="988" t="s">
        <v>3145</v>
      </c>
      <c r="J8563" s="67">
        <f t="shared" si="496"/>
        <v>-18555</v>
      </c>
      <c r="L8563" s="70"/>
      <c r="M8563" s="934"/>
    </row>
    <row r="8564" ht="12.75" hidden="1" customHeight="1" outlineLevel="1">
      <c r="A8564" s="202">
        <v>42403.0</v>
      </c>
      <c r="B8564" s="985" t="s">
        <v>343</v>
      </c>
      <c r="C8564" s="94" t="s">
        <v>1839</v>
      </c>
      <c r="D8564" s="286">
        <v>5000.0</v>
      </c>
      <c r="E8564" s="94">
        <v>3.34</v>
      </c>
      <c r="F8564" s="986">
        <v>0.6350810185185185</v>
      </c>
      <c r="G8564" s="94" t="s">
        <v>453</v>
      </c>
      <c r="H8564" s="987">
        <v>25.0</v>
      </c>
      <c r="I8564" s="988" t="s">
        <v>3145</v>
      </c>
      <c r="J8564" s="67">
        <f t="shared" si="496"/>
        <v>-16725</v>
      </c>
      <c r="L8564" s="70"/>
      <c r="M8564" s="934"/>
    </row>
    <row r="8565" ht="12.75" hidden="1" customHeight="1" outlineLevel="1">
      <c r="A8565" s="202">
        <v>42403.0</v>
      </c>
      <c r="B8565" s="985" t="s">
        <v>343</v>
      </c>
      <c r="C8565" s="94" t="s">
        <v>1821</v>
      </c>
      <c r="D8565" s="94">
        <v>600.0</v>
      </c>
      <c r="E8565" s="94">
        <v>26.5</v>
      </c>
      <c r="F8565" s="986">
        <v>0.6352893518518519</v>
      </c>
      <c r="G8565" s="94" t="s">
        <v>453</v>
      </c>
      <c r="H8565" s="987">
        <v>2.9</v>
      </c>
      <c r="I8565" s="988" t="s">
        <v>3145</v>
      </c>
      <c r="J8565" s="67">
        <f t="shared" si="496"/>
        <v>-15902.9</v>
      </c>
      <c r="L8565" s="70"/>
      <c r="M8565" s="934"/>
    </row>
    <row r="8566" ht="12.75" hidden="1" customHeight="1" outlineLevel="1">
      <c r="A8566" s="202">
        <v>42403.0</v>
      </c>
      <c r="B8566" s="985" t="s">
        <v>343</v>
      </c>
      <c r="C8566" s="94" t="s">
        <v>2048</v>
      </c>
      <c r="D8566" s="286">
        <v>8000.0</v>
      </c>
      <c r="E8566" s="94">
        <v>1.948</v>
      </c>
      <c r="F8566" s="986">
        <v>0.6353703703703704</v>
      </c>
      <c r="G8566" s="94" t="s">
        <v>453</v>
      </c>
      <c r="H8566" s="987">
        <v>34.7</v>
      </c>
      <c r="I8566" s="988" t="s">
        <v>3145</v>
      </c>
      <c r="J8566" s="67">
        <f t="shared" si="496"/>
        <v>-15618.7</v>
      </c>
      <c r="L8566" s="70"/>
      <c r="M8566" s="934"/>
    </row>
    <row r="8567" ht="12.75" hidden="1" customHeight="1" outlineLevel="1">
      <c r="A8567" s="202">
        <v>42403.0</v>
      </c>
      <c r="B8567" s="985" t="s">
        <v>347</v>
      </c>
      <c r="C8567" s="94" t="s">
        <v>344</v>
      </c>
      <c r="D8567" s="286">
        <v>1200.0</v>
      </c>
      <c r="E8567" s="94">
        <v>54.23</v>
      </c>
      <c r="F8567" s="986">
        <v>0.6379166666666667</v>
      </c>
      <c r="G8567" s="94" t="s">
        <v>453</v>
      </c>
      <c r="H8567" s="987">
        <v>7.1</v>
      </c>
      <c r="I8567" s="988" t="s">
        <v>3145</v>
      </c>
      <c r="J8567" s="67">
        <f t="shared" si="496"/>
        <v>65068.9</v>
      </c>
      <c r="L8567" s="70"/>
      <c r="M8567" s="934"/>
    </row>
    <row r="8568" ht="12.75" hidden="1" customHeight="1" outlineLevel="1">
      <c r="A8568" s="202">
        <v>42403.0</v>
      </c>
      <c r="B8568" s="985" t="s">
        <v>347</v>
      </c>
      <c r="C8568" s="94" t="s">
        <v>3136</v>
      </c>
      <c r="D8568" s="94">
        <v>900.0</v>
      </c>
      <c r="E8568" s="94">
        <v>38.114</v>
      </c>
      <c r="F8568" s="986">
        <v>0.6382523148148148</v>
      </c>
      <c r="G8568" s="94" t="s">
        <v>453</v>
      </c>
      <c r="H8568" s="987">
        <v>5.13</v>
      </c>
      <c r="I8568" s="988" t="s">
        <v>3145</v>
      </c>
      <c r="J8568" s="67">
        <f t="shared" si="496"/>
        <v>34297.47</v>
      </c>
      <c r="L8568" s="70"/>
      <c r="M8568" s="934"/>
    </row>
    <row r="8569" ht="12.75" hidden="1" customHeight="1" outlineLevel="1">
      <c r="A8569" s="202">
        <v>42403.0</v>
      </c>
      <c r="B8569" s="985" t="s">
        <v>347</v>
      </c>
      <c r="C8569" s="94" t="s">
        <v>1358</v>
      </c>
      <c r="D8569" s="94">
        <v>200.0</v>
      </c>
      <c r="E8569" s="94">
        <v>125.464</v>
      </c>
      <c r="F8569" s="986">
        <v>0.6384143518518518</v>
      </c>
      <c r="G8569" s="94" t="s">
        <v>453</v>
      </c>
      <c r="H8569" s="987">
        <v>1.46</v>
      </c>
      <c r="I8569" s="988" t="s">
        <v>3145</v>
      </c>
      <c r="J8569" s="67">
        <f t="shared" si="496"/>
        <v>25091.34</v>
      </c>
      <c r="L8569" s="70"/>
      <c r="M8569" s="934"/>
    </row>
    <row r="8570" ht="12.75" hidden="1" customHeight="1" outlineLevel="1">
      <c r="A8570" s="202">
        <v>42403.0</v>
      </c>
      <c r="B8570" s="985" t="s">
        <v>347</v>
      </c>
      <c r="C8570" s="94" t="s">
        <v>352</v>
      </c>
      <c r="D8570" s="94">
        <v>200.0</v>
      </c>
      <c r="E8570" s="94">
        <v>47.4</v>
      </c>
      <c r="F8570" s="986">
        <v>0.6451851851851852</v>
      </c>
      <c r="G8570" s="94" t="s">
        <v>453</v>
      </c>
      <c r="H8570" s="987">
        <v>1.17</v>
      </c>
      <c r="I8570" s="988" t="s">
        <v>3145</v>
      </c>
      <c r="J8570" s="67">
        <f t="shared" si="496"/>
        <v>9478.83</v>
      </c>
      <c r="L8570" s="70"/>
      <c r="M8570" s="934"/>
    </row>
    <row r="8571" ht="12.75" hidden="1" customHeight="1" outlineLevel="1">
      <c r="A8571" s="202">
        <v>42403.0</v>
      </c>
      <c r="B8571" s="985" t="s">
        <v>347</v>
      </c>
      <c r="C8571" s="94" t="s">
        <v>1286</v>
      </c>
      <c r="D8571" s="94">
        <v>200.0</v>
      </c>
      <c r="E8571" s="94">
        <v>55.091</v>
      </c>
      <c r="F8571" s="986">
        <v>0.6469907407407407</v>
      </c>
      <c r="G8571" s="94" t="s">
        <v>453</v>
      </c>
      <c r="H8571" s="987">
        <v>1.2</v>
      </c>
      <c r="I8571" s="988" t="s">
        <v>3145</v>
      </c>
      <c r="J8571" s="67">
        <f t="shared" si="496"/>
        <v>11017</v>
      </c>
      <c r="L8571" s="70"/>
      <c r="M8571" s="934"/>
    </row>
    <row r="8572" ht="12.75" hidden="1" customHeight="1" outlineLevel="1">
      <c r="A8572" s="202">
        <v>42403.0</v>
      </c>
      <c r="B8572" s="992"/>
      <c r="C8572" s="32" t="s">
        <v>339</v>
      </c>
      <c r="D8572" s="1"/>
      <c r="F8572" s="1"/>
      <c r="G8572" s="1"/>
      <c r="H8572" s="68"/>
      <c r="I8572" s="76"/>
      <c r="K8572" s="994" t="s">
        <v>3303</v>
      </c>
      <c r="L8572" s="934"/>
      <c r="M8572" s="934"/>
    </row>
    <row r="8573" ht="12.75" hidden="1" customHeight="1" outlineLevel="1">
      <c r="A8573" s="202">
        <v>42403.0</v>
      </c>
      <c r="B8573" s="992"/>
      <c r="C8573" s="32" t="s">
        <v>429</v>
      </c>
      <c r="D8573" s="1"/>
      <c r="F8573" s="1"/>
      <c r="G8573" s="1"/>
      <c r="H8573" s="68"/>
      <c r="I8573" s="76"/>
      <c r="K8573" s="9" t="s">
        <v>3187</v>
      </c>
      <c r="L8573" s="934"/>
      <c r="M8573" s="934"/>
    </row>
    <row r="8574" ht="12.75" hidden="1" customHeight="1" outlineLevel="1">
      <c r="A8574" s="202">
        <v>42403.0</v>
      </c>
      <c r="B8574" s="992"/>
      <c r="C8574" s="32" t="s">
        <v>431</v>
      </c>
      <c r="D8574" s="1"/>
      <c r="F8574" s="1"/>
      <c r="G8574" s="1"/>
      <c r="H8574" s="68"/>
      <c r="I8574" s="76"/>
      <c r="K8574" s="7" t="s">
        <v>1126</v>
      </c>
      <c r="L8574" s="934"/>
      <c r="M8574" s="934"/>
    </row>
    <row r="8575" ht="12.75" hidden="1" customHeight="1" outlineLevel="1">
      <c r="A8575" s="202">
        <v>42403.0</v>
      </c>
      <c r="B8575" s="992"/>
      <c r="C8575" s="32" t="s">
        <v>433</v>
      </c>
      <c r="D8575" s="1"/>
      <c r="F8575" s="1"/>
      <c r="G8575" s="1"/>
      <c r="H8575" s="68"/>
      <c r="I8575" s="76"/>
      <c r="K8575" s="7" t="s">
        <v>1103</v>
      </c>
      <c r="L8575" s="934"/>
      <c r="M8575" s="934"/>
    </row>
    <row r="8576" ht="12.75" hidden="1" customHeight="1" outlineLevel="1">
      <c r="A8576" s="202">
        <v>42403.0</v>
      </c>
      <c r="B8576" s="992"/>
      <c r="C8576" s="32" t="s">
        <v>435</v>
      </c>
      <c r="D8576" s="1"/>
      <c r="F8576" s="1"/>
      <c r="G8576" s="1"/>
      <c r="H8576" s="68"/>
      <c r="I8576" s="76"/>
      <c r="K8576" s="9" t="s">
        <v>3301</v>
      </c>
      <c r="L8576" s="934"/>
      <c r="M8576" s="934"/>
    </row>
    <row r="8577" ht="12.75" hidden="1" customHeight="1" outlineLevel="1">
      <c r="A8577" s="202">
        <v>42404.0</v>
      </c>
      <c r="B8577" s="985" t="s">
        <v>347</v>
      </c>
      <c r="C8577" s="94" t="s">
        <v>2210</v>
      </c>
      <c r="D8577" s="94">
        <v>250.0</v>
      </c>
      <c r="E8577" s="94">
        <v>62.58</v>
      </c>
      <c r="F8577" s="986">
        <v>0.4031134259259259</v>
      </c>
      <c r="G8577" s="94" t="s">
        <v>453</v>
      </c>
      <c r="H8577" s="987">
        <v>1.29</v>
      </c>
      <c r="I8577" s="988" t="s">
        <v>3145</v>
      </c>
      <c r="J8577" s="67">
        <f t="shared" ref="J8577:J8598" si="497">IF(B8577="SLD",D8577*E8577,-D8577*E8577)-H8577</f>
        <v>15643.71</v>
      </c>
      <c r="L8577" s="70"/>
      <c r="M8577" s="934"/>
    </row>
    <row r="8578" ht="12.75" hidden="1" customHeight="1" outlineLevel="1">
      <c r="A8578" s="202">
        <v>42404.0</v>
      </c>
      <c r="B8578" s="985" t="s">
        <v>347</v>
      </c>
      <c r="C8578" s="94" t="s">
        <v>3024</v>
      </c>
      <c r="D8578" s="286">
        <v>1100.0</v>
      </c>
      <c r="E8578" s="94">
        <v>13.8169</v>
      </c>
      <c r="F8578" s="986">
        <v>0.40341435185185187</v>
      </c>
      <c r="G8578" s="94" t="s">
        <v>453</v>
      </c>
      <c r="H8578" s="987">
        <v>4.68</v>
      </c>
      <c r="I8578" s="988" t="s">
        <v>3145</v>
      </c>
      <c r="J8578" s="67">
        <f t="shared" si="497"/>
        <v>15193.91</v>
      </c>
      <c r="L8578" s="70"/>
      <c r="M8578" s="934"/>
    </row>
    <row r="8579" ht="12.75" hidden="1" customHeight="1" outlineLevel="1">
      <c r="A8579" s="202">
        <v>42404.0</v>
      </c>
      <c r="B8579" s="985" t="s">
        <v>347</v>
      </c>
      <c r="C8579" s="94" t="s">
        <v>1947</v>
      </c>
      <c r="D8579" s="94">
        <v>550.0</v>
      </c>
      <c r="E8579" s="94">
        <v>28.18</v>
      </c>
      <c r="F8579" s="986">
        <v>0.40424768518518517</v>
      </c>
      <c r="G8579" s="94" t="s">
        <v>453</v>
      </c>
      <c r="H8579" s="987">
        <v>2.49</v>
      </c>
      <c r="I8579" s="988" t="s">
        <v>3145</v>
      </c>
      <c r="J8579" s="67">
        <f t="shared" si="497"/>
        <v>15496.51</v>
      </c>
      <c r="L8579" s="70"/>
      <c r="M8579" s="934"/>
    </row>
    <row r="8580" ht="12.75" hidden="1" customHeight="1" outlineLevel="1">
      <c r="A8580" s="202">
        <v>42404.0</v>
      </c>
      <c r="B8580" s="985" t="s">
        <v>347</v>
      </c>
      <c r="C8580" s="94" t="s">
        <v>2084</v>
      </c>
      <c r="D8580" s="94">
        <v>850.0</v>
      </c>
      <c r="E8580" s="94">
        <v>8.6101</v>
      </c>
      <c r="F8580" s="986">
        <v>0.4199189814814815</v>
      </c>
      <c r="G8580" s="94" t="s">
        <v>453</v>
      </c>
      <c r="H8580" s="987">
        <v>3.53</v>
      </c>
      <c r="I8580" s="988" t="s">
        <v>3145</v>
      </c>
      <c r="J8580" s="67">
        <f t="shared" si="497"/>
        <v>7315.055</v>
      </c>
      <c r="L8580" s="70"/>
      <c r="M8580" s="934"/>
    </row>
    <row r="8581" ht="12.75" hidden="1" customHeight="1" outlineLevel="1">
      <c r="A8581" s="202">
        <v>42404.0</v>
      </c>
      <c r="B8581" s="985" t="s">
        <v>347</v>
      </c>
      <c r="C8581" s="94" t="s">
        <v>2201</v>
      </c>
      <c r="D8581" s="94">
        <v>400.0</v>
      </c>
      <c r="E8581" s="94">
        <v>18.2501</v>
      </c>
      <c r="F8581" s="986">
        <v>0.4731828703703704</v>
      </c>
      <c r="G8581" s="94" t="s">
        <v>453</v>
      </c>
      <c r="H8581" s="987">
        <v>1.73</v>
      </c>
      <c r="I8581" s="988" t="s">
        <v>3145</v>
      </c>
      <c r="J8581" s="67">
        <f t="shared" si="497"/>
        <v>7298.31</v>
      </c>
      <c r="L8581" s="70"/>
      <c r="M8581" s="934"/>
    </row>
    <row r="8582" ht="12.75" hidden="1" customHeight="1" outlineLevel="1">
      <c r="A8582" s="202">
        <v>42404.0</v>
      </c>
      <c r="B8582" s="985" t="s">
        <v>347</v>
      </c>
      <c r="C8582" s="94" t="s">
        <v>1821</v>
      </c>
      <c r="D8582" s="94">
        <v>275.0</v>
      </c>
      <c r="E8582" s="94">
        <v>26.57</v>
      </c>
      <c r="F8582" s="986">
        <v>0.47347222222222224</v>
      </c>
      <c r="G8582" s="94" t="s">
        <v>453</v>
      </c>
      <c r="H8582" s="987">
        <v>1.23</v>
      </c>
      <c r="I8582" s="988" t="s">
        <v>3145</v>
      </c>
      <c r="J8582" s="67">
        <f t="shared" si="497"/>
        <v>7305.52</v>
      </c>
      <c r="L8582" s="70"/>
      <c r="M8582" s="934"/>
    </row>
    <row r="8583" ht="12.75" hidden="1" customHeight="1" outlineLevel="1">
      <c r="A8583" s="202">
        <v>42404.0</v>
      </c>
      <c r="B8583" s="985" t="s">
        <v>347</v>
      </c>
      <c r="C8583" s="94" t="s">
        <v>2195</v>
      </c>
      <c r="D8583" s="286">
        <v>1000.0</v>
      </c>
      <c r="E8583" s="94">
        <v>6.37</v>
      </c>
      <c r="F8583" s="986">
        <v>0.4810763888888889</v>
      </c>
      <c r="G8583" s="94" t="s">
        <v>453</v>
      </c>
      <c r="H8583" s="987">
        <v>4.62</v>
      </c>
      <c r="I8583" s="988" t="s">
        <v>3145</v>
      </c>
      <c r="J8583" s="67">
        <f t="shared" si="497"/>
        <v>6365.38</v>
      </c>
      <c r="L8583" s="70"/>
      <c r="M8583" s="934"/>
    </row>
    <row r="8584" ht="12.75" hidden="1" customHeight="1" outlineLevel="1">
      <c r="A8584" s="202">
        <v>42404.0</v>
      </c>
      <c r="B8584" s="985" t="s">
        <v>347</v>
      </c>
      <c r="C8584" s="94" t="s">
        <v>1902</v>
      </c>
      <c r="D8584" s="286">
        <v>1000.0</v>
      </c>
      <c r="E8584" s="94">
        <v>6.91</v>
      </c>
      <c r="F8584" s="986">
        <v>0.48230324074074077</v>
      </c>
      <c r="G8584" s="94" t="s">
        <v>453</v>
      </c>
      <c r="H8584" s="987">
        <v>5.13</v>
      </c>
      <c r="I8584" s="988" t="s">
        <v>3145</v>
      </c>
      <c r="J8584" s="67">
        <f t="shared" si="497"/>
        <v>6904.87</v>
      </c>
      <c r="L8584" s="70"/>
      <c r="M8584" s="934"/>
    </row>
    <row r="8585" ht="12.75" hidden="1" customHeight="1" outlineLevel="1">
      <c r="A8585" s="202">
        <v>42404.0</v>
      </c>
      <c r="B8585" s="985" t="s">
        <v>343</v>
      </c>
      <c r="C8585" s="94" t="s">
        <v>1816</v>
      </c>
      <c r="D8585" s="94">
        <v>200.0</v>
      </c>
      <c r="E8585" s="94">
        <v>40.8898</v>
      </c>
      <c r="F8585" s="986">
        <v>0.5583912037037037</v>
      </c>
      <c r="G8585" s="94" t="s">
        <v>453</v>
      </c>
      <c r="H8585" s="987">
        <v>1.0</v>
      </c>
      <c r="I8585" s="988" t="s">
        <v>3145</v>
      </c>
      <c r="J8585" s="67">
        <f t="shared" si="497"/>
        <v>-8178.96</v>
      </c>
      <c r="L8585" s="70"/>
      <c r="M8585" s="934"/>
    </row>
    <row r="8586" ht="12.75" hidden="1" customHeight="1" outlineLevel="1">
      <c r="A8586" s="202">
        <v>42404.0</v>
      </c>
      <c r="B8586" s="985" t="s">
        <v>347</v>
      </c>
      <c r="C8586" s="94" t="s">
        <v>1816</v>
      </c>
      <c r="D8586" s="94">
        <v>400.0</v>
      </c>
      <c r="E8586" s="94">
        <v>40.94</v>
      </c>
      <c r="F8586" s="986">
        <v>0.5593287037037037</v>
      </c>
      <c r="G8586" s="94" t="s">
        <v>453</v>
      </c>
      <c r="H8586" s="987">
        <v>2.2</v>
      </c>
      <c r="I8586" s="988" t="s">
        <v>3145</v>
      </c>
      <c r="J8586" s="67">
        <f t="shared" si="497"/>
        <v>16373.8</v>
      </c>
      <c r="L8586" s="70"/>
      <c r="M8586" s="934"/>
    </row>
    <row r="8587" ht="12.75" hidden="1" customHeight="1" outlineLevel="1">
      <c r="A8587" s="202">
        <v>42404.0</v>
      </c>
      <c r="B8587" s="985" t="s">
        <v>347</v>
      </c>
      <c r="C8587" s="94" t="s">
        <v>2043</v>
      </c>
      <c r="D8587" s="94">
        <v>250.0</v>
      </c>
      <c r="E8587" s="94">
        <v>26.891</v>
      </c>
      <c r="F8587" s="986">
        <v>0.6543981481481481</v>
      </c>
      <c r="G8587" s="94" t="s">
        <v>453</v>
      </c>
      <c r="H8587" s="987">
        <v>1.12</v>
      </c>
      <c r="I8587" s="988" t="s">
        <v>3145</v>
      </c>
      <c r="J8587" s="67">
        <f t="shared" si="497"/>
        <v>6721.63</v>
      </c>
      <c r="L8587" s="70"/>
      <c r="M8587" s="934"/>
    </row>
    <row r="8588" ht="12.75" hidden="1" customHeight="1" outlineLevel="1">
      <c r="A8588" s="202">
        <v>42404.0</v>
      </c>
      <c r="B8588" s="985" t="s">
        <v>347</v>
      </c>
      <c r="C8588" s="94" t="s">
        <v>2009</v>
      </c>
      <c r="D8588" s="94">
        <v>600.0</v>
      </c>
      <c r="E8588" s="94">
        <v>12.77</v>
      </c>
      <c r="F8588" s="986">
        <v>0.6550231481481481</v>
      </c>
      <c r="G8588" s="94" t="s">
        <v>453</v>
      </c>
      <c r="H8588" s="987">
        <v>3.04</v>
      </c>
      <c r="I8588" s="988" t="s">
        <v>3145</v>
      </c>
      <c r="J8588" s="67">
        <f t="shared" si="497"/>
        <v>7658.96</v>
      </c>
      <c r="L8588" s="70"/>
      <c r="M8588" s="934"/>
    </row>
    <row r="8589" ht="12.75" hidden="1" customHeight="1" outlineLevel="1">
      <c r="A8589" s="202">
        <v>42404.0</v>
      </c>
      <c r="B8589" s="985" t="s">
        <v>347</v>
      </c>
      <c r="C8589" s="94" t="s">
        <v>1823</v>
      </c>
      <c r="D8589" s="94">
        <v>300.0</v>
      </c>
      <c r="E8589" s="94">
        <v>22.961</v>
      </c>
      <c r="F8589" s="986">
        <v>0.656261574074074</v>
      </c>
      <c r="G8589" s="94" t="s">
        <v>453</v>
      </c>
      <c r="H8589" s="987">
        <v>1.33</v>
      </c>
      <c r="I8589" s="988" t="s">
        <v>3145</v>
      </c>
      <c r="J8589" s="67">
        <f t="shared" si="497"/>
        <v>6886.97</v>
      </c>
      <c r="L8589" s="70"/>
      <c r="M8589" s="934"/>
    </row>
    <row r="8590" ht="12.75" hidden="1" customHeight="1" outlineLevel="1">
      <c r="A8590" s="202">
        <v>42404.0</v>
      </c>
      <c r="B8590" s="985" t="s">
        <v>347</v>
      </c>
      <c r="C8590" s="94" t="s">
        <v>1893</v>
      </c>
      <c r="D8590" s="286">
        <v>2000.0</v>
      </c>
      <c r="E8590" s="94">
        <v>5.681</v>
      </c>
      <c r="F8590" s="986">
        <v>0.6595486111111111</v>
      </c>
      <c r="G8590" s="94" t="s">
        <v>453</v>
      </c>
      <c r="H8590" s="987">
        <v>8.21</v>
      </c>
      <c r="I8590" s="988" t="s">
        <v>3145</v>
      </c>
      <c r="J8590" s="67">
        <f t="shared" si="497"/>
        <v>11353.79</v>
      </c>
      <c r="L8590" s="70"/>
      <c r="M8590" s="934"/>
    </row>
    <row r="8591" ht="12.75" hidden="1" customHeight="1" outlineLevel="1">
      <c r="A8591" s="202">
        <v>42404.0</v>
      </c>
      <c r="B8591" s="985" t="s">
        <v>347</v>
      </c>
      <c r="C8591" s="94" t="s">
        <v>1633</v>
      </c>
      <c r="D8591" s="94">
        <v>800.0</v>
      </c>
      <c r="E8591" s="94">
        <v>8.761</v>
      </c>
      <c r="F8591" s="986">
        <v>0.6602314814814815</v>
      </c>
      <c r="G8591" s="94" t="s">
        <v>453</v>
      </c>
      <c r="H8591" s="987">
        <v>3.63</v>
      </c>
      <c r="I8591" s="988" t="s">
        <v>3145</v>
      </c>
      <c r="J8591" s="67">
        <f t="shared" si="497"/>
        <v>7005.17</v>
      </c>
      <c r="L8591" s="70"/>
      <c r="M8591" s="934"/>
    </row>
    <row r="8592" ht="12.75" hidden="1" customHeight="1" outlineLevel="1">
      <c r="A8592" s="202">
        <v>42404.0</v>
      </c>
      <c r="B8592" s="985" t="s">
        <v>347</v>
      </c>
      <c r="C8592" s="94" t="s">
        <v>1938</v>
      </c>
      <c r="D8592" s="94">
        <v>500.0</v>
      </c>
      <c r="E8592" s="94">
        <v>15.64</v>
      </c>
      <c r="F8592" s="986">
        <v>0.6604861111111111</v>
      </c>
      <c r="G8592" s="94" t="s">
        <v>453</v>
      </c>
      <c r="H8592" s="987">
        <v>2.64</v>
      </c>
      <c r="I8592" s="988" t="s">
        <v>3145</v>
      </c>
      <c r="J8592" s="67">
        <f t="shared" si="497"/>
        <v>7817.36</v>
      </c>
      <c r="L8592" s="70"/>
      <c r="M8592" s="934"/>
    </row>
    <row r="8593" ht="12.75" hidden="1" customHeight="1" outlineLevel="1">
      <c r="A8593" s="202">
        <v>42404.0</v>
      </c>
      <c r="B8593" s="985" t="s">
        <v>347</v>
      </c>
      <c r="C8593" s="94" t="s">
        <v>2090</v>
      </c>
      <c r="D8593" s="286">
        <v>3000.0</v>
      </c>
      <c r="E8593" s="94">
        <v>4.301</v>
      </c>
      <c r="F8593" s="986">
        <v>0.6607523148148148</v>
      </c>
      <c r="G8593" s="94" t="s">
        <v>453</v>
      </c>
      <c r="H8593" s="987">
        <v>12.44</v>
      </c>
      <c r="I8593" s="988" t="s">
        <v>3145</v>
      </c>
      <c r="J8593" s="67">
        <f t="shared" si="497"/>
        <v>12890.56</v>
      </c>
      <c r="L8593" s="70"/>
      <c r="M8593" s="934"/>
    </row>
    <row r="8594" ht="12.75" hidden="1" customHeight="1" outlineLevel="1">
      <c r="A8594" s="202">
        <v>42404.0</v>
      </c>
      <c r="B8594" s="985" t="s">
        <v>347</v>
      </c>
      <c r="C8594" s="94" t="s">
        <v>1839</v>
      </c>
      <c r="D8594" s="286">
        <v>2000.0</v>
      </c>
      <c r="E8594" s="94">
        <v>3.271</v>
      </c>
      <c r="F8594" s="986">
        <v>0.6610763888888889</v>
      </c>
      <c r="G8594" s="94" t="s">
        <v>453</v>
      </c>
      <c r="H8594" s="987">
        <v>8.92</v>
      </c>
      <c r="I8594" s="988" t="s">
        <v>3145</v>
      </c>
      <c r="J8594" s="67">
        <f t="shared" si="497"/>
        <v>6533.08</v>
      </c>
      <c r="L8594" s="70"/>
      <c r="M8594" s="934"/>
    </row>
    <row r="8595" ht="12.75" hidden="1" customHeight="1" outlineLevel="1">
      <c r="A8595" s="202">
        <v>42404.0</v>
      </c>
      <c r="B8595" s="985" t="s">
        <v>347</v>
      </c>
      <c r="C8595" s="94" t="s">
        <v>790</v>
      </c>
      <c r="D8595" s="286">
        <v>2500.0</v>
      </c>
      <c r="E8595" s="94">
        <v>3.391</v>
      </c>
      <c r="F8595" s="986">
        <v>0.6613078703703704</v>
      </c>
      <c r="G8595" s="94" t="s">
        <v>453</v>
      </c>
      <c r="H8595" s="987">
        <v>10.46</v>
      </c>
      <c r="I8595" s="988" t="s">
        <v>3145</v>
      </c>
      <c r="J8595" s="67">
        <f t="shared" si="497"/>
        <v>8467.04</v>
      </c>
      <c r="L8595" s="70"/>
      <c r="M8595" s="934"/>
    </row>
    <row r="8596" ht="12.75" hidden="1" customHeight="1" outlineLevel="1">
      <c r="A8596" s="202">
        <v>42404.0</v>
      </c>
      <c r="B8596" s="985" t="s">
        <v>347</v>
      </c>
      <c r="C8596" s="94" t="s">
        <v>1905</v>
      </c>
      <c r="D8596" s="94">
        <v>800.0</v>
      </c>
      <c r="E8596" s="94">
        <v>18.026</v>
      </c>
      <c r="F8596" s="986">
        <v>0.6618287037037037</v>
      </c>
      <c r="G8596" s="94" t="s">
        <v>453</v>
      </c>
      <c r="H8596" s="987">
        <v>4.27</v>
      </c>
      <c r="I8596" s="988" t="s">
        <v>3145</v>
      </c>
      <c r="J8596" s="67">
        <f t="shared" si="497"/>
        <v>14416.53</v>
      </c>
      <c r="L8596" s="70"/>
      <c r="M8596" s="934"/>
    </row>
    <row r="8597" ht="12.75" hidden="1" customHeight="1" outlineLevel="1">
      <c r="A8597" s="202">
        <v>42404.0</v>
      </c>
      <c r="B8597" s="985" t="s">
        <v>347</v>
      </c>
      <c r="C8597" s="94" t="s">
        <v>784</v>
      </c>
      <c r="D8597" s="286">
        <v>4000.0</v>
      </c>
      <c r="E8597" s="94">
        <v>2.701</v>
      </c>
      <c r="F8597" s="986">
        <v>0.6622222222222223</v>
      </c>
      <c r="G8597" s="94" t="s">
        <v>453</v>
      </c>
      <c r="H8597" s="987">
        <v>16.2</v>
      </c>
      <c r="I8597" s="988" t="s">
        <v>3145</v>
      </c>
      <c r="J8597" s="67">
        <f t="shared" si="497"/>
        <v>10787.8</v>
      </c>
      <c r="L8597" s="70"/>
      <c r="M8597" s="934"/>
    </row>
    <row r="8598" ht="12.75" hidden="1" customHeight="1" outlineLevel="1">
      <c r="A8598" s="202">
        <v>42404.0</v>
      </c>
      <c r="B8598" s="985" t="s">
        <v>347</v>
      </c>
      <c r="C8598" s="94" t="s">
        <v>1890</v>
      </c>
      <c r="D8598" s="94">
        <v>700.0</v>
      </c>
      <c r="E8598" s="94">
        <v>9.69</v>
      </c>
      <c r="F8598" s="986">
        <v>0.6626504629629629</v>
      </c>
      <c r="G8598" s="94" t="s">
        <v>453</v>
      </c>
      <c r="H8598" s="987">
        <v>3.42</v>
      </c>
      <c r="I8598" s="988" t="s">
        <v>3145</v>
      </c>
      <c r="J8598" s="67">
        <f t="shared" si="497"/>
        <v>6779.58</v>
      </c>
      <c r="L8598" s="70"/>
      <c r="M8598" s="934"/>
    </row>
    <row r="8599" ht="12.75" hidden="1" customHeight="1" outlineLevel="1">
      <c r="A8599" s="202">
        <v>42405.0</v>
      </c>
      <c r="B8599" s="992"/>
      <c r="C8599" s="32" t="s">
        <v>339</v>
      </c>
      <c r="D8599" s="1"/>
      <c r="F8599" s="1"/>
      <c r="G8599" s="1"/>
      <c r="H8599" s="68"/>
      <c r="I8599" s="76"/>
      <c r="K8599" s="994" t="s">
        <v>3303</v>
      </c>
      <c r="L8599" s="934"/>
      <c r="M8599" s="934"/>
    </row>
    <row r="8600" ht="12.75" hidden="1" customHeight="1" outlineLevel="1">
      <c r="A8600" s="202">
        <v>42405.0</v>
      </c>
      <c r="B8600" s="992"/>
      <c r="C8600" s="32" t="s">
        <v>429</v>
      </c>
      <c r="D8600" s="1"/>
      <c r="F8600" s="1"/>
      <c r="G8600" s="1"/>
      <c r="H8600" s="68"/>
      <c r="I8600" s="76"/>
      <c r="K8600" s="9" t="s">
        <v>3187</v>
      </c>
      <c r="L8600" s="934"/>
      <c r="M8600" s="934"/>
    </row>
    <row r="8601" ht="12.75" hidden="1" customHeight="1" outlineLevel="1">
      <c r="A8601" s="202">
        <v>42405.0</v>
      </c>
      <c r="B8601" s="992"/>
      <c r="C8601" s="32" t="s">
        <v>431</v>
      </c>
      <c r="D8601" s="1"/>
      <c r="F8601" s="1"/>
      <c r="G8601" s="1"/>
      <c r="H8601" s="68"/>
      <c r="I8601" s="76"/>
      <c r="K8601" s="7" t="s">
        <v>1126</v>
      </c>
      <c r="L8601" s="934"/>
      <c r="M8601" s="934"/>
    </row>
    <row r="8602" ht="12.75" hidden="1" customHeight="1" outlineLevel="1">
      <c r="A8602" s="202">
        <v>42405.0</v>
      </c>
      <c r="B8602" s="992"/>
      <c r="C8602" s="32" t="s">
        <v>433</v>
      </c>
      <c r="D8602" s="1"/>
      <c r="F8602" s="1"/>
      <c r="G8602" s="1"/>
      <c r="H8602" s="68"/>
      <c r="I8602" s="76"/>
      <c r="K8602" s="7" t="s">
        <v>1103</v>
      </c>
      <c r="L8602" s="934"/>
      <c r="M8602" s="934"/>
    </row>
    <row r="8603" ht="12.75" hidden="1" customHeight="1" outlineLevel="1">
      <c r="A8603" s="202">
        <v>42405.0</v>
      </c>
      <c r="B8603" s="992"/>
      <c r="C8603" s="32" t="s">
        <v>435</v>
      </c>
      <c r="D8603" s="1"/>
      <c r="F8603" s="1"/>
      <c r="G8603" s="1"/>
      <c r="H8603" s="68"/>
      <c r="I8603" s="76"/>
      <c r="K8603" s="9" t="s">
        <v>3301</v>
      </c>
      <c r="L8603" s="934"/>
      <c r="M8603" s="934"/>
    </row>
    <row r="8604" ht="12.75" hidden="1" customHeight="1" outlineLevel="1">
      <c r="A8604" s="202">
        <v>42405.0</v>
      </c>
      <c r="B8604" s="985" t="s">
        <v>347</v>
      </c>
      <c r="C8604" s="94" t="s">
        <v>1131</v>
      </c>
      <c r="D8604" s="94">
        <v>200.0</v>
      </c>
      <c r="E8604" s="94">
        <v>56.261</v>
      </c>
      <c r="F8604" s="986">
        <v>0.4448611111111111</v>
      </c>
      <c r="G8604" s="94" t="s">
        <v>453</v>
      </c>
      <c r="H8604" s="987">
        <v>1.21</v>
      </c>
      <c r="I8604" s="988" t="s">
        <v>3145</v>
      </c>
      <c r="J8604" s="67">
        <f t="shared" ref="J8604:J8607" si="498">IF(B8604="SLD",D8604*E8604,-D8604*E8604)-H8604</f>
        <v>11250.99</v>
      </c>
      <c r="L8604" s="70"/>
      <c r="M8604" s="934"/>
    </row>
    <row r="8605" ht="12.75" hidden="1" customHeight="1" outlineLevel="1">
      <c r="A8605" s="202">
        <v>42405.0</v>
      </c>
      <c r="B8605" s="985" t="s">
        <v>347</v>
      </c>
      <c r="C8605" s="94" t="s">
        <v>1074</v>
      </c>
      <c r="D8605" s="94">
        <v>75.0</v>
      </c>
      <c r="E8605" s="94">
        <v>118.91</v>
      </c>
      <c r="F8605" s="986">
        <v>0.4450462962962963</v>
      </c>
      <c r="G8605" s="94" t="s">
        <v>453</v>
      </c>
      <c r="H8605" s="987">
        <v>1.16</v>
      </c>
      <c r="I8605" s="988" t="s">
        <v>3145</v>
      </c>
      <c r="J8605" s="67">
        <f t="shared" si="498"/>
        <v>8917.09</v>
      </c>
      <c r="L8605" s="70"/>
      <c r="M8605" s="934"/>
    </row>
    <row r="8606" ht="12.75" hidden="1" customHeight="1" outlineLevel="1">
      <c r="A8606" s="202">
        <v>42405.0</v>
      </c>
      <c r="B8606" s="985" t="s">
        <v>347</v>
      </c>
      <c r="C8606" s="94" t="s">
        <v>1362</v>
      </c>
      <c r="D8606" s="94">
        <v>100.0</v>
      </c>
      <c r="E8606" s="94">
        <v>113.12</v>
      </c>
      <c r="F8606" s="986">
        <v>0.44528935185185187</v>
      </c>
      <c r="G8606" s="94" t="s">
        <v>453</v>
      </c>
      <c r="H8606" s="987">
        <v>1.21</v>
      </c>
      <c r="I8606" s="988" t="s">
        <v>3145</v>
      </c>
      <c r="J8606" s="67">
        <f t="shared" si="498"/>
        <v>11310.79</v>
      </c>
      <c r="L8606" s="70"/>
      <c r="M8606" s="934"/>
    </row>
    <row r="8607" ht="12.75" hidden="1" customHeight="1" outlineLevel="1">
      <c r="A8607" s="202">
        <v>42405.0</v>
      </c>
      <c r="B8607" s="985" t="s">
        <v>347</v>
      </c>
      <c r="C8607" s="94" t="s">
        <v>1106</v>
      </c>
      <c r="D8607" s="94">
        <v>150.0</v>
      </c>
      <c r="E8607" s="94">
        <v>72.1302</v>
      </c>
      <c r="F8607" s="986">
        <v>0.4572337962962963</v>
      </c>
      <c r="G8607" s="94" t="s">
        <v>453</v>
      </c>
      <c r="H8607" s="987">
        <v>1.2</v>
      </c>
      <c r="I8607" s="988" t="s">
        <v>3145</v>
      </c>
      <c r="J8607" s="67">
        <f t="shared" si="498"/>
        <v>10818.33</v>
      </c>
      <c r="L8607" s="70"/>
      <c r="M8607" s="934"/>
    </row>
    <row r="8608" ht="12.75" hidden="1" customHeight="1" outlineLevel="1">
      <c r="A8608" s="202">
        <v>42405.0</v>
      </c>
      <c r="B8608" s="992"/>
      <c r="C8608" s="32" t="s">
        <v>339</v>
      </c>
      <c r="D8608" s="1"/>
      <c r="F8608" s="1"/>
      <c r="G8608" s="1"/>
      <c r="H8608" s="68"/>
      <c r="I8608" s="76"/>
      <c r="K8608" s="994" t="s">
        <v>3306</v>
      </c>
      <c r="L8608" s="934"/>
      <c r="M8608" s="934"/>
    </row>
    <row r="8609" ht="12.75" hidden="1" customHeight="1" outlineLevel="1">
      <c r="A8609" s="202">
        <v>42405.0</v>
      </c>
      <c r="B8609" s="992"/>
      <c r="C8609" s="32" t="s">
        <v>429</v>
      </c>
      <c r="D8609" s="1"/>
      <c r="F8609" s="1"/>
      <c r="G8609" s="1"/>
      <c r="H8609" s="68"/>
      <c r="I8609" s="76"/>
      <c r="K8609" s="9" t="s">
        <v>3187</v>
      </c>
      <c r="L8609" s="934"/>
      <c r="M8609" s="934"/>
    </row>
    <row r="8610" ht="12.75" hidden="1" customHeight="1" outlineLevel="1">
      <c r="A8610" s="202">
        <v>42405.0</v>
      </c>
      <c r="B8610" s="992"/>
      <c r="C8610" s="32" t="s">
        <v>431</v>
      </c>
      <c r="D8610" s="1"/>
      <c r="F8610" s="1"/>
      <c r="G8610" s="1"/>
      <c r="H8610" s="68"/>
      <c r="I8610" s="76"/>
      <c r="K8610" s="7" t="s">
        <v>1126</v>
      </c>
      <c r="L8610" s="934"/>
      <c r="M8610" s="934"/>
    </row>
    <row r="8611" ht="12.75" hidden="1" customHeight="1" outlineLevel="1">
      <c r="A8611" s="202">
        <v>42405.0</v>
      </c>
      <c r="B8611" s="992"/>
      <c r="C8611" s="32" t="s">
        <v>433</v>
      </c>
      <c r="D8611" s="1"/>
      <c r="F8611" s="1"/>
      <c r="G8611" s="1"/>
      <c r="H8611" s="68"/>
      <c r="I8611" s="76"/>
      <c r="K8611" s="7" t="s">
        <v>1103</v>
      </c>
      <c r="L8611" s="934"/>
      <c r="M8611" s="934"/>
    </row>
    <row r="8612" ht="12.75" hidden="1" customHeight="1" outlineLevel="1">
      <c r="A8612" s="202">
        <v>42405.0</v>
      </c>
      <c r="B8612" s="992"/>
      <c r="C8612" s="32" t="s">
        <v>435</v>
      </c>
      <c r="D8612" s="1"/>
      <c r="F8612" s="1"/>
      <c r="G8612" s="1"/>
      <c r="H8612" s="68"/>
      <c r="I8612" s="76"/>
      <c r="K8612" s="9" t="s">
        <v>3301</v>
      </c>
      <c r="L8612" s="934"/>
      <c r="M8612" s="934"/>
    </row>
    <row r="8613" ht="12.75" hidden="1" customHeight="1" outlineLevel="1">
      <c r="A8613" s="202">
        <v>42408.0</v>
      </c>
      <c r="B8613" s="985" t="s">
        <v>347</v>
      </c>
      <c r="C8613" s="94" t="s">
        <v>1893</v>
      </c>
      <c r="D8613" s="286">
        <v>1000.0</v>
      </c>
      <c r="E8613" s="94">
        <v>5.51</v>
      </c>
      <c r="F8613" s="986">
        <v>0.39922453703703703</v>
      </c>
      <c r="G8613" s="94" t="s">
        <v>453</v>
      </c>
      <c r="H8613" s="987">
        <v>5.1</v>
      </c>
      <c r="I8613" s="988" t="s">
        <v>3145</v>
      </c>
      <c r="J8613" s="67">
        <f t="shared" ref="J8613:J8623" si="499">IF(B8613="SLD",D8613*E8613,-D8613*E8613)-H8613</f>
        <v>5504.9</v>
      </c>
      <c r="L8613" s="70"/>
      <c r="M8613" s="934"/>
    </row>
    <row r="8614" ht="12.75" hidden="1" customHeight="1" outlineLevel="1">
      <c r="A8614" s="202">
        <v>42408.0</v>
      </c>
      <c r="B8614" s="985" t="s">
        <v>347</v>
      </c>
      <c r="C8614" s="94" t="s">
        <v>2090</v>
      </c>
      <c r="D8614" s="286">
        <v>1500.0</v>
      </c>
      <c r="E8614" s="94">
        <v>4.216</v>
      </c>
      <c r="F8614" s="986">
        <v>0.3993865740740741</v>
      </c>
      <c r="G8614" s="94" t="s">
        <v>453</v>
      </c>
      <c r="H8614" s="987">
        <v>6.92</v>
      </c>
      <c r="I8614" s="988" t="s">
        <v>3145</v>
      </c>
      <c r="J8614" s="67">
        <f t="shared" si="499"/>
        <v>6317.08</v>
      </c>
      <c r="L8614" s="70"/>
      <c r="M8614" s="934"/>
    </row>
    <row r="8615" ht="12.75" hidden="1" customHeight="1" outlineLevel="1">
      <c r="A8615" s="202">
        <v>42408.0</v>
      </c>
      <c r="B8615" s="985" t="s">
        <v>347</v>
      </c>
      <c r="C8615" s="94" t="s">
        <v>784</v>
      </c>
      <c r="D8615" s="286">
        <v>2000.0</v>
      </c>
      <c r="E8615" s="94">
        <v>2.531</v>
      </c>
      <c r="F8615" s="986">
        <v>0.3997453703703704</v>
      </c>
      <c r="G8615" s="94" t="s">
        <v>453</v>
      </c>
      <c r="H8615" s="987">
        <v>8.19</v>
      </c>
      <c r="I8615" s="988" t="s">
        <v>3145</v>
      </c>
      <c r="J8615" s="67">
        <f t="shared" si="499"/>
        <v>5053.81</v>
      </c>
      <c r="L8615" s="70"/>
      <c r="M8615" s="934"/>
    </row>
    <row r="8616" ht="12.75" hidden="1" customHeight="1" outlineLevel="1">
      <c r="A8616" s="202">
        <v>42408.0</v>
      </c>
      <c r="B8616" s="985" t="s">
        <v>347</v>
      </c>
      <c r="C8616" s="94" t="s">
        <v>2210</v>
      </c>
      <c r="D8616" s="94">
        <v>250.0</v>
      </c>
      <c r="E8616" s="94">
        <v>59.16</v>
      </c>
      <c r="F8616" s="986">
        <v>0.4218287037037037</v>
      </c>
      <c r="G8616" s="94" t="s">
        <v>453</v>
      </c>
      <c r="H8616" s="987">
        <v>1.27</v>
      </c>
      <c r="I8616" s="988" t="s">
        <v>3145</v>
      </c>
      <c r="J8616" s="67">
        <f t="shared" si="499"/>
        <v>14788.73</v>
      </c>
      <c r="L8616" s="70"/>
      <c r="M8616" s="934"/>
    </row>
    <row r="8617" ht="12.75" hidden="1" customHeight="1" outlineLevel="1">
      <c r="A8617" s="202">
        <v>42408.0</v>
      </c>
      <c r="B8617" s="985" t="s">
        <v>347</v>
      </c>
      <c r="C8617" s="94" t="s">
        <v>3024</v>
      </c>
      <c r="D8617" s="286">
        <v>1100.0</v>
      </c>
      <c r="E8617" s="94">
        <v>12.8102</v>
      </c>
      <c r="F8617" s="986">
        <v>0.4219907407407407</v>
      </c>
      <c r="G8617" s="94" t="s">
        <v>453</v>
      </c>
      <c r="H8617" s="987">
        <v>4.66</v>
      </c>
      <c r="I8617" s="988" t="s">
        <v>3145</v>
      </c>
      <c r="J8617" s="67">
        <f t="shared" si="499"/>
        <v>14086.56</v>
      </c>
      <c r="L8617" s="70"/>
      <c r="M8617" s="934"/>
    </row>
    <row r="8618" ht="12.75" hidden="1" customHeight="1" outlineLevel="1">
      <c r="A8618" s="202">
        <v>42408.0</v>
      </c>
      <c r="B8618" s="985" t="s">
        <v>347</v>
      </c>
      <c r="C8618" s="94" t="s">
        <v>1905</v>
      </c>
      <c r="D8618" s="94">
        <v>800.0</v>
      </c>
      <c r="E8618" s="94">
        <v>16.005</v>
      </c>
      <c r="F8618" s="986">
        <v>0.4225</v>
      </c>
      <c r="G8618" s="94" t="s">
        <v>453</v>
      </c>
      <c r="H8618" s="987">
        <v>3.84</v>
      </c>
      <c r="I8618" s="988" t="s">
        <v>3145</v>
      </c>
      <c r="J8618" s="67">
        <f t="shared" si="499"/>
        <v>12800.16</v>
      </c>
      <c r="L8618" s="70"/>
      <c r="M8618" s="934"/>
    </row>
    <row r="8619" ht="12.75" hidden="1" customHeight="1" outlineLevel="1">
      <c r="A8619" s="202">
        <v>42408.0</v>
      </c>
      <c r="B8619" s="985" t="s">
        <v>347</v>
      </c>
      <c r="C8619" s="94" t="s">
        <v>1938</v>
      </c>
      <c r="D8619" s="94">
        <v>500.0</v>
      </c>
      <c r="E8619" s="94">
        <v>14.05</v>
      </c>
      <c r="F8619" s="986">
        <v>0.42324074074074075</v>
      </c>
      <c r="G8619" s="94" t="s">
        <v>453</v>
      </c>
      <c r="H8619" s="987">
        <v>2.63</v>
      </c>
      <c r="I8619" s="988" t="s">
        <v>3145</v>
      </c>
      <c r="J8619" s="67">
        <f t="shared" si="499"/>
        <v>7022.37</v>
      </c>
      <c r="L8619" s="70"/>
      <c r="M8619" s="934"/>
    </row>
    <row r="8620" ht="12.75" hidden="1" customHeight="1" outlineLevel="1">
      <c r="A8620" s="202">
        <v>42408.0</v>
      </c>
      <c r="B8620" s="985" t="s">
        <v>347</v>
      </c>
      <c r="C8620" s="94" t="s">
        <v>2035</v>
      </c>
      <c r="D8620" s="94">
        <v>750.0</v>
      </c>
      <c r="E8620" s="94">
        <v>9.621</v>
      </c>
      <c r="F8620" s="986">
        <v>0.44814814814814813</v>
      </c>
      <c r="G8620" s="94" t="s">
        <v>453</v>
      </c>
      <c r="H8620" s="987">
        <v>3.63</v>
      </c>
      <c r="I8620" s="988" t="s">
        <v>3145</v>
      </c>
      <c r="J8620" s="67">
        <f t="shared" si="499"/>
        <v>7212.12</v>
      </c>
      <c r="L8620" s="70"/>
      <c r="M8620" s="934"/>
    </row>
    <row r="8621" ht="12.75" hidden="1" customHeight="1" outlineLevel="1">
      <c r="A8621" s="202">
        <v>42408.0</v>
      </c>
      <c r="B8621" s="985" t="s">
        <v>343</v>
      </c>
      <c r="C8621" s="94" t="s">
        <v>1244</v>
      </c>
      <c r="D8621" s="94">
        <v>100.0</v>
      </c>
      <c r="E8621" s="94">
        <v>86.22</v>
      </c>
      <c r="F8621" s="986">
        <v>0.50125</v>
      </c>
      <c r="G8621" s="94" t="s">
        <v>453</v>
      </c>
      <c r="H8621" s="987">
        <v>1.0</v>
      </c>
      <c r="I8621" s="988" t="s">
        <v>3145</v>
      </c>
      <c r="J8621" s="67">
        <f t="shared" si="499"/>
        <v>-8623</v>
      </c>
      <c r="L8621" s="70"/>
      <c r="M8621" s="934"/>
    </row>
    <row r="8622" ht="12.75" hidden="1" customHeight="1" outlineLevel="1">
      <c r="A8622" s="202">
        <v>42408.0</v>
      </c>
      <c r="B8622" s="985" t="s">
        <v>343</v>
      </c>
      <c r="C8622" s="94" t="s">
        <v>1821</v>
      </c>
      <c r="D8622" s="94">
        <v>275.0</v>
      </c>
      <c r="E8622" s="94">
        <v>27.67</v>
      </c>
      <c r="F8622" s="986">
        <v>0.666261574074074</v>
      </c>
      <c r="G8622" s="94" t="s">
        <v>453</v>
      </c>
      <c r="H8622" s="987">
        <v>1.3</v>
      </c>
      <c r="I8622" s="988" t="s">
        <v>3145</v>
      </c>
      <c r="J8622" s="67">
        <f t="shared" si="499"/>
        <v>-7610.55</v>
      </c>
      <c r="L8622" s="70"/>
      <c r="M8622" s="934"/>
    </row>
    <row r="8623" ht="12.75" hidden="1" customHeight="1" outlineLevel="1">
      <c r="A8623" s="202">
        <v>42408.0</v>
      </c>
      <c r="B8623" s="985" t="s">
        <v>343</v>
      </c>
      <c r="C8623" s="94" t="s">
        <v>2084</v>
      </c>
      <c r="D8623" s="94">
        <v>850.0</v>
      </c>
      <c r="E8623" s="94">
        <v>9.33</v>
      </c>
      <c r="F8623" s="986">
        <v>0.6664583333333334</v>
      </c>
      <c r="G8623" s="94" t="s">
        <v>453</v>
      </c>
      <c r="H8623" s="987">
        <v>4.25</v>
      </c>
      <c r="I8623" s="988" t="s">
        <v>3145</v>
      </c>
      <c r="J8623" s="67">
        <f t="shared" si="499"/>
        <v>-7934.75</v>
      </c>
      <c r="L8623" s="70"/>
      <c r="M8623" s="934"/>
    </row>
    <row r="8624" ht="12.75" hidden="1" customHeight="1" outlineLevel="1">
      <c r="A8624" s="202">
        <v>42408.0</v>
      </c>
      <c r="B8624" s="992"/>
      <c r="C8624" s="32" t="s">
        <v>339</v>
      </c>
      <c r="D8624" s="1"/>
      <c r="F8624" s="1"/>
      <c r="G8624" s="1"/>
      <c r="H8624" s="68"/>
      <c r="I8624" s="76"/>
      <c r="K8624" s="994" t="s">
        <v>3307</v>
      </c>
      <c r="L8624" s="934"/>
      <c r="M8624" s="934"/>
    </row>
    <row r="8625" ht="12.75" hidden="1" customHeight="1" outlineLevel="1">
      <c r="A8625" s="202">
        <v>42408.0</v>
      </c>
      <c r="B8625" s="992"/>
      <c r="C8625" s="32" t="s">
        <v>429</v>
      </c>
      <c r="D8625" s="1"/>
      <c r="F8625" s="1"/>
      <c r="G8625" s="1"/>
      <c r="H8625" s="68"/>
      <c r="I8625" s="76"/>
      <c r="K8625" s="9" t="s">
        <v>3187</v>
      </c>
      <c r="L8625" s="934"/>
      <c r="M8625" s="934"/>
    </row>
    <row r="8626" ht="12.75" hidden="1" customHeight="1" outlineLevel="1">
      <c r="A8626" s="202">
        <v>42408.0</v>
      </c>
      <c r="B8626" s="992"/>
      <c r="C8626" s="32" t="s">
        <v>431</v>
      </c>
      <c r="D8626" s="1"/>
      <c r="F8626" s="1"/>
      <c r="G8626" s="1"/>
      <c r="H8626" s="68"/>
      <c r="I8626" s="76"/>
      <c r="K8626" s="7" t="s">
        <v>1126</v>
      </c>
      <c r="L8626" s="934"/>
      <c r="M8626" s="934"/>
    </row>
    <row r="8627" ht="12.75" hidden="1" customHeight="1" outlineLevel="1">
      <c r="A8627" s="202">
        <v>42408.0</v>
      </c>
      <c r="B8627" s="992"/>
      <c r="C8627" s="32" t="s">
        <v>433</v>
      </c>
      <c r="D8627" s="1"/>
      <c r="F8627" s="1"/>
      <c r="G8627" s="1"/>
      <c r="H8627" s="68"/>
      <c r="I8627" s="76"/>
      <c r="K8627" s="7" t="s">
        <v>1103</v>
      </c>
      <c r="L8627" s="934"/>
      <c r="M8627" s="934"/>
    </row>
    <row r="8628" ht="12.75" hidden="1" customHeight="1" outlineLevel="1">
      <c r="A8628" s="202">
        <v>42408.0</v>
      </c>
      <c r="B8628" s="992"/>
      <c r="C8628" s="32" t="s">
        <v>435</v>
      </c>
      <c r="D8628" s="1"/>
      <c r="F8628" s="1"/>
      <c r="G8628" s="1"/>
      <c r="H8628" s="68"/>
      <c r="I8628" s="76"/>
      <c r="K8628" s="9" t="s">
        <v>3301</v>
      </c>
      <c r="L8628" s="934"/>
      <c r="M8628" s="934"/>
    </row>
    <row r="8629" ht="12.75" hidden="1" customHeight="1" outlineLevel="1">
      <c r="A8629" s="202">
        <v>42409.0</v>
      </c>
      <c r="B8629" s="985" t="s">
        <v>347</v>
      </c>
      <c r="C8629" s="94" t="s">
        <v>1882</v>
      </c>
      <c r="D8629" s="286">
        <v>1750.0</v>
      </c>
      <c r="E8629" s="94">
        <v>4.09</v>
      </c>
      <c r="F8629" s="986">
        <v>0.39643518518518517</v>
      </c>
      <c r="G8629" s="94" t="s">
        <v>453</v>
      </c>
      <c r="H8629" s="987">
        <v>8.88</v>
      </c>
      <c r="I8629" s="988" t="s">
        <v>3145</v>
      </c>
      <c r="J8629" s="67">
        <f t="shared" ref="J8629:J8665" si="500">IF(B8629="SLD",D8629*E8629,-D8629*E8629)-H8629</f>
        <v>7148.62</v>
      </c>
      <c r="L8629" s="70"/>
      <c r="M8629" s="934"/>
    </row>
    <row r="8630" ht="12.75" hidden="1" customHeight="1" outlineLevel="1">
      <c r="A8630" s="202">
        <v>42409.0</v>
      </c>
      <c r="B8630" s="985" t="s">
        <v>347</v>
      </c>
      <c r="C8630" s="94" t="s">
        <v>2090</v>
      </c>
      <c r="D8630" s="286">
        <v>4500.0</v>
      </c>
      <c r="E8630" s="94">
        <v>4.16</v>
      </c>
      <c r="F8630" s="986">
        <v>0.3985300925925926</v>
      </c>
      <c r="G8630" s="94" t="s">
        <v>453</v>
      </c>
      <c r="H8630" s="987">
        <v>22.84</v>
      </c>
      <c r="I8630" s="988" t="s">
        <v>3145</v>
      </c>
      <c r="J8630" s="67">
        <f t="shared" si="500"/>
        <v>18697.16</v>
      </c>
      <c r="L8630" s="70"/>
      <c r="M8630" s="934"/>
    </row>
    <row r="8631" ht="12.75" hidden="1" customHeight="1" outlineLevel="1">
      <c r="A8631" s="202">
        <v>42409.0</v>
      </c>
      <c r="B8631" s="985" t="s">
        <v>347</v>
      </c>
      <c r="C8631" s="94" t="s">
        <v>784</v>
      </c>
      <c r="D8631" s="286">
        <v>2500.0</v>
      </c>
      <c r="E8631" s="94">
        <v>2.47</v>
      </c>
      <c r="F8631" s="986">
        <v>0.42863425925925924</v>
      </c>
      <c r="G8631" s="94" t="s">
        <v>453</v>
      </c>
      <c r="H8631" s="987">
        <v>12.51</v>
      </c>
      <c r="I8631" s="988" t="s">
        <v>3145</v>
      </c>
      <c r="J8631" s="67">
        <f t="shared" si="500"/>
        <v>6162.49</v>
      </c>
      <c r="L8631" s="70"/>
      <c r="M8631" s="934"/>
    </row>
    <row r="8632" ht="12.75" hidden="1" customHeight="1" outlineLevel="1">
      <c r="A8632" s="202">
        <v>42409.0</v>
      </c>
      <c r="B8632" s="985" t="s">
        <v>347</v>
      </c>
      <c r="C8632" s="94" t="s">
        <v>1890</v>
      </c>
      <c r="D8632" s="94">
        <v>700.0</v>
      </c>
      <c r="E8632" s="94">
        <v>8.641</v>
      </c>
      <c r="F8632" s="986">
        <v>0.4608912037037037</v>
      </c>
      <c r="G8632" s="94" t="s">
        <v>453</v>
      </c>
      <c r="H8632" s="987">
        <v>2.91</v>
      </c>
      <c r="I8632" s="988" t="s">
        <v>3145</v>
      </c>
      <c r="J8632" s="67">
        <f t="shared" si="500"/>
        <v>6045.79</v>
      </c>
      <c r="L8632" s="70"/>
      <c r="M8632" s="934"/>
    </row>
    <row r="8633" ht="12.75" hidden="1" customHeight="1" outlineLevel="1">
      <c r="A8633" s="202">
        <v>42409.0</v>
      </c>
      <c r="B8633" s="985" t="s">
        <v>347</v>
      </c>
      <c r="C8633" s="94" t="s">
        <v>2009</v>
      </c>
      <c r="D8633" s="94">
        <v>600.0</v>
      </c>
      <c r="E8633" s="94">
        <v>12.101</v>
      </c>
      <c r="F8633" s="986">
        <v>0.4612037037037037</v>
      </c>
      <c r="G8633" s="94" t="s">
        <v>453</v>
      </c>
      <c r="H8633" s="987">
        <v>2.53</v>
      </c>
      <c r="I8633" s="988" t="s">
        <v>3145</v>
      </c>
      <c r="J8633" s="67">
        <f t="shared" si="500"/>
        <v>7258.07</v>
      </c>
      <c r="L8633" s="70"/>
      <c r="M8633" s="934"/>
    </row>
    <row r="8634" ht="12.75" hidden="1" customHeight="1" outlineLevel="1">
      <c r="A8634" s="202">
        <v>42409.0</v>
      </c>
      <c r="B8634" s="985" t="s">
        <v>347</v>
      </c>
      <c r="C8634" s="94" t="s">
        <v>1902</v>
      </c>
      <c r="D8634" s="286">
        <v>1100.0</v>
      </c>
      <c r="E8634" s="94">
        <v>6.3001</v>
      </c>
      <c r="F8634" s="986">
        <v>0.46142361111111113</v>
      </c>
      <c r="G8634" s="94" t="s">
        <v>453</v>
      </c>
      <c r="H8634" s="987">
        <v>4.53</v>
      </c>
      <c r="I8634" s="988" t="s">
        <v>3145</v>
      </c>
      <c r="J8634" s="67">
        <f t="shared" si="500"/>
        <v>6925.58</v>
      </c>
      <c r="L8634" s="70"/>
      <c r="M8634" s="934"/>
    </row>
    <row r="8635" ht="12.75" hidden="1" customHeight="1" outlineLevel="1">
      <c r="A8635" s="202">
        <v>42409.0</v>
      </c>
      <c r="B8635" s="985" t="s">
        <v>347</v>
      </c>
      <c r="C8635" s="94" t="s">
        <v>1816</v>
      </c>
      <c r="D8635" s="94">
        <v>200.0</v>
      </c>
      <c r="E8635" s="94">
        <v>35.8902</v>
      </c>
      <c r="F8635" s="986">
        <v>0.46155092592592595</v>
      </c>
      <c r="G8635" s="94" t="s">
        <v>453</v>
      </c>
      <c r="H8635" s="987">
        <v>1.13</v>
      </c>
      <c r="I8635" s="988" t="s">
        <v>3145</v>
      </c>
      <c r="J8635" s="67">
        <f t="shared" si="500"/>
        <v>7176.91</v>
      </c>
      <c r="L8635" s="70"/>
      <c r="M8635" s="934"/>
    </row>
    <row r="8636" ht="12.75" hidden="1" customHeight="1" outlineLevel="1">
      <c r="A8636" s="202">
        <v>42409.0</v>
      </c>
      <c r="B8636" s="985" t="s">
        <v>347</v>
      </c>
      <c r="C8636" s="94" t="s">
        <v>1893</v>
      </c>
      <c r="D8636" s="286">
        <v>3000.0</v>
      </c>
      <c r="E8636" s="94">
        <v>5.1201</v>
      </c>
      <c r="F8636" s="986">
        <v>0.4618171296296296</v>
      </c>
      <c r="G8636" s="94" t="s">
        <v>453</v>
      </c>
      <c r="H8636" s="987">
        <v>12.28</v>
      </c>
      <c r="I8636" s="988" t="s">
        <v>3145</v>
      </c>
      <c r="J8636" s="67">
        <f t="shared" si="500"/>
        <v>15348.02</v>
      </c>
      <c r="L8636" s="70"/>
      <c r="M8636" s="934"/>
    </row>
    <row r="8637" ht="12.75" hidden="1" customHeight="1" outlineLevel="1">
      <c r="A8637" s="202">
        <v>42409.0</v>
      </c>
      <c r="B8637" s="985" t="s">
        <v>347</v>
      </c>
      <c r="C8637" s="94" t="s">
        <v>1823</v>
      </c>
      <c r="D8637" s="94">
        <v>300.0</v>
      </c>
      <c r="E8637" s="94">
        <v>21.72</v>
      </c>
      <c r="F8637" s="986">
        <v>0.4620138888888889</v>
      </c>
      <c r="G8637" s="94" t="s">
        <v>453</v>
      </c>
      <c r="H8637" s="987">
        <v>1.62</v>
      </c>
      <c r="I8637" s="988" t="s">
        <v>3145</v>
      </c>
      <c r="J8637" s="67">
        <f t="shared" si="500"/>
        <v>6514.38</v>
      </c>
      <c r="L8637" s="70"/>
      <c r="M8637" s="934"/>
    </row>
    <row r="8638" ht="12.75" hidden="1" customHeight="1" outlineLevel="1">
      <c r="A8638" s="202">
        <v>42409.0</v>
      </c>
      <c r="B8638" s="985" t="s">
        <v>347</v>
      </c>
      <c r="C8638" s="94" t="s">
        <v>2043</v>
      </c>
      <c r="D8638" s="94">
        <v>250.0</v>
      </c>
      <c r="E8638" s="94">
        <v>25.3001</v>
      </c>
      <c r="F8638" s="986">
        <v>0.4621527777777778</v>
      </c>
      <c r="G8638" s="94" t="s">
        <v>453</v>
      </c>
      <c r="H8638" s="987">
        <v>1.12</v>
      </c>
      <c r="I8638" s="988" t="s">
        <v>3145</v>
      </c>
      <c r="J8638" s="67">
        <f t="shared" si="500"/>
        <v>6323.905</v>
      </c>
      <c r="L8638" s="70"/>
      <c r="M8638" s="934"/>
    </row>
    <row r="8639" ht="12.75" hidden="1" customHeight="1" outlineLevel="1">
      <c r="A8639" s="202">
        <v>42409.0</v>
      </c>
      <c r="B8639" s="985" t="s">
        <v>347</v>
      </c>
      <c r="C8639" s="94" t="s">
        <v>784</v>
      </c>
      <c r="D8639" s="286">
        <v>2500.0</v>
      </c>
      <c r="E8639" s="94">
        <v>2.414</v>
      </c>
      <c r="F8639" s="986">
        <v>0.4625810185185185</v>
      </c>
      <c r="G8639" s="94" t="s">
        <v>453</v>
      </c>
      <c r="H8639" s="987">
        <v>10.11</v>
      </c>
      <c r="I8639" s="988" t="s">
        <v>3145</v>
      </c>
      <c r="J8639" s="67">
        <f t="shared" si="500"/>
        <v>6024.89</v>
      </c>
      <c r="L8639" s="70"/>
      <c r="M8639" s="934"/>
    </row>
    <row r="8640" ht="12.75" hidden="1" customHeight="1" outlineLevel="1">
      <c r="A8640" s="202">
        <v>42409.0</v>
      </c>
      <c r="B8640" s="985" t="s">
        <v>347</v>
      </c>
      <c r="C8640" s="94" t="s">
        <v>790</v>
      </c>
      <c r="D8640" s="286">
        <v>5000.0</v>
      </c>
      <c r="E8640" s="94">
        <v>2.982</v>
      </c>
      <c r="F8640" s="986">
        <v>0.5086574074074074</v>
      </c>
      <c r="G8640" s="94" t="s">
        <v>453</v>
      </c>
      <c r="H8640" s="987">
        <v>21.87</v>
      </c>
      <c r="I8640" s="988" t="s">
        <v>3145</v>
      </c>
      <c r="J8640" s="67">
        <f t="shared" si="500"/>
        <v>14888.13</v>
      </c>
      <c r="L8640" s="70"/>
      <c r="M8640" s="934"/>
    </row>
    <row r="8641" ht="12.75" hidden="1" customHeight="1" outlineLevel="1">
      <c r="A8641" s="202">
        <v>42409.0</v>
      </c>
      <c r="B8641" s="985" t="s">
        <v>347</v>
      </c>
      <c r="C8641" s="94" t="s">
        <v>2035</v>
      </c>
      <c r="D8641" s="94">
        <v>750.0</v>
      </c>
      <c r="E8641" s="94">
        <v>8.45</v>
      </c>
      <c r="F8641" s="986">
        <v>0.5213541666666667</v>
      </c>
      <c r="G8641" s="94" t="s">
        <v>453</v>
      </c>
      <c r="H8641" s="987">
        <v>3.87</v>
      </c>
      <c r="I8641" s="988" t="s">
        <v>3145</v>
      </c>
      <c r="J8641" s="67">
        <f t="shared" si="500"/>
        <v>6333.63</v>
      </c>
      <c r="L8641" s="70"/>
      <c r="M8641" s="934"/>
    </row>
    <row r="8642" ht="12.75" hidden="1" customHeight="1" outlineLevel="1">
      <c r="A8642" s="202">
        <v>42409.0</v>
      </c>
      <c r="B8642" s="985" t="s">
        <v>347</v>
      </c>
      <c r="C8642" s="94" t="s">
        <v>1890</v>
      </c>
      <c r="D8642" s="94">
        <v>700.0</v>
      </c>
      <c r="E8642" s="94">
        <v>8.481</v>
      </c>
      <c r="F8642" s="986">
        <v>0.5213888888888889</v>
      </c>
      <c r="G8642" s="94" t="s">
        <v>453</v>
      </c>
      <c r="H8642" s="987">
        <v>2.91</v>
      </c>
      <c r="I8642" s="988" t="s">
        <v>3145</v>
      </c>
      <c r="J8642" s="67">
        <f t="shared" si="500"/>
        <v>5933.79</v>
      </c>
      <c r="L8642" s="70"/>
      <c r="M8642" s="934"/>
    </row>
    <row r="8643" ht="12.75" hidden="1" customHeight="1" outlineLevel="1">
      <c r="A8643" s="202">
        <v>42409.0</v>
      </c>
      <c r="B8643" s="985" t="s">
        <v>347</v>
      </c>
      <c r="C8643" s="94" t="s">
        <v>1633</v>
      </c>
      <c r="D8643" s="286">
        <v>1200.0</v>
      </c>
      <c r="E8643" s="94">
        <v>7.6</v>
      </c>
      <c r="F8643" s="986">
        <v>0.5225</v>
      </c>
      <c r="G8643" s="94" t="s">
        <v>453</v>
      </c>
      <c r="H8643" s="987">
        <v>6.17</v>
      </c>
      <c r="I8643" s="988" t="s">
        <v>3145</v>
      </c>
      <c r="J8643" s="67">
        <f t="shared" si="500"/>
        <v>9113.83</v>
      </c>
      <c r="L8643" s="70"/>
      <c r="M8643" s="934"/>
    </row>
    <row r="8644" ht="12.75" hidden="1" customHeight="1" outlineLevel="1">
      <c r="A8644" s="202">
        <v>42409.0</v>
      </c>
      <c r="B8644" s="985" t="s">
        <v>347</v>
      </c>
      <c r="C8644" s="94" t="s">
        <v>1882</v>
      </c>
      <c r="D8644" s="286">
        <v>1750.0</v>
      </c>
      <c r="E8644" s="94">
        <v>3.901</v>
      </c>
      <c r="F8644" s="986">
        <v>0.5243402777777778</v>
      </c>
      <c r="G8644" s="94" t="s">
        <v>453</v>
      </c>
      <c r="H8644" s="987">
        <v>7.13</v>
      </c>
      <c r="I8644" s="988" t="s">
        <v>3145</v>
      </c>
      <c r="J8644" s="67">
        <f t="shared" si="500"/>
        <v>6819.62</v>
      </c>
      <c r="L8644" s="70"/>
      <c r="M8644" s="934"/>
    </row>
    <row r="8645" ht="12.75" hidden="1" customHeight="1" outlineLevel="1">
      <c r="A8645" s="202">
        <v>42409.0</v>
      </c>
      <c r="B8645" s="985" t="s">
        <v>343</v>
      </c>
      <c r="C8645" s="94" t="s">
        <v>1185</v>
      </c>
      <c r="D8645" s="94">
        <v>25.0</v>
      </c>
      <c r="E8645" s="94">
        <v>321.0</v>
      </c>
      <c r="F8645" s="986">
        <v>0.5262847222222222</v>
      </c>
      <c r="G8645" s="94" t="s">
        <v>453</v>
      </c>
      <c r="H8645" s="987">
        <v>1.0</v>
      </c>
      <c r="I8645" s="988" t="s">
        <v>3145</v>
      </c>
      <c r="J8645" s="67">
        <f t="shared" si="500"/>
        <v>-8026</v>
      </c>
      <c r="L8645" s="70"/>
      <c r="M8645" s="934"/>
    </row>
    <row r="8646" ht="12.75" hidden="1" customHeight="1" outlineLevel="1">
      <c r="A8646" s="202">
        <v>42409.0</v>
      </c>
      <c r="B8646" s="985" t="s">
        <v>347</v>
      </c>
      <c r="C8646" s="94" t="s">
        <v>2090</v>
      </c>
      <c r="D8646" s="286">
        <v>4500.0</v>
      </c>
      <c r="E8646" s="94">
        <v>3.942</v>
      </c>
      <c r="F8646" s="986">
        <v>0.5283912037037037</v>
      </c>
      <c r="G8646" s="94" t="s">
        <v>453</v>
      </c>
      <c r="H8646" s="987">
        <v>18.73</v>
      </c>
      <c r="I8646" s="988" t="s">
        <v>3145</v>
      </c>
      <c r="J8646" s="67">
        <f t="shared" si="500"/>
        <v>17720.27</v>
      </c>
      <c r="L8646" s="70"/>
      <c r="M8646" s="934"/>
    </row>
    <row r="8647" ht="12.75" hidden="1" customHeight="1" outlineLevel="1">
      <c r="A8647" s="202">
        <v>42409.0</v>
      </c>
      <c r="B8647" s="985" t="s">
        <v>347</v>
      </c>
      <c r="C8647" s="94" t="s">
        <v>1882</v>
      </c>
      <c r="D8647" s="286">
        <v>1500.0</v>
      </c>
      <c r="E8647" s="94">
        <v>3.901</v>
      </c>
      <c r="F8647" s="986">
        <v>0.5288078703703704</v>
      </c>
      <c r="G8647" s="94" t="s">
        <v>453</v>
      </c>
      <c r="H8647" s="987">
        <v>6.11</v>
      </c>
      <c r="I8647" s="988" t="s">
        <v>3145</v>
      </c>
      <c r="J8647" s="67">
        <f t="shared" si="500"/>
        <v>5845.39</v>
      </c>
      <c r="L8647" s="70"/>
      <c r="M8647" s="934"/>
    </row>
    <row r="8648" ht="12.75" hidden="1" customHeight="1" outlineLevel="1">
      <c r="A8648" s="202">
        <v>42409.0</v>
      </c>
      <c r="B8648" s="985" t="s">
        <v>347</v>
      </c>
      <c r="C8648" s="94" t="s">
        <v>790</v>
      </c>
      <c r="D8648" s="286">
        <v>2500.0</v>
      </c>
      <c r="E8648" s="94">
        <v>2.96</v>
      </c>
      <c r="F8648" s="986">
        <v>0.5292245370370371</v>
      </c>
      <c r="G8648" s="94" t="s">
        <v>453</v>
      </c>
      <c r="H8648" s="987">
        <v>12.64</v>
      </c>
      <c r="I8648" s="988" t="s">
        <v>3145</v>
      </c>
      <c r="J8648" s="67">
        <f t="shared" si="500"/>
        <v>7387.36</v>
      </c>
      <c r="L8648" s="70"/>
      <c r="M8648" s="934"/>
    </row>
    <row r="8649" ht="12.75" hidden="1" customHeight="1" outlineLevel="1">
      <c r="A8649" s="202">
        <v>42409.0</v>
      </c>
      <c r="B8649" s="985" t="s">
        <v>347</v>
      </c>
      <c r="C8649" s="94" t="s">
        <v>1823</v>
      </c>
      <c r="D8649" s="94">
        <v>300.0</v>
      </c>
      <c r="E8649" s="94">
        <v>21.6701</v>
      </c>
      <c r="F8649" s="986">
        <v>0.5294791666666666</v>
      </c>
      <c r="G8649" s="94" t="s">
        <v>453</v>
      </c>
      <c r="H8649" s="987">
        <v>1.32</v>
      </c>
      <c r="I8649" s="988" t="s">
        <v>3145</v>
      </c>
      <c r="J8649" s="67">
        <f t="shared" si="500"/>
        <v>6499.71</v>
      </c>
      <c r="L8649" s="70"/>
      <c r="M8649" s="934"/>
    </row>
    <row r="8650" ht="12.75" hidden="1" customHeight="1" outlineLevel="1">
      <c r="A8650" s="202">
        <v>42409.0</v>
      </c>
      <c r="B8650" s="985" t="s">
        <v>347</v>
      </c>
      <c r="C8650" s="94" t="s">
        <v>2043</v>
      </c>
      <c r="D8650" s="94">
        <v>250.0</v>
      </c>
      <c r="E8650" s="94">
        <v>25.351</v>
      </c>
      <c r="F8650" s="986">
        <v>0.5296412037037037</v>
      </c>
      <c r="G8650" s="94" t="s">
        <v>453</v>
      </c>
      <c r="H8650" s="987">
        <v>1.12</v>
      </c>
      <c r="I8650" s="988" t="s">
        <v>3145</v>
      </c>
      <c r="J8650" s="67">
        <f t="shared" si="500"/>
        <v>6336.63</v>
      </c>
      <c r="L8650" s="70"/>
      <c r="M8650" s="934"/>
    </row>
    <row r="8651" ht="12.75" hidden="1" customHeight="1" outlineLevel="1">
      <c r="A8651" s="202">
        <v>42409.0</v>
      </c>
      <c r="B8651" s="985" t="s">
        <v>347</v>
      </c>
      <c r="C8651" s="94" t="s">
        <v>784</v>
      </c>
      <c r="D8651" s="286">
        <v>5500.0</v>
      </c>
      <c r="E8651" s="94">
        <v>2.43</v>
      </c>
      <c r="F8651" s="986">
        <v>0.5298958333333333</v>
      </c>
      <c r="G8651" s="94" t="s">
        <v>453</v>
      </c>
      <c r="H8651" s="987">
        <v>22.25</v>
      </c>
      <c r="I8651" s="988" t="s">
        <v>3145</v>
      </c>
      <c r="J8651" s="67">
        <f t="shared" si="500"/>
        <v>13342.75</v>
      </c>
      <c r="L8651" s="70"/>
      <c r="M8651" s="934"/>
    </row>
    <row r="8652" ht="12.75" hidden="1" customHeight="1" outlineLevel="1">
      <c r="A8652" s="202">
        <v>42409.0</v>
      </c>
      <c r="B8652" s="985" t="s">
        <v>347</v>
      </c>
      <c r="C8652" s="94" t="s">
        <v>1893</v>
      </c>
      <c r="D8652" s="286">
        <v>3000.0</v>
      </c>
      <c r="E8652" s="94">
        <v>5.092</v>
      </c>
      <c r="F8652" s="986">
        <v>0.5301388888888889</v>
      </c>
      <c r="G8652" s="94" t="s">
        <v>453</v>
      </c>
      <c r="H8652" s="987">
        <v>13.48</v>
      </c>
      <c r="I8652" s="988" t="s">
        <v>3145</v>
      </c>
      <c r="J8652" s="67">
        <f t="shared" si="500"/>
        <v>15262.52</v>
      </c>
      <c r="L8652" s="70"/>
      <c r="M8652" s="934"/>
    </row>
    <row r="8653" ht="12.75" hidden="1" customHeight="1" outlineLevel="1">
      <c r="A8653" s="202">
        <v>42409.0</v>
      </c>
      <c r="B8653" s="985" t="s">
        <v>347</v>
      </c>
      <c r="C8653" s="94" t="s">
        <v>790</v>
      </c>
      <c r="D8653" s="286">
        <v>5000.0</v>
      </c>
      <c r="E8653" s="94">
        <v>2.91</v>
      </c>
      <c r="F8653" s="986">
        <v>0.5415509259259259</v>
      </c>
      <c r="G8653" s="94" t="s">
        <v>453</v>
      </c>
      <c r="H8653" s="987">
        <v>24.67</v>
      </c>
      <c r="I8653" s="988" t="s">
        <v>3145</v>
      </c>
      <c r="J8653" s="67">
        <f t="shared" si="500"/>
        <v>14525.33</v>
      </c>
      <c r="L8653" s="70"/>
      <c r="M8653" s="934"/>
    </row>
    <row r="8654" ht="12.75" hidden="1" customHeight="1" outlineLevel="1">
      <c r="A8654" s="202">
        <v>42409.0</v>
      </c>
      <c r="B8654" s="985" t="s">
        <v>347</v>
      </c>
      <c r="C8654" s="94" t="s">
        <v>2090</v>
      </c>
      <c r="D8654" s="286">
        <v>6500.0</v>
      </c>
      <c r="E8654" s="94">
        <v>3.93</v>
      </c>
      <c r="F8654" s="986">
        <v>0.5418287037037037</v>
      </c>
      <c r="G8654" s="94" t="s">
        <v>453</v>
      </c>
      <c r="H8654" s="987">
        <v>32.97</v>
      </c>
      <c r="I8654" s="988" t="s">
        <v>3145</v>
      </c>
      <c r="J8654" s="67">
        <f t="shared" si="500"/>
        <v>25512.03</v>
      </c>
      <c r="L8654" s="70"/>
      <c r="M8654" s="934"/>
    </row>
    <row r="8655" ht="12.75" hidden="1" customHeight="1" outlineLevel="1">
      <c r="A8655" s="202">
        <v>42409.0</v>
      </c>
      <c r="B8655" s="985" t="s">
        <v>347</v>
      </c>
      <c r="C8655" s="94" t="s">
        <v>1823</v>
      </c>
      <c r="D8655" s="94">
        <v>450.0</v>
      </c>
      <c r="E8655" s="94">
        <v>21.651</v>
      </c>
      <c r="F8655" s="986">
        <v>0.5419907407407407</v>
      </c>
      <c r="G8655" s="94" t="s">
        <v>453</v>
      </c>
      <c r="H8655" s="987">
        <v>1.98</v>
      </c>
      <c r="I8655" s="988" t="s">
        <v>3145</v>
      </c>
      <c r="J8655" s="67">
        <f t="shared" si="500"/>
        <v>9740.97</v>
      </c>
      <c r="L8655" s="70"/>
      <c r="M8655" s="934"/>
    </row>
    <row r="8656" ht="12.75" hidden="1" customHeight="1" outlineLevel="1">
      <c r="A8656" s="202">
        <v>42409.0</v>
      </c>
      <c r="B8656" s="985" t="s">
        <v>347</v>
      </c>
      <c r="C8656" s="94" t="s">
        <v>2043</v>
      </c>
      <c r="D8656" s="94">
        <v>400.0</v>
      </c>
      <c r="E8656" s="94">
        <v>25.38</v>
      </c>
      <c r="F8656" s="986">
        <v>0.5421990740740741</v>
      </c>
      <c r="G8656" s="94" t="s">
        <v>453</v>
      </c>
      <c r="H8656" s="987">
        <v>2.19</v>
      </c>
      <c r="I8656" s="988" t="s">
        <v>3145</v>
      </c>
      <c r="J8656" s="67">
        <f t="shared" si="500"/>
        <v>10149.81</v>
      </c>
      <c r="L8656" s="70"/>
      <c r="M8656" s="934"/>
    </row>
    <row r="8657" ht="12.75" hidden="1" customHeight="1" outlineLevel="1">
      <c r="A8657" s="202">
        <v>42409.0</v>
      </c>
      <c r="B8657" s="985" t="s">
        <v>347</v>
      </c>
      <c r="C8657" s="94" t="s">
        <v>784</v>
      </c>
      <c r="D8657" s="286">
        <v>8500.0</v>
      </c>
      <c r="E8657" s="94">
        <v>2.411</v>
      </c>
      <c r="F8657" s="986">
        <v>0.542349537037037</v>
      </c>
      <c r="G8657" s="94" t="s">
        <v>453</v>
      </c>
      <c r="H8657" s="987">
        <v>34.88</v>
      </c>
      <c r="I8657" s="988" t="s">
        <v>3145</v>
      </c>
      <c r="J8657" s="67">
        <f t="shared" si="500"/>
        <v>20458.62</v>
      </c>
      <c r="L8657" s="70"/>
      <c r="M8657" s="934"/>
    </row>
    <row r="8658" ht="12.75" hidden="1" customHeight="1" outlineLevel="1">
      <c r="A8658" s="202">
        <v>42409.0</v>
      </c>
      <c r="B8658" s="985" t="s">
        <v>347</v>
      </c>
      <c r="C8658" s="94" t="s">
        <v>1893</v>
      </c>
      <c r="D8658" s="286">
        <v>9000.0</v>
      </c>
      <c r="E8658" s="94">
        <v>5.12</v>
      </c>
      <c r="F8658" s="986">
        <v>0.5425</v>
      </c>
      <c r="G8658" s="94" t="s">
        <v>453</v>
      </c>
      <c r="H8658" s="987">
        <v>42.75</v>
      </c>
      <c r="I8658" s="988" t="s">
        <v>3145</v>
      </c>
      <c r="J8658" s="67">
        <f t="shared" si="500"/>
        <v>46037.25</v>
      </c>
      <c r="L8658" s="70"/>
      <c r="M8658" s="934"/>
    </row>
    <row r="8659" ht="12.75" hidden="1" customHeight="1" outlineLevel="1">
      <c r="A8659" s="202">
        <v>42409.0</v>
      </c>
      <c r="B8659" s="985" t="s">
        <v>347</v>
      </c>
      <c r="C8659" s="94" t="s">
        <v>1882</v>
      </c>
      <c r="D8659" s="286">
        <v>2500.0</v>
      </c>
      <c r="E8659" s="94">
        <v>3.82</v>
      </c>
      <c r="F8659" s="986">
        <v>0.6476851851851851</v>
      </c>
      <c r="G8659" s="94" t="s">
        <v>453</v>
      </c>
      <c r="H8659" s="987">
        <v>12.68</v>
      </c>
      <c r="I8659" s="988" t="s">
        <v>3145</v>
      </c>
      <c r="J8659" s="67">
        <f t="shared" si="500"/>
        <v>9537.32</v>
      </c>
      <c r="L8659" s="70"/>
      <c r="M8659" s="934"/>
    </row>
    <row r="8660" ht="12.75" hidden="1" customHeight="1" outlineLevel="1">
      <c r="A8660" s="202">
        <v>42409.0</v>
      </c>
      <c r="B8660" s="985" t="s">
        <v>347</v>
      </c>
      <c r="C8660" s="94" t="s">
        <v>1816</v>
      </c>
      <c r="D8660" s="94">
        <v>200.0</v>
      </c>
      <c r="E8660" s="94">
        <v>35.85</v>
      </c>
      <c r="F8660" s="986">
        <v>0.6602546296296297</v>
      </c>
      <c r="G8660" s="94" t="s">
        <v>453</v>
      </c>
      <c r="H8660" s="987">
        <v>1.13</v>
      </c>
      <c r="I8660" s="988" t="s">
        <v>3145</v>
      </c>
      <c r="J8660" s="67">
        <f t="shared" si="500"/>
        <v>7168.87</v>
      </c>
      <c r="L8660" s="70"/>
      <c r="M8660" s="934"/>
    </row>
    <row r="8661" ht="12.75" hidden="1" customHeight="1" outlineLevel="1">
      <c r="A8661" s="202">
        <v>42409.0</v>
      </c>
      <c r="B8661" s="985" t="s">
        <v>347</v>
      </c>
      <c r="C8661" s="94" t="s">
        <v>2195</v>
      </c>
      <c r="D8661" s="286">
        <v>1000.0</v>
      </c>
      <c r="E8661" s="94">
        <v>5.507</v>
      </c>
      <c r="F8661" s="986">
        <v>0.6604976851851851</v>
      </c>
      <c r="G8661" s="94" t="s">
        <v>453</v>
      </c>
      <c r="H8661" s="987">
        <v>5.1</v>
      </c>
      <c r="I8661" s="988" t="s">
        <v>3145</v>
      </c>
      <c r="J8661" s="67">
        <f t="shared" si="500"/>
        <v>5501.9</v>
      </c>
      <c r="L8661" s="70"/>
      <c r="M8661" s="934"/>
    </row>
    <row r="8662" ht="12.75" hidden="1" customHeight="1" outlineLevel="1">
      <c r="A8662" s="202">
        <v>42409.0</v>
      </c>
      <c r="B8662" s="985" t="s">
        <v>347</v>
      </c>
      <c r="C8662" s="94" t="s">
        <v>1902</v>
      </c>
      <c r="D8662" s="286">
        <v>1100.0</v>
      </c>
      <c r="E8662" s="94">
        <v>6.341</v>
      </c>
      <c r="F8662" s="986">
        <v>0.6616782407407408</v>
      </c>
      <c r="G8662" s="94" t="s">
        <v>453</v>
      </c>
      <c r="H8662" s="987">
        <v>4.53</v>
      </c>
      <c r="I8662" s="988" t="s">
        <v>3145</v>
      </c>
      <c r="J8662" s="67">
        <f t="shared" si="500"/>
        <v>6970.57</v>
      </c>
      <c r="L8662" s="70"/>
      <c r="M8662" s="934"/>
    </row>
    <row r="8663" ht="12.75" hidden="1" customHeight="1" outlineLevel="1">
      <c r="A8663" s="202">
        <v>42409.0</v>
      </c>
      <c r="B8663" s="985" t="s">
        <v>347</v>
      </c>
      <c r="C8663" s="94" t="s">
        <v>1882</v>
      </c>
      <c r="D8663" s="286">
        <v>3500.0</v>
      </c>
      <c r="E8663" s="94">
        <v>3.8</v>
      </c>
      <c r="F8663" s="986">
        <v>0.6617361111111111</v>
      </c>
      <c r="G8663" s="94" t="s">
        <v>453</v>
      </c>
      <c r="H8663" s="987">
        <v>17.74</v>
      </c>
      <c r="I8663" s="988" t="s">
        <v>3145</v>
      </c>
      <c r="J8663" s="67">
        <f t="shared" si="500"/>
        <v>13282.26</v>
      </c>
      <c r="L8663" s="70"/>
      <c r="M8663" s="934"/>
    </row>
    <row r="8664" ht="12.75" hidden="1" customHeight="1" outlineLevel="1">
      <c r="A8664" s="202">
        <v>42409.0</v>
      </c>
      <c r="B8664" s="985" t="s">
        <v>347</v>
      </c>
      <c r="C8664" s="94" t="s">
        <v>2009</v>
      </c>
      <c r="D8664" s="94">
        <v>600.0</v>
      </c>
      <c r="E8664" s="94">
        <v>11.92</v>
      </c>
      <c r="F8664" s="986">
        <v>0.6638078703703704</v>
      </c>
      <c r="G8664" s="94" t="s">
        <v>453</v>
      </c>
      <c r="H8664" s="987">
        <v>3.13</v>
      </c>
      <c r="I8664" s="988" t="s">
        <v>3145</v>
      </c>
      <c r="J8664" s="67">
        <f t="shared" si="500"/>
        <v>7148.87</v>
      </c>
      <c r="L8664" s="70"/>
      <c r="M8664" s="934"/>
    </row>
    <row r="8665" ht="12.75" hidden="1" customHeight="1" outlineLevel="1">
      <c r="A8665" s="202">
        <v>42409.0</v>
      </c>
      <c r="B8665" s="985" t="s">
        <v>347</v>
      </c>
      <c r="C8665" s="94" t="s">
        <v>1890</v>
      </c>
      <c r="D8665" s="286">
        <v>1100.0</v>
      </c>
      <c r="E8665" s="94">
        <v>8.47</v>
      </c>
      <c r="F8665" s="986">
        <v>0.6670949074074074</v>
      </c>
      <c r="G8665" s="94" t="s">
        <v>453</v>
      </c>
      <c r="H8665" s="987">
        <v>5.67</v>
      </c>
      <c r="I8665" s="988" t="s">
        <v>3145</v>
      </c>
      <c r="J8665" s="67">
        <f t="shared" si="500"/>
        <v>9311.33</v>
      </c>
      <c r="L8665" s="70"/>
      <c r="M8665" s="934"/>
    </row>
    <row r="8666" ht="12.75" hidden="1" customHeight="1" outlineLevel="1">
      <c r="A8666" s="202">
        <v>42409.0</v>
      </c>
      <c r="B8666" s="992"/>
      <c r="C8666" s="32" t="s">
        <v>339</v>
      </c>
      <c r="D8666" s="1"/>
      <c r="F8666" s="1"/>
      <c r="G8666" s="1"/>
      <c r="H8666" s="68"/>
      <c r="I8666" s="76"/>
      <c r="K8666" s="994" t="s">
        <v>3308</v>
      </c>
      <c r="L8666" s="934"/>
      <c r="M8666" s="934"/>
    </row>
    <row r="8667" ht="12.75" hidden="1" customHeight="1" outlineLevel="1">
      <c r="A8667" s="202">
        <v>42409.0</v>
      </c>
      <c r="B8667" s="992"/>
      <c r="C8667" s="32" t="s">
        <v>429</v>
      </c>
      <c r="D8667" s="1"/>
      <c r="F8667" s="1"/>
      <c r="G8667" s="1"/>
      <c r="H8667" s="68"/>
      <c r="I8667" s="76"/>
      <c r="K8667" s="9" t="s">
        <v>3187</v>
      </c>
      <c r="L8667" s="934"/>
      <c r="M8667" s="934"/>
    </row>
    <row r="8668" ht="12.75" hidden="1" customHeight="1" outlineLevel="1">
      <c r="A8668" s="202">
        <v>42409.0</v>
      </c>
      <c r="B8668" s="992"/>
      <c r="C8668" s="32" t="s">
        <v>431</v>
      </c>
      <c r="D8668" s="1"/>
      <c r="F8668" s="1"/>
      <c r="G8668" s="1"/>
      <c r="H8668" s="68"/>
      <c r="I8668" s="76"/>
      <c r="K8668" s="7" t="s">
        <v>1126</v>
      </c>
      <c r="L8668" s="934"/>
      <c r="M8668" s="934"/>
    </row>
    <row r="8669" ht="12.75" hidden="1" customHeight="1" outlineLevel="1">
      <c r="A8669" s="202">
        <v>42409.0</v>
      </c>
      <c r="B8669" s="992"/>
      <c r="C8669" s="32" t="s">
        <v>433</v>
      </c>
      <c r="D8669" s="1"/>
      <c r="F8669" s="1"/>
      <c r="G8669" s="1"/>
      <c r="H8669" s="68"/>
      <c r="I8669" s="76"/>
      <c r="K8669" s="7" t="s">
        <v>1103</v>
      </c>
      <c r="L8669" s="934"/>
      <c r="M8669" s="934"/>
    </row>
    <row r="8670" ht="12.75" hidden="1" customHeight="1" outlineLevel="1">
      <c r="A8670" s="202">
        <v>42409.0</v>
      </c>
      <c r="B8670" s="992"/>
      <c r="C8670" s="32" t="s">
        <v>435</v>
      </c>
      <c r="D8670" s="1"/>
      <c r="F8670" s="1"/>
      <c r="G8670" s="1"/>
      <c r="H8670" s="68"/>
      <c r="I8670" s="76"/>
      <c r="K8670" s="9" t="s">
        <v>3301</v>
      </c>
      <c r="L8670" s="934"/>
      <c r="M8670" s="934"/>
    </row>
    <row r="8671" ht="12.75" hidden="1" customHeight="1" outlineLevel="1">
      <c r="A8671" s="202">
        <v>42410.0</v>
      </c>
      <c r="B8671" s="985" t="s">
        <v>347</v>
      </c>
      <c r="C8671" s="94" t="s">
        <v>2035</v>
      </c>
      <c r="D8671" s="94">
        <v>750.0</v>
      </c>
      <c r="E8671" s="94">
        <v>8.76</v>
      </c>
      <c r="F8671" s="986">
        <v>0.42922453703703706</v>
      </c>
      <c r="G8671" s="94" t="s">
        <v>453</v>
      </c>
      <c r="H8671" s="987">
        <v>3.89</v>
      </c>
      <c r="I8671" s="988" t="s">
        <v>3145</v>
      </c>
      <c r="J8671" s="67">
        <f t="shared" ref="J8671:J8672" si="501">IF(B8671="SLD",D8671*E8671,-D8671*E8671)-H8671</f>
        <v>6566.11</v>
      </c>
      <c r="L8671" s="70"/>
      <c r="M8671" s="934"/>
    </row>
    <row r="8672" ht="12.75" hidden="1" customHeight="1" outlineLevel="1">
      <c r="A8672" s="202">
        <v>42410.0</v>
      </c>
      <c r="B8672" s="985" t="s">
        <v>343</v>
      </c>
      <c r="C8672" s="94" t="s">
        <v>2201</v>
      </c>
      <c r="D8672" s="94">
        <v>200.0</v>
      </c>
      <c r="E8672" s="94">
        <v>13.4299</v>
      </c>
      <c r="F8672" s="986">
        <v>0.5132175925925926</v>
      </c>
      <c r="G8672" s="94" t="s">
        <v>453</v>
      </c>
      <c r="H8672" s="987">
        <v>1.0</v>
      </c>
      <c r="I8672" s="988" t="s">
        <v>3145</v>
      </c>
      <c r="J8672" s="67">
        <f t="shared" si="501"/>
        <v>-2686.98</v>
      </c>
      <c r="L8672" s="70"/>
      <c r="M8672" s="934"/>
    </row>
    <row r="8673" ht="12.75" hidden="1" customHeight="1" outlineLevel="1">
      <c r="A8673" s="202">
        <v>42410.0</v>
      </c>
      <c r="B8673" s="992"/>
      <c r="C8673" s="32" t="s">
        <v>339</v>
      </c>
      <c r="D8673" s="1"/>
      <c r="F8673" s="1"/>
      <c r="G8673" s="1"/>
      <c r="H8673" s="68"/>
      <c r="I8673" s="76"/>
      <c r="K8673" s="994" t="s">
        <v>3309</v>
      </c>
      <c r="L8673" s="934"/>
      <c r="M8673" s="934"/>
    </row>
    <row r="8674" ht="12.75" hidden="1" customHeight="1" outlineLevel="1">
      <c r="A8674" s="202">
        <v>42410.0</v>
      </c>
      <c r="B8674" s="992"/>
      <c r="C8674" s="32" t="s">
        <v>429</v>
      </c>
      <c r="D8674" s="1"/>
      <c r="F8674" s="1"/>
      <c r="G8674" s="1"/>
      <c r="H8674" s="68"/>
      <c r="I8674" s="76"/>
      <c r="K8674" s="9" t="s">
        <v>3187</v>
      </c>
      <c r="L8674" s="934"/>
      <c r="M8674" s="934"/>
    </row>
    <row r="8675" ht="12.75" hidden="1" customHeight="1" outlineLevel="1">
      <c r="A8675" s="202">
        <v>42410.0</v>
      </c>
      <c r="B8675" s="992"/>
      <c r="C8675" s="32" t="s">
        <v>431</v>
      </c>
      <c r="D8675" s="1"/>
      <c r="F8675" s="1"/>
      <c r="G8675" s="1"/>
      <c r="H8675" s="68"/>
      <c r="I8675" s="76"/>
      <c r="K8675" s="7" t="s">
        <v>1126</v>
      </c>
      <c r="L8675" s="934"/>
      <c r="M8675" s="934"/>
    </row>
    <row r="8676" ht="12.75" hidden="1" customHeight="1" outlineLevel="1">
      <c r="A8676" s="202">
        <v>42410.0</v>
      </c>
      <c r="B8676" s="992"/>
      <c r="C8676" s="32" t="s">
        <v>433</v>
      </c>
      <c r="D8676" s="1"/>
      <c r="F8676" s="1"/>
      <c r="G8676" s="1"/>
      <c r="H8676" s="68"/>
      <c r="I8676" s="76"/>
      <c r="K8676" s="7" t="s">
        <v>1103</v>
      </c>
      <c r="L8676" s="934"/>
      <c r="M8676" s="934"/>
    </row>
    <row r="8677" ht="12.75" hidden="1" customHeight="1" outlineLevel="1">
      <c r="A8677" s="202">
        <v>42410.0</v>
      </c>
      <c r="B8677" s="992"/>
      <c r="C8677" s="32" t="s">
        <v>435</v>
      </c>
      <c r="D8677" s="1"/>
      <c r="F8677" s="1"/>
      <c r="G8677" s="1"/>
      <c r="H8677" s="68"/>
      <c r="I8677" s="76"/>
      <c r="K8677" s="9" t="s">
        <v>3301</v>
      </c>
      <c r="L8677" s="934"/>
      <c r="M8677" s="934"/>
    </row>
    <row r="8678" ht="12.75" hidden="1" customHeight="1" outlineLevel="1">
      <c r="A8678" s="202">
        <v>42412.0</v>
      </c>
      <c r="B8678" s="985" t="s">
        <v>343</v>
      </c>
      <c r="C8678" s="94" t="s">
        <v>2090</v>
      </c>
      <c r="D8678" s="286">
        <v>10000.0</v>
      </c>
      <c r="E8678" s="94">
        <v>4.26</v>
      </c>
      <c r="F8678" s="986">
        <v>0.4646180555555556</v>
      </c>
      <c r="G8678" s="94" t="s">
        <v>453</v>
      </c>
      <c r="H8678" s="987">
        <v>40.3</v>
      </c>
      <c r="I8678" s="988" t="s">
        <v>3145</v>
      </c>
      <c r="J8678" s="67">
        <f t="shared" ref="J8678:J8709" si="502">IF(B8678="SLD",D8678*E8678,-D8678*E8678)-H8678</f>
        <v>-42640.3</v>
      </c>
      <c r="L8678" s="70"/>
      <c r="M8678" s="934"/>
    </row>
    <row r="8679" ht="12.75" hidden="1" customHeight="1" outlineLevel="1">
      <c r="A8679" s="202">
        <v>42412.0</v>
      </c>
      <c r="B8679" s="985" t="s">
        <v>343</v>
      </c>
      <c r="C8679" s="94" t="s">
        <v>1893</v>
      </c>
      <c r="D8679" s="286">
        <v>9000.0</v>
      </c>
      <c r="E8679" s="94">
        <v>5.61</v>
      </c>
      <c r="F8679" s="986">
        <v>0.46532407407407406</v>
      </c>
      <c r="G8679" s="94" t="s">
        <v>453</v>
      </c>
      <c r="H8679" s="987">
        <v>44.8</v>
      </c>
      <c r="I8679" s="988" t="s">
        <v>3145</v>
      </c>
      <c r="J8679" s="67">
        <f t="shared" si="502"/>
        <v>-50534.8</v>
      </c>
      <c r="L8679" s="70"/>
      <c r="M8679" s="934"/>
    </row>
    <row r="8680" ht="12.75" hidden="1" customHeight="1" outlineLevel="1">
      <c r="A8680" s="202">
        <v>42412.0</v>
      </c>
      <c r="B8680" s="985" t="s">
        <v>343</v>
      </c>
      <c r="C8680" s="94" t="s">
        <v>2210</v>
      </c>
      <c r="D8680" s="94">
        <v>500.0</v>
      </c>
      <c r="E8680" s="94">
        <v>66.353</v>
      </c>
      <c r="F8680" s="986">
        <v>0.46563657407407405</v>
      </c>
      <c r="G8680" s="94" t="s">
        <v>453</v>
      </c>
      <c r="H8680" s="987">
        <v>2.2</v>
      </c>
      <c r="I8680" s="988" t="s">
        <v>3145</v>
      </c>
      <c r="J8680" s="67">
        <f t="shared" si="502"/>
        <v>-33178.7</v>
      </c>
      <c r="L8680" s="70"/>
      <c r="M8680" s="934"/>
    </row>
    <row r="8681" ht="12.75" hidden="1" customHeight="1" outlineLevel="1">
      <c r="A8681" s="202">
        <v>42412.0</v>
      </c>
      <c r="B8681" s="985" t="s">
        <v>343</v>
      </c>
      <c r="C8681" s="94" t="s">
        <v>784</v>
      </c>
      <c r="D8681" s="286">
        <v>20000.0</v>
      </c>
      <c r="E8681" s="94">
        <v>2.578</v>
      </c>
      <c r="F8681" s="986">
        <v>0.46587962962962964</v>
      </c>
      <c r="G8681" s="94" t="s">
        <v>453</v>
      </c>
      <c r="H8681" s="987">
        <v>89.7</v>
      </c>
      <c r="I8681" s="988" t="s">
        <v>3145</v>
      </c>
      <c r="J8681" s="67">
        <f t="shared" si="502"/>
        <v>-51649.7</v>
      </c>
      <c r="L8681" s="70"/>
      <c r="M8681" s="934"/>
    </row>
    <row r="8682" ht="12.75" hidden="1" customHeight="1" outlineLevel="1">
      <c r="A8682" s="202">
        <v>42412.0</v>
      </c>
      <c r="B8682" s="985" t="s">
        <v>343</v>
      </c>
      <c r="C8682" s="94" t="s">
        <v>3024</v>
      </c>
      <c r="D8682" s="286">
        <v>2200.0</v>
      </c>
      <c r="E8682" s="94">
        <v>13.846</v>
      </c>
      <c r="F8682" s="986">
        <v>0.46620370370370373</v>
      </c>
      <c r="G8682" s="94" t="s">
        <v>453</v>
      </c>
      <c r="H8682" s="987">
        <v>11.0</v>
      </c>
      <c r="I8682" s="988" t="s">
        <v>3145</v>
      </c>
      <c r="J8682" s="67">
        <f t="shared" si="502"/>
        <v>-30472.2</v>
      </c>
      <c r="L8682" s="70"/>
      <c r="M8682" s="934"/>
    </row>
    <row r="8683" ht="12.75" hidden="1" customHeight="1" outlineLevel="1">
      <c r="A8683" s="202">
        <v>42412.0</v>
      </c>
      <c r="B8683" s="985" t="s">
        <v>343</v>
      </c>
      <c r="C8683" s="94" t="s">
        <v>1893</v>
      </c>
      <c r="D8683" s="286">
        <v>7000.0</v>
      </c>
      <c r="E8683" s="94">
        <v>5.619</v>
      </c>
      <c r="F8683" s="986">
        <v>0.46667824074074077</v>
      </c>
      <c r="G8683" s="94" t="s">
        <v>453</v>
      </c>
      <c r="H8683" s="987">
        <v>30.7</v>
      </c>
      <c r="I8683" s="988" t="s">
        <v>3145</v>
      </c>
      <c r="J8683" s="67">
        <f t="shared" si="502"/>
        <v>-39363.7</v>
      </c>
      <c r="L8683" s="70"/>
      <c r="M8683" s="934"/>
    </row>
    <row r="8684" ht="12.75" hidden="1" customHeight="1" outlineLevel="1">
      <c r="A8684" s="202">
        <v>42412.0</v>
      </c>
      <c r="B8684" s="985" t="s">
        <v>343</v>
      </c>
      <c r="C8684" s="94" t="s">
        <v>2090</v>
      </c>
      <c r="D8684" s="286">
        <v>6000.0</v>
      </c>
      <c r="E8684" s="94">
        <v>4.268</v>
      </c>
      <c r="F8684" s="986">
        <v>0.4670949074074074</v>
      </c>
      <c r="G8684" s="94" t="s">
        <v>453</v>
      </c>
      <c r="H8684" s="987">
        <v>25.3</v>
      </c>
      <c r="I8684" s="988" t="s">
        <v>3145</v>
      </c>
      <c r="J8684" s="67">
        <f t="shared" si="502"/>
        <v>-25633.3</v>
      </c>
      <c r="L8684" s="70"/>
      <c r="M8684" s="934"/>
    </row>
    <row r="8685" ht="12.75" hidden="1" customHeight="1" outlineLevel="1">
      <c r="A8685" s="202">
        <v>42412.0</v>
      </c>
      <c r="B8685" s="985" t="s">
        <v>343</v>
      </c>
      <c r="C8685" s="94" t="s">
        <v>2043</v>
      </c>
      <c r="D8685" s="94">
        <v>900.0</v>
      </c>
      <c r="E8685" s="94">
        <v>26.579</v>
      </c>
      <c r="F8685" s="986">
        <v>0.46796296296296297</v>
      </c>
      <c r="G8685" s="94" t="s">
        <v>453</v>
      </c>
      <c r="H8685" s="987">
        <v>3.8</v>
      </c>
      <c r="I8685" s="988" t="s">
        <v>3145</v>
      </c>
      <c r="J8685" s="67">
        <f t="shared" si="502"/>
        <v>-23924.9</v>
      </c>
      <c r="L8685" s="70"/>
      <c r="M8685" s="934"/>
    </row>
    <row r="8686" ht="12.75" hidden="1" customHeight="1" outlineLevel="1">
      <c r="A8686" s="202">
        <v>42412.0</v>
      </c>
      <c r="B8686" s="985" t="s">
        <v>343</v>
      </c>
      <c r="C8686" s="94" t="s">
        <v>790</v>
      </c>
      <c r="D8686" s="286">
        <v>13000.0</v>
      </c>
      <c r="E8686" s="94">
        <v>3.119</v>
      </c>
      <c r="F8686" s="986">
        <v>0.4682986111111111</v>
      </c>
      <c r="G8686" s="94" t="s">
        <v>453</v>
      </c>
      <c r="H8686" s="987">
        <v>54.9</v>
      </c>
      <c r="I8686" s="988" t="s">
        <v>3145</v>
      </c>
      <c r="J8686" s="67">
        <f t="shared" si="502"/>
        <v>-40601.9</v>
      </c>
      <c r="L8686" s="70"/>
      <c r="M8686" s="934"/>
    </row>
    <row r="8687" ht="12.75" hidden="1" customHeight="1" outlineLevel="1">
      <c r="A8687" s="202">
        <v>42412.0</v>
      </c>
      <c r="B8687" s="985" t="s">
        <v>343</v>
      </c>
      <c r="C8687" s="94" t="s">
        <v>1823</v>
      </c>
      <c r="D8687" s="286">
        <v>1050.0</v>
      </c>
      <c r="E8687" s="94">
        <v>22.77</v>
      </c>
      <c r="F8687" s="986">
        <v>0.4687152777777778</v>
      </c>
      <c r="G8687" s="94" t="s">
        <v>453</v>
      </c>
      <c r="H8687" s="987">
        <v>4.8</v>
      </c>
      <c r="I8687" s="988" t="s">
        <v>3145</v>
      </c>
      <c r="J8687" s="67">
        <f t="shared" si="502"/>
        <v>-23913.3</v>
      </c>
      <c r="L8687" s="70"/>
      <c r="M8687" s="934"/>
    </row>
    <row r="8688" ht="12.75" hidden="1" customHeight="1" outlineLevel="1">
      <c r="A8688" s="202">
        <v>42412.0</v>
      </c>
      <c r="B8688" s="985" t="s">
        <v>343</v>
      </c>
      <c r="C8688" s="94" t="s">
        <v>2195</v>
      </c>
      <c r="D8688" s="286">
        <v>2000.0</v>
      </c>
      <c r="E8688" s="94">
        <v>4.949</v>
      </c>
      <c r="F8688" s="986">
        <v>0.46912037037037035</v>
      </c>
      <c r="G8688" s="94" t="s">
        <v>453</v>
      </c>
      <c r="H8688" s="987">
        <v>10.0</v>
      </c>
      <c r="I8688" s="988" t="s">
        <v>3145</v>
      </c>
      <c r="J8688" s="67">
        <f t="shared" si="502"/>
        <v>-9908</v>
      </c>
      <c r="L8688" s="70"/>
      <c r="M8688" s="934"/>
    </row>
    <row r="8689" ht="12.75" hidden="1" customHeight="1" outlineLevel="1">
      <c r="A8689" s="202">
        <v>42412.0</v>
      </c>
      <c r="B8689" s="985" t="s">
        <v>343</v>
      </c>
      <c r="C8689" s="94" t="s">
        <v>1882</v>
      </c>
      <c r="D8689" s="286">
        <v>9000.0</v>
      </c>
      <c r="E8689" s="94">
        <v>3.659</v>
      </c>
      <c r="F8689" s="986">
        <v>0.4778935185185185</v>
      </c>
      <c r="G8689" s="94" t="s">
        <v>453</v>
      </c>
      <c r="H8689" s="987">
        <v>37.9</v>
      </c>
      <c r="I8689" s="988" t="s">
        <v>3145</v>
      </c>
      <c r="J8689" s="67">
        <f t="shared" si="502"/>
        <v>-32968.9</v>
      </c>
      <c r="L8689" s="70"/>
      <c r="M8689" s="934"/>
    </row>
    <row r="8690" ht="12.75" hidden="1" customHeight="1" outlineLevel="1">
      <c r="A8690" s="202">
        <v>42412.0</v>
      </c>
      <c r="B8690" s="985" t="s">
        <v>343</v>
      </c>
      <c r="C8690" s="94" t="s">
        <v>1947</v>
      </c>
      <c r="D8690" s="286">
        <v>1500.0</v>
      </c>
      <c r="E8690" s="94">
        <v>25.817</v>
      </c>
      <c r="F8690" s="986">
        <v>0.47899305555555555</v>
      </c>
      <c r="G8690" s="94" t="s">
        <v>453</v>
      </c>
      <c r="H8690" s="987">
        <v>6.1</v>
      </c>
      <c r="I8690" s="988" t="s">
        <v>3145</v>
      </c>
      <c r="J8690" s="67">
        <f t="shared" si="502"/>
        <v>-38731.6</v>
      </c>
      <c r="L8690" s="70"/>
      <c r="M8690" s="934"/>
    </row>
    <row r="8691" ht="12.75" hidden="1" customHeight="1" outlineLevel="1">
      <c r="A8691" s="202">
        <v>42412.0</v>
      </c>
      <c r="B8691" s="985" t="s">
        <v>343</v>
      </c>
      <c r="C8691" s="94" t="s">
        <v>1816</v>
      </c>
      <c r="D8691" s="94">
        <v>450.0</v>
      </c>
      <c r="E8691" s="94">
        <v>36.3596</v>
      </c>
      <c r="F8691" s="986">
        <v>0.47932870370370373</v>
      </c>
      <c r="G8691" s="94" t="s">
        <v>453</v>
      </c>
      <c r="H8691" s="987">
        <v>1.8</v>
      </c>
      <c r="I8691" s="988" t="s">
        <v>3145</v>
      </c>
      <c r="J8691" s="67">
        <f t="shared" si="502"/>
        <v>-16363.62</v>
      </c>
      <c r="L8691" s="70"/>
      <c r="M8691" s="934"/>
    </row>
    <row r="8692" ht="12.75" hidden="1" customHeight="1" outlineLevel="1">
      <c r="A8692" s="202">
        <v>42412.0</v>
      </c>
      <c r="B8692" s="985" t="s">
        <v>343</v>
      </c>
      <c r="C8692" s="94" t="s">
        <v>1890</v>
      </c>
      <c r="D8692" s="286">
        <v>2400.0</v>
      </c>
      <c r="E8692" s="94">
        <v>8.438</v>
      </c>
      <c r="F8692" s="986">
        <v>0.4799421296296296</v>
      </c>
      <c r="G8692" s="94" t="s">
        <v>453</v>
      </c>
      <c r="H8692" s="987">
        <v>9.92</v>
      </c>
      <c r="I8692" s="988" t="s">
        <v>3145</v>
      </c>
      <c r="J8692" s="67">
        <f t="shared" si="502"/>
        <v>-20261.12</v>
      </c>
      <c r="L8692" s="70"/>
      <c r="M8692" s="934"/>
    </row>
    <row r="8693" ht="12.75" hidden="1" customHeight="1" outlineLevel="1">
      <c r="A8693" s="202">
        <v>42412.0</v>
      </c>
      <c r="B8693" s="985" t="s">
        <v>343</v>
      </c>
      <c r="C8693" s="94" t="s">
        <v>1633</v>
      </c>
      <c r="D8693" s="286">
        <v>1200.0</v>
      </c>
      <c r="E8693" s="94">
        <v>7.629</v>
      </c>
      <c r="F8693" s="986">
        <v>0.48063657407407406</v>
      </c>
      <c r="G8693" s="94" t="s">
        <v>453</v>
      </c>
      <c r="H8693" s="987">
        <v>5.0</v>
      </c>
      <c r="I8693" s="988" t="s">
        <v>3145</v>
      </c>
      <c r="J8693" s="67">
        <f t="shared" si="502"/>
        <v>-9159.8</v>
      </c>
      <c r="L8693" s="70"/>
      <c r="M8693" s="934"/>
    </row>
    <row r="8694" ht="12.75" hidden="1" customHeight="1" outlineLevel="1">
      <c r="A8694" s="202">
        <v>42412.0</v>
      </c>
      <c r="B8694" s="985" t="s">
        <v>343</v>
      </c>
      <c r="C8694" s="94" t="s">
        <v>1938</v>
      </c>
      <c r="D8694" s="286">
        <v>1600.0</v>
      </c>
      <c r="E8694" s="94">
        <v>14.76</v>
      </c>
      <c r="F8694" s="986">
        <v>0.4811226851851852</v>
      </c>
      <c r="G8694" s="94" t="s">
        <v>453</v>
      </c>
      <c r="H8694" s="987">
        <v>6.4</v>
      </c>
      <c r="I8694" s="988" t="s">
        <v>3145</v>
      </c>
      <c r="J8694" s="67">
        <f t="shared" si="502"/>
        <v>-23622.4</v>
      </c>
      <c r="L8694" s="70"/>
      <c r="M8694" s="934"/>
    </row>
    <row r="8695" ht="12.75" hidden="1" customHeight="1" outlineLevel="1">
      <c r="A8695" s="202">
        <v>42412.0</v>
      </c>
      <c r="B8695" s="985" t="s">
        <v>343</v>
      </c>
      <c r="C8695" s="94" t="s">
        <v>2201</v>
      </c>
      <c r="D8695" s="94">
        <v>200.0</v>
      </c>
      <c r="E8695" s="94">
        <v>13.77</v>
      </c>
      <c r="F8695" s="986">
        <v>0.4813425925925926</v>
      </c>
      <c r="G8695" s="94" t="s">
        <v>453</v>
      </c>
      <c r="H8695" s="987">
        <v>1.0</v>
      </c>
      <c r="I8695" s="988" t="s">
        <v>3145</v>
      </c>
      <c r="J8695" s="67">
        <f t="shared" si="502"/>
        <v>-2755</v>
      </c>
      <c r="L8695" s="70"/>
      <c r="M8695" s="934"/>
    </row>
    <row r="8696" ht="12.75" hidden="1" customHeight="1" outlineLevel="1">
      <c r="A8696" s="202">
        <v>42412.0</v>
      </c>
      <c r="B8696" s="985" t="s">
        <v>343</v>
      </c>
      <c r="C8696" s="94" t="s">
        <v>1902</v>
      </c>
      <c r="D8696" s="286">
        <v>2400.0</v>
      </c>
      <c r="E8696" s="94">
        <v>6.466</v>
      </c>
      <c r="F8696" s="986">
        <v>0.48207175925925927</v>
      </c>
      <c r="G8696" s="94" t="s">
        <v>453</v>
      </c>
      <c r="H8696" s="987">
        <v>12.0</v>
      </c>
      <c r="I8696" s="988" t="s">
        <v>3145</v>
      </c>
      <c r="J8696" s="67">
        <f t="shared" si="502"/>
        <v>-15530.4</v>
      </c>
      <c r="L8696" s="70"/>
      <c r="M8696" s="934"/>
    </row>
    <row r="8697" ht="12.75" hidden="1" customHeight="1" outlineLevel="1">
      <c r="A8697" s="202">
        <v>42412.0</v>
      </c>
      <c r="B8697" s="985" t="s">
        <v>343</v>
      </c>
      <c r="C8697" s="94" t="s">
        <v>1905</v>
      </c>
      <c r="D8697" s="94">
        <v>700.0</v>
      </c>
      <c r="E8697" s="94">
        <v>15.198</v>
      </c>
      <c r="F8697" s="986">
        <v>0.4825462962962963</v>
      </c>
      <c r="G8697" s="94" t="s">
        <v>453</v>
      </c>
      <c r="H8697" s="987">
        <v>2.8</v>
      </c>
      <c r="I8697" s="988" t="s">
        <v>3145</v>
      </c>
      <c r="J8697" s="67">
        <f t="shared" si="502"/>
        <v>-10641.4</v>
      </c>
      <c r="L8697" s="70"/>
      <c r="M8697" s="934"/>
    </row>
    <row r="8698" ht="12.75" hidden="1" customHeight="1" outlineLevel="1">
      <c r="A8698" s="202">
        <v>42412.0</v>
      </c>
      <c r="B8698" s="985" t="s">
        <v>343</v>
      </c>
      <c r="C8698" s="94" t="s">
        <v>2009</v>
      </c>
      <c r="D8698" s="286">
        <v>1300.0</v>
      </c>
      <c r="E8698" s="94">
        <v>12.3899</v>
      </c>
      <c r="F8698" s="986">
        <v>0.48311342592592593</v>
      </c>
      <c r="G8698" s="94" t="s">
        <v>453</v>
      </c>
      <c r="H8698" s="987">
        <v>5.2</v>
      </c>
      <c r="I8698" s="988" t="s">
        <v>3145</v>
      </c>
      <c r="J8698" s="67">
        <f t="shared" si="502"/>
        <v>-16112.07</v>
      </c>
      <c r="L8698" s="70"/>
      <c r="M8698" s="934"/>
    </row>
    <row r="8699" ht="12.75" hidden="1" customHeight="1" outlineLevel="1">
      <c r="A8699" s="202">
        <v>42412.0</v>
      </c>
      <c r="B8699" s="985" t="s">
        <v>343</v>
      </c>
      <c r="C8699" s="94" t="s">
        <v>1839</v>
      </c>
      <c r="D8699" s="286">
        <v>2000.0</v>
      </c>
      <c r="E8699" s="94">
        <v>1.8</v>
      </c>
      <c r="F8699" s="986">
        <v>0.4837384259259259</v>
      </c>
      <c r="G8699" s="94" t="s">
        <v>453</v>
      </c>
      <c r="H8699" s="987">
        <v>9.7</v>
      </c>
      <c r="I8699" s="988" t="s">
        <v>3145</v>
      </c>
      <c r="J8699" s="67">
        <f t="shared" si="502"/>
        <v>-3609.7</v>
      </c>
      <c r="L8699" s="70"/>
      <c r="M8699" s="934"/>
    </row>
    <row r="8700" ht="12.75" hidden="1" customHeight="1" outlineLevel="1">
      <c r="A8700" s="202">
        <v>42412.0</v>
      </c>
      <c r="B8700" s="985" t="s">
        <v>343</v>
      </c>
      <c r="C8700" s="94" t="s">
        <v>2035</v>
      </c>
      <c r="D8700" s="286">
        <v>1550.0</v>
      </c>
      <c r="E8700" s="94">
        <v>9.14</v>
      </c>
      <c r="F8700" s="986">
        <v>0.48420138888888886</v>
      </c>
      <c r="G8700" s="94" t="s">
        <v>453</v>
      </c>
      <c r="H8700" s="987">
        <v>6.3</v>
      </c>
      <c r="I8700" s="988" t="s">
        <v>3145</v>
      </c>
      <c r="J8700" s="67">
        <f t="shared" si="502"/>
        <v>-14173.3</v>
      </c>
      <c r="L8700" s="70"/>
      <c r="M8700" s="934"/>
    </row>
    <row r="8701" ht="12.75" hidden="1" customHeight="1" outlineLevel="1">
      <c r="A8701" s="202">
        <v>42412.0</v>
      </c>
      <c r="B8701" s="985" t="s">
        <v>347</v>
      </c>
      <c r="C8701" s="94" t="s">
        <v>2098</v>
      </c>
      <c r="D8701" s="94">
        <v>300.0</v>
      </c>
      <c r="E8701" s="94">
        <v>43.977</v>
      </c>
      <c r="F8701" s="986">
        <v>0.5186574074074074</v>
      </c>
      <c r="G8701" s="94" t="s">
        <v>453</v>
      </c>
      <c r="H8701" s="987">
        <v>1.59</v>
      </c>
      <c r="I8701" s="988" t="s">
        <v>3145</v>
      </c>
      <c r="J8701" s="67">
        <f t="shared" si="502"/>
        <v>13191.51</v>
      </c>
      <c r="L8701" s="70"/>
      <c r="M8701" s="934"/>
    </row>
    <row r="8702" ht="12.75" hidden="1" customHeight="1" outlineLevel="1">
      <c r="A8702" s="202">
        <v>42412.0</v>
      </c>
      <c r="B8702" s="985" t="s">
        <v>343</v>
      </c>
      <c r="C8702" s="94" t="s">
        <v>2862</v>
      </c>
      <c r="D8702" s="94">
        <v>250.0</v>
      </c>
      <c r="E8702" s="94">
        <v>79.55</v>
      </c>
      <c r="F8702" s="986">
        <v>0.5418981481481482</v>
      </c>
      <c r="G8702" s="94" t="s">
        <v>453</v>
      </c>
      <c r="H8702" s="987">
        <v>1.0</v>
      </c>
      <c r="I8702" s="988" t="s">
        <v>3145</v>
      </c>
      <c r="J8702" s="67">
        <f t="shared" si="502"/>
        <v>-19888.5</v>
      </c>
      <c r="L8702" s="70"/>
      <c r="M8702" s="934"/>
    </row>
    <row r="8703" ht="12.75" hidden="1" customHeight="1" outlineLevel="1">
      <c r="A8703" s="202">
        <v>42412.0</v>
      </c>
      <c r="B8703" s="985" t="s">
        <v>343</v>
      </c>
      <c r="C8703" s="94" t="s">
        <v>344</v>
      </c>
      <c r="D8703" s="94">
        <v>350.0</v>
      </c>
      <c r="E8703" s="94">
        <v>53.297</v>
      </c>
      <c r="F8703" s="986">
        <v>0.542037037037037</v>
      </c>
      <c r="G8703" s="94" t="s">
        <v>453</v>
      </c>
      <c r="H8703" s="987">
        <v>1.55</v>
      </c>
      <c r="I8703" s="988" t="s">
        <v>3145</v>
      </c>
      <c r="J8703" s="67">
        <f t="shared" si="502"/>
        <v>-18655.5</v>
      </c>
      <c r="L8703" s="70"/>
      <c r="M8703" s="934"/>
    </row>
    <row r="8704" ht="12.75" hidden="1" customHeight="1" outlineLevel="1">
      <c r="A8704" s="202">
        <v>42412.0</v>
      </c>
      <c r="B8704" s="985" t="s">
        <v>343</v>
      </c>
      <c r="C8704" s="94" t="s">
        <v>605</v>
      </c>
      <c r="D8704" s="94">
        <v>200.0</v>
      </c>
      <c r="E8704" s="94">
        <v>74.6598</v>
      </c>
      <c r="F8704" s="986">
        <v>0.5422569444444445</v>
      </c>
      <c r="G8704" s="94" t="s">
        <v>453</v>
      </c>
      <c r="H8704" s="987">
        <v>1.0</v>
      </c>
      <c r="I8704" s="988" t="s">
        <v>3145</v>
      </c>
      <c r="J8704" s="67">
        <f t="shared" si="502"/>
        <v>-14932.96</v>
      </c>
      <c r="L8704" s="70"/>
      <c r="M8704" s="934"/>
    </row>
    <row r="8705" ht="12.75" hidden="1" customHeight="1" outlineLevel="1">
      <c r="A8705" s="202">
        <v>42412.0</v>
      </c>
      <c r="B8705" s="985" t="s">
        <v>343</v>
      </c>
      <c r="C8705" s="94" t="s">
        <v>3132</v>
      </c>
      <c r="D8705" s="94">
        <v>100.0</v>
      </c>
      <c r="E8705" s="94">
        <v>124.73</v>
      </c>
      <c r="F8705" s="986">
        <v>0.5423842592592593</v>
      </c>
      <c r="G8705" s="94" t="s">
        <v>453</v>
      </c>
      <c r="H8705" s="987">
        <v>1.0</v>
      </c>
      <c r="I8705" s="988" t="s">
        <v>3145</v>
      </c>
      <c r="J8705" s="67">
        <f t="shared" si="502"/>
        <v>-12474</v>
      </c>
      <c r="L8705" s="70"/>
      <c r="M8705" s="934"/>
    </row>
    <row r="8706" ht="12.75" hidden="1" customHeight="1" outlineLevel="1">
      <c r="A8706" s="202">
        <v>42412.0</v>
      </c>
      <c r="B8706" s="985" t="s">
        <v>343</v>
      </c>
      <c r="C8706" s="94" t="s">
        <v>1995</v>
      </c>
      <c r="D8706" s="94">
        <v>275.0</v>
      </c>
      <c r="E8706" s="94">
        <v>45.72</v>
      </c>
      <c r="F8706" s="986">
        <v>0.5425694444444444</v>
      </c>
      <c r="G8706" s="94" t="s">
        <v>453</v>
      </c>
      <c r="H8706" s="987">
        <v>1.1</v>
      </c>
      <c r="I8706" s="988" t="s">
        <v>3145</v>
      </c>
      <c r="J8706" s="67">
        <f t="shared" si="502"/>
        <v>-12574.1</v>
      </c>
      <c r="L8706" s="70"/>
      <c r="M8706" s="934"/>
    </row>
    <row r="8707" ht="12.75" hidden="1" customHeight="1" outlineLevel="1">
      <c r="A8707" s="202">
        <v>42412.0</v>
      </c>
      <c r="B8707" s="985" t="s">
        <v>343</v>
      </c>
      <c r="C8707" s="94" t="s">
        <v>3136</v>
      </c>
      <c r="D8707" s="94">
        <v>350.0</v>
      </c>
      <c r="E8707" s="94">
        <v>35.99</v>
      </c>
      <c r="F8707" s="986">
        <v>0.5429513888888889</v>
      </c>
      <c r="G8707" s="94" t="s">
        <v>453</v>
      </c>
      <c r="H8707" s="987">
        <v>2.0</v>
      </c>
      <c r="I8707" s="988" t="s">
        <v>3145</v>
      </c>
      <c r="J8707" s="67">
        <f t="shared" si="502"/>
        <v>-12598.5</v>
      </c>
      <c r="L8707" s="70"/>
      <c r="M8707" s="934"/>
    </row>
    <row r="8708" ht="12.75" hidden="1" customHeight="1" outlineLevel="1">
      <c r="A8708" s="202">
        <v>42412.0</v>
      </c>
      <c r="B8708" s="985" t="s">
        <v>343</v>
      </c>
      <c r="C8708" s="94" t="s">
        <v>1249</v>
      </c>
      <c r="D8708" s="94">
        <v>225.0</v>
      </c>
      <c r="E8708" s="94">
        <v>85.326</v>
      </c>
      <c r="F8708" s="986">
        <v>0.5501041666666666</v>
      </c>
      <c r="G8708" s="94" t="s">
        <v>453</v>
      </c>
      <c r="H8708" s="987">
        <v>1.12</v>
      </c>
      <c r="I8708" s="988" t="s">
        <v>3145</v>
      </c>
      <c r="J8708" s="67">
        <f t="shared" si="502"/>
        <v>-19199.47</v>
      </c>
      <c r="L8708" s="70"/>
      <c r="M8708" s="934"/>
    </row>
    <row r="8709" ht="12.75" hidden="1" customHeight="1" outlineLevel="1">
      <c r="A8709" s="202">
        <v>42412.0</v>
      </c>
      <c r="B8709" s="985" t="s">
        <v>343</v>
      </c>
      <c r="C8709" s="94" t="s">
        <v>1221</v>
      </c>
      <c r="D8709" s="94">
        <v>400.0</v>
      </c>
      <c r="E8709" s="94">
        <v>31.7797</v>
      </c>
      <c r="F8709" s="986">
        <v>0.5503125</v>
      </c>
      <c r="G8709" s="94" t="s">
        <v>453</v>
      </c>
      <c r="H8709" s="987">
        <v>1.6</v>
      </c>
      <c r="I8709" s="988" t="s">
        <v>3145</v>
      </c>
      <c r="J8709" s="67">
        <f t="shared" si="502"/>
        <v>-12713.48</v>
      </c>
      <c r="L8709" s="70"/>
      <c r="M8709" s="934"/>
    </row>
    <row r="8710" ht="12.75" hidden="1" customHeight="1" outlineLevel="1">
      <c r="A8710" s="990">
        <v>42412.0</v>
      </c>
      <c r="B8710" s="992"/>
      <c r="C8710" s="32" t="s">
        <v>339</v>
      </c>
      <c r="D8710" s="1"/>
      <c r="F8710" s="1"/>
      <c r="G8710" s="1"/>
      <c r="H8710" s="68"/>
      <c r="I8710" s="76"/>
      <c r="K8710" s="994" t="s">
        <v>3309</v>
      </c>
      <c r="L8710" s="934"/>
      <c r="M8710" s="934"/>
    </row>
    <row r="8711" ht="12.75" hidden="1" customHeight="1" outlineLevel="1">
      <c r="A8711" s="990">
        <v>42412.0</v>
      </c>
      <c r="B8711" s="992"/>
      <c r="C8711" s="32" t="s">
        <v>429</v>
      </c>
      <c r="D8711" s="1"/>
      <c r="F8711" s="1"/>
      <c r="G8711" s="1"/>
      <c r="H8711" s="68"/>
      <c r="I8711" s="76"/>
      <c r="K8711" s="9" t="s">
        <v>3187</v>
      </c>
      <c r="L8711" s="934"/>
      <c r="M8711" s="934"/>
    </row>
    <row r="8712" ht="12.75" hidden="1" customHeight="1" outlineLevel="1">
      <c r="A8712" s="990">
        <v>42412.0</v>
      </c>
      <c r="B8712" s="992"/>
      <c r="C8712" s="32" t="s">
        <v>431</v>
      </c>
      <c r="D8712" s="1"/>
      <c r="F8712" s="1"/>
      <c r="G8712" s="1"/>
      <c r="H8712" s="68"/>
      <c r="I8712" s="76"/>
      <c r="K8712" s="7" t="s">
        <v>1126</v>
      </c>
      <c r="L8712" s="934"/>
      <c r="M8712" s="934"/>
    </row>
    <row r="8713" ht="12.75" hidden="1" customHeight="1" outlineLevel="1">
      <c r="A8713" s="990">
        <v>42412.0</v>
      </c>
      <c r="B8713" s="992"/>
      <c r="C8713" s="32" t="s">
        <v>433</v>
      </c>
      <c r="D8713" s="1"/>
      <c r="F8713" s="1"/>
      <c r="G8713" s="1"/>
      <c r="H8713" s="68"/>
      <c r="I8713" s="76"/>
      <c r="K8713" s="7" t="s">
        <v>1103</v>
      </c>
      <c r="L8713" s="934"/>
      <c r="M8713" s="934"/>
    </row>
    <row r="8714" ht="12.75" hidden="1" customHeight="1" outlineLevel="1">
      <c r="A8714" s="990">
        <v>42412.0</v>
      </c>
      <c r="B8714" s="992"/>
      <c r="C8714" s="32" t="s">
        <v>435</v>
      </c>
      <c r="D8714" s="1"/>
      <c r="F8714" s="1"/>
      <c r="G8714" s="1"/>
      <c r="H8714" s="68"/>
      <c r="I8714" s="76"/>
      <c r="K8714" s="9" t="s">
        <v>3301</v>
      </c>
      <c r="L8714" s="934"/>
      <c r="M8714" s="934"/>
    </row>
    <row r="8715" ht="12.75" hidden="1" customHeight="1" outlineLevel="1">
      <c r="A8715" s="202">
        <v>42416.0</v>
      </c>
      <c r="B8715" s="985" t="s">
        <v>343</v>
      </c>
      <c r="C8715" s="94" t="s">
        <v>344</v>
      </c>
      <c r="D8715" s="94">
        <v>350.0</v>
      </c>
      <c r="E8715" s="94">
        <v>52.984</v>
      </c>
      <c r="F8715" s="986">
        <v>0.40152777777777776</v>
      </c>
      <c r="G8715" s="94" t="s">
        <v>453</v>
      </c>
      <c r="H8715" s="987">
        <v>1.75</v>
      </c>
      <c r="I8715" s="988" t="s">
        <v>3145</v>
      </c>
      <c r="J8715" s="67">
        <f t="shared" ref="J8715:J8717" si="503">IF(B8715="SLD",D8715*E8715,-D8715*E8715)-H8715</f>
        <v>-18546.15</v>
      </c>
      <c r="L8715" s="70"/>
      <c r="M8715" s="934"/>
    </row>
    <row r="8716" ht="12.75" hidden="1" customHeight="1" outlineLevel="1">
      <c r="A8716" s="202">
        <v>42416.0</v>
      </c>
      <c r="B8716" s="985" t="s">
        <v>347</v>
      </c>
      <c r="C8716" s="94" t="s">
        <v>2862</v>
      </c>
      <c r="D8716" s="94">
        <v>250.0</v>
      </c>
      <c r="E8716" s="94">
        <v>80.57</v>
      </c>
      <c r="F8716" s="986">
        <v>0.3997453703703704</v>
      </c>
      <c r="G8716" s="94" t="s">
        <v>453</v>
      </c>
      <c r="H8716" s="987">
        <v>1.44</v>
      </c>
      <c r="I8716" s="988" t="s">
        <v>3145</v>
      </c>
      <c r="J8716" s="67">
        <f t="shared" si="503"/>
        <v>20141.06</v>
      </c>
      <c r="L8716" s="70"/>
      <c r="M8716" s="934"/>
    </row>
    <row r="8717" ht="12.75" hidden="1" customHeight="1" outlineLevel="1">
      <c r="A8717" s="202">
        <v>42416.0</v>
      </c>
      <c r="B8717" s="985" t="s">
        <v>343</v>
      </c>
      <c r="C8717" s="94" t="s">
        <v>346</v>
      </c>
      <c r="D8717" s="94">
        <v>400.0</v>
      </c>
      <c r="E8717" s="94">
        <v>94.649</v>
      </c>
      <c r="F8717" s="986">
        <v>0.39927083333333335</v>
      </c>
      <c r="G8717" s="94" t="s">
        <v>453</v>
      </c>
      <c r="H8717" s="987">
        <v>1.6</v>
      </c>
      <c r="I8717" s="988" t="s">
        <v>3145</v>
      </c>
      <c r="J8717" s="67">
        <f t="shared" si="503"/>
        <v>-37861.2</v>
      </c>
      <c r="L8717" s="70"/>
      <c r="M8717" s="934"/>
    </row>
    <row r="8718" ht="12.75" hidden="1" customHeight="1" outlineLevel="1">
      <c r="A8718" s="990">
        <v>42416.0</v>
      </c>
      <c r="B8718" s="992"/>
      <c r="C8718" s="32" t="s">
        <v>339</v>
      </c>
      <c r="D8718" s="1"/>
      <c r="F8718" s="1"/>
      <c r="G8718" s="1"/>
      <c r="H8718" s="68"/>
      <c r="I8718" s="76"/>
      <c r="K8718" s="994" t="s">
        <v>3322</v>
      </c>
      <c r="L8718" s="934"/>
      <c r="M8718" s="934"/>
    </row>
    <row r="8719" ht="12.75" hidden="1" customHeight="1" outlineLevel="1">
      <c r="A8719" s="990">
        <v>42416.0</v>
      </c>
      <c r="B8719" s="992"/>
      <c r="C8719" s="32" t="s">
        <v>429</v>
      </c>
      <c r="D8719" s="1"/>
      <c r="F8719" s="1"/>
      <c r="G8719" s="1"/>
      <c r="H8719" s="68"/>
      <c r="I8719" s="76"/>
      <c r="K8719" s="9" t="s">
        <v>3187</v>
      </c>
      <c r="L8719" s="934"/>
      <c r="M8719" s="934"/>
    </row>
    <row r="8720" ht="12.75" hidden="1" customHeight="1" outlineLevel="1">
      <c r="A8720" s="990">
        <v>42416.0</v>
      </c>
      <c r="B8720" s="992"/>
      <c r="C8720" s="32" t="s">
        <v>431</v>
      </c>
      <c r="D8720" s="1"/>
      <c r="F8720" s="1"/>
      <c r="G8720" s="1"/>
      <c r="H8720" s="68"/>
      <c r="I8720" s="76"/>
      <c r="K8720" s="7" t="s">
        <v>1126</v>
      </c>
      <c r="L8720" s="934"/>
      <c r="M8720" s="934"/>
    </row>
    <row r="8721" ht="12.75" hidden="1" customHeight="1" outlineLevel="1">
      <c r="A8721" s="990">
        <v>42416.0</v>
      </c>
      <c r="B8721" s="992"/>
      <c r="C8721" s="32" t="s">
        <v>433</v>
      </c>
      <c r="D8721" s="1"/>
      <c r="F8721" s="1"/>
      <c r="G8721" s="1"/>
      <c r="H8721" s="68"/>
      <c r="I8721" s="76"/>
      <c r="K8721" s="7" t="s">
        <v>1103</v>
      </c>
      <c r="L8721" s="934"/>
      <c r="M8721" s="934"/>
    </row>
    <row r="8722" ht="12.75" hidden="1" customHeight="1" outlineLevel="1">
      <c r="A8722" s="990">
        <v>42416.0</v>
      </c>
      <c r="B8722" s="992"/>
      <c r="C8722" s="32" t="s">
        <v>435</v>
      </c>
      <c r="D8722" s="1"/>
      <c r="F8722" s="1"/>
      <c r="G8722" s="1"/>
      <c r="H8722" s="68"/>
      <c r="I8722" s="76"/>
      <c r="K8722" s="9" t="s">
        <v>3301</v>
      </c>
      <c r="L8722" s="934"/>
      <c r="M8722" s="934"/>
    </row>
    <row r="8723" ht="12.75" hidden="1" customHeight="1" outlineLevel="1">
      <c r="A8723" s="202">
        <v>42417.0</v>
      </c>
      <c r="B8723" s="985" t="s">
        <v>343</v>
      </c>
      <c r="C8723" s="94" t="s">
        <v>2090</v>
      </c>
      <c r="D8723" s="286">
        <v>4000.0</v>
      </c>
      <c r="E8723" s="94">
        <v>5.79</v>
      </c>
      <c r="F8723" s="986">
        <v>0.4411574074074074</v>
      </c>
      <c r="G8723" s="94" t="s">
        <v>453</v>
      </c>
      <c r="H8723" s="987">
        <v>20.0</v>
      </c>
      <c r="I8723" s="988" t="s">
        <v>3145</v>
      </c>
      <c r="J8723" s="67">
        <f t="shared" ref="J8723:J8782" si="504">IF(B8723="SLD",D8723*E8723,-D8723*E8723)-H8723</f>
        <v>-23180</v>
      </c>
      <c r="L8723" s="70"/>
      <c r="M8723" s="934"/>
    </row>
    <row r="8724" ht="12.75" hidden="1" customHeight="1" outlineLevel="1">
      <c r="A8724" s="202">
        <v>42417.0</v>
      </c>
      <c r="B8724" s="985" t="s">
        <v>343</v>
      </c>
      <c r="C8724" s="94" t="s">
        <v>2210</v>
      </c>
      <c r="D8724" s="94">
        <v>250.0</v>
      </c>
      <c r="E8724" s="94">
        <v>76.96</v>
      </c>
      <c r="F8724" s="986">
        <v>0.4415162037037037</v>
      </c>
      <c r="G8724" s="94" t="s">
        <v>453</v>
      </c>
      <c r="H8724" s="987">
        <v>1.25</v>
      </c>
      <c r="I8724" s="988" t="s">
        <v>3145</v>
      </c>
      <c r="J8724" s="67">
        <f t="shared" si="504"/>
        <v>-19241.25</v>
      </c>
      <c r="L8724" s="70"/>
      <c r="M8724" s="934"/>
    </row>
    <row r="8725" ht="12.75" hidden="1" customHeight="1" outlineLevel="1">
      <c r="A8725" s="202">
        <v>42417.0</v>
      </c>
      <c r="B8725" s="985" t="s">
        <v>343</v>
      </c>
      <c r="C8725" s="94" t="s">
        <v>3024</v>
      </c>
      <c r="D8725" s="286">
        <v>1100.0</v>
      </c>
      <c r="E8725" s="94">
        <v>15.628</v>
      </c>
      <c r="F8725" s="986">
        <v>0.4418634259259259</v>
      </c>
      <c r="G8725" s="94" t="s">
        <v>453</v>
      </c>
      <c r="H8725" s="987">
        <v>5.5</v>
      </c>
      <c r="I8725" s="988" t="s">
        <v>3145</v>
      </c>
      <c r="J8725" s="67">
        <f t="shared" si="504"/>
        <v>-17196.3</v>
      </c>
      <c r="L8725" s="70"/>
      <c r="M8725" s="934"/>
    </row>
    <row r="8726" ht="12.75" hidden="1" customHeight="1" outlineLevel="1">
      <c r="A8726" s="202">
        <v>42417.0</v>
      </c>
      <c r="B8726" s="985" t="s">
        <v>343</v>
      </c>
      <c r="C8726" s="94" t="s">
        <v>784</v>
      </c>
      <c r="D8726" s="286">
        <v>5000.0</v>
      </c>
      <c r="E8726" s="94">
        <v>2.999</v>
      </c>
      <c r="F8726" s="986">
        <v>0.4423148148148148</v>
      </c>
      <c r="G8726" s="94" t="s">
        <v>453</v>
      </c>
      <c r="H8726" s="987">
        <v>22.9</v>
      </c>
      <c r="I8726" s="988" t="s">
        <v>3145</v>
      </c>
      <c r="J8726" s="67">
        <f t="shared" si="504"/>
        <v>-15017.9</v>
      </c>
      <c r="L8726" s="70"/>
      <c r="M8726" s="934"/>
    </row>
    <row r="8727" ht="12.75" hidden="1" customHeight="1" outlineLevel="1">
      <c r="A8727" s="202">
        <v>42417.0</v>
      </c>
      <c r="B8727" s="985" t="s">
        <v>343</v>
      </c>
      <c r="C8727" s="94" t="s">
        <v>1893</v>
      </c>
      <c r="D8727" s="286">
        <v>2000.0</v>
      </c>
      <c r="E8727" s="94">
        <v>7.4599</v>
      </c>
      <c r="F8727" s="986">
        <v>0.44243055555555555</v>
      </c>
      <c r="G8727" s="94" t="s">
        <v>453</v>
      </c>
      <c r="H8727" s="987">
        <v>8.0</v>
      </c>
      <c r="I8727" s="988" t="s">
        <v>3145</v>
      </c>
      <c r="J8727" s="67">
        <f t="shared" si="504"/>
        <v>-14927.8</v>
      </c>
      <c r="L8727" s="70"/>
      <c r="M8727" s="934"/>
    </row>
    <row r="8728" ht="12.75" hidden="1" customHeight="1" outlineLevel="1">
      <c r="A8728" s="202">
        <v>42417.0</v>
      </c>
      <c r="B8728" s="985" t="s">
        <v>343</v>
      </c>
      <c r="C8728" s="94" t="s">
        <v>1905</v>
      </c>
      <c r="D8728" s="94">
        <v>900.0</v>
      </c>
      <c r="E8728" s="94">
        <v>16.51</v>
      </c>
      <c r="F8728" s="986">
        <v>0.44256944444444446</v>
      </c>
      <c r="G8728" s="94" t="s">
        <v>453</v>
      </c>
      <c r="H8728" s="987">
        <v>4.5</v>
      </c>
      <c r="I8728" s="988" t="s">
        <v>3145</v>
      </c>
      <c r="J8728" s="67">
        <f t="shared" si="504"/>
        <v>-14863.5</v>
      </c>
      <c r="L8728" s="70"/>
      <c r="M8728" s="934"/>
    </row>
    <row r="8729" ht="12.75" hidden="1" customHeight="1" outlineLevel="1">
      <c r="A8729" s="202">
        <v>42417.0</v>
      </c>
      <c r="B8729" s="985" t="s">
        <v>343</v>
      </c>
      <c r="C8729" s="94" t="s">
        <v>1947</v>
      </c>
      <c r="D8729" s="94">
        <v>500.0</v>
      </c>
      <c r="E8729" s="94">
        <v>27.924</v>
      </c>
      <c r="F8729" s="986">
        <v>0.44276620370370373</v>
      </c>
      <c r="G8729" s="94" t="s">
        <v>453</v>
      </c>
      <c r="H8729" s="987">
        <v>2.5</v>
      </c>
      <c r="I8729" s="988" t="s">
        <v>3145</v>
      </c>
      <c r="J8729" s="67">
        <f t="shared" si="504"/>
        <v>-13964.5</v>
      </c>
      <c r="L8729" s="70"/>
      <c r="M8729" s="934"/>
    </row>
    <row r="8730" ht="12.75" hidden="1" customHeight="1" outlineLevel="1">
      <c r="A8730" s="202">
        <v>42417.0</v>
      </c>
      <c r="B8730" s="985" t="s">
        <v>343</v>
      </c>
      <c r="C8730" s="94" t="s">
        <v>1882</v>
      </c>
      <c r="D8730" s="286">
        <v>2000.0</v>
      </c>
      <c r="E8730" s="94">
        <v>3.8099</v>
      </c>
      <c r="F8730" s="986">
        <v>0.44288194444444445</v>
      </c>
      <c r="G8730" s="94" t="s">
        <v>453</v>
      </c>
      <c r="H8730" s="987">
        <v>8.0</v>
      </c>
      <c r="I8730" s="988" t="s">
        <v>3145</v>
      </c>
      <c r="J8730" s="67">
        <f t="shared" si="504"/>
        <v>-7627.8</v>
      </c>
      <c r="L8730" s="70"/>
      <c r="M8730" s="934"/>
    </row>
    <row r="8731" ht="12.75" hidden="1" customHeight="1" outlineLevel="1">
      <c r="A8731" s="202">
        <v>42417.0</v>
      </c>
      <c r="B8731" s="985" t="s">
        <v>343</v>
      </c>
      <c r="C8731" s="94" t="s">
        <v>1823</v>
      </c>
      <c r="D8731" s="94">
        <v>300.0</v>
      </c>
      <c r="E8731" s="94">
        <v>24.05</v>
      </c>
      <c r="F8731" s="986">
        <v>0.44298611111111114</v>
      </c>
      <c r="G8731" s="94" t="s">
        <v>453</v>
      </c>
      <c r="H8731" s="987">
        <v>1.4</v>
      </c>
      <c r="I8731" s="988" t="s">
        <v>3145</v>
      </c>
      <c r="J8731" s="67">
        <f t="shared" si="504"/>
        <v>-7216.4</v>
      </c>
      <c r="L8731" s="70"/>
      <c r="M8731" s="934"/>
    </row>
    <row r="8732" ht="12.75" hidden="1" customHeight="1" outlineLevel="1">
      <c r="A8732" s="202">
        <v>42417.0</v>
      </c>
      <c r="B8732" s="985" t="s">
        <v>343</v>
      </c>
      <c r="C8732" s="94" t="s">
        <v>1890</v>
      </c>
      <c r="D8732" s="94">
        <v>800.0</v>
      </c>
      <c r="E8732" s="94">
        <v>8.86</v>
      </c>
      <c r="F8732" s="986">
        <v>0.4430787037037037</v>
      </c>
      <c r="G8732" s="94" t="s">
        <v>453</v>
      </c>
      <c r="H8732" s="987">
        <v>3.3</v>
      </c>
      <c r="I8732" s="988" t="s">
        <v>3145</v>
      </c>
      <c r="J8732" s="67">
        <f t="shared" si="504"/>
        <v>-7091.3</v>
      </c>
      <c r="L8732" s="70"/>
      <c r="M8732" s="934"/>
    </row>
    <row r="8733" ht="12.75" hidden="1" customHeight="1" outlineLevel="1">
      <c r="A8733" s="202">
        <v>42417.0</v>
      </c>
      <c r="B8733" s="985" t="s">
        <v>343</v>
      </c>
      <c r="C8733" s="94" t="s">
        <v>2043</v>
      </c>
      <c r="D8733" s="94">
        <v>250.0</v>
      </c>
      <c r="E8733" s="94">
        <v>27.86</v>
      </c>
      <c r="F8733" s="986">
        <v>0.44320601851851854</v>
      </c>
      <c r="G8733" s="94" t="s">
        <v>453</v>
      </c>
      <c r="H8733" s="987">
        <v>1.1</v>
      </c>
      <c r="I8733" s="988" t="s">
        <v>3145</v>
      </c>
      <c r="J8733" s="67">
        <f t="shared" si="504"/>
        <v>-6966.1</v>
      </c>
      <c r="L8733" s="70"/>
      <c r="M8733" s="934"/>
    </row>
    <row r="8734" ht="12.75" hidden="1" customHeight="1" outlineLevel="1">
      <c r="A8734" s="202">
        <v>42417.0</v>
      </c>
      <c r="B8734" s="985" t="s">
        <v>343</v>
      </c>
      <c r="C8734" s="94" t="s">
        <v>1633</v>
      </c>
      <c r="D8734" s="94">
        <v>800.0</v>
      </c>
      <c r="E8734" s="94">
        <v>8.689</v>
      </c>
      <c r="F8734" s="986">
        <v>0.44331018518518517</v>
      </c>
      <c r="G8734" s="94" t="s">
        <v>453</v>
      </c>
      <c r="H8734" s="987">
        <v>3.2</v>
      </c>
      <c r="I8734" s="988" t="s">
        <v>3145</v>
      </c>
      <c r="J8734" s="67">
        <f t="shared" si="504"/>
        <v>-6954.4</v>
      </c>
      <c r="L8734" s="70"/>
      <c r="M8734" s="934"/>
    </row>
    <row r="8735" ht="12.75" hidden="1" customHeight="1" outlineLevel="1">
      <c r="A8735" s="202">
        <v>42417.0</v>
      </c>
      <c r="B8735" s="985" t="s">
        <v>343</v>
      </c>
      <c r="C8735" s="94" t="s">
        <v>1938</v>
      </c>
      <c r="D8735" s="94">
        <v>400.0</v>
      </c>
      <c r="E8735" s="94">
        <v>17.2799</v>
      </c>
      <c r="F8735" s="986">
        <v>0.4433912037037037</v>
      </c>
      <c r="G8735" s="94" t="s">
        <v>453</v>
      </c>
      <c r="H8735" s="987">
        <v>1.6</v>
      </c>
      <c r="I8735" s="988" t="s">
        <v>3145</v>
      </c>
      <c r="J8735" s="67">
        <f t="shared" si="504"/>
        <v>-6913.56</v>
      </c>
      <c r="L8735" s="70"/>
      <c r="M8735" s="934"/>
    </row>
    <row r="8736" ht="12.75" hidden="1" customHeight="1" outlineLevel="1">
      <c r="A8736" s="202">
        <v>42417.0</v>
      </c>
      <c r="B8736" s="985" t="s">
        <v>343</v>
      </c>
      <c r="C8736" s="94" t="s">
        <v>790</v>
      </c>
      <c r="D8736" s="286">
        <v>2000.0</v>
      </c>
      <c r="E8736" s="94">
        <v>3.2799</v>
      </c>
      <c r="F8736" s="986">
        <v>0.44350694444444444</v>
      </c>
      <c r="G8736" s="94" t="s">
        <v>453</v>
      </c>
      <c r="H8736" s="987">
        <v>8.0</v>
      </c>
      <c r="I8736" s="988" t="s">
        <v>3145</v>
      </c>
      <c r="J8736" s="67">
        <f t="shared" si="504"/>
        <v>-6567.8</v>
      </c>
      <c r="L8736" s="70"/>
      <c r="M8736" s="934"/>
    </row>
    <row r="8737" ht="12.75" hidden="1" customHeight="1" outlineLevel="1">
      <c r="A8737" s="202">
        <v>42417.0</v>
      </c>
      <c r="B8737" s="985" t="s">
        <v>343</v>
      </c>
      <c r="C8737" s="94" t="s">
        <v>2035</v>
      </c>
      <c r="D8737" s="94">
        <v>700.0</v>
      </c>
      <c r="E8737" s="94">
        <v>9.139</v>
      </c>
      <c r="F8737" s="986">
        <v>0.44359953703703703</v>
      </c>
      <c r="G8737" s="94" t="s">
        <v>453</v>
      </c>
      <c r="H8737" s="987">
        <v>2.9</v>
      </c>
      <c r="I8737" s="988" t="s">
        <v>3145</v>
      </c>
      <c r="J8737" s="67">
        <f t="shared" si="504"/>
        <v>-6400.2</v>
      </c>
      <c r="L8737" s="70"/>
      <c r="M8737" s="934"/>
    </row>
    <row r="8738" ht="12.75" hidden="1" customHeight="1" outlineLevel="1">
      <c r="A8738" s="202">
        <v>42417.0</v>
      </c>
      <c r="B8738" s="985" t="s">
        <v>343</v>
      </c>
      <c r="C8738" s="94" t="s">
        <v>2009</v>
      </c>
      <c r="D8738" s="94">
        <v>500.0</v>
      </c>
      <c r="E8738" s="94">
        <v>12.3799</v>
      </c>
      <c r="F8738" s="986">
        <v>0.4436689814814815</v>
      </c>
      <c r="G8738" s="94" t="s">
        <v>453</v>
      </c>
      <c r="H8738" s="987">
        <v>2.0</v>
      </c>
      <c r="I8738" s="988" t="s">
        <v>3145</v>
      </c>
      <c r="J8738" s="67">
        <f t="shared" si="504"/>
        <v>-6191.95</v>
      </c>
      <c r="L8738" s="70"/>
      <c r="M8738" s="934"/>
    </row>
    <row r="8739" ht="12.75" hidden="1" customHeight="1" outlineLevel="1">
      <c r="A8739" s="202">
        <v>42417.0</v>
      </c>
      <c r="B8739" s="985" t="s">
        <v>343</v>
      </c>
      <c r="C8739" s="94" t="s">
        <v>1816</v>
      </c>
      <c r="D8739" s="94">
        <v>150.0</v>
      </c>
      <c r="E8739" s="94">
        <v>38.962</v>
      </c>
      <c r="F8739" s="986">
        <v>0.44373842592592594</v>
      </c>
      <c r="G8739" s="94" t="s">
        <v>453</v>
      </c>
      <c r="H8739" s="987">
        <v>1.0</v>
      </c>
      <c r="I8739" s="988" t="s">
        <v>3145</v>
      </c>
      <c r="J8739" s="67">
        <f t="shared" si="504"/>
        <v>-5845.3</v>
      </c>
      <c r="L8739" s="70"/>
      <c r="M8739" s="934"/>
    </row>
    <row r="8740" ht="12.75" hidden="1" customHeight="1" outlineLevel="1">
      <c r="A8740" s="202">
        <v>42417.0</v>
      </c>
      <c r="B8740" s="985" t="s">
        <v>343</v>
      </c>
      <c r="C8740" s="94" t="s">
        <v>1902</v>
      </c>
      <c r="D8740" s="94">
        <v>800.0</v>
      </c>
      <c r="E8740" s="94">
        <v>7.112</v>
      </c>
      <c r="F8740" s="986">
        <v>0.4438078703703704</v>
      </c>
      <c r="G8740" s="94" t="s">
        <v>453</v>
      </c>
      <c r="H8740" s="987">
        <v>3.9</v>
      </c>
      <c r="I8740" s="988" t="s">
        <v>3145</v>
      </c>
      <c r="J8740" s="67">
        <f t="shared" si="504"/>
        <v>-5693.5</v>
      </c>
      <c r="L8740" s="70"/>
      <c r="M8740" s="934"/>
    </row>
    <row r="8741" ht="12.75" hidden="1" customHeight="1" outlineLevel="1">
      <c r="A8741" s="202">
        <v>42417.0</v>
      </c>
      <c r="B8741" s="985" t="s">
        <v>347</v>
      </c>
      <c r="C8741" s="94" t="s">
        <v>1244</v>
      </c>
      <c r="D8741" s="94">
        <v>100.0</v>
      </c>
      <c r="E8741" s="94">
        <v>90.18</v>
      </c>
      <c r="F8741" s="986">
        <v>0.44480324074074074</v>
      </c>
      <c r="G8741" s="94" t="s">
        <v>453</v>
      </c>
      <c r="H8741" s="987">
        <v>1.2</v>
      </c>
      <c r="I8741" s="988" t="s">
        <v>3145</v>
      </c>
      <c r="J8741" s="67">
        <f t="shared" si="504"/>
        <v>9016.8</v>
      </c>
      <c r="L8741" s="70"/>
      <c r="M8741" s="934"/>
    </row>
    <row r="8742" ht="12.75" hidden="1" customHeight="1" outlineLevel="1">
      <c r="A8742" s="202">
        <v>42417.0</v>
      </c>
      <c r="B8742" s="985" t="s">
        <v>347</v>
      </c>
      <c r="C8742" s="94" t="s">
        <v>1056</v>
      </c>
      <c r="D8742" s="94">
        <v>75.0</v>
      </c>
      <c r="E8742" s="94">
        <v>253.83</v>
      </c>
      <c r="F8742" s="986">
        <v>0.5451388888888888</v>
      </c>
      <c r="G8742" s="94" t="s">
        <v>453</v>
      </c>
      <c r="H8742" s="987">
        <v>1.42</v>
      </c>
      <c r="I8742" s="988" t="s">
        <v>3145</v>
      </c>
      <c r="J8742" s="67">
        <f t="shared" si="504"/>
        <v>19035.83</v>
      </c>
      <c r="L8742" s="70"/>
      <c r="M8742" s="934"/>
    </row>
    <row r="8743" ht="12.75" hidden="1" customHeight="1" outlineLevel="1">
      <c r="A8743" s="202">
        <v>42417.0</v>
      </c>
      <c r="B8743" s="985" t="s">
        <v>347</v>
      </c>
      <c r="C8743" s="94" t="s">
        <v>1082</v>
      </c>
      <c r="D8743" s="94">
        <v>25.0</v>
      </c>
      <c r="E8743" s="94">
        <v>753.29</v>
      </c>
      <c r="F8743" s="986">
        <v>0.5452314814814815</v>
      </c>
      <c r="G8743" s="94" t="s">
        <v>453</v>
      </c>
      <c r="H8743" s="987">
        <v>1.41</v>
      </c>
      <c r="I8743" s="988" t="s">
        <v>3145</v>
      </c>
      <c r="J8743" s="67">
        <f t="shared" si="504"/>
        <v>18830.84</v>
      </c>
      <c r="L8743" s="70"/>
      <c r="M8743" s="934"/>
    </row>
    <row r="8744" ht="12.75" hidden="1" customHeight="1" outlineLevel="1">
      <c r="A8744" s="202">
        <v>42417.0</v>
      </c>
      <c r="B8744" s="985" t="s">
        <v>347</v>
      </c>
      <c r="C8744" s="94" t="s">
        <v>1485</v>
      </c>
      <c r="D8744" s="286">
        <v>2000.0</v>
      </c>
      <c r="E8744" s="94">
        <v>2.95</v>
      </c>
      <c r="F8744" s="986">
        <v>0.6255092592592593</v>
      </c>
      <c r="G8744" s="94" t="s">
        <v>453</v>
      </c>
      <c r="H8744" s="987">
        <v>10.13</v>
      </c>
      <c r="I8744" s="988" t="s">
        <v>3145</v>
      </c>
      <c r="J8744" s="67">
        <f t="shared" si="504"/>
        <v>5889.87</v>
      </c>
      <c r="L8744" s="70"/>
      <c r="M8744" s="934"/>
    </row>
    <row r="8745" ht="12.75" hidden="1" customHeight="1" outlineLevel="1">
      <c r="A8745" s="202">
        <v>42417.0</v>
      </c>
      <c r="B8745" s="985" t="s">
        <v>347</v>
      </c>
      <c r="C8745" s="94" t="s">
        <v>604</v>
      </c>
      <c r="D8745" s="286">
        <v>2000.0</v>
      </c>
      <c r="E8745" s="94">
        <v>1.29</v>
      </c>
      <c r="F8745" s="986">
        <v>0.6259259259259259</v>
      </c>
      <c r="G8745" s="94" t="s">
        <v>453</v>
      </c>
      <c r="H8745" s="987">
        <v>10.06</v>
      </c>
      <c r="I8745" s="988" t="s">
        <v>3145</v>
      </c>
      <c r="J8745" s="67">
        <f t="shared" si="504"/>
        <v>2569.94</v>
      </c>
      <c r="L8745" s="70"/>
      <c r="M8745" s="934"/>
    </row>
    <row r="8746" ht="12.75" hidden="1" customHeight="1" outlineLevel="1">
      <c r="A8746" s="202">
        <v>42417.0</v>
      </c>
      <c r="B8746" s="985" t="s">
        <v>347</v>
      </c>
      <c r="C8746" s="94" t="s">
        <v>1483</v>
      </c>
      <c r="D8746" s="286">
        <v>2000.0</v>
      </c>
      <c r="E8746" s="94">
        <v>1.28</v>
      </c>
      <c r="F8746" s="986">
        <v>0.6261342592592593</v>
      </c>
      <c r="G8746" s="94" t="s">
        <v>453</v>
      </c>
      <c r="H8746" s="987">
        <v>10.06</v>
      </c>
      <c r="I8746" s="988" t="s">
        <v>3145</v>
      </c>
      <c r="J8746" s="67">
        <f t="shared" si="504"/>
        <v>2549.94</v>
      </c>
      <c r="L8746" s="70"/>
      <c r="M8746" s="934"/>
    </row>
    <row r="8747" ht="12.75" hidden="1" customHeight="1" outlineLevel="1">
      <c r="A8747" s="202">
        <v>42417.0</v>
      </c>
      <c r="B8747" s="985" t="s">
        <v>347</v>
      </c>
      <c r="C8747" s="94" t="s">
        <v>1092</v>
      </c>
      <c r="D8747" s="286">
        <v>2000.0</v>
      </c>
      <c r="E8747" s="94">
        <v>2.95</v>
      </c>
      <c r="F8747" s="986">
        <v>0.6271527777777778</v>
      </c>
      <c r="G8747" s="94" t="s">
        <v>453</v>
      </c>
      <c r="H8747" s="987">
        <v>10.13</v>
      </c>
      <c r="I8747" s="988" t="s">
        <v>3145</v>
      </c>
      <c r="J8747" s="67">
        <f t="shared" si="504"/>
        <v>5889.87</v>
      </c>
      <c r="L8747" s="70"/>
      <c r="M8747" s="934"/>
    </row>
    <row r="8748" ht="12.75" hidden="1" customHeight="1" outlineLevel="1">
      <c r="A8748" s="202">
        <v>42417.0</v>
      </c>
      <c r="B8748" s="985" t="s">
        <v>347</v>
      </c>
      <c r="C8748" s="94" t="s">
        <v>604</v>
      </c>
      <c r="D8748" s="286">
        <v>3000.0</v>
      </c>
      <c r="E8748" s="94">
        <v>1.29</v>
      </c>
      <c r="F8748" s="986">
        <v>0.6349537037037037</v>
      </c>
      <c r="G8748" s="94" t="s">
        <v>453</v>
      </c>
      <c r="H8748" s="987">
        <v>15.08</v>
      </c>
      <c r="I8748" s="988" t="s">
        <v>3145</v>
      </c>
      <c r="J8748" s="67">
        <f t="shared" si="504"/>
        <v>3854.92</v>
      </c>
      <c r="L8748" s="70"/>
      <c r="M8748" s="934"/>
    </row>
    <row r="8749" ht="12.75" hidden="1" customHeight="1" outlineLevel="1">
      <c r="A8749" s="202">
        <v>42417.0</v>
      </c>
      <c r="B8749" s="985" t="s">
        <v>347</v>
      </c>
      <c r="C8749" s="94" t="s">
        <v>1483</v>
      </c>
      <c r="D8749" s="286">
        <v>3000.0</v>
      </c>
      <c r="E8749" s="94">
        <v>1.29</v>
      </c>
      <c r="F8749" s="986">
        <v>0.6350462962962963</v>
      </c>
      <c r="G8749" s="94" t="s">
        <v>453</v>
      </c>
      <c r="H8749" s="987">
        <v>15.08</v>
      </c>
      <c r="I8749" s="988" t="s">
        <v>3145</v>
      </c>
      <c r="J8749" s="67">
        <f t="shared" si="504"/>
        <v>3854.92</v>
      </c>
      <c r="L8749" s="70"/>
      <c r="M8749" s="934"/>
    </row>
    <row r="8750" ht="12.75" hidden="1" customHeight="1" outlineLevel="1">
      <c r="A8750" s="202">
        <v>42417.0</v>
      </c>
      <c r="B8750" s="985" t="s">
        <v>347</v>
      </c>
      <c r="C8750" s="94" t="s">
        <v>1485</v>
      </c>
      <c r="D8750" s="286">
        <v>3000.0</v>
      </c>
      <c r="E8750" s="94">
        <v>2.95</v>
      </c>
      <c r="F8750" s="986">
        <v>0.6355787037037037</v>
      </c>
      <c r="G8750" s="94" t="s">
        <v>453</v>
      </c>
      <c r="H8750" s="987">
        <v>15.19</v>
      </c>
      <c r="I8750" s="988" t="s">
        <v>3145</v>
      </c>
      <c r="J8750" s="67">
        <f t="shared" si="504"/>
        <v>8834.81</v>
      </c>
      <c r="L8750" s="70"/>
      <c r="M8750" s="934"/>
    </row>
    <row r="8751" ht="12.75" hidden="1" customHeight="1" outlineLevel="1">
      <c r="A8751" s="202">
        <v>42417.0</v>
      </c>
      <c r="B8751" s="985" t="s">
        <v>347</v>
      </c>
      <c r="C8751" s="94" t="s">
        <v>1092</v>
      </c>
      <c r="D8751" s="286">
        <v>3000.0</v>
      </c>
      <c r="E8751" s="94">
        <v>2.94</v>
      </c>
      <c r="F8751" s="986">
        <v>0.636099537037037</v>
      </c>
      <c r="G8751" s="94" t="s">
        <v>453</v>
      </c>
      <c r="H8751" s="987">
        <v>15.19</v>
      </c>
      <c r="I8751" s="988" t="s">
        <v>3145</v>
      </c>
      <c r="J8751" s="67">
        <f t="shared" si="504"/>
        <v>8804.81</v>
      </c>
      <c r="L8751" s="70"/>
      <c r="M8751" s="934"/>
    </row>
    <row r="8752" ht="12.75" hidden="1" customHeight="1" outlineLevel="1">
      <c r="A8752" s="202">
        <v>42418.0</v>
      </c>
      <c r="B8752" s="985" t="s">
        <v>347</v>
      </c>
      <c r="C8752" s="94" t="s">
        <v>2090</v>
      </c>
      <c r="D8752" s="286">
        <v>3500.0</v>
      </c>
      <c r="E8752" s="94">
        <v>5.915</v>
      </c>
      <c r="F8752" s="986">
        <v>0.4022337962962963</v>
      </c>
      <c r="G8752" s="94" t="s">
        <v>453</v>
      </c>
      <c r="H8752" s="987">
        <v>15.95</v>
      </c>
      <c r="I8752" s="988" t="s">
        <v>3145</v>
      </c>
      <c r="J8752" s="67">
        <f t="shared" si="504"/>
        <v>20686.55</v>
      </c>
      <c r="L8752" s="70"/>
      <c r="M8752" s="934"/>
    </row>
    <row r="8753" ht="12.75" hidden="1" customHeight="1" outlineLevel="1">
      <c r="A8753" s="202">
        <v>42418.0</v>
      </c>
      <c r="B8753" s="985" t="s">
        <v>347</v>
      </c>
      <c r="C8753" s="94" t="s">
        <v>2210</v>
      </c>
      <c r="D8753" s="94">
        <v>200.0</v>
      </c>
      <c r="E8753" s="94">
        <v>74.3</v>
      </c>
      <c r="F8753" s="986">
        <v>0.4026388888888889</v>
      </c>
      <c r="G8753" s="94" t="s">
        <v>453</v>
      </c>
      <c r="H8753" s="987">
        <v>1.32</v>
      </c>
      <c r="I8753" s="988" t="s">
        <v>3145</v>
      </c>
      <c r="J8753" s="67">
        <f t="shared" si="504"/>
        <v>14858.68</v>
      </c>
      <c r="L8753" s="70"/>
      <c r="M8753" s="934"/>
    </row>
    <row r="8754" ht="12.75" hidden="1" customHeight="1" outlineLevel="1">
      <c r="A8754" s="202">
        <v>42418.0</v>
      </c>
      <c r="B8754" s="985" t="s">
        <v>347</v>
      </c>
      <c r="C8754" s="94" t="s">
        <v>3024</v>
      </c>
      <c r="D8754" s="94">
        <v>950.0</v>
      </c>
      <c r="E8754" s="94">
        <v>15.533</v>
      </c>
      <c r="F8754" s="986">
        <v>0.4029976851851852</v>
      </c>
      <c r="G8754" s="94" t="s">
        <v>453</v>
      </c>
      <c r="H8754" s="987">
        <v>4.22</v>
      </c>
      <c r="I8754" s="988" t="s">
        <v>3145</v>
      </c>
      <c r="J8754" s="67">
        <f t="shared" si="504"/>
        <v>14752.13</v>
      </c>
      <c r="L8754" s="70"/>
      <c r="M8754" s="934"/>
    </row>
    <row r="8755" ht="12.75" hidden="1" customHeight="1" outlineLevel="1">
      <c r="A8755" s="202">
        <v>42418.0</v>
      </c>
      <c r="B8755" s="985" t="s">
        <v>343</v>
      </c>
      <c r="C8755" s="94" t="s">
        <v>1249</v>
      </c>
      <c r="D8755" s="94">
        <v>175.0</v>
      </c>
      <c r="E8755" s="94">
        <v>87.256</v>
      </c>
      <c r="F8755" s="986">
        <v>0.40400462962962963</v>
      </c>
      <c r="G8755" s="94" t="s">
        <v>453</v>
      </c>
      <c r="H8755" s="987">
        <v>1.0</v>
      </c>
      <c r="I8755" s="988" t="s">
        <v>3145</v>
      </c>
      <c r="J8755" s="67">
        <f t="shared" si="504"/>
        <v>-15270.8</v>
      </c>
      <c r="L8755" s="70"/>
      <c r="M8755" s="934"/>
    </row>
    <row r="8756" ht="12.75" hidden="1" customHeight="1" outlineLevel="1">
      <c r="A8756" s="202">
        <v>42418.0</v>
      </c>
      <c r="B8756" s="985" t="s">
        <v>343</v>
      </c>
      <c r="C8756" s="94" t="s">
        <v>2412</v>
      </c>
      <c r="D8756" s="94">
        <v>100.0</v>
      </c>
      <c r="E8756" s="94">
        <v>61.59</v>
      </c>
      <c r="F8756" s="986">
        <v>0.40425925925925926</v>
      </c>
      <c r="G8756" s="94" t="s">
        <v>453</v>
      </c>
      <c r="H8756" s="987">
        <v>1.0</v>
      </c>
      <c r="I8756" s="988" t="s">
        <v>3145</v>
      </c>
      <c r="J8756" s="67">
        <f t="shared" si="504"/>
        <v>-6160</v>
      </c>
      <c r="L8756" s="70"/>
      <c r="M8756" s="934"/>
    </row>
    <row r="8757" ht="12.75" hidden="1" customHeight="1" outlineLevel="1">
      <c r="A8757" s="202">
        <v>42418.0</v>
      </c>
      <c r="B8757" s="985" t="s">
        <v>343</v>
      </c>
      <c r="C8757" s="94" t="s">
        <v>1244</v>
      </c>
      <c r="D8757" s="94">
        <v>200.0</v>
      </c>
      <c r="E8757" s="94">
        <v>89.62</v>
      </c>
      <c r="F8757" s="986">
        <v>0.4045138888888889</v>
      </c>
      <c r="G8757" s="94" t="s">
        <v>453</v>
      </c>
      <c r="H8757" s="987">
        <v>1.0</v>
      </c>
      <c r="I8757" s="988" t="s">
        <v>3145</v>
      </c>
      <c r="J8757" s="67">
        <f t="shared" si="504"/>
        <v>-17925</v>
      </c>
      <c r="L8757" s="70"/>
      <c r="M8757" s="934"/>
    </row>
    <row r="8758" ht="12.75" hidden="1" customHeight="1" outlineLevel="1">
      <c r="A8758" s="202">
        <v>42418.0</v>
      </c>
      <c r="B8758" s="985" t="s">
        <v>343</v>
      </c>
      <c r="C8758" s="94" t="s">
        <v>1465</v>
      </c>
      <c r="D8758" s="94">
        <v>60.0</v>
      </c>
      <c r="E8758" s="94">
        <v>264.02</v>
      </c>
      <c r="F8758" s="986">
        <v>0.404849537037037</v>
      </c>
      <c r="G8758" s="94" t="s">
        <v>453</v>
      </c>
      <c r="H8758" s="987">
        <v>1.0</v>
      </c>
      <c r="I8758" s="988" t="s">
        <v>3145</v>
      </c>
      <c r="J8758" s="67">
        <f t="shared" si="504"/>
        <v>-15842.2</v>
      </c>
      <c r="L8758" s="70"/>
      <c r="M8758" s="934"/>
    </row>
    <row r="8759" ht="12.75" hidden="1" customHeight="1" outlineLevel="1">
      <c r="A8759" s="202">
        <v>42418.0</v>
      </c>
      <c r="B8759" s="985" t="s">
        <v>347</v>
      </c>
      <c r="C8759" s="94" t="s">
        <v>2009</v>
      </c>
      <c r="D8759" s="94">
        <v>600.0</v>
      </c>
      <c r="E8759" s="94">
        <v>11.96</v>
      </c>
      <c r="F8759" s="986">
        <v>0.43484953703703705</v>
      </c>
      <c r="G8759" s="94" t="s">
        <v>453</v>
      </c>
      <c r="H8759" s="987">
        <v>3.16</v>
      </c>
      <c r="I8759" s="988" t="s">
        <v>3145</v>
      </c>
      <c r="J8759" s="67">
        <f t="shared" si="504"/>
        <v>7172.84</v>
      </c>
      <c r="L8759" s="70"/>
      <c r="M8759" s="934"/>
    </row>
    <row r="8760" ht="12.75" hidden="1" customHeight="1" outlineLevel="1">
      <c r="A8760" s="202">
        <v>42418.0</v>
      </c>
      <c r="B8760" s="985" t="s">
        <v>347</v>
      </c>
      <c r="C8760" s="94" t="s">
        <v>784</v>
      </c>
      <c r="D8760" s="286">
        <v>6500.0</v>
      </c>
      <c r="E8760" s="94">
        <v>2.942</v>
      </c>
      <c r="F8760" s="986">
        <v>0.4365625</v>
      </c>
      <c r="G8760" s="94" t="s">
        <v>453</v>
      </c>
      <c r="H8760" s="987">
        <v>26.92</v>
      </c>
      <c r="I8760" s="988" t="s">
        <v>3145</v>
      </c>
      <c r="J8760" s="67">
        <f t="shared" si="504"/>
        <v>19096.08</v>
      </c>
      <c r="L8760" s="70"/>
      <c r="M8760" s="934"/>
    </row>
    <row r="8761" ht="12.75" hidden="1" customHeight="1" outlineLevel="1">
      <c r="A8761" s="202">
        <v>42418.0</v>
      </c>
      <c r="B8761" s="985" t="s">
        <v>347</v>
      </c>
      <c r="C8761" s="94" t="s">
        <v>2035</v>
      </c>
      <c r="D8761" s="94">
        <v>800.0</v>
      </c>
      <c r="E8761" s="94">
        <v>8.75</v>
      </c>
      <c r="F8761" s="986">
        <v>0.4473958333333333</v>
      </c>
      <c r="G8761" s="94" t="s">
        <v>453</v>
      </c>
      <c r="H8761" s="987">
        <v>3.95</v>
      </c>
      <c r="I8761" s="988" t="s">
        <v>3145</v>
      </c>
      <c r="J8761" s="67">
        <f t="shared" si="504"/>
        <v>6996.05</v>
      </c>
      <c r="L8761" s="70"/>
      <c r="M8761" s="934"/>
    </row>
    <row r="8762" ht="12.75" hidden="1" customHeight="1" outlineLevel="1">
      <c r="A8762" s="202">
        <v>42418.0</v>
      </c>
      <c r="B8762" s="985" t="s">
        <v>347</v>
      </c>
      <c r="C8762" s="94" t="s">
        <v>1947</v>
      </c>
      <c r="D8762" s="94">
        <v>550.0</v>
      </c>
      <c r="E8762" s="94">
        <v>28.242</v>
      </c>
      <c r="F8762" s="986">
        <v>0.4485763888888889</v>
      </c>
      <c r="G8762" s="94" t="s">
        <v>453</v>
      </c>
      <c r="H8762" s="987">
        <v>2.89</v>
      </c>
      <c r="I8762" s="988" t="s">
        <v>3145</v>
      </c>
      <c r="J8762" s="67">
        <f t="shared" si="504"/>
        <v>15530.21</v>
      </c>
      <c r="L8762" s="70"/>
      <c r="M8762" s="934"/>
    </row>
    <row r="8763" ht="12.75" hidden="1" customHeight="1" outlineLevel="1">
      <c r="A8763" s="202">
        <v>42418.0</v>
      </c>
      <c r="B8763" s="985" t="s">
        <v>347</v>
      </c>
      <c r="C8763" s="94" t="s">
        <v>1905</v>
      </c>
      <c r="D8763" s="94">
        <v>900.0</v>
      </c>
      <c r="E8763" s="94">
        <v>15.97</v>
      </c>
      <c r="F8763" s="986">
        <v>0.4541087962962963</v>
      </c>
      <c r="G8763" s="94" t="s">
        <v>453</v>
      </c>
      <c r="H8763" s="987">
        <v>4.81</v>
      </c>
      <c r="I8763" s="988" t="s">
        <v>3145</v>
      </c>
      <c r="J8763" s="67">
        <f t="shared" si="504"/>
        <v>14368.19</v>
      </c>
      <c r="L8763" s="70"/>
      <c r="M8763" s="934"/>
    </row>
    <row r="8764" ht="12.75" hidden="1" customHeight="1" outlineLevel="1">
      <c r="A8764" s="202">
        <v>42418.0</v>
      </c>
      <c r="B8764" s="985" t="s">
        <v>347</v>
      </c>
      <c r="C8764" s="94" t="s">
        <v>790</v>
      </c>
      <c r="D8764" s="286">
        <v>2200.0</v>
      </c>
      <c r="E8764" s="94">
        <v>3.31</v>
      </c>
      <c r="F8764" s="986">
        <v>0.4542939814814815</v>
      </c>
      <c r="G8764" s="94" t="s">
        <v>453</v>
      </c>
      <c r="H8764" s="987">
        <v>8.96</v>
      </c>
      <c r="I8764" s="988" t="s">
        <v>3145</v>
      </c>
      <c r="J8764" s="67">
        <f t="shared" si="504"/>
        <v>7273.04</v>
      </c>
      <c r="L8764" s="70"/>
      <c r="M8764" s="934"/>
    </row>
    <row r="8765" ht="12.75" hidden="1" customHeight="1" outlineLevel="1">
      <c r="A8765" s="202">
        <v>42418.0</v>
      </c>
      <c r="B8765" s="985" t="s">
        <v>347</v>
      </c>
      <c r="C8765" s="94" t="s">
        <v>1882</v>
      </c>
      <c r="D8765" s="286">
        <v>2000.0</v>
      </c>
      <c r="E8765" s="94">
        <v>3.651</v>
      </c>
      <c r="F8765" s="986">
        <v>0.45480324074074074</v>
      </c>
      <c r="G8765" s="94" t="s">
        <v>453</v>
      </c>
      <c r="H8765" s="987">
        <v>8.16</v>
      </c>
      <c r="I8765" s="988" t="s">
        <v>3145</v>
      </c>
      <c r="J8765" s="67">
        <f t="shared" si="504"/>
        <v>7293.84</v>
      </c>
      <c r="L8765" s="70"/>
      <c r="M8765" s="934"/>
    </row>
    <row r="8766" ht="12.75" hidden="1" customHeight="1" outlineLevel="1">
      <c r="A8766" s="202">
        <v>42418.0</v>
      </c>
      <c r="B8766" s="985" t="s">
        <v>347</v>
      </c>
      <c r="C8766" s="94" t="s">
        <v>1893</v>
      </c>
      <c r="D8766" s="286">
        <v>2200.0</v>
      </c>
      <c r="E8766" s="94">
        <v>6.89</v>
      </c>
      <c r="F8766" s="986">
        <v>0.45753472222222225</v>
      </c>
      <c r="G8766" s="94" t="s">
        <v>453</v>
      </c>
      <c r="H8766" s="987">
        <v>9.33</v>
      </c>
      <c r="I8766" s="988" t="s">
        <v>3145</v>
      </c>
      <c r="J8766" s="67">
        <f t="shared" si="504"/>
        <v>15148.67</v>
      </c>
      <c r="L8766" s="70"/>
      <c r="M8766" s="934"/>
    </row>
    <row r="8767" ht="12.75" hidden="1" customHeight="1" outlineLevel="1">
      <c r="A8767" s="202">
        <v>42418.0</v>
      </c>
      <c r="B8767" s="985" t="s">
        <v>347</v>
      </c>
      <c r="C8767" s="94" t="s">
        <v>1633</v>
      </c>
      <c r="D8767" s="286">
        <v>1000.0</v>
      </c>
      <c r="E8767" s="94">
        <v>8.4602</v>
      </c>
      <c r="F8767" s="986">
        <v>0.46068287037037037</v>
      </c>
      <c r="G8767" s="94" t="s">
        <v>453</v>
      </c>
      <c r="H8767" s="987">
        <v>4.18</v>
      </c>
      <c r="I8767" s="988" t="s">
        <v>3145</v>
      </c>
      <c r="J8767" s="67">
        <f t="shared" si="504"/>
        <v>8456.02</v>
      </c>
      <c r="L8767" s="70"/>
      <c r="M8767" s="934"/>
    </row>
    <row r="8768" ht="12.75" hidden="1" customHeight="1" outlineLevel="1">
      <c r="A8768" s="202">
        <v>42418.0</v>
      </c>
      <c r="B8768" s="985" t="s">
        <v>347</v>
      </c>
      <c r="C8768" s="94" t="s">
        <v>1890</v>
      </c>
      <c r="D8768" s="286">
        <v>1000.0</v>
      </c>
      <c r="E8768" s="94">
        <v>8.75</v>
      </c>
      <c r="F8768" s="986">
        <v>0.4620023148148148</v>
      </c>
      <c r="G8768" s="94" t="s">
        <v>453</v>
      </c>
      <c r="H8768" s="987">
        <v>5.19</v>
      </c>
      <c r="I8768" s="988" t="s">
        <v>3145</v>
      </c>
      <c r="J8768" s="67">
        <f t="shared" si="504"/>
        <v>8744.81</v>
      </c>
      <c r="L8768" s="70"/>
      <c r="M8768" s="934"/>
    </row>
    <row r="8769" ht="12.75" hidden="1" customHeight="1" outlineLevel="1">
      <c r="A8769" s="202">
        <v>42418.0</v>
      </c>
      <c r="B8769" s="985" t="s">
        <v>347</v>
      </c>
      <c r="C8769" s="94" t="s">
        <v>1902</v>
      </c>
      <c r="D8769" s="286">
        <v>1000.0</v>
      </c>
      <c r="E8769" s="94">
        <v>6.93</v>
      </c>
      <c r="F8769" s="986">
        <v>0.5091319444444444</v>
      </c>
      <c r="G8769" s="94" t="s">
        <v>453</v>
      </c>
      <c r="H8769" s="987">
        <v>4.15</v>
      </c>
      <c r="I8769" s="988" t="s">
        <v>3145</v>
      </c>
      <c r="J8769" s="67">
        <f t="shared" si="504"/>
        <v>6925.85</v>
      </c>
      <c r="L8769" s="70"/>
      <c r="M8769" s="934"/>
    </row>
    <row r="8770" ht="12.75" hidden="1" customHeight="1" outlineLevel="1">
      <c r="A8770" s="202">
        <v>42418.0</v>
      </c>
      <c r="B8770" s="985" t="s">
        <v>343</v>
      </c>
      <c r="C8770" s="94" t="s">
        <v>1357</v>
      </c>
      <c r="D8770" s="94">
        <v>200.0</v>
      </c>
      <c r="E8770" s="94">
        <v>31.728</v>
      </c>
      <c r="F8770" s="986">
        <v>0.567349537037037</v>
      </c>
      <c r="G8770" s="94" t="s">
        <v>453</v>
      </c>
      <c r="H8770" s="987">
        <v>1.0</v>
      </c>
      <c r="I8770" s="988" t="s">
        <v>3145</v>
      </c>
      <c r="J8770" s="67">
        <f t="shared" si="504"/>
        <v>-6346.6</v>
      </c>
      <c r="L8770" s="70"/>
      <c r="M8770" s="934"/>
    </row>
    <row r="8771" ht="12.75" hidden="1" customHeight="1" outlineLevel="1">
      <c r="A8771" s="202">
        <v>42422.0</v>
      </c>
      <c r="B8771" s="985" t="s">
        <v>343</v>
      </c>
      <c r="C8771" s="94" t="s">
        <v>1947</v>
      </c>
      <c r="D8771" s="94">
        <v>250.0</v>
      </c>
      <c r="E8771" s="94">
        <v>30.36</v>
      </c>
      <c r="F8771" s="986">
        <v>0.6660300925925926</v>
      </c>
      <c r="G8771" s="94" t="s">
        <v>453</v>
      </c>
      <c r="H8771" s="987">
        <v>1.0</v>
      </c>
      <c r="I8771" s="988" t="s">
        <v>3145</v>
      </c>
      <c r="J8771" s="67">
        <f t="shared" si="504"/>
        <v>-7591</v>
      </c>
      <c r="L8771" s="70"/>
      <c r="M8771" s="934"/>
    </row>
    <row r="8772" ht="12.75" hidden="1" customHeight="1" outlineLevel="1">
      <c r="A8772" s="202">
        <v>42422.0</v>
      </c>
      <c r="B8772" s="985" t="s">
        <v>343</v>
      </c>
      <c r="C8772" s="94" t="s">
        <v>2090</v>
      </c>
      <c r="D8772" s="286">
        <v>1750.0</v>
      </c>
      <c r="E8772" s="94">
        <v>6.829</v>
      </c>
      <c r="F8772" s="986">
        <v>0.6661111111111111</v>
      </c>
      <c r="G8772" s="94" t="s">
        <v>453</v>
      </c>
      <c r="H8772" s="987">
        <v>7.0</v>
      </c>
      <c r="I8772" s="988" t="s">
        <v>3145</v>
      </c>
      <c r="J8772" s="67">
        <f t="shared" si="504"/>
        <v>-11957.75</v>
      </c>
      <c r="L8772" s="70"/>
      <c r="M8772" s="934"/>
    </row>
    <row r="8773" ht="12.75" hidden="1" customHeight="1" outlineLevel="1">
      <c r="A8773" s="202">
        <v>42422.0</v>
      </c>
      <c r="B8773" s="985" t="s">
        <v>343</v>
      </c>
      <c r="C8773" s="94" t="s">
        <v>790</v>
      </c>
      <c r="D8773" s="286">
        <v>1100.0</v>
      </c>
      <c r="E8773" s="94">
        <v>3.689</v>
      </c>
      <c r="F8773" s="986">
        <v>0.6662152777777778</v>
      </c>
      <c r="G8773" s="94" t="s">
        <v>453</v>
      </c>
      <c r="H8773" s="987">
        <v>4.4</v>
      </c>
      <c r="I8773" s="988" t="s">
        <v>3145</v>
      </c>
      <c r="J8773" s="67">
        <f t="shared" si="504"/>
        <v>-4062.3</v>
      </c>
      <c r="L8773" s="70"/>
      <c r="M8773" s="934"/>
    </row>
    <row r="8774" ht="12.75" hidden="1" customHeight="1" outlineLevel="1">
      <c r="A8774" s="202">
        <v>42422.0</v>
      </c>
      <c r="B8774" s="985" t="s">
        <v>343</v>
      </c>
      <c r="C8774" s="94" t="s">
        <v>784</v>
      </c>
      <c r="D8774" s="286">
        <v>3250.0</v>
      </c>
      <c r="E8774" s="94">
        <v>3.339</v>
      </c>
      <c r="F8774" s="986">
        <v>0.6663078703703704</v>
      </c>
      <c r="G8774" s="94" t="s">
        <v>453</v>
      </c>
      <c r="H8774" s="987">
        <v>13.0</v>
      </c>
      <c r="I8774" s="988" t="s">
        <v>3145</v>
      </c>
      <c r="J8774" s="67">
        <f t="shared" si="504"/>
        <v>-10864.75</v>
      </c>
      <c r="L8774" s="70"/>
      <c r="M8774" s="934"/>
    </row>
    <row r="8775" ht="12.75" hidden="1" customHeight="1" outlineLevel="1">
      <c r="A8775" s="202">
        <v>42422.0</v>
      </c>
      <c r="B8775" s="985" t="s">
        <v>343</v>
      </c>
      <c r="C8775" s="94" t="s">
        <v>1893</v>
      </c>
      <c r="D8775" s="286">
        <v>1100.0</v>
      </c>
      <c r="E8775" s="94">
        <v>7.929</v>
      </c>
      <c r="F8775" s="986">
        <v>0.6664467592592592</v>
      </c>
      <c r="G8775" s="94" t="s">
        <v>453</v>
      </c>
      <c r="H8775" s="987">
        <v>4.4</v>
      </c>
      <c r="I8775" s="988" t="s">
        <v>3145</v>
      </c>
      <c r="J8775" s="67">
        <f t="shared" si="504"/>
        <v>-8726.3</v>
      </c>
      <c r="L8775" s="70"/>
      <c r="M8775" s="934"/>
    </row>
    <row r="8776" ht="12.75" hidden="1" customHeight="1" outlineLevel="1">
      <c r="A8776" s="202">
        <v>42422.0</v>
      </c>
      <c r="B8776" s="985" t="s">
        <v>343</v>
      </c>
      <c r="C8776" s="94" t="s">
        <v>1633</v>
      </c>
      <c r="D8776" s="94">
        <v>500.0</v>
      </c>
      <c r="E8776" s="94">
        <v>8.709</v>
      </c>
      <c r="F8776" s="986">
        <v>0.6665509259259259</v>
      </c>
      <c r="G8776" s="94" t="s">
        <v>453</v>
      </c>
      <c r="H8776" s="987">
        <v>2.0</v>
      </c>
      <c r="I8776" s="988" t="s">
        <v>3145</v>
      </c>
      <c r="J8776" s="67">
        <f t="shared" si="504"/>
        <v>-4356.5</v>
      </c>
      <c r="L8776" s="70"/>
      <c r="M8776" s="934"/>
    </row>
    <row r="8777" ht="12.75" hidden="1" customHeight="1" outlineLevel="1">
      <c r="A8777" s="202">
        <v>42422.0</v>
      </c>
      <c r="B8777" s="985" t="s">
        <v>343</v>
      </c>
      <c r="C8777" s="94" t="s">
        <v>1890</v>
      </c>
      <c r="D8777" s="94">
        <v>500.0</v>
      </c>
      <c r="E8777" s="94">
        <v>8.737</v>
      </c>
      <c r="F8777" s="986">
        <v>0.6666319444444444</v>
      </c>
      <c r="G8777" s="94" t="s">
        <v>453</v>
      </c>
      <c r="H8777" s="987">
        <v>2.5</v>
      </c>
      <c r="I8777" s="988" t="s">
        <v>3145</v>
      </c>
      <c r="J8777" s="67">
        <f t="shared" si="504"/>
        <v>-4371</v>
      </c>
      <c r="L8777" s="70"/>
      <c r="M8777" s="934"/>
    </row>
    <row r="8778" ht="12.75" hidden="1" customHeight="1" outlineLevel="1">
      <c r="A8778" s="202">
        <v>42422.0</v>
      </c>
      <c r="B8778" s="985" t="s">
        <v>343</v>
      </c>
      <c r="C8778" s="94" t="s">
        <v>1905</v>
      </c>
      <c r="D8778" s="94">
        <v>450.0</v>
      </c>
      <c r="E8778" s="94">
        <v>16.95</v>
      </c>
      <c r="F8778" s="986">
        <v>0.6998148148148148</v>
      </c>
      <c r="G8778" s="94" t="s">
        <v>453</v>
      </c>
      <c r="H8778" s="987">
        <v>2.25</v>
      </c>
      <c r="I8778" s="988" t="s">
        <v>3145</v>
      </c>
      <c r="J8778" s="67">
        <f t="shared" si="504"/>
        <v>-7629.75</v>
      </c>
      <c r="K8778" s="994"/>
      <c r="L8778" s="70"/>
      <c r="M8778" s="934"/>
    </row>
    <row r="8779" ht="12.75" hidden="1" customHeight="1" outlineLevel="1">
      <c r="A8779" s="202">
        <v>42422.0</v>
      </c>
      <c r="B8779" s="985" t="s">
        <v>343</v>
      </c>
      <c r="C8779" s="94" t="s">
        <v>2009</v>
      </c>
      <c r="D8779" s="94">
        <v>300.0</v>
      </c>
      <c r="E8779" s="94">
        <v>12.12</v>
      </c>
      <c r="F8779" s="986">
        <v>0.7024768518518518</v>
      </c>
      <c r="G8779" s="94" t="s">
        <v>453</v>
      </c>
      <c r="H8779" s="987">
        <v>1.5</v>
      </c>
      <c r="I8779" s="988" t="s">
        <v>3145</v>
      </c>
      <c r="J8779" s="67">
        <f t="shared" si="504"/>
        <v>-3637.5</v>
      </c>
      <c r="K8779" s="994"/>
      <c r="L8779" s="70"/>
      <c r="M8779" s="934"/>
    </row>
    <row r="8780" ht="12.75" hidden="1" customHeight="1" outlineLevel="1">
      <c r="A8780" s="202">
        <v>42422.0</v>
      </c>
      <c r="B8780" s="985" t="s">
        <v>343</v>
      </c>
      <c r="C8780" s="94" t="s">
        <v>1902</v>
      </c>
      <c r="D8780" s="94">
        <v>500.0</v>
      </c>
      <c r="E8780" s="94">
        <v>7.14</v>
      </c>
      <c r="F8780" s="986">
        <v>0.7035069444444444</v>
      </c>
      <c r="G8780" s="94" t="s">
        <v>453</v>
      </c>
      <c r="H8780" s="987">
        <v>2.5</v>
      </c>
      <c r="I8780" s="988" t="s">
        <v>3145</v>
      </c>
      <c r="J8780" s="67">
        <f t="shared" si="504"/>
        <v>-3572.5</v>
      </c>
      <c r="K8780" s="994"/>
      <c r="L8780" s="70"/>
      <c r="M8780" s="934"/>
    </row>
    <row r="8781" ht="12.75" hidden="1" customHeight="1" outlineLevel="1">
      <c r="A8781" s="202">
        <v>42422.0</v>
      </c>
      <c r="B8781" s="985" t="s">
        <v>343</v>
      </c>
      <c r="C8781" s="94" t="s">
        <v>2035</v>
      </c>
      <c r="D8781" s="94">
        <v>400.0</v>
      </c>
      <c r="E8781" s="94">
        <v>8.83</v>
      </c>
      <c r="F8781" s="986">
        <v>0.7035300925925926</v>
      </c>
      <c r="G8781" s="94" t="s">
        <v>453</v>
      </c>
      <c r="H8781" s="987">
        <v>2.0</v>
      </c>
      <c r="I8781" s="988" t="s">
        <v>3145</v>
      </c>
      <c r="J8781" s="67">
        <f t="shared" si="504"/>
        <v>-3534</v>
      </c>
      <c r="K8781" s="994"/>
      <c r="L8781" s="70"/>
      <c r="M8781" s="934"/>
    </row>
    <row r="8782" ht="12.75" hidden="1" customHeight="1" outlineLevel="1">
      <c r="A8782" s="202">
        <v>42422.0</v>
      </c>
      <c r="B8782" s="985" t="s">
        <v>343</v>
      </c>
      <c r="C8782" s="94" t="s">
        <v>1882</v>
      </c>
      <c r="D8782" s="286">
        <v>1000.0</v>
      </c>
      <c r="E8782" s="94">
        <v>3.27</v>
      </c>
      <c r="F8782" s="986">
        <v>0.7052199074074074</v>
      </c>
      <c r="G8782" s="94" t="s">
        <v>453</v>
      </c>
      <c r="H8782" s="987">
        <v>5.0</v>
      </c>
      <c r="I8782" s="988" t="s">
        <v>3145</v>
      </c>
      <c r="J8782" s="67">
        <f t="shared" si="504"/>
        <v>-3275</v>
      </c>
      <c r="K8782" s="994"/>
      <c r="L8782" s="70"/>
      <c r="M8782" s="934"/>
    </row>
    <row r="8783" ht="12.75" hidden="1" customHeight="1" outlineLevel="1">
      <c r="A8783" s="990">
        <v>42422.0</v>
      </c>
      <c r="B8783" s="992"/>
      <c r="C8783" s="32" t="s">
        <v>339</v>
      </c>
      <c r="D8783" s="1"/>
      <c r="F8783" s="1"/>
      <c r="G8783" s="1"/>
      <c r="H8783" s="68"/>
      <c r="I8783" s="76"/>
      <c r="K8783" s="994" t="s">
        <v>3328</v>
      </c>
      <c r="L8783" s="934"/>
      <c r="M8783" s="934"/>
    </row>
    <row r="8784" ht="12.75" hidden="1" customHeight="1" outlineLevel="1">
      <c r="A8784" s="990">
        <v>42422.0</v>
      </c>
      <c r="B8784" s="992"/>
      <c r="C8784" s="32" t="s">
        <v>429</v>
      </c>
      <c r="D8784" s="1"/>
      <c r="F8784" s="1"/>
      <c r="G8784" s="1"/>
      <c r="H8784" s="68"/>
      <c r="I8784" s="76"/>
      <c r="K8784" s="9" t="s">
        <v>3187</v>
      </c>
      <c r="L8784" s="934"/>
      <c r="M8784" s="934"/>
    </row>
    <row r="8785" ht="12.75" hidden="1" customHeight="1" outlineLevel="1">
      <c r="A8785" s="990">
        <v>42422.0</v>
      </c>
      <c r="B8785" s="992"/>
      <c r="C8785" s="32" t="s">
        <v>431</v>
      </c>
      <c r="D8785" s="1"/>
      <c r="F8785" s="1"/>
      <c r="G8785" s="1"/>
      <c r="H8785" s="68"/>
      <c r="I8785" s="76"/>
      <c r="K8785" s="7" t="s">
        <v>1126</v>
      </c>
      <c r="L8785" s="934"/>
      <c r="M8785" s="934"/>
    </row>
    <row r="8786" ht="12.75" hidden="1" customHeight="1" outlineLevel="1">
      <c r="A8786" s="990">
        <v>42422.0</v>
      </c>
      <c r="B8786" s="992"/>
      <c r="C8786" s="32" t="s">
        <v>433</v>
      </c>
      <c r="D8786" s="1"/>
      <c r="F8786" s="1"/>
      <c r="G8786" s="1"/>
      <c r="H8786" s="68"/>
      <c r="I8786" s="76"/>
      <c r="K8786" s="7" t="s">
        <v>1103</v>
      </c>
      <c r="L8786" s="934"/>
      <c r="M8786" s="934"/>
    </row>
    <row r="8787" ht="12.75" hidden="1" customHeight="1" outlineLevel="1">
      <c r="A8787" s="990">
        <v>42422.0</v>
      </c>
      <c r="B8787" s="992"/>
      <c r="C8787" s="32" t="s">
        <v>435</v>
      </c>
      <c r="D8787" s="1"/>
      <c r="F8787" s="1"/>
      <c r="G8787" s="1"/>
      <c r="H8787" s="68"/>
      <c r="I8787" s="76"/>
      <c r="K8787" s="9" t="s">
        <v>3301</v>
      </c>
      <c r="L8787" s="934"/>
      <c r="M8787" s="934"/>
    </row>
    <row r="8788" ht="12.75" hidden="1" customHeight="1" outlineLevel="1">
      <c r="A8788" s="202">
        <v>42423.0</v>
      </c>
      <c r="B8788" s="985" t="s">
        <v>343</v>
      </c>
      <c r="C8788" s="94" t="s">
        <v>3024</v>
      </c>
      <c r="D8788" s="94">
        <v>450.0</v>
      </c>
      <c r="E8788" s="94">
        <v>16.268</v>
      </c>
      <c r="F8788" s="986">
        <v>0.39998842592592593</v>
      </c>
      <c r="G8788" s="94" t="s">
        <v>453</v>
      </c>
      <c r="H8788" s="987">
        <v>2.0</v>
      </c>
      <c r="I8788" s="988" t="s">
        <v>3145</v>
      </c>
      <c r="J8788" s="67">
        <f t="shared" ref="J8788:J8789" si="505">IF(B8788="SLD",D8788*E8788,-D8788*E8788)-H8788</f>
        <v>-7322.6</v>
      </c>
      <c r="L8788" s="70"/>
      <c r="M8788" s="934"/>
    </row>
    <row r="8789" ht="12.75" hidden="1" customHeight="1" outlineLevel="1">
      <c r="A8789" s="202">
        <v>42423.0</v>
      </c>
      <c r="B8789" s="985" t="s">
        <v>343</v>
      </c>
      <c r="C8789" s="94" t="s">
        <v>2210</v>
      </c>
      <c r="D8789" s="94">
        <v>100.0</v>
      </c>
      <c r="E8789" s="94">
        <v>78.98</v>
      </c>
      <c r="F8789" s="986">
        <v>0.40011574074074074</v>
      </c>
      <c r="G8789" s="94" t="s">
        <v>453</v>
      </c>
      <c r="H8789" s="987">
        <v>1.0</v>
      </c>
      <c r="I8789" s="988" t="s">
        <v>3145</v>
      </c>
      <c r="J8789" s="67">
        <f t="shared" si="505"/>
        <v>-7899</v>
      </c>
      <c r="L8789" s="70"/>
      <c r="M8789" s="934"/>
    </row>
    <row r="8790" ht="12.75" hidden="1" customHeight="1" outlineLevel="1">
      <c r="A8790" s="990">
        <v>42423.0</v>
      </c>
      <c r="B8790" s="992"/>
      <c r="C8790" s="32" t="s">
        <v>339</v>
      </c>
      <c r="D8790" s="1"/>
      <c r="F8790" s="1"/>
      <c r="G8790" s="1"/>
      <c r="H8790" s="68"/>
      <c r="I8790" s="76"/>
      <c r="K8790" s="994" t="s">
        <v>3329</v>
      </c>
      <c r="L8790" s="934"/>
      <c r="M8790" s="934"/>
    </row>
    <row r="8791" ht="12.75" hidden="1" customHeight="1" outlineLevel="1">
      <c r="A8791" s="990">
        <v>42423.0</v>
      </c>
      <c r="B8791" s="992"/>
      <c r="C8791" s="32" t="s">
        <v>429</v>
      </c>
      <c r="D8791" s="1"/>
      <c r="F8791" s="1"/>
      <c r="G8791" s="1"/>
      <c r="H8791" s="68"/>
      <c r="I8791" s="76"/>
      <c r="K8791" s="9" t="s">
        <v>3187</v>
      </c>
      <c r="L8791" s="934"/>
      <c r="M8791" s="934"/>
    </row>
    <row r="8792" ht="12.75" hidden="1" customHeight="1" outlineLevel="1">
      <c r="A8792" s="990">
        <v>42423.0</v>
      </c>
      <c r="B8792" s="992"/>
      <c r="C8792" s="32" t="s">
        <v>431</v>
      </c>
      <c r="D8792" s="1"/>
      <c r="F8792" s="1"/>
      <c r="G8792" s="1"/>
      <c r="H8792" s="68"/>
      <c r="I8792" s="76"/>
      <c r="K8792" s="7" t="s">
        <v>1126</v>
      </c>
      <c r="L8792" s="934"/>
      <c r="M8792" s="934"/>
    </row>
    <row r="8793" ht="12.75" hidden="1" customHeight="1" outlineLevel="1">
      <c r="A8793" s="990">
        <v>42423.0</v>
      </c>
      <c r="B8793" s="992"/>
      <c r="C8793" s="32" t="s">
        <v>433</v>
      </c>
      <c r="D8793" s="1"/>
      <c r="F8793" s="1"/>
      <c r="G8793" s="1"/>
      <c r="H8793" s="68"/>
      <c r="I8793" s="76"/>
      <c r="K8793" s="7" t="s">
        <v>1103</v>
      </c>
      <c r="L8793" s="934"/>
      <c r="M8793" s="934"/>
    </row>
    <row r="8794" ht="12.75" hidden="1" customHeight="1" outlineLevel="1">
      <c r="A8794" s="990">
        <v>42423.0</v>
      </c>
      <c r="B8794" s="992"/>
      <c r="C8794" s="32" t="s">
        <v>435</v>
      </c>
      <c r="D8794" s="1"/>
      <c r="F8794" s="1"/>
      <c r="G8794" s="1"/>
      <c r="H8794" s="68"/>
      <c r="I8794" s="76"/>
      <c r="K8794" s="9" t="s">
        <v>3301</v>
      </c>
      <c r="L8794" s="934"/>
      <c r="M8794" s="934"/>
    </row>
    <row r="8795" ht="12.75" hidden="1" customHeight="1" outlineLevel="1">
      <c r="A8795" s="202">
        <v>42425.0</v>
      </c>
      <c r="B8795" s="985" t="s">
        <v>347</v>
      </c>
      <c r="C8795" s="94" t="s">
        <v>2210</v>
      </c>
      <c r="D8795" s="94">
        <v>100.0</v>
      </c>
      <c r="E8795" s="94">
        <v>79.17</v>
      </c>
      <c r="F8795" s="986">
        <v>0.40152777777777776</v>
      </c>
      <c r="G8795" s="94" t="s">
        <v>453</v>
      </c>
      <c r="H8795" s="987">
        <v>1.17</v>
      </c>
      <c r="I8795" s="988" t="s">
        <v>3145</v>
      </c>
      <c r="J8795" s="67">
        <f t="shared" ref="J8795:J8821" si="506">IF(B8795="SLD",D8795*E8795,-D8795*E8795)-H8795</f>
        <v>7915.83</v>
      </c>
      <c r="L8795" s="70"/>
      <c r="M8795" s="934"/>
    </row>
    <row r="8796" ht="12.75" hidden="1" customHeight="1" outlineLevel="1">
      <c r="A8796" s="202">
        <v>42425.0</v>
      </c>
      <c r="B8796" s="985" t="s">
        <v>347</v>
      </c>
      <c r="C8796" s="94" t="s">
        <v>3024</v>
      </c>
      <c r="D8796" s="94">
        <v>500.0</v>
      </c>
      <c r="E8796" s="94">
        <v>15.78</v>
      </c>
      <c r="F8796" s="986">
        <v>0.4017361111111111</v>
      </c>
      <c r="G8796" s="94" t="s">
        <v>453</v>
      </c>
      <c r="H8796" s="987">
        <v>2.17</v>
      </c>
      <c r="I8796" s="988" t="s">
        <v>3145</v>
      </c>
      <c r="J8796" s="67">
        <f t="shared" si="506"/>
        <v>7887.83</v>
      </c>
      <c r="L8796" s="70"/>
      <c r="M8796" s="934"/>
    </row>
    <row r="8797" ht="12.75" hidden="1" customHeight="1" outlineLevel="1">
      <c r="A8797" s="202">
        <v>42425.0</v>
      </c>
      <c r="B8797" s="985" t="s">
        <v>347</v>
      </c>
      <c r="C8797" s="94" t="s">
        <v>1947</v>
      </c>
      <c r="D8797" s="94">
        <v>300.0</v>
      </c>
      <c r="E8797" s="94">
        <v>33.5165</v>
      </c>
      <c r="F8797" s="986">
        <v>0.4020949074074074</v>
      </c>
      <c r="G8797" s="94" t="s">
        <v>453</v>
      </c>
      <c r="H8797" s="987">
        <v>1.42</v>
      </c>
      <c r="I8797" s="988" t="s">
        <v>3145</v>
      </c>
      <c r="J8797" s="67">
        <f t="shared" si="506"/>
        <v>10053.53</v>
      </c>
      <c r="L8797" s="70"/>
      <c r="M8797" s="934"/>
    </row>
    <row r="8798" ht="12.75" hidden="1" customHeight="1" outlineLevel="1">
      <c r="A8798" s="202">
        <v>42425.0</v>
      </c>
      <c r="B8798" s="985" t="s">
        <v>347</v>
      </c>
      <c r="C8798" s="94" t="s">
        <v>1893</v>
      </c>
      <c r="D8798" s="286">
        <v>1100.0</v>
      </c>
      <c r="E8798" s="94">
        <v>7.111</v>
      </c>
      <c r="F8798" s="986">
        <v>0.40447916666666667</v>
      </c>
      <c r="G8798" s="94" t="s">
        <v>453</v>
      </c>
      <c r="H8798" s="987">
        <v>4.57</v>
      </c>
      <c r="I8798" s="988" t="s">
        <v>3145</v>
      </c>
      <c r="J8798" s="67">
        <f t="shared" si="506"/>
        <v>7817.53</v>
      </c>
      <c r="L8798" s="70"/>
      <c r="M8798" s="934"/>
    </row>
    <row r="8799" ht="12.75" hidden="1" customHeight="1" outlineLevel="1">
      <c r="A8799" s="202">
        <v>42425.0</v>
      </c>
      <c r="B8799" s="985" t="s">
        <v>347</v>
      </c>
      <c r="C8799" s="94" t="s">
        <v>784</v>
      </c>
      <c r="D8799" s="286">
        <v>3250.0</v>
      </c>
      <c r="E8799" s="94">
        <v>2.88</v>
      </c>
      <c r="F8799" s="986">
        <v>0.40478009259259257</v>
      </c>
      <c r="G8799" s="94" t="s">
        <v>453</v>
      </c>
      <c r="H8799" s="987">
        <v>14.9</v>
      </c>
      <c r="I8799" s="988" t="s">
        <v>3145</v>
      </c>
      <c r="J8799" s="67">
        <f t="shared" si="506"/>
        <v>9345.1</v>
      </c>
      <c r="L8799" s="70"/>
      <c r="M8799" s="934"/>
    </row>
    <row r="8800" ht="12.75" hidden="1" customHeight="1" outlineLevel="1">
      <c r="A8800" s="202">
        <v>42425.0</v>
      </c>
      <c r="B8800" s="985" t="s">
        <v>347</v>
      </c>
      <c r="C8800" s="94" t="s">
        <v>2090</v>
      </c>
      <c r="D8800" s="286">
        <v>1750.0</v>
      </c>
      <c r="E8800" s="94">
        <v>5.534</v>
      </c>
      <c r="F8800" s="986">
        <v>0.4056018518518518</v>
      </c>
      <c r="G8800" s="94" t="s">
        <v>453</v>
      </c>
      <c r="H8800" s="987">
        <v>8.96</v>
      </c>
      <c r="I8800" s="988" t="s">
        <v>3145</v>
      </c>
      <c r="J8800" s="67">
        <f t="shared" si="506"/>
        <v>9675.54</v>
      </c>
      <c r="L8800" s="70"/>
      <c r="M8800" s="934"/>
    </row>
    <row r="8801" ht="12.75" hidden="1" customHeight="1" outlineLevel="1">
      <c r="A8801" s="202">
        <v>42425.0</v>
      </c>
      <c r="B8801" s="985" t="s">
        <v>347</v>
      </c>
      <c r="C8801" s="94" t="s">
        <v>1905</v>
      </c>
      <c r="D8801" s="94">
        <v>450.0</v>
      </c>
      <c r="E8801" s="94">
        <v>16.447</v>
      </c>
      <c r="F8801" s="986">
        <v>0.4061342592592593</v>
      </c>
      <c r="G8801" s="94" t="s">
        <v>453</v>
      </c>
      <c r="H8801" s="987">
        <v>2.26</v>
      </c>
      <c r="I8801" s="988" t="s">
        <v>3145</v>
      </c>
      <c r="J8801" s="67">
        <f t="shared" si="506"/>
        <v>7398.89</v>
      </c>
      <c r="L8801" s="70"/>
      <c r="M8801" s="934"/>
    </row>
    <row r="8802" ht="12.75" hidden="1" customHeight="1" outlineLevel="1">
      <c r="A8802" s="202">
        <v>42425.0</v>
      </c>
      <c r="B8802" s="985" t="s">
        <v>347</v>
      </c>
      <c r="C8802" s="94" t="s">
        <v>1633</v>
      </c>
      <c r="D8802" s="94">
        <v>500.0</v>
      </c>
      <c r="E8802" s="94">
        <v>7.4201</v>
      </c>
      <c r="F8802" s="986">
        <v>0.41934027777777777</v>
      </c>
      <c r="G8802" s="94" t="s">
        <v>453</v>
      </c>
      <c r="H8802" s="987">
        <v>2.08</v>
      </c>
      <c r="I8802" s="988" t="s">
        <v>3145</v>
      </c>
      <c r="J8802" s="67">
        <f t="shared" si="506"/>
        <v>3707.97</v>
      </c>
      <c r="L8802" s="70"/>
      <c r="M8802" s="934"/>
    </row>
    <row r="8803" ht="12.75" hidden="1" customHeight="1" outlineLevel="1">
      <c r="A8803" s="202">
        <v>42425.0</v>
      </c>
      <c r="B8803" s="985" t="s">
        <v>347</v>
      </c>
      <c r="C8803" s="94" t="s">
        <v>1902</v>
      </c>
      <c r="D8803" s="94">
        <v>500.0</v>
      </c>
      <c r="E8803" s="94">
        <v>6.521</v>
      </c>
      <c r="F8803" s="986">
        <v>0.4194675925925926</v>
      </c>
      <c r="G8803" s="94" t="s">
        <v>453</v>
      </c>
      <c r="H8803" s="987">
        <v>2.07</v>
      </c>
      <c r="I8803" s="988" t="s">
        <v>3145</v>
      </c>
      <c r="J8803" s="67">
        <f t="shared" si="506"/>
        <v>3258.43</v>
      </c>
      <c r="L8803" s="70"/>
      <c r="M8803" s="934"/>
    </row>
    <row r="8804" ht="12.75" hidden="1" customHeight="1" outlineLevel="1">
      <c r="A8804" s="202">
        <v>42425.0</v>
      </c>
      <c r="B8804" s="985" t="s">
        <v>347</v>
      </c>
      <c r="C8804" s="94" t="s">
        <v>2009</v>
      </c>
      <c r="D8804" s="94">
        <v>300.0</v>
      </c>
      <c r="E8804" s="94">
        <v>11.391</v>
      </c>
      <c r="F8804" s="986">
        <v>0.41966435185185186</v>
      </c>
      <c r="G8804" s="94" t="s">
        <v>453</v>
      </c>
      <c r="H8804" s="987">
        <v>1.27</v>
      </c>
      <c r="I8804" s="988" t="s">
        <v>3145</v>
      </c>
      <c r="J8804" s="67">
        <f t="shared" si="506"/>
        <v>3416.03</v>
      </c>
      <c r="L8804" s="70"/>
      <c r="M8804" s="934"/>
    </row>
    <row r="8805" ht="12.75" hidden="1" customHeight="1" outlineLevel="1">
      <c r="A8805" s="202">
        <v>42425.0</v>
      </c>
      <c r="B8805" s="985" t="s">
        <v>347</v>
      </c>
      <c r="C8805" s="94" t="s">
        <v>1882</v>
      </c>
      <c r="D8805" s="286">
        <v>1000.0</v>
      </c>
      <c r="E8805" s="94">
        <v>3.6201</v>
      </c>
      <c r="F8805" s="986">
        <v>0.41996527777777776</v>
      </c>
      <c r="G8805" s="94" t="s">
        <v>453</v>
      </c>
      <c r="H8805" s="987">
        <v>4.08</v>
      </c>
      <c r="I8805" s="988" t="s">
        <v>3145</v>
      </c>
      <c r="J8805" s="67">
        <f t="shared" si="506"/>
        <v>3616.02</v>
      </c>
      <c r="L8805" s="70"/>
      <c r="M8805" s="934"/>
    </row>
    <row r="8806" ht="12.75" hidden="1" customHeight="1" outlineLevel="1">
      <c r="A8806" s="202">
        <v>42425.0</v>
      </c>
      <c r="B8806" s="985" t="s">
        <v>347</v>
      </c>
      <c r="C8806" s="94" t="s">
        <v>790</v>
      </c>
      <c r="D8806" s="286">
        <v>1100.0</v>
      </c>
      <c r="E8806" s="94">
        <v>3.531</v>
      </c>
      <c r="F8806" s="986">
        <v>0.4204398148148148</v>
      </c>
      <c r="G8806" s="94" t="s">
        <v>453</v>
      </c>
      <c r="H8806" s="987">
        <v>4.58</v>
      </c>
      <c r="I8806" s="988" t="s">
        <v>3145</v>
      </c>
      <c r="J8806" s="67">
        <f t="shared" si="506"/>
        <v>3879.52</v>
      </c>
      <c r="L8806" s="70"/>
      <c r="M8806" s="934"/>
    </row>
    <row r="8807" ht="12.75" hidden="1" customHeight="1" outlineLevel="1">
      <c r="A8807" s="202">
        <v>42425.0</v>
      </c>
      <c r="B8807" s="985" t="s">
        <v>343</v>
      </c>
      <c r="C8807" s="94" t="s">
        <v>2936</v>
      </c>
      <c r="D8807" s="94">
        <v>200.0</v>
      </c>
      <c r="E8807" s="94">
        <v>39.25</v>
      </c>
      <c r="F8807" s="986">
        <v>0.43072916666666666</v>
      </c>
      <c r="G8807" s="94" t="s">
        <v>453</v>
      </c>
      <c r="H8807" s="987">
        <v>1.0</v>
      </c>
      <c r="I8807" s="988" t="s">
        <v>3145</v>
      </c>
      <c r="J8807" s="67">
        <f t="shared" si="506"/>
        <v>-7851</v>
      </c>
      <c r="L8807" s="70"/>
      <c r="M8807" s="934"/>
    </row>
    <row r="8808" ht="12.75" hidden="1" customHeight="1" outlineLevel="1">
      <c r="A8808" s="202">
        <v>42431.0</v>
      </c>
      <c r="B8808" s="985" t="s">
        <v>343</v>
      </c>
      <c r="C8808" s="94" t="s">
        <v>2090</v>
      </c>
      <c r="D8808" s="286">
        <v>3500.0</v>
      </c>
      <c r="E8808" s="94">
        <v>6.61</v>
      </c>
      <c r="F8808" s="986">
        <v>0.4532175925925926</v>
      </c>
      <c r="G8808" s="94" t="s">
        <v>453</v>
      </c>
      <c r="H8808" s="987">
        <v>17.5</v>
      </c>
      <c r="I8808" s="988" t="s">
        <v>3145</v>
      </c>
      <c r="J8808" s="67">
        <f t="shared" si="506"/>
        <v>-23152.5</v>
      </c>
      <c r="L8808" s="70"/>
      <c r="M8808" s="934"/>
    </row>
    <row r="8809" ht="12.75" hidden="1" customHeight="1" outlineLevel="1">
      <c r="A8809" s="202">
        <v>42431.0</v>
      </c>
      <c r="B8809" s="985" t="s">
        <v>343</v>
      </c>
      <c r="C8809" s="94" t="s">
        <v>784</v>
      </c>
      <c r="D8809" s="286">
        <v>6500.0</v>
      </c>
      <c r="E8809" s="94">
        <v>3.29</v>
      </c>
      <c r="F8809" s="986">
        <v>0.45349537037037035</v>
      </c>
      <c r="G8809" s="94" t="s">
        <v>453</v>
      </c>
      <c r="H8809" s="987">
        <v>26.0</v>
      </c>
      <c r="I8809" s="988" t="s">
        <v>3145</v>
      </c>
      <c r="J8809" s="67">
        <f t="shared" si="506"/>
        <v>-21411</v>
      </c>
      <c r="L8809" s="70"/>
      <c r="M8809" s="934"/>
    </row>
    <row r="8810" ht="12.75" hidden="1" customHeight="1" outlineLevel="1">
      <c r="A8810" s="202">
        <v>42431.0</v>
      </c>
      <c r="B8810" s="985" t="s">
        <v>343</v>
      </c>
      <c r="C8810" s="94" t="s">
        <v>1893</v>
      </c>
      <c r="D8810" s="286">
        <v>2200.0</v>
      </c>
      <c r="E8810" s="94">
        <v>8.17</v>
      </c>
      <c r="F8810" s="986">
        <v>0.4538888888888889</v>
      </c>
      <c r="G8810" s="94" t="s">
        <v>453</v>
      </c>
      <c r="H8810" s="987">
        <v>10.8</v>
      </c>
      <c r="I8810" s="988" t="s">
        <v>3145</v>
      </c>
      <c r="J8810" s="67">
        <f t="shared" si="506"/>
        <v>-17984.8</v>
      </c>
      <c r="L8810" s="70"/>
      <c r="M8810" s="934"/>
    </row>
    <row r="8811" ht="12.75" hidden="1" customHeight="1" outlineLevel="1">
      <c r="A8811" s="202">
        <v>42431.0</v>
      </c>
      <c r="B8811" s="985" t="s">
        <v>343</v>
      </c>
      <c r="C8811" s="94" t="s">
        <v>1947</v>
      </c>
      <c r="D8811" s="94">
        <v>600.0</v>
      </c>
      <c r="E8811" s="94">
        <v>34.393</v>
      </c>
      <c r="F8811" s="986">
        <v>0.4568171296296296</v>
      </c>
      <c r="G8811" s="94" t="s">
        <v>453</v>
      </c>
      <c r="H8811" s="987">
        <v>2.4</v>
      </c>
      <c r="I8811" s="988" t="s">
        <v>3145</v>
      </c>
      <c r="J8811" s="67">
        <f t="shared" si="506"/>
        <v>-20638.2</v>
      </c>
      <c r="L8811" s="70"/>
      <c r="M8811" s="934"/>
    </row>
    <row r="8812" ht="12.75" hidden="1" customHeight="1" outlineLevel="1">
      <c r="A8812" s="202">
        <v>42431.0</v>
      </c>
      <c r="B8812" s="985" t="s">
        <v>343</v>
      </c>
      <c r="C8812" s="94" t="s">
        <v>2210</v>
      </c>
      <c r="D8812" s="94">
        <v>200.0</v>
      </c>
      <c r="E8812" s="94">
        <v>84.58</v>
      </c>
      <c r="F8812" s="986">
        <v>0.457037037037037</v>
      </c>
      <c r="G8812" s="94" t="s">
        <v>453</v>
      </c>
      <c r="H8812" s="987">
        <v>1.0</v>
      </c>
      <c r="I8812" s="988" t="s">
        <v>3145</v>
      </c>
      <c r="J8812" s="67">
        <f t="shared" si="506"/>
        <v>-16917</v>
      </c>
      <c r="L8812" s="70"/>
      <c r="M8812" s="934"/>
    </row>
    <row r="8813" ht="12.75" hidden="1" customHeight="1" outlineLevel="1">
      <c r="A8813" s="202">
        <v>42431.0</v>
      </c>
      <c r="B8813" s="985" t="s">
        <v>343</v>
      </c>
      <c r="C8813" s="94" t="s">
        <v>3024</v>
      </c>
      <c r="D8813" s="286">
        <v>1000.0</v>
      </c>
      <c r="E8813" s="94">
        <v>16.28</v>
      </c>
      <c r="F8813" s="986">
        <v>0.4572453703703704</v>
      </c>
      <c r="G8813" s="94" t="s">
        <v>453</v>
      </c>
      <c r="H8813" s="987">
        <v>5.0</v>
      </c>
      <c r="I8813" s="988" t="s">
        <v>3145</v>
      </c>
      <c r="J8813" s="67">
        <f t="shared" si="506"/>
        <v>-16285</v>
      </c>
      <c r="L8813" s="70"/>
      <c r="M8813" s="934"/>
    </row>
    <row r="8814" ht="12.75" hidden="1" customHeight="1" outlineLevel="1">
      <c r="A8814" s="202">
        <v>42431.0</v>
      </c>
      <c r="B8814" s="985" t="s">
        <v>343</v>
      </c>
      <c r="C8814" s="94" t="s">
        <v>1905</v>
      </c>
      <c r="D8814" s="94">
        <v>900.0</v>
      </c>
      <c r="E8814" s="94">
        <v>17.783</v>
      </c>
      <c r="F8814" s="986">
        <v>0.45916666666666667</v>
      </c>
      <c r="G8814" s="94" t="s">
        <v>453</v>
      </c>
      <c r="H8814" s="987">
        <v>4.5</v>
      </c>
      <c r="I8814" s="988" t="s">
        <v>3145</v>
      </c>
      <c r="J8814" s="67">
        <f t="shared" si="506"/>
        <v>-16009.2</v>
      </c>
      <c r="L8814" s="70"/>
      <c r="M8814" s="934"/>
    </row>
    <row r="8815" ht="12.75" hidden="1" customHeight="1" outlineLevel="1">
      <c r="A8815" s="202">
        <v>42431.0</v>
      </c>
      <c r="B8815" s="985" t="s">
        <v>343</v>
      </c>
      <c r="C8815" s="94" t="s">
        <v>1633</v>
      </c>
      <c r="D8815" s="286">
        <v>1000.0</v>
      </c>
      <c r="E8815" s="94">
        <v>8.989</v>
      </c>
      <c r="F8815" s="986">
        <v>0.45927083333333335</v>
      </c>
      <c r="G8815" s="94" t="s">
        <v>453</v>
      </c>
      <c r="H8815" s="987">
        <v>4.0</v>
      </c>
      <c r="I8815" s="988" t="s">
        <v>3145</v>
      </c>
      <c r="J8815" s="67">
        <f t="shared" si="506"/>
        <v>-8993</v>
      </c>
      <c r="L8815" s="70"/>
      <c r="M8815" s="934"/>
    </row>
    <row r="8816" ht="12.75" hidden="1" customHeight="1" outlineLevel="1">
      <c r="A8816" s="202">
        <v>42431.0</v>
      </c>
      <c r="B8816" s="985" t="s">
        <v>343</v>
      </c>
      <c r="C8816" s="94" t="s">
        <v>790</v>
      </c>
      <c r="D8816" s="286">
        <v>2200.0</v>
      </c>
      <c r="E8816" s="94">
        <v>3.95</v>
      </c>
      <c r="F8816" s="986">
        <v>0.459375</v>
      </c>
      <c r="G8816" s="94" t="s">
        <v>453</v>
      </c>
      <c r="H8816" s="987">
        <v>10.5</v>
      </c>
      <c r="I8816" s="988" t="s">
        <v>3145</v>
      </c>
      <c r="J8816" s="67">
        <f t="shared" si="506"/>
        <v>-8700.5</v>
      </c>
      <c r="L8816" s="70"/>
      <c r="M8816" s="934"/>
    </row>
    <row r="8817" ht="12.75" hidden="1" customHeight="1" outlineLevel="1">
      <c r="A8817" s="202">
        <v>42431.0</v>
      </c>
      <c r="B8817" s="985" t="s">
        <v>343</v>
      </c>
      <c r="C8817" s="94" t="s">
        <v>2009</v>
      </c>
      <c r="D8817" s="94">
        <v>600.0</v>
      </c>
      <c r="E8817" s="94">
        <v>14.152</v>
      </c>
      <c r="F8817" s="986">
        <v>0.4598148148148148</v>
      </c>
      <c r="G8817" s="94" t="s">
        <v>453</v>
      </c>
      <c r="H8817" s="987">
        <v>2.6</v>
      </c>
      <c r="I8817" s="988" t="s">
        <v>3145</v>
      </c>
      <c r="J8817" s="67">
        <f t="shared" si="506"/>
        <v>-8493.8</v>
      </c>
      <c r="L8817" s="70"/>
      <c r="M8817" s="934"/>
    </row>
    <row r="8818" ht="12.75" hidden="1" customHeight="1" outlineLevel="1">
      <c r="A8818" s="202">
        <v>42431.0</v>
      </c>
      <c r="B8818" s="985" t="s">
        <v>343</v>
      </c>
      <c r="C8818" s="94" t="s">
        <v>1902</v>
      </c>
      <c r="D8818" s="286">
        <v>1000.0</v>
      </c>
      <c r="E8818" s="94">
        <v>7.434</v>
      </c>
      <c r="F8818" s="986">
        <v>0.4599884259259259</v>
      </c>
      <c r="G8818" s="94" t="s">
        <v>453</v>
      </c>
      <c r="H8818" s="987">
        <v>4.3</v>
      </c>
      <c r="I8818" s="988" t="s">
        <v>3145</v>
      </c>
      <c r="J8818" s="67">
        <f t="shared" si="506"/>
        <v>-7438.3</v>
      </c>
      <c r="L8818" s="70"/>
      <c r="M8818" s="934"/>
    </row>
    <row r="8819" ht="12.75" hidden="1" customHeight="1" outlineLevel="1">
      <c r="A8819" s="202">
        <v>42431.0</v>
      </c>
      <c r="B8819" s="985" t="s">
        <v>343</v>
      </c>
      <c r="C8819" s="94" t="s">
        <v>1882</v>
      </c>
      <c r="D8819" s="286">
        <v>1000.0</v>
      </c>
      <c r="E8819" s="94">
        <v>4.5299</v>
      </c>
      <c r="F8819" s="986">
        <v>0.46041666666666664</v>
      </c>
      <c r="G8819" s="94" t="s">
        <v>453</v>
      </c>
      <c r="H8819" s="987">
        <v>4.0</v>
      </c>
      <c r="I8819" s="988" t="s">
        <v>3145</v>
      </c>
      <c r="J8819" s="67">
        <f t="shared" si="506"/>
        <v>-4533.9</v>
      </c>
      <c r="L8819" s="70"/>
      <c r="M8819" s="934"/>
    </row>
    <row r="8820" ht="12.75" hidden="1" customHeight="1" outlineLevel="1">
      <c r="A8820" s="202">
        <v>42431.0</v>
      </c>
      <c r="B8820" s="985" t="s">
        <v>343</v>
      </c>
      <c r="C8820" s="94" t="s">
        <v>1890</v>
      </c>
      <c r="D8820" s="94">
        <v>500.0</v>
      </c>
      <c r="E8820" s="94">
        <v>8.858</v>
      </c>
      <c r="F8820" s="986">
        <v>0.46064814814814814</v>
      </c>
      <c r="G8820" s="94" t="s">
        <v>453</v>
      </c>
      <c r="H8820" s="987">
        <v>2.2</v>
      </c>
      <c r="I8820" s="988" t="s">
        <v>3145</v>
      </c>
      <c r="J8820" s="67">
        <f t="shared" si="506"/>
        <v>-4431.2</v>
      </c>
      <c r="L8820" s="70"/>
      <c r="M8820" s="934"/>
    </row>
    <row r="8821" ht="12.75" hidden="1" customHeight="1" outlineLevel="1">
      <c r="A8821" s="202">
        <v>42431.0</v>
      </c>
      <c r="B8821" s="985" t="s">
        <v>343</v>
      </c>
      <c r="C8821" s="94" t="s">
        <v>2035</v>
      </c>
      <c r="D8821" s="94">
        <v>400.0</v>
      </c>
      <c r="E8821" s="94">
        <v>9.099</v>
      </c>
      <c r="F8821" s="986">
        <v>0.4607986111111111</v>
      </c>
      <c r="G8821" s="94" t="s">
        <v>453</v>
      </c>
      <c r="H8821" s="987">
        <v>1.6</v>
      </c>
      <c r="I8821" s="988" t="s">
        <v>3145</v>
      </c>
      <c r="J8821" s="67">
        <f t="shared" si="506"/>
        <v>-3641.2</v>
      </c>
      <c r="L8821" s="70"/>
      <c r="M8821" s="934"/>
    </row>
    <row r="8822" ht="12.75" hidden="1" customHeight="1" outlineLevel="1">
      <c r="A8822" s="990">
        <v>42431.0</v>
      </c>
      <c r="B8822" s="992"/>
      <c r="C8822" s="32" t="s">
        <v>339</v>
      </c>
      <c r="D8822" s="1"/>
      <c r="F8822" s="1"/>
      <c r="G8822" s="1"/>
      <c r="H8822" s="68"/>
      <c r="I8822" s="76"/>
      <c r="K8822" s="994" t="s">
        <v>3330</v>
      </c>
      <c r="L8822" s="934"/>
      <c r="M8822" s="934"/>
    </row>
    <row r="8823" ht="12.75" hidden="1" customHeight="1" outlineLevel="1">
      <c r="A8823" s="990">
        <v>42431.0</v>
      </c>
      <c r="B8823" s="992"/>
      <c r="C8823" s="32" t="s">
        <v>429</v>
      </c>
      <c r="D8823" s="1"/>
      <c r="F8823" s="1"/>
      <c r="G8823" s="1"/>
      <c r="H8823" s="68"/>
      <c r="I8823" s="76"/>
      <c r="K8823" s="9" t="s">
        <v>3187</v>
      </c>
      <c r="L8823" s="934"/>
      <c r="M8823" s="934"/>
    </row>
    <row r="8824" ht="12.75" hidden="1" customHeight="1" outlineLevel="1">
      <c r="A8824" s="990">
        <v>42431.0</v>
      </c>
      <c r="B8824" s="992"/>
      <c r="C8824" s="32" t="s">
        <v>431</v>
      </c>
      <c r="D8824" s="1"/>
      <c r="F8824" s="1"/>
      <c r="G8824" s="1"/>
      <c r="H8824" s="68"/>
      <c r="I8824" s="76"/>
      <c r="K8824" s="7" t="s">
        <v>1126</v>
      </c>
      <c r="L8824" s="934"/>
      <c r="M8824" s="934"/>
    </row>
    <row r="8825" ht="12.75" hidden="1" customHeight="1" outlineLevel="1">
      <c r="A8825" s="990">
        <v>42431.0</v>
      </c>
      <c r="B8825" s="992"/>
      <c r="C8825" s="32" t="s">
        <v>433</v>
      </c>
      <c r="D8825" s="1"/>
      <c r="F8825" s="1"/>
      <c r="G8825" s="1"/>
      <c r="H8825" s="68"/>
      <c r="I8825" s="76"/>
      <c r="K8825" s="7" t="s">
        <v>1103</v>
      </c>
      <c r="L8825" s="934"/>
      <c r="M8825" s="934"/>
    </row>
    <row r="8826" ht="12.75" hidden="1" customHeight="1" outlineLevel="1">
      <c r="A8826" s="990">
        <v>42431.0</v>
      </c>
      <c r="B8826" s="992"/>
      <c r="C8826" s="32" t="s">
        <v>435</v>
      </c>
      <c r="D8826" s="1"/>
      <c r="F8826" s="1"/>
      <c r="G8826" s="1"/>
      <c r="H8826" s="68"/>
      <c r="I8826" s="76"/>
      <c r="K8826" s="9" t="s">
        <v>3331</v>
      </c>
      <c r="L8826" s="934"/>
      <c r="M8826" s="934"/>
    </row>
    <row r="8827" ht="12.75" hidden="1" customHeight="1" outlineLevel="1">
      <c r="A8827" s="202">
        <v>42433.0</v>
      </c>
      <c r="B8827" s="985" t="s">
        <v>347</v>
      </c>
      <c r="C8827" s="94" t="s">
        <v>1902</v>
      </c>
      <c r="D8827" s="286">
        <v>1000.0</v>
      </c>
      <c r="E8827" s="94">
        <v>7.561</v>
      </c>
      <c r="F8827" s="986">
        <v>0.6659606481481481</v>
      </c>
      <c r="G8827" s="94" t="s">
        <v>453</v>
      </c>
      <c r="H8827" s="987">
        <v>4.16</v>
      </c>
      <c r="I8827" s="988" t="s">
        <v>3145</v>
      </c>
      <c r="J8827" s="67">
        <f t="shared" ref="J8827:J8862" si="507">IF(B8827="SLD",D8827*E8827,-D8827*E8827)-H8827</f>
        <v>7556.84</v>
      </c>
      <c r="L8827" s="70"/>
      <c r="M8827" s="934"/>
    </row>
    <row r="8828" ht="12.75" hidden="1" customHeight="1" outlineLevel="1">
      <c r="A8828" s="202">
        <v>42433.0</v>
      </c>
      <c r="B8828" s="985" t="s">
        <v>347</v>
      </c>
      <c r="C8828" s="94" t="s">
        <v>784</v>
      </c>
      <c r="D8828" s="286">
        <v>2000.0</v>
      </c>
      <c r="E8828" s="94">
        <v>4.373</v>
      </c>
      <c r="F8828" s="986">
        <v>0.6661921296296296</v>
      </c>
      <c r="G8828" s="94" t="s">
        <v>453</v>
      </c>
      <c r="H8828" s="987">
        <v>9.29</v>
      </c>
      <c r="I8828" s="988" t="s">
        <v>3145</v>
      </c>
      <c r="J8828" s="67">
        <f t="shared" si="507"/>
        <v>8736.71</v>
      </c>
      <c r="L8828" s="70"/>
      <c r="M8828" s="934"/>
    </row>
    <row r="8829" ht="12.75" hidden="1" customHeight="1" outlineLevel="1">
      <c r="A8829" s="202">
        <v>42433.0</v>
      </c>
      <c r="B8829" s="985" t="s">
        <v>347</v>
      </c>
      <c r="C8829" s="94" t="s">
        <v>2090</v>
      </c>
      <c r="D8829" s="286">
        <v>1500.0</v>
      </c>
      <c r="E8829" s="94">
        <v>7.69</v>
      </c>
      <c r="F8829" s="986">
        <v>0.666400462962963</v>
      </c>
      <c r="G8829" s="94" t="s">
        <v>453</v>
      </c>
      <c r="H8829" s="987">
        <v>6.99</v>
      </c>
      <c r="I8829" s="988" t="s">
        <v>3145</v>
      </c>
      <c r="J8829" s="67">
        <f t="shared" si="507"/>
        <v>11528.01</v>
      </c>
      <c r="L8829" s="70"/>
      <c r="M8829" s="934"/>
    </row>
    <row r="8830" ht="12.75" hidden="1" customHeight="1" outlineLevel="1">
      <c r="A8830" s="202">
        <v>42433.0</v>
      </c>
      <c r="B8830" s="985" t="s">
        <v>347</v>
      </c>
      <c r="C8830" s="94" t="s">
        <v>790</v>
      </c>
      <c r="D8830" s="286">
        <v>1500.0</v>
      </c>
      <c r="E8830" s="94">
        <v>5.25</v>
      </c>
      <c r="F8830" s="986">
        <v>0.6665972222222222</v>
      </c>
      <c r="G8830" s="94" t="s">
        <v>453</v>
      </c>
      <c r="H8830" s="987">
        <v>7.27</v>
      </c>
      <c r="I8830" s="988" t="s">
        <v>3145</v>
      </c>
      <c r="J8830" s="67">
        <f t="shared" si="507"/>
        <v>7867.73</v>
      </c>
      <c r="L8830" s="70"/>
      <c r="M8830" s="934"/>
    </row>
    <row r="8831" ht="12.75" hidden="1" customHeight="1" outlineLevel="1">
      <c r="A8831" s="202">
        <v>42433.0</v>
      </c>
      <c r="B8831" s="985" t="s">
        <v>343</v>
      </c>
      <c r="C8831" s="94" t="s">
        <v>1074</v>
      </c>
      <c r="D8831" s="94">
        <v>50.0</v>
      </c>
      <c r="E8831" s="94">
        <v>125.48</v>
      </c>
      <c r="F8831" s="986">
        <v>0.6885648148148148</v>
      </c>
      <c r="G8831" s="94" t="s">
        <v>453</v>
      </c>
      <c r="H8831" s="987">
        <v>1.0</v>
      </c>
      <c r="I8831" s="988" t="s">
        <v>3145</v>
      </c>
      <c r="J8831" s="67">
        <f t="shared" si="507"/>
        <v>-6275</v>
      </c>
      <c r="L8831" s="70"/>
      <c r="M8831" s="934"/>
    </row>
    <row r="8832" ht="12.75" hidden="1" customHeight="1" outlineLevel="1">
      <c r="A8832" s="202">
        <v>42436.0</v>
      </c>
      <c r="B8832" s="985" t="s">
        <v>347</v>
      </c>
      <c r="C8832" s="94" t="s">
        <v>2009</v>
      </c>
      <c r="D8832" s="94">
        <v>400.0</v>
      </c>
      <c r="E8832" s="94">
        <v>17.51</v>
      </c>
      <c r="F8832" s="986">
        <v>0.4052662037037037</v>
      </c>
      <c r="G8832" s="94" t="s">
        <v>453</v>
      </c>
      <c r="H8832" s="987">
        <v>2.15</v>
      </c>
      <c r="I8832" s="988" t="s">
        <v>3145</v>
      </c>
      <c r="J8832" s="67">
        <f t="shared" si="507"/>
        <v>7001.85</v>
      </c>
      <c r="L8832" s="70"/>
      <c r="M8832" s="934"/>
    </row>
    <row r="8833" ht="12.75" hidden="1" customHeight="1" outlineLevel="1">
      <c r="A8833" s="202">
        <v>42436.0</v>
      </c>
      <c r="B8833" s="985" t="s">
        <v>347</v>
      </c>
      <c r="C8833" s="94" t="s">
        <v>1947</v>
      </c>
      <c r="D8833" s="94">
        <v>350.0</v>
      </c>
      <c r="E8833" s="94">
        <v>38.24</v>
      </c>
      <c r="F8833" s="986">
        <v>0.4101851851851852</v>
      </c>
      <c r="G8833" s="94" t="s">
        <v>453</v>
      </c>
      <c r="H8833" s="987">
        <v>2.04</v>
      </c>
      <c r="I8833" s="988" t="s">
        <v>3145</v>
      </c>
      <c r="J8833" s="67">
        <f t="shared" si="507"/>
        <v>13381.96</v>
      </c>
      <c r="L8833" s="70"/>
      <c r="M8833" s="934"/>
    </row>
    <row r="8834" ht="12.75" hidden="1" customHeight="1" outlineLevel="1">
      <c r="A8834" s="202">
        <v>42436.0</v>
      </c>
      <c r="B8834" s="985" t="s">
        <v>347</v>
      </c>
      <c r="C8834" s="94" t="s">
        <v>1893</v>
      </c>
      <c r="D8834" s="286">
        <v>1000.0</v>
      </c>
      <c r="E8834" s="94">
        <v>9.7401</v>
      </c>
      <c r="F8834" s="986">
        <v>0.41283564814814816</v>
      </c>
      <c r="G8834" s="94" t="s">
        <v>453</v>
      </c>
      <c r="H8834" s="987">
        <v>4.21</v>
      </c>
      <c r="I8834" s="988" t="s">
        <v>3145</v>
      </c>
      <c r="J8834" s="67">
        <f t="shared" si="507"/>
        <v>9735.89</v>
      </c>
      <c r="L8834" s="70"/>
      <c r="M8834" s="934"/>
    </row>
    <row r="8835" ht="12.75" hidden="1" customHeight="1" outlineLevel="1">
      <c r="A8835" s="202">
        <v>42436.0</v>
      </c>
      <c r="B8835" s="985" t="s">
        <v>347</v>
      </c>
      <c r="C8835" s="94" t="s">
        <v>784</v>
      </c>
      <c r="D8835" s="286">
        <v>1000.0</v>
      </c>
      <c r="E8835" s="94">
        <v>4.762</v>
      </c>
      <c r="F8835" s="986">
        <v>0.4143634259259259</v>
      </c>
      <c r="G8835" s="94" t="s">
        <v>453</v>
      </c>
      <c r="H8835" s="987">
        <v>4.9</v>
      </c>
      <c r="I8835" s="988" t="s">
        <v>3145</v>
      </c>
      <c r="J8835" s="67">
        <f t="shared" si="507"/>
        <v>4757.1</v>
      </c>
      <c r="L8835" s="70"/>
      <c r="M8835" s="934"/>
    </row>
    <row r="8836" ht="12.75" hidden="1" customHeight="1" outlineLevel="1">
      <c r="A8836" s="202">
        <v>42436.0</v>
      </c>
      <c r="B8836" s="985" t="s">
        <v>347</v>
      </c>
      <c r="C8836" s="94" t="s">
        <v>2090</v>
      </c>
      <c r="D8836" s="94">
        <v>500.0</v>
      </c>
      <c r="E8836" s="94">
        <v>8.1101</v>
      </c>
      <c r="F8836" s="986">
        <v>0.4146296296296296</v>
      </c>
      <c r="G8836" s="94" t="s">
        <v>453</v>
      </c>
      <c r="H8836" s="987">
        <v>2.09</v>
      </c>
      <c r="I8836" s="988" t="s">
        <v>3145</v>
      </c>
      <c r="J8836" s="67">
        <f t="shared" si="507"/>
        <v>4052.96</v>
      </c>
      <c r="L8836" s="70"/>
      <c r="M8836" s="934"/>
    </row>
    <row r="8837" ht="12.75" hidden="1" customHeight="1" outlineLevel="1">
      <c r="A8837" s="202">
        <v>42436.0</v>
      </c>
      <c r="B8837" s="985" t="s">
        <v>347</v>
      </c>
      <c r="C8837" s="94" t="s">
        <v>1893</v>
      </c>
      <c r="D8837" s="94">
        <v>500.0</v>
      </c>
      <c r="E8837" s="94">
        <v>9.641</v>
      </c>
      <c r="F8837" s="986">
        <v>0.4152199074074074</v>
      </c>
      <c r="G8837" s="94" t="s">
        <v>453</v>
      </c>
      <c r="H8837" s="987">
        <v>2.11</v>
      </c>
      <c r="I8837" s="988" t="s">
        <v>3145</v>
      </c>
      <c r="J8837" s="67">
        <f t="shared" si="507"/>
        <v>4818.39</v>
      </c>
      <c r="L8837" s="70"/>
      <c r="M8837" s="934"/>
    </row>
    <row r="8838" ht="12.75" hidden="1" customHeight="1" outlineLevel="1">
      <c r="A8838" s="202">
        <v>42436.0</v>
      </c>
      <c r="B8838" s="985" t="s">
        <v>343</v>
      </c>
      <c r="C8838" s="94" t="s">
        <v>2035</v>
      </c>
      <c r="D8838" s="94">
        <v>500.0</v>
      </c>
      <c r="E8838" s="94">
        <v>12.4999</v>
      </c>
      <c r="F8838" s="986">
        <v>0.4159953703703704</v>
      </c>
      <c r="G8838" s="94" t="s">
        <v>453</v>
      </c>
      <c r="H8838" s="987">
        <v>2.0</v>
      </c>
      <c r="I8838" s="988" t="s">
        <v>3145</v>
      </c>
      <c r="J8838" s="67">
        <f t="shared" si="507"/>
        <v>-6251.95</v>
      </c>
      <c r="L8838" s="70"/>
      <c r="M8838" s="934"/>
    </row>
    <row r="8839" ht="12.75" hidden="1" customHeight="1" outlineLevel="1">
      <c r="A8839" s="202">
        <v>42436.0</v>
      </c>
      <c r="B8839" s="985" t="s">
        <v>347</v>
      </c>
      <c r="C8839" s="94" t="s">
        <v>2035</v>
      </c>
      <c r="D8839" s="286">
        <v>1000.0</v>
      </c>
      <c r="E8839" s="94">
        <v>12.46</v>
      </c>
      <c r="F8839" s="986">
        <v>0.4162268518518519</v>
      </c>
      <c r="G8839" s="94" t="s">
        <v>453</v>
      </c>
      <c r="H8839" s="987">
        <v>5.27</v>
      </c>
      <c r="I8839" s="988" t="s">
        <v>3145</v>
      </c>
      <c r="J8839" s="67">
        <f t="shared" si="507"/>
        <v>12454.73</v>
      </c>
      <c r="L8839" s="70"/>
      <c r="M8839" s="934"/>
    </row>
    <row r="8840" ht="12.75" hidden="1" customHeight="1" outlineLevel="1">
      <c r="A8840" s="202">
        <v>42436.0</v>
      </c>
      <c r="B8840" s="985" t="s">
        <v>347</v>
      </c>
      <c r="C8840" s="94" t="s">
        <v>3024</v>
      </c>
      <c r="D8840" s="94">
        <v>750.0</v>
      </c>
      <c r="E8840" s="94">
        <v>15.66</v>
      </c>
      <c r="F8840" s="986">
        <v>0.41814814814814816</v>
      </c>
      <c r="G8840" s="94" t="s">
        <v>453</v>
      </c>
      <c r="H8840" s="987">
        <v>4.01</v>
      </c>
      <c r="I8840" s="988" t="s">
        <v>3145</v>
      </c>
      <c r="J8840" s="67">
        <f t="shared" si="507"/>
        <v>11740.99</v>
      </c>
      <c r="L8840" s="70"/>
      <c r="M8840" s="934"/>
    </row>
    <row r="8841" ht="12.75" hidden="1" customHeight="1" outlineLevel="1">
      <c r="A8841" s="202">
        <v>42436.0</v>
      </c>
      <c r="B8841" s="985" t="s">
        <v>347</v>
      </c>
      <c r="C8841" s="94" t="s">
        <v>2210</v>
      </c>
      <c r="D8841" s="94">
        <v>150.0</v>
      </c>
      <c r="E8841" s="94">
        <v>82.99</v>
      </c>
      <c r="F8841" s="986">
        <v>0.4184027777777778</v>
      </c>
      <c r="G8841" s="94" t="s">
        <v>453</v>
      </c>
      <c r="H8841" s="987">
        <v>1.27</v>
      </c>
      <c r="I8841" s="988" t="s">
        <v>3145</v>
      </c>
      <c r="J8841" s="67">
        <f t="shared" si="507"/>
        <v>12447.23</v>
      </c>
      <c r="L8841" s="70"/>
      <c r="M8841" s="934"/>
    </row>
    <row r="8842" ht="12.75" hidden="1" customHeight="1" outlineLevel="1">
      <c r="A8842" s="202">
        <v>42436.0</v>
      </c>
      <c r="B8842" s="985" t="s">
        <v>347</v>
      </c>
      <c r="C8842" s="94" t="s">
        <v>1890</v>
      </c>
      <c r="D8842" s="94">
        <v>500.0</v>
      </c>
      <c r="E8842" s="94">
        <v>12.3401</v>
      </c>
      <c r="F8842" s="986">
        <v>0.4789583333333333</v>
      </c>
      <c r="G8842" s="94" t="s">
        <v>453</v>
      </c>
      <c r="H8842" s="987">
        <v>2.13</v>
      </c>
      <c r="I8842" s="988" t="s">
        <v>3145</v>
      </c>
      <c r="J8842" s="67">
        <f t="shared" si="507"/>
        <v>6167.92</v>
      </c>
      <c r="L8842" s="70"/>
      <c r="M8842" s="934"/>
    </row>
    <row r="8843" ht="12.75" hidden="1" customHeight="1" outlineLevel="1">
      <c r="A8843" s="202">
        <v>42436.0</v>
      </c>
      <c r="B8843" s="985" t="s">
        <v>347</v>
      </c>
      <c r="C8843" s="94" t="s">
        <v>784</v>
      </c>
      <c r="D8843" s="94">
        <v>500.0</v>
      </c>
      <c r="E8843" s="94">
        <v>4.62</v>
      </c>
      <c r="F8843" s="986">
        <v>0.5433449074074074</v>
      </c>
      <c r="G8843" s="94" t="s">
        <v>453</v>
      </c>
      <c r="H8843" s="987">
        <v>2.55</v>
      </c>
      <c r="I8843" s="988" t="s">
        <v>3145</v>
      </c>
      <c r="J8843" s="67">
        <f t="shared" si="507"/>
        <v>2307.45</v>
      </c>
      <c r="L8843" s="70"/>
      <c r="M8843" s="934"/>
    </row>
    <row r="8844" ht="12.75" hidden="1" customHeight="1" outlineLevel="1">
      <c r="A8844" s="202">
        <v>42437.0</v>
      </c>
      <c r="B8844" s="985" t="s">
        <v>347</v>
      </c>
      <c r="C8844" s="94" t="s">
        <v>1905</v>
      </c>
      <c r="D8844" s="94">
        <v>600.0</v>
      </c>
      <c r="E8844" s="94">
        <v>19.964</v>
      </c>
      <c r="F8844" s="986">
        <v>0.3971527777777778</v>
      </c>
      <c r="G8844" s="94" t="s">
        <v>453</v>
      </c>
      <c r="H8844" s="987">
        <v>2.66</v>
      </c>
      <c r="I8844" s="988" t="s">
        <v>3145</v>
      </c>
      <c r="J8844" s="67">
        <f t="shared" si="507"/>
        <v>11975.74</v>
      </c>
      <c r="L8844" s="70"/>
      <c r="M8844" s="934"/>
    </row>
    <row r="8845" ht="12.75" hidden="1" customHeight="1" outlineLevel="1">
      <c r="A8845" s="202">
        <v>42437.0</v>
      </c>
      <c r="B8845" s="985" t="s">
        <v>347</v>
      </c>
      <c r="C8845" s="94" t="s">
        <v>1633</v>
      </c>
      <c r="D8845" s="94">
        <v>600.0</v>
      </c>
      <c r="E8845" s="94">
        <v>11.1</v>
      </c>
      <c r="F8845" s="986">
        <v>0.3974421296296296</v>
      </c>
      <c r="G8845" s="94" t="s">
        <v>453</v>
      </c>
      <c r="H8845" s="987">
        <v>3.15</v>
      </c>
      <c r="I8845" s="988" t="s">
        <v>3145</v>
      </c>
      <c r="J8845" s="67">
        <f t="shared" si="507"/>
        <v>6656.85</v>
      </c>
      <c r="L8845" s="70"/>
      <c r="M8845" s="934"/>
    </row>
    <row r="8846" ht="12.75" hidden="1" customHeight="1" outlineLevel="1">
      <c r="A8846" s="202">
        <v>42437.0</v>
      </c>
      <c r="B8846" s="985" t="s">
        <v>347</v>
      </c>
      <c r="C8846" s="94" t="s">
        <v>1882</v>
      </c>
      <c r="D8846" s="286">
        <v>1100.0</v>
      </c>
      <c r="E8846" s="94">
        <v>5.811</v>
      </c>
      <c r="F8846" s="986">
        <v>0.39782407407407405</v>
      </c>
      <c r="G8846" s="94" t="s">
        <v>453</v>
      </c>
      <c r="H8846" s="987">
        <v>4.54</v>
      </c>
      <c r="I8846" s="988" t="s">
        <v>3145</v>
      </c>
      <c r="J8846" s="67">
        <f t="shared" si="507"/>
        <v>6387.56</v>
      </c>
      <c r="L8846" s="70"/>
      <c r="M8846" s="934"/>
    </row>
    <row r="8847" ht="12.75" hidden="1" customHeight="1" outlineLevel="1">
      <c r="A8847" s="202">
        <v>42437.0</v>
      </c>
      <c r="B8847" s="985" t="s">
        <v>347</v>
      </c>
      <c r="C8847" s="94" t="s">
        <v>1905</v>
      </c>
      <c r="D8847" s="94">
        <v>100.0</v>
      </c>
      <c r="E8847" s="94">
        <v>17.85</v>
      </c>
      <c r="F8847" s="986">
        <v>0.43944444444444447</v>
      </c>
      <c r="G8847" s="94" t="s">
        <v>453</v>
      </c>
      <c r="H8847" s="987">
        <v>1.04</v>
      </c>
      <c r="I8847" s="988" t="s">
        <v>3145</v>
      </c>
      <c r="J8847" s="67">
        <f t="shared" si="507"/>
        <v>1783.96</v>
      </c>
      <c r="L8847" s="70"/>
      <c r="M8847" s="934"/>
    </row>
    <row r="8848" ht="12.75" hidden="1" customHeight="1" outlineLevel="1">
      <c r="A8848" s="202">
        <v>42437.0</v>
      </c>
      <c r="B8848" s="985" t="s">
        <v>347</v>
      </c>
      <c r="C8848" s="94" t="s">
        <v>1893</v>
      </c>
      <c r="D8848" s="94">
        <v>200.0</v>
      </c>
      <c r="E8848" s="94">
        <v>8.68</v>
      </c>
      <c r="F8848" s="986">
        <v>0.43974537037037037</v>
      </c>
      <c r="G8848" s="94" t="s">
        <v>453</v>
      </c>
      <c r="H8848" s="987">
        <v>1.04</v>
      </c>
      <c r="I8848" s="988" t="s">
        <v>3145</v>
      </c>
      <c r="J8848" s="67">
        <f t="shared" si="507"/>
        <v>1734.96</v>
      </c>
      <c r="L8848" s="70"/>
      <c r="M8848" s="934"/>
    </row>
    <row r="8849" ht="12.75" hidden="1" customHeight="1" outlineLevel="1">
      <c r="A8849" s="202">
        <v>42437.0</v>
      </c>
      <c r="B8849" s="985" t="s">
        <v>347</v>
      </c>
      <c r="C8849" s="94" t="s">
        <v>1890</v>
      </c>
      <c r="D8849" s="94">
        <v>100.0</v>
      </c>
      <c r="E8849" s="94">
        <v>10.69</v>
      </c>
      <c r="F8849" s="986">
        <v>0.4398958333333333</v>
      </c>
      <c r="G8849" s="94" t="s">
        <v>453</v>
      </c>
      <c r="H8849" s="987">
        <v>1.02</v>
      </c>
      <c r="I8849" s="988" t="s">
        <v>3145</v>
      </c>
      <c r="J8849" s="67">
        <f t="shared" si="507"/>
        <v>1067.98</v>
      </c>
      <c r="L8849" s="70"/>
      <c r="M8849" s="934"/>
    </row>
    <row r="8850" ht="12.75" hidden="1" customHeight="1" outlineLevel="1">
      <c r="A8850" s="202">
        <v>42437.0</v>
      </c>
      <c r="B8850" s="985" t="s">
        <v>347</v>
      </c>
      <c r="C8850" s="94" t="s">
        <v>1633</v>
      </c>
      <c r="D8850" s="94">
        <v>100.0</v>
      </c>
      <c r="E8850" s="94">
        <v>10.4</v>
      </c>
      <c r="F8850" s="986">
        <v>0.44096064814814817</v>
      </c>
      <c r="G8850" s="94" t="s">
        <v>453</v>
      </c>
      <c r="H8850" s="987">
        <v>1.02</v>
      </c>
      <c r="I8850" s="988" t="s">
        <v>3145</v>
      </c>
      <c r="J8850" s="67">
        <f t="shared" si="507"/>
        <v>1038.98</v>
      </c>
      <c r="L8850" s="70"/>
      <c r="M8850" s="934"/>
    </row>
    <row r="8851" ht="12.75" hidden="1" customHeight="1" outlineLevel="1">
      <c r="A8851" s="202">
        <v>42437.0</v>
      </c>
      <c r="B8851" s="985" t="s">
        <v>347</v>
      </c>
      <c r="C8851" s="94" t="s">
        <v>2035</v>
      </c>
      <c r="D8851" s="94">
        <v>100.0</v>
      </c>
      <c r="E8851" s="94">
        <v>11.831</v>
      </c>
      <c r="F8851" s="986">
        <v>0.44127314814814816</v>
      </c>
      <c r="G8851" s="94" t="s">
        <v>453</v>
      </c>
      <c r="H8851" s="987">
        <v>1.03</v>
      </c>
      <c r="I8851" s="988" t="s">
        <v>3145</v>
      </c>
      <c r="J8851" s="67">
        <f t="shared" si="507"/>
        <v>1182.07</v>
      </c>
      <c r="L8851" s="70"/>
      <c r="M8851" s="934"/>
    </row>
    <row r="8852" ht="12.75" hidden="1" customHeight="1" outlineLevel="1">
      <c r="A8852" s="202">
        <v>42437.0</v>
      </c>
      <c r="B8852" s="985" t="s">
        <v>347</v>
      </c>
      <c r="C8852" s="94" t="s">
        <v>2009</v>
      </c>
      <c r="D8852" s="94">
        <v>100.0</v>
      </c>
      <c r="E8852" s="94">
        <v>16.19</v>
      </c>
      <c r="F8852" s="986">
        <v>0.4413773148148148</v>
      </c>
      <c r="G8852" s="94" t="s">
        <v>453</v>
      </c>
      <c r="H8852" s="987">
        <v>1.04</v>
      </c>
      <c r="I8852" s="988" t="s">
        <v>3145</v>
      </c>
      <c r="J8852" s="67">
        <f t="shared" si="507"/>
        <v>1617.96</v>
      </c>
      <c r="L8852" s="70"/>
      <c r="M8852" s="934"/>
    </row>
    <row r="8853" ht="12.75" hidden="1" customHeight="1" outlineLevel="1">
      <c r="A8853" s="202">
        <v>42437.0</v>
      </c>
      <c r="B8853" s="985" t="s">
        <v>347</v>
      </c>
      <c r="C8853" s="94" t="s">
        <v>2090</v>
      </c>
      <c r="D8853" s="94">
        <v>300.0</v>
      </c>
      <c r="E8853" s="94">
        <v>7.22</v>
      </c>
      <c r="F8853" s="986">
        <v>0.441412037037037</v>
      </c>
      <c r="G8853" s="94" t="s">
        <v>453</v>
      </c>
      <c r="H8853" s="987">
        <v>1.55</v>
      </c>
      <c r="I8853" s="988" t="s">
        <v>3145</v>
      </c>
      <c r="J8853" s="67">
        <f t="shared" si="507"/>
        <v>2164.45</v>
      </c>
      <c r="L8853" s="70"/>
      <c r="M8853" s="934"/>
    </row>
    <row r="8854" ht="12.75" hidden="1" customHeight="1" outlineLevel="1">
      <c r="A8854" s="202">
        <v>42437.0</v>
      </c>
      <c r="B8854" s="985" t="s">
        <v>347</v>
      </c>
      <c r="C8854" s="94" t="s">
        <v>1902</v>
      </c>
      <c r="D8854" s="94">
        <v>100.0</v>
      </c>
      <c r="E8854" s="94">
        <v>7.9602</v>
      </c>
      <c r="F8854" s="986">
        <v>0.44153935185185184</v>
      </c>
      <c r="G8854" s="94" t="s">
        <v>453</v>
      </c>
      <c r="H8854" s="987">
        <v>1.02</v>
      </c>
      <c r="I8854" s="988" t="s">
        <v>3145</v>
      </c>
      <c r="J8854" s="67">
        <f t="shared" si="507"/>
        <v>795</v>
      </c>
      <c r="L8854" s="70"/>
      <c r="M8854" s="934"/>
    </row>
    <row r="8855" ht="12.75" hidden="1" customHeight="1" outlineLevel="1">
      <c r="A8855" s="202">
        <v>42437.0</v>
      </c>
      <c r="B8855" s="985" t="s">
        <v>347</v>
      </c>
      <c r="C8855" s="94" t="s">
        <v>3024</v>
      </c>
      <c r="D8855" s="94">
        <v>150.0</v>
      </c>
      <c r="E8855" s="94">
        <v>14.951</v>
      </c>
      <c r="F8855" s="986">
        <v>0.441724537037037</v>
      </c>
      <c r="G8855" s="94" t="s">
        <v>453</v>
      </c>
      <c r="H8855" s="987">
        <v>1.05</v>
      </c>
      <c r="I8855" s="988" t="s">
        <v>3145</v>
      </c>
      <c r="J8855" s="67">
        <f t="shared" si="507"/>
        <v>2241.6</v>
      </c>
      <c r="L8855" s="70"/>
      <c r="M8855" s="934"/>
    </row>
    <row r="8856" ht="12.75" hidden="1" customHeight="1" outlineLevel="1">
      <c r="A8856" s="202">
        <v>42437.0</v>
      </c>
      <c r="B8856" s="985" t="s">
        <v>347</v>
      </c>
      <c r="C8856" s="94" t="s">
        <v>790</v>
      </c>
      <c r="D8856" s="94">
        <v>200.0</v>
      </c>
      <c r="E8856" s="94">
        <v>5.03</v>
      </c>
      <c r="F8856" s="986">
        <v>0.44185185185185183</v>
      </c>
      <c r="G8856" s="94" t="s">
        <v>453</v>
      </c>
      <c r="H8856" s="987">
        <v>1.02</v>
      </c>
      <c r="I8856" s="988" t="s">
        <v>3145</v>
      </c>
      <c r="J8856" s="67">
        <f t="shared" si="507"/>
        <v>1004.98</v>
      </c>
      <c r="L8856" s="70"/>
      <c r="M8856" s="934"/>
    </row>
    <row r="8857" ht="12.75" hidden="1" customHeight="1" outlineLevel="1">
      <c r="A8857" s="202">
        <v>42437.0</v>
      </c>
      <c r="B8857" s="985" t="s">
        <v>347</v>
      </c>
      <c r="C8857" s="94" t="s">
        <v>2210</v>
      </c>
      <c r="D8857" s="94">
        <v>50.0</v>
      </c>
      <c r="E8857" s="94">
        <v>81.35</v>
      </c>
      <c r="F8857" s="986">
        <v>0.4421412037037037</v>
      </c>
      <c r="G8857" s="94" t="s">
        <v>453</v>
      </c>
      <c r="H8857" s="987">
        <v>1.09</v>
      </c>
      <c r="I8857" s="988" t="s">
        <v>3145</v>
      </c>
      <c r="J8857" s="67">
        <f t="shared" si="507"/>
        <v>4066.41</v>
      </c>
      <c r="L8857" s="70"/>
      <c r="M8857" s="934"/>
    </row>
    <row r="8858" ht="12.75" hidden="1" customHeight="1" outlineLevel="1">
      <c r="A8858" s="202">
        <v>42437.0</v>
      </c>
      <c r="B8858" s="985" t="s">
        <v>347</v>
      </c>
      <c r="C8858" s="94" t="s">
        <v>3024</v>
      </c>
      <c r="D8858" s="94">
        <v>200.0</v>
      </c>
      <c r="E8858" s="94">
        <v>14.9711</v>
      </c>
      <c r="F8858" s="986">
        <v>0.4422916666666667</v>
      </c>
      <c r="G8858" s="94" t="s">
        <v>453</v>
      </c>
      <c r="H8858" s="987">
        <v>1.07</v>
      </c>
      <c r="I8858" s="988" t="s">
        <v>3145</v>
      </c>
      <c r="J8858" s="67">
        <f t="shared" si="507"/>
        <v>2993.15</v>
      </c>
      <c r="L8858" s="70"/>
      <c r="M8858" s="934"/>
    </row>
    <row r="8859" ht="12.75" hidden="1" customHeight="1" outlineLevel="1">
      <c r="A8859" s="202">
        <v>42437.0</v>
      </c>
      <c r="B8859" s="985" t="s">
        <v>347</v>
      </c>
      <c r="C8859" s="94" t="s">
        <v>1882</v>
      </c>
      <c r="D8859" s="94">
        <v>100.0</v>
      </c>
      <c r="E8859" s="94">
        <v>5.46</v>
      </c>
      <c r="F8859" s="986">
        <v>0.44341435185185185</v>
      </c>
      <c r="G8859" s="94" t="s">
        <v>453</v>
      </c>
      <c r="H8859" s="987">
        <v>1.01</v>
      </c>
      <c r="I8859" s="988" t="s">
        <v>3145</v>
      </c>
      <c r="J8859" s="67">
        <f t="shared" si="507"/>
        <v>544.99</v>
      </c>
      <c r="L8859" s="70"/>
      <c r="M8859" s="934"/>
    </row>
    <row r="8860" ht="12.75" hidden="1" customHeight="1" outlineLevel="1">
      <c r="A8860" s="202">
        <v>42437.0</v>
      </c>
      <c r="B8860" s="985" t="s">
        <v>347</v>
      </c>
      <c r="C8860" s="94" t="s">
        <v>1947</v>
      </c>
      <c r="D8860" s="94">
        <v>100.0</v>
      </c>
      <c r="E8860" s="94">
        <v>36.77</v>
      </c>
      <c r="F8860" s="986">
        <v>0.4441550925925926</v>
      </c>
      <c r="G8860" s="94" t="s">
        <v>453</v>
      </c>
      <c r="H8860" s="987">
        <v>1.08</v>
      </c>
      <c r="I8860" s="988" t="s">
        <v>3145</v>
      </c>
      <c r="J8860" s="67">
        <f t="shared" si="507"/>
        <v>3675.92</v>
      </c>
      <c r="L8860" s="70"/>
      <c r="M8860" s="934"/>
    </row>
    <row r="8861" ht="12.75" hidden="1" customHeight="1" outlineLevel="1">
      <c r="A8861" s="202">
        <v>42437.0</v>
      </c>
      <c r="B8861" s="985" t="s">
        <v>347</v>
      </c>
      <c r="C8861" s="94" t="s">
        <v>784</v>
      </c>
      <c r="D8861" s="94">
        <v>500.0</v>
      </c>
      <c r="E8861" s="94">
        <v>4.08</v>
      </c>
      <c r="F8861" s="986">
        <v>0.44568287037037035</v>
      </c>
      <c r="G8861" s="94" t="s">
        <v>453</v>
      </c>
      <c r="H8861" s="987">
        <v>2.54</v>
      </c>
      <c r="I8861" s="988" t="s">
        <v>3145</v>
      </c>
      <c r="J8861" s="67">
        <f t="shared" si="507"/>
        <v>2037.46</v>
      </c>
      <c r="L8861" s="70"/>
      <c r="M8861" s="934"/>
    </row>
    <row r="8862" ht="12.75" hidden="1" customHeight="1" outlineLevel="1">
      <c r="A8862" s="202">
        <v>42437.0</v>
      </c>
      <c r="B8862" s="985" t="s">
        <v>347</v>
      </c>
      <c r="C8862" s="94" t="s">
        <v>1905</v>
      </c>
      <c r="D8862" s="94">
        <v>150.0</v>
      </c>
      <c r="E8862" s="94">
        <v>17.81</v>
      </c>
      <c r="F8862" s="986">
        <v>0.4457291666666667</v>
      </c>
      <c r="G8862" s="94" t="s">
        <v>453</v>
      </c>
      <c r="H8862" s="987">
        <v>1.06</v>
      </c>
      <c r="I8862" s="988" t="s">
        <v>3145</v>
      </c>
      <c r="J8862" s="67">
        <f t="shared" si="507"/>
        <v>2670.44</v>
      </c>
      <c r="L8862" s="70"/>
      <c r="M8862" s="934"/>
    </row>
    <row r="8863" ht="12.75" hidden="1" customHeight="1" outlineLevel="1">
      <c r="A8863" s="990">
        <v>42437.0</v>
      </c>
      <c r="B8863" s="992"/>
      <c r="C8863" s="32" t="s">
        <v>339</v>
      </c>
      <c r="D8863" s="1"/>
      <c r="F8863" s="1"/>
      <c r="G8863" s="1"/>
      <c r="H8863" s="68"/>
      <c r="I8863" s="76"/>
      <c r="K8863" s="994" t="s">
        <v>3335</v>
      </c>
      <c r="L8863" s="934"/>
      <c r="M8863" s="934"/>
    </row>
    <row r="8864" ht="12.75" hidden="1" customHeight="1" outlineLevel="1">
      <c r="A8864" s="990">
        <v>42437.0</v>
      </c>
      <c r="B8864" s="992"/>
      <c r="C8864" s="32" t="s">
        <v>429</v>
      </c>
      <c r="D8864" s="1"/>
      <c r="F8864" s="1"/>
      <c r="G8864" s="1"/>
      <c r="H8864" s="68"/>
      <c r="I8864" s="76"/>
      <c r="K8864" s="9" t="s">
        <v>3187</v>
      </c>
      <c r="L8864" s="934"/>
      <c r="M8864" s="934"/>
    </row>
    <row r="8865" ht="12.75" hidden="1" customHeight="1" outlineLevel="1">
      <c r="A8865" s="990">
        <v>42437.0</v>
      </c>
      <c r="B8865" s="992"/>
      <c r="C8865" s="32" t="s">
        <v>431</v>
      </c>
      <c r="D8865" s="1"/>
      <c r="F8865" s="1"/>
      <c r="G8865" s="1"/>
      <c r="H8865" s="68"/>
      <c r="I8865" s="76"/>
      <c r="K8865" s="7" t="s">
        <v>1126</v>
      </c>
      <c r="L8865" s="934"/>
      <c r="M8865" s="934"/>
    </row>
    <row r="8866" ht="12.75" hidden="1" customHeight="1" outlineLevel="1">
      <c r="A8866" s="990">
        <v>42437.0</v>
      </c>
      <c r="B8866" s="992"/>
      <c r="C8866" s="32" t="s">
        <v>433</v>
      </c>
      <c r="D8866" s="1"/>
      <c r="F8866" s="1"/>
      <c r="G8866" s="1"/>
      <c r="H8866" s="68"/>
      <c r="I8866" s="76"/>
      <c r="K8866" s="7" t="s">
        <v>1103</v>
      </c>
      <c r="L8866" s="934"/>
      <c r="M8866" s="934"/>
    </row>
    <row r="8867" ht="12.75" hidden="1" customHeight="1" outlineLevel="1">
      <c r="A8867" s="990">
        <v>42437.0</v>
      </c>
      <c r="B8867" s="992"/>
      <c r="C8867" s="32" t="s">
        <v>435</v>
      </c>
      <c r="D8867" s="1"/>
      <c r="F8867" s="1"/>
      <c r="G8867" s="1"/>
      <c r="H8867" s="68"/>
      <c r="I8867" s="76"/>
      <c r="K8867" s="9" t="s">
        <v>3331</v>
      </c>
      <c r="L8867" s="934"/>
      <c r="M8867" s="934"/>
    </row>
    <row r="8868" ht="12.75" hidden="1" customHeight="1" outlineLevel="1">
      <c r="A8868" s="202">
        <v>42439.0</v>
      </c>
      <c r="B8868" s="985" t="s">
        <v>347</v>
      </c>
      <c r="C8868" s="94" t="s">
        <v>1902</v>
      </c>
      <c r="D8868" s="94">
        <v>500.0</v>
      </c>
      <c r="E8868" s="94">
        <v>7.2902</v>
      </c>
      <c r="F8868" s="986">
        <v>0.4249537037037037</v>
      </c>
      <c r="G8868" s="94" t="s">
        <v>453</v>
      </c>
      <c r="H8868" s="987">
        <v>2.08</v>
      </c>
      <c r="I8868" s="988" t="s">
        <v>3145</v>
      </c>
      <c r="J8868" s="67">
        <f t="shared" ref="J8868:J8920" si="508">IF(B8868="SLD",D8868*E8868,-D8868*E8868)-H8868</f>
        <v>3643.02</v>
      </c>
      <c r="L8868" s="70"/>
      <c r="M8868" s="934"/>
    </row>
    <row r="8869" ht="12.75" hidden="1" customHeight="1" outlineLevel="1">
      <c r="A8869" s="202">
        <v>42439.0</v>
      </c>
      <c r="B8869" s="985" t="s">
        <v>347</v>
      </c>
      <c r="C8869" s="94" t="s">
        <v>1947</v>
      </c>
      <c r="D8869" s="94">
        <v>250.0</v>
      </c>
      <c r="E8869" s="94">
        <v>35.701</v>
      </c>
      <c r="F8869" s="986">
        <v>0.4251736111111111</v>
      </c>
      <c r="G8869" s="94" t="s">
        <v>453</v>
      </c>
      <c r="H8869" s="987">
        <v>1.19</v>
      </c>
      <c r="I8869" s="988" t="s">
        <v>3145</v>
      </c>
      <c r="J8869" s="67">
        <f t="shared" si="508"/>
        <v>8924.06</v>
      </c>
      <c r="L8869" s="70"/>
      <c r="M8869" s="934"/>
    </row>
    <row r="8870" ht="12.75" hidden="1" customHeight="1" outlineLevel="1">
      <c r="A8870" s="202">
        <v>42444.0</v>
      </c>
      <c r="B8870" s="985" t="s">
        <v>343</v>
      </c>
      <c r="C8870" s="94" t="s">
        <v>346</v>
      </c>
      <c r="D8870" s="94">
        <v>100.0</v>
      </c>
      <c r="E8870" s="94">
        <v>104.909</v>
      </c>
      <c r="F8870" s="986">
        <v>0.4752662037037037</v>
      </c>
      <c r="G8870" s="94" t="s">
        <v>453</v>
      </c>
      <c r="H8870" s="987">
        <v>1.0</v>
      </c>
      <c r="I8870" s="988" t="s">
        <v>3145</v>
      </c>
      <c r="J8870" s="67">
        <f t="shared" si="508"/>
        <v>-10491.9</v>
      </c>
      <c r="L8870" s="70"/>
      <c r="M8870" s="934"/>
    </row>
    <row r="8871" ht="12.75" hidden="1" customHeight="1" outlineLevel="1">
      <c r="A8871" s="202">
        <v>42444.0</v>
      </c>
      <c r="B8871" s="985" t="s">
        <v>343</v>
      </c>
      <c r="C8871" s="94" t="s">
        <v>1035</v>
      </c>
      <c r="D8871" s="94">
        <v>10.0</v>
      </c>
      <c r="E8871" s="94">
        <v>748.79</v>
      </c>
      <c r="F8871" s="986">
        <v>0.475474537037037</v>
      </c>
      <c r="G8871" s="94" t="s">
        <v>453</v>
      </c>
      <c r="H8871" s="987">
        <v>1.0</v>
      </c>
      <c r="I8871" s="988" t="s">
        <v>3145</v>
      </c>
      <c r="J8871" s="67">
        <f t="shared" si="508"/>
        <v>-7488.9</v>
      </c>
      <c r="L8871" s="70"/>
      <c r="M8871" s="934"/>
    </row>
    <row r="8872" ht="12.75" hidden="1" customHeight="1" outlineLevel="1">
      <c r="A8872" s="202">
        <v>42444.0</v>
      </c>
      <c r="B8872" s="985" t="s">
        <v>347</v>
      </c>
      <c r="C8872" s="94" t="s">
        <v>1465</v>
      </c>
      <c r="D8872" s="94">
        <v>30.0</v>
      </c>
      <c r="E8872" s="94">
        <v>249.2405</v>
      </c>
      <c r="F8872" s="986">
        <v>0.6268055555555555</v>
      </c>
      <c r="G8872" s="94" t="s">
        <v>453</v>
      </c>
      <c r="H8872" s="987">
        <v>1.16</v>
      </c>
      <c r="I8872" s="988" t="s">
        <v>3145</v>
      </c>
      <c r="J8872" s="67">
        <f t="shared" si="508"/>
        <v>7476.055</v>
      </c>
      <c r="L8872" s="70"/>
      <c r="M8872" s="934"/>
    </row>
    <row r="8873" ht="12.75" hidden="1" customHeight="1" outlineLevel="1">
      <c r="A8873" s="202">
        <v>42444.0</v>
      </c>
      <c r="B8873" s="985" t="s">
        <v>347</v>
      </c>
      <c r="C8873" s="94" t="s">
        <v>1244</v>
      </c>
      <c r="D8873" s="94">
        <v>100.0</v>
      </c>
      <c r="E8873" s="94">
        <v>89.23</v>
      </c>
      <c r="F8873" s="986">
        <v>0.6270370370370371</v>
      </c>
      <c r="G8873" s="94" t="s">
        <v>453</v>
      </c>
      <c r="H8873" s="987">
        <v>1.19</v>
      </c>
      <c r="I8873" s="988" t="s">
        <v>3145</v>
      </c>
      <c r="J8873" s="67">
        <f t="shared" si="508"/>
        <v>8921.81</v>
      </c>
      <c r="L8873" s="70"/>
      <c r="M8873" s="934"/>
    </row>
    <row r="8874" ht="12.75" hidden="1" customHeight="1" outlineLevel="1">
      <c r="A8874" s="202">
        <v>42444.0</v>
      </c>
      <c r="B8874" s="985" t="s">
        <v>343</v>
      </c>
      <c r="C8874" s="94" t="s">
        <v>1053</v>
      </c>
      <c r="D8874" s="94">
        <v>10.0</v>
      </c>
      <c r="E8874" s="94">
        <v>579.52</v>
      </c>
      <c r="F8874" s="986">
        <v>0.6280555555555556</v>
      </c>
      <c r="G8874" s="94" t="s">
        <v>453</v>
      </c>
      <c r="H8874" s="987">
        <v>1.0</v>
      </c>
      <c r="I8874" s="988" t="s">
        <v>3145</v>
      </c>
      <c r="J8874" s="67">
        <f t="shared" si="508"/>
        <v>-5796.2</v>
      </c>
      <c r="L8874" s="70"/>
      <c r="M8874" s="934"/>
    </row>
    <row r="8875" ht="12.75" hidden="1" customHeight="1" outlineLevel="1">
      <c r="A8875" s="202">
        <v>42444.0</v>
      </c>
      <c r="B8875" s="985" t="s">
        <v>343</v>
      </c>
      <c r="C8875" s="94" t="s">
        <v>1131</v>
      </c>
      <c r="D8875" s="94">
        <v>100.0</v>
      </c>
      <c r="E8875" s="94">
        <v>59.0</v>
      </c>
      <c r="F8875" s="986">
        <v>0.628275462962963</v>
      </c>
      <c r="G8875" s="94" t="s">
        <v>453</v>
      </c>
      <c r="H8875" s="987">
        <v>1.0</v>
      </c>
      <c r="I8875" s="988" t="s">
        <v>3145</v>
      </c>
      <c r="J8875" s="67">
        <f t="shared" si="508"/>
        <v>-5901</v>
      </c>
      <c r="L8875" s="70"/>
      <c r="M8875" s="934"/>
    </row>
    <row r="8876" ht="12.75" hidden="1" customHeight="1" outlineLevel="1">
      <c r="A8876" s="202">
        <v>42444.0</v>
      </c>
      <c r="B8876" s="985" t="s">
        <v>343</v>
      </c>
      <c r="C8876" s="94" t="s">
        <v>1106</v>
      </c>
      <c r="D8876" s="94">
        <v>100.0</v>
      </c>
      <c r="E8876" s="94">
        <v>71.6699</v>
      </c>
      <c r="F8876" s="986">
        <v>0.6293402777777778</v>
      </c>
      <c r="G8876" s="94" t="s">
        <v>453</v>
      </c>
      <c r="H8876" s="987">
        <v>1.0</v>
      </c>
      <c r="I8876" s="988" t="s">
        <v>3145</v>
      </c>
      <c r="J8876" s="67">
        <f t="shared" si="508"/>
        <v>-7167.99</v>
      </c>
      <c r="L8876" s="70"/>
      <c r="M8876" s="934"/>
    </row>
    <row r="8877" ht="12.75" hidden="1" customHeight="1" outlineLevel="1">
      <c r="A8877" s="995">
        <v>42446.59310185185</v>
      </c>
      <c r="B8877" s="985" t="s">
        <v>343</v>
      </c>
      <c r="C8877" s="94" t="s">
        <v>2090</v>
      </c>
      <c r="D8877" s="286">
        <v>2300.0</v>
      </c>
      <c r="E8877" s="94">
        <v>8.81</v>
      </c>
      <c r="F8877" s="993">
        <v>42446.59310185185</v>
      </c>
      <c r="G8877" s="94" t="s">
        <v>453</v>
      </c>
      <c r="H8877" s="987">
        <v>9.2</v>
      </c>
      <c r="I8877" s="988" t="s">
        <v>3145</v>
      </c>
      <c r="J8877" s="67">
        <f t="shared" si="508"/>
        <v>-20272.2</v>
      </c>
      <c r="L8877" s="70"/>
      <c r="M8877" s="934"/>
    </row>
    <row r="8878" ht="12.75" hidden="1" customHeight="1" outlineLevel="1">
      <c r="A8878" s="995">
        <v>42446.59336805555</v>
      </c>
      <c r="B8878" s="985" t="s">
        <v>343</v>
      </c>
      <c r="C8878" s="94" t="s">
        <v>1893</v>
      </c>
      <c r="D8878" s="286">
        <v>1700.0</v>
      </c>
      <c r="E8878" s="94">
        <v>10.979</v>
      </c>
      <c r="F8878" s="993">
        <v>42446.59336805555</v>
      </c>
      <c r="G8878" s="94" t="s">
        <v>453</v>
      </c>
      <c r="H8878" s="987">
        <v>6.8</v>
      </c>
      <c r="I8878" s="988" t="s">
        <v>3145</v>
      </c>
      <c r="J8878" s="67">
        <f t="shared" si="508"/>
        <v>-18671.1</v>
      </c>
      <c r="L8878" s="70"/>
      <c r="M8878" s="934"/>
    </row>
    <row r="8879" ht="12.75" hidden="1" customHeight="1" outlineLevel="1">
      <c r="A8879" s="995">
        <v>42446.59380787037</v>
      </c>
      <c r="B8879" s="985" t="s">
        <v>343</v>
      </c>
      <c r="C8879" s="94" t="s">
        <v>3024</v>
      </c>
      <c r="D8879" s="286">
        <v>1100.0</v>
      </c>
      <c r="E8879" s="94">
        <v>16.659</v>
      </c>
      <c r="F8879" s="993">
        <v>42446.59380787037</v>
      </c>
      <c r="G8879" s="94" t="s">
        <v>453</v>
      </c>
      <c r="H8879" s="987">
        <v>4.4</v>
      </c>
      <c r="I8879" s="988" t="s">
        <v>3145</v>
      </c>
      <c r="J8879" s="67">
        <f t="shared" si="508"/>
        <v>-18329.3</v>
      </c>
      <c r="L8879" s="70"/>
      <c r="M8879" s="934"/>
    </row>
    <row r="8880" ht="12.75" hidden="1" customHeight="1" outlineLevel="1">
      <c r="A8880" s="995">
        <v>42446.593993055554</v>
      </c>
      <c r="B8880" s="985" t="s">
        <v>343</v>
      </c>
      <c r="C8880" s="94" t="s">
        <v>2210</v>
      </c>
      <c r="D8880" s="94">
        <v>200.0</v>
      </c>
      <c r="E8880" s="94">
        <v>88.76</v>
      </c>
      <c r="F8880" s="993">
        <v>42446.593993055554</v>
      </c>
      <c r="G8880" s="94" t="s">
        <v>453</v>
      </c>
      <c r="H8880" s="987">
        <v>1.0</v>
      </c>
      <c r="I8880" s="988" t="s">
        <v>3145</v>
      </c>
      <c r="J8880" s="67">
        <f t="shared" si="508"/>
        <v>-17753</v>
      </c>
      <c r="L8880" s="70"/>
      <c r="M8880" s="934"/>
    </row>
    <row r="8881" ht="12.75" hidden="1" customHeight="1" outlineLevel="1">
      <c r="A8881" s="995">
        <v>42446.59421296296</v>
      </c>
      <c r="B8881" s="985" t="s">
        <v>343</v>
      </c>
      <c r="C8881" s="94" t="s">
        <v>1905</v>
      </c>
      <c r="D8881" s="94">
        <v>850.0</v>
      </c>
      <c r="E8881" s="94">
        <v>20.914</v>
      </c>
      <c r="F8881" s="993">
        <v>42446.59421296296</v>
      </c>
      <c r="G8881" s="94" t="s">
        <v>453</v>
      </c>
      <c r="H8881" s="987">
        <v>4.15</v>
      </c>
      <c r="I8881" s="988" t="s">
        <v>3145</v>
      </c>
      <c r="J8881" s="67">
        <f t="shared" si="508"/>
        <v>-17781.05</v>
      </c>
      <c r="L8881" s="70"/>
      <c r="M8881" s="934"/>
    </row>
    <row r="8882" ht="12.75" hidden="1" customHeight="1" outlineLevel="1">
      <c r="A8882" s="995">
        <v>42446.594618055555</v>
      </c>
      <c r="B8882" s="985" t="s">
        <v>343</v>
      </c>
      <c r="C8882" s="94" t="s">
        <v>784</v>
      </c>
      <c r="D8882" s="286">
        <v>4000.0</v>
      </c>
      <c r="E8882" s="94">
        <v>4.329</v>
      </c>
      <c r="F8882" s="993">
        <v>42446.594618055555</v>
      </c>
      <c r="G8882" s="94" t="s">
        <v>453</v>
      </c>
      <c r="H8882" s="987">
        <v>17.7</v>
      </c>
      <c r="I8882" s="988" t="s">
        <v>3145</v>
      </c>
      <c r="J8882" s="67">
        <f t="shared" si="508"/>
        <v>-17333.7</v>
      </c>
      <c r="L8882" s="70"/>
      <c r="M8882" s="934"/>
    </row>
    <row r="8883" ht="12.75" hidden="1" customHeight="1" outlineLevel="1">
      <c r="A8883" s="995">
        <v>42446.59478009259</v>
      </c>
      <c r="B8883" s="985" t="s">
        <v>343</v>
      </c>
      <c r="C8883" s="94" t="s">
        <v>1902</v>
      </c>
      <c r="D8883" s="286">
        <v>1600.0</v>
      </c>
      <c r="E8883" s="94">
        <v>8.429</v>
      </c>
      <c r="F8883" s="993">
        <v>42446.59478009259</v>
      </c>
      <c r="G8883" s="94" t="s">
        <v>453</v>
      </c>
      <c r="H8883" s="987">
        <v>6.4</v>
      </c>
      <c r="I8883" s="988" t="s">
        <v>3145</v>
      </c>
      <c r="J8883" s="67">
        <f t="shared" si="508"/>
        <v>-13492.8</v>
      </c>
      <c r="L8883" s="70"/>
      <c r="M8883" s="934"/>
    </row>
    <row r="8884" ht="12.75" hidden="1" customHeight="1" outlineLevel="1">
      <c r="A8884" s="995">
        <v>42446.59490740741</v>
      </c>
      <c r="B8884" s="985" t="s">
        <v>343</v>
      </c>
      <c r="C8884" s="94" t="s">
        <v>790</v>
      </c>
      <c r="D8884" s="286">
        <v>1700.0</v>
      </c>
      <c r="E8884" s="94">
        <v>5.719</v>
      </c>
      <c r="F8884" s="993">
        <v>42446.59490740741</v>
      </c>
      <c r="G8884" s="94" t="s">
        <v>453</v>
      </c>
      <c r="H8884" s="987">
        <v>6.8</v>
      </c>
      <c r="I8884" s="988" t="s">
        <v>3145</v>
      </c>
      <c r="J8884" s="67">
        <f t="shared" si="508"/>
        <v>-9729.1</v>
      </c>
      <c r="L8884" s="70"/>
      <c r="M8884" s="934"/>
    </row>
    <row r="8885" ht="12.75" hidden="1" customHeight="1" outlineLevel="1">
      <c r="A8885" s="995">
        <v>42446.600335648145</v>
      </c>
      <c r="B8885" s="985" t="s">
        <v>343</v>
      </c>
      <c r="C8885" s="94" t="s">
        <v>1947</v>
      </c>
      <c r="D8885" s="94">
        <v>700.0</v>
      </c>
      <c r="E8885" s="94">
        <v>37.977</v>
      </c>
      <c r="F8885" s="993">
        <v>42446.600335648145</v>
      </c>
      <c r="G8885" s="94" t="s">
        <v>453</v>
      </c>
      <c r="H8885" s="987">
        <v>3.5</v>
      </c>
      <c r="I8885" s="988" t="s">
        <v>3145</v>
      </c>
      <c r="J8885" s="67">
        <f t="shared" si="508"/>
        <v>-26587.4</v>
      </c>
      <c r="L8885" s="70"/>
      <c r="M8885" s="934"/>
    </row>
    <row r="8886" ht="12.75" hidden="1" customHeight="1" outlineLevel="1">
      <c r="A8886" s="995">
        <v>42446.60056712963</v>
      </c>
      <c r="B8886" s="985" t="s">
        <v>343</v>
      </c>
      <c r="C8886" s="94" t="s">
        <v>1633</v>
      </c>
      <c r="D8886" s="94">
        <v>700.0</v>
      </c>
      <c r="E8886" s="94">
        <v>12.11</v>
      </c>
      <c r="F8886" s="993">
        <v>42446.60056712963</v>
      </c>
      <c r="G8886" s="94" t="s">
        <v>453</v>
      </c>
      <c r="H8886" s="987">
        <v>3.5</v>
      </c>
      <c r="I8886" s="988" t="s">
        <v>3145</v>
      </c>
      <c r="J8886" s="67">
        <f t="shared" si="508"/>
        <v>-8480.5</v>
      </c>
      <c r="L8886" s="70"/>
      <c r="M8886" s="934"/>
    </row>
    <row r="8887" ht="12.75" hidden="1" customHeight="1" outlineLevel="1">
      <c r="A8887" s="995">
        <v>42446.600694444445</v>
      </c>
      <c r="B8887" s="985" t="s">
        <v>343</v>
      </c>
      <c r="C8887" s="94" t="s">
        <v>2009</v>
      </c>
      <c r="D8887" s="94">
        <v>500.0</v>
      </c>
      <c r="E8887" s="94">
        <v>16.638</v>
      </c>
      <c r="F8887" s="993">
        <v>42446.600694444445</v>
      </c>
      <c r="G8887" s="94" t="s">
        <v>453</v>
      </c>
      <c r="H8887" s="987">
        <v>2.5</v>
      </c>
      <c r="I8887" s="988" t="s">
        <v>3145</v>
      </c>
      <c r="J8887" s="67">
        <f t="shared" si="508"/>
        <v>-8321.5</v>
      </c>
      <c r="L8887" s="70"/>
      <c r="M8887" s="934"/>
    </row>
    <row r="8888" ht="12.75" hidden="1" customHeight="1" outlineLevel="1">
      <c r="A8888" s="995">
        <v>42446.600810185184</v>
      </c>
      <c r="B8888" s="985" t="s">
        <v>343</v>
      </c>
      <c r="C8888" s="94" t="s">
        <v>1882</v>
      </c>
      <c r="D8888" s="286">
        <v>1200.0</v>
      </c>
      <c r="E8888" s="94">
        <v>6.26</v>
      </c>
      <c r="F8888" s="993">
        <v>42446.600810185184</v>
      </c>
      <c r="G8888" s="94" t="s">
        <v>453</v>
      </c>
      <c r="H8888" s="987">
        <v>6.0</v>
      </c>
      <c r="I8888" s="988" t="s">
        <v>3145</v>
      </c>
      <c r="J8888" s="67">
        <f t="shared" si="508"/>
        <v>-7518</v>
      </c>
      <c r="L8888" s="70"/>
      <c r="M8888" s="934"/>
    </row>
    <row r="8889" ht="12.75" hidden="1" customHeight="1" outlineLevel="1">
      <c r="A8889" s="995">
        <v>42446.600949074076</v>
      </c>
      <c r="B8889" s="985" t="s">
        <v>343</v>
      </c>
      <c r="C8889" s="94" t="s">
        <v>2035</v>
      </c>
      <c r="D8889" s="94">
        <v>600.0</v>
      </c>
      <c r="E8889" s="94">
        <v>11.8299</v>
      </c>
      <c r="F8889" s="993">
        <v>42446.600949074076</v>
      </c>
      <c r="G8889" s="94" t="s">
        <v>453</v>
      </c>
      <c r="H8889" s="987">
        <v>2.4</v>
      </c>
      <c r="I8889" s="988" t="s">
        <v>3145</v>
      </c>
      <c r="J8889" s="67">
        <f t="shared" si="508"/>
        <v>-7100.34</v>
      </c>
      <c r="L8889" s="70"/>
      <c r="M8889" s="934"/>
    </row>
    <row r="8890" ht="12.75" hidden="1" customHeight="1" outlineLevel="1">
      <c r="A8890" s="995">
        <v>42446.60122685185</v>
      </c>
      <c r="B8890" s="985" t="s">
        <v>343</v>
      </c>
      <c r="C8890" s="94" t="s">
        <v>1890</v>
      </c>
      <c r="D8890" s="94">
        <v>600.0</v>
      </c>
      <c r="E8890" s="94">
        <v>11.4699</v>
      </c>
      <c r="F8890" s="993">
        <v>42446.60122685185</v>
      </c>
      <c r="G8890" s="94" t="s">
        <v>453</v>
      </c>
      <c r="H8890" s="987">
        <v>2.4</v>
      </c>
      <c r="I8890" s="988" t="s">
        <v>3145</v>
      </c>
      <c r="J8890" s="67">
        <f t="shared" si="508"/>
        <v>-6884.34</v>
      </c>
      <c r="L8890" s="70"/>
      <c r="M8890" s="934"/>
    </row>
    <row r="8891" ht="12.75" hidden="1" customHeight="1" outlineLevel="1">
      <c r="A8891" s="995">
        <v>42446.60375</v>
      </c>
      <c r="B8891" s="985" t="s">
        <v>347</v>
      </c>
      <c r="C8891" s="94" t="s">
        <v>1465</v>
      </c>
      <c r="D8891" s="94">
        <v>30.0</v>
      </c>
      <c r="E8891" s="94">
        <v>246.41</v>
      </c>
      <c r="F8891" s="993">
        <v>42446.60375</v>
      </c>
      <c r="G8891" s="94" t="s">
        <v>453</v>
      </c>
      <c r="H8891" s="987">
        <v>1.16</v>
      </c>
      <c r="I8891" s="988" t="s">
        <v>3145</v>
      </c>
      <c r="J8891" s="67">
        <f t="shared" si="508"/>
        <v>7391.14</v>
      </c>
      <c r="L8891" s="70"/>
      <c r="M8891" s="934"/>
    </row>
    <row r="8892" ht="12.75" hidden="1" customHeight="1" outlineLevel="1">
      <c r="A8892" s="995">
        <v>42446.60386574074</v>
      </c>
      <c r="B8892" s="985" t="s">
        <v>347</v>
      </c>
      <c r="C8892" s="94" t="s">
        <v>1244</v>
      </c>
      <c r="D8892" s="94">
        <v>100.0</v>
      </c>
      <c r="E8892" s="94">
        <v>89.7811</v>
      </c>
      <c r="F8892" s="993">
        <v>42446.60386574074</v>
      </c>
      <c r="G8892" s="94" t="s">
        <v>453</v>
      </c>
      <c r="H8892" s="987">
        <v>1.2</v>
      </c>
      <c r="I8892" s="988" t="s">
        <v>3145</v>
      </c>
      <c r="J8892" s="67">
        <f t="shared" si="508"/>
        <v>8976.91</v>
      </c>
      <c r="L8892" s="70"/>
      <c r="M8892" s="934"/>
    </row>
    <row r="8893" ht="12.75" hidden="1" customHeight="1" outlineLevel="1">
      <c r="A8893" s="995">
        <v>42446.604050925926</v>
      </c>
      <c r="B8893" s="985" t="s">
        <v>347</v>
      </c>
      <c r="C8893" s="94" t="s">
        <v>1249</v>
      </c>
      <c r="D8893" s="94">
        <v>400.0</v>
      </c>
      <c r="E8893" s="94">
        <v>86.007</v>
      </c>
      <c r="F8893" s="993">
        <v>42446.604050925926</v>
      </c>
      <c r="G8893" s="94" t="s">
        <v>453</v>
      </c>
      <c r="H8893" s="987">
        <v>2.75</v>
      </c>
      <c r="I8893" s="988" t="s">
        <v>3145</v>
      </c>
      <c r="J8893" s="67">
        <f t="shared" si="508"/>
        <v>34400.05</v>
      </c>
      <c r="L8893" s="70"/>
      <c r="M8893" s="934"/>
    </row>
    <row r="8894" ht="12.75" hidden="1" customHeight="1" outlineLevel="1">
      <c r="A8894" s="995">
        <v>42447.41668981482</v>
      </c>
      <c r="B8894" s="985" t="s">
        <v>343</v>
      </c>
      <c r="C8894" s="94" t="s">
        <v>344</v>
      </c>
      <c r="D8894" s="94">
        <v>200.0</v>
      </c>
      <c r="E8894" s="94">
        <v>53.74</v>
      </c>
      <c r="F8894" s="993">
        <v>42447.41668981482</v>
      </c>
      <c r="G8894" s="94" t="s">
        <v>453</v>
      </c>
      <c r="H8894" s="987">
        <v>1.0</v>
      </c>
      <c r="I8894" s="988" t="s">
        <v>3145</v>
      </c>
      <c r="J8894" s="67">
        <f t="shared" si="508"/>
        <v>-10749</v>
      </c>
      <c r="L8894" s="70"/>
      <c r="M8894" s="934"/>
    </row>
    <row r="8895" ht="12.75" hidden="1" customHeight="1" outlineLevel="1">
      <c r="A8895" s="995">
        <v>42450.40980324074</v>
      </c>
      <c r="B8895" s="985" t="s">
        <v>347</v>
      </c>
      <c r="C8895" s="94" t="s">
        <v>2210</v>
      </c>
      <c r="D8895" s="94">
        <v>200.0</v>
      </c>
      <c r="E8895" s="94">
        <v>91.39</v>
      </c>
      <c r="F8895" s="993">
        <v>42450.40980324074</v>
      </c>
      <c r="G8895" s="94" t="s">
        <v>453</v>
      </c>
      <c r="H8895" s="987">
        <v>1.4</v>
      </c>
      <c r="I8895" s="988" t="s">
        <v>3145</v>
      </c>
      <c r="J8895" s="67">
        <f t="shared" si="508"/>
        <v>18276.6</v>
      </c>
      <c r="L8895" s="70"/>
      <c r="M8895" s="934"/>
    </row>
    <row r="8896" ht="12.75" hidden="1" customHeight="1" outlineLevel="1">
      <c r="A8896" s="995">
        <v>42450.41599537037</v>
      </c>
      <c r="B8896" s="985" t="s">
        <v>347</v>
      </c>
      <c r="C8896" s="94" t="s">
        <v>2009</v>
      </c>
      <c r="D8896" s="94">
        <v>500.0</v>
      </c>
      <c r="E8896" s="94">
        <v>16.2102</v>
      </c>
      <c r="F8896" s="993">
        <v>42450.41599537037</v>
      </c>
      <c r="G8896" s="94" t="s">
        <v>453</v>
      </c>
      <c r="H8896" s="987">
        <v>2.18</v>
      </c>
      <c r="I8896" s="988" t="s">
        <v>3145</v>
      </c>
      <c r="J8896" s="67">
        <f t="shared" si="508"/>
        <v>8102.92</v>
      </c>
      <c r="L8896" s="70"/>
      <c r="M8896" s="934"/>
    </row>
    <row r="8897" ht="12.75" hidden="1" customHeight="1" outlineLevel="1">
      <c r="A8897" s="995">
        <v>42450.41707175926</v>
      </c>
      <c r="B8897" s="985" t="s">
        <v>347</v>
      </c>
      <c r="C8897" s="94" t="s">
        <v>1947</v>
      </c>
      <c r="D8897" s="94">
        <v>700.0</v>
      </c>
      <c r="E8897" s="94">
        <v>36.196</v>
      </c>
      <c r="F8897" s="993">
        <v>42450.41707175926</v>
      </c>
      <c r="G8897" s="94" t="s">
        <v>453</v>
      </c>
      <c r="H8897" s="987">
        <v>4.05</v>
      </c>
      <c r="I8897" s="988" t="s">
        <v>3145</v>
      </c>
      <c r="J8897" s="67">
        <f t="shared" si="508"/>
        <v>25333.15</v>
      </c>
      <c r="L8897" s="70"/>
      <c r="M8897" s="934"/>
    </row>
    <row r="8898" ht="12.75" hidden="1" customHeight="1" outlineLevel="1">
      <c r="A8898" s="995">
        <v>42450.41846064815</v>
      </c>
      <c r="B8898" s="985" t="s">
        <v>347</v>
      </c>
      <c r="C8898" s="94" t="s">
        <v>1893</v>
      </c>
      <c r="D8898" s="286">
        <v>1500.0</v>
      </c>
      <c r="E8898" s="94">
        <v>10.641</v>
      </c>
      <c r="F8898" s="993">
        <v>42450.41846064815</v>
      </c>
      <c r="G8898" s="94" t="s">
        <v>453</v>
      </c>
      <c r="H8898" s="987">
        <v>6.35</v>
      </c>
      <c r="I8898" s="988" t="s">
        <v>3145</v>
      </c>
      <c r="J8898" s="67">
        <f t="shared" si="508"/>
        <v>15955.15</v>
      </c>
      <c r="L8898" s="70"/>
      <c r="M8898" s="934"/>
    </row>
    <row r="8899" ht="12.75" hidden="1" customHeight="1" outlineLevel="1">
      <c r="A8899" s="995">
        <v>42450.4203125</v>
      </c>
      <c r="B8899" s="985" t="s">
        <v>347</v>
      </c>
      <c r="C8899" s="94" t="s">
        <v>2090</v>
      </c>
      <c r="D8899" s="286">
        <v>2700.0</v>
      </c>
      <c r="E8899" s="94">
        <v>8.387</v>
      </c>
      <c r="F8899" s="993">
        <v>42450.4203125</v>
      </c>
      <c r="G8899" s="94" t="s">
        <v>453</v>
      </c>
      <c r="H8899" s="987">
        <v>13.99</v>
      </c>
      <c r="I8899" s="988" t="s">
        <v>3145</v>
      </c>
      <c r="J8899" s="67">
        <f t="shared" si="508"/>
        <v>22630.91</v>
      </c>
      <c r="L8899" s="70"/>
      <c r="M8899" s="934"/>
    </row>
    <row r="8900" ht="12.75" hidden="1" customHeight="1" outlineLevel="1">
      <c r="A8900" s="995">
        <v>42450.420752314814</v>
      </c>
      <c r="B8900" s="985" t="s">
        <v>347</v>
      </c>
      <c r="C8900" s="94" t="s">
        <v>1882</v>
      </c>
      <c r="D8900" s="286">
        <v>1200.0</v>
      </c>
      <c r="E8900" s="94">
        <v>6.0001</v>
      </c>
      <c r="F8900" s="993">
        <v>42450.420752314814</v>
      </c>
      <c r="G8900" s="94" t="s">
        <v>453</v>
      </c>
      <c r="H8900" s="987">
        <v>4.96</v>
      </c>
      <c r="I8900" s="988" t="s">
        <v>3145</v>
      </c>
      <c r="J8900" s="67">
        <f t="shared" si="508"/>
        <v>7195.16</v>
      </c>
      <c r="L8900" s="70"/>
      <c r="M8900" s="934"/>
    </row>
    <row r="8901" ht="12.75" hidden="1" customHeight="1" outlineLevel="1">
      <c r="A8901" s="995">
        <v>42450.42300925926</v>
      </c>
      <c r="B8901" s="985" t="s">
        <v>347</v>
      </c>
      <c r="C8901" s="94" t="s">
        <v>1633</v>
      </c>
      <c r="D8901" s="286">
        <v>1100.0</v>
      </c>
      <c r="E8901" s="94">
        <v>11.645</v>
      </c>
      <c r="F8901" s="993">
        <v>42450.42300925926</v>
      </c>
      <c r="G8901" s="94" t="s">
        <v>453</v>
      </c>
      <c r="H8901" s="987">
        <v>5.78</v>
      </c>
      <c r="I8901" s="988" t="s">
        <v>3145</v>
      </c>
      <c r="J8901" s="67">
        <f t="shared" si="508"/>
        <v>12803.72</v>
      </c>
      <c r="L8901" s="70"/>
      <c r="M8901" s="934"/>
    </row>
    <row r="8902" ht="12.75" hidden="1" customHeight="1" outlineLevel="1">
      <c r="A8902" s="995">
        <v>42450.42358796296</v>
      </c>
      <c r="B8902" s="985" t="s">
        <v>343</v>
      </c>
      <c r="C8902" s="94" t="s">
        <v>1633</v>
      </c>
      <c r="D8902" s="94">
        <v>450.0</v>
      </c>
      <c r="E8902" s="94">
        <v>11.629</v>
      </c>
      <c r="F8902" s="993">
        <v>42450.42358796296</v>
      </c>
      <c r="G8902" s="94" t="s">
        <v>453</v>
      </c>
      <c r="H8902" s="987">
        <v>1.8</v>
      </c>
      <c r="I8902" s="988" t="s">
        <v>3145</v>
      </c>
      <c r="J8902" s="67">
        <f t="shared" si="508"/>
        <v>-5234.85</v>
      </c>
      <c r="L8902" s="70"/>
      <c r="M8902" s="934"/>
    </row>
    <row r="8903" ht="12.75" hidden="1" customHeight="1" outlineLevel="1">
      <c r="A8903" s="995">
        <v>42450.42429398148</v>
      </c>
      <c r="B8903" s="985" t="s">
        <v>347</v>
      </c>
      <c r="C8903" s="94" t="s">
        <v>2035</v>
      </c>
      <c r="D8903" s="94">
        <v>700.0</v>
      </c>
      <c r="E8903" s="94">
        <v>10.52</v>
      </c>
      <c r="F8903" s="993">
        <v>42450.42429398148</v>
      </c>
      <c r="G8903" s="94" t="s">
        <v>453</v>
      </c>
      <c r="H8903" s="987">
        <v>3.66</v>
      </c>
      <c r="I8903" s="988" t="s">
        <v>3145</v>
      </c>
      <c r="J8903" s="67">
        <f t="shared" si="508"/>
        <v>7360.34</v>
      </c>
      <c r="L8903" s="70"/>
      <c r="M8903" s="934"/>
    </row>
    <row r="8904" ht="12.75" hidden="1" customHeight="1" outlineLevel="1">
      <c r="A8904" s="995">
        <v>42450.42457175926</v>
      </c>
      <c r="B8904" s="985" t="s">
        <v>347</v>
      </c>
      <c r="C8904" s="94" t="s">
        <v>1890</v>
      </c>
      <c r="D8904" s="94">
        <v>700.0</v>
      </c>
      <c r="E8904" s="94">
        <v>11.002</v>
      </c>
      <c r="F8904" s="993">
        <v>42450.42457175926</v>
      </c>
      <c r="G8904" s="94" t="s">
        <v>453</v>
      </c>
      <c r="H8904" s="987">
        <v>3.27</v>
      </c>
      <c r="I8904" s="988" t="s">
        <v>3145</v>
      </c>
      <c r="J8904" s="67">
        <f t="shared" si="508"/>
        <v>7698.13</v>
      </c>
      <c r="L8904" s="70"/>
      <c r="M8904" s="934"/>
    </row>
    <row r="8905" ht="12.75" hidden="1" customHeight="1" outlineLevel="1">
      <c r="A8905" s="995">
        <v>42450.42513888889</v>
      </c>
      <c r="B8905" s="985" t="s">
        <v>347</v>
      </c>
      <c r="C8905" s="94" t="s">
        <v>790</v>
      </c>
      <c r="D8905" s="286">
        <v>1300.0</v>
      </c>
      <c r="E8905" s="94">
        <v>5.642</v>
      </c>
      <c r="F8905" s="993">
        <v>42450.42513888889</v>
      </c>
      <c r="G8905" s="94" t="s">
        <v>453</v>
      </c>
      <c r="H8905" s="987">
        <v>5.76</v>
      </c>
      <c r="I8905" s="988" t="s">
        <v>3145</v>
      </c>
      <c r="J8905" s="67">
        <f t="shared" si="508"/>
        <v>7328.84</v>
      </c>
      <c r="L8905" s="70"/>
      <c r="M8905" s="934"/>
    </row>
    <row r="8906" ht="12.75" hidden="1" customHeight="1" outlineLevel="1">
      <c r="A8906" s="995">
        <v>42450.42582175926</v>
      </c>
      <c r="B8906" s="985" t="s">
        <v>347</v>
      </c>
      <c r="C8906" s="94" t="s">
        <v>784</v>
      </c>
      <c r="D8906" s="286">
        <v>6000.0</v>
      </c>
      <c r="E8906" s="94">
        <v>4.22</v>
      </c>
      <c r="F8906" s="993">
        <v>42450.42582175926</v>
      </c>
      <c r="G8906" s="94" t="s">
        <v>453</v>
      </c>
      <c r="H8906" s="987">
        <v>30.55</v>
      </c>
      <c r="I8906" s="988" t="s">
        <v>3145</v>
      </c>
      <c r="J8906" s="67">
        <f t="shared" si="508"/>
        <v>25289.45</v>
      </c>
      <c r="L8906" s="70"/>
      <c r="M8906" s="934"/>
    </row>
    <row r="8907" ht="12.75" hidden="1" customHeight="1" outlineLevel="1">
      <c r="A8907" s="995">
        <v>42450.426782407405</v>
      </c>
      <c r="B8907" s="985" t="s">
        <v>347</v>
      </c>
      <c r="C8907" s="94" t="s">
        <v>3024</v>
      </c>
      <c r="D8907" s="94">
        <v>200.0</v>
      </c>
      <c r="E8907" s="94">
        <v>17.23</v>
      </c>
      <c r="F8907" s="993">
        <v>42450.426782407405</v>
      </c>
      <c r="G8907" s="94" t="s">
        <v>453</v>
      </c>
      <c r="H8907" s="987">
        <v>1.08</v>
      </c>
      <c r="I8907" s="988" t="s">
        <v>3145</v>
      </c>
      <c r="J8907" s="67">
        <f t="shared" si="508"/>
        <v>3444.92</v>
      </c>
      <c r="L8907" s="70"/>
      <c r="M8907" s="934"/>
    </row>
    <row r="8908" ht="12.75" hidden="1" customHeight="1" outlineLevel="1">
      <c r="A8908" s="995">
        <v>42450.427465277775</v>
      </c>
      <c r="B8908" s="985" t="s">
        <v>347</v>
      </c>
      <c r="C8908" s="94" t="s">
        <v>1902</v>
      </c>
      <c r="D8908" s="286">
        <v>1000.0</v>
      </c>
      <c r="E8908" s="94">
        <v>8.1</v>
      </c>
      <c r="F8908" s="993">
        <v>42450.427465277775</v>
      </c>
      <c r="G8908" s="94" t="s">
        <v>453</v>
      </c>
      <c r="H8908" s="987">
        <v>4.18</v>
      </c>
      <c r="I8908" s="988" t="s">
        <v>3145</v>
      </c>
      <c r="J8908" s="67">
        <f t="shared" si="508"/>
        <v>8095.82</v>
      </c>
      <c r="L8908" s="70"/>
      <c r="M8908" s="934"/>
    </row>
    <row r="8909" ht="12.75" hidden="1" customHeight="1" outlineLevel="1">
      <c r="A8909" s="995">
        <v>42450.429131944446</v>
      </c>
      <c r="B8909" s="985" t="s">
        <v>347</v>
      </c>
      <c r="C8909" s="94" t="s">
        <v>1905</v>
      </c>
      <c r="D8909" s="94">
        <v>800.0</v>
      </c>
      <c r="E8909" s="94">
        <v>19.53</v>
      </c>
      <c r="F8909" s="993">
        <v>42450.429131944446</v>
      </c>
      <c r="G8909" s="94" t="s">
        <v>453</v>
      </c>
      <c r="H8909" s="987">
        <v>3.54</v>
      </c>
      <c r="I8909" s="988" t="s">
        <v>3145</v>
      </c>
      <c r="J8909" s="67">
        <f t="shared" si="508"/>
        <v>15620.46</v>
      </c>
      <c r="L8909" s="70"/>
      <c r="M8909" s="934"/>
    </row>
    <row r="8910" ht="12.75" hidden="1" customHeight="1" outlineLevel="1">
      <c r="A8910" s="995">
        <v>42450.43032407408</v>
      </c>
      <c r="B8910" s="985" t="s">
        <v>347</v>
      </c>
      <c r="C8910" s="94" t="s">
        <v>3024</v>
      </c>
      <c r="D8910" s="94">
        <v>900.0</v>
      </c>
      <c r="E8910" s="94">
        <v>17.1511</v>
      </c>
      <c r="F8910" s="993">
        <v>42450.43032407408</v>
      </c>
      <c r="G8910" s="94" t="s">
        <v>453</v>
      </c>
      <c r="H8910" s="987">
        <v>3.94</v>
      </c>
      <c r="I8910" s="988" t="s">
        <v>3145</v>
      </c>
      <c r="J8910" s="67">
        <f t="shared" si="508"/>
        <v>15432.05</v>
      </c>
      <c r="L8910" s="70"/>
      <c r="M8910" s="934"/>
    </row>
    <row r="8911" ht="12.75" hidden="1" customHeight="1" outlineLevel="1">
      <c r="A8911" s="995">
        <v>42450.440347222226</v>
      </c>
      <c r="B8911" s="985" t="s">
        <v>343</v>
      </c>
      <c r="C8911" s="94" t="s">
        <v>1244</v>
      </c>
      <c r="D8911" s="94">
        <v>200.0</v>
      </c>
      <c r="E8911" s="94">
        <v>92.27</v>
      </c>
      <c r="F8911" s="993">
        <v>42450.440347222226</v>
      </c>
      <c r="G8911" s="94" t="s">
        <v>453</v>
      </c>
      <c r="H8911" s="987">
        <v>1.0</v>
      </c>
      <c r="I8911" s="988" t="s">
        <v>3145</v>
      </c>
      <c r="J8911" s="67">
        <f t="shared" si="508"/>
        <v>-18455</v>
      </c>
      <c r="L8911" s="70"/>
      <c r="M8911" s="934"/>
    </row>
    <row r="8912" ht="12.75" hidden="1" customHeight="1" outlineLevel="1">
      <c r="A8912" s="995">
        <v>42450.44075231482</v>
      </c>
      <c r="B8912" s="985" t="s">
        <v>343</v>
      </c>
      <c r="C8912" s="94" t="s">
        <v>1465</v>
      </c>
      <c r="D8912" s="94">
        <v>70.0</v>
      </c>
      <c r="E8912" s="94">
        <v>253.54</v>
      </c>
      <c r="F8912" s="993">
        <v>42450.44075231482</v>
      </c>
      <c r="G8912" s="94" t="s">
        <v>453</v>
      </c>
      <c r="H8912" s="987">
        <v>1.0</v>
      </c>
      <c r="I8912" s="988" t="s">
        <v>3145</v>
      </c>
      <c r="J8912" s="67">
        <f t="shared" si="508"/>
        <v>-17748.8</v>
      </c>
      <c r="L8912" s="70"/>
      <c r="M8912" s="934"/>
    </row>
    <row r="8913" ht="12.75" hidden="1" customHeight="1" outlineLevel="1">
      <c r="A8913" s="995">
        <v>42450.44137731481</v>
      </c>
      <c r="B8913" s="985" t="s">
        <v>343</v>
      </c>
      <c r="C8913" s="94" t="s">
        <v>1249</v>
      </c>
      <c r="D8913" s="94">
        <v>500.0</v>
      </c>
      <c r="E8913" s="94">
        <v>87.209</v>
      </c>
      <c r="F8913" s="993">
        <v>42450.44137731481</v>
      </c>
      <c r="G8913" s="94" t="s">
        <v>453</v>
      </c>
      <c r="H8913" s="987">
        <v>2.2</v>
      </c>
      <c r="I8913" s="988" t="s">
        <v>3145</v>
      </c>
      <c r="J8913" s="67">
        <f t="shared" si="508"/>
        <v>-43606.7</v>
      </c>
      <c r="L8913" s="70"/>
      <c r="M8913" s="934"/>
    </row>
    <row r="8914" ht="12.75" hidden="1" customHeight="1" outlineLevel="1">
      <c r="A8914" s="995">
        <v>42450.44190972222</v>
      </c>
      <c r="B8914" s="985" t="s">
        <v>343</v>
      </c>
      <c r="C8914" s="94" t="s">
        <v>1345</v>
      </c>
      <c r="D8914" s="94">
        <v>100.0</v>
      </c>
      <c r="E8914" s="94">
        <v>145.75</v>
      </c>
      <c r="F8914" s="993">
        <v>42450.44190972222</v>
      </c>
      <c r="G8914" s="94" t="s">
        <v>453</v>
      </c>
      <c r="H8914" s="987">
        <v>1.0</v>
      </c>
      <c r="I8914" s="988" t="s">
        <v>3145</v>
      </c>
      <c r="J8914" s="67">
        <f t="shared" si="508"/>
        <v>-14576</v>
      </c>
      <c r="L8914" s="70"/>
      <c r="M8914" s="934"/>
    </row>
    <row r="8915" ht="12.75" hidden="1" customHeight="1" outlineLevel="1">
      <c r="A8915" s="995">
        <v>42450.45328703704</v>
      </c>
      <c r="B8915" s="985" t="s">
        <v>343</v>
      </c>
      <c r="C8915" s="94" t="s">
        <v>352</v>
      </c>
      <c r="D8915" s="94">
        <v>150.0</v>
      </c>
      <c r="E8915" s="94">
        <v>50.239</v>
      </c>
      <c r="F8915" s="993">
        <v>42450.45328703704</v>
      </c>
      <c r="G8915" s="94" t="s">
        <v>453</v>
      </c>
      <c r="H8915" s="987">
        <v>1.0</v>
      </c>
      <c r="I8915" s="988" t="s">
        <v>3145</v>
      </c>
      <c r="J8915" s="67">
        <f t="shared" si="508"/>
        <v>-7536.85</v>
      </c>
      <c r="L8915" s="70"/>
      <c r="M8915" s="934"/>
    </row>
    <row r="8916" ht="12.75" hidden="1" customHeight="1" outlineLevel="1">
      <c r="A8916" s="995">
        <v>42450.45361111111</v>
      </c>
      <c r="B8916" s="985" t="s">
        <v>343</v>
      </c>
      <c r="C8916" s="94" t="s">
        <v>2479</v>
      </c>
      <c r="D8916" s="94">
        <v>70.0</v>
      </c>
      <c r="E8916" s="94">
        <v>111.94</v>
      </c>
      <c r="F8916" s="993">
        <v>42450.45361111111</v>
      </c>
      <c r="G8916" s="94" t="s">
        <v>453</v>
      </c>
      <c r="H8916" s="987">
        <v>1.0</v>
      </c>
      <c r="I8916" s="988" t="s">
        <v>3145</v>
      </c>
      <c r="J8916" s="67">
        <f t="shared" si="508"/>
        <v>-7836.8</v>
      </c>
      <c r="L8916" s="70"/>
      <c r="M8916" s="934"/>
    </row>
    <row r="8917" ht="12.75" hidden="1" customHeight="1" outlineLevel="1">
      <c r="A8917" s="995">
        <v>42450.45391203704</v>
      </c>
      <c r="B8917" s="985" t="s">
        <v>343</v>
      </c>
      <c r="C8917" s="94" t="s">
        <v>2377</v>
      </c>
      <c r="D8917" s="94">
        <v>70.0</v>
      </c>
      <c r="E8917" s="94">
        <v>114.0089</v>
      </c>
      <c r="F8917" s="993">
        <v>42450.45391203704</v>
      </c>
      <c r="G8917" s="94" t="s">
        <v>453</v>
      </c>
      <c r="H8917" s="987">
        <v>1.0</v>
      </c>
      <c r="I8917" s="988" t="s">
        <v>3145</v>
      </c>
      <c r="J8917" s="67">
        <f t="shared" si="508"/>
        <v>-7981.623</v>
      </c>
      <c r="L8917" s="70"/>
      <c r="M8917" s="934"/>
    </row>
    <row r="8918" ht="12.75" hidden="1" customHeight="1" outlineLevel="1">
      <c r="A8918" s="995">
        <v>42451.429085648146</v>
      </c>
      <c r="B8918" s="985" t="s">
        <v>343</v>
      </c>
      <c r="C8918" s="94" t="s">
        <v>1345</v>
      </c>
      <c r="D8918" s="94">
        <v>100.0</v>
      </c>
      <c r="E8918" s="94">
        <v>149.05</v>
      </c>
      <c r="F8918" s="993">
        <v>42451.429085648146</v>
      </c>
      <c r="G8918" s="94" t="s">
        <v>453</v>
      </c>
      <c r="H8918" s="987">
        <v>1.0</v>
      </c>
      <c r="I8918" s="988" t="s">
        <v>3145</v>
      </c>
      <c r="J8918" s="67">
        <f t="shared" si="508"/>
        <v>-14906</v>
      </c>
      <c r="L8918" s="70"/>
      <c r="M8918" s="934"/>
    </row>
    <row r="8919" ht="12.75" hidden="1" customHeight="1" outlineLevel="1">
      <c r="A8919" s="995">
        <v>42451.42986111111</v>
      </c>
      <c r="B8919" s="985" t="s">
        <v>347</v>
      </c>
      <c r="C8919" s="94" t="s">
        <v>1947</v>
      </c>
      <c r="D8919" s="94">
        <v>400.0</v>
      </c>
      <c r="E8919" s="94">
        <v>35.292</v>
      </c>
      <c r="F8919" s="993">
        <v>42451.42986111111</v>
      </c>
      <c r="G8919" s="94" t="s">
        <v>453</v>
      </c>
      <c r="H8919" s="987">
        <v>1.91</v>
      </c>
      <c r="I8919" s="988" t="s">
        <v>3145</v>
      </c>
      <c r="J8919" s="67">
        <f t="shared" si="508"/>
        <v>14114.89</v>
      </c>
      <c r="L8919" s="70"/>
      <c r="M8919" s="934"/>
    </row>
    <row r="8920" ht="12.75" hidden="1" customHeight="1" outlineLevel="1">
      <c r="A8920" s="202">
        <v>42453.0</v>
      </c>
      <c r="B8920" s="985" t="s">
        <v>347</v>
      </c>
      <c r="C8920" s="94" t="s">
        <v>1839</v>
      </c>
      <c r="D8920" s="286">
        <v>1500.0</v>
      </c>
      <c r="E8920" s="94">
        <v>3.98</v>
      </c>
      <c r="F8920" s="986">
        <v>0.4255671296296296</v>
      </c>
      <c r="G8920" s="94" t="s">
        <v>453</v>
      </c>
      <c r="H8920" s="987">
        <v>7.63</v>
      </c>
      <c r="I8920" s="988" t="s">
        <v>3145</v>
      </c>
      <c r="J8920" s="67">
        <f t="shared" si="508"/>
        <v>5962.37</v>
      </c>
      <c r="L8920" s="70"/>
      <c r="M8920" s="934"/>
    </row>
    <row r="8921" ht="12.75" hidden="1" customHeight="1" outlineLevel="1">
      <c r="A8921" s="990">
        <v>42453.0</v>
      </c>
      <c r="B8921" s="992"/>
      <c r="C8921" s="32" t="s">
        <v>339</v>
      </c>
      <c r="D8921" s="1"/>
      <c r="F8921" s="1"/>
      <c r="G8921" s="1"/>
      <c r="H8921" s="68"/>
      <c r="I8921" s="76"/>
      <c r="K8921" s="994" t="s">
        <v>3336</v>
      </c>
      <c r="L8921" s="934"/>
      <c r="M8921" s="934"/>
    </row>
    <row r="8922" ht="12.75" hidden="1" customHeight="1" outlineLevel="1">
      <c r="A8922" s="990">
        <v>42453.0</v>
      </c>
      <c r="B8922" s="992"/>
      <c r="C8922" s="32" t="s">
        <v>429</v>
      </c>
      <c r="D8922" s="1"/>
      <c r="F8922" s="1"/>
      <c r="G8922" s="1"/>
      <c r="H8922" s="68"/>
      <c r="I8922" s="76"/>
      <c r="K8922" s="9" t="s">
        <v>3187</v>
      </c>
      <c r="L8922" s="934"/>
      <c r="M8922" s="934"/>
    </row>
    <row r="8923" ht="12.75" hidden="1" customHeight="1" outlineLevel="1">
      <c r="A8923" s="990">
        <v>42453.0</v>
      </c>
      <c r="B8923" s="992"/>
      <c r="C8923" s="32" t="s">
        <v>431</v>
      </c>
      <c r="D8923" s="1"/>
      <c r="F8923" s="1"/>
      <c r="G8923" s="1"/>
      <c r="H8923" s="68"/>
      <c r="I8923" s="76"/>
      <c r="K8923" s="7" t="s">
        <v>1126</v>
      </c>
      <c r="L8923" s="934"/>
      <c r="M8923" s="934"/>
    </row>
    <row r="8924" ht="12.75" hidden="1" customHeight="1" outlineLevel="1">
      <c r="A8924" s="990">
        <v>42453.0</v>
      </c>
      <c r="B8924" s="992"/>
      <c r="C8924" s="32" t="s">
        <v>433</v>
      </c>
      <c r="D8924" s="1"/>
      <c r="F8924" s="1"/>
      <c r="G8924" s="1"/>
      <c r="H8924" s="68"/>
      <c r="I8924" s="76"/>
      <c r="K8924" s="7" t="s">
        <v>1103</v>
      </c>
      <c r="L8924" s="934"/>
      <c r="M8924" s="934"/>
    </row>
    <row r="8925" ht="12.75" hidden="1" customHeight="1" outlineLevel="1">
      <c r="A8925" s="990">
        <v>42453.0</v>
      </c>
      <c r="B8925" s="992"/>
      <c r="C8925" s="32" t="s">
        <v>435</v>
      </c>
      <c r="D8925" s="1"/>
      <c r="F8925" s="1"/>
      <c r="G8925" s="1"/>
      <c r="H8925" s="68"/>
      <c r="I8925" s="76"/>
      <c r="K8925" s="9" t="s">
        <v>3331</v>
      </c>
      <c r="L8925" s="934"/>
      <c r="M8925" s="934"/>
    </row>
    <row r="8926" ht="12.75" hidden="1" customHeight="1" outlineLevel="1">
      <c r="A8926" s="202">
        <v>42457.0</v>
      </c>
      <c r="B8926" s="985" t="s">
        <v>347</v>
      </c>
      <c r="C8926" s="94" t="s">
        <v>1902</v>
      </c>
      <c r="D8926" s="94">
        <v>300.0</v>
      </c>
      <c r="E8926" s="94">
        <v>6.8702</v>
      </c>
      <c r="F8926" s="986">
        <v>0.46421296296296294</v>
      </c>
      <c r="G8926" s="94" t="s">
        <v>453</v>
      </c>
      <c r="H8926" s="987">
        <v>1.24</v>
      </c>
      <c r="I8926" s="988" t="s">
        <v>3145</v>
      </c>
      <c r="J8926" s="67">
        <f t="shared" ref="J8926:J8927" si="509">IF(B8926="SLD",D8926*E8926,-D8926*E8926)-H8926</f>
        <v>2059.82</v>
      </c>
      <c r="L8926" s="70"/>
      <c r="M8926" s="934"/>
    </row>
    <row r="8927" ht="12.75" hidden="1" customHeight="1" outlineLevel="1">
      <c r="A8927" s="202">
        <v>42459.0</v>
      </c>
      <c r="B8927" s="985" t="s">
        <v>347</v>
      </c>
      <c r="C8927" s="94" t="s">
        <v>2377</v>
      </c>
      <c r="D8927" s="94">
        <v>70.0</v>
      </c>
      <c r="E8927" s="94">
        <v>107.36</v>
      </c>
      <c r="F8927" s="986">
        <v>0.6288657407407408</v>
      </c>
      <c r="G8927" s="94" t="s">
        <v>453</v>
      </c>
      <c r="H8927" s="987">
        <v>1.16</v>
      </c>
      <c r="I8927" s="988" t="s">
        <v>3145</v>
      </c>
      <c r="J8927" s="67">
        <f t="shared" si="509"/>
        <v>7514.04</v>
      </c>
      <c r="L8927" s="70"/>
      <c r="M8927" s="934"/>
    </row>
    <row r="8928" ht="12.75" hidden="1" customHeight="1" outlineLevel="1">
      <c r="A8928" s="990">
        <v>42459.0</v>
      </c>
      <c r="B8928" s="992"/>
      <c r="C8928" s="32" t="s">
        <v>339</v>
      </c>
      <c r="D8928" s="1"/>
      <c r="F8928" s="1"/>
      <c r="G8928" s="1"/>
      <c r="H8928" s="68"/>
      <c r="I8928" s="76"/>
      <c r="K8928" s="994" t="s">
        <v>3337</v>
      </c>
      <c r="L8928" s="934"/>
      <c r="M8928" s="934"/>
    </row>
    <row r="8929" ht="12.75" hidden="1" customHeight="1" outlineLevel="1">
      <c r="A8929" s="990">
        <v>42459.0</v>
      </c>
      <c r="B8929" s="992"/>
      <c r="C8929" s="32" t="s">
        <v>429</v>
      </c>
      <c r="D8929" s="1"/>
      <c r="F8929" s="1"/>
      <c r="G8929" s="1"/>
      <c r="H8929" s="68"/>
      <c r="I8929" s="76"/>
      <c r="K8929" s="9" t="s">
        <v>3187</v>
      </c>
      <c r="L8929" s="934"/>
      <c r="M8929" s="934"/>
    </row>
    <row r="8930" ht="12.75" hidden="1" customHeight="1" outlineLevel="1">
      <c r="A8930" s="990">
        <v>42459.0</v>
      </c>
      <c r="B8930" s="992"/>
      <c r="C8930" s="32" t="s">
        <v>431</v>
      </c>
      <c r="D8930" s="1"/>
      <c r="F8930" s="1"/>
      <c r="G8930" s="1"/>
      <c r="H8930" s="68"/>
      <c r="I8930" s="76"/>
      <c r="K8930" s="7" t="s">
        <v>1126</v>
      </c>
      <c r="L8930" s="934"/>
      <c r="M8930" s="934"/>
    </row>
    <row r="8931" ht="12.75" hidden="1" customHeight="1" outlineLevel="1">
      <c r="A8931" s="990">
        <v>42459.0</v>
      </c>
      <c r="B8931" s="992"/>
      <c r="C8931" s="32" t="s">
        <v>433</v>
      </c>
      <c r="D8931" s="1"/>
      <c r="F8931" s="1"/>
      <c r="G8931" s="1"/>
      <c r="H8931" s="68"/>
      <c r="I8931" s="76"/>
      <c r="K8931" s="7" t="s">
        <v>1103</v>
      </c>
      <c r="L8931" s="934"/>
      <c r="M8931" s="934"/>
    </row>
    <row r="8932" ht="12.75" hidden="1" customHeight="1" outlineLevel="1">
      <c r="A8932" s="990">
        <v>42459.0</v>
      </c>
      <c r="B8932" s="992"/>
      <c r="C8932" s="32" t="s">
        <v>435</v>
      </c>
      <c r="D8932" s="1"/>
      <c r="F8932" s="1"/>
      <c r="G8932" s="1"/>
      <c r="H8932" s="68"/>
      <c r="I8932" s="76"/>
      <c r="K8932" s="9" t="s">
        <v>3331</v>
      </c>
      <c r="L8932" s="934"/>
      <c r="M8932" s="934"/>
    </row>
    <row r="8933" ht="12.75" hidden="1" customHeight="1" outlineLevel="1">
      <c r="A8933" s="202">
        <v>42467.0</v>
      </c>
      <c r="B8933" s="985" t="s">
        <v>347</v>
      </c>
      <c r="C8933" s="94" t="s">
        <v>346</v>
      </c>
      <c r="D8933" s="94">
        <v>100.0</v>
      </c>
      <c r="E8933" s="94">
        <v>108.871</v>
      </c>
      <c r="F8933" s="986">
        <v>0.5855092592592592</v>
      </c>
      <c r="G8933" s="94" t="s">
        <v>453</v>
      </c>
      <c r="H8933" s="987">
        <v>1.24</v>
      </c>
      <c r="I8933" s="988" t="s">
        <v>3145</v>
      </c>
      <c r="J8933" s="67">
        <f t="shared" ref="J8933:J8949" si="510">IF(B8933="SLD",D8933*E8933,-D8933*E8933)-H8933</f>
        <v>10885.86</v>
      </c>
      <c r="L8933" s="70"/>
      <c r="M8933" s="934"/>
    </row>
    <row r="8934" ht="12.75" hidden="1" customHeight="1" outlineLevel="1">
      <c r="A8934" s="202">
        <v>42467.0</v>
      </c>
      <c r="B8934" s="985" t="s">
        <v>347</v>
      </c>
      <c r="C8934" s="94" t="s">
        <v>3006</v>
      </c>
      <c r="D8934" s="94">
        <v>200.0</v>
      </c>
      <c r="E8934" s="94">
        <v>60.785</v>
      </c>
      <c r="F8934" s="986">
        <v>0.5854166666666667</v>
      </c>
      <c r="G8934" s="94" t="s">
        <v>453</v>
      </c>
      <c r="H8934" s="987">
        <v>1.27</v>
      </c>
      <c r="I8934" s="988" t="s">
        <v>3145</v>
      </c>
      <c r="J8934" s="67">
        <f t="shared" si="510"/>
        <v>12155.73</v>
      </c>
      <c r="L8934" s="70"/>
      <c r="M8934" s="934"/>
    </row>
    <row r="8935" ht="12.75" hidden="1" customHeight="1" outlineLevel="1">
      <c r="A8935" s="202">
        <v>42467.0</v>
      </c>
      <c r="B8935" s="985" t="s">
        <v>347</v>
      </c>
      <c r="C8935" s="94" t="s">
        <v>2035</v>
      </c>
      <c r="D8935" s="94">
        <v>500.0</v>
      </c>
      <c r="E8935" s="94">
        <v>8.42</v>
      </c>
      <c r="F8935" s="986">
        <v>0.5790393518518518</v>
      </c>
      <c r="G8935" s="94" t="s">
        <v>453</v>
      </c>
      <c r="H8935" s="987">
        <v>2.59</v>
      </c>
      <c r="I8935" s="988" t="s">
        <v>3145</v>
      </c>
      <c r="J8935" s="67">
        <f t="shared" si="510"/>
        <v>4207.41</v>
      </c>
      <c r="L8935" s="70"/>
      <c r="M8935" s="934"/>
    </row>
    <row r="8936" ht="12.75" hidden="1" customHeight="1" outlineLevel="1">
      <c r="A8936" s="202">
        <v>42467.0</v>
      </c>
      <c r="B8936" s="985" t="s">
        <v>347</v>
      </c>
      <c r="C8936" s="94" t="s">
        <v>1902</v>
      </c>
      <c r="D8936" s="94">
        <v>800.0</v>
      </c>
      <c r="E8936" s="94">
        <v>6.761</v>
      </c>
      <c r="F8936" s="986">
        <v>0.5450578703703703</v>
      </c>
      <c r="G8936" s="94" t="s">
        <v>453</v>
      </c>
      <c r="H8936" s="987">
        <v>3.32</v>
      </c>
      <c r="I8936" s="988" t="s">
        <v>3145</v>
      </c>
      <c r="J8936" s="67">
        <f t="shared" si="510"/>
        <v>5405.48</v>
      </c>
      <c r="L8936" s="70"/>
      <c r="M8936" s="934"/>
    </row>
    <row r="8937" ht="12.75" hidden="1" customHeight="1" outlineLevel="1">
      <c r="A8937" s="202">
        <v>42467.0</v>
      </c>
      <c r="B8937" s="985" t="s">
        <v>347</v>
      </c>
      <c r="C8937" s="94" t="s">
        <v>2035</v>
      </c>
      <c r="D8937" s="94">
        <v>200.0</v>
      </c>
      <c r="E8937" s="94">
        <v>8.55</v>
      </c>
      <c r="F8937" s="986">
        <v>0.528449074074074</v>
      </c>
      <c r="G8937" s="94" t="s">
        <v>453</v>
      </c>
      <c r="H8937" s="987">
        <v>1.04</v>
      </c>
      <c r="I8937" s="988" t="s">
        <v>3145</v>
      </c>
      <c r="J8937" s="67">
        <f t="shared" si="510"/>
        <v>1708.96</v>
      </c>
      <c r="L8937" s="70"/>
      <c r="M8937" s="934"/>
    </row>
    <row r="8938" ht="12.75" hidden="1" customHeight="1" outlineLevel="1">
      <c r="A8938" s="202">
        <v>42467.0</v>
      </c>
      <c r="B8938" s="985" t="s">
        <v>347</v>
      </c>
      <c r="C8938" s="94" t="s">
        <v>790</v>
      </c>
      <c r="D8938" s="94">
        <v>300.0</v>
      </c>
      <c r="E8938" s="94">
        <v>5.26</v>
      </c>
      <c r="F8938" s="986">
        <v>0.5281828703703704</v>
      </c>
      <c r="G8938" s="94" t="s">
        <v>453</v>
      </c>
      <c r="H8938" s="987">
        <v>1.53</v>
      </c>
      <c r="I8938" s="988" t="s">
        <v>3145</v>
      </c>
      <c r="J8938" s="67">
        <f t="shared" si="510"/>
        <v>1576.47</v>
      </c>
      <c r="L8938" s="70"/>
      <c r="M8938" s="934"/>
    </row>
    <row r="8939" ht="12.75" hidden="1" customHeight="1" outlineLevel="1">
      <c r="A8939" s="202">
        <v>42467.0</v>
      </c>
      <c r="B8939" s="985" t="s">
        <v>347</v>
      </c>
      <c r="C8939" s="94" t="s">
        <v>1882</v>
      </c>
      <c r="D8939" s="94">
        <v>300.0</v>
      </c>
      <c r="E8939" s="94">
        <v>5.7801</v>
      </c>
      <c r="F8939" s="986">
        <v>0.527337962962963</v>
      </c>
      <c r="G8939" s="94" t="s">
        <v>453</v>
      </c>
      <c r="H8939" s="987">
        <v>1.24</v>
      </c>
      <c r="I8939" s="988" t="s">
        <v>3145</v>
      </c>
      <c r="J8939" s="67">
        <f t="shared" si="510"/>
        <v>1732.79</v>
      </c>
      <c r="L8939" s="70"/>
      <c r="M8939" s="934"/>
    </row>
    <row r="8940" ht="12.75" hidden="1" customHeight="1" outlineLevel="1">
      <c r="A8940" s="202">
        <v>42467.0</v>
      </c>
      <c r="B8940" s="985" t="s">
        <v>347</v>
      </c>
      <c r="C8940" s="94" t="s">
        <v>1633</v>
      </c>
      <c r="D8940" s="94">
        <v>150.0</v>
      </c>
      <c r="E8940" s="94">
        <v>11.0501</v>
      </c>
      <c r="F8940" s="986">
        <v>0.5268055555555555</v>
      </c>
      <c r="G8940" s="94" t="s">
        <v>453</v>
      </c>
      <c r="H8940" s="987">
        <v>1.04</v>
      </c>
      <c r="I8940" s="988" t="s">
        <v>3145</v>
      </c>
      <c r="J8940" s="67">
        <f t="shared" si="510"/>
        <v>1656.475</v>
      </c>
      <c r="L8940" s="70"/>
      <c r="M8940" s="934"/>
    </row>
    <row r="8941" ht="12.75" hidden="1" customHeight="1" outlineLevel="1">
      <c r="A8941" s="202">
        <v>42467.0</v>
      </c>
      <c r="B8941" s="985" t="s">
        <v>347</v>
      </c>
      <c r="C8941" s="94" t="s">
        <v>1839</v>
      </c>
      <c r="D8941" s="94">
        <v>400.0</v>
      </c>
      <c r="E8941" s="94">
        <v>3.631</v>
      </c>
      <c r="F8941" s="986">
        <v>0.5262037037037037</v>
      </c>
      <c r="G8941" s="94" t="s">
        <v>453</v>
      </c>
      <c r="H8941" s="987">
        <v>1.63</v>
      </c>
      <c r="I8941" s="988" t="s">
        <v>3145</v>
      </c>
      <c r="J8941" s="67">
        <f t="shared" si="510"/>
        <v>1450.77</v>
      </c>
      <c r="L8941" s="70"/>
      <c r="M8941" s="934"/>
    </row>
    <row r="8942" ht="12.75" hidden="1" customHeight="1" outlineLevel="1">
      <c r="A8942" s="202">
        <v>42467.0</v>
      </c>
      <c r="B8942" s="985" t="s">
        <v>347</v>
      </c>
      <c r="C8942" s="94" t="s">
        <v>2009</v>
      </c>
      <c r="D8942" s="94">
        <v>500.0</v>
      </c>
      <c r="E8942" s="94">
        <v>14.97</v>
      </c>
      <c r="F8942" s="986">
        <v>0.5260763888888889</v>
      </c>
      <c r="G8942" s="94" t="s">
        <v>453</v>
      </c>
      <c r="H8942" s="987">
        <v>2.66</v>
      </c>
      <c r="I8942" s="988" t="s">
        <v>3145</v>
      </c>
      <c r="J8942" s="67">
        <f t="shared" si="510"/>
        <v>7482.34</v>
      </c>
      <c r="L8942" s="70"/>
      <c r="M8942" s="934"/>
    </row>
    <row r="8943" ht="12.75" hidden="1" customHeight="1" outlineLevel="1">
      <c r="A8943" s="202">
        <v>42467.0</v>
      </c>
      <c r="B8943" s="985" t="s">
        <v>347</v>
      </c>
      <c r="C8943" s="94" t="s">
        <v>1902</v>
      </c>
      <c r="D8943" s="94">
        <v>400.0</v>
      </c>
      <c r="E8943" s="94">
        <v>6.782</v>
      </c>
      <c r="F8943" s="986">
        <v>0.525787037037037</v>
      </c>
      <c r="G8943" s="94" t="s">
        <v>453</v>
      </c>
      <c r="H8943" s="987">
        <v>1.66</v>
      </c>
      <c r="I8943" s="988" t="s">
        <v>3145</v>
      </c>
      <c r="J8943" s="67">
        <f t="shared" si="510"/>
        <v>2711.14</v>
      </c>
      <c r="L8943" s="70"/>
      <c r="M8943" s="934"/>
    </row>
    <row r="8944" ht="12.75" hidden="1" customHeight="1" outlineLevel="1">
      <c r="A8944" s="202">
        <v>42467.0</v>
      </c>
      <c r="B8944" s="985" t="s">
        <v>347</v>
      </c>
      <c r="C8944" s="94" t="s">
        <v>1890</v>
      </c>
      <c r="D8944" s="94">
        <v>300.0</v>
      </c>
      <c r="E8944" s="94">
        <v>9.1801</v>
      </c>
      <c r="F8944" s="986">
        <v>0.5255671296296296</v>
      </c>
      <c r="G8944" s="94" t="s">
        <v>453</v>
      </c>
      <c r="H8944" s="987">
        <v>1.26</v>
      </c>
      <c r="I8944" s="988" t="s">
        <v>3145</v>
      </c>
      <c r="J8944" s="67">
        <f t="shared" si="510"/>
        <v>2752.77</v>
      </c>
      <c r="L8944" s="70"/>
      <c r="M8944" s="934"/>
    </row>
    <row r="8945" ht="12.75" hidden="1" customHeight="1" outlineLevel="1">
      <c r="A8945" s="202">
        <v>42467.0</v>
      </c>
      <c r="B8945" s="985" t="s">
        <v>347</v>
      </c>
      <c r="C8945" s="94" t="s">
        <v>1893</v>
      </c>
      <c r="D8945" s="94">
        <v>500.0</v>
      </c>
      <c r="E8945" s="94">
        <v>8.7901</v>
      </c>
      <c r="F8945" s="986">
        <v>0.5253703703703704</v>
      </c>
      <c r="G8945" s="94" t="s">
        <v>453</v>
      </c>
      <c r="H8945" s="987">
        <v>2.1</v>
      </c>
      <c r="I8945" s="988" t="s">
        <v>3145</v>
      </c>
      <c r="J8945" s="67">
        <f t="shared" si="510"/>
        <v>4392.95</v>
      </c>
      <c r="L8945" s="70"/>
      <c r="M8945" s="934"/>
    </row>
    <row r="8946" ht="12.75" hidden="1" customHeight="1" outlineLevel="1">
      <c r="A8946" s="202">
        <v>42467.0</v>
      </c>
      <c r="B8946" s="985" t="s">
        <v>347</v>
      </c>
      <c r="C8946" s="94" t="s">
        <v>1905</v>
      </c>
      <c r="D8946" s="94">
        <v>200.0</v>
      </c>
      <c r="E8946" s="94">
        <v>17.062</v>
      </c>
      <c r="F8946" s="986">
        <v>0.5251041666666667</v>
      </c>
      <c r="G8946" s="94" t="s">
        <v>453</v>
      </c>
      <c r="H8946" s="987">
        <v>1.07</v>
      </c>
      <c r="I8946" s="988" t="s">
        <v>3145</v>
      </c>
      <c r="J8946" s="67">
        <f t="shared" si="510"/>
        <v>3411.33</v>
      </c>
      <c r="L8946" s="70"/>
      <c r="M8946" s="934"/>
    </row>
    <row r="8947" ht="12.75" hidden="1" customHeight="1" outlineLevel="1">
      <c r="A8947" s="202">
        <v>42467.0</v>
      </c>
      <c r="B8947" s="985" t="s">
        <v>347</v>
      </c>
      <c r="C8947" s="94" t="s">
        <v>2090</v>
      </c>
      <c r="D8947" s="94">
        <v>800.0</v>
      </c>
      <c r="E8947" s="94">
        <v>6.98</v>
      </c>
      <c r="F8947" s="986">
        <v>0.5248263888888889</v>
      </c>
      <c r="G8947" s="94" t="s">
        <v>453</v>
      </c>
      <c r="H8947" s="987">
        <v>4.12</v>
      </c>
      <c r="I8947" s="988" t="s">
        <v>3145</v>
      </c>
      <c r="J8947" s="67">
        <f t="shared" si="510"/>
        <v>5579.88</v>
      </c>
      <c r="L8947" s="70"/>
      <c r="M8947" s="934"/>
    </row>
    <row r="8948" ht="12.75" hidden="1" customHeight="1" outlineLevel="1">
      <c r="A8948" s="202">
        <v>42467.0</v>
      </c>
      <c r="B8948" s="985" t="s">
        <v>347</v>
      </c>
      <c r="C8948" s="94" t="s">
        <v>784</v>
      </c>
      <c r="D8948" s="286">
        <v>1000.0</v>
      </c>
      <c r="E8948" s="94">
        <v>3.991</v>
      </c>
      <c r="F8948" s="986">
        <v>0.5241666666666667</v>
      </c>
      <c r="G8948" s="94" t="s">
        <v>453</v>
      </c>
      <c r="H8948" s="987">
        <v>4.09</v>
      </c>
      <c r="I8948" s="988" t="s">
        <v>3145</v>
      </c>
      <c r="J8948" s="67">
        <f t="shared" si="510"/>
        <v>3986.91</v>
      </c>
      <c r="L8948" s="70"/>
      <c r="M8948" s="934"/>
    </row>
    <row r="8949" ht="12.75" hidden="1" customHeight="1" outlineLevel="1">
      <c r="A8949" s="202">
        <v>42467.0</v>
      </c>
      <c r="B8949" s="985" t="s">
        <v>347</v>
      </c>
      <c r="C8949" s="94" t="s">
        <v>1947</v>
      </c>
      <c r="D8949" s="94">
        <v>300.0</v>
      </c>
      <c r="E8949" s="94">
        <v>34.0705</v>
      </c>
      <c r="F8949" s="986">
        <v>0.5239467592592593</v>
      </c>
      <c r="G8949" s="94" t="s">
        <v>453</v>
      </c>
      <c r="H8949" s="987">
        <v>1.42</v>
      </c>
      <c r="I8949" s="988" t="s">
        <v>3145</v>
      </c>
      <c r="J8949" s="67">
        <f t="shared" si="510"/>
        <v>10219.73</v>
      </c>
      <c r="L8949" s="70"/>
      <c r="M8949" s="934"/>
    </row>
    <row r="8950" ht="12.75" hidden="1" customHeight="1" outlineLevel="1">
      <c r="A8950" s="990">
        <v>42467.0</v>
      </c>
      <c r="B8950" s="992"/>
      <c r="C8950" s="32" t="s">
        <v>339</v>
      </c>
      <c r="D8950" s="1"/>
      <c r="F8950" s="1"/>
      <c r="G8950" s="1"/>
      <c r="H8950" s="68"/>
      <c r="I8950" s="76"/>
      <c r="K8950" s="994" t="s">
        <v>3338</v>
      </c>
      <c r="L8950" s="934"/>
      <c r="M8950" s="934"/>
    </row>
    <row r="8951" ht="12.75" hidden="1" customHeight="1" outlineLevel="1">
      <c r="A8951" s="990">
        <v>42467.0</v>
      </c>
      <c r="B8951" s="992"/>
      <c r="C8951" s="32" t="s">
        <v>429</v>
      </c>
      <c r="D8951" s="1"/>
      <c r="F8951" s="1"/>
      <c r="G8951" s="1"/>
      <c r="H8951" s="68"/>
      <c r="I8951" s="76"/>
      <c r="K8951" s="9" t="s">
        <v>3187</v>
      </c>
      <c r="L8951" s="934"/>
      <c r="M8951" s="934"/>
    </row>
    <row r="8952" ht="12.75" hidden="1" customHeight="1" outlineLevel="1">
      <c r="A8952" s="990">
        <v>42467.0</v>
      </c>
      <c r="B8952" s="992"/>
      <c r="C8952" s="32" t="s">
        <v>431</v>
      </c>
      <c r="D8952" s="1"/>
      <c r="F8952" s="1"/>
      <c r="G8952" s="1"/>
      <c r="H8952" s="68"/>
      <c r="I8952" s="76"/>
      <c r="K8952" s="7" t="s">
        <v>1126</v>
      </c>
      <c r="L8952" s="934"/>
      <c r="M8952" s="934"/>
    </row>
    <row r="8953" ht="12.75" hidden="1" customHeight="1" outlineLevel="1">
      <c r="A8953" s="990">
        <v>42467.0</v>
      </c>
      <c r="B8953" s="992"/>
      <c r="C8953" s="32" t="s">
        <v>433</v>
      </c>
      <c r="D8953" s="1"/>
      <c r="F8953" s="1"/>
      <c r="G8953" s="1"/>
      <c r="H8953" s="68"/>
      <c r="I8953" s="76"/>
      <c r="K8953" s="7" t="s">
        <v>1103</v>
      </c>
      <c r="L8953" s="934"/>
      <c r="M8953" s="934"/>
    </row>
    <row r="8954" ht="12.75" hidden="1" customHeight="1" outlineLevel="1">
      <c r="A8954" s="990">
        <v>42467.0</v>
      </c>
      <c r="B8954" s="992"/>
      <c r="C8954" s="32" t="s">
        <v>435</v>
      </c>
      <c r="D8954" s="1"/>
      <c r="F8954" s="1"/>
      <c r="G8954" s="1"/>
      <c r="H8954" s="68"/>
      <c r="I8954" s="76"/>
      <c r="K8954" s="9" t="s">
        <v>3331</v>
      </c>
      <c r="L8954" s="934"/>
      <c r="M8954" s="934"/>
    </row>
    <row r="8955" ht="12.75" hidden="1" customHeight="1" outlineLevel="1">
      <c r="A8955" s="202">
        <v>42472.0</v>
      </c>
      <c r="B8955" s="985" t="s">
        <v>343</v>
      </c>
      <c r="C8955" s="94" t="s">
        <v>1465</v>
      </c>
      <c r="D8955" s="94">
        <v>25.0</v>
      </c>
      <c r="E8955" s="94">
        <v>267.635</v>
      </c>
      <c r="F8955" s="986">
        <v>0.6138078703703703</v>
      </c>
      <c r="G8955" s="94" t="s">
        <v>453</v>
      </c>
      <c r="H8955" s="987">
        <v>1.0</v>
      </c>
      <c r="I8955" s="988" t="s">
        <v>3145</v>
      </c>
      <c r="J8955" s="67">
        <f t="shared" ref="J8955:J8990" si="511">IF(B8955="SLD",D8955*E8955,-D8955*E8955)-H8955</f>
        <v>-6691.875</v>
      </c>
      <c r="L8955" s="70"/>
      <c r="M8955" s="934"/>
    </row>
    <row r="8956" ht="12.75" hidden="1" customHeight="1" outlineLevel="1">
      <c r="A8956" s="202">
        <v>42472.0</v>
      </c>
      <c r="B8956" s="985" t="s">
        <v>343</v>
      </c>
      <c r="C8956" s="94" t="s">
        <v>1249</v>
      </c>
      <c r="D8956" s="94">
        <v>100.0</v>
      </c>
      <c r="E8956" s="94">
        <v>84.73</v>
      </c>
      <c r="F8956" s="986">
        <v>0.6136458333333333</v>
      </c>
      <c r="G8956" s="94" t="s">
        <v>453</v>
      </c>
      <c r="H8956" s="987">
        <v>1.0</v>
      </c>
      <c r="I8956" s="988" t="s">
        <v>3145</v>
      </c>
      <c r="J8956" s="67">
        <f t="shared" si="511"/>
        <v>-8474</v>
      </c>
      <c r="L8956" s="70"/>
      <c r="M8956" s="934"/>
    </row>
    <row r="8957" ht="12.75" hidden="1" customHeight="1" outlineLevel="1">
      <c r="A8957" s="202">
        <v>42472.0</v>
      </c>
      <c r="B8957" s="985" t="s">
        <v>343</v>
      </c>
      <c r="C8957" s="94" t="s">
        <v>344</v>
      </c>
      <c r="D8957" s="94">
        <v>150.0</v>
      </c>
      <c r="E8957" s="94">
        <v>53.819</v>
      </c>
      <c r="F8957" s="986">
        <v>0.6134490740740741</v>
      </c>
      <c r="G8957" s="94" t="s">
        <v>453</v>
      </c>
      <c r="H8957" s="987">
        <v>1.0</v>
      </c>
      <c r="I8957" s="988" t="s">
        <v>3145</v>
      </c>
      <c r="J8957" s="67">
        <f t="shared" si="511"/>
        <v>-8073.85</v>
      </c>
      <c r="L8957" s="70"/>
      <c r="M8957" s="934"/>
    </row>
    <row r="8958" ht="12.75" hidden="1" customHeight="1" outlineLevel="1">
      <c r="A8958" s="202">
        <v>42472.0</v>
      </c>
      <c r="B8958" s="985" t="s">
        <v>343</v>
      </c>
      <c r="C8958" s="94" t="s">
        <v>1185</v>
      </c>
      <c r="D8958" s="94">
        <v>25.0</v>
      </c>
      <c r="E8958" s="94">
        <v>338.66</v>
      </c>
      <c r="F8958" s="986">
        <v>0.6125231481481481</v>
      </c>
      <c r="G8958" s="94" t="s">
        <v>453</v>
      </c>
      <c r="H8958" s="987">
        <v>1.0</v>
      </c>
      <c r="I8958" s="988" t="s">
        <v>3145</v>
      </c>
      <c r="J8958" s="67">
        <f t="shared" si="511"/>
        <v>-8467.5</v>
      </c>
      <c r="L8958" s="70"/>
      <c r="M8958" s="934"/>
    </row>
    <row r="8959" ht="12.75" hidden="1" customHeight="1" outlineLevel="1">
      <c r="A8959" s="202">
        <v>42472.0</v>
      </c>
      <c r="B8959" s="985" t="s">
        <v>343</v>
      </c>
      <c r="C8959" s="94" t="s">
        <v>1131</v>
      </c>
      <c r="D8959" s="94">
        <v>100.0</v>
      </c>
      <c r="E8959" s="94">
        <v>59.1989</v>
      </c>
      <c r="F8959" s="986">
        <v>0.551412037037037</v>
      </c>
      <c r="G8959" s="94" t="s">
        <v>453</v>
      </c>
      <c r="H8959" s="987">
        <v>1.0</v>
      </c>
      <c r="I8959" s="988" t="s">
        <v>3145</v>
      </c>
      <c r="J8959" s="67">
        <f t="shared" si="511"/>
        <v>-5920.89</v>
      </c>
      <c r="L8959" s="70"/>
      <c r="M8959" s="934"/>
    </row>
    <row r="8960" ht="12.75" hidden="1" customHeight="1" outlineLevel="1">
      <c r="A8960" s="202">
        <v>42472.0</v>
      </c>
      <c r="B8960" s="985" t="s">
        <v>343</v>
      </c>
      <c r="C8960" s="94" t="s">
        <v>458</v>
      </c>
      <c r="D8960" s="94">
        <v>100.0</v>
      </c>
      <c r="E8960" s="94">
        <v>79.937</v>
      </c>
      <c r="F8960" s="986">
        <v>0.5458564814814815</v>
      </c>
      <c r="G8960" s="94" t="s">
        <v>453</v>
      </c>
      <c r="H8960" s="987">
        <v>1.0</v>
      </c>
      <c r="I8960" s="988" t="s">
        <v>3145</v>
      </c>
      <c r="J8960" s="67">
        <f t="shared" si="511"/>
        <v>-7994.7</v>
      </c>
      <c r="L8960" s="70"/>
      <c r="M8960" s="934"/>
    </row>
    <row r="8961" ht="12.75" hidden="1" customHeight="1" outlineLevel="1">
      <c r="A8961" s="202">
        <v>42472.0</v>
      </c>
      <c r="B8961" s="985" t="s">
        <v>343</v>
      </c>
      <c r="C8961" s="94" t="s">
        <v>1128</v>
      </c>
      <c r="D8961" s="94">
        <v>100.0</v>
      </c>
      <c r="E8961" s="94">
        <v>59.0589</v>
      </c>
      <c r="F8961" s="986">
        <v>0.5457407407407407</v>
      </c>
      <c r="G8961" s="94" t="s">
        <v>453</v>
      </c>
      <c r="H8961" s="987">
        <v>1.0</v>
      </c>
      <c r="I8961" s="988" t="s">
        <v>3145</v>
      </c>
      <c r="J8961" s="67">
        <f t="shared" si="511"/>
        <v>-5906.89</v>
      </c>
      <c r="L8961" s="70"/>
      <c r="M8961" s="934"/>
    </row>
    <row r="8962" ht="12.75" hidden="1" customHeight="1" outlineLevel="1">
      <c r="A8962" s="202">
        <v>42472.0</v>
      </c>
      <c r="B8962" s="985" t="s">
        <v>343</v>
      </c>
      <c r="C8962" s="94" t="s">
        <v>1053</v>
      </c>
      <c r="D8962" s="94">
        <v>10.0</v>
      </c>
      <c r="E8962" s="94">
        <v>600.14</v>
      </c>
      <c r="F8962" s="986">
        <v>0.5449884259259259</v>
      </c>
      <c r="G8962" s="94" t="s">
        <v>453</v>
      </c>
      <c r="H8962" s="987">
        <v>1.0</v>
      </c>
      <c r="I8962" s="988" t="s">
        <v>3145</v>
      </c>
      <c r="J8962" s="67">
        <f t="shared" si="511"/>
        <v>-6002.4</v>
      </c>
      <c r="L8962" s="70"/>
      <c r="M8962" s="934"/>
    </row>
    <row r="8963" ht="12.75" hidden="1" customHeight="1" outlineLevel="1">
      <c r="A8963" s="202">
        <v>42472.0</v>
      </c>
      <c r="B8963" s="985" t="s">
        <v>343</v>
      </c>
      <c r="C8963" s="94" t="s">
        <v>1035</v>
      </c>
      <c r="D8963" s="94">
        <v>10.0</v>
      </c>
      <c r="E8963" s="94">
        <v>760.21</v>
      </c>
      <c r="F8963" s="986">
        <v>0.5448842592592592</v>
      </c>
      <c r="G8963" s="94" t="s">
        <v>453</v>
      </c>
      <c r="H8963" s="987">
        <v>1.0</v>
      </c>
      <c r="I8963" s="988" t="s">
        <v>3145</v>
      </c>
      <c r="J8963" s="67">
        <f t="shared" si="511"/>
        <v>-7603.1</v>
      </c>
      <c r="L8963" s="70"/>
      <c r="M8963" s="934"/>
    </row>
    <row r="8964" ht="12.75" hidden="1" customHeight="1" outlineLevel="1">
      <c r="A8964" s="202">
        <v>42472.0</v>
      </c>
      <c r="B8964" s="985" t="s">
        <v>343</v>
      </c>
      <c r="C8964" s="94" t="s">
        <v>1902</v>
      </c>
      <c r="D8964" s="286">
        <v>7500.0</v>
      </c>
      <c r="E8964" s="94">
        <v>6.864</v>
      </c>
      <c r="F8964" s="986">
        <v>0.4552199074074074</v>
      </c>
      <c r="G8964" s="94" t="s">
        <v>453</v>
      </c>
      <c r="H8964" s="987">
        <v>36.5</v>
      </c>
      <c r="I8964" s="988" t="s">
        <v>3145</v>
      </c>
      <c r="J8964" s="67">
        <f t="shared" si="511"/>
        <v>-51516.5</v>
      </c>
      <c r="L8964" s="70"/>
      <c r="M8964" s="934"/>
    </row>
    <row r="8965" ht="12.75" hidden="1" customHeight="1" outlineLevel="1">
      <c r="A8965" s="202">
        <v>42472.0</v>
      </c>
      <c r="B8965" s="985" t="s">
        <v>347</v>
      </c>
      <c r="C8965" s="94" t="s">
        <v>1249</v>
      </c>
      <c r="D8965" s="94">
        <v>500.0</v>
      </c>
      <c r="E8965" s="94">
        <v>84.412</v>
      </c>
      <c r="F8965" s="986">
        <v>0.4489814814814815</v>
      </c>
      <c r="G8965" s="94" t="s">
        <v>453</v>
      </c>
      <c r="H8965" s="987">
        <v>2.92</v>
      </c>
      <c r="I8965" s="988" t="s">
        <v>3145</v>
      </c>
      <c r="J8965" s="67">
        <f t="shared" si="511"/>
        <v>42203.08</v>
      </c>
      <c r="L8965" s="70"/>
      <c r="M8965" s="934"/>
    </row>
    <row r="8966" ht="12.75" hidden="1" customHeight="1" outlineLevel="1">
      <c r="A8966" s="202">
        <v>42472.0</v>
      </c>
      <c r="B8966" s="985" t="s">
        <v>347</v>
      </c>
      <c r="C8966" s="94" t="s">
        <v>3136</v>
      </c>
      <c r="D8966" s="94">
        <v>150.0</v>
      </c>
      <c r="E8966" s="94">
        <v>45.528</v>
      </c>
      <c r="F8966" s="986">
        <v>0.4375925925925926</v>
      </c>
      <c r="G8966" s="94" t="s">
        <v>453</v>
      </c>
      <c r="H8966" s="987">
        <v>1.15</v>
      </c>
      <c r="I8966" s="988" t="s">
        <v>3145</v>
      </c>
      <c r="J8966" s="67">
        <f t="shared" si="511"/>
        <v>6828.05</v>
      </c>
      <c r="L8966" s="70"/>
      <c r="M8966" s="934"/>
    </row>
    <row r="8967" ht="12.75" hidden="1" customHeight="1" outlineLevel="1">
      <c r="A8967" s="202">
        <v>42472.0</v>
      </c>
      <c r="B8967" s="985" t="s">
        <v>347</v>
      </c>
      <c r="C8967" s="94" t="s">
        <v>1902</v>
      </c>
      <c r="D8967" s="286">
        <v>5000.0</v>
      </c>
      <c r="E8967" s="94">
        <v>6.654</v>
      </c>
      <c r="F8967" s="986">
        <v>0.43659722222222225</v>
      </c>
      <c r="G8967" s="94" t="s">
        <v>453</v>
      </c>
      <c r="H8967" s="987">
        <v>24.93</v>
      </c>
      <c r="I8967" s="988" t="s">
        <v>3145</v>
      </c>
      <c r="J8967" s="67">
        <f t="shared" si="511"/>
        <v>33245.07</v>
      </c>
      <c r="L8967" s="70"/>
      <c r="M8967" s="934"/>
    </row>
    <row r="8968" ht="12.75" hidden="1" customHeight="1" outlineLevel="1">
      <c r="A8968" s="202">
        <v>42472.0</v>
      </c>
      <c r="B8968" s="985" t="s">
        <v>347</v>
      </c>
      <c r="C8968" s="94" t="s">
        <v>2936</v>
      </c>
      <c r="D8968" s="94">
        <v>800.0</v>
      </c>
      <c r="E8968" s="94">
        <v>36.931</v>
      </c>
      <c r="F8968" s="986">
        <v>0.4334953703703704</v>
      </c>
      <c r="G8968" s="94" t="s">
        <v>453</v>
      </c>
      <c r="H8968" s="987">
        <v>3.84</v>
      </c>
      <c r="I8968" s="988" t="s">
        <v>3145</v>
      </c>
      <c r="J8968" s="67">
        <f t="shared" si="511"/>
        <v>29540.96</v>
      </c>
      <c r="L8968" s="70"/>
      <c r="M8968" s="934"/>
    </row>
    <row r="8969" ht="12.75" hidden="1" customHeight="1" outlineLevel="1">
      <c r="A8969" s="202">
        <v>42472.0</v>
      </c>
      <c r="B8969" s="985" t="s">
        <v>347</v>
      </c>
      <c r="C8969" s="94" t="s">
        <v>1053</v>
      </c>
      <c r="D8969" s="94">
        <v>10.0</v>
      </c>
      <c r="E8969" s="94">
        <v>593.89</v>
      </c>
      <c r="F8969" s="986">
        <v>0.426875</v>
      </c>
      <c r="G8969" s="94" t="s">
        <v>453</v>
      </c>
      <c r="H8969" s="987">
        <v>1.13</v>
      </c>
      <c r="I8969" s="988" t="s">
        <v>3145</v>
      </c>
      <c r="J8969" s="67">
        <f t="shared" si="511"/>
        <v>5937.77</v>
      </c>
      <c r="L8969" s="70"/>
      <c r="M8969" s="934"/>
    </row>
    <row r="8970" ht="12.75" hidden="1" customHeight="1" outlineLevel="1">
      <c r="A8970" s="202">
        <v>42472.0</v>
      </c>
      <c r="B8970" s="985" t="s">
        <v>347</v>
      </c>
      <c r="C8970" s="94" t="s">
        <v>3006</v>
      </c>
      <c r="D8970" s="94">
        <v>100.0</v>
      </c>
      <c r="E8970" s="94">
        <v>61.46</v>
      </c>
      <c r="F8970" s="986">
        <v>0.4257175925925926</v>
      </c>
      <c r="G8970" s="94" t="s">
        <v>453</v>
      </c>
      <c r="H8970" s="987">
        <v>1.13</v>
      </c>
      <c r="I8970" s="988" t="s">
        <v>3145</v>
      </c>
      <c r="J8970" s="67">
        <f t="shared" si="511"/>
        <v>6144.87</v>
      </c>
      <c r="L8970" s="70"/>
      <c r="M8970" s="934"/>
    </row>
    <row r="8971" ht="12.75" hidden="1" customHeight="1" outlineLevel="1">
      <c r="A8971" s="202">
        <v>42472.0</v>
      </c>
      <c r="B8971" s="985" t="s">
        <v>347</v>
      </c>
      <c r="C8971" s="94" t="s">
        <v>1035</v>
      </c>
      <c r="D8971" s="94">
        <v>10.0</v>
      </c>
      <c r="E8971" s="94">
        <v>753.77</v>
      </c>
      <c r="F8971" s="986">
        <v>0.4248263888888889</v>
      </c>
      <c r="G8971" s="94" t="s">
        <v>453</v>
      </c>
      <c r="H8971" s="987">
        <v>1.16</v>
      </c>
      <c r="I8971" s="988" t="s">
        <v>3145</v>
      </c>
      <c r="J8971" s="67">
        <f t="shared" si="511"/>
        <v>7536.54</v>
      </c>
      <c r="L8971" s="70"/>
      <c r="M8971" s="934"/>
    </row>
    <row r="8972" ht="12.75" hidden="1" customHeight="1" outlineLevel="1">
      <c r="A8972" s="202">
        <v>42472.0</v>
      </c>
      <c r="B8972" s="985" t="s">
        <v>347</v>
      </c>
      <c r="C8972" s="94" t="s">
        <v>1465</v>
      </c>
      <c r="D8972" s="94">
        <v>70.0</v>
      </c>
      <c r="E8972" s="94">
        <v>262.84</v>
      </c>
      <c r="F8972" s="986">
        <v>0.4238310185185185</v>
      </c>
      <c r="G8972" s="94" t="s">
        <v>453</v>
      </c>
      <c r="H8972" s="987">
        <v>1.4</v>
      </c>
      <c r="I8972" s="988" t="s">
        <v>3145</v>
      </c>
      <c r="J8972" s="67">
        <f t="shared" si="511"/>
        <v>18397.4</v>
      </c>
      <c r="L8972" s="70"/>
      <c r="M8972" s="934"/>
    </row>
    <row r="8973" ht="12.75" hidden="1" customHeight="1" outlineLevel="1">
      <c r="A8973" s="202">
        <v>42472.0</v>
      </c>
      <c r="B8973" s="985" t="s">
        <v>347</v>
      </c>
      <c r="C8973" s="94" t="s">
        <v>344</v>
      </c>
      <c r="D8973" s="94">
        <v>900.0</v>
      </c>
      <c r="E8973" s="94">
        <v>53.471</v>
      </c>
      <c r="F8973" s="986">
        <v>0.4181828703703704</v>
      </c>
      <c r="G8973" s="94" t="s">
        <v>453</v>
      </c>
      <c r="H8973" s="987">
        <v>5.15</v>
      </c>
      <c r="I8973" s="988" t="s">
        <v>3145</v>
      </c>
      <c r="J8973" s="67">
        <f t="shared" si="511"/>
        <v>48118.75</v>
      </c>
      <c r="L8973" s="70"/>
      <c r="M8973" s="934"/>
    </row>
    <row r="8974" ht="12.75" hidden="1" customHeight="1" outlineLevel="1">
      <c r="A8974" s="202">
        <v>42472.0</v>
      </c>
      <c r="B8974" s="985" t="s">
        <v>343</v>
      </c>
      <c r="C8974" s="94" t="s">
        <v>2009</v>
      </c>
      <c r="D8974" s="286">
        <v>1000.0</v>
      </c>
      <c r="E8974" s="94">
        <v>15.79</v>
      </c>
      <c r="F8974" s="986">
        <v>0.4137268518518519</v>
      </c>
      <c r="G8974" s="94" t="s">
        <v>453</v>
      </c>
      <c r="H8974" s="987">
        <v>4.25</v>
      </c>
      <c r="I8974" s="988" t="s">
        <v>3145</v>
      </c>
      <c r="J8974" s="67">
        <f t="shared" si="511"/>
        <v>-15794.25</v>
      </c>
      <c r="L8974" s="70"/>
      <c r="M8974" s="934"/>
    </row>
    <row r="8975" ht="12.75" hidden="1" customHeight="1" outlineLevel="1">
      <c r="A8975" s="202">
        <v>42472.0</v>
      </c>
      <c r="B8975" s="985" t="s">
        <v>343</v>
      </c>
      <c r="C8975" s="94" t="s">
        <v>2210</v>
      </c>
      <c r="D8975" s="94">
        <v>200.0</v>
      </c>
      <c r="E8975" s="94">
        <v>97.83</v>
      </c>
      <c r="F8975" s="986">
        <v>0.41206018518518517</v>
      </c>
      <c r="G8975" s="94" t="s">
        <v>453</v>
      </c>
      <c r="H8975" s="987">
        <v>1.0</v>
      </c>
      <c r="I8975" s="988" t="s">
        <v>3145</v>
      </c>
      <c r="J8975" s="67">
        <f t="shared" si="511"/>
        <v>-19567</v>
      </c>
      <c r="L8975" s="70"/>
      <c r="M8975" s="934"/>
    </row>
    <row r="8976" ht="12.75" hidden="1" customHeight="1" outlineLevel="1">
      <c r="A8976" s="202">
        <v>42472.0</v>
      </c>
      <c r="B8976" s="985" t="s">
        <v>347</v>
      </c>
      <c r="C8976" s="94" t="s">
        <v>1221</v>
      </c>
      <c r="D8976" s="94">
        <v>200.0</v>
      </c>
      <c r="E8976" s="94">
        <v>39.37</v>
      </c>
      <c r="F8976" s="986">
        <v>0.4111458333333333</v>
      </c>
      <c r="G8976" s="94" t="s">
        <v>453</v>
      </c>
      <c r="H8976" s="987">
        <v>1.17</v>
      </c>
      <c r="I8976" s="988" t="s">
        <v>3145</v>
      </c>
      <c r="J8976" s="67">
        <f t="shared" si="511"/>
        <v>7872.83</v>
      </c>
      <c r="L8976" s="70"/>
      <c r="M8976" s="934"/>
    </row>
    <row r="8977" ht="12.75" hidden="1" customHeight="1" outlineLevel="1">
      <c r="A8977" s="202">
        <v>42472.0</v>
      </c>
      <c r="B8977" s="985" t="s">
        <v>347</v>
      </c>
      <c r="C8977" s="94" t="s">
        <v>1131</v>
      </c>
      <c r="D8977" s="94">
        <v>100.0</v>
      </c>
      <c r="E8977" s="94">
        <v>59.025</v>
      </c>
      <c r="F8977" s="986">
        <v>0.4101851851851852</v>
      </c>
      <c r="G8977" s="94" t="s">
        <v>453</v>
      </c>
      <c r="H8977" s="987">
        <v>1.13</v>
      </c>
      <c r="I8977" s="988" t="s">
        <v>3145</v>
      </c>
      <c r="J8977" s="67">
        <f t="shared" si="511"/>
        <v>5901.37</v>
      </c>
      <c r="L8977" s="70"/>
      <c r="M8977" s="934"/>
    </row>
    <row r="8978" ht="12.75" hidden="1" customHeight="1" outlineLevel="1">
      <c r="A8978" s="202">
        <v>42472.0</v>
      </c>
      <c r="B8978" s="985" t="s">
        <v>343</v>
      </c>
      <c r="C8978" s="94" t="s">
        <v>3024</v>
      </c>
      <c r="D8978" s="286">
        <v>1100.0</v>
      </c>
      <c r="E8978" s="94">
        <v>15.768</v>
      </c>
      <c r="F8978" s="986">
        <v>0.41001157407407407</v>
      </c>
      <c r="G8978" s="94" t="s">
        <v>453</v>
      </c>
      <c r="H8978" s="987">
        <v>4.4</v>
      </c>
      <c r="I8978" s="988" t="s">
        <v>3145</v>
      </c>
      <c r="J8978" s="67">
        <f t="shared" si="511"/>
        <v>-17349.2</v>
      </c>
      <c r="L8978" s="70"/>
      <c r="M8978" s="934"/>
    </row>
    <row r="8979" ht="12.75" hidden="1" customHeight="1" outlineLevel="1">
      <c r="A8979" s="202">
        <v>42472.0</v>
      </c>
      <c r="B8979" s="985" t="s">
        <v>343</v>
      </c>
      <c r="C8979" s="94" t="s">
        <v>1938</v>
      </c>
      <c r="D8979" s="94">
        <v>400.0</v>
      </c>
      <c r="E8979" s="94">
        <v>18.109</v>
      </c>
      <c r="F8979" s="986">
        <v>0.40988425925925925</v>
      </c>
      <c r="G8979" s="94" t="s">
        <v>453</v>
      </c>
      <c r="H8979" s="987">
        <v>1.6</v>
      </c>
      <c r="I8979" s="988" t="s">
        <v>3145</v>
      </c>
      <c r="J8979" s="67">
        <f t="shared" si="511"/>
        <v>-7245.2</v>
      </c>
      <c r="L8979" s="70"/>
      <c r="M8979" s="934"/>
    </row>
    <row r="8980" ht="12.75" hidden="1" customHeight="1" outlineLevel="1">
      <c r="A8980" s="202">
        <v>42472.0</v>
      </c>
      <c r="B8980" s="985" t="s">
        <v>343</v>
      </c>
      <c r="C8980" s="94" t="s">
        <v>2035</v>
      </c>
      <c r="D8980" s="286">
        <v>1400.0</v>
      </c>
      <c r="E8980" s="94">
        <v>9.039</v>
      </c>
      <c r="F8980" s="986">
        <v>0.4096180555555556</v>
      </c>
      <c r="G8980" s="94" t="s">
        <v>453</v>
      </c>
      <c r="H8980" s="987">
        <v>5.6</v>
      </c>
      <c r="I8980" s="988" t="s">
        <v>3145</v>
      </c>
      <c r="J8980" s="67">
        <f t="shared" si="511"/>
        <v>-12660.2</v>
      </c>
      <c r="L8980" s="70"/>
      <c r="M8980" s="934"/>
    </row>
    <row r="8981" ht="12.75" hidden="1" customHeight="1" outlineLevel="1">
      <c r="A8981" s="202">
        <v>42472.0</v>
      </c>
      <c r="B8981" s="985" t="s">
        <v>343</v>
      </c>
      <c r="C8981" s="94" t="s">
        <v>1890</v>
      </c>
      <c r="D8981" s="286">
        <v>1300.0</v>
      </c>
      <c r="E8981" s="94">
        <v>9.969</v>
      </c>
      <c r="F8981" s="986">
        <v>0.40947916666666667</v>
      </c>
      <c r="G8981" s="94" t="s">
        <v>453</v>
      </c>
      <c r="H8981" s="987">
        <v>5.2</v>
      </c>
      <c r="I8981" s="988" t="s">
        <v>3145</v>
      </c>
      <c r="J8981" s="67">
        <f t="shared" si="511"/>
        <v>-12964.9</v>
      </c>
      <c r="L8981" s="70"/>
      <c r="M8981" s="934"/>
    </row>
    <row r="8982" ht="12.75" hidden="1" customHeight="1" outlineLevel="1">
      <c r="A8982" s="202">
        <v>42472.0</v>
      </c>
      <c r="B8982" s="985" t="s">
        <v>343</v>
      </c>
      <c r="C8982" s="94" t="s">
        <v>1947</v>
      </c>
      <c r="D8982" s="286">
        <v>1700.0</v>
      </c>
      <c r="E8982" s="94">
        <v>36.315</v>
      </c>
      <c r="F8982" s="986">
        <v>0.40931712962962963</v>
      </c>
      <c r="G8982" s="94" t="s">
        <v>453</v>
      </c>
      <c r="H8982" s="987">
        <v>6.8</v>
      </c>
      <c r="I8982" s="988" t="s">
        <v>3145</v>
      </c>
      <c r="J8982" s="67">
        <f t="shared" si="511"/>
        <v>-61742.3</v>
      </c>
      <c r="L8982" s="70"/>
      <c r="M8982" s="934"/>
    </row>
    <row r="8983" ht="12.75" hidden="1" customHeight="1" outlineLevel="1">
      <c r="A8983" s="202">
        <v>42472.0</v>
      </c>
      <c r="B8983" s="985" t="s">
        <v>343</v>
      </c>
      <c r="C8983" s="94" t="s">
        <v>790</v>
      </c>
      <c r="D8983" s="286">
        <v>1600.0</v>
      </c>
      <c r="E8983" s="94">
        <v>6.049</v>
      </c>
      <c r="F8983" s="986">
        <v>0.40913194444444445</v>
      </c>
      <c r="G8983" s="94" t="s">
        <v>453</v>
      </c>
      <c r="H8983" s="987">
        <v>6.4</v>
      </c>
      <c r="I8983" s="988" t="s">
        <v>3145</v>
      </c>
      <c r="J8983" s="67">
        <f t="shared" si="511"/>
        <v>-9684.8</v>
      </c>
      <c r="L8983" s="70"/>
      <c r="M8983" s="934"/>
    </row>
    <row r="8984" ht="12.75" hidden="1" customHeight="1" outlineLevel="1">
      <c r="A8984" s="202">
        <v>42472.0</v>
      </c>
      <c r="B8984" s="985" t="s">
        <v>343</v>
      </c>
      <c r="C8984" s="94" t="s">
        <v>784</v>
      </c>
      <c r="D8984" s="286">
        <v>7000.0</v>
      </c>
      <c r="E8984" s="94">
        <v>5.04</v>
      </c>
      <c r="F8984" s="986">
        <v>0.4089236111111111</v>
      </c>
      <c r="G8984" s="94" t="s">
        <v>453</v>
      </c>
      <c r="H8984" s="987">
        <v>34.9</v>
      </c>
      <c r="I8984" s="988" t="s">
        <v>3145</v>
      </c>
      <c r="J8984" s="67">
        <f t="shared" si="511"/>
        <v>-35314.9</v>
      </c>
      <c r="L8984" s="70"/>
      <c r="M8984" s="934"/>
    </row>
    <row r="8985" ht="12.75" hidden="1" customHeight="1" outlineLevel="1">
      <c r="A8985" s="202">
        <v>42472.0</v>
      </c>
      <c r="B8985" s="985" t="s">
        <v>343</v>
      </c>
      <c r="C8985" s="94" t="s">
        <v>1905</v>
      </c>
      <c r="D8985" s="286">
        <v>1000.0</v>
      </c>
      <c r="E8985" s="94">
        <v>18.484</v>
      </c>
      <c r="F8985" s="986">
        <v>0.4087037037037037</v>
      </c>
      <c r="G8985" s="94" t="s">
        <v>453</v>
      </c>
      <c r="H8985" s="987">
        <v>4.0</v>
      </c>
      <c r="I8985" s="988" t="s">
        <v>3145</v>
      </c>
      <c r="J8985" s="67">
        <f t="shared" si="511"/>
        <v>-18488</v>
      </c>
      <c r="L8985" s="70"/>
      <c r="M8985" s="934"/>
    </row>
    <row r="8986" ht="12.75" hidden="1" customHeight="1" outlineLevel="1">
      <c r="A8986" s="202">
        <v>42472.0</v>
      </c>
      <c r="B8986" s="985" t="s">
        <v>343</v>
      </c>
      <c r="C8986" s="94" t="s">
        <v>1893</v>
      </c>
      <c r="D8986" s="286">
        <v>2000.0</v>
      </c>
      <c r="E8986" s="94">
        <v>10.149</v>
      </c>
      <c r="F8986" s="986">
        <v>0.4085416666666667</v>
      </c>
      <c r="G8986" s="94" t="s">
        <v>453</v>
      </c>
      <c r="H8986" s="987">
        <v>8.3</v>
      </c>
      <c r="I8986" s="988" t="s">
        <v>3145</v>
      </c>
      <c r="J8986" s="67">
        <f t="shared" si="511"/>
        <v>-20306.3</v>
      </c>
      <c r="L8986" s="70"/>
      <c r="M8986" s="934"/>
    </row>
    <row r="8987" ht="12.75" hidden="1" customHeight="1" outlineLevel="1">
      <c r="A8987" s="202">
        <v>42472.0</v>
      </c>
      <c r="B8987" s="985" t="s">
        <v>343</v>
      </c>
      <c r="C8987" s="94" t="s">
        <v>1882</v>
      </c>
      <c r="D8987" s="286">
        <v>1500.0</v>
      </c>
      <c r="E8987" s="94">
        <v>6.519</v>
      </c>
      <c r="F8987" s="986">
        <v>0.40828703703703706</v>
      </c>
      <c r="G8987" s="94" t="s">
        <v>453</v>
      </c>
      <c r="H8987" s="987">
        <v>6.0</v>
      </c>
      <c r="I8987" s="988" t="s">
        <v>3145</v>
      </c>
      <c r="J8987" s="67">
        <f t="shared" si="511"/>
        <v>-9784.5</v>
      </c>
      <c r="L8987" s="70"/>
      <c r="M8987" s="934"/>
    </row>
    <row r="8988" ht="12.75" hidden="1" customHeight="1" outlineLevel="1">
      <c r="A8988" s="202">
        <v>42472.0</v>
      </c>
      <c r="B8988" s="985" t="s">
        <v>343</v>
      </c>
      <c r="C8988" s="94" t="s">
        <v>1633</v>
      </c>
      <c r="D8988" s="94">
        <v>800.0</v>
      </c>
      <c r="E8988" s="94">
        <v>13.2299</v>
      </c>
      <c r="F8988" s="986">
        <v>0.4081134259259259</v>
      </c>
      <c r="G8988" s="94" t="s">
        <v>453</v>
      </c>
      <c r="H8988" s="987">
        <v>3.2</v>
      </c>
      <c r="I8988" s="988" t="s">
        <v>3145</v>
      </c>
      <c r="J8988" s="67">
        <f t="shared" si="511"/>
        <v>-10587.12</v>
      </c>
      <c r="L8988" s="70"/>
      <c r="M8988" s="934"/>
    </row>
    <row r="8989" ht="12.75" hidden="1" customHeight="1" outlineLevel="1">
      <c r="A8989" s="202">
        <v>42472.0</v>
      </c>
      <c r="B8989" s="985" t="s">
        <v>343</v>
      </c>
      <c r="C8989" s="94" t="s">
        <v>2090</v>
      </c>
      <c r="D8989" s="286">
        <v>3500.0</v>
      </c>
      <c r="E8989" s="94">
        <v>8.65</v>
      </c>
      <c r="F8989" s="986">
        <v>0.40792824074074074</v>
      </c>
      <c r="G8989" s="94" t="s">
        <v>453</v>
      </c>
      <c r="H8989" s="987">
        <v>17.5</v>
      </c>
      <c r="I8989" s="988" t="s">
        <v>3145</v>
      </c>
      <c r="J8989" s="67">
        <f t="shared" si="511"/>
        <v>-30292.5</v>
      </c>
      <c r="L8989" s="70"/>
      <c r="M8989" s="934"/>
    </row>
    <row r="8990" ht="12.75" hidden="1" customHeight="1" outlineLevel="1">
      <c r="A8990" s="202">
        <v>42472.0</v>
      </c>
      <c r="B8990" s="985" t="s">
        <v>343</v>
      </c>
      <c r="C8990" s="94" t="s">
        <v>1839</v>
      </c>
      <c r="D8990" s="286">
        <v>2400.0</v>
      </c>
      <c r="E8990" s="94">
        <v>5.34</v>
      </c>
      <c r="F8990" s="986">
        <v>0.4073148148148148</v>
      </c>
      <c r="G8990" s="94" t="s">
        <v>453</v>
      </c>
      <c r="H8990" s="987">
        <v>11.9</v>
      </c>
      <c r="I8990" s="988" t="s">
        <v>3145</v>
      </c>
      <c r="J8990" s="67">
        <f t="shared" si="511"/>
        <v>-12827.9</v>
      </c>
      <c r="L8990" s="70"/>
      <c r="M8990" s="934"/>
    </row>
    <row r="8991" ht="12.75" hidden="1" customHeight="1" outlineLevel="1">
      <c r="A8991" s="202">
        <v>42472.0</v>
      </c>
      <c r="B8991" s="992"/>
      <c r="C8991" s="32" t="s">
        <v>339</v>
      </c>
      <c r="D8991" s="1"/>
      <c r="F8991" s="1"/>
      <c r="G8991" s="1"/>
      <c r="H8991" s="68"/>
      <c r="I8991" s="76"/>
      <c r="K8991" s="994" t="s">
        <v>3345</v>
      </c>
      <c r="L8991" s="934"/>
      <c r="M8991" s="934"/>
    </row>
    <row r="8992" ht="12.75" hidden="1" customHeight="1" outlineLevel="1">
      <c r="A8992" s="202">
        <v>42472.0</v>
      </c>
      <c r="B8992" s="992"/>
      <c r="C8992" s="32" t="s">
        <v>429</v>
      </c>
      <c r="D8992" s="1"/>
      <c r="F8992" s="1"/>
      <c r="G8992" s="1"/>
      <c r="H8992" s="68"/>
      <c r="I8992" s="76"/>
      <c r="K8992" s="9" t="s">
        <v>3187</v>
      </c>
      <c r="L8992" s="934"/>
      <c r="M8992" s="934"/>
    </row>
    <row r="8993" ht="12.75" hidden="1" customHeight="1" outlineLevel="1">
      <c r="A8993" s="202">
        <v>42472.0</v>
      </c>
      <c r="B8993" s="992"/>
      <c r="C8993" s="32" t="s">
        <v>431</v>
      </c>
      <c r="D8993" s="1"/>
      <c r="F8993" s="1"/>
      <c r="G8993" s="1"/>
      <c r="H8993" s="68"/>
      <c r="I8993" s="76"/>
      <c r="K8993" s="7" t="s">
        <v>1126</v>
      </c>
      <c r="L8993" s="934"/>
      <c r="M8993" s="934"/>
    </row>
    <row r="8994" ht="12.75" hidden="1" customHeight="1" outlineLevel="1">
      <c r="A8994" s="202">
        <v>42472.0</v>
      </c>
      <c r="B8994" s="992"/>
      <c r="C8994" s="32" t="s">
        <v>433</v>
      </c>
      <c r="D8994" s="1"/>
      <c r="F8994" s="1"/>
      <c r="G8994" s="1"/>
      <c r="H8994" s="68"/>
      <c r="I8994" s="76"/>
      <c r="K8994" s="7" t="s">
        <v>1103</v>
      </c>
      <c r="L8994" s="934"/>
      <c r="M8994" s="934"/>
    </row>
    <row r="8995" ht="12.75" hidden="1" customHeight="1" outlineLevel="1">
      <c r="A8995" s="202">
        <v>42472.0</v>
      </c>
      <c r="B8995" s="992"/>
      <c r="C8995" s="32" t="s">
        <v>435</v>
      </c>
      <c r="D8995" s="1"/>
      <c r="F8995" s="1"/>
      <c r="G8995" s="1"/>
      <c r="H8995" s="68"/>
      <c r="I8995" s="76"/>
      <c r="K8995" s="9" t="s">
        <v>3331</v>
      </c>
      <c r="L8995" s="934"/>
      <c r="M8995" s="934"/>
    </row>
    <row r="8996" ht="12.75" hidden="1" customHeight="1" outlineLevel="1">
      <c r="A8996" s="202">
        <v>42474.0</v>
      </c>
      <c r="B8996" s="985" t="s">
        <v>347</v>
      </c>
      <c r="C8996" s="94" t="s">
        <v>1947</v>
      </c>
      <c r="D8996" s="286">
        <v>1700.0</v>
      </c>
      <c r="E8996" s="94">
        <v>38.331</v>
      </c>
      <c r="F8996" s="993">
        <v>42474.474803240744</v>
      </c>
      <c r="G8996" s="94" t="s">
        <v>453</v>
      </c>
      <c r="H8996" s="987">
        <v>8.32</v>
      </c>
      <c r="I8996" s="988" t="s">
        <v>3145</v>
      </c>
      <c r="J8996" s="67">
        <f t="shared" ref="J8996:J9012" si="512">IF(B8996="SLD",D8996*E8996,-D8996*E8996)-H8996</f>
        <v>65154.38</v>
      </c>
      <c r="L8996" s="70"/>
      <c r="M8996" s="934"/>
    </row>
    <row r="8997" ht="12.75" hidden="1" customHeight="1" outlineLevel="1">
      <c r="A8997" s="202">
        <v>42474.0</v>
      </c>
      <c r="B8997" s="985" t="s">
        <v>347</v>
      </c>
      <c r="C8997" s="94" t="s">
        <v>2210</v>
      </c>
      <c r="D8997" s="94">
        <v>200.0</v>
      </c>
      <c r="E8997" s="94">
        <v>98.1</v>
      </c>
      <c r="F8997" s="993">
        <v>42474.47508101852</v>
      </c>
      <c r="G8997" s="94" t="s">
        <v>453</v>
      </c>
      <c r="H8997" s="987">
        <v>1.43</v>
      </c>
      <c r="I8997" s="988" t="s">
        <v>3145</v>
      </c>
      <c r="J8997" s="67">
        <f t="shared" si="512"/>
        <v>19618.57</v>
      </c>
      <c r="L8997" s="70"/>
      <c r="M8997" s="934"/>
    </row>
    <row r="8998" ht="12.75" hidden="1" customHeight="1" outlineLevel="1">
      <c r="A8998" s="202">
        <v>42474.0</v>
      </c>
      <c r="B8998" s="985" t="s">
        <v>347</v>
      </c>
      <c r="C8998" s="94" t="s">
        <v>2009</v>
      </c>
      <c r="D8998" s="286">
        <v>1000.0</v>
      </c>
      <c r="E8998" s="94">
        <v>16.541</v>
      </c>
      <c r="F8998" s="993">
        <v>42474.4753587963</v>
      </c>
      <c r="G8998" s="94" t="s">
        <v>453</v>
      </c>
      <c r="H8998" s="987">
        <v>4.46</v>
      </c>
      <c r="I8998" s="988" t="s">
        <v>3145</v>
      </c>
      <c r="J8998" s="67">
        <f t="shared" si="512"/>
        <v>16536.54</v>
      </c>
      <c r="L8998" s="70"/>
      <c r="M8998" s="934"/>
    </row>
    <row r="8999" ht="12.75" hidden="1" customHeight="1" outlineLevel="1">
      <c r="A8999" s="202">
        <v>42474.0</v>
      </c>
      <c r="B8999" s="985" t="s">
        <v>347</v>
      </c>
      <c r="C8999" s="94" t="s">
        <v>1893</v>
      </c>
      <c r="D8999" s="286">
        <v>1000.0</v>
      </c>
      <c r="E8999" s="94">
        <v>10.831</v>
      </c>
      <c r="F8999" s="993">
        <v>42474.47565972222</v>
      </c>
      <c r="G8999" s="94" t="s">
        <v>453</v>
      </c>
      <c r="H8999" s="987">
        <v>4.24</v>
      </c>
      <c r="I8999" s="988" t="s">
        <v>3145</v>
      </c>
      <c r="J8999" s="67">
        <f t="shared" si="512"/>
        <v>10826.76</v>
      </c>
      <c r="L8999" s="70"/>
      <c r="M8999" s="934"/>
    </row>
    <row r="9000" ht="12.75" hidden="1" customHeight="1" outlineLevel="1">
      <c r="A9000" s="202">
        <v>42474.0</v>
      </c>
      <c r="B9000" s="985" t="s">
        <v>347</v>
      </c>
      <c r="C9000" s="94" t="s">
        <v>1893</v>
      </c>
      <c r="D9000" s="286">
        <v>1000.0</v>
      </c>
      <c r="E9000" s="94">
        <v>10.831</v>
      </c>
      <c r="F9000" s="993">
        <v>42474.47574074074</v>
      </c>
      <c r="G9000" s="94" t="s">
        <v>453</v>
      </c>
      <c r="H9000" s="987">
        <v>4.24</v>
      </c>
      <c r="I9000" s="988" t="s">
        <v>3145</v>
      </c>
      <c r="J9000" s="67">
        <f t="shared" si="512"/>
        <v>10826.76</v>
      </c>
      <c r="L9000" s="70"/>
      <c r="M9000" s="934"/>
    </row>
    <row r="9001" ht="12.75" hidden="1" customHeight="1" outlineLevel="1">
      <c r="A9001" s="202">
        <v>42474.0</v>
      </c>
      <c r="B9001" s="985" t="s">
        <v>347</v>
      </c>
      <c r="C9001" s="94" t="s">
        <v>2090</v>
      </c>
      <c r="D9001" s="286">
        <v>3500.0</v>
      </c>
      <c r="E9001" s="94">
        <v>8.55</v>
      </c>
      <c r="F9001" s="993">
        <v>42474.47618055555</v>
      </c>
      <c r="G9001" s="94" t="s">
        <v>453</v>
      </c>
      <c r="H9001" s="987">
        <v>18.15</v>
      </c>
      <c r="I9001" s="988" t="s">
        <v>3145</v>
      </c>
      <c r="J9001" s="67">
        <f t="shared" si="512"/>
        <v>29906.85</v>
      </c>
      <c r="L9001" s="70"/>
      <c r="M9001" s="934"/>
    </row>
    <row r="9002" ht="12.75" hidden="1" customHeight="1" outlineLevel="1">
      <c r="A9002" s="202">
        <v>42474.0</v>
      </c>
      <c r="B9002" s="985" t="s">
        <v>347</v>
      </c>
      <c r="C9002" s="94" t="s">
        <v>1882</v>
      </c>
      <c r="D9002" s="286">
        <v>1500.0</v>
      </c>
      <c r="E9002" s="94">
        <v>6.8501</v>
      </c>
      <c r="F9002" s="993">
        <v>42474.476585648146</v>
      </c>
      <c r="G9002" s="94" t="s">
        <v>453</v>
      </c>
      <c r="H9002" s="987">
        <v>6.22</v>
      </c>
      <c r="I9002" s="988" t="s">
        <v>3145</v>
      </c>
      <c r="J9002" s="67">
        <f t="shared" si="512"/>
        <v>10268.93</v>
      </c>
      <c r="L9002" s="70"/>
      <c r="M9002" s="934"/>
    </row>
    <row r="9003" ht="12.75" hidden="1" customHeight="1" outlineLevel="1">
      <c r="A9003" s="202">
        <v>42474.0</v>
      </c>
      <c r="B9003" s="985" t="s">
        <v>347</v>
      </c>
      <c r="C9003" s="94" t="s">
        <v>1633</v>
      </c>
      <c r="D9003" s="94">
        <v>800.0</v>
      </c>
      <c r="E9003" s="94">
        <v>13.05</v>
      </c>
      <c r="F9003" s="993">
        <v>42474.476956018516</v>
      </c>
      <c r="G9003" s="94" t="s">
        <v>453</v>
      </c>
      <c r="H9003" s="987">
        <v>3.43</v>
      </c>
      <c r="I9003" s="988" t="s">
        <v>3145</v>
      </c>
      <c r="J9003" s="67">
        <f t="shared" si="512"/>
        <v>10436.57</v>
      </c>
      <c r="L9003" s="70"/>
      <c r="M9003" s="934"/>
    </row>
    <row r="9004" ht="12.75" hidden="1" customHeight="1" outlineLevel="1">
      <c r="A9004" s="202">
        <v>42474.0</v>
      </c>
      <c r="B9004" s="985" t="s">
        <v>347</v>
      </c>
      <c r="C9004" s="94" t="s">
        <v>790</v>
      </c>
      <c r="D9004" s="286">
        <v>2000.0</v>
      </c>
      <c r="E9004" s="94">
        <v>6.471</v>
      </c>
      <c r="F9004" s="993">
        <v>42474.47777777778</v>
      </c>
      <c r="G9004" s="94" t="s">
        <v>453</v>
      </c>
      <c r="H9004" s="987">
        <v>8.28</v>
      </c>
      <c r="I9004" s="988" t="s">
        <v>3145</v>
      </c>
      <c r="J9004" s="67">
        <f t="shared" si="512"/>
        <v>12933.72</v>
      </c>
      <c r="L9004" s="70"/>
      <c r="M9004" s="934"/>
    </row>
    <row r="9005" ht="12.75" hidden="1" customHeight="1" outlineLevel="1">
      <c r="A9005" s="202">
        <v>42474.0</v>
      </c>
      <c r="B9005" s="985" t="s">
        <v>347</v>
      </c>
      <c r="C9005" s="94" t="s">
        <v>1839</v>
      </c>
      <c r="D9005" s="286">
        <v>2400.0</v>
      </c>
      <c r="E9005" s="94">
        <v>5.9901</v>
      </c>
      <c r="F9005" s="993">
        <v>42474.4780787037</v>
      </c>
      <c r="G9005" s="94" t="s">
        <v>453</v>
      </c>
      <c r="H9005" s="987">
        <v>9.91</v>
      </c>
      <c r="I9005" s="988" t="s">
        <v>3145</v>
      </c>
      <c r="J9005" s="67">
        <f t="shared" si="512"/>
        <v>14366.33</v>
      </c>
      <c r="L9005" s="70"/>
      <c r="M9005" s="934"/>
    </row>
    <row r="9006" ht="12.75" hidden="1" customHeight="1" outlineLevel="1">
      <c r="A9006" s="202">
        <v>42474.0</v>
      </c>
      <c r="B9006" s="985" t="s">
        <v>347</v>
      </c>
      <c r="C9006" s="94" t="s">
        <v>1890</v>
      </c>
      <c r="D9006" s="286">
        <v>1300.0</v>
      </c>
      <c r="E9006" s="94">
        <v>10.72</v>
      </c>
      <c r="F9006" s="993">
        <v>42474.47849537037</v>
      </c>
      <c r="G9006" s="94" t="s">
        <v>453</v>
      </c>
      <c r="H9006" s="987">
        <v>5.5</v>
      </c>
      <c r="I9006" s="988" t="s">
        <v>3145</v>
      </c>
      <c r="J9006" s="67">
        <f t="shared" si="512"/>
        <v>13930.5</v>
      </c>
      <c r="L9006" s="70"/>
      <c r="M9006" s="934"/>
    </row>
    <row r="9007" ht="12.75" hidden="1" customHeight="1" outlineLevel="1">
      <c r="A9007" s="202">
        <v>42474.0</v>
      </c>
      <c r="B9007" s="985" t="s">
        <v>347</v>
      </c>
      <c r="C9007" s="94" t="s">
        <v>784</v>
      </c>
      <c r="D9007" s="286">
        <v>7000.0</v>
      </c>
      <c r="E9007" s="94">
        <v>5.241</v>
      </c>
      <c r="F9007" s="993">
        <v>42474.47893518519</v>
      </c>
      <c r="G9007" s="94" t="s">
        <v>453</v>
      </c>
      <c r="H9007" s="987">
        <v>29.7</v>
      </c>
      <c r="I9007" s="988" t="s">
        <v>3145</v>
      </c>
      <c r="J9007" s="67">
        <f t="shared" si="512"/>
        <v>36657.3</v>
      </c>
      <c r="L9007" s="70"/>
      <c r="M9007" s="934"/>
    </row>
    <row r="9008" ht="12.75" hidden="1" customHeight="1" outlineLevel="1">
      <c r="A9008" s="202">
        <v>42474.0</v>
      </c>
      <c r="B9008" s="985" t="s">
        <v>347</v>
      </c>
      <c r="C9008" s="94" t="s">
        <v>2035</v>
      </c>
      <c r="D9008" s="286">
        <v>1400.0</v>
      </c>
      <c r="E9008" s="94">
        <v>9.4901</v>
      </c>
      <c r="F9008" s="993">
        <v>42474.47920138889</v>
      </c>
      <c r="G9008" s="94" t="s">
        <v>453</v>
      </c>
      <c r="H9008" s="987">
        <v>5.89</v>
      </c>
      <c r="I9008" s="988" t="s">
        <v>3145</v>
      </c>
      <c r="J9008" s="67">
        <f t="shared" si="512"/>
        <v>13280.25</v>
      </c>
      <c r="L9008" s="70"/>
      <c r="M9008" s="934"/>
    </row>
    <row r="9009" ht="12.75" hidden="1" customHeight="1" outlineLevel="1">
      <c r="A9009" s="202">
        <v>42474.0</v>
      </c>
      <c r="B9009" s="985" t="s">
        <v>347</v>
      </c>
      <c r="C9009" s="94" t="s">
        <v>3024</v>
      </c>
      <c r="D9009" s="286">
        <v>1100.0</v>
      </c>
      <c r="E9009" s="94">
        <v>16.66</v>
      </c>
      <c r="F9009" s="993">
        <v>42474.47961805556</v>
      </c>
      <c r="G9009" s="94" t="s">
        <v>453</v>
      </c>
      <c r="H9009" s="987">
        <v>5.0</v>
      </c>
      <c r="I9009" s="988" t="s">
        <v>3145</v>
      </c>
      <c r="J9009" s="67">
        <f t="shared" si="512"/>
        <v>18321</v>
      </c>
      <c r="L9009" s="70"/>
      <c r="M9009" s="934"/>
    </row>
    <row r="9010" ht="12.75" hidden="1" customHeight="1" outlineLevel="1">
      <c r="A9010" s="202">
        <v>42474.0</v>
      </c>
      <c r="B9010" s="985" t="s">
        <v>347</v>
      </c>
      <c r="C9010" s="94" t="s">
        <v>1902</v>
      </c>
      <c r="D9010" s="286">
        <v>2500.0</v>
      </c>
      <c r="E9010" s="94">
        <v>7.499</v>
      </c>
      <c r="F9010" s="993">
        <v>42474.48006944444</v>
      </c>
      <c r="G9010" s="94" t="s">
        <v>453</v>
      </c>
      <c r="H9010" s="987">
        <v>11.01</v>
      </c>
      <c r="I9010" s="988" t="s">
        <v>3145</v>
      </c>
      <c r="J9010" s="67">
        <f t="shared" si="512"/>
        <v>18736.49</v>
      </c>
      <c r="L9010" s="70"/>
      <c r="M9010" s="934"/>
    </row>
    <row r="9011" ht="12.75" hidden="1" customHeight="1" outlineLevel="1">
      <c r="A9011" s="202">
        <v>42474.0</v>
      </c>
      <c r="B9011" s="985" t="s">
        <v>347</v>
      </c>
      <c r="C9011" s="94" t="s">
        <v>1905</v>
      </c>
      <c r="D9011" s="286">
        <v>1000.0</v>
      </c>
      <c r="E9011" s="94">
        <v>20.272</v>
      </c>
      <c r="F9011" s="993">
        <v>42474.48032407407</v>
      </c>
      <c r="G9011" s="94" t="s">
        <v>453</v>
      </c>
      <c r="H9011" s="987">
        <v>4.44</v>
      </c>
      <c r="I9011" s="988" t="s">
        <v>3145</v>
      </c>
      <c r="J9011" s="67">
        <f t="shared" si="512"/>
        <v>20267.56</v>
      </c>
      <c r="L9011" s="70"/>
      <c r="M9011" s="934"/>
    </row>
    <row r="9012" ht="12.75" hidden="1" customHeight="1" outlineLevel="1">
      <c r="A9012" s="202">
        <v>42474.0</v>
      </c>
      <c r="B9012" s="985" t="s">
        <v>347</v>
      </c>
      <c r="C9012" s="94" t="s">
        <v>1938</v>
      </c>
      <c r="D9012" s="94">
        <v>400.0</v>
      </c>
      <c r="E9012" s="94">
        <v>18.461</v>
      </c>
      <c r="F9012" s="993">
        <v>42474.51646990741</v>
      </c>
      <c r="G9012" s="94" t="s">
        <v>453</v>
      </c>
      <c r="H9012" s="987">
        <v>1.76</v>
      </c>
      <c r="I9012" s="988" t="s">
        <v>3145</v>
      </c>
      <c r="J9012" s="67">
        <f t="shared" si="512"/>
        <v>7382.64</v>
      </c>
      <c r="L9012" s="70"/>
      <c r="M9012" s="934"/>
    </row>
    <row r="9013" ht="12.75" hidden="1" customHeight="1" outlineLevel="1">
      <c r="A9013" s="202">
        <v>42475.0</v>
      </c>
      <c r="B9013" s="992"/>
      <c r="C9013" s="32" t="s">
        <v>339</v>
      </c>
      <c r="D9013" s="1"/>
      <c r="F9013" s="1"/>
      <c r="G9013" s="1"/>
      <c r="H9013" s="68"/>
      <c r="I9013" s="76"/>
      <c r="K9013" s="994" t="s">
        <v>3357</v>
      </c>
      <c r="L9013" s="934"/>
      <c r="M9013" s="934"/>
    </row>
    <row r="9014" ht="12.75" hidden="1" customHeight="1" outlineLevel="1">
      <c r="A9014" s="202">
        <v>42475.0</v>
      </c>
      <c r="B9014" s="992"/>
      <c r="C9014" s="32" t="s">
        <v>429</v>
      </c>
      <c r="D9014" s="1"/>
      <c r="F9014" s="1"/>
      <c r="G9014" s="1"/>
      <c r="H9014" s="68"/>
      <c r="I9014" s="76"/>
      <c r="K9014" s="9" t="s">
        <v>3187</v>
      </c>
      <c r="L9014" s="934"/>
      <c r="M9014" s="934"/>
    </row>
    <row r="9015" ht="12.75" hidden="1" customHeight="1" outlineLevel="1">
      <c r="A9015" s="202">
        <v>42475.0</v>
      </c>
      <c r="B9015" s="992"/>
      <c r="C9015" s="32" t="s">
        <v>431</v>
      </c>
      <c r="D9015" s="1"/>
      <c r="F9015" s="1"/>
      <c r="G9015" s="1"/>
      <c r="H9015" s="68"/>
      <c r="I9015" s="76"/>
      <c r="K9015" s="7" t="s">
        <v>1126</v>
      </c>
      <c r="L9015" s="934"/>
      <c r="M9015" s="934"/>
    </row>
    <row r="9016" ht="12.75" hidden="1" customHeight="1" outlineLevel="1">
      <c r="A9016" s="202">
        <v>42475.0</v>
      </c>
      <c r="B9016" s="992"/>
      <c r="C9016" s="32" t="s">
        <v>433</v>
      </c>
      <c r="D9016" s="1"/>
      <c r="F9016" s="1"/>
      <c r="G9016" s="1"/>
      <c r="H9016" s="68"/>
      <c r="I9016" s="76"/>
      <c r="K9016" s="7" t="s">
        <v>1103</v>
      </c>
      <c r="L9016" s="934"/>
      <c r="M9016" s="934"/>
    </row>
    <row r="9017" ht="12.75" hidden="1" customHeight="1" outlineLevel="1">
      <c r="A9017" s="202">
        <v>42475.0</v>
      </c>
      <c r="B9017" s="992"/>
      <c r="C9017" s="32" t="s">
        <v>435</v>
      </c>
      <c r="D9017" s="1"/>
      <c r="F9017" s="1"/>
      <c r="G9017" s="1"/>
      <c r="H9017" s="68"/>
      <c r="I9017" s="76"/>
      <c r="K9017" s="9" t="s">
        <v>3331</v>
      </c>
      <c r="L9017" s="934"/>
      <c r="M9017" s="934"/>
    </row>
    <row r="9018" ht="12.75" hidden="1" customHeight="1" outlineLevel="1">
      <c r="A9018" s="202">
        <v>42478.0</v>
      </c>
      <c r="B9018" s="985" t="s">
        <v>343</v>
      </c>
      <c r="C9018" s="94" t="s">
        <v>2090</v>
      </c>
      <c r="D9018" s="286">
        <v>3500.0</v>
      </c>
      <c r="E9018" s="94">
        <v>9.169</v>
      </c>
      <c r="F9018" s="986">
        <v>0.4689814814814815</v>
      </c>
      <c r="G9018" s="94" t="s">
        <v>453</v>
      </c>
      <c r="H9018" s="987">
        <v>14.5</v>
      </c>
      <c r="I9018" s="988" t="s">
        <v>3145</v>
      </c>
      <c r="J9018" s="67">
        <f t="shared" ref="J9018:J9036" si="513">IF(B9018="SLD",D9018*E9018,-D9018*E9018)-H9018</f>
        <v>-32106</v>
      </c>
      <c r="L9018" s="70"/>
      <c r="M9018" s="934"/>
    </row>
    <row r="9019" ht="12.75" hidden="1" customHeight="1" outlineLevel="1">
      <c r="A9019" s="202">
        <v>42478.0</v>
      </c>
      <c r="B9019" s="985" t="s">
        <v>343</v>
      </c>
      <c r="C9019" s="94" t="s">
        <v>1947</v>
      </c>
      <c r="D9019" s="286">
        <v>1700.0</v>
      </c>
      <c r="E9019" s="94">
        <v>36.796</v>
      </c>
      <c r="F9019" s="986">
        <v>0.4694212962962963</v>
      </c>
      <c r="G9019" s="94" t="s">
        <v>453</v>
      </c>
      <c r="H9019" s="987">
        <v>7.2</v>
      </c>
      <c r="I9019" s="988" t="s">
        <v>3145</v>
      </c>
      <c r="J9019" s="67">
        <f t="shared" si="513"/>
        <v>-62560.4</v>
      </c>
      <c r="L9019" s="70"/>
      <c r="M9019" s="934"/>
    </row>
    <row r="9020" ht="12.75" hidden="1" customHeight="1" outlineLevel="1">
      <c r="A9020" s="202">
        <v>42478.0</v>
      </c>
      <c r="B9020" s="985" t="s">
        <v>343</v>
      </c>
      <c r="C9020" s="94" t="s">
        <v>784</v>
      </c>
      <c r="D9020" s="286">
        <v>7000.0</v>
      </c>
      <c r="E9020" s="94">
        <v>5.378</v>
      </c>
      <c r="F9020" s="986">
        <v>0.4696180555555556</v>
      </c>
      <c r="G9020" s="94" t="s">
        <v>453</v>
      </c>
      <c r="H9020" s="987">
        <v>32.0</v>
      </c>
      <c r="I9020" s="988" t="s">
        <v>3145</v>
      </c>
      <c r="J9020" s="67">
        <f t="shared" si="513"/>
        <v>-37678</v>
      </c>
      <c r="L9020" s="70"/>
      <c r="M9020" s="934"/>
    </row>
    <row r="9021" ht="12.75" hidden="1" customHeight="1" outlineLevel="1">
      <c r="A9021" s="202">
        <v>42478.0</v>
      </c>
      <c r="B9021" s="985" t="s">
        <v>343</v>
      </c>
      <c r="C9021" s="94" t="s">
        <v>1893</v>
      </c>
      <c r="D9021" s="286">
        <v>2000.0</v>
      </c>
      <c r="E9021" s="94">
        <v>10.85</v>
      </c>
      <c r="F9021" s="986">
        <v>0.4697222222222222</v>
      </c>
      <c r="G9021" s="94" t="s">
        <v>453</v>
      </c>
      <c r="H9021" s="987">
        <v>9.1</v>
      </c>
      <c r="I9021" s="988" t="s">
        <v>3145</v>
      </c>
      <c r="J9021" s="67">
        <f t="shared" si="513"/>
        <v>-21709.1</v>
      </c>
      <c r="L9021" s="70"/>
      <c r="M9021" s="934"/>
    </row>
    <row r="9022" ht="12.75" hidden="1" customHeight="1" outlineLevel="1">
      <c r="A9022" s="202">
        <v>42478.0</v>
      </c>
      <c r="B9022" s="985" t="s">
        <v>343</v>
      </c>
      <c r="C9022" s="94" t="s">
        <v>1902</v>
      </c>
      <c r="D9022" s="286">
        <v>2500.0</v>
      </c>
      <c r="E9022" s="94">
        <v>8.117</v>
      </c>
      <c r="F9022" s="986">
        <v>0.4699189814814815</v>
      </c>
      <c r="G9022" s="94" t="s">
        <v>453</v>
      </c>
      <c r="H9022" s="987">
        <v>11.8</v>
      </c>
      <c r="I9022" s="988" t="s">
        <v>3145</v>
      </c>
      <c r="J9022" s="67">
        <f t="shared" si="513"/>
        <v>-20304.3</v>
      </c>
      <c r="L9022" s="70"/>
      <c r="M9022" s="934"/>
    </row>
    <row r="9023" ht="12.75" hidden="1" customHeight="1" outlineLevel="1">
      <c r="A9023" s="202">
        <v>42478.0</v>
      </c>
      <c r="B9023" s="985" t="s">
        <v>343</v>
      </c>
      <c r="C9023" s="94" t="s">
        <v>1905</v>
      </c>
      <c r="D9023" s="286">
        <v>1000.0</v>
      </c>
      <c r="E9023" s="94">
        <v>19.86</v>
      </c>
      <c r="F9023" s="986">
        <v>0.47002314814814816</v>
      </c>
      <c r="G9023" s="94" t="s">
        <v>453</v>
      </c>
      <c r="H9023" s="987">
        <v>4.4</v>
      </c>
      <c r="I9023" s="988" t="s">
        <v>3145</v>
      </c>
      <c r="J9023" s="67">
        <f t="shared" si="513"/>
        <v>-19864.4</v>
      </c>
      <c r="L9023" s="70"/>
      <c r="M9023" s="934"/>
    </row>
    <row r="9024" ht="12.75" hidden="1" customHeight="1" outlineLevel="1">
      <c r="A9024" s="202">
        <v>42478.0</v>
      </c>
      <c r="B9024" s="985" t="s">
        <v>343</v>
      </c>
      <c r="C9024" s="94" t="s">
        <v>2210</v>
      </c>
      <c r="D9024" s="94">
        <v>200.0</v>
      </c>
      <c r="E9024" s="94">
        <v>96.85</v>
      </c>
      <c r="F9024" s="986">
        <v>0.47011574074074075</v>
      </c>
      <c r="G9024" s="94" t="s">
        <v>453</v>
      </c>
      <c r="H9024" s="987">
        <v>1.0</v>
      </c>
      <c r="I9024" s="988" t="s">
        <v>3145</v>
      </c>
      <c r="J9024" s="67">
        <f t="shared" si="513"/>
        <v>-19371</v>
      </c>
      <c r="L9024" s="70"/>
      <c r="M9024" s="934"/>
    </row>
    <row r="9025" ht="12.75" hidden="1" customHeight="1" outlineLevel="1">
      <c r="A9025" s="202">
        <v>42478.0</v>
      </c>
      <c r="B9025" s="985" t="s">
        <v>343</v>
      </c>
      <c r="C9025" s="94" t="s">
        <v>3024</v>
      </c>
      <c r="D9025" s="286">
        <v>1100.0</v>
      </c>
      <c r="E9025" s="94">
        <v>16.47</v>
      </c>
      <c r="F9025" s="986">
        <v>0.47020833333333334</v>
      </c>
      <c r="G9025" s="94" t="s">
        <v>453</v>
      </c>
      <c r="H9025" s="987">
        <v>5.4</v>
      </c>
      <c r="I9025" s="988" t="s">
        <v>3145</v>
      </c>
      <c r="J9025" s="67">
        <f t="shared" si="513"/>
        <v>-18122.4</v>
      </c>
      <c r="L9025" s="70"/>
      <c r="M9025" s="934"/>
    </row>
    <row r="9026" ht="12.75" hidden="1" customHeight="1" outlineLevel="1">
      <c r="A9026" s="202">
        <v>42478.0</v>
      </c>
      <c r="B9026" s="985" t="s">
        <v>343</v>
      </c>
      <c r="C9026" s="94" t="s">
        <v>2009</v>
      </c>
      <c r="D9026" s="286">
        <v>1000.0</v>
      </c>
      <c r="E9026" s="94">
        <v>15.619</v>
      </c>
      <c r="F9026" s="986">
        <v>0.4703125</v>
      </c>
      <c r="G9026" s="94" t="s">
        <v>453</v>
      </c>
      <c r="H9026" s="987">
        <v>4.0</v>
      </c>
      <c r="I9026" s="988" t="s">
        <v>3145</v>
      </c>
      <c r="J9026" s="67">
        <f t="shared" si="513"/>
        <v>-15623</v>
      </c>
      <c r="L9026" s="70"/>
      <c r="M9026" s="934"/>
    </row>
    <row r="9027" ht="12.75" hidden="1" customHeight="1" outlineLevel="1">
      <c r="A9027" s="202">
        <v>42478.0</v>
      </c>
      <c r="B9027" s="985" t="s">
        <v>343</v>
      </c>
      <c r="C9027" s="94" t="s">
        <v>1839</v>
      </c>
      <c r="D9027" s="286">
        <v>2400.0</v>
      </c>
      <c r="E9027" s="94">
        <v>5.929</v>
      </c>
      <c r="F9027" s="986">
        <v>0.4704050925925926</v>
      </c>
      <c r="G9027" s="94" t="s">
        <v>453</v>
      </c>
      <c r="H9027" s="987">
        <v>9.9</v>
      </c>
      <c r="I9027" s="988" t="s">
        <v>3145</v>
      </c>
      <c r="J9027" s="67">
        <f t="shared" si="513"/>
        <v>-14239.5</v>
      </c>
      <c r="L9027" s="70"/>
      <c r="M9027" s="934"/>
    </row>
    <row r="9028" ht="12.75" hidden="1" customHeight="1" outlineLevel="1">
      <c r="A9028" s="202">
        <v>42478.0</v>
      </c>
      <c r="B9028" s="985" t="s">
        <v>343</v>
      </c>
      <c r="C9028" s="94" t="s">
        <v>790</v>
      </c>
      <c r="D9028" s="286">
        <v>2000.0</v>
      </c>
      <c r="E9028" s="94">
        <v>6.71</v>
      </c>
      <c r="F9028" s="986">
        <v>0.4704861111111111</v>
      </c>
      <c r="G9028" s="94" t="s">
        <v>453</v>
      </c>
      <c r="H9028" s="987">
        <v>10.0</v>
      </c>
      <c r="I9028" s="988" t="s">
        <v>3145</v>
      </c>
      <c r="J9028" s="67">
        <f t="shared" si="513"/>
        <v>-13430</v>
      </c>
      <c r="L9028" s="70"/>
      <c r="M9028" s="934"/>
    </row>
    <row r="9029" ht="12.75" hidden="1" customHeight="1" outlineLevel="1">
      <c r="A9029" s="202">
        <v>42478.0</v>
      </c>
      <c r="B9029" s="985" t="s">
        <v>343</v>
      </c>
      <c r="C9029" s="94" t="s">
        <v>2035</v>
      </c>
      <c r="D9029" s="286">
        <v>1400.0</v>
      </c>
      <c r="E9029" s="94">
        <v>9.52</v>
      </c>
      <c r="F9029" s="986">
        <v>0.4707175925925926</v>
      </c>
      <c r="G9029" s="94" t="s">
        <v>453</v>
      </c>
      <c r="H9029" s="987">
        <v>6.4</v>
      </c>
      <c r="I9029" s="988" t="s">
        <v>3145</v>
      </c>
      <c r="J9029" s="67">
        <f t="shared" si="513"/>
        <v>-13334.4</v>
      </c>
      <c r="L9029" s="70"/>
      <c r="M9029" s="934"/>
    </row>
    <row r="9030" ht="12.75" hidden="1" customHeight="1" outlineLevel="1">
      <c r="A9030" s="202">
        <v>42478.0</v>
      </c>
      <c r="B9030" s="985" t="s">
        <v>343</v>
      </c>
      <c r="C9030" s="94" t="s">
        <v>1890</v>
      </c>
      <c r="D9030" s="286">
        <v>1300.0</v>
      </c>
      <c r="E9030" s="94">
        <v>10.06</v>
      </c>
      <c r="F9030" s="986">
        <v>0.4708333333333333</v>
      </c>
      <c r="G9030" s="94" t="s">
        <v>453</v>
      </c>
      <c r="H9030" s="987">
        <v>5.5</v>
      </c>
      <c r="I9030" s="988" t="s">
        <v>3145</v>
      </c>
      <c r="J9030" s="67">
        <f t="shared" si="513"/>
        <v>-13083.5</v>
      </c>
      <c r="L9030" s="70"/>
      <c r="M9030" s="934"/>
    </row>
    <row r="9031" ht="12.75" hidden="1" customHeight="1" outlineLevel="1">
      <c r="A9031" s="202">
        <v>42478.0</v>
      </c>
      <c r="B9031" s="985" t="s">
        <v>343</v>
      </c>
      <c r="C9031" s="94" t="s">
        <v>1882</v>
      </c>
      <c r="D9031" s="286">
        <v>1500.0</v>
      </c>
      <c r="E9031" s="94">
        <v>6.7399</v>
      </c>
      <c r="F9031" s="986">
        <v>0.4711226851851852</v>
      </c>
      <c r="G9031" s="94" t="s">
        <v>453</v>
      </c>
      <c r="H9031" s="987">
        <v>6.0</v>
      </c>
      <c r="I9031" s="988" t="s">
        <v>3145</v>
      </c>
      <c r="J9031" s="67">
        <f t="shared" si="513"/>
        <v>-10115.85</v>
      </c>
      <c r="L9031" s="70"/>
      <c r="M9031" s="934"/>
    </row>
    <row r="9032" ht="12.75" hidden="1" customHeight="1" outlineLevel="1">
      <c r="A9032" s="202">
        <v>42478.0</v>
      </c>
      <c r="B9032" s="985" t="s">
        <v>343</v>
      </c>
      <c r="C9032" s="94" t="s">
        <v>1633</v>
      </c>
      <c r="D9032" s="94">
        <v>800.0</v>
      </c>
      <c r="E9032" s="94">
        <v>12.96</v>
      </c>
      <c r="F9032" s="986">
        <v>0.47131944444444446</v>
      </c>
      <c r="G9032" s="94" t="s">
        <v>453</v>
      </c>
      <c r="H9032" s="987">
        <v>3.8</v>
      </c>
      <c r="I9032" s="988" t="s">
        <v>3145</v>
      </c>
      <c r="J9032" s="67">
        <f t="shared" si="513"/>
        <v>-10371.8</v>
      </c>
      <c r="L9032" s="70"/>
      <c r="M9032" s="934"/>
    </row>
    <row r="9033" ht="12.75" hidden="1" customHeight="1" outlineLevel="1">
      <c r="A9033" s="202">
        <v>42478.0</v>
      </c>
      <c r="B9033" s="985" t="s">
        <v>343</v>
      </c>
      <c r="C9033" s="94" t="s">
        <v>1938</v>
      </c>
      <c r="D9033" s="94">
        <v>400.0</v>
      </c>
      <c r="E9033" s="94">
        <v>18.35</v>
      </c>
      <c r="F9033" s="986">
        <v>0.4713541666666667</v>
      </c>
      <c r="G9033" s="94" t="s">
        <v>453</v>
      </c>
      <c r="H9033" s="987">
        <v>1.8</v>
      </c>
      <c r="I9033" s="988" t="s">
        <v>3145</v>
      </c>
      <c r="J9033" s="67">
        <f t="shared" si="513"/>
        <v>-7341.8</v>
      </c>
      <c r="L9033" s="70"/>
      <c r="M9033" s="934"/>
    </row>
    <row r="9034" ht="12.75" hidden="1" customHeight="1" outlineLevel="1">
      <c r="A9034" s="202">
        <v>42478.0</v>
      </c>
      <c r="B9034" s="985" t="s">
        <v>347</v>
      </c>
      <c r="C9034" s="94" t="s">
        <v>346</v>
      </c>
      <c r="D9034" s="94">
        <v>100.0</v>
      </c>
      <c r="E9034" s="94">
        <v>108.021</v>
      </c>
      <c r="F9034" s="986">
        <v>0.4752777777777778</v>
      </c>
      <c r="G9034" s="94" t="s">
        <v>453</v>
      </c>
      <c r="H9034" s="987">
        <v>1.24</v>
      </c>
      <c r="I9034" s="988" t="s">
        <v>3145</v>
      </c>
      <c r="J9034" s="67">
        <f t="shared" si="513"/>
        <v>10800.86</v>
      </c>
      <c r="L9034" s="70"/>
      <c r="M9034" s="934"/>
    </row>
    <row r="9035" ht="12.75" hidden="1" customHeight="1" outlineLevel="1">
      <c r="A9035" s="202">
        <v>42478.0</v>
      </c>
      <c r="B9035" s="985" t="s">
        <v>343</v>
      </c>
      <c r="C9035" s="94" t="s">
        <v>1185</v>
      </c>
      <c r="D9035" s="94">
        <v>25.0</v>
      </c>
      <c r="E9035" s="94">
        <v>350.73</v>
      </c>
      <c r="F9035" s="986">
        <v>0.6579166666666667</v>
      </c>
      <c r="G9035" s="94" t="s">
        <v>453</v>
      </c>
      <c r="H9035" s="987">
        <v>1.0</v>
      </c>
      <c r="I9035" s="988" t="s">
        <v>3145</v>
      </c>
      <c r="J9035" s="67">
        <f t="shared" si="513"/>
        <v>-8769.25</v>
      </c>
      <c r="L9035" s="70"/>
      <c r="M9035" s="934"/>
    </row>
    <row r="9036" ht="12.75" hidden="1" customHeight="1" outlineLevel="1">
      <c r="A9036" s="202">
        <v>42480.0</v>
      </c>
      <c r="B9036" s="985" t="s">
        <v>343</v>
      </c>
      <c r="C9036" s="94" t="s">
        <v>1947</v>
      </c>
      <c r="D9036" s="94">
        <v>400.0</v>
      </c>
      <c r="E9036" s="94">
        <v>37.895</v>
      </c>
      <c r="F9036" s="986">
        <v>0.43950231481481483</v>
      </c>
      <c r="G9036" s="94" t="s">
        <v>453</v>
      </c>
      <c r="H9036" s="987">
        <v>1.6</v>
      </c>
      <c r="I9036" s="988" t="s">
        <v>3145</v>
      </c>
      <c r="J9036" s="67">
        <f t="shared" si="513"/>
        <v>-15159.6</v>
      </c>
      <c r="L9036" s="70"/>
      <c r="M9036" s="934"/>
    </row>
    <row r="9037" ht="12.75" hidden="1" customHeight="1" outlineLevel="1">
      <c r="A9037" s="202">
        <v>42480.0</v>
      </c>
      <c r="B9037" s="992"/>
      <c r="C9037" s="32" t="s">
        <v>339</v>
      </c>
      <c r="D9037" s="1"/>
      <c r="F9037" s="1"/>
      <c r="G9037" s="1"/>
      <c r="H9037" s="68"/>
      <c r="I9037" s="76"/>
      <c r="K9037" s="994" t="s">
        <v>3363</v>
      </c>
      <c r="L9037" s="934"/>
      <c r="M9037" s="934"/>
    </row>
    <row r="9038" ht="12.75" hidden="1" customHeight="1" outlineLevel="1">
      <c r="A9038" s="202">
        <v>42480.0</v>
      </c>
      <c r="B9038" s="992"/>
      <c r="C9038" s="32" t="s">
        <v>429</v>
      </c>
      <c r="D9038" s="1"/>
      <c r="F9038" s="1"/>
      <c r="G9038" s="1"/>
      <c r="H9038" s="68"/>
      <c r="I9038" s="76"/>
      <c r="K9038" s="9" t="s">
        <v>3187</v>
      </c>
      <c r="L9038" s="934"/>
      <c r="M9038" s="934"/>
    </row>
    <row r="9039" ht="12.75" hidden="1" customHeight="1" outlineLevel="1">
      <c r="A9039" s="202">
        <v>42480.0</v>
      </c>
      <c r="B9039" s="992"/>
      <c r="C9039" s="32" t="s">
        <v>431</v>
      </c>
      <c r="D9039" s="1"/>
      <c r="F9039" s="1"/>
      <c r="G9039" s="1"/>
      <c r="H9039" s="68"/>
      <c r="I9039" s="76"/>
      <c r="K9039" s="7" t="s">
        <v>1126</v>
      </c>
      <c r="L9039" s="934"/>
      <c r="M9039" s="934"/>
    </row>
    <row r="9040" ht="12.75" hidden="1" customHeight="1" outlineLevel="1">
      <c r="A9040" s="202">
        <v>42480.0</v>
      </c>
      <c r="B9040" s="992"/>
      <c r="C9040" s="32" t="s">
        <v>433</v>
      </c>
      <c r="D9040" s="1"/>
      <c r="F9040" s="1"/>
      <c r="G9040" s="1"/>
      <c r="H9040" s="68"/>
      <c r="I9040" s="76"/>
      <c r="K9040" s="7" t="s">
        <v>1103</v>
      </c>
      <c r="L9040" s="934"/>
      <c r="M9040" s="934"/>
    </row>
    <row r="9041" ht="12.75" hidden="1" customHeight="1" outlineLevel="1">
      <c r="A9041" s="202">
        <v>42480.0</v>
      </c>
      <c r="B9041" s="992"/>
      <c r="C9041" s="32" t="s">
        <v>435</v>
      </c>
      <c r="D9041" s="1"/>
      <c r="F9041" s="1"/>
      <c r="G9041" s="1"/>
      <c r="H9041" s="68"/>
      <c r="I9041" s="76"/>
      <c r="K9041" s="9" t="s">
        <v>3331</v>
      </c>
      <c r="L9041" s="934"/>
      <c r="M9041" s="934"/>
    </row>
    <row r="9042" ht="12.75" hidden="1" customHeight="1" outlineLevel="1">
      <c r="A9042" s="202">
        <v>42481.0</v>
      </c>
      <c r="B9042" s="985" t="s">
        <v>347</v>
      </c>
      <c r="C9042" s="94" t="s">
        <v>1947</v>
      </c>
      <c r="D9042" s="286">
        <v>1700.0</v>
      </c>
      <c r="E9042" s="94">
        <v>37.463</v>
      </c>
      <c r="F9042" s="986">
        <v>0.5029976851851852</v>
      </c>
      <c r="G9042" s="94" t="s">
        <v>453</v>
      </c>
      <c r="H9042" s="987">
        <v>8.39</v>
      </c>
      <c r="I9042" s="988" t="s">
        <v>3145</v>
      </c>
      <c r="J9042" s="67">
        <f t="shared" ref="J9042:J9057" si="514">IF(B9042="SLD",D9042*E9042,-D9042*E9042)-H9042</f>
        <v>63678.71</v>
      </c>
      <c r="L9042" s="70"/>
      <c r="M9042" s="934"/>
    </row>
    <row r="9043" ht="12.75" hidden="1" customHeight="1" outlineLevel="1">
      <c r="A9043" s="202">
        <v>42481.0</v>
      </c>
      <c r="B9043" s="985" t="s">
        <v>347</v>
      </c>
      <c r="C9043" s="94" t="s">
        <v>1938</v>
      </c>
      <c r="D9043" s="94">
        <v>400.0</v>
      </c>
      <c r="E9043" s="94">
        <v>18.501</v>
      </c>
      <c r="F9043" s="986">
        <v>0.5032523148148148</v>
      </c>
      <c r="G9043" s="94" t="s">
        <v>453</v>
      </c>
      <c r="H9043" s="987">
        <v>1.76</v>
      </c>
      <c r="I9043" s="988" t="s">
        <v>3145</v>
      </c>
      <c r="J9043" s="67">
        <f t="shared" si="514"/>
        <v>7398.64</v>
      </c>
      <c r="L9043" s="70"/>
      <c r="M9043" s="934"/>
    </row>
    <row r="9044" ht="12.75" hidden="1" customHeight="1" outlineLevel="1">
      <c r="A9044" s="202">
        <v>42481.0</v>
      </c>
      <c r="B9044" s="985" t="s">
        <v>347</v>
      </c>
      <c r="C9044" s="94" t="s">
        <v>1633</v>
      </c>
      <c r="D9044" s="94">
        <v>800.0</v>
      </c>
      <c r="E9044" s="94">
        <v>13.471</v>
      </c>
      <c r="F9044" s="986">
        <v>0.5034837962962962</v>
      </c>
      <c r="G9044" s="94" t="s">
        <v>453</v>
      </c>
      <c r="H9044" s="987">
        <v>3.53</v>
      </c>
      <c r="I9044" s="988" t="s">
        <v>3145</v>
      </c>
      <c r="J9044" s="67">
        <f t="shared" si="514"/>
        <v>10773.27</v>
      </c>
      <c r="L9044" s="70"/>
      <c r="M9044" s="934"/>
    </row>
    <row r="9045" ht="12.75" hidden="1" customHeight="1" outlineLevel="1">
      <c r="A9045" s="202">
        <v>42481.0</v>
      </c>
      <c r="B9045" s="985" t="s">
        <v>347</v>
      </c>
      <c r="C9045" s="94" t="s">
        <v>1882</v>
      </c>
      <c r="D9045" s="286">
        <v>1500.0</v>
      </c>
      <c r="E9045" s="94">
        <v>7.241</v>
      </c>
      <c r="F9045" s="986">
        <v>0.5038078703703703</v>
      </c>
      <c r="G9045" s="94" t="s">
        <v>453</v>
      </c>
      <c r="H9045" s="987">
        <v>6.24</v>
      </c>
      <c r="I9045" s="988" t="s">
        <v>3145</v>
      </c>
      <c r="J9045" s="67">
        <f t="shared" si="514"/>
        <v>10855.26</v>
      </c>
      <c r="L9045" s="70"/>
      <c r="M9045" s="934"/>
    </row>
    <row r="9046" ht="12.75" hidden="1" customHeight="1" outlineLevel="1">
      <c r="A9046" s="202">
        <v>42481.0</v>
      </c>
      <c r="B9046" s="985" t="s">
        <v>347</v>
      </c>
      <c r="C9046" s="94" t="s">
        <v>1890</v>
      </c>
      <c r="D9046" s="286">
        <v>1300.0</v>
      </c>
      <c r="E9046" s="94">
        <v>11.451</v>
      </c>
      <c r="F9046" s="986">
        <v>0.5040509259259259</v>
      </c>
      <c r="G9046" s="94" t="s">
        <v>453</v>
      </c>
      <c r="H9046" s="987">
        <v>5.82</v>
      </c>
      <c r="I9046" s="988" t="s">
        <v>3145</v>
      </c>
      <c r="J9046" s="67">
        <f t="shared" si="514"/>
        <v>14880.48</v>
      </c>
      <c r="L9046" s="70"/>
      <c r="M9046" s="934"/>
    </row>
    <row r="9047" ht="12.75" hidden="1" customHeight="1" outlineLevel="1">
      <c r="A9047" s="202">
        <v>42481.0</v>
      </c>
      <c r="B9047" s="985" t="s">
        <v>347</v>
      </c>
      <c r="C9047" s="94" t="s">
        <v>2035</v>
      </c>
      <c r="D9047" s="286">
        <v>1400.0</v>
      </c>
      <c r="E9047" s="94">
        <v>10.591</v>
      </c>
      <c r="F9047" s="986">
        <v>0.5042129629629629</v>
      </c>
      <c r="G9047" s="94" t="s">
        <v>453</v>
      </c>
      <c r="H9047" s="987">
        <v>6.42</v>
      </c>
      <c r="I9047" s="988" t="s">
        <v>3145</v>
      </c>
      <c r="J9047" s="67">
        <f t="shared" si="514"/>
        <v>14820.98</v>
      </c>
      <c r="L9047" s="70"/>
      <c r="M9047" s="934"/>
    </row>
    <row r="9048" ht="12.75" hidden="1" customHeight="1" outlineLevel="1">
      <c r="A9048" s="202">
        <v>42481.0</v>
      </c>
      <c r="B9048" s="985" t="s">
        <v>347</v>
      </c>
      <c r="C9048" s="94" t="s">
        <v>790</v>
      </c>
      <c r="D9048" s="286">
        <v>2000.0</v>
      </c>
      <c r="E9048" s="94">
        <v>7.051</v>
      </c>
      <c r="F9048" s="986">
        <v>0.5043865740740741</v>
      </c>
      <c r="G9048" s="94" t="s">
        <v>453</v>
      </c>
      <c r="H9048" s="987">
        <v>8.31</v>
      </c>
      <c r="I9048" s="988" t="s">
        <v>3145</v>
      </c>
      <c r="J9048" s="67">
        <f t="shared" si="514"/>
        <v>14093.69</v>
      </c>
      <c r="L9048" s="70"/>
      <c r="M9048" s="934"/>
    </row>
    <row r="9049" ht="12.75" hidden="1" customHeight="1" outlineLevel="1">
      <c r="A9049" s="202">
        <v>42481.0</v>
      </c>
      <c r="B9049" s="985" t="s">
        <v>347</v>
      </c>
      <c r="C9049" s="94" t="s">
        <v>1839</v>
      </c>
      <c r="D9049" s="286">
        <v>2400.0</v>
      </c>
      <c r="E9049" s="94">
        <v>6.27</v>
      </c>
      <c r="F9049" s="986">
        <v>0.5046064814814815</v>
      </c>
      <c r="G9049" s="94" t="s">
        <v>453</v>
      </c>
      <c r="H9049" s="987">
        <v>12.23</v>
      </c>
      <c r="I9049" s="988" t="s">
        <v>3145</v>
      </c>
      <c r="J9049" s="67">
        <f t="shared" si="514"/>
        <v>15035.77</v>
      </c>
      <c r="L9049" s="70"/>
      <c r="M9049" s="934"/>
    </row>
    <row r="9050" ht="12.75" hidden="1" customHeight="1" outlineLevel="1">
      <c r="A9050" s="202">
        <v>42481.0</v>
      </c>
      <c r="B9050" s="985" t="s">
        <v>347</v>
      </c>
      <c r="C9050" s="94" t="s">
        <v>2009</v>
      </c>
      <c r="D9050" s="286">
        <v>1000.0</v>
      </c>
      <c r="E9050" s="94">
        <v>16.91</v>
      </c>
      <c r="F9050" s="986">
        <v>0.5048032407407408</v>
      </c>
      <c r="G9050" s="94" t="s">
        <v>453</v>
      </c>
      <c r="H9050" s="987">
        <v>5.17</v>
      </c>
      <c r="I9050" s="988" t="s">
        <v>3145</v>
      </c>
      <c r="J9050" s="67">
        <f t="shared" si="514"/>
        <v>16904.83</v>
      </c>
      <c r="L9050" s="70"/>
      <c r="M9050" s="934"/>
    </row>
    <row r="9051" ht="12.75" hidden="1" customHeight="1" outlineLevel="1">
      <c r="A9051" s="202">
        <v>42481.0</v>
      </c>
      <c r="B9051" s="985" t="s">
        <v>347</v>
      </c>
      <c r="C9051" s="94" t="s">
        <v>3024</v>
      </c>
      <c r="D9051" s="286">
        <v>1100.0</v>
      </c>
      <c r="E9051" s="94">
        <v>15.481</v>
      </c>
      <c r="F9051" s="986">
        <v>0.5050231481481482</v>
      </c>
      <c r="G9051" s="94" t="s">
        <v>453</v>
      </c>
      <c r="H9051" s="987">
        <v>4.77</v>
      </c>
      <c r="I9051" s="988" t="s">
        <v>3145</v>
      </c>
      <c r="J9051" s="67">
        <f t="shared" si="514"/>
        <v>17024.33</v>
      </c>
      <c r="L9051" s="70"/>
      <c r="M9051" s="934"/>
    </row>
    <row r="9052" ht="12.75" hidden="1" customHeight="1" outlineLevel="1">
      <c r="A9052" s="202">
        <v>42481.0</v>
      </c>
      <c r="B9052" s="985" t="s">
        <v>347</v>
      </c>
      <c r="C9052" s="94" t="s">
        <v>2210</v>
      </c>
      <c r="D9052" s="94">
        <v>200.0</v>
      </c>
      <c r="E9052" s="94">
        <v>94.5576</v>
      </c>
      <c r="F9052" s="986">
        <v>0.5052430555555556</v>
      </c>
      <c r="G9052" s="94" t="s">
        <v>453</v>
      </c>
      <c r="H9052" s="987">
        <v>1.41</v>
      </c>
      <c r="I9052" s="988" t="s">
        <v>3145</v>
      </c>
      <c r="J9052" s="67">
        <f t="shared" si="514"/>
        <v>18910.11</v>
      </c>
      <c r="L9052" s="70"/>
      <c r="M9052" s="934"/>
    </row>
    <row r="9053" ht="12.75" hidden="1" customHeight="1" outlineLevel="1">
      <c r="A9053" s="202">
        <v>42481.0</v>
      </c>
      <c r="B9053" s="985" t="s">
        <v>347</v>
      </c>
      <c r="C9053" s="94" t="s">
        <v>1905</v>
      </c>
      <c r="D9053" s="286">
        <v>1000.0</v>
      </c>
      <c r="E9053" s="94">
        <v>23.161</v>
      </c>
      <c r="F9053" s="986">
        <v>0.5054166666666666</v>
      </c>
      <c r="G9053" s="94" t="s">
        <v>453</v>
      </c>
      <c r="H9053" s="987">
        <v>4.7</v>
      </c>
      <c r="I9053" s="988" t="s">
        <v>3145</v>
      </c>
      <c r="J9053" s="67">
        <f t="shared" si="514"/>
        <v>23156.3</v>
      </c>
      <c r="L9053" s="70"/>
      <c r="M9053" s="934"/>
    </row>
    <row r="9054" ht="12.75" hidden="1" customHeight="1" outlineLevel="1">
      <c r="A9054" s="202">
        <v>42481.0</v>
      </c>
      <c r="B9054" s="985" t="s">
        <v>347</v>
      </c>
      <c r="C9054" s="94" t="s">
        <v>1893</v>
      </c>
      <c r="D9054" s="286">
        <v>2000.0</v>
      </c>
      <c r="E9054" s="94">
        <v>12.03</v>
      </c>
      <c r="F9054" s="986">
        <v>0.5063888888888889</v>
      </c>
      <c r="G9054" s="94" t="s">
        <v>453</v>
      </c>
      <c r="H9054" s="987">
        <v>10.52</v>
      </c>
      <c r="I9054" s="988" t="s">
        <v>3145</v>
      </c>
      <c r="J9054" s="67">
        <f t="shared" si="514"/>
        <v>24049.48</v>
      </c>
      <c r="L9054" s="70"/>
      <c r="M9054" s="934"/>
    </row>
    <row r="9055" ht="12.75" hidden="1" customHeight="1" outlineLevel="1">
      <c r="A9055" s="202">
        <v>42481.0</v>
      </c>
      <c r="B9055" s="985" t="s">
        <v>347</v>
      </c>
      <c r="C9055" s="94" t="s">
        <v>1902</v>
      </c>
      <c r="D9055" s="286">
        <v>2500.0</v>
      </c>
      <c r="E9055" s="94">
        <v>8.56</v>
      </c>
      <c r="F9055" s="986">
        <v>0.5065740740740741</v>
      </c>
      <c r="G9055" s="94" t="s">
        <v>453</v>
      </c>
      <c r="H9055" s="987">
        <v>12.97</v>
      </c>
      <c r="I9055" s="988" t="s">
        <v>3145</v>
      </c>
      <c r="J9055" s="67">
        <f t="shared" si="514"/>
        <v>21387.03</v>
      </c>
      <c r="L9055" s="70"/>
      <c r="M9055" s="934"/>
    </row>
    <row r="9056" ht="12.75" hidden="1" customHeight="1" outlineLevel="1">
      <c r="A9056" s="202">
        <v>42481.0</v>
      </c>
      <c r="B9056" s="985" t="s">
        <v>347</v>
      </c>
      <c r="C9056" s="94" t="s">
        <v>784</v>
      </c>
      <c r="D9056" s="286">
        <v>7000.0</v>
      </c>
      <c r="E9056" s="94">
        <v>5.9</v>
      </c>
      <c r="F9056" s="986">
        <v>0.5066550925925926</v>
      </c>
      <c r="G9056" s="94" t="s">
        <v>453</v>
      </c>
      <c r="H9056" s="987">
        <v>35.9</v>
      </c>
      <c r="I9056" s="988" t="s">
        <v>3145</v>
      </c>
      <c r="J9056" s="67">
        <f t="shared" si="514"/>
        <v>41264.1</v>
      </c>
      <c r="L9056" s="70"/>
      <c r="M9056" s="934"/>
    </row>
    <row r="9057" ht="12.75" hidden="1" customHeight="1" outlineLevel="1">
      <c r="A9057" s="202">
        <v>42481.0</v>
      </c>
      <c r="B9057" s="985" t="s">
        <v>347</v>
      </c>
      <c r="C9057" s="94" t="s">
        <v>2090</v>
      </c>
      <c r="D9057" s="286">
        <v>3500.0</v>
      </c>
      <c r="E9057" s="94">
        <v>10.951</v>
      </c>
      <c r="F9057" s="986">
        <v>0.5069444444444444</v>
      </c>
      <c r="G9057" s="94" t="s">
        <v>453</v>
      </c>
      <c r="H9057" s="987">
        <v>15.34</v>
      </c>
      <c r="I9057" s="988" t="s">
        <v>3145</v>
      </c>
      <c r="J9057" s="67">
        <f t="shared" si="514"/>
        <v>38313.16</v>
      </c>
      <c r="L9057" s="70"/>
      <c r="M9057" s="934"/>
    </row>
    <row r="9058" ht="12.75" hidden="1" customHeight="1" outlineLevel="1">
      <c r="A9058" s="202">
        <v>42481.0</v>
      </c>
      <c r="B9058" s="992"/>
      <c r="C9058" s="32" t="s">
        <v>339</v>
      </c>
      <c r="D9058" s="1"/>
      <c r="F9058" s="1"/>
      <c r="G9058" s="1"/>
      <c r="H9058" s="68"/>
      <c r="I9058" s="76"/>
      <c r="K9058" s="994" t="s">
        <v>3363</v>
      </c>
      <c r="L9058" s="934"/>
      <c r="M9058" s="934"/>
    </row>
    <row r="9059" ht="12.75" hidden="1" customHeight="1" outlineLevel="1">
      <c r="A9059" s="202">
        <v>42481.0</v>
      </c>
      <c r="B9059" s="992"/>
      <c r="C9059" s="32" t="s">
        <v>429</v>
      </c>
      <c r="D9059" s="1"/>
      <c r="F9059" s="1"/>
      <c r="G9059" s="1"/>
      <c r="H9059" s="68"/>
      <c r="I9059" s="76"/>
      <c r="K9059" s="9" t="s">
        <v>3187</v>
      </c>
      <c r="L9059" s="934"/>
      <c r="M9059" s="934"/>
    </row>
    <row r="9060" ht="12.75" hidden="1" customHeight="1" outlineLevel="1">
      <c r="A9060" s="202">
        <v>42481.0</v>
      </c>
      <c r="B9060" s="992"/>
      <c r="C9060" s="32" t="s">
        <v>431</v>
      </c>
      <c r="D9060" s="1"/>
      <c r="F9060" s="1"/>
      <c r="G9060" s="1"/>
      <c r="H9060" s="68"/>
      <c r="I9060" s="76"/>
      <c r="K9060" s="7" t="s">
        <v>1126</v>
      </c>
      <c r="L9060" s="934"/>
      <c r="M9060" s="934"/>
    </row>
    <row r="9061" ht="12.75" hidden="1" customHeight="1" outlineLevel="1">
      <c r="A9061" s="202">
        <v>42481.0</v>
      </c>
      <c r="B9061" s="992"/>
      <c r="C9061" s="32" t="s">
        <v>433</v>
      </c>
      <c r="D9061" s="1"/>
      <c r="F9061" s="1"/>
      <c r="G9061" s="1"/>
      <c r="H9061" s="68"/>
      <c r="I9061" s="76"/>
      <c r="K9061" s="7" t="s">
        <v>1103</v>
      </c>
      <c r="L9061" s="934"/>
      <c r="M9061" s="934"/>
    </row>
    <row r="9062" ht="12.75" hidden="1" customHeight="1" outlineLevel="1">
      <c r="A9062" s="202">
        <v>42481.0</v>
      </c>
      <c r="B9062" s="992"/>
      <c r="C9062" s="32" t="s">
        <v>435</v>
      </c>
      <c r="D9062" s="1"/>
      <c r="F9062" s="1"/>
      <c r="G9062" s="1"/>
      <c r="H9062" s="68"/>
      <c r="I9062" s="76"/>
      <c r="K9062" s="9" t="s">
        <v>3331</v>
      </c>
      <c r="L9062" s="934"/>
      <c r="M9062" s="934"/>
    </row>
    <row r="9063" ht="12.75" hidden="1" customHeight="1" outlineLevel="1">
      <c r="A9063" s="202">
        <v>42482.0</v>
      </c>
      <c r="B9063" s="985" t="s">
        <v>343</v>
      </c>
      <c r="C9063" s="94" t="s">
        <v>1890</v>
      </c>
      <c r="D9063" s="286">
        <v>1300.0</v>
      </c>
      <c r="E9063" s="94">
        <v>11.929</v>
      </c>
      <c r="F9063" s="986">
        <v>0.41386574074074073</v>
      </c>
      <c r="G9063" s="94" t="s">
        <v>453</v>
      </c>
      <c r="H9063" s="987">
        <v>5.6</v>
      </c>
      <c r="I9063" s="988" t="s">
        <v>3145</v>
      </c>
      <c r="J9063" s="67">
        <f t="shared" ref="J9063:J9080" si="515">IF(B9063="SLD",D9063*E9063,-D9063*E9063)-H9063</f>
        <v>-15513.3</v>
      </c>
      <c r="L9063" s="70"/>
      <c r="M9063" s="934"/>
    </row>
    <row r="9064" ht="12.75" hidden="1" customHeight="1" outlineLevel="1">
      <c r="A9064" s="202">
        <v>42482.0</v>
      </c>
      <c r="B9064" s="985" t="s">
        <v>343</v>
      </c>
      <c r="C9064" s="94" t="s">
        <v>2035</v>
      </c>
      <c r="D9064" s="286">
        <v>1400.0</v>
      </c>
      <c r="E9064" s="94">
        <v>11.23</v>
      </c>
      <c r="F9064" s="986">
        <v>0.4140509259259259</v>
      </c>
      <c r="G9064" s="94" t="s">
        <v>453</v>
      </c>
      <c r="H9064" s="987">
        <v>5.8</v>
      </c>
      <c r="I9064" s="988" t="s">
        <v>3145</v>
      </c>
      <c r="J9064" s="67">
        <f t="shared" si="515"/>
        <v>-15727.8</v>
      </c>
      <c r="L9064" s="70"/>
      <c r="M9064" s="934"/>
    </row>
    <row r="9065" ht="12.75" hidden="1" customHeight="1" outlineLevel="1">
      <c r="A9065" s="202">
        <v>42482.0</v>
      </c>
      <c r="B9065" s="985" t="s">
        <v>343</v>
      </c>
      <c r="C9065" s="94" t="s">
        <v>1905</v>
      </c>
      <c r="D9065" s="94">
        <v>100.0</v>
      </c>
      <c r="E9065" s="94">
        <v>24.175</v>
      </c>
      <c r="F9065" s="986">
        <v>0.4151273148148148</v>
      </c>
      <c r="G9065" s="94" t="s">
        <v>453</v>
      </c>
      <c r="H9065" s="987">
        <v>1.0</v>
      </c>
      <c r="I9065" s="988" t="s">
        <v>3145</v>
      </c>
      <c r="J9065" s="67">
        <f t="shared" si="515"/>
        <v>-2418.5</v>
      </c>
      <c r="L9065" s="70"/>
      <c r="M9065" s="934"/>
    </row>
    <row r="9066" ht="12.75" hidden="1" customHeight="1" outlineLevel="1">
      <c r="A9066" s="202">
        <v>42482.0</v>
      </c>
      <c r="B9066" s="985" t="s">
        <v>343</v>
      </c>
      <c r="C9066" s="94" t="s">
        <v>1905</v>
      </c>
      <c r="D9066" s="94">
        <v>900.0</v>
      </c>
      <c r="E9066" s="94">
        <v>24.21</v>
      </c>
      <c r="F9066" s="986">
        <v>0.41530092592592593</v>
      </c>
      <c r="G9066" s="94" t="s">
        <v>453</v>
      </c>
      <c r="H9066" s="987">
        <v>4.5</v>
      </c>
      <c r="I9066" s="988" t="s">
        <v>3145</v>
      </c>
      <c r="J9066" s="67">
        <f t="shared" si="515"/>
        <v>-21793.5</v>
      </c>
      <c r="L9066" s="70"/>
      <c r="M9066" s="934"/>
    </row>
    <row r="9067" ht="12.75" hidden="1" customHeight="1" outlineLevel="1">
      <c r="A9067" s="202">
        <v>42482.0</v>
      </c>
      <c r="B9067" s="985" t="s">
        <v>343</v>
      </c>
      <c r="C9067" s="94" t="s">
        <v>2009</v>
      </c>
      <c r="D9067" s="286">
        <v>1000.0</v>
      </c>
      <c r="E9067" s="94">
        <v>17.97</v>
      </c>
      <c r="F9067" s="986">
        <v>0.41560185185185183</v>
      </c>
      <c r="G9067" s="94" t="s">
        <v>453</v>
      </c>
      <c r="H9067" s="987">
        <v>4.0</v>
      </c>
      <c r="I9067" s="988" t="s">
        <v>3145</v>
      </c>
      <c r="J9067" s="67">
        <f t="shared" si="515"/>
        <v>-17974</v>
      </c>
      <c r="L9067" s="70"/>
      <c r="M9067" s="934"/>
    </row>
    <row r="9068" ht="12.75" hidden="1" customHeight="1" outlineLevel="1">
      <c r="A9068" s="202">
        <v>42482.0</v>
      </c>
      <c r="B9068" s="985" t="s">
        <v>343</v>
      </c>
      <c r="C9068" s="94" t="s">
        <v>3024</v>
      </c>
      <c r="D9068" s="286">
        <v>1100.0</v>
      </c>
      <c r="E9068" s="94">
        <v>16.019</v>
      </c>
      <c r="F9068" s="986">
        <v>0.41613425925925923</v>
      </c>
      <c r="G9068" s="94" t="s">
        <v>453</v>
      </c>
      <c r="H9068" s="987">
        <v>4.4</v>
      </c>
      <c r="I9068" s="988" t="s">
        <v>3145</v>
      </c>
      <c r="J9068" s="67">
        <f t="shared" si="515"/>
        <v>-17625.3</v>
      </c>
      <c r="L9068" s="70"/>
      <c r="M9068" s="934"/>
    </row>
    <row r="9069" ht="12.75" hidden="1" customHeight="1" outlineLevel="1">
      <c r="A9069" s="202">
        <v>42482.0</v>
      </c>
      <c r="B9069" s="985" t="s">
        <v>343</v>
      </c>
      <c r="C9069" s="94" t="s">
        <v>1902</v>
      </c>
      <c r="D9069" s="286">
        <v>2500.0</v>
      </c>
      <c r="E9069" s="94">
        <v>8.806</v>
      </c>
      <c r="F9069" s="986">
        <v>0.41653935185185187</v>
      </c>
      <c r="G9069" s="94" t="s">
        <v>453</v>
      </c>
      <c r="H9069" s="987">
        <v>13.0</v>
      </c>
      <c r="I9069" s="988" t="s">
        <v>3145</v>
      </c>
      <c r="J9069" s="67">
        <f t="shared" si="515"/>
        <v>-22028</v>
      </c>
      <c r="L9069" s="70"/>
      <c r="M9069" s="934"/>
    </row>
    <row r="9070" ht="12.75" hidden="1" customHeight="1" outlineLevel="1">
      <c r="A9070" s="202">
        <v>42482.0</v>
      </c>
      <c r="B9070" s="985" t="s">
        <v>343</v>
      </c>
      <c r="C9070" s="94" t="s">
        <v>790</v>
      </c>
      <c r="D9070" s="286">
        <v>2000.0</v>
      </c>
      <c r="E9070" s="94">
        <v>7.137</v>
      </c>
      <c r="F9070" s="986">
        <v>0.4170601851851852</v>
      </c>
      <c r="G9070" s="94" t="s">
        <v>453</v>
      </c>
      <c r="H9070" s="987">
        <v>10.0</v>
      </c>
      <c r="I9070" s="988" t="s">
        <v>3145</v>
      </c>
      <c r="J9070" s="67">
        <f t="shared" si="515"/>
        <v>-14284</v>
      </c>
      <c r="L9070" s="70"/>
      <c r="M9070" s="934"/>
    </row>
    <row r="9071" ht="12.75" hidden="1" customHeight="1" outlineLevel="1">
      <c r="A9071" s="202">
        <v>42482.0</v>
      </c>
      <c r="B9071" s="985" t="s">
        <v>343</v>
      </c>
      <c r="C9071" s="94" t="s">
        <v>1882</v>
      </c>
      <c r="D9071" s="286">
        <v>1500.0</v>
      </c>
      <c r="E9071" s="94">
        <v>7.407</v>
      </c>
      <c r="F9071" s="986">
        <v>0.41715277777777776</v>
      </c>
      <c r="G9071" s="94" t="s">
        <v>453</v>
      </c>
      <c r="H9071" s="987">
        <v>7.5</v>
      </c>
      <c r="I9071" s="988" t="s">
        <v>3145</v>
      </c>
      <c r="J9071" s="67">
        <f t="shared" si="515"/>
        <v>-11118</v>
      </c>
      <c r="L9071" s="70"/>
      <c r="M9071" s="934"/>
    </row>
    <row r="9072" ht="12.75" hidden="1" customHeight="1" outlineLevel="1">
      <c r="A9072" s="202">
        <v>42482.0</v>
      </c>
      <c r="B9072" s="985" t="s">
        <v>343</v>
      </c>
      <c r="C9072" s="94" t="s">
        <v>1633</v>
      </c>
      <c r="D9072" s="94">
        <v>800.0</v>
      </c>
      <c r="E9072" s="94">
        <v>13.514</v>
      </c>
      <c r="F9072" s="986">
        <v>0.4180787037037037</v>
      </c>
      <c r="G9072" s="94" t="s">
        <v>453</v>
      </c>
      <c r="H9072" s="987">
        <v>4.0</v>
      </c>
      <c r="I9072" s="988" t="s">
        <v>3145</v>
      </c>
      <c r="J9072" s="67">
        <f t="shared" si="515"/>
        <v>-10815.2</v>
      </c>
      <c r="L9072" s="70"/>
      <c r="M9072" s="934"/>
    </row>
    <row r="9073" ht="12.75" hidden="1" customHeight="1" outlineLevel="1">
      <c r="A9073" s="202">
        <v>42482.0</v>
      </c>
      <c r="B9073" s="985" t="s">
        <v>343</v>
      </c>
      <c r="C9073" s="94" t="s">
        <v>1938</v>
      </c>
      <c r="D9073" s="94">
        <v>400.0</v>
      </c>
      <c r="E9073" s="94">
        <v>18.257</v>
      </c>
      <c r="F9073" s="986">
        <v>0.4181597222222222</v>
      </c>
      <c r="G9073" s="94" t="s">
        <v>453</v>
      </c>
      <c r="H9073" s="987">
        <v>1.8</v>
      </c>
      <c r="I9073" s="988" t="s">
        <v>3145</v>
      </c>
      <c r="J9073" s="67">
        <f t="shared" si="515"/>
        <v>-7304.6</v>
      </c>
      <c r="L9073" s="70"/>
      <c r="M9073" s="934"/>
    </row>
    <row r="9074" ht="12.75" hidden="1" customHeight="1" outlineLevel="1">
      <c r="A9074" s="202">
        <v>42482.0</v>
      </c>
      <c r="B9074" s="985" t="s">
        <v>343</v>
      </c>
      <c r="C9074" s="94" t="s">
        <v>1839</v>
      </c>
      <c r="D9074" s="94">
        <v>100.0</v>
      </c>
      <c r="E9074" s="94">
        <v>6.4089</v>
      </c>
      <c r="F9074" s="986">
        <v>0.41825231481481484</v>
      </c>
      <c r="G9074" s="94" t="s">
        <v>453</v>
      </c>
      <c r="H9074" s="987">
        <v>1.0</v>
      </c>
      <c r="I9074" s="988" t="s">
        <v>3145</v>
      </c>
      <c r="J9074" s="67">
        <f t="shared" si="515"/>
        <v>-641.89</v>
      </c>
      <c r="L9074" s="70"/>
      <c r="M9074" s="934"/>
    </row>
    <row r="9075" ht="12.75" hidden="1" customHeight="1" outlineLevel="1">
      <c r="A9075" s="202">
        <v>42482.0</v>
      </c>
      <c r="B9075" s="985" t="s">
        <v>343</v>
      </c>
      <c r="C9075" s="94" t="s">
        <v>1839</v>
      </c>
      <c r="D9075" s="286">
        <v>2300.0</v>
      </c>
      <c r="E9075" s="94">
        <v>6.41</v>
      </c>
      <c r="F9075" s="986">
        <v>0.41835648148148147</v>
      </c>
      <c r="G9075" s="94" t="s">
        <v>453</v>
      </c>
      <c r="H9075" s="987">
        <v>10.0</v>
      </c>
      <c r="I9075" s="988" t="s">
        <v>3145</v>
      </c>
      <c r="J9075" s="67">
        <f t="shared" si="515"/>
        <v>-14753</v>
      </c>
      <c r="L9075" s="70"/>
      <c r="M9075" s="934"/>
    </row>
    <row r="9076" ht="12.75" hidden="1" customHeight="1" outlineLevel="1">
      <c r="A9076" s="202">
        <v>42482.0</v>
      </c>
      <c r="B9076" s="985" t="s">
        <v>343</v>
      </c>
      <c r="C9076" s="94" t="s">
        <v>2210</v>
      </c>
      <c r="D9076" s="94">
        <v>200.0</v>
      </c>
      <c r="E9076" s="94">
        <v>96.33</v>
      </c>
      <c r="F9076" s="986">
        <v>0.4187037037037037</v>
      </c>
      <c r="G9076" s="94" t="s">
        <v>453</v>
      </c>
      <c r="H9076" s="987">
        <v>1.0</v>
      </c>
      <c r="I9076" s="988" t="s">
        <v>3145</v>
      </c>
      <c r="J9076" s="67">
        <f t="shared" si="515"/>
        <v>-19267</v>
      </c>
      <c r="L9076" s="70"/>
      <c r="M9076" s="934"/>
    </row>
    <row r="9077" ht="12.75" hidden="1" customHeight="1" outlineLevel="1">
      <c r="A9077" s="202">
        <v>42482.0</v>
      </c>
      <c r="B9077" s="985" t="s">
        <v>343</v>
      </c>
      <c r="C9077" s="94" t="s">
        <v>1893</v>
      </c>
      <c r="D9077" s="286">
        <v>2000.0</v>
      </c>
      <c r="E9077" s="94">
        <v>12.029</v>
      </c>
      <c r="F9077" s="986">
        <v>0.41888888888888887</v>
      </c>
      <c r="G9077" s="94" t="s">
        <v>453</v>
      </c>
      <c r="H9077" s="987">
        <v>8.0</v>
      </c>
      <c r="I9077" s="988" t="s">
        <v>3145</v>
      </c>
      <c r="J9077" s="67">
        <f t="shared" si="515"/>
        <v>-24066</v>
      </c>
      <c r="L9077" s="70"/>
      <c r="M9077" s="934"/>
    </row>
    <row r="9078" ht="12.75" hidden="1" customHeight="1" outlineLevel="1">
      <c r="A9078" s="202">
        <v>42482.0</v>
      </c>
      <c r="B9078" s="985" t="s">
        <v>343</v>
      </c>
      <c r="C9078" s="94" t="s">
        <v>2090</v>
      </c>
      <c r="D9078" s="286">
        <v>3500.0</v>
      </c>
      <c r="E9078" s="94">
        <v>10.802</v>
      </c>
      <c r="F9078" s="986">
        <v>0.42703703703703705</v>
      </c>
      <c r="G9078" s="94" t="s">
        <v>453</v>
      </c>
      <c r="H9078" s="987">
        <v>17.4</v>
      </c>
      <c r="I9078" s="988" t="s">
        <v>3145</v>
      </c>
      <c r="J9078" s="67">
        <f t="shared" si="515"/>
        <v>-37824.4</v>
      </c>
      <c r="L9078" s="70"/>
      <c r="M9078" s="934"/>
    </row>
    <row r="9079" ht="12.75" hidden="1" customHeight="1" outlineLevel="1">
      <c r="A9079" s="202">
        <v>42482.0</v>
      </c>
      <c r="B9079" s="985" t="s">
        <v>343</v>
      </c>
      <c r="C9079" s="94" t="s">
        <v>784</v>
      </c>
      <c r="D9079" s="286">
        <v>7000.0</v>
      </c>
      <c r="E9079" s="94">
        <v>5.619</v>
      </c>
      <c r="F9079" s="986">
        <v>0.4273263888888889</v>
      </c>
      <c r="G9079" s="94" t="s">
        <v>453</v>
      </c>
      <c r="H9079" s="987">
        <v>29.4</v>
      </c>
      <c r="I9079" s="988" t="s">
        <v>3145</v>
      </c>
      <c r="J9079" s="67">
        <f t="shared" si="515"/>
        <v>-39362.4</v>
      </c>
      <c r="L9079" s="70"/>
      <c r="M9079" s="934"/>
    </row>
    <row r="9080" ht="12.75" hidden="1" customHeight="1" outlineLevel="1">
      <c r="A9080" s="202">
        <v>42482.0</v>
      </c>
      <c r="B9080" s="985" t="s">
        <v>343</v>
      </c>
      <c r="C9080" s="94" t="s">
        <v>1947</v>
      </c>
      <c r="D9080" s="286">
        <v>1700.0</v>
      </c>
      <c r="E9080" s="94">
        <v>37.304</v>
      </c>
      <c r="F9080" s="986">
        <v>0.4274189814814815</v>
      </c>
      <c r="G9080" s="94" t="s">
        <v>453</v>
      </c>
      <c r="H9080" s="987">
        <v>6.8</v>
      </c>
      <c r="I9080" s="988" t="s">
        <v>3145</v>
      </c>
      <c r="J9080" s="67">
        <f t="shared" si="515"/>
        <v>-63423.6</v>
      </c>
      <c r="L9080" s="70"/>
      <c r="M9080" s="934"/>
    </row>
    <row r="9081" ht="12.75" hidden="1" customHeight="1" outlineLevel="1">
      <c r="A9081" s="202">
        <v>42482.0</v>
      </c>
      <c r="B9081" s="992"/>
      <c r="C9081" s="32" t="s">
        <v>339</v>
      </c>
      <c r="D9081" s="1"/>
      <c r="F9081" s="1"/>
      <c r="G9081" s="1"/>
      <c r="H9081" s="68"/>
      <c r="I9081" s="76"/>
      <c r="K9081" s="994" t="s">
        <v>3363</v>
      </c>
      <c r="L9081" s="934"/>
      <c r="M9081" s="934"/>
    </row>
    <row r="9082" ht="12.75" hidden="1" customHeight="1" outlineLevel="1">
      <c r="A9082" s="202">
        <v>42482.0</v>
      </c>
      <c r="B9082" s="992"/>
      <c r="C9082" s="32" t="s">
        <v>429</v>
      </c>
      <c r="D9082" s="1"/>
      <c r="F9082" s="1"/>
      <c r="G9082" s="1"/>
      <c r="H9082" s="68"/>
      <c r="I9082" s="76"/>
      <c r="K9082" s="9" t="s">
        <v>3187</v>
      </c>
      <c r="L9082" s="934"/>
      <c r="M9082" s="934"/>
    </row>
    <row r="9083" ht="12.75" hidden="1" customHeight="1" outlineLevel="1">
      <c r="A9083" s="202">
        <v>42482.0</v>
      </c>
      <c r="B9083" s="992"/>
      <c r="C9083" s="32" t="s">
        <v>431</v>
      </c>
      <c r="D9083" s="1"/>
      <c r="F9083" s="1"/>
      <c r="G9083" s="1"/>
      <c r="H9083" s="68"/>
      <c r="I9083" s="76"/>
      <c r="K9083" s="7" t="s">
        <v>1126</v>
      </c>
      <c r="L9083" s="934"/>
      <c r="M9083" s="934"/>
    </row>
    <row r="9084" ht="12.75" hidden="1" customHeight="1" outlineLevel="1">
      <c r="A9084" s="202">
        <v>42482.0</v>
      </c>
      <c r="B9084" s="992"/>
      <c r="C9084" s="32" t="s">
        <v>433</v>
      </c>
      <c r="D9084" s="1"/>
      <c r="F9084" s="1"/>
      <c r="G9084" s="1"/>
      <c r="H9084" s="68"/>
      <c r="I9084" s="76"/>
      <c r="K9084" s="7" t="s">
        <v>1103</v>
      </c>
      <c r="L9084" s="934"/>
      <c r="M9084" s="934"/>
    </row>
    <row r="9085" ht="12.75" hidden="1" customHeight="1" outlineLevel="1">
      <c r="A9085" s="202">
        <v>42482.0</v>
      </c>
      <c r="B9085" s="992"/>
      <c r="C9085" s="32" t="s">
        <v>435</v>
      </c>
      <c r="D9085" s="1"/>
      <c r="F9085" s="1"/>
      <c r="G9085" s="1"/>
      <c r="H9085" s="68"/>
      <c r="I9085" s="76"/>
      <c r="K9085" s="9" t="s">
        <v>3331</v>
      </c>
      <c r="L9085" s="934"/>
      <c r="M9085" s="934"/>
    </row>
    <row r="9086" ht="12.75" hidden="1" customHeight="1" outlineLevel="1">
      <c r="A9086" s="202">
        <v>42485.0</v>
      </c>
      <c r="B9086" s="985" t="s">
        <v>347</v>
      </c>
      <c r="C9086" s="94" t="s">
        <v>1947</v>
      </c>
      <c r="D9086" s="94">
        <v>350.0</v>
      </c>
      <c r="E9086" s="94">
        <v>37.506</v>
      </c>
      <c r="F9086" s="986">
        <v>0.39644675925925926</v>
      </c>
      <c r="G9086" s="94" t="s">
        <v>453</v>
      </c>
      <c r="H9086" s="987">
        <v>1.79</v>
      </c>
      <c r="I9086" s="988" t="s">
        <v>3145</v>
      </c>
      <c r="J9086" s="67">
        <f t="shared" ref="J9086:J9101" si="516">IF(B9086="SLD",D9086*E9086,-D9086*E9086)-H9086</f>
        <v>13125.31</v>
      </c>
      <c r="L9086" s="70"/>
      <c r="M9086" s="934"/>
    </row>
    <row r="9087" ht="12.75" hidden="1" customHeight="1" outlineLevel="1">
      <c r="A9087" s="202">
        <v>42485.0</v>
      </c>
      <c r="B9087" s="985" t="s">
        <v>347</v>
      </c>
      <c r="C9087" s="94" t="s">
        <v>1893</v>
      </c>
      <c r="D9087" s="286">
        <v>1100.0</v>
      </c>
      <c r="E9087" s="94">
        <v>11.5</v>
      </c>
      <c r="F9087" s="986">
        <v>0.3971296296296296</v>
      </c>
      <c r="G9087" s="94" t="s">
        <v>453</v>
      </c>
      <c r="H9087" s="987">
        <v>5.48</v>
      </c>
      <c r="I9087" s="988" t="s">
        <v>3145</v>
      </c>
      <c r="J9087" s="67">
        <f t="shared" si="516"/>
        <v>12644.52</v>
      </c>
      <c r="L9087" s="70"/>
      <c r="M9087" s="934"/>
    </row>
    <row r="9088" ht="12.75" hidden="1" customHeight="1" outlineLevel="1">
      <c r="A9088" s="202">
        <v>42485.0</v>
      </c>
      <c r="B9088" s="985" t="s">
        <v>347</v>
      </c>
      <c r="C9088" s="94" t="s">
        <v>1905</v>
      </c>
      <c r="D9088" s="94">
        <v>550.0</v>
      </c>
      <c r="E9088" s="94">
        <v>23.73</v>
      </c>
      <c r="F9088" s="986">
        <v>0.39739583333333334</v>
      </c>
      <c r="G9088" s="94" t="s">
        <v>453</v>
      </c>
      <c r="H9088" s="987">
        <v>2.48</v>
      </c>
      <c r="I9088" s="988" t="s">
        <v>3145</v>
      </c>
      <c r="J9088" s="67">
        <f t="shared" si="516"/>
        <v>13049.02</v>
      </c>
      <c r="L9088" s="70"/>
      <c r="M9088" s="934"/>
    </row>
    <row r="9089" ht="12.75" hidden="1" customHeight="1" outlineLevel="1">
      <c r="A9089" s="202">
        <v>42485.0</v>
      </c>
      <c r="B9089" s="985" t="s">
        <v>347</v>
      </c>
      <c r="C9089" s="94" t="s">
        <v>784</v>
      </c>
      <c r="D9089" s="286">
        <v>3000.0</v>
      </c>
      <c r="E9089" s="94">
        <v>5.25</v>
      </c>
      <c r="F9089" s="986">
        <v>0.3975462962962963</v>
      </c>
      <c r="G9089" s="94" t="s">
        <v>453</v>
      </c>
      <c r="H9089" s="987">
        <v>15.34</v>
      </c>
      <c r="I9089" s="988" t="s">
        <v>3145</v>
      </c>
      <c r="J9089" s="67">
        <f t="shared" si="516"/>
        <v>15734.66</v>
      </c>
      <c r="L9089" s="70"/>
      <c r="M9089" s="934"/>
    </row>
    <row r="9090" ht="12.75" hidden="1" customHeight="1" outlineLevel="1">
      <c r="A9090" s="202">
        <v>42485.0</v>
      </c>
      <c r="B9090" s="985" t="s">
        <v>347</v>
      </c>
      <c r="C9090" s="94" t="s">
        <v>2090</v>
      </c>
      <c r="D9090" s="286">
        <v>1600.0</v>
      </c>
      <c r="E9090" s="94">
        <v>10.33</v>
      </c>
      <c r="F9090" s="986">
        <v>0.39783564814814815</v>
      </c>
      <c r="G9090" s="94" t="s">
        <v>453</v>
      </c>
      <c r="H9090" s="987">
        <v>8.36</v>
      </c>
      <c r="I9090" s="988" t="s">
        <v>3145</v>
      </c>
      <c r="J9090" s="67">
        <f t="shared" si="516"/>
        <v>16519.64</v>
      </c>
      <c r="L9090" s="70"/>
      <c r="M9090" s="934"/>
    </row>
    <row r="9091" ht="12.75" hidden="1" customHeight="1" outlineLevel="1">
      <c r="A9091" s="202">
        <v>42485.0</v>
      </c>
      <c r="B9091" s="985" t="s">
        <v>347</v>
      </c>
      <c r="C9091" s="94" t="s">
        <v>1902</v>
      </c>
      <c r="D9091" s="94">
        <v>700.0</v>
      </c>
      <c r="E9091" s="94">
        <v>9.029</v>
      </c>
      <c r="F9091" s="986">
        <v>0.3980208333333333</v>
      </c>
      <c r="G9091" s="94" t="s">
        <v>453</v>
      </c>
      <c r="H9091" s="987">
        <v>2.94</v>
      </c>
      <c r="I9091" s="988" t="s">
        <v>3145</v>
      </c>
      <c r="J9091" s="67">
        <f t="shared" si="516"/>
        <v>6317.36</v>
      </c>
      <c r="L9091" s="70"/>
      <c r="M9091" s="934"/>
    </row>
    <row r="9092" ht="12.75" hidden="1" customHeight="1" outlineLevel="1">
      <c r="A9092" s="202">
        <v>42485.0</v>
      </c>
      <c r="B9092" s="985" t="s">
        <v>347</v>
      </c>
      <c r="C9092" s="94" t="s">
        <v>2210</v>
      </c>
      <c r="D9092" s="94">
        <v>135.0</v>
      </c>
      <c r="E9092" s="94">
        <v>94.76</v>
      </c>
      <c r="F9092" s="986">
        <v>0.3984722222222222</v>
      </c>
      <c r="G9092" s="94" t="s">
        <v>453</v>
      </c>
      <c r="H9092" s="987">
        <v>1.28</v>
      </c>
      <c r="I9092" s="988" t="s">
        <v>3145</v>
      </c>
      <c r="J9092" s="67">
        <f t="shared" si="516"/>
        <v>12791.32</v>
      </c>
      <c r="L9092" s="70"/>
      <c r="M9092" s="934"/>
    </row>
    <row r="9093" ht="12.75" hidden="1" customHeight="1" outlineLevel="1">
      <c r="A9093" s="202">
        <v>42485.0</v>
      </c>
      <c r="B9093" s="985" t="s">
        <v>347</v>
      </c>
      <c r="C9093" s="94" t="s">
        <v>3024</v>
      </c>
      <c r="D9093" s="94">
        <v>850.0</v>
      </c>
      <c r="E9093" s="94">
        <v>15.11</v>
      </c>
      <c r="F9093" s="986">
        <v>0.3987037037037037</v>
      </c>
      <c r="G9093" s="94" t="s">
        <v>453</v>
      </c>
      <c r="H9093" s="987">
        <v>3.68</v>
      </c>
      <c r="I9093" s="988" t="s">
        <v>3145</v>
      </c>
      <c r="J9093" s="67">
        <f t="shared" si="516"/>
        <v>12839.82</v>
      </c>
      <c r="L9093" s="70"/>
      <c r="M9093" s="934"/>
    </row>
    <row r="9094" ht="12.75" hidden="1" customHeight="1" outlineLevel="1">
      <c r="A9094" s="202">
        <v>42485.0</v>
      </c>
      <c r="B9094" s="985" t="s">
        <v>347</v>
      </c>
      <c r="C9094" s="94" t="s">
        <v>2009</v>
      </c>
      <c r="D9094" s="94">
        <v>375.0</v>
      </c>
      <c r="E9094" s="94">
        <v>17.691</v>
      </c>
      <c r="F9094" s="986">
        <v>0.39891203703703704</v>
      </c>
      <c r="G9094" s="94" t="s">
        <v>453</v>
      </c>
      <c r="H9094" s="987">
        <v>1.64</v>
      </c>
      <c r="I9094" s="988" t="s">
        <v>3145</v>
      </c>
      <c r="J9094" s="67">
        <f t="shared" si="516"/>
        <v>6632.485</v>
      </c>
      <c r="L9094" s="70"/>
      <c r="M9094" s="934"/>
    </row>
    <row r="9095" ht="12.75" hidden="1" customHeight="1" outlineLevel="1">
      <c r="A9095" s="202">
        <v>42485.0</v>
      </c>
      <c r="B9095" s="985" t="s">
        <v>347</v>
      </c>
      <c r="C9095" s="94" t="s">
        <v>1890</v>
      </c>
      <c r="D9095" s="94">
        <v>550.0</v>
      </c>
      <c r="E9095" s="94">
        <v>11.8502</v>
      </c>
      <c r="F9095" s="986">
        <v>0.3996180555555556</v>
      </c>
      <c r="G9095" s="94" t="s">
        <v>453</v>
      </c>
      <c r="H9095" s="987">
        <v>2.34</v>
      </c>
      <c r="I9095" s="988" t="s">
        <v>3145</v>
      </c>
      <c r="J9095" s="67">
        <f t="shared" si="516"/>
        <v>6515.27</v>
      </c>
      <c r="L9095" s="70"/>
      <c r="M9095" s="934"/>
    </row>
    <row r="9096" ht="12.75" hidden="1" customHeight="1" outlineLevel="1">
      <c r="A9096" s="202">
        <v>42485.0</v>
      </c>
      <c r="B9096" s="985" t="s">
        <v>347</v>
      </c>
      <c r="C9096" s="94" t="s">
        <v>2035</v>
      </c>
      <c r="D9096" s="94">
        <v>600.0</v>
      </c>
      <c r="E9096" s="94">
        <v>10.7001</v>
      </c>
      <c r="F9096" s="986">
        <v>0.3997685185185185</v>
      </c>
      <c r="G9096" s="94" t="s">
        <v>453</v>
      </c>
      <c r="H9096" s="987">
        <v>2.54</v>
      </c>
      <c r="I9096" s="988" t="s">
        <v>3145</v>
      </c>
      <c r="J9096" s="67">
        <f t="shared" si="516"/>
        <v>6417.52</v>
      </c>
      <c r="L9096" s="70"/>
      <c r="M9096" s="934"/>
    </row>
    <row r="9097" ht="12.75" hidden="1" customHeight="1" outlineLevel="1">
      <c r="A9097" s="202">
        <v>42485.0</v>
      </c>
      <c r="B9097" s="985" t="s">
        <v>347</v>
      </c>
      <c r="C9097" s="94" t="s">
        <v>790</v>
      </c>
      <c r="D9097" s="94">
        <v>900.0</v>
      </c>
      <c r="E9097" s="94">
        <v>7.171</v>
      </c>
      <c r="F9097" s="986">
        <v>0.40002314814814816</v>
      </c>
      <c r="G9097" s="94" t="s">
        <v>453</v>
      </c>
      <c r="H9097" s="987">
        <v>3.74</v>
      </c>
      <c r="I9097" s="988" t="s">
        <v>3145</v>
      </c>
      <c r="J9097" s="67">
        <f t="shared" si="516"/>
        <v>6450.16</v>
      </c>
      <c r="L9097" s="70"/>
      <c r="M9097" s="934"/>
    </row>
    <row r="9098" ht="12.75" hidden="1" customHeight="1" outlineLevel="1">
      <c r="A9098" s="202">
        <v>42485.0</v>
      </c>
      <c r="B9098" s="985" t="s">
        <v>347</v>
      </c>
      <c r="C9098" s="94" t="s">
        <v>1882</v>
      </c>
      <c r="D9098" s="94">
        <v>850.0</v>
      </c>
      <c r="E9098" s="94">
        <v>7.45</v>
      </c>
      <c r="F9098" s="986">
        <v>0.4005208333333333</v>
      </c>
      <c r="G9098" s="94" t="s">
        <v>453</v>
      </c>
      <c r="H9098" s="987">
        <v>4.39</v>
      </c>
      <c r="I9098" s="988" t="s">
        <v>3145</v>
      </c>
      <c r="J9098" s="67">
        <f t="shared" si="516"/>
        <v>6328.11</v>
      </c>
      <c r="L9098" s="70"/>
      <c r="M9098" s="934"/>
    </row>
    <row r="9099" ht="12.75" hidden="1" customHeight="1" outlineLevel="1">
      <c r="A9099" s="202">
        <v>42485.0</v>
      </c>
      <c r="B9099" s="985" t="s">
        <v>347</v>
      </c>
      <c r="C9099" s="94" t="s">
        <v>1633</v>
      </c>
      <c r="D9099" s="94">
        <v>450.0</v>
      </c>
      <c r="E9099" s="94">
        <v>13.566</v>
      </c>
      <c r="F9099" s="986">
        <v>0.4007291666666667</v>
      </c>
      <c r="G9099" s="94" t="s">
        <v>453</v>
      </c>
      <c r="H9099" s="987">
        <v>1.93</v>
      </c>
      <c r="I9099" s="988" t="s">
        <v>3145</v>
      </c>
      <c r="J9099" s="67">
        <f t="shared" si="516"/>
        <v>6102.77</v>
      </c>
      <c r="L9099" s="70"/>
      <c r="M9099" s="934"/>
    </row>
    <row r="9100" ht="12.75" hidden="1" customHeight="1" outlineLevel="1">
      <c r="A9100" s="202">
        <v>42485.0</v>
      </c>
      <c r="B9100" s="985" t="s">
        <v>347</v>
      </c>
      <c r="C9100" s="94" t="s">
        <v>1839</v>
      </c>
      <c r="D9100" s="94">
        <v>950.0</v>
      </c>
      <c r="E9100" s="94">
        <v>6.641</v>
      </c>
      <c r="F9100" s="986">
        <v>0.4010763888888889</v>
      </c>
      <c r="G9100" s="94" t="s">
        <v>453</v>
      </c>
      <c r="H9100" s="987">
        <v>3.99</v>
      </c>
      <c r="I9100" s="988" t="s">
        <v>3145</v>
      </c>
      <c r="J9100" s="67">
        <f t="shared" si="516"/>
        <v>6304.96</v>
      </c>
      <c r="L9100" s="70"/>
      <c r="M9100" s="934"/>
    </row>
    <row r="9101" ht="12.75" hidden="1" customHeight="1" outlineLevel="1">
      <c r="A9101" s="202">
        <v>42485.0</v>
      </c>
      <c r="B9101" s="985" t="s">
        <v>347</v>
      </c>
      <c r="C9101" s="94" t="s">
        <v>1947</v>
      </c>
      <c r="D9101" s="94">
        <v>100.0</v>
      </c>
      <c r="E9101" s="94">
        <v>36.7511</v>
      </c>
      <c r="F9101" s="986">
        <v>0.5455671296296296</v>
      </c>
      <c r="G9101" s="94" t="s">
        <v>453</v>
      </c>
      <c r="H9101" s="987">
        <v>1.08</v>
      </c>
      <c r="I9101" s="988" t="s">
        <v>3145</v>
      </c>
      <c r="J9101" s="67">
        <f t="shared" si="516"/>
        <v>3674.03</v>
      </c>
      <c r="L9101" s="70"/>
      <c r="M9101" s="934"/>
    </row>
    <row r="9102" ht="12.75" hidden="1" customHeight="1" outlineLevel="1">
      <c r="A9102" s="202">
        <v>42485.0</v>
      </c>
      <c r="B9102" s="992"/>
      <c r="C9102" s="32" t="s">
        <v>339</v>
      </c>
      <c r="D9102" s="1"/>
      <c r="F9102" s="1"/>
      <c r="G9102" s="1"/>
      <c r="H9102" s="68"/>
      <c r="I9102" s="76"/>
      <c r="K9102" s="994" t="s">
        <v>3363</v>
      </c>
      <c r="L9102" s="934"/>
      <c r="M9102" s="934"/>
    </row>
    <row r="9103" ht="12.75" hidden="1" customHeight="1" outlineLevel="1">
      <c r="A9103" s="202">
        <v>42485.0</v>
      </c>
      <c r="B9103" s="992"/>
      <c r="C9103" s="32" t="s">
        <v>429</v>
      </c>
      <c r="D9103" s="1"/>
      <c r="F9103" s="1"/>
      <c r="G9103" s="1"/>
      <c r="H9103" s="68"/>
      <c r="I9103" s="76"/>
      <c r="K9103" s="9" t="s">
        <v>3187</v>
      </c>
      <c r="L9103" s="934"/>
      <c r="M9103" s="934"/>
    </row>
    <row r="9104" ht="12.75" hidden="1" customHeight="1" outlineLevel="1">
      <c r="A9104" s="202">
        <v>42485.0</v>
      </c>
      <c r="B9104" s="992"/>
      <c r="C9104" s="32" t="s">
        <v>431</v>
      </c>
      <c r="D9104" s="1"/>
      <c r="F9104" s="1"/>
      <c r="G9104" s="1"/>
      <c r="H9104" s="68"/>
      <c r="I9104" s="76"/>
      <c r="K9104" s="7" t="s">
        <v>1126</v>
      </c>
      <c r="L9104" s="934"/>
      <c r="M9104" s="934"/>
    </row>
    <row r="9105" ht="12.75" hidden="1" customHeight="1" outlineLevel="1">
      <c r="A9105" s="202">
        <v>42485.0</v>
      </c>
      <c r="B9105" s="992"/>
      <c r="C9105" s="32" t="s">
        <v>433</v>
      </c>
      <c r="D9105" s="1"/>
      <c r="F9105" s="1"/>
      <c r="G9105" s="1"/>
      <c r="H9105" s="68"/>
      <c r="I9105" s="76"/>
      <c r="K9105" s="7" t="s">
        <v>1103</v>
      </c>
      <c r="L9105" s="934"/>
      <c r="M9105" s="934"/>
    </row>
    <row r="9106" ht="12.75" hidden="1" customHeight="1" outlineLevel="1">
      <c r="A9106" s="202">
        <v>42485.0</v>
      </c>
      <c r="B9106" s="992"/>
      <c r="C9106" s="32" t="s">
        <v>435</v>
      </c>
      <c r="D9106" s="1"/>
      <c r="F9106" s="1"/>
      <c r="G9106" s="1"/>
      <c r="H9106" s="68"/>
      <c r="I9106" s="76"/>
      <c r="K9106" s="9" t="s">
        <v>3331</v>
      </c>
      <c r="L9106" s="934"/>
      <c r="M9106" s="934"/>
    </row>
    <row r="9107" ht="12.75" hidden="1" customHeight="1" outlineLevel="1">
      <c r="A9107" s="202">
        <v>42486.0</v>
      </c>
      <c r="B9107" s="985" t="s">
        <v>343</v>
      </c>
      <c r="C9107" s="94" t="s">
        <v>1092</v>
      </c>
      <c r="D9107" s="286">
        <v>1000.0</v>
      </c>
      <c r="E9107" s="94">
        <v>3.83</v>
      </c>
      <c r="F9107" s="986">
        <v>0.41336805555555556</v>
      </c>
      <c r="G9107" s="94" t="s">
        <v>453</v>
      </c>
      <c r="H9107" s="987">
        <v>5.0</v>
      </c>
      <c r="I9107" s="988" t="s">
        <v>3145</v>
      </c>
      <c r="J9107" s="67">
        <f t="shared" ref="J9107:J9128" si="517">IF(B9107="SLD",D9107*E9107,-D9107*E9107)-H9107</f>
        <v>-3835</v>
      </c>
      <c r="L9107" s="70"/>
      <c r="M9107" s="934"/>
    </row>
    <row r="9108" ht="12.75" hidden="1" customHeight="1" outlineLevel="1">
      <c r="A9108" s="202">
        <v>42486.0</v>
      </c>
      <c r="B9108" s="985" t="s">
        <v>343</v>
      </c>
      <c r="C9108" s="94" t="s">
        <v>1416</v>
      </c>
      <c r="D9108" s="94">
        <v>50.0</v>
      </c>
      <c r="E9108" s="94">
        <v>59.8</v>
      </c>
      <c r="F9108" s="986">
        <v>0.4137037037037037</v>
      </c>
      <c r="G9108" s="94" t="s">
        <v>453</v>
      </c>
      <c r="H9108" s="987">
        <v>1.0</v>
      </c>
      <c r="I9108" s="988" t="s">
        <v>3145</v>
      </c>
      <c r="J9108" s="67">
        <f t="shared" si="517"/>
        <v>-2991</v>
      </c>
      <c r="L9108" s="70"/>
      <c r="M9108" s="934"/>
    </row>
    <row r="9109" ht="12.75" hidden="1" customHeight="1" outlineLevel="1">
      <c r="A9109" s="202">
        <v>42487.0</v>
      </c>
      <c r="B9109" s="985" t="s">
        <v>343</v>
      </c>
      <c r="C9109" s="94" t="s">
        <v>1633</v>
      </c>
      <c r="D9109" s="94">
        <v>450.0</v>
      </c>
      <c r="E9109" s="94">
        <v>15.6398</v>
      </c>
      <c r="F9109" s="986">
        <v>0.4134259259259259</v>
      </c>
      <c r="G9109" s="94" t="s">
        <v>453</v>
      </c>
      <c r="H9109" s="987">
        <v>1.8</v>
      </c>
      <c r="I9109" s="988" t="s">
        <v>3145</v>
      </c>
      <c r="J9109" s="67">
        <f t="shared" si="517"/>
        <v>-7039.71</v>
      </c>
      <c r="L9109" s="70"/>
      <c r="M9109" s="934"/>
    </row>
    <row r="9110" ht="12.75" hidden="1" customHeight="1" outlineLevel="1">
      <c r="A9110" s="202">
        <v>42487.0</v>
      </c>
      <c r="B9110" s="985" t="s">
        <v>343</v>
      </c>
      <c r="C9110" s="94" t="s">
        <v>2090</v>
      </c>
      <c r="D9110" s="286">
        <v>1600.0</v>
      </c>
      <c r="E9110" s="94">
        <v>11.197</v>
      </c>
      <c r="F9110" s="986">
        <v>0.4200115740740741</v>
      </c>
      <c r="G9110" s="94" t="s">
        <v>453</v>
      </c>
      <c r="H9110" s="987">
        <v>7.4</v>
      </c>
      <c r="I9110" s="988" t="s">
        <v>3145</v>
      </c>
      <c r="J9110" s="67">
        <f t="shared" si="517"/>
        <v>-17922.6</v>
      </c>
      <c r="L9110" s="70"/>
      <c r="M9110" s="934"/>
    </row>
    <row r="9111" ht="12.75" hidden="1" customHeight="1" outlineLevel="1">
      <c r="A9111" s="202">
        <v>42487.0</v>
      </c>
      <c r="B9111" s="985" t="s">
        <v>343</v>
      </c>
      <c r="C9111" s="94" t="s">
        <v>1947</v>
      </c>
      <c r="D9111" s="94">
        <v>450.0</v>
      </c>
      <c r="E9111" s="94">
        <v>38.708</v>
      </c>
      <c r="F9111" s="986">
        <v>0.420474537037037</v>
      </c>
      <c r="G9111" s="94" t="s">
        <v>453</v>
      </c>
      <c r="H9111" s="987">
        <v>2.0</v>
      </c>
      <c r="I9111" s="988" t="s">
        <v>3145</v>
      </c>
      <c r="J9111" s="67">
        <f t="shared" si="517"/>
        <v>-17420.6</v>
      </c>
      <c r="L9111" s="70"/>
      <c r="M9111" s="934"/>
    </row>
    <row r="9112" ht="12.75" hidden="1" customHeight="1" outlineLevel="1">
      <c r="A9112" s="202">
        <v>42487.0</v>
      </c>
      <c r="B9112" s="985" t="s">
        <v>343</v>
      </c>
      <c r="C9112" s="94" t="s">
        <v>784</v>
      </c>
      <c r="D9112" s="286">
        <v>3000.0</v>
      </c>
      <c r="E9112" s="94">
        <v>5.258</v>
      </c>
      <c r="F9112" s="986">
        <v>0.4205902777777778</v>
      </c>
      <c r="G9112" s="94" t="s">
        <v>453</v>
      </c>
      <c r="H9112" s="987">
        <v>12.8</v>
      </c>
      <c r="I9112" s="988" t="s">
        <v>3145</v>
      </c>
      <c r="J9112" s="67">
        <f t="shared" si="517"/>
        <v>-15786.8</v>
      </c>
      <c r="L9112" s="70"/>
      <c r="M9112" s="934"/>
    </row>
    <row r="9113" ht="12.75" hidden="1" customHeight="1" outlineLevel="1">
      <c r="A9113" s="202">
        <v>42487.0</v>
      </c>
      <c r="B9113" s="985" t="s">
        <v>343</v>
      </c>
      <c r="C9113" s="94" t="s">
        <v>1893</v>
      </c>
      <c r="D9113" s="286">
        <v>1100.0</v>
      </c>
      <c r="E9113" s="94">
        <v>12.05</v>
      </c>
      <c r="F9113" s="986">
        <v>0.4206712962962963</v>
      </c>
      <c r="G9113" s="94" t="s">
        <v>453</v>
      </c>
      <c r="H9113" s="987">
        <v>5.3</v>
      </c>
      <c r="I9113" s="988" t="s">
        <v>3145</v>
      </c>
      <c r="J9113" s="67">
        <f t="shared" si="517"/>
        <v>-13260.3</v>
      </c>
      <c r="L9113" s="70"/>
      <c r="M9113" s="934"/>
    </row>
    <row r="9114" ht="12.75" hidden="1" customHeight="1" outlineLevel="1">
      <c r="A9114" s="202">
        <v>42487.0</v>
      </c>
      <c r="B9114" s="985" t="s">
        <v>343</v>
      </c>
      <c r="C9114" s="94" t="s">
        <v>3024</v>
      </c>
      <c r="D9114" s="94">
        <v>850.0</v>
      </c>
      <c r="E9114" s="94">
        <v>15.22</v>
      </c>
      <c r="F9114" s="986">
        <v>0.4207986111111111</v>
      </c>
      <c r="G9114" s="94" t="s">
        <v>453</v>
      </c>
      <c r="H9114" s="987">
        <v>3.85</v>
      </c>
      <c r="I9114" s="988" t="s">
        <v>3145</v>
      </c>
      <c r="J9114" s="67">
        <f t="shared" si="517"/>
        <v>-12940.85</v>
      </c>
      <c r="L9114" s="70"/>
      <c r="M9114" s="934"/>
    </row>
    <row r="9115" ht="12.75" hidden="1" customHeight="1" outlineLevel="1">
      <c r="A9115" s="202">
        <v>42487.0</v>
      </c>
      <c r="B9115" s="985" t="s">
        <v>343</v>
      </c>
      <c r="C9115" s="94" t="s">
        <v>2210</v>
      </c>
      <c r="D9115" s="94">
        <v>135.0</v>
      </c>
      <c r="E9115" s="94">
        <v>90.62</v>
      </c>
      <c r="F9115" s="986">
        <v>0.4209837962962963</v>
      </c>
      <c r="G9115" s="94" t="s">
        <v>453</v>
      </c>
      <c r="H9115" s="987">
        <v>1.0</v>
      </c>
      <c r="I9115" s="988" t="s">
        <v>3145</v>
      </c>
      <c r="J9115" s="67">
        <f t="shared" si="517"/>
        <v>-12234.7</v>
      </c>
      <c r="L9115" s="70"/>
      <c r="M9115" s="934"/>
    </row>
    <row r="9116" ht="12.75" hidden="1" customHeight="1" outlineLevel="1">
      <c r="A9116" s="202">
        <v>42487.0</v>
      </c>
      <c r="B9116" s="985" t="s">
        <v>343</v>
      </c>
      <c r="C9116" s="94" t="s">
        <v>1905</v>
      </c>
      <c r="D9116" s="94">
        <v>550.0</v>
      </c>
      <c r="E9116" s="94">
        <v>22.139</v>
      </c>
      <c r="F9116" s="986">
        <v>0.42106481481481484</v>
      </c>
      <c r="G9116" s="94" t="s">
        <v>453</v>
      </c>
      <c r="H9116" s="987">
        <v>2.75</v>
      </c>
      <c r="I9116" s="988" t="s">
        <v>3145</v>
      </c>
      <c r="J9116" s="67">
        <f t="shared" si="517"/>
        <v>-12179.2</v>
      </c>
      <c r="L9116" s="70"/>
      <c r="M9116" s="934"/>
    </row>
    <row r="9117" ht="12.75" hidden="1" customHeight="1" outlineLevel="1">
      <c r="A9117" s="202">
        <v>42487.0</v>
      </c>
      <c r="B9117" s="985" t="s">
        <v>343</v>
      </c>
      <c r="C9117" s="94" t="s">
        <v>2009</v>
      </c>
      <c r="D9117" s="94">
        <v>375.0</v>
      </c>
      <c r="E9117" s="94">
        <v>18.648</v>
      </c>
      <c r="F9117" s="986">
        <v>0.4212152777777778</v>
      </c>
      <c r="G9117" s="94" t="s">
        <v>453</v>
      </c>
      <c r="H9117" s="987">
        <v>1.5</v>
      </c>
      <c r="I9117" s="988" t="s">
        <v>3145</v>
      </c>
      <c r="J9117" s="67">
        <f t="shared" si="517"/>
        <v>-6994.5</v>
      </c>
      <c r="L9117" s="70"/>
      <c r="M9117" s="934"/>
    </row>
    <row r="9118" ht="12.75" hidden="1" customHeight="1" outlineLevel="1">
      <c r="A9118" s="202">
        <v>42487.0</v>
      </c>
      <c r="B9118" s="985" t="s">
        <v>343</v>
      </c>
      <c r="C9118" s="94" t="s">
        <v>1902</v>
      </c>
      <c r="D9118" s="94">
        <v>700.0</v>
      </c>
      <c r="E9118" s="94">
        <v>9.67</v>
      </c>
      <c r="F9118" s="986">
        <v>0.42138888888888887</v>
      </c>
      <c r="G9118" s="94" t="s">
        <v>453</v>
      </c>
      <c r="H9118" s="987">
        <v>3.5</v>
      </c>
      <c r="I9118" s="988" t="s">
        <v>3145</v>
      </c>
      <c r="J9118" s="67">
        <f t="shared" si="517"/>
        <v>-6772.5</v>
      </c>
      <c r="L9118" s="70"/>
      <c r="M9118" s="934"/>
    </row>
    <row r="9119" ht="12.75" hidden="1" customHeight="1" outlineLevel="1">
      <c r="A9119" s="202">
        <v>42487.0</v>
      </c>
      <c r="B9119" s="985" t="s">
        <v>343</v>
      </c>
      <c r="C9119" s="94" t="s">
        <v>790</v>
      </c>
      <c r="D9119" s="94">
        <v>900.0</v>
      </c>
      <c r="E9119" s="94">
        <v>7.499</v>
      </c>
      <c r="F9119" s="986">
        <v>0.4215277777777778</v>
      </c>
      <c r="G9119" s="94" t="s">
        <v>453</v>
      </c>
      <c r="H9119" s="987">
        <v>3.7</v>
      </c>
      <c r="I9119" s="988" t="s">
        <v>3145</v>
      </c>
      <c r="J9119" s="67">
        <f t="shared" si="517"/>
        <v>-6752.8</v>
      </c>
      <c r="L9119" s="70"/>
      <c r="M9119" s="934"/>
    </row>
    <row r="9120" ht="12.75" hidden="1" customHeight="1" outlineLevel="1">
      <c r="A9120" s="202">
        <v>42487.0</v>
      </c>
      <c r="B9120" s="985" t="s">
        <v>343</v>
      </c>
      <c r="C9120" s="94" t="s">
        <v>1882</v>
      </c>
      <c r="D9120" s="94">
        <v>850.0</v>
      </c>
      <c r="E9120" s="94">
        <v>7.8899</v>
      </c>
      <c r="F9120" s="986">
        <v>0.42171296296296296</v>
      </c>
      <c r="G9120" s="94" t="s">
        <v>453</v>
      </c>
      <c r="H9120" s="987">
        <v>3.4</v>
      </c>
      <c r="I9120" s="988" t="s">
        <v>3145</v>
      </c>
      <c r="J9120" s="67">
        <f t="shared" si="517"/>
        <v>-6709.815</v>
      </c>
      <c r="L9120" s="70"/>
      <c r="M9120" s="934"/>
    </row>
    <row r="9121" ht="12.75" hidden="1" customHeight="1" outlineLevel="1">
      <c r="A9121" s="202">
        <v>42487.0</v>
      </c>
      <c r="B9121" s="985" t="s">
        <v>343</v>
      </c>
      <c r="C9121" s="94" t="s">
        <v>1839</v>
      </c>
      <c r="D9121" s="94">
        <v>950.0</v>
      </c>
      <c r="E9121" s="94">
        <v>7.007</v>
      </c>
      <c r="F9121" s="986">
        <v>0.42180555555555554</v>
      </c>
      <c r="G9121" s="94" t="s">
        <v>453</v>
      </c>
      <c r="H9121" s="987">
        <v>4.15</v>
      </c>
      <c r="I9121" s="988" t="s">
        <v>3145</v>
      </c>
      <c r="J9121" s="67">
        <f t="shared" si="517"/>
        <v>-6660.8</v>
      </c>
      <c r="L9121" s="70"/>
      <c r="M9121" s="934"/>
    </row>
    <row r="9122" ht="12.75" hidden="1" customHeight="1" outlineLevel="1">
      <c r="A9122" s="202">
        <v>42487.0</v>
      </c>
      <c r="B9122" s="985" t="s">
        <v>343</v>
      </c>
      <c r="C9122" s="94" t="s">
        <v>1890</v>
      </c>
      <c r="D9122" s="94">
        <v>550.0</v>
      </c>
      <c r="E9122" s="94">
        <v>11.96</v>
      </c>
      <c r="F9122" s="986">
        <v>0.42202546296296295</v>
      </c>
      <c r="G9122" s="94" t="s">
        <v>453</v>
      </c>
      <c r="H9122" s="987">
        <v>2.75</v>
      </c>
      <c r="I9122" s="988" t="s">
        <v>3145</v>
      </c>
      <c r="J9122" s="67">
        <f t="shared" si="517"/>
        <v>-6580.75</v>
      </c>
      <c r="L9122" s="70"/>
      <c r="M9122" s="934"/>
    </row>
    <row r="9123" ht="12.75" hidden="1" customHeight="1" outlineLevel="1">
      <c r="A9123" s="202">
        <v>42487.0</v>
      </c>
      <c r="B9123" s="985" t="s">
        <v>343</v>
      </c>
      <c r="C9123" s="94" t="s">
        <v>2035</v>
      </c>
      <c r="D9123" s="94">
        <v>600.0</v>
      </c>
      <c r="E9123" s="94">
        <v>10.849</v>
      </c>
      <c r="F9123" s="986">
        <v>0.4221759259259259</v>
      </c>
      <c r="G9123" s="94" t="s">
        <v>453</v>
      </c>
      <c r="H9123" s="987">
        <v>2.4</v>
      </c>
      <c r="I9123" s="988" t="s">
        <v>3145</v>
      </c>
      <c r="J9123" s="67">
        <f t="shared" si="517"/>
        <v>-6511.8</v>
      </c>
      <c r="L9123" s="70"/>
      <c r="M9123" s="934"/>
    </row>
    <row r="9124" ht="12.75" hidden="1" customHeight="1" outlineLevel="1">
      <c r="A9124" s="202">
        <v>42487.0</v>
      </c>
      <c r="B9124" s="985" t="s">
        <v>347</v>
      </c>
      <c r="C9124" s="94" t="s">
        <v>1345</v>
      </c>
      <c r="D9124" s="94">
        <v>100.0</v>
      </c>
      <c r="E9124" s="94">
        <v>161.44</v>
      </c>
      <c r="F9124" s="986">
        <v>0.42355324074074074</v>
      </c>
      <c r="G9124" s="94" t="s">
        <v>453</v>
      </c>
      <c r="H9124" s="987">
        <v>1.35</v>
      </c>
      <c r="I9124" s="988" t="s">
        <v>3145</v>
      </c>
      <c r="J9124" s="67">
        <f t="shared" si="517"/>
        <v>16142.65</v>
      </c>
      <c r="L9124" s="70"/>
      <c r="M9124" s="934"/>
    </row>
    <row r="9125" ht="12.75" hidden="1" customHeight="1" outlineLevel="1">
      <c r="A9125" s="202">
        <v>42487.0</v>
      </c>
      <c r="B9125" s="985" t="s">
        <v>347</v>
      </c>
      <c r="C9125" s="94" t="s">
        <v>2479</v>
      </c>
      <c r="D9125" s="94">
        <v>35.0</v>
      </c>
      <c r="E9125" s="94">
        <v>114.12</v>
      </c>
      <c r="F9125" s="986">
        <v>0.6448032407407407</v>
      </c>
      <c r="G9125" s="94" t="s">
        <v>453</v>
      </c>
      <c r="H9125" s="987">
        <v>1.09</v>
      </c>
      <c r="I9125" s="988" t="s">
        <v>3145</v>
      </c>
      <c r="J9125" s="67">
        <f t="shared" si="517"/>
        <v>3993.11</v>
      </c>
      <c r="L9125" s="70"/>
      <c r="M9125" s="934"/>
    </row>
    <row r="9126" ht="12.75" hidden="1" customHeight="1" outlineLevel="1">
      <c r="A9126" s="202">
        <v>42487.0</v>
      </c>
      <c r="B9126" s="985" t="s">
        <v>343</v>
      </c>
      <c r="C9126" s="94" t="s">
        <v>1185</v>
      </c>
      <c r="D9126" s="94">
        <v>25.0</v>
      </c>
      <c r="E9126" s="94">
        <v>359.91</v>
      </c>
      <c r="F9126" s="986">
        <v>0.6452314814814815</v>
      </c>
      <c r="G9126" s="94" t="s">
        <v>453</v>
      </c>
      <c r="H9126" s="987">
        <v>1.0</v>
      </c>
      <c r="I9126" s="988" t="s">
        <v>3145</v>
      </c>
      <c r="J9126" s="67">
        <f t="shared" si="517"/>
        <v>-8998.75</v>
      </c>
      <c r="L9126" s="70"/>
      <c r="M9126" s="934"/>
    </row>
    <row r="9127" ht="12.75" hidden="1" customHeight="1" outlineLevel="1">
      <c r="A9127" s="202">
        <v>42489.0</v>
      </c>
      <c r="B9127" s="985" t="s">
        <v>347</v>
      </c>
      <c r="C9127" s="94" t="s">
        <v>346</v>
      </c>
      <c r="D9127" s="94">
        <v>200.0</v>
      </c>
      <c r="E9127" s="94">
        <v>92.9811</v>
      </c>
      <c r="F9127" s="986">
        <v>0.4529050925925926</v>
      </c>
      <c r="G9127" s="94" t="s">
        <v>453</v>
      </c>
      <c r="H9127" s="987">
        <v>1.41</v>
      </c>
      <c r="I9127" s="988" t="s">
        <v>3145</v>
      </c>
      <c r="J9127" s="67">
        <f t="shared" si="517"/>
        <v>18594.81</v>
      </c>
      <c r="L9127" s="70"/>
      <c r="M9127" s="934"/>
    </row>
    <row r="9128" ht="12.75" hidden="1" customHeight="1" outlineLevel="1">
      <c r="A9128" s="202">
        <v>42489.0</v>
      </c>
      <c r="B9128" s="985" t="s">
        <v>343</v>
      </c>
      <c r="C9128" s="94" t="s">
        <v>346</v>
      </c>
      <c r="D9128" s="94">
        <v>200.0</v>
      </c>
      <c r="E9128" s="94">
        <v>92.95</v>
      </c>
      <c r="F9128" s="986">
        <v>0.4568055555555556</v>
      </c>
      <c r="G9128" s="94" t="s">
        <v>453</v>
      </c>
      <c r="H9128" s="987">
        <v>1.0</v>
      </c>
      <c r="I9128" s="988" t="s">
        <v>3145</v>
      </c>
      <c r="J9128" s="67">
        <f t="shared" si="517"/>
        <v>-18591</v>
      </c>
      <c r="L9128" s="70"/>
      <c r="M9128" s="934"/>
    </row>
    <row r="9129" ht="12.75" hidden="1" customHeight="1" outlineLevel="1">
      <c r="A9129" s="202">
        <v>42489.0</v>
      </c>
      <c r="B9129" s="992"/>
      <c r="C9129" s="32" t="s">
        <v>339</v>
      </c>
      <c r="D9129" s="1"/>
      <c r="F9129" s="1"/>
      <c r="G9129" s="1"/>
      <c r="H9129" s="68"/>
      <c r="I9129" s="76"/>
      <c r="K9129" s="994" t="s">
        <v>3364</v>
      </c>
      <c r="L9129" s="934"/>
      <c r="M9129" s="934"/>
    </row>
    <row r="9130" ht="12.75" hidden="1" customHeight="1" outlineLevel="1">
      <c r="A9130" s="202">
        <v>42489.0</v>
      </c>
      <c r="B9130" s="992"/>
      <c r="C9130" s="32" t="s">
        <v>429</v>
      </c>
      <c r="D9130" s="1"/>
      <c r="F9130" s="1"/>
      <c r="G9130" s="1"/>
      <c r="H9130" s="68"/>
      <c r="I9130" s="76"/>
      <c r="K9130" s="9" t="s">
        <v>3187</v>
      </c>
      <c r="L9130" s="934"/>
      <c r="M9130" s="934"/>
    </row>
    <row r="9131" ht="12.75" hidden="1" customHeight="1" outlineLevel="1">
      <c r="A9131" s="202">
        <v>42489.0</v>
      </c>
      <c r="B9131" s="992"/>
      <c r="C9131" s="32" t="s">
        <v>431</v>
      </c>
      <c r="D9131" s="1"/>
      <c r="F9131" s="1"/>
      <c r="G9131" s="1"/>
      <c r="H9131" s="68"/>
      <c r="I9131" s="76"/>
      <c r="K9131" s="7" t="s">
        <v>1126</v>
      </c>
      <c r="L9131" s="934"/>
      <c r="M9131" s="934"/>
    </row>
    <row r="9132" ht="12.75" hidden="1" customHeight="1" outlineLevel="1">
      <c r="A9132" s="202">
        <v>42489.0</v>
      </c>
      <c r="B9132" s="992"/>
      <c r="C9132" s="32" t="s">
        <v>433</v>
      </c>
      <c r="D9132" s="1"/>
      <c r="F9132" s="1"/>
      <c r="G9132" s="1"/>
      <c r="H9132" s="68"/>
      <c r="I9132" s="76"/>
      <c r="K9132" s="7" t="s">
        <v>1103</v>
      </c>
      <c r="L9132" s="934"/>
      <c r="M9132" s="934"/>
    </row>
    <row r="9133" ht="12.75" hidden="1" customHeight="1" outlineLevel="1">
      <c r="A9133" s="202">
        <v>42489.0</v>
      </c>
      <c r="B9133" s="992"/>
      <c r="C9133" s="32" t="s">
        <v>435</v>
      </c>
      <c r="D9133" s="1"/>
      <c r="F9133" s="1"/>
      <c r="G9133" s="1"/>
      <c r="H9133" s="68"/>
      <c r="I9133" s="76"/>
      <c r="K9133" s="9" t="s">
        <v>3331</v>
      </c>
      <c r="L9133" s="934"/>
      <c r="M9133" s="934"/>
    </row>
    <row r="9134" ht="12.75" hidden="1" customHeight="1" outlineLevel="1">
      <c r="A9134" s="202">
        <v>42493.0</v>
      </c>
      <c r="B9134" s="985" t="s">
        <v>347</v>
      </c>
      <c r="C9134" s="94" t="s">
        <v>1162</v>
      </c>
      <c r="D9134" s="94">
        <v>25.0</v>
      </c>
      <c r="E9134" s="94">
        <v>156.01</v>
      </c>
      <c r="F9134" s="986">
        <v>0.49225694444444446</v>
      </c>
      <c r="G9134" s="94" t="s">
        <v>453</v>
      </c>
      <c r="H9134" s="987">
        <v>1.09</v>
      </c>
      <c r="I9134" s="988" t="s">
        <v>3145</v>
      </c>
      <c r="J9134" s="67">
        <f t="shared" ref="J9134:J9168" si="518">IF(B9134="SLD",D9134*E9134,-D9134*E9134)-H9134</f>
        <v>3899.16</v>
      </c>
      <c r="L9134" s="70"/>
      <c r="M9134" s="934"/>
    </row>
    <row r="9135" ht="12.75" hidden="1" customHeight="1" outlineLevel="1">
      <c r="A9135" s="202">
        <v>42493.0</v>
      </c>
      <c r="B9135" s="985" t="s">
        <v>347</v>
      </c>
      <c r="C9135" s="94" t="s">
        <v>1088</v>
      </c>
      <c r="D9135" s="94">
        <v>5.0</v>
      </c>
      <c r="E9135" s="94">
        <v>1631.68</v>
      </c>
      <c r="F9135" s="986">
        <v>0.49201388888888886</v>
      </c>
      <c r="G9135" s="94" t="s">
        <v>453</v>
      </c>
      <c r="H9135" s="987">
        <v>1.18</v>
      </c>
      <c r="I9135" s="988" t="s">
        <v>3145</v>
      </c>
      <c r="J9135" s="67">
        <f t="shared" si="518"/>
        <v>8157.22</v>
      </c>
      <c r="L9135" s="70"/>
      <c r="M9135" s="934"/>
    </row>
    <row r="9136" ht="12.75" hidden="1" customHeight="1" outlineLevel="1">
      <c r="A9136" s="202">
        <v>42493.0</v>
      </c>
      <c r="B9136" s="985" t="s">
        <v>343</v>
      </c>
      <c r="C9136" s="94" t="s">
        <v>1839</v>
      </c>
      <c r="D9136" s="286">
        <v>2000.0</v>
      </c>
      <c r="E9136" s="94">
        <v>6.1899</v>
      </c>
      <c r="F9136" s="986">
        <v>0.4856828703703704</v>
      </c>
      <c r="G9136" s="94" t="s">
        <v>453</v>
      </c>
      <c r="H9136" s="987">
        <v>8.0</v>
      </c>
      <c r="I9136" s="988" t="s">
        <v>3145</v>
      </c>
      <c r="J9136" s="67">
        <f t="shared" si="518"/>
        <v>-12387.8</v>
      </c>
      <c r="L9136" s="70"/>
      <c r="M9136" s="934"/>
    </row>
    <row r="9137" ht="12.75" hidden="1" customHeight="1" outlineLevel="1">
      <c r="A9137" s="202">
        <v>42493.0</v>
      </c>
      <c r="B9137" s="985" t="s">
        <v>347</v>
      </c>
      <c r="C9137" s="94" t="s">
        <v>1902</v>
      </c>
      <c r="D9137" s="94">
        <v>100.0</v>
      </c>
      <c r="E9137" s="94">
        <v>9.152</v>
      </c>
      <c r="F9137" s="986">
        <v>0.4855902777777778</v>
      </c>
      <c r="G9137" s="94" t="s">
        <v>453</v>
      </c>
      <c r="H9137" s="987">
        <v>1.02</v>
      </c>
      <c r="I9137" s="988" t="s">
        <v>3145</v>
      </c>
      <c r="J9137" s="67">
        <f t="shared" si="518"/>
        <v>914.18</v>
      </c>
      <c r="L9137" s="70"/>
      <c r="M9137" s="934"/>
    </row>
    <row r="9138" ht="12.75" hidden="1" customHeight="1" outlineLevel="1">
      <c r="A9138" s="202">
        <v>42493.0</v>
      </c>
      <c r="B9138" s="985" t="s">
        <v>343</v>
      </c>
      <c r="C9138" s="94" t="s">
        <v>1882</v>
      </c>
      <c r="D9138" s="286">
        <v>2000.0</v>
      </c>
      <c r="E9138" s="94">
        <v>6.7</v>
      </c>
      <c r="F9138" s="986">
        <v>0.4854976851851852</v>
      </c>
      <c r="G9138" s="94" t="s">
        <v>453</v>
      </c>
      <c r="H9138" s="987">
        <v>9.2</v>
      </c>
      <c r="I9138" s="988" t="s">
        <v>3145</v>
      </c>
      <c r="J9138" s="67">
        <f t="shared" si="518"/>
        <v>-13409.2</v>
      </c>
      <c r="L9138" s="70"/>
      <c r="M9138" s="934"/>
    </row>
    <row r="9139" ht="12.75" hidden="1" customHeight="1" outlineLevel="1">
      <c r="A9139" s="202">
        <v>42493.0</v>
      </c>
      <c r="B9139" s="985" t="s">
        <v>343</v>
      </c>
      <c r="C9139" s="94" t="s">
        <v>1902</v>
      </c>
      <c r="D9139" s="286">
        <v>1500.0</v>
      </c>
      <c r="E9139" s="94">
        <v>9.133</v>
      </c>
      <c r="F9139" s="986">
        <v>0.4853587962962963</v>
      </c>
      <c r="G9139" s="94" t="s">
        <v>453</v>
      </c>
      <c r="H9139" s="987">
        <v>7.3</v>
      </c>
      <c r="I9139" s="988" t="s">
        <v>3145</v>
      </c>
      <c r="J9139" s="67">
        <f t="shared" si="518"/>
        <v>-13706.8</v>
      </c>
      <c r="L9139" s="70"/>
      <c r="M9139" s="934"/>
    </row>
    <row r="9140" ht="12.75" hidden="1" customHeight="1" outlineLevel="1">
      <c r="A9140" s="202">
        <v>42493.0</v>
      </c>
      <c r="B9140" s="985" t="s">
        <v>343</v>
      </c>
      <c r="C9140" s="94" t="s">
        <v>2035</v>
      </c>
      <c r="D9140" s="286">
        <v>1300.0</v>
      </c>
      <c r="E9140" s="94">
        <v>10.529</v>
      </c>
      <c r="F9140" s="986">
        <v>0.4852546296296296</v>
      </c>
      <c r="G9140" s="94" t="s">
        <v>453</v>
      </c>
      <c r="H9140" s="987">
        <v>5.2</v>
      </c>
      <c r="I9140" s="988" t="s">
        <v>3145</v>
      </c>
      <c r="J9140" s="67">
        <f t="shared" si="518"/>
        <v>-13692.9</v>
      </c>
      <c r="L9140" s="70"/>
      <c r="M9140" s="934"/>
    </row>
    <row r="9141" ht="12.75" hidden="1" customHeight="1" outlineLevel="1">
      <c r="A9141" s="202">
        <v>42493.0</v>
      </c>
      <c r="B9141" s="985" t="s">
        <v>343</v>
      </c>
      <c r="C9141" s="94" t="s">
        <v>1902</v>
      </c>
      <c r="D9141" s="94">
        <v>100.0</v>
      </c>
      <c r="E9141" s="94">
        <v>9.15</v>
      </c>
      <c r="F9141" s="986">
        <v>0.4851388888888889</v>
      </c>
      <c r="G9141" s="94" t="s">
        <v>453</v>
      </c>
      <c r="H9141" s="987">
        <v>1.0</v>
      </c>
      <c r="I9141" s="988" t="s">
        <v>3145</v>
      </c>
      <c r="J9141" s="67">
        <f t="shared" si="518"/>
        <v>-916</v>
      </c>
      <c r="L9141" s="70"/>
      <c r="M9141" s="934"/>
    </row>
    <row r="9142" ht="12.75" hidden="1" customHeight="1" outlineLevel="1">
      <c r="A9142" s="202">
        <v>42493.0</v>
      </c>
      <c r="B9142" s="985" t="s">
        <v>343</v>
      </c>
      <c r="C9142" s="94" t="s">
        <v>1890</v>
      </c>
      <c r="D9142" s="286">
        <v>1300.0</v>
      </c>
      <c r="E9142" s="94">
        <v>10.81</v>
      </c>
      <c r="F9142" s="986">
        <v>0.48498842592592595</v>
      </c>
      <c r="G9142" s="94" t="s">
        <v>453</v>
      </c>
      <c r="H9142" s="987">
        <v>5.2</v>
      </c>
      <c r="I9142" s="988" t="s">
        <v>3145</v>
      </c>
      <c r="J9142" s="67">
        <f t="shared" si="518"/>
        <v>-14058.2</v>
      </c>
      <c r="L9142" s="70"/>
      <c r="M9142" s="934"/>
    </row>
    <row r="9143" ht="12.75" hidden="1" customHeight="1" outlineLevel="1">
      <c r="A9143" s="202">
        <v>42493.0</v>
      </c>
      <c r="B9143" s="985" t="s">
        <v>343</v>
      </c>
      <c r="C9143" s="94" t="s">
        <v>2009</v>
      </c>
      <c r="D9143" s="94">
        <v>800.0</v>
      </c>
      <c r="E9143" s="94">
        <v>17.949</v>
      </c>
      <c r="F9143" s="986">
        <v>0.48489583333333336</v>
      </c>
      <c r="G9143" s="94" t="s">
        <v>453</v>
      </c>
      <c r="H9143" s="987">
        <v>3.2</v>
      </c>
      <c r="I9143" s="988" t="s">
        <v>3145</v>
      </c>
      <c r="J9143" s="67">
        <f t="shared" si="518"/>
        <v>-14362.4</v>
      </c>
      <c r="L9143" s="70"/>
      <c r="M9143" s="934"/>
    </row>
    <row r="9144" ht="12.75" hidden="1" customHeight="1" outlineLevel="1">
      <c r="A9144" s="202">
        <v>42493.0</v>
      </c>
      <c r="B9144" s="985" t="s">
        <v>343</v>
      </c>
      <c r="C9144" s="94" t="s">
        <v>790</v>
      </c>
      <c r="D9144" s="286">
        <v>2000.0</v>
      </c>
      <c r="E9144" s="94">
        <v>7.2299</v>
      </c>
      <c r="F9144" s="986">
        <v>0.4848148148148148</v>
      </c>
      <c r="G9144" s="94" t="s">
        <v>453</v>
      </c>
      <c r="H9144" s="987">
        <v>8.0</v>
      </c>
      <c r="I9144" s="988" t="s">
        <v>3145</v>
      </c>
      <c r="J9144" s="67">
        <f t="shared" si="518"/>
        <v>-14467.8</v>
      </c>
      <c r="L9144" s="70"/>
      <c r="M9144" s="934"/>
    </row>
    <row r="9145" ht="12.75" hidden="1" customHeight="1" outlineLevel="1">
      <c r="A9145" s="202">
        <v>42493.0</v>
      </c>
      <c r="B9145" s="985" t="s">
        <v>343</v>
      </c>
      <c r="C9145" s="94" t="s">
        <v>1633</v>
      </c>
      <c r="D9145" s="286">
        <v>1000.0</v>
      </c>
      <c r="E9145" s="94">
        <v>14.7</v>
      </c>
      <c r="F9145" s="986">
        <v>0.4847337962962963</v>
      </c>
      <c r="G9145" s="94" t="s">
        <v>453</v>
      </c>
      <c r="H9145" s="987">
        <v>4.0</v>
      </c>
      <c r="I9145" s="988" t="s">
        <v>3145</v>
      </c>
      <c r="J9145" s="67">
        <f t="shared" si="518"/>
        <v>-14704</v>
      </c>
      <c r="L9145" s="70"/>
      <c r="M9145" s="934"/>
    </row>
    <row r="9146" ht="12.75" hidden="1" customHeight="1" outlineLevel="1">
      <c r="A9146" s="202">
        <v>42493.0</v>
      </c>
      <c r="B9146" s="985" t="s">
        <v>343</v>
      </c>
      <c r="C9146" s="94" t="s">
        <v>1893</v>
      </c>
      <c r="D9146" s="286">
        <v>2100.0</v>
      </c>
      <c r="E9146" s="94">
        <v>12.469</v>
      </c>
      <c r="F9146" s="986">
        <v>0.48465277777777777</v>
      </c>
      <c r="G9146" s="94" t="s">
        <v>453</v>
      </c>
      <c r="H9146" s="987">
        <v>8.4</v>
      </c>
      <c r="I9146" s="988" t="s">
        <v>3145</v>
      </c>
      <c r="J9146" s="67">
        <f t="shared" si="518"/>
        <v>-26193.3</v>
      </c>
      <c r="L9146" s="70"/>
      <c r="M9146" s="934"/>
    </row>
    <row r="9147" ht="12.75" hidden="1" customHeight="1" outlineLevel="1">
      <c r="A9147" s="202">
        <v>42493.0</v>
      </c>
      <c r="B9147" s="985" t="s">
        <v>343</v>
      </c>
      <c r="C9147" s="94" t="s">
        <v>1905</v>
      </c>
      <c r="D9147" s="286">
        <v>1600.0</v>
      </c>
      <c r="E9147" s="94">
        <v>16.369</v>
      </c>
      <c r="F9147" s="986">
        <v>0.48452546296296295</v>
      </c>
      <c r="G9147" s="94" t="s">
        <v>453</v>
      </c>
      <c r="H9147" s="987">
        <v>6.4</v>
      </c>
      <c r="I9147" s="988" t="s">
        <v>3145</v>
      </c>
      <c r="J9147" s="67">
        <f t="shared" si="518"/>
        <v>-26196.8</v>
      </c>
      <c r="L9147" s="70"/>
      <c r="M9147" s="934"/>
    </row>
    <row r="9148" ht="12.75" hidden="1" customHeight="1" outlineLevel="1">
      <c r="A9148" s="202">
        <v>42493.0</v>
      </c>
      <c r="B9148" s="985" t="s">
        <v>343</v>
      </c>
      <c r="C9148" s="94" t="s">
        <v>2210</v>
      </c>
      <c r="D9148" s="94">
        <v>280.0</v>
      </c>
      <c r="E9148" s="94">
        <v>93.871</v>
      </c>
      <c r="F9148" s="986">
        <v>0.48443287037037036</v>
      </c>
      <c r="G9148" s="94" t="s">
        <v>453</v>
      </c>
      <c r="H9148" s="987">
        <v>1.12</v>
      </c>
      <c r="I9148" s="988" t="s">
        <v>3145</v>
      </c>
      <c r="J9148" s="67">
        <f t="shared" si="518"/>
        <v>-26285</v>
      </c>
      <c r="L9148" s="70"/>
      <c r="M9148" s="934"/>
    </row>
    <row r="9149" ht="12.75" hidden="1" customHeight="1" outlineLevel="1">
      <c r="A9149" s="202">
        <v>42493.0</v>
      </c>
      <c r="B9149" s="985" t="s">
        <v>343</v>
      </c>
      <c r="C9149" s="94" t="s">
        <v>3024</v>
      </c>
      <c r="D9149" s="286">
        <v>1800.0</v>
      </c>
      <c r="E9149" s="94">
        <v>15.039</v>
      </c>
      <c r="F9149" s="986">
        <v>0.4843287037037037</v>
      </c>
      <c r="G9149" s="94" t="s">
        <v>453</v>
      </c>
      <c r="H9149" s="987">
        <v>7.4</v>
      </c>
      <c r="I9149" s="988" t="s">
        <v>3145</v>
      </c>
      <c r="J9149" s="67">
        <f t="shared" si="518"/>
        <v>-27077.6</v>
      </c>
      <c r="L9149" s="70"/>
      <c r="M9149" s="934"/>
    </row>
    <row r="9150" ht="12.75" hidden="1" customHeight="1" outlineLevel="1">
      <c r="A9150" s="202">
        <v>42493.0</v>
      </c>
      <c r="B9150" s="985" t="s">
        <v>343</v>
      </c>
      <c r="C9150" s="94" t="s">
        <v>784</v>
      </c>
      <c r="D9150" s="286">
        <v>6200.0</v>
      </c>
      <c r="E9150" s="94">
        <v>5.2199</v>
      </c>
      <c r="F9150" s="986">
        <v>0.48417824074074073</v>
      </c>
      <c r="G9150" s="94" t="s">
        <v>453</v>
      </c>
      <c r="H9150" s="987">
        <v>24.8</v>
      </c>
      <c r="I9150" s="988" t="s">
        <v>3145</v>
      </c>
      <c r="J9150" s="67">
        <f t="shared" si="518"/>
        <v>-32388.18</v>
      </c>
      <c r="L9150" s="70"/>
      <c r="M9150" s="934"/>
    </row>
    <row r="9151" ht="12.75" hidden="1" customHeight="1" outlineLevel="1">
      <c r="A9151" s="202">
        <v>42493.0</v>
      </c>
      <c r="B9151" s="985" t="s">
        <v>343</v>
      </c>
      <c r="C9151" s="94" t="s">
        <v>2090</v>
      </c>
      <c r="D9151" s="286">
        <v>2900.0</v>
      </c>
      <c r="E9151" s="94">
        <v>11.47</v>
      </c>
      <c r="F9151" s="986">
        <v>0.4840740740740741</v>
      </c>
      <c r="G9151" s="94" t="s">
        <v>453</v>
      </c>
      <c r="H9151" s="987">
        <v>13.79</v>
      </c>
      <c r="I9151" s="988" t="s">
        <v>3145</v>
      </c>
      <c r="J9151" s="67">
        <f t="shared" si="518"/>
        <v>-33276.79</v>
      </c>
      <c r="L9151" s="70"/>
      <c r="M9151" s="934"/>
    </row>
    <row r="9152" ht="12.75" hidden="1" customHeight="1" outlineLevel="1">
      <c r="A9152" s="202">
        <v>42493.0</v>
      </c>
      <c r="B9152" s="985" t="s">
        <v>343</v>
      </c>
      <c r="C9152" s="94" t="s">
        <v>1947</v>
      </c>
      <c r="D9152" s="286">
        <v>2000.0</v>
      </c>
      <c r="E9152" s="94">
        <v>37.469</v>
      </c>
      <c r="F9152" s="986">
        <v>0.48387731481481483</v>
      </c>
      <c r="G9152" s="94" t="s">
        <v>453</v>
      </c>
      <c r="H9152" s="987">
        <v>8.0</v>
      </c>
      <c r="I9152" s="988" t="s">
        <v>3145</v>
      </c>
      <c r="J9152" s="67">
        <f t="shared" si="518"/>
        <v>-74946</v>
      </c>
      <c r="L9152" s="70"/>
      <c r="M9152" s="934"/>
    </row>
    <row r="9153" ht="12.75" hidden="1" customHeight="1" outlineLevel="1">
      <c r="A9153" s="202">
        <v>42493.0</v>
      </c>
      <c r="B9153" s="985" t="s">
        <v>347</v>
      </c>
      <c r="C9153" s="94" t="s">
        <v>1947</v>
      </c>
      <c r="D9153" s="286">
        <v>1200.0</v>
      </c>
      <c r="E9153" s="94">
        <v>37.305</v>
      </c>
      <c r="F9153" s="986">
        <v>0.46318287037037037</v>
      </c>
      <c r="G9153" s="94" t="s">
        <v>453</v>
      </c>
      <c r="H9153" s="987">
        <v>7.06</v>
      </c>
      <c r="I9153" s="988" t="s">
        <v>3145</v>
      </c>
      <c r="J9153" s="67">
        <f t="shared" si="518"/>
        <v>44758.94</v>
      </c>
      <c r="L9153" s="70"/>
      <c r="M9153" s="934"/>
    </row>
    <row r="9154" ht="12.75" hidden="1" customHeight="1" outlineLevel="1">
      <c r="A9154" s="202">
        <v>42493.0</v>
      </c>
      <c r="B9154" s="985" t="s">
        <v>347</v>
      </c>
      <c r="C9154" s="94" t="s">
        <v>1902</v>
      </c>
      <c r="D9154" s="286">
        <v>1500.0</v>
      </c>
      <c r="E9154" s="94">
        <v>9.182</v>
      </c>
      <c r="F9154" s="986">
        <v>0.4600694444444444</v>
      </c>
      <c r="G9154" s="94" t="s">
        <v>453</v>
      </c>
      <c r="H9154" s="987">
        <v>7.2</v>
      </c>
      <c r="I9154" s="988" t="s">
        <v>3145</v>
      </c>
      <c r="J9154" s="67">
        <f t="shared" si="518"/>
        <v>13765.8</v>
      </c>
      <c r="L9154" s="70"/>
      <c r="M9154" s="934"/>
    </row>
    <row r="9155" ht="12.75" hidden="1" customHeight="1" outlineLevel="1">
      <c r="A9155" s="202">
        <v>42493.0</v>
      </c>
      <c r="B9155" s="985" t="s">
        <v>347</v>
      </c>
      <c r="C9155" s="94" t="s">
        <v>2035</v>
      </c>
      <c r="D9155" s="286">
        <v>1300.0</v>
      </c>
      <c r="E9155" s="94">
        <v>10.42</v>
      </c>
      <c r="F9155" s="986">
        <v>0.45980324074074075</v>
      </c>
      <c r="G9155" s="94" t="s">
        <v>453</v>
      </c>
      <c r="H9155" s="987">
        <v>5.6</v>
      </c>
      <c r="I9155" s="988" t="s">
        <v>3145</v>
      </c>
      <c r="J9155" s="67">
        <f t="shared" si="518"/>
        <v>13540.4</v>
      </c>
      <c r="L9155" s="70"/>
      <c r="M9155" s="934"/>
    </row>
    <row r="9156" ht="12.75" hidden="1" customHeight="1" outlineLevel="1">
      <c r="A9156" s="202">
        <v>42493.0</v>
      </c>
      <c r="B9156" s="985" t="s">
        <v>347</v>
      </c>
      <c r="C9156" s="94" t="s">
        <v>1839</v>
      </c>
      <c r="D9156" s="286">
        <v>2000.0</v>
      </c>
      <c r="E9156" s="94">
        <v>6.06</v>
      </c>
      <c r="F9156" s="986">
        <v>0.4597337962962963</v>
      </c>
      <c r="G9156" s="94" t="s">
        <v>453</v>
      </c>
      <c r="H9156" s="987">
        <v>10.26</v>
      </c>
      <c r="I9156" s="988" t="s">
        <v>3145</v>
      </c>
      <c r="J9156" s="67">
        <f t="shared" si="518"/>
        <v>12109.74</v>
      </c>
      <c r="L9156" s="70"/>
      <c r="M9156" s="934"/>
    </row>
    <row r="9157" ht="12.75" hidden="1" customHeight="1" outlineLevel="1">
      <c r="A9157" s="202">
        <v>42493.0</v>
      </c>
      <c r="B9157" s="985" t="s">
        <v>347</v>
      </c>
      <c r="C9157" s="94" t="s">
        <v>1890</v>
      </c>
      <c r="D9157" s="286">
        <v>1300.0</v>
      </c>
      <c r="E9157" s="94">
        <v>10.751</v>
      </c>
      <c r="F9157" s="986">
        <v>0.45958333333333334</v>
      </c>
      <c r="G9157" s="94" t="s">
        <v>453</v>
      </c>
      <c r="H9157" s="987">
        <v>5.5</v>
      </c>
      <c r="I9157" s="988" t="s">
        <v>3145</v>
      </c>
      <c r="J9157" s="67">
        <f t="shared" si="518"/>
        <v>13970.8</v>
      </c>
      <c r="L9157" s="70"/>
      <c r="M9157" s="934"/>
    </row>
    <row r="9158" ht="12.75" hidden="1" customHeight="1" outlineLevel="1">
      <c r="A9158" s="202">
        <v>42493.0</v>
      </c>
      <c r="B9158" s="985" t="s">
        <v>347</v>
      </c>
      <c r="C9158" s="94" t="s">
        <v>1882</v>
      </c>
      <c r="D9158" s="286">
        <v>2000.0</v>
      </c>
      <c r="E9158" s="94">
        <v>6.6</v>
      </c>
      <c r="F9158" s="986">
        <v>0.45944444444444443</v>
      </c>
      <c r="G9158" s="94" t="s">
        <v>453</v>
      </c>
      <c r="H9158" s="987">
        <v>10.29</v>
      </c>
      <c r="I9158" s="988" t="s">
        <v>3145</v>
      </c>
      <c r="J9158" s="67">
        <f t="shared" si="518"/>
        <v>13189.71</v>
      </c>
      <c r="L9158" s="70"/>
      <c r="M9158" s="934"/>
    </row>
    <row r="9159" ht="12.75" hidden="1" customHeight="1" outlineLevel="1">
      <c r="A9159" s="202">
        <v>42493.0</v>
      </c>
      <c r="B9159" s="985" t="s">
        <v>347</v>
      </c>
      <c r="C9159" s="94" t="s">
        <v>1633</v>
      </c>
      <c r="D9159" s="286">
        <v>1000.0</v>
      </c>
      <c r="E9159" s="94">
        <v>14.561</v>
      </c>
      <c r="F9159" s="986">
        <v>0.4587847222222222</v>
      </c>
      <c r="G9159" s="94" t="s">
        <v>453</v>
      </c>
      <c r="H9159" s="987">
        <v>4.32</v>
      </c>
      <c r="I9159" s="988" t="s">
        <v>3145</v>
      </c>
      <c r="J9159" s="67">
        <f t="shared" si="518"/>
        <v>14556.68</v>
      </c>
      <c r="L9159" s="70"/>
      <c r="M9159" s="934"/>
    </row>
    <row r="9160" ht="12.75" hidden="1" customHeight="1" outlineLevel="1">
      <c r="A9160" s="202">
        <v>42493.0</v>
      </c>
      <c r="B9160" s="985" t="s">
        <v>347</v>
      </c>
      <c r="C9160" s="94" t="s">
        <v>790</v>
      </c>
      <c r="D9160" s="286">
        <v>2000.0</v>
      </c>
      <c r="E9160" s="94">
        <v>7.111</v>
      </c>
      <c r="F9160" s="986">
        <v>0.45817129629629627</v>
      </c>
      <c r="G9160" s="94" t="s">
        <v>453</v>
      </c>
      <c r="H9160" s="987">
        <v>8.31</v>
      </c>
      <c r="I9160" s="988" t="s">
        <v>3145</v>
      </c>
      <c r="J9160" s="67">
        <f t="shared" si="518"/>
        <v>14213.69</v>
      </c>
      <c r="L9160" s="70"/>
      <c r="M9160" s="934"/>
    </row>
    <row r="9161" ht="12.75" hidden="1" customHeight="1" outlineLevel="1">
      <c r="A9161" s="202">
        <v>42493.0</v>
      </c>
      <c r="B9161" s="985" t="s">
        <v>347</v>
      </c>
      <c r="C9161" s="94" t="s">
        <v>2009</v>
      </c>
      <c r="D9161" s="94">
        <v>800.0</v>
      </c>
      <c r="E9161" s="94">
        <v>17.709</v>
      </c>
      <c r="F9161" s="986">
        <v>0.45787037037037037</v>
      </c>
      <c r="G9161" s="94" t="s">
        <v>453</v>
      </c>
      <c r="H9161" s="987">
        <v>4.11</v>
      </c>
      <c r="I9161" s="988" t="s">
        <v>3145</v>
      </c>
      <c r="J9161" s="67">
        <f t="shared" si="518"/>
        <v>14163.09</v>
      </c>
      <c r="L9161" s="70"/>
      <c r="M9161" s="934"/>
    </row>
    <row r="9162" ht="12.75" hidden="1" customHeight="1" outlineLevel="1">
      <c r="A9162" s="202">
        <v>42493.0</v>
      </c>
      <c r="B9162" s="985" t="s">
        <v>347</v>
      </c>
      <c r="C9162" s="94" t="s">
        <v>1905</v>
      </c>
      <c r="D9162" s="286">
        <v>1600.0</v>
      </c>
      <c r="E9162" s="94">
        <v>16.262</v>
      </c>
      <c r="F9162" s="986">
        <v>0.45770833333333333</v>
      </c>
      <c r="G9162" s="94" t="s">
        <v>453</v>
      </c>
      <c r="H9162" s="987">
        <v>8.57</v>
      </c>
      <c r="I9162" s="988" t="s">
        <v>3145</v>
      </c>
      <c r="J9162" s="67">
        <f t="shared" si="518"/>
        <v>26010.63</v>
      </c>
      <c r="L9162" s="70"/>
      <c r="M9162" s="934"/>
    </row>
    <row r="9163" ht="12.75" hidden="1" customHeight="1" outlineLevel="1">
      <c r="A9163" s="202">
        <v>42493.0</v>
      </c>
      <c r="B9163" s="985" t="s">
        <v>347</v>
      </c>
      <c r="C9163" s="94" t="s">
        <v>3024</v>
      </c>
      <c r="D9163" s="286">
        <v>1800.0</v>
      </c>
      <c r="E9163" s="94">
        <v>15.041</v>
      </c>
      <c r="F9163" s="986">
        <v>0.45731481481481484</v>
      </c>
      <c r="G9163" s="94" t="s">
        <v>453</v>
      </c>
      <c r="H9163" s="987">
        <v>7.79</v>
      </c>
      <c r="I9163" s="988" t="s">
        <v>3145</v>
      </c>
      <c r="J9163" s="67">
        <f t="shared" si="518"/>
        <v>27066.01</v>
      </c>
      <c r="L9163" s="70"/>
      <c r="M9163" s="934"/>
    </row>
    <row r="9164" ht="12.75" hidden="1" customHeight="1" outlineLevel="1">
      <c r="A9164" s="202">
        <v>42493.0</v>
      </c>
      <c r="B9164" s="985" t="s">
        <v>347</v>
      </c>
      <c r="C9164" s="94" t="s">
        <v>1893</v>
      </c>
      <c r="D9164" s="286">
        <v>2100.0</v>
      </c>
      <c r="E9164" s="94">
        <v>12.385</v>
      </c>
      <c r="F9164" s="986">
        <v>0.456724537037037</v>
      </c>
      <c r="G9164" s="94" t="s">
        <v>453</v>
      </c>
      <c r="H9164" s="987">
        <v>10.07</v>
      </c>
      <c r="I9164" s="988" t="s">
        <v>3145</v>
      </c>
      <c r="J9164" s="67">
        <f t="shared" si="518"/>
        <v>25998.43</v>
      </c>
      <c r="L9164" s="70"/>
      <c r="M9164" s="934"/>
    </row>
    <row r="9165" ht="12.75" hidden="1" customHeight="1" outlineLevel="1">
      <c r="A9165" s="202">
        <v>42493.0</v>
      </c>
      <c r="B9165" s="985" t="s">
        <v>347</v>
      </c>
      <c r="C9165" s="94" t="s">
        <v>1947</v>
      </c>
      <c r="D9165" s="94">
        <v>800.0</v>
      </c>
      <c r="E9165" s="94">
        <v>37.471</v>
      </c>
      <c r="F9165" s="986">
        <v>0.4561226851851852</v>
      </c>
      <c r="G9165" s="94" t="s">
        <v>453</v>
      </c>
      <c r="H9165" s="987">
        <v>3.85</v>
      </c>
      <c r="I9165" s="988" t="s">
        <v>3145</v>
      </c>
      <c r="J9165" s="67">
        <f t="shared" si="518"/>
        <v>29972.95</v>
      </c>
      <c r="L9165" s="70"/>
      <c r="M9165" s="934"/>
    </row>
    <row r="9166" ht="12.75" hidden="1" customHeight="1" outlineLevel="1">
      <c r="A9166" s="202">
        <v>42493.0</v>
      </c>
      <c r="B9166" s="985" t="s">
        <v>347</v>
      </c>
      <c r="C9166" s="94" t="s">
        <v>2210</v>
      </c>
      <c r="D9166" s="94">
        <v>280.0</v>
      </c>
      <c r="E9166" s="94">
        <v>93.517</v>
      </c>
      <c r="F9166" s="986">
        <v>0.4555787037037037</v>
      </c>
      <c r="G9166" s="94" t="s">
        <v>453</v>
      </c>
      <c r="H9166" s="987">
        <v>1.69</v>
      </c>
      <c r="I9166" s="988" t="s">
        <v>3145</v>
      </c>
      <c r="J9166" s="67">
        <f t="shared" si="518"/>
        <v>26183.07</v>
      </c>
      <c r="L9166" s="70"/>
      <c r="M9166" s="934"/>
    </row>
    <row r="9167" ht="12.75" hidden="1" customHeight="1" outlineLevel="1">
      <c r="A9167" s="202">
        <v>42493.0</v>
      </c>
      <c r="B9167" s="985" t="s">
        <v>347</v>
      </c>
      <c r="C9167" s="94" t="s">
        <v>784</v>
      </c>
      <c r="D9167" s="286">
        <v>6200.0</v>
      </c>
      <c r="E9167" s="94">
        <v>5.232</v>
      </c>
      <c r="F9167" s="986">
        <v>0.4553587962962963</v>
      </c>
      <c r="G9167" s="94" t="s">
        <v>453</v>
      </c>
      <c r="H9167" s="987">
        <v>26.31</v>
      </c>
      <c r="I9167" s="988" t="s">
        <v>3145</v>
      </c>
      <c r="J9167" s="67">
        <f t="shared" si="518"/>
        <v>32412.09</v>
      </c>
      <c r="L9167" s="70"/>
      <c r="M9167" s="934"/>
    </row>
    <row r="9168" ht="12.75" hidden="1" customHeight="1" outlineLevel="1">
      <c r="A9168" s="202">
        <v>42493.0</v>
      </c>
      <c r="B9168" s="985" t="s">
        <v>347</v>
      </c>
      <c r="C9168" s="94" t="s">
        <v>2090</v>
      </c>
      <c r="D9168" s="286">
        <v>2900.0</v>
      </c>
      <c r="E9168" s="94">
        <v>11.421</v>
      </c>
      <c r="F9168" s="986">
        <v>0.4550462962962963</v>
      </c>
      <c r="G9168" s="94" t="s">
        <v>453</v>
      </c>
      <c r="H9168" s="987">
        <v>12.32</v>
      </c>
      <c r="I9168" s="988" t="s">
        <v>3145</v>
      </c>
      <c r="J9168" s="67">
        <f t="shared" si="518"/>
        <v>33108.58</v>
      </c>
      <c r="L9168" s="70"/>
      <c r="M9168" s="934"/>
    </row>
    <row r="9169" ht="12.75" hidden="1" customHeight="1" outlineLevel="1">
      <c r="A9169" s="202">
        <v>42493.0</v>
      </c>
      <c r="B9169" s="992"/>
      <c r="C9169" s="32" t="s">
        <v>339</v>
      </c>
      <c r="D9169" s="1"/>
      <c r="F9169" s="1"/>
      <c r="G9169" s="1"/>
      <c r="H9169" s="68"/>
      <c r="I9169" s="76"/>
      <c r="K9169" s="994" t="s">
        <v>3364</v>
      </c>
      <c r="L9169" s="934"/>
      <c r="M9169" s="934"/>
    </row>
    <row r="9170" ht="12.75" hidden="1" customHeight="1" outlineLevel="1">
      <c r="A9170" s="202">
        <v>42493.0</v>
      </c>
      <c r="B9170" s="992"/>
      <c r="C9170" s="32" t="s">
        <v>429</v>
      </c>
      <c r="D9170" s="1"/>
      <c r="F9170" s="1"/>
      <c r="G9170" s="1"/>
      <c r="H9170" s="68"/>
      <c r="I9170" s="76"/>
      <c r="K9170" s="9" t="s">
        <v>3187</v>
      </c>
      <c r="L9170" s="934"/>
      <c r="M9170" s="934"/>
    </row>
    <row r="9171" ht="12.75" hidden="1" customHeight="1" outlineLevel="1">
      <c r="A9171" s="202">
        <v>42493.0</v>
      </c>
      <c r="B9171" s="992"/>
      <c r="C9171" s="32" t="s">
        <v>431</v>
      </c>
      <c r="D9171" s="1"/>
      <c r="F9171" s="1"/>
      <c r="G9171" s="1"/>
      <c r="H9171" s="68"/>
      <c r="I9171" s="76"/>
      <c r="K9171" s="7" t="s">
        <v>1126</v>
      </c>
      <c r="L9171" s="934"/>
      <c r="M9171" s="934"/>
    </row>
    <row r="9172" ht="12.75" hidden="1" customHeight="1" outlineLevel="1">
      <c r="A9172" s="202">
        <v>42493.0</v>
      </c>
      <c r="B9172" s="992"/>
      <c r="C9172" s="32" t="s">
        <v>433</v>
      </c>
      <c r="D9172" s="1"/>
      <c r="F9172" s="1"/>
      <c r="G9172" s="1"/>
      <c r="H9172" s="68"/>
      <c r="I9172" s="76"/>
      <c r="K9172" s="7" t="s">
        <v>1103</v>
      </c>
      <c r="L9172" s="934"/>
      <c r="M9172" s="934"/>
    </row>
    <row r="9173" ht="12.75" hidden="1" customHeight="1" outlineLevel="1">
      <c r="A9173" s="202">
        <v>42493.0</v>
      </c>
      <c r="B9173" s="992"/>
      <c r="C9173" s="32" t="s">
        <v>435</v>
      </c>
      <c r="D9173" s="1"/>
      <c r="F9173" s="1"/>
      <c r="G9173" s="1"/>
      <c r="H9173" s="68"/>
      <c r="I9173" s="76"/>
      <c r="K9173" s="9" t="s">
        <v>3331</v>
      </c>
      <c r="L9173" s="934"/>
      <c r="M9173" s="934"/>
    </row>
    <row r="9174" ht="12.75" hidden="1" customHeight="1" outlineLevel="1">
      <c r="A9174" s="202">
        <v>42502.0</v>
      </c>
      <c r="B9174" s="985" t="s">
        <v>347</v>
      </c>
      <c r="C9174" s="94" t="s">
        <v>346</v>
      </c>
      <c r="D9174" s="94">
        <v>400.0</v>
      </c>
      <c r="E9174" s="94">
        <v>90.323</v>
      </c>
      <c r="F9174" s="986">
        <v>0.4479513888888889</v>
      </c>
      <c r="G9174" s="94" t="s">
        <v>453</v>
      </c>
      <c r="H9174" s="987">
        <v>2.39</v>
      </c>
      <c r="I9174" s="988" t="s">
        <v>3145</v>
      </c>
      <c r="J9174" s="67">
        <f t="shared" ref="J9174:J9184" si="519">IF(B9174="SLD",D9174*E9174,-D9174*E9174)-H9174</f>
        <v>36126.81</v>
      </c>
      <c r="L9174" s="70"/>
      <c r="M9174" s="934"/>
    </row>
    <row r="9175" ht="12.75" hidden="1" customHeight="1" outlineLevel="1">
      <c r="A9175" s="202">
        <v>42502.0</v>
      </c>
      <c r="B9175" s="985" t="s">
        <v>347</v>
      </c>
      <c r="C9175" s="94" t="s">
        <v>1244</v>
      </c>
      <c r="D9175" s="94">
        <v>200.0</v>
      </c>
      <c r="E9175" s="94">
        <v>82.49</v>
      </c>
      <c r="F9175" s="986">
        <v>0.4486574074074074</v>
      </c>
      <c r="G9175" s="94" t="s">
        <v>453</v>
      </c>
      <c r="H9175" s="987">
        <v>1.36</v>
      </c>
      <c r="I9175" s="988" t="s">
        <v>3145</v>
      </c>
      <c r="J9175" s="67">
        <f t="shared" si="519"/>
        <v>16496.64</v>
      </c>
      <c r="L9175" s="70"/>
      <c r="M9175" s="934"/>
    </row>
    <row r="9176" ht="12.75" hidden="1" customHeight="1" outlineLevel="1">
      <c r="A9176" s="202">
        <v>42502.0</v>
      </c>
      <c r="B9176" s="985" t="s">
        <v>347</v>
      </c>
      <c r="C9176" s="94" t="s">
        <v>1249</v>
      </c>
      <c r="D9176" s="94">
        <v>100.0</v>
      </c>
      <c r="E9176" s="94">
        <v>75.04</v>
      </c>
      <c r="F9176" s="986">
        <v>0.4487962962962963</v>
      </c>
      <c r="G9176" s="94" t="s">
        <v>453</v>
      </c>
      <c r="H9176" s="987">
        <v>1.16</v>
      </c>
      <c r="I9176" s="988" t="s">
        <v>3145</v>
      </c>
      <c r="J9176" s="67">
        <f t="shared" si="519"/>
        <v>7502.84</v>
      </c>
      <c r="L9176" s="70"/>
      <c r="M9176" s="934"/>
    </row>
    <row r="9177" ht="12.75" hidden="1" customHeight="1" outlineLevel="1">
      <c r="A9177" s="202">
        <v>42502.0</v>
      </c>
      <c r="B9177" s="985" t="s">
        <v>347</v>
      </c>
      <c r="C9177" s="94" t="s">
        <v>1465</v>
      </c>
      <c r="D9177" s="94">
        <v>25.0</v>
      </c>
      <c r="E9177" s="94">
        <v>262.92</v>
      </c>
      <c r="F9177" s="986">
        <v>0.44895833333333335</v>
      </c>
      <c r="G9177" s="94" t="s">
        <v>453</v>
      </c>
      <c r="H9177" s="987">
        <v>1.14</v>
      </c>
      <c r="I9177" s="988" t="s">
        <v>3145</v>
      </c>
      <c r="J9177" s="67">
        <f t="shared" si="519"/>
        <v>6571.86</v>
      </c>
      <c r="L9177" s="70"/>
      <c r="M9177" s="934"/>
    </row>
    <row r="9178" ht="12.75" hidden="1" customHeight="1" outlineLevel="1">
      <c r="A9178" s="202">
        <v>42502.0</v>
      </c>
      <c r="B9178" s="985" t="s">
        <v>343</v>
      </c>
      <c r="C9178" s="94" t="s">
        <v>346</v>
      </c>
      <c r="D9178" s="94">
        <v>400.0</v>
      </c>
      <c r="E9178" s="94">
        <v>90.209</v>
      </c>
      <c r="F9178" s="986">
        <v>0.49163194444444447</v>
      </c>
      <c r="G9178" s="94" t="s">
        <v>453</v>
      </c>
      <c r="H9178" s="987">
        <v>1.8</v>
      </c>
      <c r="I9178" s="988" t="s">
        <v>3145</v>
      </c>
      <c r="J9178" s="67">
        <f t="shared" si="519"/>
        <v>-36085.4</v>
      </c>
      <c r="L9178" s="70"/>
      <c r="M9178" s="934"/>
    </row>
    <row r="9179" ht="12.75" hidden="1" customHeight="1" outlineLevel="1">
      <c r="A9179" s="202">
        <v>42502.0</v>
      </c>
      <c r="B9179" s="985" t="s">
        <v>343</v>
      </c>
      <c r="C9179" s="94" t="s">
        <v>1244</v>
      </c>
      <c r="D9179" s="94">
        <v>200.0</v>
      </c>
      <c r="E9179" s="94">
        <v>82.1997</v>
      </c>
      <c r="F9179" s="986">
        <v>0.49322916666666666</v>
      </c>
      <c r="G9179" s="94" t="s">
        <v>453</v>
      </c>
      <c r="H9179" s="987">
        <v>1.0</v>
      </c>
      <c r="I9179" s="988" t="s">
        <v>3145</v>
      </c>
      <c r="J9179" s="67">
        <f t="shared" si="519"/>
        <v>-16440.94</v>
      </c>
      <c r="L9179" s="70"/>
      <c r="M9179" s="934"/>
    </row>
    <row r="9180" ht="12.75" hidden="1" customHeight="1" outlineLevel="1">
      <c r="A9180" s="202">
        <v>42502.0</v>
      </c>
      <c r="B9180" s="985" t="s">
        <v>343</v>
      </c>
      <c r="C9180" s="94" t="s">
        <v>1249</v>
      </c>
      <c r="D9180" s="94">
        <v>100.0</v>
      </c>
      <c r="E9180" s="94">
        <v>74.8089</v>
      </c>
      <c r="F9180" s="986">
        <v>0.49346064814814816</v>
      </c>
      <c r="G9180" s="94" t="s">
        <v>453</v>
      </c>
      <c r="H9180" s="987">
        <v>1.0</v>
      </c>
      <c r="I9180" s="988" t="s">
        <v>3145</v>
      </c>
      <c r="J9180" s="67">
        <f t="shared" si="519"/>
        <v>-7481.89</v>
      </c>
      <c r="L9180" s="70"/>
      <c r="M9180" s="934"/>
    </row>
    <row r="9181" ht="12.75" hidden="1" customHeight="1" outlineLevel="1">
      <c r="A9181" s="202">
        <v>42502.0</v>
      </c>
      <c r="B9181" s="985" t="s">
        <v>343</v>
      </c>
      <c r="C9181" s="94" t="s">
        <v>1465</v>
      </c>
      <c r="D9181" s="94">
        <v>25.0</v>
      </c>
      <c r="E9181" s="94">
        <v>261.4789</v>
      </c>
      <c r="F9181" s="986">
        <v>0.49444444444444446</v>
      </c>
      <c r="G9181" s="94" t="s">
        <v>453</v>
      </c>
      <c r="H9181" s="987">
        <v>1.0</v>
      </c>
      <c r="I9181" s="988" t="s">
        <v>3145</v>
      </c>
      <c r="J9181" s="67">
        <f t="shared" si="519"/>
        <v>-6537.9725</v>
      </c>
      <c r="L9181" s="70"/>
      <c r="M9181" s="934"/>
    </row>
    <row r="9182" ht="12.75" hidden="1" customHeight="1" outlineLevel="1">
      <c r="A9182" s="202">
        <v>42502.0</v>
      </c>
      <c r="B9182" s="985" t="s">
        <v>343</v>
      </c>
      <c r="C9182" s="94" t="s">
        <v>344</v>
      </c>
      <c r="D9182" s="94">
        <v>100.0</v>
      </c>
      <c r="E9182" s="94">
        <v>56.2589</v>
      </c>
      <c r="F9182" s="986">
        <v>0.5956365740740741</v>
      </c>
      <c r="G9182" s="94" t="s">
        <v>453</v>
      </c>
      <c r="H9182" s="987">
        <v>1.0</v>
      </c>
      <c r="I9182" s="988" t="s">
        <v>3145</v>
      </c>
      <c r="J9182" s="67">
        <f t="shared" si="519"/>
        <v>-5626.89</v>
      </c>
      <c r="L9182" s="70"/>
      <c r="M9182" s="934"/>
    </row>
    <row r="9183" ht="12.75" hidden="1" customHeight="1" outlineLevel="1">
      <c r="A9183" s="202">
        <v>42502.0</v>
      </c>
      <c r="B9183" s="985" t="s">
        <v>347</v>
      </c>
      <c r="C9183" s="94" t="s">
        <v>784</v>
      </c>
      <c r="D9183" s="286">
        <v>2800.0</v>
      </c>
      <c r="E9183" s="94">
        <v>4.491</v>
      </c>
      <c r="F9183" s="986">
        <v>0.6430324074074074</v>
      </c>
      <c r="G9183" s="94" t="s">
        <v>453</v>
      </c>
      <c r="H9183" s="987">
        <v>11.47</v>
      </c>
      <c r="I9183" s="988" t="s">
        <v>3145</v>
      </c>
      <c r="J9183" s="67">
        <f t="shared" si="519"/>
        <v>12563.33</v>
      </c>
      <c r="L9183" s="70"/>
      <c r="M9183" s="934"/>
    </row>
    <row r="9184" ht="12.75" hidden="1" customHeight="1" outlineLevel="1">
      <c r="A9184" s="202">
        <v>42502.0</v>
      </c>
      <c r="B9184" s="985" t="s">
        <v>347</v>
      </c>
      <c r="C9184" s="94" t="s">
        <v>3024</v>
      </c>
      <c r="D9184" s="94">
        <v>400.0</v>
      </c>
      <c r="E9184" s="94">
        <v>14.531</v>
      </c>
      <c r="F9184" s="986">
        <v>0.6433217592592593</v>
      </c>
      <c r="G9184" s="94" t="s">
        <v>453</v>
      </c>
      <c r="H9184" s="987">
        <v>1.93</v>
      </c>
      <c r="I9184" s="988" t="s">
        <v>3145</v>
      </c>
      <c r="J9184" s="67">
        <f t="shared" si="519"/>
        <v>5810.47</v>
      </c>
      <c r="L9184" s="70"/>
      <c r="M9184" s="934"/>
    </row>
    <row r="9185" ht="12.75" hidden="1" customHeight="1" outlineLevel="1">
      <c r="A9185" s="202">
        <v>42502.0</v>
      </c>
      <c r="B9185" s="992"/>
      <c r="C9185" s="32" t="s">
        <v>339</v>
      </c>
      <c r="D9185" s="1"/>
      <c r="F9185" s="1"/>
      <c r="G9185" s="1"/>
      <c r="H9185" s="68"/>
      <c r="I9185" s="76"/>
      <c r="K9185" s="994" t="s">
        <v>3370</v>
      </c>
      <c r="L9185" s="934"/>
      <c r="M9185" s="934"/>
    </row>
    <row r="9186" ht="12.75" hidden="1" customHeight="1" outlineLevel="1">
      <c r="A9186" s="202">
        <v>42502.0</v>
      </c>
      <c r="B9186" s="992"/>
      <c r="C9186" s="32" t="s">
        <v>429</v>
      </c>
      <c r="D9186" s="1"/>
      <c r="F9186" s="1"/>
      <c r="G9186" s="1"/>
      <c r="H9186" s="68"/>
      <c r="I9186" s="76"/>
      <c r="K9186" s="9" t="s">
        <v>3187</v>
      </c>
      <c r="L9186" s="934"/>
      <c r="M9186" s="934"/>
    </row>
    <row r="9187" ht="12.75" hidden="1" customHeight="1" outlineLevel="1">
      <c r="A9187" s="202">
        <v>42502.0</v>
      </c>
      <c r="B9187" s="992"/>
      <c r="C9187" s="32" t="s">
        <v>431</v>
      </c>
      <c r="D9187" s="1"/>
      <c r="F9187" s="1"/>
      <c r="G9187" s="1"/>
      <c r="H9187" s="68"/>
      <c r="I9187" s="76"/>
      <c r="K9187" s="7" t="s">
        <v>1126</v>
      </c>
      <c r="L9187" s="934"/>
      <c r="M9187" s="934"/>
    </row>
    <row r="9188" ht="12.75" hidden="1" customHeight="1" outlineLevel="1">
      <c r="A9188" s="202">
        <v>42502.0</v>
      </c>
      <c r="B9188" s="992"/>
      <c r="C9188" s="32" t="s">
        <v>433</v>
      </c>
      <c r="D9188" s="1"/>
      <c r="F9188" s="1"/>
      <c r="G9188" s="1"/>
      <c r="H9188" s="68"/>
      <c r="I9188" s="76"/>
      <c r="K9188" s="7" t="s">
        <v>1103</v>
      </c>
      <c r="L9188" s="934"/>
      <c r="M9188" s="934"/>
    </row>
    <row r="9189" ht="12.75" hidden="1" customHeight="1" outlineLevel="1">
      <c r="A9189" s="202">
        <v>42502.0</v>
      </c>
      <c r="B9189" s="992"/>
      <c r="C9189" s="32" t="s">
        <v>435</v>
      </c>
      <c r="D9189" s="1"/>
      <c r="F9189" s="1"/>
      <c r="G9189" s="1"/>
      <c r="H9189" s="68"/>
      <c r="I9189" s="76"/>
      <c r="K9189" s="9" t="s">
        <v>3331</v>
      </c>
      <c r="L9189" s="934"/>
      <c r="M9189" s="934"/>
    </row>
    <row r="9190" ht="12.75" hidden="1" customHeight="1" outlineLevel="1">
      <c r="A9190" s="202">
        <v>42510.0</v>
      </c>
      <c r="B9190" s="985" t="s">
        <v>343</v>
      </c>
      <c r="C9190" s="94" t="s">
        <v>1152</v>
      </c>
      <c r="D9190" s="94">
        <v>50.0</v>
      </c>
      <c r="E9190" s="94">
        <v>102.74</v>
      </c>
      <c r="F9190" s="986">
        <v>0.40976851851851853</v>
      </c>
      <c r="G9190" s="94" t="s">
        <v>453</v>
      </c>
      <c r="H9190" s="987">
        <v>1.0</v>
      </c>
      <c r="I9190" s="988" t="s">
        <v>3145</v>
      </c>
      <c r="J9190" s="67">
        <f>IF(B9190="SLD",D9190*E9190,-D9190*E9190)-H9190</f>
        <v>-5138</v>
      </c>
      <c r="L9190" s="70"/>
      <c r="M9190" s="934"/>
    </row>
    <row r="9191" ht="12.75" hidden="1" customHeight="1" outlineLevel="1">
      <c r="A9191" s="202">
        <v>42510.0</v>
      </c>
      <c r="B9191" s="992"/>
      <c r="C9191" s="32" t="s">
        <v>339</v>
      </c>
      <c r="D9191" s="1"/>
      <c r="F9191" s="1"/>
      <c r="G9191" s="1"/>
      <c r="H9191" s="68"/>
      <c r="I9191" s="76"/>
      <c r="K9191" s="994" t="s">
        <v>3370</v>
      </c>
      <c r="L9191" s="934"/>
      <c r="M9191" s="934"/>
    </row>
    <row r="9192" ht="12.75" hidden="1" customHeight="1" outlineLevel="1">
      <c r="A9192" s="202">
        <v>42510.0</v>
      </c>
      <c r="B9192" s="992"/>
      <c r="C9192" s="32" t="s">
        <v>429</v>
      </c>
      <c r="D9192" s="1"/>
      <c r="F9192" s="1"/>
      <c r="G9192" s="1"/>
      <c r="H9192" s="68"/>
      <c r="I9192" s="76"/>
      <c r="K9192" s="9" t="s">
        <v>3187</v>
      </c>
      <c r="L9192" s="934"/>
      <c r="M9192" s="934"/>
    </row>
    <row r="9193" ht="12.75" hidden="1" customHeight="1" outlineLevel="1">
      <c r="A9193" s="202">
        <v>42510.0</v>
      </c>
      <c r="B9193" s="992"/>
      <c r="C9193" s="32" t="s">
        <v>431</v>
      </c>
      <c r="D9193" s="1"/>
      <c r="F9193" s="1"/>
      <c r="G9193" s="1"/>
      <c r="H9193" s="68"/>
      <c r="I9193" s="76"/>
      <c r="K9193" s="7" t="s">
        <v>1126</v>
      </c>
      <c r="L9193" s="934"/>
      <c r="M9193" s="934"/>
    </row>
    <row r="9194" ht="12.75" hidden="1" customHeight="1" outlineLevel="1">
      <c r="A9194" s="202">
        <v>42510.0</v>
      </c>
      <c r="B9194" s="992"/>
      <c r="C9194" s="32" t="s">
        <v>433</v>
      </c>
      <c r="D9194" s="1"/>
      <c r="F9194" s="1"/>
      <c r="G9194" s="1"/>
      <c r="H9194" s="68"/>
      <c r="I9194" s="76"/>
      <c r="K9194" s="7" t="s">
        <v>1103</v>
      </c>
      <c r="L9194" s="934"/>
      <c r="M9194" s="934"/>
    </row>
    <row r="9195" ht="12.75" hidden="1" customHeight="1" outlineLevel="1">
      <c r="A9195" s="202">
        <v>42510.0</v>
      </c>
      <c r="B9195" s="992"/>
      <c r="C9195" s="32" t="s">
        <v>435</v>
      </c>
      <c r="D9195" s="1"/>
      <c r="F9195" s="1"/>
      <c r="G9195" s="1"/>
      <c r="H9195" s="68"/>
      <c r="I9195" s="76"/>
      <c r="K9195" s="9" t="s">
        <v>3331</v>
      </c>
      <c r="L9195" s="934"/>
      <c r="M9195" s="934"/>
    </row>
    <row r="9196" ht="12.75" hidden="1" customHeight="1" outlineLevel="1">
      <c r="A9196" s="202">
        <v>42516.0</v>
      </c>
      <c r="B9196" s="985" t="s">
        <v>347</v>
      </c>
      <c r="C9196" s="94" t="s">
        <v>1890</v>
      </c>
      <c r="D9196" s="94">
        <v>350.0</v>
      </c>
      <c r="E9196" s="94">
        <v>9.4601</v>
      </c>
      <c r="F9196" s="986">
        <v>0.6515740740740741</v>
      </c>
      <c r="G9196" s="94" t="s">
        <v>453</v>
      </c>
      <c r="H9196" s="987">
        <v>1.47</v>
      </c>
      <c r="I9196" s="988" t="s">
        <v>3145</v>
      </c>
      <c r="J9196" s="67">
        <f>IF(B9196="SLD",D9196*E9196,-D9196*E9196)-H9196</f>
        <v>3309.565</v>
      </c>
      <c r="L9196" s="70"/>
      <c r="M9196" s="934"/>
    </row>
    <row r="9197" ht="12.75" hidden="1" customHeight="1" outlineLevel="1">
      <c r="A9197" s="202">
        <v>42516.0</v>
      </c>
      <c r="B9197" s="992"/>
      <c r="C9197" s="32" t="s">
        <v>339</v>
      </c>
      <c r="D9197" s="1"/>
      <c r="F9197" s="1"/>
      <c r="G9197" s="1"/>
      <c r="H9197" s="68"/>
      <c r="I9197" s="76"/>
      <c r="K9197" s="994" t="s">
        <v>3371</v>
      </c>
      <c r="L9197" s="934"/>
      <c r="M9197" s="934"/>
    </row>
    <row r="9198" ht="12.75" hidden="1" customHeight="1" outlineLevel="1">
      <c r="A9198" s="202">
        <v>42516.0</v>
      </c>
      <c r="B9198" s="992"/>
      <c r="C9198" s="32" t="s">
        <v>429</v>
      </c>
      <c r="D9198" s="1"/>
      <c r="F9198" s="1"/>
      <c r="G9198" s="1"/>
      <c r="H9198" s="68"/>
      <c r="I9198" s="76"/>
      <c r="K9198" s="9" t="s">
        <v>3187</v>
      </c>
      <c r="L9198" s="934"/>
      <c r="M9198" s="934"/>
    </row>
    <row r="9199" ht="12.75" hidden="1" customHeight="1" outlineLevel="1">
      <c r="A9199" s="202">
        <v>42516.0</v>
      </c>
      <c r="B9199" s="992"/>
      <c r="C9199" s="32" t="s">
        <v>431</v>
      </c>
      <c r="D9199" s="1"/>
      <c r="F9199" s="1"/>
      <c r="G9199" s="1"/>
      <c r="H9199" s="68"/>
      <c r="I9199" s="76"/>
      <c r="K9199" s="7" t="s">
        <v>1126</v>
      </c>
      <c r="L9199" s="934"/>
      <c r="M9199" s="934"/>
    </row>
    <row r="9200" ht="12.75" hidden="1" customHeight="1" outlineLevel="1">
      <c r="A9200" s="202">
        <v>42516.0</v>
      </c>
      <c r="B9200" s="992"/>
      <c r="C9200" s="32" t="s">
        <v>433</v>
      </c>
      <c r="D9200" s="1"/>
      <c r="F9200" s="1"/>
      <c r="G9200" s="1"/>
      <c r="H9200" s="68"/>
      <c r="I9200" s="76"/>
      <c r="K9200" s="7" t="s">
        <v>1103</v>
      </c>
      <c r="L9200" s="934"/>
      <c r="M9200" s="934"/>
    </row>
    <row r="9201" ht="12.75" hidden="1" customHeight="1" outlineLevel="1">
      <c r="A9201" s="202">
        <v>42516.0</v>
      </c>
      <c r="B9201" s="992"/>
      <c r="C9201" s="32" t="s">
        <v>435</v>
      </c>
      <c r="D9201" s="1"/>
      <c r="F9201" s="1"/>
      <c r="G9201" s="1"/>
      <c r="H9201" s="68"/>
      <c r="I9201" s="76"/>
      <c r="K9201" s="9" t="s">
        <v>3331</v>
      </c>
      <c r="L9201" s="934"/>
      <c r="M9201" s="934"/>
    </row>
    <row r="9202" ht="12.75" hidden="1" customHeight="1" outlineLevel="1">
      <c r="A9202" s="202">
        <v>42522.0</v>
      </c>
      <c r="B9202" s="985" t="s">
        <v>347</v>
      </c>
      <c r="C9202" s="94" t="s">
        <v>346</v>
      </c>
      <c r="D9202" s="94">
        <v>100.0</v>
      </c>
      <c r="E9202" s="94">
        <v>99.0901</v>
      </c>
      <c r="F9202" s="986">
        <v>0.5483796296296296</v>
      </c>
      <c r="G9202" s="94" t="s">
        <v>453</v>
      </c>
      <c r="H9202" s="987">
        <v>1.22</v>
      </c>
      <c r="I9202" s="988" t="s">
        <v>3145</v>
      </c>
      <c r="J9202" s="67">
        <f t="shared" ref="J9202:J9206" si="520">IF(B9202="SLD",D9202*E9202,-D9202*E9202)-H9202</f>
        <v>9907.79</v>
      </c>
      <c r="L9202" s="70"/>
      <c r="M9202" s="934"/>
    </row>
    <row r="9203" ht="12.75" hidden="1" customHeight="1" outlineLevel="1">
      <c r="A9203" s="202">
        <v>42523.0</v>
      </c>
      <c r="B9203" s="985" t="s">
        <v>347</v>
      </c>
      <c r="C9203" s="94" t="s">
        <v>3024</v>
      </c>
      <c r="D9203" s="286">
        <v>1850.0</v>
      </c>
      <c r="E9203" s="94">
        <v>13.951</v>
      </c>
      <c r="F9203" s="986">
        <v>0.47863425925925923</v>
      </c>
      <c r="G9203" s="94" t="s">
        <v>453</v>
      </c>
      <c r="H9203" s="987">
        <v>8.01</v>
      </c>
      <c r="I9203" s="988" t="s">
        <v>3145</v>
      </c>
      <c r="J9203" s="67">
        <f t="shared" si="520"/>
        <v>25801.34</v>
      </c>
      <c r="L9203" s="70"/>
      <c r="M9203" s="934"/>
    </row>
    <row r="9204" ht="12.75" hidden="1" customHeight="1" outlineLevel="1">
      <c r="A9204" s="202">
        <v>42523.0</v>
      </c>
      <c r="B9204" s="985" t="s">
        <v>347</v>
      </c>
      <c r="C9204" s="94" t="s">
        <v>1890</v>
      </c>
      <c r="D9204" s="286">
        <v>3100.0</v>
      </c>
      <c r="E9204" s="94">
        <v>9.291</v>
      </c>
      <c r="F9204" s="986">
        <v>0.4753125</v>
      </c>
      <c r="G9204" s="94" t="s">
        <v>453</v>
      </c>
      <c r="H9204" s="987">
        <v>13.23</v>
      </c>
      <c r="I9204" s="988" t="s">
        <v>3145</v>
      </c>
      <c r="J9204" s="67">
        <f t="shared" si="520"/>
        <v>28788.87</v>
      </c>
      <c r="L9204" s="70"/>
      <c r="M9204" s="934"/>
    </row>
    <row r="9205" ht="12.75" hidden="1" customHeight="1" outlineLevel="1">
      <c r="A9205" s="202">
        <v>42523.0</v>
      </c>
      <c r="B9205" s="985" t="s">
        <v>347</v>
      </c>
      <c r="C9205" s="94" t="s">
        <v>1890</v>
      </c>
      <c r="D9205" s="286">
        <v>2750.0</v>
      </c>
      <c r="E9205" s="94">
        <v>9.401</v>
      </c>
      <c r="F9205" s="986">
        <v>0.46900462962962963</v>
      </c>
      <c r="G9205" s="94" t="s">
        <v>453</v>
      </c>
      <c r="H9205" s="987">
        <v>11.56</v>
      </c>
      <c r="I9205" s="988" t="s">
        <v>3145</v>
      </c>
      <c r="J9205" s="67">
        <f t="shared" si="520"/>
        <v>25841.19</v>
      </c>
      <c r="L9205" s="70"/>
      <c r="M9205" s="934"/>
    </row>
    <row r="9206" ht="12.75" hidden="1" customHeight="1" outlineLevel="1">
      <c r="A9206" s="202">
        <v>42523.0</v>
      </c>
      <c r="B9206" s="985" t="s">
        <v>343</v>
      </c>
      <c r="C9206" s="94" t="s">
        <v>1249</v>
      </c>
      <c r="D9206" s="94">
        <v>100.0</v>
      </c>
      <c r="E9206" s="94">
        <v>76.6798</v>
      </c>
      <c r="F9206" s="986">
        <v>0.46519675925925924</v>
      </c>
      <c r="G9206" s="94" t="s">
        <v>453</v>
      </c>
      <c r="H9206" s="987">
        <v>1.0</v>
      </c>
      <c r="I9206" s="988" t="s">
        <v>3145</v>
      </c>
      <c r="J9206" s="67">
        <f t="shared" si="520"/>
        <v>-7668.98</v>
      </c>
      <c r="L9206" s="70"/>
      <c r="M9206" s="934"/>
    </row>
    <row r="9207" ht="12.75" hidden="1" customHeight="1" outlineLevel="1">
      <c r="A9207" s="202">
        <v>42523.0</v>
      </c>
      <c r="B9207" s="992"/>
      <c r="C9207" s="32" t="s">
        <v>339</v>
      </c>
      <c r="D9207" s="1"/>
      <c r="F9207" s="1"/>
      <c r="G9207" s="1"/>
      <c r="H9207" s="68"/>
      <c r="I9207" s="76"/>
      <c r="K9207" s="994" t="s">
        <v>3372</v>
      </c>
      <c r="L9207" s="934"/>
      <c r="M9207" s="934"/>
    </row>
    <row r="9208" ht="12.75" hidden="1" customHeight="1" outlineLevel="1">
      <c r="A9208" s="202">
        <v>42523.0</v>
      </c>
      <c r="B9208" s="992"/>
      <c r="C9208" s="32" t="s">
        <v>429</v>
      </c>
      <c r="D9208" s="1"/>
      <c r="F9208" s="1"/>
      <c r="G9208" s="1"/>
      <c r="H9208" s="68"/>
      <c r="I9208" s="76"/>
      <c r="K9208" s="9" t="s">
        <v>3187</v>
      </c>
      <c r="L9208" s="934"/>
      <c r="M9208" s="934"/>
    </row>
    <row r="9209" ht="12.75" hidden="1" customHeight="1" outlineLevel="1">
      <c r="A9209" s="202">
        <v>42523.0</v>
      </c>
      <c r="B9209" s="992"/>
      <c r="C9209" s="32" t="s">
        <v>431</v>
      </c>
      <c r="D9209" s="1"/>
      <c r="F9209" s="1"/>
      <c r="G9209" s="1"/>
      <c r="H9209" s="68"/>
      <c r="I9209" s="76"/>
      <c r="K9209" s="7" t="s">
        <v>1126</v>
      </c>
      <c r="L9209" s="934"/>
      <c r="M9209" s="934"/>
    </row>
    <row r="9210" ht="12.75" hidden="1" customHeight="1" outlineLevel="1">
      <c r="A9210" s="202">
        <v>42523.0</v>
      </c>
      <c r="B9210" s="992"/>
      <c r="C9210" s="32" t="s">
        <v>433</v>
      </c>
      <c r="D9210" s="1"/>
      <c r="F9210" s="1"/>
      <c r="G9210" s="1"/>
      <c r="H9210" s="68"/>
      <c r="I9210" s="76"/>
      <c r="K9210" s="7" t="s">
        <v>1103</v>
      </c>
      <c r="L9210" s="934"/>
      <c r="M9210" s="934"/>
    </row>
    <row r="9211" ht="12.75" hidden="1" customHeight="1" outlineLevel="1">
      <c r="A9211" s="202">
        <v>42523.0</v>
      </c>
      <c r="B9211" s="992"/>
      <c r="C9211" s="32" t="s">
        <v>435</v>
      </c>
      <c r="D9211" s="1"/>
      <c r="F9211" s="1"/>
      <c r="G9211" s="1"/>
      <c r="H9211" s="68"/>
      <c r="I9211" s="76"/>
      <c r="K9211" s="9" t="s">
        <v>3331</v>
      </c>
      <c r="L9211" s="934"/>
      <c r="M9211" s="934"/>
    </row>
    <row r="9212" ht="12.75" hidden="1" customHeight="1" outlineLevel="1">
      <c r="A9212" s="202">
        <v>42524.0</v>
      </c>
      <c r="B9212" s="985" t="s">
        <v>343</v>
      </c>
      <c r="C9212" s="94" t="s">
        <v>3024</v>
      </c>
      <c r="D9212" s="286">
        <v>1850.0</v>
      </c>
      <c r="E9212" s="94">
        <v>13.989</v>
      </c>
      <c r="F9212" s="998">
        <v>42524.58277777778</v>
      </c>
      <c r="G9212" s="94" t="s">
        <v>453</v>
      </c>
      <c r="H9212" s="987">
        <v>7.4</v>
      </c>
      <c r="I9212" s="988" t="s">
        <v>3145</v>
      </c>
      <c r="J9212" s="67">
        <f t="shared" ref="J9212:J9216" si="521">IF(B9212="SLD",D9212*E9212,-D9212*E9212)-H9212</f>
        <v>-25887.05</v>
      </c>
      <c r="L9212" s="70"/>
      <c r="M9212" s="934"/>
    </row>
    <row r="9213" ht="12.75" hidden="1" customHeight="1" outlineLevel="1">
      <c r="A9213" s="202">
        <v>42524.0</v>
      </c>
      <c r="B9213" s="985" t="s">
        <v>343</v>
      </c>
      <c r="C9213" s="94" t="s">
        <v>1890</v>
      </c>
      <c r="D9213" s="286">
        <v>2750.0</v>
      </c>
      <c r="E9213" s="94">
        <v>9.259</v>
      </c>
      <c r="F9213" s="998">
        <v>42524.58248842593</v>
      </c>
      <c r="G9213" s="94" t="s">
        <v>453</v>
      </c>
      <c r="H9213" s="987">
        <v>11.1</v>
      </c>
      <c r="I9213" s="988" t="s">
        <v>3145</v>
      </c>
      <c r="J9213" s="67">
        <f t="shared" si="521"/>
        <v>-25473.35</v>
      </c>
      <c r="L9213" s="70"/>
      <c r="M9213" s="934"/>
    </row>
    <row r="9214" ht="12.75" hidden="1" customHeight="1" outlineLevel="1">
      <c r="A9214" s="202">
        <v>42524.0</v>
      </c>
      <c r="B9214" s="985" t="s">
        <v>343</v>
      </c>
      <c r="C9214" s="94" t="s">
        <v>1890</v>
      </c>
      <c r="D9214" s="286">
        <v>3100.0</v>
      </c>
      <c r="E9214" s="94">
        <v>9.27</v>
      </c>
      <c r="F9214" s="998">
        <v>42524.58237268519</v>
      </c>
      <c r="G9214" s="94" t="s">
        <v>453</v>
      </c>
      <c r="H9214" s="987">
        <v>12.4</v>
      </c>
      <c r="I9214" s="988" t="s">
        <v>3145</v>
      </c>
      <c r="J9214" s="67">
        <f t="shared" si="521"/>
        <v>-28749.4</v>
      </c>
      <c r="L9214" s="70"/>
      <c r="M9214" s="934"/>
    </row>
    <row r="9215" ht="12.75" hidden="1" customHeight="1" outlineLevel="1">
      <c r="A9215" s="202">
        <v>42524.0</v>
      </c>
      <c r="B9215" s="985" t="s">
        <v>343</v>
      </c>
      <c r="C9215" s="94" t="s">
        <v>784</v>
      </c>
      <c r="D9215" s="286">
        <v>1700.0</v>
      </c>
      <c r="E9215" s="94">
        <v>4.54</v>
      </c>
      <c r="F9215" s="998">
        <v>42524.57928240741</v>
      </c>
      <c r="G9215" s="94" t="s">
        <v>453</v>
      </c>
      <c r="H9215" s="987">
        <v>8.5</v>
      </c>
      <c r="I9215" s="988" t="s">
        <v>3145</v>
      </c>
      <c r="J9215" s="67">
        <f t="shared" si="521"/>
        <v>-7726.5</v>
      </c>
      <c r="L9215" s="70"/>
      <c r="M9215" s="934"/>
    </row>
    <row r="9216" ht="12.75" hidden="1" customHeight="1" outlineLevel="1">
      <c r="A9216" s="202">
        <v>42528.0</v>
      </c>
      <c r="B9216" s="985" t="s">
        <v>347</v>
      </c>
      <c r="C9216" s="94" t="s">
        <v>784</v>
      </c>
      <c r="D9216" s="286">
        <v>1700.0</v>
      </c>
      <c r="E9216" s="94">
        <v>4.8001</v>
      </c>
      <c r="F9216" s="986">
        <v>0.625</v>
      </c>
      <c r="G9216" s="94" t="s">
        <v>453</v>
      </c>
      <c r="H9216" s="987">
        <v>6.98</v>
      </c>
      <c r="I9216" s="988" t="s">
        <v>3145</v>
      </c>
      <c r="J9216" s="67">
        <f t="shared" si="521"/>
        <v>8153.19</v>
      </c>
      <c r="L9216" s="70"/>
      <c r="M9216" s="934"/>
    </row>
    <row r="9217" ht="12.75" hidden="1" customHeight="1" outlineLevel="1">
      <c r="A9217" s="202">
        <v>42528.0</v>
      </c>
      <c r="B9217" s="992"/>
      <c r="C9217" s="32" t="s">
        <v>339</v>
      </c>
      <c r="D9217" s="1"/>
      <c r="F9217" s="1"/>
      <c r="G9217" s="1"/>
      <c r="H9217" s="68"/>
      <c r="I9217" s="76"/>
      <c r="K9217" s="994" t="s">
        <v>3373</v>
      </c>
      <c r="L9217" s="934"/>
      <c r="M9217" s="934"/>
    </row>
    <row r="9218" ht="12.75" hidden="1" customHeight="1" outlineLevel="1">
      <c r="A9218" s="202">
        <v>42528.0</v>
      </c>
      <c r="B9218" s="992"/>
      <c r="C9218" s="32" t="s">
        <v>429</v>
      </c>
      <c r="D9218" s="1"/>
      <c r="F9218" s="1"/>
      <c r="G9218" s="1"/>
      <c r="H9218" s="68"/>
      <c r="I9218" s="76"/>
      <c r="K9218" s="9" t="s">
        <v>3187</v>
      </c>
      <c r="L9218" s="934"/>
      <c r="M9218" s="934"/>
    </row>
    <row r="9219" ht="12.75" hidden="1" customHeight="1" outlineLevel="1">
      <c r="A9219" s="202">
        <v>42528.0</v>
      </c>
      <c r="B9219" s="992"/>
      <c r="C9219" s="32" t="s">
        <v>431</v>
      </c>
      <c r="D9219" s="1"/>
      <c r="F9219" s="1"/>
      <c r="G9219" s="1"/>
      <c r="H9219" s="68"/>
      <c r="I9219" s="76"/>
      <c r="K9219" s="7" t="s">
        <v>1126</v>
      </c>
      <c r="L9219" s="934"/>
      <c r="M9219" s="934"/>
    </row>
    <row r="9220" ht="12.75" hidden="1" customHeight="1" outlineLevel="1">
      <c r="A9220" s="202">
        <v>42528.0</v>
      </c>
      <c r="B9220" s="992"/>
      <c r="C9220" s="32" t="s">
        <v>433</v>
      </c>
      <c r="D9220" s="1"/>
      <c r="F9220" s="1"/>
      <c r="G9220" s="1"/>
      <c r="H9220" s="68"/>
      <c r="I9220" s="76"/>
      <c r="K9220" s="7" t="s">
        <v>1103</v>
      </c>
      <c r="L9220" s="934"/>
      <c r="M9220" s="934"/>
    </row>
    <row r="9221" ht="12.75" hidden="1" customHeight="1" outlineLevel="1">
      <c r="A9221" s="202">
        <v>42528.0</v>
      </c>
      <c r="B9221" s="992"/>
      <c r="C9221" s="32" t="s">
        <v>435</v>
      </c>
      <c r="D9221" s="1"/>
      <c r="F9221" s="1"/>
      <c r="G9221" s="1"/>
      <c r="H9221" s="68"/>
      <c r="I9221" s="76"/>
      <c r="K9221" s="9" t="s">
        <v>3331</v>
      </c>
      <c r="L9221" s="934"/>
      <c r="M9221" s="934"/>
    </row>
    <row r="9222" ht="12.75" hidden="1" customHeight="1" outlineLevel="1">
      <c r="A9222" s="202">
        <v>42529.0</v>
      </c>
      <c r="B9222" s="985" t="s">
        <v>347</v>
      </c>
      <c r="C9222" s="94" t="s">
        <v>1465</v>
      </c>
      <c r="D9222" s="94">
        <v>25.0</v>
      </c>
      <c r="E9222" s="94">
        <v>253.9811</v>
      </c>
      <c r="F9222" s="986">
        <v>0.6650578703703703</v>
      </c>
      <c r="G9222" s="94" t="s">
        <v>453</v>
      </c>
      <c r="H9222" s="987">
        <v>1.14</v>
      </c>
      <c r="I9222" s="988" t="s">
        <v>3145</v>
      </c>
      <c r="J9222" s="67">
        <f t="shared" ref="J9222:J9242" si="522">IF(B9222="SLD",D9222*E9222,-D9222*E9222)-H9222</f>
        <v>6348.3875</v>
      </c>
      <c r="L9222" s="70"/>
      <c r="M9222" s="934"/>
    </row>
    <row r="9223" ht="12.75" hidden="1" customHeight="1" outlineLevel="1">
      <c r="A9223" s="202">
        <v>42529.0</v>
      </c>
      <c r="B9223" s="985" t="s">
        <v>347</v>
      </c>
      <c r="C9223" s="94" t="s">
        <v>1345</v>
      </c>
      <c r="D9223" s="94">
        <v>100.0</v>
      </c>
      <c r="E9223" s="94">
        <v>157.9007</v>
      </c>
      <c r="F9223" s="986">
        <v>0.6648958333333334</v>
      </c>
      <c r="G9223" s="94" t="s">
        <v>453</v>
      </c>
      <c r="H9223" s="987">
        <v>1.34</v>
      </c>
      <c r="I9223" s="988" t="s">
        <v>3145</v>
      </c>
      <c r="J9223" s="67">
        <f t="shared" si="522"/>
        <v>15788.73</v>
      </c>
      <c r="L9223" s="70"/>
      <c r="M9223" s="934"/>
    </row>
    <row r="9224" ht="12.75" hidden="1" customHeight="1" outlineLevel="1">
      <c r="A9224" s="202">
        <v>42529.0</v>
      </c>
      <c r="B9224" s="985" t="s">
        <v>347</v>
      </c>
      <c r="C9224" s="94" t="s">
        <v>1249</v>
      </c>
      <c r="D9224" s="94">
        <v>200.0</v>
      </c>
      <c r="E9224" s="94">
        <v>76.243</v>
      </c>
      <c r="F9224" s="986">
        <v>0.6647685185185185</v>
      </c>
      <c r="G9224" s="94" t="s">
        <v>453</v>
      </c>
      <c r="H9224" s="987">
        <v>1.33</v>
      </c>
      <c r="I9224" s="988" t="s">
        <v>3145</v>
      </c>
      <c r="J9224" s="67">
        <f t="shared" si="522"/>
        <v>15247.27</v>
      </c>
      <c r="L9224" s="70"/>
      <c r="M9224" s="934"/>
    </row>
    <row r="9225" ht="12.75" hidden="1" customHeight="1" outlineLevel="1">
      <c r="A9225" s="202">
        <v>42529.0</v>
      </c>
      <c r="B9225" s="985" t="s">
        <v>347</v>
      </c>
      <c r="C9225" s="94" t="s">
        <v>1244</v>
      </c>
      <c r="D9225" s="94">
        <v>200.0</v>
      </c>
      <c r="E9225" s="94">
        <v>87.3701</v>
      </c>
      <c r="F9225" s="986">
        <v>0.6646296296296297</v>
      </c>
      <c r="G9225" s="94" t="s">
        <v>453</v>
      </c>
      <c r="H9225" s="987">
        <v>1.38</v>
      </c>
      <c r="I9225" s="988" t="s">
        <v>3145</v>
      </c>
      <c r="J9225" s="67">
        <f t="shared" si="522"/>
        <v>17472.64</v>
      </c>
      <c r="L9225" s="70"/>
      <c r="M9225" s="934"/>
    </row>
    <row r="9226" ht="12.75" hidden="1" customHeight="1" outlineLevel="1">
      <c r="A9226" s="202">
        <v>42529.0</v>
      </c>
      <c r="B9226" s="985" t="s">
        <v>343</v>
      </c>
      <c r="C9226" s="94" t="s">
        <v>1890</v>
      </c>
      <c r="D9226" s="94">
        <v>350.0</v>
      </c>
      <c r="E9226" s="94">
        <v>11.239</v>
      </c>
      <c r="F9226" s="986">
        <v>0.6625694444444444</v>
      </c>
      <c r="G9226" s="94" t="s">
        <v>453</v>
      </c>
      <c r="H9226" s="987">
        <v>1.4</v>
      </c>
      <c r="I9226" s="988" t="s">
        <v>3145</v>
      </c>
      <c r="J9226" s="67">
        <f t="shared" si="522"/>
        <v>-3935.05</v>
      </c>
      <c r="L9226" s="70"/>
      <c r="M9226" s="934"/>
    </row>
    <row r="9227" ht="12.75" hidden="1" customHeight="1" outlineLevel="1">
      <c r="A9227" s="202">
        <v>42529.0</v>
      </c>
      <c r="B9227" s="985" t="s">
        <v>343</v>
      </c>
      <c r="C9227" s="94" t="s">
        <v>1947</v>
      </c>
      <c r="D9227" s="94">
        <v>200.0</v>
      </c>
      <c r="E9227" s="94">
        <v>37.3993</v>
      </c>
      <c r="F9227" s="986">
        <v>0.6624884259259259</v>
      </c>
      <c r="G9227" s="94" t="s">
        <v>453</v>
      </c>
      <c r="H9227" s="987">
        <v>1.0</v>
      </c>
      <c r="I9227" s="988" t="s">
        <v>3145</v>
      </c>
      <c r="J9227" s="67">
        <f t="shared" si="522"/>
        <v>-7480.86</v>
      </c>
      <c r="L9227" s="70"/>
      <c r="M9227" s="934"/>
    </row>
    <row r="9228" ht="12.75" hidden="1" customHeight="1" outlineLevel="1">
      <c r="A9228" s="202">
        <v>42529.0</v>
      </c>
      <c r="B9228" s="985" t="s">
        <v>343</v>
      </c>
      <c r="C9228" s="94" t="s">
        <v>3024</v>
      </c>
      <c r="D9228" s="94">
        <v>600.0</v>
      </c>
      <c r="E9228" s="94">
        <v>13.9993</v>
      </c>
      <c r="F9228" s="986">
        <v>0.6624189814814815</v>
      </c>
      <c r="G9228" s="94" t="s">
        <v>453</v>
      </c>
      <c r="H9228" s="987">
        <v>2.4</v>
      </c>
      <c r="I9228" s="988" t="s">
        <v>3145</v>
      </c>
      <c r="J9228" s="67">
        <f t="shared" si="522"/>
        <v>-8401.98</v>
      </c>
      <c r="L9228" s="70"/>
      <c r="M9228" s="934"/>
    </row>
    <row r="9229" ht="12.75" hidden="1" customHeight="1" outlineLevel="1">
      <c r="A9229" s="202">
        <v>42529.0</v>
      </c>
      <c r="B9229" s="985" t="s">
        <v>343</v>
      </c>
      <c r="C9229" s="94" t="s">
        <v>784</v>
      </c>
      <c r="D9229" s="286">
        <v>2800.0</v>
      </c>
      <c r="E9229" s="94">
        <v>5.059</v>
      </c>
      <c r="F9229" s="986">
        <v>0.6623148148148148</v>
      </c>
      <c r="G9229" s="94" t="s">
        <v>453</v>
      </c>
      <c r="H9229" s="987">
        <v>11.4</v>
      </c>
      <c r="I9229" s="988" t="s">
        <v>3145</v>
      </c>
      <c r="J9229" s="67">
        <f t="shared" si="522"/>
        <v>-14176.6</v>
      </c>
      <c r="L9229" s="70"/>
      <c r="M9229" s="934"/>
    </row>
    <row r="9230" ht="12.75" hidden="1" customHeight="1" outlineLevel="1">
      <c r="A9230" s="202">
        <v>42529.0</v>
      </c>
      <c r="B9230" s="985" t="s">
        <v>347</v>
      </c>
      <c r="C9230" s="94" t="s">
        <v>3024</v>
      </c>
      <c r="D9230" s="94">
        <v>200.0</v>
      </c>
      <c r="E9230" s="94">
        <v>13.98</v>
      </c>
      <c r="F9230" s="986">
        <v>0.4258449074074074</v>
      </c>
      <c r="G9230" s="94" t="s">
        <v>453</v>
      </c>
      <c r="H9230" s="987">
        <v>1.06</v>
      </c>
      <c r="I9230" s="988" t="s">
        <v>3145</v>
      </c>
      <c r="J9230" s="67">
        <f t="shared" si="522"/>
        <v>2794.94</v>
      </c>
      <c r="L9230" s="70"/>
      <c r="M9230" s="934"/>
    </row>
    <row r="9231" ht="12.75" hidden="1" customHeight="1" outlineLevel="1">
      <c r="A9231" s="202">
        <v>42531.0</v>
      </c>
      <c r="B9231" s="985" t="s">
        <v>343</v>
      </c>
      <c r="C9231" s="94" t="s">
        <v>1249</v>
      </c>
      <c r="D9231" s="94">
        <v>300.0</v>
      </c>
      <c r="E9231" s="94">
        <v>76.47</v>
      </c>
      <c r="F9231" s="998">
        <v>42531.62349537037</v>
      </c>
      <c r="G9231" s="94" t="s">
        <v>453</v>
      </c>
      <c r="H9231" s="987">
        <v>1.2</v>
      </c>
      <c r="I9231" s="988" t="s">
        <v>3145</v>
      </c>
      <c r="J9231" s="67">
        <f t="shared" si="522"/>
        <v>-22942.2</v>
      </c>
      <c r="L9231" s="70"/>
      <c r="M9231" s="934"/>
    </row>
    <row r="9232" ht="12.75" hidden="1" customHeight="1" outlineLevel="1">
      <c r="A9232" s="202">
        <v>42531.0</v>
      </c>
      <c r="B9232" s="985" t="s">
        <v>343</v>
      </c>
      <c r="C9232" s="94" t="s">
        <v>2936</v>
      </c>
      <c r="D9232" s="94">
        <v>300.0</v>
      </c>
      <c r="E9232" s="94">
        <v>36.79</v>
      </c>
      <c r="F9232" s="998">
        <v>42531.624375</v>
      </c>
      <c r="G9232" s="94" t="s">
        <v>453</v>
      </c>
      <c r="H9232" s="987">
        <v>1.3</v>
      </c>
      <c r="I9232" s="988" t="s">
        <v>3145</v>
      </c>
      <c r="J9232" s="67">
        <f t="shared" si="522"/>
        <v>-11038.3</v>
      </c>
      <c r="L9232" s="70"/>
      <c r="M9232" s="934"/>
    </row>
    <row r="9233" ht="12.75" hidden="1" customHeight="1" outlineLevel="1">
      <c r="A9233" s="202">
        <v>42531.0</v>
      </c>
      <c r="B9233" s="985" t="s">
        <v>343</v>
      </c>
      <c r="C9233" s="94" t="s">
        <v>1164</v>
      </c>
      <c r="D9233" s="94">
        <v>200.0</v>
      </c>
      <c r="E9233" s="94">
        <v>43.6099</v>
      </c>
      <c r="F9233" s="998">
        <v>42531.62489583333</v>
      </c>
      <c r="G9233" s="94" t="s">
        <v>453</v>
      </c>
      <c r="H9233" s="987">
        <v>1.0</v>
      </c>
      <c r="I9233" s="988" t="s">
        <v>3145</v>
      </c>
      <c r="J9233" s="67">
        <f t="shared" si="522"/>
        <v>-8722.98</v>
      </c>
      <c r="L9233" s="70"/>
      <c r="M9233" s="934"/>
    </row>
    <row r="9234" ht="12.75" hidden="1" customHeight="1" outlineLevel="1">
      <c r="A9234" s="202">
        <v>42535.0</v>
      </c>
      <c r="B9234" s="985" t="s">
        <v>343</v>
      </c>
      <c r="C9234" s="94" t="s">
        <v>605</v>
      </c>
      <c r="D9234" s="94">
        <v>100.0</v>
      </c>
      <c r="E9234" s="94">
        <v>78.6989</v>
      </c>
      <c r="F9234" s="998">
        <v>42535.645462962966</v>
      </c>
      <c r="G9234" s="94" t="s">
        <v>453</v>
      </c>
      <c r="H9234" s="987">
        <v>1.0</v>
      </c>
      <c r="I9234" s="988" t="s">
        <v>3145</v>
      </c>
      <c r="J9234" s="67">
        <f t="shared" si="522"/>
        <v>-7870.89</v>
      </c>
      <c r="L9234" s="70"/>
      <c r="M9234" s="934"/>
    </row>
    <row r="9235" ht="12.75" hidden="1" customHeight="1" outlineLevel="1">
      <c r="A9235" s="202">
        <v>42536.0</v>
      </c>
      <c r="B9235" s="985" t="s">
        <v>343</v>
      </c>
      <c r="C9235" s="94" t="s">
        <v>1162</v>
      </c>
      <c r="D9235" s="94">
        <v>30.0</v>
      </c>
      <c r="E9235" s="94">
        <v>153.4</v>
      </c>
      <c r="F9235" s="986">
        <v>0.4215625</v>
      </c>
      <c r="G9235" s="94" t="s">
        <v>453</v>
      </c>
      <c r="H9235" s="987">
        <v>1.0</v>
      </c>
      <c r="I9235" s="988" t="s">
        <v>3145</v>
      </c>
      <c r="J9235" s="67">
        <f t="shared" si="522"/>
        <v>-4603</v>
      </c>
      <c r="L9235" s="70"/>
      <c r="M9235" s="934"/>
    </row>
    <row r="9236" ht="12.75" hidden="1" customHeight="1" outlineLevel="1">
      <c r="A9236" s="202">
        <v>42544.0</v>
      </c>
      <c r="B9236" s="985" t="s">
        <v>347</v>
      </c>
      <c r="C9236" s="94" t="s">
        <v>1164</v>
      </c>
      <c r="D9236" s="94">
        <v>200.0</v>
      </c>
      <c r="E9236" s="94">
        <v>39.53</v>
      </c>
      <c r="F9236" s="998">
        <v>42544.65025462963</v>
      </c>
      <c r="G9236" s="94" t="s">
        <v>453</v>
      </c>
      <c r="H9236" s="987">
        <v>1.17</v>
      </c>
      <c r="I9236" s="988" t="s">
        <v>3145</v>
      </c>
      <c r="J9236" s="67">
        <f t="shared" si="522"/>
        <v>7904.83</v>
      </c>
      <c r="L9236" s="70"/>
      <c r="M9236" s="934"/>
    </row>
    <row r="9237" ht="12.75" hidden="1" customHeight="1" outlineLevel="1">
      <c r="A9237" s="202">
        <v>42550.0</v>
      </c>
      <c r="B9237" s="985" t="s">
        <v>347</v>
      </c>
      <c r="C9237" s="94" t="s">
        <v>1164</v>
      </c>
      <c r="D9237" s="94">
        <v>100.0</v>
      </c>
      <c r="E9237" s="94">
        <v>39.122</v>
      </c>
      <c r="F9237" s="986">
        <v>0.604212962962963</v>
      </c>
      <c r="G9237" s="94" t="s">
        <v>453</v>
      </c>
      <c r="H9237" s="987">
        <v>1.09</v>
      </c>
      <c r="I9237" s="988" t="s">
        <v>3145</v>
      </c>
      <c r="J9237" s="67">
        <f t="shared" si="522"/>
        <v>3911.11</v>
      </c>
      <c r="L9237" s="70"/>
      <c r="M9237" s="934"/>
    </row>
    <row r="9238" ht="12.75" hidden="1" customHeight="1" outlineLevel="1">
      <c r="A9238" s="202">
        <v>42550.0</v>
      </c>
      <c r="B9238" s="985" t="s">
        <v>343</v>
      </c>
      <c r="C9238" s="94" t="s">
        <v>1164</v>
      </c>
      <c r="D9238" s="94">
        <v>300.0</v>
      </c>
      <c r="E9238" s="94">
        <v>39.09</v>
      </c>
      <c r="F9238" s="986">
        <v>0.6036111111111111</v>
      </c>
      <c r="G9238" s="94" t="s">
        <v>453</v>
      </c>
      <c r="H9238" s="987">
        <v>1.4</v>
      </c>
      <c r="I9238" s="988" t="s">
        <v>3145</v>
      </c>
      <c r="J9238" s="67">
        <f t="shared" si="522"/>
        <v>-11728.4</v>
      </c>
      <c r="L9238" s="70"/>
      <c r="M9238" s="934"/>
    </row>
    <row r="9239" ht="12.75" hidden="1" customHeight="1" outlineLevel="1">
      <c r="A9239" s="202">
        <v>42562.0</v>
      </c>
      <c r="B9239" s="985" t="s">
        <v>343</v>
      </c>
      <c r="C9239" s="94" t="s">
        <v>1290</v>
      </c>
      <c r="D9239" s="94">
        <v>200.0</v>
      </c>
      <c r="E9239" s="94">
        <v>56.92</v>
      </c>
      <c r="F9239" s="986">
        <v>0.5036111111111111</v>
      </c>
      <c r="G9239" s="94" t="s">
        <v>453</v>
      </c>
      <c r="H9239" s="987">
        <v>1.0</v>
      </c>
      <c r="I9239" s="988" t="s">
        <v>3145</v>
      </c>
      <c r="J9239" s="67">
        <f t="shared" si="522"/>
        <v>-11385</v>
      </c>
      <c r="L9239" s="70"/>
      <c r="M9239" s="934"/>
    </row>
    <row r="9240" ht="12.75" hidden="1" customHeight="1" outlineLevel="1">
      <c r="A9240" s="202">
        <v>42562.0</v>
      </c>
      <c r="B9240" s="985" t="s">
        <v>347</v>
      </c>
      <c r="C9240" s="94" t="s">
        <v>344</v>
      </c>
      <c r="D9240" s="94">
        <v>250.0</v>
      </c>
      <c r="E9240" s="94">
        <v>53.081</v>
      </c>
      <c r="F9240" s="986">
        <v>0.5031134259259259</v>
      </c>
      <c r="G9240" s="94" t="s">
        <v>453</v>
      </c>
      <c r="H9240" s="987">
        <v>1.29</v>
      </c>
      <c r="I9240" s="988" t="s">
        <v>3145</v>
      </c>
      <c r="J9240" s="67">
        <f t="shared" si="522"/>
        <v>13268.96</v>
      </c>
      <c r="L9240" s="70"/>
      <c r="M9240" s="934"/>
    </row>
    <row r="9241" ht="12.75" hidden="1" customHeight="1" outlineLevel="1">
      <c r="A9241" s="202">
        <v>42565.0</v>
      </c>
      <c r="B9241" s="985" t="s">
        <v>343</v>
      </c>
      <c r="C9241" s="94" t="s">
        <v>1169</v>
      </c>
      <c r="D9241" s="94">
        <v>50.0</v>
      </c>
      <c r="E9241" s="94">
        <v>142.49</v>
      </c>
      <c r="F9241" s="986">
        <v>0.6340509259259259</v>
      </c>
      <c r="G9241" s="94" t="s">
        <v>453</v>
      </c>
      <c r="H9241" s="987">
        <v>1.0</v>
      </c>
      <c r="I9241" s="988" t="s">
        <v>3145</v>
      </c>
      <c r="J9241" s="67">
        <f t="shared" si="522"/>
        <v>-7125.5</v>
      </c>
      <c r="L9241" s="70"/>
      <c r="M9241" s="934"/>
    </row>
    <row r="9242" ht="12.75" hidden="1" customHeight="1" outlineLevel="1">
      <c r="A9242" s="202">
        <v>42587.0</v>
      </c>
      <c r="B9242" s="985" t="s">
        <v>343</v>
      </c>
      <c r="C9242" s="94" t="s">
        <v>1154</v>
      </c>
      <c r="D9242" s="94">
        <v>50.0</v>
      </c>
      <c r="E9242" s="94">
        <v>96.72</v>
      </c>
      <c r="F9242" s="998">
        <v>42587.454375</v>
      </c>
      <c r="G9242" s="94" t="s">
        <v>453</v>
      </c>
      <c r="H9242" s="987">
        <v>1.0</v>
      </c>
      <c r="I9242" s="988" t="s">
        <v>3145</v>
      </c>
      <c r="J9242" s="67">
        <f t="shared" si="522"/>
        <v>-4837</v>
      </c>
      <c r="K9242" s="994"/>
      <c r="L9242" s="70"/>
      <c r="M9242" s="934"/>
    </row>
    <row r="9243" ht="12.75" hidden="1" customHeight="1" outlineLevel="1">
      <c r="A9243" s="202">
        <v>42592.0</v>
      </c>
      <c r="B9243" s="992"/>
      <c r="C9243" s="32" t="s">
        <v>339</v>
      </c>
      <c r="D9243" s="1"/>
      <c r="F9243" s="1"/>
      <c r="G9243" s="1"/>
      <c r="H9243" s="68"/>
      <c r="I9243" s="76"/>
      <c r="K9243" s="994" t="s">
        <v>3374</v>
      </c>
      <c r="L9243" s="934"/>
      <c r="M9243" s="934"/>
    </row>
    <row r="9244" ht="12.75" hidden="1" customHeight="1" outlineLevel="1">
      <c r="A9244" s="202">
        <v>42592.0</v>
      </c>
      <c r="B9244" s="992"/>
      <c r="C9244" s="32" t="s">
        <v>429</v>
      </c>
      <c r="D9244" s="1"/>
      <c r="F9244" s="1"/>
      <c r="G9244" s="1"/>
      <c r="H9244" s="68"/>
      <c r="I9244" s="76"/>
      <c r="K9244" s="9" t="s">
        <v>3187</v>
      </c>
      <c r="L9244" s="934"/>
      <c r="M9244" s="934"/>
    </row>
    <row r="9245" ht="12.75" hidden="1" customHeight="1" outlineLevel="1">
      <c r="A9245" s="202">
        <v>42592.0</v>
      </c>
      <c r="B9245" s="992"/>
      <c r="C9245" s="32" t="s">
        <v>431</v>
      </c>
      <c r="D9245" s="1"/>
      <c r="F9245" s="1"/>
      <c r="G9245" s="1"/>
      <c r="H9245" s="68"/>
      <c r="I9245" s="76"/>
      <c r="K9245" s="7" t="s">
        <v>1126</v>
      </c>
      <c r="L9245" s="934"/>
      <c r="M9245" s="934"/>
    </row>
    <row r="9246" ht="12.75" hidden="1" customHeight="1" outlineLevel="1">
      <c r="A9246" s="202">
        <v>42592.0</v>
      </c>
      <c r="B9246" s="992"/>
      <c r="C9246" s="32" t="s">
        <v>433</v>
      </c>
      <c r="D9246" s="1"/>
      <c r="F9246" s="1"/>
      <c r="G9246" s="1"/>
      <c r="H9246" s="68"/>
      <c r="I9246" s="76"/>
      <c r="K9246" s="7" t="s">
        <v>1103</v>
      </c>
      <c r="L9246" s="934"/>
      <c r="M9246" s="934"/>
    </row>
    <row r="9247" ht="12.75" hidden="1" customHeight="1" outlineLevel="1">
      <c r="A9247" s="202">
        <v>42592.0</v>
      </c>
      <c r="B9247" s="992"/>
      <c r="C9247" s="32" t="s">
        <v>435</v>
      </c>
      <c r="D9247" s="1"/>
      <c r="F9247" s="1"/>
      <c r="G9247" s="1"/>
      <c r="H9247" s="68"/>
      <c r="I9247" s="76"/>
      <c r="K9247" s="9" t="s">
        <v>3331</v>
      </c>
      <c r="L9247" s="934"/>
      <c r="M9247" s="934"/>
    </row>
    <row r="9248" ht="12.75" hidden="1" customHeight="1" outlineLevel="1">
      <c r="A9248" s="202">
        <v>42592.0</v>
      </c>
      <c r="B9248" s="985" t="s">
        <v>347</v>
      </c>
      <c r="C9248" s="94" t="s">
        <v>1890</v>
      </c>
      <c r="D9248" s="286">
        <v>3000.0</v>
      </c>
      <c r="E9248" s="94">
        <v>8.423</v>
      </c>
      <c r="F9248" s="986">
        <v>0.6663425925925925</v>
      </c>
      <c r="G9248" s="94" t="s">
        <v>453</v>
      </c>
      <c r="H9248" s="987">
        <v>14.15</v>
      </c>
      <c r="I9248" s="988" t="s">
        <v>3145</v>
      </c>
      <c r="J9248" s="67">
        <f t="shared" ref="J9248:J9259" si="523">IF(B9248="SLD",D9248*E9248,-D9248*E9248)-H9248</f>
        <v>25254.85</v>
      </c>
      <c r="L9248" s="70"/>
      <c r="M9248" s="934"/>
    </row>
    <row r="9249" ht="12.75" hidden="1" customHeight="1" outlineLevel="1">
      <c r="A9249" s="202">
        <v>42592.0</v>
      </c>
      <c r="B9249" s="985" t="s">
        <v>347</v>
      </c>
      <c r="C9249" s="94" t="s">
        <v>2009</v>
      </c>
      <c r="D9249" s="286">
        <v>3000.0</v>
      </c>
      <c r="E9249" s="94">
        <v>13.571</v>
      </c>
      <c r="F9249" s="986">
        <v>0.6654976851851852</v>
      </c>
      <c r="G9249" s="94" t="s">
        <v>453</v>
      </c>
      <c r="H9249" s="987">
        <v>13.79</v>
      </c>
      <c r="I9249" s="988" t="s">
        <v>3145</v>
      </c>
      <c r="J9249" s="67">
        <f t="shared" si="523"/>
        <v>40699.21</v>
      </c>
      <c r="L9249" s="70"/>
      <c r="M9249" s="934"/>
    </row>
    <row r="9250" ht="12.75" hidden="1" customHeight="1" outlineLevel="1">
      <c r="A9250" s="202">
        <v>42592.0</v>
      </c>
      <c r="B9250" s="985" t="s">
        <v>347</v>
      </c>
      <c r="C9250" s="94" t="s">
        <v>1890</v>
      </c>
      <c r="D9250" s="286">
        <v>5000.0</v>
      </c>
      <c r="E9250" s="94">
        <v>8.42</v>
      </c>
      <c r="F9250" s="986">
        <v>0.6652893518518519</v>
      </c>
      <c r="G9250" s="94" t="s">
        <v>453</v>
      </c>
      <c r="H9250" s="987">
        <v>23.42</v>
      </c>
      <c r="I9250" s="988" t="s">
        <v>3145</v>
      </c>
      <c r="J9250" s="67">
        <f t="shared" si="523"/>
        <v>42076.58</v>
      </c>
      <c r="L9250" s="70"/>
      <c r="M9250" s="934"/>
    </row>
    <row r="9251" ht="12.75" hidden="1" customHeight="1" outlineLevel="1">
      <c r="A9251" s="202">
        <v>42592.0</v>
      </c>
      <c r="B9251" s="985" t="s">
        <v>347</v>
      </c>
      <c r="C9251" s="94" t="s">
        <v>3024</v>
      </c>
      <c r="D9251" s="286">
        <v>3000.0</v>
      </c>
      <c r="E9251" s="94">
        <v>14.4</v>
      </c>
      <c r="F9251" s="986">
        <v>0.6650462962962963</v>
      </c>
      <c r="G9251" s="94" t="s">
        <v>453</v>
      </c>
      <c r="H9251" s="987">
        <v>14.64</v>
      </c>
      <c r="I9251" s="988" t="s">
        <v>3145</v>
      </c>
      <c r="J9251" s="67">
        <f t="shared" si="523"/>
        <v>43185.36</v>
      </c>
      <c r="L9251" s="70"/>
      <c r="M9251" s="934"/>
    </row>
    <row r="9252" ht="12.75" hidden="1" customHeight="1" outlineLevel="1">
      <c r="A9252" s="122">
        <v>42593.0</v>
      </c>
      <c r="B9252" s="32" t="s">
        <v>343</v>
      </c>
      <c r="C9252" s="32" t="s">
        <v>1890</v>
      </c>
      <c r="D9252" s="983">
        <v>8000.0</v>
      </c>
      <c r="E9252" s="94">
        <v>8.72</v>
      </c>
      <c r="F9252" s="999">
        <v>42593.44789351852</v>
      </c>
      <c r="G9252" s="32" t="s">
        <v>453</v>
      </c>
      <c r="H9252" s="710">
        <v>32.1</v>
      </c>
      <c r="I9252" s="256"/>
      <c r="J9252" s="67">
        <f t="shared" si="523"/>
        <v>-69792.1</v>
      </c>
      <c r="L9252" s="70"/>
      <c r="M9252" s="934"/>
      <c r="N9252" s="94"/>
      <c r="O9252" s="94"/>
      <c r="P9252" s="94"/>
      <c r="Q9252" s="94"/>
      <c r="R9252" s="94"/>
      <c r="S9252" s="94"/>
      <c r="T9252" s="94"/>
      <c r="U9252" s="94"/>
      <c r="V9252" s="94"/>
      <c r="W9252" s="94"/>
      <c r="X9252" s="94"/>
      <c r="Y9252" s="94"/>
      <c r="Z9252" s="94"/>
      <c r="AA9252" s="94"/>
      <c r="AB9252" s="94"/>
      <c r="AC9252" s="94"/>
      <c r="AD9252" s="94"/>
      <c r="AE9252" s="94"/>
      <c r="AF9252" s="94"/>
      <c r="AG9252" s="94"/>
      <c r="AH9252" s="94"/>
    </row>
    <row r="9253" ht="12.75" hidden="1" customHeight="1" outlineLevel="1">
      <c r="A9253" s="122">
        <v>42593.0</v>
      </c>
      <c r="B9253" s="32" t="s">
        <v>343</v>
      </c>
      <c r="C9253" s="32" t="s">
        <v>3024</v>
      </c>
      <c r="D9253" s="983">
        <v>3000.0</v>
      </c>
      <c r="E9253" s="94">
        <v>14.693</v>
      </c>
      <c r="F9253" s="999">
        <v>42593.44820601852</v>
      </c>
      <c r="G9253" s="32" t="s">
        <v>453</v>
      </c>
      <c r="H9253" s="710">
        <v>13.3</v>
      </c>
      <c r="I9253" s="256"/>
      <c r="J9253" s="67">
        <f t="shared" si="523"/>
        <v>-44092.3</v>
      </c>
      <c r="L9253" s="70"/>
      <c r="M9253" s="934"/>
      <c r="N9253" s="94"/>
      <c r="O9253" s="94"/>
      <c r="P9253" s="94"/>
      <c r="Q9253" s="94"/>
      <c r="R9253" s="94"/>
      <c r="S9253" s="94"/>
      <c r="T9253" s="94"/>
      <c r="U9253" s="94"/>
      <c r="V9253" s="94"/>
      <c r="W9253" s="94"/>
      <c r="X9253" s="94"/>
      <c r="Y9253" s="94"/>
      <c r="Z9253" s="94"/>
      <c r="AA9253" s="94"/>
      <c r="AB9253" s="94"/>
      <c r="AC9253" s="94"/>
      <c r="AD9253" s="94"/>
      <c r="AE9253" s="94"/>
      <c r="AF9253" s="94"/>
      <c r="AG9253" s="94"/>
      <c r="AH9253" s="94"/>
    </row>
    <row r="9254" ht="12.75" hidden="1" customHeight="1" outlineLevel="1">
      <c r="A9254" s="122">
        <v>42593.0</v>
      </c>
      <c r="B9254" s="32" t="s">
        <v>343</v>
      </c>
      <c r="C9254" s="32" t="s">
        <v>2009</v>
      </c>
      <c r="D9254" s="983">
        <v>3000.0</v>
      </c>
      <c r="E9254" s="94">
        <v>13.724</v>
      </c>
      <c r="F9254" s="999">
        <v>42593.448796296296</v>
      </c>
      <c r="G9254" s="32" t="s">
        <v>453</v>
      </c>
      <c r="H9254" s="710">
        <v>14.6</v>
      </c>
      <c r="I9254" s="256"/>
      <c r="J9254" s="67">
        <f t="shared" si="523"/>
        <v>-41186.6</v>
      </c>
      <c r="L9254" s="70"/>
      <c r="M9254" s="934"/>
      <c r="N9254" s="94"/>
      <c r="O9254" s="94"/>
      <c r="P9254" s="94"/>
      <c r="Q9254" s="94"/>
      <c r="R9254" s="94"/>
      <c r="S9254" s="94"/>
      <c r="T9254" s="94"/>
      <c r="U9254" s="94"/>
      <c r="V9254" s="94"/>
      <c r="W9254" s="94"/>
      <c r="X9254" s="94"/>
      <c r="Y9254" s="94"/>
      <c r="Z9254" s="94"/>
      <c r="AA9254" s="94"/>
      <c r="AB9254" s="94"/>
      <c r="AC9254" s="94"/>
      <c r="AD9254" s="94"/>
      <c r="AE9254" s="94"/>
      <c r="AF9254" s="94"/>
      <c r="AG9254" s="94"/>
      <c r="AH9254" s="94"/>
    </row>
    <row r="9255" ht="12.75" hidden="1" customHeight="1" outlineLevel="1">
      <c r="A9255" s="122">
        <v>42593.0</v>
      </c>
      <c r="B9255" s="32" t="s">
        <v>347</v>
      </c>
      <c r="C9255" s="32" t="s">
        <v>2412</v>
      </c>
      <c r="D9255" s="32">
        <v>75.0</v>
      </c>
      <c r="E9255" s="94">
        <v>66.42</v>
      </c>
      <c r="F9255" s="999">
        <v>42593.45976851852</v>
      </c>
      <c r="G9255" s="32" t="s">
        <v>453</v>
      </c>
      <c r="H9255" s="710">
        <v>1.11</v>
      </c>
      <c r="I9255" s="256"/>
      <c r="J9255" s="67">
        <f t="shared" si="523"/>
        <v>4980.39</v>
      </c>
      <c r="L9255" s="70"/>
      <c r="M9255" s="934"/>
      <c r="N9255" s="94"/>
      <c r="O9255" s="94"/>
      <c r="P9255" s="94"/>
      <c r="Q9255" s="94"/>
      <c r="R9255" s="94"/>
      <c r="S9255" s="94"/>
      <c r="T9255" s="94"/>
      <c r="U9255" s="94"/>
      <c r="V9255" s="94"/>
      <c r="W9255" s="94"/>
      <c r="X9255" s="94"/>
      <c r="Y9255" s="94"/>
      <c r="Z9255" s="94"/>
      <c r="AA9255" s="94"/>
      <c r="AB9255" s="94"/>
      <c r="AC9255" s="94"/>
      <c r="AD9255" s="94"/>
      <c r="AE9255" s="94"/>
      <c r="AF9255" s="94"/>
      <c r="AG9255" s="94"/>
      <c r="AH9255" s="94"/>
    </row>
    <row r="9256" ht="12.75" hidden="1" customHeight="1" outlineLevel="1">
      <c r="A9256" s="122">
        <v>42593.0</v>
      </c>
      <c r="B9256" s="32" t="s">
        <v>347</v>
      </c>
      <c r="C9256" s="32" t="s">
        <v>1357</v>
      </c>
      <c r="D9256" s="32">
        <v>100.0</v>
      </c>
      <c r="E9256" s="94">
        <v>40.5302</v>
      </c>
      <c r="F9256" s="999">
        <v>42593.45994212963</v>
      </c>
      <c r="G9256" s="32" t="s">
        <v>453</v>
      </c>
      <c r="H9256" s="710">
        <v>1.09</v>
      </c>
      <c r="I9256" s="256"/>
      <c r="J9256" s="67">
        <f t="shared" si="523"/>
        <v>4051.93</v>
      </c>
      <c r="L9256" s="70"/>
      <c r="M9256" s="934"/>
      <c r="N9256" s="94"/>
      <c r="O9256" s="94"/>
      <c r="P9256" s="94"/>
      <c r="Q9256" s="94"/>
      <c r="R9256" s="94"/>
      <c r="S9256" s="94"/>
      <c r="T9256" s="94"/>
      <c r="U9256" s="94"/>
      <c r="V9256" s="94"/>
      <c r="W9256" s="94"/>
      <c r="X9256" s="94"/>
      <c r="Y9256" s="94"/>
      <c r="Z9256" s="94"/>
      <c r="AA9256" s="94"/>
      <c r="AB9256" s="94"/>
      <c r="AC9256" s="94"/>
      <c r="AD9256" s="94"/>
      <c r="AE9256" s="94"/>
      <c r="AF9256" s="94"/>
      <c r="AG9256" s="94"/>
      <c r="AH9256" s="94"/>
    </row>
    <row r="9257" ht="12.75" hidden="1" customHeight="1" outlineLevel="1">
      <c r="A9257" s="122">
        <v>42593.0</v>
      </c>
      <c r="B9257" s="32" t="s">
        <v>343</v>
      </c>
      <c r="C9257" s="32" t="s">
        <v>1486</v>
      </c>
      <c r="D9257" s="32">
        <v>50.0</v>
      </c>
      <c r="E9257" s="94">
        <v>80.4693</v>
      </c>
      <c r="F9257" s="999">
        <v>42593.46528935185</v>
      </c>
      <c r="G9257" s="32" t="s">
        <v>453</v>
      </c>
      <c r="H9257" s="710">
        <v>1.0</v>
      </c>
      <c r="I9257" s="256"/>
      <c r="J9257" s="67">
        <f t="shared" si="523"/>
        <v>-4024.465</v>
      </c>
      <c r="L9257" s="70"/>
      <c r="M9257" s="934"/>
      <c r="N9257" s="94"/>
      <c r="O9257" s="94"/>
      <c r="P9257" s="94"/>
      <c r="Q9257" s="94"/>
      <c r="R9257" s="94"/>
      <c r="S9257" s="94"/>
      <c r="T9257" s="94"/>
      <c r="U9257" s="94"/>
      <c r="V9257" s="94"/>
      <c r="W9257" s="94"/>
      <c r="X9257" s="94"/>
      <c r="Y9257" s="94"/>
      <c r="Z9257" s="94"/>
      <c r="AA9257" s="94"/>
      <c r="AB9257" s="94"/>
      <c r="AC9257" s="94"/>
      <c r="AD9257" s="94"/>
      <c r="AE9257" s="94"/>
      <c r="AF9257" s="94"/>
      <c r="AG9257" s="94"/>
      <c r="AH9257" s="94"/>
    </row>
    <row r="9258" ht="12.75" hidden="1" customHeight="1" outlineLevel="1">
      <c r="A9258" s="122">
        <v>42593.0</v>
      </c>
      <c r="B9258" s="32" t="s">
        <v>347</v>
      </c>
      <c r="C9258" s="32" t="s">
        <v>2936</v>
      </c>
      <c r="D9258" s="32">
        <v>150.0</v>
      </c>
      <c r="E9258" s="94">
        <v>32.18</v>
      </c>
      <c r="F9258" s="999">
        <v>42593.47079861111</v>
      </c>
      <c r="G9258" s="32" t="s">
        <v>453</v>
      </c>
      <c r="H9258" s="710">
        <v>1.11</v>
      </c>
      <c r="I9258" s="256"/>
      <c r="J9258" s="67">
        <f t="shared" si="523"/>
        <v>4825.89</v>
      </c>
      <c r="L9258" s="70"/>
      <c r="M9258" s="934"/>
      <c r="N9258" s="94"/>
      <c r="O9258" s="94"/>
      <c r="P9258" s="94"/>
      <c r="Q9258" s="94"/>
      <c r="R9258" s="94"/>
      <c r="S9258" s="94"/>
      <c r="T9258" s="94"/>
      <c r="U9258" s="94"/>
      <c r="V9258" s="94"/>
      <c r="W9258" s="94"/>
      <c r="X9258" s="94"/>
      <c r="Y9258" s="94"/>
      <c r="Z9258" s="94"/>
      <c r="AA9258" s="94"/>
      <c r="AB9258" s="94"/>
      <c r="AC9258" s="94"/>
      <c r="AD9258" s="94"/>
      <c r="AE9258" s="94"/>
      <c r="AF9258" s="94"/>
      <c r="AG9258" s="94"/>
      <c r="AH9258" s="94"/>
    </row>
    <row r="9259" ht="12.75" hidden="1" customHeight="1" outlineLevel="1">
      <c r="A9259" s="202">
        <v>42594.0</v>
      </c>
      <c r="B9259" s="985" t="s">
        <v>343</v>
      </c>
      <c r="C9259" s="94" t="s">
        <v>2936</v>
      </c>
      <c r="D9259" s="94">
        <v>200.0</v>
      </c>
      <c r="E9259" s="94">
        <v>32.42</v>
      </c>
      <c r="F9259" s="986">
        <v>0.42895833333333333</v>
      </c>
      <c r="G9259" s="94" t="s">
        <v>453</v>
      </c>
      <c r="H9259" s="987">
        <v>1.0</v>
      </c>
      <c r="I9259" s="988" t="s">
        <v>3145</v>
      </c>
      <c r="J9259" s="67">
        <f t="shared" si="523"/>
        <v>-6485</v>
      </c>
      <c r="L9259" s="70"/>
      <c r="M9259" s="934"/>
    </row>
    <row r="9260" ht="12.75" hidden="1" customHeight="1" outlineLevel="1">
      <c r="A9260" s="202">
        <v>42594.0</v>
      </c>
      <c r="B9260" s="992"/>
      <c r="C9260" s="32" t="s">
        <v>339</v>
      </c>
      <c r="D9260" s="1"/>
      <c r="F9260" s="1"/>
      <c r="G9260" s="1"/>
      <c r="H9260" s="68"/>
      <c r="I9260" s="76"/>
      <c r="K9260" s="994" t="s">
        <v>3375</v>
      </c>
      <c r="L9260" s="934"/>
      <c r="M9260" s="934"/>
    </row>
    <row r="9261" ht="12.75" hidden="1" customHeight="1" outlineLevel="1">
      <c r="A9261" s="202">
        <v>42594.0</v>
      </c>
      <c r="B9261" s="992"/>
      <c r="C9261" s="32" t="s">
        <v>429</v>
      </c>
      <c r="D9261" s="1"/>
      <c r="F9261" s="1"/>
      <c r="G9261" s="1"/>
      <c r="H9261" s="68"/>
      <c r="I9261" s="76"/>
      <c r="K9261" s="9" t="s">
        <v>3187</v>
      </c>
      <c r="L9261" s="934"/>
      <c r="M9261" s="934"/>
    </row>
    <row r="9262" ht="12.75" hidden="1" customHeight="1" outlineLevel="1">
      <c r="A9262" s="202">
        <v>42594.0</v>
      </c>
      <c r="B9262" s="992"/>
      <c r="C9262" s="32" t="s">
        <v>431</v>
      </c>
      <c r="D9262" s="1"/>
      <c r="F9262" s="1"/>
      <c r="G9262" s="1"/>
      <c r="H9262" s="68"/>
      <c r="I9262" s="76"/>
      <c r="K9262" s="7" t="s">
        <v>1126</v>
      </c>
      <c r="L9262" s="934"/>
      <c r="M9262" s="934"/>
    </row>
    <row r="9263" ht="12.75" hidden="1" customHeight="1" outlineLevel="1">
      <c r="A9263" s="202">
        <v>42594.0</v>
      </c>
      <c r="B9263" s="992"/>
      <c r="C9263" s="32" t="s">
        <v>433</v>
      </c>
      <c r="D9263" s="1"/>
      <c r="F9263" s="1"/>
      <c r="G9263" s="1"/>
      <c r="H9263" s="68"/>
      <c r="I9263" s="76"/>
      <c r="K9263" s="7" t="s">
        <v>1103</v>
      </c>
      <c r="L9263" s="934"/>
      <c r="M9263" s="934"/>
    </row>
    <row r="9264" ht="12.75" hidden="1" customHeight="1" outlineLevel="1">
      <c r="A9264" s="202">
        <v>42594.0</v>
      </c>
      <c r="B9264" s="992"/>
      <c r="C9264" s="32" t="s">
        <v>435</v>
      </c>
      <c r="D9264" s="1"/>
      <c r="F9264" s="1"/>
      <c r="G9264" s="1"/>
      <c r="H9264" s="68"/>
      <c r="I9264" s="76"/>
      <c r="K9264" s="9" t="s">
        <v>3331</v>
      </c>
      <c r="L9264" s="934"/>
      <c r="M9264" s="934"/>
    </row>
    <row r="9265" ht="12.75" hidden="1" customHeight="1" outlineLevel="1">
      <c r="A9265" s="202">
        <v>42606.0</v>
      </c>
      <c r="B9265" s="985" t="s">
        <v>347</v>
      </c>
      <c r="C9265" s="94" t="s">
        <v>1905</v>
      </c>
      <c r="D9265" s="286">
        <v>1000.0</v>
      </c>
      <c r="E9265" s="94">
        <v>20.162</v>
      </c>
      <c r="F9265" s="986">
        <v>0.6452430555555555</v>
      </c>
      <c r="G9265" s="94" t="s">
        <v>453</v>
      </c>
      <c r="H9265" s="987">
        <v>5.44</v>
      </c>
      <c r="I9265" s="988" t="s">
        <v>3145</v>
      </c>
      <c r="J9265" s="67">
        <f t="shared" ref="J9265:J9271" si="524">IF(B9265="SLD",D9265*E9265,-D9265*E9265)-H9265</f>
        <v>20156.56</v>
      </c>
      <c r="L9265" s="70"/>
      <c r="M9265" s="934"/>
    </row>
    <row r="9266" ht="12.75" hidden="1" customHeight="1" outlineLevel="1">
      <c r="A9266" s="202">
        <v>42606.0</v>
      </c>
      <c r="B9266" s="985" t="s">
        <v>347</v>
      </c>
      <c r="C9266" s="94" t="s">
        <v>1821</v>
      </c>
      <c r="D9266" s="94">
        <v>750.0</v>
      </c>
      <c r="E9266" s="94">
        <v>26.76</v>
      </c>
      <c r="F9266" s="986">
        <v>0.6450115740740741</v>
      </c>
      <c r="G9266" s="94" t="s">
        <v>453</v>
      </c>
      <c r="H9266" s="987">
        <v>3.49</v>
      </c>
      <c r="I9266" s="988" t="s">
        <v>3145</v>
      </c>
      <c r="J9266" s="67">
        <f t="shared" si="524"/>
        <v>20066.51</v>
      </c>
      <c r="L9266" s="70"/>
      <c r="M9266" s="934"/>
    </row>
    <row r="9267" ht="12.75" hidden="1" customHeight="1" outlineLevel="1">
      <c r="A9267" s="202">
        <v>42606.0</v>
      </c>
      <c r="B9267" s="985" t="s">
        <v>347</v>
      </c>
      <c r="C9267" s="94" t="s">
        <v>3024</v>
      </c>
      <c r="D9267" s="286">
        <v>2500.0</v>
      </c>
      <c r="E9267" s="94">
        <v>12.92</v>
      </c>
      <c r="F9267" s="986">
        <v>0.6419791666666667</v>
      </c>
      <c r="G9267" s="94" t="s">
        <v>453</v>
      </c>
      <c r="H9267" s="987">
        <v>10.7</v>
      </c>
      <c r="I9267" s="988" t="s">
        <v>3145</v>
      </c>
      <c r="J9267" s="67">
        <f t="shared" si="524"/>
        <v>32289.3</v>
      </c>
      <c r="L9267" s="70"/>
      <c r="M9267" s="934"/>
    </row>
    <row r="9268" ht="12.75" hidden="1" customHeight="1" outlineLevel="1">
      <c r="A9268" s="202">
        <v>42606.0</v>
      </c>
      <c r="B9268" s="985" t="s">
        <v>347</v>
      </c>
      <c r="C9268" s="94" t="s">
        <v>1890</v>
      </c>
      <c r="D9268" s="286">
        <v>8000.0</v>
      </c>
      <c r="E9268" s="94">
        <v>7.95</v>
      </c>
      <c r="F9268" s="986">
        <v>0.6416203703703703</v>
      </c>
      <c r="G9268" s="94" t="s">
        <v>453</v>
      </c>
      <c r="H9268" s="987">
        <v>33.39</v>
      </c>
      <c r="I9268" s="988" t="s">
        <v>3145</v>
      </c>
      <c r="J9268" s="67">
        <f t="shared" si="524"/>
        <v>63566.61</v>
      </c>
      <c r="L9268" s="70"/>
      <c r="M9268" s="934"/>
    </row>
    <row r="9269" ht="12.75" hidden="1" customHeight="1" outlineLevel="1">
      <c r="A9269" s="202">
        <v>42606.0</v>
      </c>
      <c r="B9269" s="985" t="s">
        <v>347</v>
      </c>
      <c r="C9269" s="94" t="s">
        <v>784</v>
      </c>
      <c r="D9269" s="286">
        <v>8000.0</v>
      </c>
      <c r="E9269" s="94">
        <v>5.65</v>
      </c>
      <c r="F9269" s="986">
        <v>0.6412152777777778</v>
      </c>
      <c r="G9269" s="94" t="s">
        <v>453</v>
      </c>
      <c r="H9269" s="987">
        <v>33.19</v>
      </c>
      <c r="I9269" s="988" t="s">
        <v>3145</v>
      </c>
      <c r="J9269" s="67">
        <f t="shared" si="524"/>
        <v>45166.81</v>
      </c>
      <c r="L9269" s="70"/>
      <c r="M9269" s="934"/>
    </row>
    <row r="9270" ht="12.75" hidden="1" customHeight="1" outlineLevel="1">
      <c r="A9270" s="202">
        <v>42606.0</v>
      </c>
      <c r="B9270" s="985" t="s">
        <v>347</v>
      </c>
      <c r="C9270" s="94" t="s">
        <v>1893</v>
      </c>
      <c r="D9270" s="286">
        <v>3500.0</v>
      </c>
      <c r="E9270" s="94">
        <v>11.061</v>
      </c>
      <c r="F9270" s="986">
        <v>0.6409606481481481</v>
      </c>
      <c r="G9270" s="94" t="s">
        <v>453</v>
      </c>
      <c r="H9270" s="987">
        <v>18.34</v>
      </c>
      <c r="I9270" s="988" t="s">
        <v>3145</v>
      </c>
      <c r="J9270" s="67">
        <f t="shared" si="524"/>
        <v>38695.16</v>
      </c>
      <c r="L9270" s="70"/>
      <c r="M9270" s="934"/>
    </row>
    <row r="9271" ht="12.75" hidden="1" customHeight="1" outlineLevel="1">
      <c r="A9271" s="202">
        <v>42606.0</v>
      </c>
      <c r="B9271" s="985" t="s">
        <v>347</v>
      </c>
      <c r="C9271" s="94" t="s">
        <v>2009</v>
      </c>
      <c r="D9271" s="286">
        <v>3100.0</v>
      </c>
      <c r="E9271" s="94">
        <v>13.111</v>
      </c>
      <c r="F9271" s="986">
        <v>0.6407060185185185</v>
      </c>
      <c r="G9271" s="94" t="s">
        <v>453</v>
      </c>
      <c r="H9271" s="987">
        <v>14.59</v>
      </c>
      <c r="I9271" s="988" t="s">
        <v>3145</v>
      </c>
      <c r="J9271" s="67">
        <f t="shared" si="524"/>
        <v>40629.51</v>
      </c>
      <c r="L9271" s="70"/>
      <c r="M9271" s="934"/>
    </row>
    <row r="9272" ht="12.75" hidden="1" customHeight="1" outlineLevel="1">
      <c r="A9272" s="202">
        <v>42606.0</v>
      </c>
      <c r="B9272" s="992"/>
      <c r="C9272" s="32" t="s">
        <v>339</v>
      </c>
      <c r="D9272" s="1"/>
      <c r="F9272" s="1"/>
      <c r="G9272" s="1"/>
      <c r="H9272" s="68"/>
      <c r="I9272" s="76"/>
      <c r="K9272" s="994" t="s">
        <v>3375</v>
      </c>
      <c r="L9272" s="934"/>
      <c r="M9272" s="934"/>
    </row>
    <row r="9273" ht="12.75" hidden="1" customHeight="1" outlineLevel="1">
      <c r="A9273" s="202">
        <v>42606.0</v>
      </c>
      <c r="B9273" s="992"/>
      <c r="C9273" s="32" t="s">
        <v>429</v>
      </c>
      <c r="D9273" s="1"/>
      <c r="F9273" s="1"/>
      <c r="G9273" s="1"/>
      <c r="H9273" s="68"/>
      <c r="I9273" s="76"/>
      <c r="K9273" s="9" t="s">
        <v>3187</v>
      </c>
      <c r="L9273" s="934"/>
      <c r="M9273" s="934"/>
    </row>
    <row r="9274" ht="12.75" hidden="1" customHeight="1" outlineLevel="1">
      <c r="A9274" s="202">
        <v>42606.0</v>
      </c>
      <c r="B9274" s="992"/>
      <c r="C9274" s="32" t="s">
        <v>431</v>
      </c>
      <c r="D9274" s="1"/>
      <c r="F9274" s="1"/>
      <c r="G9274" s="1"/>
      <c r="H9274" s="68"/>
      <c r="I9274" s="76"/>
      <c r="K9274" s="7" t="s">
        <v>1126</v>
      </c>
      <c r="L9274" s="934"/>
      <c r="M9274" s="934"/>
    </row>
    <row r="9275" ht="12.75" hidden="1" customHeight="1" outlineLevel="1">
      <c r="A9275" s="202">
        <v>42606.0</v>
      </c>
      <c r="B9275" s="992"/>
      <c r="C9275" s="32" t="s">
        <v>433</v>
      </c>
      <c r="D9275" s="1"/>
      <c r="F9275" s="1"/>
      <c r="G9275" s="1"/>
      <c r="H9275" s="68"/>
      <c r="I9275" s="76"/>
      <c r="K9275" s="7" t="s">
        <v>1103</v>
      </c>
      <c r="L9275" s="934"/>
      <c r="M9275" s="934"/>
    </row>
    <row r="9276" ht="12.75" hidden="1" customHeight="1" outlineLevel="1">
      <c r="A9276" s="202">
        <v>42606.0</v>
      </c>
      <c r="B9276" s="992"/>
      <c r="C9276" s="32" t="s">
        <v>435</v>
      </c>
      <c r="D9276" s="1"/>
      <c r="F9276" s="1"/>
      <c r="G9276" s="1"/>
      <c r="H9276" s="68"/>
      <c r="I9276" s="76"/>
      <c r="K9276" s="9" t="s">
        <v>3331</v>
      </c>
      <c r="L9276" s="934"/>
      <c r="M9276" s="934"/>
    </row>
    <row r="9277" ht="12.75" hidden="1" customHeight="1" outlineLevel="1">
      <c r="A9277" s="202">
        <v>42614.0</v>
      </c>
      <c r="B9277" s="985" t="s">
        <v>343</v>
      </c>
      <c r="C9277" s="94" t="s">
        <v>1521</v>
      </c>
      <c r="D9277" s="94">
        <v>30.0</v>
      </c>
      <c r="E9277" s="94">
        <v>170.0089</v>
      </c>
      <c r="F9277" s="998">
        <v>42614.482523148145</v>
      </c>
      <c r="G9277" s="94" t="s">
        <v>453</v>
      </c>
      <c r="H9277" s="987">
        <v>1.0</v>
      </c>
      <c r="I9277" s="988" t="s">
        <v>3145</v>
      </c>
      <c r="J9277" s="67">
        <f>IF(B9277="SLD",D9277*E9277,-D9277*E9277)-H9277</f>
        <v>-5101.267</v>
      </c>
      <c r="L9277" s="70"/>
      <c r="M9277" s="934"/>
    </row>
    <row r="9278" ht="12.75" hidden="1" customHeight="1" outlineLevel="1">
      <c r="A9278" s="202">
        <v>42615.0</v>
      </c>
      <c r="B9278" s="992"/>
      <c r="C9278" s="32" t="s">
        <v>339</v>
      </c>
      <c r="D9278" s="1"/>
      <c r="F9278" s="1"/>
      <c r="G9278" s="1"/>
      <c r="H9278" s="68"/>
      <c r="I9278" s="76"/>
      <c r="K9278" s="994" t="s">
        <v>3376</v>
      </c>
      <c r="L9278" s="934"/>
      <c r="M9278" s="934"/>
    </row>
    <row r="9279" ht="12.75" hidden="1" customHeight="1" outlineLevel="1">
      <c r="A9279" s="202">
        <v>42615.0</v>
      </c>
      <c r="B9279" s="992"/>
      <c r="C9279" s="32" t="s">
        <v>429</v>
      </c>
      <c r="D9279" s="1"/>
      <c r="F9279" s="1"/>
      <c r="G9279" s="1"/>
      <c r="H9279" s="68"/>
      <c r="I9279" s="76"/>
      <c r="K9279" s="9" t="s">
        <v>3187</v>
      </c>
      <c r="L9279" s="934"/>
      <c r="M9279" s="934"/>
    </row>
    <row r="9280" ht="12.75" hidden="1" customHeight="1" outlineLevel="1">
      <c r="A9280" s="202">
        <v>42615.0</v>
      </c>
      <c r="B9280" s="992"/>
      <c r="C9280" s="32" t="s">
        <v>431</v>
      </c>
      <c r="D9280" s="1"/>
      <c r="F9280" s="1"/>
      <c r="G9280" s="1"/>
      <c r="H9280" s="68"/>
      <c r="I9280" s="76"/>
      <c r="K9280" s="7" t="s">
        <v>1126</v>
      </c>
      <c r="L9280" s="934"/>
      <c r="M9280" s="934"/>
    </row>
    <row r="9281" ht="12.75" hidden="1" customHeight="1" outlineLevel="1">
      <c r="A9281" s="202">
        <v>42615.0</v>
      </c>
      <c r="B9281" s="992"/>
      <c r="C9281" s="32" t="s">
        <v>433</v>
      </c>
      <c r="D9281" s="1"/>
      <c r="F9281" s="1"/>
      <c r="G9281" s="1"/>
      <c r="H9281" s="68"/>
      <c r="I9281" s="76"/>
      <c r="K9281" s="7" t="s">
        <v>1103</v>
      </c>
      <c r="L9281" s="934"/>
      <c r="M9281" s="934"/>
    </row>
    <row r="9282" ht="12.75" hidden="1" customHeight="1" outlineLevel="1">
      <c r="A9282" s="202">
        <v>42615.0</v>
      </c>
      <c r="B9282" s="992"/>
      <c r="C9282" s="32" t="s">
        <v>435</v>
      </c>
      <c r="D9282" s="1"/>
      <c r="F9282" s="1"/>
      <c r="G9282" s="1"/>
      <c r="H9282" s="68"/>
      <c r="I9282" s="76"/>
      <c r="K9282" s="9" t="s">
        <v>3331</v>
      </c>
      <c r="L9282" s="934"/>
      <c r="M9282" s="934"/>
    </row>
    <row r="9283" ht="12.75" hidden="1" customHeight="1" outlineLevel="1">
      <c r="A9283" s="202">
        <v>42621.0</v>
      </c>
      <c r="B9283" s="985" t="s">
        <v>347</v>
      </c>
      <c r="C9283" s="94" t="s">
        <v>1221</v>
      </c>
      <c r="D9283" s="94">
        <v>50.0</v>
      </c>
      <c r="E9283" s="94">
        <v>46.87</v>
      </c>
      <c r="F9283" s="986">
        <v>0.6628935185185185</v>
      </c>
      <c r="G9283" s="94" t="s">
        <v>453</v>
      </c>
      <c r="H9283" s="987">
        <v>1.06</v>
      </c>
      <c r="I9283" s="988" t="s">
        <v>3145</v>
      </c>
      <c r="J9283" s="67">
        <f t="shared" ref="J9283:J9284" si="525">IF(B9283="SLD",D9283*E9283,-D9283*E9283)-H9283</f>
        <v>2342.44</v>
      </c>
      <c r="L9283" s="70"/>
      <c r="M9283" s="934"/>
    </row>
    <row r="9284" ht="12.75" hidden="1" customHeight="1" outlineLevel="1">
      <c r="A9284" s="202">
        <v>42621.0</v>
      </c>
      <c r="B9284" s="985" t="s">
        <v>347</v>
      </c>
      <c r="C9284" s="94" t="s">
        <v>346</v>
      </c>
      <c r="D9284" s="94">
        <v>50.0</v>
      </c>
      <c r="E9284" s="94">
        <v>105.43</v>
      </c>
      <c r="F9284" s="986">
        <v>0.6628009259259259</v>
      </c>
      <c r="G9284" s="94" t="s">
        <v>453</v>
      </c>
      <c r="H9284" s="987">
        <v>1.12</v>
      </c>
      <c r="I9284" s="988" t="s">
        <v>3145</v>
      </c>
      <c r="J9284" s="67">
        <f t="shared" si="525"/>
        <v>5270.38</v>
      </c>
      <c r="L9284" s="70"/>
      <c r="M9284" s="934"/>
    </row>
    <row r="9285" ht="12.75" hidden="1" customHeight="1" outlineLevel="1">
      <c r="A9285" s="202">
        <v>42621.0</v>
      </c>
      <c r="B9285" s="992"/>
      <c r="C9285" s="32" t="s">
        <v>339</v>
      </c>
      <c r="D9285" s="1"/>
      <c r="F9285" s="1"/>
      <c r="G9285" s="1"/>
      <c r="H9285" s="68"/>
      <c r="I9285" s="76"/>
      <c r="K9285" s="994" t="s">
        <v>3377</v>
      </c>
      <c r="L9285" s="934"/>
      <c r="M9285" s="934"/>
    </row>
    <row r="9286" ht="12.75" hidden="1" customHeight="1" outlineLevel="1">
      <c r="A9286" s="202">
        <v>42621.0</v>
      </c>
      <c r="B9286" s="992"/>
      <c r="C9286" s="32" t="s">
        <v>429</v>
      </c>
      <c r="D9286" s="1"/>
      <c r="F9286" s="1"/>
      <c r="G9286" s="1"/>
      <c r="H9286" s="68"/>
      <c r="I9286" s="76"/>
      <c r="K9286" s="9" t="s">
        <v>3187</v>
      </c>
      <c r="L9286" s="934"/>
      <c r="M9286" s="934"/>
    </row>
    <row r="9287" ht="12.75" hidden="1" customHeight="1" outlineLevel="1">
      <c r="A9287" s="202">
        <v>42621.0</v>
      </c>
      <c r="B9287" s="992"/>
      <c r="C9287" s="32" t="s">
        <v>431</v>
      </c>
      <c r="D9287" s="1"/>
      <c r="F9287" s="1"/>
      <c r="G9287" s="1"/>
      <c r="H9287" s="68"/>
      <c r="I9287" s="76"/>
      <c r="K9287" s="7" t="s">
        <v>1126</v>
      </c>
      <c r="L9287" s="934"/>
      <c r="M9287" s="934"/>
    </row>
    <row r="9288" ht="12.75" hidden="1" customHeight="1" outlineLevel="1">
      <c r="A9288" s="202">
        <v>42621.0</v>
      </c>
      <c r="B9288" s="992"/>
      <c r="C9288" s="32" t="s">
        <v>433</v>
      </c>
      <c r="D9288" s="1"/>
      <c r="F9288" s="1"/>
      <c r="G9288" s="1"/>
      <c r="H9288" s="68"/>
      <c r="I9288" s="76"/>
      <c r="K9288" s="7" t="s">
        <v>1103</v>
      </c>
      <c r="L9288" s="934"/>
      <c r="M9288" s="934"/>
    </row>
    <row r="9289" ht="12.75" hidden="1" customHeight="1" outlineLevel="1">
      <c r="A9289" s="202">
        <v>42621.0</v>
      </c>
      <c r="B9289" s="992"/>
      <c r="C9289" s="32" t="s">
        <v>435</v>
      </c>
      <c r="D9289" s="1"/>
      <c r="F9289" s="1"/>
      <c r="G9289" s="1"/>
      <c r="H9289" s="68"/>
      <c r="I9289" s="76"/>
      <c r="K9289" s="9" t="s">
        <v>3331</v>
      </c>
      <c r="L9289" s="934"/>
      <c r="M9289" s="934"/>
    </row>
    <row r="9290" ht="12.75" hidden="1" customHeight="1" outlineLevel="1">
      <c r="A9290" s="202">
        <v>42639.0</v>
      </c>
      <c r="B9290" s="985" t="s">
        <v>347</v>
      </c>
      <c r="C9290" s="94" t="s">
        <v>2936</v>
      </c>
      <c r="D9290" s="94">
        <v>350.0</v>
      </c>
      <c r="E9290" s="94">
        <v>30.141</v>
      </c>
      <c r="F9290" s="986">
        <v>0.46743055555555557</v>
      </c>
      <c r="G9290" s="94" t="s">
        <v>453</v>
      </c>
      <c r="H9290" s="987">
        <v>1.72</v>
      </c>
      <c r="I9290" s="988" t="s">
        <v>3145</v>
      </c>
      <c r="J9290" s="67">
        <f t="shared" ref="J9290:J9291" si="526">IF(B9290="SLD",D9290*E9290,-D9290*E9290)-H9290</f>
        <v>10547.63</v>
      </c>
      <c r="L9290" s="70"/>
      <c r="M9290" s="934"/>
    </row>
    <row r="9291" ht="12.75" hidden="1" customHeight="1" outlineLevel="1">
      <c r="A9291" s="202">
        <v>42647.0</v>
      </c>
      <c r="B9291" s="985" t="s">
        <v>347</v>
      </c>
      <c r="C9291" s="94" t="s">
        <v>1521</v>
      </c>
      <c r="D9291" s="94">
        <v>30.0</v>
      </c>
      <c r="E9291" s="94">
        <v>162.1801</v>
      </c>
      <c r="F9291" s="986">
        <v>0.5761111111111111</v>
      </c>
      <c r="G9291" s="94" t="s">
        <v>453</v>
      </c>
      <c r="H9291" s="987">
        <v>1.11</v>
      </c>
      <c r="I9291" s="988" t="s">
        <v>3145</v>
      </c>
      <c r="J9291" s="67">
        <f t="shared" si="526"/>
        <v>4864.293</v>
      </c>
      <c r="L9291" s="70"/>
      <c r="M9291" s="934"/>
    </row>
    <row r="9292" ht="12.75" hidden="1" customHeight="1" outlineLevel="1">
      <c r="A9292" s="202">
        <v>42647.0</v>
      </c>
      <c r="B9292" s="992"/>
      <c r="C9292" s="32" t="s">
        <v>339</v>
      </c>
      <c r="D9292" s="1"/>
      <c r="F9292" s="1"/>
      <c r="G9292" s="1"/>
      <c r="H9292" s="68"/>
      <c r="I9292" s="76"/>
      <c r="K9292" s="994" t="s">
        <v>3377</v>
      </c>
      <c r="L9292" s="934"/>
      <c r="M9292" s="934"/>
    </row>
    <row r="9293" ht="12.75" hidden="1" customHeight="1" outlineLevel="1">
      <c r="A9293" s="202">
        <v>42647.0</v>
      </c>
      <c r="B9293" s="992"/>
      <c r="C9293" s="32" t="s">
        <v>429</v>
      </c>
      <c r="D9293" s="1"/>
      <c r="F9293" s="1"/>
      <c r="G9293" s="1"/>
      <c r="H9293" s="68"/>
      <c r="I9293" s="76"/>
      <c r="K9293" s="9" t="s">
        <v>3187</v>
      </c>
      <c r="L9293" s="934"/>
      <c r="M9293" s="934"/>
    </row>
    <row r="9294" ht="12.75" hidden="1" customHeight="1" outlineLevel="1">
      <c r="A9294" s="202">
        <v>42647.0</v>
      </c>
      <c r="B9294" s="992"/>
      <c r="C9294" s="32" t="s">
        <v>431</v>
      </c>
      <c r="D9294" s="1"/>
      <c r="F9294" s="1"/>
      <c r="G9294" s="1"/>
      <c r="H9294" s="68"/>
      <c r="I9294" s="76"/>
      <c r="K9294" s="7" t="s">
        <v>1126</v>
      </c>
      <c r="L9294" s="934"/>
      <c r="M9294" s="934"/>
    </row>
    <row r="9295" ht="12.75" hidden="1" customHeight="1" outlineLevel="1">
      <c r="A9295" s="202">
        <v>42647.0</v>
      </c>
      <c r="B9295" s="992"/>
      <c r="C9295" s="32" t="s">
        <v>433</v>
      </c>
      <c r="D9295" s="1"/>
      <c r="F9295" s="1"/>
      <c r="G9295" s="1"/>
      <c r="H9295" s="68"/>
      <c r="I9295" s="76"/>
      <c r="K9295" s="7" t="s">
        <v>1103</v>
      </c>
      <c r="L9295" s="934"/>
      <c r="M9295" s="934"/>
    </row>
    <row r="9296" ht="12.75" hidden="1" customHeight="1" outlineLevel="1">
      <c r="A9296" s="202">
        <v>42647.0</v>
      </c>
      <c r="B9296" s="992"/>
      <c r="C9296" s="32" t="s">
        <v>435</v>
      </c>
      <c r="D9296" s="1"/>
      <c r="F9296" s="1"/>
      <c r="G9296" s="1"/>
      <c r="H9296" s="68"/>
      <c r="I9296" s="76"/>
      <c r="K9296" s="9" t="s">
        <v>3331</v>
      </c>
      <c r="L9296" s="934"/>
      <c r="M9296" s="934"/>
    </row>
    <row r="9297" ht="12.75" hidden="1" customHeight="1" outlineLevel="1">
      <c r="A9297" s="202">
        <v>42648.0</v>
      </c>
      <c r="B9297" s="985" t="s">
        <v>347</v>
      </c>
      <c r="C9297" s="94" t="s">
        <v>3006</v>
      </c>
      <c r="D9297" s="94">
        <v>50.0</v>
      </c>
      <c r="E9297" s="94">
        <v>97.61</v>
      </c>
      <c r="F9297" s="986">
        <v>0.46630787037037036</v>
      </c>
      <c r="G9297" s="94" t="s">
        <v>453</v>
      </c>
      <c r="H9297" s="987">
        <v>1.11</v>
      </c>
      <c r="I9297" s="988" t="s">
        <v>3145</v>
      </c>
      <c r="J9297" s="67">
        <f>IF(B9297="SLD",D9297*E9297,-D9297*E9297)-H9297</f>
        <v>4879.39</v>
      </c>
      <c r="L9297" s="70"/>
      <c r="M9297" s="934"/>
    </row>
    <row r="9298" ht="12.75" hidden="1" customHeight="1" outlineLevel="1">
      <c r="A9298" s="202">
        <v>42648.0</v>
      </c>
      <c r="B9298" s="992"/>
      <c r="C9298" s="32" t="s">
        <v>339</v>
      </c>
      <c r="D9298" s="1"/>
      <c r="F9298" s="1"/>
      <c r="G9298" s="1"/>
      <c r="H9298" s="68"/>
      <c r="I9298" s="76"/>
      <c r="K9298" s="994" t="s">
        <v>3377</v>
      </c>
      <c r="L9298" s="934"/>
      <c r="M9298" s="934"/>
    </row>
    <row r="9299" ht="12.75" hidden="1" customHeight="1" outlineLevel="1">
      <c r="A9299" s="202">
        <v>42648.0</v>
      </c>
      <c r="B9299" s="992"/>
      <c r="C9299" s="32" t="s">
        <v>429</v>
      </c>
      <c r="D9299" s="1"/>
      <c r="F9299" s="1"/>
      <c r="G9299" s="1"/>
      <c r="H9299" s="68"/>
      <c r="I9299" s="76"/>
      <c r="K9299" s="9" t="s">
        <v>3187</v>
      </c>
      <c r="L9299" s="934"/>
      <c r="M9299" s="934"/>
    </row>
    <row r="9300" ht="12.75" hidden="1" customHeight="1" outlineLevel="1">
      <c r="A9300" s="202">
        <v>42648.0</v>
      </c>
      <c r="B9300" s="992"/>
      <c r="C9300" s="32" t="s">
        <v>431</v>
      </c>
      <c r="D9300" s="1"/>
      <c r="F9300" s="1"/>
      <c r="G9300" s="1"/>
      <c r="H9300" s="68"/>
      <c r="I9300" s="76"/>
      <c r="K9300" s="7" t="s">
        <v>1126</v>
      </c>
      <c r="L9300" s="934"/>
      <c r="M9300" s="934"/>
    </row>
    <row r="9301" ht="12.75" hidden="1" customHeight="1" outlineLevel="1">
      <c r="A9301" s="202">
        <v>42648.0</v>
      </c>
      <c r="B9301" s="992"/>
      <c r="C9301" s="32" t="s">
        <v>433</v>
      </c>
      <c r="D9301" s="1"/>
      <c r="F9301" s="1"/>
      <c r="G9301" s="1"/>
      <c r="H9301" s="68"/>
      <c r="I9301" s="76"/>
      <c r="K9301" s="7" t="s">
        <v>1103</v>
      </c>
      <c r="L9301" s="934"/>
      <c r="M9301" s="934"/>
    </row>
    <row r="9302" ht="12.75" hidden="1" customHeight="1" outlineLevel="1">
      <c r="A9302" s="202">
        <v>42648.0</v>
      </c>
      <c r="B9302" s="992"/>
      <c r="C9302" s="32" t="s">
        <v>435</v>
      </c>
      <c r="D9302" s="1"/>
      <c r="F9302" s="1"/>
      <c r="G9302" s="1"/>
      <c r="H9302" s="68"/>
      <c r="I9302" s="76"/>
      <c r="K9302" s="9" t="s">
        <v>3331</v>
      </c>
      <c r="L9302" s="934"/>
      <c r="M9302" s="934"/>
    </row>
    <row r="9303" ht="12.75" hidden="1" customHeight="1" outlineLevel="1">
      <c r="A9303" s="202">
        <v>42649.0</v>
      </c>
      <c r="B9303" s="985" t="s">
        <v>347</v>
      </c>
      <c r="C9303" s="94" t="s">
        <v>1890</v>
      </c>
      <c r="D9303" s="286">
        <v>1300.0</v>
      </c>
      <c r="E9303" s="94">
        <v>8.291</v>
      </c>
      <c r="F9303" s="986">
        <v>0.4461111111111111</v>
      </c>
      <c r="G9303" s="94" t="s">
        <v>453</v>
      </c>
      <c r="H9303" s="987">
        <v>5.79</v>
      </c>
      <c r="I9303" s="988" t="s">
        <v>3145</v>
      </c>
      <c r="J9303" s="67">
        <f t="shared" ref="J9303:J9305" si="527">IF(B9303="SLD",D9303*E9303,-D9303*E9303)-H9303</f>
        <v>10772.51</v>
      </c>
      <c r="L9303" s="70"/>
      <c r="M9303" s="934"/>
    </row>
    <row r="9304" ht="12.75" hidden="1" customHeight="1" outlineLevel="1">
      <c r="A9304" s="202">
        <v>42649.0</v>
      </c>
      <c r="B9304" s="985" t="s">
        <v>347</v>
      </c>
      <c r="C9304" s="94" t="s">
        <v>1893</v>
      </c>
      <c r="D9304" s="286">
        <v>1000.0</v>
      </c>
      <c r="E9304" s="94">
        <v>10.39</v>
      </c>
      <c r="F9304" s="986">
        <v>0.44586805555555553</v>
      </c>
      <c r="G9304" s="94" t="s">
        <v>453</v>
      </c>
      <c r="H9304" s="987">
        <v>4.35</v>
      </c>
      <c r="I9304" s="988" t="s">
        <v>3145</v>
      </c>
      <c r="J9304" s="67">
        <f t="shared" si="527"/>
        <v>10385.65</v>
      </c>
      <c r="L9304" s="70"/>
      <c r="M9304" s="934"/>
    </row>
    <row r="9305" ht="12.75" hidden="1" customHeight="1" outlineLevel="1">
      <c r="A9305" s="202">
        <v>42649.0</v>
      </c>
      <c r="B9305" s="985" t="s">
        <v>347</v>
      </c>
      <c r="C9305" s="94" t="s">
        <v>1947</v>
      </c>
      <c r="D9305" s="94">
        <v>250.0</v>
      </c>
      <c r="E9305" s="94">
        <v>41.781</v>
      </c>
      <c r="F9305" s="986">
        <v>0.44570601851851854</v>
      </c>
      <c r="G9305" s="94" t="s">
        <v>453</v>
      </c>
      <c r="H9305" s="987">
        <v>1.26</v>
      </c>
      <c r="I9305" s="988" t="s">
        <v>3145</v>
      </c>
      <c r="J9305" s="67">
        <f t="shared" si="527"/>
        <v>10443.99</v>
      </c>
      <c r="L9305" s="70"/>
      <c r="M9305" s="934"/>
    </row>
    <row r="9306" ht="12.75" hidden="1" customHeight="1" outlineLevel="1">
      <c r="A9306" s="202">
        <v>42649.0</v>
      </c>
      <c r="B9306" s="992"/>
      <c r="C9306" s="32" t="s">
        <v>339</v>
      </c>
      <c r="D9306" s="1"/>
      <c r="F9306" s="1"/>
      <c r="G9306" s="1"/>
      <c r="H9306" s="68"/>
      <c r="I9306" s="76"/>
      <c r="K9306" s="994" t="s">
        <v>3377</v>
      </c>
      <c r="L9306" s="934"/>
      <c r="M9306" s="934"/>
    </row>
    <row r="9307" ht="12.75" hidden="1" customHeight="1" outlineLevel="1">
      <c r="A9307" s="202">
        <v>42649.0</v>
      </c>
      <c r="B9307" s="992"/>
      <c r="C9307" s="32" t="s">
        <v>429</v>
      </c>
      <c r="D9307" s="1"/>
      <c r="F9307" s="1"/>
      <c r="G9307" s="1"/>
      <c r="H9307" s="68"/>
      <c r="I9307" s="76"/>
      <c r="K9307" s="9" t="s">
        <v>3187</v>
      </c>
      <c r="L9307" s="934"/>
      <c r="M9307" s="934"/>
    </row>
    <row r="9308" ht="12.75" hidden="1" customHeight="1" outlineLevel="1">
      <c r="A9308" s="202">
        <v>42649.0</v>
      </c>
      <c r="B9308" s="992"/>
      <c r="C9308" s="32" t="s">
        <v>431</v>
      </c>
      <c r="D9308" s="1"/>
      <c r="F9308" s="1"/>
      <c r="G9308" s="1"/>
      <c r="H9308" s="68"/>
      <c r="I9308" s="76"/>
      <c r="K9308" s="7" t="s">
        <v>1126</v>
      </c>
      <c r="L9308" s="934"/>
      <c r="M9308" s="934"/>
    </row>
    <row r="9309" ht="12.75" hidden="1" customHeight="1" outlineLevel="1">
      <c r="A9309" s="202">
        <v>42649.0</v>
      </c>
      <c r="B9309" s="992"/>
      <c r="C9309" s="32" t="s">
        <v>433</v>
      </c>
      <c r="D9309" s="1"/>
      <c r="F9309" s="1"/>
      <c r="G9309" s="1"/>
      <c r="H9309" s="68"/>
      <c r="I9309" s="76"/>
      <c r="K9309" s="7" t="s">
        <v>1103</v>
      </c>
      <c r="L9309" s="934"/>
      <c r="M9309" s="934"/>
    </row>
    <row r="9310" ht="12.75" hidden="1" customHeight="1" outlineLevel="1">
      <c r="A9310" s="202">
        <v>42649.0</v>
      </c>
      <c r="B9310" s="992"/>
      <c r="C9310" s="32" t="s">
        <v>435</v>
      </c>
      <c r="D9310" s="1"/>
      <c r="F9310" s="1"/>
      <c r="G9310" s="1"/>
      <c r="H9310" s="68"/>
      <c r="I9310" s="76"/>
      <c r="K9310" s="9" t="s">
        <v>3331</v>
      </c>
      <c r="L9310" s="934"/>
      <c r="M9310" s="934"/>
    </row>
    <row r="9311" ht="12.75" hidden="1" customHeight="1" outlineLevel="1">
      <c r="A9311" s="202">
        <v>42653.0</v>
      </c>
      <c r="B9311" s="985" t="s">
        <v>343</v>
      </c>
      <c r="C9311" s="94" t="s">
        <v>1495</v>
      </c>
      <c r="D9311" s="94">
        <v>100.0</v>
      </c>
      <c r="E9311" s="94">
        <v>52.5792</v>
      </c>
      <c r="F9311" s="986">
        <v>0.4237384259259259</v>
      </c>
      <c r="G9311" s="94" t="s">
        <v>453</v>
      </c>
      <c r="H9311" s="987">
        <v>1.0</v>
      </c>
      <c r="I9311" s="988" t="s">
        <v>3145</v>
      </c>
      <c r="J9311" s="67">
        <f t="shared" ref="J9311:J9313" si="528">IF(B9311="SLD",D9311*E9311,-D9311*E9311)-H9311</f>
        <v>-5258.92</v>
      </c>
      <c r="L9311" s="70"/>
      <c r="M9311" s="934"/>
    </row>
    <row r="9312" ht="12.75" hidden="1" customHeight="1" outlineLevel="1">
      <c r="A9312" s="202">
        <v>42653.0</v>
      </c>
      <c r="B9312" s="985" t="s">
        <v>343</v>
      </c>
      <c r="C9312" s="94" t="s">
        <v>3380</v>
      </c>
      <c r="D9312" s="94">
        <v>300.0</v>
      </c>
      <c r="E9312" s="94">
        <v>23.049</v>
      </c>
      <c r="F9312" s="986">
        <v>0.40855324074074073</v>
      </c>
      <c r="G9312" s="94" t="s">
        <v>453</v>
      </c>
      <c r="H9312" s="987">
        <v>1.4</v>
      </c>
      <c r="I9312" s="988" t="s">
        <v>3145</v>
      </c>
      <c r="J9312" s="67">
        <f t="shared" si="528"/>
        <v>-6916.1</v>
      </c>
      <c r="L9312" s="70"/>
      <c r="M9312" s="934"/>
    </row>
    <row r="9313" ht="12.75" hidden="1" customHeight="1" outlineLevel="1">
      <c r="A9313" s="202">
        <v>42653.0</v>
      </c>
      <c r="B9313" s="985" t="s">
        <v>347</v>
      </c>
      <c r="C9313" s="94" t="s">
        <v>2412</v>
      </c>
      <c r="D9313" s="94">
        <v>125.0</v>
      </c>
      <c r="E9313" s="94">
        <v>91.791</v>
      </c>
      <c r="F9313" s="986">
        <v>0.40814814814814815</v>
      </c>
      <c r="G9313" s="94" t="s">
        <v>453</v>
      </c>
      <c r="H9313" s="987">
        <v>1.27</v>
      </c>
      <c r="I9313" s="988" t="s">
        <v>3145</v>
      </c>
      <c r="J9313" s="67">
        <f t="shared" si="528"/>
        <v>11472.605</v>
      </c>
      <c r="L9313" s="70"/>
      <c r="M9313" s="934"/>
    </row>
    <row r="9314" ht="12.75" hidden="1" customHeight="1" outlineLevel="1">
      <c r="A9314" s="202">
        <v>42653.0</v>
      </c>
      <c r="B9314" s="992"/>
      <c r="C9314" s="32" t="s">
        <v>339</v>
      </c>
      <c r="D9314" s="1"/>
      <c r="F9314" s="1"/>
      <c r="G9314" s="1"/>
      <c r="H9314" s="68"/>
      <c r="I9314" s="76"/>
      <c r="K9314" s="474" t="s">
        <v>3382</v>
      </c>
      <c r="L9314" s="934"/>
      <c r="M9314" s="934"/>
    </row>
    <row r="9315" ht="12.75" hidden="1" customHeight="1" outlineLevel="1">
      <c r="A9315" s="202">
        <v>42653.0</v>
      </c>
      <c r="B9315" s="992"/>
      <c r="C9315" s="32" t="s">
        <v>429</v>
      </c>
      <c r="D9315" s="1"/>
      <c r="F9315" s="1"/>
      <c r="G9315" s="1"/>
      <c r="H9315" s="68"/>
      <c r="I9315" s="76"/>
      <c r="K9315" s="9" t="s">
        <v>3187</v>
      </c>
      <c r="L9315" s="934"/>
      <c r="M9315" s="934"/>
    </row>
    <row r="9316" ht="12.75" hidden="1" customHeight="1" outlineLevel="1">
      <c r="A9316" s="202">
        <v>42653.0</v>
      </c>
      <c r="B9316" s="992"/>
      <c r="C9316" s="32" t="s">
        <v>431</v>
      </c>
      <c r="D9316" s="1"/>
      <c r="F9316" s="1"/>
      <c r="G9316" s="1"/>
      <c r="H9316" s="68"/>
      <c r="I9316" s="76"/>
      <c r="K9316" s="7" t="s">
        <v>1126</v>
      </c>
      <c r="L9316" s="934"/>
      <c r="M9316" s="934"/>
    </row>
    <row r="9317" ht="12.75" hidden="1" customHeight="1" outlineLevel="1">
      <c r="A9317" s="202">
        <v>42653.0</v>
      </c>
      <c r="B9317" s="992"/>
      <c r="C9317" s="32" t="s">
        <v>433</v>
      </c>
      <c r="D9317" s="1"/>
      <c r="F9317" s="1"/>
      <c r="G9317" s="1"/>
      <c r="H9317" s="68"/>
      <c r="I9317" s="76"/>
      <c r="K9317" s="7" t="s">
        <v>1103</v>
      </c>
      <c r="L9317" s="934"/>
      <c r="M9317" s="934"/>
    </row>
    <row r="9318" ht="12.75" hidden="1" customHeight="1" outlineLevel="1">
      <c r="A9318" s="202">
        <v>42653.0</v>
      </c>
      <c r="B9318" s="992"/>
      <c r="C9318" s="32" t="s">
        <v>435</v>
      </c>
      <c r="D9318" s="1"/>
      <c r="F9318" s="1"/>
      <c r="G9318" s="1"/>
      <c r="H9318" s="68"/>
      <c r="I9318" s="76"/>
      <c r="K9318" s="9" t="s">
        <v>3331</v>
      </c>
      <c r="L9318" s="934"/>
      <c r="M9318" s="934"/>
    </row>
    <row r="9319" ht="12.75" hidden="1" customHeight="1" outlineLevel="1">
      <c r="A9319" s="202">
        <v>42654.0</v>
      </c>
      <c r="B9319" s="985" t="s">
        <v>347</v>
      </c>
      <c r="C9319" s="94" t="s">
        <v>1947</v>
      </c>
      <c r="D9319" s="94">
        <v>500.0</v>
      </c>
      <c r="E9319" s="94">
        <v>41.85</v>
      </c>
      <c r="F9319" s="986">
        <v>0.6355902777777778</v>
      </c>
      <c r="G9319" s="94" t="s">
        <v>453</v>
      </c>
      <c r="H9319" s="987">
        <v>3.02</v>
      </c>
      <c r="I9319" s="988" t="s">
        <v>3145</v>
      </c>
      <c r="J9319" s="67">
        <f t="shared" ref="J9319:J9324" si="529">IF(B9319="SLD",D9319*E9319,-D9319*E9319)-H9319</f>
        <v>20921.98</v>
      </c>
      <c r="L9319" s="70"/>
      <c r="M9319" s="934"/>
    </row>
    <row r="9320" ht="12.75" hidden="1" customHeight="1" outlineLevel="1">
      <c r="A9320" s="202">
        <v>42654.0</v>
      </c>
      <c r="B9320" s="985" t="s">
        <v>347</v>
      </c>
      <c r="C9320" s="94" t="s">
        <v>1890</v>
      </c>
      <c r="D9320" s="286">
        <v>2600.0</v>
      </c>
      <c r="E9320" s="94">
        <v>8.39</v>
      </c>
      <c r="F9320" s="986">
        <v>0.6299421296296296</v>
      </c>
      <c r="G9320" s="94" t="s">
        <v>453</v>
      </c>
      <c r="H9320" s="987">
        <v>11.28</v>
      </c>
      <c r="I9320" s="988" t="s">
        <v>3145</v>
      </c>
      <c r="J9320" s="67">
        <f t="shared" si="529"/>
        <v>21802.72</v>
      </c>
      <c r="L9320" s="70"/>
      <c r="M9320" s="934"/>
    </row>
    <row r="9321" ht="12.75" hidden="1" customHeight="1" outlineLevel="1">
      <c r="A9321" s="202">
        <v>42654.0</v>
      </c>
      <c r="B9321" s="985" t="s">
        <v>347</v>
      </c>
      <c r="C9321" s="94" t="s">
        <v>1893</v>
      </c>
      <c r="D9321" s="286">
        <v>2800.0</v>
      </c>
      <c r="E9321" s="94">
        <v>9.803</v>
      </c>
      <c r="F9321" s="986">
        <v>0.6297453703703704</v>
      </c>
      <c r="G9321" s="94" t="s">
        <v>453</v>
      </c>
      <c r="H9321" s="987">
        <v>14.93</v>
      </c>
      <c r="I9321" s="988" t="s">
        <v>3145</v>
      </c>
      <c r="J9321" s="67">
        <f t="shared" si="529"/>
        <v>27433.47</v>
      </c>
      <c r="L9321" s="70"/>
      <c r="M9321" s="934"/>
    </row>
    <row r="9322" ht="12.75" hidden="1" customHeight="1" outlineLevel="1">
      <c r="A9322" s="202">
        <v>42654.0</v>
      </c>
      <c r="B9322" s="985" t="s">
        <v>347</v>
      </c>
      <c r="C9322" s="94" t="s">
        <v>1893</v>
      </c>
      <c r="D9322" s="286">
        <v>1200.0</v>
      </c>
      <c r="E9322" s="94">
        <v>9.8201</v>
      </c>
      <c r="F9322" s="986">
        <v>0.6206944444444444</v>
      </c>
      <c r="G9322" s="94" t="s">
        <v>453</v>
      </c>
      <c r="H9322" s="987">
        <v>5.2</v>
      </c>
      <c r="I9322" s="988" t="s">
        <v>3145</v>
      </c>
      <c r="J9322" s="67">
        <f t="shared" si="529"/>
        <v>11778.92</v>
      </c>
      <c r="L9322" s="70"/>
      <c r="M9322" s="934"/>
    </row>
    <row r="9323" ht="12.75" hidden="1" customHeight="1" outlineLevel="1">
      <c r="A9323" s="202">
        <v>42654.0</v>
      </c>
      <c r="B9323" s="985" t="s">
        <v>347</v>
      </c>
      <c r="C9323" s="94" t="s">
        <v>1947</v>
      </c>
      <c r="D9323" s="94">
        <v>250.0</v>
      </c>
      <c r="E9323" s="94">
        <v>41.73</v>
      </c>
      <c r="F9323" s="986">
        <v>0.6205555555555555</v>
      </c>
      <c r="G9323" s="94" t="s">
        <v>453</v>
      </c>
      <c r="H9323" s="987">
        <v>1.26</v>
      </c>
      <c r="I9323" s="988" t="s">
        <v>3145</v>
      </c>
      <c r="J9323" s="67">
        <f t="shared" si="529"/>
        <v>10431.24</v>
      </c>
      <c r="L9323" s="70"/>
      <c r="M9323" s="934"/>
    </row>
    <row r="9324" ht="12.75" hidden="1" customHeight="1" outlineLevel="1">
      <c r="A9324" s="202">
        <v>42654.0</v>
      </c>
      <c r="B9324" s="985" t="s">
        <v>347</v>
      </c>
      <c r="C9324" s="94" t="s">
        <v>1890</v>
      </c>
      <c r="D9324" s="286">
        <v>1300.0</v>
      </c>
      <c r="E9324" s="94">
        <v>8.401</v>
      </c>
      <c r="F9324" s="986">
        <v>0.6204282407407408</v>
      </c>
      <c r="G9324" s="94" t="s">
        <v>453</v>
      </c>
      <c r="H9324" s="987">
        <v>5.99</v>
      </c>
      <c r="I9324" s="988" t="s">
        <v>3145</v>
      </c>
      <c r="J9324" s="67">
        <f t="shared" si="529"/>
        <v>10915.31</v>
      </c>
      <c r="L9324" s="70"/>
      <c r="M9324" s="934"/>
    </row>
    <row r="9325" ht="12.75" hidden="1" customHeight="1" outlineLevel="1">
      <c r="A9325" s="202">
        <v>42654.0</v>
      </c>
      <c r="B9325" s="992"/>
      <c r="C9325" s="32" t="s">
        <v>339</v>
      </c>
      <c r="D9325" s="1"/>
      <c r="F9325" s="1"/>
      <c r="G9325" s="1"/>
      <c r="H9325" s="68"/>
      <c r="I9325" s="76"/>
      <c r="K9325" s="994" t="s">
        <v>3386</v>
      </c>
      <c r="L9325" s="934"/>
      <c r="M9325" s="934"/>
    </row>
    <row r="9326" ht="12.75" hidden="1" customHeight="1" outlineLevel="1">
      <c r="A9326" s="202">
        <v>42654.0</v>
      </c>
      <c r="B9326" s="992"/>
      <c r="C9326" s="32" t="s">
        <v>429</v>
      </c>
      <c r="D9326" s="1"/>
      <c r="F9326" s="1"/>
      <c r="G9326" s="1"/>
      <c r="H9326" s="68"/>
      <c r="I9326" s="76"/>
      <c r="K9326" s="9" t="s">
        <v>3187</v>
      </c>
      <c r="L9326" s="934"/>
      <c r="M9326" s="934"/>
    </row>
    <row r="9327" ht="12.75" hidden="1" customHeight="1" outlineLevel="1">
      <c r="A9327" s="202">
        <v>42654.0</v>
      </c>
      <c r="B9327" s="992"/>
      <c r="C9327" s="32" t="s">
        <v>431</v>
      </c>
      <c r="D9327" s="1"/>
      <c r="F9327" s="1"/>
      <c r="G9327" s="1"/>
      <c r="H9327" s="68"/>
      <c r="I9327" s="76"/>
      <c r="K9327" s="7" t="s">
        <v>1126</v>
      </c>
      <c r="L9327" s="934"/>
      <c r="M9327" s="934"/>
    </row>
    <row r="9328" ht="12.75" hidden="1" customHeight="1" outlineLevel="1">
      <c r="A9328" s="202">
        <v>42654.0</v>
      </c>
      <c r="B9328" s="992"/>
      <c r="C9328" s="32" t="s">
        <v>433</v>
      </c>
      <c r="D9328" s="1"/>
      <c r="F9328" s="1"/>
      <c r="G9328" s="1"/>
      <c r="H9328" s="68"/>
      <c r="I9328" s="76"/>
      <c r="K9328" s="7" t="s">
        <v>1103</v>
      </c>
      <c r="L9328" s="934"/>
      <c r="M9328" s="934"/>
    </row>
    <row r="9329" ht="12.75" hidden="1" customHeight="1" outlineLevel="1">
      <c r="A9329" s="202">
        <v>42654.0</v>
      </c>
      <c r="B9329" s="992"/>
      <c r="C9329" s="32" t="s">
        <v>435</v>
      </c>
      <c r="D9329" s="1"/>
      <c r="F9329" s="1"/>
      <c r="G9329" s="1"/>
      <c r="H9329" s="68"/>
      <c r="I9329" s="76"/>
      <c r="K9329" s="9" t="s">
        <v>3331</v>
      </c>
      <c r="L9329" s="934"/>
      <c r="M9329" s="934"/>
    </row>
    <row r="9330" ht="12.75" hidden="1" customHeight="1" outlineLevel="1">
      <c r="A9330" s="202">
        <v>42656.0</v>
      </c>
      <c r="B9330" s="985" t="s">
        <v>343</v>
      </c>
      <c r="C9330" s="94" t="s">
        <v>1947</v>
      </c>
      <c r="D9330" s="286">
        <v>1000.0</v>
      </c>
      <c r="E9330" s="94">
        <v>41.509</v>
      </c>
      <c r="F9330" s="986">
        <v>0.611574074074074</v>
      </c>
      <c r="G9330" s="94" t="s">
        <v>453</v>
      </c>
      <c r="H9330" s="987">
        <v>4.2</v>
      </c>
      <c r="I9330" s="988" t="s">
        <v>3145</v>
      </c>
      <c r="J9330" s="67">
        <f t="shared" ref="J9330:J9332" si="530">IF(B9330="SLD",D9330*E9330,-D9330*E9330)-H9330</f>
        <v>-41513.2</v>
      </c>
      <c r="L9330" s="70"/>
      <c r="M9330" s="934"/>
    </row>
    <row r="9331" ht="12.75" hidden="1" customHeight="1" outlineLevel="1">
      <c r="A9331" s="202">
        <v>42656.0</v>
      </c>
      <c r="B9331" s="985" t="s">
        <v>343</v>
      </c>
      <c r="C9331" s="94" t="s">
        <v>1890</v>
      </c>
      <c r="D9331" s="286">
        <v>5200.0</v>
      </c>
      <c r="E9331" s="94">
        <v>8.34</v>
      </c>
      <c r="F9331" s="986">
        <v>0.6114583333333333</v>
      </c>
      <c r="G9331" s="94" t="s">
        <v>453</v>
      </c>
      <c r="H9331" s="987">
        <v>20.8</v>
      </c>
      <c r="I9331" s="988" t="s">
        <v>3145</v>
      </c>
      <c r="J9331" s="67">
        <f t="shared" si="530"/>
        <v>-43388.8</v>
      </c>
      <c r="L9331" s="70"/>
      <c r="M9331" s="934"/>
    </row>
    <row r="9332" ht="12.75" hidden="1" customHeight="1" outlineLevel="1">
      <c r="A9332" s="202">
        <v>42656.0</v>
      </c>
      <c r="B9332" s="985" t="s">
        <v>343</v>
      </c>
      <c r="C9332" s="94" t="s">
        <v>1893</v>
      </c>
      <c r="D9332" s="286">
        <v>5000.0</v>
      </c>
      <c r="E9332" s="94">
        <v>9.69</v>
      </c>
      <c r="F9332" s="986">
        <v>0.6113310185185186</v>
      </c>
      <c r="G9332" s="94" t="s">
        <v>453</v>
      </c>
      <c r="H9332" s="987">
        <v>22.9</v>
      </c>
      <c r="I9332" s="988" t="s">
        <v>3145</v>
      </c>
      <c r="J9332" s="67">
        <f t="shared" si="530"/>
        <v>-48472.9</v>
      </c>
      <c r="L9332" s="70"/>
      <c r="M9332" s="934"/>
    </row>
    <row r="9333" ht="12.75" hidden="1" customHeight="1" outlineLevel="1">
      <c r="A9333" s="202">
        <v>42656.0</v>
      </c>
      <c r="B9333" s="992"/>
      <c r="C9333" s="32" t="s">
        <v>339</v>
      </c>
      <c r="D9333" s="1"/>
      <c r="F9333" s="1"/>
      <c r="G9333" s="1"/>
      <c r="H9333" s="68"/>
      <c r="I9333" s="76"/>
      <c r="K9333" s="994" t="s">
        <v>3389</v>
      </c>
      <c r="L9333" s="934"/>
      <c r="M9333" s="934"/>
    </row>
    <row r="9334" ht="12.75" hidden="1" customHeight="1" outlineLevel="1">
      <c r="A9334" s="202">
        <v>42656.0</v>
      </c>
      <c r="B9334" s="992"/>
      <c r="C9334" s="32" t="s">
        <v>429</v>
      </c>
      <c r="D9334" s="1"/>
      <c r="F9334" s="1"/>
      <c r="G9334" s="1"/>
      <c r="H9334" s="68"/>
      <c r="I9334" s="76"/>
      <c r="K9334" s="9" t="s">
        <v>3187</v>
      </c>
      <c r="L9334" s="934"/>
      <c r="M9334" s="934"/>
    </row>
    <row r="9335" ht="12.75" hidden="1" customHeight="1" outlineLevel="1">
      <c r="A9335" s="202">
        <v>42656.0</v>
      </c>
      <c r="B9335" s="992"/>
      <c r="C9335" s="32" t="s">
        <v>431</v>
      </c>
      <c r="D9335" s="1"/>
      <c r="F9335" s="1"/>
      <c r="G9335" s="1"/>
      <c r="H9335" s="68"/>
      <c r="I9335" s="76"/>
      <c r="K9335" s="7" t="s">
        <v>1126</v>
      </c>
      <c r="L9335" s="934"/>
      <c r="M9335" s="934"/>
    </row>
    <row r="9336" ht="12.75" hidden="1" customHeight="1" outlineLevel="1">
      <c r="A9336" s="202">
        <v>42656.0</v>
      </c>
      <c r="B9336" s="992"/>
      <c r="C9336" s="32" t="s">
        <v>433</v>
      </c>
      <c r="D9336" s="1"/>
      <c r="F9336" s="1"/>
      <c r="G9336" s="1"/>
      <c r="H9336" s="68"/>
      <c r="I9336" s="76"/>
      <c r="K9336" s="7" t="s">
        <v>1103</v>
      </c>
      <c r="L9336" s="934"/>
      <c r="M9336" s="934"/>
    </row>
    <row r="9337" ht="12.75" hidden="1" customHeight="1" outlineLevel="1">
      <c r="A9337" s="202">
        <v>42656.0</v>
      </c>
      <c r="B9337" s="992"/>
      <c r="C9337" s="32" t="s">
        <v>435</v>
      </c>
      <c r="D9337" s="1"/>
      <c r="F9337" s="1"/>
      <c r="G9337" s="1"/>
      <c r="H9337" s="68"/>
      <c r="I9337" s="76"/>
      <c r="K9337" s="9" t="s">
        <v>3331</v>
      </c>
      <c r="L9337" s="934"/>
      <c r="M9337" s="934"/>
    </row>
    <row r="9338" ht="12.75" hidden="1" customHeight="1" outlineLevel="1">
      <c r="A9338" s="202">
        <v>42656.0</v>
      </c>
      <c r="B9338" s="992"/>
      <c r="C9338" s="32" t="s">
        <v>339</v>
      </c>
      <c r="D9338" s="1"/>
      <c r="F9338" s="1"/>
      <c r="G9338" s="1"/>
      <c r="H9338" s="68"/>
      <c r="I9338" s="76"/>
      <c r="K9338" s="994" t="s">
        <v>3391</v>
      </c>
      <c r="L9338" s="934"/>
      <c r="M9338" s="934"/>
    </row>
    <row r="9339" ht="12.75" hidden="1" customHeight="1" outlineLevel="1">
      <c r="A9339" s="202">
        <v>42656.0</v>
      </c>
      <c r="B9339" s="992"/>
      <c r="C9339" s="32" t="s">
        <v>429</v>
      </c>
      <c r="D9339" s="1"/>
      <c r="F9339" s="1"/>
      <c r="G9339" s="1"/>
      <c r="H9339" s="68"/>
      <c r="I9339" s="76"/>
      <c r="K9339" s="9" t="s">
        <v>3187</v>
      </c>
      <c r="L9339" s="934"/>
      <c r="M9339" s="934"/>
    </row>
    <row r="9340" ht="12.75" hidden="1" customHeight="1" outlineLevel="1">
      <c r="A9340" s="202">
        <v>42656.0</v>
      </c>
      <c r="B9340" s="992"/>
      <c r="C9340" s="32" t="s">
        <v>431</v>
      </c>
      <c r="D9340" s="1"/>
      <c r="F9340" s="1"/>
      <c r="G9340" s="1"/>
      <c r="H9340" s="68"/>
      <c r="I9340" s="76"/>
      <c r="K9340" s="7" t="s">
        <v>1126</v>
      </c>
      <c r="L9340" s="934"/>
      <c r="M9340" s="934"/>
    </row>
    <row r="9341" ht="12.75" hidden="1" customHeight="1" outlineLevel="1">
      <c r="A9341" s="202">
        <v>42656.0</v>
      </c>
      <c r="B9341" s="992"/>
      <c r="C9341" s="32" t="s">
        <v>433</v>
      </c>
      <c r="D9341" s="1"/>
      <c r="F9341" s="1"/>
      <c r="G9341" s="1"/>
      <c r="H9341" s="68"/>
      <c r="I9341" s="76"/>
      <c r="K9341" s="7" t="s">
        <v>1103</v>
      </c>
      <c r="L9341" s="934"/>
      <c r="M9341" s="934"/>
    </row>
    <row r="9342" ht="12.75" hidden="1" customHeight="1" outlineLevel="1">
      <c r="A9342" s="202">
        <v>42656.0</v>
      </c>
      <c r="B9342" s="992"/>
      <c r="C9342" s="32" t="s">
        <v>435</v>
      </c>
      <c r="D9342" s="1"/>
      <c r="F9342" s="1"/>
      <c r="G9342" s="1"/>
      <c r="H9342" s="68"/>
      <c r="I9342" s="76"/>
      <c r="K9342" s="9" t="s">
        <v>3331</v>
      </c>
      <c r="L9342" s="934"/>
      <c r="M9342" s="934"/>
    </row>
    <row r="9343" ht="12.75" hidden="1" customHeight="1" outlineLevel="1">
      <c r="A9343" s="202">
        <v>42660.0</v>
      </c>
      <c r="B9343" s="985" t="s">
        <v>347</v>
      </c>
      <c r="C9343" s="94" t="s">
        <v>1947</v>
      </c>
      <c r="D9343" s="94">
        <v>250.0</v>
      </c>
      <c r="E9343" s="94">
        <v>40.29</v>
      </c>
      <c r="F9343" s="986">
        <v>0.41627314814814814</v>
      </c>
      <c r="G9343" s="94" t="s">
        <v>453</v>
      </c>
      <c r="H9343" s="987">
        <v>1.5</v>
      </c>
      <c r="I9343" s="988" t="s">
        <v>3145</v>
      </c>
      <c r="J9343" s="67">
        <f t="shared" ref="J9343:J9348" si="531">IF(B9343="SLD",D9343*E9343,-D9343*E9343)-H9343</f>
        <v>10071</v>
      </c>
      <c r="L9343" s="70"/>
      <c r="M9343" s="934"/>
    </row>
    <row r="9344" ht="12.75" hidden="1" customHeight="1" outlineLevel="1">
      <c r="A9344" s="202">
        <v>42660.0</v>
      </c>
      <c r="B9344" s="985" t="s">
        <v>347</v>
      </c>
      <c r="C9344" s="94" t="s">
        <v>1890</v>
      </c>
      <c r="D9344" s="286">
        <v>1200.0</v>
      </c>
      <c r="E9344" s="94">
        <v>8.2907</v>
      </c>
      <c r="F9344" s="986">
        <v>0.41616898148148146</v>
      </c>
      <c r="G9344" s="94" t="s">
        <v>453</v>
      </c>
      <c r="H9344" s="987">
        <v>5.16</v>
      </c>
      <c r="I9344" s="988" t="s">
        <v>3145</v>
      </c>
      <c r="J9344" s="67">
        <f t="shared" si="531"/>
        <v>9943.68</v>
      </c>
      <c r="L9344" s="70"/>
      <c r="M9344" s="934"/>
    </row>
    <row r="9345" ht="12.75" hidden="1" customHeight="1" outlineLevel="1">
      <c r="A9345" s="202">
        <v>42660.0</v>
      </c>
      <c r="B9345" s="985" t="s">
        <v>347</v>
      </c>
      <c r="C9345" s="94" t="s">
        <v>1893</v>
      </c>
      <c r="D9345" s="286">
        <v>1050.0</v>
      </c>
      <c r="E9345" s="94">
        <v>9.5807</v>
      </c>
      <c r="F9345" s="986">
        <v>0.4159143518518518</v>
      </c>
      <c r="G9345" s="94" t="s">
        <v>453</v>
      </c>
      <c r="H9345" s="987">
        <v>4.54</v>
      </c>
      <c r="I9345" s="988" t="s">
        <v>3145</v>
      </c>
      <c r="J9345" s="67">
        <f t="shared" si="531"/>
        <v>10055.195</v>
      </c>
      <c r="L9345" s="70"/>
      <c r="M9345" s="934"/>
    </row>
    <row r="9346" ht="12.75" hidden="1" customHeight="1" outlineLevel="1">
      <c r="A9346" s="202">
        <v>42660.0</v>
      </c>
      <c r="B9346" s="985" t="s">
        <v>347</v>
      </c>
      <c r="C9346" s="94" t="s">
        <v>1893</v>
      </c>
      <c r="D9346" s="286">
        <v>1050.0</v>
      </c>
      <c r="E9346" s="94">
        <v>9.612</v>
      </c>
      <c r="F9346" s="986">
        <v>0.40252314814814816</v>
      </c>
      <c r="G9346" s="94" t="s">
        <v>453</v>
      </c>
      <c r="H9346" s="987">
        <v>4.84</v>
      </c>
      <c r="I9346" s="988" t="s">
        <v>3145</v>
      </c>
      <c r="J9346" s="67">
        <f t="shared" si="531"/>
        <v>10087.76</v>
      </c>
      <c r="L9346" s="70"/>
      <c r="M9346" s="934"/>
    </row>
    <row r="9347" ht="12.75" hidden="1" customHeight="1" outlineLevel="1">
      <c r="A9347" s="202">
        <v>42660.0</v>
      </c>
      <c r="B9347" s="985" t="s">
        <v>347</v>
      </c>
      <c r="C9347" s="94" t="s">
        <v>1890</v>
      </c>
      <c r="D9347" s="286">
        <v>1200.0</v>
      </c>
      <c r="E9347" s="94">
        <v>8.33</v>
      </c>
      <c r="F9347" s="986">
        <v>0.40186342592592594</v>
      </c>
      <c r="G9347" s="94" t="s">
        <v>453</v>
      </c>
      <c r="H9347" s="987">
        <v>5.16</v>
      </c>
      <c r="I9347" s="988" t="s">
        <v>3145</v>
      </c>
      <c r="J9347" s="67">
        <f t="shared" si="531"/>
        <v>9990.84</v>
      </c>
      <c r="L9347" s="70"/>
      <c r="M9347" s="934"/>
    </row>
    <row r="9348" ht="12.75" hidden="1" customHeight="1" outlineLevel="1">
      <c r="A9348" s="202">
        <v>42660.0</v>
      </c>
      <c r="B9348" s="985" t="s">
        <v>347</v>
      </c>
      <c r="C9348" s="94" t="s">
        <v>1947</v>
      </c>
      <c r="D9348" s="94">
        <v>250.0</v>
      </c>
      <c r="E9348" s="94">
        <v>40.374</v>
      </c>
      <c r="F9348" s="986">
        <v>0.40162037037037035</v>
      </c>
      <c r="G9348" s="94" t="s">
        <v>453</v>
      </c>
      <c r="H9348" s="987">
        <v>1.35</v>
      </c>
      <c r="I9348" s="988" t="s">
        <v>3145</v>
      </c>
      <c r="J9348" s="67">
        <f t="shared" si="531"/>
        <v>10092.15</v>
      </c>
      <c r="L9348" s="70"/>
      <c r="M9348" s="934"/>
    </row>
    <row r="9349" ht="12.75" hidden="1" customHeight="1" outlineLevel="1">
      <c r="A9349" s="202">
        <v>42660.0</v>
      </c>
      <c r="B9349" s="992"/>
      <c r="C9349" s="32" t="s">
        <v>339</v>
      </c>
      <c r="D9349" s="1"/>
      <c r="F9349" s="1"/>
      <c r="G9349" s="1"/>
      <c r="H9349" s="68"/>
      <c r="I9349" s="76"/>
      <c r="K9349" s="994" t="s">
        <v>3396</v>
      </c>
      <c r="L9349" s="934"/>
      <c r="M9349" s="934"/>
    </row>
    <row r="9350" ht="12.75" hidden="1" customHeight="1" outlineLevel="1">
      <c r="A9350" s="202">
        <v>42660.0</v>
      </c>
      <c r="B9350" s="992"/>
      <c r="C9350" s="32" t="s">
        <v>429</v>
      </c>
      <c r="D9350" s="1"/>
      <c r="F9350" s="1"/>
      <c r="G9350" s="1"/>
      <c r="H9350" s="68"/>
      <c r="I9350" s="76"/>
      <c r="K9350" s="9" t="s">
        <v>3187</v>
      </c>
      <c r="L9350" s="934"/>
      <c r="M9350" s="934"/>
    </row>
    <row r="9351" ht="12.75" hidden="1" customHeight="1" outlineLevel="1">
      <c r="A9351" s="202">
        <v>42660.0</v>
      </c>
      <c r="B9351" s="992"/>
      <c r="C9351" s="32" t="s">
        <v>431</v>
      </c>
      <c r="D9351" s="1"/>
      <c r="F9351" s="1"/>
      <c r="G9351" s="1"/>
      <c r="H9351" s="68"/>
      <c r="I9351" s="76"/>
      <c r="K9351" s="7" t="s">
        <v>1126</v>
      </c>
      <c r="L9351" s="934"/>
      <c r="M9351" s="934"/>
    </row>
    <row r="9352" ht="12.75" hidden="1" customHeight="1" outlineLevel="1">
      <c r="A9352" s="202">
        <v>42660.0</v>
      </c>
      <c r="B9352" s="992"/>
      <c r="C9352" s="32" t="s">
        <v>433</v>
      </c>
      <c r="D9352" s="1"/>
      <c r="F9352" s="1"/>
      <c r="G9352" s="1"/>
      <c r="H9352" s="68"/>
      <c r="I9352" s="76"/>
      <c r="K9352" s="7" t="s">
        <v>1103</v>
      </c>
      <c r="L9352" s="934"/>
      <c r="M9352" s="934"/>
    </row>
    <row r="9353" ht="12.75" hidden="1" customHeight="1" outlineLevel="1">
      <c r="A9353" s="202">
        <v>42660.0</v>
      </c>
      <c r="B9353" s="992"/>
      <c r="C9353" s="32" t="s">
        <v>435</v>
      </c>
      <c r="D9353" s="1"/>
      <c r="F9353" s="1"/>
      <c r="G9353" s="1"/>
      <c r="H9353" s="68"/>
      <c r="I9353" s="76"/>
      <c r="K9353" s="9" t="s">
        <v>3331</v>
      </c>
      <c r="L9353" s="934"/>
      <c r="M9353" s="934"/>
    </row>
    <row r="9354" ht="12.75" hidden="1" customHeight="1" outlineLevel="1">
      <c r="A9354" s="202">
        <v>42662.0</v>
      </c>
      <c r="B9354" s="985" t="s">
        <v>343</v>
      </c>
      <c r="C9354" s="94" t="s">
        <v>1893</v>
      </c>
      <c r="D9354" s="286">
        <v>2100.0</v>
      </c>
      <c r="E9354" s="94">
        <v>10.07</v>
      </c>
      <c r="F9354" s="986">
        <v>0.5580671296296297</v>
      </c>
      <c r="G9354" s="94" t="s">
        <v>453</v>
      </c>
      <c r="H9354" s="987">
        <v>10.5</v>
      </c>
      <c r="I9354" s="988" t="s">
        <v>3145</v>
      </c>
      <c r="J9354" s="67">
        <f t="shared" ref="J9354:J9358" si="532">IF(B9354="SLD",D9354*E9354,-D9354*E9354)-H9354</f>
        <v>-21157.5</v>
      </c>
      <c r="L9354" s="70"/>
      <c r="M9354" s="934"/>
    </row>
    <row r="9355" ht="12.75" hidden="1" customHeight="1" outlineLevel="1">
      <c r="A9355" s="202">
        <v>42662.0</v>
      </c>
      <c r="B9355" s="985" t="s">
        <v>343</v>
      </c>
      <c r="C9355" s="94" t="s">
        <v>1947</v>
      </c>
      <c r="D9355" s="94">
        <v>500.0</v>
      </c>
      <c r="E9355" s="94">
        <v>42.1293</v>
      </c>
      <c r="F9355" s="986">
        <v>0.5579513888888888</v>
      </c>
      <c r="G9355" s="94" t="s">
        <v>453</v>
      </c>
      <c r="H9355" s="987">
        <v>2.0</v>
      </c>
      <c r="I9355" s="988" t="s">
        <v>3145</v>
      </c>
      <c r="J9355" s="67">
        <f t="shared" si="532"/>
        <v>-21066.65</v>
      </c>
      <c r="L9355" s="70"/>
      <c r="M9355" s="934"/>
    </row>
    <row r="9356" ht="12.75" hidden="1" customHeight="1" outlineLevel="1">
      <c r="A9356" s="202">
        <v>42662.0</v>
      </c>
      <c r="B9356" s="985" t="s">
        <v>343</v>
      </c>
      <c r="C9356" s="94" t="s">
        <v>1890</v>
      </c>
      <c r="D9356" s="286">
        <v>2400.0</v>
      </c>
      <c r="E9356" s="94">
        <v>8.89</v>
      </c>
      <c r="F9356" s="986">
        <v>0.5578587962962963</v>
      </c>
      <c r="G9356" s="94" t="s">
        <v>453</v>
      </c>
      <c r="H9356" s="987">
        <v>9.6</v>
      </c>
      <c r="I9356" s="988" t="s">
        <v>3145</v>
      </c>
      <c r="J9356" s="67">
        <f t="shared" si="532"/>
        <v>-21345.6</v>
      </c>
      <c r="L9356" s="70"/>
      <c r="M9356" s="934"/>
    </row>
    <row r="9357" ht="12.75" hidden="1" customHeight="1" outlineLevel="1">
      <c r="A9357" s="202">
        <v>42667.0</v>
      </c>
      <c r="B9357" s="985" t="s">
        <v>343</v>
      </c>
      <c r="C9357" s="94" t="s">
        <v>1185</v>
      </c>
      <c r="D9357" s="94">
        <v>25.0</v>
      </c>
      <c r="E9357" s="94">
        <v>334.77</v>
      </c>
      <c r="F9357" s="986">
        <v>0.4646412037037037</v>
      </c>
      <c r="G9357" s="94" t="s">
        <v>453</v>
      </c>
      <c r="H9357" s="987">
        <v>1.0</v>
      </c>
      <c r="I9357" s="988" t="s">
        <v>3145</v>
      </c>
      <c r="J9357" s="67">
        <f t="shared" si="532"/>
        <v>-8370.25</v>
      </c>
      <c r="L9357" s="70"/>
      <c r="M9357" s="934"/>
    </row>
    <row r="9358" ht="12.75" hidden="1" customHeight="1" outlineLevel="1">
      <c r="A9358" s="202">
        <v>42667.0</v>
      </c>
      <c r="B9358" s="985" t="s">
        <v>347</v>
      </c>
      <c r="C9358" s="94" t="s">
        <v>2412</v>
      </c>
      <c r="D9358" s="94">
        <v>75.0</v>
      </c>
      <c r="E9358" s="94">
        <v>91.89</v>
      </c>
      <c r="F9358" s="986">
        <v>0.46434027777777775</v>
      </c>
      <c r="G9358" s="94" t="s">
        <v>453</v>
      </c>
      <c r="H9358" s="987">
        <v>1.16</v>
      </c>
      <c r="I9358" s="988" t="s">
        <v>3145</v>
      </c>
      <c r="J9358" s="67">
        <f t="shared" si="532"/>
        <v>6890.59</v>
      </c>
      <c r="L9358" s="70"/>
      <c r="M9358" s="934"/>
    </row>
    <row r="9359" ht="12.75" hidden="1" customHeight="1" outlineLevel="1">
      <c r="A9359" s="202">
        <v>42667.0</v>
      </c>
      <c r="B9359" s="992"/>
      <c r="C9359" s="32" t="s">
        <v>339</v>
      </c>
      <c r="D9359" s="1"/>
      <c r="F9359" s="1"/>
      <c r="G9359" s="1"/>
      <c r="H9359" s="68"/>
      <c r="I9359" s="76"/>
      <c r="K9359" s="994" t="s">
        <v>3396</v>
      </c>
      <c r="L9359" s="934"/>
      <c r="M9359" s="934"/>
    </row>
    <row r="9360" ht="12.75" hidden="1" customHeight="1" outlineLevel="1">
      <c r="A9360" s="202">
        <v>42667.0</v>
      </c>
      <c r="B9360" s="992"/>
      <c r="C9360" s="32" t="s">
        <v>429</v>
      </c>
      <c r="D9360" s="1"/>
      <c r="F9360" s="1"/>
      <c r="G9360" s="1"/>
      <c r="H9360" s="68"/>
      <c r="I9360" s="76"/>
      <c r="K9360" s="9" t="s">
        <v>3187</v>
      </c>
      <c r="L9360" s="934"/>
      <c r="M9360" s="934"/>
    </row>
    <row r="9361" ht="12.75" hidden="1" customHeight="1" outlineLevel="1">
      <c r="A9361" s="202">
        <v>42667.0</v>
      </c>
      <c r="B9361" s="992"/>
      <c r="C9361" s="32" t="s">
        <v>431</v>
      </c>
      <c r="D9361" s="1"/>
      <c r="F9361" s="1"/>
      <c r="G9361" s="1"/>
      <c r="H9361" s="68"/>
      <c r="I9361" s="76"/>
      <c r="K9361" s="7" t="s">
        <v>1126</v>
      </c>
      <c r="L9361" s="934"/>
      <c r="M9361" s="934"/>
    </row>
    <row r="9362" ht="12.75" hidden="1" customHeight="1" outlineLevel="1">
      <c r="A9362" s="202">
        <v>42667.0</v>
      </c>
      <c r="B9362" s="992"/>
      <c r="C9362" s="32" t="s">
        <v>433</v>
      </c>
      <c r="D9362" s="1"/>
      <c r="F9362" s="1"/>
      <c r="G9362" s="1"/>
      <c r="H9362" s="68"/>
      <c r="I9362" s="76"/>
      <c r="K9362" s="7" t="s">
        <v>1103</v>
      </c>
      <c r="L9362" s="934"/>
      <c r="M9362" s="934"/>
    </row>
    <row r="9363" ht="12.75" hidden="1" customHeight="1" outlineLevel="1">
      <c r="A9363" s="202">
        <v>42667.0</v>
      </c>
      <c r="B9363" s="992"/>
      <c r="C9363" s="32" t="s">
        <v>435</v>
      </c>
      <c r="D9363" s="1"/>
      <c r="F9363" s="1"/>
      <c r="G9363" s="1"/>
      <c r="H9363" s="68"/>
      <c r="I9363" s="76"/>
      <c r="K9363" s="9" t="s">
        <v>3331</v>
      </c>
      <c r="L9363" s="934"/>
      <c r="M9363" s="934"/>
    </row>
    <row r="9364" ht="12.75" hidden="1" customHeight="1" outlineLevel="1">
      <c r="A9364" s="202">
        <v>42683.0</v>
      </c>
      <c r="B9364" s="985" t="s">
        <v>343</v>
      </c>
      <c r="C9364" s="94" t="s">
        <v>1317</v>
      </c>
      <c r="D9364" s="94">
        <v>115.0</v>
      </c>
      <c r="E9364" s="94">
        <v>56.2</v>
      </c>
      <c r="F9364" s="986">
        <v>0.4247800925925926</v>
      </c>
      <c r="G9364" s="94" t="s">
        <v>453</v>
      </c>
      <c r="H9364" s="987">
        <v>1.0</v>
      </c>
      <c r="I9364" s="988" t="s">
        <v>3145</v>
      </c>
      <c r="J9364" s="67">
        <f t="shared" ref="J9364:J9367" si="533">IF(B9364="SLD",D9364*E9364,-D9364*E9364)-H9364</f>
        <v>-6464</v>
      </c>
      <c r="L9364" s="70"/>
      <c r="M9364" s="934"/>
    </row>
    <row r="9365" ht="12.75" hidden="1" customHeight="1" outlineLevel="1">
      <c r="A9365" s="202">
        <v>42683.0</v>
      </c>
      <c r="B9365" s="985" t="s">
        <v>343</v>
      </c>
      <c r="C9365" s="94" t="s">
        <v>3115</v>
      </c>
      <c r="D9365" s="94">
        <v>25.0</v>
      </c>
      <c r="E9365" s="94">
        <v>241.4895</v>
      </c>
      <c r="F9365" s="986">
        <v>0.4244791666666667</v>
      </c>
      <c r="G9365" s="94" t="s">
        <v>453</v>
      </c>
      <c r="H9365" s="987">
        <v>1.0</v>
      </c>
      <c r="I9365" s="988" t="s">
        <v>3145</v>
      </c>
      <c r="J9365" s="67">
        <f t="shared" si="533"/>
        <v>-6038.2375</v>
      </c>
      <c r="L9365" s="70"/>
      <c r="M9365" s="934"/>
    </row>
    <row r="9366" ht="12.75" hidden="1" customHeight="1" outlineLevel="1">
      <c r="A9366" s="202">
        <v>42683.0</v>
      </c>
      <c r="B9366" s="985" t="s">
        <v>343</v>
      </c>
      <c r="C9366" s="94" t="s">
        <v>1521</v>
      </c>
      <c r="D9366" s="94">
        <v>35.0</v>
      </c>
      <c r="E9366" s="94">
        <v>159.17</v>
      </c>
      <c r="F9366" s="986">
        <v>0.4149074074074074</v>
      </c>
      <c r="G9366" s="94" t="s">
        <v>453</v>
      </c>
      <c r="H9366" s="987">
        <v>1.0</v>
      </c>
      <c r="I9366" s="988" t="s">
        <v>3145</v>
      </c>
      <c r="J9366" s="67">
        <f t="shared" si="533"/>
        <v>-5571.95</v>
      </c>
      <c r="L9366" s="70"/>
      <c r="M9366" s="934"/>
    </row>
    <row r="9367" ht="12.75" hidden="1" customHeight="1" outlineLevel="1">
      <c r="A9367" s="202">
        <v>42683.0</v>
      </c>
      <c r="B9367" s="985" t="s">
        <v>343</v>
      </c>
      <c r="C9367" s="94" t="s">
        <v>2966</v>
      </c>
      <c r="D9367" s="94">
        <v>80.0</v>
      </c>
      <c r="E9367" s="94">
        <v>81.4189</v>
      </c>
      <c r="F9367" s="986">
        <v>0.41444444444444445</v>
      </c>
      <c r="G9367" s="94" t="s">
        <v>453</v>
      </c>
      <c r="H9367" s="987">
        <v>1.0</v>
      </c>
      <c r="I9367" s="988" t="s">
        <v>3145</v>
      </c>
      <c r="J9367" s="67">
        <f t="shared" si="533"/>
        <v>-6514.512</v>
      </c>
      <c r="L9367" s="70"/>
      <c r="M9367" s="934"/>
    </row>
    <row r="9368" ht="12.75" hidden="1" customHeight="1" outlineLevel="1">
      <c r="A9368" s="202">
        <v>42683.0</v>
      </c>
      <c r="B9368" s="992"/>
      <c r="C9368" s="32" t="s">
        <v>339</v>
      </c>
      <c r="D9368" s="1"/>
      <c r="F9368" s="1"/>
      <c r="G9368" s="1"/>
      <c r="H9368" s="68"/>
      <c r="I9368" s="76"/>
      <c r="K9368" s="994" t="s">
        <v>3404</v>
      </c>
      <c r="L9368" s="934"/>
      <c r="M9368" s="934"/>
    </row>
    <row r="9369" ht="12.75" hidden="1" customHeight="1" outlineLevel="1">
      <c r="A9369" s="202">
        <v>42683.0</v>
      </c>
      <c r="B9369" s="992"/>
      <c r="C9369" s="32" t="s">
        <v>429</v>
      </c>
      <c r="D9369" s="1"/>
      <c r="F9369" s="1"/>
      <c r="G9369" s="1"/>
      <c r="H9369" s="68"/>
      <c r="I9369" s="76"/>
      <c r="K9369" s="9" t="s">
        <v>3187</v>
      </c>
      <c r="L9369" s="934"/>
      <c r="M9369" s="934"/>
    </row>
    <row r="9370" ht="12.75" hidden="1" customHeight="1" outlineLevel="1">
      <c r="A9370" s="202">
        <v>42683.0</v>
      </c>
      <c r="B9370" s="992"/>
      <c r="C9370" s="32" t="s">
        <v>431</v>
      </c>
      <c r="D9370" s="1"/>
      <c r="F9370" s="1"/>
      <c r="G9370" s="1"/>
      <c r="H9370" s="68"/>
      <c r="I9370" s="76"/>
      <c r="K9370" s="7" t="s">
        <v>1126</v>
      </c>
      <c r="L9370" s="934"/>
      <c r="M9370" s="934"/>
    </row>
    <row r="9371" ht="12.75" hidden="1" customHeight="1" outlineLevel="1">
      <c r="A9371" s="202">
        <v>42683.0</v>
      </c>
      <c r="B9371" s="992"/>
      <c r="C9371" s="32" t="s">
        <v>433</v>
      </c>
      <c r="D9371" s="1"/>
      <c r="F9371" s="1"/>
      <c r="G9371" s="1"/>
      <c r="H9371" s="68"/>
      <c r="I9371" s="76"/>
      <c r="K9371" s="7" t="s">
        <v>1103</v>
      </c>
      <c r="L9371" s="934"/>
      <c r="M9371" s="934"/>
    </row>
    <row r="9372" ht="12.75" hidden="1" customHeight="1" outlineLevel="1">
      <c r="A9372" s="202">
        <v>42683.0</v>
      </c>
      <c r="B9372" s="992"/>
      <c r="C9372" s="32" t="s">
        <v>435</v>
      </c>
      <c r="D9372" s="1"/>
      <c r="F9372" s="1"/>
      <c r="G9372" s="1"/>
      <c r="H9372" s="68"/>
      <c r="I9372" s="76"/>
      <c r="K9372" s="9" t="s">
        <v>3331</v>
      </c>
      <c r="L9372" s="934"/>
      <c r="M9372" s="934"/>
    </row>
    <row r="9373" ht="12.75" hidden="1" customHeight="1" outlineLevel="1">
      <c r="A9373" s="202">
        <v>42684.0</v>
      </c>
      <c r="B9373" s="985" t="s">
        <v>343</v>
      </c>
      <c r="C9373" s="94" t="s">
        <v>1485</v>
      </c>
      <c r="D9373" s="286">
        <v>1000.0</v>
      </c>
      <c r="E9373" s="94">
        <v>4.94</v>
      </c>
      <c r="F9373" s="998">
        <v>42684.638136574074</v>
      </c>
      <c r="G9373" s="94" t="s">
        <v>453</v>
      </c>
      <c r="H9373" s="987">
        <v>5.0</v>
      </c>
      <c r="I9373" s="988" t="s">
        <v>3145</v>
      </c>
      <c r="J9373" s="67">
        <f t="shared" ref="J9373:J9383" si="534">IF(B9373="SLD",D9373*E9373,-D9373*E9373)-H9373</f>
        <v>-4945</v>
      </c>
      <c r="L9373" s="70"/>
      <c r="M9373" s="934"/>
    </row>
    <row r="9374" ht="12.75" hidden="1" customHeight="1" outlineLevel="1">
      <c r="A9374" s="202">
        <v>42684.0</v>
      </c>
      <c r="B9374" s="985" t="s">
        <v>343</v>
      </c>
      <c r="C9374" s="94" t="s">
        <v>1483</v>
      </c>
      <c r="D9374" s="286">
        <v>1000.0</v>
      </c>
      <c r="E9374" s="94">
        <v>2.474</v>
      </c>
      <c r="F9374" s="998">
        <v>42684.661574074074</v>
      </c>
      <c r="G9374" s="94" t="s">
        <v>453</v>
      </c>
      <c r="H9374" s="987">
        <v>5.0</v>
      </c>
      <c r="I9374" s="988" t="s">
        <v>3145</v>
      </c>
      <c r="J9374" s="67">
        <f t="shared" si="534"/>
        <v>-2479</v>
      </c>
      <c r="L9374" s="70"/>
      <c r="M9374" s="934"/>
    </row>
    <row r="9375" ht="12.75" hidden="1" customHeight="1" outlineLevel="1">
      <c r="A9375" s="202">
        <v>42684.0</v>
      </c>
      <c r="B9375" s="985" t="s">
        <v>343</v>
      </c>
      <c r="C9375" s="94" t="s">
        <v>604</v>
      </c>
      <c r="D9375" s="286">
        <v>1000.0</v>
      </c>
      <c r="E9375" s="94">
        <v>2.52</v>
      </c>
      <c r="F9375" s="998">
        <v>42684.66548611111</v>
      </c>
      <c r="G9375" s="94" t="s">
        <v>453</v>
      </c>
      <c r="H9375" s="987">
        <v>5.0</v>
      </c>
      <c r="I9375" s="988" t="s">
        <v>3145</v>
      </c>
      <c r="J9375" s="67">
        <f t="shared" si="534"/>
        <v>-2525</v>
      </c>
      <c r="L9375" s="70"/>
      <c r="M9375" s="934"/>
    </row>
    <row r="9376" ht="12.75" hidden="1" customHeight="1" outlineLevel="1">
      <c r="A9376" s="202">
        <v>42685.0</v>
      </c>
      <c r="B9376" s="985" t="s">
        <v>343</v>
      </c>
      <c r="C9376" s="94" t="s">
        <v>1092</v>
      </c>
      <c r="D9376" s="286">
        <v>1000.0</v>
      </c>
      <c r="E9376" s="94">
        <v>5.59</v>
      </c>
      <c r="F9376" s="986">
        <v>0.4749305555555556</v>
      </c>
      <c r="G9376" s="94" t="s">
        <v>453</v>
      </c>
      <c r="H9376" s="987">
        <v>5.0</v>
      </c>
      <c r="I9376" s="988" t="s">
        <v>3145</v>
      </c>
      <c r="J9376" s="67">
        <f t="shared" si="534"/>
        <v>-5595</v>
      </c>
      <c r="L9376" s="70"/>
      <c r="M9376" s="934"/>
    </row>
    <row r="9377" ht="12.75" hidden="1" customHeight="1" outlineLevel="1">
      <c r="A9377" s="202">
        <v>42685.0</v>
      </c>
      <c r="B9377" s="985" t="s">
        <v>343</v>
      </c>
      <c r="C9377" s="94" t="s">
        <v>1485</v>
      </c>
      <c r="D9377" s="286">
        <v>1000.0</v>
      </c>
      <c r="E9377" s="94">
        <v>5.45</v>
      </c>
      <c r="F9377" s="986">
        <v>0.4750810185185185</v>
      </c>
      <c r="G9377" s="94" t="s">
        <v>453</v>
      </c>
      <c r="H9377" s="987">
        <v>5.0</v>
      </c>
      <c r="I9377" s="988" t="s">
        <v>3145</v>
      </c>
      <c r="J9377" s="67">
        <f t="shared" si="534"/>
        <v>-5455</v>
      </c>
      <c r="L9377" s="70"/>
      <c r="M9377" s="934"/>
    </row>
    <row r="9378" ht="12.75" hidden="1" customHeight="1" outlineLevel="1">
      <c r="A9378" s="202">
        <v>42685.0</v>
      </c>
      <c r="B9378" s="985" t="s">
        <v>343</v>
      </c>
      <c r="C9378" s="94" t="s">
        <v>604</v>
      </c>
      <c r="D9378" s="286">
        <v>1000.0</v>
      </c>
      <c r="E9378" s="94">
        <v>2.87</v>
      </c>
      <c r="F9378" s="986">
        <v>0.47552083333333334</v>
      </c>
      <c r="G9378" s="94" t="s">
        <v>453</v>
      </c>
      <c r="H9378" s="987">
        <v>5.0</v>
      </c>
      <c r="I9378" s="988" t="s">
        <v>3145</v>
      </c>
      <c r="J9378" s="67">
        <f t="shared" si="534"/>
        <v>-2875</v>
      </c>
      <c r="L9378" s="70"/>
      <c r="M9378" s="934"/>
    </row>
    <row r="9379" ht="12.75" hidden="1" customHeight="1" outlineLevel="1">
      <c r="A9379" s="202">
        <v>42685.0</v>
      </c>
      <c r="B9379" s="985" t="s">
        <v>343</v>
      </c>
      <c r="C9379" s="94" t="s">
        <v>1483</v>
      </c>
      <c r="D9379" s="286">
        <v>1000.0</v>
      </c>
      <c r="E9379" s="94">
        <v>2.75</v>
      </c>
      <c r="F9379" s="986">
        <v>0.4759143518518518</v>
      </c>
      <c r="G9379" s="94" t="s">
        <v>453</v>
      </c>
      <c r="H9379" s="987">
        <v>5.0</v>
      </c>
      <c r="I9379" s="988" t="s">
        <v>3145</v>
      </c>
      <c r="J9379" s="67">
        <f t="shared" si="534"/>
        <v>-2755</v>
      </c>
      <c r="L9379" s="70"/>
      <c r="M9379" s="934"/>
    </row>
    <row r="9380" ht="12.75" hidden="1" customHeight="1" outlineLevel="1">
      <c r="A9380" s="202">
        <v>42691.0</v>
      </c>
      <c r="B9380" s="985" t="s">
        <v>343</v>
      </c>
      <c r="C9380" s="94" t="s">
        <v>1483</v>
      </c>
      <c r="D9380" s="286">
        <v>1000.0</v>
      </c>
      <c r="E9380" s="94">
        <v>3.02</v>
      </c>
      <c r="F9380" s="986">
        <v>0.4268402777777778</v>
      </c>
      <c r="G9380" s="94" t="s">
        <v>453</v>
      </c>
      <c r="H9380" s="987">
        <v>5.0</v>
      </c>
      <c r="I9380" s="988" t="s">
        <v>3145</v>
      </c>
      <c r="J9380" s="67">
        <f t="shared" si="534"/>
        <v>-3025</v>
      </c>
      <c r="L9380" s="70"/>
      <c r="M9380" s="934"/>
    </row>
    <row r="9381" ht="12.75" hidden="1" customHeight="1" outlineLevel="1">
      <c r="A9381" s="202">
        <v>42691.0</v>
      </c>
      <c r="B9381" s="985" t="s">
        <v>343</v>
      </c>
      <c r="C9381" s="94" t="s">
        <v>604</v>
      </c>
      <c r="D9381" s="286">
        <v>1000.0</v>
      </c>
      <c r="E9381" s="94">
        <v>3.14</v>
      </c>
      <c r="F9381" s="986">
        <v>0.4264351851851852</v>
      </c>
      <c r="G9381" s="94" t="s">
        <v>453</v>
      </c>
      <c r="H9381" s="987">
        <v>5.0</v>
      </c>
      <c r="I9381" s="988" t="s">
        <v>3145</v>
      </c>
      <c r="J9381" s="67">
        <f t="shared" si="534"/>
        <v>-3145</v>
      </c>
      <c r="L9381" s="70"/>
      <c r="M9381" s="934"/>
    </row>
    <row r="9382" ht="12.75" hidden="1" customHeight="1" outlineLevel="1">
      <c r="A9382" s="202">
        <v>42691.0</v>
      </c>
      <c r="B9382" s="985" t="s">
        <v>343</v>
      </c>
      <c r="C9382" s="94" t="s">
        <v>1485</v>
      </c>
      <c r="D9382" s="286">
        <v>1000.0</v>
      </c>
      <c r="E9382" s="94">
        <v>5.56</v>
      </c>
      <c r="F9382" s="986">
        <v>0.4262152777777778</v>
      </c>
      <c r="G9382" s="94" t="s">
        <v>453</v>
      </c>
      <c r="H9382" s="987">
        <v>5.0</v>
      </c>
      <c r="I9382" s="988" t="s">
        <v>3145</v>
      </c>
      <c r="J9382" s="67">
        <f t="shared" si="534"/>
        <v>-5565</v>
      </c>
      <c r="L9382" s="70"/>
      <c r="M9382" s="934"/>
    </row>
    <row r="9383" ht="12.75" hidden="1" customHeight="1" outlineLevel="1">
      <c r="A9383" s="202">
        <v>42691.0</v>
      </c>
      <c r="B9383" s="985" t="s">
        <v>343</v>
      </c>
      <c r="C9383" s="94" t="s">
        <v>1092</v>
      </c>
      <c r="D9383" s="286">
        <v>1000.0</v>
      </c>
      <c r="E9383" s="94">
        <v>5.9</v>
      </c>
      <c r="F9383" s="986">
        <v>0.4260069444444444</v>
      </c>
      <c r="G9383" s="94" t="s">
        <v>453</v>
      </c>
      <c r="H9383" s="987">
        <v>5.0</v>
      </c>
      <c r="I9383" s="988" t="s">
        <v>3145</v>
      </c>
      <c r="J9383" s="67">
        <f t="shared" si="534"/>
        <v>-5905</v>
      </c>
      <c r="L9383" s="70"/>
      <c r="M9383" s="934"/>
    </row>
    <row r="9384" ht="12.75" hidden="1" customHeight="1" outlineLevel="1">
      <c r="A9384" s="202">
        <v>42691.0</v>
      </c>
      <c r="B9384" s="992"/>
      <c r="C9384" s="32" t="s">
        <v>339</v>
      </c>
      <c r="D9384" s="1"/>
      <c r="F9384" s="1"/>
      <c r="G9384" s="1"/>
      <c r="H9384" s="68"/>
      <c r="I9384" s="76"/>
      <c r="K9384" s="994" t="s">
        <v>3410</v>
      </c>
      <c r="L9384" s="934"/>
      <c r="M9384" s="934"/>
    </row>
    <row r="9385" ht="12.75" hidden="1" customHeight="1" outlineLevel="1">
      <c r="A9385" s="202">
        <v>42691.0</v>
      </c>
      <c r="B9385" s="992"/>
      <c r="C9385" s="32" t="s">
        <v>429</v>
      </c>
      <c r="D9385" s="1"/>
      <c r="F9385" s="1"/>
      <c r="G9385" s="1"/>
      <c r="H9385" s="68"/>
      <c r="I9385" s="76"/>
      <c r="K9385" s="9" t="s">
        <v>3187</v>
      </c>
      <c r="L9385" s="934"/>
      <c r="M9385" s="934"/>
    </row>
    <row r="9386" ht="12.75" hidden="1" customHeight="1" outlineLevel="1">
      <c r="A9386" s="202">
        <v>42691.0</v>
      </c>
      <c r="B9386" s="992"/>
      <c r="C9386" s="32" t="s">
        <v>431</v>
      </c>
      <c r="D9386" s="1"/>
      <c r="F9386" s="1"/>
      <c r="G9386" s="1"/>
      <c r="H9386" s="68"/>
      <c r="I9386" s="76"/>
      <c r="K9386" s="7" t="s">
        <v>1126</v>
      </c>
      <c r="L9386" s="934"/>
      <c r="M9386" s="934"/>
    </row>
    <row r="9387" ht="12.75" hidden="1" customHeight="1" outlineLevel="1">
      <c r="A9387" s="202">
        <v>42691.0</v>
      </c>
      <c r="B9387" s="992"/>
      <c r="C9387" s="32" t="s">
        <v>433</v>
      </c>
      <c r="D9387" s="1"/>
      <c r="F9387" s="1"/>
      <c r="G9387" s="1"/>
      <c r="H9387" s="68"/>
      <c r="I9387" s="76"/>
      <c r="K9387" s="7" t="s">
        <v>1103</v>
      </c>
      <c r="L9387" s="934"/>
      <c r="M9387" s="934"/>
    </row>
    <row r="9388" ht="12.75" hidden="1" customHeight="1" outlineLevel="1">
      <c r="A9388" s="202">
        <v>42691.0</v>
      </c>
      <c r="B9388" s="992"/>
      <c r="C9388" s="32" t="s">
        <v>435</v>
      </c>
      <c r="D9388" s="1"/>
      <c r="F9388" s="1"/>
      <c r="G9388" s="1"/>
      <c r="H9388" s="68"/>
      <c r="I9388" s="76"/>
      <c r="K9388" s="9" t="s">
        <v>3331</v>
      </c>
      <c r="L9388" s="934"/>
      <c r="M9388" s="934"/>
    </row>
    <row r="9389" ht="12.75" hidden="1" customHeight="1" outlineLevel="1">
      <c r="A9389" s="202">
        <v>42692.0</v>
      </c>
      <c r="B9389" s="985" t="s">
        <v>343</v>
      </c>
      <c r="C9389" s="94" t="s">
        <v>3380</v>
      </c>
      <c r="D9389" s="94">
        <v>300.0</v>
      </c>
      <c r="E9389" s="94">
        <v>21.399</v>
      </c>
      <c r="F9389" s="986">
        <v>0.4858564814814815</v>
      </c>
      <c r="G9389" s="94" t="s">
        <v>453</v>
      </c>
      <c r="H9389" s="987">
        <v>1.2</v>
      </c>
      <c r="I9389" s="988" t="s">
        <v>3145</v>
      </c>
      <c r="J9389" s="67">
        <f t="shared" ref="J9389:J9391" si="535">IF(B9389="SLD",D9389*E9389,-D9389*E9389)-H9389</f>
        <v>-6420.9</v>
      </c>
      <c r="L9389" s="70"/>
      <c r="M9389" s="934"/>
    </row>
    <row r="9390" ht="12.75" hidden="1" customHeight="1" outlineLevel="1">
      <c r="A9390" s="202">
        <v>42705.0</v>
      </c>
      <c r="B9390" s="985" t="s">
        <v>343</v>
      </c>
      <c r="C9390" s="94" t="s">
        <v>1061</v>
      </c>
      <c r="D9390" s="94">
        <v>300.0</v>
      </c>
      <c r="E9390" s="94">
        <v>43.44</v>
      </c>
      <c r="F9390" s="986">
        <v>0.44199074074074074</v>
      </c>
      <c r="G9390" s="94" t="s">
        <v>453</v>
      </c>
      <c r="H9390" s="987">
        <v>1.3</v>
      </c>
      <c r="I9390" s="988" t="s">
        <v>3145</v>
      </c>
      <c r="J9390" s="67">
        <f t="shared" si="535"/>
        <v>-13033.3</v>
      </c>
      <c r="L9390" s="70"/>
      <c r="M9390" s="934"/>
    </row>
    <row r="9391" ht="12.75" hidden="1" customHeight="1" outlineLevel="1">
      <c r="A9391" s="202">
        <v>42705.0</v>
      </c>
      <c r="B9391" s="985" t="s">
        <v>343</v>
      </c>
      <c r="C9391" s="94" t="s">
        <v>1074</v>
      </c>
      <c r="D9391" s="94">
        <v>100.0</v>
      </c>
      <c r="E9391" s="94">
        <v>129.73</v>
      </c>
      <c r="F9391" s="986">
        <v>0.40695601851851854</v>
      </c>
      <c r="G9391" s="94" t="s">
        <v>453</v>
      </c>
      <c r="H9391" s="987">
        <v>1.0</v>
      </c>
      <c r="I9391" s="988" t="s">
        <v>3145</v>
      </c>
      <c r="J9391" s="67">
        <f t="shared" si="535"/>
        <v>-12974</v>
      </c>
      <c r="L9391" s="70"/>
      <c r="M9391" s="934"/>
    </row>
    <row r="9392" ht="12.75" hidden="1" customHeight="1" outlineLevel="1">
      <c r="A9392" s="202">
        <v>42705.0</v>
      </c>
      <c r="B9392" s="992"/>
      <c r="C9392" s="32" t="s">
        <v>339</v>
      </c>
      <c r="D9392" s="1"/>
      <c r="F9392" s="1"/>
      <c r="G9392" s="1"/>
      <c r="H9392" s="68"/>
      <c r="I9392" s="76"/>
      <c r="K9392" s="994" t="s">
        <v>3412</v>
      </c>
      <c r="L9392" s="934"/>
      <c r="M9392" s="934"/>
    </row>
    <row r="9393" ht="12.75" hidden="1" customHeight="1" outlineLevel="1">
      <c r="A9393" s="202">
        <v>42705.0</v>
      </c>
      <c r="B9393" s="992"/>
      <c r="C9393" s="32" t="s">
        <v>429</v>
      </c>
      <c r="D9393" s="1"/>
      <c r="F9393" s="1"/>
      <c r="G9393" s="1"/>
      <c r="H9393" s="68"/>
      <c r="I9393" s="76"/>
      <c r="K9393" s="9" t="s">
        <v>3187</v>
      </c>
      <c r="L9393" s="934"/>
      <c r="M9393" s="934"/>
    </row>
    <row r="9394" ht="12.75" hidden="1" customHeight="1" outlineLevel="1">
      <c r="A9394" s="202">
        <v>42705.0</v>
      </c>
      <c r="B9394" s="992"/>
      <c r="C9394" s="32" t="s">
        <v>431</v>
      </c>
      <c r="D9394" s="1"/>
      <c r="F9394" s="1"/>
      <c r="G9394" s="1"/>
      <c r="H9394" s="68"/>
      <c r="I9394" s="76"/>
      <c r="K9394" s="7" t="s">
        <v>1126</v>
      </c>
      <c r="L9394" s="934"/>
      <c r="M9394" s="934"/>
    </row>
    <row r="9395" ht="12.75" hidden="1" customHeight="1" outlineLevel="1">
      <c r="A9395" s="202">
        <v>42705.0</v>
      </c>
      <c r="B9395" s="992"/>
      <c r="C9395" s="32" t="s">
        <v>433</v>
      </c>
      <c r="D9395" s="1"/>
      <c r="F9395" s="1"/>
      <c r="G9395" s="1"/>
      <c r="H9395" s="68"/>
      <c r="I9395" s="76"/>
      <c r="K9395" s="7" t="s">
        <v>1103</v>
      </c>
      <c r="L9395" s="934"/>
      <c r="M9395" s="934"/>
    </row>
    <row r="9396" ht="12.75" hidden="1" customHeight="1" outlineLevel="1">
      <c r="A9396" s="202">
        <v>42705.0</v>
      </c>
      <c r="B9396" s="992"/>
      <c r="C9396" s="32" t="s">
        <v>435</v>
      </c>
      <c r="D9396" s="1"/>
      <c r="F9396" s="1"/>
      <c r="G9396" s="1"/>
      <c r="H9396" s="68"/>
      <c r="I9396" s="76"/>
      <c r="K9396" s="9" t="s">
        <v>3331</v>
      </c>
      <c r="L9396" s="934"/>
      <c r="M9396" s="934"/>
    </row>
    <row r="9397" ht="12.75" hidden="1" customHeight="1" outlineLevel="1">
      <c r="A9397" s="202">
        <v>42709.0</v>
      </c>
      <c r="B9397" s="985" t="s">
        <v>343</v>
      </c>
      <c r="C9397" s="94" t="s">
        <v>2428</v>
      </c>
      <c r="D9397" s="94">
        <v>400.0</v>
      </c>
      <c r="E9397" s="94">
        <v>19.48</v>
      </c>
      <c r="F9397" s="986">
        <v>0.4063425925925926</v>
      </c>
      <c r="G9397" s="94" t="s">
        <v>453</v>
      </c>
      <c r="H9397" s="987">
        <v>2.0</v>
      </c>
      <c r="I9397" s="988" t="s">
        <v>3145</v>
      </c>
      <c r="J9397" s="67">
        <f>IF(B9397="SLD",D9397*E9397,-D9397*E9397)-H9397</f>
        <v>-7794</v>
      </c>
      <c r="L9397" s="70"/>
      <c r="M9397" s="934"/>
    </row>
    <row r="9398" ht="12.75" hidden="1" customHeight="1" outlineLevel="1">
      <c r="A9398" s="202">
        <v>42709.0</v>
      </c>
      <c r="B9398" s="992"/>
      <c r="C9398" s="32" t="s">
        <v>339</v>
      </c>
      <c r="D9398" s="1"/>
      <c r="F9398" s="1"/>
      <c r="G9398" s="1"/>
      <c r="H9398" s="68"/>
      <c r="I9398" s="76"/>
      <c r="K9398" s="994" t="s">
        <v>3415</v>
      </c>
      <c r="L9398" s="934"/>
      <c r="M9398" s="934"/>
    </row>
    <row r="9399" ht="12.75" hidden="1" customHeight="1" outlineLevel="1">
      <c r="A9399" s="202">
        <v>42709.0</v>
      </c>
      <c r="B9399" s="992"/>
      <c r="C9399" s="32" t="s">
        <v>429</v>
      </c>
      <c r="D9399" s="1"/>
      <c r="F9399" s="1"/>
      <c r="G9399" s="1"/>
      <c r="H9399" s="68"/>
      <c r="I9399" s="76"/>
      <c r="K9399" s="9" t="s">
        <v>3187</v>
      </c>
      <c r="L9399" s="934"/>
      <c r="M9399" s="934"/>
    </row>
    <row r="9400" ht="12.75" hidden="1" customHeight="1" outlineLevel="1">
      <c r="A9400" s="202">
        <v>42709.0</v>
      </c>
      <c r="B9400" s="992"/>
      <c r="C9400" s="32" t="s">
        <v>431</v>
      </c>
      <c r="D9400" s="1"/>
      <c r="F9400" s="1"/>
      <c r="G9400" s="1"/>
      <c r="H9400" s="68"/>
      <c r="I9400" s="76"/>
      <c r="K9400" s="7" t="s">
        <v>1126</v>
      </c>
      <c r="L9400" s="934"/>
      <c r="M9400" s="934"/>
    </row>
    <row r="9401" ht="12.75" hidden="1" customHeight="1" outlineLevel="1">
      <c r="A9401" s="202">
        <v>42709.0</v>
      </c>
      <c r="B9401" s="992"/>
      <c r="C9401" s="32" t="s">
        <v>433</v>
      </c>
      <c r="D9401" s="1"/>
      <c r="F9401" s="1"/>
      <c r="G9401" s="1"/>
      <c r="H9401" s="68"/>
      <c r="I9401" s="76"/>
      <c r="K9401" s="7" t="s">
        <v>1103</v>
      </c>
      <c r="L9401" s="934"/>
      <c r="M9401" s="934"/>
    </row>
    <row r="9402" ht="12.75" hidden="1" customHeight="1" outlineLevel="1">
      <c r="A9402" s="202">
        <v>42709.0</v>
      </c>
      <c r="B9402" s="992"/>
      <c r="C9402" s="32" t="s">
        <v>435</v>
      </c>
      <c r="D9402" s="1"/>
      <c r="F9402" s="1"/>
      <c r="G9402" s="1"/>
      <c r="H9402" s="68"/>
      <c r="I9402" s="76"/>
      <c r="K9402" s="9" t="s">
        <v>3331</v>
      </c>
      <c r="L9402" s="934"/>
      <c r="M9402" s="934"/>
    </row>
    <row r="9403" ht="12.75" hidden="1" customHeight="1" outlineLevel="1">
      <c r="A9403" s="202">
        <v>42711.0</v>
      </c>
      <c r="B9403" s="985" t="s">
        <v>343</v>
      </c>
      <c r="C9403" s="94" t="s">
        <v>604</v>
      </c>
      <c r="D9403" s="94">
        <v>500.0</v>
      </c>
      <c r="E9403" s="94">
        <v>3.78</v>
      </c>
      <c r="F9403" s="986">
        <v>0.40425925925925926</v>
      </c>
      <c r="G9403" s="94" t="s">
        <v>453</v>
      </c>
      <c r="H9403" s="987">
        <v>2.5</v>
      </c>
      <c r="I9403" s="988" t="s">
        <v>3145</v>
      </c>
      <c r="J9403" s="67">
        <f t="shared" ref="J9403:J9409" si="536">IF(B9403="SLD",D9403*E9403,-D9403*E9403)-H9403</f>
        <v>-1892.5</v>
      </c>
      <c r="L9403" s="70"/>
      <c r="M9403" s="934"/>
    </row>
    <row r="9404" ht="12.75" hidden="1" customHeight="1" outlineLevel="1">
      <c r="A9404" s="202">
        <v>42711.0</v>
      </c>
      <c r="B9404" s="985" t="s">
        <v>343</v>
      </c>
      <c r="C9404" s="94" t="s">
        <v>1485</v>
      </c>
      <c r="D9404" s="94">
        <v>500.0</v>
      </c>
      <c r="E9404" s="94">
        <v>7.93</v>
      </c>
      <c r="F9404" s="986">
        <v>0.40421296296296294</v>
      </c>
      <c r="G9404" s="94" t="s">
        <v>453</v>
      </c>
      <c r="H9404" s="987">
        <v>2.5</v>
      </c>
      <c r="I9404" s="988" t="s">
        <v>3145</v>
      </c>
      <c r="J9404" s="67">
        <f t="shared" si="536"/>
        <v>-3967.5</v>
      </c>
      <c r="L9404" s="70"/>
      <c r="M9404" s="934"/>
    </row>
    <row r="9405" ht="12.75" hidden="1" customHeight="1" outlineLevel="1">
      <c r="A9405" s="202">
        <v>42711.0</v>
      </c>
      <c r="B9405" s="985" t="s">
        <v>343</v>
      </c>
      <c r="C9405" s="94" t="s">
        <v>1092</v>
      </c>
      <c r="D9405" s="94">
        <v>500.0</v>
      </c>
      <c r="E9405" s="94">
        <v>8.35</v>
      </c>
      <c r="F9405" s="986">
        <v>0.4041666666666667</v>
      </c>
      <c r="G9405" s="94" t="s">
        <v>453</v>
      </c>
      <c r="H9405" s="987">
        <v>2.5</v>
      </c>
      <c r="I9405" s="988" t="s">
        <v>3145</v>
      </c>
      <c r="J9405" s="67">
        <f t="shared" si="536"/>
        <v>-4177.5</v>
      </c>
      <c r="L9405" s="70"/>
      <c r="M9405" s="934"/>
    </row>
    <row r="9406" ht="12.75" hidden="1" customHeight="1" outlineLevel="1">
      <c r="A9406" s="202">
        <v>42711.0</v>
      </c>
      <c r="B9406" s="985" t="s">
        <v>343</v>
      </c>
      <c r="C9406" s="94" t="s">
        <v>1483</v>
      </c>
      <c r="D9406" s="94">
        <v>500.0</v>
      </c>
      <c r="E9406" s="94">
        <v>3.66</v>
      </c>
      <c r="F9406" s="986">
        <v>0.40394675925925927</v>
      </c>
      <c r="G9406" s="94" t="s">
        <v>453</v>
      </c>
      <c r="H9406" s="987">
        <v>2.5</v>
      </c>
      <c r="I9406" s="988" t="s">
        <v>3145</v>
      </c>
      <c r="J9406" s="67">
        <f t="shared" si="536"/>
        <v>-1832.5</v>
      </c>
      <c r="L9406" s="70"/>
      <c r="M9406" s="934"/>
    </row>
    <row r="9407" ht="12.75" hidden="1" customHeight="1" outlineLevel="1">
      <c r="A9407" s="202">
        <v>42712.0</v>
      </c>
      <c r="B9407" s="985" t="s">
        <v>343</v>
      </c>
      <c r="C9407" s="94" t="s">
        <v>1137</v>
      </c>
      <c r="D9407" s="94">
        <v>65.0</v>
      </c>
      <c r="E9407" s="94">
        <v>114.25</v>
      </c>
      <c r="F9407" s="986">
        <v>0.4071412037037037</v>
      </c>
      <c r="G9407" s="94" t="s">
        <v>453</v>
      </c>
      <c r="H9407" s="987">
        <v>1.0</v>
      </c>
      <c r="I9407" s="988" t="s">
        <v>3145</v>
      </c>
      <c r="J9407" s="67">
        <f t="shared" si="536"/>
        <v>-7427.25</v>
      </c>
      <c r="L9407" s="70"/>
      <c r="M9407" s="934"/>
    </row>
    <row r="9408" ht="12.75" hidden="1" customHeight="1" outlineLevel="1">
      <c r="A9408" s="202">
        <v>42712.0</v>
      </c>
      <c r="B9408" s="985" t="s">
        <v>343</v>
      </c>
      <c r="C9408" s="94" t="s">
        <v>1123</v>
      </c>
      <c r="D9408" s="94">
        <v>75.0</v>
      </c>
      <c r="E9408" s="94">
        <v>97.95</v>
      </c>
      <c r="F9408" s="986">
        <v>0.40699074074074076</v>
      </c>
      <c r="G9408" s="94" t="s">
        <v>453</v>
      </c>
      <c r="H9408" s="987">
        <v>1.0</v>
      </c>
      <c r="I9408" s="988" t="s">
        <v>3145</v>
      </c>
      <c r="J9408" s="67">
        <f t="shared" si="536"/>
        <v>-7347.25</v>
      </c>
      <c r="L9408" s="70"/>
      <c r="M9408" s="934"/>
    </row>
    <row r="9409" ht="12.75" hidden="1" customHeight="1" outlineLevel="1">
      <c r="A9409" s="202">
        <v>42712.0</v>
      </c>
      <c r="B9409" s="985" t="s">
        <v>343</v>
      </c>
      <c r="C9409" s="94" t="s">
        <v>847</v>
      </c>
      <c r="D9409" s="94">
        <v>55.0</v>
      </c>
      <c r="E9409" s="94">
        <v>135.839</v>
      </c>
      <c r="F9409" s="986">
        <v>0.4062962962962963</v>
      </c>
      <c r="G9409" s="94" t="s">
        <v>453</v>
      </c>
      <c r="H9409" s="987">
        <v>1.0</v>
      </c>
      <c r="I9409" s="988" t="s">
        <v>3145</v>
      </c>
      <c r="J9409" s="67">
        <f t="shared" si="536"/>
        <v>-7472.145</v>
      </c>
      <c r="L9409" s="70"/>
      <c r="M9409" s="934"/>
    </row>
    <row r="9410" ht="12.75" hidden="1" customHeight="1" outlineLevel="1">
      <c r="A9410" s="202">
        <v>42712.0</v>
      </c>
      <c r="B9410" s="992"/>
      <c r="C9410" s="32" t="s">
        <v>339</v>
      </c>
      <c r="D9410" s="1"/>
      <c r="F9410" s="1"/>
      <c r="G9410" s="1"/>
      <c r="H9410" s="68"/>
      <c r="I9410" s="76"/>
      <c r="K9410" s="994" t="s">
        <v>3419</v>
      </c>
      <c r="L9410" s="934"/>
      <c r="M9410" s="934"/>
    </row>
    <row r="9411" ht="12.75" hidden="1" customHeight="1" outlineLevel="1">
      <c r="A9411" s="202">
        <v>42712.0</v>
      </c>
      <c r="B9411" s="992"/>
      <c r="C9411" s="32" t="s">
        <v>429</v>
      </c>
      <c r="D9411" s="1"/>
      <c r="F9411" s="1"/>
      <c r="G9411" s="1"/>
      <c r="H9411" s="68"/>
      <c r="I9411" s="76"/>
      <c r="K9411" s="9" t="s">
        <v>3187</v>
      </c>
      <c r="L9411" s="934"/>
      <c r="M9411" s="934"/>
    </row>
    <row r="9412" ht="12.75" hidden="1" customHeight="1" outlineLevel="1">
      <c r="A9412" s="202">
        <v>42712.0</v>
      </c>
      <c r="B9412" s="992"/>
      <c r="C9412" s="32" t="s">
        <v>431</v>
      </c>
      <c r="D9412" s="1"/>
      <c r="F9412" s="1"/>
      <c r="G9412" s="1"/>
      <c r="H9412" s="68"/>
      <c r="I9412" s="76"/>
      <c r="K9412" s="7" t="s">
        <v>1126</v>
      </c>
      <c r="L9412" s="934"/>
      <c r="M9412" s="934"/>
    </row>
    <row r="9413" ht="12.75" hidden="1" customHeight="1" outlineLevel="1">
      <c r="A9413" s="202">
        <v>42712.0</v>
      </c>
      <c r="B9413" s="992"/>
      <c r="C9413" s="32" t="s">
        <v>433</v>
      </c>
      <c r="D9413" s="1"/>
      <c r="F9413" s="1"/>
      <c r="G9413" s="1"/>
      <c r="H9413" s="68"/>
      <c r="I9413" s="76"/>
      <c r="K9413" s="7" t="s">
        <v>1103</v>
      </c>
      <c r="L9413" s="934"/>
      <c r="M9413" s="934"/>
    </row>
    <row r="9414" ht="12.75" hidden="1" customHeight="1" outlineLevel="1">
      <c r="A9414" s="202">
        <v>42712.0</v>
      </c>
      <c r="B9414" s="992"/>
      <c r="C9414" s="32" t="s">
        <v>435</v>
      </c>
      <c r="D9414" s="1"/>
      <c r="F9414" s="1"/>
      <c r="G9414" s="1"/>
      <c r="H9414" s="68"/>
      <c r="I9414" s="76"/>
      <c r="K9414" s="9" t="s">
        <v>3331</v>
      </c>
      <c r="L9414" s="934"/>
      <c r="M9414" s="934"/>
    </row>
    <row r="9415" ht="12.75" hidden="1" customHeight="1" outlineLevel="1">
      <c r="A9415" s="202">
        <v>42716.0</v>
      </c>
      <c r="B9415" s="985" t="s">
        <v>343</v>
      </c>
      <c r="C9415" s="94" t="s">
        <v>3380</v>
      </c>
      <c r="D9415" s="94">
        <v>700.0</v>
      </c>
      <c r="E9415" s="94">
        <v>20.878</v>
      </c>
      <c r="F9415" s="986">
        <v>0.6195486111111111</v>
      </c>
      <c r="G9415" s="94" t="s">
        <v>453</v>
      </c>
      <c r="H9415" s="987">
        <v>2.8</v>
      </c>
      <c r="I9415" s="988" t="s">
        <v>3145</v>
      </c>
      <c r="J9415" s="67">
        <f t="shared" ref="J9415:J9416" si="537">IF(B9415="SLD",D9415*E9415,-D9415*E9415)-H9415</f>
        <v>-14617.4</v>
      </c>
      <c r="L9415" s="70"/>
      <c r="M9415" s="934"/>
    </row>
    <row r="9416" ht="12.75" hidden="1" customHeight="1" outlineLevel="1">
      <c r="A9416" s="202">
        <v>42716.0</v>
      </c>
      <c r="B9416" s="985" t="s">
        <v>343</v>
      </c>
      <c r="C9416" s="94" t="s">
        <v>3417</v>
      </c>
      <c r="D9416" s="286">
        <v>1000.0</v>
      </c>
      <c r="E9416" s="94">
        <v>12.809</v>
      </c>
      <c r="F9416" s="986">
        <v>0.6193402777777778</v>
      </c>
      <c r="G9416" s="94" t="s">
        <v>453</v>
      </c>
      <c r="H9416" s="987">
        <v>4.5</v>
      </c>
      <c r="I9416" s="988" t="s">
        <v>3145</v>
      </c>
      <c r="J9416" s="67">
        <f t="shared" si="537"/>
        <v>-12813.5</v>
      </c>
      <c r="L9416" s="70"/>
      <c r="M9416" s="934"/>
    </row>
    <row r="9417" ht="12.75" hidden="1" customHeight="1" outlineLevel="1">
      <c r="A9417" s="202">
        <v>42729.0</v>
      </c>
      <c r="B9417" s="992"/>
      <c r="C9417" s="32" t="s">
        <v>339</v>
      </c>
      <c r="D9417" s="1"/>
      <c r="F9417" s="1"/>
      <c r="G9417" s="1"/>
      <c r="H9417" s="68"/>
      <c r="I9417" s="76"/>
      <c r="K9417" s="201" t="s">
        <v>3421</v>
      </c>
      <c r="L9417" s="934"/>
      <c r="M9417" s="934"/>
    </row>
    <row r="9418" ht="12.75" hidden="1" customHeight="1" outlineLevel="1">
      <c r="A9418" s="202">
        <v>42729.0</v>
      </c>
      <c r="B9418" s="992"/>
      <c r="C9418" s="32" t="s">
        <v>429</v>
      </c>
      <c r="D9418" s="1"/>
      <c r="F9418" s="1"/>
      <c r="G9418" s="1"/>
      <c r="H9418" s="68"/>
      <c r="I9418" s="76"/>
      <c r="K9418" s="9" t="s">
        <v>3187</v>
      </c>
      <c r="L9418" s="934"/>
      <c r="M9418" s="934"/>
    </row>
    <row r="9419" ht="12.75" hidden="1" customHeight="1" outlineLevel="1">
      <c r="A9419" s="202">
        <v>42729.0</v>
      </c>
      <c r="B9419" s="992"/>
      <c r="C9419" s="32" t="s">
        <v>431</v>
      </c>
      <c r="D9419" s="1"/>
      <c r="F9419" s="1"/>
      <c r="G9419" s="1"/>
      <c r="H9419" s="68"/>
      <c r="I9419" s="76"/>
      <c r="K9419" s="7" t="s">
        <v>1126</v>
      </c>
      <c r="L9419" s="934"/>
      <c r="M9419" s="934"/>
    </row>
    <row r="9420" ht="12.75" hidden="1" customHeight="1" outlineLevel="1">
      <c r="A9420" s="202">
        <v>42729.0</v>
      </c>
      <c r="B9420" s="992"/>
      <c r="C9420" s="32" t="s">
        <v>433</v>
      </c>
      <c r="D9420" s="1"/>
      <c r="F9420" s="1"/>
      <c r="G9420" s="1"/>
      <c r="H9420" s="68"/>
      <c r="I9420" s="76"/>
      <c r="K9420" s="7" t="s">
        <v>1103</v>
      </c>
      <c r="L9420" s="934"/>
      <c r="M9420" s="934"/>
    </row>
    <row r="9421" ht="12.75" hidden="1" customHeight="1" outlineLevel="1">
      <c r="A9421" s="202">
        <v>42729.0</v>
      </c>
      <c r="B9421" s="992"/>
      <c r="C9421" s="32" t="s">
        <v>435</v>
      </c>
      <c r="D9421" s="1"/>
      <c r="F9421" s="1"/>
      <c r="G9421" s="1"/>
      <c r="H9421" s="68"/>
      <c r="I9421" s="76"/>
      <c r="K9421" s="9" t="s">
        <v>3331</v>
      </c>
      <c r="L9421" s="934"/>
      <c r="M9421" s="934"/>
    </row>
    <row r="9422" ht="12.75" hidden="1" customHeight="1" outlineLevel="1">
      <c r="A9422" s="202">
        <v>42738.0</v>
      </c>
      <c r="B9422" s="985" t="s">
        <v>343</v>
      </c>
      <c r="C9422" s="94" t="s">
        <v>604</v>
      </c>
      <c r="D9422" s="94">
        <v>500.0</v>
      </c>
      <c r="E9422" s="94">
        <v>4.02</v>
      </c>
      <c r="F9422" s="986">
        <v>0.4185763888888889</v>
      </c>
      <c r="G9422" s="94" t="s">
        <v>453</v>
      </c>
      <c r="H9422" s="987">
        <v>2.5</v>
      </c>
      <c r="I9422" s="988" t="s">
        <v>3145</v>
      </c>
      <c r="J9422" s="67">
        <f t="shared" ref="J9422:J9430" si="538">IF(B9422="SLD",D9422*E9422,-D9422*E9422)-H9422</f>
        <v>-2012.5</v>
      </c>
      <c r="L9422" s="70"/>
      <c r="M9422" s="934"/>
    </row>
    <row r="9423" ht="12.75" hidden="1" customHeight="1" outlineLevel="1">
      <c r="A9423" s="202">
        <v>42738.0</v>
      </c>
      <c r="B9423" s="985" t="s">
        <v>343</v>
      </c>
      <c r="C9423" s="94" t="s">
        <v>1483</v>
      </c>
      <c r="D9423" s="94">
        <v>500.0</v>
      </c>
      <c r="E9423" s="94">
        <v>3.84</v>
      </c>
      <c r="F9423" s="986">
        <v>0.41877314814814814</v>
      </c>
      <c r="G9423" s="94" t="s">
        <v>453</v>
      </c>
      <c r="H9423" s="987">
        <v>2.5</v>
      </c>
      <c r="I9423" s="988" t="s">
        <v>3145</v>
      </c>
      <c r="J9423" s="67">
        <f t="shared" si="538"/>
        <v>-1922.5</v>
      </c>
      <c r="L9423" s="70"/>
      <c r="M9423" s="934"/>
    </row>
    <row r="9424" ht="12.75" hidden="1" customHeight="1" outlineLevel="1">
      <c r="A9424" s="202">
        <v>42738.0</v>
      </c>
      <c r="B9424" s="985" t="s">
        <v>343</v>
      </c>
      <c r="C9424" s="94" t="s">
        <v>1485</v>
      </c>
      <c r="D9424" s="94">
        <v>500.0</v>
      </c>
      <c r="E9424" s="94">
        <v>7.85</v>
      </c>
      <c r="F9424" s="986">
        <v>0.41910879629629627</v>
      </c>
      <c r="G9424" s="94" t="s">
        <v>453</v>
      </c>
      <c r="H9424" s="987">
        <v>2.5</v>
      </c>
      <c r="I9424" s="988" t="s">
        <v>3145</v>
      </c>
      <c r="J9424" s="67">
        <f t="shared" si="538"/>
        <v>-3927.5</v>
      </c>
      <c r="L9424" s="70"/>
      <c r="M9424" s="934"/>
    </row>
    <row r="9425" ht="12.75" hidden="1" customHeight="1" outlineLevel="1">
      <c r="A9425" s="202">
        <v>42738.0</v>
      </c>
      <c r="B9425" s="985" t="s">
        <v>343</v>
      </c>
      <c r="C9425" s="94" t="s">
        <v>1092</v>
      </c>
      <c r="D9425" s="94">
        <v>500.0</v>
      </c>
      <c r="E9425" s="94">
        <v>8.099</v>
      </c>
      <c r="F9425" s="986">
        <v>0.4192013888888889</v>
      </c>
      <c r="G9425" s="94" t="s">
        <v>453</v>
      </c>
      <c r="H9425" s="987">
        <v>2.5</v>
      </c>
      <c r="I9425" s="988" t="s">
        <v>3145</v>
      </c>
      <c r="J9425" s="67">
        <f t="shared" si="538"/>
        <v>-4052</v>
      </c>
      <c r="L9425" s="70"/>
      <c r="M9425" s="934"/>
    </row>
    <row r="9426" ht="12.75" hidden="1" customHeight="1" outlineLevel="1">
      <c r="A9426" s="202">
        <v>42738.0</v>
      </c>
      <c r="B9426" s="985" t="s">
        <v>343</v>
      </c>
      <c r="C9426" s="94" t="s">
        <v>1249</v>
      </c>
      <c r="D9426" s="94">
        <v>300.0</v>
      </c>
      <c r="E9426" s="94">
        <v>81.19</v>
      </c>
      <c r="F9426" s="986">
        <v>0.41965277777777776</v>
      </c>
      <c r="G9426" s="94" t="s">
        <v>453</v>
      </c>
      <c r="H9426" s="987">
        <v>1.5</v>
      </c>
      <c r="I9426" s="988" t="s">
        <v>3145</v>
      </c>
      <c r="J9426" s="67">
        <f t="shared" si="538"/>
        <v>-24358.5</v>
      </c>
      <c r="L9426" s="70"/>
      <c r="M9426" s="934"/>
    </row>
    <row r="9427" ht="12.75" hidden="1" customHeight="1" outlineLevel="1">
      <c r="A9427" s="202">
        <v>42738.0</v>
      </c>
      <c r="B9427" s="985" t="s">
        <v>343</v>
      </c>
      <c r="C9427" s="94" t="s">
        <v>1061</v>
      </c>
      <c r="D9427" s="94">
        <v>700.0</v>
      </c>
      <c r="E9427" s="94">
        <v>42.466</v>
      </c>
      <c r="F9427" s="986">
        <v>0.41976851851851854</v>
      </c>
      <c r="G9427" s="94" t="s">
        <v>453</v>
      </c>
      <c r="H9427" s="987">
        <v>2.8</v>
      </c>
      <c r="I9427" s="988" t="s">
        <v>3145</v>
      </c>
      <c r="J9427" s="67">
        <f t="shared" si="538"/>
        <v>-29729</v>
      </c>
      <c r="L9427" s="70"/>
      <c r="M9427" s="934"/>
    </row>
    <row r="9428" ht="12.75" hidden="1" customHeight="1" outlineLevel="1">
      <c r="A9428" s="202">
        <v>42738.0</v>
      </c>
      <c r="B9428" s="985" t="s">
        <v>343</v>
      </c>
      <c r="C9428" s="94" t="s">
        <v>3020</v>
      </c>
      <c r="D9428" s="94">
        <v>150.0</v>
      </c>
      <c r="E9428" s="94">
        <v>144.71</v>
      </c>
      <c r="F9428" s="986">
        <v>0.4204861111111111</v>
      </c>
      <c r="G9428" s="94" t="s">
        <v>453</v>
      </c>
      <c r="H9428" s="987">
        <v>1.0</v>
      </c>
      <c r="I9428" s="988" t="s">
        <v>3145</v>
      </c>
      <c r="J9428" s="67">
        <f t="shared" si="538"/>
        <v>-21707.5</v>
      </c>
      <c r="L9428" s="70"/>
      <c r="M9428" s="934"/>
    </row>
    <row r="9429" ht="12.75" hidden="1" customHeight="1" outlineLevel="1">
      <c r="A9429" s="202">
        <v>42738.0</v>
      </c>
      <c r="B9429" s="985" t="s">
        <v>343</v>
      </c>
      <c r="C9429" s="94" t="s">
        <v>1070</v>
      </c>
      <c r="D9429" s="94">
        <v>100.0</v>
      </c>
      <c r="E9429" s="94">
        <v>259.19</v>
      </c>
      <c r="F9429" s="986">
        <v>0.4206712962962963</v>
      </c>
      <c r="G9429" s="94" t="s">
        <v>453</v>
      </c>
      <c r="H9429" s="987">
        <v>1.0</v>
      </c>
      <c r="I9429" s="988" t="s">
        <v>3145</v>
      </c>
      <c r="J9429" s="67">
        <f t="shared" si="538"/>
        <v>-25920</v>
      </c>
      <c r="L9429" s="70"/>
      <c r="M9429" s="934"/>
    </row>
    <row r="9430" ht="12.75" hidden="1" customHeight="1" outlineLevel="1">
      <c r="A9430" s="202">
        <v>42738.0</v>
      </c>
      <c r="B9430" s="985" t="s">
        <v>343</v>
      </c>
      <c r="C9430" s="94" t="s">
        <v>344</v>
      </c>
      <c r="D9430" s="94">
        <v>400.0</v>
      </c>
      <c r="E9430" s="94">
        <v>65.709</v>
      </c>
      <c r="F9430" s="986">
        <v>0.42128472222222224</v>
      </c>
      <c r="G9430" s="94" t="s">
        <v>453</v>
      </c>
      <c r="H9430" s="987">
        <v>1.7</v>
      </c>
      <c r="I9430" s="988" t="s">
        <v>3145</v>
      </c>
      <c r="J9430" s="67">
        <f t="shared" si="538"/>
        <v>-26285.3</v>
      </c>
      <c r="L9430" s="70"/>
      <c r="M9430" s="934"/>
    </row>
    <row r="9431" ht="12.75" hidden="1" customHeight="1" outlineLevel="1">
      <c r="A9431" s="202">
        <v>42738.0</v>
      </c>
      <c r="B9431" s="992"/>
      <c r="C9431" s="32" t="s">
        <v>339</v>
      </c>
      <c r="D9431" s="1"/>
      <c r="F9431" s="1"/>
      <c r="G9431" s="1"/>
      <c r="H9431" s="68"/>
      <c r="I9431" s="76"/>
      <c r="K9431" s="201" t="s">
        <v>3425</v>
      </c>
      <c r="L9431" s="934"/>
      <c r="M9431" s="934"/>
    </row>
    <row r="9432" ht="12.75" hidden="1" customHeight="1" outlineLevel="1">
      <c r="A9432" s="202">
        <v>42738.0</v>
      </c>
      <c r="B9432" s="992"/>
      <c r="C9432" s="32" t="s">
        <v>429</v>
      </c>
      <c r="D9432" s="1"/>
      <c r="F9432" s="1"/>
      <c r="G9432" s="1"/>
      <c r="H9432" s="68"/>
      <c r="I9432" s="76"/>
      <c r="K9432" s="9" t="s">
        <v>3187</v>
      </c>
      <c r="L9432" s="934"/>
      <c r="M9432" s="934"/>
    </row>
    <row r="9433" ht="12.75" hidden="1" customHeight="1" outlineLevel="1">
      <c r="A9433" s="202">
        <v>42738.0</v>
      </c>
      <c r="B9433" s="992"/>
      <c r="C9433" s="32" t="s">
        <v>431</v>
      </c>
      <c r="D9433" s="1"/>
      <c r="F9433" s="1"/>
      <c r="G9433" s="1"/>
      <c r="H9433" s="68"/>
      <c r="I9433" s="76"/>
      <c r="K9433" s="7" t="s">
        <v>1126</v>
      </c>
      <c r="L9433" s="934"/>
      <c r="M9433" s="934"/>
    </row>
    <row r="9434" ht="12.75" hidden="1" customHeight="1" outlineLevel="1">
      <c r="A9434" s="202">
        <v>42738.0</v>
      </c>
      <c r="B9434" s="992"/>
      <c r="C9434" s="32" t="s">
        <v>433</v>
      </c>
      <c r="D9434" s="1"/>
      <c r="F9434" s="1"/>
      <c r="G9434" s="1"/>
      <c r="H9434" s="68"/>
      <c r="I9434" s="76"/>
      <c r="K9434" s="7" t="s">
        <v>1103</v>
      </c>
      <c r="L9434" s="934"/>
      <c r="M9434" s="934"/>
    </row>
    <row r="9435" ht="12.75" hidden="1" customHeight="1" outlineLevel="1">
      <c r="A9435" s="202">
        <v>42738.0</v>
      </c>
      <c r="B9435" s="992"/>
      <c r="C9435" s="32" t="s">
        <v>435</v>
      </c>
      <c r="D9435" s="1"/>
      <c r="F9435" s="1"/>
      <c r="G9435" s="1"/>
      <c r="H9435" s="68"/>
      <c r="I9435" s="76"/>
      <c r="K9435" s="9" t="s">
        <v>3331</v>
      </c>
      <c r="L9435" s="934"/>
      <c r="M9435" s="934"/>
    </row>
    <row r="9436" ht="12.75" hidden="1" customHeight="1" outlineLevel="1">
      <c r="A9436" s="202">
        <v>42739.0</v>
      </c>
      <c r="B9436" s="985" t="s">
        <v>343</v>
      </c>
      <c r="C9436" s="94" t="s">
        <v>3028</v>
      </c>
      <c r="D9436" s="94">
        <v>150.0</v>
      </c>
      <c r="E9436" s="94">
        <v>69.199</v>
      </c>
      <c r="F9436" s="986">
        <v>0.48909722222222224</v>
      </c>
      <c r="G9436" s="94" t="s">
        <v>453</v>
      </c>
      <c r="H9436" s="987">
        <v>1.0</v>
      </c>
      <c r="I9436" s="988" t="s">
        <v>3145</v>
      </c>
      <c r="J9436" s="67">
        <f t="shared" ref="J9436:J9438" si="539">IF(B9436="SLD",D9436*E9436,-D9436*E9436)-H9436</f>
        <v>-10380.85</v>
      </c>
      <c r="L9436" s="70"/>
      <c r="M9436" s="934"/>
    </row>
    <row r="9437" ht="12.75" hidden="1" customHeight="1" outlineLevel="1">
      <c r="A9437" s="202">
        <v>42739.0</v>
      </c>
      <c r="B9437" s="985" t="s">
        <v>343</v>
      </c>
      <c r="C9437" s="94" t="s">
        <v>381</v>
      </c>
      <c r="D9437" s="94">
        <v>75.0</v>
      </c>
      <c r="E9437" s="94">
        <v>118.05</v>
      </c>
      <c r="F9437" s="986">
        <v>0.48890046296296297</v>
      </c>
      <c r="G9437" s="94" t="s">
        <v>453</v>
      </c>
      <c r="H9437" s="987">
        <v>1.0</v>
      </c>
      <c r="I9437" s="988" t="s">
        <v>3145</v>
      </c>
      <c r="J9437" s="67">
        <f t="shared" si="539"/>
        <v>-8854.75</v>
      </c>
      <c r="L9437" s="70"/>
      <c r="M9437" s="934"/>
    </row>
    <row r="9438" ht="12.75" hidden="1" customHeight="1" outlineLevel="1">
      <c r="A9438" s="202">
        <v>42739.0</v>
      </c>
      <c r="B9438" s="985" t="s">
        <v>343</v>
      </c>
      <c r="C9438" s="94" t="s">
        <v>1516</v>
      </c>
      <c r="D9438" s="94">
        <v>100.0</v>
      </c>
      <c r="E9438" s="94">
        <v>96.88</v>
      </c>
      <c r="F9438" s="986">
        <v>0.4887037037037037</v>
      </c>
      <c r="G9438" s="94" t="s">
        <v>453</v>
      </c>
      <c r="H9438" s="987">
        <v>1.0</v>
      </c>
      <c r="I9438" s="988" t="s">
        <v>3145</v>
      </c>
      <c r="J9438" s="67">
        <f t="shared" si="539"/>
        <v>-9689</v>
      </c>
      <c r="L9438" s="70"/>
      <c r="M9438" s="934"/>
    </row>
    <row r="9439" ht="12.75" hidden="1" customHeight="1" outlineLevel="1">
      <c r="A9439" s="202">
        <v>42738.0</v>
      </c>
      <c r="B9439" s="992"/>
      <c r="C9439" s="32" t="s">
        <v>339</v>
      </c>
      <c r="D9439" s="1"/>
      <c r="F9439" s="1"/>
      <c r="G9439" s="1"/>
      <c r="H9439" s="68"/>
      <c r="I9439" s="76"/>
      <c r="K9439" s="201" t="s">
        <v>3428</v>
      </c>
      <c r="L9439" s="934"/>
      <c r="M9439" s="934"/>
    </row>
    <row r="9440" ht="12.75" hidden="1" customHeight="1" outlineLevel="1">
      <c r="A9440" s="202">
        <v>42738.0</v>
      </c>
      <c r="B9440" s="992"/>
      <c r="C9440" s="32" t="s">
        <v>429</v>
      </c>
      <c r="D9440" s="1"/>
      <c r="F9440" s="1"/>
      <c r="G9440" s="1"/>
      <c r="H9440" s="68"/>
      <c r="I9440" s="76"/>
      <c r="K9440" s="9" t="s">
        <v>3187</v>
      </c>
      <c r="L9440" s="934"/>
      <c r="M9440" s="934"/>
    </row>
    <row r="9441" ht="12.75" hidden="1" customHeight="1" outlineLevel="1">
      <c r="A9441" s="202">
        <v>42738.0</v>
      </c>
      <c r="B9441" s="992"/>
      <c r="C9441" s="32" t="s">
        <v>431</v>
      </c>
      <c r="D9441" s="1"/>
      <c r="F9441" s="1"/>
      <c r="G9441" s="1"/>
      <c r="H9441" s="68"/>
      <c r="I9441" s="76"/>
      <c r="K9441" s="7" t="s">
        <v>1126</v>
      </c>
      <c r="L9441" s="934"/>
      <c r="M9441" s="934"/>
    </row>
    <row r="9442" ht="12.75" hidden="1" customHeight="1" outlineLevel="1">
      <c r="A9442" s="202">
        <v>42738.0</v>
      </c>
      <c r="B9442" s="992"/>
      <c r="C9442" s="32" t="s">
        <v>433</v>
      </c>
      <c r="D9442" s="1"/>
      <c r="F9442" s="1"/>
      <c r="G9442" s="1"/>
      <c r="H9442" s="68"/>
      <c r="I9442" s="76"/>
      <c r="K9442" s="7" t="s">
        <v>1103</v>
      </c>
      <c r="L9442" s="934"/>
      <c r="M9442" s="934"/>
    </row>
    <row r="9443" ht="12.75" hidden="1" customHeight="1" outlineLevel="1">
      <c r="A9443" s="202">
        <v>42738.0</v>
      </c>
      <c r="B9443" s="992"/>
      <c r="C9443" s="32" t="s">
        <v>435</v>
      </c>
      <c r="D9443" s="1"/>
      <c r="F9443" s="1"/>
      <c r="G9443" s="1"/>
      <c r="H9443" s="68"/>
      <c r="I9443" s="76"/>
      <c r="K9443" s="9" t="s">
        <v>3331</v>
      </c>
      <c r="L9443" s="934"/>
      <c r="M9443" s="934"/>
    </row>
    <row r="9444" ht="12.75" hidden="1" customHeight="1" outlineLevel="1">
      <c r="A9444" s="202">
        <v>42752.0</v>
      </c>
      <c r="B9444" s="992"/>
      <c r="C9444" s="32" t="s">
        <v>339</v>
      </c>
      <c r="D9444" s="1"/>
      <c r="F9444" s="1"/>
      <c r="G9444" s="1"/>
      <c r="H9444" s="68"/>
      <c r="I9444" s="76"/>
      <c r="K9444" s="201" t="s">
        <v>3430</v>
      </c>
      <c r="L9444" s="934"/>
      <c r="M9444" s="934"/>
    </row>
    <row r="9445" ht="12.75" hidden="1" customHeight="1" outlineLevel="1">
      <c r="A9445" s="202">
        <v>42752.0</v>
      </c>
      <c r="B9445" s="992"/>
      <c r="C9445" s="32" t="s">
        <v>429</v>
      </c>
      <c r="D9445" s="1"/>
      <c r="F9445" s="1"/>
      <c r="G9445" s="1"/>
      <c r="H9445" s="68"/>
      <c r="I9445" s="76"/>
      <c r="K9445" s="9" t="s">
        <v>3187</v>
      </c>
      <c r="L9445" s="934"/>
      <c r="M9445" s="934"/>
    </row>
    <row r="9446" ht="12.75" hidden="1" customHeight="1" outlineLevel="1">
      <c r="A9446" s="202">
        <v>42752.0</v>
      </c>
      <c r="B9446" s="992"/>
      <c r="C9446" s="32" t="s">
        <v>431</v>
      </c>
      <c r="D9446" s="1"/>
      <c r="F9446" s="1"/>
      <c r="G9446" s="1"/>
      <c r="H9446" s="68"/>
      <c r="I9446" s="76"/>
      <c r="K9446" s="7" t="s">
        <v>1126</v>
      </c>
      <c r="L9446" s="934"/>
      <c r="M9446" s="934"/>
    </row>
    <row r="9447" ht="12.75" hidden="1" customHeight="1" outlineLevel="1">
      <c r="A9447" s="202">
        <v>42752.0</v>
      </c>
      <c r="B9447" s="992"/>
      <c r="C9447" s="32" t="s">
        <v>433</v>
      </c>
      <c r="D9447" s="1"/>
      <c r="F9447" s="1"/>
      <c r="G9447" s="1"/>
      <c r="H9447" s="68"/>
      <c r="I9447" s="76"/>
      <c r="K9447" s="7" t="s">
        <v>1103</v>
      </c>
      <c r="L9447" s="934"/>
      <c r="M9447" s="934"/>
    </row>
    <row r="9448" ht="12.75" hidden="1" customHeight="1" outlineLevel="1">
      <c r="A9448" s="202">
        <v>42752.0</v>
      </c>
      <c r="B9448" s="992"/>
      <c r="C9448" s="32" t="s">
        <v>435</v>
      </c>
      <c r="D9448" s="1"/>
      <c r="F9448" s="1"/>
      <c r="G9448" s="1"/>
      <c r="H9448" s="68"/>
      <c r="I9448" s="76"/>
      <c r="K9448" s="9" t="s">
        <v>3331</v>
      </c>
      <c r="L9448" s="934"/>
      <c r="M9448" s="934"/>
    </row>
    <row r="9449" ht="12.75" hidden="1" customHeight="1" outlineLevel="1">
      <c r="A9449" s="202">
        <v>42758.0</v>
      </c>
      <c r="B9449" s="992"/>
      <c r="C9449" s="32" t="s">
        <v>339</v>
      </c>
      <c r="D9449" s="1"/>
      <c r="F9449" s="1"/>
      <c r="G9449" s="1"/>
      <c r="H9449" s="68"/>
      <c r="I9449" s="76"/>
      <c r="K9449" s="201" t="s">
        <v>3432</v>
      </c>
      <c r="L9449" s="934"/>
      <c r="M9449" s="934"/>
    </row>
    <row r="9450" ht="12.75" hidden="1" customHeight="1" outlineLevel="1">
      <c r="A9450" s="202">
        <v>42758.0</v>
      </c>
      <c r="B9450" s="992"/>
      <c r="C9450" s="32" t="s">
        <v>429</v>
      </c>
      <c r="D9450" s="1"/>
      <c r="F9450" s="1"/>
      <c r="G9450" s="1"/>
      <c r="H9450" s="68"/>
      <c r="I9450" s="76"/>
      <c r="K9450" s="9" t="s">
        <v>3187</v>
      </c>
      <c r="L9450" s="934"/>
      <c r="M9450" s="934"/>
    </row>
    <row r="9451" ht="12.75" hidden="1" customHeight="1" outlineLevel="1">
      <c r="A9451" s="202">
        <v>42758.0</v>
      </c>
      <c r="B9451" s="992"/>
      <c r="C9451" s="32" t="s">
        <v>431</v>
      </c>
      <c r="D9451" s="1"/>
      <c r="F9451" s="1"/>
      <c r="G9451" s="1"/>
      <c r="H9451" s="68"/>
      <c r="I9451" s="76"/>
      <c r="K9451" s="7" t="s">
        <v>1126</v>
      </c>
      <c r="L9451" s="934"/>
      <c r="M9451" s="934"/>
    </row>
    <row r="9452" ht="12.75" hidden="1" customHeight="1" outlineLevel="1">
      <c r="A9452" s="202">
        <v>42758.0</v>
      </c>
      <c r="B9452" s="992"/>
      <c r="C9452" s="32" t="s">
        <v>433</v>
      </c>
      <c r="D9452" s="1"/>
      <c r="F9452" s="1"/>
      <c r="G9452" s="1"/>
      <c r="H9452" s="68"/>
      <c r="I9452" s="76"/>
      <c r="K9452" s="7" t="s">
        <v>1103</v>
      </c>
      <c r="L9452" s="934"/>
      <c r="M9452" s="934"/>
    </row>
    <row r="9453" ht="12.75" hidden="1" customHeight="1" outlineLevel="1">
      <c r="A9453" s="202">
        <v>42758.0</v>
      </c>
      <c r="B9453" s="992"/>
      <c r="C9453" s="32" t="s">
        <v>435</v>
      </c>
      <c r="D9453" s="1"/>
      <c r="F9453" s="1"/>
      <c r="G9453" s="1"/>
      <c r="H9453" s="68"/>
      <c r="I9453" s="76"/>
      <c r="K9453" s="9" t="s">
        <v>3331</v>
      </c>
      <c r="L9453" s="934"/>
      <c r="M9453" s="934"/>
    </row>
    <row r="9454" ht="12.75" hidden="1" customHeight="1" outlineLevel="1">
      <c r="A9454" s="202">
        <v>42758.0</v>
      </c>
      <c r="B9454" s="985" t="s">
        <v>343</v>
      </c>
      <c r="C9454" s="94" t="s">
        <v>1082</v>
      </c>
      <c r="D9454" s="94">
        <v>50.0</v>
      </c>
      <c r="E9454" s="94">
        <v>741.829</v>
      </c>
      <c r="F9454" s="986">
        <v>0.6255092592592593</v>
      </c>
      <c r="G9454" s="94" t="s">
        <v>453</v>
      </c>
      <c r="H9454" s="987">
        <v>1.0</v>
      </c>
      <c r="I9454" s="988" t="s">
        <v>3145</v>
      </c>
      <c r="J9454" s="67">
        <f t="shared" ref="J9454:J9457" si="540">IF(B9454="SLD",D9454*E9454,-D9454*E9454)-H9454</f>
        <v>-37092.45</v>
      </c>
      <c r="L9454" s="70"/>
      <c r="M9454" s="934"/>
    </row>
    <row r="9455" ht="12.75" hidden="1" customHeight="1" outlineLevel="1">
      <c r="A9455" s="202">
        <v>42758.0</v>
      </c>
      <c r="B9455" s="985" t="s">
        <v>343</v>
      </c>
      <c r="C9455" s="94" t="s">
        <v>1056</v>
      </c>
      <c r="D9455" s="94">
        <v>150.0</v>
      </c>
      <c r="E9455" s="94">
        <v>266.34</v>
      </c>
      <c r="F9455" s="986">
        <v>0.6251967592592592</v>
      </c>
      <c r="G9455" s="94" t="s">
        <v>453</v>
      </c>
      <c r="H9455" s="987">
        <v>1.0</v>
      </c>
      <c r="I9455" s="988" t="s">
        <v>3145</v>
      </c>
      <c r="J9455" s="67">
        <f t="shared" si="540"/>
        <v>-39952</v>
      </c>
      <c r="L9455" s="70"/>
      <c r="M9455" s="934"/>
    </row>
    <row r="9456" ht="12.75" hidden="1" customHeight="1" outlineLevel="1">
      <c r="A9456" s="202">
        <v>42758.0</v>
      </c>
      <c r="B9456" s="985" t="s">
        <v>347</v>
      </c>
      <c r="C9456" s="94" t="s">
        <v>1082</v>
      </c>
      <c r="D9456" s="94">
        <v>45.0</v>
      </c>
      <c r="E9456" s="94">
        <v>731.96</v>
      </c>
      <c r="F9456" s="986">
        <v>0.45113425925925926</v>
      </c>
      <c r="G9456" s="94" t="s">
        <v>453</v>
      </c>
      <c r="H9456" s="987">
        <v>1.72</v>
      </c>
      <c r="I9456" s="988" t="s">
        <v>3145</v>
      </c>
      <c r="J9456" s="67">
        <f t="shared" si="540"/>
        <v>32936.48</v>
      </c>
      <c r="L9456" s="70"/>
      <c r="M9456" s="934"/>
    </row>
    <row r="9457" ht="12.75" hidden="1" customHeight="1" outlineLevel="1">
      <c r="A9457" s="202">
        <v>42758.0</v>
      </c>
      <c r="B9457" s="985" t="s">
        <v>347</v>
      </c>
      <c r="C9457" s="94" t="s">
        <v>1056</v>
      </c>
      <c r="D9457" s="94">
        <v>130.0</v>
      </c>
      <c r="E9457" s="94">
        <v>263.591</v>
      </c>
      <c r="F9457" s="986">
        <v>0.4510300925925926</v>
      </c>
      <c r="G9457" s="94" t="s">
        <v>453</v>
      </c>
      <c r="H9457" s="987">
        <v>1.76</v>
      </c>
      <c r="I9457" s="988" t="s">
        <v>3145</v>
      </c>
      <c r="J9457" s="67">
        <f t="shared" si="540"/>
        <v>34265.07</v>
      </c>
      <c r="L9457" s="70"/>
      <c r="M9457" s="934"/>
    </row>
    <row r="9458" ht="12.75" hidden="1" customHeight="1" outlineLevel="1">
      <c r="A9458" s="202">
        <v>42761.0</v>
      </c>
      <c r="B9458" s="992"/>
      <c r="C9458" s="32" t="s">
        <v>339</v>
      </c>
      <c r="D9458" s="1"/>
      <c r="F9458" s="1"/>
      <c r="G9458" s="1"/>
      <c r="H9458" s="68"/>
      <c r="I9458" s="76"/>
      <c r="K9458" s="201" t="s">
        <v>3436</v>
      </c>
      <c r="L9458" s="934"/>
      <c r="M9458" s="934"/>
    </row>
    <row r="9459" ht="12.75" hidden="1" customHeight="1" outlineLevel="1">
      <c r="A9459" s="202">
        <v>42761.0</v>
      </c>
      <c r="B9459" s="992"/>
      <c r="C9459" s="32" t="s">
        <v>429</v>
      </c>
      <c r="D9459" s="1"/>
      <c r="F9459" s="1"/>
      <c r="G9459" s="1"/>
      <c r="H9459" s="68"/>
      <c r="I9459" s="76"/>
      <c r="K9459" s="9" t="s">
        <v>3187</v>
      </c>
      <c r="L9459" s="934"/>
      <c r="M9459" s="934"/>
    </row>
    <row r="9460" ht="12.75" hidden="1" customHeight="1" outlineLevel="1">
      <c r="A9460" s="202">
        <v>42761.0</v>
      </c>
      <c r="B9460" s="992"/>
      <c r="C9460" s="32" t="s">
        <v>431</v>
      </c>
      <c r="D9460" s="1"/>
      <c r="F9460" s="1"/>
      <c r="G9460" s="1"/>
      <c r="H9460" s="68"/>
      <c r="I9460" s="76"/>
      <c r="K9460" s="7" t="s">
        <v>1126</v>
      </c>
      <c r="L9460" s="934"/>
      <c r="M9460" s="934"/>
    </row>
    <row r="9461" ht="12.75" hidden="1" customHeight="1" outlineLevel="1">
      <c r="A9461" s="202">
        <v>42761.0</v>
      </c>
      <c r="B9461" s="992"/>
      <c r="C9461" s="32" t="s">
        <v>433</v>
      </c>
      <c r="D9461" s="1"/>
      <c r="F9461" s="1"/>
      <c r="G9461" s="1"/>
      <c r="H9461" s="68"/>
      <c r="I9461" s="76"/>
      <c r="K9461" s="7" t="s">
        <v>1103</v>
      </c>
      <c r="L9461" s="934"/>
      <c r="M9461" s="934"/>
    </row>
    <row r="9462" ht="12.75" hidden="1" customHeight="1" outlineLevel="1">
      <c r="A9462" s="202">
        <v>42761.0</v>
      </c>
      <c r="B9462" s="992"/>
      <c r="C9462" s="32" t="s">
        <v>435</v>
      </c>
      <c r="D9462" s="1"/>
      <c r="F9462" s="1"/>
      <c r="G9462" s="1"/>
      <c r="H9462" s="68"/>
      <c r="I9462" s="76"/>
      <c r="K9462" s="9" t="s">
        <v>3331</v>
      </c>
      <c r="L9462" s="934"/>
      <c r="M9462" s="934"/>
    </row>
    <row r="9463" ht="12.75" hidden="1" customHeight="1" outlineLevel="1">
      <c r="A9463" s="202">
        <v>42769.0</v>
      </c>
      <c r="B9463" s="985" t="s">
        <v>343</v>
      </c>
      <c r="C9463" s="94" t="s">
        <v>1128</v>
      </c>
      <c r="D9463" s="94">
        <v>300.0</v>
      </c>
      <c r="E9463" s="94">
        <v>86.988</v>
      </c>
      <c r="F9463" s="998">
        <v>42769.62388888889</v>
      </c>
      <c r="G9463" s="94" t="s">
        <v>453</v>
      </c>
      <c r="H9463" s="987">
        <v>1.29</v>
      </c>
      <c r="I9463" s="988" t="s">
        <v>3145</v>
      </c>
      <c r="J9463" s="67">
        <f t="shared" ref="J9463:J9465" si="541">IF(B9463="SLD",D9463*E9463,-D9463*E9463)-H9463</f>
        <v>-26097.69</v>
      </c>
      <c r="L9463" s="70"/>
      <c r="M9463" s="934"/>
    </row>
    <row r="9464" ht="12.75" hidden="1" customHeight="1" outlineLevel="1">
      <c r="A9464" s="202">
        <v>42769.0</v>
      </c>
      <c r="B9464" s="985" t="s">
        <v>343</v>
      </c>
      <c r="C9464" s="94" t="s">
        <v>352</v>
      </c>
      <c r="D9464" s="94">
        <v>350.0</v>
      </c>
      <c r="E9464" s="94">
        <v>57.229</v>
      </c>
      <c r="F9464" s="998">
        <v>42769.623344907406</v>
      </c>
      <c r="G9464" s="94" t="s">
        <v>453</v>
      </c>
      <c r="H9464" s="987">
        <v>1.4</v>
      </c>
      <c r="I9464" s="988" t="s">
        <v>3145</v>
      </c>
      <c r="J9464" s="67">
        <f t="shared" si="541"/>
        <v>-20031.55</v>
      </c>
      <c r="L9464" s="70"/>
      <c r="M9464" s="934"/>
    </row>
    <row r="9465" ht="12.75" hidden="1" customHeight="1" outlineLevel="1">
      <c r="A9465" s="202">
        <v>42769.0</v>
      </c>
      <c r="B9465" s="985" t="s">
        <v>343</v>
      </c>
      <c r="C9465" s="94" t="s">
        <v>1642</v>
      </c>
      <c r="D9465" s="94">
        <v>100.0</v>
      </c>
      <c r="E9465" s="94">
        <v>240.4489</v>
      </c>
      <c r="F9465" s="998">
        <v>42769.62255787037</v>
      </c>
      <c r="G9465" s="94" t="s">
        <v>453</v>
      </c>
      <c r="H9465" s="987">
        <v>1.0</v>
      </c>
      <c r="I9465" s="988" t="s">
        <v>3145</v>
      </c>
      <c r="J9465" s="67">
        <f t="shared" si="541"/>
        <v>-24045.89</v>
      </c>
      <c r="L9465" s="70"/>
      <c r="M9465" s="934"/>
    </row>
    <row r="9466" ht="12.75" hidden="1" customHeight="1" outlineLevel="1">
      <c r="A9466" s="202">
        <v>42771.0</v>
      </c>
      <c r="B9466" s="992"/>
      <c r="C9466" s="32" t="s">
        <v>339</v>
      </c>
      <c r="D9466" s="1"/>
      <c r="F9466" s="1"/>
      <c r="G9466" s="1"/>
      <c r="H9466" s="68"/>
      <c r="I9466" s="76"/>
      <c r="K9466" s="201" t="s">
        <v>3436</v>
      </c>
      <c r="L9466" s="934"/>
      <c r="M9466" s="934"/>
    </row>
    <row r="9467" ht="12.75" hidden="1" customHeight="1" outlineLevel="1">
      <c r="A9467" s="202">
        <v>42771.0</v>
      </c>
      <c r="B9467" s="992"/>
      <c r="C9467" s="32" t="s">
        <v>429</v>
      </c>
      <c r="D9467" s="1"/>
      <c r="F9467" s="1"/>
      <c r="G9467" s="1"/>
      <c r="H9467" s="68"/>
      <c r="I9467" s="76"/>
      <c r="K9467" s="9" t="s">
        <v>3187</v>
      </c>
      <c r="L9467" s="934"/>
      <c r="M9467" s="934"/>
    </row>
    <row r="9468" ht="12.75" hidden="1" customHeight="1" outlineLevel="1">
      <c r="A9468" s="202">
        <v>42771.0</v>
      </c>
      <c r="B9468" s="992"/>
      <c r="C9468" s="32" t="s">
        <v>431</v>
      </c>
      <c r="D9468" s="1"/>
      <c r="F9468" s="1"/>
      <c r="G9468" s="1"/>
      <c r="H9468" s="68"/>
      <c r="I9468" s="76"/>
      <c r="K9468" s="7" t="s">
        <v>1126</v>
      </c>
      <c r="L9468" s="934"/>
      <c r="M9468" s="934"/>
    </row>
    <row r="9469" ht="12.75" hidden="1" customHeight="1" outlineLevel="1">
      <c r="A9469" s="202">
        <v>42771.0</v>
      </c>
      <c r="B9469" s="992"/>
      <c r="C9469" s="32" t="s">
        <v>433</v>
      </c>
      <c r="D9469" s="1"/>
      <c r="F9469" s="1"/>
      <c r="G9469" s="1"/>
      <c r="H9469" s="68"/>
      <c r="I9469" s="76"/>
      <c r="K9469" s="7" t="s">
        <v>1103</v>
      </c>
      <c r="L9469" s="934"/>
      <c r="M9469" s="934"/>
    </row>
    <row r="9470" ht="12.75" hidden="1" customHeight="1" outlineLevel="1">
      <c r="A9470" s="202">
        <v>42771.0</v>
      </c>
      <c r="B9470" s="992"/>
      <c r="C9470" s="32" t="s">
        <v>435</v>
      </c>
      <c r="D9470" s="1"/>
      <c r="F9470" s="1"/>
      <c r="G9470" s="1"/>
      <c r="H9470" s="68"/>
      <c r="I9470" s="76"/>
      <c r="K9470" s="9" t="s">
        <v>3331</v>
      </c>
      <c r="L9470" s="934"/>
      <c r="M9470" s="934"/>
    </row>
    <row r="9471" ht="12.75" hidden="1" customHeight="1" outlineLevel="1">
      <c r="A9471" s="202">
        <v>42774.0</v>
      </c>
      <c r="B9471" s="992"/>
      <c r="C9471" s="32" t="s">
        <v>339</v>
      </c>
      <c r="D9471" s="1"/>
      <c r="F9471" s="1"/>
      <c r="G9471" s="1"/>
      <c r="H9471" s="68"/>
      <c r="I9471" s="76"/>
      <c r="K9471" s="201" t="s">
        <v>3437</v>
      </c>
      <c r="L9471" s="934"/>
      <c r="M9471" s="934"/>
    </row>
    <row r="9472" ht="12.75" hidden="1" customHeight="1" outlineLevel="1">
      <c r="A9472" s="202">
        <v>42774.0</v>
      </c>
      <c r="B9472" s="992"/>
      <c r="C9472" s="32" t="s">
        <v>429</v>
      </c>
      <c r="D9472" s="1"/>
      <c r="F9472" s="1"/>
      <c r="G9472" s="1"/>
      <c r="H9472" s="68"/>
      <c r="I9472" s="76"/>
      <c r="K9472" s="9" t="s">
        <v>3187</v>
      </c>
      <c r="L9472" s="934"/>
      <c r="M9472" s="934"/>
    </row>
    <row r="9473" ht="12.75" hidden="1" customHeight="1" outlineLevel="1">
      <c r="A9473" s="202">
        <v>42774.0</v>
      </c>
      <c r="B9473" s="992"/>
      <c r="C9473" s="32" t="s">
        <v>431</v>
      </c>
      <c r="D9473" s="1"/>
      <c r="F9473" s="1"/>
      <c r="G9473" s="1"/>
      <c r="H9473" s="68"/>
      <c r="I9473" s="76"/>
      <c r="K9473" s="7" t="s">
        <v>1126</v>
      </c>
      <c r="L9473" s="934"/>
      <c r="M9473" s="934"/>
    </row>
    <row r="9474" ht="12.75" hidden="1" customHeight="1" outlineLevel="1">
      <c r="A9474" s="202">
        <v>42774.0</v>
      </c>
      <c r="B9474" s="992"/>
      <c r="C9474" s="32" t="s">
        <v>433</v>
      </c>
      <c r="D9474" s="1"/>
      <c r="F9474" s="1"/>
      <c r="G9474" s="1"/>
      <c r="H9474" s="68"/>
      <c r="I9474" s="76"/>
      <c r="K9474" s="7" t="s">
        <v>1103</v>
      </c>
      <c r="L9474" s="934"/>
      <c r="M9474" s="934"/>
    </row>
    <row r="9475" ht="12.75" hidden="1" customHeight="1" outlineLevel="1">
      <c r="A9475" s="202">
        <v>42774.0</v>
      </c>
      <c r="B9475" s="992"/>
      <c r="C9475" s="32" t="s">
        <v>435</v>
      </c>
      <c r="D9475" s="1"/>
      <c r="F9475" s="1"/>
      <c r="G9475" s="1"/>
      <c r="H9475" s="68"/>
      <c r="I9475" s="76"/>
      <c r="K9475" s="9" t="s">
        <v>3331</v>
      </c>
      <c r="L9475" s="934"/>
      <c r="M9475" s="934"/>
    </row>
    <row r="9476" ht="12.75" hidden="1" customHeight="1" outlineLevel="1">
      <c r="A9476" s="202">
        <v>42775.0</v>
      </c>
      <c r="B9476" s="992"/>
      <c r="C9476" s="32" t="s">
        <v>339</v>
      </c>
      <c r="D9476" s="1"/>
      <c r="F9476" s="1"/>
      <c r="G9476" s="1"/>
      <c r="H9476" s="68"/>
      <c r="I9476" s="76"/>
      <c r="K9476" s="201" t="s">
        <v>3439</v>
      </c>
      <c r="L9476" s="934"/>
      <c r="M9476" s="934"/>
    </row>
    <row r="9477" ht="12.75" hidden="1" customHeight="1" outlineLevel="1">
      <c r="A9477" s="202">
        <v>42775.0</v>
      </c>
      <c r="B9477" s="992"/>
      <c r="C9477" s="32" t="s">
        <v>429</v>
      </c>
      <c r="D9477" s="1"/>
      <c r="F9477" s="1"/>
      <c r="G9477" s="1"/>
      <c r="H9477" s="68"/>
      <c r="I9477" s="76"/>
      <c r="K9477" s="9" t="s">
        <v>3187</v>
      </c>
      <c r="L9477" s="934"/>
      <c r="M9477" s="934"/>
    </row>
    <row r="9478" ht="12.75" hidden="1" customHeight="1" outlineLevel="1">
      <c r="A9478" s="202">
        <v>42775.0</v>
      </c>
      <c r="B9478" s="992"/>
      <c r="C9478" s="32" t="s">
        <v>431</v>
      </c>
      <c r="D9478" s="1"/>
      <c r="F9478" s="1"/>
      <c r="G9478" s="1"/>
      <c r="H9478" s="68"/>
      <c r="I9478" s="76"/>
      <c r="K9478" s="7" t="s">
        <v>1126</v>
      </c>
      <c r="L9478" s="934"/>
      <c r="M9478" s="934"/>
    </row>
    <row r="9479" ht="12.75" hidden="1" customHeight="1" outlineLevel="1">
      <c r="A9479" s="202">
        <v>42775.0</v>
      </c>
      <c r="B9479" s="992"/>
      <c r="C9479" s="32" t="s">
        <v>433</v>
      </c>
      <c r="D9479" s="1"/>
      <c r="F9479" s="1"/>
      <c r="G9479" s="1"/>
      <c r="H9479" s="68"/>
      <c r="I9479" s="76"/>
      <c r="K9479" s="7" t="s">
        <v>1103</v>
      </c>
      <c r="L9479" s="934"/>
      <c r="M9479" s="934"/>
    </row>
    <row r="9480" ht="12.75" hidden="1" customHeight="1" outlineLevel="1">
      <c r="A9480" s="202">
        <v>42775.0</v>
      </c>
      <c r="B9480" s="992"/>
      <c r="C9480" s="32" t="s">
        <v>435</v>
      </c>
      <c r="D9480" s="1"/>
      <c r="F9480" s="1"/>
      <c r="G9480" s="1"/>
      <c r="H9480" s="68"/>
      <c r="I9480" s="76"/>
      <c r="K9480" s="9" t="s">
        <v>3331</v>
      </c>
      <c r="L9480" s="934"/>
      <c r="M9480" s="934"/>
    </row>
    <row r="9481" ht="12.75" hidden="1" customHeight="1" outlineLevel="1">
      <c r="A9481" s="202">
        <v>42775.0</v>
      </c>
      <c r="B9481" s="992"/>
      <c r="C9481" s="32" t="s">
        <v>339</v>
      </c>
      <c r="D9481" s="1"/>
      <c r="F9481" s="1"/>
      <c r="G9481" s="1"/>
      <c r="H9481" s="68"/>
      <c r="I9481" s="76"/>
      <c r="K9481" s="201" t="s">
        <v>3440</v>
      </c>
      <c r="L9481" s="934"/>
      <c r="M9481" s="934"/>
    </row>
    <row r="9482" ht="12.75" hidden="1" customHeight="1" outlineLevel="1">
      <c r="A9482" s="202">
        <v>42775.0</v>
      </c>
      <c r="B9482" s="992"/>
      <c r="C9482" s="32" t="s">
        <v>429</v>
      </c>
      <c r="D9482" s="1"/>
      <c r="F9482" s="1"/>
      <c r="G9482" s="1"/>
      <c r="H9482" s="68"/>
      <c r="I9482" s="76"/>
      <c r="K9482" s="9" t="s">
        <v>3187</v>
      </c>
      <c r="L9482" s="934"/>
      <c r="M9482" s="934"/>
    </row>
    <row r="9483" ht="12.75" hidden="1" customHeight="1" outlineLevel="1">
      <c r="A9483" s="202">
        <v>42775.0</v>
      </c>
      <c r="B9483" s="992"/>
      <c r="C9483" s="32" t="s">
        <v>431</v>
      </c>
      <c r="D9483" s="1"/>
      <c r="F9483" s="1"/>
      <c r="G9483" s="1"/>
      <c r="H9483" s="68"/>
      <c r="I9483" s="76"/>
      <c r="K9483" s="7" t="s">
        <v>1126</v>
      </c>
      <c r="L9483" s="934"/>
      <c r="M9483" s="934"/>
    </row>
    <row r="9484" ht="12.75" hidden="1" customHeight="1" outlineLevel="1">
      <c r="A9484" s="202">
        <v>42775.0</v>
      </c>
      <c r="B9484" s="992"/>
      <c r="C9484" s="32" t="s">
        <v>433</v>
      </c>
      <c r="D9484" s="1"/>
      <c r="F9484" s="1"/>
      <c r="G9484" s="1"/>
      <c r="H9484" s="68"/>
      <c r="I9484" s="76"/>
      <c r="K9484" s="7" t="s">
        <v>1103</v>
      </c>
      <c r="L9484" s="934"/>
      <c r="M9484" s="934"/>
    </row>
    <row r="9485" ht="12.75" hidden="1" customHeight="1" outlineLevel="1">
      <c r="A9485" s="202">
        <v>42775.0</v>
      </c>
      <c r="B9485" s="992"/>
      <c r="C9485" s="32" t="s">
        <v>435</v>
      </c>
      <c r="D9485" s="1"/>
      <c r="F9485" s="1"/>
      <c r="G9485" s="1"/>
      <c r="H9485" s="68"/>
      <c r="I9485" s="76"/>
      <c r="K9485" s="9" t="s">
        <v>3331</v>
      </c>
      <c r="L9485" s="934"/>
      <c r="M9485" s="934"/>
    </row>
    <row r="9486" ht="12.75" hidden="1" customHeight="1" outlineLevel="1">
      <c r="A9486" s="202">
        <v>42775.0</v>
      </c>
      <c r="B9486" s="985" t="s">
        <v>343</v>
      </c>
      <c r="C9486" s="94" t="s">
        <v>982</v>
      </c>
      <c r="D9486" s="94">
        <v>150.0</v>
      </c>
      <c r="E9486" s="94">
        <v>78.355</v>
      </c>
      <c r="F9486" s="986">
        <v>0.4530208333333333</v>
      </c>
      <c r="G9486" s="94" t="s">
        <v>453</v>
      </c>
      <c r="H9486" s="987">
        <v>1.0</v>
      </c>
      <c r="I9486" s="988" t="s">
        <v>3145</v>
      </c>
      <c r="J9486" s="67">
        <f t="shared" ref="J9486:J9489" si="542">IF(B9486="SLD",D9486*E9486,-D9486*E9486)-H9486</f>
        <v>-11754.25</v>
      </c>
      <c r="L9486" s="70"/>
      <c r="M9486" s="934"/>
    </row>
    <row r="9487" ht="12.75" hidden="1" customHeight="1" outlineLevel="1">
      <c r="A9487" s="202">
        <v>42775.0</v>
      </c>
      <c r="B9487" s="985" t="s">
        <v>347</v>
      </c>
      <c r="C9487" s="94" t="s">
        <v>1357</v>
      </c>
      <c r="D9487" s="94">
        <v>400.0</v>
      </c>
      <c r="E9487" s="94">
        <v>53.32</v>
      </c>
      <c r="F9487" s="986">
        <v>0.4455208333333333</v>
      </c>
      <c r="G9487" s="94" t="s">
        <v>453</v>
      </c>
      <c r="H9487" s="987">
        <v>2.51</v>
      </c>
      <c r="I9487" s="988" t="s">
        <v>3145</v>
      </c>
      <c r="J9487" s="67">
        <f t="shared" si="542"/>
        <v>21325.49</v>
      </c>
      <c r="L9487" s="70"/>
      <c r="M9487" s="934"/>
    </row>
    <row r="9488" ht="12.75" hidden="1" customHeight="1" outlineLevel="1">
      <c r="A9488" s="202">
        <v>42775.0</v>
      </c>
      <c r="B9488" s="985" t="s">
        <v>343</v>
      </c>
      <c r="C9488" s="94" t="s">
        <v>2479</v>
      </c>
      <c r="D9488" s="94">
        <v>30.0</v>
      </c>
      <c r="E9488" s="94">
        <v>121.349</v>
      </c>
      <c r="F9488" s="986">
        <v>0.4427314814814815</v>
      </c>
      <c r="G9488" s="94" t="s">
        <v>453</v>
      </c>
      <c r="H9488" s="987">
        <v>1.0</v>
      </c>
      <c r="I9488" s="988" t="s">
        <v>3145</v>
      </c>
      <c r="J9488" s="67">
        <f t="shared" si="542"/>
        <v>-3641.47</v>
      </c>
      <c r="L9488" s="70"/>
      <c r="M9488" s="934"/>
    </row>
    <row r="9489" ht="12.75" hidden="1" customHeight="1" outlineLevel="1">
      <c r="A9489" s="202">
        <v>42775.0</v>
      </c>
      <c r="B9489" s="985" t="s">
        <v>343</v>
      </c>
      <c r="C9489" s="94" t="s">
        <v>1067</v>
      </c>
      <c r="D9489" s="94">
        <v>50.0</v>
      </c>
      <c r="E9489" s="94">
        <v>160.38</v>
      </c>
      <c r="F9489" s="986">
        <v>0.4423611111111111</v>
      </c>
      <c r="G9489" s="94" t="s">
        <v>453</v>
      </c>
      <c r="H9489" s="987">
        <v>1.0</v>
      </c>
      <c r="I9489" s="988" t="s">
        <v>3145</v>
      </c>
      <c r="J9489" s="67">
        <f t="shared" si="542"/>
        <v>-8020</v>
      </c>
      <c r="L9489" s="70"/>
      <c r="M9489" s="934"/>
    </row>
    <row r="9490" ht="12.75" hidden="1" customHeight="1" outlineLevel="1">
      <c r="A9490" s="202">
        <v>42775.0</v>
      </c>
      <c r="B9490" s="992"/>
      <c r="C9490" s="32" t="s">
        <v>339</v>
      </c>
      <c r="D9490" s="1"/>
      <c r="F9490" s="1"/>
      <c r="G9490" s="1"/>
      <c r="H9490" s="68"/>
      <c r="I9490" s="76"/>
      <c r="K9490" s="201" t="s">
        <v>3441</v>
      </c>
      <c r="L9490" s="934"/>
      <c r="M9490" s="934"/>
    </row>
    <row r="9491" ht="12.75" hidden="1" customHeight="1" outlineLevel="1">
      <c r="A9491" s="202">
        <v>42775.0</v>
      </c>
      <c r="B9491" s="992"/>
      <c r="C9491" s="32" t="s">
        <v>429</v>
      </c>
      <c r="D9491" s="1"/>
      <c r="F9491" s="1"/>
      <c r="G9491" s="1"/>
      <c r="H9491" s="68"/>
      <c r="I9491" s="76"/>
      <c r="K9491" s="9" t="s">
        <v>3187</v>
      </c>
      <c r="L9491" s="934"/>
      <c r="M9491" s="934"/>
    </row>
    <row r="9492" ht="12.75" hidden="1" customHeight="1" outlineLevel="1">
      <c r="A9492" s="202">
        <v>42775.0</v>
      </c>
      <c r="B9492" s="992"/>
      <c r="C9492" s="32" t="s">
        <v>431</v>
      </c>
      <c r="D9492" s="1"/>
      <c r="F9492" s="1"/>
      <c r="G9492" s="1"/>
      <c r="H9492" s="68"/>
      <c r="I9492" s="76"/>
      <c r="K9492" s="7" t="s">
        <v>1126</v>
      </c>
      <c r="L9492" s="934"/>
      <c r="M9492" s="934"/>
    </row>
    <row r="9493" ht="12.75" hidden="1" customHeight="1" outlineLevel="1">
      <c r="A9493" s="202">
        <v>42775.0</v>
      </c>
      <c r="B9493" s="992"/>
      <c r="C9493" s="32" t="s">
        <v>433</v>
      </c>
      <c r="D9493" s="1"/>
      <c r="F9493" s="1"/>
      <c r="G9493" s="1"/>
      <c r="H9493" s="68"/>
      <c r="I9493" s="76"/>
      <c r="K9493" s="7" t="s">
        <v>1103</v>
      </c>
      <c r="L9493" s="934"/>
      <c r="M9493" s="934"/>
    </row>
    <row r="9494" ht="12.75" hidden="1" customHeight="1" outlineLevel="1">
      <c r="A9494" s="202">
        <v>42775.0</v>
      </c>
      <c r="B9494" s="992"/>
      <c r="C9494" s="32" t="s">
        <v>435</v>
      </c>
      <c r="D9494" s="1"/>
      <c r="F9494" s="1"/>
      <c r="G9494" s="1"/>
      <c r="H9494" s="68"/>
      <c r="I9494" s="76"/>
      <c r="K9494" s="9" t="s">
        <v>3331</v>
      </c>
      <c r="L9494" s="934"/>
      <c r="M9494" s="934"/>
    </row>
    <row r="9495" ht="12.75" hidden="1" customHeight="1" outlineLevel="1">
      <c r="A9495" s="202">
        <v>42779.0</v>
      </c>
      <c r="B9495" s="992"/>
      <c r="C9495" s="32" t="s">
        <v>339</v>
      </c>
      <c r="D9495" s="1"/>
      <c r="F9495" s="1"/>
      <c r="G9495" s="1"/>
      <c r="H9495" s="68"/>
      <c r="I9495" s="76"/>
      <c r="K9495" s="201" t="s">
        <v>3442</v>
      </c>
      <c r="L9495" s="934"/>
      <c r="M9495" s="934"/>
    </row>
    <row r="9496" ht="12.75" hidden="1" customHeight="1" outlineLevel="1">
      <c r="A9496" s="202">
        <v>42779.0</v>
      </c>
      <c r="B9496" s="992"/>
      <c r="C9496" s="32" t="s">
        <v>429</v>
      </c>
      <c r="D9496" s="1"/>
      <c r="F9496" s="1"/>
      <c r="G9496" s="1"/>
      <c r="H9496" s="68"/>
      <c r="I9496" s="76"/>
      <c r="K9496" s="9" t="s">
        <v>3187</v>
      </c>
      <c r="L9496" s="934"/>
      <c r="M9496" s="934"/>
    </row>
    <row r="9497" ht="12.75" hidden="1" customHeight="1" outlineLevel="1">
      <c r="A9497" s="202">
        <v>42779.0</v>
      </c>
      <c r="B9497" s="992"/>
      <c r="C9497" s="32" t="s">
        <v>431</v>
      </c>
      <c r="D9497" s="1"/>
      <c r="F9497" s="1"/>
      <c r="G9497" s="1"/>
      <c r="H9497" s="68"/>
      <c r="I9497" s="76"/>
      <c r="K9497" s="7" t="s">
        <v>1126</v>
      </c>
      <c r="L9497" s="934"/>
      <c r="M9497" s="934"/>
    </row>
    <row r="9498" ht="12.75" hidden="1" customHeight="1" outlineLevel="1">
      <c r="A9498" s="202">
        <v>42779.0</v>
      </c>
      <c r="B9498" s="992"/>
      <c r="C9498" s="32" t="s">
        <v>433</v>
      </c>
      <c r="D9498" s="1"/>
      <c r="F9498" s="1"/>
      <c r="G9498" s="1"/>
      <c r="H9498" s="68"/>
      <c r="I9498" s="76"/>
      <c r="K9498" s="7" t="s">
        <v>1103</v>
      </c>
      <c r="L9498" s="934"/>
      <c r="M9498" s="934"/>
    </row>
    <row r="9499" ht="12.75" hidden="1" customHeight="1" outlineLevel="1">
      <c r="A9499" s="202">
        <v>42779.0</v>
      </c>
      <c r="B9499" s="992"/>
      <c r="C9499" s="32" t="s">
        <v>435</v>
      </c>
      <c r="D9499" s="1"/>
      <c r="F9499" s="1"/>
      <c r="G9499" s="1"/>
      <c r="H9499" s="68"/>
      <c r="I9499" s="76"/>
      <c r="K9499" s="9" t="s">
        <v>3331</v>
      </c>
      <c r="L9499" s="934"/>
      <c r="M9499" s="934"/>
    </row>
    <row r="9500" ht="12.75" hidden="1" customHeight="1" outlineLevel="1">
      <c r="A9500" s="202">
        <v>42780.0</v>
      </c>
      <c r="B9500" s="992"/>
      <c r="C9500" s="32" t="s">
        <v>339</v>
      </c>
      <c r="D9500" s="1"/>
      <c r="F9500" s="1"/>
      <c r="G9500" s="1"/>
      <c r="H9500" s="68"/>
      <c r="I9500" s="76"/>
      <c r="K9500" s="201" t="s">
        <v>3443</v>
      </c>
      <c r="L9500" s="934"/>
      <c r="M9500" s="934"/>
    </row>
    <row r="9501" ht="12.75" hidden="1" customHeight="1" outlineLevel="1">
      <c r="A9501" s="202">
        <v>42780.0</v>
      </c>
      <c r="B9501" s="992"/>
      <c r="C9501" s="32" t="s">
        <v>429</v>
      </c>
      <c r="D9501" s="1"/>
      <c r="F9501" s="1"/>
      <c r="G9501" s="1"/>
      <c r="H9501" s="68"/>
      <c r="I9501" s="76"/>
      <c r="K9501" s="9" t="s">
        <v>3187</v>
      </c>
      <c r="L9501" s="934"/>
      <c r="M9501" s="934"/>
    </row>
    <row r="9502" ht="12.75" hidden="1" customHeight="1" outlineLevel="1">
      <c r="A9502" s="202">
        <v>42780.0</v>
      </c>
      <c r="B9502" s="992"/>
      <c r="C9502" s="32" t="s">
        <v>431</v>
      </c>
      <c r="D9502" s="1"/>
      <c r="F9502" s="1"/>
      <c r="G9502" s="1"/>
      <c r="H9502" s="68"/>
      <c r="I9502" s="76"/>
      <c r="K9502" s="7" t="s">
        <v>1126</v>
      </c>
      <c r="L9502" s="934"/>
      <c r="M9502" s="934"/>
    </row>
    <row r="9503" ht="12.75" hidden="1" customHeight="1" outlineLevel="1">
      <c r="A9503" s="202">
        <v>42780.0</v>
      </c>
      <c r="B9503" s="992"/>
      <c r="C9503" s="32" t="s">
        <v>433</v>
      </c>
      <c r="D9503" s="1"/>
      <c r="F9503" s="1"/>
      <c r="G9503" s="1"/>
      <c r="H9503" s="68"/>
      <c r="I9503" s="76"/>
      <c r="K9503" s="7" t="s">
        <v>1103</v>
      </c>
      <c r="L9503" s="934"/>
      <c r="M9503" s="934"/>
    </row>
    <row r="9504" ht="12.75" hidden="1" customHeight="1" outlineLevel="1">
      <c r="A9504" s="202">
        <v>42780.0</v>
      </c>
      <c r="B9504" s="992"/>
      <c r="C9504" s="32" t="s">
        <v>435</v>
      </c>
      <c r="D9504" s="1"/>
      <c r="F9504" s="1"/>
      <c r="G9504" s="1"/>
      <c r="H9504" s="68"/>
      <c r="I9504" s="76"/>
      <c r="K9504" s="9" t="s">
        <v>3331</v>
      </c>
      <c r="L9504" s="934"/>
      <c r="M9504" s="934"/>
    </row>
    <row r="9505" ht="12.75" hidden="1" customHeight="1" outlineLevel="1">
      <c r="A9505" s="202">
        <v>42782.0</v>
      </c>
      <c r="B9505" s="992"/>
      <c r="C9505" s="32" t="s">
        <v>339</v>
      </c>
      <c r="D9505" s="1"/>
      <c r="F9505" s="1"/>
      <c r="G9505" s="1"/>
      <c r="H9505" s="68"/>
      <c r="I9505" s="76"/>
      <c r="K9505" s="201" t="s">
        <v>3444</v>
      </c>
      <c r="L9505" s="934"/>
      <c r="M9505" s="934"/>
    </row>
    <row r="9506" ht="12.75" hidden="1" customHeight="1" outlineLevel="1">
      <c r="A9506" s="202">
        <v>42782.0</v>
      </c>
      <c r="B9506" s="992"/>
      <c r="C9506" s="32" t="s">
        <v>429</v>
      </c>
      <c r="D9506" s="1"/>
      <c r="F9506" s="1"/>
      <c r="G9506" s="1"/>
      <c r="H9506" s="68"/>
      <c r="I9506" s="76"/>
      <c r="K9506" s="9" t="s">
        <v>3187</v>
      </c>
      <c r="L9506" s="934"/>
      <c r="M9506" s="934"/>
    </row>
    <row r="9507" ht="12.75" hidden="1" customHeight="1" outlineLevel="1">
      <c r="A9507" s="202">
        <v>42782.0</v>
      </c>
      <c r="B9507" s="992"/>
      <c r="C9507" s="32" t="s">
        <v>431</v>
      </c>
      <c r="D9507" s="1"/>
      <c r="F9507" s="1"/>
      <c r="G9507" s="1"/>
      <c r="H9507" s="68"/>
      <c r="I9507" s="76"/>
      <c r="K9507" s="7" t="s">
        <v>1126</v>
      </c>
      <c r="L9507" s="934"/>
      <c r="M9507" s="934"/>
    </row>
    <row r="9508" ht="12.75" hidden="1" customHeight="1" outlineLevel="1">
      <c r="A9508" s="202">
        <v>42782.0</v>
      </c>
      <c r="B9508" s="992"/>
      <c r="C9508" s="32" t="s">
        <v>433</v>
      </c>
      <c r="D9508" s="1"/>
      <c r="F9508" s="1"/>
      <c r="G9508" s="1"/>
      <c r="H9508" s="68"/>
      <c r="I9508" s="76"/>
      <c r="K9508" s="7" t="s">
        <v>1103</v>
      </c>
      <c r="L9508" s="934"/>
      <c r="M9508" s="934"/>
    </row>
    <row r="9509" ht="12.75" hidden="1" customHeight="1" outlineLevel="1">
      <c r="A9509" s="202">
        <v>42782.0</v>
      </c>
      <c r="B9509" s="992"/>
      <c r="C9509" s="32" t="s">
        <v>435</v>
      </c>
      <c r="D9509" s="1"/>
      <c r="F9509" s="1"/>
      <c r="G9509" s="1"/>
      <c r="H9509" s="68"/>
      <c r="I9509" s="76"/>
      <c r="K9509" s="9" t="s">
        <v>3331</v>
      </c>
      <c r="L9509" s="934"/>
      <c r="M9509" s="934"/>
    </row>
    <row r="9510" ht="12.75" hidden="1" customHeight="1" outlineLevel="1">
      <c r="A9510" s="202">
        <v>42785.0</v>
      </c>
      <c r="B9510" s="992"/>
      <c r="C9510" s="32" t="s">
        <v>339</v>
      </c>
      <c r="D9510" s="1"/>
      <c r="F9510" s="1"/>
      <c r="G9510" s="1"/>
      <c r="H9510" s="68"/>
      <c r="I9510" s="76"/>
      <c r="K9510" s="201" t="s">
        <v>3445</v>
      </c>
      <c r="L9510" s="934"/>
      <c r="M9510" s="934"/>
    </row>
    <row r="9511" ht="12.75" hidden="1" customHeight="1" outlineLevel="1">
      <c r="A9511" s="202">
        <v>42785.0</v>
      </c>
      <c r="B9511" s="992"/>
      <c r="C9511" s="32" t="s">
        <v>429</v>
      </c>
      <c r="D9511" s="1"/>
      <c r="F9511" s="1"/>
      <c r="G9511" s="1"/>
      <c r="H9511" s="68"/>
      <c r="I9511" s="76"/>
      <c r="K9511" s="9" t="s">
        <v>3187</v>
      </c>
      <c r="L9511" s="934"/>
      <c r="M9511" s="934"/>
    </row>
    <row r="9512" ht="12.75" hidden="1" customHeight="1" outlineLevel="1">
      <c r="A9512" s="202">
        <v>42785.0</v>
      </c>
      <c r="B9512" s="992"/>
      <c r="C9512" s="32" t="s">
        <v>431</v>
      </c>
      <c r="D9512" s="1"/>
      <c r="F9512" s="1"/>
      <c r="G9512" s="1"/>
      <c r="H9512" s="68"/>
      <c r="I9512" s="76"/>
      <c r="K9512" s="7" t="s">
        <v>1126</v>
      </c>
      <c r="L9512" s="934"/>
      <c r="M9512" s="934"/>
    </row>
    <row r="9513" ht="12.75" hidden="1" customHeight="1" outlineLevel="1">
      <c r="A9513" s="202">
        <v>42785.0</v>
      </c>
      <c r="B9513" s="992"/>
      <c r="C9513" s="32" t="s">
        <v>433</v>
      </c>
      <c r="D9513" s="1"/>
      <c r="F9513" s="1"/>
      <c r="G9513" s="1"/>
      <c r="H9513" s="68"/>
      <c r="I9513" s="76"/>
      <c r="K9513" s="7" t="s">
        <v>1103</v>
      </c>
      <c r="L9513" s="934"/>
      <c r="M9513" s="934"/>
    </row>
    <row r="9514" ht="12.75" hidden="1" customHeight="1" outlineLevel="1">
      <c r="A9514" s="202">
        <v>42785.0</v>
      </c>
      <c r="B9514" s="992"/>
      <c r="C9514" s="32" t="s">
        <v>435</v>
      </c>
      <c r="D9514" s="1"/>
      <c r="F9514" s="1"/>
      <c r="G9514" s="1"/>
      <c r="H9514" s="68"/>
      <c r="I9514" s="76"/>
      <c r="K9514" s="9" t="s">
        <v>3331</v>
      </c>
      <c r="L9514" s="934"/>
      <c r="M9514" s="934"/>
    </row>
    <row r="9515" ht="12.75" hidden="1" customHeight="1" outlineLevel="1">
      <c r="A9515" s="202">
        <v>42787.0</v>
      </c>
      <c r="B9515" s="992"/>
      <c r="C9515" s="32" t="s">
        <v>339</v>
      </c>
      <c r="D9515" s="1"/>
      <c r="F9515" s="1"/>
      <c r="G9515" s="1"/>
      <c r="H9515" s="68"/>
      <c r="I9515" s="76"/>
      <c r="K9515" s="201" t="s">
        <v>3446</v>
      </c>
      <c r="L9515" s="934"/>
      <c r="M9515" s="934"/>
    </row>
    <row r="9516" ht="12.75" hidden="1" customHeight="1" outlineLevel="1">
      <c r="A9516" s="202">
        <v>42787.0</v>
      </c>
      <c r="B9516" s="992"/>
      <c r="C9516" s="32" t="s">
        <v>429</v>
      </c>
      <c r="D9516" s="1"/>
      <c r="F9516" s="1"/>
      <c r="G9516" s="1"/>
      <c r="H9516" s="68"/>
      <c r="I9516" s="76"/>
      <c r="K9516" s="9" t="s">
        <v>3187</v>
      </c>
      <c r="L9516" s="934"/>
      <c r="M9516" s="934"/>
    </row>
    <row r="9517" ht="12.75" hidden="1" customHeight="1" outlineLevel="1">
      <c r="A9517" s="202">
        <v>42787.0</v>
      </c>
      <c r="B9517" s="992"/>
      <c r="C9517" s="32" t="s">
        <v>431</v>
      </c>
      <c r="D9517" s="1"/>
      <c r="F9517" s="1"/>
      <c r="G9517" s="1"/>
      <c r="H9517" s="68"/>
      <c r="I9517" s="76"/>
      <c r="K9517" s="7" t="s">
        <v>1126</v>
      </c>
      <c r="L9517" s="934"/>
      <c r="M9517" s="934"/>
    </row>
    <row r="9518" ht="12.75" hidden="1" customHeight="1" outlineLevel="1">
      <c r="A9518" s="202">
        <v>42787.0</v>
      </c>
      <c r="B9518" s="992"/>
      <c r="C9518" s="32" t="s">
        <v>433</v>
      </c>
      <c r="D9518" s="1"/>
      <c r="F9518" s="1"/>
      <c r="G9518" s="1"/>
      <c r="H9518" s="68"/>
      <c r="I9518" s="76"/>
      <c r="K9518" s="7" t="s">
        <v>1103</v>
      </c>
      <c r="L9518" s="934"/>
      <c r="M9518" s="934"/>
    </row>
    <row r="9519" ht="12.75" hidden="1" customHeight="1" outlineLevel="1">
      <c r="A9519" s="202">
        <v>42787.0</v>
      </c>
      <c r="B9519" s="992"/>
      <c r="C9519" s="32" t="s">
        <v>435</v>
      </c>
      <c r="D9519" s="1"/>
      <c r="F9519" s="1"/>
      <c r="G9519" s="1"/>
      <c r="H9519" s="68"/>
      <c r="I9519" s="76"/>
      <c r="K9519" s="9" t="s">
        <v>3331</v>
      </c>
      <c r="L9519" s="934"/>
      <c r="M9519" s="934"/>
    </row>
    <row r="9520" ht="12.75" hidden="1" customHeight="1" outlineLevel="1">
      <c r="A9520" s="202">
        <v>42787.0</v>
      </c>
      <c r="B9520" s="985" t="s">
        <v>347</v>
      </c>
      <c r="C9520" s="94" t="s">
        <v>1185</v>
      </c>
      <c r="D9520" s="94">
        <v>125.0</v>
      </c>
      <c r="E9520" s="94">
        <v>381.01</v>
      </c>
      <c r="F9520" s="986">
        <v>0.6652777777777777</v>
      </c>
      <c r="G9520" s="94" t="s">
        <v>453</v>
      </c>
      <c r="H9520" s="987">
        <v>2.05</v>
      </c>
      <c r="I9520" s="988" t="s">
        <v>3145</v>
      </c>
      <c r="J9520" s="67">
        <f t="shared" ref="J9520:J9562" si="543">IF(B9520="SLD",D9520*E9520,-D9520*E9520)-H9520</f>
        <v>47624.2</v>
      </c>
      <c r="L9520" s="70"/>
      <c r="M9520" s="934"/>
    </row>
    <row r="9521" ht="12.75" hidden="1" customHeight="1" outlineLevel="1">
      <c r="A9521" s="202">
        <v>42788.0</v>
      </c>
      <c r="B9521" s="985" t="s">
        <v>343</v>
      </c>
      <c r="C9521" s="94" t="s">
        <v>604</v>
      </c>
      <c r="D9521" s="94">
        <v>500.0</v>
      </c>
      <c r="E9521" s="94">
        <v>2.94</v>
      </c>
      <c r="F9521" s="986">
        <v>0.6375810185185186</v>
      </c>
      <c r="G9521" s="94" t="s">
        <v>453</v>
      </c>
      <c r="H9521" s="987">
        <v>2.5</v>
      </c>
      <c r="I9521" s="988" t="s">
        <v>3145</v>
      </c>
      <c r="J9521" s="67">
        <f t="shared" si="543"/>
        <v>-1472.5</v>
      </c>
      <c r="L9521" s="70"/>
      <c r="M9521" s="934"/>
    </row>
    <row r="9522" ht="12.75" hidden="1" customHeight="1" outlineLevel="1">
      <c r="A9522" s="202">
        <v>42788.0</v>
      </c>
      <c r="B9522" s="985" t="s">
        <v>343</v>
      </c>
      <c r="C9522" s="94" t="s">
        <v>1485</v>
      </c>
      <c r="D9522" s="94">
        <v>500.0</v>
      </c>
      <c r="E9522" s="94">
        <v>6.83</v>
      </c>
      <c r="F9522" s="986">
        <v>0.6365740740740741</v>
      </c>
      <c r="G9522" s="94" t="s">
        <v>453</v>
      </c>
      <c r="H9522" s="987">
        <v>2.5</v>
      </c>
      <c r="I9522" s="988" t="s">
        <v>3145</v>
      </c>
      <c r="J9522" s="67">
        <f t="shared" si="543"/>
        <v>-3417.5</v>
      </c>
      <c r="L9522" s="70"/>
      <c r="M9522" s="934"/>
    </row>
    <row r="9523" ht="12.75" hidden="1" customHeight="1" outlineLevel="1">
      <c r="A9523" s="202">
        <v>42788.0</v>
      </c>
      <c r="B9523" s="985" t="s">
        <v>343</v>
      </c>
      <c r="C9523" s="94" t="s">
        <v>1483</v>
      </c>
      <c r="D9523" s="94">
        <v>500.0</v>
      </c>
      <c r="E9523" s="94">
        <v>2.72</v>
      </c>
      <c r="F9523" s="986">
        <v>0.6288425925925926</v>
      </c>
      <c r="G9523" s="94" t="s">
        <v>453</v>
      </c>
      <c r="H9523" s="987">
        <v>2.5</v>
      </c>
      <c r="I9523" s="988" t="s">
        <v>3145</v>
      </c>
      <c r="J9523" s="67">
        <f t="shared" si="543"/>
        <v>-1362.5</v>
      </c>
      <c r="L9523" s="70"/>
      <c r="M9523" s="934"/>
    </row>
    <row r="9524" ht="12.75" hidden="1" customHeight="1" outlineLevel="1">
      <c r="A9524" s="202">
        <v>42788.0</v>
      </c>
      <c r="B9524" s="985" t="s">
        <v>343</v>
      </c>
      <c r="C9524" s="94" t="s">
        <v>1092</v>
      </c>
      <c r="D9524" s="94">
        <v>500.0</v>
      </c>
      <c r="E9524" s="94">
        <v>7.19</v>
      </c>
      <c r="F9524" s="986">
        <v>0.6257523148148149</v>
      </c>
      <c r="G9524" s="94" t="s">
        <v>453</v>
      </c>
      <c r="H9524" s="987">
        <v>2.5</v>
      </c>
      <c r="I9524" s="988" t="s">
        <v>3145</v>
      </c>
      <c r="J9524" s="67">
        <f t="shared" si="543"/>
        <v>-3597.5</v>
      </c>
      <c r="L9524" s="70"/>
      <c r="M9524" s="934"/>
    </row>
    <row r="9525" ht="12.75" hidden="1" customHeight="1" outlineLevel="1">
      <c r="A9525" s="202">
        <v>42788.0</v>
      </c>
      <c r="B9525" s="985" t="s">
        <v>347</v>
      </c>
      <c r="C9525" s="94" t="s">
        <v>3417</v>
      </c>
      <c r="D9525" s="94">
        <v>200.0</v>
      </c>
      <c r="E9525" s="94">
        <v>15.37</v>
      </c>
      <c r="F9525" s="986">
        <v>0.45251157407407405</v>
      </c>
      <c r="G9525" s="94" t="s">
        <v>453</v>
      </c>
      <c r="H9525" s="987">
        <v>1.09</v>
      </c>
      <c r="I9525" s="988" t="s">
        <v>3145</v>
      </c>
      <c r="J9525" s="67">
        <f t="shared" si="543"/>
        <v>3072.91</v>
      </c>
      <c r="L9525" s="70"/>
      <c r="M9525" s="934"/>
    </row>
    <row r="9526" ht="12.75" hidden="1" customHeight="1" outlineLevel="1">
      <c r="A9526" s="202">
        <v>42788.0</v>
      </c>
      <c r="B9526" s="985" t="s">
        <v>347</v>
      </c>
      <c r="C9526" s="94" t="s">
        <v>344</v>
      </c>
      <c r="D9526" s="94">
        <v>50.0</v>
      </c>
      <c r="E9526" s="94">
        <v>64.41</v>
      </c>
      <c r="F9526" s="986">
        <v>0.45239583333333333</v>
      </c>
      <c r="G9526" s="94" t="s">
        <v>453</v>
      </c>
      <c r="H9526" s="987">
        <v>1.08</v>
      </c>
      <c r="I9526" s="988" t="s">
        <v>3145</v>
      </c>
      <c r="J9526" s="67">
        <f t="shared" si="543"/>
        <v>3219.42</v>
      </c>
      <c r="L9526" s="70"/>
      <c r="M9526" s="934"/>
    </row>
    <row r="9527" ht="12.75" hidden="1" customHeight="1" outlineLevel="1">
      <c r="A9527" s="202">
        <v>42788.0</v>
      </c>
      <c r="B9527" s="985" t="s">
        <v>347</v>
      </c>
      <c r="C9527" s="94" t="s">
        <v>1642</v>
      </c>
      <c r="D9527" s="94">
        <v>15.0</v>
      </c>
      <c r="E9527" s="94">
        <v>250.521</v>
      </c>
      <c r="F9527" s="986">
        <v>0.45189814814814816</v>
      </c>
      <c r="G9527" s="94" t="s">
        <v>453</v>
      </c>
      <c r="H9527" s="987">
        <v>1.08</v>
      </c>
      <c r="I9527" s="988" t="s">
        <v>3145</v>
      </c>
      <c r="J9527" s="67">
        <f t="shared" si="543"/>
        <v>3756.735</v>
      </c>
      <c r="L9527" s="70"/>
      <c r="M9527" s="934"/>
    </row>
    <row r="9528" ht="12.75" hidden="1" customHeight="1" outlineLevel="1">
      <c r="A9528" s="202">
        <v>42788.0</v>
      </c>
      <c r="B9528" s="985" t="s">
        <v>347</v>
      </c>
      <c r="C9528" s="94" t="s">
        <v>1290</v>
      </c>
      <c r="D9528" s="94">
        <v>50.0</v>
      </c>
      <c r="E9528" s="94">
        <v>91.975</v>
      </c>
      <c r="F9528" s="986">
        <v>0.4514699074074074</v>
      </c>
      <c r="G9528" s="94" t="s">
        <v>453</v>
      </c>
      <c r="H9528" s="987">
        <v>1.11</v>
      </c>
      <c r="I9528" s="988" t="s">
        <v>3145</v>
      </c>
      <c r="J9528" s="67">
        <f t="shared" si="543"/>
        <v>4597.64</v>
      </c>
      <c r="L9528" s="70"/>
      <c r="M9528" s="934"/>
    </row>
    <row r="9529" ht="12.75" hidden="1" customHeight="1" outlineLevel="1">
      <c r="A9529" s="202">
        <v>42788.0</v>
      </c>
      <c r="B9529" s="985" t="s">
        <v>347</v>
      </c>
      <c r="C9529" s="94" t="s">
        <v>1061</v>
      </c>
      <c r="D9529" s="94">
        <v>100.0</v>
      </c>
      <c r="E9529" s="94">
        <v>46.9304</v>
      </c>
      <c r="F9529" s="986">
        <v>0.4511921296296296</v>
      </c>
      <c r="G9529" s="94" t="s">
        <v>453</v>
      </c>
      <c r="H9529" s="987">
        <v>1.11</v>
      </c>
      <c r="I9529" s="988" t="s">
        <v>3145</v>
      </c>
      <c r="J9529" s="67">
        <f t="shared" si="543"/>
        <v>4691.93</v>
      </c>
      <c r="L9529" s="70"/>
      <c r="M9529" s="934"/>
    </row>
    <row r="9530" ht="12.75" hidden="1" customHeight="1" outlineLevel="1">
      <c r="A9530" s="202">
        <v>42788.0</v>
      </c>
      <c r="B9530" s="985" t="s">
        <v>347</v>
      </c>
      <c r="C9530" s="94" t="s">
        <v>352</v>
      </c>
      <c r="D9530" s="94">
        <v>100.0</v>
      </c>
      <c r="E9530" s="94">
        <v>58.29</v>
      </c>
      <c r="F9530" s="986">
        <v>0.45099537037037035</v>
      </c>
      <c r="G9530" s="94" t="s">
        <v>453</v>
      </c>
      <c r="H9530" s="987">
        <v>1.14</v>
      </c>
      <c r="I9530" s="988" t="s">
        <v>3145</v>
      </c>
      <c r="J9530" s="67">
        <f t="shared" si="543"/>
        <v>5827.86</v>
      </c>
      <c r="L9530" s="70"/>
      <c r="M9530" s="934"/>
    </row>
    <row r="9531" ht="12.75" hidden="1" customHeight="1" outlineLevel="1">
      <c r="A9531" s="202">
        <v>42788.0</v>
      </c>
      <c r="B9531" s="985" t="s">
        <v>347</v>
      </c>
      <c r="C9531" s="94" t="s">
        <v>1074</v>
      </c>
      <c r="D9531" s="94">
        <v>50.0</v>
      </c>
      <c r="E9531" s="94">
        <v>144.23</v>
      </c>
      <c r="F9531" s="986">
        <v>0.45078703703703704</v>
      </c>
      <c r="G9531" s="94" t="s">
        <v>453</v>
      </c>
      <c r="H9531" s="987">
        <v>1.16</v>
      </c>
      <c r="I9531" s="988" t="s">
        <v>3145</v>
      </c>
      <c r="J9531" s="67">
        <f t="shared" si="543"/>
        <v>7210.34</v>
      </c>
      <c r="L9531" s="70"/>
      <c r="M9531" s="934"/>
    </row>
    <row r="9532" ht="12.75" hidden="1" customHeight="1" outlineLevel="1">
      <c r="A9532" s="202">
        <v>42788.0</v>
      </c>
      <c r="B9532" s="985" t="s">
        <v>347</v>
      </c>
      <c r="C9532" s="94" t="s">
        <v>3020</v>
      </c>
      <c r="D9532" s="94">
        <v>50.0</v>
      </c>
      <c r="E9532" s="94">
        <v>149.46</v>
      </c>
      <c r="F9532" s="986">
        <v>0.45056712962962964</v>
      </c>
      <c r="G9532" s="94" t="s">
        <v>453</v>
      </c>
      <c r="H9532" s="987">
        <v>1.17</v>
      </c>
      <c r="I9532" s="988" t="s">
        <v>3145</v>
      </c>
      <c r="J9532" s="67">
        <f t="shared" si="543"/>
        <v>7471.83</v>
      </c>
      <c r="L9532" s="70"/>
      <c r="M9532" s="934"/>
    </row>
    <row r="9533" ht="12.75" hidden="1" customHeight="1" outlineLevel="1">
      <c r="A9533" s="202">
        <v>42788.0</v>
      </c>
      <c r="B9533" s="985" t="s">
        <v>347</v>
      </c>
      <c r="C9533" s="94" t="s">
        <v>1128</v>
      </c>
      <c r="D9533" s="94">
        <v>75.0</v>
      </c>
      <c r="E9533" s="94">
        <v>90.91</v>
      </c>
      <c r="F9533" s="986">
        <v>0.4503240740740741</v>
      </c>
      <c r="G9533" s="94" t="s">
        <v>453</v>
      </c>
      <c r="H9533" s="987">
        <v>1.16</v>
      </c>
      <c r="I9533" s="988" t="s">
        <v>3145</v>
      </c>
      <c r="J9533" s="67">
        <f t="shared" si="543"/>
        <v>6817.09</v>
      </c>
      <c r="L9533" s="70"/>
      <c r="M9533" s="934"/>
    </row>
    <row r="9534" ht="12.75" hidden="1" customHeight="1" outlineLevel="1">
      <c r="A9534" s="202">
        <v>42788.0</v>
      </c>
      <c r="B9534" s="985" t="s">
        <v>347</v>
      </c>
      <c r="C9534" s="94" t="s">
        <v>3380</v>
      </c>
      <c r="D9534" s="94">
        <v>500.0</v>
      </c>
      <c r="E9534" s="94">
        <v>23.12</v>
      </c>
      <c r="F9534" s="986">
        <v>0.449537037037037</v>
      </c>
      <c r="G9534" s="94" t="s">
        <v>453</v>
      </c>
      <c r="H9534" s="987">
        <v>2.81</v>
      </c>
      <c r="I9534" s="988" t="s">
        <v>3145</v>
      </c>
      <c r="J9534" s="67">
        <f t="shared" si="543"/>
        <v>11557.19</v>
      </c>
      <c r="L9534" s="70"/>
      <c r="M9534" s="934"/>
    </row>
    <row r="9535" ht="12.75" hidden="1" customHeight="1" outlineLevel="1">
      <c r="A9535" s="202">
        <v>42788.0</v>
      </c>
      <c r="B9535" s="985" t="s">
        <v>347</v>
      </c>
      <c r="C9535" s="94" t="s">
        <v>1056</v>
      </c>
      <c r="D9535" s="94">
        <v>20.0</v>
      </c>
      <c r="E9535" s="94">
        <v>266.69</v>
      </c>
      <c r="F9535" s="986">
        <v>0.4490046296296296</v>
      </c>
      <c r="G9535" s="94" t="s">
        <v>453</v>
      </c>
      <c r="H9535" s="987">
        <v>1.12</v>
      </c>
      <c r="I9535" s="988" t="s">
        <v>3145</v>
      </c>
      <c r="J9535" s="67">
        <f t="shared" si="543"/>
        <v>5332.68</v>
      </c>
      <c r="L9535" s="70"/>
      <c r="M9535" s="934"/>
    </row>
    <row r="9536" ht="12.75" hidden="1" customHeight="1" outlineLevel="1">
      <c r="A9536" s="202">
        <v>42788.0</v>
      </c>
      <c r="B9536" s="985" t="s">
        <v>347</v>
      </c>
      <c r="C9536" s="94" t="s">
        <v>1187</v>
      </c>
      <c r="D9536" s="94">
        <v>50.0</v>
      </c>
      <c r="E9536" s="94">
        <v>110.25</v>
      </c>
      <c r="F9536" s="986">
        <v>0.44877314814814817</v>
      </c>
      <c r="G9536" s="94" t="s">
        <v>453</v>
      </c>
      <c r="H9536" s="987">
        <v>1.13</v>
      </c>
      <c r="I9536" s="988" t="s">
        <v>3145</v>
      </c>
      <c r="J9536" s="67">
        <f t="shared" si="543"/>
        <v>5511.37</v>
      </c>
      <c r="L9536" s="70"/>
      <c r="M9536" s="934"/>
    </row>
    <row r="9537" ht="12.75" hidden="1" customHeight="1" outlineLevel="1">
      <c r="A9537" s="202">
        <v>42788.0</v>
      </c>
      <c r="B9537" s="985" t="s">
        <v>347</v>
      </c>
      <c r="C9537" s="94" t="s">
        <v>1082</v>
      </c>
      <c r="D9537" s="94">
        <v>10.0</v>
      </c>
      <c r="E9537" s="94">
        <v>732.131</v>
      </c>
      <c r="F9537" s="986">
        <v>0.4484490740740741</v>
      </c>
      <c r="G9537" s="94" t="s">
        <v>453</v>
      </c>
      <c r="H9537" s="987">
        <v>1.16</v>
      </c>
      <c r="I9537" s="988" t="s">
        <v>3145</v>
      </c>
      <c r="J9537" s="67">
        <f t="shared" si="543"/>
        <v>7320.15</v>
      </c>
      <c r="L9537" s="70"/>
      <c r="M9537" s="934"/>
    </row>
    <row r="9538" ht="12.75" hidden="1" customHeight="1" outlineLevel="1">
      <c r="A9538" s="202">
        <v>42788.0</v>
      </c>
      <c r="B9538" s="985" t="s">
        <v>347</v>
      </c>
      <c r="C9538" s="94" t="s">
        <v>3040</v>
      </c>
      <c r="D9538" s="94">
        <v>50.0</v>
      </c>
      <c r="E9538" s="94">
        <v>169.03</v>
      </c>
      <c r="F9538" s="986">
        <v>0.4481597222222222</v>
      </c>
      <c r="G9538" s="94" t="s">
        <v>453</v>
      </c>
      <c r="H9538" s="987">
        <v>1.19</v>
      </c>
      <c r="I9538" s="988" t="s">
        <v>3145</v>
      </c>
      <c r="J9538" s="67">
        <f t="shared" si="543"/>
        <v>8450.31</v>
      </c>
      <c r="L9538" s="70"/>
      <c r="M9538" s="934"/>
    </row>
    <row r="9539" ht="12.75" hidden="1" customHeight="1" outlineLevel="1">
      <c r="A9539" s="202">
        <v>42788.0</v>
      </c>
      <c r="B9539" s="985" t="s">
        <v>347</v>
      </c>
      <c r="C9539" s="94" t="s">
        <v>1162</v>
      </c>
      <c r="D9539" s="94">
        <v>30.0</v>
      </c>
      <c r="E9539" s="94">
        <v>171.31</v>
      </c>
      <c r="F9539" s="986">
        <v>0.4477083333333333</v>
      </c>
      <c r="G9539" s="94" t="s">
        <v>453</v>
      </c>
      <c r="H9539" s="987">
        <v>1.12</v>
      </c>
      <c r="I9539" s="988" t="s">
        <v>3145</v>
      </c>
      <c r="J9539" s="67">
        <f t="shared" si="543"/>
        <v>5138.18</v>
      </c>
      <c r="L9539" s="70"/>
      <c r="M9539" s="934"/>
    </row>
    <row r="9540" ht="12.75" hidden="1" customHeight="1" outlineLevel="1">
      <c r="A9540" s="202">
        <v>42788.0</v>
      </c>
      <c r="B9540" s="985" t="s">
        <v>347</v>
      </c>
      <c r="C9540" s="94" t="s">
        <v>1249</v>
      </c>
      <c r="D9540" s="94">
        <v>175.0</v>
      </c>
      <c r="E9540" s="94">
        <v>91.497</v>
      </c>
      <c r="F9540" s="986">
        <v>0.4473958333333333</v>
      </c>
      <c r="G9540" s="94" t="s">
        <v>453</v>
      </c>
      <c r="H9540" s="987">
        <v>1.37</v>
      </c>
      <c r="I9540" s="988" t="s">
        <v>3145</v>
      </c>
      <c r="J9540" s="67">
        <f t="shared" si="543"/>
        <v>16010.605</v>
      </c>
      <c r="L9540" s="70"/>
      <c r="M9540" s="934"/>
    </row>
    <row r="9541" ht="12.75" hidden="1" customHeight="1" outlineLevel="1">
      <c r="A9541" s="202">
        <v>42788.0</v>
      </c>
      <c r="B9541" s="985" t="s">
        <v>347</v>
      </c>
      <c r="C9541" s="94" t="s">
        <v>1049</v>
      </c>
      <c r="D9541" s="94">
        <v>10.0</v>
      </c>
      <c r="E9541" s="94">
        <v>980.94</v>
      </c>
      <c r="F9541" s="986">
        <v>0.4470138888888889</v>
      </c>
      <c r="G9541" s="94" t="s">
        <v>453</v>
      </c>
      <c r="H9541" s="987">
        <v>1.22</v>
      </c>
      <c r="I9541" s="988" t="s">
        <v>3145</v>
      </c>
      <c r="J9541" s="67">
        <f t="shared" si="543"/>
        <v>9808.18</v>
      </c>
      <c r="L9541" s="70"/>
      <c r="M9541" s="934"/>
    </row>
    <row r="9542" ht="12.75" hidden="1" customHeight="1" outlineLevel="1">
      <c r="A9542" s="202">
        <v>42788.0</v>
      </c>
      <c r="B9542" s="985" t="s">
        <v>347</v>
      </c>
      <c r="C9542" s="94" t="s">
        <v>1185</v>
      </c>
      <c r="D9542" s="94">
        <v>40.0</v>
      </c>
      <c r="E9542" s="94">
        <v>380.85</v>
      </c>
      <c r="F9542" s="986">
        <v>0.44655092592592593</v>
      </c>
      <c r="G9542" s="94" t="s">
        <v>453</v>
      </c>
      <c r="H9542" s="987">
        <v>1.34</v>
      </c>
      <c r="I9542" s="988" t="s">
        <v>3145</v>
      </c>
      <c r="J9542" s="67">
        <f t="shared" si="543"/>
        <v>15232.66</v>
      </c>
      <c r="L9542" s="70"/>
      <c r="M9542" s="934"/>
    </row>
    <row r="9543" ht="12.75" hidden="1" customHeight="1" outlineLevel="1">
      <c r="A9543" s="202">
        <v>42788.0</v>
      </c>
      <c r="B9543" s="985" t="s">
        <v>343</v>
      </c>
      <c r="C9543" s="94" t="s">
        <v>631</v>
      </c>
      <c r="D9543" s="94">
        <v>65.0</v>
      </c>
      <c r="E9543" s="94">
        <v>0.76852</v>
      </c>
      <c r="F9543" s="986">
        <v>0.42855324074074075</v>
      </c>
      <c r="G9543" s="94" t="s">
        <v>453</v>
      </c>
      <c r="H9543" s="987">
        <v>2.0</v>
      </c>
      <c r="I9543" s="988" t="s">
        <v>3145</v>
      </c>
      <c r="J9543" s="67">
        <f t="shared" si="543"/>
        <v>-51.9538</v>
      </c>
      <c r="L9543" s="70"/>
      <c r="M9543" s="934"/>
    </row>
    <row r="9544" ht="12.75" hidden="1" customHeight="1" outlineLevel="1">
      <c r="A9544" s="202">
        <v>42788.0</v>
      </c>
      <c r="B9544" s="985" t="s">
        <v>347</v>
      </c>
      <c r="C9544" s="94" t="s">
        <v>453</v>
      </c>
      <c r="D9544" s="286">
        <v>3219.0</v>
      </c>
      <c r="E9544" s="94">
        <v>7.7607</v>
      </c>
      <c r="F9544" s="986">
        <v>0.4285300925925926</v>
      </c>
      <c r="G9544" s="94" t="s">
        <v>651</v>
      </c>
      <c r="H9544" s="987">
        <v>15.52</v>
      </c>
      <c r="I9544" s="988" t="s">
        <v>3145</v>
      </c>
      <c r="J9544" s="67">
        <f t="shared" si="543"/>
        <v>24966.1733</v>
      </c>
      <c r="L9544" s="70"/>
      <c r="M9544" s="934"/>
    </row>
    <row r="9545" ht="12.75" hidden="1" customHeight="1" outlineLevel="1">
      <c r="A9545" s="202">
        <v>42788.0</v>
      </c>
      <c r="B9545" s="985" t="s">
        <v>343</v>
      </c>
      <c r="C9545" s="94" t="s">
        <v>631</v>
      </c>
      <c r="D9545" s="94">
        <v>225.0</v>
      </c>
      <c r="E9545" s="94">
        <v>0.76853</v>
      </c>
      <c r="F9545" s="986">
        <v>0.42791666666666667</v>
      </c>
      <c r="G9545" s="94" t="s">
        <v>453</v>
      </c>
      <c r="H9545" s="987">
        <v>2.0</v>
      </c>
      <c r="I9545" s="988" t="s">
        <v>3145</v>
      </c>
      <c r="J9545" s="67">
        <f t="shared" si="543"/>
        <v>-174.91925</v>
      </c>
      <c r="L9545" s="70"/>
      <c r="M9545" s="934"/>
    </row>
    <row r="9546" ht="12.75" hidden="1" customHeight="1" outlineLevel="1">
      <c r="A9546" s="202">
        <v>42788.0</v>
      </c>
      <c r="B9546" s="985" t="s">
        <v>347</v>
      </c>
      <c r="C9546" s="94" t="s">
        <v>453</v>
      </c>
      <c r="D9546" s="286">
        <v>9013.0</v>
      </c>
      <c r="E9546" s="94">
        <v>7.7607</v>
      </c>
      <c r="F9546" s="986">
        <v>0.4276388888888889</v>
      </c>
      <c r="G9546" s="94" t="s">
        <v>651</v>
      </c>
      <c r="H9546" s="987">
        <v>15.52</v>
      </c>
      <c r="I9546" s="988" t="s">
        <v>3145</v>
      </c>
      <c r="J9546" s="67">
        <f t="shared" si="543"/>
        <v>69931.6691</v>
      </c>
      <c r="L9546" s="70"/>
      <c r="M9546" s="934"/>
    </row>
    <row r="9547" ht="12.75" hidden="1" customHeight="1" outlineLevel="1">
      <c r="A9547" s="202">
        <v>42788.0</v>
      </c>
      <c r="B9547" s="985" t="s">
        <v>347</v>
      </c>
      <c r="C9547" s="94" t="s">
        <v>1187</v>
      </c>
      <c r="D9547" s="94">
        <v>50.0</v>
      </c>
      <c r="E9547" s="94">
        <v>109.8</v>
      </c>
      <c r="F9547" s="986">
        <v>0.420775462962963</v>
      </c>
      <c r="G9547" s="94" t="s">
        <v>453</v>
      </c>
      <c r="H9547" s="987">
        <v>1.13</v>
      </c>
      <c r="I9547" s="988" t="s">
        <v>3145</v>
      </c>
      <c r="J9547" s="67">
        <f t="shared" si="543"/>
        <v>5488.87</v>
      </c>
      <c r="L9547" s="70"/>
      <c r="M9547" s="934"/>
    </row>
    <row r="9548" ht="12.75" hidden="1" customHeight="1" outlineLevel="1">
      <c r="A9548" s="202">
        <v>42788.0</v>
      </c>
      <c r="B9548" s="985" t="s">
        <v>347</v>
      </c>
      <c r="C9548" s="94" t="s">
        <v>344</v>
      </c>
      <c r="D9548" s="94">
        <v>150.0</v>
      </c>
      <c r="E9548" s="94">
        <v>63.8107</v>
      </c>
      <c r="F9548" s="986">
        <v>0.41746527777777775</v>
      </c>
      <c r="G9548" s="94" t="s">
        <v>453</v>
      </c>
      <c r="H9548" s="987">
        <v>1.23</v>
      </c>
      <c r="I9548" s="988" t="s">
        <v>3145</v>
      </c>
      <c r="J9548" s="67">
        <f t="shared" si="543"/>
        <v>9570.375</v>
      </c>
      <c r="L9548" s="70"/>
      <c r="M9548" s="934"/>
    </row>
    <row r="9549" ht="12.75" hidden="1" customHeight="1" outlineLevel="1">
      <c r="A9549" s="202">
        <v>42788.0</v>
      </c>
      <c r="B9549" s="985" t="s">
        <v>347</v>
      </c>
      <c r="C9549" s="94" t="s">
        <v>1185</v>
      </c>
      <c r="D9549" s="94">
        <v>50.0</v>
      </c>
      <c r="E9549" s="94">
        <v>380.54</v>
      </c>
      <c r="F9549" s="986">
        <v>0.41726851851851854</v>
      </c>
      <c r="G9549" s="94" t="s">
        <v>453</v>
      </c>
      <c r="H9549" s="987">
        <v>1.42</v>
      </c>
      <c r="I9549" s="988" t="s">
        <v>3145</v>
      </c>
      <c r="J9549" s="67">
        <f t="shared" si="543"/>
        <v>19025.58</v>
      </c>
      <c r="L9549" s="70"/>
      <c r="M9549" s="934"/>
    </row>
    <row r="9550" ht="12.75" hidden="1" customHeight="1" outlineLevel="1">
      <c r="A9550" s="202">
        <v>42788.0</v>
      </c>
      <c r="B9550" s="985" t="s">
        <v>347</v>
      </c>
      <c r="C9550" s="94" t="s">
        <v>1070</v>
      </c>
      <c r="D9550" s="94">
        <v>50.0</v>
      </c>
      <c r="E9550" s="94">
        <v>276.03</v>
      </c>
      <c r="F9550" s="986">
        <v>0.4169907407407407</v>
      </c>
      <c r="G9550" s="94" t="s">
        <v>453</v>
      </c>
      <c r="H9550" s="987">
        <v>1.31</v>
      </c>
      <c r="I9550" s="988" t="s">
        <v>3145</v>
      </c>
      <c r="J9550" s="67">
        <f t="shared" si="543"/>
        <v>13800.19</v>
      </c>
      <c r="L9550" s="70"/>
      <c r="M9550" s="934"/>
    </row>
    <row r="9551" ht="12.75" hidden="1" customHeight="1" outlineLevel="1">
      <c r="A9551" s="202">
        <v>42788.0</v>
      </c>
      <c r="B9551" s="985" t="s">
        <v>347</v>
      </c>
      <c r="C9551" s="94" t="s">
        <v>1642</v>
      </c>
      <c r="D9551" s="94">
        <v>30.0</v>
      </c>
      <c r="E9551" s="94">
        <v>251.251</v>
      </c>
      <c r="F9551" s="986">
        <v>0.4161111111111111</v>
      </c>
      <c r="G9551" s="94" t="s">
        <v>453</v>
      </c>
      <c r="H9551" s="987">
        <v>1.17</v>
      </c>
      <c r="I9551" s="988" t="s">
        <v>3145</v>
      </c>
      <c r="J9551" s="67">
        <f t="shared" si="543"/>
        <v>7536.36</v>
      </c>
      <c r="L9551" s="70"/>
      <c r="M9551" s="934"/>
    </row>
    <row r="9552" ht="12.75" hidden="1" customHeight="1" outlineLevel="1">
      <c r="A9552" s="202">
        <v>42788.0</v>
      </c>
      <c r="B9552" s="985" t="s">
        <v>347</v>
      </c>
      <c r="C9552" s="94" t="s">
        <v>352</v>
      </c>
      <c r="D9552" s="94">
        <v>150.0</v>
      </c>
      <c r="E9552" s="94">
        <v>58.2007</v>
      </c>
      <c r="F9552" s="986">
        <v>0.41585648148148147</v>
      </c>
      <c r="G9552" s="94" t="s">
        <v>453</v>
      </c>
      <c r="H9552" s="987">
        <v>1.21</v>
      </c>
      <c r="I9552" s="988" t="s">
        <v>3145</v>
      </c>
      <c r="J9552" s="67">
        <f t="shared" si="543"/>
        <v>8728.895</v>
      </c>
      <c r="L9552" s="70"/>
      <c r="M9552" s="934"/>
    </row>
    <row r="9553" ht="12.75" hidden="1" customHeight="1" outlineLevel="1">
      <c r="A9553" s="202">
        <v>42788.0</v>
      </c>
      <c r="B9553" s="985" t="s">
        <v>347</v>
      </c>
      <c r="C9553" s="94" t="s">
        <v>3380</v>
      </c>
      <c r="D9553" s="94">
        <v>500.0</v>
      </c>
      <c r="E9553" s="94">
        <v>23.251</v>
      </c>
      <c r="F9553" s="986">
        <v>0.4154398148148148</v>
      </c>
      <c r="G9553" s="94" t="s">
        <v>453</v>
      </c>
      <c r="H9553" s="987">
        <v>2.61</v>
      </c>
      <c r="I9553" s="988" t="s">
        <v>3145</v>
      </c>
      <c r="J9553" s="67">
        <f t="shared" si="543"/>
        <v>11622.89</v>
      </c>
      <c r="L9553" s="70"/>
      <c r="M9553" s="934"/>
    </row>
    <row r="9554" ht="12.75" hidden="1" customHeight="1" outlineLevel="1">
      <c r="A9554" s="202">
        <v>42788.0</v>
      </c>
      <c r="B9554" s="985" t="s">
        <v>347</v>
      </c>
      <c r="C9554" s="94" t="s">
        <v>1128</v>
      </c>
      <c r="D9554" s="94">
        <v>150.0</v>
      </c>
      <c r="E9554" s="94">
        <v>90.74</v>
      </c>
      <c r="F9554" s="986">
        <v>0.4151273148148148</v>
      </c>
      <c r="G9554" s="94" t="s">
        <v>453</v>
      </c>
      <c r="H9554" s="987">
        <v>1.31</v>
      </c>
      <c r="I9554" s="988" t="s">
        <v>3145</v>
      </c>
      <c r="J9554" s="67">
        <f t="shared" si="543"/>
        <v>13609.69</v>
      </c>
      <c r="L9554" s="70"/>
      <c r="M9554" s="934"/>
    </row>
    <row r="9555" ht="12.75" hidden="1" customHeight="1" outlineLevel="1">
      <c r="A9555" s="202">
        <v>42788.0</v>
      </c>
      <c r="B9555" s="985" t="s">
        <v>347</v>
      </c>
      <c r="C9555" s="94" t="s">
        <v>1082</v>
      </c>
      <c r="D9555" s="94">
        <v>5.0</v>
      </c>
      <c r="E9555" s="94">
        <v>736.71</v>
      </c>
      <c r="F9555" s="986">
        <v>0.41413194444444446</v>
      </c>
      <c r="G9555" s="94" t="s">
        <v>453</v>
      </c>
      <c r="H9555" s="987">
        <v>1.08</v>
      </c>
      <c r="I9555" s="988" t="s">
        <v>3145</v>
      </c>
      <c r="J9555" s="67">
        <f t="shared" si="543"/>
        <v>3682.47</v>
      </c>
      <c r="L9555" s="70"/>
      <c r="M9555" s="934"/>
    </row>
    <row r="9556" ht="12.75" hidden="1" customHeight="1" outlineLevel="1">
      <c r="A9556" s="202">
        <v>42788.0</v>
      </c>
      <c r="B9556" s="985" t="s">
        <v>347</v>
      </c>
      <c r="C9556" s="94" t="s">
        <v>1056</v>
      </c>
      <c r="D9556" s="94">
        <v>30.0</v>
      </c>
      <c r="E9556" s="94">
        <v>267.83</v>
      </c>
      <c r="F9556" s="986">
        <v>0.4130787037037037</v>
      </c>
      <c r="G9556" s="94" t="s">
        <v>453</v>
      </c>
      <c r="H9556" s="987">
        <v>1.18</v>
      </c>
      <c r="I9556" s="988" t="s">
        <v>3145</v>
      </c>
      <c r="J9556" s="67">
        <f t="shared" si="543"/>
        <v>8033.72</v>
      </c>
      <c r="L9556" s="70"/>
      <c r="M9556" s="934"/>
    </row>
    <row r="9557" ht="12.75" hidden="1" customHeight="1" outlineLevel="1">
      <c r="A9557" s="202">
        <v>42788.0</v>
      </c>
      <c r="B9557" s="985" t="s">
        <v>347</v>
      </c>
      <c r="C9557" s="94" t="s">
        <v>1249</v>
      </c>
      <c r="D9557" s="94">
        <v>150.0</v>
      </c>
      <c r="E9557" s="94">
        <v>91.88</v>
      </c>
      <c r="F9557" s="986">
        <v>0.41269675925925925</v>
      </c>
      <c r="G9557" s="94" t="s">
        <v>453</v>
      </c>
      <c r="H9557" s="987">
        <v>1.32</v>
      </c>
      <c r="I9557" s="988" t="s">
        <v>3145</v>
      </c>
      <c r="J9557" s="67">
        <f t="shared" si="543"/>
        <v>13780.68</v>
      </c>
      <c r="L9557" s="70"/>
      <c r="M9557" s="934"/>
    </row>
    <row r="9558" ht="12.75" hidden="1" customHeight="1" outlineLevel="1">
      <c r="A9558" s="202">
        <v>42788.0</v>
      </c>
      <c r="B9558" s="985" t="s">
        <v>347</v>
      </c>
      <c r="C9558" s="94" t="s">
        <v>1061</v>
      </c>
      <c r="D9558" s="94">
        <v>600.0</v>
      </c>
      <c r="E9558" s="94">
        <v>46.88</v>
      </c>
      <c r="F9558" s="986">
        <v>0.40664351851851854</v>
      </c>
      <c r="G9558" s="94" t="s">
        <v>453</v>
      </c>
      <c r="H9558" s="987">
        <v>3.58</v>
      </c>
      <c r="I9558" s="988" t="s">
        <v>3145</v>
      </c>
      <c r="J9558" s="67">
        <f t="shared" si="543"/>
        <v>28124.42</v>
      </c>
      <c r="L9558" s="70"/>
      <c r="M9558" s="934"/>
    </row>
    <row r="9559" ht="12.75" hidden="1" customHeight="1" outlineLevel="1">
      <c r="A9559" s="202">
        <v>42788.0</v>
      </c>
      <c r="B9559" s="985" t="s">
        <v>347</v>
      </c>
      <c r="C9559" s="94" t="s">
        <v>604</v>
      </c>
      <c r="D9559" s="286">
        <v>4000.0</v>
      </c>
      <c r="E9559" s="94">
        <v>2.55</v>
      </c>
      <c r="F9559" s="986">
        <v>0.4056828703703704</v>
      </c>
      <c r="G9559" s="94" t="s">
        <v>453</v>
      </c>
      <c r="H9559" s="987">
        <v>20.7</v>
      </c>
      <c r="I9559" s="988" t="s">
        <v>3145</v>
      </c>
      <c r="J9559" s="67">
        <f t="shared" si="543"/>
        <v>10179.3</v>
      </c>
      <c r="L9559" s="70"/>
      <c r="M9559" s="934"/>
    </row>
    <row r="9560" ht="12.75" hidden="1" customHeight="1" outlineLevel="1">
      <c r="A9560" s="202">
        <v>42788.0</v>
      </c>
      <c r="B9560" s="985" t="s">
        <v>347</v>
      </c>
      <c r="C9560" s="94" t="s">
        <v>1483</v>
      </c>
      <c r="D9560" s="286">
        <v>4000.0</v>
      </c>
      <c r="E9560" s="94">
        <v>2.43</v>
      </c>
      <c r="F9560" s="986">
        <v>0.40534722222222225</v>
      </c>
      <c r="G9560" s="94" t="s">
        <v>453</v>
      </c>
      <c r="H9560" s="987">
        <v>20.69</v>
      </c>
      <c r="I9560" s="988" t="s">
        <v>3145</v>
      </c>
      <c r="J9560" s="67">
        <f t="shared" si="543"/>
        <v>9699.31</v>
      </c>
      <c r="L9560" s="70"/>
      <c r="M9560" s="934"/>
    </row>
    <row r="9561" ht="12.75" hidden="1" customHeight="1" outlineLevel="1">
      <c r="A9561" s="202">
        <v>42788.0</v>
      </c>
      <c r="B9561" s="985" t="s">
        <v>347</v>
      </c>
      <c r="C9561" s="94" t="s">
        <v>1485</v>
      </c>
      <c r="D9561" s="286">
        <v>4000.0</v>
      </c>
      <c r="E9561" s="94">
        <v>6.85</v>
      </c>
      <c r="F9561" s="986">
        <v>0.4050347222222222</v>
      </c>
      <c r="G9561" s="94" t="s">
        <v>453</v>
      </c>
      <c r="H9561" s="987">
        <v>21.07</v>
      </c>
      <c r="I9561" s="988" t="s">
        <v>3145</v>
      </c>
      <c r="J9561" s="67">
        <f t="shared" si="543"/>
        <v>27378.93</v>
      </c>
      <c r="L9561" s="70"/>
      <c r="M9561" s="934"/>
    </row>
    <row r="9562" ht="12.75" hidden="1" customHeight="1" outlineLevel="1">
      <c r="A9562" s="202">
        <v>42788.0</v>
      </c>
      <c r="B9562" s="985" t="s">
        <v>347</v>
      </c>
      <c r="C9562" s="94" t="s">
        <v>1092</v>
      </c>
      <c r="D9562" s="286">
        <v>4000.0</v>
      </c>
      <c r="E9562" s="94">
        <v>7.2</v>
      </c>
      <c r="F9562" s="986">
        <v>0.4049189814814815</v>
      </c>
      <c r="G9562" s="94" t="s">
        <v>453</v>
      </c>
      <c r="H9562" s="987">
        <v>21.1</v>
      </c>
      <c r="I9562" s="988" t="s">
        <v>3145</v>
      </c>
      <c r="J9562" s="67">
        <f t="shared" si="543"/>
        <v>28778.9</v>
      </c>
      <c r="L9562" s="70"/>
      <c r="M9562" s="934"/>
    </row>
    <row r="9563" ht="12.75" hidden="1" customHeight="1" outlineLevel="1">
      <c r="A9563" s="202">
        <v>42787.0</v>
      </c>
      <c r="B9563" s="992"/>
      <c r="C9563" s="32" t="s">
        <v>339</v>
      </c>
      <c r="D9563" s="1"/>
      <c r="F9563" s="1"/>
      <c r="G9563" s="1"/>
      <c r="H9563" s="68"/>
      <c r="I9563" s="76"/>
      <c r="K9563" s="201" t="s">
        <v>3447</v>
      </c>
      <c r="L9563" s="934"/>
      <c r="M9563" s="934"/>
    </row>
    <row r="9564" ht="12.75" hidden="1" customHeight="1" outlineLevel="1">
      <c r="A9564" s="202">
        <v>42787.0</v>
      </c>
      <c r="B9564" s="992"/>
      <c r="C9564" s="32" t="s">
        <v>429</v>
      </c>
      <c r="D9564" s="1"/>
      <c r="F9564" s="1"/>
      <c r="G9564" s="1"/>
      <c r="H9564" s="68"/>
      <c r="I9564" s="76"/>
      <c r="K9564" s="9" t="s">
        <v>3187</v>
      </c>
      <c r="L9564" s="934"/>
      <c r="M9564" s="934"/>
    </row>
    <row r="9565" ht="12.75" hidden="1" customHeight="1" outlineLevel="1">
      <c r="A9565" s="202">
        <v>42787.0</v>
      </c>
      <c r="B9565" s="992"/>
      <c r="C9565" s="32" t="s">
        <v>431</v>
      </c>
      <c r="D9565" s="1"/>
      <c r="F9565" s="1"/>
      <c r="G9565" s="1"/>
      <c r="H9565" s="68"/>
      <c r="I9565" s="76"/>
      <c r="K9565" s="7" t="s">
        <v>1126</v>
      </c>
      <c r="L9565" s="934"/>
      <c r="M9565" s="934"/>
    </row>
    <row r="9566" ht="12.75" hidden="1" customHeight="1" outlineLevel="1">
      <c r="A9566" s="202">
        <v>42787.0</v>
      </c>
      <c r="B9566" s="992"/>
      <c r="C9566" s="32" t="s">
        <v>433</v>
      </c>
      <c r="D9566" s="1"/>
      <c r="F9566" s="1"/>
      <c r="G9566" s="1"/>
      <c r="H9566" s="68"/>
      <c r="I9566" s="76"/>
      <c r="K9566" s="7" t="s">
        <v>1103</v>
      </c>
      <c r="L9566" s="934"/>
      <c r="M9566" s="934"/>
    </row>
    <row r="9567" ht="12.75" hidden="1" customHeight="1" outlineLevel="1">
      <c r="A9567" s="202">
        <v>42787.0</v>
      </c>
      <c r="B9567" s="992"/>
      <c r="C9567" s="32" t="s">
        <v>435</v>
      </c>
      <c r="D9567" s="1"/>
      <c r="F9567" s="1"/>
      <c r="G9567" s="1"/>
      <c r="H9567" s="68"/>
      <c r="I9567" s="76"/>
      <c r="K9567" s="9" t="s">
        <v>3331</v>
      </c>
      <c r="L9567" s="934"/>
      <c r="M9567" s="934"/>
    </row>
    <row r="9568" ht="12.75" hidden="1" customHeight="1" outlineLevel="1">
      <c r="A9568" s="202">
        <v>42793.0</v>
      </c>
      <c r="B9568" s="992"/>
      <c r="C9568" s="32" t="s">
        <v>339</v>
      </c>
      <c r="D9568" s="1"/>
      <c r="F9568" s="1"/>
      <c r="G9568" s="1"/>
      <c r="H9568" s="68"/>
      <c r="I9568" s="76"/>
      <c r="K9568" s="201" t="s">
        <v>3448</v>
      </c>
      <c r="L9568" s="934"/>
      <c r="M9568" s="934"/>
    </row>
    <row r="9569" ht="12.75" hidden="1" customHeight="1" outlineLevel="1">
      <c r="A9569" s="202">
        <v>42793.0</v>
      </c>
      <c r="B9569" s="992"/>
      <c r="C9569" s="32" t="s">
        <v>429</v>
      </c>
      <c r="D9569" s="1"/>
      <c r="F9569" s="1"/>
      <c r="G9569" s="1"/>
      <c r="H9569" s="68"/>
      <c r="I9569" s="76"/>
      <c r="K9569" s="9" t="s">
        <v>3187</v>
      </c>
      <c r="L9569" s="934"/>
      <c r="M9569" s="934"/>
    </row>
    <row r="9570" ht="12.75" hidden="1" customHeight="1" outlineLevel="1">
      <c r="A9570" s="202">
        <v>42793.0</v>
      </c>
      <c r="B9570" s="992"/>
      <c r="C9570" s="32" t="s">
        <v>431</v>
      </c>
      <c r="D9570" s="1"/>
      <c r="F9570" s="1"/>
      <c r="G9570" s="1"/>
      <c r="H9570" s="68"/>
      <c r="I9570" s="76"/>
      <c r="K9570" s="7" t="s">
        <v>1126</v>
      </c>
      <c r="L9570" s="934"/>
      <c r="M9570" s="934"/>
    </row>
    <row r="9571" ht="12.75" hidden="1" customHeight="1" outlineLevel="1">
      <c r="A9571" s="202">
        <v>42793.0</v>
      </c>
      <c r="B9571" s="992"/>
      <c r="C9571" s="32" t="s">
        <v>433</v>
      </c>
      <c r="D9571" s="1"/>
      <c r="F9571" s="1"/>
      <c r="G9571" s="1"/>
      <c r="H9571" s="68"/>
      <c r="I9571" s="76"/>
      <c r="K9571" s="7" t="s">
        <v>1103</v>
      </c>
      <c r="L9571" s="934"/>
      <c r="M9571" s="934"/>
    </row>
    <row r="9572" ht="12.75" hidden="1" customHeight="1" outlineLevel="1">
      <c r="A9572" s="202">
        <v>42793.0</v>
      </c>
      <c r="B9572" s="992"/>
      <c r="C9572" s="32" t="s">
        <v>435</v>
      </c>
      <c r="D9572" s="1"/>
      <c r="F9572" s="1"/>
      <c r="G9572" s="1"/>
      <c r="H9572" s="68"/>
      <c r="I9572" s="76"/>
      <c r="K9572" s="9" t="s">
        <v>3331</v>
      </c>
      <c r="L9572" s="934"/>
      <c r="M9572" s="934"/>
    </row>
    <row r="9573" ht="12.75" hidden="1" customHeight="1" outlineLevel="1">
      <c r="A9573" s="202">
        <v>42794.0</v>
      </c>
      <c r="B9573" s="985" t="s">
        <v>343</v>
      </c>
      <c r="C9573" s="94" t="s">
        <v>1485</v>
      </c>
      <c r="D9573" s="94">
        <v>500.0</v>
      </c>
      <c r="E9573" s="94">
        <v>7.59</v>
      </c>
      <c r="F9573" s="986">
        <v>0.4342476851851852</v>
      </c>
      <c r="G9573" s="94" t="s">
        <v>453</v>
      </c>
      <c r="H9573" s="987">
        <v>2.5</v>
      </c>
      <c r="I9573" s="988" t="s">
        <v>3145</v>
      </c>
      <c r="J9573" s="67">
        <f t="shared" ref="J9573:J9578" si="544">IF(B9573="SLD",D9573*E9573,-D9573*E9573)-H9573</f>
        <v>-3797.5</v>
      </c>
      <c r="L9573" s="70"/>
      <c r="M9573" s="934"/>
    </row>
    <row r="9574" ht="12.75" hidden="1" customHeight="1" outlineLevel="1">
      <c r="A9574" s="202">
        <v>42794.0</v>
      </c>
      <c r="B9574" s="985" t="s">
        <v>343</v>
      </c>
      <c r="C9574" s="94" t="s">
        <v>1483</v>
      </c>
      <c r="D9574" s="94">
        <v>500.0</v>
      </c>
      <c r="E9574" s="94">
        <v>2.55</v>
      </c>
      <c r="F9574" s="986">
        <v>0.4341319444444444</v>
      </c>
      <c r="G9574" s="94" t="s">
        <v>453</v>
      </c>
      <c r="H9574" s="987">
        <v>2.5</v>
      </c>
      <c r="I9574" s="988" t="s">
        <v>3145</v>
      </c>
      <c r="J9574" s="67">
        <f t="shared" si="544"/>
        <v>-1277.5</v>
      </c>
      <c r="L9574" s="70"/>
      <c r="M9574" s="934"/>
    </row>
    <row r="9575" ht="12.75" hidden="1" customHeight="1" outlineLevel="1">
      <c r="A9575" s="202">
        <v>42794.0</v>
      </c>
      <c r="B9575" s="985" t="s">
        <v>343</v>
      </c>
      <c r="C9575" s="94" t="s">
        <v>604</v>
      </c>
      <c r="D9575" s="94">
        <v>500.0</v>
      </c>
      <c r="E9575" s="94">
        <v>2.76</v>
      </c>
      <c r="F9575" s="986">
        <v>0.4340509259259259</v>
      </c>
      <c r="G9575" s="94" t="s">
        <v>453</v>
      </c>
      <c r="H9575" s="987">
        <v>2.5</v>
      </c>
      <c r="I9575" s="988" t="s">
        <v>3145</v>
      </c>
      <c r="J9575" s="67">
        <f t="shared" si="544"/>
        <v>-1382.5</v>
      </c>
      <c r="L9575" s="70"/>
      <c r="M9575" s="934"/>
    </row>
    <row r="9576" ht="12.75" hidden="1" customHeight="1" outlineLevel="1">
      <c r="A9576" s="202">
        <v>42794.0</v>
      </c>
      <c r="B9576" s="985" t="s">
        <v>343</v>
      </c>
      <c r="C9576" s="94" t="s">
        <v>1092</v>
      </c>
      <c r="D9576" s="94">
        <v>500.0</v>
      </c>
      <c r="E9576" s="94">
        <v>7.94</v>
      </c>
      <c r="F9576" s="986">
        <v>0.4337962962962963</v>
      </c>
      <c r="G9576" s="94" t="s">
        <v>453</v>
      </c>
      <c r="H9576" s="987">
        <v>2.5</v>
      </c>
      <c r="I9576" s="988" t="s">
        <v>3145</v>
      </c>
      <c r="J9576" s="67">
        <f t="shared" si="544"/>
        <v>-3972.5</v>
      </c>
      <c r="L9576" s="70"/>
      <c r="M9576" s="934"/>
    </row>
    <row r="9577" ht="12.75" hidden="1" customHeight="1" outlineLevel="1">
      <c r="A9577" s="202">
        <v>42794.0</v>
      </c>
      <c r="B9577" s="985" t="s">
        <v>347</v>
      </c>
      <c r="C9577" s="94" t="s">
        <v>1290</v>
      </c>
      <c r="D9577" s="94">
        <v>50.0</v>
      </c>
      <c r="E9577" s="94">
        <v>91.05</v>
      </c>
      <c r="F9577" s="986">
        <v>0.4335185185185185</v>
      </c>
      <c r="G9577" s="94" t="s">
        <v>453</v>
      </c>
      <c r="H9577" s="987">
        <v>1.11</v>
      </c>
      <c r="I9577" s="988" t="s">
        <v>3145</v>
      </c>
      <c r="J9577" s="67">
        <f t="shared" si="544"/>
        <v>4551.39</v>
      </c>
      <c r="L9577" s="70"/>
      <c r="M9577" s="934"/>
    </row>
    <row r="9578" ht="12.75" hidden="1" customHeight="1" outlineLevel="1">
      <c r="A9578" s="202">
        <v>42794.0</v>
      </c>
      <c r="B9578" s="985" t="s">
        <v>347</v>
      </c>
      <c r="C9578" s="94" t="s">
        <v>1070</v>
      </c>
      <c r="D9578" s="94">
        <v>15.0</v>
      </c>
      <c r="E9578" s="94">
        <v>274.37</v>
      </c>
      <c r="F9578" s="986">
        <v>0.43331018518518516</v>
      </c>
      <c r="G9578" s="94" t="s">
        <v>453</v>
      </c>
      <c r="H9578" s="987">
        <v>1.09</v>
      </c>
      <c r="I9578" s="988" t="s">
        <v>3145</v>
      </c>
      <c r="J9578" s="67">
        <f t="shared" si="544"/>
        <v>4114.46</v>
      </c>
      <c r="L9578" s="70"/>
      <c r="M9578" s="934"/>
    </row>
    <row r="9579" ht="12.75" hidden="1" customHeight="1" outlineLevel="1">
      <c r="A9579" s="202">
        <v>42794.0</v>
      </c>
      <c r="B9579" s="992"/>
      <c r="C9579" s="32" t="s">
        <v>339</v>
      </c>
      <c r="D9579" s="1"/>
      <c r="F9579" s="1"/>
      <c r="G9579" s="1"/>
      <c r="H9579" s="68"/>
      <c r="I9579" s="76"/>
      <c r="K9579" s="201" t="s">
        <v>3449</v>
      </c>
      <c r="L9579" s="934"/>
      <c r="M9579" s="934"/>
    </row>
    <row r="9580" ht="12.75" hidden="1" customHeight="1" outlineLevel="1">
      <c r="A9580" s="202">
        <v>42794.0</v>
      </c>
      <c r="B9580" s="992"/>
      <c r="C9580" s="32" t="s">
        <v>429</v>
      </c>
      <c r="D9580" s="1"/>
      <c r="F9580" s="1"/>
      <c r="G9580" s="1"/>
      <c r="H9580" s="68"/>
      <c r="I9580" s="76"/>
      <c r="K9580" s="9" t="s">
        <v>3187</v>
      </c>
      <c r="L9580" s="934"/>
      <c r="M9580" s="934"/>
    </row>
    <row r="9581" ht="12.75" hidden="1" customHeight="1" outlineLevel="1">
      <c r="A9581" s="202">
        <v>42794.0</v>
      </c>
      <c r="B9581" s="992"/>
      <c r="C9581" s="32" t="s">
        <v>431</v>
      </c>
      <c r="D9581" s="1"/>
      <c r="F9581" s="1"/>
      <c r="G9581" s="1"/>
      <c r="H9581" s="68"/>
      <c r="I9581" s="76"/>
      <c r="K9581" s="7" t="s">
        <v>1126</v>
      </c>
      <c r="L9581" s="934"/>
      <c r="M9581" s="934"/>
    </row>
    <row r="9582" ht="12.75" hidden="1" customHeight="1" outlineLevel="1">
      <c r="A9582" s="202">
        <v>42794.0</v>
      </c>
      <c r="B9582" s="992"/>
      <c r="C9582" s="32" t="s">
        <v>433</v>
      </c>
      <c r="D9582" s="1"/>
      <c r="F9582" s="1"/>
      <c r="G9582" s="1"/>
      <c r="H9582" s="68"/>
      <c r="I9582" s="76"/>
      <c r="K9582" s="7" t="s">
        <v>1103</v>
      </c>
      <c r="L9582" s="934"/>
      <c r="M9582" s="934"/>
    </row>
    <row r="9583" ht="12.75" hidden="1" customHeight="1" outlineLevel="1">
      <c r="A9583" s="202">
        <v>42794.0</v>
      </c>
      <c r="B9583" s="992"/>
      <c r="C9583" s="32" t="s">
        <v>435</v>
      </c>
      <c r="D9583" s="1"/>
      <c r="F9583" s="1"/>
      <c r="G9583" s="1"/>
      <c r="H9583" s="68"/>
      <c r="I9583" s="76"/>
      <c r="K9583" s="9" t="s">
        <v>3331</v>
      </c>
      <c r="L9583" s="934"/>
      <c r="M9583" s="934"/>
    </row>
    <row r="9584" ht="12.75" hidden="1" customHeight="1" outlineLevel="1">
      <c r="A9584" s="202">
        <v>42799.0</v>
      </c>
      <c r="B9584" s="992"/>
      <c r="C9584" s="32" t="s">
        <v>339</v>
      </c>
      <c r="D9584" s="1"/>
      <c r="F9584" s="1"/>
      <c r="G9584" s="1"/>
      <c r="H9584" s="68"/>
      <c r="I9584" s="76"/>
      <c r="K9584" s="201" t="s">
        <v>3450</v>
      </c>
      <c r="L9584" s="934"/>
      <c r="M9584" s="934"/>
    </row>
    <row r="9585" ht="12.75" hidden="1" customHeight="1" outlineLevel="1">
      <c r="A9585" s="202">
        <v>42799.0</v>
      </c>
      <c r="B9585" s="992"/>
      <c r="C9585" s="32" t="s">
        <v>429</v>
      </c>
      <c r="D9585" s="1"/>
      <c r="F9585" s="1"/>
      <c r="G9585" s="1"/>
      <c r="H9585" s="68"/>
      <c r="I9585" s="76"/>
      <c r="K9585" s="9" t="s">
        <v>3187</v>
      </c>
      <c r="L9585" s="934"/>
      <c r="M9585" s="934"/>
    </row>
    <row r="9586" ht="12.75" hidden="1" customHeight="1" outlineLevel="1">
      <c r="A9586" s="202">
        <v>42799.0</v>
      </c>
      <c r="B9586" s="992"/>
      <c r="C9586" s="32" t="s">
        <v>431</v>
      </c>
      <c r="D9586" s="1"/>
      <c r="F9586" s="1"/>
      <c r="G9586" s="1"/>
      <c r="H9586" s="68"/>
      <c r="I9586" s="76"/>
      <c r="K9586" s="7" t="s">
        <v>1126</v>
      </c>
      <c r="L9586" s="934"/>
      <c r="M9586" s="934"/>
    </row>
    <row r="9587" ht="12.75" hidden="1" customHeight="1" outlineLevel="1">
      <c r="A9587" s="202">
        <v>42799.0</v>
      </c>
      <c r="B9587" s="992"/>
      <c r="C9587" s="32" t="s">
        <v>433</v>
      </c>
      <c r="D9587" s="1"/>
      <c r="F9587" s="1"/>
      <c r="G9587" s="1"/>
      <c r="H9587" s="68"/>
      <c r="I9587" s="76"/>
      <c r="K9587" s="7" t="s">
        <v>1103</v>
      </c>
      <c r="L9587" s="934"/>
      <c r="M9587" s="934"/>
    </row>
    <row r="9588" ht="12.75" hidden="1" customHeight="1" outlineLevel="1">
      <c r="A9588" s="202">
        <v>42799.0</v>
      </c>
      <c r="B9588" s="992"/>
      <c r="C9588" s="32" t="s">
        <v>435</v>
      </c>
      <c r="D9588" s="1"/>
      <c r="F9588" s="1"/>
      <c r="G9588" s="1"/>
      <c r="H9588" s="68"/>
      <c r="I9588" s="76"/>
      <c r="K9588" s="9" t="s">
        <v>3331</v>
      </c>
      <c r="L9588" s="934"/>
      <c r="M9588" s="934"/>
    </row>
    <row r="9589" ht="12.75" hidden="1" customHeight="1" outlineLevel="1">
      <c r="A9589" s="202">
        <v>42799.0</v>
      </c>
      <c r="B9589" s="992"/>
      <c r="C9589" s="32" t="s">
        <v>339</v>
      </c>
      <c r="D9589" s="1"/>
      <c r="F9589" s="1"/>
      <c r="G9589" s="1"/>
      <c r="H9589" s="68"/>
      <c r="I9589" s="76"/>
      <c r="K9589" s="201" t="s">
        <v>3451</v>
      </c>
      <c r="L9589" s="934"/>
      <c r="M9589" s="934"/>
    </row>
    <row r="9590" ht="12.75" hidden="1" customHeight="1" outlineLevel="1">
      <c r="A9590" s="202">
        <v>42799.0</v>
      </c>
      <c r="B9590" s="992"/>
      <c r="C9590" s="32" t="s">
        <v>429</v>
      </c>
      <c r="D9590" s="1"/>
      <c r="F9590" s="1"/>
      <c r="G9590" s="1"/>
      <c r="H9590" s="68"/>
      <c r="I9590" s="76"/>
      <c r="K9590" s="9" t="s">
        <v>3187</v>
      </c>
      <c r="L9590" s="934"/>
      <c r="M9590" s="934"/>
    </row>
    <row r="9591" ht="12.75" hidden="1" customHeight="1" outlineLevel="1">
      <c r="A9591" s="202">
        <v>42799.0</v>
      </c>
      <c r="B9591" s="992"/>
      <c r="C9591" s="32" t="s">
        <v>431</v>
      </c>
      <c r="D9591" s="1"/>
      <c r="F9591" s="1"/>
      <c r="G9591" s="1"/>
      <c r="H9591" s="68"/>
      <c r="I9591" s="76"/>
      <c r="K9591" s="7" t="s">
        <v>1126</v>
      </c>
      <c r="L9591" s="934"/>
      <c r="M9591" s="934"/>
    </row>
    <row r="9592" ht="12.75" hidden="1" customHeight="1" outlineLevel="1">
      <c r="A9592" s="202">
        <v>42799.0</v>
      </c>
      <c r="B9592" s="992"/>
      <c r="C9592" s="32" t="s">
        <v>433</v>
      </c>
      <c r="D9592" s="1"/>
      <c r="F9592" s="1"/>
      <c r="G9592" s="1"/>
      <c r="H9592" s="68"/>
      <c r="I9592" s="76"/>
      <c r="K9592" s="7" t="s">
        <v>1103</v>
      </c>
      <c r="L9592" s="934"/>
      <c r="M9592" s="934"/>
    </row>
    <row r="9593" ht="12.75" hidden="1" customHeight="1" outlineLevel="1">
      <c r="A9593" s="202">
        <v>42799.0</v>
      </c>
      <c r="B9593" s="992"/>
      <c r="C9593" s="32" t="s">
        <v>435</v>
      </c>
      <c r="D9593" s="1"/>
      <c r="F9593" s="1"/>
      <c r="G9593" s="1"/>
      <c r="H9593" s="68"/>
      <c r="I9593" s="76"/>
      <c r="K9593" s="9" t="s">
        <v>3331</v>
      </c>
      <c r="L9593" s="934"/>
      <c r="M9593" s="934"/>
    </row>
    <row r="9594" ht="12.75" hidden="1" customHeight="1" outlineLevel="1">
      <c r="A9594" s="202">
        <v>42809.0</v>
      </c>
      <c r="B9594" s="992"/>
      <c r="C9594" s="32" t="s">
        <v>339</v>
      </c>
      <c r="D9594" s="1"/>
      <c r="F9594" s="1"/>
      <c r="G9594" s="1"/>
      <c r="H9594" s="68"/>
      <c r="I9594" s="76"/>
      <c r="K9594" s="201" t="s">
        <v>3452</v>
      </c>
      <c r="L9594" s="934"/>
      <c r="M9594" s="934"/>
    </row>
    <row r="9595" ht="12.75" hidden="1" customHeight="1" outlineLevel="1">
      <c r="A9595" s="202">
        <v>42809.0</v>
      </c>
      <c r="B9595" s="992"/>
      <c r="C9595" s="32" t="s">
        <v>429</v>
      </c>
      <c r="D9595" s="1"/>
      <c r="F9595" s="1"/>
      <c r="G9595" s="1"/>
      <c r="H9595" s="68"/>
      <c r="I9595" s="76"/>
      <c r="K9595" s="9" t="s">
        <v>3187</v>
      </c>
      <c r="L9595" s="934"/>
      <c r="M9595" s="934"/>
    </row>
    <row r="9596" ht="12.75" hidden="1" customHeight="1" outlineLevel="1">
      <c r="A9596" s="202">
        <v>42809.0</v>
      </c>
      <c r="B9596" s="992"/>
      <c r="C9596" s="32" t="s">
        <v>431</v>
      </c>
      <c r="D9596" s="1"/>
      <c r="F9596" s="1"/>
      <c r="G9596" s="1"/>
      <c r="H9596" s="68"/>
      <c r="I9596" s="76"/>
      <c r="K9596" s="7" t="s">
        <v>1126</v>
      </c>
      <c r="L9596" s="934"/>
      <c r="M9596" s="934"/>
    </row>
    <row r="9597" ht="12.75" hidden="1" customHeight="1" outlineLevel="1">
      <c r="A9597" s="202">
        <v>42809.0</v>
      </c>
      <c r="B9597" s="992"/>
      <c r="C9597" s="32" t="s">
        <v>433</v>
      </c>
      <c r="D9597" s="1"/>
      <c r="F9597" s="1"/>
      <c r="G9597" s="1"/>
      <c r="H9597" s="68"/>
      <c r="I9597" s="76"/>
      <c r="K9597" s="7" t="s">
        <v>1103</v>
      </c>
      <c r="L9597" s="934"/>
      <c r="M9597" s="934"/>
    </row>
    <row r="9598" ht="12.75" hidden="1" customHeight="1" outlineLevel="1">
      <c r="A9598" s="202">
        <v>42809.0</v>
      </c>
      <c r="B9598" s="992"/>
      <c r="C9598" s="32" t="s">
        <v>435</v>
      </c>
      <c r="D9598" s="1"/>
      <c r="F9598" s="1"/>
      <c r="G9598" s="1"/>
      <c r="H9598" s="68"/>
      <c r="I9598" s="76"/>
      <c r="K9598" s="9" t="s">
        <v>3331</v>
      </c>
      <c r="L9598" s="934"/>
      <c r="M9598" s="934"/>
    </row>
    <row r="9599" ht="12.75" hidden="1" customHeight="1" outlineLevel="1">
      <c r="A9599" s="202">
        <v>42810.0</v>
      </c>
      <c r="B9599" s="992"/>
      <c r="C9599" s="32" t="s">
        <v>339</v>
      </c>
      <c r="D9599" s="1"/>
      <c r="F9599" s="1"/>
      <c r="G9599" s="1"/>
      <c r="H9599" s="68"/>
      <c r="I9599" s="76"/>
      <c r="K9599" s="201" t="s">
        <v>3453</v>
      </c>
      <c r="L9599" s="934"/>
      <c r="M9599" s="934"/>
    </row>
    <row r="9600" ht="12.75" hidden="1" customHeight="1" outlineLevel="1">
      <c r="A9600" s="202">
        <v>42810.0</v>
      </c>
      <c r="B9600" s="992"/>
      <c r="C9600" s="32" t="s">
        <v>429</v>
      </c>
      <c r="D9600" s="1"/>
      <c r="F9600" s="1"/>
      <c r="G9600" s="1"/>
      <c r="H9600" s="68"/>
      <c r="I9600" s="76"/>
      <c r="K9600" s="9" t="s">
        <v>3187</v>
      </c>
      <c r="L9600" s="934"/>
      <c r="M9600" s="934"/>
    </row>
    <row r="9601" ht="12.75" hidden="1" customHeight="1" outlineLevel="1">
      <c r="A9601" s="202">
        <v>42810.0</v>
      </c>
      <c r="B9601" s="992"/>
      <c r="C9601" s="32" t="s">
        <v>431</v>
      </c>
      <c r="D9601" s="1"/>
      <c r="F9601" s="1"/>
      <c r="G9601" s="1"/>
      <c r="H9601" s="68"/>
      <c r="I9601" s="76"/>
      <c r="K9601" s="7" t="s">
        <v>1126</v>
      </c>
      <c r="L9601" s="934"/>
      <c r="M9601" s="934"/>
    </row>
    <row r="9602" ht="12.75" hidden="1" customHeight="1" outlineLevel="1">
      <c r="A9602" s="202">
        <v>42810.0</v>
      </c>
      <c r="B9602" s="992"/>
      <c r="C9602" s="32" t="s">
        <v>433</v>
      </c>
      <c r="D9602" s="1"/>
      <c r="F9602" s="1"/>
      <c r="G9602" s="1"/>
      <c r="H9602" s="68"/>
      <c r="I9602" s="76"/>
      <c r="K9602" s="7" t="s">
        <v>1103</v>
      </c>
      <c r="L9602" s="934"/>
      <c r="M9602" s="934"/>
    </row>
    <row r="9603" ht="12.75" hidden="1" customHeight="1" outlineLevel="1">
      <c r="A9603" s="202">
        <v>42810.0</v>
      </c>
      <c r="B9603" s="992"/>
      <c r="C9603" s="32" t="s">
        <v>435</v>
      </c>
      <c r="D9603" s="1"/>
      <c r="F9603" s="1"/>
      <c r="G9603" s="1"/>
      <c r="H9603" s="68"/>
      <c r="I9603" s="76"/>
      <c r="K9603" s="9" t="s">
        <v>3331</v>
      </c>
      <c r="L9603" s="934"/>
      <c r="M9603" s="934"/>
    </row>
    <row r="9604" ht="12.75" hidden="1" customHeight="1" outlineLevel="1">
      <c r="A9604" s="202">
        <v>42810.0</v>
      </c>
      <c r="B9604" s="992"/>
      <c r="C9604" s="32" t="s">
        <v>339</v>
      </c>
      <c r="D9604" s="1"/>
      <c r="F9604" s="1"/>
      <c r="G9604" s="1"/>
      <c r="H9604" s="68"/>
      <c r="I9604" s="76"/>
      <c r="K9604" s="201" t="s">
        <v>3454</v>
      </c>
      <c r="L9604" s="934"/>
      <c r="M9604" s="934"/>
    </row>
    <row r="9605" ht="12.75" hidden="1" customHeight="1" outlineLevel="1">
      <c r="A9605" s="202">
        <v>42810.0</v>
      </c>
      <c r="B9605" s="992"/>
      <c r="C9605" s="32" t="s">
        <v>429</v>
      </c>
      <c r="D9605" s="1"/>
      <c r="F9605" s="1"/>
      <c r="G9605" s="1"/>
      <c r="H9605" s="68"/>
      <c r="I9605" s="76"/>
      <c r="K9605" s="9" t="s">
        <v>3187</v>
      </c>
      <c r="L9605" s="934"/>
      <c r="M9605" s="934"/>
    </row>
    <row r="9606" ht="12.75" hidden="1" customHeight="1" outlineLevel="1">
      <c r="A9606" s="202">
        <v>42810.0</v>
      </c>
      <c r="B9606" s="992"/>
      <c r="C9606" s="32" t="s">
        <v>431</v>
      </c>
      <c r="D9606" s="1"/>
      <c r="F9606" s="1"/>
      <c r="G9606" s="1"/>
      <c r="H9606" s="68"/>
      <c r="I9606" s="76"/>
      <c r="K9606" s="7" t="s">
        <v>1126</v>
      </c>
      <c r="L9606" s="934"/>
      <c r="M9606" s="934"/>
    </row>
    <row r="9607" ht="12.75" hidden="1" customHeight="1" outlineLevel="1">
      <c r="A9607" s="202">
        <v>42810.0</v>
      </c>
      <c r="B9607" s="992"/>
      <c r="C9607" s="32" t="s">
        <v>433</v>
      </c>
      <c r="D9607" s="1"/>
      <c r="F9607" s="1"/>
      <c r="G9607" s="1"/>
      <c r="H9607" s="68"/>
      <c r="I9607" s="76"/>
      <c r="K9607" s="7" t="s">
        <v>1103</v>
      </c>
      <c r="L9607" s="934"/>
      <c r="M9607" s="934"/>
    </row>
    <row r="9608" ht="12.75" hidden="1" customHeight="1" outlineLevel="1">
      <c r="A9608" s="202">
        <v>42810.0</v>
      </c>
      <c r="B9608" s="992"/>
      <c r="C9608" s="32" t="s">
        <v>435</v>
      </c>
      <c r="D9608" s="1"/>
      <c r="F9608" s="1"/>
      <c r="G9608" s="1"/>
      <c r="H9608" s="68"/>
      <c r="I9608" s="76"/>
      <c r="K9608" s="9" t="s">
        <v>3331</v>
      </c>
      <c r="L9608" s="934"/>
      <c r="M9608" s="934"/>
    </row>
    <row r="9609" ht="12.75" hidden="1" customHeight="1" outlineLevel="1">
      <c r="A9609" s="202">
        <v>42811.0</v>
      </c>
      <c r="B9609" s="985" t="s">
        <v>343</v>
      </c>
      <c r="C9609" s="94" t="s">
        <v>2395</v>
      </c>
      <c r="D9609" s="94">
        <v>450.0</v>
      </c>
      <c r="E9609" s="94">
        <v>17.978</v>
      </c>
      <c r="F9609" s="986">
        <v>0.6666087962962963</v>
      </c>
      <c r="G9609" s="94" t="s">
        <v>453</v>
      </c>
      <c r="H9609" s="987">
        <v>1.8</v>
      </c>
      <c r="I9609" s="988" t="s">
        <v>3145</v>
      </c>
      <c r="J9609" s="67">
        <f t="shared" ref="J9609:J9610" si="545">IF(B9609="SLD",D9609*E9609,-D9609*E9609)-H9609</f>
        <v>-8091.9</v>
      </c>
      <c r="L9609" s="70"/>
      <c r="M9609" s="934"/>
    </row>
    <row r="9610" ht="12.75" hidden="1" customHeight="1" outlineLevel="1">
      <c r="A9610" s="202">
        <v>42811.0</v>
      </c>
      <c r="B9610" s="985" t="s">
        <v>347</v>
      </c>
      <c r="C9610" s="94" t="s">
        <v>344</v>
      </c>
      <c r="D9610" s="94">
        <v>200.0</v>
      </c>
      <c r="E9610" s="94">
        <v>62.43</v>
      </c>
      <c r="F9610" s="986">
        <v>0.6663310185185185</v>
      </c>
      <c r="G9610" s="94" t="s">
        <v>453</v>
      </c>
      <c r="H9610" s="987">
        <v>1.3</v>
      </c>
      <c r="I9610" s="988" t="s">
        <v>3145</v>
      </c>
      <c r="J9610" s="67">
        <f t="shared" si="545"/>
        <v>12484.7</v>
      </c>
      <c r="L9610" s="70"/>
      <c r="M9610" s="934"/>
    </row>
    <row r="9611" ht="12.75" hidden="1" customHeight="1" outlineLevel="1">
      <c r="A9611" s="202">
        <v>42811.0</v>
      </c>
      <c r="B9611" s="992"/>
      <c r="C9611" s="32" t="s">
        <v>339</v>
      </c>
      <c r="D9611" s="1"/>
      <c r="F9611" s="1"/>
      <c r="G9611" s="1"/>
      <c r="H9611" s="68"/>
      <c r="I9611" s="76"/>
      <c r="K9611" s="201" t="s">
        <v>3455</v>
      </c>
      <c r="L9611" s="934"/>
      <c r="M9611" s="934"/>
    </row>
    <row r="9612" ht="12.75" hidden="1" customHeight="1" outlineLevel="1">
      <c r="A9612" s="202">
        <v>42811.0</v>
      </c>
      <c r="B9612" s="992"/>
      <c r="C9612" s="32" t="s">
        <v>429</v>
      </c>
      <c r="D9612" s="1"/>
      <c r="F9612" s="1"/>
      <c r="G9612" s="1"/>
      <c r="H9612" s="68"/>
      <c r="I9612" s="76"/>
      <c r="K9612" s="9" t="s">
        <v>3187</v>
      </c>
      <c r="L9612" s="934"/>
      <c r="M9612" s="934"/>
    </row>
    <row r="9613" ht="12.75" hidden="1" customHeight="1" outlineLevel="1">
      <c r="A9613" s="202">
        <v>42811.0</v>
      </c>
      <c r="B9613" s="992"/>
      <c r="C9613" s="32" t="s">
        <v>431</v>
      </c>
      <c r="D9613" s="1"/>
      <c r="F9613" s="1"/>
      <c r="G9613" s="1"/>
      <c r="H9613" s="68"/>
      <c r="I9613" s="76"/>
      <c r="K9613" s="7" t="s">
        <v>1126</v>
      </c>
      <c r="L9613" s="934"/>
      <c r="M9613" s="934"/>
    </row>
    <row r="9614" ht="12.75" hidden="1" customHeight="1" outlineLevel="1">
      <c r="A9614" s="202">
        <v>42811.0</v>
      </c>
      <c r="B9614" s="992"/>
      <c r="C9614" s="32" t="s">
        <v>433</v>
      </c>
      <c r="D9614" s="1"/>
      <c r="F9614" s="1"/>
      <c r="G9614" s="1"/>
      <c r="H9614" s="68"/>
      <c r="I9614" s="76"/>
      <c r="K9614" s="7" t="s">
        <v>1103</v>
      </c>
      <c r="L9614" s="934"/>
      <c r="M9614" s="934"/>
    </row>
    <row r="9615" ht="12.75" hidden="1" customHeight="1" outlineLevel="1">
      <c r="A9615" s="202">
        <v>42811.0</v>
      </c>
      <c r="B9615" s="992"/>
      <c r="C9615" s="32" t="s">
        <v>435</v>
      </c>
      <c r="D9615" s="1"/>
      <c r="F9615" s="1"/>
      <c r="G9615" s="1"/>
      <c r="H9615" s="68"/>
      <c r="I9615" s="76"/>
      <c r="K9615" s="9" t="s">
        <v>3331</v>
      </c>
      <c r="L9615" s="934"/>
      <c r="M9615" s="934"/>
    </row>
    <row r="9616" ht="12.75" hidden="1" customHeight="1" outlineLevel="1">
      <c r="A9616" s="202">
        <v>42821.0</v>
      </c>
      <c r="B9616" s="992"/>
      <c r="C9616" s="32" t="s">
        <v>339</v>
      </c>
      <c r="D9616" s="1"/>
      <c r="F9616" s="1"/>
      <c r="G9616" s="1"/>
      <c r="H9616" s="68"/>
      <c r="I9616" s="76"/>
      <c r="K9616" s="201" t="s">
        <v>3455</v>
      </c>
      <c r="L9616" s="934"/>
      <c r="M9616" s="934"/>
    </row>
    <row r="9617" ht="12.75" hidden="1" customHeight="1" outlineLevel="1">
      <c r="A9617" s="202">
        <v>42821.0</v>
      </c>
      <c r="B9617" s="992"/>
      <c r="C9617" s="32" t="s">
        <v>429</v>
      </c>
      <c r="D9617" s="1"/>
      <c r="F9617" s="1"/>
      <c r="G9617" s="1"/>
      <c r="H9617" s="68"/>
      <c r="I9617" s="76"/>
      <c r="K9617" s="9" t="s">
        <v>3187</v>
      </c>
      <c r="L9617" s="934"/>
      <c r="M9617" s="934"/>
    </row>
    <row r="9618" ht="12.75" hidden="1" customHeight="1" outlineLevel="1">
      <c r="A9618" s="202">
        <v>42821.0</v>
      </c>
      <c r="B9618" s="992"/>
      <c r="C9618" s="32" t="s">
        <v>431</v>
      </c>
      <c r="D9618" s="1"/>
      <c r="F9618" s="1"/>
      <c r="G9618" s="1"/>
      <c r="H9618" s="68"/>
      <c r="I9618" s="76"/>
      <c r="K9618" s="7" t="s">
        <v>1126</v>
      </c>
      <c r="L9618" s="934"/>
      <c r="M9618" s="934"/>
    </row>
    <row r="9619" ht="12.75" hidden="1" customHeight="1" outlineLevel="1">
      <c r="A9619" s="202">
        <v>42821.0</v>
      </c>
      <c r="B9619" s="992"/>
      <c r="C9619" s="32" t="s">
        <v>433</v>
      </c>
      <c r="D9619" s="1"/>
      <c r="F9619" s="1"/>
      <c r="G9619" s="1"/>
      <c r="H9619" s="68"/>
      <c r="I9619" s="76"/>
      <c r="K9619" s="7" t="s">
        <v>1103</v>
      </c>
      <c r="L9619" s="934"/>
      <c r="M9619" s="934"/>
    </row>
    <row r="9620" ht="12.75" hidden="1" customHeight="1" outlineLevel="1">
      <c r="A9620" s="202">
        <v>42821.0</v>
      </c>
      <c r="B9620" s="992"/>
      <c r="C9620" s="32" t="s">
        <v>435</v>
      </c>
      <c r="D9620" s="1"/>
      <c r="F9620" s="1"/>
      <c r="G9620" s="1"/>
      <c r="H9620" s="68"/>
      <c r="I9620" s="76"/>
      <c r="K9620" s="9" t="s">
        <v>3331</v>
      </c>
      <c r="L9620" s="934"/>
      <c r="M9620" s="934"/>
    </row>
    <row r="9621" ht="12.75" hidden="1" customHeight="1" outlineLevel="1">
      <c r="A9621" s="202">
        <v>42823.0</v>
      </c>
      <c r="B9621" s="985" t="s">
        <v>343</v>
      </c>
      <c r="C9621" s="94" t="s">
        <v>3240</v>
      </c>
      <c r="D9621" s="94">
        <v>50.0</v>
      </c>
      <c r="E9621" s="94">
        <v>79.3993</v>
      </c>
      <c r="F9621" s="986">
        <v>0.6431597222222222</v>
      </c>
      <c r="G9621" s="94" t="s">
        <v>453</v>
      </c>
      <c r="H9621" s="987">
        <v>1.0</v>
      </c>
      <c r="I9621" s="988" t="s">
        <v>3145</v>
      </c>
      <c r="J9621" s="67">
        <f>IF(B9621="SLD",D9621*E9621,-D9621*E9621)-H9621</f>
        <v>-3970.965</v>
      </c>
      <c r="L9621" s="70"/>
      <c r="M9621" s="934"/>
    </row>
    <row r="9622" ht="12.75" hidden="1" customHeight="1" outlineLevel="1">
      <c r="A9622" s="202">
        <v>42828.0</v>
      </c>
      <c r="B9622" s="992"/>
      <c r="C9622" s="32" t="s">
        <v>339</v>
      </c>
      <c r="D9622" s="1"/>
      <c r="F9622" s="1"/>
      <c r="G9622" s="1"/>
      <c r="H9622" s="68"/>
      <c r="I9622" s="76"/>
      <c r="K9622" s="201" t="s">
        <v>3456</v>
      </c>
      <c r="L9622" s="934"/>
      <c r="M9622" s="934"/>
    </row>
    <row r="9623" ht="12.75" hidden="1" customHeight="1" outlineLevel="1">
      <c r="A9623" s="202">
        <v>42828.0</v>
      </c>
      <c r="B9623" s="992"/>
      <c r="C9623" s="32" t="s">
        <v>429</v>
      </c>
      <c r="D9623" s="1"/>
      <c r="F9623" s="1"/>
      <c r="G9623" s="1"/>
      <c r="H9623" s="68"/>
      <c r="I9623" s="76"/>
      <c r="K9623" s="9" t="s">
        <v>3187</v>
      </c>
      <c r="L9623" s="934"/>
      <c r="M9623" s="934"/>
    </row>
    <row r="9624" ht="12.75" hidden="1" customHeight="1" outlineLevel="1">
      <c r="A9624" s="202">
        <v>42828.0</v>
      </c>
      <c r="B9624" s="992"/>
      <c r="C9624" s="32" t="s">
        <v>431</v>
      </c>
      <c r="D9624" s="1"/>
      <c r="F9624" s="1"/>
      <c r="G9624" s="1"/>
      <c r="H9624" s="68"/>
      <c r="I9624" s="76"/>
      <c r="K9624" s="7" t="s">
        <v>1126</v>
      </c>
      <c r="L9624" s="934"/>
      <c r="M9624" s="934"/>
    </row>
    <row r="9625" ht="12.75" hidden="1" customHeight="1" outlineLevel="1">
      <c r="A9625" s="202">
        <v>42828.0</v>
      </c>
      <c r="B9625" s="992"/>
      <c r="C9625" s="32" t="s">
        <v>433</v>
      </c>
      <c r="D9625" s="1"/>
      <c r="F9625" s="1"/>
      <c r="G9625" s="1"/>
      <c r="H9625" s="68"/>
      <c r="I9625" s="76"/>
      <c r="K9625" s="7" t="s">
        <v>1103</v>
      </c>
      <c r="L9625" s="934"/>
      <c r="M9625" s="934"/>
    </row>
    <row r="9626" ht="12.75" hidden="1" customHeight="1" outlineLevel="1">
      <c r="A9626" s="202">
        <v>42828.0</v>
      </c>
      <c r="B9626" s="992"/>
      <c r="C9626" s="32" t="s">
        <v>435</v>
      </c>
      <c r="D9626" s="1"/>
      <c r="F9626" s="1"/>
      <c r="G9626" s="1"/>
      <c r="H9626" s="68"/>
      <c r="I9626" s="76"/>
      <c r="K9626" s="9" t="s">
        <v>3331</v>
      </c>
      <c r="L9626" s="934"/>
      <c r="M9626" s="934"/>
    </row>
    <row r="9627" ht="12.75" hidden="1" customHeight="1" outlineLevel="1">
      <c r="A9627" s="202">
        <v>42830.0</v>
      </c>
      <c r="B9627" s="985" t="s">
        <v>347</v>
      </c>
      <c r="C9627" s="94" t="s">
        <v>1521</v>
      </c>
      <c r="D9627" s="94">
        <v>15.0</v>
      </c>
      <c r="E9627" s="94">
        <v>179.051</v>
      </c>
      <c r="F9627" s="986">
        <v>0.5173842592592592</v>
      </c>
      <c r="G9627" s="94" t="s">
        <v>453</v>
      </c>
      <c r="H9627" s="987">
        <v>1.06</v>
      </c>
      <c r="I9627" s="988" t="s">
        <v>3145</v>
      </c>
      <c r="J9627" s="67">
        <f>IF(B9627="SLD",D9627*E9627,-D9627*E9627)-H9627</f>
        <v>2684.705</v>
      </c>
      <c r="L9627" s="70"/>
      <c r="M9627" s="934"/>
    </row>
    <row r="9628" ht="12.75" hidden="1" customHeight="1" outlineLevel="1">
      <c r="A9628" s="202">
        <v>42836.0</v>
      </c>
      <c r="B9628" s="992"/>
      <c r="C9628" s="32" t="s">
        <v>339</v>
      </c>
      <c r="D9628" s="1"/>
      <c r="F9628" s="1"/>
      <c r="G9628" s="1"/>
      <c r="H9628" s="68"/>
      <c r="I9628" s="76"/>
      <c r="K9628" s="201" t="s">
        <v>3459</v>
      </c>
      <c r="L9628" s="934"/>
      <c r="M9628" s="934"/>
    </row>
    <row r="9629" ht="12.75" hidden="1" customHeight="1" outlineLevel="1">
      <c r="A9629" s="202">
        <v>42836.0</v>
      </c>
      <c r="B9629" s="992"/>
      <c r="C9629" s="32" t="s">
        <v>429</v>
      </c>
      <c r="D9629" s="1"/>
      <c r="F9629" s="1"/>
      <c r="G9629" s="1"/>
      <c r="H9629" s="68"/>
      <c r="I9629" s="76"/>
      <c r="K9629" s="9" t="s">
        <v>3187</v>
      </c>
      <c r="L9629" s="934"/>
      <c r="M9629" s="934"/>
    </row>
    <row r="9630" ht="12.75" hidden="1" customHeight="1" outlineLevel="1">
      <c r="A9630" s="202">
        <v>42836.0</v>
      </c>
      <c r="B9630" s="992"/>
      <c r="C9630" s="32" t="s">
        <v>431</v>
      </c>
      <c r="D9630" s="1"/>
      <c r="F9630" s="1"/>
      <c r="G9630" s="1"/>
      <c r="H9630" s="68"/>
      <c r="I9630" s="76"/>
      <c r="K9630" s="7" t="s">
        <v>1126</v>
      </c>
      <c r="L9630" s="934"/>
      <c r="M9630" s="934"/>
    </row>
    <row r="9631" ht="12.75" hidden="1" customHeight="1" outlineLevel="1">
      <c r="A9631" s="202">
        <v>42836.0</v>
      </c>
      <c r="B9631" s="992"/>
      <c r="C9631" s="32" t="s">
        <v>433</v>
      </c>
      <c r="D9631" s="1"/>
      <c r="F9631" s="1"/>
      <c r="G9631" s="1"/>
      <c r="H9631" s="68"/>
      <c r="I9631" s="76"/>
      <c r="K9631" s="7" t="s">
        <v>1103</v>
      </c>
      <c r="L9631" s="934"/>
      <c r="M9631" s="934"/>
    </row>
    <row r="9632" ht="12.75" hidden="1" customHeight="1" outlineLevel="1">
      <c r="A9632" s="202">
        <v>42836.0</v>
      </c>
      <c r="B9632" s="992"/>
      <c r="C9632" s="32" t="s">
        <v>435</v>
      </c>
      <c r="D9632" s="1"/>
      <c r="F9632" s="1"/>
      <c r="G9632" s="1"/>
      <c r="H9632" s="68"/>
      <c r="I9632" s="76"/>
      <c r="K9632" s="9" t="s">
        <v>3331</v>
      </c>
      <c r="L9632" s="934"/>
      <c r="M9632" s="934"/>
    </row>
    <row r="9633" ht="12.75" hidden="1" customHeight="1" outlineLevel="1">
      <c r="A9633" s="202">
        <v>42846.0</v>
      </c>
      <c r="B9633" s="992"/>
      <c r="C9633" s="32" t="s">
        <v>339</v>
      </c>
      <c r="D9633" s="1"/>
      <c r="F9633" s="1"/>
      <c r="G9633" s="1"/>
      <c r="H9633" s="68"/>
      <c r="I9633" s="76"/>
      <c r="K9633" s="201" t="s">
        <v>3462</v>
      </c>
      <c r="L9633" s="934"/>
      <c r="M9633" s="934"/>
    </row>
    <row r="9634" ht="12.75" hidden="1" customHeight="1" outlineLevel="1">
      <c r="A9634" s="202">
        <v>42846.0</v>
      </c>
      <c r="B9634" s="992"/>
      <c r="C9634" s="32" t="s">
        <v>429</v>
      </c>
      <c r="D9634" s="1"/>
      <c r="F9634" s="1"/>
      <c r="G9634" s="1"/>
      <c r="H9634" s="68"/>
      <c r="I9634" s="76"/>
      <c r="K9634" s="9" t="s">
        <v>3187</v>
      </c>
      <c r="L9634" s="934"/>
      <c r="M9634" s="934"/>
    </row>
    <row r="9635" ht="12.75" hidden="1" customHeight="1" outlineLevel="1">
      <c r="A9635" s="202">
        <v>42846.0</v>
      </c>
      <c r="B9635" s="992"/>
      <c r="C9635" s="32" t="s">
        <v>431</v>
      </c>
      <c r="D9635" s="1"/>
      <c r="F9635" s="1"/>
      <c r="G9635" s="1"/>
      <c r="H9635" s="68"/>
      <c r="I9635" s="76"/>
      <c r="K9635" s="7" t="s">
        <v>1126</v>
      </c>
      <c r="L9635" s="934"/>
      <c r="M9635" s="934"/>
    </row>
    <row r="9636" ht="12.75" hidden="1" customHeight="1" outlineLevel="1">
      <c r="A9636" s="202">
        <v>42846.0</v>
      </c>
      <c r="B9636" s="992"/>
      <c r="C9636" s="32" t="s">
        <v>433</v>
      </c>
      <c r="D9636" s="1"/>
      <c r="F9636" s="1"/>
      <c r="G9636" s="1"/>
      <c r="H9636" s="68"/>
      <c r="I9636" s="76"/>
      <c r="K9636" s="7" t="s">
        <v>1103</v>
      </c>
      <c r="L9636" s="934"/>
      <c r="M9636" s="934"/>
    </row>
    <row r="9637" ht="12.75" hidden="1" customHeight="1" outlineLevel="1">
      <c r="A9637" s="202">
        <v>42846.0</v>
      </c>
      <c r="B9637" s="992"/>
      <c r="C9637" s="32" t="s">
        <v>435</v>
      </c>
      <c r="D9637" s="1"/>
      <c r="F9637" s="1"/>
      <c r="G9637" s="1"/>
      <c r="H9637" s="68"/>
      <c r="I9637" s="76"/>
      <c r="K9637" s="9" t="s">
        <v>3331</v>
      </c>
      <c r="L9637" s="934"/>
      <c r="M9637" s="934"/>
    </row>
    <row r="9638" ht="12.75" hidden="1" customHeight="1" outlineLevel="1">
      <c r="A9638" s="202">
        <v>42849.0</v>
      </c>
      <c r="B9638" s="992"/>
      <c r="C9638" s="32" t="s">
        <v>339</v>
      </c>
      <c r="D9638" s="1"/>
      <c r="F9638" s="1"/>
      <c r="G9638" s="1"/>
      <c r="H9638" s="68"/>
      <c r="I9638" s="76"/>
      <c r="K9638" s="201" t="s">
        <v>3463</v>
      </c>
      <c r="L9638" s="934"/>
      <c r="M9638" s="934"/>
    </row>
    <row r="9639" ht="12.75" hidden="1" customHeight="1" outlineLevel="1">
      <c r="A9639" s="202">
        <v>42849.0</v>
      </c>
      <c r="B9639" s="992"/>
      <c r="C9639" s="32" t="s">
        <v>429</v>
      </c>
      <c r="D9639" s="1"/>
      <c r="F9639" s="1"/>
      <c r="G9639" s="1"/>
      <c r="H9639" s="68"/>
      <c r="I9639" s="76"/>
      <c r="K9639" s="9" t="s">
        <v>3187</v>
      </c>
      <c r="L9639" s="934"/>
      <c r="M9639" s="934"/>
    </row>
    <row r="9640" ht="12.75" hidden="1" customHeight="1" outlineLevel="1">
      <c r="A9640" s="202">
        <v>42849.0</v>
      </c>
      <c r="B9640" s="992"/>
      <c r="C9640" s="32" t="s">
        <v>431</v>
      </c>
      <c r="D9640" s="1"/>
      <c r="F9640" s="1"/>
      <c r="G9640" s="1"/>
      <c r="H9640" s="68"/>
      <c r="I9640" s="76"/>
      <c r="K9640" s="7" t="s">
        <v>1126</v>
      </c>
      <c r="L9640" s="934"/>
      <c r="M9640" s="934"/>
    </row>
    <row r="9641" ht="12.75" hidden="1" customHeight="1" outlineLevel="1">
      <c r="A9641" s="202">
        <v>42849.0</v>
      </c>
      <c r="B9641" s="992"/>
      <c r="C9641" s="32" t="s">
        <v>433</v>
      </c>
      <c r="D9641" s="1"/>
      <c r="F9641" s="1"/>
      <c r="G9641" s="1"/>
      <c r="H9641" s="68"/>
      <c r="I9641" s="76"/>
      <c r="K9641" s="7" t="s">
        <v>1103</v>
      </c>
      <c r="L9641" s="934"/>
      <c r="M9641" s="934"/>
    </row>
    <row r="9642" ht="12.75" hidden="1" customHeight="1" outlineLevel="1">
      <c r="A9642" s="202">
        <v>42849.0</v>
      </c>
      <c r="B9642" s="992"/>
      <c r="C9642" s="32" t="s">
        <v>435</v>
      </c>
      <c r="D9642" s="1"/>
      <c r="F9642" s="1"/>
      <c r="G9642" s="1"/>
      <c r="H9642" s="68"/>
      <c r="I9642" s="76"/>
      <c r="K9642" s="9" t="s">
        <v>3331</v>
      </c>
      <c r="L9642" s="934"/>
      <c r="M9642" s="934"/>
    </row>
    <row r="9643" ht="12.75" hidden="1" customHeight="1" outlineLevel="1">
      <c r="A9643" s="202">
        <v>42849.0</v>
      </c>
      <c r="B9643" s="985" t="s">
        <v>343</v>
      </c>
      <c r="C9643" s="94" t="s">
        <v>604</v>
      </c>
      <c r="D9643" s="286">
        <v>1000.0</v>
      </c>
      <c r="E9643" s="94">
        <v>2.54</v>
      </c>
      <c r="F9643" s="986">
        <v>0.3978935185185185</v>
      </c>
      <c r="G9643" s="94" t="s">
        <v>453</v>
      </c>
      <c r="H9643" s="987">
        <v>5.0</v>
      </c>
      <c r="I9643" s="988" t="s">
        <v>3145</v>
      </c>
      <c r="J9643" s="67">
        <f t="shared" ref="J9643:J9652" si="546">IF(B9643="SLD",D9643*E9643,-D9643*E9643)-H9643</f>
        <v>-2545</v>
      </c>
      <c r="L9643" s="70"/>
      <c r="M9643" s="934"/>
    </row>
    <row r="9644" ht="12.75" hidden="1" customHeight="1" outlineLevel="1">
      <c r="A9644" s="202">
        <v>42849.0</v>
      </c>
      <c r="B9644" s="985" t="s">
        <v>343</v>
      </c>
      <c r="C9644" s="94" t="s">
        <v>3132</v>
      </c>
      <c r="D9644" s="94">
        <v>50.0</v>
      </c>
      <c r="E9644" s="94">
        <v>142.669</v>
      </c>
      <c r="F9644" s="986">
        <v>0.5039583333333333</v>
      </c>
      <c r="G9644" s="94" t="s">
        <v>453</v>
      </c>
      <c r="H9644" s="987">
        <v>1.0</v>
      </c>
      <c r="I9644" s="988" t="s">
        <v>3145</v>
      </c>
      <c r="J9644" s="67">
        <f t="shared" si="546"/>
        <v>-7134.45</v>
      </c>
      <c r="L9644" s="70"/>
      <c r="M9644" s="934"/>
    </row>
    <row r="9645" ht="12.75" hidden="1" customHeight="1" outlineLevel="1">
      <c r="A9645" s="202">
        <v>42849.0</v>
      </c>
      <c r="B9645" s="985" t="s">
        <v>343</v>
      </c>
      <c r="C9645" s="94" t="s">
        <v>3136</v>
      </c>
      <c r="D9645" s="94">
        <v>200.0</v>
      </c>
      <c r="E9645" s="94">
        <v>38.04</v>
      </c>
      <c r="F9645" s="986">
        <v>0.5040625</v>
      </c>
      <c r="G9645" s="94" t="s">
        <v>453</v>
      </c>
      <c r="H9645" s="987">
        <v>1.0</v>
      </c>
      <c r="I9645" s="988" t="s">
        <v>3145</v>
      </c>
      <c r="J9645" s="67">
        <f t="shared" si="546"/>
        <v>-7609</v>
      </c>
      <c r="L9645" s="70"/>
      <c r="M9645" s="934"/>
    </row>
    <row r="9646" ht="12.75" hidden="1" customHeight="1" outlineLevel="1">
      <c r="A9646" s="202">
        <v>42849.0</v>
      </c>
      <c r="B9646" s="985" t="s">
        <v>343</v>
      </c>
      <c r="C9646" s="94" t="s">
        <v>1128</v>
      </c>
      <c r="D9646" s="94">
        <v>125.0</v>
      </c>
      <c r="E9646" s="94">
        <v>87.71</v>
      </c>
      <c r="F9646" s="986">
        <v>0.5042592592592593</v>
      </c>
      <c r="G9646" s="94" t="s">
        <v>453</v>
      </c>
      <c r="H9646" s="987">
        <v>1.0</v>
      </c>
      <c r="I9646" s="988" t="s">
        <v>3145</v>
      </c>
      <c r="J9646" s="67">
        <f t="shared" si="546"/>
        <v>-10964.75</v>
      </c>
      <c r="L9646" s="70"/>
      <c r="M9646" s="934"/>
    </row>
    <row r="9647" ht="12.75" hidden="1" customHeight="1" outlineLevel="1">
      <c r="A9647" s="202">
        <v>42849.0</v>
      </c>
      <c r="B9647" s="985" t="s">
        <v>343</v>
      </c>
      <c r="C9647" s="94" t="s">
        <v>1642</v>
      </c>
      <c r="D9647" s="94">
        <v>25.0</v>
      </c>
      <c r="E9647" s="94">
        <v>224.43</v>
      </c>
      <c r="F9647" s="986">
        <v>0.5044791666666667</v>
      </c>
      <c r="G9647" s="94" t="s">
        <v>453</v>
      </c>
      <c r="H9647" s="987">
        <v>1.0</v>
      </c>
      <c r="I9647" s="988" t="s">
        <v>3145</v>
      </c>
      <c r="J9647" s="67">
        <f t="shared" si="546"/>
        <v>-5611.75</v>
      </c>
      <c r="L9647" s="70"/>
      <c r="M9647" s="934"/>
    </row>
    <row r="9648" ht="12.75" hidden="1" customHeight="1" outlineLevel="1">
      <c r="A9648" s="202">
        <v>42849.0</v>
      </c>
      <c r="B9648" s="985" t="s">
        <v>343</v>
      </c>
      <c r="C9648" s="94" t="s">
        <v>1995</v>
      </c>
      <c r="D9648" s="94">
        <v>125.0</v>
      </c>
      <c r="E9648" s="94">
        <v>60.7</v>
      </c>
      <c r="F9648" s="986">
        <v>0.5048726851851851</v>
      </c>
      <c r="G9648" s="94" t="s">
        <v>453</v>
      </c>
      <c r="H9648" s="987">
        <v>1.0</v>
      </c>
      <c r="I9648" s="988" t="s">
        <v>3145</v>
      </c>
      <c r="J9648" s="67">
        <f t="shared" si="546"/>
        <v>-7588.5</v>
      </c>
      <c r="L9648" s="70"/>
      <c r="M9648" s="934"/>
    </row>
    <row r="9649" ht="12.75" hidden="1" customHeight="1" outlineLevel="1">
      <c r="A9649" s="202">
        <v>42849.0</v>
      </c>
      <c r="B9649" s="985" t="s">
        <v>343</v>
      </c>
      <c r="C9649" s="94" t="s">
        <v>352</v>
      </c>
      <c r="D9649" s="94">
        <v>150.0</v>
      </c>
      <c r="E9649" s="94">
        <v>53.8593</v>
      </c>
      <c r="F9649" s="986">
        <v>0.5054166666666666</v>
      </c>
      <c r="G9649" s="94" t="s">
        <v>453</v>
      </c>
      <c r="H9649" s="987">
        <v>1.0</v>
      </c>
      <c r="I9649" s="988" t="s">
        <v>3145</v>
      </c>
      <c r="J9649" s="67">
        <f t="shared" si="546"/>
        <v>-8079.895</v>
      </c>
      <c r="L9649" s="70"/>
      <c r="M9649" s="934"/>
    </row>
    <row r="9650" ht="12.75" hidden="1" customHeight="1" outlineLevel="1">
      <c r="A9650" s="202">
        <v>42849.0</v>
      </c>
      <c r="B9650" s="985" t="s">
        <v>343</v>
      </c>
      <c r="C9650" s="94" t="s">
        <v>1158</v>
      </c>
      <c r="D9650" s="94">
        <v>300.0</v>
      </c>
      <c r="E9650" s="94">
        <v>46.4093</v>
      </c>
      <c r="F9650" s="986">
        <v>0.5066898148148148</v>
      </c>
      <c r="G9650" s="94" t="s">
        <v>453</v>
      </c>
      <c r="H9650" s="987">
        <v>1.2</v>
      </c>
      <c r="I9650" s="988" t="s">
        <v>3145</v>
      </c>
      <c r="J9650" s="67">
        <f t="shared" si="546"/>
        <v>-13923.99</v>
      </c>
      <c r="L9650" s="70"/>
      <c r="M9650" s="934"/>
    </row>
    <row r="9651" ht="12.75" hidden="1" customHeight="1" outlineLevel="1">
      <c r="A9651" s="202">
        <v>42849.0</v>
      </c>
      <c r="B9651" s="985" t="s">
        <v>343</v>
      </c>
      <c r="C9651" s="94" t="s">
        <v>1164</v>
      </c>
      <c r="D9651" s="94">
        <v>300.0</v>
      </c>
      <c r="E9651" s="94">
        <v>56.27</v>
      </c>
      <c r="F9651" s="986">
        <v>0.5071180555555556</v>
      </c>
      <c r="G9651" s="94" t="s">
        <v>453</v>
      </c>
      <c r="H9651" s="987">
        <v>1.5</v>
      </c>
      <c r="I9651" s="988" t="s">
        <v>3145</v>
      </c>
      <c r="J9651" s="67">
        <f t="shared" si="546"/>
        <v>-16882.5</v>
      </c>
      <c r="L9651" s="70"/>
      <c r="M9651" s="934"/>
    </row>
    <row r="9652" ht="12.75" hidden="1" customHeight="1" outlineLevel="1">
      <c r="A9652" s="202">
        <v>42849.0</v>
      </c>
      <c r="B9652" s="985" t="s">
        <v>343</v>
      </c>
      <c r="C9652" s="94" t="s">
        <v>1167</v>
      </c>
      <c r="D9652" s="94">
        <v>150.0</v>
      </c>
      <c r="E9652" s="94">
        <v>84.5199</v>
      </c>
      <c r="F9652" s="986">
        <v>0.6529282407407407</v>
      </c>
      <c r="G9652" s="94" t="s">
        <v>453</v>
      </c>
      <c r="H9652" s="987">
        <v>1.0</v>
      </c>
      <c r="I9652" s="988" t="s">
        <v>3145</v>
      </c>
      <c r="J9652" s="67">
        <f t="shared" si="546"/>
        <v>-12678.985</v>
      </c>
      <c r="L9652" s="70"/>
      <c r="M9652" s="934"/>
    </row>
    <row r="9653" ht="12.75" hidden="1" customHeight="1" outlineLevel="1">
      <c r="A9653" s="202">
        <v>42849.0</v>
      </c>
      <c r="B9653" s="992"/>
      <c r="C9653" s="32" t="s">
        <v>339</v>
      </c>
      <c r="D9653" s="1"/>
      <c r="F9653" s="1"/>
      <c r="G9653" s="1"/>
      <c r="H9653" s="68"/>
      <c r="I9653" s="76"/>
      <c r="K9653" s="201" t="s">
        <v>3463</v>
      </c>
      <c r="L9653" s="934"/>
      <c r="M9653" s="934"/>
    </row>
    <row r="9654" ht="12.75" hidden="1" customHeight="1" outlineLevel="1">
      <c r="A9654" s="202">
        <v>42849.0</v>
      </c>
      <c r="B9654" s="992"/>
      <c r="C9654" s="32" t="s">
        <v>429</v>
      </c>
      <c r="D9654" s="1"/>
      <c r="F9654" s="1"/>
      <c r="G9654" s="1"/>
      <c r="H9654" s="68"/>
      <c r="I9654" s="76"/>
      <c r="K9654" s="9" t="s">
        <v>3187</v>
      </c>
      <c r="L9654" s="934"/>
      <c r="M9654" s="934"/>
    </row>
    <row r="9655" ht="12.75" hidden="1" customHeight="1" outlineLevel="1">
      <c r="A9655" s="202">
        <v>42849.0</v>
      </c>
      <c r="B9655" s="992"/>
      <c r="C9655" s="32" t="s">
        <v>431</v>
      </c>
      <c r="D9655" s="1"/>
      <c r="F9655" s="1"/>
      <c r="G9655" s="1"/>
      <c r="H9655" s="68"/>
      <c r="I9655" s="76"/>
      <c r="K9655" s="7" t="s">
        <v>1126</v>
      </c>
      <c r="L9655" s="934"/>
      <c r="M9655" s="934"/>
    </row>
    <row r="9656" ht="12.75" hidden="1" customHeight="1" outlineLevel="1">
      <c r="A9656" s="202">
        <v>42849.0</v>
      </c>
      <c r="B9656" s="992"/>
      <c r="C9656" s="32" t="s">
        <v>433</v>
      </c>
      <c r="D9656" s="1"/>
      <c r="F9656" s="1"/>
      <c r="G9656" s="1"/>
      <c r="H9656" s="68"/>
      <c r="I9656" s="76"/>
      <c r="K9656" s="7" t="s">
        <v>1103</v>
      </c>
      <c r="L9656" s="934"/>
      <c r="M9656" s="934"/>
    </row>
    <row r="9657" ht="12.75" hidden="1" customHeight="1" outlineLevel="1">
      <c r="A9657" s="202">
        <v>42849.0</v>
      </c>
      <c r="B9657" s="992"/>
      <c r="C9657" s="32" t="s">
        <v>435</v>
      </c>
      <c r="D9657" s="1"/>
      <c r="F9657" s="1"/>
      <c r="G9657" s="1"/>
      <c r="H9657" s="68"/>
      <c r="I9657" s="76"/>
      <c r="K9657" s="9" t="s">
        <v>3331</v>
      </c>
      <c r="L9657" s="934"/>
      <c r="M9657" s="934"/>
    </row>
    <row r="9658" ht="12.75" hidden="1" customHeight="1" outlineLevel="1">
      <c r="A9658" s="202">
        <v>42851.0</v>
      </c>
      <c r="B9658" s="992"/>
      <c r="C9658" s="32" t="s">
        <v>339</v>
      </c>
      <c r="D9658" s="1"/>
      <c r="F9658" s="1"/>
      <c r="G9658" s="1"/>
      <c r="H9658" s="68"/>
      <c r="I9658" s="76"/>
      <c r="K9658" s="201" t="s">
        <v>3465</v>
      </c>
      <c r="L9658" s="934"/>
      <c r="M9658" s="934"/>
    </row>
    <row r="9659" ht="12.75" hidden="1" customHeight="1" outlineLevel="1">
      <c r="A9659" s="202">
        <v>42851.0</v>
      </c>
      <c r="B9659" s="992"/>
      <c r="C9659" s="32" t="s">
        <v>429</v>
      </c>
      <c r="D9659" s="1"/>
      <c r="F9659" s="1"/>
      <c r="G9659" s="1"/>
      <c r="H9659" s="68"/>
      <c r="I9659" s="76"/>
      <c r="K9659" s="9" t="s">
        <v>3187</v>
      </c>
      <c r="L9659" s="934"/>
      <c r="M9659" s="934"/>
    </row>
    <row r="9660" ht="12.75" hidden="1" customHeight="1" outlineLevel="1">
      <c r="A9660" s="202">
        <v>42851.0</v>
      </c>
      <c r="B9660" s="992"/>
      <c r="C9660" s="32" t="s">
        <v>431</v>
      </c>
      <c r="D9660" s="1"/>
      <c r="F9660" s="1"/>
      <c r="G9660" s="1"/>
      <c r="H9660" s="68"/>
      <c r="I9660" s="76"/>
      <c r="K9660" s="7" t="s">
        <v>1126</v>
      </c>
      <c r="L9660" s="934"/>
      <c r="M9660" s="934"/>
    </row>
    <row r="9661" ht="12.75" hidden="1" customHeight="1" outlineLevel="1">
      <c r="A9661" s="202">
        <v>42851.0</v>
      </c>
      <c r="B9661" s="992"/>
      <c r="C9661" s="32" t="s">
        <v>433</v>
      </c>
      <c r="D9661" s="1"/>
      <c r="F9661" s="1"/>
      <c r="G9661" s="1"/>
      <c r="H9661" s="68"/>
      <c r="I9661" s="76"/>
      <c r="K9661" s="7" t="s">
        <v>1103</v>
      </c>
      <c r="L9661" s="934"/>
      <c r="M9661" s="934"/>
    </row>
    <row r="9662" ht="12.75" hidden="1" customHeight="1" outlineLevel="1">
      <c r="A9662" s="202">
        <v>42851.0</v>
      </c>
      <c r="B9662" s="992"/>
      <c r="C9662" s="32" t="s">
        <v>435</v>
      </c>
      <c r="D9662" s="1"/>
      <c r="F9662" s="1"/>
      <c r="G9662" s="1"/>
      <c r="H9662" s="68"/>
      <c r="I9662" s="76"/>
      <c r="K9662" s="9" t="s">
        <v>3331</v>
      </c>
      <c r="L9662" s="934"/>
      <c r="M9662" s="934"/>
    </row>
    <row r="9663" ht="12.75" hidden="1" customHeight="1" outlineLevel="1">
      <c r="A9663" s="202">
        <v>42851.0</v>
      </c>
      <c r="B9663" s="985" t="s">
        <v>343</v>
      </c>
      <c r="C9663" s="94" t="s">
        <v>1402</v>
      </c>
      <c r="D9663" s="94">
        <v>150.0</v>
      </c>
      <c r="E9663" s="94">
        <v>83.5298</v>
      </c>
      <c r="F9663" s="986">
        <v>0.4147106481481482</v>
      </c>
      <c r="G9663" s="94" t="s">
        <v>453</v>
      </c>
      <c r="H9663" s="987">
        <v>1.0</v>
      </c>
      <c r="I9663" s="988" t="s">
        <v>3145</v>
      </c>
      <c r="J9663" s="67">
        <f t="shared" ref="J9663:J9664" si="547">IF(B9663="SLD",D9663*E9663,-D9663*E9663)-H9663</f>
        <v>-12530.47</v>
      </c>
      <c r="L9663" s="70"/>
      <c r="M9663" s="934"/>
    </row>
    <row r="9664" ht="12.75" hidden="1" customHeight="1" outlineLevel="1">
      <c r="A9664" s="202">
        <v>42851.0</v>
      </c>
      <c r="B9664" s="985" t="s">
        <v>343</v>
      </c>
      <c r="C9664" s="94" t="s">
        <v>344</v>
      </c>
      <c r="D9664" s="94">
        <v>200.0</v>
      </c>
      <c r="E9664" s="94">
        <v>60.457</v>
      </c>
      <c r="F9664" s="986">
        <v>0.41508101851851853</v>
      </c>
      <c r="G9664" s="94" t="s">
        <v>453</v>
      </c>
      <c r="H9664" s="987">
        <v>1.0</v>
      </c>
      <c r="I9664" s="988" t="s">
        <v>3145</v>
      </c>
      <c r="J9664" s="67">
        <f t="shared" si="547"/>
        <v>-12092.4</v>
      </c>
      <c r="L9664" s="70"/>
      <c r="M9664" s="934"/>
    </row>
    <row r="9665" ht="12.75" hidden="1" customHeight="1" outlineLevel="1">
      <c r="A9665" s="202">
        <v>42851.0</v>
      </c>
      <c r="B9665" s="992"/>
      <c r="C9665" s="32" t="s">
        <v>339</v>
      </c>
      <c r="D9665" s="1"/>
      <c r="F9665" s="1"/>
      <c r="G9665" s="1"/>
      <c r="H9665" s="68"/>
      <c r="I9665" s="76"/>
      <c r="K9665" s="201" t="s">
        <v>3466</v>
      </c>
      <c r="L9665" s="934"/>
      <c r="M9665" s="934"/>
    </row>
    <row r="9666" ht="12.75" hidden="1" customHeight="1" outlineLevel="1">
      <c r="A9666" s="202">
        <v>42851.0</v>
      </c>
      <c r="B9666" s="992"/>
      <c r="C9666" s="32" t="s">
        <v>429</v>
      </c>
      <c r="D9666" s="1"/>
      <c r="F9666" s="1"/>
      <c r="G9666" s="1"/>
      <c r="H9666" s="68"/>
      <c r="I9666" s="76"/>
      <c r="K9666" s="9" t="s">
        <v>3187</v>
      </c>
      <c r="L9666" s="934"/>
      <c r="M9666" s="934"/>
    </row>
    <row r="9667" ht="12.75" hidden="1" customHeight="1" outlineLevel="1">
      <c r="A9667" s="202">
        <v>42851.0</v>
      </c>
      <c r="B9667" s="992"/>
      <c r="C9667" s="32" t="s">
        <v>431</v>
      </c>
      <c r="D9667" s="1"/>
      <c r="F9667" s="1"/>
      <c r="G9667" s="1"/>
      <c r="H9667" s="68"/>
      <c r="I9667" s="76"/>
      <c r="K9667" s="7" t="s">
        <v>1126</v>
      </c>
      <c r="L9667" s="934"/>
      <c r="M9667" s="934"/>
    </row>
    <row r="9668" ht="12.75" hidden="1" customHeight="1" outlineLevel="1">
      <c r="A9668" s="202">
        <v>42851.0</v>
      </c>
      <c r="B9668" s="992"/>
      <c r="C9668" s="32" t="s">
        <v>433</v>
      </c>
      <c r="D9668" s="1"/>
      <c r="F9668" s="1"/>
      <c r="G9668" s="1"/>
      <c r="H9668" s="68"/>
      <c r="I9668" s="76"/>
      <c r="K9668" s="7" t="s">
        <v>1103</v>
      </c>
      <c r="L9668" s="934"/>
      <c r="M9668" s="934"/>
    </row>
    <row r="9669" ht="12.75" hidden="1" customHeight="1" outlineLevel="1">
      <c r="A9669" s="202">
        <v>42851.0</v>
      </c>
      <c r="B9669" s="992"/>
      <c r="C9669" s="32" t="s">
        <v>435</v>
      </c>
      <c r="D9669" s="1"/>
      <c r="F9669" s="1"/>
      <c r="G9669" s="1"/>
      <c r="H9669" s="68"/>
      <c r="I9669" s="76"/>
      <c r="K9669" s="9" t="s">
        <v>3331</v>
      </c>
      <c r="L9669" s="934"/>
      <c r="M9669" s="934"/>
    </row>
    <row r="9670" ht="12.75" hidden="1" customHeight="1" outlineLevel="1">
      <c r="A9670" s="202">
        <v>42856.0</v>
      </c>
      <c r="B9670" s="992"/>
      <c r="C9670" s="32" t="s">
        <v>339</v>
      </c>
      <c r="D9670" s="1"/>
      <c r="F9670" s="1"/>
      <c r="G9670" s="1"/>
      <c r="H9670" s="68"/>
      <c r="I9670" s="76"/>
      <c r="K9670" s="201" t="s">
        <v>3466</v>
      </c>
      <c r="L9670" s="934"/>
      <c r="M9670" s="934"/>
    </row>
    <row r="9671" ht="12.75" hidden="1" customHeight="1" outlineLevel="1">
      <c r="A9671" s="202">
        <v>42856.0</v>
      </c>
      <c r="B9671" s="992"/>
      <c r="C9671" s="32" t="s">
        <v>429</v>
      </c>
      <c r="D9671" s="1"/>
      <c r="F9671" s="1"/>
      <c r="G9671" s="1"/>
      <c r="H9671" s="68"/>
      <c r="I9671" s="76"/>
      <c r="K9671" s="9" t="s">
        <v>3187</v>
      </c>
      <c r="L9671" s="934"/>
      <c r="M9671" s="934"/>
    </row>
    <row r="9672" ht="12.75" hidden="1" customHeight="1" outlineLevel="1">
      <c r="A9672" s="202">
        <v>42856.0</v>
      </c>
      <c r="B9672" s="992"/>
      <c r="C9672" s="32" t="s">
        <v>431</v>
      </c>
      <c r="D9672" s="1"/>
      <c r="F9672" s="1"/>
      <c r="G9672" s="1"/>
      <c r="H9672" s="68"/>
      <c r="I9672" s="76"/>
      <c r="K9672" s="7" t="s">
        <v>1126</v>
      </c>
      <c r="L9672" s="934"/>
      <c r="M9672" s="934"/>
    </row>
    <row r="9673" ht="12.75" hidden="1" customHeight="1" outlineLevel="1">
      <c r="A9673" s="202">
        <v>42856.0</v>
      </c>
      <c r="B9673" s="992"/>
      <c r="C9673" s="32" t="s">
        <v>433</v>
      </c>
      <c r="D9673" s="1"/>
      <c r="F9673" s="1"/>
      <c r="G9673" s="1"/>
      <c r="H9673" s="68"/>
      <c r="I9673" s="76"/>
      <c r="K9673" s="7" t="s">
        <v>1103</v>
      </c>
      <c r="L9673" s="934"/>
      <c r="M9673" s="934"/>
    </row>
    <row r="9674" ht="12.75" hidden="1" customHeight="1" outlineLevel="1">
      <c r="A9674" s="202">
        <v>42856.0</v>
      </c>
      <c r="B9674" s="992"/>
      <c r="C9674" s="32" t="s">
        <v>435</v>
      </c>
      <c r="D9674" s="1"/>
      <c r="F9674" s="1"/>
      <c r="G9674" s="1"/>
      <c r="H9674" s="68"/>
      <c r="I9674" s="76"/>
      <c r="K9674" s="9" t="s">
        <v>3331</v>
      </c>
      <c r="L9674" s="934"/>
      <c r="M9674" s="934"/>
    </row>
    <row r="9675" ht="12.75" hidden="1" customHeight="1" outlineLevel="1">
      <c r="A9675" s="202">
        <v>42856.0</v>
      </c>
      <c r="B9675" s="985" t="s">
        <v>343</v>
      </c>
      <c r="C9675" s="94" t="s">
        <v>1274</v>
      </c>
      <c r="D9675" s="94">
        <v>75.0</v>
      </c>
      <c r="E9675" s="94">
        <v>166.919</v>
      </c>
      <c r="F9675" s="1000">
        <v>42856.54111111111</v>
      </c>
      <c r="G9675" s="94" t="s">
        <v>453</v>
      </c>
      <c r="H9675" s="987">
        <v>1.0</v>
      </c>
      <c r="I9675" s="988" t="s">
        <v>3145</v>
      </c>
      <c r="J9675" s="67">
        <f>IF(B9675="SLD",D9675*E9675,-D9675*E9675)-H9675</f>
        <v>-12519.925</v>
      </c>
      <c r="L9675" s="70"/>
      <c r="M9675" s="934"/>
    </row>
    <row r="9676" ht="12.75" hidden="1" customHeight="1" outlineLevel="1">
      <c r="A9676" s="202">
        <v>42857.0</v>
      </c>
      <c r="B9676" s="992"/>
      <c r="C9676" s="32" t="s">
        <v>339</v>
      </c>
      <c r="D9676" s="1"/>
      <c r="F9676" s="1"/>
      <c r="G9676" s="1"/>
      <c r="H9676" s="68"/>
      <c r="I9676" s="76"/>
      <c r="K9676" s="201" t="s">
        <v>3466</v>
      </c>
      <c r="L9676" s="934"/>
      <c r="M9676" s="934"/>
    </row>
    <row r="9677" ht="12.75" hidden="1" customHeight="1" outlineLevel="1">
      <c r="A9677" s="202">
        <v>42857.0</v>
      </c>
      <c r="B9677" s="992"/>
      <c r="C9677" s="32" t="s">
        <v>429</v>
      </c>
      <c r="D9677" s="1"/>
      <c r="F9677" s="1"/>
      <c r="G9677" s="1"/>
      <c r="H9677" s="68"/>
      <c r="I9677" s="76"/>
      <c r="K9677" s="9" t="s">
        <v>3187</v>
      </c>
      <c r="L9677" s="934"/>
      <c r="M9677" s="934"/>
    </row>
    <row r="9678" ht="12.75" hidden="1" customHeight="1" outlineLevel="1">
      <c r="A9678" s="202">
        <v>42857.0</v>
      </c>
      <c r="B9678" s="992"/>
      <c r="C9678" s="32" t="s">
        <v>431</v>
      </c>
      <c r="D9678" s="1"/>
      <c r="F9678" s="1"/>
      <c r="G9678" s="1"/>
      <c r="H9678" s="68"/>
      <c r="I9678" s="76"/>
      <c r="K9678" s="7" t="s">
        <v>1126</v>
      </c>
      <c r="L9678" s="934"/>
      <c r="M9678" s="934"/>
    </row>
    <row r="9679" ht="12.75" hidden="1" customHeight="1" outlineLevel="1">
      <c r="A9679" s="202">
        <v>42857.0</v>
      </c>
      <c r="B9679" s="992"/>
      <c r="C9679" s="32" t="s">
        <v>433</v>
      </c>
      <c r="D9679" s="1"/>
      <c r="F9679" s="1"/>
      <c r="G9679" s="1"/>
      <c r="H9679" s="68"/>
      <c r="I9679" s="76"/>
      <c r="K9679" s="7" t="s">
        <v>1103</v>
      </c>
      <c r="L9679" s="934"/>
      <c r="M9679" s="934"/>
    </row>
    <row r="9680" ht="12.75" hidden="1" customHeight="1" outlineLevel="1">
      <c r="A9680" s="202">
        <v>42857.0</v>
      </c>
      <c r="B9680" s="992"/>
      <c r="C9680" s="32" t="s">
        <v>435</v>
      </c>
      <c r="D9680" s="1"/>
      <c r="F9680" s="1"/>
      <c r="G9680" s="1"/>
      <c r="H9680" s="68"/>
      <c r="I9680" s="76"/>
      <c r="K9680" s="9" t="s">
        <v>3331</v>
      </c>
      <c r="L9680" s="934"/>
      <c r="M9680" s="934"/>
    </row>
    <row r="9681" ht="12.75" hidden="1" customHeight="1" outlineLevel="1">
      <c r="A9681" s="202">
        <v>42859.0</v>
      </c>
      <c r="B9681" s="992"/>
      <c r="C9681" s="32" t="s">
        <v>339</v>
      </c>
      <c r="D9681" s="1"/>
      <c r="F9681" s="1"/>
      <c r="G9681" s="1"/>
      <c r="H9681" s="68"/>
      <c r="I9681" s="76"/>
      <c r="K9681" s="201" t="s">
        <v>3467</v>
      </c>
      <c r="L9681" s="934"/>
      <c r="M9681" s="934"/>
    </row>
    <row r="9682" ht="12.75" hidden="1" customHeight="1" outlineLevel="1">
      <c r="A9682" s="202">
        <v>42859.0</v>
      </c>
      <c r="B9682" s="992"/>
      <c r="C9682" s="32" t="s">
        <v>429</v>
      </c>
      <c r="D9682" s="1"/>
      <c r="F9682" s="1"/>
      <c r="G9682" s="1"/>
      <c r="H9682" s="68"/>
      <c r="I9682" s="76"/>
      <c r="K9682" s="9" t="s">
        <v>3187</v>
      </c>
      <c r="L9682" s="934"/>
      <c r="M9682" s="934"/>
    </row>
    <row r="9683" ht="12.75" hidden="1" customHeight="1" outlineLevel="1">
      <c r="A9683" s="202">
        <v>42859.0</v>
      </c>
      <c r="B9683" s="992"/>
      <c r="C9683" s="32" t="s">
        <v>431</v>
      </c>
      <c r="D9683" s="1"/>
      <c r="F9683" s="1"/>
      <c r="G9683" s="1"/>
      <c r="H9683" s="68"/>
      <c r="I9683" s="76"/>
      <c r="K9683" s="7" t="s">
        <v>1126</v>
      </c>
      <c r="L9683" s="934"/>
      <c r="M9683" s="934"/>
    </row>
    <row r="9684" ht="12.75" hidden="1" customHeight="1" outlineLevel="1">
      <c r="A9684" s="202">
        <v>42859.0</v>
      </c>
      <c r="B9684" s="992"/>
      <c r="C9684" s="32" t="s">
        <v>433</v>
      </c>
      <c r="D9684" s="1"/>
      <c r="F9684" s="1"/>
      <c r="G9684" s="1"/>
      <c r="H9684" s="68"/>
      <c r="I9684" s="76"/>
      <c r="K9684" s="7" t="s">
        <v>1103</v>
      </c>
      <c r="L9684" s="934"/>
      <c r="M9684" s="934"/>
    </row>
    <row r="9685" ht="12.75" hidden="1" customHeight="1" outlineLevel="1">
      <c r="A9685" s="202">
        <v>42859.0</v>
      </c>
      <c r="B9685" s="992"/>
      <c r="C9685" s="32" t="s">
        <v>435</v>
      </c>
      <c r="D9685" s="1"/>
      <c r="F9685" s="1"/>
      <c r="G9685" s="1"/>
      <c r="H9685" s="68"/>
      <c r="I9685" s="76"/>
      <c r="K9685" s="9" t="s">
        <v>3331</v>
      </c>
      <c r="L9685" s="934"/>
      <c r="M9685" s="934"/>
    </row>
    <row r="9686" ht="12.75" hidden="1" customHeight="1" outlineLevel="1">
      <c r="A9686" s="202">
        <v>42861.0</v>
      </c>
      <c r="B9686" s="985" t="s">
        <v>343</v>
      </c>
      <c r="C9686" s="94" t="s">
        <v>1576</v>
      </c>
      <c r="D9686" s="94">
        <v>250.0</v>
      </c>
      <c r="E9686" s="94">
        <v>40.6</v>
      </c>
      <c r="F9686" s="1000">
        <v>42860.54046296296</v>
      </c>
      <c r="G9686" s="94" t="s">
        <v>453</v>
      </c>
      <c r="H9686" s="987">
        <v>1.0</v>
      </c>
      <c r="I9686" s="988" t="s">
        <v>3145</v>
      </c>
      <c r="J9686" s="67">
        <f t="shared" ref="J9686:J9687" si="548">IF(B9686="SLD",D9686*E9686,-D9686*E9686)-H9686</f>
        <v>-10151</v>
      </c>
      <c r="L9686" s="70"/>
      <c r="M9686" s="934"/>
    </row>
    <row r="9687" ht="12.75" hidden="1" customHeight="1" outlineLevel="1">
      <c r="A9687" s="202">
        <v>42861.0</v>
      </c>
      <c r="B9687" s="985" t="s">
        <v>343</v>
      </c>
      <c r="C9687" s="94" t="s">
        <v>1480</v>
      </c>
      <c r="D9687" s="94">
        <v>100.0</v>
      </c>
      <c r="E9687" s="94">
        <v>100.4798</v>
      </c>
      <c r="F9687" s="1000">
        <v>42860.48458333333</v>
      </c>
      <c r="G9687" s="94" t="s">
        <v>453</v>
      </c>
      <c r="H9687" s="987">
        <v>1.0</v>
      </c>
      <c r="I9687" s="988" t="s">
        <v>3145</v>
      </c>
      <c r="J9687" s="67">
        <f t="shared" si="548"/>
        <v>-10048.98</v>
      </c>
      <c r="L9687" s="70"/>
      <c r="M9687" s="934"/>
    </row>
    <row r="9688" ht="12.75" hidden="1" customHeight="1" outlineLevel="1">
      <c r="A9688" s="202">
        <v>42861.0</v>
      </c>
      <c r="B9688" s="992"/>
      <c r="C9688" s="32" t="s">
        <v>339</v>
      </c>
      <c r="D9688" s="1"/>
      <c r="F9688" s="1"/>
      <c r="G9688" s="1"/>
      <c r="H9688" s="68"/>
      <c r="I9688" s="76"/>
      <c r="K9688" s="201" t="s">
        <v>3468</v>
      </c>
      <c r="L9688" s="934"/>
      <c r="M9688" s="934"/>
    </row>
    <row r="9689" ht="12.75" hidden="1" customHeight="1" outlineLevel="1">
      <c r="A9689" s="202">
        <v>42861.0</v>
      </c>
      <c r="B9689" s="992"/>
      <c r="C9689" s="32" t="s">
        <v>429</v>
      </c>
      <c r="D9689" s="1"/>
      <c r="F9689" s="1"/>
      <c r="G9689" s="1"/>
      <c r="H9689" s="68"/>
      <c r="I9689" s="76"/>
      <c r="K9689" s="9" t="s">
        <v>3187</v>
      </c>
      <c r="L9689" s="934"/>
      <c r="M9689" s="934"/>
    </row>
    <row r="9690" ht="12.75" hidden="1" customHeight="1" outlineLevel="1">
      <c r="A9690" s="202">
        <v>42861.0</v>
      </c>
      <c r="B9690" s="992"/>
      <c r="C9690" s="32" t="s">
        <v>431</v>
      </c>
      <c r="D9690" s="1"/>
      <c r="F9690" s="1"/>
      <c r="G9690" s="1"/>
      <c r="H9690" s="68"/>
      <c r="I9690" s="76"/>
      <c r="K9690" s="7" t="s">
        <v>1126</v>
      </c>
      <c r="L9690" s="934"/>
      <c r="M9690" s="934"/>
    </row>
    <row r="9691" ht="12.75" hidden="1" customHeight="1" outlineLevel="1">
      <c r="A9691" s="202">
        <v>42861.0</v>
      </c>
      <c r="B9691" s="992"/>
      <c r="C9691" s="32" t="s">
        <v>433</v>
      </c>
      <c r="D9691" s="1"/>
      <c r="F9691" s="1"/>
      <c r="G9691" s="1"/>
      <c r="H9691" s="68"/>
      <c r="I9691" s="76"/>
      <c r="K9691" s="7" t="s">
        <v>1103</v>
      </c>
      <c r="L9691" s="934"/>
      <c r="M9691" s="934"/>
    </row>
    <row r="9692" ht="12.75" hidden="1" customHeight="1" outlineLevel="1">
      <c r="A9692" s="202">
        <v>42861.0</v>
      </c>
      <c r="B9692" s="992"/>
      <c r="C9692" s="32" t="s">
        <v>435</v>
      </c>
      <c r="D9692" s="1"/>
      <c r="F9692" s="1"/>
      <c r="G9692" s="1"/>
      <c r="H9692" s="68"/>
      <c r="I9692" s="76"/>
      <c r="K9692" s="9" t="s">
        <v>3331</v>
      </c>
      <c r="L9692" s="934"/>
      <c r="M9692" s="934"/>
    </row>
    <row r="9693" ht="12.75" hidden="1" customHeight="1" outlineLevel="1">
      <c r="A9693" s="202">
        <v>42866.0</v>
      </c>
      <c r="B9693" s="992"/>
      <c r="C9693" s="32" t="s">
        <v>339</v>
      </c>
      <c r="D9693" s="1"/>
      <c r="F9693" s="1"/>
      <c r="G9693" s="1"/>
      <c r="H9693" s="68"/>
      <c r="I9693" s="76"/>
      <c r="K9693" s="201" t="s">
        <v>3469</v>
      </c>
      <c r="L9693" s="934"/>
      <c r="M9693" s="934"/>
    </row>
    <row r="9694" ht="12.75" hidden="1" customHeight="1" outlineLevel="1">
      <c r="A9694" s="202">
        <v>42866.0</v>
      </c>
      <c r="B9694" s="992"/>
      <c r="C9694" s="32" t="s">
        <v>429</v>
      </c>
      <c r="D9694" s="1"/>
      <c r="F9694" s="1"/>
      <c r="G9694" s="1"/>
      <c r="H9694" s="68"/>
      <c r="I9694" s="76"/>
      <c r="K9694" s="9" t="s">
        <v>3187</v>
      </c>
      <c r="L9694" s="934"/>
      <c r="M9694" s="934"/>
    </row>
    <row r="9695" ht="12.75" hidden="1" customHeight="1" outlineLevel="1">
      <c r="A9695" s="202">
        <v>42866.0</v>
      </c>
      <c r="B9695" s="992"/>
      <c r="C9695" s="32" t="s">
        <v>431</v>
      </c>
      <c r="D9695" s="1"/>
      <c r="F9695" s="1"/>
      <c r="G9695" s="1"/>
      <c r="H9695" s="68"/>
      <c r="I9695" s="76"/>
      <c r="K9695" s="7" t="s">
        <v>1126</v>
      </c>
      <c r="L9695" s="934"/>
      <c r="M9695" s="934"/>
    </row>
    <row r="9696" ht="12.75" hidden="1" customHeight="1" outlineLevel="1">
      <c r="A9696" s="202">
        <v>42866.0</v>
      </c>
      <c r="B9696" s="992"/>
      <c r="C9696" s="32" t="s">
        <v>433</v>
      </c>
      <c r="D9696" s="1"/>
      <c r="F9696" s="1"/>
      <c r="G9696" s="1"/>
      <c r="H9696" s="68"/>
      <c r="I9696" s="76"/>
      <c r="K9696" s="7" t="s">
        <v>1103</v>
      </c>
      <c r="L9696" s="934"/>
      <c r="M9696" s="934"/>
    </row>
    <row r="9697" ht="12.75" hidden="1" customHeight="1" outlineLevel="1">
      <c r="A9697" s="202">
        <v>42866.0</v>
      </c>
      <c r="B9697" s="992"/>
      <c r="C9697" s="32" t="s">
        <v>435</v>
      </c>
      <c r="D9697" s="1"/>
      <c r="F9697" s="1"/>
      <c r="G9697" s="1"/>
      <c r="H9697" s="68"/>
      <c r="I9697" s="76"/>
      <c r="K9697" s="9" t="s">
        <v>3331</v>
      </c>
      <c r="L9697" s="934"/>
      <c r="M9697" s="934"/>
    </row>
    <row r="9698" ht="12.75" hidden="1" customHeight="1" outlineLevel="1">
      <c r="A9698" s="202">
        <v>42870.0</v>
      </c>
      <c r="B9698" s="985" t="s">
        <v>343</v>
      </c>
      <c r="C9698" s="94" t="s">
        <v>2783</v>
      </c>
      <c r="D9698" s="94">
        <v>200.0</v>
      </c>
      <c r="E9698" s="94">
        <v>53.58</v>
      </c>
      <c r="F9698" s="986">
        <v>0.46163194444444444</v>
      </c>
      <c r="G9698" s="94" t="s">
        <v>453</v>
      </c>
      <c r="H9698" s="987">
        <v>1.0</v>
      </c>
      <c r="I9698" s="988" t="s">
        <v>3145</v>
      </c>
      <c r="J9698" s="67">
        <f>IF(B9698="SLD",D9698*E9698,-D9698*E9698)-H9698</f>
        <v>-10717</v>
      </c>
      <c r="L9698" s="70"/>
      <c r="M9698" s="934"/>
    </row>
    <row r="9699" ht="12.75" hidden="1" customHeight="1" outlineLevel="1">
      <c r="A9699" s="202">
        <v>42870.0</v>
      </c>
      <c r="B9699" s="992"/>
      <c r="C9699" s="32" t="s">
        <v>339</v>
      </c>
      <c r="D9699" s="1"/>
      <c r="F9699" s="1"/>
      <c r="G9699" s="1"/>
      <c r="H9699" s="68"/>
      <c r="I9699" s="76"/>
      <c r="K9699" s="201" t="s">
        <v>3470</v>
      </c>
      <c r="L9699" s="934"/>
      <c r="M9699" s="934"/>
    </row>
    <row r="9700" ht="12.75" hidden="1" customHeight="1" outlineLevel="1">
      <c r="A9700" s="202">
        <v>42870.0</v>
      </c>
      <c r="B9700" s="992"/>
      <c r="C9700" s="32" t="s">
        <v>429</v>
      </c>
      <c r="D9700" s="1"/>
      <c r="F9700" s="1"/>
      <c r="G9700" s="1"/>
      <c r="H9700" s="68"/>
      <c r="I9700" s="76"/>
      <c r="K9700" s="9" t="s">
        <v>3187</v>
      </c>
      <c r="L9700" s="934"/>
      <c r="M9700" s="934"/>
    </row>
    <row r="9701" ht="12.75" hidden="1" customHeight="1" outlineLevel="1">
      <c r="A9701" s="202">
        <v>42870.0</v>
      </c>
      <c r="B9701" s="992"/>
      <c r="C9701" s="32" t="s">
        <v>431</v>
      </c>
      <c r="D9701" s="1"/>
      <c r="F9701" s="1"/>
      <c r="G9701" s="1"/>
      <c r="H9701" s="68"/>
      <c r="I9701" s="76"/>
      <c r="K9701" s="7" t="s">
        <v>1126</v>
      </c>
      <c r="L9701" s="934"/>
      <c r="M9701" s="934"/>
    </row>
    <row r="9702" ht="12.75" hidden="1" customHeight="1" outlineLevel="1">
      <c r="A9702" s="202">
        <v>42870.0</v>
      </c>
      <c r="B9702" s="992"/>
      <c r="C9702" s="32" t="s">
        <v>433</v>
      </c>
      <c r="D9702" s="1"/>
      <c r="F9702" s="1"/>
      <c r="G9702" s="1"/>
      <c r="H9702" s="68"/>
      <c r="I9702" s="76"/>
      <c r="K9702" s="7" t="s">
        <v>1103</v>
      </c>
      <c r="L9702" s="934"/>
      <c r="M9702" s="934"/>
    </row>
    <row r="9703" ht="12.75" hidden="1" customHeight="1" outlineLevel="1">
      <c r="A9703" s="202">
        <v>42870.0</v>
      </c>
      <c r="B9703" s="992"/>
      <c r="C9703" s="32" t="s">
        <v>435</v>
      </c>
      <c r="D9703" s="1"/>
      <c r="F9703" s="1"/>
      <c r="G9703" s="1"/>
      <c r="H9703" s="68"/>
      <c r="I9703" s="76"/>
      <c r="K9703" s="9" t="s">
        <v>3331</v>
      </c>
      <c r="L9703" s="934"/>
      <c r="M9703" s="934"/>
    </row>
    <row r="9704" ht="12.75" hidden="1" customHeight="1" outlineLevel="1">
      <c r="A9704" s="202">
        <v>42871.0</v>
      </c>
      <c r="B9704" s="985" t="s">
        <v>347</v>
      </c>
      <c r="C9704" s="94" t="s">
        <v>1056</v>
      </c>
      <c r="D9704" s="94">
        <v>100.0</v>
      </c>
      <c r="E9704" s="94">
        <v>254.6042</v>
      </c>
      <c r="F9704" s="986">
        <v>0.661886574074074</v>
      </c>
      <c r="G9704" s="94" t="s">
        <v>453</v>
      </c>
      <c r="H9704" s="987">
        <v>1.57</v>
      </c>
      <c r="I9704" s="988" t="s">
        <v>3145</v>
      </c>
      <c r="J9704" s="67">
        <f t="shared" ref="J9704:J9709" si="549">IF(B9704="SLD",D9704*E9704,-D9704*E9704)-H9704</f>
        <v>25458.85</v>
      </c>
      <c r="K9704" s="94" t="s">
        <v>3471</v>
      </c>
      <c r="L9704" s="70"/>
      <c r="M9704" s="934"/>
    </row>
    <row r="9705" ht="12.75" hidden="1" customHeight="1" outlineLevel="1">
      <c r="A9705" s="202">
        <v>42871.0</v>
      </c>
      <c r="B9705" s="985" t="s">
        <v>347</v>
      </c>
      <c r="C9705" s="94" t="s">
        <v>1082</v>
      </c>
      <c r="D9705" s="94">
        <v>35.0</v>
      </c>
      <c r="E9705" s="94">
        <v>668.521</v>
      </c>
      <c r="F9705" s="986">
        <v>0.6615740740740741</v>
      </c>
      <c r="G9705" s="94" t="s">
        <v>453</v>
      </c>
      <c r="H9705" s="987">
        <v>1.51</v>
      </c>
      <c r="I9705" s="988" t="s">
        <v>3145</v>
      </c>
      <c r="J9705" s="67">
        <f t="shared" si="549"/>
        <v>23396.725</v>
      </c>
      <c r="K9705" s="94" t="s">
        <v>3471</v>
      </c>
      <c r="L9705" s="70"/>
      <c r="M9705" s="934"/>
    </row>
    <row r="9706" ht="12.75" hidden="1" customHeight="1" outlineLevel="1">
      <c r="A9706" s="202">
        <v>42871.0</v>
      </c>
      <c r="B9706" s="985" t="s">
        <v>343</v>
      </c>
      <c r="C9706" s="94" t="s">
        <v>1092</v>
      </c>
      <c r="D9706" s="286">
        <v>1000.0</v>
      </c>
      <c r="E9706" s="94">
        <v>7.24</v>
      </c>
      <c r="F9706" s="986">
        <v>0.47987268518518517</v>
      </c>
      <c r="G9706" s="94" t="s">
        <v>453</v>
      </c>
      <c r="H9706" s="987">
        <v>5.0</v>
      </c>
      <c r="I9706" s="988" t="s">
        <v>3145</v>
      </c>
      <c r="J9706" s="67">
        <f t="shared" si="549"/>
        <v>-7245</v>
      </c>
      <c r="K9706" s="201"/>
      <c r="L9706" s="70"/>
      <c r="M9706" s="934"/>
    </row>
    <row r="9707" ht="12.75" hidden="1" customHeight="1" outlineLevel="1">
      <c r="A9707" s="202">
        <v>42871.0</v>
      </c>
      <c r="B9707" s="985" t="s">
        <v>343</v>
      </c>
      <c r="C9707" s="94" t="s">
        <v>1485</v>
      </c>
      <c r="D9707" s="286">
        <v>1000.0</v>
      </c>
      <c r="E9707" s="94">
        <v>7.012</v>
      </c>
      <c r="F9707" s="986">
        <v>0.47984953703703703</v>
      </c>
      <c r="G9707" s="94" t="s">
        <v>453</v>
      </c>
      <c r="H9707" s="987">
        <v>5.0</v>
      </c>
      <c r="I9707" s="988" t="s">
        <v>3145</v>
      </c>
      <c r="J9707" s="67">
        <f t="shared" si="549"/>
        <v>-7017</v>
      </c>
      <c r="K9707" s="201"/>
      <c r="L9707" s="70"/>
      <c r="M9707" s="934"/>
    </row>
    <row r="9708" ht="12.75" hidden="1" customHeight="1" outlineLevel="1">
      <c r="A9708" s="202">
        <v>42871.0</v>
      </c>
      <c r="B9708" s="985" t="s">
        <v>343</v>
      </c>
      <c r="C9708" s="94" t="s">
        <v>1483</v>
      </c>
      <c r="D9708" s="286">
        <v>1000.0</v>
      </c>
      <c r="E9708" s="94">
        <v>2.7</v>
      </c>
      <c r="F9708" s="986">
        <v>0.47984953703703703</v>
      </c>
      <c r="G9708" s="94" t="s">
        <v>453</v>
      </c>
      <c r="H9708" s="987">
        <v>5.0</v>
      </c>
      <c r="I9708" s="988" t="s">
        <v>3145</v>
      </c>
      <c r="J9708" s="67">
        <f t="shared" si="549"/>
        <v>-2705</v>
      </c>
      <c r="K9708" s="201"/>
      <c r="L9708" s="70"/>
      <c r="M9708" s="934"/>
    </row>
    <row r="9709" ht="12.75" hidden="1" customHeight="1" outlineLevel="1">
      <c r="A9709" s="202">
        <v>42871.0</v>
      </c>
      <c r="B9709" s="985" t="s">
        <v>343</v>
      </c>
      <c r="C9709" s="94" t="s">
        <v>604</v>
      </c>
      <c r="D9709" s="286">
        <v>1000.0</v>
      </c>
      <c r="E9709" s="94">
        <v>2.81</v>
      </c>
      <c r="F9709" s="986">
        <v>0.47962962962962963</v>
      </c>
      <c r="G9709" s="94" t="s">
        <v>453</v>
      </c>
      <c r="H9709" s="987">
        <v>5.0</v>
      </c>
      <c r="I9709" s="988" t="s">
        <v>3145</v>
      </c>
      <c r="J9709" s="67">
        <f t="shared" si="549"/>
        <v>-2815</v>
      </c>
      <c r="K9709" s="201"/>
      <c r="L9709" s="70"/>
      <c r="M9709" s="934"/>
    </row>
    <row r="9710" ht="12.75" hidden="1" customHeight="1" outlineLevel="1">
      <c r="A9710" s="202">
        <v>42871.0</v>
      </c>
      <c r="B9710" s="992"/>
      <c r="C9710" s="32" t="s">
        <v>339</v>
      </c>
      <c r="D9710" s="1"/>
      <c r="F9710" s="1"/>
      <c r="G9710" s="1"/>
      <c r="H9710" s="68"/>
      <c r="I9710" s="76"/>
      <c r="K9710" s="201" t="s">
        <v>3472</v>
      </c>
      <c r="L9710" s="934"/>
      <c r="M9710" s="934"/>
    </row>
    <row r="9711" ht="12.75" hidden="1" customHeight="1" outlineLevel="1">
      <c r="A9711" s="202">
        <v>42871.0</v>
      </c>
      <c r="B9711" s="992"/>
      <c r="C9711" s="32" t="s">
        <v>429</v>
      </c>
      <c r="D9711" s="1"/>
      <c r="F9711" s="1"/>
      <c r="G9711" s="1"/>
      <c r="H9711" s="68"/>
      <c r="I9711" s="76"/>
      <c r="K9711" s="9" t="s">
        <v>3187</v>
      </c>
      <c r="L9711" s="934"/>
      <c r="M9711" s="934"/>
    </row>
    <row r="9712" ht="12.75" hidden="1" customHeight="1" outlineLevel="1">
      <c r="A9712" s="202">
        <v>42871.0</v>
      </c>
      <c r="B9712" s="992"/>
      <c r="C9712" s="32" t="s">
        <v>431</v>
      </c>
      <c r="D9712" s="1"/>
      <c r="F9712" s="1"/>
      <c r="G9712" s="1"/>
      <c r="H9712" s="68"/>
      <c r="I9712" s="76"/>
      <c r="K9712" s="7" t="s">
        <v>1126</v>
      </c>
      <c r="L9712" s="934"/>
      <c r="M9712" s="934"/>
    </row>
    <row r="9713" ht="12.75" hidden="1" customHeight="1" outlineLevel="1">
      <c r="A9713" s="202">
        <v>42871.0</v>
      </c>
      <c r="B9713" s="992"/>
      <c r="C9713" s="32" t="s">
        <v>433</v>
      </c>
      <c r="D9713" s="1"/>
      <c r="F9713" s="1"/>
      <c r="G9713" s="1"/>
      <c r="H9713" s="68"/>
      <c r="I9713" s="76"/>
      <c r="K9713" s="7" t="s">
        <v>1103</v>
      </c>
      <c r="L9713" s="934"/>
      <c r="M9713" s="934"/>
    </row>
    <row r="9714" ht="12.75" hidden="1" customHeight="1" outlineLevel="1">
      <c r="A9714" s="202">
        <v>42871.0</v>
      </c>
      <c r="B9714" s="992"/>
      <c r="C9714" s="32" t="s">
        <v>435</v>
      </c>
      <c r="D9714" s="1"/>
      <c r="F9714" s="1"/>
      <c r="G9714" s="1"/>
      <c r="H9714" s="68"/>
      <c r="I9714" s="76"/>
      <c r="K9714" s="9" t="s">
        <v>3331</v>
      </c>
      <c r="L9714" s="934"/>
      <c r="M9714" s="934"/>
    </row>
    <row r="9715" ht="12.75" hidden="1" customHeight="1" outlineLevel="1">
      <c r="A9715" s="202">
        <v>42873.0</v>
      </c>
      <c r="B9715" s="985" t="s">
        <v>343</v>
      </c>
      <c r="C9715" s="94" t="s">
        <v>1056</v>
      </c>
      <c r="D9715" s="94">
        <v>100.0</v>
      </c>
      <c r="E9715" s="94">
        <v>250.71</v>
      </c>
      <c r="F9715" s="986">
        <v>0.40019675925925924</v>
      </c>
      <c r="G9715" s="94" t="s">
        <v>453</v>
      </c>
      <c r="H9715" s="987">
        <v>1.0</v>
      </c>
      <c r="I9715" s="988" t="s">
        <v>3145</v>
      </c>
      <c r="J9715" s="67">
        <f t="shared" ref="J9715:J9716" si="550">IF(B9715="SLD",D9715*E9715,-D9715*E9715)-H9715</f>
        <v>-25072</v>
      </c>
      <c r="L9715" s="70"/>
      <c r="M9715" s="934"/>
    </row>
    <row r="9716" ht="12.75" hidden="1" customHeight="1" outlineLevel="1">
      <c r="A9716" s="202">
        <v>42873.0</v>
      </c>
      <c r="B9716" s="985" t="s">
        <v>343</v>
      </c>
      <c r="C9716" s="94" t="s">
        <v>1082</v>
      </c>
      <c r="D9716" s="94">
        <v>35.0</v>
      </c>
      <c r="E9716" s="94">
        <v>667.909</v>
      </c>
      <c r="F9716" s="986">
        <v>0.39993055555555557</v>
      </c>
      <c r="G9716" s="94" t="s">
        <v>453</v>
      </c>
      <c r="H9716" s="987">
        <v>1.0</v>
      </c>
      <c r="I9716" s="988" t="s">
        <v>3145</v>
      </c>
      <c r="J9716" s="67">
        <f t="shared" si="550"/>
        <v>-23377.815</v>
      </c>
      <c r="L9716" s="70"/>
      <c r="M9716" s="934"/>
    </row>
    <row r="9717" ht="12.75" hidden="1" customHeight="1" outlineLevel="1">
      <c r="A9717" s="202">
        <v>42873.0</v>
      </c>
      <c r="B9717" s="992"/>
      <c r="C9717" s="32" t="s">
        <v>339</v>
      </c>
      <c r="D9717" s="1"/>
      <c r="F9717" s="1"/>
      <c r="G9717" s="1"/>
      <c r="H9717" s="68"/>
      <c r="I9717" s="76"/>
      <c r="K9717" s="201" t="s">
        <v>3473</v>
      </c>
      <c r="L9717" s="934"/>
      <c r="M9717" s="934"/>
    </row>
    <row r="9718" ht="12.75" hidden="1" customHeight="1" outlineLevel="1">
      <c r="A9718" s="202">
        <v>42873.0</v>
      </c>
      <c r="B9718" s="992"/>
      <c r="C9718" s="32" t="s">
        <v>429</v>
      </c>
      <c r="D9718" s="1"/>
      <c r="F9718" s="1"/>
      <c r="G9718" s="1"/>
      <c r="H9718" s="68"/>
      <c r="I9718" s="76"/>
      <c r="K9718" s="9" t="s">
        <v>3187</v>
      </c>
      <c r="L9718" s="934"/>
      <c r="M9718" s="934"/>
    </row>
    <row r="9719" ht="12.75" hidden="1" customHeight="1" outlineLevel="1">
      <c r="A9719" s="202">
        <v>42873.0</v>
      </c>
      <c r="B9719" s="992"/>
      <c r="C9719" s="32" t="s">
        <v>431</v>
      </c>
      <c r="D9719" s="1"/>
      <c r="F9719" s="1"/>
      <c r="G9719" s="1"/>
      <c r="H9719" s="68"/>
      <c r="I9719" s="76"/>
      <c r="K9719" s="7" t="s">
        <v>1126</v>
      </c>
      <c r="L9719" s="934"/>
      <c r="M9719" s="934"/>
    </row>
    <row r="9720" ht="12.75" hidden="1" customHeight="1" outlineLevel="1">
      <c r="A9720" s="202">
        <v>42873.0</v>
      </c>
      <c r="B9720" s="992"/>
      <c r="C9720" s="32" t="s">
        <v>433</v>
      </c>
      <c r="D9720" s="1"/>
      <c r="F9720" s="1"/>
      <c r="G9720" s="1"/>
      <c r="H9720" s="68"/>
      <c r="I9720" s="76"/>
      <c r="K9720" s="7" t="s">
        <v>1103</v>
      </c>
      <c r="L9720" s="934"/>
      <c r="M9720" s="934"/>
    </row>
    <row r="9721" ht="12.75" hidden="1" customHeight="1" outlineLevel="1">
      <c r="A9721" s="202">
        <v>42873.0</v>
      </c>
      <c r="B9721" s="992"/>
      <c r="C9721" s="32" t="s">
        <v>435</v>
      </c>
      <c r="D9721" s="1"/>
      <c r="F9721" s="1"/>
      <c r="G9721" s="1"/>
      <c r="H9721" s="68"/>
      <c r="I9721" s="76"/>
      <c r="K9721" s="9" t="s">
        <v>3331</v>
      </c>
      <c r="L9721" s="934"/>
      <c r="M9721" s="934"/>
    </row>
    <row r="9722" ht="12.75" hidden="1" customHeight="1" outlineLevel="1">
      <c r="A9722" s="202">
        <v>42874.0</v>
      </c>
      <c r="B9722" s="992"/>
      <c r="C9722" s="32" t="s">
        <v>339</v>
      </c>
      <c r="D9722" s="1"/>
      <c r="F9722" s="1"/>
      <c r="G9722" s="1"/>
      <c r="H9722" s="68"/>
      <c r="I9722" s="76"/>
      <c r="K9722" s="201" t="s">
        <v>3474</v>
      </c>
      <c r="L9722" s="934"/>
      <c r="M9722" s="934"/>
    </row>
    <row r="9723" ht="12.75" hidden="1" customHeight="1" outlineLevel="1">
      <c r="A9723" s="202">
        <v>42874.0</v>
      </c>
      <c r="B9723" s="992"/>
      <c r="C9723" s="32" t="s">
        <v>429</v>
      </c>
      <c r="D9723" s="1"/>
      <c r="F9723" s="1"/>
      <c r="G9723" s="1"/>
      <c r="H9723" s="68"/>
      <c r="I9723" s="76"/>
      <c r="K9723" s="9" t="s">
        <v>3187</v>
      </c>
      <c r="L9723" s="934"/>
      <c r="M9723" s="934"/>
    </row>
    <row r="9724" ht="12.75" hidden="1" customHeight="1" outlineLevel="1">
      <c r="A9724" s="202">
        <v>42874.0</v>
      </c>
      <c r="B9724" s="992"/>
      <c r="C9724" s="32" t="s">
        <v>431</v>
      </c>
      <c r="D9724" s="1"/>
      <c r="F9724" s="1"/>
      <c r="G9724" s="1"/>
      <c r="H9724" s="68"/>
      <c r="I9724" s="76"/>
      <c r="K9724" s="7" t="s">
        <v>1126</v>
      </c>
      <c r="L9724" s="934"/>
      <c r="M9724" s="934"/>
    </row>
    <row r="9725" ht="12.75" hidden="1" customHeight="1" outlineLevel="1">
      <c r="A9725" s="202">
        <v>42874.0</v>
      </c>
      <c r="B9725" s="992"/>
      <c r="C9725" s="32" t="s">
        <v>433</v>
      </c>
      <c r="D9725" s="1"/>
      <c r="F9725" s="1"/>
      <c r="G9725" s="1"/>
      <c r="H9725" s="68"/>
      <c r="I9725" s="76"/>
      <c r="K9725" s="7" t="s">
        <v>1103</v>
      </c>
      <c r="L9725" s="934"/>
      <c r="M9725" s="934"/>
    </row>
    <row r="9726" ht="12.75" hidden="1" customHeight="1" outlineLevel="1">
      <c r="A9726" s="202">
        <v>42874.0</v>
      </c>
      <c r="B9726" s="992"/>
      <c r="C9726" s="32" t="s">
        <v>435</v>
      </c>
      <c r="D9726" s="1"/>
      <c r="F9726" s="1"/>
      <c r="G9726" s="1"/>
      <c r="H9726" s="68"/>
      <c r="I9726" s="76"/>
      <c r="K9726" s="9" t="s">
        <v>3331</v>
      </c>
      <c r="L9726" s="934"/>
      <c r="M9726" s="934"/>
    </row>
    <row r="9727" ht="12.75" hidden="1" customHeight="1" outlineLevel="1">
      <c r="A9727" s="202">
        <v>42886.0</v>
      </c>
      <c r="B9727" s="992"/>
      <c r="C9727" s="32" t="s">
        <v>339</v>
      </c>
      <c r="D9727" s="1"/>
      <c r="F9727" s="1"/>
      <c r="G9727" s="1"/>
      <c r="H9727" s="68"/>
      <c r="I9727" s="76"/>
      <c r="K9727" s="201" t="s">
        <v>3475</v>
      </c>
      <c r="L9727" s="934"/>
      <c r="M9727" s="934"/>
    </row>
    <row r="9728" ht="12.75" hidden="1" customHeight="1" outlineLevel="1">
      <c r="A9728" s="202">
        <v>42886.0</v>
      </c>
      <c r="B9728" s="992"/>
      <c r="C9728" s="32" t="s">
        <v>429</v>
      </c>
      <c r="D9728" s="1"/>
      <c r="F9728" s="1"/>
      <c r="G9728" s="1"/>
      <c r="H9728" s="68"/>
      <c r="I9728" s="76"/>
      <c r="K9728" s="9" t="s">
        <v>3187</v>
      </c>
      <c r="L9728" s="934"/>
      <c r="M9728" s="934"/>
    </row>
    <row r="9729" ht="12.75" hidden="1" customHeight="1" outlineLevel="1">
      <c r="A9729" s="202">
        <v>42886.0</v>
      </c>
      <c r="B9729" s="992"/>
      <c r="C9729" s="32" t="s">
        <v>431</v>
      </c>
      <c r="D9729" s="1"/>
      <c r="F9729" s="1"/>
      <c r="G9729" s="1"/>
      <c r="H9729" s="68"/>
      <c r="I9729" s="76"/>
      <c r="K9729" s="7" t="s">
        <v>1126</v>
      </c>
      <c r="L9729" s="934"/>
      <c r="M9729" s="934"/>
    </row>
    <row r="9730" ht="12.75" hidden="1" customHeight="1" outlineLevel="1">
      <c r="A9730" s="202">
        <v>42886.0</v>
      </c>
      <c r="B9730" s="992"/>
      <c r="C9730" s="32" t="s">
        <v>433</v>
      </c>
      <c r="D9730" s="1"/>
      <c r="F9730" s="1"/>
      <c r="G9730" s="1"/>
      <c r="H9730" s="68"/>
      <c r="I9730" s="76"/>
      <c r="K9730" s="7" t="s">
        <v>1103</v>
      </c>
      <c r="L9730" s="934"/>
      <c r="M9730" s="934"/>
    </row>
    <row r="9731" ht="12.75" hidden="1" customHeight="1" outlineLevel="1">
      <c r="A9731" s="202">
        <v>42886.0</v>
      </c>
      <c r="B9731" s="992"/>
      <c r="C9731" s="32" t="s">
        <v>435</v>
      </c>
      <c r="D9731" s="1"/>
      <c r="F9731" s="1"/>
      <c r="G9731" s="1"/>
      <c r="H9731" s="68"/>
      <c r="I9731" s="76"/>
      <c r="K9731" s="9" t="s">
        <v>3331</v>
      </c>
      <c r="L9731" s="934"/>
      <c r="M9731" s="934"/>
    </row>
    <row r="9732" ht="12.75" hidden="1" customHeight="1" outlineLevel="1">
      <c r="A9732" s="202">
        <v>42892.0</v>
      </c>
      <c r="B9732" s="992"/>
      <c r="C9732" s="32" t="s">
        <v>339</v>
      </c>
      <c r="D9732" s="1"/>
      <c r="F9732" s="1"/>
      <c r="G9732" s="1"/>
      <c r="H9732" s="68"/>
      <c r="I9732" s="76"/>
      <c r="K9732" s="201" t="s">
        <v>3476</v>
      </c>
      <c r="L9732" s="934"/>
      <c r="M9732" s="934"/>
    </row>
    <row r="9733" ht="12.75" hidden="1" customHeight="1" outlineLevel="1">
      <c r="A9733" s="202">
        <v>42892.0</v>
      </c>
      <c r="B9733" s="992"/>
      <c r="C9733" s="32" t="s">
        <v>429</v>
      </c>
      <c r="D9733" s="1"/>
      <c r="F9733" s="1"/>
      <c r="G9733" s="1"/>
      <c r="H9733" s="68"/>
      <c r="I9733" s="76"/>
      <c r="K9733" s="9" t="s">
        <v>3187</v>
      </c>
      <c r="L9733" s="934"/>
      <c r="M9733" s="934"/>
    </row>
    <row r="9734" ht="12.75" hidden="1" customHeight="1" outlineLevel="1">
      <c r="A9734" s="202">
        <v>42892.0</v>
      </c>
      <c r="B9734" s="992"/>
      <c r="C9734" s="32" t="s">
        <v>431</v>
      </c>
      <c r="D9734" s="1"/>
      <c r="F9734" s="1"/>
      <c r="G9734" s="1"/>
      <c r="H9734" s="68"/>
      <c r="I9734" s="76"/>
      <c r="K9734" s="7" t="s">
        <v>1126</v>
      </c>
      <c r="L9734" s="934"/>
      <c r="M9734" s="934"/>
    </row>
    <row r="9735" ht="12.75" hidden="1" customHeight="1" outlineLevel="1">
      <c r="A9735" s="202">
        <v>42892.0</v>
      </c>
      <c r="B9735" s="992"/>
      <c r="C9735" s="32" t="s">
        <v>433</v>
      </c>
      <c r="D9735" s="1"/>
      <c r="F9735" s="1"/>
      <c r="G9735" s="1"/>
      <c r="H9735" s="68"/>
      <c r="I9735" s="76"/>
      <c r="K9735" s="7" t="s">
        <v>1103</v>
      </c>
      <c r="L9735" s="934"/>
      <c r="M9735" s="934"/>
    </row>
    <row r="9736" ht="12.75" hidden="1" customHeight="1" outlineLevel="1">
      <c r="A9736" s="202">
        <v>42892.0</v>
      </c>
      <c r="B9736" s="992"/>
      <c r="C9736" s="32" t="s">
        <v>435</v>
      </c>
      <c r="D9736" s="1"/>
      <c r="F9736" s="1"/>
      <c r="G9736" s="1"/>
      <c r="H9736" s="68"/>
      <c r="I9736" s="76"/>
      <c r="K9736" s="9" t="s">
        <v>3331</v>
      </c>
      <c r="L9736" s="934"/>
      <c r="M9736" s="934"/>
    </row>
    <row r="9737" ht="12.75" hidden="1" customHeight="1" outlineLevel="1">
      <c r="A9737" s="202">
        <v>42894.0</v>
      </c>
      <c r="B9737" s="985" t="s">
        <v>347</v>
      </c>
      <c r="C9737" s="94" t="s">
        <v>1082</v>
      </c>
      <c r="D9737" s="94">
        <v>35.0</v>
      </c>
      <c r="E9737" s="94">
        <v>597.05</v>
      </c>
      <c r="F9737" s="986">
        <v>0.651886574074074</v>
      </c>
      <c r="G9737" s="94" t="s">
        <v>453</v>
      </c>
      <c r="H9737" s="987">
        <v>1.46</v>
      </c>
      <c r="I9737" s="988" t="s">
        <v>3145</v>
      </c>
      <c r="J9737" s="67">
        <f t="shared" ref="J9737:J9738" si="551">IF(B9737="SLD",D9737*E9737,-D9737*E9737)-H9737</f>
        <v>20895.29</v>
      </c>
      <c r="L9737" s="70"/>
      <c r="M9737" s="934"/>
    </row>
    <row r="9738" ht="12.75" hidden="1" customHeight="1" outlineLevel="1">
      <c r="A9738" s="202">
        <v>42894.0</v>
      </c>
      <c r="B9738" s="985" t="s">
        <v>347</v>
      </c>
      <c r="C9738" s="94" t="s">
        <v>1056</v>
      </c>
      <c r="D9738" s="94">
        <v>100.0</v>
      </c>
      <c r="E9738" s="94">
        <v>230.27</v>
      </c>
      <c r="F9738" s="986">
        <v>0.6516319444444445</v>
      </c>
      <c r="G9738" s="94" t="s">
        <v>453</v>
      </c>
      <c r="H9738" s="987">
        <v>1.51</v>
      </c>
      <c r="I9738" s="988" t="s">
        <v>3145</v>
      </c>
      <c r="J9738" s="67">
        <f t="shared" si="551"/>
        <v>23025.49</v>
      </c>
      <c r="L9738" s="70"/>
      <c r="M9738" s="934"/>
    </row>
    <row r="9739" ht="12.75" hidden="1" customHeight="1" outlineLevel="1">
      <c r="A9739" s="202">
        <v>42894.0</v>
      </c>
      <c r="B9739" s="992"/>
      <c r="C9739" s="32" t="s">
        <v>339</v>
      </c>
      <c r="D9739" s="1"/>
      <c r="F9739" s="1"/>
      <c r="G9739" s="1"/>
      <c r="H9739" s="68"/>
      <c r="I9739" s="76"/>
      <c r="K9739" s="201" t="s">
        <v>3477</v>
      </c>
      <c r="L9739" s="934"/>
      <c r="M9739" s="934"/>
    </row>
    <row r="9740" ht="12.75" hidden="1" customHeight="1" outlineLevel="1">
      <c r="A9740" s="202">
        <v>42894.0</v>
      </c>
      <c r="B9740" s="992"/>
      <c r="C9740" s="32" t="s">
        <v>429</v>
      </c>
      <c r="D9740" s="1"/>
      <c r="F9740" s="1"/>
      <c r="G9740" s="1"/>
      <c r="H9740" s="68"/>
      <c r="I9740" s="76"/>
      <c r="K9740" s="9" t="s">
        <v>3187</v>
      </c>
      <c r="L9740" s="934"/>
      <c r="M9740" s="934"/>
    </row>
    <row r="9741" ht="12.75" hidden="1" customHeight="1" outlineLevel="1">
      <c r="A9741" s="202">
        <v>42894.0</v>
      </c>
      <c r="B9741" s="992"/>
      <c r="C9741" s="32" t="s">
        <v>431</v>
      </c>
      <c r="D9741" s="1"/>
      <c r="F9741" s="1"/>
      <c r="G9741" s="1"/>
      <c r="H9741" s="68"/>
      <c r="I9741" s="76"/>
      <c r="K9741" s="7" t="s">
        <v>1126</v>
      </c>
      <c r="L9741" s="934"/>
      <c r="M9741" s="934"/>
    </row>
    <row r="9742" ht="12.75" hidden="1" customHeight="1" outlineLevel="1">
      <c r="A9742" s="202">
        <v>42894.0</v>
      </c>
      <c r="B9742" s="992"/>
      <c r="C9742" s="32" t="s">
        <v>433</v>
      </c>
      <c r="D9742" s="1"/>
      <c r="F9742" s="1"/>
      <c r="G9742" s="1"/>
      <c r="H9742" s="68"/>
      <c r="I9742" s="76"/>
      <c r="K9742" s="7" t="s">
        <v>1103</v>
      </c>
      <c r="L9742" s="934"/>
      <c r="M9742" s="934"/>
    </row>
    <row r="9743" ht="12.75" hidden="1" customHeight="1" outlineLevel="1">
      <c r="A9743" s="202">
        <v>42894.0</v>
      </c>
      <c r="B9743" s="992"/>
      <c r="C9743" s="32" t="s">
        <v>435</v>
      </c>
      <c r="D9743" s="1"/>
      <c r="F9743" s="1"/>
      <c r="G9743" s="1"/>
      <c r="H9743" s="68"/>
      <c r="I9743" s="76"/>
      <c r="K9743" s="9" t="s">
        <v>3331</v>
      </c>
      <c r="L9743" s="934"/>
      <c r="M9743" s="934"/>
    </row>
    <row r="9744" ht="12.75" hidden="1" customHeight="1" outlineLevel="1">
      <c r="A9744" s="202">
        <v>42894.0</v>
      </c>
      <c r="B9744" s="985" t="s">
        <v>343</v>
      </c>
      <c r="C9744" s="94" t="s">
        <v>1056</v>
      </c>
      <c r="D9744" s="94">
        <v>100.0</v>
      </c>
      <c r="E9744" s="94">
        <v>231.97</v>
      </c>
      <c r="F9744" s="986">
        <v>0.5057754629629629</v>
      </c>
      <c r="G9744" s="94" t="s">
        <v>453</v>
      </c>
      <c r="H9744" s="987">
        <v>1.0</v>
      </c>
      <c r="I9744" s="988" t="s">
        <v>3145</v>
      </c>
      <c r="J9744" s="67">
        <f t="shared" ref="J9744:J9745" si="552">IF(B9744="SLD",D9744*E9744,-D9744*E9744)-H9744</f>
        <v>-23198</v>
      </c>
      <c r="L9744" s="70"/>
      <c r="M9744" s="934"/>
    </row>
    <row r="9745" ht="12.75" hidden="1" customHeight="1" outlineLevel="1">
      <c r="A9745" s="202">
        <v>42894.0</v>
      </c>
      <c r="B9745" s="985" t="s">
        <v>343</v>
      </c>
      <c r="C9745" s="94" t="s">
        <v>1082</v>
      </c>
      <c r="D9745" s="94">
        <v>35.0</v>
      </c>
      <c r="E9745" s="94">
        <v>599.98</v>
      </c>
      <c r="F9745" s="986">
        <v>0.5056712962962963</v>
      </c>
      <c r="G9745" s="94" t="s">
        <v>453</v>
      </c>
      <c r="H9745" s="987">
        <v>1.0</v>
      </c>
      <c r="I9745" s="988" t="s">
        <v>3145</v>
      </c>
      <c r="J9745" s="67">
        <f t="shared" si="552"/>
        <v>-21000.3</v>
      </c>
      <c r="L9745" s="70"/>
      <c r="M9745" s="934"/>
    </row>
    <row r="9746" ht="12.75" hidden="1" customHeight="1" outlineLevel="1">
      <c r="A9746" s="202">
        <v>42894.0</v>
      </c>
      <c r="B9746" s="992"/>
      <c r="C9746" s="32" t="s">
        <v>339</v>
      </c>
      <c r="D9746" s="1"/>
      <c r="F9746" s="1"/>
      <c r="G9746" s="1"/>
      <c r="H9746" s="68"/>
      <c r="I9746" s="76"/>
      <c r="K9746" s="201" t="s">
        <v>3478</v>
      </c>
      <c r="L9746" s="934"/>
      <c r="M9746" s="934"/>
    </row>
    <row r="9747" ht="12.75" hidden="1" customHeight="1" outlineLevel="1">
      <c r="A9747" s="202">
        <v>42894.0</v>
      </c>
      <c r="B9747" s="992"/>
      <c r="C9747" s="32" t="s">
        <v>429</v>
      </c>
      <c r="D9747" s="1"/>
      <c r="F9747" s="1"/>
      <c r="G9747" s="1"/>
      <c r="H9747" s="68"/>
      <c r="I9747" s="76"/>
      <c r="K9747" s="9" t="s">
        <v>3187</v>
      </c>
      <c r="L9747" s="934"/>
      <c r="M9747" s="934"/>
    </row>
    <row r="9748" ht="12.75" hidden="1" customHeight="1" outlineLevel="1">
      <c r="A9748" s="202">
        <v>42894.0</v>
      </c>
      <c r="B9748" s="992"/>
      <c r="C9748" s="32" t="s">
        <v>431</v>
      </c>
      <c r="D9748" s="1"/>
      <c r="F9748" s="1"/>
      <c r="G9748" s="1"/>
      <c r="H9748" s="68"/>
      <c r="I9748" s="76"/>
      <c r="K9748" s="7" t="s">
        <v>1126</v>
      </c>
      <c r="L9748" s="934"/>
      <c r="M9748" s="934"/>
    </row>
    <row r="9749" ht="12.75" hidden="1" customHeight="1" outlineLevel="1">
      <c r="A9749" s="202">
        <v>42894.0</v>
      </c>
      <c r="B9749" s="992"/>
      <c r="C9749" s="32" t="s">
        <v>433</v>
      </c>
      <c r="D9749" s="1"/>
      <c r="F9749" s="1"/>
      <c r="G9749" s="1"/>
      <c r="H9749" s="68"/>
      <c r="I9749" s="76"/>
      <c r="K9749" s="7" t="s">
        <v>1103</v>
      </c>
      <c r="L9749" s="934"/>
      <c r="M9749" s="934"/>
    </row>
    <row r="9750" ht="12.75" hidden="1" customHeight="1" outlineLevel="1">
      <c r="A9750" s="202">
        <v>42894.0</v>
      </c>
      <c r="B9750" s="992"/>
      <c r="C9750" s="32" t="s">
        <v>435</v>
      </c>
      <c r="D9750" s="1"/>
      <c r="F9750" s="1"/>
      <c r="G9750" s="1"/>
      <c r="H9750" s="68"/>
      <c r="I9750" s="76"/>
      <c r="K9750" s="9" t="s">
        <v>3331</v>
      </c>
      <c r="L9750" s="934"/>
      <c r="M9750" s="934"/>
    </row>
    <row r="9751" ht="12.75" hidden="1" customHeight="1" outlineLevel="1">
      <c r="A9751" s="202">
        <v>42898.0</v>
      </c>
      <c r="B9751" s="985" t="s">
        <v>347</v>
      </c>
      <c r="C9751" s="94" t="s">
        <v>346</v>
      </c>
      <c r="D9751" s="94">
        <v>25.0</v>
      </c>
      <c r="E9751" s="94">
        <v>143.8207</v>
      </c>
      <c r="F9751" s="986">
        <v>0.5399537037037037</v>
      </c>
      <c r="G9751" s="94" t="s">
        <v>453</v>
      </c>
      <c r="H9751" s="987">
        <v>1.08</v>
      </c>
      <c r="I9751" s="988" t="s">
        <v>3145</v>
      </c>
      <c r="J9751" s="67">
        <f>IF(B9751="SLD",D9751*E9751,-D9751*E9751)-H9751</f>
        <v>3594.4375</v>
      </c>
      <c r="L9751" s="70"/>
      <c r="M9751" s="934"/>
    </row>
    <row r="9752" ht="12.75" hidden="1" customHeight="1" outlineLevel="1">
      <c r="A9752" s="202">
        <v>42898.0</v>
      </c>
      <c r="B9752" s="992"/>
      <c r="C9752" s="32" t="s">
        <v>339</v>
      </c>
      <c r="D9752" s="1"/>
      <c r="F9752" s="1"/>
      <c r="G9752" s="1"/>
      <c r="H9752" s="68"/>
      <c r="I9752" s="76"/>
      <c r="K9752" s="201" t="s">
        <v>3478</v>
      </c>
      <c r="L9752" s="934"/>
      <c r="M9752" s="934"/>
    </row>
    <row r="9753" ht="12.75" hidden="1" customHeight="1" outlineLevel="1">
      <c r="A9753" s="202">
        <v>42898.0</v>
      </c>
      <c r="B9753" s="992"/>
      <c r="C9753" s="32" t="s">
        <v>429</v>
      </c>
      <c r="D9753" s="1"/>
      <c r="F9753" s="1"/>
      <c r="G9753" s="1"/>
      <c r="H9753" s="68"/>
      <c r="I9753" s="76"/>
      <c r="K9753" s="9" t="s">
        <v>3187</v>
      </c>
      <c r="L9753" s="934"/>
      <c r="M9753" s="934"/>
    </row>
    <row r="9754" ht="12.75" hidden="1" customHeight="1" outlineLevel="1">
      <c r="A9754" s="202">
        <v>42898.0</v>
      </c>
      <c r="B9754" s="992"/>
      <c r="C9754" s="32" t="s">
        <v>431</v>
      </c>
      <c r="D9754" s="1"/>
      <c r="F9754" s="1"/>
      <c r="G9754" s="1"/>
      <c r="H9754" s="68"/>
      <c r="I9754" s="76"/>
      <c r="K9754" s="7" t="s">
        <v>1126</v>
      </c>
      <c r="L9754" s="934"/>
      <c r="M9754" s="934"/>
    </row>
    <row r="9755" ht="12.75" hidden="1" customHeight="1" outlineLevel="1">
      <c r="A9755" s="202">
        <v>42898.0</v>
      </c>
      <c r="B9755" s="992"/>
      <c r="C9755" s="32" t="s">
        <v>433</v>
      </c>
      <c r="D9755" s="1"/>
      <c r="F9755" s="1"/>
      <c r="G9755" s="1"/>
      <c r="H9755" s="68"/>
      <c r="I9755" s="76"/>
      <c r="K9755" s="7" t="s">
        <v>1103</v>
      </c>
      <c r="L9755" s="934"/>
      <c r="M9755" s="934"/>
    </row>
    <row r="9756" ht="12.75" hidden="1" customHeight="1" outlineLevel="1">
      <c r="A9756" s="202">
        <v>42898.0</v>
      </c>
      <c r="B9756" s="992"/>
      <c r="C9756" s="32" t="s">
        <v>435</v>
      </c>
      <c r="D9756" s="1"/>
      <c r="F9756" s="1"/>
      <c r="G9756" s="1"/>
      <c r="H9756" s="68"/>
      <c r="I9756" s="76"/>
      <c r="K9756" s="9" t="s">
        <v>3331</v>
      </c>
      <c r="L9756" s="934"/>
      <c r="M9756" s="934"/>
    </row>
    <row r="9757" ht="12.75" hidden="1" customHeight="1" outlineLevel="1">
      <c r="A9757" s="202">
        <v>42899.0</v>
      </c>
      <c r="B9757" s="992"/>
      <c r="C9757" s="32" t="s">
        <v>339</v>
      </c>
      <c r="D9757" s="1"/>
      <c r="F9757" s="1"/>
      <c r="G9757" s="1"/>
      <c r="H9757" s="68"/>
      <c r="I9757" s="76"/>
      <c r="K9757" s="201" t="s">
        <v>3480</v>
      </c>
      <c r="L9757" s="934"/>
      <c r="M9757" s="934"/>
    </row>
    <row r="9758" ht="12.75" hidden="1" customHeight="1" outlineLevel="1">
      <c r="A9758" s="202">
        <v>42899.0</v>
      </c>
      <c r="B9758" s="992"/>
      <c r="C9758" s="32" t="s">
        <v>429</v>
      </c>
      <c r="D9758" s="1"/>
      <c r="F9758" s="1"/>
      <c r="G9758" s="1"/>
      <c r="H9758" s="68"/>
      <c r="I9758" s="76"/>
      <c r="K9758" s="9" t="s">
        <v>3187</v>
      </c>
      <c r="L9758" s="934"/>
      <c r="M9758" s="934"/>
    </row>
    <row r="9759" ht="12.75" hidden="1" customHeight="1" outlineLevel="1">
      <c r="A9759" s="202">
        <v>42899.0</v>
      </c>
      <c r="B9759" s="992"/>
      <c r="C9759" s="32" t="s">
        <v>431</v>
      </c>
      <c r="D9759" s="1"/>
      <c r="F9759" s="1"/>
      <c r="G9759" s="1"/>
      <c r="H9759" s="68"/>
      <c r="I9759" s="76"/>
      <c r="K9759" s="7" t="s">
        <v>1126</v>
      </c>
      <c r="L9759" s="934"/>
      <c r="M9759" s="934"/>
    </row>
    <row r="9760" ht="12.75" hidden="1" customHeight="1" outlineLevel="1">
      <c r="A9760" s="202">
        <v>42899.0</v>
      </c>
      <c r="B9760" s="992"/>
      <c r="C9760" s="32" t="s">
        <v>433</v>
      </c>
      <c r="D9760" s="1"/>
      <c r="F9760" s="1"/>
      <c r="G9760" s="1"/>
      <c r="H9760" s="68"/>
      <c r="I9760" s="76"/>
      <c r="K9760" s="7" t="s">
        <v>1103</v>
      </c>
      <c r="L9760" s="934"/>
      <c r="M9760" s="934"/>
    </row>
    <row r="9761" ht="12.75" hidden="1" customHeight="1" outlineLevel="1">
      <c r="A9761" s="202">
        <v>42899.0</v>
      </c>
      <c r="B9761" s="992"/>
      <c r="C9761" s="32" t="s">
        <v>435</v>
      </c>
      <c r="D9761" s="1"/>
      <c r="F9761" s="1"/>
      <c r="G9761" s="1"/>
      <c r="H9761" s="68"/>
      <c r="I9761" s="76"/>
      <c r="K9761" s="9" t="s">
        <v>3331</v>
      </c>
      <c r="L9761" s="934"/>
      <c r="M9761" s="934"/>
    </row>
    <row r="9762" ht="12.75" hidden="1" customHeight="1" outlineLevel="1">
      <c r="A9762" s="202">
        <v>42900.0</v>
      </c>
      <c r="B9762" s="992"/>
      <c r="C9762" s="32" t="s">
        <v>339</v>
      </c>
      <c r="D9762" s="1"/>
      <c r="F9762" s="1"/>
      <c r="G9762" s="1"/>
      <c r="H9762" s="68"/>
      <c r="I9762" s="76"/>
      <c r="K9762" s="201" t="s">
        <v>3481</v>
      </c>
      <c r="L9762" s="934"/>
      <c r="M9762" s="934"/>
    </row>
    <row r="9763" ht="12.75" hidden="1" customHeight="1" outlineLevel="1">
      <c r="A9763" s="202">
        <v>42900.0</v>
      </c>
      <c r="B9763" s="992"/>
      <c r="C9763" s="32" t="s">
        <v>429</v>
      </c>
      <c r="D9763" s="1"/>
      <c r="F9763" s="1"/>
      <c r="G9763" s="1"/>
      <c r="H9763" s="68"/>
      <c r="I9763" s="76"/>
      <c r="K9763" s="9" t="s">
        <v>3187</v>
      </c>
      <c r="L9763" s="934"/>
      <c r="M9763" s="934"/>
    </row>
    <row r="9764" ht="12.75" hidden="1" customHeight="1" outlineLevel="1">
      <c r="A9764" s="202">
        <v>42900.0</v>
      </c>
      <c r="B9764" s="992"/>
      <c r="C9764" s="32" t="s">
        <v>431</v>
      </c>
      <c r="D9764" s="1"/>
      <c r="F9764" s="1"/>
      <c r="G9764" s="1"/>
      <c r="H9764" s="68"/>
      <c r="I9764" s="76"/>
      <c r="K9764" s="7" t="s">
        <v>1126</v>
      </c>
      <c r="L9764" s="934"/>
      <c r="M9764" s="934"/>
    </row>
    <row r="9765" ht="12.75" hidden="1" customHeight="1" outlineLevel="1">
      <c r="A9765" s="202">
        <v>42900.0</v>
      </c>
      <c r="B9765" s="992"/>
      <c r="C9765" s="32" t="s">
        <v>433</v>
      </c>
      <c r="D9765" s="1"/>
      <c r="F9765" s="1"/>
      <c r="G9765" s="1"/>
      <c r="H9765" s="68"/>
      <c r="I9765" s="76"/>
      <c r="K9765" s="7" t="s">
        <v>1103</v>
      </c>
      <c r="L9765" s="934"/>
      <c r="M9765" s="934"/>
    </row>
    <row r="9766" ht="12.75" hidden="1" customHeight="1" outlineLevel="1">
      <c r="A9766" s="202">
        <v>42900.0</v>
      </c>
      <c r="B9766" s="992"/>
      <c r="C9766" s="32" t="s">
        <v>435</v>
      </c>
      <c r="D9766" s="1"/>
      <c r="F9766" s="1"/>
      <c r="G9766" s="1"/>
      <c r="H9766" s="68"/>
      <c r="I9766" s="76"/>
      <c r="K9766" s="9" t="s">
        <v>3331</v>
      </c>
      <c r="L9766" s="934"/>
      <c r="M9766" s="934"/>
    </row>
    <row r="9767" ht="12.75" hidden="1" customHeight="1" outlineLevel="1">
      <c r="A9767" s="202">
        <v>42907.0</v>
      </c>
      <c r="B9767" s="992"/>
      <c r="C9767" s="32" t="s">
        <v>339</v>
      </c>
      <c r="D9767" s="1"/>
      <c r="F9767" s="1"/>
      <c r="G9767" s="1"/>
      <c r="H9767" s="68"/>
      <c r="I9767" s="76"/>
      <c r="K9767" s="201" t="s">
        <v>3481</v>
      </c>
      <c r="L9767" s="934"/>
      <c r="M9767" s="934"/>
    </row>
    <row r="9768" ht="12.75" hidden="1" customHeight="1" outlineLevel="1">
      <c r="A9768" s="202">
        <v>42907.0</v>
      </c>
      <c r="B9768" s="992"/>
      <c r="C9768" s="32" t="s">
        <v>429</v>
      </c>
      <c r="D9768" s="1"/>
      <c r="F9768" s="1"/>
      <c r="G9768" s="1"/>
      <c r="H9768" s="68"/>
      <c r="I9768" s="76"/>
      <c r="K9768" s="9" t="s">
        <v>3187</v>
      </c>
      <c r="L9768" s="934"/>
      <c r="M9768" s="934"/>
    </row>
    <row r="9769" ht="12.75" hidden="1" customHeight="1" outlineLevel="1">
      <c r="A9769" s="202">
        <v>42907.0</v>
      </c>
      <c r="B9769" s="992"/>
      <c r="C9769" s="32" t="s">
        <v>431</v>
      </c>
      <c r="D9769" s="1"/>
      <c r="F9769" s="1"/>
      <c r="G9769" s="1"/>
      <c r="H9769" s="68"/>
      <c r="I9769" s="76"/>
      <c r="K9769" s="7" t="s">
        <v>1126</v>
      </c>
      <c r="L9769" s="934"/>
      <c r="M9769" s="934"/>
    </row>
    <row r="9770" ht="12.75" hidden="1" customHeight="1" outlineLevel="1">
      <c r="A9770" s="202">
        <v>42907.0</v>
      </c>
      <c r="B9770" s="992"/>
      <c r="C9770" s="32" t="s">
        <v>433</v>
      </c>
      <c r="D9770" s="1"/>
      <c r="F9770" s="1"/>
      <c r="G9770" s="1"/>
      <c r="H9770" s="68"/>
      <c r="I9770" s="76"/>
      <c r="K9770" s="7" t="s">
        <v>1103</v>
      </c>
      <c r="L9770" s="934"/>
      <c r="M9770" s="934"/>
    </row>
    <row r="9771" ht="12.75" hidden="1" customHeight="1" outlineLevel="1">
      <c r="A9771" s="202">
        <v>42907.0</v>
      </c>
      <c r="B9771" s="992"/>
      <c r="C9771" s="32" t="s">
        <v>435</v>
      </c>
      <c r="D9771" s="1"/>
      <c r="F9771" s="1"/>
      <c r="G9771" s="1"/>
      <c r="H9771" s="68"/>
      <c r="I9771" s="76"/>
      <c r="K9771" s="9" t="s">
        <v>3331</v>
      </c>
      <c r="L9771" s="934"/>
      <c r="M9771" s="934"/>
    </row>
    <row r="9772" ht="12.75" hidden="1" customHeight="1" outlineLevel="1">
      <c r="A9772" s="202">
        <v>42908.0</v>
      </c>
      <c r="B9772" s="992"/>
      <c r="C9772" s="32" t="s">
        <v>339</v>
      </c>
      <c r="D9772" s="1"/>
      <c r="F9772" s="1"/>
      <c r="G9772" s="1"/>
      <c r="H9772" s="68"/>
      <c r="I9772" s="76"/>
      <c r="K9772" s="201" t="s">
        <v>3484</v>
      </c>
      <c r="L9772" s="934"/>
      <c r="M9772" s="934"/>
    </row>
    <row r="9773" ht="12.75" hidden="1" customHeight="1" outlineLevel="1">
      <c r="A9773" s="202">
        <v>42908.0</v>
      </c>
      <c r="B9773" s="992"/>
      <c r="C9773" s="32" t="s">
        <v>429</v>
      </c>
      <c r="D9773" s="1"/>
      <c r="F9773" s="1"/>
      <c r="G9773" s="1"/>
      <c r="H9773" s="68"/>
      <c r="I9773" s="76"/>
      <c r="K9773" s="9" t="s">
        <v>3187</v>
      </c>
      <c r="L9773" s="934"/>
      <c r="M9773" s="934"/>
    </row>
    <row r="9774" ht="12.75" hidden="1" customHeight="1" outlineLevel="1">
      <c r="A9774" s="202">
        <v>42908.0</v>
      </c>
      <c r="B9774" s="992"/>
      <c r="C9774" s="32" t="s">
        <v>431</v>
      </c>
      <c r="D9774" s="1"/>
      <c r="F9774" s="1"/>
      <c r="G9774" s="1"/>
      <c r="H9774" s="68"/>
      <c r="I9774" s="76"/>
      <c r="K9774" s="7" t="s">
        <v>1126</v>
      </c>
      <c r="L9774" s="934"/>
      <c r="M9774" s="934"/>
    </row>
    <row r="9775" ht="12.75" hidden="1" customHeight="1" outlineLevel="1">
      <c r="A9775" s="202">
        <v>42908.0</v>
      </c>
      <c r="B9775" s="992"/>
      <c r="C9775" s="32" t="s">
        <v>433</v>
      </c>
      <c r="D9775" s="1"/>
      <c r="F9775" s="1"/>
      <c r="G9775" s="1"/>
      <c r="H9775" s="68"/>
      <c r="I9775" s="76"/>
      <c r="K9775" s="7" t="s">
        <v>1103</v>
      </c>
      <c r="L9775" s="934"/>
      <c r="M9775" s="934"/>
    </row>
    <row r="9776" ht="12.75" hidden="1" customHeight="1" outlineLevel="1">
      <c r="A9776" s="202">
        <v>42908.0</v>
      </c>
      <c r="B9776" s="992"/>
      <c r="C9776" s="32" t="s">
        <v>435</v>
      </c>
      <c r="D9776" s="1"/>
      <c r="F9776" s="1"/>
      <c r="G9776" s="1"/>
      <c r="H9776" s="68"/>
      <c r="I9776" s="76"/>
      <c r="K9776" s="9" t="s">
        <v>3331</v>
      </c>
      <c r="L9776" s="934"/>
      <c r="M9776" s="934"/>
    </row>
    <row r="9777" ht="12.75" hidden="1" customHeight="1" outlineLevel="1">
      <c r="A9777" s="202">
        <v>42908.0</v>
      </c>
      <c r="B9777" s="985" t="s">
        <v>347</v>
      </c>
      <c r="C9777" s="94" t="s">
        <v>1516</v>
      </c>
      <c r="D9777" s="94">
        <v>25.0</v>
      </c>
      <c r="E9777" s="94">
        <v>118.8901</v>
      </c>
      <c r="F9777" s="986">
        <v>0.6177083333333333</v>
      </c>
      <c r="G9777" s="94" t="s">
        <v>453</v>
      </c>
      <c r="H9777" s="987">
        <v>1.07</v>
      </c>
      <c r="I9777" s="988" t="s">
        <v>3145</v>
      </c>
      <c r="J9777" s="67">
        <f t="shared" ref="J9777:J9779" si="553">IF(B9777="SLD",D9777*E9777,-D9777*E9777)-H9777</f>
        <v>2971.1825</v>
      </c>
      <c r="L9777" s="70"/>
      <c r="M9777" s="934"/>
    </row>
    <row r="9778" ht="12.75" hidden="1" customHeight="1" outlineLevel="1">
      <c r="A9778" s="202">
        <v>42908.0</v>
      </c>
      <c r="B9778" s="985" t="s">
        <v>347</v>
      </c>
      <c r="C9778" s="94" t="s">
        <v>1088</v>
      </c>
      <c r="D9778" s="94">
        <v>3.0</v>
      </c>
      <c r="E9778" s="94">
        <v>2465.01</v>
      </c>
      <c r="F9778" s="986">
        <v>0.6169560185185186</v>
      </c>
      <c r="G9778" s="94" t="s">
        <v>453</v>
      </c>
      <c r="H9778" s="987">
        <v>1.16</v>
      </c>
      <c r="I9778" s="988" t="s">
        <v>3145</v>
      </c>
      <c r="J9778" s="67">
        <f t="shared" si="553"/>
        <v>7393.87</v>
      </c>
      <c r="L9778" s="70"/>
      <c r="M9778" s="934"/>
    </row>
    <row r="9779" ht="12.75" hidden="1" customHeight="1" outlineLevel="1">
      <c r="A9779" s="202">
        <v>42908.0</v>
      </c>
      <c r="B9779" s="985" t="s">
        <v>347</v>
      </c>
      <c r="C9779" s="94" t="s">
        <v>1274</v>
      </c>
      <c r="D9779" s="94">
        <v>20.0</v>
      </c>
      <c r="E9779" s="94">
        <v>189.24</v>
      </c>
      <c r="F9779" s="986">
        <v>0.6158217592592593</v>
      </c>
      <c r="G9779" s="94" t="s">
        <v>453</v>
      </c>
      <c r="H9779" s="987">
        <v>1.08</v>
      </c>
      <c r="I9779" s="988" t="s">
        <v>3145</v>
      </c>
      <c r="J9779" s="67">
        <f t="shared" si="553"/>
        <v>3783.72</v>
      </c>
      <c r="L9779" s="70"/>
      <c r="M9779" s="934"/>
    </row>
    <row r="9780" ht="12.75" hidden="1" customHeight="1" outlineLevel="1">
      <c r="A9780" s="202">
        <v>42908.0</v>
      </c>
      <c r="B9780" s="992"/>
      <c r="C9780" s="32" t="s">
        <v>339</v>
      </c>
      <c r="D9780" s="1"/>
      <c r="F9780" s="1"/>
      <c r="G9780" s="1"/>
      <c r="H9780" s="68"/>
      <c r="I9780" s="76"/>
      <c r="K9780" s="201" t="s">
        <v>3484</v>
      </c>
      <c r="L9780" s="934"/>
      <c r="M9780" s="934"/>
    </row>
    <row r="9781" ht="12.75" hidden="1" customHeight="1" outlineLevel="1">
      <c r="A9781" s="202">
        <v>42908.0</v>
      </c>
      <c r="B9781" s="992"/>
      <c r="C9781" s="32" t="s">
        <v>429</v>
      </c>
      <c r="D9781" s="1"/>
      <c r="F9781" s="1"/>
      <c r="G9781" s="1"/>
      <c r="H9781" s="68"/>
      <c r="I9781" s="76"/>
      <c r="K9781" s="9" t="s">
        <v>3187</v>
      </c>
      <c r="L9781" s="934"/>
      <c r="M9781" s="934"/>
    </row>
    <row r="9782" ht="12.75" hidden="1" customHeight="1" outlineLevel="1">
      <c r="A9782" s="202">
        <v>42908.0</v>
      </c>
      <c r="B9782" s="992"/>
      <c r="C9782" s="32" t="s">
        <v>431</v>
      </c>
      <c r="D9782" s="1"/>
      <c r="F9782" s="1"/>
      <c r="G9782" s="1"/>
      <c r="H9782" s="68"/>
      <c r="I9782" s="76"/>
      <c r="K9782" s="7" t="s">
        <v>1126</v>
      </c>
      <c r="L9782" s="934"/>
      <c r="M9782" s="934"/>
    </row>
    <row r="9783" ht="12.75" hidden="1" customHeight="1" outlineLevel="1">
      <c r="A9783" s="202">
        <v>42908.0</v>
      </c>
      <c r="B9783" s="992"/>
      <c r="C9783" s="32" t="s">
        <v>433</v>
      </c>
      <c r="D9783" s="1"/>
      <c r="F9783" s="1"/>
      <c r="G9783" s="1"/>
      <c r="H9783" s="68"/>
      <c r="I9783" s="76"/>
      <c r="K9783" s="7" t="s">
        <v>1103</v>
      </c>
      <c r="L9783" s="934"/>
      <c r="M9783" s="934"/>
    </row>
    <row r="9784" ht="12.75" hidden="1" customHeight="1" outlineLevel="1">
      <c r="A9784" s="202">
        <v>42908.0</v>
      </c>
      <c r="B9784" s="992"/>
      <c r="C9784" s="32" t="s">
        <v>435</v>
      </c>
      <c r="D9784" s="1"/>
      <c r="F9784" s="1"/>
      <c r="G9784" s="1"/>
      <c r="H9784" s="68"/>
      <c r="I9784" s="76"/>
      <c r="K9784" s="9" t="s">
        <v>3331</v>
      </c>
      <c r="L9784" s="934"/>
      <c r="M9784" s="934"/>
    </row>
    <row r="9785" ht="12.75" hidden="1" customHeight="1" outlineLevel="1">
      <c r="A9785" s="202">
        <v>42912.0</v>
      </c>
      <c r="B9785" s="992"/>
      <c r="C9785" s="32" t="s">
        <v>339</v>
      </c>
      <c r="D9785" s="1"/>
      <c r="F9785" s="1"/>
      <c r="G9785" s="1"/>
      <c r="H9785" s="68"/>
      <c r="I9785" s="76"/>
      <c r="K9785" s="201" t="s">
        <v>3489</v>
      </c>
      <c r="L9785" s="934"/>
      <c r="M9785" s="934"/>
    </row>
    <row r="9786" ht="12.75" hidden="1" customHeight="1" outlineLevel="1">
      <c r="A9786" s="202">
        <v>42912.0</v>
      </c>
      <c r="B9786" s="992"/>
      <c r="C9786" s="32" t="s">
        <v>429</v>
      </c>
      <c r="D9786" s="1"/>
      <c r="F9786" s="1"/>
      <c r="G9786" s="1"/>
      <c r="H9786" s="68"/>
      <c r="I9786" s="76"/>
      <c r="K9786" s="9" t="s">
        <v>3187</v>
      </c>
      <c r="L9786" s="934"/>
      <c r="M9786" s="934"/>
    </row>
    <row r="9787" ht="12.75" hidden="1" customHeight="1" outlineLevel="1">
      <c r="A9787" s="202">
        <v>42912.0</v>
      </c>
      <c r="B9787" s="992"/>
      <c r="C9787" s="32" t="s">
        <v>431</v>
      </c>
      <c r="D9787" s="1"/>
      <c r="F9787" s="1"/>
      <c r="G9787" s="1"/>
      <c r="H9787" s="68"/>
      <c r="I9787" s="76"/>
      <c r="K9787" s="7" t="s">
        <v>1126</v>
      </c>
      <c r="L9787" s="934"/>
      <c r="M9787" s="934"/>
    </row>
    <row r="9788" ht="12.75" hidden="1" customHeight="1" outlineLevel="1">
      <c r="A9788" s="202">
        <v>42912.0</v>
      </c>
      <c r="B9788" s="992"/>
      <c r="C9788" s="32" t="s">
        <v>433</v>
      </c>
      <c r="D9788" s="1"/>
      <c r="F9788" s="1"/>
      <c r="G9788" s="1"/>
      <c r="H9788" s="68"/>
      <c r="I9788" s="76"/>
      <c r="K9788" s="7" t="s">
        <v>1103</v>
      </c>
      <c r="L9788" s="934"/>
      <c r="M9788" s="934"/>
    </row>
    <row r="9789" ht="12.75" hidden="1" customHeight="1" outlineLevel="1">
      <c r="A9789" s="202">
        <v>42912.0</v>
      </c>
      <c r="B9789" s="992"/>
      <c r="C9789" s="32" t="s">
        <v>435</v>
      </c>
      <c r="D9789" s="1"/>
      <c r="F9789" s="1"/>
      <c r="G9789" s="1"/>
      <c r="H9789" s="68"/>
      <c r="I9789" s="76"/>
      <c r="K9789" s="9" t="s">
        <v>3331</v>
      </c>
      <c r="L9789" s="934"/>
      <c r="M9789" s="934"/>
    </row>
    <row r="9790" ht="12.75" hidden="1" customHeight="1" outlineLevel="1">
      <c r="A9790" s="202">
        <v>42923.0</v>
      </c>
      <c r="B9790" s="985" t="s">
        <v>347</v>
      </c>
      <c r="C9790" s="94" t="s">
        <v>1485</v>
      </c>
      <c r="D9790" s="286">
        <v>4000.0</v>
      </c>
      <c r="E9790" s="94">
        <v>5.422</v>
      </c>
      <c r="F9790" s="998">
        <v>42923.56553240741</v>
      </c>
      <c r="G9790" s="94" t="s">
        <v>453</v>
      </c>
      <c r="H9790" s="987">
        <v>20.98</v>
      </c>
      <c r="I9790" s="988" t="s">
        <v>3145</v>
      </c>
      <c r="J9790" s="67">
        <f t="shared" ref="J9790:J9796" si="554">IF(B9790="SLD",D9790*E9790,-D9790*E9790)-H9790</f>
        <v>21667.02</v>
      </c>
      <c r="L9790" s="70"/>
      <c r="M9790" s="934"/>
    </row>
    <row r="9791" ht="12.75" hidden="1" customHeight="1" outlineLevel="1">
      <c r="A9791" s="202">
        <v>42923.0</v>
      </c>
      <c r="B9791" s="985" t="s">
        <v>347</v>
      </c>
      <c r="C9791" s="94" t="s">
        <v>1483</v>
      </c>
      <c r="D9791" s="286">
        <v>4000.0</v>
      </c>
      <c r="E9791" s="94">
        <v>2.16</v>
      </c>
      <c r="F9791" s="998">
        <v>42923.565416666665</v>
      </c>
      <c r="G9791" s="94" t="s">
        <v>453</v>
      </c>
      <c r="H9791" s="987">
        <v>20.68</v>
      </c>
      <c r="I9791" s="988" t="s">
        <v>3145</v>
      </c>
      <c r="J9791" s="67">
        <f t="shared" si="554"/>
        <v>8619.32</v>
      </c>
      <c r="L9791" s="70"/>
      <c r="M9791" s="934"/>
    </row>
    <row r="9792" ht="12.75" hidden="1" customHeight="1" outlineLevel="1">
      <c r="A9792" s="202">
        <v>42923.0</v>
      </c>
      <c r="B9792" s="985" t="s">
        <v>347</v>
      </c>
      <c r="C9792" s="94" t="s">
        <v>1092</v>
      </c>
      <c r="D9792" s="286">
        <v>4000.0</v>
      </c>
      <c r="E9792" s="94">
        <v>5.91</v>
      </c>
      <c r="F9792" s="998">
        <v>42923.56539351852</v>
      </c>
      <c r="G9792" s="94" t="s">
        <v>453</v>
      </c>
      <c r="H9792" s="987">
        <v>21.02</v>
      </c>
      <c r="I9792" s="988" t="s">
        <v>3145</v>
      </c>
      <c r="J9792" s="67">
        <f t="shared" si="554"/>
        <v>23618.98</v>
      </c>
      <c r="L9792" s="70"/>
      <c r="M9792" s="934"/>
    </row>
    <row r="9793" ht="12.75" hidden="1" customHeight="1" outlineLevel="1">
      <c r="A9793" s="202">
        <v>42923.0</v>
      </c>
      <c r="B9793" s="985" t="s">
        <v>347</v>
      </c>
      <c r="C9793" s="94" t="s">
        <v>604</v>
      </c>
      <c r="D9793" s="286">
        <v>4000.0</v>
      </c>
      <c r="E9793" s="94">
        <v>2.25</v>
      </c>
      <c r="F9793" s="998">
        <v>42923.56489583333</v>
      </c>
      <c r="G9793" s="94" t="s">
        <v>453</v>
      </c>
      <c r="H9793" s="987">
        <v>20.68</v>
      </c>
      <c r="I9793" s="988" t="s">
        <v>3145</v>
      </c>
      <c r="J9793" s="67">
        <f t="shared" si="554"/>
        <v>8979.32</v>
      </c>
      <c r="L9793" s="70"/>
      <c r="M9793" s="934"/>
    </row>
    <row r="9794" ht="12.75" hidden="1" customHeight="1" outlineLevel="1">
      <c r="A9794" s="202">
        <v>42923.0</v>
      </c>
      <c r="B9794" s="985" t="s">
        <v>347</v>
      </c>
      <c r="C9794" s="94" t="s">
        <v>442</v>
      </c>
      <c r="D9794" s="94">
        <v>30.0</v>
      </c>
      <c r="E9794" s="94">
        <v>124.4</v>
      </c>
      <c r="F9794" s="998">
        <v>42923.563576388886</v>
      </c>
      <c r="G9794" s="94" t="s">
        <v>453</v>
      </c>
      <c r="H9794" s="987">
        <v>1.09</v>
      </c>
      <c r="I9794" s="988" t="s">
        <v>3145</v>
      </c>
      <c r="J9794" s="67">
        <f t="shared" si="554"/>
        <v>3730.91</v>
      </c>
      <c r="L9794" s="70"/>
      <c r="M9794" s="934"/>
    </row>
    <row r="9795" ht="12.75" hidden="1" customHeight="1" outlineLevel="1">
      <c r="A9795" s="202">
        <v>42923.0</v>
      </c>
      <c r="B9795" s="985" t="s">
        <v>347</v>
      </c>
      <c r="C9795" s="94" t="s">
        <v>1056</v>
      </c>
      <c r="D9795" s="94">
        <v>100.0</v>
      </c>
      <c r="E9795" s="94">
        <v>171.78</v>
      </c>
      <c r="F9795" s="998">
        <v>42923.55222222222</v>
      </c>
      <c r="G9795" s="94" t="s">
        <v>453</v>
      </c>
      <c r="H9795" s="987">
        <v>1.41</v>
      </c>
      <c r="I9795" s="988" t="s">
        <v>3145</v>
      </c>
      <c r="J9795" s="67">
        <f t="shared" si="554"/>
        <v>17176.59</v>
      </c>
      <c r="L9795" s="70"/>
      <c r="M9795" s="934"/>
    </row>
    <row r="9796" ht="12.75" hidden="1" customHeight="1" outlineLevel="1">
      <c r="A9796" s="202">
        <v>42923.0</v>
      </c>
      <c r="B9796" s="985" t="s">
        <v>347</v>
      </c>
      <c r="C9796" s="94" t="s">
        <v>1082</v>
      </c>
      <c r="D9796" s="94">
        <v>35.0</v>
      </c>
      <c r="E9796" s="94">
        <v>498.83</v>
      </c>
      <c r="F9796" s="998">
        <v>42923.54923611111</v>
      </c>
      <c r="G9796" s="94" t="s">
        <v>453</v>
      </c>
      <c r="H9796" s="987">
        <v>1.41</v>
      </c>
      <c r="I9796" s="988" t="s">
        <v>3145</v>
      </c>
      <c r="J9796" s="67">
        <f t="shared" si="554"/>
        <v>17457.64</v>
      </c>
      <c r="L9796" s="70"/>
      <c r="M9796" s="934"/>
    </row>
    <row r="9797" ht="12.75" hidden="1" customHeight="1" outlineLevel="1">
      <c r="A9797" s="202">
        <v>42924.0</v>
      </c>
      <c r="B9797" s="992"/>
      <c r="C9797" s="32" t="s">
        <v>339</v>
      </c>
      <c r="D9797" s="1"/>
      <c r="F9797" s="1"/>
      <c r="G9797" s="1"/>
      <c r="H9797" s="68"/>
      <c r="I9797" s="76"/>
      <c r="K9797" s="201" t="s">
        <v>3492</v>
      </c>
      <c r="L9797" s="934"/>
      <c r="M9797" s="934"/>
    </row>
    <row r="9798" ht="12.75" hidden="1" customHeight="1" outlineLevel="1">
      <c r="A9798" s="202">
        <v>42924.0</v>
      </c>
      <c r="B9798" s="992"/>
      <c r="C9798" s="32" t="s">
        <v>429</v>
      </c>
      <c r="D9798" s="1"/>
      <c r="F9798" s="1"/>
      <c r="G9798" s="1"/>
      <c r="H9798" s="68"/>
      <c r="I9798" s="76"/>
      <c r="K9798" s="9" t="s">
        <v>3187</v>
      </c>
      <c r="L9798" s="934"/>
      <c r="M9798" s="934"/>
    </row>
    <row r="9799" ht="12.75" hidden="1" customHeight="1" outlineLevel="1">
      <c r="A9799" s="202">
        <v>42924.0</v>
      </c>
      <c r="B9799" s="992"/>
      <c r="C9799" s="32" t="s">
        <v>431</v>
      </c>
      <c r="D9799" s="1"/>
      <c r="F9799" s="1"/>
      <c r="G9799" s="1"/>
      <c r="H9799" s="68"/>
      <c r="I9799" s="76"/>
      <c r="K9799" s="7" t="s">
        <v>1126</v>
      </c>
      <c r="L9799" s="934"/>
      <c r="M9799" s="934"/>
    </row>
    <row r="9800" ht="12.75" hidden="1" customHeight="1" outlineLevel="1">
      <c r="A9800" s="202">
        <v>42924.0</v>
      </c>
      <c r="B9800" s="992"/>
      <c r="C9800" s="32" t="s">
        <v>433</v>
      </c>
      <c r="D9800" s="1"/>
      <c r="F9800" s="1"/>
      <c r="G9800" s="1"/>
      <c r="H9800" s="68"/>
      <c r="I9800" s="76"/>
      <c r="K9800" s="7" t="s">
        <v>1103</v>
      </c>
      <c r="L9800" s="934"/>
      <c r="M9800" s="934"/>
    </row>
    <row r="9801" ht="12.75" hidden="1" customHeight="1" outlineLevel="1">
      <c r="A9801" s="202">
        <v>42924.0</v>
      </c>
      <c r="B9801" s="992"/>
      <c r="C9801" s="32" t="s">
        <v>435</v>
      </c>
      <c r="D9801" s="1"/>
      <c r="F9801" s="1"/>
      <c r="G9801" s="1"/>
      <c r="H9801" s="68"/>
      <c r="I9801" s="76"/>
      <c r="K9801" s="9" t="s">
        <v>3331</v>
      </c>
      <c r="L9801" s="934"/>
      <c r="M9801" s="934"/>
    </row>
    <row r="9802" ht="12.75" hidden="1" customHeight="1" outlineLevel="1">
      <c r="A9802" s="202">
        <v>42926.0</v>
      </c>
      <c r="B9802" s="985" t="s">
        <v>347</v>
      </c>
      <c r="C9802" s="94" t="s">
        <v>3380</v>
      </c>
      <c r="D9802" s="94">
        <v>500.0</v>
      </c>
      <c r="E9802" s="94">
        <v>22.644</v>
      </c>
      <c r="F9802" s="986">
        <v>0.3998611111111111</v>
      </c>
      <c r="G9802" s="94" t="s">
        <v>453</v>
      </c>
      <c r="H9802" s="987">
        <v>2.32</v>
      </c>
      <c r="I9802" s="988" t="s">
        <v>3145</v>
      </c>
      <c r="J9802" s="67">
        <f t="shared" ref="J9802:J9804" si="555">IF(B9802="SLD",D9802*E9802,-D9802*E9802)-H9802</f>
        <v>11319.68</v>
      </c>
      <c r="L9802" s="70"/>
      <c r="M9802" s="934"/>
    </row>
    <row r="9803" ht="12.75" hidden="1" customHeight="1" outlineLevel="1">
      <c r="A9803" s="202">
        <v>42926.0</v>
      </c>
      <c r="B9803" s="985" t="s">
        <v>343</v>
      </c>
      <c r="C9803" s="94" t="s">
        <v>1070</v>
      </c>
      <c r="D9803" s="94">
        <v>35.0</v>
      </c>
      <c r="E9803" s="94">
        <v>256.57</v>
      </c>
      <c r="F9803" s="986">
        <v>0.5734606481481481</v>
      </c>
      <c r="G9803" s="94" t="s">
        <v>453</v>
      </c>
      <c r="H9803" s="987">
        <v>1.0</v>
      </c>
      <c r="I9803" s="988" t="s">
        <v>3145</v>
      </c>
      <c r="J9803" s="67">
        <f t="shared" si="555"/>
        <v>-8980.95</v>
      </c>
      <c r="L9803" s="70"/>
      <c r="M9803" s="934"/>
    </row>
    <row r="9804" ht="12.75" hidden="1" customHeight="1" outlineLevel="1">
      <c r="A9804" s="202">
        <v>42926.0</v>
      </c>
      <c r="B9804" s="985" t="s">
        <v>347</v>
      </c>
      <c r="C9804" s="94" t="s">
        <v>1070</v>
      </c>
      <c r="D9804" s="94">
        <v>35.0</v>
      </c>
      <c r="E9804" s="94">
        <v>259.06</v>
      </c>
      <c r="F9804" s="986">
        <v>0.45153935185185184</v>
      </c>
      <c r="G9804" s="94" t="s">
        <v>453</v>
      </c>
      <c r="H9804" s="987">
        <v>1.21</v>
      </c>
      <c r="I9804" s="988" t="s">
        <v>3145</v>
      </c>
      <c r="J9804" s="67">
        <f t="shared" si="555"/>
        <v>9065.89</v>
      </c>
      <c r="L9804" s="70"/>
      <c r="M9804" s="934"/>
    </row>
    <row r="9805" ht="12.75" hidden="1" customHeight="1" outlineLevel="1">
      <c r="A9805" s="202">
        <v>42926.0</v>
      </c>
      <c r="B9805" s="992"/>
      <c r="C9805" s="32" t="s">
        <v>339</v>
      </c>
      <c r="D9805" s="1"/>
      <c r="F9805" s="1"/>
      <c r="G9805" s="1"/>
      <c r="H9805" s="68"/>
      <c r="I9805" s="76"/>
      <c r="K9805" s="201" t="s">
        <v>3493</v>
      </c>
      <c r="L9805" s="934"/>
      <c r="M9805" s="934"/>
    </row>
    <row r="9806" ht="12.75" hidden="1" customHeight="1" outlineLevel="1">
      <c r="A9806" s="202">
        <v>42926.0</v>
      </c>
      <c r="B9806" s="992"/>
      <c r="C9806" s="32" t="s">
        <v>429</v>
      </c>
      <c r="D9806" s="1"/>
      <c r="F9806" s="1"/>
      <c r="G9806" s="1"/>
      <c r="H9806" s="68"/>
      <c r="I9806" s="76"/>
      <c r="K9806" s="9" t="s">
        <v>3187</v>
      </c>
      <c r="L9806" s="934"/>
      <c r="M9806" s="934"/>
    </row>
    <row r="9807" ht="12.75" hidden="1" customHeight="1" outlineLevel="1">
      <c r="A9807" s="202">
        <v>42926.0</v>
      </c>
      <c r="B9807" s="992"/>
      <c r="C9807" s="32" t="s">
        <v>431</v>
      </c>
      <c r="D9807" s="1"/>
      <c r="F9807" s="1"/>
      <c r="G9807" s="1"/>
      <c r="H9807" s="68"/>
      <c r="I9807" s="76"/>
      <c r="K9807" s="7" t="s">
        <v>1126</v>
      </c>
      <c r="L9807" s="934"/>
      <c r="M9807" s="934"/>
    </row>
    <row r="9808" ht="12.75" hidden="1" customHeight="1" outlineLevel="1">
      <c r="A9808" s="202">
        <v>42926.0</v>
      </c>
      <c r="B9808" s="992"/>
      <c r="C9808" s="32" t="s">
        <v>433</v>
      </c>
      <c r="D9808" s="1"/>
      <c r="F9808" s="1"/>
      <c r="G9808" s="1"/>
      <c r="H9808" s="68"/>
      <c r="I9808" s="76"/>
      <c r="K9808" s="7" t="s">
        <v>1103</v>
      </c>
      <c r="L9808" s="934"/>
      <c r="M9808" s="934"/>
    </row>
    <row r="9809" ht="12.75" hidden="1" customHeight="1" outlineLevel="1">
      <c r="A9809" s="202">
        <v>42926.0</v>
      </c>
      <c r="B9809" s="992"/>
      <c r="C9809" s="32" t="s">
        <v>435</v>
      </c>
      <c r="D9809" s="1"/>
      <c r="F9809" s="1"/>
      <c r="G9809" s="1"/>
      <c r="H9809" s="68"/>
      <c r="I9809" s="76"/>
      <c r="K9809" s="9" t="s">
        <v>3331</v>
      </c>
      <c r="L9809" s="934"/>
      <c r="M9809" s="934"/>
    </row>
    <row r="9810" ht="12.75" hidden="1" customHeight="1" outlineLevel="1">
      <c r="A9810" s="202">
        <v>42926.0</v>
      </c>
      <c r="B9810" s="992"/>
      <c r="C9810" s="32" t="s">
        <v>339</v>
      </c>
      <c r="D9810" s="1"/>
      <c r="F9810" s="1"/>
      <c r="G9810" s="1"/>
      <c r="H9810" s="68"/>
      <c r="I9810" s="76"/>
      <c r="K9810" s="201" t="s">
        <v>3494</v>
      </c>
      <c r="L9810" s="934"/>
      <c r="M9810" s="934"/>
    </row>
    <row r="9811" ht="12.75" hidden="1" customHeight="1" outlineLevel="1">
      <c r="A9811" s="202">
        <v>42926.0</v>
      </c>
      <c r="B9811" s="992"/>
      <c r="C9811" s="32" t="s">
        <v>429</v>
      </c>
      <c r="D9811" s="1"/>
      <c r="F9811" s="1"/>
      <c r="G9811" s="1"/>
      <c r="H9811" s="68"/>
      <c r="I9811" s="76"/>
      <c r="K9811" s="9" t="s">
        <v>3187</v>
      </c>
      <c r="L9811" s="934"/>
      <c r="M9811" s="934"/>
    </row>
    <row r="9812" ht="12.75" hidden="1" customHeight="1" outlineLevel="1">
      <c r="A9812" s="202">
        <v>42926.0</v>
      </c>
      <c r="B9812" s="992"/>
      <c r="C9812" s="32" t="s">
        <v>431</v>
      </c>
      <c r="D9812" s="1"/>
      <c r="F9812" s="1"/>
      <c r="G9812" s="1"/>
      <c r="H9812" s="68"/>
      <c r="I9812" s="76"/>
      <c r="K9812" s="7" t="s">
        <v>1126</v>
      </c>
      <c r="L9812" s="934"/>
      <c r="M9812" s="934"/>
    </row>
    <row r="9813" ht="12.75" hidden="1" customHeight="1" outlineLevel="1">
      <c r="A9813" s="202">
        <v>42926.0</v>
      </c>
      <c r="B9813" s="992"/>
      <c r="C9813" s="32" t="s">
        <v>433</v>
      </c>
      <c r="D9813" s="1"/>
      <c r="F9813" s="1"/>
      <c r="G9813" s="1"/>
      <c r="H9813" s="68"/>
      <c r="I9813" s="76"/>
      <c r="K9813" s="7" t="s">
        <v>1103</v>
      </c>
      <c r="L9813" s="934"/>
      <c r="M9813" s="934"/>
    </row>
    <row r="9814" ht="12.75" hidden="1" customHeight="1" outlineLevel="1">
      <c r="A9814" s="202">
        <v>42926.0</v>
      </c>
      <c r="B9814" s="992"/>
      <c r="C9814" s="32" t="s">
        <v>435</v>
      </c>
      <c r="D9814" s="1"/>
      <c r="F9814" s="1"/>
      <c r="G9814" s="1"/>
      <c r="H9814" s="68"/>
      <c r="I9814" s="76"/>
      <c r="K9814" s="9" t="s">
        <v>3331</v>
      </c>
      <c r="L9814" s="934"/>
      <c r="M9814" s="934"/>
    </row>
    <row r="9815" ht="12.75" hidden="1" customHeight="1" outlineLevel="1">
      <c r="A9815" s="202">
        <v>42934.0</v>
      </c>
      <c r="B9815" s="985" t="s">
        <v>343</v>
      </c>
      <c r="C9815" s="94" t="s">
        <v>1092</v>
      </c>
      <c r="D9815" s="286">
        <v>4000.0</v>
      </c>
      <c r="E9815" s="94">
        <v>6.05</v>
      </c>
      <c r="F9815" s="986">
        <v>0.47881944444444446</v>
      </c>
      <c r="G9815" s="94" t="s">
        <v>453</v>
      </c>
      <c r="H9815" s="987">
        <v>20.0</v>
      </c>
      <c r="I9815" s="988" t="s">
        <v>3145</v>
      </c>
      <c r="J9815" s="67">
        <f t="shared" ref="J9815:J9820" si="556">IF(B9815="SLD",D9815*E9815,-D9815*E9815)-H9815</f>
        <v>-24220</v>
      </c>
      <c r="L9815" s="70"/>
      <c r="M9815" s="934"/>
    </row>
    <row r="9816" ht="12.75" hidden="1" customHeight="1" outlineLevel="1">
      <c r="A9816" s="202">
        <v>42934.0</v>
      </c>
      <c r="B9816" s="985" t="s">
        <v>343</v>
      </c>
      <c r="C9816" s="94" t="s">
        <v>1483</v>
      </c>
      <c r="D9816" s="286">
        <v>4000.0</v>
      </c>
      <c r="E9816" s="94">
        <v>2.19</v>
      </c>
      <c r="F9816" s="986">
        <v>0.47832175925925924</v>
      </c>
      <c r="G9816" s="94" t="s">
        <v>453</v>
      </c>
      <c r="H9816" s="987">
        <v>20.0</v>
      </c>
      <c r="I9816" s="988" t="s">
        <v>3145</v>
      </c>
      <c r="J9816" s="67">
        <f t="shared" si="556"/>
        <v>-8780</v>
      </c>
      <c r="L9816" s="70"/>
      <c r="M9816" s="934"/>
    </row>
    <row r="9817" ht="12.75" hidden="1" customHeight="1" outlineLevel="1">
      <c r="A9817" s="202">
        <v>42934.0</v>
      </c>
      <c r="B9817" s="985" t="s">
        <v>343</v>
      </c>
      <c r="C9817" s="94" t="s">
        <v>1485</v>
      </c>
      <c r="D9817" s="286">
        <v>4000.0</v>
      </c>
      <c r="E9817" s="94">
        <v>5.65</v>
      </c>
      <c r="F9817" s="986">
        <v>0.47760416666666666</v>
      </c>
      <c r="G9817" s="94" t="s">
        <v>453</v>
      </c>
      <c r="H9817" s="987">
        <v>20.0</v>
      </c>
      <c r="I9817" s="988" t="s">
        <v>3145</v>
      </c>
      <c r="J9817" s="67">
        <f t="shared" si="556"/>
        <v>-22620</v>
      </c>
      <c r="L9817" s="70"/>
      <c r="M9817" s="934"/>
    </row>
    <row r="9818" ht="12.75" hidden="1" customHeight="1" outlineLevel="1">
      <c r="A9818" s="202">
        <v>42934.0</v>
      </c>
      <c r="B9818" s="985" t="s">
        <v>343</v>
      </c>
      <c r="C9818" s="94" t="s">
        <v>604</v>
      </c>
      <c r="D9818" s="286">
        <v>4000.0</v>
      </c>
      <c r="E9818" s="94">
        <v>2.29</v>
      </c>
      <c r="F9818" s="986">
        <v>0.4772800925925926</v>
      </c>
      <c r="G9818" s="94" t="s">
        <v>453</v>
      </c>
      <c r="H9818" s="987">
        <v>20.0</v>
      </c>
      <c r="I9818" s="988" t="s">
        <v>3145</v>
      </c>
      <c r="J9818" s="67">
        <f t="shared" si="556"/>
        <v>-9180</v>
      </c>
      <c r="L9818" s="70"/>
      <c r="M9818" s="934"/>
    </row>
    <row r="9819" ht="12.75" hidden="1" customHeight="1" outlineLevel="1">
      <c r="A9819" s="202">
        <v>42934.0</v>
      </c>
      <c r="B9819" s="985" t="s">
        <v>343</v>
      </c>
      <c r="C9819" s="94" t="s">
        <v>1082</v>
      </c>
      <c r="D9819" s="94">
        <v>50.0</v>
      </c>
      <c r="E9819" s="94">
        <v>500.17</v>
      </c>
      <c r="F9819" s="986">
        <v>0.4759027777777778</v>
      </c>
      <c r="G9819" s="94" t="s">
        <v>453</v>
      </c>
      <c r="H9819" s="987">
        <v>1.0</v>
      </c>
      <c r="I9819" s="988" t="s">
        <v>3145</v>
      </c>
      <c r="J9819" s="67">
        <f t="shared" si="556"/>
        <v>-25009.5</v>
      </c>
      <c r="L9819" s="70"/>
      <c r="M9819" s="934"/>
    </row>
    <row r="9820" ht="12.75" hidden="1" customHeight="1" outlineLevel="1">
      <c r="A9820" s="202">
        <v>42934.0</v>
      </c>
      <c r="B9820" s="985" t="s">
        <v>343</v>
      </c>
      <c r="C9820" s="94" t="s">
        <v>1056</v>
      </c>
      <c r="D9820" s="94">
        <v>150.0</v>
      </c>
      <c r="E9820" s="94">
        <v>189.33</v>
      </c>
      <c r="F9820" s="986">
        <v>0.47423611111111114</v>
      </c>
      <c r="G9820" s="94" t="s">
        <v>453</v>
      </c>
      <c r="H9820" s="987">
        <v>1.0</v>
      </c>
      <c r="I9820" s="988" t="s">
        <v>3145</v>
      </c>
      <c r="J9820" s="67">
        <f t="shared" si="556"/>
        <v>-28400.5</v>
      </c>
      <c r="L9820" s="70"/>
      <c r="M9820" s="934"/>
    </row>
    <row r="9821" ht="12.75" hidden="1" customHeight="1" outlineLevel="1">
      <c r="A9821" s="202">
        <v>42934.0</v>
      </c>
      <c r="B9821" s="992"/>
      <c r="C9821" s="32" t="s">
        <v>339</v>
      </c>
      <c r="D9821" s="1"/>
      <c r="F9821" s="1"/>
      <c r="G9821" s="1"/>
      <c r="H9821" s="68"/>
      <c r="I9821" s="76"/>
      <c r="K9821" s="201" t="s">
        <v>3495</v>
      </c>
      <c r="L9821" s="934"/>
      <c r="M9821" s="934"/>
    </row>
    <row r="9822" ht="12.75" hidden="1" customHeight="1" outlineLevel="1">
      <c r="A9822" s="202">
        <v>42934.0</v>
      </c>
      <c r="B9822" s="992"/>
      <c r="C9822" s="32" t="s">
        <v>429</v>
      </c>
      <c r="D9822" s="1"/>
      <c r="F9822" s="1"/>
      <c r="G9822" s="1"/>
      <c r="H9822" s="68"/>
      <c r="I9822" s="76"/>
      <c r="K9822" s="9" t="s">
        <v>3187</v>
      </c>
      <c r="L9822" s="934"/>
      <c r="M9822" s="934"/>
    </row>
    <row r="9823" ht="12.75" hidden="1" customHeight="1" outlineLevel="1">
      <c r="A9823" s="202">
        <v>42934.0</v>
      </c>
      <c r="B9823" s="992"/>
      <c r="C9823" s="32" t="s">
        <v>431</v>
      </c>
      <c r="D9823" s="1"/>
      <c r="F9823" s="1"/>
      <c r="G9823" s="1"/>
      <c r="H9823" s="68"/>
      <c r="I9823" s="76"/>
      <c r="K9823" s="7" t="s">
        <v>1126</v>
      </c>
      <c r="L9823" s="934"/>
      <c r="M9823" s="934"/>
    </row>
    <row r="9824" ht="12.75" hidden="1" customHeight="1" outlineLevel="1">
      <c r="A9824" s="202">
        <v>42934.0</v>
      </c>
      <c r="B9824" s="992"/>
      <c r="C9824" s="32" t="s">
        <v>433</v>
      </c>
      <c r="D9824" s="1"/>
      <c r="F9824" s="1"/>
      <c r="G9824" s="1"/>
      <c r="H9824" s="68"/>
      <c r="I9824" s="76"/>
      <c r="K9824" s="7" t="s">
        <v>1103</v>
      </c>
      <c r="L9824" s="934"/>
      <c r="M9824" s="934"/>
    </row>
    <row r="9825" ht="12.75" hidden="1" customHeight="1" outlineLevel="1">
      <c r="A9825" s="202">
        <v>42934.0</v>
      </c>
      <c r="B9825" s="992"/>
      <c r="C9825" s="32" t="s">
        <v>435</v>
      </c>
      <c r="D9825" s="1"/>
      <c r="F9825" s="1"/>
      <c r="G9825" s="1"/>
      <c r="H9825" s="68"/>
      <c r="I9825" s="76"/>
      <c r="K9825" s="9" t="s">
        <v>3331</v>
      </c>
      <c r="L9825" s="934"/>
      <c r="M9825" s="934"/>
    </row>
    <row r="9826" ht="12.75" hidden="1" customHeight="1" outlineLevel="1">
      <c r="A9826" s="202">
        <v>42935.0</v>
      </c>
      <c r="B9826" s="985" t="s">
        <v>343</v>
      </c>
      <c r="C9826" s="94" t="s">
        <v>1092</v>
      </c>
      <c r="D9826" s="286">
        <v>1000.0</v>
      </c>
      <c r="E9826" s="94">
        <v>6.39</v>
      </c>
      <c r="F9826" s="986">
        <v>0.5059490740740741</v>
      </c>
      <c r="G9826" s="94" t="s">
        <v>453</v>
      </c>
      <c r="H9826" s="987">
        <v>5.0</v>
      </c>
      <c r="I9826" s="988" t="s">
        <v>3145</v>
      </c>
      <c r="J9826" s="67">
        <f t="shared" ref="J9826:J9829" si="557">IF(B9826="SLD",D9826*E9826,-D9826*E9826)-H9826</f>
        <v>-6395</v>
      </c>
      <c r="L9826" s="70"/>
      <c r="M9826" s="934"/>
    </row>
    <row r="9827" ht="12.75" hidden="1" customHeight="1" outlineLevel="1">
      <c r="A9827" s="202">
        <v>42935.0</v>
      </c>
      <c r="B9827" s="985" t="s">
        <v>343</v>
      </c>
      <c r="C9827" s="94" t="s">
        <v>1485</v>
      </c>
      <c r="D9827" s="286">
        <v>1000.0</v>
      </c>
      <c r="E9827" s="94">
        <v>5.95</v>
      </c>
      <c r="F9827" s="986">
        <v>0.5054976851851852</v>
      </c>
      <c r="G9827" s="94" t="s">
        <v>453</v>
      </c>
      <c r="H9827" s="987">
        <v>5.0</v>
      </c>
      <c r="I9827" s="988" t="s">
        <v>3145</v>
      </c>
      <c r="J9827" s="67">
        <f t="shared" si="557"/>
        <v>-5955</v>
      </c>
      <c r="L9827" s="70"/>
      <c r="M9827" s="934"/>
    </row>
    <row r="9828" ht="12.75" hidden="1" customHeight="1" outlineLevel="1">
      <c r="A9828" s="202">
        <v>42935.0</v>
      </c>
      <c r="B9828" s="985" t="s">
        <v>343</v>
      </c>
      <c r="C9828" s="94" t="s">
        <v>604</v>
      </c>
      <c r="D9828" s="286">
        <v>1000.0</v>
      </c>
      <c r="E9828" s="94">
        <v>2.7</v>
      </c>
      <c r="F9828" s="986">
        <v>0.5035185185185185</v>
      </c>
      <c r="G9828" s="94" t="s">
        <v>453</v>
      </c>
      <c r="H9828" s="987">
        <v>5.0</v>
      </c>
      <c r="I9828" s="988" t="s">
        <v>3145</v>
      </c>
      <c r="J9828" s="67">
        <f t="shared" si="557"/>
        <v>-2705</v>
      </c>
      <c r="L9828" s="70"/>
      <c r="M9828" s="934"/>
    </row>
    <row r="9829" ht="12.75" hidden="1" customHeight="1" outlineLevel="1">
      <c r="A9829" s="202">
        <v>42935.0</v>
      </c>
      <c r="B9829" s="985" t="s">
        <v>343</v>
      </c>
      <c r="C9829" s="94" t="s">
        <v>1483</v>
      </c>
      <c r="D9829" s="286">
        <v>1000.0</v>
      </c>
      <c r="E9829" s="94">
        <v>2.55</v>
      </c>
      <c r="F9829" s="986">
        <v>0.5027662037037037</v>
      </c>
      <c r="G9829" s="94" t="s">
        <v>453</v>
      </c>
      <c r="H9829" s="987">
        <v>5.0</v>
      </c>
      <c r="I9829" s="988" t="s">
        <v>3145</v>
      </c>
      <c r="J9829" s="67">
        <f t="shared" si="557"/>
        <v>-2555</v>
      </c>
      <c r="L9829" s="70"/>
      <c r="M9829" s="934"/>
    </row>
    <row r="9830" ht="12.75" hidden="1" customHeight="1" outlineLevel="1">
      <c r="A9830" s="202">
        <v>42934.0</v>
      </c>
      <c r="B9830" s="992"/>
      <c r="C9830" s="32" t="s">
        <v>339</v>
      </c>
      <c r="D9830" s="1"/>
      <c r="F9830" s="1"/>
      <c r="G9830" s="1"/>
      <c r="H9830" s="68"/>
      <c r="I9830" s="76"/>
      <c r="K9830" s="201" t="s">
        <v>3496</v>
      </c>
      <c r="L9830" s="934"/>
      <c r="M9830" s="934"/>
    </row>
    <row r="9831" ht="12.75" hidden="1" customHeight="1" outlineLevel="1">
      <c r="A9831" s="202">
        <v>42934.0</v>
      </c>
      <c r="B9831" s="992"/>
      <c r="C9831" s="32" t="s">
        <v>429</v>
      </c>
      <c r="D9831" s="1"/>
      <c r="F9831" s="1"/>
      <c r="G9831" s="1"/>
      <c r="H9831" s="68"/>
      <c r="I9831" s="76"/>
      <c r="K9831" s="9" t="s">
        <v>3187</v>
      </c>
      <c r="L9831" s="934"/>
      <c r="M9831" s="934"/>
    </row>
    <row r="9832" ht="12.75" hidden="1" customHeight="1" outlineLevel="1">
      <c r="A9832" s="202">
        <v>42934.0</v>
      </c>
      <c r="B9832" s="992"/>
      <c r="C9832" s="32" t="s">
        <v>431</v>
      </c>
      <c r="D9832" s="1"/>
      <c r="F9832" s="1"/>
      <c r="G9832" s="1"/>
      <c r="H9832" s="68"/>
      <c r="I9832" s="76"/>
      <c r="K9832" s="7" t="s">
        <v>1126</v>
      </c>
      <c r="L9832" s="934"/>
      <c r="M9832" s="934"/>
    </row>
    <row r="9833" ht="12.75" hidden="1" customHeight="1" outlineLevel="1">
      <c r="A9833" s="202">
        <v>42934.0</v>
      </c>
      <c r="B9833" s="992"/>
      <c r="C9833" s="32" t="s">
        <v>433</v>
      </c>
      <c r="D9833" s="1"/>
      <c r="F9833" s="1"/>
      <c r="G9833" s="1"/>
      <c r="H9833" s="68"/>
      <c r="I9833" s="76"/>
      <c r="K9833" s="7" t="s">
        <v>1103</v>
      </c>
      <c r="L9833" s="934"/>
      <c r="M9833" s="934"/>
    </row>
    <row r="9834" ht="12.75" hidden="1" customHeight="1" outlineLevel="1">
      <c r="A9834" s="202">
        <v>42934.0</v>
      </c>
      <c r="B9834" s="992"/>
      <c r="C9834" s="32" t="s">
        <v>435</v>
      </c>
      <c r="D9834" s="1"/>
      <c r="F9834" s="1"/>
      <c r="G9834" s="1"/>
      <c r="H9834" s="68"/>
      <c r="I9834" s="76"/>
      <c r="K9834" s="9" t="s">
        <v>3331</v>
      </c>
      <c r="L9834" s="934"/>
      <c r="M9834" s="934"/>
    </row>
    <row r="9835" ht="12.75" hidden="1" customHeight="1" outlineLevel="1">
      <c r="A9835" s="202">
        <v>42936.0</v>
      </c>
      <c r="B9835" s="985" t="s">
        <v>343</v>
      </c>
      <c r="C9835" s="94" t="s">
        <v>1995</v>
      </c>
      <c r="D9835" s="94">
        <v>600.0</v>
      </c>
      <c r="E9835" s="94">
        <v>63.49</v>
      </c>
      <c r="F9835" s="986">
        <v>0.6179050925925926</v>
      </c>
      <c r="G9835" s="94" t="s">
        <v>453</v>
      </c>
      <c r="H9835" s="987">
        <v>3.0</v>
      </c>
      <c r="I9835" s="988" t="s">
        <v>3145</v>
      </c>
      <c r="J9835" s="67">
        <f t="shared" ref="J9835:J9838" si="558">IF(B9835="SLD",D9835*E9835,-D9835*E9835)-H9835</f>
        <v>-38097</v>
      </c>
      <c r="L9835" s="70"/>
      <c r="M9835" s="934"/>
    </row>
    <row r="9836" ht="12.75" hidden="1" customHeight="1" outlineLevel="1">
      <c r="A9836" s="202">
        <v>42936.0</v>
      </c>
      <c r="B9836" s="985" t="s">
        <v>343</v>
      </c>
      <c r="C9836" s="94" t="s">
        <v>1061</v>
      </c>
      <c r="D9836" s="94">
        <v>700.0</v>
      </c>
      <c r="E9836" s="94">
        <v>49.7</v>
      </c>
      <c r="F9836" s="986">
        <v>0.6172800925925926</v>
      </c>
      <c r="G9836" s="94" t="s">
        <v>453</v>
      </c>
      <c r="H9836" s="987">
        <v>3.0</v>
      </c>
      <c r="I9836" s="988" t="s">
        <v>3145</v>
      </c>
      <c r="J9836" s="67">
        <f t="shared" si="558"/>
        <v>-34793</v>
      </c>
      <c r="L9836" s="70"/>
      <c r="M9836" s="934"/>
    </row>
    <row r="9837" ht="12.75" hidden="1" customHeight="1" outlineLevel="1">
      <c r="A9837" s="202">
        <v>42936.0</v>
      </c>
      <c r="B9837" s="985" t="s">
        <v>343</v>
      </c>
      <c r="C9837" s="94" t="s">
        <v>442</v>
      </c>
      <c r="D9837" s="94">
        <v>35.0</v>
      </c>
      <c r="E9837" s="94">
        <v>123.5</v>
      </c>
      <c r="F9837" s="986">
        <v>0.41479166666666667</v>
      </c>
      <c r="G9837" s="94" t="s">
        <v>453</v>
      </c>
      <c r="H9837" s="987">
        <v>1.0</v>
      </c>
      <c r="I9837" s="988" t="s">
        <v>3145</v>
      </c>
      <c r="J9837" s="67">
        <f t="shared" si="558"/>
        <v>-4323.5</v>
      </c>
      <c r="L9837" s="70"/>
      <c r="M9837" s="934"/>
    </row>
    <row r="9838" ht="12.75" hidden="1" customHeight="1" outlineLevel="1">
      <c r="A9838" s="202">
        <v>42936.0</v>
      </c>
      <c r="B9838" s="985" t="s">
        <v>343</v>
      </c>
      <c r="C9838" s="94" t="s">
        <v>3380</v>
      </c>
      <c r="D9838" s="94">
        <v>600.0</v>
      </c>
      <c r="E9838" s="94">
        <v>23.269</v>
      </c>
      <c r="F9838" s="986">
        <v>0.4142824074074074</v>
      </c>
      <c r="G9838" s="94" t="s">
        <v>453</v>
      </c>
      <c r="H9838" s="987">
        <v>2.5</v>
      </c>
      <c r="I9838" s="988" t="s">
        <v>3145</v>
      </c>
      <c r="J9838" s="67">
        <f t="shared" si="558"/>
        <v>-13963.9</v>
      </c>
      <c r="L9838" s="70"/>
      <c r="M9838" s="934"/>
    </row>
    <row r="9839" ht="12.75" hidden="1" customHeight="1" outlineLevel="1">
      <c r="A9839" s="202">
        <v>42939.0</v>
      </c>
      <c r="B9839" s="992"/>
      <c r="C9839" s="32" t="s">
        <v>339</v>
      </c>
      <c r="D9839" s="1"/>
      <c r="F9839" s="1"/>
      <c r="G9839" s="1"/>
      <c r="H9839" s="68"/>
      <c r="I9839" s="76"/>
      <c r="K9839" s="201" t="s">
        <v>3497</v>
      </c>
      <c r="L9839" s="934"/>
      <c r="M9839" s="934"/>
    </row>
    <row r="9840" ht="12.75" hidden="1" customHeight="1" outlineLevel="1">
      <c r="A9840" s="202">
        <v>42939.0</v>
      </c>
      <c r="B9840" s="992"/>
      <c r="C9840" s="32" t="s">
        <v>429</v>
      </c>
      <c r="D9840" s="1"/>
      <c r="F9840" s="1"/>
      <c r="G9840" s="1"/>
      <c r="H9840" s="68"/>
      <c r="I9840" s="76"/>
      <c r="K9840" s="9" t="s">
        <v>3187</v>
      </c>
      <c r="L9840" s="934"/>
      <c r="M9840" s="934"/>
    </row>
    <row r="9841" ht="12.75" hidden="1" customHeight="1" outlineLevel="1">
      <c r="A9841" s="202">
        <v>42939.0</v>
      </c>
      <c r="B9841" s="992"/>
      <c r="C9841" s="32" t="s">
        <v>431</v>
      </c>
      <c r="D9841" s="1"/>
      <c r="F9841" s="1"/>
      <c r="G9841" s="1"/>
      <c r="H9841" s="68"/>
      <c r="I9841" s="76"/>
      <c r="K9841" s="7" t="s">
        <v>1126</v>
      </c>
      <c r="L9841" s="934"/>
      <c r="M9841" s="934"/>
    </row>
    <row r="9842" ht="12.75" hidden="1" customHeight="1" outlineLevel="1">
      <c r="A9842" s="202">
        <v>42939.0</v>
      </c>
      <c r="B9842" s="992"/>
      <c r="C9842" s="32" t="s">
        <v>433</v>
      </c>
      <c r="D9842" s="1"/>
      <c r="F9842" s="1"/>
      <c r="G9842" s="1"/>
      <c r="H9842" s="68"/>
      <c r="I9842" s="76"/>
      <c r="K9842" s="7" t="s">
        <v>1103</v>
      </c>
      <c r="L9842" s="934"/>
      <c r="M9842" s="934"/>
    </row>
    <row r="9843" ht="12.75" hidden="1" customHeight="1" outlineLevel="1">
      <c r="A9843" s="202">
        <v>42939.0</v>
      </c>
      <c r="B9843" s="992"/>
      <c r="C9843" s="32" t="s">
        <v>435</v>
      </c>
      <c r="D9843" s="1"/>
      <c r="F9843" s="1"/>
      <c r="G9843" s="1"/>
      <c r="H9843" s="68"/>
      <c r="I9843" s="76"/>
      <c r="K9843" s="9" t="s">
        <v>3331</v>
      </c>
      <c r="L9843" s="934"/>
      <c r="M9843" s="934"/>
    </row>
    <row r="9844" ht="12.75" hidden="1" customHeight="1" outlineLevel="1">
      <c r="A9844" s="202">
        <v>42940.0</v>
      </c>
      <c r="B9844" s="992"/>
      <c r="C9844" s="32" t="s">
        <v>339</v>
      </c>
      <c r="D9844" s="1"/>
      <c r="F9844" s="1"/>
      <c r="G9844" s="1"/>
      <c r="H9844" s="68"/>
      <c r="I9844" s="76"/>
      <c r="K9844" s="201" t="s">
        <v>3498</v>
      </c>
      <c r="L9844" s="934"/>
      <c r="M9844" s="934"/>
    </row>
    <row r="9845" ht="12.75" hidden="1" customHeight="1" outlineLevel="1">
      <c r="A9845" s="202">
        <v>42940.0</v>
      </c>
      <c r="B9845" s="992"/>
      <c r="C9845" s="32" t="s">
        <v>429</v>
      </c>
      <c r="D9845" s="1"/>
      <c r="F9845" s="1"/>
      <c r="G9845" s="1"/>
      <c r="H9845" s="68"/>
      <c r="I9845" s="76"/>
      <c r="K9845" s="9" t="s">
        <v>3187</v>
      </c>
      <c r="L9845" s="934"/>
      <c r="M9845" s="934"/>
    </row>
    <row r="9846" ht="12.75" hidden="1" customHeight="1" outlineLevel="1">
      <c r="A9846" s="202">
        <v>42940.0</v>
      </c>
      <c r="B9846" s="992"/>
      <c r="C9846" s="32" t="s">
        <v>431</v>
      </c>
      <c r="D9846" s="1"/>
      <c r="F9846" s="1"/>
      <c r="G9846" s="1"/>
      <c r="H9846" s="68"/>
      <c r="I9846" s="76"/>
      <c r="K9846" s="7" t="s">
        <v>1126</v>
      </c>
      <c r="L9846" s="934"/>
      <c r="M9846" s="934"/>
    </row>
    <row r="9847" ht="12.75" hidden="1" customHeight="1" outlineLevel="1">
      <c r="A9847" s="202">
        <v>42940.0</v>
      </c>
      <c r="B9847" s="992"/>
      <c r="C9847" s="32" t="s">
        <v>433</v>
      </c>
      <c r="D9847" s="1"/>
      <c r="F9847" s="1"/>
      <c r="G9847" s="1"/>
      <c r="H9847" s="68"/>
      <c r="I9847" s="76"/>
      <c r="K9847" s="7" t="s">
        <v>1103</v>
      </c>
      <c r="L9847" s="934"/>
      <c r="M9847" s="934"/>
    </row>
    <row r="9848" ht="12.75" hidden="1" customHeight="1" outlineLevel="1">
      <c r="A9848" s="202">
        <v>42940.0</v>
      </c>
      <c r="B9848" s="992"/>
      <c r="C9848" s="32" t="s">
        <v>435</v>
      </c>
      <c r="D9848" s="1"/>
      <c r="F9848" s="1"/>
      <c r="G9848" s="1"/>
      <c r="H9848" s="68"/>
      <c r="I9848" s="76"/>
      <c r="K9848" s="9" t="s">
        <v>3331</v>
      </c>
      <c r="L9848" s="934"/>
      <c r="M9848" s="934"/>
    </row>
    <row r="9849" ht="12.75" hidden="1" customHeight="1" outlineLevel="1">
      <c r="A9849" s="202">
        <v>42941.0</v>
      </c>
      <c r="B9849" s="985" t="s">
        <v>343</v>
      </c>
      <c r="C9849" s="94" t="s">
        <v>3136</v>
      </c>
      <c r="D9849" s="286">
        <v>1000.0</v>
      </c>
      <c r="E9849" s="94">
        <v>37.349</v>
      </c>
      <c r="F9849" s="986">
        <v>0.5793055555555555</v>
      </c>
      <c r="G9849" s="94" t="s">
        <v>453</v>
      </c>
      <c r="H9849" s="987">
        <v>4.0</v>
      </c>
      <c r="I9849" s="988" t="s">
        <v>3145</v>
      </c>
      <c r="J9849" s="67">
        <f t="shared" ref="J9849:J9851" si="559">IF(B9849="SLD",D9849*E9849,-D9849*E9849)-H9849</f>
        <v>-37353</v>
      </c>
      <c r="K9849" s="201"/>
      <c r="L9849" s="70"/>
      <c r="M9849" s="934"/>
    </row>
    <row r="9850" ht="12.75" hidden="1" customHeight="1" outlineLevel="1">
      <c r="A9850" s="202">
        <v>42941.0</v>
      </c>
      <c r="B9850" s="985" t="s">
        <v>343</v>
      </c>
      <c r="C9850" s="94" t="s">
        <v>1310</v>
      </c>
      <c r="D9850" s="94">
        <v>100.0</v>
      </c>
      <c r="E9850" s="94">
        <v>254.94</v>
      </c>
      <c r="F9850" s="986">
        <v>0.4577893518518519</v>
      </c>
      <c r="G9850" s="94" t="s">
        <v>453</v>
      </c>
      <c r="H9850" s="987">
        <v>1.0</v>
      </c>
      <c r="I9850" s="988" t="s">
        <v>3145</v>
      </c>
      <c r="J9850" s="67">
        <f t="shared" si="559"/>
        <v>-25495</v>
      </c>
      <c r="K9850" s="9"/>
      <c r="L9850" s="70"/>
      <c r="M9850" s="934"/>
    </row>
    <row r="9851" ht="12.75" hidden="1" customHeight="1" outlineLevel="1">
      <c r="A9851" s="202">
        <v>42941.0</v>
      </c>
      <c r="B9851" s="985" t="s">
        <v>343</v>
      </c>
      <c r="C9851" s="94" t="s">
        <v>1035</v>
      </c>
      <c r="D9851" s="94">
        <v>35.0</v>
      </c>
      <c r="E9851" s="94">
        <v>970.589</v>
      </c>
      <c r="F9851" s="986">
        <v>0.41856481481481483</v>
      </c>
      <c r="G9851" s="94" t="s">
        <v>453</v>
      </c>
      <c r="H9851" s="987">
        <v>1.0</v>
      </c>
      <c r="I9851" s="988" t="s">
        <v>3145</v>
      </c>
      <c r="J9851" s="67">
        <f t="shared" si="559"/>
        <v>-33971.615</v>
      </c>
      <c r="K9851" s="7"/>
      <c r="L9851" s="70"/>
      <c r="M9851" s="934"/>
    </row>
    <row r="9852" ht="12.75" hidden="1" customHeight="1" outlineLevel="1">
      <c r="A9852" s="202">
        <v>42941.0</v>
      </c>
      <c r="B9852" s="992"/>
      <c r="C9852" s="32" t="s">
        <v>339</v>
      </c>
      <c r="D9852" s="1"/>
      <c r="F9852" s="1"/>
      <c r="G9852" s="1"/>
      <c r="H9852" s="68"/>
      <c r="I9852" s="76"/>
      <c r="K9852" s="201" t="s">
        <v>3498</v>
      </c>
      <c r="L9852" s="934"/>
      <c r="M9852" s="934"/>
    </row>
    <row r="9853" ht="12.75" hidden="1" customHeight="1" outlineLevel="1">
      <c r="A9853" s="202">
        <v>42941.0</v>
      </c>
      <c r="B9853" s="992"/>
      <c r="C9853" s="32" t="s">
        <v>429</v>
      </c>
      <c r="D9853" s="1"/>
      <c r="F9853" s="1"/>
      <c r="G9853" s="1"/>
      <c r="H9853" s="68"/>
      <c r="I9853" s="76"/>
      <c r="K9853" s="9" t="s">
        <v>3187</v>
      </c>
      <c r="L9853" s="934"/>
      <c r="M9853" s="934"/>
    </row>
    <row r="9854" ht="12.75" hidden="1" customHeight="1" outlineLevel="1">
      <c r="A9854" s="202">
        <v>42941.0</v>
      </c>
      <c r="B9854" s="992"/>
      <c r="C9854" s="32" t="s">
        <v>431</v>
      </c>
      <c r="D9854" s="1"/>
      <c r="F9854" s="1"/>
      <c r="G9854" s="1"/>
      <c r="H9854" s="68"/>
      <c r="I9854" s="76"/>
      <c r="K9854" s="7" t="s">
        <v>1126</v>
      </c>
      <c r="L9854" s="934"/>
      <c r="M9854" s="934"/>
    </row>
    <row r="9855" ht="12.75" hidden="1" customHeight="1" outlineLevel="1">
      <c r="A9855" s="202">
        <v>42941.0</v>
      </c>
      <c r="B9855" s="992"/>
      <c r="C9855" s="32" t="s">
        <v>433</v>
      </c>
      <c r="D9855" s="1"/>
      <c r="F9855" s="1"/>
      <c r="G9855" s="1"/>
      <c r="H9855" s="68"/>
      <c r="I9855" s="76"/>
      <c r="K9855" s="7" t="s">
        <v>1103</v>
      </c>
      <c r="L9855" s="934"/>
      <c r="M9855" s="934"/>
    </row>
    <row r="9856" ht="12.75" hidden="1" customHeight="1" outlineLevel="1">
      <c r="A9856" s="202">
        <v>42941.0</v>
      </c>
      <c r="B9856" s="992"/>
      <c r="C9856" s="32" t="s">
        <v>435</v>
      </c>
      <c r="D9856" s="1"/>
      <c r="F9856" s="1"/>
      <c r="G9856" s="1"/>
      <c r="H9856" s="68"/>
      <c r="I9856" s="76"/>
      <c r="K9856" s="9" t="s">
        <v>3331</v>
      </c>
      <c r="L9856" s="934"/>
      <c r="M9856" s="934"/>
    </row>
    <row r="9857" ht="12.75" hidden="1" customHeight="1" outlineLevel="1">
      <c r="A9857" s="202">
        <v>42941.0</v>
      </c>
      <c r="B9857" s="992"/>
      <c r="C9857" s="32" t="s">
        <v>339</v>
      </c>
      <c r="D9857" s="1"/>
      <c r="F9857" s="1"/>
      <c r="G9857" s="1"/>
      <c r="H9857" s="68"/>
      <c r="I9857" s="76"/>
      <c r="K9857" s="201" t="s">
        <v>3499</v>
      </c>
      <c r="L9857" s="934"/>
      <c r="M9857" s="934"/>
    </row>
    <row r="9858" ht="12.75" hidden="1" customHeight="1" outlineLevel="1">
      <c r="A9858" s="202">
        <v>42941.0</v>
      </c>
      <c r="B9858" s="992"/>
      <c r="C9858" s="32" t="s">
        <v>429</v>
      </c>
      <c r="D9858" s="1"/>
      <c r="F9858" s="1"/>
      <c r="G9858" s="1"/>
      <c r="H9858" s="68"/>
      <c r="I9858" s="76"/>
      <c r="K9858" s="9" t="s">
        <v>3187</v>
      </c>
      <c r="L9858" s="934"/>
      <c r="M9858" s="934"/>
    </row>
    <row r="9859" ht="12.75" hidden="1" customHeight="1" outlineLevel="1">
      <c r="A9859" s="202">
        <v>42941.0</v>
      </c>
      <c r="B9859" s="992"/>
      <c r="C9859" s="32" t="s">
        <v>431</v>
      </c>
      <c r="D9859" s="1"/>
      <c r="F9859" s="1"/>
      <c r="G9859" s="1"/>
      <c r="H9859" s="68"/>
      <c r="I9859" s="76"/>
      <c r="K9859" s="7" t="s">
        <v>1126</v>
      </c>
      <c r="L9859" s="934"/>
      <c r="M9859" s="934"/>
    </row>
    <row r="9860" ht="12.75" hidden="1" customHeight="1" outlineLevel="1">
      <c r="A9860" s="202">
        <v>42941.0</v>
      </c>
      <c r="B9860" s="992"/>
      <c r="C9860" s="32" t="s">
        <v>433</v>
      </c>
      <c r="D9860" s="1"/>
      <c r="F9860" s="1"/>
      <c r="G9860" s="1"/>
      <c r="H9860" s="68"/>
      <c r="I9860" s="76"/>
      <c r="K9860" s="7" t="s">
        <v>1103</v>
      </c>
      <c r="L9860" s="934"/>
      <c r="M9860" s="934"/>
    </row>
    <row r="9861" ht="12.75" hidden="1" customHeight="1" outlineLevel="1">
      <c r="A9861" s="202">
        <v>42941.0</v>
      </c>
      <c r="B9861" s="992"/>
      <c r="C9861" s="32" t="s">
        <v>435</v>
      </c>
      <c r="D9861" s="1"/>
      <c r="F9861" s="1"/>
      <c r="G9861" s="1"/>
      <c r="H9861" s="68"/>
      <c r="I9861" s="76"/>
      <c r="K9861" s="9" t="s">
        <v>3331</v>
      </c>
      <c r="L9861" s="934"/>
      <c r="M9861" s="934"/>
    </row>
    <row r="9862" ht="12.75" hidden="1" customHeight="1" outlineLevel="1">
      <c r="A9862" s="202">
        <v>42943.0</v>
      </c>
      <c r="B9862" s="992"/>
      <c r="C9862" s="32" t="s">
        <v>339</v>
      </c>
      <c r="D9862" s="1"/>
      <c r="F9862" s="1"/>
      <c r="G9862" s="1"/>
      <c r="H9862" s="68"/>
      <c r="I9862" s="76"/>
      <c r="K9862" s="201" t="s">
        <v>3500</v>
      </c>
      <c r="L9862" s="934"/>
      <c r="M9862" s="934"/>
    </row>
    <row r="9863" ht="12.75" hidden="1" customHeight="1" outlineLevel="1">
      <c r="A9863" s="202">
        <v>42943.0</v>
      </c>
      <c r="B9863" s="992"/>
      <c r="C9863" s="32" t="s">
        <v>429</v>
      </c>
      <c r="D9863" s="1"/>
      <c r="F9863" s="1"/>
      <c r="G9863" s="1"/>
      <c r="H9863" s="68"/>
      <c r="I9863" s="76"/>
      <c r="K9863" s="9" t="s">
        <v>3187</v>
      </c>
      <c r="L9863" s="934"/>
      <c r="M9863" s="934"/>
    </row>
    <row r="9864" ht="12.75" hidden="1" customHeight="1" outlineLevel="1">
      <c r="A9864" s="202">
        <v>42943.0</v>
      </c>
      <c r="B9864" s="992"/>
      <c r="C9864" s="32" t="s">
        <v>431</v>
      </c>
      <c r="D9864" s="1"/>
      <c r="F9864" s="1"/>
      <c r="G9864" s="1"/>
      <c r="H9864" s="68"/>
      <c r="I9864" s="76"/>
      <c r="K9864" s="7" t="s">
        <v>1126</v>
      </c>
      <c r="L9864" s="934"/>
      <c r="M9864" s="934"/>
    </row>
    <row r="9865" ht="12.75" hidden="1" customHeight="1" outlineLevel="1">
      <c r="A9865" s="202">
        <v>42943.0</v>
      </c>
      <c r="B9865" s="992"/>
      <c r="C9865" s="32" t="s">
        <v>433</v>
      </c>
      <c r="D9865" s="1"/>
      <c r="F9865" s="1"/>
      <c r="G9865" s="1"/>
      <c r="H9865" s="68"/>
      <c r="I9865" s="76"/>
      <c r="K9865" s="7" t="s">
        <v>1103</v>
      </c>
      <c r="L9865" s="934"/>
      <c r="M9865" s="934"/>
    </row>
    <row r="9866" ht="12.75" hidden="1" customHeight="1" outlineLevel="1">
      <c r="A9866" s="202">
        <v>42943.0</v>
      </c>
      <c r="B9866" s="992"/>
      <c r="C9866" s="32" t="s">
        <v>435</v>
      </c>
      <c r="D9866" s="1"/>
      <c r="F9866" s="1"/>
      <c r="G9866" s="1"/>
      <c r="H9866" s="68"/>
      <c r="I9866" s="76"/>
      <c r="K9866" s="9" t="s">
        <v>3331</v>
      </c>
      <c r="L9866" s="934"/>
      <c r="M9866" s="934"/>
    </row>
    <row r="9867" ht="12.75" hidden="1" customHeight="1" outlineLevel="1">
      <c r="A9867" s="202">
        <v>42952.0</v>
      </c>
      <c r="B9867" s="992"/>
      <c r="C9867" s="32" t="s">
        <v>339</v>
      </c>
      <c r="D9867" s="1"/>
      <c r="F9867" s="1"/>
      <c r="G9867" s="1"/>
      <c r="H9867" s="68"/>
      <c r="I9867" s="76"/>
      <c r="K9867" s="201" t="s">
        <v>3501</v>
      </c>
      <c r="L9867" s="934"/>
      <c r="M9867" s="934"/>
    </row>
    <row r="9868" ht="12.75" hidden="1" customHeight="1" outlineLevel="1">
      <c r="A9868" s="202">
        <v>42952.0</v>
      </c>
      <c r="B9868" s="992"/>
      <c r="C9868" s="32" t="s">
        <v>429</v>
      </c>
      <c r="D9868" s="1"/>
      <c r="F9868" s="1"/>
      <c r="G9868" s="1"/>
      <c r="H9868" s="68"/>
      <c r="I9868" s="76"/>
      <c r="K9868" s="9" t="s">
        <v>3187</v>
      </c>
      <c r="L9868" s="934"/>
      <c r="M9868" s="934"/>
    </row>
    <row r="9869" ht="12.75" hidden="1" customHeight="1" outlineLevel="1">
      <c r="A9869" s="202">
        <v>42952.0</v>
      </c>
      <c r="B9869" s="992"/>
      <c r="C9869" s="32" t="s">
        <v>431</v>
      </c>
      <c r="D9869" s="1"/>
      <c r="F9869" s="1"/>
      <c r="G9869" s="1"/>
      <c r="H9869" s="68"/>
      <c r="I9869" s="76"/>
      <c r="K9869" s="7" t="s">
        <v>1126</v>
      </c>
      <c r="L9869" s="934"/>
      <c r="M9869" s="934"/>
    </row>
    <row r="9870" ht="12.75" hidden="1" customHeight="1" outlineLevel="1">
      <c r="A9870" s="202">
        <v>42952.0</v>
      </c>
      <c r="B9870" s="992"/>
      <c r="C9870" s="32" t="s">
        <v>433</v>
      </c>
      <c r="D9870" s="1"/>
      <c r="F9870" s="1"/>
      <c r="G9870" s="1"/>
      <c r="H9870" s="68"/>
      <c r="I9870" s="76"/>
      <c r="K9870" s="7" t="s">
        <v>1103</v>
      </c>
      <c r="L9870" s="934"/>
      <c r="M9870" s="934"/>
    </row>
    <row r="9871" ht="12.75" hidden="1" customHeight="1" outlineLevel="1">
      <c r="A9871" s="202">
        <v>42952.0</v>
      </c>
      <c r="B9871" s="992"/>
      <c r="C9871" s="32" t="s">
        <v>435</v>
      </c>
      <c r="D9871" s="1"/>
      <c r="F9871" s="1"/>
      <c r="G9871" s="1"/>
      <c r="H9871" s="68"/>
      <c r="I9871" s="76"/>
      <c r="K9871" s="9" t="s">
        <v>3331</v>
      </c>
      <c r="L9871" s="934"/>
      <c r="M9871" s="934"/>
    </row>
    <row r="9872" ht="12.75" hidden="1" customHeight="1" outlineLevel="1">
      <c r="A9872" s="202">
        <v>42954.0</v>
      </c>
      <c r="B9872" s="992"/>
      <c r="C9872" s="32" t="s">
        <v>339</v>
      </c>
      <c r="D9872" s="1"/>
      <c r="F9872" s="1"/>
      <c r="G9872" s="1"/>
      <c r="H9872" s="68"/>
      <c r="I9872" s="76"/>
      <c r="K9872" s="201" t="s">
        <v>3502</v>
      </c>
      <c r="L9872" s="934"/>
      <c r="M9872" s="934"/>
    </row>
    <row r="9873" ht="12.75" hidden="1" customHeight="1" outlineLevel="1">
      <c r="A9873" s="202">
        <v>42954.0</v>
      </c>
      <c r="B9873" s="992"/>
      <c r="C9873" s="32" t="s">
        <v>429</v>
      </c>
      <c r="D9873" s="1"/>
      <c r="F9873" s="1"/>
      <c r="G9873" s="1"/>
      <c r="H9873" s="68"/>
      <c r="I9873" s="76"/>
      <c r="K9873" s="9" t="s">
        <v>3187</v>
      </c>
      <c r="L9873" s="934"/>
      <c r="M9873" s="934"/>
    </row>
    <row r="9874" ht="12.75" hidden="1" customHeight="1" outlineLevel="1">
      <c r="A9874" s="202">
        <v>42954.0</v>
      </c>
      <c r="B9874" s="992"/>
      <c r="C9874" s="32" t="s">
        <v>431</v>
      </c>
      <c r="D9874" s="1"/>
      <c r="F9874" s="1"/>
      <c r="G9874" s="1"/>
      <c r="H9874" s="68"/>
      <c r="I9874" s="76"/>
      <c r="K9874" s="7" t="s">
        <v>1126</v>
      </c>
      <c r="L9874" s="934"/>
      <c r="M9874" s="934"/>
    </row>
    <row r="9875" ht="12.75" hidden="1" customHeight="1" outlineLevel="1">
      <c r="A9875" s="202">
        <v>42954.0</v>
      </c>
      <c r="B9875" s="992"/>
      <c r="C9875" s="32" t="s">
        <v>433</v>
      </c>
      <c r="D9875" s="1"/>
      <c r="F9875" s="1"/>
      <c r="G9875" s="1"/>
      <c r="H9875" s="68"/>
      <c r="I9875" s="76"/>
      <c r="K9875" s="7" t="s">
        <v>1103</v>
      </c>
      <c r="L9875" s="934"/>
      <c r="M9875" s="934"/>
    </row>
    <row r="9876" ht="12.75" hidden="1" customHeight="1" outlineLevel="1">
      <c r="A9876" s="202">
        <v>42954.0</v>
      </c>
      <c r="B9876" s="992"/>
      <c r="C9876" s="32" t="s">
        <v>435</v>
      </c>
      <c r="D9876" s="1"/>
      <c r="F9876" s="1"/>
      <c r="G9876" s="1"/>
      <c r="H9876" s="68"/>
      <c r="I9876" s="76"/>
      <c r="K9876" s="9" t="s">
        <v>3331</v>
      </c>
      <c r="L9876" s="934"/>
      <c r="M9876" s="934"/>
    </row>
    <row r="9877" ht="12.75" hidden="1" customHeight="1" outlineLevel="1">
      <c r="A9877" s="202">
        <v>42957.0</v>
      </c>
      <c r="B9877" s="985" t="s">
        <v>347</v>
      </c>
      <c r="C9877" s="94" t="s">
        <v>1495</v>
      </c>
      <c r="D9877" s="94">
        <v>50.0</v>
      </c>
      <c r="E9877" s="94">
        <v>60.07</v>
      </c>
      <c r="F9877" s="998">
        <v>42957.60092592592</v>
      </c>
      <c r="G9877" s="94" t="s">
        <v>453</v>
      </c>
      <c r="H9877" s="987">
        <v>1.08</v>
      </c>
      <c r="I9877" s="988" t="s">
        <v>3145</v>
      </c>
      <c r="J9877" s="67">
        <f t="shared" ref="J9877:J9945" si="560">IF(B9877="SLD",D9877*E9877,-D9877*E9877)-H9877</f>
        <v>3002.42</v>
      </c>
      <c r="L9877" s="70"/>
      <c r="M9877" s="934"/>
    </row>
    <row r="9878" ht="12.75" hidden="1" customHeight="1" outlineLevel="1">
      <c r="A9878" s="202">
        <v>42957.0</v>
      </c>
      <c r="B9878" s="985" t="s">
        <v>347</v>
      </c>
      <c r="C9878" s="94" t="s">
        <v>352</v>
      </c>
      <c r="D9878" s="94">
        <v>200.0</v>
      </c>
      <c r="E9878" s="94">
        <v>52.271</v>
      </c>
      <c r="F9878" s="998">
        <v>42957.60074074074</v>
      </c>
      <c r="G9878" s="94" t="s">
        <v>453</v>
      </c>
      <c r="H9878" s="987">
        <v>1.27</v>
      </c>
      <c r="I9878" s="988" t="s">
        <v>3145</v>
      </c>
      <c r="J9878" s="67">
        <f t="shared" si="560"/>
        <v>10452.93</v>
      </c>
      <c r="L9878" s="70"/>
      <c r="M9878" s="934"/>
    </row>
    <row r="9879" ht="12.75" hidden="1" customHeight="1" outlineLevel="1">
      <c r="A9879" s="202">
        <v>42957.0</v>
      </c>
      <c r="B9879" s="985" t="s">
        <v>347</v>
      </c>
      <c r="C9879" s="94" t="s">
        <v>2966</v>
      </c>
      <c r="D9879" s="94">
        <v>40.0</v>
      </c>
      <c r="E9879" s="94">
        <v>80.23</v>
      </c>
      <c r="F9879" s="998">
        <v>42957.600625</v>
      </c>
      <c r="G9879" s="94" t="s">
        <v>453</v>
      </c>
      <c r="H9879" s="987">
        <v>1.08</v>
      </c>
      <c r="I9879" s="988" t="s">
        <v>3145</v>
      </c>
      <c r="J9879" s="67">
        <f t="shared" si="560"/>
        <v>3208.12</v>
      </c>
      <c r="L9879" s="70"/>
      <c r="M9879" s="934"/>
    </row>
    <row r="9880" ht="12.75" hidden="1" customHeight="1" outlineLevel="1">
      <c r="A9880" s="202">
        <v>42957.0</v>
      </c>
      <c r="B9880" s="985" t="s">
        <v>347</v>
      </c>
      <c r="C9880" s="94" t="s">
        <v>3380</v>
      </c>
      <c r="D9880" s="94">
        <v>300.0</v>
      </c>
      <c r="E9880" s="94">
        <v>22.2407</v>
      </c>
      <c r="F9880" s="998">
        <v>42957.600486111114</v>
      </c>
      <c r="G9880" s="94" t="s">
        <v>453</v>
      </c>
      <c r="H9880" s="987">
        <v>1.39</v>
      </c>
      <c r="I9880" s="988" t="s">
        <v>3145</v>
      </c>
      <c r="J9880" s="67">
        <f t="shared" si="560"/>
        <v>6670.82</v>
      </c>
      <c r="L9880" s="70"/>
      <c r="M9880" s="934"/>
    </row>
    <row r="9881" ht="12.75" hidden="1" customHeight="1" outlineLevel="1">
      <c r="A9881" s="202">
        <v>42957.0</v>
      </c>
      <c r="B9881" s="985" t="s">
        <v>347</v>
      </c>
      <c r="C9881" s="94" t="s">
        <v>1106</v>
      </c>
      <c r="D9881" s="94">
        <v>50.0</v>
      </c>
      <c r="E9881" s="94">
        <v>99.88</v>
      </c>
      <c r="F9881" s="998">
        <v>42957.600277777776</v>
      </c>
      <c r="G9881" s="94" t="s">
        <v>453</v>
      </c>
      <c r="H9881" s="987">
        <v>1.12</v>
      </c>
      <c r="I9881" s="988" t="s">
        <v>3145</v>
      </c>
      <c r="J9881" s="67">
        <f t="shared" si="560"/>
        <v>4992.88</v>
      </c>
      <c r="L9881" s="70"/>
      <c r="M9881" s="934"/>
    </row>
    <row r="9882" ht="12.75" hidden="1" customHeight="1" outlineLevel="1">
      <c r="A9882" s="202">
        <v>42957.0</v>
      </c>
      <c r="B9882" s="985" t="s">
        <v>347</v>
      </c>
      <c r="C9882" s="94" t="s">
        <v>1067</v>
      </c>
      <c r="D9882" s="94">
        <v>25.0</v>
      </c>
      <c r="E9882" s="94">
        <v>192.97</v>
      </c>
      <c r="F9882" s="998">
        <v>42957.60013888889</v>
      </c>
      <c r="G9882" s="94" t="s">
        <v>453</v>
      </c>
      <c r="H9882" s="987">
        <v>1.11</v>
      </c>
      <c r="I9882" s="988" t="s">
        <v>3145</v>
      </c>
      <c r="J9882" s="67">
        <f t="shared" si="560"/>
        <v>4823.14</v>
      </c>
      <c r="L9882" s="70"/>
      <c r="M9882" s="934"/>
    </row>
    <row r="9883" ht="12.75" hidden="1" customHeight="1" outlineLevel="1">
      <c r="A9883" s="202">
        <v>42957.0</v>
      </c>
      <c r="B9883" s="985" t="s">
        <v>347</v>
      </c>
      <c r="C9883" s="94" t="s">
        <v>1070</v>
      </c>
      <c r="D9883" s="94">
        <v>20.0</v>
      </c>
      <c r="E9883" s="94">
        <v>249.2011</v>
      </c>
      <c r="F9883" s="998">
        <v>42957.59986111111</v>
      </c>
      <c r="G9883" s="94" t="s">
        <v>453</v>
      </c>
      <c r="H9883" s="987">
        <v>1.12</v>
      </c>
      <c r="I9883" s="988" t="s">
        <v>3145</v>
      </c>
      <c r="J9883" s="67">
        <f t="shared" si="560"/>
        <v>4982.902</v>
      </c>
      <c r="L9883" s="70"/>
      <c r="M9883" s="934"/>
    </row>
    <row r="9884" ht="12.75" hidden="1" customHeight="1" outlineLevel="1">
      <c r="A9884" s="202">
        <v>42957.0</v>
      </c>
      <c r="B9884" s="985" t="s">
        <v>347</v>
      </c>
      <c r="C9884" s="94" t="s">
        <v>3417</v>
      </c>
      <c r="D9884" s="94">
        <v>400.0</v>
      </c>
      <c r="E9884" s="94">
        <v>13.38</v>
      </c>
      <c r="F9884" s="998">
        <v>42957.59951388889</v>
      </c>
      <c r="G9884" s="94" t="s">
        <v>453</v>
      </c>
      <c r="H9884" s="987">
        <v>2.17</v>
      </c>
      <c r="I9884" s="988" t="s">
        <v>3145</v>
      </c>
      <c r="J9884" s="67">
        <f t="shared" si="560"/>
        <v>5349.83</v>
      </c>
      <c r="L9884" s="70"/>
      <c r="M9884" s="934"/>
    </row>
    <row r="9885" ht="12.75" hidden="1" customHeight="1" outlineLevel="1">
      <c r="A9885" s="202">
        <v>42957.0</v>
      </c>
      <c r="B9885" s="985" t="s">
        <v>347</v>
      </c>
      <c r="C9885" s="94" t="s">
        <v>2395</v>
      </c>
      <c r="D9885" s="94">
        <v>250.0</v>
      </c>
      <c r="E9885" s="94">
        <v>31.89</v>
      </c>
      <c r="F9885" s="998">
        <v>42957.599328703705</v>
      </c>
      <c r="G9885" s="94" t="s">
        <v>453</v>
      </c>
      <c r="H9885" s="987">
        <v>1.46</v>
      </c>
      <c r="I9885" s="988" t="s">
        <v>3145</v>
      </c>
      <c r="J9885" s="67">
        <f t="shared" si="560"/>
        <v>7971.04</v>
      </c>
      <c r="L9885" s="70"/>
      <c r="M9885" s="934"/>
    </row>
    <row r="9886" ht="12.75" hidden="1" customHeight="1" outlineLevel="1">
      <c r="A9886" s="202">
        <v>42957.0</v>
      </c>
      <c r="B9886" s="985" t="s">
        <v>347</v>
      </c>
      <c r="C9886" s="94" t="s">
        <v>1137</v>
      </c>
      <c r="D9886" s="94">
        <v>35.0</v>
      </c>
      <c r="E9886" s="94">
        <v>149.2111</v>
      </c>
      <c r="F9886" s="998">
        <v>42957.59915509259</v>
      </c>
      <c r="G9886" s="94" t="s">
        <v>453</v>
      </c>
      <c r="H9886" s="987">
        <v>1.12</v>
      </c>
      <c r="I9886" s="988" t="s">
        <v>3145</v>
      </c>
      <c r="J9886" s="67">
        <f t="shared" si="560"/>
        <v>5221.2685</v>
      </c>
      <c r="L9886" s="70"/>
      <c r="M9886" s="934"/>
    </row>
    <row r="9887" ht="12.75" hidden="1" customHeight="1" outlineLevel="1">
      <c r="A9887" s="202">
        <v>42957.0</v>
      </c>
      <c r="B9887" s="985" t="s">
        <v>347</v>
      </c>
      <c r="C9887" s="94" t="s">
        <v>1162</v>
      </c>
      <c r="D9887" s="94">
        <v>100.0</v>
      </c>
      <c r="E9887" s="94">
        <v>153.01</v>
      </c>
      <c r="F9887" s="998">
        <v>42957.598912037036</v>
      </c>
      <c r="G9887" s="94" t="s">
        <v>453</v>
      </c>
      <c r="H9887" s="987">
        <v>1.37</v>
      </c>
      <c r="I9887" s="988" t="s">
        <v>3145</v>
      </c>
      <c r="J9887" s="67">
        <f t="shared" si="560"/>
        <v>15299.63</v>
      </c>
      <c r="L9887" s="70"/>
      <c r="M9887" s="934"/>
    </row>
    <row r="9888" ht="12.75" hidden="1" customHeight="1" outlineLevel="1">
      <c r="A9888" s="202">
        <v>42957.0</v>
      </c>
      <c r="B9888" s="985" t="s">
        <v>347</v>
      </c>
      <c r="C9888" s="94" t="s">
        <v>1109</v>
      </c>
      <c r="D9888" s="94">
        <v>10.0</v>
      </c>
      <c r="E9888" s="94">
        <v>334.611</v>
      </c>
      <c r="F9888" s="998">
        <v>42957.59873842593</v>
      </c>
      <c r="G9888" s="94" t="s">
        <v>453</v>
      </c>
      <c r="H9888" s="987">
        <v>1.08</v>
      </c>
      <c r="I9888" s="988" t="s">
        <v>3145</v>
      </c>
      <c r="J9888" s="67">
        <f t="shared" si="560"/>
        <v>3345.03</v>
      </c>
      <c r="L9888" s="70"/>
      <c r="M9888" s="934"/>
    </row>
    <row r="9889" ht="12.75" hidden="1" customHeight="1" outlineLevel="1">
      <c r="A9889" s="202">
        <v>42957.0</v>
      </c>
      <c r="B9889" s="985" t="s">
        <v>347</v>
      </c>
      <c r="C9889" s="94" t="s">
        <v>1131</v>
      </c>
      <c r="D9889" s="94">
        <v>50.0</v>
      </c>
      <c r="E9889" s="94">
        <v>53.43</v>
      </c>
      <c r="F9889" s="998">
        <v>42957.5984837963</v>
      </c>
      <c r="G9889" s="94" t="s">
        <v>453</v>
      </c>
      <c r="H9889" s="987">
        <v>1.07</v>
      </c>
      <c r="I9889" s="988" t="s">
        <v>3145</v>
      </c>
      <c r="J9889" s="67">
        <f t="shared" si="560"/>
        <v>2670.43</v>
      </c>
      <c r="L9889" s="70"/>
      <c r="M9889" s="934"/>
    </row>
    <row r="9890" ht="12.75" hidden="1" customHeight="1" outlineLevel="1">
      <c r="A9890" s="202">
        <v>42957.0</v>
      </c>
      <c r="B9890" s="985" t="s">
        <v>347</v>
      </c>
      <c r="C9890" s="94" t="s">
        <v>3132</v>
      </c>
      <c r="D9890" s="94">
        <v>75.0</v>
      </c>
      <c r="E9890" s="94">
        <v>130.5</v>
      </c>
      <c r="F9890" s="998">
        <v>42957.598287037035</v>
      </c>
      <c r="G9890" s="94" t="s">
        <v>453</v>
      </c>
      <c r="H9890" s="987">
        <v>1.24</v>
      </c>
      <c r="I9890" s="988" t="s">
        <v>3145</v>
      </c>
      <c r="J9890" s="67">
        <f t="shared" si="560"/>
        <v>9786.26</v>
      </c>
      <c r="L9890" s="70"/>
      <c r="M9890" s="934"/>
    </row>
    <row r="9891" ht="12.75" hidden="1" customHeight="1" outlineLevel="1">
      <c r="A9891" s="202">
        <v>42957.0</v>
      </c>
      <c r="B9891" s="985" t="s">
        <v>347</v>
      </c>
      <c r="C9891" s="94" t="s">
        <v>423</v>
      </c>
      <c r="D9891" s="94">
        <v>50.0</v>
      </c>
      <c r="E9891" s="94">
        <v>72.961</v>
      </c>
      <c r="F9891" s="998">
        <v>42957.59810185185</v>
      </c>
      <c r="G9891" s="94" t="s">
        <v>453</v>
      </c>
      <c r="H9891" s="987">
        <v>1.09</v>
      </c>
      <c r="I9891" s="988" t="s">
        <v>3145</v>
      </c>
      <c r="J9891" s="67">
        <f t="shared" si="560"/>
        <v>3646.96</v>
      </c>
      <c r="L9891" s="70"/>
      <c r="M9891" s="934"/>
    </row>
    <row r="9892" ht="12.75" hidden="1" customHeight="1" outlineLevel="1">
      <c r="A9892" s="202">
        <v>42957.0</v>
      </c>
      <c r="B9892" s="985" t="s">
        <v>347</v>
      </c>
      <c r="C9892" s="94" t="s">
        <v>1221</v>
      </c>
      <c r="D9892" s="94">
        <v>75.0</v>
      </c>
      <c r="E9892" s="94">
        <v>60.0311</v>
      </c>
      <c r="F9892" s="998">
        <v>42957.597858796296</v>
      </c>
      <c r="G9892" s="94" t="s">
        <v>453</v>
      </c>
      <c r="H9892" s="987">
        <v>1.11</v>
      </c>
      <c r="I9892" s="988" t="s">
        <v>3145</v>
      </c>
      <c r="J9892" s="67">
        <f t="shared" si="560"/>
        <v>4501.2225</v>
      </c>
      <c r="L9892" s="70"/>
      <c r="M9892" s="934"/>
    </row>
    <row r="9893" ht="12.75" hidden="1" customHeight="1" outlineLevel="1">
      <c r="A9893" s="202">
        <v>42957.0</v>
      </c>
      <c r="B9893" s="985" t="s">
        <v>347</v>
      </c>
      <c r="C9893" s="94" t="s">
        <v>982</v>
      </c>
      <c r="D9893" s="94">
        <v>75.0</v>
      </c>
      <c r="E9893" s="94">
        <v>88.1114</v>
      </c>
      <c r="F9893" s="998">
        <v>42957.59763888889</v>
      </c>
      <c r="G9893" s="94" t="s">
        <v>453</v>
      </c>
      <c r="H9893" s="987">
        <v>1.16</v>
      </c>
      <c r="I9893" s="988" t="s">
        <v>3145</v>
      </c>
      <c r="J9893" s="67">
        <f t="shared" si="560"/>
        <v>6607.195</v>
      </c>
      <c r="L9893" s="70"/>
      <c r="M9893" s="934"/>
    </row>
    <row r="9894" ht="12.75" hidden="1" customHeight="1" outlineLevel="1">
      <c r="A9894" s="202">
        <v>42957.0</v>
      </c>
      <c r="B9894" s="985" t="s">
        <v>347</v>
      </c>
      <c r="C9894" s="94" t="s">
        <v>605</v>
      </c>
      <c r="D9894" s="94">
        <v>150.0</v>
      </c>
      <c r="E9894" s="94">
        <v>83.98</v>
      </c>
      <c r="F9894" s="998">
        <v>42957.59670138889</v>
      </c>
      <c r="G9894" s="94" t="s">
        <v>453</v>
      </c>
      <c r="H9894" s="987">
        <v>1.31</v>
      </c>
      <c r="I9894" s="988" t="s">
        <v>3145</v>
      </c>
      <c r="J9894" s="67">
        <f t="shared" si="560"/>
        <v>12595.69</v>
      </c>
      <c r="L9894" s="70"/>
      <c r="M9894" s="934"/>
    </row>
    <row r="9895" ht="12.75" hidden="1" customHeight="1" outlineLevel="1">
      <c r="A9895" s="202">
        <v>42957.0</v>
      </c>
      <c r="B9895" s="985" t="s">
        <v>347</v>
      </c>
      <c r="C9895" s="94" t="s">
        <v>1056</v>
      </c>
      <c r="D9895" s="94">
        <v>100.0</v>
      </c>
      <c r="E9895" s="94">
        <v>197.62</v>
      </c>
      <c r="F9895" s="998">
        <v>42957.596400462964</v>
      </c>
      <c r="G9895" s="94" t="s">
        <v>453</v>
      </c>
      <c r="H9895" s="987">
        <v>1.47</v>
      </c>
      <c r="I9895" s="988" t="s">
        <v>3145</v>
      </c>
      <c r="J9895" s="67">
        <f t="shared" si="560"/>
        <v>19760.53</v>
      </c>
      <c r="L9895" s="70"/>
      <c r="M9895" s="934"/>
    </row>
    <row r="9896" ht="12.75" hidden="1" customHeight="1" outlineLevel="1">
      <c r="A9896" s="202">
        <v>42957.0</v>
      </c>
      <c r="B9896" s="985" t="s">
        <v>347</v>
      </c>
      <c r="C9896" s="94" t="s">
        <v>1088</v>
      </c>
      <c r="D9896" s="94">
        <v>6.0</v>
      </c>
      <c r="E9896" s="94">
        <v>2672.6811</v>
      </c>
      <c r="F9896" s="998">
        <v>42957.59599537037</v>
      </c>
      <c r="G9896" s="94" t="s">
        <v>453</v>
      </c>
      <c r="H9896" s="987">
        <v>1.37</v>
      </c>
      <c r="I9896" s="988" t="s">
        <v>3145</v>
      </c>
      <c r="J9896" s="67">
        <f t="shared" si="560"/>
        <v>16034.7166</v>
      </c>
      <c r="L9896" s="70"/>
      <c r="M9896" s="934"/>
    </row>
    <row r="9897" ht="12.75" hidden="1" customHeight="1" outlineLevel="1">
      <c r="A9897" s="202">
        <v>42957.0</v>
      </c>
      <c r="B9897" s="985" t="s">
        <v>347</v>
      </c>
      <c r="C9897" s="94" t="s">
        <v>3115</v>
      </c>
      <c r="D9897" s="94">
        <v>12.0</v>
      </c>
      <c r="E9897" s="94">
        <v>270.54</v>
      </c>
      <c r="F9897" s="998">
        <v>42957.59553240741</v>
      </c>
      <c r="G9897" s="94" t="s">
        <v>453</v>
      </c>
      <c r="H9897" s="987">
        <v>1.08</v>
      </c>
      <c r="I9897" s="988" t="s">
        <v>3145</v>
      </c>
      <c r="J9897" s="67">
        <f t="shared" si="560"/>
        <v>3245.4</v>
      </c>
      <c r="L9897" s="70"/>
      <c r="M9897" s="934"/>
    </row>
    <row r="9898" ht="12.75" hidden="1" customHeight="1" outlineLevel="1">
      <c r="A9898" s="202">
        <v>42957.0</v>
      </c>
      <c r="B9898" s="985" t="s">
        <v>347</v>
      </c>
      <c r="C9898" s="94" t="s">
        <v>1416</v>
      </c>
      <c r="D9898" s="94">
        <v>50.0</v>
      </c>
      <c r="E9898" s="94">
        <v>59.5</v>
      </c>
      <c r="F9898" s="998">
        <v>42957.59394675926</v>
      </c>
      <c r="G9898" s="94" t="s">
        <v>453</v>
      </c>
      <c r="H9898" s="987">
        <v>1.07</v>
      </c>
      <c r="I9898" s="988" t="s">
        <v>3145</v>
      </c>
      <c r="J9898" s="67">
        <f t="shared" si="560"/>
        <v>2973.93</v>
      </c>
      <c r="L9898" s="70"/>
      <c r="M9898" s="934"/>
    </row>
    <row r="9899" ht="12.75" hidden="1" customHeight="1" outlineLevel="1">
      <c r="A9899" s="202">
        <v>42957.0</v>
      </c>
      <c r="B9899" s="985" t="s">
        <v>347</v>
      </c>
      <c r="C9899" s="94" t="s">
        <v>1154</v>
      </c>
      <c r="D9899" s="94">
        <v>25.0</v>
      </c>
      <c r="E9899" s="94">
        <v>170.15</v>
      </c>
      <c r="F9899" s="998">
        <v>42957.593622685185</v>
      </c>
      <c r="G9899" s="94" t="s">
        <v>453</v>
      </c>
      <c r="H9899" s="987">
        <v>1.1</v>
      </c>
      <c r="I9899" s="988" t="s">
        <v>3145</v>
      </c>
      <c r="J9899" s="67">
        <f t="shared" si="560"/>
        <v>4252.65</v>
      </c>
      <c r="L9899" s="70"/>
      <c r="M9899" s="934"/>
    </row>
    <row r="9900" ht="12.75" hidden="1" customHeight="1" outlineLevel="1">
      <c r="A9900" s="202">
        <v>42957.0</v>
      </c>
      <c r="B9900" s="985" t="s">
        <v>347</v>
      </c>
      <c r="C9900" s="94" t="s">
        <v>356</v>
      </c>
      <c r="D9900" s="94">
        <v>10.0</v>
      </c>
      <c r="E9900" s="94">
        <v>420.48</v>
      </c>
      <c r="F9900" s="998">
        <v>42957.59326388889</v>
      </c>
      <c r="G9900" s="94" t="s">
        <v>453</v>
      </c>
      <c r="H9900" s="987">
        <v>1.1</v>
      </c>
      <c r="I9900" s="988" t="s">
        <v>3145</v>
      </c>
      <c r="J9900" s="67">
        <f t="shared" si="560"/>
        <v>4203.7</v>
      </c>
      <c r="L9900" s="70"/>
      <c r="M9900" s="934"/>
    </row>
    <row r="9901" ht="12.75" hidden="1" customHeight="1" outlineLevel="1">
      <c r="A9901" s="202">
        <v>42957.0</v>
      </c>
      <c r="B9901" s="985" t="s">
        <v>347</v>
      </c>
      <c r="C9901" s="94" t="s">
        <v>1521</v>
      </c>
      <c r="D9901" s="94">
        <v>20.0</v>
      </c>
      <c r="E9901" s="94">
        <v>196.741</v>
      </c>
      <c r="F9901" s="998">
        <v>42957.59111111111</v>
      </c>
      <c r="G9901" s="94" t="s">
        <v>453</v>
      </c>
      <c r="H9901" s="987">
        <v>1.09</v>
      </c>
      <c r="I9901" s="988" t="s">
        <v>3145</v>
      </c>
      <c r="J9901" s="67">
        <f t="shared" si="560"/>
        <v>3933.73</v>
      </c>
      <c r="L9901" s="70"/>
      <c r="M9901" s="934"/>
    </row>
    <row r="9902" ht="12.75" hidden="1" customHeight="1" outlineLevel="1">
      <c r="A9902" s="202">
        <v>42957.0</v>
      </c>
      <c r="B9902" s="985" t="s">
        <v>347</v>
      </c>
      <c r="C9902" s="94" t="s">
        <v>1049</v>
      </c>
      <c r="D9902" s="94">
        <v>5.0</v>
      </c>
      <c r="E9902" s="94">
        <v>1054.221</v>
      </c>
      <c r="F9902" s="998">
        <v>42957.58851851852</v>
      </c>
      <c r="G9902" s="94" t="s">
        <v>453</v>
      </c>
      <c r="H9902" s="987">
        <v>1.12</v>
      </c>
      <c r="I9902" s="988" t="s">
        <v>3145</v>
      </c>
      <c r="J9902" s="67">
        <f t="shared" si="560"/>
        <v>5269.985</v>
      </c>
      <c r="L9902" s="70"/>
      <c r="M9902" s="934"/>
    </row>
    <row r="9903" ht="12.75" hidden="1" customHeight="1" outlineLevel="1">
      <c r="A9903" s="202">
        <v>42957.0</v>
      </c>
      <c r="B9903" s="985" t="s">
        <v>347</v>
      </c>
      <c r="C9903" s="94" t="s">
        <v>1480</v>
      </c>
      <c r="D9903" s="94">
        <v>50.0</v>
      </c>
      <c r="E9903" s="94">
        <v>95.5</v>
      </c>
      <c r="F9903" s="998">
        <v>42957.586597222224</v>
      </c>
      <c r="G9903" s="94" t="s">
        <v>453</v>
      </c>
      <c r="H9903" s="987">
        <v>1.12</v>
      </c>
      <c r="I9903" s="988" t="s">
        <v>3145</v>
      </c>
      <c r="J9903" s="67">
        <f t="shared" si="560"/>
        <v>4773.88</v>
      </c>
      <c r="L9903" s="70"/>
      <c r="M9903" s="934"/>
    </row>
    <row r="9904" ht="12.75" hidden="1" customHeight="1" outlineLevel="1">
      <c r="A9904" s="202">
        <v>42957.0</v>
      </c>
      <c r="B9904" s="985" t="s">
        <v>347</v>
      </c>
      <c r="C9904" s="94" t="s">
        <v>3028</v>
      </c>
      <c r="D9904" s="94">
        <v>150.0</v>
      </c>
      <c r="E9904" s="94">
        <v>41.99</v>
      </c>
      <c r="F9904" s="998">
        <v>42957.58623842592</v>
      </c>
      <c r="G9904" s="94" t="s">
        <v>453</v>
      </c>
      <c r="H9904" s="987">
        <v>1.16</v>
      </c>
      <c r="I9904" s="988" t="s">
        <v>3145</v>
      </c>
      <c r="J9904" s="67">
        <f t="shared" si="560"/>
        <v>6297.34</v>
      </c>
      <c r="L9904" s="70"/>
      <c r="M9904" s="934"/>
    </row>
    <row r="9905" ht="12.75" hidden="1" customHeight="1" outlineLevel="1">
      <c r="A9905" s="202">
        <v>42957.0</v>
      </c>
      <c r="B9905" s="985" t="s">
        <v>347</v>
      </c>
      <c r="C9905" s="94" t="s">
        <v>1123</v>
      </c>
      <c r="D9905" s="94">
        <v>35.0</v>
      </c>
      <c r="E9905" s="94">
        <v>127.4</v>
      </c>
      <c r="F9905" s="998">
        <v>42957.58576388889</v>
      </c>
      <c r="G9905" s="94" t="s">
        <v>453</v>
      </c>
      <c r="H9905" s="987">
        <v>1.11</v>
      </c>
      <c r="I9905" s="988" t="s">
        <v>3145</v>
      </c>
      <c r="J9905" s="67">
        <f t="shared" si="560"/>
        <v>4457.89</v>
      </c>
      <c r="L9905" s="70"/>
      <c r="M9905" s="934"/>
    </row>
    <row r="9906" ht="12.75" hidden="1" customHeight="1" outlineLevel="1">
      <c r="A9906" s="202">
        <v>42957.0</v>
      </c>
      <c r="B9906" s="985" t="s">
        <v>347</v>
      </c>
      <c r="C9906" s="94" t="s">
        <v>3020</v>
      </c>
      <c r="D9906" s="94">
        <v>50.0</v>
      </c>
      <c r="E9906" s="94">
        <v>151.621</v>
      </c>
      <c r="F9906" s="998">
        <v>42957.585335648146</v>
      </c>
      <c r="G9906" s="94" t="s">
        <v>453</v>
      </c>
      <c r="H9906" s="987">
        <v>1.18</v>
      </c>
      <c r="I9906" s="988" t="s">
        <v>3145</v>
      </c>
      <c r="J9906" s="67">
        <f t="shared" si="560"/>
        <v>7579.87</v>
      </c>
      <c r="L9906" s="70"/>
      <c r="M9906" s="934"/>
    </row>
    <row r="9907" ht="12.75" hidden="1" customHeight="1" outlineLevel="1">
      <c r="A9907" s="202">
        <v>42957.0</v>
      </c>
      <c r="B9907" s="985" t="s">
        <v>347</v>
      </c>
      <c r="C9907" s="94" t="s">
        <v>1164</v>
      </c>
      <c r="D9907" s="94">
        <v>150.0</v>
      </c>
      <c r="E9907" s="94">
        <v>53.85</v>
      </c>
      <c r="F9907" s="998">
        <v>42957.585011574076</v>
      </c>
      <c r="G9907" s="94" t="s">
        <v>453</v>
      </c>
      <c r="H9907" s="987">
        <v>1.2</v>
      </c>
      <c r="I9907" s="988" t="s">
        <v>3145</v>
      </c>
      <c r="J9907" s="67">
        <f t="shared" si="560"/>
        <v>8076.3</v>
      </c>
      <c r="L9907" s="70"/>
      <c r="M9907" s="934"/>
    </row>
    <row r="9908" ht="12.75" hidden="1" customHeight="1" outlineLevel="1">
      <c r="A9908" s="202">
        <v>42957.0</v>
      </c>
      <c r="B9908" s="985" t="s">
        <v>347</v>
      </c>
      <c r="C9908" s="94" t="s">
        <v>1274</v>
      </c>
      <c r="D9908" s="94">
        <v>30.0</v>
      </c>
      <c r="E9908" s="94">
        <v>167.8605</v>
      </c>
      <c r="F9908" s="998">
        <v>42957.58452546296</v>
      </c>
      <c r="G9908" s="94" t="s">
        <v>453</v>
      </c>
      <c r="H9908" s="987">
        <v>1.12</v>
      </c>
      <c r="I9908" s="988" t="s">
        <v>3145</v>
      </c>
      <c r="J9908" s="67">
        <f t="shared" si="560"/>
        <v>5034.695</v>
      </c>
      <c r="L9908" s="70"/>
      <c r="M9908" s="934"/>
    </row>
    <row r="9909" ht="12.75" hidden="1" customHeight="1" outlineLevel="1">
      <c r="A9909" s="202">
        <v>42957.0</v>
      </c>
      <c r="B9909" s="985" t="s">
        <v>347</v>
      </c>
      <c r="C9909" s="94" t="s">
        <v>1187</v>
      </c>
      <c r="D9909" s="94">
        <v>125.0</v>
      </c>
      <c r="E9909" s="94">
        <v>94.39</v>
      </c>
      <c r="F9909" s="998">
        <v>42957.58212962963</v>
      </c>
      <c r="G9909" s="94" t="s">
        <v>453</v>
      </c>
      <c r="H9909" s="987">
        <v>1.29</v>
      </c>
      <c r="I9909" s="988" t="s">
        <v>3145</v>
      </c>
      <c r="J9909" s="67">
        <f t="shared" si="560"/>
        <v>11797.46</v>
      </c>
      <c r="L9909" s="70"/>
      <c r="M9909" s="934"/>
    </row>
    <row r="9910" ht="12.75" hidden="1" customHeight="1" outlineLevel="1">
      <c r="A9910" s="202">
        <v>42957.0</v>
      </c>
      <c r="B9910" s="985" t="s">
        <v>347</v>
      </c>
      <c r="C9910" s="94" t="s">
        <v>1128</v>
      </c>
      <c r="D9910" s="94">
        <v>150.0</v>
      </c>
      <c r="E9910" s="94">
        <v>92.82</v>
      </c>
      <c r="F9910" s="998">
        <v>42957.577048611114</v>
      </c>
      <c r="G9910" s="94" t="s">
        <v>453</v>
      </c>
      <c r="H9910" s="987">
        <v>1.34</v>
      </c>
      <c r="I9910" s="988" t="s">
        <v>3145</v>
      </c>
      <c r="J9910" s="67">
        <f t="shared" si="560"/>
        <v>13921.66</v>
      </c>
      <c r="L9910" s="70"/>
      <c r="M9910" s="934"/>
    </row>
    <row r="9911" ht="12.75" hidden="1" customHeight="1" outlineLevel="1">
      <c r="A9911" s="202">
        <v>42957.0</v>
      </c>
      <c r="B9911" s="985" t="s">
        <v>347</v>
      </c>
      <c r="C9911" s="94" t="s">
        <v>364</v>
      </c>
      <c r="D9911" s="94">
        <v>30.0</v>
      </c>
      <c r="E9911" s="94">
        <v>120.63</v>
      </c>
      <c r="F9911" s="998">
        <v>42957.57664351852</v>
      </c>
      <c r="G9911" s="94" t="s">
        <v>453</v>
      </c>
      <c r="H9911" s="987">
        <v>1.09</v>
      </c>
      <c r="I9911" s="988" t="s">
        <v>3145</v>
      </c>
      <c r="J9911" s="67">
        <f t="shared" si="560"/>
        <v>3617.81</v>
      </c>
      <c r="L9911" s="70"/>
      <c r="M9911" s="934"/>
    </row>
    <row r="9912" ht="12.75" hidden="1" customHeight="1" outlineLevel="1">
      <c r="A9912" s="202">
        <v>42957.0</v>
      </c>
      <c r="B9912" s="985" t="s">
        <v>347</v>
      </c>
      <c r="C9912" s="94" t="s">
        <v>1074</v>
      </c>
      <c r="D9912" s="94">
        <v>50.0</v>
      </c>
      <c r="E9912" s="94">
        <v>154.6511</v>
      </c>
      <c r="F9912" s="998">
        <v>42957.57599537037</v>
      </c>
      <c r="G9912" s="94" t="s">
        <v>453</v>
      </c>
      <c r="H9912" s="987">
        <v>1.18</v>
      </c>
      <c r="I9912" s="988" t="s">
        <v>3145</v>
      </c>
      <c r="J9912" s="67">
        <f t="shared" si="560"/>
        <v>7731.375</v>
      </c>
      <c r="L9912" s="70"/>
      <c r="M9912" s="934"/>
    </row>
    <row r="9913" ht="12.75" hidden="1" customHeight="1" outlineLevel="1">
      <c r="A9913" s="202">
        <v>42957.0</v>
      </c>
      <c r="B9913" s="985" t="s">
        <v>347</v>
      </c>
      <c r="C9913" s="94" t="s">
        <v>1167</v>
      </c>
      <c r="D9913" s="94">
        <v>75.0</v>
      </c>
      <c r="E9913" s="94">
        <v>77.7614</v>
      </c>
      <c r="F9913" s="998">
        <v>42957.575532407405</v>
      </c>
      <c r="G9913" s="94" t="s">
        <v>453</v>
      </c>
      <c r="H9913" s="987">
        <v>1.14</v>
      </c>
      <c r="I9913" s="988" t="s">
        <v>3145</v>
      </c>
      <c r="J9913" s="67">
        <f t="shared" si="560"/>
        <v>5830.965</v>
      </c>
      <c r="L9913" s="70"/>
      <c r="M9913" s="934"/>
    </row>
    <row r="9914" ht="12.75" hidden="1" customHeight="1" outlineLevel="1">
      <c r="A9914" s="202">
        <v>42957.0</v>
      </c>
      <c r="B9914" s="985" t="s">
        <v>347</v>
      </c>
      <c r="C9914" s="94" t="s">
        <v>2783</v>
      </c>
      <c r="D9914" s="94">
        <v>100.0</v>
      </c>
      <c r="E9914" s="94">
        <v>41.7</v>
      </c>
      <c r="F9914" s="998">
        <v>42957.57523148148</v>
      </c>
      <c r="G9914" s="94" t="s">
        <v>453</v>
      </c>
      <c r="H9914" s="987">
        <v>1.11</v>
      </c>
      <c r="I9914" s="988" t="s">
        <v>3145</v>
      </c>
      <c r="J9914" s="67">
        <f t="shared" si="560"/>
        <v>4168.89</v>
      </c>
      <c r="L9914" s="70"/>
      <c r="M9914" s="934"/>
    </row>
    <row r="9915" ht="12.75" hidden="1" customHeight="1" outlineLevel="1">
      <c r="A9915" s="202">
        <v>42957.0</v>
      </c>
      <c r="B9915" s="985" t="s">
        <v>347</v>
      </c>
      <c r="C9915" s="94" t="s">
        <v>1642</v>
      </c>
      <c r="D9915" s="94">
        <v>40.0</v>
      </c>
      <c r="E9915" s="94">
        <v>227.5621</v>
      </c>
      <c r="F9915" s="998">
        <v>42957.574895833335</v>
      </c>
      <c r="G9915" s="94" t="s">
        <v>453</v>
      </c>
      <c r="H9915" s="987">
        <v>1.22</v>
      </c>
      <c r="I9915" s="988" t="s">
        <v>3145</v>
      </c>
      <c r="J9915" s="67">
        <f t="shared" si="560"/>
        <v>9101.264</v>
      </c>
      <c r="L9915" s="70"/>
      <c r="M9915" s="934"/>
    </row>
    <row r="9916" ht="12.75" hidden="1" customHeight="1" outlineLevel="1">
      <c r="A9916" s="202">
        <v>42957.0</v>
      </c>
      <c r="B9916" s="985" t="s">
        <v>347</v>
      </c>
      <c r="C9916" s="94" t="s">
        <v>2428</v>
      </c>
      <c r="D9916" s="94">
        <v>200.0</v>
      </c>
      <c r="E9916" s="94">
        <v>26.3</v>
      </c>
      <c r="F9916" s="998">
        <v>42957.57436342593</v>
      </c>
      <c r="G9916" s="94" t="s">
        <v>453</v>
      </c>
      <c r="H9916" s="987">
        <v>1.15</v>
      </c>
      <c r="I9916" s="988" t="s">
        <v>3145</v>
      </c>
      <c r="J9916" s="67">
        <f t="shared" si="560"/>
        <v>5258.85</v>
      </c>
      <c r="L9916" s="70"/>
      <c r="M9916" s="934"/>
    </row>
    <row r="9917" ht="12.75" hidden="1" customHeight="1" outlineLevel="1">
      <c r="A9917" s="202">
        <v>42957.0</v>
      </c>
      <c r="B9917" s="985" t="s">
        <v>347</v>
      </c>
      <c r="C9917" s="94" t="s">
        <v>1092</v>
      </c>
      <c r="D9917" s="286">
        <v>2500.0</v>
      </c>
      <c r="E9917" s="94">
        <v>6.83</v>
      </c>
      <c r="F9917" s="998">
        <v>42957.57116898148</v>
      </c>
      <c r="G9917" s="94" t="s">
        <v>453</v>
      </c>
      <c r="H9917" s="987">
        <v>13.19</v>
      </c>
      <c r="I9917" s="988" t="s">
        <v>3145</v>
      </c>
      <c r="J9917" s="67">
        <f t="shared" si="560"/>
        <v>17061.81</v>
      </c>
      <c r="L9917" s="70"/>
      <c r="M9917" s="934"/>
    </row>
    <row r="9918" ht="12.75" hidden="1" customHeight="1" outlineLevel="1">
      <c r="A9918" s="202">
        <v>42957.0</v>
      </c>
      <c r="B9918" s="985" t="s">
        <v>347</v>
      </c>
      <c r="C9918" s="94" t="s">
        <v>1485</v>
      </c>
      <c r="D9918" s="286">
        <v>2500.0</v>
      </c>
      <c r="E9918" s="94">
        <v>6.54</v>
      </c>
      <c r="F9918" s="998">
        <v>42957.57059027778</v>
      </c>
      <c r="G9918" s="94" t="s">
        <v>453</v>
      </c>
      <c r="H9918" s="987">
        <v>13.18</v>
      </c>
      <c r="I9918" s="988" t="s">
        <v>3145</v>
      </c>
      <c r="J9918" s="67">
        <f t="shared" si="560"/>
        <v>16336.82</v>
      </c>
      <c r="L9918" s="70"/>
      <c r="M9918" s="934"/>
    </row>
    <row r="9919" ht="12.75" hidden="1" customHeight="1" outlineLevel="1">
      <c r="A9919" s="202">
        <v>42957.0</v>
      </c>
      <c r="B9919" s="985" t="s">
        <v>347</v>
      </c>
      <c r="C9919" s="94" t="s">
        <v>604</v>
      </c>
      <c r="D9919" s="286">
        <v>2500.0</v>
      </c>
      <c r="E9919" s="94">
        <v>2.67</v>
      </c>
      <c r="F9919" s="998">
        <v>42957.57059027778</v>
      </c>
      <c r="G9919" s="94" t="s">
        <v>453</v>
      </c>
      <c r="H9919" s="987">
        <v>12.95</v>
      </c>
      <c r="I9919" s="988" t="s">
        <v>3145</v>
      </c>
      <c r="J9919" s="67">
        <f t="shared" si="560"/>
        <v>6662.05</v>
      </c>
      <c r="L9919" s="70"/>
      <c r="M9919" s="934"/>
    </row>
    <row r="9920" ht="12.75" hidden="1" customHeight="1" outlineLevel="1">
      <c r="A9920" s="202">
        <v>42957.0</v>
      </c>
      <c r="B9920" s="985" t="s">
        <v>347</v>
      </c>
      <c r="C9920" s="94" t="s">
        <v>1483</v>
      </c>
      <c r="D9920" s="286">
        <v>2500.0</v>
      </c>
      <c r="E9920" s="94">
        <v>2.57</v>
      </c>
      <c r="F9920" s="998">
        <v>42957.569560185184</v>
      </c>
      <c r="G9920" s="94" t="s">
        <v>453</v>
      </c>
      <c r="H9920" s="987">
        <v>12.95</v>
      </c>
      <c r="I9920" s="988" t="s">
        <v>3145</v>
      </c>
      <c r="J9920" s="67">
        <f t="shared" si="560"/>
        <v>6412.05</v>
      </c>
      <c r="L9920" s="70"/>
      <c r="M9920" s="934"/>
    </row>
    <row r="9921" ht="12.75" hidden="1" customHeight="1" outlineLevel="1">
      <c r="A9921" s="202">
        <v>42957.0</v>
      </c>
      <c r="B9921" s="985" t="s">
        <v>347</v>
      </c>
      <c r="C9921" s="94" t="s">
        <v>3136</v>
      </c>
      <c r="D9921" s="286">
        <v>1100.0</v>
      </c>
      <c r="E9921" s="94">
        <v>34.639</v>
      </c>
      <c r="F9921" s="998">
        <v>42957.51498842592</v>
      </c>
      <c r="G9921" s="94" t="s">
        <v>453</v>
      </c>
      <c r="H9921" s="987">
        <v>5.41</v>
      </c>
      <c r="I9921" s="988" t="s">
        <v>3145</v>
      </c>
      <c r="J9921" s="67">
        <f t="shared" si="560"/>
        <v>38097.49</v>
      </c>
      <c r="L9921" s="70"/>
      <c r="M9921" s="934"/>
    </row>
    <row r="9922" ht="12.75" hidden="1" customHeight="1" outlineLevel="1">
      <c r="A9922" s="202">
        <v>42957.0</v>
      </c>
      <c r="B9922" s="985" t="s">
        <v>347</v>
      </c>
      <c r="C9922" s="94" t="s">
        <v>1035</v>
      </c>
      <c r="D9922" s="94">
        <v>25.0</v>
      </c>
      <c r="E9922" s="94">
        <v>925.15</v>
      </c>
      <c r="F9922" s="998">
        <v>42957.514236111114</v>
      </c>
      <c r="G9922" s="94" t="s">
        <v>453</v>
      </c>
      <c r="H9922" s="987">
        <v>1.54</v>
      </c>
      <c r="I9922" s="988" t="s">
        <v>3145</v>
      </c>
      <c r="J9922" s="67">
        <f t="shared" si="560"/>
        <v>23127.21</v>
      </c>
      <c r="L9922" s="70"/>
      <c r="M9922" s="934"/>
    </row>
    <row r="9923" ht="12.75" hidden="1" customHeight="1" outlineLevel="1">
      <c r="A9923" s="202">
        <v>42957.0</v>
      </c>
      <c r="B9923" s="985" t="s">
        <v>347</v>
      </c>
      <c r="C9923" s="94" t="s">
        <v>1152</v>
      </c>
      <c r="D9923" s="94">
        <v>25.0</v>
      </c>
      <c r="E9923" s="94">
        <v>123.21</v>
      </c>
      <c r="F9923" s="998">
        <v>42957.513287037036</v>
      </c>
      <c r="G9923" s="94" t="s">
        <v>453</v>
      </c>
      <c r="H9923" s="987">
        <v>1.07</v>
      </c>
      <c r="I9923" s="988" t="s">
        <v>3145</v>
      </c>
      <c r="J9923" s="67">
        <f t="shared" si="560"/>
        <v>3079.18</v>
      </c>
      <c r="L9923" s="70"/>
      <c r="M9923" s="934"/>
    </row>
    <row r="9924" ht="12.75" hidden="1" customHeight="1" outlineLevel="1">
      <c r="A9924" s="202">
        <v>42957.0</v>
      </c>
      <c r="B9924" s="985" t="s">
        <v>347</v>
      </c>
      <c r="C9924" s="94" t="s">
        <v>381</v>
      </c>
      <c r="D9924" s="94">
        <v>35.0</v>
      </c>
      <c r="E9924" s="94">
        <v>167.75</v>
      </c>
      <c r="F9924" s="998">
        <v>42957.512650462966</v>
      </c>
      <c r="G9924" s="94" t="s">
        <v>453</v>
      </c>
      <c r="H9924" s="987">
        <v>1.14</v>
      </c>
      <c r="I9924" s="988" t="s">
        <v>3145</v>
      </c>
      <c r="J9924" s="67">
        <f t="shared" si="560"/>
        <v>5870.11</v>
      </c>
      <c r="L9924" s="70"/>
      <c r="M9924" s="934"/>
    </row>
    <row r="9925" ht="12.75" hidden="1" customHeight="1" outlineLevel="1">
      <c r="A9925" s="202">
        <v>42957.0</v>
      </c>
      <c r="B9925" s="985" t="s">
        <v>347</v>
      </c>
      <c r="C9925" s="94" t="s">
        <v>1516</v>
      </c>
      <c r="D9925" s="94">
        <v>40.0</v>
      </c>
      <c r="E9925" s="94">
        <v>114.221</v>
      </c>
      <c r="F9925" s="998">
        <v>42957.51199074074</v>
      </c>
      <c r="G9925" s="94" t="s">
        <v>453</v>
      </c>
      <c r="H9925" s="987">
        <v>1.11</v>
      </c>
      <c r="I9925" s="988" t="s">
        <v>3145</v>
      </c>
      <c r="J9925" s="67">
        <f t="shared" si="560"/>
        <v>4567.73</v>
      </c>
      <c r="L9925" s="70"/>
      <c r="M9925" s="934"/>
    </row>
    <row r="9926" ht="12.75" hidden="1" customHeight="1" outlineLevel="1">
      <c r="A9926" s="202">
        <v>42957.0</v>
      </c>
      <c r="B9926" s="985" t="s">
        <v>347</v>
      </c>
      <c r="C9926" s="94" t="s">
        <v>1995</v>
      </c>
      <c r="D9926" s="94">
        <v>600.0</v>
      </c>
      <c r="E9926" s="94">
        <v>62.12</v>
      </c>
      <c r="F9926" s="998">
        <v>42957.51115740741</v>
      </c>
      <c r="G9926" s="94" t="s">
        <v>453</v>
      </c>
      <c r="H9926" s="987">
        <v>3.93</v>
      </c>
      <c r="I9926" s="988" t="s">
        <v>3145</v>
      </c>
      <c r="J9926" s="67">
        <f t="shared" si="560"/>
        <v>37268.07</v>
      </c>
      <c r="L9926" s="70"/>
      <c r="M9926" s="934"/>
    </row>
    <row r="9927" ht="12.75" hidden="1" customHeight="1" outlineLevel="1">
      <c r="A9927" s="202">
        <v>42957.0</v>
      </c>
      <c r="B9927" s="985" t="s">
        <v>347</v>
      </c>
      <c r="C9927" s="94" t="s">
        <v>1402</v>
      </c>
      <c r="D9927" s="94">
        <v>75.0</v>
      </c>
      <c r="E9927" s="94">
        <v>79.37</v>
      </c>
      <c r="F9927" s="998">
        <v>42957.510104166664</v>
      </c>
      <c r="G9927" s="94" t="s">
        <v>453</v>
      </c>
      <c r="H9927" s="987">
        <v>1.15</v>
      </c>
      <c r="I9927" s="988" t="s">
        <v>3145</v>
      </c>
      <c r="J9927" s="67">
        <f t="shared" si="560"/>
        <v>5951.6</v>
      </c>
      <c r="L9927" s="70"/>
      <c r="M9927" s="934"/>
    </row>
    <row r="9928" ht="12.75" hidden="1" customHeight="1" outlineLevel="1">
      <c r="A9928" s="202">
        <v>42957.0</v>
      </c>
      <c r="B9928" s="985" t="s">
        <v>347</v>
      </c>
      <c r="C9928" s="94" t="s">
        <v>1158</v>
      </c>
      <c r="D9928" s="94">
        <v>150.0</v>
      </c>
      <c r="E9928" s="94">
        <v>49.34</v>
      </c>
      <c r="F9928" s="998">
        <v>42957.50975694445</v>
      </c>
      <c r="G9928" s="94" t="s">
        <v>453</v>
      </c>
      <c r="H9928" s="987">
        <v>1.19</v>
      </c>
      <c r="I9928" s="988" t="s">
        <v>3145</v>
      </c>
      <c r="J9928" s="67">
        <f t="shared" si="560"/>
        <v>7399.81</v>
      </c>
      <c r="L9928" s="70"/>
      <c r="M9928" s="934"/>
    </row>
    <row r="9929" ht="12.75" hidden="1" customHeight="1" outlineLevel="1">
      <c r="A9929" s="202">
        <v>42957.0</v>
      </c>
      <c r="B9929" s="985" t="s">
        <v>347</v>
      </c>
      <c r="C9929" s="94" t="s">
        <v>1169</v>
      </c>
      <c r="D9929" s="94">
        <v>25.0</v>
      </c>
      <c r="E9929" s="94">
        <v>152.931</v>
      </c>
      <c r="F9929" s="998">
        <v>42957.509375</v>
      </c>
      <c r="G9929" s="94" t="s">
        <v>453</v>
      </c>
      <c r="H9929" s="987">
        <v>1.09</v>
      </c>
      <c r="I9929" s="988" t="s">
        <v>3145</v>
      </c>
      <c r="J9929" s="67">
        <f t="shared" si="560"/>
        <v>3822.185</v>
      </c>
      <c r="L9929" s="70"/>
      <c r="M9929" s="934"/>
    </row>
    <row r="9930" ht="12.75" hidden="1" customHeight="1" outlineLevel="1">
      <c r="A9930" s="202">
        <v>42957.0</v>
      </c>
      <c r="B9930" s="985" t="s">
        <v>347</v>
      </c>
      <c r="C9930" s="94" t="s">
        <v>847</v>
      </c>
      <c r="D9930" s="94">
        <v>35.0</v>
      </c>
      <c r="E9930" s="94">
        <v>176.0</v>
      </c>
      <c r="F9930" s="998">
        <v>42957.50871527778</v>
      </c>
      <c r="G9930" s="94" t="s">
        <v>453</v>
      </c>
      <c r="H9930" s="987">
        <v>1.15</v>
      </c>
      <c r="I9930" s="988" t="s">
        <v>3145</v>
      </c>
      <c r="J9930" s="67">
        <f t="shared" si="560"/>
        <v>6158.85</v>
      </c>
      <c r="L9930" s="70"/>
      <c r="M9930" s="934"/>
    </row>
    <row r="9931" ht="12.75" hidden="1" customHeight="1" outlineLevel="1">
      <c r="A9931" s="202">
        <v>42957.0</v>
      </c>
      <c r="B9931" s="985" t="s">
        <v>347</v>
      </c>
      <c r="C9931" s="94" t="s">
        <v>1290</v>
      </c>
      <c r="D9931" s="94">
        <v>50.0</v>
      </c>
      <c r="E9931" s="94">
        <v>93.2</v>
      </c>
      <c r="F9931" s="998">
        <v>42957.50821759259</v>
      </c>
      <c r="G9931" s="94" t="s">
        <v>453</v>
      </c>
      <c r="H9931" s="987">
        <v>1.11</v>
      </c>
      <c r="I9931" s="988" t="s">
        <v>3145</v>
      </c>
      <c r="J9931" s="67">
        <f t="shared" si="560"/>
        <v>4658.89</v>
      </c>
      <c r="L9931" s="70"/>
      <c r="M9931" s="934"/>
    </row>
    <row r="9932" ht="12.75" hidden="1" customHeight="1" outlineLevel="1">
      <c r="A9932" s="202">
        <v>42957.0</v>
      </c>
      <c r="B9932" s="985" t="s">
        <v>347</v>
      </c>
      <c r="C9932" s="94" t="s">
        <v>1576</v>
      </c>
      <c r="D9932" s="94">
        <v>125.0</v>
      </c>
      <c r="E9932" s="94">
        <v>44.43</v>
      </c>
      <c r="F9932" s="998">
        <v>42957.5077662037</v>
      </c>
      <c r="G9932" s="94" t="s">
        <v>453</v>
      </c>
      <c r="H9932" s="987">
        <v>1.14</v>
      </c>
      <c r="I9932" s="988" t="s">
        <v>3145</v>
      </c>
      <c r="J9932" s="67">
        <f t="shared" si="560"/>
        <v>5552.61</v>
      </c>
      <c r="L9932" s="70"/>
      <c r="M9932" s="934"/>
    </row>
    <row r="9933" ht="12.75" hidden="1" customHeight="1" outlineLevel="1">
      <c r="A9933" s="202">
        <v>42957.0</v>
      </c>
      <c r="B9933" s="985" t="s">
        <v>347</v>
      </c>
      <c r="C9933" s="94" t="s">
        <v>442</v>
      </c>
      <c r="D9933" s="94">
        <v>35.0</v>
      </c>
      <c r="E9933" s="94">
        <v>112.05</v>
      </c>
      <c r="F9933" s="998">
        <v>42957.50699074074</v>
      </c>
      <c r="G9933" s="94" t="s">
        <v>453</v>
      </c>
      <c r="H9933" s="987">
        <v>1.09</v>
      </c>
      <c r="I9933" s="988" t="s">
        <v>3145</v>
      </c>
      <c r="J9933" s="67">
        <f t="shared" si="560"/>
        <v>3920.66</v>
      </c>
      <c r="L9933" s="70"/>
      <c r="M9933" s="934"/>
    </row>
    <row r="9934" ht="12.75" hidden="1" customHeight="1" outlineLevel="1">
      <c r="A9934" s="202">
        <v>42957.0</v>
      </c>
      <c r="B9934" s="985" t="s">
        <v>347</v>
      </c>
      <c r="C9934" s="94" t="s">
        <v>3040</v>
      </c>
      <c r="D9934" s="94">
        <v>50.0</v>
      </c>
      <c r="E9934" s="94">
        <v>177.39</v>
      </c>
      <c r="F9934" s="998">
        <v>42957.506574074076</v>
      </c>
      <c r="G9934" s="94" t="s">
        <v>453</v>
      </c>
      <c r="H9934" s="987">
        <v>1.21</v>
      </c>
      <c r="I9934" s="988" t="s">
        <v>3145</v>
      </c>
      <c r="J9934" s="67">
        <f t="shared" si="560"/>
        <v>8868.29</v>
      </c>
      <c r="L9934" s="70"/>
      <c r="M9934" s="934"/>
    </row>
    <row r="9935" ht="12.75" hidden="1" customHeight="1" outlineLevel="1">
      <c r="A9935" s="202">
        <v>42957.0</v>
      </c>
      <c r="B9935" s="985" t="s">
        <v>347</v>
      </c>
      <c r="C9935" s="94" t="s">
        <v>1486</v>
      </c>
      <c r="D9935" s="94">
        <v>100.0</v>
      </c>
      <c r="E9935" s="94">
        <v>40.1407</v>
      </c>
      <c r="F9935" s="998">
        <v>42957.50613425926</v>
      </c>
      <c r="G9935" s="94" t="s">
        <v>453</v>
      </c>
      <c r="H9935" s="987">
        <v>1.1</v>
      </c>
      <c r="I9935" s="988" t="s">
        <v>3145</v>
      </c>
      <c r="J9935" s="67">
        <f t="shared" si="560"/>
        <v>4012.97</v>
      </c>
      <c r="L9935" s="70"/>
      <c r="M9935" s="934"/>
    </row>
    <row r="9936" ht="12.75" hidden="1" customHeight="1" outlineLevel="1">
      <c r="A9936" s="202">
        <v>42957.0</v>
      </c>
      <c r="B9936" s="985" t="s">
        <v>347</v>
      </c>
      <c r="C9936" s="94" t="s">
        <v>1082</v>
      </c>
      <c r="D9936" s="94">
        <v>35.0</v>
      </c>
      <c r="E9936" s="94">
        <v>531.01</v>
      </c>
      <c r="F9936" s="998">
        <v>42957.50550925926</v>
      </c>
      <c r="G9936" s="94" t="s">
        <v>453</v>
      </c>
      <c r="H9936" s="987">
        <v>1.43</v>
      </c>
      <c r="I9936" s="988" t="s">
        <v>3145</v>
      </c>
      <c r="J9936" s="67">
        <f t="shared" si="560"/>
        <v>18583.92</v>
      </c>
      <c r="L9936" s="70"/>
      <c r="M9936" s="934"/>
    </row>
    <row r="9937" ht="12.75" hidden="1" customHeight="1" outlineLevel="1">
      <c r="A9937" s="202">
        <v>42957.0</v>
      </c>
      <c r="B9937" s="985" t="s">
        <v>347</v>
      </c>
      <c r="C9937" s="94" t="s">
        <v>1053</v>
      </c>
      <c r="D9937" s="94">
        <v>5.0</v>
      </c>
      <c r="E9937" s="94">
        <v>960.82</v>
      </c>
      <c r="F9937" s="998">
        <v>42957.50512731481</v>
      </c>
      <c r="G9937" s="94" t="s">
        <v>453</v>
      </c>
      <c r="H9937" s="987">
        <v>1.11</v>
      </c>
      <c r="I9937" s="988" t="s">
        <v>3145</v>
      </c>
      <c r="J9937" s="67">
        <f t="shared" si="560"/>
        <v>4802.99</v>
      </c>
      <c r="L9937" s="70"/>
      <c r="M9937" s="934"/>
    </row>
    <row r="9938" ht="12.75" hidden="1" customHeight="1" outlineLevel="1">
      <c r="A9938" s="202">
        <v>42957.0</v>
      </c>
      <c r="B9938" s="985" t="s">
        <v>347</v>
      </c>
      <c r="C9938" s="94" t="s">
        <v>344</v>
      </c>
      <c r="D9938" s="94">
        <v>100.0</v>
      </c>
      <c r="E9938" s="94">
        <v>63.1001</v>
      </c>
      <c r="F9938" s="998">
        <v>42957.504270833335</v>
      </c>
      <c r="G9938" s="94" t="s">
        <v>453</v>
      </c>
      <c r="H9938" s="987">
        <v>1.16</v>
      </c>
      <c r="I9938" s="988" t="s">
        <v>3145</v>
      </c>
      <c r="J9938" s="67">
        <f t="shared" si="560"/>
        <v>6308.85</v>
      </c>
      <c r="L9938" s="70"/>
      <c r="M9938" s="934"/>
    </row>
    <row r="9939" ht="12.75" hidden="1" customHeight="1" outlineLevel="1">
      <c r="A9939" s="202">
        <v>42957.0</v>
      </c>
      <c r="B9939" s="985" t="s">
        <v>347</v>
      </c>
      <c r="C9939" s="94" t="s">
        <v>1317</v>
      </c>
      <c r="D9939" s="94">
        <v>55.0</v>
      </c>
      <c r="E9939" s="94">
        <v>61.5</v>
      </c>
      <c r="F9939" s="998">
        <v>42957.50393518519</v>
      </c>
      <c r="G9939" s="94" t="s">
        <v>453</v>
      </c>
      <c r="H9939" s="987">
        <v>1.08</v>
      </c>
      <c r="I9939" s="988" t="s">
        <v>3145</v>
      </c>
      <c r="J9939" s="67">
        <f t="shared" si="560"/>
        <v>3381.42</v>
      </c>
      <c r="L9939" s="70"/>
      <c r="M9939" s="934"/>
    </row>
    <row r="9940" ht="12.75" hidden="1" customHeight="1" outlineLevel="1">
      <c r="A9940" s="202">
        <v>42957.0</v>
      </c>
      <c r="B9940" s="985" t="s">
        <v>347</v>
      </c>
      <c r="C9940" s="94" t="s">
        <v>1310</v>
      </c>
      <c r="D9940" s="94">
        <v>50.0</v>
      </c>
      <c r="E9940" s="94">
        <v>234.97</v>
      </c>
      <c r="F9940" s="998">
        <v>42957.50355324074</v>
      </c>
      <c r="G9940" s="94" t="s">
        <v>453</v>
      </c>
      <c r="H9940" s="987">
        <v>1.28</v>
      </c>
      <c r="I9940" s="988" t="s">
        <v>3145</v>
      </c>
      <c r="J9940" s="67">
        <f t="shared" si="560"/>
        <v>11747.22</v>
      </c>
      <c r="L9940" s="70"/>
      <c r="M9940" s="934"/>
    </row>
    <row r="9941" ht="12.75" hidden="1" customHeight="1" outlineLevel="1">
      <c r="A9941" s="202">
        <v>42957.0</v>
      </c>
      <c r="B9941" s="985" t="s">
        <v>347</v>
      </c>
      <c r="C9941" s="94" t="s">
        <v>2479</v>
      </c>
      <c r="D9941" s="94">
        <v>35.0</v>
      </c>
      <c r="E9941" s="94">
        <v>153.676</v>
      </c>
      <c r="F9941" s="998">
        <v>42957.50309027778</v>
      </c>
      <c r="G9941" s="94" t="s">
        <v>453</v>
      </c>
      <c r="H9941" s="987">
        <v>1.13</v>
      </c>
      <c r="I9941" s="988" t="s">
        <v>3145</v>
      </c>
      <c r="J9941" s="67">
        <f t="shared" si="560"/>
        <v>5377.53</v>
      </c>
      <c r="L9941" s="70"/>
      <c r="M9941" s="934"/>
    </row>
    <row r="9942" ht="12.75" hidden="1" customHeight="1" outlineLevel="1">
      <c r="A9942" s="202">
        <v>42957.0</v>
      </c>
      <c r="B9942" s="985" t="s">
        <v>347</v>
      </c>
      <c r="C9942" s="94" t="s">
        <v>1061</v>
      </c>
      <c r="D9942" s="94">
        <v>500.0</v>
      </c>
      <c r="E9942" s="94">
        <v>49.2104</v>
      </c>
      <c r="F9942" s="998">
        <v>42957.50274305556</v>
      </c>
      <c r="G9942" s="94" t="s">
        <v>453</v>
      </c>
      <c r="H9942" s="987">
        <v>2.63</v>
      </c>
      <c r="I9942" s="988" t="s">
        <v>3145</v>
      </c>
      <c r="J9942" s="67">
        <f t="shared" si="560"/>
        <v>24602.57</v>
      </c>
      <c r="L9942" s="70"/>
      <c r="M9942" s="934"/>
    </row>
    <row r="9943" ht="12.75" hidden="1" customHeight="1" outlineLevel="1">
      <c r="A9943" s="202">
        <v>42957.0</v>
      </c>
      <c r="B9943" s="985" t="s">
        <v>347</v>
      </c>
      <c r="C9943" s="94" t="s">
        <v>1249</v>
      </c>
      <c r="D9943" s="94">
        <v>125.0</v>
      </c>
      <c r="E9943" s="94">
        <v>78.404</v>
      </c>
      <c r="F9943" s="998">
        <v>42957.502280092594</v>
      </c>
      <c r="G9943" s="94" t="s">
        <v>453</v>
      </c>
      <c r="H9943" s="987">
        <v>1.24</v>
      </c>
      <c r="I9943" s="988" t="s">
        <v>3145</v>
      </c>
      <c r="J9943" s="67">
        <f t="shared" si="560"/>
        <v>9799.26</v>
      </c>
      <c r="L9943" s="70"/>
      <c r="M9943" s="934"/>
    </row>
    <row r="9944" ht="12.75" hidden="1" customHeight="1" outlineLevel="1">
      <c r="A9944" s="202">
        <v>42957.0</v>
      </c>
      <c r="B9944" s="985" t="s">
        <v>347</v>
      </c>
      <c r="C9944" s="94" t="s">
        <v>346</v>
      </c>
      <c r="D9944" s="94">
        <v>100.0</v>
      </c>
      <c r="E9944" s="94">
        <v>157.5211</v>
      </c>
      <c r="F9944" s="998">
        <v>42957.50158564815</v>
      </c>
      <c r="G9944" s="94" t="s">
        <v>453</v>
      </c>
      <c r="H9944" s="987">
        <v>1.38</v>
      </c>
      <c r="I9944" s="988" t="s">
        <v>3145</v>
      </c>
      <c r="J9944" s="67">
        <f t="shared" si="560"/>
        <v>15750.73</v>
      </c>
      <c r="L9944" s="70"/>
      <c r="M9944" s="934"/>
    </row>
    <row r="9945" ht="12.75" hidden="1" customHeight="1" outlineLevel="1">
      <c r="A9945" s="202">
        <v>42957.0</v>
      </c>
      <c r="B9945" s="985" t="s">
        <v>347</v>
      </c>
      <c r="C9945" s="94" t="s">
        <v>1185</v>
      </c>
      <c r="D9945" s="94">
        <v>45.0</v>
      </c>
      <c r="E9945" s="94">
        <v>366.8</v>
      </c>
      <c r="F9945" s="998">
        <v>42957.48511574074</v>
      </c>
      <c r="G9945" s="94" t="s">
        <v>453</v>
      </c>
      <c r="H9945" s="987">
        <v>1.39</v>
      </c>
      <c r="I9945" s="988" t="s">
        <v>3145</v>
      </c>
      <c r="J9945" s="67">
        <f t="shared" si="560"/>
        <v>16504.61</v>
      </c>
      <c r="L9945" s="70"/>
      <c r="M9945" s="934"/>
    </row>
    <row r="9946" ht="12.75" hidden="1" customHeight="1" outlineLevel="1">
      <c r="A9946" s="122">
        <v>42961.0</v>
      </c>
      <c r="B9946" s="992"/>
      <c r="C9946" s="32" t="s">
        <v>339</v>
      </c>
      <c r="D9946" s="1"/>
      <c r="F9946" s="1"/>
      <c r="G9946" s="1"/>
      <c r="H9946" s="68"/>
      <c r="I9946" s="76"/>
      <c r="K9946" s="201" t="s">
        <v>3520</v>
      </c>
      <c r="L9946" s="934"/>
      <c r="M9946" s="934"/>
    </row>
    <row r="9947" ht="12.75" hidden="1" customHeight="1" outlineLevel="1">
      <c r="A9947" s="122">
        <v>42961.0</v>
      </c>
      <c r="B9947" s="992"/>
      <c r="C9947" s="32" t="s">
        <v>429</v>
      </c>
      <c r="D9947" s="1"/>
      <c r="F9947" s="1"/>
      <c r="G9947" s="1"/>
      <c r="H9947" s="68"/>
      <c r="I9947" s="76"/>
      <c r="K9947" s="9" t="s">
        <v>3187</v>
      </c>
      <c r="L9947" s="934"/>
      <c r="M9947" s="934"/>
    </row>
    <row r="9948" ht="12.75" hidden="1" customHeight="1" outlineLevel="1">
      <c r="A9948" s="122">
        <v>42961.0</v>
      </c>
      <c r="B9948" s="992"/>
      <c r="C9948" s="32" t="s">
        <v>431</v>
      </c>
      <c r="D9948" s="1"/>
      <c r="F9948" s="1"/>
      <c r="G9948" s="1"/>
      <c r="H9948" s="68"/>
      <c r="I9948" s="76"/>
      <c r="K9948" s="7" t="s">
        <v>1126</v>
      </c>
      <c r="L9948" s="934"/>
      <c r="M9948" s="934"/>
    </row>
    <row r="9949" ht="12.75" hidden="1" customHeight="1" outlineLevel="1">
      <c r="A9949" s="122">
        <v>42961.0</v>
      </c>
      <c r="B9949" s="992"/>
      <c r="C9949" s="32" t="s">
        <v>433</v>
      </c>
      <c r="D9949" s="1"/>
      <c r="F9949" s="1"/>
      <c r="G9949" s="1"/>
      <c r="H9949" s="68"/>
      <c r="I9949" s="76"/>
      <c r="K9949" s="7" t="s">
        <v>1103</v>
      </c>
      <c r="L9949" s="934"/>
      <c r="M9949" s="934"/>
    </row>
    <row r="9950" ht="12.75" hidden="1" customHeight="1" outlineLevel="1">
      <c r="A9950" s="122">
        <v>42961.0</v>
      </c>
      <c r="B9950" s="992"/>
      <c r="C9950" s="32" t="s">
        <v>435</v>
      </c>
      <c r="D9950" s="1"/>
      <c r="F9950" s="1"/>
      <c r="G9950" s="1"/>
      <c r="H9950" s="68"/>
      <c r="I9950" s="76"/>
      <c r="K9950" s="9" t="s">
        <v>3331</v>
      </c>
      <c r="L9950" s="934"/>
      <c r="M9950" s="934"/>
    </row>
    <row r="9951" ht="12.75" hidden="1" customHeight="1" outlineLevel="1">
      <c r="A9951" s="202">
        <v>42963.0</v>
      </c>
      <c r="B9951" s="985" t="s">
        <v>343</v>
      </c>
      <c r="C9951" s="94" t="s">
        <v>1061</v>
      </c>
      <c r="D9951" s="94">
        <v>150.0</v>
      </c>
      <c r="E9951" s="94">
        <v>49.25</v>
      </c>
      <c r="F9951" s="986">
        <v>0.4450925925925926</v>
      </c>
      <c r="G9951" s="94" t="s">
        <v>453</v>
      </c>
      <c r="H9951" s="987">
        <v>1.0</v>
      </c>
      <c r="I9951" s="988" t="s">
        <v>3145</v>
      </c>
      <c r="J9951" s="67">
        <f>IF(B9951="SLD",D9951*E9951,-D9951*E9951)-H9951</f>
        <v>-7388.5</v>
      </c>
      <c r="L9951" s="70"/>
      <c r="M9951" s="934"/>
    </row>
    <row r="9952" ht="12.75" hidden="1" customHeight="1" outlineLevel="1">
      <c r="A9952" s="122">
        <v>42963.0</v>
      </c>
      <c r="B9952" s="992"/>
      <c r="C9952" s="32" t="s">
        <v>339</v>
      </c>
      <c r="D9952" s="1"/>
      <c r="F9952" s="1"/>
      <c r="G9952" s="1"/>
      <c r="H9952" s="68"/>
      <c r="I9952" s="76"/>
      <c r="K9952" s="201" t="s">
        <v>3520</v>
      </c>
      <c r="L9952" s="934"/>
      <c r="M9952" s="934"/>
    </row>
    <row r="9953" ht="12.75" hidden="1" customHeight="1" outlineLevel="1">
      <c r="A9953" s="122">
        <v>42963.0</v>
      </c>
      <c r="B9953" s="992"/>
      <c r="C9953" s="32" t="s">
        <v>429</v>
      </c>
      <c r="D9953" s="1"/>
      <c r="F9953" s="1"/>
      <c r="G9953" s="1"/>
      <c r="H9953" s="68"/>
      <c r="I9953" s="76"/>
      <c r="K9953" s="9" t="s">
        <v>3187</v>
      </c>
      <c r="L9953" s="934"/>
      <c r="M9953" s="934"/>
    </row>
    <row r="9954" ht="12.75" hidden="1" customHeight="1" outlineLevel="1">
      <c r="A9954" s="122">
        <v>42963.0</v>
      </c>
      <c r="B9954" s="992"/>
      <c r="C9954" s="32" t="s">
        <v>431</v>
      </c>
      <c r="D9954" s="1"/>
      <c r="F9954" s="1"/>
      <c r="G9954" s="1"/>
      <c r="H9954" s="68"/>
      <c r="I9954" s="76"/>
      <c r="K9954" s="7" t="s">
        <v>1126</v>
      </c>
      <c r="L9954" s="934"/>
      <c r="M9954" s="934"/>
    </row>
    <row r="9955" ht="12.75" hidden="1" customHeight="1" outlineLevel="1">
      <c r="A9955" s="122">
        <v>42963.0</v>
      </c>
      <c r="B9955" s="992"/>
      <c r="C9955" s="32" t="s">
        <v>433</v>
      </c>
      <c r="D9955" s="1"/>
      <c r="F9955" s="1"/>
      <c r="G9955" s="1"/>
      <c r="H9955" s="68"/>
      <c r="I9955" s="76"/>
      <c r="K9955" s="7" t="s">
        <v>1103</v>
      </c>
      <c r="L9955" s="934"/>
      <c r="M9955" s="934"/>
    </row>
    <row r="9956" ht="12.75" hidden="1" customHeight="1" outlineLevel="1">
      <c r="A9956" s="122">
        <v>42963.0</v>
      </c>
      <c r="B9956" s="992"/>
      <c r="C9956" s="32" t="s">
        <v>435</v>
      </c>
      <c r="D9956" s="1"/>
      <c r="F9956" s="1"/>
      <c r="G9956" s="1"/>
      <c r="H9956" s="68"/>
      <c r="I9956" s="76"/>
      <c r="K9956" s="9" t="s">
        <v>3331</v>
      </c>
      <c r="L9956" s="934"/>
      <c r="M9956" s="934"/>
    </row>
    <row r="9957" ht="12.75" hidden="1" customHeight="1" outlineLevel="1">
      <c r="A9957" s="122">
        <v>42969.0</v>
      </c>
      <c r="B9957" s="974" t="s">
        <v>343</v>
      </c>
      <c r="C9957" s="32" t="s">
        <v>1061</v>
      </c>
      <c r="D9957" s="32">
        <v>450.0</v>
      </c>
      <c r="E9957" s="94">
        <v>48.11</v>
      </c>
      <c r="F9957" s="1"/>
      <c r="G9957" s="94" t="s">
        <v>453</v>
      </c>
      <c r="H9957" s="987">
        <v>5.0</v>
      </c>
      <c r="I9957" s="988" t="s">
        <v>3145</v>
      </c>
      <c r="J9957" s="67">
        <f>IF(B9957="SLD",D9957*E9957,-D9957*E9957)-H9957</f>
        <v>-21654.5</v>
      </c>
      <c r="L9957" s="70"/>
      <c r="M9957" s="934"/>
    </row>
    <row r="9958" ht="12.75" hidden="1" customHeight="1" outlineLevel="1">
      <c r="A9958" s="122">
        <v>42977.0</v>
      </c>
      <c r="B9958" s="992"/>
      <c r="C9958" s="32" t="s">
        <v>339</v>
      </c>
      <c r="D9958" s="1"/>
      <c r="F9958" s="1"/>
      <c r="G9958" s="1"/>
      <c r="H9958" s="68"/>
      <c r="I9958" s="76"/>
      <c r="K9958" s="201" t="s">
        <v>3525</v>
      </c>
      <c r="L9958" s="934"/>
      <c r="M9958" s="934"/>
    </row>
    <row r="9959" ht="12.75" hidden="1" customHeight="1" outlineLevel="1">
      <c r="A9959" s="122">
        <v>42977.0</v>
      </c>
      <c r="B9959" s="992"/>
      <c r="C9959" s="32" t="s">
        <v>429</v>
      </c>
      <c r="D9959" s="1"/>
      <c r="F9959" s="1"/>
      <c r="G9959" s="1"/>
      <c r="H9959" s="68"/>
      <c r="I9959" s="76"/>
      <c r="K9959" s="9" t="s">
        <v>3187</v>
      </c>
      <c r="L9959" s="934"/>
      <c r="M9959" s="934"/>
    </row>
    <row r="9960" ht="12.75" hidden="1" customHeight="1" outlineLevel="1">
      <c r="A9960" s="122">
        <v>42977.0</v>
      </c>
      <c r="B9960" s="992"/>
      <c r="C9960" s="32" t="s">
        <v>431</v>
      </c>
      <c r="D9960" s="1"/>
      <c r="F9960" s="1"/>
      <c r="G9960" s="1"/>
      <c r="H9960" s="68"/>
      <c r="I9960" s="76"/>
      <c r="K9960" s="7" t="s">
        <v>1126</v>
      </c>
      <c r="L9960" s="934"/>
      <c r="M9960" s="934"/>
    </row>
    <row r="9961" ht="12.75" hidden="1" customHeight="1" outlineLevel="1">
      <c r="A9961" s="122">
        <v>42977.0</v>
      </c>
      <c r="B9961" s="992"/>
      <c r="C9961" s="32" t="s">
        <v>433</v>
      </c>
      <c r="D9961" s="1"/>
      <c r="F9961" s="1"/>
      <c r="G9961" s="1"/>
      <c r="H9961" s="68"/>
      <c r="I9961" s="76"/>
      <c r="K9961" s="7" t="s">
        <v>1103</v>
      </c>
      <c r="L9961" s="934"/>
      <c r="M9961" s="934"/>
    </row>
    <row r="9962" ht="12.75" hidden="1" customHeight="1" outlineLevel="1">
      <c r="A9962" s="122">
        <v>42977.0</v>
      </c>
      <c r="B9962" s="992"/>
      <c r="C9962" s="32" t="s">
        <v>435</v>
      </c>
      <c r="D9962" s="1"/>
      <c r="F9962" s="1"/>
      <c r="G9962" s="1"/>
      <c r="H9962" s="68"/>
      <c r="I9962" s="76"/>
      <c r="K9962" s="9" t="s">
        <v>3331</v>
      </c>
      <c r="L9962" s="934"/>
      <c r="M9962" s="934"/>
    </row>
    <row r="9963" ht="12.75" hidden="1" customHeight="1" outlineLevel="1">
      <c r="A9963" s="122">
        <v>42977.0</v>
      </c>
      <c r="B9963" s="992"/>
      <c r="C9963" s="32" t="s">
        <v>339</v>
      </c>
      <c r="D9963" s="1"/>
      <c r="F9963" s="1"/>
      <c r="G9963" s="1"/>
      <c r="H9963" s="68"/>
      <c r="I9963" s="76"/>
      <c r="K9963" s="201" t="s">
        <v>3527</v>
      </c>
      <c r="L9963" s="934"/>
      <c r="M9963" s="934"/>
    </row>
    <row r="9964" ht="12.75" hidden="1" customHeight="1" outlineLevel="1">
      <c r="A9964" s="122">
        <v>42977.0</v>
      </c>
      <c r="B9964" s="992"/>
      <c r="C9964" s="32" t="s">
        <v>429</v>
      </c>
      <c r="D9964" s="1"/>
      <c r="F9964" s="1"/>
      <c r="G9964" s="1"/>
      <c r="H9964" s="68"/>
      <c r="I9964" s="76"/>
      <c r="K9964" s="9" t="s">
        <v>3187</v>
      </c>
      <c r="L9964" s="934"/>
      <c r="M9964" s="934"/>
    </row>
    <row r="9965" ht="12.75" hidden="1" customHeight="1" outlineLevel="1">
      <c r="A9965" s="122">
        <v>42977.0</v>
      </c>
      <c r="B9965" s="992"/>
      <c r="C9965" s="32" t="s">
        <v>431</v>
      </c>
      <c r="D9965" s="1"/>
      <c r="F9965" s="1"/>
      <c r="G9965" s="1"/>
      <c r="H9965" s="68"/>
      <c r="I9965" s="76"/>
      <c r="K9965" s="7" t="s">
        <v>1126</v>
      </c>
      <c r="L9965" s="934"/>
      <c r="M9965" s="934"/>
    </row>
    <row r="9966" ht="12.75" hidden="1" customHeight="1" outlineLevel="1">
      <c r="A9966" s="122">
        <v>42977.0</v>
      </c>
      <c r="B9966" s="992"/>
      <c r="C9966" s="32" t="s">
        <v>433</v>
      </c>
      <c r="D9966" s="1"/>
      <c r="F9966" s="1"/>
      <c r="G9966" s="1"/>
      <c r="H9966" s="68"/>
      <c r="I9966" s="76"/>
      <c r="K9966" s="7" t="s">
        <v>1103</v>
      </c>
      <c r="L9966" s="934"/>
      <c r="M9966" s="934"/>
    </row>
    <row r="9967" ht="12.75" hidden="1" customHeight="1" outlineLevel="1">
      <c r="A9967" s="122">
        <v>42977.0</v>
      </c>
      <c r="B9967" s="992"/>
      <c r="C9967" s="32" t="s">
        <v>435</v>
      </c>
      <c r="D9967" s="1"/>
      <c r="F9967" s="1"/>
      <c r="G9967" s="1"/>
      <c r="H9967" s="68"/>
      <c r="I9967" s="76"/>
      <c r="K9967" s="9" t="s">
        <v>3331</v>
      </c>
      <c r="L9967" s="934"/>
      <c r="M9967" s="934"/>
    </row>
    <row r="9968" ht="12.75" hidden="1" customHeight="1" outlineLevel="1">
      <c r="A9968" s="122">
        <v>42988.0</v>
      </c>
      <c r="B9968" s="992"/>
      <c r="C9968" s="32" t="s">
        <v>339</v>
      </c>
      <c r="D9968" s="1"/>
      <c r="F9968" s="1"/>
      <c r="G9968" s="1"/>
      <c r="H9968" s="68"/>
      <c r="I9968" s="76"/>
      <c r="K9968" s="201" t="s">
        <v>3529</v>
      </c>
      <c r="L9968" s="934"/>
      <c r="M9968" s="934"/>
    </row>
    <row r="9969" ht="12.75" hidden="1" customHeight="1" outlineLevel="1">
      <c r="A9969" s="122">
        <v>42988.0</v>
      </c>
      <c r="B9969" s="992"/>
      <c r="C9969" s="32" t="s">
        <v>429</v>
      </c>
      <c r="D9969" s="1"/>
      <c r="F9969" s="1"/>
      <c r="G9969" s="1"/>
      <c r="H9969" s="68"/>
      <c r="I9969" s="76"/>
      <c r="K9969" s="9" t="s">
        <v>3187</v>
      </c>
      <c r="L9969" s="934"/>
      <c r="M9969" s="934"/>
    </row>
    <row r="9970" ht="12.75" hidden="1" customHeight="1" outlineLevel="1">
      <c r="A9970" s="122">
        <v>42988.0</v>
      </c>
      <c r="B9970" s="992"/>
      <c r="C9970" s="32" t="s">
        <v>431</v>
      </c>
      <c r="D9970" s="1"/>
      <c r="F9970" s="1"/>
      <c r="G9970" s="1"/>
      <c r="H9970" s="68"/>
      <c r="I9970" s="76"/>
      <c r="K9970" s="7" t="s">
        <v>1126</v>
      </c>
      <c r="L9970" s="934"/>
      <c r="M9970" s="934"/>
    </row>
    <row r="9971" ht="12.75" hidden="1" customHeight="1" outlineLevel="1">
      <c r="A9971" s="122">
        <v>42988.0</v>
      </c>
      <c r="B9971" s="992"/>
      <c r="C9971" s="32" t="s">
        <v>433</v>
      </c>
      <c r="D9971" s="1"/>
      <c r="F9971" s="1"/>
      <c r="G9971" s="1"/>
      <c r="H9971" s="68"/>
      <c r="I9971" s="76"/>
      <c r="K9971" s="7" t="s">
        <v>1103</v>
      </c>
      <c r="L9971" s="934"/>
      <c r="M9971" s="934"/>
    </row>
    <row r="9972" ht="12.75" hidden="1" customHeight="1" outlineLevel="1">
      <c r="A9972" s="122">
        <v>42988.0</v>
      </c>
      <c r="B9972" s="992"/>
      <c r="C9972" s="32" t="s">
        <v>435</v>
      </c>
      <c r="D9972" s="1"/>
      <c r="F9972" s="1"/>
      <c r="G9972" s="1"/>
      <c r="H9972" s="68"/>
      <c r="I9972" s="76"/>
      <c r="K9972" s="9" t="s">
        <v>3331</v>
      </c>
      <c r="L9972" s="934"/>
      <c r="M9972" s="934"/>
    </row>
    <row r="9973" ht="12.75" hidden="1" customHeight="1" outlineLevel="1">
      <c r="A9973" s="202">
        <v>42989.0</v>
      </c>
      <c r="B9973" s="985" t="s">
        <v>343</v>
      </c>
      <c r="C9973" s="94" t="s">
        <v>2783</v>
      </c>
      <c r="D9973" s="94">
        <v>100.0</v>
      </c>
      <c r="E9973" s="94">
        <v>39.85</v>
      </c>
      <c r="F9973" s="986">
        <v>0.6635185185185185</v>
      </c>
      <c r="G9973" s="94" t="s">
        <v>453</v>
      </c>
      <c r="H9973" s="987">
        <v>1.0</v>
      </c>
      <c r="I9973" s="988" t="s">
        <v>3145</v>
      </c>
      <c r="J9973" s="67">
        <f t="shared" ref="J9973:J9980" si="561">IF(B9973="SLD",D9973*E9973,-D9973*E9973)-H9973</f>
        <v>-3986</v>
      </c>
      <c r="L9973" s="70"/>
      <c r="M9973" s="934"/>
    </row>
    <row r="9974" ht="12.75" hidden="1" customHeight="1" outlineLevel="1">
      <c r="A9974" s="202">
        <v>42989.0</v>
      </c>
      <c r="B9974" s="985" t="s">
        <v>343</v>
      </c>
      <c r="C9974" s="94" t="s">
        <v>1164</v>
      </c>
      <c r="D9974" s="94">
        <v>225.0</v>
      </c>
      <c r="E9974" s="94">
        <v>53.5899</v>
      </c>
      <c r="F9974" s="986">
        <v>0.6630208333333333</v>
      </c>
      <c r="G9974" s="94" t="s">
        <v>453</v>
      </c>
      <c r="H9974" s="987">
        <v>1.0</v>
      </c>
      <c r="I9974" s="988" t="s">
        <v>3145</v>
      </c>
      <c r="J9974" s="67">
        <f t="shared" si="561"/>
        <v>-12058.7275</v>
      </c>
      <c r="L9974" s="70"/>
      <c r="M9974" s="934"/>
    </row>
    <row r="9975" ht="12.75" hidden="1" customHeight="1" outlineLevel="1">
      <c r="A9975" s="202">
        <v>42989.0</v>
      </c>
      <c r="B9975" s="985" t="s">
        <v>343</v>
      </c>
      <c r="C9975" s="94" t="s">
        <v>1158</v>
      </c>
      <c r="D9975" s="94">
        <v>225.0</v>
      </c>
      <c r="E9975" s="94">
        <v>48.909</v>
      </c>
      <c r="F9975" s="986">
        <v>0.6625810185185185</v>
      </c>
      <c r="G9975" s="94" t="s">
        <v>453</v>
      </c>
      <c r="H9975" s="987">
        <v>1.0</v>
      </c>
      <c r="I9975" s="988" t="s">
        <v>3145</v>
      </c>
      <c r="J9975" s="67">
        <f t="shared" si="561"/>
        <v>-11005.525</v>
      </c>
      <c r="L9975" s="70"/>
      <c r="M9975" s="934"/>
    </row>
    <row r="9976" ht="12.75" hidden="1" customHeight="1" outlineLevel="1">
      <c r="A9976" s="202">
        <v>42996.0</v>
      </c>
      <c r="B9976" s="985" t="s">
        <v>343</v>
      </c>
      <c r="C9976" s="94" t="s">
        <v>1411</v>
      </c>
      <c r="D9976" s="94">
        <v>100.0</v>
      </c>
      <c r="E9976" s="94">
        <v>94.4892</v>
      </c>
      <c r="F9976" s="986">
        <v>0.6407407407407407</v>
      </c>
      <c r="G9976" s="94" t="s">
        <v>453</v>
      </c>
      <c r="H9976" s="987">
        <v>1.0</v>
      </c>
      <c r="I9976" s="988" t="s">
        <v>3145</v>
      </c>
      <c r="J9976" s="67">
        <f t="shared" si="561"/>
        <v>-9449.92</v>
      </c>
      <c r="L9976" s="70"/>
      <c r="M9976" s="934"/>
    </row>
    <row r="9977" ht="12.75" hidden="1" customHeight="1" outlineLevel="1">
      <c r="A9977" s="202">
        <v>42996.0</v>
      </c>
      <c r="B9977" s="985" t="s">
        <v>343</v>
      </c>
      <c r="C9977" s="94" t="s">
        <v>1483</v>
      </c>
      <c r="D9977" s="286">
        <v>1000.0</v>
      </c>
      <c r="E9977" s="94">
        <v>2.6</v>
      </c>
      <c r="F9977" s="986">
        <v>0.6404050925925926</v>
      </c>
      <c r="G9977" s="94" t="s">
        <v>453</v>
      </c>
      <c r="H9977" s="987">
        <v>5.0</v>
      </c>
      <c r="I9977" s="988" t="s">
        <v>3145</v>
      </c>
      <c r="J9977" s="67">
        <f t="shared" si="561"/>
        <v>-2605</v>
      </c>
      <c r="L9977" s="70"/>
      <c r="M9977" s="934"/>
    </row>
    <row r="9978" ht="12.75" hidden="1" customHeight="1" outlineLevel="1">
      <c r="A9978" s="202">
        <v>42996.0</v>
      </c>
      <c r="B9978" s="985" t="s">
        <v>343</v>
      </c>
      <c r="C9978" s="94" t="s">
        <v>1485</v>
      </c>
      <c r="D9978" s="286">
        <v>1000.0</v>
      </c>
      <c r="E9978" s="94">
        <v>6.91</v>
      </c>
      <c r="F9978" s="986">
        <v>0.6402430555555556</v>
      </c>
      <c r="G9978" s="94" t="s">
        <v>453</v>
      </c>
      <c r="H9978" s="987">
        <v>5.0</v>
      </c>
      <c r="I9978" s="988" t="s">
        <v>3145</v>
      </c>
      <c r="J9978" s="67">
        <f t="shared" si="561"/>
        <v>-6915</v>
      </c>
      <c r="L9978" s="70"/>
      <c r="M9978" s="934"/>
    </row>
    <row r="9979" ht="12.75" hidden="1" customHeight="1" outlineLevel="1">
      <c r="A9979" s="202">
        <v>42996.0</v>
      </c>
      <c r="B9979" s="985" t="s">
        <v>343</v>
      </c>
      <c r="C9979" s="94" t="s">
        <v>604</v>
      </c>
      <c r="D9979" s="286">
        <v>1000.0</v>
      </c>
      <c r="E9979" s="94">
        <v>2.75</v>
      </c>
      <c r="F9979" s="986">
        <v>0.6400231481481482</v>
      </c>
      <c r="G9979" s="94" t="s">
        <v>453</v>
      </c>
      <c r="H9979" s="987">
        <v>5.0</v>
      </c>
      <c r="I9979" s="988" t="s">
        <v>3145</v>
      </c>
      <c r="J9979" s="67">
        <f t="shared" si="561"/>
        <v>-2755</v>
      </c>
      <c r="L9979" s="70"/>
      <c r="M9979" s="934"/>
    </row>
    <row r="9980" ht="12.75" hidden="1" customHeight="1" outlineLevel="1">
      <c r="A9980" s="202">
        <v>42996.0</v>
      </c>
      <c r="B9980" s="985" t="s">
        <v>343</v>
      </c>
      <c r="C9980" s="94" t="s">
        <v>1092</v>
      </c>
      <c r="D9980" s="286">
        <v>1000.0</v>
      </c>
      <c r="E9980" s="94">
        <v>7.05</v>
      </c>
      <c r="F9980" s="986">
        <v>0.6398958333333333</v>
      </c>
      <c r="G9980" s="94" t="s">
        <v>453</v>
      </c>
      <c r="H9980" s="987">
        <v>5.0</v>
      </c>
      <c r="I9980" s="988" t="s">
        <v>3145</v>
      </c>
      <c r="J9980" s="67">
        <f t="shared" si="561"/>
        <v>-7055</v>
      </c>
      <c r="L9980" s="70"/>
      <c r="M9980" s="934"/>
    </row>
    <row r="9981" ht="12.75" hidden="1" customHeight="1" outlineLevel="1">
      <c r="A9981" s="122">
        <v>42996.0</v>
      </c>
      <c r="B9981" s="992"/>
      <c r="C9981" s="32" t="s">
        <v>339</v>
      </c>
      <c r="D9981" s="1"/>
      <c r="F9981" s="1"/>
      <c r="G9981" s="1"/>
      <c r="H9981" s="68"/>
      <c r="I9981" s="76"/>
      <c r="K9981" s="201" t="s">
        <v>3534</v>
      </c>
      <c r="L9981" s="934"/>
      <c r="M9981" s="934"/>
    </row>
    <row r="9982" ht="12.75" hidden="1" customHeight="1" outlineLevel="1">
      <c r="A9982" s="122">
        <v>42996.0</v>
      </c>
      <c r="B9982" s="992"/>
      <c r="C9982" s="32" t="s">
        <v>429</v>
      </c>
      <c r="D9982" s="1"/>
      <c r="F9982" s="1"/>
      <c r="G9982" s="1"/>
      <c r="H9982" s="68"/>
      <c r="I9982" s="76"/>
      <c r="K9982" s="9" t="s">
        <v>3187</v>
      </c>
      <c r="L9982" s="934"/>
      <c r="M9982" s="934"/>
    </row>
    <row r="9983" ht="12.75" hidden="1" customHeight="1" outlineLevel="1">
      <c r="A9983" s="122">
        <v>42996.0</v>
      </c>
      <c r="B9983" s="992"/>
      <c r="C9983" s="32" t="s">
        <v>431</v>
      </c>
      <c r="D9983" s="1"/>
      <c r="F9983" s="1"/>
      <c r="G9983" s="1"/>
      <c r="H9983" s="68"/>
      <c r="I9983" s="76"/>
      <c r="K9983" s="7" t="s">
        <v>1126</v>
      </c>
      <c r="L9983" s="934"/>
      <c r="M9983" s="934"/>
    </row>
    <row r="9984" ht="12.75" hidden="1" customHeight="1" outlineLevel="1">
      <c r="A9984" s="122">
        <v>42996.0</v>
      </c>
      <c r="B9984" s="992"/>
      <c r="C9984" s="32" t="s">
        <v>433</v>
      </c>
      <c r="D9984" s="1"/>
      <c r="F9984" s="1"/>
      <c r="G9984" s="1"/>
      <c r="H9984" s="68"/>
      <c r="I9984" s="76"/>
      <c r="K9984" s="7" t="s">
        <v>1103</v>
      </c>
      <c r="L9984" s="934"/>
      <c r="M9984" s="934"/>
    </row>
    <row r="9985" ht="12.75" hidden="1" customHeight="1" outlineLevel="1">
      <c r="A9985" s="122">
        <v>42996.0</v>
      </c>
      <c r="B9985" s="992"/>
      <c r="C9985" s="32" t="s">
        <v>435</v>
      </c>
      <c r="D9985" s="1"/>
      <c r="F9985" s="1"/>
      <c r="G9985" s="1"/>
      <c r="H9985" s="68"/>
      <c r="I9985" s="76"/>
      <c r="K9985" s="9" t="s">
        <v>3331</v>
      </c>
      <c r="L9985" s="934"/>
      <c r="M9985" s="934"/>
    </row>
    <row r="9986" ht="12.75" hidden="1" customHeight="1" outlineLevel="1">
      <c r="A9986" s="202">
        <v>43004.0</v>
      </c>
      <c r="B9986" s="985" t="s">
        <v>343</v>
      </c>
      <c r="C9986" s="94" t="s">
        <v>1061</v>
      </c>
      <c r="D9986" s="94">
        <v>400.0</v>
      </c>
      <c r="E9986" s="94">
        <v>50.4999</v>
      </c>
      <c r="F9986" s="986">
        <v>0.44873842592592594</v>
      </c>
      <c r="G9986" s="94" t="s">
        <v>453</v>
      </c>
      <c r="H9986" s="987">
        <v>1.6</v>
      </c>
      <c r="I9986" s="988" t="s">
        <v>3145</v>
      </c>
      <c r="J9986" s="67">
        <f t="shared" ref="J9986:J9990" si="562">IF(B9986="SLD",D9986*E9986,-D9986*E9986)-H9986</f>
        <v>-20201.56</v>
      </c>
      <c r="L9986" s="70"/>
      <c r="M9986" s="934"/>
    </row>
    <row r="9987" ht="12.75" hidden="1" customHeight="1" outlineLevel="1">
      <c r="A9987" s="202">
        <v>43004.0</v>
      </c>
      <c r="B9987" s="985" t="s">
        <v>343</v>
      </c>
      <c r="C9987" s="94" t="s">
        <v>1483</v>
      </c>
      <c r="D9987" s="286">
        <v>1000.0</v>
      </c>
      <c r="E9987" s="94">
        <v>2.71</v>
      </c>
      <c r="F9987" s="986">
        <v>0.4328240740740741</v>
      </c>
      <c r="G9987" s="94" t="s">
        <v>453</v>
      </c>
      <c r="H9987" s="987">
        <v>5.0</v>
      </c>
      <c r="I9987" s="988" t="s">
        <v>3145</v>
      </c>
      <c r="J9987" s="67">
        <f t="shared" si="562"/>
        <v>-2715</v>
      </c>
      <c r="L9987" s="70"/>
      <c r="M9987" s="934"/>
    </row>
    <row r="9988" ht="12.75" hidden="1" customHeight="1" outlineLevel="1">
      <c r="A9988" s="202">
        <v>43004.0</v>
      </c>
      <c r="B9988" s="985" t="s">
        <v>343</v>
      </c>
      <c r="C9988" s="94" t="s">
        <v>604</v>
      </c>
      <c r="D9988" s="286">
        <v>1000.0</v>
      </c>
      <c r="E9988" s="94">
        <v>2.81</v>
      </c>
      <c r="F9988" s="986">
        <v>0.43267361111111113</v>
      </c>
      <c r="G9988" s="94" t="s">
        <v>453</v>
      </c>
      <c r="H9988" s="987">
        <v>5.0</v>
      </c>
      <c r="I9988" s="988" t="s">
        <v>3145</v>
      </c>
      <c r="J9988" s="67">
        <f t="shared" si="562"/>
        <v>-2815</v>
      </c>
      <c r="L9988" s="70"/>
      <c r="M9988" s="934"/>
    </row>
    <row r="9989" ht="12.75" hidden="1" customHeight="1" outlineLevel="1">
      <c r="A9989" s="202">
        <v>43004.0</v>
      </c>
      <c r="B9989" s="985" t="s">
        <v>343</v>
      </c>
      <c r="C9989" s="94" t="s">
        <v>1485</v>
      </c>
      <c r="D9989" s="286">
        <v>1000.0</v>
      </c>
      <c r="E9989" s="94">
        <v>6.98</v>
      </c>
      <c r="F9989" s="986">
        <v>0.4323726851851852</v>
      </c>
      <c r="G9989" s="94" t="s">
        <v>453</v>
      </c>
      <c r="H9989" s="987">
        <v>5.0</v>
      </c>
      <c r="I9989" s="988" t="s">
        <v>3145</v>
      </c>
      <c r="J9989" s="67">
        <f t="shared" si="562"/>
        <v>-6985</v>
      </c>
      <c r="L9989" s="70"/>
      <c r="M9989" s="934"/>
    </row>
    <row r="9990" ht="12.75" hidden="1" customHeight="1" outlineLevel="1">
      <c r="A9990" s="202">
        <v>43004.0</v>
      </c>
      <c r="B9990" s="985" t="s">
        <v>343</v>
      </c>
      <c r="C9990" s="94" t="s">
        <v>1092</v>
      </c>
      <c r="D9990" s="286">
        <v>1000.0</v>
      </c>
      <c r="E9990" s="94">
        <v>7.08</v>
      </c>
      <c r="F9990" s="986">
        <v>0.4321527777777778</v>
      </c>
      <c r="G9990" s="94" t="s">
        <v>453</v>
      </c>
      <c r="H9990" s="987">
        <v>5.0</v>
      </c>
      <c r="I9990" s="988" t="s">
        <v>3145</v>
      </c>
      <c r="J9990" s="67">
        <f t="shared" si="562"/>
        <v>-7085</v>
      </c>
      <c r="L9990" s="70"/>
      <c r="M9990" s="934"/>
    </row>
    <row r="9991" ht="12.75" hidden="1" customHeight="1" outlineLevel="1">
      <c r="A9991" s="122">
        <v>43004.0</v>
      </c>
      <c r="B9991" s="992"/>
      <c r="C9991" s="32" t="s">
        <v>339</v>
      </c>
      <c r="D9991" s="1"/>
      <c r="F9991" s="1"/>
      <c r="G9991" s="1"/>
      <c r="H9991" s="68"/>
      <c r="I9991" s="76"/>
      <c r="K9991" s="201" t="s">
        <v>3534</v>
      </c>
      <c r="L9991" s="934"/>
      <c r="M9991" s="934"/>
    </row>
    <row r="9992" ht="12.75" hidden="1" customHeight="1" outlineLevel="1">
      <c r="A9992" s="122">
        <v>43004.0</v>
      </c>
      <c r="B9992" s="992"/>
      <c r="C9992" s="32" t="s">
        <v>429</v>
      </c>
      <c r="D9992" s="1"/>
      <c r="F9992" s="1"/>
      <c r="G9992" s="1"/>
      <c r="H9992" s="68"/>
      <c r="I9992" s="76"/>
      <c r="K9992" s="9" t="s">
        <v>3187</v>
      </c>
      <c r="L9992" s="934"/>
      <c r="M9992" s="934"/>
    </row>
    <row r="9993" ht="12.75" hidden="1" customHeight="1" outlineLevel="1">
      <c r="A9993" s="122">
        <v>43004.0</v>
      </c>
      <c r="B9993" s="992"/>
      <c r="C9993" s="32" t="s">
        <v>431</v>
      </c>
      <c r="D9993" s="1"/>
      <c r="F9993" s="1"/>
      <c r="G9993" s="1"/>
      <c r="H9993" s="68"/>
      <c r="I9993" s="76"/>
      <c r="K9993" s="7" t="s">
        <v>1126</v>
      </c>
      <c r="L9993" s="934"/>
      <c r="M9993" s="934"/>
    </row>
    <row r="9994" ht="12.75" hidden="1" customHeight="1" outlineLevel="1">
      <c r="A9994" s="122">
        <v>43004.0</v>
      </c>
      <c r="B9994" s="992"/>
      <c r="C9994" s="32" t="s">
        <v>433</v>
      </c>
      <c r="D9994" s="1"/>
      <c r="F9994" s="1"/>
      <c r="G9994" s="1"/>
      <c r="H9994" s="68"/>
      <c r="I9994" s="76"/>
      <c r="K9994" s="7" t="s">
        <v>1103</v>
      </c>
      <c r="L9994" s="934"/>
      <c r="M9994" s="934"/>
    </row>
    <row r="9995" ht="12.75" hidden="1" customHeight="1" outlineLevel="1">
      <c r="A9995" s="122">
        <v>43004.0</v>
      </c>
      <c r="B9995" s="992"/>
      <c r="C9995" s="32" t="s">
        <v>435</v>
      </c>
      <c r="D9995" s="1"/>
      <c r="F9995" s="1"/>
      <c r="G9995" s="1"/>
      <c r="H9995" s="68"/>
      <c r="I9995" s="76"/>
      <c r="K9995" s="9" t="s">
        <v>3331</v>
      </c>
      <c r="L9995" s="934"/>
      <c r="M9995" s="934"/>
    </row>
    <row r="9996" ht="12.75" hidden="1" customHeight="1" outlineLevel="1">
      <c r="A9996" s="122">
        <v>43004.0</v>
      </c>
      <c r="B9996" s="992"/>
      <c r="C9996" s="32" t="s">
        <v>339</v>
      </c>
      <c r="D9996" s="1"/>
      <c r="F9996" s="1"/>
      <c r="G9996" s="1"/>
      <c r="H9996" s="68"/>
      <c r="I9996" s="76"/>
      <c r="K9996" s="201" t="s">
        <v>3542</v>
      </c>
      <c r="L9996" s="934"/>
      <c r="M9996" s="934"/>
    </row>
    <row r="9997" ht="12.75" hidden="1" customHeight="1" outlineLevel="1">
      <c r="A9997" s="122">
        <v>43004.0</v>
      </c>
      <c r="B9997" s="992"/>
      <c r="C9997" s="32" t="s">
        <v>429</v>
      </c>
      <c r="D9997" s="1"/>
      <c r="F9997" s="1"/>
      <c r="G9997" s="1"/>
      <c r="H9997" s="68"/>
      <c r="I9997" s="76"/>
      <c r="K9997" s="9" t="s">
        <v>3187</v>
      </c>
      <c r="L9997" s="934"/>
      <c r="M9997" s="934"/>
    </row>
    <row r="9998" ht="12.75" hidden="1" customHeight="1" outlineLevel="1">
      <c r="A9998" s="122">
        <v>43004.0</v>
      </c>
      <c r="B9998" s="992"/>
      <c r="C9998" s="32" t="s">
        <v>431</v>
      </c>
      <c r="D9998" s="1"/>
      <c r="F9998" s="1"/>
      <c r="G9998" s="1"/>
      <c r="H9998" s="68"/>
      <c r="I9998" s="76"/>
      <c r="K9998" s="7" t="s">
        <v>1126</v>
      </c>
      <c r="L9998" s="934"/>
      <c r="M9998" s="934"/>
    </row>
    <row r="9999" ht="12.75" hidden="1" customHeight="1" outlineLevel="1">
      <c r="A9999" s="122">
        <v>43004.0</v>
      </c>
      <c r="B9999" s="992"/>
      <c r="C9999" s="32" t="s">
        <v>433</v>
      </c>
      <c r="D9999" s="1"/>
      <c r="F9999" s="1"/>
      <c r="G9999" s="1"/>
      <c r="H9999" s="68"/>
      <c r="I9999" s="76"/>
      <c r="K9999" s="7" t="s">
        <v>1103</v>
      </c>
      <c r="L9999" s="934"/>
      <c r="M9999" s="934"/>
    </row>
    <row r="10000" ht="12.75" hidden="1" customHeight="1" outlineLevel="1">
      <c r="A10000" s="122">
        <v>43004.0</v>
      </c>
      <c r="B10000" s="992"/>
      <c r="C10000" s="32" t="s">
        <v>435</v>
      </c>
      <c r="D10000" s="1"/>
      <c r="F10000" s="1"/>
      <c r="G10000" s="1"/>
      <c r="H10000" s="68"/>
      <c r="I10000" s="76"/>
      <c r="K10000" s="9" t="s">
        <v>3331</v>
      </c>
      <c r="L10000" s="934"/>
      <c r="M10000" s="934"/>
    </row>
    <row r="10001" ht="12.75" hidden="1" customHeight="1" outlineLevel="1">
      <c r="A10001" s="122">
        <v>43004.0</v>
      </c>
      <c r="B10001" s="992"/>
      <c r="C10001" s="32" t="s">
        <v>339</v>
      </c>
      <c r="D10001" s="1"/>
      <c r="F10001" s="1"/>
      <c r="G10001" s="1"/>
      <c r="H10001" s="68"/>
      <c r="I10001" s="76"/>
      <c r="K10001" s="201" t="s">
        <v>3544</v>
      </c>
      <c r="L10001" s="934"/>
      <c r="M10001" s="934"/>
    </row>
    <row r="10002" ht="12.75" hidden="1" customHeight="1" outlineLevel="1">
      <c r="A10002" s="122">
        <v>43004.0</v>
      </c>
      <c r="B10002" s="992"/>
      <c r="C10002" s="32" t="s">
        <v>429</v>
      </c>
      <c r="D10002" s="1"/>
      <c r="F10002" s="1"/>
      <c r="G10002" s="1"/>
      <c r="H10002" s="68"/>
      <c r="I10002" s="76"/>
      <c r="K10002" s="9" t="s">
        <v>3187</v>
      </c>
      <c r="L10002" s="934"/>
      <c r="M10002" s="934"/>
    </row>
    <row r="10003" ht="12.75" hidden="1" customHeight="1" outlineLevel="1">
      <c r="A10003" s="122">
        <v>43004.0</v>
      </c>
      <c r="B10003" s="992"/>
      <c r="C10003" s="32" t="s">
        <v>431</v>
      </c>
      <c r="D10003" s="1"/>
      <c r="F10003" s="1"/>
      <c r="G10003" s="1"/>
      <c r="H10003" s="68"/>
      <c r="I10003" s="76"/>
      <c r="K10003" s="7" t="s">
        <v>1126</v>
      </c>
      <c r="L10003" s="934"/>
      <c r="M10003" s="934"/>
    </row>
    <row r="10004" ht="12.75" hidden="1" customHeight="1" outlineLevel="1">
      <c r="A10004" s="122">
        <v>43004.0</v>
      </c>
      <c r="B10004" s="992"/>
      <c r="C10004" s="32" t="s">
        <v>433</v>
      </c>
      <c r="D10004" s="1"/>
      <c r="F10004" s="1"/>
      <c r="G10004" s="1"/>
      <c r="H10004" s="68"/>
      <c r="I10004" s="76"/>
      <c r="K10004" s="7" t="s">
        <v>1103</v>
      </c>
      <c r="L10004" s="934"/>
      <c r="M10004" s="934"/>
    </row>
    <row r="10005" ht="12.75" hidden="1" customHeight="1" outlineLevel="1">
      <c r="A10005" s="122">
        <v>43004.0</v>
      </c>
      <c r="B10005" s="992"/>
      <c r="C10005" s="32" t="s">
        <v>435</v>
      </c>
      <c r="D10005" s="1"/>
      <c r="F10005" s="1"/>
      <c r="G10005" s="1"/>
      <c r="H10005" s="68"/>
      <c r="I10005" s="76"/>
      <c r="K10005" s="9" t="s">
        <v>3331</v>
      </c>
      <c r="L10005" s="934"/>
      <c r="M10005" s="934"/>
    </row>
    <row r="10006" ht="12.75" hidden="1" customHeight="1" outlineLevel="1">
      <c r="A10006" s="122">
        <v>43035.0</v>
      </c>
      <c r="B10006" s="992"/>
      <c r="C10006" s="32" t="s">
        <v>339</v>
      </c>
      <c r="D10006" s="1"/>
      <c r="F10006" s="1"/>
      <c r="G10006" s="1"/>
      <c r="H10006" s="68"/>
      <c r="I10006" s="76"/>
      <c r="K10006" s="201" t="s">
        <v>3545</v>
      </c>
      <c r="L10006" s="934"/>
      <c r="M10006" s="934"/>
    </row>
    <row r="10007" ht="12.75" hidden="1" customHeight="1" outlineLevel="1">
      <c r="A10007" s="122">
        <v>43035.0</v>
      </c>
      <c r="B10007" s="992"/>
      <c r="C10007" s="32" t="s">
        <v>429</v>
      </c>
      <c r="D10007" s="1"/>
      <c r="F10007" s="1"/>
      <c r="G10007" s="1"/>
      <c r="H10007" s="68"/>
      <c r="I10007" s="76"/>
      <c r="K10007" s="9" t="s">
        <v>3187</v>
      </c>
      <c r="L10007" s="934"/>
      <c r="M10007" s="934"/>
    </row>
    <row r="10008" ht="12.75" hidden="1" customHeight="1" outlineLevel="1">
      <c r="A10008" s="122">
        <v>43035.0</v>
      </c>
      <c r="B10008" s="992"/>
      <c r="C10008" s="32" t="s">
        <v>431</v>
      </c>
      <c r="D10008" s="1"/>
      <c r="F10008" s="1"/>
      <c r="G10008" s="1"/>
      <c r="H10008" s="68"/>
      <c r="I10008" s="76"/>
      <c r="K10008" s="7" t="s">
        <v>1126</v>
      </c>
      <c r="L10008" s="934"/>
      <c r="M10008" s="934"/>
    </row>
    <row r="10009" ht="12.75" hidden="1" customHeight="1" outlineLevel="1">
      <c r="A10009" s="122">
        <v>43035.0</v>
      </c>
      <c r="B10009" s="992"/>
      <c r="C10009" s="32" t="s">
        <v>433</v>
      </c>
      <c r="D10009" s="1"/>
      <c r="F10009" s="1"/>
      <c r="G10009" s="1"/>
      <c r="H10009" s="68"/>
      <c r="I10009" s="76"/>
      <c r="K10009" s="7" t="s">
        <v>1103</v>
      </c>
      <c r="L10009" s="934"/>
      <c r="M10009" s="934"/>
    </row>
    <row r="10010" ht="12.75" hidden="1" customHeight="1" outlineLevel="1">
      <c r="A10010" s="122">
        <v>43035.0</v>
      </c>
      <c r="B10010" s="992"/>
      <c r="C10010" s="32" t="s">
        <v>435</v>
      </c>
      <c r="D10010" s="1"/>
      <c r="F10010" s="1"/>
      <c r="G10010" s="1"/>
      <c r="H10010" s="68"/>
      <c r="I10010" s="76"/>
      <c r="K10010" s="9" t="s">
        <v>3331</v>
      </c>
      <c r="L10010" s="934"/>
      <c r="M10010" s="934"/>
    </row>
    <row r="10011" ht="12.75" hidden="1" customHeight="1" outlineLevel="1">
      <c r="A10011" s="202">
        <v>43038.0</v>
      </c>
      <c r="B10011" s="985" t="s">
        <v>343</v>
      </c>
      <c r="C10011" s="94" t="s">
        <v>1483</v>
      </c>
      <c r="D10011" s="286">
        <v>1500.0</v>
      </c>
      <c r="E10011" s="94">
        <v>3.141</v>
      </c>
      <c r="F10011" s="986">
        <v>0.5139814814814815</v>
      </c>
      <c r="G10011" s="94" t="s">
        <v>453</v>
      </c>
      <c r="H10011" s="987">
        <v>7.5</v>
      </c>
      <c r="I10011" s="988" t="s">
        <v>3145</v>
      </c>
      <c r="J10011" s="67">
        <f t="shared" ref="J10011:J10014" si="563">IF(B10011="SLD",D10011*E10011,-D10011*E10011)-H10011</f>
        <v>-4719</v>
      </c>
      <c r="L10011" s="70"/>
      <c r="M10011" s="934"/>
    </row>
    <row r="10012" ht="12.75" hidden="1" customHeight="1" outlineLevel="1">
      <c r="A10012" s="202">
        <v>43038.0</v>
      </c>
      <c r="B10012" s="985" t="s">
        <v>343</v>
      </c>
      <c r="C10012" s="94" t="s">
        <v>1092</v>
      </c>
      <c r="D10012" s="286">
        <v>1500.0</v>
      </c>
      <c r="E10012" s="94">
        <v>6.898</v>
      </c>
      <c r="F10012" s="986">
        <v>0.5135532407407407</v>
      </c>
      <c r="G10012" s="94" t="s">
        <v>453</v>
      </c>
      <c r="H10012" s="987">
        <v>7.5</v>
      </c>
      <c r="I10012" s="988" t="s">
        <v>3145</v>
      </c>
      <c r="J10012" s="67">
        <f t="shared" si="563"/>
        <v>-10354.5</v>
      </c>
      <c r="L10012" s="70"/>
      <c r="M10012" s="934"/>
    </row>
    <row r="10013" ht="12.75" hidden="1" customHeight="1" outlineLevel="1">
      <c r="A10013" s="202">
        <v>43038.0</v>
      </c>
      <c r="B10013" s="985" t="s">
        <v>343</v>
      </c>
      <c r="C10013" s="94" t="s">
        <v>604</v>
      </c>
      <c r="D10013" s="286">
        <v>1500.0</v>
      </c>
      <c r="E10013" s="94">
        <v>3.19</v>
      </c>
      <c r="F10013" s="986">
        <v>0.5128472222222222</v>
      </c>
      <c r="G10013" s="94" t="s">
        <v>453</v>
      </c>
      <c r="H10013" s="987">
        <v>7.5</v>
      </c>
      <c r="I10013" s="988" t="s">
        <v>3145</v>
      </c>
      <c r="J10013" s="67">
        <f t="shared" si="563"/>
        <v>-4792.5</v>
      </c>
      <c r="L10013" s="70"/>
      <c r="M10013" s="934"/>
    </row>
    <row r="10014" ht="12.75" hidden="1" customHeight="1" outlineLevel="1">
      <c r="A10014" s="202">
        <v>43038.0</v>
      </c>
      <c r="B10014" s="985" t="s">
        <v>343</v>
      </c>
      <c r="C10014" s="94" t="s">
        <v>1485</v>
      </c>
      <c r="D10014" s="286">
        <v>1500.0</v>
      </c>
      <c r="E10014" s="94">
        <v>6.54</v>
      </c>
      <c r="F10014" s="986">
        <v>0.5127199074074074</v>
      </c>
      <c r="G10014" s="94" t="s">
        <v>453</v>
      </c>
      <c r="H10014" s="987">
        <v>7.5</v>
      </c>
      <c r="I10014" s="988" t="s">
        <v>3145</v>
      </c>
      <c r="J10014" s="67">
        <f t="shared" si="563"/>
        <v>-9817.5</v>
      </c>
      <c r="L10014" s="70"/>
      <c r="M10014" s="934"/>
    </row>
    <row r="10015" ht="12.75" hidden="1" customHeight="1" outlineLevel="1">
      <c r="A10015" s="122">
        <v>43035.0</v>
      </c>
      <c r="B10015" s="992"/>
      <c r="C10015" s="32" t="s">
        <v>339</v>
      </c>
      <c r="D10015" s="1"/>
      <c r="F10015" s="1"/>
      <c r="G10015" s="1"/>
      <c r="H10015" s="68"/>
      <c r="I10015" s="76"/>
      <c r="K10015" s="201" t="s">
        <v>3548</v>
      </c>
      <c r="L10015" s="934"/>
      <c r="M10015" s="934"/>
    </row>
    <row r="10016" ht="12.75" hidden="1" customHeight="1" outlineLevel="1">
      <c r="A10016" s="122">
        <v>43035.0</v>
      </c>
      <c r="B10016" s="992"/>
      <c r="C10016" s="32" t="s">
        <v>429</v>
      </c>
      <c r="D10016" s="1"/>
      <c r="F10016" s="1"/>
      <c r="G10016" s="1"/>
      <c r="H10016" s="68"/>
      <c r="I10016" s="76"/>
      <c r="K10016" s="9" t="s">
        <v>3187</v>
      </c>
      <c r="L10016" s="934"/>
      <c r="M10016" s="934"/>
    </row>
    <row r="10017" ht="12.75" hidden="1" customHeight="1" outlineLevel="1">
      <c r="A10017" s="122">
        <v>43035.0</v>
      </c>
      <c r="B10017" s="992"/>
      <c r="C10017" s="32" t="s">
        <v>431</v>
      </c>
      <c r="D10017" s="1"/>
      <c r="F10017" s="1"/>
      <c r="G10017" s="1"/>
      <c r="H10017" s="68"/>
      <c r="I10017" s="76"/>
      <c r="K10017" s="7" t="s">
        <v>1126</v>
      </c>
      <c r="L10017" s="934"/>
      <c r="M10017" s="934"/>
    </row>
    <row r="10018" ht="12.75" hidden="1" customHeight="1" outlineLevel="1">
      <c r="A10018" s="122">
        <v>43035.0</v>
      </c>
      <c r="B10018" s="992"/>
      <c r="C10018" s="32" t="s">
        <v>433</v>
      </c>
      <c r="D10018" s="1"/>
      <c r="F10018" s="1"/>
      <c r="G10018" s="1"/>
      <c r="H10018" s="68"/>
      <c r="I10018" s="76"/>
      <c r="K10018" s="7" t="s">
        <v>1103</v>
      </c>
      <c r="L10018" s="934"/>
      <c r="M10018" s="934"/>
    </row>
    <row r="10019" ht="12.75" hidden="1" customHeight="1" outlineLevel="1">
      <c r="A10019" s="122">
        <v>43035.0</v>
      </c>
      <c r="B10019" s="992"/>
      <c r="C10019" s="32" t="s">
        <v>435</v>
      </c>
      <c r="D10019" s="1"/>
      <c r="F10019" s="1"/>
      <c r="G10019" s="1"/>
      <c r="H10019" s="68"/>
      <c r="I10019" s="76"/>
      <c r="K10019" s="9" t="s">
        <v>3331</v>
      </c>
      <c r="L10019" s="934"/>
      <c r="M10019" s="934"/>
    </row>
    <row r="10020" ht="12.75" hidden="1" customHeight="1" outlineLevel="1">
      <c r="A10020" s="202">
        <v>43041.0</v>
      </c>
      <c r="B10020" s="985" t="s">
        <v>347</v>
      </c>
      <c r="C10020" s="94" t="s">
        <v>3020</v>
      </c>
      <c r="D10020" s="94">
        <v>50.0</v>
      </c>
      <c r="E10020" s="94">
        <v>136.93</v>
      </c>
      <c r="F10020" s="986">
        <v>0.6483449074074074</v>
      </c>
      <c r="G10020" s="94" t="s">
        <v>453</v>
      </c>
      <c r="H10020" s="987">
        <v>1.16</v>
      </c>
      <c r="I10020" s="988" t="s">
        <v>3145</v>
      </c>
      <c r="J10020" s="67">
        <f t="shared" ref="J10020:J10029" si="564">IF(B10020="SLD",D10020*E10020,-D10020*E10020)-H10020</f>
        <v>6845.34</v>
      </c>
      <c r="L10020" s="70"/>
      <c r="M10020" s="934"/>
    </row>
    <row r="10021" ht="12.75" hidden="1" customHeight="1" outlineLevel="1">
      <c r="A10021" s="202">
        <v>43041.0</v>
      </c>
      <c r="B10021" s="985" t="s">
        <v>343</v>
      </c>
      <c r="C10021" s="94" t="s">
        <v>1414</v>
      </c>
      <c r="D10021" s="94">
        <v>100.0</v>
      </c>
      <c r="E10021" s="94">
        <v>206.0265</v>
      </c>
      <c r="F10021" s="986">
        <v>0.5527083333333334</v>
      </c>
      <c r="G10021" s="94" t="s">
        <v>453</v>
      </c>
      <c r="H10021" s="987">
        <v>1.0</v>
      </c>
      <c r="I10021" s="988" t="s">
        <v>3145</v>
      </c>
      <c r="J10021" s="67">
        <f t="shared" si="564"/>
        <v>-20603.65</v>
      </c>
      <c r="L10021" s="70"/>
      <c r="M10021" s="934"/>
    </row>
    <row r="10022" ht="12.75" hidden="1" customHeight="1" outlineLevel="1">
      <c r="A10022" s="202">
        <v>43041.0</v>
      </c>
      <c r="B10022" s="985" t="s">
        <v>343</v>
      </c>
      <c r="C10022" s="94" t="s">
        <v>1053</v>
      </c>
      <c r="D10022" s="94">
        <v>5.0</v>
      </c>
      <c r="E10022" s="94">
        <v>1092.59</v>
      </c>
      <c r="F10022" s="986">
        <v>0.5511111111111111</v>
      </c>
      <c r="G10022" s="94" t="s">
        <v>453</v>
      </c>
      <c r="H10022" s="987">
        <v>1.0</v>
      </c>
      <c r="I10022" s="988" t="s">
        <v>3145</v>
      </c>
      <c r="J10022" s="67">
        <f t="shared" si="564"/>
        <v>-5463.95</v>
      </c>
      <c r="L10022" s="70"/>
      <c r="M10022" s="934"/>
    </row>
    <row r="10023" ht="12.75" hidden="1" customHeight="1" outlineLevel="1">
      <c r="A10023" s="202">
        <v>43041.0</v>
      </c>
      <c r="B10023" s="985" t="s">
        <v>343</v>
      </c>
      <c r="C10023" s="94" t="s">
        <v>1114</v>
      </c>
      <c r="D10023" s="94">
        <v>500.0</v>
      </c>
      <c r="E10023" s="94">
        <v>46.43</v>
      </c>
      <c r="F10023" s="986">
        <v>0.5500578703703703</v>
      </c>
      <c r="G10023" s="94" t="s">
        <v>453</v>
      </c>
      <c r="H10023" s="987">
        <v>2.5</v>
      </c>
      <c r="I10023" s="988" t="s">
        <v>3145</v>
      </c>
      <c r="J10023" s="67">
        <f t="shared" si="564"/>
        <v>-23217.5</v>
      </c>
      <c r="L10023" s="70"/>
      <c r="M10023" s="934"/>
    </row>
    <row r="10024" ht="12.75" hidden="1" customHeight="1" outlineLevel="1">
      <c r="A10024" s="202">
        <v>43041.0</v>
      </c>
      <c r="B10024" s="985" t="s">
        <v>343</v>
      </c>
      <c r="C10024" s="94" t="s">
        <v>1238</v>
      </c>
      <c r="D10024" s="94">
        <v>100.0</v>
      </c>
      <c r="E10024" s="94">
        <v>83.41</v>
      </c>
      <c r="F10024" s="986">
        <v>0.5494907407407408</v>
      </c>
      <c r="G10024" s="94" t="s">
        <v>453</v>
      </c>
      <c r="H10024" s="987">
        <v>1.0</v>
      </c>
      <c r="I10024" s="988" t="s">
        <v>3145</v>
      </c>
      <c r="J10024" s="67">
        <f t="shared" si="564"/>
        <v>-8342</v>
      </c>
      <c r="L10024" s="70"/>
      <c r="M10024" s="934"/>
    </row>
    <row r="10025" ht="12.75" hidden="1" customHeight="1" outlineLevel="1">
      <c r="A10025" s="202">
        <v>43041.0</v>
      </c>
      <c r="B10025" s="985" t="s">
        <v>343</v>
      </c>
      <c r="C10025" s="94" t="s">
        <v>1035</v>
      </c>
      <c r="D10025" s="94">
        <v>25.0</v>
      </c>
      <c r="E10025" s="94">
        <v>1042.34</v>
      </c>
      <c r="F10025" s="986">
        <v>0.5477662037037037</v>
      </c>
      <c r="G10025" s="94" t="s">
        <v>453</v>
      </c>
      <c r="H10025" s="987">
        <v>1.0</v>
      </c>
      <c r="I10025" s="988" t="s">
        <v>3145</v>
      </c>
      <c r="J10025" s="67">
        <f t="shared" si="564"/>
        <v>-26059.5</v>
      </c>
      <c r="L10025" s="70"/>
      <c r="M10025" s="934"/>
    </row>
    <row r="10026" ht="12.75" hidden="1" customHeight="1" outlineLevel="1">
      <c r="A10026" s="202">
        <v>43041.0</v>
      </c>
      <c r="B10026" s="985" t="s">
        <v>343</v>
      </c>
      <c r="C10026" s="94" t="s">
        <v>1221</v>
      </c>
      <c r="D10026" s="94">
        <v>75.0</v>
      </c>
      <c r="E10026" s="94">
        <v>65.75</v>
      </c>
      <c r="F10026" s="986">
        <v>0.5439930555555555</v>
      </c>
      <c r="G10026" s="94" t="s">
        <v>453</v>
      </c>
      <c r="H10026" s="987">
        <v>1.0</v>
      </c>
      <c r="I10026" s="988" t="s">
        <v>3145</v>
      </c>
      <c r="J10026" s="67">
        <f t="shared" si="564"/>
        <v>-4932.25</v>
      </c>
      <c r="L10026" s="70"/>
      <c r="M10026" s="934"/>
    </row>
    <row r="10027" ht="12.75" hidden="1" customHeight="1" outlineLevel="1">
      <c r="A10027" s="202">
        <v>43041.0</v>
      </c>
      <c r="B10027" s="985" t="s">
        <v>347</v>
      </c>
      <c r="C10027" s="94" t="s">
        <v>2966</v>
      </c>
      <c r="D10027" s="94">
        <v>40.0</v>
      </c>
      <c r="E10027" s="94">
        <v>66.91</v>
      </c>
      <c r="F10027" s="986">
        <v>0.5421412037037037</v>
      </c>
      <c r="G10027" s="94" t="s">
        <v>453</v>
      </c>
      <c r="H10027" s="987">
        <v>1.07</v>
      </c>
      <c r="I10027" s="988" t="s">
        <v>3145</v>
      </c>
      <c r="J10027" s="67">
        <f t="shared" si="564"/>
        <v>2675.33</v>
      </c>
      <c r="L10027" s="70"/>
      <c r="M10027" s="934"/>
    </row>
    <row r="10028" ht="12.75" hidden="1" customHeight="1" outlineLevel="1">
      <c r="A10028" s="202">
        <v>43041.0</v>
      </c>
      <c r="B10028" s="985" t="s">
        <v>347</v>
      </c>
      <c r="C10028" s="94" t="s">
        <v>1310</v>
      </c>
      <c r="D10028" s="94">
        <v>50.0</v>
      </c>
      <c r="E10028" s="94">
        <v>176.04</v>
      </c>
      <c r="F10028" s="986">
        <v>0.5419907407407407</v>
      </c>
      <c r="G10028" s="94" t="s">
        <v>453</v>
      </c>
      <c r="H10028" s="987">
        <v>1.21</v>
      </c>
      <c r="I10028" s="988" t="s">
        <v>3145</v>
      </c>
      <c r="J10028" s="67">
        <f t="shared" si="564"/>
        <v>8800.79</v>
      </c>
      <c r="L10028" s="70"/>
      <c r="M10028" s="934"/>
    </row>
    <row r="10029" ht="12.75" hidden="1" customHeight="1" outlineLevel="1">
      <c r="A10029" s="202">
        <v>43041.0</v>
      </c>
      <c r="B10029" s="985" t="s">
        <v>347</v>
      </c>
      <c r="C10029" s="94" t="s">
        <v>1249</v>
      </c>
      <c r="D10029" s="94">
        <v>350.0</v>
      </c>
      <c r="E10029" s="94">
        <v>74.807</v>
      </c>
      <c r="F10029" s="986">
        <v>0.5410185185185186</v>
      </c>
      <c r="G10029" s="94" t="s">
        <v>453</v>
      </c>
      <c r="H10029" s="987">
        <v>2.05</v>
      </c>
      <c r="I10029" s="988" t="s">
        <v>3145</v>
      </c>
      <c r="J10029" s="67">
        <f t="shared" si="564"/>
        <v>26180.4</v>
      </c>
      <c r="L10029" s="70"/>
      <c r="M10029" s="934"/>
    </row>
    <row r="10030" ht="12.75" hidden="1" customHeight="1" outlineLevel="1">
      <c r="A10030" s="122">
        <v>43041.0</v>
      </c>
      <c r="B10030" s="992"/>
      <c r="C10030" s="32" t="s">
        <v>339</v>
      </c>
      <c r="D10030" s="1"/>
      <c r="F10030" s="1"/>
      <c r="G10030" s="1"/>
      <c r="H10030" s="68"/>
      <c r="I10030" s="76"/>
      <c r="K10030" s="201" t="s">
        <v>3550</v>
      </c>
      <c r="L10030" s="934"/>
      <c r="M10030" s="934"/>
    </row>
    <row r="10031" ht="12.75" hidden="1" customHeight="1" outlineLevel="1">
      <c r="A10031" s="122">
        <v>43041.0</v>
      </c>
      <c r="B10031" s="992"/>
      <c r="C10031" s="32" t="s">
        <v>429</v>
      </c>
      <c r="D10031" s="1"/>
      <c r="F10031" s="1"/>
      <c r="G10031" s="1"/>
      <c r="H10031" s="68"/>
      <c r="I10031" s="76"/>
      <c r="K10031" s="9" t="s">
        <v>3187</v>
      </c>
      <c r="L10031" s="934"/>
      <c r="M10031" s="934"/>
    </row>
    <row r="10032" ht="12.75" hidden="1" customHeight="1" outlineLevel="1">
      <c r="A10032" s="122">
        <v>43041.0</v>
      </c>
      <c r="B10032" s="992"/>
      <c r="C10032" s="32" t="s">
        <v>431</v>
      </c>
      <c r="D10032" s="1"/>
      <c r="F10032" s="1"/>
      <c r="G10032" s="1"/>
      <c r="H10032" s="68"/>
      <c r="I10032" s="76"/>
      <c r="K10032" s="7" t="s">
        <v>1126</v>
      </c>
      <c r="L10032" s="934"/>
      <c r="M10032" s="934"/>
    </row>
    <row r="10033" ht="12.75" hidden="1" customHeight="1" outlineLevel="1">
      <c r="A10033" s="122">
        <v>43041.0</v>
      </c>
      <c r="B10033" s="992"/>
      <c r="C10033" s="32" t="s">
        <v>433</v>
      </c>
      <c r="D10033" s="1"/>
      <c r="F10033" s="1"/>
      <c r="G10033" s="1"/>
      <c r="H10033" s="68"/>
      <c r="I10033" s="76"/>
      <c r="K10033" s="7" t="s">
        <v>1103</v>
      </c>
      <c r="L10033" s="934"/>
      <c r="M10033" s="934"/>
    </row>
    <row r="10034" ht="12.75" hidden="1" customHeight="1" outlineLevel="1">
      <c r="A10034" s="122">
        <v>43041.0</v>
      </c>
      <c r="B10034" s="992"/>
      <c r="C10034" s="32" t="s">
        <v>435</v>
      </c>
      <c r="D10034" s="1"/>
      <c r="F10034" s="1"/>
      <c r="G10034" s="1"/>
      <c r="H10034" s="68"/>
      <c r="I10034" s="76"/>
      <c r="K10034" s="9" t="s">
        <v>3331</v>
      </c>
      <c r="L10034" s="934"/>
      <c r="M10034" s="934"/>
    </row>
    <row r="10035" ht="12.75" hidden="1" customHeight="1" outlineLevel="1">
      <c r="A10035" s="122">
        <v>43045.0</v>
      </c>
      <c r="B10035" s="992"/>
      <c r="C10035" s="32" t="s">
        <v>339</v>
      </c>
      <c r="D10035" s="1"/>
      <c r="F10035" s="1"/>
      <c r="G10035" s="1"/>
      <c r="H10035" s="68"/>
      <c r="I10035" s="76"/>
      <c r="K10035" s="201" t="s">
        <v>3551</v>
      </c>
      <c r="L10035" s="934"/>
      <c r="M10035" s="934"/>
    </row>
    <row r="10036" ht="12.75" hidden="1" customHeight="1" outlineLevel="1">
      <c r="A10036" s="122">
        <v>43045.0</v>
      </c>
      <c r="B10036" s="992"/>
      <c r="C10036" s="32" t="s">
        <v>429</v>
      </c>
      <c r="D10036" s="1"/>
      <c r="F10036" s="1"/>
      <c r="G10036" s="1"/>
      <c r="H10036" s="68"/>
      <c r="I10036" s="76"/>
      <c r="K10036" s="9" t="s">
        <v>3187</v>
      </c>
      <c r="L10036" s="934"/>
      <c r="M10036" s="934"/>
    </row>
    <row r="10037" ht="12.75" hidden="1" customHeight="1" outlineLevel="1">
      <c r="A10037" s="122">
        <v>43045.0</v>
      </c>
      <c r="B10037" s="992"/>
      <c r="C10037" s="32" t="s">
        <v>431</v>
      </c>
      <c r="D10037" s="1"/>
      <c r="F10037" s="1"/>
      <c r="G10037" s="1"/>
      <c r="H10037" s="68"/>
      <c r="I10037" s="76"/>
      <c r="K10037" s="7" t="s">
        <v>1126</v>
      </c>
      <c r="L10037" s="934"/>
      <c r="M10037" s="934"/>
    </row>
    <row r="10038" ht="12.75" hidden="1" customHeight="1" outlineLevel="1">
      <c r="A10038" s="122">
        <v>43045.0</v>
      </c>
      <c r="B10038" s="992"/>
      <c r="C10038" s="32" t="s">
        <v>433</v>
      </c>
      <c r="D10038" s="1"/>
      <c r="F10038" s="1"/>
      <c r="G10038" s="1"/>
      <c r="H10038" s="68"/>
      <c r="I10038" s="76"/>
      <c r="K10038" s="7" t="s">
        <v>1103</v>
      </c>
      <c r="L10038" s="934"/>
      <c r="M10038" s="934"/>
    </row>
    <row r="10039" ht="12.75" hidden="1" customHeight="1" outlineLevel="1">
      <c r="A10039" s="122">
        <v>43045.0</v>
      </c>
      <c r="B10039" s="992"/>
      <c r="C10039" s="32" t="s">
        <v>435</v>
      </c>
      <c r="D10039" s="1"/>
      <c r="F10039" s="1"/>
      <c r="G10039" s="1"/>
      <c r="H10039" s="68"/>
      <c r="I10039" s="76"/>
      <c r="K10039" s="9" t="s">
        <v>3331</v>
      </c>
      <c r="L10039" s="934"/>
      <c r="M10039" s="934"/>
    </row>
    <row r="10040" ht="12.75" hidden="1" customHeight="1" outlineLevel="1">
      <c r="A10040" s="122">
        <v>43045.0</v>
      </c>
      <c r="B10040" s="992"/>
      <c r="C10040" s="32" t="s">
        <v>339</v>
      </c>
      <c r="D10040" s="1"/>
      <c r="F10040" s="1"/>
      <c r="G10040" s="1"/>
      <c r="H10040" s="68"/>
      <c r="I10040" s="76"/>
      <c r="K10040" s="201" t="s">
        <v>3552</v>
      </c>
      <c r="L10040" s="934"/>
      <c r="M10040" s="934"/>
    </row>
    <row r="10041" ht="12.75" hidden="1" customHeight="1" outlineLevel="1">
      <c r="A10041" s="122">
        <v>43045.0</v>
      </c>
      <c r="B10041" s="992"/>
      <c r="C10041" s="32" t="s">
        <v>429</v>
      </c>
      <c r="D10041" s="1"/>
      <c r="F10041" s="1"/>
      <c r="G10041" s="1"/>
      <c r="H10041" s="68"/>
      <c r="I10041" s="76"/>
      <c r="K10041" s="9" t="s">
        <v>3187</v>
      </c>
      <c r="L10041" s="934"/>
      <c r="M10041" s="934"/>
    </row>
    <row r="10042" ht="12.75" hidden="1" customHeight="1" outlineLevel="1">
      <c r="A10042" s="122">
        <v>43045.0</v>
      </c>
      <c r="B10042" s="992"/>
      <c r="C10042" s="32" t="s">
        <v>431</v>
      </c>
      <c r="D10042" s="1"/>
      <c r="F10042" s="1"/>
      <c r="G10042" s="1"/>
      <c r="H10042" s="68"/>
      <c r="I10042" s="76"/>
      <c r="K10042" s="7" t="s">
        <v>1126</v>
      </c>
      <c r="L10042" s="934"/>
      <c r="M10042" s="934"/>
    </row>
    <row r="10043" ht="12.75" hidden="1" customHeight="1" outlineLevel="1">
      <c r="A10043" s="122">
        <v>43045.0</v>
      </c>
      <c r="B10043" s="992"/>
      <c r="C10043" s="32" t="s">
        <v>433</v>
      </c>
      <c r="D10043" s="1"/>
      <c r="F10043" s="1"/>
      <c r="G10043" s="1"/>
      <c r="H10043" s="68"/>
      <c r="I10043" s="76"/>
      <c r="K10043" s="7" t="s">
        <v>1103</v>
      </c>
      <c r="L10043" s="934"/>
      <c r="M10043" s="934"/>
    </row>
    <row r="10044" ht="12.75" hidden="1" customHeight="1" outlineLevel="1">
      <c r="A10044" s="122">
        <v>43045.0</v>
      </c>
      <c r="B10044" s="992"/>
      <c r="C10044" s="32" t="s">
        <v>435</v>
      </c>
      <c r="D10044" s="1"/>
      <c r="F10044" s="1"/>
      <c r="G10044" s="1"/>
      <c r="H10044" s="68"/>
      <c r="I10044" s="76"/>
      <c r="K10044" s="9" t="s">
        <v>3331</v>
      </c>
      <c r="L10044" s="934"/>
      <c r="M10044" s="934"/>
    </row>
    <row r="10045" ht="12.75" hidden="1" customHeight="1" outlineLevel="1">
      <c r="A10045" s="202">
        <v>43047.0</v>
      </c>
      <c r="B10045" s="985" t="s">
        <v>347</v>
      </c>
      <c r="C10045" s="94" t="s">
        <v>3417</v>
      </c>
      <c r="D10045" s="94">
        <v>400.0</v>
      </c>
      <c r="E10045" s="94">
        <v>11.02</v>
      </c>
      <c r="F10045" s="986">
        <v>0.45</v>
      </c>
      <c r="G10045" s="94" t="s">
        <v>453</v>
      </c>
      <c r="H10045" s="987">
        <v>2.15</v>
      </c>
      <c r="I10045" s="988" t="s">
        <v>3145</v>
      </c>
      <c r="J10045" s="67">
        <f t="shared" ref="J10045:J10046" si="565">IF(B10045="SLD",D10045*E10045,-D10045*E10045)-H10045</f>
        <v>4405.85</v>
      </c>
      <c r="K10045" s="201"/>
      <c r="L10045" s="70"/>
      <c r="M10045" s="934"/>
    </row>
    <row r="10046" ht="12.75" hidden="1" customHeight="1" outlineLevel="1">
      <c r="A10046" s="202">
        <v>43047.0</v>
      </c>
      <c r="B10046" s="985" t="s">
        <v>343</v>
      </c>
      <c r="C10046" s="94" t="s">
        <v>1141</v>
      </c>
      <c r="D10046" s="94">
        <v>150.0</v>
      </c>
      <c r="E10046" s="94">
        <v>92.44</v>
      </c>
      <c r="F10046" s="986">
        <v>0.44371527777777775</v>
      </c>
      <c r="G10046" s="94" t="s">
        <v>453</v>
      </c>
      <c r="H10046" s="987">
        <v>1.0</v>
      </c>
      <c r="I10046" s="988" t="s">
        <v>3145</v>
      </c>
      <c r="J10046" s="67">
        <f t="shared" si="565"/>
        <v>-13867</v>
      </c>
      <c r="K10046" s="201"/>
      <c r="L10046" s="70"/>
      <c r="M10046" s="934"/>
    </row>
    <row r="10047" ht="12.75" hidden="1" customHeight="1" outlineLevel="1">
      <c r="A10047" s="202">
        <v>43047.0</v>
      </c>
      <c r="B10047" s="992"/>
      <c r="C10047" s="32" t="s">
        <v>339</v>
      </c>
      <c r="D10047" s="1"/>
      <c r="F10047" s="1"/>
      <c r="G10047" s="1"/>
      <c r="H10047" s="68"/>
      <c r="I10047" s="76"/>
      <c r="K10047" s="201" t="s">
        <v>3553</v>
      </c>
      <c r="L10047" s="934"/>
      <c r="M10047" s="934"/>
    </row>
    <row r="10048" ht="12.75" hidden="1" customHeight="1" outlineLevel="1">
      <c r="A10048" s="202">
        <v>43047.0</v>
      </c>
      <c r="B10048" s="992"/>
      <c r="C10048" s="32" t="s">
        <v>429</v>
      </c>
      <c r="D10048" s="1"/>
      <c r="F10048" s="1"/>
      <c r="G10048" s="1"/>
      <c r="H10048" s="68"/>
      <c r="I10048" s="76"/>
      <c r="K10048" s="9" t="s">
        <v>3187</v>
      </c>
      <c r="L10048" s="934"/>
      <c r="M10048" s="934"/>
    </row>
    <row r="10049" ht="12.75" hidden="1" customHeight="1" outlineLevel="1">
      <c r="A10049" s="202">
        <v>43047.0</v>
      </c>
      <c r="B10049" s="992"/>
      <c r="C10049" s="32" t="s">
        <v>431</v>
      </c>
      <c r="D10049" s="1"/>
      <c r="F10049" s="1"/>
      <c r="G10049" s="1"/>
      <c r="H10049" s="68"/>
      <c r="I10049" s="76"/>
      <c r="K10049" s="7" t="s">
        <v>1126</v>
      </c>
      <c r="L10049" s="934"/>
      <c r="M10049" s="934"/>
    </row>
    <row r="10050" ht="12.75" hidden="1" customHeight="1" outlineLevel="1">
      <c r="A10050" s="202">
        <v>43047.0</v>
      </c>
      <c r="B10050" s="992"/>
      <c r="C10050" s="32" t="s">
        <v>433</v>
      </c>
      <c r="D10050" s="1"/>
      <c r="F10050" s="1"/>
      <c r="G10050" s="1"/>
      <c r="H10050" s="68"/>
      <c r="I10050" s="76"/>
      <c r="K10050" s="7" t="s">
        <v>1103</v>
      </c>
      <c r="L10050" s="934"/>
      <c r="M10050" s="934"/>
    </row>
    <row r="10051" ht="12.75" hidden="1" customHeight="1" outlineLevel="1">
      <c r="A10051" s="202">
        <v>43047.0</v>
      </c>
      <c r="B10051" s="992"/>
      <c r="C10051" s="32" t="s">
        <v>435</v>
      </c>
      <c r="D10051" s="1"/>
      <c r="F10051" s="1"/>
      <c r="G10051" s="1"/>
      <c r="H10051" s="68"/>
      <c r="I10051" s="76"/>
      <c r="K10051" s="9" t="s">
        <v>3331</v>
      </c>
      <c r="L10051" s="934"/>
      <c r="M10051" s="934"/>
    </row>
    <row r="10052" ht="12.75" hidden="1" customHeight="1" outlineLevel="1">
      <c r="A10052" s="202">
        <v>43048.0</v>
      </c>
      <c r="B10052" s="985" t="s">
        <v>347</v>
      </c>
      <c r="C10052" s="94" t="s">
        <v>1485</v>
      </c>
      <c r="D10052" s="286">
        <v>4000.0</v>
      </c>
      <c r="E10052" s="94">
        <v>6.015</v>
      </c>
      <c r="F10052" s="986">
        <v>0.6621759259259259</v>
      </c>
      <c r="G10052" s="94" t="s">
        <v>453</v>
      </c>
      <c r="H10052" s="987">
        <v>21.03</v>
      </c>
      <c r="I10052" s="988" t="s">
        <v>3145</v>
      </c>
      <c r="J10052" s="67">
        <f t="shared" ref="J10052:J10055" si="566">IF(B10052="SLD",D10052*E10052,-D10052*E10052)-H10052</f>
        <v>24038.97</v>
      </c>
      <c r="L10052" s="70"/>
      <c r="M10052" s="934"/>
    </row>
    <row r="10053" ht="12.75" hidden="1" customHeight="1" outlineLevel="1">
      <c r="A10053" s="202">
        <v>43048.0</v>
      </c>
      <c r="B10053" s="985" t="s">
        <v>347</v>
      </c>
      <c r="C10053" s="94" t="s">
        <v>1483</v>
      </c>
      <c r="D10053" s="286">
        <v>4000.0</v>
      </c>
      <c r="E10053" s="94">
        <v>2.86</v>
      </c>
      <c r="F10053" s="986">
        <v>0.6616203703703704</v>
      </c>
      <c r="G10053" s="94" t="s">
        <v>453</v>
      </c>
      <c r="H10053" s="987">
        <v>20.74</v>
      </c>
      <c r="I10053" s="988" t="s">
        <v>3145</v>
      </c>
      <c r="J10053" s="67">
        <f t="shared" si="566"/>
        <v>11419.26</v>
      </c>
      <c r="L10053" s="70"/>
      <c r="M10053" s="934"/>
    </row>
    <row r="10054" ht="12.75" hidden="1" customHeight="1" outlineLevel="1">
      <c r="A10054" s="202">
        <v>43048.0</v>
      </c>
      <c r="B10054" s="985" t="s">
        <v>347</v>
      </c>
      <c r="C10054" s="94" t="s">
        <v>604</v>
      </c>
      <c r="D10054" s="286">
        <v>4000.0</v>
      </c>
      <c r="E10054" s="94">
        <v>2.92</v>
      </c>
      <c r="F10054" s="986">
        <v>0.6601041666666667</v>
      </c>
      <c r="G10054" s="94" t="s">
        <v>453</v>
      </c>
      <c r="H10054" s="987">
        <v>20.75</v>
      </c>
      <c r="I10054" s="988" t="s">
        <v>3145</v>
      </c>
      <c r="J10054" s="67">
        <f t="shared" si="566"/>
        <v>11659.25</v>
      </c>
      <c r="L10054" s="70"/>
      <c r="M10054" s="934"/>
    </row>
    <row r="10055" ht="12.75" hidden="1" customHeight="1" outlineLevel="1">
      <c r="A10055" s="202">
        <v>43048.0</v>
      </c>
      <c r="B10055" s="985" t="s">
        <v>347</v>
      </c>
      <c r="C10055" s="94" t="s">
        <v>1092</v>
      </c>
      <c r="D10055" s="286">
        <v>4000.0</v>
      </c>
      <c r="E10055" s="94">
        <v>6.367</v>
      </c>
      <c r="F10055" s="986">
        <v>0.6598032407407407</v>
      </c>
      <c r="G10055" s="94" t="s">
        <v>453</v>
      </c>
      <c r="H10055" s="987">
        <v>21.06</v>
      </c>
      <c r="I10055" s="988" t="s">
        <v>3145</v>
      </c>
      <c r="J10055" s="67">
        <f t="shared" si="566"/>
        <v>25446.94</v>
      </c>
      <c r="L10055" s="70"/>
      <c r="M10055" s="934"/>
    </row>
    <row r="10056" ht="12.75" hidden="1" customHeight="1" outlineLevel="1">
      <c r="A10056" s="202">
        <v>43048.0</v>
      </c>
      <c r="B10056" s="992"/>
      <c r="C10056" s="32" t="s">
        <v>339</v>
      </c>
      <c r="D10056" s="1"/>
      <c r="F10056" s="1"/>
      <c r="G10056" s="1"/>
      <c r="H10056" s="68"/>
      <c r="I10056" s="76"/>
      <c r="K10056" s="201" t="s">
        <v>3554</v>
      </c>
      <c r="L10056" s="934"/>
      <c r="M10056" s="934"/>
    </row>
    <row r="10057" ht="12.75" hidden="1" customHeight="1" outlineLevel="1">
      <c r="A10057" s="202">
        <v>43048.0</v>
      </c>
      <c r="B10057" s="992"/>
      <c r="C10057" s="32" t="s">
        <v>429</v>
      </c>
      <c r="D10057" s="1"/>
      <c r="F10057" s="1"/>
      <c r="G10057" s="1"/>
      <c r="H10057" s="68"/>
      <c r="I10057" s="76"/>
      <c r="K10057" s="9" t="s">
        <v>3187</v>
      </c>
      <c r="L10057" s="934"/>
      <c r="M10057" s="934"/>
    </row>
    <row r="10058" ht="12.75" hidden="1" customHeight="1" outlineLevel="1">
      <c r="A10058" s="202">
        <v>43048.0</v>
      </c>
      <c r="B10058" s="992"/>
      <c r="C10058" s="32" t="s">
        <v>431</v>
      </c>
      <c r="D10058" s="1"/>
      <c r="F10058" s="1"/>
      <c r="G10058" s="1"/>
      <c r="H10058" s="68"/>
      <c r="I10058" s="76"/>
      <c r="K10058" s="7" t="s">
        <v>1126</v>
      </c>
      <c r="L10058" s="934"/>
      <c r="M10058" s="934"/>
    </row>
    <row r="10059" ht="12.75" hidden="1" customHeight="1" outlineLevel="1">
      <c r="A10059" s="202">
        <v>43048.0</v>
      </c>
      <c r="B10059" s="992"/>
      <c r="C10059" s="32" t="s">
        <v>433</v>
      </c>
      <c r="D10059" s="1"/>
      <c r="F10059" s="1"/>
      <c r="G10059" s="1"/>
      <c r="H10059" s="68"/>
      <c r="I10059" s="76"/>
      <c r="K10059" s="7" t="s">
        <v>1103</v>
      </c>
      <c r="L10059" s="934"/>
      <c r="M10059" s="934"/>
    </row>
    <row r="10060" ht="12.75" hidden="1" customHeight="1" outlineLevel="1">
      <c r="A10060" s="202">
        <v>43048.0</v>
      </c>
      <c r="B10060" s="992"/>
      <c r="C10060" s="32" t="s">
        <v>435</v>
      </c>
      <c r="D10060" s="1"/>
      <c r="F10060" s="1"/>
      <c r="G10060" s="1"/>
      <c r="H10060" s="68"/>
      <c r="I10060" s="76"/>
      <c r="K10060" s="9" t="s">
        <v>3331</v>
      </c>
      <c r="L10060" s="934"/>
      <c r="M10060" s="934"/>
    </row>
    <row r="10061" ht="12.75" hidden="1" customHeight="1" outlineLevel="1">
      <c r="A10061" s="202">
        <v>43049.0</v>
      </c>
      <c r="B10061" s="992"/>
      <c r="C10061" s="32" t="s">
        <v>339</v>
      </c>
      <c r="D10061" s="1"/>
      <c r="F10061" s="1"/>
      <c r="G10061" s="1"/>
      <c r="H10061" s="68"/>
      <c r="I10061" s="76"/>
      <c r="K10061" s="201" t="s">
        <v>3555</v>
      </c>
      <c r="L10061" s="934"/>
      <c r="M10061" s="934"/>
    </row>
    <row r="10062" ht="12.75" hidden="1" customHeight="1" outlineLevel="1">
      <c r="A10062" s="202">
        <v>43049.0</v>
      </c>
      <c r="B10062" s="992"/>
      <c r="C10062" s="32" t="s">
        <v>429</v>
      </c>
      <c r="D10062" s="1"/>
      <c r="F10062" s="1"/>
      <c r="G10062" s="1"/>
      <c r="H10062" s="68"/>
      <c r="I10062" s="76"/>
      <c r="K10062" s="9" t="s">
        <v>3187</v>
      </c>
      <c r="L10062" s="934"/>
      <c r="M10062" s="934"/>
    </row>
    <row r="10063" ht="12.75" hidden="1" customHeight="1" outlineLevel="1">
      <c r="A10063" s="202">
        <v>43049.0</v>
      </c>
      <c r="B10063" s="992"/>
      <c r="C10063" s="32" t="s">
        <v>431</v>
      </c>
      <c r="D10063" s="1"/>
      <c r="F10063" s="1"/>
      <c r="G10063" s="1"/>
      <c r="H10063" s="68"/>
      <c r="I10063" s="76"/>
      <c r="K10063" s="7" t="s">
        <v>1126</v>
      </c>
      <c r="L10063" s="934"/>
      <c r="M10063" s="934"/>
    </row>
    <row r="10064" ht="12.75" hidden="1" customHeight="1" outlineLevel="1">
      <c r="A10064" s="202">
        <v>43049.0</v>
      </c>
      <c r="B10064" s="992"/>
      <c r="C10064" s="32" t="s">
        <v>433</v>
      </c>
      <c r="D10064" s="1"/>
      <c r="F10064" s="1"/>
      <c r="G10064" s="1"/>
      <c r="H10064" s="68"/>
      <c r="I10064" s="76"/>
      <c r="K10064" s="7" t="s">
        <v>1103</v>
      </c>
      <c r="L10064" s="934"/>
      <c r="M10064" s="934"/>
    </row>
    <row r="10065" ht="12.75" hidden="1" customHeight="1" outlineLevel="1">
      <c r="A10065" s="202">
        <v>43049.0</v>
      </c>
      <c r="B10065" s="992"/>
      <c r="C10065" s="32" t="s">
        <v>435</v>
      </c>
      <c r="D10065" s="1"/>
      <c r="F10065" s="1"/>
      <c r="G10065" s="1"/>
      <c r="H10065" s="68"/>
      <c r="I10065" s="76"/>
      <c r="K10065" s="9" t="s">
        <v>3331</v>
      </c>
      <c r="L10065" s="934"/>
      <c r="M10065" s="934"/>
    </row>
    <row r="10066" ht="12.75" hidden="1" customHeight="1" outlineLevel="1">
      <c r="A10066" s="202">
        <v>43052.0</v>
      </c>
      <c r="B10066" s="992"/>
      <c r="C10066" s="32" t="s">
        <v>339</v>
      </c>
      <c r="D10066" s="1"/>
      <c r="F10066" s="1"/>
      <c r="G10066" s="1"/>
      <c r="H10066" s="68"/>
      <c r="I10066" s="76"/>
      <c r="K10066" s="201" t="s">
        <v>3556</v>
      </c>
      <c r="L10066" s="934"/>
      <c r="M10066" s="934"/>
    </row>
    <row r="10067" ht="12.75" hidden="1" customHeight="1" outlineLevel="1">
      <c r="A10067" s="202">
        <v>43052.0</v>
      </c>
      <c r="B10067" s="992"/>
      <c r="C10067" s="32" t="s">
        <v>429</v>
      </c>
      <c r="D10067" s="1"/>
      <c r="F10067" s="1"/>
      <c r="G10067" s="1"/>
      <c r="H10067" s="68"/>
      <c r="I10067" s="76"/>
      <c r="K10067" s="9" t="s">
        <v>3187</v>
      </c>
      <c r="L10067" s="934"/>
      <c r="M10067" s="934"/>
    </row>
    <row r="10068" ht="12.75" hidden="1" customHeight="1" outlineLevel="1">
      <c r="A10068" s="202">
        <v>43052.0</v>
      </c>
      <c r="B10068" s="992"/>
      <c r="C10068" s="32" t="s">
        <v>431</v>
      </c>
      <c r="D10068" s="1"/>
      <c r="F10068" s="1"/>
      <c r="G10068" s="1"/>
      <c r="H10068" s="68"/>
      <c r="I10068" s="76"/>
      <c r="K10068" s="7" t="s">
        <v>1126</v>
      </c>
      <c r="L10068" s="934"/>
      <c r="M10068" s="934"/>
    </row>
    <row r="10069" ht="12.75" hidden="1" customHeight="1" outlineLevel="1">
      <c r="A10069" s="202">
        <v>43052.0</v>
      </c>
      <c r="B10069" s="992"/>
      <c r="C10069" s="32" t="s">
        <v>433</v>
      </c>
      <c r="D10069" s="1"/>
      <c r="F10069" s="1"/>
      <c r="G10069" s="1"/>
      <c r="H10069" s="68"/>
      <c r="I10069" s="76"/>
      <c r="K10069" s="7" t="s">
        <v>1103</v>
      </c>
      <c r="L10069" s="934"/>
      <c r="M10069" s="934"/>
    </row>
    <row r="10070" ht="12.75" hidden="1" customHeight="1" outlineLevel="1">
      <c r="A10070" s="202">
        <v>43052.0</v>
      </c>
      <c r="B10070" s="992"/>
      <c r="C10070" s="32" t="s">
        <v>435</v>
      </c>
      <c r="D10070" s="1"/>
      <c r="F10070" s="1"/>
      <c r="G10070" s="1"/>
      <c r="H10070" s="68"/>
      <c r="I10070" s="76"/>
      <c r="K10070" s="9" t="s">
        <v>3331</v>
      </c>
      <c r="L10070" s="934"/>
      <c r="M10070" s="934"/>
    </row>
    <row r="10071" ht="12.75" hidden="1" customHeight="1" outlineLevel="1">
      <c r="A10071" s="202">
        <v>43052.0</v>
      </c>
      <c r="B10071" s="992"/>
      <c r="C10071" s="32" t="s">
        <v>339</v>
      </c>
      <c r="D10071" s="1"/>
      <c r="F10071" s="1"/>
      <c r="G10071" s="1"/>
      <c r="H10071" s="68"/>
      <c r="I10071" s="76"/>
      <c r="K10071" s="201" t="s">
        <v>3557</v>
      </c>
      <c r="L10071" s="934"/>
      <c r="M10071" s="934"/>
    </row>
    <row r="10072" ht="12.75" hidden="1" customHeight="1" outlineLevel="1">
      <c r="A10072" s="202">
        <v>43052.0</v>
      </c>
      <c r="B10072" s="992"/>
      <c r="C10072" s="32" t="s">
        <v>429</v>
      </c>
      <c r="D10072" s="1"/>
      <c r="F10072" s="1"/>
      <c r="G10072" s="1"/>
      <c r="H10072" s="68"/>
      <c r="I10072" s="76"/>
      <c r="K10072" s="9" t="s">
        <v>3187</v>
      </c>
      <c r="L10072" s="934"/>
      <c r="M10072" s="934"/>
    </row>
    <row r="10073" ht="12.75" hidden="1" customHeight="1" outlineLevel="1">
      <c r="A10073" s="202">
        <v>43052.0</v>
      </c>
      <c r="B10073" s="992"/>
      <c r="C10073" s="32" t="s">
        <v>431</v>
      </c>
      <c r="D10073" s="1"/>
      <c r="F10073" s="1"/>
      <c r="G10073" s="1"/>
      <c r="H10073" s="68"/>
      <c r="I10073" s="76"/>
      <c r="K10073" s="7" t="s">
        <v>1126</v>
      </c>
      <c r="L10073" s="934"/>
      <c r="M10073" s="934"/>
    </row>
    <row r="10074" ht="12.75" hidden="1" customHeight="1" outlineLevel="1">
      <c r="A10074" s="202">
        <v>43052.0</v>
      </c>
      <c r="B10074" s="992"/>
      <c r="C10074" s="32" t="s">
        <v>433</v>
      </c>
      <c r="D10074" s="1"/>
      <c r="F10074" s="1"/>
      <c r="G10074" s="1"/>
      <c r="H10074" s="68"/>
      <c r="I10074" s="76"/>
      <c r="K10074" s="7" t="s">
        <v>1103</v>
      </c>
      <c r="L10074" s="934"/>
      <c r="M10074" s="934"/>
    </row>
    <row r="10075" ht="12.75" hidden="1" customHeight="1" outlineLevel="1">
      <c r="A10075" s="202">
        <v>43052.0</v>
      </c>
      <c r="B10075" s="992"/>
      <c r="C10075" s="32" t="s">
        <v>435</v>
      </c>
      <c r="D10075" s="1"/>
      <c r="F10075" s="1"/>
      <c r="G10075" s="1"/>
      <c r="H10075" s="68"/>
      <c r="I10075" s="76"/>
      <c r="K10075" s="9" t="s">
        <v>3331</v>
      </c>
      <c r="L10075" s="934"/>
      <c r="M10075" s="934"/>
    </row>
    <row r="10076" ht="12.75" hidden="1" customHeight="1" outlineLevel="1">
      <c r="A10076" s="202">
        <v>43052.0</v>
      </c>
      <c r="B10076" s="992"/>
      <c r="C10076" s="32" t="s">
        <v>339</v>
      </c>
      <c r="D10076" s="1"/>
      <c r="F10076" s="1"/>
      <c r="G10076" s="1"/>
      <c r="H10076" s="68"/>
      <c r="I10076" s="76"/>
      <c r="K10076" s="201" t="s">
        <v>3558</v>
      </c>
      <c r="L10076" s="934"/>
      <c r="M10076" s="934"/>
    </row>
    <row r="10077" ht="12.75" hidden="1" customHeight="1" outlineLevel="1">
      <c r="A10077" s="202">
        <v>43052.0</v>
      </c>
      <c r="B10077" s="992"/>
      <c r="C10077" s="32" t="s">
        <v>429</v>
      </c>
      <c r="D10077" s="1"/>
      <c r="F10077" s="1"/>
      <c r="G10077" s="1"/>
      <c r="H10077" s="68"/>
      <c r="I10077" s="76"/>
      <c r="K10077" s="9" t="s">
        <v>3187</v>
      </c>
      <c r="L10077" s="934"/>
      <c r="M10077" s="934"/>
    </row>
    <row r="10078" ht="12.75" hidden="1" customHeight="1" outlineLevel="1">
      <c r="A10078" s="202">
        <v>43052.0</v>
      </c>
      <c r="B10078" s="992"/>
      <c r="C10078" s="32" t="s">
        <v>431</v>
      </c>
      <c r="D10078" s="1"/>
      <c r="F10078" s="1"/>
      <c r="G10078" s="1"/>
      <c r="H10078" s="68"/>
      <c r="I10078" s="76"/>
      <c r="K10078" s="7" t="s">
        <v>1126</v>
      </c>
      <c r="L10078" s="934"/>
      <c r="M10078" s="934"/>
    </row>
    <row r="10079" ht="12.75" hidden="1" customHeight="1" outlineLevel="1">
      <c r="A10079" s="202">
        <v>43052.0</v>
      </c>
      <c r="B10079" s="992"/>
      <c r="C10079" s="32" t="s">
        <v>433</v>
      </c>
      <c r="D10079" s="1"/>
      <c r="F10079" s="1"/>
      <c r="G10079" s="1"/>
      <c r="H10079" s="68"/>
      <c r="I10079" s="76"/>
      <c r="K10079" s="7" t="s">
        <v>1103</v>
      </c>
      <c r="L10079" s="934"/>
      <c r="M10079" s="934"/>
    </row>
    <row r="10080" ht="12.75" hidden="1" customHeight="1" outlineLevel="1">
      <c r="A10080" s="202">
        <v>43052.0</v>
      </c>
      <c r="B10080" s="992"/>
      <c r="C10080" s="32" t="s">
        <v>435</v>
      </c>
      <c r="D10080" s="1"/>
      <c r="F10080" s="1"/>
      <c r="G10080" s="1"/>
      <c r="H10080" s="68"/>
      <c r="I10080" s="76"/>
      <c r="K10080" s="9" t="s">
        <v>3331</v>
      </c>
      <c r="L10080" s="934"/>
      <c r="M10080" s="934"/>
    </row>
    <row r="10081" ht="12.75" hidden="1" customHeight="1" outlineLevel="1">
      <c r="A10081" s="202">
        <v>43055.0</v>
      </c>
      <c r="B10081" s="985" t="s">
        <v>343</v>
      </c>
      <c r="C10081" s="94" t="s">
        <v>1187</v>
      </c>
      <c r="D10081" s="94">
        <v>100.0</v>
      </c>
      <c r="E10081" s="94">
        <v>117.65</v>
      </c>
      <c r="F10081" s="986">
        <v>0.5667013888888889</v>
      </c>
      <c r="G10081" s="94" t="s">
        <v>453</v>
      </c>
      <c r="H10081" s="987">
        <v>1.0</v>
      </c>
      <c r="I10081" s="988" t="s">
        <v>3145</v>
      </c>
      <c r="J10081" s="67">
        <f t="shared" ref="J10081:J10082" si="567">IF(B10081="SLD",D10081*E10081,-D10081*E10081)-H10081</f>
        <v>-11766</v>
      </c>
      <c r="L10081" s="70"/>
      <c r="M10081" s="934"/>
    </row>
    <row r="10082" ht="12.75" hidden="1" customHeight="1" outlineLevel="1">
      <c r="A10082" s="202">
        <v>43055.0</v>
      </c>
      <c r="B10082" s="985" t="s">
        <v>347</v>
      </c>
      <c r="C10082" s="94" t="s">
        <v>605</v>
      </c>
      <c r="D10082" s="94">
        <v>150.0</v>
      </c>
      <c r="E10082" s="94">
        <v>92.56</v>
      </c>
      <c r="F10082" s="986">
        <v>0.5657060185185185</v>
      </c>
      <c r="G10082" s="94" t="s">
        <v>453</v>
      </c>
      <c r="H10082" s="987">
        <v>1.34</v>
      </c>
      <c r="I10082" s="988" t="s">
        <v>3145</v>
      </c>
      <c r="J10082" s="67">
        <f t="shared" si="567"/>
        <v>13882.66</v>
      </c>
      <c r="L10082" s="70"/>
      <c r="M10082" s="934"/>
    </row>
    <row r="10083" ht="12.75" hidden="1" customHeight="1" outlineLevel="1">
      <c r="A10083" s="202">
        <v>43055.0</v>
      </c>
      <c r="B10083" s="992"/>
      <c r="C10083" s="32" t="s">
        <v>339</v>
      </c>
      <c r="D10083" s="1"/>
      <c r="F10083" s="1"/>
      <c r="G10083" s="1"/>
      <c r="H10083" s="68"/>
      <c r="I10083" s="76"/>
      <c r="K10083" s="201" t="s">
        <v>3559</v>
      </c>
      <c r="L10083" s="934"/>
      <c r="M10083" s="934"/>
    </row>
    <row r="10084" ht="12.75" hidden="1" customHeight="1" outlineLevel="1">
      <c r="A10084" s="202">
        <v>43055.0</v>
      </c>
      <c r="B10084" s="992"/>
      <c r="C10084" s="32" t="s">
        <v>429</v>
      </c>
      <c r="D10084" s="1"/>
      <c r="F10084" s="1"/>
      <c r="G10084" s="1"/>
      <c r="H10084" s="68"/>
      <c r="I10084" s="76"/>
      <c r="K10084" s="9" t="s">
        <v>3187</v>
      </c>
      <c r="L10084" s="934"/>
      <c r="M10084" s="934"/>
    </row>
    <row r="10085" ht="12.75" hidden="1" customHeight="1" outlineLevel="1">
      <c r="A10085" s="202">
        <v>43055.0</v>
      </c>
      <c r="B10085" s="992"/>
      <c r="C10085" s="32" t="s">
        <v>431</v>
      </c>
      <c r="D10085" s="1"/>
      <c r="F10085" s="1"/>
      <c r="G10085" s="1"/>
      <c r="H10085" s="68"/>
      <c r="I10085" s="76"/>
      <c r="K10085" s="7" t="s">
        <v>1126</v>
      </c>
      <c r="L10085" s="934"/>
      <c r="M10085" s="934"/>
    </row>
    <row r="10086" ht="12.75" hidden="1" customHeight="1" outlineLevel="1">
      <c r="A10086" s="202">
        <v>43055.0</v>
      </c>
      <c r="B10086" s="992"/>
      <c r="C10086" s="32" t="s">
        <v>433</v>
      </c>
      <c r="D10086" s="1"/>
      <c r="F10086" s="1"/>
      <c r="G10086" s="1"/>
      <c r="H10086" s="68"/>
      <c r="I10086" s="76"/>
      <c r="K10086" s="7" t="s">
        <v>1103</v>
      </c>
      <c r="L10086" s="934"/>
      <c r="M10086" s="934"/>
    </row>
    <row r="10087" ht="12.75" hidden="1" customHeight="1" outlineLevel="1">
      <c r="A10087" s="202">
        <v>43055.0</v>
      </c>
      <c r="B10087" s="992"/>
      <c r="C10087" s="32" t="s">
        <v>435</v>
      </c>
      <c r="D10087" s="1"/>
      <c r="F10087" s="1"/>
      <c r="G10087" s="1"/>
      <c r="H10087" s="68"/>
      <c r="I10087" s="76"/>
      <c r="K10087" s="9" t="s">
        <v>3331</v>
      </c>
      <c r="L10087" s="934"/>
      <c r="M10087" s="934"/>
    </row>
    <row r="10088" ht="12.75" hidden="1" customHeight="1" outlineLevel="1">
      <c r="A10088" s="202">
        <v>43067.0</v>
      </c>
      <c r="B10088" s="985" t="s">
        <v>343</v>
      </c>
      <c r="C10088" s="94" t="s">
        <v>1092</v>
      </c>
      <c r="D10088" s="94">
        <v>500.0</v>
      </c>
      <c r="E10088" s="94">
        <v>5.94</v>
      </c>
      <c r="F10088" s="986">
        <v>0.4483449074074074</v>
      </c>
      <c r="G10088" s="94" t="s">
        <v>453</v>
      </c>
      <c r="H10088" s="987">
        <v>2.5</v>
      </c>
      <c r="I10088" s="988" t="s">
        <v>3145</v>
      </c>
      <c r="J10088" s="67">
        <f t="shared" ref="J10088:J10091" si="568">IF(B10088="SLD",D10088*E10088,-D10088*E10088)-H10088</f>
        <v>-2972.5</v>
      </c>
      <c r="L10088" s="70"/>
      <c r="M10088" s="934"/>
    </row>
    <row r="10089" ht="12.75" hidden="1" customHeight="1" outlineLevel="1">
      <c r="A10089" s="202">
        <v>43067.0</v>
      </c>
      <c r="B10089" s="985" t="s">
        <v>343</v>
      </c>
      <c r="C10089" s="94" t="s">
        <v>604</v>
      </c>
      <c r="D10089" s="94">
        <v>500.0</v>
      </c>
      <c r="E10089" s="94">
        <v>2.69</v>
      </c>
      <c r="F10089" s="986">
        <v>0.44819444444444445</v>
      </c>
      <c r="G10089" s="94" t="s">
        <v>453</v>
      </c>
      <c r="H10089" s="987">
        <v>2.5</v>
      </c>
      <c r="I10089" s="988" t="s">
        <v>3145</v>
      </c>
      <c r="J10089" s="67">
        <f t="shared" si="568"/>
        <v>-1347.5</v>
      </c>
      <c r="L10089" s="70"/>
      <c r="M10089" s="934"/>
    </row>
    <row r="10090" ht="12.75" hidden="1" customHeight="1" outlineLevel="1">
      <c r="A10090" s="202">
        <v>43067.0</v>
      </c>
      <c r="B10090" s="985" t="s">
        <v>343</v>
      </c>
      <c r="C10090" s="94" t="s">
        <v>1483</v>
      </c>
      <c r="D10090" s="94">
        <v>500.0</v>
      </c>
      <c r="E10090" s="94">
        <v>2.59</v>
      </c>
      <c r="F10090" s="986">
        <v>0.44797453703703705</v>
      </c>
      <c r="G10090" s="94" t="s">
        <v>453</v>
      </c>
      <c r="H10090" s="987">
        <v>2.5</v>
      </c>
      <c r="I10090" s="988" t="s">
        <v>3145</v>
      </c>
      <c r="J10090" s="67">
        <f t="shared" si="568"/>
        <v>-1297.5</v>
      </c>
      <c r="L10090" s="70"/>
      <c r="M10090" s="934"/>
    </row>
    <row r="10091" ht="12.75" hidden="1" customHeight="1" outlineLevel="1">
      <c r="A10091" s="202">
        <v>43067.0</v>
      </c>
      <c r="B10091" s="985" t="s">
        <v>343</v>
      </c>
      <c r="C10091" s="94" t="s">
        <v>1485</v>
      </c>
      <c r="D10091" s="94">
        <v>500.0</v>
      </c>
      <c r="E10091" s="94">
        <v>5.75</v>
      </c>
      <c r="F10091" s="986">
        <v>0.44796296296296295</v>
      </c>
      <c r="G10091" s="94" t="s">
        <v>453</v>
      </c>
      <c r="H10091" s="987">
        <v>2.5</v>
      </c>
      <c r="I10091" s="988" t="s">
        <v>3145</v>
      </c>
      <c r="J10091" s="67">
        <f t="shared" si="568"/>
        <v>-2877.5</v>
      </c>
      <c r="L10091" s="70"/>
      <c r="M10091" s="934"/>
    </row>
    <row r="10092" ht="12.75" hidden="1" customHeight="1" outlineLevel="1">
      <c r="A10092" s="202">
        <v>43067.0</v>
      </c>
      <c r="B10092" s="992"/>
      <c r="C10092" s="32" t="s">
        <v>339</v>
      </c>
      <c r="D10092" s="1"/>
      <c r="F10092" s="1"/>
      <c r="G10092" s="1"/>
      <c r="H10092" s="68"/>
      <c r="I10092" s="76"/>
      <c r="K10092" s="201" t="s">
        <v>3560</v>
      </c>
      <c r="L10092" s="934"/>
      <c r="M10092" s="934"/>
    </row>
    <row r="10093" ht="12.75" hidden="1" customHeight="1" outlineLevel="1">
      <c r="A10093" s="202">
        <v>43067.0</v>
      </c>
      <c r="B10093" s="992"/>
      <c r="C10093" s="32" t="s">
        <v>429</v>
      </c>
      <c r="D10093" s="1"/>
      <c r="F10093" s="1"/>
      <c r="G10093" s="1"/>
      <c r="H10093" s="68"/>
      <c r="I10093" s="76"/>
      <c r="K10093" s="9" t="s">
        <v>3187</v>
      </c>
      <c r="L10093" s="934"/>
      <c r="M10093" s="934"/>
    </row>
    <row r="10094" ht="12.75" hidden="1" customHeight="1" outlineLevel="1">
      <c r="A10094" s="202">
        <v>43067.0</v>
      </c>
      <c r="B10094" s="992"/>
      <c r="C10094" s="32" t="s">
        <v>431</v>
      </c>
      <c r="D10094" s="1"/>
      <c r="F10094" s="1"/>
      <c r="G10094" s="1"/>
      <c r="H10094" s="68"/>
      <c r="I10094" s="76"/>
      <c r="K10094" s="7" t="s">
        <v>1126</v>
      </c>
      <c r="L10094" s="934"/>
      <c r="M10094" s="934"/>
    </row>
    <row r="10095" ht="12.75" hidden="1" customHeight="1" outlineLevel="1">
      <c r="A10095" s="202">
        <v>43067.0</v>
      </c>
      <c r="B10095" s="992"/>
      <c r="C10095" s="32" t="s">
        <v>433</v>
      </c>
      <c r="D10095" s="1"/>
      <c r="F10095" s="1"/>
      <c r="G10095" s="1"/>
      <c r="H10095" s="68"/>
      <c r="I10095" s="76"/>
      <c r="K10095" s="7" t="s">
        <v>1103</v>
      </c>
      <c r="L10095" s="934"/>
      <c r="M10095" s="934"/>
    </row>
    <row r="10096" ht="12.75" hidden="1" customHeight="1" outlineLevel="1">
      <c r="A10096" s="202">
        <v>43067.0</v>
      </c>
      <c r="B10096" s="992"/>
      <c r="C10096" s="32" t="s">
        <v>435</v>
      </c>
      <c r="D10096" s="1"/>
      <c r="F10096" s="1"/>
      <c r="G10096" s="1"/>
      <c r="H10096" s="68"/>
      <c r="I10096" s="76"/>
      <c r="K10096" s="9" t="s">
        <v>3331</v>
      </c>
      <c r="L10096" s="934"/>
      <c r="M10096" s="934"/>
    </row>
    <row r="10097" ht="12.75" hidden="1" customHeight="1" outlineLevel="1">
      <c r="A10097" s="202">
        <v>43068.0</v>
      </c>
      <c r="B10097" s="992"/>
      <c r="C10097" s="32" t="s">
        <v>339</v>
      </c>
      <c r="D10097" s="1"/>
      <c r="F10097" s="1"/>
      <c r="G10097" s="1"/>
      <c r="H10097" s="68"/>
      <c r="I10097" s="76"/>
      <c r="K10097" s="201" t="s">
        <v>3561</v>
      </c>
      <c r="L10097" s="934"/>
      <c r="M10097" s="934"/>
    </row>
    <row r="10098" ht="12.75" hidden="1" customHeight="1" outlineLevel="1">
      <c r="A10098" s="202">
        <v>43068.0</v>
      </c>
      <c r="B10098" s="992"/>
      <c r="C10098" s="32" t="s">
        <v>429</v>
      </c>
      <c r="D10098" s="1"/>
      <c r="F10098" s="1"/>
      <c r="G10098" s="1"/>
      <c r="H10098" s="68"/>
      <c r="I10098" s="76"/>
      <c r="K10098" s="9" t="s">
        <v>3187</v>
      </c>
      <c r="L10098" s="934"/>
      <c r="M10098" s="934"/>
    </row>
    <row r="10099" ht="12.75" hidden="1" customHeight="1" outlineLevel="1">
      <c r="A10099" s="202">
        <v>43068.0</v>
      </c>
      <c r="B10099" s="992"/>
      <c r="C10099" s="32" t="s">
        <v>431</v>
      </c>
      <c r="D10099" s="1"/>
      <c r="F10099" s="1"/>
      <c r="G10099" s="1"/>
      <c r="H10099" s="68"/>
      <c r="I10099" s="76"/>
      <c r="K10099" s="7" t="s">
        <v>1126</v>
      </c>
      <c r="L10099" s="934"/>
      <c r="M10099" s="934"/>
    </row>
    <row r="10100" ht="12.75" hidden="1" customHeight="1" outlineLevel="1">
      <c r="A10100" s="202">
        <v>43068.0</v>
      </c>
      <c r="B10100" s="992"/>
      <c r="C10100" s="32" t="s">
        <v>433</v>
      </c>
      <c r="D10100" s="1"/>
      <c r="F10100" s="1"/>
      <c r="G10100" s="1"/>
      <c r="H10100" s="68"/>
      <c r="I10100" s="76"/>
      <c r="K10100" s="7" t="s">
        <v>1103</v>
      </c>
      <c r="L10100" s="934"/>
      <c r="M10100" s="934"/>
    </row>
    <row r="10101" ht="12.75" hidden="1" customHeight="1" outlineLevel="1">
      <c r="A10101" s="202">
        <v>43068.0</v>
      </c>
      <c r="B10101" s="992"/>
      <c r="C10101" s="32" t="s">
        <v>435</v>
      </c>
      <c r="D10101" s="1"/>
      <c r="F10101" s="1"/>
      <c r="G10101" s="1"/>
      <c r="H10101" s="68"/>
      <c r="I10101" s="76"/>
      <c r="K10101" s="9" t="s">
        <v>3331</v>
      </c>
      <c r="L10101" s="934"/>
      <c r="M10101" s="934"/>
    </row>
    <row r="10102" ht="12.75" hidden="1" customHeight="1" outlineLevel="1">
      <c r="A10102" s="202">
        <v>43069.0</v>
      </c>
      <c r="B10102" s="992"/>
      <c r="C10102" s="32" t="s">
        <v>339</v>
      </c>
      <c r="D10102" s="1"/>
      <c r="F10102" s="1"/>
      <c r="G10102" s="1"/>
      <c r="H10102" s="68"/>
      <c r="I10102" s="76"/>
      <c r="K10102" s="201" t="s">
        <v>3562</v>
      </c>
      <c r="L10102" s="934"/>
      <c r="M10102" s="934"/>
    </row>
    <row r="10103" ht="12.75" hidden="1" customHeight="1" outlineLevel="1">
      <c r="A10103" s="202">
        <v>43069.0</v>
      </c>
      <c r="B10103" s="992"/>
      <c r="C10103" s="32" t="s">
        <v>429</v>
      </c>
      <c r="D10103" s="1"/>
      <c r="F10103" s="1"/>
      <c r="G10103" s="1"/>
      <c r="H10103" s="68"/>
      <c r="I10103" s="76"/>
      <c r="K10103" s="9" t="s">
        <v>3187</v>
      </c>
      <c r="L10103" s="934"/>
      <c r="M10103" s="934"/>
    </row>
    <row r="10104" ht="12.75" hidden="1" customHeight="1" outlineLevel="1">
      <c r="A10104" s="202">
        <v>43069.0</v>
      </c>
      <c r="B10104" s="992"/>
      <c r="C10104" s="32" t="s">
        <v>431</v>
      </c>
      <c r="D10104" s="1"/>
      <c r="F10104" s="1"/>
      <c r="G10104" s="1"/>
      <c r="H10104" s="68"/>
      <c r="I10104" s="76"/>
      <c r="K10104" s="7" t="s">
        <v>1126</v>
      </c>
      <c r="L10104" s="934"/>
      <c r="M10104" s="934"/>
    </row>
    <row r="10105" ht="12.75" hidden="1" customHeight="1" outlineLevel="1">
      <c r="A10105" s="202">
        <v>43069.0</v>
      </c>
      <c r="B10105" s="992"/>
      <c r="C10105" s="32" t="s">
        <v>433</v>
      </c>
      <c r="D10105" s="1"/>
      <c r="F10105" s="1"/>
      <c r="G10105" s="1"/>
      <c r="H10105" s="68"/>
      <c r="I10105" s="76"/>
      <c r="K10105" s="7" t="s">
        <v>1103</v>
      </c>
      <c r="L10105" s="934"/>
      <c r="M10105" s="934"/>
    </row>
    <row r="10106" ht="12.75" hidden="1" customHeight="1" outlineLevel="1">
      <c r="A10106" s="202">
        <v>43069.0</v>
      </c>
      <c r="B10106" s="992"/>
      <c r="C10106" s="32" t="s">
        <v>435</v>
      </c>
      <c r="D10106" s="1"/>
      <c r="F10106" s="1"/>
      <c r="G10106" s="1"/>
      <c r="H10106" s="68"/>
      <c r="I10106" s="76"/>
      <c r="K10106" s="9" t="s">
        <v>3331</v>
      </c>
      <c r="L10106" s="934"/>
      <c r="M10106" s="934"/>
    </row>
    <row r="10107" ht="12.75" hidden="1" customHeight="1" outlineLevel="1">
      <c r="A10107" s="202">
        <v>43069.0</v>
      </c>
      <c r="B10107" s="992"/>
      <c r="C10107" s="32" t="s">
        <v>339</v>
      </c>
      <c r="D10107" s="1"/>
      <c r="F10107" s="1"/>
      <c r="G10107" s="1"/>
      <c r="H10107" s="68"/>
      <c r="I10107" s="76"/>
      <c r="K10107" s="201" t="s">
        <v>3563</v>
      </c>
      <c r="L10107" s="934"/>
      <c r="M10107" s="934"/>
    </row>
    <row r="10108" ht="12.75" hidden="1" customHeight="1" outlineLevel="1">
      <c r="A10108" s="202">
        <v>43069.0</v>
      </c>
      <c r="B10108" s="992"/>
      <c r="C10108" s="32" t="s">
        <v>429</v>
      </c>
      <c r="D10108" s="1"/>
      <c r="F10108" s="1"/>
      <c r="G10108" s="1"/>
      <c r="H10108" s="68"/>
      <c r="I10108" s="76"/>
      <c r="K10108" s="9" t="s">
        <v>3187</v>
      </c>
      <c r="L10108" s="934"/>
      <c r="M10108" s="934"/>
    </row>
    <row r="10109" ht="12.75" hidden="1" customHeight="1" outlineLevel="1">
      <c r="A10109" s="202">
        <v>43069.0</v>
      </c>
      <c r="B10109" s="992"/>
      <c r="C10109" s="32" t="s">
        <v>431</v>
      </c>
      <c r="D10109" s="1"/>
      <c r="F10109" s="1"/>
      <c r="G10109" s="1"/>
      <c r="H10109" s="68"/>
      <c r="I10109" s="76"/>
      <c r="K10109" s="7" t="s">
        <v>1126</v>
      </c>
      <c r="L10109" s="934"/>
      <c r="M10109" s="934"/>
    </row>
    <row r="10110" ht="12.75" hidden="1" customHeight="1" outlineLevel="1">
      <c r="A10110" s="202">
        <v>43069.0</v>
      </c>
      <c r="B10110" s="992"/>
      <c r="C10110" s="32" t="s">
        <v>433</v>
      </c>
      <c r="D10110" s="1"/>
      <c r="F10110" s="1"/>
      <c r="G10110" s="1"/>
      <c r="H10110" s="68"/>
      <c r="I10110" s="76"/>
      <c r="K10110" s="7" t="s">
        <v>1103</v>
      </c>
      <c r="L10110" s="934"/>
      <c r="M10110" s="934"/>
    </row>
    <row r="10111" ht="12.75" hidden="1" customHeight="1" outlineLevel="1">
      <c r="A10111" s="202">
        <v>43069.0</v>
      </c>
      <c r="B10111" s="992"/>
      <c r="C10111" s="32" t="s">
        <v>435</v>
      </c>
      <c r="D10111" s="1"/>
      <c r="F10111" s="1"/>
      <c r="G10111" s="1"/>
      <c r="H10111" s="68"/>
      <c r="I10111" s="76"/>
      <c r="K10111" s="9" t="s">
        <v>3331</v>
      </c>
      <c r="L10111" s="934"/>
      <c r="M10111" s="934"/>
    </row>
    <row r="10112" ht="12.75" hidden="1" customHeight="1" outlineLevel="1">
      <c r="A10112" s="202">
        <v>43076.0</v>
      </c>
      <c r="B10112" s="985" t="s">
        <v>347</v>
      </c>
      <c r="C10112" s="94" t="s">
        <v>2479</v>
      </c>
      <c r="D10112" s="94">
        <v>30.0</v>
      </c>
      <c r="E10112" s="94">
        <v>178.97</v>
      </c>
      <c r="F10112" s="998">
        <v>43075.62112268519</v>
      </c>
      <c r="G10112" s="94" t="s">
        <v>453</v>
      </c>
      <c r="H10112" s="987">
        <v>1.13</v>
      </c>
      <c r="I10112" s="988" t="s">
        <v>3145</v>
      </c>
      <c r="J10112" s="67">
        <f t="shared" ref="J10112:J10115" si="569">IF(B10112="SLD",D10112*E10112,-D10112*E10112)-H10112</f>
        <v>5367.97</v>
      </c>
      <c r="L10112" s="70"/>
      <c r="M10112" s="934"/>
    </row>
    <row r="10113" ht="12.75" hidden="1" customHeight="1" outlineLevel="1">
      <c r="A10113" s="202">
        <v>43076.0</v>
      </c>
      <c r="B10113" s="985" t="s">
        <v>343</v>
      </c>
      <c r="C10113" s="94" t="s">
        <v>1079</v>
      </c>
      <c r="D10113" s="94">
        <v>150.0</v>
      </c>
      <c r="E10113" s="94">
        <v>45.3265</v>
      </c>
      <c r="F10113" s="998">
        <v>43075.62094907407</v>
      </c>
      <c r="G10113" s="94" t="s">
        <v>453</v>
      </c>
      <c r="H10113" s="987">
        <v>1.0</v>
      </c>
      <c r="I10113" s="988" t="s">
        <v>3145</v>
      </c>
      <c r="J10113" s="67">
        <f t="shared" si="569"/>
        <v>-6799.975</v>
      </c>
      <c r="L10113" s="70"/>
      <c r="M10113" s="934"/>
    </row>
    <row r="10114" ht="12.75" hidden="1" customHeight="1" outlineLevel="1">
      <c r="A10114" s="202">
        <v>43076.0</v>
      </c>
      <c r="B10114" s="985" t="s">
        <v>343</v>
      </c>
      <c r="C10114" s="94" t="s">
        <v>3531</v>
      </c>
      <c r="D10114" s="94">
        <v>200.0</v>
      </c>
      <c r="E10114" s="94">
        <v>36.319</v>
      </c>
      <c r="F10114" s="998">
        <v>43075.620671296296</v>
      </c>
      <c r="G10114" s="94" t="s">
        <v>453</v>
      </c>
      <c r="H10114" s="987">
        <v>1.0</v>
      </c>
      <c r="I10114" s="988" t="s">
        <v>3145</v>
      </c>
      <c r="J10114" s="67">
        <f t="shared" si="569"/>
        <v>-7264.8</v>
      </c>
      <c r="L10114" s="70"/>
      <c r="M10114" s="934"/>
    </row>
    <row r="10115" ht="12.75" hidden="1" customHeight="1" outlineLevel="1">
      <c r="A10115" s="202">
        <v>43076.0</v>
      </c>
      <c r="B10115" s="985" t="s">
        <v>347</v>
      </c>
      <c r="C10115" s="94" t="s">
        <v>1185</v>
      </c>
      <c r="D10115" s="94">
        <v>45.0</v>
      </c>
      <c r="E10115" s="94">
        <v>375.29</v>
      </c>
      <c r="F10115" s="998">
        <v>43075.61965277778</v>
      </c>
      <c r="G10115" s="94" t="s">
        <v>453</v>
      </c>
      <c r="H10115" s="987">
        <v>1.4</v>
      </c>
      <c r="I10115" s="988" t="s">
        <v>3145</v>
      </c>
      <c r="J10115" s="67">
        <f t="shared" si="569"/>
        <v>16886.65</v>
      </c>
      <c r="L10115" s="70"/>
      <c r="M10115" s="934"/>
    </row>
    <row r="10116" ht="12.75" hidden="1" customHeight="1" outlineLevel="1">
      <c r="A10116" s="202">
        <v>43077.0</v>
      </c>
      <c r="B10116" s="992"/>
      <c r="C10116" s="32" t="s">
        <v>339</v>
      </c>
      <c r="D10116" s="1"/>
      <c r="F10116" s="1"/>
      <c r="G10116" s="1"/>
      <c r="H10116" s="68"/>
      <c r="I10116" s="76"/>
      <c r="K10116" s="201" t="s">
        <v>3564</v>
      </c>
      <c r="L10116" s="934"/>
      <c r="M10116" s="934"/>
    </row>
    <row r="10117" ht="12.75" hidden="1" customHeight="1" outlineLevel="1">
      <c r="A10117" s="202">
        <v>43077.0</v>
      </c>
      <c r="B10117" s="992"/>
      <c r="C10117" s="32" t="s">
        <v>429</v>
      </c>
      <c r="D10117" s="1"/>
      <c r="F10117" s="1"/>
      <c r="G10117" s="1"/>
      <c r="H10117" s="68"/>
      <c r="I10117" s="76"/>
      <c r="K10117" s="9" t="s">
        <v>3187</v>
      </c>
      <c r="L10117" s="934"/>
      <c r="M10117" s="934"/>
    </row>
    <row r="10118" ht="12.75" hidden="1" customHeight="1" outlineLevel="1">
      <c r="A10118" s="202">
        <v>43077.0</v>
      </c>
      <c r="B10118" s="992"/>
      <c r="C10118" s="32" t="s">
        <v>431</v>
      </c>
      <c r="D10118" s="1"/>
      <c r="F10118" s="1"/>
      <c r="G10118" s="1"/>
      <c r="H10118" s="68"/>
      <c r="I10118" s="76"/>
      <c r="K10118" s="7" t="s">
        <v>1126</v>
      </c>
      <c r="L10118" s="934"/>
      <c r="M10118" s="934"/>
    </row>
    <row r="10119" ht="12.75" hidden="1" customHeight="1" outlineLevel="1">
      <c r="A10119" s="202">
        <v>43077.0</v>
      </c>
      <c r="B10119" s="992"/>
      <c r="C10119" s="32" t="s">
        <v>433</v>
      </c>
      <c r="D10119" s="1"/>
      <c r="F10119" s="1"/>
      <c r="G10119" s="1"/>
      <c r="H10119" s="68"/>
      <c r="I10119" s="76"/>
      <c r="K10119" s="7" t="s">
        <v>1103</v>
      </c>
      <c r="L10119" s="934"/>
      <c r="M10119" s="934"/>
    </row>
    <row r="10120" ht="12.75" hidden="1" customHeight="1" outlineLevel="1">
      <c r="A10120" s="202">
        <v>43077.0</v>
      </c>
      <c r="B10120" s="992"/>
      <c r="C10120" s="32" t="s">
        <v>435</v>
      </c>
      <c r="D10120" s="1"/>
      <c r="F10120" s="1"/>
      <c r="G10120" s="1"/>
      <c r="H10120" s="68"/>
      <c r="I10120" s="76"/>
      <c r="K10120" s="9" t="s">
        <v>3331</v>
      </c>
      <c r="L10120" s="934"/>
      <c r="M10120" s="934"/>
    </row>
    <row r="10121" ht="12.75" hidden="1" customHeight="1" outlineLevel="1">
      <c r="A10121" s="202">
        <v>43095.0</v>
      </c>
      <c r="B10121" s="992"/>
      <c r="C10121" s="32" t="s">
        <v>339</v>
      </c>
      <c r="D10121" s="1"/>
      <c r="F10121" s="1"/>
      <c r="G10121" s="1"/>
      <c r="H10121" s="68"/>
      <c r="I10121" s="76"/>
      <c r="K10121" s="201" t="s">
        <v>3565</v>
      </c>
      <c r="L10121" s="934"/>
      <c r="M10121" s="934"/>
    </row>
    <row r="10122" ht="12.75" hidden="1" customHeight="1" outlineLevel="1">
      <c r="A10122" s="202">
        <v>43095.0</v>
      </c>
      <c r="B10122" s="992"/>
      <c r="C10122" s="32" t="s">
        <v>429</v>
      </c>
      <c r="D10122" s="1"/>
      <c r="F10122" s="1"/>
      <c r="G10122" s="1"/>
      <c r="H10122" s="68"/>
      <c r="I10122" s="76"/>
      <c r="K10122" s="9" t="s">
        <v>3187</v>
      </c>
      <c r="L10122" s="934"/>
      <c r="M10122" s="934"/>
    </row>
    <row r="10123" ht="12.75" hidden="1" customHeight="1" outlineLevel="1">
      <c r="A10123" s="202">
        <v>43095.0</v>
      </c>
      <c r="B10123" s="992"/>
      <c r="C10123" s="32" t="s">
        <v>431</v>
      </c>
      <c r="D10123" s="1"/>
      <c r="F10123" s="1"/>
      <c r="G10123" s="1"/>
      <c r="H10123" s="68"/>
      <c r="I10123" s="76"/>
      <c r="K10123" s="7" t="s">
        <v>1126</v>
      </c>
      <c r="L10123" s="934"/>
      <c r="M10123" s="934"/>
    </row>
    <row r="10124" ht="12.75" hidden="1" customHeight="1" outlineLevel="1">
      <c r="A10124" s="202">
        <v>43095.0</v>
      </c>
      <c r="B10124" s="992"/>
      <c r="C10124" s="32" t="s">
        <v>433</v>
      </c>
      <c r="D10124" s="1"/>
      <c r="F10124" s="1"/>
      <c r="G10124" s="1"/>
      <c r="H10124" s="68"/>
      <c r="I10124" s="76"/>
      <c r="K10124" s="7" t="s">
        <v>1103</v>
      </c>
      <c r="L10124" s="934"/>
      <c r="M10124" s="934"/>
    </row>
    <row r="10125" ht="12.75" hidden="1" customHeight="1" outlineLevel="1">
      <c r="A10125" s="202">
        <v>43095.0</v>
      </c>
      <c r="B10125" s="992"/>
      <c r="C10125" s="32" t="s">
        <v>435</v>
      </c>
      <c r="D10125" s="1"/>
      <c r="F10125" s="1"/>
      <c r="G10125" s="1"/>
      <c r="H10125" s="68"/>
      <c r="I10125" s="76"/>
      <c r="K10125" s="9" t="s">
        <v>3331</v>
      </c>
      <c r="L10125" s="934"/>
      <c r="M10125" s="934"/>
    </row>
    <row r="10126" ht="12.75" hidden="1" customHeight="1" outlineLevel="1">
      <c r="A10126" s="202">
        <v>43138.0</v>
      </c>
      <c r="B10126" s="992"/>
      <c r="C10126" s="32" t="s">
        <v>339</v>
      </c>
      <c r="D10126" s="1"/>
      <c r="F10126" s="1"/>
      <c r="G10126" s="1"/>
      <c r="H10126" s="68"/>
      <c r="I10126" s="76"/>
      <c r="K10126" s="201" t="s">
        <v>3566</v>
      </c>
      <c r="L10126" s="934"/>
      <c r="M10126" s="934"/>
    </row>
    <row r="10127" ht="12.75" hidden="1" customHeight="1" outlineLevel="1">
      <c r="A10127" s="202">
        <v>43138.0</v>
      </c>
      <c r="B10127" s="992"/>
      <c r="C10127" s="32" t="s">
        <v>429</v>
      </c>
      <c r="D10127" s="1"/>
      <c r="F10127" s="1"/>
      <c r="G10127" s="1"/>
      <c r="H10127" s="68"/>
      <c r="I10127" s="76"/>
      <c r="K10127" s="9" t="s">
        <v>3187</v>
      </c>
      <c r="L10127" s="934"/>
      <c r="M10127" s="934"/>
    </row>
    <row r="10128" ht="12.75" hidden="1" customHeight="1" outlineLevel="1">
      <c r="A10128" s="202">
        <v>43138.0</v>
      </c>
      <c r="B10128" s="992"/>
      <c r="C10128" s="32" t="s">
        <v>431</v>
      </c>
      <c r="D10128" s="1"/>
      <c r="F10128" s="1"/>
      <c r="G10128" s="1"/>
      <c r="H10128" s="68"/>
      <c r="I10128" s="76"/>
      <c r="K10128" s="7" t="s">
        <v>1126</v>
      </c>
      <c r="L10128" s="934"/>
      <c r="M10128" s="934"/>
    </row>
    <row r="10129" ht="12.75" hidden="1" customHeight="1" outlineLevel="1">
      <c r="A10129" s="202">
        <v>43138.0</v>
      </c>
      <c r="B10129" s="992"/>
      <c r="C10129" s="32" t="s">
        <v>433</v>
      </c>
      <c r="D10129" s="1"/>
      <c r="F10129" s="1"/>
      <c r="G10129" s="1"/>
      <c r="H10129" s="68"/>
      <c r="I10129" s="76"/>
      <c r="K10129" s="7" t="s">
        <v>1103</v>
      </c>
      <c r="L10129" s="934"/>
      <c r="M10129" s="934"/>
    </row>
    <row r="10130" ht="12.75" hidden="1" customHeight="1" outlineLevel="1">
      <c r="A10130" s="202">
        <v>43138.0</v>
      </c>
      <c r="B10130" s="992"/>
      <c r="C10130" s="32" t="s">
        <v>435</v>
      </c>
      <c r="D10130" s="1"/>
      <c r="F10130" s="1"/>
      <c r="G10130" s="1"/>
      <c r="H10130" s="68"/>
      <c r="I10130" s="76"/>
      <c r="K10130" s="9" t="s">
        <v>3331</v>
      </c>
      <c r="L10130" s="934"/>
      <c r="M10130" s="934"/>
    </row>
    <row r="10131" ht="12.75" hidden="1" customHeight="1" outlineLevel="1">
      <c r="A10131" s="202">
        <v>43139.0</v>
      </c>
      <c r="B10131" s="985" t="s">
        <v>347</v>
      </c>
      <c r="C10131" s="94" t="s">
        <v>1414</v>
      </c>
      <c r="D10131" s="94">
        <v>25.0</v>
      </c>
      <c r="E10131" s="94">
        <v>223.05</v>
      </c>
      <c r="F10131" s="998">
        <v>43139.51291666667</v>
      </c>
      <c r="G10131" s="94" t="s">
        <v>453</v>
      </c>
      <c r="H10131" s="987">
        <v>1.13</v>
      </c>
      <c r="I10131" s="988" t="s">
        <v>3145</v>
      </c>
      <c r="J10131" s="67">
        <f>IF(B10131="SLD",D10131*E10131,-D10131*E10131)-H10131</f>
        <v>5575.12</v>
      </c>
      <c r="K10131" s="94"/>
      <c r="L10131" s="70"/>
      <c r="M10131" s="934"/>
    </row>
    <row r="10132" ht="12.75" hidden="1" customHeight="1" outlineLevel="1">
      <c r="A10132" s="202">
        <v>43143.0</v>
      </c>
      <c r="B10132" s="992"/>
      <c r="C10132" s="32" t="s">
        <v>339</v>
      </c>
      <c r="D10132" s="1"/>
      <c r="F10132" s="1"/>
      <c r="G10132" s="1"/>
      <c r="H10132" s="68"/>
      <c r="I10132" s="76"/>
      <c r="K10132" s="201" t="s">
        <v>3567</v>
      </c>
      <c r="L10132" s="934"/>
      <c r="M10132" s="934"/>
    </row>
    <row r="10133" ht="12.75" hidden="1" customHeight="1" outlineLevel="1">
      <c r="A10133" s="202">
        <v>43143.0</v>
      </c>
      <c r="B10133" s="992"/>
      <c r="C10133" s="32" t="s">
        <v>429</v>
      </c>
      <c r="D10133" s="1"/>
      <c r="F10133" s="1"/>
      <c r="G10133" s="1"/>
      <c r="H10133" s="68"/>
      <c r="I10133" s="76"/>
      <c r="K10133" s="9" t="s">
        <v>3187</v>
      </c>
      <c r="L10133" s="934"/>
      <c r="M10133" s="934"/>
    </row>
    <row r="10134" ht="12.75" hidden="1" customHeight="1" outlineLevel="1">
      <c r="A10134" s="202">
        <v>43143.0</v>
      </c>
      <c r="B10134" s="992"/>
      <c r="C10134" s="32" t="s">
        <v>431</v>
      </c>
      <c r="D10134" s="1"/>
      <c r="F10134" s="1"/>
      <c r="G10134" s="1"/>
      <c r="H10134" s="68"/>
      <c r="I10134" s="76"/>
      <c r="K10134" s="7" t="s">
        <v>1126</v>
      </c>
      <c r="L10134" s="934"/>
      <c r="M10134" s="934"/>
    </row>
    <row r="10135" ht="12.75" hidden="1" customHeight="1" outlineLevel="1">
      <c r="A10135" s="202">
        <v>43143.0</v>
      </c>
      <c r="B10135" s="992"/>
      <c r="C10135" s="32" t="s">
        <v>433</v>
      </c>
      <c r="D10135" s="1"/>
      <c r="F10135" s="1"/>
      <c r="G10135" s="1"/>
      <c r="H10135" s="68"/>
      <c r="I10135" s="76"/>
      <c r="K10135" s="7" t="s">
        <v>1103</v>
      </c>
      <c r="L10135" s="934"/>
      <c r="M10135" s="934"/>
    </row>
    <row r="10136" ht="12.75" hidden="1" customHeight="1" outlineLevel="1">
      <c r="A10136" s="202">
        <v>43143.0</v>
      </c>
      <c r="B10136" s="992"/>
      <c r="C10136" s="32" t="s">
        <v>435</v>
      </c>
      <c r="D10136" s="1"/>
      <c r="F10136" s="1"/>
      <c r="G10136" s="1"/>
      <c r="H10136" s="68"/>
      <c r="I10136" s="76"/>
      <c r="K10136" s="9" t="s">
        <v>3331</v>
      </c>
      <c r="L10136" s="934"/>
      <c r="M10136" s="934"/>
    </row>
    <row r="10137" ht="12.75" hidden="1" customHeight="1" outlineLevel="1">
      <c r="A10137" s="202">
        <v>43157.0</v>
      </c>
      <c r="B10137" s="992"/>
      <c r="C10137" s="32" t="s">
        <v>339</v>
      </c>
      <c r="D10137" s="1"/>
      <c r="F10137" s="1"/>
      <c r="G10137" s="1"/>
      <c r="H10137" s="68"/>
      <c r="I10137" s="76"/>
      <c r="K10137" s="201" t="s">
        <v>3568</v>
      </c>
      <c r="L10137" s="934"/>
      <c r="M10137" s="934"/>
    </row>
    <row r="10138" ht="12.75" hidden="1" customHeight="1" outlineLevel="1">
      <c r="A10138" s="202">
        <v>43157.0</v>
      </c>
      <c r="B10138" s="992"/>
      <c r="C10138" s="32" t="s">
        <v>429</v>
      </c>
      <c r="D10138" s="1"/>
      <c r="F10138" s="1"/>
      <c r="G10138" s="1"/>
      <c r="H10138" s="68"/>
      <c r="I10138" s="76"/>
      <c r="K10138" s="9" t="s">
        <v>3187</v>
      </c>
      <c r="L10138" s="934"/>
      <c r="M10138" s="934"/>
    </row>
    <row r="10139" ht="12.75" hidden="1" customHeight="1" outlineLevel="1">
      <c r="A10139" s="202">
        <v>43157.0</v>
      </c>
      <c r="B10139" s="992"/>
      <c r="C10139" s="32" t="s">
        <v>431</v>
      </c>
      <c r="D10139" s="1"/>
      <c r="F10139" s="1"/>
      <c r="G10139" s="1"/>
      <c r="H10139" s="68"/>
      <c r="I10139" s="76"/>
      <c r="K10139" s="7" t="s">
        <v>1126</v>
      </c>
      <c r="L10139" s="934"/>
      <c r="M10139" s="934"/>
    </row>
    <row r="10140" ht="12.75" hidden="1" customHeight="1" outlineLevel="1">
      <c r="A10140" s="202">
        <v>43157.0</v>
      </c>
      <c r="B10140" s="992"/>
      <c r="C10140" s="32" t="s">
        <v>433</v>
      </c>
      <c r="D10140" s="1"/>
      <c r="F10140" s="1"/>
      <c r="G10140" s="1"/>
      <c r="H10140" s="68"/>
      <c r="I10140" s="76"/>
      <c r="K10140" s="7" t="s">
        <v>1103</v>
      </c>
      <c r="L10140" s="934"/>
      <c r="M10140" s="934"/>
    </row>
    <row r="10141" ht="12.75" hidden="1" customHeight="1" outlineLevel="1">
      <c r="A10141" s="202">
        <v>43157.0</v>
      </c>
      <c r="B10141" s="992"/>
      <c r="C10141" s="32" t="s">
        <v>435</v>
      </c>
      <c r="D10141" s="1"/>
      <c r="F10141" s="1"/>
      <c r="G10141" s="1"/>
      <c r="H10141" s="68"/>
      <c r="I10141" s="76"/>
      <c r="K10141" s="9" t="s">
        <v>3331</v>
      </c>
      <c r="L10141" s="934"/>
      <c r="M10141" s="934"/>
    </row>
    <row r="10142" ht="12.75" hidden="1" customHeight="1" outlineLevel="1">
      <c r="A10142" s="202">
        <v>43164.0</v>
      </c>
      <c r="B10142" s="992"/>
      <c r="C10142" s="32" t="s">
        <v>339</v>
      </c>
      <c r="D10142" s="1"/>
      <c r="F10142" s="1"/>
      <c r="G10142" s="1"/>
      <c r="H10142" s="68"/>
      <c r="I10142" s="76"/>
      <c r="K10142" s="201" t="s">
        <v>3569</v>
      </c>
      <c r="L10142" s="934"/>
      <c r="M10142" s="934"/>
    </row>
    <row r="10143" ht="12.75" hidden="1" customHeight="1" outlineLevel="1">
      <c r="A10143" s="202">
        <v>43164.0</v>
      </c>
      <c r="B10143" s="992"/>
      <c r="C10143" s="32" t="s">
        <v>429</v>
      </c>
      <c r="D10143" s="1"/>
      <c r="F10143" s="1"/>
      <c r="G10143" s="1"/>
      <c r="H10143" s="68"/>
      <c r="I10143" s="76"/>
      <c r="K10143" s="9" t="s">
        <v>3187</v>
      </c>
      <c r="L10143" s="934"/>
      <c r="M10143" s="934"/>
    </row>
    <row r="10144" ht="12.75" hidden="1" customHeight="1" outlineLevel="1">
      <c r="A10144" s="202">
        <v>43164.0</v>
      </c>
      <c r="B10144" s="992"/>
      <c r="C10144" s="32" t="s">
        <v>431</v>
      </c>
      <c r="D10144" s="1"/>
      <c r="F10144" s="1"/>
      <c r="G10144" s="1"/>
      <c r="H10144" s="68"/>
      <c r="I10144" s="76"/>
      <c r="K10144" s="7" t="s">
        <v>1126</v>
      </c>
      <c r="L10144" s="934"/>
      <c r="M10144" s="934"/>
    </row>
    <row r="10145" ht="12.75" hidden="1" customHeight="1" outlineLevel="1">
      <c r="A10145" s="202">
        <v>43164.0</v>
      </c>
      <c r="B10145" s="992"/>
      <c r="C10145" s="32" t="s">
        <v>433</v>
      </c>
      <c r="D10145" s="1"/>
      <c r="F10145" s="1"/>
      <c r="G10145" s="1"/>
      <c r="H10145" s="68"/>
      <c r="I10145" s="76"/>
      <c r="K10145" s="7" t="s">
        <v>1103</v>
      </c>
      <c r="L10145" s="934"/>
      <c r="M10145" s="934"/>
    </row>
    <row r="10146" ht="12.75" hidden="1" customHeight="1" outlineLevel="1">
      <c r="A10146" s="202">
        <v>43164.0</v>
      </c>
      <c r="B10146" s="992"/>
      <c r="C10146" s="32" t="s">
        <v>435</v>
      </c>
      <c r="D10146" s="1"/>
      <c r="F10146" s="1"/>
      <c r="G10146" s="1"/>
      <c r="H10146" s="68"/>
      <c r="I10146" s="76"/>
      <c r="K10146" s="9" t="s">
        <v>3331</v>
      </c>
      <c r="L10146" s="934"/>
      <c r="M10146" s="934"/>
    </row>
    <row r="10147" ht="12.75" hidden="1" customHeight="1" outlineLevel="1">
      <c r="A10147" s="202">
        <v>43198.0</v>
      </c>
      <c r="B10147" s="992"/>
      <c r="C10147" s="32" t="s">
        <v>339</v>
      </c>
      <c r="D10147" s="1"/>
      <c r="F10147" s="1"/>
      <c r="G10147" s="1"/>
      <c r="H10147" s="68"/>
      <c r="I10147" s="76"/>
      <c r="K10147" s="201" t="s">
        <v>3570</v>
      </c>
      <c r="L10147" s="934"/>
      <c r="M10147" s="934"/>
    </row>
    <row r="10148" ht="12.75" hidden="1" customHeight="1" outlineLevel="1">
      <c r="A10148" s="202">
        <v>43198.0</v>
      </c>
      <c r="B10148" s="992"/>
      <c r="C10148" s="32" t="s">
        <v>429</v>
      </c>
      <c r="D10148" s="1"/>
      <c r="F10148" s="1"/>
      <c r="G10148" s="1"/>
      <c r="H10148" s="68"/>
      <c r="I10148" s="76"/>
      <c r="K10148" s="9" t="s">
        <v>3187</v>
      </c>
      <c r="L10148" s="934"/>
      <c r="M10148" s="934"/>
    </row>
    <row r="10149" ht="12.75" hidden="1" customHeight="1" outlineLevel="1">
      <c r="A10149" s="202">
        <v>43198.0</v>
      </c>
      <c r="B10149" s="992"/>
      <c r="C10149" s="32" t="s">
        <v>431</v>
      </c>
      <c r="D10149" s="1"/>
      <c r="F10149" s="1"/>
      <c r="G10149" s="1"/>
      <c r="H10149" s="68"/>
      <c r="I10149" s="76"/>
      <c r="K10149" s="7" t="s">
        <v>1126</v>
      </c>
      <c r="L10149" s="934"/>
      <c r="M10149" s="934"/>
    </row>
    <row r="10150" ht="12.75" hidden="1" customHeight="1" outlineLevel="1">
      <c r="A10150" s="202">
        <v>43198.0</v>
      </c>
      <c r="B10150" s="992"/>
      <c r="C10150" s="32" t="s">
        <v>433</v>
      </c>
      <c r="D10150" s="1"/>
      <c r="F10150" s="1"/>
      <c r="G10150" s="1"/>
      <c r="H10150" s="68"/>
      <c r="I10150" s="76"/>
      <c r="K10150" s="7" t="s">
        <v>1103</v>
      </c>
      <c r="L10150" s="934"/>
      <c r="M10150" s="934"/>
    </row>
    <row r="10151" ht="12.75" hidden="1" customHeight="1" outlineLevel="1">
      <c r="A10151" s="202">
        <v>43198.0</v>
      </c>
      <c r="B10151" s="992"/>
      <c r="C10151" s="32" t="s">
        <v>435</v>
      </c>
      <c r="D10151" s="1"/>
      <c r="F10151" s="1"/>
      <c r="G10151" s="1"/>
      <c r="H10151" s="68"/>
      <c r="I10151" s="76"/>
      <c r="K10151" s="9" t="s">
        <v>3331</v>
      </c>
      <c r="L10151" s="934"/>
      <c r="M10151" s="934"/>
    </row>
    <row r="10152" ht="12.75" hidden="1" customHeight="1" outlineLevel="1">
      <c r="A10152" s="202">
        <v>43199.0</v>
      </c>
      <c r="B10152" s="992"/>
      <c r="C10152" s="32" t="s">
        <v>339</v>
      </c>
      <c r="D10152" s="1"/>
      <c r="F10152" s="1"/>
      <c r="G10152" s="1"/>
      <c r="H10152" s="68"/>
      <c r="I10152" s="76"/>
      <c r="K10152" s="201" t="s">
        <v>3571</v>
      </c>
      <c r="L10152" s="934"/>
      <c r="M10152" s="934"/>
    </row>
    <row r="10153" ht="12.75" hidden="1" customHeight="1" outlineLevel="1">
      <c r="A10153" s="202">
        <v>43199.0</v>
      </c>
      <c r="B10153" s="992"/>
      <c r="C10153" s="32" t="s">
        <v>429</v>
      </c>
      <c r="D10153" s="1"/>
      <c r="F10153" s="1"/>
      <c r="G10153" s="1"/>
      <c r="H10153" s="68"/>
      <c r="I10153" s="76"/>
      <c r="K10153" s="9" t="s">
        <v>3187</v>
      </c>
      <c r="L10153" s="934"/>
      <c r="M10153" s="934"/>
    </row>
    <row r="10154" ht="12.75" hidden="1" customHeight="1" outlineLevel="1">
      <c r="A10154" s="202">
        <v>43199.0</v>
      </c>
      <c r="B10154" s="992"/>
      <c r="C10154" s="32" t="s">
        <v>431</v>
      </c>
      <c r="D10154" s="1"/>
      <c r="F10154" s="1"/>
      <c r="G10154" s="1"/>
      <c r="H10154" s="68"/>
      <c r="I10154" s="76"/>
      <c r="K10154" s="7" t="s">
        <v>1126</v>
      </c>
      <c r="L10154" s="934"/>
      <c r="M10154" s="934"/>
    </row>
    <row r="10155" ht="12.75" hidden="1" customHeight="1" outlineLevel="1">
      <c r="A10155" s="202">
        <v>43199.0</v>
      </c>
      <c r="B10155" s="992"/>
      <c r="C10155" s="32" t="s">
        <v>433</v>
      </c>
      <c r="D10155" s="1"/>
      <c r="F10155" s="1"/>
      <c r="G10155" s="1"/>
      <c r="H10155" s="68"/>
      <c r="I10155" s="76"/>
      <c r="K10155" s="7" t="s">
        <v>1103</v>
      </c>
      <c r="L10155" s="934"/>
      <c r="M10155" s="934"/>
    </row>
    <row r="10156" ht="12.75" hidden="1" customHeight="1" outlineLevel="1">
      <c r="A10156" s="202">
        <v>43199.0</v>
      </c>
      <c r="B10156" s="992"/>
      <c r="C10156" s="32" t="s">
        <v>435</v>
      </c>
      <c r="D10156" s="1"/>
      <c r="F10156" s="1"/>
      <c r="G10156" s="1"/>
      <c r="H10156" s="68"/>
      <c r="I10156" s="76"/>
      <c r="K10156" s="9" t="s">
        <v>3331</v>
      </c>
      <c r="L10156" s="934"/>
      <c r="M10156" s="934"/>
    </row>
    <row r="10157" ht="12.75" hidden="1" customHeight="1" outlineLevel="1">
      <c r="A10157" s="202">
        <v>43199.0</v>
      </c>
      <c r="B10157" s="992"/>
      <c r="C10157" s="32" t="s">
        <v>339</v>
      </c>
      <c r="D10157" s="1"/>
      <c r="F10157" s="1"/>
      <c r="G10157" s="1"/>
      <c r="H10157" s="68"/>
      <c r="I10157" s="76"/>
      <c r="K10157" s="201" t="s">
        <v>3572</v>
      </c>
      <c r="L10157" s="934"/>
      <c r="M10157" s="934"/>
    </row>
    <row r="10158" ht="12.75" hidden="1" customHeight="1" outlineLevel="1">
      <c r="A10158" s="202">
        <v>43199.0</v>
      </c>
      <c r="B10158" s="992"/>
      <c r="C10158" s="32" t="s">
        <v>429</v>
      </c>
      <c r="D10158" s="1"/>
      <c r="F10158" s="1"/>
      <c r="G10158" s="1"/>
      <c r="H10158" s="68"/>
      <c r="I10158" s="76"/>
      <c r="K10158" s="9" t="s">
        <v>3187</v>
      </c>
      <c r="L10158" s="934"/>
      <c r="M10158" s="934"/>
    </row>
    <row r="10159" ht="12.75" hidden="1" customHeight="1" outlineLevel="1">
      <c r="A10159" s="202">
        <v>43199.0</v>
      </c>
      <c r="B10159" s="992"/>
      <c r="C10159" s="32" t="s">
        <v>431</v>
      </c>
      <c r="D10159" s="1"/>
      <c r="F10159" s="1"/>
      <c r="G10159" s="1"/>
      <c r="H10159" s="68"/>
      <c r="I10159" s="76"/>
      <c r="K10159" s="7" t="s">
        <v>1126</v>
      </c>
      <c r="L10159" s="934"/>
      <c r="M10159" s="934"/>
    </row>
    <row r="10160" ht="12.75" hidden="1" customHeight="1" outlineLevel="1">
      <c r="A10160" s="202">
        <v>43199.0</v>
      </c>
      <c r="B10160" s="992"/>
      <c r="C10160" s="32" t="s">
        <v>433</v>
      </c>
      <c r="D10160" s="1"/>
      <c r="F10160" s="1"/>
      <c r="G10160" s="1"/>
      <c r="H10160" s="68"/>
      <c r="I10160" s="76"/>
      <c r="K10160" s="7" t="s">
        <v>1103</v>
      </c>
      <c r="L10160" s="934"/>
      <c r="M10160" s="934"/>
    </row>
    <row r="10161" ht="12.75" hidden="1" customHeight="1" outlineLevel="1">
      <c r="A10161" s="202">
        <v>43199.0</v>
      </c>
      <c r="B10161" s="992"/>
      <c r="C10161" s="32" t="s">
        <v>435</v>
      </c>
      <c r="D10161" s="1"/>
      <c r="F10161" s="1"/>
      <c r="G10161" s="1"/>
      <c r="H10161" s="68"/>
      <c r="I10161" s="76"/>
      <c r="K10161" s="9" t="s">
        <v>3331</v>
      </c>
      <c r="L10161" s="934"/>
      <c r="M10161" s="934"/>
    </row>
    <row r="10162" ht="12.75" hidden="1" customHeight="1" outlineLevel="1">
      <c r="A10162" s="202">
        <v>43212.0</v>
      </c>
      <c r="B10162" s="992"/>
      <c r="C10162" s="32" t="s">
        <v>339</v>
      </c>
      <c r="D10162" s="1"/>
      <c r="F10162" s="1"/>
      <c r="G10162" s="1"/>
      <c r="H10162" s="68"/>
      <c r="I10162" s="76"/>
      <c r="K10162" s="201" t="s">
        <v>3573</v>
      </c>
      <c r="L10162" s="934"/>
      <c r="M10162" s="934"/>
    </row>
    <row r="10163" ht="12.75" hidden="1" customHeight="1" outlineLevel="1">
      <c r="A10163" s="202">
        <v>43212.0</v>
      </c>
      <c r="B10163" s="992"/>
      <c r="C10163" s="32" t="s">
        <v>429</v>
      </c>
      <c r="D10163" s="1"/>
      <c r="F10163" s="1"/>
      <c r="G10163" s="1"/>
      <c r="H10163" s="68"/>
      <c r="I10163" s="76"/>
      <c r="K10163" s="9" t="s">
        <v>3187</v>
      </c>
      <c r="L10163" s="934"/>
      <c r="M10163" s="934"/>
    </row>
    <row r="10164" ht="12.75" hidden="1" customHeight="1" outlineLevel="1">
      <c r="A10164" s="202">
        <v>43212.0</v>
      </c>
      <c r="B10164" s="992"/>
      <c r="C10164" s="32" t="s">
        <v>431</v>
      </c>
      <c r="D10164" s="1"/>
      <c r="F10164" s="1"/>
      <c r="G10164" s="1"/>
      <c r="H10164" s="68"/>
      <c r="I10164" s="76"/>
      <c r="K10164" s="7" t="s">
        <v>1126</v>
      </c>
      <c r="L10164" s="934"/>
      <c r="M10164" s="934"/>
    </row>
    <row r="10165" ht="12.75" hidden="1" customHeight="1" outlineLevel="1">
      <c r="A10165" s="202">
        <v>43212.0</v>
      </c>
      <c r="B10165" s="992"/>
      <c r="C10165" s="32" t="s">
        <v>433</v>
      </c>
      <c r="D10165" s="1"/>
      <c r="F10165" s="1"/>
      <c r="G10165" s="1"/>
      <c r="H10165" s="68"/>
      <c r="I10165" s="76"/>
      <c r="K10165" s="7" t="s">
        <v>1103</v>
      </c>
      <c r="L10165" s="934"/>
      <c r="M10165" s="934"/>
    </row>
    <row r="10166" ht="12.75" hidden="1" customHeight="1" outlineLevel="1">
      <c r="A10166" s="202">
        <v>43212.0</v>
      </c>
      <c r="B10166" s="992"/>
      <c r="C10166" s="32" t="s">
        <v>435</v>
      </c>
      <c r="D10166" s="1"/>
      <c r="F10166" s="1"/>
      <c r="G10166" s="1"/>
      <c r="H10166" s="68"/>
      <c r="I10166" s="76"/>
      <c r="K10166" s="9" t="s">
        <v>3331</v>
      </c>
      <c r="L10166" s="934"/>
      <c r="M10166" s="934"/>
    </row>
    <row r="10167" ht="12.75" hidden="1" customHeight="1" outlineLevel="1">
      <c r="A10167" s="202">
        <v>43212.0</v>
      </c>
      <c r="B10167" s="992"/>
      <c r="C10167" s="32" t="s">
        <v>339</v>
      </c>
      <c r="D10167" s="1"/>
      <c r="F10167" s="1"/>
      <c r="G10167" s="1"/>
      <c r="H10167" s="68"/>
      <c r="I10167" s="76"/>
      <c r="K10167" s="201" t="s">
        <v>3573</v>
      </c>
      <c r="L10167" s="934"/>
      <c r="M10167" s="934"/>
    </row>
    <row r="10168" ht="12.75" hidden="1" customHeight="1" outlineLevel="1">
      <c r="A10168" s="202">
        <v>43215.0</v>
      </c>
      <c r="B10168" s="992"/>
      <c r="C10168" s="32" t="s">
        <v>429</v>
      </c>
      <c r="D10168" s="1"/>
      <c r="F10168" s="1"/>
      <c r="G10168" s="1"/>
      <c r="H10168" s="68"/>
      <c r="I10168" s="76"/>
      <c r="K10168" s="9" t="s">
        <v>3187</v>
      </c>
      <c r="L10168" s="934"/>
      <c r="M10168" s="934"/>
    </row>
    <row r="10169" ht="12.75" hidden="1" customHeight="1" outlineLevel="1">
      <c r="A10169" s="202">
        <v>43215.0</v>
      </c>
      <c r="B10169" s="992"/>
      <c r="C10169" s="32" t="s">
        <v>431</v>
      </c>
      <c r="D10169" s="1"/>
      <c r="F10169" s="1"/>
      <c r="G10169" s="1"/>
      <c r="H10169" s="68"/>
      <c r="I10169" s="76"/>
      <c r="K10169" s="7" t="s">
        <v>1126</v>
      </c>
      <c r="L10169" s="934"/>
      <c r="M10169" s="934"/>
    </row>
    <row r="10170" ht="12.75" hidden="1" customHeight="1" outlineLevel="1">
      <c r="A10170" s="202">
        <v>43215.0</v>
      </c>
      <c r="B10170" s="992"/>
      <c r="C10170" s="32" t="s">
        <v>433</v>
      </c>
      <c r="D10170" s="1"/>
      <c r="F10170" s="1"/>
      <c r="G10170" s="1"/>
      <c r="H10170" s="68"/>
      <c r="I10170" s="76"/>
      <c r="K10170" s="7" t="s">
        <v>1103</v>
      </c>
      <c r="L10170" s="934"/>
      <c r="M10170" s="934"/>
    </row>
    <row r="10171" ht="12.75" hidden="1" customHeight="1" outlineLevel="1">
      <c r="A10171" s="202">
        <v>43215.0</v>
      </c>
      <c r="B10171" s="992"/>
      <c r="C10171" s="32" t="s">
        <v>435</v>
      </c>
      <c r="D10171" s="1"/>
      <c r="F10171" s="1"/>
      <c r="G10171" s="1"/>
      <c r="H10171" s="68"/>
      <c r="I10171" s="76"/>
      <c r="K10171" s="9" t="s">
        <v>3331</v>
      </c>
      <c r="L10171" s="934"/>
      <c r="M10171" s="934"/>
    </row>
    <row r="10172" ht="12.75" hidden="1" customHeight="1" outlineLevel="1">
      <c r="A10172" s="202">
        <v>43216.0</v>
      </c>
      <c r="B10172" s="992"/>
      <c r="C10172" s="32" t="s">
        <v>339</v>
      </c>
      <c r="D10172" s="1"/>
      <c r="F10172" s="1"/>
      <c r="G10172" s="1"/>
      <c r="H10172" s="68"/>
      <c r="I10172" s="76"/>
      <c r="K10172" s="201" t="s">
        <v>3574</v>
      </c>
      <c r="L10172" s="934"/>
      <c r="M10172" s="934"/>
    </row>
    <row r="10173" ht="12.75" hidden="1" customHeight="1" outlineLevel="1">
      <c r="A10173" s="202">
        <v>43216.0</v>
      </c>
      <c r="B10173" s="992"/>
      <c r="C10173" s="32" t="s">
        <v>429</v>
      </c>
      <c r="D10173" s="1"/>
      <c r="F10173" s="1"/>
      <c r="G10173" s="1"/>
      <c r="H10173" s="68"/>
      <c r="I10173" s="76"/>
      <c r="K10173" s="9" t="s">
        <v>3187</v>
      </c>
      <c r="L10173" s="934"/>
      <c r="M10173" s="934"/>
    </row>
    <row r="10174" ht="12.75" hidden="1" customHeight="1" outlineLevel="1">
      <c r="A10174" s="202">
        <v>43216.0</v>
      </c>
      <c r="B10174" s="992"/>
      <c r="C10174" s="32" t="s">
        <v>431</v>
      </c>
      <c r="D10174" s="1"/>
      <c r="F10174" s="1"/>
      <c r="G10174" s="1"/>
      <c r="H10174" s="68"/>
      <c r="I10174" s="76"/>
      <c r="K10174" s="7" t="s">
        <v>1126</v>
      </c>
      <c r="L10174" s="934"/>
      <c r="M10174" s="934"/>
    </row>
    <row r="10175" ht="12.75" hidden="1" customHeight="1" outlineLevel="1">
      <c r="A10175" s="202">
        <v>43216.0</v>
      </c>
      <c r="B10175" s="992"/>
      <c r="C10175" s="32" t="s">
        <v>433</v>
      </c>
      <c r="D10175" s="1"/>
      <c r="F10175" s="1"/>
      <c r="G10175" s="1"/>
      <c r="H10175" s="68"/>
      <c r="I10175" s="76"/>
      <c r="K10175" s="7" t="s">
        <v>1103</v>
      </c>
      <c r="L10175" s="934"/>
      <c r="M10175" s="934"/>
    </row>
    <row r="10176" ht="12.75" hidden="1" customHeight="1" outlineLevel="1">
      <c r="A10176" s="202">
        <v>43216.0</v>
      </c>
      <c r="B10176" s="992"/>
      <c r="C10176" s="32" t="s">
        <v>435</v>
      </c>
      <c r="D10176" s="1"/>
      <c r="F10176" s="1"/>
      <c r="G10176" s="1"/>
      <c r="H10176" s="68"/>
      <c r="I10176" s="76"/>
      <c r="K10176" s="9" t="s">
        <v>3331</v>
      </c>
      <c r="L10176" s="934"/>
      <c r="M10176" s="934"/>
    </row>
    <row r="10177" ht="12.75" hidden="1" customHeight="1" outlineLevel="1">
      <c r="A10177" s="202">
        <v>43218.0</v>
      </c>
      <c r="B10177" s="992"/>
      <c r="C10177" s="32" t="s">
        <v>339</v>
      </c>
      <c r="D10177" s="1"/>
      <c r="F10177" s="1"/>
      <c r="G10177" s="1"/>
      <c r="H10177" s="68"/>
      <c r="I10177" s="76"/>
      <c r="K10177" s="201" t="s">
        <v>3574</v>
      </c>
      <c r="L10177" s="934"/>
      <c r="M10177" s="934"/>
    </row>
    <row r="10178" ht="12.75" hidden="1" customHeight="1" outlineLevel="1">
      <c r="A10178" s="202">
        <v>43218.0</v>
      </c>
      <c r="B10178" s="992"/>
      <c r="C10178" s="32" t="s">
        <v>429</v>
      </c>
      <c r="D10178" s="1"/>
      <c r="F10178" s="1"/>
      <c r="G10178" s="1"/>
      <c r="H10178" s="68"/>
      <c r="I10178" s="76"/>
      <c r="K10178" s="9" t="s">
        <v>3187</v>
      </c>
      <c r="L10178" s="934"/>
      <c r="M10178" s="934"/>
    </row>
    <row r="10179" ht="12.75" hidden="1" customHeight="1" outlineLevel="1">
      <c r="A10179" s="202">
        <v>43218.0</v>
      </c>
      <c r="B10179" s="992"/>
      <c r="C10179" s="32" t="s">
        <v>431</v>
      </c>
      <c r="D10179" s="1"/>
      <c r="F10179" s="1"/>
      <c r="G10179" s="1"/>
      <c r="H10179" s="68"/>
      <c r="I10179" s="76"/>
      <c r="K10179" s="7" t="s">
        <v>1126</v>
      </c>
      <c r="L10179" s="934"/>
      <c r="M10179" s="934"/>
    </row>
    <row r="10180" ht="12.75" hidden="1" customHeight="1" outlineLevel="1">
      <c r="A10180" s="202">
        <v>43218.0</v>
      </c>
      <c r="B10180" s="992"/>
      <c r="C10180" s="32" t="s">
        <v>433</v>
      </c>
      <c r="D10180" s="1"/>
      <c r="F10180" s="1"/>
      <c r="G10180" s="1"/>
      <c r="H10180" s="68"/>
      <c r="I10180" s="76"/>
      <c r="K10180" s="7" t="s">
        <v>1103</v>
      </c>
      <c r="L10180" s="934"/>
      <c r="M10180" s="934"/>
    </row>
    <row r="10181" ht="12.75" hidden="1" customHeight="1" outlineLevel="1">
      <c r="A10181" s="202">
        <v>43218.0</v>
      </c>
      <c r="B10181" s="992"/>
      <c r="C10181" s="32" t="s">
        <v>435</v>
      </c>
      <c r="D10181" s="1"/>
      <c r="F10181" s="1"/>
      <c r="G10181" s="1"/>
      <c r="H10181" s="68"/>
      <c r="I10181" s="76"/>
      <c r="K10181" s="9" t="s">
        <v>3331</v>
      </c>
      <c r="L10181" s="934"/>
      <c r="M10181" s="934"/>
    </row>
    <row r="10182" ht="12.75" hidden="1" customHeight="1" outlineLevel="1">
      <c r="A10182" s="202">
        <v>43224.0</v>
      </c>
      <c r="B10182" s="992"/>
      <c r="C10182" s="32" t="s">
        <v>339</v>
      </c>
      <c r="D10182" s="1"/>
      <c r="F10182" s="1"/>
      <c r="G10182" s="1"/>
      <c r="H10182" s="68"/>
      <c r="I10182" s="76"/>
      <c r="K10182" s="201" t="s">
        <v>3575</v>
      </c>
      <c r="L10182" s="934"/>
      <c r="M10182" s="934"/>
    </row>
    <row r="10183" ht="12.75" hidden="1" customHeight="1" outlineLevel="1">
      <c r="A10183" s="202">
        <v>43224.0</v>
      </c>
      <c r="B10183" s="992"/>
      <c r="C10183" s="32" t="s">
        <v>429</v>
      </c>
      <c r="D10183" s="1"/>
      <c r="F10183" s="1"/>
      <c r="G10183" s="1"/>
      <c r="H10183" s="68"/>
      <c r="I10183" s="76"/>
      <c r="K10183" s="9" t="s">
        <v>3187</v>
      </c>
      <c r="L10183" s="934"/>
      <c r="M10183" s="934"/>
    </row>
    <row r="10184" ht="12.75" hidden="1" customHeight="1" outlineLevel="1">
      <c r="A10184" s="202">
        <v>43224.0</v>
      </c>
      <c r="B10184" s="992"/>
      <c r="C10184" s="32" t="s">
        <v>431</v>
      </c>
      <c r="D10184" s="1"/>
      <c r="F10184" s="1"/>
      <c r="G10184" s="1"/>
      <c r="H10184" s="68"/>
      <c r="I10184" s="76"/>
      <c r="K10184" s="7" t="s">
        <v>1126</v>
      </c>
      <c r="L10184" s="934"/>
      <c r="M10184" s="934"/>
    </row>
    <row r="10185" ht="12.75" hidden="1" customHeight="1" outlineLevel="1">
      <c r="A10185" s="202">
        <v>43224.0</v>
      </c>
      <c r="B10185" s="992"/>
      <c r="C10185" s="32" t="s">
        <v>433</v>
      </c>
      <c r="D10185" s="1"/>
      <c r="F10185" s="1"/>
      <c r="G10185" s="1"/>
      <c r="H10185" s="68"/>
      <c r="I10185" s="76"/>
      <c r="K10185" s="7" t="s">
        <v>1103</v>
      </c>
      <c r="L10185" s="934"/>
      <c r="M10185" s="934"/>
    </row>
    <row r="10186" ht="12.75" hidden="1" customHeight="1" outlineLevel="1">
      <c r="A10186" s="202">
        <v>43224.0</v>
      </c>
      <c r="B10186" s="992"/>
      <c r="C10186" s="32" t="s">
        <v>435</v>
      </c>
      <c r="D10186" s="1"/>
      <c r="F10186" s="1"/>
      <c r="G10186" s="1"/>
      <c r="H10186" s="68"/>
      <c r="I10186" s="76"/>
      <c r="K10186" s="9" t="s">
        <v>3331</v>
      </c>
      <c r="L10186" s="934"/>
      <c r="M10186" s="934"/>
    </row>
    <row r="10187" ht="12.75" hidden="1" customHeight="1" outlineLevel="1">
      <c r="A10187" s="202">
        <v>43224.0</v>
      </c>
      <c r="B10187" s="985" t="s">
        <v>347</v>
      </c>
      <c r="C10187" s="94" t="s">
        <v>2822</v>
      </c>
      <c r="D10187" s="94">
        <v>350.0</v>
      </c>
      <c r="E10187" s="94">
        <v>26.6</v>
      </c>
      <c r="F10187" s="1000">
        <v>43224.665972222225</v>
      </c>
      <c r="G10187" s="94" t="s">
        <v>453</v>
      </c>
      <c r="H10187" s="987">
        <v>1.96</v>
      </c>
      <c r="I10187" s="988" t="s">
        <v>3145</v>
      </c>
      <c r="J10187" s="67">
        <f>IF(B10187="SLD",D10187*E10187,-D10187*E10187)-H10187</f>
        <v>9308.04</v>
      </c>
      <c r="L10187" s="70"/>
      <c r="M10187" s="934"/>
    </row>
    <row r="10188" ht="12.75" hidden="1" customHeight="1" outlineLevel="1">
      <c r="A10188" s="202">
        <v>43230.0</v>
      </c>
      <c r="B10188" s="992"/>
      <c r="C10188" s="32" t="s">
        <v>339</v>
      </c>
      <c r="D10188" s="1"/>
      <c r="F10188" s="1"/>
      <c r="G10188" s="1"/>
      <c r="H10188" s="68"/>
      <c r="I10188" s="76"/>
      <c r="K10188" s="201" t="s">
        <v>3575</v>
      </c>
      <c r="L10188" s="934"/>
      <c r="M10188" s="934"/>
    </row>
    <row r="10189" ht="12.75" hidden="1" customHeight="1" outlineLevel="1">
      <c r="A10189" s="202">
        <v>43230.0</v>
      </c>
      <c r="B10189" s="992"/>
      <c r="C10189" s="32" t="s">
        <v>429</v>
      </c>
      <c r="D10189" s="1"/>
      <c r="F10189" s="1"/>
      <c r="G10189" s="1"/>
      <c r="H10189" s="68"/>
      <c r="I10189" s="76"/>
      <c r="K10189" s="9" t="s">
        <v>3187</v>
      </c>
      <c r="L10189" s="934"/>
      <c r="M10189" s="934"/>
    </row>
    <row r="10190" ht="12.75" hidden="1" customHeight="1" outlineLevel="1">
      <c r="A10190" s="202">
        <v>43230.0</v>
      </c>
      <c r="B10190" s="992"/>
      <c r="C10190" s="32" t="s">
        <v>431</v>
      </c>
      <c r="D10190" s="1"/>
      <c r="F10190" s="1"/>
      <c r="G10190" s="1"/>
      <c r="H10190" s="68"/>
      <c r="I10190" s="76"/>
      <c r="K10190" s="7" t="s">
        <v>1126</v>
      </c>
      <c r="L10190" s="934"/>
      <c r="M10190" s="934"/>
    </row>
    <row r="10191" ht="12.75" hidden="1" customHeight="1" outlineLevel="1">
      <c r="A10191" s="202">
        <v>43230.0</v>
      </c>
      <c r="B10191" s="992"/>
      <c r="C10191" s="32" t="s">
        <v>433</v>
      </c>
      <c r="D10191" s="1"/>
      <c r="F10191" s="1"/>
      <c r="G10191" s="1"/>
      <c r="H10191" s="68"/>
      <c r="I10191" s="76"/>
      <c r="K10191" s="7" t="s">
        <v>1103</v>
      </c>
      <c r="L10191" s="934"/>
      <c r="M10191" s="934"/>
    </row>
    <row r="10192" ht="12.75" hidden="1" customHeight="1" outlineLevel="1">
      <c r="A10192" s="202">
        <v>43230.0</v>
      </c>
      <c r="B10192" s="992"/>
      <c r="C10192" s="32" t="s">
        <v>435</v>
      </c>
      <c r="D10192" s="1"/>
      <c r="F10192" s="1"/>
      <c r="G10192" s="1"/>
      <c r="H10192" s="68"/>
      <c r="I10192" s="76"/>
      <c r="K10192" s="9" t="s">
        <v>3331</v>
      </c>
      <c r="L10192" s="934"/>
      <c r="M10192" s="934"/>
    </row>
    <row r="10193" ht="12.75" hidden="1" customHeight="1" outlineLevel="1">
      <c r="A10193" s="202">
        <v>43234.0</v>
      </c>
      <c r="B10193" s="992"/>
      <c r="C10193" s="32" t="s">
        <v>339</v>
      </c>
      <c r="D10193" s="1"/>
      <c r="F10193" s="1"/>
      <c r="G10193" s="1"/>
      <c r="H10193" s="68"/>
      <c r="I10193" s="76"/>
      <c r="K10193" s="201" t="s">
        <v>3582</v>
      </c>
      <c r="L10193" s="934"/>
      <c r="M10193" s="934"/>
    </row>
    <row r="10194" ht="12.75" hidden="1" customHeight="1" outlineLevel="1">
      <c r="A10194" s="202">
        <v>43234.0</v>
      </c>
      <c r="B10194" s="992"/>
      <c r="C10194" s="32" t="s">
        <v>429</v>
      </c>
      <c r="D10194" s="1"/>
      <c r="F10194" s="1"/>
      <c r="G10194" s="1"/>
      <c r="H10194" s="68"/>
      <c r="I10194" s="76"/>
      <c r="K10194" s="9" t="s">
        <v>3187</v>
      </c>
      <c r="L10194" s="934"/>
      <c r="M10194" s="934"/>
    </row>
    <row r="10195" ht="12.75" hidden="1" customHeight="1" outlineLevel="1">
      <c r="A10195" s="202">
        <v>43234.0</v>
      </c>
      <c r="B10195" s="992"/>
      <c r="C10195" s="32" t="s">
        <v>431</v>
      </c>
      <c r="D10195" s="1"/>
      <c r="F10195" s="1"/>
      <c r="G10195" s="1"/>
      <c r="H10195" s="68"/>
      <c r="I10195" s="76"/>
      <c r="K10195" s="7" t="s">
        <v>1126</v>
      </c>
      <c r="L10195" s="934"/>
      <c r="M10195" s="934"/>
    </row>
    <row r="10196" ht="12.75" hidden="1" customHeight="1" outlineLevel="1">
      <c r="A10196" s="202">
        <v>43234.0</v>
      </c>
      <c r="B10196" s="992"/>
      <c r="C10196" s="32" t="s">
        <v>433</v>
      </c>
      <c r="D10196" s="1"/>
      <c r="F10196" s="1"/>
      <c r="G10196" s="1"/>
      <c r="H10196" s="68"/>
      <c r="I10196" s="76"/>
      <c r="K10196" s="7" t="s">
        <v>1103</v>
      </c>
      <c r="L10196" s="934"/>
      <c r="M10196" s="934"/>
    </row>
    <row r="10197" ht="12.75" hidden="1" customHeight="1" outlineLevel="1">
      <c r="A10197" s="202">
        <v>43234.0</v>
      </c>
      <c r="B10197" s="992"/>
      <c r="C10197" s="32" t="s">
        <v>435</v>
      </c>
      <c r="D10197" s="1"/>
      <c r="F10197" s="1"/>
      <c r="G10197" s="1"/>
      <c r="H10197" s="68"/>
      <c r="I10197" s="76"/>
      <c r="K10197" s="9" t="s">
        <v>3331</v>
      </c>
      <c r="L10197" s="934"/>
      <c r="M10197" s="934"/>
    </row>
    <row r="10198" ht="12.75" hidden="1" customHeight="1" outlineLevel="1">
      <c r="A10198" s="202">
        <v>43236.0</v>
      </c>
      <c r="B10198" s="992"/>
      <c r="C10198" s="32" t="s">
        <v>339</v>
      </c>
      <c r="D10198" s="1"/>
      <c r="F10198" s="1"/>
      <c r="G10198" s="1"/>
      <c r="H10198" s="68"/>
      <c r="I10198" s="76"/>
      <c r="K10198" s="201" t="s">
        <v>3583</v>
      </c>
      <c r="L10198" s="934"/>
      <c r="M10198" s="934"/>
    </row>
    <row r="10199" ht="12.75" hidden="1" customHeight="1" outlineLevel="1">
      <c r="A10199" s="202">
        <v>43236.0</v>
      </c>
      <c r="B10199" s="992"/>
      <c r="C10199" s="32" t="s">
        <v>429</v>
      </c>
      <c r="D10199" s="1"/>
      <c r="F10199" s="1"/>
      <c r="G10199" s="1"/>
      <c r="H10199" s="68"/>
      <c r="I10199" s="76"/>
      <c r="K10199" s="9" t="s">
        <v>3187</v>
      </c>
      <c r="L10199" s="934"/>
      <c r="M10199" s="934"/>
    </row>
    <row r="10200" ht="12.75" hidden="1" customHeight="1" outlineLevel="1">
      <c r="A10200" s="202">
        <v>43236.0</v>
      </c>
      <c r="B10200" s="992"/>
      <c r="C10200" s="32" t="s">
        <v>431</v>
      </c>
      <c r="D10200" s="1"/>
      <c r="F10200" s="1"/>
      <c r="G10200" s="1"/>
      <c r="H10200" s="68"/>
      <c r="I10200" s="76"/>
      <c r="K10200" s="7" t="s">
        <v>1126</v>
      </c>
      <c r="L10200" s="934"/>
      <c r="M10200" s="934"/>
    </row>
    <row r="10201" ht="12.75" hidden="1" customHeight="1" outlineLevel="1">
      <c r="A10201" s="202">
        <v>43236.0</v>
      </c>
      <c r="B10201" s="992"/>
      <c r="C10201" s="32" t="s">
        <v>433</v>
      </c>
      <c r="D10201" s="1"/>
      <c r="F10201" s="1"/>
      <c r="G10201" s="1"/>
      <c r="H10201" s="68"/>
      <c r="I10201" s="76"/>
      <c r="K10201" s="7" t="s">
        <v>1103</v>
      </c>
      <c r="L10201" s="934"/>
      <c r="M10201" s="934"/>
    </row>
    <row r="10202" ht="12.75" hidden="1" customHeight="1" outlineLevel="1">
      <c r="A10202" s="202">
        <v>43236.0</v>
      </c>
      <c r="B10202" s="992"/>
      <c r="C10202" s="32" t="s">
        <v>435</v>
      </c>
      <c r="D10202" s="1"/>
      <c r="F10202" s="1"/>
      <c r="G10202" s="1"/>
      <c r="H10202" s="68"/>
      <c r="I10202" s="76"/>
      <c r="K10202" s="9" t="s">
        <v>3331</v>
      </c>
      <c r="L10202" s="934"/>
      <c r="M10202" s="934"/>
    </row>
    <row r="10203" ht="12.75" hidden="1" customHeight="1" outlineLevel="1">
      <c r="A10203" s="202">
        <v>43236.0</v>
      </c>
      <c r="B10203" s="985" t="s">
        <v>347</v>
      </c>
      <c r="C10203" s="94" t="s">
        <v>1995</v>
      </c>
      <c r="D10203" s="94">
        <v>150.0</v>
      </c>
      <c r="E10203" s="94">
        <v>60.55</v>
      </c>
      <c r="F10203" s="986">
        <v>0.45408564814814817</v>
      </c>
      <c r="G10203" s="94" t="s">
        <v>453</v>
      </c>
      <c r="H10203" s="987">
        <v>1.23</v>
      </c>
      <c r="I10203" s="988" t="s">
        <v>3145</v>
      </c>
      <c r="J10203" s="67">
        <f t="shared" ref="J10203:J10204" si="570">IF(B10203="SLD",D10203*E10203,-D10203*E10203)-H10203</f>
        <v>9081.27</v>
      </c>
      <c r="L10203" s="70"/>
      <c r="M10203" s="934"/>
    </row>
    <row r="10204" ht="12.75" hidden="1" customHeight="1" outlineLevel="1">
      <c r="A10204" s="202">
        <v>43236.0</v>
      </c>
      <c r="B10204" s="985" t="s">
        <v>347</v>
      </c>
      <c r="C10204" s="94" t="s">
        <v>3136</v>
      </c>
      <c r="D10204" s="94">
        <v>200.0</v>
      </c>
      <c r="E10204" s="94">
        <v>43.089</v>
      </c>
      <c r="F10204" s="986">
        <v>0.4534375</v>
      </c>
      <c r="G10204" s="94" t="s">
        <v>453</v>
      </c>
      <c r="H10204" s="987">
        <v>1.22</v>
      </c>
      <c r="I10204" s="988" t="s">
        <v>3145</v>
      </c>
      <c r="J10204" s="67">
        <f t="shared" si="570"/>
        <v>8616.58</v>
      </c>
      <c r="L10204" s="70"/>
      <c r="M10204" s="934"/>
    </row>
    <row r="10205" ht="12.75" hidden="1" customHeight="1" outlineLevel="1">
      <c r="A10205" s="202">
        <v>43236.0</v>
      </c>
      <c r="B10205" s="992"/>
      <c r="C10205" s="32" t="s">
        <v>339</v>
      </c>
      <c r="D10205" s="1"/>
      <c r="F10205" s="1"/>
      <c r="G10205" s="1"/>
      <c r="H10205" s="68"/>
      <c r="I10205" s="76"/>
      <c r="K10205" s="201" t="s">
        <v>3586</v>
      </c>
      <c r="L10205" s="934"/>
      <c r="M10205" s="934"/>
    </row>
    <row r="10206" ht="12.75" hidden="1" customHeight="1" outlineLevel="1">
      <c r="A10206" s="202">
        <v>43236.0</v>
      </c>
      <c r="B10206" s="992"/>
      <c r="C10206" s="32" t="s">
        <v>429</v>
      </c>
      <c r="D10206" s="1"/>
      <c r="F10206" s="1"/>
      <c r="G10206" s="1"/>
      <c r="H10206" s="68"/>
      <c r="I10206" s="76"/>
      <c r="K10206" s="9" t="s">
        <v>3187</v>
      </c>
      <c r="L10206" s="934"/>
      <c r="M10206" s="934"/>
    </row>
    <row r="10207" ht="12.75" hidden="1" customHeight="1" outlineLevel="1">
      <c r="A10207" s="202">
        <v>43236.0</v>
      </c>
      <c r="B10207" s="992"/>
      <c r="C10207" s="32" t="s">
        <v>431</v>
      </c>
      <c r="D10207" s="1"/>
      <c r="F10207" s="1"/>
      <c r="G10207" s="1"/>
      <c r="H10207" s="68"/>
      <c r="I10207" s="76"/>
      <c r="K10207" s="7" t="s">
        <v>1126</v>
      </c>
      <c r="L10207" s="934"/>
      <c r="M10207" s="934"/>
    </row>
    <row r="10208" ht="12.75" hidden="1" customHeight="1" outlineLevel="1">
      <c r="A10208" s="202">
        <v>43236.0</v>
      </c>
      <c r="B10208" s="992"/>
      <c r="C10208" s="32" t="s">
        <v>433</v>
      </c>
      <c r="D10208" s="1"/>
      <c r="F10208" s="1"/>
      <c r="G10208" s="1"/>
      <c r="H10208" s="68"/>
      <c r="I10208" s="76"/>
      <c r="K10208" s="7" t="s">
        <v>1103</v>
      </c>
      <c r="L10208" s="934"/>
      <c r="M10208" s="934"/>
    </row>
    <row r="10209" ht="12.75" hidden="1" customHeight="1" outlineLevel="1">
      <c r="A10209" s="202">
        <v>43236.0</v>
      </c>
      <c r="B10209" s="992"/>
      <c r="C10209" s="32" t="s">
        <v>435</v>
      </c>
      <c r="D10209" s="1"/>
      <c r="F10209" s="1"/>
      <c r="G10209" s="1"/>
      <c r="H10209" s="68"/>
      <c r="I10209" s="76"/>
      <c r="K10209" s="9" t="s">
        <v>3331</v>
      </c>
      <c r="L10209" s="934"/>
      <c r="M10209" s="934"/>
    </row>
    <row r="10210" ht="12.75" hidden="1" customHeight="1" outlineLevel="1">
      <c r="A10210" s="202">
        <v>43243.0</v>
      </c>
      <c r="B10210" s="992"/>
      <c r="C10210" s="32" t="s">
        <v>339</v>
      </c>
      <c r="D10210" s="1"/>
      <c r="F10210" s="1"/>
      <c r="G10210" s="1"/>
      <c r="H10210" s="68"/>
      <c r="I10210" s="76"/>
      <c r="K10210" s="201" t="s">
        <v>3588</v>
      </c>
      <c r="L10210" s="934"/>
      <c r="M10210" s="934"/>
    </row>
    <row r="10211" ht="12.75" hidden="1" customHeight="1" outlineLevel="1">
      <c r="A10211" s="202">
        <v>43243.0</v>
      </c>
      <c r="B10211" s="992"/>
      <c r="C10211" s="32" t="s">
        <v>429</v>
      </c>
      <c r="D10211" s="1"/>
      <c r="F10211" s="1"/>
      <c r="G10211" s="1"/>
      <c r="H10211" s="68"/>
      <c r="I10211" s="76"/>
      <c r="K10211" s="9" t="s">
        <v>3187</v>
      </c>
      <c r="L10211" s="1001"/>
      <c r="M10211" s="1001"/>
      <c r="N10211" s="205"/>
      <c r="O10211" s="205"/>
      <c r="P10211" s="205"/>
      <c r="Q10211" s="205"/>
      <c r="R10211" s="205"/>
      <c r="S10211" s="205"/>
      <c r="T10211" s="205"/>
      <c r="U10211" s="205"/>
      <c r="V10211" s="205"/>
      <c r="W10211" s="205"/>
      <c r="X10211" s="205"/>
      <c r="Y10211" s="205"/>
      <c r="Z10211" s="205"/>
      <c r="AA10211" s="205"/>
      <c r="AB10211" s="205"/>
      <c r="AC10211" s="205"/>
      <c r="AD10211" s="205"/>
      <c r="AE10211" s="205"/>
      <c r="AF10211" s="205"/>
      <c r="AG10211" s="205"/>
      <c r="AH10211" s="205"/>
    </row>
    <row r="10212" ht="12.75" hidden="1" customHeight="1" outlineLevel="1">
      <c r="A10212" s="202">
        <v>43243.0</v>
      </c>
      <c r="B10212" s="992"/>
      <c r="C10212" s="32" t="s">
        <v>431</v>
      </c>
      <c r="D10212" s="1"/>
      <c r="F10212" s="1"/>
      <c r="G10212" s="1"/>
      <c r="H10212" s="68"/>
      <c r="I10212" s="76"/>
      <c r="K10212" s="7" t="s">
        <v>1126</v>
      </c>
      <c r="L10212" s="1001"/>
      <c r="M10212" s="1001"/>
      <c r="N10212" s="205"/>
      <c r="O10212" s="205"/>
      <c r="P10212" s="205"/>
      <c r="Q10212" s="205"/>
      <c r="R10212" s="205"/>
      <c r="S10212" s="205"/>
      <c r="T10212" s="205"/>
      <c r="U10212" s="205"/>
      <c r="V10212" s="205"/>
      <c r="W10212" s="205"/>
      <c r="X10212" s="205"/>
      <c r="Y10212" s="205"/>
      <c r="Z10212" s="205"/>
      <c r="AA10212" s="205"/>
      <c r="AB10212" s="205"/>
      <c r="AC10212" s="205"/>
      <c r="AD10212" s="205"/>
      <c r="AE10212" s="205"/>
      <c r="AF10212" s="205"/>
      <c r="AG10212" s="205"/>
      <c r="AH10212" s="205"/>
    </row>
    <row r="10213" ht="12.75" hidden="1" customHeight="1" outlineLevel="1">
      <c r="A10213" s="202">
        <v>43243.0</v>
      </c>
      <c r="B10213" s="992"/>
      <c r="C10213" s="32" t="s">
        <v>433</v>
      </c>
      <c r="D10213" s="1"/>
      <c r="F10213" s="1"/>
      <c r="G10213" s="1"/>
      <c r="H10213" s="68"/>
      <c r="I10213" s="76"/>
      <c r="K10213" s="7" t="s">
        <v>1103</v>
      </c>
      <c r="L10213" s="1001"/>
      <c r="M10213" s="1001"/>
      <c r="N10213" s="205"/>
      <c r="O10213" s="205"/>
      <c r="P10213" s="205"/>
      <c r="Q10213" s="205"/>
      <c r="R10213" s="205"/>
      <c r="S10213" s="205"/>
      <c r="T10213" s="205"/>
      <c r="U10213" s="205"/>
      <c r="V10213" s="205"/>
      <c r="W10213" s="205"/>
      <c r="X10213" s="205"/>
      <c r="Y10213" s="205"/>
      <c r="Z10213" s="205"/>
      <c r="AA10213" s="205"/>
      <c r="AB10213" s="205"/>
      <c r="AC10213" s="205"/>
      <c r="AD10213" s="205"/>
      <c r="AE10213" s="205"/>
      <c r="AF10213" s="205"/>
      <c r="AG10213" s="205"/>
      <c r="AH10213" s="205"/>
    </row>
    <row r="10214" ht="12.75" hidden="1" customHeight="1" outlineLevel="1">
      <c r="A10214" s="202">
        <v>43243.0</v>
      </c>
      <c r="B10214" s="992"/>
      <c r="C10214" s="32" t="s">
        <v>435</v>
      </c>
      <c r="D10214" s="1"/>
      <c r="F10214" s="1"/>
      <c r="G10214" s="1"/>
      <c r="H10214" s="68"/>
      <c r="I10214" s="76"/>
      <c r="K10214" s="9" t="s">
        <v>3331</v>
      </c>
      <c r="L10214" s="1001"/>
      <c r="M10214" s="1001"/>
      <c r="N10214" s="205"/>
      <c r="O10214" s="205"/>
      <c r="P10214" s="205"/>
      <c r="Q10214" s="205"/>
      <c r="R10214" s="205"/>
      <c r="S10214" s="205"/>
      <c r="T10214" s="205"/>
      <c r="U10214" s="205"/>
      <c r="V10214" s="205"/>
      <c r="W10214" s="205"/>
      <c r="X10214" s="205"/>
      <c r="Y10214" s="205"/>
      <c r="Z10214" s="205"/>
      <c r="AA10214" s="205"/>
      <c r="AB10214" s="205"/>
      <c r="AC10214" s="205"/>
      <c r="AD10214" s="205"/>
      <c r="AE10214" s="205"/>
      <c r="AF10214" s="205"/>
      <c r="AG10214" s="205"/>
      <c r="AH10214" s="205"/>
    </row>
    <row r="10215" hidden="1" outlineLevel="1">
      <c r="A10215" s="202">
        <v>43246.0</v>
      </c>
      <c r="B10215" s="992"/>
      <c r="C10215" s="32" t="s">
        <v>339</v>
      </c>
      <c r="D10215" s="1"/>
      <c r="F10215" s="1"/>
      <c r="G10215" s="1"/>
      <c r="H10215" s="68"/>
      <c r="I10215" s="76"/>
      <c r="K10215" s="201" t="s">
        <v>3591</v>
      </c>
      <c r="L10215" s="1001"/>
      <c r="M10215" s="1001"/>
      <c r="N10215" s="205"/>
      <c r="O10215" s="205"/>
      <c r="P10215" s="205"/>
      <c r="Q10215" s="205"/>
      <c r="R10215" s="205"/>
      <c r="S10215" s="205"/>
      <c r="T10215" s="205"/>
      <c r="U10215" s="205"/>
      <c r="V10215" s="205"/>
      <c r="W10215" s="205"/>
      <c r="X10215" s="205"/>
      <c r="Y10215" s="205"/>
      <c r="Z10215" s="205"/>
      <c r="AA10215" s="205"/>
      <c r="AB10215" s="205"/>
      <c r="AC10215" s="205"/>
      <c r="AD10215" s="205"/>
      <c r="AE10215" s="205"/>
      <c r="AF10215" s="205"/>
      <c r="AG10215" s="205"/>
      <c r="AH10215" s="205"/>
    </row>
    <row r="10216" ht="12.75" hidden="1" customHeight="1" outlineLevel="1">
      <c r="A10216" s="202">
        <v>43246.0</v>
      </c>
      <c r="B10216" s="992"/>
      <c r="C10216" s="32" t="s">
        <v>429</v>
      </c>
      <c r="D10216" s="1"/>
      <c r="F10216" s="1"/>
      <c r="G10216" s="1"/>
      <c r="H10216" s="68"/>
      <c r="I10216" s="76"/>
      <c r="K10216" s="9" t="s">
        <v>3187</v>
      </c>
      <c r="L10216" s="1001"/>
      <c r="M10216" s="1001"/>
      <c r="N10216" s="205"/>
      <c r="O10216" s="205"/>
      <c r="P10216" s="205"/>
      <c r="Q10216" s="205"/>
      <c r="R10216" s="205"/>
      <c r="S10216" s="205"/>
      <c r="T10216" s="205"/>
      <c r="U10216" s="205"/>
      <c r="V10216" s="205"/>
      <c r="W10216" s="205"/>
      <c r="X10216" s="205"/>
      <c r="Y10216" s="205"/>
      <c r="Z10216" s="205"/>
      <c r="AA10216" s="205"/>
      <c r="AB10216" s="205"/>
      <c r="AC10216" s="205"/>
      <c r="AD10216" s="205"/>
      <c r="AE10216" s="205"/>
      <c r="AF10216" s="205"/>
      <c r="AG10216" s="205"/>
      <c r="AH10216" s="205"/>
    </row>
    <row r="10217" ht="12.75" hidden="1" customHeight="1" outlineLevel="1">
      <c r="A10217" s="202">
        <v>43246.0</v>
      </c>
      <c r="B10217" s="992"/>
      <c r="C10217" s="32" t="s">
        <v>431</v>
      </c>
      <c r="D10217" s="1"/>
      <c r="F10217" s="1"/>
      <c r="G10217" s="1"/>
      <c r="H10217" s="68"/>
      <c r="I10217" s="76"/>
      <c r="K10217" s="7" t="s">
        <v>1126</v>
      </c>
      <c r="L10217" s="77"/>
      <c r="M10217" s="79"/>
      <c r="N10217" s="1"/>
      <c r="O10217" s="1"/>
      <c r="P10217" s="1"/>
      <c r="Q10217" s="1"/>
      <c r="R10217" s="1"/>
      <c r="S10217" s="1"/>
      <c r="T10217" s="1"/>
      <c r="U10217" s="1"/>
      <c r="V10217" s="1"/>
      <c r="W10217" s="1"/>
      <c r="X10217" s="1"/>
      <c r="Y10217" s="1"/>
      <c r="Z10217" s="1"/>
      <c r="AA10217" s="1"/>
      <c r="AB10217" s="1"/>
      <c r="AC10217" s="1"/>
      <c r="AD10217" s="1"/>
      <c r="AE10217" s="1"/>
      <c r="AF10217" s="1"/>
      <c r="AG10217" s="1"/>
      <c r="AH10217" s="1"/>
    </row>
    <row r="10218" ht="12.75" hidden="1" customHeight="1" outlineLevel="1">
      <c r="A10218" s="202">
        <v>43246.0</v>
      </c>
      <c r="B10218" s="992"/>
      <c r="C10218" s="32" t="s">
        <v>433</v>
      </c>
      <c r="D10218" s="1"/>
      <c r="F10218" s="1"/>
      <c r="G10218" s="1"/>
      <c r="H10218" s="68"/>
      <c r="I10218" s="76"/>
      <c r="K10218" s="7" t="s">
        <v>1103</v>
      </c>
      <c r="L10218" s="77"/>
      <c r="M10218" s="79"/>
      <c r="N10218" s="1"/>
      <c r="O10218" s="1"/>
      <c r="P10218" s="1"/>
      <c r="Q10218" s="1"/>
      <c r="R10218" s="1"/>
      <c r="S10218" s="1"/>
      <c r="T10218" s="1"/>
      <c r="U10218" s="1"/>
      <c r="V10218" s="1"/>
      <c r="W10218" s="1"/>
      <c r="X10218" s="1"/>
      <c r="Y10218" s="1"/>
      <c r="Z10218" s="1"/>
      <c r="AA10218" s="1"/>
      <c r="AB10218" s="1"/>
      <c r="AC10218" s="1"/>
      <c r="AD10218" s="1"/>
      <c r="AE10218" s="1"/>
      <c r="AF10218" s="1"/>
      <c r="AG10218" s="1"/>
      <c r="AH10218" s="1"/>
    </row>
    <row r="10219" ht="12.75" hidden="1" customHeight="1" outlineLevel="1">
      <c r="A10219" s="202">
        <v>43246.0</v>
      </c>
      <c r="B10219" s="992"/>
      <c r="C10219" s="32" t="s">
        <v>435</v>
      </c>
      <c r="D10219" s="1"/>
      <c r="F10219" s="1"/>
      <c r="G10219" s="1"/>
      <c r="H10219" s="68"/>
      <c r="I10219" s="76"/>
      <c r="K10219" s="9" t="s">
        <v>3331</v>
      </c>
      <c r="L10219" s="77"/>
      <c r="M10219" s="79"/>
      <c r="N10219" s="1"/>
      <c r="O10219" s="1"/>
      <c r="P10219" s="1"/>
      <c r="Q10219" s="1"/>
      <c r="R10219" s="1"/>
      <c r="S10219" s="1"/>
      <c r="T10219" s="1"/>
      <c r="U10219" s="1"/>
      <c r="V10219" s="1"/>
      <c r="W10219" s="1"/>
      <c r="X10219" s="1"/>
      <c r="Y10219" s="1"/>
      <c r="Z10219" s="1"/>
      <c r="AA10219" s="1"/>
      <c r="AB10219" s="1"/>
      <c r="AC10219" s="1"/>
      <c r="AD10219" s="1"/>
      <c r="AE10219" s="1"/>
      <c r="AF10219" s="1"/>
      <c r="AG10219" s="1"/>
      <c r="AH10219" s="1"/>
    </row>
    <row r="10220" ht="12.75" hidden="1" customHeight="1" outlineLevel="1">
      <c r="A10220" s="202">
        <v>43249.0</v>
      </c>
      <c r="B10220" s="985" t="s">
        <v>343</v>
      </c>
      <c r="C10220" s="94" t="s">
        <v>1187</v>
      </c>
      <c r="D10220" s="94">
        <v>100.0</v>
      </c>
      <c r="E10220" s="94">
        <v>89.05</v>
      </c>
      <c r="F10220" s="986">
        <v>0.4534375</v>
      </c>
      <c r="G10220" s="94" t="s">
        <v>453</v>
      </c>
      <c r="H10220" s="987">
        <v>1.22</v>
      </c>
      <c r="I10220" s="988" t="s">
        <v>3145</v>
      </c>
      <c r="J10220" s="67">
        <f>IF(B10220="SLD",D10220*E10220,-D10220*E10220)-H10220</f>
        <v>-8906.22</v>
      </c>
      <c r="K10220" s="1"/>
      <c r="L10220" s="70"/>
      <c r="M10220" s="79"/>
      <c r="N10220" s="1"/>
      <c r="O10220" s="1"/>
      <c r="P10220" s="1"/>
      <c r="Q10220" s="1"/>
      <c r="R10220" s="1"/>
      <c r="S10220" s="1"/>
      <c r="T10220" s="1"/>
      <c r="U10220" s="1"/>
      <c r="V10220" s="1"/>
      <c r="W10220" s="1"/>
      <c r="X10220" s="1"/>
      <c r="Y10220" s="1"/>
      <c r="Z10220" s="1"/>
      <c r="AA10220" s="1"/>
      <c r="AB10220" s="1"/>
      <c r="AC10220" s="1"/>
      <c r="AD10220" s="1"/>
      <c r="AE10220" s="1"/>
      <c r="AF10220" s="1"/>
      <c r="AG10220" s="1"/>
      <c r="AH10220" s="1"/>
    </row>
    <row r="10221" ht="12.75" hidden="1" customHeight="1" outlineLevel="1">
      <c r="A10221" s="202">
        <v>43249.0</v>
      </c>
      <c r="B10221" s="992"/>
      <c r="C10221" s="32" t="s">
        <v>339</v>
      </c>
      <c r="D10221" s="1"/>
      <c r="F10221" s="1"/>
      <c r="G10221" s="1"/>
      <c r="H10221" s="68"/>
      <c r="I10221" s="76"/>
      <c r="K10221" s="201" t="s">
        <v>3594</v>
      </c>
      <c r="L10221" s="77"/>
      <c r="M10221" s="79"/>
      <c r="N10221" s="1"/>
      <c r="O10221" s="1"/>
      <c r="P10221" s="1"/>
      <c r="Q10221" s="1"/>
      <c r="R10221" s="1"/>
      <c r="S10221" s="1"/>
      <c r="T10221" s="1"/>
      <c r="U10221" s="1"/>
      <c r="V10221" s="1"/>
      <c r="W10221" s="1"/>
      <c r="X10221" s="1"/>
      <c r="Y10221" s="1"/>
      <c r="Z10221" s="1"/>
      <c r="AA10221" s="1"/>
      <c r="AB10221" s="1"/>
      <c r="AC10221" s="1"/>
      <c r="AD10221" s="1"/>
      <c r="AE10221" s="1"/>
      <c r="AF10221" s="1"/>
      <c r="AG10221" s="1"/>
      <c r="AH10221" s="1"/>
    </row>
    <row r="10222" ht="12.75" hidden="1" customHeight="1" outlineLevel="1">
      <c r="A10222" s="202">
        <f t="shared" ref="A10222:A10225" si="571">A10221 </f>
        <v>43249</v>
      </c>
      <c r="B10222" s="992"/>
      <c r="C10222" s="32" t="s">
        <v>429</v>
      </c>
      <c r="D10222" s="1"/>
      <c r="F10222" s="1"/>
      <c r="G10222" s="1"/>
      <c r="H10222" s="68"/>
      <c r="I10222" s="76"/>
      <c r="K10222" s="9" t="s">
        <v>3187</v>
      </c>
      <c r="L10222" s="77"/>
      <c r="M10222" s="79"/>
      <c r="N10222" s="1"/>
      <c r="O10222" s="1"/>
      <c r="P10222" s="1"/>
      <c r="Q10222" s="1"/>
      <c r="R10222" s="1"/>
      <c r="S10222" s="1"/>
      <c r="T10222" s="1"/>
      <c r="U10222" s="1"/>
      <c r="V10222" s="1"/>
      <c r="W10222" s="1"/>
      <c r="X10222" s="1"/>
      <c r="Y10222" s="1"/>
      <c r="Z10222" s="1"/>
      <c r="AA10222" s="1"/>
      <c r="AB10222" s="1"/>
      <c r="AC10222" s="1"/>
      <c r="AD10222" s="1"/>
      <c r="AE10222" s="1"/>
      <c r="AF10222" s="1"/>
      <c r="AG10222" s="1"/>
      <c r="AH10222" s="1"/>
    </row>
    <row r="10223" ht="12.75" hidden="1" customHeight="1" outlineLevel="1">
      <c r="A10223" s="202">
        <f t="shared" si="571"/>
        <v>43249</v>
      </c>
      <c r="B10223" s="992"/>
      <c r="C10223" s="32" t="s">
        <v>431</v>
      </c>
      <c r="D10223" s="1"/>
      <c r="F10223" s="1"/>
      <c r="G10223" s="1"/>
      <c r="H10223" s="68"/>
      <c r="I10223" s="76"/>
      <c r="K10223" s="7" t="s">
        <v>1126</v>
      </c>
      <c r="L10223" s="77"/>
      <c r="M10223" s="79"/>
      <c r="N10223" s="1"/>
      <c r="O10223" s="1"/>
      <c r="P10223" s="1"/>
      <c r="Q10223" s="1"/>
      <c r="R10223" s="1"/>
      <c r="S10223" s="1"/>
      <c r="T10223" s="1"/>
      <c r="U10223" s="1"/>
      <c r="V10223" s="1"/>
      <c r="W10223" s="1"/>
      <c r="X10223" s="1"/>
      <c r="Y10223" s="1"/>
      <c r="Z10223" s="1"/>
      <c r="AA10223" s="1"/>
      <c r="AB10223" s="1"/>
      <c r="AC10223" s="1"/>
      <c r="AD10223" s="1"/>
      <c r="AE10223" s="1"/>
      <c r="AF10223" s="1"/>
      <c r="AG10223" s="1"/>
      <c r="AH10223" s="1"/>
    </row>
    <row r="10224" ht="12.75" hidden="1" customHeight="1" outlineLevel="1">
      <c r="A10224" s="202">
        <f t="shared" si="571"/>
        <v>43249</v>
      </c>
      <c r="B10224" s="992"/>
      <c r="C10224" s="32" t="s">
        <v>433</v>
      </c>
      <c r="D10224" s="1"/>
      <c r="F10224" s="1"/>
      <c r="G10224" s="1"/>
      <c r="H10224" s="68"/>
      <c r="I10224" s="76"/>
      <c r="K10224" s="7" t="s">
        <v>1103</v>
      </c>
      <c r="L10224" s="77"/>
      <c r="M10224" s="79"/>
      <c r="N10224" s="1"/>
      <c r="O10224" s="1"/>
      <c r="P10224" s="1"/>
      <c r="Q10224" s="1"/>
      <c r="R10224" s="1"/>
      <c r="S10224" s="1"/>
      <c r="T10224" s="1"/>
      <c r="U10224" s="1"/>
      <c r="V10224" s="1"/>
      <c r="W10224" s="1"/>
      <c r="X10224" s="1"/>
      <c r="Y10224" s="1"/>
      <c r="Z10224" s="1"/>
      <c r="AA10224" s="1"/>
      <c r="AB10224" s="1"/>
      <c r="AC10224" s="1"/>
      <c r="AD10224" s="1"/>
      <c r="AE10224" s="1"/>
      <c r="AF10224" s="1"/>
      <c r="AG10224" s="1"/>
      <c r="AH10224" s="1"/>
    </row>
    <row r="10225" ht="12.75" hidden="1" customHeight="1" outlineLevel="1">
      <c r="A10225" s="202">
        <f t="shared" si="571"/>
        <v>43249</v>
      </c>
      <c r="B10225" s="992"/>
      <c r="C10225" s="32" t="s">
        <v>435</v>
      </c>
      <c r="D10225" s="1"/>
      <c r="F10225" s="1"/>
      <c r="G10225" s="1"/>
      <c r="H10225" s="68"/>
      <c r="I10225" s="76"/>
      <c r="K10225" s="9" t="s">
        <v>3331</v>
      </c>
      <c r="L10225" s="77"/>
      <c r="M10225" s="79"/>
      <c r="N10225" s="1"/>
      <c r="O10225" s="1"/>
      <c r="P10225" s="1"/>
      <c r="Q10225" s="1"/>
      <c r="R10225" s="1"/>
      <c r="S10225" s="1"/>
      <c r="T10225" s="1"/>
      <c r="U10225" s="1"/>
      <c r="V10225" s="1"/>
      <c r="W10225" s="1"/>
      <c r="X10225" s="1"/>
      <c r="Y10225" s="1"/>
      <c r="Z10225" s="1"/>
      <c r="AA10225" s="1"/>
      <c r="AB10225" s="1"/>
      <c r="AC10225" s="1"/>
      <c r="AD10225" s="1"/>
      <c r="AE10225" s="1"/>
      <c r="AF10225" s="1"/>
      <c r="AG10225" s="1"/>
      <c r="AH10225" s="1"/>
    </row>
    <row r="10226" ht="12.75" hidden="1" customHeight="1" outlineLevel="1">
      <c r="A10226" s="1002">
        <v>43250.0</v>
      </c>
      <c r="B10226" s="992"/>
      <c r="C10226" s="32" t="s">
        <v>339</v>
      </c>
      <c r="D10226" s="1"/>
      <c r="F10226" s="1"/>
      <c r="G10226" s="1"/>
      <c r="H10226" s="68"/>
      <c r="I10226" s="76"/>
      <c r="K10226" s="201" t="s">
        <v>3597</v>
      </c>
      <c r="L10226" s="77"/>
      <c r="M10226" s="79"/>
      <c r="N10226" s="1"/>
      <c r="O10226" s="1"/>
      <c r="P10226" s="1"/>
      <c r="Q10226" s="1"/>
      <c r="R10226" s="1"/>
      <c r="S10226" s="1"/>
      <c r="T10226" s="1"/>
      <c r="U10226" s="1"/>
      <c r="V10226" s="1"/>
      <c r="W10226" s="1"/>
      <c r="X10226" s="1"/>
      <c r="Y10226" s="1"/>
      <c r="Z10226" s="1"/>
      <c r="AA10226" s="1"/>
      <c r="AB10226" s="1"/>
      <c r="AC10226" s="1"/>
      <c r="AD10226" s="1"/>
      <c r="AE10226" s="1"/>
      <c r="AF10226" s="1"/>
      <c r="AG10226" s="1"/>
      <c r="AH10226" s="1"/>
    </row>
    <row r="10227" ht="12.75" hidden="1" customHeight="1" outlineLevel="1">
      <c r="A10227" s="1002">
        <v>43250.0</v>
      </c>
      <c r="B10227" s="992"/>
      <c r="C10227" s="32" t="s">
        <v>429</v>
      </c>
      <c r="D10227" s="1"/>
      <c r="F10227" s="1"/>
      <c r="G10227" s="1"/>
      <c r="H10227" s="68"/>
      <c r="I10227" s="76"/>
      <c r="K10227" s="9" t="s">
        <v>3187</v>
      </c>
      <c r="L10227" s="77"/>
      <c r="M10227" s="79"/>
      <c r="N10227" s="1"/>
      <c r="O10227" s="1"/>
      <c r="P10227" s="1"/>
      <c r="Q10227" s="1"/>
      <c r="R10227" s="1"/>
      <c r="S10227" s="1"/>
      <c r="T10227" s="1"/>
      <c r="U10227" s="1"/>
      <c r="V10227" s="1"/>
      <c r="W10227" s="1"/>
      <c r="X10227" s="1"/>
      <c r="Y10227" s="1"/>
      <c r="Z10227" s="1"/>
      <c r="AA10227" s="1"/>
      <c r="AB10227" s="1"/>
      <c r="AC10227" s="1"/>
      <c r="AD10227" s="1"/>
      <c r="AE10227" s="1"/>
      <c r="AF10227" s="1"/>
      <c r="AG10227" s="1"/>
      <c r="AH10227" s="1"/>
    </row>
    <row r="10228" ht="12.75" hidden="1" customHeight="1" outlineLevel="1">
      <c r="A10228" s="1002">
        <v>43250.0</v>
      </c>
      <c r="B10228" s="992"/>
      <c r="C10228" s="32" t="s">
        <v>431</v>
      </c>
      <c r="D10228" s="1"/>
      <c r="F10228" s="1"/>
      <c r="G10228" s="1"/>
      <c r="H10228" s="68"/>
      <c r="I10228" s="76"/>
      <c r="K10228" s="7" t="s">
        <v>1126</v>
      </c>
      <c r="L10228" s="77"/>
      <c r="M10228" s="79"/>
      <c r="N10228" s="1"/>
      <c r="O10228" s="1"/>
      <c r="P10228" s="1"/>
      <c r="Q10228" s="1"/>
      <c r="R10228" s="1"/>
      <c r="S10228" s="1"/>
      <c r="T10228" s="1"/>
      <c r="U10228" s="1"/>
      <c r="V10228" s="1"/>
      <c r="W10228" s="1"/>
      <c r="X10228" s="1"/>
      <c r="Y10228" s="1"/>
      <c r="Z10228" s="1"/>
      <c r="AA10228" s="1"/>
      <c r="AB10228" s="1"/>
      <c r="AC10228" s="1"/>
      <c r="AD10228" s="1"/>
      <c r="AE10228" s="1"/>
      <c r="AF10228" s="1"/>
      <c r="AG10228" s="1"/>
      <c r="AH10228" s="1"/>
    </row>
    <row r="10229" ht="12.75" hidden="1" customHeight="1" outlineLevel="1">
      <c r="A10229" s="1002">
        <v>43250.0</v>
      </c>
      <c r="B10229" s="992"/>
      <c r="C10229" s="32" t="s">
        <v>433</v>
      </c>
      <c r="D10229" s="1"/>
      <c r="F10229" s="1"/>
      <c r="G10229" s="1"/>
      <c r="H10229" s="68"/>
      <c r="I10229" s="76"/>
      <c r="K10229" s="7" t="s">
        <v>1103</v>
      </c>
      <c r="L10229" s="77"/>
      <c r="M10229" s="79"/>
      <c r="N10229" s="1"/>
      <c r="O10229" s="1"/>
      <c r="P10229" s="1"/>
      <c r="Q10229" s="1"/>
      <c r="R10229" s="1"/>
      <c r="S10229" s="1"/>
      <c r="T10229" s="1"/>
      <c r="U10229" s="1"/>
      <c r="V10229" s="1"/>
      <c r="W10229" s="1"/>
      <c r="X10229" s="1"/>
      <c r="Y10229" s="1"/>
      <c r="Z10229" s="1"/>
      <c r="AA10229" s="1"/>
      <c r="AB10229" s="1"/>
      <c r="AC10229" s="1"/>
      <c r="AD10229" s="1"/>
      <c r="AE10229" s="1"/>
      <c r="AF10229" s="1"/>
      <c r="AG10229" s="1"/>
      <c r="AH10229" s="1"/>
    </row>
    <row r="10230" ht="12.75" hidden="1" customHeight="1" outlineLevel="1">
      <c r="A10230" s="1002">
        <v>43250.0</v>
      </c>
      <c r="B10230" s="992"/>
      <c r="C10230" s="32" t="s">
        <v>435</v>
      </c>
      <c r="D10230" s="1"/>
      <c r="F10230" s="1"/>
      <c r="G10230" s="1"/>
      <c r="H10230" s="68"/>
      <c r="I10230" s="76"/>
      <c r="K10230" s="9" t="s">
        <v>3331</v>
      </c>
      <c r="L10230" s="77"/>
      <c r="M10230" s="79"/>
      <c r="N10230" s="1"/>
      <c r="O10230" s="1"/>
      <c r="P10230" s="1"/>
      <c r="Q10230" s="1"/>
      <c r="R10230" s="1"/>
      <c r="S10230" s="1"/>
      <c r="T10230" s="1"/>
      <c r="U10230" s="1"/>
      <c r="V10230" s="1"/>
      <c r="W10230" s="1"/>
      <c r="X10230" s="1"/>
      <c r="Y10230" s="1"/>
      <c r="Z10230" s="1"/>
      <c r="AA10230" s="1"/>
      <c r="AB10230" s="1"/>
      <c r="AC10230" s="1"/>
      <c r="AD10230" s="1"/>
      <c r="AE10230" s="1"/>
      <c r="AF10230" s="1"/>
      <c r="AG10230" s="1"/>
      <c r="AH10230" s="1"/>
    </row>
    <row r="10231" ht="12.75" hidden="1" customHeight="1" outlineLevel="1">
      <c r="A10231" s="1002">
        <v>43251.0</v>
      </c>
      <c r="B10231" s="992"/>
      <c r="C10231" s="32" t="s">
        <v>339</v>
      </c>
      <c r="D10231" s="1"/>
      <c r="F10231" s="1"/>
      <c r="G10231" s="1"/>
      <c r="H10231" s="68"/>
      <c r="I10231" s="76"/>
      <c r="K10231" s="201" t="s">
        <v>3600</v>
      </c>
      <c r="L10231" s="77"/>
      <c r="M10231" s="79"/>
      <c r="N10231" s="1"/>
      <c r="O10231" s="1"/>
      <c r="P10231" s="1"/>
      <c r="Q10231" s="1"/>
      <c r="R10231" s="1"/>
      <c r="S10231" s="1"/>
      <c r="T10231" s="1"/>
      <c r="U10231" s="1"/>
      <c r="V10231" s="1"/>
      <c r="W10231" s="1"/>
      <c r="X10231" s="1"/>
      <c r="Y10231" s="1"/>
      <c r="Z10231" s="1"/>
      <c r="AA10231" s="1"/>
      <c r="AB10231" s="1"/>
      <c r="AC10231" s="1"/>
      <c r="AD10231" s="1"/>
      <c r="AE10231" s="1"/>
      <c r="AF10231" s="1"/>
      <c r="AG10231" s="1"/>
      <c r="AH10231" s="1"/>
    </row>
    <row r="10232" ht="12.75" hidden="1" customHeight="1" outlineLevel="1">
      <c r="A10232" s="1002">
        <v>43251.0</v>
      </c>
      <c r="B10232" s="992"/>
      <c r="C10232" s="32" t="s">
        <v>429</v>
      </c>
      <c r="D10232" s="1"/>
      <c r="F10232" s="1"/>
      <c r="G10232" s="1"/>
      <c r="H10232" s="68"/>
      <c r="I10232" s="76"/>
      <c r="K10232" s="9" t="s">
        <v>3187</v>
      </c>
      <c r="L10232" s="77"/>
      <c r="M10232" s="79"/>
      <c r="N10232" s="1"/>
      <c r="O10232" s="1"/>
      <c r="P10232" s="1"/>
      <c r="Q10232" s="1"/>
      <c r="R10232" s="1"/>
      <c r="S10232" s="1"/>
      <c r="T10232" s="1"/>
      <c r="U10232" s="1"/>
      <c r="V10232" s="1"/>
      <c r="W10232" s="1"/>
      <c r="X10232" s="1"/>
      <c r="Y10232" s="1"/>
      <c r="Z10232" s="1"/>
      <c r="AA10232" s="1"/>
      <c r="AB10232" s="1"/>
      <c r="AC10232" s="1"/>
      <c r="AD10232" s="1"/>
      <c r="AE10232" s="1"/>
      <c r="AF10232" s="1"/>
      <c r="AG10232" s="1"/>
      <c r="AH10232" s="1"/>
    </row>
    <row r="10233" ht="12.75" hidden="1" customHeight="1" outlineLevel="1">
      <c r="A10233" s="1002">
        <v>43251.0</v>
      </c>
      <c r="B10233" s="992"/>
      <c r="C10233" s="32" t="s">
        <v>431</v>
      </c>
      <c r="D10233" s="1"/>
      <c r="F10233" s="1"/>
      <c r="G10233" s="1"/>
      <c r="H10233" s="68"/>
      <c r="I10233" s="76"/>
      <c r="K10233" s="7" t="s">
        <v>1126</v>
      </c>
      <c r="L10233" s="77"/>
      <c r="M10233" s="79"/>
      <c r="N10233" s="1"/>
      <c r="O10233" s="1"/>
      <c r="P10233" s="1"/>
      <c r="Q10233" s="1"/>
      <c r="R10233" s="1"/>
      <c r="S10233" s="1"/>
      <c r="T10233" s="1"/>
      <c r="U10233" s="1"/>
      <c r="V10233" s="1"/>
      <c r="W10233" s="1"/>
      <c r="X10233" s="1"/>
      <c r="Y10233" s="1"/>
      <c r="Z10233" s="1"/>
      <c r="AA10233" s="1"/>
      <c r="AB10233" s="1"/>
      <c r="AC10233" s="1"/>
      <c r="AD10233" s="1"/>
      <c r="AE10233" s="1"/>
      <c r="AF10233" s="1"/>
      <c r="AG10233" s="1"/>
      <c r="AH10233" s="1"/>
    </row>
    <row r="10234" ht="12.75" hidden="1" customHeight="1" outlineLevel="1">
      <c r="A10234" s="1002">
        <v>43251.0</v>
      </c>
      <c r="B10234" s="992"/>
      <c r="C10234" s="32" t="s">
        <v>433</v>
      </c>
      <c r="D10234" s="1"/>
      <c r="F10234" s="1"/>
      <c r="G10234" s="1"/>
      <c r="H10234" s="68"/>
      <c r="I10234" s="76"/>
      <c r="K10234" s="7" t="s">
        <v>1103</v>
      </c>
      <c r="L10234" s="77"/>
      <c r="M10234" s="79"/>
      <c r="N10234" s="1"/>
      <c r="O10234" s="1"/>
      <c r="P10234" s="1"/>
      <c r="Q10234" s="1"/>
      <c r="R10234" s="1"/>
      <c r="S10234" s="1"/>
      <c r="T10234" s="1"/>
      <c r="U10234" s="1"/>
      <c r="V10234" s="1"/>
      <c r="W10234" s="1"/>
      <c r="X10234" s="1"/>
      <c r="Y10234" s="1"/>
      <c r="Z10234" s="1"/>
      <c r="AA10234" s="1"/>
      <c r="AB10234" s="1"/>
      <c r="AC10234" s="1"/>
      <c r="AD10234" s="1"/>
      <c r="AE10234" s="1"/>
      <c r="AF10234" s="1"/>
      <c r="AG10234" s="1"/>
      <c r="AH10234" s="1"/>
    </row>
    <row r="10235" ht="12.75" hidden="1" customHeight="1" outlineLevel="1">
      <c r="A10235" s="1002">
        <v>43251.0</v>
      </c>
      <c r="B10235" s="992"/>
      <c r="C10235" s="32" t="s">
        <v>435</v>
      </c>
      <c r="D10235" s="1"/>
      <c r="F10235" s="1"/>
      <c r="G10235" s="1"/>
      <c r="H10235" s="68"/>
      <c r="I10235" s="76"/>
      <c r="K10235" s="9" t="s">
        <v>3331</v>
      </c>
      <c r="L10235" s="77"/>
      <c r="M10235" s="79"/>
      <c r="N10235" s="1"/>
      <c r="O10235" s="1"/>
      <c r="P10235" s="1"/>
      <c r="Q10235" s="1"/>
      <c r="R10235" s="1"/>
      <c r="S10235" s="1"/>
      <c r="T10235" s="1"/>
      <c r="U10235" s="1"/>
      <c r="V10235" s="1"/>
      <c r="W10235" s="1"/>
      <c r="X10235" s="1"/>
      <c r="Y10235" s="1"/>
      <c r="Z10235" s="1"/>
      <c r="AA10235" s="1"/>
      <c r="AB10235" s="1"/>
      <c r="AC10235" s="1"/>
      <c r="AD10235" s="1"/>
      <c r="AE10235" s="1"/>
      <c r="AF10235" s="1"/>
      <c r="AG10235" s="1"/>
      <c r="AH10235" s="1"/>
    </row>
    <row r="10236" ht="12.75" hidden="1" customHeight="1" outlineLevel="1">
      <c r="A10236" s="1002">
        <v>43256.0</v>
      </c>
      <c r="B10236" s="992"/>
      <c r="C10236" s="32" t="s">
        <v>339</v>
      </c>
      <c r="D10236" s="1"/>
      <c r="F10236" s="1"/>
      <c r="G10236" s="1"/>
      <c r="H10236" s="68"/>
      <c r="I10236" s="76"/>
      <c r="K10236" s="201" t="s">
        <v>3604</v>
      </c>
      <c r="L10236" s="77"/>
      <c r="M10236" s="79"/>
      <c r="N10236" s="1"/>
      <c r="O10236" s="1"/>
      <c r="P10236" s="1"/>
      <c r="Q10236" s="1"/>
      <c r="R10236" s="1"/>
      <c r="S10236" s="1"/>
      <c r="T10236" s="1"/>
      <c r="U10236" s="1"/>
      <c r="V10236" s="1"/>
      <c r="W10236" s="1"/>
      <c r="X10236" s="1"/>
      <c r="Y10236" s="1"/>
      <c r="Z10236" s="1"/>
      <c r="AA10236" s="1"/>
      <c r="AB10236" s="1"/>
      <c r="AC10236" s="1"/>
      <c r="AD10236" s="1"/>
      <c r="AE10236" s="1"/>
      <c r="AF10236" s="1"/>
      <c r="AG10236" s="1"/>
      <c r="AH10236" s="1"/>
    </row>
    <row r="10237" ht="12.75" hidden="1" customHeight="1" outlineLevel="1">
      <c r="A10237" s="202">
        <v>43256.0</v>
      </c>
      <c r="B10237" s="992"/>
      <c r="C10237" s="32" t="s">
        <v>429</v>
      </c>
      <c r="D10237" s="1"/>
      <c r="F10237" s="1"/>
      <c r="G10237" s="1"/>
      <c r="H10237" s="68"/>
      <c r="I10237" s="76"/>
      <c r="K10237" s="9" t="s">
        <v>3187</v>
      </c>
      <c r="L10237" s="77"/>
      <c r="M10237" s="79"/>
      <c r="N10237" s="1"/>
      <c r="O10237" s="1"/>
      <c r="P10237" s="1"/>
      <c r="Q10237" s="1"/>
      <c r="R10237" s="1"/>
      <c r="S10237" s="1"/>
      <c r="T10237" s="1"/>
      <c r="U10237" s="1"/>
      <c r="V10237" s="1"/>
      <c r="W10237" s="1"/>
      <c r="X10237" s="1"/>
      <c r="Y10237" s="1"/>
      <c r="Z10237" s="1"/>
      <c r="AA10237" s="1"/>
      <c r="AB10237" s="1"/>
      <c r="AC10237" s="1"/>
      <c r="AD10237" s="1"/>
      <c r="AE10237" s="1"/>
      <c r="AF10237" s="1"/>
      <c r="AG10237" s="1"/>
      <c r="AH10237" s="1"/>
    </row>
    <row r="10238" ht="12.75" hidden="1" customHeight="1" outlineLevel="1">
      <c r="A10238" s="202">
        <v>43256.0</v>
      </c>
      <c r="B10238" s="992"/>
      <c r="C10238" s="32" t="s">
        <v>431</v>
      </c>
      <c r="D10238" s="1"/>
      <c r="F10238" s="1"/>
      <c r="G10238" s="1"/>
      <c r="H10238" s="68"/>
      <c r="I10238" s="76"/>
      <c r="K10238" s="7" t="s">
        <v>1126</v>
      </c>
      <c r="L10238" s="77"/>
      <c r="M10238" s="79"/>
      <c r="N10238" s="1"/>
      <c r="O10238" s="1"/>
      <c r="P10238" s="1"/>
      <c r="Q10238" s="1"/>
      <c r="R10238" s="1"/>
      <c r="S10238" s="1"/>
      <c r="T10238" s="1"/>
      <c r="U10238" s="1"/>
      <c r="V10238" s="1"/>
      <c r="W10238" s="1"/>
      <c r="X10238" s="1"/>
      <c r="Y10238" s="1"/>
      <c r="Z10238" s="1"/>
      <c r="AA10238" s="1"/>
      <c r="AB10238" s="1"/>
      <c r="AC10238" s="1"/>
      <c r="AD10238" s="1"/>
      <c r="AE10238" s="1"/>
      <c r="AF10238" s="1"/>
      <c r="AG10238" s="1"/>
      <c r="AH10238" s="1"/>
    </row>
    <row r="10239" ht="12.75" hidden="1" customHeight="1" outlineLevel="1">
      <c r="A10239" s="202">
        <v>43256.0</v>
      </c>
      <c r="B10239" s="992"/>
      <c r="C10239" s="32" t="s">
        <v>433</v>
      </c>
      <c r="D10239" s="1"/>
      <c r="F10239" s="1"/>
      <c r="G10239" s="1"/>
      <c r="H10239" s="68"/>
      <c r="I10239" s="76"/>
      <c r="K10239" s="7" t="s">
        <v>1103</v>
      </c>
      <c r="L10239" s="77"/>
      <c r="M10239" s="79"/>
      <c r="N10239" s="1"/>
      <c r="O10239" s="1"/>
      <c r="P10239" s="1"/>
      <c r="Q10239" s="1"/>
      <c r="R10239" s="1"/>
      <c r="S10239" s="1"/>
      <c r="T10239" s="1"/>
      <c r="U10239" s="1"/>
      <c r="V10239" s="1"/>
      <c r="W10239" s="1"/>
      <c r="X10239" s="1"/>
      <c r="Y10239" s="1"/>
      <c r="Z10239" s="1"/>
      <c r="AA10239" s="1"/>
      <c r="AB10239" s="1"/>
      <c r="AC10239" s="1"/>
      <c r="AD10239" s="1"/>
      <c r="AE10239" s="1"/>
      <c r="AF10239" s="1"/>
      <c r="AG10239" s="1"/>
      <c r="AH10239" s="1"/>
    </row>
    <row r="10240" ht="12.75" hidden="1" customHeight="1" outlineLevel="1">
      <c r="A10240" s="202">
        <v>43256.0</v>
      </c>
      <c r="B10240" s="992"/>
      <c r="C10240" s="32" t="s">
        <v>435</v>
      </c>
      <c r="D10240" s="1"/>
      <c r="F10240" s="1"/>
      <c r="G10240" s="1"/>
      <c r="H10240" s="68"/>
      <c r="I10240" s="76"/>
      <c r="K10240" s="9" t="s">
        <v>3331</v>
      </c>
      <c r="L10240" s="77"/>
      <c r="M10240" s="79"/>
      <c r="N10240" s="1"/>
      <c r="O10240" s="1"/>
      <c r="P10240" s="1"/>
      <c r="Q10240" s="1"/>
      <c r="R10240" s="1"/>
      <c r="S10240" s="1"/>
      <c r="T10240" s="1"/>
      <c r="U10240" s="1"/>
      <c r="V10240" s="1"/>
      <c r="W10240" s="1"/>
      <c r="X10240" s="1"/>
      <c r="Y10240" s="1"/>
      <c r="Z10240" s="1"/>
      <c r="AA10240" s="1"/>
      <c r="AB10240" s="1"/>
      <c r="AC10240" s="1"/>
      <c r="AD10240" s="1"/>
      <c r="AE10240" s="1"/>
      <c r="AF10240" s="1"/>
      <c r="AG10240" s="1"/>
      <c r="AH10240" s="1"/>
    </row>
    <row r="10241" ht="12.75" hidden="1" customHeight="1" outlineLevel="1">
      <c r="A10241" s="1002">
        <v>43258.0</v>
      </c>
      <c r="B10241" s="992"/>
      <c r="C10241" s="32" t="s">
        <v>339</v>
      </c>
      <c r="D10241" s="1"/>
      <c r="F10241" s="1"/>
      <c r="G10241" s="1"/>
      <c r="H10241" s="68"/>
      <c r="I10241" s="76"/>
      <c r="K10241" s="201" t="s">
        <v>3607</v>
      </c>
      <c r="L10241" s="77"/>
      <c r="M10241" s="79"/>
      <c r="N10241" s="1"/>
      <c r="O10241" s="1"/>
      <c r="P10241" s="1"/>
      <c r="Q10241" s="1"/>
      <c r="R10241" s="1"/>
      <c r="S10241" s="1"/>
      <c r="T10241" s="1"/>
      <c r="U10241" s="1"/>
      <c r="V10241" s="1"/>
      <c r="W10241" s="1"/>
      <c r="X10241" s="1"/>
      <c r="Y10241" s="1"/>
      <c r="Z10241" s="1"/>
      <c r="AA10241" s="1"/>
      <c r="AB10241" s="1"/>
      <c r="AC10241" s="1"/>
      <c r="AD10241" s="1"/>
      <c r="AE10241" s="1"/>
      <c r="AF10241" s="1"/>
      <c r="AG10241" s="1"/>
      <c r="AH10241" s="1"/>
    </row>
    <row r="10242" ht="12.75" hidden="1" customHeight="1" outlineLevel="1">
      <c r="A10242" s="1002">
        <v>43258.0</v>
      </c>
      <c r="B10242" s="992"/>
      <c r="C10242" s="32" t="s">
        <v>429</v>
      </c>
      <c r="D10242" s="1"/>
      <c r="F10242" s="1"/>
      <c r="G10242" s="1"/>
      <c r="H10242" s="68"/>
      <c r="I10242" s="76"/>
      <c r="K10242" s="9" t="s">
        <v>3187</v>
      </c>
      <c r="L10242" s="77"/>
      <c r="M10242" s="79"/>
      <c r="N10242" s="1"/>
      <c r="O10242" s="1"/>
      <c r="P10242" s="1"/>
      <c r="Q10242" s="1"/>
      <c r="R10242" s="1"/>
      <c r="S10242" s="1"/>
      <c r="T10242" s="1"/>
      <c r="U10242" s="1"/>
      <c r="V10242" s="1"/>
      <c r="W10242" s="1"/>
      <c r="X10242" s="1"/>
      <c r="Y10242" s="1"/>
      <c r="Z10242" s="1"/>
      <c r="AA10242" s="1"/>
      <c r="AB10242" s="1"/>
      <c r="AC10242" s="1"/>
      <c r="AD10242" s="1"/>
      <c r="AE10242" s="1"/>
      <c r="AF10242" s="1"/>
      <c r="AG10242" s="1"/>
      <c r="AH10242" s="1"/>
    </row>
    <row r="10243" ht="12.75" hidden="1" customHeight="1" outlineLevel="1">
      <c r="A10243" s="1002">
        <v>43258.0</v>
      </c>
      <c r="B10243" s="992"/>
      <c r="C10243" s="32" t="s">
        <v>431</v>
      </c>
      <c r="D10243" s="1"/>
      <c r="F10243" s="1"/>
      <c r="G10243" s="1"/>
      <c r="H10243" s="68"/>
      <c r="I10243" s="76"/>
      <c r="K10243" s="7" t="s">
        <v>1126</v>
      </c>
      <c r="L10243" s="77"/>
      <c r="M10243" s="79"/>
      <c r="N10243" s="1"/>
      <c r="O10243" s="1"/>
      <c r="P10243" s="1"/>
      <c r="Q10243" s="1"/>
      <c r="R10243" s="1"/>
      <c r="S10243" s="1"/>
      <c r="T10243" s="1"/>
      <c r="U10243" s="1"/>
      <c r="V10243" s="1"/>
      <c r="W10243" s="1"/>
      <c r="X10243" s="1"/>
      <c r="Y10243" s="1"/>
      <c r="Z10243" s="1"/>
      <c r="AA10243" s="1"/>
      <c r="AB10243" s="1"/>
      <c r="AC10243" s="1"/>
      <c r="AD10243" s="1"/>
      <c r="AE10243" s="1"/>
      <c r="AF10243" s="1"/>
      <c r="AG10243" s="1"/>
      <c r="AH10243" s="1"/>
    </row>
    <row r="10244" ht="12.75" hidden="1" customHeight="1" outlineLevel="1">
      <c r="A10244" s="1002">
        <v>43258.0</v>
      </c>
      <c r="B10244" s="992"/>
      <c r="C10244" s="32" t="s">
        <v>433</v>
      </c>
      <c r="D10244" s="1"/>
      <c r="F10244" s="1"/>
      <c r="G10244" s="1"/>
      <c r="H10244" s="68"/>
      <c r="I10244" s="76"/>
      <c r="K10244" s="7" t="s">
        <v>1103</v>
      </c>
      <c r="L10244" s="77"/>
      <c r="M10244" s="79"/>
      <c r="N10244" s="1"/>
      <c r="O10244" s="1"/>
      <c r="P10244" s="1"/>
      <c r="Q10244" s="1"/>
      <c r="R10244" s="1"/>
      <c r="S10244" s="1"/>
      <c r="T10244" s="1"/>
      <c r="U10244" s="1"/>
      <c r="V10244" s="1"/>
      <c r="W10244" s="1"/>
      <c r="X10244" s="1"/>
      <c r="Y10244" s="1"/>
      <c r="Z10244" s="1"/>
      <c r="AA10244" s="1"/>
      <c r="AB10244" s="1"/>
      <c r="AC10244" s="1"/>
      <c r="AD10244" s="1"/>
      <c r="AE10244" s="1"/>
      <c r="AF10244" s="1"/>
      <c r="AG10244" s="1"/>
      <c r="AH10244" s="1"/>
    </row>
    <row r="10245" ht="12.75" hidden="1" customHeight="1" outlineLevel="1">
      <c r="A10245" s="1002">
        <v>43258.0</v>
      </c>
      <c r="B10245" s="992"/>
      <c r="C10245" s="32" t="s">
        <v>435</v>
      </c>
      <c r="D10245" s="1"/>
      <c r="F10245" s="1"/>
      <c r="G10245" s="1"/>
      <c r="H10245" s="68"/>
      <c r="I10245" s="76"/>
      <c r="K10245" s="9" t="s">
        <v>3331</v>
      </c>
      <c r="L10245" s="77"/>
      <c r="M10245" s="79"/>
      <c r="N10245" s="1"/>
      <c r="O10245" s="1"/>
      <c r="P10245" s="1"/>
      <c r="Q10245" s="1"/>
      <c r="R10245" s="1"/>
      <c r="S10245" s="1"/>
      <c r="T10245" s="1"/>
      <c r="U10245" s="1"/>
      <c r="V10245" s="1"/>
      <c r="W10245" s="1"/>
      <c r="X10245" s="1"/>
      <c r="Y10245" s="1"/>
      <c r="Z10245" s="1"/>
      <c r="AA10245" s="1"/>
      <c r="AB10245" s="1"/>
      <c r="AC10245" s="1"/>
      <c r="AD10245" s="1"/>
      <c r="AE10245" s="1"/>
      <c r="AF10245" s="1"/>
      <c r="AG10245" s="1"/>
      <c r="AH10245" s="1"/>
    </row>
    <row r="10246" ht="12.75" hidden="1" customHeight="1" outlineLevel="1">
      <c r="A10246" s="202">
        <v>43258.0</v>
      </c>
      <c r="B10246" s="985" t="s">
        <v>343</v>
      </c>
      <c r="C10246" s="94" t="s">
        <v>1040</v>
      </c>
      <c r="D10246" s="94">
        <v>300.0</v>
      </c>
      <c r="E10246" s="94">
        <v>102.3499</v>
      </c>
      <c r="F10246" s="1003">
        <v>0.3976736111111111</v>
      </c>
      <c r="G10246" s="1004" t="s">
        <v>453</v>
      </c>
      <c r="H10246" s="987">
        <v>1.5</v>
      </c>
      <c r="I10246" s="988" t="s">
        <v>3145</v>
      </c>
      <c r="J10246" s="67">
        <f>IF(B10246="SLD",D10246*E10246,-D10246*E10246)-H10246</f>
        <v>-30706.47</v>
      </c>
      <c r="K10246" s="1"/>
      <c r="L10246" s="70"/>
      <c r="M10246" s="79"/>
      <c r="N10246" s="1"/>
      <c r="O10246" s="1"/>
      <c r="P10246" s="1"/>
      <c r="Q10246" s="1"/>
      <c r="R10246" s="1"/>
      <c r="S10246" s="1"/>
      <c r="T10246" s="1"/>
      <c r="U10246" s="1"/>
      <c r="V10246" s="1"/>
      <c r="W10246" s="1"/>
      <c r="X10246" s="1"/>
      <c r="Y10246" s="1"/>
      <c r="Z10246" s="1"/>
      <c r="AA10246" s="1"/>
      <c r="AB10246" s="1"/>
      <c r="AC10246" s="1"/>
      <c r="AD10246" s="1"/>
      <c r="AE10246" s="1"/>
      <c r="AF10246" s="1"/>
      <c r="AG10246" s="1"/>
      <c r="AH10246" s="1"/>
    </row>
    <row r="10247" ht="12.75" hidden="1" customHeight="1" outlineLevel="1">
      <c r="A10247" s="1002">
        <v>43262.0</v>
      </c>
      <c r="B10247" s="992"/>
      <c r="C10247" s="32" t="s">
        <v>339</v>
      </c>
      <c r="D10247" s="1"/>
      <c r="F10247" s="1"/>
      <c r="G10247" s="1"/>
      <c r="H10247" s="68"/>
      <c r="I10247" s="76"/>
      <c r="K10247" s="201" t="s">
        <v>3612</v>
      </c>
      <c r="L10247" s="77"/>
      <c r="M10247" s="79"/>
      <c r="N10247" s="1"/>
      <c r="O10247" s="1"/>
      <c r="P10247" s="1"/>
      <c r="Q10247" s="1"/>
      <c r="R10247" s="1"/>
      <c r="S10247" s="1"/>
      <c r="T10247" s="1"/>
      <c r="U10247" s="1"/>
      <c r="V10247" s="1"/>
      <c r="W10247" s="1"/>
      <c r="X10247" s="1"/>
      <c r="Y10247" s="1"/>
      <c r="Z10247" s="1"/>
      <c r="AA10247" s="1"/>
      <c r="AB10247" s="1"/>
      <c r="AC10247" s="1"/>
      <c r="AD10247" s="1"/>
      <c r="AE10247" s="1"/>
      <c r="AF10247" s="1"/>
      <c r="AG10247" s="1"/>
      <c r="AH10247" s="1"/>
    </row>
    <row r="10248" ht="12.75" hidden="1" customHeight="1" outlineLevel="1">
      <c r="A10248" s="1002">
        <v>43262.0</v>
      </c>
      <c r="B10248" s="992"/>
      <c r="C10248" s="32" t="s">
        <v>429</v>
      </c>
      <c r="D10248" s="1"/>
      <c r="F10248" s="1"/>
      <c r="G10248" s="1"/>
      <c r="H10248" s="68"/>
      <c r="I10248" s="76"/>
      <c r="K10248" s="9" t="s">
        <v>3187</v>
      </c>
      <c r="L10248" s="77"/>
      <c r="M10248" s="79"/>
      <c r="N10248" s="1"/>
      <c r="O10248" s="1"/>
      <c r="P10248" s="1"/>
      <c r="Q10248" s="1"/>
      <c r="R10248" s="1"/>
      <c r="S10248" s="1"/>
      <c r="T10248" s="1"/>
      <c r="U10248" s="1"/>
      <c r="V10248" s="1"/>
      <c r="W10248" s="1"/>
      <c r="X10248" s="1"/>
      <c r="Y10248" s="1"/>
      <c r="Z10248" s="1"/>
      <c r="AA10248" s="1"/>
      <c r="AB10248" s="1"/>
      <c r="AC10248" s="1"/>
      <c r="AD10248" s="1"/>
      <c r="AE10248" s="1"/>
      <c r="AF10248" s="1"/>
      <c r="AG10248" s="1"/>
      <c r="AH10248" s="1"/>
    </row>
    <row r="10249" ht="12.75" hidden="1" customHeight="1" outlineLevel="1">
      <c r="A10249" s="1002">
        <v>43262.0</v>
      </c>
      <c r="B10249" s="992"/>
      <c r="C10249" s="32" t="s">
        <v>431</v>
      </c>
      <c r="D10249" s="1"/>
      <c r="F10249" s="1"/>
      <c r="G10249" s="1"/>
      <c r="H10249" s="68"/>
      <c r="I10249" s="76"/>
      <c r="K10249" s="7" t="s">
        <v>1126</v>
      </c>
      <c r="L10249" s="77"/>
      <c r="M10249" s="79"/>
      <c r="N10249" s="1"/>
      <c r="O10249" s="1"/>
      <c r="P10249" s="1"/>
      <c r="Q10249" s="1"/>
      <c r="R10249" s="1"/>
      <c r="S10249" s="1"/>
      <c r="T10249" s="1"/>
      <c r="U10249" s="1"/>
      <c r="V10249" s="1"/>
      <c r="W10249" s="1"/>
      <c r="X10249" s="1"/>
      <c r="Y10249" s="1"/>
      <c r="Z10249" s="1"/>
      <c r="AA10249" s="1"/>
      <c r="AB10249" s="1"/>
      <c r="AC10249" s="1"/>
      <c r="AD10249" s="1"/>
      <c r="AE10249" s="1"/>
      <c r="AF10249" s="1"/>
      <c r="AG10249" s="1"/>
      <c r="AH10249" s="1"/>
    </row>
    <row r="10250" ht="12.75" hidden="1" customHeight="1" outlineLevel="1">
      <c r="A10250" s="1002">
        <v>43262.0</v>
      </c>
      <c r="B10250" s="992"/>
      <c r="C10250" s="32" t="s">
        <v>433</v>
      </c>
      <c r="D10250" s="1"/>
      <c r="F10250" s="1"/>
      <c r="G10250" s="1"/>
      <c r="H10250" s="68"/>
      <c r="I10250" s="76"/>
      <c r="K10250" s="7" t="s">
        <v>1103</v>
      </c>
      <c r="L10250" s="77"/>
      <c r="M10250" s="79"/>
      <c r="N10250" s="1"/>
      <c r="O10250" s="1"/>
      <c r="P10250" s="1"/>
      <c r="Q10250" s="1"/>
      <c r="R10250" s="1"/>
      <c r="S10250" s="1"/>
      <c r="T10250" s="1"/>
      <c r="U10250" s="1"/>
      <c r="V10250" s="1"/>
      <c r="W10250" s="1"/>
      <c r="X10250" s="1"/>
      <c r="Y10250" s="1"/>
      <c r="Z10250" s="1"/>
      <c r="AA10250" s="1"/>
      <c r="AB10250" s="1"/>
      <c r="AC10250" s="1"/>
      <c r="AD10250" s="1"/>
      <c r="AE10250" s="1"/>
      <c r="AF10250" s="1"/>
      <c r="AG10250" s="1"/>
      <c r="AH10250" s="1"/>
    </row>
    <row r="10251" ht="12.75" hidden="1" customHeight="1" outlineLevel="1">
      <c r="A10251" s="1002">
        <v>43262.0</v>
      </c>
      <c r="B10251" s="992"/>
      <c r="C10251" s="32" t="s">
        <v>435</v>
      </c>
      <c r="D10251" s="1"/>
      <c r="F10251" s="1"/>
      <c r="G10251" s="1"/>
      <c r="H10251" s="68"/>
      <c r="I10251" s="76"/>
      <c r="K10251" s="9" t="s">
        <v>3331</v>
      </c>
      <c r="L10251" s="77"/>
      <c r="M10251" s="79"/>
      <c r="N10251" s="1"/>
      <c r="O10251" s="1"/>
      <c r="P10251" s="1"/>
      <c r="Q10251" s="1"/>
      <c r="R10251" s="1"/>
      <c r="S10251" s="1"/>
      <c r="T10251" s="1"/>
      <c r="U10251" s="1"/>
      <c r="V10251" s="1"/>
      <c r="W10251" s="1"/>
      <c r="X10251" s="1"/>
      <c r="Y10251" s="1"/>
      <c r="Z10251" s="1"/>
      <c r="AA10251" s="1"/>
      <c r="AB10251" s="1"/>
      <c r="AC10251" s="1"/>
      <c r="AD10251" s="1"/>
      <c r="AE10251" s="1"/>
      <c r="AF10251" s="1"/>
      <c r="AG10251" s="1"/>
      <c r="AH10251" s="1"/>
    </row>
    <row r="10252" ht="12.75" hidden="1" customHeight="1" outlineLevel="1">
      <c r="A10252" s="1002">
        <v>43264.0</v>
      </c>
      <c r="B10252" s="992"/>
      <c r="C10252" s="32" t="s">
        <v>339</v>
      </c>
      <c r="D10252" s="1"/>
      <c r="F10252" s="1"/>
      <c r="G10252" s="1"/>
      <c r="H10252" s="68"/>
      <c r="I10252" s="76"/>
      <c r="K10252" s="201" t="s">
        <v>3614</v>
      </c>
      <c r="L10252" s="77"/>
      <c r="M10252" s="79"/>
      <c r="N10252" s="1"/>
      <c r="O10252" s="1"/>
      <c r="P10252" s="1"/>
      <c r="Q10252" s="1"/>
      <c r="R10252" s="1"/>
      <c r="S10252" s="1"/>
      <c r="T10252" s="1"/>
      <c r="U10252" s="1"/>
      <c r="V10252" s="1"/>
      <c r="W10252" s="1"/>
      <c r="X10252" s="1"/>
      <c r="Y10252" s="1"/>
      <c r="Z10252" s="1"/>
      <c r="AA10252" s="1"/>
      <c r="AB10252" s="1"/>
      <c r="AC10252" s="1"/>
      <c r="AD10252" s="1"/>
      <c r="AE10252" s="1"/>
      <c r="AF10252" s="1"/>
      <c r="AG10252" s="1"/>
      <c r="AH10252" s="1"/>
    </row>
    <row r="10253" ht="12.75" hidden="1" customHeight="1" outlineLevel="1">
      <c r="A10253" s="1002">
        <v>43264.0</v>
      </c>
      <c r="B10253" s="992"/>
      <c r="C10253" s="32" t="s">
        <v>429</v>
      </c>
      <c r="D10253" s="1"/>
      <c r="F10253" s="1"/>
      <c r="G10253" s="1"/>
      <c r="H10253" s="68"/>
      <c r="I10253" s="76"/>
      <c r="K10253" s="9" t="s">
        <v>3187</v>
      </c>
      <c r="L10253" s="77"/>
      <c r="M10253" s="79"/>
      <c r="N10253" s="1"/>
      <c r="O10253" s="1"/>
      <c r="P10253" s="1"/>
      <c r="Q10253" s="1"/>
      <c r="R10253" s="1"/>
      <c r="S10253" s="1"/>
      <c r="T10253" s="1"/>
      <c r="U10253" s="1"/>
      <c r="V10253" s="1"/>
      <c r="W10253" s="1"/>
      <c r="X10253" s="1"/>
      <c r="Y10253" s="1"/>
      <c r="Z10253" s="1"/>
      <c r="AA10253" s="1"/>
      <c r="AB10253" s="1"/>
      <c r="AC10253" s="1"/>
      <c r="AD10253" s="1"/>
      <c r="AE10253" s="1"/>
      <c r="AF10253" s="1"/>
      <c r="AG10253" s="1"/>
      <c r="AH10253" s="1"/>
    </row>
    <row r="10254" ht="12.75" hidden="1" customHeight="1" outlineLevel="1">
      <c r="A10254" s="1002">
        <v>43264.0</v>
      </c>
      <c r="B10254" s="992"/>
      <c r="C10254" s="32" t="s">
        <v>431</v>
      </c>
      <c r="D10254" s="1"/>
      <c r="F10254" s="1"/>
      <c r="G10254" s="1"/>
      <c r="H10254" s="68"/>
      <c r="I10254" s="76"/>
      <c r="K10254" s="7" t="s">
        <v>1126</v>
      </c>
      <c r="L10254" s="77"/>
      <c r="M10254" s="79"/>
      <c r="N10254" s="1"/>
      <c r="O10254" s="1"/>
      <c r="P10254" s="1"/>
      <c r="Q10254" s="1"/>
      <c r="R10254" s="1"/>
      <c r="S10254" s="1"/>
      <c r="T10254" s="1"/>
      <c r="U10254" s="1"/>
      <c r="V10254" s="1"/>
      <c r="W10254" s="1"/>
      <c r="X10254" s="1"/>
      <c r="Y10254" s="1"/>
      <c r="Z10254" s="1"/>
      <c r="AA10254" s="1"/>
      <c r="AB10254" s="1"/>
      <c r="AC10254" s="1"/>
      <c r="AD10254" s="1"/>
      <c r="AE10254" s="1"/>
      <c r="AF10254" s="1"/>
      <c r="AG10254" s="1"/>
      <c r="AH10254" s="1"/>
    </row>
    <row r="10255" ht="12.75" hidden="1" customHeight="1" outlineLevel="1">
      <c r="A10255" s="1002">
        <v>43264.0</v>
      </c>
      <c r="B10255" s="992"/>
      <c r="C10255" s="32" t="s">
        <v>433</v>
      </c>
      <c r="D10255" s="1"/>
      <c r="F10255" s="1"/>
      <c r="G10255" s="1"/>
      <c r="H10255" s="68"/>
      <c r="I10255" s="76"/>
      <c r="K10255" s="7" t="s">
        <v>1103</v>
      </c>
      <c r="L10255" s="77"/>
      <c r="M10255" s="79"/>
      <c r="N10255" s="1"/>
      <c r="O10255" s="1"/>
      <c r="P10255" s="1"/>
      <c r="Q10255" s="1"/>
      <c r="R10255" s="1"/>
      <c r="S10255" s="1"/>
      <c r="T10255" s="1"/>
      <c r="U10255" s="1"/>
      <c r="V10255" s="1"/>
      <c r="W10255" s="1"/>
      <c r="X10255" s="1"/>
      <c r="Y10255" s="1"/>
      <c r="Z10255" s="1"/>
      <c r="AA10255" s="1"/>
      <c r="AB10255" s="1"/>
      <c r="AC10255" s="1"/>
      <c r="AD10255" s="1"/>
      <c r="AE10255" s="1"/>
      <c r="AF10255" s="1"/>
      <c r="AG10255" s="1"/>
      <c r="AH10255" s="1"/>
    </row>
    <row r="10256" ht="12.75" hidden="1" customHeight="1" outlineLevel="1">
      <c r="A10256" s="1002">
        <v>43264.0</v>
      </c>
      <c r="B10256" s="992"/>
      <c r="C10256" s="32" t="s">
        <v>435</v>
      </c>
      <c r="D10256" s="1"/>
      <c r="F10256" s="1"/>
      <c r="G10256" s="1"/>
      <c r="H10256" s="68"/>
      <c r="I10256" s="76"/>
      <c r="K10256" s="9" t="s">
        <v>3331</v>
      </c>
      <c r="L10256" s="77"/>
      <c r="M10256" s="79"/>
      <c r="N10256" s="1"/>
      <c r="O10256" s="1"/>
      <c r="P10256" s="1"/>
      <c r="Q10256" s="1"/>
      <c r="R10256" s="1"/>
      <c r="S10256" s="1"/>
      <c r="T10256" s="1"/>
      <c r="U10256" s="1"/>
      <c r="V10256" s="1"/>
      <c r="W10256" s="1"/>
      <c r="X10256" s="1"/>
      <c r="Y10256" s="1"/>
      <c r="Z10256" s="1"/>
      <c r="AA10256" s="1"/>
      <c r="AB10256" s="1"/>
      <c r="AC10256" s="1"/>
      <c r="AD10256" s="1"/>
      <c r="AE10256" s="1"/>
      <c r="AF10256" s="1"/>
      <c r="AG10256" s="1"/>
      <c r="AH10256" s="1"/>
    </row>
    <row r="10257" ht="12.75" hidden="1" customHeight="1" outlineLevel="1">
      <c r="A10257" s="1002">
        <v>43265.0</v>
      </c>
      <c r="B10257" s="992"/>
      <c r="C10257" s="32" t="s">
        <v>339</v>
      </c>
      <c r="D10257" s="1"/>
      <c r="F10257" s="1"/>
      <c r="G10257" s="1"/>
      <c r="H10257" s="68"/>
      <c r="I10257" s="76"/>
      <c r="K10257" s="201" t="s">
        <v>3618</v>
      </c>
      <c r="L10257" s="77"/>
      <c r="M10257" s="79"/>
      <c r="N10257" s="1"/>
      <c r="O10257" s="1"/>
      <c r="P10257" s="1"/>
      <c r="Q10257" s="1"/>
      <c r="R10257" s="1"/>
      <c r="S10257" s="1"/>
      <c r="T10257" s="1"/>
      <c r="U10257" s="1"/>
      <c r="V10257" s="1"/>
      <c r="W10257" s="1"/>
      <c r="X10257" s="1"/>
      <c r="Y10257" s="1"/>
      <c r="Z10257" s="1"/>
      <c r="AA10257" s="1"/>
      <c r="AB10257" s="1"/>
      <c r="AC10257" s="1"/>
      <c r="AD10257" s="1"/>
      <c r="AE10257" s="1"/>
      <c r="AF10257" s="1"/>
      <c r="AG10257" s="1"/>
      <c r="AH10257" s="1"/>
    </row>
    <row r="10258" ht="12.75" hidden="1" customHeight="1" outlineLevel="1">
      <c r="A10258" s="1002">
        <v>43265.0</v>
      </c>
      <c r="B10258" s="992"/>
      <c r="C10258" s="32" t="s">
        <v>429</v>
      </c>
      <c r="D10258" s="1"/>
      <c r="F10258" s="1"/>
      <c r="G10258" s="1"/>
      <c r="H10258" s="68"/>
      <c r="I10258" s="76"/>
      <c r="K10258" s="9" t="s">
        <v>3187</v>
      </c>
      <c r="L10258" s="77"/>
      <c r="M10258" s="79"/>
      <c r="N10258" s="1"/>
      <c r="O10258" s="1"/>
      <c r="P10258" s="1"/>
      <c r="Q10258" s="1"/>
      <c r="R10258" s="1"/>
      <c r="S10258" s="1"/>
      <c r="T10258" s="1"/>
      <c r="U10258" s="1"/>
      <c r="V10258" s="1"/>
      <c r="W10258" s="1"/>
      <c r="X10258" s="1"/>
      <c r="Y10258" s="1"/>
      <c r="Z10258" s="1"/>
      <c r="AA10258" s="1"/>
      <c r="AB10258" s="1"/>
      <c r="AC10258" s="1"/>
      <c r="AD10258" s="1"/>
      <c r="AE10258" s="1"/>
      <c r="AF10258" s="1"/>
      <c r="AG10258" s="1"/>
      <c r="AH10258" s="1"/>
    </row>
    <row r="10259" ht="12.75" hidden="1" customHeight="1" outlineLevel="1">
      <c r="A10259" s="1002">
        <v>43265.0</v>
      </c>
      <c r="B10259" s="992"/>
      <c r="C10259" s="32" t="s">
        <v>431</v>
      </c>
      <c r="D10259" s="1"/>
      <c r="F10259" s="1"/>
      <c r="G10259" s="1"/>
      <c r="H10259" s="68"/>
      <c r="I10259" s="76"/>
      <c r="K10259" s="7" t="s">
        <v>1126</v>
      </c>
      <c r="L10259" s="77"/>
      <c r="M10259" s="79"/>
      <c r="N10259" s="1"/>
      <c r="O10259" s="1"/>
      <c r="P10259" s="1"/>
      <c r="Q10259" s="1"/>
      <c r="R10259" s="1"/>
      <c r="S10259" s="1"/>
      <c r="T10259" s="1"/>
      <c r="U10259" s="1"/>
      <c r="V10259" s="1"/>
      <c r="W10259" s="1"/>
      <c r="X10259" s="1"/>
      <c r="Y10259" s="1"/>
      <c r="Z10259" s="1"/>
      <c r="AA10259" s="1"/>
      <c r="AB10259" s="1"/>
      <c r="AC10259" s="1"/>
      <c r="AD10259" s="1"/>
      <c r="AE10259" s="1"/>
      <c r="AF10259" s="1"/>
      <c r="AG10259" s="1"/>
      <c r="AH10259" s="1"/>
    </row>
    <row r="10260" ht="12.75" hidden="1" customHeight="1" outlineLevel="1">
      <c r="A10260" s="1002">
        <v>43265.0</v>
      </c>
      <c r="B10260" s="992"/>
      <c r="C10260" s="32" t="s">
        <v>433</v>
      </c>
      <c r="D10260" s="1"/>
      <c r="F10260" s="1"/>
      <c r="G10260" s="1"/>
      <c r="H10260" s="68"/>
      <c r="I10260" s="76"/>
      <c r="K10260" s="7" t="s">
        <v>1103</v>
      </c>
      <c r="L10260" s="77"/>
      <c r="M10260" s="79"/>
      <c r="N10260" s="1"/>
      <c r="O10260" s="1"/>
      <c r="P10260" s="1"/>
      <c r="Q10260" s="1"/>
      <c r="R10260" s="1"/>
      <c r="S10260" s="1"/>
      <c r="T10260" s="1"/>
      <c r="U10260" s="1"/>
      <c r="V10260" s="1"/>
      <c r="W10260" s="1"/>
      <c r="X10260" s="1"/>
      <c r="Y10260" s="1"/>
      <c r="Z10260" s="1"/>
      <c r="AA10260" s="1"/>
      <c r="AB10260" s="1"/>
      <c r="AC10260" s="1"/>
      <c r="AD10260" s="1"/>
      <c r="AE10260" s="1"/>
      <c r="AF10260" s="1"/>
      <c r="AG10260" s="1"/>
      <c r="AH10260" s="1"/>
    </row>
    <row r="10261" ht="12.75" hidden="1" customHeight="1" outlineLevel="1">
      <c r="A10261" s="1002">
        <v>43265.0</v>
      </c>
      <c r="B10261" s="992"/>
      <c r="C10261" s="32" t="s">
        <v>435</v>
      </c>
      <c r="D10261" s="1"/>
      <c r="F10261" s="1"/>
      <c r="G10261" s="1"/>
      <c r="H10261" s="68"/>
      <c r="I10261" s="76"/>
      <c r="K10261" s="9" t="s">
        <v>3331</v>
      </c>
      <c r="L10261" s="77"/>
      <c r="M10261" s="79"/>
      <c r="N10261" s="1"/>
      <c r="O10261" s="1"/>
      <c r="P10261" s="1"/>
      <c r="Q10261" s="1"/>
      <c r="R10261" s="1"/>
      <c r="S10261" s="1"/>
      <c r="T10261" s="1"/>
      <c r="U10261" s="1"/>
      <c r="V10261" s="1"/>
      <c r="W10261" s="1"/>
      <c r="X10261" s="1"/>
      <c r="Y10261" s="1"/>
      <c r="Z10261" s="1"/>
      <c r="AA10261" s="1"/>
      <c r="AB10261" s="1"/>
      <c r="AC10261" s="1"/>
      <c r="AD10261" s="1"/>
      <c r="AE10261" s="1"/>
      <c r="AF10261" s="1"/>
      <c r="AG10261" s="1"/>
      <c r="AH10261" s="1"/>
    </row>
    <row r="10262" ht="12.75" hidden="1" customHeight="1" outlineLevel="1">
      <c r="A10262" s="202">
        <v>43267.0</v>
      </c>
      <c r="B10262" s="992"/>
      <c r="C10262" s="32" t="s">
        <v>339</v>
      </c>
      <c r="D10262" s="1"/>
      <c r="F10262" s="1"/>
      <c r="G10262" s="1"/>
      <c r="H10262" s="68"/>
      <c r="I10262" s="76"/>
      <c r="K10262" s="201" t="s">
        <v>3620</v>
      </c>
      <c r="L10262" s="77"/>
      <c r="M10262" s="79"/>
      <c r="N10262" s="1"/>
      <c r="O10262" s="1"/>
      <c r="P10262" s="1"/>
      <c r="Q10262" s="1"/>
      <c r="R10262" s="1"/>
      <c r="S10262" s="1"/>
      <c r="T10262" s="1"/>
      <c r="U10262" s="1"/>
      <c r="V10262" s="1"/>
      <c r="W10262" s="1"/>
      <c r="X10262" s="1"/>
      <c r="Y10262" s="1"/>
      <c r="Z10262" s="1"/>
      <c r="AA10262" s="1"/>
      <c r="AB10262" s="1"/>
      <c r="AC10262" s="1"/>
      <c r="AD10262" s="1"/>
      <c r="AE10262" s="1"/>
      <c r="AF10262" s="1"/>
      <c r="AG10262" s="1"/>
      <c r="AH10262" s="1"/>
    </row>
    <row r="10263" ht="12.75" hidden="1" customHeight="1" outlineLevel="1">
      <c r="A10263" s="202">
        <v>43267.0</v>
      </c>
      <c r="B10263" s="992"/>
      <c r="C10263" s="32" t="s">
        <v>429</v>
      </c>
      <c r="D10263" s="1"/>
      <c r="F10263" s="1"/>
      <c r="G10263" s="1"/>
      <c r="H10263" s="68"/>
      <c r="I10263" s="76"/>
      <c r="K10263" s="9" t="s">
        <v>3621</v>
      </c>
      <c r="L10263" s="77"/>
      <c r="M10263" s="79"/>
      <c r="N10263" s="1"/>
      <c r="O10263" s="1"/>
      <c r="P10263" s="1"/>
      <c r="Q10263" s="1"/>
      <c r="R10263" s="1"/>
      <c r="S10263" s="1"/>
      <c r="T10263" s="1"/>
      <c r="U10263" s="1"/>
      <c r="V10263" s="1"/>
      <c r="W10263" s="1"/>
      <c r="X10263" s="1"/>
      <c r="Y10263" s="1"/>
      <c r="Z10263" s="1"/>
      <c r="AA10263" s="1"/>
      <c r="AB10263" s="1"/>
      <c r="AC10263" s="1"/>
      <c r="AD10263" s="1"/>
      <c r="AE10263" s="1"/>
      <c r="AF10263" s="1"/>
      <c r="AG10263" s="1"/>
      <c r="AH10263" s="1"/>
    </row>
    <row r="10264" ht="12.75" hidden="1" customHeight="1" outlineLevel="1">
      <c r="A10264" s="202">
        <v>43267.0</v>
      </c>
      <c r="B10264" s="992"/>
      <c r="C10264" s="32" t="s">
        <v>431</v>
      </c>
      <c r="D10264" s="1"/>
      <c r="F10264" s="1"/>
      <c r="G10264" s="1"/>
      <c r="H10264" s="68"/>
      <c r="I10264" s="76"/>
      <c r="K10264" s="7" t="s">
        <v>1126</v>
      </c>
      <c r="L10264" s="77"/>
      <c r="M10264" s="79"/>
      <c r="N10264" s="1"/>
      <c r="O10264" s="1"/>
      <c r="P10264" s="1"/>
      <c r="Q10264" s="1"/>
      <c r="R10264" s="1"/>
      <c r="S10264" s="1"/>
      <c r="T10264" s="1"/>
      <c r="U10264" s="1"/>
      <c r="V10264" s="1"/>
      <c r="W10264" s="1"/>
      <c r="X10264" s="1"/>
      <c r="Y10264" s="1"/>
      <c r="Z10264" s="1"/>
      <c r="AA10264" s="1"/>
      <c r="AB10264" s="1"/>
      <c r="AC10264" s="1"/>
      <c r="AD10264" s="1"/>
      <c r="AE10264" s="1"/>
      <c r="AF10264" s="1"/>
      <c r="AG10264" s="1"/>
      <c r="AH10264" s="1"/>
    </row>
    <row r="10265" ht="12.75" hidden="1" customHeight="1" outlineLevel="1">
      <c r="A10265" s="202">
        <v>43267.0</v>
      </c>
      <c r="B10265" s="992"/>
      <c r="C10265" s="32" t="s">
        <v>433</v>
      </c>
      <c r="D10265" s="1"/>
      <c r="F10265" s="1"/>
      <c r="G10265" s="1"/>
      <c r="H10265" s="68"/>
      <c r="I10265" s="76"/>
      <c r="K10265" s="7" t="s">
        <v>1103</v>
      </c>
      <c r="L10265" s="77"/>
      <c r="M10265" s="79"/>
      <c r="N10265" s="1"/>
      <c r="O10265" s="1"/>
      <c r="P10265" s="1"/>
      <c r="Q10265" s="1"/>
      <c r="R10265" s="1"/>
      <c r="S10265" s="1"/>
      <c r="T10265" s="1"/>
      <c r="U10265" s="1"/>
      <c r="V10265" s="1"/>
      <c r="W10265" s="1"/>
      <c r="X10265" s="1"/>
      <c r="Y10265" s="1"/>
      <c r="Z10265" s="1"/>
      <c r="AA10265" s="1"/>
      <c r="AB10265" s="1"/>
      <c r="AC10265" s="1"/>
      <c r="AD10265" s="1"/>
      <c r="AE10265" s="1"/>
      <c r="AF10265" s="1"/>
      <c r="AG10265" s="1"/>
      <c r="AH10265" s="1"/>
    </row>
    <row r="10266" ht="12.75" hidden="1" customHeight="1" outlineLevel="1">
      <c r="A10266" s="202">
        <v>43267.0</v>
      </c>
      <c r="B10266" s="992"/>
      <c r="C10266" s="32" t="s">
        <v>435</v>
      </c>
      <c r="D10266" s="1"/>
      <c r="F10266" s="1"/>
      <c r="G10266" s="1"/>
      <c r="H10266" s="68"/>
      <c r="I10266" s="76"/>
      <c r="K10266" s="9" t="s">
        <v>3622</v>
      </c>
      <c r="L10266" s="77"/>
      <c r="M10266" s="79"/>
      <c r="N10266" s="1"/>
      <c r="O10266" s="1"/>
      <c r="P10266" s="1"/>
      <c r="Q10266" s="1"/>
      <c r="R10266" s="1"/>
      <c r="S10266" s="1"/>
      <c r="T10266" s="1"/>
      <c r="U10266" s="1"/>
      <c r="V10266" s="1"/>
      <c r="W10266" s="1"/>
      <c r="X10266" s="1"/>
      <c r="Y10266" s="1"/>
      <c r="Z10266" s="1"/>
      <c r="AA10266" s="1"/>
      <c r="AB10266" s="1"/>
      <c r="AC10266" s="1"/>
      <c r="AD10266" s="1"/>
      <c r="AE10266" s="1"/>
      <c r="AF10266" s="1"/>
      <c r="AG10266" s="1"/>
      <c r="AH10266" s="1"/>
    </row>
    <row r="10267" ht="12.75" hidden="1" customHeight="1" outlineLevel="1">
      <c r="A10267" s="202">
        <v>43270.0</v>
      </c>
      <c r="B10267" s="985" t="s">
        <v>347</v>
      </c>
      <c r="C10267" s="94" t="s">
        <v>1238</v>
      </c>
      <c r="D10267" s="94">
        <v>100.0</v>
      </c>
      <c r="E10267" s="94">
        <v>82.29</v>
      </c>
      <c r="F10267" s="998">
        <v>43270.643483796295</v>
      </c>
      <c r="G10267" s="1004" t="s">
        <v>453</v>
      </c>
      <c r="H10267" s="987">
        <v>1.12</v>
      </c>
      <c r="I10267" s="988" t="s">
        <v>3145</v>
      </c>
      <c r="J10267" s="67">
        <f t="shared" ref="J10267:J10273" si="572">IF(B10267="SLD",D10267*E10267,-D10267*E10267)-H10267</f>
        <v>8227.88</v>
      </c>
      <c r="K10267" s="1"/>
      <c r="L10267" s="70"/>
      <c r="M10267" s="79"/>
      <c r="N10267" s="1"/>
      <c r="O10267" s="1"/>
      <c r="P10267" s="1"/>
      <c r="Q10267" s="1"/>
      <c r="R10267" s="1"/>
      <c r="S10267" s="1"/>
      <c r="T10267" s="1"/>
      <c r="U10267" s="1"/>
      <c r="V10267" s="1"/>
      <c r="W10267" s="1"/>
      <c r="X10267" s="1"/>
      <c r="Y10267" s="1"/>
      <c r="Z10267" s="1"/>
      <c r="AA10267" s="1"/>
      <c r="AB10267" s="1"/>
      <c r="AC10267" s="1"/>
      <c r="AD10267" s="1"/>
      <c r="AE10267" s="1"/>
      <c r="AF10267" s="1"/>
      <c r="AG10267" s="1"/>
      <c r="AH10267" s="1"/>
    </row>
    <row r="10268" ht="12.75" hidden="1" customHeight="1" outlineLevel="1">
      <c r="A10268" s="202">
        <v>43270.0</v>
      </c>
      <c r="B10268" s="985" t="s">
        <v>347</v>
      </c>
      <c r="C10268" s="94" t="s">
        <v>3380</v>
      </c>
      <c r="D10268" s="286">
        <v>300.0</v>
      </c>
      <c r="E10268" s="94">
        <v>20.541</v>
      </c>
      <c r="F10268" s="998">
        <v>43270.64365740741</v>
      </c>
      <c r="G10268" s="1004" t="s">
        <v>453</v>
      </c>
      <c r="H10268" s="987">
        <v>1.62</v>
      </c>
      <c r="I10268" s="988" t="s">
        <v>3145</v>
      </c>
      <c r="J10268" s="67">
        <f t="shared" si="572"/>
        <v>6160.68</v>
      </c>
      <c r="K10268" s="1"/>
      <c r="L10268" s="70"/>
      <c r="M10268" s="79"/>
      <c r="N10268" s="1"/>
      <c r="O10268" s="1"/>
      <c r="P10268" s="1"/>
      <c r="Q10268" s="1"/>
      <c r="R10268" s="1"/>
      <c r="S10268" s="1"/>
      <c r="T10268" s="1"/>
      <c r="U10268" s="1"/>
      <c r="V10268" s="1"/>
      <c r="W10268" s="1"/>
      <c r="X10268" s="1"/>
      <c r="Y10268" s="1"/>
      <c r="Z10268" s="1"/>
      <c r="AA10268" s="1"/>
      <c r="AB10268" s="1"/>
      <c r="AC10268" s="1"/>
      <c r="AD10268" s="1"/>
      <c r="AE10268" s="1"/>
      <c r="AF10268" s="1"/>
      <c r="AG10268" s="1"/>
      <c r="AH10268" s="1"/>
    </row>
    <row r="10269" ht="12.75" hidden="1" customHeight="1" outlineLevel="1">
      <c r="A10269" s="202">
        <v>43272.0</v>
      </c>
      <c r="B10269" s="985" t="s">
        <v>343</v>
      </c>
      <c r="C10269" s="94" t="s">
        <v>1092</v>
      </c>
      <c r="D10269" s="286">
        <v>1000.0</v>
      </c>
      <c r="E10269" s="94">
        <v>7.0</v>
      </c>
      <c r="F10269" s="998">
        <v>43272.5671875</v>
      </c>
      <c r="G10269" s="1004" t="s">
        <v>453</v>
      </c>
      <c r="H10269" s="987">
        <v>5.0</v>
      </c>
      <c r="I10269" s="988" t="s">
        <v>3145</v>
      </c>
      <c r="J10269" s="67">
        <f t="shared" si="572"/>
        <v>-7005</v>
      </c>
      <c r="K10269" s="1"/>
      <c r="L10269" s="70"/>
      <c r="M10269" s="79"/>
      <c r="N10269" s="1"/>
      <c r="O10269" s="1"/>
      <c r="P10269" s="1"/>
      <c r="Q10269" s="1"/>
      <c r="R10269" s="1"/>
      <c r="S10269" s="1"/>
      <c r="T10269" s="1"/>
      <c r="U10269" s="1"/>
      <c r="V10269" s="1"/>
      <c r="W10269" s="1"/>
      <c r="X10269" s="1"/>
      <c r="Y10269" s="1"/>
      <c r="Z10269" s="1"/>
      <c r="AA10269" s="1"/>
      <c r="AB10269" s="1"/>
      <c r="AC10269" s="1"/>
      <c r="AD10269" s="1"/>
      <c r="AE10269" s="1"/>
      <c r="AF10269" s="1"/>
      <c r="AG10269" s="1"/>
      <c r="AH10269" s="1"/>
    </row>
    <row r="10270" ht="12.75" hidden="1" customHeight="1" outlineLevel="1">
      <c r="A10270" s="202">
        <v>43272.0</v>
      </c>
      <c r="B10270" s="985" t="s">
        <v>343</v>
      </c>
      <c r="C10270" s="94" t="s">
        <v>1485</v>
      </c>
      <c r="D10270" s="286">
        <v>1000.0</v>
      </c>
      <c r="E10270" s="94">
        <v>6.9</v>
      </c>
      <c r="F10270" s="998">
        <v>43272.567511574074</v>
      </c>
      <c r="G10270" s="1004" t="s">
        <v>453</v>
      </c>
      <c r="H10270" s="987">
        <v>5.0</v>
      </c>
      <c r="I10270" s="988" t="s">
        <v>3145</v>
      </c>
      <c r="J10270" s="67">
        <f t="shared" si="572"/>
        <v>-6905</v>
      </c>
      <c r="K10270" s="1"/>
      <c r="L10270" s="70"/>
      <c r="M10270" s="79"/>
      <c r="N10270" s="1"/>
      <c r="O10270" s="1"/>
      <c r="P10270" s="1"/>
      <c r="Q10270" s="1"/>
      <c r="R10270" s="1"/>
      <c r="S10270" s="1"/>
      <c r="T10270" s="1"/>
      <c r="U10270" s="1"/>
      <c r="V10270" s="1"/>
      <c r="W10270" s="1"/>
      <c r="X10270" s="1"/>
      <c r="Y10270" s="1"/>
      <c r="Z10270" s="1"/>
      <c r="AA10270" s="1"/>
      <c r="AB10270" s="1"/>
      <c r="AC10270" s="1"/>
      <c r="AD10270" s="1"/>
      <c r="AE10270" s="1"/>
      <c r="AF10270" s="1"/>
      <c r="AG10270" s="1"/>
      <c r="AH10270" s="1"/>
    </row>
    <row r="10271" ht="12.75" hidden="1" customHeight="1" outlineLevel="1">
      <c r="A10271" s="202">
        <v>43272.0</v>
      </c>
      <c r="B10271" s="985" t="s">
        <v>343</v>
      </c>
      <c r="C10271" s="94" t="s">
        <v>1483</v>
      </c>
      <c r="D10271" s="286">
        <v>1000.0</v>
      </c>
      <c r="E10271" s="94">
        <v>1.67</v>
      </c>
      <c r="F10271" s="998">
        <v>43272.567974537036</v>
      </c>
      <c r="G10271" s="1004" t="s">
        <v>453</v>
      </c>
      <c r="H10271" s="987">
        <v>5.0</v>
      </c>
      <c r="I10271" s="988" t="s">
        <v>3145</v>
      </c>
      <c r="J10271" s="67">
        <f t="shared" si="572"/>
        <v>-1675</v>
      </c>
      <c r="K10271" s="1"/>
      <c r="L10271" s="70"/>
      <c r="M10271" s="79"/>
      <c r="N10271" s="1"/>
      <c r="O10271" s="1"/>
      <c r="P10271" s="1"/>
      <c r="Q10271" s="1"/>
      <c r="R10271" s="1"/>
      <c r="S10271" s="1"/>
      <c r="T10271" s="1"/>
      <c r="U10271" s="1"/>
      <c r="V10271" s="1"/>
      <c r="W10271" s="1"/>
      <c r="X10271" s="1"/>
      <c r="Y10271" s="1"/>
      <c r="Z10271" s="1"/>
      <c r="AA10271" s="1"/>
      <c r="AB10271" s="1"/>
      <c r="AC10271" s="1"/>
      <c r="AD10271" s="1"/>
      <c r="AE10271" s="1"/>
      <c r="AF10271" s="1"/>
      <c r="AG10271" s="1"/>
      <c r="AH10271" s="1"/>
    </row>
    <row r="10272" ht="12.75" hidden="1" customHeight="1" outlineLevel="1">
      <c r="A10272" s="202">
        <v>43272.0</v>
      </c>
      <c r="B10272" s="985" t="s">
        <v>343</v>
      </c>
      <c r="C10272" s="94" t="s">
        <v>604</v>
      </c>
      <c r="D10272" s="286">
        <v>1000.0</v>
      </c>
      <c r="E10272" s="94">
        <v>1.51</v>
      </c>
      <c r="F10272" s="998">
        <v>43272.568240740744</v>
      </c>
      <c r="G10272" s="1004" t="s">
        <v>453</v>
      </c>
      <c r="H10272" s="987">
        <v>5.0</v>
      </c>
      <c r="I10272" s="988" t="s">
        <v>3145</v>
      </c>
      <c r="J10272" s="67">
        <f t="shared" si="572"/>
        <v>-1515</v>
      </c>
      <c r="K10272" s="1"/>
      <c r="L10272" s="70"/>
      <c r="M10272" s="79"/>
      <c r="N10272" s="1"/>
      <c r="O10272" s="1"/>
      <c r="P10272" s="1"/>
      <c r="Q10272" s="1"/>
      <c r="R10272" s="1"/>
      <c r="S10272" s="1"/>
      <c r="T10272" s="1"/>
      <c r="U10272" s="1"/>
      <c r="V10272" s="1"/>
      <c r="W10272" s="1"/>
      <c r="X10272" s="1"/>
      <c r="Y10272" s="1"/>
      <c r="Z10272" s="1"/>
      <c r="AA10272" s="1"/>
      <c r="AB10272" s="1"/>
      <c r="AC10272" s="1"/>
      <c r="AD10272" s="1"/>
      <c r="AE10272" s="1"/>
      <c r="AF10272" s="1"/>
      <c r="AG10272" s="1"/>
      <c r="AH10272" s="1"/>
    </row>
    <row r="10273" ht="12.75" hidden="1" customHeight="1" outlineLevel="1">
      <c r="A10273" s="202">
        <v>43273.0</v>
      </c>
      <c r="B10273" s="985" t="s">
        <v>343</v>
      </c>
      <c r="C10273" s="94" t="s">
        <v>1114</v>
      </c>
      <c r="D10273" s="94">
        <v>150.0</v>
      </c>
      <c r="E10273" s="94">
        <v>50.63</v>
      </c>
      <c r="F10273" s="998">
        <v>43273.41447916667</v>
      </c>
      <c r="G10273" s="1004" t="s">
        <v>453</v>
      </c>
      <c r="H10273" s="987">
        <v>1.0</v>
      </c>
      <c r="I10273" s="988" t="s">
        <v>3145</v>
      </c>
      <c r="J10273" s="67">
        <f t="shared" si="572"/>
        <v>-7595.5</v>
      </c>
      <c r="K10273" s="1"/>
      <c r="L10273" s="70"/>
      <c r="M10273" s="79"/>
      <c r="N10273" s="1"/>
      <c r="O10273" s="1"/>
      <c r="P10273" s="1"/>
      <c r="Q10273" s="1"/>
      <c r="R10273" s="1"/>
      <c r="S10273" s="1"/>
      <c r="T10273" s="1"/>
      <c r="U10273" s="1"/>
      <c r="V10273" s="1"/>
      <c r="W10273" s="1"/>
      <c r="X10273" s="1"/>
      <c r="Y10273" s="1"/>
      <c r="Z10273" s="1"/>
      <c r="AA10273" s="1"/>
      <c r="AB10273" s="1"/>
      <c r="AC10273" s="1"/>
      <c r="AD10273" s="1"/>
      <c r="AE10273" s="1"/>
      <c r="AF10273" s="1"/>
      <c r="AG10273" s="1"/>
      <c r="AH10273" s="1"/>
    </row>
    <row r="10274" ht="12.75" hidden="1" customHeight="1" outlineLevel="1">
      <c r="A10274" s="1002">
        <v>43273.0</v>
      </c>
      <c r="B10274" s="992"/>
      <c r="C10274" s="32" t="s">
        <v>339</v>
      </c>
      <c r="D10274" s="1"/>
      <c r="F10274" s="1"/>
      <c r="G10274" s="1"/>
      <c r="H10274" s="68"/>
      <c r="I10274" s="76"/>
      <c r="K10274" s="201" t="s">
        <v>3624</v>
      </c>
      <c r="L10274" s="77"/>
      <c r="M10274" s="79"/>
      <c r="N10274" s="1"/>
      <c r="O10274" s="1"/>
      <c r="P10274" s="1"/>
      <c r="Q10274" s="1"/>
      <c r="R10274" s="1"/>
      <c r="S10274" s="1"/>
      <c r="T10274" s="1"/>
      <c r="U10274" s="1"/>
      <c r="V10274" s="1"/>
      <c r="W10274" s="1"/>
      <c r="X10274" s="1"/>
      <c r="Y10274" s="1"/>
      <c r="Z10274" s="1"/>
      <c r="AA10274" s="1"/>
      <c r="AB10274" s="1"/>
      <c r="AC10274" s="1"/>
      <c r="AD10274" s="1"/>
      <c r="AE10274" s="1"/>
      <c r="AF10274" s="1"/>
      <c r="AG10274" s="1"/>
      <c r="AH10274" s="1"/>
    </row>
    <row r="10275" ht="12.75" hidden="1" customHeight="1" outlineLevel="1">
      <c r="A10275" s="202">
        <f t="shared" ref="A10275:A10278" si="573">A10274 </f>
        <v>43273</v>
      </c>
      <c r="B10275" s="992"/>
      <c r="C10275" s="32" t="s">
        <v>429</v>
      </c>
      <c r="D10275" s="1"/>
      <c r="F10275" s="1"/>
      <c r="G10275" s="1"/>
      <c r="H10275" s="68"/>
      <c r="I10275" s="76"/>
      <c r="K10275" s="9" t="s">
        <v>3621</v>
      </c>
      <c r="L10275" s="77"/>
      <c r="M10275" s="79"/>
      <c r="N10275" s="1"/>
      <c r="O10275" s="1"/>
      <c r="P10275" s="1"/>
      <c r="Q10275" s="1"/>
      <c r="R10275" s="1"/>
      <c r="S10275" s="1"/>
      <c r="T10275" s="1"/>
      <c r="U10275" s="1"/>
      <c r="V10275" s="1"/>
      <c r="W10275" s="1"/>
      <c r="X10275" s="1"/>
      <c r="Y10275" s="1"/>
      <c r="Z10275" s="1"/>
      <c r="AA10275" s="1"/>
      <c r="AB10275" s="1"/>
      <c r="AC10275" s="1"/>
      <c r="AD10275" s="1"/>
      <c r="AE10275" s="1"/>
      <c r="AF10275" s="1"/>
      <c r="AG10275" s="1"/>
      <c r="AH10275" s="1"/>
    </row>
    <row r="10276" ht="12.75" hidden="1" customHeight="1" outlineLevel="1">
      <c r="A10276" s="202">
        <f t="shared" si="573"/>
        <v>43273</v>
      </c>
      <c r="B10276" s="992"/>
      <c r="C10276" s="32" t="s">
        <v>431</v>
      </c>
      <c r="D10276" s="1"/>
      <c r="F10276" s="1"/>
      <c r="G10276" s="1"/>
      <c r="H10276" s="68"/>
      <c r="I10276" s="76"/>
      <c r="K10276" s="7" t="s">
        <v>1126</v>
      </c>
      <c r="L10276" s="77"/>
      <c r="M10276" s="79"/>
      <c r="N10276" s="1"/>
      <c r="O10276" s="1"/>
      <c r="P10276" s="1"/>
      <c r="Q10276" s="1"/>
      <c r="R10276" s="1"/>
      <c r="S10276" s="1"/>
      <c r="T10276" s="1"/>
      <c r="U10276" s="1"/>
      <c r="V10276" s="1"/>
      <c r="W10276" s="1"/>
      <c r="X10276" s="1"/>
      <c r="Y10276" s="1"/>
      <c r="Z10276" s="1"/>
      <c r="AA10276" s="1"/>
      <c r="AB10276" s="1"/>
      <c r="AC10276" s="1"/>
      <c r="AD10276" s="1"/>
      <c r="AE10276" s="1"/>
      <c r="AF10276" s="1"/>
      <c r="AG10276" s="1"/>
      <c r="AH10276" s="1"/>
    </row>
    <row r="10277" ht="12.75" hidden="1" customHeight="1" outlineLevel="1">
      <c r="A10277" s="202">
        <f t="shared" si="573"/>
        <v>43273</v>
      </c>
      <c r="B10277" s="992"/>
      <c r="C10277" s="32" t="s">
        <v>433</v>
      </c>
      <c r="D10277" s="1"/>
      <c r="F10277" s="1"/>
      <c r="G10277" s="1"/>
      <c r="H10277" s="68"/>
      <c r="I10277" s="76"/>
      <c r="K10277" s="7" t="s">
        <v>1103</v>
      </c>
      <c r="L10277" s="77"/>
      <c r="M10277" s="79"/>
      <c r="N10277" s="1"/>
      <c r="O10277" s="1"/>
      <c r="P10277" s="1"/>
      <c r="Q10277" s="1"/>
      <c r="R10277" s="1"/>
      <c r="S10277" s="1"/>
      <c r="T10277" s="1"/>
      <c r="U10277" s="1"/>
      <c r="V10277" s="1"/>
      <c r="W10277" s="1"/>
      <c r="X10277" s="1"/>
      <c r="Y10277" s="1"/>
      <c r="Z10277" s="1"/>
      <c r="AA10277" s="1"/>
      <c r="AB10277" s="1"/>
      <c r="AC10277" s="1"/>
      <c r="AD10277" s="1"/>
      <c r="AE10277" s="1"/>
      <c r="AF10277" s="1"/>
      <c r="AG10277" s="1"/>
      <c r="AH10277" s="1"/>
    </row>
    <row r="10278" ht="12.75" hidden="1" customHeight="1" outlineLevel="1">
      <c r="A10278" s="202">
        <f t="shared" si="573"/>
        <v>43273</v>
      </c>
      <c r="B10278" s="992"/>
      <c r="C10278" s="32" t="s">
        <v>435</v>
      </c>
      <c r="D10278" s="1"/>
      <c r="F10278" s="1"/>
      <c r="G10278" s="1"/>
      <c r="H10278" s="68"/>
      <c r="I10278" s="76"/>
      <c r="K10278" s="9" t="s">
        <v>3622</v>
      </c>
      <c r="L10278" s="77"/>
      <c r="M10278" s="79"/>
      <c r="N10278" s="1"/>
      <c r="O10278" s="1"/>
      <c r="P10278" s="1"/>
      <c r="Q10278" s="1"/>
      <c r="R10278" s="1"/>
      <c r="S10278" s="1"/>
      <c r="T10278" s="1"/>
      <c r="U10278" s="1"/>
      <c r="V10278" s="1"/>
      <c r="W10278" s="1"/>
      <c r="X10278" s="1"/>
      <c r="Y10278" s="1"/>
      <c r="Z10278" s="1"/>
      <c r="AA10278" s="1"/>
      <c r="AB10278" s="1"/>
      <c r="AC10278" s="1"/>
      <c r="AD10278" s="1"/>
      <c r="AE10278" s="1"/>
      <c r="AF10278" s="1"/>
      <c r="AG10278" s="1"/>
      <c r="AH10278" s="1"/>
    </row>
    <row r="10279" ht="12.75" hidden="1" customHeight="1" outlineLevel="1">
      <c r="A10279" s="1002">
        <v>43278.0</v>
      </c>
      <c r="B10279" s="992"/>
      <c r="C10279" s="32" t="s">
        <v>339</v>
      </c>
      <c r="D10279" s="1"/>
      <c r="F10279" s="1"/>
      <c r="G10279" s="1"/>
      <c r="H10279" s="68"/>
      <c r="I10279" s="76"/>
      <c r="K10279" s="201" t="s">
        <v>3625</v>
      </c>
      <c r="L10279" s="77"/>
      <c r="M10279" s="79"/>
      <c r="N10279" s="1"/>
      <c r="O10279" s="1"/>
      <c r="P10279" s="1"/>
      <c r="Q10279" s="1"/>
      <c r="R10279" s="1"/>
      <c r="S10279" s="1"/>
      <c r="T10279" s="1"/>
      <c r="U10279" s="1"/>
      <c r="V10279" s="1"/>
      <c r="W10279" s="1"/>
      <c r="X10279" s="1"/>
      <c r="Y10279" s="1"/>
      <c r="Z10279" s="1"/>
      <c r="AA10279" s="1"/>
      <c r="AB10279" s="1"/>
      <c r="AC10279" s="1"/>
      <c r="AD10279" s="1"/>
      <c r="AE10279" s="1"/>
      <c r="AF10279" s="1"/>
      <c r="AG10279" s="1"/>
      <c r="AH10279" s="1"/>
    </row>
    <row r="10280" ht="12.75" hidden="1" customHeight="1" outlineLevel="1">
      <c r="A10280" s="202">
        <v>43278.0</v>
      </c>
      <c r="B10280" s="992"/>
      <c r="C10280" s="32" t="s">
        <v>429</v>
      </c>
      <c r="D10280" s="1"/>
      <c r="F10280" s="1"/>
      <c r="G10280" s="1"/>
      <c r="H10280" s="68"/>
      <c r="I10280" s="76"/>
      <c r="K10280" s="9" t="s">
        <v>3621</v>
      </c>
      <c r="L10280" s="77"/>
      <c r="M10280" s="79"/>
      <c r="N10280" s="1"/>
      <c r="O10280" s="1"/>
      <c r="P10280" s="1"/>
      <c r="Q10280" s="1"/>
      <c r="R10280" s="1"/>
      <c r="S10280" s="1"/>
      <c r="T10280" s="1"/>
      <c r="U10280" s="1"/>
      <c r="V10280" s="1"/>
      <c r="W10280" s="1"/>
      <c r="X10280" s="1"/>
      <c r="Y10280" s="1"/>
      <c r="Z10280" s="1"/>
      <c r="AA10280" s="1"/>
      <c r="AB10280" s="1"/>
      <c r="AC10280" s="1"/>
      <c r="AD10280" s="1"/>
      <c r="AE10280" s="1"/>
      <c r="AF10280" s="1"/>
      <c r="AG10280" s="1"/>
      <c r="AH10280" s="1"/>
    </row>
    <row r="10281" ht="12.75" hidden="1" customHeight="1" outlineLevel="1">
      <c r="A10281" s="202">
        <v>43278.0</v>
      </c>
      <c r="B10281" s="992"/>
      <c r="C10281" s="32" t="s">
        <v>431</v>
      </c>
      <c r="D10281" s="1"/>
      <c r="F10281" s="1"/>
      <c r="G10281" s="1"/>
      <c r="H10281" s="68"/>
      <c r="I10281" s="76"/>
      <c r="K10281" s="7" t="s">
        <v>1126</v>
      </c>
      <c r="L10281" s="77"/>
      <c r="M10281" s="79"/>
      <c r="N10281" s="1"/>
      <c r="O10281" s="1"/>
      <c r="P10281" s="1"/>
      <c r="Q10281" s="1"/>
      <c r="R10281" s="1"/>
      <c r="S10281" s="1"/>
      <c r="T10281" s="1"/>
      <c r="U10281" s="1"/>
      <c r="V10281" s="1"/>
      <c r="W10281" s="1"/>
      <c r="X10281" s="1"/>
      <c r="Y10281" s="1"/>
      <c r="Z10281" s="1"/>
      <c r="AA10281" s="1"/>
      <c r="AB10281" s="1"/>
      <c r="AC10281" s="1"/>
      <c r="AD10281" s="1"/>
      <c r="AE10281" s="1"/>
      <c r="AF10281" s="1"/>
      <c r="AG10281" s="1"/>
      <c r="AH10281" s="1"/>
    </row>
    <row r="10282" ht="12.75" hidden="1" customHeight="1" outlineLevel="1">
      <c r="A10282" s="202">
        <v>43278.0</v>
      </c>
      <c r="B10282" s="992"/>
      <c r="C10282" s="32" t="s">
        <v>433</v>
      </c>
      <c r="D10282" s="1"/>
      <c r="F10282" s="1"/>
      <c r="G10282" s="1"/>
      <c r="H10282" s="68"/>
      <c r="I10282" s="76"/>
      <c r="K10282" s="7" t="s">
        <v>1103</v>
      </c>
      <c r="L10282" s="77"/>
      <c r="M10282" s="79"/>
      <c r="N10282" s="1"/>
      <c r="O10282" s="1"/>
      <c r="P10282" s="1"/>
      <c r="Q10282" s="1"/>
      <c r="R10282" s="1"/>
      <c r="S10282" s="1"/>
      <c r="T10282" s="1"/>
      <c r="U10282" s="1"/>
      <c r="V10282" s="1"/>
      <c r="W10282" s="1"/>
      <c r="X10282" s="1"/>
      <c r="Y10282" s="1"/>
      <c r="Z10282" s="1"/>
      <c r="AA10282" s="1"/>
      <c r="AB10282" s="1"/>
      <c r="AC10282" s="1"/>
      <c r="AD10282" s="1"/>
      <c r="AE10282" s="1"/>
      <c r="AF10282" s="1"/>
      <c r="AG10282" s="1"/>
      <c r="AH10282" s="1"/>
    </row>
    <row r="10283" ht="12.75" hidden="1" customHeight="1" outlineLevel="1">
      <c r="A10283" s="202">
        <v>43278.0</v>
      </c>
      <c r="B10283" s="992"/>
      <c r="C10283" s="32" t="s">
        <v>435</v>
      </c>
      <c r="D10283" s="1"/>
      <c r="F10283" s="1"/>
      <c r="G10283" s="1"/>
      <c r="H10283" s="68"/>
      <c r="I10283" s="76"/>
      <c r="K10283" s="9" t="s">
        <v>3622</v>
      </c>
      <c r="L10283" s="77"/>
      <c r="M10283" s="79"/>
      <c r="N10283" s="1"/>
      <c r="O10283" s="1"/>
      <c r="P10283" s="1"/>
      <c r="Q10283" s="1"/>
      <c r="R10283" s="1"/>
      <c r="S10283" s="1"/>
      <c r="T10283" s="1"/>
      <c r="U10283" s="1"/>
      <c r="V10283" s="1"/>
      <c r="W10283" s="1"/>
      <c r="X10283" s="1"/>
      <c r="Y10283" s="1"/>
      <c r="Z10283" s="1"/>
      <c r="AA10283" s="1"/>
      <c r="AB10283" s="1"/>
      <c r="AC10283" s="1"/>
      <c r="AD10283" s="1"/>
      <c r="AE10283" s="1"/>
      <c r="AF10283" s="1"/>
      <c r="AG10283" s="1"/>
      <c r="AH10283" s="1"/>
    </row>
    <row r="10284" ht="12.75" hidden="1" customHeight="1" outlineLevel="1">
      <c r="A10284" s="202">
        <v>43279.0</v>
      </c>
      <c r="B10284" s="985" t="s">
        <v>347</v>
      </c>
      <c r="C10284" s="94" t="s">
        <v>1411</v>
      </c>
      <c r="D10284" s="94">
        <v>50.0</v>
      </c>
      <c r="E10284" s="94">
        <v>125.15</v>
      </c>
      <c r="F10284" s="1003">
        <v>0.5412731481481482</v>
      </c>
      <c r="G10284" s="1004" t="s">
        <v>453</v>
      </c>
      <c r="H10284" s="987">
        <v>1.09</v>
      </c>
      <c r="I10284" s="988" t="s">
        <v>3145</v>
      </c>
      <c r="J10284" s="67">
        <f t="shared" ref="J10284:J10291" si="574">IF(B10284="SLD",D10284*E10284,-D10284*E10284)-H10284</f>
        <v>6256.41</v>
      </c>
      <c r="K10284" s="1"/>
      <c r="L10284" s="70"/>
      <c r="M10284" s="79"/>
      <c r="N10284" s="1"/>
      <c r="O10284" s="1"/>
      <c r="P10284" s="1"/>
      <c r="Q10284" s="1"/>
      <c r="R10284" s="1"/>
      <c r="S10284" s="1"/>
      <c r="T10284" s="1"/>
      <c r="U10284" s="1"/>
      <c r="V10284" s="1"/>
      <c r="W10284" s="1"/>
      <c r="X10284" s="1"/>
      <c r="Y10284" s="1"/>
      <c r="Z10284" s="1"/>
      <c r="AA10284" s="1"/>
      <c r="AB10284" s="1"/>
      <c r="AC10284" s="1"/>
      <c r="AD10284" s="1"/>
      <c r="AE10284" s="1"/>
      <c r="AF10284" s="1"/>
      <c r="AG10284" s="1"/>
      <c r="AH10284" s="1"/>
    </row>
    <row r="10285" ht="12.75" hidden="1" customHeight="1" outlineLevel="1">
      <c r="A10285" s="202">
        <v>43279.0</v>
      </c>
      <c r="B10285" s="985" t="s">
        <v>347</v>
      </c>
      <c r="C10285" s="94" t="s">
        <v>3136</v>
      </c>
      <c r="D10285" s="94">
        <v>300.0</v>
      </c>
      <c r="E10285" s="94">
        <v>42.3769</v>
      </c>
      <c r="F10285" s="1003">
        <v>0.5408101851851852</v>
      </c>
      <c r="G10285" s="1004" t="s">
        <v>453</v>
      </c>
      <c r="H10285" s="987">
        <v>1.7</v>
      </c>
      <c r="I10285" s="988" t="s">
        <v>3145</v>
      </c>
      <c r="J10285" s="67">
        <f t="shared" si="574"/>
        <v>12711.37</v>
      </c>
      <c r="K10285" s="1"/>
      <c r="L10285" s="70"/>
      <c r="M10285" s="79"/>
      <c r="N10285" s="1"/>
      <c r="O10285" s="1"/>
      <c r="P10285" s="1"/>
      <c r="Q10285" s="1"/>
      <c r="R10285" s="1"/>
      <c r="S10285" s="1"/>
      <c r="T10285" s="1"/>
      <c r="U10285" s="1"/>
      <c r="V10285" s="1"/>
      <c r="W10285" s="1"/>
      <c r="X10285" s="1"/>
      <c r="Y10285" s="1"/>
      <c r="Z10285" s="1"/>
      <c r="AA10285" s="1"/>
      <c r="AB10285" s="1"/>
      <c r="AC10285" s="1"/>
      <c r="AD10285" s="1"/>
      <c r="AE10285" s="1"/>
      <c r="AF10285" s="1"/>
      <c r="AG10285" s="1"/>
      <c r="AH10285" s="1"/>
    </row>
    <row r="10286" ht="12.75" hidden="1" customHeight="1" outlineLevel="1">
      <c r="A10286" s="202">
        <v>43279.0</v>
      </c>
      <c r="B10286" s="985" t="s">
        <v>347</v>
      </c>
      <c r="C10286" s="94" t="s">
        <v>3132</v>
      </c>
      <c r="D10286" s="94">
        <v>75.0</v>
      </c>
      <c r="E10286" s="94">
        <v>127.35</v>
      </c>
      <c r="F10286" s="1003">
        <v>0.5390046296296296</v>
      </c>
      <c r="G10286" s="1004" t="s">
        <v>453</v>
      </c>
      <c r="H10286" s="987">
        <v>1.13</v>
      </c>
      <c r="I10286" s="988" t="s">
        <v>3145</v>
      </c>
      <c r="J10286" s="67">
        <f t="shared" si="574"/>
        <v>9550.12</v>
      </c>
      <c r="K10286" s="1"/>
      <c r="L10286" s="70"/>
      <c r="M10286" s="79"/>
      <c r="N10286" s="1"/>
      <c r="O10286" s="1"/>
      <c r="P10286" s="1"/>
      <c r="Q10286" s="1"/>
      <c r="R10286" s="1"/>
      <c r="S10286" s="1"/>
      <c r="T10286" s="1"/>
      <c r="U10286" s="1"/>
      <c r="V10286" s="1"/>
      <c r="W10286" s="1"/>
      <c r="X10286" s="1"/>
      <c r="Y10286" s="1"/>
      <c r="Z10286" s="1"/>
      <c r="AA10286" s="1"/>
      <c r="AB10286" s="1"/>
      <c r="AC10286" s="1"/>
      <c r="AD10286" s="1"/>
      <c r="AE10286" s="1"/>
      <c r="AF10286" s="1"/>
      <c r="AG10286" s="1"/>
      <c r="AH10286" s="1"/>
    </row>
    <row r="10287" ht="12.75" hidden="1" customHeight="1" outlineLevel="1">
      <c r="A10287" s="202">
        <v>43279.0</v>
      </c>
      <c r="B10287" s="985" t="s">
        <v>347</v>
      </c>
      <c r="C10287" s="94" t="s">
        <v>1995</v>
      </c>
      <c r="D10287" s="94">
        <v>250.0</v>
      </c>
      <c r="E10287" s="94">
        <v>61.35</v>
      </c>
      <c r="F10287" s="1003">
        <v>0.538587962962963</v>
      </c>
      <c r="G10287" s="1004" t="s">
        <v>453</v>
      </c>
      <c r="H10287" s="987">
        <v>1.48</v>
      </c>
      <c r="I10287" s="988" t="s">
        <v>3145</v>
      </c>
      <c r="J10287" s="67">
        <f t="shared" si="574"/>
        <v>15336.02</v>
      </c>
      <c r="K10287" s="1"/>
      <c r="L10287" s="70"/>
      <c r="M10287" s="79"/>
      <c r="N10287" s="1"/>
      <c r="O10287" s="1"/>
      <c r="P10287" s="1"/>
      <c r="Q10287" s="1"/>
      <c r="R10287" s="1"/>
      <c r="S10287" s="1"/>
      <c r="T10287" s="1"/>
      <c r="U10287" s="1"/>
      <c r="V10287" s="1"/>
      <c r="W10287" s="1"/>
      <c r="X10287" s="1"/>
      <c r="Y10287" s="1"/>
      <c r="Z10287" s="1"/>
      <c r="AA10287" s="1"/>
      <c r="AB10287" s="1"/>
      <c r="AC10287" s="1"/>
      <c r="AD10287" s="1"/>
      <c r="AE10287" s="1"/>
      <c r="AF10287" s="1"/>
      <c r="AG10287" s="1"/>
      <c r="AH10287" s="1"/>
    </row>
    <row r="10288" ht="12.75" hidden="1" customHeight="1" outlineLevel="1">
      <c r="A10288" s="202">
        <v>43279.0</v>
      </c>
      <c r="B10288" s="985" t="s">
        <v>347</v>
      </c>
      <c r="C10288" s="94" t="s">
        <v>1377</v>
      </c>
      <c r="D10288" s="94">
        <v>75.0</v>
      </c>
      <c r="E10288" s="94">
        <v>98.59</v>
      </c>
      <c r="F10288" s="1003">
        <v>0.5380555555555555</v>
      </c>
      <c r="G10288" s="1004" t="s">
        <v>453</v>
      </c>
      <c r="H10288" s="987">
        <v>1.11</v>
      </c>
      <c r="I10288" s="988" t="s">
        <v>3145</v>
      </c>
      <c r="J10288" s="67">
        <f t="shared" si="574"/>
        <v>7393.14</v>
      </c>
      <c r="K10288" s="1"/>
      <c r="L10288" s="70"/>
      <c r="M10288" s="79"/>
      <c r="N10288" s="1"/>
      <c r="O10288" s="1"/>
      <c r="P10288" s="1"/>
      <c r="Q10288" s="1"/>
      <c r="R10288" s="1"/>
      <c r="S10288" s="1"/>
      <c r="T10288" s="1"/>
      <c r="U10288" s="1"/>
      <c r="V10288" s="1"/>
      <c r="W10288" s="1"/>
      <c r="X10288" s="1"/>
      <c r="Y10288" s="1"/>
      <c r="Z10288" s="1"/>
      <c r="AA10288" s="1"/>
      <c r="AB10288" s="1"/>
      <c r="AC10288" s="1"/>
      <c r="AD10288" s="1"/>
      <c r="AE10288" s="1"/>
      <c r="AF10288" s="1"/>
      <c r="AG10288" s="1"/>
      <c r="AH10288" s="1"/>
    </row>
    <row r="10289" ht="12.75" hidden="1" customHeight="1" outlineLevel="1">
      <c r="A10289" s="202">
        <v>43279.0</v>
      </c>
      <c r="B10289" s="985" t="s">
        <v>347</v>
      </c>
      <c r="C10289" s="94" t="s">
        <v>1221</v>
      </c>
      <c r="D10289" s="94">
        <v>75.0</v>
      </c>
      <c r="E10289" s="94">
        <v>58.7731</v>
      </c>
      <c r="F10289" s="1003">
        <v>0.5374189814814815</v>
      </c>
      <c r="G10289" s="1004" t="s">
        <v>453</v>
      </c>
      <c r="H10289" s="987">
        <v>1.07</v>
      </c>
      <c r="I10289" s="988" t="s">
        <v>3145</v>
      </c>
      <c r="J10289" s="67">
        <f t="shared" si="574"/>
        <v>4406.9125</v>
      </c>
      <c r="K10289" s="1"/>
      <c r="L10289" s="70"/>
      <c r="M10289" s="79"/>
      <c r="N10289" s="1"/>
      <c r="O10289" s="1"/>
      <c r="P10289" s="1"/>
      <c r="Q10289" s="1"/>
      <c r="R10289" s="1"/>
      <c r="S10289" s="1"/>
      <c r="T10289" s="1"/>
      <c r="U10289" s="1"/>
      <c r="V10289" s="1"/>
      <c r="W10289" s="1"/>
      <c r="X10289" s="1"/>
      <c r="Y10289" s="1"/>
      <c r="Z10289" s="1"/>
      <c r="AA10289" s="1"/>
      <c r="AB10289" s="1"/>
      <c r="AC10289" s="1"/>
      <c r="AD10289" s="1"/>
      <c r="AE10289" s="1"/>
      <c r="AF10289" s="1"/>
      <c r="AG10289" s="1"/>
      <c r="AH10289" s="1"/>
    </row>
    <row r="10290" ht="12.75" hidden="1" customHeight="1" outlineLevel="1">
      <c r="A10290" s="202">
        <v>43279.0</v>
      </c>
      <c r="B10290" s="985" t="s">
        <v>347</v>
      </c>
      <c r="C10290" s="94" t="s">
        <v>1141</v>
      </c>
      <c r="D10290" s="94">
        <v>50.0</v>
      </c>
      <c r="E10290" s="94">
        <v>105.82</v>
      </c>
      <c r="F10290" s="1003">
        <v>0.5354282407407407</v>
      </c>
      <c r="G10290" s="1004" t="s">
        <v>453</v>
      </c>
      <c r="H10290" s="987">
        <v>1.07</v>
      </c>
      <c r="I10290" s="988" t="s">
        <v>3145</v>
      </c>
      <c r="J10290" s="67">
        <f t="shared" si="574"/>
        <v>5289.93</v>
      </c>
      <c r="K10290" s="1"/>
      <c r="L10290" s="70"/>
      <c r="M10290" s="79"/>
      <c r="N10290" s="1"/>
      <c r="O10290" s="1"/>
      <c r="P10290" s="1"/>
      <c r="Q10290" s="1"/>
      <c r="R10290" s="1"/>
      <c r="S10290" s="1"/>
      <c r="T10290" s="1"/>
      <c r="U10290" s="1"/>
      <c r="V10290" s="1"/>
      <c r="W10290" s="1"/>
      <c r="X10290" s="1"/>
      <c r="Y10290" s="1"/>
      <c r="Z10290" s="1"/>
      <c r="AA10290" s="1"/>
      <c r="AB10290" s="1"/>
      <c r="AC10290" s="1"/>
      <c r="AD10290" s="1"/>
      <c r="AE10290" s="1"/>
      <c r="AF10290" s="1"/>
      <c r="AG10290" s="1"/>
      <c r="AH10290" s="1"/>
    </row>
    <row r="10291" ht="12.75" hidden="1" customHeight="1" outlineLevel="1">
      <c r="A10291" s="202">
        <v>43279.0</v>
      </c>
      <c r="B10291" s="985" t="s">
        <v>343</v>
      </c>
      <c r="C10291" s="94" t="s">
        <v>1114</v>
      </c>
      <c r="D10291" s="94">
        <v>150.0</v>
      </c>
      <c r="E10291" s="94">
        <v>50.63</v>
      </c>
      <c r="F10291" s="998">
        <v>43273.41447916667</v>
      </c>
      <c r="G10291" s="1004" t="s">
        <v>453</v>
      </c>
      <c r="H10291" s="987">
        <v>1.0</v>
      </c>
      <c r="I10291" s="988" t="s">
        <v>3145</v>
      </c>
      <c r="J10291" s="67">
        <f t="shared" si="574"/>
        <v>-7595.5</v>
      </c>
      <c r="K10291" s="1"/>
      <c r="L10291" s="70"/>
      <c r="M10291" s="79"/>
      <c r="N10291" s="1"/>
      <c r="O10291" s="1"/>
      <c r="P10291" s="1"/>
      <c r="Q10291" s="1"/>
      <c r="R10291" s="1"/>
      <c r="S10291" s="1"/>
      <c r="T10291" s="1"/>
      <c r="U10291" s="1"/>
      <c r="V10291" s="1"/>
      <c r="W10291" s="1"/>
      <c r="X10291" s="1"/>
      <c r="Y10291" s="1"/>
      <c r="Z10291" s="1"/>
      <c r="AA10291" s="1"/>
      <c r="AB10291" s="1"/>
      <c r="AC10291" s="1"/>
      <c r="AD10291" s="1"/>
      <c r="AE10291" s="1"/>
      <c r="AF10291" s="1"/>
      <c r="AG10291" s="1"/>
      <c r="AH10291" s="1"/>
    </row>
    <row r="10292" ht="12.75" hidden="1" customHeight="1" outlineLevel="1">
      <c r="A10292" s="1002">
        <v>43279.0</v>
      </c>
      <c r="B10292" s="992"/>
      <c r="C10292" s="32" t="s">
        <v>339</v>
      </c>
      <c r="D10292" s="1"/>
      <c r="F10292" s="1"/>
      <c r="G10292" s="1"/>
      <c r="H10292" s="68"/>
      <c r="I10292" s="76"/>
      <c r="K10292" s="201" t="s">
        <v>3626</v>
      </c>
      <c r="L10292" s="77"/>
      <c r="M10292" s="79"/>
      <c r="N10292" s="1"/>
      <c r="O10292" s="1"/>
      <c r="P10292" s="1"/>
      <c r="Q10292" s="1"/>
      <c r="R10292" s="1"/>
      <c r="S10292" s="1"/>
      <c r="T10292" s="1"/>
      <c r="U10292" s="1"/>
      <c r="V10292" s="1"/>
      <c r="W10292" s="1"/>
      <c r="X10292" s="1"/>
      <c r="Y10292" s="1"/>
      <c r="Z10292" s="1"/>
      <c r="AA10292" s="1"/>
      <c r="AB10292" s="1"/>
      <c r="AC10292" s="1"/>
      <c r="AD10292" s="1"/>
      <c r="AE10292" s="1"/>
      <c r="AF10292" s="1"/>
      <c r="AG10292" s="1"/>
      <c r="AH10292" s="1"/>
    </row>
    <row r="10293" ht="12.75" hidden="1" customHeight="1" outlineLevel="1">
      <c r="A10293" s="1002">
        <v>43279.0</v>
      </c>
      <c r="B10293" s="992"/>
      <c r="C10293" s="32" t="s">
        <v>429</v>
      </c>
      <c r="D10293" s="1"/>
      <c r="F10293" s="1"/>
      <c r="G10293" s="1"/>
      <c r="H10293" s="68"/>
      <c r="I10293" s="76"/>
      <c r="K10293" s="9" t="s">
        <v>3621</v>
      </c>
      <c r="L10293" s="77"/>
      <c r="M10293" s="79"/>
      <c r="N10293" s="1"/>
      <c r="O10293" s="1"/>
      <c r="P10293" s="1"/>
      <c r="Q10293" s="1"/>
      <c r="R10293" s="1"/>
      <c r="S10293" s="1"/>
      <c r="T10293" s="1"/>
      <c r="U10293" s="1"/>
      <c r="V10293" s="1"/>
      <c r="W10293" s="1"/>
      <c r="X10293" s="1"/>
      <c r="Y10293" s="1"/>
      <c r="Z10293" s="1"/>
      <c r="AA10293" s="1"/>
      <c r="AB10293" s="1"/>
      <c r="AC10293" s="1"/>
      <c r="AD10293" s="1"/>
      <c r="AE10293" s="1"/>
      <c r="AF10293" s="1"/>
      <c r="AG10293" s="1"/>
      <c r="AH10293" s="1"/>
    </row>
    <row r="10294" ht="12.75" hidden="1" customHeight="1" outlineLevel="1">
      <c r="A10294" s="1002">
        <v>43279.0</v>
      </c>
      <c r="B10294" s="992"/>
      <c r="C10294" s="32" t="s">
        <v>431</v>
      </c>
      <c r="D10294" s="1"/>
      <c r="F10294" s="1"/>
      <c r="G10294" s="1"/>
      <c r="H10294" s="68"/>
      <c r="I10294" s="76"/>
      <c r="K10294" s="7" t="s">
        <v>1126</v>
      </c>
      <c r="L10294" s="77"/>
      <c r="M10294" s="79"/>
      <c r="N10294" s="1"/>
      <c r="O10294" s="1"/>
      <c r="P10294" s="1"/>
      <c r="Q10294" s="1"/>
      <c r="R10294" s="1"/>
      <c r="S10294" s="1"/>
      <c r="T10294" s="1"/>
      <c r="U10294" s="1"/>
      <c r="V10294" s="1"/>
      <c r="W10294" s="1"/>
      <c r="X10294" s="1"/>
      <c r="Y10294" s="1"/>
      <c r="Z10294" s="1"/>
      <c r="AA10294" s="1"/>
      <c r="AB10294" s="1"/>
      <c r="AC10294" s="1"/>
      <c r="AD10294" s="1"/>
      <c r="AE10294" s="1"/>
      <c r="AF10294" s="1"/>
      <c r="AG10294" s="1"/>
      <c r="AH10294" s="1"/>
    </row>
    <row r="10295" ht="12.75" hidden="1" customHeight="1" outlineLevel="1">
      <c r="A10295" s="1002">
        <v>43279.0</v>
      </c>
      <c r="B10295" s="992"/>
      <c r="C10295" s="32" t="s">
        <v>433</v>
      </c>
      <c r="D10295" s="1"/>
      <c r="F10295" s="1"/>
      <c r="G10295" s="1"/>
      <c r="H10295" s="68"/>
      <c r="I10295" s="76"/>
      <c r="K10295" s="7" t="s">
        <v>1103</v>
      </c>
      <c r="L10295" s="77"/>
      <c r="M10295" s="79"/>
      <c r="N10295" s="1"/>
      <c r="O10295" s="1"/>
      <c r="P10295" s="1"/>
      <c r="Q10295" s="1"/>
      <c r="R10295" s="1"/>
      <c r="S10295" s="1"/>
      <c r="T10295" s="1"/>
      <c r="U10295" s="1"/>
      <c r="V10295" s="1"/>
      <c r="W10295" s="1"/>
      <c r="X10295" s="1"/>
      <c r="Y10295" s="1"/>
      <c r="Z10295" s="1"/>
      <c r="AA10295" s="1"/>
      <c r="AB10295" s="1"/>
      <c r="AC10295" s="1"/>
      <c r="AD10295" s="1"/>
      <c r="AE10295" s="1"/>
      <c r="AF10295" s="1"/>
      <c r="AG10295" s="1"/>
      <c r="AH10295" s="1"/>
    </row>
    <row r="10296" ht="12.75" hidden="1" customHeight="1" outlineLevel="1">
      <c r="A10296" s="1002">
        <v>43279.0</v>
      </c>
      <c r="B10296" s="992"/>
      <c r="C10296" s="32" t="s">
        <v>435</v>
      </c>
      <c r="D10296" s="1"/>
      <c r="F10296" s="1"/>
      <c r="G10296" s="1"/>
      <c r="H10296" s="68"/>
      <c r="I10296" s="76"/>
      <c r="K10296" s="9" t="s">
        <v>3622</v>
      </c>
      <c r="L10296" s="77"/>
      <c r="M10296" s="79"/>
      <c r="N10296" s="1"/>
      <c r="O10296" s="1"/>
      <c r="P10296" s="1"/>
      <c r="Q10296" s="1"/>
      <c r="R10296" s="1"/>
      <c r="S10296" s="1"/>
      <c r="T10296" s="1"/>
      <c r="U10296" s="1"/>
      <c r="V10296" s="1"/>
      <c r="W10296" s="1"/>
      <c r="X10296" s="1"/>
      <c r="Y10296" s="1"/>
      <c r="Z10296" s="1"/>
      <c r="AA10296" s="1"/>
      <c r="AB10296" s="1"/>
      <c r="AC10296" s="1"/>
      <c r="AD10296" s="1"/>
      <c r="AE10296" s="1"/>
      <c r="AF10296" s="1"/>
      <c r="AG10296" s="1"/>
      <c r="AH10296" s="1"/>
    </row>
    <row r="10297" ht="12.75" hidden="1" customHeight="1" outlineLevel="1">
      <c r="A10297" s="202">
        <v>43280.0</v>
      </c>
      <c r="B10297" s="985" t="s">
        <v>343</v>
      </c>
      <c r="C10297" s="94" t="s">
        <v>1114</v>
      </c>
      <c r="D10297" s="94">
        <v>150.0</v>
      </c>
      <c r="E10297" s="94">
        <v>50.275</v>
      </c>
      <c r="F10297" s="998">
        <v>43280.43146990741</v>
      </c>
      <c r="G10297" s="1004" t="s">
        <v>453</v>
      </c>
      <c r="H10297" s="987">
        <v>1.0</v>
      </c>
      <c r="I10297" s="988" t="s">
        <v>3145</v>
      </c>
      <c r="J10297" s="67">
        <f>IF(B10297="SLD",D10297*E10297,-D10297*E10297)-H10297</f>
        <v>-7542.25</v>
      </c>
      <c r="K10297" s="1"/>
      <c r="L10297" s="70"/>
      <c r="M10297" s="79"/>
      <c r="N10297" s="1"/>
      <c r="O10297" s="1"/>
      <c r="P10297" s="1"/>
      <c r="Q10297" s="1"/>
      <c r="R10297" s="1"/>
      <c r="S10297" s="1"/>
      <c r="T10297" s="1"/>
      <c r="U10297" s="1"/>
      <c r="V10297" s="1"/>
      <c r="W10297" s="1"/>
      <c r="X10297" s="1"/>
      <c r="Y10297" s="1"/>
      <c r="Z10297" s="1"/>
      <c r="AA10297" s="1"/>
      <c r="AB10297" s="1"/>
      <c r="AC10297" s="1"/>
      <c r="AD10297" s="1"/>
      <c r="AE10297" s="1"/>
      <c r="AF10297" s="1"/>
      <c r="AG10297" s="1"/>
      <c r="AH10297" s="1"/>
    </row>
    <row r="10298" ht="12.75" hidden="1" customHeight="1" outlineLevel="1">
      <c r="A10298" s="1002">
        <v>43281.0</v>
      </c>
      <c r="B10298" s="992"/>
      <c r="C10298" s="32" t="s">
        <v>339</v>
      </c>
      <c r="D10298" s="1"/>
      <c r="F10298" s="1"/>
      <c r="G10298" s="1"/>
      <c r="H10298" s="68"/>
      <c r="I10298" s="76"/>
      <c r="K10298" s="201" t="s">
        <v>3626</v>
      </c>
      <c r="L10298" s="77"/>
      <c r="M10298" s="79"/>
      <c r="N10298" s="1"/>
      <c r="O10298" s="1"/>
      <c r="P10298" s="1"/>
      <c r="Q10298" s="1"/>
      <c r="R10298" s="1"/>
      <c r="S10298" s="1"/>
      <c r="T10298" s="1"/>
      <c r="U10298" s="1"/>
      <c r="V10298" s="1"/>
      <c r="W10298" s="1"/>
      <c r="X10298" s="1"/>
      <c r="Y10298" s="1"/>
      <c r="Z10298" s="1"/>
      <c r="AA10298" s="1"/>
      <c r="AB10298" s="1"/>
      <c r="AC10298" s="1"/>
      <c r="AD10298" s="1"/>
      <c r="AE10298" s="1"/>
      <c r="AF10298" s="1"/>
      <c r="AG10298" s="1"/>
      <c r="AH10298" s="1"/>
    </row>
    <row r="10299" ht="12.75" hidden="1" customHeight="1" outlineLevel="1">
      <c r="A10299" s="1002">
        <v>43281.0</v>
      </c>
      <c r="B10299" s="992"/>
      <c r="C10299" s="32" t="s">
        <v>429</v>
      </c>
      <c r="D10299" s="1"/>
      <c r="F10299" s="1"/>
      <c r="G10299" s="1"/>
      <c r="H10299" s="68"/>
      <c r="I10299" s="76"/>
      <c r="K10299" s="9" t="s">
        <v>3621</v>
      </c>
      <c r="L10299" s="77"/>
      <c r="M10299" s="79"/>
      <c r="N10299" s="1"/>
      <c r="O10299" s="1"/>
      <c r="P10299" s="1"/>
      <c r="Q10299" s="1"/>
      <c r="R10299" s="1"/>
      <c r="S10299" s="1"/>
      <c r="T10299" s="1"/>
      <c r="U10299" s="1"/>
      <c r="V10299" s="1"/>
      <c r="W10299" s="1"/>
      <c r="X10299" s="1"/>
      <c r="Y10299" s="1"/>
      <c r="Z10299" s="1"/>
      <c r="AA10299" s="1"/>
      <c r="AB10299" s="1"/>
      <c r="AC10299" s="1"/>
      <c r="AD10299" s="1"/>
      <c r="AE10299" s="1"/>
      <c r="AF10299" s="1"/>
      <c r="AG10299" s="1"/>
      <c r="AH10299" s="1"/>
    </row>
    <row r="10300" ht="12.75" hidden="1" customHeight="1" outlineLevel="1">
      <c r="A10300" s="1002">
        <v>43281.0</v>
      </c>
      <c r="B10300" s="992"/>
      <c r="C10300" s="32" t="s">
        <v>431</v>
      </c>
      <c r="D10300" s="1"/>
      <c r="F10300" s="1"/>
      <c r="G10300" s="1"/>
      <c r="H10300" s="68"/>
      <c r="I10300" s="76"/>
      <c r="K10300" s="7" t="s">
        <v>1126</v>
      </c>
      <c r="L10300" s="77"/>
      <c r="M10300" s="79"/>
      <c r="N10300" s="1"/>
      <c r="O10300" s="1"/>
      <c r="P10300" s="1"/>
      <c r="Q10300" s="1"/>
      <c r="R10300" s="1"/>
      <c r="S10300" s="1"/>
      <c r="T10300" s="1"/>
      <c r="U10300" s="1"/>
      <c r="V10300" s="1"/>
      <c r="W10300" s="1"/>
      <c r="X10300" s="1"/>
      <c r="Y10300" s="1"/>
      <c r="Z10300" s="1"/>
      <c r="AA10300" s="1"/>
      <c r="AB10300" s="1"/>
      <c r="AC10300" s="1"/>
      <c r="AD10300" s="1"/>
      <c r="AE10300" s="1"/>
      <c r="AF10300" s="1"/>
      <c r="AG10300" s="1"/>
      <c r="AH10300" s="1"/>
    </row>
    <row r="10301" ht="12.75" hidden="1" customHeight="1" outlineLevel="1">
      <c r="A10301" s="1002">
        <v>43281.0</v>
      </c>
      <c r="B10301" s="992"/>
      <c r="C10301" s="32" t="s">
        <v>433</v>
      </c>
      <c r="D10301" s="1"/>
      <c r="F10301" s="1"/>
      <c r="G10301" s="1"/>
      <c r="H10301" s="68"/>
      <c r="I10301" s="76"/>
      <c r="K10301" s="7" t="s">
        <v>1103</v>
      </c>
      <c r="L10301" s="77"/>
      <c r="M10301" s="79"/>
      <c r="N10301" s="1"/>
      <c r="O10301" s="1"/>
      <c r="P10301" s="1"/>
      <c r="Q10301" s="1"/>
      <c r="R10301" s="1"/>
      <c r="S10301" s="1"/>
      <c r="T10301" s="1"/>
      <c r="U10301" s="1"/>
      <c r="V10301" s="1"/>
      <c r="W10301" s="1"/>
      <c r="X10301" s="1"/>
      <c r="Y10301" s="1"/>
      <c r="Z10301" s="1"/>
      <c r="AA10301" s="1"/>
      <c r="AB10301" s="1"/>
      <c r="AC10301" s="1"/>
      <c r="AD10301" s="1"/>
      <c r="AE10301" s="1"/>
      <c r="AF10301" s="1"/>
      <c r="AG10301" s="1"/>
      <c r="AH10301" s="1"/>
    </row>
    <row r="10302" ht="12.75" hidden="1" customHeight="1" outlineLevel="1">
      <c r="A10302" s="1002">
        <v>43281.0</v>
      </c>
      <c r="B10302" s="992"/>
      <c r="C10302" s="32" t="s">
        <v>435</v>
      </c>
      <c r="D10302" s="1"/>
      <c r="F10302" s="1"/>
      <c r="G10302" s="1"/>
      <c r="H10302" s="68"/>
      <c r="I10302" s="76"/>
      <c r="K10302" s="9" t="s">
        <v>3622</v>
      </c>
      <c r="L10302" s="77"/>
      <c r="M10302" s="79"/>
      <c r="N10302" s="1"/>
      <c r="O10302" s="1"/>
      <c r="P10302" s="1"/>
      <c r="Q10302" s="1"/>
      <c r="R10302" s="1"/>
      <c r="S10302" s="1"/>
      <c r="T10302" s="1"/>
      <c r="U10302" s="1"/>
      <c r="V10302" s="1"/>
      <c r="W10302" s="1"/>
      <c r="X10302" s="1"/>
      <c r="Y10302" s="1"/>
      <c r="Z10302" s="1"/>
      <c r="AA10302" s="1"/>
      <c r="AB10302" s="1"/>
      <c r="AC10302" s="1"/>
      <c r="AD10302" s="1"/>
      <c r="AE10302" s="1"/>
      <c r="AF10302" s="1"/>
      <c r="AG10302" s="1"/>
      <c r="AH10302" s="1"/>
    </row>
    <row r="10303" ht="12.75" hidden="1" customHeight="1" outlineLevel="1">
      <c r="A10303" s="1002">
        <v>43287.0</v>
      </c>
      <c r="B10303" s="992"/>
      <c r="C10303" s="32" t="s">
        <v>339</v>
      </c>
      <c r="D10303" s="1"/>
      <c r="F10303" s="1"/>
      <c r="G10303" s="1"/>
      <c r="H10303" s="68"/>
      <c r="I10303" s="76"/>
      <c r="K10303" s="201" t="s">
        <v>3627</v>
      </c>
      <c r="L10303" s="77"/>
      <c r="M10303" s="79"/>
      <c r="N10303" s="1"/>
      <c r="O10303" s="1"/>
      <c r="P10303" s="1"/>
      <c r="Q10303" s="1"/>
      <c r="R10303" s="1"/>
      <c r="S10303" s="1"/>
      <c r="T10303" s="1"/>
      <c r="U10303" s="1"/>
      <c r="V10303" s="1"/>
      <c r="W10303" s="1"/>
      <c r="X10303" s="1"/>
      <c r="Y10303" s="1"/>
      <c r="Z10303" s="1"/>
      <c r="AA10303" s="1"/>
      <c r="AB10303" s="1"/>
      <c r="AC10303" s="1"/>
      <c r="AD10303" s="1"/>
      <c r="AE10303" s="1"/>
      <c r="AF10303" s="1"/>
      <c r="AG10303" s="1"/>
      <c r="AH10303" s="1"/>
    </row>
    <row r="10304" ht="12.75" hidden="1" customHeight="1" outlineLevel="1">
      <c r="A10304" s="1002">
        <v>43287.0</v>
      </c>
      <c r="B10304" s="992"/>
      <c r="C10304" s="32" t="s">
        <v>429</v>
      </c>
      <c r="D10304" s="1"/>
      <c r="F10304" s="1"/>
      <c r="G10304" s="1"/>
      <c r="H10304" s="68"/>
      <c r="I10304" s="76"/>
      <c r="K10304" s="9" t="s">
        <v>3621</v>
      </c>
      <c r="L10304" s="77"/>
      <c r="M10304" s="79"/>
      <c r="N10304" s="1"/>
      <c r="O10304" s="1"/>
      <c r="P10304" s="1"/>
      <c r="Q10304" s="1"/>
      <c r="R10304" s="1"/>
      <c r="S10304" s="1"/>
      <c r="T10304" s="1"/>
      <c r="U10304" s="1"/>
      <c r="V10304" s="1"/>
      <c r="W10304" s="1"/>
      <c r="X10304" s="1"/>
      <c r="Y10304" s="1"/>
      <c r="Z10304" s="1"/>
      <c r="AA10304" s="1"/>
      <c r="AB10304" s="1"/>
      <c r="AC10304" s="1"/>
      <c r="AD10304" s="1"/>
      <c r="AE10304" s="1"/>
      <c r="AF10304" s="1"/>
      <c r="AG10304" s="1"/>
      <c r="AH10304" s="1"/>
    </row>
    <row r="10305" ht="12.75" hidden="1" customHeight="1" outlineLevel="1">
      <c r="A10305" s="1002">
        <v>43287.0</v>
      </c>
      <c r="B10305" s="992"/>
      <c r="C10305" s="32" t="s">
        <v>431</v>
      </c>
      <c r="D10305" s="1"/>
      <c r="F10305" s="1"/>
      <c r="G10305" s="1"/>
      <c r="H10305" s="68"/>
      <c r="I10305" s="76"/>
      <c r="K10305" s="7" t="s">
        <v>1126</v>
      </c>
      <c r="L10305" s="77"/>
      <c r="M10305" s="79"/>
      <c r="N10305" s="1"/>
      <c r="O10305" s="1"/>
      <c r="P10305" s="1"/>
      <c r="Q10305" s="1"/>
      <c r="R10305" s="1"/>
      <c r="S10305" s="1"/>
      <c r="T10305" s="1"/>
      <c r="U10305" s="1"/>
      <c r="V10305" s="1"/>
      <c r="W10305" s="1"/>
      <c r="X10305" s="1"/>
      <c r="Y10305" s="1"/>
      <c r="Z10305" s="1"/>
      <c r="AA10305" s="1"/>
      <c r="AB10305" s="1"/>
      <c r="AC10305" s="1"/>
      <c r="AD10305" s="1"/>
      <c r="AE10305" s="1"/>
      <c r="AF10305" s="1"/>
      <c r="AG10305" s="1"/>
      <c r="AH10305" s="1"/>
    </row>
    <row r="10306" ht="12.75" hidden="1" customHeight="1" outlineLevel="1">
      <c r="A10306" s="1002">
        <v>43287.0</v>
      </c>
      <c r="B10306" s="992"/>
      <c r="C10306" s="32" t="s">
        <v>433</v>
      </c>
      <c r="D10306" s="1"/>
      <c r="F10306" s="1"/>
      <c r="G10306" s="1"/>
      <c r="H10306" s="68"/>
      <c r="I10306" s="76"/>
      <c r="K10306" s="7" t="s">
        <v>1103</v>
      </c>
      <c r="L10306" s="77"/>
      <c r="M10306" s="79"/>
      <c r="N10306" s="1"/>
      <c r="O10306" s="1"/>
      <c r="P10306" s="1"/>
      <c r="Q10306" s="1"/>
      <c r="R10306" s="1"/>
      <c r="S10306" s="1"/>
      <c r="T10306" s="1"/>
      <c r="U10306" s="1"/>
      <c r="V10306" s="1"/>
      <c r="W10306" s="1"/>
      <c r="X10306" s="1"/>
      <c r="Y10306" s="1"/>
      <c r="Z10306" s="1"/>
      <c r="AA10306" s="1"/>
      <c r="AB10306" s="1"/>
      <c r="AC10306" s="1"/>
      <c r="AD10306" s="1"/>
      <c r="AE10306" s="1"/>
      <c r="AF10306" s="1"/>
      <c r="AG10306" s="1"/>
      <c r="AH10306" s="1"/>
    </row>
    <row r="10307" ht="12.75" hidden="1" customHeight="1" outlineLevel="1">
      <c r="A10307" s="1002">
        <v>43287.0</v>
      </c>
      <c r="B10307" s="992"/>
      <c r="C10307" s="32" t="s">
        <v>435</v>
      </c>
      <c r="D10307" s="1"/>
      <c r="F10307" s="1"/>
      <c r="G10307" s="1"/>
      <c r="H10307" s="68"/>
      <c r="I10307" s="76"/>
      <c r="K10307" s="9" t="s">
        <v>3622</v>
      </c>
      <c r="L10307" s="77"/>
      <c r="M10307" s="79"/>
      <c r="N10307" s="1"/>
      <c r="O10307" s="1"/>
      <c r="P10307" s="1"/>
      <c r="Q10307" s="1"/>
      <c r="R10307" s="1"/>
      <c r="S10307" s="1"/>
      <c r="T10307" s="1"/>
      <c r="U10307" s="1"/>
      <c r="V10307" s="1"/>
      <c r="W10307" s="1"/>
      <c r="X10307" s="1"/>
      <c r="Y10307" s="1"/>
      <c r="Z10307" s="1"/>
      <c r="AA10307" s="1"/>
      <c r="AB10307" s="1"/>
      <c r="AC10307" s="1"/>
      <c r="AD10307" s="1"/>
      <c r="AE10307" s="1"/>
      <c r="AF10307" s="1"/>
      <c r="AG10307" s="1"/>
      <c r="AH10307" s="1"/>
    </row>
    <row r="10308" ht="12.75" hidden="1" customHeight="1" outlineLevel="1">
      <c r="A10308" s="1002">
        <v>43288.0</v>
      </c>
      <c r="B10308" s="992"/>
      <c r="C10308" s="32" t="s">
        <v>339</v>
      </c>
      <c r="D10308" s="1"/>
      <c r="F10308" s="1"/>
      <c r="G10308" s="1"/>
      <c r="H10308" s="68"/>
      <c r="I10308" s="76"/>
      <c r="K10308" s="201" t="s">
        <v>3628</v>
      </c>
      <c r="L10308" s="77"/>
      <c r="M10308" s="79"/>
      <c r="N10308" s="1"/>
      <c r="O10308" s="1"/>
      <c r="P10308" s="1"/>
      <c r="Q10308" s="1"/>
      <c r="R10308" s="1"/>
      <c r="S10308" s="1"/>
      <c r="T10308" s="1"/>
      <c r="U10308" s="1"/>
      <c r="V10308" s="1"/>
      <c r="W10308" s="1"/>
      <c r="X10308" s="1"/>
      <c r="Y10308" s="1"/>
      <c r="Z10308" s="1"/>
      <c r="AA10308" s="1"/>
      <c r="AB10308" s="1"/>
      <c r="AC10308" s="1"/>
      <c r="AD10308" s="1"/>
      <c r="AE10308" s="1"/>
      <c r="AF10308" s="1"/>
      <c r="AG10308" s="1"/>
      <c r="AH10308" s="1"/>
    </row>
    <row r="10309" ht="12.75" hidden="1" customHeight="1" outlineLevel="1">
      <c r="A10309" s="1002">
        <v>43288.0</v>
      </c>
      <c r="B10309" s="992"/>
      <c r="C10309" s="32" t="s">
        <v>429</v>
      </c>
      <c r="D10309" s="1"/>
      <c r="F10309" s="1"/>
      <c r="G10309" s="1"/>
      <c r="H10309" s="68"/>
      <c r="I10309" s="76"/>
      <c r="K10309" s="9" t="s">
        <v>3621</v>
      </c>
      <c r="L10309" s="77"/>
      <c r="M10309" s="79"/>
      <c r="N10309" s="1"/>
      <c r="O10309" s="1"/>
      <c r="P10309" s="1"/>
      <c r="Q10309" s="1"/>
      <c r="R10309" s="1"/>
      <c r="S10309" s="1"/>
      <c r="T10309" s="1"/>
      <c r="U10309" s="1"/>
      <c r="V10309" s="1"/>
      <c r="W10309" s="1"/>
      <c r="X10309" s="1"/>
      <c r="Y10309" s="1"/>
      <c r="Z10309" s="1"/>
      <c r="AA10309" s="1"/>
      <c r="AB10309" s="1"/>
      <c r="AC10309" s="1"/>
      <c r="AD10309" s="1"/>
      <c r="AE10309" s="1"/>
      <c r="AF10309" s="1"/>
      <c r="AG10309" s="1"/>
      <c r="AH10309" s="1"/>
    </row>
    <row r="10310" ht="12.75" hidden="1" customHeight="1" outlineLevel="1">
      <c r="A10310" s="1002">
        <v>43288.0</v>
      </c>
      <c r="B10310" s="992"/>
      <c r="C10310" s="32" t="s">
        <v>431</v>
      </c>
      <c r="D10310" s="1"/>
      <c r="F10310" s="1"/>
      <c r="G10310" s="1"/>
      <c r="H10310" s="68"/>
      <c r="I10310" s="76"/>
      <c r="K10310" s="7" t="s">
        <v>1126</v>
      </c>
      <c r="L10310" s="77"/>
      <c r="M10310" s="79"/>
      <c r="N10310" s="1"/>
      <c r="O10310" s="1"/>
      <c r="P10310" s="1"/>
      <c r="Q10310" s="1"/>
      <c r="R10310" s="1"/>
      <c r="S10310" s="1"/>
      <c r="T10310" s="1"/>
      <c r="U10310" s="1"/>
      <c r="V10310" s="1"/>
      <c r="W10310" s="1"/>
      <c r="X10310" s="1"/>
      <c r="Y10310" s="1"/>
      <c r="Z10310" s="1"/>
      <c r="AA10310" s="1"/>
      <c r="AB10310" s="1"/>
      <c r="AC10310" s="1"/>
      <c r="AD10310" s="1"/>
      <c r="AE10310" s="1"/>
      <c r="AF10310" s="1"/>
      <c r="AG10310" s="1"/>
      <c r="AH10310" s="1"/>
    </row>
    <row r="10311" ht="12.75" hidden="1" customHeight="1" outlineLevel="1">
      <c r="A10311" s="1002">
        <v>43288.0</v>
      </c>
      <c r="B10311" s="992"/>
      <c r="C10311" s="32" t="s">
        <v>433</v>
      </c>
      <c r="D10311" s="1"/>
      <c r="F10311" s="1"/>
      <c r="G10311" s="1"/>
      <c r="H10311" s="68"/>
      <c r="I10311" s="76"/>
      <c r="K10311" s="7" t="s">
        <v>1103</v>
      </c>
      <c r="L10311" s="77"/>
      <c r="M10311" s="79"/>
      <c r="N10311" s="1"/>
      <c r="O10311" s="1"/>
      <c r="P10311" s="1"/>
      <c r="Q10311" s="1"/>
      <c r="R10311" s="1"/>
      <c r="S10311" s="1"/>
      <c r="T10311" s="1"/>
      <c r="U10311" s="1"/>
      <c r="V10311" s="1"/>
      <c r="W10311" s="1"/>
      <c r="X10311" s="1"/>
      <c r="Y10311" s="1"/>
      <c r="Z10311" s="1"/>
      <c r="AA10311" s="1"/>
      <c r="AB10311" s="1"/>
      <c r="AC10311" s="1"/>
      <c r="AD10311" s="1"/>
      <c r="AE10311" s="1"/>
      <c r="AF10311" s="1"/>
      <c r="AG10311" s="1"/>
      <c r="AH10311" s="1"/>
    </row>
    <row r="10312" ht="12.75" hidden="1" customHeight="1" outlineLevel="1">
      <c r="A10312" s="1002">
        <v>43288.0</v>
      </c>
      <c r="B10312" s="992"/>
      <c r="C10312" s="32" t="s">
        <v>435</v>
      </c>
      <c r="D10312" s="1"/>
      <c r="F10312" s="1"/>
      <c r="G10312" s="1"/>
      <c r="H10312" s="68"/>
      <c r="I10312" s="76"/>
      <c r="K10312" s="9" t="s">
        <v>3622</v>
      </c>
      <c r="L10312" s="77"/>
      <c r="M10312" s="79"/>
      <c r="N10312" s="1"/>
      <c r="O10312" s="1"/>
      <c r="P10312" s="1"/>
      <c r="Q10312" s="1"/>
      <c r="R10312" s="1"/>
      <c r="S10312" s="1"/>
      <c r="T10312" s="1"/>
      <c r="U10312" s="1"/>
      <c r="V10312" s="1"/>
      <c r="W10312" s="1"/>
      <c r="X10312" s="1"/>
      <c r="Y10312" s="1"/>
      <c r="Z10312" s="1"/>
      <c r="AA10312" s="1"/>
      <c r="AB10312" s="1"/>
      <c r="AC10312" s="1"/>
      <c r="AD10312" s="1"/>
      <c r="AE10312" s="1"/>
      <c r="AF10312" s="1"/>
      <c r="AG10312" s="1"/>
      <c r="AH10312" s="1"/>
    </row>
    <row r="10313" ht="12.75" hidden="1" customHeight="1" outlineLevel="1">
      <c r="A10313" s="202">
        <v>43287.0</v>
      </c>
      <c r="B10313" s="985" t="s">
        <v>343</v>
      </c>
      <c r="C10313" s="94" t="s">
        <v>1187</v>
      </c>
      <c r="D10313" s="94">
        <v>250.0</v>
      </c>
      <c r="E10313" s="94">
        <v>93.98</v>
      </c>
      <c r="F10313" s="998">
        <v>43287.446539351855</v>
      </c>
      <c r="G10313" s="1004" t="s">
        <v>453</v>
      </c>
      <c r="H10313" s="987">
        <v>2.15</v>
      </c>
      <c r="I10313" s="988" t="s">
        <v>3145</v>
      </c>
      <c r="J10313" s="67">
        <f t="shared" ref="J10313:J10314" si="575">IF(B10313="SLD",D10313*E10313,-D10313*E10313)-H10313</f>
        <v>-23497.15</v>
      </c>
      <c r="K10313" s="1"/>
      <c r="L10313" s="70"/>
      <c r="M10313" s="79"/>
      <c r="N10313" s="1"/>
      <c r="O10313" s="1"/>
      <c r="P10313" s="1"/>
      <c r="Q10313" s="1"/>
      <c r="R10313" s="1"/>
      <c r="S10313" s="1"/>
      <c r="T10313" s="1"/>
      <c r="U10313" s="1"/>
      <c r="V10313" s="1"/>
      <c r="W10313" s="1"/>
      <c r="X10313" s="1"/>
      <c r="Y10313" s="1"/>
      <c r="Z10313" s="1"/>
      <c r="AA10313" s="1"/>
      <c r="AB10313" s="1"/>
      <c r="AC10313" s="1"/>
      <c r="AD10313" s="1"/>
      <c r="AE10313" s="1"/>
      <c r="AF10313" s="1"/>
      <c r="AG10313" s="1"/>
      <c r="AH10313" s="1"/>
    </row>
    <row r="10314" ht="12.75" hidden="1" customHeight="1" outlineLevel="1">
      <c r="A10314" s="202">
        <v>43287.0</v>
      </c>
      <c r="B10314" s="985" t="s">
        <v>343</v>
      </c>
      <c r="C10314" s="94" t="s">
        <v>1114</v>
      </c>
      <c r="D10314" s="94">
        <v>300.0</v>
      </c>
      <c r="E10314" s="94">
        <v>49.63</v>
      </c>
      <c r="F10314" s="998">
        <v>43287.427719907406</v>
      </c>
      <c r="G10314" s="1004" t="s">
        <v>453</v>
      </c>
      <c r="H10314" s="987">
        <v>1.5</v>
      </c>
      <c r="I10314" s="988" t="s">
        <v>3145</v>
      </c>
      <c r="J10314" s="67">
        <f t="shared" si="575"/>
        <v>-14890.5</v>
      </c>
      <c r="K10314" s="1"/>
      <c r="L10314" s="70"/>
      <c r="M10314" s="79"/>
      <c r="N10314" s="1"/>
      <c r="O10314" s="1"/>
      <c r="P10314" s="1"/>
      <c r="Q10314" s="1"/>
      <c r="R10314" s="1"/>
      <c r="S10314" s="1"/>
      <c r="T10314" s="1"/>
      <c r="U10314" s="1"/>
      <c r="V10314" s="1"/>
      <c r="W10314" s="1"/>
      <c r="X10314" s="1"/>
      <c r="Y10314" s="1"/>
      <c r="Z10314" s="1"/>
      <c r="AA10314" s="1"/>
      <c r="AB10314" s="1"/>
      <c r="AC10314" s="1"/>
      <c r="AD10314" s="1"/>
      <c r="AE10314" s="1"/>
      <c r="AF10314" s="1"/>
      <c r="AG10314" s="1"/>
      <c r="AH10314" s="1"/>
    </row>
    <row r="10315" ht="12.75" hidden="1" customHeight="1" outlineLevel="1">
      <c r="A10315" s="202">
        <v>43290.0</v>
      </c>
      <c r="B10315" s="992"/>
      <c r="C10315" s="32" t="s">
        <v>339</v>
      </c>
      <c r="D10315" s="1"/>
      <c r="F10315" s="1"/>
      <c r="G10315" s="1"/>
      <c r="H10315" s="68"/>
      <c r="I10315" s="76"/>
      <c r="K10315" s="201" t="s">
        <v>3629</v>
      </c>
      <c r="L10315" s="77"/>
      <c r="M10315" s="79"/>
      <c r="N10315" s="1"/>
      <c r="O10315" s="1"/>
      <c r="P10315" s="1"/>
      <c r="Q10315" s="1"/>
      <c r="R10315" s="1"/>
      <c r="S10315" s="1"/>
      <c r="T10315" s="1"/>
      <c r="U10315" s="1"/>
      <c r="V10315" s="1"/>
      <c r="W10315" s="1"/>
      <c r="X10315" s="1"/>
      <c r="Y10315" s="1"/>
      <c r="Z10315" s="1"/>
      <c r="AA10315" s="1"/>
      <c r="AB10315" s="1"/>
      <c r="AC10315" s="1"/>
      <c r="AD10315" s="1"/>
      <c r="AE10315" s="1"/>
      <c r="AF10315" s="1"/>
      <c r="AG10315" s="1"/>
      <c r="AH10315" s="1"/>
    </row>
    <row r="10316" ht="12.75" hidden="1" customHeight="1" outlineLevel="1">
      <c r="A10316" s="202">
        <f t="shared" ref="A10316:A10319" si="576">A10315 </f>
        <v>43290</v>
      </c>
      <c r="B10316" s="992"/>
      <c r="C10316" s="32" t="s">
        <v>429</v>
      </c>
      <c r="D10316" s="1"/>
      <c r="F10316" s="1"/>
      <c r="G10316" s="1"/>
      <c r="H10316" s="68"/>
      <c r="I10316" s="76"/>
      <c r="K10316" s="9" t="s">
        <v>3621</v>
      </c>
      <c r="L10316" s="77"/>
      <c r="M10316" s="79"/>
      <c r="N10316" s="1"/>
      <c r="O10316" s="1"/>
      <c r="P10316" s="1"/>
      <c r="Q10316" s="1"/>
      <c r="R10316" s="1"/>
      <c r="S10316" s="1"/>
      <c r="T10316" s="1"/>
      <c r="U10316" s="1"/>
      <c r="V10316" s="1"/>
      <c r="W10316" s="1"/>
      <c r="X10316" s="1"/>
      <c r="Y10316" s="1"/>
      <c r="Z10316" s="1"/>
      <c r="AA10316" s="1"/>
      <c r="AB10316" s="1"/>
      <c r="AC10316" s="1"/>
      <c r="AD10316" s="1"/>
      <c r="AE10316" s="1"/>
      <c r="AF10316" s="1"/>
      <c r="AG10316" s="1"/>
      <c r="AH10316" s="1"/>
    </row>
    <row r="10317" ht="12.75" hidden="1" customHeight="1" outlineLevel="1">
      <c r="A10317" s="202">
        <f t="shared" si="576"/>
        <v>43290</v>
      </c>
      <c r="B10317" s="992"/>
      <c r="C10317" s="32" t="s">
        <v>431</v>
      </c>
      <c r="D10317" s="1"/>
      <c r="F10317" s="1"/>
      <c r="G10317" s="1"/>
      <c r="H10317" s="68"/>
      <c r="I10317" s="76"/>
      <c r="K10317" s="7" t="s">
        <v>1126</v>
      </c>
      <c r="L10317" s="77"/>
      <c r="M10317" s="79"/>
      <c r="N10317" s="1"/>
      <c r="O10317" s="1"/>
      <c r="P10317" s="1"/>
      <c r="Q10317" s="1"/>
      <c r="R10317" s="1"/>
      <c r="S10317" s="1"/>
      <c r="T10317" s="1"/>
      <c r="U10317" s="1"/>
      <c r="V10317" s="1"/>
      <c r="W10317" s="1"/>
      <c r="X10317" s="1"/>
      <c r="Y10317" s="1"/>
      <c r="Z10317" s="1"/>
      <c r="AA10317" s="1"/>
      <c r="AB10317" s="1"/>
      <c r="AC10317" s="1"/>
      <c r="AD10317" s="1"/>
      <c r="AE10317" s="1"/>
      <c r="AF10317" s="1"/>
      <c r="AG10317" s="1"/>
      <c r="AH10317" s="1"/>
    </row>
    <row r="10318" ht="12.75" hidden="1" customHeight="1" outlineLevel="1">
      <c r="A10318" s="202">
        <f t="shared" si="576"/>
        <v>43290</v>
      </c>
      <c r="B10318" s="992"/>
      <c r="C10318" s="32" t="s">
        <v>433</v>
      </c>
      <c r="D10318" s="1"/>
      <c r="F10318" s="1"/>
      <c r="G10318" s="1"/>
      <c r="H10318" s="68"/>
      <c r="I10318" s="76"/>
      <c r="K10318" s="7" t="s">
        <v>1103</v>
      </c>
      <c r="L10318" s="77"/>
      <c r="M10318" s="79"/>
      <c r="N10318" s="1"/>
      <c r="O10318" s="1"/>
      <c r="P10318" s="1"/>
      <c r="Q10318" s="1"/>
      <c r="R10318" s="1"/>
      <c r="S10318" s="1"/>
      <c r="T10318" s="1"/>
      <c r="U10318" s="1"/>
      <c r="V10318" s="1"/>
      <c r="W10318" s="1"/>
      <c r="X10318" s="1"/>
      <c r="Y10318" s="1"/>
      <c r="Z10318" s="1"/>
      <c r="AA10318" s="1"/>
      <c r="AB10318" s="1"/>
      <c r="AC10318" s="1"/>
      <c r="AD10318" s="1"/>
      <c r="AE10318" s="1"/>
      <c r="AF10318" s="1"/>
      <c r="AG10318" s="1"/>
      <c r="AH10318" s="1"/>
    </row>
    <row r="10319" ht="12.75" hidden="1" customHeight="1" outlineLevel="1">
      <c r="A10319" s="202">
        <f t="shared" si="576"/>
        <v>43290</v>
      </c>
      <c r="B10319" s="992"/>
      <c r="C10319" s="32" t="s">
        <v>435</v>
      </c>
      <c r="D10319" s="1"/>
      <c r="F10319" s="1"/>
      <c r="G10319" s="1"/>
      <c r="H10319" s="68"/>
      <c r="I10319" s="76"/>
      <c r="K10319" s="9" t="s">
        <v>3622</v>
      </c>
      <c r="L10319" s="77"/>
      <c r="M10319" s="79"/>
      <c r="N10319" s="1"/>
      <c r="O10319" s="1"/>
      <c r="P10319" s="1"/>
      <c r="Q10319" s="1"/>
      <c r="R10319" s="1"/>
      <c r="S10319" s="1"/>
      <c r="T10319" s="1"/>
      <c r="U10319" s="1"/>
      <c r="V10319" s="1"/>
      <c r="W10319" s="1"/>
      <c r="X10319" s="1"/>
      <c r="Y10319" s="1"/>
      <c r="Z10319" s="1"/>
      <c r="AA10319" s="1"/>
      <c r="AB10319" s="1"/>
      <c r="AC10319" s="1"/>
      <c r="AD10319" s="1"/>
      <c r="AE10319" s="1"/>
      <c r="AF10319" s="1"/>
      <c r="AG10319" s="1"/>
      <c r="AH10319" s="1"/>
    </row>
    <row r="10320" ht="12.75" hidden="1" customHeight="1" outlineLevel="1">
      <c r="A10320" s="1002">
        <v>43292.0</v>
      </c>
      <c r="B10320" s="992"/>
      <c r="C10320" s="32" t="s">
        <v>339</v>
      </c>
      <c r="D10320" s="1"/>
      <c r="F10320" s="1"/>
      <c r="G10320" s="1"/>
      <c r="H10320" s="68"/>
      <c r="I10320" s="76"/>
      <c r="K10320" s="201" t="s">
        <v>3630</v>
      </c>
      <c r="L10320" s="77"/>
      <c r="M10320" s="79"/>
      <c r="N10320" s="1"/>
      <c r="O10320" s="1"/>
      <c r="P10320" s="1"/>
      <c r="Q10320" s="1"/>
      <c r="R10320" s="1"/>
      <c r="S10320" s="1"/>
      <c r="T10320" s="1"/>
      <c r="U10320" s="1"/>
      <c r="V10320" s="1"/>
      <c r="W10320" s="1"/>
      <c r="X10320" s="1"/>
      <c r="Y10320" s="1"/>
      <c r="Z10320" s="1"/>
      <c r="AA10320" s="1"/>
      <c r="AB10320" s="1"/>
      <c r="AC10320" s="1"/>
      <c r="AD10320" s="1"/>
      <c r="AE10320" s="1"/>
      <c r="AF10320" s="1"/>
      <c r="AG10320" s="1"/>
      <c r="AH10320" s="1"/>
    </row>
    <row r="10321" ht="12.75" hidden="1" customHeight="1" outlineLevel="1">
      <c r="A10321" s="1002">
        <v>43292.0</v>
      </c>
      <c r="B10321" s="992"/>
      <c r="C10321" s="32" t="s">
        <v>429</v>
      </c>
      <c r="D10321" s="1"/>
      <c r="F10321" s="1"/>
      <c r="G10321" s="1"/>
      <c r="H10321" s="68"/>
      <c r="I10321" s="76"/>
      <c r="K10321" s="9" t="s">
        <v>3621</v>
      </c>
      <c r="L10321" s="77"/>
      <c r="M10321" s="79"/>
      <c r="N10321" s="1"/>
      <c r="O10321" s="1"/>
      <c r="P10321" s="1"/>
      <c r="Q10321" s="1"/>
      <c r="R10321" s="1"/>
      <c r="S10321" s="1"/>
      <c r="T10321" s="1"/>
      <c r="U10321" s="1"/>
      <c r="V10321" s="1"/>
      <c r="W10321" s="1"/>
      <c r="X10321" s="1"/>
      <c r="Y10321" s="1"/>
      <c r="Z10321" s="1"/>
      <c r="AA10321" s="1"/>
      <c r="AB10321" s="1"/>
      <c r="AC10321" s="1"/>
      <c r="AD10321" s="1"/>
      <c r="AE10321" s="1"/>
      <c r="AF10321" s="1"/>
      <c r="AG10321" s="1"/>
      <c r="AH10321" s="1"/>
    </row>
    <row r="10322" ht="12.75" hidden="1" customHeight="1" outlineLevel="1">
      <c r="A10322" s="1002">
        <v>43292.0</v>
      </c>
      <c r="B10322" s="992"/>
      <c r="C10322" s="32" t="s">
        <v>431</v>
      </c>
      <c r="D10322" s="1"/>
      <c r="F10322" s="1"/>
      <c r="G10322" s="1"/>
      <c r="H10322" s="68"/>
      <c r="I10322" s="76"/>
      <c r="K10322" s="7" t="s">
        <v>1126</v>
      </c>
      <c r="L10322" s="77"/>
      <c r="M10322" s="79"/>
      <c r="N10322" s="1"/>
      <c r="O10322" s="1"/>
      <c r="P10322" s="1"/>
      <c r="Q10322" s="1"/>
      <c r="R10322" s="1"/>
      <c r="S10322" s="1"/>
      <c r="T10322" s="1"/>
      <c r="U10322" s="1"/>
      <c r="V10322" s="1"/>
      <c r="W10322" s="1"/>
      <c r="X10322" s="1"/>
      <c r="Y10322" s="1"/>
      <c r="Z10322" s="1"/>
      <c r="AA10322" s="1"/>
      <c r="AB10322" s="1"/>
      <c r="AC10322" s="1"/>
      <c r="AD10322" s="1"/>
      <c r="AE10322" s="1"/>
      <c r="AF10322" s="1"/>
      <c r="AG10322" s="1"/>
      <c r="AH10322" s="1"/>
    </row>
    <row r="10323" ht="12.75" hidden="1" customHeight="1" outlineLevel="1">
      <c r="A10323" s="1002">
        <v>43292.0</v>
      </c>
      <c r="B10323" s="992"/>
      <c r="C10323" s="32" t="s">
        <v>433</v>
      </c>
      <c r="D10323" s="1"/>
      <c r="F10323" s="1"/>
      <c r="G10323" s="1"/>
      <c r="H10323" s="68"/>
      <c r="I10323" s="76"/>
      <c r="K10323" s="7" t="s">
        <v>1103</v>
      </c>
      <c r="L10323" s="77"/>
      <c r="M10323" s="79"/>
      <c r="N10323" s="1"/>
      <c r="O10323" s="1"/>
      <c r="P10323" s="1"/>
      <c r="Q10323" s="1"/>
      <c r="R10323" s="1"/>
      <c r="S10323" s="1"/>
      <c r="T10323" s="1"/>
      <c r="U10323" s="1"/>
      <c r="V10323" s="1"/>
      <c r="W10323" s="1"/>
      <c r="X10323" s="1"/>
      <c r="Y10323" s="1"/>
      <c r="Z10323" s="1"/>
      <c r="AA10323" s="1"/>
      <c r="AB10323" s="1"/>
      <c r="AC10323" s="1"/>
      <c r="AD10323" s="1"/>
      <c r="AE10323" s="1"/>
      <c r="AF10323" s="1"/>
      <c r="AG10323" s="1"/>
      <c r="AH10323" s="1"/>
    </row>
    <row r="10324" ht="12.75" hidden="1" customHeight="1" outlineLevel="1">
      <c r="A10324" s="1002">
        <v>43292.0</v>
      </c>
      <c r="B10324" s="992"/>
      <c r="C10324" s="32" t="s">
        <v>435</v>
      </c>
      <c r="D10324" s="1"/>
      <c r="F10324" s="1"/>
      <c r="G10324" s="1"/>
      <c r="H10324" s="68"/>
      <c r="I10324" s="76"/>
      <c r="K10324" s="9" t="s">
        <v>3622</v>
      </c>
      <c r="L10324" s="77"/>
      <c r="M10324" s="79"/>
      <c r="N10324" s="1"/>
      <c r="O10324" s="1"/>
      <c r="P10324" s="1"/>
      <c r="Q10324" s="1"/>
      <c r="R10324" s="1"/>
      <c r="S10324" s="1"/>
      <c r="T10324" s="1"/>
      <c r="U10324" s="1"/>
      <c r="V10324" s="1"/>
      <c r="W10324" s="1"/>
      <c r="X10324" s="1"/>
      <c r="Y10324" s="1"/>
      <c r="Z10324" s="1"/>
      <c r="AA10324" s="1"/>
      <c r="AB10324" s="1"/>
      <c r="AC10324" s="1"/>
      <c r="AD10324" s="1"/>
      <c r="AE10324" s="1"/>
      <c r="AF10324" s="1"/>
      <c r="AG10324" s="1"/>
      <c r="AH10324" s="1"/>
    </row>
    <row r="10325" ht="12.75" hidden="1" customHeight="1" outlineLevel="1">
      <c r="A10325" s="202">
        <v>43295.0</v>
      </c>
      <c r="B10325" s="985" t="s">
        <v>347</v>
      </c>
      <c r="C10325" s="94" t="s">
        <v>1092</v>
      </c>
      <c r="D10325" s="286">
        <v>3500.0</v>
      </c>
      <c r="E10325" s="94">
        <v>5.847</v>
      </c>
      <c r="F10325" s="998">
        <v>43294.446967592594</v>
      </c>
      <c r="G10325" s="1004" t="s">
        <v>453</v>
      </c>
      <c r="H10325" s="987">
        <v>19.18</v>
      </c>
      <c r="I10325" s="988" t="s">
        <v>3145</v>
      </c>
      <c r="J10325" s="67">
        <f t="shared" ref="J10325:J10329" si="577">IF(B10325="SLD",D10325*E10325,-D10325*E10325)-H10325</f>
        <v>20445.32</v>
      </c>
      <c r="K10325" s="1"/>
      <c r="L10325" s="70"/>
      <c r="M10325" s="79"/>
      <c r="N10325" s="1"/>
      <c r="O10325" s="1"/>
      <c r="P10325" s="1"/>
      <c r="Q10325" s="1"/>
      <c r="R10325" s="1"/>
      <c r="S10325" s="1"/>
      <c r="T10325" s="1"/>
      <c r="U10325" s="1"/>
      <c r="V10325" s="1"/>
      <c r="W10325" s="1"/>
      <c r="X10325" s="1"/>
      <c r="Y10325" s="1"/>
      <c r="Z10325" s="1"/>
      <c r="AA10325" s="1"/>
      <c r="AB10325" s="1"/>
      <c r="AC10325" s="1"/>
      <c r="AD10325" s="1"/>
      <c r="AE10325" s="1"/>
      <c r="AF10325" s="1"/>
      <c r="AG10325" s="1"/>
      <c r="AH10325" s="1"/>
    </row>
    <row r="10326" ht="12.75" hidden="1" customHeight="1" outlineLevel="1">
      <c r="A10326" s="202">
        <v>43295.0</v>
      </c>
      <c r="B10326" s="985" t="s">
        <v>347</v>
      </c>
      <c r="C10326" s="94" t="s">
        <v>1485</v>
      </c>
      <c r="D10326" s="286">
        <v>3500.0</v>
      </c>
      <c r="E10326" s="94">
        <v>5.83</v>
      </c>
      <c r="F10326" s="998">
        <v>43294.444606481484</v>
      </c>
      <c r="G10326" s="1004" t="s">
        <v>453</v>
      </c>
      <c r="H10326" s="987">
        <v>18.18</v>
      </c>
      <c r="I10326" s="988" t="s">
        <v>3145</v>
      </c>
      <c r="J10326" s="67">
        <f t="shared" si="577"/>
        <v>20386.82</v>
      </c>
      <c r="K10326" s="1"/>
      <c r="L10326" s="70"/>
      <c r="M10326" s="79"/>
      <c r="N10326" s="1"/>
      <c r="O10326" s="1"/>
      <c r="P10326" s="1"/>
      <c r="Q10326" s="1"/>
      <c r="R10326" s="1"/>
      <c r="S10326" s="1"/>
      <c r="T10326" s="1"/>
      <c r="U10326" s="1"/>
      <c r="V10326" s="1"/>
      <c r="W10326" s="1"/>
      <c r="X10326" s="1"/>
      <c r="Y10326" s="1"/>
      <c r="Z10326" s="1"/>
      <c r="AA10326" s="1"/>
      <c r="AB10326" s="1"/>
      <c r="AC10326" s="1"/>
      <c r="AD10326" s="1"/>
      <c r="AE10326" s="1"/>
      <c r="AF10326" s="1"/>
      <c r="AG10326" s="1"/>
      <c r="AH10326" s="1"/>
    </row>
    <row r="10327" ht="12.75" hidden="1" customHeight="1" outlineLevel="1">
      <c r="A10327" s="202">
        <v>43295.0</v>
      </c>
      <c r="B10327" s="985" t="s">
        <v>347</v>
      </c>
      <c r="C10327" s="94" t="s">
        <v>1483</v>
      </c>
      <c r="D10327" s="286">
        <v>3500.0</v>
      </c>
      <c r="E10327" s="94">
        <v>1.51</v>
      </c>
      <c r="F10327" s="998">
        <v>43294.44385416667</v>
      </c>
      <c r="G10327" s="1004" t="s">
        <v>453</v>
      </c>
      <c r="H10327" s="987">
        <v>17.99</v>
      </c>
      <c r="I10327" s="988" t="s">
        <v>3145</v>
      </c>
      <c r="J10327" s="67">
        <f t="shared" si="577"/>
        <v>5267.01</v>
      </c>
      <c r="K10327" s="1"/>
      <c r="L10327" s="70"/>
      <c r="M10327" s="79"/>
      <c r="N10327" s="1"/>
      <c r="O10327" s="1"/>
      <c r="P10327" s="1"/>
      <c r="Q10327" s="1"/>
      <c r="R10327" s="1"/>
      <c r="S10327" s="1"/>
      <c r="T10327" s="1"/>
      <c r="U10327" s="1"/>
      <c r="V10327" s="1"/>
      <c r="W10327" s="1"/>
      <c r="X10327" s="1"/>
      <c r="Y10327" s="1"/>
      <c r="Z10327" s="1"/>
      <c r="AA10327" s="1"/>
      <c r="AB10327" s="1"/>
      <c r="AC10327" s="1"/>
      <c r="AD10327" s="1"/>
      <c r="AE10327" s="1"/>
      <c r="AF10327" s="1"/>
      <c r="AG10327" s="1"/>
      <c r="AH10327" s="1"/>
    </row>
    <row r="10328" ht="12.75" hidden="1" customHeight="1" outlineLevel="1">
      <c r="A10328" s="202">
        <v>43295.0</v>
      </c>
      <c r="B10328" s="985" t="s">
        <v>347</v>
      </c>
      <c r="C10328" s="94" t="s">
        <v>604</v>
      </c>
      <c r="D10328" s="286">
        <v>3500.0</v>
      </c>
      <c r="E10328" s="94">
        <v>1.4</v>
      </c>
      <c r="F10328" s="998">
        <v>43294.44328703704</v>
      </c>
      <c r="G10328" s="1004" t="s">
        <v>453</v>
      </c>
      <c r="H10328" s="987">
        <v>17.98</v>
      </c>
      <c r="I10328" s="988" t="s">
        <v>3145</v>
      </c>
      <c r="J10328" s="67">
        <f t="shared" si="577"/>
        <v>4882.02</v>
      </c>
      <c r="K10328" s="1"/>
      <c r="L10328" s="70"/>
      <c r="M10328" s="79"/>
      <c r="N10328" s="1"/>
      <c r="O10328" s="1"/>
      <c r="P10328" s="1"/>
      <c r="Q10328" s="1"/>
      <c r="R10328" s="1"/>
      <c r="S10328" s="1"/>
      <c r="T10328" s="1"/>
      <c r="U10328" s="1"/>
      <c r="V10328" s="1"/>
      <c r="W10328" s="1"/>
      <c r="X10328" s="1"/>
      <c r="Y10328" s="1"/>
      <c r="Z10328" s="1"/>
      <c r="AA10328" s="1"/>
      <c r="AB10328" s="1"/>
      <c r="AC10328" s="1"/>
      <c r="AD10328" s="1"/>
      <c r="AE10328" s="1"/>
      <c r="AF10328" s="1"/>
      <c r="AG10328" s="1"/>
      <c r="AH10328" s="1"/>
    </row>
    <row r="10329" ht="12.75" hidden="1" customHeight="1" outlineLevel="1">
      <c r="A10329" s="202">
        <v>43295.0</v>
      </c>
      <c r="B10329" s="985" t="s">
        <v>347</v>
      </c>
      <c r="C10329" s="94" t="s">
        <v>1154</v>
      </c>
      <c r="D10329" s="94">
        <v>10.0</v>
      </c>
      <c r="E10329" s="94">
        <v>398.2735</v>
      </c>
      <c r="F10329" s="998">
        <v>43294.42628472222</v>
      </c>
      <c r="G10329" s="1004" t="s">
        <v>453</v>
      </c>
      <c r="H10329" s="987">
        <v>1.05</v>
      </c>
      <c r="I10329" s="988" t="s">
        <v>3145</v>
      </c>
      <c r="J10329" s="67">
        <f t="shared" si="577"/>
        <v>3981.685</v>
      </c>
      <c r="K10329" s="1"/>
      <c r="L10329" s="70"/>
      <c r="M10329" s="79"/>
      <c r="N10329" s="1"/>
      <c r="O10329" s="1"/>
      <c r="P10329" s="1"/>
      <c r="Q10329" s="1"/>
      <c r="R10329" s="1"/>
      <c r="S10329" s="1"/>
      <c r="T10329" s="1"/>
      <c r="U10329" s="1"/>
      <c r="V10329" s="1"/>
      <c r="W10329" s="1"/>
      <c r="X10329" s="1"/>
      <c r="Y10329" s="1"/>
      <c r="Z10329" s="1"/>
      <c r="AA10329" s="1"/>
      <c r="AB10329" s="1"/>
      <c r="AC10329" s="1"/>
      <c r="AD10329" s="1"/>
      <c r="AE10329" s="1"/>
      <c r="AF10329" s="1"/>
      <c r="AG10329" s="1"/>
      <c r="AH10329" s="1"/>
    </row>
    <row r="10330" ht="12.75" hidden="1" customHeight="1" outlineLevel="1">
      <c r="A10330" s="1002">
        <v>43297.0</v>
      </c>
      <c r="B10330" s="992"/>
      <c r="C10330" s="32" t="s">
        <v>339</v>
      </c>
      <c r="D10330" s="1"/>
      <c r="F10330" s="1"/>
      <c r="G10330" s="1"/>
      <c r="H10330" s="68"/>
      <c r="I10330" s="76"/>
      <c r="K10330" s="201" t="s">
        <v>3631</v>
      </c>
      <c r="L10330" s="77"/>
      <c r="M10330" s="79"/>
      <c r="N10330" s="1"/>
      <c r="O10330" s="1"/>
      <c r="P10330" s="1"/>
      <c r="Q10330" s="1"/>
      <c r="R10330" s="1"/>
      <c r="S10330" s="1"/>
      <c r="T10330" s="1"/>
      <c r="U10330" s="1"/>
      <c r="V10330" s="1"/>
      <c r="W10330" s="1"/>
      <c r="X10330" s="1"/>
      <c r="Y10330" s="1"/>
      <c r="Z10330" s="1"/>
      <c r="AA10330" s="1"/>
      <c r="AB10330" s="1"/>
      <c r="AC10330" s="1"/>
      <c r="AD10330" s="1"/>
      <c r="AE10330" s="1"/>
      <c r="AF10330" s="1"/>
      <c r="AG10330" s="1"/>
      <c r="AH10330" s="1"/>
    </row>
    <row r="10331" ht="12.75" hidden="1" customHeight="1" outlineLevel="1">
      <c r="A10331" s="1002">
        <v>43297.0</v>
      </c>
      <c r="B10331" s="992"/>
      <c r="C10331" s="32" t="s">
        <v>429</v>
      </c>
      <c r="D10331" s="1"/>
      <c r="F10331" s="1"/>
      <c r="G10331" s="1"/>
      <c r="H10331" s="68"/>
      <c r="I10331" s="76"/>
      <c r="K10331" s="9" t="s">
        <v>3621</v>
      </c>
      <c r="L10331" s="77"/>
      <c r="M10331" s="79"/>
      <c r="N10331" s="1"/>
      <c r="O10331" s="1"/>
      <c r="P10331" s="1"/>
      <c r="Q10331" s="1"/>
      <c r="R10331" s="1"/>
      <c r="S10331" s="1"/>
      <c r="T10331" s="1"/>
      <c r="U10331" s="1"/>
      <c r="V10331" s="1"/>
      <c r="W10331" s="1"/>
      <c r="X10331" s="1"/>
      <c r="Y10331" s="1"/>
      <c r="Z10331" s="1"/>
      <c r="AA10331" s="1"/>
      <c r="AB10331" s="1"/>
      <c r="AC10331" s="1"/>
      <c r="AD10331" s="1"/>
      <c r="AE10331" s="1"/>
      <c r="AF10331" s="1"/>
      <c r="AG10331" s="1"/>
      <c r="AH10331" s="1"/>
    </row>
    <row r="10332" ht="12.75" hidden="1" customHeight="1" outlineLevel="1">
      <c r="A10332" s="1002">
        <v>43297.0</v>
      </c>
      <c r="B10332" s="992"/>
      <c r="C10332" s="32" t="s">
        <v>431</v>
      </c>
      <c r="D10332" s="1"/>
      <c r="F10332" s="1"/>
      <c r="G10332" s="1"/>
      <c r="H10332" s="68"/>
      <c r="I10332" s="76"/>
      <c r="K10332" s="7" t="s">
        <v>1126</v>
      </c>
      <c r="L10332" s="77"/>
      <c r="M10332" s="79"/>
      <c r="N10332" s="1"/>
      <c r="O10332" s="1"/>
      <c r="P10332" s="1"/>
      <c r="Q10332" s="1"/>
      <c r="R10332" s="1"/>
      <c r="S10332" s="1"/>
      <c r="T10332" s="1"/>
      <c r="U10332" s="1"/>
      <c r="V10332" s="1"/>
      <c r="W10332" s="1"/>
      <c r="X10332" s="1"/>
      <c r="Y10332" s="1"/>
      <c r="Z10332" s="1"/>
      <c r="AA10332" s="1"/>
      <c r="AB10332" s="1"/>
      <c r="AC10332" s="1"/>
      <c r="AD10332" s="1"/>
      <c r="AE10332" s="1"/>
      <c r="AF10332" s="1"/>
      <c r="AG10332" s="1"/>
      <c r="AH10332" s="1"/>
    </row>
    <row r="10333" ht="12.75" hidden="1" customHeight="1" outlineLevel="1">
      <c r="A10333" s="1002">
        <v>43297.0</v>
      </c>
      <c r="B10333" s="992"/>
      <c r="C10333" s="32" t="s">
        <v>433</v>
      </c>
      <c r="D10333" s="1"/>
      <c r="F10333" s="1"/>
      <c r="G10333" s="1"/>
      <c r="H10333" s="68"/>
      <c r="I10333" s="76"/>
      <c r="K10333" s="7" t="s">
        <v>1103</v>
      </c>
      <c r="L10333" s="77"/>
      <c r="M10333" s="79"/>
      <c r="N10333" s="1"/>
      <c r="O10333" s="1"/>
      <c r="P10333" s="1"/>
      <c r="Q10333" s="1"/>
      <c r="R10333" s="1"/>
      <c r="S10333" s="1"/>
      <c r="T10333" s="1"/>
      <c r="U10333" s="1"/>
      <c r="V10333" s="1"/>
      <c r="W10333" s="1"/>
      <c r="X10333" s="1"/>
      <c r="Y10333" s="1"/>
      <c r="Z10333" s="1"/>
      <c r="AA10333" s="1"/>
      <c r="AB10333" s="1"/>
      <c r="AC10333" s="1"/>
      <c r="AD10333" s="1"/>
      <c r="AE10333" s="1"/>
      <c r="AF10333" s="1"/>
      <c r="AG10333" s="1"/>
      <c r="AH10333" s="1"/>
    </row>
    <row r="10334" ht="12.75" hidden="1" customHeight="1" outlineLevel="1">
      <c r="A10334" s="1002">
        <v>43297.0</v>
      </c>
      <c r="B10334" s="992"/>
      <c r="C10334" s="32" t="s">
        <v>435</v>
      </c>
      <c r="D10334" s="1"/>
      <c r="F10334" s="1"/>
      <c r="G10334" s="1"/>
      <c r="H10334" s="68"/>
      <c r="I10334" s="76"/>
      <c r="K10334" s="9" t="s">
        <v>3622</v>
      </c>
      <c r="L10334" s="77"/>
      <c r="M10334" s="79"/>
      <c r="N10334" s="1"/>
      <c r="O10334" s="1"/>
      <c r="P10334" s="1"/>
      <c r="Q10334" s="1"/>
      <c r="R10334" s="1"/>
      <c r="S10334" s="1"/>
      <c r="T10334" s="1"/>
      <c r="U10334" s="1"/>
      <c r="V10334" s="1"/>
      <c r="W10334" s="1"/>
      <c r="X10334" s="1"/>
      <c r="Y10334" s="1"/>
      <c r="Z10334" s="1"/>
      <c r="AA10334" s="1"/>
      <c r="AB10334" s="1"/>
      <c r="AC10334" s="1"/>
      <c r="AD10334" s="1"/>
      <c r="AE10334" s="1"/>
      <c r="AF10334" s="1"/>
      <c r="AG10334" s="1"/>
      <c r="AH10334" s="1"/>
    </row>
    <row r="10335" ht="12.75" hidden="1" customHeight="1" outlineLevel="1">
      <c r="A10335" s="202">
        <v>43298.0</v>
      </c>
      <c r="B10335" s="985" t="s">
        <v>343</v>
      </c>
      <c r="C10335" s="94" t="s">
        <v>1187</v>
      </c>
      <c r="D10335" s="94">
        <v>200.0</v>
      </c>
      <c r="E10335" s="94">
        <v>95.45</v>
      </c>
      <c r="F10335" s="1003">
        <v>0.6454976851851851</v>
      </c>
      <c r="G10335" s="1004" t="s">
        <v>453</v>
      </c>
      <c r="H10335" s="987">
        <v>1.0</v>
      </c>
      <c r="I10335" s="988" t="s">
        <v>3145</v>
      </c>
      <c r="J10335" s="67">
        <f>IF(B10335="SLD",D10335*E10335,-D10335*E10335)-H10335</f>
        <v>-19091</v>
      </c>
      <c r="K10335" s="1"/>
      <c r="L10335" s="70"/>
      <c r="M10335" s="79"/>
      <c r="N10335" s="1"/>
      <c r="O10335" s="1"/>
      <c r="P10335" s="1"/>
      <c r="Q10335" s="1"/>
      <c r="R10335" s="1"/>
      <c r="S10335" s="1"/>
      <c r="T10335" s="1"/>
      <c r="U10335" s="1"/>
      <c r="V10335" s="1"/>
      <c r="W10335" s="1"/>
      <c r="X10335" s="1"/>
      <c r="Y10335" s="1"/>
      <c r="Z10335" s="1"/>
      <c r="AA10335" s="1"/>
      <c r="AB10335" s="1"/>
      <c r="AC10335" s="1"/>
      <c r="AD10335" s="1"/>
      <c r="AE10335" s="1"/>
      <c r="AF10335" s="1"/>
      <c r="AG10335" s="1"/>
      <c r="AH10335" s="1"/>
    </row>
    <row r="10336" ht="12.75" hidden="1" customHeight="1" outlineLevel="1">
      <c r="A10336" s="1002">
        <v>43298.0</v>
      </c>
      <c r="B10336" s="992"/>
      <c r="C10336" s="32" t="s">
        <v>339</v>
      </c>
      <c r="D10336" s="1"/>
      <c r="F10336" s="1"/>
      <c r="G10336" s="1"/>
      <c r="H10336" s="68"/>
      <c r="I10336" s="76"/>
      <c r="K10336" s="201" t="s">
        <v>3631</v>
      </c>
      <c r="L10336" s="77"/>
      <c r="M10336" s="79"/>
      <c r="N10336" s="1"/>
      <c r="O10336" s="1"/>
      <c r="P10336" s="1"/>
      <c r="Q10336" s="1"/>
      <c r="R10336" s="1"/>
      <c r="S10336" s="1"/>
      <c r="T10336" s="1"/>
      <c r="U10336" s="1"/>
      <c r="V10336" s="1"/>
      <c r="W10336" s="1"/>
      <c r="X10336" s="1"/>
      <c r="Y10336" s="1"/>
      <c r="Z10336" s="1"/>
      <c r="AA10336" s="1"/>
      <c r="AB10336" s="1"/>
      <c r="AC10336" s="1"/>
      <c r="AD10336" s="1"/>
      <c r="AE10336" s="1"/>
      <c r="AF10336" s="1"/>
      <c r="AG10336" s="1"/>
      <c r="AH10336" s="1"/>
    </row>
    <row r="10337" ht="12.75" hidden="1" customHeight="1" outlineLevel="1">
      <c r="A10337" s="1002">
        <v>43298.0</v>
      </c>
      <c r="B10337" s="992"/>
      <c r="C10337" s="32" t="s">
        <v>429</v>
      </c>
      <c r="D10337" s="1"/>
      <c r="F10337" s="1"/>
      <c r="G10337" s="1"/>
      <c r="H10337" s="68"/>
      <c r="I10337" s="76"/>
      <c r="K10337" s="9" t="s">
        <v>3621</v>
      </c>
      <c r="L10337" s="77"/>
      <c r="M10337" s="79"/>
      <c r="N10337" s="1"/>
      <c r="O10337" s="1"/>
      <c r="P10337" s="1"/>
      <c r="Q10337" s="1"/>
      <c r="R10337" s="1"/>
      <c r="S10337" s="1"/>
      <c r="T10337" s="1"/>
      <c r="U10337" s="1"/>
      <c r="V10337" s="1"/>
      <c r="W10337" s="1"/>
      <c r="X10337" s="1"/>
      <c r="Y10337" s="1"/>
      <c r="Z10337" s="1"/>
      <c r="AA10337" s="1"/>
      <c r="AB10337" s="1"/>
      <c r="AC10337" s="1"/>
      <c r="AD10337" s="1"/>
      <c r="AE10337" s="1"/>
      <c r="AF10337" s="1"/>
      <c r="AG10337" s="1"/>
      <c r="AH10337" s="1"/>
    </row>
    <row r="10338" ht="12.75" hidden="1" customHeight="1" outlineLevel="1">
      <c r="A10338" s="1002">
        <v>43298.0</v>
      </c>
      <c r="B10338" s="992"/>
      <c r="C10338" s="32" t="s">
        <v>431</v>
      </c>
      <c r="D10338" s="1"/>
      <c r="F10338" s="1"/>
      <c r="G10338" s="1"/>
      <c r="H10338" s="68"/>
      <c r="I10338" s="76"/>
      <c r="K10338" s="7" t="s">
        <v>1126</v>
      </c>
      <c r="L10338" s="77"/>
      <c r="M10338" s="79"/>
      <c r="N10338" s="1"/>
      <c r="O10338" s="1"/>
      <c r="P10338" s="1"/>
      <c r="Q10338" s="1"/>
      <c r="R10338" s="1"/>
      <c r="S10338" s="1"/>
      <c r="T10338" s="1"/>
      <c r="U10338" s="1"/>
      <c r="V10338" s="1"/>
      <c r="W10338" s="1"/>
      <c r="X10338" s="1"/>
      <c r="Y10338" s="1"/>
      <c r="Z10338" s="1"/>
      <c r="AA10338" s="1"/>
      <c r="AB10338" s="1"/>
      <c r="AC10338" s="1"/>
      <c r="AD10338" s="1"/>
      <c r="AE10338" s="1"/>
      <c r="AF10338" s="1"/>
      <c r="AG10338" s="1"/>
      <c r="AH10338" s="1"/>
    </row>
    <row r="10339" ht="12.75" hidden="1" customHeight="1" outlineLevel="1">
      <c r="A10339" s="1002">
        <v>43298.0</v>
      </c>
      <c r="B10339" s="992"/>
      <c r="C10339" s="32" t="s">
        <v>433</v>
      </c>
      <c r="D10339" s="1"/>
      <c r="F10339" s="1"/>
      <c r="G10339" s="1"/>
      <c r="H10339" s="68"/>
      <c r="I10339" s="76"/>
      <c r="K10339" s="7" t="s">
        <v>1103</v>
      </c>
      <c r="L10339" s="77"/>
      <c r="M10339" s="79"/>
      <c r="N10339" s="1"/>
      <c r="O10339" s="1"/>
      <c r="P10339" s="1"/>
      <c r="Q10339" s="1"/>
      <c r="R10339" s="1"/>
      <c r="S10339" s="1"/>
      <c r="T10339" s="1"/>
      <c r="U10339" s="1"/>
      <c r="V10339" s="1"/>
      <c r="W10339" s="1"/>
      <c r="X10339" s="1"/>
      <c r="Y10339" s="1"/>
      <c r="Z10339" s="1"/>
      <c r="AA10339" s="1"/>
      <c r="AB10339" s="1"/>
      <c r="AC10339" s="1"/>
      <c r="AD10339" s="1"/>
      <c r="AE10339" s="1"/>
      <c r="AF10339" s="1"/>
      <c r="AG10339" s="1"/>
      <c r="AH10339" s="1"/>
    </row>
    <row r="10340" ht="12.75" hidden="1" customHeight="1" outlineLevel="1">
      <c r="A10340" s="1002">
        <v>43298.0</v>
      </c>
      <c r="B10340" s="992"/>
      <c r="C10340" s="32" t="s">
        <v>435</v>
      </c>
      <c r="D10340" s="1"/>
      <c r="F10340" s="1"/>
      <c r="G10340" s="1"/>
      <c r="H10340" s="68"/>
      <c r="I10340" s="76"/>
      <c r="K10340" s="9" t="s">
        <v>3622</v>
      </c>
      <c r="L10340" s="77"/>
      <c r="M10340" s="79"/>
      <c r="N10340" s="1"/>
      <c r="O10340" s="1"/>
      <c r="P10340" s="1"/>
      <c r="Q10340" s="1"/>
      <c r="R10340" s="1"/>
      <c r="S10340" s="1"/>
      <c r="T10340" s="1"/>
      <c r="U10340" s="1"/>
      <c r="V10340" s="1"/>
      <c r="W10340" s="1"/>
      <c r="X10340" s="1"/>
      <c r="Y10340" s="1"/>
      <c r="Z10340" s="1"/>
      <c r="AA10340" s="1"/>
      <c r="AB10340" s="1"/>
      <c r="AC10340" s="1"/>
      <c r="AD10340" s="1"/>
      <c r="AE10340" s="1"/>
      <c r="AF10340" s="1"/>
      <c r="AG10340" s="1"/>
      <c r="AH10340" s="1"/>
    </row>
    <row r="10341" ht="12.75" hidden="1" customHeight="1" outlineLevel="1">
      <c r="A10341" s="1002">
        <v>43299.0</v>
      </c>
      <c r="B10341" s="992"/>
      <c r="C10341" s="32" t="s">
        <v>339</v>
      </c>
      <c r="D10341" s="1"/>
      <c r="F10341" s="1"/>
      <c r="G10341" s="1"/>
      <c r="H10341" s="68"/>
      <c r="I10341" s="76"/>
      <c r="K10341" s="201" t="s">
        <v>3632</v>
      </c>
      <c r="L10341" s="77"/>
      <c r="M10341" s="79"/>
      <c r="N10341" s="1"/>
      <c r="O10341" s="1"/>
      <c r="P10341" s="1"/>
      <c r="Q10341" s="1"/>
      <c r="R10341" s="1"/>
      <c r="S10341" s="1"/>
      <c r="T10341" s="1"/>
      <c r="U10341" s="1"/>
      <c r="V10341" s="1"/>
      <c r="W10341" s="1"/>
      <c r="X10341" s="1"/>
      <c r="Y10341" s="1"/>
      <c r="Z10341" s="1"/>
      <c r="AA10341" s="1"/>
      <c r="AB10341" s="1"/>
      <c r="AC10341" s="1"/>
      <c r="AD10341" s="1"/>
      <c r="AE10341" s="1"/>
      <c r="AF10341" s="1"/>
      <c r="AG10341" s="1"/>
      <c r="AH10341" s="1"/>
    </row>
    <row r="10342" ht="12.75" hidden="1" customHeight="1" outlineLevel="1">
      <c r="A10342" s="1002">
        <v>43299.0</v>
      </c>
      <c r="B10342" s="992"/>
      <c r="C10342" s="32" t="s">
        <v>429</v>
      </c>
      <c r="D10342" s="1"/>
      <c r="F10342" s="1"/>
      <c r="G10342" s="1"/>
      <c r="H10342" s="68"/>
      <c r="I10342" s="76"/>
      <c r="K10342" s="9" t="s">
        <v>3621</v>
      </c>
      <c r="L10342" s="77"/>
      <c r="M10342" s="79"/>
      <c r="N10342" s="1"/>
      <c r="O10342" s="1"/>
      <c r="P10342" s="1"/>
      <c r="Q10342" s="1"/>
      <c r="R10342" s="1"/>
      <c r="S10342" s="1"/>
      <c r="T10342" s="1"/>
      <c r="U10342" s="1"/>
      <c r="V10342" s="1"/>
      <c r="W10342" s="1"/>
      <c r="X10342" s="1"/>
      <c r="Y10342" s="1"/>
      <c r="Z10342" s="1"/>
      <c r="AA10342" s="1"/>
      <c r="AB10342" s="1"/>
      <c r="AC10342" s="1"/>
      <c r="AD10342" s="1"/>
      <c r="AE10342" s="1"/>
      <c r="AF10342" s="1"/>
      <c r="AG10342" s="1"/>
      <c r="AH10342" s="1"/>
    </row>
    <row r="10343" ht="12.75" hidden="1" customHeight="1" outlineLevel="1">
      <c r="A10343" s="1002">
        <v>43299.0</v>
      </c>
      <c r="B10343" s="992"/>
      <c r="C10343" s="32" t="s">
        <v>431</v>
      </c>
      <c r="D10343" s="1"/>
      <c r="F10343" s="1"/>
      <c r="G10343" s="1"/>
      <c r="H10343" s="68"/>
      <c r="I10343" s="76"/>
      <c r="K10343" s="7" t="s">
        <v>1126</v>
      </c>
      <c r="L10343" s="77"/>
      <c r="M10343" s="79"/>
      <c r="N10343" s="1"/>
      <c r="O10343" s="1"/>
      <c r="P10343" s="1"/>
      <c r="Q10343" s="1"/>
      <c r="R10343" s="1"/>
      <c r="S10343" s="1"/>
      <c r="T10343" s="1"/>
      <c r="U10343" s="1"/>
      <c r="V10343" s="1"/>
      <c r="W10343" s="1"/>
      <c r="X10343" s="1"/>
      <c r="Y10343" s="1"/>
      <c r="Z10343" s="1"/>
      <c r="AA10343" s="1"/>
      <c r="AB10343" s="1"/>
      <c r="AC10343" s="1"/>
      <c r="AD10343" s="1"/>
      <c r="AE10343" s="1"/>
      <c r="AF10343" s="1"/>
      <c r="AG10343" s="1"/>
      <c r="AH10343" s="1"/>
    </row>
    <row r="10344" ht="12.75" hidden="1" customHeight="1" outlineLevel="1">
      <c r="A10344" s="1002">
        <v>43299.0</v>
      </c>
      <c r="B10344" s="992"/>
      <c r="C10344" s="32" t="s">
        <v>433</v>
      </c>
      <c r="D10344" s="1"/>
      <c r="F10344" s="1"/>
      <c r="G10344" s="1"/>
      <c r="H10344" s="68"/>
      <c r="I10344" s="76"/>
      <c r="K10344" s="7" t="s">
        <v>1103</v>
      </c>
      <c r="L10344" s="77"/>
      <c r="M10344" s="79"/>
      <c r="N10344" s="1"/>
      <c r="O10344" s="1"/>
      <c r="P10344" s="1"/>
      <c r="Q10344" s="1"/>
      <c r="R10344" s="1"/>
      <c r="S10344" s="1"/>
      <c r="T10344" s="1"/>
      <c r="U10344" s="1"/>
      <c r="V10344" s="1"/>
      <c r="W10344" s="1"/>
      <c r="X10344" s="1"/>
      <c r="Y10344" s="1"/>
      <c r="Z10344" s="1"/>
      <c r="AA10344" s="1"/>
      <c r="AB10344" s="1"/>
      <c r="AC10344" s="1"/>
      <c r="AD10344" s="1"/>
      <c r="AE10344" s="1"/>
      <c r="AF10344" s="1"/>
      <c r="AG10344" s="1"/>
      <c r="AH10344" s="1"/>
    </row>
    <row r="10345" ht="12.75" hidden="1" customHeight="1" outlineLevel="1">
      <c r="A10345" s="1002">
        <v>43299.0</v>
      </c>
      <c r="B10345" s="992"/>
      <c r="C10345" s="32" t="s">
        <v>435</v>
      </c>
      <c r="D10345" s="1"/>
      <c r="F10345" s="1"/>
      <c r="G10345" s="1"/>
      <c r="H10345" s="68"/>
      <c r="I10345" s="76"/>
      <c r="K10345" s="9" t="s">
        <v>3622</v>
      </c>
      <c r="L10345" s="77"/>
      <c r="M10345" s="79"/>
      <c r="N10345" s="1"/>
      <c r="O10345" s="1"/>
      <c r="P10345" s="1"/>
      <c r="Q10345" s="1"/>
      <c r="R10345" s="1"/>
      <c r="S10345" s="1"/>
      <c r="T10345" s="1"/>
      <c r="U10345" s="1"/>
      <c r="V10345" s="1"/>
      <c r="W10345" s="1"/>
      <c r="X10345" s="1"/>
      <c r="Y10345" s="1"/>
      <c r="Z10345" s="1"/>
      <c r="AA10345" s="1"/>
      <c r="AB10345" s="1"/>
      <c r="AC10345" s="1"/>
      <c r="AD10345" s="1"/>
      <c r="AE10345" s="1"/>
      <c r="AF10345" s="1"/>
      <c r="AG10345" s="1"/>
      <c r="AH10345" s="1"/>
    </row>
    <row r="10346" ht="12.75" hidden="1" customHeight="1" outlineLevel="1">
      <c r="A10346" s="202">
        <v>43299.0</v>
      </c>
      <c r="B10346" s="985" t="s">
        <v>343</v>
      </c>
      <c r="C10346" s="94" t="s">
        <v>1088</v>
      </c>
      <c r="D10346" s="94">
        <v>4.0</v>
      </c>
      <c r="E10346" s="94">
        <v>3129.0</v>
      </c>
      <c r="F10346" s="1003">
        <v>0.40413194444444445</v>
      </c>
      <c r="G10346" s="1004" t="s">
        <v>453</v>
      </c>
      <c r="H10346" s="987">
        <v>1.0</v>
      </c>
      <c r="I10346" s="988" t="s">
        <v>3145</v>
      </c>
      <c r="J10346" s="67">
        <f t="shared" ref="J10346:J10350" si="578">IF(B10346="SLD",D10346*E10346,-D10346*E10346)-H10346</f>
        <v>-12517</v>
      </c>
      <c r="K10346" s="1"/>
      <c r="L10346" s="70"/>
      <c r="M10346" s="79"/>
      <c r="N10346" s="1"/>
      <c r="O10346" s="1"/>
      <c r="P10346" s="1"/>
      <c r="Q10346" s="1"/>
      <c r="R10346" s="1"/>
      <c r="S10346" s="1"/>
      <c r="T10346" s="1"/>
      <c r="U10346" s="1"/>
      <c r="V10346" s="1"/>
      <c r="W10346" s="1"/>
      <c r="X10346" s="1"/>
      <c r="Y10346" s="1"/>
      <c r="Z10346" s="1"/>
      <c r="AA10346" s="1"/>
      <c r="AB10346" s="1"/>
      <c r="AC10346" s="1"/>
      <c r="AD10346" s="1"/>
      <c r="AE10346" s="1"/>
      <c r="AF10346" s="1"/>
      <c r="AG10346" s="1"/>
      <c r="AH10346" s="1"/>
    </row>
    <row r="10347" ht="12.75" hidden="1" customHeight="1" outlineLevel="1">
      <c r="A10347" s="202">
        <v>43299.0</v>
      </c>
      <c r="B10347" s="985" t="s">
        <v>343</v>
      </c>
      <c r="C10347" s="94" t="s">
        <v>3040</v>
      </c>
      <c r="D10347" s="94">
        <v>50.0</v>
      </c>
      <c r="E10347" s="94">
        <v>196.37</v>
      </c>
      <c r="F10347" s="1003">
        <v>0.4014814814814815</v>
      </c>
      <c r="G10347" s="1004" t="s">
        <v>453</v>
      </c>
      <c r="H10347" s="987">
        <v>1.0</v>
      </c>
      <c r="I10347" s="988" t="s">
        <v>3145</v>
      </c>
      <c r="J10347" s="67">
        <f t="shared" si="578"/>
        <v>-9819.5</v>
      </c>
      <c r="K10347" s="1"/>
      <c r="L10347" s="70"/>
      <c r="M10347" s="79"/>
      <c r="N10347" s="1"/>
      <c r="O10347" s="1"/>
      <c r="P10347" s="1"/>
      <c r="Q10347" s="1"/>
      <c r="R10347" s="1"/>
      <c r="S10347" s="1"/>
      <c r="T10347" s="1"/>
      <c r="U10347" s="1"/>
      <c r="V10347" s="1"/>
      <c r="W10347" s="1"/>
      <c r="X10347" s="1"/>
      <c r="Y10347" s="1"/>
      <c r="Z10347" s="1"/>
      <c r="AA10347" s="1"/>
      <c r="AB10347" s="1"/>
      <c r="AC10347" s="1"/>
      <c r="AD10347" s="1"/>
      <c r="AE10347" s="1"/>
      <c r="AF10347" s="1"/>
      <c r="AG10347" s="1"/>
      <c r="AH10347" s="1"/>
    </row>
    <row r="10348" ht="12.75" hidden="1" customHeight="1" outlineLevel="1">
      <c r="A10348" s="202">
        <v>43299.0</v>
      </c>
      <c r="B10348" s="985" t="s">
        <v>343</v>
      </c>
      <c r="C10348" s="94" t="s">
        <v>1114</v>
      </c>
      <c r="D10348" s="94">
        <v>300.0</v>
      </c>
      <c r="E10348" s="94">
        <v>48.28</v>
      </c>
      <c r="F10348" s="1003">
        <v>0.39998842592592593</v>
      </c>
      <c r="G10348" s="1004" t="s">
        <v>453</v>
      </c>
      <c r="H10348" s="987">
        <v>1.5</v>
      </c>
      <c r="I10348" s="988" t="s">
        <v>3145</v>
      </c>
      <c r="J10348" s="67">
        <f t="shared" si="578"/>
        <v>-14485.5</v>
      </c>
      <c r="K10348" s="1"/>
      <c r="L10348" s="70"/>
      <c r="M10348" s="79"/>
      <c r="N10348" s="1"/>
      <c r="O10348" s="1"/>
      <c r="P10348" s="1"/>
      <c r="Q10348" s="1"/>
      <c r="R10348" s="1"/>
      <c r="S10348" s="1"/>
      <c r="T10348" s="1"/>
      <c r="U10348" s="1"/>
      <c r="V10348" s="1"/>
      <c r="W10348" s="1"/>
      <c r="X10348" s="1"/>
      <c r="Y10348" s="1"/>
      <c r="Z10348" s="1"/>
      <c r="AA10348" s="1"/>
      <c r="AB10348" s="1"/>
      <c r="AC10348" s="1"/>
      <c r="AD10348" s="1"/>
      <c r="AE10348" s="1"/>
      <c r="AF10348" s="1"/>
      <c r="AG10348" s="1"/>
      <c r="AH10348" s="1"/>
    </row>
    <row r="10349" ht="12.75" hidden="1" customHeight="1" outlineLevel="1">
      <c r="A10349" s="202">
        <v>43299.0</v>
      </c>
      <c r="B10349" s="985" t="s">
        <v>343</v>
      </c>
      <c r="C10349" s="94" t="s">
        <v>1035</v>
      </c>
      <c r="D10349" s="94">
        <v>10.0</v>
      </c>
      <c r="E10349" s="94">
        <v>1217.0</v>
      </c>
      <c r="F10349" s="1003">
        <v>0.3993055555555556</v>
      </c>
      <c r="G10349" s="1004" t="s">
        <v>453</v>
      </c>
      <c r="H10349" s="987">
        <v>1.0</v>
      </c>
      <c r="I10349" s="988" t="s">
        <v>3145</v>
      </c>
      <c r="J10349" s="67">
        <f t="shared" si="578"/>
        <v>-12171</v>
      </c>
      <c r="K10349" s="1"/>
      <c r="L10349" s="70"/>
      <c r="M10349" s="79"/>
      <c r="N10349" s="1"/>
      <c r="O10349" s="1"/>
      <c r="P10349" s="1"/>
      <c r="Q10349" s="1"/>
      <c r="R10349" s="1"/>
      <c r="S10349" s="1"/>
      <c r="T10349" s="1"/>
      <c r="U10349" s="1"/>
      <c r="V10349" s="1"/>
      <c r="W10349" s="1"/>
      <c r="X10349" s="1"/>
      <c r="Y10349" s="1"/>
      <c r="Z10349" s="1"/>
      <c r="AA10349" s="1"/>
      <c r="AB10349" s="1"/>
      <c r="AC10349" s="1"/>
      <c r="AD10349" s="1"/>
      <c r="AE10349" s="1"/>
      <c r="AF10349" s="1"/>
      <c r="AG10349" s="1"/>
      <c r="AH10349" s="1"/>
    </row>
    <row r="10350" ht="12.75" hidden="1" customHeight="1" outlineLevel="1">
      <c r="A10350" s="202">
        <v>43299.0</v>
      </c>
      <c r="B10350" s="985" t="s">
        <v>343</v>
      </c>
      <c r="C10350" s="94" t="s">
        <v>1061</v>
      </c>
      <c r="D10350" s="94">
        <v>300.0</v>
      </c>
      <c r="E10350" s="94">
        <v>55.627</v>
      </c>
      <c r="F10350" s="1003">
        <v>0.3987037037037037</v>
      </c>
      <c r="G10350" s="1004" t="s">
        <v>453</v>
      </c>
      <c r="H10350" s="987">
        <v>1.5</v>
      </c>
      <c r="I10350" s="988" t="s">
        <v>3145</v>
      </c>
      <c r="J10350" s="67">
        <f t="shared" si="578"/>
        <v>-16689.6</v>
      </c>
      <c r="K10350" s="1"/>
      <c r="L10350" s="70"/>
      <c r="M10350" s="79"/>
      <c r="N10350" s="1"/>
      <c r="O10350" s="1"/>
      <c r="P10350" s="1"/>
      <c r="Q10350" s="1"/>
      <c r="R10350" s="1"/>
      <c r="S10350" s="1"/>
      <c r="T10350" s="1"/>
      <c r="U10350" s="1"/>
      <c r="V10350" s="1"/>
      <c r="W10350" s="1"/>
      <c r="X10350" s="1"/>
      <c r="Y10350" s="1"/>
      <c r="Z10350" s="1"/>
      <c r="AA10350" s="1"/>
      <c r="AB10350" s="1"/>
      <c r="AC10350" s="1"/>
      <c r="AD10350" s="1"/>
      <c r="AE10350" s="1"/>
      <c r="AF10350" s="1"/>
      <c r="AG10350" s="1"/>
      <c r="AH10350" s="1"/>
    </row>
    <row r="10351" ht="12.75" hidden="1" customHeight="1" outlineLevel="1">
      <c r="A10351" s="1002">
        <v>43300.0</v>
      </c>
      <c r="B10351" s="992"/>
      <c r="C10351" s="32" t="s">
        <v>339</v>
      </c>
      <c r="D10351" s="1"/>
      <c r="F10351" s="1"/>
      <c r="G10351" s="1"/>
      <c r="H10351" s="68"/>
      <c r="I10351" s="76"/>
      <c r="K10351" s="201" t="s">
        <v>3633</v>
      </c>
      <c r="L10351" s="77"/>
      <c r="M10351" s="79"/>
      <c r="N10351" s="1"/>
      <c r="O10351" s="1"/>
      <c r="P10351" s="1"/>
      <c r="Q10351" s="1"/>
      <c r="R10351" s="1"/>
      <c r="S10351" s="1"/>
      <c r="T10351" s="1"/>
      <c r="U10351" s="1"/>
      <c r="V10351" s="1"/>
      <c r="W10351" s="1"/>
      <c r="X10351" s="1"/>
      <c r="Y10351" s="1"/>
      <c r="Z10351" s="1"/>
      <c r="AA10351" s="1"/>
      <c r="AB10351" s="1"/>
      <c r="AC10351" s="1"/>
      <c r="AD10351" s="1"/>
      <c r="AE10351" s="1"/>
      <c r="AF10351" s="1"/>
      <c r="AG10351" s="1"/>
      <c r="AH10351" s="1"/>
    </row>
    <row r="10352" ht="12.75" hidden="1" customHeight="1" outlineLevel="1">
      <c r="A10352" s="1002">
        <v>43300.0</v>
      </c>
      <c r="B10352" s="992"/>
      <c r="C10352" s="32" t="s">
        <v>429</v>
      </c>
      <c r="D10352" s="1"/>
      <c r="F10352" s="1"/>
      <c r="G10352" s="1"/>
      <c r="H10352" s="68"/>
      <c r="I10352" s="76"/>
      <c r="K10352" s="9" t="s">
        <v>3621</v>
      </c>
      <c r="L10352" s="77"/>
      <c r="M10352" s="79"/>
      <c r="N10352" s="1"/>
      <c r="O10352" s="1"/>
      <c r="P10352" s="1"/>
      <c r="Q10352" s="1"/>
      <c r="R10352" s="1"/>
      <c r="S10352" s="1"/>
      <c r="T10352" s="1"/>
      <c r="U10352" s="1"/>
      <c r="V10352" s="1"/>
      <c r="W10352" s="1"/>
      <c r="X10352" s="1"/>
      <c r="Y10352" s="1"/>
      <c r="Z10352" s="1"/>
      <c r="AA10352" s="1"/>
      <c r="AB10352" s="1"/>
      <c r="AC10352" s="1"/>
      <c r="AD10352" s="1"/>
      <c r="AE10352" s="1"/>
      <c r="AF10352" s="1"/>
      <c r="AG10352" s="1"/>
      <c r="AH10352" s="1"/>
    </row>
    <row r="10353" ht="12.75" hidden="1" customHeight="1" outlineLevel="1">
      <c r="A10353" s="1002">
        <v>43300.0</v>
      </c>
      <c r="B10353" s="992"/>
      <c r="C10353" s="32" t="s">
        <v>431</v>
      </c>
      <c r="D10353" s="1"/>
      <c r="F10353" s="1"/>
      <c r="G10353" s="1"/>
      <c r="H10353" s="68"/>
      <c r="I10353" s="76"/>
      <c r="K10353" s="7" t="s">
        <v>1126</v>
      </c>
      <c r="L10353" s="77"/>
      <c r="M10353" s="79"/>
      <c r="N10353" s="1"/>
      <c r="O10353" s="1"/>
      <c r="P10353" s="1"/>
      <c r="Q10353" s="1"/>
      <c r="R10353" s="1"/>
      <c r="S10353" s="1"/>
      <c r="T10353" s="1"/>
      <c r="U10353" s="1"/>
      <c r="V10353" s="1"/>
      <c r="W10353" s="1"/>
      <c r="X10353" s="1"/>
      <c r="Y10353" s="1"/>
      <c r="Z10353" s="1"/>
      <c r="AA10353" s="1"/>
      <c r="AB10353" s="1"/>
      <c r="AC10353" s="1"/>
      <c r="AD10353" s="1"/>
      <c r="AE10353" s="1"/>
      <c r="AF10353" s="1"/>
      <c r="AG10353" s="1"/>
      <c r="AH10353" s="1"/>
    </row>
    <row r="10354" ht="12.75" hidden="1" customHeight="1" outlineLevel="1">
      <c r="A10354" s="1002">
        <v>43300.0</v>
      </c>
      <c r="B10354" s="992"/>
      <c r="C10354" s="32" t="s">
        <v>433</v>
      </c>
      <c r="D10354" s="1"/>
      <c r="F10354" s="1"/>
      <c r="G10354" s="1"/>
      <c r="H10354" s="68"/>
      <c r="I10354" s="76"/>
      <c r="K10354" s="7" t="s">
        <v>1103</v>
      </c>
      <c r="L10354" s="77"/>
      <c r="M10354" s="79"/>
      <c r="N10354" s="1"/>
      <c r="O10354" s="1"/>
      <c r="P10354" s="1"/>
      <c r="Q10354" s="1"/>
      <c r="R10354" s="1"/>
      <c r="S10354" s="1"/>
      <c r="T10354" s="1"/>
      <c r="U10354" s="1"/>
      <c r="V10354" s="1"/>
      <c r="W10354" s="1"/>
      <c r="X10354" s="1"/>
      <c r="Y10354" s="1"/>
      <c r="Z10354" s="1"/>
      <c r="AA10354" s="1"/>
      <c r="AB10354" s="1"/>
      <c r="AC10354" s="1"/>
      <c r="AD10354" s="1"/>
      <c r="AE10354" s="1"/>
      <c r="AF10354" s="1"/>
      <c r="AG10354" s="1"/>
      <c r="AH10354" s="1"/>
    </row>
    <row r="10355" ht="12.75" hidden="1" customHeight="1" outlineLevel="1">
      <c r="A10355" s="1002">
        <v>43300.0</v>
      </c>
      <c r="B10355" s="992"/>
      <c r="C10355" s="32" t="s">
        <v>435</v>
      </c>
      <c r="D10355" s="1"/>
      <c r="F10355" s="1"/>
      <c r="G10355" s="1"/>
      <c r="H10355" s="68"/>
      <c r="I10355" s="76"/>
      <c r="K10355" s="9" t="s">
        <v>3622</v>
      </c>
      <c r="L10355" s="77"/>
      <c r="M10355" s="79"/>
      <c r="N10355" s="1"/>
      <c r="O10355" s="1"/>
      <c r="P10355" s="1"/>
      <c r="Q10355" s="1"/>
      <c r="R10355" s="1"/>
      <c r="S10355" s="1"/>
      <c r="T10355" s="1"/>
      <c r="U10355" s="1"/>
      <c r="V10355" s="1"/>
      <c r="W10355" s="1"/>
      <c r="X10355" s="1"/>
      <c r="Y10355" s="1"/>
      <c r="Z10355" s="1"/>
      <c r="AA10355" s="1"/>
      <c r="AB10355" s="1"/>
      <c r="AC10355" s="1"/>
      <c r="AD10355" s="1"/>
      <c r="AE10355" s="1"/>
      <c r="AF10355" s="1"/>
      <c r="AG10355" s="1"/>
      <c r="AH10355" s="1"/>
    </row>
    <row r="10356" ht="12.75" hidden="1" customHeight="1" outlineLevel="1">
      <c r="A10356" s="1002">
        <v>43300.0</v>
      </c>
      <c r="B10356" s="985" t="s">
        <v>343</v>
      </c>
      <c r="C10356" s="94" t="s">
        <v>847</v>
      </c>
      <c r="D10356" s="94">
        <v>30.0</v>
      </c>
      <c r="E10356" s="94">
        <v>176.2</v>
      </c>
      <c r="F10356" s="998">
        <v>43300.42922453704</v>
      </c>
      <c r="G10356" s="94" t="s">
        <v>453</v>
      </c>
      <c r="H10356" s="987">
        <v>1.0</v>
      </c>
      <c r="I10356" s="988" t="s">
        <v>3145</v>
      </c>
      <c r="J10356" s="67">
        <f t="shared" ref="J10356:J10357" si="579">IF(B10356="SLD",D10356*E10356,-D10356*E10356)-H10356</f>
        <v>-5287</v>
      </c>
      <c r="K10356" s="201"/>
      <c r="L10356" s="70"/>
      <c r="M10356" s="79"/>
      <c r="N10356" s="1"/>
      <c r="O10356" s="1"/>
      <c r="P10356" s="1"/>
      <c r="Q10356" s="1"/>
      <c r="R10356" s="1"/>
      <c r="S10356" s="1"/>
      <c r="T10356" s="1"/>
      <c r="U10356" s="1"/>
      <c r="V10356" s="1"/>
      <c r="W10356" s="1"/>
      <c r="X10356" s="1"/>
      <c r="Y10356" s="1"/>
      <c r="Z10356" s="1"/>
      <c r="AA10356" s="1"/>
      <c r="AB10356" s="1"/>
      <c r="AC10356" s="1"/>
      <c r="AD10356" s="1"/>
      <c r="AE10356" s="1"/>
      <c r="AF10356" s="1"/>
      <c r="AG10356" s="1"/>
      <c r="AH10356" s="1"/>
    </row>
    <row r="10357" ht="12.75" hidden="1" customHeight="1" outlineLevel="1">
      <c r="A10357" s="1002">
        <v>43300.0</v>
      </c>
      <c r="B10357" s="985" t="s">
        <v>347</v>
      </c>
      <c r="C10357" s="94" t="s">
        <v>1576</v>
      </c>
      <c r="D10357" s="94">
        <v>125.0</v>
      </c>
      <c r="E10357" s="94">
        <v>44.9</v>
      </c>
      <c r="F10357" s="998">
        <v>43300.42864583333</v>
      </c>
      <c r="G10357" s="94" t="s">
        <v>453</v>
      </c>
      <c r="H10357" s="987">
        <v>1.09</v>
      </c>
      <c r="I10357" s="988" t="s">
        <v>3145</v>
      </c>
      <c r="J10357" s="67">
        <f t="shared" si="579"/>
        <v>5611.41</v>
      </c>
      <c r="K10357" s="201"/>
      <c r="L10357" s="70"/>
      <c r="M10357" s="79"/>
      <c r="N10357" s="1"/>
      <c r="O10357" s="1"/>
      <c r="P10357" s="1"/>
      <c r="Q10357" s="1"/>
      <c r="R10357" s="1"/>
      <c r="S10357" s="1"/>
      <c r="T10357" s="1"/>
      <c r="U10357" s="1"/>
      <c r="V10357" s="1"/>
      <c r="W10357" s="1"/>
      <c r="X10357" s="1"/>
      <c r="Y10357" s="1"/>
      <c r="Z10357" s="1"/>
      <c r="AA10357" s="1"/>
      <c r="AB10357" s="1"/>
      <c r="AC10357" s="1"/>
      <c r="AD10357" s="1"/>
      <c r="AE10357" s="1"/>
      <c r="AF10357" s="1"/>
      <c r="AG10357" s="1"/>
      <c r="AH10357" s="1"/>
    </row>
    <row r="10358" ht="12.75" hidden="1" customHeight="1" outlineLevel="1">
      <c r="A10358" s="1002">
        <v>43301.0</v>
      </c>
      <c r="B10358" s="992"/>
      <c r="C10358" s="32" t="s">
        <v>339</v>
      </c>
      <c r="D10358" s="1"/>
      <c r="F10358" s="1"/>
      <c r="G10358" s="1"/>
      <c r="H10358" s="68"/>
      <c r="I10358" s="76"/>
      <c r="K10358" s="201" t="s">
        <v>3634</v>
      </c>
      <c r="L10358" s="77"/>
      <c r="M10358" s="79"/>
      <c r="N10358" s="1"/>
      <c r="O10358" s="1"/>
      <c r="P10358" s="1"/>
      <c r="Q10358" s="1"/>
      <c r="R10358" s="1"/>
      <c r="S10358" s="1"/>
      <c r="T10358" s="1"/>
      <c r="U10358" s="1"/>
      <c r="V10358" s="1"/>
      <c r="W10358" s="1"/>
      <c r="X10358" s="1"/>
      <c r="Y10358" s="1"/>
      <c r="Z10358" s="1"/>
      <c r="AA10358" s="1"/>
      <c r="AB10358" s="1"/>
      <c r="AC10358" s="1"/>
      <c r="AD10358" s="1"/>
      <c r="AE10358" s="1"/>
      <c r="AF10358" s="1"/>
      <c r="AG10358" s="1"/>
      <c r="AH10358" s="1"/>
    </row>
    <row r="10359" ht="12.75" hidden="1" customHeight="1" outlineLevel="1">
      <c r="A10359" s="1002">
        <v>43301.0</v>
      </c>
      <c r="B10359" s="992"/>
      <c r="C10359" s="32" t="s">
        <v>429</v>
      </c>
      <c r="D10359" s="1"/>
      <c r="F10359" s="1"/>
      <c r="G10359" s="1"/>
      <c r="H10359" s="68"/>
      <c r="I10359" s="76"/>
      <c r="K10359" s="9" t="s">
        <v>3621</v>
      </c>
      <c r="L10359" s="77"/>
      <c r="M10359" s="79"/>
      <c r="N10359" s="1"/>
      <c r="O10359" s="1"/>
      <c r="P10359" s="1"/>
      <c r="Q10359" s="1"/>
      <c r="R10359" s="1"/>
      <c r="S10359" s="1"/>
      <c r="T10359" s="1"/>
      <c r="U10359" s="1"/>
      <c r="V10359" s="1"/>
      <c r="W10359" s="1"/>
      <c r="X10359" s="1"/>
      <c r="Y10359" s="1"/>
      <c r="Z10359" s="1"/>
      <c r="AA10359" s="1"/>
      <c r="AB10359" s="1"/>
      <c r="AC10359" s="1"/>
      <c r="AD10359" s="1"/>
      <c r="AE10359" s="1"/>
      <c r="AF10359" s="1"/>
      <c r="AG10359" s="1"/>
      <c r="AH10359" s="1"/>
    </row>
    <row r="10360" ht="12.75" hidden="1" customHeight="1" outlineLevel="1">
      <c r="A10360" s="1002">
        <v>43301.0</v>
      </c>
      <c r="B10360" s="992"/>
      <c r="C10360" s="32" t="s">
        <v>431</v>
      </c>
      <c r="D10360" s="1"/>
      <c r="F10360" s="1"/>
      <c r="G10360" s="1"/>
      <c r="H10360" s="68"/>
      <c r="I10360" s="76"/>
      <c r="K10360" s="7" t="s">
        <v>1126</v>
      </c>
      <c r="L10360" s="77"/>
      <c r="M10360" s="79"/>
      <c r="N10360" s="1"/>
      <c r="O10360" s="1"/>
      <c r="P10360" s="1"/>
      <c r="Q10360" s="1"/>
      <c r="R10360" s="1"/>
      <c r="S10360" s="1"/>
      <c r="T10360" s="1"/>
      <c r="U10360" s="1"/>
      <c r="V10360" s="1"/>
      <c r="W10360" s="1"/>
      <c r="X10360" s="1"/>
      <c r="Y10360" s="1"/>
      <c r="Z10360" s="1"/>
      <c r="AA10360" s="1"/>
      <c r="AB10360" s="1"/>
      <c r="AC10360" s="1"/>
      <c r="AD10360" s="1"/>
      <c r="AE10360" s="1"/>
      <c r="AF10360" s="1"/>
      <c r="AG10360" s="1"/>
      <c r="AH10360" s="1"/>
    </row>
    <row r="10361" ht="12.75" hidden="1" customHeight="1" outlineLevel="1">
      <c r="A10361" s="1002">
        <v>43301.0</v>
      </c>
      <c r="B10361" s="992"/>
      <c r="C10361" s="32" t="s">
        <v>433</v>
      </c>
      <c r="D10361" s="1"/>
      <c r="F10361" s="1"/>
      <c r="G10361" s="1"/>
      <c r="H10361" s="68"/>
      <c r="I10361" s="76"/>
      <c r="K10361" s="7" t="s">
        <v>1103</v>
      </c>
      <c r="L10361" s="77"/>
      <c r="M10361" s="79"/>
      <c r="N10361" s="1"/>
      <c r="O10361" s="1"/>
      <c r="P10361" s="1"/>
      <c r="Q10361" s="1"/>
      <c r="R10361" s="1"/>
      <c r="S10361" s="1"/>
      <c r="T10361" s="1"/>
      <c r="U10361" s="1"/>
      <c r="V10361" s="1"/>
      <c r="W10361" s="1"/>
      <c r="X10361" s="1"/>
      <c r="Y10361" s="1"/>
      <c r="Z10361" s="1"/>
      <c r="AA10361" s="1"/>
      <c r="AB10361" s="1"/>
      <c r="AC10361" s="1"/>
      <c r="AD10361" s="1"/>
      <c r="AE10361" s="1"/>
      <c r="AF10361" s="1"/>
      <c r="AG10361" s="1"/>
      <c r="AH10361" s="1"/>
    </row>
    <row r="10362" ht="12.75" hidden="1" customHeight="1" outlineLevel="1">
      <c r="A10362" s="1002">
        <v>43301.0</v>
      </c>
      <c r="B10362" s="992"/>
      <c r="C10362" s="32" t="s">
        <v>435</v>
      </c>
      <c r="D10362" s="1"/>
      <c r="F10362" s="1"/>
      <c r="G10362" s="1"/>
      <c r="H10362" s="68"/>
      <c r="I10362" s="76"/>
      <c r="K10362" s="9" t="s">
        <v>3622</v>
      </c>
      <c r="L10362" s="77"/>
      <c r="M10362" s="79"/>
      <c r="N10362" s="1"/>
      <c r="O10362" s="1"/>
      <c r="P10362" s="1"/>
      <c r="Q10362" s="1"/>
      <c r="R10362" s="1"/>
      <c r="S10362" s="1"/>
      <c r="T10362" s="1"/>
      <c r="U10362" s="1"/>
      <c r="V10362" s="1"/>
      <c r="W10362" s="1"/>
      <c r="X10362" s="1"/>
      <c r="Y10362" s="1"/>
      <c r="Z10362" s="1"/>
      <c r="AA10362" s="1"/>
      <c r="AB10362" s="1"/>
      <c r="AC10362" s="1"/>
      <c r="AD10362" s="1"/>
      <c r="AE10362" s="1"/>
      <c r="AF10362" s="1"/>
      <c r="AG10362" s="1"/>
      <c r="AH10362" s="1"/>
    </row>
    <row r="10363" ht="12.75" hidden="1" customHeight="1" outlineLevel="1">
      <c r="A10363" s="1002">
        <v>43305.0</v>
      </c>
      <c r="B10363" s="992"/>
      <c r="C10363" s="32" t="s">
        <v>339</v>
      </c>
      <c r="D10363" s="1"/>
      <c r="F10363" s="1"/>
      <c r="G10363" s="1"/>
      <c r="H10363" s="68"/>
      <c r="I10363" s="76"/>
      <c r="K10363" s="201" t="s">
        <v>3635</v>
      </c>
      <c r="L10363" s="77"/>
      <c r="M10363" s="79"/>
      <c r="N10363" s="1"/>
      <c r="O10363" s="1"/>
      <c r="P10363" s="1"/>
      <c r="Q10363" s="1"/>
      <c r="R10363" s="1"/>
      <c r="S10363" s="1"/>
      <c r="T10363" s="1"/>
      <c r="U10363" s="1"/>
      <c r="V10363" s="1"/>
      <c r="W10363" s="1"/>
      <c r="X10363" s="1"/>
      <c r="Y10363" s="1"/>
      <c r="Z10363" s="1"/>
      <c r="AA10363" s="1"/>
      <c r="AB10363" s="1"/>
      <c r="AC10363" s="1"/>
      <c r="AD10363" s="1"/>
      <c r="AE10363" s="1"/>
      <c r="AF10363" s="1"/>
      <c r="AG10363" s="1"/>
      <c r="AH10363" s="1"/>
    </row>
    <row r="10364" ht="12.75" hidden="1" customHeight="1" outlineLevel="1">
      <c r="A10364" s="1002">
        <v>43305.0</v>
      </c>
      <c r="B10364" s="992"/>
      <c r="C10364" s="32" t="s">
        <v>429</v>
      </c>
      <c r="D10364" s="1"/>
      <c r="F10364" s="1"/>
      <c r="G10364" s="1"/>
      <c r="H10364" s="68"/>
      <c r="I10364" s="76"/>
      <c r="K10364" s="9" t="s">
        <v>3621</v>
      </c>
      <c r="L10364" s="77"/>
      <c r="M10364" s="79"/>
      <c r="N10364" s="1"/>
      <c r="O10364" s="1"/>
      <c r="P10364" s="1"/>
      <c r="Q10364" s="1"/>
      <c r="R10364" s="1"/>
      <c r="S10364" s="1"/>
      <c r="T10364" s="1"/>
      <c r="U10364" s="1"/>
      <c r="V10364" s="1"/>
      <c r="W10364" s="1"/>
      <c r="X10364" s="1"/>
      <c r="Y10364" s="1"/>
      <c r="Z10364" s="1"/>
      <c r="AA10364" s="1"/>
      <c r="AB10364" s="1"/>
      <c r="AC10364" s="1"/>
      <c r="AD10364" s="1"/>
      <c r="AE10364" s="1"/>
      <c r="AF10364" s="1"/>
      <c r="AG10364" s="1"/>
      <c r="AH10364" s="1"/>
    </row>
    <row r="10365" ht="12.75" hidden="1" customHeight="1" outlineLevel="1">
      <c r="A10365" s="1002">
        <v>43305.0</v>
      </c>
      <c r="B10365" s="992"/>
      <c r="C10365" s="32" t="s">
        <v>431</v>
      </c>
      <c r="D10365" s="1"/>
      <c r="F10365" s="1"/>
      <c r="G10365" s="1"/>
      <c r="H10365" s="68"/>
      <c r="I10365" s="76"/>
      <c r="K10365" s="7" t="s">
        <v>1126</v>
      </c>
      <c r="L10365" s="77"/>
      <c r="M10365" s="79"/>
      <c r="N10365" s="1"/>
      <c r="O10365" s="1"/>
      <c r="P10365" s="1"/>
      <c r="Q10365" s="1"/>
      <c r="R10365" s="1"/>
      <c r="S10365" s="1"/>
      <c r="T10365" s="1"/>
      <c r="U10365" s="1"/>
      <c r="V10365" s="1"/>
      <c r="W10365" s="1"/>
      <c r="X10365" s="1"/>
      <c r="Y10365" s="1"/>
      <c r="Z10365" s="1"/>
      <c r="AA10365" s="1"/>
      <c r="AB10365" s="1"/>
      <c r="AC10365" s="1"/>
      <c r="AD10365" s="1"/>
      <c r="AE10365" s="1"/>
      <c r="AF10365" s="1"/>
      <c r="AG10365" s="1"/>
      <c r="AH10365" s="1"/>
    </row>
    <row r="10366" ht="12.75" hidden="1" customHeight="1" outlineLevel="1">
      <c r="A10366" s="1002">
        <v>43305.0</v>
      </c>
      <c r="B10366" s="992"/>
      <c r="C10366" s="32" t="s">
        <v>433</v>
      </c>
      <c r="D10366" s="1"/>
      <c r="F10366" s="1"/>
      <c r="G10366" s="1"/>
      <c r="H10366" s="68"/>
      <c r="I10366" s="76"/>
      <c r="K10366" s="7" t="s">
        <v>1103</v>
      </c>
      <c r="L10366" s="77"/>
      <c r="M10366" s="79"/>
      <c r="N10366" s="1"/>
      <c r="O10366" s="1"/>
      <c r="P10366" s="1"/>
      <c r="Q10366" s="1"/>
      <c r="R10366" s="1"/>
      <c r="S10366" s="1"/>
      <c r="T10366" s="1"/>
      <c r="U10366" s="1"/>
      <c r="V10366" s="1"/>
      <c r="W10366" s="1"/>
      <c r="X10366" s="1"/>
      <c r="Y10366" s="1"/>
      <c r="Z10366" s="1"/>
      <c r="AA10366" s="1"/>
      <c r="AB10366" s="1"/>
      <c r="AC10366" s="1"/>
      <c r="AD10366" s="1"/>
      <c r="AE10366" s="1"/>
      <c r="AF10366" s="1"/>
      <c r="AG10366" s="1"/>
      <c r="AH10366" s="1"/>
    </row>
    <row r="10367" ht="12.75" hidden="1" customHeight="1" outlineLevel="1">
      <c r="A10367" s="1002">
        <v>43305.0</v>
      </c>
      <c r="B10367" s="992"/>
      <c r="C10367" s="32" t="s">
        <v>435</v>
      </c>
      <c r="D10367" s="1"/>
      <c r="F10367" s="1"/>
      <c r="G10367" s="1"/>
      <c r="H10367" s="68"/>
      <c r="I10367" s="76"/>
      <c r="K10367" s="9" t="s">
        <v>3622</v>
      </c>
      <c r="L10367" s="77"/>
      <c r="M10367" s="79"/>
      <c r="N10367" s="1"/>
      <c r="O10367" s="1"/>
      <c r="P10367" s="1"/>
      <c r="Q10367" s="1"/>
      <c r="R10367" s="1"/>
      <c r="S10367" s="1"/>
      <c r="T10367" s="1"/>
      <c r="U10367" s="1"/>
      <c r="V10367" s="1"/>
      <c r="W10367" s="1"/>
      <c r="X10367" s="1"/>
      <c r="Y10367" s="1"/>
      <c r="Z10367" s="1"/>
      <c r="AA10367" s="1"/>
      <c r="AB10367" s="1"/>
      <c r="AC10367" s="1"/>
      <c r="AD10367" s="1"/>
      <c r="AE10367" s="1"/>
      <c r="AF10367" s="1"/>
      <c r="AG10367" s="1"/>
      <c r="AH10367" s="1"/>
    </row>
    <row r="10368" ht="12.75" hidden="1" customHeight="1" outlineLevel="1">
      <c r="A10368" s="1002">
        <v>43306.0</v>
      </c>
      <c r="B10368" s="992"/>
      <c r="C10368" s="32" t="s">
        <v>339</v>
      </c>
      <c r="D10368" s="1"/>
      <c r="F10368" s="1"/>
      <c r="G10368" s="1"/>
      <c r="H10368" s="68"/>
      <c r="I10368" s="76"/>
      <c r="K10368" s="201" t="s">
        <v>3636</v>
      </c>
      <c r="L10368" s="77"/>
      <c r="M10368" s="79"/>
      <c r="N10368" s="1"/>
      <c r="O10368" s="1"/>
      <c r="P10368" s="1"/>
      <c r="Q10368" s="1"/>
      <c r="R10368" s="1"/>
      <c r="S10368" s="1"/>
      <c r="T10368" s="1"/>
      <c r="U10368" s="1"/>
      <c r="V10368" s="1"/>
      <c r="W10368" s="1"/>
      <c r="X10368" s="1"/>
      <c r="Y10368" s="1"/>
      <c r="Z10368" s="1"/>
      <c r="AA10368" s="1"/>
      <c r="AB10368" s="1"/>
      <c r="AC10368" s="1"/>
      <c r="AD10368" s="1"/>
      <c r="AE10368" s="1"/>
      <c r="AF10368" s="1"/>
      <c r="AG10368" s="1"/>
      <c r="AH10368" s="1"/>
    </row>
    <row r="10369" ht="12.75" hidden="1" customHeight="1" outlineLevel="1">
      <c r="A10369" s="202">
        <v>43306.0</v>
      </c>
      <c r="B10369" s="992"/>
      <c r="C10369" s="32" t="s">
        <v>429</v>
      </c>
      <c r="D10369" s="1"/>
      <c r="F10369" s="1"/>
      <c r="G10369" s="1"/>
      <c r="H10369" s="68"/>
      <c r="I10369" s="76"/>
      <c r="K10369" s="9" t="s">
        <v>3621</v>
      </c>
      <c r="L10369" s="77"/>
      <c r="M10369" s="79"/>
      <c r="N10369" s="1"/>
      <c r="O10369" s="1"/>
      <c r="P10369" s="1"/>
      <c r="Q10369" s="1"/>
      <c r="R10369" s="1"/>
      <c r="S10369" s="1"/>
      <c r="T10369" s="1"/>
      <c r="U10369" s="1"/>
      <c r="V10369" s="1"/>
      <c r="W10369" s="1"/>
      <c r="X10369" s="1"/>
      <c r="Y10369" s="1"/>
      <c r="Z10369" s="1"/>
      <c r="AA10369" s="1"/>
      <c r="AB10369" s="1"/>
      <c r="AC10369" s="1"/>
      <c r="AD10369" s="1"/>
      <c r="AE10369" s="1"/>
      <c r="AF10369" s="1"/>
      <c r="AG10369" s="1"/>
      <c r="AH10369" s="1"/>
    </row>
    <row r="10370" ht="12.75" hidden="1" customHeight="1" outlineLevel="1">
      <c r="A10370" s="202">
        <v>43306.0</v>
      </c>
      <c r="B10370" s="992"/>
      <c r="C10370" s="32" t="s">
        <v>431</v>
      </c>
      <c r="D10370" s="1"/>
      <c r="F10370" s="1"/>
      <c r="G10370" s="1"/>
      <c r="H10370" s="68"/>
      <c r="I10370" s="76"/>
      <c r="K10370" s="7" t="s">
        <v>1126</v>
      </c>
      <c r="L10370" s="77"/>
      <c r="M10370" s="79"/>
      <c r="N10370" s="1"/>
      <c r="O10370" s="1"/>
      <c r="P10370" s="1"/>
      <c r="Q10370" s="1"/>
      <c r="R10370" s="1"/>
      <c r="S10370" s="1"/>
      <c r="T10370" s="1"/>
      <c r="U10370" s="1"/>
      <c r="V10370" s="1"/>
      <c r="W10370" s="1"/>
      <c r="X10370" s="1"/>
      <c r="Y10370" s="1"/>
      <c r="Z10370" s="1"/>
      <c r="AA10370" s="1"/>
      <c r="AB10370" s="1"/>
      <c r="AC10370" s="1"/>
      <c r="AD10370" s="1"/>
      <c r="AE10370" s="1"/>
      <c r="AF10370" s="1"/>
      <c r="AG10370" s="1"/>
      <c r="AH10370" s="1"/>
    </row>
    <row r="10371" ht="12.75" hidden="1" customHeight="1" outlineLevel="1">
      <c r="A10371" s="202">
        <v>43306.0</v>
      </c>
      <c r="B10371" s="992"/>
      <c r="C10371" s="32" t="s">
        <v>433</v>
      </c>
      <c r="D10371" s="1"/>
      <c r="F10371" s="1"/>
      <c r="G10371" s="1"/>
      <c r="H10371" s="68"/>
      <c r="I10371" s="76"/>
      <c r="K10371" s="7" t="s">
        <v>1103</v>
      </c>
      <c r="L10371" s="77"/>
      <c r="M10371" s="79"/>
      <c r="N10371" s="1"/>
      <c r="O10371" s="1"/>
      <c r="P10371" s="1"/>
      <c r="Q10371" s="1"/>
      <c r="R10371" s="1"/>
      <c r="S10371" s="1"/>
      <c r="T10371" s="1"/>
      <c r="U10371" s="1"/>
      <c r="V10371" s="1"/>
      <c r="W10371" s="1"/>
      <c r="X10371" s="1"/>
      <c r="Y10371" s="1"/>
      <c r="Z10371" s="1"/>
      <c r="AA10371" s="1"/>
      <c r="AB10371" s="1"/>
      <c r="AC10371" s="1"/>
      <c r="AD10371" s="1"/>
      <c r="AE10371" s="1"/>
      <c r="AF10371" s="1"/>
      <c r="AG10371" s="1"/>
      <c r="AH10371" s="1"/>
    </row>
    <row r="10372" ht="12.75" hidden="1" customHeight="1" outlineLevel="1">
      <c r="A10372" s="202">
        <v>43306.0</v>
      </c>
      <c r="B10372" s="992"/>
      <c r="C10372" s="32" t="s">
        <v>435</v>
      </c>
      <c r="D10372" s="1"/>
      <c r="F10372" s="1"/>
      <c r="G10372" s="1"/>
      <c r="H10372" s="68"/>
      <c r="I10372" s="76"/>
      <c r="K10372" s="9" t="s">
        <v>3622</v>
      </c>
      <c r="L10372" s="77"/>
      <c r="M10372" s="79"/>
      <c r="N10372" s="1"/>
      <c r="O10372" s="1"/>
      <c r="P10372" s="1"/>
      <c r="Q10372" s="1"/>
      <c r="R10372" s="1"/>
      <c r="S10372" s="1"/>
      <c r="T10372" s="1"/>
      <c r="U10372" s="1"/>
      <c r="V10372" s="1"/>
      <c r="W10372" s="1"/>
      <c r="X10372" s="1"/>
      <c r="Y10372" s="1"/>
      <c r="Z10372" s="1"/>
      <c r="AA10372" s="1"/>
      <c r="AB10372" s="1"/>
      <c r="AC10372" s="1"/>
      <c r="AD10372" s="1"/>
      <c r="AE10372" s="1"/>
      <c r="AF10372" s="1"/>
      <c r="AG10372" s="1"/>
      <c r="AH10372" s="1"/>
    </row>
    <row r="10373" ht="12.75" hidden="1" customHeight="1" outlineLevel="1">
      <c r="A10373" s="202">
        <v>43307.0</v>
      </c>
      <c r="B10373" s="985" t="s">
        <v>343</v>
      </c>
      <c r="C10373" s="94" t="s">
        <v>381</v>
      </c>
      <c r="D10373" s="94">
        <v>50.0</v>
      </c>
      <c r="E10373" s="94">
        <v>176.782</v>
      </c>
      <c r="F10373" s="1003">
        <v>0.4344791666666667</v>
      </c>
      <c r="G10373" s="1004" t="s">
        <v>453</v>
      </c>
      <c r="H10373" s="987">
        <v>1.0</v>
      </c>
      <c r="I10373" s="988" t="s">
        <v>3145</v>
      </c>
      <c r="J10373" s="67">
        <f t="shared" ref="J10373:J10375" si="580">IF(B10373="SLD",D10373*E10373,-D10373*E10373)-H10373</f>
        <v>-8840.1</v>
      </c>
      <c r="K10373" s="1"/>
      <c r="L10373" s="70"/>
      <c r="M10373" s="79"/>
      <c r="N10373" s="1"/>
      <c r="O10373" s="1"/>
      <c r="P10373" s="1"/>
      <c r="Q10373" s="1"/>
      <c r="R10373" s="1"/>
      <c r="S10373" s="1"/>
      <c r="T10373" s="1"/>
      <c r="U10373" s="1"/>
      <c r="V10373" s="1"/>
      <c r="W10373" s="1"/>
      <c r="X10373" s="1"/>
      <c r="Y10373" s="1"/>
      <c r="Z10373" s="1"/>
      <c r="AA10373" s="1"/>
      <c r="AB10373" s="1"/>
      <c r="AC10373" s="1"/>
      <c r="AD10373" s="1"/>
      <c r="AE10373" s="1"/>
      <c r="AF10373" s="1"/>
      <c r="AG10373" s="1"/>
      <c r="AH10373" s="1"/>
    </row>
    <row r="10374" ht="12.75" hidden="1" customHeight="1" outlineLevel="1">
      <c r="A10374" s="202">
        <v>43307.0</v>
      </c>
      <c r="B10374" s="985" t="s">
        <v>347</v>
      </c>
      <c r="C10374" s="94" t="s">
        <v>3531</v>
      </c>
      <c r="D10374" s="94">
        <v>200.0</v>
      </c>
      <c r="E10374" s="94">
        <v>38.14</v>
      </c>
      <c r="F10374" s="1003">
        <v>0.4024421296296296</v>
      </c>
      <c r="G10374" s="1004" t="s">
        <v>453</v>
      </c>
      <c r="H10374" s="987">
        <v>1.12</v>
      </c>
      <c r="I10374" s="988" t="s">
        <v>3145</v>
      </c>
      <c r="J10374" s="67">
        <f t="shared" si="580"/>
        <v>7626.88</v>
      </c>
      <c r="K10374" s="1"/>
      <c r="L10374" s="70"/>
      <c r="M10374" s="79"/>
      <c r="N10374" s="1"/>
      <c r="O10374" s="1"/>
      <c r="P10374" s="1"/>
      <c r="Q10374" s="1"/>
      <c r="R10374" s="1"/>
      <c r="S10374" s="1"/>
      <c r="T10374" s="1"/>
      <c r="U10374" s="1"/>
      <c r="V10374" s="1"/>
      <c r="W10374" s="1"/>
      <c r="X10374" s="1"/>
      <c r="Y10374" s="1"/>
      <c r="Z10374" s="1"/>
      <c r="AA10374" s="1"/>
      <c r="AB10374" s="1"/>
      <c r="AC10374" s="1"/>
      <c r="AD10374" s="1"/>
      <c r="AE10374" s="1"/>
      <c r="AF10374" s="1"/>
      <c r="AG10374" s="1"/>
      <c r="AH10374" s="1"/>
    </row>
    <row r="10375" ht="12.75" hidden="1" customHeight="1" outlineLevel="1">
      <c r="A10375" s="202">
        <v>43307.0</v>
      </c>
      <c r="B10375" s="985" t="s">
        <v>347</v>
      </c>
      <c r="C10375" s="94" t="s">
        <v>2428</v>
      </c>
      <c r="D10375" s="94">
        <v>200.0</v>
      </c>
      <c r="E10375" s="94">
        <v>26.5</v>
      </c>
      <c r="F10375" s="1003">
        <v>0.40195601851851853</v>
      </c>
      <c r="G10375" s="1004" t="s">
        <v>453</v>
      </c>
      <c r="H10375" s="987">
        <v>1.09</v>
      </c>
      <c r="I10375" s="988" t="s">
        <v>3145</v>
      </c>
      <c r="J10375" s="67">
        <f t="shared" si="580"/>
        <v>5298.91</v>
      </c>
      <c r="K10375" s="1"/>
      <c r="L10375" s="70"/>
      <c r="M10375" s="79"/>
      <c r="N10375" s="1"/>
      <c r="O10375" s="1"/>
      <c r="P10375" s="1"/>
      <c r="Q10375" s="1"/>
      <c r="R10375" s="1"/>
      <c r="S10375" s="1"/>
      <c r="T10375" s="1"/>
      <c r="U10375" s="1"/>
      <c r="V10375" s="1"/>
      <c r="W10375" s="1"/>
      <c r="X10375" s="1"/>
      <c r="Y10375" s="1"/>
      <c r="Z10375" s="1"/>
      <c r="AA10375" s="1"/>
      <c r="AB10375" s="1"/>
      <c r="AC10375" s="1"/>
      <c r="AD10375" s="1"/>
      <c r="AE10375" s="1"/>
      <c r="AF10375" s="1"/>
      <c r="AG10375" s="1"/>
      <c r="AH10375" s="1"/>
    </row>
    <row r="10376" ht="12.75" hidden="1" customHeight="1" outlineLevel="1">
      <c r="A10376" s="1002">
        <v>43307.0</v>
      </c>
      <c r="B10376" s="992"/>
      <c r="C10376" s="32" t="s">
        <v>339</v>
      </c>
      <c r="D10376" s="1"/>
      <c r="F10376" s="1"/>
      <c r="G10376" s="1"/>
      <c r="H10376" s="68"/>
      <c r="I10376" s="76"/>
      <c r="K10376" s="201" t="s">
        <v>3641</v>
      </c>
      <c r="L10376" s="77"/>
      <c r="M10376" s="79"/>
      <c r="N10376" s="1"/>
      <c r="O10376" s="1"/>
      <c r="P10376" s="1"/>
      <c r="Q10376" s="1"/>
      <c r="R10376" s="1"/>
      <c r="S10376" s="1"/>
      <c r="T10376" s="1"/>
      <c r="U10376" s="1"/>
      <c r="V10376" s="1"/>
      <c r="W10376" s="1"/>
      <c r="X10376" s="1"/>
      <c r="Y10376" s="1"/>
      <c r="Z10376" s="1"/>
      <c r="AA10376" s="1"/>
      <c r="AB10376" s="1"/>
      <c r="AC10376" s="1"/>
      <c r="AD10376" s="1"/>
      <c r="AE10376" s="1"/>
      <c r="AF10376" s="1"/>
      <c r="AG10376" s="1"/>
      <c r="AH10376" s="1"/>
    </row>
    <row r="10377" ht="12.75" hidden="1" customHeight="1" outlineLevel="1">
      <c r="A10377" s="1002">
        <v>43307.0</v>
      </c>
      <c r="B10377" s="992"/>
      <c r="C10377" s="32" t="s">
        <v>429</v>
      </c>
      <c r="D10377" s="1"/>
      <c r="F10377" s="1"/>
      <c r="G10377" s="1"/>
      <c r="H10377" s="68"/>
      <c r="I10377" s="76"/>
      <c r="K10377" s="9" t="s">
        <v>3621</v>
      </c>
      <c r="L10377" s="77"/>
      <c r="M10377" s="79"/>
      <c r="N10377" s="1"/>
      <c r="O10377" s="1"/>
      <c r="P10377" s="1"/>
      <c r="Q10377" s="1"/>
      <c r="R10377" s="1"/>
      <c r="S10377" s="1"/>
      <c r="T10377" s="1"/>
      <c r="U10377" s="1"/>
      <c r="V10377" s="1"/>
      <c r="W10377" s="1"/>
      <c r="X10377" s="1"/>
      <c r="Y10377" s="1"/>
      <c r="Z10377" s="1"/>
      <c r="AA10377" s="1"/>
      <c r="AB10377" s="1"/>
      <c r="AC10377" s="1"/>
      <c r="AD10377" s="1"/>
      <c r="AE10377" s="1"/>
      <c r="AF10377" s="1"/>
      <c r="AG10377" s="1"/>
      <c r="AH10377" s="1"/>
    </row>
    <row r="10378" ht="12.75" hidden="1" customHeight="1" outlineLevel="1">
      <c r="A10378" s="1002">
        <v>43307.0</v>
      </c>
      <c r="B10378" s="992"/>
      <c r="C10378" s="32" t="s">
        <v>431</v>
      </c>
      <c r="D10378" s="1"/>
      <c r="F10378" s="1"/>
      <c r="G10378" s="1"/>
      <c r="H10378" s="68"/>
      <c r="I10378" s="76"/>
      <c r="K10378" s="7" t="s">
        <v>1126</v>
      </c>
      <c r="L10378" s="77"/>
      <c r="M10378" s="79"/>
      <c r="N10378" s="1"/>
      <c r="O10378" s="1"/>
      <c r="P10378" s="1"/>
      <c r="Q10378" s="1"/>
      <c r="R10378" s="1"/>
      <c r="S10378" s="1"/>
      <c r="T10378" s="1"/>
      <c r="U10378" s="1"/>
      <c r="V10378" s="1"/>
      <c r="W10378" s="1"/>
      <c r="X10378" s="1"/>
      <c r="Y10378" s="1"/>
      <c r="Z10378" s="1"/>
      <c r="AA10378" s="1"/>
      <c r="AB10378" s="1"/>
      <c r="AC10378" s="1"/>
      <c r="AD10378" s="1"/>
      <c r="AE10378" s="1"/>
      <c r="AF10378" s="1"/>
      <c r="AG10378" s="1"/>
      <c r="AH10378" s="1"/>
    </row>
    <row r="10379" ht="12.75" hidden="1" customHeight="1" outlineLevel="1">
      <c r="A10379" s="1002">
        <v>43307.0</v>
      </c>
      <c r="B10379" s="992"/>
      <c r="C10379" s="32" t="s">
        <v>433</v>
      </c>
      <c r="D10379" s="1"/>
      <c r="F10379" s="1"/>
      <c r="G10379" s="1"/>
      <c r="H10379" s="68"/>
      <c r="I10379" s="76"/>
      <c r="K10379" s="7" t="s">
        <v>1103</v>
      </c>
      <c r="L10379" s="77"/>
      <c r="M10379" s="79"/>
      <c r="N10379" s="1"/>
      <c r="O10379" s="1"/>
      <c r="P10379" s="1"/>
      <c r="Q10379" s="1"/>
      <c r="R10379" s="1"/>
      <c r="S10379" s="1"/>
      <c r="T10379" s="1"/>
      <c r="U10379" s="1"/>
      <c r="V10379" s="1"/>
      <c r="W10379" s="1"/>
      <c r="X10379" s="1"/>
      <c r="Y10379" s="1"/>
      <c r="Z10379" s="1"/>
      <c r="AA10379" s="1"/>
      <c r="AB10379" s="1"/>
      <c r="AC10379" s="1"/>
      <c r="AD10379" s="1"/>
      <c r="AE10379" s="1"/>
      <c r="AF10379" s="1"/>
      <c r="AG10379" s="1"/>
      <c r="AH10379" s="1"/>
    </row>
    <row r="10380" ht="12.75" hidden="1" customHeight="1" outlineLevel="1">
      <c r="A10380" s="1002">
        <v>43307.0</v>
      </c>
      <c r="B10380" s="992"/>
      <c r="C10380" s="32" t="s">
        <v>435</v>
      </c>
      <c r="D10380" s="1"/>
      <c r="F10380" s="1"/>
      <c r="G10380" s="1"/>
      <c r="H10380" s="68"/>
      <c r="I10380" s="76"/>
      <c r="K10380" s="9" t="s">
        <v>3622</v>
      </c>
      <c r="L10380" s="77"/>
      <c r="M10380" s="79"/>
      <c r="N10380" s="1"/>
      <c r="O10380" s="1"/>
      <c r="P10380" s="1"/>
      <c r="Q10380" s="1"/>
      <c r="R10380" s="1"/>
      <c r="S10380" s="1"/>
      <c r="T10380" s="1"/>
      <c r="U10380" s="1"/>
      <c r="V10380" s="1"/>
      <c r="W10380" s="1"/>
      <c r="X10380" s="1"/>
      <c r="Y10380" s="1"/>
      <c r="Z10380" s="1"/>
      <c r="AA10380" s="1"/>
      <c r="AB10380" s="1"/>
      <c r="AC10380" s="1"/>
      <c r="AD10380" s="1"/>
      <c r="AE10380" s="1"/>
      <c r="AF10380" s="1"/>
      <c r="AG10380" s="1"/>
      <c r="AH10380" s="1"/>
    </row>
    <row r="10381" ht="12.75" hidden="1" customHeight="1" outlineLevel="1">
      <c r="A10381" s="1002">
        <v>43311.0</v>
      </c>
      <c r="B10381" s="992"/>
      <c r="C10381" s="32" t="s">
        <v>339</v>
      </c>
      <c r="D10381" s="1"/>
      <c r="F10381" s="1"/>
      <c r="G10381" s="1"/>
      <c r="H10381" s="68"/>
      <c r="I10381" s="76"/>
      <c r="K10381" s="201" t="s">
        <v>3643</v>
      </c>
      <c r="L10381" s="77"/>
      <c r="M10381" s="79"/>
      <c r="N10381" s="1"/>
      <c r="O10381" s="1"/>
      <c r="P10381" s="1"/>
      <c r="Q10381" s="1"/>
      <c r="R10381" s="1"/>
      <c r="S10381" s="1"/>
      <c r="T10381" s="1"/>
      <c r="U10381" s="1"/>
      <c r="V10381" s="1"/>
      <c r="W10381" s="1"/>
      <c r="X10381" s="1"/>
      <c r="Y10381" s="1"/>
      <c r="Z10381" s="1"/>
      <c r="AA10381" s="1"/>
      <c r="AB10381" s="1"/>
      <c r="AC10381" s="1"/>
      <c r="AD10381" s="1"/>
      <c r="AE10381" s="1"/>
      <c r="AF10381" s="1"/>
      <c r="AG10381" s="1"/>
      <c r="AH10381" s="1"/>
    </row>
    <row r="10382" ht="12.75" hidden="1" customHeight="1" outlineLevel="1">
      <c r="A10382" s="1002">
        <v>43311.0</v>
      </c>
      <c r="B10382" s="992"/>
      <c r="C10382" s="32" t="s">
        <v>429</v>
      </c>
      <c r="D10382" s="1"/>
      <c r="F10382" s="1"/>
      <c r="G10382" s="1"/>
      <c r="H10382" s="68"/>
      <c r="I10382" s="76"/>
      <c r="K10382" s="9" t="s">
        <v>3621</v>
      </c>
      <c r="L10382" s="77"/>
      <c r="M10382" s="79"/>
      <c r="N10382" s="1"/>
      <c r="O10382" s="1"/>
      <c r="P10382" s="1"/>
      <c r="Q10382" s="1"/>
      <c r="R10382" s="1"/>
      <c r="S10382" s="1"/>
      <c r="T10382" s="1"/>
      <c r="U10382" s="1"/>
      <c r="V10382" s="1"/>
      <c r="W10382" s="1"/>
      <c r="X10382" s="1"/>
      <c r="Y10382" s="1"/>
      <c r="Z10382" s="1"/>
      <c r="AA10382" s="1"/>
      <c r="AB10382" s="1"/>
      <c r="AC10382" s="1"/>
      <c r="AD10382" s="1"/>
      <c r="AE10382" s="1"/>
      <c r="AF10382" s="1"/>
      <c r="AG10382" s="1"/>
      <c r="AH10382" s="1"/>
    </row>
    <row r="10383" ht="12.75" hidden="1" customHeight="1" outlineLevel="1">
      <c r="A10383" s="1002">
        <v>43311.0</v>
      </c>
      <c r="B10383" s="992"/>
      <c r="C10383" s="32" t="s">
        <v>431</v>
      </c>
      <c r="D10383" s="1"/>
      <c r="F10383" s="1"/>
      <c r="G10383" s="1"/>
      <c r="H10383" s="68"/>
      <c r="I10383" s="76"/>
      <c r="K10383" s="7" t="s">
        <v>1126</v>
      </c>
      <c r="L10383" s="77"/>
      <c r="M10383" s="79"/>
      <c r="N10383" s="1"/>
      <c r="O10383" s="1"/>
      <c r="P10383" s="1"/>
      <c r="Q10383" s="1"/>
      <c r="R10383" s="1"/>
      <c r="S10383" s="1"/>
      <c r="T10383" s="1"/>
      <c r="U10383" s="1"/>
      <c r="V10383" s="1"/>
      <c r="W10383" s="1"/>
      <c r="X10383" s="1"/>
      <c r="Y10383" s="1"/>
      <c r="Z10383" s="1"/>
      <c r="AA10383" s="1"/>
      <c r="AB10383" s="1"/>
      <c r="AC10383" s="1"/>
      <c r="AD10383" s="1"/>
      <c r="AE10383" s="1"/>
      <c r="AF10383" s="1"/>
      <c r="AG10383" s="1"/>
      <c r="AH10383" s="1"/>
    </row>
    <row r="10384" ht="12.75" hidden="1" customHeight="1" outlineLevel="1">
      <c r="A10384" s="1002">
        <v>43311.0</v>
      </c>
      <c r="B10384" s="992"/>
      <c r="C10384" s="32" t="s">
        <v>433</v>
      </c>
      <c r="D10384" s="1"/>
      <c r="F10384" s="1"/>
      <c r="G10384" s="1"/>
      <c r="H10384" s="68"/>
      <c r="I10384" s="76"/>
      <c r="K10384" s="7" t="s">
        <v>1103</v>
      </c>
      <c r="L10384" s="77"/>
      <c r="M10384" s="79"/>
      <c r="N10384" s="1"/>
      <c r="O10384" s="1"/>
      <c r="P10384" s="1"/>
      <c r="Q10384" s="1"/>
      <c r="R10384" s="1"/>
      <c r="S10384" s="1"/>
      <c r="T10384" s="1"/>
      <c r="U10384" s="1"/>
      <c r="V10384" s="1"/>
      <c r="W10384" s="1"/>
      <c r="X10384" s="1"/>
      <c r="Y10384" s="1"/>
      <c r="Z10384" s="1"/>
      <c r="AA10384" s="1"/>
      <c r="AB10384" s="1"/>
      <c r="AC10384" s="1"/>
      <c r="AD10384" s="1"/>
      <c r="AE10384" s="1"/>
      <c r="AF10384" s="1"/>
      <c r="AG10384" s="1"/>
      <c r="AH10384" s="1"/>
    </row>
    <row r="10385" ht="12.75" hidden="1" customHeight="1" outlineLevel="1">
      <c r="A10385" s="1002">
        <v>43311.0</v>
      </c>
      <c r="B10385" s="992"/>
      <c r="C10385" s="32" t="s">
        <v>435</v>
      </c>
      <c r="D10385" s="1"/>
      <c r="F10385" s="1"/>
      <c r="G10385" s="1"/>
      <c r="H10385" s="68"/>
      <c r="I10385" s="76"/>
      <c r="K10385" s="9" t="s">
        <v>3622</v>
      </c>
      <c r="L10385" s="77"/>
      <c r="M10385" s="79"/>
      <c r="N10385" s="1"/>
      <c r="O10385" s="1"/>
      <c r="P10385" s="1"/>
      <c r="Q10385" s="1"/>
      <c r="R10385" s="1"/>
      <c r="S10385" s="1"/>
      <c r="T10385" s="1"/>
      <c r="U10385" s="1"/>
      <c r="V10385" s="1"/>
      <c r="W10385" s="1"/>
      <c r="X10385" s="1"/>
      <c r="Y10385" s="1"/>
      <c r="Z10385" s="1"/>
      <c r="AA10385" s="1"/>
      <c r="AB10385" s="1"/>
      <c r="AC10385" s="1"/>
      <c r="AD10385" s="1"/>
      <c r="AE10385" s="1"/>
      <c r="AF10385" s="1"/>
      <c r="AG10385" s="1"/>
      <c r="AH10385" s="1"/>
    </row>
    <row r="10386" ht="12.75" hidden="1" customHeight="1" outlineLevel="1">
      <c r="A10386" s="1002">
        <v>43312.0</v>
      </c>
      <c r="B10386" s="992"/>
      <c r="C10386" s="32" t="s">
        <v>339</v>
      </c>
      <c r="D10386" s="1"/>
      <c r="F10386" s="1"/>
      <c r="G10386" s="1"/>
      <c r="H10386" s="68"/>
      <c r="I10386" s="76"/>
      <c r="K10386" s="201" t="s">
        <v>3645</v>
      </c>
      <c r="L10386" s="77"/>
      <c r="M10386" s="79"/>
      <c r="N10386" s="1"/>
      <c r="O10386" s="1"/>
      <c r="P10386" s="1"/>
      <c r="Q10386" s="1"/>
      <c r="R10386" s="1"/>
      <c r="S10386" s="1"/>
      <c r="T10386" s="1"/>
      <c r="U10386" s="1"/>
      <c r="V10386" s="1"/>
      <c r="W10386" s="1"/>
      <c r="X10386" s="1"/>
      <c r="Y10386" s="1"/>
      <c r="Z10386" s="1"/>
      <c r="AA10386" s="1"/>
      <c r="AB10386" s="1"/>
      <c r="AC10386" s="1"/>
      <c r="AD10386" s="1"/>
      <c r="AE10386" s="1"/>
      <c r="AF10386" s="1"/>
      <c r="AG10386" s="1"/>
      <c r="AH10386" s="1"/>
    </row>
    <row r="10387" ht="12.75" hidden="1" customHeight="1" outlineLevel="1">
      <c r="A10387" s="1002">
        <v>43312.0</v>
      </c>
      <c r="B10387" s="992"/>
      <c r="C10387" s="32" t="s">
        <v>429</v>
      </c>
      <c r="D10387" s="1"/>
      <c r="F10387" s="1"/>
      <c r="G10387" s="1"/>
      <c r="H10387" s="68"/>
      <c r="I10387" s="76"/>
      <c r="K10387" s="9" t="s">
        <v>3621</v>
      </c>
      <c r="L10387" s="77"/>
      <c r="M10387" s="79"/>
      <c r="N10387" s="1"/>
      <c r="O10387" s="1"/>
      <c r="P10387" s="1"/>
      <c r="Q10387" s="1"/>
      <c r="R10387" s="1"/>
      <c r="S10387" s="1"/>
      <c r="T10387" s="1"/>
      <c r="U10387" s="1"/>
      <c r="V10387" s="1"/>
      <c r="W10387" s="1"/>
      <c r="X10387" s="1"/>
      <c r="Y10387" s="1"/>
      <c r="Z10387" s="1"/>
      <c r="AA10387" s="1"/>
      <c r="AB10387" s="1"/>
      <c r="AC10387" s="1"/>
      <c r="AD10387" s="1"/>
      <c r="AE10387" s="1"/>
      <c r="AF10387" s="1"/>
      <c r="AG10387" s="1"/>
      <c r="AH10387" s="1"/>
    </row>
    <row r="10388" ht="12.75" hidden="1" customHeight="1" outlineLevel="1">
      <c r="A10388" s="1002">
        <v>43312.0</v>
      </c>
      <c r="B10388" s="992"/>
      <c r="C10388" s="32" t="s">
        <v>431</v>
      </c>
      <c r="D10388" s="1"/>
      <c r="F10388" s="1"/>
      <c r="G10388" s="1"/>
      <c r="H10388" s="68"/>
      <c r="I10388" s="76"/>
      <c r="K10388" s="7" t="s">
        <v>1126</v>
      </c>
      <c r="L10388" s="77"/>
      <c r="M10388" s="79"/>
      <c r="N10388" s="1"/>
      <c r="O10388" s="1"/>
      <c r="P10388" s="1"/>
      <c r="Q10388" s="1"/>
      <c r="R10388" s="1"/>
      <c r="S10388" s="1"/>
      <c r="T10388" s="1"/>
      <c r="U10388" s="1"/>
      <c r="V10388" s="1"/>
      <c r="W10388" s="1"/>
      <c r="X10388" s="1"/>
      <c r="Y10388" s="1"/>
      <c r="Z10388" s="1"/>
      <c r="AA10388" s="1"/>
      <c r="AB10388" s="1"/>
      <c r="AC10388" s="1"/>
      <c r="AD10388" s="1"/>
      <c r="AE10388" s="1"/>
      <c r="AF10388" s="1"/>
      <c r="AG10388" s="1"/>
      <c r="AH10388" s="1"/>
    </row>
    <row r="10389" ht="12.75" hidden="1" customHeight="1" outlineLevel="1">
      <c r="A10389" s="1002">
        <v>43312.0</v>
      </c>
      <c r="B10389" s="992"/>
      <c r="C10389" s="32" t="s">
        <v>433</v>
      </c>
      <c r="D10389" s="1"/>
      <c r="F10389" s="1"/>
      <c r="G10389" s="1"/>
      <c r="H10389" s="68"/>
      <c r="I10389" s="76"/>
      <c r="K10389" s="7" t="s">
        <v>1103</v>
      </c>
      <c r="L10389" s="77"/>
      <c r="M10389" s="79"/>
      <c r="N10389" s="1"/>
      <c r="O10389" s="1"/>
      <c r="P10389" s="1"/>
      <c r="Q10389" s="1"/>
      <c r="R10389" s="1"/>
      <c r="S10389" s="1"/>
      <c r="T10389" s="1"/>
      <c r="U10389" s="1"/>
      <c r="V10389" s="1"/>
      <c r="W10389" s="1"/>
      <c r="X10389" s="1"/>
      <c r="Y10389" s="1"/>
      <c r="Z10389" s="1"/>
      <c r="AA10389" s="1"/>
      <c r="AB10389" s="1"/>
      <c r="AC10389" s="1"/>
      <c r="AD10389" s="1"/>
      <c r="AE10389" s="1"/>
      <c r="AF10389" s="1"/>
      <c r="AG10389" s="1"/>
      <c r="AH10389" s="1"/>
    </row>
    <row r="10390" ht="12.75" hidden="1" customHeight="1" outlineLevel="1">
      <c r="A10390" s="1002">
        <v>43312.0</v>
      </c>
      <c r="B10390" s="992"/>
      <c r="C10390" s="32" t="s">
        <v>435</v>
      </c>
      <c r="D10390" s="1"/>
      <c r="F10390" s="1"/>
      <c r="G10390" s="1"/>
      <c r="H10390" s="68"/>
      <c r="I10390" s="76"/>
      <c r="K10390" s="9" t="s">
        <v>3622</v>
      </c>
      <c r="L10390" s="77"/>
      <c r="M10390" s="79"/>
      <c r="N10390" s="1"/>
      <c r="O10390" s="1"/>
      <c r="P10390" s="1"/>
      <c r="Q10390" s="1"/>
      <c r="R10390" s="1"/>
      <c r="S10390" s="1"/>
      <c r="T10390" s="1"/>
      <c r="U10390" s="1"/>
      <c r="V10390" s="1"/>
      <c r="W10390" s="1"/>
      <c r="X10390" s="1"/>
      <c r="Y10390" s="1"/>
      <c r="Z10390" s="1"/>
      <c r="AA10390" s="1"/>
      <c r="AB10390" s="1"/>
      <c r="AC10390" s="1"/>
      <c r="AD10390" s="1"/>
      <c r="AE10390" s="1"/>
      <c r="AF10390" s="1"/>
      <c r="AG10390" s="1"/>
      <c r="AH10390" s="1"/>
    </row>
    <row r="10391" ht="12.75" hidden="1" customHeight="1" outlineLevel="1">
      <c r="A10391" s="122">
        <v>43313.0</v>
      </c>
      <c r="B10391" s="974" t="s">
        <v>343</v>
      </c>
      <c r="C10391" s="32" t="s">
        <v>346</v>
      </c>
      <c r="D10391" s="9">
        <v>50.0</v>
      </c>
      <c r="E10391" s="9">
        <v>200.38</v>
      </c>
      <c r="F10391" s="709">
        <v>0.46880787037037036</v>
      </c>
      <c r="G10391" s="195" t="s">
        <v>453</v>
      </c>
      <c r="H10391" s="710">
        <v>1.0</v>
      </c>
      <c r="I10391" s="256" t="s">
        <v>3145</v>
      </c>
      <c r="J10391" s="67">
        <f t="shared" ref="J10391:J10392" si="581">IF(B10391="SLD",D10391*E10391,-D10391*E10391)-H10391</f>
        <v>-10020</v>
      </c>
      <c r="K10391" s="1"/>
      <c r="L10391" s="70"/>
      <c r="M10391" s="79"/>
      <c r="N10391" s="1"/>
      <c r="O10391" s="1"/>
      <c r="P10391" s="1"/>
      <c r="Q10391" s="1"/>
      <c r="R10391" s="1"/>
      <c r="S10391" s="1"/>
      <c r="T10391" s="1"/>
      <c r="U10391" s="1"/>
      <c r="V10391" s="1"/>
      <c r="W10391" s="1"/>
      <c r="X10391" s="1"/>
      <c r="Y10391" s="1"/>
      <c r="Z10391" s="1"/>
      <c r="AA10391" s="1"/>
      <c r="AB10391" s="1"/>
      <c r="AC10391" s="1"/>
      <c r="AD10391" s="1"/>
      <c r="AE10391" s="1"/>
      <c r="AF10391" s="1"/>
      <c r="AG10391" s="1"/>
      <c r="AH10391" s="1"/>
    </row>
    <row r="10392" ht="12.75" hidden="1" customHeight="1" outlineLevel="1">
      <c r="A10392" s="122">
        <v>43313.0</v>
      </c>
      <c r="B10392" s="974" t="s">
        <v>347</v>
      </c>
      <c r="C10392" s="32" t="s">
        <v>364</v>
      </c>
      <c r="D10392" s="9">
        <v>30.0</v>
      </c>
      <c r="E10392" s="9">
        <v>135.1</v>
      </c>
      <c r="F10392" s="709">
        <v>0.46693287037037035</v>
      </c>
      <c r="G10392" s="195" t="s">
        <v>453</v>
      </c>
      <c r="H10392" s="710">
        <v>1.06</v>
      </c>
      <c r="I10392" s="256" t="s">
        <v>3145</v>
      </c>
      <c r="J10392" s="67">
        <f t="shared" si="581"/>
        <v>4051.94</v>
      </c>
      <c r="K10392" s="1"/>
      <c r="L10392" s="70"/>
      <c r="M10392" s="79"/>
      <c r="N10392" s="1"/>
      <c r="O10392" s="1"/>
      <c r="P10392" s="1"/>
      <c r="Q10392" s="1"/>
      <c r="R10392" s="1"/>
      <c r="S10392" s="1"/>
      <c r="T10392" s="1"/>
      <c r="U10392" s="1"/>
      <c r="V10392" s="1"/>
      <c r="W10392" s="1"/>
      <c r="X10392" s="1"/>
      <c r="Y10392" s="1"/>
      <c r="Z10392" s="1"/>
      <c r="AA10392" s="1"/>
      <c r="AB10392" s="1"/>
      <c r="AC10392" s="1"/>
      <c r="AD10392" s="1"/>
      <c r="AE10392" s="1"/>
      <c r="AF10392" s="1"/>
      <c r="AG10392" s="1"/>
      <c r="AH10392" s="1"/>
    </row>
    <row r="10393" ht="12.75" hidden="1" customHeight="1" outlineLevel="1">
      <c r="A10393" s="1002">
        <v>43313.0</v>
      </c>
      <c r="B10393" s="992"/>
      <c r="C10393" s="32" t="s">
        <v>339</v>
      </c>
      <c r="D10393" s="1"/>
      <c r="F10393" s="1"/>
      <c r="G10393" s="1"/>
      <c r="H10393" s="68"/>
      <c r="I10393" s="76"/>
      <c r="K10393" s="201" t="s">
        <v>3647</v>
      </c>
      <c r="L10393" s="77"/>
      <c r="M10393" s="79"/>
      <c r="N10393" s="1"/>
      <c r="O10393" s="1"/>
      <c r="P10393" s="1"/>
      <c r="Q10393" s="1"/>
      <c r="R10393" s="1"/>
      <c r="S10393" s="1"/>
      <c r="T10393" s="1"/>
      <c r="U10393" s="1"/>
      <c r="V10393" s="1"/>
      <c r="W10393" s="1"/>
      <c r="X10393" s="1"/>
      <c r="Y10393" s="1"/>
      <c r="Z10393" s="1"/>
      <c r="AA10393" s="1"/>
      <c r="AB10393" s="1"/>
      <c r="AC10393" s="1"/>
      <c r="AD10393" s="1"/>
      <c r="AE10393" s="1"/>
      <c r="AF10393" s="1"/>
      <c r="AG10393" s="1"/>
      <c r="AH10393" s="1"/>
    </row>
    <row r="10394" ht="12.75" hidden="1" customHeight="1" outlineLevel="1">
      <c r="A10394" s="1002">
        <v>43313.0</v>
      </c>
      <c r="B10394" s="992"/>
      <c r="C10394" s="32" t="s">
        <v>429</v>
      </c>
      <c r="D10394" s="1"/>
      <c r="F10394" s="1"/>
      <c r="G10394" s="1"/>
      <c r="H10394" s="68"/>
      <c r="I10394" s="76"/>
      <c r="K10394" s="9" t="s">
        <v>3621</v>
      </c>
      <c r="L10394" s="77"/>
      <c r="M10394" s="79"/>
      <c r="N10394" s="1"/>
      <c r="O10394" s="1"/>
      <c r="P10394" s="1"/>
      <c r="Q10394" s="1"/>
      <c r="R10394" s="1"/>
      <c r="S10394" s="1"/>
      <c r="T10394" s="1"/>
      <c r="U10394" s="1"/>
      <c r="V10394" s="1"/>
      <c r="W10394" s="1"/>
      <c r="X10394" s="1"/>
      <c r="Y10394" s="1"/>
      <c r="Z10394" s="1"/>
      <c r="AA10394" s="1"/>
      <c r="AB10394" s="1"/>
      <c r="AC10394" s="1"/>
      <c r="AD10394" s="1"/>
      <c r="AE10394" s="1"/>
      <c r="AF10394" s="1"/>
      <c r="AG10394" s="1"/>
      <c r="AH10394" s="1"/>
    </row>
    <row r="10395" ht="12.75" hidden="1" customHeight="1" outlineLevel="1">
      <c r="A10395" s="1002">
        <v>43313.0</v>
      </c>
      <c r="B10395" s="992"/>
      <c r="C10395" s="32" t="s">
        <v>431</v>
      </c>
      <c r="D10395" s="1"/>
      <c r="F10395" s="1"/>
      <c r="G10395" s="1"/>
      <c r="H10395" s="68"/>
      <c r="I10395" s="76"/>
      <c r="K10395" s="7" t="s">
        <v>1126</v>
      </c>
      <c r="L10395" s="77"/>
      <c r="M10395" s="79"/>
      <c r="N10395" s="1"/>
      <c r="O10395" s="1"/>
      <c r="P10395" s="1"/>
      <c r="Q10395" s="1"/>
      <c r="R10395" s="1"/>
      <c r="S10395" s="1"/>
      <c r="T10395" s="1"/>
      <c r="U10395" s="1"/>
      <c r="V10395" s="1"/>
      <c r="W10395" s="1"/>
      <c r="X10395" s="1"/>
      <c r="Y10395" s="1"/>
      <c r="Z10395" s="1"/>
      <c r="AA10395" s="1"/>
      <c r="AB10395" s="1"/>
      <c r="AC10395" s="1"/>
      <c r="AD10395" s="1"/>
      <c r="AE10395" s="1"/>
      <c r="AF10395" s="1"/>
      <c r="AG10395" s="1"/>
      <c r="AH10395" s="1"/>
    </row>
    <row r="10396" ht="12.75" hidden="1" customHeight="1" outlineLevel="1">
      <c r="A10396" s="1002">
        <v>43313.0</v>
      </c>
      <c r="B10396" s="992"/>
      <c r="C10396" s="32" t="s">
        <v>433</v>
      </c>
      <c r="D10396" s="1"/>
      <c r="F10396" s="1"/>
      <c r="G10396" s="1"/>
      <c r="H10396" s="68"/>
      <c r="I10396" s="76"/>
      <c r="K10396" s="7" t="s">
        <v>1103</v>
      </c>
      <c r="L10396" s="77"/>
      <c r="M10396" s="79"/>
      <c r="N10396" s="1"/>
      <c r="O10396" s="1"/>
      <c r="P10396" s="1"/>
      <c r="Q10396" s="1"/>
      <c r="R10396" s="1"/>
      <c r="S10396" s="1"/>
      <c r="T10396" s="1"/>
      <c r="U10396" s="1"/>
      <c r="V10396" s="1"/>
      <c r="W10396" s="1"/>
      <c r="X10396" s="1"/>
      <c r="Y10396" s="1"/>
      <c r="Z10396" s="1"/>
      <c r="AA10396" s="1"/>
      <c r="AB10396" s="1"/>
      <c r="AC10396" s="1"/>
      <c r="AD10396" s="1"/>
      <c r="AE10396" s="1"/>
      <c r="AF10396" s="1"/>
      <c r="AG10396" s="1"/>
      <c r="AH10396" s="1"/>
    </row>
    <row r="10397" ht="12.75" hidden="1" customHeight="1" outlineLevel="1">
      <c r="A10397" s="1002">
        <v>43313.0</v>
      </c>
      <c r="B10397" s="992"/>
      <c r="C10397" s="32" t="s">
        <v>435</v>
      </c>
      <c r="D10397" s="1"/>
      <c r="F10397" s="1"/>
      <c r="G10397" s="1"/>
      <c r="H10397" s="68"/>
      <c r="I10397" s="76"/>
      <c r="K10397" s="9" t="s">
        <v>3622</v>
      </c>
      <c r="L10397" s="77"/>
      <c r="M10397" s="79"/>
      <c r="N10397" s="1"/>
      <c r="O10397" s="1"/>
      <c r="P10397" s="1"/>
      <c r="Q10397" s="1"/>
      <c r="R10397" s="1"/>
      <c r="S10397" s="1"/>
      <c r="T10397" s="1"/>
      <c r="U10397" s="1"/>
      <c r="V10397" s="1"/>
      <c r="W10397" s="1"/>
      <c r="X10397" s="1"/>
      <c r="Y10397" s="1"/>
      <c r="Z10397" s="1"/>
      <c r="AA10397" s="1"/>
      <c r="AB10397" s="1"/>
      <c r="AC10397" s="1"/>
      <c r="AD10397" s="1"/>
      <c r="AE10397" s="1"/>
      <c r="AF10397" s="1"/>
      <c r="AG10397" s="1"/>
      <c r="AH10397" s="1"/>
    </row>
    <row r="10398" ht="12.75" hidden="1" customHeight="1" outlineLevel="1">
      <c r="A10398" s="1002">
        <v>43314.0</v>
      </c>
      <c r="B10398" s="992"/>
      <c r="C10398" s="32" t="s">
        <v>339</v>
      </c>
      <c r="D10398" s="1"/>
      <c r="F10398" s="1"/>
      <c r="G10398" s="1"/>
      <c r="H10398" s="68"/>
      <c r="I10398" s="76"/>
      <c r="K10398" s="201" t="s">
        <v>3648</v>
      </c>
      <c r="L10398" s="77"/>
      <c r="M10398" s="79"/>
      <c r="N10398" s="1"/>
      <c r="O10398" s="1"/>
      <c r="P10398" s="1"/>
      <c r="Q10398" s="1"/>
      <c r="R10398" s="1"/>
      <c r="S10398" s="1"/>
      <c r="T10398" s="1"/>
      <c r="U10398" s="1"/>
      <c r="V10398" s="1"/>
      <c r="W10398" s="1"/>
      <c r="X10398" s="1"/>
      <c r="Y10398" s="1"/>
      <c r="Z10398" s="1"/>
      <c r="AA10398" s="1"/>
      <c r="AB10398" s="1"/>
      <c r="AC10398" s="1"/>
      <c r="AD10398" s="1"/>
      <c r="AE10398" s="1"/>
      <c r="AF10398" s="1"/>
      <c r="AG10398" s="1"/>
      <c r="AH10398" s="1"/>
    </row>
    <row r="10399" ht="12.75" hidden="1" customHeight="1" outlineLevel="1">
      <c r="A10399" s="1002">
        <v>43314.0</v>
      </c>
      <c r="B10399" s="992"/>
      <c r="C10399" s="32" t="s">
        <v>429</v>
      </c>
      <c r="D10399" s="1"/>
      <c r="F10399" s="1"/>
      <c r="G10399" s="1"/>
      <c r="H10399" s="68"/>
      <c r="I10399" s="76"/>
      <c r="K10399" s="9" t="s">
        <v>3621</v>
      </c>
      <c r="L10399" s="77"/>
      <c r="M10399" s="79"/>
      <c r="N10399" s="1"/>
      <c r="O10399" s="1"/>
      <c r="P10399" s="1"/>
      <c r="Q10399" s="1"/>
      <c r="R10399" s="1"/>
      <c r="S10399" s="1"/>
      <c r="T10399" s="1"/>
      <c r="U10399" s="1"/>
      <c r="V10399" s="1"/>
      <c r="W10399" s="1"/>
      <c r="X10399" s="1"/>
      <c r="Y10399" s="1"/>
      <c r="Z10399" s="1"/>
      <c r="AA10399" s="1"/>
      <c r="AB10399" s="1"/>
      <c r="AC10399" s="1"/>
      <c r="AD10399" s="1"/>
      <c r="AE10399" s="1"/>
      <c r="AF10399" s="1"/>
      <c r="AG10399" s="1"/>
      <c r="AH10399" s="1"/>
    </row>
    <row r="10400" ht="12.75" hidden="1" customHeight="1" outlineLevel="1">
      <c r="A10400" s="1002">
        <v>43314.0</v>
      </c>
      <c r="B10400" s="992"/>
      <c r="C10400" s="32" t="s">
        <v>431</v>
      </c>
      <c r="D10400" s="1"/>
      <c r="F10400" s="1"/>
      <c r="G10400" s="1"/>
      <c r="H10400" s="68"/>
      <c r="I10400" s="76"/>
      <c r="K10400" s="7" t="s">
        <v>1126</v>
      </c>
      <c r="L10400" s="77"/>
      <c r="M10400" s="79"/>
      <c r="N10400" s="1"/>
      <c r="O10400" s="1"/>
      <c r="P10400" s="1"/>
      <c r="Q10400" s="1"/>
      <c r="R10400" s="1"/>
      <c r="S10400" s="1"/>
      <c r="T10400" s="1"/>
      <c r="U10400" s="1"/>
      <c r="V10400" s="1"/>
      <c r="W10400" s="1"/>
      <c r="X10400" s="1"/>
      <c r="Y10400" s="1"/>
      <c r="Z10400" s="1"/>
      <c r="AA10400" s="1"/>
      <c r="AB10400" s="1"/>
      <c r="AC10400" s="1"/>
      <c r="AD10400" s="1"/>
      <c r="AE10400" s="1"/>
      <c r="AF10400" s="1"/>
      <c r="AG10400" s="1"/>
      <c r="AH10400" s="1"/>
    </row>
    <row r="10401" ht="12.75" hidden="1" customHeight="1" outlineLevel="1">
      <c r="A10401" s="1002">
        <v>43314.0</v>
      </c>
      <c r="B10401" s="992"/>
      <c r="C10401" s="32" t="s">
        <v>433</v>
      </c>
      <c r="D10401" s="1"/>
      <c r="F10401" s="1"/>
      <c r="G10401" s="1"/>
      <c r="H10401" s="68"/>
      <c r="I10401" s="76"/>
      <c r="K10401" s="7" t="s">
        <v>1103</v>
      </c>
      <c r="L10401" s="77"/>
      <c r="M10401" s="79"/>
      <c r="N10401" s="1"/>
      <c r="O10401" s="1"/>
      <c r="P10401" s="1"/>
      <c r="Q10401" s="1"/>
      <c r="R10401" s="1"/>
      <c r="S10401" s="1"/>
      <c r="T10401" s="1"/>
      <c r="U10401" s="1"/>
      <c r="V10401" s="1"/>
      <c r="W10401" s="1"/>
      <c r="X10401" s="1"/>
      <c r="Y10401" s="1"/>
      <c r="Z10401" s="1"/>
      <c r="AA10401" s="1"/>
      <c r="AB10401" s="1"/>
      <c r="AC10401" s="1"/>
      <c r="AD10401" s="1"/>
      <c r="AE10401" s="1"/>
      <c r="AF10401" s="1"/>
      <c r="AG10401" s="1"/>
      <c r="AH10401" s="1"/>
    </row>
    <row r="10402" ht="12.75" hidden="1" customHeight="1" outlineLevel="1">
      <c r="A10402" s="1002">
        <v>43314.0</v>
      </c>
      <c r="B10402" s="992"/>
      <c r="C10402" s="32" t="s">
        <v>435</v>
      </c>
      <c r="D10402" s="1"/>
      <c r="F10402" s="1"/>
      <c r="G10402" s="1"/>
      <c r="H10402" s="68"/>
      <c r="I10402" s="76"/>
      <c r="K10402" s="9" t="s">
        <v>3622</v>
      </c>
      <c r="L10402" s="77"/>
      <c r="M10402" s="79"/>
      <c r="N10402" s="1"/>
      <c r="O10402" s="1"/>
      <c r="P10402" s="1"/>
      <c r="Q10402" s="1"/>
      <c r="R10402" s="1"/>
      <c r="S10402" s="1"/>
      <c r="T10402" s="1"/>
      <c r="U10402" s="1"/>
      <c r="V10402" s="1"/>
      <c r="W10402" s="1"/>
      <c r="X10402" s="1"/>
      <c r="Y10402" s="1"/>
      <c r="Z10402" s="1"/>
      <c r="AA10402" s="1"/>
      <c r="AB10402" s="1"/>
      <c r="AC10402" s="1"/>
      <c r="AD10402" s="1"/>
      <c r="AE10402" s="1"/>
      <c r="AF10402" s="1"/>
      <c r="AG10402" s="1"/>
      <c r="AH10402" s="1"/>
    </row>
    <row r="10403" ht="12.75" hidden="1" customHeight="1" outlineLevel="1">
      <c r="A10403" s="202">
        <v>43314.0</v>
      </c>
      <c r="B10403" s="985" t="s">
        <v>343</v>
      </c>
      <c r="C10403" s="94" t="s">
        <v>381</v>
      </c>
      <c r="D10403" s="94">
        <v>50.0</v>
      </c>
      <c r="E10403" s="94">
        <v>175.2573</v>
      </c>
      <c r="F10403" s="1003">
        <v>0.5642939814814815</v>
      </c>
      <c r="G10403" s="1004" t="s">
        <v>453</v>
      </c>
      <c r="H10403" s="987">
        <v>1.0</v>
      </c>
      <c r="I10403" s="988" t="s">
        <v>3145</v>
      </c>
      <c r="J10403" s="67">
        <f t="shared" ref="J10403:J10404" si="582">IF(B10403="SLD",D10403*E10403,-D10403*E10403)-H10403</f>
        <v>-8763.865</v>
      </c>
      <c r="K10403" s="1"/>
      <c r="L10403" s="70"/>
      <c r="M10403" s="79"/>
      <c r="N10403" s="1"/>
      <c r="O10403" s="1"/>
      <c r="P10403" s="1"/>
      <c r="Q10403" s="1"/>
      <c r="R10403" s="1"/>
      <c r="S10403" s="1"/>
      <c r="T10403" s="1"/>
      <c r="U10403" s="1"/>
      <c r="V10403" s="1"/>
      <c r="W10403" s="1"/>
      <c r="X10403" s="1"/>
      <c r="Y10403" s="1"/>
      <c r="Z10403" s="1"/>
      <c r="AA10403" s="1"/>
      <c r="AB10403" s="1"/>
      <c r="AC10403" s="1"/>
      <c r="AD10403" s="1"/>
      <c r="AE10403" s="1"/>
      <c r="AF10403" s="1"/>
      <c r="AG10403" s="1"/>
      <c r="AH10403" s="1"/>
    </row>
    <row r="10404" ht="12.75" hidden="1" customHeight="1" outlineLevel="1">
      <c r="A10404" s="202">
        <v>43314.0</v>
      </c>
      <c r="B10404" s="985" t="s">
        <v>347</v>
      </c>
      <c r="C10404" s="94" t="s">
        <v>1642</v>
      </c>
      <c r="D10404" s="94">
        <v>40.0</v>
      </c>
      <c r="E10404" s="94">
        <v>234.39</v>
      </c>
      <c r="F10404" s="1003">
        <v>0.5552430555555555</v>
      </c>
      <c r="G10404" s="1004" t="s">
        <v>453</v>
      </c>
      <c r="H10404" s="987">
        <v>1.13</v>
      </c>
      <c r="I10404" s="988" t="s">
        <v>3145</v>
      </c>
      <c r="J10404" s="67">
        <f t="shared" si="582"/>
        <v>9374.47</v>
      </c>
      <c r="K10404" s="1"/>
      <c r="L10404" s="70"/>
      <c r="M10404" s="79"/>
      <c r="N10404" s="1"/>
      <c r="O10404" s="1"/>
      <c r="P10404" s="1"/>
      <c r="Q10404" s="1"/>
      <c r="R10404" s="1"/>
      <c r="S10404" s="1"/>
      <c r="T10404" s="1"/>
      <c r="U10404" s="1"/>
      <c r="V10404" s="1"/>
      <c r="W10404" s="1"/>
      <c r="X10404" s="1"/>
      <c r="Y10404" s="1"/>
      <c r="Z10404" s="1"/>
      <c r="AA10404" s="1"/>
      <c r="AB10404" s="1"/>
      <c r="AC10404" s="1"/>
      <c r="AD10404" s="1"/>
      <c r="AE10404" s="1"/>
      <c r="AF10404" s="1"/>
      <c r="AG10404" s="1"/>
      <c r="AH10404" s="1"/>
    </row>
    <row r="10405" ht="12.75" hidden="1" customHeight="1" outlineLevel="1">
      <c r="A10405" s="1002">
        <v>43314.0</v>
      </c>
      <c r="B10405" s="992"/>
      <c r="C10405" s="32" t="s">
        <v>339</v>
      </c>
      <c r="D10405" s="1"/>
      <c r="F10405" s="1"/>
      <c r="G10405" s="1"/>
      <c r="H10405" s="68"/>
      <c r="I10405" s="76"/>
      <c r="K10405" s="201" t="s">
        <v>3648</v>
      </c>
      <c r="L10405" s="77"/>
      <c r="M10405" s="79"/>
      <c r="N10405" s="1"/>
      <c r="O10405" s="1"/>
      <c r="P10405" s="1"/>
      <c r="Q10405" s="1"/>
      <c r="R10405" s="1"/>
      <c r="S10405" s="1"/>
      <c r="T10405" s="1"/>
      <c r="U10405" s="1"/>
      <c r="V10405" s="1"/>
      <c r="W10405" s="1"/>
      <c r="X10405" s="1"/>
      <c r="Y10405" s="1"/>
      <c r="Z10405" s="1"/>
      <c r="AA10405" s="1"/>
      <c r="AB10405" s="1"/>
      <c r="AC10405" s="1"/>
      <c r="AD10405" s="1"/>
      <c r="AE10405" s="1"/>
      <c r="AF10405" s="1"/>
      <c r="AG10405" s="1"/>
      <c r="AH10405" s="1"/>
    </row>
    <row r="10406" ht="12.75" hidden="1" customHeight="1" outlineLevel="1">
      <c r="A10406" s="1002">
        <v>43314.0</v>
      </c>
      <c r="B10406" s="992"/>
      <c r="C10406" s="32" t="s">
        <v>429</v>
      </c>
      <c r="D10406" s="1"/>
      <c r="F10406" s="1"/>
      <c r="G10406" s="1"/>
      <c r="H10406" s="68"/>
      <c r="I10406" s="76"/>
      <c r="K10406" s="9" t="s">
        <v>3621</v>
      </c>
      <c r="L10406" s="77"/>
      <c r="M10406" s="79"/>
      <c r="N10406" s="1"/>
      <c r="O10406" s="1"/>
      <c r="P10406" s="1"/>
      <c r="Q10406" s="1"/>
      <c r="R10406" s="1"/>
      <c r="S10406" s="1"/>
      <c r="T10406" s="1"/>
      <c r="U10406" s="1"/>
      <c r="V10406" s="1"/>
      <c r="W10406" s="1"/>
      <c r="X10406" s="1"/>
      <c r="Y10406" s="1"/>
      <c r="Z10406" s="1"/>
      <c r="AA10406" s="1"/>
      <c r="AB10406" s="1"/>
      <c r="AC10406" s="1"/>
      <c r="AD10406" s="1"/>
      <c r="AE10406" s="1"/>
      <c r="AF10406" s="1"/>
      <c r="AG10406" s="1"/>
      <c r="AH10406" s="1"/>
    </row>
    <row r="10407" ht="12.75" hidden="1" customHeight="1" outlineLevel="1">
      <c r="A10407" s="1002">
        <v>43314.0</v>
      </c>
      <c r="B10407" s="992"/>
      <c r="C10407" s="32" t="s">
        <v>431</v>
      </c>
      <c r="D10407" s="1"/>
      <c r="F10407" s="1"/>
      <c r="G10407" s="1"/>
      <c r="H10407" s="68"/>
      <c r="I10407" s="76"/>
      <c r="K10407" s="7" t="s">
        <v>1126</v>
      </c>
      <c r="L10407" s="77"/>
      <c r="M10407" s="79"/>
      <c r="N10407" s="1"/>
      <c r="O10407" s="1"/>
      <c r="P10407" s="1"/>
      <c r="Q10407" s="1"/>
      <c r="R10407" s="1"/>
      <c r="S10407" s="1"/>
      <c r="T10407" s="1"/>
      <c r="U10407" s="1"/>
      <c r="V10407" s="1"/>
      <c r="W10407" s="1"/>
      <c r="X10407" s="1"/>
      <c r="Y10407" s="1"/>
      <c r="Z10407" s="1"/>
      <c r="AA10407" s="1"/>
      <c r="AB10407" s="1"/>
      <c r="AC10407" s="1"/>
      <c r="AD10407" s="1"/>
      <c r="AE10407" s="1"/>
      <c r="AF10407" s="1"/>
      <c r="AG10407" s="1"/>
      <c r="AH10407" s="1"/>
    </row>
    <row r="10408" ht="12.75" hidden="1" customHeight="1" outlineLevel="1">
      <c r="A10408" s="1002">
        <v>43314.0</v>
      </c>
      <c r="B10408" s="992"/>
      <c r="C10408" s="32" t="s">
        <v>433</v>
      </c>
      <c r="D10408" s="1"/>
      <c r="F10408" s="1"/>
      <c r="G10408" s="1"/>
      <c r="H10408" s="68"/>
      <c r="I10408" s="76"/>
      <c r="K10408" s="7" t="s">
        <v>1103</v>
      </c>
      <c r="L10408" s="77"/>
      <c r="M10408" s="79"/>
      <c r="N10408" s="1"/>
      <c r="O10408" s="1"/>
      <c r="P10408" s="1"/>
      <c r="Q10408" s="1"/>
      <c r="R10408" s="1"/>
      <c r="S10408" s="1"/>
      <c r="T10408" s="1"/>
      <c r="U10408" s="1"/>
      <c r="V10408" s="1"/>
      <c r="W10408" s="1"/>
      <c r="X10408" s="1"/>
      <c r="Y10408" s="1"/>
      <c r="Z10408" s="1"/>
      <c r="AA10408" s="1"/>
      <c r="AB10408" s="1"/>
      <c r="AC10408" s="1"/>
      <c r="AD10408" s="1"/>
      <c r="AE10408" s="1"/>
      <c r="AF10408" s="1"/>
      <c r="AG10408" s="1"/>
      <c r="AH10408" s="1"/>
    </row>
    <row r="10409" ht="12.75" hidden="1" customHeight="1" outlineLevel="1">
      <c r="A10409" s="1002">
        <v>43314.0</v>
      </c>
      <c r="B10409" s="992"/>
      <c r="C10409" s="32" t="s">
        <v>435</v>
      </c>
      <c r="D10409" s="1"/>
      <c r="F10409" s="1"/>
      <c r="G10409" s="1"/>
      <c r="H10409" s="68"/>
      <c r="I10409" s="76"/>
      <c r="K10409" s="9" t="s">
        <v>3622</v>
      </c>
      <c r="L10409" s="77"/>
      <c r="M10409" s="79"/>
      <c r="N10409" s="1"/>
      <c r="O10409" s="1"/>
      <c r="P10409" s="1"/>
      <c r="Q10409" s="1"/>
      <c r="R10409" s="1"/>
      <c r="S10409" s="1"/>
      <c r="T10409" s="1"/>
      <c r="U10409" s="1"/>
      <c r="V10409" s="1"/>
      <c r="W10409" s="1"/>
      <c r="X10409" s="1"/>
      <c r="Y10409" s="1"/>
      <c r="Z10409" s="1"/>
      <c r="AA10409" s="1"/>
      <c r="AB10409" s="1"/>
      <c r="AC10409" s="1"/>
      <c r="AD10409" s="1"/>
      <c r="AE10409" s="1"/>
      <c r="AF10409" s="1"/>
      <c r="AG10409" s="1"/>
      <c r="AH10409" s="1"/>
    </row>
    <row r="10410" ht="12.75" hidden="1" customHeight="1" outlineLevel="1">
      <c r="A10410" s="1002">
        <v>43316.0</v>
      </c>
      <c r="B10410" s="992"/>
      <c r="C10410" s="32" t="s">
        <v>339</v>
      </c>
      <c r="D10410" s="1"/>
      <c r="F10410" s="1"/>
      <c r="G10410" s="1"/>
      <c r="H10410" s="68"/>
      <c r="I10410" s="76"/>
      <c r="K10410" s="201" t="s">
        <v>3649</v>
      </c>
      <c r="L10410" s="77"/>
      <c r="M10410" s="79"/>
      <c r="N10410" s="1"/>
      <c r="O10410" s="1"/>
      <c r="P10410" s="1"/>
      <c r="Q10410" s="1"/>
      <c r="R10410" s="1"/>
      <c r="S10410" s="1"/>
      <c r="T10410" s="1"/>
      <c r="U10410" s="1"/>
      <c r="V10410" s="1"/>
      <c r="W10410" s="1"/>
      <c r="X10410" s="1"/>
      <c r="Y10410" s="1"/>
      <c r="Z10410" s="1"/>
      <c r="AA10410" s="1"/>
      <c r="AB10410" s="1"/>
      <c r="AC10410" s="1"/>
      <c r="AD10410" s="1"/>
      <c r="AE10410" s="1"/>
      <c r="AF10410" s="1"/>
      <c r="AG10410" s="1"/>
      <c r="AH10410" s="1"/>
    </row>
    <row r="10411" ht="12.75" hidden="1" customHeight="1" outlineLevel="1">
      <c r="A10411" s="1002">
        <v>43316.0</v>
      </c>
      <c r="B10411" s="992"/>
      <c r="C10411" s="32" t="s">
        <v>429</v>
      </c>
      <c r="D10411" s="1"/>
      <c r="F10411" s="1"/>
      <c r="G10411" s="1"/>
      <c r="H10411" s="68"/>
      <c r="I10411" s="76"/>
      <c r="K10411" s="9" t="s">
        <v>3621</v>
      </c>
      <c r="L10411" s="77"/>
      <c r="M10411" s="79"/>
      <c r="N10411" s="1"/>
      <c r="O10411" s="1"/>
      <c r="P10411" s="1"/>
      <c r="Q10411" s="1"/>
      <c r="R10411" s="1"/>
      <c r="S10411" s="1"/>
      <c r="T10411" s="1"/>
      <c r="U10411" s="1"/>
      <c r="V10411" s="1"/>
      <c r="W10411" s="1"/>
      <c r="X10411" s="1"/>
      <c r="Y10411" s="1"/>
      <c r="Z10411" s="1"/>
      <c r="AA10411" s="1"/>
      <c r="AB10411" s="1"/>
      <c r="AC10411" s="1"/>
      <c r="AD10411" s="1"/>
      <c r="AE10411" s="1"/>
      <c r="AF10411" s="1"/>
      <c r="AG10411" s="1"/>
      <c r="AH10411" s="1"/>
    </row>
    <row r="10412" ht="12.75" hidden="1" customHeight="1" outlineLevel="1">
      <c r="A10412" s="1002">
        <v>43316.0</v>
      </c>
      <c r="B10412" s="992"/>
      <c r="C10412" s="32" t="s">
        <v>431</v>
      </c>
      <c r="D10412" s="1"/>
      <c r="F10412" s="1"/>
      <c r="G10412" s="1"/>
      <c r="H10412" s="68"/>
      <c r="I10412" s="76"/>
      <c r="K10412" s="7" t="s">
        <v>1126</v>
      </c>
      <c r="L10412" s="77"/>
      <c r="M10412" s="79"/>
      <c r="N10412" s="1"/>
      <c r="O10412" s="1"/>
      <c r="P10412" s="1"/>
      <c r="Q10412" s="1"/>
      <c r="R10412" s="1"/>
      <c r="S10412" s="1"/>
      <c r="T10412" s="1"/>
      <c r="U10412" s="1"/>
      <c r="V10412" s="1"/>
      <c r="W10412" s="1"/>
      <c r="X10412" s="1"/>
      <c r="Y10412" s="1"/>
      <c r="Z10412" s="1"/>
      <c r="AA10412" s="1"/>
      <c r="AB10412" s="1"/>
      <c r="AC10412" s="1"/>
      <c r="AD10412" s="1"/>
      <c r="AE10412" s="1"/>
      <c r="AF10412" s="1"/>
      <c r="AG10412" s="1"/>
      <c r="AH10412" s="1"/>
    </row>
    <row r="10413" ht="12.75" hidden="1" customHeight="1" outlineLevel="1">
      <c r="A10413" s="1002">
        <v>43316.0</v>
      </c>
      <c r="B10413" s="992"/>
      <c r="C10413" s="32" t="s">
        <v>433</v>
      </c>
      <c r="D10413" s="1"/>
      <c r="F10413" s="1"/>
      <c r="G10413" s="1"/>
      <c r="H10413" s="68"/>
      <c r="I10413" s="76"/>
      <c r="K10413" s="7" t="s">
        <v>1103</v>
      </c>
      <c r="L10413" s="77"/>
      <c r="M10413" s="79"/>
      <c r="N10413" s="1"/>
      <c r="O10413" s="1"/>
      <c r="P10413" s="1"/>
      <c r="Q10413" s="1"/>
      <c r="R10413" s="1"/>
      <c r="S10413" s="1"/>
      <c r="T10413" s="1"/>
      <c r="U10413" s="1"/>
      <c r="V10413" s="1"/>
      <c r="W10413" s="1"/>
      <c r="X10413" s="1"/>
      <c r="Y10413" s="1"/>
      <c r="Z10413" s="1"/>
      <c r="AA10413" s="1"/>
      <c r="AB10413" s="1"/>
      <c r="AC10413" s="1"/>
      <c r="AD10413" s="1"/>
      <c r="AE10413" s="1"/>
      <c r="AF10413" s="1"/>
      <c r="AG10413" s="1"/>
      <c r="AH10413" s="1"/>
    </row>
    <row r="10414" ht="12.75" hidden="1" customHeight="1" outlineLevel="1">
      <c r="A10414" s="1002">
        <v>43316.0</v>
      </c>
      <c r="B10414" s="992"/>
      <c r="C10414" s="32" t="s">
        <v>435</v>
      </c>
      <c r="D10414" s="1"/>
      <c r="F10414" s="1"/>
      <c r="G10414" s="1"/>
      <c r="H10414" s="68"/>
      <c r="I10414" s="76"/>
      <c r="K10414" s="9" t="s">
        <v>3622</v>
      </c>
      <c r="L10414" s="77"/>
      <c r="M10414" s="79"/>
      <c r="N10414" s="1"/>
      <c r="O10414" s="1"/>
      <c r="P10414" s="1"/>
      <c r="Q10414" s="1"/>
      <c r="R10414" s="1"/>
      <c r="S10414" s="1"/>
      <c r="T10414" s="1"/>
      <c r="U10414" s="1"/>
      <c r="V10414" s="1"/>
      <c r="W10414" s="1"/>
      <c r="X10414" s="1"/>
      <c r="Y10414" s="1"/>
      <c r="Z10414" s="1"/>
      <c r="AA10414" s="1"/>
      <c r="AB10414" s="1"/>
      <c r="AC10414" s="1"/>
      <c r="AD10414" s="1"/>
      <c r="AE10414" s="1"/>
      <c r="AF10414" s="1"/>
      <c r="AG10414" s="1"/>
      <c r="AH10414" s="1"/>
    </row>
    <row r="10415" ht="12.75" hidden="1" customHeight="1" outlineLevel="1">
      <c r="A10415" s="1002">
        <v>43319.0</v>
      </c>
      <c r="B10415" s="992"/>
      <c r="C10415" s="32" t="s">
        <v>339</v>
      </c>
      <c r="D10415" s="1"/>
      <c r="F10415" s="1"/>
      <c r="G10415" s="1"/>
      <c r="H10415" s="68"/>
      <c r="I10415" s="76"/>
      <c r="K10415" s="201" t="s">
        <v>3650</v>
      </c>
      <c r="L10415" s="77"/>
      <c r="M10415" s="79"/>
      <c r="N10415" s="1"/>
      <c r="O10415" s="1"/>
      <c r="P10415" s="1"/>
      <c r="Q10415" s="1"/>
      <c r="R10415" s="1"/>
      <c r="S10415" s="1"/>
      <c r="T10415" s="1"/>
      <c r="U10415" s="1"/>
      <c r="V10415" s="1"/>
      <c r="W10415" s="1"/>
      <c r="X10415" s="1"/>
      <c r="Y10415" s="1"/>
      <c r="Z10415" s="1"/>
      <c r="AA10415" s="1"/>
      <c r="AB10415" s="1"/>
      <c r="AC10415" s="1"/>
      <c r="AD10415" s="1"/>
      <c r="AE10415" s="1"/>
      <c r="AF10415" s="1"/>
      <c r="AG10415" s="1"/>
      <c r="AH10415" s="1"/>
    </row>
    <row r="10416" ht="12.75" hidden="1" customHeight="1" outlineLevel="1">
      <c r="A10416" s="1002">
        <v>43319.0</v>
      </c>
      <c r="B10416" s="992"/>
      <c r="C10416" s="32" t="s">
        <v>429</v>
      </c>
      <c r="D10416" s="1"/>
      <c r="F10416" s="1"/>
      <c r="G10416" s="1"/>
      <c r="H10416" s="68"/>
      <c r="I10416" s="76"/>
      <c r="K10416" s="9" t="s">
        <v>3621</v>
      </c>
      <c r="L10416" s="77"/>
      <c r="M10416" s="79"/>
      <c r="N10416" s="1"/>
      <c r="O10416" s="1"/>
      <c r="P10416" s="1"/>
      <c r="Q10416" s="1"/>
      <c r="R10416" s="1"/>
      <c r="S10416" s="1"/>
      <c r="T10416" s="1"/>
      <c r="U10416" s="1"/>
      <c r="V10416" s="1"/>
      <c r="W10416" s="1"/>
      <c r="X10416" s="1"/>
      <c r="Y10416" s="1"/>
      <c r="Z10416" s="1"/>
      <c r="AA10416" s="1"/>
      <c r="AB10416" s="1"/>
      <c r="AC10416" s="1"/>
      <c r="AD10416" s="1"/>
      <c r="AE10416" s="1"/>
      <c r="AF10416" s="1"/>
      <c r="AG10416" s="1"/>
      <c r="AH10416" s="1"/>
    </row>
    <row r="10417" ht="12.75" hidden="1" customHeight="1" outlineLevel="1">
      <c r="A10417" s="1002">
        <v>43319.0</v>
      </c>
      <c r="B10417" s="992"/>
      <c r="C10417" s="32" t="s">
        <v>431</v>
      </c>
      <c r="D10417" s="1"/>
      <c r="F10417" s="1"/>
      <c r="G10417" s="1"/>
      <c r="H10417" s="68"/>
      <c r="I10417" s="76"/>
      <c r="K10417" s="7" t="s">
        <v>1126</v>
      </c>
      <c r="L10417" s="77"/>
      <c r="M10417" s="79"/>
      <c r="N10417" s="1"/>
      <c r="O10417" s="1"/>
      <c r="P10417" s="1"/>
      <c r="Q10417" s="1"/>
      <c r="R10417" s="1"/>
      <c r="S10417" s="1"/>
      <c r="T10417" s="1"/>
      <c r="U10417" s="1"/>
      <c r="V10417" s="1"/>
      <c r="W10417" s="1"/>
      <c r="X10417" s="1"/>
      <c r="Y10417" s="1"/>
      <c r="Z10417" s="1"/>
      <c r="AA10417" s="1"/>
      <c r="AB10417" s="1"/>
      <c r="AC10417" s="1"/>
      <c r="AD10417" s="1"/>
      <c r="AE10417" s="1"/>
      <c r="AF10417" s="1"/>
      <c r="AG10417" s="1"/>
      <c r="AH10417" s="1"/>
    </row>
    <row r="10418" ht="12.75" hidden="1" customHeight="1" outlineLevel="1">
      <c r="A10418" s="1002">
        <v>43319.0</v>
      </c>
      <c r="B10418" s="992"/>
      <c r="C10418" s="32" t="s">
        <v>433</v>
      </c>
      <c r="D10418" s="1"/>
      <c r="F10418" s="1"/>
      <c r="G10418" s="1"/>
      <c r="H10418" s="68"/>
      <c r="I10418" s="76"/>
      <c r="K10418" s="7" t="s">
        <v>1103</v>
      </c>
      <c r="L10418" s="77"/>
      <c r="M10418" s="79"/>
      <c r="N10418" s="1"/>
      <c r="O10418" s="1"/>
      <c r="P10418" s="1"/>
      <c r="Q10418" s="1"/>
      <c r="R10418" s="1"/>
      <c r="S10418" s="1"/>
      <c r="T10418" s="1"/>
      <c r="U10418" s="1"/>
      <c r="V10418" s="1"/>
      <c r="W10418" s="1"/>
      <c r="X10418" s="1"/>
      <c r="Y10418" s="1"/>
      <c r="Z10418" s="1"/>
      <c r="AA10418" s="1"/>
      <c r="AB10418" s="1"/>
      <c r="AC10418" s="1"/>
      <c r="AD10418" s="1"/>
      <c r="AE10418" s="1"/>
      <c r="AF10418" s="1"/>
      <c r="AG10418" s="1"/>
      <c r="AH10418" s="1"/>
    </row>
    <row r="10419" ht="12.75" hidden="1" customHeight="1" outlineLevel="1">
      <c r="A10419" s="1002">
        <v>43319.0</v>
      </c>
      <c r="B10419" s="992"/>
      <c r="C10419" s="32" t="s">
        <v>435</v>
      </c>
      <c r="D10419" s="1"/>
      <c r="F10419" s="1"/>
      <c r="G10419" s="1"/>
      <c r="H10419" s="68"/>
      <c r="I10419" s="76"/>
      <c r="K10419" s="9" t="s">
        <v>3622</v>
      </c>
      <c r="L10419" s="77"/>
      <c r="M10419" s="79"/>
      <c r="N10419" s="1"/>
      <c r="O10419" s="1"/>
      <c r="P10419" s="1"/>
      <c r="Q10419" s="1"/>
      <c r="R10419" s="1"/>
      <c r="S10419" s="1"/>
      <c r="T10419" s="1"/>
      <c r="U10419" s="1"/>
      <c r="V10419" s="1"/>
      <c r="W10419" s="1"/>
      <c r="X10419" s="1"/>
      <c r="Y10419" s="1"/>
      <c r="Z10419" s="1"/>
      <c r="AA10419" s="1"/>
      <c r="AB10419" s="1"/>
      <c r="AC10419" s="1"/>
      <c r="AD10419" s="1"/>
      <c r="AE10419" s="1"/>
      <c r="AF10419" s="1"/>
      <c r="AG10419" s="1"/>
      <c r="AH10419" s="1"/>
    </row>
    <row r="10420" ht="12.75" hidden="1" customHeight="1" outlineLevel="1">
      <c r="A10420" s="1002">
        <v>43320.0</v>
      </c>
      <c r="B10420" s="992"/>
      <c r="C10420" s="32" t="s">
        <v>339</v>
      </c>
      <c r="D10420" s="1"/>
      <c r="F10420" s="1"/>
      <c r="G10420" s="1"/>
      <c r="H10420" s="68"/>
      <c r="I10420" s="76"/>
      <c r="K10420" s="201" t="s">
        <v>3651</v>
      </c>
      <c r="L10420" s="77"/>
      <c r="M10420" s="79"/>
      <c r="N10420" s="1"/>
      <c r="O10420" s="1"/>
      <c r="P10420" s="1"/>
      <c r="Q10420" s="1"/>
      <c r="R10420" s="1"/>
      <c r="S10420" s="1"/>
      <c r="T10420" s="1"/>
      <c r="U10420" s="1"/>
      <c r="V10420" s="1"/>
      <c r="W10420" s="1"/>
      <c r="X10420" s="1"/>
      <c r="Y10420" s="1"/>
      <c r="Z10420" s="1"/>
      <c r="AA10420" s="1"/>
      <c r="AB10420" s="1"/>
      <c r="AC10420" s="1"/>
      <c r="AD10420" s="1"/>
      <c r="AE10420" s="1"/>
      <c r="AF10420" s="1"/>
      <c r="AG10420" s="1"/>
      <c r="AH10420" s="1"/>
    </row>
    <row r="10421" ht="12.75" hidden="1" customHeight="1" outlineLevel="1">
      <c r="A10421" s="1002">
        <v>43320.0</v>
      </c>
      <c r="B10421" s="992"/>
      <c r="C10421" s="32" t="s">
        <v>429</v>
      </c>
      <c r="D10421" s="1"/>
      <c r="F10421" s="1"/>
      <c r="G10421" s="1"/>
      <c r="H10421" s="68"/>
      <c r="I10421" s="76"/>
      <c r="K10421" s="9" t="s">
        <v>3621</v>
      </c>
      <c r="L10421" s="77"/>
      <c r="M10421" s="79"/>
      <c r="N10421" s="1"/>
      <c r="O10421" s="1"/>
      <c r="P10421" s="1"/>
      <c r="Q10421" s="1"/>
      <c r="R10421" s="1"/>
      <c r="S10421" s="1"/>
      <c r="T10421" s="1"/>
      <c r="U10421" s="1"/>
      <c r="V10421" s="1"/>
      <c r="W10421" s="1"/>
      <c r="X10421" s="1"/>
      <c r="Y10421" s="1"/>
      <c r="Z10421" s="1"/>
      <c r="AA10421" s="1"/>
      <c r="AB10421" s="1"/>
      <c r="AC10421" s="1"/>
      <c r="AD10421" s="1"/>
      <c r="AE10421" s="1"/>
      <c r="AF10421" s="1"/>
      <c r="AG10421" s="1"/>
      <c r="AH10421" s="1"/>
    </row>
    <row r="10422" ht="12.75" hidden="1" customHeight="1" outlineLevel="1">
      <c r="A10422" s="1002">
        <v>43320.0</v>
      </c>
      <c r="B10422" s="992"/>
      <c r="C10422" s="32" t="s">
        <v>431</v>
      </c>
      <c r="D10422" s="1"/>
      <c r="F10422" s="1"/>
      <c r="G10422" s="1"/>
      <c r="H10422" s="68"/>
      <c r="I10422" s="76"/>
      <c r="K10422" s="7" t="s">
        <v>1126</v>
      </c>
      <c r="L10422" s="77"/>
      <c r="M10422" s="79"/>
      <c r="N10422" s="1"/>
      <c r="O10422" s="1"/>
      <c r="P10422" s="1"/>
      <c r="Q10422" s="1"/>
      <c r="R10422" s="1"/>
      <c r="S10422" s="1"/>
      <c r="T10422" s="1"/>
      <c r="U10422" s="1"/>
      <c r="V10422" s="1"/>
      <c r="W10422" s="1"/>
      <c r="X10422" s="1"/>
      <c r="Y10422" s="1"/>
      <c r="Z10422" s="1"/>
      <c r="AA10422" s="1"/>
      <c r="AB10422" s="1"/>
      <c r="AC10422" s="1"/>
      <c r="AD10422" s="1"/>
      <c r="AE10422" s="1"/>
      <c r="AF10422" s="1"/>
      <c r="AG10422" s="1"/>
      <c r="AH10422" s="1"/>
    </row>
    <row r="10423" ht="12.75" hidden="1" customHeight="1" outlineLevel="1">
      <c r="A10423" s="1002">
        <v>43320.0</v>
      </c>
      <c r="B10423" s="992"/>
      <c r="C10423" s="32" t="s">
        <v>433</v>
      </c>
      <c r="D10423" s="1"/>
      <c r="F10423" s="1"/>
      <c r="G10423" s="1"/>
      <c r="H10423" s="68"/>
      <c r="I10423" s="76"/>
      <c r="K10423" s="7" t="s">
        <v>1103</v>
      </c>
      <c r="L10423" s="77"/>
      <c r="M10423" s="79"/>
      <c r="N10423" s="1"/>
      <c r="O10423" s="1"/>
      <c r="P10423" s="1"/>
      <c r="Q10423" s="1"/>
      <c r="R10423" s="1"/>
      <c r="S10423" s="1"/>
      <c r="T10423" s="1"/>
      <c r="U10423" s="1"/>
      <c r="V10423" s="1"/>
      <c r="W10423" s="1"/>
      <c r="X10423" s="1"/>
      <c r="Y10423" s="1"/>
      <c r="Z10423" s="1"/>
      <c r="AA10423" s="1"/>
      <c r="AB10423" s="1"/>
      <c r="AC10423" s="1"/>
      <c r="AD10423" s="1"/>
      <c r="AE10423" s="1"/>
      <c r="AF10423" s="1"/>
      <c r="AG10423" s="1"/>
      <c r="AH10423" s="1"/>
    </row>
    <row r="10424" ht="12.75" hidden="1" customHeight="1" outlineLevel="1">
      <c r="A10424" s="1002">
        <v>43320.0</v>
      </c>
      <c r="B10424" s="992"/>
      <c r="C10424" s="32" t="s">
        <v>435</v>
      </c>
      <c r="D10424" s="1"/>
      <c r="F10424" s="1"/>
      <c r="G10424" s="1"/>
      <c r="H10424" s="68"/>
      <c r="I10424" s="76"/>
      <c r="K10424" s="9" t="s">
        <v>3622</v>
      </c>
      <c r="L10424" s="77"/>
      <c r="M10424" s="79"/>
      <c r="N10424" s="1"/>
      <c r="O10424" s="1"/>
      <c r="P10424" s="1"/>
      <c r="Q10424" s="1"/>
      <c r="R10424" s="1"/>
      <c r="S10424" s="1"/>
      <c r="T10424" s="1"/>
      <c r="U10424" s="1"/>
      <c r="V10424" s="1"/>
      <c r="W10424" s="1"/>
      <c r="X10424" s="1"/>
      <c r="Y10424" s="1"/>
      <c r="Z10424" s="1"/>
      <c r="AA10424" s="1"/>
      <c r="AB10424" s="1"/>
      <c r="AC10424" s="1"/>
      <c r="AD10424" s="1"/>
      <c r="AE10424" s="1"/>
      <c r="AF10424" s="1"/>
      <c r="AG10424" s="1"/>
      <c r="AH10424" s="1"/>
    </row>
    <row r="10425" ht="12.75" hidden="1" customHeight="1" outlineLevel="1">
      <c r="A10425" s="202">
        <v>43321.0</v>
      </c>
      <c r="B10425" s="985" t="s">
        <v>343</v>
      </c>
      <c r="C10425" s="94" t="s">
        <v>1123</v>
      </c>
      <c r="D10425" s="94">
        <v>35.0</v>
      </c>
      <c r="E10425" s="94">
        <v>172.89</v>
      </c>
      <c r="F10425" s="1003">
        <v>0.4253472222222222</v>
      </c>
      <c r="G10425" s="1004" t="s">
        <v>453</v>
      </c>
      <c r="H10425" s="987">
        <v>1.0</v>
      </c>
      <c r="I10425" s="988" t="s">
        <v>3145</v>
      </c>
      <c r="J10425" s="67">
        <f t="shared" ref="J10425:J10426" si="583">IF(B10425="SLD",D10425*E10425,-D10425*E10425)-H10425</f>
        <v>-6052.15</v>
      </c>
      <c r="K10425" s="1"/>
      <c r="L10425" s="70"/>
      <c r="M10425" s="79"/>
      <c r="N10425" s="1"/>
      <c r="O10425" s="1"/>
      <c r="P10425" s="1"/>
      <c r="Q10425" s="1"/>
      <c r="R10425" s="1"/>
      <c r="S10425" s="1"/>
      <c r="T10425" s="1"/>
      <c r="U10425" s="1"/>
      <c r="V10425" s="1"/>
      <c r="W10425" s="1"/>
      <c r="X10425" s="1"/>
      <c r="Y10425" s="1"/>
      <c r="Z10425" s="1"/>
      <c r="AA10425" s="1"/>
      <c r="AB10425" s="1"/>
      <c r="AC10425" s="1"/>
      <c r="AD10425" s="1"/>
      <c r="AE10425" s="1"/>
      <c r="AF10425" s="1"/>
      <c r="AG10425" s="1"/>
      <c r="AH10425" s="1"/>
    </row>
    <row r="10426" ht="12.75" hidden="1" customHeight="1" outlineLevel="1">
      <c r="A10426" s="202">
        <v>43321.0</v>
      </c>
      <c r="B10426" s="985" t="s">
        <v>347</v>
      </c>
      <c r="C10426" s="94" t="s">
        <v>356</v>
      </c>
      <c r="D10426" s="94">
        <v>10.0</v>
      </c>
      <c r="E10426" s="94">
        <v>391.2</v>
      </c>
      <c r="F10426" s="1003">
        <v>0.42141203703703706</v>
      </c>
      <c r="G10426" s="1004" t="s">
        <v>453</v>
      </c>
      <c r="H10426" s="987">
        <v>1.05</v>
      </c>
      <c r="I10426" s="988" t="s">
        <v>3145</v>
      </c>
      <c r="J10426" s="67">
        <f t="shared" si="583"/>
        <v>3910.95</v>
      </c>
      <c r="K10426" s="1"/>
      <c r="L10426" s="70"/>
      <c r="M10426" s="79"/>
      <c r="N10426" s="1"/>
      <c r="O10426" s="1"/>
      <c r="P10426" s="1"/>
      <c r="Q10426" s="1"/>
      <c r="R10426" s="1"/>
      <c r="S10426" s="1"/>
      <c r="T10426" s="1"/>
      <c r="U10426" s="1"/>
      <c r="V10426" s="1"/>
      <c r="W10426" s="1"/>
      <c r="X10426" s="1"/>
      <c r="Y10426" s="1"/>
      <c r="Z10426" s="1"/>
      <c r="AA10426" s="1"/>
      <c r="AB10426" s="1"/>
      <c r="AC10426" s="1"/>
      <c r="AD10426" s="1"/>
      <c r="AE10426" s="1"/>
      <c r="AF10426" s="1"/>
      <c r="AG10426" s="1"/>
      <c r="AH10426" s="1"/>
    </row>
    <row r="10427" ht="12.75" hidden="1" customHeight="1" outlineLevel="1">
      <c r="A10427" s="1002">
        <v>43321.0</v>
      </c>
      <c r="B10427" s="992"/>
      <c r="C10427" s="32" t="s">
        <v>339</v>
      </c>
      <c r="D10427" s="1"/>
      <c r="F10427" s="1"/>
      <c r="G10427" s="1"/>
      <c r="H10427" s="68"/>
      <c r="I10427" s="76"/>
      <c r="K10427" s="201" t="s">
        <v>3652</v>
      </c>
      <c r="L10427" s="77"/>
      <c r="M10427" s="79"/>
      <c r="N10427" s="1"/>
      <c r="O10427" s="1"/>
      <c r="P10427" s="1"/>
      <c r="Q10427" s="1"/>
      <c r="R10427" s="1"/>
      <c r="S10427" s="1"/>
      <c r="T10427" s="1"/>
      <c r="U10427" s="1"/>
      <c r="V10427" s="1"/>
      <c r="W10427" s="1"/>
      <c r="X10427" s="1"/>
      <c r="Y10427" s="1"/>
      <c r="Z10427" s="1"/>
      <c r="AA10427" s="1"/>
      <c r="AB10427" s="1"/>
      <c r="AC10427" s="1"/>
      <c r="AD10427" s="1"/>
      <c r="AE10427" s="1"/>
      <c r="AF10427" s="1"/>
      <c r="AG10427" s="1"/>
      <c r="AH10427" s="1"/>
    </row>
    <row r="10428" ht="12.75" hidden="1" customHeight="1" outlineLevel="1">
      <c r="A10428" s="1002">
        <v>43321.0</v>
      </c>
      <c r="B10428" s="992"/>
      <c r="C10428" s="32" t="s">
        <v>429</v>
      </c>
      <c r="D10428" s="1"/>
      <c r="F10428" s="1"/>
      <c r="G10428" s="1"/>
      <c r="H10428" s="68"/>
      <c r="I10428" s="76"/>
      <c r="K10428" s="9" t="s">
        <v>3653</v>
      </c>
      <c r="L10428" s="77"/>
      <c r="M10428" s="79"/>
      <c r="N10428" s="1"/>
      <c r="O10428" s="1"/>
      <c r="P10428" s="1"/>
      <c r="Q10428" s="1"/>
      <c r="R10428" s="1"/>
      <c r="S10428" s="1"/>
      <c r="T10428" s="1"/>
      <c r="U10428" s="1"/>
      <c r="V10428" s="1"/>
      <c r="W10428" s="1"/>
      <c r="X10428" s="1"/>
      <c r="Y10428" s="1"/>
      <c r="Z10428" s="1"/>
      <c r="AA10428" s="1"/>
      <c r="AB10428" s="1"/>
      <c r="AC10428" s="1"/>
      <c r="AD10428" s="1"/>
      <c r="AE10428" s="1"/>
      <c r="AF10428" s="1"/>
      <c r="AG10428" s="1"/>
      <c r="AH10428" s="1"/>
    </row>
    <row r="10429" ht="12.75" hidden="1" customHeight="1" outlineLevel="1">
      <c r="A10429" s="1002">
        <v>43321.0</v>
      </c>
      <c r="B10429" s="992"/>
      <c r="C10429" s="32" t="s">
        <v>431</v>
      </c>
      <c r="D10429" s="1"/>
      <c r="F10429" s="1"/>
      <c r="G10429" s="1"/>
      <c r="H10429" s="68"/>
      <c r="I10429" s="76"/>
      <c r="K10429" s="7" t="s">
        <v>1126</v>
      </c>
      <c r="L10429" s="77"/>
      <c r="M10429" s="79"/>
      <c r="N10429" s="1"/>
      <c r="O10429" s="1"/>
      <c r="P10429" s="1"/>
      <c r="Q10429" s="1"/>
      <c r="R10429" s="1"/>
      <c r="S10429" s="1"/>
      <c r="T10429" s="1"/>
      <c r="U10429" s="1"/>
      <c r="V10429" s="1"/>
      <c r="W10429" s="1"/>
      <c r="X10429" s="1"/>
      <c r="Y10429" s="1"/>
      <c r="Z10429" s="1"/>
      <c r="AA10429" s="1"/>
      <c r="AB10429" s="1"/>
      <c r="AC10429" s="1"/>
      <c r="AD10429" s="1"/>
      <c r="AE10429" s="1"/>
      <c r="AF10429" s="1"/>
      <c r="AG10429" s="1"/>
      <c r="AH10429" s="1"/>
    </row>
    <row r="10430" ht="12.75" hidden="1" customHeight="1" outlineLevel="1">
      <c r="A10430" s="1002">
        <v>43321.0</v>
      </c>
      <c r="B10430" s="992"/>
      <c r="C10430" s="32" t="s">
        <v>433</v>
      </c>
      <c r="D10430" s="1"/>
      <c r="F10430" s="1"/>
      <c r="G10430" s="1"/>
      <c r="H10430" s="68"/>
      <c r="I10430" s="76"/>
      <c r="K10430" s="7" t="s">
        <v>1103</v>
      </c>
      <c r="L10430" s="77"/>
      <c r="M10430" s="79"/>
      <c r="N10430" s="1"/>
      <c r="O10430" s="1"/>
      <c r="P10430" s="1"/>
      <c r="Q10430" s="1"/>
      <c r="R10430" s="1"/>
      <c r="S10430" s="1"/>
      <c r="T10430" s="1"/>
      <c r="U10430" s="1"/>
      <c r="V10430" s="1"/>
      <c r="W10430" s="1"/>
      <c r="X10430" s="1"/>
      <c r="Y10430" s="1"/>
      <c r="Z10430" s="1"/>
      <c r="AA10430" s="1"/>
      <c r="AB10430" s="1"/>
      <c r="AC10430" s="1"/>
      <c r="AD10430" s="1"/>
      <c r="AE10430" s="1"/>
      <c r="AF10430" s="1"/>
      <c r="AG10430" s="1"/>
      <c r="AH10430" s="1"/>
    </row>
    <row r="10431" ht="12.75" hidden="1" customHeight="1" outlineLevel="1">
      <c r="A10431" s="1002">
        <v>43321.0</v>
      </c>
      <c r="B10431" s="992"/>
      <c r="C10431" s="32" t="s">
        <v>435</v>
      </c>
      <c r="D10431" s="1"/>
      <c r="F10431" s="1"/>
      <c r="G10431" s="1"/>
      <c r="H10431" s="68"/>
      <c r="I10431" s="76"/>
      <c r="K10431" s="9" t="s">
        <v>3622</v>
      </c>
      <c r="L10431" s="77"/>
      <c r="M10431" s="79"/>
      <c r="N10431" s="1"/>
      <c r="O10431" s="1"/>
      <c r="P10431" s="1"/>
      <c r="Q10431" s="1"/>
      <c r="R10431" s="1"/>
      <c r="S10431" s="1"/>
      <c r="T10431" s="1"/>
      <c r="U10431" s="1"/>
      <c r="V10431" s="1"/>
      <c r="W10431" s="1"/>
      <c r="X10431" s="1"/>
      <c r="Y10431" s="1"/>
      <c r="Z10431" s="1"/>
      <c r="AA10431" s="1"/>
      <c r="AB10431" s="1"/>
      <c r="AC10431" s="1"/>
      <c r="AD10431" s="1"/>
      <c r="AE10431" s="1"/>
      <c r="AF10431" s="1"/>
      <c r="AG10431" s="1"/>
      <c r="AH10431" s="1"/>
    </row>
    <row r="10432" ht="12.75" hidden="1" customHeight="1" outlineLevel="1">
      <c r="A10432" s="1002">
        <v>43328.0</v>
      </c>
      <c r="B10432" s="992"/>
      <c r="C10432" s="32" t="s">
        <v>339</v>
      </c>
      <c r="D10432" s="1"/>
      <c r="F10432" s="1"/>
      <c r="G10432" s="1"/>
      <c r="H10432" s="68"/>
      <c r="I10432" s="76"/>
      <c r="K10432" s="201" t="s">
        <v>3654</v>
      </c>
      <c r="L10432" s="77"/>
      <c r="M10432" s="79"/>
      <c r="N10432" s="1"/>
      <c r="O10432" s="1"/>
      <c r="P10432" s="1"/>
      <c r="Q10432" s="1"/>
      <c r="R10432" s="1"/>
      <c r="S10432" s="1"/>
      <c r="T10432" s="1"/>
      <c r="U10432" s="1"/>
      <c r="V10432" s="1"/>
      <c r="W10432" s="1"/>
      <c r="X10432" s="1"/>
      <c r="Y10432" s="1"/>
      <c r="Z10432" s="1"/>
      <c r="AA10432" s="1"/>
      <c r="AB10432" s="1"/>
      <c r="AC10432" s="1"/>
      <c r="AD10432" s="1"/>
      <c r="AE10432" s="1"/>
      <c r="AF10432" s="1"/>
      <c r="AG10432" s="1"/>
      <c r="AH10432" s="1"/>
    </row>
    <row r="10433" ht="12.75" hidden="1" customHeight="1" outlineLevel="1">
      <c r="A10433" s="1002">
        <v>43328.0</v>
      </c>
      <c r="B10433" s="992"/>
      <c r="C10433" s="32" t="s">
        <v>429</v>
      </c>
      <c r="D10433" s="1"/>
      <c r="F10433" s="1"/>
      <c r="G10433" s="1"/>
      <c r="H10433" s="68"/>
      <c r="I10433" s="76"/>
      <c r="K10433" s="9" t="s">
        <v>3653</v>
      </c>
      <c r="L10433" s="77"/>
      <c r="M10433" s="79"/>
      <c r="N10433" s="1"/>
      <c r="O10433" s="1"/>
      <c r="P10433" s="1"/>
      <c r="Q10433" s="1"/>
      <c r="R10433" s="1"/>
      <c r="S10433" s="1"/>
      <c r="T10433" s="1"/>
      <c r="U10433" s="1"/>
      <c r="V10433" s="1"/>
      <c r="W10433" s="1"/>
      <c r="X10433" s="1"/>
      <c r="Y10433" s="1"/>
      <c r="Z10433" s="1"/>
      <c r="AA10433" s="1"/>
      <c r="AB10433" s="1"/>
      <c r="AC10433" s="1"/>
      <c r="AD10433" s="1"/>
      <c r="AE10433" s="1"/>
      <c r="AF10433" s="1"/>
      <c r="AG10433" s="1"/>
      <c r="AH10433" s="1"/>
    </row>
    <row r="10434" ht="12.75" hidden="1" customHeight="1" outlineLevel="1">
      <c r="A10434" s="1002">
        <v>43328.0</v>
      </c>
      <c r="B10434" s="992"/>
      <c r="C10434" s="32" t="s">
        <v>431</v>
      </c>
      <c r="D10434" s="1"/>
      <c r="F10434" s="1"/>
      <c r="G10434" s="1"/>
      <c r="H10434" s="68"/>
      <c r="I10434" s="76"/>
      <c r="K10434" s="7" t="s">
        <v>1126</v>
      </c>
      <c r="L10434" s="77"/>
      <c r="M10434" s="79"/>
      <c r="N10434" s="1"/>
      <c r="O10434" s="1"/>
      <c r="P10434" s="1"/>
      <c r="Q10434" s="1"/>
      <c r="R10434" s="1"/>
      <c r="S10434" s="1"/>
      <c r="T10434" s="1"/>
      <c r="U10434" s="1"/>
      <c r="V10434" s="1"/>
      <c r="W10434" s="1"/>
      <c r="X10434" s="1"/>
      <c r="Y10434" s="1"/>
      <c r="Z10434" s="1"/>
      <c r="AA10434" s="1"/>
      <c r="AB10434" s="1"/>
      <c r="AC10434" s="1"/>
      <c r="AD10434" s="1"/>
      <c r="AE10434" s="1"/>
      <c r="AF10434" s="1"/>
      <c r="AG10434" s="1"/>
      <c r="AH10434" s="1"/>
    </row>
    <row r="10435" ht="12.75" hidden="1" customHeight="1" outlineLevel="1">
      <c r="A10435" s="1002">
        <v>43328.0</v>
      </c>
      <c r="B10435" s="992"/>
      <c r="C10435" s="32" t="s">
        <v>433</v>
      </c>
      <c r="D10435" s="1"/>
      <c r="F10435" s="1"/>
      <c r="G10435" s="1"/>
      <c r="H10435" s="68"/>
      <c r="I10435" s="76"/>
      <c r="K10435" s="7" t="s">
        <v>1103</v>
      </c>
      <c r="L10435" s="77"/>
      <c r="M10435" s="79"/>
      <c r="N10435" s="1"/>
      <c r="O10435" s="1"/>
      <c r="P10435" s="1"/>
      <c r="Q10435" s="1"/>
      <c r="R10435" s="1"/>
      <c r="S10435" s="1"/>
      <c r="T10435" s="1"/>
      <c r="U10435" s="1"/>
      <c r="V10435" s="1"/>
      <c r="W10435" s="1"/>
      <c r="X10435" s="1"/>
      <c r="Y10435" s="1"/>
      <c r="Z10435" s="1"/>
      <c r="AA10435" s="1"/>
      <c r="AB10435" s="1"/>
      <c r="AC10435" s="1"/>
      <c r="AD10435" s="1"/>
      <c r="AE10435" s="1"/>
      <c r="AF10435" s="1"/>
      <c r="AG10435" s="1"/>
      <c r="AH10435" s="1"/>
    </row>
    <row r="10436" ht="12.75" hidden="1" customHeight="1" outlineLevel="1">
      <c r="A10436" s="1002">
        <v>43328.0</v>
      </c>
      <c r="B10436" s="992"/>
      <c r="C10436" s="32" t="s">
        <v>435</v>
      </c>
      <c r="D10436" s="1"/>
      <c r="F10436" s="1"/>
      <c r="G10436" s="1"/>
      <c r="H10436" s="68"/>
      <c r="I10436" s="76"/>
      <c r="K10436" s="9" t="s">
        <v>3622</v>
      </c>
      <c r="L10436" s="77"/>
      <c r="M10436" s="79"/>
      <c r="N10436" s="1"/>
      <c r="O10436" s="1"/>
      <c r="P10436" s="1"/>
      <c r="Q10436" s="1"/>
      <c r="R10436" s="1"/>
      <c r="S10436" s="1"/>
      <c r="T10436" s="1"/>
      <c r="U10436" s="1"/>
      <c r="V10436" s="1"/>
      <c r="W10436" s="1"/>
      <c r="X10436" s="1"/>
      <c r="Y10436" s="1"/>
      <c r="Z10436" s="1"/>
      <c r="AA10436" s="1"/>
      <c r="AB10436" s="1"/>
      <c r="AC10436" s="1"/>
      <c r="AD10436" s="1"/>
      <c r="AE10436" s="1"/>
      <c r="AF10436" s="1"/>
      <c r="AG10436" s="1"/>
      <c r="AH10436" s="1"/>
    </row>
    <row r="10437" ht="12.75" hidden="1" customHeight="1" outlineLevel="1">
      <c r="A10437" s="202">
        <v>43328.0</v>
      </c>
      <c r="B10437" s="985" t="s">
        <v>343</v>
      </c>
      <c r="C10437" s="94" t="s">
        <v>1194</v>
      </c>
      <c r="D10437" s="94">
        <v>125.0</v>
      </c>
      <c r="E10437" s="94">
        <v>80.82</v>
      </c>
      <c r="F10437" s="998">
        <v>43328.543020833335</v>
      </c>
      <c r="G10437" s="1004" t="s">
        <v>453</v>
      </c>
      <c r="H10437" s="987">
        <v>1.0</v>
      </c>
      <c r="I10437" s="988" t="s">
        <v>3145</v>
      </c>
      <c r="J10437" s="67">
        <f t="shared" ref="J10437:J10438" si="584">IF(B10437="SLD",D10437*E10437,-D10437*E10437)-H10437</f>
        <v>-10103.5</v>
      </c>
      <c r="K10437" s="1"/>
      <c r="L10437" s="70"/>
      <c r="M10437" s="79"/>
      <c r="N10437" s="1"/>
      <c r="O10437" s="1"/>
      <c r="P10437" s="1"/>
      <c r="Q10437" s="1"/>
      <c r="R10437" s="1"/>
      <c r="S10437" s="1"/>
      <c r="T10437" s="1"/>
      <c r="U10437" s="1"/>
      <c r="V10437" s="1"/>
      <c r="W10437" s="1"/>
      <c r="X10437" s="1"/>
      <c r="Y10437" s="1"/>
      <c r="Z10437" s="1"/>
      <c r="AA10437" s="1"/>
      <c r="AB10437" s="1"/>
      <c r="AC10437" s="1"/>
      <c r="AD10437" s="1"/>
      <c r="AE10437" s="1"/>
      <c r="AF10437" s="1"/>
      <c r="AG10437" s="1"/>
      <c r="AH10437" s="1"/>
    </row>
    <row r="10438" ht="12.75" hidden="1" customHeight="1" outlineLevel="1">
      <c r="A10438" s="202">
        <v>43328.0</v>
      </c>
      <c r="B10438" s="985" t="s">
        <v>347</v>
      </c>
      <c r="C10438" s="94" t="s">
        <v>1035</v>
      </c>
      <c r="D10438" s="94">
        <v>10.0</v>
      </c>
      <c r="E10438" s="94">
        <v>1239.2594</v>
      </c>
      <c r="F10438" s="998">
        <v>43328.54199074074</v>
      </c>
      <c r="G10438" s="1004" t="s">
        <v>453</v>
      </c>
      <c r="H10438" s="987">
        <v>1.16</v>
      </c>
      <c r="I10438" s="988" t="s">
        <v>3145</v>
      </c>
      <c r="J10438" s="67">
        <f t="shared" si="584"/>
        <v>12391.434</v>
      </c>
      <c r="K10438" s="1"/>
      <c r="L10438" s="70"/>
      <c r="M10438" s="79"/>
      <c r="N10438" s="1"/>
      <c r="O10438" s="1"/>
      <c r="P10438" s="1"/>
      <c r="Q10438" s="1"/>
      <c r="R10438" s="1"/>
      <c r="S10438" s="1"/>
      <c r="T10438" s="1"/>
      <c r="U10438" s="1"/>
      <c r="V10438" s="1"/>
      <c r="W10438" s="1"/>
      <c r="X10438" s="1"/>
      <c r="Y10438" s="1"/>
      <c r="Z10438" s="1"/>
      <c r="AA10438" s="1"/>
      <c r="AB10438" s="1"/>
      <c r="AC10438" s="1"/>
      <c r="AD10438" s="1"/>
      <c r="AE10438" s="1"/>
      <c r="AF10438" s="1"/>
      <c r="AG10438" s="1"/>
      <c r="AH10438" s="1"/>
    </row>
    <row r="10439" ht="12.75" hidden="1" customHeight="1" outlineLevel="1">
      <c r="A10439" s="1002">
        <v>43330.0</v>
      </c>
      <c r="B10439" s="992"/>
      <c r="C10439" s="32" t="s">
        <v>339</v>
      </c>
      <c r="D10439" s="1"/>
      <c r="F10439" s="1"/>
      <c r="G10439" s="1"/>
      <c r="H10439" s="68"/>
      <c r="I10439" s="76"/>
      <c r="K10439" s="201" t="s">
        <v>3655</v>
      </c>
      <c r="L10439" s="77"/>
      <c r="M10439" s="79"/>
      <c r="N10439" s="1"/>
      <c r="O10439" s="1"/>
      <c r="P10439" s="1"/>
      <c r="Q10439" s="1"/>
      <c r="R10439" s="1"/>
      <c r="S10439" s="1"/>
      <c r="T10439" s="1"/>
      <c r="U10439" s="1"/>
      <c r="V10439" s="1"/>
      <c r="W10439" s="1"/>
      <c r="X10439" s="1"/>
      <c r="Y10439" s="1"/>
      <c r="Z10439" s="1"/>
      <c r="AA10439" s="1"/>
      <c r="AB10439" s="1"/>
      <c r="AC10439" s="1"/>
      <c r="AD10439" s="1"/>
      <c r="AE10439" s="1"/>
      <c r="AF10439" s="1"/>
      <c r="AG10439" s="1"/>
      <c r="AH10439" s="1"/>
    </row>
    <row r="10440" ht="12.75" hidden="1" customHeight="1" outlineLevel="1">
      <c r="A10440" s="1002">
        <v>43330.0</v>
      </c>
      <c r="B10440" s="992"/>
      <c r="C10440" s="32" t="s">
        <v>429</v>
      </c>
      <c r="D10440" s="1"/>
      <c r="F10440" s="1"/>
      <c r="G10440" s="1"/>
      <c r="H10440" s="68"/>
      <c r="I10440" s="76"/>
      <c r="K10440" s="9" t="s">
        <v>3653</v>
      </c>
      <c r="L10440" s="77"/>
      <c r="M10440" s="79"/>
      <c r="N10440" s="1"/>
      <c r="O10440" s="1"/>
      <c r="P10440" s="1"/>
      <c r="Q10440" s="1"/>
      <c r="R10440" s="1"/>
      <c r="S10440" s="1"/>
      <c r="T10440" s="1"/>
      <c r="U10440" s="1"/>
      <c r="V10440" s="1"/>
      <c r="W10440" s="1"/>
      <c r="X10440" s="1"/>
      <c r="Y10440" s="1"/>
      <c r="Z10440" s="1"/>
      <c r="AA10440" s="1"/>
      <c r="AB10440" s="1"/>
      <c r="AC10440" s="1"/>
      <c r="AD10440" s="1"/>
      <c r="AE10440" s="1"/>
      <c r="AF10440" s="1"/>
      <c r="AG10440" s="1"/>
      <c r="AH10440" s="1"/>
    </row>
    <row r="10441" ht="12.75" hidden="1" customHeight="1" outlineLevel="1">
      <c r="A10441" s="1002">
        <v>43330.0</v>
      </c>
      <c r="B10441" s="992"/>
      <c r="C10441" s="32" t="s">
        <v>431</v>
      </c>
      <c r="D10441" s="1"/>
      <c r="F10441" s="1"/>
      <c r="G10441" s="1"/>
      <c r="H10441" s="68"/>
      <c r="I10441" s="76"/>
      <c r="K10441" s="7" t="s">
        <v>1126</v>
      </c>
      <c r="L10441" s="77"/>
      <c r="M10441" s="79"/>
      <c r="N10441" s="1"/>
      <c r="O10441" s="1"/>
      <c r="P10441" s="1"/>
      <c r="Q10441" s="1"/>
      <c r="R10441" s="1"/>
      <c r="S10441" s="1"/>
      <c r="T10441" s="1"/>
      <c r="U10441" s="1"/>
      <c r="V10441" s="1"/>
      <c r="W10441" s="1"/>
      <c r="X10441" s="1"/>
      <c r="Y10441" s="1"/>
      <c r="Z10441" s="1"/>
      <c r="AA10441" s="1"/>
      <c r="AB10441" s="1"/>
      <c r="AC10441" s="1"/>
      <c r="AD10441" s="1"/>
      <c r="AE10441" s="1"/>
      <c r="AF10441" s="1"/>
      <c r="AG10441" s="1"/>
      <c r="AH10441" s="1"/>
    </row>
    <row r="10442" ht="12.75" hidden="1" customHeight="1" outlineLevel="1">
      <c r="A10442" s="1002">
        <v>43330.0</v>
      </c>
      <c r="B10442" s="992"/>
      <c r="C10442" s="32" t="s">
        <v>433</v>
      </c>
      <c r="D10442" s="1"/>
      <c r="F10442" s="1"/>
      <c r="G10442" s="1"/>
      <c r="H10442" s="68"/>
      <c r="I10442" s="76"/>
      <c r="K10442" s="7" t="s">
        <v>1103</v>
      </c>
      <c r="L10442" s="77"/>
      <c r="M10442" s="79"/>
      <c r="N10442" s="1"/>
      <c r="O10442" s="1"/>
      <c r="P10442" s="1"/>
      <c r="Q10442" s="1"/>
      <c r="R10442" s="1"/>
      <c r="S10442" s="1"/>
      <c r="T10442" s="1"/>
      <c r="U10442" s="1"/>
      <c r="V10442" s="1"/>
      <c r="W10442" s="1"/>
      <c r="X10442" s="1"/>
      <c r="Y10442" s="1"/>
      <c r="Z10442" s="1"/>
      <c r="AA10442" s="1"/>
      <c r="AB10442" s="1"/>
      <c r="AC10442" s="1"/>
      <c r="AD10442" s="1"/>
      <c r="AE10442" s="1"/>
      <c r="AF10442" s="1"/>
      <c r="AG10442" s="1"/>
      <c r="AH10442" s="1"/>
    </row>
    <row r="10443" ht="12.75" hidden="1" customHeight="1" outlineLevel="1">
      <c r="A10443" s="1002">
        <v>43330.0</v>
      </c>
      <c r="B10443" s="992"/>
      <c r="C10443" s="32" t="s">
        <v>435</v>
      </c>
      <c r="D10443" s="1"/>
      <c r="F10443" s="1"/>
      <c r="G10443" s="1"/>
      <c r="H10443" s="68"/>
      <c r="I10443" s="76"/>
      <c r="K10443" s="9" t="s">
        <v>3622</v>
      </c>
      <c r="L10443" s="77"/>
      <c r="M10443" s="79"/>
      <c r="N10443" s="1"/>
      <c r="O10443" s="1"/>
      <c r="P10443" s="1"/>
      <c r="Q10443" s="1"/>
      <c r="R10443" s="1"/>
      <c r="S10443" s="1"/>
      <c r="T10443" s="1"/>
      <c r="U10443" s="1"/>
      <c r="V10443" s="1"/>
      <c r="W10443" s="1"/>
      <c r="X10443" s="1"/>
      <c r="Y10443" s="1"/>
      <c r="Z10443" s="1"/>
      <c r="AA10443" s="1"/>
      <c r="AB10443" s="1"/>
      <c r="AC10443" s="1"/>
      <c r="AD10443" s="1"/>
      <c r="AE10443" s="1"/>
      <c r="AF10443" s="1"/>
      <c r="AG10443" s="1"/>
      <c r="AH10443" s="1"/>
    </row>
    <row r="10444" ht="12.75" hidden="1" customHeight="1" outlineLevel="1">
      <c r="A10444" s="1002">
        <v>43331.0</v>
      </c>
      <c r="B10444" s="992"/>
      <c r="C10444" s="32" t="s">
        <v>339</v>
      </c>
      <c r="D10444" s="1"/>
      <c r="F10444" s="1"/>
      <c r="G10444" s="1"/>
      <c r="H10444" s="68"/>
      <c r="I10444" s="76"/>
      <c r="K10444" s="201" t="s">
        <v>3656</v>
      </c>
      <c r="L10444" s="77"/>
      <c r="M10444" s="79"/>
      <c r="N10444" s="1"/>
      <c r="O10444" s="1"/>
      <c r="P10444" s="1"/>
      <c r="Q10444" s="1"/>
      <c r="R10444" s="1"/>
      <c r="S10444" s="1"/>
      <c r="T10444" s="1"/>
      <c r="U10444" s="1"/>
      <c r="V10444" s="1"/>
      <c r="W10444" s="1"/>
      <c r="X10444" s="1"/>
      <c r="Y10444" s="1"/>
      <c r="Z10444" s="1"/>
      <c r="AA10444" s="1"/>
      <c r="AB10444" s="1"/>
      <c r="AC10444" s="1"/>
      <c r="AD10444" s="1"/>
      <c r="AE10444" s="1"/>
      <c r="AF10444" s="1"/>
      <c r="AG10444" s="1"/>
      <c r="AH10444" s="1"/>
    </row>
    <row r="10445" ht="12.75" hidden="1" customHeight="1" outlineLevel="1">
      <c r="A10445" s="1002">
        <v>43331.0</v>
      </c>
      <c r="B10445" s="992"/>
      <c r="C10445" s="32" t="s">
        <v>429</v>
      </c>
      <c r="D10445" s="1"/>
      <c r="F10445" s="1"/>
      <c r="G10445" s="1"/>
      <c r="H10445" s="68"/>
      <c r="I10445" s="76"/>
      <c r="K10445" s="9" t="s">
        <v>3653</v>
      </c>
      <c r="L10445" s="77"/>
      <c r="M10445" s="79"/>
      <c r="N10445" s="1"/>
      <c r="O10445" s="1"/>
      <c r="P10445" s="1"/>
      <c r="Q10445" s="1"/>
      <c r="R10445" s="1"/>
      <c r="S10445" s="1"/>
      <c r="T10445" s="1"/>
      <c r="U10445" s="1"/>
      <c r="V10445" s="1"/>
      <c r="W10445" s="1"/>
      <c r="X10445" s="1"/>
      <c r="Y10445" s="1"/>
      <c r="Z10445" s="1"/>
      <c r="AA10445" s="1"/>
      <c r="AB10445" s="1"/>
      <c r="AC10445" s="1"/>
      <c r="AD10445" s="1"/>
      <c r="AE10445" s="1"/>
      <c r="AF10445" s="1"/>
      <c r="AG10445" s="1"/>
      <c r="AH10445" s="1"/>
    </row>
    <row r="10446" ht="12.75" hidden="1" customHeight="1" outlineLevel="1">
      <c r="A10446" s="1002">
        <v>43331.0</v>
      </c>
      <c r="B10446" s="992"/>
      <c r="C10446" s="32" t="s">
        <v>431</v>
      </c>
      <c r="D10446" s="1"/>
      <c r="F10446" s="1"/>
      <c r="G10446" s="1"/>
      <c r="H10446" s="68"/>
      <c r="I10446" s="76"/>
      <c r="K10446" s="7" t="s">
        <v>1126</v>
      </c>
      <c r="L10446" s="77"/>
      <c r="M10446" s="79"/>
      <c r="N10446" s="1"/>
      <c r="O10446" s="1"/>
      <c r="P10446" s="1"/>
      <c r="Q10446" s="1"/>
      <c r="R10446" s="1"/>
      <c r="S10446" s="1"/>
      <c r="T10446" s="1"/>
      <c r="U10446" s="1"/>
      <c r="V10446" s="1"/>
      <c r="W10446" s="1"/>
      <c r="X10446" s="1"/>
      <c r="Y10446" s="1"/>
      <c r="Z10446" s="1"/>
      <c r="AA10446" s="1"/>
      <c r="AB10446" s="1"/>
      <c r="AC10446" s="1"/>
      <c r="AD10446" s="1"/>
      <c r="AE10446" s="1"/>
      <c r="AF10446" s="1"/>
      <c r="AG10446" s="1"/>
      <c r="AH10446" s="1"/>
    </row>
    <row r="10447" ht="12.75" hidden="1" customHeight="1" outlineLevel="1">
      <c r="A10447" s="1002">
        <v>43331.0</v>
      </c>
      <c r="B10447" s="992"/>
      <c r="C10447" s="32" t="s">
        <v>433</v>
      </c>
      <c r="D10447" s="1"/>
      <c r="F10447" s="1"/>
      <c r="G10447" s="1"/>
      <c r="H10447" s="68"/>
      <c r="I10447" s="76"/>
      <c r="K10447" s="7" t="s">
        <v>1103</v>
      </c>
      <c r="L10447" s="77"/>
      <c r="M10447" s="79"/>
      <c r="N10447" s="1"/>
      <c r="O10447" s="1"/>
      <c r="P10447" s="1"/>
      <c r="Q10447" s="1"/>
      <c r="R10447" s="1"/>
      <c r="S10447" s="1"/>
      <c r="T10447" s="1"/>
      <c r="U10447" s="1"/>
      <c r="V10447" s="1"/>
      <c r="W10447" s="1"/>
      <c r="X10447" s="1"/>
      <c r="Y10447" s="1"/>
      <c r="Z10447" s="1"/>
      <c r="AA10447" s="1"/>
      <c r="AB10447" s="1"/>
      <c r="AC10447" s="1"/>
      <c r="AD10447" s="1"/>
      <c r="AE10447" s="1"/>
      <c r="AF10447" s="1"/>
      <c r="AG10447" s="1"/>
      <c r="AH10447" s="1"/>
    </row>
    <row r="10448" ht="12.75" hidden="1" customHeight="1" outlineLevel="1">
      <c r="A10448" s="1002">
        <v>43331.0</v>
      </c>
      <c r="B10448" s="992"/>
      <c r="C10448" s="32" t="s">
        <v>435</v>
      </c>
      <c r="D10448" s="1"/>
      <c r="F10448" s="1"/>
      <c r="G10448" s="1"/>
      <c r="H10448" s="68"/>
      <c r="I10448" s="76"/>
      <c r="K10448" s="9" t="s">
        <v>3622</v>
      </c>
      <c r="L10448" s="77"/>
      <c r="M10448" s="79"/>
      <c r="N10448" s="1"/>
      <c r="O10448" s="1"/>
      <c r="P10448" s="1"/>
      <c r="Q10448" s="1"/>
      <c r="R10448" s="1"/>
      <c r="S10448" s="1"/>
      <c r="T10448" s="1"/>
      <c r="U10448" s="1"/>
      <c r="V10448" s="1"/>
      <c r="W10448" s="1"/>
      <c r="X10448" s="1"/>
      <c r="Y10448" s="1"/>
      <c r="Z10448" s="1"/>
      <c r="AA10448" s="1"/>
      <c r="AB10448" s="1"/>
      <c r="AC10448" s="1"/>
      <c r="AD10448" s="1"/>
      <c r="AE10448" s="1"/>
      <c r="AF10448" s="1"/>
      <c r="AG10448" s="1"/>
      <c r="AH10448" s="1"/>
    </row>
    <row r="10449" ht="12.75" hidden="1" customHeight="1" outlineLevel="1">
      <c r="A10449" s="202">
        <v>43332.0</v>
      </c>
      <c r="B10449" s="985" t="s">
        <v>347</v>
      </c>
      <c r="C10449" s="94" t="s">
        <v>911</v>
      </c>
      <c r="D10449" s="94">
        <v>10.0</v>
      </c>
      <c r="E10449" s="94">
        <v>98.73</v>
      </c>
      <c r="F10449" s="1003">
        <v>0.5036805555555556</v>
      </c>
      <c r="G10449" s="1004" t="s">
        <v>453</v>
      </c>
      <c r="H10449" s="987">
        <v>1.01</v>
      </c>
      <c r="I10449" s="988" t="s">
        <v>3145</v>
      </c>
      <c r="J10449" s="67">
        <f t="shared" ref="J10449:J10450" si="585">IF(B10449="SLD",D10449*E10449,-D10449*E10449)-H10449</f>
        <v>986.29</v>
      </c>
      <c r="K10449" s="1"/>
      <c r="L10449" s="70"/>
      <c r="M10449" s="79"/>
      <c r="N10449" s="1"/>
      <c r="O10449" s="1"/>
      <c r="P10449" s="1"/>
      <c r="Q10449" s="1"/>
      <c r="R10449" s="1"/>
      <c r="S10449" s="1"/>
      <c r="T10449" s="1"/>
      <c r="U10449" s="1"/>
      <c r="V10449" s="1"/>
      <c r="W10449" s="1"/>
      <c r="X10449" s="1"/>
      <c r="Y10449" s="1"/>
      <c r="Z10449" s="1"/>
      <c r="AA10449" s="1"/>
      <c r="AB10449" s="1"/>
      <c r="AC10449" s="1"/>
      <c r="AD10449" s="1"/>
      <c r="AE10449" s="1"/>
      <c r="AF10449" s="1"/>
      <c r="AG10449" s="1"/>
      <c r="AH10449" s="1"/>
    </row>
    <row r="10450" ht="12.75" hidden="1" customHeight="1" outlineLevel="1">
      <c r="A10450" s="202">
        <v>43332.0</v>
      </c>
      <c r="B10450" s="985" t="s">
        <v>343</v>
      </c>
      <c r="C10450" s="94" t="s">
        <v>911</v>
      </c>
      <c r="D10450" s="94">
        <v>50.0</v>
      </c>
      <c r="E10450" s="94">
        <v>98.6069</v>
      </c>
      <c r="F10450" s="1003">
        <v>0.4826736111111111</v>
      </c>
      <c r="G10450" s="1004" t="s">
        <v>453</v>
      </c>
      <c r="H10450" s="987">
        <v>1.0</v>
      </c>
      <c r="I10450" s="988" t="s">
        <v>3145</v>
      </c>
      <c r="J10450" s="67">
        <f t="shared" si="585"/>
        <v>-4931.345</v>
      </c>
      <c r="K10450" s="1"/>
      <c r="L10450" s="70"/>
      <c r="M10450" s="79"/>
      <c r="N10450" s="1"/>
      <c r="O10450" s="1"/>
      <c r="P10450" s="1"/>
      <c r="Q10450" s="1"/>
      <c r="R10450" s="1"/>
      <c r="S10450" s="1"/>
      <c r="T10450" s="1"/>
      <c r="U10450" s="1"/>
      <c r="V10450" s="1"/>
      <c r="W10450" s="1"/>
      <c r="X10450" s="1"/>
      <c r="Y10450" s="1"/>
      <c r="Z10450" s="1"/>
      <c r="AA10450" s="1"/>
      <c r="AB10450" s="1"/>
      <c r="AC10450" s="1"/>
      <c r="AD10450" s="1"/>
      <c r="AE10450" s="1"/>
      <c r="AF10450" s="1"/>
      <c r="AG10450" s="1"/>
      <c r="AH10450" s="1"/>
    </row>
    <row r="10451" ht="12.75" hidden="1" customHeight="1" outlineLevel="1">
      <c r="A10451" s="1002">
        <v>43332.0</v>
      </c>
      <c r="B10451" s="992"/>
      <c r="C10451" s="32" t="s">
        <v>339</v>
      </c>
      <c r="D10451" s="1"/>
      <c r="F10451" s="1"/>
      <c r="G10451" s="1"/>
      <c r="H10451" s="68"/>
      <c r="I10451" s="76"/>
      <c r="K10451" s="201" t="s">
        <v>3657</v>
      </c>
      <c r="L10451" s="77"/>
      <c r="M10451" s="79"/>
      <c r="N10451" s="1"/>
      <c r="O10451" s="1"/>
      <c r="P10451" s="1"/>
      <c r="Q10451" s="1"/>
      <c r="R10451" s="1"/>
      <c r="S10451" s="1"/>
      <c r="T10451" s="1"/>
      <c r="U10451" s="1"/>
      <c r="V10451" s="1"/>
      <c r="W10451" s="1"/>
      <c r="X10451" s="1"/>
      <c r="Y10451" s="1"/>
      <c r="Z10451" s="1"/>
      <c r="AA10451" s="1"/>
      <c r="AB10451" s="1"/>
      <c r="AC10451" s="1"/>
      <c r="AD10451" s="1"/>
      <c r="AE10451" s="1"/>
      <c r="AF10451" s="1"/>
      <c r="AG10451" s="1"/>
      <c r="AH10451" s="1"/>
    </row>
    <row r="10452" ht="12.75" hidden="1" customHeight="1" outlineLevel="1">
      <c r="A10452" s="1002">
        <v>43332.0</v>
      </c>
      <c r="B10452" s="992"/>
      <c r="C10452" s="32" t="s">
        <v>429</v>
      </c>
      <c r="D10452" s="1"/>
      <c r="F10452" s="1"/>
      <c r="G10452" s="1"/>
      <c r="H10452" s="68"/>
      <c r="I10452" s="76"/>
      <c r="K10452" s="9" t="s">
        <v>3653</v>
      </c>
      <c r="L10452" s="77"/>
      <c r="M10452" s="79"/>
      <c r="N10452" s="1"/>
      <c r="O10452" s="1"/>
      <c r="P10452" s="1"/>
      <c r="Q10452" s="1"/>
      <c r="R10452" s="1"/>
      <c r="S10452" s="1"/>
      <c r="T10452" s="1"/>
      <c r="U10452" s="1"/>
      <c r="V10452" s="1"/>
      <c r="W10452" s="1"/>
      <c r="X10452" s="1"/>
      <c r="Y10452" s="1"/>
      <c r="Z10452" s="1"/>
      <c r="AA10452" s="1"/>
      <c r="AB10452" s="1"/>
      <c r="AC10452" s="1"/>
      <c r="AD10452" s="1"/>
      <c r="AE10452" s="1"/>
      <c r="AF10452" s="1"/>
      <c r="AG10452" s="1"/>
      <c r="AH10452" s="1"/>
    </row>
    <row r="10453" ht="12.75" hidden="1" customHeight="1" outlineLevel="1">
      <c r="A10453" s="1002">
        <v>43332.0</v>
      </c>
      <c r="B10453" s="992"/>
      <c r="C10453" s="32" t="s">
        <v>431</v>
      </c>
      <c r="D10453" s="1"/>
      <c r="F10453" s="1"/>
      <c r="G10453" s="1"/>
      <c r="H10453" s="68"/>
      <c r="I10453" s="76"/>
      <c r="K10453" s="7" t="s">
        <v>1126</v>
      </c>
      <c r="L10453" s="77"/>
      <c r="M10453" s="79"/>
      <c r="N10453" s="1"/>
      <c r="O10453" s="1"/>
      <c r="P10453" s="1"/>
      <c r="Q10453" s="1"/>
      <c r="R10453" s="1"/>
      <c r="S10453" s="1"/>
      <c r="T10453" s="1"/>
      <c r="U10453" s="1"/>
      <c r="V10453" s="1"/>
      <c r="W10453" s="1"/>
      <c r="X10453" s="1"/>
      <c r="Y10453" s="1"/>
      <c r="Z10453" s="1"/>
      <c r="AA10453" s="1"/>
      <c r="AB10453" s="1"/>
      <c r="AC10453" s="1"/>
      <c r="AD10453" s="1"/>
      <c r="AE10453" s="1"/>
      <c r="AF10453" s="1"/>
      <c r="AG10453" s="1"/>
      <c r="AH10453" s="1"/>
    </row>
    <row r="10454" ht="12.75" hidden="1" customHeight="1" outlineLevel="1">
      <c r="A10454" s="1002">
        <v>43332.0</v>
      </c>
      <c r="B10454" s="992"/>
      <c r="C10454" s="32" t="s">
        <v>433</v>
      </c>
      <c r="D10454" s="1"/>
      <c r="F10454" s="1"/>
      <c r="G10454" s="1"/>
      <c r="H10454" s="68"/>
      <c r="I10454" s="76"/>
      <c r="K10454" s="7" t="s">
        <v>1103</v>
      </c>
      <c r="L10454" s="77"/>
      <c r="M10454" s="79"/>
      <c r="N10454" s="1"/>
      <c r="O10454" s="1"/>
      <c r="P10454" s="1"/>
      <c r="Q10454" s="1"/>
      <c r="R10454" s="1"/>
      <c r="S10454" s="1"/>
      <c r="T10454" s="1"/>
      <c r="U10454" s="1"/>
      <c r="V10454" s="1"/>
      <c r="W10454" s="1"/>
      <c r="X10454" s="1"/>
      <c r="Y10454" s="1"/>
      <c r="Z10454" s="1"/>
      <c r="AA10454" s="1"/>
      <c r="AB10454" s="1"/>
      <c r="AC10454" s="1"/>
      <c r="AD10454" s="1"/>
      <c r="AE10454" s="1"/>
      <c r="AF10454" s="1"/>
      <c r="AG10454" s="1"/>
      <c r="AH10454" s="1"/>
    </row>
    <row r="10455" ht="12.75" hidden="1" customHeight="1" outlineLevel="1">
      <c r="A10455" s="1002">
        <v>43332.0</v>
      </c>
      <c r="B10455" s="992"/>
      <c r="C10455" s="32" t="s">
        <v>435</v>
      </c>
      <c r="D10455" s="1"/>
      <c r="F10455" s="1"/>
      <c r="G10455" s="1"/>
      <c r="H10455" s="68"/>
      <c r="I10455" s="76"/>
      <c r="K10455" s="9" t="s">
        <v>3622</v>
      </c>
      <c r="L10455" s="77"/>
      <c r="M10455" s="79"/>
      <c r="N10455" s="1"/>
      <c r="O10455" s="1"/>
      <c r="P10455" s="1"/>
      <c r="Q10455" s="1"/>
      <c r="R10455" s="1"/>
      <c r="S10455" s="1"/>
      <c r="T10455" s="1"/>
      <c r="U10455" s="1"/>
      <c r="V10455" s="1"/>
      <c r="W10455" s="1"/>
      <c r="X10455" s="1"/>
      <c r="Y10455" s="1"/>
      <c r="Z10455" s="1"/>
      <c r="AA10455" s="1"/>
      <c r="AB10455" s="1"/>
      <c r="AC10455" s="1"/>
      <c r="AD10455" s="1"/>
      <c r="AE10455" s="1"/>
      <c r="AF10455" s="1"/>
      <c r="AG10455" s="1"/>
      <c r="AH10455" s="1"/>
    </row>
    <row r="10456" ht="12.75" hidden="1" customHeight="1" outlineLevel="1">
      <c r="A10456" s="1002">
        <v>43334.0</v>
      </c>
      <c r="B10456" s="992"/>
      <c r="C10456" s="32" t="s">
        <v>339</v>
      </c>
      <c r="D10456" s="1"/>
      <c r="F10456" s="1"/>
      <c r="G10456" s="1"/>
      <c r="H10456" s="68"/>
      <c r="I10456" s="76"/>
      <c r="K10456" s="201" t="s">
        <v>3658</v>
      </c>
      <c r="L10456" s="77"/>
      <c r="M10456" s="79"/>
      <c r="N10456" s="1"/>
      <c r="O10456" s="1"/>
      <c r="P10456" s="1"/>
      <c r="Q10456" s="1"/>
      <c r="R10456" s="1"/>
      <c r="S10456" s="1"/>
      <c r="T10456" s="1"/>
      <c r="U10456" s="1"/>
      <c r="V10456" s="1"/>
      <c r="W10456" s="1"/>
      <c r="X10456" s="1"/>
      <c r="Y10456" s="1"/>
      <c r="Z10456" s="1"/>
      <c r="AA10456" s="1"/>
      <c r="AB10456" s="1"/>
      <c r="AC10456" s="1"/>
      <c r="AD10456" s="1"/>
      <c r="AE10456" s="1"/>
      <c r="AF10456" s="1"/>
      <c r="AG10456" s="1"/>
      <c r="AH10456" s="1"/>
    </row>
    <row r="10457" ht="12.75" hidden="1" customHeight="1" outlineLevel="1">
      <c r="A10457" s="1002">
        <v>43334.0</v>
      </c>
      <c r="B10457" s="992"/>
      <c r="C10457" s="32" t="s">
        <v>429</v>
      </c>
      <c r="D10457" s="1"/>
      <c r="F10457" s="1"/>
      <c r="G10457" s="1"/>
      <c r="H10457" s="68"/>
      <c r="I10457" s="76"/>
      <c r="K10457" s="9" t="s">
        <v>3653</v>
      </c>
      <c r="L10457" s="77"/>
      <c r="M10457" s="79"/>
      <c r="N10457" s="1"/>
      <c r="O10457" s="1"/>
      <c r="P10457" s="1"/>
      <c r="Q10457" s="1"/>
      <c r="R10457" s="1"/>
      <c r="S10457" s="1"/>
      <c r="T10457" s="1"/>
      <c r="U10457" s="1"/>
      <c r="V10457" s="1"/>
      <c r="W10457" s="1"/>
      <c r="X10457" s="1"/>
      <c r="Y10457" s="1"/>
      <c r="Z10457" s="1"/>
      <c r="AA10457" s="1"/>
      <c r="AB10457" s="1"/>
      <c r="AC10457" s="1"/>
      <c r="AD10457" s="1"/>
      <c r="AE10457" s="1"/>
      <c r="AF10457" s="1"/>
      <c r="AG10457" s="1"/>
      <c r="AH10457" s="1"/>
    </row>
    <row r="10458" ht="12.75" hidden="1" customHeight="1" outlineLevel="1">
      <c r="A10458" s="1002">
        <v>43334.0</v>
      </c>
      <c r="B10458" s="992"/>
      <c r="C10458" s="32" t="s">
        <v>431</v>
      </c>
      <c r="D10458" s="1"/>
      <c r="F10458" s="1"/>
      <c r="G10458" s="1"/>
      <c r="H10458" s="68"/>
      <c r="I10458" s="76"/>
      <c r="K10458" s="7" t="s">
        <v>1126</v>
      </c>
      <c r="L10458" s="77"/>
      <c r="M10458" s="79"/>
      <c r="N10458" s="1"/>
      <c r="O10458" s="1"/>
      <c r="P10458" s="1"/>
      <c r="Q10458" s="1"/>
      <c r="R10458" s="1"/>
      <c r="S10458" s="1"/>
      <c r="T10458" s="1"/>
      <c r="U10458" s="1"/>
      <c r="V10458" s="1"/>
      <c r="W10458" s="1"/>
      <c r="X10458" s="1"/>
      <c r="Y10458" s="1"/>
      <c r="Z10458" s="1"/>
      <c r="AA10458" s="1"/>
      <c r="AB10458" s="1"/>
      <c r="AC10458" s="1"/>
      <c r="AD10458" s="1"/>
      <c r="AE10458" s="1"/>
      <c r="AF10458" s="1"/>
      <c r="AG10458" s="1"/>
      <c r="AH10458" s="1"/>
    </row>
    <row r="10459" ht="12.75" hidden="1" customHeight="1" outlineLevel="1">
      <c r="A10459" s="1002">
        <v>43334.0</v>
      </c>
      <c r="B10459" s="992"/>
      <c r="C10459" s="32" t="s">
        <v>433</v>
      </c>
      <c r="D10459" s="1"/>
      <c r="F10459" s="1"/>
      <c r="G10459" s="1"/>
      <c r="H10459" s="68"/>
      <c r="I10459" s="76"/>
      <c r="K10459" s="7" t="s">
        <v>1103</v>
      </c>
      <c r="L10459" s="77"/>
      <c r="M10459" s="79"/>
      <c r="N10459" s="1"/>
      <c r="O10459" s="1"/>
      <c r="P10459" s="1"/>
      <c r="Q10459" s="1"/>
      <c r="R10459" s="1"/>
      <c r="S10459" s="1"/>
      <c r="T10459" s="1"/>
      <c r="U10459" s="1"/>
      <c r="V10459" s="1"/>
      <c r="W10459" s="1"/>
      <c r="X10459" s="1"/>
      <c r="Y10459" s="1"/>
      <c r="Z10459" s="1"/>
      <c r="AA10459" s="1"/>
      <c r="AB10459" s="1"/>
      <c r="AC10459" s="1"/>
      <c r="AD10459" s="1"/>
      <c r="AE10459" s="1"/>
      <c r="AF10459" s="1"/>
      <c r="AG10459" s="1"/>
      <c r="AH10459" s="1"/>
    </row>
    <row r="10460" ht="12.75" hidden="1" customHeight="1" outlineLevel="1">
      <c r="A10460" s="1002">
        <v>43334.0</v>
      </c>
      <c r="B10460" s="992"/>
      <c r="C10460" s="32" t="s">
        <v>435</v>
      </c>
      <c r="D10460" s="1"/>
      <c r="F10460" s="1"/>
      <c r="G10460" s="1"/>
      <c r="H10460" s="68"/>
      <c r="I10460" s="76"/>
      <c r="K10460" s="9" t="s">
        <v>3622</v>
      </c>
      <c r="L10460" s="77"/>
      <c r="M10460" s="79"/>
      <c r="N10460" s="1"/>
      <c r="O10460" s="1"/>
      <c r="P10460" s="1"/>
      <c r="Q10460" s="1"/>
      <c r="R10460" s="1"/>
      <c r="S10460" s="1"/>
      <c r="T10460" s="1"/>
      <c r="U10460" s="1"/>
      <c r="V10460" s="1"/>
      <c r="W10460" s="1"/>
      <c r="X10460" s="1"/>
      <c r="Y10460" s="1"/>
      <c r="Z10460" s="1"/>
      <c r="AA10460" s="1"/>
      <c r="AB10460" s="1"/>
      <c r="AC10460" s="1"/>
      <c r="AD10460" s="1"/>
      <c r="AE10460" s="1"/>
      <c r="AF10460" s="1"/>
      <c r="AG10460" s="1"/>
      <c r="AH10460" s="1"/>
    </row>
    <row r="10461" ht="12.75" hidden="1" customHeight="1" outlineLevel="1">
      <c r="A10461" s="202">
        <v>43335.0</v>
      </c>
      <c r="B10461" s="985" t="s">
        <v>347</v>
      </c>
      <c r="C10461" s="94" t="s">
        <v>1035</v>
      </c>
      <c r="D10461" s="94">
        <v>10.0</v>
      </c>
      <c r="E10461" s="94">
        <v>1224.2864</v>
      </c>
      <c r="F10461" s="998">
        <v>43335.577002314814</v>
      </c>
      <c r="G10461" s="1004" t="s">
        <v>453</v>
      </c>
      <c r="H10461" s="987">
        <v>1.16</v>
      </c>
      <c r="I10461" s="988" t="s">
        <v>3145</v>
      </c>
      <c r="J10461" s="67">
        <f t="shared" ref="J10461:J10462" si="586">IF(B10461="SLD",D10461*E10461,-D10461*E10461)-H10461</f>
        <v>12241.704</v>
      </c>
      <c r="K10461" s="1"/>
      <c r="L10461" s="70"/>
      <c r="M10461" s="79"/>
      <c r="N10461" s="1"/>
      <c r="O10461" s="1"/>
      <c r="P10461" s="1"/>
      <c r="Q10461" s="1"/>
      <c r="R10461" s="1"/>
      <c r="S10461" s="1"/>
      <c r="T10461" s="1"/>
      <c r="U10461" s="1"/>
      <c r="V10461" s="1"/>
      <c r="W10461" s="1"/>
      <c r="X10461" s="1"/>
      <c r="Y10461" s="1"/>
      <c r="Z10461" s="1"/>
      <c r="AA10461" s="1"/>
      <c r="AB10461" s="1"/>
      <c r="AC10461" s="1"/>
      <c r="AD10461" s="1"/>
      <c r="AE10461" s="1"/>
      <c r="AF10461" s="1"/>
      <c r="AG10461" s="1"/>
      <c r="AH10461" s="1"/>
    </row>
    <row r="10462" ht="12.75" hidden="1" customHeight="1" outlineLevel="1">
      <c r="A10462" s="202">
        <v>43335.0</v>
      </c>
      <c r="B10462" s="985" t="s">
        <v>347</v>
      </c>
      <c r="C10462" s="94" t="s">
        <v>1061</v>
      </c>
      <c r="D10462" s="94">
        <v>150.0</v>
      </c>
      <c r="E10462" s="94">
        <v>56.612</v>
      </c>
      <c r="F10462" s="998">
        <v>43335.5765625</v>
      </c>
      <c r="G10462" s="1004" t="s">
        <v>453</v>
      </c>
      <c r="H10462" s="987">
        <v>1.13</v>
      </c>
      <c r="I10462" s="988" t="s">
        <v>3145</v>
      </c>
      <c r="J10462" s="67">
        <f t="shared" si="586"/>
        <v>8490.67</v>
      </c>
      <c r="K10462" s="1"/>
      <c r="L10462" s="70"/>
      <c r="M10462" s="79"/>
      <c r="N10462" s="1"/>
      <c r="O10462" s="1"/>
      <c r="P10462" s="1"/>
      <c r="Q10462" s="1"/>
      <c r="R10462" s="1"/>
      <c r="S10462" s="1"/>
      <c r="T10462" s="1"/>
      <c r="U10462" s="1"/>
      <c r="V10462" s="1"/>
      <c r="W10462" s="1"/>
      <c r="X10462" s="1"/>
      <c r="Y10462" s="1"/>
      <c r="Z10462" s="1"/>
      <c r="AA10462" s="1"/>
      <c r="AB10462" s="1"/>
      <c r="AC10462" s="1"/>
      <c r="AD10462" s="1"/>
      <c r="AE10462" s="1"/>
      <c r="AF10462" s="1"/>
      <c r="AG10462" s="1"/>
      <c r="AH10462" s="1"/>
    </row>
    <row r="10463" ht="12.75" hidden="1" customHeight="1" outlineLevel="1">
      <c r="A10463" s="1002">
        <v>43341.0</v>
      </c>
      <c r="B10463" s="992"/>
      <c r="C10463" s="32" t="s">
        <v>339</v>
      </c>
      <c r="D10463" s="1"/>
      <c r="F10463" s="1"/>
      <c r="G10463" s="1"/>
      <c r="H10463" s="68"/>
      <c r="I10463" s="76"/>
      <c r="K10463" s="201" t="s">
        <v>3659</v>
      </c>
      <c r="L10463" s="77"/>
      <c r="M10463" s="79"/>
      <c r="N10463" s="1"/>
      <c r="O10463" s="1"/>
      <c r="P10463" s="1"/>
      <c r="Q10463" s="1"/>
      <c r="R10463" s="1"/>
      <c r="S10463" s="1"/>
      <c r="T10463" s="1"/>
      <c r="U10463" s="1"/>
      <c r="V10463" s="1"/>
      <c r="W10463" s="1"/>
      <c r="X10463" s="1"/>
      <c r="Y10463" s="1"/>
      <c r="Z10463" s="1"/>
      <c r="AA10463" s="1"/>
      <c r="AB10463" s="1"/>
      <c r="AC10463" s="1"/>
      <c r="AD10463" s="1"/>
      <c r="AE10463" s="1"/>
      <c r="AF10463" s="1"/>
      <c r="AG10463" s="1"/>
      <c r="AH10463" s="1"/>
    </row>
    <row r="10464" ht="12.75" hidden="1" customHeight="1" outlineLevel="1">
      <c r="A10464" s="1002">
        <v>43341.0</v>
      </c>
      <c r="B10464" s="992"/>
      <c r="C10464" s="32" t="s">
        <v>429</v>
      </c>
      <c r="D10464" s="1"/>
      <c r="F10464" s="1"/>
      <c r="G10464" s="1"/>
      <c r="H10464" s="68"/>
      <c r="I10464" s="76"/>
      <c r="K10464" s="9" t="s">
        <v>3653</v>
      </c>
      <c r="L10464" s="77"/>
      <c r="M10464" s="79"/>
      <c r="N10464" s="1"/>
      <c r="O10464" s="1"/>
      <c r="P10464" s="1"/>
      <c r="Q10464" s="1"/>
      <c r="R10464" s="1"/>
      <c r="S10464" s="1"/>
      <c r="T10464" s="1"/>
      <c r="U10464" s="1"/>
      <c r="V10464" s="1"/>
      <c r="W10464" s="1"/>
      <c r="X10464" s="1"/>
      <c r="Y10464" s="1"/>
      <c r="Z10464" s="1"/>
      <c r="AA10464" s="1"/>
      <c r="AB10464" s="1"/>
      <c r="AC10464" s="1"/>
      <c r="AD10464" s="1"/>
      <c r="AE10464" s="1"/>
      <c r="AF10464" s="1"/>
      <c r="AG10464" s="1"/>
      <c r="AH10464" s="1"/>
    </row>
    <row r="10465" ht="12.75" hidden="1" customHeight="1" outlineLevel="1">
      <c r="A10465" s="1002">
        <v>43341.0</v>
      </c>
      <c r="B10465" s="992"/>
      <c r="C10465" s="32" t="s">
        <v>431</v>
      </c>
      <c r="D10465" s="1"/>
      <c r="F10465" s="1"/>
      <c r="G10465" s="1"/>
      <c r="H10465" s="68"/>
      <c r="I10465" s="76"/>
      <c r="K10465" s="7" t="s">
        <v>1126</v>
      </c>
      <c r="L10465" s="77"/>
      <c r="M10465" s="79"/>
      <c r="N10465" s="1"/>
      <c r="O10465" s="1"/>
      <c r="P10465" s="1"/>
      <c r="Q10465" s="1"/>
      <c r="R10465" s="1"/>
      <c r="S10465" s="1"/>
      <c r="T10465" s="1"/>
      <c r="U10465" s="1"/>
      <c r="V10465" s="1"/>
      <c r="W10465" s="1"/>
      <c r="X10465" s="1"/>
      <c r="Y10465" s="1"/>
      <c r="Z10465" s="1"/>
      <c r="AA10465" s="1"/>
      <c r="AB10465" s="1"/>
      <c r="AC10465" s="1"/>
      <c r="AD10465" s="1"/>
      <c r="AE10465" s="1"/>
      <c r="AF10465" s="1"/>
      <c r="AG10465" s="1"/>
      <c r="AH10465" s="1"/>
    </row>
    <row r="10466" ht="12.75" hidden="1" customHeight="1" outlineLevel="1">
      <c r="A10466" s="1002">
        <v>43341.0</v>
      </c>
      <c r="B10466" s="992"/>
      <c r="C10466" s="32" t="s">
        <v>433</v>
      </c>
      <c r="D10466" s="1"/>
      <c r="F10466" s="1"/>
      <c r="G10466" s="1"/>
      <c r="H10466" s="68"/>
      <c r="I10466" s="76"/>
      <c r="K10466" s="7" t="s">
        <v>1103</v>
      </c>
      <c r="L10466" s="77"/>
      <c r="M10466" s="79"/>
      <c r="N10466" s="1"/>
      <c r="O10466" s="1"/>
      <c r="P10466" s="1"/>
      <c r="Q10466" s="1"/>
      <c r="R10466" s="1"/>
      <c r="S10466" s="1"/>
      <c r="T10466" s="1"/>
      <c r="U10466" s="1"/>
      <c r="V10466" s="1"/>
      <c r="W10466" s="1"/>
      <c r="X10466" s="1"/>
      <c r="Y10466" s="1"/>
      <c r="Z10466" s="1"/>
      <c r="AA10466" s="1"/>
      <c r="AB10466" s="1"/>
      <c r="AC10466" s="1"/>
      <c r="AD10466" s="1"/>
      <c r="AE10466" s="1"/>
      <c r="AF10466" s="1"/>
      <c r="AG10466" s="1"/>
      <c r="AH10466" s="1"/>
    </row>
    <row r="10467" ht="12.75" hidden="1" customHeight="1" outlineLevel="1">
      <c r="A10467" s="1002">
        <v>43341.0</v>
      </c>
      <c r="B10467" s="992"/>
      <c r="C10467" s="32" t="s">
        <v>435</v>
      </c>
      <c r="D10467" s="1"/>
      <c r="F10467" s="1"/>
      <c r="G10467" s="1"/>
      <c r="H10467" s="68"/>
      <c r="I10467" s="76"/>
      <c r="K10467" s="9" t="s">
        <v>3622</v>
      </c>
      <c r="L10467" s="77"/>
      <c r="M10467" s="79"/>
      <c r="N10467" s="1"/>
      <c r="O10467" s="1"/>
      <c r="P10467" s="1"/>
      <c r="Q10467" s="1"/>
      <c r="R10467" s="1"/>
      <c r="S10467" s="1"/>
      <c r="T10467" s="1"/>
      <c r="U10467" s="1"/>
      <c r="V10467" s="1"/>
      <c r="W10467" s="1"/>
      <c r="X10467" s="1"/>
      <c r="Y10467" s="1"/>
      <c r="Z10467" s="1"/>
      <c r="AA10467" s="1"/>
      <c r="AB10467" s="1"/>
      <c r="AC10467" s="1"/>
      <c r="AD10467" s="1"/>
      <c r="AE10467" s="1"/>
      <c r="AF10467" s="1"/>
      <c r="AG10467" s="1"/>
      <c r="AH10467" s="1"/>
    </row>
    <row r="10468" ht="12.75" hidden="1" customHeight="1" outlineLevel="1">
      <c r="A10468" s="202">
        <v>43342.0</v>
      </c>
      <c r="B10468" s="985" t="s">
        <v>343</v>
      </c>
      <c r="C10468" s="94" t="s">
        <v>1053</v>
      </c>
      <c r="D10468" s="94">
        <v>10.0</v>
      </c>
      <c r="E10468" s="94">
        <v>2015.29</v>
      </c>
      <c r="F10468" s="998">
        <v>43342.442928240744</v>
      </c>
      <c r="G10468" s="1004" t="s">
        <v>453</v>
      </c>
      <c r="H10468" s="987">
        <v>1.0</v>
      </c>
      <c r="I10468" s="988" t="s">
        <v>3145</v>
      </c>
      <c r="J10468" s="67">
        <f>IF(B10468="SLD",D10468*E10468,-D10468*E10468)-H10468</f>
        <v>-20153.9</v>
      </c>
      <c r="K10468" s="1"/>
      <c r="L10468" s="70"/>
      <c r="M10468" s="79"/>
      <c r="N10468" s="1"/>
      <c r="O10468" s="1"/>
      <c r="P10468" s="1"/>
      <c r="Q10468" s="1"/>
      <c r="R10468" s="1"/>
      <c r="S10468" s="1"/>
      <c r="T10468" s="1"/>
      <c r="U10468" s="1"/>
      <c r="V10468" s="1"/>
      <c r="W10468" s="1"/>
      <c r="X10468" s="1"/>
      <c r="Y10468" s="1"/>
      <c r="Z10468" s="1"/>
      <c r="AA10468" s="1"/>
      <c r="AB10468" s="1"/>
      <c r="AC10468" s="1"/>
      <c r="AD10468" s="1"/>
      <c r="AE10468" s="1"/>
      <c r="AF10468" s="1"/>
      <c r="AG10468" s="1"/>
      <c r="AH10468" s="1"/>
    </row>
    <row r="10469" ht="12.75" hidden="1" customHeight="1" outlineLevel="1">
      <c r="A10469" s="202">
        <v>43342.0</v>
      </c>
      <c r="B10469" s="992"/>
      <c r="C10469" s="32" t="s">
        <v>339</v>
      </c>
      <c r="D10469" s="1"/>
      <c r="F10469" s="1"/>
      <c r="G10469" s="1"/>
      <c r="H10469" s="68"/>
      <c r="I10469" s="76"/>
      <c r="K10469" s="201" t="s">
        <v>3660</v>
      </c>
      <c r="L10469" s="77"/>
      <c r="M10469" s="79"/>
      <c r="N10469" s="1"/>
      <c r="O10469" s="1"/>
      <c r="P10469" s="1"/>
      <c r="Q10469" s="1"/>
      <c r="R10469" s="1"/>
      <c r="S10469" s="1"/>
      <c r="T10469" s="1"/>
      <c r="U10469" s="1"/>
      <c r="V10469" s="1"/>
      <c r="W10469" s="1"/>
      <c r="X10469" s="1"/>
      <c r="Y10469" s="1"/>
      <c r="Z10469" s="1"/>
      <c r="AA10469" s="1"/>
      <c r="AB10469" s="1"/>
      <c r="AC10469" s="1"/>
      <c r="AD10469" s="1"/>
      <c r="AE10469" s="1"/>
      <c r="AF10469" s="1"/>
      <c r="AG10469" s="1"/>
      <c r="AH10469" s="1"/>
    </row>
    <row r="10470" ht="12.75" hidden="1" customHeight="1" outlineLevel="1">
      <c r="A10470" s="202">
        <v>43342.0</v>
      </c>
      <c r="B10470" s="992"/>
      <c r="C10470" s="32" t="s">
        <v>429</v>
      </c>
      <c r="D10470" s="1"/>
      <c r="F10470" s="1"/>
      <c r="G10470" s="1"/>
      <c r="H10470" s="68"/>
      <c r="I10470" s="76"/>
      <c r="K10470" s="9" t="s">
        <v>3653</v>
      </c>
      <c r="L10470" s="77"/>
      <c r="M10470" s="79"/>
      <c r="N10470" s="1"/>
      <c r="O10470" s="1"/>
      <c r="P10470" s="1"/>
      <c r="Q10470" s="1"/>
      <c r="R10470" s="1"/>
      <c r="S10470" s="1"/>
      <c r="T10470" s="1"/>
      <c r="U10470" s="1"/>
      <c r="V10470" s="1"/>
      <c r="W10470" s="1"/>
      <c r="X10470" s="1"/>
      <c r="Y10470" s="1"/>
      <c r="Z10470" s="1"/>
      <c r="AA10470" s="1"/>
      <c r="AB10470" s="1"/>
      <c r="AC10470" s="1"/>
      <c r="AD10470" s="1"/>
      <c r="AE10470" s="1"/>
      <c r="AF10470" s="1"/>
      <c r="AG10470" s="1"/>
      <c r="AH10470" s="1"/>
    </row>
    <row r="10471" ht="12.75" hidden="1" customHeight="1" outlineLevel="1">
      <c r="A10471" s="202">
        <v>43342.0</v>
      </c>
      <c r="B10471" s="992"/>
      <c r="C10471" s="32" t="s">
        <v>431</v>
      </c>
      <c r="D10471" s="1"/>
      <c r="F10471" s="1"/>
      <c r="G10471" s="1"/>
      <c r="H10471" s="68"/>
      <c r="I10471" s="76"/>
      <c r="K10471" s="7" t="s">
        <v>1126</v>
      </c>
      <c r="L10471" s="77"/>
      <c r="M10471" s="79"/>
      <c r="N10471" s="1"/>
      <c r="O10471" s="1"/>
      <c r="P10471" s="1"/>
      <c r="Q10471" s="1"/>
      <c r="R10471" s="1"/>
      <c r="S10471" s="1"/>
      <c r="T10471" s="1"/>
      <c r="U10471" s="1"/>
      <c r="V10471" s="1"/>
      <c r="W10471" s="1"/>
      <c r="X10471" s="1"/>
      <c r="Y10471" s="1"/>
      <c r="Z10471" s="1"/>
      <c r="AA10471" s="1"/>
      <c r="AB10471" s="1"/>
      <c r="AC10471" s="1"/>
      <c r="AD10471" s="1"/>
      <c r="AE10471" s="1"/>
      <c r="AF10471" s="1"/>
      <c r="AG10471" s="1"/>
      <c r="AH10471" s="1"/>
    </row>
    <row r="10472" ht="12.75" hidden="1" customHeight="1" outlineLevel="1">
      <c r="A10472" s="202">
        <v>43342.0</v>
      </c>
      <c r="B10472" s="992"/>
      <c r="C10472" s="32" t="s">
        <v>433</v>
      </c>
      <c r="D10472" s="1"/>
      <c r="F10472" s="1"/>
      <c r="G10472" s="1"/>
      <c r="H10472" s="68"/>
      <c r="I10472" s="76"/>
      <c r="K10472" s="7" t="s">
        <v>1103</v>
      </c>
      <c r="L10472" s="77"/>
      <c r="M10472" s="79"/>
      <c r="N10472" s="1"/>
      <c r="O10472" s="1"/>
      <c r="P10472" s="1"/>
      <c r="Q10472" s="1"/>
      <c r="R10472" s="1"/>
      <c r="S10472" s="1"/>
      <c r="T10472" s="1"/>
      <c r="U10472" s="1"/>
      <c r="V10472" s="1"/>
      <c r="W10472" s="1"/>
      <c r="X10472" s="1"/>
      <c r="Y10472" s="1"/>
      <c r="Z10472" s="1"/>
      <c r="AA10472" s="1"/>
      <c r="AB10472" s="1"/>
      <c r="AC10472" s="1"/>
      <c r="AD10472" s="1"/>
      <c r="AE10472" s="1"/>
      <c r="AF10472" s="1"/>
      <c r="AG10472" s="1"/>
      <c r="AH10472" s="1"/>
    </row>
    <row r="10473" ht="12.75" hidden="1" customHeight="1" outlineLevel="1">
      <c r="A10473" s="202">
        <v>43342.0</v>
      </c>
      <c r="B10473" s="992"/>
      <c r="C10473" s="32" t="s">
        <v>435</v>
      </c>
      <c r="D10473" s="1"/>
      <c r="F10473" s="1"/>
      <c r="G10473" s="1"/>
      <c r="H10473" s="68"/>
      <c r="I10473" s="76"/>
      <c r="K10473" s="9" t="s">
        <v>3622</v>
      </c>
      <c r="L10473" s="77"/>
      <c r="M10473" s="79"/>
      <c r="N10473" s="1"/>
      <c r="O10473" s="1"/>
      <c r="P10473" s="1"/>
      <c r="Q10473" s="1"/>
      <c r="R10473" s="1"/>
      <c r="S10473" s="1"/>
      <c r="T10473" s="1"/>
      <c r="U10473" s="1"/>
      <c r="V10473" s="1"/>
      <c r="W10473" s="1"/>
      <c r="X10473" s="1"/>
      <c r="Y10473" s="1"/>
      <c r="Z10473" s="1"/>
      <c r="AA10473" s="1"/>
      <c r="AB10473" s="1"/>
      <c r="AC10473" s="1"/>
      <c r="AD10473" s="1"/>
      <c r="AE10473" s="1"/>
      <c r="AF10473" s="1"/>
      <c r="AG10473" s="1"/>
      <c r="AH10473" s="1"/>
    </row>
    <row r="10474" ht="12.75" hidden="1" customHeight="1" outlineLevel="1">
      <c r="A10474" s="1002">
        <v>43347.0</v>
      </c>
      <c r="B10474" s="992"/>
      <c r="C10474" s="32" t="s">
        <v>339</v>
      </c>
      <c r="D10474" s="1"/>
      <c r="F10474" s="1"/>
      <c r="G10474" s="1"/>
      <c r="H10474" s="68"/>
      <c r="I10474" s="76"/>
      <c r="K10474" s="201" t="s">
        <v>3661</v>
      </c>
      <c r="L10474" s="77"/>
      <c r="M10474" s="79"/>
      <c r="N10474" s="1"/>
      <c r="O10474" s="1"/>
      <c r="P10474" s="1"/>
      <c r="Q10474" s="1"/>
      <c r="R10474" s="1"/>
      <c r="S10474" s="1"/>
      <c r="T10474" s="1"/>
      <c r="U10474" s="1"/>
      <c r="V10474" s="1"/>
      <c r="W10474" s="1"/>
      <c r="X10474" s="1"/>
      <c r="Y10474" s="1"/>
      <c r="Z10474" s="1"/>
      <c r="AA10474" s="1"/>
      <c r="AB10474" s="1"/>
      <c r="AC10474" s="1"/>
      <c r="AD10474" s="1"/>
      <c r="AE10474" s="1"/>
      <c r="AF10474" s="1"/>
      <c r="AG10474" s="1"/>
      <c r="AH10474" s="1"/>
    </row>
    <row r="10475" ht="12.75" hidden="1" customHeight="1" outlineLevel="1">
      <c r="A10475" s="1002">
        <v>43347.0</v>
      </c>
      <c r="B10475" s="992"/>
      <c r="C10475" s="32" t="s">
        <v>429</v>
      </c>
      <c r="D10475" s="1"/>
      <c r="F10475" s="1"/>
      <c r="G10475" s="1"/>
      <c r="H10475" s="68"/>
      <c r="I10475" s="76"/>
      <c r="K10475" s="9" t="s">
        <v>3662</v>
      </c>
      <c r="L10475" s="77"/>
      <c r="M10475" s="79"/>
      <c r="N10475" s="1"/>
      <c r="O10475" s="1"/>
      <c r="P10475" s="1"/>
      <c r="Q10475" s="1"/>
      <c r="R10475" s="1"/>
      <c r="S10475" s="1"/>
      <c r="T10475" s="1"/>
      <c r="U10475" s="1"/>
      <c r="V10475" s="1"/>
      <c r="W10475" s="1"/>
      <c r="X10475" s="1"/>
      <c r="Y10475" s="1"/>
      <c r="Z10475" s="1"/>
      <c r="AA10475" s="1"/>
      <c r="AB10475" s="1"/>
      <c r="AC10475" s="1"/>
      <c r="AD10475" s="1"/>
      <c r="AE10475" s="1"/>
      <c r="AF10475" s="1"/>
      <c r="AG10475" s="1"/>
      <c r="AH10475" s="1"/>
    </row>
    <row r="10476" ht="12.75" hidden="1" customHeight="1" outlineLevel="1">
      <c r="A10476" s="1002">
        <v>43347.0</v>
      </c>
      <c r="B10476" s="992"/>
      <c r="C10476" s="32" t="s">
        <v>431</v>
      </c>
      <c r="D10476" s="1"/>
      <c r="F10476" s="1"/>
      <c r="G10476" s="1"/>
      <c r="H10476" s="68"/>
      <c r="I10476" s="76"/>
      <c r="K10476" s="9" t="s">
        <v>3663</v>
      </c>
      <c r="L10476" s="77"/>
      <c r="M10476" s="79"/>
      <c r="N10476" s="1"/>
      <c r="O10476" s="1"/>
      <c r="P10476" s="1"/>
      <c r="Q10476" s="1"/>
      <c r="R10476" s="1"/>
      <c r="S10476" s="1"/>
      <c r="T10476" s="1"/>
      <c r="U10476" s="1"/>
      <c r="V10476" s="1"/>
      <c r="W10476" s="1"/>
      <c r="X10476" s="1"/>
      <c r="Y10476" s="1"/>
      <c r="Z10476" s="1"/>
      <c r="AA10476" s="1"/>
      <c r="AB10476" s="1"/>
      <c r="AC10476" s="1"/>
      <c r="AD10476" s="1"/>
      <c r="AE10476" s="1"/>
      <c r="AF10476" s="1"/>
      <c r="AG10476" s="1"/>
      <c r="AH10476" s="1"/>
    </row>
    <row r="10477" ht="12.75" hidden="1" customHeight="1" outlineLevel="1">
      <c r="A10477" s="1002">
        <v>43347.0</v>
      </c>
      <c r="B10477" s="992"/>
      <c r="C10477" s="32" t="s">
        <v>433</v>
      </c>
      <c r="D10477" s="1"/>
      <c r="F10477" s="1"/>
      <c r="G10477" s="1"/>
      <c r="H10477" s="68"/>
      <c r="I10477" s="76"/>
      <c r="K10477" s="9" t="s">
        <v>3663</v>
      </c>
      <c r="L10477" s="77"/>
      <c r="M10477" s="79"/>
      <c r="N10477" s="1"/>
      <c r="O10477" s="1"/>
      <c r="P10477" s="1"/>
      <c r="Q10477" s="1"/>
      <c r="R10477" s="1"/>
      <c r="S10477" s="1"/>
      <c r="T10477" s="1"/>
      <c r="U10477" s="1"/>
      <c r="V10477" s="1"/>
      <c r="W10477" s="1"/>
      <c r="X10477" s="1"/>
      <c r="Y10477" s="1"/>
      <c r="Z10477" s="1"/>
      <c r="AA10477" s="1"/>
      <c r="AB10477" s="1"/>
      <c r="AC10477" s="1"/>
      <c r="AD10477" s="1"/>
      <c r="AE10477" s="1"/>
      <c r="AF10477" s="1"/>
      <c r="AG10477" s="1"/>
      <c r="AH10477" s="1"/>
    </row>
    <row r="10478" ht="12.75" hidden="1" customHeight="1" outlineLevel="1">
      <c r="A10478" s="1002">
        <v>43347.0</v>
      </c>
      <c r="B10478" s="992"/>
      <c r="C10478" s="32" t="s">
        <v>435</v>
      </c>
      <c r="D10478" s="1"/>
      <c r="F10478" s="1"/>
      <c r="G10478" s="1"/>
      <c r="H10478" s="68"/>
      <c r="I10478" s="76"/>
      <c r="K10478" s="9" t="s">
        <v>3663</v>
      </c>
      <c r="L10478" s="77"/>
      <c r="M10478" s="79"/>
      <c r="N10478" s="1"/>
      <c r="O10478" s="1"/>
      <c r="P10478" s="1"/>
      <c r="Q10478" s="1"/>
      <c r="R10478" s="1"/>
      <c r="S10478" s="1"/>
      <c r="T10478" s="1"/>
      <c r="U10478" s="1"/>
      <c r="V10478" s="1"/>
      <c r="W10478" s="1"/>
      <c r="X10478" s="1"/>
      <c r="Y10478" s="1"/>
      <c r="Z10478" s="1"/>
      <c r="AA10478" s="1"/>
      <c r="AB10478" s="1"/>
      <c r="AC10478" s="1"/>
      <c r="AD10478" s="1"/>
      <c r="AE10478" s="1"/>
      <c r="AF10478" s="1"/>
      <c r="AG10478" s="1"/>
      <c r="AH10478" s="1"/>
    </row>
    <row r="10479" ht="12.75" hidden="1" customHeight="1" outlineLevel="1">
      <c r="A10479" s="1002">
        <v>43349.0</v>
      </c>
      <c r="B10479" s="992"/>
      <c r="C10479" s="32" t="s">
        <v>339</v>
      </c>
      <c r="D10479" s="1"/>
      <c r="F10479" s="1"/>
      <c r="G10479" s="1"/>
      <c r="H10479" s="68"/>
      <c r="I10479" s="76"/>
      <c r="K10479" s="201" t="s">
        <v>3664</v>
      </c>
      <c r="L10479" s="77"/>
      <c r="M10479" s="79"/>
      <c r="N10479" s="1"/>
      <c r="O10479" s="1"/>
      <c r="P10479" s="1"/>
      <c r="Q10479" s="1"/>
      <c r="R10479" s="1"/>
      <c r="S10479" s="1"/>
      <c r="T10479" s="1"/>
      <c r="U10479" s="1"/>
      <c r="V10479" s="1"/>
      <c r="W10479" s="1"/>
      <c r="X10479" s="1"/>
      <c r="Y10479" s="1"/>
      <c r="Z10479" s="1"/>
      <c r="AA10479" s="1"/>
      <c r="AB10479" s="1"/>
      <c r="AC10479" s="1"/>
      <c r="AD10479" s="1"/>
      <c r="AE10479" s="1"/>
      <c r="AF10479" s="1"/>
      <c r="AG10479" s="1"/>
      <c r="AH10479" s="1"/>
    </row>
    <row r="10480" ht="12.75" hidden="1" customHeight="1" outlineLevel="1">
      <c r="A10480" s="1002">
        <v>43349.0</v>
      </c>
      <c r="B10480" s="992"/>
      <c r="C10480" s="32" t="s">
        <v>429</v>
      </c>
      <c r="D10480" s="1"/>
      <c r="F10480" s="1"/>
      <c r="G10480" s="1"/>
      <c r="H10480" s="68"/>
      <c r="I10480" s="76"/>
      <c r="K10480" s="9" t="s">
        <v>3662</v>
      </c>
      <c r="L10480" s="77"/>
      <c r="M10480" s="79"/>
      <c r="N10480" s="1"/>
      <c r="O10480" s="1"/>
      <c r="P10480" s="1"/>
      <c r="Q10480" s="1"/>
      <c r="R10480" s="1"/>
      <c r="S10480" s="1"/>
      <c r="T10480" s="1"/>
      <c r="U10480" s="1"/>
      <c r="V10480" s="1"/>
      <c r="W10480" s="1"/>
      <c r="X10480" s="1"/>
      <c r="Y10480" s="1"/>
      <c r="Z10480" s="1"/>
      <c r="AA10480" s="1"/>
      <c r="AB10480" s="1"/>
      <c r="AC10480" s="1"/>
      <c r="AD10480" s="1"/>
      <c r="AE10480" s="1"/>
      <c r="AF10480" s="1"/>
      <c r="AG10480" s="1"/>
      <c r="AH10480" s="1"/>
    </row>
    <row r="10481" ht="12.75" hidden="1" customHeight="1" outlineLevel="1">
      <c r="A10481" s="1002">
        <v>43349.0</v>
      </c>
      <c r="B10481" s="992"/>
      <c r="C10481" s="32" t="s">
        <v>431</v>
      </c>
      <c r="D10481" s="1"/>
      <c r="F10481" s="1"/>
      <c r="G10481" s="1"/>
      <c r="H10481" s="68"/>
      <c r="I10481" s="76"/>
      <c r="K10481" s="9" t="s">
        <v>3663</v>
      </c>
      <c r="L10481" s="77"/>
      <c r="M10481" s="79"/>
      <c r="N10481" s="1"/>
      <c r="O10481" s="1"/>
      <c r="P10481" s="1"/>
      <c r="Q10481" s="1"/>
      <c r="R10481" s="1"/>
      <c r="S10481" s="1"/>
      <c r="T10481" s="1"/>
      <c r="U10481" s="1"/>
      <c r="V10481" s="1"/>
      <c r="W10481" s="1"/>
      <c r="X10481" s="1"/>
      <c r="Y10481" s="1"/>
      <c r="Z10481" s="1"/>
      <c r="AA10481" s="1"/>
      <c r="AB10481" s="1"/>
      <c r="AC10481" s="1"/>
      <c r="AD10481" s="1"/>
      <c r="AE10481" s="1"/>
      <c r="AF10481" s="1"/>
      <c r="AG10481" s="1"/>
      <c r="AH10481" s="1"/>
    </row>
    <row r="10482" ht="12.75" hidden="1" customHeight="1" outlineLevel="1">
      <c r="A10482" s="1002">
        <v>43349.0</v>
      </c>
      <c r="B10482" s="992"/>
      <c r="C10482" s="32" t="s">
        <v>433</v>
      </c>
      <c r="D10482" s="1"/>
      <c r="F10482" s="1"/>
      <c r="G10482" s="1"/>
      <c r="H10482" s="68"/>
      <c r="I10482" s="76"/>
      <c r="K10482" s="9" t="s">
        <v>3663</v>
      </c>
      <c r="L10482" s="77"/>
      <c r="M10482" s="79"/>
      <c r="N10482" s="1"/>
      <c r="O10482" s="1"/>
      <c r="P10482" s="1"/>
      <c r="Q10482" s="1"/>
      <c r="R10482" s="1"/>
      <c r="S10482" s="1"/>
      <c r="T10482" s="1"/>
      <c r="U10482" s="1"/>
      <c r="V10482" s="1"/>
      <c r="W10482" s="1"/>
      <c r="X10482" s="1"/>
      <c r="Y10482" s="1"/>
      <c r="Z10482" s="1"/>
      <c r="AA10482" s="1"/>
      <c r="AB10482" s="1"/>
      <c r="AC10482" s="1"/>
      <c r="AD10482" s="1"/>
      <c r="AE10482" s="1"/>
      <c r="AF10482" s="1"/>
      <c r="AG10482" s="1"/>
      <c r="AH10482" s="1"/>
    </row>
    <row r="10483" ht="12.75" hidden="1" customHeight="1" outlineLevel="1">
      <c r="A10483" s="1002">
        <v>43349.0</v>
      </c>
      <c r="B10483" s="992"/>
      <c r="C10483" s="32" t="s">
        <v>435</v>
      </c>
      <c r="D10483" s="1"/>
      <c r="F10483" s="1"/>
      <c r="G10483" s="1"/>
      <c r="H10483" s="68"/>
      <c r="I10483" s="76"/>
      <c r="K10483" s="9" t="s">
        <v>3663</v>
      </c>
      <c r="L10483" s="77"/>
      <c r="M10483" s="79"/>
      <c r="N10483" s="1"/>
      <c r="O10483" s="1"/>
      <c r="P10483" s="1"/>
      <c r="Q10483" s="1"/>
      <c r="R10483" s="1"/>
      <c r="S10483" s="1"/>
      <c r="T10483" s="1"/>
      <c r="U10483" s="1"/>
      <c r="V10483" s="1"/>
      <c r="W10483" s="1"/>
      <c r="X10483" s="1"/>
      <c r="Y10483" s="1"/>
      <c r="Z10483" s="1"/>
      <c r="AA10483" s="1"/>
      <c r="AB10483" s="1"/>
      <c r="AC10483" s="1"/>
      <c r="AD10483" s="1"/>
      <c r="AE10483" s="1"/>
      <c r="AF10483" s="1"/>
      <c r="AG10483" s="1"/>
      <c r="AH10483" s="1"/>
    </row>
    <row r="10484" ht="12.75" hidden="1" customHeight="1" outlineLevel="1">
      <c r="A10484" s="1002">
        <v>43351.0</v>
      </c>
      <c r="B10484" s="992"/>
      <c r="C10484" s="32" t="s">
        <v>339</v>
      </c>
      <c r="D10484" s="1"/>
      <c r="F10484" s="1"/>
      <c r="G10484" s="1"/>
      <c r="H10484" s="68"/>
      <c r="I10484" s="76"/>
      <c r="K10484" s="201" t="s">
        <v>3665</v>
      </c>
      <c r="L10484" s="77"/>
      <c r="M10484" s="79"/>
      <c r="N10484" s="1"/>
      <c r="O10484" s="1"/>
      <c r="P10484" s="1"/>
      <c r="Q10484" s="1"/>
      <c r="R10484" s="1"/>
      <c r="S10484" s="1"/>
      <c r="T10484" s="1"/>
      <c r="U10484" s="1"/>
      <c r="V10484" s="1"/>
      <c r="W10484" s="1"/>
      <c r="X10484" s="1"/>
      <c r="Y10484" s="1"/>
      <c r="Z10484" s="1"/>
      <c r="AA10484" s="1"/>
      <c r="AB10484" s="1"/>
      <c r="AC10484" s="1"/>
      <c r="AD10484" s="1"/>
      <c r="AE10484" s="1"/>
      <c r="AF10484" s="1"/>
      <c r="AG10484" s="1"/>
      <c r="AH10484" s="1"/>
    </row>
    <row r="10485" ht="12.75" hidden="1" customHeight="1" outlineLevel="1">
      <c r="A10485" s="1002">
        <v>43351.0</v>
      </c>
      <c r="B10485" s="992"/>
      <c r="C10485" s="32" t="s">
        <v>429</v>
      </c>
      <c r="D10485" s="1"/>
      <c r="F10485" s="1"/>
      <c r="G10485" s="1"/>
      <c r="H10485" s="68"/>
      <c r="I10485" s="76"/>
      <c r="K10485" s="9" t="s">
        <v>3662</v>
      </c>
      <c r="L10485" s="77"/>
      <c r="M10485" s="79"/>
      <c r="N10485" s="1"/>
      <c r="O10485" s="1"/>
      <c r="P10485" s="1"/>
      <c r="Q10485" s="1"/>
      <c r="R10485" s="1"/>
      <c r="S10485" s="1"/>
      <c r="T10485" s="1"/>
      <c r="U10485" s="1"/>
      <c r="V10485" s="1"/>
      <c r="W10485" s="1"/>
      <c r="X10485" s="1"/>
      <c r="Y10485" s="1"/>
      <c r="Z10485" s="1"/>
      <c r="AA10485" s="1"/>
      <c r="AB10485" s="1"/>
      <c r="AC10485" s="1"/>
      <c r="AD10485" s="1"/>
      <c r="AE10485" s="1"/>
      <c r="AF10485" s="1"/>
      <c r="AG10485" s="1"/>
      <c r="AH10485" s="1"/>
    </row>
    <row r="10486" ht="12.75" hidden="1" customHeight="1" outlineLevel="1">
      <c r="A10486" s="1002">
        <v>43351.0</v>
      </c>
      <c r="B10486" s="992"/>
      <c r="C10486" s="32" t="s">
        <v>431</v>
      </c>
      <c r="D10486" s="1"/>
      <c r="F10486" s="1"/>
      <c r="G10486" s="1"/>
      <c r="H10486" s="68"/>
      <c r="I10486" s="76"/>
      <c r="K10486" s="9" t="s">
        <v>3663</v>
      </c>
      <c r="L10486" s="77"/>
      <c r="M10486" s="79"/>
      <c r="N10486" s="1"/>
      <c r="O10486" s="1"/>
      <c r="P10486" s="1"/>
      <c r="Q10486" s="1"/>
      <c r="R10486" s="1"/>
      <c r="S10486" s="1"/>
      <c r="T10486" s="1"/>
      <c r="U10486" s="1"/>
      <c r="V10486" s="1"/>
      <c r="W10486" s="1"/>
      <c r="X10486" s="1"/>
      <c r="Y10486" s="1"/>
      <c r="Z10486" s="1"/>
      <c r="AA10486" s="1"/>
      <c r="AB10486" s="1"/>
      <c r="AC10486" s="1"/>
      <c r="AD10486" s="1"/>
      <c r="AE10486" s="1"/>
      <c r="AF10486" s="1"/>
      <c r="AG10486" s="1"/>
      <c r="AH10486" s="1"/>
    </row>
    <row r="10487" ht="12.75" hidden="1" customHeight="1" outlineLevel="1">
      <c r="A10487" s="1002">
        <v>43351.0</v>
      </c>
      <c r="B10487" s="992"/>
      <c r="C10487" s="32" t="s">
        <v>433</v>
      </c>
      <c r="D10487" s="1"/>
      <c r="F10487" s="1"/>
      <c r="G10487" s="1"/>
      <c r="H10487" s="68"/>
      <c r="I10487" s="76"/>
      <c r="K10487" s="9" t="s">
        <v>3663</v>
      </c>
      <c r="L10487" s="77"/>
      <c r="M10487" s="79"/>
      <c r="N10487" s="1"/>
      <c r="O10487" s="1"/>
      <c r="P10487" s="1"/>
      <c r="Q10487" s="1"/>
      <c r="R10487" s="1"/>
      <c r="S10487" s="1"/>
      <c r="T10487" s="1"/>
      <c r="U10487" s="1"/>
      <c r="V10487" s="1"/>
      <c r="W10487" s="1"/>
      <c r="X10487" s="1"/>
      <c r="Y10487" s="1"/>
      <c r="Z10487" s="1"/>
      <c r="AA10487" s="1"/>
      <c r="AB10487" s="1"/>
      <c r="AC10487" s="1"/>
      <c r="AD10487" s="1"/>
      <c r="AE10487" s="1"/>
      <c r="AF10487" s="1"/>
      <c r="AG10487" s="1"/>
      <c r="AH10487" s="1"/>
    </row>
    <row r="10488" ht="12.75" hidden="1" customHeight="1" outlineLevel="1">
      <c r="A10488" s="1002">
        <v>43351.0</v>
      </c>
      <c r="B10488" s="992"/>
      <c r="C10488" s="32" t="s">
        <v>435</v>
      </c>
      <c r="D10488" s="1"/>
      <c r="F10488" s="1"/>
      <c r="G10488" s="1"/>
      <c r="H10488" s="68"/>
      <c r="I10488" s="76"/>
      <c r="K10488" s="9" t="s">
        <v>3663</v>
      </c>
      <c r="L10488" s="77"/>
      <c r="M10488" s="79"/>
      <c r="N10488" s="1"/>
      <c r="O10488" s="1"/>
      <c r="P10488" s="1"/>
      <c r="Q10488" s="1"/>
      <c r="R10488" s="1"/>
      <c r="S10488" s="1"/>
      <c r="T10488" s="1"/>
      <c r="U10488" s="1"/>
      <c r="V10488" s="1"/>
      <c r="W10488" s="1"/>
      <c r="X10488" s="1"/>
      <c r="Y10488" s="1"/>
      <c r="Z10488" s="1"/>
      <c r="AA10488" s="1"/>
      <c r="AB10488" s="1"/>
      <c r="AC10488" s="1"/>
      <c r="AD10488" s="1"/>
      <c r="AE10488" s="1"/>
      <c r="AF10488" s="1"/>
      <c r="AG10488" s="1"/>
      <c r="AH10488" s="1"/>
    </row>
    <row r="10489" ht="12.75" hidden="1" customHeight="1" outlineLevel="1">
      <c r="A10489" s="1002">
        <v>43352.0</v>
      </c>
      <c r="B10489" s="992"/>
      <c r="C10489" s="32" t="s">
        <v>339</v>
      </c>
      <c r="D10489" s="1"/>
      <c r="F10489" s="1"/>
      <c r="G10489" s="1"/>
      <c r="H10489" s="68"/>
      <c r="I10489" s="76"/>
      <c r="K10489" s="201" t="s">
        <v>3666</v>
      </c>
      <c r="L10489" s="77"/>
      <c r="M10489" s="79"/>
      <c r="N10489" s="1"/>
      <c r="O10489" s="1"/>
      <c r="P10489" s="1"/>
      <c r="Q10489" s="1"/>
      <c r="R10489" s="1"/>
      <c r="S10489" s="1"/>
      <c r="T10489" s="1"/>
      <c r="U10489" s="1"/>
      <c r="V10489" s="1"/>
      <c r="W10489" s="1"/>
      <c r="X10489" s="1"/>
      <c r="Y10489" s="1"/>
      <c r="Z10489" s="1"/>
      <c r="AA10489" s="1"/>
      <c r="AB10489" s="1"/>
      <c r="AC10489" s="1"/>
      <c r="AD10489" s="1"/>
      <c r="AE10489" s="1"/>
      <c r="AF10489" s="1"/>
      <c r="AG10489" s="1"/>
      <c r="AH10489" s="1"/>
    </row>
    <row r="10490" ht="12.75" hidden="1" customHeight="1" outlineLevel="1">
      <c r="A10490" s="1002">
        <v>43352.0</v>
      </c>
      <c r="B10490" s="992"/>
      <c r="C10490" s="32" t="s">
        <v>429</v>
      </c>
      <c r="D10490" s="1"/>
      <c r="F10490" s="1"/>
      <c r="G10490" s="1"/>
      <c r="H10490" s="68"/>
      <c r="I10490" s="76"/>
      <c r="K10490" s="9" t="s">
        <v>3662</v>
      </c>
      <c r="L10490" s="77"/>
      <c r="M10490" s="79"/>
      <c r="N10490" s="1"/>
      <c r="O10490" s="1"/>
      <c r="P10490" s="1"/>
      <c r="Q10490" s="1"/>
      <c r="R10490" s="1"/>
      <c r="S10490" s="1"/>
      <c r="T10490" s="1"/>
      <c r="U10490" s="1"/>
      <c r="V10490" s="1"/>
      <c r="W10490" s="1"/>
      <c r="X10490" s="1"/>
      <c r="Y10490" s="1"/>
      <c r="Z10490" s="1"/>
      <c r="AA10490" s="1"/>
      <c r="AB10490" s="1"/>
      <c r="AC10490" s="1"/>
      <c r="AD10490" s="1"/>
      <c r="AE10490" s="1"/>
      <c r="AF10490" s="1"/>
      <c r="AG10490" s="1"/>
      <c r="AH10490" s="1"/>
    </row>
    <row r="10491" ht="12.75" hidden="1" customHeight="1" outlineLevel="1">
      <c r="A10491" s="1002">
        <v>43352.0</v>
      </c>
      <c r="B10491" s="992"/>
      <c r="C10491" s="32" t="s">
        <v>431</v>
      </c>
      <c r="D10491" s="1"/>
      <c r="F10491" s="1"/>
      <c r="G10491" s="1"/>
      <c r="H10491" s="68"/>
      <c r="I10491" s="76"/>
      <c r="K10491" s="9" t="s">
        <v>3663</v>
      </c>
      <c r="L10491" s="77"/>
      <c r="M10491" s="79"/>
      <c r="N10491" s="1"/>
      <c r="O10491" s="1"/>
      <c r="P10491" s="1"/>
      <c r="Q10491" s="1"/>
      <c r="R10491" s="1"/>
      <c r="S10491" s="1"/>
      <c r="T10491" s="1"/>
      <c r="U10491" s="1"/>
      <c r="V10491" s="1"/>
      <c r="W10491" s="1"/>
      <c r="X10491" s="1"/>
      <c r="Y10491" s="1"/>
      <c r="Z10491" s="1"/>
      <c r="AA10491" s="1"/>
      <c r="AB10491" s="1"/>
      <c r="AC10491" s="1"/>
      <c r="AD10491" s="1"/>
      <c r="AE10491" s="1"/>
      <c r="AF10491" s="1"/>
      <c r="AG10491" s="1"/>
      <c r="AH10491" s="1"/>
    </row>
    <row r="10492" ht="12.75" hidden="1" customHeight="1" outlineLevel="1">
      <c r="A10492" s="1002">
        <v>43352.0</v>
      </c>
      <c r="B10492" s="992"/>
      <c r="C10492" s="32" t="s">
        <v>433</v>
      </c>
      <c r="D10492" s="1"/>
      <c r="F10492" s="1"/>
      <c r="G10492" s="1"/>
      <c r="H10492" s="68"/>
      <c r="I10492" s="76"/>
      <c r="K10492" s="9" t="s">
        <v>3663</v>
      </c>
      <c r="L10492" s="77"/>
      <c r="M10492" s="79"/>
      <c r="N10492" s="1"/>
      <c r="O10492" s="1"/>
      <c r="P10492" s="1"/>
      <c r="Q10492" s="1"/>
      <c r="R10492" s="1"/>
      <c r="S10492" s="1"/>
      <c r="T10492" s="1"/>
      <c r="U10492" s="1"/>
      <c r="V10492" s="1"/>
      <c r="W10492" s="1"/>
      <c r="X10492" s="1"/>
      <c r="Y10492" s="1"/>
      <c r="Z10492" s="1"/>
      <c r="AA10492" s="1"/>
      <c r="AB10492" s="1"/>
      <c r="AC10492" s="1"/>
      <c r="AD10492" s="1"/>
      <c r="AE10492" s="1"/>
      <c r="AF10492" s="1"/>
      <c r="AG10492" s="1"/>
      <c r="AH10492" s="1"/>
    </row>
    <row r="10493" ht="12.75" hidden="1" customHeight="1" outlineLevel="1">
      <c r="A10493" s="1002">
        <v>43352.0</v>
      </c>
      <c r="B10493" s="992"/>
      <c r="C10493" s="32" t="s">
        <v>435</v>
      </c>
      <c r="D10493" s="1"/>
      <c r="F10493" s="1"/>
      <c r="G10493" s="1"/>
      <c r="H10493" s="68"/>
      <c r="I10493" s="76"/>
      <c r="K10493" s="9" t="s">
        <v>3663</v>
      </c>
      <c r="L10493" s="77"/>
      <c r="M10493" s="79"/>
      <c r="N10493" s="1"/>
      <c r="O10493" s="1"/>
      <c r="P10493" s="1"/>
      <c r="Q10493" s="1"/>
      <c r="R10493" s="1"/>
      <c r="S10493" s="1"/>
      <c r="T10493" s="1"/>
      <c r="U10493" s="1"/>
      <c r="V10493" s="1"/>
      <c r="W10493" s="1"/>
      <c r="X10493" s="1"/>
      <c r="Y10493" s="1"/>
      <c r="Z10493" s="1"/>
      <c r="AA10493" s="1"/>
      <c r="AB10493" s="1"/>
      <c r="AC10493" s="1"/>
      <c r="AD10493" s="1"/>
      <c r="AE10493" s="1"/>
      <c r="AF10493" s="1"/>
      <c r="AG10493" s="1"/>
      <c r="AH10493" s="1"/>
    </row>
    <row r="10494" ht="12.75" hidden="1" customHeight="1" outlineLevel="1">
      <c r="A10494" s="122">
        <v>43353.0</v>
      </c>
      <c r="B10494" s="974" t="s">
        <v>347</v>
      </c>
      <c r="C10494" s="32" t="s">
        <v>1053</v>
      </c>
      <c r="D10494" s="9">
        <v>15.0</v>
      </c>
      <c r="E10494" s="9">
        <v>1937.01</v>
      </c>
      <c r="F10494" s="709">
        <v>0.661886574074074</v>
      </c>
      <c r="G10494" s="195" t="s">
        <v>453</v>
      </c>
      <c r="H10494" s="710">
        <v>1.38</v>
      </c>
      <c r="I10494" s="256" t="s">
        <v>3145</v>
      </c>
      <c r="J10494" s="67">
        <f>IF(B10494="SLD",D10494*E10494,-D10494*E10494)-H10494</f>
        <v>29053.77</v>
      </c>
      <c r="K10494" s="1"/>
      <c r="L10494" s="70"/>
      <c r="M10494" s="79"/>
      <c r="N10494" s="1"/>
      <c r="O10494" s="1"/>
      <c r="P10494" s="1"/>
      <c r="Q10494" s="1"/>
      <c r="R10494" s="1"/>
      <c r="S10494" s="1"/>
      <c r="T10494" s="1"/>
      <c r="U10494" s="1"/>
      <c r="V10494" s="1"/>
      <c r="W10494" s="1"/>
      <c r="X10494" s="1"/>
      <c r="Y10494" s="1"/>
      <c r="Z10494" s="1"/>
      <c r="AA10494" s="1"/>
      <c r="AB10494" s="1"/>
      <c r="AC10494" s="1"/>
      <c r="AD10494" s="1"/>
      <c r="AE10494" s="1"/>
      <c r="AF10494" s="1"/>
      <c r="AG10494" s="1"/>
      <c r="AH10494" s="1"/>
    </row>
    <row r="10495" ht="12.75" hidden="1" customHeight="1" outlineLevel="1">
      <c r="A10495" s="1002">
        <v>43353.0</v>
      </c>
      <c r="B10495" s="992"/>
      <c r="C10495" s="32" t="s">
        <v>339</v>
      </c>
      <c r="D10495" s="1"/>
      <c r="F10495" s="1"/>
      <c r="G10495" s="1"/>
      <c r="H10495" s="68"/>
      <c r="I10495" s="76"/>
      <c r="K10495" s="201" t="s">
        <v>3667</v>
      </c>
      <c r="L10495" s="77"/>
      <c r="M10495" s="79"/>
      <c r="N10495" s="1"/>
      <c r="O10495" s="1"/>
      <c r="P10495" s="1"/>
      <c r="Q10495" s="1"/>
      <c r="R10495" s="1"/>
      <c r="S10495" s="1"/>
      <c r="T10495" s="1"/>
      <c r="U10495" s="1"/>
      <c r="V10495" s="1"/>
      <c r="W10495" s="1"/>
      <c r="X10495" s="1"/>
      <c r="Y10495" s="1"/>
      <c r="Z10495" s="1"/>
      <c r="AA10495" s="1"/>
      <c r="AB10495" s="1"/>
      <c r="AC10495" s="1"/>
      <c r="AD10495" s="1"/>
      <c r="AE10495" s="1"/>
      <c r="AF10495" s="1"/>
      <c r="AG10495" s="1"/>
      <c r="AH10495" s="1"/>
    </row>
    <row r="10496" ht="12.75" hidden="1" customHeight="1" outlineLevel="1">
      <c r="A10496" s="1002">
        <v>43353.0</v>
      </c>
      <c r="B10496" s="992"/>
      <c r="C10496" s="32" t="s">
        <v>429</v>
      </c>
      <c r="D10496" s="1"/>
      <c r="F10496" s="1"/>
      <c r="G10496" s="1"/>
      <c r="H10496" s="68"/>
      <c r="I10496" s="76"/>
      <c r="K10496" s="9" t="s">
        <v>3662</v>
      </c>
      <c r="L10496" s="77"/>
      <c r="M10496" s="79"/>
      <c r="N10496" s="1"/>
      <c r="O10496" s="1"/>
      <c r="P10496" s="1"/>
      <c r="Q10496" s="1"/>
      <c r="R10496" s="1"/>
      <c r="S10496" s="1"/>
      <c r="T10496" s="1"/>
      <c r="U10496" s="1"/>
      <c r="V10496" s="1"/>
      <c r="W10496" s="1"/>
      <c r="X10496" s="1"/>
      <c r="Y10496" s="1"/>
      <c r="Z10496" s="1"/>
      <c r="AA10496" s="1"/>
      <c r="AB10496" s="1"/>
      <c r="AC10496" s="1"/>
      <c r="AD10496" s="1"/>
      <c r="AE10496" s="1"/>
      <c r="AF10496" s="1"/>
      <c r="AG10496" s="1"/>
      <c r="AH10496" s="1"/>
    </row>
    <row r="10497" ht="12.75" hidden="1" customHeight="1" outlineLevel="1">
      <c r="A10497" s="1002">
        <v>43353.0</v>
      </c>
      <c r="B10497" s="992"/>
      <c r="C10497" s="32" t="s">
        <v>431</v>
      </c>
      <c r="D10497" s="1"/>
      <c r="F10497" s="1"/>
      <c r="G10497" s="1"/>
      <c r="H10497" s="68"/>
      <c r="I10497" s="76"/>
      <c r="K10497" s="9" t="s">
        <v>3663</v>
      </c>
      <c r="L10497" s="77"/>
      <c r="M10497" s="79"/>
      <c r="N10497" s="1"/>
      <c r="O10497" s="1"/>
      <c r="P10497" s="1"/>
      <c r="Q10497" s="1"/>
      <c r="R10497" s="1"/>
      <c r="S10497" s="1"/>
      <c r="T10497" s="1"/>
      <c r="U10497" s="1"/>
      <c r="V10497" s="1"/>
      <c r="W10497" s="1"/>
      <c r="X10497" s="1"/>
      <c r="Y10497" s="1"/>
      <c r="Z10497" s="1"/>
      <c r="AA10497" s="1"/>
      <c r="AB10497" s="1"/>
      <c r="AC10497" s="1"/>
      <c r="AD10497" s="1"/>
      <c r="AE10497" s="1"/>
      <c r="AF10497" s="1"/>
      <c r="AG10497" s="1"/>
      <c r="AH10497" s="1"/>
    </row>
    <row r="10498" ht="12.75" hidden="1" customHeight="1" outlineLevel="1">
      <c r="A10498" s="1002">
        <v>43353.0</v>
      </c>
      <c r="B10498" s="992"/>
      <c r="C10498" s="32" t="s">
        <v>433</v>
      </c>
      <c r="D10498" s="1"/>
      <c r="F10498" s="1"/>
      <c r="G10498" s="1"/>
      <c r="H10498" s="68"/>
      <c r="I10498" s="76"/>
      <c r="K10498" s="9" t="s">
        <v>3663</v>
      </c>
      <c r="L10498" s="77"/>
      <c r="M10498" s="79"/>
      <c r="N10498" s="1"/>
      <c r="O10498" s="1"/>
      <c r="P10498" s="1"/>
      <c r="Q10498" s="1"/>
      <c r="R10498" s="1"/>
      <c r="S10498" s="1"/>
      <c r="T10498" s="1"/>
      <c r="U10498" s="1"/>
      <c r="V10498" s="1"/>
      <c r="W10498" s="1"/>
      <c r="X10498" s="1"/>
      <c r="Y10498" s="1"/>
      <c r="Z10498" s="1"/>
      <c r="AA10498" s="1"/>
      <c r="AB10498" s="1"/>
      <c r="AC10498" s="1"/>
      <c r="AD10498" s="1"/>
      <c r="AE10498" s="1"/>
      <c r="AF10498" s="1"/>
      <c r="AG10498" s="1"/>
      <c r="AH10498" s="1"/>
    </row>
    <row r="10499" ht="12.75" hidden="1" customHeight="1" outlineLevel="1">
      <c r="A10499" s="1002">
        <v>43353.0</v>
      </c>
      <c r="B10499" s="992"/>
      <c r="C10499" s="32" t="s">
        <v>435</v>
      </c>
      <c r="D10499" s="1"/>
      <c r="F10499" s="1"/>
      <c r="G10499" s="1"/>
      <c r="H10499" s="68"/>
      <c r="I10499" s="76"/>
      <c r="K10499" s="9" t="s">
        <v>3663</v>
      </c>
      <c r="L10499" s="77"/>
      <c r="M10499" s="79"/>
      <c r="N10499" s="1"/>
      <c r="O10499" s="1"/>
      <c r="P10499" s="1"/>
      <c r="Q10499" s="1"/>
      <c r="R10499" s="1"/>
      <c r="S10499" s="1"/>
      <c r="T10499" s="1"/>
      <c r="U10499" s="1"/>
      <c r="V10499" s="1"/>
      <c r="W10499" s="1"/>
      <c r="X10499" s="1"/>
      <c r="Y10499" s="1"/>
      <c r="Z10499" s="1"/>
      <c r="AA10499" s="1"/>
      <c r="AB10499" s="1"/>
      <c r="AC10499" s="1"/>
      <c r="AD10499" s="1"/>
      <c r="AE10499" s="1"/>
      <c r="AF10499" s="1"/>
      <c r="AG10499" s="1"/>
      <c r="AH10499" s="1"/>
    </row>
    <row r="10500" ht="12.75" hidden="1" customHeight="1" outlineLevel="1">
      <c r="A10500" s="202">
        <v>43354.0</v>
      </c>
      <c r="B10500" s="985" t="s">
        <v>347</v>
      </c>
      <c r="C10500" s="94" t="s">
        <v>2395</v>
      </c>
      <c r="D10500" s="94">
        <v>100.0</v>
      </c>
      <c r="E10500" s="94">
        <v>69.14</v>
      </c>
      <c r="F10500" s="1003">
        <v>0.4260300925925926</v>
      </c>
      <c r="G10500" s="1004" t="s">
        <v>453</v>
      </c>
      <c r="H10500" s="987">
        <v>1.1</v>
      </c>
      <c r="I10500" s="988" t="s">
        <v>3145</v>
      </c>
      <c r="J10500" s="67">
        <f>IF(B10500="SLD",D10500*E10500,-D10500*E10500)-H10500</f>
        <v>6912.9</v>
      </c>
      <c r="K10500" s="1"/>
      <c r="L10500" s="70"/>
      <c r="M10500" s="79"/>
      <c r="N10500" s="1"/>
      <c r="O10500" s="1"/>
      <c r="P10500" s="1"/>
      <c r="Q10500" s="1"/>
      <c r="R10500" s="1"/>
      <c r="S10500" s="1"/>
      <c r="T10500" s="1"/>
      <c r="U10500" s="1"/>
      <c r="V10500" s="1"/>
      <c r="W10500" s="1"/>
      <c r="X10500" s="1"/>
      <c r="Y10500" s="1"/>
      <c r="Z10500" s="1"/>
      <c r="AA10500" s="1"/>
      <c r="AB10500" s="1"/>
      <c r="AC10500" s="1"/>
      <c r="AD10500" s="1"/>
      <c r="AE10500" s="1"/>
      <c r="AF10500" s="1"/>
      <c r="AG10500" s="1"/>
      <c r="AH10500" s="1"/>
    </row>
    <row r="10501" ht="12.75" hidden="1" customHeight="1" outlineLevel="1">
      <c r="A10501" s="1002">
        <v>43354.0</v>
      </c>
      <c r="B10501" s="992"/>
      <c r="C10501" s="32" t="s">
        <v>339</v>
      </c>
      <c r="D10501" s="1"/>
      <c r="F10501" s="1"/>
      <c r="G10501" s="1"/>
      <c r="H10501" s="68"/>
      <c r="I10501" s="76"/>
      <c r="K10501" s="201" t="s">
        <v>3668</v>
      </c>
      <c r="L10501" s="77"/>
      <c r="M10501" s="79"/>
      <c r="N10501" s="1"/>
      <c r="O10501" s="1"/>
      <c r="P10501" s="1"/>
      <c r="Q10501" s="1"/>
      <c r="R10501" s="1"/>
      <c r="S10501" s="1"/>
      <c r="T10501" s="1"/>
      <c r="U10501" s="1"/>
      <c r="V10501" s="1"/>
      <c r="W10501" s="1"/>
      <c r="X10501" s="1"/>
      <c r="Y10501" s="1"/>
      <c r="Z10501" s="1"/>
      <c r="AA10501" s="1"/>
      <c r="AB10501" s="1"/>
      <c r="AC10501" s="1"/>
      <c r="AD10501" s="1"/>
      <c r="AE10501" s="1"/>
      <c r="AF10501" s="1"/>
      <c r="AG10501" s="1"/>
      <c r="AH10501" s="1"/>
    </row>
    <row r="10502" ht="12.75" hidden="1" customHeight="1" outlineLevel="1">
      <c r="A10502" s="1002">
        <v>43354.0</v>
      </c>
      <c r="B10502" s="992"/>
      <c r="C10502" s="32" t="s">
        <v>429</v>
      </c>
      <c r="D10502" s="1"/>
      <c r="F10502" s="1"/>
      <c r="G10502" s="1"/>
      <c r="H10502" s="68"/>
      <c r="I10502" s="76"/>
      <c r="K10502" s="9" t="s">
        <v>3662</v>
      </c>
      <c r="L10502" s="77"/>
      <c r="M10502" s="79"/>
      <c r="N10502" s="1"/>
      <c r="O10502" s="1"/>
      <c r="P10502" s="1"/>
      <c r="Q10502" s="1"/>
      <c r="R10502" s="1"/>
      <c r="S10502" s="1"/>
      <c r="T10502" s="1"/>
      <c r="U10502" s="1"/>
      <c r="V10502" s="1"/>
      <c r="W10502" s="1"/>
      <c r="X10502" s="1"/>
      <c r="Y10502" s="1"/>
      <c r="Z10502" s="1"/>
      <c r="AA10502" s="1"/>
      <c r="AB10502" s="1"/>
      <c r="AC10502" s="1"/>
      <c r="AD10502" s="1"/>
      <c r="AE10502" s="1"/>
      <c r="AF10502" s="1"/>
      <c r="AG10502" s="1"/>
      <c r="AH10502" s="1"/>
    </row>
    <row r="10503" ht="12.75" hidden="1" customHeight="1" outlineLevel="1">
      <c r="A10503" s="1002">
        <v>43354.0</v>
      </c>
      <c r="B10503" s="992"/>
      <c r="C10503" s="32" t="s">
        <v>431</v>
      </c>
      <c r="D10503" s="1"/>
      <c r="F10503" s="1"/>
      <c r="G10503" s="1"/>
      <c r="H10503" s="68"/>
      <c r="I10503" s="76"/>
      <c r="K10503" s="9" t="s">
        <v>3663</v>
      </c>
      <c r="L10503" s="77"/>
      <c r="M10503" s="79"/>
      <c r="N10503" s="1"/>
      <c r="O10503" s="1"/>
      <c r="P10503" s="1"/>
      <c r="Q10503" s="1"/>
      <c r="R10503" s="1"/>
      <c r="S10503" s="1"/>
      <c r="T10503" s="1"/>
      <c r="U10503" s="1"/>
      <c r="V10503" s="1"/>
      <c r="W10503" s="1"/>
      <c r="X10503" s="1"/>
      <c r="Y10503" s="1"/>
      <c r="Z10503" s="1"/>
      <c r="AA10503" s="1"/>
      <c r="AB10503" s="1"/>
      <c r="AC10503" s="1"/>
      <c r="AD10503" s="1"/>
      <c r="AE10503" s="1"/>
      <c r="AF10503" s="1"/>
      <c r="AG10503" s="1"/>
      <c r="AH10503" s="1"/>
    </row>
    <row r="10504" ht="12.75" hidden="1" customHeight="1" outlineLevel="1">
      <c r="A10504" s="1002">
        <v>43354.0</v>
      </c>
      <c r="B10504" s="992"/>
      <c r="C10504" s="32" t="s">
        <v>433</v>
      </c>
      <c r="D10504" s="1"/>
      <c r="F10504" s="1"/>
      <c r="G10504" s="1"/>
      <c r="H10504" s="68"/>
      <c r="I10504" s="76"/>
      <c r="K10504" s="9" t="s">
        <v>3663</v>
      </c>
      <c r="L10504" s="77"/>
      <c r="M10504" s="79"/>
      <c r="N10504" s="1"/>
      <c r="O10504" s="1"/>
      <c r="P10504" s="1"/>
      <c r="Q10504" s="1"/>
      <c r="R10504" s="1"/>
      <c r="S10504" s="1"/>
      <c r="T10504" s="1"/>
      <c r="U10504" s="1"/>
      <c r="V10504" s="1"/>
      <c r="W10504" s="1"/>
      <c r="X10504" s="1"/>
      <c r="Y10504" s="1"/>
      <c r="Z10504" s="1"/>
      <c r="AA10504" s="1"/>
      <c r="AB10504" s="1"/>
      <c r="AC10504" s="1"/>
      <c r="AD10504" s="1"/>
      <c r="AE10504" s="1"/>
      <c r="AF10504" s="1"/>
      <c r="AG10504" s="1"/>
      <c r="AH10504" s="1"/>
    </row>
    <row r="10505" ht="12.75" hidden="1" customHeight="1" outlineLevel="1">
      <c r="A10505" s="1002">
        <v>43354.0</v>
      </c>
      <c r="B10505" s="992"/>
      <c r="C10505" s="32" t="s">
        <v>435</v>
      </c>
      <c r="D10505" s="1"/>
      <c r="F10505" s="1"/>
      <c r="G10505" s="1"/>
      <c r="H10505" s="68"/>
      <c r="I10505" s="76"/>
      <c r="K10505" s="9" t="s">
        <v>3663</v>
      </c>
      <c r="L10505" s="77"/>
      <c r="M10505" s="79"/>
      <c r="N10505" s="1"/>
      <c r="O10505" s="1"/>
      <c r="P10505" s="1"/>
      <c r="Q10505" s="1"/>
      <c r="R10505" s="1"/>
      <c r="S10505" s="1"/>
      <c r="T10505" s="1"/>
      <c r="U10505" s="1"/>
      <c r="V10505" s="1"/>
      <c r="W10505" s="1"/>
      <c r="X10505" s="1"/>
      <c r="Y10505" s="1"/>
      <c r="Z10505" s="1"/>
      <c r="AA10505" s="1"/>
      <c r="AB10505" s="1"/>
      <c r="AC10505" s="1"/>
      <c r="AD10505" s="1"/>
      <c r="AE10505" s="1"/>
      <c r="AF10505" s="1"/>
      <c r="AG10505" s="1"/>
      <c r="AH10505" s="1"/>
    </row>
    <row r="10506" ht="12.75" hidden="1" customHeight="1" outlineLevel="1">
      <c r="A10506" s="202">
        <v>43355.0</v>
      </c>
      <c r="B10506" s="985" t="s">
        <v>347</v>
      </c>
      <c r="C10506" s="94" t="s">
        <v>352</v>
      </c>
      <c r="D10506" s="94">
        <v>200.0</v>
      </c>
      <c r="E10506" s="94">
        <v>57.0715</v>
      </c>
      <c r="F10506" s="1003">
        <v>0.4190625</v>
      </c>
      <c r="G10506" s="1004" t="s">
        <v>453</v>
      </c>
      <c r="H10506" s="987">
        <v>1.17</v>
      </c>
      <c r="I10506" s="988" t="s">
        <v>3145</v>
      </c>
      <c r="J10506" s="67">
        <f>IF(B10506="SLD",D10506*E10506,-D10506*E10506)-H10506</f>
        <v>11413.13</v>
      </c>
      <c r="K10506" s="1"/>
      <c r="L10506" s="70"/>
      <c r="M10506" s="79"/>
      <c r="N10506" s="1"/>
      <c r="O10506" s="1"/>
      <c r="P10506" s="1"/>
      <c r="Q10506" s="1"/>
      <c r="R10506" s="1"/>
      <c r="S10506" s="1"/>
      <c r="T10506" s="1"/>
      <c r="U10506" s="1"/>
      <c r="V10506" s="1"/>
      <c r="W10506" s="1"/>
      <c r="X10506" s="1"/>
      <c r="Y10506" s="1"/>
      <c r="Z10506" s="1"/>
      <c r="AA10506" s="1"/>
      <c r="AB10506" s="1"/>
      <c r="AC10506" s="1"/>
      <c r="AD10506" s="1"/>
      <c r="AE10506" s="1"/>
      <c r="AF10506" s="1"/>
      <c r="AG10506" s="1"/>
      <c r="AH10506" s="1"/>
    </row>
    <row r="10507" ht="12.75" hidden="1" customHeight="1" outlineLevel="1">
      <c r="A10507" s="1002">
        <v>43355.0</v>
      </c>
      <c r="B10507" s="992"/>
      <c r="C10507" s="32" t="s">
        <v>339</v>
      </c>
      <c r="D10507" s="1"/>
      <c r="F10507" s="1"/>
      <c r="G10507" s="1"/>
      <c r="H10507" s="68"/>
      <c r="I10507" s="76"/>
      <c r="K10507" s="201" t="s">
        <v>3669</v>
      </c>
      <c r="L10507" s="77"/>
      <c r="M10507" s="79"/>
      <c r="N10507" s="1"/>
      <c r="O10507" s="1"/>
      <c r="P10507" s="1"/>
      <c r="Q10507" s="1"/>
      <c r="R10507" s="1"/>
      <c r="S10507" s="1"/>
      <c r="T10507" s="1"/>
      <c r="U10507" s="1"/>
      <c r="V10507" s="1"/>
      <c r="W10507" s="1"/>
      <c r="X10507" s="1"/>
      <c r="Y10507" s="1"/>
      <c r="Z10507" s="1"/>
      <c r="AA10507" s="1"/>
      <c r="AB10507" s="1"/>
      <c r="AC10507" s="1"/>
      <c r="AD10507" s="1"/>
      <c r="AE10507" s="1"/>
      <c r="AF10507" s="1"/>
      <c r="AG10507" s="1"/>
      <c r="AH10507" s="1"/>
    </row>
    <row r="10508" ht="12.75" hidden="1" customHeight="1" outlineLevel="1">
      <c r="A10508" s="1002">
        <v>43355.0</v>
      </c>
      <c r="B10508" s="992"/>
      <c r="C10508" s="32" t="s">
        <v>429</v>
      </c>
      <c r="D10508" s="1"/>
      <c r="F10508" s="1"/>
      <c r="G10508" s="1"/>
      <c r="H10508" s="68"/>
      <c r="I10508" s="76"/>
      <c r="K10508" s="9" t="s">
        <v>3662</v>
      </c>
      <c r="L10508" s="77"/>
      <c r="M10508" s="79"/>
      <c r="N10508" s="1"/>
      <c r="O10508" s="1"/>
      <c r="P10508" s="1"/>
      <c r="Q10508" s="1"/>
      <c r="R10508" s="1"/>
      <c r="S10508" s="1"/>
      <c r="T10508" s="1"/>
      <c r="U10508" s="1"/>
      <c r="V10508" s="1"/>
      <c r="W10508" s="1"/>
      <c r="X10508" s="1"/>
      <c r="Y10508" s="1"/>
      <c r="Z10508" s="1"/>
      <c r="AA10508" s="1"/>
      <c r="AB10508" s="1"/>
      <c r="AC10508" s="1"/>
      <c r="AD10508" s="1"/>
      <c r="AE10508" s="1"/>
      <c r="AF10508" s="1"/>
      <c r="AG10508" s="1"/>
      <c r="AH10508" s="1"/>
    </row>
    <row r="10509" ht="12.75" hidden="1" customHeight="1" outlineLevel="1">
      <c r="A10509" s="1002">
        <v>43355.0</v>
      </c>
      <c r="B10509" s="992"/>
      <c r="C10509" s="32" t="s">
        <v>431</v>
      </c>
      <c r="D10509" s="1"/>
      <c r="F10509" s="1"/>
      <c r="G10509" s="1"/>
      <c r="H10509" s="68"/>
      <c r="I10509" s="76"/>
      <c r="K10509" s="9" t="s">
        <v>3663</v>
      </c>
      <c r="L10509" s="77"/>
      <c r="M10509" s="79"/>
      <c r="N10509" s="1"/>
      <c r="O10509" s="1"/>
      <c r="P10509" s="1"/>
      <c r="Q10509" s="1"/>
      <c r="R10509" s="1"/>
      <c r="S10509" s="1"/>
      <c r="T10509" s="1"/>
      <c r="U10509" s="1"/>
      <c r="V10509" s="1"/>
      <c r="W10509" s="1"/>
      <c r="X10509" s="1"/>
      <c r="Y10509" s="1"/>
      <c r="Z10509" s="1"/>
      <c r="AA10509" s="1"/>
      <c r="AB10509" s="1"/>
      <c r="AC10509" s="1"/>
      <c r="AD10509" s="1"/>
      <c r="AE10509" s="1"/>
      <c r="AF10509" s="1"/>
      <c r="AG10509" s="1"/>
      <c r="AH10509" s="1"/>
    </row>
    <row r="10510" ht="12.75" hidden="1" customHeight="1" outlineLevel="1">
      <c r="A10510" s="1002">
        <v>43355.0</v>
      </c>
      <c r="B10510" s="992"/>
      <c r="C10510" s="32" t="s">
        <v>433</v>
      </c>
      <c r="D10510" s="1"/>
      <c r="F10510" s="1"/>
      <c r="G10510" s="1"/>
      <c r="H10510" s="68"/>
      <c r="I10510" s="76"/>
      <c r="K10510" s="9" t="s">
        <v>3663</v>
      </c>
      <c r="L10510" s="77"/>
      <c r="M10510" s="79"/>
      <c r="N10510" s="1"/>
      <c r="O10510" s="1"/>
      <c r="P10510" s="1"/>
      <c r="Q10510" s="1"/>
      <c r="R10510" s="1"/>
      <c r="S10510" s="1"/>
      <c r="T10510" s="1"/>
      <c r="U10510" s="1"/>
      <c r="V10510" s="1"/>
      <c r="W10510" s="1"/>
      <c r="X10510" s="1"/>
      <c r="Y10510" s="1"/>
      <c r="Z10510" s="1"/>
      <c r="AA10510" s="1"/>
      <c r="AB10510" s="1"/>
      <c r="AC10510" s="1"/>
      <c r="AD10510" s="1"/>
      <c r="AE10510" s="1"/>
      <c r="AF10510" s="1"/>
      <c r="AG10510" s="1"/>
      <c r="AH10510" s="1"/>
    </row>
    <row r="10511" ht="12.75" hidden="1" customHeight="1" outlineLevel="1">
      <c r="A10511" s="1002">
        <v>43355.0</v>
      </c>
      <c r="B10511" s="992"/>
      <c r="C10511" s="32" t="s">
        <v>435</v>
      </c>
      <c r="D10511" s="1"/>
      <c r="F10511" s="1"/>
      <c r="G10511" s="1"/>
      <c r="H10511" s="68"/>
      <c r="I10511" s="76"/>
      <c r="K10511" s="9" t="s">
        <v>3663</v>
      </c>
      <c r="L10511" s="77"/>
      <c r="M10511" s="79"/>
      <c r="N10511" s="1"/>
      <c r="O10511" s="1"/>
      <c r="P10511" s="1"/>
      <c r="Q10511" s="1"/>
      <c r="R10511" s="1"/>
      <c r="S10511" s="1"/>
      <c r="T10511" s="1"/>
      <c r="U10511" s="1"/>
      <c r="V10511" s="1"/>
      <c r="W10511" s="1"/>
      <c r="X10511" s="1"/>
      <c r="Y10511" s="1"/>
      <c r="Z10511" s="1"/>
      <c r="AA10511" s="1"/>
      <c r="AB10511" s="1"/>
      <c r="AC10511" s="1"/>
      <c r="AD10511" s="1"/>
      <c r="AE10511" s="1"/>
      <c r="AF10511" s="1"/>
      <c r="AG10511" s="1"/>
      <c r="AH10511" s="1"/>
    </row>
    <row r="10512" ht="12.75" hidden="1" customHeight="1" outlineLevel="1">
      <c r="A10512" s="202">
        <v>43356.0</v>
      </c>
      <c r="B10512" s="985" t="s">
        <v>343</v>
      </c>
      <c r="C10512" s="94" t="s">
        <v>1088</v>
      </c>
      <c r="D10512" s="94">
        <v>5.0</v>
      </c>
      <c r="E10512" s="94">
        <v>2627.27</v>
      </c>
      <c r="F10512" s="1003">
        <v>0.5713657407407408</v>
      </c>
      <c r="G10512" s="1004" t="s">
        <v>453</v>
      </c>
      <c r="H10512" s="987">
        <v>1.0</v>
      </c>
      <c r="I10512" s="988" t="s">
        <v>3145</v>
      </c>
      <c r="J10512" s="67">
        <f t="shared" ref="J10512:J10516" si="587">IF(B10512="SLD",D10512*E10512,-D10512*E10512)-H10512</f>
        <v>-13137.35</v>
      </c>
      <c r="K10512" s="1"/>
      <c r="L10512" s="70"/>
      <c r="M10512" s="79"/>
      <c r="N10512" s="1"/>
      <c r="O10512" s="1"/>
      <c r="P10512" s="1"/>
      <c r="Q10512" s="1"/>
      <c r="R10512" s="1"/>
      <c r="S10512" s="1"/>
      <c r="T10512" s="1"/>
      <c r="U10512" s="1"/>
      <c r="V10512" s="1"/>
      <c r="W10512" s="1"/>
      <c r="X10512" s="1"/>
      <c r="Y10512" s="1"/>
      <c r="Z10512" s="1"/>
      <c r="AA10512" s="1"/>
      <c r="AB10512" s="1"/>
      <c r="AC10512" s="1"/>
      <c r="AD10512" s="1"/>
      <c r="AE10512" s="1"/>
      <c r="AF10512" s="1"/>
      <c r="AG10512" s="1"/>
      <c r="AH10512" s="1"/>
    </row>
    <row r="10513" ht="12.75" hidden="1" customHeight="1" outlineLevel="1">
      <c r="A10513" s="202">
        <v>43356.0</v>
      </c>
      <c r="B10513" s="985" t="s">
        <v>343</v>
      </c>
      <c r="C10513" s="94" t="s">
        <v>1131</v>
      </c>
      <c r="D10513" s="94">
        <v>50.0</v>
      </c>
      <c r="E10513" s="94">
        <v>55.1473</v>
      </c>
      <c r="F10513" s="1003">
        <v>0.5587615740740741</v>
      </c>
      <c r="G10513" s="1004" t="s">
        <v>453</v>
      </c>
      <c r="H10513" s="987">
        <v>1.0</v>
      </c>
      <c r="I10513" s="988" t="s">
        <v>3145</v>
      </c>
      <c r="J10513" s="67">
        <f t="shared" si="587"/>
        <v>-2758.365</v>
      </c>
      <c r="K10513" s="1"/>
      <c r="L10513" s="70"/>
      <c r="M10513" s="79"/>
      <c r="N10513" s="1"/>
      <c r="O10513" s="1"/>
      <c r="P10513" s="1"/>
      <c r="Q10513" s="1"/>
      <c r="R10513" s="1"/>
      <c r="S10513" s="1"/>
      <c r="T10513" s="1"/>
      <c r="U10513" s="1"/>
      <c r="V10513" s="1"/>
      <c r="W10513" s="1"/>
      <c r="X10513" s="1"/>
      <c r="Y10513" s="1"/>
      <c r="Z10513" s="1"/>
      <c r="AA10513" s="1"/>
      <c r="AB10513" s="1"/>
      <c r="AC10513" s="1"/>
      <c r="AD10513" s="1"/>
      <c r="AE10513" s="1"/>
      <c r="AF10513" s="1"/>
      <c r="AG10513" s="1"/>
      <c r="AH10513" s="1"/>
    </row>
    <row r="10514" ht="12.75" hidden="1" customHeight="1" outlineLevel="1">
      <c r="A10514" s="202">
        <v>43356.0</v>
      </c>
      <c r="B10514" s="985" t="s">
        <v>343</v>
      </c>
      <c r="C10514" s="94" t="s">
        <v>911</v>
      </c>
      <c r="D10514" s="94">
        <v>60.0</v>
      </c>
      <c r="E10514" s="94">
        <v>95.85</v>
      </c>
      <c r="F10514" s="1003">
        <v>0.557962962962963</v>
      </c>
      <c r="G10514" s="1004" t="s">
        <v>453</v>
      </c>
      <c r="H10514" s="987">
        <v>1.0</v>
      </c>
      <c r="I10514" s="988" t="s">
        <v>3145</v>
      </c>
      <c r="J10514" s="67">
        <f t="shared" si="587"/>
        <v>-5752</v>
      </c>
      <c r="K10514" s="1"/>
      <c r="L10514" s="70"/>
      <c r="M10514" s="79"/>
      <c r="N10514" s="1"/>
      <c r="O10514" s="1"/>
      <c r="P10514" s="1"/>
      <c r="Q10514" s="1"/>
      <c r="R10514" s="1"/>
      <c r="S10514" s="1"/>
      <c r="T10514" s="1"/>
      <c r="U10514" s="1"/>
      <c r="V10514" s="1"/>
      <c r="W10514" s="1"/>
      <c r="X10514" s="1"/>
      <c r="Y10514" s="1"/>
      <c r="Z10514" s="1"/>
      <c r="AA10514" s="1"/>
      <c r="AB10514" s="1"/>
      <c r="AC10514" s="1"/>
      <c r="AD10514" s="1"/>
      <c r="AE10514" s="1"/>
      <c r="AF10514" s="1"/>
      <c r="AG10514" s="1"/>
      <c r="AH10514" s="1"/>
    </row>
    <row r="10515" ht="12.75" hidden="1" customHeight="1" outlineLevel="1">
      <c r="A10515" s="202">
        <v>43356.0</v>
      </c>
      <c r="B10515" s="985" t="s">
        <v>343</v>
      </c>
      <c r="C10515" s="94" t="s">
        <v>1061</v>
      </c>
      <c r="D10515" s="94">
        <v>150.0</v>
      </c>
      <c r="E10515" s="94">
        <v>56.92</v>
      </c>
      <c r="F10515" s="1003">
        <v>0.5573842592592593</v>
      </c>
      <c r="G10515" s="1004" t="s">
        <v>453</v>
      </c>
      <c r="H10515" s="987">
        <v>1.0</v>
      </c>
      <c r="I10515" s="988" t="s">
        <v>3145</v>
      </c>
      <c r="J10515" s="67">
        <f t="shared" si="587"/>
        <v>-8539</v>
      </c>
      <c r="K10515" s="1"/>
      <c r="L10515" s="70"/>
      <c r="M10515" s="79"/>
      <c r="N10515" s="1"/>
      <c r="O10515" s="1"/>
      <c r="P10515" s="1"/>
      <c r="Q10515" s="1"/>
      <c r="R10515" s="1"/>
      <c r="S10515" s="1"/>
      <c r="T10515" s="1"/>
      <c r="U10515" s="1"/>
      <c r="V10515" s="1"/>
      <c r="W10515" s="1"/>
      <c r="X10515" s="1"/>
      <c r="Y10515" s="1"/>
      <c r="Z10515" s="1"/>
      <c r="AA10515" s="1"/>
      <c r="AB10515" s="1"/>
      <c r="AC10515" s="1"/>
      <c r="AD10515" s="1"/>
      <c r="AE10515" s="1"/>
      <c r="AF10515" s="1"/>
      <c r="AG10515" s="1"/>
      <c r="AH10515" s="1"/>
    </row>
    <row r="10516" ht="12.75" hidden="1" customHeight="1" outlineLevel="1">
      <c r="A10516" s="202">
        <v>43356.0</v>
      </c>
      <c r="B10516" s="985" t="s">
        <v>347</v>
      </c>
      <c r="C10516" s="94" t="s">
        <v>1169</v>
      </c>
      <c r="D10516" s="94">
        <v>25.0</v>
      </c>
      <c r="E10516" s="94">
        <v>207.0955</v>
      </c>
      <c r="F10516" s="1003">
        <v>0.44761574074074073</v>
      </c>
      <c r="G10516" s="1004" t="s">
        <v>453</v>
      </c>
      <c r="H10516" s="987">
        <v>1.07</v>
      </c>
      <c r="I10516" s="988" t="s">
        <v>3145</v>
      </c>
      <c r="J10516" s="67">
        <f t="shared" si="587"/>
        <v>5176.3175</v>
      </c>
      <c r="K10516" s="1"/>
      <c r="L10516" s="70"/>
      <c r="M10516" s="79"/>
      <c r="N10516" s="1"/>
      <c r="O10516" s="1"/>
      <c r="P10516" s="1"/>
      <c r="Q10516" s="1"/>
      <c r="R10516" s="1"/>
      <c r="S10516" s="1"/>
      <c r="T10516" s="1"/>
      <c r="U10516" s="1"/>
      <c r="V10516" s="1"/>
      <c r="W10516" s="1"/>
      <c r="X10516" s="1"/>
      <c r="Y10516" s="1"/>
      <c r="Z10516" s="1"/>
      <c r="AA10516" s="1"/>
      <c r="AB10516" s="1"/>
      <c r="AC10516" s="1"/>
      <c r="AD10516" s="1"/>
      <c r="AE10516" s="1"/>
      <c r="AF10516" s="1"/>
      <c r="AG10516" s="1"/>
      <c r="AH10516" s="1"/>
    </row>
    <row r="10517" ht="12.75" hidden="1" customHeight="1" outlineLevel="1">
      <c r="A10517" s="1002">
        <v>43358.0</v>
      </c>
      <c r="B10517" s="992"/>
      <c r="C10517" s="32" t="s">
        <v>339</v>
      </c>
      <c r="D10517" s="1"/>
      <c r="F10517" s="1"/>
      <c r="G10517" s="1"/>
      <c r="H10517" s="68"/>
      <c r="I10517" s="76"/>
      <c r="K10517" s="201" t="s">
        <v>3670</v>
      </c>
      <c r="L10517" s="77"/>
      <c r="M10517" s="79"/>
      <c r="N10517" s="1"/>
      <c r="O10517" s="1"/>
      <c r="P10517" s="1"/>
      <c r="Q10517" s="1"/>
      <c r="R10517" s="1"/>
      <c r="S10517" s="1"/>
      <c r="T10517" s="1"/>
      <c r="U10517" s="1"/>
      <c r="V10517" s="1"/>
      <c r="W10517" s="1"/>
      <c r="X10517" s="1"/>
      <c r="Y10517" s="1"/>
      <c r="Z10517" s="1"/>
      <c r="AA10517" s="1"/>
      <c r="AB10517" s="1"/>
      <c r="AC10517" s="1"/>
      <c r="AD10517" s="1"/>
      <c r="AE10517" s="1"/>
      <c r="AF10517" s="1"/>
      <c r="AG10517" s="1"/>
      <c r="AH10517" s="1"/>
    </row>
    <row r="10518" ht="12.75" hidden="1" customHeight="1" outlineLevel="1">
      <c r="A10518" s="1002">
        <v>43358.0</v>
      </c>
      <c r="B10518" s="992"/>
      <c r="C10518" s="32" t="s">
        <v>429</v>
      </c>
      <c r="D10518" s="1"/>
      <c r="F10518" s="1"/>
      <c r="G10518" s="1"/>
      <c r="H10518" s="68"/>
      <c r="I10518" s="76"/>
      <c r="K10518" s="9" t="s">
        <v>3662</v>
      </c>
      <c r="L10518" s="77"/>
      <c r="M10518" s="79"/>
      <c r="N10518" s="1"/>
      <c r="O10518" s="1"/>
      <c r="P10518" s="1"/>
      <c r="Q10518" s="1"/>
      <c r="R10518" s="1"/>
      <c r="S10518" s="1"/>
      <c r="T10518" s="1"/>
      <c r="U10518" s="1"/>
      <c r="V10518" s="1"/>
      <c r="W10518" s="1"/>
      <c r="X10518" s="1"/>
      <c r="Y10518" s="1"/>
      <c r="Z10518" s="1"/>
      <c r="AA10518" s="1"/>
      <c r="AB10518" s="1"/>
      <c r="AC10518" s="1"/>
      <c r="AD10518" s="1"/>
      <c r="AE10518" s="1"/>
      <c r="AF10518" s="1"/>
      <c r="AG10518" s="1"/>
      <c r="AH10518" s="1"/>
    </row>
    <row r="10519" ht="12.75" hidden="1" customHeight="1" outlineLevel="1">
      <c r="A10519" s="1002">
        <v>43358.0</v>
      </c>
      <c r="B10519" s="992"/>
      <c r="C10519" s="32" t="s">
        <v>431</v>
      </c>
      <c r="D10519" s="1"/>
      <c r="F10519" s="1"/>
      <c r="G10519" s="1"/>
      <c r="H10519" s="68"/>
      <c r="I10519" s="76"/>
      <c r="K10519" s="9" t="s">
        <v>3663</v>
      </c>
      <c r="L10519" s="77"/>
      <c r="M10519" s="79"/>
      <c r="N10519" s="1"/>
      <c r="O10519" s="1"/>
      <c r="P10519" s="1"/>
      <c r="Q10519" s="1"/>
      <c r="R10519" s="1"/>
      <c r="S10519" s="1"/>
      <c r="T10519" s="1"/>
      <c r="U10519" s="1"/>
      <c r="V10519" s="1"/>
      <c r="W10519" s="1"/>
      <c r="X10519" s="1"/>
      <c r="Y10519" s="1"/>
      <c r="Z10519" s="1"/>
      <c r="AA10519" s="1"/>
      <c r="AB10519" s="1"/>
      <c r="AC10519" s="1"/>
      <c r="AD10519" s="1"/>
      <c r="AE10519" s="1"/>
      <c r="AF10519" s="1"/>
      <c r="AG10519" s="1"/>
      <c r="AH10519" s="1"/>
    </row>
    <row r="10520" ht="12.75" hidden="1" customHeight="1" outlineLevel="1">
      <c r="A10520" s="1002">
        <v>43358.0</v>
      </c>
      <c r="B10520" s="992"/>
      <c r="C10520" s="32" t="s">
        <v>433</v>
      </c>
      <c r="D10520" s="1"/>
      <c r="F10520" s="1"/>
      <c r="G10520" s="1"/>
      <c r="H10520" s="68"/>
      <c r="I10520" s="76"/>
      <c r="K10520" s="9" t="s">
        <v>3663</v>
      </c>
      <c r="L10520" s="77"/>
      <c r="M10520" s="79"/>
      <c r="N10520" s="1"/>
      <c r="O10520" s="1"/>
      <c r="P10520" s="1"/>
      <c r="Q10520" s="1"/>
      <c r="R10520" s="1"/>
      <c r="S10520" s="1"/>
      <c r="T10520" s="1"/>
      <c r="U10520" s="1"/>
      <c r="V10520" s="1"/>
      <c r="W10520" s="1"/>
      <c r="X10520" s="1"/>
      <c r="Y10520" s="1"/>
      <c r="Z10520" s="1"/>
      <c r="AA10520" s="1"/>
      <c r="AB10520" s="1"/>
      <c r="AC10520" s="1"/>
      <c r="AD10520" s="1"/>
      <c r="AE10520" s="1"/>
      <c r="AF10520" s="1"/>
      <c r="AG10520" s="1"/>
      <c r="AH10520" s="1"/>
    </row>
    <row r="10521" ht="12.75" hidden="1" customHeight="1" outlineLevel="1">
      <c r="A10521" s="1002">
        <v>43358.0</v>
      </c>
      <c r="B10521" s="992"/>
      <c r="C10521" s="32" t="s">
        <v>435</v>
      </c>
      <c r="D10521" s="1"/>
      <c r="F10521" s="1"/>
      <c r="G10521" s="1"/>
      <c r="H10521" s="68"/>
      <c r="I10521" s="76"/>
      <c r="K10521" s="9" t="s">
        <v>3671</v>
      </c>
      <c r="L10521" s="77"/>
      <c r="M10521" s="79"/>
      <c r="N10521" s="1"/>
      <c r="O10521" s="1"/>
      <c r="P10521" s="1"/>
      <c r="Q10521" s="1"/>
      <c r="R10521" s="1"/>
      <c r="S10521" s="1"/>
      <c r="T10521" s="1"/>
      <c r="U10521" s="1"/>
      <c r="V10521" s="1"/>
      <c r="W10521" s="1"/>
      <c r="X10521" s="1"/>
      <c r="Y10521" s="1"/>
      <c r="Z10521" s="1"/>
      <c r="AA10521" s="1"/>
      <c r="AB10521" s="1"/>
      <c r="AC10521" s="1"/>
      <c r="AD10521" s="1"/>
      <c r="AE10521" s="1"/>
      <c r="AF10521" s="1"/>
      <c r="AG10521" s="1"/>
      <c r="AH10521" s="1"/>
    </row>
    <row r="10522" ht="12.75" hidden="1" customHeight="1" outlineLevel="1">
      <c r="A10522" s="202">
        <v>43360.0</v>
      </c>
      <c r="B10522" s="985" t="s">
        <v>343</v>
      </c>
      <c r="C10522" s="94" t="s">
        <v>1363</v>
      </c>
      <c r="D10522" s="94">
        <v>60.0</v>
      </c>
      <c r="E10522" s="94">
        <v>310.5</v>
      </c>
      <c r="F10522" s="1003">
        <v>0.40534722222222225</v>
      </c>
      <c r="G10522" s="1004" t="s">
        <v>453</v>
      </c>
      <c r="H10522" s="987">
        <v>1.0</v>
      </c>
      <c r="I10522" s="988" t="s">
        <v>3145</v>
      </c>
      <c r="J10522" s="67">
        <f t="shared" ref="J10522:J10523" si="588">IF(B10522="SLD",D10522*E10522,-D10522*E10522)-H10522</f>
        <v>-18631</v>
      </c>
      <c r="K10522" s="1"/>
      <c r="L10522" s="70"/>
      <c r="M10522" s="79"/>
      <c r="N10522" s="1"/>
      <c r="O10522" s="1"/>
      <c r="P10522" s="1"/>
      <c r="Q10522" s="1"/>
      <c r="R10522" s="1"/>
      <c r="S10522" s="1"/>
      <c r="T10522" s="1"/>
      <c r="U10522" s="1"/>
      <c r="V10522" s="1"/>
      <c r="W10522" s="1"/>
      <c r="X10522" s="1"/>
      <c r="Y10522" s="1"/>
      <c r="Z10522" s="1"/>
      <c r="AA10522" s="1"/>
      <c r="AB10522" s="1"/>
      <c r="AC10522" s="1"/>
      <c r="AD10522" s="1"/>
      <c r="AE10522" s="1"/>
      <c r="AF10522" s="1"/>
      <c r="AG10522" s="1"/>
      <c r="AH10522" s="1"/>
    </row>
    <row r="10523" ht="12.75" hidden="1" customHeight="1" outlineLevel="1">
      <c r="A10523" s="202">
        <v>43360.0</v>
      </c>
      <c r="B10523" s="985" t="s">
        <v>347</v>
      </c>
      <c r="C10523" s="94" t="s">
        <v>3115</v>
      </c>
      <c r="D10523" s="94">
        <v>13.0</v>
      </c>
      <c r="E10523" s="94">
        <v>307.88</v>
      </c>
      <c r="F10523" s="1003">
        <v>0.40368055555555554</v>
      </c>
      <c r="G10523" s="1004" t="s">
        <v>453</v>
      </c>
      <c r="H10523" s="987">
        <v>1.05</v>
      </c>
      <c r="I10523" s="988" t="s">
        <v>3145</v>
      </c>
      <c r="J10523" s="67">
        <f t="shared" si="588"/>
        <v>4001.39</v>
      </c>
      <c r="K10523" s="1"/>
      <c r="L10523" s="70"/>
      <c r="M10523" s="79"/>
      <c r="N10523" s="1"/>
      <c r="O10523" s="1"/>
      <c r="P10523" s="1"/>
      <c r="Q10523" s="1"/>
      <c r="R10523" s="1"/>
      <c r="S10523" s="1"/>
      <c r="T10523" s="1"/>
      <c r="U10523" s="1"/>
      <c r="V10523" s="1"/>
      <c r="W10523" s="1"/>
      <c r="X10523" s="1"/>
      <c r="Y10523" s="1"/>
      <c r="Z10523" s="1"/>
      <c r="AA10523" s="1"/>
      <c r="AB10523" s="1"/>
      <c r="AC10523" s="1"/>
      <c r="AD10523" s="1"/>
      <c r="AE10523" s="1"/>
      <c r="AF10523" s="1"/>
      <c r="AG10523" s="1"/>
      <c r="AH10523" s="1"/>
    </row>
    <row r="10524" ht="12.75" hidden="1" customHeight="1" outlineLevel="1">
      <c r="A10524" s="1002">
        <v>43360.0</v>
      </c>
      <c r="B10524" s="992"/>
      <c r="C10524" s="32" t="s">
        <v>339</v>
      </c>
      <c r="D10524" s="1"/>
      <c r="F10524" s="1"/>
      <c r="G10524" s="1"/>
      <c r="H10524" s="68"/>
      <c r="I10524" s="76"/>
      <c r="K10524" s="201" t="s">
        <v>3672</v>
      </c>
      <c r="L10524" s="77"/>
      <c r="M10524" s="79"/>
      <c r="N10524" s="1"/>
      <c r="O10524" s="1"/>
      <c r="P10524" s="1"/>
      <c r="Q10524" s="1"/>
      <c r="R10524" s="1"/>
      <c r="S10524" s="1"/>
      <c r="T10524" s="1"/>
      <c r="U10524" s="1"/>
      <c r="V10524" s="1"/>
      <c r="W10524" s="1"/>
      <c r="X10524" s="1"/>
      <c r="Y10524" s="1"/>
      <c r="Z10524" s="1"/>
      <c r="AA10524" s="1"/>
      <c r="AB10524" s="1"/>
      <c r="AC10524" s="1"/>
      <c r="AD10524" s="1"/>
      <c r="AE10524" s="1"/>
      <c r="AF10524" s="1"/>
      <c r="AG10524" s="1"/>
      <c r="AH10524" s="1"/>
    </row>
    <row r="10525" ht="12.75" hidden="1" customHeight="1" outlineLevel="1">
      <c r="A10525" s="1002">
        <v>43360.0</v>
      </c>
      <c r="B10525" s="992"/>
      <c r="C10525" s="32" t="s">
        <v>429</v>
      </c>
      <c r="D10525" s="1"/>
      <c r="F10525" s="1"/>
      <c r="G10525" s="1"/>
      <c r="H10525" s="68"/>
      <c r="I10525" s="76"/>
      <c r="K10525" s="9" t="s">
        <v>3662</v>
      </c>
      <c r="L10525" s="77"/>
      <c r="M10525" s="79"/>
      <c r="N10525" s="1"/>
      <c r="O10525" s="1"/>
      <c r="P10525" s="1"/>
      <c r="Q10525" s="1"/>
      <c r="R10525" s="1"/>
      <c r="S10525" s="1"/>
      <c r="T10525" s="1"/>
      <c r="U10525" s="1"/>
      <c r="V10525" s="1"/>
      <c r="W10525" s="1"/>
      <c r="X10525" s="1"/>
      <c r="Y10525" s="1"/>
      <c r="Z10525" s="1"/>
      <c r="AA10525" s="1"/>
      <c r="AB10525" s="1"/>
      <c r="AC10525" s="1"/>
      <c r="AD10525" s="1"/>
      <c r="AE10525" s="1"/>
      <c r="AF10525" s="1"/>
      <c r="AG10525" s="1"/>
      <c r="AH10525" s="1"/>
    </row>
    <row r="10526" ht="12.75" hidden="1" customHeight="1" outlineLevel="1">
      <c r="A10526" s="1002">
        <v>43360.0</v>
      </c>
      <c r="B10526" s="992"/>
      <c r="C10526" s="32" t="s">
        <v>431</v>
      </c>
      <c r="D10526" s="1"/>
      <c r="F10526" s="1"/>
      <c r="G10526" s="1"/>
      <c r="H10526" s="68"/>
      <c r="I10526" s="76"/>
      <c r="K10526" s="9" t="s">
        <v>3663</v>
      </c>
      <c r="L10526" s="77"/>
      <c r="M10526" s="79"/>
      <c r="N10526" s="1"/>
      <c r="O10526" s="1"/>
      <c r="P10526" s="1"/>
      <c r="Q10526" s="1"/>
      <c r="R10526" s="1"/>
      <c r="S10526" s="1"/>
      <c r="T10526" s="1"/>
      <c r="U10526" s="1"/>
      <c r="V10526" s="1"/>
      <c r="W10526" s="1"/>
      <c r="X10526" s="1"/>
      <c r="Y10526" s="1"/>
      <c r="Z10526" s="1"/>
      <c r="AA10526" s="1"/>
      <c r="AB10526" s="1"/>
      <c r="AC10526" s="1"/>
      <c r="AD10526" s="1"/>
      <c r="AE10526" s="1"/>
      <c r="AF10526" s="1"/>
      <c r="AG10526" s="1"/>
      <c r="AH10526" s="1"/>
    </row>
    <row r="10527" ht="12.75" hidden="1" customHeight="1" outlineLevel="1">
      <c r="A10527" s="1002">
        <v>43360.0</v>
      </c>
      <c r="B10527" s="992"/>
      <c r="C10527" s="32" t="s">
        <v>433</v>
      </c>
      <c r="D10527" s="1"/>
      <c r="F10527" s="1"/>
      <c r="G10527" s="1"/>
      <c r="H10527" s="68"/>
      <c r="I10527" s="76"/>
      <c r="K10527" s="9" t="s">
        <v>3663</v>
      </c>
      <c r="L10527" s="77"/>
      <c r="M10527" s="79"/>
      <c r="N10527" s="1"/>
      <c r="O10527" s="1"/>
      <c r="P10527" s="1"/>
      <c r="Q10527" s="1"/>
      <c r="R10527" s="1"/>
      <c r="S10527" s="1"/>
      <c r="T10527" s="1"/>
      <c r="U10527" s="1"/>
      <c r="V10527" s="1"/>
      <c r="W10527" s="1"/>
      <c r="X10527" s="1"/>
      <c r="Y10527" s="1"/>
      <c r="Z10527" s="1"/>
      <c r="AA10527" s="1"/>
      <c r="AB10527" s="1"/>
      <c r="AC10527" s="1"/>
      <c r="AD10527" s="1"/>
      <c r="AE10527" s="1"/>
      <c r="AF10527" s="1"/>
      <c r="AG10527" s="1"/>
      <c r="AH10527" s="1"/>
    </row>
    <row r="10528" ht="12.75" hidden="1" customHeight="1" outlineLevel="1">
      <c r="A10528" s="1002">
        <v>43360.0</v>
      </c>
      <c r="B10528" s="992"/>
      <c r="C10528" s="32" t="s">
        <v>435</v>
      </c>
      <c r="D10528" s="1"/>
      <c r="F10528" s="1"/>
      <c r="G10528" s="1"/>
      <c r="H10528" s="68"/>
      <c r="I10528" s="76"/>
      <c r="K10528" s="9" t="s">
        <v>3671</v>
      </c>
      <c r="L10528" s="77"/>
      <c r="M10528" s="79"/>
      <c r="N10528" s="1"/>
      <c r="O10528" s="1"/>
      <c r="P10528" s="1"/>
      <c r="Q10528" s="1"/>
      <c r="R10528" s="1"/>
      <c r="S10528" s="1"/>
      <c r="T10528" s="1"/>
      <c r="U10528" s="1"/>
      <c r="V10528" s="1"/>
      <c r="W10528" s="1"/>
      <c r="X10528" s="1"/>
      <c r="Y10528" s="1"/>
      <c r="Z10528" s="1"/>
      <c r="AA10528" s="1"/>
      <c r="AB10528" s="1"/>
      <c r="AC10528" s="1"/>
      <c r="AD10528" s="1"/>
      <c r="AE10528" s="1"/>
      <c r="AF10528" s="1"/>
      <c r="AG10528" s="1"/>
      <c r="AH10528" s="1"/>
    </row>
    <row r="10529" ht="12.75" hidden="1" customHeight="1" outlineLevel="1">
      <c r="A10529" s="1002">
        <v>43369.0</v>
      </c>
      <c r="B10529" s="992"/>
      <c r="C10529" s="32" t="s">
        <v>339</v>
      </c>
      <c r="D10529" s="1"/>
      <c r="F10529" s="1"/>
      <c r="G10529" s="1"/>
      <c r="H10529" s="68"/>
      <c r="I10529" s="76"/>
      <c r="K10529" s="201" t="s">
        <v>3673</v>
      </c>
      <c r="L10529" s="77"/>
      <c r="M10529" s="79"/>
      <c r="N10529" s="1"/>
      <c r="O10529" s="1"/>
      <c r="P10529" s="1"/>
      <c r="Q10529" s="1"/>
      <c r="R10529" s="1"/>
      <c r="S10529" s="1"/>
      <c r="T10529" s="1"/>
      <c r="U10529" s="1"/>
      <c r="V10529" s="1"/>
      <c r="W10529" s="1"/>
      <c r="X10529" s="1"/>
      <c r="Y10529" s="1"/>
      <c r="Z10529" s="1"/>
      <c r="AA10529" s="1"/>
      <c r="AB10529" s="1"/>
      <c r="AC10529" s="1"/>
      <c r="AD10529" s="1"/>
      <c r="AE10529" s="1"/>
      <c r="AF10529" s="1"/>
      <c r="AG10529" s="1"/>
      <c r="AH10529" s="1"/>
    </row>
    <row r="10530" ht="12.75" hidden="1" customHeight="1" outlineLevel="1">
      <c r="A10530" s="1002">
        <v>43369.0</v>
      </c>
      <c r="B10530" s="992"/>
      <c r="C10530" s="32" t="s">
        <v>429</v>
      </c>
      <c r="D10530" s="1"/>
      <c r="F10530" s="1"/>
      <c r="G10530" s="1"/>
      <c r="H10530" s="68"/>
      <c r="I10530" s="76"/>
      <c r="K10530" s="9" t="s">
        <v>3662</v>
      </c>
      <c r="L10530" s="77"/>
      <c r="M10530" s="79"/>
      <c r="N10530" s="1"/>
      <c r="O10530" s="1"/>
      <c r="P10530" s="1"/>
      <c r="Q10530" s="1"/>
      <c r="R10530" s="1"/>
      <c r="S10530" s="1"/>
      <c r="T10530" s="1"/>
      <c r="U10530" s="1"/>
      <c r="V10530" s="1"/>
      <c r="W10530" s="1"/>
      <c r="X10530" s="1"/>
      <c r="Y10530" s="1"/>
      <c r="Z10530" s="1"/>
      <c r="AA10530" s="1"/>
      <c r="AB10530" s="1"/>
      <c r="AC10530" s="1"/>
      <c r="AD10530" s="1"/>
      <c r="AE10530" s="1"/>
      <c r="AF10530" s="1"/>
      <c r="AG10530" s="1"/>
      <c r="AH10530" s="1"/>
    </row>
    <row r="10531" ht="12.75" hidden="1" customHeight="1" outlineLevel="1">
      <c r="A10531" s="1002">
        <v>43369.0</v>
      </c>
      <c r="B10531" s="992"/>
      <c r="C10531" s="32" t="s">
        <v>431</v>
      </c>
      <c r="D10531" s="1"/>
      <c r="F10531" s="1"/>
      <c r="G10531" s="1"/>
      <c r="H10531" s="68"/>
      <c r="I10531" s="76"/>
      <c r="K10531" s="9" t="s">
        <v>3663</v>
      </c>
      <c r="L10531" s="77"/>
      <c r="M10531" s="79"/>
      <c r="N10531" s="1"/>
      <c r="O10531" s="1"/>
      <c r="P10531" s="1"/>
      <c r="Q10531" s="1"/>
      <c r="R10531" s="1"/>
      <c r="S10531" s="1"/>
      <c r="T10531" s="1"/>
      <c r="U10531" s="1"/>
      <c r="V10531" s="1"/>
      <c r="W10531" s="1"/>
      <c r="X10531" s="1"/>
      <c r="Y10531" s="1"/>
      <c r="Z10531" s="1"/>
      <c r="AA10531" s="1"/>
      <c r="AB10531" s="1"/>
      <c r="AC10531" s="1"/>
      <c r="AD10531" s="1"/>
      <c r="AE10531" s="1"/>
      <c r="AF10531" s="1"/>
      <c r="AG10531" s="1"/>
      <c r="AH10531" s="1"/>
    </row>
    <row r="10532" ht="12.75" hidden="1" customHeight="1" outlineLevel="1">
      <c r="A10532" s="1002">
        <v>43369.0</v>
      </c>
      <c r="B10532" s="992"/>
      <c r="C10532" s="32" t="s">
        <v>433</v>
      </c>
      <c r="D10532" s="1"/>
      <c r="F10532" s="1"/>
      <c r="G10532" s="1"/>
      <c r="H10532" s="68"/>
      <c r="I10532" s="76"/>
      <c r="K10532" s="9" t="s">
        <v>3663</v>
      </c>
      <c r="L10532" s="77"/>
      <c r="M10532" s="79"/>
      <c r="N10532" s="1"/>
      <c r="O10532" s="1"/>
      <c r="P10532" s="1"/>
      <c r="Q10532" s="1"/>
      <c r="R10532" s="1"/>
      <c r="S10532" s="1"/>
      <c r="T10532" s="1"/>
      <c r="U10532" s="1"/>
      <c r="V10532" s="1"/>
      <c r="W10532" s="1"/>
      <c r="X10532" s="1"/>
      <c r="Y10532" s="1"/>
      <c r="Z10532" s="1"/>
      <c r="AA10532" s="1"/>
      <c r="AB10532" s="1"/>
      <c r="AC10532" s="1"/>
      <c r="AD10532" s="1"/>
      <c r="AE10532" s="1"/>
      <c r="AF10532" s="1"/>
      <c r="AG10532" s="1"/>
      <c r="AH10532" s="1"/>
    </row>
    <row r="10533" ht="12.75" hidden="1" customHeight="1" outlineLevel="1">
      <c r="A10533" s="1002">
        <v>43369.0</v>
      </c>
      <c r="B10533" s="992"/>
      <c r="C10533" s="32" t="s">
        <v>435</v>
      </c>
      <c r="D10533" s="1"/>
      <c r="F10533" s="1"/>
      <c r="G10533" s="1"/>
      <c r="H10533" s="68"/>
      <c r="I10533" s="76"/>
      <c r="K10533" s="9" t="s">
        <v>3671</v>
      </c>
      <c r="L10533" s="77"/>
      <c r="M10533" s="79"/>
      <c r="N10533" s="1"/>
      <c r="O10533" s="1"/>
      <c r="P10533" s="1"/>
      <c r="Q10533" s="1"/>
      <c r="R10533" s="1"/>
      <c r="S10533" s="1"/>
      <c r="T10533" s="1"/>
      <c r="U10533" s="1"/>
      <c r="V10533" s="1"/>
      <c r="W10533" s="1"/>
      <c r="X10533" s="1"/>
      <c r="Y10533" s="1"/>
      <c r="Z10533" s="1"/>
      <c r="AA10533" s="1"/>
      <c r="AB10533" s="1"/>
      <c r="AC10533" s="1"/>
      <c r="AD10533" s="1"/>
      <c r="AE10533" s="1"/>
      <c r="AF10533" s="1"/>
      <c r="AG10533" s="1"/>
      <c r="AH10533" s="1"/>
    </row>
    <row r="10534" ht="12.75" hidden="1" customHeight="1" outlineLevel="1">
      <c r="A10534" s="1002">
        <v>43370.0</v>
      </c>
      <c r="B10534" s="992"/>
      <c r="C10534" s="32" t="s">
        <v>339</v>
      </c>
      <c r="D10534" s="1"/>
      <c r="F10534" s="1"/>
      <c r="G10534" s="1"/>
      <c r="H10534" s="68"/>
      <c r="I10534" s="76"/>
      <c r="K10534" s="201" t="s">
        <v>3674</v>
      </c>
      <c r="L10534" s="77"/>
      <c r="M10534" s="79"/>
      <c r="N10534" s="1"/>
      <c r="O10534" s="1"/>
      <c r="P10534" s="1"/>
      <c r="Q10534" s="1"/>
      <c r="R10534" s="1"/>
      <c r="S10534" s="1"/>
      <c r="T10534" s="1"/>
      <c r="U10534" s="1"/>
      <c r="V10534" s="1"/>
      <c r="W10534" s="1"/>
      <c r="X10534" s="1"/>
      <c r="Y10534" s="1"/>
      <c r="Z10534" s="1"/>
      <c r="AA10534" s="1"/>
      <c r="AB10534" s="1"/>
      <c r="AC10534" s="1"/>
      <c r="AD10534" s="1"/>
      <c r="AE10534" s="1"/>
      <c r="AF10534" s="1"/>
      <c r="AG10534" s="1"/>
      <c r="AH10534" s="1"/>
    </row>
    <row r="10535" ht="12.75" hidden="1" customHeight="1" outlineLevel="1">
      <c r="A10535" s="1002">
        <v>43370.0</v>
      </c>
      <c r="B10535" s="992"/>
      <c r="C10535" s="32" t="s">
        <v>429</v>
      </c>
      <c r="D10535" s="1"/>
      <c r="F10535" s="1"/>
      <c r="G10535" s="1"/>
      <c r="H10535" s="68"/>
      <c r="I10535" s="76"/>
      <c r="K10535" s="9" t="s">
        <v>3662</v>
      </c>
      <c r="L10535" s="77"/>
      <c r="M10535" s="79"/>
      <c r="N10535" s="1"/>
      <c r="O10535" s="1"/>
      <c r="P10535" s="1"/>
      <c r="Q10535" s="1"/>
      <c r="R10535" s="1"/>
      <c r="S10535" s="1"/>
      <c r="T10535" s="1"/>
      <c r="U10535" s="1"/>
      <c r="V10535" s="1"/>
      <c r="W10535" s="1"/>
      <c r="X10535" s="1"/>
      <c r="Y10535" s="1"/>
      <c r="Z10535" s="1"/>
      <c r="AA10535" s="1"/>
      <c r="AB10535" s="1"/>
      <c r="AC10535" s="1"/>
      <c r="AD10535" s="1"/>
      <c r="AE10535" s="1"/>
      <c r="AF10535" s="1"/>
      <c r="AG10535" s="1"/>
      <c r="AH10535" s="1"/>
    </row>
    <row r="10536" ht="12.75" hidden="1" customHeight="1" outlineLevel="1">
      <c r="A10536" s="1002">
        <v>43370.0</v>
      </c>
      <c r="B10536" s="992"/>
      <c r="C10536" s="32" t="s">
        <v>431</v>
      </c>
      <c r="D10536" s="1"/>
      <c r="F10536" s="1"/>
      <c r="G10536" s="1"/>
      <c r="H10536" s="68"/>
      <c r="I10536" s="76"/>
      <c r="K10536" s="9" t="s">
        <v>3663</v>
      </c>
      <c r="L10536" s="77"/>
      <c r="M10536" s="79"/>
      <c r="N10536" s="1"/>
      <c r="O10536" s="1"/>
      <c r="P10536" s="1"/>
      <c r="Q10536" s="1"/>
      <c r="R10536" s="1"/>
      <c r="S10536" s="1"/>
      <c r="T10536" s="1"/>
      <c r="U10536" s="1"/>
      <c r="V10536" s="1"/>
      <c r="W10536" s="1"/>
      <c r="X10536" s="1"/>
      <c r="Y10536" s="1"/>
      <c r="Z10536" s="1"/>
      <c r="AA10536" s="1"/>
      <c r="AB10536" s="1"/>
      <c r="AC10536" s="1"/>
      <c r="AD10536" s="1"/>
      <c r="AE10536" s="1"/>
      <c r="AF10536" s="1"/>
      <c r="AG10536" s="1"/>
      <c r="AH10536" s="1"/>
    </row>
    <row r="10537" ht="12.75" hidden="1" customHeight="1" outlineLevel="1">
      <c r="A10537" s="1002">
        <v>43370.0</v>
      </c>
      <c r="B10537" s="992"/>
      <c r="C10537" s="32" t="s">
        <v>433</v>
      </c>
      <c r="D10537" s="1"/>
      <c r="F10537" s="1"/>
      <c r="G10537" s="1"/>
      <c r="H10537" s="68"/>
      <c r="I10537" s="76"/>
      <c r="K10537" s="9" t="s">
        <v>3663</v>
      </c>
      <c r="L10537" s="77"/>
      <c r="M10537" s="79"/>
      <c r="N10537" s="1"/>
      <c r="O10537" s="1"/>
      <c r="P10537" s="1"/>
      <c r="Q10537" s="1"/>
      <c r="R10537" s="1"/>
      <c r="S10537" s="1"/>
      <c r="T10537" s="1"/>
      <c r="U10537" s="1"/>
      <c r="V10537" s="1"/>
      <c r="W10537" s="1"/>
      <c r="X10537" s="1"/>
      <c r="Y10537" s="1"/>
      <c r="Z10537" s="1"/>
      <c r="AA10537" s="1"/>
      <c r="AB10537" s="1"/>
      <c r="AC10537" s="1"/>
      <c r="AD10537" s="1"/>
      <c r="AE10537" s="1"/>
      <c r="AF10537" s="1"/>
      <c r="AG10537" s="1"/>
      <c r="AH10537" s="1"/>
    </row>
    <row r="10538" ht="12.75" hidden="1" customHeight="1" outlineLevel="1">
      <c r="A10538" s="1002">
        <v>43370.0</v>
      </c>
      <c r="B10538" s="992"/>
      <c r="C10538" s="32" t="s">
        <v>435</v>
      </c>
      <c r="D10538" s="1"/>
      <c r="F10538" s="1"/>
      <c r="G10538" s="1"/>
      <c r="H10538" s="68"/>
      <c r="I10538" s="76"/>
      <c r="K10538" s="9" t="s">
        <v>3671</v>
      </c>
      <c r="L10538" s="77"/>
      <c r="M10538" s="79"/>
      <c r="N10538" s="1"/>
      <c r="O10538" s="1"/>
      <c r="P10538" s="1"/>
      <c r="Q10538" s="1"/>
      <c r="R10538" s="1"/>
      <c r="S10538" s="1"/>
      <c r="T10538" s="1"/>
      <c r="U10538" s="1"/>
      <c r="V10538" s="1"/>
      <c r="W10538" s="1"/>
      <c r="X10538" s="1"/>
      <c r="Y10538" s="1"/>
      <c r="Z10538" s="1"/>
      <c r="AA10538" s="1"/>
      <c r="AB10538" s="1"/>
      <c r="AC10538" s="1"/>
      <c r="AD10538" s="1"/>
      <c r="AE10538" s="1"/>
      <c r="AF10538" s="1"/>
      <c r="AG10538" s="1"/>
      <c r="AH10538" s="1"/>
    </row>
    <row r="10539" ht="12.75" hidden="1" customHeight="1" outlineLevel="1">
      <c r="A10539" s="1002">
        <v>43374.0</v>
      </c>
      <c r="B10539" s="992"/>
      <c r="C10539" s="32" t="s">
        <v>339</v>
      </c>
      <c r="D10539" s="1"/>
      <c r="F10539" s="1"/>
      <c r="G10539" s="1"/>
      <c r="H10539" s="68"/>
      <c r="I10539" s="76"/>
      <c r="K10539" s="201" t="s">
        <v>3675</v>
      </c>
      <c r="L10539" s="77"/>
      <c r="M10539" s="79"/>
      <c r="N10539" s="1"/>
      <c r="O10539" s="1"/>
      <c r="P10539" s="1"/>
      <c r="Q10539" s="1"/>
      <c r="R10539" s="1"/>
      <c r="S10539" s="1"/>
      <c r="T10539" s="1"/>
      <c r="U10539" s="1"/>
      <c r="V10539" s="1"/>
      <c r="W10539" s="1"/>
      <c r="X10539" s="1"/>
      <c r="Y10539" s="1"/>
      <c r="Z10539" s="1"/>
      <c r="AA10539" s="1"/>
      <c r="AB10539" s="1"/>
      <c r="AC10539" s="1"/>
      <c r="AD10539" s="1"/>
      <c r="AE10539" s="1"/>
      <c r="AF10539" s="1"/>
      <c r="AG10539" s="1"/>
      <c r="AH10539" s="1"/>
    </row>
    <row r="10540" ht="12.75" hidden="1" customHeight="1" outlineLevel="1">
      <c r="A10540" s="1002">
        <v>43374.0</v>
      </c>
      <c r="B10540" s="992"/>
      <c r="C10540" s="32" t="s">
        <v>429</v>
      </c>
      <c r="D10540" s="1"/>
      <c r="F10540" s="1"/>
      <c r="G10540" s="1"/>
      <c r="H10540" s="68"/>
      <c r="I10540" s="76"/>
      <c r="K10540" s="9" t="s">
        <v>3662</v>
      </c>
      <c r="L10540" s="77"/>
      <c r="M10540" s="79"/>
      <c r="N10540" s="1"/>
      <c r="O10540" s="1"/>
      <c r="P10540" s="1"/>
      <c r="Q10540" s="1"/>
      <c r="R10540" s="1"/>
      <c r="S10540" s="1"/>
      <c r="T10540" s="1"/>
      <c r="U10540" s="1"/>
      <c r="V10540" s="1"/>
      <c r="W10540" s="1"/>
      <c r="X10540" s="1"/>
      <c r="Y10540" s="1"/>
      <c r="Z10540" s="1"/>
      <c r="AA10540" s="1"/>
      <c r="AB10540" s="1"/>
      <c r="AC10540" s="1"/>
      <c r="AD10540" s="1"/>
      <c r="AE10540" s="1"/>
      <c r="AF10540" s="1"/>
      <c r="AG10540" s="1"/>
      <c r="AH10540" s="1"/>
    </row>
    <row r="10541" ht="12.75" hidden="1" customHeight="1" outlineLevel="1">
      <c r="A10541" s="1002">
        <v>43374.0</v>
      </c>
      <c r="B10541" s="992"/>
      <c r="C10541" s="32" t="s">
        <v>431</v>
      </c>
      <c r="D10541" s="1"/>
      <c r="F10541" s="1"/>
      <c r="G10541" s="1"/>
      <c r="H10541" s="68"/>
      <c r="I10541" s="76"/>
      <c r="K10541" s="9" t="s">
        <v>3663</v>
      </c>
      <c r="L10541" s="77"/>
      <c r="M10541" s="79"/>
      <c r="N10541" s="1"/>
      <c r="O10541" s="1"/>
      <c r="P10541" s="1"/>
      <c r="Q10541" s="1"/>
      <c r="R10541" s="1"/>
      <c r="S10541" s="1"/>
      <c r="T10541" s="1"/>
      <c r="U10541" s="1"/>
      <c r="V10541" s="1"/>
      <c r="W10541" s="1"/>
      <c r="X10541" s="1"/>
      <c r="Y10541" s="1"/>
      <c r="Z10541" s="1"/>
      <c r="AA10541" s="1"/>
      <c r="AB10541" s="1"/>
      <c r="AC10541" s="1"/>
      <c r="AD10541" s="1"/>
      <c r="AE10541" s="1"/>
      <c r="AF10541" s="1"/>
      <c r="AG10541" s="1"/>
      <c r="AH10541" s="1"/>
    </row>
    <row r="10542" ht="12.75" hidden="1" customHeight="1" outlineLevel="1">
      <c r="A10542" s="1002">
        <v>43374.0</v>
      </c>
      <c r="B10542" s="992"/>
      <c r="C10542" s="32" t="s">
        <v>433</v>
      </c>
      <c r="D10542" s="1"/>
      <c r="F10542" s="1"/>
      <c r="G10542" s="1"/>
      <c r="H10542" s="68"/>
      <c r="I10542" s="76"/>
      <c r="K10542" s="9" t="s">
        <v>3663</v>
      </c>
      <c r="L10542" s="77"/>
      <c r="M10542" s="79"/>
      <c r="N10542" s="1"/>
      <c r="O10542" s="1"/>
      <c r="P10542" s="1"/>
      <c r="Q10542" s="1"/>
      <c r="R10542" s="1"/>
      <c r="S10542" s="1"/>
      <c r="T10542" s="1"/>
      <c r="U10542" s="1"/>
      <c r="V10542" s="1"/>
      <c r="W10542" s="1"/>
      <c r="X10542" s="1"/>
      <c r="Y10542" s="1"/>
      <c r="Z10542" s="1"/>
      <c r="AA10542" s="1"/>
      <c r="AB10542" s="1"/>
      <c r="AC10542" s="1"/>
      <c r="AD10542" s="1"/>
      <c r="AE10542" s="1"/>
      <c r="AF10542" s="1"/>
      <c r="AG10542" s="1"/>
      <c r="AH10542" s="1"/>
    </row>
    <row r="10543" ht="12.75" hidden="1" customHeight="1" outlineLevel="1">
      <c r="A10543" s="1002">
        <v>43374.0</v>
      </c>
      <c r="B10543" s="992"/>
      <c r="C10543" s="32" t="s">
        <v>435</v>
      </c>
      <c r="D10543" s="1"/>
      <c r="F10543" s="1"/>
      <c r="G10543" s="1"/>
      <c r="H10543" s="68"/>
      <c r="I10543" s="76"/>
      <c r="K10543" s="9" t="s">
        <v>3671</v>
      </c>
      <c r="L10543" s="77"/>
      <c r="M10543" s="79"/>
      <c r="N10543" s="1"/>
      <c r="O10543" s="1"/>
      <c r="P10543" s="1"/>
      <c r="Q10543" s="1"/>
      <c r="R10543" s="1"/>
      <c r="S10543" s="1"/>
      <c r="T10543" s="1"/>
      <c r="U10543" s="1"/>
      <c r="V10543" s="1"/>
      <c r="W10543" s="1"/>
      <c r="X10543" s="1"/>
      <c r="Y10543" s="1"/>
      <c r="Z10543" s="1"/>
      <c r="AA10543" s="1"/>
      <c r="AB10543" s="1"/>
      <c r="AC10543" s="1"/>
      <c r="AD10543" s="1"/>
      <c r="AE10543" s="1"/>
      <c r="AF10543" s="1"/>
      <c r="AG10543" s="1"/>
      <c r="AH10543" s="1"/>
    </row>
    <row r="10544" ht="12.75" hidden="1" customHeight="1" outlineLevel="1">
      <c r="A10544" s="1002">
        <v>43374.0</v>
      </c>
      <c r="B10544" s="985" t="s">
        <v>347</v>
      </c>
      <c r="C10544" s="94" t="s">
        <v>1061</v>
      </c>
      <c r="D10544" s="94">
        <v>600.0</v>
      </c>
      <c r="E10544" s="94">
        <v>56.86</v>
      </c>
      <c r="F10544" s="1003">
        <v>0.6274537037037037</v>
      </c>
      <c r="G10544" s="1004" t="s">
        <v>453</v>
      </c>
      <c r="H10544" s="987">
        <v>3.51</v>
      </c>
      <c r="I10544" s="988" t="s">
        <v>3145</v>
      </c>
      <c r="J10544" s="67">
        <f t="shared" ref="J10544:J10548" si="589">IF(B10544="SLD",D10544*E10544,-D10544*E10544)-H10544</f>
        <v>34112.49</v>
      </c>
      <c r="K10544" s="1"/>
      <c r="L10544" s="70"/>
      <c r="M10544" s="79"/>
      <c r="N10544" s="1"/>
      <c r="O10544" s="1"/>
      <c r="P10544" s="1"/>
      <c r="Q10544" s="1"/>
      <c r="R10544" s="1"/>
      <c r="S10544" s="1"/>
      <c r="T10544" s="1"/>
      <c r="U10544" s="1"/>
      <c r="V10544" s="1"/>
      <c r="W10544" s="1"/>
      <c r="X10544" s="1"/>
      <c r="Y10544" s="1"/>
      <c r="Z10544" s="1"/>
      <c r="AA10544" s="1"/>
      <c r="AB10544" s="1"/>
      <c r="AC10544" s="1"/>
      <c r="AD10544" s="1"/>
      <c r="AE10544" s="1"/>
      <c r="AF10544" s="1"/>
      <c r="AG10544" s="1"/>
      <c r="AH10544" s="1"/>
    </row>
    <row r="10545" ht="12.75" hidden="1" customHeight="1" outlineLevel="1">
      <c r="A10545" s="202">
        <v>43375.0</v>
      </c>
      <c r="B10545" s="985" t="s">
        <v>347</v>
      </c>
      <c r="C10545" s="94" t="s">
        <v>1187</v>
      </c>
      <c r="D10545" s="94">
        <v>300.0</v>
      </c>
      <c r="E10545" s="94">
        <v>81.795</v>
      </c>
      <c r="F10545" s="1003">
        <v>0.6245833333333334</v>
      </c>
      <c r="G10545" s="1004" t="s">
        <v>453</v>
      </c>
      <c r="H10545" s="987">
        <v>2.51</v>
      </c>
      <c r="I10545" s="988" t="s">
        <v>3145</v>
      </c>
      <c r="J10545" s="67">
        <f t="shared" si="589"/>
        <v>24535.99</v>
      </c>
      <c r="K10545" s="1"/>
      <c r="L10545" s="70"/>
      <c r="M10545" s="79"/>
      <c r="N10545" s="1"/>
      <c r="O10545" s="1"/>
      <c r="P10545" s="1"/>
      <c r="Q10545" s="1"/>
      <c r="R10545" s="1"/>
      <c r="S10545" s="1"/>
      <c r="T10545" s="1"/>
      <c r="U10545" s="1"/>
      <c r="V10545" s="1"/>
      <c r="W10545" s="1"/>
      <c r="X10545" s="1"/>
      <c r="Y10545" s="1"/>
      <c r="Z10545" s="1"/>
      <c r="AA10545" s="1"/>
      <c r="AB10545" s="1"/>
      <c r="AC10545" s="1"/>
      <c r="AD10545" s="1"/>
      <c r="AE10545" s="1"/>
      <c r="AF10545" s="1"/>
      <c r="AG10545" s="1"/>
      <c r="AH10545" s="1"/>
    </row>
    <row r="10546" ht="12.75" hidden="1" customHeight="1" outlineLevel="1">
      <c r="A10546" s="202">
        <v>43375.0</v>
      </c>
      <c r="B10546" s="985" t="s">
        <v>347</v>
      </c>
      <c r="C10546" s="94" t="s">
        <v>1114</v>
      </c>
      <c r="D10546" s="94">
        <v>300.0</v>
      </c>
      <c r="E10546" s="94">
        <v>40.217</v>
      </c>
      <c r="F10546" s="1003">
        <v>0.6240740740740741</v>
      </c>
      <c r="G10546" s="1004" t="s">
        <v>453</v>
      </c>
      <c r="H10546" s="987">
        <v>1.69</v>
      </c>
      <c r="I10546" s="988" t="s">
        <v>3145</v>
      </c>
      <c r="J10546" s="67">
        <f t="shared" si="589"/>
        <v>12063.41</v>
      </c>
      <c r="K10546" s="1"/>
      <c r="L10546" s="70"/>
      <c r="M10546" s="79"/>
      <c r="N10546" s="1"/>
      <c r="O10546" s="1"/>
      <c r="P10546" s="1"/>
      <c r="Q10546" s="1"/>
      <c r="R10546" s="1"/>
      <c r="S10546" s="1"/>
      <c r="T10546" s="1"/>
      <c r="U10546" s="1"/>
      <c r="V10546" s="1"/>
      <c r="W10546" s="1"/>
      <c r="X10546" s="1"/>
      <c r="Y10546" s="1"/>
      <c r="Z10546" s="1"/>
      <c r="AA10546" s="1"/>
      <c r="AB10546" s="1"/>
      <c r="AC10546" s="1"/>
      <c r="AD10546" s="1"/>
      <c r="AE10546" s="1"/>
      <c r="AF10546" s="1"/>
      <c r="AG10546" s="1"/>
      <c r="AH10546" s="1"/>
    </row>
    <row r="10547" ht="12.75" hidden="1" customHeight="1" outlineLevel="1">
      <c r="A10547" s="202">
        <v>43375.0</v>
      </c>
      <c r="B10547" s="985" t="s">
        <v>347</v>
      </c>
      <c r="C10547" s="94" t="s">
        <v>1164</v>
      </c>
      <c r="D10547" s="94">
        <v>75.0</v>
      </c>
      <c r="E10547" s="94">
        <v>61.3916</v>
      </c>
      <c r="F10547" s="1003">
        <v>0.6044097222222222</v>
      </c>
      <c r="G10547" s="1004" t="s">
        <v>453</v>
      </c>
      <c r="H10547" s="987">
        <v>1.07</v>
      </c>
      <c r="I10547" s="988" t="s">
        <v>3145</v>
      </c>
      <c r="J10547" s="67">
        <f t="shared" si="589"/>
        <v>4603.3</v>
      </c>
      <c r="K10547" s="1"/>
      <c r="L10547" s="70"/>
      <c r="M10547" s="79"/>
      <c r="N10547" s="1"/>
      <c r="O10547" s="1"/>
      <c r="P10547" s="1"/>
      <c r="Q10547" s="1"/>
      <c r="R10547" s="1"/>
      <c r="S10547" s="1"/>
      <c r="T10547" s="1"/>
      <c r="U10547" s="1"/>
      <c r="V10547" s="1"/>
      <c r="W10547" s="1"/>
      <c r="X10547" s="1"/>
      <c r="Y10547" s="1"/>
      <c r="Z10547" s="1"/>
      <c r="AA10547" s="1"/>
      <c r="AB10547" s="1"/>
      <c r="AC10547" s="1"/>
      <c r="AD10547" s="1"/>
      <c r="AE10547" s="1"/>
      <c r="AF10547" s="1"/>
      <c r="AG10547" s="1"/>
      <c r="AH10547" s="1"/>
    </row>
    <row r="10548" ht="12.75" hidden="1" customHeight="1" outlineLevel="1">
      <c r="A10548" s="202">
        <v>43375.0</v>
      </c>
      <c r="B10548" s="985" t="s">
        <v>347</v>
      </c>
      <c r="C10548" s="94" t="s">
        <v>1158</v>
      </c>
      <c r="D10548" s="94">
        <v>75.0</v>
      </c>
      <c r="E10548" s="94">
        <v>54.63</v>
      </c>
      <c r="F10548" s="1003">
        <v>0.6040277777777778</v>
      </c>
      <c r="G10548" s="1004" t="s">
        <v>453</v>
      </c>
      <c r="H10548" s="987">
        <v>1.06</v>
      </c>
      <c r="I10548" s="988" t="s">
        <v>3145</v>
      </c>
      <c r="J10548" s="67">
        <f t="shared" si="589"/>
        <v>4096.19</v>
      </c>
      <c r="K10548" s="1"/>
      <c r="L10548" s="70"/>
      <c r="M10548" s="79"/>
      <c r="N10548" s="1"/>
      <c r="O10548" s="1"/>
      <c r="P10548" s="1"/>
      <c r="Q10548" s="1"/>
      <c r="R10548" s="1"/>
      <c r="S10548" s="1"/>
      <c r="T10548" s="1"/>
      <c r="U10548" s="1"/>
      <c r="V10548" s="1"/>
      <c r="W10548" s="1"/>
      <c r="X10548" s="1"/>
      <c r="Y10548" s="1"/>
      <c r="Z10548" s="1"/>
      <c r="AA10548" s="1"/>
      <c r="AB10548" s="1"/>
      <c r="AC10548" s="1"/>
      <c r="AD10548" s="1"/>
      <c r="AE10548" s="1"/>
      <c r="AF10548" s="1"/>
      <c r="AG10548" s="1"/>
      <c r="AH10548" s="1"/>
    </row>
    <row r="10549" ht="12.75" hidden="1" customHeight="1" outlineLevel="1">
      <c r="A10549" s="1002">
        <v>43375.0</v>
      </c>
      <c r="B10549" s="992"/>
      <c r="C10549" s="32" t="s">
        <v>339</v>
      </c>
      <c r="D10549" s="1"/>
      <c r="F10549" s="1"/>
      <c r="G10549" s="1"/>
      <c r="H10549" s="68"/>
      <c r="I10549" s="76"/>
      <c r="K10549" s="201" t="s">
        <v>3676</v>
      </c>
      <c r="L10549" s="77"/>
      <c r="M10549" s="79"/>
      <c r="N10549" s="1"/>
      <c r="O10549" s="1"/>
      <c r="P10549" s="1"/>
      <c r="Q10549" s="1"/>
      <c r="R10549" s="1"/>
      <c r="S10549" s="1"/>
      <c r="T10549" s="1"/>
      <c r="U10549" s="1"/>
      <c r="V10549" s="1"/>
      <c r="W10549" s="1"/>
      <c r="X10549" s="1"/>
      <c r="Y10549" s="1"/>
      <c r="Z10549" s="1"/>
      <c r="AA10549" s="1"/>
      <c r="AB10549" s="1"/>
      <c r="AC10549" s="1"/>
      <c r="AD10549" s="1"/>
      <c r="AE10549" s="1"/>
      <c r="AF10549" s="1"/>
      <c r="AG10549" s="1"/>
      <c r="AH10549" s="1"/>
    </row>
    <row r="10550" ht="12.75" hidden="1" customHeight="1" outlineLevel="1">
      <c r="A10550" s="1002">
        <v>43375.0</v>
      </c>
      <c r="B10550" s="992"/>
      <c r="C10550" s="32" t="s">
        <v>429</v>
      </c>
      <c r="D10550" s="1"/>
      <c r="F10550" s="1"/>
      <c r="G10550" s="1"/>
      <c r="H10550" s="68"/>
      <c r="I10550" s="76"/>
      <c r="K10550" s="9" t="s">
        <v>3662</v>
      </c>
      <c r="L10550" s="77"/>
      <c r="M10550" s="79"/>
      <c r="N10550" s="1"/>
      <c r="O10550" s="1"/>
      <c r="P10550" s="1"/>
      <c r="Q10550" s="1"/>
      <c r="R10550" s="1"/>
      <c r="S10550" s="1"/>
      <c r="T10550" s="1"/>
      <c r="U10550" s="1"/>
      <c r="V10550" s="1"/>
      <c r="W10550" s="1"/>
      <c r="X10550" s="1"/>
      <c r="Y10550" s="1"/>
      <c r="Z10550" s="1"/>
      <c r="AA10550" s="1"/>
      <c r="AB10550" s="1"/>
      <c r="AC10550" s="1"/>
      <c r="AD10550" s="1"/>
      <c r="AE10550" s="1"/>
      <c r="AF10550" s="1"/>
      <c r="AG10550" s="1"/>
      <c r="AH10550" s="1"/>
    </row>
    <row r="10551" ht="12.75" hidden="1" customHeight="1" outlineLevel="1">
      <c r="A10551" s="1002">
        <v>43375.0</v>
      </c>
      <c r="B10551" s="992"/>
      <c r="C10551" s="32" t="s">
        <v>431</v>
      </c>
      <c r="D10551" s="1"/>
      <c r="F10551" s="1"/>
      <c r="G10551" s="1"/>
      <c r="H10551" s="68"/>
      <c r="I10551" s="76"/>
      <c r="K10551" s="9" t="s">
        <v>3663</v>
      </c>
      <c r="L10551" s="77"/>
      <c r="M10551" s="79"/>
      <c r="N10551" s="1"/>
      <c r="O10551" s="1"/>
      <c r="P10551" s="1"/>
      <c r="Q10551" s="1"/>
      <c r="R10551" s="1"/>
      <c r="S10551" s="1"/>
      <c r="T10551" s="1"/>
      <c r="U10551" s="1"/>
      <c r="V10551" s="1"/>
      <c r="W10551" s="1"/>
      <c r="X10551" s="1"/>
      <c r="Y10551" s="1"/>
      <c r="Z10551" s="1"/>
      <c r="AA10551" s="1"/>
      <c r="AB10551" s="1"/>
      <c r="AC10551" s="1"/>
      <c r="AD10551" s="1"/>
      <c r="AE10551" s="1"/>
      <c r="AF10551" s="1"/>
      <c r="AG10551" s="1"/>
      <c r="AH10551" s="1"/>
    </row>
    <row r="10552" ht="12.75" hidden="1" customHeight="1" outlineLevel="1">
      <c r="A10552" s="1002">
        <v>43375.0</v>
      </c>
      <c r="B10552" s="992"/>
      <c r="C10552" s="32" t="s">
        <v>433</v>
      </c>
      <c r="D10552" s="1"/>
      <c r="F10552" s="1"/>
      <c r="G10552" s="1"/>
      <c r="H10552" s="68"/>
      <c r="I10552" s="76"/>
      <c r="K10552" s="9" t="s">
        <v>3663</v>
      </c>
      <c r="L10552" s="77"/>
      <c r="M10552" s="79"/>
      <c r="N10552" s="1"/>
      <c r="O10552" s="1"/>
      <c r="P10552" s="1"/>
      <c r="Q10552" s="1"/>
      <c r="R10552" s="1"/>
      <c r="S10552" s="1"/>
      <c r="T10552" s="1"/>
      <c r="U10552" s="1"/>
      <c r="V10552" s="1"/>
      <c r="W10552" s="1"/>
      <c r="X10552" s="1"/>
      <c r="Y10552" s="1"/>
      <c r="Z10552" s="1"/>
      <c r="AA10552" s="1"/>
      <c r="AB10552" s="1"/>
      <c r="AC10552" s="1"/>
      <c r="AD10552" s="1"/>
      <c r="AE10552" s="1"/>
      <c r="AF10552" s="1"/>
      <c r="AG10552" s="1"/>
      <c r="AH10552" s="1"/>
    </row>
    <row r="10553" ht="12.75" hidden="1" customHeight="1" outlineLevel="1">
      <c r="A10553" s="1002">
        <v>43375.0</v>
      </c>
      <c r="B10553" s="992"/>
      <c r="C10553" s="32" t="s">
        <v>435</v>
      </c>
      <c r="D10553" s="1"/>
      <c r="F10553" s="1"/>
      <c r="G10553" s="1"/>
      <c r="H10553" s="68"/>
      <c r="I10553" s="76"/>
      <c r="K10553" s="9" t="s">
        <v>3671</v>
      </c>
      <c r="L10553" s="77"/>
      <c r="M10553" s="79"/>
      <c r="N10553" s="1"/>
      <c r="O10553" s="1"/>
      <c r="P10553" s="1"/>
      <c r="Q10553" s="1"/>
      <c r="R10553" s="1"/>
      <c r="S10553" s="1"/>
      <c r="T10553" s="1"/>
      <c r="U10553" s="1"/>
      <c r="V10553" s="1"/>
      <c r="W10553" s="1"/>
      <c r="X10553" s="1"/>
      <c r="Y10553" s="1"/>
      <c r="Z10553" s="1"/>
      <c r="AA10553" s="1"/>
      <c r="AB10553" s="1"/>
      <c r="AC10553" s="1"/>
      <c r="AD10553" s="1"/>
      <c r="AE10553" s="1"/>
      <c r="AF10553" s="1"/>
      <c r="AG10553" s="1"/>
      <c r="AH10553" s="1"/>
    </row>
    <row r="10554" ht="12.75" hidden="1" customHeight="1" outlineLevel="1">
      <c r="A10554" s="202">
        <v>43376.0</v>
      </c>
      <c r="B10554" s="985" t="s">
        <v>347</v>
      </c>
      <c r="C10554" s="94" t="s">
        <v>1414</v>
      </c>
      <c r="D10554" s="94">
        <v>25.0</v>
      </c>
      <c r="E10554" s="94">
        <v>286.2639</v>
      </c>
      <c r="F10554" s="1003">
        <v>0.6296875</v>
      </c>
      <c r="G10554" s="1004" t="s">
        <v>453</v>
      </c>
      <c r="H10554" s="987">
        <v>1.1</v>
      </c>
      <c r="I10554" s="988" t="s">
        <v>3145</v>
      </c>
      <c r="J10554" s="67">
        <f t="shared" ref="J10554:J10558" si="590">IF(B10554="SLD",D10554*E10554,-D10554*E10554)-H10554</f>
        <v>7155.4975</v>
      </c>
      <c r="K10554" s="1"/>
      <c r="L10554" s="70"/>
      <c r="M10554" s="79"/>
      <c r="N10554" s="1"/>
      <c r="O10554" s="1"/>
      <c r="P10554" s="1"/>
      <c r="Q10554" s="1"/>
      <c r="R10554" s="1"/>
      <c r="S10554" s="1"/>
      <c r="T10554" s="1"/>
      <c r="U10554" s="1"/>
      <c r="V10554" s="1"/>
      <c r="W10554" s="1"/>
      <c r="X10554" s="1"/>
      <c r="Y10554" s="1"/>
      <c r="Z10554" s="1"/>
      <c r="AA10554" s="1"/>
      <c r="AB10554" s="1"/>
      <c r="AC10554" s="1"/>
      <c r="AD10554" s="1"/>
      <c r="AE10554" s="1"/>
      <c r="AF10554" s="1"/>
      <c r="AG10554" s="1"/>
      <c r="AH10554" s="1"/>
    </row>
    <row r="10555" ht="12.75" hidden="1" customHeight="1" outlineLevel="1">
      <c r="A10555" s="202">
        <v>43376.0</v>
      </c>
      <c r="B10555" s="985" t="s">
        <v>347</v>
      </c>
      <c r="C10555" s="94" t="s">
        <v>1363</v>
      </c>
      <c r="D10555" s="94">
        <v>30.0</v>
      </c>
      <c r="E10555" s="94">
        <v>297.47</v>
      </c>
      <c r="F10555" s="1003">
        <v>0.6263194444444444</v>
      </c>
      <c r="G10555" s="1004" t="s">
        <v>453</v>
      </c>
      <c r="H10555" s="987">
        <v>1.12</v>
      </c>
      <c r="I10555" s="988" t="s">
        <v>3145</v>
      </c>
      <c r="J10555" s="67">
        <f t="shared" si="590"/>
        <v>8922.98</v>
      </c>
      <c r="K10555" s="1"/>
      <c r="L10555" s="70"/>
      <c r="M10555" s="79"/>
      <c r="N10555" s="1"/>
      <c r="O10555" s="1"/>
      <c r="P10555" s="1"/>
      <c r="Q10555" s="1"/>
      <c r="R10555" s="1"/>
      <c r="S10555" s="1"/>
      <c r="T10555" s="1"/>
      <c r="U10555" s="1"/>
      <c r="V10555" s="1"/>
      <c r="W10555" s="1"/>
      <c r="X10555" s="1"/>
      <c r="Y10555" s="1"/>
      <c r="Z10555" s="1"/>
      <c r="AA10555" s="1"/>
      <c r="AB10555" s="1"/>
      <c r="AC10555" s="1"/>
      <c r="AD10555" s="1"/>
      <c r="AE10555" s="1"/>
      <c r="AF10555" s="1"/>
      <c r="AG10555" s="1"/>
      <c r="AH10555" s="1"/>
    </row>
    <row r="10556" ht="12.75" hidden="1" customHeight="1" outlineLevel="1">
      <c r="A10556" s="202">
        <v>43376.0</v>
      </c>
      <c r="B10556" s="985" t="s">
        <v>347</v>
      </c>
      <c r="C10556" s="94" t="s">
        <v>346</v>
      </c>
      <c r="D10556" s="94">
        <v>25.0</v>
      </c>
      <c r="E10556" s="94">
        <v>232.3027</v>
      </c>
      <c r="F10556" s="1003">
        <v>0.6225694444444444</v>
      </c>
      <c r="G10556" s="1004" t="s">
        <v>453</v>
      </c>
      <c r="H10556" s="987">
        <v>1.08</v>
      </c>
      <c r="I10556" s="988" t="s">
        <v>3145</v>
      </c>
      <c r="J10556" s="67">
        <f t="shared" si="590"/>
        <v>5806.4875</v>
      </c>
      <c r="K10556" s="1"/>
      <c r="L10556" s="70"/>
      <c r="M10556" s="79"/>
      <c r="N10556" s="1"/>
      <c r="O10556" s="1"/>
      <c r="P10556" s="1"/>
      <c r="Q10556" s="1"/>
      <c r="R10556" s="1"/>
      <c r="S10556" s="1"/>
      <c r="T10556" s="1"/>
      <c r="U10556" s="1"/>
      <c r="V10556" s="1"/>
      <c r="W10556" s="1"/>
      <c r="X10556" s="1"/>
      <c r="Y10556" s="1"/>
      <c r="Z10556" s="1"/>
      <c r="AA10556" s="1"/>
      <c r="AB10556" s="1"/>
      <c r="AC10556" s="1"/>
      <c r="AD10556" s="1"/>
      <c r="AE10556" s="1"/>
      <c r="AF10556" s="1"/>
      <c r="AG10556" s="1"/>
      <c r="AH10556" s="1"/>
    </row>
    <row r="10557" ht="12.75" hidden="1" customHeight="1" outlineLevel="1">
      <c r="A10557" s="202">
        <v>43376.0</v>
      </c>
      <c r="B10557" s="985" t="s">
        <v>347</v>
      </c>
      <c r="C10557" s="94" t="s">
        <v>1040</v>
      </c>
      <c r="D10557" s="94">
        <v>70.0</v>
      </c>
      <c r="E10557" s="94">
        <v>115.1715</v>
      </c>
      <c r="F10557" s="1003">
        <v>0.6222916666666667</v>
      </c>
      <c r="G10557" s="1004" t="s">
        <v>453</v>
      </c>
      <c r="H10557" s="987">
        <v>1.11</v>
      </c>
      <c r="I10557" s="988" t="s">
        <v>3145</v>
      </c>
      <c r="J10557" s="67">
        <f t="shared" si="590"/>
        <v>8060.895</v>
      </c>
      <c r="K10557" s="1"/>
      <c r="L10557" s="70"/>
      <c r="M10557" s="79"/>
      <c r="N10557" s="1"/>
      <c r="O10557" s="1"/>
      <c r="P10557" s="1"/>
      <c r="Q10557" s="1"/>
      <c r="R10557" s="1"/>
      <c r="S10557" s="1"/>
      <c r="T10557" s="1"/>
      <c r="U10557" s="1"/>
      <c r="V10557" s="1"/>
      <c r="W10557" s="1"/>
      <c r="X10557" s="1"/>
      <c r="Y10557" s="1"/>
      <c r="Z10557" s="1"/>
      <c r="AA10557" s="1"/>
      <c r="AB10557" s="1"/>
      <c r="AC10557" s="1"/>
      <c r="AD10557" s="1"/>
      <c r="AE10557" s="1"/>
      <c r="AF10557" s="1"/>
      <c r="AG10557" s="1"/>
      <c r="AH10557" s="1"/>
    </row>
    <row r="10558" ht="12.75" hidden="1" customHeight="1" outlineLevel="1">
      <c r="A10558" s="202">
        <v>43376.0</v>
      </c>
      <c r="B10558" s="985" t="s">
        <v>347</v>
      </c>
      <c r="C10558" s="94" t="s">
        <v>1035</v>
      </c>
      <c r="D10558" s="94">
        <v>10.0</v>
      </c>
      <c r="E10558" s="94">
        <v>1202.8952</v>
      </c>
      <c r="F10558" s="1003">
        <v>0.4174189814814815</v>
      </c>
      <c r="G10558" s="1004" t="s">
        <v>453</v>
      </c>
      <c r="H10558" s="987">
        <v>1.16</v>
      </c>
      <c r="I10558" s="988" t="s">
        <v>3145</v>
      </c>
      <c r="J10558" s="67">
        <f t="shared" si="590"/>
        <v>12027.792</v>
      </c>
      <c r="K10558" s="1"/>
      <c r="L10558" s="70"/>
      <c r="M10558" s="79"/>
      <c r="N10558" s="1"/>
      <c r="O10558" s="1"/>
      <c r="P10558" s="1"/>
      <c r="Q10558" s="1"/>
      <c r="R10558" s="1"/>
      <c r="S10558" s="1"/>
      <c r="T10558" s="1"/>
      <c r="U10558" s="1"/>
      <c r="V10558" s="1"/>
      <c r="W10558" s="1"/>
      <c r="X10558" s="1"/>
      <c r="Y10558" s="1"/>
      <c r="Z10558" s="1"/>
      <c r="AA10558" s="1"/>
      <c r="AB10558" s="1"/>
      <c r="AC10558" s="1"/>
      <c r="AD10558" s="1"/>
      <c r="AE10558" s="1"/>
      <c r="AF10558" s="1"/>
      <c r="AG10558" s="1"/>
      <c r="AH10558" s="1"/>
    </row>
    <row r="10559" ht="12.75" hidden="1" customHeight="1" outlineLevel="1">
      <c r="A10559" s="1002">
        <v>43377.0</v>
      </c>
      <c r="B10559" s="992"/>
      <c r="C10559" s="32" t="s">
        <v>339</v>
      </c>
      <c r="D10559" s="1"/>
      <c r="F10559" s="1"/>
      <c r="G10559" s="1"/>
      <c r="H10559" s="68"/>
      <c r="I10559" s="76"/>
      <c r="K10559" s="201" t="s">
        <v>3677</v>
      </c>
      <c r="L10559" s="77"/>
      <c r="M10559" s="79"/>
      <c r="N10559" s="1"/>
      <c r="O10559" s="1"/>
      <c r="P10559" s="1"/>
      <c r="Q10559" s="1"/>
      <c r="R10559" s="1"/>
      <c r="S10559" s="1"/>
      <c r="T10559" s="1"/>
      <c r="U10559" s="1"/>
      <c r="V10559" s="1"/>
      <c r="W10559" s="1"/>
      <c r="X10559" s="1"/>
      <c r="Y10559" s="1"/>
      <c r="Z10559" s="1"/>
      <c r="AA10559" s="1"/>
      <c r="AB10559" s="1"/>
      <c r="AC10559" s="1"/>
      <c r="AD10559" s="1"/>
      <c r="AE10559" s="1"/>
      <c r="AF10559" s="1"/>
      <c r="AG10559" s="1"/>
      <c r="AH10559" s="1"/>
    </row>
    <row r="10560" ht="12.75" hidden="1" customHeight="1" outlineLevel="1">
      <c r="A10560" s="1002">
        <v>43377.0</v>
      </c>
      <c r="B10560" s="992"/>
      <c r="C10560" s="32" t="s">
        <v>429</v>
      </c>
      <c r="D10560" s="1"/>
      <c r="F10560" s="1"/>
      <c r="G10560" s="1"/>
      <c r="H10560" s="68"/>
      <c r="I10560" s="76"/>
      <c r="K10560" s="9" t="s">
        <v>3662</v>
      </c>
      <c r="L10560" s="77"/>
      <c r="M10560" s="79"/>
      <c r="N10560" s="1"/>
      <c r="O10560" s="1"/>
      <c r="P10560" s="1"/>
      <c r="Q10560" s="1"/>
      <c r="R10560" s="1"/>
      <c r="S10560" s="1"/>
      <c r="T10560" s="1"/>
      <c r="U10560" s="1"/>
      <c r="V10560" s="1"/>
      <c r="W10560" s="1"/>
      <c r="X10560" s="1"/>
      <c r="Y10560" s="1"/>
      <c r="Z10560" s="1"/>
      <c r="AA10560" s="1"/>
      <c r="AB10560" s="1"/>
      <c r="AC10560" s="1"/>
      <c r="AD10560" s="1"/>
      <c r="AE10560" s="1"/>
      <c r="AF10560" s="1"/>
      <c r="AG10560" s="1"/>
      <c r="AH10560" s="1"/>
    </row>
    <row r="10561" ht="12.75" hidden="1" customHeight="1" outlineLevel="1">
      <c r="A10561" s="1002">
        <v>43377.0</v>
      </c>
      <c r="B10561" s="992"/>
      <c r="C10561" s="32" t="s">
        <v>431</v>
      </c>
      <c r="D10561" s="1"/>
      <c r="F10561" s="1"/>
      <c r="G10561" s="1"/>
      <c r="H10561" s="68"/>
      <c r="I10561" s="76"/>
      <c r="K10561" s="9" t="s">
        <v>3663</v>
      </c>
      <c r="L10561" s="77"/>
      <c r="M10561" s="79"/>
      <c r="N10561" s="1"/>
      <c r="O10561" s="1"/>
      <c r="P10561" s="1"/>
      <c r="Q10561" s="1"/>
      <c r="R10561" s="1"/>
      <c r="S10561" s="1"/>
      <c r="T10561" s="1"/>
      <c r="U10561" s="1"/>
      <c r="V10561" s="1"/>
      <c r="W10561" s="1"/>
      <c r="X10561" s="1"/>
      <c r="Y10561" s="1"/>
      <c r="Z10561" s="1"/>
      <c r="AA10561" s="1"/>
      <c r="AB10561" s="1"/>
      <c r="AC10561" s="1"/>
      <c r="AD10561" s="1"/>
      <c r="AE10561" s="1"/>
      <c r="AF10561" s="1"/>
      <c r="AG10561" s="1"/>
      <c r="AH10561" s="1"/>
    </row>
    <row r="10562" ht="12.75" hidden="1" customHeight="1" outlineLevel="1">
      <c r="A10562" s="1002">
        <v>43377.0</v>
      </c>
      <c r="B10562" s="992"/>
      <c r="C10562" s="32" t="s">
        <v>433</v>
      </c>
      <c r="D10562" s="1"/>
      <c r="F10562" s="1"/>
      <c r="G10562" s="1"/>
      <c r="H10562" s="68"/>
      <c r="I10562" s="76"/>
      <c r="K10562" s="9" t="s">
        <v>3663</v>
      </c>
      <c r="L10562" s="77"/>
      <c r="M10562" s="79"/>
      <c r="N10562" s="1"/>
      <c r="O10562" s="1"/>
      <c r="P10562" s="1"/>
      <c r="Q10562" s="1"/>
      <c r="R10562" s="1"/>
      <c r="S10562" s="1"/>
      <c r="T10562" s="1"/>
      <c r="U10562" s="1"/>
      <c r="V10562" s="1"/>
      <c r="W10562" s="1"/>
      <c r="X10562" s="1"/>
      <c r="Y10562" s="1"/>
      <c r="Z10562" s="1"/>
      <c r="AA10562" s="1"/>
      <c r="AB10562" s="1"/>
      <c r="AC10562" s="1"/>
      <c r="AD10562" s="1"/>
      <c r="AE10562" s="1"/>
      <c r="AF10562" s="1"/>
      <c r="AG10562" s="1"/>
      <c r="AH10562" s="1"/>
    </row>
    <row r="10563" ht="12.75" hidden="1" customHeight="1" outlineLevel="1">
      <c r="A10563" s="1002">
        <v>43377.0</v>
      </c>
      <c r="B10563" s="992"/>
      <c r="C10563" s="32" t="s">
        <v>435</v>
      </c>
      <c r="D10563" s="1"/>
      <c r="F10563" s="1"/>
      <c r="G10563" s="1"/>
      <c r="H10563" s="68"/>
      <c r="I10563" s="76"/>
      <c r="K10563" s="9" t="s">
        <v>3671</v>
      </c>
      <c r="L10563" s="77"/>
      <c r="M10563" s="79"/>
      <c r="N10563" s="1"/>
      <c r="O10563" s="1"/>
      <c r="P10563" s="1"/>
      <c r="Q10563" s="1"/>
      <c r="R10563" s="1"/>
      <c r="S10563" s="1"/>
      <c r="T10563" s="1"/>
      <c r="U10563" s="1"/>
      <c r="V10563" s="1"/>
      <c r="W10563" s="1"/>
      <c r="X10563" s="1"/>
      <c r="Y10563" s="1"/>
      <c r="Z10563" s="1"/>
      <c r="AA10563" s="1"/>
      <c r="AB10563" s="1"/>
      <c r="AC10563" s="1"/>
      <c r="AD10563" s="1"/>
      <c r="AE10563" s="1"/>
      <c r="AF10563" s="1"/>
      <c r="AG10563" s="1"/>
      <c r="AH10563" s="1"/>
    </row>
    <row r="10564" ht="12.75" hidden="1" customHeight="1" outlineLevel="1">
      <c r="A10564" s="202">
        <v>43377.0</v>
      </c>
      <c r="B10564" s="985" t="s">
        <v>347</v>
      </c>
      <c r="C10564" s="94" t="s">
        <v>1079</v>
      </c>
      <c r="D10564" s="94">
        <v>50.0</v>
      </c>
      <c r="E10564" s="94">
        <v>86.268</v>
      </c>
      <c r="F10564" s="1003">
        <v>0.5695138888888889</v>
      </c>
      <c r="G10564" s="1004" t="s">
        <v>453</v>
      </c>
      <c r="H10564" s="987">
        <v>1.06</v>
      </c>
      <c r="I10564" s="988" t="s">
        <v>3145</v>
      </c>
      <c r="J10564" s="67">
        <f t="shared" ref="J10564:J10565" si="591">IF(B10564="SLD",D10564*E10564,-D10564*E10564)-H10564</f>
        <v>4312.34</v>
      </c>
      <c r="K10564" s="1"/>
      <c r="L10564" s="70"/>
      <c r="M10564" s="79"/>
      <c r="N10564" s="1"/>
      <c r="O10564" s="1"/>
      <c r="P10564" s="1"/>
      <c r="Q10564" s="1"/>
      <c r="R10564" s="1"/>
      <c r="S10564" s="1"/>
      <c r="T10564" s="1"/>
      <c r="U10564" s="1"/>
      <c r="V10564" s="1"/>
      <c r="W10564" s="1"/>
      <c r="X10564" s="1"/>
      <c r="Y10564" s="1"/>
      <c r="Z10564" s="1"/>
      <c r="AA10564" s="1"/>
      <c r="AB10564" s="1"/>
      <c r="AC10564" s="1"/>
      <c r="AD10564" s="1"/>
      <c r="AE10564" s="1"/>
      <c r="AF10564" s="1"/>
      <c r="AG10564" s="1"/>
      <c r="AH10564" s="1"/>
    </row>
    <row r="10565" ht="12.75" hidden="1" customHeight="1" outlineLevel="1">
      <c r="A10565" s="202">
        <v>43377.0</v>
      </c>
      <c r="B10565" s="985" t="s">
        <v>347</v>
      </c>
      <c r="C10565" s="94" t="s">
        <v>1114</v>
      </c>
      <c r="D10565" s="286">
        <v>1100.0</v>
      </c>
      <c r="E10565" s="94">
        <v>38.754</v>
      </c>
      <c r="F10565" s="1003">
        <v>0.4590046296296296</v>
      </c>
      <c r="G10565" s="1004" t="s">
        <v>453</v>
      </c>
      <c r="H10565" s="987">
        <v>6.19</v>
      </c>
      <c r="I10565" s="988" t="s">
        <v>3145</v>
      </c>
      <c r="J10565" s="67">
        <f t="shared" si="591"/>
        <v>42623.21</v>
      </c>
      <c r="K10565" s="1"/>
      <c r="L10565" s="70"/>
      <c r="M10565" s="79"/>
      <c r="N10565" s="1"/>
      <c r="O10565" s="1"/>
      <c r="P10565" s="1"/>
      <c r="Q10565" s="1"/>
      <c r="R10565" s="1"/>
      <c r="S10565" s="1"/>
      <c r="T10565" s="1"/>
      <c r="U10565" s="1"/>
      <c r="V10565" s="1"/>
      <c r="W10565" s="1"/>
      <c r="X10565" s="1"/>
      <c r="Y10565" s="1"/>
      <c r="Z10565" s="1"/>
      <c r="AA10565" s="1"/>
      <c r="AB10565" s="1"/>
      <c r="AC10565" s="1"/>
      <c r="AD10565" s="1"/>
      <c r="AE10565" s="1"/>
      <c r="AF10565" s="1"/>
      <c r="AG10565" s="1"/>
      <c r="AH10565" s="1"/>
    </row>
    <row r="10566" ht="12.75" hidden="1" customHeight="1" outlineLevel="1">
      <c r="A10566" s="1002">
        <v>43380.0</v>
      </c>
      <c r="B10566" s="992"/>
      <c r="C10566" s="32" t="s">
        <v>339</v>
      </c>
      <c r="D10566" s="1"/>
      <c r="F10566" s="1"/>
      <c r="G10566" s="1"/>
      <c r="H10566" s="68"/>
      <c r="I10566" s="76"/>
      <c r="K10566" s="201" t="s">
        <v>3678</v>
      </c>
      <c r="L10566" s="77"/>
      <c r="M10566" s="79"/>
      <c r="N10566" s="1"/>
      <c r="O10566" s="1"/>
      <c r="P10566" s="1"/>
      <c r="Q10566" s="1"/>
      <c r="R10566" s="1"/>
      <c r="S10566" s="1"/>
      <c r="T10566" s="1"/>
      <c r="U10566" s="1"/>
      <c r="V10566" s="1"/>
      <c r="W10566" s="1"/>
      <c r="X10566" s="1"/>
      <c r="Y10566" s="1"/>
      <c r="Z10566" s="1"/>
      <c r="AA10566" s="1"/>
      <c r="AB10566" s="1"/>
      <c r="AC10566" s="1"/>
      <c r="AD10566" s="1"/>
      <c r="AE10566" s="1"/>
      <c r="AF10566" s="1"/>
      <c r="AG10566" s="1"/>
      <c r="AH10566" s="1"/>
    </row>
    <row r="10567" ht="12.75" hidden="1" customHeight="1" outlineLevel="1">
      <c r="A10567" s="1002">
        <v>43380.0</v>
      </c>
      <c r="B10567" s="992"/>
      <c r="C10567" s="32" t="s">
        <v>429</v>
      </c>
      <c r="D10567" s="1"/>
      <c r="F10567" s="1"/>
      <c r="G10567" s="1"/>
      <c r="H10567" s="68"/>
      <c r="I10567" s="76"/>
      <c r="K10567" s="9" t="s">
        <v>3662</v>
      </c>
      <c r="L10567" s="77"/>
      <c r="M10567" s="79"/>
      <c r="N10567" s="1"/>
      <c r="O10567" s="1"/>
      <c r="P10567" s="1"/>
      <c r="Q10567" s="1"/>
      <c r="R10567" s="1"/>
      <c r="S10567" s="1"/>
      <c r="T10567" s="1"/>
      <c r="U10567" s="1"/>
      <c r="V10567" s="1"/>
      <c r="W10567" s="1"/>
      <c r="X10567" s="1"/>
      <c r="Y10567" s="1"/>
      <c r="Z10567" s="1"/>
      <c r="AA10567" s="1"/>
      <c r="AB10567" s="1"/>
      <c r="AC10567" s="1"/>
      <c r="AD10567" s="1"/>
      <c r="AE10567" s="1"/>
      <c r="AF10567" s="1"/>
      <c r="AG10567" s="1"/>
      <c r="AH10567" s="1"/>
    </row>
    <row r="10568" ht="12.75" hidden="1" customHeight="1" outlineLevel="1">
      <c r="A10568" s="1002">
        <v>43380.0</v>
      </c>
      <c r="B10568" s="992"/>
      <c r="C10568" s="32" t="s">
        <v>431</v>
      </c>
      <c r="D10568" s="1"/>
      <c r="F10568" s="1"/>
      <c r="G10568" s="1"/>
      <c r="H10568" s="68"/>
      <c r="I10568" s="76"/>
      <c r="K10568" s="9" t="s">
        <v>3663</v>
      </c>
      <c r="L10568" s="77"/>
      <c r="M10568" s="79"/>
      <c r="N10568" s="1"/>
      <c r="O10568" s="1"/>
      <c r="P10568" s="1"/>
      <c r="Q10568" s="1"/>
      <c r="R10568" s="1"/>
      <c r="S10568" s="1"/>
      <c r="T10568" s="1"/>
      <c r="U10568" s="1"/>
      <c r="V10568" s="1"/>
      <c r="W10568" s="1"/>
      <c r="X10568" s="1"/>
      <c r="Y10568" s="1"/>
      <c r="Z10568" s="1"/>
      <c r="AA10568" s="1"/>
      <c r="AB10568" s="1"/>
      <c r="AC10568" s="1"/>
      <c r="AD10568" s="1"/>
      <c r="AE10568" s="1"/>
      <c r="AF10568" s="1"/>
      <c r="AG10568" s="1"/>
      <c r="AH10568" s="1"/>
    </row>
    <row r="10569" ht="12.75" hidden="1" customHeight="1" outlineLevel="1">
      <c r="A10569" s="1002">
        <v>43380.0</v>
      </c>
      <c r="B10569" s="992"/>
      <c r="C10569" s="32" t="s">
        <v>433</v>
      </c>
      <c r="D10569" s="1"/>
      <c r="F10569" s="1"/>
      <c r="G10569" s="1"/>
      <c r="H10569" s="68"/>
      <c r="I10569" s="76"/>
      <c r="K10569" s="9" t="s">
        <v>3663</v>
      </c>
      <c r="L10569" s="77"/>
      <c r="M10569" s="79"/>
      <c r="N10569" s="1"/>
      <c r="O10569" s="1"/>
      <c r="P10569" s="1"/>
      <c r="Q10569" s="1"/>
      <c r="R10569" s="1"/>
      <c r="S10569" s="1"/>
      <c r="T10569" s="1"/>
      <c r="U10569" s="1"/>
      <c r="V10569" s="1"/>
      <c r="W10569" s="1"/>
      <c r="X10569" s="1"/>
      <c r="Y10569" s="1"/>
      <c r="Z10569" s="1"/>
      <c r="AA10569" s="1"/>
      <c r="AB10569" s="1"/>
      <c r="AC10569" s="1"/>
      <c r="AD10569" s="1"/>
      <c r="AE10569" s="1"/>
      <c r="AF10569" s="1"/>
      <c r="AG10569" s="1"/>
      <c r="AH10569" s="1"/>
    </row>
    <row r="10570" ht="12.75" hidden="1" customHeight="1" outlineLevel="1">
      <c r="A10570" s="1002">
        <v>43380.0</v>
      </c>
      <c r="B10570" s="992"/>
      <c r="C10570" s="32" t="s">
        <v>435</v>
      </c>
      <c r="D10570" s="1"/>
      <c r="F10570" s="1"/>
      <c r="G10570" s="1"/>
      <c r="H10570" s="68"/>
      <c r="I10570" s="76"/>
      <c r="K10570" s="9" t="s">
        <v>3671</v>
      </c>
      <c r="L10570" s="77"/>
      <c r="M10570" s="79"/>
      <c r="N10570" s="1"/>
      <c r="O10570" s="1"/>
      <c r="P10570" s="1"/>
      <c r="Q10570" s="1"/>
      <c r="R10570" s="1"/>
      <c r="S10570" s="1"/>
      <c r="T10570" s="1"/>
      <c r="U10570" s="1"/>
      <c r="V10570" s="1"/>
      <c r="W10570" s="1"/>
      <c r="X10570" s="1"/>
      <c r="Y10570" s="1"/>
      <c r="Z10570" s="1"/>
      <c r="AA10570" s="1"/>
      <c r="AB10570" s="1"/>
      <c r="AC10570" s="1"/>
      <c r="AD10570" s="1"/>
      <c r="AE10570" s="1"/>
      <c r="AF10570" s="1"/>
      <c r="AG10570" s="1"/>
      <c r="AH10570" s="1"/>
    </row>
    <row r="10571" ht="12.75" hidden="1" customHeight="1" outlineLevel="1">
      <c r="A10571" s="1002">
        <v>43382.0</v>
      </c>
      <c r="B10571" s="992"/>
      <c r="C10571" s="32" t="s">
        <v>339</v>
      </c>
      <c r="D10571" s="1"/>
      <c r="F10571" s="1"/>
      <c r="G10571" s="1"/>
      <c r="H10571" s="68"/>
      <c r="I10571" s="76"/>
      <c r="K10571" s="201" t="s">
        <v>3679</v>
      </c>
      <c r="L10571" s="77"/>
      <c r="M10571" s="79"/>
      <c r="N10571" s="1"/>
      <c r="O10571" s="1"/>
      <c r="P10571" s="1"/>
      <c r="Q10571" s="1"/>
      <c r="R10571" s="1"/>
      <c r="S10571" s="1"/>
      <c r="T10571" s="1"/>
      <c r="U10571" s="1"/>
      <c r="V10571" s="1"/>
      <c r="W10571" s="1"/>
      <c r="X10571" s="1"/>
      <c r="Y10571" s="1"/>
      <c r="Z10571" s="1"/>
      <c r="AA10571" s="1"/>
      <c r="AB10571" s="1"/>
      <c r="AC10571" s="1"/>
      <c r="AD10571" s="1"/>
      <c r="AE10571" s="1"/>
      <c r="AF10571" s="1"/>
      <c r="AG10571" s="1"/>
      <c r="AH10571" s="1"/>
    </row>
    <row r="10572" ht="12.75" hidden="1" customHeight="1" outlineLevel="1">
      <c r="A10572" s="1002">
        <v>43382.0</v>
      </c>
      <c r="B10572" s="992"/>
      <c r="C10572" s="32" t="s">
        <v>429</v>
      </c>
      <c r="D10572" s="1"/>
      <c r="F10572" s="1"/>
      <c r="G10572" s="1"/>
      <c r="H10572" s="68"/>
      <c r="I10572" s="76"/>
      <c r="K10572" s="9" t="s">
        <v>3662</v>
      </c>
      <c r="L10572" s="77"/>
      <c r="M10572" s="79"/>
      <c r="N10572" s="1"/>
      <c r="O10572" s="1"/>
      <c r="P10572" s="1"/>
      <c r="Q10572" s="1"/>
      <c r="R10572" s="1"/>
      <c r="S10572" s="1"/>
      <c r="T10572" s="1"/>
      <c r="U10572" s="1"/>
      <c r="V10572" s="1"/>
      <c r="W10572" s="1"/>
      <c r="X10572" s="1"/>
      <c r="Y10572" s="1"/>
      <c r="Z10572" s="1"/>
      <c r="AA10572" s="1"/>
      <c r="AB10572" s="1"/>
      <c r="AC10572" s="1"/>
      <c r="AD10572" s="1"/>
      <c r="AE10572" s="1"/>
      <c r="AF10572" s="1"/>
      <c r="AG10572" s="1"/>
      <c r="AH10572" s="1"/>
    </row>
    <row r="10573" ht="12.75" hidden="1" customHeight="1" outlineLevel="1">
      <c r="A10573" s="1002">
        <v>43382.0</v>
      </c>
      <c r="B10573" s="992"/>
      <c r="C10573" s="32" t="s">
        <v>431</v>
      </c>
      <c r="D10573" s="1"/>
      <c r="F10573" s="1"/>
      <c r="G10573" s="1"/>
      <c r="H10573" s="68"/>
      <c r="I10573" s="76"/>
      <c r="K10573" s="9" t="s">
        <v>3663</v>
      </c>
      <c r="L10573" s="77"/>
      <c r="M10573" s="79"/>
      <c r="N10573" s="1"/>
      <c r="O10573" s="1"/>
      <c r="P10573" s="1"/>
      <c r="Q10573" s="1"/>
      <c r="R10573" s="1"/>
      <c r="S10573" s="1"/>
      <c r="T10573" s="1"/>
      <c r="U10573" s="1"/>
      <c r="V10573" s="1"/>
      <c r="W10573" s="1"/>
      <c r="X10573" s="1"/>
      <c r="Y10573" s="1"/>
      <c r="Z10573" s="1"/>
      <c r="AA10573" s="1"/>
      <c r="AB10573" s="1"/>
      <c r="AC10573" s="1"/>
      <c r="AD10573" s="1"/>
      <c r="AE10573" s="1"/>
      <c r="AF10573" s="1"/>
      <c r="AG10573" s="1"/>
      <c r="AH10573" s="1"/>
    </row>
    <row r="10574" ht="12.75" hidden="1" customHeight="1" outlineLevel="1">
      <c r="A10574" s="1002">
        <v>43382.0</v>
      </c>
      <c r="B10574" s="992"/>
      <c r="C10574" s="32" t="s">
        <v>433</v>
      </c>
      <c r="D10574" s="1"/>
      <c r="F10574" s="1"/>
      <c r="G10574" s="1"/>
      <c r="H10574" s="68"/>
      <c r="I10574" s="76"/>
      <c r="K10574" s="9" t="s">
        <v>3663</v>
      </c>
      <c r="L10574" s="77"/>
      <c r="M10574" s="79"/>
      <c r="N10574" s="1"/>
      <c r="O10574" s="1"/>
      <c r="P10574" s="1"/>
      <c r="Q10574" s="1"/>
      <c r="R10574" s="1"/>
      <c r="S10574" s="1"/>
      <c r="T10574" s="1"/>
      <c r="U10574" s="1"/>
      <c r="V10574" s="1"/>
      <c r="W10574" s="1"/>
      <c r="X10574" s="1"/>
      <c r="Y10574" s="1"/>
      <c r="Z10574" s="1"/>
      <c r="AA10574" s="1"/>
      <c r="AB10574" s="1"/>
      <c r="AC10574" s="1"/>
      <c r="AD10574" s="1"/>
      <c r="AE10574" s="1"/>
      <c r="AF10574" s="1"/>
      <c r="AG10574" s="1"/>
      <c r="AH10574" s="1"/>
    </row>
    <row r="10575" ht="12.75" hidden="1" customHeight="1" outlineLevel="1">
      <c r="A10575" s="1002">
        <v>43382.0</v>
      </c>
      <c r="B10575" s="992"/>
      <c r="C10575" s="32" t="s">
        <v>435</v>
      </c>
      <c r="D10575" s="1"/>
      <c r="F10575" s="1"/>
      <c r="G10575" s="1"/>
      <c r="H10575" s="68"/>
      <c r="I10575" s="76"/>
      <c r="K10575" s="9" t="s">
        <v>3671</v>
      </c>
      <c r="L10575" s="77"/>
      <c r="M10575" s="79"/>
      <c r="N10575" s="1"/>
      <c r="O10575" s="1"/>
      <c r="P10575" s="1"/>
      <c r="Q10575" s="1"/>
      <c r="R10575" s="1"/>
      <c r="S10575" s="1"/>
      <c r="T10575" s="1"/>
      <c r="U10575" s="1"/>
      <c r="V10575" s="1"/>
      <c r="W10575" s="1"/>
      <c r="X10575" s="1"/>
      <c r="Y10575" s="1"/>
      <c r="Z10575" s="1"/>
      <c r="AA10575" s="1"/>
      <c r="AB10575" s="1"/>
      <c r="AC10575" s="1"/>
      <c r="AD10575" s="1"/>
      <c r="AE10575" s="1"/>
      <c r="AF10575" s="1"/>
      <c r="AG10575" s="1"/>
      <c r="AH10575" s="1"/>
    </row>
    <row r="10576" ht="12.75" hidden="1" customHeight="1" outlineLevel="1">
      <c r="A10576" s="202">
        <v>43383.0</v>
      </c>
      <c r="B10576" s="985" t="s">
        <v>347</v>
      </c>
      <c r="C10576" s="94" t="s">
        <v>1162</v>
      </c>
      <c r="D10576" s="94">
        <v>50.0</v>
      </c>
      <c r="E10576" s="94">
        <v>171.97</v>
      </c>
      <c r="F10576" s="1003">
        <v>0.6241898148148148</v>
      </c>
      <c r="G10576" s="1004" t="s">
        <v>453</v>
      </c>
      <c r="H10576" s="987">
        <v>1.12</v>
      </c>
      <c r="I10576" s="988" t="s">
        <v>3145</v>
      </c>
      <c r="J10576" s="67">
        <f>IF(B10576="SLD",D10576*E10576,-D10576*E10576)-H10576</f>
        <v>8597.38</v>
      </c>
      <c r="K10576" s="1"/>
      <c r="L10576" s="70"/>
      <c r="M10576" s="79"/>
      <c r="N10576" s="1"/>
      <c r="O10576" s="1"/>
      <c r="P10576" s="1"/>
      <c r="Q10576" s="1"/>
      <c r="R10576" s="1"/>
      <c r="S10576" s="1"/>
      <c r="T10576" s="1"/>
      <c r="U10576" s="1"/>
      <c r="V10576" s="1"/>
      <c r="W10576" s="1"/>
      <c r="X10576" s="1"/>
      <c r="Y10576" s="1"/>
      <c r="Z10576" s="1"/>
      <c r="AA10576" s="1"/>
      <c r="AB10576" s="1"/>
      <c r="AC10576" s="1"/>
      <c r="AD10576" s="1"/>
      <c r="AE10576" s="1"/>
      <c r="AF10576" s="1"/>
      <c r="AG10576" s="1"/>
      <c r="AH10576" s="1"/>
    </row>
    <row r="10577" ht="12.75" hidden="1" customHeight="1" outlineLevel="1">
      <c r="A10577" s="1002">
        <v>43383.0</v>
      </c>
      <c r="B10577" s="992"/>
      <c r="C10577" s="32" t="s">
        <v>339</v>
      </c>
      <c r="D10577" s="1"/>
      <c r="F10577" s="1"/>
      <c r="G10577" s="1"/>
      <c r="H10577" s="68"/>
      <c r="I10577" s="76"/>
      <c r="K10577" s="201" t="s">
        <v>3680</v>
      </c>
      <c r="L10577" s="77"/>
      <c r="M10577" s="79"/>
      <c r="N10577" s="1"/>
      <c r="O10577" s="1"/>
      <c r="P10577" s="1"/>
      <c r="Q10577" s="1"/>
      <c r="R10577" s="1"/>
      <c r="S10577" s="1"/>
      <c r="T10577" s="1"/>
      <c r="U10577" s="1"/>
      <c r="V10577" s="1"/>
      <c r="W10577" s="1"/>
      <c r="X10577" s="1"/>
      <c r="Y10577" s="1"/>
      <c r="Z10577" s="1"/>
      <c r="AA10577" s="1"/>
      <c r="AB10577" s="1"/>
      <c r="AC10577" s="1"/>
      <c r="AD10577" s="1"/>
      <c r="AE10577" s="1"/>
      <c r="AF10577" s="1"/>
      <c r="AG10577" s="1"/>
      <c r="AH10577" s="1"/>
    </row>
    <row r="10578" ht="12.75" hidden="1" customHeight="1" outlineLevel="1">
      <c r="A10578" s="202">
        <v>43383.0</v>
      </c>
      <c r="B10578" s="992"/>
      <c r="C10578" s="32" t="s">
        <v>429</v>
      </c>
      <c r="D10578" s="1"/>
      <c r="F10578" s="1"/>
      <c r="G10578" s="1"/>
      <c r="H10578" s="68"/>
      <c r="I10578" s="76"/>
      <c r="K10578" s="9" t="s">
        <v>3662</v>
      </c>
      <c r="L10578" s="77"/>
      <c r="M10578" s="79"/>
      <c r="N10578" s="1"/>
      <c r="O10578" s="1"/>
      <c r="P10578" s="1"/>
      <c r="Q10578" s="1"/>
      <c r="R10578" s="1"/>
      <c r="S10578" s="1"/>
      <c r="T10578" s="1"/>
      <c r="U10578" s="1"/>
      <c r="V10578" s="1"/>
      <c r="W10578" s="1"/>
      <c r="X10578" s="1"/>
      <c r="Y10578" s="1"/>
      <c r="Z10578" s="1"/>
      <c r="AA10578" s="1"/>
      <c r="AB10578" s="1"/>
      <c r="AC10578" s="1"/>
      <c r="AD10578" s="1"/>
      <c r="AE10578" s="1"/>
      <c r="AF10578" s="1"/>
      <c r="AG10578" s="1"/>
      <c r="AH10578" s="1"/>
    </row>
    <row r="10579" ht="12.75" hidden="1" customHeight="1" outlineLevel="1">
      <c r="A10579" s="202">
        <v>43383.0</v>
      </c>
      <c r="B10579" s="992"/>
      <c r="C10579" s="32" t="s">
        <v>431</v>
      </c>
      <c r="D10579" s="1"/>
      <c r="F10579" s="1"/>
      <c r="G10579" s="1"/>
      <c r="H10579" s="68"/>
      <c r="I10579" s="76"/>
      <c r="K10579" s="9" t="s">
        <v>3663</v>
      </c>
      <c r="L10579" s="77"/>
      <c r="M10579" s="79"/>
      <c r="N10579" s="1"/>
      <c r="O10579" s="1"/>
      <c r="P10579" s="1"/>
      <c r="Q10579" s="1"/>
      <c r="R10579" s="1"/>
      <c r="S10579" s="1"/>
      <c r="T10579" s="1"/>
      <c r="U10579" s="1"/>
      <c r="V10579" s="1"/>
      <c r="W10579" s="1"/>
      <c r="X10579" s="1"/>
      <c r="Y10579" s="1"/>
      <c r="Z10579" s="1"/>
      <c r="AA10579" s="1"/>
      <c r="AB10579" s="1"/>
      <c r="AC10579" s="1"/>
      <c r="AD10579" s="1"/>
      <c r="AE10579" s="1"/>
      <c r="AF10579" s="1"/>
      <c r="AG10579" s="1"/>
      <c r="AH10579" s="1"/>
    </row>
    <row r="10580" ht="12.75" hidden="1" customHeight="1" outlineLevel="1">
      <c r="A10580" s="202">
        <v>43383.0</v>
      </c>
      <c r="B10580" s="992"/>
      <c r="C10580" s="32" t="s">
        <v>433</v>
      </c>
      <c r="D10580" s="1"/>
      <c r="F10580" s="1"/>
      <c r="G10580" s="1"/>
      <c r="H10580" s="68"/>
      <c r="I10580" s="76"/>
      <c r="K10580" s="9" t="s">
        <v>3663</v>
      </c>
      <c r="L10580" s="77"/>
      <c r="M10580" s="79"/>
      <c r="N10580" s="1"/>
      <c r="O10580" s="1"/>
      <c r="P10580" s="1"/>
      <c r="Q10580" s="1"/>
      <c r="R10580" s="1"/>
      <c r="S10580" s="1"/>
      <c r="T10580" s="1"/>
      <c r="U10580" s="1"/>
      <c r="V10580" s="1"/>
      <c r="W10580" s="1"/>
      <c r="X10580" s="1"/>
      <c r="Y10580" s="1"/>
      <c r="Z10580" s="1"/>
      <c r="AA10580" s="1"/>
      <c r="AB10580" s="1"/>
      <c r="AC10580" s="1"/>
      <c r="AD10580" s="1"/>
      <c r="AE10580" s="1"/>
      <c r="AF10580" s="1"/>
      <c r="AG10580" s="1"/>
      <c r="AH10580" s="1"/>
    </row>
    <row r="10581" ht="12.75" hidden="1" customHeight="1" outlineLevel="1">
      <c r="A10581" s="202">
        <v>43383.0</v>
      </c>
      <c r="B10581" s="992"/>
      <c r="C10581" s="32" t="s">
        <v>435</v>
      </c>
      <c r="D10581" s="1"/>
      <c r="F10581" s="1"/>
      <c r="G10581" s="1"/>
      <c r="H10581" s="68"/>
      <c r="I10581" s="76"/>
      <c r="K10581" s="9" t="s">
        <v>3671</v>
      </c>
      <c r="L10581" s="77"/>
      <c r="M10581" s="79"/>
      <c r="N10581" s="1"/>
      <c r="O10581" s="1"/>
      <c r="P10581" s="1"/>
      <c r="Q10581" s="1"/>
      <c r="R10581" s="1"/>
      <c r="S10581" s="1"/>
      <c r="T10581" s="1"/>
      <c r="U10581" s="1"/>
      <c r="V10581" s="1"/>
      <c r="W10581" s="1"/>
      <c r="X10581" s="1"/>
      <c r="Y10581" s="1"/>
      <c r="Z10581" s="1"/>
      <c r="AA10581" s="1"/>
      <c r="AB10581" s="1"/>
      <c r="AC10581" s="1"/>
      <c r="AD10581" s="1"/>
      <c r="AE10581" s="1"/>
      <c r="AF10581" s="1"/>
      <c r="AG10581" s="1"/>
      <c r="AH10581" s="1"/>
    </row>
    <row r="10582" ht="12.75" hidden="1" customHeight="1" outlineLevel="1">
      <c r="A10582" s="202">
        <v>43384.0</v>
      </c>
      <c r="B10582" s="985" t="s">
        <v>343</v>
      </c>
      <c r="C10582" s="94" t="s">
        <v>1040</v>
      </c>
      <c r="D10582" s="94">
        <v>120.0</v>
      </c>
      <c r="E10582" s="94">
        <v>107.2269</v>
      </c>
      <c r="F10582" s="1003">
        <v>0.5690393518518518</v>
      </c>
      <c r="G10582" s="1004" t="s">
        <v>453</v>
      </c>
      <c r="H10582" s="987">
        <v>1.0</v>
      </c>
      <c r="I10582" s="988" t="s">
        <v>3145</v>
      </c>
      <c r="J10582" s="67">
        <f t="shared" ref="J10582:J10595" si="592">IF(B10582="SLD",D10582*E10582,-D10582*E10582)-H10582</f>
        <v>-12868.228</v>
      </c>
      <c r="K10582" s="1"/>
      <c r="L10582" s="70"/>
      <c r="M10582" s="79"/>
      <c r="N10582" s="1"/>
      <c r="O10582" s="1"/>
      <c r="P10582" s="1"/>
      <c r="Q10582" s="1"/>
      <c r="R10582" s="1"/>
      <c r="S10582" s="1"/>
      <c r="T10582" s="1"/>
      <c r="U10582" s="1"/>
      <c r="V10582" s="1"/>
      <c r="W10582" s="1"/>
      <c r="X10582" s="1"/>
      <c r="Y10582" s="1"/>
      <c r="Z10582" s="1"/>
      <c r="AA10582" s="1"/>
      <c r="AB10582" s="1"/>
      <c r="AC10582" s="1"/>
      <c r="AD10582" s="1"/>
      <c r="AE10582" s="1"/>
      <c r="AF10582" s="1"/>
      <c r="AG10582" s="1"/>
      <c r="AH10582" s="1"/>
    </row>
    <row r="10583" ht="12.75" hidden="1" customHeight="1" outlineLevel="1">
      <c r="A10583" s="202">
        <v>43384.0</v>
      </c>
      <c r="B10583" s="985" t="s">
        <v>343</v>
      </c>
      <c r="C10583" s="94" t="s">
        <v>381</v>
      </c>
      <c r="D10583" s="94">
        <v>75.0</v>
      </c>
      <c r="E10583" s="94">
        <v>153.4569</v>
      </c>
      <c r="F10583" s="1003">
        <v>0.5685069444444445</v>
      </c>
      <c r="G10583" s="1004" t="s">
        <v>453</v>
      </c>
      <c r="H10583" s="987">
        <v>1.0</v>
      </c>
      <c r="I10583" s="988" t="s">
        <v>3145</v>
      </c>
      <c r="J10583" s="67">
        <f t="shared" si="592"/>
        <v>-11510.2675</v>
      </c>
      <c r="K10583" s="1"/>
      <c r="L10583" s="70"/>
      <c r="M10583" s="79"/>
      <c r="N10583" s="1"/>
      <c r="O10583" s="1"/>
      <c r="P10583" s="1"/>
      <c r="Q10583" s="1"/>
      <c r="R10583" s="1"/>
      <c r="S10583" s="1"/>
      <c r="T10583" s="1"/>
      <c r="U10583" s="1"/>
      <c r="V10583" s="1"/>
      <c r="W10583" s="1"/>
      <c r="X10583" s="1"/>
      <c r="Y10583" s="1"/>
      <c r="Z10583" s="1"/>
      <c r="AA10583" s="1"/>
      <c r="AB10583" s="1"/>
      <c r="AC10583" s="1"/>
      <c r="AD10583" s="1"/>
      <c r="AE10583" s="1"/>
      <c r="AF10583" s="1"/>
      <c r="AG10583" s="1"/>
      <c r="AH10583" s="1"/>
    </row>
    <row r="10584" ht="12.75" hidden="1" customHeight="1" outlineLevel="1">
      <c r="A10584" s="202">
        <v>43384.0</v>
      </c>
      <c r="B10584" s="985" t="s">
        <v>343</v>
      </c>
      <c r="C10584" s="94" t="s">
        <v>346</v>
      </c>
      <c r="D10584" s="94">
        <v>50.0</v>
      </c>
      <c r="E10584" s="94">
        <v>217.2573</v>
      </c>
      <c r="F10584" s="1003">
        <v>0.5676388888888889</v>
      </c>
      <c r="G10584" s="1004" t="s">
        <v>453</v>
      </c>
      <c r="H10584" s="987">
        <v>1.0</v>
      </c>
      <c r="I10584" s="988" t="s">
        <v>3145</v>
      </c>
      <c r="J10584" s="67">
        <f t="shared" si="592"/>
        <v>-10863.865</v>
      </c>
      <c r="K10584" s="1"/>
      <c r="L10584" s="70"/>
      <c r="M10584" s="79"/>
      <c r="N10584" s="1"/>
      <c r="O10584" s="1"/>
      <c r="P10584" s="1"/>
      <c r="Q10584" s="1"/>
      <c r="R10584" s="1"/>
      <c r="S10584" s="1"/>
      <c r="T10584" s="1"/>
      <c r="U10584" s="1"/>
      <c r="V10584" s="1"/>
      <c r="W10584" s="1"/>
      <c r="X10584" s="1"/>
      <c r="Y10584" s="1"/>
      <c r="Z10584" s="1"/>
      <c r="AA10584" s="1"/>
      <c r="AB10584" s="1"/>
      <c r="AC10584" s="1"/>
      <c r="AD10584" s="1"/>
      <c r="AE10584" s="1"/>
      <c r="AF10584" s="1"/>
      <c r="AG10584" s="1"/>
      <c r="AH10584" s="1"/>
    </row>
    <row r="10585" ht="12.75" hidden="1" customHeight="1" outlineLevel="1">
      <c r="A10585" s="202">
        <v>43384.0</v>
      </c>
      <c r="B10585" s="985" t="s">
        <v>343</v>
      </c>
      <c r="C10585" s="94" t="s">
        <v>1035</v>
      </c>
      <c r="D10585" s="94">
        <v>10.0</v>
      </c>
      <c r="E10585" s="94">
        <v>1105.24</v>
      </c>
      <c r="F10585" s="1003">
        <v>0.5671643518518519</v>
      </c>
      <c r="G10585" s="1004" t="s">
        <v>453</v>
      </c>
      <c r="H10585" s="987">
        <v>1.0</v>
      </c>
      <c r="I10585" s="988" t="s">
        <v>3145</v>
      </c>
      <c r="J10585" s="67">
        <f t="shared" si="592"/>
        <v>-11053.4</v>
      </c>
      <c r="K10585" s="1"/>
      <c r="L10585" s="70"/>
      <c r="M10585" s="79"/>
      <c r="N10585" s="1"/>
      <c r="O10585" s="1"/>
      <c r="P10585" s="1"/>
      <c r="Q10585" s="1"/>
      <c r="R10585" s="1"/>
      <c r="S10585" s="1"/>
      <c r="T10585" s="1"/>
      <c r="U10585" s="1"/>
      <c r="V10585" s="1"/>
      <c r="W10585" s="1"/>
      <c r="X10585" s="1"/>
      <c r="Y10585" s="1"/>
      <c r="Z10585" s="1"/>
      <c r="AA10585" s="1"/>
      <c r="AB10585" s="1"/>
      <c r="AC10585" s="1"/>
      <c r="AD10585" s="1"/>
      <c r="AE10585" s="1"/>
      <c r="AF10585" s="1"/>
      <c r="AG10585" s="1"/>
      <c r="AH10585" s="1"/>
    </row>
    <row r="10586" ht="12.75" hidden="1" customHeight="1" outlineLevel="1">
      <c r="A10586" s="202">
        <v>43384.0</v>
      </c>
      <c r="B10586" s="985" t="s">
        <v>343</v>
      </c>
      <c r="C10586" s="94" t="s">
        <v>1187</v>
      </c>
      <c r="D10586" s="94">
        <v>200.0</v>
      </c>
      <c r="E10586" s="94">
        <v>79.51</v>
      </c>
      <c r="F10586" s="1003">
        <v>0.5666087962962963</v>
      </c>
      <c r="G10586" s="1004" t="s">
        <v>453</v>
      </c>
      <c r="H10586" s="987">
        <v>1.0</v>
      </c>
      <c r="I10586" s="988" t="s">
        <v>3145</v>
      </c>
      <c r="J10586" s="67">
        <f t="shared" si="592"/>
        <v>-15903</v>
      </c>
      <c r="K10586" s="1"/>
      <c r="L10586" s="70"/>
      <c r="M10586" s="79"/>
      <c r="N10586" s="1"/>
      <c r="O10586" s="1"/>
      <c r="P10586" s="1"/>
      <c r="Q10586" s="1"/>
      <c r="R10586" s="1"/>
      <c r="S10586" s="1"/>
      <c r="T10586" s="1"/>
      <c r="U10586" s="1"/>
      <c r="V10586" s="1"/>
      <c r="W10586" s="1"/>
      <c r="X10586" s="1"/>
      <c r="Y10586" s="1"/>
      <c r="Z10586" s="1"/>
      <c r="AA10586" s="1"/>
      <c r="AB10586" s="1"/>
      <c r="AC10586" s="1"/>
      <c r="AD10586" s="1"/>
      <c r="AE10586" s="1"/>
      <c r="AF10586" s="1"/>
      <c r="AG10586" s="1"/>
      <c r="AH10586" s="1"/>
    </row>
    <row r="10587" ht="12.75" hidden="1" customHeight="1" outlineLevel="1">
      <c r="A10587" s="202">
        <v>43384.0</v>
      </c>
      <c r="B10587" s="985" t="s">
        <v>343</v>
      </c>
      <c r="C10587" s="94" t="s">
        <v>1164</v>
      </c>
      <c r="D10587" s="94">
        <v>100.0</v>
      </c>
      <c r="E10587" s="94">
        <v>57.895</v>
      </c>
      <c r="F10587" s="1003">
        <v>0.4089699074074074</v>
      </c>
      <c r="G10587" s="1004" t="s">
        <v>453</v>
      </c>
      <c r="H10587" s="987">
        <v>1.0</v>
      </c>
      <c r="I10587" s="988" t="s">
        <v>3145</v>
      </c>
      <c r="J10587" s="67">
        <f t="shared" si="592"/>
        <v>-5790.5</v>
      </c>
      <c r="K10587" s="1"/>
      <c r="L10587" s="70"/>
      <c r="M10587" s="79"/>
      <c r="N10587" s="1"/>
      <c r="O10587" s="1"/>
      <c r="P10587" s="1"/>
      <c r="Q10587" s="1"/>
      <c r="R10587" s="1"/>
      <c r="S10587" s="1"/>
      <c r="T10587" s="1"/>
      <c r="U10587" s="1"/>
      <c r="V10587" s="1"/>
      <c r="W10587" s="1"/>
      <c r="X10587" s="1"/>
      <c r="Y10587" s="1"/>
      <c r="Z10587" s="1"/>
      <c r="AA10587" s="1"/>
      <c r="AB10587" s="1"/>
      <c r="AC10587" s="1"/>
      <c r="AD10587" s="1"/>
      <c r="AE10587" s="1"/>
      <c r="AF10587" s="1"/>
      <c r="AG10587" s="1"/>
      <c r="AH10587" s="1"/>
    </row>
    <row r="10588" ht="12.75" hidden="1" customHeight="1" outlineLevel="1">
      <c r="A10588" s="202">
        <v>43384.0</v>
      </c>
      <c r="B10588" s="985" t="s">
        <v>343</v>
      </c>
      <c r="C10588" s="94" t="s">
        <v>1158</v>
      </c>
      <c r="D10588" s="94">
        <v>100.0</v>
      </c>
      <c r="E10588" s="94">
        <v>51.62</v>
      </c>
      <c r="F10588" s="1003">
        <v>0.40847222222222224</v>
      </c>
      <c r="G10588" s="1004" t="s">
        <v>453</v>
      </c>
      <c r="H10588" s="987">
        <v>1.0</v>
      </c>
      <c r="I10588" s="988" t="s">
        <v>3145</v>
      </c>
      <c r="J10588" s="67">
        <f t="shared" si="592"/>
        <v>-5163</v>
      </c>
      <c r="K10588" s="1"/>
      <c r="L10588" s="70"/>
      <c r="M10588" s="79"/>
      <c r="N10588" s="1"/>
      <c r="O10588" s="1"/>
      <c r="P10588" s="1"/>
      <c r="Q10588" s="1"/>
      <c r="R10588" s="1"/>
      <c r="S10588" s="1"/>
      <c r="T10588" s="1"/>
      <c r="U10588" s="1"/>
      <c r="V10588" s="1"/>
      <c r="W10588" s="1"/>
      <c r="X10588" s="1"/>
      <c r="Y10588" s="1"/>
      <c r="Z10588" s="1"/>
      <c r="AA10588" s="1"/>
      <c r="AB10588" s="1"/>
      <c r="AC10588" s="1"/>
      <c r="AD10588" s="1"/>
      <c r="AE10588" s="1"/>
      <c r="AF10588" s="1"/>
      <c r="AG10588" s="1"/>
      <c r="AH10588" s="1"/>
    </row>
    <row r="10589" ht="12.75" hidden="1" customHeight="1" outlineLevel="1">
      <c r="A10589" s="202">
        <v>43384.0</v>
      </c>
      <c r="B10589" s="985" t="s">
        <v>343</v>
      </c>
      <c r="C10589" s="94" t="s">
        <v>1431</v>
      </c>
      <c r="D10589" s="94">
        <v>175.0</v>
      </c>
      <c r="E10589" s="94">
        <v>54.374</v>
      </c>
      <c r="F10589" s="1003">
        <v>0.4080324074074074</v>
      </c>
      <c r="G10589" s="1004" t="s">
        <v>453</v>
      </c>
      <c r="H10589" s="987">
        <v>1.0</v>
      </c>
      <c r="I10589" s="988" t="s">
        <v>3145</v>
      </c>
      <c r="J10589" s="67">
        <f t="shared" si="592"/>
        <v>-9516.45</v>
      </c>
      <c r="K10589" s="1"/>
      <c r="L10589" s="70"/>
      <c r="M10589" s="79"/>
      <c r="N10589" s="1"/>
      <c r="O10589" s="1"/>
      <c r="P10589" s="1"/>
      <c r="Q10589" s="1"/>
      <c r="R10589" s="1"/>
      <c r="S10589" s="1"/>
      <c r="T10589" s="1"/>
      <c r="U10589" s="1"/>
      <c r="V10589" s="1"/>
      <c r="W10589" s="1"/>
      <c r="X10589" s="1"/>
      <c r="Y10589" s="1"/>
      <c r="Z10589" s="1"/>
      <c r="AA10589" s="1"/>
      <c r="AB10589" s="1"/>
      <c r="AC10589" s="1"/>
      <c r="AD10589" s="1"/>
      <c r="AE10589" s="1"/>
      <c r="AF10589" s="1"/>
      <c r="AG10589" s="1"/>
      <c r="AH10589" s="1"/>
    </row>
    <row r="10590" ht="12.75" hidden="1" customHeight="1" outlineLevel="1">
      <c r="A10590" s="202">
        <v>43385.0</v>
      </c>
      <c r="B10590" s="985" t="s">
        <v>343</v>
      </c>
      <c r="C10590" s="94" t="s">
        <v>1061</v>
      </c>
      <c r="D10590" s="94">
        <v>300.0</v>
      </c>
      <c r="E10590" s="94">
        <v>53.47</v>
      </c>
      <c r="F10590" s="986">
        <v>0.39850694444444446</v>
      </c>
      <c r="G10590" s="1004" t="s">
        <v>453</v>
      </c>
      <c r="H10590" s="987">
        <v>1.5</v>
      </c>
      <c r="I10590" s="988" t="s">
        <v>3145</v>
      </c>
      <c r="J10590" s="67">
        <f t="shared" si="592"/>
        <v>-16042.5</v>
      </c>
      <c r="K10590" s="1"/>
      <c r="L10590" s="70"/>
      <c r="M10590" s="79"/>
      <c r="N10590" s="1"/>
      <c r="O10590" s="1"/>
      <c r="P10590" s="1"/>
      <c r="Q10590" s="1"/>
      <c r="R10590" s="1"/>
      <c r="S10590" s="1"/>
      <c r="T10590" s="1"/>
      <c r="U10590" s="1"/>
      <c r="V10590" s="1"/>
      <c r="W10590" s="1"/>
      <c r="X10590" s="1"/>
      <c r="Y10590" s="1"/>
      <c r="Z10590" s="1"/>
      <c r="AA10590" s="1"/>
      <c r="AB10590" s="1"/>
      <c r="AC10590" s="1"/>
      <c r="AD10590" s="1"/>
      <c r="AE10590" s="1"/>
      <c r="AF10590" s="1"/>
      <c r="AG10590" s="1"/>
      <c r="AH10590" s="1"/>
    </row>
    <row r="10591" ht="12.75" hidden="1" customHeight="1" outlineLevel="1">
      <c r="A10591" s="202">
        <v>43385.0</v>
      </c>
      <c r="B10591" s="985" t="s">
        <v>343</v>
      </c>
      <c r="C10591" s="94" t="s">
        <v>1074</v>
      </c>
      <c r="D10591" s="94">
        <v>50.0</v>
      </c>
      <c r="E10591" s="94">
        <v>192.66</v>
      </c>
      <c r="F10591" s="1003">
        <v>0.3996527777777778</v>
      </c>
      <c r="G10591" s="1004" t="s">
        <v>453</v>
      </c>
      <c r="H10591" s="987">
        <v>1.0</v>
      </c>
      <c r="I10591" s="988" t="s">
        <v>3145</v>
      </c>
      <c r="J10591" s="67">
        <f t="shared" si="592"/>
        <v>-9634</v>
      </c>
      <c r="K10591" s="1"/>
      <c r="L10591" s="70"/>
      <c r="M10591" s="79"/>
      <c r="N10591" s="1"/>
      <c r="O10591" s="1"/>
      <c r="P10591" s="1"/>
      <c r="Q10591" s="1"/>
      <c r="R10591" s="1"/>
      <c r="S10591" s="1"/>
      <c r="T10591" s="1"/>
      <c r="U10591" s="1"/>
      <c r="V10591" s="1"/>
      <c r="W10591" s="1"/>
      <c r="X10591" s="1"/>
      <c r="Y10591" s="1"/>
      <c r="Z10591" s="1"/>
      <c r="AA10591" s="1"/>
      <c r="AB10591" s="1"/>
      <c r="AC10591" s="1"/>
      <c r="AD10591" s="1"/>
      <c r="AE10591" s="1"/>
      <c r="AF10591" s="1"/>
      <c r="AG10591" s="1"/>
      <c r="AH10591" s="1"/>
    </row>
    <row r="10592" ht="12.75" hidden="1" customHeight="1" outlineLevel="1">
      <c r="A10592" s="202">
        <v>43385.0</v>
      </c>
      <c r="B10592" s="985" t="s">
        <v>343</v>
      </c>
      <c r="C10592" s="94" t="s">
        <v>1131</v>
      </c>
      <c r="D10592" s="94">
        <v>100.0</v>
      </c>
      <c r="E10592" s="94">
        <v>55.4184</v>
      </c>
      <c r="F10592" s="1003">
        <v>0.4013888888888889</v>
      </c>
      <c r="G10592" s="1004" t="s">
        <v>453</v>
      </c>
      <c r="H10592" s="987">
        <v>1.0</v>
      </c>
      <c r="I10592" s="988" t="s">
        <v>3145</v>
      </c>
      <c r="J10592" s="67">
        <f t="shared" si="592"/>
        <v>-5542.84</v>
      </c>
      <c r="K10592" s="1"/>
      <c r="L10592" s="70"/>
      <c r="M10592" s="79"/>
      <c r="N10592" s="1"/>
      <c r="O10592" s="1"/>
      <c r="P10592" s="1"/>
      <c r="Q10592" s="1"/>
      <c r="R10592" s="1"/>
      <c r="S10592" s="1"/>
      <c r="T10592" s="1"/>
      <c r="U10592" s="1"/>
      <c r="V10592" s="1"/>
      <c r="W10592" s="1"/>
      <c r="X10592" s="1"/>
      <c r="Y10592" s="1"/>
      <c r="Z10592" s="1"/>
      <c r="AA10592" s="1"/>
      <c r="AB10592" s="1"/>
      <c r="AC10592" s="1"/>
      <c r="AD10592" s="1"/>
      <c r="AE10592" s="1"/>
      <c r="AF10592" s="1"/>
      <c r="AG10592" s="1"/>
      <c r="AH10592" s="1"/>
    </row>
    <row r="10593" ht="12.75" hidden="1" customHeight="1" outlineLevel="1">
      <c r="A10593" s="202">
        <v>43385.0</v>
      </c>
      <c r="B10593" s="985" t="s">
        <v>343</v>
      </c>
      <c r="C10593" s="94" t="s">
        <v>3040</v>
      </c>
      <c r="D10593" s="94">
        <v>50.0</v>
      </c>
      <c r="E10593" s="94">
        <v>209.27</v>
      </c>
      <c r="F10593" s="1003">
        <v>0.40150462962962963</v>
      </c>
      <c r="G10593" s="1004" t="s">
        <v>453</v>
      </c>
      <c r="H10593" s="987">
        <v>1.0</v>
      </c>
      <c r="I10593" s="988" t="s">
        <v>3145</v>
      </c>
      <c r="J10593" s="67">
        <f t="shared" si="592"/>
        <v>-10464.5</v>
      </c>
      <c r="K10593" s="1"/>
      <c r="L10593" s="70"/>
      <c r="M10593" s="79"/>
      <c r="N10593" s="1"/>
      <c r="O10593" s="1"/>
      <c r="P10593" s="1"/>
      <c r="Q10593" s="1"/>
      <c r="R10593" s="1"/>
      <c r="S10593" s="1"/>
      <c r="T10593" s="1"/>
      <c r="U10593" s="1"/>
      <c r="V10593" s="1"/>
      <c r="W10593" s="1"/>
      <c r="X10593" s="1"/>
      <c r="Y10593" s="1"/>
      <c r="Z10593" s="1"/>
      <c r="AA10593" s="1"/>
      <c r="AB10593" s="1"/>
      <c r="AC10593" s="1"/>
      <c r="AD10593" s="1"/>
      <c r="AE10593" s="1"/>
      <c r="AF10593" s="1"/>
      <c r="AG10593" s="1"/>
      <c r="AH10593" s="1"/>
    </row>
    <row r="10594" ht="12.75" hidden="1" customHeight="1" outlineLevel="1">
      <c r="A10594" s="202">
        <v>43385.0</v>
      </c>
      <c r="B10594" s="985" t="s">
        <v>343</v>
      </c>
      <c r="C10594" s="94" t="s">
        <v>605</v>
      </c>
      <c r="D10594" s="94">
        <v>100.0</v>
      </c>
      <c r="E10594" s="94">
        <v>110.83</v>
      </c>
      <c r="F10594" s="1003">
        <v>0.40185185185185185</v>
      </c>
      <c r="G10594" s="1004" t="s">
        <v>453</v>
      </c>
      <c r="H10594" s="987">
        <v>1.0</v>
      </c>
      <c r="I10594" s="988" t="s">
        <v>3145</v>
      </c>
      <c r="J10594" s="67">
        <f t="shared" si="592"/>
        <v>-11084</v>
      </c>
      <c r="K10594" s="1"/>
      <c r="L10594" s="70"/>
      <c r="M10594" s="79"/>
      <c r="N10594" s="1"/>
      <c r="O10594" s="1"/>
      <c r="P10594" s="1"/>
      <c r="Q10594" s="1"/>
      <c r="R10594" s="1"/>
      <c r="S10594" s="1"/>
      <c r="T10594" s="1"/>
      <c r="U10594" s="1"/>
      <c r="V10594" s="1"/>
      <c r="W10594" s="1"/>
      <c r="X10594" s="1"/>
      <c r="Y10594" s="1"/>
      <c r="Z10594" s="1"/>
      <c r="AA10594" s="1"/>
      <c r="AB10594" s="1"/>
      <c r="AC10594" s="1"/>
      <c r="AD10594" s="1"/>
      <c r="AE10594" s="1"/>
      <c r="AF10594" s="1"/>
      <c r="AG10594" s="1"/>
      <c r="AH10594" s="1"/>
    </row>
    <row r="10595" ht="12.75" hidden="1" customHeight="1" outlineLevel="1">
      <c r="A10595" s="202">
        <v>43385.0</v>
      </c>
      <c r="B10595" s="985" t="s">
        <v>343</v>
      </c>
      <c r="C10595" s="94" t="s">
        <v>3260</v>
      </c>
      <c r="D10595" s="286">
        <v>1200.0</v>
      </c>
      <c r="E10595" s="94">
        <v>8.54</v>
      </c>
      <c r="F10595" s="1003">
        <v>0.4030787037037037</v>
      </c>
      <c r="G10595" s="1004" t="s">
        <v>453</v>
      </c>
      <c r="H10595" s="987">
        <v>6.0</v>
      </c>
      <c r="I10595" s="988" t="s">
        <v>3145</v>
      </c>
      <c r="J10595" s="67">
        <f t="shared" si="592"/>
        <v>-10254</v>
      </c>
      <c r="K10595" s="1"/>
      <c r="L10595" s="70"/>
      <c r="M10595" s="79"/>
      <c r="N10595" s="1"/>
      <c r="O10595" s="1"/>
      <c r="P10595" s="1"/>
      <c r="Q10595" s="1"/>
      <c r="R10595" s="1"/>
      <c r="S10595" s="1"/>
      <c r="T10595" s="1"/>
      <c r="U10595" s="1"/>
      <c r="V10595" s="1"/>
      <c r="W10595" s="1"/>
      <c r="X10595" s="1"/>
      <c r="Y10595" s="1"/>
      <c r="Z10595" s="1"/>
      <c r="AA10595" s="1"/>
      <c r="AB10595" s="1"/>
      <c r="AC10595" s="1"/>
      <c r="AD10595" s="1"/>
      <c r="AE10595" s="1"/>
      <c r="AF10595" s="1"/>
      <c r="AG10595" s="1"/>
      <c r="AH10595" s="1"/>
    </row>
    <row r="10596" ht="12.75" hidden="1" customHeight="1" outlineLevel="1">
      <c r="A10596" s="1002">
        <v>43389.0</v>
      </c>
      <c r="B10596" s="992"/>
      <c r="C10596" s="32" t="s">
        <v>339</v>
      </c>
      <c r="D10596" s="1"/>
      <c r="F10596" s="1"/>
      <c r="G10596" s="1"/>
      <c r="H10596" s="68"/>
      <c r="I10596" s="76"/>
      <c r="K10596" s="201" t="s">
        <v>3681</v>
      </c>
      <c r="L10596" s="77"/>
      <c r="M10596" s="79"/>
      <c r="N10596" s="1"/>
      <c r="O10596" s="1"/>
      <c r="P10596" s="1"/>
      <c r="Q10596" s="1"/>
      <c r="R10596" s="1"/>
      <c r="S10596" s="1"/>
      <c r="T10596" s="1"/>
      <c r="U10596" s="1"/>
      <c r="V10596" s="1"/>
      <c r="W10596" s="1"/>
      <c r="X10596" s="1"/>
      <c r="Y10596" s="1"/>
      <c r="Z10596" s="1"/>
      <c r="AA10596" s="1"/>
      <c r="AB10596" s="1"/>
      <c r="AC10596" s="1"/>
      <c r="AD10596" s="1"/>
      <c r="AE10596" s="1"/>
      <c r="AF10596" s="1"/>
      <c r="AG10596" s="1"/>
      <c r="AH10596" s="1"/>
    </row>
    <row r="10597" ht="12.75" hidden="1" customHeight="1" outlineLevel="1">
      <c r="A10597" s="1002">
        <v>43389.0</v>
      </c>
      <c r="B10597" s="992"/>
      <c r="C10597" s="32" t="s">
        <v>429</v>
      </c>
      <c r="D10597" s="1"/>
      <c r="F10597" s="1"/>
      <c r="G10597" s="1"/>
      <c r="H10597" s="68"/>
      <c r="I10597" s="76"/>
      <c r="K10597" s="9" t="s">
        <v>3662</v>
      </c>
      <c r="L10597" s="77"/>
      <c r="M10597" s="79"/>
      <c r="N10597" s="1"/>
      <c r="O10597" s="1"/>
      <c r="P10597" s="1"/>
      <c r="Q10597" s="1"/>
      <c r="R10597" s="1"/>
      <c r="S10597" s="1"/>
      <c r="T10597" s="1"/>
      <c r="U10597" s="1"/>
      <c r="V10597" s="1"/>
      <c r="W10597" s="1"/>
      <c r="X10597" s="1"/>
      <c r="Y10597" s="1"/>
      <c r="Z10597" s="1"/>
      <c r="AA10597" s="1"/>
      <c r="AB10597" s="1"/>
      <c r="AC10597" s="1"/>
      <c r="AD10597" s="1"/>
      <c r="AE10597" s="1"/>
      <c r="AF10597" s="1"/>
      <c r="AG10597" s="1"/>
      <c r="AH10597" s="1"/>
    </row>
    <row r="10598" ht="12.75" hidden="1" customHeight="1" outlineLevel="1">
      <c r="A10598" s="1002">
        <v>43389.0</v>
      </c>
      <c r="B10598" s="992"/>
      <c r="C10598" s="32" t="s">
        <v>431</v>
      </c>
      <c r="D10598" s="1"/>
      <c r="F10598" s="1"/>
      <c r="G10598" s="1"/>
      <c r="H10598" s="68"/>
      <c r="I10598" s="76"/>
      <c r="K10598" s="9" t="s">
        <v>3663</v>
      </c>
      <c r="L10598" s="77"/>
      <c r="M10598" s="79"/>
      <c r="N10598" s="1"/>
      <c r="O10598" s="1"/>
      <c r="P10598" s="1"/>
      <c r="Q10598" s="1"/>
      <c r="R10598" s="1"/>
      <c r="S10598" s="1"/>
      <c r="T10598" s="1"/>
      <c r="U10598" s="1"/>
      <c r="V10598" s="1"/>
      <c r="W10598" s="1"/>
      <c r="X10598" s="1"/>
      <c r="Y10598" s="1"/>
      <c r="Z10598" s="1"/>
      <c r="AA10598" s="1"/>
      <c r="AB10598" s="1"/>
      <c r="AC10598" s="1"/>
      <c r="AD10598" s="1"/>
      <c r="AE10598" s="1"/>
      <c r="AF10598" s="1"/>
      <c r="AG10598" s="1"/>
      <c r="AH10598" s="1"/>
    </row>
    <row r="10599" ht="12.75" hidden="1" customHeight="1" outlineLevel="1">
      <c r="A10599" s="1002">
        <v>43389.0</v>
      </c>
      <c r="B10599" s="992"/>
      <c r="C10599" s="32" t="s">
        <v>433</v>
      </c>
      <c r="D10599" s="1"/>
      <c r="F10599" s="1"/>
      <c r="G10599" s="1"/>
      <c r="H10599" s="68"/>
      <c r="I10599" s="76"/>
      <c r="K10599" s="9" t="s">
        <v>3663</v>
      </c>
      <c r="L10599" s="77"/>
      <c r="M10599" s="79"/>
      <c r="N10599" s="1"/>
      <c r="O10599" s="1"/>
      <c r="P10599" s="1"/>
      <c r="Q10599" s="1"/>
      <c r="R10599" s="1"/>
      <c r="S10599" s="1"/>
      <c r="T10599" s="1"/>
      <c r="U10599" s="1"/>
      <c r="V10599" s="1"/>
      <c r="W10599" s="1"/>
      <c r="X10599" s="1"/>
      <c r="Y10599" s="1"/>
      <c r="Z10599" s="1"/>
      <c r="AA10599" s="1"/>
      <c r="AB10599" s="1"/>
      <c r="AC10599" s="1"/>
      <c r="AD10599" s="1"/>
      <c r="AE10599" s="1"/>
      <c r="AF10599" s="1"/>
      <c r="AG10599" s="1"/>
      <c r="AH10599" s="1"/>
    </row>
    <row r="10600" ht="12.75" hidden="1" customHeight="1" outlineLevel="1">
      <c r="A10600" s="1002">
        <v>43389.0</v>
      </c>
      <c r="B10600" s="992"/>
      <c r="C10600" s="32" t="s">
        <v>435</v>
      </c>
      <c r="D10600" s="1"/>
      <c r="F10600" s="1"/>
      <c r="G10600" s="1"/>
      <c r="H10600" s="68"/>
      <c r="I10600" s="76"/>
      <c r="K10600" s="9" t="s">
        <v>3671</v>
      </c>
      <c r="L10600" s="77"/>
      <c r="M10600" s="79"/>
      <c r="N10600" s="1"/>
      <c r="O10600" s="1"/>
      <c r="P10600" s="1"/>
      <c r="Q10600" s="1"/>
      <c r="R10600" s="1"/>
      <c r="S10600" s="1"/>
      <c r="T10600" s="1"/>
      <c r="U10600" s="1"/>
      <c r="V10600" s="1"/>
      <c r="W10600" s="1"/>
      <c r="X10600" s="1"/>
      <c r="Y10600" s="1"/>
      <c r="Z10600" s="1"/>
      <c r="AA10600" s="1"/>
      <c r="AB10600" s="1"/>
      <c r="AC10600" s="1"/>
      <c r="AD10600" s="1"/>
      <c r="AE10600" s="1"/>
      <c r="AF10600" s="1"/>
      <c r="AG10600" s="1"/>
      <c r="AH10600" s="1"/>
    </row>
    <row r="10601" ht="12.75" hidden="1" customHeight="1" outlineLevel="1">
      <c r="A10601" s="202">
        <v>43390.0</v>
      </c>
      <c r="B10601" s="985" t="s">
        <v>343</v>
      </c>
      <c r="C10601" s="94" t="s">
        <v>3249</v>
      </c>
      <c r="D10601" s="94">
        <v>600.0</v>
      </c>
      <c r="E10601" s="94">
        <v>29.83</v>
      </c>
      <c r="F10601" s="1003">
        <v>0.4534259259259259</v>
      </c>
      <c r="G10601" s="1004" t="s">
        <v>453</v>
      </c>
      <c r="H10601" s="987">
        <v>3.0</v>
      </c>
      <c r="I10601" s="988" t="s">
        <v>3145</v>
      </c>
      <c r="J10601" s="67">
        <f>IF(B10601="SLD",D10601*E10601,-D10601*E10601)-H10601</f>
        <v>-17901</v>
      </c>
      <c r="K10601" s="1"/>
      <c r="L10601" s="70"/>
      <c r="M10601" s="79"/>
      <c r="N10601" s="1"/>
      <c r="O10601" s="1"/>
      <c r="P10601" s="1"/>
      <c r="Q10601" s="1"/>
      <c r="R10601" s="1"/>
      <c r="S10601" s="1"/>
      <c r="T10601" s="1"/>
      <c r="U10601" s="1"/>
      <c r="V10601" s="1"/>
      <c r="W10601" s="1"/>
      <c r="X10601" s="1"/>
      <c r="Y10601" s="1"/>
      <c r="Z10601" s="1"/>
      <c r="AA10601" s="1"/>
      <c r="AB10601" s="1"/>
      <c r="AC10601" s="1"/>
      <c r="AD10601" s="1"/>
      <c r="AE10601" s="1"/>
      <c r="AF10601" s="1"/>
      <c r="AG10601" s="1"/>
      <c r="AH10601" s="1"/>
    </row>
    <row r="10602" ht="12.75" hidden="1" customHeight="1" outlineLevel="1">
      <c r="A10602" s="1002">
        <v>43391.0</v>
      </c>
      <c r="B10602" s="992"/>
      <c r="C10602" s="32" t="s">
        <v>339</v>
      </c>
      <c r="D10602" s="1"/>
      <c r="F10602" s="1"/>
      <c r="G10602" s="1"/>
      <c r="H10602" s="68"/>
      <c r="I10602" s="76"/>
      <c r="K10602" s="201" t="s">
        <v>3682</v>
      </c>
      <c r="L10602" s="77"/>
      <c r="M10602" s="79"/>
      <c r="N10602" s="1"/>
      <c r="O10602" s="1"/>
      <c r="P10602" s="1"/>
      <c r="Q10602" s="1"/>
      <c r="R10602" s="1"/>
      <c r="S10602" s="1"/>
      <c r="T10602" s="1"/>
      <c r="U10602" s="1"/>
      <c r="V10602" s="1"/>
      <c r="W10602" s="1"/>
      <c r="X10602" s="1"/>
      <c r="Y10602" s="1"/>
      <c r="Z10602" s="1"/>
      <c r="AA10602" s="1"/>
      <c r="AB10602" s="1"/>
      <c r="AC10602" s="1"/>
      <c r="AD10602" s="1"/>
      <c r="AE10602" s="1"/>
      <c r="AF10602" s="1"/>
      <c r="AG10602" s="1"/>
      <c r="AH10602" s="1"/>
    </row>
    <row r="10603" ht="12.75" hidden="1" customHeight="1" outlineLevel="1">
      <c r="A10603" s="1002">
        <v>43391.0</v>
      </c>
      <c r="B10603" s="992"/>
      <c r="C10603" s="32" t="s">
        <v>429</v>
      </c>
      <c r="D10603" s="1"/>
      <c r="F10603" s="1"/>
      <c r="G10603" s="1"/>
      <c r="H10603" s="68"/>
      <c r="I10603" s="76"/>
      <c r="K10603" s="9" t="s">
        <v>3662</v>
      </c>
      <c r="L10603" s="77"/>
      <c r="M10603" s="79"/>
      <c r="N10603" s="1"/>
      <c r="O10603" s="1"/>
      <c r="P10603" s="1"/>
      <c r="Q10603" s="1"/>
      <c r="R10603" s="1"/>
      <c r="S10603" s="1"/>
      <c r="T10603" s="1"/>
      <c r="U10603" s="1"/>
      <c r="V10603" s="1"/>
      <c r="W10603" s="1"/>
      <c r="X10603" s="1"/>
      <c r="Y10603" s="1"/>
      <c r="Z10603" s="1"/>
      <c r="AA10603" s="1"/>
      <c r="AB10603" s="1"/>
      <c r="AC10603" s="1"/>
      <c r="AD10603" s="1"/>
      <c r="AE10603" s="1"/>
      <c r="AF10603" s="1"/>
      <c r="AG10603" s="1"/>
      <c r="AH10603" s="1"/>
    </row>
    <row r="10604" ht="12.75" hidden="1" customHeight="1" outlineLevel="1">
      <c r="A10604" s="1002">
        <v>43391.0</v>
      </c>
      <c r="B10604" s="992"/>
      <c r="C10604" s="32" t="s">
        <v>431</v>
      </c>
      <c r="D10604" s="1"/>
      <c r="F10604" s="1"/>
      <c r="G10604" s="1"/>
      <c r="H10604" s="68"/>
      <c r="I10604" s="76"/>
      <c r="K10604" s="9" t="s">
        <v>3663</v>
      </c>
      <c r="L10604" s="77"/>
      <c r="M10604" s="79"/>
      <c r="N10604" s="1"/>
      <c r="O10604" s="1"/>
      <c r="P10604" s="1"/>
      <c r="Q10604" s="1"/>
      <c r="R10604" s="1"/>
      <c r="S10604" s="1"/>
      <c r="T10604" s="1"/>
      <c r="U10604" s="1"/>
      <c r="V10604" s="1"/>
      <c r="W10604" s="1"/>
      <c r="X10604" s="1"/>
      <c r="Y10604" s="1"/>
      <c r="Z10604" s="1"/>
      <c r="AA10604" s="1"/>
      <c r="AB10604" s="1"/>
      <c r="AC10604" s="1"/>
      <c r="AD10604" s="1"/>
      <c r="AE10604" s="1"/>
      <c r="AF10604" s="1"/>
      <c r="AG10604" s="1"/>
      <c r="AH10604" s="1"/>
    </row>
    <row r="10605" ht="12.75" hidden="1" customHeight="1" outlineLevel="1">
      <c r="A10605" s="1002">
        <v>43391.0</v>
      </c>
      <c r="B10605" s="992"/>
      <c r="C10605" s="32" t="s">
        <v>433</v>
      </c>
      <c r="D10605" s="1"/>
      <c r="F10605" s="1"/>
      <c r="G10605" s="1"/>
      <c r="H10605" s="68"/>
      <c r="I10605" s="76"/>
      <c r="K10605" s="9" t="s">
        <v>3663</v>
      </c>
      <c r="L10605" s="77"/>
      <c r="M10605" s="79"/>
      <c r="N10605" s="1"/>
      <c r="O10605" s="1"/>
      <c r="P10605" s="1"/>
      <c r="Q10605" s="1"/>
      <c r="R10605" s="1"/>
      <c r="S10605" s="1"/>
      <c r="T10605" s="1"/>
      <c r="U10605" s="1"/>
      <c r="V10605" s="1"/>
      <c r="W10605" s="1"/>
      <c r="X10605" s="1"/>
      <c r="Y10605" s="1"/>
      <c r="Z10605" s="1"/>
      <c r="AA10605" s="1"/>
      <c r="AB10605" s="1"/>
      <c r="AC10605" s="1"/>
      <c r="AD10605" s="1"/>
      <c r="AE10605" s="1"/>
      <c r="AF10605" s="1"/>
      <c r="AG10605" s="1"/>
      <c r="AH10605" s="1"/>
    </row>
    <row r="10606" ht="12.75" hidden="1" customHeight="1" outlineLevel="1">
      <c r="A10606" s="1002">
        <v>43391.0</v>
      </c>
      <c r="B10606" s="992"/>
      <c r="C10606" s="32" t="s">
        <v>435</v>
      </c>
      <c r="D10606" s="1"/>
      <c r="F10606" s="1"/>
      <c r="G10606" s="1"/>
      <c r="H10606" s="68"/>
      <c r="I10606" s="76"/>
      <c r="K10606" s="9" t="s">
        <v>3671</v>
      </c>
      <c r="L10606" s="77"/>
      <c r="M10606" s="79"/>
      <c r="N10606" s="1"/>
      <c r="O10606" s="1"/>
      <c r="P10606" s="1"/>
      <c r="Q10606" s="1"/>
      <c r="R10606" s="1"/>
      <c r="S10606" s="1"/>
      <c r="T10606" s="1"/>
      <c r="U10606" s="1"/>
      <c r="V10606" s="1"/>
      <c r="W10606" s="1"/>
      <c r="X10606" s="1"/>
      <c r="Y10606" s="1"/>
      <c r="Z10606" s="1"/>
      <c r="AA10606" s="1"/>
      <c r="AB10606" s="1"/>
      <c r="AC10606" s="1"/>
      <c r="AD10606" s="1"/>
      <c r="AE10606" s="1"/>
      <c r="AF10606" s="1"/>
      <c r="AG10606" s="1"/>
      <c r="AH10606" s="1"/>
    </row>
    <row r="10607" ht="12.75" hidden="1" customHeight="1" outlineLevel="1">
      <c r="A10607" s="202">
        <v>43398.0</v>
      </c>
      <c r="B10607" s="985" t="s">
        <v>347</v>
      </c>
      <c r="C10607" s="94" t="s">
        <v>1431</v>
      </c>
      <c r="D10607" s="94">
        <v>175.0</v>
      </c>
      <c r="E10607" s="94">
        <v>44.6838</v>
      </c>
      <c r="F10607" s="1003">
        <v>0.5550462962962963</v>
      </c>
      <c r="G10607" s="1004" t="s">
        <v>453</v>
      </c>
      <c r="H10607" s="987">
        <v>1.12</v>
      </c>
      <c r="I10607" s="988" t="s">
        <v>3145</v>
      </c>
      <c r="J10607" s="67">
        <f t="shared" ref="J10607:J10608" si="593">IF(B10607="SLD",D10607*E10607,-D10607*E10607)-H10607</f>
        <v>7818.545</v>
      </c>
      <c r="K10607" s="1"/>
      <c r="L10607" s="70"/>
      <c r="M10607" s="79"/>
      <c r="N10607" s="1"/>
      <c r="O10607" s="1"/>
      <c r="P10607" s="1"/>
      <c r="Q10607" s="1"/>
      <c r="R10607" s="1"/>
      <c r="S10607" s="1"/>
      <c r="T10607" s="1"/>
      <c r="U10607" s="1"/>
      <c r="V10607" s="1"/>
      <c r="W10607" s="1"/>
      <c r="X10607" s="1"/>
      <c r="Y10607" s="1"/>
      <c r="Z10607" s="1"/>
      <c r="AA10607" s="1"/>
      <c r="AB10607" s="1"/>
      <c r="AC10607" s="1"/>
      <c r="AD10607" s="1"/>
      <c r="AE10607" s="1"/>
      <c r="AF10607" s="1"/>
      <c r="AG10607" s="1"/>
      <c r="AH10607" s="1"/>
    </row>
    <row r="10608" ht="12.75" hidden="1" customHeight="1" outlineLevel="1">
      <c r="A10608" s="202">
        <v>43398.0</v>
      </c>
      <c r="B10608" s="985" t="s">
        <v>347</v>
      </c>
      <c r="C10608" s="94" t="s">
        <v>1187</v>
      </c>
      <c r="D10608" s="94">
        <v>900.0</v>
      </c>
      <c r="E10608" s="94">
        <v>72.3149</v>
      </c>
      <c r="F10608" s="1003">
        <v>0.5543287037037037</v>
      </c>
      <c r="G10608" s="1004" t="s">
        <v>453</v>
      </c>
      <c r="H10608" s="987">
        <v>5.45</v>
      </c>
      <c r="I10608" s="988" t="s">
        <v>3145</v>
      </c>
      <c r="J10608" s="67">
        <f t="shared" si="593"/>
        <v>65077.96</v>
      </c>
      <c r="K10608" s="1"/>
      <c r="L10608" s="70"/>
      <c r="M10608" s="79"/>
      <c r="N10608" s="1"/>
      <c r="O10608" s="1"/>
      <c r="P10608" s="1"/>
      <c r="Q10608" s="1"/>
      <c r="R10608" s="1"/>
      <c r="S10608" s="1"/>
      <c r="T10608" s="1"/>
      <c r="U10608" s="1"/>
      <c r="V10608" s="1"/>
      <c r="W10608" s="1"/>
      <c r="X10608" s="1"/>
      <c r="Y10608" s="1"/>
      <c r="Z10608" s="1"/>
      <c r="AA10608" s="1"/>
      <c r="AB10608" s="1"/>
      <c r="AC10608" s="1"/>
      <c r="AD10608" s="1"/>
      <c r="AE10608" s="1"/>
      <c r="AF10608" s="1"/>
      <c r="AG10608" s="1"/>
      <c r="AH10608" s="1"/>
    </row>
    <row r="10609" ht="12.75" hidden="1" customHeight="1" outlineLevel="1">
      <c r="A10609" s="1002">
        <v>43398.0</v>
      </c>
      <c r="B10609" s="992"/>
      <c r="C10609" s="32" t="s">
        <v>339</v>
      </c>
      <c r="D10609" s="1"/>
      <c r="F10609" s="1"/>
      <c r="G10609" s="1"/>
      <c r="H10609" s="68"/>
      <c r="I10609" s="76"/>
      <c r="K10609" s="201" t="s">
        <v>3683</v>
      </c>
      <c r="L10609" s="77"/>
      <c r="M10609" s="79"/>
      <c r="N10609" s="1"/>
      <c r="O10609" s="1"/>
      <c r="P10609" s="1"/>
      <c r="Q10609" s="1"/>
      <c r="R10609" s="1"/>
      <c r="S10609" s="1"/>
      <c r="T10609" s="1"/>
      <c r="U10609" s="1"/>
      <c r="V10609" s="1"/>
      <c r="W10609" s="1"/>
      <c r="X10609" s="1"/>
      <c r="Y10609" s="1"/>
      <c r="Z10609" s="1"/>
      <c r="AA10609" s="1"/>
      <c r="AB10609" s="1"/>
      <c r="AC10609" s="1"/>
      <c r="AD10609" s="1"/>
      <c r="AE10609" s="1"/>
      <c r="AF10609" s="1"/>
      <c r="AG10609" s="1"/>
      <c r="AH10609" s="1"/>
    </row>
    <row r="10610" ht="12.75" hidden="1" customHeight="1" outlineLevel="1">
      <c r="A10610" s="1002">
        <v>43398.0</v>
      </c>
      <c r="B10610" s="992"/>
      <c r="C10610" s="32" t="s">
        <v>429</v>
      </c>
      <c r="D10610" s="1"/>
      <c r="F10610" s="1"/>
      <c r="G10610" s="1"/>
      <c r="H10610" s="68"/>
      <c r="I10610" s="76"/>
      <c r="K10610" s="9" t="s">
        <v>3662</v>
      </c>
      <c r="L10610" s="77"/>
      <c r="M10610" s="79"/>
      <c r="N10610" s="1"/>
      <c r="O10610" s="1"/>
      <c r="P10610" s="1"/>
      <c r="Q10610" s="1"/>
      <c r="R10610" s="1"/>
      <c r="S10610" s="1"/>
      <c r="T10610" s="1"/>
      <c r="U10610" s="1"/>
      <c r="V10610" s="1"/>
      <c r="W10610" s="1"/>
      <c r="X10610" s="1"/>
      <c r="Y10610" s="1"/>
      <c r="Z10610" s="1"/>
      <c r="AA10610" s="1"/>
      <c r="AB10610" s="1"/>
      <c r="AC10610" s="1"/>
      <c r="AD10610" s="1"/>
      <c r="AE10610" s="1"/>
      <c r="AF10610" s="1"/>
      <c r="AG10610" s="1"/>
      <c r="AH10610" s="1"/>
    </row>
    <row r="10611" ht="12.75" hidden="1" customHeight="1" outlineLevel="1">
      <c r="A10611" s="1002">
        <v>43398.0</v>
      </c>
      <c r="B10611" s="992"/>
      <c r="C10611" s="32" t="s">
        <v>431</v>
      </c>
      <c r="D10611" s="1"/>
      <c r="F10611" s="1"/>
      <c r="G10611" s="1"/>
      <c r="H10611" s="68"/>
      <c r="I10611" s="76"/>
      <c r="K10611" s="9" t="s">
        <v>3663</v>
      </c>
      <c r="L10611" s="77"/>
      <c r="M10611" s="79"/>
      <c r="N10611" s="1"/>
      <c r="O10611" s="1"/>
      <c r="P10611" s="1"/>
      <c r="Q10611" s="1"/>
      <c r="R10611" s="1"/>
      <c r="S10611" s="1"/>
      <c r="T10611" s="1"/>
      <c r="U10611" s="1"/>
      <c r="V10611" s="1"/>
      <c r="W10611" s="1"/>
      <c r="X10611" s="1"/>
      <c r="Y10611" s="1"/>
      <c r="Z10611" s="1"/>
      <c r="AA10611" s="1"/>
      <c r="AB10611" s="1"/>
      <c r="AC10611" s="1"/>
      <c r="AD10611" s="1"/>
      <c r="AE10611" s="1"/>
      <c r="AF10611" s="1"/>
      <c r="AG10611" s="1"/>
      <c r="AH10611" s="1"/>
    </row>
    <row r="10612" ht="12.75" hidden="1" customHeight="1" outlineLevel="1">
      <c r="A10612" s="1002">
        <v>43398.0</v>
      </c>
      <c r="B10612" s="992"/>
      <c r="C10612" s="32" t="s">
        <v>433</v>
      </c>
      <c r="D10612" s="1"/>
      <c r="F10612" s="1"/>
      <c r="G10612" s="1"/>
      <c r="H10612" s="68"/>
      <c r="I10612" s="76"/>
      <c r="K10612" s="9" t="s">
        <v>3663</v>
      </c>
      <c r="L10612" s="77"/>
      <c r="M10612" s="79"/>
      <c r="N10612" s="1"/>
      <c r="O10612" s="1"/>
      <c r="P10612" s="1"/>
      <c r="Q10612" s="1"/>
      <c r="R10612" s="1"/>
      <c r="S10612" s="1"/>
      <c r="T10612" s="1"/>
      <c r="U10612" s="1"/>
      <c r="V10612" s="1"/>
      <c r="W10612" s="1"/>
      <c r="X10612" s="1"/>
      <c r="Y10612" s="1"/>
      <c r="Z10612" s="1"/>
      <c r="AA10612" s="1"/>
      <c r="AB10612" s="1"/>
      <c r="AC10612" s="1"/>
      <c r="AD10612" s="1"/>
      <c r="AE10612" s="1"/>
      <c r="AF10612" s="1"/>
      <c r="AG10612" s="1"/>
      <c r="AH10612" s="1"/>
    </row>
    <row r="10613" ht="12.75" hidden="1" customHeight="1" outlineLevel="1">
      <c r="A10613" s="1002">
        <v>43398.0</v>
      </c>
      <c r="B10613" s="992"/>
      <c r="C10613" s="32" t="s">
        <v>435</v>
      </c>
      <c r="D10613" s="1"/>
      <c r="F10613" s="1"/>
      <c r="G10613" s="1"/>
      <c r="H10613" s="68"/>
      <c r="I10613" s="76"/>
      <c r="K10613" s="9" t="s">
        <v>3671</v>
      </c>
      <c r="L10613" s="77"/>
      <c r="M10613" s="79"/>
      <c r="N10613" s="1"/>
      <c r="O10613" s="1"/>
      <c r="P10613" s="1"/>
      <c r="Q10613" s="1"/>
      <c r="R10613" s="1"/>
      <c r="S10613" s="1"/>
      <c r="T10613" s="1"/>
      <c r="U10613" s="1"/>
      <c r="V10613" s="1"/>
      <c r="W10613" s="1"/>
      <c r="X10613" s="1"/>
      <c r="Y10613" s="1"/>
      <c r="Z10613" s="1"/>
      <c r="AA10613" s="1"/>
      <c r="AB10613" s="1"/>
      <c r="AC10613" s="1"/>
      <c r="AD10613" s="1"/>
      <c r="AE10613" s="1"/>
      <c r="AF10613" s="1"/>
      <c r="AG10613" s="1"/>
      <c r="AH10613" s="1"/>
    </row>
    <row r="10614" ht="12.75" hidden="1" customHeight="1" outlineLevel="1">
      <c r="A10614" s="1002">
        <v>43400.0</v>
      </c>
      <c r="B10614" s="992"/>
      <c r="C10614" s="32" t="s">
        <v>339</v>
      </c>
      <c r="D10614" s="1"/>
      <c r="F10614" s="1"/>
      <c r="G10614" s="1"/>
      <c r="H10614" s="68"/>
      <c r="I10614" s="76"/>
      <c r="K10614" s="201" t="s">
        <v>3684</v>
      </c>
      <c r="L10614" s="77"/>
      <c r="M10614" s="79"/>
      <c r="N10614" s="1"/>
      <c r="O10614" s="1"/>
      <c r="P10614" s="1"/>
      <c r="Q10614" s="1"/>
      <c r="R10614" s="1"/>
      <c r="S10614" s="1"/>
      <c r="T10614" s="1"/>
      <c r="U10614" s="1"/>
      <c r="V10614" s="1"/>
      <c r="W10614" s="1"/>
      <c r="X10614" s="1"/>
      <c r="Y10614" s="1"/>
      <c r="Z10614" s="1"/>
      <c r="AA10614" s="1"/>
      <c r="AB10614" s="1"/>
      <c r="AC10614" s="1"/>
      <c r="AD10614" s="1"/>
      <c r="AE10614" s="1"/>
      <c r="AF10614" s="1"/>
      <c r="AG10614" s="1"/>
      <c r="AH10614" s="1"/>
    </row>
    <row r="10615" ht="12.75" hidden="1" customHeight="1" outlineLevel="1">
      <c r="A10615" s="1002">
        <v>43400.0</v>
      </c>
      <c r="B10615" s="992"/>
      <c r="C10615" s="32" t="s">
        <v>429</v>
      </c>
      <c r="D10615" s="1"/>
      <c r="F10615" s="1"/>
      <c r="G10615" s="1"/>
      <c r="H10615" s="68"/>
      <c r="I10615" s="76"/>
      <c r="K10615" s="9" t="s">
        <v>3662</v>
      </c>
      <c r="L10615" s="77"/>
      <c r="M10615" s="79"/>
      <c r="N10615" s="1"/>
      <c r="O10615" s="1"/>
      <c r="P10615" s="1"/>
      <c r="Q10615" s="1"/>
      <c r="R10615" s="1"/>
      <c r="S10615" s="1"/>
      <c r="T10615" s="1"/>
      <c r="U10615" s="1"/>
      <c r="V10615" s="1"/>
      <c r="W10615" s="1"/>
      <c r="X10615" s="1"/>
      <c r="Y10615" s="1"/>
      <c r="Z10615" s="1"/>
      <c r="AA10615" s="1"/>
      <c r="AB10615" s="1"/>
      <c r="AC10615" s="1"/>
      <c r="AD10615" s="1"/>
      <c r="AE10615" s="1"/>
      <c r="AF10615" s="1"/>
      <c r="AG10615" s="1"/>
      <c r="AH10615" s="1"/>
    </row>
    <row r="10616" ht="12.75" hidden="1" customHeight="1" outlineLevel="1">
      <c r="A10616" s="1002">
        <v>43400.0</v>
      </c>
      <c r="B10616" s="992"/>
      <c r="C10616" s="32" t="s">
        <v>431</v>
      </c>
      <c r="D10616" s="1"/>
      <c r="F10616" s="1"/>
      <c r="G10616" s="1"/>
      <c r="H10616" s="68"/>
      <c r="I10616" s="76"/>
      <c r="K10616" s="9" t="s">
        <v>3663</v>
      </c>
      <c r="L10616" s="77"/>
      <c r="M10616" s="79"/>
      <c r="N10616" s="1"/>
      <c r="O10616" s="1"/>
      <c r="P10616" s="1"/>
      <c r="Q10616" s="1"/>
      <c r="R10616" s="1"/>
      <c r="S10616" s="1"/>
      <c r="T10616" s="1"/>
      <c r="U10616" s="1"/>
      <c r="V10616" s="1"/>
      <c r="W10616" s="1"/>
      <c r="X10616" s="1"/>
      <c r="Y10616" s="1"/>
      <c r="Z10616" s="1"/>
      <c r="AA10616" s="1"/>
      <c r="AB10616" s="1"/>
      <c r="AC10616" s="1"/>
      <c r="AD10616" s="1"/>
      <c r="AE10616" s="1"/>
      <c r="AF10616" s="1"/>
      <c r="AG10616" s="1"/>
      <c r="AH10616" s="1"/>
    </row>
    <row r="10617" ht="12.75" hidden="1" customHeight="1" outlineLevel="1">
      <c r="A10617" s="1002">
        <v>43400.0</v>
      </c>
      <c r="B10617" s="992"/>
      <c r="C10617" s="32" t="s">
        <v>433</v>
      </c>
      <c r="D10617" s="1"/>
      <c r="F10617" s="1"/>
      <c r="G10617" s="1"/>
      <c r="H10617" s="68"/>
      <c r="I10617" s="76"/>
      <c r="K10617" s="9" t="s">
        <v>3663</v>
      </c>
      <c r="L10617" s="77"/>
      <c r="M10617" s="79"/>
      <c r="N10617" s="1"/>
      <c r="O10617" s="1"/>
      <c r="P10617" s="1"/>
      <c r="Q10617" s="1"/>
      <c r="R10617" s="1"/>
      <c r="S10617" s="1"/>
      <c r="T10617" s="1"/>
      <c r="U10617" s="1"/>
      <c r="V10617" s="1"/>
      <c r="W10617" s="1"/>
      <c r="X10617" s="1"/>
      <c r="Y10617" s="1"/>
      <c r="Z10617" s="1"/>
      <c r="AA10617" s="1"/>
      <c r="AB10617" s="1"/>
      <c r="AC10617" s="1"/>
      <c r="AD10617" s="1"/>
      <c r="AE10617" s="1"/>
      <c r="AF10617" s="1"/>
      <c r="AG10617" s="1"/>
      <c r="AH10617" s="1"/>
    </row>
    <row r="10618" ht="12.75" hidden="1" customHeight="1" outlineLevel="1">
      <c r="A10618" s="1002">
        <v>43400.0</v>
      </c>
      <c r="B10618" s="992"/>
      <c r="C10618" s="32" t="s">
        <v>435</v>
      </c>
      <c r="D10618" s="1"/>
      <c r="F10618" s="1"/>
      <c r="G10618" s="1"/>
      <c r="H10618" s="68"/>
      <c r="I10618" s="76"/>
      <c r="K10618" s="9" t="s">
        <v>3671</v>
      </c>
      <c r="L10618" s="77"/>
      <c r="M10618" s="79"/>
      <c r="N10618" s="1"/>
      <c r="O10618" s="1"/>
      <c r="P10618" s="1"/>
      <c r="Q10618" s="1"/>
      <c r="R10618" s="1"/>
      <c r="S10618" s="1"/>
      <c r="T10618" s="1"/>
      <c r="U10618" s="1"/>
      <c r="V10618" s="1"/>
      <c r="W10618" s="1"/>
      <c r="X10618" s="1"/>
      <c r="Y10618" s="1"/>
      <c r="Z10618" s="1"/>
      <c r="AA10618" s="1"/>
      <c r="AB10618" s="1"/>
      <c r="AC10618" s="1"/>
      <c r="AD10618" s="1"/>
      <c r="AE10618" s="1"/>
      <c r="AF10618" s="1"/>
      <c r="AG10618" s="1"/>
      <c r="AH10618" s="1"/>
    </row>
    <row r="10619" ht="12.75" hidden="1" customHeight="1" outlineLevel="1">
      <c r="A10619" s="1002">
        <v>43408.0</v>
      </c>
      <c r="B10619" s="992"/>
      <c r="C10619" s="32" t="s">
        <v>339</v>
      </c>
      <c r="D10619" s="1"/>
      <c r="F10619" s="1"/>
      <c r="G10619" s="1"/>
      <c r="H10619" s="68"/>
      <c r="I10619" s="76"/>
      <c r="K10619" s="201" t="s">
        <v>3685</v>
      </c>
      <c r="L10619" s="77"/>
      <c r="M10619" s="79"/>
      <c r="N10619" s="1"/>
      <c r="O10619" s="1"/>
      <c r="P10619" s="1"/>
      <c r="Q10619" s="1"/>
      <c r="R10619" s="1"/>
      <c r="S10619" s="1"/>
      <c r="T10619" s="1"/>
      <c r="U10619" s="1"/>
      <c r="V10619" s="1"/>
      <c r="W10619" s="1"/>
      <c r="X10619" s="1"/>
      <c r="Y10619" s="1"/>
      <c r="Z10619" s="1"/>
      <c r="AA10619" s="1"/>
      <c r="AB10619" s="1"/>
      <c r="AC10619" s="1"/>
      <c r="AD10619" s="1"/>
      <c r="AE10619" s="1"/>
      <c r="AF10619" s="1"/>
      <c r="AG10619" s="1"/>
      <c r="AH10619" s="1"/>
    </row>
    <row r="10620" ht="12.75" hidden="1" customHeight="1" outlineLevel="1">
      <c r="A10620" s="1002">
        <v>43408.0</v>
      </c>
      <c r="B10620" s="992"/>
      <c r="C10620" s="32" t="s">
        <v>429</v>
      </c>
      <c r="D10620" s="1"/>
      <c r="F10620" s="1"/>
      <c r="G10620" s="1"/>
      <c r="H10620" s="68"/>
      <c r="I10620" s="76"/>
      <c r="K10620" s="9" t="s">
        <v>3662</v>
      </c>
      <c r="L10620" s="77"/>
      <c r="M10620" s="79"/>
      <c r="N10620" s="1"/>
      <c r="O10620" s="1"/>
      <c r="P10620" s="1"/>
      <c r="Q10620" s="1"/>
      <c r="R10620" s="1"/>
      <c r="S10620" s="1"/>
      <c r="T10620" s="1"/>
      <c r="U10620" s="1"/>
      <c r="V10620" s="1"/>
      <c r="W10620" s="1"/>
      <c r="X10620" s="1"/>
      <c r="Y10620" s="1"/>
      <c r="Z10620" s="1"/>
      <c r="AA10620" s="1"/>
      <c r="AB10620" s="1"/>
      <c r="AC10620" s="1"/>
      <c r="AD10620" s="1"/>
      <c r="AE10620" s="1"/>
      <c r="AF10620" s="1"/>
      <c r="AG10620" s="1"/>
      <c r="AH10620" s="1"/>
    </row>
    <row r="10621" ht="12.75" hidden="1" customHeight="1" outlineLevel="1">
      <c r="A10621" s="1002">
        <v>43408.0</v>
      </c>
      <c r="B10621" s="992"/>
      <c r="C10621" s="32" t="s">
        <v>431</v>
      </c>
      <c r="D10621" s="1"/>
      <c r="F10621" s="1"/>
      <c r="G10621" s="1"/>
      <c r="H10621" s="68"/>
      <c r="I10621" s="76"/>
      <c r="K10621" s="9" t="s">
        <v>3663</v>
      </c>
      <c r="L10621" s="77"/>
      <c r="M10621" s="79"/>
      <c r="N10621" s="1"/>
      <c r="O10621" s="1"/>
      <c r="P10621" s="1"/>
      <c r="Q10621" s="1"/>
      <c r="R10621" s="1"/>
      <c r="S10621" s="1"/>
      <c r="T10621" s="1"/>
      <c r="U10621" s="1"/>
      <c r="V10621" s="1"/>
      <c r="W10621" s="1"/>
      <c r="X10621" s="1"/>
      <c r="Y10621" s="1"/>
      <c r="Z10621" s="1"/>
      <c r="AA10621" s="1"/>
      <c r="AB10621" s="1"/>
      <c r="AC10621" s="1"/>
      <c r="AD10621" s="1"/>
      <c r="AE10621" s="1"/>
      <c r="AF10621" s="1"/>
      <c r="AG10621" s="1"/>
      <c r="AH10621" s="1"/>
    </row>
    <row r="10622" ht="12.75" hidden="1" customHeight="1" outlineLevel="1">
      <c r="A10622" s="1002">
        <v>43408.0</v>
      </c>
      <c r="B10622" s="992"/>
      <c r="C10622" s="32" t="s">
        <v>433</v>
      </c>
      <c r="D10622" s="1"/>
      <c r="F10622" s="1"/>
      <c r="G10622" s="1"/>
      <c r="H10622" s="68"/>
      <c r="I10622" s="76"/>
      <c r="K10622" s="9" t="s">
        <v>3663</v>
      </c>
      <c r="L10622" s="77"/>
      <c r="M10622" s="79"/>
      <c r="N10622" s="1"/>
      <c r="O10622" s="1"/>
      <c r="P10622" s="1"/>
      <c r="Q10622" s="1"/>
      <c r="R10622" s="1"/>
      <c r="S10622" s="1"/>
      <c r="T10622" s="1"/>
      <c r="U10622" s="1"/>
      <c r="V10622" s="1"/>
      <c r="W10622" s="1"/>
      <c r="X10622" s="1"/>
      <c r="Y10622" s="1"/>
      <c r="Z10622" s="1"/>
      <c r="AA10622" s="1"/>
      <c r="AB10622" s="1"/>
      <c r="AC10622" s="1"/>
      <c r="AD10622" s="1"/>
      <c r="AE10622" s="1"/>
      <c r="AF10622" s="1"/>
      <c r="AG10622" s="1"/>
      <c r="AH10622" s="1"/>
    </row>
    <row r="10623" ht="12.75" hidden="1" customHeight="1" outlineLevel="1">
      <c r="A10623" s="1002">
        <v>43408.0</v>
      </c>
      <c r="B10623" s="992"/>
      <c r="C10623" s="32" t="s">
        <v>435</v>
      </c>
      <c r="D10623" s="1"/>
      <c r="F10623" s="1"/>
      <c r="G10623" s="1"/>
      <c r="H10623" s="68"/>
      <c r="I10623" s="76"/>
      <c r="K10623" s="9" t="s">
        <v>3671</v>
      </c>
      <c r="L10623" s="77"/>
      <c r="M10623" s="79"/>
      <c r="N10623" s="1"/>
      <c r="O10623" s="1"/>
      <c r="P10623" s="1"/>
      <c r="Q10623" s="1"/>
      <c r="R10623" s="1"/>
      <c r="S10623" s="1"/>
      <c r="T10623" s="1"/>
      <c r="U10623" s="1"/>
      <c r="V10623" s="1"/>
      <c r="W10623" s="1"/>
      <c r="X10623" s="1"/>
      <c r="Y10623" s="1"/>
      <c r="Z10623" s="1"/>
      <c r="AA10623" s="1"/>
      <c r="AB10623" s="1"/>
      <c r="AC10623" s="1"/>
      <c r="AD10623" s="1"/>
      <c r="AE10623" s="1"/>
      <c r="AF10623" s="1"/>
      <c r="AG10623" s="1"/>
      <c r="AH10623" s="1"/>
    </row>
    <row r="10624" ht="12.75" hidden="1" customHeight="1" outlineLevel="1">
      <c r="A10624" s="202">
        <v>43409.0</v>
      </c>
      <c r="B10624" s="985" t="s">
        <v>343</v>
      </c>
      <c r="C10624" s="94" t="s">
        <v>1431</v>
      </c>
      <c r="D10624" s="94">
        <v>250.0</v>
      </c>
      <c r="E10624" s="94">
        <v>47.659</v>
      </c>
      <c r="F10624" s="1003">
        <v>0.39899305555555553</v>
      </c>
      <c r="G10624" s="1004" t="s">
        <v>453</v>
      </c>
      <c r="H10624" s="987">
        <v>1.25</v>
      </c>
      <c r="I10624" s="988" t="s">
        <v>3145</v>
      </c>
      <c r="J10624" s="67">
        <f t="shared" ref="J10624:J10628" si="594">IF(B10624="SLD",D10624*E10624,-D10624*E10624)-H10624</f>
        <v>-11916</v>
      </c>
      <c r="K10624" s="1"/>
      <c r="L10624" s="70"/>
      <c r="M10624" s="79"/>
      <c r="N10624" s="1"/>
      <c r="O10624" s="1"/>
      <c r="P10624" s="1"/>
      <c r="Q10624" s="1"/>
      <c r="R10624" s="1"/>
      <c r="S10624" s="1"/>
      <c r="T10624" s="1"/>
      <c r="U10624" s="1"/>
      <c r="V10624" s="1"/>
      <c r="W10624" s="1"/>
      <c r="X10624" s="1"/>
      <c r="Y10624" s="1"/>
      <c r="Z10624" s="1"/>
      <c r="AA10624" s="1"/>
      <c r="AB10624" s="1"/>
      <c r="AC10624" s="1"/>
      <c r="AD10624" s="1"/>
      <c r="AE10624" s="1"/>
      <c r="AF10624" s="1"/>
      <c r="AG10624" s="1"/>
      <c r="AH10624" s="1"/>
    </row>
    <row r="10625" ht="12.75" hidden="1" customHeight="1" outlineLevel="1">
      <c r="A10625" s="202">
        <v>43409.0</v>
      </c>
      <c r="B10625" s="985" t="s">
        <v>343</v>
      </c>
      <c r="C10625" s="94" t="s">
        <v>1187</v>
      </c>
      <c r="D10625" s="94">
        <v>900.0</v>
      </c>
      <c r="E10625" s="94">
        <v>79.31</v>
      </c>
      <c r="F10625" s="1003">
        <v>0.4157175925925926</v>
      </c>
      <c r="G10625" s="1004" t="s">
        <v>453</v>
      </c>
      <c r="H10625" s="987">
        <v>4.5</v>
      </c>
      <c r="I10625" s="988" t="s">
        <v>3145</v>
      </c>
      <c r="J10625" s="67">
        <f t="shared" si="594"/>
        <v>-71383.5</v>
      </c>
      <c r="K10625" s="1"/>
      <c r="L10625" s="70"/>
      <c r="M10625" s="79"/>
      <c r="N10625" s="1"/>
      <c r="O10625" s="1"/>
      <c r="P10625" s="1"/>
      <c r="Q10625" s="1"/>
      <c r="R10625" s="1"/>
      <c r="S10625" s="1"/>
      <c r="T10625" s="1"/>
      <c r="U10625" s="1"/>
      <c r="V10625" s="1"/>
      <c r="W10625" s="1"/>
      <c r="X10625" s="1"/>
      <c r="Y10625" s="1"/>
      <c r="Z10625" s="1"/>
      <c r="AA10625" s="1"/>
      <c r="AB10625" s="1"/>
      <c r="AC10625" s="1"/>
      <c r="AD10625" s="1"/>
      <c r="AE10625" s="1"/>
      <c r="AF10625" s="1"/>
      <c r="AG10625" s="1"/>
      <c r="AH10625" s="1"/>
    </row>
    <row r="10626" ht="12.75" hidden="1" customHeight="1" outlineLevel="1">
      <c r="A10626" s="202">
        <v>43409.0</v>
      </c>
      <c r="B10626" s="985" t="s">
        <v>347</v>
      </c>
      <c r="C10626" s="94" t="s">
        <v>1053</v>
      </c>
      <c r="D10626" s="94">
        <v>2.0</v>
      </c>
      <c r="E10626" s="94">
        <v>1612.0125</v>
      </c>
      <c r="F10626" s="1003">
        <v>0.43046296296296294</v>
      </c>
      <c r="G10626" s="1004" t="s">
        <v>453</v>
      </c>
      <c r="H10626" s="987">
        <v>1.04</v>
      </c>
      <c r="I10626" s="988" t="s">
        <v>3145</v>
      </c>
      <c r="J10626" s="67">
        <f t="shared" si="594"/>
        <v>3222.985</v>
      </c>
      <c r="K10626" s="1"/>
      <c r="L10626" s="70"/>
      <c r="M10626" s="79"/>
      <c r="N10626" s="1"/>
      <c r="O10626" s="1"/>
      <c r="P10626" s="1"/>
      <c r="Q10626" s="1"/>
      <c r="R10626" s="1"/>
      <c r="S10626" s="1"/>
      <c r="T10626" s="1"/>
      <c r="U10626" s="1"/>
      <c r="V10626" s="1"/>
      <c r="W10626" s="1"/>
      <c r="X10626" s="1"/>
      <c r="Y10626" s="1"/>
      <c r="Z10626" s="1"/>
      <c r="AA10626" s="1"/>
      <c r="AB10626" s="1"/>
      <c r="AC10626" s="1"/>
      <c r="AD10626" s="1"/>
      <c r="AE10626" s="1"/>
      <c r="AF10626" s="1"/>
      <c r="AG10626" s="1"/>
      <c r="AH10626" s="1"/>
    </row>
    <row r="10627" ht="12.75" hidden="1" customHeight="1" outlineLevel="1">
      <c r="A10627" s="202">
        <v>43409.0</v>
      </c>
      <c r="B10627" s="985" t="s">
        <v>347</v>
      </c>
      <c r="C10627" s="94" t="s">
        <v>1141</v>
      </c>
      <c r="D10627" s="94">
        <v>50.0</v>
      </c>
      <c r="E10627" s="94">
        <v>114.36</v>
      </c>
      <c r="F10627" s="1003">
        <v>0.4309953703703704</v>
      </c>
      <c r="G10627" s="1004" t="s">
        <v>453</v>
      </c>
      <c r="H10627" s="987">
        <v>1.08</v>
      </c>
      <c r="I10627" s="988" t="s">
        <v>3145</v>
      </c>
      <c r="J10627" s="67">
        <f t="shared" si="594"/>
        <v>5716.92</v>
      </c>
      <c r="K10627" s="1"/>
      <c r="L10627" s="70"/>
      <c r="M10627" s="79"/>
      <c r="N10627" s="1"/>
      <c r="O10627" s="1"/>
      <c r="P10627" s="1"/>
      <c r="Q10627" s="1"/>
      <c r="R10627" s="1"/>
      <c r="S10627" s="1"/>
      <c r="T10627" s="1"/>
      <c r="U10627" s="1"/>
      <c r="V10627" s="1"/>
      <c r="W10627" s="1"/>
      <c r="X10627" s="1"/>
      <c r="Y10627" s="1"/>
      <c r="Z10627" s="1"/>
      <c r="AA10627" s="1"/>
      <c r="AB10627" s="1"/>
      <c r="AC10627" s="1"/>
      <c r="AD10627" s="1"/>
      <c r="AE10627" s="1"/>
      <c r="AF10627" s="1"/>
      <c r="AG10627" s="1"/>
      <c r="AH10627" s="1"/>
    </row>
    <row r="10628" ht="12.75" hidden="1" customHeight="1" outlineLevel="1">
      <c r="A10628" s="202">
        <v>43411.0</v>
      </c>
      <c r="B10628" s="985" t="s">
        <v>347</v>
      </c>
      <c r="C10628" s="94" t="s">
        <v>3260</v>
      </c>
      <c r="D10628" s="286">
        <v>1200.0</v>
      </c>
      <c r="E10628" s="94">
        <v>6.246</v>
      </c>
      <c r="F10628" s="1003">
        <v>0.6072337962962963</v>
      </c>
      <c r="G10628" s="1004" t="s">
        <v>453</v>
      </c>
      <c r="H10628" s="987">
        <v>6.24</v>
      </c>
      <c r="I10628" s="988" t="s">
        <v>3145</v>
      </c>
      <c r="J10628" s="67">
        <f t="shared" si="594"/>
        <v>7488.96</v>
      </c>
      <c r="K10628" s="1"/>
      <c r="L10628" s="70"/>
      <c r="M10628" s="79"/>
      <c r="N10628" s="1"/>
      <c r="O10628" s="1"/>
      <c r="P10628" s="1"/>
      <c r="Q10628" s="1"/>
      <c r="R10628" s="1"/>
      <c r="S10628" s="1"/>
      <c r="T10628" s="1"/>
      <c r="U10628" s="1"/>
      <c r="V10628" s="1"/>
      <c r="W10628" s="1"/>
      <c r="X10628" s="1"/>
      <c r="Y10628" s="1"/>
      <c r="Z10628" s="1"/>
      <c r="AA10628" s="1"/>
      <c r="AB10628" s="1"/>
      <c r="AC10628" s="1"/>
      <c r="AD10628" s="1"/>
      <c r="AE10628" s="1"/>
      <c r="AF10628" s="1"/>
      <c r="AG10628" s="1"/>
      <c r="AH10628" s="1"/>
    </row>
    <row r="10629" ht="12.75" hidden="1" customHeight="1" outlineLevel="1">
      <c r="A10629" s="1002">
        <v>43411.0</v>
      </c>
      <c r="B10629" s="992"/>
      <c r="C10629" s="32" t="s">
        <v>339</v>
      </c>
      <c r="D10629" s="1"/>
      <c r="F10629" s="1"/>
      <c r="G10629" s="1"/>
      <c r="H10629" s="68"/>
      <c r="I10629" s="76"/>
      <c r="K10629" s="201" t="s">
        <v>3686</v>
      </c>
      <c r="L10629" s="77"/>
      <c r="M10629" s="79"/>
      <c r="N10629" s="1"/>
      <c r="O10629" s="1"/>
      <c r="P10629" s="1"/>
      <c r="Q10629" s="1"/>
      <c r="R10629" s="1"/>
      <c r="S10629" s="1"/>
      <c r="T10629" s="1"/>
      <c r="U10629" s="1"/>
      <c r="V10629" s="1"/>
      <c r="W10629" s="1"/>
      <c r="X10629" s="1"/>
      <c r="Y10629" s="1"/>
      <c r="Z10629" s="1"/>
      <c r="AA10629" s="1"/>
      <c r="AB10629" s="1"/>
      <c r="AC10629" s="1"/>
      <c r="AD10629" s="1"/>
      <c r="AE10629" s="1"/>
      <c r="AF10629" s="1"/>
      <c r="AG10629" s="1"/>
      <c r="AH10629" s="1"/>
    </row>
    <row r="10630" ht="12.75" hidden="1" customHeight="1" outlineLevel="1">
      <c r="A10630" s="1002">
        <v>43411.0</v>
      </c>
      <c r="B10630" s="992"/>
      <c r="C10630" s="32" t="s">
        <v>429</v>
      </c>
      <c r="D10630" s="1"/>
      <c r="F10630" s="1"/>
      <c r="G10630" s="1"/>
      <c r="H10630" s="68"/>
      <c r="I10630" s="76"/>
      <c r="K10630" s="9" t="s">
        <v>3662</v>
      </c>
      <c r="L10630" s="77"/>
      <c r="M10630" s="79"/>
      <c r="N10630" s="1"/>
      <c r="O10630" s="1"/>
      <c r="P10630" s="1"/>
      <c r="Q10630" s="1"/>
      <c r="R10630" s="1"/>
      <c r="S10630" s="1"/>
      <c r="T10630" s="1"/>
      <c r="U10630" s="1"/>
      <c r="V10630" s="1"/>
      <c r="W10630" s="1"/>
      <c r="X10630" s="1"/>
      <c r="Y10630" s="1"/>
      <c r="Z10630" s="1"/>
      <c r="AA10630" s="1"/>
      <c r="AB10630" s="1"/>
      <c r="AC10630" s="1"/>
      <c r="AD10630" s="1"/>
      <c r="AE10630" s="1"/>
      <c r="AF10630" s="1"/>
      <c r="AG10630" s="1"/>
      <c r="AH10630" s="1"/>
    </row>
    <row r="10631" ht="12.75" hidden="1" customHeight="1" outlineLevel="1">
      <c r="A10631" s="1002">
        <v>43411.0</v>
      </c>
      <c r="B10631" s="992"/>
      <c r="C10631" s="32" t="s">
        <v>431</v>
      </c>
      <c r="D10631" s="1"/>
      <c r="F10631" s="1"/>
      <c r="G10631" s="1"/>
      <c r="H10631" s="68"/>
      <c r="I10631" s="76"/>
      <c r="K10631" s="9" t="s">
        <v>3663</v>
      </c>
      <c r="L10631" s="77"/>
      <c r="M10631" s="79"/>
      <c r="N10631" s="1"/>
      <c r="O10631" s="1"/>
      <c r="P10631" s="1"/>
      <c r="Q10631" s="1"/>
      <c r="R10631" s="1"/>
      <c r="S10631" s="1"/>
      <c r="T10631" s="1"/>
      <c r="U10631" s="1"/>
      <c r="V10631" s="1"/>
      <c r="W10631" s="1"/>
      <c r="X10631" s="1"/>
      <c r="Y10631" s="1"/>
      <c r="Z10631" s="1"/>
      <c r="AA10631" s="1"/>
      <c r="AB10631" s="1"/>
      <c r="AC10631" s="1"/>
      <c r="AD10631" s="1"/>
      <c r="AE10631" s="1"/>
      <c r="AF10631" s="1"/>
      <c r="AG10631" s="1"/>
      <c r="AH10631" s="1"/>
    </row>
    <row r="10632" ht="12.75" hidden="1" customHeight="1" outlineLevel="1">
      <c r="A10632" s="1002">
        <v>43411.0</v>
      </c>
      <c r="B10632" s="992"/>
      <c r="C10632" s="32" t="s">
        <v>433</v>
      </c>
      <c r="D10632" s="1"/>
      <c r="F10632" s="1"/>
      <c r="G10632" s="1"/>
      <c r="H10632" s="68"/>
      <c r="I10632" s="76"/>
      <c r="K10632" s="9" t="s">
        <v>3663</v>
      </c>
      <c r="L10632" s="77"/>
      <c r="M10632" s="79"/>
      <c r="N10632" s="1"/>
      <c r="O10632" s="1"/>
      <c r="P10632" s="1"/>
      <c r="Q10632" s="1"/>
      <c r="R10632" s="1"/>
      <c r="S10632" s="1"/>
      <c r="T10632" s="1"/>
      <c r="U10632" s="1"/>
      <c r="V10632" s="1"/>
      <c r="W10632" s="1"/>
      <c r="X10632" s="1"/>
      <c r="Y10632" s="1"/>
      <c r="Z10632" s="1"/>
      <c r="AA10632" s="1"/>
      <c r="AB10632" s="1"/>
      <c r="AC10632" s="1"/>
      <c r="AD10632" s="1"/>
      <c r="AE10632" s="1"/>
      <c r="AF10632" s="1"/>
      <c r="AG10632" s="1"/>
      <c r="AH10632" s="1"/>
    </row>
    <row r="10633" ht="12.75" hidden="1" customHeight="1" outlineLevel="1">
      <c r="A10633" s="1002">
        <v>43411.0</v>
      </c>
      <c r="B10633" s="992"/>
      <c r="C10633" s="32" t="s">
        <v>435</v>
      </c>
      <c r="D10633" s="1"/>
      <c r="F10633" s="1"/>
      <c r="G10633" s="1"/>
      <c r="H10633" s="68"/>
      <c r="I10633" s="76"/>
      <c r="K10633" s="9" t="s">
        <v>3671</v>
      </c>
      <c r="L10633" s="77"/>
      <c r="M10633" s="79"/>
      <c r="N10633" s="1"/>
      <c r="O10633" s="1"/>
      <c r="P10633" s="1"/>
      <c r="Q10633" s="1"/>
      <c r="R10633" s="1"/>
      <c r="S10633" s="1"/>
      <c r="T10633" s="1"/>
      <c r="U10633" s="1"/>
      <c r="V10633" s="1"/>
      <c r="W10633" s="1"/>
      <c r="X10633" s="1"/>
      <c r="Y10633" s="1"/>
      <c r="Z10633" s="1"/>
      <c r="AA10633" s="1"/>
      <c r="AB10633" s="1"/>
      <c r="AC10633" s="1"/>
      <c r="AD10633" s="1"/>
      <c r="AE10633" s="1"/>
      <c r="AF10633" s="1"/>
      <c r="AG10633" s="1"/>
      <c r="AH10633" s="1"/>
    </row>
    <row r="10634" ht="12.75" hidden="1" customHeight="1" outlineLevel="1">
      <c r="A10634" s="202">
        <v>43412.0</v>
      </c>
      <c r="B10634" s="985" t="s">
        <v>343</v>
      </c>
      <c r="C10634" s="94" t="s">
        <v>388</v>
      </c>
      <c r="D10634" s="94">
        <v>40.0</v>
      </c>
      <c r="E10634" s="94">
        <v>207.37</v>
      </c>
      <c r="F10634" s="1003">
        <v>0.5722569444444444</v>
      </c>
      <c r="G10634" s="1004" t="s">
        <v>453</v>
      </c>
      <c r="H10634" s="987">
        <v>1.0</v>
      </c>
      <c r="I10634" s="988" t="s">
        <v>3145</v>
      </c>
      <c r="J10634" s="67">
        <f t="shared" ref="J10634:J10637" si="595">IF(B10634="SLD",D10634*E10634,-D10634*E10634)-H10634</f>
        <v>-8295.8</v>
      </c>
      <c r="K10634" s="1"/>
      <c r="L10634" s="70"/>
      <c r="M10634" s="79"/>
      <c r="N10634" s="1"/>
      <c r="O10634" s="1"/>
      <c r="P10634" s="1"/>
      <c r="Q10634" s="1"/>
      <c r="R10634" s="1"/>
      <c r="S10634" s="1"/>
      <c r="T10634" s="1"/>
      <c r="U10634" s="1"/>
      <c r="V10634" s="1"/>
      <c r="W10634" s="1"/>
      <c r="X10634" s="1"/>
      <c r="Y10634" s="1"/>
      <c r="Z10634" s="1"/>
      <c r="AA10634" s="1"/>
      <c r="AB10634" s="1"/>
      <c r="AC10634" s="1"/>
      <c r="AD10634" s="1"/>
      <c r="AE10634" s="1"/>
      <c r="AF10634" s="1"/>
      <c r="AG10634" s="1"/>
      <c r="AH10634" s="1"/>
    </row>
    <row r="10635" ht="12.75" hidden="1" customHeight="1" outlineLevel="1">
      <c r="A10635" s="202">
        <v>43412.0</v>
      </c>
      <c r="B10635" s="985" t="s">
        <v>343</v>
      </c>
      <c r="C10635" s="94" t="s">
        <v>1109</v>
      </c>
      <c r="D10635" s="94">
        <v>10.0</v>
      </c>
      <c r="E10635" s="94">
        <v>412.7373</v>
      </c>
      <c r="F10635" s="1003">
        <v>0.5786689814814815</v>
      </c>
      <c r="G10635" s="1004" t="s">
        <v>453</v>
      </c>
      <c r="H10635" s="987">
        <v>1.0</v>
      </c>
      <c r="I10635" s="988" t="s">
        <v>3145</v>
      </c>
      <c r="J10635" s="67">
        <f t="shared" si="595"/>
        <v>-4128.373</v>
      </c>
      <c r="K10635" s="1"/>
      <c r="L10635" s="70"/>
      <c r="M10635" s="79"/>
      <c r="N10635" s="1"/>
      <c r="O10635" s="1"/>
      <c r="P10635" s="1"/>
      <c r="Q10635" s="1"/>
      <c r="R10635" s="1"/>
      <c r="S10635" s="1"/>
      <c r="T10635" s="1"/>
      <c r="U10635" s="1"/>
      <c r="V10635" s="1"/>
      <c r="W10635" s="1"/>
      <c r="X10635" s="1"/>
      <c r="Y10635" s="1"/>
      <c r="Z10635" s="1"/>
      <c r="AA10635" s="1"/>
      <c r="AB10635" s="1"/>
      <c r="AC10635" s="1"/>
      <c r="AD10635" s="1"/>
      <c r="AE10635" s="1"/>
      <c r="AF10635" s="1"/>
      <c r="AG10635" s="1"/>
      <c r="AH10635" s="1"/>
    </row>
    <row r="10636" ht="12.75" hidden="1" customHeight="1" outlineLevel="1">
      <c r="A10636" s="202">
        <v>43412.0</v>
      </c>
      <c r="B10636" s="985" t="s">
        <v>347</v>
      </c>
      <c r="C10636" s="94" t="s">
        <v>1187</v>
      </c>
      <c r="D10636" s="94">
        <v>450.0</v>
      </c>
      <c r="E10636" s="94">
        <v>75.014</v>
      </c>
      <c r="F10636" s="1003">
        <v>0.6417708333333333</v>
      </c>
      <c r="G10636" s="1004" t="s">
        <v>453</v>
      </c>
      <c r="H10636" s="987">
        <v>2.74</v>
      </c>
      <c r="I10636" s="988" t="s">
        <v>3145</v>
      </c>
      <c r="J10636" s="67">
        <f t="shared" si="595"/>
        <v>33753.56</v>
      </c>
      <c r="K10636" s="1"/>
      <c r="L10636" s="70"/>
      <c r="M10636" s="79"/>
      <c r="N10636" s="1"/>
      <c r="O10636" s="1"/>
      <c r="P10636" s="1"/>
      <c r="Q10636" s="1"/>
      <c r="R10636" s="1"/>
      <c r="S10636" s="1"/>
      <c r="T10636" s="1"/>
      <c r="U10636" s="1"/>
      <c r="V10636" s="1"/>
      <c r="W10636" s="1"/>
      <c r="X10636" s="1"/>
      <c r="Y10636" s="1"/>
      <c r="Z10636" s="1"/>
      <c r="AA10636" s="1"/>
      <c r="AB10636" s="1"/>
      <c r="AC10636" s="1"/>
      <c r="AD10636" s="1"/>
      <c r="AE10636" s="1"/>
      <c r="AF10636" s="1"/>
      <c r="AG10636" s="1"/>
      <c r="AH10636" s="1"/>
    </row>
    <row r="10637" ht="12.75" hidden="1" customHeight="1" outlineLevel="1">
      <c r="A10637" s="202">
        <v>43412.0</v>
      </c>
      <c r="B10637" s="985" t="s">
        <v>347</v>
      </c>
      <c r="C10637" s="94" t="s">
        <v>1431</v>
      </c>
      <c r="D10637" s="94">
        <v>125.0</v>
      </c>
      <c r="E10637" s="94">
        <v>44.998</v>
      </c>
      <c r="F10637" s="1003">
        <v>0.6425115740740741</v>
      </c>
      <c r="G10637" s="1004" t="s">
        <v>453</v>
      </c>
      <c r="H10637" s="987">
        <v>2.09</v>
      </c>
      <c r="I10637" s="988" t="s">
        <v>3145</v>
      </c>
      <c r="J10637" s="67">
        <f t="shared" si="595"/>
        <v>5622.66</v>
      </c>
      <c r="K10637" s="1"/>
      <c r="L10637" s="70"/>
      <c r="M10637" s="79"/>
      <c r="N10637" s="1"/>
      <c r="O10637" s="1"/>
      <c r="P10637" s="1"/>
      <c r="Q10637" s="1"/>
      <c r="R10637" s="1"/>
      <c r="S10637" s="1"/>
      <c r="T10637" s="1"/>
      <c r="U10637" s="1"/>
      <c r="V10637" s="1"/>
      <c r="W10637" s="1"/>
      <c r="X10637" s="1"/>
      <c r="Y10637" s="1"/>
      <c r="Z10637" s="1"/>
      <c r="AA10637" s="1"/>
      <c r="AB10637" s="1"/>
      <c r="AC10637" s="1"/>
      <c r="AD10637" s="1"/>
      <c r="AE10637" s="1"/>
      <c r="AF10637" s="1"/>
      <c r="AG10637" s="1"/>
      <c r="AH10637" s="1"/>
    </row>
    <row r="10638" ht="12.75" hidden="1" customHeight="1" outlineLevel="1">
      <c r="A10638" s="1002">
        <v>43412.0</v>
      </c>
      <c r="B10638" s="992"/>
      <c r="C10638" s="32" t="s">
        <v>947</v>
      </c>
      <c r="D10638" s="1"/>
      <c r="F10638" s="1"/>
      <c r="G10638" s="1"/>
      <c r="H10638" s="68"/>
      <c r="I10638" s="76"/>
      <c r="K10638" s="201" t="s">
        <v>3687</v>
      </c>
      <c r="L10638" s="77"/>
      <c r="M10638" s="79"/>
      <c r="N10638" s="1"/>
      <c r="O10638" s="1"/>
      <c r="P10638" s="1"/>
      <c r="Q10638" s="1"/>
      <c r="R10638" s="1"/>
      <c r="S10638" s="1"/>
      <c r="T10638" s="1"/>
      <c r="U10638" s="1"/>
      <c r="V10638" s="1"/>
      <c r="W10638" s="1"/>
      <c r="X10638" s="1"/>
      <c r="Y10638" s="1"/>
      <c r="Z10638" s="1"/>
      <c r="AA10638" s="1"/>
      <c r="AB10638" s="1"/>
      <c r="AC10638" s="1"/>
      <c r="AD10638" s="1"/>
      <c r="AE10638" s="1"/>
      <c r="AF10638" s="1"/>
      <c r="AG10638" s="1"/>
      <c r="AH10638" s="1"/>
    </row>
    <row r="10639" ht="12.75" hidden="1" customHeight="1" outlineLevel="1">
      <c r="A10639" s="202">
        <v>43412.0</v>
      </c>
      <c r="B10639" s="992"/>
      <c r="C10639" s="32" t="s">
        <v>952</v>
      </c>
      <c r="D10639" s="1"/>
      <c r="F10639" s="1"/>
      <c r="G10639" s="1"/>
      <c r="H10639" s="68"/>
      <c r="I10639" s="76"/>
      <c r="K10639" s="9" t="s">
        <v>3688</v>
      </c>
      <c r="L10639" s="77"/>
      <c r="M10639" s="79"/>
      <c r="N10639" s="1"/>
      <c r="O10639" s="1"/>
      <c r="P10639" s="1"/>
      <c r="Q10639" s="1"/>
      <c r="R10639" s="1"/>
      <c r="S10639" s="1"/>
      <c r="T10639" s="1"/>
      <c r="U10639" s="1"/>
      <c r="V10639" s="1"/>
      <c r="W10639" s="1"/>
      <c r="X10639" s="1"/>
      <c r="Y10639" s="1"/>
      <c r="Z10639" s="1"/>
      <c r="AA10639" s="1"/>
      <c r="AB10639" s="1"/>
      <c r="AC10639" s="1"/>
      <c r="AD10639" s="1"/>
      <c r="AE10639" s="1"/>
      <c r="AF10639" s="1"/>
      <c r="AG10639" s="1"/>
      <c r="AH10639" s="1"/>
    </row>
    <row r="10640" ht="12.75" hidden="1" customHeight="1" outlineLevel="1">
      <c r="A10640" s="202">
        <v>43412.0</v>
      </c>
      <c r="B10640" s="992"/>
      <c r="C10640" s="32" t="s">
        <v>955</v>
      </c>
      <c r="D10640" s="1"/>
      <c r="F10640" s="1"/>
      <c r="G10640" s="1"/>
      <c r="H10640" s="68"/>
      <c r="I10640" s="76"/>
      <c r="K10640" s="9" t="s">
        <v>3689</v>
      </c>
      <c r="L10640" s="77"/>
      <c r="M10640" s="79"/>
      <c r="N10640" s="1"/>
      <c r="O10640" s="1"/>
      <c r="P10640" s="1"/>
      <c r="Q10640" s="1"/>
      <c r="R10640" s="1"/>
      <c r="S10640" s="1"/>
      <c r="T10640" s="1"/>
      <c r="U10640" s="1"/>
      <c r="V10640" s="1"/>
      <c r="W10640" s="1"/>
      <c r="X10640" s="1"/>
      <c r="Y10640" s="1"/>
      <c r="Z10640" s="1"/>
      <c r="AA10640" s="1"/>
      <c r="AB10640" s="1"/>
      <c r="AC10640" s="1"/>
      <c r="AD10640" s="1"/>
      <c r="AE10640" s="1"/>
      <c r="AF10640" s="1"/>
      <c r="AG10640" s="1"/>
      <c r="AH10640" s="1"/>
    </row>
    <row r="10641" ht="12.75" hidden="1" customHeight="1" outlineLevel="1">
      <c r="A10641" s="202">
        <v>43412.0</v>
      </c>
      <c r="B10641" s="992"/>
      <c r="C10641" s="32" t="s">
        <v>958</v>
      </c>
      <c r="D10641" s="1"/>
      <c r="F10641" s="1"/>
      <c r="G10641" s="1"/>
      <c r="H10641" s="68"/>
      <c r="I10641" s="76"/>
      <c r="K10641" s="9" t="s">
        <v>3690</v>
      </c>
      <c r="L10641" s="77"/>
      <c r="M10641" s="79"/>
      <c r="N10641" s="1"/>
      <c r="O10641" s="1"/>
      <c r="P10641" s="1"/>
      <c r="Q10641" s="1"/>
      <c r="R10641" s="1"/>
      <c r="S10641" s="1"/>
      <c r="T10641" s="1"/>
      <c r="U10641" s="1"/>
      <c r="V10641" s="1"/>
      <c r="W10641" s="1"/>
      <c r="X10641" s="1"/>
      <c r="Y10641" s="1"/>
      <c r="Z10641" s="1"/>
      <c r="AA10641" s="1"/>
      <c r="AB10641" s="1"/>
      <c r="AC10641" s="1"/>
      <c r="AD10641" s="1"/>
      <c r="AE10641" s="1"/>
      <c r="AF10641" s="1"/>
      <c r="AG10641" s="1"/>
      <c r="AH10641" s="1"/>
    </row>
    <row r="10642" ht="12.75" hidden="1" customHeight="1" outlineLevel="1">
      <c r="A10642" s="202">
        <v>43412.0</v>
      </c>
      <c r="B10642" s="992"/>
      <c r="C10642" s="32" t="s">
        <v>961</v>
      </c>
      <c r="D10642" s="1"/>
      <c r="F10642" s="1"/>
      <c r="G10642" s="1"/>
      <c r="H10642" s="68"/>
      <c r="I10642" s="76"/>
      <c r="K10642" s="9" t="s">
        <v>3691</v>
      </c>
      <c r="L10642" s="77"/>
      <c r="M10642" s="79"/>
      <c r="N10642" s="1"/>
      <c r="O10642" s="1"/>
      <c r="P10642" s="1"/>
      <c r="Q10642" s="1"/>
      <c r="R10642" s="1"/>
      <c r="S10642" s="1"/>
      <c r="T10642" s="1"/>
      <c r="U10642" s="1"/>
      <c r="V10642" s="1"/>
      <c r="W10642" s="1"/>
      <c r="X10642" s="1"/>
      <c r="Y10642" s="1"/>
      <c r="Z10642" s="1"/>
      <c r="AA10642" s="1"/>
      <c r="AB10642" s="1"/>
      <c r="AC10642" s="1"/>
      <c r="AD10642" s="1"/>
      <c r="AE10642" s="1"/>
      <c r="AF10642" s="1"/>
      <c r="AG10642" s="1"/>
      <c r="AH10642" s="1"/>
    </row>
    <row r="10643" ht="12.75" hidden="1" customHeight="1" outlineLevel="1">
      <c r="A10643" s="202">
        <v>43413.0</v>
      </c>
      <c r="B10643" s="985" t="s">
        <v>343</v>
      </c>
      <c r="C10643" s="94" t="s">
        <v>1070</v>
      </c>
      <c r="D10643" s="94">
        <v>15.0</v>
      </c>
      <c r="E10643" s="94">
        <v>308.38</v>
      </c>
      <c r="F10643" s="1003">
        <v>0.4054050925925926</v>
      </c>
      <c r="G10643" s="1004" t="s">
        <v>453</v>
      </c>
      <c r="H10643" s="987">
        <v>1.0</v>
      </c>
      <c r="I10643" s="988" t="s">
        <v>3145</v>
      </c>
      <c r="J10643" s="67">
        <f>IF(B10643="SLD",D10643*E10643,-D10643*E10643)-H10643</f>
        <v>-4626.7</v>
      </c>
      <c r="K10643" s="1"/>
      <c r="L10643" s="70"/>
      <c r="M10643" s="79"/>
      <c r="N10643" s="1"/>
      <c r="O10643" s="1"/>
      <c r="P10643" s="1"/>
      <c r="Q10643" s="1"/>
      <c r="R10643" s="1"/>
      <c r="S10643" s="1"/>
      <c r="T10643" s="1"/>
      <c r="U10643" s="1"/>
      <c r="V10643" s="1"/>
      <c r="W10643" s="1"/>
      <c r="X10643" s="1"/>
      <c r="Y10643" s="1"/>
      <c r="Z10643" s="1"/>
      <c r="AA10643" s="1"/>
      <c r="AB10643" s="1"/>
      <c r="AC10643" s="1"/>
      <c r="AD10643" s="1"/>
      <c r="AE10643" s="1"/>
      <c r="AF10643" s="1"/>
      <c r="AG10643" s="1"/>
      <c r="AH10643" s="1"/>
    </row>
    <row r="10644" ht="12.75" hidden="1" customHeight="1" outlineLevel="1">
      <c r="A10644" s="1002">
        <v>43413.0</v>
      </c>
      <c r="B10644" s="992"/>
      <c r="C10644" s="32" t="s">
        <v>947</v>
      </c>
      <c r="D10644" s="1"/>
      <c r="F10644" s="1"/>
      <c r="G10644" s="1"/>
      <c r="H10644" s="68"/>
      <c r="I10644" s="76"/>
      <c r="K10644" s="201" t="s">
        <v>3692</v>
      </c>
      <c r="L10644" s="77"/>
      <c r="M10644" s="79"/>
      <c r="N10644" s="1"/>
      <c r="O10644" s="1"/>
      <c r="P10644" s="1"/>
      <c r="Q10644" s="1"/>
      <c r="R10644" s="1"/>
      <c r="S10644" s="1"/>
      <c r="T10644" s="1"/>
      <c r="U10644" s="1"/>
      <c r="V10644" s="1"/>
      <c r="W10644" s="1"/>
      <c r="X10644" s="1"/>
      <c r="Y10644" s="1"/>
      <c r="Z10644" s="1"/>
      <c r="AA10644" s="1"/>
      <c r="AB10644" s="1"/>
      <c r="AC10644" s="1"/>
      <c r="AD10644" s="1"/>
      <c r="AE10644" s="1"/>
      <c r="AF10644" s="1"/>
      <c r="AG10644" s="1"/>
      <c r="AH10644" s="1"/>
    </row>
    <row r="10645" ht="12.75" hidden="1" customHeight="1" outlineLevel="1">
      <c r="A10645" s="1002">
        <v>43413.0</v>
      </c>
      <c r="B10645" s="992"/>
      <c r="C10645" s="32" t="s">
        <v>952</v>
      </c>
      <c r="D10645" s="1"/>
      <c r="F10645" s="1"/>
      <c r="G10645" s="1"/>
      <c r="H10645" s="68"/>
      <c r="I10645" s="76"/>
      <c r="K10645" s="9" t="s">
        <v>3693</v>
      </c>
      <c r="L10645" s="77"/>
      <c r="M10645" s="79"/>
      <c r="N10645" s="1"/>
      <c r="O10645" s="1"/>
      <c r="P10645" s="1"/>
      <c r="Q10645" s="1"/>
      <c r="R10645" s="1"/>
      <c r="S10645" s="1"/>
      <c r="T10645" s="1"/>
      <c r="U10645" s="1"/>
      <c r="V10645" s="1"/>
      <c r="W10645" s="1"/>
      <c r="X10645" s="1"/>
      <c r="Y10645" s="1"/>
      <c r="Z10645" s="1"/>
      <c r="AA10645" s="1"/>
      <c r="AB10645" s="1"/>
      <c r="AC10645" s="1"/>
      <c r="AD10645" s="1"/>
      <c r="AE10645" s="1"/>
      <c r="AF10645" s="1"/>
      <c r="AG10645" s="1"/>
      <c r="AH10645" s="1"/>
    </row>
    <row r="10646" ht="12.75" hidden="1" customHeight="1" outlineLevel="1">
      <c r="A10646" s="1002">
        <v>43413.0</v>
      </c>
      <c r="B10646" s="992"/>
      <c r="C10646" s="32" t="s">
        <v>955</v>
      </c>
      <c r="D10646" s="1"/>
      <c r="F10646" s="1"/>
      <c r="G10646" s="1"/>
      <c r="H10646" s="68"/>
      <c r="I10646" s="76"/>
      <c r="K10646" s="9" t="s">
        <v>3694</v>
      </c>
      <c r="L10646" s="77"/>
      <c r="M10646" s="79"/>
      <c r="N10646" s="1"/>
      <c r="O10646" s="1"/>
      <c r="P10646" s="1"/>
      <c r="Q10646" s="1"/>
      <c r="R10646" s="1"/>
      <c r="S10646" s="1"/>
      <c r="T10646" s="1"/>
      <c r="U10646" s="1"/>
      <c r="V10646" s="1"/>
      <c r="W10646" s="1"/>
      <c r="X10646" s="1"/>
      <c r="Y10646" s="1"/>
      <c r="Z10646" s="1"/>
      <c r="AA10646" s="1"/>
      <c r="AB10646" s="1"/>
      <c r="AC10646" s="1"/>
      <c r="AD10646" s="1"/>
      <c r="AE10646" s="1"/>
      <c r="AF10646" s="1"/>
      <c r="AG10646" s="1"/>
      <c r="AH10646" s="1"/>
    </row>
    <row r="10647" ht="12.75" hidden="1" customHeight="1" outlineLevel="1">
      <c r="A10647" s="1002">
        <v>43413.0</v>
      </c>
      <c r="B10647" s="992"/>
      <c r="C10647" s="32" t="s">
        <v>958</v>
      </c>
      <c r="D10647" s="1"/>
      <c r="F10647" s="1"/>
      <c r="G10647" s="1"/>
      <c r="H10647" s="68"/>
      <c r="I10647" s="76"/>
      <c r="K10647" s="9" t="s">
        <v>3695</v>
      </c>
      <c r="L10647" s="77"/>
      <c r="M10647" s="79"/>
      <c r="N10647" s="1"/>
      <c r="O10647" s="1"/>
      <c r="P10647" s="1"/>
      <c r="Q10647" s="1"/>
      <c r="R10647" s="1"/>
      <c r="S10647" s="1"/>
      <c r="T10647" s="1"/>
      <c r="U10647" s="1"/>
      <c r="V10647" s="1"/>
      <c r="W10647" s="1"/>
      <c r="X10647" s="1"/>
      <c r="Y10647" s="1"/>
      <c r="Z10647" s="1"/>
      <c r="AA10647" s="1"/>
      <c r="AB10647" s="1"/>
      <c r="AC10647" s="1"/>
      <c r="AD10647" s="1"/>
      <c r="AE10647" s="1"/>
      <c r="AF10647" s="1"/>
      <c r="AG10647" s="1"/>
      <c r="AH10647" s="1"/>
    </row>
    <row r="10648" ht="12.75" hidden="1" customHeight="1" outlineLevel="1">
      <c r="A10648" s="1002">
        <v>43413.0</v>
      </c>
      <c r="B10648" s="992"/>
      <c r="C10648" s="32" t="s">
        <v>961</v>
      </c>
      <c r="D10648" s="1"/>
      <c r="F10648" s="1"/>
      <c r="G10648" s="1"/>
      <c r="H10648" s="68"/>
      <c r="I10648" s="76"/>
      <c r="K10648" s="9" t="s">
        <v>3691</v>
      </c>
      <c r="L10648" s="77"/>
      <c r="M10648" s="79"/>
      <c r="N10648" s="1"/>
      <c r="O10648" s="1"/>
      <c r="P10648" s="1"/>
      <c r="Q10648" s="1"/>
      <c r="R10648" s="1"/>
      <c r="S10648" s="1"/>
      <c r="T10648" s="1"/>
      <c r="U10648" s="1"/>
      <c r="V10648" s="1"/>
      <c r="W10648" s="1"/>
      <c r="X10648" s="1"/>
      <c r="Y10648" s="1"/>
      <c r="Z10648" s="1"/>
      <c r="AA10648" s="1"/>
      <c r="AB10648" s="1"/>
      <c r="AC10648" s="1"/>
      <c r="AD10648" s="1"/>
      <c r="AE10648" s="1"/>
      <c r="AF10648" s="1"/>
      <c r="AG10648" s="1"/>
      <c r="AH10648" s="1"/>
    </row>
    <row r="10649" ht="12.75" hidden="1" customHeight="1" outlineLevel="1">
      <c r="A10649" s="202">
        <v>43417.0</v>
      </c>
      <c r="B10649" s="985" t="s">
        <v>343</v>
      </c>
      <c r="C10649" s="94" t="s">
        <v>381</v>
      </c>
      <c r="D10649" s="94">
        <v>75.0</v>
      </c>
      <c r="E10649" s="94">
        <v>142.6573</v>
      </c>
      <c r="F10649" s="1003">
        <v>0.42939814814814814</v>
      </c>
      <c r="G10649" s="1004" t="s">
        <v>453</v>
      </c>
      <c r="H10649" s="987">
        <v>1.0</v>
      </c>
      <c r="I10649" s="988" t="s">
        <v>3145</v>
      </c>
      <c r="J10649" s="67">
        <f t="shared" ref="J10649:J10658" si="596">IF(B10649="SLD",D10649*E10649,-D10649*E10649)-H10649</f>
        <v>-10700.2975</v>
      </c>
      <c r="K10649" s="1"/>
      <c r="L10649" s="70"/>
      <c r="M10649" s="79"/>
      <c r="N10649" s="1"/>
      <c r="O10649" s="1"/>
      <c r="P10649" s="1"/>
      <c r="Q10649" s="1"/>
      <c r="R10649" s="1"/>
      <c r="S10649" s="1"/>
      <c r="T10649" s="1"/>
      <c r="U10649" s="1"/>
      <c r="V10649" s="1"/>
      <c r="W10649" s="1"/>
      <c r="X10649" s="1"/>
      <c r="Y10649" s="1"/>
      <c r="Z10649" s="1"/>
      <c r="AA10649" s="1"/>
      <c r="AB10649" s="1"/>
      <c r="AC10649" s="1"/>
      <c r="AD10649" s="1"/>
      <c r="AE10649" s="1"/>
      <c r="AF10649" s="1"/>
      <c r="AG10649" s="1"/>
      <c r="AH10649" s="1"/>
    </row>
    <row r="10650" ht="12.75" hidden="1" customHeight="1" outlineLevel="1">
      <c r="A10650" s="202">
        <v>43417.0</v>
      </c>
      <c r="B10650" s="985" t="s">
        <v>343</v>
      </c>
      <c r="C10650" s="94" t="s">
        <v>1035</v>
      </c>
      <c r="D10650" s="94">
        <v>10.0</v>
      </c>
      <c r="E10650" s="94">
        <v>1050.89</v>
      </c>
      <c r="F10650" s="1003">
        <v>0.43019675925925926</v>
      </c>
      <c r="G10650" s="1004" t="s">
        <v>453</v>
      </c>
      <c r="H10650" s="987">
        <v>1.0</v>
      </c>
      <c r="I10650" s="988" t="s">
        <v>3145</v>
      </c>
      <c r="J10650" s="67">
        <f t="shared" si="596"/>
        <v>-10509.9</v>
      </c>
      <c r="K10650" s="1"/>
      <c r="L10650" s="70"/>
      <c r="M10650" s="79"/>
      <c r="N10650" s="1"/>
      <c r="O10650" s="1"/>
      <c r="P10650" s="1"/>
      <c r="Q10650" s="1"/>
      <c r="R10650" s="1"/>
      <c r="S10650" s="1"/>
      <c r="T10650" s="1"/>
      <c r="U10650" s="1"/>
      <c r="V10650" s="1"/>
      <c r="W10650" s="1"/>
      <c r="X10650" s="1"/>
      <c r="Y10650" s="1"/>
      <c r="Z10650" s="1"/>
      <c r="AA10650" s="1"/>
      <c r="AB10650" s="1"/>
      <c r="AC10650" s="1"/>
      <c r="AD10650" s="1"/>
      <c r="AE10650" s="1"/>
      <c r="AF10650" s="1"/>
      <c r="AG10650" s="1"/>
      <c r="AH10650" s="1"/>
    </row>
    <row r="10651" ht="12.75" hidden="1" customHeight="1" outlineLevel="1">
      <c r="A10651" s="202">
        <v>43417.0</v>
      </c>
      <c r="B10651" s="985" t="s">
        <v>343</v>
      </c>
      <c r="C10651" s="94" t="s">
        <v>1187</v>
      </c>
      <c r="D10651" s="94">
        <v>150.0</v>
      </c>
      <c r="E10651" s="94">
        <v>75.303</v>
      </c>
      <c r="F10651" s="1003">
        <v>0.4306828703703704</v>
      </c>
      <c r="G10651" s="1004" t="s">
        <v>453</v>
      </c>
      <c r="H10651" s="987">
        <v>1.0</v>
      </c>
      <c r="I10651" s="988" t="s">
        <v>3145</v>
      </c>
      <c r="J10651" s="67">
        <f t="shared" si="596"/>
        <v>-11296.45</v>
      </c>
      <c r="K10651" s="1"/>
      <c r="L10651" s="70"/>
      <c r="M10651" s="79"/>
      <c r="N10651" s="1"/>
      <c r="O10651" s="1"/>
      <c r="P10651" s="1"/>
      <c r="Q10651" s="1"/>
      <c r="R10651" s="1"/>
      <c r="S10651" s="1"/>
      <c r="T10651" s="1"/>
      <c r="U10651" s="1"/>
      <c r="V10651" s="1"/>
      <c r="W10651" s="1"/>
      <c r="X10651" s="1"/>
      <c r="Y10651" s="1"/>
      <c r="Z10651" s="1"/>
      <c r="AA10651" s="1"/>
      <c r="AB10651" s="1"/>
      <c r="AC10651" s="1"/>
      <c r="AD10651" s="1"/>
      <c r="AE10651" s="1"/>
      <c r="AF10651" s="1"/>
      <c r="AG10651" s="1"/>
      <c r="AH10651" s="1"/>
    </row>
    <row r="10652" ht="12.75" hidden="1" customHeight="1" outlineLevel="1">
      <c r="A10652" s="202">
        <v>43417.0</v>
      </c>
      <c r="B10652" s="985" t="s">
        <v>343</v>
      </c>
      <c r="C10652" s="94" t="s">
        <v>1431</v>
      </c>
      <c r="D10652" s="94">
        <v>125.0</v>
      </c>
      <c r="E10652" s="94">
        <v>44.52</v>
      </c>
      <c r="F10652" s="1003">
        <v>0.43114583333333334</v>
      </c>
      <c r="G10652" s="1004" t="s">
        <v>453</v>
      </c>
      <c r="H10652" s="987">
        <v>1.0</v>
      </c>
      <c r="I10652" s="988" t="s">
        <v>3145</v>
      </c>
      <c r="J10652" s="67">
        <f t="shared" si="596"/>
        <v>-5566</v>
      </c>
      <c r="K10652" s="1"/>
      <c r="L10652" s="70"/>
      <c r="M10652" s="79"/>
      <c r="N10652" s="1"/>
      <c r="O10652" s="1"/>
      <c r="P10652" s="1"/>
      <c r="Q10652" s="1"/>
      <c r="R10652" s="1"/>
      <c r="S10652" s="1"/>
      <c r="T10652" s="1"/>
      <c r="U10652" s="1"/>
      <c r="V10652" s="1"/>
      <c r="W10652" s="1"/>
      <c r="X10652" s="1"/>
      <c r="Y10652" s="1"/>
      <c r="Z10652" s="1"/>
      <c r="AA10652" s="1"/>
      <c r="AB10652" s="1"/>
      <c r="AC10652" s="1"/>
      <c r="AD10652" s="1"/>
      <c r="AE10652" s="1"/>
      <c r="AF10652" s="1"/>
      <c r="AG10652" s="1"/>
      <c r="AH10652" s="1"/>
    </row>
    <row r="10653" ht="12.75" hidden="1" customHeight="1" outlineLevel="1">
      <c r="A10653" s="202">
        <v>43417.0</v>
      </c>
      <c r="B10653" s="985" t="s">
        <v>347</v>
      </c>
      <c r="C10653" s="94" t="s">
        <v>423</v>
      </c>
      <c r="D10653" s="94">
        <v>50.0</v>
      </c>
      <c r="E10653" s="94">
        <v>102.75</v>
      </c>
      <c r="F10653" s="1003">
        <v>0.43547453703703703</v>
      </c>
      <c r="G10653" s="1004" t="s">
        <v>453</v>
      </c>
      <c r="H10653" s="987">
        <v>1.07</v>
      </c>
      <c r="I10653" s="988" t="s">
        <v>3145</v>
      </c>
      <c r="J10653" s="67">
        <f t="shared" si="596"/>
        <v>5136.43</v>
      </c>
      <c r="K10653" s="1"/>
      <c r="L10653" s="70"/>
      <c r="M10653" s="79"/>
      <c r="N10653" s="1"/>
      <c r="O10653" s="1"/>
      <c r="P10653" s="1"/>
      <c r="Q10653" s="1"/>
      <c r="R10653" s="1"/>
      <c r="S10653" s="1"/>
      <c r="T10653" s="1"/>
      <c r="U10653" s="1"/>
      <c r="V10653" s="1"/>
      <c r="W10653" s="1"/>
      <c r="X10653" s="1"/>
      <c r="Y10653" s="1"/>
      <c r="Z10653" s="1"/>
      <c r="AA10653" s="1"/>
      <c r="AB10653" s="1"/>
      <c r="AC10653" s="1"/>
      <c r="AD10653" s="1"/>
      <c r="AE10653" s="1"/>
      <c r="AF10653" s="1"/>
      <c r="AG10653" s="1"/>
      <c r="AH10653" s="1"/>
    </row>
    <row r="10654" ht="12.75" hidden="1" customHeight="1" outlineLevel="1">
      <c r="A10654" s="202">
        <v>43417.0</v>
      </c>
      <c r="B10654" s="985" t="s">
        <v>347</v>
      </c>
      <c r="C10654" s="94" t="s">
        <v>1363</v>
      </c>
      <c r="D10654" s="94">
        <v>30.0</v>
      </c>
      <c r="E10654" s="94">
        <v>288.265</v>
      </c>
      <c r="F10654" s="1003">
        <v>0.4363310185185185</v>
      </c>
      <c r="G10654" s="1004" t="s">
        <v>453</v>
      </c>
      <c r="H10654" s="987">
        <v>1.12</v>
      </c>
      <c r="I10654" s="988" t="s">
        <v>3145</v>
      </c>
      <c r="J10654" s="67">
        <f t="shared" si="596"/>
        <v>8646.83</v>
      </c>
      <c r="K10654" s="1"/>
      <c r="L10654" s="70"/>
      <c r="M10654" s="79"/>
      <c r="N10654" s="1"/>
      <c r="O10654" s="1"/>
      <c r="P10654" s="1"/>
      <c r="Q10654" s="1"/>
      <c r="R10654" s="1"/>
      <c r="S10654" s="1"/>
      <c r="T10654" s="1"/>
      <c r="U10654" s="1"/>
      <c r="V10654" s="1"/>
      <c r="W10654" s="1"/>
      <c r="X10654" s="1"/>
      <c r="Y10654" s="1"/>
      <c r="Z10654" s="1"/>
      <c r="AA10654" s="1"/>
      <c r="AB10654" s="1"/>
      <c r="AC10654" s="1"/>
      <c r="AD10654" s="1"/>
      <c r="AE10654" s="1"/>
      <c r="AF10654" s="1"/>
      <c r="AG10654" s="1"/>
      <c r="AH10654" s="1"/>
    </row>
    <row r="10655" ht="12.75" hidden="1" customHeight="1" outlineLevel="1">
      <c r="A10655" s="202">
        <v>43417.0</v>
      </c>
      <c r="B10655" s="985" t="s">
        <v>343</v>
      </c>
      <c r="C10655" s="94" t="s">
        <v>1088</v>
      </c>
      <c r="D10655" s="94">
        <v>5.0</v>
      </c>
      <c r="E10655" s="94">
        <v>2384.9889</v>
      </c>
      <c r="F10655" s="1003">
        <v>0.4366435185185185</v>
      </c>
      <c r="G10655" s="1004" t="s">
        <v>453</v>
      </c>
      <c r="H10655" s="987">
        <v>1.0</v>
      </c>
      <c r="I10655" s="988" t="s">
        <v>3145</v>
      </c>
      <c r="J10655" s="67">
        <f t="shared" si="596"/>
        <v>-11925.9445</v>
      </c>
      <c r="K10655" s="1"/>
      <c r="L10655" s="70"/>
      <c r="M10655" s="79"/>
      <c r="N10655" s="1"/>
      <c r="O10655" s="1"/>
      <c r="P10655" s="1"/>
      <c r="Q10655" s="1"/>
      <c r="R10655" s="1"/>
      <c r="S10655" s="1"/>
      <c r="T10655" s="1"/>
      <c r="U10655" s="1"/>
      <c r="V10655" s="1"/>
      <c r="W10655" s="1"/>
      <c r="X10655" s="1"/>
      <c r="Y10655" s="1"/>
      <c r="Z10655" s="1"/>
      <c r="AA10655" s="1"/>
      <c r="AB10655" s="1"/>
      <c r="AC10655" s="1"/>
      <c r="AD10655" s="1"/>
      <c r="AE10655" s="1"/>
      <c r="AF10655" s="1"/>
      <c r="AG10655" s="1"/>
      <c r="AH10655" s="1"/>
    </row>
    <row r="10656" ht="12.75" hidden="1" customHeight="1" outlineLevel="1">
      <c r="A10656" s="202">
        <v>43417.0</v>
      </c>
      <c r="B10656" s="985" t="s">
        <v>347</v>
      </c>
      <c r="C10656" s="94" t="s">
        <v>2395</v>
      </c>
      <c r="D10656" s="94">
        <v>100.0</v>
      </c>
      <c r="E10656" s="94">
        <v>60.59</v>
      </c>
      <c r="F10656" s="1003">
        <v>0.4411111111111111</v>
      </c>
      <c r="G10656" s="1004" t="s">
        <v>453</v>
      </c>
      <c r="H10656" s="987">
        <v>1.09</v>
      </c>
      <c r="I10656" s="988" t="s">
        <v>3145</v>
      </c>
      <c r="J10656" s="67">
        <f t="shared" si="596"/>
        <v>6057.91</v>
      </c>
      <c r="K10656" s="1"/>
      <c r="L10656" s="70"/>
      <c r="M10656" s="79"/>
      <c r="N10656" s="1"/>
      <c r="O10656" s="1"/>
      <c r="P10656" s="1"/>
      <c r="Q10656" s="1"/>
      <c r="R10656" s="1"/>
      <c r="S10656" s="1"/>
      <c r="T10656" s="1"/>
      <c r="U10656" s="1"/>
      <c r="V10656" s="1"/>
      <c r="W10656" s="1"/>
      <c r="X10656" s="1"/>
      <c r="Y10656" s="1"/>
      <c r="Z10656" s="1"/>
      <c r="AA10656" s="1"/>
      <c r="AB10656" s="1"/>
      <c r="AC10656" s="1"/>
      <c r="AD10656" s="1"/>
      <c r="AE10656" s="1"/>
      <c r="AF10656" s="1"/>
      <c r="AG10656" s="1"/>
      <c r="AH10656" s="1"/>
    </row>
    <row r="10657" ht="12.75" hidden="1" customHeight="1" outlineLevel="1">
      <c r="A10657" s="202">
        <v>43417.0</v>
      </c>
      <c r="B10657" s="985" t="s">
        <v>347</v>
      </c>
      <c r="C10657" s="94" t="s">
        <v>1221</v>
      </c>
      <c r="D10657" s="94">
        <v>75.0</v>
      </c>
      <c r="E10657" s="94">
        <v>55.6664</v>
      </c>
      <c r="F10657" s="1003">
        <v>0.4427314814814815</v>
      </c>
      <c r="G10657" s="1004" t="s">
        <v>453</v>
      </c>
      <c r="H10657" s="987">
        <v>1.06</v>
      </c>
      <c r="I10657" s="988" t="s">
        <v>3145</v>
      </c>
      <c r="J10657" s="67">
        <f t="shared" si="596"/>
        <v>4173.92</v>
      </c>
      <c r="K10657" s="1"/>
      <c r="L10657" s="70"/>
      <c r="M10657" s="79"/>
      <c r="N10657" s="1"/>
      <c r="O10657" s="1"/>
      <c r="P10657" s="1"/>
      <c r="Q10657" s="1"/>
      <c r="R10657" s="1"/>
      <c r="S10657" s="1"/>
      <c r="T10657" s="1"/>
      <c r="U10657" s="1"/>
      <c r="V10657" s="1"/>
      <c r="W10657" s="1"/>
      <c r="X10657" s="1"/>
      <c r="Y10657" s="1"/>
      <c r="Z10657" s="1"/>
      <c r="AA10657" s="1"/>
      <c r="AB10657" s="1"/>
      <c r="AC10657" s="1"/>
      <c r="AD10657" s="1"/>
      <c r="AE10657" s="1"/>
      <c r="AF10657" s="1"/>
      <c r="AG10657" s="1"/>
      <c r="AH10657" s="1"/>
    </row>
    <row r="10658" ht="12.75" hidden="1" customHeight="1" outlineLevel="1">
      <c r="A10658" s="202">
        <v>43417.0</v>
      </c>
      <c r="B10658" s="985" t="s">
        <v>343</v>
      </c>
      <c r="C10658" s="94" t="s">
        <v>1040</v>
      </c>
      <c r="D10658" s="94">
        <v>100.0</v>
      </c>
      <c r="E10658" s="94">
        <v>107.9885</v>
      </c>
      <c r="F10658" s="1003">
        <v>0.44318287037037035</v>
      </c>
      <c r="G10658" s="1004" t="s">
        <v>453</v>
      </c>
      <c r="H10658" s="987">
        <v>1.0</v>
      </c>
      <c r="I10658" s="988" t="s">
        <v>3145</v>
      </c>
      <c r="J10658" s="67">
        <f t="shared" si="596"/>
        <v>-10799.85</v>
      </c>
      <c r="K10658" s="1"/>
      <c r="L10658" s="70"/>
      <c r="M10658" s="79"/>
      <c r="N10658" s="1"/>
      <c r="O10658" s="1"/>
      <c r="P10658" s="1"/>
      <c r="Q10658" s="1"/>
      <c r="R10658" s="1"/>
      <c r="S10658" s="1"/>
      <c r="T10658" s="1"/>
      <c r="U10658" s="1"/>
      <c r="V10658" s="1"/>
      <c r="W10658" s="1"/>
      <c r="X10658" s="1"/>
      <c r="Y10658" s="1"/>
      <c r="Z10658" s="1"/>
      <c r="AA10658" s="1"/>
      <c r="AB10658" s="1"/>
      <c r="AC10658" s="1"/>
      <c r="AD10658" s="1"/>
      <c r="AE10658" s="1"/>
      <c r="AF10658" s="1"/>
      <c r="AG10658" s="1"/>
      <c r="AH10658" s="1"/>
    </row>
    <row r="10659" ht="12.75" hidden="1" customHeight="1" outlineLevel="1">
      <c r="A10659" s="1002">
        <v>43419.0</v>
      </c>
      <c r="B10659" s="992"/>
      <c r="C10659" s="32" t="s">
        <v>947</v>
      </c>
      <c r="D10659" s="1"/>
      <c r="F10659" s="1"/>
      <c r="G10659" s="1"/>
      <c r="H10659" s="68"/>
      <c r="I10659" s="76"/>
      <c r="K10659" s="201" t="s">
        <v>3696</v>
      </c>
      <c r="L10659" s="77"/>
      <c r="M10659" s="79"/>
      <c r="N10659" s="1"/>
      <c r="O10659" s="1"/>
      <c r="P10659" s="1"/>
      <c r="Q10659" s="1"/>
      <c r="R10659" s="1"/>
      <c r="S10659" s="1"/>
      <c r="T10659" s="1"/>
      <c r="U10659" s="1"/>
      <c r="V10659" s="1"/>
      <c r="W10659" s="1"/>
      <c r="X10659" s="1"/>
      <c r="Y10659" s="1"/>
      <c r="Z10659" s="1"/>
      <c r="AA10659" s="1"/>
      <c r="AB10659" s="1"/>
      <c r="AC10659" s="1"/>
      <c r="AD10659" s="1"/>
      <c r="AE10659" s="1"/>
      <c r="AF10659" s="1"/>
      <c r="AG10659" s="1"/>
      <c r="AH10659" s="1"/>
    </row>
    <row r="10660" ht="12.75" hidden="1" customHeight="1" outlineLevel="1">
      <c r="A10660" s="1002">
        <v>43419.0</v>
      </c>
      <c r="B10660" s="992"/>
      <c r="C10660" s="32" t="s">
        <v>952</v>
      </c>
      <c r="D10660" s="1"/>
      <c r="F10660" s="1"/>
      <c r="G10660" s="1"/>
      <c r="H10660" s="68"/>
      <c r="I10660" s="76"/>
      <c r="K10660" s="9" t="s">
        <v>3697</v>
      </c>
      <c r="L10660" s="77"/>
      <c r="M10660" s="79"/>
      <c r="N10660" s="1"/>
      <c r="O10660" s="1"/>
      <c r="P10660" s="1"/>
      <c r="Q10660" s="1"/>
      <c r="R10660" s="1"/>
      <c r="S10660" s="1"/>
      <c r="T10660" s="1"/>
      <c r="U10660" s="1"/>
      <c r="V10660" s="1"/>
      <c r="W10660" s="1"/>
      <c r="X10660" s="1"/>
      <c r="Y10660" s="1"/>
      <c r="Z10660" s="1"/>
      <c r="AA10660" s="1"/>
      <c r="AB10660" s="1"/>
      <c r="AC10660" s="1"/>
      <c r="AD10660" s="1"/>
      <c r="AE10660" s="1"/>
      <c r="AF10660" s="1"/>
      <c r="AG10660" s="1"/>
      <c r="AH10660" s="1"/>
    </row>
    <row r="10661" ht="12.75" hidden="1" customHeight="1" outlineLevel="1">
      <c r="A10661" s="1002">
        <v>43419.0</v>
      </c>
      <c r="B10661" s="992"/>
      <c r="C10661" s="32" t="s">
        <v>955</v>
      </c>
      <c r="D10661" s="1"/>
      <c r="F10661" s="1"/>
      <c r="G10661" s="1"/>
      <c r="H10661" s="68"/>
      <c r="I10661" s="76"/>
      <c r="K10661" s="9" t="s">
        <v>3698</v>
      </c>
      <c r="L10661" s="77"/>
      <c r="M10661" s="79"/>
      <c r="N10661" s="1"/>
      <c r="O10661" s="1"/>
      <c r="P10661" s="1"/>
      <c r="Q10661" s="1"/>
      <c r="R10661" s="1"/>
      <c r="S10661" s="1"/>
      <c r="T10661" s="1"/>
      <c r="U10661" s="1"/>
      <c r="V10661" s="1"/>
      <c r="W10661" s="1"/>
      <c r="X10661" s="1"/>
      <c r="Y10661" s="1"/>
      <c r="Z10661" s="1"/>
      <c r="AA10661" s="1"/>
      <c r="AB10661" s="1"/>
      <c r="AC10661" s="1"/>
      <c r="AD10661" s="1"/>
      <c r="AE10661" s="1"/>
      <c r="AF10661" s="1"/>
      <c r="AG10661" s="1"/>
      <c r="AH10661" s="1"/>
    </row>
    <row r="10662" ht="12.75" hidden="1" customHeight="1" outlineLevel="1">
      <c r="A10662" s="1002">
        <v>43419.0</v>
      </c>
      <c r="B10662" s="992"/>
      <c r="C10662" s="32" t="s">
        <v>958</v>
      </c>
      <c r="D10662" s="1"/>
      <c r="F10662" s="1"/>
      <c r="G10662" s="1"/>
      <c r="H10662" s="68"/>
      <c r="I10662" s="76"/>
      <c r="K10662" s="9" t="s">
        <v>3699</v>
      </c>
      <c r="L10662" s="77"/>
      <c r="M10662" s="79"/>
      <c r="N10662" s="1"/>
      <c r="O10662" s="1"/>
      <c r="P10662" s="1"/>
      <c r="Q10662" s="1"/>
      <c r="R10662" s="1"/>
      <c r="S10662" s="1"/>
      <c r="T10662" s="1"/>
      <c r="U10662" s="1"/>
      <c r="V10662" s="1"/>
      <c r="W10662" s="1"/>
      <c r="X10662" s="1"/>
      <c r="Y10662" s="1"/>
      <c r="Z10662" s="1"/>
      <c r="AA10662" s="1"/>
      <c r="AB10662" s="1"/>
      <c r="AC10662" s="1"/>
      <c r="AD10662" s="1"/>
      <c r="AE10662" s="1"/>
      <c r="AF10662" s="1"/>
      <c r="AG10662" s="1"/>
      <c r="AH10662" s="1"/>
    </row>
    <row r="10663" ht="12.75" hidden="1" customHeight="1" outlineLevel="1">
      <c r="A10663" s="1002">
        <v>43419.0</v>
      </c>
      <c r="B10663" s="992"/>
      <c r="C10663" s="32" t="s">
        <v>961</v>
      </c>
      <c r="D10663" s="1"/>
      <c r="F10663" s="1"/>
      <c r="G10663" s="1"/>
      <c r="H10663" s="68"/>
      <c r="I10663" s="76"/>
      <c r="K10663" s="9" t="s">
        <v>3691</v>
      </c>
      <c r="L10663" s="77"/>
      <c r="M10663" s="79"/>
      <c r="N10663" s="1"/>
      <c r="O10663" s="1"/>
      <c r="P10663" s="1"/>
      <c r="Q10663" s="1"/>
      <c r="R10663" s="1"/>
      <c r="S10663" s="1"/>
      <c r="T10663" s="1"/>
      <c r="U10663" s="1"/>
      <c r="V10663" s="1"/>
      <c r="W10663" s="1"/>
      <c r="X10663" s="1"/>
      <c r="Y10663" s="1"/>
      <c r="Z10663" s="1"/>
      <c r="AA10663" s="1"/>
      <c r="AB10663" s="1"/>
      <c r="AC10663" s="1"/>
      <c r="AD10663" s="1"/>
      <c r="AE10663" s="1"/>
      <c r="AF10663" s="1"/>
      <c r="AG10663" s="1"/>
      <c r="AH10663" s="1"/>
    </row>
    <row r="10664" ht="12.75" hidden="1" customHeight="1" outlineLevel="1">
      <c r="A10664" s="202">
        <v>43420.0</v>
      </c>
      <c r="B10664" s="985" t="s">
        <v>347</v>
      </c>
      <c r="C10664" s="94" t="s">
        <v>1516</v>
      </c>
      <c r="D10664" s="94">
        <v>35.0</v>
      </c>
      <c r="E10664" s="94">
        <v>154.194</v>
      </c>
      <c r="F10664" s="1003">
        <v>0.496875</v>
      </c>
      <c r="G10664" s="1004" t="s">
        <v>453</v>
      </c>
      <c r="H10664" s="987">
        <v>1.07</v>
      </c>
      <c r="I10664" s="988" t="s">
        <v>3145</v>
      </c>
      <c r="J10664" s="67">
        <f t="shared" ref="J10664:J10671" si="597">IF(B10664="SLD",D10664*E10664,-D10664*E10664)-H10664</f>
        <v>5395.72</v>
      </c>
      <c r="K10664" s="1"/>
      <c r="L10664" s="70"/>
      <c r="M10664" s="79"/>
      <c r="N10664" s="1"/>
      <c r="O10664" s="1"/>
      <c r="P10664" s="1"/>
      <c r="Q10664" s="1"/>
      <c r="R10664" s="1"/>
      <c r="S10664" s="1"/>
      <c r="T10664" s="1"/>
      <c r="U10664" s="1"/>
      <c r="V10664" s="1"/>
      <c r="W10664" s="1"/>
      <c r="X10664" s="1"/>
      <c r="Y10664" s="1"/>
      <c r="Z10664" s="1"/>
      <c r="AA10664" s="1"/>
      <c r="AB10664" s="1"/>
      <c r="AC10664" s="1"/>
      <c r="AD10664" s="1"/>
      <c r="AE10664" s="1"/>
      <c r="AF10664" s="1"/>
      <c r="AG10664" s="1"/>
      <c r="AH10664" s="1"/>
    </row>
    <row r="10665" ht="12.75" hidden="1" customHeight="1" outlineLevel="1">
      <c r="A10665" s="202">
        <v>43420.0</v>
      </c>
      <c r="B10665" s="985" t="s">
        <v>347</v>
      </c>
      <c r="C10665" s="94" t="s">
        <v>1290</v>
      </c>
      <c r="D10665" s="94">
        <v>50.0</v>
      </c>
      <c r="E10665" s="94">
        <v>106.78</v>
      </c>
      <c r="F10665" s="1003">
        <v>0.49722222222222223</v>
      </c>
      <c r="G10665" s="1004" t="s">
        <v>453</v>
      </c>
      <c r="H10665" s="987">
        <v>1.08</v>
      </c>
      <c r="I10665" s="988" t="s">
        <v>3145</v>
      </c>
      <c r="J10665" s="67">
        <f t="shared" si="597"/>
        <v>5337.92</v>
      </c>
      <c r="K10665" s="1"/>
      <c r="L10665" s="70"/>
      <c r="M10665" s="79"/>
      <c r="N10665" s="1"/>
      <c r="O10665" s="1"/>
      <c r="P10665" s="1"/>
      <c r="Q10665" s="1"/>
      <c r="R10665" s="1"/>
      <c r="S10665" s="1"/>
      <c r="T10665" s="1"/>
      <c r="U10665" s="1"/>
      <c r="V10665" s="1"/>
      <c r="W10665" s="1"/>
      <c r="X10665" s="1"/>
      <c r="Y10665" s="1"/>
      <c r="Z10665" s="1"/>
      <c r="AA10665" s="1"/>
      <c r="AB10665" s="1"/>
      <c r="AC10665" s="1"/>
      <c r="AD10665" s="1"/>
      <c r="AE10665" s="1"/>
      <c r="AF10665" s="1"/>
      <c r="AG10665" s="1"/>
      <c r="AH10665" s="1"/>
    </row>
    <row r="10666" ht="12.75" hidden="1" customHeight="1" outlineLevel="1">
      <c r="A10666" s="202">
        <v>43420.0</v>
      </c>
      <c r="B10666" s="985" t="s">
        <v>347</v>
      </c>
      <c r="C10666" s="94" t="s">
        <v>1480</v>
      </c>
      <c r="D10666" s="94">
        <v>50.0</v>
      </c>
      <c r="E10666" s="94">
        <v>149.2427</v>
      </c>
      <c r="F10666" s="1003">
        <v>0.4975462962962963</v>
      </c>
      <c r="G10666" s="1004" t="s">
        <v>453</v>
      </c>
      <c r="H10666" s="987">
        <v>1.1</v>
      </c>
      <c r="I10666" s="988" t="s">
        <v>3145</v>
      </c>
      <c r="J10666" s="67">
        <f t="shared" si="597"/>
        <v>7461.035</v>
      </c>
      <c r="K10666" s="1"/>
      <c r="L10666" s="70"/>
      <c r="M10666" s="79"/>
      <c r="N10666" s="1"/>
      <c r="O10666" s="1"/>
      <c r="P10666" s="1"/>
      <c r="Q10666" s="1"/>
      <c r="R10666" s="1"/>
      <c r="S10666" s="1"/>
      <c r="T10666" s="1"/>
      <c r="U10666" s="1"/>
      <c r="V10666" s="1"/>
      <c r="W10666" s="1"/>
      <c r="X10666" s="1"/>
      <c r="Y10666" s="1"/>
      <c r="Z10666" s="1"/>
      <c r="AA10666" s="1"/>
      <c r="AB10666" s="1"/>
      <c r="AC10666" s="1"/>
      <c r="AD10666" s="1"/>
      <c r="AE10666" s="1"/>
      <c r="AF10666" s="1"/>
      <c r="AG10666" s="1"/>
      <c r="AH10666" s="1"/>
    </row>
    <row r="10667" ht="12.75" hidden="1" customHeight="1" outlineLevel="1">
      <c r="A10667" s="202">
        <v>43420.0</v>
      </c>
      <c r="B10667" s="985" t="s">
        <v>347</v>
      </c>
      <c r="C10667" s="94" t="s">
        <v>1495</v>
      </c>
      <c r="D10667" s="94">
        <v>50.0</v>
      </c>
      <c r="E10667" s="94">
        <v>92.0</v>
      </c>
      <c r="F10667" s="1003">
        <v>0.49824074074074076</v>
      </c>
      <c r="G10667" s="1004" t="s">
        <v>453</v>
      </c>
      <c r="H10667" s="987">
        <v>1.07</v>
      </c>
      <c r="I10667" s="988" t="s">
        <v>3145</v>
      </c>
      <c r="J10667" s="67">
        <f t="shared" si="597"/>
        <v>4598.93</v>
      </c>
      <c r="K10667" s="1"/>
      <c r="L10667" s="70"/>
      <c r="M10667" s="79"/>
      <c r="N10667" s="1"/>
      <c r="O10667" s="1"/>
      <c r="P10667" s="1"/>
      <c r="Q10667" s="1"/>
      <c r="R10667" s="1"/>
      <c r="S10667" s="1"/>
      <c r="T10667" s="1"/>
      <c r="U10667" s="1"/>
      <c r="V10667" s="1"/>
      <c r="W10667" s="1"/>
      <c r="X10667" s="1"/>
      <c r="Y10667" s="1"/>
      <c r="Z10667" s="1"/>
      <c r="AA10667" s="1"/>
      <c r="AB10667" s="1"/>
      <c r="AC10667" s="1"/>
      <c r="AD10667" s="1"/>
      <c r="AE10667" s="1"/>
      <c r="AF10667" s="1"/>
      <c r="AG10667" s="1"/>
      <c r="AH10667" s="1"/>
    </row>
    <row r="10668" ht="12.75" hidden="1" customHeight="1" outlineLevel="1">
      <c r="A10668" s="202">
        <v>43420.0</v>
      </c>
      <c r="B10668" s="985" t="s">
        <v>347</v>
      </c>
      <c r="C10668" s="94" t="s">
        <v>1061</v>
      </c>
      <c r="D10668" s="94">
        <v>500.0</v>
      </c>
      <c r="E10668" s="94">
        <v>51.117</v>
      </c>
      <c r="F10668" s="1003">
        <v>0.4993518518518518</v>
      </c>
      <c r="G10668" s="1004" t="s">
        <v>453</v>
      </c>
      <c r="H10668" s="987">
        <v>2.89</v>
      </c>
      <c r="I10668" s="988" t="s">
        <v>3145</v>
      </c>
      <c r="J10668" s="67">
        <f t="shared" si="597"/>
        <v>25555.61</v>
      </c>
      <c r="K10668" s="1"/>
      <c r="L10668" s="70"/>
      <c r="M10668" s="79"/>
      <c r="N10668" s="1"/>
      <c r="O10668" s="1"/>
      <c r="P10668" s="1"/>
      <c r="Q10668" s="1"/>
      <c r="R10668" s="1"/>
      <c r="S10668" s="1"/>
      <c r="T10668" s="1"/>
      <c r="U10668" s="1"/>
      <c r="V10668" s="1"/>
      <c r="W10668" s="1"/>
      <c r="X10668" s="1"/>
      <c r="Y10668" s="1"/>
      <c r="Z10668" s="1"/>
      <c r="AA10668" s="1"/>
      <c r="AB10668" s="1"/>
      <c r="AC10668" s="1"/>
      <c r="AD10668" s="1"/>
      <c r="AE10668" s="1"/>
      <c r="AF10668" s="1"/>
      <c r="AG10668" s="1"/>
      <c r="AH10668" s="1"/>
    </row>
    <row r="10669" ht="12.75" hidden="1" customHeight="1" outlineLevel="1">
      <c r="A10669" s="202">
        <v>43420.0</v>
      </c>
      <c r="B10669" s="985" t="s">
        <v>347</v>
      </c>
      <c r="C10669" s="94" t="s">
        <v>1187</v>
      </c>
      <c r="D10669" s="94">
        <v>600.0</v>
      </c>
      <c r="E10669" s="94">
        <v>73.383</v>
      </c>
      <c r="F10669" s="1003">
        <v>0.5028935185185185</v>
      </c>
      <c r="G10669" s="1004" t="s">
        <v>453</v>
      </c>
      <c r="H10669" s="987">
        <v>3.64</v>
      </c>
      <c r="I10669" s="988" t="s">
        <v>3145</v>
      </c>
      <c r="J10669" s="67">
        <f t="shared" si="597"/>
        <v>44026.16</v>
      </c>
      <c r="K10669" s="1"/>
      <c r="L10669" s="70"/>
      <c r="M10669" s="79"/>
      <c r="N10669" s="1"/>
      <c r="O10669" s="1"/>
      <c r="P10669" s="1"/>
      <c r="Q10669" s="1"/>
      <c r="R10669" s="1"/>
      <c r="S10669" s="1"/>
      <c r="T10669" s="1"/>
      <c r="U10669" s="1"/>
      <c r="V10669" s="1"/>
      <c r="W10669" s="1"/>
      <c r="X10669" s="1"/>
      <c r="Y10669" s="1"/>
      <c r="Z10669" s="1"/>
      <c r="AA10669" s="1"/>
      <c r="AB10669" s="1"/>
      <c r="AC10669" s="1"/>
      <c r="AD10669" s="1"/>
      <c r="AE10669" s="1"/>
      <c r="AF10669" s="1"/>
      <c r="AG10669" s="1"/>
      <c r="AH10669" s="1"/>
    </row>
    <row r="10670" ht="12.75" hidden="1" customHeight="1" outlineLevel="1">
      <c r="A10670" s="202">
        <v>43420.0</v>
      </c>
      <c r="B10670" s="985" t="s">
        <v>347</v>
      </c>
      <c r="C10670" s="94" t="s">
        <v>1431</v>
      </c>
      <c r="D10670" s="94">
        <v>250.0</v>
      </c>
      <c r="E10670" s="94">
        <v>40.8</v>
      </c>
      <c r="F10670" s="1003">
        <v>0.5031828703703703</v>
      </c>
      <c r="G10670" s="1004" t="s">
        <v>453</v>
      </c>
      <c r="H10670" s="987">
        <v>1.41</v>
      </c>
      <c r="I10670" s="988" t="s">
        <v>3145</v>
      </c>
      <c r="J10670" s="67">
        <f t="shared" si="597"/>
        <v>10198.59</v>
      </c>
      <c r="K10670" s="1"/>
      <c r="L10670" s="70"/>
      <c r="M10670" s="79"/>
      <c r="N10670" s="1"/>
      <c r="O10670" s="1"/>
      <c r="P10670" s="1"/>
      <c r="Q10670" s="1"/>
      <c r="R10670" s="1"/>
      <c r="S10670" s="1"/>
      <c r="T10670" s="1"/>
      <c r="U10670" s="1"/>
      <c r="V10670" s="1"/>
      <c r="W10670" s="1"/>
      <c r="X10670" s="1"/>
      <c r="Y10670" s="1"/>
      <c r="Z10670" s="1"/>
      <c r="AA10670" s="1"/>
      <c r="AB10670" s="1"/>
      <c r="AC10670" s="1"/>
      <c r="AD10670" s="1"/>
      <c r="AE10670" s="1"/>
      <c r="AF10670" s="1"/>
      <c r="AG10670" s="1"/>
      <c r="AH10670" s="1"/>
    </row>
    <row r="10671" ht="12.75" hidden="1" customHeight="1" outlineLevel="1">
      <c r="A10671" s="202">
        <v>43420.0</v>
      </c>
      <c r="B10671" s="985" t="s">
        <v>347</v>
      </c>
      <c r="C10671" s="94" t="s">
        <v>1274</v>
      </c>
      <c r="D10671" s="94">
        <v>25.0</v>
      </c>
      <c r="E10671" s="94">
        <v>214.84</v>
      </c>
      <c r="F10671" s="1003">
        <v>0.5836458333333333</v>
      </c>
      <c r="G10671" s="1004" t="s">
        <v>453</v>
      </c>
      <c r="H10671" s="987">
        <v>1.07</v>
      </c>
      <c r="I10671" s="988" t="s">
        <v>3145</v>
      </c>
      <c r="J10671" s="67">
        <f t="shared" si="597"/>
        <v>5369.93</v>
      </c>
      <c r="K10671" s="1"/>
      <c r="L10671" s="70"/>
      <c r="M10671" s="79"/>
      <c r="N10671" s="1"/>
      <c r="O10671" s="1"/>
      <c r="P10671" s="1"/>
      <c r="Q10671" s="1"/>
      <c r="R10671" s="1"/>
      <c r="S10671" s="1"/>
      <c r="T10671" s="1"/>
      <c r="U10671" s="1"/>
      <c r="V10671" s="1"/>
      <c r="W10671" s="1"/>
      <c r="X10671" s="1"/>
      <c r="Y10671" s="1"/>
      <c r="Z10671" s="1"/>
      <c r="AA10671" s="1"/>
      <c r="AB10671" s="1"/>
      <c r="AC10671" s="1"/>
      <c r="AD10671" s="1"/>
      <c r="AE10671" s="1"/>
      <c r="AF10671" s="1"/>
      <c r="AG10671" s="1"/>
      <c r="AH10671" s="1"/>
    </row>
    <row r="10672" ht="12.75" hidden="1" customHeight="1" outlineLevel="1">
      <c r="A10672" s="1002">
        <v>43421.0</v>
      </c>
      <c r="B10672" s="992"/>
      <c r="C10672" s="32" t="s">
        <v>947</v>
      </c>
      <c r="D10672" s="1"/>
      <c r="F10672" s="1"/>
      <c r="G10672" s="1"/>
      <c r="H10672" s="68"/>
      <c r="I10672" s="76"/>
      <c r="K10672" s="201" t="s">
        <v>3692</v>
      </c>
      <c r="L10672" s="77"/>
      <c r="M10672" s="79"/>
      <c r="N10672" s="1"/>
      <c r="O10672" s="1"/>
      <c r="P10672" s="1"/>
      <c r="Q10672" s="1"/>
      <c r="R10672" s="1"/>
      <c r="S10672" s="1"/>
      <c r="T10672" s="1"/>
      <c r="U10672" s="1"/>
      <c r="V10672" s="1"/>
      <c r="W10672" s="1"/>
      <c r="X10672" s="1"/>
      <c r="Y10672" s="1"/>
      <c r="Z10672" s="1"/>
      <c r="AA10672" s="1"/>
      <c r="AB10672" s="1"/>
      <c r="AC10672" s="1"/>
      <c r="AD10672" s="1"/>
      <c r="AE10672" s="1"/>
      <c r="AF10672" s="1"/>
      <c r="AG10672" s="1"/>
      <c r="AH10672" s="1"/>
    </row>
    <row r="10673" ht="12.75" hidden="1" customHeight="1" outlineLevel="1">
      <c r="A10673" s="1002">
        <v>43421.0</v>
      </c>
      <c r="B10673" s="992"/>
      <c r="C10673" s="32" t="s">
        <v>952</v>
      </c>
      <c r="D10673" s="1"/>
      <c r="F10673" s="1"/>
      <c r="G10673" s="1"/>
      <c r="H10673" s="68"/>
      <c r="I10673" s="76"/>
      <c r="K10673" s="9" t="s">
        <v>3700</v>
      </c>
      <c r="L10673" s="77"/>
      <c r="M10673" s="79"/>
      <c r="N10673" s="1"/>
      <c r="O10673" s="1"/>
      <c r="P10673" s="1"/>
      <c r="Q10673" s="1"/>
      <c r="R10673" s="1"/>
      <c r="S10673" s="1"/>
      <c r="T10673" s="1"/>
      <c r="U10673" s="1"/>
      <c r="V10673" s="1"/>
      <c r="W10673" s="1"/>
      <c r="X10673" s="1"/>
      <c r="Y10673" s="1"/>
      <c r="Z10673" s="1"/>
      <c r="AA10673" s="1"/>
      <c r="AB10673" s="1"/>
      <c r="AC10673" s="1"/>
      <c r="AD10673" s="1"/>
      <c r="AE10673" s="1"/>
      <c r="AF10673" s="1"/>
      <c r="AG10673" s="1"/>
      <c r="AH10673" s="1"/>
    </row>
    <row r="10674" ht="12.75" hidden="1" customHeight="1" outlineLevel="1">
      <c r="A10674" s="1002">
        <v>43421.0</v>
      </c>
      <c r="B10674" s="992"/>
      <c r="C10674" s="32" t="s">
        <v>955</v>
      </c>
      <c r="D10674" s="1"/>
      <c r="F10674" s="1"/>
      <c r="G10674" s="1"/>
      <c r="H10674" s="68"/>
      <c r="I10674" s="76"/>
      <c r="K10674" s="9" t="s">
        <v>3701</v>
      </c>
      <c r="L10674" s="77"/>
      <c r="M10674" s="79"/>
      <c r="N10674" s="1"/>
      <c r="O10674" s="1"/>
      <c r="P10674" s="1"/>
      <c r="Q10674" s="1"/>
      <c r="R10674" s="1"/>
      <c r="S10674" s="1"/>
      <c r="T10674" s="1"/>
      <c r="U10674" s="1"/>
      <c r="V10674" s="1"/>
      <c r="W10674" s="1"/>
      <c r="X10674" s="1"/>
      <c r="Y10674" s="1"/>
      <c r="Z10674" s="1"/>
      <c r="AA10674" s="1"/>
      <c r="AB10674" s="1"/>
      <c r="AC10674" s="1"/>
      <c r="AD10674" s="1"/>
      <c r="AE10674" s="1"/>
      <c r="AF10674" s="1"/>
      <c r="AG10674" s="1"/>
      <c r="AH10674" s="1"/>
    </row>
    <row r="10675" ht="12.75" hidden="1" customHeight="1" outlineLevel="1">
      <c r="A10675" s="1002">
        <v>43421.0</v>
      </c>
      <c r="B10675" s="992"/>
      <c r="C10675" s="32" t="s">
        <v>958</v>
      </c>
      <c r="D10675" s="1"/>
      <c r="F10675" s="1"/>
      <c r="G10675" s="1"/>
      <c r="H10675" s="68"/>
      <c r="I10675" s="76"/>
      <c r="K10675" s="9" t="s">
        <v>3699</v>
      </c>
      <c r="L10675" s="77"/>
      <c r="M10675" s="79"/>
      <c r="N10675" s="1"/>
      <c r="O10675" s="1"/>
      <c r="P10675" s="1"/>
      <c r="Q10675" s="1"/>
      <c r="R10675" s="1"/>
      <c r="S10675" s="1"/>
      <c r="T10675" s="1"/>
      <c r="U10675" s="1"/>
      <c r="V10675" s="1"/>
      <c r="W10675" s="1"/>
      <c r="X10675" s="1"/>
      <c r="Y10675" s="1"/>
      <c r="Z10675" s="1"/>
      <c r="AA10675" s="1"/>
      <c r="AB10675" s="1"/>
      <c r="AC10675" s="1"/>
      <c r="AD10675" s="1"/>
      <c r="AE10675" s="1"/>
      <c r="AF10675" s="1"/>
      <c r="AG10675" s="1"/>
      <c r="AH10675" s="1"/>
    </row>
    <row r="10676" ht="12.75" hidden="1" customHeight="1" outlineLevel="1">
      <c r="A10676" s="1002">
        <v>43421.0</v>
      </c>
      <c r="B10676" s="992"/>
      <c r="C10676" s="32" t="s">
        <v>961</v>
      </c>
      <c r="D10676" s="1"/>
      <c r="F10676" s="1"/>
      <c r="G10676" s="1"/>
      <c r="H10676" s="68"/>
      <c r="I10676" s="76"/>
      <c r="K10676" s="9" t="s">
        <v>3702</v>
      </c>
      <c r="L10676" s="77"/>
      <c r="M10676" s="79"/>
      <c r="N10676" s="1"/>
      <c r="O10676" s="1"/>
      <c r="P10676" s="1"/>
      <c r="Q10676" s="1"/>
      <c r="R10676" s="1"/>
      <c r="S10676" s="1"/>
      <c r="T10676" s="1"/>
      <c r="U10676" s="1"/>
      <c r="V10676" s="1"/>
      <c r="W10676" s="1"/>
      <c r="X10676" s="1"/>
      <c r="Y10676" s="1"/>
      <c r="Z10676" s="1"/>
      <c r="AA10676" s="1"/>
      <c r="AB10676" s="1"/>
      <c r="AC10676" s="1"/>
      <c r="AD10676" s="1"/>
      <c r="AE10676" s="1"/>
      <c r="AF10676" s="1"/>
      <c r="AG10676" s="1"/>
      <c r="AH10676" s="1"/>
    </row>
    <row r="10677" ht="12.75" hidden="1" customHeight="1" outlineLevel="1">
      <c r="A10677" s="202">
        <v>43423.0</v>
      </c>
      <c r="B10677" s="985" t="s">
        <v>347</v>
      </c>
      <c r="C10677" s="94" t="s">
        <v>1414</v>
      </c>
      <c r="D10677" s="94">
        <v>50.0</v>
      </c>
      <c r="E10677" s="94">
        <v>148.76</v>
      </c>
      <c r="F10677" s="1003">
        <v>0.6412847222222222</v>
      </c>
      <c r="G10677" s="1004" t="s">
        <v>453</v>
      </c>
      <c r="H10677" s="987">
        <v>1.1</v>
      </c>
      <c r="I10677" s="988" t="s">
        <v>3145</v>
      </c>
      <c r="J10677" s="67">
        <f t="shared" ref="J10677:J10683" si="598">IF(B10677="SLD",D10677*E10677,-D10677*E10677)-H10677</f>
        <v>7436.9</v>
      </c>
      <c r="K10677" s="1"/>
      <c r="L10677" s="70"/>
      <c r="M10677" s="79"/>
      <c r="N10677" s="1"/>
      <c r="O10677" s="1"/>
      <c r="P10677" s="1"/>
      <c r="Q10677" s="1"/>
      <c r="R10677" s="1"/>
      <c r="S10677" s="1"/>
      <c r="T10677" s="1"/>
      <c r="U10677" s="1"/>
      <c r="V10677" s="1"/>
      <c r="W10677" s="1"/>
      <c r="X10677" s="1"/>
      <c r="Y10677" s="1"/>
      <c r="Z10677" s="1"/>
      <c r="AA10677" s="1"/>
      <c r="AB10677" s="1"/>
      <c r="AC10677" s="1"/>
      <c r="AD10677" s="1"/>
      <c r="AE10677" s="1"/>
      <c r="AF10677" s="1"/>
      <c r="AG10677" s="1"/>
      <c r="AH10677" s="1"/>
    </row>
    <row r="10678" ht="12.75" hidden="1" customHeight="1" outlineLevel="1">
      <c r="A10678" s="202">
        <v>43425.0</v>
      </c>
      <c r="B10678" s="985" t="s">
        <v>343</v>
      </c>
      <c r="C10678" s="94" t="s">
        <v>1074</v>
      </c>
      <c r="D10678" s="94">
        <v>50.0</v>
      </c>
      <c r="E10678" s="94">
        <v>170.43</v>
      </c>
      <c r="F10678" s="1003">
        <v>0.5303009259259259</v>
      </c>
      <c r="G10678" s="1004" t="s">
        <v>453</v>
      </c>
      <c r="H10678" s="987">
        <v>1.0</v>
      </c>
      <c r="I10678" s="988" t="s">
        <v>3145</v>
      </c>
      <c r="J10678" s="67">
        <f t="shared" si="598"/>
        <v>-8522.5</v>
      </c>
      <c r="K10678" s="1"/>
      <c r="L10678" s="70"/>
      <c r="M10678" s="79"/>
      <c r="N10678" s="1"/>
      <c r="O10678" s="1"/>
      <c r="P10678" s="1"/>
      <c r="Q10678" s="1"/>
      <c r="R10678" s="1"/>
      <c r="S10678" s="1"/>
      <c r="T10678" s="1"/>
      <c r="U10678" s="1"/>
      <c r="V10678" s="1"/>
      <c r="W10678" s="1"/>
      <c r="X10678" s="1"/>
      <c r="Y10678" s="1"/>
      <c r="Z10678" s="1"/>
      <c r="AA10678" s="1"/>
      <c r="AB10678" s="1"/>
      <c r="AC10678" s="1"/>
      <c r="AD10678" s="1"/>
      <c r="AE10678" s="1"/>
      <c r="AF10678" s="1"/>
      <c r="AG10678" s="1"/>
      <c r="AH10678" s="1"/>
    </row>
    <row r="10679" ht="12.75" hidden="1" customHeight="1" outlineLevel="1">
      <c r="A10679" s="202">
        <v>43425.0</v>
      </c>
      <c r="B10679" s="985" t="s">
        <v>347</v>
      </c>
      <c r="C10679" s="94" t="s">
        <v>1162</v>
      </c>
      <c r="D10679" s="94">
        <v>200.0</v>
      </c>
      <c r="E10679" s="94">
        <v>161.1908</v>
      </c>
      <c r="F10679" s="1003">
        <v>0.6192013888888889</v>
      </c>
      <c r="G10679" s="1004" t="s">
        <v>453</v>
      </c>
      <c r="H10679" s="987">
        <v>1.44</v>
      </c>
      <c r="I10679" s="988" t="s">
        <v>3145</v>
      </c>
      <c r="J10679" s="67">
        <f t="shared" si="598"/>
        <v>32236.72</v>
      </c>
      <c r="K10679" s="1"/>
      <c r="L10679" s="70"/>
      <c r="M10679" s="79"/>
      <c r="N10679" s="1"/>
      <c r="O10679" s="1"/>
      <c r="P10679" s="1"/>
      <c r="Q10679" s="1"/>
      <c r="R10679" s="1"/>
      <c r="S10679" s="1"/>
      <c r="T10679" s="1"/>
      <c r="U10679" s="1"/>
      <c r="V10679" s="1"/>
      <c r="W10679" s="1"/>
      <c r="X10679" s="1"/>
      <c r="Y10679" s="1"/>
      <c r="Z10679" s="1"/>
      <c r="AA10679" s="1"/>
      <c r="AB10679" s="1"/>
      <c r="AC10679" s="1"/>
      <c r="AD10679" s="1"/>
      <c r="AE10679" s="1"/>
      <c r="AF10679" s="1"/>
      <c r="AG10679" s="1"/>
      <c r="AH10679" s="1"/>
    </row>
    <row r="10680" ht="12.75" hidden="1" customHeight="1" outlineLevel="1">
      <c r="A10680" s="202">
        <v>43425.0</v>
      </c>
      <c r="B10680" s="985" t="s">
        <v>343</v>
      </c>
      <c r="C10680" s="94" t="s">
        <v>1074</v>
      </c>
      <c r="D10680" s="94">
        <v>50.0</v>
      </c>
      <c r="E10680" s="94">
        <v>170.5952</v>
      </c>
      <c r="F10680" s="1003">
        <v>0.620625</v>
      </c>
      <c r="G10680" s="1004" t="s">
        <v>453</v>
      </c>
      <c r="H10680" s="987">
        <v>1.0</v>
      </c>
      <c r="I10680" s="988" t="s">
        <v>3145</v>
      </c>
      <c r="J10680" s="67">
        <f t="shared" si="598"/>
        <v>-8530.76</v>
      </c>
      <c r="K10680" s="1"/>
      <c r="L10680" s="70"/>
      <c r="M10680" s="79"/>
      <c r="N10680" s="1"/>
      <c r="O10680" s="1"/>
      <c r="P10680" s="1"/>
      <c r="Q10680" s="1"/>
      <c r="R10680" s="1"/>
      <c r="S10680" s="1"/>
      <c r="T10680" s="1"/>
      <c r="U10680" s="1"/>
      <c r="V10680" s="1"/>
      <c r="W10680" s="1"/>
      <c r="X10680" s="1"/>
      <c r="Y10680" s="1"/>
      <c r="Z10680" s="1"/>
      <c r="AA10680" s="1"/>
      <c r="AB10680" s="1"/>
      <c r="AC10680" s="1"/>
      <c r="AD10680" s="1"/>
      <c r="AE10680" s="1"/>
      <c r="AF10680" s="1"/>
      <c r="AG10680" s="1"/>
      <c r="AH10680" s="1"/>
    </row>
    <row r="10681" ht="12.75" hidden="1" customHeight="1" outlineLevel="1">
      <c r="A10681" s="202">
        <v>43425.0</v>
      </c>
      <c r="B10681" s="985" t="s">
        <v>343</v>
      </c>
      <c r="C10681" s="94" t="s">
        <v>605</v>
      </c>
      <c r="D10681" s="94">
        <v>100.0</v>
      </c>
      <c r="E10681" s="94">
        <v>94.25</v>
      </c>
      <c r="F10681" s="1003">
        <v>0.6217013888888889</v>
      </c>
      <c r="G10681" s="1004" t="s">
        <v>453</v>
      </c>
      <c r="H10681" s="987">
        <v>1.0</v>
      </c>
      <c r="I10681" s="988" t="s">
        <v>3145</v>
      </c>
      <c r="J10681" s="67">
        <f t="shared" si="598"/>
        <v>-9426</v>
      </c>
      <c r="K10681" s="1"/>
      <c r="L10681" s="70"/>
      <c r="M10681" s="79"/>
      <c r="N10681" s="1"/>
      <c r="O10681" s="1"/>
      <c r="P10681" s="1"/>
      <c r="Q10681" s="1"/>
      <c r="R10681" s="1"/>
      <c r="S10681" s="1"/>
      <c r="T10681" s="1"/>
      <c r="U10681" s="1"/>
      <c r="V10681" s="1"/>
      <c r="W10681" s="1"/>
      <c r="X10681" s="1"/>
      <c r="Y10681" s="1"/>
      <c r="Z10681" s="1"/>
      <c r="AA10681" s="1"/>
      <c r="AB10681" s="1"/>
      <c r="AC10681" s="1"/>
      <c r="AD10681" s="1"/>
      <c r="AE10681" s="1"/>
      <c r="AF10681" s="1"/>
      <c r="AG10681" s="1"/>
      <c r="AH10681" s="1"/>
    </row>
    <row r="10682" ht="12.75" hidden="1" customHeight="1" outlineLevel="1">
      <c r="A10682" s="202">
        <v>43425.0</v>
      </c>
      <c r="B10682" s="985" t="s">
        <v>343</v>
      </c>
      <c r="C10682" s="94" t="s">
        <v>1056</v>
      </c>
      <c r="D10682" s="94">
        <v>10.0</v>
      </c>
      <c r="E10682" s="94">
        <v>345.0773</v>
      </c>
      <c r="F10682" s="1003">
        <v>0.6439814814814815</v>
      </c>
      <c r="G10682" s="1004" t="s">
        <v>453</v>
      </c>
      <c r="H10682" s="987">
        <v>1.0</v>
      </c>
      <c r="I10682" s="988" t="s">
        <v>3145</v>
      </c>
      <c r="J10682" s="67">
        <f t="shared" si="598"/>
        <v>-3451.773</v>
      </c>
      <c r="K10682" s="1"/>
      <c r="L10682" s="70"/>
      <c r="M10682" s="79"/>
      <c r="N10682" s="1"/>
      <c r="O10682" s="1"/>
      <c r="P10682" s="1"/>
      <c r="Q10682" s="1"/>
      <c r="R10682" s="1"/>
      <c r="S10682" s="1"/>
      <c r="T10682" s="1"/>
      <c r="U10682" s="1"/>
      <c r="V10682" s="1"/>
      <c r="W10682" s="1"/>
      <c r="X10682" s="1"/>
      <c r="Y10682" s="1"/>
      <c r="Z10682" s="1"/>
      <c r="AA10682" s="1"/>
      <c r="AB10682" s="1"/>
      <c r="AC10682" s="1"/>
      <c r="AD10682" s="1"/>
      <c r="AE10682" s="1"/>
      <c r="AF10682" s="1"/>
      <c r="AG10682" s="1"/>
      <c r="AH10682" s="1"/>
    </row>
    <row r="10683" ht="12.75" hidden="1" customHeight="1" outlineLevel="1">
      <c r="A10683" s="202">
        <v>43425.0</v>
      </c>
      <c r="B10683" s="985" t="s">
        <v>343</v>
      </c>
      <c r="C10683" s="94" t="s">
        <v>1082</v>
      </c>
      <c r="D10683" s="94">
        <v>5.0</v>
      </c>
      <c r="E10683" s="94">
        <v>819.87</v>
      </c>
      <c r="F10683" s="1003">
        <v>0.6443981481481481</v>
      </c>
      <c r="G10683" s="1004" t="s">
        <v>453</v>
      </c>
      <c r="H10683" s="987">
        <v>1.0</v>
      </c>
      <c r="I10683" s="988" t="s">
        <v>3145</v>
      </c>
      <c r="J10683" s="67">
        <f t="shared" si="598"/>
        <v>-4100.35</v>
      </c>
      <c r="K10683" s="1"/>
      <c r="L10683" s="70"/>
      <c r="M10683" s="79"/>
      <c r="N10683" s="1"/>
      <c r="O10683" s="1"/>
      <c r="P10683" s="1"/>
      <c r="Q10683" s="1"/>
      <c r="R10683" s="1"/>
      <c r="S10683" s="1"/>
      <c r="T10683" s="1"/>
      <c r="U10683" s="1"/>
      <c r="V10683" s="1"/>
      <c r="W10683" s="1"/>
      <c r="X10683" s="1"/>
      <c r="Y10683" s="1"/>
      <c r="Z10683" s="1"/>
      <c r="AA10683" s="1"/>
      <c r="AB10683" s="1"/>
      <c r="AC10683" s="1"/>
      <c r="AD10683" s="1"/>
      <c r="AE10683" s="1"/>
      <c r="AF10683" s="1"/>
      <c r="AG10683" s="1"/>
      <c r="AH10683" s="1"/>
    </row>
    <row r="10684" ht="12.75" hidden="1" customHeight="1" outlineLevel="1">
      <c r="A10684" s="1002">
        <v>43425.0</v>
      </c>
      <c r="B10684" s="992"/>
      <c r="C10684" s="32" t="s">
        <v>947</v>
      </c>
      <c r="D10684" s="1"/>
      <c r="F10684" s="1"/>
      <c r="G10684" s="1"/>
      <c r="H10684" s="68"/>
      <c r="I10684" s="76"/>
      <c r="K10684" s="201" t="s">
        <v>3703</v>
      </c>
      <c r="L10684" s="77"/>
      <c r="M10684" s="79"/>
      <c r="N10684" s="1"/>
      <c r="O10684" s="1"/>
      <c r="P10684" s="1"/>
      <c r="Q10684" s="1"/>
      <c r="R10684" s="1"/>
      <c r="S10684" s="1"/>
      <c r="T10684" s="1"/>
      <c r="U10684" s="1"/>
      <c r="V10684" s="1"/>
      <c r="W10684" s="1"/>
      <c r="X10684" s="1"/>
      <c r="Y10684" s="1"/>
      <c r="Z10684" s="1"/>
      <c r="AA10684" s="1"/>
      <c r="AB10684" s="1"/>
      <c r="AC10684" s="1"/>
      <c r="AD10684" s="1"/>
      <c r="AE10684" s="1"/>
      <c r="AF10684" s="1"/>
      <c r="AG10684" s="1"/>
      <c r="AH10684" s="1"/>
    </row>
    <row r="10685" ht="12.75" hidden="1" customHeight="1" outlineLevel="1">
      <c r="A10685" s="1002">
        <v>43425.0</v>
      </c>
      <c r="B10685" s="992"/>
      <c r="C10685" s="32" t="s">
        <v>952</v>
      </c>
      <c r="D10685" s="1"/>
      <c r="F10685" s="1"/>
      <c r="G10685" s="1"/>
      <c r="H10685" s="68"/>
      <c r="I10685" s="76"/>
      <c r="K10685" s="9" t="s">
        <v>3704</v>
      </c>
      <c r="L10685" s="77"/>
      <c r="M10685" s="79"/>
      <c r="N10685" s="1"/>
      <c r="O10685" s="1"/>
      <c r="P10685" s="1"/>
      <c r="Q10685" s="1"/>
      <c r="R10685" s="1"/>
      <c r="S10685" s="1"/>
      <c r="T10685" s="1"/>
      <c r="U10685" s="1"/>
      <c r="V10685" s="1"/>
      <c r="W10685" s="1"/>
      <c r="X10685" s="1"/>
      <c r="Y10685" s="1"/>
      <c r="Z10685" s="1"/>
      <c r="AA10685" s="1"/>
      <c r="AB10685" s="1"/>
      <c r="AC10685" s="1"/>
      <c r="AD10685" s="1"/>
      <c r="AE10685" s="1"/>
      <c r="AF10685" s="1"/>
      <c r="AG10685" s="1"/>
      <c r="AH10685" s="1"/>
    </row>
    <row r="10686" ht="12.75" hidden="1" customHeight="1" outlineLevel="1">
      <c r="A10686" s="1002">
        <v>43425.0</v>
      </c>
      <c r="B10686" s="992"/>
      <c r="C10686" s="32" t="s">
        <v>955</v>
      </c>
      <c r="D10686" s="1"/>
      <c r="F10686" s="1"/>
      <c r="G10686" s="1"/>
      <c r="H10686" s="68"/>
      <c r="I10686" s="76"/>
      <c r="K10686" s="9" t="s">
        <v>3705</v>
      </c>
      <c r="L10686" s="77"/>
      <c r="M10686" s="79"/>
      <c r="N10686" s="1"/>
      <c r="O10686" s="1"/>
      <c r="P10686" s="1"/>
      <c r="Q10686" s="1"/>
      <c r="R10686" s="1"/>
      <c r="S10686" s="1"/>
      <c r="T10686" s="1"/>
      <c r="U10686" s="1"/>
      <c r="V10686" s="1"/>
      <c r="W10686" s="1"/>
      <c r="X10686" s="1"/>
      <c r="Y10686" s="1"/>
      <c r="Z10686" s="1"/>
      <c r="AA10686" s="1"/>
      <c r="AB10686" s="1"/>
      <c r="AC10686" s="1"/>
      <c r="AD10686" s="1"/>
      <c r="AE10686" s="1"/>
      <c r="AF10686" s="1"/>
      <c r="AG10686" s="1"/>
      <c r="AH10686" s="1"/>
    </row>
    <row r="10687" ht="12.75" hidden="1" customHeight="1" outlineLevel="1">
      <c r="A10687" s="1002">
        <v>43425.0</v>
      </c>
      <c r="B10687" s="992"/>
      <c r="C10687" s="32" t="s">
        <v>958</v>
      </c>
      <c r="D10687" s="1"/>
      <c r="F10687" s="1"/>
      <c r="G10687" s="1"/>
      <c r="H10687" s="68"/>
      <c r="I10687" s="76"/>
      <c r="K10687" s="9" t="s">
        <v>3706</v>
      </c>
      <c r="L10687" s="77"/>
      <c r="M10687" s="79"/>
      <c r="N10687" s="1"/>
      <c r="O10687" s="1"/>
      <c r="P10687" s="1"/>
      <c r="Q10687" s="1"/>
      <c r="R10687" s="1"/>
      <c r="S10687" s="1"/>
      <c r="T10687" s="1"/>
      <c r="U10687" s="1"/>
      <c r="V10687" s="1"/>
      <c r="W10687" s="1"/>
      <c r="X10687" s="1"/>
      <c r="Y10687" s="1"/>
      <c r="Z10687" s="1"/>
      <c r="AA10687" s="1"/>
      <c r="AB10687" s="1"/>
      <c r="AC10687" s="1"/>
      <c r="AD10687" s="1"/>
      <c r="AE10687" s="1"/>
      <c r="AF10687" s="1"/>
      <c r="AG10687" s="1"/>
      <c r="AH10687" s="1"/>
    </row>
    <row r="10688" ht="12.75" hidden="1" customHeight="1" outlineLevel="1">
      <c r="A10688" s="1002">
        <v>43425.0</v>
      </c>
      <c r="B10688" s="992"/>
      <c r="C10688" s="32" t="s">
        <v>961</v>
      </c>
      <c r="D10688" s="1"/>
      <c r="F10688" s="1"/>
      <c r="G10688" s="1"/>
      <c r="H10688" s="68"/>
      <c r="I10688" s="76"/>
      <c r="K10688" s="9" t="s">
        <v>3702</v>
      </c>
      <c r="L10688" s="77"/>
      <c r="M10688" s="79"/>
      <c r="N10688" s="1"/>
      <c r="O10688" s="1"/>
      <c r="P10688" s="1"/>
      <c r="Q10688" s="1"/>
      <c r="R10688" s="1"/>
      <c r="S10688" s="1"/>
      <c r="T10688" s="1"/>
      <c r="U10688" s="1"/>
      <c r="V10688" s="1"/>
      <c r="W10688" s="1"/>
      <c r="X10688" s="1"/>
      <c r="Y10688" s="1"/>
      <c r="Z10688" s="1"/>
      <c r="AA10688" s="1"/>
      <c r="AB10688" s="1"/>
      <c r="AC10688" s="1"/>
      <c r="AD10688" s="1"/>
      <c r="AE10688" s="1"/>
      <c r="AF10688" s="1"/>
      <c r="AG10688" s="1"/>
      <c r="AH10688" s="1"/>
    </row>
    <row r="10689" ht="12.75" hidden="1" customHeight="1" outlineLevel="1">
      <c r="A10689" s="1002">
        <v>43427.0</v>
      </c>
      <c r="B10689" s="992"/>
      <c r="C10689" s="32" t="s">
        <v>947</v>
      </c>
      <c r="D10689" s="1"/>
      <c r="F10689" s="1"/>
      <c r="G10689" s="1"/>
      <c r="H10689" s="68"/>
      <c r="I10689" s="76"/>
      <c r="K10689" s="201" t="s">
        <v>3703</v>
      </c>
      <c r="L10689" s="77"/>
      <c r="M10689" s="79"/>
      <c r="N10689" s="1"/>
      <c r="O10689" s="1"/>
      <c r="P10689" s="1"/>
      <c r="Q10689" s="1"/>
      <c r="R10689" s="1"/>
      <c r="S10689" s="1"/>
      <c r="T10689" s="1"/>
      <c r="U10689" s="1"/>
      <c r="V10689" s="1"/>
      <c r="W10689" s="1"/>
      <c r="X10689" s="1"/>
      <c r="Y10689" s="1"/>
      <c r="Z10689" s="1"/>
      <c r="AA10689" s="1"/>
      <c r="AB10689" s="1"/>
      <c r="AC10689" s="1"/>
      <c r="AD10689" s="1"/>
      <c r="AE10689" s="1"/>
      <c r="AF10689" s="1"/>
      <c r="AG10689" s="1"/>
      <c r="AH10689" s="1"/>
    </row>
    <row r="10690" ht="12.75" hidden="1" customHeight="1" outlineLevel="1">
      <c r="A10690" s="1002">
        <v>43427.0</v>
      </c>
      <c r="B10690" s="992"/>
      <c r="C10690" s="32" t="s">
        <v>952</v>
      </c>
      <c r="D10690" s="1"/>
      <c r="F10690" s="1"/>
      <c r="G10690" s="1"/>
      <c r="H10690" s="68"/>
      <c r="I10690" s="76"/>
      <c r="K10690" s="9" t="s">
        <v>3707</v>
      </c>
      <c r="L10690" s="77"/>
      <c r="M10690" s="79"/>
      <c r="N10690" s="1"/>
      <c r="O10690" s="1"/>
      <c r="P10690" s="1"/>
      <c r="Q10690" s="1"/>
      <c r="R10690" s="1"/>
      <c r="S10690" s="1"/>
      <c r="T10690" s="1"/>
      <c r="U10690" s="1"/>
      <c r="V10690" s="1"/>
      <c r="W10690" s="1"/>
      <c r="X10690" s="1"/>
      <c r="Y10690" s="1"/>
      <c r="Z10690" s="1"/>
      <c r="AA10690" s="1"/>
      <c r="AB10690" s="1"/>
      <c r="AC10690" s="1"/>
      <c r="AD10690" s="1"/>
      <c r="AE10690" s="1"/>
      <c r="AF10690" s="1"/>
      <c r="AG10690" s="1"/>
      <c r="AH10690" s="1"/>
    </row>
    <row r="10691" ht="12.75" hidden="1" customHeight="1" outlineLevel="1">
      <c r="A10691" s="1002">
        <v>43427.0</v>
      </c>
      <c r="B10691" s="992"/>
      <c r="C10691" s="32" t="s">
        <v>955</v>
      </c>
      <c r="D10691" s="1"/>
      <c r="F10691" s="1"/>
      <c r="G10691" s="1"/>
      <c r="H10691" s="68"/>
      <c r="I10691" s="76"/>
      <c r="K10691" s="9" t="s">
        <v>3705</v>
      </c>
      <c r="L10691" s="77"/>
      <c r="M10691" s="79"/>
      <c r="N10691" s="1"/>
      <c r="O10691" s="1"/>
      <c r="P10691" s="1"/>
      <c r="Q10691" s="1"/>
      <c r="R10691" s="1"/>
      <c r="S10691" s="1"/>
      <c r="T10691" s="1"/>
      <c r="U10691" s="1"/>
      <c r="V10691" s="1"/>
      <c r="W10691" s="1"/>
      <c r="X10691" s="1"/>
      <c r="Y10691" s="1"/>
      <c r="Z10691" s="1"/>
      <c r="AA10691" s="1"/>
      <c r="AB10691" s="1"/>
      <c r="AC10691" s="1"/>
      <c r="AD10691" s="1"/>
      <c r="AE10691" s="1"/>
      <c r="AF10691" s="1"/>
      <c r="AG10691" s="1"/>
      <c r="AH10691" s="1"/>
    </row>
    <row r="10692" ht="12.75" hidden="1" customHeight="1" outlineLevel="1">
      <c r="A10692" s="1002">
        <v>43427.0</v>
      </c>
      <c r="B10692" s="992"/>
      <c r="C10692" s="32" t="s">
        <v>958</v>
      </c>
      <c r="D10692" s="1"/>
      <c r="F10692" s="1"/>
      <c r="G10692" s="1"/>
      <c r="H10692" s="68"/>
      <c r="I10692" s="76"/>
      <c r="K10692" s="9" t="s">
        <v>3706</v>
      </c>
      <c r="L10692" s="77"/>
      <c r="M10692" s="79"/>
      <c r="N10692" s="1"/>
      <c r="O10692" s="1"/>
      <c r="P10692" s="1"/>
      <c r="Q10692" s="1"/>
      <c r="R10692" s="1"/>
      <c r="S10692" s="1"/>
      <c r="T10692" s="1"/>
      <c r="U10692" s="1"/>
      <c r="V10692" s="1"/>
      <c r="W10692" s="1"/>
      <c r="X10692" s="1"/>
      <c r="Y10692" s="1"/>
      <c r="Z10692" s="1"/>
      <c r="AA10692" s="1"/>
      <c r="AB10692" s="1"/>
      <c r="AC10692" s="1"/>
      <c r="AD10692" s="1"/>
      <c r="AE10692" s="1"/>
      <c r="AF10692" s="1"/>
      <c r="AG10692" s="1"/>
      <c r="AH10692" s="1"/>
    </row>
    <row r="10693" ht="12.75" hidden="1" customHeight="1" outlineLevel="1">
      <c r="A10693" s="1002">
        <v>43427.0</v>
      </c>
      <c r="B10693" s="992"/>
      <c r="C10693" s="32" t="s">
        <v>961</v>
      </c>
      <c r="D10693" s="1"/>
      <c r="F10693" s="1"/>
      <c r="G10693" s="1"/>
      <c r="H10693" s="68"/>
      <c r="I10693" s="76"/>
      <c r="K10693" s="9" t="s">
        <v>3702</v>
      </c>
      <c r="L10693" s="77"/>
      <c r="M10693" s="79"/>
      <c r="N10693" s="1"/>
      <c r="O10693" s="1"/>
      <c r="P10693" s="1"/>
      <c r="Q10693" s="1"/>
      <c r="R10693" s="1"/>
      <c r="S10693" s="1"/>
      <c r="T10693" s="1"/>
      <c r="U10693" s="1"/>
      <c r="V10693" s="1"/>
      <c r="W10693" s="1"/>
      <c r="X10693" s="1"/>
      <c r="Y10693" s="1"/>
      <c r="Z10693" s="1"/>
      <c r="AA10693" s="1"/>
      <c r="AB10693" s="1"/>
      <c r="AC10693" s="1"/>
      <c r="AD10693" s="1"/>
      <c r="AE10693" s="1"/>
      <c r="AF10693" s="1"/>
      <c r="AG10693" s="1"/>
      <c r="AH10693" s="1"/>
    </row>
    <row r="10694" ht="12.75" hidden="1" customHeight="1" outlineLevel="1">
      <c r="A10694" s="202">
        <v>43430.0</v>
      </c>
      <c r="B10694" s="985" t="s">
        <v>343</v>
      </c>
      <c r="C10694" s="94" t="s">
        <v>1177</v>
      </c>
      <c r="D10694" s="94">
        <v>5.0</v>
      </c>
      <c r="E10694" s="94">
        <v>1796.29</v>
      </c>
      <c r="F10694" s="998">
        <v>43430.43951388889</v>
      </c>
      <c r="G10694" s="1004" t="s">
        <v>453</v>
      </c>
      <c r="H10694" s="987">
        <v>1.0</v>
      </c>
      <c r="I10694" s="988" t="s">
        <v>3145</v>
      </c>
      <c r="J10694" s="67">
        <f t="shared" ref="J10694:J10696" si="599">IF(B10694="SLD",D10694*E10694,-D10694*E10694)-H10694</f>
        <v>-8982.45</v>
      </c>
      <c r="K10694" s="1"/>
      <c r="L10694" s="70"/>
      <c r="M10694" s="79"/>
      <c r="N10694" s="1"/>
      <c r="O10694" s="1"/>
      <c r="P10694" s="1"/>
      <c r="Q10694" s="1"/>
      <c r="R10694" s="1"/>
      <c r="S10694" s="1"/>
      <c r="T10694" s="1"/>
      <c r="U10694" s="1"/>
      <c r="V10694" s="1"/>
      <c r="W10694" s="1"/>
      <c r="X10694" s="1"/>
      <c r="Y10694" s="1"/>
      <c r="Z10694" s="1"/>
      <c r="AA10694" s="1"/>
      <c r="AB10694" s="1"/>
      <c r="AC10694" s="1"/>
      <c r="AD10694" s="1"/>
      <c r="AE10694" s="1"/>
      <c r="AF10694" s="1"/>
      <c r="AG10694" s="1"/>
      <c r="AH10694" s="1"/>
    </row>
    <row r="10695" ht="12.75" hidden="1" customHeight="1" outlineLevel="1">
      <c r="A10695" s="202">
        <v>43437.0</v>
      </c>
      <c r="B10695" s="985" t="s">
        <v>343</v>
      </c>
      <c r="C10695" s="94" t="s">
        <v>346</v>
      </c>
      <c r="D10695" s="94">
        <v>50.0</v>
      </c>
      <c r="E10695" s="94">
        <v>184.2273</v>
      </c>
      <c r="F10695" s="1003">
        <v>0.6460185185185185</v>
      </c>
      <c r="G10695" s="1004" t="s">
        <v>453</v>
      </c>
      <c r="H10695" s="987">
        <v>1.0</v>
      </c>
      <c r="I10695" s="988" t="s">
        <v>3145</v>
      </c>
      <c r="J10695" s="67">
        <f t="shared" si="599"/>
        <v>-9212.365</v>
      </c>
      <c r="K10695" s="1"/>
      <c r="L10695" s="70"/>
      <c r="M10695" s="79"/>
      <c r="N10695" s="1"/>
      <c r="O10695" s="1"/>
      <c r="P10695" s="1"/>
      <c r="Q10695" s="1"/>
      <c r="R10695" s="1"/>
      <c r="S10695" s="1"/>
      <c r="T10695" s="1"/>
      <c r="U10695" s="1"/>
      <c r="V10695" s="1"/>
      <c r="W10695" s="1"/>
      <c r="X10695" s="1"/>
      <c r="Y10695" s="1"/>
      <c r="Z10695" s="1"/>
      <c r="AA10695" s="1"/>
      <c r="AB10695" s="1"/>
      <c r="AC10695" s="1"/>
      <c r="AD10695" s="1"/>
      <c r="AE10695" s="1"/>
      <c r="AF10695" s="1"/>
      <c r="AG10695" s="1"/>
      <c r="AH10695" s="1"/>
    </row>
    <row r="10696" ht="12.75" hidden="1" customHeight="1" outlineLevel="1">
      <c r="A10696" s="202">
        <v>43437.0</v>
      </c>
      <c r="B10696" s="985" t="s">
        <v>347</v>
      </c>
      <c r="C10696" s="94" t="s">
        <v>1411</v>
      </c>
      <c r="D10696" s="94">
        <v>50.0</v>
      </c>
      <c r="E10696" s="94">
        <v>103.2331</v>
      </c>
      <c r="F10696" s="1003">
        <v>0.6447337962962963</v>
      </c>
      <c r="G10696" s="1004" t="s">
        <v>453</v>
      </c>
      <c r="H10696" s="987">
        <v>1.07</v>
      </c>
      <c r="I10696" s="988" t="s">
        <v>3145</v>
      </c>
      <c r="J10696" s="67">
        <f t="shared" si="599"/>
        <v>5160.585</v>
      </c>
      <c r="K10696" s="1"/>
      <c r="L10696" s="70"/>
      <c r="M10696" s="79"/>
      <c r="N10696" s="1"/>
      <c r="O10696" s="1"/>
      <c r="P10696" s="1"/>
      <c r="Q10696" s="1"/>
      <c r="R10696" s="1"/>
      <c r="S10696" s="1"/>
      <c r="T10696" s="1"/>
      <c r="U10696" s="1"/>
      <c r="V10696" s="1"/>
      <c r="W10696" s="1"/>
      <c r="X10696" s="1"/>
      <c r="Y10696" s="1"/>
      <c r="Z10696" s="1"/>
      <c r="AA10696" s="1"/>
      <c r="AB10696" s="1"/>
      <c r="AC10696" s="1"/>
      <c r="AD10696" s="1"/>
      <c r="AE10696" s="1"/>
      <c r="AF10696" s="1"/>
      <c r="AG10696" s="1"/>
      <c r="AH10696" s="1"/>
    </row>
    <row r="10697" ht="12.75" hidden="1" customHeight="1" outlineLevel="1">
      <c r="A10697" s="1002">
        <v>43437.0</v>
      </c>
      <c r="B10697" s="992"/>
      <c r="C10697" s="32" t="s">
        <v>947</v>
      </c>
      <c r="D10697" s="1"/>
      <c r="F10697" s="1"/>
      <c r="G10697" s="1"/>
      <c r="H10697" s="68"/>
      <c r="I10697" s="76"/>
      <c r="K10697" s="201" t="s">
        <v>3708</v>
      </c>
      <c r="L10697" s="77"/>
      <c r="M10697" s="79"/>
      <c r="N10697" s="1"/>
      <c r="O10697" s="1"/>
      <c r="P10697" s="1"/>
      <c r="Q10697" s="1"/>
      <c r="R10697" s="1"/>
      <c r="S10697" s="1"/>
      <c r="T10697" s="1"/>
      <c r="U10697" s="1"/>
      <c r="V10697" s="1"/>
      <c r="W10697" s="1"/>
      <c r="X10697" s="1"/>
      <c r="Y10697" s="1"/>
      <c r="Z10697" s="1"/>
      <c r="AA10697" s="1"/>
      <c r="AB10697" s="1"/>
      <c r="AC10697" s="1"/>
      <c r="AD10697" s="1"/>
      <c r="AE10697" s="1"/>
      <c r="AF10697" s="1"/>
      <c r="AG10697" s="1"/>
      <c r="AH10697" s="1"/>
    </row>
    <row r="10698" ht="12.75" hidden="1" customHeight="1" outlineLevel="1">
      <c r="A10698" s="1002">
        <v>43437.0</v>
      </c>
      <c r="B10698" s="992"/>
      <c r="C10698" s="32" t="s">
        <v>952</v>
      </c>
      <c r="D10698" s="1"/>
      <c r="F10698" s="1"/>
      <c r="G10698" s="1"/>
      <c r="H10698" s="68"/>
      <c r="I10698" s="76"/>
      <c r="K10698" s="9" t="s">
        <v>3709</v>
      </c>
      <c r="L10698" s="77"/>
      <c r="M10698" s="79"/>
      <c r="N10698" s="1"/>
      <c r="O10698" s="1"/>
      <c r="P10698" s="1"/>
      <c r="Q10698" s="1"/>
      <c r="R10698" s="1"/>
      <c r="S10698" s="1"/>
      <c r="T10698" s="1"/>
      <c r="U10698" s="1"/>
      <c r="V10698" s="1"/>
      <c r="W10698" s="1"/>
      <c r="X10698" s="1"/>
      <c r="Y10698" s="1"/>
      <c r="Z10698" s="1"/>
      <c r="AA10698" s="1"/>
      <c r="AB10698" s="1"/>
      <c r="AC10698" s="1"/>
      <c r="AD10698" s="1"/>
      <c r="AE10698" s="1"/>
      <c r="AF10698" s="1"/>
      <c r="AG10698" s="1"/>
      <c r="AH10698" s="1"/>
    </row>
    <row r="10699" ht="12.75" hidden="1" customHeight="1" outlineLevel="1">
      <c r="A10699" s="1002">
        <v>43437.0</v>
      </c>
      <c r="B10699" s="992"/>
      <c r="C10699" s="32" t="s">
        <v>955</v>
      </c>
      <c r="D10699" s="1"/>
      <c r="F10699" s="1"/>
      <c r="G10699" s="1"/>
      <c r="H10699" s="68"/>
      <c r="I10699" s="76"/>
      <c r="K10699" s="9" t="s">
        <v>3710</v>
      </c>
      <c r="L10699" s="77"/>
      <c r="M10699" s="79"/>
      <c r="N10699" s="1"/>
      <c r="O10699" s="1"/>
      <c r="P10699" s="1"/>
      <c r="Q10699" s="1"/>
      <c r="R10699" s="1"/>
      <c r="S10699" s="1"/>
      <c r="T10699" s="1"/>
      <c r="U10699" s="1"/>
      <c r="V10699" s="1"/>
      <c r="W10699" s="1"/>
      <c r="X10699" s="1"/>
      <c r="Y10699" s="1"/>
      <c r="Z10699" s="1"/>
      <c r="AA10699" s="1"/>
      <c r="AB10699" s="1"/>
      <c r="AC10699" s="1"/>
      <c r="AD10699" s="1"/>
      <c r="AE10699" s="1"/>
      <c r="AF10699" s="1"/>
      <c r="AG10699" s="1"/>
      <c r="AH10699" s="1"/>
    </row>
    <row r="10700" ht="12.75" hidden="1" customHeight="1" outlineLevel="1">
      <c r="A10700" s="1002">
        <v>43437.0</v>
      </c>
      <c r="B10700" s="992"/>
      <c r="C10700" s="32" t="s">
        <v>958</v>
      </c>
      <c r="D10700" s="1"/>
      <c r="F10700" s="1"/>
      <c r="G10700" s="1"/>
      <c r="H10700" s="68"/>
      <c r="I10700" s="76"/>
      <c r="K10700" s="9" t="s">
        <v>3706</v>
      </c>
      <c r="L10700" s="77"/>
      <c r="M10700" s="79"/>
      <c r="N10700" s="1"/>
      <c r="O10700" s="1"/>
      <c r="P10700" s="1"/>
      <c r="Q10700" s="1"/>
      <c r="R10700" s="1"/>
      <c r="S10700" s="1"/>
      <c r="T10700" s="1"/>
      <c r="U10700" s="1"/>
      <c r="V10700" s="1"/>
      <c r="W10700" s="1"/>
      <c r="X10700" s="1"/>
      <c r="Y10700" s="1"/>
      <c r="Z10700" s="1"/>
      <c r="AA10700" s="1"/>
      <c r="AB10700" s="1"/>
      <c r="AC10700" s="1"/>
      <c r="AD10700" s="1"/>
      <c r="AE10700" s="1"/>
      <c r="AF10700" s="1"/>
      <c r="AG10700" s="1"/>
      <c r="AH10700" s="1"/>
    </row>
    <row r="10701" ht="12.75" hidden="1" customHeight="1" outlineLevel="1">
      <c r="A10701" s="1002">
        <v>43437.0</v>
      </c>
      <c r="B10701" s="992"/>
      <c r="C10701" s="32" t="s">
        <v>961</v>
      </c>
      <c r="D10701" s="1"/>
      <c r="F10701" s="1"/>
      <c r="G10701" s="1"/>
      <c r="H10701" s="68"/>
      <c r="I10701" s="76"/>
      <c r="K10701" s="9" t="s">
        <v>3702</v>
      </c>
      <c r="L10701" s="77"/>
      <c r="M10701" s="79"/>
      <c r="N10701" s="1"/>
      <c r="O10701" s="1"/>
      <c r="P10701" s="1"/>
      <c r="Q10701" s="1"/>
      <c r="R10701" s="1"/>
      <c r="S10701" s="1"/>
      <c r="T10701" s="1"/>
      <c r="U10701" s="1"/>
      <c r="V10701" s="1"/>
      <c r="W10701" s="1"/>
      <c r="X10701" s="1"/>
      <c r="Y10701" s="1"/>
      <c r="Z10701" s="1"/>
      <c r="AA10701" s="1"/>
      <c r="AB10701" s="1"/>
      <c r="AC10701" s="1"/>
      <c r="AD10701" s="1"/>
      <c r="AE10701" s="1"/>
      <c r="AF10701" s="1"/>
      <c r="AG10701" s="1"/>
      <c r="AH10701" s="1"/>
    </row>
    <row r="10702" ht="12.75" hidden="1" customHeight="1" outlineLevel="1">
      <c r="A10702" s="202">
        <v>43440.0</v>
      </c>
      <c r="B10702" s="985" t="s">
        <v>343</v>
      </c>
      <c r="C10702" s="94" t="s">
        <v>1074</v>
      </c>
      <c r="D10702" s="94">
        <v>100.0</v>
      </c>
      <c r="E10702" s="94">
        <v>174.995</v>
      </c>
      <c r="F10702" s="1003">
        <v>0.6511921296296296</v>
      </c>
      <c r="G10702" s="1004" t="s">
        <v>453</v>
      </c>
      <c r="H10702" s="987">
        <v>1.0</v>
      </c>
      <c r="I10702" s="988" t="s">
        <v>3145</v>
      </c>
      <c r="J10702" s="67">
        <f t="shared" ref="J10702:J10705" si="600">IF(B10702="SLD",D10702*E10702,-D10702*E10702)-H10702</f>
        <v>-17500.5</v>
      </c>
      <c r="K10702" s="1"/>
      <c r="L10702" s="70"/>
      <c r="M10702" s="79"/>
      <c r="N10702" s="1"/>
      <c r="O10702" s="1"/>
      <c r="P10702" s="1"/>
      <c r="Q10702" s="1"/>
      <c r="R10702" s="1"/>
      <c r="S10702" s="1"/>
      <c r="T10702" s="1"/>
      <c r="U10702" s="1"/>
      <c r="V10702" s="1"/>
      <c r="W10702" s="1"/>
      <c r="X10702" s="1"/>
      <c r="Y10702" s="1"/>
      <c r="Z10702" s="1"/>
      <c r="AA10702" s="1"/>
      <c r="AB10702" s="1"/>
      <c r="AC10702" s="1"/>
      <c r="AD10702" s="1"/>
      <c r="AE10702" s="1"/>
      <c r="AF10702" s="1"/>
      <c r="AG10702" s="1"/>
      <c r="AH10702" s="1"/>
    </row>
    <row r="10703" ht="12.75" hidden="1" customHeight="1" outlineLevel="1">
      <c r="A10703" s="202">
        <v>43440.0</v>
      </c>
      <c r="B10703" s="985" t="s">
        <v>343</v>
      </c>
      <c r="C10703" s="94" t="s">
        <v>381</v>
      </c>
      <c r="D10703" s="94">
        <v>100.0</v>
      </c>
      <c r="E10703" s="94">
        <v>139.1154</v>
      </c>
      <c r="F10703" s="1003">
        <v>0.6515625</v>
      </c>
      <c r="G10703" s="1004" t="s">
        <v>453</v>
      </c>
      <c r="H10703" s="987">
        <v>1.0</v>
      </c>
      <c r="I10703" s="988" t="s">
        <v>3145</v>
      </c>
      <c r="J10703" s="67">
        <f t="shared" si="600"/>
        <v>-13912.54</v>
      </c>
      <c r="K10703" s="1"/>
      <c r="L10703" s="70"/>
      <c r="M10703" s="79"/>
      <c r="N10703" s="1"/>
      <c r="O10703" s="1"/>
      <c r="P10703" s="1"/>
      <c r="Q10703" s="1"/>
      <c r="R10703" s="1"/>
      <c r="S10703" s="1"/>
      <c r="T10703" s="1"/>
      <c r="U10703" s="1"/>
      <c r="V10703" s="1"/>
      <c r="W10703" s="1"/>
      <c r="X10703" s="1"/>
      <c r="Y10703" s="1"/>
      <c r="Z10703" s="1"/>
      <c r="AA10703" s="1"/>
      <c r="AB10703" s="1"/>
      <c r="AC10703" s="1"/>
      <c r="AD10703" s="1"/>
      <c r="AE10703" s="1"/>
      <c r="AF10703" s="1"/>
      <c r="AG10703" s="1"/>
      <c r="AH10703" s="1"/>
    </row>
    <row r="10704" ht="12.75" hidden="1" customHeight="1" outlineLevel="1">
      <c r="A10704" s="202">
        <v>43440.0</v>
      </c>
      <c r="B10704" s="985" t="s">
        <v>343</v>
      </c>
      <c r="C10704" s="94" t="s">
        <v>605</v>
      </c>
      <c r="D10704" s="94">
        <v>200.0</v>
      </c>
      <c r="E10704" s="94">
        <v>92.198</v>
      </c>
      <c r="F10704" s="1003">
        <v>0.6526388888888889</v>
      </c>
      <c r="G10704" s="1004" t="s">
        <v>453</v>
      </c>
      <c r="H10704" s="987">
        <v>1.0</v>
      </c>
      <c r="I10704" s="988" t="s">
        <v>3145</v>
      </c>
      <c r="J10704" s="67">
        <f t="shared" si="600"/>
        <v>-18440.6</v>
      </c>
      <c r="K10704" s="1"/>
      <c r="L10704" s="70"/>
      <c r="M10704" s="79"/>
      <c r="N10704" s="1"/>
      <c r="O10704" s="1"/>
      <c r="P10704" s="1"/>
      <c r="Q10704" s="1"/>
      <c r="R10704" s="1"/>
      <c r="S10704" s="1"/>
      <c r="T10704" s="1"/>
      <c r="U10704" s="1"/>
      <c r="V10704" s="1"/>
      <c r="W10704" s="1"/>
      <c r="X10704" s="1"/>
      <c r="Y10704" s="1"/>
      <c r="Z10704" s="1"/>
      <c r="AA10704" s="1"/>
      <c r="AB10704" s="1"/>
      <c r="AC10704" s="1"/>
      <c r="AD10704" s="1"/>
      <c r="AE10704" s="1"/>
      <c r="AF10704" s="1"/>
      <c r="AG10704" s="1"/>
      <c r="AH10704" s="1"/>
    </row>
    <row r="10705" ht="12.75" hidden="1" customHeight="1" outlineLevel="1">
      <c r="A10705" s="202">
        <v>43444.0</v>
      </c>
      <c r="B10705" s="985" t="s">
        <v>343</v>
      </c>
      <c r="C10705" s="94" t="s">
        <v>1040</v>
      </c>
      <c r="D10705" s="94">
        <v>100.0</v>
      </c>
      <c r="E10705" s="94">
        <v>107.7685</v>
      </c>
      <c r="F10705" s="1003">
        <v>0.6660185185185186</v>
      </c>
      <c r="G10705" s="1004" t="s">
        <v>453</v>
      </c>
      <c r="H10705" s="987">
        <v>1.0</v>
      </c>
      <c r="I10705" s="988" t="s">
        <v>3145</v>
      </c>
      <c r="J10705" s="67">
        <f t="shared" si="600"/>
        <v>-10777.85</v>
      </c>
      <c r="K10705" s="1"/>
      <c r="L10705" s="70"/>
      <c r="M10705" s="79"/>
      <c r="N10705" s="1"/>
      <c r="O10705" s="1"/>
      <c r="P10705" s="1"/>
      <c r="Q10705" s="1"/>
      <c r="R10705" s="1"/>
      <c r="S10705" s="1"/>
      <c r="T10705" s="1"/>
      <c r="U10705" s="1"/>
      <c r="V10705" s="1"/>
      <c r="W10705" s="1"/>
      <c r="X10705" s="1"/>
      <c r="Y10705" s="1"/>
      <c r="Z10705" s="1"/>
      <c r="AA10705" s="1"/>
      <c r="AB10705" s="1"/>
      <c r="AC10705" s="1"/>
      <c r="AD10705" s="1"/>
      <c r="AE10705" s="1"/>
      <c r="AF10705" s="1"/>
      <c r="AG10705" s="1"/>
      <c r="AH10705" s="1"/>
    </row>
    <row r="10706" ht="12.75" hidden="1" customHeight="1" outlineLevel="1">
      <c r="A10706" s="1002">
        <v>43444.0</v>
      </c>
      <c r="B10706" s="992"/>
      <c r="C10706" s="32" t="s">
        <v>947</v>
      </c>
      <c r="D10706" s="1"/>
      <c r="F10706" s="1"/>
      <c r="G10706" s="1"/>
      <c r="H10706" s="68"/>
      <c r="I10706" s="76"/>
      <c r="K10706" s="201" t="s">
        <v>3711</v>
      </c>
      <c r="L10706" s="77"/>
      <c r="M10706" s="79"/>
      <c r="N10706" s="1"/>
      <c r="O10706" s="1"/>
      <c r="P10706" s="1"/>
      <c r="Q10706" s="1"/>
      <c r="R10706" s="1"/>
      <c r="S10706" s="1"/>
      <c r="T10706" s="1"/>
      <c r="U10706" s="1"/>
      <c r="V10706" s="1"/>
      <c r="W10706" s="1"/>
      <c r="X10706" s="1"/>
      <c r="Y10706" s="1"/>
      <c r="Z10706" s="1"/>
      <c r="AA10706" s="1"/>
      <c r="AB10706" s="1"/>
      <c r="AC10706" s="1"/>
      <c r="AD10706" s="1"/>
      <c r="AE10706" s="1"/>
      <c r="AF10706" s="1"/>
      <c r="AG10706" s="1"/>
      <c r="AH10706" s="1"/>
    </row>
    <row r="10707" ht="12.75" hidden="1" customHeight="1" outlineLevel="1">
      <c r="A10707" s="1002">
        <v>43444.0</v>
      </c>
      <c r="B10707" s="992"/>
      <c r="C10707" s="32" t="s">
        <v>952</v>
      </c>
      <c r="D10707" s="1"/>
      <c r="F10707" s="1"/>
      <c r="G10707" s="1"/>
      <c r="H10707" s="68"/>
      <c r="I10707" s="76"/>
      <c r="K10707" s="9" t="s">
        <v>3712</v>
      </c>
      <c r="L10707" s="77"/>
      <c r="M10707" s="79"/>
      <c r="N10707" s="1"/>
      <c r="O10707" s="1"/>
      <c r="P10707" s="1"/>
      <c r="Q10707" s="1"/>
      <c r="R10707" s="1"/>
      <c r="S10707" s="1"/>
      <c r="T10707" s="1"/>
      <c r="U10707" s="1"/>
      <c r="V10707" s="1"/>
      <c r="W10707" s="1"/>
      <c r="X10707" s="1"/>
      <c r="Y10707" s="1"/>
      <c r="Z10707" s="1"/>
      <c r="AA10707" s="1"/>
      <c r="AB10707" s="1"/>
      <c r="AC10707" s="1"/>
      <c r="AD10707" s="1"/>
      <c r="AE10707" s="1"/>
      <c r="AF10707" s="1"/>
      <c r="AG10707" s="1"/>
      <c r="AH10707" s="1"/>
    </row>
    <row r="10708" ht="12.75" hidden="1" customHeight="1" outlineLevel="1">
      <c r="A10708" s="1002">
        <v>43444.0</v>
      </c>
      <c r="B10708" s="992"/>
      <c r="C10708" s="32" t="s">
        <v>955</v>
      </c>
      <c r="D10708" s="1"/>
      <c r="F10708" s="1"/>
      <c r="G10708" s="1"/>
      <c r="H10708" s="68"/>
      <c r="I10708" s="76"/>
      <c r="K10708" s="9" t="s">
        <v>3713</v>
      </c>
      <c r="L10708" s="77"/>
      <c r="M10708" s="79"/>
      <c r="N10708" s="1"/>
      <c r="O10708" s="1"/>
      <c r="P10708" s="1"/>
      <c r="Q10708" s="1"/>
      <c r="R10708" s="1"/>
      <c r="S10708" s="1"/>
      <c r="T10708" s="1"/>
      <c r="U10708" s="1"/>
      <c r="V10708" s="1"/>
      <c r="W10708" s="1"/>
      <c r="X10708" s="1"/>
      <c r="Y10708" s="1"/>
      <c r="Z10708" s="1"/>
      <c r="AA10708" s="1"/>
      <c r="AB10708" s="1"/>
      <c r="AC10708" s="1"/>
      <c r="AD10708" s="1"/>
      <c r="AE10708" s="1"/>
      <c r="AF10708" s="1"/>
      <c r="AG10708" s="1"/>
      <c r="AH10708" s="1"/>
    </row>
    <row r="10709" ht="12.75" hidden="1" customHeight="1" outlineLevel="1">
      <c r="A10709" s="1002">
        <v>43444.0</v>
      </c>
      <c r="B10709" s="992"/>
      <c r="C10709" s="32" t="s">
        <v>958</v>
      </c>
      <c r="D10709" s="1"/>
      <c r="F10709" s="1"/>
      <c r="G10709" s="1"/>
      <c r="H10709" s="68"/>
      <c r="I10709" s="76"/>
      <c r="K10709" s="9" t="s">
        <v>3714</v>
      </c>
      <c r="L10709" s="77"/>
      <c r="M10709" s="79"/>
      <c r="N10709" s="1"/>
      <c r="O10709" s="1"/>
      <c r="P10709" s="1"/>
      <c r="Q10709" s="1"/>
      <c r="R10709" s="1"/>
      <c r="S10709" s="1"/>
      <c r="T10709" s="1"/>
      <c r="U10709" s="1"/>
      <c r="V10709" s="1"/>
      <c r="W10709" s="1"/>
      <c r="X10709" s="1"/>
      <c r="Y10709" s="1"/>
      <c r="Z10709" s="1"/>
      <c r="AA10709" s="1"/>
      <c r="AB10709" s="1"/>
      <c r="AC10709" s="1"/>
      <c r="AD10709" s="1"/>
      <c r="AE10709" s="1"/>
      <c r="AF10709" s="1"/>
      <c r="AG10709" s="1"/>
      <c r="AH10709" s="1"/>
    </row>
    <row r="10710" ht="12.75" hidden="1" customHeight="1" outlineLevel="1">
      <c r="A10710" s="1002">
        <v>43444.0</v>
      </c>
      <c r="B10710" s="992"/>
      <c r="C10710" s="32" t="s">
        <v>961</v>
      </c>
      <c r="D10710" s="1"/>
      <c r="F10710" s="1"/>
      <c r="G10710" s="1"/>
      <c r="H10710" s="68"/>
      <c r="I10710" s="76"/>
      <c r="K10710" s="9" t="s">
        <v>3702</v>
      </c>
      <c r="L10710" s="77"/>
      <c r="M10710" s="79"/>
      <c r="N10710" s="1"/>
      <c r="O10710" s="1"/>
      <c r="P10710" s="1"/>
      <c r="Q10710" s="1"/>
      <c r="R10710" s="1"/>
      <c r="S10710" s="1"/>
      <c r="T10710" s="1"/>
      <c r="U10710" s="1"/>
      <c r="V10710" s="1"/>
      <c r="W10710" s="1"/>
      <c r="X10710" s="1"/>
      <c r="Y10710" s="1"/>
      <c r="Z10710" s="1"/>
      <c r="AA10710" s="1"/>
      <c r="AB10710" s="1"/>
      <c r="AC10710" s="1"/>
      <c r="AD10710" s="1"/>
      <c r="AE10710" s="1"/>
      <c r="AF10710" s="1"/>
      <c r="AG10710" s="1"/>
      <c r="AH10710" s="1"/>
    </row>
    <row r="10711" ht="12.75" hidden="1" customHeight="1" outlineLevel="1">
      <c r="A10711" s="202">
        <v>43456.0</v>
      </c>
      <c r="B10711" s="985" t="s">
        <v>347</v>
      </c>
      <c r="C10711" s="94" t="s">
        <v>1040</v>
      </c>
      <c r="D10711" s="94">
        <v>250.0</v>
      </c>
      <c r="E10711" s="94">
        <v>98.33</v>
      </c>
      <c r="F10711" s="998">
        <v>43455.6418287037</v>
      </c>
      <c r="G10711" s="1004" t="s">
        <v>453</v>
      </c>
      <c r="H10711" s="987">
        <v>1.6</v>
      </c>
      <c r="I10711" s="988" t="s">
        <v>3145</v>
      </c>
      <c r="J10711" s="67">
        <f t="shared" ref="J10711:J10717" si="601">IF(B10711="SLD",D10711*E10711,-D10711*E10711)-H10711</f>
        <v>24580.9</v>
      </c>
      <c r="K10711" s="1"/>
      <c r="L10711" s="70"/>
      <c r="M10711" s="79"/>
      <c r="N10711" s="1"/>
      <c r="O10711" s="1"/>
      <c r="P10711" s="1"/>
      <c r="Q10711" s="1"/>
      <c r="R10711" s="1"/>
      <c r="S10711" s="1"/>
      <c r="T10711" s="1"/>
      <c r="U10711" s="1"/>
      <c r="V10711" s="1"/>
      <c r="W10711" s="1"/>
      <c r="X10711" s="1"/>
      <c r="Y10711" s="1"/>
      <c r="Z10711" s="1"/>
      <c r="AA10711" s="1"/>
      <c r="AB10711" s="1"/>
      <c r="AC10711" s="1"/>
      <c r="AD10711" s="1"/>
      <c r="AE10711" s="1"/>
      <c r="AF10711" s="1"/>
      <c r="AG10711" s="1"/>
      <c r="AH10711" s="1"/>
    </row>
    <row r="10712" ht="12.75" hidden="1" customHeight="1" outlineLevel="1">
      <c r="A10712" s="202">
        <v>43456.0</v>
      </c>
      <c r="B10712" s="985" t="s">
        <v>347</v>
      </c>
      <c r="C10712" s="94" t="s">
        <v>1035</v>
      </c>
      <c r="D10712" s="94">
        <v>20.0</v>
      </c>
      <c r="E10712" s="94">
        <v>990.5096</v>
      </c>
      <c r="F10712" s="998">
        <v>43455.642905092594</v>
      </c>
      <c r="G10712" s="1004" t="s">
        <v>453</v>
      </c>
      <c r="H10712" s="987">
        <v>1.26</v>
      </c>
      <c r="I10712" s="988" t="s">
        <v>3145</v>
      </c>
      <c r="J10712" s="67">
        <f t="shared" si="601"/>
        <v>19808.932</v>
      </c>
      <c r="K10712" s="1"/>
      <c r="L10712" s="70"/>
      <c r="M10712" s="79"/>
      <c r="N10712" s="1"/>
      <c r="O10712" s="1"/>
      <c r="P10712" s="1"/>
      <c r="Q10712" s="1"/>
      <c r="R10712" s="1"/>
      <c r="S10712" s="1"/>
      <c r="T10712" s="1"/>
      <c r="U10712" s="1"/>
      <c r="V10712" s="1"/>
      <c r="W10712" s="1"/>
      <c r="X10712" s="1"/>
      <c r="Y10712" s="1"/>
      <c r="Z10712" s="1"/>
      <c r="AA10712" s="1"/>
      <c r="AB10712" s="1"/>
      <c r="AC10712" s="1"/>
      <c r="AD10712" s="1"/>
      <c r="AE10712" s="1"/>
      <c r="AF10712" s="1"/>
      <c r="AG10712" s="1"/>
      <c r="AH10712" s="1"/>
    </row>
    <row r="10713" ht="12.75" hidden="1" customHeight="1" outlineLevel="1">
      <c r="A10713" s="202">
        <v>43456.0</v>
      </c>
      <c r="B10713" s="985" t="s">
        <v>347</v>
      </c>
      <c r="C10713" s="94" t="s">
        <v>346</v>
      </c>
      <c r="D10713" s="94">
        <v>75.0</v>
      </c>
      <c r="E10713" s="94">
        <v>151.005</v>
      </c>
      <c r="F10713" s="998">
        <v>43455.64320601852</v>
      </c>
      <c r="G10713" s="1004" t="s">
        <v>453</v>
      </c>
      <c r="H10713" s="987">
        <v>1.16</v>
      </c>
      <c r="I10713" s="988" t="s">
        <v>3145</v>
      </c>
      <c r="J10713" s="67">
        <f t="shared" si="601"/>
        <v>11324.215</v>
      </c>
      <c r="K10713" s="1"/>
      <c r="L10713" s="70"/>
      <c r="M10713" s="79"/>
      <c r="N10713" s="1"/>
      <c r="O10713" s="1"/>
      <c r="P10713" s="1"/>
      <c r="Q10713" s="1"/>
      <c r="R10713" s="1"/>
      <c r="S10713" s="1"/>
      <c r="T10713" s="1"/>
      <c r="U10713" s="1"/>
      <c r="V10713" s="1"/>
      <c r="W10713" s="1"/>
      <c r="X10713" s="1"/>
      <c r="Y10713" s="1"/>
      <c r="Z10713" s="1"/>
      <c r="AA10713" s="1"/>
      <c r="AB10713" s="1"/>
      <c r="AC10713" s="1"/>
      <c r="AD10713" s="1"/>
      <c r="AE10713" s="1"/>
      <c r="AF10713" s="1"/>
      <c r="AG10713" s="1"/>
      <c r="AH10713" s="1"/>
    </row>
    <row r="10714" ht="12.75" hidden="1" customHeight="1" outlineLevel="1">
      <c r="A10714" s="202">
        <v>43456.0</v>
      </c>
      <c r="B10714" s="985" t="s">
        <v>347</v>
      </c>
      <c r="C10714" s="94" t="s">
        <v>381</v>
      </c>
      <c r="D10714" s="94">
        <v>200.0</v>
      </c>
      <c r="E10714" s="94">
        <v>124.095</v>
      </c>
      <c r="F10714" s="998">
        <v>43455.646099537036</v>
      </c>
      <c r="G10714" s="1004" t="s">
        <v>453</v>
      </c>
      <c r="H10714" s="987">
        <v>1.35</v>
      </c>
      <c r="I10714" s="988" t="s">
        <v>3145</v>
      </c>
      <c r="J10714" s="67">
        <f t="shared" si="601"/>
        <v>24817.65</v>
      </c>
      <c r="K10714" s="1"/>
      <c r="L10714" s="70"/>
      <c r="M10714" s="79"/>
      <c r="N10714" s="1"/>
      <c r="O10714" s="1"/>
      <c r="P10714" s="1"/>
      <c r="Q10714" s="1"/>
      <c r="R10714" s="1"/>
      <c r="S10714" s="1"/>
      <c r="T10714" s="1"/>
      <c r="U10714" s="1"/>
      <c r="V10714" s="1"/>
      <c r="W10714" s="1"/>
      <c r="X10714" s="1"/>
      <c r="Y10714" s="1"/>
      <c r="Z10714" s="1"/>
      <c r="AA10714" s="1"/>
      <c r="AB10714" s="1"/>
      <c r="AC10714" s="1"/>
      <c r="AD10714" s="1"/>
      <c r="AE10714" s="1"/>
      <c r="AF10714" s="1"/>
      <c r="AG10714" s="1"/>
      <c r="AH10714" s="1"/>
    </row>
    <row r="10715" ht="12.75" hidden="1" customHeight="1" outlineLevel="1">
      <c r="A10715" s="202">
        <v>43456.0</v>
      </c>
      <c r="B10715" s="985" t="s">
        <v>347</v>
      </c>
      <c r="C10715" s="94" t="s">
        <v>3249</v>
      </c>
      <c r="D10715" s="94">
        <v>300.0</v>
      </c>
      <c r="E10715" s="94">
        <v>23.13</v>
      </c>
      <c r="F10715" s="998">
        <v>43455.64832175926</v>
      </c>
      <c r="G10715" s="1004" t="s">
        <v>453</v>
      </c>
      <c r="H10715" s="987">
        <v>1.53</v>
      </c>
      <c r="I10715" s="988" t="s">
        <v>3145</v>
      </c>
      <c r="J10715" s="67">
        <f t="shared" si="601"/>
        <v>6937.47</v>
      </c>
      <c r="K10715" s="1"/>
      <c r="L10715" s="70"/>
      <c r="M10715" s="79"/>
      <c r="N10715" s="1"/>
      <c r="O10715" s="1"/>
      <c r="P10715" s="1"/>
      <c r="Q10715" s="1"/>
      <c r="R10715" s="1"/>
      <c r="S10715" s="1"/>
      <c r="T10715" s="1"/>
      <c r="U10715" s="1"/>
      <c r="V10715" s="1"/>
      <c r="W10715" s="1"/>
      <c r="X10715" s="1"/>
      <c r="Y10715" s="1"/>
      <c r="Z10715" s="1"/>
      <c r="AA10715" s="1"/>
      <c r="AB10715" s="1"/>
      <c r="AC10715" s="1"/>
      <c r="AD10715" s="1"/>
      <c r="AE10715" s="1"/>
      <c r="AF10715" s="1"/>
      <c r="AG10715" s="1"/>
      <c r="AH10715" s="1"/>
    </row>
    <row r="10716" ht="12.75" hidden="1" customHeight="1" outlineLevel="1">
      <c r="A10716" s="202">
        <v>43456.0</v>
      </c>
      <c r="B10716" s="985" t="s">
        <v>347</v>
      </c>
      <c r="C10716" s="94" t="s">
        <v>605</v>
      </c>
      <c r="D10716" s="94">
        <v>200.0</v>
      </c>
      <c r="E10716" s="94">
        <v>81.83</v>
      </c>
      <c r="F10716" s="998">
        <v>43455.64908564815</v>
      </c>
      <c r="G10716" s="1004" t="s">
        <v>453</v>
      </c>
      <c r="H10716" s="987">
        <v>1.24</v>
      </c>
      <c r="I10716" s="988" t="s">
        <v>3145</v>
      </c>
      <c r="J10716" s="67">
        <f t="shared" si="601"/>
        <v>16364.76</v>
      </c>
      <c r="K10716" s="1"/>
      <c r="L10716" s="70"/>
      <c r="M10716" s="79"/>
      <c r="N10716" s="1"/>
      <c r="O10716" s="1"/>
      <c r="P10716" s="1"/>
      <c r="Q10716" s="1"/>
      <c r="R10716" s="1"/>
      <c r="S10716" s="1"/>
      <c r="T10716" s="1"/>
      <c r="U10716" s="1"/>
      <c r="V10716" s="1"/>
      <c r="W10716" s="1"/>
      <c r="X10716" s="1"/>
      <c r="Y10716" s="1"/>
      <c r="Z10716" s="1"/>
      <c r="AA10716" s="1"/>
      <c r="AB10716" s="1"/>
      <c r="AC10716" s="1"/>
      <c r="AD10716" s="1"/>
      <c r="AE10716" s="1"/>
      <c r="AF10716" s="1"/>
      <c r="AG10716" s="1"/>
      <c r="AH10716" s="1"/>
    </row>
    <row r="10717" ht="12.75" hidden="1" customHeight="1" outlineLevel="1">
      <c r="A10717" s="202">
        <v>43456.0</v>
      </c>
      <c r="B10717" s="985" t="s">
        <v>347</v>
      </c>
      <c r="C10717" s="94" t="s">
        <v>1177</v>
      </c>
      <c r="D10717" s="94">
        <v>5.0</v>
      </c>
      <c r="E10717" s="94">
        <v>1625.6064</v>
      </c>
      <c r="F10717" s="998">
        <v>43455.650775462964</v>
      </c>
      <c r="G10717" s="1004" t="s">
        <v>453</v>
      </c>
      <c r="H10717" s="987">
        <v>1.11</v>
      </c>
      <c r="I10717" s="988" t="s">
        <v>3145</v>
      </c>
      <c r="J10717" s="67">
        <f t="shared" si="601"/>
        <v>8126.922</v>
      </c>
      <c r="K10717" s="1"/>
      <c r="L10717" s="70"/>
      <c r="M10717" s="79"/>
      <c r="N10717" s="1"/>
      <c r="O10717" s="1"/>
      <c r="P10717" s="1"/>
      <c r="Q10717" s="1"/>
      <c r="R10717" s="1"/>
      <c r="S10717" s="1"/>
      <c r="T10717" s="1"/>
      <c r="U10717" s="1"/>
      <c r="V10717" s="1"/>
      <c r="W10717" s="1"/>
      <c r="X10717" s="1"/>
      <c r="Y10717" s="1"/>
      <c r="Z10717" s="1"/>
      <c r="AA10717" s="1"/>
      <c r="AB10717" s="1"/>
      <c r="AC10717" s="1"/>
      <c r="AD10717" s="1"/>
      <c r="AE10717" s="1"/>
      <c r="AF10717" s="1"/>
      <c r="AG10717" s="1"/>
      <c r="AH10717" s="1"/>
    </row>
    <row r="10718" ht="12.75" hidden="1" customHeight="1" outlineLevel="1">
      <c r="A10718" s="202">
        <v>43456.0</v>
      </c>
      <c r="B10718" s="1"/>
      <c r="C10718" s="1020" t="s">
        <v>947</v>
      </c>
      <c r="D10718" s="150"/>
      <c r="E10718" s="150"/>
      <c r="F10718" s="75" t="s">
        <v>3715</v>
      </c>
      <c r="G10718" s="67"/>
      <c r="H10718" s="68"/>
      <c r="I10718" s="256">
        <v>1.0</v>
      </c>
      <c r="J10718" s="67"/>
      <c r="K10718" s="1021" t="s">
        <v>3716</v>
      </c>
      <c r="L10718" s="77"/>
      <c r="M10718" s="79"/>
      <c r="N10718" s="1"/>
      <c r="O10718" s="1"/>
      <c r="P10718" s="1"/>
      <c r="Q10718" s="1"/>
      <c r="R10718" s="1"/>
      <c r="S10718" s="1"/>
      <c r="T10718" s="1"/>
      <c r="U10718" s="1"/>
      <c r="V10718" s="1"/>
      <c r="W10718" s="1"/>
      <c r="X10718" s="1"/>
      <c r="Y10718" s="1"/>
      <c r="Z10718" s="1"/>
      <c r="AA10718" s="1"/>
      <c r="AB10718" s="1"/>
      <c r="AC10718" s="1"/>
      <c r="AD10718" s="1"/>
      <c r="AE10718" s="1"/>
      <c r="AF10718" s="1"/>
      <c r="AG10718" s="1"/>
      <c r="AH10718" s="1"/>
    </row>
    <row r="10719" ht="12.75" hidden="1" customHeight="1" outlineLevel="1">
      <c r="A10719" s="202">
        <v>43456.0</v>
      </c>
      <c r="B10719" s="1"/>
      <c r="C10719" s="1020" t="s">
        <v>952</v>
      </c>
      <c r="D10719" s="150"/>
      <c r="E10719" s="150"/>
      <c r="F10719" s="75" t="s">
        <v>953</v>
      </c>
      <c r="G10719" s="67"/>
      <c r="H10719" s="68"/>
      <c r="I10719" s="256">
        <v>0.0</v>
      </c>
      <c r="J10719" s="67"/>
      <c r="K10719" s="1020" t="s">
        <v>3717</v>
      </c>
      <c r="L10719" s="77"/>
      <c r="M10719" s="79"/>
      <c r="N10719" s="1"/>
      <c r="O10719" s="1"/>
      <c r="P10719" s="1"/>
      <c r="Q10719" s="1"/>
      <c r="R10719" s="1"/>
      <c r="S10719" s="1"/>
      <c r="T10719" s="1"/>
      <c r="U10719" s="1"/>
      <c r="V10719" s="1"/>
      <c r="W10719" s="1"/>
      <c r="X10719" s="1"/>
      <c r="Y10719" s="1"/>
      <c r="Z10719" s="1"/>
      <c r="AA10719" s="1"/>
      <c r="AB10719" s="1"/>
      <c r="AC10719" s="1"/>
      <c r="AD10719" s="1"/>
      <c r="AE10719" s="1"/>
      <c r="AF10719" s="1"/>
      <c r="AG10719" s="1"/>
      <c r="AH10719" s="1"/>
    </row>
    <row r="10720" ht="12.75" hidden="1" customHeight="1" outlineLevel="1">
      <c r="A10720" s="202">
        <v>43456.0</v>
      </c>
      <c r="B10720" s="1"/>
      <c r="C10720" s="1020" t="s">
        <v>955</v>
      </c>
      <c r="D10720" s="150"/>
      <c r="E10720" s="150"/>
      <c r="F10720" s="75" t="s">
        <v>3718</v>
      </c>
      <c r="G10720" s="67"/>
      <c r="H10720" s="68"/>
      <c r="I10720" s="256">
        <v>0.0</v>
      </c>
      <c r="J10720" s="67"/>
      <c r="K10720" s="1020" t="s">
        <v>3719</v>
      </c>
      <c r="L10720" s="77"/>
      <c r="M10720" s="79"/>
      <c r="N10720" s="1"/>
      <c r="O10720" s="1"/>
      <c r="P10720" s="1"/>
      <c r="Q10720" s="1"/>
      <c r="R10720" s="1"/>
      <c r="S10720" s="1"/>
      <c r="T10720" s="1"/>
      <c r="U10720" s="1"/>
      <c r="V10720" s="1"/>
      <c r="W10720" s="1"/>
      <c r="X10720" s="1"/>
      <c r="Y10720" s="1"/>
      <c r="Z10720" s="1"/>
      <c r="AA10720" s="1"/>
      <c r="AB10720" s="1"/>
      <c r="AC10720" s="1"/>
      <c r="AD10720" s="1"/>
      <c r="AE10720" s="1"/>
      <c r="AF10720" s="1"/>
      <c r="AG10720" s="1"/>
      <c r="AH10720" s="1"/>
    </row>
    <row r="10721" ht="12.75" hidden="1" customHeight="1" outlineLevel="1">
      <c r="A10721" s="202">
        <v>43456.0</v>
      </c>
      <c r="B10721" s="1"/>
      <c r="C10721" s="1020" t="s">
        <v>958</v>
      </c>
      <c r="D10721" s="150"/>
      <c r="E10721" s="150"/>
      <c r="F10721" s="75" t="s">
        <v>3720</v>
      </c>
      <c r="G10721" s="67"/>
      <c r="H10721" s="68"/>
      <c r="I10721" s="256">
        <v>0.0</v>
      </c>
      <c r="J10721" s="67"/>
      <c r="K10721" s="1020" t="s">
        <v>3714</v>
      </c>
      <c r="L10721" s="77"/>
      <c r="M10721" s="79"/>
      <c r="N10721" s="1"/>
      <c r="O10721" s="1"/>
      <c r="P10721" s="1"/>
      <c r="Q10721" s="1"/>
      <c r="R10721" s="1"/>
      <c r="S10721" s="1"/>
      <c r="T10721" s="1"/>
      <c r="U10721" s="1"/>
      <c r="V10721" s="1"/>
      <c r="W10721" s="1"/>
      <c r="X10721" s="1"/>
      <c r="Y10721" s="1"/>
      <c r="Z10721" s="1"/>
      <c r="AA10721" s="1"/>
      <c r="AB10721" s="1"/>
      <c r="AC10721" s="1"/>
      <c r="AD10721" s="1"/>
      <c r="AE10721" s="1"/>
      <c r="AF10721" s="1"/>
      <c r="AG10721" s="1"/>
      <c r="AH10721" s="1"/>
    </row>
    <row r="10722" ht="12.75" hidden="1" customHeight="1" outlineLevel="1">
      <c r="A10722" s="202">
        <v>43456.0</v>
      </c>
      <c r="B10722" s="1"/>
      <c r="C10722" s="1020" t="s">
        <v>961</v>
      </c>
      <c r="D10722" s="150"/>
      <c r="E10722" s="150"/>
      <c r="F10722" s="709" t="s">
        <v>3721</v>
      </c>
      <c r="G10722" s="67"/>
      <c r="H10722" s="68"/>
      <c r="I10722" s="76">
        <v>1.0</v>
      </c>
      <c r="J10722" s="67"/>
      <c r="K10722" s="1020" t="s">
        <v>3702</v>
      </c>
      <c r="L10722" s="77"/>
      <c r="M10722" s="79"/>
      <c r="N10722" s="1"/>
      <c r="O10722" s="1"/>
      <c r="P10722" s="1"/>
      <c r="Q10722" s="1"/>
      <c r="R10722" s="1"/>
      <c r="S10722" s="1"/>
      <c r="T10722" s="1"/>
      <c r="U10722" s="1"/>
      <c r="V10722" s="1"/>
      <c r="W10722" s="1"/>
      <c r="X10722" s="1"/>
      <c r="Y10722" s="1"/>
      <c r="Z10722" s="1"/>
      <c r="AA10722" s="1"/>
      <c r="AB10722" s="1"/>
      <c r="AC10722" s="1"/>
      <c r="AD10722" s="1"/>
      <c r="AE10722" s="1"/>
      <c r="AF10722" s="1"/>
      <c r="AG10722" s="1"/>
      <c r="AH10722" s="1"/>
    </row>
    <row r="10723" ht="12.75" hidden="1" customHeight="1" outlineLevel="1">
      <c r="A10723" s="197">
        <v>43457.0</v>
      </c>
      <c r="B10723" s="992"/>
      <c r="C10723" s="32" t="s">
        <v>947</v>
      </c>
      <c r="D10723" s="1"/>
      <c r="F10723" s="1022" t="s">
        <v>3715</v>
      </c>
      <c r="G10723" s="87"/>
      <c r="H10723" s="199"/>
      <c r="I10723" s="1023">
        <v>1.0</v>
      </c>
      <c r="K10723" s="201" t="s">
        <v>3722</v>
      </c>
      <c r="L10723" s="934"/>
      <c r="M10723" s="934"/>
    </row>
    <row r="10724" ht="12.75" hidden="1" customHeight="1" outlineLevel="1">
      <c r="A10724" s="202">
        <v>43457.0</v>
      </c>
      <c r="B10724" s="992"/>
      <c r="C10724" s="32" t="s">
        <v>952</v>
      </c>
      <c r="D10724" s="1"/>
      <c r="F10724" s="231" t="s">
        <v>953</v>
      </c>
      <c r="G10724" s="1"/>
      <c r="H10724" s="68"/>
      <c r="I10724" s="1024">
        <v>0.0</v>
      </c>
      <c r="K10724" s="9" t="s">
        <v>3723</v>
      </c>
      <c r="L10724" s="1001"/>
      <c r="M10724" s="1001"/>
      <c r="N10724" s="205"/>
      <c r="O10724" s="205"/>
      <c r="P10724" s="205"/>
      <c r="Q10724" s="205"/>
      <c r="R10724" s="205"/>
      <c r="S10724" s="205"/>
      <c r="T10724" s="205"/>
      <c r="U10724" s="205"/>
      <c r="V10724" s="205"/>
      <c r="W10724" s="205"/>
      <c r="X10724" s="205"/>
      <c r="Y10724" s="205"/>
      <c r="Z10724" s="205"/>
      <c r="AA10724" s="205"/>
      <c r="AB10724" s="205"/>
      <c r="AC10724" s="205"/>
      <c r="AD10724" s="205"/>
      <c r="AE10724" s="205"/>
      <c r="AF10724" s="205"/>
      <c r="AG10724" s="205"/>
      <c r="AH10724" s="205"/>
    </row>
    <row r="10725" ht="12.75" hidden="1" customHeight="1" outlineLevel="1">
      <c r="A10725" s="202">
        <v>43457.0</v>
      </c>
      <c r="B10725" s="992"/>
      <c r="C10725" s="32" t="s">
        <v>955</v>
      </c>
      <c r="D10725" s="1"/>
      <c r="F10725" s="231" t="s">
        <v>3718</v>
      </c>
      <c r="G10725" s="1"/>
      <c r="H10725" s="68"/>
      <c r="I10725" s="1024">
        <v>0.0</v>
      </c>
      <c r="K10725" s="9" t="s">
        <v>3724</v>
      </c>
      <c r="L10725" s="1001"/>
      <c r="M10725" s="1001"/>
      <c r="N10725" s="205"/>
      <c r="O10725" s="205"/>
      <c r="P10725" s="205"/>
      <c r="Q10725" s="205"/>
      <c r="R10725" s="205"/>
      <c r="S10725" s="205"/>
      <c r="T10725" s="205"/>
      <c r="U10725" s="205"/>
      <c r="V10725" s="205"/>
      <c r="W10725" s="205"/>
      <c r="X10725" s="205"/>
      <c r="Y10725" s="205"/>
      <c r="Z10725" s="205"/>
      <c r="AA10725" s="205"/>
      <c r="AB10725" s="205"/>
      <c r="AC10725" s="205"/>
      <c r="AD10725" s="205"/>
      <c r="AE10725" s="205"/>
      <c r="AF10725" s="205"/>
      <c r="AG10725" s="205"/>
      <c r="AH10725" s="205"/>
    </row>
    <row r="10726" ht="12.75" hidden="1" customHeight="1" outlineLevel="1">
      <c r="A10726" s="202">
        <v>43457.0</v>
      </c>
      <c r="B10726" s="992"/>
      <c r="C10726" s="32" t="s">
        <v>958</v>
      </c>
      <c r="D10726" s="1"/>
      <c r="F10726" s="231" t="s">
        <v>3720</v>
      </c>
      <c r="G10726" s="1"/>
      <c r="H10726" s="68"/>
      <c r="I10726" s="1024">
        <v>0.0</v>
      </c>
      <c r="K10726" s="9" t="s">
        <v>3714</v>
      </c>
      <c r="L10726" s="1001"/>
      <c r="M10726" s="1001"/>
      <c r="N10726" s="205"/>
      <c r="O10726" s="205"/>
      <c r="P10726" s="205"/>
      <c r="Q10726" s="205"/>
      <c r="R10726" s="205"/>
      <c r="S10726" s="205"/>
      <c r="T10726" s="205"/>
      <c r="U10726" s="205"/>
      <c r="V10726" s="205"/>
      <c r="W10726" s="205"/>
      <c r="X10726" s="205"/>
      <c r="Y10726" s="205"/>
      <c r="Z10726" s="205"/>
      <c r="AA10726" s="205"/>
      <c r="AB10726" s="205"/>
      <c r="AC10726" s="205"/>
      <c r="AD10726" s="205"/>
      <c r="AE10726" s="205"/>
      <c r="AF10726" s="205"/>
      <c r="AG10726" s="205"/>
      <c r="AH10726" s="205"/>
    </row>
    <row r="10727" ht="12.75" hidden="1" customHeight="1" outlineLevel="1">
      <c r="A10727" s="202">
        <v>43457.0</v>
      </c>
      <c r="B10727" s="992"/>
      <c r="C10727" s="32" t="s">
        <v>961</v>
      </c>
      <c r="D10727" s="1"/>
      <c r="F10727" s="245" t="s">
        <v>3721</v>
      </c>
      <c r="G10727" s="247"/>
      <c r="H10727" s="1025"/>
      <c r="I10727" s="1026">
        <v>1.0</v>
      </c>
      <c r="K10727" s="9" t="s">
        <v>3702</v>
      </c>
      <c r="L10727" s="1001"/>
      <c r="M10727" s="1001"/>
      <c r="N10727" s="205"/>
      <c r="O10727" s="205"/>
      <c r="P10727" s="205"/>
      <c r="Q10727" s="205"/>
      <c r="R10727" s="205"/>
      <c r="S10727" s="205"/>
      <c r="T10727" s="205"/>
      <c r="U10727" s="205"/>
      <c r="V10727" s="205"/>
      <c r="W10727" s="205"/>
      <c r="X10727" s="205"/>
      <c r="Y10727" s="205"/>
      <c r="Z10727" s="205"/>
      <c r="AA10727" s="205"/>
      <c r="AB10727" s="205"/>
      <c r="AC10727" s="205"/>
      <c r="AD10727" s="205"/>
      <c r="AE10727" s="205"/>
      <c r="AF10727" s="205"/>
      <c r="AG10727" s="205"/>
      <c r="AH10727" s="205"/>
    </row>
    <row r="10728" ht="12.75" hidden="1" customHeight="1" outlineLevel="1">
      <c r="A10728" s="202">
        <v>43458.0</v>
      </c>
      <c r="B10728" s="985" t="s">
        <v>343</v>
      </c>
      <c r="C10728" s="94" t="s">
        <v>3249</v>
      </c>
      <c r="D10728" s="94">
        <v>300.0</v>
      </c>
      <c r="E10728" s="94">
        <v>23.84</v>
      </c>
      <c r="F10728" s="1003">
        <v>0.4919560185185185</v>
      </c>
      <c r="G10728" s="1004" t="s">
        <v>453</v>
      </c>
      <c r="H10728" s="937"/>
      <c r="I10728" s="988" t="s">
        <v>3145</v>
      </c>
      <c r="J10728" s="67">
        <f t="shared" ref="J10728:J10734" si="602">IF(B10728="SLD",D10728*E10728,-D10728*E10728)-H10728</f>
        <v>-7152</v>
      </c>
      <c r="K10728" s="1"/>
      <c r="L10728" s="70"/>
      <c r="M10728" s="79"/>
      <c r="N10728" s="1"/>
      <c r="O10728" s="1"/>
      <c r="P10728" s="1"/>
      <c r="Q10728" s="1"/>
      <c r="R10728" s="1"/>
      <c r="S10728" s="1"/>
      <c r="T10728" s="1"/>
      <c r="U10728" s="1"/>
      <c r="V10728" s="1"/>
      <c r="W10728" s="1"/>
      <c r="X10728" s="1"/>
      <c r="Y10728" s="1"/>
      <c r="Z10728" s="1"/>
      <c r="AA10728" s="1"/>
      <c r="AB10728" s="1"/>
      <c r="AC10728" s="1"/>
      <c r="AD10728" s="1"/>
      <c r="AE10728" s="1"/>
      <c r="AF10728" s="1"/>
      <c r="AG10728" s="1"/>
      <c r="AH10728" s="1"/>
    </row>
    <row r="10729" ht="12.75" hidden="1" customHeight="1" outlineLevel="1">
      <c r="A10729" s="202">
        <v>43458.0</v>
      </c>
      <c r="B10729" s="985" t="s">
        <v>343</v>
      </c>
      <c r="C10729" s="94" t="s">
        <v>1177</v>
      </c>
      <c r="D10729" s="94">
        <v>5.0</v>
      </c>
      <c r="E10729" s="94">
        <v>1639.12</v>
      </c>
      <c r="F10729" s="1003">
        <v>0.4918518518518519</v>
      </c>
      <c r="G10729" s="1004" t="s">
        <v>453</v>
      </c>
      <c r="H10729" s="937"/>
      <c r="I10729" s="988" t="s">
        <v>3145</v>
      </c>
      <c r="J10729" s="67">
        <f t="shared" si="602"/>
        <v>-8195.6</v>
      </c>
      <c r="K10729" s="1"/>
      <c r="L10729" s="70"/>
      <c r="M10729" s="79"/>
      <c r="N10729" s="1"/>
      <c r="O10729" s="1"/>
      <c r="P10729" s="1"/>
      <c r="Q10729" s="1"/>
      <c r="R10729" s="1"/>
      <c r="S10729" s="1"/>
      <c r="T10729" s="1"/>
      <c r="U10729" s="1"/>
      <c r="V10729" s="1"/>
      <c r="W10729" s="1"/>
      <c r="X10729" s="1"/>
      <c r="Y10729" s="1"/>
      <c r="Z10729" s="1"/>
      <c r="AA10729" s="1"/>
      <c r="AB10729" s="1"/>
      <c r="AC10729" s="1"/>
      <c r="AD10729" s="1"/>
      <c r="AE10729" s="1"/>
      <c r="AF10729" s="1"/>
      <c r="AG10729" s="1"/>
      <c r="AH10729" s="1"/>
    </row>
    <row r="10730" ht="12.75" hidden="1" customHeight="1" outlineLevel="1">
      <c r="A10730" s="202">
        <v>43458.0</v>
      </c>
      <c r="B10730" s="985" t="s">
        <v>343</v>
      </c>
      <c r="C10730" s="94" t="s">
        <v>605</v>
      </c>
      <c r="D10730" s="94">
        <v>200.0</v>
      </c>
      <c r="E10730" s="94">
        <v>79.518</v>
      </c>
      <c r="F10730" s="1003">
        <v>0.4915393518518518</v>
      </c>
      <c r="G10730" s="1004" t="s">
        <v>453</v>
      </c>
      <c r="H10730" s="987">
        <v>0.0</v>
      </c>
      <c r="I10730" s="988" t="s">
        <v>3145</v>
      </c>
      <c r="J10730" s="67">
        <f t="shared" si="602"/>
        <v>-15903.6</v>
      </c>
      <c r="K10730" s="1"/>
      <c r="L10730" s="70"/>
      <c r="M10730" s="79"/>
      <c r="N10730" s="1"/>
      <c r="O10730" s="1"/>
      <c r="P10730" s="1"/>
      <c r="Q10730" s="1"/>
      <c r="R10730" s="1"/>
      <c r="S10730" s="1"/>
      <c r="T10730" s="1"/>
      <c r="U10730" s="1"/>
      <c r="V10730" s="1"/>
      <c r="W10730" s="1"/>
      <c r="X10730" s="1"/>
      <c r="Y10730" s="1"/>
      <c r="Z10730" s="1"/>
      <c r="AA10730" s="1"/>
      <c r="AB10730" s="1"/>
      <c r="AC10730" s="1"/>
      <c r="AD10730" s="1"/>
      <c r="AE10730" s="1"/>
      <c r="AF10730" s="1"/>
      <c r="AG10730" s="1"/>
      <c r="AH10730" s="1"/>
    </row>
    <row r="10731" ht="12.75" hidden="1" customHeight="1" outlineLevel="1">
      <c r="A10731" s="202">
        <v>43458.0</v>
      </c>
      <c r="B10731" s="985" t="s">
        <v>343</v>
      </c>
      <c r="C10731" s="94" t="s">
        <v>346</v>
      </c>
      <c r="D10731" s="94">
        <v>75.0</v>
      </c>
      <c r="E10731" s="94">
        <v>148.5704</v>
      </c>
      <c r="F10731" s="1003">
        <v>0.4913310185185185</v>
      </c>
      <c r="G10731" s="1004" t="s">
        <v>453</v>
      </c>
      <c r="H10731" s="937"/>
      <c r="I10731" s="988" t="s">
        <v>3145</v>
      </c>
      <c r="J10731" s="67">
        <f t="shared" si="602"/>
        <v>-11142.78</v>
      </c>
      <c r="K10731" s="1"/>
      <c r="L10731" s="70"/>
      <c r="M10731" s="79"/>
      <c r="N10731" s="1"/>
      <c r="O10731" s="1"/>
      <c r="P10731" s="1"/>
      <c r="Q10731" s="1"/>
      <c r="R10731" s="1"/>
      <c r="S10731" s="1"/>
      <c r="T10731" s="1"/>
      <c r="U10731" s="1"/>
      <c r="V10731" s="1"/>
      <c r="W10731" s="1"/>
      <c r="X10731" s="1"/>
      <c r="Y10731" s="1"/>
      <c r="Z10731" s="1"/>
      <c r="AA10731" s="1"/>
      <c r="AB10731" s="1"/>
      <c r="AC10731" s="1"/>
      <c r="AD10731" s="1"/>
      <c r="AE10731" s="1"/>
      <c r="AF10731" s="1"/>
      <c r="AG10731" s="1"/>
      <c r="AH10731" s="1"/>
    </row>
    <row r="10732" ht="12.75" hidden="1" customHeight="1" outlineLevel="1">
      <c r="A10732" s="202">
        <v>43458.0</v>
      </c>
      <c r="B10732" s="985" t="s">
        <v>343</v>
      </c>
      <c r="C10732" s="94" t="s">
        <v>1040</v>
      </c>
      <c r="D10732" s="94">
        <v>250.0</v>
      </c>
      <c r="E10732" s="94">
        <v>95.2985</v>
      </c>
      <c r="F10732" s="1003">
        <v>0.49122685185185183</v>
      </c>
      <c r="G10732" s="1004" t="s">
        <v>453</v>
      </c>
      <c r="H10732" s="937"/>
      <c r="I10732" s="988" t="s">
        <v>3145</v>
      </c>
      <c r="J10732" s="67">
        <f t="shared" si="602"/>
        <v>-23824.625</v>
      </c>
      <c r="K10732" s="1"/>
      <c r="L10732" s="70"/>
      <c r="M10732" s="79"/>
      <c r="N10732" s="1"/>
      <c r="O10732" s="1"/>
      <c r="P10732" s="1"/>
      <c r="Q10732" s="1"/>
      <c r="R10732" s="1"/>
      <c r="S10732" s="1"/>
      <c r="T10732" s="1"/>
      <c r="U10732" s="1"/>
      <c r="V10732" s="1"/>
      <c r="W10732" s="1"/>
      <c r="X10732" s="1"/>
      <c r="Y10732" s="1"/>
      <c r="Z10732" s="1"/>
      <c r="AA10732" s="1"/>
      <c r="AB10732" s="1"/>
      <c r="AC10732" s="1"/>
      <c r="AD10732" s="1"/>
      <c r="AE10732" s="1"/>
      <c r="AF10732" s="1"/>
      <c r="AG10732" s="1"/>
      <c r="AH10732" s="1"/>
    </row>
    <row r="10733" ht="12.75" hidden="1" customHeight="1" outlineLevel="1">
      <c r="A10733" s="202">
        <v>43458.0</v>
      </c>
      <c r="B10733" s="985" t="s">
        <v>343</v>
      </c>
      <c r="C10733" s="94" t="s">
        <v>1035</v>
      </c>
      <c r="D10733" s="94">
        <v>20.0</v>
      </c>
      <c r="E10733" s="94">
        <v>993.7473</v>
      </c>
      <c r="F10733" s="1003">
        <v>0.4910763888888889</v>
      </c>
      <c r="G10733" s="1004" t="s">
        <v>453</v>
      </c>
      <c r="H10733" s="937"/>
      <c r="I10733" s="988" t="s">
        <v>3145</v>
      </c>
      <c r="J10733" s="67">
        <f t="shared" si="602"/>
        <v>-19874.946</v>
      </c>
      <c r="K10733" s="1"/>
      <c r="L10733" s="70"/>
      <c r="M10733" s="79"/>
      <c r="N10733" s="1"/>
      <c r="O10733" s="1"/>
      <c r="P10733" s="1"/>
      <c r="Q10733" s="1"/>
      <c r="R10733" s="1"/>
      <c r="S10733" s="1"/>
      <c r="T10733" s="1"/>
      <c r="U10733" s="1"/>
      <c r="V10733" s="1"/>
      <c r="W10733" s="1"/>
      <c r="X10733" s="1"/>
      <c r="Y10733" s="1"/>
      <c r="Z10733" s="1"/>
      <c r="AA10733" s="1"/>
      <c r="AB10733" s="1"/>
      <c r="AC10733" s="1"/>
      <c r="AD10733" s="1"/>
      <c r="AE10733" s="1"/>
      <c r="AF10733" s="1"/>
      <c r="AG10733" s="1"/>
      <c r="AH10733" s="1"/>
    </row>
    <row r="10734" ht="12.75" hidden="1" customHeight="1" outlineLevel="1">
      <c r="A10734" s="202">
        <v>43458.0</v>
      </c>
      <c r="B10734" s="985" t="s">
        <v>343</v>
      </c>
      <c r="C10734" s="94" t="s">
        <v>381</v>
      </c>
      <c r="D10734" s="94">
        <v>200.0</v>
      </c>
      <c r="E10734" s="94">
        <v>126.318</v>
      </c>
      <c r="F10734" s="1003">
        <v>0.4910069444444444</v>
      </c>
      <c r="G10734" s="1004" t="s">
        <v>453</v>
      </c>
      <c r="H10734" s="987">
        <v>1.0</v>
      </c>
      <c r="I10734" s="988" t="s">
        <v>3145</v>
      </c>
      <c r="J10734" s="67">
        <f t="shared" si="602"/>
        <v>-25264.6</v>
      </c>
      <c r="K10734" s="1"/>
      <c r="L10734" s="70"/>
      <c r="M10734" s="79"/>
      <c r="N10734" s="1"/>
      <c r="O10734" s="1"/>
      <c r="P10734" s="1"/>
      <c r="Q10734" s="1"/>
      <c r="R10734" s="1"/>
      <c r="S10734" s="1"/>
      <c r="T10734" s="1"/>
      <c r="U10734" s="1"/>
      <c r="V10734" s="1"/>
      <c r="W10734" s="1"/>
      <c r="X10734" s="1"/>
      <c r="Y10734" s="1"/>
      <c r="Z10734" s="1"/>
      <c r="AA10734" s="1"/>
      <c r="AB10734" s="1"/>
      <c r="AC10734" s="1"/>
      <c r="AD10734" s="1"/>
      <c r="AE10734" s="1"/>
      <c r="AF10734" s="1"/>
      <c r="AG10734" s="1"/>
      <c r="AH10734" s="1"/>
    </row>
    <row r="10735" ht="12.75" hidden="1" customHeight="1" outlineLevel="1">
      <c r="A10735" s="197">
        <v>43457.0</v>
      </c>
      <c r="B10735" s="992"/>
      <c r="C10735" s="32" t="s">
        <v>947</v>
      </c>
      <c r="D10735" s="1"/>
      <c r="F10735" s="1022" t="s">
        <v>3715</v>
      </c>
      <c r="G10735" s="87"/>
      <c r="H10735" s="199"/>
      <c r="I10735" s="1023">
        <v>1.0</v>
      </c>
      <c r="K10735" s="201" t="s">
        <v>3725</v>
      </c>
      <c r="L10735" s="934"/>
      <c r="M10735" s="934"/>
    </row>
    <row r="10736" ht="12.75" hidden="1" customHeight="1" outlineLevel="1">
      <c r="A10736" s="202">
        <v>43457.0</v>
      </c>
      <c r="B10736" s="992"/>
      <c r="C10736" s="32" t="s">
        <v>952</v>
      </c>
      <c r="D10736" s="1"/>
      <c r="F10736" s="231" t="s">
        <v>953</v>
      </c>
      <c r="G10736" s="1"/>
      <c r="H10736" s="68"/>
      <c r="I10736" s="1024">
        <v>0.0</v>
      </c>
      <c r="K10736" s="9" t="s">
        <v>3726</v>
      </c>
      <c r="L10736" s="1001"/>
      <c r="M10736" s="1001"/>
      <c r="N10736" s="205"/>
      <c r="O10736" s="205"/>
      <c r="P10736" s="205"/>
      <c r="Q10736" s="205"/>
      <c r="R10736" s="205"/>
      <c r="S10736" s="205"/>
      <c r="T10736" s="205"/>
      <c r="U10736" s="205"/>
      <c r="V10736" s="205"/>
      <c r="W10736" s="205"/>
      <c r="X10736" s="205"/>
      <c r="Y10736" s="205"/>
      <c r="Z10736" s="205"/>
      <c r="AA10736" s="205"/>
      <c r="AB10736" s="205"/>
      <c r="AC10736" s="205"/>
      <c r="AD10736" s="205"/>
      <c r="AE10736" s="205"/>
      <c r="AF10736" s="205"/>
      <c r="AG10736" s="205"/>
      <c r="AH10736" s="205"/>
    </row>
    <row r="10737" ht="12.75" hidden="1" customHeight="1" outlineLevel="1">
      <c r="A10737" s="202">
        <v>43457.0</v>
      </c>
      <c r="B10737" s="992"/>
      <c r="C10737" s="32" t="s">
        <v>955</v>
      </c>
      <c r="D10737" s="1"/>
      <c r="F10737" s="231" t="s">
        <v>3718</v>
      </c>
      <c r="G10737" s="1"/>
      <c r="H10737" s="68"/>
      <c r="I10737" s="1024">
        <v>0.0</v>
      </c>
      <c r="K10737" s="9" t="s">
        <v>3724</v>
      </c>
      <c r="L10737" s="1001"/>
      <c r="M10737" s="1001"/>
      <c r="N10737" s="205"/>
      <c r="O10737" s="205"/>
      <c r="P10737" s="205"/>
      <c r="Q10737" s="205"/>
      <c r="R10737" s="205"/>
      <c r="S10737" s="205"/>
      <c r="T10737" s="205"/>
      <c r="U10737" s="205"/>
      <c r="V10737" s="205"/>
      <c r="W10737" s="205"/>
      <c r="X10737" s="205"/>
      <c r="Y10737" s="205"/>
      <c r="Z10737" s="205"/>
      <c r="AA10737" s="205"/>
      <c r="AB10737" s="205"/>
      <c r="AC10737" s="205"/>
      <c r="AD10737" s="205"/>
      <c r="AE10737" s="205"/>
      <c r="AF10737" s="205"/>
      <c r="AG10737" s="205"/>
      <c r="AH10737" s="205"/>
    </row>
    <row r="10738" ht="12.75" hidden="1" customHeight="1" outlineLevel="1">
      <c r="A10738" s="202">
        <v>43457.0</v>
      </c>
      <c r="B10738" s="992"/>
      <c r="C10738" s="32" t="s">
        <v>958</v>
      </c>
      <c r="D10738" s="1"/>
      <c r="F10738" s="231" t="s">
        <v>3720</v>
      </c>
      <c r="G10738" s="1"/>
      <c r="H10738" s="68"/>
      <c r="I10738" s="1024">
        <v>1.0</v>
      </c>
      <c r="K10738" s="9" t="s">
        <v>3714</v>
      </c>
      <c r="L10738" s="1001"/>
      <c r="M10738" s="1001"/>
      <c r="N10738" s="205"/>
      <c r="O10738" s="205"/>
      <c r="P10738" s="205"/>
      <c r="Q10738" s="205"/>
      <c r="R10738" s="205"/>
      <c r="S10738" s="205"/>
      <c r="T10738" s="205"/>
      <c r="U10738" s="205"/>
      <c r="V10738" s="205"/>
      <c r="W10738" s="205"/>
      <c r="X10738" s="205"/>
      <c r="Y10738" s="205"/>
      <c r="Z10738" s="205"/>
      <c r="AA10738" s="205"/>
      <c r="AB10738" s="205"/>
      <c r="AC10738" s="205"/>
      <c r="AD10738" s="205"/>
      <c r="AE10738" s="205"/>
      <c r="AF10738" s="205"/>
      <c r="AG10738" s="205"/>
      <c r="AH10738" s="205"/>
    </row>
    <row r="10739" ht="12.75" hidden="1" customHeight="1" outlineLevel="1">
      <c r="A10739" s="202">
        <v>43457.0</v>
      </c>
      <c r="B10739" s="992"/>
      <c r="C10739" s="32" t="s">
        <v>961</v>
      </c>
      <c r="D10739" s="1"/>
      <c r="F10739" s="245" t="s">
        <v>3721</v>
      </c>
      <c r="G10739" s="247"/>
      <c r="H10739" s="1025"/>
      <c r="I10739" s="1026">
        <v>2.0</v>
      </c>
      <c r="K10739" s="9" t="s">
        <v>3702</v>
      </c>
      <c r="L10739" s="1001"/>
      <c r="M10739" s="1001"/>
      <c r="N10739" s="205"/>
      <c r="O10739" s="205"/>
      <c r="P10739" s="205"/>
      <c r="Q10739" s="205"/>
      <c r="R10739" s="205"/>
      <c r="S10739" s="205"/>
      <c r="T10739" s="205"/>
      <c r="U10739" s="205"/>
      <c r="V10739" s="205"/>
      <c r="W10739" s="205"/>
      <c r="X10739" s="205"/>
      <c r="Y10739" s="205"/>
      <c r="Z10739" s="205"/>
      <c r="AA10739" s="205"/>
      <c r="AB10739" s="205"/>
      <c r="AC10739" s="205"/>
      <c r="AD10739" s="205"/>
      <c r="AE10739" s="205"/>
      <c r="AF10739" s="205"/>
      <c r="AG10739" s="205"/>
      <c r="AH10739" s="205"/>
    </row>
    <row r="10740" ht="12.75" hidden="1" customHeight="1" outlineLevel="1">
      <c r="A10740" s="202">
        <v>43460.0</v>
      </c>
      <c r="B10740" s="985" t="s">
        <v>343</v>
      </c>
      <c r="C10740" s="94" t="s">
        <v>1061</v>
      </c>
      <c r="D10740" s="94">
        <v>200.0</v>
      </c>
      <c r="E10740" s="94">
        <v>36.699</v>
      </c>
      <c r="F10740" s="998">
        <v>43460.434907407405</v>
      </c>
      <c r="G10740" s="1004" t="s">
        <v>453</v>
      </c>
      <c r="H10740" s="987">
        <v>1.0</v>
      </c>
      <c r="I10740" s="988" t="s">
        <v>3145</v>
      </c>
      <c r="J10740" s="67">
        <f>IF(B10740="SLD",D10740*E10740,-D10740*E10740)-H10740</f>
        <v>-7340.8</v>
      </c>
      <c r="K10740" s="1"/>
      <c r="L10740" s="70"/>
      <c r="M10740" s="79"/>
      <c r="N10740" s="1"/>
      <c r="O10740" s="1"/>
      <c r="P10740" s="1"/>
      <c r="Q10740" s="1"/>
      <c r="R10740" s="1"/>
      <c r="S10740" s="1"/>
      <c r="T10740" s="1"/>
      <c r="U10740" s="1"/>
      <c r="V10740" s="1"/>
      <c r="W10740" s="1"/>
      <c r="X10740" s="1"/>
      <c r="Y10740" s="1"/>
      <c r="Z10740" s="1"/>
      <c r="AA10740" s="1"/>
      <c r="AB10740" s="1"/>
      <c r="AC10740" s="1"/>
      <c r="AD10740" s="1"/>
      <c r="AE10740" s="1"/>
      <c r="AF10740" s="1"/>
      <c r="AG10740" s="1"/>
      <c r="AH10740" s="1"/>
    </row>
    <row r="10741" ht="12.75" hidden="1" customHeight="1" outlineLevel="1">
      <c r="A10741" s="197">
        <v>43461.0</v>
      </c>
      <c r="B10741" s="992"/>
      <c r="C10741" s="32" t="s">
        <v>947</v>
      </c>
      <c r="D10741" s="1"/>
      <c r="F10741" s="1022" t="s">
        <v>3715</v>
      </c>
      <c r="G10741" s="87"/>
      <c r="H10741" s="199"/>
      <c r="I10741" s="1023">
        <v>1.0</v>
      </c>
      <c r="K10741" s="201" t="s">
        <v>3725</v>
      </c>
      <c r="L10741" s="934"/>
      <c r="M10741" s="934"/>
    </row>
    <row r="10742" ht="12.75" hidden="1" customHeight="1" outlineLevel="1">
      <c r="A10742" s="202">
        <v>43461.0</v>
      </c>
      <c r="B10742" s="992"/>
      <c r="C10742" s="32" t="s">
        <v>952</v>
      </c>
      <c r="D10742" s="1"/>
      <c r="F10742" s="231" t="s">
        <v>953</v>
      </c>
      <c r="G10742" s="1"/>
      <c r="H10742" s="68"/>
      <c r="I10742" s="1024">
        <v>0.0</v>
      </c>
      <c r="K10742" s="9" t="s">
        <v>3727</v>
      </c>
      <c r="L10742" s="1001"/>
      <c r="M10742" s="1001"/>
      <c r="N10742" s="205"/>
      <c r="O10742" s="205"/>
      <c r="P10742" s="205"/>
      <c r="Q10742" s="205"/>
      <c r="R10742" s="205"/>
      <c r="S10742" s="205"/>
      <c r="T10742" s="205"/>
      <c r="U10742" s="205"/>
      <c r="V10742" s="205"/>
      <c r="W10742" s="205"/>
      <c r="X10742" s="205"/>
      <c r="Y10742" s="205"/>
      <c r="Z10742" s="205"/>
      <c r="AA10742" s="205"/>
      <c r="AB10742" s="205"/>
      <c r="AC10742" s="205"/>
      <c r="AD10742" s="205"/>
      <c r="AE10742" s="205"/>
      <c r="AF10742" s="205"/>
      <c r="AG10742" s="205"/>
      <c r="AH10742" s="205"/>
    </row>
    <row r="10743" ht="12.75" hidden="1" customHeight="1" outlineLevel="1">
      <c r="A10743" s="202">
        <v>43461.0</v>
      </c>
      <c r="B10743" s="992"/>
      <c r="C10743" s="32" t="s">
        <v>955</v>
      </c>
      <c r="D10743" s="1"/>
      <c r="F10743" s="231" t="s">
        <v>3718</v>
      </c>
      <c r="G10743" s="1"/>
      <c r="H10743" s="68"/>
      <c r="I10743" s="1024">
        <v>0.0</v>
      </c>
      <c r="K10743" s="9" t="s">
        <v>3728</v>
      </c>
      <c r="L10743" s="1001"/>
      <c r="M10743" s="1001"/>
      <c r="N10743" s="205"/>
      <c r="O10743" s="205"/>
      <c r="P10743" s="205"/>
      <c r="Q10743" s="205"/>
      <c r="R10743" s="205"/>
      <c r="S10743" s="205"/>
      <c r="T10743" s="205"/>
      <c r="U10743" s="205"/>
      <c r="V10743" s="205"/>
      <c r="W10743" s="205"/>
      <c r="X10743" s="205"/>
      <c r="Y10743" s="205"/>
      <c r="Z10743" s="205"/>
      <c r="AA10743" s="205"/>
      <c r="AB10743" s="205"/>
      <c r="AC10743" s="205"/>
      <c r="AD10743" s="205"/>
      <c r="AE10743" s="205"/>
      <c r="AF10743" s="205"/>
      <c r="AG10743" s="205"/>
      <c r="AH10743" s="205"/>
    </row>
    <row r="10744" ht="12.75" hidden="1" customHeight="1" outlineLevel="1">
      <c r="A10744" s="202">
        <v>43461.0</v>
      </c>
      <c r="B10744" s="992"/>
      <c r="C10744" s="32" t="s">
        <v>958</v>
      </c>
      <c r="D10744" s="1"/>
      <c r="F10744" s="231" t="s">
        <v>3720</v>
      </c>
      <c r="G10744" s="1"/>
      <c r="H10744" s="68"/>
      <c r="I10744" s="1024">
        <v>1.0</v>
      </c>
      <c r="K10744" s="9" t="s">
        <v>3714</v>
      </c>
      <c r="L10744" s="1001"/>
      <c r="M10744" s="1001"/>
      <c r="N10744" s="205"/>
      <c r="O10744" s="205"/>
      <c r="P10744" s="205"/>
      <c r="Q10744" s="205"/>
      <c r="R10744" s="205"/>
      <c r="S10744" s="205"/>
      <c r="T10744" s="205"/>
      <c r="U10744" s="205"/>
      <c r="V10744" s="205"/>
      <c r="W10744" s="205"/>
      <c r="X10744" s="205"/>
      <c r="Y10744" s="205"/>
      <c r="Z10744" s="205"/>
      <c r="AA10744" s="205"/>
      <c r="AB10744" s="205"/>
      <c r="AC10744" s="205"/>
      <c r="AD10744" s="205"/>
      <c r="AE10744" s="205"/>
      <c r="AF10744" s="205"/>
      <c r="AG10744" s="205"/>
      <c r="AH10744" s="205"/>
    </row>
    <row r="10745" ht="12.75" hidden="1" customHeight="1" outlineLevel="1">
      <c r="A10745" s="202">
        <v>43461.0</v>
      </c>
      <c r="B10745" s="992"/>
      <c r="C10745" s="32" t="s">
        <v>961</v>
      </c>
      <c r="D10745" s="1"/>
      <c r="F10745" s="245" t="s">
        <v>3721</v>
      </c>
      <c r="G10745" s="247"/>
      <c r="H10745" s="1025"/>
      <c r="I10745" s="1026">
        <v>2.0</v>
      </c>
      <c r="K10745" s="9" t="s">
        <v>3702</v>
      </c>
      <c r="L10745" s="1001"/>
      <c r="M10745" s="1001"/>
      <c r="N10745" s="205"/>
      <c r="O10745" s="205"/>
      <c r="P10745" s="205"/>
      <c r="Q10745" s="205"/>
      <c r="R10745" s="205"/>
      <c r="S10745" s="205"/>
      <c r="T10745" s="205"/>
      <c r="U10745" s="205"/>
      <c r="V10745" s="205"/>
      <c r="W10745" s="205"/>
      <c r="X10745" s="205"/>
      <c r="Y10745" s="205"/>
      <c r="Z10745" s="205"/>
      <c r="AA10745" s="205"/>
      <c r="AB10745" s="205"/>
      <c r="AC10745" s="205"/>
      <c r="AD10745" s="205"/>
      <c r="AE10745" s="205"/>
      <c r="AF10745" s="205"/>
      <c r="AG10745" s="205"/>
      <c r="AH10745" s="205"/>
    </row>
    <row r="10746" ht="12.75" hidden="1" customHeight="1" outlineLevel="1">
      <c r="A10746" s="202">
        <v>43465.0</v>
      </c>
      <c r="B10746" s="985" t="s">
        <v>343</v>
      </c>
      <c r="C10746" s="94" t="s">
        <v>1061</v>
      </c>
      <c r="D10746" s="94">
        <v>400.0</v>
      </c>
      <c r="E10746" s="94">
        <v>39.8669</v>
      </c>
      <c r="F10746" s="1003">
        <v>0.4075810185185185</v>
      </c>
      <c r="G10746" s="1004" t="s">
        <v>453</v>
      </c>
      <c r="H10746" s="987">
        <v>2.0</v>
      </c>
      <c r="I10746" s="988" t="s">
        <v>3145</v>
      </c>
      <c r="J10746" s="67">
        <f>IF(B10746="SLD",D10746*E10746,-D10746*E10746)-H10746</f>
        <v>-15948.76</v>
      </c>
      <c r="K10746" s="1"/>
      <c r="L10746" s="70"/>
      <c r="M10746" s="79"/>
      <c r="N10746" s="1"/>
      <c r="O10746" s="1"/>
      <c r="P10746" s="1"/>
      <c r="Q10746" s="1"/>
      <c r="R10746" s="1"/>
      <c r="S10746" s="1"/>
      <c r="T10746" s="1"/>
      <c r="U10746" s="1"/>
      <c r="V10746" s="1"/>
      <c r="W10746" s="1"/>
      <c r="X10746" s="1"/>
      <c r="Y10746" s="1"/>
      <c r="Z10746" s="1"/>
      <c r="AA10746" s="1"/>
      <c r="AB10746" s="1"/>
      <c r="AC10746" s="1"/>
      <c r="AD10746" s="1"/>
      <c r="AE10746" s="1"/>
      <c r="AF10746" s="1"/>
      <c r="AG10746" s="1"/>
      <c r="AH10746" s="1"/>
    </row>
    <row r="10747" ht="12.75" hidden="1" customHeight="1" outlineLevel="1">
      <c r="A10747" s="197">
        <v>43466.0</v>
      </c>
      <c r="B10747" s="992"/>
      <c r="C10747" s="32" t="s">
        <v>947</v>
      </c>
      <c r="D10747" s="1"/>
      <c r="F10747" s="1022" t="s">
        <v>3715</v>
      </c>
      <c r="G10747" s="87"/>
      <c r="H10747" s="199"/>
      <c r="I10747" s="1023">
        <v>1.0</v>
      </c>
      <c r="K10747" s="201" t="s">
        <v>3725</v>
      </c>
      <c r="L10747" s="77"/>
      <c r="M10747" s="79"/>
      <c r="N10747" s="1"/>
      <c r="O10747" s="1"/>
      <c r="P10747" s="1"/>
      <c r="Q10747" s="1"/>
      <c r="R10747" s="1"/>
      <c r="S10747" s="1"/>
      <c r="T10747" s="1"/>
      <c r="U10747" s="1"/>
      <c r="V10747" s="1"/>
      <c r="W10747" s="1"/>
      <c r="X10747" s="1"/>
      <c r="Y10747" s="1"/>
      <c r="Z10747" s="1"/>
      <c r="AA10747" s="1"/>
      <c r="AB10747" s="1"/>
      <c r="AC10747" s="1"/>
      <c r="AD10747" s="1"/>
      <c r="AE10747" s="1"/>
      <c r="AF10747" s="1"/>
      <c r="AG10747" s="1"/>
      <c r="AH10747" s="1"/>
    </row>
    <row r="10748" ht="12.75" hidden="1" customHeight="1" outlineLevel="1">
      <c r="A10748" s="202">
        <v>43466.0</v>
      </c>
      <c r="B10748" s="992"/>
      <c r="C10748" s="32" t="s">
        <v>952</v>
      </c>
      <c r="D10748" s="1"/>
      <c r="F10748" s="231" t="s">
        <v>953</v>
      </c>
      <c r="G10748" s="1"/>
      <c r="H10748" s="68"/>
      <c r="I10748" s="1024">
        <v>0.0</v>
      </c>
      <c r="K10748" s="9" t="s">
        <v>3727</v>
      </c>
      <c r="L10748" s="77"/>
      <c r="M10748" s="79"/>
      <c r="N10748" s="1"/>
      <c r="O10748" s="1"/>
      <c r="P10748" s="1"/>
      <c r="Q10748" s="1"/>
      <c r="R10748" s="1"/>
      <c r="S10748" s="1"/>
      <c r="T10748" s="1"/>
      <c r="U10748" s="1"/>
      <c r="V10748" s="1"/>
      <c r="W10748" s="1"/>
      <c r="X10748" s="1"/>
      <c r="Y10748" s="1"/>
      <c r="Z10748" s="1"/>
      <c r="AA10748" s="1"/>
      <c r="AB10748" s="1"/>
      <c r="AC10748" s="1"/>
      <c r="AD10748" s="1"/>
      <c r="AE10748" s="1"/>
      <c r="AF10748" s="1"/>
      <c r="AG10748" s="1"/>
      <c r="AH10748" s="1"/>
    </row>
    <row r="10749" ht="12.75" hidden="1" customHeight="1" outlineLevel="1">
      <c r="A10749" s="202">
        <v>43466.0</v>
      </c>
      <c r="B10749" s="992"/>
      <c r="C10749" s="32" t="s">
        <v>955</v>
      </c>
      <c r="D10749" s="1"/>
      <c r="F10749" s="231" t="s">
        <v>3718</v>
      </c>
      <c r="G10749" s="1"/>
      <c r="H10749" s="68"/>
      <c r="I10749" s="1024">
        <v>0.0</v>
      </c>
      <c r="K10749" s="9" t="s">
        <v>3729</v>
      </c>
      <c r="L10749" s="77"/>
      <c r="M10749" s="79"/>
      <c r="N10749" s="1"/>
      <c r="O10749" s="1"/>
      <c r="P10749" s="1"/>
      <c r="Q10749" s="1"/>
      <c r="R10749" s="1"/>
      <c r="S10749" s="1"/>
      <c r="T10749" s="1"/>
      <c r="U10749" s="1"/>
      <c r="V10749" s="1"/>
      <c r="W10749" s="1"/>
      <c r="X10749" s="1"/>
      <c r="Y10749" s="1"/>
      <c r="Z10749" s="1"/>
      <c r="AA10749" s="1"/>
      <c r="AB10749" s="1"/>
      <c r="AC10749" s="1"/>
      <c r="AD10749" s="1"/>
      <c r="AE10749" s="1"/>
      <c r="AF10749" s="1"/>
      <c r="AG10749" s="1"/>
      <c r="AH10749" s="1"/>
    </row>
    <row r="10750" ht="12.75" hidden="1" customHeight="1" outlineLevel="1">
      <c r="A10750" s="202">
        <v>43466.0</v>
      </c>
      <c r="B10750" s="992"/>
      <c r="C10750" s="32" t="s">
        <v>958</v>
      </c>
      <c r="D10750" s="1"/>
      <c r="F10750" s="231" t="s">
        <v>3720</v>
      </c>
      <c r="G10750" s="1"/>
      <c r="H10750" s="68"/>
      <c r="I10750" s="1024">
        <v>1.0</v>
      </c>
      <c r="K10750" s="9" t="s">
        <v>3730</v>
      </c>
      <c r="L10750" s="77"/>
      <c r="M10750" s="79"/>
      <c r="N10750" s="1"/>
      <c r="O10750" s="1"/>
      <c r="P10750" s="1"/>
      <c r="Q10750" s="1"/>
      <c r="R10750" s="1"/>
      <c r="S10750" s="1"/>
      <c r="T10750" s="1"/>
      <c r="U10750" s="1"/>
      <c r="V10750" s="1"/>
      <c r="W10750" s="1"/>
      <c r="X10750" s="1"/>
      <c r="Y10750" s="1"/>
      <c r="Z10750" s="1"/>
      <c r="AA10750" s="1"/>
      <c r="AB10750" s="1"/>
      <c r="AC10750" s="1"/>
      <c r="AD10750" s="1"/>
      <c r="AE10750" s="1"/>
      <c r="AF10750" s="1"/>
      <c r="AG10750" s="1"/>
      <c r="AH10750" s="1"/>
    </row>
    <row r="10751" ht="12.75" hidden="1" customHeight="1" outlineLevel="1">
      <c r="A10751" s="202">
        <v>43466.0</v>
      </c>
      <c r="B10751" s="992"/>
      <c r="C10751" s="32" t="s">
        <v>961</v>
      </c>
      <c r="D10751" s="1"/>
      <c r="F10751" s="245" t="s">
        <v>3721</v>
      </c>
      <c r="G10751" s="247"/>
      <c r="H10751" s="1025"/>
      <c r="I10751" s="1026">
        <v>2.0</v>
      </c>
      <c r="K10751" s="9" t="s">
        <v>964</v>
      </c>
      <c r="L10751" s="77"/>
      <c r="M10751" s="79"/>
      <c r="N10751" s="1"/>
      <c r="O10751" s="1"/>
      <c r="P10751" s="1"/>
      <c r="Q10751" s="1"/>
      <c r="R10751" s="1"/>
      <c r="S10751" s="1"/>
      <c r="T10751" s="1"/>
      <c r="U10751" s="1"/>
      <c r="V10751" s="1"/>
      <c r="W10751" s="1"/>
      <c r="X10751" s="1"/>
      <c r="Y10751" s="1"/>
      <c r="Z10751" s="1"/>
      <c r="AA10751" s="1"/>
      <c r="AB10751" s="1"/>
      <c r="AC10751" s="1"/>
      <c r="AD10751" s="1"/>
      <c r="AE10751" s="1"/>
      <c r="AF10751" s="1"/>
      <c r="AG10751" s="1"/>
      <c r="AH10751" s="1"/>
    </row>
    <row r="10752" ht="12.75" hidden="1" customHeight="1" outlineLevel="1">
      <c r="A10752" s="202">
        <v>43467.0</v>
      </c>
      <c r="B10752" s="985" t="s">
        <v>347</v>
      </c>
      <c r="C10752" s="94" t="s">
        <v>1537</v>
      </c>
      <c r="D10752" s="94">
        <v>700.0</v>
      </c>
      <c r="E10752" s="94">
        <v>29.932</v>
      </c>
      <c r="F10752" s="1003">
        <v>0.4069097222222222</v>
      </c>
      <c r="G10752" s="1004" t="s">
        <v>453</v>
      </c>
      <c r="H10752" s="987">
        <v>3.86</v>
      </c>
      <c r="I10752" s="988" t="s">
        <v>3145</v>
      </c>
      <c r="J10752" s="67">
        <f>IF(B10752="SLD",D10752*E10752,-D10752*E10752)-H10752</f>
        <v>20948.54</v>
      </c>
      <c r="K10752" s="201"/>
      <c r="L10752" s="70"/>
      <c r="M10752" s="79"/>
      <c r="N10752" s="1"/>
      <c r="O10752" s="1"/>
      <c r="P10752" s="1"/>
      <c r="Q10752" s="1"/>
      <c r="R10752" s="1"/>
      <c r="S10752" s="1"/>
      <c r="T10752" s="1"/>
      <c r="U10752" s="1"/>
      <c r="V10752" s="1"/>
      <c r="W10752" s="1"/>
      <c r="X10752" s="1"/>
      <c r="Y10752" s="1"/>
      <c r="Z10752" s="1"/>
      <c r="AA10752" s="1"/>
      <c r="AB10752" s="1"/>
      <c r="AC10752" s="1"/>
      <c r="AD10752" s="1"/>
      <c r="AE10752" s="1"/>
      <c r="AF10752" s="1"/>
      <c r="AG10752" s="1"/>
      <c r="AH10752" s="1"/>
    </row>
    <row r="10753" ht="12.75" hidden="1" customHeight="1" outlineLevel="1">
      <c r="A10753" s="197">
        <v>43467.0</v>
      </c>
      <c r="B10753" s="992"/>
      <c r="C10753" s="32" t="s">
        <v>947</v>
      </c>
      <c r="D10753" s="1"/>
      <c r="F10753" s="1022" t="s">
        <v>3715</v>
      </c>
      <c r="G10753" s="87"/>
      <c r="H10753" s="199"/>
      <c r="I10753" s="1023">
        <v>1.0</v>
      </c>
      <c r="K10753" s="201" t="s">
        <v>3731</v>
      </c>
      <c r="L10753" s="77"/>
      <c r="M10753" s="79"/>
      <c r="N10753" s="1"/>
      <c r="O10753" s="1"/>
      <c r="P10753" s="1"/>
      <c r="Q10753" s="1"/>
      <c r="R10753" s="1"/>
      <c r="S10753" s="1"/>
      <c r="T10753" s="1"/>
      <c r="U10753" s="1"/>
      <c r="V10753" s="1"/>
      <c r="W10753" s="1"/>
      <c r="X10753" s="1"/>
      <c r="Y10753" s="1"/>
      <c r="Z10753" s="1"/>
      <c r="AA10753" s="1"/>
      <c r="AB10753" s="1"/>
      <c r="AC10753" s="1"/>
      <c r="AD10753" s="1"/>
      <c r="AE10753" s="1"/>
      <c r="AF10753" s="1"/>
      <c r="AG10753" s="1"/>
      <c r="AH10753" s="1"/>
    </row>
    <row r="10754" ht="12.75" hidden="1" customHeight="1" outlineLevel="1">
      <c r="A10754" s="202">
        <v>43467.0</v>
      </c>
      <c r="B10754" s="992"/>
      <c r="C10754" s="32" t="s">
        <v>952</v>
      </c>
      <c r="D10754" s="1"/>
      <c r="F10754" s="231" t="s">
        <v>953</v>
      </c>
      <c r="G10754" s="1"/>
      <c r="H10754" s="68"/>
      <c r="I10754" s="1024">
        <v>0.0</v>
      </c>
      <c r="K10754" s="9" t="s">
        <v>3727</v>
      </c>
      <c r="L10754" s="77"/>
      <c r="M10754" s="79"/>
      <c r="N10754" s="1"/>
      <c r="O10754" s="1"/>
      <c r="P10754" s="1"/>
      <c r="Q10754" s="1"/>
      <c r="R10754" s="1"/>
      <c r="S10754" s="1"/>
      <c r="T10754" s="1"/>
      <c r="U10754" s="1"/>
      <c r="V10754" s="1"/>
      <c r="W10754" s="1"/>
      <c r="X10754" s="1"/>
      <c r="Y10754" s="1"/>
      <c r="Z10754" s="1"/>
      <c r="AA10754" s="1"/>
      <c r="AB10754" s="1"/>
      <c r="AC10754" s="1"/>
      <c r="AD10754" s="1"/>
      <c r="AE10754" s="1"/>
      <c r="AF10754" s="1"/>
      <c r="AG10754" s="1"/>
      <c r="AH10754" s="1"/>
    </row>
    <row r="10755" ht="12.75" hidden="1" customHeight="1" outlineLevel="1">
      <c r="A10755" s="202">
        <v>43467.0</v>
      </c>
      <c r="B10755" s="992"/>
      <c r="C10755" s="32" t="s">
        <v>955</v>
      </c>
      <c r="D10755" s="1"/>
      <c r="F10755" s="231" t="s">
        <v>3718</v>
      </c>
      <c r="G10755" s="1"/>
      <c r="H10755" s="68"/>
      <c r="I10755" s="1024">
        <v>0.0</v>
      </c>
      <c r="K10755" s="9" t="s">
        <v>3732</v>
      </c>
      <c r="L10755" s="77"/>
      <c r="M10755" s="79"/>
      <c r="N10755" s="1"/>
      <c r="O10755" s="1"/>
      <c r="P10755" s="1"/>
      <c r="Q10755" s="1"/>
      <c r="R10755" s="1"/>
      <c r="S10755" s="1"/>
      <c r="T10755" s="1"/>
      <c r="U10755" s="1"/>
      <c r="V10755" s="1"/>
      <c r="W10755" s="1"/>
      <c r="X10755" s="1"/>
      <c r="Y10755" s="1"/>
      <c r="Z10755" s="1"/>
      <c r="AA10755" s="1"/>
      <c r="AB10755" s="1"/>
      <c r="AC10755" s="1"/>
      <c r="AD10755" s="1"/>
      <c r="AE10755" s="1"/>
      <c r="AF10755" s="1"/>
      <c r="AG10755" s="1"/>
      <c r="AH10755" s="1"/>
    </row>
    <row r="10756" ht="12.75" hidden="1" customHeight="1" outlineLevel="1">
      <c r="A10756" s="202">
        <v>43467.0</v>
      </c>
      <c r="B10756" s="992"/>
      <c r="C10756" s="32" t="s">
        <v>958</v>
      </c>
      <c r="D10756" s="1"/>
      <c r="F10756" s="231" t="s">
        <v>3720</v>
      </c>
      <c r="G10756" s="1"/>
      <c r="H10756" s="68"/>
      <c r="I10756" s="1024">
        <v>0.0</v>
      </c>
      <c r="K10756" s="9" t="s">
        <v>3730</v>
      </c>
      <c r="L10756" s="77"/>
      <c r="M10756" s="79"/>
      <c r="N10756" s="1"/>
      <c r="O10756" s="1"/>
      <c r="P10756" s="1"/>
      <c r="Q10756" s="1"/>
      <c r="R10756" s="1"/>
      <c r="S10756" s="1"/>
      <c r="T10756" s="1"/>
      <c r="U10756" s="1"/>
      <c r="V10756" s="1"/>
      <c r="W10756" s="1"/>
      <c r="X10756" s="1"/>
      <c r="Y10756" s="1"/>
      <c r="Z10756" s="1"/>
      <c r="AA10756" s="1"/>
      <c r="AB10756" s="1"/>
      <c r="AC10756" s="1"/>
      <c r="AD10756" s="1"/>
      <c r="AE10756" s="1"/>
      <c r="AF10756" s="1"/>
      <c r="AG10756" s="1"/>
      <c r="AH10756" s="1"/>
    </row>
    <row r="10757" ht="12.75" hidden="1" customHeight="1" outlineLevel="1">
      <c r="A10757" s="202">
        <v>43467.0</v>
      </c>
      <c r="B10757" s="992"/>
      <c r="C10757" s="32" t="s">
        <v>961</v>
      </c>
      <c r="D10757" s="1"/>
      <c r="F10757" s="245" t="s">
        <v>3721</v>
      </c>
      <c r="G10757" s="247"/>
      <c r="H10757" s="1025"/>
      <c r="I10757" s="1026">
        <v>1.0</v>
      </c>
      <c r="K10757" s="9" t="s">
        <v>964</v>
      </c>
      <c r="L10757" s="77"/>
      <c r="M10757" s="79"/>
      <c r="N10757" s="1"/>
      <c r="O10757" s="1"/>
      <c r="P10757" s="1"/>
      <c r="Q10757" s="1"/>
      <c r="R10757" s="1"/>
      <c r="S10757" s="1"/>
      <c r="T10757" s="1"/>
      <c r="U10757" s="1"/>
      <c r="V10757" s="1"/>
      <c r="W10757" s="1"/>
      <c r="X10757" s="1"/>
      <c r="Y10757" s="1"/>
      <c r="Z10757" s="1"/>
      <c r="AA10757" s="1"/>
      <c r="AB10757" s="1"/>
      <c r="AC10757" s="1"/>
      <c r="AD10757" s="1"/>
      <c r="AE10757" s="1"/>
      <c r="AF10757" s="1"/>
      <c r="AG10757" s="1"/>
      <c r="AH10757" s="1"/>
    </row>
    <row r="10758" ht="12.75" hidden="1" customHeight="1" outlineLevel="1">
      <c r="A10758" s="197">
        <v>43468.0</v>
      </c>
      <c r="B10758" s="992"/>
      <c r="C10758" s="32" t="s">
        <v>947</v>
      </c>
      <c r="D10758" s="1"/>
      <c r="E10758" s="94" t="s">
        <v>948</v>
      </c>
      <c r="F10758" s="1022" t="s">
        <v>3715</v>
      </c>
      <c r="G10758" s="87"/>
      <c r="H10758" s="199"/>
      <c r="I10758" s="1023">
        <v>1.0</v>
      </c>
      <c r="K10758" s="201" t="s">
        <v>3733</v>
      </c>
      <c r="L10758" s="77"/>
      <c r="M10758" s="79"/>
      <c r="N10758" s="1"/>
      <c r="O10758" s="1"/>
      <c r="P10758" s="1"/>
      <c r="Q10758" s="1"/>
      <c r="R10758" s="1"/>
      <c r="S10758" s="1"/>
      <c r="T10758" s="1"/>
      <c r="U10758" s="1"/>
      <c r="V10758" s="1"/>
      <c r="W10758" s="1"/>
      <c r="X10758" s="1"/>
      <c r="Y10758" s="1"/>
      <c r="Z10758" s="1"/>
      <c r="AA10758" s="1"/>
      <c r="AB10758" s="1"/>
      <c r="AC10758" s="1"/>
      <c r="AD10758" s="1"/>
      <c r="AE10758" s="1"/>
      <c r="AF10758" s="1"/>
      <c r="AG10758" s="1"/>
      <c r="AH10758" s="1"/>
    </row>
    <row r="10759" ht="12.75" hidden="1" customHeight="1" outlineLevel="1">
      <c r="A10759" s="202">
        <v>43468.0</v>
      </c>
      <c r="B10759" s="992"/>
      <c r="C10759" s="32" t="s">
        <v>952</v>
      </c>
      <c r="D10759" s="1"/>
      <c r="F10759" s="231" t="s">
        <v>953</v>
      </c>
      <c r="G10759" s="1"/>
      <c r="H10759" s="68"/>
      <c r="I10759" s="1024">
        <v>0.0</v>
      </c>
      <c r="K10759" s="9" t="s">
        <v>3727</v>
      </c>
      <c r="L10759" s="77"/>
      <c r="M10759" s="79"/>
      <c r="N10759" s="1"/>
      <c r="O10759" s="1"/>
      <c r="P10759" s="1"/>
      <c r="Q10759" s="1"/>
      <c r="R10759" s="1"/>
      <c r="S10759" s="1"/>
      <c r="T10759" s="1"/>
      <c r="U10759" s="1"/>
      <c r="V10759" s="1"/>
      <c r="W10759" s="1"/>
      <c r="X10759" s="1"/>
      <c r="Y10759" s="1"/>
      <c r="Z10759" s="1"/>
      <c r="AA10759" s="1"/>
      <c r="AB10759" s="1"/>
      <c r="AC10759" s="1"/>
      <c r="AD10759" s="1"/>
      <c r="AE10759" s="1"/>
      <c r="AF10759" s="1"/>
      <c r="AG10759" s="1"/>
      <c r="AH10759" s="1"/>
    </row>
    <row r="10760" ht="12.75" hidden="1" customHeight="1" outlineLevel="1">
      <c r="A10760" s="202">
        <v>43468.0</v>
      </c>
      <c r="B10760" s="992"/>
      <c r="C10760" s="32" t="s">
        <v>955</v>
      </c>
      <c r="D10760" s="1"/>
      <c r="F10760" s="231" t="s">
        <v>3718</v>
      </c>
      <c r="G10760" s="1"/>
      <c r="H10760" s="68"/>
      <c r="I10760" s="1024">
        <v>0.0</v>
      </c>
      <c r="K10760" s="9" t="s">
        <v>3734</v>
      </c>
      <c r="L10760" s="77"/>
      <c r="M10760" s="79"/>
      <c r="N10760" s="1"/>
      <c r="O10760" s="1"/>
      <c r="P10760" s="1"/>
      <c r="Q10760" s="1"/>
      <c r="R10760" s="1"/>
      <c r="S10760" s="1"/>
      <c r="T10760" s="1"/>
      <c r="U10760" s="1"/>
      <c r="V10760" s="1"/>
      <c r="W10760" s="1"/>
      <c r="X10760" s="1"/>
      <c r="Y10760" s="1"/>
      <c r="Z10760" s="1"/>
      <c r="AA10760" s="1"/>
      <c r="AB10760" s="1"/>
      <c r="AC10760" s="1"/>
      <c r="AD10760" s="1"/>
      <c r="AE10760" s="1"/>
      <c r="AF10760" s="1"/>
      <c r="AG10760" s="1"/>
      <c r="AH10760" s="1"/>
    </row>
    <row r="10761" ht="12.75" hidden="1" customHeight="1" outlineLevel="1">
      <c r="A10761" s="202">
        <v>43468.0</v>
      </c>
      <c r="B10761" s="992"/>
      <c r="C10761" s="32" t="s">
        <v>958</v>
      </c>
      <c r="D10761" s="1"/>
      <c r="F10761" s="231" t="s">
        <v>3720</v>
      </c>
      <c r="G10761" s="1"/>
      <c r="H10761" s="68"/>
      <c r="I10761" s="1024">
        <v>1.0</v>
      </c>
      <c r="K10761" s="9" t="s">
        <v>3730</v>
      </c>
      <c r="L10761" s="77"/>
      <c r="M10761" s="79"/>
      <c r="N10761" s="1"/>
      <c r="O10761" s="1"/>
      <c r="P10761" s="1"/>
      <c r="Q10761" s="1"/>
      <c r="R10761" s="1"/>
      <c r="S10761" s="1"/>
      <c r="T10761" s="1"/>
      <c r="U10761" s="1"/>
      <c r="V10761" s="1"/>
      <c r="W10761" s="1"/>
      <c r="X10761" s="1"/>
      <c r="Y10761" s="1"/>
      <c r="Z10761" s="1"/>
      <c r="AA10761" s="1"/>
      <c r="AB10761" s="1"/>
      <c r="AC10761" s="1"/>
      <c r="AD10761" s="1"/>
      <c r="AE10761" s="1"/>
      <c r="AF10761" s="1"/>
      <c r="AG10761" s="1"/>
      <c r="AH10761" s="1"/>
    </row>
    <row r="10762" ht="12.75" hidden="1" customHeight="1" outlineLevel="1">
      <c r="A10762" s="202">
        <v>43468.0</v>
      </c>
      <c r="B10762" s="992"/>
      <c r="C10762" s="32" t="s">
        <v>961</v>
      </c>
      <c r="D10762" s="1"/>
      <c r="F10762" s="245" t="s">
        <v>3721</v>
      </c>
      <c r="G10762" s="247"/>
      <c r="H10762" s="1025"/>
      <c r="I10762" s="1026">
        <v>2.0</v>
      </c>
      <c r="K10762" s="9" t="s">
        <v>964</v>
      </c>
      <c r="L10762" s="77"/>
      <c r="M10762" s="79"/>
      <c r="N10762" s="1"/>
      <c r="O10762" s="1"/>
      <c r="P10762" s="1"/>
      <c r="Q10762" s="1"/>
      <c r="R10762" s="1"/>
      <c r="S10762" s="1"/>
      <c r="T10762" s="1"/>
      <c r="U10762" s="1"/>
      <c r="V10762" s="1"/>
      <c r="W10762" s="1"/>
      <c r="X10762" s="1"/>
      <c r="Y10762" s="1"/>
      <c r="Z10762" s="1"/>
      <c r="AA10762" s="1"/>
      <c r="AB10762" s="1"/>
      <c r="AC10762" s="1"/>
      <c r="AD10762" s="1"/>
      <c r="AE10762" s="1"/>
      <c r="AF10762" s="1"/>
      <c r="AG10762" s="1"/>
      <c r="AH10762" s="1"/>
    </row>
    <row r="10763" ht="12.75" hidden="1" customHeight="1" outlineLevel="1">
      <c r="A10763" s="197">
        <v>43472.0</v>
      </c>
      <c r="B10763" s="992"/>
      <c r="C10763" s="32" t="s">
        <v>947</v>
      </c>
      <c r="D10763" s="1"/>
      <c r="E10763" s="94" t="s">
        <v>948</v>
      </c>
      <c r="F10763" s="1022" t="s">
        <v>3715</v>
      </c>
      <c r="G10763" s="87"/>
      <c r="H10763" s="199"/>
      <c r="I10763" s="1023">
        <v>1.0</v>
      </c>
      <c r="K10763" s="201" t="s">
        <v>3735</v>
      </c>
      <c r="L10763" s="77"/>
      <c r="M10763" s="79"/>
      <c r="N10763" s="1"/>
      <c r="O10763" s="1"/>
      <c r="P10763" s="1"/>
      <c r="Q10763" s="1"/>
      <c r="R10763" s="1"/>
      <c r="S10763" s="1"/>
      <c r="T10763" s="1"/>
      <c r="U10763" s="1"/>
      <c r="V10763" s="1"/>
      <c r="W10763" s="1"/>
      <c r="X10763" s="1"/>
      <c r="Y10763" s="1"/>
      <c r="Z10763" s="1"/>
      <c r="AA10763" s="1"/>
      <c r="AB10763" s="1"/>
      <c r="AC10763" s="1"/>
      <c r="AD10763" s="1"/>
      <c r="AE10763" s="1"/>
      <c r="AF10763" s="1"/>
      <c r="AG10763" s="1"/>
      <c r="AH10763" s="1"/>
    </row>
    <row r="10764" ht="12.75" hidden="1" customHeight="1" outlineLevel="1">
      <c r="A10764" s="202">
        <v>43472.0</v>
      </c>
      <c r="B10764" s="992"/>
      <c r="C10764" s="32" t="s">
        <v>952</v>
      </c>
      <c r="D10764" s="1"/>
      <c r="F10764" s="231" t="s">
        <v>953</v>
      </c>
      <c r="G10764" s="1"/>
      <c r="H10764" s="68"/>
      <c r="I10764" s="1024">
        <v>0.0</v>
      </c>
      <c r="K10764" s="9" t="s">
        <v>3736</v>
      </c>
      <c r="L10764" s="77"/>
      <c r="M10764" s="79"/>
      <c r="N10764" s="1"/>
      <c r="O10764" s="1"/>
      <c r="P10764" s="1"/>
      <c r="Q10764" s="1"/>
      <c r="R10764" s="1"/>
      <c r="S10764" s="1"/>
      <c r="T10764" s="1"/>
      <c r="U10764" s="1"/>
      <c r="V10764" s="1"/>
      <c r="W10764" s="1"/>
      <c r="X10764" s="1"/>
      <c r="Y10764" s="1"/>
      <c r="Z10764" s="1"/>
      <c r="AA10764" s="1"/>
      <c r="AB10764" s="1"/>
      <c r="AC10764" s="1"/>
      <c r="AD10764" s="1"/>
      <c r="AE10764" s="1"/>
      <c r="AF10764" s="1"/>
      <c r="AG10764" s="1"/>
      <c r="AH10764" s="1"/>
    </row>
    <row r="10765" ht="12.75" hidden="1" customHeight="1" outlineLevel="1">
      <c r="A10765" s="202">
        <v>43472.0</v>
      </c>
      <c r="B10765" s="992"/>
      <c r="C10765" s="32" t="s">
        <v>955</v>
      </c>
      <c r="D10765" s="1"/>
      <c r="F10765" s="231" t="s">
        <v>3718</v>
      </c>
      <c r="G10765" s="1"/>
      <c r="H10765" s="68"/>
      <c r="I10765" s="1024">
        <v>0.0</v>
      </c>
      <c r="K10765" s="9" t="s">
        <v>3737</v>
      </c>
      <c r="L10765" s="77"/>
      <c r="M10765" s="79"/>
      <c r="N10765" s="1"/>
      <c r="O10765" s="1"/>
      <c r="P10765" s="1"/>
      <c r="Q10765" s="1"/>
      <c r="R10765" s="1"/>
      <c r="S10765" s="1"/>
      <c r="T10765" s="1"/>
      <c r="U10765" s="1"/>
      <c r="V10765" s="1"/>
      <c r="W10765" s="1"/>
      <c r="X10765" s="1"/>
      <c r="Y10765" s="1"/>
      <c r="Z10765" s="1"/>
      <c r="AA10765" s="1"/>
      <c r="AB10765" s="1"/>
      <c r="AC10765" s="1"/>
      <c r="AD10765" s="1"/>
      <c r="AE10765" s="1"/>
      <c r="AF10765" s="1"/>
      <c r="AG10765" s="1"/>
      <c r="AH10765" s="1"/>
    </row>
    <row r="10766" ht="12.75" hidden="1" customHeight="1" outlineLevel="1">
      <c r="A10766" s="202">
        <v>43472.0</v>
      </c>
      <c r="B10766" s="992"/>
      <c r="C10766" s="32" t="s">
        <v>958</v>
      </c>
      <c r="D10766" s="1"/>
      <c r="F10766" s="231" t="s">
        <v>3720</v>
      </c>
      <c r="G10766" s="1"/>
      <c r="H10766" s="68"/>
      <c r="I10766" s="1024">
        <v>1.0</v>
      </c>
      <c r="K10766" s="9" t="s">
        <v>3738</v>
      </c>
      <c r="L10766" s="77"/>
      <c r="M10766" s="79"/>
      <c r="N10766" s="1"/>
      <c r="O10766" s="1"/>
      <c r="P10766" s="1"/>
      <c r="Q10766" s="1"/>
      <c r="R10766" s="1"/>
      <c r="S10766" s="1"/>
      <c r="T10766" s="1"/>
      <c r="U10766" s="1"/>
      <c r="V10766" s="1"/>
      <c r="W10766" s="1"/>
      <c r="X10766" s="1"/>
      <c r="Y10766" s="1"/>
      <c r="Z10766" s="1"/>
      <c r="AA10766" s="1"/>
      <c r="AB10766" s="1"/>
      <c r="AC10766" s="1"/>
      <c r="AD10766" s="1"/>
      <c r="AE10766" s="1"/>
      <c r="AF10766" s="1"/>
      <c r="AG10766" s="1"/>
      <c r="AH10766" s="1"/>
    </row>
    <row r="10767" ht="12.75" hidden="1" customHeight="1" outlineLevel="1">
      <c r="A10767" s="202">
        <v>43472.0</v>
      </c>
      <c r="B10767" s="992"/>
      <c r="C10767" s="32" t="s">
        <v>961</v>
      </c>
      <c r="D10767" s="1"/>
      <c r="F10767" s="245" t="s">
        <v>3721</v>
      </c>
      <c r="G10767" s="247"/>
      <c r="H10767" s="1025"/>
      <c r="I10767" s="1026">
        <v>2.0</v>
      </c>
      <c r="K10767" s="9" t="s">
        <v>964</v>
      </c>
      <c r="L10767" s="77"/>
      <c r="M10767" s="79"/>
      <c r="N10767" s="1"/>
      <c r="O10767" s="1"/>
      <c r="P10767" s="1"/>
      <c r="Q10767" s="1"/>
      <c r="R10767" s="1"/>
      <c r="S10767" s="1"/>
      <c r="T10767" s="1"/>
      <c r="U10767" s="1"/>
      <c r="V10767" s="1"/>
      <c r="W10767" s="1"/>
      <c r="X10767" s="1"/>
      <c r="Y10767" s="1"/>
      <c r="Z10767" s="1"/>
      <c r="AA10767" s="1"/>
      <c r="AB10767" s="1"/>
      <c r="AC10767" s="1"/>
      <c r="AD10767" s="1"/>
      <c r="AE10767" s="1"/>
      <c r="AF10767" s="1"/>
      <c r="AG10767" s="1"/>
      <c r="AH10767" s="1"/>
    </row>
    <row r="10768" ht="12.75" hidden="1" customHeight="1" outlineLevel="1">
      <c r="A10768" s="122">
        <v>43473.0</v>
      </c>
      <c r="B10768" s="974" t="s">
        <v>347</v>
      </c>
      <c r="C10768" s="32" t="s">
        <v>1402</v>
      </c>
      <c r="D10768" s="9">
        <v>75.0</v>
      </c>
      <c r="E10768" s="9">
        <v>102.2708</v>
      </c>
      <c r="F10768" s="709">
        <v>0.4136574074074074</v>
      </c>
      <c r="G10768" s="195" t="s">
        <v>453</v>
      </c>
      <c r="H10768" s="710">
        <v>1.11</v>
      </c>
      <c r="I10768" s="256" t="s">
        <v>3145</v>
      </c>
      <c r="J10768" s="67">
        <f t="shared" ref="J10768:J10770" si="603">IF(B10768="SLD",D10768*E10768,-D10768*E10768)-H10768</f>
        <v>7669.2</v>
      </c>
      <c r="K10768" s="1"/>
      <c r="L10768" s="70"/>
      <c r="M10768" s="79"/>
      <c r="N10768" s="1"/>
      <c r="O10768" s="1"/>
      <c r="P10768" s="1"/>
      <c r="Q10768" s="1"/>
      <c r="R10768" s="1"/>
      <c r="S10768" s="1"/>
      <c r="T10768" s="1"/>
      <c r="U10768" s="1"/>
      <c r="V10768" s="1"/>
      <c r="W10768" s="1"/>
      <c r="X10768" s="1"/>
      <c r="Y10768" s="1"/>
      <c r="Z10768" s="1"/>
      <c r="AA10768" s="1"/>
      <c r="AB10768" s="1"/>
      <c r="AC10768" s="1"/>
      <c r="AD10768" s="1"/>
      <c r="AE10768" s="1"/>
      <c r="AF10768" s="1"/>
      <c r="AG10768" s="1"/>
      <c r="AH10768" s="1"/>
    </row>
    <row r="10769" ht="12.75" hidden="1" customHeight="1" outlineLevel="1">
      <c r="A10769" s="122">
        <v>43473.0</v>
      </c>
      <c r="B10769" s="974" t="s">
        <v>347</v>
      </c>
      <c r="C10769" s="32" t="s">
        <v>1194</v>
      </c>
      <c r="D10769" s="9">
        <v>125.0</v>
      </c>
      <c r="E10769" s="9">
        <v>68.45</v>
      </c>
      <c r="F10769" s="709">
        <v>0.4139814814814815</v>
      </c>
      <c r="G10769" s="195" t="s">
        <v>453</v>
      </c>
      <c r="H10769" s="710">
        <v>1.13</v>
      </c>
      <c r="I10769" s="256" t="s">
        <v>3145</v>
      </c>
      <c r="J10769" s="67">
        <f t="shared" si="603"/>
        <v>8555.12</v>
      </c>
      <c r="K10769" s="1"/>
      <c r="L10769" s="70"/>
      <c r="M10769" s="79"/>
      <c r="N10769" s="1"/>
      <c r="O10769" s="1"/>
      <c r="P10769" s="1"/>
      <c r="Q10769" s="1"/>
      <c r="R10769" s="1"/>
      <c r="S10769" s="1"/>
      <c r="T10769" s="1"/>
      <c r="U10769" s="1"/>
      <c r="V10769" s="1"/>
      <c r="W10769" s="1"/>
      <c r="X10769" s="1"/>
      <c r="Y10769" s="1"/>
      <c r="Z10769" s="1"/>
      <c r="AA10769" s="1"/>
      <c r="AB10769" s="1"/>
      <c r="AC10769" s="1"/>
      <c r="AD10769" s="1"/>
      <c r="AE10769" s="1"/>
      <c r="AF10769" s="1"/>
      <c r="AG10769" s="1"/>
      <c r="AH10769" s="1"/>
    </row>
    <row r="10770" ht="12.75" hidden="1" customHeight="1" outlineLevel="1">
      <c r="A10770" s="122">
        <v>43473.0</v>
      </c>
      <c r="B10770" s="974" t="s">
        <v>343</v>
      </c>
      <c r="C10770" s="32" t="s">
        <v>1088</v>
      </c>
      <c r="D10770" s="9">
        <v>5.0</v>
      </c>
      <c r="E10770" s="9">
        <v>2450.94</v>
      </c>
      <c r="F10770" s="709">
        <v>0.4142708333333333</v>
      </c>
      <c r="G10770" s="195" t="s">
        <v>453</v>
      </c>
      <c r="H10770" s="710">
        <v>1.0</v>
      </c>
      <c r="I10770" s="256" t="s">
        <v>3145</v>
      </c>
      <c r="J10770" s="67">
        <f t="shared" si="603"/>
        <v>-12255.7</v>
      </c>
      <c r="K10770" s="1"/>
      <c r="L10770" s="70"/>
      <c r="M10770" s="79"/>
      <c r="N10770" s="1"/>
      <c r="O10770" s="1"/>
      <c r="P10770" s="1"/>
      <c r="Q10770" s="1"/>
      <c r="R10770" s="1"/>
      <c r="S10770" s="1"/>
      <c r="T10770" s="1"/>
      <c r="U10770" s="1"/>
      <c r="V10770" s="1"/>
      <c r="W10770" s="1"/>
      <c r="X10770" s="1"/>
      <c r="Y10770" s="1"/>
      <c r="Z10770" s="1"/>
      <c r="AA10770" s="1"/>
      <c r="AB10770" s="1"/>
      <c r="AC10770" s="1"/>
      <c r="AD10770" s="1"/>
      <c r="AE10770" s="1"/>
      <c r="AF10770" s="1"/>
      <c r="AG10770" s="1"/>
      <c r="AH10770" s="1"/>
    </row>
    <row r="10771" ht="12.75" hidden="1" customHeight="1" outlineLevel="1">
      <c r="A10771" s="197">
        <v>43473.0</v>
      </c>
      <c r="B10771" s="992"/>
      <c r="C10771" s="32" t="s">
        <v>947</v>
      </c>
      <c r="D10771" s="1"/>
      <c r="E10771" s="94" t="s">
        <v>948</v>
      </c>
      <c r="F10771" s="1022" t="s">
        <v>3715</v>
      </c>
      <c r="G10771" s="87"/>
      <c r="H10771" s="199"/>
      <c r="I10771" s="1023">
        <v>1.0</v>
      </c>
      <c r="K10771" s="201" t="s">
        <v>3739</v>
      </c>
      <c r="L10771" s="77"/>
      <c r="M10771" s="79"/>
      <c r="N10771" s="1"/>
      <c r="O10771" s="1"/>
      <c r="P10771" s="1"/>
      <c r="Q10771" s="1"/>
      <c r="R10771" s="1"/>
      <c r="S10771" s="1"/>
      <c r="T10771" s="1"/>
      <c r="U10771" s="1"/>
      <c r="V10771" s="1"/>
      <c r="W10771" s="1"/>
      <c r="X10771" s="1"/>
      <c r="Y10771" s="1"/>
      <c r="Z10771" s="1"/>
      <c r="AA10771" s="1"/>
      <c r="AB10771" s="1"/>
      <c r="AC10771" s="1"/>
      <c r="AD10771" s="1"/>
      <c r="AE10771" s="1"/>
      <c r="AF10771" s="1"/>
      <c r="AG10771" s="1"/>
      <c r="AH10771" s="1"/>
    </row>
    <row r="10772" ht="12.75" hidden="1" customHeight="1" outlineLevel="1">
      <c r="A10772" s="202">
        <v>43473.0</v>
      </c>
      <c r="B10772" s="992"/>
      <c r="C10772" s="32" t="s">
        <v>952</v>
      </c>
      <c r="D10772" s="1"/>
      <c r="F10772" s="231" t="s">
        <v>953</v>
      </c>
      <c r="G10772" s="1"/>
      <c r="H10772" s="68"/>
      <c r="I10772" s="1024">
        <v>0.0</v>
      </c>
      <c r="K10772" s="9" t="s">
        <v>3740</v>
      </c>
      <c r="L10772" s="77"/>
      <c r="M10772" s="79"/>
      <c r="N10772" s="1"/>
      <c r="O10772" s="1"/>
      <c r="P10772" s="1"/>
      <c r="Q10772" s="1"/>
      <c r="R10772" s="1"/>
      <c r="S10772" s="1"/>
      <c r="T10772" s="1"/>
      <c r="U10772" s="1"/>
      <c r="V10772" s="1"/>
      <c r="W10772" s="1"/>
      <c r="X10772" s="1"/>
      <c r="Y10772" s="1"/>
      <c r="Z10772" s="1"/>
      <c r="AA10772" s="1"/>
      <c r="AB10772" s="1"/>
      <c r="AC10772" s="1"/>
      <c r="AD10772" s="1"/>
      <c r="AE10772" s="1"/>
      <c r="AF10772" s="1"/>
      <c r="AG10772" s="1"/>
      <c r="AH10772" s="1"/>
    </row>
    <row r="10773" ht="12.75" hidden="1" customHeight="1" outlineLevel="1">
      <c r="A10773" s="202">
        <v>43473.0</v>
      </c>
      <c r="B10773" s="992"/>
      <c r="C10773" s="32" t="s">
        <v>955</v>
      </c>
      <c r="D10773" s="1"/>
      <c r="F10773" s="231" t="s">
        <v>3718</v>
      </c>
      <c r="G10773" s="1"/>
      <c r="H10773" s="68"/>
      <c r="I10773" s="1024">
        <v>0.0</v>
      </c>
      <c r="K10773" s="9" t="s">
        <v>3737</v>
      </c>
      <c r="L10773" s="77"/>
      <c r="M10773" s="79"/>
      <c r="N10773" s="1"/>
      <c r="O10773" s="1"/>
      <c r="P10773" s="1"/>
      <c r="Q10773" s="1"/>
      <c r="R10773" s="1"/>
      <c r="S10773" s="1"/>
      <c r="T10773" s="1"/>
      <c r="U10773" s="1"/>
      <c r="V10773" s="1"/>
      <c r="W10773" s="1"/>
      <c r="X10773" s="1"/>
      <c r="Y10773" s="1"/>
      <c r="Z10773" s="1"/>
      <c r="AA10773" s="1"/>
      <c r="AB10773" s="1"/>
      <c r="AC10773" s="1"/>
      <c r="AD10773" s="1"/>
      <c r="AE10773" s="1"/>
      <c r="AF10773" s="1"/>
      <c r="AG10773" s="1"/>
      <c r="AH10773" s="1"/>
    </row>
    <row r="10774" ht="12.75" hidden="1" customHeight="1" outlineLevel="1">
      <c r="A10774" s="202">
        <v>43473.0</v>
      </c>
      <c r="B10774" s="992"/>
      <c r="C10774" s="32" t="s">
        <v>958</v>
      </c>
      <c r="D10774" s="1"/>
      <c r="F10774" s="231" t="s">
        <v>3720</v>
      </c>
      <c r="G10774" s="1"/>
      <c r="H10774" s="68"/>
      <c r="I10774" s="1024">
        <v>1.0</v>
      </c>
      <c r="K10774" s="9" t="s">
        <v>3738</v>
      </c>
      <c r="L10774" s="77"/>
      <c r="M10774" s="79"/>
      <c r="N10774" s="1"/>
      <c r="O10774" s="1"/>
      <c r="P10774" s="1"/>
      <c r="Q10774" s="1"/>
      <c r="R10774" s="1"/>
      <c r="S10774" s="1"/>
      <c r="T10774" s="1"/>
      <c r="U10774" s="1"/>
      <c r="V10774" s="1"/>
      <c r="W10774" s="1"/>
      <c r="X10774" s="1"/>
      <c r="Y10774" s="1"/>
      <c r="Z10774" s="1"/>
      <c r="AA10774" s="1"/>
      <c r="AB10774" s="1"/>
      <c r="AC10774" s="1"/>
      <c r="AD10774" s="1"/>
      <c r="AE10774" s="1"/>
      <c r="AF10774" s="1"/>
      <c r="AG10774" s="1"/>
      <c r="AH10774" s="1"/>
    </row>
    <row r="10775" ht="12.75" hidden="1" customHeight="1" outlineLevel="1">
      <c r="A10775" s="202">
        <v>43473.0</v>
      </c>
      <c r="B10775" s="992"/>
      <c r="C10775" s="32" t="s">
        <v>961</v>
      </c>
      <c r="D10775" s="1"/>
      <c r="F10775" s="245" t="s">
        <v>3721</v>
      </c>
      <c r="G10775" s="247"/>
      <c r="H10775" s="1025"/>
      <c r="I10775" s="1026">
        <v>2.0</v>
      </c>
      <c r="K10775" s="9" t="s">
        <v>964</v>
      </c>
      <c r="L10775" s="77"/>
      <c r="M10775" s="79"/>
      <c r="N10775" s="1"/>
      <c r="O10775" s="1"/>
      <c r="P10775" s="1"/>
      <c r="Q10775" s="1"/>
      <c r="R10775" s="1"/>
      <c r="S10775" s="1"/>
      <c r="T10775" s="1"/>
      <c r="U10775" s="1"/>
      <c r="V10775" s="1"/>
      <c r="W10775" s="1"/>
      <c r="X10775" s="1"/>
      <c r="Y10775" s="1"/>
      <c r="Z10775" s="1"/>
      <c r="AA10775" s="1"/>
      <c r="AB10775" s="1"/>
      <c r="AC10775" s="1"/>
      <c r="AD10775" s="1"/>
      <c r="AE10775" s="1"/>
      <c r="AF10775" s="1"/>
      <c r="AG10775" s="1"/>
      <c r="AH10775" s="1"/>
    </row>
    <row r="10776" ht="12.75" hidden="1" customHeight="1" outlineLevel="1">
      <c r="A10776" s="197">
        <v>43475.0</v>
      </c>
      <c r="B10776" s="992"/>
      <c r="C10776" s="32" t="s">
        <v>947</v>
      </c>
      <c r="D10776" s="1"/>
      <c r="E10776" s="94" t="s">
        <v>948</v>
      </c>
      <c r="F10776" s="1022" t="s">
        <v>3715</v>
      </c>
      <c r="G10776" s="87"/>
      <c r="H10776" s="199"/>
      <c r="I10776" s="1023">
        <v>1.0</v>
      </c>
      <c r="K10776" s="201" t="s">
        <v>3739</v>
      </c>
      <c r="L10776" s="77"/>
      <c r="M10776" s="79"/>
      <c r="N10776" s="1"/>
      <c r="O10776" s="1"/>
      <c r="P10776" s="1"/>
      <c r="Q10776" s="1"/>
      <c r="R10776" s="1"/>
      <c r="S10776" s="1"/>
      <c r="T10776" s="1"/>
      <c r="U10776" s="1"/>
      <c r="V10776" s="1"/>
      <c r="W10776" s="1"/>
      <c r="X10776" s="1"/>
      <c r="Y10776" s="1"/>
      <c r="Z10776" s="1"/>
      <c r="AA10776" s="1"/>
      <c r="AB10776" s="1"/>
      <c r="AC10776" s="1"/>
      <c r="AD10776" s="1"/>
      <c r="AE10776" s="1"/>
      <c r="AF10776" s="1"/>
      <c r="AG10776" s="1"/>
      <c r="AH10776" s="1"/>
    </row>
    <row r="10777" ht="12.75" hidden="1" customHeight="1" outlineLevel="1">
      <c r="A10777" s="202">
        <v>43475.0</v>
      </c>
      <c r="B10777" s="992"/>
      <c r="C10777" s="32" t="s">
        <v>952</v>
      </c>
      <c r="D10777" s="1"/>
      <c r="F10777" s="231" t="s">
        <v>953</v>
      </c>
      <c r="G10777" s="1"/>
      <c r="H10777" s="68"/>
      <c r="I10777" s="1024">
        <v>0.0</v>
      </c>
      <c r="K10777" s="9" t="s">
        <v>3740</v>
      </c>
      <c r="L10777" s="77"/>
      <c r="M10777" s="79"/>
      <c r="N10777" s="1"/>
      <c r="O10777" s="1"/>
      <c r="P10777" s="1"/>
      <c r="Q10777" s="1"/>
      <c r="R10777" s="1"/>
      <c r="S10777" s="1"/>
      <c r="T10777" s="1"/>
      <c r="U10777" s="1"/>
      <c r="V10777" s="1"/>
      <c r="W10777" s="1"/>
      <c r="X10777" s="1"/>
      <c r="Y10777" s="1"/>
      <c r="Z10777" s="1"/>
      <c r="AA10777" s="1"/>
      <c r="AB10777" s="1"/>
      <c r="AC10777" s="1"/>
      <c r="AD10777" s="1"/>
      <c r="AE10777" s="1"/>
      <c r="AF10777" s="1"/>
      <c r="AG10777" s="1"/>
      <c r="AH10777" s="1"/>
    </row>
    <row r="10778" ht="12.75" hidden="1" customHeight="1" outlineLevel="1">
      <c r="A10778" s="202">
        <v>43475.0</v>
      </c>
      <c r="B10778" s="992"/>
      <c r="C10778" s="32" t="s">
        <v>955</v>
      </c>
      <c r="D10778" s="1"/>
      <c r="F10778" s="231" t="s">
        <v>3718</v>
      </c>
      <c r="G10778" s="1"/>
      <c r="H10778" s="68"/>
      <c r="I10778" s="1024">
        <v>0.0</v>
      </c>
      <c r="K10778" s="9" t="s">
        <v>3741</v>
      </c>
      <c r="L10778" s="77"/>
      <c r="M10778" s="79"/>
      <c r="N10778" s="1"/>
      <c r="O10778" s="1"/>
      <c r="P10778" s="1"/>
      <c r="Q10778" s="1"/>
      <c r="R10778" s="1"/>
      <c r="S10778" s="1"/>
      <c r="T10778" s="1"/>
      <c r="U10778" s="1"/>
      <c r="V10778" s="1"/>
      <c r="W10778" s="1"/>
      <c r="X10778" s="1"/>
      <c r="Y10778" s="1"/>
      <c r="Z10778" s="1"/>
      <c r="AA10778" s="1"/>
      <c r="AB10778" s="1"/>
      <c r="AC10778" s="1"/>
      <c r="AD10778" s="1"/>
      <c r="AE10778" s="1"/>
      <c r="AF10778" s="1"/>
      <c r="AG10778" s="1"/>
      <c r="AH10778" s="1"/>
    </row>
    <row r="10779" ht="12.75" hidden="1" customHeight="1" outlineLevel="1">
      <c r="A10779" s="202">
        <v>43475.0</v>
      </c>
      <c r="B10779" s="992"/>
      <c r="C10779" s="32" t="s">
        <v>958</v>
      </c>
      <c r="D10779" s="1"/>
      <c r="F10779" s="231" t="s">
        <v>3720</v>
      </c>
      <c r="G10779" s="1"/>
      <c r="H10779" s="68"/>
      <c r="I10779" s="1024">
        <v>1.0</v>
      </c>
      <c r="K10779" s="9" t="s">
        <v>3742</v>
      </c>
      <c r="L10779" s="77"/>
      <c r="M10779" s="79"/>
      <c r="N10779" s="1"/>
      <c r="O10779" s="1"/>
      <c r="P10779" s="1"/>
      <c r="Q10779" s="1"/>
      <c r="R10779" s="1"/>
      <c r="S10779" s="1"/>
      <c r="T10779" s="1"/>
      <c r="U10779" s="1"/>
      <c r="V10779" s="1"/>
      <c r="W10779" s="1"/>
      <c r="X10779" s="1"/>
      <c r="Y10779" s="1"/>
      <c r="Z10779" s="1"/>
      <c r="AA10779" s="1"/>
      <c r="AB10779" s="1"/>
      <c r="AC10779" s="1"/>
      <c r="AD10779" s="1"/>
      <c r="AE10779" s="1"/>
      <c r="AF10779" s="1"/>
      <c r="AG10779" s="1"/>
      <c r="AH10779" s="1"/>
    </row>
    <row r="10780" ht="12.75" hidden="1" customHeight="1" outlineLevel="1">
      <c r="A10780" s="202">
        <v>43475.0</v>
      </c>
      <c r="B10780" s="992"/>
      <c r="C10780" s="32" t="s">
        <v>961</v>
      </c>
      <c r="D10780" s="1"/>
      <c r="F10780" s="245" t="s">
        <v>3721</v>
      </c>
      <c r="G10780" s="247"/>
      <c r="H10780" s="1025"/>
      <c r="I10780" s="1026">
        <v>2.0</v>
      </c>
      <c r="K10780" s="9" t="s">
        <v>964</v>
      </c>
      <c r="L10780" s="77"/>
      <c r="M10780" s="79"/>
      <c r="N10780" s="1"/>
      <c r="O10780" s="1"/>
      <c r="P10780" s="1"/>
      <c r="Q10780" s="1"/>
      <c r="R10780" s="1"/>
      <c r="S10780" s="1"/>
      <c r="T10780" s="1"/>
      <c r="U10780" s="1"/>
      <c r="V10780" s="1"/>
      <c r="W10780" s="1"/>
      <c r="X10780" s="1"/>
      <c r="Y10780" s="1"/>
      <c r="Z10780" s="1"/>
      <c r="AA10780" s="1"/>
      <c r="AB10780" s="1"/>
      <c r="AC10780" s="1"/>
      <c r="AD10780" s="1"/>
      <c r="AE10780" s="1"/>
      <c r="AF10780" s="1"/>
      <c r="AG10780" s="1"/>
      <c r="AH10780" s="1"/>
    </row>
    <row r="10781" ht="12.75" hidden="1" customHeight="1" outlineLevel="1">
      <c r="A10781" s="197">
        <v>43477.0</v>
      </c>
      <c r="B10781" s="992"/>
      <c r="C10781" s="32" t="s">
        <v>947</v>
      </c>
      <c r="D10781" s="1"/>
      <c r="E10781" s="94" t="s">
        <v>948</v>
      </c>
      <c r="F10781" s="1022" t="s">
        <v>3715</v>
      </c>
      <c r="G10781" s="87"/>
      <c r="H10781" s="199"/>
      <c r="I10781" s="1023">
        <v>1.0</v>
      </c>
      <c r="K10781" s="201" t="s">
        <v>3739</v>
      </c>
      <c r="L10781" s="77"/>
      <c r="M10781" s="79"/>
      <c r="N10781" s="1"/>
      <c r="O10781" s="1"/>
      <c r="P10781" s="1"/>
      <c r="Q10781" s="1"/>
      <c r="R10781" s="1"/>
      <c r="S10781" s="1"/>
      <c r="T10781" s="1"/>
      <c r="U10781" s="1"/>
      <c r="V10781" s="1"/>
      <c r="W10781" s="1"/>
      <c r="X10781" s="1"/>
      <c r="Y10781" s="1"/>
      <c r="Z10781" s="1"/>
      <c r="AA10781" s="1"/>
      <c r="AB10781" s="1"/>
      <c r="AC10781" s="1"/>
      <c r="AD10781" s="1"/>
      <c r="AE10781" s="1"/>
      <c r="AF10781" s="1"/>
      <c r="AG10781" s="1"/>
      <c r="AH10781" s="1"/>
    </row>
    <row r="10782" ht="12.75" hidden="1" customHeight="1" outlineLevel="1">
      <c r="A10782" s="202">
        <v>43477.0</v>
      </c>
      <c r="B10782" s="992"/>
      <c r="C10782" s="32" t="s">
        <v>952</v>
      </c>
      <c r="D10782" s="1"/>
      <c r="F10782" s="231" t="s">
        <v>953</v>
      </c>
      <c r="G10782" s="1"/>
      <c r="H10782" s="68"/>
      <c r="I10782" s="1024">
        <v>0.0</v>
      </c>
      <c r="K10782" s="9" t="s">
        <v>3743</v>
      </c>
      <c r="L10782" s="77"/>
      <c r="M10782" s="79"/>
      <c r="N10782" s="1"/>
      <c r="O10782" s="1"/>
      <c r="P10782" s="1"/>
      <c r="Q10782" s="1"/>
      <c r="R10782" s="1"/>
      <c r="S10782" s="1"/>
      <c r="T10782" s="1"/>
      <c r="U10782" s="1"/>
      <c r="V10782" s="1"/>
      <c r="W10782" s="1"/>
      <c r="X10782" s="1"/>
      <c r="Y10782" s="1"/>
      <c r="Z10782" s="1"/>
      <c r="AA10782" s="1"/>
      <c r="AB10782" s="1"/>
      <c r="AC10782" s="1"/>
      <c r="AD10782" s="1"/>
      <c r="AE10782" s="1"/>
      <c r="AF10782" s="1"/>
      <c r="AG10782" s="1"/>
      <c r="AH10782" s="1"/>
    </row>
    <row r="10783" ht="12.75" hidden="1" customHeight="1" outlineLevel="1">
      <c r="A10783" s="202">
        <v>43477.0</v>
      </c>
      <c r="B10783" s="992"/>
      <c r="C10783" s="32" t="s">
        <v>955</v>
      </c>
      <c r="D10783" s="1"/>
      <c r="F10783" s="231" t="s">
        <v>3718</v>
      </c>
      <c r="G10783" s="1"/>
      <c r="H10783" s="68"/>
      <c r="I10783" s="1024">
        <v>0.0</v>
      </c>
      <c r="K10783" s="9" t="s">
        <v>3744</v>
      </c>
      <c r="L10783" s="77"/>
      <c r="M10783" s="79"/>
      <c r="N10783" s="1"/>
      <c r="O10783" s="1"/>
      <c r="P10783" s="1"/>
      <c r="Q10783" s="1"/>
      <c r="R10783" s="1"/>
      <c r="S10783" s="1"/>
      <c r="T10783" s="1"/>
      <c r="U10783" s="1"/>
      <c r="V10783" s="1"/>
      <c r="W10783" s="1"/>
      <c r="X10783" s="1"/>
      <c r="Y10783" s="1"/>
      <c r="Z10783" s="1"/>
      <c r="AA10783" s="1"/>
      <c r="AB10783" s="1"/>
      <c r="AC10783" s="1"/>
      <c r="AD10783" s="1"/>
      <c r="AE10783" s="1"/>
      <c r="AF10783" s="1"/>
      <c r="AG10783" s="1"/>
      <c r="AH10783" s="1"/>
    </row>
    <row r="10784" ht="12.75" hidden="1" customHeight="1" outlineLevel="1">
      <c r="A10784" s="202">
        <v>43477.0</v>
      </c>
      <c r="B10784" s="992"/>
      <c r="C10784" s="32" t="s">
        <v>958</v>
      </c>
      <c r="D10784" s="1"/>
      <c r="F10784" s="231" t="s">
        <v>3720</v>
      </c>
      <c r="G10784" s="1"/>
      <c r="H10784" s="68"/>
      <c r="I10784" s="1024">
        <v>1.0</v>
      </c>
      <c r="K10784" s="9" t="s">
        <v>3745</v>
      </c>
      <c r="L10784" s="77"/>
      <c r="M10784" s="79"/>
      <c r="N10784" s="1"/>
      <c r="O10784" s="1"/>
      <c r="P10784" s="1"/>
      <c r="Q10784" s="1"/>
      <c r="R10784" s="1"/>
      <c r="S10784" s="1"/>
      <c r="T10784" s="1"/>
      <c r="U10784" s="1"/>
      <c r="V10784" s="1"/>
      <c r="W10784" s="1"/>
      <c r="X10784" s="1"/>
      <c r="Y10784" s="1"/>
      <c r="Z10784" s="1"/>
      <c r="AA10784" s="1"/>
      <c r="AB10784" s="1"/>
      <c r="AC10784" s="1"/>
      <c r="AD10784" s="1"/>
      <c r="AE10784" s="1"/>
      <c r="AF10784" s="1"/>
      <c r="AG10784" s="1"/>
      <c r="AH10784" s="1"/>
    </row>
    <row r="10785" ht="12.75" hidden="1" customHeight="1" outlineLevel="1">
      <c r="A10785" s="202">
        <v>43477.0</v>
      </c>
      <c r="B10785" s="992"/>
      <c r="C10785" s="32" t="s">
        <v>961</v>
      </c>
      <c r="D10785" s="1"/>
      <c r="F10785" s="245" t="s">
        <v>3721</v>
      </c>
      <c r="G10785" s="247"/>
      <c r="H10785" s="1025"/>
      <c r="I10785" s="1026">
        <v>2.0</v>
      </c>
      <c r="K10785" s="9" t="s">
        <v>964</v>
      </c>
      <c r="L10785" s="77"/>
      <c r="M10785" s="79"/>
      <c r="N10785" s="1"/>
      <c r="O10785" s="1"/>
      <c r="P10785" s="1"/>
      <c r="Q10785" s="1"/>
      <c r="R10785" s="1"/>
      <c r="S10785" s="1"/>
      <c r="T10785" s="1"/>
      <c r="U10785" s="1"/>
      <c r="V10785" s="1"/>
      <c r="W10785" s="1"/>
      <c r="X10785" s="1"/>
      <c r="Y10785" s="1"/>
      <c r="Z10785" s="1"/>
      <c r="AA10785" s="1"/>
      <c r="AB10785" s="1"/>
      <c r="AC10785" s="1"/>
      <c r="AD10785" s="1"/>
      <c r="AE10785" s="1"/>
      <c r="AF10785" s="1"/>
      <c r="AG10785" s="1"/>
      <c r="AH10785" s="1"/>
    </row>
    <row r="10786" ht="12.75" hidden="1" customHeight="1" outlineLevel="1">
      <c r="A10786" s="202">
        <v>43479.0</v>
      </c>
      <c r="B10786" s="985" t="s">
        <v>347</v>
      </c>
      <c r="C10786" s="985" t="s">
        <v>346</v>
      </c>
      <c r="D10786" s="985">
        <v>225.0</v>
      </c>
      <c r="E10786" s="985">
        <v>149.4831</v>
      </c>
      <c r="F10786" s="1027">
        <v>0.47524305555555557</v>
      </c>
      <c r="G10786" s="1028" t="s">
        <v>453</v>
      </c>
      <c r="H10786" s="937">
        <v>1.59</v>
      </c>
      <c r="I10786" s="1029" t="s">
        <v>3145</v>
      </c>
      <c r="J10786" s="67">
        <f t="shared" ref="J10786:J10788" si="604">IF(B10786="SLD",D10786*E10786,-D10786*E10786)-H10786</f>
        <v>33632.1075</v>
      </c>
      <c r="K10786" s="1"/>
      <c r="L10786" s="70"/>
      <c r="M10786" s="79"/>
      <c r="N10786" s="1"/>
      <c r="O10786" s="1"/>
      <c r="P10786" s="1"/>
      <c r="Q10786" s="1"/>
      <c r="R10786" s="1"/>
      <c r="S10786" s="1"/>
      <c r="T10786" s="1"/>
      <c r="U10786" s="1"/>
      <c r="V10786" s="1"/>
      <c r="W10786" s="1"/>
      <c r="X10786" s="1"/>
      <c r="Y10786" s="1"/>
      <c r="Z10786" s="1"/>
      <c r="AA10786" s="1"/>
      <c r="AB10786" s="1"/>
      <c r="AC10786" s="1"/>
      <c r="AD10786" s="1"/>
      <c r="AE10786" s="1"/>
      <c r="AF10786" s="1"/>
      <c r="AG10786" s="1"/>
      <c r="AH10786" s="1"/>
    </row>
    <row r="10787" ht="12.75" hidden="1" customHeight="1" outlineLevel="1">
      <c r="A10787" s="202">
        <v>43479.0</v>
      </c>
      <c r="B10787" s="985" t="s">
        <v>343</v>
      </c>
      <c r="C10787" s="985" t="s">
        <v>1131</v>
      </c>
      <c r="D10787" s="985">
        <v>300.0</v>
      </c>
      <c r="E10787" s="985">
        <v>63.9885</v>
      </c>
      <c r="F10787" s="1027">
        <v>0.47625</v>
      </c>
      <c r="G10787" s="1028" t="s">
        <v>453</v>
      </c>
      <c r="H10787" s="937">
        <v>1.5</v>
      </c>
      <c r="I10787" s="1029" t="s">
        <v>3145</v>
      </c>
      <c r="J10787" s="67">
        <f t="shared" si="604"/>
        <v>-19198.05</v>
      </c>
      <c r="K10787" s="1"/>
      <c r="L10787" s="70"/>
      <c r="M10787" s="79"/>
      <c r="N10787" s="1"/>
      <c r="O10787" s="1"/>
      <c r="P10787" s="1"/>
      <c r="Q10787" s="1"/>
      <c r="R10787" s="1"/>
      <c r="S10787" s="1"/>
      <c r="T10787" s="1"/>
      <c r="U10787" s="1"/>
      <c r="V10787" s="1"/>
      <c r="W10787" s="1"/>
      <c r="X10787" s="1"/>
      <c r="Y10787" s="1"/>
      <c r="Z10787" s="1"/>
      <c r="AA10787" s="1"/>
      <c r="AB10787" s="1"/>
      <c r="AC10787" s="1"/>
      <c r="AD10787" s="1"/>
      <c r="AE10787" s="1"/>
      <c r="AF10787" s="1"/>
      <c r="AG10787" s="1"/>
      <c r="AH10787" s="1"/>
    </row>
    <row r="10788" ht="12.75" hidden="1" customHeight="1" outlineLevel="1">
      <c r="A10788" s="202">
        <v>43479.0</v>
      </c>
      <c r="B10788" s="985" t="s">
        <v>343</v>
      </c>
      <c r="C10788" s="985" t="s">
        <v>1215</v>
      </c>
      <c r="D10788" s="985">
        <v>300.0</v>
      </c>
      <c r="E10788" s="985">
        <v>47.547</v>
      </c>
      <c r="F10788" s="1027">
        <v>0.47725694444444444</v>
      </c>
      <c r="G10788" s="1028" t="s">
        <v>453</v>
      </c>
      <c r="H10788" s="937">
        <v>1.5</v>
      </c>
      <c r="I10788" s="1029" t="s">
        <v>3145</v>
      </c>
      <c r="J10788" s="67">
        <f t="shared" si="604"/>
        <v>-14265.6</v>
      </c>
      <c r="K10788" s="1"/>
      <c r="L10788" s="70"/>
      <c r="M10788" s="79"/>
      <c r="N10788" s="1"/>
      <c r="O10788" s="1"/>
      <c r="P10788" s="1"/>
      <c r="Q10788" s="1"/>
      <c r="R10788" s="1"/>
      <c r="S10788" s="1"/>
      <c r="T10788" s="1"/>
      <c r="U10788" s="1"/>
      <c r="V10788" s="1"/>
      <c r="W10788" s="1"/>
      <c r="X10788" s="1"/>
      <c r="Y10788" s="1"/>
      <c r="Z10788" s="1"/>
      <c r="AA10788" s="1"/>
      <c r="AB10788" s="1"/>
      <c r="AC10788" s="1"/>
      <c r="AD10788" s="1"/>
      <c r="AE10788" s="1"/>
      <c r="AF10788" s="1"/>
      <c r="AG10788" s="1"/>
      <c r="AH10788" s="1"/>
    </row>
    <row r="10789" ht="12.75" hidden="1" customHeight="1" outlineLevel="1">
      <c r="A10789" s="197">
        <v>43479.0</v>
      </c>
      <c r="B10789" s="992"/>
      <c r="C10789" s="32" t="s">
        <v>947</v>
      </c>
      <c r="D10789" s="1"/>
      <c r="E10789" s="94" t="s">
        <v>948</v>
      </c>
      <c r="F10789" s="1022" t="s">
        <v>3715</v>
      </c>
      <c r="G10789" s="87"/>
      <c r="H10789" s="199"/>
      <c r="I10789" s="1023">
        <v>1.0</v>
      </c>
      <c r="K10789" s="201" t="s">
        <v>3739</v>
      </c>
      <c r="L10789" s="77"/>
      <c r="M10789" s="79"/>
      <c r="N10789" s="1"/>
      <c r="O10789" s="1"/>
      <c r="P10789" s="1"/>
      <c r="Q10789" s="1"/>
      <c r="R10789" s="1"/>
      <c r="S10789" s="1"/>
      <c r="T10789" s="1"/>
      <c r="U10789" s="1"/>
      <c r="V10789" s="1"/>
      <c r="W10789" s="1"/>
      <c r="X10789" s="1"/>
      <c r="Y10789" s="1"/>
      <c r="Z10789" s="1"/>
      <c r="AA10789" s="1"/>
      <c r="AB10789" s="1"/>
      <c r="AC10789" s="1"/>
      <c r="AD10789" s="1"/>
      <c r="AE10789" s="1"/>
      <c r="AF10789" s="1"/>
      <c r="AG10789" s="1"/>
      <c r="AH10789" s="1"/>
    </row>
    <row r="10790" ht="12.75" hidden="1" customHeight="1" outlineLevel="1">
      <c r="A10790" s="202">
        <v>43479.0</v>
      </c>
      <c r="B10790" s="992"/>
      <c r="C10790" s="32" t="s">
        <v>952</v>
      </c>
      <c r="D10790" s="1"/>
      <c r="F10790" s="231" t="s">
        <v>953</v>
      </c>
      <c r="G10790" s="1"/>
      <c r="H10790" s="68"/>
      <c r="I10790" s="1024">
        <v>0.0</v>
      </c>
      <c r="K10790" s="9" t="s">
        <v>3746</v>
      </c>
      <c r="L10790" s="77"/>
      <c r="M10790" s="79"/>
      <c r="N10790" s="1"/>
      <c r="O10790" s="1"/>
      <c r="P10790" s="1"/>
      <c r="Q10790" s="1"/>
      <c r="R10790" s="1"/>
      <c r="S10790" s="1"/>
      <c r="T10790" s="1"/>
      <c r="U10790" s="1"/>
      <c r="V10790" s="1"/>
      <c r="W10790" s="1"/>
      <c r="X10790" s="1"/>
      <c r="Y10790" s="1"/>
      <c r="Z10790" s="1"/>
      <c r="AA10790" s="1"/>
      <c r="AB10790" s="1"/>
      <c r="AC10790" s="1"/>
      <c r="AD10790" s="1"/>
      <c r="AE10790" s="1"/>
      <c r="AF10790" s="1"/>
      <c r="AG10790" s="1"/>
      <c r="AH10790" s="1"/>
    </row>
    <row r="10791" ht="12.75" hidden="1" customHeight="1" outlineLevel="1">
      <c r="A10791" s="202">
        <v>43479.0</v>
      </c>
      <c r="B10791" s="992"/>
      <c r="C10791" s="32" t="s">
        <v>955</v>
      </c>
      <c r="D10791" s="1"/>
      <c r="F10791" s="231" t="s">
        <v>3718</v>
      </c>
      <c r="G10791" s="1"/>
      <c r="H10791" s="68"/>
      <c r="I10791" s="1024">
        <v>0.0</v>
      </c>
      <c r="K10791" s="9" t="s">
        <v>3747</v>
      </c>
      <c r="L10791" s="77"/>
      <c r="M10791" s="79"/>
      <c r="N10791" s="1"/>
      <c r="O10791" s="1"/>
      <c r="P10791" s="1"/>
      <c r="Q10791" s="1"/>
      <c r="R10791" s="1"/>
      <c r="S10791" s="1"/>
      <c r="T10791" s="1"/>
      <c r="U10791" s="1"/>
      <c r="V10791" s="1"/>
      <c r="W10791" s="1"/>
      <c r="X10791" s="1"/>
      <c r="Y10791" s="1"/>
      <c r="Z10791" s="1"/>
      <c r="AA10791" s="1"/>
      <c r="AB10791" s="1"/>
      <c r="AC10791" s="1"/>
      <c r="AD10791" s="1"/>
      <c r="AE10791" s="1"/>
      <c r="AF10791" s="1"/>
      <c r="AG10791" s="1"/>
      <c r="AH10791" s="1"/>
    </row>
    <row r="10792" ht="12.75" hidden="1" customHeight="1" outlineLevel="1">
      <c r="A10792" s="202">
        <v>43479.0</v>
      </c>
      <c r="B10792" s="992"/>
      <c r="C10792" s="32" t="s">
        <v>958</v>
      </c>
      <c r="D10792" s="1"/>
      <c r="F10792" s="231" t="s">
        <v>3720</v>
      </c>
      <c r="G10792" s="1"/>
      <c r="H10792" s="68"/>
      <c r="I10792" s="1024">
        <v>1.0</v>
      </c>
      <c r="K10792" s="9" t="s">
        <v>3745</v>
      </c>
      <c r="L10792" s="77"/>
      <c r="M10792" s="79"/>
      <c r="N10792" s="1"/>
      <c r="O10792" s="1"/>
      <c r="P10792" s="1"/>
      <c r="Q10792" s="1"/>
      <c r="R10792" s="1"/>
      <c r="S10792" s="1"/>
      <c r="T10792" s="1"/>
      <c r="U10792" s="1"/>
      <c r="V10792" s="1"/>
      <c r="W10792" s="1"/>
      <c r="X10792" s="1"/>
      <c r="Y10792" s="1"/>
      <c r="Z10792" s="1"/>
      <c r="AA10792" s="1"/>
      <c r="AB10792" s="1"/>
      <c r="AC10792" s="1"/>
      <c r="AD10792" s="1"/>
      <c r="AE10792" s="1"/>
      <c r="AF10792" s="1"/>
      <c r="AG10792" s="1"/>
      <c r="AH10792" s="1"/>
    </row>
    <row r="10793" ht="12.75" hidden="1" customHeight="1" outlineLevel="1">
      <c r="A10793" s="202">
        <v>43479.0</v>
      </c>
      <c r="B10793" s="992"/>
      <c r="C10793" s="32" t="s">
        <v>961</v>
      </c>
      <c r="D10793" s="1"/>
      <c r="F10793" s="245" t="s">
        <v>3721</v>
      </c>
      <c r="G10793" s="247"/>
      <c r="H10793" s="1025"/>
      <c r="I10793" s="1026">
        <v>2.0</v>
      </c>
      <c r="K10793" s="9" t="s">
        <v>964</v>
      </c>
      <c r="L10793" s="77"/>
      <c r="M10793" s="79"/>
      <c r="N10793" s="1"/>
      <c r="O10793" s="1"/>
      <c r="P10793" s="1"/>
      <c r="Q10793" s="1"/>
      <c r="R10793" s="1"/>
      <c r="S10793" s="1"/>
      <c r="T10793" s="1"/>
      <c r="U10793" s="1"/>
      <c r="V10793" s="1"/>
      <c r="W10793" s="1"/>
      <c r="X10793" s="1"/>
      <c r="Y10793" s="1"/>
      <c r="Z10793" s="1"/>
      <c r="AA10793" s="1"/>
      <c r="AB10793" s="1"/>
      <c r="AC10793" s="1"/>
      <c r="AD10793" s="1"/>
      <c r="AE10793" s="1"/>
      <c r="AF10793" s="1"/>
      <c r="AG10793" s="1"/>
      <c r="AH10793" s="1"/>
    </row>
    <row r="10794" ht="12.75" hidden="1" customHeight="1" outlineLevel="1">
      <c r="A10794" s="197">
        <v>43480.0</v>
      </c>
      <c r="B10794" s="992"/>
      <c r="C10794" s="32" t="s">
        <v>947</v>
      </c>
      <c r="D10794" s="1"/>
      <c r="E10794" s="94" t="s">
        <v>948</v>
      </c>
      <c r="F10794" s="1022" t="s">
        <v>3715</v>
      </c>
      <c r="G10794" s="87"/>
      <c r="H10794" s="199"/>
      <c r="I10794" s="1023">
        <v>1.0</v>
      </c>
      <c r="K10794" s="201" t="s">
        <v>3739</v>
      </c>
      <c r="L10794" s="77"/>
      <c r="M10794" s="79"/>
      <c r="N10794" s="1"/>
      <c r="O10794" s="1"/>
      <c r="P10794" s="1"/>
      <c r="Q10794" s="1"/>
      <c r="R10794" s="1"/>
      <c r="S10794" s="1"/>
      <c r="T10794" s="1"/>
      <c r="U10794" s="1"/>
      <c r="V10794" s="1"/>
      <c r="W10794" s="1"/>
      <c r="X10794" s="1"/>
      <c r="Y10794" s="1"/>
      <c r="Z10794" s="1"/>
      <c r="AA10794" s="1"/>
      <c r="AB10794" s="1"/>
      <c r="AC10794" s="1"/>
      <c r="AD10794" s="1"/>
      <c r="AE10794" s="1"/>
      <c r="AF10794" s="1"/>
      <c r="AG10794" s="1"/>
      <c r="AH10794" s="1"/>
    </row>
    <row r="10795" ht="12.75" hidden="1" customHeight="1" outlineLevel="1">
      <c r="A10795" s="202">
        <v>43480.0</v>
      </c>
      <c r="B10795" s="992"/>
      <c r="C10795" s="32" t="s">
        <v>952</v>
      </c>
      <c r="D10795" s="1"/>
      <c r="F10795" s="231" t="s">
        <v>953</v>
      </c>
      <c r="G10795" s="1"/>
      <c r="H10795" s="68"/>
      <c r="I10795" s="1024">
        <v>0.0</v>
      </c>
      <c r="K10795" s="9" t="s">
        <v>3748</v>
      </c>
      <c r="L10795" s="77"/>
      <c r="M10795" s="79"/>
      <c r="N10795" s="1"/>
      <c r="O10795" s="1"/>
      <c r="P10795" s="1"/>
      <c r="Q10795" s="1"/>
      <c r="R10795" s="1"/>
      <c r="S10795" s="1"/>
      <c r="T10795" s="1"/>
      <c r="U10795" s="1"/>
      <c r="V10795" s="1"/>
      <c r="W10795" s="1"/>
      <c r="X10795" s="1"/>
      <c r="Y10795" s="1"/>
      <c r="Z10795" s="1"/>
      <c r="AA10795" s="1"/>
      <c r="AB10795" s="1"/>
      <c r="AC10795" s="1"/>
      <c r="AD10795" s="1"/>
      <c r="AE10795" s="1"/>
      <c r="AF10795" s="1"/>
      <c r="AG10795" s="1"/>
      <c r="AH10795" s="1"/>
    </row>
    <row r="10796" ht="12.75" hidden="1" customHeight="1" outlineLevel="1">
      <c r="A10796" s="202">
        <v>43480.0</v>
      </c>
      <c r="B10796" s="992"/>
      <c r="C10796" s="32" t="s">
        <v>955</v>
      </c>
      <c r="D10796" s="1"/>
      <c r="F10796" s="231" t="s">
        <v>3718</v>
      </c>
      <c r="G10796" s="1"/>
      <c r="H10796" s="68"/>
      <c r="I10796" s="1024">
        <v>0.0</v>
      </c>
      <c r="K10796" s="9" t="s">
        <v>3747</v>
      </c>
      <c r="L10796" s="77"/>
      <c r="M10796" s="79"/>
      <c r="N10796" s="1"/>
      <c r="O10796" s="1"/>
      <c r="P10796" s="1"/>
      <c r="Q10796" s="1"/>
      <c r="R10796" s="1"/>
      <c r="S10796" s="1"/>
      <c r="T10796" s="1"/>
      <c r="U10796" s="1"/>
      <c r="V10796" s="1"/>
      <c r="W10796" s="1"/>
      <c r="X10796" s="1"/>
      <c r="Y10796" s="1"/>
      <c r="Z10796" s="1"/>
      <c r="AA10796" s="1"/>
      <c r="AB10796" s="1"/>
      <c r="AC10796" s="1"/>
      <c r="AD10796" s="1"/>
      <c r="AE10796" s="1"/>
      <c r="AF10796" s="1"/>
      <c r="AG10796" s="1"/>
      <c r="AH10796" s="1"/>
    </row>
    <row r="10797" ht="12.75" hidden="1" customHeight="1" outlineLevel="1">
      <c r="A10797" s="202">
        <v>43480.0</v>
      </c>
      <c r="B10797" s="992"/>
      <c r="C10797" s="32" t="s">
        <v>958</v>
      </c>
      <c r="D10797" s="1"/>
      <c r="F10797" s="231" t="s">
        <v>3720</v>
      </c>
      <c r="G10797" s="1"/>
      <c r="H10797" s="68"/>
      <c r="I10797" s="1024">
        <v>1.0</v>
      </c>
      <c r="K10797" s="9" t="s">
        <v>3749</v>
      </c>
      <c r="L10797" s="77"/>
      <c r="M10797" s="79"/>
      <c r="N10797" s="1"/>
      <c r="O10797" s="1"/>
      <c r="P10797" s="1"/>
      <c r="Q10797" s="1"/>
      <c r="R10797" s="1"/>
      <c r="S10797" s="1"/>
      <c r="T10797" s="1"/>
      <c r="U10797" s="1"/>
      <c r="V10797" s="1"/>
      <c r="W10797" s="1"/>
      <c r="X10797" s="1"/>
      <c r="Y10797" s="1"/>
      <c r="Z10797" s="1"/>
      <c r="AA10797" s="1"/>
      <c r="AB10797" s="1"/>
      <c r="AC10797" s="1"/>
      <c r="AD10797" s="1"/>
      <c r="AE10797" s="1"/>
      <c r="AF10797" s="1"/>
      <c r="AG10797" s="1"/>
      <c r="AH10797" s="1"/>
    </row>
    <row r="10798" ht="12.75" hidden="1" customHeight="1" outlineLevel="1">
      <c r="A10798" s="202">
        <v>43480.0</v>
      </c>
      <c r="B10798" s="992"/>
      <c r="C10798" s="32" t="s">
        <v>961</v>
      </c>
      <c r="D10798" s="1"/>
      <c r="F10798" s="245" t="s">
        <v>3721</v>
      </c>
      <c r="G10798" s="247"/>
      <c r="H10798" s="1025"/>
      <c r="I10798" s="1026">
        <v>2.0</v>
      </c>
      <c r="K10798" s="9" t="s">
        <v>964</v>
      </c>
      <c r="L10798" s="77"/>
      <c r="M10798" s="79"/>
      <c r="N10798" s="1"/>
      <c r="O10798" s="1"/>
      <c r="P10798" s="1"/>
      <c r="Q10798" s="1"/>
      <c r="R10798" s="1"/>
      <c r="S10798" s="1"/>
      <c r="T10798" s="1"/>
      <c r="U10798" s="1"/>
      <c r="V10798" s="1"/>
      <c r="W10798" s="1"/>
      <c r="X10798" s="1"/>
      <c r="Y10798" s="1"/>
      <c r="Z10798" s="1"/>
      <c r="AA10798" s="1"/>
      <c r="AB10798" s="1"/>
      <c r="AC10798" s="1"/>
      <c r="AD10798" s="1"/>
      <c r="AE10798" s="1"/>
      <c r="AF10798" s="1"/>
      <c r="AG10798" s="1"/>
      <c r="AH10798" s="1"/>
    </row>
    <row r="10799" ht="12.75" hidden="1" customHeight="1" outlineLevel="1">
      <c r="A10799" s="202">
        <v>43481.0</v>
      </c>
      <c r="B10799" s="985" t="s">
        <v>343</v>
      </c>
      <c r="C10799" s="94" t="s">
        <v>346</v>
      </c>
      <c r="D10799" s="94">
        <v>250.0</v>
      </c>
      <c r="E10799" s="94">
        <v>154.929</v>
      </c>
      <c r="F10799" s="1003">
        <v>0.5488310185185186</v>
      </c>
      <c r="G10799" s="1004" t="s">
        <v>453</v>
      </c>
      <c r="H10799" s="987">
        <v>1.25</v>
      </c>
      <c r="I10799" s="988" t="s">
        <v>3145</v>
      </c>
      <c r="J10799" s="67">
        <f t="shared" ref="J10799:J10807" si="605">IF(B10799="SLD",D10799*E10799,-D10799*E10799)-H10799</f>
        <v>-38733.5</v>
      </c>
      <c r="K10799" s="1"/>
      <c r="L10799" s="70"/>
      <c r="M10799" s="79"/>
      <c r="N10799" s="1"/>
      <c r="O10799" s="1"/>
      <c r="P10799" s="1"/>
      <c r="Q10799" s="1"/>
      <c r="R10799" s="1"/>
      <c r="S10799" s="1"/>
      <c r="T10799" s="1"/>
      <c r="U10799" s="1"/>
      <c r="V10799" s="1"/>
      <c r="W10799" s="1"/>
      <c r="X10799" s="1"/>
      <c r="Y10799" s="1"/>
      <c r="Z10799" s="1"/>
      <c r="AA10799" s="1"/>
      <c r="AB10799" s="1"/>
      <c r="AC10799" s="1"/>
      <c r="AD10799" s="1"/>
      <c r="AE10799" s="1"/>
      <c r="AF10799" s="1"/>
      <c r="AG10799" s="1"/>
      <c r="AH10799" s="1"/>
    </row>
    <row r="10800" ht="12.75" hidden="1" customHeight="1" outlineLevel="1">
      <c r="A10800" s="202">
        <v>43481.0</v>
      </c>
      <c r="B10800" s="985" t="s">
        <v>343</v>
      </c>
      <c r="C10800" s="94" t="s">
        <v>1114</v>
      </c>
      <c r="D10800" s="94">
        <v>600.0</v>
      </c>
      <c r="E10800" s="94">
        <v>42.87</v>
      </c>
      <c r="F10800" s="1003">
        <v>0.5497685185185185</v>
      </c>
      <c r="G10800" s="1004" t="s">
        <v>453</v>
      </c>
      <c r="H10800" s="987">
        <v>3.0</v>
      </c>
      <c r="I10800" s="988" t="s">
        <v>3145</v>
      </c>
      <c r="J10800" s="67">
        <f t="shared" si="605"/>
        <v>-25725</v>
      </c>
      <c r="K10800" s="1"/>
      <c r="L10800" s="70"/>
      <c r="M10800" s="79"/>
      <c r="N10800" s="1"/>
      <c r="O10800" s="1"/>
      <c r="P10800" s="1"/>
      <c r="Q10800" s="1"/>
      <c r="R10800" s="1"/>
      <c r="S10800" s="1"/>
      <c r="T10800" s="1"/>
      <c r="U10800" s="1"/>
      <c r="V10800" s="1"/>
      <c r="W10800" s="1"/>
      <c r="X10800" s="1"/>
      <c r="Y10800" s="1"/>
      <c r="Z10800" s="1"/>
      <c r="AA10800" s="1"/>
      <c r="AB10800" s="1"/>
      <c r="AC10800" s="1"/>
      <c r="AD10800" s="1"/>
      <c r="AE10800" s="1"/>
      <c r="AF10800" s="1"/>
      <c r="AG10800" s="1"/>
      <c r="AH10800" s="1"/>
    </row>
    <row r="10801" ht="12.75" hidden="1" customHeight="1" outlineLevel="1">
      <c r="A10801" s="202">
        <v>43481.0</v>
      </c>
      <c r="B10801" s="985" t="s">
        <v>347</v>
      </c>
      <c r="C10801" s="94" t="s">
        <v>1177</v>
      </c>
      <c r="D10801" s="94">
        <v>5.0</v>
      </c>
      <c r="E10801" s="94">
        <v>1676.7832</v>
      </c>
      <c r="F10801" s="1003">
        <v>0.6587037037037037</v>
      </c>
      <c r="G10801" s="1004" t="s">
        <v>453</v>
      </c>
      <c r="H10801" s="987">
        <v>1.11</v>
      </c>
      <c r="I10801" s="988" t="s">
        <v>3145</v>
      </c>
      <c r="J10801" s="67">
        <f t="shared" si="605"/>
        <v>8382.806</v>
      </c>
      <c r="K10801" s="1"/>
      <c r="L10801" s="70"/>
      <c r="M10801" s="79"/>
      <c r="N10801" s="1"/>
      <c r="O10801" s="1"/>
      <c r="P10801" s="1"/>
      <c r="Q10801" s="1"/>
      <c r="R10801" s="1"/>
      <c r="S10801" s="1"/>
      <c r="T10801" s="1"/>
      <c r="U10801" s="1"/>
      <c r="V10801" s="1"/>
      <c r="W10801" s="1"/>
      <c r="X10801" s="1"/>
      <c r="Y10801" s="1"/>
      <c r="Z10801" s="1"/>
      <c r="AA10801" s="1"/>
      <c r="AB10801" s="1"/>
      <c r="AC10801" s="1"/>
      <c r="AD10801" s="1"/>
      <c r="AE10801" s="1"/>
      <c r="AF10801" s="1"/>
      <c r="AG10801" s="1"/>
      <c r="AH10801" s="1"/>
    </row>
    <row r="10802" ht="12.75" hidden="1" customHeight="1" outlineLevel="1">
      <c r="A10802" s="202">
        <v>43481.0</v>
      </c>
      <c r="B10802" s="985" t="s">
        <v>347</v>
      </c>
      <c r="C10802" s="94" t="s">
        <v>1088</v>
      </c>
      <c r="D10802" s="94">
        <v>5.0</v>
      </c>
      <c r="E10802" s="94">
        <v>2538.78</v>
      </c>
      <c r="F10802" s="1003">
        <v>0.663587962962963</v>
      </c>
      <c r="G10802" s="1004" t="s">
        <v>453</v>
      </c>
      <c r="H10802" s="987">
        <v>1.17</v>
      </c>
      <c r="I10802" s="988" t="s">
        <v>3145</v>
      </c>
      <c r="J10802" s="67">
        <f t="shared" si="605"/>
        <v>12692.73</v>
      </c>
      <c r="K10802" s="1030">
        <f>J10802+J10655</f>
        <v>766.7855</v>
      </c>
      <c r="L10802" s="70"/>
      <c r="M10802" s="79"/>
      <c r="N10802" s="1"/>
      <c r="O10802" s="1"/>
      <c r="P10802" s="1"/>
      <c r="Q10802" s="1"/>
      <c r="R10802" s="1"/>
      <c r="S10802" s="1"/>
      <c r="T10802" s="1"/>
      <c r="U10802" s="1"/>
      <c r="V10802" s="1"/>
      <c r="W10802" s="1"/>
      <c r="X10802" s="1"/>
      <c r="Y10802" s="1"/>
      <c r="Z10802" s="1"/>
      <c r="AA10802" s="1"/>
      <c r="AB10802" s="1"/>
      <c r="AC10802" s="1"/>
      <c r="AD10802" s="1"/>
      <c r="AE10802" s="1"/>
      <c r="AF10802" s="1"/>
      <c r="AG10802" s="1"/>
      <c r="AH10802" s="1"/>
    </row>
    <row r="10803" ht="12.75" hidden="1" customHeight="1" outlineLevel="1">
      <c r="A10803" s="202">
        <v>43481.0</v>
      </c>
      <c r="B10803" s="985" t="s">
        <v>347</v>
      </c>
      <c r="C10803" s="94" t="s">
        <v>1061</v>
      </c>
      <c r="D10803" s="94">
        <v>200.0</v>
      </c>
      <c r="E10803" s="94">
        <v>45.341</v>
      </c>
      <c r="F10803" s="1003">
        <v>0.6636342592592592</v>
      </c>
      <c r="G10803" s="1004" t="s">
        <v>453</v>
      </c>
      <c r="H10803" s="987">
        <v>1.14</v>
      </c>
      <c r="I10803" s="988" t="s">
        <v>3145</v>
      </c>
      <c r="J10803" s="67">
        <f t="shared" si="605"/>
        <v>9067.06</v>
      </c>
      <c r="K10803" s="1"/>
      <c r="L10803" s="70"/>
      <c r="M10803" s="79"/>
      <c r="N10803" s="1"/>
      <c r="O10803" s="1"/>
      <c r="P10803" s="1"/>
      <c r="Q10803" s="1"/>
      <c r="R10803" s="1"/>
      <c r="S10803" s="1"/>
      <c r="T10803" s="1"/>
      <c r="U10803" s="1"/>
      <c r="V10803" s="1"/>
      <c r="W10803" s="1"/>
      <c r="X10803" s="1"/>
      <c r="Y10803" s="1"/>
      <c r="Z10803" s="1"/>
      <c r="AA10803" s="1"/>
      <c r="AB10803" s="1"/>
      <c r="AC10803" s="1"/>
      <c r="AD10803" s="1"/>
      <c r="AE10803" s="1"/>
      <c r="AF10803" s="1"/>
      <c r="AG10803" s="1"/>
      <c r="AH10803" s="1"/>
    </row>
    <row r="10804" ht="12.75" hidden="1" customHeight="1" outlineLevel="1">
      <c r="A10804" s="202">
        <v>43481.0</v>
      </c>
      <c r="B10804" s="985" t="s">
        <v>347</v>
      </c>
      <c r="C10804" s="94" t="s">
        <v>381</v>
      </c>
      <c r="D10804" s="94">
        <v>50.0</v>
      </c>
      <c r="E10804" s="94">
        <v>147.59</v>
      </c>
      <c r="F10804" s="1003">
        <v>0.6642939814814814</v>
      </c>
      <c r="G10804" s="1004" t="s">
        <v>453</v>
      </c>
      <c r="H10804" s="987">
        <v>1.1</v>
      </c>
      <c r="I10804" s="988" t="s">
        <v>3145</v>
      </c>
      <c r="J10804" s="67">
        <f t="shared" si="605"/>
        <v>7378.4</v>
      </c>
      <c r="K10804" s="1"/>
      <c r="L10804" s="70"/>
      <c r="M10804" s="79"/>
      <c r="N10804" s="1"/>
      <c r="O10804" s="1"/>
      <c r="P10804" s="1"/>
      <c r="Q10804" s="1"/>
      <c r="R10804" s="1"/>
      <c r="S10804" s="1"/>
      <c r="T10804" s="1"/>
      <c r="U10804" s="1"/>
      <c r="V10804" s="1"/>
      <c r="W10804" s="1"/>
      <c r="X10804" s="1"/>
      <c r="Y10804" s="1"/>
      <c r="Z10804" s="1"/>
      <c r="AA10804" s="1"/>
      <c r="AB10804" s="1"/>
      <c r="AC10804" s="1"/>
      <c r="AD10804" s="1"/>
      <c r="AE10804" s="1"/>
      <c r="AF10804" s="1"/>
      <c r="AG10804" s="1"/>
      <c r="AH10804" s="1"/>
    </row>
    <row r="10805" ht="12.75" hidden="1" customHeight="1" outlineLevel="1">
      <c r="A10805" s="202">
        <v>43481.0</v>
      </c>
      <c r="B10805" s="985" t="s">
        <v>347</v>
      </c>
      <c r="C10805" s="94" t="s">
        <v>1131</v>
      </c>
      <c r="D10805" s="94">
        <v>150.0</v>
      </c>
      <c r="E10805" s="94">
        <v>63.8816</v>
      </c>
      <c r="F10805" s="1003">
        <v>0.6648611111111111</v>
      </c>
      <c r="G10805" s="1004" t="s">
        <v>453</v>
      </c>
      <c r="H10805" s="987">
        <v>1.14</v>
      </c>
      <c r="I10805" s="988" t="s">
        <v>3145</v>
      </c>
      <c r="J10805" s="67">
        <f t="shared" si="605"/>
        <v>9581.1</v>
      </c>
      <c r="K10805" s="1030">
        <f>J10805+J10787/2</f>
        <v>-17.925</v>
      </c>
      <c r="L10805" s="70"/>
      <c r="M10805" s="79"/>
      <c r="N10805" s="1"/>
      <c r="O10805" s="1"/>
      <c r="P10805" s="1"/>
      <c r="Q10805" s="1"/>
      <c r="R10805" s="1"/>
      <c r="S10805" s="1"/>
      <c r="T10805" s="1"/>
      <c r="U10805" s="1"/>
      <c r="V10805" s="1"/>
      <c r="W10805" s="1"/>
      <c r="X10805" s="1"/>
      <c r="Y10805" s="1"/>
      <c r="Z10805" s="1"/>
      <c r="AA10805" s="1"/>
      <c r="AB10805" s="1"/>
      <c r="AC10805" s="1"/>
      <c r="AD10805" s="1"/>
      <c r="AE10805" s="1"/>
      <c r="AF10805" s="1"/>
      <c r="AG10805" s="1"/>
      <c r="AH10805" s="1"/>
    </row>
    <row r="10806" ht="12.75" hidden="1" customHeight="1" outlineLevel="1">
      <c r="A10806" s="202">
        <v>43481.0</v>
      </c>
      <c r="B10806" s="985" t="s">
        <v>347</v>
      </c>
      <c r="C10806" s="94" t="s">
        <v>1158</v>
      </c>
      <c r="D10806" s="94">
        <v>400.0</v>
      </c>
      <c r="E10806" s="94">
        <v>47.483</v>
      </c>
      <c r="F10806" s="1003">
        <v>0.6654050925925926</v>
      </c>
      <c r="G10806" s="1004" t="s">
        <v>453</v>
      </c>
      <c r="H10806" s="987">
        <v>2.29</v>
      </c>
      <c r="I10806" s="988" t="s">
        <v>3145</v>
      </c>
      <c r="J10806" s="67">
        <f t="shared" si="605"/>
        <v>18990.91</v>
      </c>
      <c r="K10806" s="1"/>
      <c r="L10806" s="70"/>
      <c r="M10806" s="79"/>
      <c r="N10806" s="1"/>
      <c r="O10806" s="1"/>
      <c r="P10806" s="1"/>
      <c r="Q10806" s="1"/>
      <c r="R10806" s="1"/>
      <c r="S10806" s="1"/>
      <c r="T10806" s="1"/>
      <c r="U10806" s="1"/>
      <c r="V10806" s="1"/>
      <c r="W10806" s="1"/>
      <c r="X10806" s="1"/>
      <c r="Y10806" s="1"/>
      <c r="Z10806" s="1"/>
      <c r="AA10806" s="1"/>
      <c r="AB10806" s="1"/>
      <c r="AC10806" s="1"/>
      <c r="AD10806" s="1"/>
      <c r="AE10806" s="1"/>
      <c r="AF10806" s="1"/>
      <c r="AG10806" s="1"/>
      <c r="AH10806" s="1"/>
    </row>
    <row r="10807" ht="12.75" hidden="1" customHeight="1" outlineLevel="1">
      <c r="A10807" s="202">
        <v>43481.0</v>
      </c>
      <c r="B10807" s="985" t="s">
        <v>347</v>
      </c>
      <c r="C10807" s="94" t="s">
        <v>1061</v>
      </c>
      <c r="D10807" s="94">
        <v>200.0</v>
      </c>
      <c r="E10807" s="94">
        <v>45.3403</v>
      </c>
      <c r="F10807" s="1003">
        <v>0.6663773148148148</v>
      </c>
      <c r="G10807" s="1004" t="s">
        <v>453</v>
      </c>
      <c r="H10807" s="987">
        <v>1.14</v>
      </c>
      <c r="I10807" s="988" t="s">
        <v>3145</v>
      </c>
      <c r="J10807" s="67">
        <f t="shared" si="605"/>
        <v>9066.92</v>
      </c>
      <c r="K10807" s="1"/>
      <c r="L10807" s="70"/>
      <c r="M10807" s="79"/>
      <c r="N10807" s="1"/>
      <c r="O10807" s="1"/>
      <c r="P10807" s="1"/>
      <c r="Q10807" s="1"/>
      <c r="R10807" s="1"/>
      <c r="S10807" s="1"/>
      <c r="T10807" s="1"/>
      <c r="U10807" s="1"/>
      <c r="V10807" s="1"/>
      <c r="W10807" s="1"/>
      <c r="X10807" s="1"/>
      <c r="Y10807" s="1"/>
      <c r="Z10807" s="1"/>
      <c r="AA10807" s="1"/>
      <c r="AB10807" s="1"/>
      <c r="AC10807" s="1"/>
      <c r="AD10807" s="1"/>
      <c r="AE10807" s="1"/>
      <c r="AF10807" s="1"/>
      <c r="AG10807" s="1"/>
      <c r="AH10807" s="1"/>
    </row>
    <row r="10808" ht="12.75" hidden="1" customHeight="1" outlineLevel="1">
      <c r="A10808" s="197">
        <v>43481.0</v>
      </c>
      <c r="B10808" s="992"/>
      <c r="C10808" s="32" t="s">
        <v>947</v>
      </c>
      <c r="D10808" s="1"/>
      <c r="E10808" s="94" t="s">
        <v>948</v>
      </c>
      <c r="F10808" s="1022" t="s">
        <v>3715</v>
      </c>
      <c r="G10808" s="87"/>
      <c r="H10808" s="199"/>
      <c r="I10808" s="1023">
        <v>1.0</v>
      </c>
      <c r="K10808" s="201" t="s">
        <v>3739</v>
      </c>
      <c r="L10808" s="77"/>
      <c r="M10808" s="79"/>
      <c r="N10808" s="1"/>
      <c r="O10808" s="1"/>
      <c r="P10808" s="1"/>
      <c r="Q10808" s="1"/>
      <c r="R10808" s="1"/>
      <c r="S10808" s="1"/>
      <c r="T10808" s="1"/>
      <c r="U10808" s="1"/>
      <c r="V10808" s="1"/>
      <c r="W10808" s="1"/>
      <c r="X10808" s="1"/>
      <c r="Y10808" s="1"/>
      <c r="Z10808" s="1"/>
      <c r="AA10808" s="1"/>
      <c r="AB10808" s="1"/>
      <c r="AC10808" s="1"/>
      <c r="AD10808" s="1"/>
      <c r="AE10808" s="1"/>
      <c r="AF10808" s="1"/>
      <c r="AG10808" s="1"/>
      <c r="AH10808" s="1"/>
    </row>
    <row r="10809" ht="12.75" hidden="1" customHeight="1" outlineLevel="1">
      <c r="A10809" s="202">
        <v>43481.0</v>
      </c>
      <c r="B10809" s="992"/>
      <c r="C10809" s="32" t="s">
        <v>952</v>
      </c>
      <c r="D10809" s="1"/>
      <c r="F10809" s="231" t="s">
        <v>953</v>
      </c>
      <c r="G10809" s="1"/>
      <c r="H10809" s="68"/>
      <c r="I10809" s="1024">
        <v>0.0</v>
      </c>
      <c r="K10809" s="9" t="s">
        <v>3750</v>
      </c>
      <c r="L10809" s="77"/>
      <c r="M10809" s="79"/>
      <c r="N10809" s="1"/>
      <c r="O10809" s="1"/>
      <c r="P10809" s="1"/>
      <c r="Q10809" s="1"/>
      <c r="R10809" s="1"/>
      <c r="S10809" s="1"/>
      <c r="T10809" s="1"/>
      <c r="U10809" s="1"/>
      <c r="V10809" s="1"/>
      <c r="W10809" s="1"/>
      <c r="X10809" s="1"/>
      <c r="Y10809" s="1"/>
      <c r="Z10809" s="1"/>
      <c r="AA10809" s="1"/>
      <c r="AB10809" s="1"/>
      <c r="AC10809" s="1"/>
      <c r="AD10809" s="1"/>
      <c r="AE10809" s="1"/>
      <c r="AF10809" s="1"/>
      <c r="AG10809" s="1"/>
      <c r="AH10809" s="1"/>
    </row>
    <row r="10810" ht="12.75" hidden="1" customHeight="1" outlineLevel="1">
      <c r="A10810" s="202">
        <v>43481.0</v>
      </c>
      <c r="B10810" s="992"/>
      <c r="C10810" s="32" t="s">
        <v>955</v>
      </c>
      <c r="D10810" s="1"/>
      <c r="F10810" s="231" t="s">
        <v>3718</v>
      </c>
      <c r="G10810" s="1"/>
      <c r="H10810" s="68"/>
      <c r="I10810" s="1024">
        <v>0.0</v>
      </c>
      <c r="K10810" s="9" t="s">
        <v>3751</v>
      </c>
      <c r="L10810" s="77"/>
      <c r="M10810" s="79"/>
      <c r="N10810" s="1"/>
      <c r="O10810" s="1"/>
      <c r="P10810" s="1"/>
      <c r="Q10810" s="1"/>
      <c r="R10810" s="1"/>
      <c r="S10810" s="1"/>
      <c r="T10810" s="1"/>
      <c r="U10810" s="1"/>
      <c r="V10810" s="1"/>
      <c r="W10810" s="1"/>
      <c r="X10810" s="1"/>
      <c r="Y10810" s="1"/>
      <c r="Z10810" s="1"/>
      <c r="AA10810" s="1"/>
      <c r="AB10810" s="1"/>
      <c r="AC10810" s="1"/>
      <c r="AD10810" s="1"/>
      <c r="AE10810" s="1"/>
      <c r="AF10810" s="1"/>
      <c r="AG10810" s="1"/>
      <c r="AH10810" s="1"/>
    </row>
    <row r="10811" ht="12.75" hidden="1" customHeight="1" outlineLevel="1">
      <c r="A10811" s="202">
        <v>43481.0</v>
      </c>
      <c r="B10811" s="992"/>
      <c r="C10811" s="32" t="s">
        <v>958</v>
      </c>
      <c r="D10811" s="1"/>
      <c r="F10811" s="231" t="s">
        <v>3720</v>
      </c>
      <c r="G10811" s="1"/>
      <c r="H10811" s="68"/>
      <c r="I10811" s="1024">
        <v>1.0</v>
      </c>
      <c r="K10811" s="9" t="s">
        <v>3752</v>
      </c>
      <c r="L10811" s="77"/>
      <c r="M10811" s="79"/>
      <c r="N10811" s="1"/>
      <c r="O10811" s="1"/>
      <c r="P10811" s="1"/>
      <c r="Q10811" s="1"/>
      <c r="R10811" s="1"/>
      <c r="S10811" s="1"/>
      <c r="T10811" s="1"/>
      <c r="U10811" s="1"/>
      <c r="V10811" s="1"/>
      <c r="W10811" s="1"/>
      <c r="X10811" s="1"/>
      <c r="Y10811" s="1"/>
      <c r="Z10811" s="1"/>
      <c r="AA10811" s="1"/>
      <c r="AB10811" s="1"/>
      <c r="AC10811" s="1"/>
      <c r="AD10811" s="1"/>
      <c r="AE10811" s="1"/>
      <c r="AF10811" s="1"/>
      <c r="AG10811" s="1"/>
      <c r="AH10811" s="1"/>
    </row>
    <row r="10812" ht="12.75" hidden="1" customHeight="1" outlineLevel="1">
      <c r="A10812" s="202">
        <v>43481.0</v>
      </c>
      <c r="B10812" s="992"/>
      <c r="C10812" s="32" t="s">
        <v>961</v>
      </c>
      <c r="D10812" s="1"/>
      <c r="F10812" s="245" t="s">
        <v>3721</v>
      </c>
      <c r="G10812" s="247"/>
      <c r="H10812" s="1025"/>
      <c r="I10812" s="1026">
        <v>2.0</v>
      </c>
      <c r="K10812" s="9" t="s">
        <v>964</v>
      </c>
      <c r="L10812" s="77"/>
      <c r="M10812" s="79"/>
      <c r="N10812" s="1"/>
      <c r="O10812" s="1"/>
      <c r="P10812" s="1"/>
      <c r="Q10812" s="1"/>
      <c r="R10812" s="1"/>
      <c r="S10812" s="1"/>
      <c r="T10812" s="1"/>
      <c r="U10812" s="1"/>
      <c r="V10812" s="1"/>
      <c r="W10812" s="1"/>
      <c r="X10812" s="1"/>
      <c r="Y10812" s="1"/>
      <c r="Z10812" s="1"/>
      <c r="AA10812" s="1"/>
      <c r="AB10812" s="1"/>
      <c r="AC10812" s="1"/>
      <c r="AD10812" s="1"/>
      <c r="AE10812" s="1"/>
      <c r="AF10812" s="1"/>
      <c r="AG10812" s="1"/>
      <c r="AH10812" s="1"/>
    </row>
    <row r="10813" ht="12.75" hidden="1" customHeight="1" outlineLevel="1">
      <c r="A10813" s="202">
        <v>43483.0</v>
      </c>
      <c r="B10813" s="985" t="s">
        <v>343</v>
      </c>
      <c r="C10813" s="985" t="s">
        <v>1056</v>
      </c>
      <c r="D10813" s="985">
        <v>60.0</v>
      </c>
      <c r="E10813" s="985">
        <v>349.55</v>
      </c>
      <c r="F10813" s="1027">
        <v>0.39788194444444447</v>
      </c>
      <c r="G10813" s="1028" t="s">
        <v>453</v>
      </c>
      <c r="H10813" s="937">
        <v>1.0</v>
      </c>
      <c r="I10813" s="1029" t="s">
        <v>3145</v>
      </c>
      <c r="J10813" s="67"/>
      <c r="K10813" s="1"/>
      <c r="L10813" s="70"/>
      <c r="M10813" s="79"/>
      <c r="N10813" s="1"/>
      <c r="O10813" s="1"/>
      <c r="P10813" s="1"/>
      <c r="Q10813" s="1"/>
      <c r="R10813" s="1"/>
      <c r="S10813" s="1"/>
      <c r="T10813" s="1"/>
      <c r="U10813" s="1"/>
      <c r="V10813" s="1"/>
      <c r="W10813" s="1"/>
      <c r="X10813" s="1"/>
      <c r="Y10813" s="1"/>
      <c r="Z10813" s="1"/>
      <c r="AA10813" s="1"/>
      <c r="AB10813" s="1"/>
      <c r="AC10813" s="1"/>
      <c r="AD10813" s="1"/>
      <c r="AE10813" s="1"/>
      <c r="AF10813" s="1"/>
      <c r="AG10813" s="1"/>
      <c r="AH10813" s="1"/>
    </row>
    <row r="10814" ht="12.75" hidden="1" customHeight="1" outlineLevel="1">
      <c r="A10814" s="202">
        <v>43483.0</v>
      </c>
      <c r="B10814" s="985" t="s">
        <v>343</v>
      </c>
      <c r="C10814" s="985" t="s">
        <v>1082</v>
      </c>
      <c r="D10814" s="985">
        <v>20.0</v>
      </c>
      <c r="E10814" s="985">
        <v>855.26</v>
      </c>
      <c r="F10814" s="1027">
        <v>0.39998842592592593</v>
      </c>
      <c r="G10814" s="1028" t="s">
        <v>453</v>
      </c>
      <c r="H10814" s="937">
        <v>1.0</v>
      </c>
      <c r="I10814" s="1029" t="s">
        <v>3145</v>
      </c>
      <c r="J10814" s="67"/>
      <c r="K10814" s="1"/>
      <c r="L10814" s="70"/>
      <c r="M10814" s="79"/>
      <c r="N10814" s="1"/>
      <c r="O10814" s="1"/>
      <c r="P10814" s="1"/>
      <c r="Q10814" s="1"/>
      <c r="R10814" s="1"/>
      <c r="S10814" s="1"/>
      <c r="T10814" s="1"/>
      <c r="U10814" s="1"/>
      <c r="V10814" s="1"/>
      <c r="W10814" s="1"/>
      <c r="X10814" s="1"/>
      <c r="Y10814" s="1"/>
      <c r="Z10814" s="1"/>
      <c r="AA10814" s="1"/>
      <c r="AB10814" s="1"/>
      <c r="AC10814" s="1"/>
      <c r="AD10814" s="1"/>
      <c r="AE10814" s="1"/>
      <c r="AF10814" s="1"/>
      <c r="AG10814" s="1"/>
      <c r="AH10814" s="1"/>
    </row>
    <row r="10815" ht="12.75" hidden="1" customHeight="1" outlineLevel="1">
      <c r="A10815" s="202">
        <v>43483.0</v>
      </c>
      <c r="B10815" s="985" t="s">
        <v>347</v>
      </c>
      <c r="C10815" s="985" t="s">
        <v>1088</v>
      </c>
      <c r="D10815" s="985">
        <v>5.0</v>
      </c>
      <c r="E10815" s="985">
        <v>2490.1</v>
      </c>
      <c r="F10815" s="1027">
        <v>0.662337962962963</v>
      </c>
      <c r="G10815" s="1028" t="s">
        <v>453</v>
      </c>
      <c r="H10815" s="937">
        <v>1.16</v>
      </c>
      <c r="I10815" s="1029" t="s">
        <v>3145</v>
      </c>
      <c r="J10815" s="67">
        <f>IF(B10815="SLD",D10815*E10815,-D10815*E10815)-H10815</f>
        <v>12449.34</v>
      </c>
      <c r="K10815" s="1030">
        <f>J10815+J10770</f>
        <v>193.64</v>
      </c>
      <c r="L10815" s="70"/>
      <c r="M10815" s="79"/>
      <c r="N10815" s="1"/>
      <c r="O10815" s="1"/>
      <c r="P10815" s="1"/>
      <c r="Q10815" s="1"/>
      <c r="R10815" s="1"/>
      <c r="S10815" s="1"/>
      <c r="T10815" s="1"/>
      <c r="U10815" s="1"/>
      <c r="V10815" s="1"/>
      <c r="W10815" s="1"/>
      <c r="X10815" s="1"/>
      <c r="Y10815" s="1"/>
      <c r="Z10815" s="1"/>
      <c r="AA10815" s="1"/>
      <c r="AB10815" s="1"/>
      <c r="AC10815" s="1"/>
      <c r="AD10815" s="1"/>
      <c r="AE10815" s="1"/>
      <c r="AF10815" s="1"/>
      <c r="AG10815" s="1"/>
      <c r="AH10815" s="1"/>
    </row>
    <row r="10816" ht="12.75" hidden="1" customHeight="1" outlineLevel="1">
      <c r="A10816" s="202">
        <v>43483.0</v>
      </c>
      <c r="B10816" s="985" t="s">
        <v>347</v>
      </c>
      <c r="C10816" s="985" t="s">
        <v>1158</v>
      </c>
      <c r="D10816" s="985">
        <v>450.0</v>
      </c>
      <c r="E10816" s="985">
        <v>48.08</v>
      </c>
      <c r="F10816" s="1027">
        <v>0.6647569444444444</v>
      </c>
      <c r="G10816" s="1028" t="s">
        <v>453</v>
      </c>
      <c r="H10816" s="937">
        <v>2.58</v>
      </c>
      <c r="I10816" s="1029" t="s">
        <v>3145</v>
      </c>
      <c r="J10816" s="67"/>
      <c r="K10816" s="1"/>
      <c r="L10816" s="70"/>
      <c r="M10816" s="79"/>
      <c r="N10816" s="1"/>
      <c r="O10816" s="1"/>
      <c r="P10816" s="1"/>
      <c r="Q10816" s="1"/>
      <c r="R10816" s="1"/>
      <c r="S10816" s="1"/>
      <c r="T10816" s="1"/>
      <c r="U10816" s="1"/>
      <c r="V10816" s="1"/>
      <c r="W10816" s="1"/>
      <c r="X10816" s="1"/>
      <c r="Y10816" s="1"/>
      <c r="Z10816" s="1"/>
      <c r="AA10816" s="1"/>
      <c r="AB10816" s="1"/>
      <c r="AC10816" s="1"/>
      <c r="AD10816" s="1"/>
      <c r="AE10816" s="1"/>
      <c r="AF10816" s="1"/>
      <c r="AG10816" s="1"/>
      <c r="AH10816" s="1"/>
    </row>
    <row r="10817" ht="12.75" hidden="1" customHeight="1" outlineLevel="1">
      <c r="A10817" s="202">
        <v>43487.0</v>
      </c>
      <c r="B10817" s="985" t="s">
        <v>347</v>
      </c>
      <c r="C10817" s="94" t="s">
        <v>1164</v>
      </c>
      <c r="D10817" s="94">
        <v>400.0</v>
      </c>
      <c r="E10817" s="94">
        <v>50.38</v>
      </c>
      <c r="F10817" s="1003">
        <v>0.6571643518518518</v>
      </c>
      <c r="G10817" s="1004" t="s">
        <v>453</v>
      </c>
      <c r="H10817" s="987">
        <v>2.31</v>
      </c>
      <c r="I10817" s="988" t="s">
        <v>3145</v>
      </c>
      <c r="J10817" s="67">
        <f t="shared" ref="J10817:J10818" si="606">IF(B10817="SLD",D10817*E10817,-D10817*E10817)-H10817</f>
        <v>20149.69</v>
      </c>
      <c r="K10817" s="1"/>
      <c r="L10817" s="70"/>
      <c r="M10817" s="79"/>
      <c r="N10817" s="1"/>
      <c r="O10817" s="1"/>
      <c r="P10817" s="1"/>
      <c r="Q10817" s="1"/>
      <c r="R10817" s="1"/>
      <c r="S10817" s="1"/>
      <c r="T10817" s="1"/>
      <c r="U10817" s="1"/>
      <c r="V10817" s="1"/>
      <c r="W10817" s="1"/>
      <c r="X10817" s="1"/>
      <c r="Y10817" s="1"/>
      <c r="Z10817" s="1"/>
      <c r="AA10817" s="1"/>
      <c r="AB10817" s="1"/>
      <c r="AC10817" s="1"/>
      <c r="AD10817" s="1"/>
      <c r="AE10817" s="1"/>
      <c r="AF10817" s="1"/>
      <c r="AG10817" s="1"/>
      <c r="AH10817" s="1"/>
    </row>
    <row r="10818" ht="12.75" hidden="1" customHeight="1" outlineLevel="1">
      <c r="A10818" s="202">
        <v>43487.0</v>
      </c>
      <c r="B10818" s="985" t="s">
        <v>343</v>
      </c>
      <c r="C10818" s="94" t="s">
        <v>3385</v>
      </c>
      <c r="D10818" s="286">
        <v>1000.0</v>
      </c>
      <c r="E10818" s="94">
        <v>14.98</v>
      </c>
      <c r="F10818" s="1003">
        <v>0.6581134259259259</v>
      </c>
      <c r="G10818" s="1004" t="s">
        <v>453</v>
      </c>
      <c r="H10818" s="987">
        <v>5.0</v>
      </c>
      <c r="I10818" s="988" t="s">
        <v>3145</v>
      </c>
      <c r="J10818" s="67">
        <f t="shared" si="606"/>
        <v>-14985</v>
      </c>
      <c r="K10818" s="1"/>
      <c r="L10818" s="70"/>
      <c r="M10818" s="79"/>
      <c r="N10818" s="1"/>
      <c r="O10818" s="1"/>
      <c r="P10818" s="1"/>
      <c r="Q10818" s="1"/>
      <c r="R10818" s="1"/>
      <c r="S10818" s="1"/>
      <c r="T10818" s="1"/>
      <c r="U10818" s="1"/>
      <c r="V10818" s="1"/>
      <c r="W10818" s="1"/>
      <c r="X10818" s="1"/>
      <c r="Y10818" s="1"/>
      <c r="Z10818" s="1"/>
      <c r="AA10818" s="1"/>
      <c r="AB10818" s="1"/>
      <c r="AC10818" s="1"/>
      <c r="AD10818" s="1"/>
      <c r="AE10818" s="1"/>
      <c r="AF10818" s="1"/>
      <c r="AG10818" s="1"/>
      <c r="AH10818" s="1"/>
    </row>
    <row r="10819" ht="12.75" hidden="1" customHeight="1" outlineLevel="1">
      <c r="A10819" s="197">
        <v>43487.0</v>
      </c>
      <c r="B10819" s="992"/>
      <c r="C10819" s="32" t="s">
        <v>947</v>
      </c>
      <c r="D10819" s="1"/>
      <c r="E10819" s="94" t="s">
        <v>948</v>
      </c>
      <c r="F10819" s="1022" t="s">
        <v>3715</v>
      </c>
      <c r="G10819" s="87"/>
      <c r="H10819" s="199"/>
      <c r="I10819" s="1023">
        <v>1.0</v>
      </c>
      <c r="K10819" s="201" t="s">
        <v>3753</v>
      </c>
      <c r="L10819" s="77"/>
      <c r="M10819" s="79"/>
      <c r="N10819" s="1"/>
      <c r="O10819" s="1"/>
      <c r="P10819" s="1"/>
      <c r="Q10819" s="1"/>
      <c r="R10819" s="1"/>
      <c r="S10819" s="1"/>
      <c r="T10819" s="1"/>
      <c r="U10819" s="1"/>
      <c r="V10819" s="1"/>
      <c r="W10819" s="1"/>
      <c r="X10819" s="1"/>
      <c r="Y10819" s="1"/>
      <c r="Z10819" s="1"/>
      <c r="AA10819" s="1"/>
      <c r="AB10819" s="1"/>
      <c r="AC10819" s="1"/>
      <c r="AD10819" s="1"/>
      <c r="AE10819" s="1"/>
      <c r="AF10819" s="1"/>
      <c r="AG10819" s="1"/>
      <c r="AH10819" s="1"/>
    </row>
    <row r="10820" ht="12.75" hidden="1" customHeight="1" outlineLevel="1">
      <c r="A10820" s="202">
        <v>43487.0</v>
      </c>
      <c r="B10820" s="992"/>
      <c r="C10820" s="32" t="s">
        <v>952</v>
      </c>
      <c r="D10820" s="1"/>
      <c r="F10820" s="231" t="s">
        <v>953</v>
      </c>
      <c r="G10820" s="1"/>
      <c r="H10820" s="68"/>
      <c r="I10820" s="1024">
        <v>0.0</v>
      </c>
      <c r="K10820" s="9" t="s">
        <v>3754</v>
      </c>
      <c r="L10820" s="77"/>
      <c r="M10820" s="79"/>
      <c r="N10820" s="1"/>
      <c r="O10820" s="1"/>
      <c r="P10820" s="1"/>
      <c r="Q10820" s="1"/>
      <c r="R10820" s="1"/>
      <c r="S10820" s="1"/>
      <c r="T10820" s="1"/>
      <c r="U10820" s="1"/>
      <c r="V10820" s="1"/>
      <c r="W10820" s="1"/>
      <c r="X10820" s="1"/>
      <c r="Y10820" s="1"/>
      <c r="Z10820" s="1"/>
      <c r="AA10820" s="1"/>
      <c r="AB10820" s="1"/>
      <c r="AC10820" s="1"/>
      <c r="AD10820" s="1"/>
      <c r="AE10820" s="1"/>
      <c r="AF10820" s="1"/>
      <c r="AG10820" s="1"/>
      <c r="AH10820" s="1"/>
    </row>
    <row r="10821" ht="12.75" hidden="1" customHeight="1" outlineLevel="1">
      <c r="A10821" s="202">
        <v>43487.0</v>
      </c>
      <c r="B10821" s="992"/>
      <c r="C10821" s="32" t="s">
        <v>955</v>
      </c>
      <c r="D10821" s="1"/>
      <c r="F10821" s="231" t="s">
        <v>3718</v>
      </c>
      <c r="G10821" s="1"/>
      <c r="H10821" s="68"/>
      <c r="I10821" s="1024">
        <v>0.0</v>
      </c>
      <c r="K10821" s="9" t="s">
        <v>3755</v>
      </c>
      <c r="L10821" s="77"/>
      <c r="M10821" s="79"/>
      <c r="N10821" s="1"/>
      <c r="O10821" s="1"/>
      <c r="P10821" s="1"/>
      <c r="Q10821" s="1"/>
      <c r="R10821" s="1"/>
      <c r="S10821" s="1"/>
      <c r="T10821" s="1"/>
      <c r="U10821" s="1"/>
      <c r="V10821" s="1"/>
      <c r="W10821" s="1"/>
      <c r="X10821" s="1"/>
      <c r="Y10821" s="1"/>
      <c r="Z10821" s="1"/>
      <c r="AA10821" s="1"/>
      <c r="AB10821" s="1"/>
      <c r="AC10821" s="1"/>
      <c r="AD10821" s="1"/>
      <c r="AE10821" s="1"/>
      <c r="AF10821" s="1"/>
      <c r="AG10821" s="1"/>
      <c r="AH10821" s="1"/>
    </row>
    <row r="10822" ht="12.75" hidden="1" customHeight="1" outlineLevel="1">
      <c r="A10822" s="202">
        <v>43487.0</v>
      </c>
      <c r="B10822" s="992"/>
      <c r="C10822" s="32" t="s">
        <v>958</v>
      </c>
      <c r="D10822" s="1"/>
      <c r="F10822" s="231" t="s">
        <v>3720</v>
      </c>
      <c r="G10822" s="1"/>
      <c r="H10822" s="68"/>
      <c r="I10822" s="1024">
        <v>1.0</v>
      </c>
      <c r="K10822" s="9" t="s">
        <v>3756</v>
      </c>
      <c r="L10822" s="77"/>
      <c r="M10822" s="79"/>
      <c r="N10822" s="1"/>
      <c r="O10822" s="1"/>
      <c r="P10822" s="1"/>
      <c r="Q10822" s="1"/>
      <c r="R10822" s="1"/>
      <c r="S10822" s="1"/>
      <c r="T10822" s="1"/>
      <c r="U10822" s="1"/>
      <c r="V10822" s="1"/>
      <c r="W10822" s="1"/>
      <c r="X10822" s="1"/>
      <c r="Y10822" s="1"/>
      <c r="Z10822" s="1"/>
      <c r="AA10822" s="1"/>
      <c r="AB10822" s="1"/>
      <c r="AC10822" s="1"/>
      <c r="AD10822" s="1"/>
      <c r="AE10822" s="1"/>
      <c r="AF10822" s="1"/>
      <c r="AG10822" s="1"/>
      <c r="AH10822" s="1"/>
    </row>
    <row r="10823" ht="12.75" hidden="1" customHeight="1" outlineLevel="1">
      <c r="A10823" s="202">
        <v>43487.0</v>
      </c>
      <c r="B10823" s="992"/>
      <c r="C10823" s="32" t="s">
        <v>961</v>
      </c>
      <c r="D10823" s="1"/>
      <c r="F10823" s="245" t="s">
        <v>3721</v>
      </c>
      <c r="G10823" s="247"/>
      <c r="H10823" s="1025"/>
      <c r="I10823" s="1026">
        <v>2.0</v>
      </c>
      <c r="K10823" s="9" t="s">
        <v>964</v>
      </c>
      <c r="L10823" s="77"/>
      <c r="M10823" s="79"/>
      <c r="N10823" s="1"/>
      <c r="O10823" s="1"/>
      <c r="P10823" s="1"/>
      <c r="Q10823" s="1"/>
      <c r="R10823" s="1"/>
      <c r="S10823" s="1"/>
      <c r="T10823" s="1"/>
      <c r="U10823" s="1"/>
      <c r="V10823" s="1"/>
      <c r="W10823" s="1"/>
      <c r="X10823" s="1"/>
      <c r="Y10823" s="1"/>
      <c r="Z10823" s="1"/>
      <c r="AA10823" s="1"/>
      <c r="AB10823" s="1"/>
      <c r="AC10823" s="1"/>
      <c r="AD10823" s="1"/>
      <c r="AE10823" s="1"/>
      <c r="AF10823" s="1"/>
      <c r="AG10823" s="1"/>
      <c r="AH10823" s="1"/>
    </row>
    <row r="10824" ht="12.75" hidden="1" customHeight="1" outlineLevel="1">
      <c r="A10824" s="197">
        <v>43488.0</v>
      </c>
      <c r="B10824" s="992"/>
      <c r="C10824" s="32" t="s">
        <v>947</v>
      </c>
      <c r="D10824" s="1"/>
      <c r="E10824" s="94" t="s">
        <v>948</v>
      </c>
      <c r="F10824" s="1022" t="s">
        <v>3715</v>
      </c>
      <c r="G10824" s="87"/>
      <c r="H10824" s="199"/>
      <c r="I10824" s="1023">
        <v>1.0</v>
      </c>
      <c r="K10824" s="201" t="s">
        <v>3757</v>
      </c>
      <c r="L10824" s="77"/>
      <c r="M10824" s="79"/>
      <c r="N10824" s="1"/>
      <c r="O10824" s="1"/>
      <c r="P10824" s="1"/>
      <c r="Q10824" s="1"/>
      <c r="R10824" s="1"/>
      <c r="S10824" s="1"/>
      <c r="T10824" s="1"/>
      <c r="U10824" s="1"/>
      <c r="V10824" s="1"/>
      <c r="W10824" s="1"/>
      <c r="X10824" s="1"/>
      <c r="Y10824" s="1"/>
      <c r="Z10824" s="1"/>
      <c r="AA10824" s="1"/>
      <c r="AB10824" s="1"/>
      <c r="AC10824" s="1"/>
      <c r="AD10824" s="1"/>
      <c r="AE10824" s="1"/>
      <c r="AF10824" s="1"/>
      <c r="AG10824" s="1"/>
      <c r="AH10824" s="1"/>
    </row>
    <row r="10825" ht="12.75" hidden="1" customHeight="1" outlineLevel="1">
      <c r="A10825" s="202">
        <v>43488.0</v>
      </c>
      <c r="B10825" s="992"/>
      <c r="C10825" s="32" t="s">
        <v>952</v>
      </c>
      <c r="D10825" s="1"/>
      <c r="F10825" s="231" t="s">
        <v>953</v>
      </c>
      <c r="G10825" s="1"/>
      <c r="H10825" s="68"/>
      <c r="I10825" s="1024">
        <v>0.0</v>
      </c>
      <c r="K10825" s="9" t="s">
        <v>3758</v>
      </c>
      <c r="L10825" s="77"/>
      <c r="M10825" s="79"/>
      <c r="N10825" s="1"/>
      <c r="O10825" s="1"/>
      <c r="P10825" s="1"/>
      <c r="Q10825" s="1"/>
      <c r="R10825" s="1"/>
      <c r="S10825" s="1"/>
      <c r="T10825" s="1"/>
      <c r="U10825" s="1"/>
      <c r="V10825" s="1"/>
      <c r="W10825" s="1"/>
      <c r="X10825" s="1"/>
      <c r="Y10825" s="1"/>
      <c r="Z10825" s="1"/>
      <c r="AA10825" s="1"/>
      <c r="AB10825" s="1"/>
      <c r="AC10825" s="1"/>
      <c r="AD10825" s="1"/>
      <c r="AE10825" s="1"/>
      <c r="AF10825" s="1"/>
      <c r="AG10825" s="1"/>
      <c r="AH10825" s="1"/>
    </row>
    <row r="10826" ht="12.75" hidden="1" customHeight="1" outlineLevel="1">
      <c r="A10826" s="202">
        <v>43488.0</v>
      </c>
      <c r="B10826" s="992"/>
      <c r="C10826" s="32" t="s">
        <v>955</v>
      </c>
      <c r="D10826" s="1"/>
      <c r="F10826" s="231" t="s">
        <v>3718</v>
      </c>
      <c r="G10826" s="1"/>
      <c r="H10826" s="68"/>
      <c r="I10826" s="1024">
        <v>0.0</v>
      </c>
      <c r="K10826" s="9" t="s">
        <v>3755</v>
      </c>
      <c r="L10826" s="77"/>
      <c r="M10826" s="79"/>
      <c r="N10826" s="1"/>
      <c r="O10826" s="1"/>
      <c r="P10826" s="1"/>
      <c r="Q10826" s="1"/>
      <c r="R10826" s="1"/>
      <c r="S10826" s="1"/>
      <c r="T10826" s="1"/>
      <c r="U10826" s="1"/>
      <c r="V10826" s="1"/>
      <c r="W10826" s="1"/>
      <c r="X10826" s="1"/>
      <c r="Y10826" s="1"/>
      <c r="Z10826" s="1"/>
      <c r="AA10826" s="1"/>
      <c r="AB10826" s="1"/>
      <c r="AC10826" s="1"/>
      <c r="AD10826" s="1"/>
      <c r="AE10826" s="1"/>
      <c r="AF10826" s="1"/>
      <c r="AG10826" s="1"/>
      <c r="AH10826" s="1"/>
    </row>
    <row r="10827" ht="12.75" hidden="1" customHeight="1" outlineLevel="1">
      <c r="A10827" s="202">
        <v>43488.0</v>
      </c>
      <c r="B10827" s="992"/>
      <c r="C10827" s="32" t="s">
        <v>958</v>
      </c>
      <c r="D10827" s="1"/>
      <c r="F10827" s="231" t="s">
        <v>3720</v>
      </c>
      <c r="G10827" s="1"/>
      <c r="H10827" s="68"/>
      <c r="I10827" s="1024">
        <v>1.0</v>
      </c>
      <c r="K10827" s="9" t="s">
        <v>3756</v>
      </c>
      <c r="L10827" s="77"/>
      <c r="M10827" s="79"/>
      <c r="N10827" s="1"/>
      <c r="O10827" s="1"/>
      <c r="P10827" s="1"/>
      <c r="Q10827" s="1"/>
      <c r="R10827" s="1"/>
      <c r="S10827" s="1"/>
      <c r="T10827" s="1"/>
      <c r="U10827" s="1"/>
      <c r="V10827" s="1"/>
      <c r="W10827" s="1"/>
      <c r="X10827" s="1"/>
      <c r="Y10827" s="1"/>
      <c r="Z10827" s="1"/>
      <c r="AA10827" s="1"/>
      <c r="AB10827" s="1"/>
      <c r="AC10827" s="1"/>
      <c r="AD10827" s="1"/>
      <c r="AE10827" s="1"/>
      <c r="AF10827" s="1"/>
      <c r="AG10827" s="1"/>
      <c r="AH10827" s="1"/>
    </row>
    <row r="10828" ht="12.75" hidden="1" customHeight="1" outlineLevel="1">
      <c r="A10828" s="202">
        <v>43488.0</v>
      </c>
      <c r="B10828" s="992"/>
      <c r="C10828" s="32" t="s">
        <v>961</v>
      </c>
      <c r="D10828" s="1"/>
      <c r="F10828" s="245" t="s">
        <v>3721</v>
      </c>
      <c r="G10828" s="247"/>
      <c r="H10828" s="1025"/>
      <c r="I10828" s="1026">
        <v>2.0</v>
      </c>
      <c r="K10828" s="9" t="s">
        <v>964</v>
      </c>
      <c r="L10828" s="77"/>
      <c r="M10828" s="79"/>
      <c r="N10828" s="1"/>
      <c r="O10828" s="1"/>
      <c r="P10828" s="1"/>
      <c r="Q10828" s="1"/>
      <c r="R10828" s="1"/>
      <c r="S10828" s="1"/>
      <c r="T10828" s="1"/>
      <c r="U10828" s="1"/>
      <c r="V10828" s="1"/>
      <c r="W10828" s="1"/>
      <c r="X10828" s="1"/>
      <c r="Y10828" s="1"/>
      <c r="Z10828" s="1"/>
      <c r="AA10828" s="1"/>
      <c r="AB10828" s="1"/>
      <c r="AC10828" s="1"/>
      <c r="AD10828" s="1"/>
      <c r="AE10828" s="1"/>
      <c r="AF10828" s="1"/>
      <c r="AG10828" s="1"/>
      <c r="AH10828" s="1"/>
    </row>
    <row r="10829" ht="12.75" hidden="1" customHeight="1" outlineLevel="1">
      <c r="A10829" s="122">
        <v>43489.0</v>
      </c>
      <c r="B10829" s="974" t="s">
        <v>347</v>
      </c>
      <c r="C10829" s="32" t="s">
        <v>911</v>
      </c>
      <c r="D10829" s="9">
        <v>100.0</v>
      </c>
      <c r="E10829" s="9">
        <v>85.9001</v>
      </c>
      <c r="F10829" s="709">
        <v>0.5446296296296296</v>
      </c>
      <c r="G10829" s="195" t="s">
        <v>453</v>
      </c>
      <c r="H10829" s="710">
        <v>1.12</v>
      </c>
      <c r="I10829" s="256" t="s">
        <v>3145</v>
      </c>
      <c r="J10829" s="67">
        <f t="shared" ref="J10829:J10838" si="607">IF(B10829="SLD",D10829*E10829,-D10829*E10829)-H10829</f>
        <v>8588.89</v>
      </c>
      <c r="K10829" s="1"/>
      <c r="L10829" s="70"/>
      <c r="M10829" s="79"/>
      <c r="N10829" s="1"/>
      <c r="O10829" s="1"/>
      <c r="P10829" s="1"/>
      <c r="Q10829" s="1"/>
      <c r="R10829" s="1"/>
      <c r="S10829" s="1"/>
      <c r="T10829" s="1"/>
      <c r="U10829" s="1"/>
      <c r="V10829" s="1"/>
      <c r="W10829" s="1"/>
      <c r="X10829" s="1"/>
      <c r="Y10829" s="1"/>
      <c r="Z10829" s="1"/>
      <c r="AA10829" s="1"/>
      <c r="AB10829" s="1"/>
      <c r="AC10829" s="1"/>
      <c r="AD10829" s="1"/>
      <c r="AE10829" s="1"/>
      <c r="AF10829" s="1"/>
      <c r="AG10829" s="1"/>
      <c r="AH10829" s="1"/>
    </row>
    <row r="10830" ht="12.75" hidden="1" customHeight="1" outlineLevel="1">
      <c r="A10830" s="122">
        <v>43489.0</v>
      </c>
      <c r="B10830" s="974" t="s">
        <v>347</v>
      </c>
      <c r="C10830" s="32" t="s">
        <v>1056</v>
      </c>
      <c r="D10830" s="9">
        <v>95.0</v>
      </c>
      <c r="E10830" s="9">
        <v>340.5768</v>
      </c>
      <c r="F10830" s="709">
        <v>0.5583680555555556</v>
      </c>
      <c r="G10830" s="195" t="s">
        <v>453</v>
      </c>
      <c r="H10830" s="710">
        <v>1.43</v>
      </c>
      <c r="I10830" s="256" t="s">
        <v>3145</v>
      </c>
      <c r="J10830" s="67">
        <f t="shared" si="607"/>
        <v>32353.366</v>
      </c>
      <c r="K10830" s="1"/>
      <c r="L10830" s="70"/>
      <c r="M10830" s="79"/>
      <c r="N10830" s="1"/>
      <c r="O10830" s="1"/>
      <c r="P10830" s="1"/>
      <c r="Q10830" s="1"/>
      <c r="R10830" s="1"/>
      <c r="S10830" s="1"/>
      <c r="T10830" s="1"/>
      <c r="U10830" s="1"/>
      <c r="V10830" s="1"/>
      <c r="W10830" s="1"/>
      <c r="X10830" s="1"/>
      <c r="Y10830" s="1"/>
      <c r="Z10830" s="1"/>
      <c r="AA10830" s="1"/>
      <c r="AB10830" s="1"/>
      <c r="AC10830" s="1"/>
      <c r="AD10830" s="1"/>
      <c r="AE10830" s="1"/>
      <c r="AF10830" s="1"/>
      <c r="AG10830" s="1"/>
      <c r="AH10830" s="1"/>
    </row>
    <row r="10831" ht="12.75" hidden="1" customHeight="1" outlineLevel="1">
      <c r="A10831" s="122">
        <v>43489.0</v>
      </c>
      <c r="B10831" s="974" t="s">
        <v>347</v>
      </c>
      <c r="C10831" s="32" t="s">
        <v>1082</v>
      </c>
      <c r="D10831" s="9">
        <v>30.0</v>
      </c>
      <c r="E10831" s="9">
        <v>814.68</v>
      </c>
      <c r="F10831" s="709">
        <v>0.5586574074074074</v>
      </c>
      <c r="G10831" s="195" t="s">
        <v>453</v>
      </c>
      <c r="H10831" s="710">
        <v>1.32</v>
      </c>
      <c r="I10831" s="256" t="s">
        <v>3145</v>
      </c>
      <c r="J10831" s="67">
        <f t="shared" si="607"/>
        <v>24439.08</v>
      </c>
      <c r="K10831" s="1"/>
      <c r="L10831" s="70"/>
      <c r="M10831" s="79"/>
      <c r="N10831" s="1"/>
      <c r="O10831" s="1"/>
      <c r="P10831" s="1"/>
      <c r="Q10831" s="1"/>
      <c r="R10831" s="1"/>
      <c r="S10831" s="1"/>
      <c r="T10831" s="1"/>
      <c r="U10831" s="1"/>
      <c r="V10831" s="1"/>
      <c r="W10831" s="1"/>
      <c r="X10831" s="1"/>
      <c r="Y10831" s="1"/>
      <c r="Z10831" s="1"/>
      <c r="AA10831" s="1"/>
      <c r="AB10831" s="1"/>
      <c r="AC10831" s="1"/>
      <c r="AD10831" s="1"/>
      <c r="AE10831" s="1"/>
      <c r="AF10831" s="1"/>
      <c r="AG10831" s="1"/>
      <c r="AH10831" s="1"/>
    </row>
    <row r="10832" ht="12.75" hidden="1" customHeight="1" outlineLevel="1">
      <c r="A10832" s="122">
        <v>43489.0</v>
      </c>
      <c r="B10832" s="974" t="s">
        <v>343</v>
      </c>
      <c r="C10832" s="32" t="s">
        <v>1131</v>
      </c>
      <c r="D10832" s="9">
        <v>150.0</v>
      </c>
      <c r="E10832" s="9">
        <v>65.197</v>
      </c>
      <c r="F10832" s="709">
        <v>0.6507638888888889</v>
      </c>
      <c r="G10832" s="195" t="s">
        <v>453</v>
      </c>
      <c r="H10832" s="710">
        <v>1.0</v>
      </c>
      <c r="I10832" s="256" t="s">
        <v>3145</v>
      </c>
      <c r="J10832" s="67">
        <f t="shared" si="607"/>
        <v>-9780.55</v>
      </c>
      <c r="K10832" s="1"/>
      <c r="L10832" s="70"/>
      <c r="M10832" s="79"/>
      <c r="N10832" s="1"/>
      <c r="O10832" s="1"/>
      <c r="P10832" s="1"/>
      <c r="Q10832" s="1"/>
      <c r="R10832" s="1"/>
      <c r="S10832" s="1"/>
      <c r="T10832" s="1"/>
      <c r="U10832" s="1"/>
      <c r="V10832" s="1"/>
      <c r="W10832" s="1"/>
      <c r="X10832" s="1"/>
      <c r="Y10832" s="1"/>
      <c r="Z10832" s="1"/>
      <c r="AA10832" s="1"/>
      <c r="AB10832" s="1"/>
      <c r="AC10832" s="1"/>
      <c r="AD10832" s="1"/>
      <c r="AE10832" s="1"/>
      <c r="AF10832" s="1"/>
      <c r="AG10832" s="1"/>
      <c r="AH10832" s="1"/>
    </row>
    <row r="10833" ht="12.75" hidden="1" customHeight="1" outlineLevel="1">
      <c r="A10833" s="122">
        <v>43489.0</v>
      </c>
      <c r="B10833" s="974" t="s">
        <v>343</v>
      </c>
      <c r="C10833" s="32" t="s">
        <v>1362</v>
      </c>
      <c r="D10833" s="9">
        <v>100.0</v>
      </c>
      <c r="E10833" s="9">
        <v>277.7273</v>
      </c>
      <c r="F10833" s="709">
        <v>0.6515509259259259</v>
      </c>
      <c r="G10833" s="195" t="s">
        <v>453</v>
      </c>
      <c r="H10833" s="710">
        <v>1.0</v>
      </c>
      <c r="I10833" s="256" t="s">
        <v>3145</v>
      </c>
      <c r="J10833" s="67">
        <f t="shared" si="607"/>
        <v>-27773.73</v>
      </c>
      <c r="K10833" s="1"/>
      <c r="L10833" s="70"/>
      <c r="M10833" s="79"/>
      <c r="N10833" s="1"/>
      <c r="O10833" s="1"/>
      <c r="P10833" s="1"/>
      <c r="Q10833" s="1"/>
      <c r="R10833" s="1"/>
      <c r="S10833" s="1"/>
      <c r="T10833" s="1"/>
      <c r="U10833" s="1"/>
      <c r="V10833" s="1"/>
      <c r="W10833" s="1"/>
      <c r="X10833" s="1"/>
      <c r="Y10833" s="1"/>
      <c r="Z10833" s="1"/>
      <c r="AA10833" s="1"/>
      <c r="AB10833" s="1"/>
      <c r="AC10833" s="1"/>
      <c r="AD10833" s="1"/>
      <c r="AE10833" s="1"/>
      <c r="AF10833" s="1"/>
      <c r="AG10833" s="1"/>
      <c r="AH10833" s="1"/>
    </row>
    <row r="10834" ht="12.75" hidden="1" customHeight="1" outlineLevel="1">
      <c r="A10834" s="122">
        <v>43489.0</v>
      </c>
      <c r="B10834" s="974" t="s">
        <v>343</v>
      </c>
      <c r="C10834" s="32" t="s">
        <v>1134</v>
      </c>
      <c r="D10834" s="9">
        <v>250.0</v>
      </c>
      <c r="E10834" s="9">
        <v>79.876</v>
      </c>
      <c r="F10834" s="709">
        <v>0.6521643518518518</v>
      </c>
      <c r="G10834" s="195" t="s">
        <v>453</v>
      </c>
      <c r="H10834" s="710">
        <v>1.25</v>
      </c>
      <c r="I10834" s="256" t="s">
        <v>3145</v>
      </c>
      <c r="J10834" s="67">
        <f t="shared" si="607"/>
        <v>-19970.25</v>
      </c>
      <c r="K10834" s="1"/>
      <c r="L10834" s="70"/>
      <c r="M10834" s="79"/>
      <c r="N10834" s="1"/>
      <c r="O10834" s="1"/>
      <c r="P10834" s="1"/>
      <c r="Q10834" s="1"/>
      <c r="R10834" s="1"/>
      <c r="S10834" s="1"/>
      <c r="T10834" s="1"/>
      <c r="U10834" s="1"/>
      <c r="V10834" s="1"/>
      <c r="W10834" s="1"/>
      <c r="X10834" s="1"/>
      <c r="Y10834" s="1"/>
      <c r="Z10834" s="1"/>
      <c r="AA10834" s="1"/>
      <c r="AB10834" s="1"/>
      <c r="AC10834" s="1"/>
      <c r="AD10834" s="1"/>
      <c r="AE10834" s="1"/>
      <c r="AF10834" s="1"/>
      <c r="AG10834" s="1"/>
      <c r="AH10834" s="1"/>
    </row>
    <row r="10835" ht="12.75" hidden="1" customHeight="1" outlineLevel="1">
      <c r="A10835" s="122">
        <v>43489.0</v>
      </c>
      <c r="B10835" s="974" t="s">
        <v>343</v>
      </c>
      <c r="C10835" s="32" t="s">
        <v>1177</v>
      </c>
      <c r="D10835" s="9">
        <v>10.0</v>
      </c>
      <c r="E10835" s="9">
        <v>1799.88</v>
      </c>
      <c r="F10835" s="709">
        <v>0.6526967592592593</v>
      </c>
      <c r="G10835" s="195" t="s">
        <v>453</v>
      </c>
      <c r="H10835" s="710">
        <v>1.0</v>
      </c>
      <c r="I10835" s="256" t="s">
        <v>3145</v>
      </c>
      <c r="J10835" s="67">
        <f t="shared" si="607"/>
        <v>-17999.8</v>
      </c>
      <c r="K10835" s="1"/>
      <c r="L10835" s="70"/>
      <c r="M10835" s="79"/>
      <c r="N10835" s="1"/>
      <c r="O10835" s="1"/>
      <c r="P10835" s="1"/>
      <c r="Q10835" s="1"/>
      <c r="R10835" s="1"/>
      <c r="S10835" s="1"/>
      <c r="T10835" s="1"/>
      <c r="U10835" s="1"/>
      <c r="V10835" s="1"/>
      <c r="W10835" s="1"/>
      <c r="X10835" s="1"/>
      <c r="Y10835" s="1"/>
      <c r="Z10835" s="1"/>
      <c r="AA10835" s="1"/>
      <c r="AB10835" s="1"/>
      <c r="AC10835" s="1"/>
      <c r="AD10835" s="1"/>
      <c r="AE10835" s="1"/>
      <c r="AF10835" s="1"/>
      <c r="AG10835" s="1"/>
      <c r="AH10835" s="1"/>
    </row>
    <row r="10836" ht="12.75" hidden="1" customHeight="1" outlineLevel="1">
      <c r="A10836" s="122">
        <v>43489.0</v>
      </c>
      <c r="B10836" s="974" t="s">
        <v>343</v>
      </c>
      <c r="C10836" s="32" t="s">
        <v>1150</v>
      </c>
      <c r="D10836" s="9">
        <v>600.0</v>
      </c>
      <c r="E10836" s="9">
        <v>32.6399</v>
      </c>
      <c r="F10836" s="709">
        <v>0.6546180555555555</v>
      </c>
      <c r="G10836" s="195" t="s">
        <v>453</v>
      </c>
      <c r="H10836" s="710">
        <v>3.0</v>
      </c>
      <c r="I10836" s="256" t="s">
        <v>3145</v>
      </c>
      <c r="J10836" s="67">
        <f t="shared" si="607"/>
        <v>-19586.94</v>
      </c>
      <c r="K10836" s="1"/>
      <c r="L10836" s="70"/>
      <c r="M10836" s="79"/>
      <c r="N10836" s="1"/>
      <c r="O10836" s="1"/>
      <c r="P10836" s="1"/>
      <c r="Q10836" s="1"/>
      <c r="R10836" s="1"/>
      <c r="S10836" s="1"/>
      <c r="T10836" s="1"/>
      <c r="U10836" s="1"/>
      <c r="V10836" s="1"/>
      <c r="W10836" s="1"/>
      <c r="X10836" s="1"/>
      <c r="Y10836" s="1"/>
      <c r="Z10836" s="1"/>
      <c r="AA10836" s="1"/>
      <c r="AB10836" s="1"/>
      <c r="AC10836" s="1"/>
      <c r="AD10836" s="1"/>
      <c r="AE10836" s="1"/>
      <c r="AF10836" s="1"/>
      <c r="AG10836" s="1"/>
      <c r="AH10836" s="1"/>
    </row>
    <row r="10837" ht="12.75" hidden="1" customHeight="1" outlineLevel="1">
      <c r="A10837" s="122">
        <v>43489.0</v>
      </c>
      <c r="B10837" s="974" t="s">
        <v>347</v>
      </c>
      <c r="C10837" s="32" t="s">
        <v>1362</v>
      </c>
      <c r="D10837" s="9">
        <v>50.0</v>
      </c>
      <c r="E10837" s="9">
        <v>277.1724</v>
      </c>
      <c r="F10837" s="709">
        <v>0.6609375</v>
      </c>
      <c r="G10837" s="195" t="s">
        <v>453</v>
      </c>
      <c r="H10837" s="710">
        <v>1.19</v>
      </c>
      <c r="I10837" s="256" t="s">
        <v>3145</v>
      </c>
      <c r="J10837" s="67">
        <f t="shared" si="607"/>
        <v>13857.43</v>
      </c>
      <c r="K10837" s="1"/>
      <c r="L10837" s="70"/>
      <c r="M10837" s="79"/>
      <c r="N10837" s="1"/>
      <c r="O10837" s="1"/>
      <c r="P10837" s="1"/>
      <c r="Q10837" s="1"/>
      <c r="R10837" s="1"/>
      <c r="S10837" s="1"/>
      <c r="T10837" s="1"/>
      <c r="U10837" s="1"/>
      <c r="V10837" s="1"/>
      <c r="W10837" s="1"/>
      <c r="X10837" s="1"/>
      <c r="Y10837" s="1"/>
      <c r="Z10837" s="1"/>
      <c r="AA10837" s="1"/>
      <c r="AB10837" s="1"/>
      <c r="AC10837" s="1"/>
      <c r="AD10837" s="1"/>
      <c r="AE10837" s="1"/>
      <c r="AF10837" s="1"/>
      <c r="AG10837" s="1"/>
      <c r="AH10837" s="1"/>
    </row>
    <row r="10838" ht="12.75" hidden="1" customHeight="1" outlineLevel="1">
      <c r="A10838" s="122">
        <v>43489.0</v>
      </c>
      <c r="B10838" s="974" t="s">
        <v>347</v>
      </c>
      <c r="C10838" s="32" t="s">
        <v>1150</v>
      </c>
      <c r="D10838" s="9">
        <v>300.0</v>
      </c>
      <c r="E10838" s="9">
        <v>32.66</v>
      </c>
      <c r="F10838" s="709">
        <v>0.6665972222222222</v>
      </c>
      <c r="G10838" s="195" t="s">
        <v>453</v>
      </c>
      <c r="H10838" s="710">
        <v>1.66</v>
      </c>
      <c r="I10838" s="256" t="s">
        <v>3145</v>
      </c>
      <c r="J10838" s="67">
        <f t="shared" si="607"/>
        <v>9796.34</v>
      </c>
      <c r="K10838" s="1"/>
      <c r="L10838" s="70"/>
      <c r="M10838" s="79"/>
      <c r="N10838" s="1"/>
      <c r="O10838" s="1"/>
      <c r="P10838" s="1"/>
      <c r="Q10838" s="1"/>
      <c r="R10838" s="1"/>
      <c r="S10838" s="1"/>
      <c r="T10838" s="1"/>
      <c r="U10838" s="1"/>
      <c r="V10838" s="1"/>
      <c r="W10838" s="1"/>
      <c r="X10838" s="1"/>
      <c r="Y10838" s="1"/>
      <c r="Z10838" s="1"/>
      <c r="AA10838" s="1"/>
      <c r="AB10838" s="1"/>
      <c r="AC10838" s="1"/>
      <c r="AD10838" s="1"/>
      <c r="AE10838" s="1"/>
      <c r="AF10838" s="1"/>
      <c r="AG10838" s="1"/>
      <c r="AH10838" s="1"/>
    </row>
    <row r="10839" ht="12.75" hidden="1" customHeight="1" outlineLevel="1">
      <c r="A10839" s="197">
        <v>43491.0</v>
      </c>
      <c r="B10839" s="992"/>
      <c r="C10839" s="32" t="s">
        <v>947</v>
      </c>
      <c r="D10839" s="1"/>
      <c r="E10839" s="94" t="s">
        <v>948</v>
      </c>
      <c r="F10839" s="1022" t="s">
        <v>3715</v>
      </c>
      <c r="G10839" s="87"/>
      <c r="H10839" s="199"/>
      <c r="I10839" s="1023">
        <v>1.0</v>
      </c>
      <c r="K10839" s="201" t="s">
        <v>3757</v>
      </c>
      <c r="L10839" s="77"/>
      <c r="M10839" s="79"/>
      <c r="N10839" s="1"/>
      <c r="O10839" s="1"/>
      <c r="P10839" s="1"/>
      <c r="Q10839" s="1"/>
      <c r="R10839" s="1"/>
      <c r="S10839" s="1"/>
      <c r="T10839" s="1"/>
      <c r="U10839" s="1"/>
      <c r="V10839" s="1"/>
      <c r="W10839" s="1"/>
      <c r="X10839" s="1"/>
      <c r="Y10839" s="1"/>
      <c r="Z10839" s="1"/>
      <c r="AA10839" s="1"/>
      <c r="AB10839" s="1"/>
      <c r="AC10839" s="1"/>
      <c r="AD10839" s="1"/>
      <c r="AE10839" s="1"/>
      <c r="AF10839" s="1"/>
      <c r="AG10839" s="1"/>
      <c r="AH10839" s="1"/>
    </row>
    <row r="10840" ht="12.75" hidden="1" customHeight="1" outlineLevel="1">
      <c r="A10840" s="202">
        <v>43491.0</v>
      </c>
      <c r="B10840" s="992"/>
      <c r="C10840" s="32" t="s">
        <v>952</v>
      </c>
      <c r="D10840" s="1"/>
      <c r="F10840" s="231" t="s">
        <v>953</v>
      </c>
      <c r="G10840" s="1"/>
      <c r="H10840" s="68"/>
      <c r="I10840" s="1024">
        <v>0.0</v>
      </c>
      <c r="K10840" s="9" t="s">
        <v>3759</v>
      </c>
      <c r="L10840" s="77"/>
      <c r="M10840" s="79"/>
      <c r="N10840" s="1"/>
      <c r="O10840" s="1"/>
      <c r="P10840" s="1"/>
      <c r="Q10840" s="1"/>
      <c r="R10840" s="1"/>
      <c r="S10840" s="1"/>
      <c r="T10840" s="1"/>
      <c r="U10840" s="1"/>
      <c r="V10840" s="1"/>
      <c r="W10840" s="1"/>
      <c r="X10840" s="1"/>
      <c r="Y10840" s="1"/>
      <c r="Z10840" s="1"/>
      <c r="AA10840" s="1"/>
      <c r="AB10840" s="1"/>
      <c r="AC10840" s="1"/>
      <c r="AD10840" s="1"/>
      <c r="AE10840" s="1"/>
      <c r="AF10840" s="1"/>
      <c r="AG10840" s="1"/>
      <c r="AH10840" s="1"/>
    </row>
    <row r="10841" ht="12.75" hidden="1" customHeight="1" outlineLevel="1">
      <c r="A10841" s="202">
        <v>43491.0</v>
      </c>
      <c r="B10841" s="992"/>
      <c r="C10841" s="32" t="s">
        <v>955</v>
      </c>
      <c r="D10841" s="1"/>
      <c r="F10841" s="231" t="s">
        <v>3718</v>
      </c>
      <c r="G10841" s="1"/>
      <c r="H10841" s="68"/>
      <c r="I10841" s="1024">
        <v>0.0</v>
      </c>
      <c r="K10841" s="9" t="s">
        <v>3760</v>
      </c>
      <c r="L10841" s="77"/>
      <c r="M10841" s="79"/>
      <c r="N10841" s="1"/>
      <c r="O10841" s="1"/>
      <c r="P10841" s="1"/>
      <c r="Q10841" s="1"/>
      <c r="R10841" s="1"/>
      <c r="S10841" s="1"/>
      <c r="T10841" s="1"/>
      <c r="U10841" s="1"/>
      <c r="V10841" s="1"/>
      <c r="W10841" s="1"/>
      <c r="X10841" s="1"/>
      <c r="Y10841" s="1"/>
      <c r="Z10841" s="1"/>
      <c r="AA10841" s="1"/>
      <c r="AB10841" s="1"/>
      <c r="AC10841" s="1"/>
      <c r="AD10841" s="1"/>
      <c r="AE10841" s="1"/>
      <c r="AF10841" s="1"/>
      <c r="AG10841" s="1"/>
      <c r="AH10841" s="1"/>
    </row>
    <row r="10842" ht="12.75" hidden="1" customHeight="1" outlineLevel="1">
      <c r="A10842" s="202">
        <v>43491.0</v>
      </c>
      <c r="B10842" s="992"/>
      <c r="C10842" s="32" t="s">
        <v>958</v>
      </c>
      <c r="D10842" s="1"/>
      <c r="F10842" s="231" t="s">
        <v>3720</v>
      </c>
      <c r="G10842" s="1"/>
      <c r="H10842" s="68"/>
      <c r="I10842" s="1024">
        <v>1.0</v>
      </c>
      <c r="K10842" s="9" t="s">
        <v>3756</v>
      </c>
      <c r="L10842" s="77"/>
      <c r="M10842" s="79"/>
      <c r="N10842" s="1"/>
      <c r="O10842" s="1"/>
      <c r="P10842" s="1"/>
      <c r="Q10842" s="1"/>
      <c r="R10842" s="1"/>
      <c r="S10842" s="1"/>
      <c r="T10842" s="1"/>
      <c r="U10842" s="1"/>
      <c r="V10842" s="1"/>
      <c r="W10842" s="1"/>
      <c r="X10842" s="1"/>
      <c r="Y10842" s="1"/>
      <c r="Z10842" s="1"/>
      <c r="AA10842" s="1"/>
      <c r="AB10842" s="1"/>
      <c r="AC10842" s="1"/>
      <c r="AD10842" s="1"/>
      <c r="AE10842" s="1"/>
      <c r="AF10842" s="1"/>
      <c r="AG10842" s="1"/>
      <c r="AH10842" s="1"/>
    </row>
    <row r="10843" ht="12.75" hidden="1" customHeight="1" outlineLevel="1">
      <c r="A10843" s="202">
        <v>43491.0</v>
      </c>
      <c r="B10843" s="992"/>
      <c r="C10843" s="32" t="s">
        <v>961</v>
      </c>
      <c r="D10843" s="1"/>
      <c r="F10843" s="245" t="s">
        <v>3721</v>
      </c>
      <c r="G10843" s="247"/>
      <c r="H10843" s="1025"/>
      <c r="I10843" s="1026">
        <v>2.0</v>
      </c>
      <c r="K10843" s="9" t="s">
        <v>964</v>
      </c>
      <c r="L10843" s="77"/>
      <c r="M10843" s="79"/>
      <c r="N10843" s="1"/>
      <c r="O10843" s="1"/>
      <c r="P10843" s="1"/>
      <c r="Q10843" s="1"/>
      <c r="R10843" s="1"/>
      <c r="S10843" s="1"/>
      <c r="T10843" s="1"/>
      <c r="U10843" s="1"/>
      <c r="V10843" s="1"/>
      <c r="W10843" s="1"/>
      <c r="X10843" s="1"/>
      <c r="Y10843" s="1"/>
      <c r="Z10843" s="1"/>
      <c r="AA10843" s="1"/>
      <c r="AB10843" s="1"/>
      <c r="AC10843" s="1"/>
      <c r="AD10843" s="1"/>
      <c r="AE10843" s="1"/>
      <c r="AF10843" s="1"/>
      <c r="AG10843" s="1"/>
      <c r="AH10843" s="1"/>
    </row>
    <row r="10844" ht="12.75" hidden="1" customHeight="1" outlineLevel="1">
      <c r="A10844" s="197">
        <v>43493.0</v>
      </c>
      <c r="B10844" s="992"/>
      <c r="C10844" s="32" t="s">
        <v>947</v>
      </c>
      <c r="D10844" s="1"/>
      <c r="E10844" s="94" t="s">
        <v>948</v>
      </c>
      <c r="F10844" s="1022" t="s">
        <v>3715</v>
      </c>
      <c r="G10844" s="87"/>
      <c r="H10844" s="199"/>
      <c r="I10844" s="1023">
        <v>1.0</v>
      </c>
      <c r="K10844" s="201" t="s">
        <v>3757</v>
      </c>
      <c r="L10844" s="77"/>
      <c r="M10844" s="79"/>
      <c r="N10844" s="1"/>
      <c r="O10844" s="1"/>
      <c r="P10844" s="1"/>
      <c r="Q10844" s="1"/>
      <c r="R10844" s="1"/>
      <c r="S10844" s="1"/>
      <c r="T10844" s="1"/>
      <c r="U10844" s="1"/>
      <c r="V10844" s="1"/>
      <c r="W10844" s="1"/>
      <c r="X10844" s="1"/>
      <c r="Y10844" s="1"/>
      <c r="Z10844" s="1"/>
      <c r="AA10844" s="1"/>
      <c r="AB10844" s="1"/>
      <c r="AC10844" s="1"/>
      <c r="AD10844" s="1"/>
      <c r="AE10844" s="1"/>
      <c r="AF10844" s="1"/>
      <c r="AG10844" s="1"/>
      <c r="AH10844" s="1"/>
    </row>
    <row r="10845" ht="12.75" hidden="1" customHeight="1" outlineLevel="1">
      <c r="A10845" s="202">
        <v>43493.0</v>
      </c>
      <c r="B10845" s="992"/>
      <c r="C10845" s="32" t="s">
        <v>952</v>
      </c>
      <c r="D10845" s="1"/>
      <c r="F10845" s="231" t="s">
        <v>953</v>
      </c>
      <c r="G10845" s="1"/>
      <c r="H10845" s="68"/>
      <c r="I10845" s="1024">
        <v>0.0</v>
      </c>
      <c r="K10845" s="9" t="s">
        <v>3761</v>
      </c>
      <c r="L10845" s="77"/>
      <c r="M10845" s="79"/>
      <c r="N10845" s="1"/>
      <c r="O10845" s="1"/>
      <c r="P10845" s="1"/>
      <c r="Q10845" s="1"/>
      <c r="R10845" s="1"/>
      <c r="S10845" s="1"/>
      <c r="T10845" s="1"/>
      <c r="U10845" s="1"/>
      <c r="V10845" s="1"/>
      <c r="W10845" s="1"/>
      <c r="X10845" s="1"/>
      <c r="Y10845" s="1"/>
      <c r="Z10845" s="1"/>
      <c r="AA10845" s="1"/>
      <c r="AB10845" s="1"/>
      <c r="AC10845" s="1"/>
      <c r="AD10845" s="1"/>
      <c r="AE10845" s="1"/>
      <c r="AF10845" s="1"/>
      <c r="AG10845" s="1"/>
      <c r="AH10845" s="1"/>
    </row>
    <row r="10846" ht="12.75" hidden="1" customHeight="1" outlineLevel="1">
      <c r="A10846" s="202">
        <v>43493.0</v>
      </c>
      <c r="B10846" s="992"/>
      <c r="C10846" s="32" t="s">
        <v>955</v>
      </c>
      <c r="D10846" s="1"/>
      <c r="F10846" s="231" t="s">
        <v>3718</v>
      </c>
      <c r="G10846" s="1"/>
      <c r="H10846" s="68"/>
      <c r="I10846" s="1024">
        <v>0.0</v>
      </c>
      <c r="K10846" s="9" t="s">
        <v>3762</v>
      </c>
      <c r="L10846" s="77"/>
      <c r="M10846" s="79"/>
      <c r="N10846" s="1"/>
      <c r="O10846" s="1"/>
      <c r="P10846" s="1"/>
      <c r="Q10846" s="1"/>
      <c r="R10846" s="1"/>
      <c r="S10846" s="1"/>
      <c r="T10846" s="1"/>
      <c r="U10846" s="1"/>
      <c r="V10846" s="1"/>
      <c r="W10846" s="1"/>
      <c r="X10846" s="1"/>
      <c r="Y10846" s="1"/>
      <c r="Z10846" s="1"/>
      <c r="AA10846" s="1"/>
      <c r="AB10846" s="1"/>
      <c r="AC10846" s="1"/>
      <c r="AD10846" s="1"/>
      <c r="AE10846" s="1"/>
      <c r="AF10846" s="1"/>
      <c r="AG10846" s="1"/>
      <c r="AH10846" s="1"/>
    </row>
    <row r="10847" ht="12.75" hidden="1" customHeight="1" outlineLevel="1">
      <c r="A10847" s="202">
        <v>43493.0</v>
      </c>
      <c r="B10847" s="992"/>
      <c r="C10847" s="32" t="s">
        <v>958</v>
      </c>
      <c r="D10847" s="1"/>
      <c r="F10847" s="231" t="s">
        <v>3720</v>
      </c>
      <c r="G10847" s="1"/>
      <c r="H10847" s="68"/>
      <c r="I10847" s="1024">
        <v>1.0</v>
      </c>
      <c r="K10847" s="9" t="s">
        <v>3763</v>
      </c>
      <c r="L10847" s="77"/>
      <c r="M10847" s="79"/>
      <c r="N10847" s="1"/>
      <c r="O10847" s="1"/>
      <c r="P10847" s="1"/>
      <c r="Q10847" s="1"/>
      <c r="R10847" s="1"/>
      <c r="S10847" s="1"/>
      <c r="T10847" s="1"/>
      <c r="U10847" s="1"/>
      <c r="V10847" s="1"/>
      <c r="W10847" s="1"/>
      <c r="X10847" s="1"/>
      <c r="Y10847" s="1"/>
      <c r="Z10847" s="1"/>
      <c r="AA10847" s="1"/>
      <c r="AB10847" s="1"/>
      <c r="AC10847" s="1"/>
      <c r="AD10847" s="1"/>
      <c r="AE10847" s="1"/>
      <c r="AF10847" s="1"/>
      <c r="AG10847" s="1"/>
      <c r="AH10847" s="1"/>
    </row>
    <row r="10848" ht="12.75" hidden="1" customHeight="1" outlineLevel="1">
      <c r="A10848" s="202">
        <v>43493.0</v>
      </c>
      <c r="B10848" s="992"/>
      <c r="C10848" s="32" t="s">
        <v>961</v>
      </c>
      <c r="D10848" s="1"/>
      <c r="F10848" s="245" t="s">
        <v>3721</v>
      </c>
      <c r="G10848" s="247"/>
      <c r="H10848" s="1025"/>
      <c r="I10848" s="1026">
        <v>2.0</v>
      </c>
      <c r="K10848" s="9" t="s">
        <v>964</v>
      </c>
      <c r="L10848" s="77"/>
      <c r="M10848" s="79"/>
      <c r="N10848" s="1"/>
      <c r="O10848" s="1"/>
      <c r="P10848" s="1"/>
      <c r="Q10848" s="1"/>
      <c r="R10848" s="1"/>
      <c r="S10848" s="1"/>
      <c r="T10848" s="1"/>
      <c r="U10848" s="1"/>
      <c r="V10848" s="1"/>
      <c r="W10848" s="1"/>
      <c r="X10848" s="1"/>
      <c r="Y10848" s="1"/>
      <c r="Z10848" s="1"/>
      <c r="AA10848" s="1"/>
      <c r="AB10848" s="1"/>
      <c r="AC10848" s="1"/>
      <c r="AD10848" s="1"/>
      <c r="AE10848" s="1"/>
      <c r="AF10848" s="1"/>
      <c r="AG10848" s="1"/>
      <c r="AH10848" s="1"/>
    </row>
    <row r="10849" ht="12.75" hidden="1" customHeight="1" outlineLevel="1">
      <c r="A10849" s="202">
        <v>43494.0</v>
      </c>
      <c r="B10849" s="985" t="s">
        <v>347</v>
      </c>
      <c r="C10849" s="985" t="s">
        <v>1525</v>
      </c>
      <c r="D10849" s="985">
        <v>50.0</v>
      </c>
      <c r="E10849" s="985">
        <v>293.0648</v>
      </c>
      <c r="F10849" s="1027">
        <v>0.4633333333333333</v>
      </c>
      <c r="G10849" s="1028" t="s">
        <v>453</v>
      </c>
      <c r="H10849" s="937">
        <v>1.2</v>
      </c>
      <c r="I10849" s="1029" t="s">
        <v>3145</v>
      </c>
      <c r="J10849" s="67">
        <f t="shared" ref="J10849:J10852" si="608">IF(B10849="SLD",D10849*E10849,-D10849*E10849)-H10849</f>
        <v>14652.04</v>
      </c>
      <c r="K10849" s="1"/>
      <c r="L10849" s="70"/>
      <c r="M10849" s="79"/>
      <c r="N10849" s="1"/>
      <c r="O10849" s="1"/>
      <c r="P10849" s="1"/>
      <c r="Q10849" s="1"/>
      <c r="R10849" s="1"/>
      <c r="S10849" s="1"/>
      <c r="T10849" s="1"/>
      <c r="U10849" s="1"/>
      <c r="V10849" s="1"/>
      <c r="W10849" s="1"/>
      <c r="X10849" s="1"/>
      <c r="Y10849" s="1"/>
      <c r="Z10849" s="1"/>
      <c r="AA10849" s="1"/>
      <c r="AB10849" s="1"/>
      <c r="AC10849" s="1"/>
      <c r="AD10849" s="1"/>
      <c r="AE10849" s="1"/>
      <c r="AF10849" s="1"/>
      <c r="AG10849" s="1"/>
      <c r="AH10849" s="1"/>
    </row>
    <row r="10850" ht="12.75" hidden="1" customHeight="1" outlineLevel="1">
      <c r="A10850" s="202">
        <v>43494.0</v>
      </c>
      <c r="B10850" s="985" t="s">
        <v>343</v>
      </c>
      <c r="C10850" s="985" t="s">
        <v>1061</v>
      </c>
      <c r="D10850" s="985">
        <v>300.0</v>
      </c>
      <c r="E10850" s="985">
        <v>46.955</v>
      </c>
      <c r="F10850" s="1027">
        <v>0.48094907407407406</v>
      </c>
      <c r="G10850" s="1028" t="s">
        <v>453</v>
      </c>
      <c r="H10850" s="937">
        <v>1.5</v>
      </c>
      <c r="I10850" s="1029" t="s">
        <v>3145</v>
      </c>
      <c r="J10850" s="67">
        <f t="shared" si="608"/>
        <v>-14088</v>
      </c>
      <c r="K10850" s="1"/>
      <c r="L10850" s="70"/>
      <c r="M10850" s="79"/>
      <c r="N10850" s="1"/>
      <c r="O10850" s="1"/>
      <c r="P10850" s="1"/>
      <c r="Q10850" s="1"/>
      <c r="R10850" s="1"/>
      <c r="S10850" s="1"/>
      <c r="T10850" s="1"/>
      <c r="U10850" s="1"/>
      <c r="V10850" s="1"/>
      <c r="W10850" s="1"/>
      <c r="X10850" s="1"/>
      <c r="Y10850" s="1"/>
      <c r="Z10850" s="1"/>
      <c r="AA10850" s="1"/>
      <c r="AB10850" s="1"/>
      <c r="AC10850" s="1"/>
      <c r="AD10850" s="1"/>
      <c r="AE10850" s="1"/>
      <c r="AF10850" s="1"/>
      <c r="AG10850" s="1"/>
      <c r="AH10850" s="1"/>
    </row>
    <row r="10851" ht="12.75" hidden="1" customHeight="1" outlineLevel="1">
      <c r="A10851" s="202">
        <v>43494.0</v>
      </c>
      <c r="B10851" s="985" t="s">
        <v>343</v>
      </c>
      <c r="C10851" s="985" t="s">
        <v>1088</v>
      </c>
      <c r="D10851" s="985">
        <v>5.0</v>
      </c>
      <c r="E10851" s="985">
        <v>2559.9973</v>
      </c>
      <c r="F10851" s="1027">
        <v>0.4812268518518519</v>
      </c>
      <c r="G10851" s="1028" t="s">
        <v>453</v>
      </c>
      <c r="H10851" s="937">
        <v>1.0</v>
      </c>
      <c r="I10851" s="1029" t="s">
        <v>3145</v>
      </c>
      <c r="J10851" s="67">
        <f t="shared" si="608"/>
        <v>-12800.9865</v>
      </c>
      <c r="K10851" s="1"/>
      <c r="L10851" s="70"/>
      <c r="M10851" s="79"/>
      <c r="N10851" s="1"/>
      <c r="O10851" s="1"/>
      <c r="P10851" s="1"/>
      <c r="Q10851" s="1"/>
      <c r="R10851" s="1"/>
      <c r="S10851" s="1"/>
      <c r="T10851" s="1"/>
      <c r="U10851" s="1"/>
      <c r="V10851" s="1"/>
      <c r="W10851" s="1"/>
      <c r="X10851" s="1"/>
      <c r="Y10851" s="1"/>
      <c r="Z10851" s="1"/>
      <c r="AA10851" s="1"/>
      <c r="AB10851" s="1"/>
      <c r="AC10851" s="1"/>
      <c r="AD10851" s="1"/>
      <c r="AE10851" s="1"/>
      <c r="AF10851" s="1"/>
      <c r="AG10851" s="1"/>
      <c r="AH10851" s="1"/>
    </row>
    <row r="10852" ht="12.75" hidden="1" customHeight="1" outlineLevel="1">
      <c r="A10852" s="202">
        <v>43495.0</v>
      </c>
      <c r="B10852" s="985" t="s">
        <v>343</v>
      </c>
      <c r="C10852" s="94" t="s">
        <v>1040</v>
      </c>
      <c r="D10852" s="94">
        <v>200.0</v>
      </c>
      <c r="E10852" s="94">
        <v>105.69</v>
      </c>
      <c r="F10852" s="1003">
        <v>0.5853703703703703</v>
      </c>
      <c r="G10852" s="1004" t="s">
        <v>453</v>
      </c>
      <c r="H10852" s="987">
        <v>1.0</v>
      </c>
      <c r="I10852" s="988" t="s">
        <v>3145</v>
      </c>
      <c r="J10852" s="67">
        <f t="shared" si="608"/>
        <v>-21139</v>
      </c>
      <c r="K10852" s="1"/>
      <c r="L10852" s="70"/>
      <c r="M10852" s="79"/>
      <c r="N10852" s="1"/>
      <c r="O10852" s="1"/>
      <c r="P10852" s="1"/>
      <c r="Q10852" s="1"/>
      <c r="R10852" s="1"/>
      <c r="S10852" s="1"/>
      <c r="T10852" s="1"/>
      <c r="U10852" s="1"/>
      <c r="V10852" s="1"/>
      <c r="W10852" s="1"/>
      <c r="X10852" s="1"/>
      <c r="Y10852" s="1"/>
      <c r="Z10852" s="1"/>
      <c r="AA10852" s="1"/>
      <c r="AB10852" s="1"/>
      <c r="AC10852" s="1"/>
      <c r="AD10852" s="1"/>
      <c r="AE10852" s="1"/>
      <c r="AF10852" s="1"/>
      <c r="AG10852" s="1"/>
      <c r="AH10852" s="1"/>
    </row>
    <row r="10853" ht="12.75" hidden="1" customHeight="1" outlineLevel="1">
      <c r="A10853" s="197">
        <v>43496.0</v>
      </c>
      <c r="B10853" s="992"/>
      <c r="C10853" s="32" t="s">
        <v>947</v>
      </c>
      <c r="D10853" s="1"/>
      <c r="E10853" s="94" t="s">
        <v>948</v>
      </c>
      <c r="F10853" s="1022" t="s">
        <v>3715</v>
      </c>
      <c r="G10853" s="87"/>
      <c r="H10853" s="199"/>
      <c r="I10853" s="1023">
        <v>1.0</v>
      </c>
      <c r="K10853" s="201" t="s">
        <v>3764</v>
      </c>
      <c r="L10853" s="77"/>
      <c r="M10853" s="79"/>
      <c r="N10853" s="1"/>
      <c r="O10853" s="1"/>
      <c r="P10853" s="1"/>
      <c r="Q10853" s="1"/>
      <c r="R10853" s="1"/>
      <c r="S10853" s="1"/>
      <c r="T10853" s="1"/>
      <c r="U10853" s="1"/>
      <c r="V10853" s="1"/>
      <c r="W10853" s="1"/>
      <c r="X10853" s="1"/>
      <c r="Y10853" s="1"/>
      <c r="Z10853" s="1"/>
      <c r="AA10853" s="1"/>
      <c r="AB10853" s="1"/>
      <c r="AC10853" s="1"/>
      <c r="AD10853" s="1"/>
      <c r="AE10853" s="1"/>
      <c r="AF10853" s="1"/>
      <c r="AG10853" s="1"/>
      <c r="AH10853" s="1"/>
    </row>
    <row r="10854" ht="12.75" hidden="1" customHeight="1" outlineLevel="1">
      <c r="A10854" s="202">
        <v>43496.0</v>
      </c>
      <c r="B10854" s="992"/>
      <c r="C10854" s="32" t="s">
        <v>952</v>
      </c>
      <c r="D10854" s="1"/>
      <c r="F10854" s="231" t="s">
        <v>953</v>
      </c>
      <c r="G10854" s="1"/>
      <c r="H10854" s="68"/>
      <c r="I10854" s="1024">
        <v>0.0</v>
      </c>
      <c r="K10854" s="9" t="s">
        <v>3765</v>
      </c>
      <c r="L10854" s="77"/>
      <c r="M10854" s="79"/>
      <c r="N10854" s="1"/>
      <c r="O10854" s="1"/>
      <c r="P10854" s="1"/>
      <c r="Q10854" s="1"/>
      <c r="R10854" s="1"/>
      <c r="S10854" s="1"/>
      <c r="T10854" s="1"/>
      <c r="U10854" s="1"/>
      <c r="V10854" s="1"/>
      <c r="W10854" s="1"/>
      <c r="X10854" s="1"/>
      <c r="Y10854" s="1"/>
      <c r="Z10854" s="1"/>
      <c r="AA10854" s="1"/>
      <c r="AB10854" s="1"/>
      <c r="AC10854" s="1"/>
      <c r="AD10854" s="1"/>
      <c r="AE10854" s="1"/>
      <c r="AF10854" s="1"/>
      <c r="AG10854" s="1"/>
      <c r="AH10854" s="1"/>
    </row>
    <row r="10855" ht="12.75" hidden="1" customHeight="1" outlineLevel="1">
      <c r="A10855" s="202">
        <v>43496.0</v>
      </c>
      <c r="B10855" s="992"/>
      <c r="C10855" s="32" t="s">
        <v>955</v>
      </c>
      <c r="D10855" s="1"/>
      <c r="F10855" s="231" t="s">
        <v>3718</v>
      </c>
      <c r="G10855" s="1"/>
      <c r="H10855" s="68"/>
      <c r="I10855" s="1024">
        <v>0.0</v>
      </c>
      <c r="K10855" s="9" t="s">
        <v>3766</v>
      </c>
      <c r="L10855" s="77"/>
      <c r="M10855" s="79"/>
      <c r="N10855" s="1"/>
      <c r="O10855" s="1"/>
      <c r="P10855" s="1"/>
      <c r="Q10855" s="1"/>
      <c r="R10855" s="1"/>
      <c r="S10855" s="1"/>
      <c r="T10855" s="1"/>
      <c r="U10855" s="1"/>
      <c r="V10855" s="1"/>
      <c r="W10855" s="1"/>
      <c r="X10855" s="1"/>
      <c r="Y10855" s="1"/>
      <c r="Z10855" s="1"/>
      <c r="AA10855" s="1"/>
      <c r="AB10855" s="1"/>
      <c r="AC10855" s="1"/>
      <c r="AD10855" s="1"/>
      <c r="AE10855" s="1"/>
      <c r="AF10855" s="1"/>
      <c r="AG10855" s="1"/>
      <c r="AH10855" s="1"/>
    </row>
    <row r="10856" ht="12.75" hidden="1" customHeight="1" outlineLevel="1">
      <c r="A10856" s="202">
        <v>43496.0</v>
      </c>
      <c r="B10856" s="992"/>
      <c r="C10856" s="32" t="s">
        <v>958</v>
      </c>
      <c r="D10856" s="1"/>
      <c r="F10856" s="231" t="s">
        <v>3720</v>
      </c>
      <c r="G10856" s="1"/>
      <c r="H10856" s="68"/>
      <c r="I10856" s="1024">
        <v>1.0</v>
      </c>
      <c r="K10856" s="9" t="s">
        <v>3767</v>
      </c>
      <c r="L10856" s="77"/>
      <c r="M10856" s="79"/>
      <c r="N10856" s="1"/>
      <c r="O10856" s="1"/>
      <c r="P10856" s="1"/>
      <c r="Q10856" s="1"/>
      <c r="R10856" s="1"/>
      <c r="S10856" s="1"/>
      <c r="T10856" s="1"/>
      <c r="U10856" s="1"/>
      <c r="V10856" s="1"/>
      <c r="W10856" s="1"/>
      <c r="X10856" s="1"/>
      <c r="Y10856" s="1"/>
      <c r="Z10856" s="1"/>
      <c r="AA10856" s="1"/>
      <c r="AB10856" s="1"/>
      <c r="AC10856" s="1"/>
      <c r="AD10856" s="1"/>
      <c r="AE10856" s="1"/>
      <c r="AF10856" s="1"/>
      <c r="AG10856" s="1"/>
      <c r="AH10856" s="1"/>
    </row>
    <row r="10857" ht="12.75" hidden="1" customHeight="1" outlineLevel="1">
      <c r="A10857" s="202">
        <v>43496.0</v>
      </c>
      <c r="B10857" s="992"/>
      <c r="C10857" s="32" t="s">
        <v>961</v>
      </c>
      <c r="D10857" s="1"/>
      <c r="F10857" s="245" t="s">
        <v>3721</v>
      </c>
      <c r="G10857" s="247"/>
      <c r="H10857" s="1025"/>
      <c r="I10857" s="1026">
        <v>2.0</v>
      </c>
      <c r="K10857" s="9" t="s">
        <v>964</v>
      </c>
      <c r="L10857" s="77"/>
      <c r="M10857" s="79"/>
      <c r="N10857" s="1"/>
      <c r="O10857" s="1"/>
      <c r="P10857" s="1"/>
      <c r="Q10857" s="1"/>
      <c r="R10857" s="1"/>
      <c r="S10857" s="1"/>
      <c r="T10857" s="1"/>
      <c r="U10857" s="1"/>
      <c r="V10857" s="1"/>
      <c r="W10857" s="1"/>
      <c r="X10857" s="1"/>
      <c r="Y10857" s="1"/>
      <c r="Z10857" s="1"/>
      <c r="AA10857" s="1"/>
      <c r="AB10857" s="1"/>
      <c r="AC10857" s="1"/>
      <c r="AD10857" s="1"/>
      <c r="AE10857" s="1"/>
      <c r="AF10857" s="1"/>
      <c r="AG10857" s="1"/>
      <c r="AH10857" s="1"/>
    </row>
    <row r="10858" ht="12.75" hidden="1" customHeight="1" outlineLevel="1">
      <c r="A10858" s="1002">
        <v>43497.0</v>
      </c>
      <c r="B10858" s="985" t="s">
        <v>347</v>
      </c>
      <c r="C10858" s="94" t="s">
        <v>346</v>
      </c>
      <c r="D10858" s="94">
        <v>50.0</v>
      </c>
      <c r="E10858" s="94">
        <v>166.36</v>
      </c>
      <c r="F10858" s="998">
        <v>43497.64229166666</v>
      </c>
      <c r="G10858" s="1004" t="s">
        <v>453</v>
      </c>
      <c r="H10858" s="987">
        <v>1.11</v>
      </c>
      <c r="I10858" s="988" t="s">
        <v>3145</v>
      </c>
      <c r="J10858" s="67">
        <f t="shared" ref="J10858:J10877" si="609">IF(B10858="SLD",D10858*E10858,-D10858*E10858)-H10858</f>
        <v>8316.89</v>
      </c>
      <c r="K10858" s="1"/>
      <c r="L10858" s="70"/>
      <c r="M10858" s="79"/>
      <c r="N10858" s="1"/>
      <c r="O10858" s="1"/>
      <c r="P10858" s="1"/>
      <c r="Q10858" s="1"/>
      <c r="R10858" s="1"/>
      <c r="S10858" s="1"/>
      <c r="T10858" s="1"/>
      <c r="U10858" s="1"/>
      <c r="V10858" s="1"/>
      <c r="W10858" s="1"/>
      <c r="X10858" s="1"/>
      <c r="Y10858" s="1"/>
      <c r="Z10858" s="1"/>
      <c r="AA10858" s="1"/>
      <c r="AB10858" s="1"/>
      <c r="AC10858" s="1"/>
      <c r="AD10858" s="1"/>
      <c r="AE10858" s="1"/>
      <c r="AF10858" s="1"/>
      <c r="AG10858" s="1"/>
      <c r="AH10858" s="1"/>
    </row>
    <row r="10859" ht="12.75" hidden="1" customHeight="1" outlineLevel="1">
      <c r="A10859" s="1002">
        <v>43497.0</v>
      </c>
      <c r="B10859" s="985" t="s">
        <v>347</v>
      </c>
      <c r="C10859" s="94" t="s">
        <v>1131</v>
      </c>
      <c r="D10859" s="94">
        <v>100.0</v>
      </c>
      <c r="E10859" s="94">
        <v>68.1115</v>
      </c>
      <c r="F10859" s="998">
        <v>43497.6405787037</v>
      </c>
      <c r="G10859" s="1004" t="s">
        <v>453</v>
      </c>
      <c r="H10859" s="987">
        <v>1.1</v>
      </c>
      <c r="I10859" s="988" t="s">
        <v>3145</v>
      </c>
      <c r="J10859" s="67">
        <f t="shared" si="609"/>
        <v>6810.05</v>
      </c>
      <c r="K10859" s="1030">
        <f>J10859+J10787/3</f>
        <v>410.7</v>
      </c>
      <c r="L10859" s="70"/>
      <c r="M10859" s="79"/>
      <c r="N10859" s="1"/>
      <c r="O10859" s="1"/>
      <c r="P10859" s="1"/>
      <c r="Q10859" s="1"/>
      <c r="R10859" s="1"/>
      <c r="S10859" s="1"/>
      <c r="T10859" s="1"/>
      <c r="U10859" s="1"/>
      <c r="V10859" s="1"/>
      <c r="W10859" s="1"/>
      <c r="X10859" s="1"/>
      <c r="Y10859" s="1"/>
      <c r="Z10859" s="1"/>
      <c r="AA10859" s="1"/>
      <c r="AB10859" s="1"/>
      <c r="AC10859" s="1"/>
      <c r="AD10859" s="1"/>
      <c r="AE10859" s="1"/>
      <c r="AF10859" s="1"/>
      <c r="AG10859" s="1"/>
      <c r="AH10859" s="1"/>
    </row>
    <row r="10860" ht="12.75" hidden="1" customHeight="1" outlineLevel="1">
      <c r="A10860" s="1002">
        <v>43497.0</v>
      </c>
      <c r="B10860" s="985" t="s">
        <v>347</v>
      </c>
      <c r="C10860" s="94" t="s">
        <v>1114</v>
      </c>
      <c r="D10860" s="94">
        <v>200.0</v>
      </c>
      <c r="E10860" s="94">
        <v>44.25</v>
      </c>
      <c r="F10860" s="998">
        <v>43497.63863425926</v>
      </c>
      <c r="G10860" s="1004" t="s">
        <v>453</v>
      </c>
      <c r="H10860" s="987">
        <v>1.14</v>
      </c>
      <c r="I10860" s="988" t="s">
        <v>3145</v>
      </c>
      <c r="J10860" s="67">
        <f t="shared" si="609"/>
        <v>8848.86</v>
      </c>
      <c r="K10860" s="1"/>
      <c r="L10860" s="70"/>
      <c r="M10860" s="79"/>
      <c r="N10860" s="1"/>
      <c r="O10860" s="1"/>
      <c r="P10860" s="1"/>
      <c r="Q10860" s="1"/>
      <c r="R10860" s="1"/>
      <c r="S10860" s="1"/>
      <c r="T10860" s="1"/>
      <c r="U10860" s="1"/>
      <c r="V10860" s="1"/>
      <c r="W10860" s="1"/>
      <c r="X10860" s="1"/>
      <c r="Y10860" s="1"/>
      <c r="Z10860" s="1"/>
      <c r="AA10860" s="1"/>
      <c r="AB10860" s="1"/>
      <c r="AC10860" s="1"/>
      <c r="AD10860" s="1"/>
      <c r="AE10860" s="1"/>
      <c r="AF10860" s="1"/>
      <c r="AG10860" s="1"/>
      <c r="AH10860" s="1"/>
    </row>
    <row r="10861" ht="12.75" hidden="1" customHeight="1" outlineLevel="1">
      <c r="A10861" s="1002">
        <v>43497.0</v>
      </c>
      <c r="B10861" s="985" t="s">
        <v>347</v>
      </c>
      <c r="C10861" s="94" t="s">
        <v>3249</v>
      </c>
      <c r="D10861" s="94">
        <v>300.0</v>
      </c>
      <c r="E10861" s="94">
        <v>28.5508</v>
      </c>
      <c r="F10861" s="998">
        <v>43497.63679398148</v>
      </c>
      <c r="G10861" s="1004" t="s">
        <v>453</v>
      </c>
      <c r="H10861" s="987">
        <v>1.65</v>
      </c>
      <c r="I10861" s="988" t="s">
        <v>3145</v>
      </c>
      <c r="J10861" s="67">
        <f t="shared" si="609"/>
        <v>8563.59</v>
      </c>
      <c r="K10861" s="1"/>
      <c r="L10861" s="70"/>
      <c r="M10861" s="79"/>
      <c r="N10861" s="1"/>
      <c r="O10861" s="1"/>
      <c r="P10861" s="1"/>
      <c r="Q10861" s="1"/>
      <c r="R10861" s="1"/>
      <c r="S10861" s="1"/>
      <c r="T10861" s="1"/>
      <c r="U10861" s="1"/>
      <c r="V10861" s="1"/>
      <c r="W10861" s="1"/>
      <c r="X10861" s="1"/>
      <c r="Y10861" s="1"/>
      <c r="Z10861" s="1"/>
      <c r="AA10861" s="1"/>
      <c r="AB10861" s="1"/>
      <c r="AC10861" s="1"/>
      <c r="AD10861" s="1"/>
      <c r="AE10861" s="1"/>
      <c r="AF10861" s="1"/>
      <c r="AG10861" s="1"/>
      <c r="AH10861" s="1"/>
    </row>
    <row r="10862" ht="12.75" hidden="1" customHeight="1" outlineLevel="1">
      <c r="A10862" s="1002">
        <v>43497.0</v>
      </c>
      <c r="B10862" s="985" t="s">
        <v>347</v>
      </c>
      <c r="C10862" s="94" t="s">
        <v>1134</v>
      </c>
      <c r="D10862" s="94">
        <v>100.0</v>
      </c>
      <c r="E10862" s="94">
        <v>84.05</v>
      </c>
      <c r="F10862" s="998">
        <v>43497.63511574074</v>
      </c>
      <c r="G10862" s="1004" t="s">
        <v>453</v>
      </c>
      <c r="H10862" s="987">
        <v>1.12</v>
      </c>
      <c r="I10862" s="988" t="s">
        <v>3145</v>
      </c>
      <c r="J10862" s="67">
        <f t="shared" si="609"/>
        <v>8403.88</v>
      </c>
      <c r="K10862" s="1"/>
      <c r="L10862" s="70"/>
      <c r="M10862" s="79"/>
      <c r="N10862" s="1"/>
      <c r="O10862" s="1"/>
      <c r="P10862" s="1"/>
      <c r="Q10862" s="1"/>
      <c r="R10862" s="1"/>
      <c r="S10862" s="1"/>
      <c r="T10862" s="1"/>
      <c r="U10862" s="1"/>
      <c r="V10862" s="1"/>
      <c r="W10862" s="1"/>
      <c r="X10862" s="1"/>
      <c r="Y10862" s="1"/>
      <c r="Z10862" s="1"/>
      <c r="AA10862" s="1"/>
      <c r="AB10862" s="1"/>
      <c r="AC10862" s="1"/>
      <c r="AD10862" s="1"/>
      <c r="AE10862" s="1"/>
      <c r="AF10862" s="1"/>
      <c r="AG10862" s="1"/>
      <c r="AH10862" s="1"/>
    </row>
    <row r="10863" ht="12.75" hidden="1" customHeight="1" outlineLevel="1">
      <c r="A10863" s="1002">
        <v>43497.0</v>
      </c>
      <c r="B10863" s="985" t="s">
        <v>347</v>
      </c>
      <c r="C10863" s="94" t="s">
        <v>1362</v>
      </c>
      <c r="D10863" s="94">
        <v>20.0</v>
      </c>
      <c r="E10863" s="94">
        <v>278.147</v>
      </c>
      <c r="F10863" s="998">
        <v>43497.63445601852</v>
      </c>
      <c r="G10863" s="1004" t="s">
        <v>453</v>
      </c>
      <c r="H10863" s="987">
        <v>1.07</v>
      </c>
      <c r="I10863" s="988" t="s">
        <v>3145</v>
      </c>
      <c r="J10863" s="67">
        <f t="shared" si="609"/>
        <v>5561.87</v>
      </c>
      <c r="K10863" s="1"/>
      <c r="L10863" s="70"/>
      <c r="M10863" s="79"/>
      <c r="N10863" s="1"/>
      <c r="O10863" s="1"/>
      <c r="P10863" s="1"/>
      <c r="Q10863" s="1"/>
      <c r="R10863" s="1"/>
      <c r="S10863" s="1"/>
      <c r="T10863" s="1"/>
      <c r="U10863" s="1"/>
      <c r="V10863" s="1"/>
      <c r="W10863" s="1"/>
      <c r="X10863" s="1"/>
      <c r="Y10863" s="1"/>
      <c r="Z10863" s="1"/>
      <c r="AA10863" s="1"/>
      <c r="AB10863" s="1"/>
      <c r="AC10863" s="1"/>
      <c r="AD10863" s="1"/>
      <c r="AE10863" s="1"/>
      <c r="AF10863" s="1"/>
      <c r="AG10863" s="1"/>
      <c r="AH10863" s="1"/>
    </row>
    <row r="10864" ht="12.75" hidden="1" customHeight="1" outlineLevel="1">
      <c r="A10864" s="1002">
        <v>43497.0</v>
      </c>
      <c r="B10864" s="985" t="s">
        <v>347</v>
      </c>
      <c r="C10864" s="94" t="s">
        <v>1088</v>
      </c>
      <c r="D10864" s="94">
        <v>5.0</v>
      </c>
      <c r="E10864" s="94">
        <v>2633.96</v>
      </c>
      <c r="F10864" s="998">
        <v>43497.63350694445</v>
      </c>
      <c r="G10864" s="1004" t="s">
        <v>453</v>
      </c>
      <c r="H10864" s="987">
        <v>1.17</v>
      </c>
      <c r="I10864" s="988" t="s">
        <v>3145</v>
      </c>
      <c r="J10864" s="67">
        <f t="shared" si="609"/>
        <v>13168.63</v>
      </c>
      <c r="K10864" s="1030">
        <f>J10864+J10851</f>
        <v>367.6435</v>
      </c>
      <c r="L10864" s="70"/>
      <c r="M10864" s="79"/>
      <c r="N10864" s="1"/>
      <c r="O10864" s="1"/>
      <c r="P10864" s="1"/>
      <c r="Q10864" s="1"/>
      <c r="R10864" s="1"/>
      <c r="S10864" s="1"/>
      <c r="T10864" s="1"/>
      <c r="U10864" s="1"/>
      <c r="V10864" s="1"/>
      <c r="W10864" s="1"/>
      <c r="X10864" s="1"/>
      <c r="Y10864" s="1"/>
      <c r="Z10864" s="1"/>
      <c r="AA10864" s="1"/>
      <c r="AB10864" s="1"/>
      <c r="AC10864" s="1"/>
      <c r="AD10864" s="1"/>
      <c r="AE10864" s="1"/>
      <c r="AF10864" s="1"/>
      <c r="AG10864" s="1"/>
      <c r="AH10864" s="1"/>
    </row>
    <row r="10865" ht="12.75" hidden="1" customHeight="1" outlineLevel="1">
      <c r="A10865" s="1002">
        <v>43497.0</v>
      </c>
      <c r="B10865" s="985" t="s">
        <v>347</v>
      </c>
      <c r="C10865" s="94" t="s">
        <v>381</v>
      </c>
      <c r="D10865" s="94">
        <v>50.0</v>
      </c>
      <c r="E10865" s="94">
        <v>166.1927</v>
      </c>
      <c r="F10865" s="998">
        <v>43497.63317129629</v>
      </c>
      <c r="G10865" s="1004" t="s">
        <v>453</v>
      </c>
      <c r="H10865" s="987">
        <v>1.11</v>
      </c>
      <c r="I10865" s="988" t="s">
        <v>3145</v>
      </c>
      <c r="J10865" s="67">
        <f t="shared" si="609"/>
        <v>8308.525</v>
      </c>
      <c r="K10865" s="1"/>
      <c r="L10865" s="70"/>
      <c r="M10865" s="79"/>
      <c r="N10865" s="1"/>
      <c r="O10865" s="1"/>
      <c r="P10865" s="1"/>
      <c r="Q10865" s="1"/>
      <c r="R10865" s="1"/>
      <c r="S10865" s="1"/>
      <c r="T10865" s="1"/>
      <c r="U10865" s="1"/>
      <c r="V10865" s="1"/>
      <c r="W10865" s="1"/>
      <c r="X10865" s="1"/>
      <c r="Y10865" s="1"/>
      <c r="Z10865" s="1"/>
      <c r="AA10865" s="1"/>
      <c r="AB10865" s="1"/>
      <c r="AC10865" s="1"/>
      <c r="AD10865" s="1"/>
      <c r="AE10865" s="1"/>
      <c r="AF10865" s="1"/>
      <c r="AG10865" s="1"/>
      <c r="AH10865" s="1"/>
    </row>
    <row r="10866" ht="12.75" hidden="1" customHeight="1" outlineLevel="1">
      <c r="A10866" s="1002">
        <v>43497.0</v>
      </c>
      <c r="B10866" s="985" t="s">
        <v>347</v>
      </c>
      <c r="C10866" s="94" t="s">
        <v>1040</v>
      </c>
      <c r="D10866" s="94">
        <v>300.0</v>
      </c>
      <c r="E10866" s="94">
        <v>102.46</v>
      </c>
      <c r="F10866" s="998">
        <v>43497.63081018518</v>
      </c>
      <c r="G10866" s="1004" t="s">
        <v>453</v>
      </c>
      <c r="H10866" s="987">
        <v>1.94</v>
      </c>
      <c r="I10866" s="988" t="s">
        <v>3145</v>
      </c>
      <c r="J10866" s="67">
        <f t="shared" si="609"/>
        <v>30736.06</v>
      </c>
      <c r="K10866" s="1"/>
      <c r="L10866" s="70"/>
      <c r="M10866" s="79"/>
      <c r="N10866" s="1"/>
      <c r="O10866" s="1"/>
      <c r="P10866" s="1"/>
      <c r="Q10866" s="1"/>
      <c r="R10866" s="1"/>
      <c r="S10866" s="1"/>
      <c r="T10866" s="1"/>
      <c r="U10866" s="1"/>
      <c r="V10866" s="1"/>
      <c r="W10866" s="1"/>
      <c r="X10866" s="1"/>
      <c r="Y10866" s="1"/>
      <c r="Z10866" s="1"/>
      <c r="AA10866" s="1"/>
      <c r="AB10866" s="1"/>
      <c r="AC10866" s="1"/>
      <c r="AD10866" s="1"/>
      <c r="AE10866" s="1"/>
      <c r="AF10866" s="1"/>
      <c r="AG10866" s="1"/>
      <c r="AH10866" s="1"/>
    </row>
    <row r="10867" ht="12.75" hidden="1" customHeight="1" outlineLevel="1">
      <c r="A10867" s="1002">
        <v>43497.0</v>
      </c>
      <c r="B10867" s="985" t="s">
        <v>347</v>
      </c>
      <c r="C10867" s="94" t="s">
        <v>1061</v>
      </c>
      <c r="D10867" s="94">
        <v>500.0</v>
      </c>
      <c r="E10867" s="94">
        <v>47.3531</v>
      </c>
      <c r="F10867" s="998">
        <v>43497.630428240744</v>
      </c>
      <c r="G10867" s="1004" t="s">
        <v>453</v>
      </c>
      <c r="H10867" s="987">
        <v>2.87</v>
      </c>
      <c r="I10867" s="988" t="s">
        <v>3145</v>
      </c>
      <c r="J10867" s="67">
        <f t="shared" si="609"/>
        <v>23673.68</v>
      </c>
      <c r="K10867" s="1"/>
      <c r="L10867" s="70"/>
      <c r="M10867" s="79"/>
      <c r="N10867" s="1"/>
      <c r="O10867" s="1"/>
      <c r="P10867" s="1"/>
      <c r="Q10867" s="1"/>
      <c r="R10867" s="1"/>
      <c r="S10867" s="1"/>
      <c r="T10867" s="1"/>
      <c r="U10867" s="1"/>
      <c r="V10867" s="1"/>
      <c r="W10867" s="1"/>
      <c r="X10867" s="1"/>
      <c r="Y10867" s="1"/>
      <c r="Z10867" s="1"/>
      <c r="AA10867" s="1"/>
      <c r="AB10867" s="1"/>
      <c r="AC10867" s="1"/>
      <c r="AD10867" s="1"/>
      <c r="AE10867" s="1"/>
      <c r="AF10867" s="1"/>
      <c r="AG10867" s="1"/>
      <c r="AH10867" s="1"/>
    </row>
    <row r="10868" ht="12.75" hidden="1" customHeight="1" outlineLevel="1">
      <c r="A10868" s="202">
        <v>43500.0</v>
      </c>
      <c r="B10868" s="985" t="s">
        <v>343</v>
      </c>
      <c r="C10868" s="94" t="s">
        <v>3385</v>
      </c>
      <c r="D10868" s="286">
        <v>1500.0</v>
      </c>
      <c r="E10868" s="94">
        <v>14.528</v>
      </c>
      <c r="F10868" s="1003">
        <v>0.5845949074074074</v>
      </c>
      <c r="G10868" s="1004" t="s">
        <v>453</v>
      </c>
      <c r="H10868" s="987">
        <v>7.5</v>
      </c>
      <c r="I10868" s="988" t="s">
        <v>3145</v>
      </c>
      <c r="J10868" s="67">
        <f t="shared" si="609"/>
        <v>-21799.5</v>
      </c>
      <c r="K10868" s="1"/>
      <c r="L10868" s="70"/>
      <c r="M10868" s="79"/>
      <c r="N10868" s="1"/>
      <c r="O10868" s="1"/>
      <c r="P10868" s="1"/>
      <c r="Q10868" s="1"/>
      <c r="R10868" s="1"/>
      <c r="S10868" s="1"/>
      <c r="T10868" s="1"/>
      <c r="U10868" s="1"/>
      <c r="V10868" s="1"/>
      <c r="W10868" s="1"/>
      <c r="X10868" s="1"/>
      <c r="Y10868" s="1"/>
      <c r="Z10868" s="1"/>
      <c r="AA10868" s="1"/>
      <c r="AB10868" s="1"/>
      <c r="AC10868" s="1"/>
      <c r="AD10868" s="1"/>
      <c r="AE10868" s="1"/>
      <c r="AF10868" s="1"/>
      <c r="AG10868" s="1"/>
      <c r="AH10868" s="1"/>
    </row>
    <row r="10869" ht="12.75" hidden="1" customHeight="1" outlineLevel="1">
      <c r="A10869" s="202">
        <v>43500.0</v>
      </c>
      <c r="B10869" s="985" t="s">
        <v>343</v>
      </c>
      <c r="C10869" s="94" t="s">
        <v>1082</v>
      </c>
      <c r="D10869" s="94">
        <v>20.0</v>
      </c>
      <c r="E10869" s="94">
        <v>866.82</v>
      </c>
      <c r="F10869" s="1003">
        <v>0.5854166666666667</v>
      </c>
      <c r="G10869" s="1004" t="s">
        <v>453</v>
      </c>
      <c r="H10869" s="987">
        <v>1.0</v>
      </c>
      <c r="I10869" s="988" t="s">
        <v>3145</v>
      </c>
      <c r="J10869" s="67">
        <f t="shared" si="609"/>
        <v>-17337.4</v>
      </c>
      <c r="K10869" s="1"/>
      <c r="L10869" s="70"/>
      <c r="M10869" s="79"/>
      <c r="N10869" s="1"/>
      <c r="O10869" s="1"/>
      <c r="P10869" s="1"/>
      <c r="Q10869" s="1"/>
      <c r="R10869" s="1"/>
      <c r="S10869" s="1"/>
      <c r="T10869" s="1"/>
      <c r="U10869" s="1"/>
      <c r="V10869" s="1"/>
      <c r="W10869" s="1"/>
      <c r="X10869" s="1"/>
      <c r="Y10869" s="1"/>
      <c r="Z10869" s="1"/>
      <c r="AA10869" s="1"/>
      <c r="AB10869" s="1"/>
      <c r="AC10869" s="1"/>
      <c r="AD10869" s="1"/>
      <c r="AE10869" s="1"/>
      <c r="AF10869" s="1"/>
      <c r="AG10869" s="1"/>
      <c r="AH10869" s="1"/>
    </row>
    <row r="10870" ht="12.75" hidden="1" customHeight="1" outlineLevel="1">
      <c r="A10870" s="202">
        <v>43500.0</v>
      </c>
      <c r="B10870" s="985" t="s">
        <v>343</v>
      </c>
      <c r="C10870" s="94" t="s">
        <v>1056</v>
      </c>
      <c r="D10870" s="94">
        <v>50.0</v>
      </c>
      <c r="E10870" s="94">
        <v>354.83</v>
      </c>
      <c r="F10870" s="1003">
        <v>0.5858912037037037</v>
      </c>
      <c r="G10870" s="1004" t="s">
        <v>453</v>
      </c>
      <c r="H10870" s="987">
        <v>1.0</v>
      </c>
      <c r="I10870" s="988" t="s">
        <v>3145</v>
      </c>
      <c r="J10870" s="67">
        <f t="shared" si="609"/>
        <v>-17742.5</v>
      </c>
      <c r="K10870" s="1"/>
      <c r="L10870" s="70"/>
      <c r="M10870" s="79"/>
      <c r="N10870" s="1"/>
      <c r="O10870" s="1"/>
      <c r="P10870" s="1"/>
      <c r="Q10870" s="1"/>
      <c r="R10870" s="1"/>
      <c r="S10870" s="1"/>
      <c r="T10870" s="1"/>
      <c r="U10870" s="1"/>
      <c r="V10870" s="1"/>
      <c r="W10870" s="1"/>
      <c r="X10870" s="1"/>
      <c r="Y10870" s="1"/>
      <c r="Z10870" s="1"/>
      <c r="AA10870" s="1"/>
      <c r="AB10870" s="1"/>
      <c r="AC10870" s="1"/>
      <c r="AD10870" s="1"/>
      <c r="AE10870" s="1"/>
      <c r="AF10870" s="1"/>
      <c r="AG10870" s="1"/>
      <c r="AH10870" s="1"/>
    </row>
    <row r="10871" ht="12.75" hidden="1" customHeight="1" outlineLevel="1">
      <c r="A10871" s="202">
        <v>43500.0</v>
      </c>
      <c r="B10871" s="985" t="s">
        <v>343</v>
      </c>
      <c r="C10871" s="94" t="s">
        <v>381</v>
      </c>
      <c r="D10871" s="94">
        <v>150.0</v>
      </c>
      <c r="E10871" s="94">
        <v>169.1508</v>
      </c>
      <c r="F10871" s="1003">
        <v>0.5866319444444444</v>
      </c>
      <c r="G10871" s="1004" t="s">
        <v>453</v>
      </c>
      <c r="H10871" s="987">
        <v>1.0</v>
      </c>
      <c r="I10871" s="988" t="s">
        <v>3145</v>
      </c>
      <c r="J10871" s="67">
        <f t="shared" si="609"/>
        <v>-25373.62</v>
      </c>
      <c r="K10871" s="1"/>
      <c r="L10871" s="70"/>
      <c r="M10871" s="79"/>
      <c r="N10871" s="1"/>
      <c r="O10871" s="1"/>
      <c r="P10871" s="1"/>
      <c r="Q10871" s="1"/>
      <c r="R10871" s="1"/>
      <c r="S10871" s="1"/>
      <c r="T10871" s="1"/>
      <c r="U10871" s="1"/>
      <c r="V10871" s="1"/>
      <c r="W10871" s="1"/>
      <c r="X10871" s="1"/>
      <c r="Y10871" s="1"/>
      <c r="Z10871" s="1"/>
      <c r="AA10871" s="1"/>
      <c r="AB10871" s="1"/>
      <c r="AC10871" s="1"/>
      <c r="AD10871" s="1"/>
      <c r="AE10871" s="1"/>
      <c r="AF10871" s="1"/>
      <c r="AG10871" s="1"/>
      <c r="AH10871" s="1"/>
    </row>
    <row r="10872" ht="12.75" hidden="1" customHeight="1" outlineLevel="1">
      <c r="A10872" s="202">
        <v>43500.0</v>
      </c>
      <c r="B10872" s="985" t="s">
        <v>343</v>
      </c>
      <c r="C10872" s="94" t="s">
        <v>1040</v>
      </c>
      <c r="D10872" s="94">
        <v>250.0</v>
      </c>
      <c r="E10872" s="94">
        <v>105.449</v>
      </c>
      <c r="F10872" s="1003">
        <v>0.5869097222222223</v>
      </c>
      <c r="G10872" s="1004" t="s">
        <v>453</v>
      </c>
      <c r="H10872" s="987">
        <v>1.25</v>
      </c>
      <c r="I10872" s="988" t="s">
        <v>3145</v>
      </c>
      <c r="J10872" s="67">
        <f t="shared" si="609"/>
        <v>-26363.5</v>
      </c>
      <c r="K10872" s="1"/>
      <c r="L10872" s="70"/>
      <c r="M10872" s="79"/>
      <c r="N10872" s="1"/>
      <c r="O10872" s="1"/>
      <c r="P10872" s="1"/>
      <c r="Q10872" s="1"/>
      <c r="R10872" s="1"/>
      <c r="S10872" s="1"/>
      <c r="T10872" s="1"/>
      <c r="U10872" s="1"/>
      <c r="V10872" s="1"/>
      <c r="W10872" s="1"/>
      <c r="X10872" s="1"/>
      <c r="Y10872" s="1"/>
      <c r="Z10872" s="1"/>
      <c r="AA10872" s="1"/>
      <c r="AB10872" s="1"/>
      <c r="AC10872" s="1"/>
      <c r="AD10872" s="1"/>
      <c r="AE10872" s="1"/>
      <c r="AF10872" s="1"/>
      <c r="AG10872" s="1"/>
      <c r="AH10872" s="1"/>
    </row>
    <row r="10873" ht="12.75" hidden="1" customHeight="1" outlineLevel="1">
      <c r="A10873" s="202">
        <v>43500.0</v>
      </c>
      <c r="B10873" s="985" t="s">
        <v>343</v>
      </c>
      <c r="C10873" s="94" t="s">
        <v>1035</v>
      </c>
      <c r="D10873" s="94">
        <v>20.0</v>
      </c>
      <c r="E10873" s="94">
        <v>1137.6812</v>
      </c>
      <c r="F10873" s="1003">
        <v>0.5872453703703704</v>
      </c>
      <c r="G10873" s="1004" t="s">
        <v>453</v>
      </c>
      <c r="H10873" s="987">
        <v>1.0</v>
      </c>
      <c r="I10873" s="988" t="s">
        <v>3145</v>
      </c>
      <c r="J10873" s="67">
        <f t="shared" si="609"/>
        <v>-22754.624</v>
      </c>
      <c r="K10873" s="1"/>
      <c r="L10873" s="70"/>
      <c r="M10873" s="79"/>
      <c r="N10873" s="1"/>
      <c r="O10873" s="1"/>
      <c r="P10873" s="1"/>
      <c r="Q10873" s="1"/>
      <c r="R10873" s="1"/>
      <c r="S10873" s="1"/>
      <c r="T10873" s="1"/>
      <c r="U10873" s="1"/>
      <c r="V10873" s="1"/>
      <c r="W10873" s="1"/>
      <c r="X10873" s="1"/>
      <c r="Y10873" s="1"/>
      <c r="Z10873" s="1"/>
      <c r="AA10873" s="1"/>
      <c r="AB10873" s="1"/>
      <c r="AC10873" s="1"/>
      <c r="AD10873" s="1"/>
      <c r="AE10873" s="1"/>
      <c r="AF10873" s="1"/>
      <c r="AG10873" s="1"/>
      <c r="AH10873" s="1"/>
    </row>
    <row r="10874" ht="12.75" hidden="1" customHeight="1" outlineLevel="1">
      <c r="A10874" s="202">
        <v>43500.0</v>
      </c>
      <c r="B10874" s="985" t="s">
        <v>343</v>
      </c>
      <c r="C10874" s="94" t="s">
        <v>1106</v>
      </c>
      <c r="D10874" s="94">
        <v>50.0</v>
      </c>
      <c r="E10874" s="94">
        <v>141.33</v>
      </c>
      <c r="F10874" s="1003">
        <v>0.5886574074074075</v>
      </c>
      <c r="G10874" s="1004" t="s">
        <v>453</v>
      </c>
      <c r="H10874" s="987">
        <v>1.0</v>
      </c>
      <c r="I10874" s="988" t="s">
        <v>3145</v>
      </c>
      <c r="J10874" s="67">
        <f t="shared" si="609"/>
        <v>-7067.5</v>
      </c>
      <c r="K10874" s="1"/>
      <c r="L10874" s="70"/>
      <c r="M10874" s="79"/>
      <c r="N10874" s="1"/>
      <c r="O10874" s="1"/>
      <c r="P10874" s="1"/>
      <c r="Q10874" s="1"/>
      <c r="R10874" s="1"/>
      <c r="S10874" s="1"/>
      <c r="T10874" s="1"/>
      <c r="U10874" s="1"/>
      <c r="V10874" s="1"/>
      <c r="W10874" s="1"/>
      <c r="X10874" s="1"/>
      <c r="Y10874" s="1"/>
      <c r="Z10874" s="1"/>
      <c r="AA10874" s="1"/>
      <c r="AB10874" s="1"/>
      <c r="AC10874" s="1"/>
      <c r="AD10874" s="1"/>
      <c r="AE10874" s="1"/>
      <c r="AF10874" s="1"/>
      <c r="AG10874" s="1"/>
      <c r="AH10874" s="1"/>
    </row>
    <row r="10875" ht="12.75" hidden="1" customHeight="1" outlineLevel="1">
      <c r="A10875" s="202">
        <v>43500.0</v>
      </c>
      <c r="B10875" s="985" t="s">
        <v>343</v>
      </c>
      <c r="C10875" s="94" t="s">
        <v>388</v>
      </c>
      <c r="D10875" s="94">
        <v>40.0</v>
      </c>
      <c r="E10875" s="94">
        <v>214.28</v>
      </c>
      <c r="F10875" s="1003">
        <v>0.5888310185185185</v>
      </c>
      <c r="G10875" s="1004" t="s">
        <v>453</v>
      </c>
      <c r="H10875" s="987">
        <v>1.0</v>
      </c>
      <c r="I10875" s="988" t="s">
        <v>3145</v>
      </c>
      <c r="J10875" s="67">
        <f t="shared" si="609"/>
        <v>-8572.2</v>
      </c>
      <c r="K10875" s="1"/>
      <c r="L10875" s="70"/>
      <c r="M10875" s="79"/>
      <c r="N10875" s="1"/>
      <c r="O10875" s="1"/>
      <c r="P10875" s="1"/>
      <c r="Q10875" s="1"/>
      <c r="R10875" s="1"/>
      <c r="S10875" s="1"/>
      <c r="T10875" s="1"/>
      <c r="U10875" s="1"/>
      <c r="V10875" s="1"/>
      <c r="W10875" s="1"/>
      <c r="X10875" s="1"/>
      <c r="Y10875" s="1"/>
      <c r="Z10875" s="1"/>
      <c r="AA10875" s="1"/>
      <c r="AB10875" s="1"/>
      <c r="AC10875" s="1"/>
      <c r="AD10875" s="1"/>
      <c r="AE10875" s="1"/>
      <c r="AF10875" s="1"/>
      <c r="AG10875" s="1"/>
      <c r="AH10875" s="1"/>
    </row>
    <row r="10876" ht="12.75" hidden="1" customHeight="1" outlineLevel="1">
      <c r="A10876" s="202">
        <v>43500.0</v>
      </c>
      <c r="B10876" s="985" t="s">
        <v>343</v>
      </c>
      <c r="C10876" s="94" t="s">
        <v>1053</v>
      </c>
      <c r="D10876" s="94">
        <v>12.0</v>
      </c>
      <c r="E10876" s="94">
        <v>1634.29</v>
      </c>
      <c r="F10876" s="1003">
        <v>0.5930439814814815</v>
      </c>
      <c r="G10876" s="1004" t="s">
        <v>453</v>
      </c>
      <c r="H10876" s="987">
        <v>1.0</v>
      </c>
      <c r="I10876" s="988" t="s">
        <v>3145</v>
      </c>
      <c r="J10876" s="67">
        <f t="shared" si="609"/>
        <v>-19612.48</v>
      </c>
      <c r="K10876" s="1"/>
      <c r="L10876" s="70"/>
      <c r="M10876" s="79"/>
      <c r="N10876" s="1"/>
      <c r="O10876" s="1"/>
      <c r="P10876" s="1"/>
      <c r="Q10876" s="1"/>
      <c r="R10876" s="1"/>
      <c r="S10876" s="1"/>
      <c r="T10876" s="1"/>
      <c r="U10876" s="1"/>
      <c r="V10876" s="1"/>
      <c r="W10876" s="1"/>
      <c r="X10876" s="1"/>
      <c r="Y10876" s="1"/>
      <c r="Z10876" s="1"/>
      <c r="AA10876" s="1"/>
      <c r="AB10876" s="1"/>
      <c r="AC10876" s="1"/>
      <c r="AD10876" s="1"/>
      <c r="AE10876" s="1"/>
      <c r="AF10876" s="1"/>
      <c r="AG10876" s="1"/>
      <c r="AH10876" s="1"/>
    </row>
    <row r="10877" ht="12.75" hidden="1" customHeight="1" outlineLevel="1">
      <c r="A10877" s="202">
        <v>43500.0</v>
      </c>
      <c r="B10877" s="985" t="s">
        <v>343</v>
      </c>
      <c r="C10877" s="94" t="s">
        <v>1079</v>
      </c>
      <c r="D10877" s="94">
        <v>100.0</v>
      </c>
      <c r="E10877" s="94">
        <v>102.63</v>
      </c>
      <c r="F10877" s="1003">
        <v>0.6026041666666667</v>
      </c>
      <c r="G10877" s="1004" t="s">
        <v>453</v>
      </c>
      <c r="H10877" s="987">
        <v>1.0</v>
      </c>
      <c r="I10877" s="988" t="s">
        <v>3145</v>
      </c>
      <c r="J10877" s="67">
        <f t="shared" si="609"/>
        <v>-10264</v>
      </c>
      <c r="K10877" s="1"/>
      <c r="L10877" s="70"/>
      <c r="M10877" s="79"/>
      <c r="N10877" s="1"/>
      <c r="O10877" s="1"/>
      <c r="P10877" s="1"/>
      <c r="Q10877" s="1"/>
      <c r="R10877" s="1"/>
      <c r="S10877" s="1"/>
      <c r="T10877" s="1"/>
      <c r="U10877" s="1"/>
      <c r="V10877" s="1"/>
      <c r="W10877" s="1"/>
      <c r="X10877" s="1"/>
      <c r="Y10877" s="1"/>
      <c r="Z10877" s="1"/>
      <c r="AA10877" s="1"/>
      <c r="AB10877" s="1"/>
      <c r="AC10877" s="1"/>
      <c r="AD10877" s="1"/>
      <c r="AE10877" s="1"/>
      <c r="AF10877" s="1"/>
      <c r="AG10877" s="1"/>
      <c r="AH10877" s="1"/>
    </row>
    <row r="10878" ht="12.75" hidden="1" customHeight="1" outlineLevel="1">
      <c r="A10878" s="197">
        <v>43500.0</v>
      </c>
      <c r="B10878" s="992"/>
      <c r="C10878" s="32" t="s">
        <v>947</v>
      </c>
      <c r="D10878" s="1"/>
      <c r="E10878" s="94" t="s">
        <v>948</v>
      </c>
      <c r="F10878" s="1022" t="s">
        <v>3715</v>
      </c>
      <c r="G10878" s="87"/>
      <c r="H10878" s="199"/>
      <c r="I10878" s="1023">
        <v>1.0</v>
      </c>
      <c r="K10878" s="201" t="s">
        <v>3768</v>
      </c>
      <c r="L10878" s="77"/>
      <c r="M10878" s="79"/>
      <c r="N10878" s="1"/>
      <c r="O10878" s="1"/>
      <c r="P10878" s="1"/>
      <c r="Q10878" s="1"/>
      <c r="R10878" s="1"/>
      <c r="S10878" s="1"/>
      <c r="T10878" s="1"/>
      <c r="U10878" s="1"/>
      <c r="V10878" s="1"/>
      <c r="W10878" s="1"/>
      <c r="X10878" s="1"/>
      <c r="Y10878" s="1"/>
      <c r="Z10878" s="1"/>
      <c r="AA10878" s="1"/>
      <c r="AB10878" s="1"/>
      <c r="AC10878" s="1"/>
      <c r="AD10878" s="1"/>
      <c r="AE10878" s="1"/>
      <c r="AF10878" s="1"/>
      <c r="AG10878" s="1"/>
      <c r="AH10878" s="1"/>
    </row>
    <row r="10879" ht="12.75" hidden="1" customHeight="1" outlineLevel="1">
      <c r="A10879" s="202">
        <v>43500.0</v>
      </c>
      <c r="B10879" s="992"/>
      <c r="C10879" s="32" t="s">
        <v>952</v>
      </c>
      <c r="D10879" s="1"/>
      <c r="F10879" s="231" t="s">
        <v>953</v>
      </c>
      <c r="G10879" s="1"/>
      <c r="H10879" s="68"/>
      <c r="I10879" s="1024">
        <v>0.0</v>
      </c>
      <c r="K10879" s="9" t="s">
        <v>3769</v>
      </c>
      <c r="L10879" s="77"/>
      <c r="M10879" s="79"/>
      <c r="N10879" s="1"/>
      <c r="O10879" s="1"/>
      <c r="P10879" s="1"/>
      <c r="Q10879" s="1"/>
      <c r="R10879" s="1"/>
      <c r="S10879" s="1"/>
      <c r="T10879" s="1"/>
      <c r="U10879" s="1"/>
      <c r="V10879" s="1"/>
      <c r="W10879" s="1"/>
      <c r="X10879" s="1"/>
      <c r="Y10879" s="1"/>
      <c r="Z10879" s="1"/>
      <c r="AA10879" s="1"/>
      <c r="AB10879" s="1"/>
      <c r="AC10879" s="1"/>
      <c r="AD10879" s="1"/>
      <c r="AE10879" s="1"/>
      <c r="AF10879" s="1"/>
      <c r="AG10879" s="1"/>
      <c r="AH10879" s="1"/>
    </row>
    <row r="10880" ht="12.75" hidden="1" customHeight="1" outlineLevel="1">
      <c r="A10880" s="202">
        <v>43500.0</v>
      </c>
      <c r="B10880" s="992"/>
      <c r="C10880" s="32" t="s">
        <v>955</v>
      </c>
      <c r="D10880" s="1"/>
      <c r="F10880" s="231" t="s">
        <v>3718</v>
      </c>
      <c r="G10880" s="1"/>
      <c r="H10880" s="68"/>
      <c r="I10880" s="1024">
        <v>0.0</v>
      </c>
      <c r="K10880" s="9" t="s">
        <v>3770</v>
      </c>
      <c r="L10880" s="77"/>
      <c r="M10880" s="79"/>
      <c r="N10880" s="1"/>
      <c r="O10880" s="1"/>
      <c r="P10880" s="1"/>
      <c r="Q10880" s="1"/>
      <c r="R10880" s="1"/>
      <c r="S10880" s="1"/>
      <c r="T10880" s="1"/>
      <c r="U10880" s="1"/>
      <c r="V10880" s="1"/>
      <c r="W10880" s="1"/>
      <c r="X10880" s="1"/>
      <c r="Y10880" s="1"/>
      <c r="Z10880" s="1"/>
      <c r="AA10880" s="1"/>
      <c r="AB10880" s="1"/>
      <c r="AC10880" s="1"/>
      <c r="AD10880" s="1"/>
      <c r="AE10880" s="1"/>
      <c r="AF10880" s="1"/>
      <c r="AG10880" s="1"/>
      <c r="AH10880" s="1"/>
    </row>
    <row r="10881" ht="12.75" hidden="1" customHeight="1" outlineLevel="1">
      <c r="A10881" s="202">
        <v>43500.0</v>
      </c>
      <c r="B10881" s="992"/>
      <c r="C10881" s="32" t="s">
        <v>958</v>
      </c>
      <c r="D10881" s="1"/>
      <c r="F10881" s="231" t="s">
        <v>3720</v>
      </c>
      <c r="G10881" s="1"/>
      <c r="H10881" s="68"/>
      <c r="I10881" s="1024">
        <v>1.0</v>
      </c>
      <c r="K10881" s="9" t="s">
        <v>3771</v>
      </c>
      <c r="L10881" s="77"/>
      <c r="M10881" s="79"/>
      <c r="N10881" s="1"/>
      <c r="O10881" s="1"/>
      <c r="P10881" s="1"/>
      <c r="Q10881" s="1"/>
      <c r="R10881" s="1"/>
      <c r="S10881" s="1"/>
      <c r="T10881" s="1"/>
      <c r="U10881" s="1"/>
      <c r="V10881" s="1"/>
      <c r="W10881" s="1"/>
      <c r="X10881" s="1"/>
      <c r="Y10881" s="1"/>
      <c r="Z10881" s="1"/>
      <c r="AA10881" s="1"/>
      <c r="AB10881" s="1"/>
      <c r="AC10881" s="1"/>
      <c r="AD10881" s="1"/>
      <c r="AE10881" s="1"/>
      <c r="AF10881" s="1"/>
      <c r="AG10881" s="1"/>
      <c r="AH10881" s="1"/>
    </row>
    <row r="10882" ht="12.75" hidden="1" customHeight="1" outlineLevel="1">
      <c r="A10882" s="202">
        <v>43500.0</v>
      </c>
      <c r="B10882" s="992"/>
      <c r="C10882" s="32" t="s">
        <v>961</v>
      </c>
      <c r="D10882" s="1"/>
      <c r="F10882" s="245" t="s">
        <v>3721</v>
      </c>
      <c r="G10882" s="247"/>
      <c r="H10882" s="1025"/>
      <c r="I10882" s="1026">
        <v>2.0</v>
      </c>
      <c r="K10882" s="9" t="s">
        <v>964</v>
      </c>
      <c r="L10882" s="77"/>
      <c r="M10882" s="79"/>
      <c r="N10882" s="1"/>
      <c r="O10882" s="1"/>
      <c r="P10882" s="1"/>
      <c r="Q10882" s="1"/>
      <c r="R10882" s="1"/>
      <c r="S10882" s="1"/>
      <c r="T10882" s="1"/>
      <c r="U10882" s="1"/>
      <c r="V10882" s="1"/>
      <c r="W10882" s="1"/>
      <c r="X10882" s="1"/>
      <c r="Y10882" s="1"/>
      <c r="Z10882" s="1"/>
      <c r="AA10882" s="1"/>
      <c r="AB10882" s="1"/>
      <c r="AC10882" s="1"/>
      <c r="AD10882" s="1"/>
      <c r="AE10882" s="1"/>
      <c r="AF10882" s="1"/>
      <c r="AG10882" s="1"/>
      <c r="AH10882" s="1"/>
    </row>
    <row r="10883" ht="12.75" hidden="1" customHeight="1" outlineLevel="1">
      <c r="A10883" s="122">
        <v>43501.0</v>
      </c>
      <c r="B10883" s="974" t="s">
        <v>343</v>
      </c>
      <c r="C10883" s="32" t="s">
        <v>1074</v>
      </c>
      <c r="D10883" s="9">
        <v>100.0</v>
      </c>
      <c r="E10883" s="9">
        <v>186.322</v>
      </c>
      <c r="F10883" s="709">
        <v>0.40405092592592595</v>
      </c>
      <c r="G10883" s="195" t="s">
        <v>453</v>
      </c>
      <c r="H10883" s="710">
        <v>1.0</v>
      </c>
      <c r="I10883" s="256" t="s">
        <v>3145</v>
      </c>
      <c r="J10883" s="67">
        <f t="shared" ref="J10883:J10887" si="610">IF(B10883="SLD",D10883*E10883,-D10883*E10883)-H10883</f>
        <v>-18633.2</v>
      </c>
      <c r="K10883" s="1"/>
      <c r="L10883" s="70"/>
      <c r="M10883" s="79"/>
      <c r="N10883" s="1"/>
      <c r="O10883" s="1"/>
      <c r="P10883" s="1"/>
      <c r="Q10883" s="1"/>
      <c r="R10883" s="1"/>
      <c r="S10883" s="1"/>
      <c r="T10883" s="1"/>
      <c r="U10883" s="1"/>
      <c r="V10883" s="1"/>
      <c r="W10883" s="1"/>
      <c r="X10883" s="1"/>
      <c r="Y10883" s="1"/>
      <c r="Z10883" s="1"/>
      <c r="AA10883" s="1"/>
      <c r="AB10883" s="1"/>
      <c r="AC10883" s="1"/>
      <c r="AD10883" s="1"/>
      <c r="AE10883" s="1"/>
      <c r="AF10883" s="1"/>
      <c r="AG10883" s="1"/>
      <c r="AH10883" s="1"/>
    </row>
    <row r="10884" ht="12.75" hidden="1" customHeight="1" outlineLevel="1">
      <c r="A10884" s="122">
        <v>43501.0</v>
      </c>
      <c r="B10884" s="974" t="s">
        <v>343</v>
      </c>
      <c r="C10884" s="32" t="s">
        <v>1362</v>
      </c>
      <c r="D10884" s="9">
        <v>30.0</v>
      </c>
      <c r="E10884" s="9">
        <v>285.968</v>
      </c>
      <c r="F10884" s="709">
        <v>0.4721296296296296</v>
      </c>
      <c r="G10884" s="195" t="s">
        <v>453</v>
      </c>
      <c r="H10884" s="710">
        <v>1.0</v>
      </c>
      <c r="I10884" s="256" t="s">
        <v>3145</v>
      </c>
      <c r="J10884" s="67">
        <f t="shared" si="610"/>
        <v>-8580.04</v>
      </c>
      <c r="K10884" s="1"/>
      <c r="L10884" s="70"/>
      <c r="M10884" s="79"/>
      <c r="N10884" s="1"/>
      <c r="O10884" s="1"/>
      <c r="P10884" s="1"/>
      <c r="Q10884" s="1"/>
      <c r="R10884" s="1"/>
      <c r="S10884" s="1"/>
      <c r="T10884" s="1"/>
      <c r="U10884" s="1"/>
      <c r="V10884" s="1"/>
      <c r="W10884" s="1"/>
      <c r="X10884" s="1"/>
      <c r="Y10884" s="1"/>
      <c r="Z10884" s="1"/>
      <c r="AA10884" s="1"/>
      <c r="AB10884" s="1"/>
      <c r="AC10884" s="1"/>
      <c r="AD10884" s="1"/>
      <c r="AE10884" s="1"/>
      <c r="AF10884" s="1"/>
      <c r="AG10884" s="1"/>
      <c r="AH10884" s="1"/>
    </row>
    <row r="10885" ht="12.75" hidden="1" customHeight="1" outlineLevel="1">
      <c r="A10885" s="122">
        <v>43501.0</v>
      </c>
      <c r="B10885" s="974" t="s">
        <v>343</v>
      </c>
      <c r="C10885" s="32" t="s">
        <v>605</v>
      </c>
      <c r="D10885" s="9">
        <v>200.0</v>
      </c>
      <c r="E10885" s="9">
        <v>95.08</v>
      </c>
      <c r="F10885" s="709">
        <v>0.4724537037037037</v>
      </c>
      <c r="G10885" s="195" t="s">
        <v>453</v>
      </c>
      <c r="H10885" s="710">
        <v>1.0</v>
      </c>
      <c r="I10885" s="256" t="s">
        <v>3145</v>
      </c>
      <c r="J10885" s="67">
        <f t="shared" si="610"/>
        <v>-19017</v>
      </c>
      <c r="K10885" s="1"/>
      <c r="L10885" s="70"/>
      <c r="M10885" s="79"/>
      <c r="N10885" s="1"/>
      <c r="O10885" s="1"/>
      <c r="P10885" s="1"/>
      <c r="Q10885" s="1"/>
      <c r="R10885" s="1"/>
      <c r="S10885" s="1"/>
      <c r="T10885" s="1"/>
      <c r="U10885" s="1"/>
      <c r="V10885" s="1"/>
      <c r="W10885" s="1"/>
      <c r="X10885" s="1"/>
      <c r="Y10885" s="1"/>
      <c r="Z10885" s="1"/>
      <c r="AA10885" s="1"/>
      <c r="AB10885" s="1"/>
      <c r="AC10885" s="1"/>
      <c r="AD10885" s="1"/>
      <c r="AE10885" s="1"/>
      <c r="AF10885" s="1"/>
      <c r="AG10885" s="1"/>
      <c r="AH10885" s="1"/>
    </row>
    <row r="10886" ht="12.75" hidden="1" customHeight="1" outlineLevel="1">
      <c r="A10886" s="122">
        <v>43501.0</v>
      </c>
      <c r="B10886" s="974" t="s">
        <v>343</v>
      </c>
      <c r="C10886" s="32" t="s">
        <v>3249</v>
      </c>
      <c r="D10886" s="9">
        <v>600.0</v>
      </c>
      <c r="E10886" s="9">
        <v>28.321</v>
      </c>
      <c r="F10886" s="709">
        <v>0.473125</v>
      </c>
      <c r="G10886" s="195" t="s">
        <v>453</v>
      </c>
      <c r="H10886" s="710">
        <v>3.0</v>
      </c>
      <c r="I10886" s="256" t="s">
        <v>3145</v>
      </c>
      <c r="J10886" s="67">
        <f t="shared" si="610"/>
        <v>-16995.6</v>
      </c>
      <c r="K10886" s="1"/>
      <c r="L10886" s="70"/>
      <c r="M10886" s="79"/>
      <c r="N10886" s="1"/>
      <c r="O10886" s="1"/>
      <c r="P10886" s="1"/>
      <c r="Q10886" s="1"/>
      <c r="R10886" s="1"/>
      <c r="S10886" s="1"/>
      <c r="T10886" s="1"/>
      <c r="U10886" s="1"/>
      <c r="V10886" s="1"/>
      <c r="W10886" s="1"/>
      <c r="X10886" s="1"/>
      <c r="Y10886" s="1"/>
      <c r="Z10886" s="1"/>
      <c r="AA10886" s="1"/>
      <c r="AB10886" s="1"/>
      <c r="AC10886" s="1"/>
      <c r="AD10886" s="1"/>
      <c r="AE10886" s="1"/>
      <c r="AF10886" s="1"/>
      <c r="AG10886" s="1"/>
      <c r="AH10886" s="1"/>
    </row>
    <row r="10887" ht="12.75" hidden="1" customHeight="1" outlineLevel="1">
      <c r="A10887" s="122">
        <v>43501.0</v>
      </c>
      <c r="B10887" s="974" t="s">
        <v>343</v>
      </c>
      <c r="C10887" s="32" t="s">
        <v>1061</v>
      </c>
      <c r="D10887" s="9">
        <v>700.0</v>
      </c>
      <c r="E10887" s="9">
        <v>47.403</v>
      </c>
      <c r="F10887" s="709">
        <v>0.4741435185185185</v>
      </c>
      <c r="G10887" s="195" t="s">
        <v>453</v>
      </c>
      <c r="H10887" s="710">
        <v>3.5</v>
      </c>
      <c r="I10887" s="256" t="s">
        <v>3145</v>
      </c>
      <c r="J10887" s="67">
        <f t="shared" si="610"/>
        <v>-33185.6</v>
      </c>
      <c r="K10887" s="1"/>
      <c r="L10887" s="70"/>
      <c r="M10887" s="79"/>
      <c r="N10887" s="1"/>
      <c r="O10887" s="1"/>
      <c r="P10887" s="1"/>
      <c r="Q10887" s="1"/>
      <c r="R10887" s="1"/>
      <c r="S10887" s="1"/>
      <c r="T10887" s="1"/>
      <c r="U10887" s="1"/>
      <c r="V10887" s="1"/>
      <c r="W10887" s="1"/>
      <c r="X10887" s="1"/>
      <c r="Y10887" s="1"/>
      <c r="Z10887" s="1"/>
      <c r="AA10887" s="1"/>
      <c r="AB10887" s="1"/>
      <c r="AC10887" s="1"/>
      <c r="AD10887" s="1"/>
      <c r="AE10887" s="1"/>
      <c r="AF10887" s="1"/>
      <c r="AG10887" s="1"/>
      <c r="AH10887" s="1"/>
    </row>
    <row r="10888" ht="12.75" hidden="1" customHeight="1" outlineLevel="1">
      <c r="A10888" s="197">
        <v>43501.0</v>
      </c>
      <c r="B10888" s="992"/>
      <c r="C10888" s="32" t="s">
        <v>947</v>
      </c>
      <c r="D10888" s="1"/>
      <c r="E10888" s="94" t="s">
        <v>948</v>
      </c>
      <c r="F10888" s="1022" t="s">
        <v>3715</v>
      </c>
      <c r="G10888" s="87"/>
      <c r="H10888" s="199"/>
      <c r="I10888" s="1023">
        <v>1.0</v>
      </c>
      <c r="K10888" s="201" t="s">
        <v>3772</v>
      </c>
      <c r="L10888" s="77"/>
      <c r="M10888" s="79"/>
      <c r="N10888" s="1"/>
      <c r="O10888" s="1"/>
      <c r="P10888" s="1"/>
      <c r="Q10888" s="1"/>
      <c r="R10888" s="1"/>
      <c r="S10888" s="1"/>
      <c r="T10888" s="1"/>
      <c r="U10888" s="1"/>
      <c r="V10888" s="1"/>
      <c r="W10888" s="1"/>
      <c r="X10888" s="1"/>
      <c r="Y10888" s="1"/>
      <c r="Z10888" s="1"/>
      <c r="AA10888" s="1"/>
      <c r="AB10888" s="1"/>
      <c r="AC10888" s="1"/>
      <c r="AD10888" s="1"/>
      <c r="AE10888" s="1"/>
      <c r="AF10888" s="1"/>
      <c r="AG10888" s="1"/>
      <c r="AH10888" s="1"/>
    </row>
    <row r="10889" ht="12.75" hidden="1" customHeight="1" outlineLevel="1">
      <c r="A10889" s="202">
        <v>43501.0</v>
      </c>
      <c r="B10889" s="992"/>
      <c r="C10889" s="32" t="s">
        <v>952</v>
      </c>
      <c r="D10889" s="1"/>
      <c r="F10889" s="231" t="s">
        <v>953</v>
      </c>
      <c r="G10889" s="1"/>
      <c r="H10889" s="68"/>
      <c r="I10889" s="1024">
        <v>0.0</v>
      </c>
      <c r="K10889" s="9" t="s">
        <v>3773</v>
      </c>
      <c r="L10889" s="77"/>
      <c r="M10889" s="79"/>
      <c r="N10889" s="1"/>
      <c r="O10889" s="1"/>
      <c r="P10889" s="1"/>
      <c r="Q10889" s="1"/>
      <c r="R10889" s="1"/>
      <c r="S10889" s="1"/>
      <c r="T10889" s="1"/>
      <c r="U10889" s="1"/>
      <c r="V10889" s="1"/>
      <c r="W10889" s="1"/>
      <c r="X10889" s="1"/>
      <c r="Y10889" s="1"/>
      <c r="Z10889" s="1"/>
      <c r="AA10889" s="1"/>
      <c r="AB10889" s="1"/>
      <c r="AC10889" s="1"/>
      <c r="AD10889" s="1"/>
      <c r="AE10889" s="1"/>
      <c r="AF10889" s="1"/>
      <c r="AG10889" s="1"/>
      <c r="AH10889" s="1"/>
    </row>
    <row r="10890" ht="12.75" hidden="1" customHeight="1" outlineLevel="1">
      <c r="A10890" s="202">
        <v>43501.0</v>
      </c>
      <c r="B10890" s="992"/>
      <c r="C10890" s="32" t="s">
        <v>955</v>
      </c>
      <c r="D10890" s="1"/>
      <c r="F10890" s="231" t="s">
        <v>3718</v>
      </c>
      <c r="G10890" s="1"/>
      <c r="H10890" s="68"/>
      <c r="I10890" s="1024">
        <v>0.0</v>
      </c>
      <c r="K10890" s="9" t="s">
        <v>3774</v>
      </c>
      <c r="L10890" s="77"/>
      <c r="M10890" s="79"/>
      <c r="N10890" s="1"/>
      <c r="O10890" s="1"/>
      <c r="P10890" s="1"/>
      <c r="Q10890" s="1"/>
      <c r="R10890" s="1"/>
      <c r="S10890" s="1"/>
      <c r="T10890" s="1"/>
      <c r="U10890" s="1"/>
      <c r="V10890" s="1"/>
      <c r="W10890" s="1"/>
      <c r="X10890" s="1"/>
      <c r="Y10890" s="1"/>
      <c r="Z10890" s="1"/>
      <c r="AA10890" s="1"/>
      <c r="AB10890" s="1"/>
      <c r="AC10890" s="1"/>
      <c r="AD10890" s="1"/>
      <c r="AE10890" s="1"/>
      <c r="AF10890" s="1"/>
      <c r="AG10890" s="1"/>
      <c r="AH10890" s="1"/>
    </row>
    <row r="10891" ht="12.75" hidden="1" customHeight="1" outlineLevel="1">
      <c r="A10891" s="202">
        <v>43501.0</v>
      </c>
      <c r="B10891" s="992"/>
      <c r="C10891" s="32" t="s">
        <v>958</v>
      </c>
      <c r="D10891" s="1"/>
      <c r="F10891" s="231" t="s">
        <v>3720</v>
      </c>
      <c r="G10891" s="1"/>
      <c r="H10891" s="68"/>
      <c r="I10891" s="1024">
        <v>1.0</v>
      </c>
      <c r="K10891" s="9" t="s">
        <v>3771</v>
      </c>
      <c r="L10891" s="77"/>
      <c r="M10891" s="79"/>
      <c r="N10891" s="1"/>
      <c r="O10891" s="1"/>
      <c r="P10891" s="1"/>
      <c r="Q10891" s="1"/>
      <c r="R10891" s="1"/>
      <c r="S10891" s="1"/>
      <c r="T10891" s="1"/>
      <c r="U10891" s="1"/>
      <c r="V10891" s="1"/>
      <c r="W10891" s="1"/>
      <c r="X10891" s="1"/>
      <c r="Y10891" s="1"/>
      <c r="Z10891" s="1"/>
      <c r="AA10891" s="1"/>
      <c r="AB10891" s="1"/>
      <c r="AC10891" s="1"/>
      <c r="AD10891" s="1"/>
      <c r="AE10891" s="1"/>
      <c r="AF10891" s="1"/>
      <c r="AG10891" s="1"/>
      <c r="AH10891" s="1"/>
    </row>
    <row r="10892" ht="12.75" hidden="1" customHeight="1" outlineLevel="1">
      <c r="A10892" s="202">
        <v>43501.0</v>
      </c>
      <c r="B10892" s="992"/>
      <c r="C10892" s="32" t="s">
        <v>961</v>
      </c>
      <c r="D10892" s="1"/>
      <c r="F10892" s="245" t="s">
        <v>3721</v>
      </c>
      <c r="G10892" s="247"/>
      <c r="H10892" s="1025"/>
      <c r="I10892" s="1026">
        <v>2.0</v>
      </c>
      <c r="K10892" s="9" t="s">
        <v>964</v>
      </c>
      <c r="L10892" s="77"/>
      <c r="M10892" s="79"/>
      <c r="N10892" s="1"/>
      <c r="O10892" s="1"/>
      <c r="P10892" s="1"/>
      <c r="Q10892" s="1"/>
      <c r="R10892" s="1"/>
      <c r="S10892" s="1"/>
      <c r="T10892" s="1"/>
      <c r="U10892" s="1"/>
      <c r="V10892" s="1"/>
      <c r="W10892" s="1"/>
      <c r="X10892" s="1"/>
      <c r="Y10892" s="1"/>
      <c r="Z10892" s="1"/>
      <c r="AA10892" s="1"/>
      <c r="AB10892" s="1"/>
      <c r="AC10892" s="1"/>
      <c r="AD10892" s="1"/>
      <c r="AE10892" s="1"/>
      <c r="AF10892" s="1"/>
      <c r="AG10892" s="1"/>
      <c r="AH10892" s="1"/>
    </row>
    <row r="10893" ht="12.75" hidden="1" customHeight="1" outlineLevel="1">
      <c r="A10893" s="202">
        <v>43502.0</v>
      </c>
      <c r="B10893" s="985" t="s">
        <v>347</v>
      </c>
      <c r="C10893" s="94" t="s">
        <v>1082</v>
      </c>
      <c r="D10893" s="94">
        <v>20.0</v>
      </c>
      <c r="E10893" s="94">
        <v>866.47</v>
      </c>
      <c r="F10893" s="1003">
        <v>0.6506597222222222</v>
      </c>
      <c r="G10893" s="1004" t="s">
        <v>453</v>
      </c>
      <c r="H10893" s="987">
        <v>1.23</v>
      </c>
      <c r="I10893" s="988" t="s">
        <v>3145</v>
      </c>
      <c r="J10893" s="67">
        <f t="shared" ref="J10893:J10902" si="611">IF(B10893="SLD",D10893*E10893,-D10893*E10893)-H10893</f>
        <v>17328.17</v>
      </c>
      <c r="K10893" s="1030">
        <f>J10893+J10869</f>
        <v>-9.23</v>
      </c>
      <c r="L10893" s="70"/>
      <c r="M10893" s="79"/>
      <c r="N10893" s="1"/>
      <c r="O10893" s="1"/>
      <c r="P10893" s="1"/>
      <c r="Q10893" s="1"/>
      <c r="R10893" s="1"/>
      <c r="S10893" s="1"/>
      <c r="T10893" s="1"/>
      <c r="U10893" s="1"/>
      <c r="V10893" s="1"/>
      <c r="W10893" s="1"/>
      <c r="X10893" s="1"/>
      <c r="Y10893" s="1"/>
      <c r="Z10893" s="1"/>
      <c r="AA10893" s="1"/>
      <c r="AB10893" s="1"/>
      <c r="AC10893" s="1"/>
      <c r="AD10893" s="1"/>
      <c r="AE10893" s="1"/>
      <c r="AF10893" s="1"/>
      <c r="AG10893" s="1"/>
      <c r="AH10893" s="1"/>
    </row>
    <row r="10894" ht="12.75" hidden="1" customHeight="1" outlineLevel="1">
      <c r="A10894" s="202">
        <v>43502.0</v>
      </c>
      <c r="B10894" s="985" t="s">
        <v>347</v>
      </c>
      <c r="C10894" s="94" t="s">
        <v>1177</v>
      </c>
      <c r="D10894" s="94">
        <v>5.0</v>
      </c>
      <c r="E10894" s="94">
        <v>1902.5873</v>
      </c>
      <c r="F10894" s="1003">
        <v>0.6513773148148149</v>
      </c>
      <c r="G10894" s="1004" t="s">
        <v>453</v>
      </c>
      <c r="H10894" s="987">
        <v>1.12</v>
      </c>
      <c r="I10894" s="988" t="s">
        <v>3145</v>
      </c>
      <c r="J10894" s="67">
        <f t="shared" si="611"/>
        <v>9511.8165</v>
      </c>
      <c r="K10894" s="1030">
        <f>J10894+J10835/2</f>
        <v>511.9165</v>
      </c>
      <c r="L10894" s="70"/>
      <c r="M10894" s="79"/>
      <c r="N10894" s="1"/>
      <c r="O10894" s="1"/>
      <c r="P10894" s="1"/>
      <c r="Q10894" s="1"/>
      <c r="R10894" s="1"/>
      <c r="S10894" s="1"/>
      <c r="T10894" s="1"/>
      <c r="U10894" s="1"/>
      <c r="V10894" s="1"/>
      <c r="W10894" s="1"/>
      <c r="X10894" s="1"/>
      <c r="Y10894" s="1"/>
      <c r="Z10894" s="1"/>
      <c r="AA10894" s="1"/>
      <c r="AB10894" s="1"/>
      <c r="AC10894" s="1"/>
      <c r="AD10894" s="1"/>
      <c r="AE10894" s="1"/>
      <c r="AF10894" s="1"/>
      <c r="AG10894" s="1"/>
      <c r="AH10894" s="1"/>
    </row>
    <row r="10895" ht="12.75" hidden="1" customHeight="1" outlineLevel="1">
      <c r="A10895" s="202">
        <v>43502.0</v>
      </c>
      <c r="B10895" s="985" t="s">
        <v>347</v>
      </c>
      <c r="C10895" s="94" t="s">
        <v>1362</v>
      </c>
      <c r="D10895" s="94">
        <v>30.0</v>
      </c>
      <c r="E10895" s="94">
        <v>287.07</v>
      </c>
      <c r="F10895" s="1003">
        <v>0.6524652777777777</v>
      </c>
      <c r="G10895" s="1004" t="s">
        <v>453</v>
      </c>
      <c r="H10895" s="987">
        <v>1.12</v>
      </c>
      <c r="I10895" s="988" t="s">
        <v>3145</v>
      </c>
      <c r="J10895" s="67">
        <f t="shared" si="611"/>
        <v>8610.98</v>
      </c>
      <c r="K10895" s="1030">
        <f>J10895+J10884</f>
        <v>30.94</v>
      </c>
      <c r="L10895" s="70"/>
      <c r="M10895" s="79"/>
      <c r="N10895" s="1"/>
      <c r="O10895" s="1"/>
      <c r="P10895" s="1"/>
      <c r="Q10895" s="1"/>
      <c r="R10895" s="1"/>
      <c r="S10895" s="1"/>
      <c r="T10895" s="1"/>
      <c r="U10895" s="1"/>
      <c r="V10895" s="1"/>
      <c r="W10895" s="1"/>
      <c r="X10895" s="1"/>
      <c r="Y10895" s="1"/>
      <c r="Z10895" s="1"/>
      <c r="AA10895" s="1"/>
      <c r="AB10895" s="1"/>
      <c r="AC10895" s="1"/>
      <c r="AD10895" s="1"/>
      <c r="AE10895" s="1"/>
      <c r="AF10895" s="1"/>
      <c r="AG10895" s="1"/>
      <c r="AH10895" s="1"/>
    </row>
    <row r="10896" ht="12.75" hidden="1" customHeight="1" outlineLevel="1">
      <c r="A10896" s="202">
        <v>43502.0</v>
      </c>
      <c r="B10896" s="985" t="s">
        <v>347</v>
      </c>
      <c r="C10896" s="94" t="s">
        <v>381</v>
      </c>
      <c r="D10896" s="94">
        <v>150.0</v>
      </c>
      <c r="E10896" s="94">
        <v>170.551</v>
      </c>
      <c r="F10896" s="1003">
        <v>0.6532523148148148</v>
      </c>
      <c r="G10896" s="1004" t="s">
        <v>453</v>
      </c>
      <c r="H10896" s="987">
        <v>1.35</v>
      </c>
      <c r="I10896" s="988" t="s">
        <v>3145</v>
      </c>
      <c r="J10896" s="67">
        <f t="shared" si="611"/>
        <v>25581.3</v>
      </c>
      <c r="K10896" s="1030">
        <f>J10896+J10871</f>
        <v>207.68</v>
      </c>
      <c r="L10896" s="70"/>
      <c r="M10896" s="79"/>
      <c r="N10896" s="1"/>
      <c r="O10896" s="1"/>
      <c r="P10896" s="1"/>
      <c r="Q10896" s="1"/>
      <c r="R10896" s="1"/>
      <c r="S10896" s="1"/>
      <c r="T10896" s="1"/>
      <c r="U10896" s="1"/>
      <c r="V10896" s="1"/>
      <c r="W10896" s="1"/>
      <c r="X10896" s="1"/>
      <c r="Y10896" s="1"/>
      <c r="Z10896" s="1"/>
      <c r="AA10896" s="1"/>
      <c r="AB10896" s="1"/>
      <c r="AC10896" s="1"/>
      <c r="AD10896" s="1"/>
      <c r="AE10896" s="1"/>
      <c r="AF10896" s="1"/>
      <c r="AG10896" s="1"/>
      <c r="AH10896" s="1"/>
    </row>
    <row r="10897" ht="12.75" hidden="1" customHeight="1" outlineLevel="1">
      <c r="A10897" s="202">
        <v>43502.0</v>
      </c>
      <c r="B10897" s="985" t="s">
        <v>347</v>
      </c>
      <c r="C10897" s="94" t="s">
        <v>1035</v>
      </c>
      <c r="D10897" s="94">
        <v>20.0</v>
      </c>
      <c r="E10897" s="94">
        <v>1123.14</v>
      </c>
      <c r="F10897" s="1003">
        <v>0.6539814814814815</v>
      </c>
      <c r="G10897" s="1004" t="s">
        <v>453</v>
      </c>
      <c r="H10897" s="987">
        <v>1.29</v>
      </c>
      <c r="I10897" s="988" t="s">
        <v>3145</v>
      </c>
      <c r="J10897" s="67">
        <f t="shared" si="611"/>
        <v>22461.51</v>
      </c>
      <c r="K10897" s="1030">
        <f>J10897+J10873</f>
        <v>-293.114</v>
      </c>
      <c r="L10897" s="70"/>
      <c r="M10897" s="79"/>
      <c r="N10897" s="1"/>
      <c r="O10897" s="1"/>
      <c r="P10897" s="1"/>
      <c r="Q10897" s="1"/>
      <c r="R10897" s="1"/>
      <c r="S10897" s="1"/>
      <c r="T10897" s="1"/>
      <c r="U10897" s="1"/>
      <c r="V10897" s="1"/>
      <c r="W10897" s="1"/>
      <c r="X10897" s="1"/>
      <c r="Y10897" s="1"/>
      <c r="Z10897" s="1"/>
      <c r="AA10897" s="1"/>
      <c r="AB10897" s="1"/>
      <c r="AC10897" s="1"/>
      <c r="AD10897" s="1"/>
      <c r="AE10897" s="1"/>
      <c r="AF10897" s="1"/>
      <c r="AG10897" s="1"/>
      <c r="AH10897" s="1"/>
    </row>
    <row r="10898" ht="12.75" hidden="1" customHeight="1" outlineLevel="1">
      <c r="A10898" s="202">
        <v>43502.0</v>
      </c>
      <c r="B10898" s="985" t="s">
        <v>347</v>
      </c>
      <c r="C10898" s="94" t="s">
        <v>1074</v>
      </c>
      <c r="D10898" s="94">
        <v>100.0</v>
      </c>
      <c r="E10898" s="94">
        <v>184.7127</v>
      </c>
      <c r="F10898" s="1003">
        <v>0.654537037037037</v>
      </c>
      <c r="G10898" s="1004" t="s">
        <v>453</v>
      </c>
      <c r="H10898" s="987">
        <v>1.25</v>
      </c>
      <c r="I10898" s="988" t="s">
        <v>3145</v>
      </c>
      <c r="J10898" s="67">
        <f t="shared" si="611"/>
        <v>18470.02</v>
      </c>
      <c r="K10898" s="1030">
        <f>J10898+J10883</f>
        <v>-163.18</v>
      </c>
      <c r="L10898" s="70"/>
      <c r="M10898" s="79"/>
      <c r="N10898" s="1"/>
      <c r="O10898" s="1"/>
      <c r="P10898" s="1"/>
      <c r="Q10898" s="1"/>
      <c r="R10898" s="1"/>
      <c r="S10898" s="1"/>
      <c r="T10898" s="1"/>
      <c r="U10898" s="1"/>
      <c r="V10898" s="1"/>
      <c r="W10898" s="1"/>
      <c r="X10898" s="1"/>
      <c r="Y10898" s="1"/>
      <c r="Z10898" s="1"/>
      <c r="AA10898" s="1"/>
      <c r="AB10898" s="1"/>
      <c r="AC10898" s="1"/>
      <c r="AD10898" s="1"/>
      <c r="AE10898" s="1"/>
      <c r="AF10898" s="1"/>
      <c r="AG10898" s="1"/>
      <c r="AH10898" s="1"/>
    </row>
    <row r="10899" ht="12.75" hidden="1" customHeight="1" outlineLevel="1">
      <c r="A10899" s="202">
        <v>43502.0</v>
      </c>
      <c r="B10899" s="985" t="s">
        <v>347</v>
      </c>
      <c r="C10899" s="94" t="s">
        <v>388</v>
      </c>
      <c r="D10899" s="94">
        <v>40.0</v>
      </c>
      <c r="E10899" s="94">
        <v>215.3725</v>
      </c>
      <c r="F10899" s="1003">
        <v>0.6575694444444444</v>
      </c>
      <c r="G10899" s="1004" t="s">
        <v>453</v>
      </c>
      <c r="H10899" s="987">
        <v>1.12</v>
      </c>
      <c r="I10899" s="988" t="s">
        <v>3145</v>
      </c>
      <c r="J10899" s="67">
        <f t="shared" si="611"/>
        <v>8613.78</v>
      </c>
      <c r="K10899" s="1030">
        <f>J10899+J10875</f>
        <v>41.58</v>
      </c>
      <c r="L10899" s="70"/>
      <c r="M10899" s="79"/>
      <c r="N10899" s="1"/>
      <c r="O10899" s="1"/>
      <c r="P10899" s="1"/>
      <c r="Q10899" s="1"/>
      <c r="R10899" s="1"/>
      <c r="S10899" s="1"/>
      <c r="T10899" s="1"/>
      <c r="U10899" s="1"/>
      <c r="V10899" s="1"/>
      <c r="W10899" s="1"/>
      <c r="X10899" s="1"/>
      <c r="Y10899" s="1"/>
      <c r="Z10899" s="1"/>
      <c r="AA10899" s="1"/>
      <c r="AB10899" s="1"/>
      <c r="AC10899" s="1"/>
      <c r="AD10899" s="1"/>
      <c r="AE10899" s="1"/>
      <c r="AF10899" s="1"/>
      <c r="AG10899" s="1"/>
      <c r="AH10899" s="1"/>
    </row>
    <row r="10900" ht="12.75" hidden="1" customHeight="1" outlineLevel="1">
      <c r="A10900" s="202">
        <v>43502.0</v>
      </c>
      <c r="B10900" s="985" t="s">
        <v>347</v>
      </c>
      <c r="C10900" s="94" t="s">
        <v>1056</v>
      </c>
      <c r="D10900" s="94">
        <v>50.0</v>
      </c>
      <c r="E10900" s="94">
        <v>354.29</v>
      </c>
      <c r="F10900" s="1003">
        <v>0.6582060185185186</v>
      </c>
      <c r="G10900" s="1004" t="s">
        <v>453</v>
      </c>
      <c r="H10900" s="987">
        <v>1.24</v>
      </c>
      <c r="I10900" s="988" t="s">
        <v>3145</v>
      </c>
      <c r="J10900" s="67">
        <f t="shared" si="611"/>
        <v>17713.26</v>
      </c>
      <c r="K10900" s="1030">
        <f>J10900+J10870</f>
        <v>-29.24</v>
      </c>
      <c r="L10900" s="70"/>
      <c r="M10900" s="79"/>
      <c r="N10900" s="1"/>
      <c r="O10900" s="1"/>
      <c r="P10900" s="1"/>
      <c r="Q10900" s="1"/>
      <c r="R10900" s="1"/>
      <c r="S10900" s="1"/>
      <c r="T10900" s="1"/>
      <c r="U10900" s="1"/>
      <c r="V10900" s="1"/>
      <c r="W10900" s="1"/>
      <c r="X10900" s="1"/>
      <c r="Y10900" s="1"/>
      <c r="Z10900" s="1"/>
      <c r="AA10900" s="1"/>
      <c r="AB10900" s="1"/>
      <c r="AC10900" s="1"/>
      <c r="AD10900" s="1"/>
      <c r="AE10900" s="1"/>
      <c r="AF10900" s="1"/>
      <c r="AG10900" s="1"/>
      <c r="AH10900" s="1"/>
    </row>
    <row r="10901" ht="12.75" hidden="1" customHeight="1" outlineLevel="1">
      <c r="A10901" s="202">
        <v>43502.0</v>
      </c>
      <c r="B10901" s="985" t="s">
        <v>347</v>
      </c>
      <c r="C10901" s="94" t="s">
        <v>1106</v>
      </c>
      <c r="D10901" s="94">
        <v>50.0</v>
      </c>
      <c r="E10901" s="94">
        <v>141.4915</v>
      </c>
      <c r="F10901" s="1003">
        <v>0.6603009259259259</v>
      </c>
      <c r="G10901" s="1004" t="s">
        <v>453</v>
      </c>
      <c r="H10901" s="987">
        <v>1.1</v>
      </c>
      <c r="I10901" s="988" t="s">
        <v>3145</v>
      </c>
      <c r="J10901" s="67">
        <f t="shared" si="611"/>
        <v>7073.475</v>
      </c>
      <c r="K10901" s="1030">
        <f>J10901+J10874</f>
        <v>5.975</v>
      </c>
      <c r="L10901" s="70"/>
      <c r="M10901" s="79"/>
      <c r="N10901" s="1"/>
      <c r="O10901" s="1"/>
      <c r="P10901" s="1"/>
      <c r="Q10901" s="1"/>
      <c r="R10901" s="1"/>
      <c r="S10901" s="1"/>
      <c r="T10901" s="1"/>
      <c r="U10901" s="1"/>
      <c r="V10901" s="1"/>
      <c r="W10901" s="1"/>
      <c r="X10901" s="1"/>
      <c r="Y10901" s="1"/>
      <c r="Z10901" s="1"/>
      <c r="AA10901" s="1"/>
      <c r="AB10901" s="1"/>
      <c r="AC10901" s="1"/>
      <c r="AD10901" s="1"/>
      <c r="AE10901" s="1"/>
      <c r="AF10901" s="1"/>
      <c r="AG10901" s="1"/>
      <c r="AH10901" s="1"/>
    </row>
    <row r="10902" ht="12.75" hidden="1" customHeight="1" outlineLevel="1">
      <c r="A10902" s="202">
        <v>43502.0</v>
      </c>
      <c r="B10902" s="985" t="s">
        <v>347</v>
      </c>
      <c r="C10902" s="94" t="s">
        <v>1061</v>
      </c>
      <c r="D10902" s="94">
        <v>700.0</v>
      </c>
      <c r="E10902" s="94">
        <v>47.112</v>
      </c>
      <c r="F10902" s="1003">
        <v>0.6637615740740741</v>
      </c>
      <c r="G10902" s="1004" t="s">
        <v>453</v>
      </c>
      <c r="H10902" s="987">
        <v>4.01</v>
      </c>
      <c r="I10902" s="988" t="s">
        <v>3145</v>
      </c>
      <c r="J10902" s="67">
        <f t="shared" si="611"/>
        <v>32974.39</v>
      </c>
      <c r="K10902" s="1030">
        <f>J10902+J10887</f>
        <v>-211.21</v>
      </c>
      <c r="L10902" s="70"/>
      <c r="M10902" s="79"/>
      <c r="N10902" s="1"/>
      <c r="O10902" s="1"/>
      <c r="P10902" s="1"/>
      <c r="Q10902" s="1"/>
      <c r="R10902" s="1"/>
      <c r="S10902" s="1"/>
      <c r="T10902" s="1"/>
      <c r="U10902" s="1"/>
      <c r="V10902" s="1"/>
      <c r="W10902" s="1"/>
      <c r="X10902" s="1"/>
      <c r="Y10902" s="1"/>
      <c r="Z10902" s="1"/>
      <c r="AA10902" s="1"/>
      <c r="AB10902" s="1"/>
      <c r="AC10902" s="1"/>
      <c r="AD10902" s="1"/>
      <c r="AE10902" s="1"/>
      <c r="AF10902" s="1"/>
      <c r="AG10902" s="1"/>
      <c r="AH10902" s="1"/>
    </row>
    <row r="10903" ht="12.75" hidden="1" customHeight="1" outlineLevel="1">
      <c r="A10903" s="197">
        <v>43502.0</v>
      </c>
      <c r="B10903" s="992"/>
      <c r="C10903" s="32" t="s">
        <v>947</v>
      </c>
      <c r="D10903" s="1"/>
      <c r="E10903" s="94" t="s">
        <v>948</v>
      </c>
      <c r="F10903" s="1022" t="s">
        <v>3715</v>
      </c>
      <c r="G10903" s="87"/>
      <c r="H10903" s="199"/>
      <c r="I10903" s="1023">
        <v>1.0</v>
      </c>
      <c r="K10903" s="201" t="s">
        <v>3775</v>
      </c>
      <c r="L10903" s="77"/>
      <c r="M10903" s="79"/>
      <c r="N10903" s="1"/>
      <c r="O10903" s="1"/>
      <c r="P10903" s="1"/>
      <c r="Q10903" s="1"/>
      <c r="R10903" s="1"/>
      <c r="S10903" s="1"/>
      <c r="T10903" s="1"/>
      <c r="U10903" s="1"/>
      <c r="V10903" s="1"/>
      <c r="W10903" s="1"/>
      <c r="X10903" s="1"/>
      <c r="Y10903" s="1"/>
      <c r="Z10903" s="1"/>
      <c r="AA10903" s="1"/>
      <c r="AB10903" s="1"/>
      <c r="AC10903" s="1"/>
      <c r="AD10903" s="1"/>
      <c r="AE10903" s="1"/>
      <c r="AF10903" s="1"/>
      <c r="AG10903" s="1"/>
      <c r="AH10903" s="1"/>
    </row>
    <row r="10904" ht="12.75" hidden="1" customHeight="1" outlineLevel="1">
      <c r="A10904" s="202">
        <v>43502.0</v>
      </c>
      <c r="B10904" s="992"/>
      <c r="C10904" s="32" t="s">
        <v>952</v>
      </c>
      <c r="D10904" s="1"/>
      <c r="F10904" s="231" t="s">
        <v>953</v>
      </c>
      <c r="G10904" s="1"/>
      <c r="H10904" s="68"/>
      <c r="I10904" s="1024">
        <v>0.0</v>
      </c>
      <c r="K10904" s="9" t="s">
        <v>3776</v>
      </c>
      <c r="L10904" s="77"/>
      <c r="M10904" s="79"/>
      <c r="N10904" s="1"/>
      <c r="O10904" s="1"/>
      <c r="P10904" s="1"/>
      <c r="Q10904" s="1"/>
      <c r="R10904" s="1"/>
      <c r="S10904" s="1"/>
      <c r="T10904" s="1"/>
      <c r="U10904" s="1"/>
      <c r="V10904" s="1"/>
      <c r="W10904" s="1"/>
      <c r="X10904" s="1"/>
      <c r="Y10904" s="1"/>
      <c r="Z10904" s="1"/>
      <c r="AA10904" s="1"/>
      <c r="AB10904" s="1"/>
      <c r="AC10904" s="1"/>
      <c r="AD10904" s="1"/>
      <c r="AE10904" s="1"/>
      <c r="AF10904" s="1"/>
      <c r="AG10904" s="1"/>
      <c r="AH10904" s="1"/>
    </row>
    <row r="10905" ht="12.75" hidden="1" customHeight="1" outlineLevel="1">
      <c r="A10905" s="202">
        <v>43502.0</v>
      </c>
      <c r="B10905" s="992"/>
      <c r="C10905" s="32" t="s">
        <v>955</v>
      </c>
      <c r="D10905" s="1"/>
      <c r="F10905" s="231" t="s">
        <v>3718</v>
      </c>
      <c r="G10905" s="1"/>
      <c r="H10905" s="68"/>
      <c r="I10905" s="1024">
        <v>0.0</v>
      </c>
      <c r="K10905" s="9" t="s">
        <v>3777</v>
      </c>
      <c r="L10905" s="77"/>
      <c r="M10905" s="79"/>
      <c r="N10905" s="1"/>
      <c r="O10905" s="1"/>
      <c r="P10905" s="1"/>
      <c r="Q10905" s="1"/>
      <c r="R10905" s="1"/>
      <c r="S10905" s="1"/>
      <c r="T10905" s="1"/>
      <c r="U10905" s="1"/>
      <c r="V10905" s="1"/>
      <c r="W10905" s="1"/>
      <c r="X10905" s="1"/>
      <c r="Y10905" s="1"/>
      <c r="Z10905" s="1"/>
      <c r="AA10905" s="1"/>
      <c r="AB10905" s="1"/>
      <c r="AC10905" s="1"/>
      <c r="AD10905" s="1"/>
      <c r="AE10905" s="1"/>
      <c r="AF10905" s="1"/>
      <c r="AG10905" s="1"/>
      <c r="AH10905" s="1"/>
    </row>
    <row r="10906" ht="12.75" hidden="1" customHeight="1" outlineLevel="1">
      <c r="A10906" s="202">
        <v>43502.0</v>
      </c>
      <c r="B10906" s="992"/>
      <c r="C10906" s="32" t="s">
        <v>958</v>
      </c>
      <c r="D10906" s="1"/>
      <c r="F10906" s="231" t="s">
        <v>3720</v>
      </c>
      <c r="G10906" s="1"/>
      <c r="H10906" s="68"/>
      <c r="I10906" s="1024">
        <v>1.0</v>
      </c>
      <c r="K10906" s="9" t="s">
        <v>3771</v>
      </c>
      <c r="L10906" s="77"/>
      <c r="M10906" s="79"/>
      <c r="N10906" s="1"/>
      <c r="O10906" s="1"/>
      <c r="P10906" s="1"/>
      <c r="Q10906" s="1"/>
      <c r="R10906" s="1"/>
      <c r="S10906" s="1"/>
      <c r="T10906" s="1"/>
      <c r="U10906" s="1"/>
      <c r="V10906" s="1"/>
      <c r="W10906" s="1"/>
      <c r="X10906" s="1"/>
      <c r="Y10906" s="1"/>
      <c r="Z10906" s="1"/>
      <c r="AA10906" s="1"/>
      <c r="AB10906" s="1"/>
      <c r="AC10906" s="1"/>
      <c r="AD10906" s="1"/>
      <c r="AE10906" s="1"/>
      <c r="AF10906" s="1"/>
      <c r="AG10906" s="1"/>
      <c r="AH10906" s="1"/>
    </row>
    <row r="10907" ht="12.75" hidden="1" customHeight="1" outlineLevel="1">
      <c r="A10907" s="202">
        <v>43502.0</v>
      </c>
      <c r="B10907" s="992"/>
      <c r="C10907" s="32" t="s">
        <v>961</v>
      </c>
      <c r="D10907" s="1"/>
      <c r="F10907" s="245" t="s">
        <v>3721</v>
      </c>
      <c r="G10907" s="247"/>
      <c r="H10907" s="1025"/>
      <c r="I10907" s="1026">
        <v>2.0</v>
      </c>
      <c r="K10907" s="9" t="s">
        <v>964</v>
      </c>
      <c r="L10907" s="77"/>
      <c r="M10907" s="79"/>
      <c r="N10907" s="1"/>
      <c r="O10907" s="1"/>
      <c r="P10907" s="1"/>
      <c r="Q10907" s="1"/>
      <c r="R10907" s="1"/>
      <c r="S10907" s="1"/>
      <c r="T10907" s="1"/>
      <c r="U10907" s="1"/>
      <c r="V10907" s="1"/>
      <c r="W10907" s="1"/>
      <c r="X10907" s="1"/>
      <c r="Y10907" s="1"/>
      <c r="Z10907" s="1"/>
      <c r="AA10907" s="1"/>
      <c r="AB10907" s="1"/>
      <c r="AC10907" s="1"/>
      <c r="AD10907" s="1"/>
      <c r="AE10907" s="1"/>
      <c r="AF10907" s="1"/>
      <c r="AG10907" s="1"/>
      <c r="AH10907" s="1"/>
    </row>
    <row r="10908" ht="12.75" hidden="1" customHeight="1" outlineLevel="1">
      <c r="A10908" s="202">
        <v>43503.0</v>
      </c>
      <c r="B10908" s="985" t="s">
        <v>347</v>
      </c>
      <c r="C10908" s="94" t="s">
        <v>1061</v>
      </c>
      <c r="D10908" s="286">
        <v>1000.0</v>
      </c>
      <c r="E10908" s="94">
        <v>46.255</v>
      </c>
      <c r="F10908" s="1003">
        <v>0.4718287037037037</v>
      </c>
      <c r="G10908" s="1004" t="s">
        <v>453</v>
      </c>
      <c r="H10908" s="987">
        <v>5.72</v>
      </c>
      <c r="I10908" s="988" t="s">
        <v>3145</v>
      </c>
      <c r="J10908" s="67">
        <f t="shared" ref="J10908:J10914" si="612">IF(B10908="SLD",D10908*E10908,-D10908*E10908)-H10908</f>
        <v>46249.28</v>
      </c>
      <c r="K10908" s="1"/>
      <c r="L10908" s="70"/>
      <c r="M10908" s="79"/>
      <c r="N10908" s="1"/>
      <c r="O10908" s="1"/>
      <c r="P10908" s="1"/>
      <c r="Q10908" s="1"/>
      <c r="R10908" s="1"/>
      <c r="S10908" s="1"/>
      <c r="T10908" s="1"/>
      <c r="U10908" s="1"/>
      <c r="V10908" s="1"/>
      <c r="W10908" s="1"/>
      <c r="X10908" s="1"/>
      <c r="Y10908" s="1"/>
      <c r="Z10908" s="1"/>
      <c r="AA10908" s="1"/>
      <c r="AB10908" s="1"/>
      <c r="AC10908" s="1"/>
      <c r="AD10908" s="1"/>
      <c r="AE10908" s="1"/>
      <c r="AF10908" s="1"/>
      <c r="AG10908" s="1"/>
      <c r="AH10908" s="1"/>
    </row>
    <row r="10909" ht="12.75" hidden="1" customHeight="1" outlineLevel="1">
      <c r="A10909" s="202">
        <v>43503.0</v>
      </c>
      <c r="B10909" s="985" t="s">
        <v>347</v>
      </c>
      <c r="C10909" s="94" t="s">
        <v>605</v>
      </c>
      <c r="D10909" s="94">
        <v>600.0</v>
      </c>
      <c r="E10909" s="94">
        <v>92.589</v>
      </c>
      <c r="F10909" s="1003">
        <v>0.4726388888888889</v>
      </c>
      <c r="G10909" s="1004" t="s">
        <v>453</v>
      </c>
      <c r="H10909" s="987">
        <v>3.79</v>
      </c>
      <c r="I10909" s="988" t="s">
        <v>3145</v>
      </c>
      <c r="J10909" s="67">
        <f t="shared" si="612"/>
        <v>55549.61</v>
      </c>
      <c r="K10909" s="1030">
        <f>J10909/3+J10885</f>
        <v>-500.4633333</v>
      </c>
      <c r="L10909" s="70"/>
      <c r="M10909" s="79"/>
      <c r="N10909" s="1"/>
      <c r="O10909" s="1"/>
      <c r="P10909" s="1"/>
      <c r="Q10909" s="1"/>
      <c r="R10909" s="1"/>
      <c r="S10909" s="1"/>
      <c r="T10909" s="1"/>
      <c r="U10909" s="1"/>
      <c r="V10909" s="1"/>
      <c r="W10909" s="1"/>
      <c r="X10909" s="1"/>
      <c r="Y10909" s="1"/>
      <c r="Z10909" s="1"/>
      <c r="AA10909" s="1"/>
      <c r="AB10909" s="1"/>
      <c r="AC10909" s="1"/>
      <c r="AD10909" s="1"/>
      <c r="AE10909" s="1"/>
      <c r="AF10909" s="1"/>
      <c r="AG10909" s="1"/>
      <c r="AH10909" s="1"/>
    </row>
    <row r="10910" ht="12.75" hidden="1" customHeight="1" outlineLevel="1">
      <c r="A10910" s="202">
        <v>43503.0</v>
      </c>
      <c r="B10910" s="985" t="s">
        <v>347</v>
      </c>
      <c r="C10910" s="94" t="s">
        <v>1079</v>
      </c>
      <c r="D10910" s="94">
        <v>100.0</v>
      </c>
      <c r="E10910" s="94">
        <v>102.01</v>
      </c>
      <c r="F10910" s="1003">
        <v>0.47708333333333336</v>
      </c>
      <c r="G10910" s="1004" t="s">
        <v>453</v>
      </c>
      <c r="H10910" s="987">
        <v>1.14</v>
      </c>
      <c r="I10910" s="988" t="s">
        <v>3145</v>
      </c>
      <c r="J10910" s="67">
        <f t="shared" si="612"/>
        <v>10199.86</v>
      </c>
      <c r="K10910" s="1"/>
      <c r="L10910" s="70"/>
      <c r="M10910" s="79"/>
      <c r="N10910" s="1"/>
      <c r="O10910" s="1"/>
      <c r="P10910" s="1"/>
      <c r="Q10910" s="1"/>
      <c r="R10910" s="1"/>
      <c r="S10910" s="1"/>
      <c r="T10910" s="1"/>
      <c r="U10910" s="1"/>
      <c r="V10910" s="1"/>
      <c r="W10910" s="1"/>
      <c r="X10910" s="1"/>
      <c r="Y10910" s="1"/>
      <c r="Z10910" s="1"/>
      <c r="AA10910" s="1"/>
      <c r="AB10910" s="1"/>
      <c r="AC10910" s="1"/>
      <c r="AD10910" s="1"/>
      <c r="AE10910" s="1"/>
      <c r="AF10910" s="1"/>
      <c r="AG10910" s="1"/>
      <c r="AH10910" s="1"/>
    </row>
    <row r="10911" ht="12.75" hidden="1" customHeight="1" outlineLevel="1">
      <c r="A10911" s="202">
        <v>43503.0</v>
      </c>
      <c r="B10911" s="985" t="s">
        <v>347</v>
      </c>
      <c r="C10911" s="94" t="s">
        <v>1053</v>
      </c>
      <c r="D10911" s="94">
        <v>15.0</v>
      </c>
      <c r="E10911" s="94">
        <v>1605.5832</v>
      </c>
      <c r="F10911" s="1003">
        <v>0.4779976851851852</v>
      </c>
      <c r="G10911" s="1004" t="s">
        <v>453</v>
      </c>
      <c r="H10911" s="987">
        <v>1.31</v>
      </c>
      <c r="I10911" s="988" t="s">
        <v>3145</v>
      </c>
      <c r="J10911" s="67">
        <f t="shared" si="612"/>
        <v>24082.438</v>
      </c>
      <c r="K10911" s="1"/>
      <c r="L10911" s="70"/>
      <c r="M10911" s="79"/>
      <c r="N10911" s="1"/>
      <c r="O10911" s="1"/>
      <c r="P10911" s="1"/>
      <c r="Q10911" s="1"/>
      <c r="R10911" s="1"/>
      <c r="S10911" s="1"/>
      <c r="T10911" s="1"/>
      <c r="U10911" s="1"/>
      <c r="V10911" s="1"/>
      <c r="W10911" s="1"/>
      <c r="X10911" s="1"/>
      <c r="Y10911" s="1"/>
      <c r="Z10911" s="1"/>
      <c r="AA10911" s="1"/>
      <c r="AB10911" s="1"/>
      <c r="AC10911" s="1"/>
      <c r="AD10911" s="1"/>
      <c r="AE10911" s="1"/>
      <c r="AF10911" s="1"/>
      <c r="AG10911" s="1"/>
      <c r="AH10911" s="1"/>
    </row>
    <row r="10912" ht="12.75" hidden="1" customHeight="1" outlineLevel="1">
      <c r="A10912" s="202">
        <v>43503.0</v>
      </c>
      <c r="B10912" s="985" t="s">
        <v>343</v>
      </c>
      <c r="C10912" s="94" t="s">
        <v>1082</v>
      </c>
      <c r="D10912" s="94">
        <v>20.0</v>
      </c>
      <c r="E10912" s="94">
        <v>878.3473</v>
      </c>
      <c r="F10912" s="1003">
        <v>0.6648379629629629</v>
      </c>
      <c r="G10912" s="1004" t="s">
        <v>453</v>
      </c>
      <c r="H10912" s="987">
        <v>1.0</v>
      </c>
      <c r="I10912" s="988" t="s">
        <v>3145</v>
      </c>
      <c r="J10912" s="67">
        <f t="shared" si="612"/>
        <v>-17567.946</v>
      </c>
      <c r="K10912" s="1"/>
      <c r="L10912" s="70"/>
      <c r="M10912" s="79"/>
      <c r="N10912" s="1"/>
      <c r="O10912" s="1"/>
      <c r="P10912" s="1"/>
      <c r="Q10912" s="1"/>
      <c r="R10912" s="1"/>
      <c r="S10912" s="1"/>
      <c r="T10912" s="1"/>
      <c r="U10912" s="1"/>
      <c r="V10912" s="1"/>
      <c r="W10912" s="1"/>
      <c r="X10912" s="1"/>
      <c r="Y10912" s="1"/>
      <c r="Z10912" s="1"/>
      <c r="AA10912" s="1"/>
      <c r="AB10912" s="1"/>
      <c r="AC10912" s="1"/>
      <c r="AD10912" s="1"/>
      <c r="AE10912" s="1"/>
      <c r="AF10912" s="1"/>
      <c r="AG10912" s="1"/>
      <c r="AH10912" s="1"/>
    </row>
    <row r="10913" ht="12.75" hidden="1" customHeight="1" outlineLevel="1">
      <c r="A10913" s="202">
        <v>43503.0</v>
      </c>
      <c r="B10913" s="985" t="s">
        <v>343</v>
      </c>
      <c r="C10913" s="94" t="s">
        <v>1056</v>
      </c>
      <c r="D10913" s="94">
        <v>50.0</v>
      </c>
      <c r="E10913" s="94">
        <v>365.5973</v>
      </c>
      <c r="F10913" s="1003">
        <v>0.6650462962962963</v>
      </c>
      <c r="G10913" s="1004" t="s">
        <v>453</v>
      </c>
      <c r="H10913" s="987">
        <v>1.0</v>
      </c>
      <c r="I10913" s="988" t="s">
        <v>3145</v>
      </c>
      <c r="J10913" s="67">
        <f t="shared" si="612"/>
        <v>-18280.865</v>
      </c>
      <c r="K10913" s="1"/>
      <c r="L10913" s="70"/>
      <c r="M10913" s="79"/>
      <c r="N10913" s="1"/>
      <c r="O10913" s="1"/>
      <c r="P10913" s="1"/>
      <c r="Q10913" s="1"/>
      <c r="R10913" s="1"/>
      <c r="S10913" s="1"/>
      <c r="T10913" s="1"/>
      <c r="U10913" s="1"/>
      <c r="V10913" s="1"/>
      <c r="W10913" s="1"/>
      <c r="X10913" s="1"/>
      <c r="Y10913" s="1"/>
      <c r="Z10913" s="1"/>
      <c r="AA10913" s="1"/>
      <c r="AB10913" s="1"/>
      <c r="AC10913" s="1"/>
      <c r="AD10913" s="1"/>
      <c r="AE10913" s="1"/>
      <c r="AF10913" s="1"/>
      <c r="AG10913" s="1"/>
      <c r="AH10913" s="1"/>
    </row>
    <row r="10914" ht="12.75" hidden="1" customHeight="1" outlineLevel="1">
      <c r="A10914" s="202">
        <v>43504.0</v>
      </c>
      <c r="B10914" s="985" t="s">
        <v>343</v>
      </c>
      <c r="C10914" s="94" t="s">
        <v>605</v>
      </c>
      <c r="D10914" s="94">
        <v>600.0</v>
      </c>
      <c r="E10914" s="94">
        <v>93.51</v>
      </c>
      <c r="F10914" s="1003">
        <v>0.40791666666666665</v>
      </c>
      <c r="G10914" s="1004" t="s">
        <v>453</v>
      </c>
      <c r="H10914" s="987">
        <v>3.0</v>
      </c>
      <c r="I10914" s="988" t="s">
        <v>3145</v>
      </c>
      <c r="J10914" s="67">
        <f t="shared" si="612"/>
        <v>-56109</v>
      </c>
      <c r="K10914" s="1"/>
      <c r="L10914" s="70"/>
      <c r="M10914" s="79"/>
      <c r="N10914" s="1"/>
      <c r="O10914" s="1"/>
      <c r="P10914" s="1"/>
      <c r="Q10914" s="1"/>
      <c r="R10914" s="1"/>
      <c r="S10914" s="1"/>
      <c r="T10914" s="1"/>
      <c r="U10914" s="1"/>
      <c r="V10914" s="1"/>
      <c r="W10914" s="1"/>
      <c r="X10914" s="1"/>
      <c r="Y10914" s="1"/>
      <c r="Z10914" s="1"/>
      <c r="AA10914" s="1"/>
      <c r="AB10914" s="1"/>
      <c r="AC10914" s="1"/>
      <c r="AD10914" s="1"/>
      <c r="AE10914" s="1"/>
      <c r="AF10914" s="1"/>
      <c r="AG10914" s="1"/>
      <c r="AH10914" s="1"/>
    </row>
    <row r="10915" ht="12.75" hidden="1" customHeight="1" outlineLevel="1">
      <c r="A10915" s="197">
        <v>43504.0</v>
      </c>
      <c r="B10915" s="992"/>
      <c r="C10915" s="32" t="s">
        <v>947</v>
      </c>
      <c r="D10915" s="1"/>
      <c r="E10915" s="94" t="s">
        <v>948</v>
      </c>
      <c r="F10915" s="1022" t="s">
        <v>3715</v>
      </c>
      <c r="G10915" s="87"/>
      <c r="H10915" s="199"/>
      <c r="I10915" s="1023">
        <v>0.0</v>
      </c>
      <c r="K10915" s="201" t="s">
        <v>3778</v>
      </c>
      <c r="L10915" s="77"/>
      <c r="M10915" s="79"/>
      <c r="N10915" s="1"/>
      <c r="O10915" s="1"/>
      <c r="P10915" s="1"/>
      <c r="Q10915" s="1"/>
      <c r="R10915" s="1"/>
      <c r="S10915" s="1"/>
      <c r="T10915" s="1"/>
      <c r="U10915" s="1"/>
      <c r="V10915" s="1"/>
      <c r="W10915" s="1"/>
      <c r="X10915" s="1"/>
      <c r="Y10915" s="1"/>
      <c r="Z10915" s="1"/>
      <c r="AA10915" s="1"/>
      <c r="AB10915" s="1"/>
      <c r="AC10915" s="1"/>
      <c r="AD10915" s="1"/>
      <c r="AE10915" s="1"/>
      <c r="AF10915" s="1"/>
      <c r="AG10915" s="1"/>
      <c r="AH10915" s="1"/>
    </row>
    <row r="10916" ht="12.75" hidden="1" customHeight="1" outlineLevel="1">
      <c r="A10916" s="202">
        <v>43504.0</v>
      </c>
      <c r="B10916" s="992"/>
      <c r="C10916" s="32" t="s">
        <v>952</v>
      </c>
      <c r="D10916" s="1"/>
      <c r="F10916" s="231" t="s">
        <v>953</v>
      </c>
      <c r="G10916" s="1"/>
      <c r="H10916" s="68"/>
      <c r="I10916" s="1024">
        <v>0.0</v>
      </c>
      <c r="K10916" s="9" t="s">
        <v>3779</v>
      </c>
      <c r="L10916" s="77"/>
      <c r="M10916" s="79"/>
      <c r="N10916" s="1"/>
      <c r="O10916" s="1"/>
      <c r="P10916" s="1"/>
      <c r="Q10916" s="1"/>
      <c r="R10916" s="1"/>
      <c r="S10916" s="1"/>
      <c r="T10916" s="1"/>
      <c r="U10916" s="1"/>
      <c r="V10916" s="1"/>
      <c r="W10916" s="1"/>
      <c r="X10916" s="1"/>
      <c r="Y10916" s="1"/>
      <c r="Z10916" s="1"/>
      <c r="AA10916" s="1"/>
      <c r="AB10916" s="1"/>
      <c r="AC10916" s="1"/>
      <c r="AD10916" s="1"/>
      <c r="AE10916" s="1"/>
      <c r="AF10916" s="1"/>
      <c r="AG10916" s="1"/>
      <c r="AH10916" s="1"/>
    </row>
    <row r="10917" ht="12.75" hidden="1" customHeight="1" outlineLevel="1">
      <c r="A10917" s="202">
        <v>43504.0</v>
      </c>
      <c r="B10917" s="992"/>
      <c r="C10917" s="32" t="s">
        <v>955</v>
      </c>
      <c r="D10917" s="1"/>
      <c r="F10917" s="231" t="s">
        <v>3718</v>
      </c>
      <c r="G10917" s="1"/>
      <c r="H10917" s="68"/>
      <c r="I10917" s="1024">
        <v>0.0</v>
      </c>
      <c r="K10917" s="9" t="s">
        <v>3780</v>
      </c>
      <c r="L10917" s="77"/>
      <c r="M10917" s="79"/>
      <c r="N10917" s="1"/>
      <c r="O10917" s="1"/>
      <c r="P10917" s="1"/>
      <c r="Q10917" s="1"/>
      <c r="R10917" s="1"/>
      <c r="S10917" s="1"/>
      <c r="T10917" s="1"/>
      <c r="U10917" s="1"/>
      <c r="V10917" s="1"/>
      <c r="W10917" s="1"/>
      <c r="X10917" s="1"/>
      <c r="Y10917" s="1"/>
      <c r="Z10917" s="1"/>
      <c r="AA10917" s="1"/>
      <c r="AB10917" s="1"/>
      <c r="AC10917" s="1"/>
      <c r="AD10917" s="1"/>
      <c r="AE10917" s="1"/>
      <c r="AF10917" s="1"/>
      <c r="AG10917" s="1"/>
      <c r="AH10917" s="1"/>
    </row>
    <row r="10918" ht="12.75" hidden="1" customHeight="1" outlineLevel="1">
      <c r="A10918" s="202">
        <v>43504.0</v>
      </c>
      <c r="B10918" s="992"/>
      <c r="C10918" s="32" t="s">
        <v>958</v>
      </c>
      <c r="D10918" s="1"/>
      <c r="F10918" s="231" t="s">
        <v>3720</v>
      </c>
      <c r="G10918" s="1"/>
      <c r="H10918" s="68"/>
      <c r="I10918" s="1024">
        <v>0.0</v>
      </c>
      <c r="K10918" s="9" t="s">
        <v>3771</v>
      </c>
      <c r="L10918" s="77"/>
      <c r="M10918" s="79"/>
      <c r="N10918" s="1"/>
      <c r="O10918" s="1"/>
      <c r="P10918" s="1"/>
      <c r="Q10918" s="1"/>
      <c r="R10918" s="1"/>
      <c r="S10918" s="1"/>
      <c r="T10918" s="1"/>
      <c r="U10918" s="1"/>
      <c r="V10918" s="1"/>
      <c r="W10918" s="1"/>
      <c r="X10918" s="1"/>
      <c r="Y10918" s="1"/>
      <c r="Z10918" s="1"/>
      <c r="AA10918" s="1"/>
      <c r="AB10918" s="1"/>
      <c r="AC10918" s="1"/>
      <c r="AD10918" s="1"/>
      <c r="AE10918" s="1"/>
      <c r="AF10918" s="1"/>
      <c r="AG10918" s="1"/>
      <c r="AH10918" s="1"/>
    </row>
    <row r="10919" ht="12.75" hidden="1" customHeight="1" outlineLevel="1">
      <c r="A10919" s="202">
        <v>43504.0</v>
      </c>
      <c r="B10919" s="992"/>
      <c r="C10919" s="32" t="s">
        <v>961</v>
      </c>
      <c r="D10919" s="1"/>
      <c r="F10919" s="245" t="s">
        <v>3721</v>
      </c>
      <c r="G10919" s="247"/>
      <c r="H10919" s="1025"/>
      <c r="I10919" s="1026">
        <v>0.0</v>
      </c>
      <c r="K10919" s="9" t="s">
        <v>964</v>
      </c>
      <c r="L10919" s="77"/>
      <c r="M10919" s="79"/>
      <c r="N10919" s="1"/>
      <c r="O10919" s="1"/>
      <c r="P10919" s="1"/>
      <c r="Q10919" s="1"/>
      <c r="R10919" s="1"/>
      <c r="S10919" s="1"/>
      <c r="T10919" s="1"/>
      <c r="U10919" s="1"/>
      <c r="V10919" s="1"/>
      <c r="W10919" s="1"/>
      <c r="X10919" s="1"/>
      <c r="Y10919" s="1"/>
      <c r="Z10919" s="1"/>
      <c r="AA10919" s="1"/>
      <c r="AB10919" s="1"/>
      <c r="AC10919" s="1"/>
      <c r="AD10919" s="1"/>
      <c r="AE10919" s="1"/>
      <c r="AF10919" s="1"/>
      <c r="AG10919" s="1"/>
      <c r="AH10919" s="1"/>
    </row>
    <row r="10920" ht="12.75" hidden="1" customHeight="1" outlineLevel="1">
      <c r="A10920" s="197">
        <v>43506.0</v>
      </c>
      <c r="B10920" s="992"/>
      <c r="C10920" s="32" t="s">
        <v>947</v>
      </c>
      <c r="D10920" s="1"/>
      <c r="E10920" s="94" t="s">
        <v>948</v>
      </c>
      <c r="F10920" s="1022" t="s">
        <v>3715</v>
      </c>
      <c r="G10920" s="87"/>
      <c r="H10920" s="199"/>
      <c r="I10920" s="1023">
        <v>0.0</v>
      </c>
      <c r="K10920" s="201" t="s">
        <v>3781</v>
      </c>
      <c r="L10920" s="77"/>
      <c r="M10920" s="79"/>
      <c r="N10920" s="1"/>
      <c r="O10920" s="1"/>
      <c r="P10920" s="1"/>
      <c r="Q10920" s="1"/>
      <c r="R10920" s="1"/>
      <c r="S10920" s="1"/>
      <c r="T10920" s="1"/>
      <c r="U10920" s="1"/>
      <c r="V10920" s="1"/>
      <c r="W10920" s="1"/>
      <c r="X10920" s="1"/>
      <c r="Y10920" s="1"/>
      <c r="Z10920" s="1"/>
      <c r="AA10920" s="1"/>
      <c r="AB10920" s="1"/>
      <c r="AC10920" s="1"/>
      <c r="AD10920" s="1"/>
      <c r="AE10920" s="1"/>
      <c r="AF10920" s="1"/>
      <c r="AG10920" s="1"/>
      <c r="AH10920" s="1"/>
    </row>
    <row r="10921" ht="12.75" hidden="1" customHeight="1" outlineLevel="1">
      <c r="A10921" s="202">
        <v>43506.0</v>
      </c>
      <c r="B10921" s="992"/>
      <c r="C10921" s="32" t="s">
        <v>952</v>
      </c>
      <c r="D10921" s="1"/>
      <c r="F10921" s="231" t="s">
        <v>953</v>
      </c>
      <c r="G10921" s="1"/>
      <c r="H10921" s="68"/>
      <c r="I10921" s="1024">
        <v>0.0</v>
      </c>
      <c r="K10921" s="9" t="s">
        <v>3782</v>
      </c>
      <c r="L10921" s="77"/>
      <c r="M10921" s="79"/>
      <c r="N10921" s="1"/>
      <c r="O10921" s="1"/>
      <c r="P10921" s="1"/>
      <c r="Q10921" s="1"/>
      <c r="R10921" s="1"/>
      <c r="S10921" s="1"/>
      <c r="T10921" s="1"/>
      <c r="U10921" s="1"/>
      <c r="V10921" s="1"/>
      <c r="W10921" s="1"/>
      <c r="X10921" s="1"/>
      <c r="Y10921" s="1"/>
      <c r="Z10921" s="1"/>
      <c r="AA10921" s="1"/>
      <c r="AB10921" s="1"/>
      <c r="AC10921" s="1"/>
      <c r="AD10921" s="1"/>
      <c r="AE10921" s="1"/>
      <c r="AF10921" s="1"/>
      <c r="AG10921" s="1"/>
      <c r="AH10921" s="1"/>
    </row>
    <row r="10922" ht="12.75" hidden="1" customHeight="1" outlineLevel="1">
      <c r="A10922" s="202">
        <v>43506.0</v>
      </c>
      <c r="B10922" s="992"/>
      <c r="C10922" s="32" t="s">
        <v>955</v>
      </c>
      <c r="D10922" s="1"/>
      <c r="F10922" s="231" t="s">
        <v>3718</v>
      </c>
      <c r="G10922" s="1"/>
      <c r="H10922" s="68"/>
      <c r="I10922" s="1024">
        <v>0.0</v>
      </c>
      <c r="K10922" s="9" t="s">
        <v>3783</v>
      </c>
      <c r="L10922" s="77"/>
      <c r="M10922" s="79"/>
      <c r="N10922" s="1"/>
      <c r="O10922" s="1"/>
      <c r="P10922" s="1"/>
      <c r="Q10922" s="1"/>
      <c r="R10922" s="1"/>
      <c r="S10922" s="1"/>
      <c r="T10922" s="1"/>
      <c r="U10922" s="1"/>
      <c r="V10922" s="1"/>
      <c r="W10922" s="1"/>
      <c r="X10922" s="1"/>
      <c r="Y10922" s="1"/>
      <c r="Z10922" s="1"/>
      <c r="AA10922" s="1"/>
      <c r="AB10922" s="1"/>
      <c r="AC10922" s="1"/>
      <c r="AD10922" s="1"/>
      <c r="AE10922" s="1"/>
      <c r="AF10922" s="1"/>
      <c r="AG10922" s="1"/>
      <c r="AH10922" s="1"/>
    </row>
    <row r="10923" ht="12.75" hidden="1" customHeight="1" outlineLevel="1">
      <c r="A10923" s="202">
        <v>43506.0</v>
      </c>
      <c r="B10923" s="992"/>
      <c r="C10923" s="32" t="s">
        <v>958</v>
      </c>
      <c r="D10923" s="1"/>
      <c r="F10923" s="231" t="s">
        <v>3720</v>
      </c>
      <c r="G10923" s="1"/>
      <c r="H10923" s="68"/>
      <c r="I10923" s="1024">
        <v>0.0</v>
      </c>
      <c r="K10923" s="9" t="s">
        <v>3771</v>
      </c>
      <c r="L10923" s="77"/>
      <c r="M10923" s="79"/>
      <c r="N10923" s="1"/>
      <c r="O10923" s="1"/>
      <c r="P10923" s="1"/>
      <c r="Q10923" s="1"/>
      <c r="R10923" s="1"/>
      <c r="S10923" s="1"/>
      <c r="T10923" s="1"/>
      <c r="U10923" s="1"/>
      <c r="V10923" s="1"/>
      <c r="W10923" s="1"/>
      <c r="X10923" s="1"/>
      <c r="Y10923" s="1"/>
      <c r="Z10923" s="1"/>
      <c r="AA10923" s="1"/>
      <c r="AB10923" s="1"/>
      <c r="AC10923" s="1"/>
      <c r="AD10923" s="1"/>
      <c r="AE10923" s="1"/>
      <c r="AF10923" s="1"/>
      <c r="AG10923" s="1"/>
      <c r="AH10923" s="1"/>
    </row>
    <row r="10924" ht="12.75" hidden="1" customHeight="1" outlineLevel="1">
      <c r="A10924" s="202">
        <v>43506.0</v>
      </c>
      <c r="B10924" s="992"/>
      <c r="C10924" s="32" t="s">
        <v>961</v>
      </c>
      <c r="D10924" s="1"/>
      <c r="F10924" s="245" t="s">
        <v>3721</v>
      </c>
      <c r="G10924" s="247"/>
      <c r="H10924" s="1025"/>
      <c r="I10924" s="1026">
        <v>0.0</v>
      </c>
      <c r="K10924" s="9" t="s">
        <v>964</v>
      </c>
      <c r="L10924" s="77"/>
      <c r="M10924" s="79"/>
      <c r="N10924" s="1"/>
      <c r="O10924" s="1"/>
      <c r="P10924" s="1"/>
      <c r="Q10924" s="1"/>
      <c r="R10924" s="1"/>
      <c r="S10924" s="1"/>
      <c r="T10924" s="1"/>
      <c r="U10924" s="1"/>
      <c r="V10924" s="1"/>
      <c r="W10924" s="1"/>
      <c r="X10924" s="1"/>
      <c r="Y10924" s="1"/>
      <c r="Z10924" s="1"/>
      <c r="AA10924" s="1"/>
      <c r="AB10924" s="1"/>
      <c r="AC10924" s="1"/>
      <c r="AD10924" s="1"/>
      <c r="AE10924" s="1"/>
      <c r="AF10924" s="1"/>
      <c r="AG10924" s="1"/>
      <c r="AH10924" s="1"/>
    </row>
    <row r="10925" ht="12.75" hidden="1" customHeight="1" outlineLevel="1">
      <c r="A10925" s="122">
        <v>43507.0</v>
      </c>
      <c r="B10925" s="974" t="s">
        <v>343</v>
      </c>
      <c r="C10925" s="32" t="s">
        <v>1092</v>
      </c>
      <c r="D10925" s="708">
        <v>1000.0</v>
      </c>
      <c r="E10925" s="9">
        <v>9.61</v>
      </c>
      <c r="F10925" s="709">
        <v>0.6383333333333333</v>
      </c>
      <c r="G10925" s="195" t="s">
        <v>453</v>
      </c>
      <c r="H10925" s="710">
        <v>5.0</v>
      </c>
      <c r="I10925" s="256" t="s">
        <v>3145</v>
      </c>
      <c r="J10925" s="67">
        <f>IF(B10925="SLD",D10925*E10925,-D10925*E10925)-H10925</f>
        <v>-9615</v>
      </c>
      <c r="K10925" s="1"/>
      <c r="L10925" s="70"/>
      <c r="M10925" s="79"/>
      <c r="N10925" s="1"/>
      <c r="O10925" s="1"/>
      <c r="P10925" s="1"/>
      <c r="Q10925" s="1"/>
      <c r="R10925" s="1"/>
      <c r="S10925" s="1"/>
      <c r="T10925" s="1"/>
      <c r="U10925" s="1"/>
      <c r="V10925" s="1"/>
      <c r="W10925" s="1"/>
      <c r="X10925" s="1"/>
      <c r="Y10925" s="1"/>
      <c r="Z10925" s="1"/>
      <c r="AA10925" s="1"/>
      <c r="AB10925" s="1"/>
      <c r="AC10925" s="1"/>
      <c r="AD10925" s="1"/>
      <c r="AE10925" s="1"/>
      <c r="AF10925" s="1"/>
      <c r="AG10925" s="1"/>
      <c r="AH10925" s="1"/>
    </row>
    <row r="10926" ht="12.75" hidden="1" customHeight="1" outlineLevel="1">
      <c r="A10926" s="197">
        <v>43507.0</v>
      </c>
      <c r="B10926" s="992"/>
      <c r="C10926" s="32" t="s">
        <v>947</v>
      </c>
      <c r="D10926" s="1"/>
      <c r="E10926" s="94" t="s">
        <v>948</v>
      </c>
      <c r="F10926" s="1022" t="s">
        <v>3715</v>
      </c>
      <c r="G10926" s="87"/>
      <c r="H10926" s="199"/>
      <c r="I10926" s="1023">
        <v>0.0</v>
      </c>
      <c r="K10926" s="201" t="s">
        <v>3781</v>
      </c>
      <c r="L10926" s="77"/>
      <c r="M10926" s="79"/>
      <c r="N10926" s="1"/>
      <c r="O10926" s="1"/>
      <c r="P10926" s="1"/>
      <c r="Q10926" s="1"/>
      <c r="R10926" s="1"/>
      <c r="S10926" s="1"/>
      <c r="T10926" s="1"/>
      <c r="U10926" s="1"/>
      <c r="V10926" s="1"/>
      <c r="W10926" s="1"/>
      <c r="X10926" s="1"/>
      <c r="Y10926" s="1"/>
      <c r="Z10926" s="1"/>
      <c r="AA10926" s="1"/>
      <c r="AB10926" s="1"/>
      <c r="AC10926" s="1"/>
      <c r="AD10926" s="1"/>
      <c r="AE10926" s="1"/>
      <c r="AF10926" s="1"/>
      <c r="AG10926" s="1"/>
      <c r="AH10926" s="1"/>
    </row>
    <row r="10927" ht="12.75" hidden="1" customHeight="1" outlineLevel="1">
      <c r="A10927" s="202">
        <v>43507.0</v>
      </c>
      <c r="B10927" s="992"/>
      <c r="C10927" s="32" t="s">
        <v>952</v>
      </c>
      <c r="D10927" s="1"/>
      <c r="F10927" s="231" t="s">
        <v>953</v>
      </c>
      <c r="G10927" s="1"/>
      <c r="H10927" s="68"/>
      <c r="I10927" s="1024">
        <v>0.0</v>
      </c>
      <c r="K10927" s="9" t="s">
        <v>3782</v>
      </c>
      <c r="L10927" s="77"/>
      <c r="M10927" s="79"/>
      <c r="N10927" s="1"/>
      <c r="O10927" s="1"/>
      <c r="P10927" s="1"/>
      <c r="Q10927" s="1"/>
      <c r="R10927" s="1"/>
      <c r="S10927" s="1"/>
      <c r="T10927" s="1"/>
      <c r="U10927" s="1"/>
      <c r="V10927" s="1"/>
      <c r="W10927" s="1"/>
      <c r="X10927" s="1"/>
      <c r="Y10927" s="1"/>
      <c r="Z10927" s="1"/>
      <c r="AA10927" s="1"/>
      <c r="AB10927" s="1"/>
      <c r="AC10927" s="1"/>
      <c r="AD10927" s="1"/>
      <c r="AE10927" s="1"/>
      <c r="AF10927" s="1"/>
      <c r="AG10927" s="1"/>
      <c r="AH10927" s="1"/>
    </row>
    <row r="10928" ht="12.75" hidden="1" customHeight="1" outlineLevel="1">
      <c r="A10928" s="202">
        <v>43507.0</v>
      </c>
      <c r="B10928" s="992"/>
      <c r="C10928" s="32" t="s">
        <v>955</v>
      </c>
      <c r="D10928" s="1"/>
      <c r="F10928" s="231" t="s">
        <v>3718</v>
      </c>
      <c r="G10928" s="1"/>
      <c r="H10928" s="68"/>
      <c r="I10928" s="1024">
        <v>0.0</v>
      </c>
      <c r="K10928" s="9" t="s">
        <v>3783</v>
      </c>
      <c r="L10928" s="77"/>
      <c r="M10928" s="79"/>
      <c r="N10928" s="1"/>
      <c r="O10928" s="1"/>
      <c r="P10928" s="1"/>
      <c r="Q10928" s="1"/>
      <c r="R10928" s="1"/>
      <c r="S10928" s="1"/>
      <c r="T10928" s="1"/>
      <c r="U10928" s="1"/>
      <c r="V10928" s="1"/>
      <c r="W10928" s="1"/>
      <c r="X10928" s="1"/>
      <c r="Y10928" s="1"/>
      <c r="Z10928" s="1"/>
      <c r="AA10928" s="1"/>
      <c r="AB10928" s="1"/>
      <c r="AC10928" s="1"/>
      <c r="AD10928" s="1"/>
      <c r="AE10928" s="1"/>
      <c r="AF10928" s="1"/>
      <c r="AG10928" s="1"/>
      <c r="AH10928" s="1"/>
    </row>
    <row r="10929" ht="12.75" hidden="1" customHeight="1" outlineLevel="1">
      <c r="A10929" s="202">
        <v>43507.0</v>
      </c>
      <c r="B10929" s="992"/>
      <c r="C10929" s="32" t="s">
        <v>958</v>
      </c>
      <c r="D10929" s="1"/>
      <c r="F10929" s="231" t="s">
        <v>3720</v>
      </c>
      <c r="G10929" s="1"/>
      <c r="H10929" s="68"/>
      <c r="I10929" s="1024">
        <v>0.0</v>
      </c>
      <c r="K10929" s="9" t="s">
        <v>3784</v>
      </c>
      <c r="L10929" s="77"/>
      <c r="M10929" s="79"/>
      <c r="N10929" s="1"/>
      <c r="O10929" s="1"/>
      <c r="P10929" s="1"/>
      <c r="Q10929" s="1"/>
      <c r="R10929" s="1"/>
      <c r="S10929" s="1"/>
      <c r="T10929" s="1"/>
      <c r="U10929" s="1"/>
      <c r="V10929" s="1"/>
      <c r="W10929" s="1"/>
      <c r="X10929" s="1"/>
      <c r="Y10929" s="1"/>
      <c r="Z10929" s="1"/>
      <c r="AA10929" s="1"/>
      <c r="AB10929" s="1"/>
      <c r="AC10929" s="1"/>
      <c r="AD10929" s="1"/>
      <c r="AE10929" s="1"/>
      <c r="AF10929" s="1"/>
      <c r="AG10929" s="1"/>
      <c r="AH10929" s="1"/>
    </row>
    <row r="10930" ht="12.75" hidden="1" customHeight="1" outlineLevel="1">
      <c r="A10930" s="202">
        <v>43507.0</v>
      </c>
      <c r="B10930" s="992"/>
      <c r="C10930" s="32" t="s">
        <v>961</v>
      </c>
      <c r="D10930" s="1"/>
      <c r="F10930" s="245" t="s">
        <v>3721</v>
      </c>
      <c r="G10930" s="247"/>
      <c r="H10930" s="1025"/>
      <c r="I10930" s="1026">
        <v>0.0</v>
      </c>
      <c r="K10930" s="9" t="s">
        <v>964</v>
      </c>
      <c r="L10930" s="77"/>
      <c r="M10930" s="79"/>
      <c r="N10930" s="1"/>
      <c r="O10930" s="1"/>
      <c r="P10930" s="1"/>
      <c r="Q10930" s="1"/>
      <c r="R10930" s="1"/>
      <c r="S10930" s="1"/>
      <c r="T10930" s="1"/>
      <c r="U10930" s="1"/>
      <c r="V10930" s="1"/>
      <c r="W10930" s="1"/>
      <c r="X10930" s="1"/>
      <c r="Y10930" s="1"/>
      <c r="Z10930" s="1"/>
      <c r="AA10930" s="1"/>
      <c r="AB10930" s="1"/>
      <c r="AC10930" s="1"/>
      <c r="AD10930" s="1"/>
      <c r="AE10930" s="1"/>
      <c r="AF10930" s="1"/>
      <c r="AG10930" s="1"/>
      <c r="AH10930" s="1"/>
    </row>
    <row r="10931" ht="12.75" hidden="1" customHeight="1" outlineLevel="1">
      <c r="A10931" s="197">
        <v>43509.0</v>
      </c>
      <c r="B10931" s="992"/>
      <c r="C10931" s="32" t="s">
        <v>947</v>
      </c>
      <c r="D10931" s="1"/>
      <c r="E10931" s="94" t="s">
        <v>948</v>
      </c>
      <c r="F10931" s="1022" t="s">
        <v>3785</v>
      </c>
      <c r="G10931" s="87"/>
      <c r="H10931" s="199"/>
      <c r="I10931" s="1023">
        <v>1.0</v>
      </c>
      <c r="K10931" s="201" t="s">
        <v>3786</v>
      </c>
      <c r="L10931" s="77"/>
      <c r="M10931" s="79"/>
      <c r="N10931" s="1"/>
      <c r="O10931" s="1"/>
      <c r="P10931" s="1"/>
      <c r="Q10931" s="1"/>
      <c r="R10931" s="1"/>
      <c r="S10931" s="1"/>
      <c r="T10931" s="1"/>
      <c r="U10931" s="1"/>
      <c r="V10931" s="1"/>
      <c r="W10931" s="1"/>
      <c r="X10931" s="1"/>
      <c r="Y10931" s="1"/>
      <c r="Z10931" s="1"/>
      <c r="AA10931" s="1"/>
      <c r="AB10931" s="1"/>
      <c r="AC10931" s="1"/>
      <c r="AD10931" s="1"/>
      <c r="AE10931" s="1"/>
      <c r="AF10931" s="1"/>
      <c r="AG10931" s="1"/>
      <c r="AH10931" s="1"/>
    </row>
    <row r="10932" ht="12.75" hidden="1" customHeight="1" outlineLevel="1">
      <c r="A10932" s="202">
        <v>43509.0</v>
      </c>
      <c r="B10932" s="992"/>
      <c r="C10932" s="32" t="s">
        <v>952</v>
      </c>
      <c r="D10932" s="1"/>
      <c r="F10932" s="231" t="s">
        <v>953</v>
      </c>
      <c r="G10932" s="1"/>
      <c r="H10932" s="68"/>
      <c r="I10932" s="1024">
        <v>0.0</v>
      </c>
      <c r="K10932" s="9" t="s">
        <v>3787</v>
      </c>
      <c r="L10932" s="77"/>
      <c r="M10932" s="79"/>
      <c r="N10932" s="1"/>
      <c r="O10932" s="1"/>
      <c r="P10932" s="1"/>
      <c r="Q10932" s="1"/>
      <c r="R10932" s="1"/>
      <c r="S10932" s="1"/>
      <c r="T10932" s="1"/>
      <c r="U10932" s="1"/>
      <c r="V10932" s="1"/>
      <c r="W10932" s="1"/>
      <c r="X10932" s="1"/>
      <c r="Y10932" s="1"/>
      <c r="Z10932" s="1"/>
      <c r="AA10932" s="1"/>
      <c r="AB10932" s="1"/>
      <c r="AC10932" s="1"/>
      <c r="AD10932" s="1"/>
      <c r="AE10932" s="1"/>
      <c r="AF10932" s="1"/>
      <c r="AG10932" s="1"/>
      <c r="AH10932" s="1"/>
    </row>
    <row r="10933" ht="12.75" hidden="1" customHeight="1" outlineLevel="1">
      <c r="A10933" s="202">
        <v>43509.0</v>
      </c>
      <c r="B10933" s="992"/>
      <c r="C10933" s="32" t="s">
        <v>955</v>
      </c>
      <c r="D10933" s="1"/>
      <c r="F10933" s="231" t="s">
        <v>3718</v>
      </c>
      <c r="G10933" s="1"/>
      <c r="H10933" s="68"/>
      <c r="I10933" s="1024">
        <v>0.0</v>
      </c>
      <c r="K10933" s="9" t="s">
        <v>3788</v>
      </c>
      <c r="L10933" s="77"/>
      <c r="M10933" s="79"/>
      <c r="N10933" s="1"/>
      <c r="O10933" s="1"/>
      <c r="P10933" s="1"/>
      <c r="Q10933" s="1"/>
      <c r="R10933" s="1"/>
      <c r="S10933" s="1"/>
      <c r="T10933" s="1"/>
      <c r="U10933" s="1"/>
      <c r="V10933" s="1"/>
      <c r="W10933" s="1"/>
      <c r="X10933" s="1"/>
      <c r="Y10933" s="1"/>
      <c r="Z10933" s="1"/>
      <c r="AA10933" s="1"/>
      <c r="AB10933" s="1"/>
      <c r="AC10933" s="1"/>
      <c r="AD10933" s="1"/>
      <c r="AE10933" s="1"/>
      <c r="AF10933" s="1"/>
      <c r="AG10933" s="1"/>
      <c r="AH10933" s="1"/>
    </row>
    <row r="10934" ht="12.75" hidden="1" customHeight="1" outlineLevel="1">
      <c r="A10934" s="202">
        <v>43509.0</v>
      </c>
      <c r="B10934" s="992"/>
      <c r="C10934" s="32" t="s">
        <v>958</v>
      </c>
      <c r="D10934" s="1"/>
      <c r="F10934" s="231" t="s">
        <v>3720</v>
      </c>
      <c r="G10934" s="1"/>
      <c r="H10934" s="68"/>
      <c r="I10934" s="1024">
        <v>0.0</v>
      </c>
      <c r="K10934" s="9" t="s">
        <v>3784</v>
      </c>
      <c r="L10934" s="77"/>
      <c r="M10934" s="79"/>
      <c r="N10934" s="1"/>
      <c r="O10934" s="1"/>
      <c r="P10934" s="1"/>
      <c r="Q10934" s="1"/>
      <c r="R10934" s="1"/>
      <c r="S10934" s="1"/>
      <c r="T10934" s="1"/>
      <c r="U10934" s="1"/>
      <c r="V10934" s="1"/>
      <c r="W10934" s="1"/>
      <c r="X10934" s="1"/>
      <c r="Y10934" s="1"/>
      <c r="Z10934" s="1"/>
      <c r="AA10934" s="1"/>
      <c r="AB10934" s="1"/>
      <c r="AC10934" s="1"/>
      <c r="AD10934" s="1"/>
      <c r="AE10934" s="1"/>
      <c r="AF10934" s="1"/>
      <c r="AG10934" s="1"/>
      <c r="AH10934" s="1"/>
    </row>
    <row r="10935" ht="12.75" hidden="1" customHeight="1" outlineLevel="1">
      <c r="A10935" s="202">
        <v>43509.0</v>
      </c>
      <c r="B10935" s="992"/>
      <c r="C10935" s="32" t="s">
        <v>961</v>
      </c>
      <c r="D10935" s="1"/>
      <c r="F10935" s="245" t="s">
        <v>3721</v>
      </c>
      <c r="G10935" s="247"/>
      <c r="H10935" s="1025"/>
      <c r="I10935" s="1026">
        <v>1.0</v>
      </c>
      <c r="K10935" s="9" t="s">
        <v>964</v>
      </c>
      <c r="L10935" s="77"/>
      <c r="M10935" s="79"/>
      <c r="N10935" s="1"/>
      <c r="O10935" s="1"/>
      <c r="P10935" s="1"/>
      <c r="Q10935" s="1"/>
      <c r="R10935" s="1"/>
      <c r="S10935" s="1"/>
      <c r="T10935" s="1"/>
      <c r="U10935" s="1"/>
      <c r="V10935" s="1"/>
      <c r="W10935" s="1"/>
      <c r="X10935" s="1"/>
      <c r="Y10935" s="1"/>
      <c r="Z10935" s="1"/>
      <c r="AA10935" s="1"/>
      <c r="AB10935" s="1"/>
      <c r="AC10935" s="1"/>
      <c r="AD10935" s="1"/>
      <c r="AE10935" s="1"/>
      <c r="AF10935" s="1"/>
      <c r="AG10935" s="1"/>
      <c r="AH10935" s="1"/>
    </row>
    <row r="10936" ht="12.75" hidden="1" customHeight="1" outlineLevel="1">
      <c r="A10936" s="197">
        <v>43510.0</v>
      </c>
      <c r="B10936" s="992"/>
      <c r="C10936" s="32" t="s">
        <v>947</v>
      </c>
      <c r="D10936" s="1"/>
      <c r="E10936" s="94" t="s">
        <v>948</v>
      </c>
      <c r="F10936" s="1022" t="s">
        <v>3785</v>
      </c>
      <c r="G10936" s="87"/>
      <c r="H10936" s="199"/>
      <c r="I10936" s="1023">
        <v>1.0</v>
      </c>
      <c r="K10936" s="201" t="s">
        <v>3789</v>
      </c>
      <c r="L10936" s="77"/>
      <c r="M10936" s="79"/>
      <c r="N10936" s="1"/>
      <c r="O10936" s="1"/>
      <c r="P10936" s="1"/>
      <c r="Q10936" s="1"/>
      <c r="R10936" s="1"/>
      <c r="S10936" s="1"/>
      <c r="T10936" s="1"/>
      <c r="U10936" s="1"/>
      <c r="V10936" s="1"/>
      <c r="W10936" s="1"/>
      <c r="X10936" s="1"/>
      <c r="Y10936" s="1"/>
      <c r="Z10936" s="1"/>
      <c r="AA10936" s="1"/>
      <c r="AB10936" s="1"/>
      <c r="AC10936" s="1"/>
      <c r="AD10936" s="1"/>
      <c r="AE10936" s="1"/>
      <c r="AF10936" s="1"/>
      <c r="AG10936" s="1"/>
      <c r="AH10936" s="1"/>
    </row>
    <row r="10937" ht="12.75" hidden="1" customHeight="1" outlineLevel="1">
      <c r="A10937" s="202">
        <v>43510.0</v>
      </c>
      <c r="B10937" s="992"/>
      <c r="C10937" s="32" t="s">
        <v>952</v>
      </c>
      <c r="D10937" s="1"/>
      <c r="F10937" s="231" t="s">
        <v>953</v>
      </c>
      <c r="G10937" s="1"/>
      <c r="H10937" s="68"/>
      <c r="I10937" s="1024">
        <v>0.0</v>
      </c>
      <c r="K10937" s="9" t="s">
        <v>3790</v>
      </c>
      <c r="L10937" s="77"/>
      <c r="M10937" s="79"/>
      <c r="N10937" s="1"/>
      <c r="O10937" s="1"/>
      <c r="P10937" s="1"/>
      <c r="Q10937" s="1"/>
      <c r="R10937" s="1"/>
      <c r="S10937" s="1"/>
      <c r="T10937" s="1"/>
      <c r="U10937" s="1"/>
      <c r="V10937" s="1"/>
      <c r="W10937" s="1"/>
      <c r="X10937" s="1"/>
      <c r="Y10937" s="1"/>
      <c r="Z10937" s="1"/>
      <c r="AA10937" s="1"/>
      <c r="AB10937" s="1"/>
      <c r="AC10937" s="1"/>
      <c r="AD10937" s="1"/>
      <c r="AE10937" s="1"/>
      <c r="AF10937" s="1"/>
      <c r="AG10937" s="1"/>
      <c r="AH10937" s="1"/>
    </row>
    <row r="10938" ht="12.75" hidden="1" customHeight="1" outlineLevel="1">
      <c r="A10938" s="202">
        <v>43510.0</v>
      </c>
      <c r="B10938" s="992"/>
      <c r="C10938" s="32" t="s">
        <v>955</v>
      </c>
      <c r="D10938" s="1"/>
      <c r="F10938" s="231" t="s">
        <v>3718</v>
      </c>
      <c r="G10938" s="1"/>
      <c r="H10938" s="68"/>
      <c r="I10938" s="1024">
        <v>0.0</v>
      </c>
      <c r="K10938" s="9" t="s">
        <v>3791</v>
      </c>
      <c r="L10938" s="77"/>
      <c r="M10938" s="79"/>
      <c r="N10938" s="1"/>
      <c r="O10938" s="1"/>
      <c r="P10938" s="1"/>
      <c r="Q10938" s="1"/>
      <c r="R10938" s="1"/>
      <c r="S10938" s="1"/>
      <c r="T10938" s="1"/>
      <c r="U10938" s="1"/>
      <c r="V10938" s="1"/>
      <c r="W10938" s="1"/>
      <c r="X10938" s="1"/>
      <c r="Y10938" s="1"/>
      <c r="Z10938" s="1"/>
      <c r="AA10938" s="1"/>
      <c r="AB10938" s="1"/>
      <c r="AC10938" s="1"/>
      <c r="AD10938" s="1"/>
      <c r="AE10938" s="1"/>
      <c r="AF10938" s="1"/>
      <c r="AG10938" s="1"/>
      <c r="AH10938" s="1"/>
    </row>
    <row r="10939" ht="12.75" hidden="1" customHeight="1" outlineLevel="1">
      <c r="A10939" s="202">
        <v>43510.0</v>
      </c>
      <c r="B10939" s="992"/>
      <c r="C10939" s="32" t="s">
        <v>958</v>
      </c>
      <c r="D10939" s="1"/>
      <c r="F10939" s="231" t="s">
        <v>3720</v>
      </c>
      <c r="G10939" s="1"/>
      <c r="H10939" s="68"/>
      <c r="I10939" s="1024">
        <v>0.0</v>
      </c>
      <c r="K10939" s="9" t="s">
        <v>3784</v>
      </c>
      <c r="L10939" s="77"/>
      <c r="M10939" s="79"/>
      <c r="N10939" s="1"/>
      <c r="O10939" s="1"/>
      <c r="P10939" s="1"/>
      <c r="Q10939" s="1"/>
      <c r="R10939" s="1"/>
      <c r="S10939" s="1"/>
      <c r="T10939" s="1"/>
      <c r="U10939" s="1"/>
      <c r="V10939" s="1"/>
      <c r="W10939" s="1"/>
      <c r="X10939" s="1"/>
      <c r="Y10939" s="1"/>
      <c r="Z10939" s="1"/>
      <c r="AA10939" s="1"/>
      <c r="AB10939" s="1"/>
      <c r="AC10939" s="1"/>
      <c r="AD10939" s="1"/>
      <c r="AE10939" s="1"/>
      <c r="AF10939" s="1"/>
      <c r="AG10939" s="1"/>
      <c r="AH10939" s="1"/>
    </row>
    <row r="10940" ht="12.75" hidden="1" customHeight="1" outlineLevel="1">
      <c r="A10940" s="202">
        <v>43510.0</v>
      </c>
      <c r="B10940" s="992"/>
      <c r="C10940" s="32" t="s">
        <v>961</v>
      </c>
      <c r="D10940" s="1"/>
      <c r="F10940" s="245" t="s">
        <v>3721</v>
      </c>
      <c r="G10940" s="247"/>
      <c r="H10940" s="1025"/>
      <c r="I10940" s="1026">
        <v>1.0</v>
      </c>
      <c r="K10940" s="9" t="s">
        <v>964</v>
      </c>
      <c r="L10940" s="77"/>
      <c r="M10940" s="79"/>
      <c r="N10940" s="1"/>
      <c r="O10940" s="1"/>
      <c r="P10940" s="1"/>
      <c r="Q10940" s="1"/>
      <c r="R10940" s="1"/>
      <c r="S10940" s="1"/>
      <c r="T10940" s="1"/>
      <c r="U10940" s="1"/>
      <c r="V10940" s="1"/>
      <c r="W10940" s="1"/>
      <c r="X10940" s="1"/>
      <c r="Y10940" s="1"/>
      <c r="Z10940" s="1"/>
      <c r="AA10940" s="1"/>
      <c r="AB10940" s="1"/>
      <c r="AC10940" s="1"/>
      <c r="AD10940" s="1"/>
      <c r="AE10940" s="1"/>
      <c r="AF10940" s="1"/>
      <c r="AG10940" s="1"/>
      <c r="AH10940" s="1"/>
    </row>
    <row r="10941" ht="12.75" hidden="1" customHeight="1" outlineLevel="1">
      <c r="A10941" s="197">
        <v>43511.0</v>
      </c>
      <c r="B10941" s="992"/>
      <c r="C10941" s="32" t="s">
        <v>947</v>
      </c>
      <c r="D10941" s="1"/>
      <c r="E10941" s="94" t="s">
        <v>948</v>
      </c>
      <c r="F10941" s="1022" t="s">
        <v>3785</v>
      </c>
      <c r="G10941" s="87"/>
      <c r="H10941" s="199"/>
      <c r="I10941" s="1023">
        <v>1.0</v>
      </c>
      <c r="K10941" s="201" t="s">
        <v>3789</v>
      </c>
      <c r="L10941" s="77"/>
      <c r="M10941" s="79"/>
      <c r="N10941" s="1"/>
      <c r="O10941" s="1"/>
      <c r="P10941" s="1"/>
      <c r="Q10941" s="1"/>
      <c r="R10941" s="1"/>
      <c r="S10941" s="1"/>
      <c r="T10941" s="1"/>
      <c r="U10941" s="1"/>
      <c r="V10941" s="1"/>
      <c r="W10941" s="1"/>
      <c r="X10941" s="1"/>
      <c r="Y10941" s="1"/>
      <c r="Z10941" s="1"/>
      <c r="AA10941" s="1"/>
      <c r="AB10941" s="1"/>
      <c r="AC10941" s="1"/>
      <c r="AD10941" s="1"/>
      <c r="AE10941" s="1"/>
      <c r="AF10941" s="1"/>
      <c r="AG10941" s="1"/>
      <c r="AH10941" s="1"/>
    </row>
    <row r="10942" ht="12.75" hidden="1" customHeight="1" outlineLevel="1">
      <c r="A10942" s="202">
        <v>43511.0</v>
      </c>
      <c r="B10942" s="992"/>
      <c r="C10942" s="32" t="s">
        <v>952</v>
      </c>
      <c r="D10942" s="1"/>
      <c r="F10942" s="231" t="s">
        <v>953</v>
      </c>
      <c r="G10942" s="1"/>
      <c r="H10942" s="68"/>
      <c r="I10942" s="1024">
        <v>0.0</v>
      </c>
      <c r="K10942" s="9" t="s">
        <v>3790</v>
      </c>
      <c r="L10942" s="77"/>
      <c r="M10942" s="79"/>
      <c r="N10942" s="1"/>
      <c r="O10942" s="1"/>
      <c r="P10942" s="1"/>
      <c r="Q10942" s="1"/>
      <c r="R10942" s="1"/>
      <c r="S10942" s="1"/>
      <c r="T10942" s="1"/>
      <c r="U10942" s="1"/>
      <c r="V10942" s="1"/>
      <c r="W10942" s="1"/>
      <c r="X10942" s="1"/>
      <c r="Y10942" s="1"/>
      <c r="Z10942" s="1"/>
      <c r="AA10942" s="1"/>
      <c r="AB10942" s="1"/>
      <c r="AC10942" s="1"/>
      <c r="AD10942" s="1"/>
      <c r="AE10942" s="1"/>
      <c r="AF10942" s="1"/>
      <c r="AG10942" s="1"/>
      <c r="AH10942" s="1"/>
    </row>
    <row r="10943" ht="12.75" hidden="1" customHeight="1" outlineLevel="1">
      <c r="A10943" s="202">
        <v>43511.0</v>
      </c>
      <c r="B10943" s="992"/>
      <c r="C10943" s="32" t="s">
        <v>955</v>
      </c>
      <c r="D10943" s="1"/>
      <c r="F10943" s="231" t="s">
        <v>3718</v>
      </c>
      <c r="G10943" s="1"/>
      <c r="H10943" s="68"/>
      <c r="I10943" s="1024">
        <v>0.0</v>
      </c>
      <c r="K10943" s="9" t="s">
        <v>3792</v>
      </c>
      <c r="L10943" s="77"/>
      <c r="M10943" s="79"/>
      <c r="N10943" s="1"/>
      <c r="O10943" s="1"/>
      <c r="P10943" s="1"/>
      <c r="Q10943" s="1"/>
      <c r="R10943" s="1"/>
      <c r="S10943" s="1"/>
      <c r="T10943" s="1"/>
      <c r="U10943" s="1"/>
      <c r="V10943" s="1"/>
      <c r="W10943" s="1"/>
      <c r="X10943" s="1"/>
      <c r="Y10943" s="1"/>
      <c r="Z10943" s="1"/>
      <c r="AA10943" s="1"/>
      <c r="AB10943" s="1"/>
      <c r="AC10943" s="1"/>
      <c r="AD10943" s="1"/>
      <c r="AE10943" s="1"/>
      <c r="AF10943" s="1"/>
      <c r="AG10943" s="1"/>
      <c r="AH10943" s="1"/>
    </row>
    <row r="10944" ht="12.75" hidden="1" customHeight="1" outlineLevel="1">
      <c r="A10944" s="202">
        <v>43511.0</v>
      </c>
      <c r="B10944" s="992"/>
      <c r="C10944" s="32" t="s">
        <v>958</v>
      </c>
      <c r="D10944" s="1"/>
      <c r="F10944" s="231" t="s">
        <v>3720</v>
      </c>
      <c r="G10944" s="1"/>
      <c r="H10944" s="68"/>
      <c r="I10944" s="1024">
        <v>0.0</v>
      </c>
      <c r="K10944" s="9" t="s">
        <v>3784</v>
      </c>
      <c r="L10944" s="77"/>
      <c r="M10944" s="79"/>
      <c r="N10944" s="1"/>
      <c r="O10944" s="1"/>
      <c r="P10944" s="1"/>
      <c r="Q10944" s="1"/>
      <c r="R10944" s="1"/>
      <c r="S10944" s="1"/>
      <c r="T10944" s="1"/>
      <c r="U10944" s="1"/>
      <c r="V10944" s="1"/>
      <c r="W10944" s="1"/>
      <c r="X10944" s="1"/>
      <c r="Y10944" s="1"/>
      <c r="Z10944" s="1"/>
      <c r="AA10944" s="1"/>
      <c r="AB10944" s="1"/>
      <c r="AC10944" s="1"/>
      <c r="AD10944" s="1"/>
      <c r="AE10944" s="1"/>
      <c r="AF10944" s="1"/>
      <c r="AG10944" s="1"/>
      <c r="AH10944" s="1"/>
    </row>
    <row r="10945" ht="12.75" hidden="1" customHeight="1" outlineLevel="1">
      <c r="A10945" s="202">
        <v>43511.0</v>
      </c>
      <c r="B10945" s="992"/>
      <c r="C10945" s="32" t="s">
        <v>961</v>
      </c>
      <c r="D10945" s="1"/>
      <c r="F10945" s="245" t="s">
        <v>3721</v>
      </c>
      <c r="G10945" s="247"/>
      <c r="H10945" s="1025"/>
      <c r="I10945" s="1026">
        <v>1.0</v>
      </c>
      <c r="K10945" s="9" t="s">
        <v>964</v>
      </c>
      <c r="L10945" s="77"/>
      <c r="M10945" s="79"/>
      <c r="N10945" s="1"/>
      <c r="O10945" s="1"/>
      <c r="P10945" s="1"/>
      <c r="Q10945" s="1"/>
      <c r="R10945" s="1"/>
      <c r="S10945" s="1"/>
      <c r="T10945" s="1"/>
      <c r="U10945" s="1"/>
      <c r="V10945" s="1"/>
      <c r="W10945" s="1"/>
      <c r="X10945" s="1"/>
      <c r="Y10945" s="1"/>
      <c r="Z10945" s="1"/>
      <c r="AA10945" s="1"/>
      <c r="AB10945" s="1"/>
      <c r="AC10945" s="1"/>
      <c r="AD10945" s="1"/>
      <c r="AE10945" s="1"/>
      <c r="AF10945" s="1"/>
      <c r="AG10945" s="1"/>
      <c r="AH10945" s="1"/>
    </row>
    <row r="10946" ht="12.75" hidden="1" customHeight="1" outlineLevel="1">
      <c r="A10946" s="197">
        <v>43512.0</v>
      </c>
      <c r="B10946" s="992"/>
      <c r="C10946" s="32" t="s">
        <v>947</v>
      </c>
      <c r="D10946" s="1"/>
      <c r="E10946" s="94" t="s">
        <v>948</v>
      </c>
      <c r="F10946" s="1022" t="s">
        <v>3785</v>
      </c>
      <c r="G10946" s="87"/>
      <c r="H10946" s="199"/>
      <c r="I10946" s="1023">
        <v>1.0</v>
      </c>
      <c r="K10946" s="201" t="s">
        <v>3789</v>
      </c>
      <c r="L10946" s="77"/>
      <c r="M10946" s="79"/>
      <c r="N10946" s="1"/>
      <c r="O10946" s="1"/>
      <c r="P10946" s="1"/>
      <c r="Q10946" s="1"/>
      <c r="R10946" s="1"/>
      <c r="S10946" s="1"/>
      <c r="T10946" s="1"/>
      <c r="U10946" s="1"/>
      <c r="V10946" s="1"/>
      <c r="W10946" s="1"/>
      <c r="X10946" s="1"/>
      <c r="Y10946" s="1"/>
      <c r="Z10946" s="1"/>
      <c r="AA10946" s="1"/>
      <c r="AB10946" s="1"/>
      <c r="AC10946" s="1"/>
      <c r="AD10946" s="1"/>
      <c r="AE10946" s="1"/>
      <c r="AF10946" s="1"/>
      <c r="AG10946" s="1"/>
      <c r="AH10946" s="1"/>
    </row>
    <row r="10947" ht="12.75" hidden="1" customHeight="1" outlineLevel="1">
      <c r="A10947" s="202">
        <v>43512.0</v>
      </c>
      <c r="B10947" s="992"/>
      <c r="C10947" s="32" t="s">
        <v>952</v>
      </c>
      <c r="D10947" s="1"/>
      <c r="F10947" s="231" t="s">
        <v>953</v>
      </c>
      <c r="G10947" s="1"/>
      <c r="H10947" s="68"/>
      <c r="I10947" s="1024">
        <v>0.0</v>
      </c>
      <c r="K10947" s="9" t="s">
        <v>3793</v>
      </c>
      <c r="L10947" s="77"/>
      <c r="M10947" s="79"/>
      <c r="N10947" s="1"/>
      <c r="O10947" s="1"/>
      <c r="P10947" s="1"/>
      <c r="Q10947" s="1"/>
      <c r="R10947" s="1"/>
      <c r="S10947" s="1"/>
      <c r="T10947" s="1"/>
      <c r="U10947" s="1"/>
      <c r="V10947" s="1"/>
      <c r="W10947" s="1"/>
      <c r="X10947" s="1"/>
      <c r="Y10947" s="1"/>
      <c r="Z10947" s="1"/>
      <c r="AA10947" s="1"/>
      <c r="AB10947" s="1"/>
      <c r="AC10947" s="1"/>
      <c r="AD10947" s="1"/>
      <c r="AE10947" s="1"/>
      <c r="AF10947" s="1"/>
      <c r="AG10947" s="1"/>
      <c r="AH10947" s="1"/>
    </row>
    <row r="10948" ht="12.75" hidden="1" customHeight="1" outlineLevel="1">
      <c r="A10948" s="202">
        <v>43512.0</v>
      </c>
      <c r="B10948" s="992"/>
      <c r="C10948" s="32" t="s">
        <v>955</v>
      </c>
      <c r="D10948" s="1"/>
      <c r="F10948" s="231" t="s">
        <v>3718</v>
      </c>
      <c r="G10948" s="1"/>
      <c r="H10948" s="68"/>
      <c r="I10948" s="1024">
        <v>0.0</v>
      </c>
      <c r="K10948" s="9" t="s">
        <v>3792</v>
      </c>
      <c r="L10948" s="77"/>
      <c r="M10948" s="79"/>
      <c r="N10948" s="1"/>
      <c r="O10948" s="1"/>
      <c r="P10948" s="1"/>
      <c r="Q10948" s="1"/>
      <c r="R10948" s="1"/>
      <c r="S10948" s="1"/>
      <c r="T10948" s="1"/>
      <c r="U10948" s="1"/>
      <c r="V10948" s="1"/>
      <c r="W10948" s="1"/>
      <c r="X10948" s="1"/>
      <c r="Y10948" s="1"/>
      <c r="Z10948" s="1"/>
      <c r="AA10948" s="1"/>
      <c r="AB10948" s="1"/>
      <c r="AC10948" s="1"/>
      <c r="AD10948" s="1"/>
      <c r="AE10948" s="1"/>
      <c r="AF10948" s="1"/>
      <c r="AG10948" s="1"/>
      <c r="AH10948" s="1"/>
    </row>
    <row r="10949" ht="12.75" hidden="1" customHeight="1" outlineLevel="1">
      <c r="A10949" s="202">
        <v>43512.0</v>
      </c>
      <c r="B10949" s="992"/>
      <c r="C10949" s="32" t="s">
        <v>958</v>
      </c>
      <c r="D10949" s="1"/>
      <c r="F10949" s="231" t="s">
        <v>3720</v>
      </c>
      <c r="G10949" s="1"/>
      <c r="H10949" s="68"/>
      <c r="I10949" s="1024">
        <v>0.0</v>
      </c>
      <c r="K10949" s="9" t="s">
        <v>3784</v>
      </c>
      <c r="L10949" s="77"/>
      <c r="M10949" s="79"/>
      <c r="N10949" s="1"/>
      <c r="O10949" s="1"/>
      <c r="P10949" s="1"/>
      <c r="Q10949" s="1"/>
      <c r="R10949" s="1"/>
      <c r="S10949" s="1"/>
      <c r="T10949" s="1"/>
      <c r="U10949" s="1"/>
      <c r="V10949" s="1"/>
      <c r="W10949" s="1"/>
      <c r="X10949" s="1"/>
      <c r="Y10949" s="1"/>
      <c r="Z10949" s="1"/>
      <c r="AA10949" s="1"/>
      <c r="AB10949" s="1"/>
      <c r="AC10949" s="1"/>
      <c r="AD10949" s="1"/>
      <c r="AE10949" s="1"/>
      <c r="AF10949" s="1"/>
      <c r="AG10949" s="1"/>
      <c r="AH10949" s="1"/>
    </row>
    <row r="10950" ht="12.75" hidden="1" customHeight="1" outlineLevel="1">
      <c r="A10950" s="202">
        <v>43512.0</v>
      </c>
      <c r="B10950" s="992"/>
      <c r="C10950" s="32" t="s">
        <v>961</v>
      </c>
      <c r="D10950" s="1"/>
      <c r="F10950" s="245" t="s">
        <v>3721</v>
      </c>
      <c r="G10950" s="247"/>
      <c r="H10950" s="1025"/>
      <c r="I10950" s="1026">
        <v>1.0</v>
      </c>
      <c r="K10950" s="9" t="s">
        <v>964</v>
      </c>
      <c r="L10950" s="77"/>
      <c r="M10950" s="79"/>
      <c r="N10950" s="1"/>
      <c r="O10950" s="1"/>
      <c r="P10950" s="1"/>
      <c r="Q10950" s="1"/>
      <c r="R10950" s="1"/>
      <c r="S10950" s="1"/>
      <c r="T10950" s="1"/>
      <c r="U10950" s="1"/>
      <c r="V10950" s="1"/>
      <c r="W10950" s="1"/>
      <c r="X10950" s="1"/>
      <c r="Y10950" s="1"/>
      <c r="Z10950" s="1"/>
      <c r="AA10950" s="1"/>
      <c r="AB10950" s="1"/>
      <c r="AC10950" s="1"/>
      <c r="AD10950" s="1"/>
      <c r="AE10950" s="1"/>
      <c r="AF10950" s="1"/>
      <c r="AG10950" s="1"/>
      <c r="AH10950" s="1"/>
    </row>
    <row r="10951" ht="12.75" hidden="1" customHeight="1" outlineLevel="1">
      <c r="A10951" s="197">
        <v>43513.0</v>
      </c>
      <c r="B10951" s="992"/>
      <c r="C10951" s="32" t="s">
        <v>947</v>
      </c>
      <c r="D10951" s="1"/>
      <c r="E10951" s="94" t="s">
        <v>948</v>
      </c>
      <c r="F10951" s="1022" t="s">
        <v>3785</v>
      </c>
      <c r="G10951" s="87"/>
      <c r="H10951" s="199"/>
      <c r="I10951" s="1023">
        <v>1.0</v>
      </c>
      <c r="K10951" s="201" t="s">
        <v>3789</v>
      </c>
      <c r="L10951" s="77"/>
      <c r="M10951" s="79"/>
      <c r="N10951" s="1"/>
      <c r="O10951" s="1"/>
      <c r="P10951" s="1"/>
      <c r="Q10951" s="1"/>
      <c r="R10951" s="1"/>
      <c r="S10951" s="1"/>
      <c r="T10951" s="1"/>
      <c r="U10951" s="1"/>
      <c r="V10951" s="1"/>
      <c r="W10951" s="1"/>
      <c r="X10951" s="1"/>
      <c r="Y10951" s="1"/>
      <c r="Z10951" s="1"/>
      <c r="AA10951" s="1"/>
      <c r="AB10951" s="1"/>
      <c r="AC10951" s="1"/>
      <c r="AD10951" s="1"/>
      <c r="AE10951" s="1"/>
      <c r="AF10951" s="1"/>
      <c r="AG10951" s="1"/>
      <c r="AH10951" s="1"/>
    </row>
    <row r="10952" ht="12.75" hidden="1" customHeight="1" outlineLevel="1">
      <c r="A10952" s="202">
        <v>43513.0</v>
      </c>
      <c r="B10952" s="992"/>
      <c r="C10952" s="32" t="s">
        <v>952</v>
      </c>
      <c r="D10952" s="1"/>
      <c r="F10952" s="231" t="s">
        <v>953</v>
      </c>
      <c r="G10952" s="1"/>
      <c r="H10952" s="68"/>
      <c r="I10952" s="1024">
        <v>0.0</v>
      </c>
      <c r="K10952" s="9" t="s">
        <v>3794</v>
      </c>
      <c r="L10952" s="77"/>
      <c r="M10952" s="79"/>
      <c r="N10952" s="1"/>
      <c r="O10952" s="1"/>
      <c r="P10952" s="1"/>
      <c r="Q10952" s="1"/>
      <c r="R10952" s="1"/>
      <c r="S10952" s="1"/>
      <c r="T10952" s="1"/>
      <c r="U10952" s="1"/>
      <c r="V10952" s="1"/>
      <c r="W10952" s="1"/>
      <c r="X10952" s="1"/>
      <c r="Y10952" s="1"/>
      <c r="Z10952" s="1"/>
      <c r="AA10952" s="1"/>
      <c r="AB10952" s="1"/>
      <c r="AC10952" s="1"/>
      <c r="AD10952" s="1"/>
      <c r="AE10952" s="1"/>
      <c r="AF10952" s="1"/>
      <c r="AG10952" s="1"/>
      <c r="AH10952" s="1"/>
    </row>
    <row r="10953" ht="12.75" hidden="1" customHeight="1" outlineLevel="1">
      <c r="A10953" s="202">
        <v>43513.0</v>
      </c>
      <c r="B10953" s="992"/>
      <c r="C10953" s="32" t="s">
        <v>955</v>
      </c>
      <c r="D10953" s="1"/>
      <c r="F10953" s="231" t="s">
        <v>3718</v>
      </c>
      <c r="G10953" s="1"/>
      <c r="H10953" s="68"/>
      <c r="I10953" s="1024">
        <v>0.0</v>
      </c>
      <c r="K10953" s="9" t="s">
        <v>3795</v>
      </c>
      <c r="L10953" s="77"/>
      <c r="M10953" s="79"/>
      <c r="N10953" s="1"/>
      <c r="O10953" s="1"/>
      <c r="P10953" s="1"/>
      <c r="Q10953" s="1"/>
      <c r="R10953" s="1"/>
      <c r="S10953" s="1"/>
      <c r="T10953" s="1"/>
      <c r="U10953" s="1"/>
      <c r="V10953" s="1"/>
      <c r="W10953" s="1"/>
      <c r="X10953" s="1"/>
      <c r="Y10953" s="1"/>
      <c r="Z10953" s="1"/>
      <c r="AA10953" s="1"/>
      <c r="AB10953" s="1"/>
      <c r="AC10953" s="1"/>
      <c r="AD10953" s="1"/>
      <c r="AE10953" s="1"/>
      <c r="AF10953" s="1"/>
      <c r="AG10953" s="1"/>
      <c r="AH10953" s="1"/>
    </row>
    <row r="10954" ht="12.75" hidden="1" customHeight="1" outlineLevel="1">
      <c r="A10954" s="202">
        <v>43513.0</v>
      </c>
      <c r="B10954" s="992"/>
      <c r="C10954" s="32" t="s">
        <v>958</v>
      </c>
      <c r="D10954" s="1"/>
      <c r="F10954" s="231" t="s">
        <v>3720</v>
      </c>
      <c r="G10954" s="1"/>
      <c r="H10954" s="68"/>
      <c r="I10954" s="1024">
        <v>0.0</v>
      </c>
      <c r="K10954" s="9" t="s">
        <v>3784</v>
      </c>
      <c r="L10954" s="77"/>
      <c r="M10954" s="79"/>
      <c r="N10954" s="1"/>
      <c r="O10954" s="1"/>
      <c r="P10954" s="1"/>
      <c r="Q10954" s="1"/>
      <c r="R10954" s="1"/>
      <c r="S10954" s="1"/>
      <c r="T10954" s="1"/>
      <c r="U10954" s="1"/>
      <c r="V10954" s="1"/>
      <c r="W10954" s="1"/>
      <c r="X10954" s="1"/>
      <c r="Y10954" s="1"/>
      <c r="Z10954" s="1"/>
      <c r="AA10954" s="1"/>
      <c r="AB10954" s="1"/>
      <c r="AC10954" s="1"/>
      <c r="AD10954" s="1"/>
      <c r="AE10954" s="1"/>
      <c r="AF10954" s="1"/>
      <c r="AG10954" s="1"/>
      <c r="AH10954" s="1"/>
    </row>
    <row r="10955" ht="12.75" hidden="1" customHeight="1" outlineLevel="1">
      <c r="A10955" s="202">
        <v>43513.0</v>
      </c>
      <c r="B10955" s="992"/>
      <c r="C10955" s="32" t="s">
        <v>961</v>
      </c>
      <c r="D10955" s="1"/>
      <c r="F10955" s="245" t="s">
        <v>3721</v>
      </c>
      <c r="G10955" s="247"/>
      <c r="H10955" s="1025"/>
      <c r="I10955" s="1026">
        <v>1.0</v>
      </c>
      <c r="K10955" s="9" t="s">
        <v>964</v>
      </c>
      <c r="L10955" s="77"/>
      <c r="M10955" s="79"/>
      <c r="N10955" s="1"/>
      <c r="O10955" s="1"/>
      <c r="P10955" s="1"/>
      <c r="Q10955" s="1"/>
      <c r="R10955" s="1"/>
      <c r="S10955" s="1"/>
      <c r="T10955" s="1"/>
      <c r="U10955" s="1"/>
      <c r="V10955" s="1"/>
      <c r="W10955" s="1"/>
      <c r="X10955" s="1"/>
      <c r="Y10955" s="1"/>
      <c r="Z10955" s="1"/>
      <c r="AA10955" s="1"/>
      <c r="AB10955" s="1"/>
      <c r="AC10955" s="1"/>
      <c r="AD10955" s="1"/>
      <c r="AE10955" s="1"/>
      <c r="AF10955" s="1"/>
      <c r="AG10955" s="1"/>
      <c r="AH10955" s="1"/>
    </row>
    <row r="10956" ht="12.75" hidden="1" customHeight="1" outlineLevel="1">
      <c r="A10956" s="202">
        <v>43521.0</v>
      </c>
      <c r="B10956" s="985" t="s">
        <v>347</v>
      </c>
      <c r="C10956" s="94" t="s">
        <v>1082</v>
      </c>
      <c r="D10956" s="94">
        <v>10.0</v>
      </c>
      <c r="E10956" s="94">
        <v>888.17</v>
      </c>
      <c r="F10956" s="1003">
        <v>0.647337962962963</v>
      </c>
      <c r="G10956" s="1004" t="s">
        <v>453</v>
      </c>
      <c r="H10956" s="987">
        <v>1.12</v>
      </c>
      <c r="I10956" s="988" t="s">
        <v>3145</v>
      </c>
      <c r="J10956" s="67">
        <f t="shared" ref="J10956:J10959" si="613">IF(B10956="SLD",D10956*E10956,-D10956*E10956)-H10956</f>
        <v>8880.58</v>
      </c>
      <c r="K10956" s="1"/>
      <c r="L10956" s="70"/>
      <c r="M10956" s="79"/>
      <c r="N10956" s="1"/>
      <c r="O10956" s="1"/>
      <c r="P10956" s="1"/>
      <c r="Q10956" s="1"/>
      <c r="R10956" s="1"/>
      <c r="S10956" s="1"/>
      <c r="T10956" s="1"/>
      <c r="U10956" s="1"/>
      <c r="V10956" s="1"/>
      <c r="W10956" s="1"/>
      <c r="X10956" s="1"/>
      <c r="Y10956" s="1"/>
      <c r="Z10956" s="1"/>
      <c r="AA10956" s="1"/>
      <c r="AB10956" s="1"/>
      <c r="AC10956" s="1"/>
      <c r="AD10956" s="1"/>
      <c r="AE10956" s="1"/>
      <c r="AF10956" s="1"/>
      <c r="AG10956" s="1"/>
      <c r="AH10956" s="1"/>
    </row>
    <row r="10957" ht="12.75" hidden="1" customHeight="1" outlineLevel="1">
      <c r="A10957" s="202">
        <v>43521.0</v>
      </c>
      <c r="B10957" s="985" t="s">
        <v>347</v>
      </c>
      <c r="C10957" s="94" t="s">
        <v>1056</v>
      </c>
      <c r="D10957" s="94">
        <v>25.0</v>
      </c>
      <c r="E10957" s="94">
        <v>374.58</v>
      </c>
      <c r="F10957" s="1003">
        <v>0.6480324074074074</v>
      </c>
      <c r="G10957" s="1004" t="s">
        <v>453</v>
      </c>
      <c r="H10957" s="987">
        <v>1.12</v>
      </c>
      <c r="I10957" s="988" t="s">
        <v>3145</v>
      </c>
      <c r="J10957" s="67">
        <f t="shared" si="613"/>
        <v>9363.38</v>
      </c>
      <c r="K10957" s="1"/>
      <c r="L10957" s="70"/>
      <c r="M10957" s="79"/>
      <c r="N10957" s="1"/>
      <c r="O10957" s="1"/>
      <c r="P10957" s="1"/>
      <c r="Q10957" s="1"/>
      <c r="R10957" s="1"/>
      <c r="S10957" s="1"/>
      <c r="T10957" s="1"/>
      <c r="U10957" s="1"/>
      <c r="V10957" s="1"/>
      <c r="W10957" s="1"/>
      <c r="X10957" s="1"/>
      <c r="Y10957" s="1"/>
      <c r="Z10957" s="1"/>
      <c r="AA10957" s="1"/>
      <c r="AB10957" s="1"/>
      <c r="AC10957" s="1"/>
      <c r="AD10957" s="1"/>
      <c r="AE10957" s="1"/>
      <c r="AF10957" s="1"/>
      <c r="AG10957" s="1"/>
      <c r="AH10957" s="1"/>
    </row>
    <row r="10958" ht="12.75" hidden="1" customHeight="1" outlineLevel="1">
      <c r="A10958" s="202">
        <v>43521.0</v>
      </c>
      <c r="B10958" s="985" t="s">
        <v>347</v>
      </c>
      <c r="C10958" s="94" t="s">
        <v>1134</v>
      </c>
      <c r="D10958" s="94">
        <v>50.0</v>
      </c>
      <c r="E10958" s="94">
        <v>94.25</v>
      </c>
      <c r="F10958" s="1003">
        <v>0.6482638888888889</v>
      </c>
      <c r="G10958" s="1004" t="s">
        <v>453</v>
      </c>
      <c r="H10958" s="987">
        <v>1.07</v>
      </c>
      <c r="I10958" s="988" t="s">
        <v>3145</v>
      </c>
      <c r="J10958" s="67">
        <f t="shared" si="613"/>
        <v>4711.43</v>
      </c>
      <c r="K10958" s="1"/>
      <c r="L10958" s="70"/>
      <c r="M10958" s="79"/>
      <c r="N10958" s="1"/>
      <c r="O10958" s="1"/>
      <c r="P10958" s="1"/>
      <c r="Q10958" s="1"/>
      <c r="R10958" s="1"/>
      <c r="S10958" s="1"/>
      <c r="T10958" s="1"/>
      <c r="U10958" s="1"/>
      <c r="V10958" s="1"/>
      <c r="W10958" s="1"/>
      <c r="X10958" s="1"/>
      <c r="Y10958" s="1"/>
      <c r="Z10958" s="1"/>
      <c r="AA10958" s="1"/>
      <c r="AB10958" s="1"/>
      <c r="AC10958" s="1"/>
      <c r="AD10958" s="1"/>
      <c r="AE10958" s="1"/>
      <c r="AF10958" s="1"/>
      <c r="AG10958" s="1"/>
      <c r="AH10958" s="1"/>
    </row>
    <row r="10959" ht="12.75" hidden="1" customHeight="1" outlineLevel="1">
      <c r="A10959" s="202">
        <v>43521.0</v>
      </c>
      <c r="B10959" s="985" t="s">
        <v>343</v>
      </c>
      <c r="C10959" s="94" t="s">
        <v>381</v>
      </c>
      <c r="D10959" s="94">
        <v>50.0</v>
      </c>
      <c r="E10959" s="94">
        <v>165.1769</v>
      </c>
      <c r="F10959" s="1003">
        <v>0.6603356481481482</v>
      </c>
      <c r="G10959" s="1004" t="s">
        <v>453</v>
      </c>
      <c r="H10959" s="987">
        <v>1.0</v>
      </c>
      <c r="I10959" s="988" t="s">
        <v>3145</v>
      </c>
      <c r="J10959" s="67">
        <f t="shared" si="613"/>
        <v>-8259.845</v>
      </c>
      <c r="K10959" s="1"/>
      <c r="L10959" s="70"/>
      <c r="M10959" s="79"/>
      <c r="N10959" s="1"/>
      <c r="O10959" s="1"/>
      <c r="P10959" s="1"/>
      <c r="Q10959" s="1"/>
      <c r="R10959" s="1"/>
      <c r="S10959" s="1"/>
      <c r="T10959" s="1"/>
      <c r="U10959" s="1"/>
      <c r="V10959" s="1"/>
      <c r="W10959" s="1"/>
      <c r="X10959" s="1"/>
      <c r="Y10959" s="1"/>
      <c r="Z10959" s="1"/>
      <c r="AA10959" s="1"/>
      <c r="AB10959" s="1"/>
      <c r="AC10959" s="1"/>
      <c r="AD10959" s="1"/>
      <c r="AE10959" s="1"/>
      <c r="AF10959" s="1"/>
      <c r="AG10959" s="1"/>
      <c r="AH10959" s="1"/>
    </row>
    <row r="10960" ht="12.75" hidden="1" customHeight="1" outlineLevel="1">
      <c r="A10960" s="197">
        <v>43521.0</v>
      </c>
      <c r="B10960" s="992"/>
      <c r="C10960" s="32" t="s">
        <v>947</v>
      </c>
      <c r="D10960" s="1"/>
      <c r="E10960" s="94" t="s">
        <v>948</v>
      </c>
      <c r="F10960" s="1022" t="s">
        <v>3785</v>
      </c>
      <c r="G10960" s="87"/>
      <c r="H10960" s="199"/>
      <c r="I10960" s="1023">
        <v>1.0</v>
      </c>
      <c r="K10960" s="201" t="s">
        <v>3796</v>
      </c>
      <c r="L10960" s="77"/>
      <c r="M10960" s="79"/>
      <c r="N10960" s="1"/>
      <c r="O10960" s="1"/>
      <c r="P10960" s="1"/>
      <c r="Q10960" s="1"/>
      <c r="R10960" s="1"/>
      <c r="S10960" s="1"/>
      <c r="T10960" s="1"/>
      <c r="U10960" s="1"/>
      <c r="V10960" s="1"/>
      <c r="W10960" s="1"/>
      <c r="X10960" s="1"/>
      <c r="Y10960" s="1"/>
      <c r="Z10960" s="1"/>
      <c r="AA10960" s="1"/>
      <c r="AB10960" s="1"/>
      <c r="AC10960" s="1"/>
      <c r="AD10960" s="1"/>
      <c r="AE10960" s="1"/>
      <c r="AF10960" s="1"/>
      <c r="AG10960" s="1"/>
      <c r="AH10960" s="1"/>
    </row>
    <row r="10961" ht="12.75" hidden="1" customHeight="1" outlineLevel="1">
      <c r="A10961" s="202">
        <v>43521.0</v>
      </c>
      <c r="B10961" s="992"/>
      <c r="C10961" s="32" t="s">
        <v>952</v>
      </c>
      <c r="D10961" s="1"/>
      <c r="F10961" s="231" t="s">
        <v>953</v>
      </c>
      <c r="G10961" s="1"/>
      <c r="H10961" s="68"/>
      <c r="I10961" s="1024">
        <v>0.0</v>
      </c>
      <c r="K10961" s="9" t="s">
        <v>3797</v>
      </c>
      <c r="L10961" s="77"/>
      <c r="M10961" s="79"/>
      <c r="N10961" s="1"/>
      <c r="O10961" s="1"/>
      <c r="P10961" s="1"/>
      <c r="Q10961" s="1"/>
      <c r="R10961" s="1"/>
      <c r="S10961" s="1"/>
      <c r="T10961" s="1"/>
      <c r="U10961" s="1"/>
      <c r="V10961" s="1"/>
      <c r="W10961" s="1"/>
      <c r="X10961" s="1"/>
      <c r="Y10961" s="1"/>
      <c r="Z10961" s="1"/>
      <c r="AA10961" s="1"/>
      <c r="AB10961" s="1"/>
      <c r="AC10961" s="1"/>
      <c r="AD10961" s="1"/>
      <c r="AE10961" s="1"/>
      <c r="AF10961" s="1"/>
      <c r="AG10961" s="1"/>
      <c r="AH10961" s="1"/>
    </row>
    <row r="10962" ht="12.75" hidden="1" customHeight="1" outlineLevel="1">
      <c r="A10962" s="202">
        <v>43521.0</v>
      </c>
      <c r="B10962" s="992"/>
      <c r="C10962" s="32" t="s">
        <v>955</v>
      </c>
      <c r="D10962" s="1"/>
      <c r="F10962" s="231" t="s">
        <v>3718</v>
      </c>
      <c r="G10962" s="1"/>
      <c r="H10962" s="68"/>
      <c r="I10962" s="1024">
        <v>0.0</v>
      </c>
      <c r="K10962" s="9" t="s">
        <v>3798</v>
      </c>
      <c r="L10962" s="77"/>
      <c r="M10962" s="79"/>
      <c r="N10962" s="1"/>
      <c r="O10962" s="1"/>
      <c r="P10962" s="1"/>
      <c r="Q10962" s="1"/>
      <c r="R10962" s="1"/>
      <c r="S10962" s="1"/>
      <c r="T10962" s="1"/>
      <c r="U10962" s="1"/>
      <c r="V10962" s="1"/>
      <c r="W10962" s="1"/>
      <c r="X10962" s="1"/>
      <c r="Y10962" s="1"/>
      <c r="Z10962" s="1"/>
      <c r="AA10962" s="1"/>
      <c r="AB10962" s="1"/>
      <c r="AC10962" s="1"/>
      <c r="AD10962" s="1"/>
      <c r="AE10962" s="1"/>
      <c r="AF10962" s="1"/>
      <c r="AG10962" s="1"/>
      <c r="AH10962" s="1"/>
    </row>
    <row r="10963" ht="12.75" hidden="1" customHeight="1" outlineLevel="1">
      <c r="A10963" s="202">
        <v>43521.0</v>
      </c>
      <c r="B10963" s="992"/>
      <c r="C10963" s="32" t="s">
        <v>958</v>
      </c>
      <c r="D10963" s="1"/>
      <c r="F10963" s="231" t="s">
        <v>3720</v>
      </c>
      <c r="G10963" s="1"/>
      <c r="H10963" s="68"/>
      <c r="I10963" s="1024">
        <v>0.0</v>
      </c>
      <c r="K10963" s="9" t="s">
        <v>3799</v>
      </c>
      <c r="L10963" s="77"/>
      <c r="M10963" s="79"/>
      <c r="N10963" s="1"/>
      <c r="O10963" s="1"/>
      <c r="P10963" s="1"/>
      <c r="Q10963" s="1"/>
      <c r="R10963" s="1"/>
      <c r="S10963" s="1"/>
      <c r="T10963" s="1"/>
      <c r="U10963" s="1"/>
      <c r="V10963" s="1"/>
      <c r="W10963" s="1"/>
      <c r="X10963" s="1"/>
      <c r="Y10963" s="1"/>
      <c r="Z10963" s="1"/>
      <c r="AA10963" s="1"/>
      <c r="AB10963" s="1"/>
      <c r="AC10963" s="1"/>
      <c r="AD10963" s="1"/>
      <c r="AE10963" s="1"/>
      <c r="AF10963" s="1"/>
      <c r="AG10963" s="1"/>
      <c r="AH10963" s="1"/>
    </row>
    <row r="10964" ht="12.75" hidden="1" customHeight="1" outlineLevel="1">
      <c r="A10964" s="202">
        <v>43521.0</v>
      </c>
      <c r="B10964" s="992"/>
      <c r="C10964" s="32" t="s">
        <v>961</v>
      </c>
      <c r="D10964" s="1"/>
      <c r="F10964" s="245" t="s">
        <v>3721</v>
      </c>
      <c r="G10964" s="247"/>
      <c r="H10964" s="1025"/>
      <c r="I10964" s="1026">
        <v>1.0</v>
      </c>
      <c r="K10964" s="9" t="s">
        <v>964</v>
      </c>
      <c r="L10964" s="77"/>
      <c r="M10964" s="79"/>
      <c r="N10964" s="1"/>
      <c r="O10964" s="1"/>
      <c r="P10964" s="1"/>
      <c r="Q10964" s="1"/>
      <c r="R10964" s="1"/>
      <c r="S10964" s="1"/>
      <c r="T10964" s="1"/>
      <c r="U10964" s="1"/>
      <c r="V10964" s="1"/>
      <c r="W10964" s="1"/>
      <c r="X10964" s="1"/>
      <c r="Y10964" s="1"/>
      <c r="Z10964" s="1"/>
      <c r="AA10964" s="1"/>
      <c r="AB10964" s="1"/>
      <c r="AC10964" s="1"/>
      <c r="AD10964" s="1"/>
      <c r="AE10964" s="1"/>
      <c r="AF10964" s="1"/>
      <c r="AG10964" s="1"/>
      <c r="AH10964" s="1"/>
    </row>
    <row r="10965" ht="12.75" hidden="1" customHeight="1" outlineLevel="1">
      <c r="A10965" s="202">
        <v>43522.0</v>
      </c>
      <c r="B10965" s="985" t="s">
        <v>343</v>
      </c>
      <c r="C10965" s="94" t="s">
        <v>1053</v>
      </c>
      <c r="D10965" s="94">
        <v>10.0</v>
      </c>
      <c r="E10965" s="94">
        <v>1628.84</v>
      </c>
      <c r="F10965" s="1003">
        <v>0.42681712962962964</v>
      </c>
      <c r="G10965" s="1004" t="s">
        <v>453</v>
      </c>
      <c r="H10965" s="987">
        <v>1.0</v>
      </c>
      <c r="I10965" s="988" t="s">
        <v>3145</v>
      </c>
      <c r="J10965" s="67">
        <f t="shared" ref="J10965:J10968" si="614">IF(B10965="SLD",D10965*E10965,-D10965*E10965)-H10965</f>
        <v>-16289.4</v>
      </c>
      <c r="K10965" s="1"/>
      <c r="L10965" s="70"/>
      <c r="M10965" s="79"/>
      <c r="N10965" s="1"/>
      <c r="O10965" s="1"/>
      <c r="P10965" s="1"/>
      <c r="Q10965" s="1"/>
      <c r="R10965" s="1"/>
      <c r="S10965" s="1"/>
      <c r="T10965" s="1"/>
      <c r="U10965" s="1"/>
      <c r="V10965" s="1"/>
      <c r="W10965" s="1"/>
      <c r="X10965" s="1"/>
      <c r="Y10965" s="1"/>
      <c r="Z10965" s="1"/>
      <c r="AA10965" s="1"/>
      <c r="AB10965" s="1"/>
      <c r="AC10965" s="1"/>
      <c r="AD10965" s="1"/>
      <c r="AE10965" s="1"/>
      <c r="AF10965" s="1"/>
      <c r="AG10965" s="1"/>
      <c r="AH10965" s="1"/>
    </row>
    <row r="10966" ht="12.75" hidden="1" customHeight="1" outlineLevel="1">
      <c r="A10966" s="202">
        <v>43522.0</v>
      </c>
      <c r="B10966" s="985" t="s">
        <v>347</v>
      </c>
      <c r="C10966" s="94" t="s">
        <v>3385</v>
      </c>
      <c r="D10966" s="286">
        <v>1000.0</v>
      </c>
      <c r="E10966" s="94">
        <v>17.9415</v>
      </c>
      <c r="F10966" s="1003">
        <v>0.4535532407407407</v>
      </c>
      <c r="G10966" s="1004" t="s">
        <v>453</v>
      </c>
      <c r="H10966" s="987">
        <v>5.35</v>
      </c>
      <c r="I10966" s="988" t="s">
        <v>3145</v>
      </c>
      <c r="J10966" s="67">
        <f t="shared" si="614"/>
        <v>17936.15</v>
      </c>
      <c r="K10966" s="1030">
        <f>J10966+J10868*2/3</f>
        <v>3403.15</v>
      </c>
      <c r="L10966" s="70"/>
      <c r="M10966" s="79"/>
      <c r="N10966" s="1"/>
      <c r="O10966" s="1"/>
      <c r="P10966" s="1"/>
      <c r="Q10966" s="1"/>
      <c r="R10966" s="1"/>
      <c r="S10966" s="1"/>
      <c r="T10966" s="1"/>
      <c r="U10966" s="1"/>
      <c r="V10966" s="1"/>
      <c r="W10966" s="1"/>
      <c r="X10966" s="1"/>
      <c r="Y10966" s="1"/>
      <c r="Z10966" s="1"/>
      <c r="AA10966" s="1"/>
      <c r="AB10966" s="1"/>
      <c r="AC10966" s="1"/>
      <c r="AD10966" s="1"/>
      <c r="AE10966" s="1"/>
      <c r="AF10966" s="1"/>
      <c r="AG10966" s="1"/>
      <c r="AH10966" s="1"/>
    </row>
    <row r="10967" ht="12.75" hidden="1" customHeight="1" outlineLevel="1">
      <c r="A10967" s="202">
        <v>43523.0</v>
      </c>
      <c r="B10967" s="985" t="s">
        <v>347</v>
      </c>
      <c r="C10967" s="94" t="s">
        <v>1131</v>
      </c>
      <c r="D10967" s="94">
        <v>100.0</v>
      </c>
      <c r="E10967" s="94">
        <v>70.4015</v>
      </c>
      <c r="F10967" s="1003">
        <v>0.6140162037037037</v>
      </c>
      <c r="G10967" s="1004" t="s">
        <v>453</v>
      </c>
      <c r="H10967" s="987">
        <v>1.1</v>
      </c>
      <c r="I10967" s="988" t="s">
        <v>3145</v>
      </c>
      <c r="J10967" s="67">
        <f t="shared" si="614"/>
        <v>7039.05</v>
      </c>
      <c r="K10967" s="1030">
        <f>J10967+J10832*1/3+J10787/6</f>
        <v>579.1916667</v>
      </c>
      <c r="L10967" s="70"/>
      <c r="M10967" s="79"/>
      <c r="N10967" s="1"/>
      <c r="O10967" s="1"/>
      <c r="P10967" s="1"/>
      <c r="Q10967" s="1"/>
      <c r="R10967" s="1"/>
      <c r="S10967" s="1"/>
      <c r="T10967" s="1"/>
      <c r="U10967" s="1"/>
      <c r="V10967" s="1"/>
      <c r="W10967" s="1"/>
      <c r="X10967" s="1"/>
      <c r="Y10967" s="1"/>
      <c r="Z10967" s="1"/>
      <c r="AA10967" s="1"/>
      <c r="AB10967" s="1"/>
      <c r="AC10967" s="1"/>
      <c r="AD10967" s="1"/>
      <c r="AE10967" s="1"/>
      <c r="AF10967" s="1"/>
      <c r="AG10967" s="1"/>
      <c r="AH10967" s="1"/>
    </row>
    <row r="10968" ht="12.75" hidden="1" customHeight="1" outlineLevel="1">
      <c r="A10968" s="202">
        <v>43523.0</v>
      </c>
      <c r="B10968" s="985" t="s">
        <v>347</v>
      </c>
      <c r="C10968" s="94" t="s">
        <v>1092</v>
      </c>
      <c r="D10968" s="286">
        <v>1000.0</v>
      </c>
      <c r="E10968" s="94">
        <v>9.69</v>
      </c>
      <c r="F10968" s="1003">
        <v>0.6156712962962962</v>
      </c>
      <c r="G10968" s="1004" t="s">
        <v>453</v>
      </c>
      <c r="H10968" s="987">
        <v>5.24</v>
      </c>
      <c r="I10968" s="988" t="s">
        <v>3145</v>
      </c>
      <c r="J10968" s="67">
        <f t="shared" si="614"/>
        <v>9684.76</v>
      </c>
      <c r="K10968" s="1030">
        <f>J10968+J10925</f>
        <v>69.76</v>
      </c>
      <c r="L10968" s="70"/>
      <c r="M10968" s="79"/>
      <c r="N10968" s="1"/>
      <c r="O10968" s="1"/>
      <c r="P10968" s="1"/>
      <c r="Q10968" s="1"/>
      <c r="R10968" s="1"/>
      <c r="S10968" s="1"/>
      <c r="T10968" s="1"/>
      <c r="U10968" s="1"/>
      <c r="V10968" s="1"/>
      <c r="W10968" s="1"/>
      <c r="X10968" s="1"/>
      <c r="Y10968" s="1"/>
      <c r="Z10968" s="1"/>
      <c r="AA10968" s="1"/>
      <c r="AB10968" s="1"/>
      <c r="AC10968" s="1"/>
      <c r="AD10968" s="1"/>
      <c r="AE10968" s="1"/>
      <c r="AF10968" s="1"/>
      <c r="AG10968" s="1"/>
      <c r="AH10968" s="1"/>
    </row>
    <row r="10969" ht="12.75" hidden="1" customHeight="1" outlineLevel="1">
      <c r="A10969" s="197">
        <v>43523.0</v>
      </c>
      <c r="B10969" s="992"/>
      <c r="C10969" s="32" t="s">
        <v>947</v>
      </c>
      <c r="D10969" s="1"/>
      <c r="E10969" s="94" t="s">
        <v>948</v>
      </c>
      <c r="F10969" s="1022" t="s">
        <v>3785</v>
      </c>
      <c r="G10969" s="87"/>
      <c r="H10969" s="199"/>
      <c r="I10969" s="1023">
        <v>0.0</v>
      </c>
      <c r="K10969" s="201" t="s">
        <v>3800</v>
      </c>
      <c r="L10969" s="77"/>
      <c r="M10969" s="79"/>
      <c r="N10969" s="1"/>
      <c r="O10969" s="1"/>
      <c r="P10969" s="1"/>
      <c r="Q10969" s="1"/>
      <c r="R10969" s="1"/>
      <c r="S10969" s="1"/>
      <c r="T10969" s="1"/>
      <c r="U10969" s="1"/>
      <c r="V10969" s="1"/>
      <c r="W10969" s="1"/>
      <c r="X10969" s="1"/>
      <c r="Y10969" s="1"/>
      <c r="Z10969" s="1"/>
      <c r="AA10969" s="1"/>
      <c r="AB10969" s="1"/>
      <c r="AC10969" s="1"/>
      <c r="AD10969" s="1"/>
      <c r="AE10969" s="1"/>
      <c r="AF10969" s="1"/>
      <c r="AG10969" s="1"/>
      <c r="AH10969" s="1"/>
    </row>
    <row r="10970" ht="12.75" hidden="1" customHeight="1" outlineLevel="1">
      <c r="A10970" s="202">
        <v>43523.0</v>
      </c>
      <c r="B10970" s="992"/>
      <c r="C10970" s="32" t="s">
        <v>952</v>
      </c>
      <c r="D10970" s="1"/>
      <c r="F10970" s="231" t="s">
        <v>953</v>
      </c>
      <c r="G10970" s="1"/>
      <c r="H10970" s="68"/>
      <c r="I10970" s="1024">
        <v>0.0</v>
      </c>
      <c r="K10970" s="9" t="s">
        <v>3801</v>
      </c>
      <c r="L10970" s="77"/>
      <c r="M10970" s="79"/>
      <c r="N10970" s="1"/>
      <c r="O10970" s="1"/>
      <c r="P10970" s="1"/>
      <c r="Q10970" s="1"/>
      <c r="R10970" s="1"/>
      <c r="S10970" s="1"/>
      <c r="T10970" s="1"/>
      <c r="U10970" s="1"/>
      <c r="V10970" s="1"/>
      <c r="W10970" s="1"/>
      <c r="X10970" s="1"/>
      <c r="Y10970" s="1"/>
      <c r="Z10970" s="1"/>
      <c r="AA10970" s="1"/>
      <c r="AB10970" s="1"/>
      <c r="AC10970" s="1"/>
      <c r="AD10970" s="1"/>
      <c r="AE10970" s="1"/>
      <c r="AF10970" s="1"/>
      <c r="AG10970" s="1"/>
      <c r="AH10970" s="1"/>
    </row>
    <row r="10971" ht="12.75" hidden="1" customHeight="1" outlineLevel="1">
      <c r="A10971" s="202">
        <v>43523.0</v>
      </c>
      <c r="B10971" s="992"/>
      <c r="C10971" s="32" t="s">
        <v>955</v>
      </c>
      <c r="D10971" s="1"/>
      <c r="F10971" s="231" t="s">
        <v>3718</v>
      </c>
      <c r="G10971" s="1"/>
      <c r="H10971" s="68"/>
      <c r="I10971" s="1024">
        <v>0.0</v>
      </c>
      <c r="K10971" s="9" t="s">
        <v>3802</v>
      </c>
      <c r="L10971" s="77"/>
      <c r="M10971" s="79"/>
      <c r="N10971" s="1"/>
      <c r="O10971" s="1"/>
      <c r="P10971" s="1"/>
      <c r="Q10971" s="1"/>
      <c r="R10971" s="1"/>
      <c r="S10971" s="1"/>
      <c r="T10971" s="1"/>
      <c r="U10971" s="1"/>
      <c r="V10971" s="1"/>
      <c r="W10971" s="1"/>
      <c r="X10971" s="1"/>
      <c r="Y10971" s="1"/>
      <c r="Z10971" s="1"/>
      <c r="AA10971" s="1"/>
      <c r="AB10971" s="1"/>
      <c r="AC10971" s="1"/>
      <c r="AD10971" s="1"/>
      <c r="AE10971" s="1"/>
      <c r="AF10971" s="1"/>
      <c r="AG10971" s="1"/>
      <c r="AH10971" s="1"/>
    </row>
    <row r="10972" ht="12.75" hidden="1" customHeight="1" outlineLevel="1">
      <c r="A10972" s="202">
        <v>43523.0</v>
      </c>
      <c r="B10972" s="992"/>
      <c r="C10972" s="32" t="s">
        <v>958</v>
      </c>
      <c r="D10972" s="1"/>
      <c r="F10972" s="231" t="s">
        <v>3720</v>
      </c>
      <c r="G10972" s="1"/>
      <c r="H10972" s="68"/>
      <c r="I10972" s="1024">
        <v>0.0</v>
      </c>
      <c r="K10972" s="9" t="s">
        <v>3799</v>
      </c>
      <c r="L10972" s="77"/>
      <c r="M10972" s="79"/>
      <c r="N10972" s="1"/>
      <c r="O10972" s="1"/>
      <c r="P10972" s="1"/>
      <c r="Q10972" s="1"/>
      <c r="R10972" s="1"/>
      <c r="S10972" s="1"/>
      <c r="T10972" s="1"/>
      <c r="U10972" s="1"/>
      <c r="V10972" s="1"/>
      <c r="W10972" s="1"/>
      <c r="X10972" s="1"/>
      <c r="Y10972" s="1"/>
      <c r="Z10972" s="1"/>
      <c r="AA10972" s="1"/>
      <c r="AB10972" s="1"/>
      <c r="AC10972" s="1"/>
      <c r="AD10972" s="1"/>
      <c r="AE10972" s="1"/>
      <c r="AF10972" s="1"/>
      <c r="AG10972" s="1"/>
      <c r="AH10972" s="1"/>
    </row>
    <row r="10973" ht="12.75" hidden="1" customHeight="1" outlineLevel="1">
      <c r="A10973" s="202">
        <v>43523.0</v>
      </c>
      <c r="B10973" s="992"/>
      <c r="C10973" s="32" t="s">
        <v>961</v>
      </c>
      <c r="D10973" s="1"/>
      <c r="F10973" s="245" t="s">
        <v>3721</v>
      </c>
      <c r="G10973" s="247"/>
      <c r="H10973" s="1025"/>
      <c r="I10973" s="1026">
        <v>0.0</v>
      </c>
      <c r="K10973" s="9" t="s">
        <v>964</v>
      </c>
      <c r="L10973" s="77"/>
      <c r="M10973" s="79"/>
      <c r="N10973" s="1"/>
      <c r="O10973" s="1"/>
      <c r="P10973" s="1"/>
      <c r="Q10973" s="1"/>
      <c r="R10973" s="1"/>
      <c r="S10973" s="1"/>
      <c r="T10973" s="1"/>
      <c r="U10973" s="1"/>
      <c r="V10973" s="1"/>
      <c r="W10973" s="1"/>
      <c r="X10973" s="1"/>
      <c r="Y10973" s="1"/>
      <c r="Z10973" s="1"/>
      <c r="AA10973" s="1"/>
      <c r="AB10973" s="1"/>
      <c r="AC10973" s="1"/>
      <c r="AD10973" s="1"/>
      <c r="AE10973" s="1"/>
      <c r="AF10973" s="1"/>
      <c r="AG10973" s="1"/>
      <c r="AH10973" s="1"/>
    </row>
    <row r="10974" ht="12.75" hidden="1" customHeight="1" outlineLevel="1">
      <c r="A10974" s="197">
        <v>43527.0</v>
      </c>
      <c r="B10974" s="992"/>
      <c r="C10974" s="32" t="s">
        <v>947</v>
      </c>
      <c r="D10974" s="1"/>
      <c r="E10974" s="94" t="s">
        <v>948</v>
      </c>
      <c r="F10974" s="1022" t="s">
        <v>3803</v>
      </c>
      <c r="G10974" s="87"/>
      <c r="H10974" s="199"/>
      <c r="I10974" s="1023">
        <v>1.0</v>
      </c>
      <c r="K10974" s="201" t="s">
        <v>3804</v>
      </c>
      <c r="L10974" s="77"/>
      <c r="M10974" s="79"/>
      <c r="N10974" s="1"/>
      <c r="O10974" s="1"/>
      <c r="P10974" s="1"/>
      <c r="Q10974" s="1"/>
      <c r="R10974" s="1"/>
      <c r="S10974" s="1"/>
      <c r="T10974" s="1"/>
      <c r="U10974" s="1"/>
      <c r="V10974" s="1"/>
      <c r="W10974" s="1"/>
      <c r="X10974" s="1"/>
      <c r="Y10974" s="1"/>
      <c r="Z10974" s="1"/>
      <c r="AA10974" s="1"/>
      <c r="AB10974" s="1"/>
      <c r="AC10974" s="1"/>
      <c r="AD10974" s="1"/>
      <c r="AE10974" s="1"/>
      <c r="AF10974" s="1"/>
      <c r="AG10974" s="1"/>
      <c r="AH10974" s="1"/>
    </row>
    <row r="10975" ht="12.75" hidden="1" customHeight="1" outlineLevel="1">
      <c r="A10975" s="202">
        <v>43527.0</v>
      </c>
      <c r="B10975" s="992"/>
      <c r="C10975" s="32" t="s">
        <v>952</v>
      </c>
      <c r="D10975" s="1"/>
      <c r="F10975" s="231" t="s">
        <v>953</v>
      </c>
      <c r="G10975" s="1"/>
      <c r="H10975" s="68"/>
      <c r="I10975" s="1024">
        <v>0.0</v>
      </c>
      <c r="K10975" s="9" t="s">
        <v>3805</v>
      </c>
      <c r="L10975" s="77"/>
      <c r="M10975" s="79"/>
      <c r="N10975" s="1"/>
      <c r="O10975" s="1"/>
      <c r="P10975" s="1"/>
      <c r="Q10975" s="1"/>
      <c r="R10975" s="1"/>
      <c r="S10975" s="1"/>
      <c r="T10975" s="1"/>
      <c r="U10975" s="1"/>
      <c r="V10975" s="1"/>
      <c r="W10975" s="1"/>
      <c r="X10975" s="1"/>
      <c r="Y10975" s="1"/>
      <c r="Z10975" s="1"/>
      <c r="AA10975" s="1"/>
      <c r="AB10975" s="1"/>
      <c r="AC10975" s="1"/>
      <c r="AD10975" s="1"/>
      <c r="AE10975" s="1"/>
      <c r="AF10975" s="1"/>
      <c r="AG10975" s="1"/>
      <c r="AH10975" s="1"/>
    </row>
    <row r="10976" ht="12.75" hidden="1" customHeight="1" outlineLevel="1">
      <c r="A10976" s="202">
        <v>43527.0</v>
      </c>
      <c r="B10976" s="992"/>
      <c r="C10976" s="32" t="s">
        <v>955</v>
      </c>
      <c r="D10976" s="1"/>
      <c r="F10976" s="231" t="s">
        <v>3718</v>
      </c>
      <c r="G10976" s="1"/>
      <c r="H10976" s="68"/>
      <c r="I10976" s="1024">
        <v>0.0</v>
      </c>
      <c r="K10976" s="9" t="s">
        <v>3806</v>
      </c>
      <c r="L10976" s="77"/>
      <c r="M10976" s="79"/>
      <c r="N10976" s="1"/>
      <c r="O10976" s="1"/>
      <c r="P10976" s="1"/>
      <c r="Q10976" s="1"/>
      <c r="R10976" s="1"/>
      <c r="S10976" s="1"/>
      <c r="T10976" s="1"/>
      <c r="U10976" s="1"/>
      <c r="V10976" s="1"/>
      <c r="W10976" s="1"/>
      <c r="X10976" s="1"/>
      <c r="Y10976" s="1"/>
      <c r="Z10976" s="1"/>
      <c r="AA10976" s="1"/>
      <c r="AB10976" s="1"/>
      <c r="AC10976" s="1"/>
      <c r="AD10976" s="1"/>
      <c r="AE10976" s="1"/>
      <c r="AF10976" s="1"/>
      <c r="AG10976" s="1"/>
      <c r="AH10976" s="1"/>
    </row>
    <row r="10977" ht="12.75" hidden="1" customHeight="1" outlineLevel="1">
      <c r="A10977" s="202">
        <v>43527.0</v>
      </c>
      <c r="B10977" s="992"/>
      <c r="C10977" s="32" t="s">
        <v>958</v>
      </c>
      <c r="D10977" s="1"/>
      <c r="F10977" s="231" t="s">
        <v>3720</v>
      </c>
      <c r="G10977" s="1"/>
      <c r="H10977" s="68"/>
      <c r="I10977" s="1024">
        <v>0.0</v>
      </c>
      <c r="K10977" s="9" t="s">
        <v>3799</v>
      </c>
      <c r="L10977" s="77"/>
      <c r="M10977" s="79"/>
      <c r="N10977" s="1"/>
      <c r="O10977" s="1"/>
      <c r="P10977" s="1"/>
      <c r="Q10977" s="1"/>
      <c r="R10977" s="1"/>
      <c r="S10977" s="1"/>
      <c r="T10977" s="1"/>
      <c r="U10977" s="1"/>
      <c r="V10977" s="1"/>
      <c r="W10977" s="1"/>
      <c r="X10977" s="1"/>
      <c r="Y10977" s="1"/>
      <c r="Z10977" s="1"/>
      <c r="AA10977" s="1"/>
      <c r="AB10977" s="1"/>
      <c r="AC10977" s="1"/>
      <c r="AD10977" s="1"/>
      <c r="AE10977" s="1"/>
      <c r="AF10977" s="1"/>
      <c r="AG10977" s="1"/>
      <c r="AH10977" s="1"/>
    </row>
    <row r="10978" ht="12.75" hidden="1" customHeight="1" outlineLevel="1">
      <c r="A10978" s="202">
        <v>43527.0</v>
      </c>
      <c r="B10978" s="992"/>
      <c r="C10978" s="32" t="s">
        <v>961</v>
      </c>
      <c r="D10978" s="1"/>
      <c r="F10978" s="245" t="s">
        <v>3721</v>
      </c>
      <c r="G10978" s="247"/>
      <c r="H10978" s="1025"/>
      <c r="I10978" s="1026">
        <v>1.0</v>
      </c>
      <c r="K10978" s="9" t="s">
        <v>964</v>
      </c>
      <c r="L10978" s="77"/>
      <c r="M10978" s="79"/>
      <c r="N10978" s="1"/>
      <c r="O10978" s="1"/>
      <c r="P10978" s="1"/>
      <c r="Q10978" s="1"/>
      <c r="R10978" s="1"/>
      <c r="S10978" s="1"/>
      <c r="T10978" s="1"/>
      <c r="U10978" s="1"/>
      <c r="V10978" s="1"/>
      <c r="W10978" s="1"/>
      <c r="X10978" s="1"/>
      <c r="Y10978" s="1"/>
      <c r="Z10978" s="1"/>
      <c r="AA10978" s="1"/>
      <c r="AB10978" s="1"/>
      <c r="AC10978" s="1"/>
      <c r="AD10978" s="1"/>
      <c r="AE10978" s="1"/>
      <c r="AF10978" s="1"/>
      <c r="AG10978" s="1"/>
      <c r="AH10978" s="1"/>
    </row>
    <row r="10979" ht="12.75" hidden="1" customHeight="1" outlineLevel="1">
      <c r="A10979" s="197">
        <v>43528.0</v>
      </c>
      <c r="B10979" s="992"/>
      <c r="C10979" s="32" t="s">
        <v>947</v>
      </c>
      <c r="D10979" s="1"/>
      <c r="E10979" s="94" t="s">
        <v>948</v>
      </c>
      <c r="F10979" s="1022" t="s">
        <v>3803</v>
      </c>
      <c r="G10979" s="87"/>
      <c r="H10979" s="199"/>
      <c r="I10979" s="1023">
        <v>1.0</v>
      </c>
      <c r="K10979" s="201" t="s">
        <v>3804</v>
      </c>
      <c r="L10979" s="77"/>
      <c r="M10979" s="79"/>
      <c r="N10979" s="1"/>
      <c r="O10979" s="1"/>
      <c r="P10979" s="1"/>
      <c r="Q10979" s="1"/>
      <c r="R10979" s="1"/>
      <c r="S10979" s="1"/>
      <c r="T10979" s="1"/>
      <c r="U10979" s="1"/>
      <c r="V10979" s="1"/>
      <c r="W10979" s="1"/>
      <c r="X10979" s="1"/>
      <c r="Y10979" s="1"/>
      <c r="Z10979" s="1"/>
      <c r="AA10979" s="1"/>
      <c r="AB10979" s="1"/>
      <c r="AC10979" s="1"/>
      <c r="AD10979" s="1"/>
      <c r="AE10979" s="1"/>
      <c r="AF10979" s="1"/>
      <c r="AG10979" s="1"/>
      <c r="AH10979" s="1"/>
    </row>
    <row r="10980" ht="12.75" hidden="1" customHeight="1" outlineLevel="1">
      <c r="A10980" s="202">
        <v>43528.0</v>
      </c>
      <c r="B10980" s="992"/>
      <c r="C10980" s="32" t="s">
        <v>952</v>
      </c>
      <c r="D10980" s="1"/>
      <c r="F10980" s="231" t="s">
        <v>953</v>
      </c>
      <c r="G10980" s="1"/>
      <c r="H10980" s="68"/>
      <c r="I10980" s="1024">
        <v>0.0</v>
      </c>
      <c r="K10980" s="9" t="s">
        <v>3807</v>
      </c>
      <c r="L10980" s="77"/>
      <c r="M10980" s="79"/>
      <c r="N10980" s="1"/>
      <c r="O10980" s="1"/>
      <c r="P10980" s="1"/>
      <c r="Q10980" s="1"/>
      <c r="R10980" s="1"/>
      <c r="S10980" s="1"/>
      <c r="T10980" s="1"/>
      <c r="U10980" s="1"/>
      <c r="V10980" s="1"/>
      <c r="W10980" s="1"/>
      <c r="X10980" s="1"/>
      <c r="Y10980" s="1"/>
      <c r="Z10980" s="1"/>
      <c r="AA10980" s="1"/>
      <c r="AB10980" s="1"/>
      <c r="AC10980" s="1"/>
      <c r="AD10980" s="1"/>
      <c r="AE10980" s="1"/>
      <c r="AF10980" s="1"/>
      <c r="AG10980" s="1"/>
      <c r="AH10980" s="1"/>
    </row>
    <row r="10981" ht="12.75" hidden="1" customHeight="1" outlineLevel="1">
      <c r="A10981" s="202">
        <v>43528.0</v>
      </c>
      <c r="B10981" s="992"/>
      <c r="C10981" s="32" t="s">
        <v>955</v>
      </c>
      <c r="D10981" s="1"/>
      <c r="F10981" s="231" t="s">
        <v>3718</v>
      </c>
      <c r="G10981" s="1"/>
      <c r="H10981" s="68"/>
      <c r="I10981" s="1024">
        <v>0.0</v>
      </c>
      <c r="K10981" s="9" t="s">
        <v>3808</v>
      </c>
      <c r="L10981" s="77"/>
      <c r="M10981" s="79"/>
      <c r="N10981" s="1"/>
      <c r="O10981" s="1"/>
      <c r="P10981" s="1"/>
      <c r="Q10981" s="1"/>
      <c r="R10981" s="1"/>
      <c r="S10981" s="1"/>
      <c r="T10981" s="1"/>
      <c r="U10981" s="1"/>
      <c r="V10981" s="1"/>
      <c r="W10981" s="1"/>
      <c r="X10981" s="1"/>
      <c r="Y10981" s="1"/>
      <c r="Z10981" s="1"/>
      <c r="AA10981" s="1"/>
      <c r="AB10981" s="1"/>
      <c r="AC10981" s="1"/>
      <c r="AD10981" s="1"/>
      <c r="AE10981" s="1"/>
      <c r="AF10981" s="1"/>
      <c r="AG10981" s="1"/>
      <c r="AH10981" s="1"/>
    </row>
    <row r="10982" ht="12.75" hidden="1" customHeight="1" outlineLevel="1">
      <c r="A10982" s="202">
        <v>43528.0</v>
      </c>
      <c r="B10982" s="992"/>
      <c r="C10982" s="32" t="s">
        <v>958</v>
      </c>
      <c r="D10982" s="1"/>
      <c r="F10982" s="231" t="s">
        <v>3720</v>
      </c>
      <c r="G10982" s="1"/>
      <c r="H10982" s="68"/>
      <c r="I10982" s="1024">
        <v>0.0</v>
      </c>
      <c r="K10982" s="9" t="s">
        <v>3799</v>
      </c>
      <c r="L10982" s="77"/>
      <c r="M10982" s="79"/>
      <c r="N10982" s="1"/>
      <c r="O10982" s="1"/>
      <c r="P10982" s="1"/>
      <c r="Q10982" s="1"/>
      <c r="R10982" s="1"/>
      <c r="S10982" s="1"/>
      <c r="T10982" s="1"/>
      <c r="U10982" s="1"/>
      <c r="V10982" s="1"/>
      <c r="W10982" s="1"/>
      <c r="X10982" s="1"/>
      <c r="Y10982" s="1"/>
      <c r="Z10982" s="1"/>
      <c r="AA10982" s="1"/>
      <c r="AB10982" s="1"/>
      <c r="AC10982" s="1"/>
      <c r="AD10982" s="1"/>
      <c r="AE10982" s="1"/>
      <c r="AF10982" s="1"/>
      <c r="AG10982" s="1"/>
      <c r="AH10982" s="1"/>
    </row>
    <row r="10983" ht="12.75" hidden="1" customHeight="1" outlineLevel="1">
      <c r="A10983" s="202">
        <v>43528.0</v>
      </c>
      <c r="B10983" s="992"/>
      <c r="C10983" s="32" t="s">
        <v>961</v>
      </c>
      <c r="D10983" s="1"/>
      <c r="F10983" s="245" t="s">
        <v>3721</v>
      </c>
      <c r="G10983" s="247"/>
      <c r="H10983" s="1025"/>
      <c r="I10983" s="1026">
        <v>1.0</v>
      </c>
      <c r="K10983" s="9" t="s">
        <v>964</v>
      </c>
      <c r="L10983" s="77"/>
      <c r="M10983" s="79"/>
      <c r="N10983" s="1"/>
      <c r="O10983" s="1"/>
      <c r="P10983" s="1"/>
      <c r="Q10983" s="1"/>
      <c r="R10983" s="1"/>
      <c r="S10983" s="1"/>
      <c r="T10983" s="1"/>
      <c r="U10983" s="1"/>
      <c r="V10983" s="1"/>
      <c r="W10983" s="1"/>
      <c r="X10983" s="1"/>
      <c r="Y10983" s="1"/>
      <c r="Z10983" s="1"/>
      <c r="AA10983" s="1"/>
      <c r="AB10983" s="1"/>
      <c r="AC10983" s="1"/>
      <c r="AD10983" s="1"/>
      <c r="AE10983" s="1"/>
      <c r="AF10983" s="1"/>
      <c r="AG10983" s="1"/>
      <c r="AH10983" s="1"/>
    </row>
    <row r="10984" ht="12.75" hidden="1" customHeight="1" outlineLevel="1">
      <c r="A10984" s="202">
        <v>43530.0</v>
      </c>
      <c r="B10984" s="985" t="s">
        <v>343</v>
      </c>
      <c r="C10984" s="94" t="s">
        <v>381</v>
      </c>
      <c r="D10984" s="94">
        <v>50.0</v>
      </c>
      <c r="E10984" s="94">
        <v>172.92</v>
      </c>
      <c r="F10984" s="998">
        <v>43530.42332175926</v>
      </c>
      <c r="G10984" s="1004" t="s">
        <v>453</v>
      </c>
      <c r="H10984" s="987">
        <v>1.0</v>
      </c>
      <c r="I10984" s="988" t="s">
        <v>3145</v>
      </c>
      <c r="J10984" s="67">
        <f t="shared" ref="J10984:J10997" si="615">IF(B10984="SLD",D10984*E10984,-D10984*E10984)-H10984</f>
        <v>-8647</v>
      </c>
      <c r="K10984" s="1"/>
      <c r="L10984" s="70"/>
      <c r="M10984" s="79"/>
      <c r="N10984" s="1"/>
      <c r="O10984" s="1"/>
      <c r="P10984" s="1"/>
      <c r="Q10984" s="1"/>
      <c r="R10984" s="1"/>
      <c r="S10984" s="1"/>
      <c r="T10984" s="1"/>
      <c r="U10984" s="1"/>
      <c r="V10984" s="1"/>
      <c r="W10984" s="1"/>
      <c r="X10984" s="1"/>
      <c r="Y10984" s="1"/>
      <c r="Z10984" s="1"/>
      <c r="AA10984" s="1"/>
      <c r="AB10984" s="1"/>
      <c r="AC10984" s="1"/>
      <c r="AD10984" s="1"/>
      <c r="AE10984" s="1"/>
      <c r="AF10984" s="1"/>
      <c r="AG10984" s="1"/>
      <c r="AH10984" s="1"/>
    </row>
    <row r="10985" ht="12.75" hidden="1" customHeight="1" outlineLevel="1">
      <c r="A10985" s="202">
        <v>43530.0</v>
      </c>
      <c r="B10985" s="985" t="s">
        <v>343</v>
      </c>
      <c r="C10985" s="94" t="s">
        <v>1053</v>
      </c>
      <c r="D10985" s="94">
        <v>5.0</v>
      </c>
      <c r="E10985" s="94">
        <v>1691.9956</v>
      </c>
      <c r="F10985" s="998">
        <v>43530.42364583333</v>
      </c>
      <c r="G10985" s="1004" t="s">
        <v>453</v>
      </c>
      <c r="H10985" s="987">
        <v>1.0</v>
      </c>
      <c r="I10985" s="988" t="s">
        <v>3145</v>
      </c>
      <c r="J10985" s="67">
        <f t="shared" si="615"/>
        <v>-8460.978</v>
      </c>
      <c r="K10985" s="1"/>
      <c r="L10985" s="70"/>
      <c r="M10985" s="79"/>
      <c r="N10985" s="1"/>
      <c r="O10985" s="1"/>
      <c r="P10985" s="1"/>
      <c r="Q10985" s="1"/>
      <c r="R10985" s="1"/>
      <c r="S10985" s="1"/>
      <c r="T10985" s="1"/>
      <c r="U10985" s="1"/>
      <c r="V10985" s="1"/>
      <c r="W10985" s="1"/>
      <c r="X10985" s="1"/>
      <c r="Y10985" s="1"/>
      <c r="Z10985" s="1"/>
      <c r="AA10985" s="1"/>
      <c r="AB10985" s="1"/>
      <c r="AC10985" s="1"/>
      <c r="AD10985" s="1"/>
      <c r="AE10985" s="1"/>
      <c r="AF10985" s="1"/>
      <c r="AG10985" s="1"/>
      <c r="AH10985" s="1"/>
    </row>
    <row r="10986" ht="12.75" hidden="1" customHeight="1" outlineLevel="1">
      <c r="A10986" s="202">
        <v>43530.0</v>
      </c>
      <c r="B10986" s="985" t="s">
        <v>343</v>
      </c>
      <c r="C10986" s="94" t="s">
        <v>1040</v>
      </c>
      <c r="D10986" s="94">
        <v>100.0</v>
      </c>
      <c r="E10986" s="94">
        <v>112.46</v>
      </c>
      <c r="F10986" s="998">
        <v>43530.42393518519</v>
      </c>
      <c r="G10986" s="1004" t="s">
        <v>453</v>
      </c>
      <c r="H10986" s="987">
        <v>1.0</v>
      </c>
      <c r="I10986" s="988" t="s">
        <v>3145</v>
      </c>
      <c r="J10986" s="67">
        <f t="shared" si="615"/>
        <v>-11247</v>
      </c>
      <c r="K10986" s="1"/>
      <c r="L10986" s="70"/>
      <c r="M10986" s="79"/>
      <c r="N10986" s="1"/>
      <c r="O10986" s="1"/>
      <c r="P10986" s="1"/>
      <c r="Q10986" s="1"/>
      <c r="R10986" s="1"/>
      <c r="S10986" s="1"/>
      <c r="T10986" s="1"/>
      <c r="U10986" s="1"/>
      <c r="V10986" s="1"/>
      <c r="W10986" s="1"/>
      <c r="X10986" s="1"/>
      <c r="Y10986" s="1"/>
      <c r="Z10986" s="1"/>
      <c r="AA10986" s="1"/>
      <c r="AB10986" s="1"/>
      <c r="AC10986" s="1"/>
      <c r="AD10986" s="1"/>
      <c r="AE10986" s="1"/>
      <c r="AF10986" s="1"/>
      <c r="AG10986" s="1"/>
      <c r="AH10986" s="1"/>
    </row>
    <row r="10987" ht="12.75" hidden="1" customHeight="1" outlineLevel="1">
      <c r="A10987" s="202">
        <v>43530.0</v>
      </c>
      <c r="B10987" s="985" t="s">
        <v>343</v>
      </c>
      <c r="C10987" s="94" t="s">
        <v>1035</v>
      </c>
      <c r="D10987" s="94">
        <v>5.0</v>
      </c>
      <c r="E10987" s="94">
        <v>1173.1</v>
      </c>
      <c r="F10987" s="998">
        <v>43530.425717592596</v>
      </c>
      <c r="G10987" s="1004" t="s">
        <v>453</v>
      </c>
      <c r="H10987" s="987">
        <v>1.0</v>
      </c>
      <c r="I10987" s="988" t="s">
        <v>3145</v>
      </c>
      <c r="J10987" s="67">
        <f t="shared" si="615"/>
        <v>-5866.5</v>
      </c>
      <c r="K10987" s="1"/>
      <c r="L10987" s="70"/>
      <c r="M10987" s="79"/>
      <c r="N10987" s="1"/>
      <c r="O10987" s="1"/>
      <c r="P10987" s="1"/>
      <c r="Q10987" s="1"/>
      <c r="R10987" s="1"/>
      <c r="S10987" s="1"/>
      <c r="T10987" s="1"/>
      <c r="U10987" s="1"/>
      <c r="V10987" s="1"/>
      <c r="W10987" s="1"/>
      <c r="X10987" s="1"/>
      <c r="Y10987" s="1"/>
      <c r="Z10987" s="1"/>
      <c r="AA10987" s="1"/>
      <c r="AB10987" s="1"/>
      <c r="AC10987" s="1"/>
      <c r="AD10987" s="1"/>
      <c r="AE10987" s="1"/>
      <c r="AF10987" s="1"/>
      <c r="AG10987" s="1"/>
      <c r="AH10987" s="1"/>
    </row>
    <row r="10988" ht="12.75" hidden="1" customHeight="1" outlineLevel="1">
      <c r="A10988" s="122">
        <v>43531.0</v>
      </c>
      <c r="B10988" s="974" t="s">
        <v>343</v>
      </c>
      <c r="C10988" s="32" t="s">
        <v>1088</v>
      </c>
      <c r="D10988" s="9">
        <v>5.0</v>
      </c>
      <c r="E10988" s="9">
        <v>2767.7473</v>
      </c>
      <c r="F10988" s="709">
        <v>0.5679398148148148</v>
      </c>
      <c r="G10988" s="195" t="s">
        <v>453</v>
      </c>
      <c r="H10988" s="710">
        <v>1.0</v>
      </c>
      <c r="I10988" s="256" t="s">
        <v>3145</v>
      </c>
      <c r="J10988" s="67">
        <f t="shared" si="615"/>
        <v>-13839.7365</v>
      </c>
      <c r="K10988" s="1"/>
      <c r="L10988" s="70"/>
      <c r="M10988" s="79"/>
      <c r="N10988" s="1"/>
      <c r="O10988" s="1"/>
      <c r="P10988" s="1"/>
      <c r="Q10988" s="1"/>
      <c r="R10988" s="1"/>
      <c r="S10988" s="1"/>
      <c r="T10988" s="1"/>
      <c r="U10988" s="1"/>
      <c r="V10988" s="1"/>
      <c r="W10988" s="1"/>
      <c r="X10988" s="1"/>
      <c r="Y10988" s="1"/>
      <c r="Z10988" s="1"/>
      <c r="AA10988" s="1"/>
      <c r="AB10988" s="1"/>
      <c r="AC10988" s="1"/>
      <c r="AD10988" s="1"/>
      <c r="AE10988" s="1"/>
      <c r="AF10988" s="1"/>
      <c r="AG10988" s="1"/>
      <c r="AH10988" s="1"/>
    </row>
    <row r="10989" ht="12.75" hidden="1" customHeight="1" outlineLevel="1">
      <c r="A10989" s="122">
        <v>43531.0</v>
      </c>
      <c r="B10989" s="974" t="s">
        <v>347</v>
      </c>
      <c r="C10989" s="32" t="s">
        <v>1040</v>
      </c>
      <c r="D10989" s="9">
        <v>200.0</v>
      </c>
      <c r="E10989" s="9">
        <v>110.011</v>
      </c>
      <c r="F10989" s="709">
        <v>0.6296990740740741</v>
      </c>
      <c r="G10989" s="195" t="s">
        <v>453</v>
      </c>
      <c r="H10989" s="710">
        <v>1.31</v>
      </c>
      <c r="I10989" s="256" t="s">
        <v>3145</v>
      </c>
      <c r="J10989" s="67">
        <f t="shared" si="615"/>
        <v>22000.89</v>
      </c>
      <c r="K10989" s="1030">
        <f>J10989+J10986/2+J10872*3/5</f>
        <v>559.29</v>
      </c>
      <c r="L10989" s="70"/>
      <c r="M10989" s="79"/>
      <c r="N10989" s="1"/>
      <c r="O10989" s="1"/>
      <c r="P10989" s="1"/>
      <c r="Q10989" s="1"/>
      <c r="R10989" s="1"/>
      <c r="S10989" s="1"/>
      <c r="T10989" s="1"/>
      <c r="U10989" s="1"/>
      <c r="V10989" s="1"/>
      <c r="W10989" s="1"/>
      <c r="X10989" s="1"/>
      <c r="Y10989" s="1"/>
      <c r="Z10989" s="1"/>
      <c r="AA10989" s="1"/>
      <c r="AB10989" s="1"/>
      <c r="AC10989" s="1"/>
      <c r="AD10989" s="1"/>
      <c r="AE10989" s="1"/>
      <c r="AF10989" s="1"/>
      <c r="AG10989" s="1"/>
      <c r="AH10989" s="1"/>
    </row>
    <row r="10990" ht="12.75" hidden="1" customHeight="1" outlineLevel="1">
      <c r="A10990" s="122">
        <v>43531.0</v>
      </c>
      <c r="B10990" s="974" t="s">
        <v>347</v>
      </c>
      <c r="C10990" s="32" t="s">
        <v>381</v>
      </c>
      <c r="D10990" s="9">
        <v>50.0</v>
      </c>
      <c r="E10990" s="9">
        <v>168.28</v>
      </c>
      <c r="F10990" s="709">
        <v>0.6301273148148148</v>
      </c>
      <c r="G10990" s="195" t="s">
        <v>453</v>
      </c>
      <c r="H10990" s="710">
        <v>1.12</v>
      </c>
      <c r="I10990" s="256" t="s">
        <v>3145</v>
      </c>
      <c r="J10990" s="67">
        <f t="shared" si="615"/>
        <v>8412.88</v>
      </c>
      <c r="K10990" s="1030">
        <f>J10990+J10984</f>
        <v>-234.12</v>
      </c>
      <c r="L10990" s="70"/>
      <c r="M10990" s="79"/>
      <c r="N10990" s="1"/>
      <c r="O10990" s="1"/>
      <c r="P10990" s="1"/>
      <c r="Q10990" s="1"/>
      <c r="R10990" s="1"/>
      <c r="S10990" s="1"/>
      <c r="T10990" s="1"/>
      <c r="U10990" s="1"/>
      <c r="V10990" s="1"/>
      <c r="W10990" s="1"/>
      <c r="X10990" s="1"/>
      <c r="Y10990" s="1"/>
      <c r="Z10990" s="1"/>
      <c r="AA10990" s="1"/>
      <c r="AB10990" s="1"/>
      <c r="AC10990" s="1"/>
      <c r="AD10990" s="1"/>
      <c r="AE10990" s="1"/>
      <c r="AF10990" s="1"/>
      <c r="AG10990" s="1"/>
      <c r="AH10990" s="1"/>
    </row>
    <row r="10991" ht="12.75" hidden="1" customHeight="1" outlineLevel="1">
      <c r="A10991" s="122">
        <v>43531.0</v>
      </c>
      <c r="B10991" s="974" t="s">
        <v>347</v>
      </c>
      <c r="C10991" s="32" t="s">
        <v>1035</v>
      </c>
      <c r="D10991" s="9">
        <v>5.0</v>
      </c>
      <c r="E10991" s="9">
        <v>1145.77</v>
      </c>
      <c r="F10991" s="709">
        <v>0.6311805555555555</v>
      </c>
      <c r="G10991" s="195" t="s">
        <v>453</v>
      </c>
      <c r="H10991" s="710">
        <v>1.08</v>
      </c>
      <c r="I10991" s="256" t="s">
        <v>3145</v>
      </c>
      <c r="J10991" s="67">
        <f t="shared" si="615"/>
        <v>5727.77</v>
      </c>
      <c r="K10991" s="1030">
        <f>J10991+J10987</f>
        <v>-138.73</v>
      </c>
      <c r="L10991" s="70"/>
      <c r="M10991" s="79"/>
      <c r="N10991" s="1"/>
      <c r="O10991" s="1"/>
      <c r="P10991" s="1"/>
      <c r="Q10991" s="1"/>
      <c r="R10991" s="1"/>
      <c r="S10991" s="1"/>
      <c r="T10991" s="1"/>
      <c r="U10991" s="1"/>
      <c r="V10991" s="1"/>
      <c r="W10991" s="1"/>
      <c r="X10991" s="1"/>
      <c r="Y10991" s="1"/>
      <c r="Z10991" s="1"/>
      <c r="AA10991" s="1"/>
      <c r="AB10991" s="1"/>
      <c r="AC10991" s="1"/>
      <c r="AD10991" s="1"/>
      <c r="AE10991" s="1"/>
      <c r="AF10991" s="1"/>
      <c r="AG10991" s="1"/>
      <c r="AH10991" s="1"/>
    </row>
    <row r="10992" ht="12.75" hidden="1" customHeight="1" outlineLevel="1">
      <c r="A10992" s="122">
        <v>43531.0</v>
      </c>
      <c r="B10992" s="974" t="s">
        <v>347</v>
      </c>
      <c r="C10992" s="32" t="s">
        <v>605</v>
      </c>
      <c r="D10992" s="9">
        <v>200.0</v>
      </c>
      <c r="E10992" s="9">
        <v>96.1646</v>
      </c>
      <c r="F10992" s="709">
        <v>0.6317013888888889</v>
      </c>
      <c r="G10992" s="195" t="s">
        <v>453</v>
      </c>
      <c r="H10992" s="710">
        <v>1.27</v>
      </c>
      <c r="I10992" s="256" t="s">
        <v>3145</v>
      </c>
      <c r="J10992" s="67">
        <f t="shared" si="615"/>
        <v>19231.65</v>
      </c>
      <c r="K10992" s="1030">
        <f>J10992+J10914/3</f>
        <v>528.65</v>
      </c>
      <c r="L10992" s="70"/>
      <c r="M10992" s="79"/>
      <c r="N10992" s="1"/>
      <c r="O10992" s="1"/>
      <c r="P10992" s="1"/>
      <c r="Q10992" s="1"/>
      <c r="R10992" s="1"/>
      <c r="S10992" s="1"/>
      <c r="T10992" s="1"/>
      <c r="U10992" s="1"/>
      <c r="V10992" s="1"/>
      <c r="W10992" s="1"/>
      <c r="X10992" s="1"/>
      <c r="Y10992" s="1"/>
      <c r="Z10992" s="1"/>
      <c r="AA10992" s="1"/>
      <c r="AB10992" s="1"/>
      <c r="AC10992" s="1"/>
      <c r="AD10992" s="1"/>
      <c r="AE10992" s="1"/>
      <c r="AF10992" s="1"/>
      <c r="AG10992" s="1"/>
      <c r="AH10992" s="1"/>
    </row>
    <row r="10993" ht="12.75" hidden="1" customHeight="1" outlineLevel="1">
      <c r="A10993" s="122">
        <v>43531.0</v>
      </c>
      <c r="B10993" s="974" t="s">
        <v>347</v>
      </c>
      <c r="C10993" s="32" t="s">
        <v>3385</v>
      </c>
      <c r="D10993" s="9">
        <v>500.0</v>
      </c>
      <c r="E10993" s="9">
        <v>17.952</v>
      </c>
      <c r="F10993" s="709">
        <v>0.632175925925926</v>
      </c>
      <c r="G10993" s="195" t="s">
        <v>453</v>
      </c>
      <c r="H10993" s="710">
        <v>2.68</v>
      </c>
      <c r="I10993" s="256" t="s">
        <v>3145</v>
      </c>
      <c r="J10993" s="67">
        <f t="shared" si="615"/>
        <v>8973.32</v>
      </c>
      <c r="K10993" s="1030">
        <f>J10993+J10868/3</f>
        <v>1706.82</v>
      </c>
      <c r="L10993" s="70"/>
      <c r="M10993" s="79"/>
      <c r="N10993" s="1"/>
      <c r="O10993" s="1"/>
      <c r="P10993" s="1"/>
      <c r="Q10993" s="1"/>
      <c r="R10993" s="1"/>
      <c r="S10993" s="1"/>
      <c r="T10993" s="1"/>
      <c r="U10993" s="1"/>
      <c r="V10993" s="1"/>
      <c r="W10993" s="1"/>
      <c r="X10993" s="1"/>
      <c r="Y10993" s="1"/>
      <c r="Z10993" s="1"/>
      <c r="AA10993" s="1"/>
      <c r="AB10993" s="1"/>
      <c r="AC10993" s="1"/>
      <c r="AD10993" s="1"/>
      <c r="AE10993" s="1"/>
      <c r="AF10993" s="1"/>
      <c r="AG10993" s="1"/>
      <c r="AH10993" s="1"/>
    </row>
    <row r="10994" ht="12.75" hidden="1" customHeight="1" outlineLevel="1">
      <c r="A10994" s="122">
        <v>43531.0</v>
      </c>
      <c r="B10994" s="974" t="s">
        <v>347</v>
      </c>
      <c r="C10994" s="32" t="s">
        <v>1053</v>
      </c>
      <c r="D10994" s="9">
        <v>15.0</v>
      </c>
      <c r="E10994" s="9">
        <v>1625.1728</v>
      </c>
      <c r="F10994" s="709">
        <v>0.6332986111111111</v>
      </c>
      <c r="G10994" s="195" t="s">
        <v>453</v>
      </c>
      <c r="H10994" s="710">
        <v>1.32</v>
      </c>
      <c r="I10994" s="256" t="s">
        <v>3145</v>
      </c>
      <c r="J10994" s="67">
        <f t="shared" si="615"/>
        <v>24376.272</v>
      </c>
      <c r="K10994" s="1030">
        <f>J10994+J10985+J10965</f>
        <v>-374.106</v>
      </c>
      <c r="L10994" s="70"/>
      <c r="M10994" s="79"/>
      <c r="N10994" s="1"/>
      <c r="O10994" s="1"/>
      <c r="P10994" s="1"/>
      <c r="Q10994" s="1"/>
      <c r="R10994" s="1"/>
      <c r="S10994" s="1"/>
      <c r="T10994" s="1"/>
      <c r="U10994" s="1"/>
      <c r="V10994" s="1"/>
      <c r="W10994" s="1"/>
      <c r="X10994" s="1"/>
      <c r="Y10994" s="1"/>
      <c r="Z10994" s="1"/>
      <c r="AA10994" s="1"/>
      <c r="AB10994" s="1"/>
      <c r="AC10994" s="1"/>
      <c r="AD10994" s="1"/>
      <c r="AE10994" s="1"/>
      <c r="AF10994" s="1"/>
      <c r="AG10994" s="1"/>
      <c r="AH10994" s="1"/>
    </row>
    <row r="10995" ht="12.75" hidden="1" customHeight="1" outlineLevel="1">
      <c r="A10995" s="122">
        <v>43531.0</v>
      </c>
      <c r="B10995" s="974" t="s">
        <v>347</v>
      </c>
      <c r="C10995" s="32" t="s">
        <v>1088</v>
      </c>
      <c r="D10995" s="9">
        <v>10.0</v>
      </c>
      <c r="E10995" s="9">
        <v>2737.395</v>
      </c>
      <c r="F10995" s="709">
        <v>0.6346180555555555</v>
      </c>
      <c r="G10995" s="195" t="s">
        <v>453</v>
      </c>
      <c r="H10995" s="710">
        <v>1.36</v>
      </c>
      <c r="I10995" s="256" t="s">
        <v>3145</v>
      </c>
      <c r="J10995" s="67">
        <f t="shared" si="615"/>
        <v>27372.59</v>
      </c>
      <c r="K10995" s="1030">
        <f>J10995+J10988+J10512</f>
        <v>395.5035</v>
      </c>
      <c r="L10995" s="70"/>
      <c r="M10995" s="79"/>
      <c r="N10995" s="1"/>
      <c r="O10995" s="1"/>
      <c r="P10995" s="1"/>
      <c r="Q10995" s="1"/>
      <c r="R10995" s="1"/>
      <c r="S10995" s="1"/>
      <c r="T10995" s="1"/>
      <c r="U10995" s="1"/>
      <c r="V10995" s="1"/>
      <c r="W10995" s="1"/>
      <c r="X10995" s="1"/>
      <c r="Y10995" s="1"/>
      <c r="Z10995" s="1"/>
      <c r="AA10995" s="1"/>
      <c r="AB10995" s="1"/>
      <c r="AC10995" s="1"/>
      <c r="AD10995" s="1"/>
      <c r="AE10995" s="1"/>
      <c r="AF10995" s="1"/>
      <c r="AG10995" s="1"/>
      <c r="AH10995" s="1"/>
    </row>
    <row r="10996" ht="12.75" hidden="1" customHeight="1" outlineLevel="1">
      <c r="A10996" s="122">
        <v>43531.0</v>
      </c>
      <c r="B10996" s="974" t="s">
        <v>347</v>
      </c>
      <c r="C10996" s="32" t="s">
        <v>1131</v>
      </c>
      <c r="D10996" s="9">
        <v>100.0</v>
      </c>
      <c r="E10996" s="9">
        <v>70.56</v>
      </c>
      <c r="F10996" s="709">
        <v>0.6359837962962963</v>
      </c>
      <c r="G10996" s="195" t="s">
        <v>453</v>
      </c>
      <c r="H10996" s="710">
        <v>1.1</v>
      </c>
      <c r="I10996" s="256" t="s">
        <v>3145</v>
      </c>
      <c r="J10996" s="67">
        <f t="shared" si="615"/>
        <v>7054.9</v>
      </c>
      <c r="K10996" s="1030">
        <f>J10996+J10832*2/3</f>
        <v>534.5333333</v>
      </c>
      <c r="L10996" s="70"/>
      <c r="M10996" s="79"/>
      <c r="N10996" s="1"/>
      <c r="O10996" s="1"/>
      <c r="P10996" s="1"/>
      <c r="Q10996" s="1"/>
      <c r="R10996" s="1"/>
      <c r="S10996" s="1"/>
      <c r="T10996" s="1"/>
      <c r="U10996" s="1"/>
      <c r="V10996" s="1"/>
      <c r="W10996" s="1"/>
      <c r="X10996" s="1"/>
      <c r="Y10996" s="1"/>
      <c r="Z10996" s="1"/>
      <c r="AA10996" s="1"/>
      <c r="AB10996" s="1"/>
      <c r="AC10996" s="1"/>
      <c r="AD10996" s="1"/>
      <c r="AE10996" s="1"/>
      <c r="AF10996" s="1"/>
      <c r="AG10996" s="1"/>
      <c r="AH10996" s="1"/>
    </row>
    <row r="10997" ht="12.75" hidden="1" customHeight="1" outlineLevel="1">
      <c r="A10997" s="122">
        <v>43532.0</v>
      </c>
      <c r="B10997" s="974" t="s">
        <v>343</v>
      </c>
      <c r="C10997" s="32" t="s">
        <v>1053</v>
      </c>
      <c r="D10997" s="9">
        <v>10.0</v>
      </c>
      <c r="E10997" s="9">
        <v>1613.58</v>
      </c>
      <c r="F10997" s="709">
        <v>0.44862268518518517</v>
      </c>
      <c r="G10997" s="195" t="s">
        <v>453</v>
      </c>
      <c r="H10997" s="710">
        <v>1.0</v>
      </c>
      <c r="I10997" s="256" t="s">
        <v>3145</v>
      </c>
      <c r="J10997" s="67">
        <f t="shared" si="615"/>
        <v>-16136.8</v>
      </c>
      <c r="K10997" s="1"/>
      <c r="L10997" s="70"/>
      <c r="M10997" s="79"/>
      <c r="N10997" s="1"/>
      <c r="O10997" s="1"/>
      <c r="P10997" s="1"/>
      <c r="Q10997" s="1"/>
      <c r="R10997" s="1"/>
      <c r="S10997" s="1"/>
      <c r="T10997" s="1"/>
      <c r="U10997" s="1"/>
      <c r="V10997" s="1"/>
      <c r="W10997" s="1"/>
      <c r="X10997" s="1"/>
      <c r="Y10997" s="1"/>
      <c r="Z10997" s="1"/>
      <c r="AA10997" s="1"/>
      <c r="AB10997" s="1"/>
      <c r="AC10997" s="1"/>
      <c r="AD10997" s="1"/>
      <c r="AE10997" s="1"/>
      <c r="AF10997" s="1"/>
      <c r="AG10997" s="1"/>
      <c r="AH10997" s="1"/>
    </row>
    <row r="10998" ht="12.75" hidden="1" customHeight="1" outlineLevel="1">
      <c r="A10998" s="197">
        <v>43533.0</v>
      </c>
      <c r="B10998" s="992"/>
      <c r="C10998" s="32" t="s">
        <v>947</v>
      </c>
      <c r="D10998" s="1"/>
      <c r="E10998" s="94" t="s">
        <v>948</v>
      </c>
      <c r="F10998" s="1022" t="s">
        <v>3803</v>
      </c>
      <c r="G10998" s="87"/>
      <c r="H10998" s="199"/>
      <c r="I10998" s="1023">
        <v>1.0</v>
      </c>
      <c r="K10998" s="201" t="s">
        <v>3800</v>
      </c>
      <c r="L10998" s="77"/>
      <c r="M10998" s="79"/>
      <c r="N10998" s="1"/>
      <c r="O10998" s="1"/>
      <c r="P10998" s="1"/>
      <c r="Q10998" s="1"/>
      <c r="R10998" s="1"/>
      <c r="S10998" s="1"/>
      <c r="T10998" s="1"/>
      <c r="U10998" s="1"/>
      <c r="V10998" s="1"/>
      <c r="W10998" s="1"/>
      <c r="X10998" s="1"/>
      <c r="Y10998" s="1"/>
      <c r="Z10998" s="1"/>
      <c r="AA10998" s="1"/>
      <c r="AB10998" s="1"/>
      <c r="AC10998" s="1"/>
      <c r="AD10998" s="1"/>
      <c r="AE10998" s="1"/>
      <c r="AF10998" s="1"/>
      <c r="AG10998" s="1"/>
      <c r="AH10998" s="1"/>
    </row>
    <row r="10999" ht="12.75" hidden="1" customHeight="1" outlineLevel="1">
      <c r="A10999" s="202">
        <v>43533.0</v>
      </c>
      <c r="B10999" s="992"/>
      <c r="C10999" s="32" t="s">
        <v>952</v>
      </c>
      <c r="D10999" s="1"/>
      <c r="F10999" s="231" t="s">
        <v>953</v>
      </c>
      <c r="G10999" s="1"/>
      <c r="H10999" s="68"/>
      <c r="I10999" s="1024">
        <v>0.0</v>
      </c>
      <c r="K10999" s="9" t="s">
        <v>3809</v>
      </c>
      <c r="L10999" s="77"/>
      <c r="M10999" s="79"/>
      <c r="N10999" s="1"/>
      <c r="O10999" s="1"/>
      <c r="P10999" s="1"/>
      <c r="Q10999" s="1"/>
      <c r="R10999" s="1"/>
      <c r="S10999" s="1"/>
      <c r="T10999" s="1"/>
      <c r="U10999" s="1"/>
      <c r="V10999" s="1"/>
      <c r="W10999" s="1"/>
      <c r="X10999" s="1"/>
      <c r="Y10999" s="1"/>
      <c r="Z10999" s="1"/>
      <c r="AA10999" s="1"/>
      <c r="AB10999" s="1"/>
      <c r="AC10999" s="1"/>
      <c r="AD10999" s="1"/>
      <c r="AE10999" s="1"/>
      <c r="AF10999" s="1"/>
      <c r="AG10999" s="1"/>
      <c r="AH10999" s="1"/>
    </row>
    <row r="11000" ht="12.75" hidden="1" customHeight="1" outlineLevel="1">
      <c r="A11000" s="202">
        <v>43533.0</v>
      </c>
      <c r="B11000" s="992"/>
      <c r="C11000" s="32" t="s">
        <v>955</v>
      </c>
      <c r="D11000" s="1"/>
      <c r="F11000" s="231" t="s">
        <v>3718</v>
      </c>
      <c r="G11000" s="1"/>
      <c r="H11000" s="68"/>
      <c r="I11000" s="1024">
        <v>0.0</v>
      </c>
      <c r="K11000" s="9" t="s">
        <v>3810</v>
      </c>
      <c r="L11000" s="77"/>
      <c r="M11000" s="79"/>
      <c r="N11000" s="1"/>
      <c r="O11000" s="1"/>
      <c r="P11000" s="1"/>
      <c r="Q11000" s="1"/>
      <c r="R11000" s="1"/>
      <c r="S11000" s="1"/>
      <c r="T11000" s="1"/>
      <c r="U11000" s="1"/>
      <c r="V11000" s="1"/>
      <c r="W11000" s="1"/>
      <c r="X11000" s="1"/>
      <c r="Y11000" s="1"/>
      <c r="Z11000" s="1"/>
      <c r="AA11000" s="1"/>
      <c r="AB11000" s="1"/>
      <c r="AC11000" s="1"/>
      <c r="AD11000" s="1"/>
      <c r="AE11000" s="1"/>
      <c r="AF11000" s="1"/>
      <c r="AG11000" s="1"/>
      <c r="AH11000" s="1"/>
    </row>
    <row r="11001" ht="12.75" hidden="1" customHeight="1" outlineLevel="1">
      <c r="A11001" s="202">
        <v>43533.0</v>
      </c>
      <c r="B11001" s="992"/>
      <c r="C11001" s="32" t="s">
        <v>958</v>
      </c>
      <c r="D11001" s="1"/>
      <c r="F11001" s="231" t="s">
        <v>3720</v>
      </c>
      <c r="G11001" s="1"/>
      <c r="H11001" s="68"/>
      <c r="I11001" s="1024">
        <v>0.0</v>
      </c>
      <c r="K11001" s="9" t="s">
        <v>3811</v>
      </c>
      <c r="L11001" s="77"/>
      <c r="M11001" s="79"/>
      <c r="N11001" s="1"/>
      <c r="O11001" s="1"/>
      <c r="P11001" s="1"/>
      <c r="Q11001" s="1"/>
      <c r="R11001" s="1"/>
      <c r="S11001" s="1"/>
      <c r="T11001" s="1"/>
      <c r="U11001" s="1"/>
      <c r="V11001" s="1"/>
      <c r="W11001" s="1"/>
      <c r="X11001" s="1"/>
      <c r="Y11001" s="1"/>
      <c r="Z11001" s="1"/>
      <c r="AA11001" s="1"/>
      <c r="AB11001" s="1"/>
      <c r="AC11001" s="1"/>
      <c r="AD11001" s="1"/>
      <c r="AE11001" s="1"/>
      <c r="AF11001" s="1"/>
      <c r="AG11001" s="1"/>
      <c r="AH11001" s="1"/>
    </row>
    <row r="11002" ht="12.75" hidden="1" customHeight="1" outlineLevel="1">
      <c r="A11002" s="202">
        <v>43533.0</v>
      </c>
      <c r="B11002" s="992"/>
      <c r="C11002" s="32" t="s">
        <v>961</v>
      </c>
      <c r="D11002" s="1"/>
      <c r="F11002" s="245" t="s">
        <v>3721</v>
      </c>
      <c r="G11002" s="247"/>
      <c r="H11002" s="1025"/>
      <c r="I11002" s="1026">
        <v>1.0</v>
      </c>
      <c r="K11002" s="9" t="s">
        <v>964</v>
      </c>
      <c r="L11002" s="77"/>
      <c r="M11002" s="79"/>
      <c r="N11002" s="1"/>
      <c r="O11002" s="1"/>
      <c r="P11002" s="1"/>
      <c r="Q11002" s="1"/>
      <c r="R11002" s="1"/>
      <c r="S11002" s="1"/>
      <c r="T11002" s="1"/>
      <c r="U11002" s="1"/>
      <c r="V11002" s="1"/>
      <c r="W11002" s="1"/>
      <c r="X11002" s="1"/>
      <c r="Y11002" s="1"/>
      <c r="Z11002" s="1"/>
      <c r="AA11002" s="1"/>
      <c r="AB11002" s="1"/>
      <c r="AC11002" s="1"/>
      <c r="AD11002" s="1"/>
      <c r="AE11002" s="1"/>
      <c r="AF11002" s="1"/>
      <c r="AG11002" s="1"/>
      <c r="AH11002" s="1"/>
    </row>
    <row r="11003" ht="12.75" hidden="1" customHeight="1" outlineLevel="1">
      <c r="A11003" s="197">
        <v>43533.0</v>
      </c>
      <c r="B11003" s="992"/>
      <c r="C11003" s="32" t="s">
        <v>947</v>
      </c>
      <c r="D11003" s="1"/>
      <c r="E11003" s="94" t="s">
        <v>948</v>
      </c>
      <c r="F11003" s="1022" t="s">
        <v>3803</v>
      </c>
      <c r="G11003" s="87"/>
      <c r="H11003" s="199"/>
      <c r="I11003" s="1023">
        <v>1.0</v>
      </c>
      <c r="K11003" s="201" t="s">
        <v>3812</v>
      </c>
      <c r="L11003" s="77"/>
      <c r="M11003" s="79"/>
      <c r="N11003" s="1"/>
      <c r="O11003" s="1"/>
      <c r="P11003" s="1"/>
      <c r="Q11003" s="1"/>
      <c r="R11003" s="1"/>
      <c r="S11003" s="1"/>
      <c r="T11003" s="1"/>
      <c r="U11003" s="1"/>
      <c r="V11003" s="1"/>
      <c r="W11003" s="1"/>
      <c r="X11003" s="1"/>
      <c r="Y11003" s="1"/>
      <c r="Z11003" s="1"/>
      <c r="AA11003" s="1"/>
      <c r="AB11003" s="1"/>
      <c r="AC11003" s="1"/>
      <c r="AD11003" s="1"/>
      <c r="AE11003" s="1"/>
      <c r="AF11003" s="1"/>
      <c r="AG11003" s="1"/>
      <c r="AH11003" s="1"/>
    </row>
    <row r="11004" ht="12.75" hidden="1" customHeight="1" outlineLevel="1">
      <c r="A11004" s="202">
        <v>43533.0</v>
      </c>
      <c r="B11004" s="992"/>
      <c r="C11004" s="32" t="s">
        <v>952</v>
      </c>
      <c r="D11004" s="1"/>
      <c r="F11004" s="231" t="s">
        <v>953</v>
      </c>
      <c r="G11004" s="1"/>
      <c r="H11004" s="68"/>
      <c r="I11004" s="1024">
        <v>0.0</v>
      </c>
      <c r="K11004" s="9" t="s">
        <v>3813</v>
      </c>
      <c r="L11004" s="77"/>
      <c r="M11004" s="79"/>
      <c r="N11004" s="1"/>
      <c r="O11004" s="1"/>
      <c r="P11004" s="1"/>
      <c r="Q11004" s="1"/>
      <c r="R11004" s="1"/>
      <c r="S11004" s="1"/>
      <c r="T11004" s="1"/>
      <c r="U11004" s="1"/>
      <c r="V11004" s="1"/>
      <c r="W11004" s="1"/>
      <c r="X11004" s="1"/>
      <c r="Y11004" s="1"/>
      <c r="Z11004" s="1"/>
      <c r="AA11004" s="1"/>
      <c r="AB11004" s="1"/>
      <c r="AC11004" s="1"/>
      <c r="AD11004" s="1"/>
      <c r="AE11004" s="1"/>
      <c r="AF11004" s="1"/>
      <c r="AG11004" s="1"/>
      <c r="AH11004" s="1"/>
    </row>
    <row r="11005" ht="12.75" hidden="1" customHeight="1" outlineLevel="1">
      <c r="A11005" s="202">
        <v>43533.0</v>
      </c>
      <c r="B11005" s="992"/>
      <c r="C11005" s="32" t="s">
        <v>955</v>
      </c>
      <c r="D11005" s="1"/>
      <c r="F11005" s="231" t="s">
        <v>3718</v>
      </c>
      <c r="G11005" s="1"/>
      <c r="H11005" s="68"/>
      <c r="I11005" s="1024">
        <v>0.0</v>
      </c>
      <c r="K11005" s="9" t="s">
        <v>3810</v>
      </c>
      <c r="L11005" s="77"/>
      <c r="M11005" s="79"/>
      <c r="N11005" s="1"/>
      <c r="O11005" s="1"/>
      <c r="P11005" s="1"/>
      <c r="Q11005" s="1"/>
      <c r="R11005" s="1"/>
      <c r="S11005" s="1"/>
      <c r="T11005" s="1"/>
      <c r="U11005" s="1"/>
      <c r="V11005" s="1"/>
      <c r="W11005" s="1"/>
      <c r="X11005" s="1"/>
      <c r="Y11005" s="1"/>
      <c r="Z11005" s="1"/>
      <c r="AA11005" s="1"/>
      <c r="AB11005" s="1"/>
      <c r="AC11005" s="1"/>
      <c r="AD11005" s="1"/>
      <c r="AE11005" s="1"/>
      <c r="AF11005" s="1"/>
      <c r="AG11005" s="1"/>
      <c r="AH11005" s="1"/>
    </row>
    <row r="11006" ht="12.75" hidden="1" customHeight="1" outlineLevel="1">
      <c r="A11006" s="202">
        <v>43533.0</v>
      </c>
      <c r="B11006" s="992"/>
      <c r="C11006" s="32" t="s">
        <v>958</v>
      </c>
      <c r="D11006" s="1"/>
      <c r="F11006" s="231" t="s">
        <v>3720</v>
      </c>
      <c r="G11006" s="1"/>
      <c r="H11006" s="68"/>
      <c r="I11006" s="1024">
        <v>0.0</v>
      </c>
      <c r="K11006" s="9" t="s">
        <v>3811</v>
      </c>
      <c r="L11006" s="77"/>
      <c r="M11006" s="79"/>
      <c r="N11006" s="1"/>
      <c r="O11006" s="1"/>
      <c r="P11006" s="1"/>
      <c r="Q11006" s="1"/>
      <c r="R11006" s="1"/>
      <c r="S11006" s="1"/>
      <c r="T11006" s="1"/>
      <c r="U11006" s="1"/>
      <c r="V11006" s="1"/>
      <c r="W11006" s="1"/>
      <c r="X11006" s="1"/>
      <c r="Y11006" s="1"/>
      <c r="Z11006" s="1"/>
      <c r="AA11006" s="1"/>
      <c r="AB11006" s="1"/>
      <c r="AC11006" s="1"/>
      <c r="AD11006" s="1"/>
      <c r="AE11006" s="1"/>
      <c r="AF11006" s="1"/>
      <c r="AG11006" s="1"/>
      <c r="AH11006" s="1"/>
    </row>
    <row r="11007" ht="12.75" hidden="1" customHeight="1" outlineLevel="1">
      <c r="A11007" s="202">
        <v>43533.0</v>
      </c>
      <c r="B11007" s="992"/>
      <c r="C11007" s="32" t="s">
        <v>961</v>
      </c>
      <c r="D11007" s="1"/>
      <c r="F11007" s="245" t="s">
        <v>3721</v>
      </c>
      <c r="G11007" s="247"/>
      <c r="H11007" s="1025"/>
      <c r="I11007" s="1026">
        <v>1.0</v>
      </c>
      <c r="K11007" s="9" t="s">
        <v>964</v>
      </c>
      <c r="L11007" s="77"/>
      <c r="M11007" s="79"/>
      <c r="N11007" s="1"/>
      <c r="O11007" s="1"/>
      <c r="P11007" s="1"/>
      <c r="Q11007" s="1"/>
      <c r="R11007" s="1"/>
      <c r="S11007" s="1"/>
      <c r="T11007" s="1"/>
      <c r="U11007" s="1"/>
      <c r="V11007" s="1"/>
      <c r="W11007" s="1"/>
      <c r="X11007" s="1"/>
      <c r="Y11007" s="1"/>
      <c r="Z11007" s="1"/>
      <c r="AA11007" s="1"/>
      <c r="AB11007" s="1"/>
      <c r="AC11007" s="1"/>
      <c r="AD11007" s="1"/>
      <c r="AE11007" s="1"/>
      <c r="AF11007" s="1"/>
      <c r="AG11007" s="1"/>
      <c r="AH11007" s="1"/>
    </row>
    <row r="11008" ht="12.75" hidden="1" customHeight="1" outlineLevel="1">
      <c r="A11008" s="122">
        <v>43535.0</v>
      </c>
      <c r="B11008" s="974" t="s">
        <v>343</v>
      </c>
      <c r="C11008" s="32" t="s">
        <v>1061</v>
      </c>
      <c r="D11008" s="9">
        <v>600.0</v>
      </c>
      <c r="E11008" s="9">
        <v>41.23</v>
      </c>
      <c r="F11008" s="709">
        <v>0.4619212962962963</v>
      </c>
      <c r="G11008" s="195" t="s">
        <v>453</v>
      </c>
      <c r="H11008" s="710">
        <v>3.0</v>
      </c>
      <c r="I11008" s="256" t="s">
        <v>3145</v>
      </c>
      <c r="J11008" s="67">
        <f t="shared" ref="J11008:J11015" si="616">IF(B11008="SLD",D11008*E11008,-D11008*E11008)-H11008</f>
        <v>-24741</v>
      </c>
      <c r="K11008" s="1"/>
      <c r="L11008" s="70"/>
      <c r="M11008" s="79"/>
      <c r="N11008" s="1"/>
      <c r="O11008" s="1"/>
      <c r="P11008" s="1"/>
      <c r="Q11008" s="1"/>
      <c r="R11008" s="1"/>
      <c r="S11008" s="1"/>
      <c r="T11008" s="1"/>
      <c r="U11008" s="1"/>
      <c r="V11008" s="1"/>
      <c r="W11008" s="1"/>
      <c r="X11008" s="1"/>
      <c r="Y11008" s="1"/>
      <c r="Z11008" s="1"/>
      <c r="AA11008" s="1"/>
      <c r="AB11008" s="1"/>
      <c r="AC11008" s="1"/>
      <c r="AD11008" s="1"/>
      <c r="AE11008" s="1"/>
      <c r="AF11008" s="1"/>
      <c r="AG11008" s="1"/>
      <c r="AH11008" s="1"/>
    </row>
    <row r="11009" ht="12.75" hidden="1" customHeight="1" outlineLevel="1">
      <c r="A11009" s="122">
        <v>43535.0</v>
      </c>
      <c r="B11009" s="974" t="s">
        <v>343</v>
      </c>
      <c r="C11009" s="32" t="s">
        <v>3040</v>
      </c>
      <c r="D11009" s="9">
        <v>50.0</v>
      </c>
      <c r="E11009" s="9">
        <v>201.86</v>
      </c>
      <c r="F11009" s="709">
        <v>0.462349537037037</v>
      </c>
      <c r="G11009" s="195" t="s">
        <v>453</v>
      </c>
      <c r="H11009" s="710">
        <v>1.0</v>
      </c>
      <c r="I11009" s="256" t="s">
        <v>3145</v>
      </c>
      <c r="J11009" s="67">
        <f t="shared" si="616"/>
        <v>-10094</v>
      </c>
      <c r="K11009" s="1"/>
      <c r="L11009" s="70"/>
      <c r="M11009" s="79"/>
      <c r="N11009" s="1"/>
      <c r="O11009" s="1"/>
      <c r="P11009" s="1"/>
      <c r="Q11009" s="1"/>
      <c r="R11009" s="1"/>
      <c r="S11009" s="1"/>
      <c r="T11009" s="1"/>
      <c r="U11009" s="1"/>
      <c r="V11009" s="1"/>
      <c r="W11009" s="1"/>
      <c r="X11009" s="1"/>
      <c r="Y11009" s="1"/>
      <c r="Z11009" s="1"/>
      <c r="AA11009" s="1"/>
      <c r="AB11009" s="1"/>
      <c r="AC11009" s="1"/>
      <c r="AD11009" s="1"/>
      <c r="AE11009" s="1"/>
      <c r="AF11009" s="1"/>
      <c r="AG11009" s="1"/>
      <c r="AH11009" s="1"/>
    </row>
    <row r="11010" ht="12.75" hidden="1" customHeight="1" outlineLevel="1">
      <c r="A11010" s="122">
        <v>43535.0</v>
      </c>
      <c r="B11010" s="974" t="s">
        <v>343</v>
      </c>
      <c r="C11010" s="32" t="s">
        <v>1049</v>
      </c>
      <c r="D11010" s="9">
        <v>10.0</v>
      </c>
      <c r="E11010" s="9">
        <v>967.86</v>
      </c>
      <c r="F11010" s="709">
        <v>0.46260416666666665</v>
      </c>
      <c r="G11010" s="195" t="s">
        <v>453</v>
      </c>
      <c r="H11010" s="710">
        <v>1.0</v>
      </c>
      <c r="I11010" s="256" t="s">
        <v>3145</v>
      </c>
      <c r="J11010" s="67">
        <f t="shared" si="616"/>
        <v>-9679.6</v>
      </c>
      <c r="K11010" s="1"/>
      <c r="L11010" s="70"/>
      <c r="M11010" s="79"/>
      <c r="N11010" s="1"/>
      <c r="O11010" s="1"/>
      <c r="P11010" s="1"/>
      <c r="Q11010" s="1"/>
      <c r="R11010" s="1"/>
      <c r="S11010" s="1"/>
      <c r="T11010" s="1"/>
      <c r="U11010" s="1"/>
      <c r="V11010" s="1"/>
      <c r="W11010" s="1"/>
      <c r="X11010" s="1"/>
      <c r="Y11010" s="1"/>
      <c r="Z11010" s="1"/>
      <c r="AA11010" s="1"/>
      <c r="AB11010" s="1"/>
      <c r="AC11010" s="1"/>
      <c r="AD11010" s="1"/>
      <c r="AE11010" s="1"/>
      <c r="AF11010" s="1"/>
      <c r="AG11010" s="1"/>
      <c r="AH11010" s="1"/>
    </row>
    <row r="11011" ht="12.75" hidden="1" customHeight="1" outlineLevel="1">
      <c r="A11011" s="122">
        <v>43535.0</v>
      </c>
      <c r="B11011" s="974" t="s">
        <v>343</v>
      </c>
      <c r="C11011" s="32" t="s">
        <v>847</v>
      </c>
      <c r="D11011" s="9">
        <v>50.0</v>
      </c>
      <c r="E11011" s="9">
        <v>164.36</v>
      </c>
      <c r="F11011" s="709">
        <v>0.46542824074074074</v>
      </c>
      <c r="G11011" s="195" t="s">
        <v>453</v>
      </c>
      <c r="H11011" s="710">
        <v>1.0</v>
      </c>
      <c r="I11011" s="256" t="s">
        <v>3145</v>
      </c>
      <c r="J11011" s="67">
        <f t="shared" si="616"/>
        <v>-8219</v>
      </c>
      <c r="K11011" s="1"/>
      <c r="L11011" s="70"/>
      <c r="M11011" s="79"/>
      <c r="N11011" s="1"/>
      <c r="O11011" s="1"/>
      <c r="P11011" s="1"/>
      <c r="Q11011" s="1"/>
      <c r="R11011" s="1"/>
      <c r="S11011" s="1"/>
      <c r="T11011" s="1"/>
      <c r="U11011" s="1"/>
      <c r="V11011" s="1"/>
      <c r="W11011" s="1"/>
      <c r="X11011" s="1"/>
      <c r="Y11011" s="1"/>
      <c r="Z11011" s="1"/>
      <c r="AA11011" s="1"/>
      <c r="AB11011" s="1"/>
      <c r="AC11011" s="1"/>
      <c r="AD11011" s="1"/>
      <c r="AE11011" s="1"/>
      <c r="AF11011" s="1"/>
      <c r="AG11011" s="1"/>
      <c r="AH11011" s="1"/>
    </row>
    <row r="11012" ht="12.75" hidden="1" customHeight="1" outlineLevel="1">
      <c r="A11012" s="122">
        <v>43535.0</v>
      </c>
      <c r="B11012" s="974" t="s">
        <v>343</v>
      </c>
      <c r="C11012" s="32" t="s">
        <v>1067</v>
      </c>
      <c r="D11012" s="9">
        <v>25.0</v>
      </c>
      <c r="E11012" s="9">
        <v>239.71</v>
      </c>
      <c r="F11012" s="709">
        <v>0.46564814814814814</v>
      </c>
      <c r="G11012" s="195" t="s">
        <v>453</v>
      </c>
      <c r="H11012" s="710">
        <v>1.0</v>
      </c>
      <c r="I11012" s="256" t="s">
        <v>3145</v>
      </c>
      <c r="J11012" s="67">
        <f t="shared" si="616"/>
        <v>-5993.75</v>
      </c>
      <c r="K11012" s="1"/>
      <c r="L11012" s="70"/>
      <c r="M11012" s="79"/>
      <c r="N11012" s="1"/>
      <c r="O11012" s="1"/>
      <c r="P11012" s="1"/>
      <c r="Q11012" s="1"/>
      <c r="R11012" s="1"/>
      <c r="S11012" s="1"/>
      <c r="T11012" s="1"/>
      <c r="U11012" s="1"/>
      <c r="V11012" s="1"/>
      <c r="W11012" s="1"/>
      <c r="X11012" s="1"/>
      <c r="Y11012" s="1"/>
      <c r="Z11012" s="1"/>
      <c r="AA11012" s="1"/>
      <c r="AB11012" s="1"/>
      <c r="AC11012" s="1"/>
      <c r="AD11012" s="1"/>
      <c r="AE11012" s="1"/>
      <c r="AF11012" s="1"/>
      <c r="AG11012" s="1"/>
      <c r="AH11012" s="1"/>
    </row>
    <row r="11013" ht="12.75" hidden="1" customHeight="1" outlineLevel="1">
      <c r="A11013" s="122">
        <v>43535.0</v>
      </c>
      <c r="B11013" s="974" t="s">
        <v>343</v>
      </c>
      <c r="C11013" s="32" t="s">
        <v>1088</v>
      </c>
      <c r="D11013" s="9">
        <v>5.0</v>
      </c>
      <c r="E11013" s="9">
        <v>2731.0</v>
      </c>
      <c r="F11013" s="709">
        <v>0.467662037037037</v>
      </c>
      <c r="G11013" s="195" t="s">
        <v>453</v>
      </c>
      <c r="H11013" s="710">
        <v>1.0</v>
      </c>
      <c r="I11013" s="256" t="s">
        <v>3145</v>
      </c>
      <c r="J11013" s="67">
        <f t="shared" si="616"/>
        <v>-13656</v>
      </c>
      <c r="K11013" s="1"/>
      <c r="L11013" s="70"/>
      <c r="M11013" s="79"/>
      <c r="N11013" s="1"/>
      <c r="O11013" s="1"/>
      <c r="P11013" s="1"/>
      <c r="Q11013" s="1"/>
      <c r="R11013" s="1"/>
      <c r="S11013" s="1"/>
      <c r="T11013" s="1"/>
      <c r="U11013" s="1"/>
      <c r="V11013" s="1"/>
      <c r="W11013" s="1"/>
      <c r="X11013" s="1"/>
      <c r="Y11013" s="1"/>
      <c r="Z11013" s="1"/>
      <c r="AA11013" s="1"/>
      <c r="AB11013" s="1"/>
      <c r="AC11013" s="1"/>
      <c r="AD11013" s="1"/>
      <c r="AE11013" s="1"/>
      <c r="AF11013" s="1"/>
      <c r="AG11013" s="1"/>
      <c r="AH11013" s="1"/>
    </row>
    <row r="11014" ht="12.75" hidden="1" customHeight="1" outlineLevel="1">
      <c r="A11014" s="122">
        <v>43535.0</v>
      </c>
      <c r="B11014" s="974" t="s">
        <v>343</v>
      </c>
      <c r="C11014" s="32" t="s">
        <v>1053</v>
      </c>
      <c r="D11014" s="9">
        <v>15.0</v>
      </c>
      <c r="E11014" s="9">
        <v>1653.0</v>
      </c>
      <c r="F11014" s="709">
        <v>0.4690972222222222</v>
      </c>
      <c r="G11014" s="195" t="s">
        <v>453</v>
      </c>
      <c r="H11014" s="710">
        <v>1.0</v>
      </c>
      <c r="I11014" s="256" t="s">
        <v>3145</v>
      </c>
      <c r="J11014" s="67">
        <f t="shared" si="616"/>
        <v>-24796</v>
      </c>
      <c r="K11014" s="1"/>
      <c r="L11014" s="70"/>
      <c r="M11014" s="79"/>
      <c r="N11014" s="1"/>
      <c r="O11014" s="1"/>
      <c r="P11014" s="1"/>
      <c r="Q11014" s="1"/>
      <c r="R11014" s="1"/>
      <c r="S11014" s="1"/>
      <c r="T11014" s="1"/>
      <c r="U11014" s="1"/>
      <c r="V11014" s="1"/>
      <c r="W11014" s="1"/>
      <c r="X11014" s="1"/>
      <c r="Y11014" s="1"/>
      <c r="Z11014" s="1"/>
      <c r="AA11014" s="1"/>
      <c r="AB11014" s="1"/>
      <c r="AC11014" s="1"/>
      <c r="AD11014" s="1"/>
      <c r="AE11014" s="1"/>
      <c r="AF11014" s="1"/>
      <c r="AG11014" s="1"/>
      <c r="AH11014" s="1"/>
    </row>
    <row r="11015" ht="12.75" hidden="1" customHeight="1" outlineLevel="1">
      <c r="A11015" s="122">
        <v>43536.0</v>
      </c>
      <c r="B11015" s="974" t="s">
        <v>343</v>
      </c>
      <c r="C11015" s="32" t="s">
        <v>1092</v>
      </c>
      <c r="D11015" s="708">
        <v>1000.0</v>
      </c>
      <c r="E11015" s="9">
        <v>9.56</v>
      </c>
      <c r="F11015" s="709">
        <v>0.4109375</v>
      </c>
      <c r="G11015" s="195" t="s">
        <v>453</v>
      </c>
      <c r="H11015" s="710">
        <v>5.0</v>
      </c>
      <c r="I11015" s="256" t="s">
        <v>3145</v>
      </c>
      <c r="J11015" s="67">
        <f t="shared" si="616"/>
        <v>-9565</v>
      </c>
      <c r="K11015" s="1"/>
      <c r="L11015" s="70"/>
      <c r="M11015" s="79"/>
      <c r="N11015" s="1"/>
      <c r="O11015" s="1"/>
      <c r="P11015" s="1"/>
      <c r="Q11015" s="1"/>
      <c r="R11015" s="1"/>
      <c r="S11015" s="1"/>
      <c r="T11015" s="1"/>
      <c r="U11015" s="1"/>
      <c r="V11015" s="1"/>
      <c r="W11015" s="1"/>
      <c r="X11015" s="1"/>
      <c r="Y11015" s="1"/>
      <c r="Z11015" s="1"/>
      <c r="AA11015" s="1"/>
      <c r="AB11015" s="1"/>
      <c r="AC11015" s="1"/>
      <c r="AD11015" s="1"/>
      <c r="AE11015" s="1"/>
      <c r="AF11015" s="1"/>
      <c r="AG11015" s="1"/>
      <c r="AH11015" s="1"/>
    </row>
    <row r="11016" ht="12.75" hidden="1" customHeight="1" outlineLevel="1">
      <c r="A11016" s="197">
        <v>43536.0</v>
      </c>
      <c r="B11016" s="992"/>
      <c r="C11016" s="32" t="s">
        <v>947</v>
      </c>
      <c r="D11016" s="1"/>
      <c r="E11016" s="94" t="s">
        <v>948</v>
      </c>
      <c r="F11016" s="1022" t="s">
        <v>3803</v>
      </c>
      <c r="G11016" s="87"/>
      <c r="H11016" s="199"/>
      <c r="I11016" s="1023">
        <v>1.0</v>
      </c>
      <c r="K11016" s="201" t="s">
        <v>3804</v>
      </c>
      <c r="L11016" s="77"/>
      <c r="M11016" s="79"/>
      <c r="N11016" s="1"/>
      <c r="O11016" s="1"/>
      <c r="P11016" s="1"/>
      <c r="Q11016" s="1"/>
      <c r="R11016" s="1"/>
      <c r="S11016" s="1"/>
      <c r="T11016" s="1"/>
      <c r="U11016" s="1"/>
      <c r="V11016" s="1"/>
      <c r="W11016" s="1"/>
      <c r="X11016" s="1"/>
      <c r="Y11016" s="1"/>
      <c r="Z11016" s="1"/>
      <c r="AA11016" s="1"/>
      <c r="AB11016" s="1"/>
      <c r="AC11016" s="1"/>
      <c r="AD11016" s="1"/>
      <c r="AE11016" s="1"/>
      <c r="AF11016" s="1"/>
      <c r="AG11016" s="1"/>
      <c r="AH11016" s="1"/>
    </row>
    <row r="11017" ht="12.75" hidden="1" customHeight="1" outlineLevel="1">
      <c r="A11017" s="202">
        <v>43536.0</v>
      </c>
      <c r="B11017" s="992"/>
      <c r="C11017" s="32" t="s">
        <v>952</v>
      </c>
      <c r="D11017" s="1"/>
      <c r="F11017" s="231" t="s">
        <v>953</v>
      </c>
      <c r="G11017" s="1"/>
      <c r="H11017" s="68"/>
      <c r="I11017" s="1024">
        <v>0.0</v>
      </c>
      <c r="K11017" s="9" t="s">
        <v>3814</v>
      </c>
      <c r="L11017" s="77"/>
      <c r="M11017" s="79"/>
      <c r="N11017" s="1"/>
      <c r="O11017" s="1"/>
      <c r="P11017" s="1"/>
      <c r="Q11017" s="1"/>
      <c r="R11017" s="1"/>
      <c r="S11017" s="1"/>
      <c r="T11017" s="1"/>
      <c r="U11017" s="1"/>
      <c r="V11017" s="1"/>
      <c r="W11017" s="1"/>
      <c r="X11017" s="1"/>
      <c r="Y11017" s="1"/>
      <c r="Z11017" s="1"/>
      <c r="AA11017" s="1"/>
      <c r="AB11017" s="1"/>
      <c r="AC11017" s="1"/>
      <c r="AD11017" s="1"/>
      <c r="AE11017" s="1"/>
      <c r="AF11017" s="1"/>
      <c r="AG11017" s="1"/>
      <c r="AH11017" s="1"/>
    </row>
    <row r="11018" ht="12.75" hidden="1" customHeight="1" outlineLevel="1">
      <c r="A11018" s="202">
        <v>43536.0</v>
      </c>
      <c r="B11018" s="992"/>
      <c r="C11018" s="32" t="s">
        <v>955</v>
      </c>
      <c r="D11018" s="1"/>
      <c r="F11018" s="231" t="s">
        <v>3718</v>
      </c>
      <c r="G11018" s="1"/>
      <c r="H11018" s="68"/>
      <c r="I11018" s="1024">
        <v>0.0</v>
      </c>
      <c r="K11018" s="9" t="s">
        <v>3815</v>
      </c>
      <c r="L11018" s="77"/>
      <c r="M11018" s="79"/>
      <c r="N11018" s="1"/>
      <c r="O11018" s="1"/>
      <c r="P11018" s="1"/>
      <c r="Q11018" s="1"/>
      <c r="R11018" s="1"/>
      <c r="S11018" s="1"/>
      <c r="T11018" s="1"/>
      <c r="U11018" s="1"/>
      <c r="V11018" s="1"/>
      <c r="W11018" s="1"/>
      <c r="X11018" s="1"/>
      <c r="Y11018" s="1"/>
      <c r="Z11018" s="1"/>
      <c r="AA11018" s="1"/>
      <c r="AB11018" s="1"/>
      <c r="AC11018" s="1"/>
      <c r="AD11018" s="1"/>
      <c r="AE11018" s="1"/>
      <c r="AF11018" s="1"/>
      <c r="AG11018" s="1"/>
      <c r="AH11018" s="1"/>
    </row>
    <row r="11019" ht="12.75" hidden="1" customHeight="1" outlineLevel="1">
      <c r="A11019" s="202">
        <v>43536.0</v>
      </c>
      <c r="B11019" s="992"/>
      <c r="C11019" s="32" t="s">
        <v>958</v>
      </c>
      <c r="D11019" s="1"/>
      <c r="F11019" s="231" t="s">
        <v>3720</v>
      </c>
      <c r="G11019" s="1"/>
      <c r="H11019" s="68"/>
      <c r="I11019" s="1024">
        <v>0.0</v>
      </c>
      <c r="K11019" s="9" t="s">
        <v>3816</v>
      </c>
      <c r="L11019" s="77"/>
      <c r="M11019" s="79"/>
      <c r="N11019" s="1"/>
      <c r="O11019" s="1"/>
      <c r="P11019" s="1"/>
      <c r="Q11019" s="1"/>
      <c r="R11019" s="1"/>
      <c r="S11019" s="1"/>
      <c r="T11019" s="1"/>
      <c r="U11019" s="1"/>
      <c r="V11019" s="1"/>
      <c r="W11019" s="1"/>
      <c r="X11019" s="1"/>
      <c r="Y11019" s="1"/>
      <c r="Z11019" s="1"/>
      <c r="AA11019" s="1"/>
      <c r="AB11019" s="1"/>
      <c r="AC11019" s="1"/>
      <c r="AD11019" s="1"/>
      <c r="AE11019" s="1"/>
      <c r="AF11019" s="1"/>
      <c r="AG11019" s="1"/>
      <c r="AH11019" s="1"/>
    </row>
    <row r="11020" ht="12.75" hidden="1" customHeight="1" outlineLevel="1">
      <c r="A11020" s="202">
        <v>43536.0</v>
      </c>
      <c r="B11020" s="992"/>
      <c r="C11020" s="32" t="s">
        <v>961</v>
      </c>
      <c r="D11020" s="1"/>
      <c r="F11020" s="245" t="s">
        <v>3721</v>
      </c>
      <c r="G11020" s="247"/>
      <c r="H11020" s="1025"/>
      <c r="I11020" s="1026">
        <v>1.0</v>
      </c>
      <c r="K11020" s="9" t="s">
        <v>964</v>
      </c>
      <c r="L11020" s="77"/>
      <c r="M11020" s="79"/>
      <c r="N11020" s="1"/>
      <c r="O11020" s="1"/>
      <c r="P11020" s="1"/>
      <c r="Q11020" s="1"/>
      <c r="R11020" s="1"/>
      <c r="S11020" s="1"/>
      <c r="T11020" s="1"/>
      <c r="U11020" s="1"/>
      <c r="V11020" s="1"/>
      <c r="W11020" s="1"/>
      <c r="X11020" s="1"/>
      <c r="Y11020" s="1"/>
      <c r="Z11020" s="1"/>
      <c r="AA11020" s="1"/>
      <c r="AB11020" s="1"/>
      <c r="AC11020" s="1"/>
      <c r="AD11020" s="1"/>
      <c r="AE11020" s="1"/>
      <c r="AF11020" s="1"/>
      <c r="AG11020" s="1"/>
      <c r="AH11020" s="1"/>
    </row>
    <row r="11021" ht="12.75" hidden="1" customHeight="1" outlineLevel="1">
      <c r="A11021" s="1002">
        <v>43538.0</v>
      </c>
      <c r="B11021" s="985" t="s">
        <v>343</v>
      </c>
      <c r="C11021" s="94" t="s">
        <v>381</v>
      </c>
      <c r="D11021" s="94">
        <v>100.0</v>
      </c>
      <c r="E11021" s="94">
        <v>170.0273</v>
      </c>
      <c r="F11021" s="998">
        <v>43538.41416666667</v>
      </c>
      <c r="G11021" s="94" t="s">
        <v>453</v>
      </c>
      <c r="H11021" s="987">
        <v>1.0</v>
      </c>
      <c r="I11021" s="988" t="s">
        <v>3145</v>
      </c>
      <c r="J11021" s="67">
        <f t="shared" ref="J11021:J11022" si="617">IF(B11021="SLD",D11021*E11021,-D11021*E11021)-H11021</f>
        <v>-17003.73</v>
      </c>
      <c r="K11021" s="201"/>
      <c r="L11021" s="70"/>
      <c r="M11021" s="79"/>
      <c r="N11021" s="1"/>
      <c r="O11021" s="1"/>
      <c r="P11021" s="1"/>
      <c r="Q11021" s="1"/>
      <c r="R11021" s="1"/>
      <c r="S11021" s="1"/>
      <c r="T11021" s="1"/>
      <c r="U11021" s="1"/>
      <c r="V11021" s="1"/>
      <c r="W11021" s="1"/>
      <c r="X11021" s="1"/>
      <c r="Y11021" s="1"/>
      <c r="Z11021" s="1"/>
      <c r="AA11021" s="1"/>
      <c r="AB11021" s="1"/>
      <c r="AC11021" s="1"/>
      <c r="AD11021" s="1"/>
      <c r="AE11021" s="1"/>
      <c r="AF11021" s="1"/>
      <c r="AG11021" s="1"/>
      <c r="AH11021" s="1"/>
    </row>
    <row r="11022" ht="12.75" hidden="1" customHeight="1" outlineLevel="1">
      <c r="A11022" s="1002">
        <v>43538.0</v>
      </c>
      <c r="B11022" s="985" t="s">
        <v>343</v>
      </c>
      <c r="C11022" s="94" t="s">
        <v>1040</v>
      </c>
      <c r="D11022" s="94">
        <v>150.0</v>
      </c>
      <c r="E11022" s="94">
        <v>114.838</v>
      </c>
      <c r="F11022" s="998">
        <v>43538.63851851852</v>
      </c>
      <c r="G11022" s="94" t="s">
        <v>453</v>
      </c>
      <c r="H11022" s="987">
        <v>1.0</v>
      </c>
      <c r="I11022" s="988" t="s">
        <v>3145</v>
      </c>
      <c r="J11022" s="67">
        <f t="shared" si="617"/>
        <v>-17226.7</v>
      </c>
      <c r="K11022" s="201"/>
      <c r="L11022" s="70"/>
      <c r="M11022" s="79"/>
      <c r="N11022" s="1"/>
      <c r="O11022" s="1"/>
      <c r="P11022" s="1"/>
      <c r="Q11022" s="1"/>
      <c r="R11022" s="1"/>
      <c r="S11022" s="1"/>
      <c r="T11022" s="1"/>
      <c r="U11022" s="1"/>
      <c r="V11022" s="1"/>
      <c r="W11022" s="1"/>
      <c r="X11022" s="1"/>
      <c r="Y11022" s="1"/>
      <c r="Z11022" s="1"/>
      <c r="AA11022" s="1"/>
      <c r="AB11022" s="1"/>
      <c r="AC11022" s="1"/>
      <c r="AD11022" s="1"/>
      <c r="AE11022" s="1"/>
      <c r="AF11022" s="1"/>
      <c r="AG11022" s="1"/>
      <c r="AH11022" s="1"/>
    </row>
    <row r="11023" ht="12.75" hidden="1" customHeight="1" outlineLevel="1">
      <c r="A11023" s="197">
        <v>43538.0</v>
      </c>
      <c r="B11023" s="992"/>
      <c r="C11023" s="32" t="s">
        <v>947</v>
      </c>
      <c r="D11023" s="1"/>
      <c r="E11023" s="94" t="s">
        <v>948</v>
      </c>
      <c r="F11023" s="1022" t="s">
        <v>3803</v>
      </c>
      <c r="G11023" s="87"/>
      <c r="H11023" s="199"/>
      <c r="I11023" s="1023">
        <v>1.0</v>
      </c>
      <c r="K11023" s="201" t="s">
        <v>3817</v>
      </c>
      <c r="L11023" s="77"/>
      <c r="M11023" s="79"/>
      <c r="N11023" s="1"/>
      <c r="O11023" s="1"/>
      <c r="P11023" s="1"/>
      <c r="Q11023" s="1"/>
      <c r="R11023" s="1"/>
      <c r="S11023" s="1"/>
      <c r="T11023" s="1"/>
      <c r="U11023" s="1"/>
      <c r="V11023" s="1"/>
      <c r="W11023" s="1"/>
      <c r="X11023" s="1"/>
      <c r="Y11023" s="1"/>
      <c r="Z11023" s="1"/>
      <c r="AA11023" s="1"/>
      <c r="AB11023" s="1"/>
      <c r="AC11023" s="1"/>
      <c r="AD11023" s="1"/>
      <c r="AE11023" s="1"/>
      <c r="AF11023" s="1"/>
      <c r="AG11023" s="1"/>
      <c r="AH11023" s="1"/>
    </row>
    <row r="11024" ht="12.75" hidden="1" customHeight="1" outlineLevel="1">
      <c r="A11024" s="202">
        <v>43538.0</v>
      </c>
      <c r="B11024" s="992"/>
      <c r="C11024" s="32" t="s">
        <v>952</v>
      </c>
      <c r="D11024" s="1"/>
      <c r="F11024" s="231" t="s">
        <v>953</v>
      </c>
      <c r="G11024" s="1"/>
      <c r="H11024" s="68"/>
      <c r="I11024" s="1024">
        <v>0.0</v>
      </c>
      <c r="K11024" s="9" t="s">
        <v>3818</v>
      </c>
      <c r="L11024" s="77"/>
      <c r="M11024" s="79"/>
      <c r="N11024" s="1"/>
      <c r="O11024" s="1"/>
      <c r="P11024" s="1"/>
      <c r="Q11024" s="1"/>
      <c r="R11024" s="1"/>
      <c r="S11024" s="1"/>
      <c r="T11024" s="1"/>
      <c r="U11024" s="1"/>
      <c r="V11024" s="1"/>
      <c r="W11024" s="1"/>
      <c r="X11024" s="1"/>
      <c r="Y11024" s="1"/>
      <c r="Z11024" s="1"/>
      <c r="AA11024" s="1"/>
      <c r="AB11024" s="1"/>
      <c r="AC11024" s="1"/>
      <c r="AD11024" s="1"/>
      <c r="AE11024" s="1"/>
      <c r="AF11024" s="1"/>
      <c r="AG11024" s="1"/>
      <c r="AH11024" s="1"/>
    </row>
    <row r="11025" ht="12.75" hidden="1" customHeight="1" outlineLevel="1">
      <c r="A11025" s="202">
        <v>43538.0</v>
      </c>
      <c r="B11025" s="992"/>
      <c r="C11025" s="32" t="s">
        <v>955</v>
      </c>
      <c r="D11025" s="1"/>
      <c r="F11025" s="231" t="s">
        <v>3718</v>
      </c>
      <c r="G11025" s="1"/>
      <c r="H11025" s="68"/>
      <c r="I11025" s="1024">
        <v>0.0</v>
      </c>
      <c r="K11025" s="9" t="s">
        <v>3819</v>
      </c>
      <c r="L11025" s="77"/>
      <c r="M11025" s="79"/>
      <c r="N11025" s="1"/>
      <c r="O11025" s="1"/>
      <c r="P11025" s="1"/>
      <c r="Q11025" s="1"/>
      <c r="R11025" s="1"/>
      <c r="S11025" s="1"/>
      <c r="T11025" s="1"/>
      <c r="U11025" s="1"/>
      <c r="V11025" s="1"/>
      <c r="W11025" s="1"/>
      <c r="X11025" s="1"/>
      <c r="Y11025" s="1"/>
      <c r="Z11025" s="1"/>
      <c r="AA11025" s="1"/>
      <c r="AB11025" s="1"/>
      <c r="AC11025" s="1"/>
      <c r="AD11025" s="1"/>
      <c r="AE11025" s="1"/>
      <c r="AF11025" s="1"/>
      <c r="AG11025" s="1"/>
      <c r="AH11025" s="1"/>
    </row>
    <row r="11026" ht="12.75" hidden="1" customHeight="1" outlineLevel="1">
      <c r="A11026" s="202">
        <v>43538.0</v>
      </c>
      <c r="B11026" s="992"/>
      <c r="C11026" s="32" t="s">
        <v>958</v>
      </c>
      <c r="D11026" s="1"/>
      <c r="F11026" s="231" t="s">
        <v>3820</v>
      </c>
      <c r="G11026" s="1"/>
      <c r="H11026" s="68"/>
      <c r="I11026" s="1024">
        <v>0.0</v>
      </c>
      <c r="K11026" s="9" t="s">
        <v>3816</v>
      </c>
      <c r="L11026" s="77"/>
      <c r="M11026" s="79"/>
      <c r="N11026" s="1"/>
      <c r="O11026" s="1"/>
      <c r="P11026" s="1"/>
      <c r="Q11026" s="1"/>
      <c r="R11026" s="1"/>
      <c r="S11026" s="1"/>
      <c r="T11026" s="1"/>
      <c r="U11026" s="1"/>
      <c r="V11026" s="1"/>
      <c r="W11026" s="1"/>
      <c r="X11026" s="1"/>
      <c r="Y11026" s="1"/>
      <c r="Z11026" s="1"/>
      <c r="AA11026" s="1"/>
      <c r="AB11026" s="1"/>
      <c r="AC11026" s="1"/>
      <c r="AD11026" s="1"/>
      <c r="AE11026" s="1"/>
      <c r="AF11026" s="1"/>
      <c r="AG11026" s="1"/>
      <c r="AH11026" s="1"/>
    </row>
    <row r="11027" ht="12.75" hidden="1" customHeight="1" outlineLevel="1">
      <c r="A11027" s="202">
        <v>43538.0</v>
      </c>
      <c r="B11027" s="992"/>
      <c r="C11027" s="32" t="s">
        <v>961</v>
      </c>
      <c r="D11027" s="1"/>
      <c r="F11027" s="245" t="s">
        <v>3721</v>
      </c>
      <c r="G11027" s="247"/>
      <c r="H11027" s="1025"/>
      <c r="I11027" s="1026">
        <v>1.0</v>
      </c>
      <c r="K11027" s="9" t="s">
        <v>964</v>
      </c>
      <c r="L11027" s="77"/>
      <c r="M11027" s="79"/>
      <c r="N11027" s="1"/>
      <c r="O11027" s="1"/>
      <c r="P11027" s="1"/>
      <c r="Q11027" s="1"/>
      <c r="R11027" s="1"/>
      <c r="S11027" s="1"/>
      <c r="T11027" s="1"/>
      <c r="U11027" s="1"/>
      <c r="V11027" s="1"/>
      <c r="W11027" s="1"/>
      <c r="X11027" s="1"/>
      <c r="Y11027" s="1"/>
      <c r="Z11027" s="1"/>
      <c r="AA11027" s="1"/>
      <c r="AB11027" s="1"/>
      <c r="AC11027" s="1"/>
      <c r="AD11027" s="1"/>
      <c r="AE11027" s="1"/>
      <c r="AF11027" s="1"/>
      <c r="AG11027" s="1"/>
      <c r="AH11027" s="1"/>
    </row>
    <row r="11028" ht="12.75" hidden="1" customHeight="1" outlineLevel="1">
      <c r="A11028" s="197">
        <v>43543.0</v>
      </c>
      <c r="B11028" s="992"/>
      <c r="C11028" s="32" t="s">
        <v>947</v>
      </c>
      <c r="D11028" s="1"/>
      <c r="E11028" s="94" t="s">
        <v>948</v>
      </c>
      <c r="F11028" s="1022" t="s">
        <v>3803</v>
      </c>
      <c r="G11028" s="87"/>
      <c r="H11028" s="199"/>
      <c r="I11028" s="1023">
        <v>1.0</v>
      </c>
      <c r="K11028" s="201" t="s">
        <v>3821</v>
      </c>
      <c r="L11028" s="77"/>
      <c r="M11028" s="79"/>
      <c r="N11028" s="1"/>
      <c r="O11028" s="1"/>
      <c r="P11028" s="1"/>
      <c r="Q11028" s="1"/>
      <c r="R11028" s="1"/>
      <c r="S11028" s="1"/>
      <c r="T11028" s="1"/>
      <c r="U11028" s="1"/>
      <c r="V11028" s="1"/>
      <c r="W11028" s="1"/>
      <c r="X11028" s="1"/>
      <c r="Y11028" s="1"/>
      <c r="Z11028" s="1"/>
      <c r="AA11028" s="1"/>
      <c r="AB11028" s="1"/>
      <c r="AC11028" s="1"/>
      <c r="AD11028" s="1"/>
      <c r="AE11028" s="1"/>
      <c r="AF11028" s="1"/>
      <c r="AG11028" s="1"/>
      <c r="AH11028" s="1"/>
    </row>
    <row r="11029" ht="12.75" hidden="1" customHeight="1" outlineLevel="1">
      <c r="A11029" s="202">
        <v>43543.0</v>
      </c>
      <c r="B11029" s="992"/>
      <c r="C11029" s="32" t="s">
        <v>952</v>
      </c>
      <c r="D11029" s="1"/>
      <c r="F11029" s="231" t="s">
        <v>953</v>
      </c>
      <c r="G11029" s="1"/>
      <c r="H11029" s="68"/>
      <c r="I11029" s="1024">
        <v>0.0</v>
      </c>
      <c r="K11029" s="9" t="s">
        <v>3818</v>
      </c>
      <c r="L11029" s="77"/>
      <c r="M11029" s="79"/>
      <c r="N11029" s="1"/>
      <c r="O11029" s="1"/>
      <c r="P11029" s="1"/>
      <c r="Q11029" s="1"/>
      <c r="R11029" s="1"/>
      <c r="S11029" s="1"/>
      <c r="T11029" s="1"/>
      <c r="U11029" s="1"/>
      <c r="V11029" s="1"/>
      <c r="W11029" s="1"/>
      <c r="X11029" s="1"/>
      <c r="Y11029" s="1"/>
      <c r="Z11029" s="1"/>
      <c r="AA11029" s="1"/>
      <c r="AB11029" s="1"/>
      <c r="AC11029" s="1"/>
      <c r="AD11029" s="1"/>
      <c r="AE11029" s="1"/>
      <c r="AF11029" s="1"/>
      <c r="AG11029" s="1"/>
      <c r="AH11029" s="1"/>
    </row>
    <row r="11030" ht="12.75" hidden="1" customHeight="1" outlineLevel="1">
      <c r="A11030" s="202">
        <v>43543.0</v>
      </c>
      <c r="B11030" s="992"/>
      <c r="C11030" s="32" t="s">
        <v>955</v>
      </c>
      <c r="D11030" s="1"/>
      <c r="F11030" s="231" t="s">
        <v>3718</v>
      </c>
      <c r="G11030" s="1"/>
      <c r="H11030" s="68"/>
      <c r="I11030" s="1024">
        <v>0.0</v>
      </c>
      <c r="K11030" s="9" t="s">
        <v>3822</v>
      </c>
      <c r="L11030" s="77"/>
      <c r="M11030" s="79"/>
      <c r="N11030" s="1"/>
      <c r="O11030" s="1"/>
      <c r="P11030" s="1"/>
      <c r="Q11030" s="1"/>
      <c r="R11030" s="1"/>
      <c r="S11030" s="1"/>
      <c r="T11030" s="1"/>
      <c r="U11030" s="1"/>
      <c r="V11030" s="1"/>
      <c r="W11030" s="1"/>
      <c r="X11030" s="1"/>
      <c r="Y11030" s="1"/>
      <c r="Z11030" s="1"/>
      <c r="AA11030" s="1"/>
      <c r="AB11030" s="1"/>
      <c r="AC11030" s="1"/>
      <c r="AD11030" s="1"/>
      <c r="AE11030" s="1"/>
      <c r="AF11030" s="1"/>
      <c r="AG11030" s="1"/>
      <c r="AH11030" s="1"/>
    </row>
    <row r="11031" ht="12.75" hidden="1" customHeight="1" outlineLevel="1">
      <c r="A11031" s="202">
        <v>43543.0</v>
      </c>
      <c r="B11031" s="992"/>
      <c r="C11031" s="32" t="s">
        <v>958</v>
      </c>
      <c r="D11031" s="1"/>
      <c r="F11031" s="231" t="s">
        <v>3820</v>
      </c>
      <c r="G11031" s="1"/>
      <c r="H11031" s="68"/>
      <c r="I11031" s="1024">
        <v>0.0</v>
      </c>
      <c r="K11031" s="9" t="s">
        <v>3816</v>
      </c>
      <c r="L11031" s="77"/>
      <c r="M11031" s="79"/>
      <c r="N11031" s="1"/>
      <c r="O11031" s="1"/>
      <c r="P11031" s="1"/>
      <c r="Q11031" s="1"/>
      <c r="R11031" s="1"/>
      <c r="S11031" s="1"/>
      <c r="T11031" s="1"/>
      <c r="U11031" s="1"/>
      <c r="V11031" s="1"/>
      <c r="W11031" s="1"/>
      <c r="X11031" s="1"/>
      <c r="Y11031" s="1"/>
      <c r="Z11031" s="1"/>
      <c r="AA11031" s="1"/>
      <c r="AB11031" s="1"/>
      <c r="AC11031" s="1"/>
      <c r="AD11031" s="1"/>
      <c r="AE11031" s="1"/>
      <c r="AF11031" s="1"/>
      <c r="AG11031" s="1"/>
      <c r="AH11031" s="1"/>
    </row>
    <row r="11032" ht="12.75" hidden="1" customHeight="1" outlineLevel="1">
      <c r="A11032" s="202">
        <v>43543.0</v>
      </c>
      <c r="B11032" s="992"/>
      <c r="C11032" s="32" t="s">
        <v>961</v>
      </c>
      <c r="D11032" s="1"/>
      <c r="F11032" s="245" t="s">
        <v>3721</v>
      </c>
      <c r="G11032" s="247"/>
      <c r="H11032" s="1025"/>
      <c r="I11032" s="1026">
        <v>1.0</v>
      </c>
      <c r="K11032" s="9" t="s">
        <v>964</v>
      </c>
      <c r="L11032" s="77"/>
      <c r="M11032" s="79"/>
      <c r="N11032" s="1"/>
      <c r="O11032" s="1"/>
      <c r="P11032" s="1"/>
      <c r="Q11032" s="1"/>
      <c r="R11032" s="1"/>
      <c r="S11032" s="1"/>
      <c r="T11032" s="1"/>
      <c r="U11032" s="1"/>
      <c r="V11032" s="1"/>
      <c r="W11032" s="1"/>
      <c r="X11032" s="1"/>
      <c r="Y11032" s="1"/>
      <c r="Z11032" s="1"/>
      <c r="AA11032" s="1"/>
      <c r="AB11032" s="1"/>
      <c r="AC11032" s="1"/>
      <c r="AD11032" s="1"/>
      <c r="AE11032" s="1"/>
      <c r="AF11032" s="1"/>
      <c r="AG11032" s="1"/>
      <c r="AH11032" s="1"/>
    </row>
    <row r="11033" ht="12.75" hidden="1" customHeight="1" outlineLevel="1">
      <c r="A11033" s="202">
        <v>43543.0</v>
      </c>
      <c r="B11033" s="985" t="s">
        <v>343</v>
      </c>
      <c r="C11033" s="94" t="s">
        <v>1053</v>
      </c>
      <c r="D11033" s="94">
        <v>5.0</v>
      </c>
      <c r="E11033" s="94">
        <v>1780.94</v>
      </c>
      <c r="F11033" s="1003">
        <v>0.5168055555555555</v>
      </c>
      <c r="G11033" s="1004" t="s">
        <v>453</v>
      </c>
      <c r="H11033" s="987">
        <v>1.0</v>
      </c>
      <c r="I11033" s="988" t="s">
        <v>3145</v>
      </c>
      <c r="J11033" s="67">
        <f t="shared" ref="J11033:J11042" si="618">IF(B11033="SLD",D11033*E11033,-D11033*E11033)-H11033</f>
        <v>-8905.7</v>
      </c>
      <c r="K11033" s="1"/>
      <c r="L11033" s="70"/>
      <c r="M11033" s="79"/>
      <c r="N11033" s="1"/>
      <c r="O11033" s="1"/>
      <c r="P11033" s="1"/>
      <c r="Q11033" s="1"/>
      <c r="R11033" s="1"/>
      <c r="S11033" s="1"/>
      <c r="T11033" s="1"/>
      <c r="U11033" s="1"/>
      <c r="V11033" s="1"/>
      <c r="W11033" s="1"/>
      <c r="X11033" s="1"/>
      <c r="Y11033" s="1"/>
      <c r="Z11033" s="1"/>
      <c r="AA11033" s="1"/>
      <c r="AB11033" s="1"/>
      <c r="AC11033" s="1"/>
      <c r="AD11033" s="1"/>
      <c r="AE11033" s="1"/>
      <c r="AF11033" s="1"/>
      <c r="AG11033" s="1"/>
      <c r="AH11033" s="1"/>
    </row>
    <row r="11034" ht="12.75" hidden="1" customHeight="1" outlineLevel="1">
      <c r="A11034" s="202">
        <v>43543.0</v>
      </c>
      <c r="B11034" s="985" t="s">
        <v>343</v>
      </c>
      <c r="C11034" s="94" t="s">
        <v>1074</v>
      </c>
      <c r="D11034" s="94">
        <v>50.0</v>
      </c>
      <c r="E11034" s="94">
        <v>185.61</v>
      </c>
      <c r="F11034" s="1003">
        <v>0.5170370370370371</v>
      </c>
      <c r="G11034" s="1004" t="s">
        <v>453</v>
      </c>
      <c r="H11034" s="987">
        <v>1.0</v>
      </c>
      <c r="I11034" s="988" t="s">
        <v>3145</v>
      </c>
      <c r="J11034" s="67">
        <f t="shared" si="618"/>
        <v>-9281.5</v>
      </c>
      <c r="K11034" s="1"/>
      <c r="L11034" s="70"/>
      <c r="M11034" s="79"/>
      <c r="N11034" s="1"/>
      <c r="O11034" s="1"/>
      <c r="P11034" s="1"/>
      <c r="Q11034" s="1"/>
      <c r="R11034" s="1"/>
      <c r="S11034" s="1"/>
      <c r="T11034" s="1"/>
      <c r="U11034" s="1"/>
      <c r="V11034" s="1"/>
      <c r="W11034" s="1"/>
      <c r="X11034" s="1"/>
      <c r="Y11034" s="1"/>
      <c r="Z11034" s="1"/>
      <c r="AA11034" s="1"/>
      <c r="AB11034" s="1"/>
      <c r="AC11034" s="1"/>
      <c r="AD11034" s="1"/>
      <c r="AE11034" s="1"/>
      <c r="AF11034" s="1"/>
      <c r="AG11034" s="1"/>
      <c r="AH11034" s="1"/>
    </row>
    <row r="11035" ht="12.75" hidden="1" customHeight="1" outlineLevel="1">
      <c r="A11035" s="202">
        <v>43543.0</v>
      </c>
      <c r="B11035" s="985" t="s">
        <v>347</v>
      </c>
      <c r="C11035" s="94" t="s">
        <v>3249</v>
      </c>
      <c r="D11035" s="286">
        <v>1200.0</v>
      </c>
      <c r="E11035" s="94">
        <v>23.042</v>
      </c>
      <c r="F11035" s="1003">
        <v>0.5769328703703703</v>
      </c>
      <c r="G11035" s="1004" t="s">
        <v>453</v>
      </c>
      <c r="H11035" s="987">
        <v>6.5</v>
      </c>
      <c r="I11035" s="988" t="s">
        <v>3145</v>
      </c>
      <c r="J11035" s="67">
        <f t="shared" si="618"/>
        <v>27643.9</v>
      </c>
      <c r="K11035" s="1030">
        <f>J11035+J10886+J10728+J10601/2</f>
        <v>-5454.2</v>
      </c>
      <c r="L11035" s="70"/>
      <c r="M11035" s="79"/>
      <c r="N11035" s="1"/>
      <c r="O11035" s="1"/>
      <c r="P11035" s="1"/>
      <c r="Q11035" s="1"/>
      <c r="R11035" s="1"/>
      <c r="S11035" s="1"/>
      <c r="T11035" s="1"/>
      <c r="U11035" s="1"/>
      <c r="V11035" s="1"/>
      <c r="W11035" s="1"/>
      <c r="X11035" s="1"/>
      <c r="Y11035" s="1"/>
      <c r="Z11035" s="1"/>
      <c r="AA11035" s="1"/>
      <c r="AB11035" s="1"/>
      <c r="AC11035" s="1"/>
      <c r="AD11035" s="1"/>
      <c r="AE11035" s="1"/>
      <c r="AF11035" s="1"/>
      <c r="AG11035" s="1"/>
      <c r="AH11035" s="1"/>
    </row>
    <row r="11036" ht="12.75" hidden="1" customHeight="1" outlineLevel="1">
      <c r="A11036" s="202">
        <v>43543.0</v>
      </c>
      <c r="B11036" s="985" t="s">
        <v>347</v>
      </c>
      <c r="C11036" s="94" t="s">
        <v>1092</v>
      </c>
      <c r="D11036" s="286">
        <v>1000.0</v>
      </c>
      <c r="E11036" s="94">
        <v>9.12</v>
      </c>
      <c r="F11036" s="1003">
        <v>0.6587268518518519</v>
      </c>
      <c r="G11036" s="1004" t="s">
        <v>453</v>
      </c>
      <c r="H11036" s="987">
        <v>5.24</v>
      </c>
      <c r="I11036" s="988" t="s">
        <v>3145</v>
      </c>
      <c r="J11036" s="67">
        <f t="shared" si="618"/>
        <v>9114.76</v>
      </c>
      <c r="K11036" s="1030">
        <f>J11036+J11015</f>
        <v>-450.24</v>
      </c>
      <c r="L11036" s="70"/>
      <c r="M11036" s="79"/>
      <c r="N11036" s="1"/>
      <c r="O11036" s="1"/>
      <c r="P11036" s="1"/>
      <c r="Q11036" s="1"/>
      <c r="R11036" s="1"/>
      <c r="S11036" s="1"/>
      <c r="T11036" s="1"/>
      <c r="U11036" s="1"/>
      <c r="V11036" s="1"/>
      <c r="W11036" s="1"/>
      <c r="X11036" s="1"/>
      <c r="Y11036" s="1"/>
      <c r="Z11036" s="1"/>
      <c r="AA11036" s="1"/>
      <c r="AB11036" s="1"/>
      <c r="AC11036" s="1"/>
      <c r="AD11036" s="1"/>
      <c r="AE11036" s="1"/>
      <c r="AF11036" s="1"/>
      <c r="AG11036" s="1"/>
      <c r="AH11036" s="1"/>
    </row>
    <row r="11037" ht="12.75" hidden="1" customHeight="1" outlineLevel="1">
      <c r="A11037" s="202">
        <v>43543.0</v>
      </c>
      <c r="B11037" s="985" t="s">
        <v>347</v>
      </c>
      <c r="C11037" s="94" t="s">
        <v>1053</v>
      </c>
      <c r="D11037" s="94">
        <v>10.0</v>
      </c>
      <c r="E11037" s="94">
        <v>1761.25</v>
      </c>
      <c r="F11037" s="1003">
        <v>0.6616550925925926</v>
      </c>
      <c r="G11037" s="1004" t="s">
        <v>453</v>
      </c>
      <c r="H11037" s="987">
        <v>1.23</v>
      </c>
      <c r="I11037" s="988" t="s">
        <v>3145</v>
      </c>
      <c r="J11037" s="67">
        <f t="shared" si="618"/>
        <v>17611.27</v>
      </c>
      <c r="K11037" s="1030">
        <f>J11037+J11014/3+J11033</f>
        <v>440.2366667</v>
      </c>
      <c r="L11037" s="70"/>
      <c r="M11037" s="79"/>
      <c r="N11037" s="1"/>
      <c r="O11037" s="1"/>
      <c r="P11037" s="1"/>
      <c r="Q11037" s="1"/>
      <c r="R11037" s="1"/>
      <c r="S11037" s="1"/>
      <c r="T11037" s="1"/>
      <c r="U11037" s="1"/>
      <c r="V11037" s="1"/>
      <c r="W11037" s="1"/>
      <c r="X11037" s="1"/>
      <c r="Y11037" s="1"/>
      <c r="Z11037" s="1"/>
      <c r="AA11037" s="1"/>
      <c r="AB11037" s="1"/>
      <c r="AC11037" s="1"/>
      <c r="AD11037" s="1"/>
      <c r="AE11037" s="1"/>
      <c r="AF11037" s="1"/>
      <c r="AG11037" s="1"/>
      <c r="AH11037" s="1"/>
    </row>
    <row r="11038" ht="12.75" hidden="1" customHeight="1" outlineLevel="1">
      <c r="A11038" s="202">
        <v>43543.0</v>
      </c>
      <c r="B11038" s="985" t="s">
        <v>347</v>
      </c>
      <c r="C11038" s="94" t="s">
        <v>1040</v>
      </c>
      <c r="D11038" s="94">
        <v>200.0</v>
      </c>
      <c r="E11038" s="94">
        <v>117.304</v>
      </c>
      <c r="F11038" s="1003">
        <v>0.6620949074074074</v>
      </c>
      <c r="G11038" s="1004" t="s">
        <v>453</v>
      </c>
      <c r="H11038" s="987">
        <v>1.33</v>
      </c>
      <c r="I11038" s="988" t="s">
        <v>3145</v>
      </c>
      <c r="J11038" s="67">
        <f t="shared" si="618"/>
        <v>23459.47</v>
      </c>
      <c r="K11038" s="1030">
        <f>J11038+J11022+J10986/2</f>
        <v>609.27</v>
      </c>
      <c r="L11038" s="70"/>
      <c r="M11038" s="79"/>
      <c r="N11038" s="1"/>
      <c r="O11038" s="1"/>
      <c r="P11038" s="1"/>
      <c r="Q11038" s="1"/>
      <c r="R11038" s="1"/>
      <c r="S11038" s="1"/>
      <c r="T11038" s="1"/>
      <c r="U11038" s="1"/>
      <c r="V11038" s="1"/>
      <c r="W11038" s="1"/>
      <c r="X11038" s="1"/>
      <c r="Y11038" s="1"/>
      <c r="Z11038" s="1"/>
      <c r="AA11038" s="1"/>
      <c r="AB11038" s="1"/>
      <c r="AC11038" s="1"/>
      <c r="AD11038" s="1"/>
      <c r="AE11038" s="1"/>
      <c r="AF11038" s="1"/>
      <c r="AG11038" s="1"/>
      <c r="AH11038" s="1"/>
    </row>
    <row r="11039" ht="12.75" hidden="1" customHeight="1" outlineLevel="1">
      <c r="A11039" s="202">
        <v>43543.0</v>
      </c>
      <c r="B11039" s="985" t="s">
        <v>347</v>
      </c>
      <c r="C11039" s="94" t="s">
        <v>381</v>
      </c>
      <c r="D11039" s="94">
        <v>100.0</v>
      </c>
      <c r="E11039" s="94">
        <v>161.0225</v>
      </c>
      <c r="F11039" s="1003">
        <v>0.6622916666666666</v>
      </c>
      <c r="G11039" s="1004" t="s">
        <v>453</v>
      </c>
      <c r="H11039" s="987">
        <v>1.22</v>
      </c>
      <c r="I11039" s="988" t="s">
        <v>3145</v>
      </c>
      <c r="J11039" s="67">
        <f t="shared" si="618"/>
        <v>16101.03</v>
      </c>
      <c r="K11039" s="1030">
        <f>J11039+J11021</f>
        <v>-902.7</v>
      </c>
      <c r="L11039" s="70"/>
      <c r="M11039" s="79"/>
      <c r="N11039" s="1"/>
      <c r="O11039" s="1"/>
      <c r="P11039" s="1"/>
      <c r="Q11039" s="1"/>
      <c r="R11039" s="1"/>
      <c r="S11039" s="1"/>
      <c r="T11039" s="1"/>
      <c r="U11039" s="1"/>
      <c r="V11039" s="1"/>
      <c r="W11039" s="1"/>
      <c r="X11039" s="1"/>
      <c r="Y11039" s="1"/>
      <c r="Z11039" s="1"/>
      <c r="AA11039" s="1"/>
      <c r="AB11039" s="1"/>
      <c r="AC11039" s="1"/>
      <c r="AD11039" s="1"/>
      <c r="AE11039" s="1"/>
      <c r="AF11039" s="1"/>
      <c r="AG11039" s="1"/>
      <c r="AH11039" s="1"/>
    </row>
    <row r="11040" ht="12.75" hidden="1" customHeight="1" outlineLevel="1">
      <c r="A11040" s="202">
        <v>43543.0</v>
      </c>
      <c r="B11040" s="985" t="s">
        <v>347</v>
      </c>
      <c r="C11040" s="94" t="s">
        <v>1035</v>
      </c>
      <c r="D11040" s="94">
        <v>10.0</v>
      </c>
      <c r="E11040" s="94">
        <v>1198.01</v>
      </c>
      <c r="F11040" s="1003">
        <v>0.6628356481481481</v>
      </c>
      <c r="G11040" s="1004" t="s">
        <v>453</v>
      </c>
      <c r="H11040" s="987">
        <v>1.16</v>
      </c>
      <c r="I11040" s="988" t="s">
        <v>3145</v>
      </c>
      <c r="J11040" s="67">
        <f t="shared" si="618"/>
        <v>11978.94</v>
      </c>
      <c r="K11040" s="1030">
        <f>J11040+J10733/2</f>
        <v>2041.467</v>
      </c>
      <c r="L11040" s="70"/>
      <c r="M11040" s="79"/>
      <c r="N11040" s="1"/>
      <c r="O11040" s="1"/>
      <c r="P11040" s="1"/>
      <c r="Q11040" s="1"/>
      <c r="R11040" s="1"/>
      <c r="S11040" s="1"/>
      <c r="T11040" s="1"/>
      <c r="U11040" s="1"/>
      <c r="V11040" s="1"/>
      <c r="W11040" s="1"/>
      <c r="X11040" s="1"/>
      <c r="Y11040" s="1"/>
      <c r="Z11040" s="1"/>
      <c r="AA11040" s="1"/>
      <c r="AB11040" s="1"/>
      <c r="AC11040" s="1"/>
      <c r="AD11040" s="1"/>
      <c r="AE11040" s="1"/>
      <c r="AF11040" s="1"/>
      <c r="AG11040" s="1"/>
      <c r="AH11040" s="1"/>
    </row>
    <row r="11041" ht="12.75" hidden="1" customHeight="1" outlineLevel="1">
      <c r="A11041" s="202">
        <v>43543.0</v>
      </c>
      <c r="B11041" s="985" t="s">
        <v>347</v>
      </c>
      <c r="C11041" s="94" t="s">
        <v>346</v>
      </c>
      <c r="D11041" s="94">
        <v>50.0</v>
      </c>
      <c r="E11041" s="94">
        <v>186.05</v>
      </c>
      <c r="F11041" s="1003">
        <v>0.6633680555555556</v>
      </c>
      <c r="G11041" s="1004" t="s">
        <v>453</v>
      </c>
      <c r="H11041" s="987">
        <v>1.13</v>
      </c>
      <c r="I11041" s="988" t="s">
        <v>3145</v>
      </c>
      <c r="J11041" s="67">
        <f t="shared" si="618"/>
        <v>9301.37</v>
      </c>
      <c r="K11041" s="1030">
        <f>J11041+J10799/5</f>
        <v>1554.67</v>
      </c>
      <c r="L11041" s="70"/>
      <c r="M11041" s="79"/>
      <c r="N11041" s="1"/>
      <c r="O11041" s="1"/>
      <c r="P11041" s="1"/>
      <c r="Q11041" s="1"/>
      <c r="R11041" s="1"/>
      <c r="S11041" s="1"/>
      <c r="T11041" s="1"/>
      <c r="U11041" s="1"/>
      <c r="V11041" s="1"/>
      <c r="W11041" s="1"/>
      <c r="X11041" s="1"/>
      <c r="Y11041" s="1"/>
      <c r="Z11041" s="1"/>
      <c r="AA11041" s="1"/>
      <c r="AB11041" s="1"/>
      <c r="AC11041" s="1"/>
      <c r="AD11041" s="1"/>
      <c r="AE11041" s="1"/>
      <c r="AF11041" s="1"/>
      <c r="AG11041" s="1"/>
      <c r="AH11041" s="1"/>
    </row>
    <row r="11042" ht="12.75" hidden="1" customHeight="1" outlineLevel="1">
      <c r="A11042" s="202">
        <v>43543.0</v>
      </c>
      <c r="B11042" s="985" t="s">
        <v>347</v>
      </c>
      <c r="C11042" s="94" t="s">
        <v>1061</v>
      </c>
      <c r="D11042" s="94">
        <v>200.0</v>
      </c>
      <c r="E11042" s="94">
        <v>44.4401</v>
      </c>
      <c r="F11042" s="1003">
        <v>0.6643634259259259</v>
      </c>
      <c r="G11042" s="1004" t="s">
        <v>453</v>
      </c>
      <c r="H11042" s="987">
        <v>1.14</v>
      </c>
      <c r="I11042" s="988" t="s">
        <v>3145</v>
      </c>
      <c r="J11042" s="67">
        <f t="shared" si="618"/>
        <v>8886.88</v>
      </c>
      <c r="K11042" s="1030">
        <f>J11042+J11008/3</f>
        <v>639.88</v>
      </c>
      <c r="L11042" s="70"/>
      <c r="M11042" s="79"/>
      <c r="N11042" s="1"/>
      <c r="O11042" s="1"/>
      <c r="P11042" s="1"/>
      <c r="Q11042" s="1"/>
      <c r="R11042" s="1"/>
      <c r="S11042" s="1"/>
      <c r="T11042" s="1"/>
      <c r="U11042" s="1"/>
      <c r="V11042" s="1"/>
      <c r="W11042" s="1"/>
      <c r="X11042" s="1"/>
      <c r="Y11042" s="1"/>
      <c r="Z11042" s="1"/>
      <c r="AA11042" s="1"/>
      <c r="AB11042" s="1"/>
      <c r="AC11042" s="1"/>
      <c r="AD11042" s="1"/>
      <c r="AE11042" s="1"/>
      <c r="AF11042" s="1"/>
      <c r="AG11042" s="1"/>
      <c r="AH11042" s="1"/>
    </row>
    <row r="11043" ht="12.75" hidden="1" customHeight="1" outlineLevel="1">
      <c r="A11043" s="197">
        <v>43543.0</v>
      </c>
      <c r="B11043" s="992"/>
      <c r="C11043" s="32" t="s">
        <v>947</v>
      </c>
      <c r="D11043" s="1"/>
      <c r="E11043" s="94" t="s">
        <v>948</v>
      </c>
      <c r="F11043" s="1022" t="s">
        <v>3803</v>
      </c>
      <c r="G11043" s="87"/>
      <c r="H11043" s="199"/>
      <c r="I11043" s="1023">
        <v>1.0</v>
      </c>
      <c r="K11043" s="201" t="s">
        <v>3823</v>
      </c>
      <c r="L11043" s="77"/>
      <c r="M11043" s="79"/>
      <c r="N11043" s="1"/>
      <c r="O11043" s="1"/>
      <c r="P11043" s="1"/>
      <c r="Q11043" s="1"/>
      <c r="R11043" s="1"/>
      <c r="S11043" s="1"/>
      <c r="T11043" s="1"/>
      <c r="U11043" s="1"/>
      <c r="V11043" s="1"/>
      <c r="W11043" s="1"/>
      <c r="X11043" s="1"/>
      <c r="Y11043" s="1"/>
      <c r="Z11043" s="1"/>
      <c r="AA11043" s="1"/>
      <c r="AB11043" s="1"/>
      <c r="AC11043" s="1"/>
      <c r="AD11043" s="1"/>
      <c r="AE11043" s="1"/>
      <c r="AF11043" s="1"/>
      <c r="AG11043" s="1"/>
      <c r="AH11043" s="1"/>
    </row>
    <row r="11044" ht="12.75" hidden="1" customHeight="1" outlineLevel="1">
      <c r="A11044" s="202">
        <v>43543.0</v>
      </c>
      <c r="B11044" s="992"/>
      <c r="C11044" s="32" t="s">
        <v>952</v>
      </c>
      <c r="D11044" s="1"/>
      <c r="F11044" s="231" t="s">
        <v>953</v>
      </c>
      <c r="G11044" s="1"/>
      <c r="H11044" s="68"/>
      <c r="I11044" s="1024">
        <v>0.0</v>
      </c>
      <c r="K11044" s="9" t="s">
        <v>3824</v>
      </c>
      <c r="L11044" s="77"/>
      <c r="M11044" s="79"/>
      <c r="N11044" s="1"/>
      <c r="O11044" s="1"/>
      <c r="P11044" s="1"/>
      <c r="Q11044" s="1"/>
      <c r="R11044" s="1"/>
      <c r="S11044" s="1"/>
      <c r="T11044" s="1"/>
      <c r="U11044" s="1"/>
      <c r="V11044" s="1"/>
      <c r="W11044" s="1"/>
      <c r="X11044" s="1"/>
      <c r="Y11044" s="1"/>
      <c r="Z11044" s="1"/>
      <c r="AA11044" s="1"/>
      <c r="AB11044" s="1"/>
      <c r="AC11044" s="1"/>
      <c r="AD11044" s="1"/>
      <c r="AE11044" s="1"/>
      <c r="AF11044" s="1"/>
      <c r="AG11044" s="1"/>
      <c r="AH11044" s="1"/>
    </row>
    <row r="11045" ht="12.75" hidden="1" customHeight="1" outlineLevel="1">
      <c r="A11045" s="202">
        <v>43543.0</v>
      </c>
      <c r="B11045" s="992"/>
      <c r="C11045" s="32" t="s">
        <v>955</v>
      </c>
      <c r="D11045" s="1"/>
      <c r="F11045" s="231" t="s">
        <v>3718</v>
      </c>
      <c r="G11045" s="1"/>
      <c r="H11045" s="68"/>
      <c r="I11045" s="1024">
        <v>0.0</v>
      </c>
      <c r="K11045" s="9" t="s">
        <v>3825</v>
      </c>
      <c r="L11045" s="77"/>
      <c r="M11045" s="79"/>
      <c r="N11045" s="1"/>
      <c r="O11045" s="1"/>
      <c r="P11045" s="1"/>
      <c r="Q11045" s="1"/>
      <c r="R11045" s="1"/>
      <c r="S11045" s="1"/>
      <c r="T11045" s="1"/>
      <c r="U11045" s="1"/>
      <c r="V11045" s="1"/>
      <c r="W11045" s="1"/>
      <c r="X11045" s="1"/>
      <c r="Y11045" s="1"/>
      <c r="Z11045" s="1"/>
      <c r="AA11045" s="1"/>
      <c r="AB11045" s="1"/>
      <c r="AC11045" s="1"/>
      <c r="AD11045" s="1"/>
      <c r="AE11045" s="1"/>
      <c r="AF11045" s="1"/>
      <c r="AG11045" s="1"/>
      <c r="AH11045" s="1"/>
    </row>
    <row r="11046" ht="12.75" hidden="1" customHeight="1" outlineLevel="1">
      <c r="A11046" s="202">
        <v>43543.0</v>
      </c>
      <c r="B11046" s="992"/>
      <c r="C11046" s="32" t="s">
        <v>958</v>
      </c>
      <c r="D11046" s="1"/>
      <c r="F11046" s="231" t="s">
        <v>3820</v>
      </c>
      <c r="G11046" s="1"/>
      <c r="H11046" s="68"/>
      <c r="I11046" s="1024">
        <v>0.0</v>
      </c>
      <c r="K11046" s="9" t="s">
        <v>3826</v>
      </c>
      <c r="L11046" s="77"/>
      <c r="M11046" s="79"/>
      <c r="N11046" s="1"/>
      <c r="O11046" s="1"/>
      <c r="P11046" s="1"/>
      <c r="Q11046" s="1"/>
      <c r="R11046" s="1"/>
      <c r="S11046" s="1"/>
      <c r="T11046" s="1"/>
      <c r="U11046" s="1"/>
      <c r="V11046" s="1"/>
      <c r="W11046" s="1"/>
      <c r="X11046" s="1"/>
      <c r="Y11046" s="1"/>
      <c r="Z11046" s="1"/>
      <c r="AA11046" s="1"/>
      <c r="AB11046" s="1"/>
      <c r="AC11046" s="1"/>
      <c r="AD11046" s="1"/>
      <c r="AE11046" s="1"/>
      <c r="AF11046" s="1"/>
      <c r="AG11046" s="1"/>
      <c r="AH11046" s="1"/>
    </row>
    <row r="11047" ht="12.75" hidden="1" customHeight="1" outlineLevel="1">
      <c r="A11047" s="202">
        <v>43543.0</v>
      </c>
      <c r="B11047" s="992"/>
      <c r="C11047" s="32" t="s">
        <v>961</v>
      </c>
      <c r="D11047" s="1"/>
      <c r="F11047" s="245" t="s">
        <v>3721</v>
      </c>
      <c r="G11047" s="247"/>
      <c r="H11047" s="1025"/>
      <c r="I11047" s="1026">
        <v>1.0</v>
      </c>
      <c r="K11047" s="9" t="s">
        <v>964</v>
      </c>
      <c r="L11047" s="77"/>
      <c r="M11047" s="79"/>
      <c r="N11047" s="1"/>
      <c r="O11047" s="1"/>
      <c r="P11047" s="1"/>
      <c r="Q11047" s="1"/>
      <c r="R11047" s="1"/>
      <c r="S11047" s="1"/>
      <c r="T11047" s="1"/>
      <c r="U11047" s="1"/>
      <c r="V11047" s="1"/>
      <c r="W11047" s="1"/>
      <c r="X11047" s="1"/>
      <c r="Y11047" s="1"/>
      <c r="Z11047" s="1"/>
      <c r="AA11047" s="1"/>
      <c r="AB11047" s="1"/>
      <c r="AC11047" s="1"/>
      <c r="AD11047" s="1"/>
      <c r="AE11047" s="1"/>
      <c r="AF11047" s="1"/>
      <c r="AG11047" s="1"/>
      <c r="AH11047" s="1"/>
    </row>
    <row r="11048" ht="12.75" hidden="1" customHeight="1" outlineLevel="1">
      <c r="A11048" s="122">
        <v>43544.0</v>
      </c>
      <c r="B11048" s="974" t="s">
        <v>343</v>
      </c>
      <c r="C11048" s="32" t="s">
        <v>1053</v>
      </c>
      <c r="D11048" s="9">
        <v>10.0</v>
      </c>
      <c r="E11048" s="9">
        <v>1778.29</v>
      </c>
      <c r="F11048" s="709">
        <v>0.5059953703703703</v>
      </c>
      <c r="G11048" s="195" t="s">
        <v>453</v>
      </c>
      <c r="H11048" s="710">
        <v>1.0</v>
      </c>
      <c r="I11048" s="256" t="s">
        <v>3145</v>
      </c>
      <c r="J11048" s="67">
        <f t="shared" ref="J11048:J11058" si="619">IF(B11048="SLD",D11048*E11048,-D11048*E11048)-H11048</f>
        <v>-17783.9</v>
      </c>
      <c r="K11048" s="1"/>
      <c r="L11048" s="70"/>
      <c r="M11048" s="79"/>
      <c r="N11048" s="1"/>
      <c r="O11048" s="1"/>
      <c r="P11048" s="1"/>
      <c r="Q11048" s="1"/>
      <c r="R11048" s="1"/>
      <c r="S11048" s="1"/>
      <c r="T11048" s="1"/>
      <c r="U11048" s="1"/>
      <c r="V11048" s="1"/>
      <c r="W11048" s="1"/>
      <c r="X11048" s="1"/>
      <c r="Y11048" s="1"/>
      <c r="Z11048" s="1"/>
      <c r="AA11048" s="1"/>
      <c r="AB11048" s="1"/>
      <c r="AC11048" s="1"/>
      <c r="AD11048" s="1"/>
      <c r="AE11048" s="1"/>
      <c r="AF11048" s="1"/>
      <c r="AG11048" s="1"/>
      <c r="AH11048" s="1"/>
    </row>
    <row r="11049" ht="12.75" hidden="1" customHeight="1" outlineLevel="1">
      <c r="A11049" s="122">
        <v>43544.0</v>
      </c>
      <c r="B11049" s="974" t="s">
        <v>343</v>
      </c>
      <c r="C11049" s="32" t="s">
        <v>381</v>
      </c>
      <c r="D11049" s="9">
        <v>100.0</v>
      </c>
      <c r="E11049" s="9">
        <v>163.2332</v>
      </c>
      <c r="F11049" s="709">
        <v>0.5075462962962963</v>
      </c>
      <c r="G11049" s="195" t="s">
        <v>453</v>
      </c>
      <c r="H11049" s="710">
        <v>1.0</v>
      </c>
      <c r="I11049" s="256" t="s">
        <v>3145</v>
      </c>
      <c r="J11049" s="67">
        <f t="shared" si="619"/>
        <v>-16324.32</v>
      </c>
      <c r="K11049" s="1"/>
      <c r="L11049" s="70"/>
      <c r="M11049" s="79"/>
      <c r="N11049" s="1"/>
      <c r="O11049" s="1"/>
      <c r="P11049" s="1"/>
      <c r="Q11049" s="1"/>
      <c r="R11049" s="1"/>
      <c r="S11049" s="1"/>
      <c r="T11049" s="1"/>
      <c r="U11049" s="1"/>
      <c r="V11049" s="1"/>
      <c r="W11049" s="1"/>
      <c r="X11049" s="1"/>
      <c r="Y11049" s="1"/>
      <c r="Z11049" s="1"/>
      <c r="AA11049" s="1"/>
      <c r="AB11049" s="1"/>
      <c r="AC11049" s="1"/>
      <c r="AD11049" s="1"/>
      <c r="AE11049" s="1"/>
      <c r="AF11049" s="1"/>
      <c r="AG11049" s="1"/>
      <c r="AH11049" s="1"/>
    </row>
    <row r="11050" ht="12.75" hidden="1" customHeight="1" outlineLevel="1">
      <c r="A11050" s="122">
        <v>43544.0</v>
      </c>
      <c r="B11050" s="974" t="s">
        <v>343</v>
      </c>
      <c r="C11050" s="32" t="s">
        <v>1035</v>
      </c>
      <c r="D11050" s="9">
        <v>10.0</v>
      </c>
      <c r="E11050" s="9">
        <v>1209.6292</v>
      </c>
      <c r="F11050" s="709">
        <v>0.5079976851851852</v>
      </c>
      <c r="G11050" s="195" t="s">
        <v>453</v>
      </c>
      <c r="H11050" s="710">
        <v>1.0</v>
      </c>
      <c r="I11050" s="256" t="s">
        <v>3145</v>
      </c>
      <c r="J11050" s="67">
        <f t="shared" si="619"/>
        <v>-12097.292</v>
      </c>
      <c r="K11050" s="1"/>
      <c r="L11050" s="70"/>
      <c r="M11050" s="79"/>
      <c r="N11050" s="1"/>
      <c r="O11050" s="1"/>
      <c r="P11050" s="1"/>
      <c r="Q11050" s="1"/>
      <c r="R11050" s="1"/>
      <c r="S11050" s="1"/>
      <c r="T11050" s="1"/>
      <c r="U11050" s="1"/>
      <c r="V11050" s="1"/>
      <c r="W11050" s="1"/>
      <c r="X11050" s="1"/>
      <c r="Y11050" s="1"/>
      <c r="Z11050" s="1"/>
      <c r="AA11050" s="1"/>
      <c r="AB11050" s="1"/>
      <c r="AC11050" s="1"/>
      <c r="AD11050" s="1"/>
      <c r="AE11050" s="1"/>
      <c r="AF11050" s="1"/>
      <c r="AG11050" s="1"/>
      <c r="AH11050" s="1"/>
    </row>
    <row r="11051" ht="12.75" hidden="1" customHeight="1" outlineLevel="1">
      <c r="A11051" s="122">
        <v>43544.0</v>
      </c>
      <c r="B11051" s="974" t="s">
        <v>343</v>
      </c>
      <c r="C11051" s="32" t="s">
        <v>1040</v>
      </c>
      <c r="D11051" s="9">
        <v>200.0</v>
      </c>
      <c r="E11051" s="9">
        <v>117.44</v>
      </c>
      <c r="F11051" s="709">
        <v>0.5146180555555555</v>
      </c>
      <c r="G11051" s="195" t="s">
        <v>453</v>
      </c>
      <c r="H11051" s="710">
        <v>1.0</v>
      </c>
      <c r="I11051" s="256" t="s">
        <v>3145</v>
      </c>
      <c r="J11051" s="67">
        <f t="shared" si="619"/>
        <v>-23489</v>
      </c>
      <c r="K11051" s="1"/>
      <c r="L11051" s="70"/>
      <c r="M11051" s="79"/>
      <c r="N11051" s="1"/>
      <c r="O11051" s="1"/>
      <c r="P11051" s="1"/>
      <c r="Q11051" s="1"/>
      <c r="R11051" s="1"/>
      <c r="S11051" s="1"/>
      <c r="T11051" s="1"/>
      <c r="U11051" s="1"/>
      <c r="V11051" s="1"/>
      <c r="W11051" s="1"/>
      <c r="X11051" s="1"/>
      <c r="Y11051" s="1"/>
      <c r="Z11051" s="1"/>
      <c r="AA11051" s="1"/>
      <c r="AB11051" s="1"/>
      <c r="AC11051" s="1"/>
      <c r="AD11051" s="1"/>
      <c r="AE11051" s="1"/>
      <c r="AF11051" s="1"/>
      <c r="AG11051" s="1"/>
      <c r="AH11051" s="1"/>
    </row>
    <row r="11052" ht="12.75" hidden="1" customHeight="1" outlineLevel="1">
      <c r="A11052" s="122">
        <v>43544.0</v>
      </c>
      <c r="B11052" s="974" t="s">
        <v>343</v>
      </c>
      <c r="C11052" s="32" t="s">
        <v>346</v>
      </c>
      <c r="D11052" s="9">
        <v>100.0</v>
      </c>
      <c r="E11052" s="9">
        <v>186.9568</v>
      </c>
      <c r="F11052" s="709">
        <v>0.5590046296296296</v>
      </c>
      <c r="G11052" s="195" t="s">
        <v>453</v>
      </c>
      <c r="H11052" s="710">
        <v>1.0</v>
      </c>
      <c r="I11052" s="256" t="s">
        <v>3145</v>
      </c>
      <c r="J11052" s="67">
        <f t="shared" si="619"/>
        <v>-18696.68</v>
      </c>
      <c r="K11052" s="1"/>
      <c r="L11052" s="70"/>
      <c r="M11052" s="79"/>
      <c r="N11052" s="1"/>
      <c r="O11052" s="1"/>
      <c r="P11052" s="1"/>
      <c r="Q11052" s="1"/>
      <c r="R11052" s="1"/>
      <c r="S11052" s="1"/>
      <c r="T11052" s="1"/>
      <c r="U11052" s="1"/>
      <c r="V11052" s="1"/>
      <c r="W11052" s="1"/>
      <c r="X11052" s="1"/>
      <c r="Y11052" s="1"/>
      <c r="Z11052" s="1"/>
      <c r="AA11052" s="1"/>
      <c r="AB11052" s="1"/>
      <c r="AC11052" s="1"/>
      <c r="AD11052" s="1"/>
      <c r="AE11052" s="1"/>
      <c r="AF11052" s="1"/>
      <c r="AG11052" s="1"/>
      <c r="AH11052" s="1"/>
    </row>
    <row r="11053" ht="12.75" hidden="1" customHeight="1" outlineLevel="1">
      <c r="A11053" s="122">
        <v>43544.0</v>
      </c>
      <c r="B11053" s="974" t="s">
        <v>343</v>
      </c>
      <c r="C11053" s="32" t="s">
        <v>381</v>
      </c>
      <c r="D11053" s="9">
        <v>200.0</v>
      </c>
      <c r="E11053" s="9">
        <v>164.6495</v>
      </c>
      <c r="F11053" s="709">
        <v>0.5964814814814815</v>
      </c>
      <c r="G11053" s="195" t="s">
        <v>453</v>
      </c>
      <c r="H11053" s="710">
        <v>1.0</v>
      </c>
      <c r="I11053" s="256" t="s">
        <v>3145</v>
      </c>
      <c r="J11053" s="67">
        <f t="shared" si="619"/>
        <v>-32930.9</v>
      </c>
      <c r="K11053" s="1"/>
      <c r="L11053" s="70"/>
      <c r="M11053" s="79"/>
      <c r="N11053" s="1"/>
      <c r="O11053" s="1"/>
      <c r="P11053" s="1"/>
      <c r="Q11053" s="1"/>
      <c r="R11053" s="1"/>
      <c r="S11053" s="1"/>
      <c r="T11053" s="1"/>
      <c r="U11053" s="1"/>
      <c r="V11053" s="1"/>
      <c r="W11053" s="1"/>
      <c r="X11053" s="1"/>
      <c r="Y11053" s="1"/>
      <c r="Z11053" s="1"/>
      <c r="AA11053" s="1"/>
      <c r="AB11053" s="1"/>
      <c r="AC11053" s="1"/>
      <c r="AD11053" s="1"/>
      <c r="AE11053" s="1"/>
      <c r="AF11053" s="1"/>
      <c r="AG11053" s="1"/>
      <c r="AH11053" s="1"/>
    </row>
    <row r="11054" ht="12.75" hidden="1" customHeight="1" outlineLevel="1">
      <c r="A11054" s="122">
        <v>43544.0</v>
      </c>
      <c r="B11054" s="974" t="s">
        <v>343</v>
      </c>
      <c r="C11054" s="32" t="s">
        <v>1053</v>
      </c>
      <c r="D11054" s="9">
        <v>10.0</v>
      </c>
      <c r="E11054" s="9">
        <v>1798.84</v>
      </c>
      <c r="F11054" s="709">
        <v>0.6105555555555555</v>
      </c>
      <c r="G11054" s="195" t="s">
        <v>453</v>
      </c>
      <c r="H11054" s="710">
        <v>1.0</v>
      </c>
      <c r="I11054" s="256" t="s">
        <v>3145</v>
      </c>
      <c r="J11054" s="67">
        <f t="shared" si="619"/>
        <v>-17989.4</v>
      </c>
      <c r="K11054" s="1"/>
      <c r="L11054" s="70"/>
      <c r="M11054" s="79"/>
      <c r="N11054" s="1"/>
      <c r="O11054" s="1"/>
      <c r="P11054" s="1"/>
      <c r="Q11054" s="1"/>
      <c r="R11054" s="1"/>
      <c r="S11054" s="1"/>
      <c r="T11054" s="1"/>
      <c r="U11054" s="1"/>
      <c r="V11054" s="1"/>
      <c r="W11054" s="1"/>
      <c r="X11054" s="1"/>
      <c r="Y11054" s="1"/>
      <c r="Z11054" s="1"/>
      <c r="AA11054" s="1"/>
      <c r="AB11054" s="1"/>
      <c r="AC11054" s="1"/>
      <c r="AD11054" s="1"/>
      <c r="AE11054" s="1"/>
      <c r="AF11054" s="1"/>
      <c r="AG11054" s="1"/>
      <c r="AH11054" s="1"/>
    </row>
    <row r="11055" ht="12.75" hidden="1" customHeight="1" outlineLevel="1">
      <c r="A11055" s="122">
        <v>43545.0</v>
      </c>
      <c r="B11055" s="974" t="s">
        <v>343</v>
      </c>
      <c r="C11055" s="32" t="s">
        <v>1061</v>
      </c>
      <c r="D11055" s="9">
        <v>600.0</v>
      </c>
      <c r="E11055" s="9">
        <v>45.096</v>
      </c>
      <c r="F11055" s="709">
        <v>0.5463888888888889</v>
      </c>
      <c r="G11055" s="195" t="s">
        <v>453</v>
      </c>
      <c r="H11055" s="710">
        <v>2.9</v>
      </c>
      <c r="I11055" s="256" t="s">
        <v>3145</v>
      </c>
      <c r="J11055" s="67">
        <f t="shared" si="619"/>
        <v>-27060.5</v>
      </c>
      <c r="K11055" s="1"/>
      <c r="L11055" s="70"/>
      <c r="M11055" s="79"/>
      <c r="N11055" s="1"/>
      <c r="O11055" s="1"/>
      <c r="P11055" s="1"/>
      <c r="Q11055" s="1"/>
      <c r="R11055" s="1"/>
      <c r="S11055" s="1"/>
      <c r="T11055" s="1"/>
      <c r="U11055" s="1"/>
      <c r="V11055" s="1"/>
      <c r="W11055" s="1"/>
      <c r="X11055" s="1"/>
      <c r="Y11055" s="1"/>
      <c r="Z11055" s="1"/>
      <c r="AA11055" s="1"/>
      <c r="AB11055" s="1"/>
      <c r="AC11055" s="1"/>
      <c r="AD11055" s="1"/>
      <c r="AE11055" s="1"/>
      <c r="AF11055" s="1"/>
      <c r="AG11055" s="1"/>
      <c r="AH11055" s="1"/>
    </row>
    <row r="11056" ht="12.75" hidden="1" customHeight="1" outlineLevel="1">
      <c r="A11056" s="122">
        <v>43545.0</v>
      </c>
      <c r="B11056" s="974" t="s">
        <v>343</v>
      </c>
      <c r="C11056" s="32" t="s">
        <v>3385</v>
      </c>
      <c r="D11056" s="708">
        <v>1000.0</v>
      </c>
      <c r="E11056" s="9">
        <v>17.44</v>
      </c>
      <c r="F11056" s="709">
        <v>0.5470023148148148</v>
      </c>
      <c r="G11056" s="195" t="s">
        <v>453</v>
      </c>
      <c r="H11056" s="710">
        <v>5.0</v>
      </c>
      <c r="I11056" s="256" t="s">
        <v>3145</v>
      </c>
      <c r="J11056" s="67">
        <f t="shared" si="619"/>
        <v>-17445</v>
      </c>
      <c r="K11056" s="1"/>
      <c r="L11056" s="70"/>
      <c r="M11056" s="79"/>
      <c r="N11056" s="1"/>
      <c r="O11056" s="1"/>
      <c r="P11056" s="1"/>
      <c r="Q11056" s="1"/>
      <c r="R11056" s="1"/>
      <c r="S11056" s="1"/>
      <c r="T11056" s="1"/>
      <c r="U11056" s="1"/>
      <c r="V11056" s="1"/>
      <c r="W11056" s="1"/>
      <c r="X11056" s="1"/>
      <c r="Y11056" s="1"/>
      <c r="Z11056" s="1"/>
      <c r="AA11056" s="1"/>
      <c r="AB11056" s="1"/>
      <c r="AC11056" s="1"/>
      <c r="AD11056" s="1"/>
      <c r="AE11056" s="1"/>
      <c r="AF11056" s="1"/>
      <c r="AG11056" s="1"/>
      <c r="AH11056" s="1"/>
    </row>
    <row r="11057" ht="12.75" hidden="1" customHeight="1" outlineLevel="1">
      <c r="A11057" s="122">
        <v>43545.0</v>
      </c>
      <c r="B11057" s="974" t="s">
        <v>343</v>
      </c>
      <c r="C11057" s="32" t="s">
        <v>1114</v>
      </c>
      <c r="D11057" s="9">
        <v>400.0</v>
      </c>
      <c r="E11057" s="9">
        <v>46.85</v>
      </c>
      <c r="F11057" s="709">
        <v>0.5474652777777778</v>
      </c>
      <c r="G11057" s="195" t="s">
        <v>453</v>
      </c>
      <c r="H11057" s="710">
        <v>2.0</v>
      </c>
      <c r="I11057" s="256" t="s">
        <v>3145</v>
      </c>
      <c r="J11057" s="67">
        <f t="shared" si="619"/>
        <v>-18742</v>
      </c>
      <c r="K11057" s="1"/>
      <c r="L11057" s="70"/>
      <c r="M11057" s="79"/>
      <c r="N11057" s="1"/>
      <c r="O11057" s="1"/>
      <c r="P11057" s="1"/>
      <c r="Q11057" s="1"/>
      <c r="R11057" s="1"/>
      <c r="S11057" s="1"/>
      <c r="T11057" s="1"/>
      <c r="U11057" s="1"/>
      <c r="V11057" s="1"/>
      <c r="W11057" s="1"/>
      <c r="X11057" s="1"/>
      <c r="Y11057" s="1"/>
      <c r="Z11057" s="1"/>
      <c r="AA11057" s="1"/>
      <c r="AB11057" s="1"/>
      <c r="AC11057" s="1"/>
      <c r="AD11057" s="1"/>
      <c r="AE11057" s="1"/>
      <c r="AF11057" s="1"/>
      <c r="AG11057" s="1"/>
      <c r="AH11057" s="1"/>
    </row>
    <row r="11058" ht="12.75" hidden="1" customHeight="1" outlineLevel="1">
      <c r="A11058" s="122">
        <v>43545.0</v>
      </c>
      <c r="B11058" s="974" t="s">
        <v>343</v>
      </c>
      <c r="C11058" s="32" t="s">
        <v>3249</v>
      </c>
      <c r="D11058" s="708">
        <v>1200.0</v>
      </c>
      <c r="E11058" s="9">
        <v>22.652</v>
      </c>
      <c r="F11058" s="709">
        <v>0.5532060185185185</v>
      </c>
      <c r="G11058" s="195" t="s">
        <v>453</v>
      </c>
      <c r="H11058" s="710">
        <v>6.0</v>
      </c>
      <c r="I11058" s="256" t="s">
        <v>3145</v>
      </c>
      <c r="J11058" s="67">
        <f t="shared" si="619"/>
        <v>-27188.4</v>
      </c>
      <c r="K11058" s="1"/>
      <c r="L11058" s="70"/>
      <c r="M11058" s="79"/>
      <c r="N11058" s="1"/>
      <c r="O11058" s="1"/>
      <c r="P11058" s="1"/>
      <c r="Q11058" s="1"/>
      <c r="R11058" s="1"/>
      <c r="S11058" s="1"/>
      <c r="T11058" s="1"/>
      <c r="U11058" s="1"/>
      <c r="V11058" s="1"/>
      <c r="W11058" s="1"/>
      <c r="X11058" s="1"/>
      <c r="Y11058" s="1"/>
      <c r="Z11058" s="1"/>
      <c r="AA11058" s="1"/>
      <c r="AB11058" s="1"/>
      <c r="AC11058" s="1"/>
      <c r="AD11058" s="1"/>
      <c r="AE11058" s="1"/>
      <c r="AF11058" s="1"/>
      <c r="AG11058" s="1"/>
      <c r="AH11058" s="1"/>
    </row>
    <row r="11059" ht="12.75" hidden="1" customHeight="1" outlineLevel="1">
      <c r="A11059" s="197">
        <v>43545.0</v>
      </c>
      <c r="B11059" s="992"/>
      <c r="C11059" s="32" t="s">
        <v>947</v>
      </c>
      <c r="D11059" s="1"/>
      <c r="E11059" s="94" t="s">
        <v>948</v>
      </c>
      <c r="F11059" s="1022" t="s">
        <v>3803</v>
      </c>
      <c r="G11059" s="87"/>
      <c r="H11059" s="199"/>
      <c r="I11059" s="1023">
        <v>1.0</v>
      </c>
      <c r="K11059" s="201" t="s">
        <v>3827</v>
      </c>
      <c r="L11059" s="77"/>
      <c r="M11059" s="79"/>
      <c r="N11059" s="1"/>
      <c r="O11059" s="1"/>
      <c r="P11059" s="1"/>
      <c r="Q11059" s="1"/>
      <c r="R11059" s="1"/>
      <c r="S11059" s="1"/>
      <c r="T11059" s="1"/>
      <c r="U11059" s="1"/>
      <c r="V11059" s="1"/>
      <c r="W11059" s="1"/>
      <c r="X11059" s="1"/>
      <c r="Y11059" s="1"/>
      <c r="Z11059" s="1"/>
      <c r="AA11059" s="1"/>
      <c r="AB11059" s="1"/>
      <c r="AC11059" s="1"/>
      <c r="AD11059" s="1"/>
      <c r="AE11059" s="1"/>
      <c r="AF11059" s="1"/>
      <c r="AG11059" s="1"/>
      <c r="AH11059" s="1"/>
    </row>
    <row r="11060" ht="12.75" hidden="1" customHeight="1" outlineLevel="1">
      <c r="A11060" s="202">
        <v>43545.0</v>
      </c>
      <c r="B11060" s="992"/>
      <c r="C11060" s="32" t="s">
        <v>952</v>
      </c>
      <c r="D11060" s="1"/>
      <c r="F11060" s="231" t="s">
        <v>953</v>
      </c>
      <c r="G11060" s="1"/>
      <c r="H11060" s="68"/>
      <c r="I11060" s="1024">
        <v>0.0</v>
      </c>
      <c r="K11060" s="9" t="s">
        <v>3828</v>
      </c>
      <c r="L11060" s="77"/>
      <c r="M11060" s="79"/>
      <c r="N11060" s="1"/>
      <c r="O11060" s="1"/>
      <c r="P11060" s="1"/>
      <c r="Q11060" s="1"/>
      <c r="R11060" s="1"/>
      <c r="S11060" s="1"/>
      <c r="T11060" s="1"/>
      <c r="U11060" s="1"/>
      <c r="V11060" s="1"/>
      <c r="W11060" s="1"/>
      <c r="X11060" s="1"/>
      <c r="Y11060" s="1"/>
      <c r="Z11060" s="1"/>
      <c r="AA11060" s="1"/>
      <c r="AB11060" s="1"/>
      <c r="AC11060" s="1"/>
      <c r="AD11060" s="1"/>
      <c r="AE11060" s="1"/>
      <c r="AF11060" s="1"/>
      <c r="AG11060" s="1"/>
      <c r="AH11060" s="1"/>
    </row>
    <row r="11061" ht="12.75" hidden="1" customHeight="1" outlineLevel="1">
      <c r="A11061" s="202">
        <v>43545.0</v>
      </c>
      <c r="B11061" s="992"/>
      <c r="C11061" s="32" t="s">
        <v>955</v>
      </c>
      <c r="D11061" s="1"/>
      <c r="F11061" s="231" t="s">
        <v>3718</v>
      </c>
      <c r="G11061" s="1"/>
      <c r="H11061" s="68"/>
      <c r="I11061" s="1024">
        <v>0.0</v>
      </c>
      <c r="K11061" s="9" t="s">
        <v>3829</v>
      </c>
      <c r="L11061" s="77"/>
      <c r="M11061" s="79"/>
      <c r="N11061" s="1"/>
      <c r="O11061" s="1"/>
      <c r="P11061" s="1"/>
      <c r="Q11061" s="1"/>
      <c r="R11061" s="1"/>
      <c r="S11061" s="1"/>
      <c r="T11061" s="1"/>
      <c r="U11061" s="1"/>
      <c r="V11061" s="1"/>
      <c r="W11061" s="1"/>
      <c r="X11061" s="1"/>
      <c r="Y11061" s="1"/>
      <c r="Z11061" s="1"/>
      <c r="AA11061" s="1"/>
      <c r="AB11061" s="1"/>
      <c r="AC11061" s="1"/>
      <c r="AD11061" s="1"/>
      <c r="AE11061" s="1"/>
      <c r="AF11061" s="1"/>
      <c r="AG11061" s="1"/>
      <c r="AH11061" s="1"/>
    </row>
    <row r="11062" ht="12.75" hidden="1" customHeight="1" outlineLevel="1">
      <c r="A11062" s="202">
        <v>43545.0</v>
      </c>
      <c r="B11062" s="992"/>
      <c r="C11062" s="32" t="s">
        <v>958</v>
      </c>
      <c r="D11062" s="1"/>
      <c r="F11062" s="231" t="s">
        <v>3820</v>
      </c>
      <c r="G11062" s="1"/>
      <c r="H11062" s="68"/>
      <c r="I11062" s="1024">
        <v>1.0</v>
      </c>
      <c r="K11062" s="9" t="s">
        <v>3830</v>
      </c>
      <c r="L11062" s="77"/>
      <c r="M11062" s="79"/>
      <c r="N11062" s="1"/>
      <c r="O11062" s="1"/>
      <c r="P11062" s="1"/>
      <c r="Q11062" s="1"/>
      <c r="R11062" s="1"/>
      <c r="S11062" s="1"/>
      <c r="T11062" s="1"/>
      <c r="U11062" s="1"/>
      <c r="V11062" s="1"/>
      <c r="W11062" s="1"/>
      <c r="X11062" s="1"/>
      <c r="Y11062" s="1"/>
      <c r="Z11062" s="1"/>
      <c r="AA11062" s="1"/>
      <c r="AB11062" s="1"/>
      <c r="AC11062" s="1"/>
      <c r="AD11062" s="1"/>
      <c r="AE11062" s="1"/>
      <c r="AF11062" s="1"/>
      <c r="AG11062" s="1"/>
      <c r="AH11062" s="1"/>
    </row>
    <row r="11063" ht="12.75" hidden="1" customHeight="1" outlineLevel="1">
      <c r="A11063" s="202">
        <v>43545.0</v>
      </c>
      <c r="B11063" s="992"/>
      <c r="C11063" s="32" t="s">
        <v>961</v>
      </c>
      <c r="D11063" s="1"/>
      <c r="F11063" s="245" t="s">
        <v>3721</v>
      </c>
      <c r="G11063" s="247"/>
      <c r="H11063" s="1025"/>
      <c r="I11063" s="1026">
        <v>2.0</v>
      </c>
      <c r="K11063" s="9" t="s">
        <v>964</v>
      </c>
      <c r="L11063" s="77"/>
      <c r="M11063" s="79"/>
      <c r="N11063" s="1"/>
      <c r="O11063" s="1"/>
      <c r="P11063" s="1"/>
      <c r="Q11063" s="1"/>
      <c r="R11063" s="1"/>
      <c r="S11063" s="1"/>
      <c r="T11063" s="1"/>
      <c r="U11063" s="1"/>
      <c r="V11063" s="1"/>
      <c r="W11063" s="1"/>
      <c r="X11063" s="1"/>
      <c r="Y11063" s="1"/>
      <c r="Z11063" s="1"/>
      <c r="AA11063" s="1"/>
      <c r="AB11063" s="1"/>
      <c r="AC11063" s="1"/>
      <c r="AD11063" s="1"/>
      <c r="AE11063" s="1"/>
      <c r="AF11063" s="1"/>
      <c r="AG11063" s="1"/>
      <c r="AH11063" s="1"/>
    </row>
    <row r="11064" ht="12.75" hidden="1" customHeight="1" outlineLevel="1">
      <c r="A11064" s="197">
        <v>43547.0</v>
      </c>
      <c r="B11064" s="992"/>
      <c r="C11064" s="32" t="s">
        <v>947</v>
      </c>
      <c r="D11064" s="1"/>
      <c r="E11064" s="94" t="s">
        <v>948</v>
      </c>
      <c r="F11064" s="1022" t="s">
        <v>3803</v>
      </c>
      <c r="G11064" s="87"/>
      <c r="H11064" s="199"/>
      <c r="I11064" s="1023">
        <v>1.0</v>
      </c>
      <c r="K11064" s="201" t="s">
        <v>3827</v>
      </c>
      <c r="L11064" s="77"/>
      <c r="M11064" s="79"/>
      <c r="N11064" s="1"/>
      <c r="O11064" s="1"/>
      <c r="P11064" s="1"/>
      <c r="Q11064" s="1"/>
      <c r="R11064" s="1"/>
      <c r="S11064" s="1"/>
      <c r="T11064" s="1"/>
      <c r="U11064" s="1"/>
      <c r="V11064" s="1"/>
      <c r="W11064" s="1"/>
      <c r="X11064" s="1"/>
      <c r="Y11064" s="1"/>
      <c r="Z11064" s="1"/>
      <c r="AA11064" s="1"/>
      <c r="AB11064" s="1"/>
      <c r="AC11064" s="1"/>
      <c r="AD11064" s="1"/>
      <c r="AE11064" s="1"/>
      <c r="AF11064" s="1"/>
      <c r="AG11064" s="1"/>
      <c r="AH11064" s="1"/>
    </row>
    <row r="11065" ht="12.75" hidden="1" customHeight="1" outlineLevel="1">
      <c r="A11065" s="202">
        <v>43547.0</v>
      </c>
      <c r="B11065" s="992"/>
      <c r="C11065" s="32" t="s">
        <v>952</v>
      </c>
      <c r="D11065" s="1"/>
      <c r="F11065" s="231" t="s">
        <v>953</v>
      </c>
      <c r="G11065" s="1"/>
      <c r="H11065" s="68"/>
      <c r="I11065" s="1024">
        <v>0.0</v>
      </c>
      <c r="K11065" s="9" t="s">
        <v>3831</v>
      </c>
      <c r="L11065" s="77"/>
      <c r="M11065" s="79"/>
      <c r="N11065" s="1"/>
      <c r="O11065" s="1"/>
      <c r="P11065" s="1"/>
      <c r="Q11065" s="1"/>
      <c r="R11065" s="1"/>
      <c r="S11065" s="1"/>
      <c r="T11065" s="1"/>
      <c r="U11065" s="1"/>
      <c r="V11065" s="1"/>
      <c r="W11065" s="1"/>
      <c r="X11065" s="1"/>
      <c r="Y11065" s="1"/>
      <c r="Z11065" s="1"/>
      <c r="AA11065" s="1"/>
      <c r="AB11065" s="1"/>
      <c r="AC11065" s="1"/>
      <c r="AD11065" s="1"/>
      <c r="AE11065" s="1"/>
      <c r="AF11065" s="1"/>
      <c r="AG11065" s="1"/>
      <c r="AH11065" s="1"/>
    </row>
    <row r="11066" ht="12.75" hidden="1" customHeight="1" outlineLevel="1">
      <c r="A11066" s="202">
        <v>43547.0</v>
      </c>
      <c r="B11066" s="992"/>
      <c r="C11066" s="32" t="s">
        <v>955</v>
      </c>
      <c r="D11066" s="1"/>
      <c r="F11066" s="231" t="s">
        <v>3718</v>
      </c>
      <c r="G11066" s="1"/>
      <c r="H11066" s="68"/>
      <c r="I11066" s="1024">
        <v>0.0</v>
      </c>
      <c r="K11066" s="9" t="s">
        <v>3832</v>
      </c>
      <c r="L11066" s="77"/>
      <c r="M11066" s="79"/>
      <c r="N11066" s="1"/>
      <c r="O11066" s="1"/>
      <c r="P11066" s="1"/>
      <c r="Q11066" s="1"/>
      <c r="R11066" s="1"/>
      <c r="S11066" s="1"/>
      <c r="T11066" s="1"/>
      <c r="U11066" s="1"/>
      <c r="V11066" s="1"/>
      <c r="W11066" s="1"/>
      <c r="X11066" s="1"/>
      <c r="Y11066" s="1"/>
      <c r="Z11066" s="1"/>
      <c r="AA11066" s="1"/>
      <c r="AB11066" s="1"/>
      <c r="AC11066" s="1"/>
      <c r="AD11066" s="1"/>
      <c r="AE11066" s="1"/>
      <c r="AF11066" s="1"/>
      <c r="AG11066" s="1"/>
      <c r="AH11066" s="1"/>
    </row>
    <row r="11067" ht="12.75" hidden="1" customHeight="1" outlineLevel="1">
      <c r="A11067" s="202">
        <v>43547.0</v>
      </c>
      <c r="B11067" s="992"/>
      <c r="C11067" s="32" t="s">
        <v>958</v>
      </c>
      <c r="D11067" s="1"/>
      <c r="F11067" s="231" t="s">
        <v>3820</v>
      </c>
      <c r="G11067" s="1"/>
      <c r="H11067" s="68"/>
      <c r="I11067" s="1024">
        <v>1.0</v>
      </c>
      <c r="K11067" s="9" t="s">
        <v>3833</v>
      </c>
      <c r="L11067" s="77"/>
      <c r="M11067" s="79"/>
      <c r="N11067" s="1"/>
      <c r="O11067" s="1"/>
      <c r="P11067" s="1"/>
      <c r="Q11067" s="1"/>
      <c r="R11067" s="1"/>
      <c r="S11067" s="1"/>
      <c r="T11067" s="1"/>
      <c r="U11067" s="1"/>
      <c r="V11067" s="1"/>
      <c r="W11067" s="1"/>
      <c r="X11067" s="1"/>
      <c r="Y11067" s="1"/>
      <c r="Z11067" s="1"/>
      <c r="AA11067" s="1"/>
      <c r="AB11067" s="1"/>
      <c r="AC11067" s="1"/>
      <c r="AD11067" s="1"/>
      <c r="AE11067" s="1"/>
      <c r="AF11067" s="1"/>
      <c r="AG11067" s="1"/>
      <c r="AH11067" s="1"/>
    </row>
    <row r="11068" ht="12.75" hidden="1" customHeight="1" outlineLevel="1">
      <c r="A11068" s="202">
        <v>43547.0</v>
      </c>
      <c r="B11068" s="992"/>
      <c r="C11068" s="32" t="s">
        <v>961</v>
      </c>
      <c r="D11068" s="1"/>
      <c r="F11068" s="245" t="s">
        <v>3721</v>
      </c>
      <c r="G11068" s="247"/>
      <c r="H11068" s="1025"/>
      <c r="I11068" s="1026">
        <v>2.0</v>
      </c>
      <c r="K11068" s="9" t="s">
        <v>964</v>
      </c>
      <c r="L11068" s="77"/>
      <c r="M11068" s="79"/>
      <c r="N11068" s="1"/>
      <c r="O11068" s="1"/>
      <c r="P11068" s="1"/>
      <c r="Q11068" s="1"/>
      <c r="R11068" s="1"/>
      <c r="S11068" s="1"/>
      <c r="T11068" s="1"/>
      <c r="U11068" s="1"/>
      <c r="V11068" s="1"/>
      <c r="W11068" s="1"/>
      <c r="X11068" s="1"/>
      <c r="Y11068" s="1"/>
      <c r="Z11068" s="1"/>
      <c r="AA11068" s="1"/>
      <c r="AB11068" s="1"/>
      <c r="AC11068" s="1"/>
      <c r="AD11068" s="1"/>
      <c r="AE11068" s="1"/>
      <c r="AF11068" s="1"/>
      <c r="AG11068" s="1"/>
      <c r="AH11068" s="1"/>
    </row>
    <row r="11069" ht="12.75" hidden="1" customHeight="1" outlineLevel="1">
      <c r="A11069" s="202">
        <v>43549.0</v>
      </c>
      <c r="B11069" s="985" t="s">
        <v>343</v>
      </c>
      <c r="C11069" s="985" t="s">
        <v>1109</v>
      </c>
      <c r="D11069" s="985">
        <v>20.0</v>
      </c>
      <c r="E11069" s="985">
        <v>423.2</v>
      </c>
      <c r="F11069" s="1027">
        <v>0.4749305555555556</v>
      </c>
      <c r="G11069" s="1028" t="s">
        <v>453</v>
      </c>
      <c r="H11069" s="937">
        <v>1.0</v>
      </c>
      <c r="I11069" s="1029" t="s">
        <v>3145</v>
      </c>
      <c r="J11069" s="67">
        <f t="shared" ref="J11069:J11071" si="620">IF(B11069="SLD",D11069*E11069,-D11069*E11069)-H11069</f>
        <v>-8465</v>
      </c>
      <c r="K11069" s="1"/>
      <c r="L11069" s="70"/>
      <c r="M11069" s="79"/>
      <c r="N11069" s="1"/>
      <c r="O11069" s="1"/>
      <c r="P11069" s="1"/>
      <c r="Q11069" s="1"/>
      <c r="R11069" s="1"/>
      <c r="S11069" s="1"/>
      <c r="T11069" s="1"/>
      <c r="U11069" s="1"/>
      <c r="V11069" s="1"/>
      <c r="W11069" s="1"/>
      <c r="X11069" s="1"/>
      <c r="Y11069" s="1"/>
      <c r="Z11069" s="1"/>
      <c r="AA11069" s="1"/>
      <c r="AB11069" s="1"/>
      <c r="AC11069" s="1"/>
      <c r="AD11069" s="1"/>
      <c r="AE11069" s="1"/>
      <c r="AF11069" s="1"/>
      <c r="AG11069" s="1"/>
      <c r="AH11069" s="1"/>
    </row>
    <row r="11070" ht="12.75" hidden="1" customHeight="1" outlineLevel="1">
      <c r="A11070" s="202">
        <v>43549.0</v>
      </c>
      <c r="B11070" s="985" t="s">
        <v>343</v>
      </c>
      <c r="C11070" s="985" t="s">
        <v>1146</v>
      </c>
      <c r="D11070" s="985">
        <v>150.0</v>
      </c>
      <c r="E11070" s="985">
        <v>108.858</v>
      </c>
      <c r="F11070" s="1027">
        <v>0.47552083333333334</v>
      </c>
      <c r="G11070" s="1028" t="s">
        <v>453</v>
      </c>
      <c r="H11070" s="937">
        <v>1.0</v>
      </c>
      <c r="I11070" s="1029" t="s">
        <v>3145</v>
      </c>
      <c r="J11070" s="67">
        <f t="shared" si="620"/>
        <v>-16329.7</v>
      </c>
      <c r="K11070" s="1"/>
      <c r="L11070" s="70"/>
      <c r="M11070" s="79"/>
      <c r="N11070" s="1"/>
      <c r="O11070" s="1"/>
      <c r="P11070" s="1"/>
      <c r="Q11070" s="1"/>
      <c r="R11070" s="1"/>
      <c r="S11070" s="1"/>
      <c r="T11070" s="1"/>
      <c r="U11070" s="1"/>
      <c r="V11070" s="1"/>
      <c r="W11070" s="1"/>
      <c r="X11070" s="1"/>
      <c r="Y11070" s="1"/>
      <c r="Z11070" s="1"/>
      <c r="AA11070" s="1"/>
      <c r="AB11070" s="1"/>
      <c r="AC11070" s="1"/>
      <c r="AD11070" s="1"/>
      <c r="AE11070" s="1"/>
      <c r="AF11070" s="1"/>
      <c r="AG11070" s="1"/>
      <c r="AH11070" s="1"/>
    </row>
    <row r="11071" ht="12.75" hidden="1" customHeight="1" outlineLevel="1">
      <c r="A11071" s="202">
        <v>43549.0</v>
      </c>
      <c r="B11071" s="985" t="s">
        <v>343</v>
      </c>
      <c r="C11071" s="985" t="s">
        <v>1092</v>
      </c>
      <c r="D11071" s="1031">
        <v>1000.0</v>
      </c>
      <c r="E11071" s="985">
        <v>8.76</v>
      </c>
      <c r="F11071" s="1027">
        <v>0.48020833333333335</v>
      </c>
      <c r="G11071" s="1028" t="s">
        <v>453</v>
      </c>
      <c r="H11071" s="937">
        <v>5.0</v>
      </c>
      <c r="I11071" s="1029" t="s">
        <v>3145</v>
      </c>
      <c r="J11071" s="67">
        <f t="shared" si="620"/>
        <v>-8765</v>
      </c>
      <c r="K11071" s="1"/>
      <c r="L11071" s="70"/>
      <c r="M11071" s="79"/>
      <c r="N11071" s="1"/>
      <c r="O11071" s="1"/>
      <c r="P11071" s="1"/>
      <c r="Q11071" s="1"/>
      <c r="R11071" s="1"/>
      <c r="S11071" s="1"/>
      <c r="T11071" s="1"/>
      <c r="U11071" s="1"/>
      <c r="V11071" s="1"/>
      <c r="W11071" s="1"/>
      <c r="X11071" s="1"/>
      <c r="Y11071" s="1"/>
      <c r="Z11071" s="1"/>
      <c r="AA11071" s="1"/>
      <c r="AB11071" s="1"/>
      <c r="AC11071" s="1"/>
      <c r="AD11071" s="1"/>
      <c r="AE11071" s="1"/>
      <c r="AF11071" s="1"/>
      <c r="AG11071" s="1"/>
      <c r="AH11071" s="1"/>
    </row>
    <row r="11072" ht="12.75" hidden="1" customHeight="1" outlineLevel="1">
      <c r="A11072" s="197">
        <v>43549.0</v>
      </c>
      <c r="B11072" s="992"/>
      <c r="C11072" s="32" t="s">
        <v>947</v>
      </c>
      <c r="D11072" s="1"/>
      <c r="E11072" s="94" t="s">
        <v>948</v>
      </c>
      <c r="F11072" s="1022" t="s">
        <v>3803</v>
      </c>
      <c r="G11072" s="87"/>
      <c r="H11072" s="199"/>
      <c r="I11072" s="1023">
        <v>1.0</v>
      </c>
      <c r="K11072" s="201" t="s">
        <v>3827</v>
      </c>
      <c r="L11072" s="77"/>
      <c r="M11072" s="79"/>
      <c r="N11072" s="1"/>
      <c r="O11072" s="1"/>
      <c r="P11072" s="1"/>
      <c r="Q11072" s="1"/>
      <c r="R11072" s="1"/>
      <c r="S11072" s="1"/>
      <c r="T11072" s="1"/>
      <c r="U11072" s="1"/>
      <c r="V11072" s="1"/>
      <c r="W11072" s="1"/>
      <c r="X11072" s="1"/>
      <c r="Y11072" s="1"/>
      <c r="Z11072" s="1"/>
      <c r="AA11072" s="1"/>
      <c r="AB11072" s="1"/>
      <c r="AC11072" s="1"/>
      <c r="AD11072" s="1"/>
      <c r="AE11072" s="1"/>
      <c r="AF11072" s="1"/>
      <c r="AG11072" s="1"/>
      <c r="AH11072" s="1"/>
    </row>
    <row r="11073" ht="12.75" hidden="1" customHeight="1" outlineLevel="1">
      <c r="A11073" s="202">
        <v>43549.0</v>
      </c>
      <c r="B11073" s="992"/>
      <c r="C11073" s="32" t="s">
        <v>952</v>
      </c>
      <c r="D11073" s="1"/>
      <c r="F11073" s="231" t="s">
        <v>953</v>
      </c>
      <c r="G11073" s="1"/>
      <c r="H11073" s="68"/>
      <c r="I11073" s="1024">
        <v>0.0</v>
      </c>
      <c r="K11073" s="9" t="s">
        <v>3834</v>
      </c>
      <c r="L11073" s="77"/>
      <c r="M11073" s="79"/>
      <c r="N11073" s="1"/>
      <c r="O11073" s="1"/>
      <c r="P11073" s="1"/>
      <c r="Q11073" s="1"/>
      <c r="R11073" s="1"/>
      <c r="S11073" s="1"/>
      <c r="T11073" s="1"/>
      <c r="U11073" s="1"/>
      <c r="V11073" s="1"/>
      <c r="W11073" s="1"/>
      <c r="X11073" s="1"/>
      <c r="Y11073" s="1"/>
      <c r="Z11073" s="1"/>
      <c r="AA11073" s="1"/>
      <c r="AB11073" s="1"/>
      <c r="AC11073" s="1"/>
      <c r="AD11073" s="1"/>
      <c r="AE11073" s="1"/>
      <c r="AF11073" s="1"/>
      <c r="AG11073" s="1"/>
      <c r="AH11073" s="1"/>
    </row>
    <row r="11074" ht="12.75" hidden="1" customHeight="1" outlineLevel="1">
      <c r="A11074" s="202">
        <v>43549.0</v>
      </c>
      <c r="B11074" s="992"/>
      <c r="C11074" s="32" t="s">
        <v>955</v>
      </c>
      <c r="D11074" s="1"/>
      <c r="F11074" s="231" t="s">
        <v>3718</v>
      </c>
      <c r="G11074" s="1"/>
      <c r="H11074" s="68"/>
      <c r="I11074" s="1024">
        <v>0.0</v>
      </c>
      <c r="K11074" s="9" t="s">
        <v>3835</v>
      </c>
      <c r="L11074" s="77"/>
      <c r="M11074" s="79"/>
      <c r="N11074" s="1"/>
      <c r="O11074" s="1"/>
      <c r="P11074" s="1"/>
      <c r="Q11074" s="1"/>
      <c r="R11074" s="1"/>
      <c r="S11074" s="1"/>
      <c r="T11074" s="1"/>
      <c r="U11074" s="1"/>
      <c r="V11074" s="1"/>
      <c r="W11074" s="1"/>
      <c r="X11074" s="1"/>
      <c r="Y11074" s="1"/>
      <c r="Z11074" s="1"/>
      <c r="AA11074" s="1"/>
      <c r="AB11074" s="1"/>
      <c r="AC11074" s="1"/>
      <c r="AD11074" s="1"/>
      <c r="AE11074" s="1"/>
      <c r="AF11074" s="1"/>
      <c r="AG11074" s="1"/>
      <c r="AH11074" s="1"/>
    </row>
    <row r="11075" ht="12.75" hidden="1" customHeight="1" outlineLevel="1">
      <c r="A11075" s="202">
        <v>43549.0</v>
      </c>
      <c r="B11075" s="992"/>
      <c r="C11075" s="32" t="s">
        <v>958</v>
      </c>
      <c r="D11075" s="1"/>
      <c r="F11075" s="231" t="s">
        <v>3820</v>
      </c>
      <c r="G11075" s="1"/>
      <c r="H11075" s="68"/>
      <c r="I11075" s="1024">
        <v>1.0</v>
      </c>
      <c r="K11075" s="9" t="s">
        <v>3833</v>
      </c>
      <c r="L11075" s="77"/>
      <c r="M11075" s="79"/>
      <c r="N11075" s="1"/>
      <c r="O11075" s="1"/>
      <c r="P11075" s="1"/>
      <c r="Q11075" s="1"/>
      <c r="R11075" s="1"/>
      <c r="S11075" s="1"/>
      <c r="T11075" s="1"/>
      <c r="U11075" s="1"/>
      <c r="V11075" s="1"/>
      <c r="W11075" s="1"/>
      <c r="X11075" s="1"/>
      <c r="Y11075" s="1"/>
      <c r="Z11075" s="1"/>
      <c r="AA11075" s="1"/>
      <c r="AB11075" s="1"/>
      <c r="AC11075" s="1"/>
      <c r="AD11075" s="1"/>
      <c r="AE11075" s="1"/>
      <c r="AF11075" s="1"/>
      <c r="AG11075" s="1"/>
      <c r="AH11075" s="1"/>
    </row>
    <row r="11076" ht="12.75" hidden="1" customHeight="1" outlineLevel="1">
      <c r="A11076" s="202">
        <v>43549.0</v>
      </c>
      <c r="B11076" s="992"/>
      <c r="C11076" s="32" t="s">
        <v>961</v>
      </c>
      <c r="D11076" s="1"/>
      <c r="F11076" s="245" t="s">
        <v>3721</v>
      </c>
      <c r="G11076" s="247"/>
      <c r="H11076" s="1025"/>
      <c r="I11076" s="1026">
        <v>2.0</v>
      </c>
      <c r="K11076" s="9" t="s">
        <v>964</v>
      </c>
      <c r="L11076" s="77"/>
      <c r="M11076" s="79"/>
      <c r="N11076" s="1"/>
      <c r="O11076" s="1"/>
      <c r="P11076" s="1"/>
      <c r="Q11076" s="1"/>
      <c r="R11076" s="1"/>
      <c r="S11076" s="1"/>
      <c r="T11076" s="1"/>
      <c r="U11076" s="1"/>
      <c r="V11076" s="1"/>
      <c r="W11076" s="1"/>
      <c r="X11076" s="1"/>
      <c r="Y11076" s="1"/>
      <c r="Z11076" s="1"/>
      <c r="AA11076" s="1"/>
      <c r="AB11076" s="1"/>
      <c r="AC11076" s="1"/>
      <c r="AD11076" s="1"/>
      <c r="AE11076" s="1"/>
      <c r="AF11076" s="1"/>
      <c r="AG11076" s="1"/>
      <c r="AH11076" s="1"/>
    </row>
    <row r="11077" ht="12.75" hidden="1" customHeight="1" outlineLevel="1">
      <c r="A11077" s="122">
        <v>43550.0</v>
      </c>
      <c r="B11077" s="974" t="s">
        <v>347</v>
      </c>
      <c r="C11077" s="32" t="s">
        <v>847</v>
      </c>
      <c r="D11077" s="9">
        <v>100.0</v>
      </c>
      <c r="E11077" s="9">
        <v>160.21</v>
      </c>
      <c r="F11077" s="709">
        <v>0.6413194444444444</v>
      </c>
      <c r="G11077" s="195" t="s">
        <v>453</v>
      </c>
      <c r="H11077" s="710">
        <v>1.22</v>
      </c>
      <c r="I11077" s="256" t="s">
        <v>3145</v>
      </c>
      <c r="J11077" s="67">
        <f t="shared" ref="J11077:J11078" si="621">IF(B11077="SLD",D11077*E11077,-D11077*E11077)-H11077</f>
        <v>16019.78</v>
      </c>
      <c r="K11077" s="1030">
        <f>J11077+J11011+J10356*50/30</f>
        <v>-1010.886667</v>
      </c>
      <c r="L11077" s="70"/>
      <c r="M11077" s="79"/>
      <c r="N11077" s="1"/>
      <c r="O11077" s="1"/>
      <c r="P11077" s="1"/>
      <c r="Q11077" s="1"/>
      <c r="R11077" s="1"/>
      <c r="S11077" s="1"/>
      <c r="T11077" s="1"/>
      <c r="U11077" s="1"/>
      <c r="V11077" s="1"/>
      <c r="W11077" s="1"/>
      <c r="X11077" s="1"/>
      <c r="Y11077" s="1"/>
      <c r="Z11077" s="1"/>
      <c r="AA11077" s="1"/>
      <c r="AB11077" s="1"/>
      <c r="AC11077" s="1"/>
      <c r="AD11077" s="1"/>
      <c r="AE11077" s="1"/>
      <c r="AF11077" s="1"/>
      <c r="AG11077" s="1"/>
      <c r="AH11077" s="1"/>
    </row>
    <row r="11078" ht="12.75" hidden="1" customHeight="1" outlineLevel="1">
      <c r="A11078" s="122">
        <v>43550.0</v>
      </c>
      <c r="B11078" s="974" t="s">
        <v>347</v>
      </c>
      <c r="C11078" s="32" t="s">
        <v>1067</v>
      </c>
      <c r="D11078" s="9">
        <v>50.0</v>
      </c>
      <c r="E11078" s="9">
        <v>242.2727</v>
      </c>
      <c r="F11078" s="709">
        <v>0.6416087962962963</v>
      </c>
      <c r="G11078" s="195" t="s">
        <v>453</v>
      </c>
      <c r="H11078" s="710">
        <v>1.16</v>
      </c>
      <c r="I11078" s="256" t="s">
        <v>3145</v>
      </c>
      <c r="J11078" s="67">
        <f t="shared" si="621"/>
        <v>12112.475</v>
      </c>
      <c r="K11078" s="1030">
        <f>J11078+J9489/2+J11012</f>
        <v>2108.725</v>
      </c>
      <c r="L11078" s="70"/>
      <c r="M11078" s="79"/>
      <c r="N11078" s="1"/>
      <c r="O11078" s="1"/>
      <c r="P11078" s="1"/>
      <c r="Q11078" s="1"/>
      <c r="R11078" s="1"/>
      <c r="S11078" s="1"/>
      <c r="T11078" s="1"/>
      <c r="U11078" s="1"/>
      <c r="V11078" s="1"/>
      <c r="W11078" s="1"/>
      <c r="X11078" s="1"/>
      <c r="Y11078" s="1"/>
      <c r="Z11078" s="1"/>
      <c r="AA11078" s="1"/>
      <c r="AB11078" s="1"/>
      <c r="AC11078" s="1"/>
      <c r="AD11078" s="1"/>
      <c r="AE11078" s="1"/>
      <c r="AF11078" s="1"/>
      <c r="AG11078" s="1"/>
      <c r="AH11078" s="1"/>
    </row>
    <row r="11079" ht="12.75" hidden="1" customHeight="1" outlineLevel="1">
      <c r="A11079" s="197">
        <v>43550.0</v>
      </c>
      <c r="B11079" s="992"/>
      <c r="C11079" s="32" t="s">
        <v>947</v>
      </c>
      <c r="D11079" s="1"/>
      <c r="E11079" s="94" t="s">
        <v>948</v>
      </c>
      <c r="F11079" s="1022" t="s">
        <v>3803</v>
      </c>
      <c r="G11079" s="87"/>
      <c r="H11079" s="199"/>
      <c r="I11079" s="1023">
        <v>1.0</v>
      </c>
      <c r="K11079" s="201" t="s">
        <v>3827</v>
      </c>
      <c r="L11079" s="77"/>
      <c r="M11079" s="79"/>
      <c r="N11079" s="1"/>
      <c r="O11079" s="1"/>
      <c r="P11079" s="1"/>
      <c r="Q11079" s="1"/>
      <c r="R11079" s="1"/>
      <c r="S11079" s="1"/>
      <c r="T11079" s="1"/>
      <c r="U11079" s="1"/>
      <c r="V11079" s="1"/>
      <c r="W11079" s="1"/>
      <c r="X11079" s="1"/>
      <c r="Y11079" s="1"/>
      <c r="Z11079" s="1"/>
      <c r="AA11079" s="1"/>
      <c r="AB11079" s="1"/>
      <c r="AC11079" s="1"/>
      <c r="AD11079" s="1"/>
      <c r="AE11079" s="1"/>
      <c r="AF11079" s="1"/>
      <c r="AG11079" s="1"/>
      <c r="AH11079" s="1"/>
    </row>
    <row r="11080" ht="12.75" hidden="1" customHeight="1" outlineLevel="1">
      <c r="A11080" s="202">
        <v>43550.0</v>
      </c>
      <c r="B11080" s="992"/>
      <c r="C11080" s="32" t="s">
        <v>952</v>
      </c>
      <c r="D11080" s="1"/>
      <c r="F11080" s="231" t="s">
        <v>953</v>
      </c>
      <c r="G11080" s="1"/>
      <c r="H11080" s="68"/>
      <c r="I11080" s="1024">
        <v>0.0</v>
      </c>
      <c r="K11080" s="9" t="s">
        <v>3836</v>
      </c>
      <c r="L11080" s="77"/>
      <c r="M11080" s="79"/>
      <c r="N11080" s="1"/>
      <c r="O11080" s="1"/>
      <c r="P11080" s="1"/>
      <c r="Q11080" s="1"/>
      <c r="R11080" s="1"/>
      <c r="S11080" s="1"/>
      <c r="T11080" s="1"/>
      <c r="U11080" s="1"/>
      <c r="V11080" s="1"/>
      <c r="W11080" s="1"/>
      <c r="X11080" s="1"/>
      <c r="Y11080" s="1"/>
      <c r="Z11080" s="1"/>
      <c r="AA11080" s="1"/>
      <c r="AB11080" s="1"/>
      <c r="AC11080" s="1"/>
      <c r="AD11080" s="1"/>
      <c r="AE11080" s="1"/>
      <c r="AF11080" s="1"/>
      <c r="AG11080" s="1"/>
      <c r="AH11080" s="1"/>
    </row>
    <row r="11081" ht="12.75" hidden="1" customHeight="1" outlineLevel="1">
      <c r="A11081" s="202">
        <v>43550.0</v>
      </c>
      <c r="B11081" s="992"/>
      <c r="C11081" s="32" t="s">
        <v>955</v>
      </c>
      <c r="D11081" s="1"/>
      <c r="F11081" s="231" t="s">
        <v>3718</v>
      </c>
      <c r="G11081" s="1"/>
      <c r="H11081" s="68"/>
      <c r="I11081" s="1024">
        <v>0.0</v>
      </c>
      <c r="K11081" s="9" t="s">
        <v>3837</v>
      </c>
      <c r="L11081" s="77"/>
      <c r="M11081" s="79"/>
      <c r="N11081" s="1"/>
      <c r="O11081" s="1"/>
      <c r="P11081" s="1"/>
      <c r="Q11081" s="1"/>
      <c r="R11081" s="1"/>
      <c r="S11081" s="1"/>
      <c r="T11081" s="1"/>
      <c r="U11081" s="1"/>
      <c r="V11081" s="1"/>
      <c r="W11081" s="1"/>
      <c r="X11081" s="1"/>
      <c r="Y11081" s="1"/>
      <c r="Z11081" s="1"/>
      <c r="AA11081" s="1"/>
      <c r="AB11081" s="1"/>
      <c r="AC11081" s="1"/>
      <c r="AD11081" s="1"/>
      <c r="AE11081" s="1"/>
      <c r="AF11081" s="1"/>
      <c r="AG11081" s="1"/>
      <c r="AH11081" s="1"/>
    </row>
    <row r="11082" ht="12.75" hidden="1" customHeight="1" outlineLevel="1">
      <c r="A11082" s="202">
        <v>43550.0</v>
      </c>
      <c r="B11082" s="992"/>
      <c r="C11082" s="32" t="s">
        <v>958</v>
      </c>
      <c r="D11082" s="1"/>
      <c r="F11082" s="231" t="s">
        <v>3820</v>
      </c>
      <c r="G11082" s="1"/>
      <c r="H11082" s="68"/>
      <c r="I11082" s="1024">
        <v>1.0</v>
      </c>
      <c r="K11082" s="9" t="s">
        <v>3838</v>
      </c>
      <c r="L11082" s="77"/>
      <c r="M11082" s="79"/>
      <c r="N11082" s="1"/>
      <c r="O11082" s="1"/>
      <c r="P11082" s="1"/>
      <c r="Q11082" s="1"/>
      <c r="R11082" s="1"/>
      <c r="S11082" s="1"/>
      <c r="T11082" s="1"/>
      <c r="U11082" s="1"/>
      <c r="V11082" s="1"/>
      <c r="W11082" s="1"/>
      <c r="X11082" s="1"/>
      <c r="Y11082" s="1"/>
      <c r="Z11082" s="1"/>
      <c r="AA11082" s="1"/>
      <c r="AB11082" s="1"/>
      <c r="AC11082" s="1"/>
      <c r="AD11082" s="1"/>
      <c r="AE11082" s="1"/>
      <c r="AF11082" s="1"/>
      <c r="AG11082" s="1"/>
      <c r="AH11082" s="1"/>
    </row>
    <row r="11083" ht="12.75" hidden="1" customHeight="1" outlineLevel="1">
      <c r="A11083" s="202">
        <v>43550.0</v>
      </c>
      <c r="B11083" s="992"/>
      <c r="C11083" s="32" t="s">
        <v>961</v>
      </c>
      <c r="D11083" s="1"/>
      <c r="F11083" s="245" t="s">
        <v>3721</v>
      </c>
      <c r="G11083" s="247"/>
      <c r="H11083" s="1025"/>
      <c r="I11083" s="1026">
        <v>2.0</v>
      </c>
      <c r="K11083" s="9" t="s">
        <v>964</v>
      </c>
      <c r="L11083" s="77"/>
      <c r="M11083" s="79"/>
      <c r="N11083" s="1"/>
      <c r="O11083" s="1"/>
      <c r="P11083" s="1"/>
      <c r="Q11083" s="1"/>
      <c r="R11083" s="1"/>
      <c r="S11083" s="1"/>
      <c r="T11083" s="1"/>
      <c r="U11083" s="1"/>
      <c r="V11083" s="1"/>
      <c r="W11083" s="1"/>
      <c r="X11083" s="1"/>
      <c r="Y11083" s="1"/>
      <c r="Z11083" s="1"/>
      <c r="AA11083" s="1"/>
      <c r="AB11083" s="1"/>
      <c r="AC11083" s="1"/>
      <c r="AD11083" s="1"/>
      <c r="AE11083" s="1"/>
      <c r="AF11083" s="1"/>
      <c r="AG11083" s="1"/>
      <c r="AH11083" s="1"/>
    </row>
    <row r="11084" ht="12.75" hidden="1" customHeight="1" outlineLevel="1">
      <c r="A11084" s="122">
        <v>43551.0</v>
      </c>
      <c r="B11084" s="974" t="s">
        <v>343</v>
      </c>
      <c r="C11084" s="32" t="s">
        <v>1146</v>
      </c>
      <c r="D11084" s="9">
        <v>200.0</v>
      </c>
      <c r="E11084" s="9">
        <v>110.358</v>
      </c>
      <c r="F11084" s="709">
        <v>0.4298958333333333</v>
      </c>
      <c r="G11084" s="195" t="s">
        <v>453</v>
      </c>
      <c r="H11084" s="710">
        <v>1.0</v>
      </c>
      <c r="I11084" s="256" t="s">
        <v>3145</v>
      </c>
      <c r="J11084" s="67">
        <f t="shared" ref="J11084:J11086" si="622">IF(B11084="SLD",D11084*E11084,-D11084*E11084)-H11084</f>
        <v>-22072.6</v>
      </c>
      <c r="K11084" s="1"/>
      <c r="L11084" s="70"/>
      <c r="M11084" s="79"/>
      <c r="N11084" s="1"/>
      <c r="O11084" s="1"/>
      <c r="P11084" s="1"/>
      <c r="Q11084" s="1"/>
      <c r="R11084" s="1"/>
      <c r="S11084" s="1"/>
      <c r="T11084" s="1"/>
      <c r="U11084" s="1"/>
      <c r="V11084" s="1"/>
      <c r="W11084" s="1"/>
      <c r="X11084" s="1"/>
      <c r="Y11084" s="1"/>
      <c r="Z11084" s="1"/>
      <c r="AA11084" s="1"/>
      <c r="AB11084" s="1"/>
      <c r="AC11084" s="1"/>
      <c r="AD11084" s="1"/>
      <c r="AE11084" s="1"/>
      <c r="AF11084" s="1"/>
      <c r="AG11084" s="1"/>
      <c r="AH11084" s="1"/>
    </row>
    <row r="11085" ht="12.75" hidden="1" customHeight="1" outlineLevel="1">
      <c r="A11085" s="122">
        <v>43551.0</v>
      </c>
      <c r="B11085" s="974" t="s">
        <v>343</v>
      </c>
      <c r="C11085" s="32" t="s">
        <v>847</v>
      </c>
      <c r="D11085" s="9">
        <v>100.0</v>
      </c>
      <c r="E11085" s="9">
        <v>161.04</v>
      </c>
      <c r="F11085" s="709">
        <v>0.4315509259259259</v>
      </c>
      <c r="G11085" s="195" t="s">
        <v>453</v>
      </c>
      <c r="H11085" s="710">
        <v>1.0</v>
      </c>
      <c r="I11085" s="256" t="s">
        <v>3145</v>
      </c>
      <c r="J11085" s="67">
        <f t="shared" si="622"/>
        <v>-16105</v>
      </c>
      <c r="K11085" s="1"/>
      <c r="L11085" s="70"/>
      <c r="M11085" s="79"/>
      <c r="N11085" s="1"/>
      <c r="O11085" s="1"/>
      <c r="P11085" s="1"/>
      <c r="Q11085" s="1"/>
      <c r="R11085" s="1"/>
      <c r="S11085" s="1"/>
      <c r="T11085" s="1"/>
      <c r="U11085" s="1"/>
      <c r="V11085" s="1"/>
      <c r="W11085" s="1"/>
      <c r="X11085" s="1"/>
      <c r="Y11085" s="1"/>
      <c r="Z11085" s="1"/>
      <c r="AA11085" s="1"/>
      <c r="AB11085" s="1"/>
      <c r="AC11085" s="1"/>
      <c r="AD11085" s="1"/>
      <c r="AE11085" s="1"/>
      <c r="AF11085" s="1"/>
      <c r="AG11085" s="1"/>
      <c r="AH11085" s="1"/>
    </row>
    <row r="11086" ht="12.75" hidden="1" customHeight="1" outlineLevel="1">
      <c r="A11086" s="122">
        <v>43551.0</v>
      </c>
      <c r="B11086" s="974" t="s">
        <v>343</v>
      </c>
      <c r="C11086" s="32" t="s">
        <v>1067</v>
      </c>
      <c r="D11086" s="9">
        <v>60.0</v>
      </c>
      <c r="E11086" s="9">
        <v>244.155</v>
      </c>
      <c r="F11086" s="709">
        <v>0.4321759259259259</v>
      </c>
      <c r="G11086" s="195" t="s">
        <v>453</v>
      </c>
      <c r="H11086" s="710">
        <v>1.0</v>
      </c>
      <c r="I11086" s="256" t="s">
        <v>3145</v>
      </c>
      <c r="J11086" s="67">
        <f t="shared" si="622"/>
        <v>-14650.3</v>
      </c>
      <c r="K11086" s="1"/>
      <c r="L11086" s="70"/>
      <c r="M11086" s="79"/>
      <c r="N11086" s="1"/>
      <c r="O11086" s="1"/>
      <c r="P11086" s="1"/>
      <c r="Q11086" s="1"/>
      <c r="R11086" s="1"/>
      <c r="S11086" s="1"/>
      <c r="T11086" s="1"/>
      <c r="U11086" s="1"/>
      <c r="V11086" s="1"/>
      <c r="W11086" s="1"/>
      <c r="X11086" s="1"/>
      <c r="Y11086" s="1"/>
      <c r="Z11086" s="1"/>
      <c r="AA11086" s="1"/>
      <c r="AB11086" s="1"/>
      <c r="AC11086" s="1"/>
      <c r="AD11086" s="1"/>
      <c r="AE11086" s="1"/>
      <c r="AF11086" s="1"/>
      <c r="AG11086" s="1"/>
      <c r="AH11086" s="1"/>
    </row>
    <row r="11087" ht="12.75" hidden="1" customHeight="1" outlineLevel="1">
      <c r="A11087" s="197">
        <v>43552.0</v>
      </c>
      <c r="B11087" s="992"/>
      <c r="C11087" s="32" t="s">
        <v>947</v>
      </c>
      <c r="D11087" s="1"/>
      <c r="E11087" s="94" t="s">
        <v>948</v>
      </c>
      <c r="F11087" s="1022" t="s">
        <v>3803</v>
      </c>
      <c r="G11087" s="87"/>
      <c r="H11087" s="199"/>
      <c r="I11087" s="1023">
        <v>1.0</v>
      </c>
      <c r="K11087" s="201" t="s">
        <v>3827</v>
      </c>
      <c r="L11087" s="77"/>
      <c r="M11087" s="79"/>
      <c r="N11087" s="1"/>
      <c r="O11087" s="1"/>
      <c r="P11087" s="1"/>
      <c r="Q11087" s="1"/>
      <c r="R11087" s="1"/>
      <c r="S11087" s="1"/>
      <c r="T11087" s="1"/>
      <c r="U11087" s="1"/>
      <c r="V11087" s="1"/>
      <c r="W11087" s="1"/>
      <c r="X11087" s="1"/>
      <c r="Y11087" s="1"/>
      <c r="Z11087" s="1"/>
      <c r="AA11087" s="1"/>
      <c r="AB11087" s="1"/>
      <c r="AC11087" s="1"/>
      <c r="AD11087" s="1"/>
      <c r="AE11087" s="1"/>
      <c r="AF11087" s="1"/>
      <c r="AG11087" s="1"/>
      <c r="AH11087" s="1"/>
    </row>
    <row r="11088" ht="12.75" hidden="1" customHeight="1" outlineLevel="1">
      <c r="A11088" s="202">
        <v>43552.0</v>
      </c>
      <c r="B11088" s="992"/>
      <c r="C11088" s="32" t="s">
        <v>952</v>
      </c>
      <c r="D11088" s="1"/>
      <c r="F11088" s="231" t="s">
        <v>953</v>
      </c>
      <c r="G11088" s="1"/>
      <c r="H11088" s="68"/>
      <c r="I11088" s="1024">
        <v>0.0</v>
      </c>
      <c r="K11088" s="9" t="s">
        <v>3839</v>
      </c>
      <c r="L11088" s="77"/>
      <c r="M11088" s="79"/>
      <c r="N11088" s="1"/>
      <c r="O11088" s="1"/>
      <c r="P11088" s="1"/>
      <c r="Q11088" s="1"/>
      <c r="R11088" s="1"/>
      <c r="S11088" s="1"/>
      <c r="T11088" s="1"/>
      <c r="U11088" s="1"/>
      <c r="V11088" s="1"/>
      <c r="W11088" s="1"/>
      <c r="X11088" s="1"/>
      <c r="Y11088" s="1"/>
      <c r="Z11088" s="1"/>
      <c r="AA11088" s="1"/>
      <c r="AB11088" s="1"/>
      <c r="AC11088" s="1"/>
      <c r="AD11088" s="1"/>
      <c r="AE11088" s="1"/>
      <c r="AF11088" s="1"/>
      <c r="AG11088" s="1"/>
      <c r="AH11088" s="1"/>
    </row>
    <row r="11089" ht="12.75" hidden="1" customHeight="1" outlineLevel="1">
      <c r="A11089" s="202">
        <v>43552.0</v>
      </c>
      <c r="B11089" s="992"/>
      <c r="C11089" s="32" t="s">
        <v>955</v>
      </c>
      <c r="D11089" s="1"/>
      <c r="F11089" s="231" t="s">
        <v>3718</v>
      </c>
      <c r="G11089" s="1"/>
      <c r="H11089" s="68"/>
      <c r="I11089" s="1024">
        <v>0.0</v>
      </c>
      <c r="K11089" s="9" t="s">
        <v>3837</v>
      </c>
      <c r="L11089" s="77"/>
      <c r="M11089" s="79"/>
      <c r="N11089" s="1"/>
      <c r="O11089" s="1"/>
      <c r="P11089" s="1"/>
      <c r="Q11089" s="1"/>
      <c r="R11089" s="1"/>
      <c r="S11089" s="1"/>
      <c r="T11089" s="1"/>
      <c r="U11089" s="1"/>
      <c r="V11089" s="1"/>
      <c r="W11089" s="1"/>
      <c r="X11089" s="1"/>
      <c r="Y11089" s="1"/>
      <c r="Z11089" s="1"/>
      <c r="AA11089" s="1"/>
      <c r="AB11089" s="1"/>
      <c r="AC11089" s="1"/>
      <c r="AD11089" s="1"/>
      <c r="AE11089" s="1"/>
      <c r="AF11089" s="1"/>
      <c r="AG11089" s="1"/>
      <c r="AH11089" s="1"/>
    </row>
    <row r="11090" ht="12.75" hidden="1" customHeight="1" outlineLevel="1">
      <c r="A11090" s="202">
        <v>43552.0</v>
      </c>
      <c r="B11090" s="992"/>
      <c r="C11090" s="32" t="s">
        <v>958</v>
      </c>
      <c r="D11090" s="1"/>
      <c r="F11090" s="231" t="s">
        <v>3820</v>
      </c>
      <c r="G11090" s="1"/>
      <c r="H11090" s="68"/>
      <c r="I11090" s="1024">
        <v>1.0</v>
      </c>
      <c r="K11090" s="9" t="s">
        <v>3840</v>
      </c>
      <c r="L11090" s="77"/>
      <c r="M11090" s="79"/>
      <c r="N11090" s="1"/>
      <c r="O11090" s="1"/>
      <c r="P11090" s="1"/>
      <c r="Q11090" s="1"/>
      <c r="R11090" s="1"/>
      <c r="S11090" s="1"/>
      <c r="T11090" s="1"/>
      <c r="U11090" s="1"/>
      <c r="V11090" s="1"/>
      <c r="W11090" s="1"/>
      <c r="X11090" s="1"/>
      <c r="Y11090" s="1"/>
      <c r="Z11090" s="1"/>
      <c r="AA11090" s="1"/>
      <c r="AB11090" s="1"/>
      <c r="AC11090" s="1"/>
      <c r="AD11090" s="1"/>
      <c r="AE11090" s="1"/>
      <c r="AF11090" s="1"/>
      <c r="AG11090" s="1"/>
      <c r="AH11090" s="1"/>
    </row>
    <row r="11091" ht="12.75" hidden="1" customHeight="1" outlineLevel="1">
      <c r="A11091" s="202">
        <v>43552.0</v>
      </c>
      <c r="B11091" s="992"/>
      <c r="C11091" s="32" t="s">
        <v>961</v>
      </c>
      <c r="D11091" s="1"/>
      <c r="F11091" s="245" t="s">
        <v>3721</v>
      </c>
      <c r="G11091" s="247"/>
      <c r="H11091" s="1025"/>
      <c r="I11091" s="1026">
        <v>2.0</v>
      </c>
      <c r="K11091" s="9" t="s">
        <v>964</v>
      </c>
      <c r="L11091" s="77"/>
      <c r="M11091" s="79"/>
      <c r="N11091" s="1"/>
      <c r="O11091" s="1"/>
      <c r="P11091" s="1"/>
      <c r="Q11091" s="1"/>
      <c r="R11091" s="1"/>
      <c r="S11091" s="1"/>
      <c r="T11091" s="1"/>
      <c r="U11091" s="1"/>
      <c r="V11091" s="1"/>
      <c r="W11091" s="1"/>
      <c r="X11091" s="1"/>
      <c r="Y11091" s="1"/>
      <c r="Z11091" s="1"/>
      <c r="AA11091" s="1"/>
      <c r="AB11091" s="1"/>
      <c r="AC11091" s="1"/>
      <c r="AD11091" s="1"/>
      <c r="AE11091" s="1"/>
      <c r="AF11091" s="1"/>
      <c r="AG11091" s="1"/>
      <c r="AH11091" s="1"/>
    </row>
    <row r="11092" ht="12.75" hidden="1" customHeight="1" outlineLevel="1">
      <c r="A11092" s="202">
        <v>43552.0</v>
      </c>
      <c r="B11092" s="985" t="s">
        <v>343</v>
      </c>
      <c r="C11092" s="985" t="s">
        <v>1146</v>
      </c>
      <c r="D11092" s="985">
        <v>200.0</v>
      </c>
      <c r="E11092" s="985">
        <v>110.92</v>
      </c>
      <c r="F11092" s="1027">
        <v>0.6328703703703704</v>
      </c>
      <c r="G11092" s="1028" t="s">
        <v>453</v>
      </c>
      <c r="H11092" s="937">
        <v>1.0</v>
      </c>
      <c r="I11092" s="1029" t="s">
        <v>3145</v>
      </c>
      <c r="J11092" s="67">
        <f t="shared" ref="J11092:J11094" si="623">IF(B11092="SLD",D11092*E11092,-D11092*E11092)-H11092</f>
        <v>-22185</v>
      </c>
      <c r="K11092" s="1"/>
      <c r="L11092" s="70"/>
      <c r="M11092" s="79"/>
      <c r="N11092" s="1"/>
      <c r="O11092" s="1"/>
      <c r="P11092" s="1"/>
      <c r="Q11092" s="1"/>
      <c r="R11092" s="1"/>
      <c r="S11092" s="1"/>
      <c r="T11092" s="1"/>
      <c r="U11092" s="1"/>
      <c r="V11092" s="1"/>
      <c r="W11092" s="1"/>
      <c r="X11092" s="1"/>
      <c r="Y11092" s="1"/>
      <c r="Z11092" s="1"/>
      <c r="AA11092" s="1"/>
      <c r="AB11092" s="1"/>
      <c r="AC11092" s="1"/>
      <c r="AD11092" s="1"/>
      <c r="AE11092" s="1"/>
      <c r="AF11092" s="1"/>
      <c r="AG11092" s="1"/>
      <c r="AH11092" s="1"/>
    </row>
    <row r="11093" ht="12.75" hidden="1" customHeight="1" outlineLevel="1">
      <c r="A11093" s="202">
        <v>43553.0</v>
      </c>
      <c r="B11093" s="985" t="s">
        <v>343</v>
      </c>
      <c r="C11093" s="94" t="s">
        <v>1061</v>
      </c>
      <c r="D11093" s="94">
        <v>600.0</v>
      </c>
      <c r="E11093" s="94">
        <v>46.4285</v>
      </c>
      <c r="F11093" s="1003">
        <v>0.4946064814814815</v>
      </c>
      <c r="G11093" s="1004" t="s">
        <v>453</v>
      </c>
      <c r="H11093" s="987">
        <v>3.0</v>
      </c>
      <c r="I11093" s="988" t="s">
        <v>3145</v>
      </c>
      <c r="J11093" s="67">
        <f t="shared" si="623"/>
        <v>-27860.1</v>
      </c>
      <c r="K11093" s="1"/>
      <c r="L11093" s="70"/>
      <c r="M11093" s="79"/>
      <c r="N11093" s="1"/>
      <c r="O11093" s="1"/>
      <c r="P11093" s="1"/>
      <c r="Q11093" s="1"/>
      <c r="R11093" s="1"/>
      <c r="S11093" s="1"/>
      <c r="T11093" s="1"/>
      <c r="U11093" s="1"/>
      <c r="V11093" s="1"/>
      <c r="W11093" s="1"/>
      <c r="X11093" s="1"/>
      <c r="Y11093" s="1"/>
      <c r="Z11093" s="1"/>
      <c r="AA11093" s="1"/>
      <c r="AB11093" s="1"/>
      <c r="AC11093" s="1"/>
      <c r="AD11093" s="1"/>
      <c r="AE11093" s="1"/>
      <c r="AF11093" s="1"/>
      <c r="AG11093" s="1"/>
      <c r="AH11093" s="1"/>
    </row>
    <row r="11094" ht="12.75" hidden="1" customHeight="1" outlineLevel="1">
      <c r="A11094" s="202">
        <v>43553.0</v>
      </c>
      <c r="B11094" s="985" t="s">
        <v>343</v>
      </c>
      <c r="C11094" s="94" t="s">
        <v>1074</v>
      </c>
      <c r="D11094" s="94">
        <v>100.0</v>
      </c>
      <c r="E11094" s="94">
        <v>191.4</v>
      </c>
      <c r="F11094" s="1003">
        <v>0.4952662037037037</v>
      </c>
      <c r="G11094" s="1004" t="s">
        <v>453</v>
      </c>
      <c r="H11094" s="987">
        <v>1.0</v>
      </c>
      <c r="I11094" s="988" t="s">
        <v>3145</v>
      </c>
      <c r="J11094" s="67">
        <f t="shared" si="623"/>
        <v>-19141</v>
      </c>
      <c r="K11094" s="1"/>
      <c r="L11094" s="70"/>
      <c r="M11094" s="79"/>
      <c r="N11094" s="1"/>
      <c r="O11094" s="1"/>
      <c r="P11094" s="1"/>
      <c r="Q11094" s="1"/>
      <c r="R11094" s="1"/>
      <c r="S11094" s="1"/>
      <c r="T11094" s="1"/>
      <c r="U11094" s="1"/>
      <c r="V11094" s="1"/>
      <c r="W11094" s="1"/>
      <c r="X11094" s="1"/>
      <c r="Y11094" s="1"/>
      <c r="Z11094" s="1"/>
      <c r="AA11094" s="1"/>
      <c r="AB11094" s="1"/>
      <c r="AC11094" s="1"/>
      <c r="AD11094" s="1"/>
      <c r="AE11094" s="1"/>
      <c r="AF11094" s="1"/>
      <c r="AG11094" s="1"/>
      <c r="AH11094" s="1"/>
    </row>
    <row r="11095" ht="12.75" hidden="1" customHeight="1" outlineLevel="1">
      <c r="A11095" s="197">
        <v>43554.0</v>
      </c>
      <c r="B11095" s="992"/>
      <c r="C11095" s="32" t="s">
        <v>947</v>
      </c>
      <c r="D11095" s="1"/>
      <c r="E11095" s="94" t="s">
        <v>948</v>
      </c>
      <c r="F11095" s="1022" t="s">
        <v>3803</v>
      </c>
      <c r="G11095" s="87"/>
      <c r="H11095" s="199"/>
      <c r="I11095" s="1023">
        <v>1.0</v>
      </c>
      <c r="K11095" s="201" t="s">
        <v>3827</v>
      </c>
      <c r="L11095" s="77"/>
      <c r="M11095" s="79"/>
      <c r="N11095" s="1"/>
      <c r="O11095" s="1"/>
      <c r="P11095" s="1"/>
      <c r="Q11095" s="1"/>
      <c r="R11095" s="1"/>
      <c r="S11095" s="1"/>
      <c r="T11095" s="1"/>
      <c r="U11095" s="1"/>
      <c r="V11095" s="1"/>
      <c r="W11095" s="1"/>
      <c r="X11095" s="1"/>
      <c r="Y11095" s="1"/>
      <c r="Z11095" s="1"/>
      <c r="AA11095" s="1"/>
      <c r="AB11095" s="1"/>
      <c r="AC11095" s="1"/>
      <c r="AD11095" s="1"/>
      <c r="AE11095" s="1"/>
      <c r="AF11095" s="1"/>
      <c r="AG11095" s="1"/>
      <c r="AH11095" s="1"/>
    </row>
    <row r="11096" ht="12.75" hidden="1" customHeight="1" outlineLevel="1">
      <c r="A11096" s="202">
        <v>43554.0</v>
      </c>
      <c r="B11096" s="992"/>
      <c r="C11096" s="32" t="s">
        <v>952</v>
      </c>
      <c r="D11096" s="1"/>
      <c r="F11096" s="231" t="s">
        <v>953</v>
      </c>
      <c r="G11096" s="1"/>
      <c r="H11096" s="68"/>
      <c r="I11096" s="1024">
        <v>0.0</v>
      </c>
      <c r="K11096" s="9" t="s">
        <v>3841</v>
      </c>
      <c r="L11096" s="77"/>
      <c r="M11096" s="79"/>
      <c r="N11096" s="1"/>
      <c r="O11096" s="1"/>
      <c r="P11096" s="1"/>
      <c r="Q11096" s="1"/>
      <c r="R11096" s="1"/>
      <c r="S11096" s="1"/>
      <c r="T11096" s="1"/>
      <c r="U11096" s="1"/>
      <c r="V11096" s="1"/>
      <c r="W11096" s="1"/>
      <c r="X11096" s="1"/>
      <c r="Y11096" s="1"/>
      <c r="Z11096" s="1"/>
      <c r="AA11096" s="1"/>
      <c r="AB11096" s="1"/>
      <c r="AC11096" s="1"/>
      <c r="AD11096" s="1"/>
      <c r="AE11096" s="1"/>
      <c r="AF11096" s="1"/>
      <c r="AG11096" s="1"/>
      <c r="AH11096" s="1"/>
    </row>
    <row r="11097" ht="12.75" hidden="1" customHeight="1" outlineLevel="1">
      <c r="A11097" s="202">
        <v>43554.0</v>
      </c>
      <c r="B11097" s="992"/>
      <c r="C11097" s="32" t="s">
        <v>955</v>
      </c>
      <c r="D11097" s="1"/>
      <c r="F11097" s="231" t="s">
        <v>3718</v>
      </c>
      <c r="G11097" s="1"/>
      <c r="H11097" s="68"/>
      <c r="I11097" s="1024">
        <v>0.0</v>
      </c>
      <c r="K11097" s="9" t="s">
        <v>3842</v>
      </c>
      <c r="L11097" s="77"/>
      <c r="M11097" s="79"/>
      <c r="N11097" s="1"/>
      <c r="O11097" s="1"/>
      <c r="P11097" s="1"/>
      <c r="Q11097" s="1"/>
      <c r="R11097" s="1"/>
      <c r="S11097" s="1"/>
      <c r="T11097" s="1"/>
      <c r="U11097" s="1"/>
      <c r="V11097" s="1"/>
      <c r="W11097" s="1"/>
      <c r="X11097" s="1"/>
      <c r="Y11097" s="1"/>
      <c r="Z11097" s="1"/>
      <c r="AA11097" s="1"/>
      <c r="AB11097" s="1"/>
      <c r="AC11097" s="1"/>
      <c r="AD11097" s="1"/>
      <c r="AE11097" s="1"/>
      <c r="AF11097" s="1"/>
      <c r="AG11097" s="1"/>
      <c r="AH11097" s="1"/>
    </row>
    <row r="11098" ht="12.75" hidden="1" customHeight="1" outlineLevel="1">
      <c r="A11098" s="202">
        <v>43554.0</v>
      </c>
      <c r="B11098" s="992"/>
      <c r="C11098" s="32" t="s">
        <v>958</v>
      </c>
      <c r="D11098" s="1"/>
      <c r="F11098" s="231" t="s">
        <v>3820</v>
      </c>
      <c r="G11098" s="1"/>
      <c r="H11098" s="68"/>
      <c r="I11098" s="1024">
        <v>1.0</v>
      </c>
      <c r="K11098" s="9" t="s">
        <v>3840</v>
      </c>
      <c r="L11098" s="77"/>
      <c r="M11098" s="79"/>
      <c r="N11098" s="1"/>
      <c r="O11098" s="1"/>
      <c r="P11098" s="1"/>
      <c r="Q11098" s="1"/>
      <c r="R11098" s="1"/>
      <c r="S11098" s="1"/>
      <c r="T11098" s="1"/>
      <c r="U11098" s="1"/>
      <c r="V11098" s="1"/>
      <c r="W11098" s="1"/>
      <c r="X11098" s="1"/>
      <c r="Y11098" s="1"/>
      <c r="Z11098" s="1"/>
      <c r="AA11098" s="1"/>
      <c r="AB11098" s="1"/>
      <c r="AC11098" s="1"/>
      <c r="AD11098" s="1"/>
      <c r="AE11098" s="1"/>
      <c r="AF11098" s="1"/>
      <c r="AG11098" s="1"/>
      <c r="AH11098" s="1"/>
    </row>
    <row r="11099" ht="12.75" hidden="1" customHeight="1" outlineLevel="1">
      <c r="A11099" s="202">
        <v>43554.0</v>
      </c>
      <c r="B11099" s="992"/>
      <c r="C11099" s="32" t="s">
        <v>961</v>
      </c>
      <c r="D11099" s="1"/>
      <c r="F11099" s="245" t="s">
        <v>3721</v>
      </c>
      <c r="G11099" s="247"/>
      <c r="H11099" s="1025"/>
      <c r="I11099" s="1026">
        <v>2.0</v>
      </c>
      <c r="K11099" s="9" t="s">
        <v>964</v>
      </c>
      <c r="L11099" s="77"/>
      <c r="M11099" s="79"/>
      <c r="N11099" s="1"/>
      <c r="O11099" s="1"/>
      <c r="P11099" s="1"/>
      <c r="Q11099" s="1"/>
      <c r="R11099" s="1"/>
      <c r="S11099" s="1"/>
      <c r="T11099" s="1"/>
      <c r="U11099" s="1"/>
      <c r="V11099" s="1"/>
      <c r="W11099" s="1"/>
      <c r="X11099" s="1"/>
      <c r="Y11099" s="1"/>
      <c r="Z11099" s="1"/>
      <c r="AA11099" s="1"/>
      <c r="AB11099" s="1"/>
      <c r="AC11099" s="1"/>
      <c r="AD11099" s="1"/>
      <c r="AE11099" s="1"/>
      <c r="AF11099" s="1"/>
      <c r="AG11099" s="1"/>
      <c r="AH11099" s="1"/>
    </row>
    <row r="11100" ht="12.75" hidden="1" customHeight="1" outlineLevel="1">
      <c r="A11100" s="122">
        <v>43557.0</v>
      </c>
      <c r="B11100" s="974" t="s">
        <v>347</v>
      </c>
      <c r="C11100" s="32" t="s">
        <v>1525</v>
      </c>
      <c r="D11100" s="9">
        <v>20.0</v>
      </c>
      <c r="E11100" s="9">
        <v>286.41</v>
      </c>
      <c r="F11100" s="709">
        <v>0.4583333333333333</v>
      </c>
      <c r="G11100" s="195" t="s">
        <v>453</v>
      </c>
      <c r="H11100" s="710">
        <v>1.08</v>
      </c>
      <c r="I11100" s="256" t="s">
        <v>3145</v>
      </c>
      <c r="J11100" s="67">
        <f t="shared" ref="J11100:J11101" si="624">IF(B11100="SLD",D11100*E11100,-D11100*E11100)-H11100</f>
        <v>5727.12</v>
      </c>
      <c r="K11100" s="1"/>
      <c r="L11100" s="70"/>
      <c r="M11100" s="79"/>
      <c r="N11100" s="1"/>
      <c r="O11100" s="1"/>
      <c r="P11100" s="1"/>
      <c r="Q11100" s="1"/>
      <c r="R11100" s="1"/>
      <c r="S11100" s="1"/>
      <c r="T11100" s="1"/>
      <c r="U11100" s="1"/>
      <c r="V11100" s="1"/>
      <c r="W11100" s="1"/>
      <c r="X11100" s="1"/>
      <c r="Y11100" s="1"/>
      <c r="Z11100" s="1"/>
      <c r="AA11100" s="1"/>
      <c r="AB11100" s="1"/>
      <c r="AC11100" s="1"/>
      <c r="AD11100" s="1"/>
      <c r="AE11100" s="1"/>
      <c r="AF11100" s="1"/>
      <c r="AG11100" s="1"/>
      <c r="AH11100" s="1"/>
    </row>
    <row r="11101" ht="12.75" hidden="1" customHeight="1" outlineLevel="1">
      <c r="A11101" s="122">
        <v>43557.0</v>
      </c>
      <c r="B11101" s="974" t="s">
        <v>343</v>
      </c>
      <c r="C11101" s="32" t="s">
        <v>1109</v>
      </c>
      <c r="D11101" s="9">
        <v>60.0</v>
      </c>
      <c r="E11101" s="9">
        <v>437.0</v>
      </c>
      <c r="F11101" s="709">
        <v>0.6607175925925926</v>
      </c>
      <c r="G11101" s="195" t="s">
        <v>453</v>
      </c>
      <c r="H11101" s="710">
        <v>1.0</v>
      </c>
      <c r="I11101" s="256" t="s">
        <v>3145</v>
      </c>
      <c r="J11101" s="67">
        <f t="shared" si="624"/>
        <v>-26221</v>
      </c>
      <c r="K11101" s="1"/>
      <c r="L11101" s="70"/>
      <c r="M11101" s="79"/>
      <c r="N11101" s="1"/>
      <c r="O11101" s="1"/>
      <c r="P11101" s="1"/>
      <c r="Q11101" s="1"/>
      <c r="R11101" s="1"/>
      <c r="S11101" s="1"/>
      <c r="T11101" s="1"/>
      <c r="U11101" s="1"/>
      <c r="V11101" s="1"/>
      <c r="W11101" s="1"/>
      <c r="X11101" s="1"/>
      <c r="Y11101" s="1"/>
      <c r="Z11101" s="1"/>
      <c r="AA11101" s="1"/>
      <c r="AB11101" s="1"/>
      <c r="AC11101" s="1"/>
      <c r="AD11101" s="1"/>
      <c r="AE11101" s="1"/>
      <c r="AF11101" s="1"/>
      <c r="AG11101" s="1"/>
      <c r="AH11101" s="1"/>
    </row>
    <row r="11102" ht="12.75" hidden="1" customHeight="1" outlineLevel="1">
      <c r="A11102" s="197">
        <v>43557.0</v>
      </c>
      <c r="B11102" s="992"/>
      <c r="C11102" s="32" t="s">
        <v>947</v>
      </c>
      <c r="D11102" s="1"/>
      <c r="E11102" s="94" t="s">
        <v>948</v>
      </c>
      <c r="F11102" s="1022" t="s">
        <v>3803</v>
      </c>
      <c r="G11102" s="87"/>
      <c r="H11102" s="199"/>
      <c r="I11102" s="1023">
        <v>1.0</v>
      </c>
      <c r="K11102" s="201" t="s">
        <v>3827</v>
      </c>
      <c r="L11102" s="77"/>
      <c r="M11102" s="79"/>
      <c r="N11102" s="1"/>
      <c r="O11102" s="1"/>
      <c r="P11102" s="1"/>
      <c r="Q11102" s="1"/>
      <c r="R11102" s="1"/>
      <c r="S11102" s="1"/>
      <c r="T11102" s="1"/>
      <c r="U11102" s="1"/>
      <c r="V11102" s="1"/>
      <c r="W11102" s="1"/>
      <c r="X11102" s="1"/>
      <c r="Y11102" s="1"/>
      <c r="Z11102" s="1"/>
      <c r="AA11102" s="1"/>
      <c r="AB11102" s="1"/>
      <c r="AC11102" s="1"/>
      <c r="AD11102" s="1"/>
      <c r="AE11102" s="1"/>
      <c r="AF11102" s="1"/>
      <c r="AG11102" s="1"/>
      <c r="AH11102" s="1"/>
    </row>
    <row r="11103" ht="12.75" hidden="1" customHeight="1" outlineLevel="1">
      <c r="A11103" s="202">
        <v>43557.0</v>
      </c>
      <c r="B11103" s="992"/>
      <c r="C11103" s="32" t="s">
        <v>952</v>
      </c>
      <c r="D11103" s="1"/>
      <c r="F11103" s="231" t="s">
        <v>953</v>
      </c>
      <c r="G11103" s="1"/>
      <c r="H11103" s="68"/>
      <c r="I11103" s="1024">
        <v>0.0</v>
      </c>
      <c r="K11103" s="9" t="s">
        <v>3843</v>
      </c>
      <c r="L11103" s="77"/>
      <c r="M11103" s="79"/>
      <c r="N11103" s="1"/>
      <c r="O11103" s="1"/>
      <c r="P11103" s="1"/>
      <c r="Q11103" s="1"/>
      <c r="R11103" s="1"/>
      <c r="S11103" s="1"/>
      <c r="T11103" s="1"/>
      <c r="U11103" s="1"/>
      <c r="V11103" s="1"/>
      <c r="W11103" s="1"/>
      <c r="X11103" s="1"/>
      <c r="Y11103" s="1"/>
      <c r="Z11103" s="1"/>
      <c r="AA11103" s="1"/>
      <c r="AB11103" s="1"/>
      <c r="AC11103" s="1"/>
      <c r="AD11103" s="1"/>
      <c r="AE11103" s="1"/>
      <c r="AF11103" s="1"/>
      <c r="AG11103" s="1"/>
      <c r="AH11103" s="1"/>
    </row>
    <row r="11104" ht="12.75" hidden="1" customHeight="1" outlineLevel="1">
      <c r="A11104" s="202">
        <v>43557.0</v>
      </c>
      <c r="B11104" s="992"/>
      <c r="C11104" s="32" t="s">
        <v>955</v>
      </c>
      <c r="D11104" s="1"/>
      <c r="F11104" s="231" t="s">
        <v>3718</v>
      </c>
      <c r="G11104" s="1"/>
      <c r="H11104" s="68"/>
      <c r="I11104" s="1024">
        <v>0.0</v>
      </c>
      <c r="K11104" s="9" t="s">
        <v>3844</v>
      </c>
      <c r="L11104" s="77"/>
      <c r="M11104" s="79"/>
      <c r="N11104" s="1"/>
      <c r="O11104" s="1"/>
      <c r="P11104" s="1"/>
      <c r="Q11104" s="1"/>
      <c r="R11104" s="1"/>
      <c r="S11104" s="1"/>
      <c r="T11104" s="1"/>
      <c r="U11104" s="1"/>
      <c r="V11104" s="1"/>
      <c r="W11104" s="1"/>
      <c r="X11104" s="1"/>
      <c r="Y11104" s="1"/>
      <c r="Z11104" s="1"/>
      <c r="AA11104" s="1"/>
      <c r="AB11104" s="1"/>
      <c r="AC11104" s="1"/>
      <c r="AD11104" s="1"/>
      <c r="AE11104" s="1"/>
      <c r="AF11104" s="1"/>
      <c r="AG11104" s="1"/>
      <c r="AH11104" s="1"/>
    </row>
    <row r="11105" ht="12.75" hidden="1" customHeight="1" outlineLevel="1">
      <c r="A11105" s="202">
        <v>43557.0</v>
      </c>
      <c r="B11105" s="992"/>
      <c r="C11105" s="32" t="s">
        <v>958</v>
      </c>
      <c r="D11105" s="1"/>
      <c r="F11105" s="231" t="s">
        <v>3820</v>
      </c>
      <c r="G11105" s="1"/>
      <c r="H11105" s="68"/>
      <c r="I11105" s="1024">
        <v>1.0</v>
      </c>
      <c r="K11105" s="9" t="s">
        <v>3845</v>
      </c>
      <c r="L11105" s="77"/>
      <c r="M11105" s="79"/>
      <c r="N11105" s="1"/>
      <c r="O11105" s="1"/>
      <c r="P11105" s="1"/>
      <c r="Q11105" s="1"/>
      <c r="R11105" s="1"/>
      <c r="S11105" s="1"/>
      <c r="T11105" s="1"/>
      <c r="U11105" s="1"/>
      <c r="V11105" s="1"/>
      <c r="W11105" s="1"/>
      <c r="X11105" s="1"/>
      <c r="Y11105" s="1"/>
      <c r="Z11105" s="1"/>
      <c r="AA11105" s="1"/>
      <c r="AB11105" s="1"/>
      <c r="AC11105" s="1"/>
      <c r="AD11105" s="1"/>
      <c r="AE11105" s="1"/>
      <c r="AF11105" s="1"/>
      <c r="AG11105" s="1"/>
      <c r="AH11105" s="1"/>
    </row>
    <row r="11106" ht="12.75" hidden="1" customHeight="1" outlineLevel="1">
      <c r="A11106" s="202">
        <v>43557.0</v>
      </c>
      <c r="B11106" s="992"/>
      <c r="C11106" s="32" t="s">
        <v>961</v>
      </c>
      <c r="D11106" s="1"/>
      <c r="F11106" s="245" t="s">
        <v>3721</v>
      </c>
      <c r="G11106" s="247"/>
      <c r="H11106" s="1025"/>
      <c r="I11106" s="1026">
        <v>2.0</v>
      </c>
      <c r="K11106" s="9" t="s">
        <v>964</v>
      </c>
      <c r="L11106" s="77"/>
      <c r="M11106" s="79"/>
      <c r="N11106" s="1"/>
      <c r="O11106" s="1"/>
      <c r="P11106" s="1"/>
      <c r="Q11106" s="1"/>
      <c r="R11106" s="1"/>
      <c r="S11106" s="1"/>
      <c r="T11106" s="1"/>
      <c r="U11106" s="1"/>
      <c r="V11106" s="1"/>
      <c r="W11106" s="1"/>
      <c r="X11106" s="1"/>
      <c r="Y11106" s="1"/>
      <c r="Z11106" s="1"/>
      <c r="AA11106" s="1"/>
      <c r="AB11106" s="1"/>
      <c r="AC11106" s="1"/>
      <c r="AD11106" s="1"/>
      <c r="AE11106" s="1"/>
      <c r="AF11106" s="1"/>
      <c r="AG11106" s="1"/>
      <c r="AH11106" s="1"/>
    </row>
    <row r="11107" ht="12.75" hidden="1" customHeight="1" outlineLevel="1">
      <c r="A11107" s="202">
        <v>43558.0</v>
      </c>
      <c r="B11107" s="985" t="s">
        <v>343</v>
      </c>
      <c r="C11107" s="94" t="s">
        <v>1098</v>
      </c>
      <c r="D11107" s="94">
        <v>100.0</v>
      </c>
      <c r="E11107" s="94">
        <v>241.88</v>
      </c>
      <c r="F11107" s="1003">
        <v>0.3991087962962963</v>
      </c>
      <c r="G11107" s="1004" t="s">
        <v>453</v>
      </c>
      <c r="H11107" s="987">
        <v>1.0</v>
      </c>
      <c r="I11107" s="988" t="s">
        <v>3145</v>
      </c>
      <c r="J11107" s="67">
        <f t="shared" ref="J11107:J11113" si="625">IF(B11107="SLD",D11107*E11107,-D11107*E11107)-H11107</f>
        <v>-24189</v>
      </c>
      <c r="K11107" s="1"/>
      <c r="L11107" s="70"/>
      <c r="M11107" s="79"/>
      <c r="N11107" s="1"/>
      <c r="O11107" s="1"/>
      <c r="P11107" s="1"/>
      <c r="Q11107" s="1"/>
      <c r="R11107" s="1"/>
      <c r="S11107" s="1"/>
      <c r="T11107" s="1"/>
      <c r="U11107" s="1"/>
      <c r="V11107" s="1"/>
      <c r="W11107" s="1"/>
      <c r="X11107" s="1"/>
      <c r="Y11107" s="1"/>
      <c r="Z11107" s="1"/>
      <c r="AA11107" s="1"/>
      <c r="AB11107" s="1"/>
      <c r="AC11107" s="1"/>
      <c r="AD11107" s="1"/>
      <c r="AE11107" s="1"/>
      <c r="AF11107" s="1"/>
      <c r="AG11107" s="1"/>
      <c r="AH11107" s="1"/>
    </row>
    <row r="11108" ht="12.75" hidden="1" customHeight="1" outlineLevel="1">
      <c r="A11108" s="202">
        <v>43558.0</v>
      </c>
      <c r="B11108" s="985" t="s">
        <v>347</v>
      </c>
      <c r="C11108" s="94" t="s">
        <v>847</v>
      </c>
      <c r="D11108" s="94">
        <v>100.0</v>
      </c>
      <c r="E11108" s="94">
        <v>158.4412</v>
      </c>
      <c r="F11108" s="1003">
        <v>0.4553587962962963</v>
      </c>
      <c r="G11108" s="1004" t="s">
        <v>453</v>
      </c>
      <c r="H11108" s="987">
        <v>1.22</v>
      </c>
      <c r="I11108" s="988" t="s">
        <v>3145</v>
      </c>
      <c r="J11108" s="67">
        <f t="shared" si="625"/>
        <v>15842.9</v>
      </c>
      <c r="K11108" s="1"/>
      <c r="L11108" s="70"/>
      <c r="M11108" s="79"/>
      <c r="N11108" s="1"/>
      <c r="O11108" s="1"/>
      <c r="P11108" s="1"/>
      <c r="Q11108" s="1"/>
      <c r="R11108" s="1"/>
      <c r="S11108" s="1"/>
      <c r="T11108" s="1"/>
      <c r="U11108" s="1"/>
      <c r="V11108" s="1"/>
      <c r="W11108" s="1"/>
      <c r="X11108" s="1"/>
      <c r="Y11108" s="1"/>
      <c r="Z11108" s="1"/>
      <c r="AA11108" s="1"/>
      <c r="AB11108" s="1"/>
      <c r="AC11108" s="1"/>
      <c r="AD11108" s="1"/>
      <c r="AE11108" s="1"/>
      <c r="AF11108" s="1"/>
      <c r="AG11108" s="1"/>
      <c r="AH11108" s="1"/>
    </row>
    <row r="11109" ht="12.75" hidden="1" customHeight="1" outlineLevel="1">
      <c r="A11109" s="202">
        <v>43558.0</v>
      </c>
      <c r="B11109" s="985" t="s">
        <v>347</v>
      </c>
      <c r="C11109" s="94" t="s">
        <v>1067</v>
      </c>
      <c r="D11109" s="94">
        <v>60.0</v>
      </c>
      <c r="E11109" s="94">
        <v>245.2355</v>
      </c>
      <c r="F11109" s="1003">
        <v>0.4556365740740741</v>
      </c>
      <c r="G11109" s="1004" t="s">
        <v>453</v>
      </c>
      <c r="H11109" s="987">
        <v>1.2</v>
      </c>
      <c r="I11109" s="988" t="s">
        <v>3145</v>
      </c>
      <c r="J11109" s="67">
        <f t="shared" si="625"/>
        <v>14712.93</v>
      </c>
      <c r="K11109" s="1"/>
      <c r="L11109" s="70"/>
      <c r="M11109" s="79"/>
      <c r="N11109" s="1"/>
      <c r="O11109" s="1"/>
      <c r="P11109" s="1"/>
      <c r="Q11109" s="1"/>
      <c r="R11109" s="1"/>
      <c r="S11109" s="1"/>
      <c r="T11109" s="1"/>
      <c r="U11109" s="1"/>
      <c r="V11109" s="1"/>
      <c r="W11109" s="1"/>
      <c r="X11109" s="1"/>
      <c r="Y11109" s="1"/>
      <c r="Z11109" s="1"/>
      <c r="AA11109" s="1"/>
      <c r="AB11109" s="1"/>
      <c r="AC11109" s="1"/>
      <c r="AD11109" s="1"/>
      <c r="AE11109" s="1"/>
      <c r="AF11109" s="1"/>
      <c r="AG11109" s="1"/>
      <c r="AH11109" s="1"/>
    </row>
    <row r="11110" ht="12.75" hidden="1" customHeight="1" outlineLevel="1">
      <c r="A11110" s="202">
        <v>43558.0</v>
      </c>
      <c r="B11110" s="985" t="s">
        <v>347</v>
      </c>
      <c r="C11110" s="94" t="s">
        <v>1167</v>
      </c>
      <c r="D11110" s="94">
        <v>50.0</v>
      </c>
      <c r="E11110" s="94">
        <v>131.31</v>
      </c>
      <c r="F11110" s="1003">
        <v>0.45708333333333334</v>
      </c>
      <c r="G11110" s="1004" t="s">
        <v>453</v>
      </c>
      <c r="H11110" s="987">
        <v>1.09</v>
      </c>
      <c r="I11110" s="988" t="s">
        <v>3145</v>
      </c>
      <c r="J11110" s="67">
        <f t="shared" si="625"/>
        <v>6564.41</v>
      </c>
      <c r="K11110" s="1"/>
      <c r="L11110" s="70"/>
      <c r="M11110" s="79"/>
      <c r="N11110" s="1"/>
      <c r="O11110" s="1"/>
      <c r="P11110" s="1"/>
      <c r="Q11110" s="1"/>
      <c r="R11110" s="1"/>
      <c r="S11110" s="1"/>
      <c r="T11110" s="1"/>
      <c r="U11110" s="1"/>
      <c r="V11110" s="1"/>
      <c r="W11110" s="1"/>
      <c r="X11110" s="1"/>
      <c r="Y11110" s="1"/>
      <c r="Z11110" s="1"/>
      <c r="AA11110" s="1"/>
      <c r="AB11110" s="1"/>
      <c r="AC11110" s="1"/>
      <c r="AD11110" s="1"/>
      <c r="AE11110" s="1"/>
      <c r="AF11110" s="1"/>
      <c r="AG11110" s="1"/>
      <c r="AH11110" s="1"/>
    </row>
    <row r="11111" ht="12.75" hidden="1" customHeight="1" outlineLevel="1">
      <c r="A11111" s="122">
        <v>43559.0</v>
      </c>
      <c r="B11111" s="974" t="s">
        <v>343</v>
      </c>
      <c r="C11111" s="32" t="s">
        <v>847</v>
      </c>
      <c r="D11111" s="9">
        <v>100.0</v>
      </c>
      <c r="E11111" s="9">
        <v>161.06</v>
      </c>
      <c r="F11111" s="709">
        <v>0.48657407407407405</v>
      </c>
      <c r="G11111" s="195" t="s">
        <v>453</v>
      </c>
      <c r="H11111" s="710">
        <v>1.0</v>
      </c>
      <c r="I11111" s="256" t="s">
        <v>3145</v>
      </c>
      <c r="J11111" s="67">
        <f t="shared" si="625"/>
        <v>-16107</v>
      </c>
      <c r="K11111" s="1"/>
      <c r="L11111" s="70"/>
      <c r="M11111" s="79"/>
      <c r="N11111" s="1"/>
      <c r="O11111" s="1"/>
      <c r="P11111" s="1"/>
      <c r="Q11111" s="1"/>
      <c r="R11111" s="1"/>
      <c r="S11111" s="1"/>
      <c r="T11111" s="1"/>
      <c r="U11111" s="1"/>
      <c r="V11111" s="1"/>
      <c r="W11111" s="1"/>
      <c r="X11111" s="1"/>
      <c r="Y11111" s="1"/>
      <c r="Z11111" s="1"/>
      <c r="AA11111" s="1"/>
      <c r="AB11111" s="1"/>
      <c r="AC11111" s="1"/>
      <c r="AD11111" s="1"/>
      <c r="AE11111" s="1"/>
      <c r="AF11111" s="1"/>
      <c r="AG11111" s="1"/>
      <c r="AH11111" s="1"/>
    </row>
    <row r="11112" ht="12.75" hidden="1" customHeight="1" outlineLevel="1">
      <c r="A11112" s="122">
        <v>43559.0</v>
      </c>
      <c r="B11112" s="974" t="s">
        <v>343</v>
      </c>
      <c r="C11112" s="32" t="s">
        <v>1067</v>
      </c>
      <c r="D11112" s="9">
        <v>60.0</v>
      </c>
      <c r="E11112" s="9">
        <v>248.52</v>
      </c>
      <c r="F11112" s="709">
        <v>0.48694444444444446</v>
      </c>
      <c r="G11112" s="195" t="s">
        <v>453</v>
      </c>
      <c r="H11112" s="710">
        <v>1.0</v>
      </c>
      <c r="I11112" s="256" t="s">
        <v>3145</v>
      </c>
      <c r="J11112" s="67">
        <f t="shared" si="625"/>
        <v>-14912.2</v>
      </c>
      <c r="K11112" s="1"/>
      <c r="L11112" s="70"/>
      <c r="M11112" s="79"/>
      <c r="N11112" s="1"/>
      <c r="O11112" s="1"/>
      <c r="P11112" s="1"/>
      <c r="Q11112" s="1"/>
      <c r="R11112" s="1"/>
      <c r="S11112" s="1"/>
      <c r="T11112" s="1"/>
      <c r="U11112" s="1"/>
      <c r="V11112" s="1"/>
      <c r="W11112" s="1"/>
      <c r="X11112" s="1"/>
      <c r="Y11112" s="1"/>
      <c r="Z11112" s="1"/>
      <c r="AA11112" s="1"/>
      <c r="AB11112" s="1"/>
      <c r="AC11112" s="1"/>
      <c r="AD11112" s="1"/>
      <c r="AE11112" s="1"/>
      <c r="AF11112" s="1"/>
      <c r="AG11112" s="1"/>
      <c r="AH11112" s="1"/>
    </row>
    <row r="11113" ht="12.75" hidden="1" customHeight="1" outlineLevel="1">
      <c r="A11113" s="122">
        <v>43559.0</v>
      </c>
      <c r="B11113" s="974" t="s">
        <v>343</v>
      </c>
      <c r="C11113" s="32" t="s">
        <v>1167</v>
      </c>
      <c r="D11113" s="9">
        <v>75.0</v>
      </c>
      <c r="E11113" s="9">
        <v>131.99</v>
      </c>
      <c r="F11113" s="709">
        <v>0.48725694444444445</v>
      </c>
      <c r="G11113" s="195" t="s">
        <v>453</v>
      </c>
      <c r="H11113" s="710">
        <v>1.0</v>
      </c>
      <c r="I11113" s="256" t="s">
        <v>3145</v>
      </c>
      <c r="J11113" s="67">
        <f t="shared" si="625"/>
        <v>-9900.25</v>
      </c>
      <c r="K11113" s="1"/>
      <c r="L11113" s="70"/>
      <c r="M11113" s="79"/>
      <c r="N11113" s="1"/>
      <c r="O11113" s="1"/>
      <c r="P11113" s="1"/>
      <c r="Q11113" s="1"/>
      <c r="R11113" s="1"/>
      <c r="S11113" s="1"/>
      <c r="T11113" s="1"/>
      <c r="U11113" s="1"/>
      <c r="V11113" s="1"/>
      <c r="W11113" s="1"/>
      <c r="X11113" s="1"/>
      <c r="Y11113" s="1"/>
      <c r="Z11113" s="1"/>
      <c r="AA11113" s="1"/>
      <c r="AB11113" s="1"/>
      <c r="AC11113" s="1"/>
      <c r="AD11113" s="1"/>
      <c r="AE11113" s="1"/>
      <c r="AF11113" s="1"/>
      <c r="AG11113" s="1"/>
      <c r="AH11113" s="1"/>
    </row>
    <row r="11114" ht="12.75" hidden="1" customHeight="1" outlineLevel="1">
      <c r="A11114" s="197">
        <v>43563.0</v>
      </c>
      <c r="B11114" s="992"/>
      <c r="C11114" s="32" t="s">
        <v>947</v>
      </c>
      <c r="D11114" s="1"/>
      <c r="E11114" s="94" t="s">
        <v>948</v>
      </c>
      <c r="F11114" s="1022" t="s">
        <v>3803</v>
      </c>
      <c r="G11114" s="87"/>
      <c r="H11114" s="199"/>
      <c r="I11114" s="1023">
        <v>1.0</v>
      </c>
      <c r="K11114" s="201" t="s">
        <v>3827</v>
      </c>
      <c r="L11114" s="77"/>
      <c r="M11114" s="79"/>
      <c r="N11114" s="1"/>
      <c r="O11114" s="1"/>
      <c r="P11114" s="1"/>
      <c r="Q11114" s="1"/>
      <c r="R11114" s="1"/>
      <c r="S11114" s="1"/>
      <c r="T11114" s="1"/>
      <c r="U11114" s="1"/>
      <c r="V11114" s="1"/>
      <c r="W11114" s="1"/>
      <c r="X11114" s="1"/>
      <c r="Y11114" s="1"/>
      <c r="Z11114" s="1"/>
      <c r="AA11114" s="1"/>
      <c r="AB11114" s="1"/>
      <c r="AC11114" s="1"/>
      <c r="AD11114" s="1"/>
      <c r="AE11114" s="1"/>
      <c r="AF11114" s="1"/>
      <c r="AG11114" s="1"/>
      <c r="AH11114" s="1"/>
    </row>
    <row r="11115" ht="12.75" hidden="1" customHeight="1" outlineLevel="1">
      <c r="A11115" s="202">
        <v>43563.0</v>
      </c>
      <c r="B11115" s="992"/>
      <c r="C11115" s="32" t="s">
        <v>952</v>
      </c>
      <c r="D11115" s="1"/>
      <c r="F11115" s="231" t="s">
        <v>953</v>
      </c>
      <c r="G11115" s="1"/>
      <c r="H11115" s="68"/>
      <c r="I11115" s="1024">
        <v>0.0</v>
      </c>
      <c r="K11115" s="9" t="s">
        <v>3846</v>
      </c>
      <c r="L11115" s="77"/>
      <c r="M11115" s="79"/>
      <c r="N11115" s="1"/>
      <c r="O11115" s="1"/>
      <c r="P11115" s="1"/>
      <c r="Q11115" s="1"/>
      <c r="R11115" s="1"/>
      <c r="S11115" s="1"/>
      <c r="T11115" s="1"/>
      <c r="U11115" s="1"/>
      <c r="V11115" s="1"/>
      <c r="W11115" s="1"/>
      <c r="X11115" s="1"/>
      <c r="Y11115" s="1"/>
      <c r="Z11115" s="1"/>
      <c r="AA11115" s="1"/>
      <c r="AB11115" s="1"/>
      <c r="AC11115" s="1"/>
      <c r="AD11115" s="1"/>
      <c r="AE11115" s="1"/>
      <c r="AF11115" s="1"/>
      <c r="AG11115" s="1"/>
      <c r="AH11115" s="1"/>
    </row>
    <row r="11116" ht="12.75" hidden="1" customHeight="1" outlineLevel="1">
      <c r="A11116" s="202">
        <v>43563.0</v>
      </c>
      <c r="B11116" s="992"/>
      <c r="C11116" s="32" t="s">
        <v>955</v>
      </c>
      <c r="D11116" s="1"/>
      <c r="F11116" s="231" t="s">
        <v>3718</v>
      </c>
      <c r="G11116" s="1"/>
      <c r="H11116" s="68"/>
      <c r="I11116" s="1024">
        <v>0.0</v>
      </c>
      <c r="K11116" s="9" t="s">
        <v>3847</v>
      </c>
      <c r="L11116" s="77"/>
      <c r="M11116" s="79"/>
      <c r="N11116" s="1"/>
      <c r="O11116" s="1"/>
      <c r="P11116" s="1"/>
      <c r="Q11116" s="1"/>
      <c r="R11116" s="1"/>
      <c r="S11116" s="1"/>
      <c r="T11116" s="1"/>
      <c r="U11116" s="1"/>
      <c r="V11116" s="1"/>
      <c r="W11116" s="1"/>
      <c r="X11116" s="1"/>
      <c r="Y11116" s="1"/>
      <c r="Z11116" s="1"/>
      <c r="AA11116" s="1"/>
      <c r="AB11116" s="1"/>
      <c r="AC11116" s="1"/>
      <c r="AD11116" s="1"/>
      <c r="AE11116" s="1"/>
      <c r="AF11116" s="1"/>
      <c r="AG11116" s="1"/>
      <c r="AH11116" s="1"/>
    </row>
    <row r="11117" ht="12.75" hidden="1" customHeight="1" outlineLevel="1">
      <c r="A11117" s="202">
        <v>43563.0</v>
      </c>
      <c r="B11117" s="992"/>
      <c r="C11117" s="32" t="s">
        <v>958</v>
      </c>
      <c r="D11117" s="1"/>
      <c r="F11117" s="231" t="s">
        <v>3820</v>
      </c>
      <c r="G11117" s="1"/>
      <c r="H11117" s="68"/>
      <c r="I11117" s="1024">
        <v>1.0</v>
      </c>
      <c r="K11117" s="9" t="s">
        <v>3848</v>
      </c>
      <c r="L11117" s="77"/>
      <c r="M11117" s="79"/>
      <c r="N11117" s="1"/>
      <c r="O11117" s="1"/>
      <c r="P11117" s="1"/>
      <c r="Q11117" s="1"/>
      <c r="R11117" s="1"/>
      <c r="S11117" s="1"/>
      <c r="T11117" s="1"/>
      <c r="U11117" s="1"/>
      <c r="V11117" s="1"/>
      <c r="W11117" s="1"/>
      <c r="X11117" s="1"/>
      <c r="Y11117" s="1"/>
      <c r="Z11117" s="1"/>
      <c r="AA11117" s="1"/>
      <c r="AB11117" s="1"/>
      <c r="AC11117" s="1"/>
      <c r="AD11117" s="1"/>
      <c r="AE11117" s="1"/>
      <c r="AF11117" s="1"/>
      <c r="AG11117" s="1"/>
      <c r="AH11117" s="1"/>
    </row>
    <row r="11118" ht="12.75" hidden="1" customHeight="1" outlineLevel="1">
      <c r="A11118" s="202">
        <v>43563.0</v>
      </c>
      <c r="B11118" s="992"/>
      <c r="C11118" s="32" t="s">
        <v>961</v>
      </c>
      <c r="D11118" s="1"/>
      <c r="F11118" s="245" t="s">
        <v>3721</v>
      </c>
      <c r="G11118" s="247"/>
      <c r="H11118" s="1025"/>
      <c r="I11118" s="1026">
        <v>2.0</v>
      </c>
      <c r="K11118" s="9" t="s">
        <v>964</v>
      </c>
      <c r="L11118" s="77"/>
      <c r="M11118" s="79"/>
      <c r="N11118" s="1"/>
      <c r="O11118" s="1"/>
      <c r="P11118" s="1"/>
      <c r="Q11118" s="1"/>
      <c r="R11118" s="1"/>
      <c r="S11118" s="1"/>
      <c r="T11118" s="1"/>
      <c r="U11118" s="1"/>
      <c r="V11118" s="1"/>
      <c r="W11118" s="1"/>
      <c r="X11118" s="1"/>
      <c r="Y11118" s="1"/>
      <c r="Z11118" s="1"/>
      <c r="AA11118" s="1"/>
      <c r="AB11118" s="1"/>
      <c r="AC11118" s="1"/>
      <c r="AD11118" s="1"/>
      <c r="AE11118" s="1"/>
      <c r="AF11118" s="1"/>
      <c r="AG11118" s="1"/>
      <c r="AH11118" s="1"/>
    </row>
    <row r="11119" ht="12.75" hidden="1" customHeight="1" outlineLevel="1">
      <c r="A11119" s="122">
        <v>43564.0</v>
      </c>
      <c r="B11119" s="974" t="s">
        <v>347</v>
      </c>
      <c r="C11119" s="32" t="s">
        <v>1061</v>
      </c>
      <c r="D11119" s="708">
        <v>1000.0</v>
      </c>
      <c r="E11119" s="9">
        <v>47.03</v>
      </c>
      <c r="F11119" s="709">
        <v>0.6654745370370371</v>
      </c>
      <c r="G11119" s="195" t="s">
        <v>453</v>
      </c>
      <c r="H11119" s="710">
        <v>5.73</v>
      </c>
      <c r="I11119" s="256" t="s">
        <v>3145</v>
      </c>
      <c r="J11119" s="67">
        <f t="shared" ref="J11119:J11120" si="626">IF(B11119="SLD",D11119*E11119,-D11119*E11119)-H11119</f>
        <v>47024.27</v>
      </c>
      <c r="K11119" s="1030">
        <f>J11119+J11093+J11055*2/3</f>
        <v>1123.836667</v>
      </c>
      <c r="L11119" s="70"/>
      <c r="M11119" s="79"/>
      <c r="N11119" s="1"/>
      <c r="O11119" s="1"/>
      <c r="P11119" s="1"/>
      <c r="Q11119" s="1"/>
      <c r="R11119" s="1"/>
      <c r="S11119" s="1"/>
      <c r="T11119" s="1"/>
      <c r="U11119" s="1"/>
      <c r="V11119" s="1"/>
      <c r="W11119" s="1"/>
      <c r="X11119" s="1"/>
      <c r="Y11119" s="1"/>
      <c r="Z11119" s="1"/>
      <c r="AA11119" s="1"/>
      <c r="AB11119" s="1"/>
      <c r="AC11119" s="1"/>
      <c r="AD11119" s="1"/>
      <c r="AE11119" s="1"/>
      <c r="AF11119" s="1"/>
      <c r="AG11119" s="1"/>
      <c r="AH11119" s="1"/>
    </row>
    <row r="11120" ht="12.75" hidden="1" customHeight="1" outlineLevel="1">
      <c r="A11120" s="122">
        <v>43564.0</v>
      </c>
      <c r="B11120" s="974" t="s">
        <v>347</v>
      </c>
      <c r="C11120" s="32" t="s">
        <v>1074</v>
      </c>
      <c r="D11120" s="9">
        <v>50.0</v>
      </c>
      <c r="E11120" s="9">
        <v>200.81</v>
      </c>
      <c r="F11120" s="709">
        <v>0.6664236111111111</v>
      </c>
      <c r="G11120" s="195" t="s">
        <v>453</v>
      </c>
      <c r="H11120" s="710">
        <v>1.14</v>
      </c>
      <c r="I11120" s="256" t="s">
        <v>3145</v>
      </c>
      <c r="J11120" s="67">
        <f t="shared" si="626"/>
        <v>10039.36</v>
      </c>
      <c r="K11120" s="1030">
        <f>J11120+J11094/2</f>
        <v>468.86</v>
      </c>
      <c r="L11120" s="70"/>
      <c r="M11120" s="79"/>
      <c r="N11120" s="1"/>
      <c r="O11120" s="1"/>
      <c r="P11120" s="1"/>
      <c r="Q11120" s="1"/>
      <c r="R11120" s="1"/>
      <c r="S11120" s="1"/>
      <c r="T11120" s="1"/>
      <c r="U11120" s="1"/>
      <c r="V11120" s="1"/>
      <c r="W11120" s="1"/>
      <c r="X11120" s="1"/>
      <c r="Y11120" s="1"/>
      <c r="Z11120" s="1"/>
      <c r="AA11120" s="1"/>
      <c r="AB11120" s="1"/>
      <c r="AC11120" s="1"/>
      <c r="AD11120" s="1"/>
      <c r="AE11120" s="1"/>
      <c r="AF11120" s="1"/>
      <c r="AG11120" s="1"/>
      <c r="AH11120" s="1"/>
    </row>
    <row r="11121" ht="12.75" hidden="1" customHeight="1" outlineLevel="1">
      <c r="A11121" s="197">
        <v>43567.0</v>
      </c>
      <c r="B11121" s="992"/>
      <c r="C11121" s="32" t="s">
        <v>947</v>
      </c>
      <c r="D11121" s="1"/>
      <c r="E11121" s="94" t="s">
        <v>948</v>
      </c>
      <c r="F11121" s="1022" t="s">
        <v>3803</v>
      </c>
      <c r="G11121" s="87"/>
      <c r="H11121" s="199"/>
      <c r="I11121" s="1023">
        <v>1.0</v>
      </c>
      <c r="K11121" s="201" t="s">
        <v>3849</v>
      </c>
      <c r="L11121" s="77"/>
      <c r="M11121" s="79"/>
      <c r="N11121" s="1"/>
      <c r="O11121" s="1"/>
      <c r="P11121" s="1"/>
      <c r="Q11121" s="1"/>
      <c r="R11121" s="1"/>
      <c r="S11121" s="1"/>
      <c r="T11121" s="1"/>
      <c r="U11121" s="1"/>
      <c r="V11121" s="1"/>
      <c r="W11121" s="1"/>
      <c r="X11121" s="1"/>
      <c r="Y11121" s="1"/>
      <c r="Z11121" s="1"/>
      <c r="AA11121" s="1"/>
      <c r="AB11121" s="1"/>
      <c r="AC11121" s="1"/>
      <c r="AD11121" s="1"/>
      <c r="AE11121" s="1"/>
      <c r="AF11121" s="1"/>
      <c r="AG11121" s="1"/>
      <c r="AH11121" s="1"/>
    </row>
    <row r="11122" ht="12.75" hidden="1" customHeight="1" outlineLevel="1">
      <c r="A11122" s="202">
        <v>43567.0</v>
      </c>
      <c r="B11122" s="992"/>
      <c r="C11122" s="32" t="s">
        <v>952</v>
      </c>
      <c r="D11122" s="1"/>
      <c r="F11122" s="231" t="s">
        <v>953</v>
      </c>
      <c r="G11122" s="1"/>
      <c r="H11122" s="68"/>
      <c r="I11122" s="1024">
        <v>0.0</v>
      </c>
      <c r="K11122" s="9" t="s">
        <v>3850</v>
      </c>
      <c r="L11122" s="77"/>
      <c r="M11122" s="79"/>
      <c r="N11122" s="1"/>
      <c r="O11122" s="1"/>
      <c r="P11122" s="1"/>
      <c r="Q11122" s="1"/>
      <c r="R11122" s="1"/>
      <c r="S11122" s="1"/>
      <c r="T11122" s="1"/>
      <c r="U11122" s="1"/>
      <c r="V11122" s="1"/>
      <c r="W11122" s="1"/>
      <c r="X11122" s="1"/>
      <c r="Y11122" s="1"/>
      <c r="Z11122" s="1"/>
      <c r="AA11122" s="1"/>
      <c r="AB11122" s="1"/>
      <c r="AC11122" s="1"/>
      <c r="AD11122" s="1"/>
      <c r="AE11122" s="1"/>
      <c r="AF11122" s="1"/>
      <c r="AG11122" s="1"/>
      <c r="AH11122" s="1"/>
    </row>
    <row r="11123" ht="12.75" hidden="1" customHeight="1" outlineLevel="1">
      <c r="A11123" s="202">
        <v>43567.0</v>
      </c>
      <c r="B11123" s="992"/>
      <c r="C11123" s="32" t="s">
        <v>955</v>
      </c>
      <c r="D11123" s="1"/>
      <c r="F11123" s="231" t="s">
        <v>3718</v>
      </c>
      <c r="G11123" s="1"/>
      <c r="H11123" s="68"/>
      <c r="I11123" s="1024">
        <v>0.0</v>
      </c>
      <c r="K11123" s="9" t="s">
        <v>3851</v>
      </c>
      <c r="L11123" s="77"/>
      <c r="M11123" s="79"/>
      <c r="N11123" s="1"/>
      <c r="O11123" s="1"/>
      <c r="P11123" s="1"/>
      <c r="Q11123" s="1"/>
      <c r="R11123" s="1"/>
      <c r="S11123" s="1"/>
      <c r="T11123" s="1"/>
      <c r="U11123" s="1"/>
      <c r="V11123" s="1"/>
      <c r="W11123" s="1"/>
      <c r="X11123" s="1"/>
      <c r="Y11123" s="1"/>
      <c r="Z11123" s="1"/>
      <c r="AA11123" s="1"/>
      <c r="AB11123" s="1"/>
      <c r="AC11123" s="1"/>
      <c r="AD11123" s="1"/>
      <c r="AE11123" s="1"/>
      <c r="AF11123" s="1"/>
      <c r="AG11123" s="1"/>
      <c r="AH11123" s="1"/>
    </row>
    <row r="11124" ht="12.75" hidden="1" customHeight="1" outlineLevel="1">
      <c r="A11124" s="202">
        <v>43567.0</v>
      </c>
      <c r="B11124" s="992"/>
      <c r="C11124" s="32" t="s">
        <v>958</v>
      </c>
      <c r="D11124" s="1"/>
      <c r="F11124" s="231" t="s">
        <v>3820</v>
      </c>
      <c r="G11124" s="1"/>
      <c r="H11124" s="68"/>
      <c r="I11124" s="1024">
        <v>1.0</v>
      </c>
      <c r="K11124" s="9" t="s">
        <v>3852</v>
      </c>
      <c r="L11124" s="77"/>
      <c r="M11124" s="79"/>
      <c r="N11124" s="1"/>
      <c r="O11124" s="1"/>
      <c r="P11124" s="1"/>
      <c r="Q11124" s="1"/>
      <c r="R11124" s="1"/>
      <c r="S11124" s="1"/>
      <c r="T11124" s="1"/>
      <c r="U11124" s="1"/>
      <c r="V11124" s="1"/>
      <c r="W11124" s="1"/>
      <c r="X11124" s="1"/>
      <c r="Y11124" s="1"/>
      <c r="Z11124" s="1"/>
      <c r="AA11124" s="1"/>
      <c r="AB11124" s="1"/>
      <c r="AC11124" s="1"/>
      <c r="AD11124" s="1"/>
      <c r="AE11124" s="1"/>
      <c r="AF11124" s="1"/>
      <c r="AG11124" s="1"/>
      <c r="AH11124" s="1"/>
    </row>
    <row r="11125" ht="12.75" hidden="1" customHeight="1" outlineLevel="1">
      <c r="A11125" s="202">
        <v>43567.0</v>
      </c>
      <c r="B11125" s="992"/>
      <c r="C11125" s="32" t="s">
        <v>961</v>
      </c>
      <c r="D11125" s="1"/>
      <c r="F11125" s="245" t="s">
        <v>3721</v>
      </c>
      <c r="G11125" s="247"/>
      <c r="H11125" s="1025"/>
      <c r="I11125" s="1026">
        <v>2.0</v>
      </c>
      <c r="K11125" s="9" t="s">
        <v>964</v>
      </c>
      <c r="L11125" s="77"/>
      <c r="M11125" s="79"/>
      <c r="N11125" s="1"/>
      <c r="O11125" s="1"/>
      <c r="P11125" s="1"/>
      <c r="Q11125" s="1"/>
      <c r="R11125" s="1"/>
      <c r="S11125" s="1"/>
      <c r="T11125" s="1"/>
      <c r="U11125" s="1"/>
      <c r="V11125" s="1"/>
      <c r="W11125" s="1"/>
      <c r="X11125" s="1"/>
      <c r="Y11125" s="1"/>
      <c r="Z11125" s="1"/>
      <c r="AA11125" s="1"/>
      <c r="AB11125" s="1"/>
      <c r="AC11125" s="1"/>
      <c r="AD11125" s="1"/>
      <c r="AE11125" s="1"/>
      <c r="AF11125" s="1"/>
      <c r="AG11125" s="1"/>
      <c r="AH11125" s="1"/>
    </row>
    <row r="11126" ht="12.75" hidden="1" customHeight="1" outlineLevel="1">
      <c r="A11126" s="122">
        <v>43565.0</v>
      </c>
      <c r="B11126" s="974" t="s">
        <v>343</v>
      </c>
      <c r="C11126" s="32" t="s">
        <v>2886</v>
      </c>
      <c r="D11126" s="9">
        <v>500.0</v>
      </c>
      <c r="E11126" s="9">
        <v>55.5999</v>
      </c>
      <c r="F11126" s="709">
        <v>0.42758101851851854</v>
      </c>
      <c r="G11126" s="195" t="s">
        <v>453</v>
      </c>
      <c r="H11126" s="710">
        <v>2.5</v>
      </c>
      <c r="I11126" s="256" t="s">
        <v>3145</v>
      </c>
      <c r="J11126" s="67">
        <f t="shared" ref="J11126:J11139" si="627">IF(B11126="SLD",D11126*E11126,-D11126*E11126)-H11126</f>
        <v>-27802.45</v>
      </c>
      <c r="K11126" s="1"/>
      <c r="L11126" s="70"/>
      <c r="M11126" s="79"/>
      <c r="N11126" s="1"/>
      <c r="O11126" s="1"/>
      <c r="P11126" s="1"/>
      <c r="Q11126" s="1"/>
      <c r="R11126" s="1"/>
      <c r="S11126" s="1"/>
      <c r="T11126" s="1"/>
      <c r="U11126" s="1"/>
      <c r="V11126" s="1"/>
      <c r="W11126" s="1"/>
      <c r="X11126" s="1"/>
      <c r="Y11126" s="1"/>
      <c r="Z11126" s="1"/>
      <c r="AA11126" s="1"/>
      <c r="AB11126" s="1"/>
      <c r="AC11126" s="1"/>
      <c r="AD11126" s="1"/>
      <c r="AE11126" s="1"/>
      <c r="AF11126" s="1"/>
      <c r="AG11126" s="1"/>
      <c r="AH11126" s="1"/>
    </row>
    <row r="11127" ht="12.75" hidden="1" customHeight="1" outlineLevel="1">
      <c r="A11127" s="122">
        <v>43565.0</v>
      </c>
      <c r="B11127" s="974" t="s">
        <v>343</v>
      </c>
      <c r="C11127" s="32" t="s">
        <v>1215</v>
      </c>
      <c r="D11127" s="9">
        <v>200.0</v>
      </c>
      <c r="E11127" s="9">
        <v>53.84</v>
      </c>
      <c r="F11127" s="709">
        <v>0.45925925925925926</v>
      </c>
      <c r="G11127" s="195" t="s">
        <v>453</v>
      </c>
      <c r="H11127" s="710">
        <v>1.0</v>
      </c>
      <c r="I11127" s="256" t="s">
        <v>3145</v>
      </c>
      <c r="J11127" s="67">
        <f t="shared" si="627"/>
        <v>-10769</v>
      </c>
      <c r="K11127" s="1"/>
      <c r="L11127" s="70"/>
      <c r="M11127" s="79"/>
      <c r="N11127" s="1"/>
      <c r="O11127" s="1"/>
      <c r="P11127" s="1"/>
      <c r="Q11127" s="1"/>
      <c r="R11127" s="1"/>
      <c r="S11127" s="1"/>
      <c r="T11127" s="1"/>
      <c r="U11127" s="1"/>
      <c r="V11127" s="1"/>
      <c r="W11127" s="1"/>
      <c r="X11127" s="1"/>
      <c r="Y11127" s="1"/>
      <c r="Z11127" s="1"/>
      <c r="AA11127" s="1"/>
      <c r="AB11127" s="1"/>
      <c r="AC11127" s="1"/>
      <c r="AD11127" s="1"/>
      <c r="AE11127" s="1"/>
      <c r="AF11127" s="1"/>
      <c r="AG11127" s="1"/>
      <c r="AH11127" s="1"/>
    </row>
    <row r="11128" ht="12.75" hidden="1" customHeight="1" outlineLevel="1">
      <c r="A11128" s="122">
        <v>43565.0</v>
      </c>
      <c r="B11128" s="974" t="s">
        <v>343</v>
      </c>
      <c r="C11128" s="32" t="s">
        <v>1074</v>
      </c>
      <c r="D11128" s="9">
        <v>50.0</v>
      </c>
      <c r="E11128" s="9">
        <v>199.6473</v>
      </c>
      <c r="F11128" s="709">
        <v>0.45980324074074075</v>
      </c>
      <c r="G11128" s="195" t="s">
        <v>453</v>
      </c>
      <c r="H11128" s="710">
        <v>1.0</v>
      </c>
      <c r="I11128" s="256" t="s">
        <v>3145</v>
      </c>
      <c r="J11128" s="67">
        <f t="shared" si="627"/>
        <v>-9983.365</v>
      </c>
      <c r="K11128" s="1"/>
      <c r="L11128" s="70"/>
      <c r="M11128" s="79"/>
      <c r="N11128" s="1"/>
      <c r="O11128" s="1"/>
      <c r="P11128" s="1"/>
      <c r="Q11128" s="1"/>
      <c r="R11128" s="1"/>
      <c r="S11128" s="1"/>
      <c r="T11128" s="1"/>
      <c r="U11128" s="1"/>
      <c r="V11128" s="1"/>
      <c r="W11128" s="1"/>
      <c r="X11128" s="1"/>
      <c r="Y11128" s="1"/>
      <c r="Z11128" s="1"/>
      <c r="AA11128" s="1"/>
      <c r="AB11128" s="1"/>
      <c r="AC11128" s="1"/>
      <c r="AD11128" s="1"/>
      <c r="AE11128" s="1"/>
      <c r="AF11128" s="1"/>
      <c r="AG11128" s="1"/>
      <c r="AH11128" s="1"/>
    </row>
    <row r="11129" ht="12.75" hidden="1" customHeight="1" outlineLevel="1">
      <c r="A11129" s="122">
        <v>43565.0</v>
      </c>
      <c r="B11129" s="974" t="s">
        <v>343</v>
      </c>
      <c r="C11129" s="32" t="s">
        <v>1061</v>
      </c>
      <c r="D11129" s="708">
        <v>1000.0</v>
      </c>
      <c r="E11129" s="9">
        <v>47.418</v>
      </c>
      <c r="F11129" s="709">
        <v>0.48082175925925924</v>
      </c>
      <c r="G11129" s="195" t="s">
        <v>453</v>
      </c>
      <c r="H11129" s="710">
        <v>5.0</v>
      </c>
      <c r="I11129" s="256" t="s">
        <v>3145</v>
      </c>
      <c r="J11129" s="67">
        <f t="shared" si="627"/>
        <v>-47423</v>
      </c>
      <c r="K11129" s="1"/>
      <c r="L11129" s="70"/>
      <c r="M11129" s="79"/>
      <c r="N11129" s="1"/>
      <c r="O11129" s="1"/>
      <c r="P11129" s="1"/>
      <c r="Q11129" s="1"/>
      <c r="R11129" s="1"/>
      <c r="S11129" s="1"/>
      <c r="T11129" s="1"/>
      <c r="U11129" s="1"/>
      <c r="V11129" s="1"/>
      <c r="W11129" s="1"/>
      <c r="X11129" s="1"/>
      <c r="Y11129" s="1"/>
      <c r="Z11129" s="1"/>
      <c r="AA11129" s="1"/>
      <c r="AB11129" s="1"/>
      <c r="AC11129" s="1"/>
      <c r="AD11129" s="1"/>
      <c r="AE11129" s="1"/>
      <c r="AF11129" s="1"/>
      <c r="AG11129" s="1"/>
      <c r="AH11129" s="1"/>
    </row>
    <row r="11130" ht="12.75" hidden="1" customHeight="1" outlineLevel="1">
      <c r="A11130" s="122">
        <v>43567.0</v>
      </c>
      <c r="B11130" s="974" t="s">
        <v>343</v>
      </c>
      <c r="C11130" s="32" t="s">
        <v>1215</v>
      </c>
      <c r="D11130" s="9">
        <v>200.0</v>
      </c>
      <c r="E11130" s="9">
        <v>55.06</v>
      </c>
      <c r="F11130" s="709">
        <v>0.40293981481481483</v>
      </c>
      <c r="G11130" s="195" t="s">
        <v>453</v>
      </c>
      <c r="H11130" s="710">
        <v>1.0</v>
      </c>
      <c r="I11130" s="256" t="s">
        <v>3145</v>
      </c>
      <c r="J11130" s="67">
        <f t="shared" si="627"/>
        <v>-11013</v>
      </c>
      <c r="K11130" s="1"/>
      <c r="L11130" s="70"/>
      <c r="M11130" s="79"/>
      <c r="N11130" s="1"/>
      <c r="O11130" s="1"/>
      <c r="P11130" s="1"/>
      <c r="Q11130" s="1"/>
      <c r="R11130" s="1"/>
      <c r="S11130" s="1"/>
      <c r="T11130" s="1"/>
      <c r="U11130" s="1"/>
      <c r="V11130" s="1"/>
      <c r="W11130" s="1"/>
      <c r="X11130" s="1"/>
      <c r="Y11130" s="1"/>
      <c r="Z11130" s="1"/>
      <c r="AA11130" s="1"/>
      <c r="AB11130" s="1"/>
      <c r="AC11130" s="1"/>
      <c r="AD11130" s="1"/>
      <c r="AE11130" s="1"/>
      <c r="AF11130" s="1"/>
      <c r="AG11130" s="1"/>
      <c r="AH11130" s="1"/>
    </row>
    <row r="11131" ht="12.75" hidden="1" customHeight="1" outlineLevel="1">
      <c r="A11131" s="122">
        <v>43567.0</v>
      </c>
      <c r="B11131" s="974" t="s">
        <v>343</v>
      </c>
      <c r="C11131" s="32" t="s">
        <v>3385</v>
      </c>
      <c r="D11131" s="708">
        <v>1000.0</v>
      </c>
      <c r="E11131" s="9">
        <v>18.3285</v>
      </c>
      <c r="F11131" s="709">
        <v>0.4309837962962963</v>
      </c>
      <c r="G11131" s="195" t="s">
        <v>453</v>
      </c>
      <c r="H11131" s="710">
        <v>5.0</v>
      </c>
      <c r="I11131" s="256" t="s">
        <v>3145</v>
      </c>
      <c r="J11131" s="67">
        <f t="shared" si="627"/>
        <v>-18333.5</v>
      </c>
      <c r="K11131" s="1"/>
      <c r="L11131" s="70"/>
      <c r="M11131" s="79"/>
      <c r="N11131" s="1"/>
      <c r="O11131" s="1"/>
      <c r="P11131" s="1"/>
      <c r="Q11131" s="1"/>
      <c r="R11131" s="1"/>
      <c r="S11131" s="1"/>
      <c r="T11131" s="1"/>
      <c r="U11131" s="1"/>
      <c r="V11131" s="1"/>
      <c r="W11131" s="1"/>
      <c r="X11131" s="1"/>
      <c r="Y11131" s="1"/>
      <c r="Z11131" s="1"/>
      <c r="AA11131" s="1"/>
      <c r="AB11131" s="1"/>
      <c r="AC11131" s="1"/>
      <c r="AD11131" s="1"/>
      <c r="AE11131" s="1"/>
      <c r="AF11131" s="1"/>
      <c r="AG11131" s="1"/>
      <c r="AH11131" s="1"/>
    </row>
    <row r="11132" ht="12.75" hidden="1" customHeight="1" outlineLevel="1">
      <c r="A11132" s="122">
        <v>43567.0</v>
      </c>
      <c r="B11132" s="974" t="s">
        <v>347</v>
      </c>
      <c r="C11132" s="32" t="s">
        <v>847</v>
      </c>
      <c r="D11132" s="9">
        <v>100.0</v>
      </c>
      <c r="E11132" s="9">
        <v>160.63</v>
      </c>
      <c r="F11132" s="709">
        <v>0.6160763888888889</v>
      </c>
      <c r="G11132" s="195" t="s">
        <v>453</v>
      </c>
      <c r="H11132" s="710">
        <v>1.34</v>
      </c>
      <c r="I11132" s="256" t="s">
        <v>3145</v>
      </c>
      <c r="J11132" s="67">
        <f t="shared" si="627"/>
        <v>16061.66</v>
      </c>
      <c r="K11132" s="1"/>
      <c r="L11132" s="70"/>
      <c r="M11132" s="79"/>
      <c r="N11132" s="1"/>
      <c r="O11132" s="1"/>
      <c r="P11132" s="1"/>
      <c r="Q11132" s="1"/>
      <c r="R11132" s="1"/>
      <c r="S11132" s="1"/>
      <c r="T11132" s="1"/>
      <c r="U11132" s="1"/>
      <c r="V11132" s="1"/>
      <c r="W11132" s="1"/>
      <c r="X11132" s="1"/>
      <c r="Y11132" s="1"/>
      <c r="Z11132" s="1"/>
      <c r="AA11132" s="1"/>
      <c r="AB11132" s="1"/>
      <c r="AC11132" s="1"/>
      <c r="AD11132" s="1"/>
      <c r="AE11132" s="1"/>
      <c r="AF11132" s="1"/>
      <c r="AG11132" s="1"/>
      <c r="AH11132" s="1"/>
    </row>
    <row r="11133" ht="12.75" hidden="1" customHeight="1" outlineLevel="1">
      <c r="A11133" s="122">
        <v>43567.0</v>
      </c>
      <c r="B11133" s="974" t="s">
        <v>347</v>
      </c>
      <c r="C11133" s="32" t="s">
        <v>1067</v>
      </c>
      <c r="D11133" s="9">
        <v>60.0</v>
      </c>
      <c r="E11133" s="9">
        <v>223.51</v>
      </c>
      <c r="F11133" s="709">
        <v>0.6163541666666666</v>
      </c>
      <c r="G11133" s="195" t="s">
        <v>453</v>
      </c>
      <c r="H11133" s="710">
        <v>1.28</v>
      </c>
      <c r="I11133" s="256" t="s">
        <v>3145</v>
      </c>
      <c r="J11133" s="67">
        <f t="shared" si="627"/>
        <v>13409.32</v>
      </c>
      <c r="K11133" s="1"/>
      <c r="L11133" s="70"/>
      <c r="M11133" s="79"/>
      <c r="N11133" s="1"/>
      <c r="O11133" s="1"/>
      <c r="P11133" s="1"/>
      <c r="Q11133" s="1"/>
      <c r="R11133" s="1"/>
      <c r="S11133" s="1"/>
      <c r="T11133" s="1"/>
      <c r="U11133" s="1"/>
      <c r="V11133" s="1"/>
      <c r="W11133" s="1"/>
      <c r="X11133" s="1"/>
      <c r="Y11133" s="1"/>
      <c r="Z11133" s="1"/>
      <c r="AA11133" s="1"/>
      <c r="AB11133" s="1"/>
      <c r="AC11133" s="1"/>
      <c r="AD11133" s="1"/>
      <c r="AE11133" s="1"/>
      <c r="AF11133" s="1"/>
      <c r="AG11133" s="1"/>
      <c r="AH11133" s="1"/>
    </row>
    <row r="11134" ht="12.75" hidden="1" customHeight="1" outlineLevel="1">
      <c r="A11134" s="122">
        <v>43567.0</v>
      </c>
      <c r="B11134" s="974" t="s">
        <v>347</v>
      </c>
      <c r="C11134" s="32" t="s">
        <v>1167</v>
      </c>
      <c r="D11134" s="9">
        <v>150.0</v>
      </c>
      <c r="E11134" s="9">
        <v>128.09</v>
      </c>
      <c r="F11134" s="709">
        <v>0.6168981481481481</v>
      </c>
      <c r="G11134" s="195" t="s">
        <v>453</v>
      </c>
      <c r="H11134" s="710">
        <v>1.42</v>
      </c>
      <c r="I11134" s="256" t="s">
        <v>3145</v>
      </c>
      <c r="J11134" s="67">
        <f t="shared" si="627"/>
        <v>19212.08</v>
      </c>
      <c r="K11134" s="1"/>
      <c r="L11134" s="70"/>
      <c r="M11134" s="79"/>
      <c r="N11134" s="1"/>
      <c r="O11134" s="1"/>
      <c r="P11134" s="1"/>
      <c r="Q11134" s="1"/>
      <c r="R11134" s="1"/>
      <c r="S11134" s="1"/>
      <c r="T11134" s="1"/>
      <c r="U11134" s="1"/>
      <c r="V11134" s="1"/>
      <c r="W11134" s="1"/>
      <c r="X11134" s="1"/>
      <c r="Y11134" s="1"/>
      <c r="Z11134" s="1"/>
      <c r="AA11134" s="1"/>
      <c r="AB11134" s="1"/>
      <c r="AC11134" s="1"/>
      <c r="AD11134" s="1"/>
      <c r="AE11134" s="1"/>
      <c r="AF11134" s="1"/>
      <c r="AG11134" s="1"/>
      <c r="AH11134" s="1"/>
    </row>
    <row r="11135" ht="12.75" hidden="1" customHeight="1" outlineLevel="1">
      <c r="A11135" s="122">
        <v>43567.0</v>
      </c>
      <c r="B11135" s="974" t="s">
        <v>347</v>
      </c>
      <c r="C11135" s="32" t="s">
        <v>1061</v>
      </c>
      <c r="D11135" s="9">
        <v>800.0</v>
      </c>
      <c r="E11135" s="9">
        <v>49.072</v>
      </c>
      <c r="F11135" s="709">
        <v>0.6393981481481481</v>
      </c>
      <c r="G11135" s="195" t="s">
        <v>453</v>
      </c>
      <c r="H11135" s="710">
        <v>4.91</v>
      </c>
      <c r="I11135" s="256" t="s">
        <v>3145</v>
      </c>
      <c r="J11135" s="67">
        <f t="shared" si="627"/>
        <v>39252.69</v>
      </c>
      <c r="K11135" s="1"/>
      <c r="L11135" s="70"/>
      <c r="M11135" s="79"/>
      <c r="N11135" s="1"/>
      <c r="O11135" s="1"/>
      <c r="P11135" s="1"/>
      <c r="Q11135" s="1"/>
      <c r="R11135" s="1"/>
      <c r="S11135" s="1"/>
      <c r="T11135" s="1"/>
      <c r="U11135" s="1"/>
      <c r="V11135" s="1"/>
      <c r="W11135" s="1"/>
      <c r="X11135" s="1"/>
      <c r="Y11135" s="1"/>
      <c r="Z11135" s="1"/>
      <c r="AA11135" s="1"/>
      <c r="AB11135" s="1"/>
      <c r="AC11135" s="1"/>
      <c r="AD11135" s="1"/>
      <c r="AE11135" s="1"/>
      <c r="AF11135" s="1"/>
      <c r="AG11135" s="1"/>
      <c r="AH11135" s="1"/>
    </row>
    <row r="11136" ht="12.75" hidden="1" customHeight="1" outlineLevel="1">
      <c r="A11136" s="122">
        <v>43567.0</v>
      </c>
      <c r="B11136" s="974" t="s">
        <v>347</v>
      </c>
      <c r="C11136" s="32" t="s">
        <v>381</v>
      </c>
      <c r="D11136" s="9">
        <v>100.0</v>
      </c>
      <c r="E11136" s="9">
        <v>179.04</v>
      </c>
      <c r="F11136" s="709">
        <v>0.6628356481481481</v>
      </c>
      <c r="G11136" s="195" t="s">
        <v>453</v>
      </c>
      <c r="H11136" s="710">
        <v>1.38</v>
      </c>
      <c r="I11136" s="256" t="s">
        <v>3145</v>
      </c>
      <c r="J11136" s="67">
        <f t="shared" si="627"/>
        <v>17902.62</v>
      </c>
      <c r="K11136" s="1"/>
      <c r="L11136" s="70"/>
      <c r="M11136" s="79"/>
      <c r="N11136" s="1"/>
      <c r="O11136" s="1"/>
      <c r="P11136" s="1"/>
      <c r="Q11136" s="1"/>
      <c r="R11136" s="1"/>
      <c r="S11136" s="1"/>
      <c r="T11136" s="1"/>
      <c r="U11136" s="1"/>
      <c r="V11136" s="1"/>
      <c r="W11136" s="1"/>
      <c r="X11136" s="1"/>
      <c r="Y11136" s="1"/>
      <c r="Z11136" s="1"/>
      <c r="AA11136" s="1"/>
      <c r="AB11136" s="1"/>
      <c r="AC11136" s="1"/>
      <c r="AD11136" s="1"/>
      <c r="AE11136" s="1"/>
      <c r="AF11136" s="1"/>
      <c r="AG11136" s="1"/>
      <c r="AH11136" s="1"/>
    </row>
    <row r="11137" ht="12.75" hidden="1" customHeight="1" outlineLevel="1">
      <c r="A11137" s="122">
        <v>43567.0</v>
      </c>
      <c r="B11137" s="974" t="s">
        <v>347</v>
      </c>
      <c r="C11137" s="32" t="s">
        <v>1040</v>
      </c>
      <c r="D11137" s="9">
        <v>150.0</v>
      </c>
      <c r="E11137" s="9">
        <v>120.7215</v>
      </c>
      <c r="F11137" s="709">
        <v>0.6631365740740741</v>
      </c>
      <c r="G11137" s="195" t="s">
        <v>453</v>
      </c>
      <c r="H11137" s="710">
        <v>1.39</v>
      </c>
      <c r="I11137" s="256" t="s">
        <v>3145</v>
      </c>
      <c r="J11137" s="67">
        <f t="shared" si="627"/>
        <v>18106.835</v>
      </c>
      <c r="K11137" s="1"/>
      <c r="L11137" s="70"/>
      <c r="M11137" s="79"/>
      <c r="N11137" s="1"/>
      <c r="O11137" s="1"/>
      <c r="P11137" s="1"/>
      <c r="Q11137" s="1"/>
      <c r="R11137" s="1"/>
      <c r="S11137" s="1"/>
      <c r="T11137" s="1"/>
      <c r="U11137" s="1"/>
      <c r="V11137" s="1"/>
      <c r="W11137" s="1"/>
      <c r="X11137" s="1"/>
      <c r="Y11137" s="1"/>
      <c r="Z11137" s="1"/>
      <c r="AA11137" s="1"/>
      <c r="AB11137" s="1"/>
      <c r="AC11137" s="1"/>
      <c r="AD11137" s="1"/>
      <c r="AE11137" s="1"/>
      <c r="AF11137" s="1"/>
      <c r="AG11137" s="1"/>
      <c r="AH11137" s="1"/>
    </row>
    <row r="11138" ht="12.75" hidden="1" customHeight="1" outlineLevel="1">
      <c r="A11138" s="122">
        <v>43567.0</v>
      </c>
      <c r="B11138" s="974" t="s">
        <v>347</v>
      </c>
      <c r="C11138" s="32" t="s">
        <v>1053</v>
      </c>
      <c r="D11138" s="9">
        <v>5.0</v>
      </c>
      <c r="E11138" s="9">
        <v>1843.69</v>
      </c>
      <c r="F11138" s="709">
        <v>0.663599537037037</v>
      </c>
      <c r="G11138" s="195" t="s">
        <v>453</v>
      </c>
      <c r="H11138" s="710">
        <v>1.19</v>
      </c>
      <c r="I11138" s="256" t="s">
        <v>3145</v>
      </c>
      <c r="J11138" s="67">
        <f t="shared" si="627"/>
        <v>9217.26</v>
      </c>
      <c r="K11138" s="1"/>
      <c r="L11138" s="70"/>
      <c r="M11138" s="79"/>
      <c r="N11138" s="1"/>
      <c r="O11138" s="1"/>
      <c r="P11138" s="1"/>
      <c r="Q11138" s="1"/>
      <c r="R11138" s="1"/>
      <c r="S11138" s="1"/>
      <c r="T11138" s="1"/>
      <c r="U11138" s="1"/>
      <c r="V11138" s="1"/>
      <c r="W11138" s="1"/>
      <c r="X11138" s="1"/>
      <c r="Y11138" s="1"/>
      <c r="Z11138" s="1"/>
      <c r="AA11138" s="1"/>
      <c r="AB11138" s="1"/>
      <c r="AC11138" s="1"/>
      <c r="AD11138" s="1"/>
      <c r="AE11138" s="1"/>
      <c r="AF11138" s="1"/>
      <c r="AG11138" s="1"/>
      <c r="AH11138" s="1"/>
    </row>
    <row r="11139" ht="12.75" hidden="1" customHeight="1" outlineLevel="1">
      <c r="A11139" s="122">
        <v>43567.0</v>
      </c>
      <c r="B11139" s="974" t="s">
        <v>347</v>
      </c>
      <c r="C11139" s="32" t="s">
        <v>1074</v>
      </c>
      <c r="D11139" s="9">
        <v>50.0</v>
      </c>
      <c r="E11139" s="9">
        <v>203.8</v>
      </c>
      <c r="F11139" s="709">
        <v>0.6656712962962963</v>
      </c>
      <c r="G11139" s="195" t="s">
        <v>453</v>
      </c>
      <c r="H11139" s="710">
        <v>1.22</v>
      </c>
      <c r="I11139" s="256" t="s">
        <v>3145</v>
      </c>
      <c r="J11139" s="67">
        <f t="shared" si="627"/>
        <v>10188.78</v>
      </c>
      <c r="K11139" s="1"/>
      <c r="L11139" s="70"/>
      <c r="M11139" s="79"/>
      <c r="N11139" s="1"/>
      <c r="O11139" s="1"/>
      <c r="P11139" s="1"/>
      <c r="Q11139" s="1"/>
      <c r="R11139" s="1"/>
      <c r="S11139" s="1"/>
      <c r="T11139" s="1"/>
      <c r="U11139" s="1"/>
      <c r="V11139" s="1"/>
      <c r="W11139" s="1"/>
      <c r="X11139" s="1"/>
      <c r="Y11139" s="1"/>
      <c r="Z11139" s="1"/>
      <c r="AA11139" s="1"/>
      <c r="AB11139" s="1"/>
      <c r="AC11139" s="1"/>
      <c r="AD11139" s="1"/>
      <c r="AE11139" s="1"/>
      <c r="AF11139" s="1"/>
      <c r="AG11139" s="1"/>
      <c r="AH11139" s="1"/>
    </row>
    <row r="11140" ht="12.75" hidden="1" customHeight="1" outlineLevel="1">
      <c r="A11140" s="197">
        <v>43569.0</v>
      </c>
      <c r="B11140" s="992"/>
      <c r="C11140" s="32" t="s">
        <v>947</v>
      </c>
      <c r="D11140" s="1"/>
      <c r="E11140" s="94" t="s">
        <v>948</v>
      </c>
      <c r="F11140" s="1022" t="s">
        <v>3803</v>
      </c>
      <c r="G11140" s="87"/>
      <c r="H11140" s="199"/>
      <c r="I11140" s="1023">
        <v>1.0</v>
      </c>
      <c r="K11140" s="201" t="s">
        <v>3827</v>
      </c>
      <c r="L11140" s="77"/>
      <c r="M11140" s="79"/>
      <c r="N11140" s="1"/>
      <c r="O11140" s="1"/>
      <c r="P11140" s="1"/>
      <c r="Q11140" s="1"/>
      <c r="R11140" s="1"/>
      <c r="S11140" s="1"/>
      <c r="T11140" s="1"/>
      <c r="U11140" s="1"/>
      <c r="V11140" s="1"/>
      <c r="W11140" s="1"/>
      <c r="X11140" s="1"/>
      <c r="Y11140" s="1"/>
      <c r="Z11140" s="1"/>
      <c r="AA11140" s="1"/>
      <c r="AB11140" s="1"/>
      <c r="AC11140" s="1"/>
      <c r="AD11140" s="1"/>
      <c r="AE11140" s="1"/>
      <c r="AF11140" s="1"/>
      <c r="AG11140" s="1"/>
      <c r="AH11140" s="1"/>
    </row>
    <row r="11141" ht="12.75" hidden="1" customHeight="1" outlineLevel="1">
      <c r="A11141" s="202">
        <v>43569.0</v>
      </c>
      <c r="B11141" s="992"/>
      <c r="C11141" s="32" t="s">
        <v>952</v>
      </c>
      <c r="D11141" s="1"/>
      <c r="F11141" s="231" t="s">
        <v>953</v>
      </c>
      <c r="G11141" s="1"/>
      <c r="H11141" s="68"/>
      <c r="I11141" s="1024">
        <v>0.0</v>
      </c>
      <c r="K11141" s="9" t="s">
        <v>3850</v>
      </c>
      <c r="L11141" s="77"/>
      <c r="M11141" s="79"/>
      <c r="N11141" s="1"/>
      <c r="O11141" s="1"/>
      <c r="P11141" s="1"/>
      <c r="Q11141" s="1"/>
      <c r="R11141" s="1"/>
      <c r="S11141" s="1"/>
      <c r="T11141" s="1"/>
      <c r="U11141" s="1"/>
      <c r="V11141" s="1"/>
      <c r="W11141" s="1"/>
      <c r="X11141" s="1"/>
      <c r="Y11141" s="1"/>
      <c r="Z11141" s="1"/>
      <c r="AA11141" s="1"/>
      <c r="AB11141" s="1"/>
      <c r="AC11141" s="1"/>
      <c r="AD11141" s="1"/>
      <c r="AE11141" s="1"/>
      <c r="AF11141" s="1"/>
      <c r="AG11141" s="1"/>
      <c r="AH11141" s="1"/>
    </row>
    <row r="11142" ht="12.75" hidden="1" customHeight="1" outlineLevel="1">
      <c r="A11142" s="202">
        <v>43569.0</v>
      </c>
      <c r="B11142" s="992"/>
      <c r="C11142" s="32" t="s">
        <v>955</v>
      </c>
      <c r="D11142" s="1"/>
      <c r="F11142" s="231" t="s">
        <v>3718</v>
      </c>
      <c r="G11142" s="1"/>
      <c r="H11142" s="68"/>
      <c r="I11142" s="1024">
        <v>0.0</v>
      </c>
      <c r="K11142" s="9" t="s">
        <v>3851</v>
      </c>
      <c r="L11142" s="77"/>
      <c r="M11142" s="79"/>
      <c r="N11142" s="1"/>
      <c r="O11142" s="1"/>
      <c r="P11142" s="1"/>
      <c r="Q11142" s="1"/>
      <c r="R11142" s="1"/>
      <c r="S11142" s="1"/>
      <c r="T11142" s="1"/>
      <c r="U11142" s="1"/>
      <c r="V11142" s="1"/>
      <c r="W11142" s="1"/>
      <c r="X11142" s="1"/>
      <c r="Y11142" s="1"/>
      <c r="Z11142" s="1"/>
      <c r="AA11142" s="1"/>
      <c r="AB11142" s="1"/>
      <c r="AC11142" s="1"/>
      <c r="AD11142" s="1"/>
      <c r="AE11142" s="1"/>
      <c r="AF11142" s="1"/>
      <c r="AG11142" s="1"/>
      <c r="AH11142" s="1"/>
    </row>
    <row r="11143" ht="12.75" hidden="1" customHeight="1" outlineLevel="1">
      <c r="A11143" s="202">
        <v>43569.0</v>
      </c>
      <c r="B11143" s="992"/>
      <c r="C11143" s="32" t="s">
        <v>958</v>
      </c>
      <c r="D11143" s="1"/>
      <c r="F11143" s="231" t="s">
        <v>3820</v>
      </c>
      <c r="G11143" s="1"/>
      <c r="H11143" s="68"/>
      <c r="I11143" s="1024">
        <v>1.0</v>
      </c>
      <c r="K11143" s="9" t="s">
        <v>3853</v>
      </c>
      <c r="L11143" s="77"/>
      <c r="M11143" s="79"/>
      <c r="N11143" s="1"/>
      <c r="O11143" s="1"/>
      <c r="P11143" s="1"/>
      <c r="Q11143" s="1"/>
      <c r="R11143" s="1"/>
      <c r="S11143" s="1"/>
      <c r="T11143" s="1"/>
      <c r="U11143" s="1"/>
      <c r="V11143" s="1"/>
      <c r="W11143" s="1"/>
      <c r="X11143" s="1"/>
      <c r="Y11143" s="1"/>
      <c r="Z11143" s="1"/>
      <c r="AA11143" s="1"/>
      <c r="AB11143" s="1"/>
      <c r="AC11143" s="1"/>
      <c r="AD11143" s="1"/>
      <c r="AE11143" s="1"/>
      <c r="AF11143" s="1"/>
      <c r="AG11143" s="1"/>
      <c r="AH11143" s="1"/>
    </row>
    <row r="11144" ht="12.75" hidden="1" customHeight="1" outlineLevel="1">
      <c r="A11144" s="202">
        <v>43569.0</v>
      </c>
      <c r="B11144" s="992"/>
      <c r="C11144" s="32" t="s">
        <v>961</v>
      </c>
      <c r="D11144" s="1"/>
      <c r="F11144" s="245" t="s">
        <v>3721</v>
      </c>
      <c r="G11144" s="247"/>
      <c r="H11144" s="1025"/>
      <c r="I11144" s="1026">
        <v>2.0</v>
      </c>
      <c r="K11144" s="9" t="s">
        <v>964</v>
      </c>
      <c r="L11144" s="77"/>
      <c r="M11144" s="79"/>
      <c r="N11144" s="1"/>
      <c r="O11144" s="1"/>
      <c r="P11144" s="1"/>
      <c r="Q11144" s="1"/>
      <c r="R11144" s="1"/>
      <c r="S11144" s="1"/>
      <c r="T11144" s="1"/>
      <c r="U11144" s="1"/>
      <c r="V11144" s="1"/>
      <c r="W11144" s="1"/>
      <c r="X11144" s="1"/>
      <c r="Y11144" s="1"/>
      <c r="Z11144" s="1"/>
      <c r="AA11144" s="1"/>
      <c r="AB11144" s="1"/>
      <c r="AC11144" s="1"/>
      <c r="AD11144" s="1"/>
      <c r="AE11144" s="1"/>
      <c r="AF11144" s="1"/>
      <c r="AG11144" s="1"/>
      <c r="AH11144" s="1"/>
    </row>
    <row r="11145" ht="12.75" hidden="1" customHeight="1" outlineLevel="1">
      <c r="A11145" s="197">
        <v>43570.0</v>
      </c>
      <c r="B11145" s="992"/>
      <c r="C11145" s="32" t="s">
        <v>947</v>
      </c>
      <c r="D11145" s="1"/>
      <c r="E11145" s="94" t="s">
        <v>948</v>
      </c>
      <c r="F11145" s="1022" t="s">
        <v>3803</v>
      </c>
      <c r="G11145" s="87"/>
      <c r="H11145" s="199"/>
      <c r="I11145" s="1023">
        <v>1.0</v>
      </c>
      <c r="K11145" s="201" t="s">
        <v>3827</v>
      </c>
      <c r="L11145" s="77"/>
      <c r="M11145" s="79"/>
      <c r="N11145" s="1"/>
      <c r="O11145" s="1"/>
      <c r="P11145" s="1"/>
      <c r="Q11145" s="1"/>
      <c r="R11145" s="1"/>
      <c r="S11145" s="1"/>
      <c r="T11145" s="1"/>
      <c r="U11145" s="1"/>
      <c r="V11145" s="1"/>
      <c r="W11145" s="1"/>
      <c r="X11145" s="1"/>
      <c r="Y11145" s="1"/>
      <c r="Z11145" s="1"/>
      <c r="AA11145" s="1"/>
      <c r="AB11145" s="1"/>
      <c r="AC11145" s="1"/>
      <c r="AD11145" s="1"/>
      <c r="AE11145" s="1"/>
      <c r="AF11145" s="1"/>
      <c r="AG11145" s="1"/>
      <c r="AH11145" s="1"/>
    </row>
    <row r="11146" ht="12.75" hidden="1" customHeight="1" outlineLevel="1">
      <c r="A11146" s="202">
        <v>43570.0</v>
      </c>
      <c r="B11146" s="992"/>
      <c r="C11146" s="32" t="s">
        <v>952</v>
      </c>
      <c r="D11146" s="1"/>
      <c r="F11146" s="231" t="s">
        <v>953</v>
      </c>
      <c r="G11146" s="1"/>
      <c r="H11146" s="68"/>
      <c r="I11146" s="1024">
        <v>0.0</v>
      </c>
      <c r="K11146" s="9" t="s">
        <v>3854</v>
      </c>
      <c r="L11146" s="77"/>
      <c r="M11146" s="79"/>
      <c r="N11146" s="1"/>
      <c r="O11146" s="1"/>
      <c r="P11146" s="1"/>
      <c r="Q11146" s="1"/>
      <c r="R11146" s="1"/>
      <c r="S11146" s="1"/>
      <c r="T11146" s="1"/>
      <c r="U11146" s="1"/>
      <c r="V11146" s="1"/>
      <c r="W11146" s="1"/>
      <c r="X11146" s="1"/>
      <c r="Y11146" s="1"/>
      <c r="Z11146" s="1"/>
      <c r="AA11146" s="1"/>
      <c r="AB11146" s="1"/>
      <c r="AC11146" s="1"/>
      <c r="AD11146" s="1"/>
      <c r="AE11146" s="1"/>
      <c r="AF11146" s="1"/>
      <c r="AG11146" s="1"/>
      <c r="AH11146" s="1"/>
    </row>
    <row r="11147" ht="12.75" hidden="1" customHeight="1" outlineLevel="1">
      <c r="A11147" s="202">
        <v>43570.0</v>
      </c>
      <c r="B11147" s="992"/>
      <c r="C11147" s="32" t="s">
        <v>955</v>
      </c>
      <c r="D11147" s="1"/>
      <c r="F11147" s="231" t="s">
        <v>3718</v>
      </c>
      <c r="G11147" s="1"/>
      <c r="H11147" s="68"/>
      <c r="I11147" s="1024">
        <v>0.0</v>
      </c>
      <c r="K11147" s="9" t="s">
        <v>3855</v>
      </c>
      <c r="L11147" s="77"/>
      <c r="M11147" s="79"/>
      <c r="N11147" s="1"/>
      <c r="O11147" s="1"/>
      <c r="P11147" s="1"/>
      <c r="Q11147" s="1"/>
      <c r="R11147" s="1"/>
      <c r="S11147" s="1"/>
      <c r="T11147" s="1"/>
      <c r="U11147" s="1"/>
      <c r="V11147" s="1"/>
      <c r="W11147" s="1"/>
      <c r="X11147" s="1"/>
      <c r="Y11147" s="1"/>
      <c r="Z11147" s="1"/>
      <c r="AA11147" s="1"/>
      <c r="AB11147" s="1"/>
      <c r="AC11147" s="1"/>
      <c r="AD11147" s="1"/>
      <c r="AE11147" s="1"/>
      <c r="AF11147" s="1"/>
      <c r="AG11147" s="1"/>
      <c r="AH11147" s="1"/>
    </row>
    <row r="11148" ht="12.75" hidden="1" customHeight="1" outlineLevel="1">
      <c r="A11148" s="202">
        <v>43570.0</v>
      </c>
      <c r="B11148" s="992"/>
      <c r="C11148" s="32" t="s">
        <v>958</v>
      </c>
      <c r="D11148" s="1"/>
      <c r="F11148" s="231" t="s">
        <v>3820</v>
      </c>
      <c r="G11148" s="1"/>
      <c r="H11148" s="68"/>
      <c r="I11148" s="1024">
        <v>1.0</v>
      </c>
      <c r="K11148" s="9" t="s">
        <v>3856</v>
      </c>
      <c r="L11148" s="77"/>
      <c r="M11148" s="79"/>
      <c r="N11148" s="1"/>
      <c r="O11148" s="1"/>
      <c r="P11148" s="1"/>
      <c r="Q11148" s="1"/>
      <c r="R11148" s="1"/>
      <c r="S11148" s="1"/>
      <c r="T11148" s="1"/>
      <c r="U11148" s="1"/>
      <c r="V11148" s="1"/>
      <c r="W11148" s="1"/>
      <c r="X11148" s="1"/>
      <c r="Y11148" s="1"/>
      <c r="Z11148" s="1"/>
      <c r="AA11148" s="1"/>
      <c r="AB11148" s="1"/>
      <c r="AC11148" s="1"/>
      <c r="AD11148" s="1"/>
      <c r="AE11148" s="1"/>
      <c r="AF11148" s="1"/>
      <c r="AG11148" s="1"/>
      <c r="AH11148" s="1"/>
    </row>
    <row r="11149" ht="12.75" hidden="1" customHeight="1" outlineLevel="1">
      <c r="A11149" s="202">
        <v>43570.0</v>
      </c>
      <c r="B11149" s="992"/>
      <c r="C11149" s="32" t="s">
        <v>961</v>
      </c>
      <c r="D11149" s="1"/>
      <c r="F11149" s="245" t="s">
        <v>3721</v>
      </c>
      <c r="G11149" s="247"/>
      <c r="H11149" s="1025"/>
      <c r="I11149" s="1026">
        <v>2.0</v>
      </c>
      <c r="K11149" s="9" t="s">
        <v>964</v>
      </c>
      <c r="L11149" s="77"/>
      <c r="M11149" s="79"/>
      <c r="N11149" s="1"/>
      <c r="O11149" s="1"/>
      <c r="P11149" s="1"/>
      <c r="Q11149" s="1"/>
      <c r="R11149" s="1"/>
      <c r="S11149" s="1"/>
      <c r="T11149" s="1"/>
      <c r="U11149" s="1"/>
      <c r="V11149" s="1"/>
      <c r="W11149" s="1"/>
      <c r="X11149" s="1"/>
      <c r="Y11149" s="1"/>
      <c r="Z11149" s="1"/>
      <c r="AA11149" s="1"/>
      <c r="AB11149" s="1"/>
      <c r="AC11149" s="1"/>
      <c r="AD11149" s="1"/>
      <c r="AE11149" s="1"/>
      <c r="AF11149" s="1"/>
      <c r="AG11149" s="1"/>
      <c r="AH11149" s="1"/>
    </row>
    <row r="11150" ht="12.75" hidden="1" customHeight="1" outlineLevel="1">
      <c r="A11150" s="202">
        <v>43571.0</v>
      </c>
      <c r="B11150" s="985" t="s">
        <v>343</v>
      </c>
      <c r="C11150" s="94" t="s">
        <v>847</v>
      </c>
      <c r="D11150" s="94">
        <v>100.0</v>
      </c>
      <c r="E11150" s="94">
        <v>162.0</v>
      </c>
      <c r="F11150" s="1003">
        <v>0.4154861111111111</v>
      </c>
      <c r="G11150" s="1004" t="s">
        <v>453</v>
      </c>
      <c r="H11150" s="987">
        <v>1.0</v>
      </c>
      <c r="I11150" s="988" t="s">
        <v>3145</v>
      </c>
      <c r="J11150" s="67">
        <f t="shared" ref="J11150:J11152" si="628">IF(B11150="SLD",D11150*E11150,-D11150*E11150)-H11150</f>
        <v>-16201</v>
      </c>
      <c r="K11150" s="1"/>
      <c r="L11150" s="70"/>
      <c r="M11150" s="79"/>
      <c r="N11150" s="1"/>
      <c r="O11150" s="1"/>
      <c r="P11150" s="1"/>
      <c r="Q11150" s="1"/>
      <c r="R11150" s="1"/>
      <c r="S11150" s="1"/>
      <c r="T11150" s="1"/>
      <c r="U11150" s="1"/>
      <c r="V11150" s="1"/>
      <c r="W11150" s="1"/>
      <c r="X11150" s="1"/>
      <c r="Y11150" s="1"/>
      <c r="Z11150" s="1"/>
      <c r="AA11150" s="1"/>
      <c r="AB11150" s="1"/>
      <c r="AC11150" s="1"/>
      <c r="AD11150" s="1"/>
      <c r="AE11150" s="1"/>
      <c r="AF11150" s="1"/>
      <c r="AG11150" s="1"/>
      <c r="AH11150" s="1"/>
    </row>
    <row r="11151" ht="12.75" hidden="1" customHeight="1" outlineLevel="1">
      <c r="A11151" s="202">
        <v>43571.0</v>
      </c>
      <c r="B11151" s="985" t="s">
        <v>343</v>
      </c>
      <c r="C11151" s="94" t="s">
        <v>1067</v>
      </c>
      <c r="D11151" s="94">
        <v>60.0</v>
      </c>
      <c r="E11151" s="94">
        <v>225.97</v>
      </c>
      <c r="F11151" s="1003">
        <v>0.4157986111111111</v>
      </c>
      <c r="G11151" s="1004" t="s">
        <v>453</v>
      </c>
      <c r="H11151" s="987">
        <v>1.0</v>
      </c>
      <c r="I11151" s="988" t="s">
        <v>3145</v>
      </c>
      <c r="J11151" s="67">
        <f t="shared" si="628"/>
        <v>-13559.2</v>
      </c>
      <c r="K11151" s="1"/>
      <c r="L11151" s="70"/>
      <c r="M11151" s="79"/>
      <c r="N11151" s="1"/>
      <c r="O11151" s="1"/>
      <c r="P11151" s="1"/>
      <c r="Q11151" s="1"/>
      <c r="R11151" s="1"/>
      <c r="S11151" s="1"/>
      <c r="T11151" s="1"/>
      <c r="U11151" s="1"/>
      <c r="V11151" s="1"/>
      <c r="W11151" s="1"/>
      <c r="X11151" s="1"/>
      <c r="Y11151" s="1"/>
      <c r="Z11151" s="1"/>
      <c r="AA11151" s="1"/>
      <c r="AB11151" s="1"/>
      <c r="AC11151" s="1"/>
      <c r="AD11151" s="1"/>
      <c r="AE11151" s="1"/>
      <c r="AF11151" s="1"/>
      <c r="AG11151" s="1"/>
      <c r="AH11151" s="1"/>
    </row>
    <row r="11152" ht="12.75" hidden="1" customHeight="1" outlineLevel="1">
      <c r="A11152" s="202">
        <v>43571.0</v>
      </c>
      <c r="B11152" s="985" t="s">
        <v>343</v>
      </c>
      <c r="C11152" s="94" t="s">
        <v>1049</v>
      </c>
      <c r="D11152" s="94">
        <v>10.0</v>
      </c>
      <c r="E11152" s="94">
        <v>1013.9</v>
      </c>
      <c r="F11152" s="1003">
        <v>0.6165972222222222</v>
      </c>
      <c r="G11152" s="1004" t="s">
        <v>453</v>
      </c>
      <c r="H11152" s="987">
        <v>1.0</v>
      </c>
      <c r="I11152" s="988" t="s">
        <v>3145</v>
      </c>
      <c r="J11152" s="67">
        <f t="shared" si="628"/>
        <v>-10140</v>
      </c>
      <c r="K11152" s="1"/>
      <c r="L11152" s="70"/>
      <c r="M11152" s="79"/>
      <c r="N11152" s="1"/>
      <c r="O11152" s="1"/>
      <c r="P11152" s="1"/>
      <c r="Q11152" s="1"/>
      <c r="R11152" s="1"/>
      <c r="S11152" s="1"/>
      <c r="T11152" s="1"/>
      <c r="U11152" s="1"/>
      <c r="V11152" s="1"/>
      <c r="W11152" s="1"/>
      <c r="X11152" s="1"/>
      <c r="Y11152" s="1"/>
      <c r="Z11152" s="1"/>
      <c r="AA11152" s="1"/>
      <c r="AB11152" s="1"/>
      <c r="AC11152" s="1"/>
      <c r="AD11152" s="1"/>
      <c r="AE11152" s="1"/>
      <c r="AF11152" s="1"/>
      <c r="AG11152" s="1"/>
      <c r="AH11152" s="1"/>
    </row>
    <row r="11153" ht="12.75" hidden="1" customHeight="1" outlineLevel="1">
      <c r="A11153" s="197">
        <v>43571.0</v>
      </c>
      <c r="B11153" s="992"/>
      <c r="C11153" s="32" t="s">
        <v>947</v>
      </c>
      <c r="D11153" s="1"/>
      <c r="E11153" s="94" t="s">
        <v>948</v>
      </c>
      <c r="F11153" s="1022" t="s">
        <v>3803</v>
      </c>
      <c r="G11153" s="87"/>
      <c r="H11153" s="199"/>
      <c r="I11153" s="1023">
        <v>1.0</v>
      </c>
      <c r="K11153" s="201" t="s">
        <v>3857</v>
      </c>
      <c r="L11153" s="77"/>
      <c r="M11153" s="79"/>
      <c r="N11153" s="1"/>
      <c r="O11153" s="1"/>
      <c r="P11153" s="1"/>
      <c r="Q11153" s="1"/>
      <c r="R11153" s="1"/>
      <c r="S11153" s="1"/>
      <c r="T11153" s="1"/>
      <c r="U11153" s="1"/>
      <c r="V11153" s="1"/>
      <c r="W11153" s="1"/>
      <c r="X11153" s="1"/>
      <c r="Y11153" s="1"/>
      <c r="Z11153" s="1"/>
      <c r="AA11153" s="1"/>
      <c r="AB11153" s="1"/>
      <c r="AC11153" s="1"/>
      <c r="AD11153" s="1"/>
      <c r="AE11153" s="1"/>
      <c r="AF11153" s="1"/>
      <c r="AG11153" s="1"/>
      <c r="AH11153" s="1"/>
    </row>
    <row r="11154" ht="12.75" hidden="1" customHeight="1" outlineLevel="1">
      <c r="A11154" s="202">
        <v>43571.0</v>
      </c>
      <c r="B11154" s="992"/>
      <c r="C11154" s="32" t="s">
        <v>952</v>
      </c>
      <c r="D11154" s="1"/>
      <c r="F11154" s="231" t="s">
        <v>953</v>
      </c>
      <c r="G11154" s="1"/>
      <c r="H11154" s="68"/>
      <c r="I11154" s="1024">
        <v>0.0</v>
      </c>
      <c r="K11154" s="9" t="s">
        <v>3858</v>
      </c>
      <c r="L11154" s="77"/>
      <c r="M11154" s="79"/>
      <c r="N11154" s="1"/>
      <c r="O11154" s="1"/>
      <c r="P11154" s="1"/>
      <c r="Q11154" s="1"/>
      <c r="R11154" s="1"/>
      <c r="S11154" s="1"/>
      <c r="T11154" s="1"/>
      <c r="U11154" s="1"/>
      <c r="V11154" s="1"/>
      <c r="W11154" s="1"/>
      <c r="X11154" s="1"/>
      <c r="Y11154" s="1"/>
      <c r="Z11154" s="1"/>
      <c r="AA11154" s="1"/>
      <c r="AB11154" s="1"/>
      <c r="AC11154" s="1"/>
      <c r="AD11154" s="1"/>
      <c r="AE11154" s="1"/>
      <c r="AF11154" s="1"/>
      <c r="AG11154" s="1"/>
      <c r="AH11154" s="1"/>
    </row>
    <row r="11155" ht="12.75" hidden="1" customHeight="1" outlineLevel="1">
      <c r="A11155" s="202">
        <v>43571.0</v>
      </c>
      <c r="B11155" s="992"/>
      <c r="C11155" s="32" t="s">
        <v>955</v>
      </c>
      <c r="D11155" s="1"/>
      <c r="F11155" s="231" t="s">
        <v>3718</v>
      </c>
      <c r="G11155" s="1"/>
      <c r="H11155" s="68"/>
      <c r="I11155" s="1024">
        <v>0.0</v>
      </c>
      <c r="K11155" s="9" t="s">
        <v>3859</v>
      </c>
      <c r="L11155" s="77"/>
      <c r="M11155" s="79"/>
      <c r="N11155" s="1"/>
      <c r="O11155" s="1"/>
      <c r="P11155" s="1"/>
      <c r="Q11155" s="1"/>
      <c r="R11155" s="1"/>
      <c r="S11155" s="1"/>
      <c r="T11155" s="1"/>
      <c r="U11155" s="1"/>
      <c r="V11155" s="1"/>
      <c r="W11155" s="1"/>
      <c r="X11155" s="1"/>
      <c r="Y11155" s="1"/>
      <c r="Z11155" s="1"/>
      <c r="AA11155" s="1"/>
      <c r="AB11155" s="1"/>
      <c r="AC11155" s="1"/>
      <c r="AD11155" s="1"/>
      <c r="AE11155" s="1"/>
      <c r="AF11155" s="1"/>
      <c r="AG11155" s="1"/>
      <c r="AH11155" s="1"/>
    </row>
    <row r="11156" ht="12.75" hidden="1" customHeight="1" outlineLevel="1">
      <c r="A11156" s="202">
        <v>43571.0</v>
      </c>
      <c r="B11156" s="992"/>
      <c r="C11156" s="32" t="s">
        <v>958</v>
      </c>
      <c r="D11156" s="1"/>
      <c r="F11156" s="231" t="s">
        <v>3820</v>
      </c>
      <c r="G11156" s="1"/>
      <c r="H11156" s="68"/>
      <c r="I11156" s="1024">
        <v>1.0</v>
      </c>
      <c r="K11156" s="9" t="s">
        <v>3860</v>
      </c>
      <c r="L11156" s="77"/>
      <c r="M11156" s="79"/>
      <c r="N11156" s="1"/>
      <c r="O11156" s="1"/>
      <c r="P11156" s="1"/>
      <c r="Q11156" s="1"/>
      <c r="R11156" s="1"/>
      <c r="S11156" s="1"/>
      <c r="T11156" s="1"/>
      <c r="U11156" s="1"/>
      <c r="V11156" s="1"/>
      <c r="W11156" s="1"/>
      <c r="X11156" s="1"/>
      <c r="Y11156" s="1"/>
      <c r="Z11156" s="1"/>
      <c r="AA11156" s="1"/>
      <c r="AB11156" s="1"/>
      <c r="AC11156" s="1"/>
      <c r="AD11156" s="1"/>
      <c r="AE11156" s="1"/>
      <c r="AF11156" s="1"/>
      <c r="AG11156" s="1"/>
      <c r="AH11156" s="1"/>
    </row>
    <row r="11157" ht="12.75" hidden="1" customHeight="1" outlineLevel="1">
      <c r="A11157" s="202">
        <v>43571.0</v>
      </c>
      <c r="B11157" s="992"/>
      <c r="C11157" s="32" t="s">
        <v>961</v>
      </c>
      <c r="D11157" s="1"/>
      <c r="F11157" s="245" t="s">
        <v>3721</v>
      </c>
      <c r="G11157" s="247"/>
      <c r="H11157" s="1025"/>
      <c r="I11157" s="1026">
        <v>2.0</v>
      </c>
      <c r="K11157" s="9" t="s">
        <v>964</v>
      </c>
      <c r="L11157" s="77"/>
      <c r="M11157" s="79"/>
      <c r="N11157" s="1"/>
      <c r="O11157" s="1"/>
      <c r="P11157" s="1"/>
      <c r="Q11157" s="1"/>
      <c r="R11157" s="1"/>
      <c r="S11157" s="1"/>
      <c r="T11157" s="1"/>
      <c r="U11157" s="1"/>
      <c r="V11157" s="1"/>
      <c r="W11157" s="1"/>
      <c r="X11157" s="1"/>
      <c r="Y11157" s="1"/>
      <c r="Z11157" s="1"/>
      <c r="AA11157" s="1"/>
      <c r="AB11157" s="1"/>
      <c r="AC11157" s="1"/>
      <c r="AD11157" s="1"/>
      <c r="AE11157" s="1"/>
      <c r="AF11157" s="1"/>
      <c r="AG11157" s="1"/>
      <c r="AH11157" s="1"/>
    </row>
    <row r="11158" ht="12.75" hidden="1" customHeight="1" outlineLevel="1">
      <c r="A11158" s="122">
        <v>43572.0</v>
      </c>
      <c r="B11158" s="974" t="s">
        <v>343</v>
      </c>
      <c r="C11158" s="32" t="s">
        <v>1035</v>
      </c>
      <c r="D11158" s="9">
        <v>10.0</v>
      </c>
      <c r="E11158" s="9">
        <v>1237.79</v>
      </c>
      <c r="F11158" s="709">
        <v>0.4369675925925926</v>
      </c>
      <c r="G11158" s="195" t="s">
        <v>453</v>
      </c>
      <c r="H11158" s="710">
        <v>1.0</v>
      </c>
      <c r="I11158" s="256" t="s">
        <v>3145</v>
      </c>
      <c r="J11158" s="67">
        <f t="shared" ref="J11158:J11161" si="629">IF(B11158="SLD",D11158*E11158,-D11158*E11158)-H11158</f>
        <v>-12378.9</v>
      </c>
      <c r="K11158" s="1"/>
      <c r="L11158" s="70"/>
      <c r="M11158" s="79"/>
      <c r="N11158" s="1"/>
      <c r="O11158" s="1"/>
      <c r="P11158" s="1"/>
      <c r="Q11158" s="1"/>
      <c r="R11158" s="1"/>
      <c r="S11158" s="1"/>
      <c r="T11158" s="1"/>
      <c r="U11158" s="1"/>
      <c r="V11158" s="1"/>
      <c r="W11158" s="1"/>
      <c r="X11158" s="1"/>
      <c r="Y11158" s="1"/>
      <c r="Z11158" s="1"/>
      <c r="AA11158" s="1"/>
      <c r="AB11158" s="1"/>
      <c r="AC11158" s="1"/>
      <c r="AD11158" s="1"/>
      <c r="AE11158" s="1"/>
      <c r="AF11158" s="1"/>
      <c r="AG11158" s="1"/>
      <c r="AH11158" s="1"/>
    </row>
    <row r="11159" ht="12.75" hidden="1" customHeight="1" outlineLevel="1">
      <c r="A11159" s="202">
        <v>43577.0</v>
      </c>
      <c r="B11159" s="985" t="s">
        <v>343</v>
      </c>
      <c r="C11159" s="94" t="s">
        <v>1119</v>
      </c>
      <c r="D11159" s="94">
        <v>200.0</v>
      </c>
      <c r="E11159" s="94">
        <v>74.7098</v>
      </c>
      <c r="F11159" s="1003">
        <v>0.47480324074074076</v>
      </c>
      <c r="G11159" s="1004" t="s">
        <v>453</v>
      </c>
      <c r="H11159" s="987">
        <v>1.0</v>
      </c>
      <c r="I11159" s="988" t="s">
        <v>3145</v>
      </c>
      <c r="J11159" s="67">
        <f t="shared" si="629"/>
        <v>-14942.96</v>
      </c>
      <c r="K11159" s="1"/>
      <c r="L11159" s="70"/>
      <c r="M11159" s="79"/>
      <c r="N11159" s="1"/>
      <c r="O11159" s="1"/>
      <c r="P11159" s="1"/>
      <c r="Q11159" s="1"/>
      <c r="R11159" s="1"/>
      <c r="S11159" s="1"/>
      <c r="T11159" s="1"/>
      <c r="U11159" s="1"/>
      <c r="V11159" s="1"/>
      <c r="W11159" s="1"/>
      <c r="X11159" s="1"/>
      <c r="Y11159" s="1"/>
      <c r="Z11159" s="1"/>
      <c r="AA11159" s="1"/>
      <c r="AB11159" s="1"/>
      <c r="AC11159" s="1"/>
      <c r="AD11159" s="1"/>
      <c r="AE11159" s="1"/>
      <c r="AF11159" s="1"/>
      <c r="AG11159" s="1"/>
      <c r="AH11159" s="1"/>
    </row>
    <row r="11160" ht="12.75" hidden="1" customHeight="1" outlineLevel="1">
      <c r="A11160" s="202">
        <v>43577.0</v>
      </c>
      <c r="B11160" s="985" t="s">
        <v>343</v>
      </c>
      <c r="C11160" s="94" t="s">
        <v>3385</v>
      </c>
      <c r="D11160" s="286">
        <v>1000.0</v>
      </c>
      <c r="E11160" s="94">
        <v>18.0099</v>
      </c>
      <c r="F11160" s="1003">
        <v>0.6661226851851851</v>
      </c>
      <c r="G11160" s="1004" t="s">
        <v>453</v>
      </c>
      <c r="H11160" s="987">
        <v>5.0</v>
      </c>
      <c r="I11160" s="988" t="s">
        <v>3145</v>
      </c>
      <c r="J11160" s="67">
        <f t="shared" si="629"/>
        <v>-18014.9</v>
      </c>
      <c r="K11160" s="1"/>
      <c r="L11160" s="70"/>
      <c r="M11160" s="79"/>
      <c r="N11160" s="1"/>
      <c r="O11160" s="1"/>
      <c r="P11160" s="1"/>
      <c r="Q11160" s="1"/>
      <c r="R11160" s="1"/>
      <c r="S11160" s="1"/>
      <c r="T11160" s="1"/>
      <c r="U11160" s="1"/>
      <c r="V11160" s="1"/>
      <c r="W11160" s="1"/>
      <c r="X11160" s="1"/>
      <c r="Y11160" s="1"/>
      <c r="Z11160" s="1"/>
      <c r="AA11160" s="1"/>
      <c r="AB11160" s="1"/>
      <c r="AC11160" s="1"/>
      <c r="AD11160" s="1"/>
      <c r="AE11160" s="1"/>
      <c r="AF11160" s="1"/>
      <c r="AG11160" s="1"/>
      <c r="AH11160" s="1"/>
    </row>
    <row r="11161" ht="12.75" hidden="1" customHeight="1" outlineLevel="1">
      <c r="A11161" s="202">
        <v>43578.0</v>
      </c>
      <c r="B11161" s="985" t="s">
        <v>347</v>
      </c>
      <c r="C11161" s="94" t="s">
        <v>3385</v>
      </c>
      <c r="D11161" s="286">
        <v>3300.0</v>
      </c>
      <c r="E11161" s="94">
        <v>17.37</v>
      </c>
      <c r="F11161" s="1003">
        <v>0.6387152777777778</v>
      </c>
      <c r="G11161" s="1004" t="s">
        <v>453</v>
      </c>
      <c r="H11161" s="987">
        <v>18.08</v>
      </c>
      <c r="I11161" s="988" t="s">
        <v>3145</v>
      </c>
      <c r="J11161" s="67">
        <f t="shared" si="629"/>
        <v>57302.92</v>
      </c>
      <c r="K11161" s="1030">
        <f>J11161+J11160+J11131+J11056+J10868/5</f>
        <v>-850.38</v>
      </c>
      <c r="L11161" s="70"/>
      <c r="M11161" s="79"/>
      <c r="N11161" s="1"/>
      <c r="O11161" s="1"/>
      <c r="P11161" s="1"/>
      <c r="Q11161" s="1"/>
      <c r="R11161" s="1"/>
      <c r="S11161" s="1"/>
      <c r="T11161" s="1"/>
      <c r="U11161" s="1"/>
      <c r="V11161" s="1"/>
      <c r="W11161" s="1"/>
      <c r="X11161" s="1"/>
      <c r="Y11161" s="1"/>
      <c r="Z11161" s="1"/>
      <c r="AA11161" s="1"/>
      <c r="AB11161" s="1"/>
      <c r="AC11161" s="1"/>
      <c r="AD11161" s="1"/>
      <c r="AE11161" s="1"/>
      <c r="AF11161" s="1"/>
      <c r="AG11161" s="1"/>
      <c r="AH11161" s="1"/>
    </row>
    <row r="11162" ht="12.75" hidden="1" customHeight="1" outlineLevel="1">
      <c r="A11162" s="197">
        <v>43578.0</v>
      </c>
      <c r="B11162" s="992"/>
      <c r="C11162" s="32" t="s">
        <v>947</v>
      </c>
      <c r="D11162" s="1"/>
      <c r="E11162" s="94" t="s">
        <v>948</v>
      </c>
      <c r="F11162" s="1022" t="s">
        <v>3803</v>
      </c>
      <c r="G11162" s="87"/>
      <c r="H11162" s="199"/>
      <c r="I11162" s="1023">
        <v>1.0</v>
      </c>
      <c r="K11162" s="201" t="s">
        <v>3861</v>
      </c>
      <c r="L11162" s="77"/>
      <c r="M11162" s="79"/>
      <c r="N11162" s="1"/>
      <c r="O11162" s="1"/>
      <c r="P11162" s="1"/>
      <c r="Q11162" s="1"/>
      <c r="R11162" s="1"/>
      <c r="S11162" s="1"/>
      <c r="T11162" s="1"/>
      <c r="U11162" s="1"/>
      <c r="V11162" s="1"/>
      <c r="W11162" s="1"/>
      <c r="X11162" s="1"/>
      <c r="Y11162" s="1"/>
      <c r="Z11162" s="1"/>
      <c r="AA11162" s="1"/>
      <c r="AB11162" s="1"/>
      <c r="AC11162" s="1"/>
      <c r="AD11162" s="1"/>
      <c r="AE11162" s="1"/>
      <c r="AF11162" s="1"/>
      <c r="AG11162" s="1"/>
      <c r="AH11162" s="1"/>
    </row>
    <row r="11163" ht="12.75" hidden="1" customHeight="1" outlineLevel="1">
      <c r="A11163" s="202">
        <v>43578.0</v>
      </c>
      <c r="B11163" s="992"/>
      <c r="C11163" s="32" t="s">
        <v>952</v>
      </c>
      <c r="D11163" s="1"/>
      <c r="F11163" s="231" t="s">
        <v>953</v>
      </c>
      <c r="G11163" s="1"/>
      <c r="H11163" s="68"/>
      <c r="I11163" s="1024">
        <v>0.0</v>
      </c>
      <c r="K11163" s="9" t="s">
        <v>3862</v>
      </c>
      <c r="L11163" s="77"/>
      <c r="M11163" s="79"/>
      <c r="N11163" s="1"/>
      <c r="O11163" s="1"/>
      <c r="P11163" s="1"/>
      <c r="Q11163" s="1"/>
      <c r="R11163" s="1"/>
      <c r="S11163" s="1"/>
      <c r="T11163" s="1"/>
      <c r="U11163" s="1"/>
      <c r="V11163" s="1"/>
      <c r="W11163" s="1"/>
      <c r="X11163" s="1"/>
      <c r="Y11163" s="1"/>
      <c r="Z11163" s="1"/>
      <c r="AA11163" s="1"/>
      <c r="AB11163" s="1"/>
      <c r="AC11163" s="1"/>
      <c r="AD11163" s="1"/>
      <c r="AE11163" s="1"/>
      <c r="AF11163" s="1"/>
      <c r="AG11163" s="1"/>
      <c r="AH11163" s="1"/>
    </row>
    <row r="11164" ht="12.75" hidden="1" customHeight="1" outlineLevel="1">
      <c r="A11164" s="202">
        <v>43578.0</v>
      </c>
      <c r="B11164" s="992"/>
      <c r="C11164" s="32" t="s">
        <v>955</v>
      </c>
      <c r="D11164" s="1"/>
      <c r="F11164" s="231" t="s">
        <v>3718</v>
      </c>
      <c r="G11164" s="1"/>
      <c r="H11164" s="68"/>
      <c r="I11164" s="1024">
        <v>0.0</v>
      </c>
      <c r="K11164" s="9" t="s">
        <v>3863</v>
      </c>
      <c r="L11164" s="77"/>
      <c r="M11164" s="79"/>
      <c r="N11164" s="1"/>
      <c r="O11164" s="1"/>
      <c r="P11164" s="1"/>
      <c r="Q11164" s="1"/>
      <c r="R11164" s="1"/>
      <c r="S11164" s="1"/>
      <c r="T11164" s="1"/>
      <c r="U11164" s="1"/>
      <c r="V11164" s="1"/>
      <c r="W11164" s="1"/>
      <c r="X11164" s="1"/>
      <c r="Y11164" s="1"/>
      <c r="Z11164" s="1"/>
      <c r="AA11164" s="1"/>
      <c r="AB11164" s="1"/>
      <c r="AC11164" s="1"/>
      <c r="AD11164" s="1"/>
      <c r="AE11164" s="1"/>
      <c r="AF11164" s="1"/>
      <c r="AG11164" s="1"/>
      <c r="AH11164" s="1"/>
    </row>
    <row r="11165" ht="12.75" hidden="1" customHeight="1" outlineLevel="1">
      <c r="A11165" s="202">
        <v>43578.0</v>
      </c>
      <c r="B11165" s="992"/>
      <c r="C11165" s="32" t="s">
        <v>958</v>
      </c>
      <c r="D11165" s="1"/>
      <c r="F11165" s="231" t="s">
        <v>3820</v>
      </c>
      <c r="G11165" s="1"/>
      <c r="H11165" s="68"/>
      <c r="I11165" s="1024">
        <v>1.0</v>
      </c>
      <c r="K11165" s="9" t="s">
        <v>3864</v>
      </c>
      <c r="L11165" s="77"/>
      <c r="M11165" s="79"/>
      <c r="N11165" s="1"/>
      <c r="O11165" s="1"/>
      <c r="P11165" s="1"/>
      <c r="Q11165" s="1"/>
      <c r="R11165" s="1"/>
      <c r="S11165" s="1"/>
      <c r="T11165" s="1"/>
      <c r="U11165" s="1"/>
      <c r="V11165" s="1"/>
      <c r="W11165" s="1"/>
      <c r="X11165" s="1"/>
      <c r="Y11165" s="1"/>
      <c r="Z11165" s="1"/>
      <c r="AA11165" s="1"/>
      <c r="AB11165" s="1"/>
      <c r="AC11165" s="1"/>
      <c r="AD11165" s="1"/>
      <c r="AE11165" s="1"/>
      <c r="AF11165" s="1"/>
      <c r="AG11165" s="1"/>
      <c r="AH11165" s="1"/>
    </row>
    <row r="11166" ht="12.75" hidden="1" customHeight="1" outlineLevel="1">
      <c r="A11166" s="202">
        <v>43578.0</v>
      </c>
      <c r="B11166" s="992"/>
      <c r="C11166" s="32" t="s">
        <v>961</v>
      </c>
      <c r="D11166" s="1"/>
      <c r="F11166" s="245" t="s">
        <v>3721</v>
      </c>
      <c r="G11166" s="247"/>
      <c r="H11166" s="1025"/>
      <c r="I11166" s="1026">
        <v>2.0</v>
      </c>
      <c r="K11166" s="9" t="s">
        <v>964</v>
      </c>
      <c r="L11166" s="77"/>
      <c r="M11166" s="79"/>
      <c r="N11166" s="1"/>
      <c r="O11166" s="1"/>
      <c r="P11166" s="1"/>
      <c r="Q11166" s="1"/>
      <c r="R11166" s="1"/>
      <c r="S11166" s="1"/>
      <c r="T11166" s="1"/>
      <c r="U11166" s="1"/>
      <c r="V11166" s="1"/>
      <c r="W11166" s="1"/>
      <c r="X11166" s="1"/>
      <c r="Y11166" s="1"/>
      <c r="Z11166" s="1"/>
      <c r="AA11166" s="1"/>
      <c r="AB11166" s="1"/>
      <c r="AC11166" s="1"/>
      <c r="AD11166" s="1"/>
      <c r="AE11166" s="1"/>
      <c r="AF11166" s="1"/>
      <c r="AG11166" s="1"/>
      <c r="AH11166" s="1"/>
    </row>
    <row r="11167" ht="12.75" hidden="1" customHeight="1" outlineLevel="1">
      <c r="A11167" s="122">
        <v>43579.0</v>
      </c>
      <c r="B11167" s="974" t="s">
        <v>343</v>
      </c>
      <c r="C11167" s="32" t="s">
        <v>1167</v>
      </c>
      <c r="D11167" s="9">
        <v>100.0</v>
      </c>
      <c r="E11167" s="9">
        <v>123.3773</v>
      </c>
      <c r="F11167" s="709">
        <v>0.49483796296296295</v>
      </c>
      <c r="G11167" s="195" t="s">
        <v>453</v>
      </c>
      <c r="H11167" s="710">
        <v>1.0</v>
      </c>
      <c r="I11167" s="256" t="s">
        <v>3145</v>
      </c>
      <c r="J11167" s="67">
        <f t="shared" ref="J11167:J11177" si="630">IF(B11167="SLD",D11167*E11167,-D11167*E11167)-H11167</f>
        <v>-12338.73</v>
      </c>
      <c r="K11167" s="1"/>
      <c r="L11167" s="70"/>
      <c r="M11167" s="79"/>
      <c r="N11167" s="1"/>
      <c r="O11167" s="1"/>
      <c r="P11167" s="1"/>
      <c r="Q11167" s="1"/>
      <c r="R11167" s="1"/>
      <c r="S11167" s="1"/>
      <c r="T11167" s="1"/>
      <c r="U11167" s="1"/>
      <c r="V11167" s="1"/>
      <c r="W11167" s="1"/>
      <c r="X11167" s="1"/>
      <c r="Y11167" s="1"/>
      <c r="Z11167" s="1"/>
      <c r="AA11167" s="1"/>
      <c r="AB11167" s="1"/>
      <c r="AC11167" s="1"/>
      <c r="AD11167" s="1"/>
      <c r="AE11167" s="1"/>
      <c r="AF11167" s="1"/>
      <c r="AG11167" s="1"/>
      <c r="AH11167" s="1"/>
    </row>
    <row r="11168" ht="12.75" hidden="1" customHeight="1" outlineLevel="1">
      <c r="A11168" s="122">
        <v>43579.0</v>
      </c>
      <c r="B11168" s="974" t="s">
        <v>347</v>
      </c>
      <c r="C11168" s="32" t="s">
        <v>381</v>
      </c>
      <c r="D11168" s="9">
        <v>100.0</v>
      </c>
      <c r="E11168" s="9">
        <v>182.37</v>
      </c>
      <c r="F11168" s="709">
        <v>0.6101388888888889</v>
      </c>
      <c r="G11168" s="195" t="s">
        <v>453</v>
      </c>
      <c r="H11168" s="710">
        <v>1.39</v>
      </c>
      <c r="I11168" s="256" t="s">
        <v>3145</v>
      </c>
      <c r="J11168" s="67">
        <f t="shared" si="630"/>
        <v>18235.61</v>
      </c>
      <c r="K11168" s="1"/>
      <c r="L11168" s="70"/>
      <c r="M11168" s="79"/>
      <c r="N11168" s="1"/>
      <c r="O11168" s="1"/>
      <c r="P11168" s="1"/>
      <c r="Q11168" s="1"/>
      <c r="R11168" s="1"/>
      <c r="S11168" s="1"/>
      <c r="T11168" s="1"/>
      <c r="U11168" s="1"/>
      <c r="V11168" s="1"/>
      <c r="W11168" s="1"/>
      <c r="X11168" s="1"/>
      <c r="Y11168" s="1"/>
      <c r="Z11168" s="1"/>
      <c r="AA11168" s="1"/>
      <c r="AB11168" s="1"/>
      <c r="AC11168" s="1"/>
      <c r="AD11168" s="1"/>
      <c r="AE11168" s="1"/>
      <c r="AF11168" s="1"/>
      <c r="AG11168" s="1"/>
      <c r="AH11168" s="1"/>
    </row>
    <row r="11169" ht="12.75" hidden="1" customHeight="1" outlineLevel="1">
      <c r="A11169" s="122">
        <v>43579.0</v>
      </c>
      <c r="B11169" s="974" t="s">
        <v>347</v>
      </c>
      <c r="C11169" s="32" t="s">
        <v>1074</v>
      </c>
      <c r="D11169" s="9">
        <v>100.0</v>
      </c>
      <c r="E11169" s="9">
        <v>207.38</v>
      </c>
      <c r="F11169" s="709">
        <v>0.6108101851851852</v>
      </c>
      <c r="G11169" s="195" t="s">
        <v>453</v>
      </c>
      <c r="H11169" s="710">
        <v>1.44</v>
      </c>
      <c r="I11169" s="256" t="s">
        <v>3145</v>
      </c>
      <c r="J11169" s="67">
        <f t="shared" si="630"/>
        <v>20736.56</v>
      </c>
      <c r="K11169" s="1"/>
      <c r="L11169" s="70"/>
      <c r="M11169" s="79"/>
      <c r="N11169" s="1"/>
      <c r="O11169" s="1"/>
      <c r="P11169" s="1"/>
      <c r="Q11169" s="1"/>
      <c r="R11169" s="1"/>
      <c r="S11169" s="1"/>
      <c r="T11169" s="1"/>
      <c r="U11169" s="1"/>
      <c r="V11169" s="1"/>
      <c r="W11169" s="1"/>
      <c r="X11169" s="1"/>
      <c r="Y11169" s="1"/>
      <c r="Z11169" s="1"/>
      <c r="AA11169" s="1"/>
      <c r="AB11169" s="1"/>
      <c r="AC11169" s="1"/>
      <c r="AD11169" s="1"/>
      <c r="AE11169" s="1"/>
      <c r="AF11169" s="1"/>
      <c r="AG11169" s="1"/>
      <c r="AH11169" s="1"/>
    </row>
    <row r="11170" ht="12.75" hidden="1" customHeight="1" outlineLevel="1">
      <c r="A11170" s="122">
        <v>43579.0</v>
      </c>
      <c r="B11170" s="974" t="s">
        <v>347</v>
      </c>
      <c r="C11170" s="32" t="s">
        <v>1035</v>
      </c>
      <c r="D11170" s="9">
        <v>15.0</v>
      </c>
      <c r="E11170" s="9">
        <v>1262.84</v>
      </c>
      <c r="F11170" s="709">
        <v>0.6112268518518519</v>
      </c>
      <c r="G11170" s="195" t="s">
        <v>453</v>
      </c>
      <c r="H11170" s="710">
        <v>1.39</v>
      </c>
      <c r="I11170" s="256" t="s">
        <v>3145</v>
      </c>
      <c r="J11170" s="67">
        <f t="shared" si="630"/>
        <v>18941.21</v>
      </c>
      <c r="K11170" s="1"/>
      <c r="L11170" s="70"/>
      <c r="M11170" s="79"/>
      <c r="N11170" s="1"/>
      <c r="O11170" s="1"/>
      <c r="P11170" s="1"/>
      <c r="Q11170" s="1"/>
      <c r="R11170" s="1"/>
      <c r="S11170" s="1"/>
      <c r="T11170" s="1"/>
      <c r="U11170" s="1"/>
      <c r="V11170" s="1"/>
      <c r="W11170" s="1"/>
      <c r="X11170" s="1"/>
      <c r="Y11170" s="1"/>
      <c r="Z11170" s="1"/>
      <c r="AA11170" s="1"/>
      <c r="AB11170" s="1"/>
      <c r="AC11170" s="1"/>
      <c r="AD11170" s="1"/>
      <c r="AE11170" s="1"/>
      <c r="AF11170" s="1"/>
      <c r="AG11170" s="1"/>
      <c r="AH11170" s="1"/>
    </row>
    <row r="11171" ht="12.75" hidden="1" customHeight="1" outlineLevel="1">
      <c r="A11171" s="122">
        <v>43579.0</v>
      </c>
      <c r="B11171" s="974" t="s">
        <v>347</v>
      </c>
      <c r="C11171" s="32" t="s">
        <v>1040</v>
      </c>
      <c r="D11171" s="9">
        <v>150.0</v>
      </c>
      <c r="E11171" s="9">
        <v>125.08</v>
      </c>
      <c r="F11171" s="709">
        <v>0.6116435185185185</v>
      </c>
      <c r="G11171" s="195" t="s">
        <v>453</v>
      </c>
      <c r="H11171" s="710">
        <v>1.41</v>
      </c>
      <c r="I11171" s="256" t="s">
        <v>3145</v>
      </c>
      <c r="J11171" s="67">
        <f t="shared" si="630"/>
        <v>18760.59</v>
      </c>
      <c r="K11171" s="1"/>
      <c r="L11171" s="70"/>
      <c r="M11171" s="79"/>
      <c r="N11171" s="1"/>
      <c r="O11171" s="1"/>
      <c r="P11171" s="1"/>
      <c r="Q11171" s="1"/>
      <c r="R11171" s="1"/>
      <c r="S11171" s="1"/>
      <c r="T11171" s="1"/>
      <c r="U11171" s="1"/>
      <c r="V11171" s="1"/>
      <c r="W11171" s="1"/>
      <c r="X11171" s="1"/>
      <c r="Y11171" s="1"/>
      <c r="Z11171" s="1"/>
      <c r="AA11171" s="1"/>
      <c r="AB11171" s="1"/>
      <c r="AC11171" s="1"/>
      <c r="AD11171" s="1"/>
      <c r="AE11171" s="1"/>
      <c r="AF11171" s="1"/>
      <c r="AG11171" s="1"/>
      <c r="AH11171" s="1"/>
    </row>
    <row r="11172" ht="12.75" hidden="1" customHeight="1" outlineLevel="1">
      <c r="A11172" s="122">
        <v>43579.0</v>
      </c>
      <c r="B11172" s="974" t="s">
        <v>347</v>
      </c>
      <c r="C11172" s="32" t="s">
        <v>1053</v>
      </c>
      <c r="D11172" s="9">
        <v>10.0</v>
      </c>
      <c r="E11172" s="9">
        <v>1905.6725</v>
      </c>
      <c r="F11172" s="709">
        <v>0.6123032407407407</v>
      </c>
      <c r="G11172" s="195" t="s">
        <v>453</v>
      </c>
      <c r="H11172" s="710">
        <v>1.4</v>
      </c>
      <c r="I11172" s="256" t="s">
        <v>3145</v>
      </c>
      <c r="J11172" s="67">
        <f t="shared" si="630"/>
        <v>19055.325</v>
      </c>
      <c r="K11172" s="1"/>
      <c r="L11172" s="70"/>
      <c r="M11172" s="79"/>
      <c r="N11172" s="1"/>
      <c r="O11172" s="1"/>
      <c r="P11172" s="1"/>
      <c r="Q11172" s="1"/>
      <c r="R11172" s="1"/>
      <c r="S11172" s="1"/>
      <c r="T11172" s="1"/>
      <c r="U11172" s="1"/>
      <c r="V11172" s="1"/>
      <c r="W11172" s="1"/>
      <c r="X11172" s="1"/>
      <c r="Y11172" s="1"/>
      <c r="Z11172" s="1"/>
      <c r="AA11172" s="1"/>
      <c r="AB11172" s="1"/>
      <c r="AC11172" s="1"/>
      <c r="AD11172" s="1"/>
      <c r="AE11172" s="1"/>
      <c r="AF11172" s="1"/>
      <c r="AG11172" s="1"/>
      <c r="AH11172" s="1"/>
    </row>
    <row r="11173" ht="12.75" hidden="1" customHeight="1" outlineLevel="1">
      <c r="A11173" s="122">
        <v>43579.0</v>
      </c>
      <c r="B11173" s="974" t="s">
        <v>347</v>
      </c>
      <c r="C11173" s="32" t="s">
        <v>1146</v>
      </c>
      <c r="D11173" s="9">
        <v>150.0</v>
      </c>
      <c r="E11173" s="9">
        <v>112.41</v>
      </c>
      <c r="F11173" s="709">
        <v>0.6127777777777778</v>
      </c>
      <c r="G11173" s="195" t="s">
        <v>453</v>
      </c>
      <c r="H11173" s="710">
        <v>1.37</v>
      </c>
      <c r="I11173" s="256" t="s">
        <v>3145</v>
      </c>
      <c r="J11173" s="67">
        <f t="shared" si="630"/>
        <v>16860.13</v>
      </c>
      <c r="K11173" s="1"/>
      <c r="L11173" s="70"/>
      <c r="M11173" s="79"/>
      <c r="N11173" s="1"/>
      <c r="O11173" s="1"/>
      <c r="P11173" s="1"/>
      <c r="Q11173" s="1"/>
      <c r="R11173" s="1"/>
      <c r="S11173" s="1"/>
      <c r="T11173" s="1"/>
      <c r="U11173" s="1"/>
      <c r="V11173" s="1"/>
      <c r="W11173" s="1"/>
      <c r="X11173" s="1"/>
      <c r="Y11173" s="1"/>
      <c r="Z11173" s="1"/>
      <c r="AA11173" s="1"/>
      <c r="AB11173" s="1"/>
      <c r="AC11173" s="1"/>
      <c r="AD11173" s="1"/>
      <c r="AE11173" s="1"/>
      <c r="AF11173" s="1"/>
      <c r="AG11173" s="1"/>
      <c r="AH11173" s="1"/>
    </row>
    <row r="11174" ht="12.75" hidden="1" customHeight="1" outlineLevel="1">
      <c r="A11174" s="122">
        <v>43579.0</v>
      </c>
      <c r="B11174" s="974" t="s">
        <v>347</v>
      </c>
      <c r="C11174" s="32" t="s">
        <v>346</v>
      </c>
      <c r="D11174" s="9">
        <v>50.0</v>
      </c>
      <c r="E11174" s="9">
        <v>207.82</v>
      </c>
      <c r="F11174" s="709">
        <v>0.6132638888888889</v>
      </c>
      <c r="G11174" s="195" t="s">
        <v>453</v>
      </c>
      <c r="H11174" s="710">
        <v>1.22</v>
      </c>
      <c r="I11174" s="256" t="s">
        <v>3145</v>
      </c>
      <c r="J11174" s="67">
        <f t="shared" si="630"/>
        <v>10389.78</v>
      </c>
      <c r="K11174" s="1"/>
      <c r="L11174" s="70"/>
      <c r="M11174" s="79"/>
      <c r="N11174" s="1"/>
      <c r="O11174" s="1"/>
      <c r="P11174" s="1"/>
      <c r="Q11174" s="1"/>
      <c r="R11174" s="1"/>
      <c r="S11174" s="1"/>
      <c r="T11174" s="1"/>
      <c r="U11174" s="1"/>
      <c r="V11174" s="1"/>
      <c r="W11174" s="1"/>
      <c r="X11174" s="1"/>
      <c r="Y11174" s="1"/>
      <c r="Z11174" s="1"/>
      <c r="AA11174" s="1"/>
      <c r="AB11174" s="1"/>
      <c r="AC11174" s="1"/>
      <c r="AD11174" s="1"/>
      <c r="AE11174" s="1"/>
      <c r="AF11174" s="1"/>
      <c r="AG11174" s="1"/>
      <c r="AH11174" s="1"/>
    </row>
    <row r="11175" ht="12.75" hidden="1" customHeight="1" outlineLevel="1">
      <c r="A11175" s="122">
        <v>43579.0</v>
      </c>
      <c r="B11175" s="974" t="s">
        <v>347</v>
      </c>
      <c r="C11175" s="32" t="s">
        <v>1088</v>
      </c>
      <c r="D11175" s="9">
        <v>5.0</v>
      </c>
      <c r="E11175" s="9">
        <v>3207.0</v>
      </c>
      <c r="F11175" s="709">
        <v>0.6140625</v>
      </c>
      <c r="G11175" s="195" t="s">
        <v>453</v>
      </c>
      <c r="H11175" s="710">
        <v>1.33</v>
      </c>
      <c r="I11175" s="256" t="s">
        <v>3145</v>
      </c>
      <c r="J11175" s="67">
        <f t="shared" si="630"/>
        <v>16033.67</v>
      </c>
      <c r="K11175" s="1"/>
      <c r="L11175" s="70"/>
      <c r="M11175" s="79"/>
      <c r="N11175" s="1"/>
      <c r="O11175" s="1"/>
      <c r="P11175" s="1"/>
      <c r="Q11175" s="1"/>
      <c r="R11175" s="1"/>
      <c r="S11175" s="1"/>
      <c r="T11175" s="1"/>
      <c r="U11175" s="1"/>
      <c r="V11175" s="1"/>
      <c r="W11175" s="1"/>
      <c r="X11175" s="1"/>
      <c r="Y11175" s="1"/>
      <c r="Z11175" s="1"/>
      <c r="AA11175" s="1"/>
      <c r="AB11175" s="1"/>
      <c r="AC11175" s="1"/>
      <c r="AD11175" s="1"/>
      <c r="AE11175" s="1"/>
      <c r="AF11175" s="1"/>
      <c r="AG11175" s="1"/>
      <c r="AH11175" s="1"/>
    </row>
    <row r="11176" ht="12.75" hidden="1" customHeight="1" outlineLevel="1">
      <c r="A11176" s="122">
        <v>43579.0</v>
      </c>
      <c r="B11176" s="974" t="s">
        <v>347</v>
      </c>
      <c r="C11176" s="32" t="s">
        <v>1109</v>
      </c>
      <c r="D11176" s="9">
        <v>20.0</v>
      </c>
      <c r="E11176" s="9">
        <v>458.71</v>
      </c>
      <c r="F11176" s="709">
        <v>0.614837962962963</v>
      </c>
      <c r="G11176" s="195" t="s">
        <v>453</v>
      </c>
      <c r="H11176" s="710">
        <v>1.19</v>
      </c>
      <c r="I11176" s="256" t="s">
        <v>3145</v>
      </c>
      <c r="J11176" s="67">
        <f t="shared" si="630"/>
        <v>9173.01</v>
      </c>
      <c r="K11176" s="1"/>
      <c r="L11176" s="70"/>
      <c r="M11176" s="79"/>
      <c r="N11176" s="1"/>
      <c r="O11176" s="1"/>
      <c r="P11176" s="1"/>
      <c r="Q11176" s="1"/>
      <c r="R11176" s="1"/>
      <c r="S11176" s="1"/>
      <c r="T11176" s="1"/>
      <c r="U11176" s="1"/>
      <c r="V11176" s="1"/>
      <c r="W11176" s="1"/>
      <c r="X11176" s="1"/>
      <c r="Y11176" s="1"/>
      <c r="Z11176" s="1"/>
      <c r="AA11176" s="1"/>
      <c r="AB11176" s="1"/>
      <c r="AC11176" s="1"/>
      <c r="AD11176" s="1"/>
      <c r="AE11176" s="1"/>
      <c r="AF11176" s="1"/>
      <c r="AG11176" s="1"/>
      <c r="AH11176" s="1"/>
    </row>
    <row r="11177" ht="12.75" hidden="1" customHeight="1" outlineLevel="1">
      <c r="A11177" s="122">
        <v>43579.0</v>
      </c>
      <c r="B11177" s="974" t="s">
        <v>347</v>
      </c>
      <c r="C11177" s="32" t="s">
        <v>1114</v>
      </c>
      <c r="D11177" s="9">
        <v>200.0</v>
      </c>
      <c r="E11177" s="9">
        <v>49.56</v>
      </c>
      <c r="F11177" s="709">
        <v>0.6394791666666667</v>
      </c>
      <c r="G11177" s="195" t="s">
        <v>453</v>
      </c>
      <c r="H11177" s="710">
        <v>1.23</v>
      </c>
      <c r="I11177" s="256" t="s">
        <v>3145</v>
      </c>
      <c r="J11177" s="67">
        <f t="shared" si="630"/>
        <v>9910.77</v>
      </c>
      <c r="K11177" s="1"/>
      <c r="L11177" s="70"/>
      <c r="M11177" s="79"/>
      <c r="N11177" s="1"/>
      <c r="O11177" s="1"/>
      <c r="P11177" s="1"/>
      <c r="Q11177" s="1"/>
      <c r="R11177" s="1"/>
      <c r="S11177" s="1"/>
      <c r="T11177" s="1"/>
      <c r="U11177" s="1"/>
      <c r="V11177" s="1"/>
      <c r="W11177" s="1"/>
      <c r="X11177" s="1"/>
      <c r="Y11177" s="1"/>
      <c r="Z11177" s="1"/>
      <c r="AA11177" s="1"/>
      <c r="AB11177" s="1"/>
      <c r="AC11177" s="1"/>
      <c r="AD11177" s="1"/>
      <c r="AE11177" s="1"/>
      <c r="AF11177" s="1"/>
      <c r="AG11177" s="1"/>
      <c r="AH11177" s="1"/>
    </row>
    <row r="11178" ht="12.75" hidden="1" customHeight="1" outlineLevel="1">
      <c r="A11178" s="197">
        <v>43579.0</v>
      </c>
      <c r="B11178" s="992"/>
      <c r="C11178" s="32" t="s">
        <v>947</v>
      </c>
      <c r="D11178" s="1"/>
      <c r="E11178" s="94" t="s">
        <v>948</v>
      </c>
      <c r="F11178" s="1022" t="s">
        <v>3803</v>
      </c>
      <c r="G11178" s="87"/>
      <c r="H11178" s="199"/>
      <c r="I11178" s="1023">
        <v>1.0</v>
      </c>
      <c r="K11178" s="201" t="s">
        <v>3865</v>
      </c>
      <c r="L11178" s="77"/>
      <c r="M11178" s="79"/>
      <c r="N11178" s="1"/>
      <c r="O11178" s="1"/>
      <c r="P11178" s="1"/>
      <c r="Q11178" s="1"/>
      <c r="R11178" s="1"/>
      <c r="S11178" s="1"/>
      <c r="T11178" s="1"/>
      <c r="U11178" s="1"/>
      <c r="V11178" s="1"/>
      <c r="W11178" s="1"/>
      <c r="X11178" s="1"/>
      <c r="Y11178" s="1"/>
      <c r="Z11178" s="1"/>
      <c r="AA11178" s="1"/>
      <c r="AB11178" s="1"/>
      <c r="AC11178" s="1"/>
      <c r="AD11178" s="1"/>
      <c r="AE11178" s="1"/>
      <c r="AF11178" s="1"/>
      <c r="AG11178" s="1"/>
      <c r="AH11178" s="1"/>
    </row>
    <row r="11179" ht="12.75" hidden="1" customHeight="1" outlineLevel="1">
      <c r="A11179" s="202">
        <v>43579.0</v>
      </c>
      <c r="B11179" s="992"/>
      <c r="C11179" s="32" t="s">
        <v>952</v>
      </c>
      <c r="D11179" s="1"/>
      <c r="F11179" s="231" t="s">
        <v>953</v>
      </c>
      <c r="G11179" s="1"/>
      <c r="H11179" s="68"/>
      <c r="I11179" s="1024">
        <v>0.0</v>
      </c>
      <c r="K11179" s="9" t="s">
        <v>3866</v>
      </c>
      <c r="L11179" s="77"/>
      <c r="M11179" s="79"/>
      <c r="N11179" s="1"/>
      <c r="O11179" s="1"/>
      <c r="P11179" s="1"/>
      <c r="Q11179" s="1"/>
      <c r="R11179" s="1"/>
      <c r="S11179" s="1"/>
      <c r="T11179" s="1"/>
      <c r="U11179" s="1"/>
      <c r="V11179" s="1"/>
      <c r="W11179" s="1"/>
      <c r="X11179" s="1"/>
      <c r="Y11179" s="1"/>
      <c r="Z11179" s="1"/>
      <c r="AA11179" s="1"/>
      <c r="AB11179" s="1"/>
      <c r="AC11179" s="1"/>
      <c r="AD11179" s="1"/>
      <c r="AE11179" s="1"/>
      <c r="AF11179" s="1"/>
      <c r="AG11179" s="1"/>
      <c r="AH11179" s="1"/>
    </row>
    <row r="11180" ht="12.75" hidden="1" customHeight="1" outlineLevel="1">
      <c r="A11180" s="202">
        <v>43579.0</v>
      </c>
      <c r="B11180" s="992"/>
      <c r="C11180" s="32" t="s">
        <v>955</v>
      </c>
      <c r="D11180" s="1"/>
      <c r="F11180" s="231" t="s">
        <v>3718</v>
      </c>
      <c r="G11180" s="1"/>
      <c r="H11180" s="68"/>
      <c r="I11180" s="1024">
        <v>0.0</v>
      </c>
      <c r="K11180" s="9" t="s">
        <v>3867</v>
      </c>
      <c r="L11180" s="77"/>
      <c r="M11180" s="79"/>
      <c r="N11180" s="1"/>
      <c r="O11180" s="1"/>
      <c r="P11180" s="1"/>
      <c r="Q11180" s="1"/>
      <c r="R11180" s="1"/>
      <c r="S11180" s="1"/>
      <c r="T11180" s="1"/>
      <c r="U11180" s="1"/>
      <c r="V11180" s="1"/>
      <c r="W11180" s="1"/>
      <c r="X11180" s="1"/>
      <c r="Y11180" s="1"/>
      <c r="Z11180" s="1"/>
      <c r="AA11180" s="1"/>
      <c r="AB11180" s="1"/>
      <c r="AC11180" s="1"/>
      <c r="AD11180" s="1"/>
      <c r="AE11180" s="1"/>
      <c r="AF11180" s="1"/>
      <c r="AG11180" s="1"/>
      <c r="AH11180" s="1"/>
    </row>
    <row r="11181" ht="12.75" hidden="1" customHeight="1" outlineLevel="1">
      <c r="A11181" s="202">
        <v>43579.0</v>
      </c>
      <c r="B11181" s="992"/>
      <c r="C11181" s="32" t="s">
        <v>958</v>
      </c>
      <c r="D11181" s="1"/>
      <c r="F11181" s="231" t="s">
        <v>3820</v>
      </c>
      <c r="G11181" s="1"/>
      <c r="H11181" s="68"/>
      <c r="I11181" s="1024">
        <v>1.0</v>
      </c>
      <c r="K11181" s="9" t="s">
        <v>3864</v>
      </c>
      <c r="L11181" s="77"/>
      <c r="M11181" s="79"/>
      <c r="N11181" s="1"/>
      <c r="O11181" s="1"/>
      <c r="P11181" s="1"/>
      <c r="Q11181" s="1"/>
      <c r="R11181" s="1"/>
      <c r="S11181" s="1"/>
      <c r="T11181" s="1"/>
      <c r="U11181" s="1"/>
      <c r="V11181" s="1"/>
      <c r="W11181" s="1"/>
      <c r="X11181" s="1"/>
      <c r="Y11181" s="1"/>
      <c r="Z11181" s="1"/>
      <c r="AA11181" s="1"/>
      <c r="AB11181" s="1"/>
      <c r="AC11181" s="1"/>
      <c r="AD11181" s="1"/>
      <c r="AE11181" s="1"/>
      <c r="AF11181" s="1"/>
      <c r="AG11181" s="1"/>
      <c r="AH11181" s="1"/>
    </row>
    <row r="11182" ht="12.75" hidden="1" customHeight="1" outlineLevel="1">
      <c r="A11182" s="202">
        <v>43579.0</v>
      </c>
      <c r="B11182" s="992"/>
      <c r="C11182" s="32" t="s">
        <v>961</v>
      </c>
      <c r="D11182" s="1"/>
      <c r="F11182" s="245" t="s">
        <v>3721</v>
      </c>
      <c r="G11182" s="247"/>
      <c r="H11182" s="1025"/>
      <c r="I11182" s="1026">
        <v>2.0</v>
      </c>
      <c r="K11182" s="9" t="s">
        <v>964</v>
      </c>
      <c r="L11182" s="77"/>
      <c r="M11182" s="79"/>
      <c r="N11182" s="1"/>
      <c r="O11182" s="1"/>
      <c r="P11182" s="1"/>
      <c r="Q11182" s="1"/>
      <c r="R11182" s="1"/>
      <c r="S11182" s="1"/>
      <c r="T11182" s="1"/>
      <c r="U11182" s="1"/>
      <c r="V11182" s="1"/>
      <c r="W11182" s="1"/>
      <c r="X11182" s="1"/>
      <c r="Y11182" s="1"/>
      <c r="Z11182" s="1"/>
      <c r="AA11182" s="1"/>
      <c r="AB11182" s="1"/>
      <c r="AC11182" s="1"/>
      <c r="AD11182" s="1"/>
      <c r="AE11182" s="1"/>
      <c r="AF11182" s="1"/>
      <c r="AG11182" s="1"/>
      <c r="AH11182" s="1"/>
    </row>
    <row r="11183" ht="12.75" hidden="1" customHeight="1" outlineLevel="1">
      <c r="A11183" s="122">
        <v>43580.0</v>
      </c>
      <c r="B11183" s="974" t="s">
        <v>343</v>
      </c>
      <c r="C11183" s="32" t="s">
        <v>1143</v>
      </c>
      <c r="D11183" s="9">
        <v>100.0</v>
      </c>
      <c r="E11183" s="9">
        <v>136.09</v>
      </c>
      <c r="F11183" s="709">
        <v>0.475462962962963</v>
      </c>
      <c r="G11183" s="195" t="s">
        <v>453</v>
      </c>
      <c r="H11183" s="710">
        <v>1.0</v>
      </c>
      <c r="I11183" s="256" t="s">
        <v>3145</v>
      </c>
      <c r="J11183" s="67">
        <f>IF(B11183="SLD",D11183*E11183,-D11183*E11183)-H11183</f>
        <v>-13610</v>
      </c>
      <c r="K11183" s="1"/>
      <c r="L11183" s="70"/>
      <c r="M11183" s="79"/>
      <c r="N11183" s="1"/>
      <c r="O11183" s="1"/>
      <c r="P11183" s="1"/>
      <c r="Q11183" s="1"/>
      <c r="R11183" s="1"/>
      <c r="S11183" s="1"/>
      <c r="T11183" s="1"/>
      <c r="U11183" s="1"/>
      <c r="V11183" s="1"/>
      <c r="W11183" s="1"/>
      <c r="X11183" s="1"/>
      <c r="Y11183" s="1"/>
      <c r="Z11183" s="1"/>
      <c r="AA11183" s="1"/>
      <c r="AB11183" s="1"/>
      <c r="AC11183" s="1"/>
      <c r="AD11183" s="1"/>
      <c r="AE11183" s="1"/>
      <c r="AF11183" s="1"/>
      <c r="AG11183" s="1"/>
      <c r="AH11183" s="1"/>
    </row>
    <row r="11184" ht="12.75" hidden="1" customHeight="1" outlineLevel="1">
      <c r="A11184" s="197">
        <v>43581.0</v>
      </c>
      <c r="B11184" s="992"/>
      <c r="C11184" s="32" t="s">
        <v>947</v>
      </c>
      <c r="D11184" s="1"/>
      <c r="E11184" s="94" t="s">
        <v>948</v>
      </c>
      <c r="F11184" s="1022" t="s">
        <v>3803</v>
      </c>
      <c r="G11184" s="87"/>
      <c r="H11184" s="199"/>
      <c r="I11184" s="1023">
        <v>1.0</v>
      </c>
      <c r="K11184" s="201" t="s">
        <v>3868</v>
      </c>
      <c r="L11184" s="77"/>
      <c r="M11184" s="79"/>
      <c r="N11184" s="1"/>
      <c r="O11184" s="1"/>
      <c r="P11184" s="1"/>
      <c r="Q11184" s="1"/>
      <c r="R11184" s="1"/>
      <c r="S11184" s="1"/>
      <c r="T11184" s="1"/>
      <c r="U11184" s="1"/>
      <c r="V11184" s="1"/>
      <c r="W11184" s="1"/>
      <c r="X11184" s="1"/>
      <c r="Y11184" s="1"/>
      <c r="Z11184" s="1"/>
      <c r="AA11184" s="1"/>
      <c r="AB11184" s="1"/>
      <c r="AC11184" s="1"/>
      <c r="AD11184" s="1"/>
      <c r="AE11184" s="1"/>
      <c r="AF11184" s="1"/>
      <c r="AG11184" s="1"/>
      <c r="AH11184" s="1"/>
    </row>
    <row r="11185" ht="12.75" hidden="1" customHeight="1" outlineLevel="1">
      <c r="A11185" s="202">
        <v>43581.0</v>
      </c>
      <c r="B11185" s="992"/>
      <c r="C11185" s="32" t="s">
        <v>952</v>
      </c>
      <c r="D11185" s="1"/>
      <c r="F11185" s="231" t="s">
        <v>953</v>
      </c>
      <c r="G11185" s="1"/>
      <c r="H11185" s="68"/>
      <c r="I11185" s="1024">
        <v>0.0</v>
      </c>
      <c r="K11185" s="9" t="s">
        <v>3869</v>
      </c>
      <c r="L11185" s="77"/>
      <c r="M11185" s="79"/>
      <c r="N11185" s="1"/>
      <c r="O11185" s="1"/>
      <c r="P11185" s="1"/>
      <c r="Q11185" s="1"/>
      <c r="R11185" s="1"/>
      <c r="S11185" s="1"/>
      <c r="T11185" s="1"/>
      <c r="U11185" s="1"/>
      <c r="V11185" s="1"/>
      <c r="W11185" s="1"/>
      <c r="X11185" s="1"/>
      <c r="Y11185" s="1"/>
      <c r="Z11185" s="1"/>
      <c r="AA11185" s="1"/>
      <c r="AB11185" s="1"/>
      <c r="AC11185" s="1"/>
      <c r="AD11185" s="1"/>
      <c r="AE11185" s="1"/>
      <c r="AF11185" s="1"/>
      <c r="AG11185" s="1"/>
      <c r="AH11185" s="1"/>
    </row>
    <row r="11186" ht="12.75" hidden="1" customHeight="1" outlineLevel="1">
      <c r="A11186" s="202">
        <v>43581.0</v>
      </c>
      <c r="B11186" s="992"/>
      <c r="C11186" s="32" t="s">
        <v>955</v>
      </c>
      <c r="D11186" s="1"/>
      <c r="F11186" s="231" t="s">
        <v>3718</v>
      </c>
      <c r="G11186" s="1"/>
      <c r="H11186" s="68"/>
      <c r="I11186" s="1024">
        <v>0.0</v>
      </c>
      <c r="K11186" s="9" t="s">
        <v>3870</v>
      </c>
      <c r="L11186" s="77"/>
      <c r="M11186" s="79"/>
      <c r="N11186" s="1"/>
      <c r="O11186" s="1"/>
      <c r="P11186" s="1"/>
      <c r="Q11186" s="1"/>
      <c r="R11186" s="1"/>
      <c r="S11186" s="1"/>
      <c r="T11186" s="1"/>
      <c r="U11186" s="1"/>
      <c r="V11186" s="1"/>
      <c r="W11186" s="1"/>
      <c r="X11186" s="1"/>
      <c r="Y11186" s="1"/>
      <c r="Z11186" s="1"/>
      <c r="AA11186" s="1"/>
      <c r="AB11186" s="1"/>
      <c r="AC11186" s="1"/>
      <c r="AD11186" s="1"/>
      <c r="AE11186" s="1"/>
      <c r="AF11186" s="1"/>
      <c r="AG11186" s="1"/>
      <c r="AH11186" s="1"/>
    </row>
    <row r="11187" ht="12.75" hidden="1" customHeight="1" outlineLevel="1">
      <c r="A11187" s="202">
        <v>43581.0</v>
      </c>
      <c r="B11187" s="992"/>
      <c r="C11187" s="32" t="s">
        <v>958</v>
      </c>
      <c r="D11187" s="1"/>
      <c r="F11187" s="231" t="s">
        <v>3820</v>
      </c>
      <c r="G11187" s="1"/>
      <c r="H11187" s="68"/>
      <c r="I11187" s="1024">
        <v>1.0</v>
      </c>
      <c r="K11187" s="9" t="s">
        <v>3871</v>
      </c>
      <c r="L11187" s="77"/>
      <c r="M11187" s="79"/>
      <c r="N11187" s="1"/>
      <c r="O11187" s="1"/>
      <c r="P11187" s="1"/>
      <c r="Q11187" s="1"/>
      <c r="R11187" s="1"/>
      <c r="S11187" s="1"/>
      <c r="T11187" s="1"/>
      <c r="U11187" s="1"/>
      <c r="V11187" s="1"/>
      <c r="W11187" s="1"/>
      <c r="X11187" s="1"/>
      <c r="Y11187" s="1"/>
      <c r="Z11187" s="1"/>
      <c r="AA11187" s="1"/>
      <c r="AB11187" s="1"/>
      <c r="AC11187" s="1"/>
      <c r="AD11187" s="1"/>
      <c r="AE11187" s="1"/>
      <c r="AF11187" s="1"/>
      <c r="AG11187" s="1"/>
      <c r="AH11187" s="1"/>
    </row>
    <row r="11188" ht="12.75" hidden="1" customHeight="1" outlineLevel="1">
      <c r="A11188" s="202">
        <v>43581.0</v>
      </c>
      <c r="B11188" s="992"/>
      <c r="C11188" s="32" t="s">
        <v>961</v>
      </c>
      <c r="D11188" s="1"/>
      <c r="F11188" s="245" t="s">
        <v>3721</v>
      </c>
      <c r="G11188" s="247"/>
      <c r="H11188" s="1025"/>
      <c r="I11188" s="1026">
        <v>2.0</v>
      </c>
      <c r="K11188" s="9" t="s">
        <v>964</v>
      </c>
      <c r="L11188" s="77"/>
      <c r="M11188" s="79"/>
      <c r="N11188" s="1"/>
      <c r="O11188" s="1"/>
      <c r="P11188" s="1"/>
      <c r="Q11188" s="1"/>
      <c r="R11188" s="1"/>
      <c r="S11188" s="1"/>
      <c r="T11188" s="1"/>
      <c r="U11188" s="1"/>
      <c r="V11188" s="1"/>
      <c r="W11188" s="1"/>
      <c r="X11188" s="1"/>
      <c r="Y11188" s="1"/>
      <c r="Z11188" s="1"/>
      <c r="AA11188" s="1"/>
      <c r="AB11188" s="1"/>
      <c r="AC11188" s="1"/>
      <c r="AD11188" s="1"/>
      <c r="AE11188" s="1"/>
      <c r="AF11188" s="1"/>
      <c r="AG11188" s="1"/>
      <c r="AH11188" s="1"/>
    </row>
    <row r="11189" ht="12.75" hidden="1" customHeight="1" outlineLevel="1">
      <c r="A11189" s="122">
        <v>43584.0</v>
      </c>
      <c r="B11189" s="974" t="s">
        <v>347</v>
      </c>
      <c r="C11189" s="32" t="s">
        <v>2886</v>
      </c>
      <c r="D11189" s="9">
        <v>500.0</v>
      </c>
      <c r="E11189" s="9">
        <v>51.1316</v>
      </c>
      <c r="F11189" s="709">
        <v>0.5551041666666666</v>
      </c>
      <c r="G11189" s="195" t="s">
        <v>453</v>
      </c>
      <c r="H11189" s="710">
        <v>3.09</v>
      </c>
      <c r="I11189" s="256" t="s">
        <v>3145</v>
      </c>
      <c r="J11189" s="67">
        <f>IF(B11189="SLD",D11189*E11189,-D11189*E11189)-H11189</f>
        <v>25562.71</v>
      </c>
      <c r="K11189" s="1"/>
      <c r="L11189" s="70"/>
      <c r="M11189" s="79"/>
      <c r="N11189" s="1"/>
      <c r="O11189" s="1"/>
      <c r="P11189" s="1"/>
      <c r="Q11189" s="1"/>
      <c r="R11189" s="1"/>
      <c r="S11189" s="1"/>
      <c r="T11189" s="1"/>
      <c r="U11189" s="1"/>
      <c r="V11189" s="1"/>
      <c r="W11189" s="1"/>
      <c r="X11189" s="1"/>
      <c r="Y11189" s="1"/>
      <c r="Z11189" s="1"/>
      <c r="AA11189" s="1"/>
      <c r="AB11189" s="1"/>
      <c r="AC11189" s="1"/>
      <c r="AD11189" s="1"/>
      <c r="AE11189" s="1"/>
      <c r="AF11189" s="1"/>
      <c r="AG11189" s="1"/>
      <c r="AH11189" s="1"/>
    </row>
    <row r="11190" ht="12.75" hidden="1" customHeight="1" outlineLevel="1">
      <c r="A11190" s="197">
        <v>43586.0</v>
      </c>
      <c r="B11190" s="992"/>
      <c r="C11190" s="32" t="s">
        <v>947</v>
      </c>
      <c r="D11190" s="1"/>
      <c r="E11190" s="94" t="s">
        <v>948</v>
      </c>
      <c r="F11190" s="1022" t="s">
        <v>3803</v>
      </c>
      <c r="G11190" s="87"/>
      <c r="H11190" s="199"/>
      <c r="I11190" s="1023">
        <v>1.0</v>
      </c>
      <c r="K11190" s="201" t="s">
        <v>3868</v>
      </c>
      <c r="L11190" s="77"/>
      <c r="M11190" s="79"/>
      <c r="N11190" s="1"/>
      <c r="O11190" s="1"/>
      <c r="P11190" s="1"/>
      <c r="Q11190" s="1"/>
      <c r="R11190" s="1"/>
      <c r="S11190" s="1"/>
      <c r="T11190" s="1"/>
      <c r="U11190" s="1"/>
      <c r="V11190" s="1"/>
      <c r="W11190" s="1"/>
      <c r="X11190" s="1"/>
      <c r="Y11190" s="1"/>
      <c r="Z11190" s="1"/>
      <c r="AA11190" s="1"/>
      <c r="AB11190" s="1"/>
      <c r="AC11190" s="1"/>
      <c r="AD11190" s="1"/>
      <c r="AE11190" s="1"/>
      <c r="AF11190" s="1"/>
      <c r="AG11190" s="1"/>
      <c r="AH11190" s="1"/>
    </row>
    <row r="11191" ht="12.75" hidden="1" customHeight="1" outlineLevel="1">
      <c r="A11191" s="202">
        <v>43586.0</v>
      </c>
      <c r="B11191" s="992"/>
      <c r="C11191" s="32" t="s">
        <v>952</v>
      </c>
      <c r="D11191" s="1"/>
      <c r="F11191" s="231" t="s">
        <v>953</v>
      </c>
      <c r="G11191" s="1"/>
      <c r="H11191" s="68"/>
      <c r="I11191" s="1024">
        <v>0.0</v>
      </c>
      <c r="K11191" s="9" t="s">
        <v>3872</v>
      </c>
      <c r="L11191" s="77"/>
      <c r="M11191" s="79"/>
      <c r="N11191" s="1"/>
      <c r="O11191" s="1"/>
      <c r="P11191" s="1"/>
      <c r="Q11191" s="1"/>
      <c r="R11191" s="1"/>
      <c r="S11191" s="1"/>
      <c r="T11191" s="1"/>
      <c r="U11191" s="1"/>
      <c r="V11191" s="1"/>
      <c r="W11191" s="1"/>
      <c r="X11191" s="1"/>
      <c r="Y11191" s="1"/>
      <c r="Z11191" s="1"/>
      <c r="AA11191" s="1"/>
      <c r="AB11191" s="1"/>
      <c r="AC11191" s="1"/>
      <c r="AD11191" s="1"/>
      <c r="AE11191" s="1"/>
      <c r="AF11191" s="1"/>
      <c r="AG11191" s="1"/>
      <c r="AH11191" s="1"/>
    </row>
    <row r="11192" ht="12.75" hidden="1" customHeight="1" outlineLevel="1">
      <c r="A11192" s="202">
        <v>43586.0</v>
      </c>
      <c r="B11192" s="992"/>
      <c r="C11192" s="32" t="s">
        <v>955</v>
      </c>
      <c r="D11192" s="1"/>
      <c r="F11192" s="231" t="s">
        <v>3718</v>
      </c>
      <c r="G11192" s="1"/>
      <c r="H11192" s="68"/>
      <c r="I11192" s="1024">
        <v>0.0</v>
      </c>
      <c r="K11192" s="9" t="s">
        <v>3873</v>
      </c>
      <c r="L11192" s="77"/>
      <c r="M11192" s="79"/>
      <c r="N11192" s="1"/>
      <c r="O11192" s="1"/>
      <c r="P11192" s="1"/>
      <c r="Q11192" s="1"/>
      <c r="R11192" s="1"/>
      <c r="S11192" s="1"/>
      <c r="T11192" s="1"/>
      <c r="U11192" s="1"/>
      <c r="V11192" s="1"/>
      <c r="W11192" s="1"/>
      <c r="X11192" s="1"/>
      <c r="Y11192" s="1"/>
      <c r="Z11192" s="1"/>
      <c r="AA11192" s="1"/>
      <c r="AB11192" s="1"/>
      <c r="AC11192" s="1"/>
      <c r="AD11192" s="1"/>
      <c r="AE11192" s="1"/>
      <c r="AF11192" s="1"/>
      <c r="AG11192" s="1"/>
      <c r="AH11192" s="1"/>
    </row>
    <row r="11193" ht="12.75" hidden="1" customHeight="1" outlineLevel="1">
      <c r="A11193" s="202">
        <v>43586.0</v>
      </c>
      <c r="B11193" s="992"/>
      <c r="C11193" s="32" t="s">
        <v>958</v>
      </c>
      <c r="D11193" s="1"/>
      <c r="F11193" s="231" t="s">
        <v>3820</v>
      </c>
      <c r="G11193" s="1"/>
      <c r="H11193" s="68"/>
      <c r="I11193" s="1024">
        <v>0.0</v>
      </c>
      <c r="K11193" s="9" t="s">
        <v>3874</v>
      </c>
      <c r="L11193" s="77"/>
      <c r="M11193" s="79"/>
      <c r="N11193" s="1"/>
      <c r="O11193" s="1"/>
      <c r="P11193" s="1"/>
      <c r="Q11193" s="1"/>
      <c r="R11193" s="1"/>
      <c r="S11193" s="1"/>
      <c r="T11193" s="1"/>
      <c r="U11193" s="1"/>
      <c r="V11193" s="1"/>
      <c r="W11193" s="1"/>
      <c r="X11193" s="1"/>
      <c r="Y11193" s="1"/>
      <c r="Z11193" s="1"/>
      <c r="AA11193" s="1"/>
      <c r="AB11193" s="1"/>
      <c r="AC11193" s="1"/>
      <c r="AD11193" s="1"/>
      <c r="AE11193" s="1"/>
      <c r="AF11193" s="1"/>
      <c r="AG11193" s="1"/>
      <c r="AH11193" s="1"/>
    </row>
    <row r="11194" ht="12.75" hidden="1" customHeight="1" outlineLevel="1">
      <c r="A11194" s="202">
        <v>43586.0</v>
      </c>
      <c r="B11194" s="992"/>
      <c r="C11194" s="32" t="s">
        <v>961</v>
      </c>
      <c r="D11194" s="1"/>
      <c r="F11194" s="245" t="s">
        <v>3721</v>
      </c>
      <c r="G11194" s="247"/>
      <c r="H11194" s="1025"/>
      <c r="I11194" s="1026">
        <v>1.0</v>
      </c>
      <c r="K11194" s="9" t="s">
        <v>964</v>
      </c>
      <c r="L11194" s="77"/>
      <c r="M11194" s="79"/>
      <c r="N11194" s="1"/>
      <c r="O11194" s="1"/>
      <c r="P11194" s="1"/>
      <c r="Q11194" s="1"/>
      <c r="R11194" s="1"/>
      <c r="S11194" s="1"/>
      <c r="T11194" s="1"/>
      <c r="U11194" s="1"/>
      <c r="V11194" s="1"/>
      <c r="W11194" s="1"/>
      <c r="X11194" s="1"/>
      <c r="Y11194" s="1"/>
      <c r="Z11194" s="1"/>
      <c r="AA11194" s="1"/>
      <c r="AB11194" s="1"/>
      <c r="AC11194" s="1"/>
      <c r="AD11194" s="1"/>
      <c r="AE11194" s="1"/>
      <c r="AF11194" s="1"/>
      <c r="AG11194" s="1"/>
      <c r="AH11194" s="1"/>
    </row>
    <row r="11195" ht="12.75" hidden="1" customHeight="1" outlineLevel="1">
      <c r="A11195" s="122">
        <v>43586.0</v>
      </c>
      <c r="B11195" s="974" t="s">
        <v>343</v>
      </c>
      <c r="C11195" s="32" t="s">
        <v>1061</v>
      </c>
      <c r="D11195" s="9">
        <v>800.0</v>
      </c>
      <c r="E11195" s="9">
        <v>51.12</v>
      </c>
      <c r="F11195" s="709">
        <v>0.41778935185185184</v>
      </c>
      <c r="G11195" s="195" t="s">
        <v>453</v>
      </c>
      <c r="H11195" s="710">
        <v>4.0</v>
      </c>
      <c r="I11195" s="256" t="s">
        <v>3145</v>
      </c>
      <c r="J11195" s="67">
        <f t="shared" ref="J11195:J11202" si="631">IF(B11195="SLD",D11195*E11195,-D11195*E11195)-H11195</f>
        <v>-40900</v>
      </c>
      <c r="K11195" s="1"/>
      <c r="L11195" s="70"/>
      <c r="M11195" s="79"/>
      <c r="N11195" s="1"/>
      <c r="O11195" s="1"/>
      <c r="P11195" s="1"/>
      <c r="Q11195" s="1"/>
      <c r="R11195" s="1"/>
      <c r="S11195" s="1"/>
      <c r="T11195" s="1"/>
      <c r="U11195" s="1"/>
      <c r="V11195" s="1"/>
      <c r="W11195" s="1"/>
      <c r="X11195" s="1"/>
      <c r="Y11195" s="1"/>
      <c r="Z11195" s="1"/>
      <c r="AA11195" s="1"/>
      <c r="AB11195" s="1"/>
      <c r="AC11195" s="1"/>
      <c r="AD11195" s="1"/>
      <c r="AE11195" s="1"/>
      <c r="AF11195" s="1"/>
      <c r="AG11195" s="1"/>
      <c r="AH11195" s="1"/>
    </row>
    <row r="11196" ht="12.75" hidden="1" customHeight="1" outlineLevel="1">
      <c r="A11196" s="122">
        <v>43586.0</v>
      </c>
      <c r="B11196" s="974" t="s">
        <v>347</v>
      </c>
      <c r="C11196" s="32" t="s">
        <v>1537</v>
      </c>
      <c r="D11196" s="9">
        <v>300.0</v>
      </c>
      <c r="E11196" s="9">
        <v>27.435</v>
      </c>
      <c r="F11196" s="709">
        <v>0.4191666666666667</v>
      </c>
      <c r="G11196" s="195" t="s">
        <v>453</v>
      </c>
      <c r="H11196" s="710">
        <v>1.71</v>
      </c>
      <c r="I11196" s="256" t="s">
        <v>3145</v>
      </c>
      <c r="J11196" s="67">
        <f t="shared" si="631"/>
        <v>8228.79</v>
      </c>
      <c r="K11196" s="1"/>
      <c r="L11196" s="70"/>
      <c r="M11196" s="79"/>
      <c r="N11196" s="1"/>
      <c r="O11196" s="1"/>
      <c r="P11196" s="1"/>
      <c r="Q11196" s="1"/>
      <c r="R11196" s="1"/>
      <c r="S11196" s="1"/>
      <c r="T11196" s="1"/>
      <c r="U11196" s="1"/>
      <c r="V11196" s="1"/>
      <c r="W11196" s="1"/>
      <c r="X11196" s="1"/>
      <c r="Y11196" s="1"/>
      <c r="Z11196" s="1"/>
      <c r="AA11196" s="1"/>
      <c r="AB11196" s="1"/>
      <c r="AC11196" s="1"/>
      <c r="AD11196" s="1"/>
      <c r="AE11196" s="1"/>
      <c r="AF11196" s="1"/>
      <c r="AG11196" s="1"/>
      <c r="AH11196" s="1"/>
    </row>
    <row r="11197" ht="12.75" hidden="1" customHeight="1" outlineLevel="1">
      <c r="A11197" s="122">
        <v>43586.0</v>
      </c>
      <c r="B11197" s="974" t="s">
        <v>347</v>
      </c>
      <c r="C11197" s="32" t="s">
        <v>1525</v>
      </c>
      <c r="D11197" s="9">
        <v>30.0</v>
      </c>
      <c r="E11197" s="9">
        <v>236.365</v>
      </c>
      <c r="F11197" s="709">
        <v>0.41988425925925926</v>
      </c>
      <c r="G11197" s="195" t="s">
        <v>453</v>
      </c>
      <c r="H11197" s="710">
        <v>2.15</v>
      </c>
      <c r="I11197" s="256" t="s">
        <v>3145</v>
      </c>
      <c r="J11197" s="67">
        <f t="shared" si="631"/>
        <v>7088.8</v>
      </c>
      <c r="K11197" s="1"/>
      <c r="L11197" s="70"/>
      <c r="M11197" s="79"/>
      <c r="N11197" s="1"/>
      <c r="O11197" s="1"/>
      <c r="P11197" s="1"/>
      <c r="Q11197" s="1"/>
      <c r="R11197" s="1"/>
      <c r="S11197" s="1"/>
      <c r="T11197" s="1"/>
      <c r="U11197" s="1"/>
      <c r="V11197" s="1"/>
      <c r="W11197" s="1"/>
      <c r="X11197" s="1"/>
      <c r="Y11197" s="1"/>
      <c r="Z11197" s="1"/>
      <c r="AA11197" s="1"/>
      <c r="AB11197" s="1"/>
      <c r="AC11197" s="1"/>
      <c r="AD11197" s="1"/>
      <c r="AE11197" s="1"/>
      <c r="AF11197" s="1"/>
      <c r="AG11197" s="1"/>
      <c r="AH11197" s="1"/>
    </row>
    <row r="11198" ht="12.75" hidden="1" customHeight="1" outlineLevel="1">
      <c r="A11198" s="122">
        <v>43586.0</v>
      </c>
      <c r="B11198" s="974" t="s">
        <v>343</v>
      </c>
      <c r="C11198" s="32" t="s">
        <v>3385</v>
      </c>
      <c r="D11198" s="9">
        <v>700.0</v>
      </c>
      <c r="E11198" s="9">
        <v>17.378</v>
      </c>
      <c r="F11198" s="709">
        <v>0.44375</v>
      </c>
      <c r="G11198" s="195" t="s">
        <v>453</v>
      </c>
      <c r="H11198" s="710">
        <v>3.5</v>
      </c>
      <c r="I11198" s="256" t="s">
        <v>3145</v>
      </c>
      <c r="J11198" s="67">
        <f t="shared" si="631"/>
        <v>-12168.1</v>
      </c>
      <c r="K11198" s="1"/>
      <c r="L11198" s="70"/>
      <c r="M11198" s="79"/>
      <c r="N11198" s="1"/>
      <c r="O11198" s="1"/>
      <c r="P11198" s="1"/>
      <c r="Q11198" s="1"/>
      <c r="R11198" s="1"/>
      <c r="S11198" s="1"/>
      <c r="T11198" s="1"/>
      <c r="U11198" s="1"/>
      <c r="V11198" s="1"/>
      <c r="W11198" s="1"/>
      <c r="X11198" s="1"/>
      <c r="Y11198" s="1"/>
      <c r="Z11198" s="1"/>
      <c r="AA11198" s="1"/>
      <c r="AB11198" s="1"/>
      <c r="AC11198" s="1"/>
      <c r="AD11198" s="1"/>
      <c r="AE11198" s="1"/>
      <c r="AF11198" s="1"/>
      <c r="AG11198" s="1"/>
      <c r="AH11198" s="1"/>
    </row>
    <row r="11199" ht="12.75" hidden="1" customHeight="1" outlineLevel="1">
      <c r="A11199" s="122">
        <v>43586.0</v>
      </c>
      <c r="B11199" s="974" t="s">
        <v>343</v>
      </c>
      <c r="C11199" s="32" t="s">
        <v>3385</v>
      </c>
      <c r="D11199" s="708">
        <v>1100.0</v>
      </c>
      <c r="E11199" s="9">
        <v>17.39</v>
      </c>
      <c r="F11199" s="709">
        <v>0.4860300925925926</v>
      </c>
      <c r="G11199" s="195" t="s">
        <v>453</v>
      </c>
      <c r="H11199" s="710">
        <v>5.5</v>
      </c>
      <c r="I11199" s="256" t="s">
        <v>3145</v>
      </c>
      <c r="J11199" s="67">
        <f t="shared" si="631"/>
        <v>-19134.5</v>
      </c>
      <c r="K11199" s="1"/>
      <c r="L11199" s="70"/>
      <c r="M11199" s="79"/>
      <c r="N11199" s="1"/>
      <c r="O11199" s="1"/>
      <c r="P11199" s="1"/>
      <c r="Q11199" s="1"/>
      <c r="R11199" s="1"/>
      <c r="S11199" s="1"/>
      <c r="T11199" s="1"/>
      <c r="U11199" s="1"/>
      <c r="V11199" s="1"/>
      <c r="W11199" s="1"/>
      <c r="X11199" s="1"/>
      <c r="Y11199" s="1"/>
      <c r="Z11199" s="1"/>
      <c r="AA11199" s="1"/>
      <c r="AB11199" s="1"/>
      <c r="AC11199" s="1"/>
      <c r="AD11199" s="1"/>
      <c r="AE11199" s="1"/>
      <c r="AF11199" s="1"/>
      <c r="AG11199" s="1"/>
      <c r="AH11199" s="1"/>
    </row>
    <row r="11200" ht="12.75" hidden="1" customHeight="1" outlineLevel="1">
      <c r="A11200" s="122">
        <v>43587.0</v>
      </c>
      <c r="B11200" s="974" t="s">
        <v>347</v>
      </c>
      <c r="C11200" s="32" t="s">
        <v>3385</v>
      </c>
      <c r="D11200" s="708">
        <v>1800.0</v>
      </c>
      <c r="E11200" s="9">
        <v>16.992</v>
      </c>
      <c r="F11200" s="709">
        <v>0.6629282407407407</v>
      </c>
      <c r="G11200" s="195" t="s">
        <v>453</v>
      </c>
      <c r="H11200" s="710">
        <v>9.85</v>
      </c>
      <c r="I11200" s="256" t="s">
        <v>3145</v>
      </c>
      <c r="J11200" s="67">
        <f t="shared" si="631"/>
        <v>30575.75</v>
      </c>
      <c r="K11200" s="1"/>
      <c r="L11200" s="70"/>
      <c r="M11200" s="79"/>
      <c r="N11200" s="1"/>
      <c r="O11200" s="1"/>
      <c r="P11200" s="1"/>
      <c r="Q11200" s="1"/>
      <c r="R11200" s="1"/>
      <c r="S11200" s="1"/>
      <c r="T11200" s="1"/>
      <c r="U11200" s="1"/>
      <c r="V11200" s="1"/>
      <c r="W11200" s="1"/>
      <c r="X11200" s="1"/>
      <c r="Y11200" s="1"/>
      <c r="Z11200" s="1"/>
      <c r="AA11200" s="1"/>
      <c r="AB11200" s="1"/>
      <c r="AC11200" s="1"/>
      <c r="AD11200" s="1"/>
      <c r="AE11200" s="1"/>
      <c r="AF11200" s="1"/>
      <c r="AG11200" s="1"/>
      <c r="AH11200" s="1"/>
    </row>
    <row r="11201" ht="12.75" hidden="1" customHeight="1" outlineLevel="1">
      <c r="A11201" s="122">
        <v>43587.0</v>
      </c>
      <c r="B11201" s="974" t="s">
        <v>347</v>
      </c>
      <c r="C11201" s="32" t="s">
        <v>1061</v>
      </c>
      <c r="D11201" s="9">
        <v>800.0</v>
      </c>
      <c r="E11201" s="9">
        <v>51.33</v>
      </c>
      <c r="F11201" s="709">
        <v>0.6651388888888888</v>
      </c>
      <c r="G11201" s="195" t="s">
        <v>453</v>
      </c>
      <c r="H11201" s="710">
        <v>4.95</v>
      </c>
      <c r="I11201" s="256" t="s">
        <v>3145</v>
      </c>
      <c r="J11201" s="67">
        <f t="shared" si="631"/>
        <v>41059.05</v>
      </c>
      <c r="K11201" s="1"/>
      <c r="L11201" s="70"/>
      <c r="M11201" s="79"/>
      <c r="N11201" s="1"/>
      <c r="O11201" s="1"/>
      <c r="P11201" s="1"/>
      <c r="Q11201" s="1"/>
      <c r="R11201" s="1"/>
      <c r="S11201" s="1"/>
      <c r="T11201" s="1"/>
      <c r="U11201" s="1"/>
      <c r="V11201" s="1"/>
      <c r="W11201" s="1"/>
      <c r="X11201" s="1"/>
      <c r="Y11201" s="1"/>
      <c r="Z11201" s="1"/>
      <c r="AA11201" s="1"/>
      <c r="AB11201" s="1"/>
      <c r="AC11201" s="1"/>
      <c r="AD11201" s="1"/>
      <c r="AE11201" s="1"/>
      <c r="AF11201" s="1"/>
      <c r="AG11201" s="1"/>
      <c r="AH11201" s="1"/>
    </row>
    <row r="11202" ht="12.75" hidden="1" customHeight="1" outlineLevel="1">
      <c r="A11202" s="122">
        <v>43587.0</v>
      </c>
      <c r="B11202" s="974" t="s">
        <v>347</v>
      </c>
      <c r="C11202" s="32" t="s">
        <v>3249</v>
      </c>
      <c r="D11202" s="9">
        <v>600.0</v>
      </c>
      <c r="E11202" s="9">
        <v>22.521</v>
      </c>
      <c r="F11202" s="709">
        <v>0.6656018518518518</v>
      </c>
      <c r="G11202" s="195" t="s">
        <v>453</v>
      </c>
      <c r="H11202" s="710">
        <v>3.35</v>
      </c>
      <c r="I11202" s="256" t="s">
        <v>3145</v>
      </c>
      <c r="J11202" s="67">
        <f t="shared" si="631"/>
        <v>13509.25</v>
      </c>
      <c r="K11202" s="1"/>
      <c r="L11202" s="70"/>
      <c r="M11202" s="79"/>
      <c r="N11202" s="1"/>
      <c r="O11202" s="1"/>
      <c r="P11202" s="1"/>
      <c r="Q11202" s="1"/>
      <c r="R11202" s="1"/>
      <c r="S11202" s="1"/>
      <c r="T11202" s="1"/>
      <c r="U11202" s="1"/>
      <c r="V11202" s="1"/>
      <c r="W11202" s="1"/>
      <c r="X11202" s="1"/>
      <c r="Y11202" s="1"/>
      <c r="Z11202" s="1"/>
      <c r="AA11202" s="1"/>
      <c r="AB11202" s="1"/>
      <c r="AC11202" s="1"/>
      <c r="AD11202" s="1"/>
      <c r="AE11202" s="1"/>
      <c r="AF11202" s="1"/>
      <c r="AG11202" s="1"/>
      <c r="AH11202" s="1"/>
    </row>
    <row r="11203" ht="12.75" hidden="1" customHeight="1" outlineLevel="1">
      <c r="A11203" s="197">
        <v>43587.0</v>
      </c>
      <c r="B11203" s="992"/>
      <c r="C11203" s="32" t="s">
        <v>947</v>
      </c>
      <c r="D11203" s="1"/>
      <c r="E11203" s="94" t="s">
        <v>948</v>
      </c>
      <c r="F11203" s="1022" t="s">
        <v>3803</v>
      </c>
      <c r="G11203" s="87"/>
      <c r="H11203" s="199"/>
      <c r="I11203" s="1023">
        <v>1.0</v>
      </c>
      <c r="K11203" s="201" t="s">
        <v>3868</v>
      </c>
      <c r="L11203" s="77"/>
      <c r="M11203" s="79"/>
      <c r="N11203" s="1"/>
      <c r="O11203" s="1"/>
      <c r="P11203" s="1"/>
      <c r="Q11203" s="1"/>
      <c r="R11203" s="1"/>
      <c r="S11203" s="1"/>
      <c r="T11203" s="1"/>
      <c r="U11203" s="1"/>
      <c r="V11203" s="1"/>
      <c r="W11203" s="1"/>
      <c r="X11203" s="1"/>
      <c r="Y11203" s="1"/>
      <c r="Z11203" s="1"/>
      <c r="AA11203" s="1"/>
      <c r="AB11203" s="1"/>
      <c r="AC11203" s="1"/>
      <c r="AD11203" s="1"/>
      <c r="AE11203" s="1"/>
      <c r="AF11203" s="1"/>
      <c r="AG11203" s="1"/>
      <c r="AH11203" s="1"/>
    </row>
    <row r="11204" ht="12.75" hidden="1" customHeight="1" outlineLevel="1">
      <c r="A11204" s="202">
        <v>43587.0</v>
      </c>
      <c r="B11204" s="992"/>
      <c r="C11204" s="32" t="s">
        <v>952</v>
      </c>
      <c r="D11204" s="1"/>
      <c r="F11204" s="231" t="s">
        <v>953</v>
      </c>
      <c r="G11204" s="1"/>
      <c r="H11204" s="68"/>
      <c r="I11204" s="1024">
        <v>0.0</v>
      </c>
      <c r="K11204" s="9" t="s">
        <v>3875</v>
      </c>
      <c r="L11204" s="77"/>
      <c r="M11204" s="79"/>
      <c r="N11204" s="1"/>
      <c r="O11204" s="1"/>
      <c r="P11204" s="1"/>
      <c r="Q11204" s="1"/>
      <c r="R11204" s="1"/>
      <c r="S11204" s="1"/>
      <c r="T11204" s="1"/>
      <c r="U11204" s="1"/>
      <c r="V11204" s="1"/>
      <c r="W11204" s="1"/>
      <c r="X11204" s="1"/>
      <c r="Y11204" s="1"/>
      <c r="Z11204" s="1"/>
      <c r="AA11204" s="1"/>
      <c r="AB11204" s="1"/>
      <c r="AC11204" s="1"/>
      <c r="AD11204" s="1"/>
      <c r="AE11204" s="1"/>
      <c r="AF11204" s="1"/>
      <c r="AG11204" s="1"/>
      <c r="AH11204" s="1"/>
    </row>
    <row r="11205" ht="12.75" hidden="1" customHeight="1" outlineLevel="1">
      <c r="A11205" s="202">
        <v>43587.0</v>
      </c>
      <c r="B11205" s="992"/>
      <c r="C11205" s="32" t="s">
        <v>955</v>
      </c>
      <c r="D11205" s="1"/>
      <c r="F11205" s="231" t="s">
        <v>3718</v>
      </c>
      <c r="G11205" s="1"/>
      <c r="H11205" s="68"/>
      <c r="I11205" s="1024">
        <v>0.0</v>
      </c>
      <c r="K11205" s="9" t="s">
        <v>3876</v>
      </c>
      <c r="L11205" s="77"/>
      <c r="M11205" s="79"/>
      <c r="N11205" s="1"/>
      <c r="O11205" s="1"/>
      <c r="P11205" s="1"/>
      <c r="Q11205" s="1"/>
      <c r="R11205" s="1"/>
      <c r="S11205" s="1"/>
      <c r="T11205" s="1"/>
      <c r="U11205" s="1"/>
      <c r="V11205" s="1"/>
      <c r="W11205" s="1"/>
      <c r="X11205" s="1"/>
      <c r="Y11205" s="1"/>
      <c r="Z11205" s="1"/>
      <c r="AA11205" s="1"/>
      <c r="AB11205" s="1"/>
      <c r="AC11205" s="1"/>
      <c r="AD11205" s="1"/>
      <c r="AE11205" s="1"/>
      <c r="AF11205" s="1"/>
      <c r="AG11205" s="1"/>
      <c r="AH11205" s="1"/>
    </row>
    <row r="11206" ht="12.75" hidden="1" customHeight="1" outlineLevel="1">
      <c r="A11206" s="202">
        <v>43587.0</v>
      </c>
      <c r="B11206" s="992"/>
      <c r="C11206" s="32" t="s">
        <v>958</v>
      </c>
      <c r="D11206" s="1"/>
      <c r="F11206" s="231" t="s">
        <v>3820</v>
      </c>
      <c r="G11206" s="1"/>
      <c r="H11206" s="68"/>
      <c r="I11206" s="1024">
        <v>0.0</v>
      </c>
      <c r="K11206" s="9" t="s">
        <v>3874</v>
      </c>
      <c r="L11206" s="77"/>
      <c r="M11206" s="79"/>
      <c r="N11206" s="1"/>
      <c r="O11206" s="1"/>
      <c r="P11206" s="1"/>
      <c r="Q11206" s="1"/>
      <c r="R11206" s="1"/>
      <c r="S11206" s="1"/>
      <c r="T11206" s="1"/>
      <c r="U11206" s="1"/>
      <c r="V11206" s="1"/>
      <c r="W11206" s="1"/>
      <c r="X11206" s="1"/>
      <c r="Y11206" s="1"/>
      <c r="Z11206" s="1"/>
      <c r="AA11206" s="1"/>
      <c r="AB11206" s="1"/>
      <c r="AC11206" s="1"/>
      <c r="AD11206" s="1"/>
      <c r="AE11206" s="1"/>
      <c r="AF11206" s="1"/>
      <c r="AG11206" s="1"/>
      <c r="AH11206" s="1"/>
    </row>
    <row r="11207" ht="12.75" hidden="1" customHeight="1" outlineLevel="1">
      <c r="A11207" s="202">
        <v>43587.0</v>
      </c>
      <c r="B11207" s="992"/>
      <c r="C11207" s="32" t="s">
        <v>961</v>
      </c>
      <c r="D11207" s="1"/>
      <c r="F11207" s="245" t="s">
        <v>3721</v>
      </c>
      <c r="G11207" s="247"/>
      <c r="H11207" s="1025"/>
      <c r="I11207" s="1026">
        <v>1.0</v>
      </c>
      <c r="K11207" s="9" t="s">
        <v>964</v>
      </c>
      <c r="L11207" s="77"/>
      <c r="M11207" s="79"/>
      <c r="N11207" s="1"/>
      <c r="O11207" s="1"/>
      <c r="P11207" s="1"/>
      <c r="Q11207" s="1"/>
      <c r="R11207" s="1"/>
      <c r="S11207" s="1"/>
      <c r="T11207" s="1"/>
      <c r="U11207" s="1"/>
      <c r="V11207" s="1"/>
      <c r="W11207" s="1"/>
      <c r="X11207" s="1"/>
      <c r="Y11207" s="1"/>
      <c r="Z11207" s="1"/>
      <c r="AA11207" s="1"/>
      <c r="AB11207" s="1"/>
      <c r="AC11207" s="1"/>
      <c r="AD11207" s="1"/>
      <c r="AE11207" s="1"/>
      <c r="AF11207" s="1"/>
      <c r="AG11207" s="1"/>
      <c r="AH11207" s="1"/>
    </row>
    <row r="11208" ht="12.75" hidden="1" customHeight="1" outlineLevel="1">
      <c r="A11208" s="197">
        <v>43591.0</v>
      </c>
      <c r="B11208" s="992"/>
      <c r="C11208" s="32" t="s">
        <v>947</v>
      </c>
      <c r="D11208" s="1"/>
      <c r="E11208" s="94" t="s">
        <v>948</v>
      </c>
      <c r="F11208" s="1022" t="s">
        <v>949</v>
      </c>
      <c r="G11208" s="87"/>
      <c r="H11208" s="199"/>
      <c r="I11208" s="1023">
        <v>1.0</v>
      </c>
      <c r="K11208" s="201" t="s">
        <v>3868</v>
      </c>
      <c r="L11208" s="77"/>
      <c r="M11208" s="79"/>
      <c r="N11208" s="1"/>
      <c r="O11208" s="1"/>
      <c r="P11208" s="1"/>
      <c r="Q11208" s="1"/>
      <c r="R11208" s="1"/>
      <c r="S11208" s="1"/>
      <c r="T11208" s="1"/>
      <c r="U11208" s="1"/>
      <c r="V11208" s="1"/>
      <c r="W11208" s="1"/>
      <c r="X11208" s="1"/>
      <c r="Y11208" s="1"/>
      <c r="Z11208" s="1"/>
      <c r="AA11208" s="1"/>
      <c r="AB11208" s="1"/>
      <c r="AC11208" s="1"/>
      <c r="AD11208" s="1"/>
      <c r="AE11208" s="1"/>
      <c r="AF11208" s="1"/>
      <c r="AG11208" s="1"/>
      <c r="AH11208" s="1"/>
    </row>
    <row r="11209" ht="12.75" hidden="1" customHeight="1" outlineLevel="1">
      <c r="A11209" s="202">
        <v>43591.0</v>
      </c>
      <c r="B11209" s="992"/>
      <c r="C11209" s="32" t="s">
        <v>952</v>
      </c>
      <c r="D11209" s="1"/>
      <c r="F11209" s="231" t="s">
        <v>953</v>
      </c>
      <c r="G11209" s="1"/>
      <c r="H11209" s="68"/>
      <c r="I11209" s="1024">
        <v>0.0</v>
      </c>
      <c r="K11209" s="9" t="s">
        <v>3872</v>
      </c>
      <c r="L11209" s="77"/>
      <c r="M11209" s="79"/>
      <c r="N11209" s="1"/>
      <c r="O11209" s="1"/>
      <c r="P11209" s="1"/>
      <c r="Q11209" s="1"/>
      <c r="R11209" s="1"/>
      <c r="S11209" s="1"/>
      <c r="T11209" s="1"/>
      <c r="U11209" s="1"/>
      <c r="V11209" s="1"/>
      <c r="W11209" s="1"/>
      <c r="X11209" s="1"/>
      <c r="Y11209" s="1"/>
      <c r="Z11209" s="1"/>
      <c r="AA11209" s="1"/>
      <c r="AB11209" s="1"/>
      <c r="AC11209" s="1"/>
      <c r="AD11209" s="1"/>
      <c r="AE11209" s="1"/>
      <c r="AF11209" s="1"/>
      <c r="AG11209" s="1"/>
      <c r="AH11209" s="1"/>
    </row>
    <row r="11210" ht="12.75" hidden="1" customHeight="1" outlineLevel="1">
      <c r="A11210" s="202">
        <v>43591.0</v>
      </c>
      <c r="B11210" s="992"/>
      <c r="C11210" s="32" t="s">
        <v>955</v>
      </c>
      <c r="D11210" s="1"/>
      <c r="F11210" s="231" t="s">
        <v>3718</v>
      </c>
      <c r="G11210" s="1"/>
      <c r="H11210" s="68"/>
      <c r="I11210" s="1024">
        <v>0.0</v>
      </c>
      <c r="K11210" s="9" t="s">
        <v>3877</v>
      </c>
      <c r="L11210" s="77"/>
      <c r="M11210" s="79"/>
      <c r="N11210" s="1"/>
      <c r="O11210" s="1"/>
      <c r="P11210" s="1"/>
      <c r="Q11210" s="1"/>
      <c r="R11210" s="1"/>
      <c r="S11210" s="1"/>
      <c r="T11210" s="1"/>
      <c r="U11210" s="1"/>
      <c r="V11210" s="1"/>
      <c r="W11210" s="1"/>
      <c r="X11210" s="1"/>
      <c r="Y11210" s="1"/>
      <c r="Z11210" s="1"/>
      <c r="AA11210" s="1"/>
      <c r="AB11210" s="1"/>
      <c r="AC11210" s="1"/>
      <c r="AD11210" s="1"/>
      <c r="AE11210" s="1"/>
      <c r="AF11210" s="1"/>
      <c r="AG11210" s="1"/>
      <c r="AH11210" s="1"/>
    </row>
    <row r="11211" ht="12.75" hidden="1" customHeight="1" outlineLevel="1">
      <c r="A11211" s="202">
        <v>43591.0</v>
      </c>
      <c r="B11211" s="992"/>
      <c r="C11211" s="32" t="s">
        <v>958</v>
      </c>
      <c r="D11211" s="1"/>
      <c r="F11211" s="231" t="s">
        <v>3820</v>
      </c>
      <c r="G11211" s="1"/>
      <c r="H11211" s="68"/>
      <c r="I11211" s="1024">
        <v>0.0</v>
      </c>
      <c r="K11211" s="9" t="s">
        <v>3878</v>
      </c>
      <c r="L11211" s="77"/>
      <c r="M11211" s="79"/>
      <c r="N11211" s="1"/>
      <c r="O11211" s="1"/>
      <c r="P11211" s="1"/>
      <c r="Q11211" s="1"/>
      <c r="R11211" s="1"/>
      <c r="S11211" s="1"/>
      <c r="T11211" s="1"/>
      <c r="U11211" s="1"/>
      <c r="V11211" s="1"/>
      <c r="W11211" s="1"/>
      <c r="X11211" s="1"/>
      <c r="Y11211" s="1"/>
      <c r="Z11211" s="1"/>
      <c r="AA11211" s="1"/>
      <c r="AB11211" s="1"/>
      <c r="AC11211" s="1"/>
      <c r="AD11211" s="1"/>
      <c r="AE11211" s="1"/>
      <c r="AF11211" s="1"/>
      <c r="AG11211" s="1"/>
      <c r="AH11211" s="1"/>
    </row>
    <row r="11212" ht="12.75" hidden="1" customHeight="1" outlineLevel="1">
      <c r="A11212" s="202">
        <v>43591.0</v>
      </c>
      <c r="B11212" s="992"/>
      <c r="C11212" s="32" t="s">
        <v>961</v>
      </c>
      <c r="D11212" s="1"/>
      <c r="F11212" s="245" t="s">
        <v>3721</v>
      </c>
      <c r="G11212" s="247"/>
      <c r="H11212" s="1025"/>
      <c r="I11212" s="1026">
        <v>1.0</v>
      </c>
      <c r="K11212" s="9" t="s">
        <v>964</v>
      </c>
      <c r="L11212" s="77"/>
      <c r="M11212" s="79"/>
      <c r="N11212" s="1"/>
      <c r="O11212" s="1"/>
      <c r="P11212" s="1"/>
      <c r="Q11212" s="1"/>
      <c r="R11212" s="1"/>
      <c r="S11212" s="1"/>
      <c r="T11212" s="1"/>
      <c r="U11212" s="1"/>
      <c r="V11212" s="1"/>
      <c r="W11212" s="1"/>
      <c r="X11212" s="1"/>
      <c r="Y11212" s="1"/>
      <c r="Z11212" s="1"/>
      <c r="AA11212" s="1"/>
      <c r="AB11212" s="1"/>
      <c r="AC11212" s="1"/>
      <c r="AD11212" s="1"/>
      <c r="AE11212" s="1"/>
      <c r="AF11212" s="1"/>
      <c r="AG11212" s="1"/>
      <c r="AH11212" s="1"/>
    </row>
    <row r="11213" ht="12.75" hidden="1" customHeight="1" outlineLevel="1">
      <c r="A11213" s="122">
        <v>43592.0</v>
      </c>
      <c r="B11213" s="974" t="s">
        <v>347</v>
      </c>
      <c r="C11213" s="32" t="s">
        <v>1061</v>
      </c>
      <c r="D11213" s="9">
        <v>500.0</v>
      </c>
      <c r="E11213" s="9">
        <v>49.633</v>
      </c>
      <c r="F11213" s="709">
        <v>0.5526851851851852</v>
      </c>
      <c r="G11213" s="195" t="s">
        <v>453</v>
      </c>
      <c r="H11213" s="710">
        <v>3.07</v>
      </c>
      <c r="I11213" s="256" t="s">
        <v>3145</v>
      </c>
      <c r="J11213" s="67">
        <f t="shared" ref="J11213:J11227" si="632">IF(B11213="SLD",D11213*E11213,-D11213*E11213)-H11213</f>
        <v>24813.43</v>
      </c>
      <c r="K11213" s="1"/>
      <c r="L11213" s="70"/>
      <c r="M11213" s="79"/>
      <c r="N11213" s="1"/>
      <c r="O11213" s="1"/>
      <c r="P11213" s="1"/>
      <c r="Q11213" s="1"/>
      <c r="R11213" s="1"/>
      <c r="S11213" s="1"/>
      <c r="T11213" s="1"/>
      <c r="U11213" s="1"/>
      <c r="V11213" s="1"/>
      <c r="W11213" s="1"/>
      <c r="X11213" s="1"/>
      <c r="Y11213" s="1"/>
      <c r="Z11213" s="1"/>
      <c r="AA11213" s="1"/>
      <c r="AB11213" s="1"/>
      <c r="AC11213" s="1"/>
      <c r="AD11213" s="1"/>
      <c r="AE11213" s="1"/>
      <c r="AF11213" s="1"/>
      <c r="AG11213" s="1"/>
      <c r="AH11213" s="1"/>
    </row>
    <row r="11214" ht="12.75" hidden="1" customHeight="1" outlineLevel="1">
      <c r="A11214" s="122">
        <v>43592.0</v>
      </c>
      <c r="B11214" s="974" t="s">
        <v>347</v>
      </c>
      <c r="C11214" s="32" t="s">
        <v>381</v>
      </c>
      <c r="D11214" s="9">
        <v>50.0</v>
      </c>
      <c r="E11214" s="9">
        <v>189.54</v>
      </c>
      <c r="F11214" s="709">
        <v>0.5531134259259259</v>
      </c>
      <c r="G11214" s="195" t="s">
        <v>453</v>
      </c>
      <c r="H11214" s="710">
        <v>1.2</v>
      </c>
      <c r="I11214" s="256" t="s">
        <v>3145</v>
      </c>
      <c r="J11214" s="67">
        <f t="shared" si="632"/>
        <v>9475.8</v>
      </c>
      <c r="K11214" s="1"/>
      <c r="L11214" s="70"/>
      <c r="M11214" s="79"/>
      <c r="N11214" s="1"/>
      <c r="O11214" s="1"/>
      <c r="P11214" s="1"/>
      <c r="Q11214" s="1"/>
      <c r="R11214" s="1"/>
      <c r="S11214" s="1"/>
      <c r="T11214" s="1"/>
      <c r="U11214" s="1"/>
      <c r="V11214" s="1"/>
      <c r="W11214" s="1"/>
      <c r="X11214" s="1"/>
      <c r="Y11214" s="1"/>
      <c r="Z11214" s="1"/>
      <c r="AA11214" s="1"/>
      <c r="AB11214" s="1"/>
      <c r="AC11214" s="1"/>
      <c r="AD11214" s="1"/>
      <c r="AE11214" s="1"/>
      <c r="AF11214" s="1"/>
      <c r="AG11214" s="1"/>
      <c r="AH11214" s="1"/>
    </row>
    <row r="11215" ht="12.75" hidden="1" customHeight="1" outlineLevel="1">
      <c r="A11215" s="122">
        <v>43592.0</v>
      </c>
      <c r="B11215" s="974" t="s">
        <v>347</v>
      </c>
      <c r="C11215" s="32" t="s">
        <v>1040</v>
      </c>
      <c r="D11215" s="9">
        <v>50.0</v>
      </c>
      <c r="E11215" s="9">
        <v>125.1</v>
      </c>
      <c r="F11215" s="709">
        <v>0.5533912037037036</v>
      </c>
      <c r="G11215" s="195" t="s">
        <v>453</v>
      </c>
      <c r="H11215" s="710">
        <v>1.14</v>
      </c>
      <c r="I11215" s="256" t="s">
        <v>3145</v>
      </c>
      <c r="J11215" s="67">
        <f t="shared" si="632"/>
        <v>6253.86</v>
      </c>
      <c r="K11215" s="1"/>
      <c r="L11215" s="70"/>
      <c r="M11215" s="79"/>
      <c r="N11215" s="1"/>
      <c r="O11215" s="1"/>
      <c r="P11215" s="1"/>
      <c r="Q11215" s="1"/>
      <c r="R11215" s="1"/>
      <c r="S11215" s="1"/>
      <c r="T11215" s="1"/>
      <c r="U11215" s="1"/>
      <c r="V11215" s="1"/>
      <c r="W11215" s="1"/>
      <c r="X11215" s="1"/>
      <c r="Y11215" s="1"/>
      <c r="Z11215" s="1"/>
      <c r="AA11215" s="1"/>
      <c r="AB11215" s="1"/>
      <c r="AC11215" s="1"/>
      <c r="AD11215" s="1"/>
      <c r="AE11215" s="1"/>
      <c r="AF11215" s="1"/>
      <c r="AG11215" s="1"/>
      <c r="AH11215" s="1"/>
    </row>
    <row r="11216" ht="12.75" hidden="1" customHeight="1" outlineLevel="1">
      <c r="A11216" s="122">
        <v>43592.0</v>
      </c>
      <c r="B11216" s="974" t="s">
        <v>347</v>
      </c>
      <c r="C11216" s="32" t="s">
        <v>1053</v>
      </c>
      <c r="D11216" s="9">
        <v>5.0</v>
      </c>
      <c r="E11216" s="9">
        <v>1914.0</v>
      </c>
      <c r="F11216" s="709">
        <v>0.5537962962962963</v>
      </c>
      <c r="G11216" s="195" t="s">
        <v>453</v>
      </c>
      <c r="H11216" s="710">
        <v>1.2</v>
      </c>
      <c r="I11216" s="256" t="s">
        <v>3145</v>
      </c>
      <c r="J11216" s="67">
        <f t="shared" si="632"/>
        <v>9568.8</v>
      </c>
      <c r="K11216" s="1"/>
      <c r="L11216" s="70"/>
      <c r="M11216" s="79"/>
      <c r="N11216" s="1"/>
      <c r="O11216" s="1"/>
      <c r="P11216" s="1"/>
      <c r="Q11216" s="1"/>
      <c r="R11216" s="1"/>
      <c r="S11216" s="1"/>
      <c r="T11216" s="1"/>
      <c r="U11216" s="1"/>
      <c r="V11216" s="1"/>
      <c r="W11216" s="1"/>
      <c r="X11216" s="1"/>
      <c r="Y11216" s="1"/>
      <c r="Z11216" s="1"/>
      <c r="AA11216" s="1"/>
      <c r="AB11216" s="1"/>
      <c r="AC11216" s="1"/>
      <c r="AD11216" s="1"/>
      <c r="AE11216" s="1"/>
      <c r="AF11216" s="1"/>
      <c r="AG11216" s="1"/>
      <c r="AH11216" s="1"/>
    </row>
    <row r="11217" ht="12.75" hidden="1" customHeight="1" outlineLevel="1">
      <c r="A11217" s="122">
        <v>43592.0</v>
      </c>
      <c r="B11217" s="974" t="s">
        <v>347</v>
      </c>
      <c r="C11217" s="32" t="s">
        <v>3249</v>
      </c>
      <c r="D11217" s="9">
        <v>600.0</v>
      </c>
      <c r="E11217" s="9">
        <v>16.87</v>
      </c>
      <c r="F11217" s="709">
        <v>0.5543634259259259</v>
      </c>
      <c r="G11217" s="195" t="s">
        <v>453</v>
      </c>
      <c r="H11217" s="710">
        <v>3.28</v>
      </c>
      <c r="I11217" s="256" t="s">
        <v>3145</v>
      </c>
      <c r="J11217" s="67">
        <f t="shared" si="632"/>
        <v>10118.72</v>
      </c>
      <c r="K11217" s="1"/>
      <c r="L11217" s="70"/>
      <c r="M11217" s="79"/>
      <c r="N11217" s="1"/>
      <c r="O11217" s="1"/>
      <c r="P11217" s="1"/>
      <c r="Q11217" s="1"/>
      <c r="R11217" s="1"/>
      <c r="S11217" s="1"/>
      <c r="T11217" s="1"/>
      <c r="U11217" s="1"/>
      <c r="V11217" s="1"/>
      <c r="W11217" s="1"/>
      <c r="X11217" s="1"/>
      <c r="Y11217" s="1"/>
      <c r="Z11217" s="1"/>
      <c r="AA11217" s="1"/>
      <c r="AB11217" s="1"/>
      <c r="AC11217" s="1"/>
      <c r="AD11217" s="1"/>
      <c r="AE11217" s="1"/>
      <c r="AF11217" s="1"/>
      <c r="AG11217" s="1"/>
      <c r="AH11217" s="1"/>
    </row>
    <row r="11218" ht="12.75" hidden="1" customHeight="1" outlineLevel="1">
      <c r="A11218" s="122">
        <v>43592.0</v>
      </c>
      <c r="B11218" s="974" t="s">
        <v>347</v>
      </c>
      <c r="C11218" s="32" t="s">
        <v>3385</v>
      </c>
      <c r="D11218" s="9">
        <v>400.0</v>
      </c>
      <c r="E11218" s="9">
        <v>16.332</v>
      </c>
      <c r="F11218" s="709">
        <v>0.5547685185185185</v>
      </c>
      <c r="G11218" s="195" t="s">
        <v>453</v>
      </c>
      <c r="H11218" s="710">
        <v>2.18</v>
      </c>
      <c r="I11218" s="256" t="s">
        <v>3145</v>
      </c>
      <c r="J11218" s="67">
        <f t="shared" si="632"/>
        <v>6530.62</v>
      </c>
      <c r="K11218" s="1"/>
      <c r="L11218" s="70"/>
      <c r="M11218" s="79"/>
      <c r="N11218" s="1"/>
      <c r="O11218" s="1"/>
      <c r="P11218" s="1"/>
      <c r="Q11218" s="1"/>
      <c r="R11218" s="1"/>
      <c r="S11218" s="1"/>
      <c r="T11218" s="1"/>
      <c r="U11218" s="1"/>
      <c r="V11218" s="1"/>
      <c r="W11218" s="1"/>
      <c r="X11218" s="1"/>
      <c r="Y11218" s="1"/>
      <c r="Z11218" s="1"/>
      <c r="AA11218" s="1"/>
      <c r="AB11218" s="1"/>
      <c r="AC11218" s="1"/>
      <c r="AD11218" s="1"/>
      <c r="AE11218" s="1"/>
      <c r="AF11218" s="1"/>
      <c r="AG11218" s="1"/>
      <c r="AH11218" s="1"/>
    </row>
    <row r="11219" ht="12.75" hidden="1" customHeight="1" outlineLevel="1">
      <c r="A11219" s="122">
        <v>43592.0</v>
      </c>
      <c r="B11219" s="974" t="s">
        <v>347</v>
      </c>
      <c r="C11219" s="32" t="s">
        <v>1114</v>
      </c>
      <c r="D11219" s="9">
        <v>300.0</v>
      </c>
      <c r="E11219" s="9">
        <v>47.223</v>
      </c>
      <c r="F11219" s="709">
        <v>0.5556134259259259</v>
      </c>
      <c r="G11219" s="195" t="s">
        <v>453</v>
      </c>
      <c r="H11219" s="710">
        <v>1.83</v>
      </c>
      <c r="I11219" s="256" t="s">
        <v>3145</v>
      </c>
      <c r="J11219" s="67">
        <f t="shared" si="632"/>
        <v>14165.07</v>
      </c>
      <c r="K11219" s="1"/>
      <c r="L11219" s="70"/>
      <c r="M11219" s="79"/>
      <c r="N11219" s="1"/>
      <c r="O11219" s="1"/>
      <c r="P11219" s="1"/>
      <c r="Q11219" s="1"/>
      <c r="R11219" s="1"/>
      <c r="S11219" s="1"/>
      <c r="T11219" s="1"/>
      <c r="U11219" s="1"/>
      <c r="V11219" s="1"/>
      <c r="W11219" s="1"/>
      <c r="X11219" s="1"/>
      <c r="Y11219" s="1"/>
      <c r="Z11219" s="1"/>
      <c r="AA11219" s="1"/>
      <c r="AB11219" s="1"/>
      <c r="AC11219" s="1"/>
      <c r="AD11219" s="1"/>
      <c r="AE11219" s="1"/>
      <c r="AF11219" s="1"/>
      <c r="AG11219" s="1"/>
      <c r="AH11219" s="1"/>
    </row>
    <row r="11220" ht="12.75" hidden="1" customHeight="1" outlineLevel="1">
      <c r="A11220" s="122">
        <v>43592.0</v>
      </c>
      <c r="B11220" s="974" t="s">
        <v>347</v>
      </c>
      <c r="C11220" s="32" t="s">
        <v>605</v>
      </c>
      <c r="D11220" s="9">
        <v>400.0</v>
      </c>
      <c r="E11220" s="9">
        <v>85.593</v>
      </c>
      <c r="F11220" s="709">
        <v>0.556412037037037</v>
      </c>
      <c r="G11220" s="195" t="s">
        <v>453</v>
      </c>
      <c r="H11220" s="710">
        <v>2.76</v>
      </c>
      <c r="I11220" s="256" t="s">
        <v>3145</v>
      </c>
      <c r="J11220" s="67">
        <f t="shared" si="632"/>
        <v>34234.44</v>
      </c>
      <c r="K11220" s="1"/>
      <c r="L11220" s="70"/>
      <c r="M11220" s="79"/>
      <c r="N11220" s="1"/>
      <c r="O11220" s="1"/>
      <c r="P11220" s="1"/>
      <c r="Q11220" s="1"/>
      <c r="R11220" s="1"/>
      <c r="S11220" s="1"/>
      <c r="T11220" s="1"/>
      <c r="U11220" s="1"/>
      <c r="V11220" s="1"/>
      <c r="W11220" s="1"/>
      <c r="X11220" s="1"/>
      <c r="Y11220" s="1"/>
      <c r="Z11220" s="1"/>
      <c r="AA11220" s="1"/>
      <c r="AB11220" s="1"/>
      <c r="AC11220" s="1"/>
      <c r="AD11220" s="1"/>
      <c r="AE11220" s="1"/>
      <c r="AF11220" s="1"/>
      <c r="AG11220" s="1"/>
      <c r="AH11220" s="1"/>
    </row>
    <row r="11221" ht="12.75" hidden="1" customHeight="1" outlineLevel="1">
      <c r="A11221" s="122">
        <v>43592.0</v>
      </c>
      <c r="B11221" s="974" t="s">
        <v>347</v>
      </c>
      <c r="C11221" s="32" t="s">
        <v>1177</v>
      </c>
      <c r="D11221" s="9">
        <v>5.0</v>
      </c>
      <c r="E11221" s="9">
        <v>1773.2696</v>
      </c>
      <c r="F11221" s="709">
        <v>0.5594097222222222</v>
      </c>
      <c r="G11221" s="195" t="s">
        <v>453</v>
      </c>
      <c r="H11221" s="710">
        <v>1.18</v>
      </c>
      <c r="I11221" s="256" t="s">
        <v>3145</v>
      </c>
      <c r="J11221" s="67">
        <f t="shared" si="632"/>
        <v>8865.168</v>
      </c>
      <c r="K11221" s="1"/>
      <c r="L11221" s="70"/>
      <c r="M11221" s="79"/>
      <c r="N11221" s="1"/>
      <c r="O11221" s="1"/>
      <c r="P11221" s="1"/>
      <c r="Q11221" s="1"/>
      <c r="R11221" s="1"/>
      <c r="S11221" s="1"/>
      <c r="T11221" s="1"/>
      <c r="U11221" s="1"/>
      <c r="V11221" s="1"/>
      <c r="W11221" s="1"/>
      <c r="X11221" s="1"/>
      <c r="Y11221" s="1"/>
      <c r="Z11221" s="1"/>
      <c r="AA11221" s="1"/>
      <c r="AB11221" s="1"/>
      <c r="AC11221" s="1"/>
      <c r="AD11221" s="1"/>
      <c r="AE11221" s="1"/>
      <c r="AF11221" s="1"/>
      <c r="AG11221" s="1"/>
      <c r="AH11221" s="1"/>
    </row>
    <row r="11222" ht="12.75" hidden="1" customHeight="1" outlineLevel="1">
      <c r="A11222" s="122">
        <v>43592.0</v>
      </c>
      <c r="B11222" s="974" t="s">
        <v>347</v>
      </c>
      <c r="C11222" s="32" t="s">
        <v>1177</v>
      </c>
      <c r="D11222" s="9">
        <v>5.0</v>
      </c>
      <c r="E11222" s="9">
        <v>1772.88</v>
      </c>
      <c r="F11222" s="709">
        <v>0.5599652777777778</v>
      </c>
      <c r="G11222" s="195" t="s">
        <v>453</v>
      </c>
      <c r="H11222" s="710">
        <v>1.18</v>
      </c>
      <c r="I11222" s="256" t="s">
        <v>3145</v>
      </c>
      <c r="J11222" s="67">
        <f t="shared" si="632"/>
        <v>8863.22</v>
      </c>
      <c r="K11222" s="1"/>
      <c r="L11222" s="70"/>
      <c r="M11222" s="79"/>
      <c r="N11222" s="1"/>
      <c r="O11222" s="1"/>
      <c r="P11222" s="1"/>
      <c r="Q11222" s="1"/>
      <c r="R11222" s="1"/>
      <c r="S11222" s="1"/>
      <c r="T11222" s="1"/>
      <c r="U11222" s="1"/>
      <c r="V11222" s="1"/>
      <c r="W11222" s="1"/>
      <c r="X11222" s="1"/>
      <c r="Y11222" s="1"/>
      <c r="Z11222" s="1"/>
      <c r="AA11222" s="1"/>
      <c r="AB11222" s="1"/>
      <c r="AC11222" s="1"/>
      <c r="AD11222" s="1"/>
      <c r="AE11222" s="1"/>
      <c r="AF11222" s="1"/>
      <c r="AG11222" s="1"/>
      <c r="AH11222" s="1"/>
    </row>
    <row r="11223" ht="12.75" hidden="1" customHeight="1" outlineLevel="1">
      <c r="A11223" s="122">
        <v>43592.0</v>
      </c>
      <c r="B11223" s="974" t="s">
        <v>347</v>
      </c>
      <c r="C11223" s="32" t="s">
        <v>1146</v>
      </c>
      <c r="D11223" s="9">
        <v>50.0</v>
      </c>
      <c r="E11223" s="9">
        <v>115.61</v>
      </c>
      <c r="F11223" s="709">
        <v>0.5603472222222222</v>
      </c>
      <c r="G11223" s="195" t="s">
        <v>453</v>
      </c>
      <c r="H11223" s="710">
        <v>1.13</v>
      </c>
      <c r="I11223" s="256" t="s">
        <v>3145</v>
      </c>
      <c r="J11223" s="67">
        <f t="shared" si="632"/>
        <v>5779.37</v>
      </c>
      <c r="K11223" s="1"/>
      <c r="L11223" s="70"/>
      <c r="M11223" s="79"/>
      <c r="N11223" s="1"/>
      <c r="O11223" s="1"/>
      <c r="P11223" s="1"/>
      <c r="Q11223" s="1"/>
      <c r="R11223" s="1"/>
      <c r="S11223" s="1"/>
      <c r="T11223" s="1"/>
      <c r="U11223" s="1"/>
      <c r="V11223" s="1"/>
      <c r="W11223" s="1"/>
      <c r="X11223" s="1"/>
      <c r="Y11223" s="1"/>
      <c r="Z11223" s="1"/>
      <c r="AA11223" s="1"/>
      <c r="AB11223" s="1"/>
      <c r="AC11223" s="1"/>
      <c r="AD11223" s="1"/>
      <c r="AE11223" s="1"/>
      <c r="AF11223" s="1"/>
      <c r="AG11223" s="1"/>
      <c r="AH11223" s="1"/>
    </row>
    <row r="11224" ht="12.75" hidden="1" customHeight="1" outlineLevel="1">
      <c r="A11224" s="122">
        <v>43592.0</v>
      </c>
      <c r="B11224" s="974" t="s">
        <v>347</v>
      </c>
      <c r="C11224" s="32" t="s">
        <v>346</v>
      </c>
      <c r="D11224" s="9">
        <v>50.0</v>
      </c>
      <c r="E11224" s="9">
        <v>202.59</v>
      </c>
      <c r="F11224" s="709">
        <v>0.5606134259259259</v>
      </c>
      <c r="G11224" s="195" t="s">
        <v>453</v>
      </c>
      <c r="H11224" s="710">
        <v>1.22</v>
      </c>
      <c r="I11224" s="256" t="s">
        <v>3145</v>
      </c>
      <c r="J11224" s="67">
        <f t="shared" si="632"/>
        <v>10128.28</v>
      </c>
      <c r="K11224" s="1"/>
      <c r="L11224" s="70"/>
      <c r="M11224" s="79"/>
      <c r="N11224" s="1"/>
      <c r="O11224" s="1"/>
      <c r="P11224" s="1"/>
      <c r="Q11224" s="1"/>
      <c r="R11224" s="1"/>
      <c r="S11224" s="1"/>
      <c r="T11224" s="1"/>
      <c r="U11224" s="1"/>
      <c r="V11224" s="1"/>
      <c r="W11224" s="1"/>
      <c r="X11224" s="1"/>
      <c r="Y11224" s="1"/>
      <c r="Z11224" s="1"/>
      <c r="AA11224" s="1"/>
      <c r="AB11224" s="1"/>
      <c r="AC11224" s="1"/>
      <c r="AD11224" s="1"/>
      <c r="AE11224" s="1"/>
      <c r="AF11224" s="1"/>
      <c r="AG11224" s="1"/>
      <c r="AH11224" s="1"/>
    </row>
    <row r="11225" ht="12.75" hidden="1" customHeight="1" outlineLevel="1">
      <c r="A11225" s="122">
        <v>43592.0</v>
      </c>
      <c r="B11225" s="974" t="s">
        <v>347</v>
      </c>
      <c r="C11225" s="32" t="s">
        <v>381</v>
      </c>
      <c r="D11225" s="9">
        <v>50.0</v>
      </c>
      <c r="E11225" s="9">
        <v>188.62</v>
      </c>
      <c r="F11225" s="709">
        <v>0.5613078703703703</v>
      </c>
      <c r="G11225" s="195" t="s">
        <v>453</v>
      </c>
      <c r="H11225" s="710">
        <v>1.2</v>
      </c>
      <c r="I11225" s="256" t="s">
        <v>3145</v>
      </c>
      <c r="J11225" s="67">
        <f t="shared" si="632"/>
        <v>9429.8</v>
      </c>
      <c r="K11225" s="1"/>
      <c r="L11225" s="70"/>
      <c r="M11225" s="79"/>
      <c r="N11225" s="1"/>
      <c r="O11225" s="1"/>
      <c r="P11225" s="1"/>
      <c r="Q11225" s="1"/>
      <c r="R11225" s="1"/>
      <c r="S11225" s="1"/>
      <c r="T11225" s="1"/>
      <c r="U11225" s="1"/>
      <c r="V11225" s="1"/>
      <c r="W11225" s="1"/>
      <c r="X11225" s="1"/>
      <c r="Y11225" s="1"/>
      <c r="Z11225" s="1"/>
      <c r="AA11225" s="1"/>
      <c r="AB11225" s="1"/>
      <c r="AC11225" s="1"/>
      <c r="AD11225" s="1"/>
      <c r="AE11225" s="1"/>
      <c r="AF11225" s="1"/>
      <c r="AG11225" s="1"/>
      <c r="AH11225" s="1"/>
    </row>
    <row r="11226" ht="12.75" hidden="1" customHeight="1" outlineLevel="1">
      <c r="A11226" s="122">
        <v>43592.0</v>
      </c>
      <c r="B11226" s="974" t="s">
        <v>347</v>
      </c>
      <c r="C11226" s="32" t="s">
        <v>1109</v>
      </c>
      <c r="D11226" s="9">
        <v>20.0</v>
      </c>
      <c r="E11226" s="9">
        <v>444.12</v>
      </c>
      <c r="F11226" s="709">
        <v>0.5621990740740741</v>
      </c>
      <c r="G11226" s="195" t="s">
        <v>453</v>
      </c>
      <c r="H11226" s="710">
        <v>1.19</v>
      </c>
      <c r="I11226" s="256" t="s">
        <v>3145</v>
      </c>
      <c r="J11226" s="67">
        <f t="shared" si="632"/>
        <v>8881.21</v>
      </c>
      <c r="K11226" s="1"/>
      <c r="L11226" s="70"/>
      <c r="M11226" s="79"/>
      <c r="N11226" s="1"/>
      <c r="O11226" s="1"/>
      <c r="P11226" s="1"/>
      <c r="Q11226" s="1"/>
      <c r="R11226" s="1"/>
      <c r="S11226" s="1"/>
      <c r="T11226" s="1"/>
      <c r="U11226" s="1"/>
      <c r="V11226" s="1"/>
      <c r="W11226" s="1"/>
      <c r="X11226" s="1"/>
      <c r="Y11226" s="1"/>
      <c r="Z11226" s="1"/>
      <c r="AA11226" s="1"/>
      <c r="AB11226" s="1"/>
      <c r="AC11226" s="1"/>
      <c r="AD11226" s="1"/>
      <c r="AE11226" s="1"/>
      <c r="AF11226" s="1"/>
      <c r="AG11226" s="1"/>
      <c r="AH11226" s="1"/>
    </row>
    <row r="11227" ht="12.75" hidden="1" customHeight="1" outlineLevel="1">
      <c r="A11227" s="122">
        <v>43592.0</v>
      </c>
      <c r="B11227" s="974" t="s">
        <v>347</v>
      </c>
      <c r="C11227" s="32" t="s">
        <v>1215</v>
      </c>
      <c r="D11227" s="9">
        <v>200.0</v>
      </c>
      <c r="E11227" s="9">
        <v>51.1755</v>
      </c>
      <c r="F11227" s="709">
        <v>0.562662037037037</v>
      </c>
      <c r="G11227" s="195" t="s">
        <v>453</v>
      </c>
      <c r="H11227" s="710">
        <v>1.24</v>
      </c>
      <c r="I11227" s="256" t="s">
        <v>3145</v>
      </c>
      <c r="J11227" s="67">
        <f t="shared" si="632"/>
        <v>10233.86</v>
      </c>
      <c r="K11227" s="1"/>
      <c r="L11227" s="70"/>
      <c r="M11227" s="79"/>
      <c r="N11227" s="1"/>
      <c r="O11227" s="1"/>
      <c r="P11227" s="1"/>
      <c r="Q11227" s="1"/>
      <c r="R11227" s="1"/>
      <c r="S11227" s="1"/>
      <c r="T11227" s="1"/>
      <c r="U11227" s="1"/>
      <c r="V11227" s="1"/>
      <c r="W11227" s="1"/>
      <c r="X11227" s="1"/>
      <c r="Y11227" s="1"/>
      <c r="Z11227" s="1"/>
      <c r="AA11227" s="1"/>
      <c r="AB11227" s="1"/>
      <c r="AC11227" s="1"/>
      <c r="AD11227" s="1"/>
      <c r="AE11227" s="1"/>
      <c r="AF11227" s="1"/>
      <c r="AG11227" s="1"/>
      <c r="AH11227" s="1"/>
    </row>
    <row r="11228" ht="12.75" hidden="1" customHeight="1" outlineLevel="1">
      <c r="A11228" s="197">
        <v>43593.0</v>
      </c>
      <c r="B11228" s="992"/>
      <c r="C11228" s="32" t="s">
        <v>947</v>
      </c>
      <c r="D11228" s="1"/>
      <c r="E11228" s="94" t="s">
        <v>948</v>
      </c>
      <c r="F11228" s="1022" t="s">
        <v>949</v>
      </c>
      <c r="G11228" s="87"/>
      <c r="H11228" s="199"/>
      <c r="I11228" s="1023">
        <v>1.0</v>
      </c>
      <c r="K11228" s="201" t="s">
        <v>3879</v>
      </c>
      <c r="L11228" s="77"/>
      <c r="M11228" s="79"/>
      <c r="N11228" s="1"/>
      <c r="O11228" s="1"/>
      <c r="P11228" s="1"/>
      <c r="Q11228" s="1"/>
      <c r="R11228" s="1"/>
      <c r="S11228" s="1"/>
      <c r="T11228" s="1"/>
      <c r="U11228" s="1"/>
      <c r="V11228" s="1"/>
      <c r="W11228" s="1"/>
      <c r="X11228" s="1"/>
      <c r="Y11228" s="1"/>
      <c r="Z11228" s="1"/>
      <c r="AA11228" s="1"/>
      <c r="AB11228" s="1"/>
      <c r="AC11228" s="1"/>
      <c r="AD11228" s="1"/>
      <c r="AE11228" s="1"/>
      <c r="AF11228" s="1"/>
      <c r="AG11228" s="1"/>
      <c r="AH11228" s="1"/>
    </row>
    <row r="11229" ht="12.75" hidden="1" customHeight="1" outlineLevel="1">
      <c r="A11229" s="202">
        <v>43593.0</v>
      </c>
      <c r="B11229" s="992"/>
      <c r="C11229" s="32" t="s">
        <v>952</v>
      </c>
      <c r="D11229" s="1"/>
      <c r="F11229" s="231" t="s">
        <v>953</v>
      </c>
      <c r="G11229" s="1"/>
      <c r="H11229" s="68"/>
      <c r="I11229" s="1024">
        <v>0.0</v>
      </c>
      <c r="K11229" s="9" t="s">
        <v>3880</v>
      </c>
      <c r="L11229" s="77"/>
      <c r="M11229" s="79"/>
      <c r="N11229" s="1"/>
      <c r="O11229" s="1"/>
      <c r="P11229" s="1"/>
      <c r="Q11229" s="1"/>
      <c r="R11229" s="1"/>
      <c r="S11229" s="1"/>
      <c r="T11229" s="1"/>
      <c r="U11229" s="1"/>
      <c r="V11229" s="1"/>
      <c r="W11229" s="1"/>
      <c r="X11229" s="1"/>
      <c r="Y11229" s="1"/>
      <c r="Z11229" s="1"/>
      <c r="AA11229" s="1"/>
      <c r="AB11229" s="1"/>
      <c r="AC11229" s="1"/>
      <c r="AD11229" s="1"/>
      <c r="AE11229" s="1"/>
      <c r="AF11229" s="1"/>
      <c r="AG11229" s="1"/>
      <c r="AH11229" s="1"/>
    </row>
    <row r="11230" ht="12.75" hidden="1" customHeight="1" outlineLevel="1">
      <c r="A11230" s="202">
        <v>43593.0</v>
      </c>
      <c r="B11230" s="992"/>
      <c r="C11230" s="32" t="s">
        <v>955</v>
      </c>
      <c r="D11230" s="1"/>
      <c r="F11230" s="231" t="s">
        <v>3718</v>
      </c>
      <c r="G11230" s="1"/>
      <c r="H11230" s="68"/>
      <c r="I11230" s="1024">
        <v>0.0</v>
      </c>
      <c r="K11230" s="9" t="s">
        <v>3881</v>
      </c>
      <c r="L11230" s="77"/>
      <c r="M11230" s="79"/>
      <c r="N11230" s="1"/>
      <c r="O11230" s="1"/>
      <c r="P11230" s="1"/>
      <c r="Q11230" s="1"/>
      <c r="R11230" s="1"/>
      <c r="S11230" s="1"/>
      <c r="T11230" s="1"/>
      <c r="U11230" s="1"/>
      <c r="V11230" s="1"/>
      <c r="W11230" s="1"/>
      <c r="X11230" s="1"/>
      <c r="Y11230" s="1"/>
      <c r="Z11230" s="1"/>
      <c r="AA11230" s="1"/>
      <c r="AB11230" s="1"/>
      <c r="AC11230" s="1"/>
      <c r="AD11230" s="1"/>
      <c r="AE11230" s="1"/>
      <c r="AF11230" s="1"/>
      <c r="AG11230" s="1"/>
      <c r="AH11230" s="1"/>
    </row>
    <row r="11231" ht="12.75" hidden="1" customHeight="1" outlineLevel="1">
      <c r="A11231" s="202">
        <v>43593.0</v>
      </c>
      <c r="B11231" s="992"/>
      <c r="C11231" s="32" t="s">
        <v>958</v>
      </c>
      <c r="D11231" s="1"/>
      <c r="F11231" s="231" t="s">
        <v>3820</v>
      </c>
      <c r="G11231" s="1"/>
      <c r="H11231" s="68"/>
      <c r="I11231" s="1024">
        <v>1.0</v>
      </c>
      <c r="K11231" s="9" t="s">
        <v>3878</v>
      </c>
      <c r="L11231" s="77"/>
      <c r="M11231" s="79"/>
      <c r="N11231" s="1"/>
      <c r="O11231" s="1"/>
      <c r="P11231" s="1"/>
      <c r="Q11231" s="1"/>
      <c r="R11231" s="1"/>
      <c r="S11231" s="1"/>
      <c r="T11231" s="1"/>
      <c r="U11231" s="1"/>
      <c r="V11231" s="1"/>
      <c r="W11231" s="1"/>
      <c r="X11231" s="1"/>
      <c r="Y11231" s="1"/>
      <c r="Z11231" s="1"/>
      <c r="AA11231" s="1"/>
      <c r="AB11231" s="1"/>
      <c r="AC11231" s="1"/>
      <c r="AD11231" s="1"/>
      <c r="AE11231" s="1"/>
      <c r="AF11231" s="1"/>
      <c r="AG11231" s="1"/>
      <c r="AH11231" s="1"/>
    </row>
    <row r="11232" ht="12.75" hidden="1" customHeight="1" outlineLevel="1">
      <c r="A11232" s="202">
        <v>43593.0</v>
      </c>
      <c r="B11232" s="992"/>
      <c r="C11232" s="32" t="s">
        <v>961</v>
      </c>
      <c r="D11232" s="1"/>
      <c r="F11232" s="245" t="s">
        <v>3721</v>
      </c>
      <c r="G11232" s="247"/>
      <c r="H11232" s="1025"/>
      <c r="I11232" s="1026">
        <v>2.0</v>
      </c>
      <c r="K11232" s="9" t="s">
        <v>964</v>
      </c>
      <c r="L11232" s="77"/>
      <c r="M11232" s="79"/>
      <c r="N11232" s="1"/>
      <c r="O11232" s="1"/>
      <c r="P11232" s="1"/>
      <c r="Q11232" s="1"/>
      <c r="R11232" s="1"/>
      <c r="S11232" s="1"/>
      <c r="T11232" s="1"/>
      <c r="U11232" s="1"/>
      <c r="V11232" s="1"/>
      <c r="W11232" s="1"/>
      <c r="X11232" s="1"/>
      <c r="Y11232" s="1"/>
      <c r="Z11232" s="1"/>
      <c r="AA11232" s="1"/>
      <c r="AB11232" s="1"/>
      <c r="AC11232" s="1"/>
      <c r="AD11232" s="1"/>
      <c r="AE11232" s="1"/>
      <c r="AF11232" s="1"/>
      <c r="AG11232" s="1"/>
      <c r="AH11232" s="1"/>
    </row>
    <row r="11233" ht="12.75" hidden="1" customHeight="1" outlineLevel="1">
      <c r="A11233" s="202">
        <v>43594.0</v>
      </c>
      <c r="B11233" s="985" t="s">
        <v>343</v>
      </c>
      <c r="C11233" s="94" t="s">
        <v>1035</v>
      </c>
      <c r="D11233" s="94">
        <v>10.0</v>
      </c>
      <c r="E11233" s="94">
        <v>1173.99</v>
      </c>
      <c r="F11233" s="1003">
        <v>0.5289583333333333</v>
      </c>
      <c r="G11233" s="1004" t="s">
        <v>453</v>
      </c>
      <c r="H11233" s="987">
        <v>1.0</v>
      </c>
      <c r="I11233" s="988" t="s">
        <v>3145</v>
      </c>
      <c r="J11233" s="67">
        <f t="shared" ref="J11233:J11242" si="633">IF(B11233="SLD",D11233*E11233,-D11233*E11233)-H11233</f>
        <v>-11740.9</v>
      </c>
      <c r="K11233" s="1"/>
      <c r="L11233" s="70"/>
      <c r="M11233" s="79"/>
      <c r="N11233" s="1"/>
      <c r="O11233" s="1"/>
      <c r="P11233" s="1"/>
      <c r="Q11233" s="1"/>
      <c r="R11233" s="1"/>
      <c r="S11233" s="1"/>
      <c r="T11233" s="1"/>
      <c r="U11233" s="1"/>
      <c r="V11233" s="1"/>
      <c r="W11233" s="1"/>
      <c r="X11233" s="1"/>
      <c r="Y11233" s="1"/>
      <c r="Z11233" s="1"/>
      <c r="AA11233" s="1"/>
      <c r="AB11233" s="1"/>
      <c r="AC11233" s="1"/>
      <c r="AD11233" s="1"/>
      <c r="AE11233" s="1"/>
      <c r="AF11233" s="1"/>
      <c r="AG11233" s="1"/>
      <c r="AH11233" s="1"/>
    </row>
    <row r="11234" ht="12.75" hidden="1" customHeight="1" outlineLevel="1">
      <c r="A11234" s="202">
        <v>43594.0</v>
      </c>
      <c r="B11234" s="985" t="s">
        <v>343</v>
      </c>
      <c r="C11234" s="94" t="s">
        <v>605</v>
      </c>
      <c r="D11234" s="94">
        <v>400.0</v>
      </c>
      <c r="E11234" s="94">
        <v>85.385</v>
      </c>
      <c r="F11234" s="1003">
        <v>0.530162037037037</v>
      </c>
      <c r="G11234" s="1004" t="s">
        <v>453</v>
      </c>
      <c r="H11234" s="987">
        <v>2.0</v>
      </c>
      <c r="I11234" s="988" t="s">
        <v>3145</v>
      </c>
      <c r="J11234" s="67">
        <f t="shared" si="633"/>
        <v>-34156</v>
      </c>
      <c r="K11234" s="1"/>
      <c r="L11234" s="70"/>
      <c r="M11234" s="79"/>
      <c r="N11234" s="1"/>
      <c r="O11234" s="1"/>
      <c r="P11234" s="1"/>
      <c r="Q11234" s="1"/>
      <c r="R11234" s="1"/>
      <c r="S11234" s="1"/>
      <c r="T11234" s="1"/>
      <c r="U11234" s="1"/>
      <c r="V11234" s="1"/>
      <c r="W11234" s="1"/>
      <c r="X11234" s="1"/>
      <c r="Y11234" s="1"/>
      <c r="Z11234" s="1"/>
      <c r="AA11234" s="1"/>
      <c r="AB11234" s="1"/>
      <c r="AC11234" s="1"/>
      <c r="AD11234" s="1"/>
      <c r="AE11234" s="1"/>
      <c r="AF11234" s="1"/>
      <c r="AG11234" s="1"/>
      <c r="AH11234" s="1"/>
    </row>
    <row r="11235" ht="12.75" hidden="1" customHeight="1" outlineLevel="1">
      <c r="A11235" s="202">
        <v>43594.0</v>
      </c>
      <c r="B11235" s="985" t="s">
        <v>343</v>
      </c>
      <c r="C11235" s="94" t="s">
        <v>3249</v>
      </c>
      <c r="D11235" s="94">
        <v>600.0</v>
      </c>
      <c r="E11235" s="94">
        <v>16.739</v>
      </c>
      <c r="F11235" s="1003">
        <v>0.5357407407407407</v>
      </c>
      <c r="G11235" s="1004" t="s">
        <v>453</v>
      </c>
      <c r="H11235" s="987">
        <v>3.0</v>
      </c>
      <c r="I11235" s="988" t="s">
        <v>3145</v>
      </c>
      <c r="J11235" s="67">
        <f t="shared" si="633"/>
        <v>-10046.4</v>
      </c>
      <c r="K11235" s="1"/>
      <c r="L11235" s="70"/>
      <c r="M11235" s="79"/>
      <c r="N11235" s="1"/>
      <c r="O11235" s="1"/>
      <c r="P11235" s="1"/>
      <c r="Q11235" s="1"/>
      <c r="R11235" s="1"/>
      <c r="S11235" s="1"/>
      <c r="T11235" s="1"/>
      <c r="U11235" s="1"/>
      <c r="V11235" s="1"/>
      <c r="W11235" s="1"/>
      <c r="X11235" s="1"/>
      <c r="Y11235" s="1"/>
      <c r="Z11235" s="1"/>
      <c r="AA11235" s="1"/>
      <c r="AB11235" s="1"/>
      <c r="AC11235" s="1"/>
      <c r="AD11235" s="1"/>
      <c r="AE11235" s="1"/>
      <c r="AF11235" s="1"/>
      <c r="AG11235" s="1"/>
      <c r="AH11235" s="1"/>
    </row>
    <row r="11236" ht="12.75" hidden="1" customHeight="1" outlineLevel="1">
      <c r="A11236" s="202">
        <v>43594.0</v>
      </c>
      <c r="B11236" s="985" t="s">
        <v>343</v>
      </c>
      <c r="C11236" s="94" t="s">
        <v>381</v>
      </c>
      <c r="D11236" s="94">
        <v>50.0</v>
      </c>
      <c r="E11236" s="94">
        <v>189.18</v>
      </c>
      <c r="F11236" s="1003">
        <v>0.5433449074074074</v>
      </c>
      <c r="G11236" s="1004" t="s">
        <v>453</v>
      </c>
      <c r="H11236" s="987">
        <v>1.0</v>
      </c>
      <c r="I11236" s="988" t="s">
        <v>3145</v>
      </c>
      <c r="J11236" s="67">
        <f t="shared" si="633"/>
        <v>-9460</v>
      </c>
      <c r="K11236" s="1"/>
      <c r="L11236" s="70"/>
      <c r="M11236" s="79"/>
      <c r="N11236" s="1"/>
      <c r="O11236" s="1"/>
      <c r="P11236" s="1"/>
      <c r="Q11236" s="1"/>
      <c r="R11236" s="1"/>
      <c r="S11236" s="1"/>
      <c r="T11236" s="1"/>
      <c r="U11236" s="1"/>
      <c r="V11236" s="1"/>
      <c r="W11236" s="1"/>
      <c r="X11236" s="1"/>
      <c r="Y11236" s="1"/>
      <c r="Z11236" s="1"/>
      <c r="AA11236" s="1"/>
      <c r="AB11236" s="1"/>
      <c r="AC11236" s="1"/>
      <c r="AD11236" s="1"/>
      <c r="AE11236" s="1"/>
      <c r="AF11236" s="1"/>
      <c r="AG11236" s="1"/>
      <c r="AH11236" s="1"/>
    </row>
    <row r="11237" ht="12.75" hidden="1" customHeight="1" outlineLevel="1">
      <c r="A11237" s="202">
        <v>43594.0</v>
      </c>
      <c r="B11237" s="985" t="s">
        <v>343</v>
      </c>
      <c r="C11237" s="94" t="s">
        <v>1040</v>
      </c>
      <c r="D11237" s="94">
        <v>50.0</v>
      </c>
      <c r="E11237" s="94">
        <v>125.1</v>
      </c>
      <c r="F11237" s="1003">
        <v>0.5435763888888889</v>
      </c>
      <c r="G11237" s="1004" t="s">
        <v>453</v>
      </c>
      <c r="H11237" s="987">
        <v>1.0</v>
      </c>
      <c r="I11237" s="988" t="s">
        <v>3145</v>
      </c>
      <c r="J11237" s="67">
        <f t="shared" si="633"/>
        <v>-6256</v>
      </c>
      <c r="K11237" s="1"/>
      <c r="L11237" s="70"/>
      <c r="M11237" s="79"/>
      <c r="N11237" s="1"/>
      <c r="O11237" s="1"/>
      <c r="P11237" s="1"/>
      <c r="Q11237" s="1"/>
      <c r="R11237" s="1"/>
      <c r="S11237" s="1"/>
      <c r="T11237" s="1"/>
      <c r="U11237" s="1"/>
      <c r="V11237" s="1"/>
      <c r="W11237" s="1"/>
      <c r="X11237" s="1"/>
      <c r="Y11237" s="1"/>
      <c r="Z11237" s="1"/>
      <c r="AA11237" s="1"/>
      <c r="AB11237" s="1"/>
      <c r="AC11237" s="1"/>
      <c r="AD11237" s="1"/>
      <c r="AE11237" s="1"/>
      <c r="AF11237" s="1"/>
      <c r="AG11237" s="1"/>
      <c r="AH11237" s="1"/>
    </row>
    <row r="11238" ht="12.75" hidden="1" customHeight="1" outlineLevel="1">
      <c r="A11238" s="202">
        <v>43594.0</v>
      </c>
      <c r="B11238" s="985" t="s">
        <v>343</v>
      </c>
      <c r="C11238" s="94" t="s">
        <v>1053</v>
      </c>
      <c r="D11238" s="94">
        <v>5.0</v>
      </c>
      <c r="E11238" s="94">
        <v>1903.07</v>
      </c>
      <c r="F11238" s="1003">
        <v>0.5438657407407408</v>
      </c>
      <c r="G11238" s="1004" t="s">
        <v>453</v>
      </c>
      <c r="H11238" s="987">
        <v>1.0</v>
      </c>
      <c r="I11238" s="988" t="s">
        <v>3145</v>
      </c>
      <c r="J11238" s="67">
        <f t="shared" si="633"/>
        <v>-9516.35</v>
      </c>
      <c r="K11238" s="1"/>
      <c r="L11238" s="70"/>
      <c r="M11238" s="79"/>
      <c r="N11238" s="1"/>
      <c r="O11238" s="1"/>
      <c r="P11238" s="1"/>
      <c r="Q11238" s="1"/>
      <c r="R11238" s="1"/>
      <c r="S11238" s="1"/>
      <c r="T11238" s="1"/>
      <c r="U11238" s="1"/>
      <c r="V11238" s="1"/>
      <c r="W11238" s="1"/>
      <c r="X11238" s="1"/>
      <c r="Y11238" s="1"/>
      <c r="Z11238" s="1"/>
      <c r="AA11238" s="1"/>
      <c r="AB11238" s="1"/>
      <c r="AC11238" s="1"/>
      <c r="AD11238" s="1"/>
      <c r="AE11238" s="1"/>
      <c r="AF11238" s="1"/>
      <c r="AG11238" s="1"/>
      <c r="AH11238" s="1"/>
    </row>
    <row r="11239" ht="12.75" hidden="1" customHeight="1" outlineLevel="1">
      <c r="A11239" s="202">
        <v>43594.0</v>
      </c>
      <c r="B11239" s="985" t="s">
        <v>347</v>
      </c>
      <c r="C11239" s="94" t="s">
        <v>1082</v>
      </c>
      <c r="D11239" s="94">
        <v>7.0</v>
      </c>
      <c r="E11239" s="94">
        <v>1002.0</v>
      </c>
      <c r="F11239" s="1003">
        <v>0.5540277777777778</v>
      </c>
      <c r="G11239" s="1004" t="s">
        <v>453</v>
      </c>
      <c r="H11239" s="987">
        <v>1.15</v>
      </c>
      <c r="I11239" s="988" t="s">
        <v>3145</v>
      </c>
      <c r="J11239" s="67">
        <f t="shared" si="633"/>
        <v>7012.85</v>
      </c>
      <c r="K11239" s="1"/>
      <c r="L11239" s="70"/>
      <c r="M11239" s="79"/>
      <c r="N11239" s="1"/>
      <c r="O11239" s="1"/>
      <c r="P11239" s="1"/>
      <c r="Q11239" s="1"/>
      <c r="R11239" s="1"/>
      <c r="S11239" s="1"/>
      <c r="T11239" s="1"/>
      <c r="U11239" s="1"/>
      <c r="V11239" s="1"/>
      <c r="W11239" s="1"/>
      <c r="X11239" s="1"/>
      <c r="Y11239" s="1"/>
      <c r="Z11239" s="1"/>
      <c r="AA11239" s="1"/>
      <c r="AB11239" s="1"/>
      <c r="AC11239" s="1"/>
      <c r="AD11239" s="1"/>
      <c r="AE11239" s="1"/>
      <c r="AF11239" s="1"/>
      <c r="AG11239" s="1"/>
      <c r="AH11239" s="1"/>
    </row>
    <row r="11240" ht="12.75" hidden="1" customHeight="1" outlineLevel="1">
      <c r="A11240" s="202">
        <v>43594.0</v>
      </c>
      <c r="B11240" s="985" t="s">
        <v>347</v>
      </c>
      <c r="C11240" s="94" t="s">
        <v>1056</v>
      </c>
      <c r="D11240" s="94">
        <v>15.0</v>
      </c>
      <c r="E11240" s="94">
        <v>364.7127</v>
      </c>
      <c r="F11240" s="1003">
        <v>0.5545717592592593</v>
      </c>
      <c r="G11240" s="1004" t="s">
        <v>453</v>
      </c>
      <c r="H11240" s="987">
        <v>1.12</v>
      </c>
      <c r="I11240" s="988" t="s">
        <v>3145</v>
      </c>
      <c r="J11240" s="67">
        <f t="shared" si="633"/>
        <v>5469.5705</v>
      </c>
      <c r="K11240" s="1"/>
      <c r="L11240" s="70"/>
      <c r="M11240" s="79"/>
      <c r="N11240" s="1"/>
      <c r="O11240" s="1"/>
      <c r="P11240" s="1"/>
      <c r="Q11240" s="1"/>
      <c r="R11240" s="1"/>
      <c r="S11240" s="1"/>
      <c r="T11240" s="1"/>
      <c r="U11240" s="1"/>
      <c r="V11240" s="1"/>
      <c r="W11240" s="1"/>
      <c r="X11240" s="1"/>
      <c r="Y11240" s="1"/>
      <c r="Z11240" s="1"/>
      <c r="AA11240" s="1"/>
      <c r="AB11240" s="1"/>
      <c r="AC11240" s="1"/>
      <c r="AD11240" s="1"/>
      <c r="AE11240" s="1"/>
      <c r="AF11240" s="1"/>
      <c r="AG11240" s="1"/>
      <c r="AH11240" s="1"/>
    </row>
    <row r="11241" ht="12.75" hidden="1" customHeight="1" outlineLevel="1">
      <c r="A11241" s="202">
        <v>43594.0</v>
      </c>
      <c r="B11241" s="985" t="s">
        <v>347</v>
      </c>
      <c r="C11241" s="94" t="s">
        <v>1088</v>
      </c>
      <c r="D11241" s="94">
        <v>2.0</v>
      </c>
      <c r="E11241" s="94">
        <v>3267.4327</v>
      </c>
      <c r="F11241" s="1003">
        <v>0.5584953703703703</v>
      </c>
      <c r="G11241" s="1004" t="s">
        <v>453</v>
      </c>
      <c r="H11241" s="987">
        <v>1.14</v>
      </c>
      <c r="I11241" s="988" t="s">
        <v>3145</v>
      </c>
      <c r="J11241" s="67">
        <f t="shared" si="633"/>
        <v>6533.7254</v>
      </c>
      <c r="K11241" s="1"/>
      <c r="L11241" s="70"/>
      <c r="M11241" s="79"/>
      <c r="N11241" s="1"/>
      <c r="O11241" s="1"/>
      <c r="P11241" s="1"/>
      <c r="Q11241" s="1"/>
      <c r="R11241" s="1"/>
      <c r="S11241" s="1"/>
      <c r="T11241" s="1"/>
      <c r="U11241" s="1"/>
      <c r="V11241" s="1"/>
      <c r="W11241" s="1"/>
      <c r="X11241" s="1"/>
      <c r="Y11241" s="1"/>
      <c r="Z11241" s="1"/>
      <c r="AA11241" s="1"/>
      <c r="AB11241" s="1"/>
      <c r="AC11241" s="1"/>
      <c r="AD11241" s="1"/>
      <c r="AE11241" s="1"/>
      <c r="AF11241" s="1"/>
      <c r="AG11241" s="1"/>
      <c r="AH11241" s="1"/>
    </row>
    <row r="11242" ht="12.75" hidden="1" customHeight="1" outlineLevel="1">
      <c r="A11242" s="202">
        <v>43594.0</v>
      </c>
      <c r="B11242" s="985" t="s">
        <v>343</v>
      </c>
      <c r="C11242" s="94" t="s">
        <v>1061</v>
      </c>
      <c r="D11242" s="94">
        <v>300.0</v>
      </c>
      <c r="E11242" s="94">
        <v>50.05</v>
      </c>
      <c r="F11242" s="1003">
        <v>0.5763194444444445</v>
      </c>
      <c r="G11242" s="1004" t="s">
        <v>453</v>
      </c>
      <c r="H11242" s="987">
        <v>1.5</v>
      </c>
      <c r="I11242" s="988" t="s">
        <v>3145</v>
      </c>
      <c r="J11242" s="67">
        <f t="shared" si="633"/>
        <v>-15016.5</v>
      </c>
      <c r="K11242" s="1"/>
      <c r="L11242" s="70"/>
      <c r="M11242" s="79"/>
      <c r="N11242" s="1"/>
      <c r="O11242" s="1"/>
      <c r="P11242" s="1"/>
      <c r="Q11242" s="1"/>
      <c r="R11242" s="1"/>
      <c r="S11242" s="1"/>
      <c r="T11242" s="1"/>
      <c r="U11242" s="1"/>
      <c r="V11242" s="1"/>
      <c r="W11242" s="1"/>
      <c r="X11242" s="1"/>
      <c r="Y11242" s="1"/>
      <c r="Z11242" s="1"/>
      <c r="AA11242" s="1"/>
      <c r="AB11242" s="1"/>
      <c r="AC11242" s="1"/>
      <c r="AD11242" s="1"/>
      <c r="AE11242" s="1"/>
      <c r="AF11242" s="1"/>
      <c r="AG11242" s="1"/>
      <c r="AH11242" s="1"/>
    </row>
    <row r="11243" ht="12.75" hidden="1" customHeight="1" outlineLevel="1">
      <c r="A11243" s="197">
        <v>43594.0</v>
      </c>
      <c r="B11243" s="992"/>
      <c r="C11243" s="32" t="s">
        <v>947</v>
      </c>
      <c r="D11243" s="1"/>
      <c r="E11243" s="94" t="s">
        <v>948</v>
      </c>
      <c r="F11243" s="1022" t="s">
        <v>949</v>
      </c>
      <c r="G11243" s="87"/>
      <c r="H11243" s="199"/>
      <c r="I11243" s="200">
        <v>1.0</v>
      </c>
      <c r="K11243" s="201" t="s">
        <v>3879</v>
      </c>
      <c r="L11243" s="77"/>
      <c r="M11243" s="79"/>
      <c r="N11243" s="1"/>
      <c r="O11243" s="1"/>
      <c r="P11243" s="1"/>
      <c r="Q11243" s="1"/>
      <c r="R11243" s="1"/>
      <c r="S11243" s="1"/>
      <c r="T11243" s="1"/>
      <c r="U11243" s="1"/>
      <c r="V11243" s="1"/>
      <c r="W11243" s="1"/>
      <c r="X11243" s="1"/>
      <c r="Y11243" s="1"/>
      <c r="Z11243" s="1"/>
      <c r="AA11243" s="1"/>
      <c r="AB11243" s="1"/>
      <c r="AC11243" s="1"/>
      <c r="AD11243" s="1"/>
      <c r="AE11243" s="1"/>
      <c r="AF11243" s="1"/>
      <c r="AG11243" s="1"/>
      <c r="AH11243" s="1"/>
    </row>
    <row r="11244" ht="12.75" hidden="1" customHeight="1" outlineLevel="1">
      <c r="A11244" s="202">
        <v>43594.0</v>
      </c>
      <c r="B11244" s="992"/>
      <c r="C11244" s="32" t="s">
        <v>952</v>
      </c>
      <c r="D11244" s="1"/>
      <c r="F11244" s="231" t="s">
        <v>953</v>
      </c>
      <c r="G11244" s="1"/>
      <c r="H11244" s="68"/>
      <c r="I11244" s="204">
        <v>0.0</v>
      </c>
      <c r="K11244" s="9" t="s">
        <v>3882</v>
      </c>
      <c r="L11244" s="77"/>
      <c r="M11244" s="79"/>
      <c r="N11244" s="1"/>
      <c r="O11244" s="1"/>
      <c r="P11244" s="1"/>
      <c r="Q11244" s="1"/>
      <c r="R11244" s="1"/>
      <c r="S11244" s="1"/>
      <c r="T11244" s="1"/>
      <c r="U11244" s="1"/>
      <c r="V11244" s="1"/>
      <c r="W11244" s="1"/>
      <c r="X11244" s="1"/>
      <c r="Y11244" s="1"/>
      <c r="Z11244" s="1"/>
      <c r="AA11244" s="1"/>
      <c r="AB11244" s="1"/>
      <c r="AC11244" s="1"/>
      <c r="AD11244" s="1"/>
      <c r="AE11244" s="1"/>
      <c r="AF11244" s="1"/>
      <c r="AG11244" s="1"/>
      <c r="AH11244" s="1"/>
    </row>
    <row r="11245" ht="12.75" hidden="1" customHeight="1" outlineLevel="1">
      <c r="A11245" s="202">
        <v>43594.0</v>
      </c>
      <c r="B11245" s="992"/>
      <c r="C11245" s="32" t="s">
        <v>955</v>
      </c>
      <c r="D11245" s="1"/>
      <c r="F11245" s="231" t="s">
        <v>3718</v>
      </c>
      <c r="G11245" s="1"/>
      <c r="H11245" s="68"/>
      <c r="I11245" s="204">
        <v>0.0</v>
      </c>
      <c r="K11245" s="9" t="s">
        <v>3737</v>
      </c>
      <c r="L11245" s="77"/>
      <c r="M11245" s="79"/>
      <c r="N11245" s="1"/>
      <c r="O11245" s="1"/>
      <c r="P11245" s="1"/>
      <c r="Q11245" s="1"/>
      <c r="R11245" s="1"/>
      <c r="S11245" s="1"/>
      <c r="T11245" s="1"/>
      <c r="U11245" s="1"/>
      <c r="V11245" s="1"/>
      <c r="W11245" s="1"/>
      <c r="X11245" s="1"/>
      <c r="Y11245" s="1"/>
      <c r="Z11245" s="1"/>
      <c r="AA11245" s="1"/>
      <c r="AB11245" s="1"/>
      <c r="AC11245" s="1"/>
      <c r="AD11245" s="1"/>
      <c r="AE11245" s="1"/>
      <c r="AF11245" s="1"/>
      <c r="AG11245" s="1"/>
      <c r="AH11245" s="1"/>
    </row>
    <row r="11246" ht="12.75" hidden="1" customHeight="1" outlineLevel="1">
      <c r="A11246" s="202">
        <v>43594.0</v>
      </c>
      <c r="B11246" s="992"/>
      <c r="C11246" s="32" t="s">
        <v>958</v>
      </c>
      <c r="D11246" s="1"/>
      <c r="F11246" s="231" t="s">
        <v>3820</v>
      </c>
      <c r="G11246" s="1"/>
      <c r="H11246" s="68"/>
      <c r="I11246" s="204">
        <v>1.0</v>
      </c>
      <c r="K11246" s="9" t="s">
        <v>3878</v>
      </c>
      <c r="L11246" s="77"/>
      <c r="M11246" s="79"/>
      <c r="N11246" s="1"/>
      <c r="O11246" s="1"/>
      <c r="P11246" s="1"/>
      <c r="Q11246" s="1"/>
      <c r="R11246" s="1"/>
      <c r="S11246" s="1"/>
      <c r="T11246" s="1"/>
      <c r="U11246" s="1"/>
      <c r="V11246" s="1"/>
      <c r="W11246" s="1"/>
      <c r="X11246" s="1"/>
      <c r="Y11246" s="1"/>
      <c r="Z11246" s="1"/>
      <c r="AA11246" s="1"/>
      <c r="AB11246" s="1"/>
      <c r="AC11246" s="1"/>
      <c r="AD11246" s="1"/>
      <c r="AE11246" s="1"/>
      <c r="AF11246" s="1"/>
      <c r="AG11246" s="1"/>
      <c r="AH11246" s="1"/>
    </row>
    <row r="11247" ht="12.75" hidden="1" customHeight="1" outlineLevel="1">
      <c r="A11247" s="202">
        <v>43594.0</v>
      </c>
      <c r="B11247" s="992"/>
      <c r="C11247" s="32" t="s">
        <v>961</v>
      </c>
      <c r="D11247" s="1"/>
      <c r="F11247" s="245" t="s">
        <v>3721</v>
      </c>
      <c r="G11247" s="247"/>
      <c r="H11247" s="1025"/>
      <c r="I11247" s="1032">
        <v>2.0</v>
      </c>
      <c r="K11247" s="9" t="s">
        <v>964</v>
      </c>
      <c r="L11247" s="77"/>
      <c r="M11247" s="79"/>
      <c r="N11247" s="1"/>
      <c r="O11247" s="1"/>
      <c r="P11247" s="1"/>
      <c r="Q11247" s="1"/>
      <c r="R11247" s="1"/>
      <c r="S11247" s="1"/>
      <c r="T11247" s="1"/>
      <c r="U11247" s="1"/>
      <c r="V11247" s="1"/>
      <c r="W11247" s="1"/>
      <c r="X11247" s="1"/>
      <c r="Y11247" s="1"/>
      <c r="Z11247" s="1"/>
      <c r="AA11247" s="1"/>
      <c r="AB11247" s="1"/>
      <c r="AC11247" s="1"/>
      <c r="AD11247" s="1"/>
      <c r="AE11247" s="1"/>
      <c r="AF11247" s="1"/>
      <c r="AG11247" s="1"/>
      <c r="AH11247" s="1"/>
    </row>
    <row r="11248" ht="12.75" hidden="1" customHeight="1" outlineLevel="1">
      <c r="A11248" s="122">
        <v>43595.0</v>
      </c>
      <c r="B11248" s="974" t="s">
        <v>343</v>
      </c>
      <c r="C11248" s="32" t="s">
        <v>1040</v>
      </c>
      <c r="D11248" s="9">
        <v>100.0</v>
      </c>
      <c r="E11248" s="9">
        <v>126.56</v>
      </c>
      <c r="F11248" s="709">
        <v>0.5784143518518519</v>
      </c>
      <c r="G11248" s="195" t="s">
        <v>453</v>
      </c>
      <c r="H11248" s="710">
        <v>1.0</v>
      </c>
      <c r="I11248" s="256" t="s">
        <v>3145</v>
      </c>
      <c r="J11248" s="67">
        <f>IF(B11248="SLD",D11248*E11248,-D11248*E11248)-H11248</f>
        <v>-12657</v>
      </c>
      <c r="K11248" s="1"/>
      <c r="L11248" s="70"/>
      <c r="M11248" s="79"/>
      <c r="N11248" s="1"/>
      <c r="O11248" s="1"/>
      <c r="P11248" s="1"/>
      <c r="Q11248" s="1"/>
      <c r="R11248" s="1"/>
      <c r="S11248" s="1"/>
      <c r="T11248" s="1"/>
      <c r="U11248" s="1"/>
      <c r="V11248" s="1"/>
      <c r="W11248" s="1"/>
      <c r="X11248" s="1"/>
      <c r="Y11248" s="1"/>
      <c r="Z11248" s="1"/>
      <c r="AA11248" s="1"/>
      <c r="AB11248" s="1"/>
      <c r="AC11248" s="1"/>
      <c r="AD11248" s="1"/>
      <c r="AE11248" s="1"/>
      <c r="AF11248" s="1"/>
      <c r="AG11248" s="1"/>
      <c r="AH11248" s="1"/>
    </row>
    <row r="11249" ht="12.75" hidden="1" customHeight="1" outlineLevel="1">
      <c r="A11249" s="197">
        <v>43595.0</v>
      </c>
      <c r="B11249" s="992"/>
      <c r="C11249" s="32" t="s">
        <v>947</v>
      </c>
      <c r="D11249" s="1"/>
      <c r="E11249" s="94" t="s">
        <v>948</v>
      </c>
      <c r="F11249" s="1022" t="s">
        <v>949</v>
      </c>
      <c r="G11249" s="87"/>
      <c r="H11249" s="199"/>
      <c r="I11249" s="200">
        <v>1.0</v>
      </c>
      <c r="K11249" s="201" t="s">
        <v>3879</v>
      </c>
      <c r="L11249" s="77"/>
      <c r="M11249" s="79"/>
      <c r="N11249" s="1"/>
      <c r="O11249" s="1"/>
      <c r="P11249" s="1"/>
      <c r="Q11249" s="1"/>
      <c r="R11249" s="1"/>
      <c r="S11249" s="1"/>
      <c r="T11249" s="1"/>
      <c r="U11249" s="1"/>
      <c r="V11249" s="1"/>
      <c r="W11249" s="1"/>
      <c r="X11249" s="1"/>
      <c r="Y11249" s="1"/>
      <c r="Z11249" s="1"/>
      <c r="AA11249" s="1"/>
      <c r="AB11249" s="1"/>
      <c r="AC11249" s="1"/>
      <c r="AD11249" s="1"/>
      <c r="AE11249" s="1"/>
      <c r="AF11249" s="1"/>
      <c r="AG11249" s="1"/>
      <c r="AH11249" s="1"/>
    </row>
    <row r="11250" ht="12.75" hidden="1" customHeight="1" outlineLevel="1">
      <c r="A11250" s="202">
        <v>43595.0</v>
      </c>
      <c r="B11250" s="992"/>
      <c r="C11250" s="32" t="s">
        <v>952</v>
      </c>
      <c r="D11250" s="1"/>
      <c r="F11250" s="231" t="s">
        <v>953</v>
      </c>
      <c r="G11250" s="1"/>
      <c r="H11250" s="68"/>
      <c r="I11250" s="204">
        <v>0.0</v>
      </c>
      <c r="K11250" s="9" t="s">
        <v>3883</v>
      </c>
      <c r="L11250" s="77"/>
      <c r="M11250" s="79"/>
      <c r="N11250" s="1"/>
      <c r="O11250" s="1"/>
      <c r="P11250" s="1"/>
      <c r="Q11250" s="1"/>
      <c r="R11250" s="1"/>
      <c r="S11250" s="1"/>
      <c r="T11250" s="1"/>
      <c r="U11250" s="1"/>
      <c r="V11250" s="1"/>
      <c r="W11250" s="1"/>
      <c r="X11250" s="1"/>
      <c r="Y11250" s="1"/>
      <c r="Z11250" s="1"/>
      <c r="AA11250" s="1"/>
      <c r="AB11250" s="1"/>
      <c r="AC11250" s="1"/>
      <c r="AD11250" s="1"/>
      <c r="AE11250" s="1"/>
      <c r="AF11250" s="1"/>
      <c r="AG11250" s="1"/>
      <c r="AH11250" s="1"/>
    </row>
    <row r="11251" ht="12.75" hidden="1" customHeight="1" outlineLevel="1">
      <c r="A11251" s="202">
        <v>43595.0</v>
      </c>
      <c r="B11251" s="992"/>
      <c r="C11251" s="32" t="s">
        <v>955</v>
      </c>
      <c r="D11251" s="1"/>
      <c r="F11251" s="231" t="s">
        <v>3718</v>
      </c>
      <c r="G11251" s="1"/>
      <c r="H11251" s="68"/>
      <c r="I11251" s="204">
        <v>0.0</v>
      </c>
      <c r="K11251" s="9" t="s">
        <v>3884</v>
      </c>
      <c r="L11251" s="77"/>
      <c r="M11251" s="79"/>
      <c r="N11251" s="1"/>
      <c r="O11251" s="1"/>
      <c r="P11251" s="1"/>
      <c r="Q11251" s="1"/>
      <c r="R11251" s="1"/>
      <c r="S11251" s="1"/>
      <c r="T11251" s="1"/>
      <c r="U11251" s="1"/>
      <c r="V11251" s="1"/>
      <c r="W11251" s="1"/>
      <c r="X11251" s="1"/>
      <c r="Y11251" s="1"/>
      <c r="Z11251" s="1"/>
      <c r="AA11251" s="1"/>
      <c r="AB11251" s="1"/>
      <c r="AC11251" s="1"/>
      <c r="AD11251" s="1"/>
      <c r="AE11251" s="1"/>
      <c r="AF11251" s="1"/>
      <c r="AG11251" s="1"/>
      <c r="AH11251" s="1"/>
    </row>
    <row r="11252" ht="12.75" hidden="1" customHeight="1" outlineLevel="1">
      <c r="A11252" s="202">
        <v>43595.0</v>
      </c>
      <c r="B11252" s="992"/>
      <c r="C11252" s="32" t="s">
        <v>958</v>
      </c>
      <c r="D11252" s="1"/>
      <c r="F11252" s="231" t="s">
        <v>3820</v>
      </c>
      <c r="G11252" s="1"/>
      <c r="H11252" s="68"/>
      <c r="I11252" s="204">
        <v>1.0</v>
      </c>
      <c r="K11252" s="9" t="s">
        <v>3885</v>
      </c>
      <c r="L11252" s="77"/>
      <c r="M11252" s="79"/>
      <c r="N11252" s="1"/>
      <c r="O11252" s="1"/>
      <c r="P11252" s="1"/>
      <c r="Q11252" s="1"/>
      <c r="R11252" s="1"/>
      <c r="S11252" s="1"/>
      <c r="T11252" s="1"/>
      <c r="U11252" s="1"/>
      <c r="V11252" s="1"/>
      <c r="W11252" s="1"/>
      <c r="X11252" s="1"/>
      <c r="Y11252" s="1"/>
      <c r="Z11252" s="1"/>
      <c r="AA11252" s="1"/>
      <c r="AB11252" s="1"/>
      <c r="AC11252" s="1"/>
      <c r="AD11252" s="1"/>
      <c r="AE11252" s="1"/>
      <c r="AF11252" s="1"/>
      <c r="AG11252" s="1"/>
      <c r="AH11252" s="1"/>
    </row>
    <row r="11253" ht="12.75" hidden="1" customHeight="1" outlineLevel="1">
      <c r="A11253" s="202">
        <v>43595.0</v>
      </c>
      <c r="B11253" s="992"/>
      <c r="C11253" s="32" t="s">
        <v>961</v>
      </c>
      <c r="D11253" s="1"/>
      <c r="F11253" s="245" t="s">
        <v>3721</v>
      </c>
      <c r="G11253" s="247"/>
      <c r="H11253" s="1025"/>
      <c r="I11253" s="1032">
        <v>2.0</v>
      </c>
      <c r="K11253" s="9" t="s">
        <v>964</v>
      </c>
      <c r="L11253" s="77"/>
      <c r="M11253" s="79"/>
      <c r="N11253" s="1"/>
      <c r="O11253" s="1"/>
      <c r="P11253" s="1"/>
      <c r="Q11253" s="1"/>
      <c r="R11253" s="1"/>
      <c r="S11253" s="1"/>
      <c r="T11253" s="1"/>
      <c r="U11253" s="1"/>
      <c r="V11253" s="1"/>
      <c r="W11253" s="1"/>
      <c r="X11253" s="1"/>
      <c r="Y11253" s="1"/>
      <c r="Z11253" s="1"/>
      <c r="AA11253" s="1"/>
      <c r="AB11253" s="1"/>
      <c r="AC11253" s="1"/>
      <c r="AD11253" s="1"/>
      <c r="AE11253" s="1"/>
      <c r="AF11253" s="1"/>
      <c r="AG11253" s="1"/>
      <c r="AH11253" s="1"/>
    </row>
    <row r="11254" ht="12.75" hidden="1" customHeight="1" outlineLevel="1">
      <c r="A11254" s="197">
        <v>43600.0</v>
      </c>
      <c r="B11254" s="992"/>
      <c r="C11254" s="32" t="s">
        <v>947</v>
      </c>
      <c r="D11254" s="1"/>
      <c r="E11254" s="94" t="s">
        <v>948</v>
      </c>
      <c r="F11254" s="1022" t="s">
        <v>949</v>
      </c>
      <c r="G11254" s="87"/>
      <c r="H11254" s="199"/>
      <c r="I11254" s="200">
        <v>1.0</v>
      </c>
      <c r="K11254" s="201" t="s">
        <v>3879</v>
      </c>
      <c r="L11254" s="77"/>
      <c r="M11254" s="79"/>
      <c r="N11254" s="1"/>
      <c r="O11254" s="1"/>
      <c r="P11254" s="1"/>
      <c r="Q11254" s="1"/>
      <c r="R11254" s="1"/>
      <c r="S11254" s="1"/>
      <c r="T11254" s="1"/>
      <c r="U11254" s="1"/>
      <c r="V11254" s="1"/>
      <c r="W11254" s="1"/>
      <c r="X11254" s="1"/>
      <c r="Y11254" s="1"/>
      <c r="Z11254" s="1"/>
      <c r="AA11254" s="1"/>
      <c r="AB11254" s="1"/>
      <c r="AC11254" s="1"/>
      <c r="AD11254" s="1"/>
      <c r="AE11254" s="1"/>
      <c r="AF11254" s="1"/>
      <c r="AG11254" s="1"/>
      <c r="AH11254" s="1"/>
    </row>
    <row r="11255" ht="12.75" hidden="1" customHeight="1" outlineLevel="1">
      <c r="A11255" s="202">
        <v>43600.0</v>
      </c>
      <c r="B11255" s="992"/>
      <c r="C11255" s="32" t="s">
        <v>952</v>
      </c>
      <c r="D11255" s="1"/>
      <c r="F11255" s="231" t="s">
        <v>953</v>
      </c>
      <c r="G11255" s="1"/>
      <c r="H11255" s="68"/>
      <c r="I11255" s="204">
        <v>0.0</v>
      </c>
      <c r="K11255" s="9" t="s">
        <v>3886</v>
      </c>
      <c r="L11255" s="77"/>
      <c r="M11255" s="79"/>
      <c r="N11255" s="1"/>
      <c r="O11255" s="1"/>
      <c r="P11255" s="1"/>
      <c r="Q11255" s="1"/>
      <c r="R11255" s="1"/>
      <c r="S11255" s="1"/>
      <c r="T11255" s="1"/>
      <c r="U11255" s="1"/>
      <c r="V11255" s="1"/>
      <c r="W11255" s="1"/>
      <c r="X11255" s="1"/>
      <c r="Y11255" s="1"/>
      <c r="Z11255" s="1"/>
      <c r="AA11255" s="1"/>
      <c r="AB11255" s="1"/>
      <c r="AC11255" s="1"/>
      <c r="AD11255" s="1"/>
      <c r="AE11255" s="1"/>
      <c r="AF11255" s="1"/>
      <c r="AG11255" s="1"/>
      <c r="AH11255" s="1"/>
    </row>
    <row r="11256" ht="12.75" hidden="1" customHeight="1" outlineLevel="1">
      <c r="A11256" s="202">
        <v>43600.0</v>
      </c>
      <c r="B11256" s="992"/>
      <c r="C11256" s="32" t="s">
        <v>955</v>
      </c>
      <c r="D11256" s="1"/>
      <c r="F11256" s="231" t="s">
        <v>3718</v>
      </c>
      <c r="G11256" s="1"/>
      <c r="H11256" s="68"/>
      <c r="I11256" s="204">
        <v>0.0</v>
      </c>
      <c r="K11256" s="9" t="s">
        <v>3887</v>
      </c>
      <c r="L11256" s="77"/>
      <c r="M11256" s="79"/>
      <c r="N11256" s="1"/>
      <c r="O11256" s="1"/>
      <c r="P11256" s="1"/>
      <c r="Q11256" s="1"/>
      <c r="R11256" s="1"/>
      <c r="S11256" s="1"/>
      <c r="T11256" s="1"/>
      <c r="U11256" s="1"/>
      <c r="V11256" s="1"/>
      <c r="W11256" s="1"/>
      <c r="X11256" s="1"/>
      <c r="Y11256" s="1"/>
      <c r="Z11256" s="1"/>
      <c r="AA11256" s="1"/>
      <c r="AB11256" s="1"/>
      <c r="AC11256" s="1"/>
      <c r="AD11256" s="1"/>
      <c r="AE11256" s="1"/>
      <c r="AF11256" s="1"/>
      <c r="AG11256" s="1"/>
      <c r="AH11256" s="1"/>
    </row>
    <row r="11257" ht="12.75" hidden="1" customHeight="1" outlineLevel="1">
      <c r="A11257" s="202">
        <v>43600.0</v>
      </c>
      <c r="B11257" s="992"/>
      <c r="C11257" s="32" t="s">
        <v>958</v>
      </c>
      <c r="D11257" s="1"/>
      <c r="F11257" s="231" t="s">
        <v>3820</v>
      </c>
      <c r="G11257" s="1"/>
      <c r="H11257" s="68"/>
      <c r="I11257" s="204">
        <v>1.0</v>
      </c>
      <c r="K11257" s="9" t="s">
        <v>3888</v>
      </c>
      <c r="L11257" s="77"/>
      <c r="M11257" s="79"/>
      <c r="N11257" s="1"/>
      <c r="O11257" s="1"/>
      <c r="P11257" s="1"/>
      <c r="Q11257" s="1"/>
      <c r="R11257" s="1"/>
      <c r="S11257" s="1"/>
      <c r="T11257" s="1"/>
      <c r="U11257" s="1"/>
      <c r="V11257" s="1"/>
      <c r="W11257" s="1"/>
      <c r="X11257" s="1"/>
      <c r="Y11257" s="1"/>
      <c r="Z11257" s="1"/>
      <c r="AA11257" s="1"/>
      <c r="AB11257" s="1"/>
      <c r="AC11257" s="1"/>
      <c r="AD11257" s="1"/>
      <c r="AE11257" s="1"/>
      <c r="AF11257" s="1"/>
      <c r="AG11257" s="1"/>
      <c r="AH11257" s="1"/>
    </row>
    <row r="11258" ht="12.75" hidden="1" customHeight="1" outlineLevel="1">
      <c r="A11258" s="202">
        <v>43600.0</v>
      </c>
      <c r="B11258" s="992"/>
      <c r="C11258" s="32" t="s">
        <v>961</v>
      </c>
      <c r="D11258" s="1"/>
      <c r="F11258" s="245" t="s">
        <v>3721</v>
      </c>
      <c r="G11258" s="247"/>
      <c r="H11258" s="1025"/>
      <c r="I11258" s="1032">
        <v>2.0</v>
      </c>
      <c r="K11258" s="9" t="s">
        <v>964</v>
      </c>
      <c r="L11258" s="77"/>
      <c r="M11258" s="79"/>
      <c r="N11258" s="1"/>
      <c r="O11258" s="1"/>
      <c r="P11258" s="1"/>
      <c r="Q11258" s="1"/>
      <c r="R11258" s="1"/>
      <c r="S11258" s="1"/>
      <c r="T11258" s="1"/>
      <c r="U11258" s="1"/>
      <c r="V11258" s="1"/>
      <c r="W11258" s="1"/>
      <c r="X11258" s="1"/>
      <c r="Y11258" s="1"/>
      <c r="Z11258" s="1"/>
      <c r="AA11258" s="1"/>
      <c r="AB11258" s="1"/>
      <c r="AC11258" s="1"/>
      <c r="AD11258" s="1"/>
      <c r="AE11258" s="1"/>
      <c r="AF11258" s="1"/>
      <c r="AG11258" s="1"/>
      <c r="AH11258" s="1"/>
    </row>
    <row r="11259" ht="12.75" hidden="1" customHeight="1" outlineLevel="1">
      <c r="A11259" s="122">
        <v>43601.0</v>
      </c>
      <c r="B11259" s="974" t="s">
        <v>347</v>
      </c>
      <c r="C11259" s="32" t="s">
        <v>346</v>
      </c>
      <c r="D11259" s="9">
        <v>50.0</v>
      </c>
      <c r="E11259" s="9">
        <v>189.9927</v>
      </c>
      <c r="F11259" s="709">
        <v>0.6581018518518519</v>
      </c>
      <c r="G11259" s="195" t="s">
        <v>453</v>
      </c>
      <c r="H11259" s="710">
        <v>1.2</v>
      </c>
      <c r="I11259" s="256" t="s">
        <v>3145</v>
      </c>
      <c r="J11259" s="67">
        <f t="shared" ref="J11259:J11261" si="634">IF(B11259="SLD",D11259*E11259,-D11259*E11259)-H11259</f>
        <v>9498.435</v>
      </c>
      <c r="K11259" s="1"/>
      <c r="L11259" s="70"/>
      <c r="M11259" s="79"/>
      <c r="N11259" s="1"/>
      <c r="O11259" s="1"/>
      <c r="P11259" s="1"/>
      <c r="Q11259" s="1"/>
      <c r="R11259" s="1"/>
      <c r="S11259" s="1"/>
      <c r="T11259" s="1"/>
      <c r="U11259" s="1"/>
      <c r="V11259" s="1"/>
      <c r="W11259" s="1"/>
      <c r="X11259" s="1"/>
      <c r="Y11259" s="1"/>
      <c r="Z11259" s="1"/>
      <c r="AA11259" s="1"/>
      <c r="AB11259" s="1"/>
      <c r="AC11259" s="1"/>
      <c r="AD11259" s="1"/>
      <c r="AE11259" s="1"/>
      <c r="AF11259" s="1"/>
      <c r="AG11259" s="1"/>
      <c r="AH11259" s="1"/>
    </row>
    <row r="11260" ht="12.75" hidden="1" customHeight="1" outlineLevel="1">
      <c r="A11260" s="122">
        <v>43601.0</v>
      </c>
      <c r="B11260" s="974" t="s">
        <v>343</v>
      </c>
      <c r="C11260" s="32" t="s">
        <v>1074</v>
      </c>
      <c r="D11260" s="9">
        <v>50.0</v>
      </c>
      <c r="E11260" s="9">
        <v>192.5773</v>
      </c>
      <c r="F11260" s="709">
        <v>0.6585648148148148</v>
      </c>
      <c r="G11260" s="195" t="s">
        <v>453</v>
      </c>
      <c r="H11260" s="710">
        <v>1.0</v>
      </c>
      <c r="I11260" s="256" t="s">
        <v>3145</v>
      </c>
      <c r="J11260" s="67">
        <f t="shared" si="634"/>
        <v>-9629.865</v>
      </c>
      <c r="K11260" s="1"/>
      <c r="L11260" s="70"/>
      <c r="M11260" s="79"/>
      <c r="N11260" s="1"/>
      <c r="O11260" s="1"/>
      <c r="P11260" s="1"/>
      <c r="Q11260" s="1"/>
      <c r="R11260" s="1"/>
      <c r="S11260" s="1"/>
      <c r="T11260" s="1"/>
      <c r="U11260" s="1"/>
      <c r="V11260" s="1"/>
      <c r="W11260" s="1"/>
      <c r="X11260" s="1"/>
      <c r="Y11260" s="1"/>
      <c r="Z11260" s="1"/>
      <c r="AA11260" s="1"/>
      <c r="AB11260" s="1"/>
      <c r="AC11260" s="1"/>
      <c r="AD11260" s="1"/>
      <c r="AE11260" s="1"/>
      <c r="AF11260" s="1"/>
      <c r="AG11260" s="1"/>
      <c r="AH11260" s="1"/>
    </row>
    <row r="11261" ht="12.75" hidden="1" customHeight="1" outlineLevel="1">
      <c r="A11261" s="122">
        <v>43601.0</v>
      </c>
      <c r="B11261" s="974" t="s">
        <v>343</v>
      </c>
      <c r="C11261" s="32" t="s">
        <v>605</v>
      </c>
      <c r="D11261" s="9">
        <v>50.0</v>
      </c>
      <c r="E11261" s="9">
        <v>88.39</v>
      </c>
      <c r="F11261" s="709">
        <v>0.6596759259259259</v>
      </c>
      <c r="G11261" s="195" t="s">
        <v>453</v>
      </c>
      <c r="H11261" s="710">
        <v>1.0</v>
      </c>
      <c r="I11261" s="256" t="s">
        <v>3145</v>
      </c>
      <c r="J11261" s="67">
        <f t="shared" si="634"/>
        <v>-4420.5</v>
      </c>
      <c r="K11261" s="1"/>
      <c r="L11261" s="70"/>
      <c r="M11261" s="79"/>
      <c r="N11261" s="1"/>
      <c r="O11261" s="1"/>
      <c r="P11261" s="1"/>
      <c r="Q11261" s="1"/>
      <c r="R11261" s="1"/>
      <c r="S11261" s="1"/>
      <c r="T11261" s="1"/>
      <c r="U11261" s="1"/>
      <c r="V11261" s="1"/>
      <c r="W11261" s="1"/>
      <c r="X11261" s="1"/>
      <c r="Y11261" s="1"/>
      <c r="Z11261" s="1"/>
      <c r="AA11261" s="1"/>
      <c r="AB11261" s="1"/>
      <c r="AC11261" s="1"/>
      <c r="AD11261" s="1"/>
      <c r="AE11261" s="1"/>
      <c r="AF11261" s="1"/>
      <c r="AG11261" s="1"/>
      <c r="AH11261" s="1"/>
    </row>
    <row r="11262" ht="12.75" hidden="1" customHeight="1" outlineLevel="1">
      <c r="A11262" s="197">
        <v>43606.0</v>
      </c>
      <c r="B11262" s="992"/>
      <c r="C11262" s="32" t="s">
        <v>947</v>
      </c>
      <c r="D11262" s="1"/>
      <c r="E11262" s="94" t="s">
        <v>948</v>
      </c>
      <c r="F11262" s="1022" t="s">
        <v>949</v>
      </c>
      <c r="G11262" s="87"/>
      <c r="H11262" s="199"/>
      <c r="I11262" s="200">
        <v>1.0</v>
      </c>
      <c r="K11262" s="201" t="s">
        <v>3879</v>
      </c>
      <c r="L11262" s="77"/>
      <c r="M11262" s="79"/>
      <c r="N11262" s="1"/>
      <c r="O11262" s="1"/>
      <c r="P11262" s="1"/>
      <c r="Q11262" s="1"/>
      <c r="R11262" s="1"/>
      <c r="S11262" s="1"/>
      <c r="T11262" s="1"/>
      <c r="U11262" s="1"/>
      <c r="V11262" s="1"/>
      <c r="W11262" s="1"/>
      <c r="X11262" s="1"/>
      <c r="Y11262" s="1"/>
      <c r="Z11262" s="1"/>
      <c r="AA11262" s="1"/>
      <c r="AB11262" s="1"/>
      <c r="AC11262" s="1"/>
      <c r="AD11262" s="1"/>
      <c r="AE11262" s="1"/>
      <c r="AF11262" s="1"/>
      <c r="AG11262" s="1"/>
      <c r="AH11262" s="1"/>
    </row>
    <row r="11263" ht="12.75" hidden="1" customHeight="1" outlineLevel="1">
      <c r="A11263" s="202">
        <v>43606.0</v>
      </c>
      <c r="B11263" s="992"/>
      <c r="C11263" s="32" t="s">
        <v>952</v>
      </c>
      <c r="D11263" s="1"/>
      <c r="F11263" s="231" t="s">
        <v>953</v>
      </c>
      <c r="G11263" s="1"/>
      <c r="H11263" s="68"/>
      <c r="I11263" s="204">
        <v>0.0</v>
      </c>
      <c r="K11263" s="9" t="s">
        <v>3889</v>
      </c>
      <c r="L11263" s="77"/>
      <c r="M11263" s="79"/>
      <c r="N11263" s="1"/>
      <c r="O11263" s="1"/>
      <c r="P11263" s="1"/>
      <c r="Q11263" s="1"/>
      <c r="R11263" s="1"/>
      <c r="S11263" s="1"/>
      <c r="T11263" s="1"/>
      <c r="U11263" s="1"/>
      <c r="V11263" s="1"/>
      <c r="W11263" s="1"/>
      <c r="X11263" s="1"/>
      <c r="Y11263" s="1"/>
      <c r="Z11263" s="1"/>
      <c r="AA11263" s="1"/>
      <c r="AB11263" s="1"/>
      <c r="AC11263" s="1"/>
      <c r="AD11263" s="1"/>
      <c r="AE11263" s="1"/>
      <c r="AF11263" s="1"/>
      <c r="AG11263" s="1"/>
      <c r="AH11263" s="1"/>
    </row>
    <row r="11264" ht="12.75" hidden="1" customHeight="1" outlineLevel="1">
      <c r="A11264" s="202">
        <v>43606.0</v>
      </c>
      <c r="B11264" s="992"/>
      <c r="C11264" s="32" t="s">
        <v>955</v>
      </c>
      <c r="D11264" s="1"/>
      <c r="F11264" s="231" t="s">
        <v>3718</v>
      </c>
      <c r="G11264" s="1"/>
      <c r="H11264" s="68"/>
      <c r="I11264" s="204">
        <v>0.0</v>
      </c>
      <c r="K11264" s="9" t="s">
        <v>3890</v>
      </c>
      <c r="L11264" s="77"/>
      <c r="M11264" s="79"/>
      <c r="N11264" s="1"/>
      <c r="O11264" s="1"/>
      <c r="P11264" s="1"/>
      <c r="Q11264" s="1"/>
      <c r="R11264" s="1"/>
      <c r="S11264" s="1"/>
      <c r="T11264" s="1"/>
      <c r="U11264" s="1"/>
      <c r="V11264" s="1"/>
      <c r="W11264" s="1"/>
      <c r="X11264" s="1"/>
      <c r="Y11264" s="1"/>
      <c r="Z11264" s="1"/>
      <c r="AA11264" s="1"/>
      <c r="AB11264" s="1"/>
      <c r="AC11264" s="1"/>
      <c r="AD11264" s="1"/>
      <c r="AE11264" s="1"/>
      <c r="AF11264" s="1"/>
      <c r="AG11264" s="1"/>
      <c r="AH11264" s="1"/>
    </row>
    <row r="11265" ht="12.75" hidden="1" customHeight="1" outlineLevel="1">
      <c r="A11265" s="202">
        <v>43606.0</v>
      </c>
      <c r="B11265" s="992"/>
      <c r="C11265" s="32" t="s">
        <v>958</v>
      </c>
      <c r="D11265" s="1"/>
      <c r="F11265" s="231" t="s">
        <v>3820</v>
      </c>
      <c r="G11265" s="1"/>
      <c r="H11265" s="68"/>
      <c r="I11265" s="204">
        <v>1.0</v>
      </c>
      <c r="K11265" s="9" t="s">
        <v>3891</v>
      </c>
      <c r="L11265" s="77"/>
      <c r="M11265" s="79"/>
      <c r="N11265" s="1"/>
      <c r="O11265" s="1"/>
      <c r="P11265" s="1"/>
      <c r="Q11265" s="1"/>
      <c r="R11265" s="1"/>
      <c r="S11265" s="1"/>
      <c r="T11265" s="1"/>
      <c r="U11265" s="1"/>
      <c r="V11265" s="1"/>
      <c r="W11265" s="1"/>
      <c r="X11265" s="1"/>
      <c r="Y11265" s="1"/>
      <c r="Z11265" s="1"/>
      <c r="AA11265" s="1"/>
      <c r="AB11265" s="1"/>
      <c r="AC11265" s="1"/>
      <c r="AD11265" s="1"/>
      <c r="AE11265" s="1"/>
      <c r="AF11265" s="1"/>
      <c r="AG11265" s="1"/>
      <c r="AH11265" s="1"/>
    </row>
    <row r="11266" ht="12.75" hidden="1" customHeight="1" outlineLevel="1">
      <c r="A11266" s="202">
        <v>43606.0</v>
      </c>
      <c r="B11266" s="992"/>
      <c r="C11266" s="32" t="s">
        <v>961</v>
      </c>
      <c r="D11266" s="1"/>
      <c r="F11266" s="245" t="s">
        <v>3721</v>
      </c>
      <c r="G11266" s="247"/>
      <c r="H11266" s="1025"/>
      <c r="I11266" s="1032">
        <v>2.0</v>
      </c>
      <c r="K11266" s="9" t="s">
        <v>964</v>
      </c>
      <c r="L11266" s="77"/>
      <c r="M11266" s="79"/>
      <c r="N11266" s="1"/>
      <c r="O11266" s="1"/>
      <c r="P11266" s="1"/>
      <c r="Q11266" s="1"/>
      <c r="R11266" s="1"/>
      <c r="S11266" s="1"/>
      <c r="T11266" s="1"/>
      <c r="U11266" s="1"/>
      <c r="V11266" s="1"/>
      <c r="W11266" s="1"/>
      <c r="X11266" s="1"/>
      <c r="Y11266" s="1"/>
      <c r="Z11266" s="1"/>
      <c r="AA11266" s="1"/>
      <c r="AB11266" s="1"/>
      <c r="AC11266" s="1"/>
      <c r="AD11266" s="1"/>
      <c r="AE11266" s="1"/>
      <c r="AF11266" s="1"/>
      <c r="AG11266" s="1"/>
      <c r="AH11266" s="1"/>
    </row>
    <row r="11267" ht="12.75" hidden="1" customHeight="1" outlineLevel="1">
      <c r="A11267" s="122">
        <v>43609.0</v>
      </c>
      <c r="B11267" s="974" t="s">
        <v>347</v>
      </c>
      <c r="C11267" s="32" t="s">
        <v>3249</v>
      </c>
      <c r="D11267" s="9">
        <v>600.0</v>
      </c>
      <c r="E11267" s="9">
        <v>15.71</v>
      </c>
      <c r="F11267" s="709">
        <v>0.6596759259259259</v>
      </c>
      <c r="G11267" s="195" t="s">
        <v>453</v>
      </c>
      <c r="H11267" s="710">
        <v>1.0</v>
      </c>
      <c r="I11267" s="256" t="s">
        <v>3145</v>
      </c>
      <c r="J11267" s="67">
        <f>IF(B11267="SLD",D11267*E11267,-D11267*E11267)-H11267</f>
        <v>9425</v>
      </c>
      <c r="K11267" s="1"/>
      <c r="L11267" s="70"/>
      <c r="M11267" s="79"/>
      <c r="N11267" s="1"/>
      <c r="O11267" s="1"/>
      <c r="P11267" s="1"/>
      <c r="Q11267" s="1"/>
      <c r="R11267" s="1"/>
      <c r="S11267" s="1"/>
      <c r="T11267" s="1"/>
      <c r="U11267" s="1"/>
      <c r="V11267" s="1"/>
      <c r="W11267" s="1"/>
      <c r="X11267" s="1"/>
      <c r="Y11267" s="1"/>
      <c r="Z11267" s="1"/>
      <c r="AA11267" s="1"/>
      <c r="AB11267" s="1"/>
      <c r="AC11267" s="1"/>
      <c r="AD11267" s="1"/>
      <c r="AE11267" s="1"/>
      <c r="AF11267" s="1"/>
      <c r="AG11267" s="1"/>
      <c r="AH11267" s="1"/>
    </row>
    <row r="11268" ht="12.75" hidden="1" customHeight="1" outlineLevel="1">
      <c r="A11268" s="197">
        <v>43609.0</v>
      </c>
      <c r="B11268" s="992"/>
      <c r="C11268" s="32" t="s">
        <v>947</v>
      </c>
      <c r="D11268" s="1"/>
      <c r="E11268" s="94" t="s">
        <v>948</v>
      </c>
      <c r="F11268" s="1022" t="s">
        <v>949</v>
      </c>
      <c r="G11268" s="87"/>
      <c r="H11268" s="199"/>
      <c r="I11268" s="200">
        <v>1.0</v>
      </c>
      <c r="K11268" s="201" t="s">
        <v>3879</v>
      </c>
      <c r="L11268" s="77"/>
      <c r="M11268" s="79"/>
      <c r="N11268" s="1"/>
      <c r="O11268" s="1"/>
      <c r="P11268" s="1"/>
      <c r="Q11268" s="1"/>
      <c r="R11268" s="1"/>
      <c r="S11268" s="1"/>
      <c r="T11268" s="1"/>
      <c r="U11268" s="1"/>
      <c r="V11268" s="1"/>
      <c r="W11268" s="1"/>
      <c r="X11268" s="1"/>
      <c r="Y11268" s="1"/>
      <c r="Z11268" s="1"/>
      <c r="AA11268" s="1"/>
      <c r="AB11268" s="1"/>
      <c r="AC11268" s="1"/>
      <c r="AD11268" s="1"/>
      <c r="AE11268" s="1"/>
      <c r="AF11268" s="1"/>
      <c r="AG11268" s="1"/>
      <c r="AH11268" s="1"/>
    </row>
    <row r="11269" ht="12.75" hidden="1" customHeight="1" outlineLevel="1">
      <c r="A11269" s="202">
        <v>43609.0</v>
      </c>
      <c r="B11269" s="992"/>
      <c r="C11269" s="32" t="s">
        <v>952</v>
      </c>
      <c r="D11269" s="1"/>
      <c r="F11269" s="231" t="s">
        <v>953</v>
      </c>
      <c r="G11269" s="1"/>
      <c r="H11269" s="68"/>
      <c r="I11269" s="204">
        <v>0.0</v>
      </c>
      <c r="K11269" s="9" t="s">
        <v>3889</v>
      </c>
      <c r="L11269" s="77"/>
      <c r="M11269" s="79"/>
      <c r="N11269" s="1"/>
      <c r="O11269" s="1"/>
      <c r="P11269" s="1"/>
      <c r="Q11269" s="1"/>
      <c r="R11269" s="1"/>
      <c r="S11269" s="1"/>
      <c r="T11269" s="1"/>
      <c r="U11269" s="1"/>
      <c r="V11269" s="1"/>
      <c r="W11269" s="1"/>
      <c r="X11269" s="1"/>
      <c r="Y11269" s="1"/>
      <c r="Z11269" s="1"/>
      <c r="AA11269" s="1"/>
      <c r="AB11269" s="1"/>
      <c r="AC11269" s="1"/>
      <c r="AD11269" s="1"/>
      <c r="AE11269" s="1"/>
      <c r="AF11269" s="1"/>
      <c r="AG11269" s="1"/>
      <c r="AH11269" s="1"/>
    </row>
    <row r="11270" ht="12.75" hidden="1" customHeight="1" outlineLevel="1">
      <c r="A11270" s="202">
        <v>43609.0</v>
      </c>
      <c r="B11270" s="992"/>
      <c r="C11270" s="32" t="s">
        <v>955</v>
      </c>
      <c r="D11270" s="1"/>
      <c r="F11270" s="231" t="s">
        <v>3718</v>
      </c>
      <c r="G11270" s="1"/>
      <c r="H11270" s="68"/>
      <c r="I11270" s="204">
        <v>0.0</v>
      </c>
      <c r="K11270" s="9" t="s">
        <v>3892</v>
      </c>
      <c r="L11270" s="77"/>
      <c r="M11270" s="79"/>
      <c r="N11270" s="1"/>
      <c r="O11270" s="1"/>
      <c r="P11270" s="1"/>
      <c r="Q11270" s="1"/>
      <c r="R11270" s="1"/>
      <c r="S11270" s="1"/>
      <c r="T11270" s="1"/>
      <c r="U11270" s="1"/>
      <c r="V11270" s="1"/>
      <c r="W11270" s="1"/>
      <c r="X11270" s="1"/>
      <c r="Y11270" s="1"/>
      <c r="Z11270" s="1"/>
      <c r="AA11270" s="1"/>
      <c r="AB11270" s="1"/>
      <c r="AC11270" s="1"/>
      <c r="AD11270" s="1"/>
      <c r="AE11270" s="1"/>
      <c r="AF11270" s="1"/>
      <c r="AG11270" s="1"/>
      <c r="AH11270" s="1"/>
    </row>
    <row r="11271" ht="12.75" hidden="1" customHeight="1" outlineLevel="1">
      <c r="A11271" s="202">
        <v>43609.0</v>
      </c>
      <c r="B11271" s="992"/>
      <c r="C11271" s="32" t="s">
        <v>958</v>
      </c>
      <c r="D11271" s="1"/>
      <c r="F11271" s="231" t="s">
        <v>3820</v>
      </c>
      <c r="G11271" s="1"/>
      <c r="H11271" s="68"/>
      <c r="I11271" s="204">
        <v>1.0</v>
      </c>
      <c r="K11271" s="9" t="s">
        <v>3891</v>
      </c>
      <c r="L11271" s="77"/>
      <c r="M11271" s="79"/>
      <c r="N11271" s="1"/>
      <c r="O11271" s="1"/>
      <c r="P11271" s="1"/>
      <c r="Q11271" s="1"/>
      <c r="R11271" s="1"/>
      <c r="S11271" s="1"/>
      <c r="T11271" s="1"/>
      <c r="U11271" s="1"/>
      <c r="V11271" s="1"/>
      <c r="W11271" s="1"/>
      <c r="X11271" s="1"/>
      <c r="Y11271" s="1"/>
      <c r="Z11271" s="1"/>
      <c r="AA11271" s="1"/>
      <c r="AB11271" s="1"/>
      <c r="AC11271" s="1"/>
      <c r="AD11271" s="1"/>
      <c r="AE11271" s="1"/>
      <c r="AF11271" s="1"/>
      <c r="AG11271" s="1"/>
      <c r="AH11271" s="1"/>
    </row>
    <row r="11272" ht="12.75" hidden="1" customHeight="1" outlineLevel="1">
      <c r="A11272" s="202">
        <v>43609.0</v>
      </c>
      <c r="B11272" s="992"/>
      <c r="C11272" s="32" t="s">
        <v>961</v>
      </c>
      <c r="D11272" s="1"/>
      <c r="F11272" s="245" t="s">
        <v>3721</v>
      </c>
      <c r="G11272" s="247"/>
      <c r="H11272" s="1025"/>
      <c r="I11272" s="1032">
        <v>2.0</v>
      </c>
      <c r="K11272" s="9" t="s">
        <v>964</v>
      </c>
      <c r="L11272" s="77"/>
      <c r="M11272" s="79"/>
      <c r="N11272" s="1"/>
      <c r="O11272" s="1"/>
      <c r="P11272" s="1"/>
      <c r="Q11272" s="1"/>
      <c r="R11272" s="1"/>
      <c r="S11272" s="1"/>
      <c r="T11272" s="1"/>
      <c r="U11272" s="1"/>
      <c r="V11272" s="1"/>
      <c r="W11272" s="1"/>
      <c r="X11272" s="1"/>
      <c r="Y11272" s="1"/>
      <c r="Z11272" s="1"/>
      <c r="AA11272" s="1"/>
      <c r="AB11272" s="1"/>
      <c r="AC11272" s="1"/>
      <c r="AD11272" s="1"/>
      <c r="AE11272" s="1"/>
      <c r="AF11272" s="1"/>
      <c r="AG11272" s="1"/>
      <c r="AH11272" s="1"/>
    </row>
    <row r="11273" ht="12.75" hidden="1" customHeight="1" outlineLevel="1">
      <c r="A11273" s="202">
        <v>43613.0</v>
      </c>
      <c r="B11273" s="985" t="s">
        <v>347</v>
      </c>
      <c r="C11273" s="94" t="s">
        <v>1061</v>
      </c>
      <c r="D11273" s="94">
        <v>600.0</v>
      </c>
      <c r="E11273" s="94">
        <v>46.181</v>
      </c>
      <c r="F11273" s="1003">
        <v>0.6579282407407407</v>
      </c>
      <c r="G11273" s="1004" t="s">
        <v>453</v>
      </c>
      <c r="H11273" s="987">
        <v>3.64</v>
      </c>
      <c r="I11273" s="988" t="s">
        <v>3145</v>
      </c>
      <c r="J11273" s="67">
        <f t="shared" ref="J11273:J11276" si="635">IF(B11273="SLD",D11273*E11273,-D11273*E11273)-H11273</f>
        <v>27704.96</v>
      </c>
      <c r="K11273" s="1"/>
      <c r="L11273" s="70"/>
      <c r="M11273" s="79"/>
      <c r="N11273" s="1"/>
      <c r="O11273" s="1"/>
      <c r="P11273" s="1"/>
      <c r="Q11273" s="1"/>
      <c r="R11273" s="1"/>
      <c r="S11273" s="1"/>
      <c r="T11273" s="1"/>
      <c r="U11273" s="1"/>
      <c r="V11273" s="1"/>
      <c r="W11273" s="1"/>
      <c r="X11273" s="1"/>
      <c r="Y11273" s="1"/>
      <c r="Z11273" s="1"/>
      <c r="AA11273" s="1"/>
      <c r="AB11273" s="1"/>
      <c r="AC11273" s="1"/>
      <c r="AD11273" s="1"/>
      <c r="AE11273" s="1"/>
      <c r="AF11273" s="1"/>
      <c r="AG11273" s="1"/>
      <c r="AH11273" s="1"/>
    </row>
    <row r="11274" ht="12.75" hidden="1" customHeight="1" outlineLevel="1">
      <c r="A11274" s="122">
        <v>43614.0</v>
      </c>
      <c r="B11274" s="974" t="s">
        <v>343</v>
      </c>
      <c r="C11274" s="32" t="s">
        <v>1061</v>
      </c>
      <c r="D11274" s="9">
        <v>600.0</v>
      </c>
      <c r="E11274" s="9">
        <v>45.998</v>
      </c>
      <c r="F11274" s="709">
        <v>0.650775462962963</v>
      </c>
      <c r="G11274" s="195" t="s">
        <v>453</v>
      </c>
      <c r="H11274" s="710">
        <v>3.0</v>
      </c>
      <c r="I11274" s="256" t="s">
        <v>3145</v>
      </c>
      <c r="J11274" s="67">
        <f t="shared" si="635"/>
        <v>-27601.8</v>
      </c>
      <c r="K11274" s="1"/>
      <c r="L11274" s="70"/>
      <c r="M11274" s="79"/>
      <c r="N11274" s="1"/>
      <c r="O11274" s="1"/>
      <c r="P11274" s="1"/>
      <c r="Q11274" s="1"/>
      <c r="R11274" s="1"/>
      <c r="S11274" s="1"/>
      <c r="T11274" s="1"/>
      <c r="U11274" s="1"/>
      <c r="V11274" s="1"/>
      <c r="W11274" s="1"/>
      <c r="X11274" s="1"/>
      <c r="Y11274" s="1"/>
      <c r="Z11274" s="1"/>
      <c r="AA11274" s="1"/>
      <c r="AB11274" s="1"/>
      <c r="AC11274" s="1"/>
      <c r="AD11274" s="1"/>
      <c r="AE11274" s="1"/>
      <c r="AF11274" s="1"/>
      <c r="AG11274" s="1"/>
      <c r="AH11274" s="1"/>
    </row>
    <row r="11275" ht="12.75" hidden="1" customHeight="1" outlineLevel="1">
      <c r="A11275" s="122">
        <v>43614.0</v>
      </c>
      <c r="B11275" s="974" t="s">
        <v>343</v>
      </c>
      <c r="C11275" s="32" t="s">
        <v>1537</v>
      </c>
      <c r="D11275" s="9">
        <v>250.0</v>
      </c>
      <c r="E11275" s="9">
        <v>24.5969</v>
      </c>
      <c r="F11275" s="709">
        <v>0.6550578703703703</v>
      </c>
      <c r="G11275" s="195" t="s">
        <v>453</v>
      </c>
      <c r="H11275" s="710">
        <v>1.25</v>
      </c>
      <c r="I11275" s="256" t="s">
        <v>3145</v>
      </c>
      <c r="J11275" s="67">
        <f t="shared" si="635"/>
        <v>-6150.475</v>
      </c>
      <c r="K11275" s="1"/>
      <c r="L11275" s="70"/>
      <c r="M11275" s="79"/>
      <c r="N11275" s="1"/>
      <c r="O11275" s="1"/>
      <c r="P11275" s="1"/>
      <c r="Q11275" s="1"/>
      <c r="R11275" s="1"/>
      <c r="S11275" s="1"/>
      <c r="T11275" s="1"/>
      <c r="U11275" s="1"/>
      <c r="V11275" s="1"/>
      <c r="W11275" s="1"/>
      <c r="X11275" s="1"/>
      <c r="Y11275" s="1"/>
      <c r="Z11275" s="1"/>
      <c r="AA11275" s="1"/>
      <c r="AB11275" s="1"/>
      <c r="AC11275" s="1"/>
      <c r="AD11275" s="1"/>
      <c r="AE11275" s="1"/>
      <c r="AF11275" s="1"/>
      <c r="AG11275" s="1"/>
      <c r="AH11275" s="1"/>
    </row>
    <row r="11276" ht="12.75" hidden="1" customHeight="1" outlineLevel="1">
      <c r="A11276" s="122">
        <v>43614.0</v>
      </c>
      <c r="B11276" s="974" t="s">
        <v>343</v>
      </c>
      <c r="C11276" s="32" t="s">
        <v>1525</v>
      </c>
      <c r="D11276" s="9">
        <v>25.0</v>
      </c>
      <c r="E11276" s="9">
        <v>190.8</v>
      </c>
      <c r="F11276" s="709">
        <v>0.6557175925925925</v>
      </c>
      <c r="G11276" s="195" t="s">
        <v>453</v>
      </c>
      <c r="H11276" s="710">
        <v>1.0</v>
      </c>
      <c r="I11276" s="256" t="s">
        <v>3145</v>
      </c>
      <c r="J11276" s="67">
        <f t="shared" si="635"/>
        <v>-4771</v>
      </c>
      <c r="K11276" s="1"/>
      <c r="L11276" s="70"/>
      <c r="M11276" s="79"/>
      <c r="N11276" s="1"/>
      <c r="O11276" s="1"/>
      <c r="P11276" s="1"/>
      <c r="Q11276" s="1"/>
      <c r="R11276" s="1"/>
      <c r="S11276" s="1"/>
      <c r="T11276" s="1"/>
      <c r="U11276" s="1"/>
      <c r="V11276" s="1"/>
      <c r="W11276" s="1"/>
      <c r="X11276" s="1"/>
      <c r="Y11276" s="1"/>
      <c r="Z11276" s="1"/>
      <c r="AA11276" s="1"/>
      <c r="AB11276" s="1"/>
      <c r="AC11276" s="1"/>
      <c r="AD11276" s="1"/>
      <c r="AE11276" s="1"/>
      <c r="AF11276" s="1"/>
      <c r="AG11276" s="1"/>
      <c r="AH11276" s="1"/>
    </row>
    <row r="11277" ht="12.75" hidden="1" customHeight="1" outlineLevel="1">
      <c r="A11277" s="122">
        <v>43614.0</v>
      </c>
      <c r="B11277" s="1"/>
      <c r="C11277" s="1020" t="s">
        <v>947</v>
      </c>
      <c r="D11277" s="150"/>
      <c r="E11277" s="1033" t="s">
        <v>948</v>
      </c>
      <c r="F11277" s="75" t="s">
        <v>949</v>
      </c>
      <c r="G11277" s="67"/>
      <c r="H11277" s="68"/>
      <c r="I11277" s="256">
        <v>1.0</v>
      </c>
      <c r="J11277" s="67"/>
      <c r="K11277" s="1021" t="s">
        <v>3893</v>
      </c>
      <c r="L11277" s="77"/>
      <c r="M11277" s="79"/>
      <c r="N11277" s="1"/>
      <c r="O11277" s="1"/>
      <c r="P11277" s="1"/>
      <c r="Q11277" s="1"/>
      <c r="R11277" s="1"/>
      <c r="S11277" s="1"/>
      <c r="T11277" s="1"/>
      <c r="U11277" s="1"/>
      <c r="V11277" s="1"/>
      <c r="W11277" s="1"/>
      <c r="X11277" s="1"/>
      <c r="Y11277" s="1"/>
      <c r="Z11277" s="1"/>
      <c r="AA11277" s="1"/>
      <c r="AB11277" s="1"/>
      <c r="AC11277" s="1"/>
      <c r="AD11277" s="1"/>
      <c r="AE11277" s="1"/>
      <c r="AF11277" s="1"/>
      <c r="AG11277" s="1"/>
      <c r="AH11277" s="1"/>
    </row>
    <row r="11278" ht="12.75" hidden="1" customHeight="1" outlineLevel="1">
      <c r="A11278" s="122">
        <v>43614.0</v>
      </c>
      <c r="B11278" s="1"/>
      <c r="C11278" s="1020" t="s">
        <v>952</v>
      </c>
      <c r="D11278" s="150"/>
      <c r="E11278" s="150"/>
      <c r="F11278" s="75" t="s">
        <v>953</v>
      </c>
      <c r="G11278" s="67"/>
      <c r="H11278" s="68"/>
      <c r="I11278" s="256">
        <v>0.0</v>
      </c>
      <c r="J11278" s="67"/>
      <c r="K11278" s="1020" t="s">
        <v>3889</v>
      </c>
      <c r="L11278" s="77"/>
      <c r="M11278" s="79"/>
      <c r="N11278" s="1"/>
      <c r="O11278" s="1"/>
      <c r="P11278" s="1"/>
      <c r="Q11278" s="1"/>
      <c r="R11278" s="1"/>
      <c r="S11278" s="1"/>
      <c r="T11278" s="1"/>
      <c r="U11278" s="1"/>
      <c r="V11278" s="1"/>
      <c r="W11278" s="1"/>
      <c r="X11278" s="1"/>
      <c r="Y11278" s="1"/>
      <c r="Z11278" s="1"/>
      <c r="AA11278" s="1"/>
      <c r="AB11278" s="1"/>
      <c r="AC11278" s="1"/>
      <c r="AD11278" s="1"/>
      <c r="AE11278" s="1"/>
      <c r="AF11278" s="1"/>
      <c r="AG11278" s="1"/>
      <c r="AH11278" s="1"/>
    </row>
    <row r="11279" ht="12.75" hidden="1" customHeight="1" outlineLevel="1">
      <c r="A11279" s="122">
        <v>43614.0</v>
      </c>
      <c r="B11279" s="1"/>
      <c r="C11279" s="1020" t="s">
        <v>955</v>
      </c>
      <c r="D11279" s="150"/>
      <c r="E11279" s="150"/>
      <c r="F11279" s="75" t="s">
        <v>3718</v>
      </c>
      <c r="G11279" s="67"/>
      <c r="H11279" s="68"/>
      <c r="I11279" s="256">
        <v>0.0</v>
      </c>
      <c r="J11279" s="67"/>
      <c r="K11279" s="1020" t="s">
        <v>3894</v>
      </c>
      <c r="L11279" s="77"/>
      <c r="M11279" s="79"/>
      <c r="N11279" s="1"/>
      <c r="O11279" s="1"/>
      <c r="P11279" s="1"/>
      <c r="Q11279" s="1"/>
      <c r="R11279" s="1"/>
      <c r="S11279" s="1"/>
      <c r="T11279" s="1"/>
      <c r="U11279" s="1"/>
      <c r="V11279" s="1"/>
      <c r="W11279" s="1"/>
      <c r="X11279" s="1"/>
      <c r="Y11279" s="1"/>
      <c r="Z11279" s="1"/>
      <c r="AA11279" s="1"/>
      <c r="AB11279" s="1"/>
      <c r="AC11279" s="1"/>
      <c r="AD11279" s="1"/>
      <c r="AE11279" s="1"/>
      <c r="AF11279" s="1"/>
      <c r="AG11279" s="1"/>
      <c r="AH11279" s="1"/>
    </row>
    <row r="11280" ht="12.75" hidden="1" customHeight="1" outlineLevel="1">
      <c r="A11280" s="122">
        <v>43614.0</v>
      </c>
      <c r="B11280" s="1"/>
      <c r="C11280" s="1020" t="s">
        <v>958</v>
      </c>
      <c r="D11280" s="150"/>
      <c r="E11280" s="150"/>
      <c r="F11280" s="75" t="s">
        <v>3820</v>
      </c>
      <c r="G11280" s="67"/>
      <c r="H11280" s="68"/>
      <c r="I11280" s="256">
        <v>0.0</v>
      </c>
      <c r="J11280" s="67"/>
      <c r="K11280" s="1020" t="s">
        <v>3895</v>
      </c>
      <c r="L11280" s="77"/>
      <c r="M11280" s="79"/>
      <c r="N11280" s="1"/>
      <c r="O11280" s="1"/>
      <c r="P11280" s="1"/>
      <c r="Q11280" s="1"/>
      <c r="R11280" s="1"/>
      <c r="S11280" s="1"/>
      <c r="T11280" s="1"/>
      <c r="U11280" s="1"/>
      <c r="V11280" s="1"/>
      <c r="W11280" s="1"/>
      <c r="X11280" s="1"/>
      <c r="Y11280" s="1"/>
      <c r="Z11280" s="1"/>
      <c r="AA11280" s="1"/>
      <c r="AB11280" s="1"/>
      <c r="AC11280" s="1"/>
      <c r="AD11280" s="1"/>
      <c r="AE11280" s="1"/>
      <c r="AF11280" s="1"/>
      <c r="AG11280" s="1"/>
      <c r="AH11280" s="1"/>
    </row>
    <row r="11281" ht="12.75" hidden="1" customHeight="1" outlineLevel="1">
      <c r="A11281" s="122">
        <v>43614.0</v>
      </c>
      <c r="B11281" s="1"/>
      <c r="C11281" s="1020" t="s">
        <v>961</v>
      </c>
      <c r="D11281" s="150"/>
      <c r="E11281" s="150"/>
      <c r="F11281" s="709" t="s">
        <v>3721</v>
      </c>
      <c r="G11281" s="67"/>
      <c r="H11281" s="68"/>
      <c r="I11281" s="76">
        <v>1.0</v>
      </c>
      <c r="J11281" s="67"/>
      <c r="K11281" s="1020" t="s">
        <v>964</v>
      </c>
      <c r="L11281" s="77"/>
      <c r="M11281" s="79"/>
      <c r="N11281" s="1"/>
      <c r="O11281" s="1"/>
      <c r="P11281" s="1"/>
      <c r="Q11281" s="1"/>
      <c r="R11281" s="1"/>
      <c r="S11281" s="1"/>
      <c r="T11281" s="1"/>
      <c r="U11281" s="1"/>
      <c r="V11281" s="1"/>
      <c r="W11281" s="1"/>
      <c r="X11281" s="1"/>
      <c r="Y11281" s="1"/>
      <c r="Z11281" s="1"/>
      <c r="AA11281" s="1"/>
      <c r="AB11281" s="1"/>
      <c r="AC11281" s="1"/>
      <c r="AD11281" s="1"/>
      <c r="AE11281" s="1"/>
      <c r="AF11281" s="1"/>
      <c r="AG11281" s="1"/>
      <c r="AH11281" s="1"/>
    </row>
    <row r="11282" ht="12.75" hidden="1" customHeight="1" outlineLevel="1">
      <c r="A11282" s="122">
        <v>43619.0</v>
      </c>
      <c r="B11282" s="974" t="s">
        <v>347</v>
      </c>
      <c r="C11282" s="32" t="s">
        <v>1146</v>
      </c>
      <c r="D11282" s="9">
        <v>100.0</v>
      </c>
      <c r="E11282" s="9">
        <v>118.64</v>
      </c>
      <c r="F11282" s="709">
        <v>0.4916203703703704</v>
      </c>
      <c r="G11282" s="195" t="s">
        <v>453</v>
      </c>
      <c r="H11282" s="710">
        <v>1.26</v>
      </c>
      <c r="I11282" s="256" t="s">
        <v>3145</v>
      </c>
      <c r="J11282" s="67">
        <f t="shared" ref="J11282:J11293" si="636">IF(B11282="SLD",D11282*E11282,-D11282*E11282)-H11282</f>
        <v>11862.74</v>
      </c>
      <c r="K11282" s="1"/>
      <c r="L11282" s="70"/>
      <c r="M11282" s="79"/>
      <c r="N11282" s="1"/>
      <c r="O11282" s="1"/>
      <c r="P11282" s="1"/>
      <c r="Q11282" s="1"/>
      <c r="R11282" s="1"/>
      <c r="S11282" s="1"/>
      <c r="T11282" s="1"/>
      <c r="U11282" s="1"/>
      <c r="V11282" s="1"/>
      <c r="W11282" s="1"/>
      <c r="X11282" s="1"/>
      <c r="Y11282" s="1"/>
      <c r="Z11282" s="1"/>
      <c r="AA11282" s="1"/>
      <c r="AB11282" s="1"/>
      <c r="AC11282" s="1"/>
      <c r="AD11282" s="1"/>
      <c r="AE11282" s="1"/>
      <c r="AF11282" s="1"/>
      <c r="AG11282" s="1"/>
      <c r="AH11282" s="1"/>
    </row>
    <row r="11283" ht="12.75" hidden="1" customHeight="1" outlineLevel="1">
      <c r="A11283" s="122">
        <v>43619.0</v>
      </c>
      <c r="B11283" s="974" t="s">
        <v>347</v>
      </c>
      <c r="C11283" s="32" t="s">
        <v>1088</v>
      </c>
      <c r="D11283" s="9">
        <v>2.0</v>
      </c>
      <c r="E11283" s="9">
        <v>3249.52</v>
      </c>
      <c r="F11283" s="709">
        <v>0.49788194444444445</v>
      </c>
      <c r="G11283" s="195" t="s">
        <v>453</v>
      </c>
      <c r="H11283" s="710">
        <v>1.13</v>
      </c>
      <c r="I11283" s="256" t="s">
        <v>3145</v>
      </c>
      <c r="J11283" s="67">
        <f t="shared" si="636"/>
        <v>6497.91</v>
      </c>
      <c r="K11283" s="1"/>
      <c r="L11283" s="70"/>
      <c r="M11283" s="79"/>
      <c r="N11283" s="1"/>
      <c r="O11283" s="1"/>
      <c r="P11283" s="1"/>
      <c r="Q11283" s="1"/>
      <c r="R11283" s="1"/>
      <c r="S11283" s="1"/>
      <c r="T11283" s="1"/>
      <c r="U11283" s="1"/>
      <c r="V11283" s="1"/>
      <c r="W11283" s="1"/>
      <c r="X11283" s="1"/>
      <c r="Y11283" s="1"/>
      <c r="Z11283" s="1"/>
      <c r="AA11283" s="1"/>
      <c r="AB11283" s="1"/>
      <c r="AC11283" s="1"/>
      <c r="AD11283" s="1"/>
      <c r="AE11283" s="1"/>
      <c r="AF11283" s="1"/>
      <c r="AG11283" s="1"/>
      <c r="AH11283" s="1"/>
    </row>
    <row r="11284" ht="12.75" hidden="1" customHeight="1" outlineLevel="1">
      <c r="A11284" s="122">
        <v>43619.0</v>
      </c>
      <c r="B11284" s="974" t="s">
        <v>347</v>
      </c>
      <c r="C11284" s="32" t="s">
        <v>1177</v>
      </c>
      <c r="D11284" s="9">
        <v>5.0</v>
      </c>
      <c r="E11284" s="9">
        <v>1654.0</v>
      </c>
      <c r="F11284" s="709">
        <v>0.5037152777777778</v>
      </c>
      <c r="G11284" s="195" t="s">
        <v>453</v>
      </c>
      <c r="H11284" s="710">
        <v>1.17</v>
      </c>
      <c r="I11284" s="256" t="s">
        <v>3145</v>
      </c>
      <c r="J11284" s="67">
        <f t="shared" si="636"/>
        <v>8268.83</v>
      </c>
      <c r="K11284" s="1"/>
      <c r="L11284" s="70"/>
      <c r="M11284" s="79"/>
      <c r="N11284" s="1"/>
      <c r="O11284" s="1"/>
      <c r="P11284" s="1"/>
      <c r="Q11284" s="1"/>
      <c r="R11284" s="1"/>
      <c r="S11284" s="1"/>
      <c r="T11284" s="1"/>
      <c r="U11284" s="1"/>
      <c r="V11284" s="1"/>
      <c r="W11284" s="1"/>
      <c r="X11284" s="1"/>
      <c r="Y11284" s="1"/>
      <c r="Z11284" s="1"/>
      <c r="AA11284" s="1"/>
      <c r="AB11284" s="1"/>
      <c r="AC11284" s="1"/>
      <c r="AD11284" s="1"/>
      <c r="AE11284" s="1"/>
      <c r="AF11284" s="1"/>
      <c r="AG11284" s="1"/>
      <c r="AH11284" s="1"/>
    </row>
    <row r="11285" ht="12.75" hidden="1" customHeight="1" outlineLevel="1">
      <c r="A11285" s="122">
        <v>43619.0</v>
      </c>
      <c r="B11285" s="974" t="s">
        <v>347</v>
      </c>
      <c r="C11285" s="32" t="s">
        <v>1040</v>
      </c>
      <c r="D11285" s="9">
        <v>150.0</v>
      </c>
      <c r="E11285" s="9">
        <v>119.69</v>
      </c>
      <c r="F11285" s="709">
        <v>0.6239930555555555</v>
      </c>
      <c r="G11285" s="195" t="s">
        <v>453</v>
      </c>
      <c r="H11285" s="710">
        <v>1.39</v>
      </c>
      <c r="I11285" s="256" t="s">
        <v>3145</v>
      </c>
      <c r="J11285" s="67">
        <f t="shared" si="636"/>
        <v>17952.11</v>
      </c>
      <c r="K11285" s="1"/>
      <c r="L11285" s="70"/>
      <c r="M11285" s="79"/>
      <c r="N11285" s="1"/>
      <c r="O11285" s="1"/>
      <c r="P11285" s="1"/>
      <c r="Q11285" s="1"/>
      <c r="R11285" s="1"/>
      <c r="S11285" s="1"/>
      <c r="T11285" s="1"/>
      <c r="U11285" s="1"/>
      <c r="V11285" s="1"/>
      <c r="W11285" s="1"/>
      <c r="X11285" s="1"/>
      <c r="Y11285" s="1"/>
      <c r="Z11285" s="1"/>
      <c r="AA11285" s="1"/>
      <c r="AB11285" s="1"/>
      <c r="AC11285" s="1"/>
      <c r="AD11285" s="1"/>
      <c r="AE11285" s="1"/>
      <c r="AF11285" s="1"/>
      <c r="AG11285" s="1"/>
      <c r="AH11285" s="1"/>
    </row>
    <row r="11286" ht="12.75" hidden="1" customHeight="1" outlineLevel="1">
      <c r="A11286" s="122">
        <v>43619.0</v>
      </c>
      <c r="B11286" s="974" t="s">
        <v>347</v>
      </c>
      <c r="C11286" s="32" t="s">
        <v>381</v>
      </c>
      <c r="D11286" s="9">
        <v>250.0</v>
      </c>
      <c r="E11286" s="9">
        <v>164.1316</v>
      </c>
      <c r="F11286" s="709">
        <v>0.6291666666666667</v>
      </c>
      <c r="G11286" s="195" t="s">
        <v>453</v>
      </c>
      <c r="H11286" s="710">
        <v>2.13</v>
      </c>
      <c r="I11286" s="256" t="s">
        <v>3145</v>
      </c>
      <c r="J11286" s="67">
        <f t="shared" si="636"/>
        <v>41030.77</v>
      </c>
      <c r="K11286" s="1"/>
      <c r="L11286" s="70"/>
      <c r="M11286" s="79"/>
      <c r="N11286" s="1"/>
      <c r="O11286" s="1"/>
      <c r="P11286" s="1"/>
      <c r="Q11286" s="1"/>
      <c r="R11286" s="1"/>
      <c r="S11286" s="1"/>
      <c r="T11286" s="1"/>
      <c r="U11286" s="1"/>
      <c r="V11286" s="1"/>
      <c r="W11286" s="1"/>
      <c r="X11286" s="1"/>
      <c r="Y11286" s="1"/>
      <c r="Z11286" s="1"/>
      <c r="AA11286" s="1"/>
      <c r="AB11286" s="1"/>
      <c r="AC11286" s="1"/>
      <c r="AD11286" s="1"/>
      <c r="AE11286" s="1"/>
      <c r="AF11286" s="1"/>
      <c r="AG11286" s="1"/>
      <c r="AH11286" s="1"/>
    </row>
    <row r="11287" ht="12.75" hidden="1" customHeight="1" outlineLevel="1">
      <c r="A11287" s="122">
        <v>43619.0</v>
      </c>
      <c r="B11287" s="974" t="s">
        <v>347</v>
      </c>
      <c r="C11287" s="32" t="s">
        <v>1053</v>
      </c>
      <c r="D11287" s="9">
        <v>15.0</v>
      </c>
      <c r="E11287" s="9">
        <v>1681.0</v>
      </c>
      <c r="F11287" s="709">
        <v>0.6294444444444445</v>
      </c>
      <c r="G11287" s="195" t="s">
        <v>453</v>
      </c>
      <c r="H11287" s="710">
        <v>1.52</v>
      </c>
      <c r="I11287" s="256" t="s">
        <v>3145</v>
      </c>
      <c r="J11287" s="67">
        <f t="shared" si="636"/>
        <v>25213.48</v>
      </c>
      <c r="K11287" s="1"/>
      <c r="L11287" s="70"/>
      <c r="M11287" s="79"/>
      <c r="N11287" s="1"/>
      <c r="O11287" s="1"/>
      <c r="P11287" s="1"/>
      <c r="Q11287" s="1"/>
      <c r="R11287" s="1"/>
      <c r="S11287" s="1"/>
      <c r="T11287" s="1"/>
      <c r="U11287" s="1"/>
      <c r="V11287" s="1"/>
      <c r="W11287" s="1"/>
      <c r="X11287" s="1"/>
      <c r="Y11287" s="1"/>
      <c r="Z11287" s="1"/>
      <c r="AA11287" s="1"/>
      <c r="AB11287" s="1"/>
      <c r="AC11287" s="1"/>
      <c r="AD11287" s="1"/>
      <c r="AE11287" s="1"/>
      <c r="AF11287" s="1"/>
      <c r="AG11287" s="1"/>
      <c r="AH11287" s="1"/>
    </row>
    <row r="11288" ht="12.75" hidden="1" customHeight="1" outlineLevel="1">
      <c r="A11288" s="122">
        <v>43619.0</v>
      </c>
      <c r="B11288" s="974" t="s">
        <v>347</v>
      </c>
      <c r="C11288" s="32" t="s">
        <v>1035</v>
      </c>
      <c r="D11288" s="9">
        <v>30.0</v>
      </c>
      <c r="E11288" s="9">
        <v>1032.5472</v>
      </c>
      <c r="F11288" s="709">
        <v>0.6296296296296297</v>
      </c>
      <c r="G11288" s="195" t="s">
        <v>453</v>
      </c>
      <c r="H11288" s="710">
        <v>1.64</v>
      </c>
      <c r="I11288" s="256" t="s">
        <v>3145</v>
      </c>
      <c r="J11288" s="67">
        <f t="shared" si="636"/>
        <v>30974.776</v>
      </c>
      <c r="K11288" s="1"/>
      <c r="L11288" s="70"/>
      <c r="M11288" s="79"/>
      <c r="N11288" s="1"/>
      <c r="O11288" s="1"/>
      <c r="P11288" s="1"/>
      <c r="Q11288" s="1"/>
      <c r="R11288" s="1"/>
      <c r="S11288" s="1"/>
      <c r="T11288" s="1"/>
      <c r="U11288" s="1"/>
      <c r="V11288" s="1"/>
      <c r="W11288" s="1"/>
      <c r="X11288" s="1"/>
      <c r="Y11288" s="1"/>
      <c r="Z11288" s="1"/>
      <c r="AA11288" s="1"/>
      <c r="AB11288" s="1"/>
      <c r="AC11288" s="1"/>
      <c r="AD11288" s="1"/>
      <c r="AE11288" s="1"/>
      <c r="AF11288" s="1"/>
      <c r="AG11288" s="1"/>
      <c r="AH11288" s="1"/>
    </row>
    <row r="11289" ht="12.75" hidden="1" customHeight="1" outlineLevel="1">
      <c r="A11289" s="122">
        <v>43619.0</v>
      </c>
      <c r="B11289" s="974" t="s">
        <v>347</v>
      </c>
      <c r="C11289" s="32" t="s">
        <v>1131</v>
      </c>
      <c r="D11289" s="9">
        <v>100.0</v>
      </c>
      <c r="E11289" s="9">
        <v>76.09</v>
      </c>
      <c r="F11289" s="709">
        <v>0.6301041666666667</v>
      </c>
      <c r="G11289" s="195" t="s">
        <v>453</v>
      </c>
      <c r="H11289" s="710">
        <v>1.17</v>
      </c>
      <c r="I11289" s="256" t="s">
        <v>3145</v>
      </c>
      <c r="J11289" s="67">
        <f t="shared" si="636"/>
        <v>7607.83</v>
      </c>
      <c r="K11289" s="1"/>
      <c r="L11289" s="70"/>
      <c r="M11289" s="79"/>
      <c r="N11289" s="1"/>
      <c r="O11289" s="1"/>
      <c r="P11289" s="1"/>
      <c r="Q11289" s="1"/>
      <c r="R11289" s="1"/>
      <c r="S11289" s="1"/>
      <c r="T11289" s="1"/>
      <c r="U11289" s="1"/>
      <c r="V11289" s="1"/>
      <c r="W11289" s="1"/>
      <c r="X11289" s="1"/>
      <c r="Y11289" s="1"/>
      <c r="Z11289" s="1"/>
      <c r="AA11289" s="1"/>
      <c r="AB11289" s="1"/>
      <c r="AC11289" s="1"/>
      <c r="AD11289" s="1"/>
      <c r="AE11289" s="1"/>
      <c r="AF11289" s="1"/>
      <c r="AG11289" s="1"/>
      <c r="AH11289" s="1"/>
    </row>
    <row r="11290" ht="12.75" hidden="1" customHeight="1" outlineLevel="1">
      <c r="A11290" s="122">
        <v>43619.0</v>
      </c>
      <c r="B11290" s="974" t="s">
        <v>347</v>
      </c>
      <c r="C11290" s="32" t="s">
        <v>1146</v>
      </c>
      <c r="D11290" s="9">
        <v>100.0</v>
      </c>
      <c r="E11290" s="9">
        <v>116.275</v>
      </c>
      <c r="F11290" s="709">
        <v>0.6303935185185185</v>
      </c>
      <c r="G11290" s="195" t="s">
        <v>453</v>
      </c>
      <c r="H11290" s="710">
        <v>1.25</v>
      </c>
      <c r="I11290" s="256" t="s">
        <v>3145</v>
      </c>
      <c r="J11290" s="67">
        <f t="shared" si="636"/>
        <v>11626.25</v>
      </c>
      <c r="K11290" s="1"/>
      <c r="L11290" s="70"/>
      <c r="M11290" s="79"/>
      <c r="N11290" s="1"/>
      <c r="O11290" s="1"/>
      <c r="P11290" s="1"/>
      <c r="Q11290" s="1"/>
      <c r="R11290" s="1"/>
      <c r="S11290" s="1"/>
      <c r="T11290" s="1"/>
      <c r="U11290" s="1"/>
      <c r="V11290" s="1"/>
      <c r="W11290" s="1"/>
      <c r="X11290" s="1"/>
      <c r="Y11290" s="1"/>
      <c r="Z11290" s="1"/>
      <c r="AA11290" s="1"/>
      <c r="AB11290" s="1"/>
      <c r="AC11290" s="1"/>
      <c r="AD11290" s="1"/>
      <c r="AE11290" s="1"/>
      <c r="AF11290" s="1"/>
      <c r="AG11290" s="1"/>
      <c r="AH11290" s="1"/>
    </row>
    <row r="11291" ht="12.75" hidden="1" customHeight="1" outlineLevel="1">
      <c r="A11291" s="122">
        <v>43619.0</v>
      </c>
      <c r="B11291" s="974" t="s">
        <v>347</v>
      </c>
      <c r="C11291" s="32" t="s">
        <v>346</v>
      </c>
      <c r="D11291" s="9">
        <v>50.0</v>
      </c>
      <c r="E11291" s="9">
        <v>172.14</v>
      </c>
      <c r="F11291" s="709">
        <v>0.6306597222222222</v>
      </c>
      <c r="G11291" s="195" t="s">
        <v>453</v>
      </c>
      <c r="H11291" s="710">
        <v>1.18</v>
      </c>
      <c r="I11291" s="256" t="s">
        <v>3145</v>
      </c>
      <c r="J11291" s="67">
        <f t="shared" si="636"/>
        <v>8605.82</v>
      </c>
      <c r="K11291" s="1"/>
      <c r="L11291" s="70"/>
      <c r="M11291" s="79"/>
      <c r="N11291" s="1"/>
      <c r="O11291" s="1"/>
      <c r="P11291" s="1"/>
      <c r="Q11291" s="1"/>
      <c r="R11291" s="1"/>
      <c r="S11291" s="1"/>
      <c r="T11291" s="1"/>
      <c r="U11291" s="1"/>
      <c r="V11291" s="1"/>
      <c r="W11291" s="1"/>
      <c r="X11291" s="1"/>
      <c r="Y11291" s="1"/>
      <c r="Z11291" s="1"/>
      <c r="AA11291" s="1"/>
      <c r="AB11291" s="1"/>
      <c r="AC11291" s="1"/>
      <c r="AD11291" s="1"/>
      <c r="AE11291" s="1"/>
      <c r="AF11291" s="1"/>
      <c r="AG11291" s="1"/>
      <c r="AH11291" s="1"/>
    </row>
    <row r="11292" ht="12.75" hidden="1" customHeight="1" outlineLevel="1">
      <c r="A11292" s="122">
        <v>43619.0</v>
      </c>
      <c r="B11292" s="974" t="s">
        <v>347</v>
      </c>
      <c r="C11292" s="32" t="s">
        <v>3385</v>
      </c>
      <c r="D11292" s="9">
        <v>300.0</v>
      </c>
      <c r="E11292" s="9">
        <v>12.701</v>
      </c>
      <c r="F11292" s="709">
        <v>0.632662037037037</v>
      </c>
      <c r="G11292" s="195" t="s">
        <v>453</v>
      </c>
      <c r="H11292" s="710">
        <v>1.61</v>
      </c>
      <c r="I11292" s="256" t="s">
        <v>3145</v>
      </c>
      <c r="J11292" s="67">
        <f t="shared" si="636"/>
        <v>3808.69</v>
      </c>
      <c r="K11292" s="1"/>
      <c r="L11292" s="70"/>
      <c r="M11292" s="79"/>
      <c r="N11292" s="1"/>
      <c r="O11292" s="1"/>
      <c r="P11292" s="1"/>
      <c r="Q11292" s="1"/>
      <c r="R11292" s="1"/>
      <c r="S11292" s="1"/>
      <c r="T11292" s="1"/>
      <c r="U11292" s="1"/>
      <c r="V11292" s="1"/>
      <c r="W11292" s="1"/>
      <c r="X11292" s="1"/>
      <c r="Y11292" s="1"/>
      <c r="Z11292" s="1"/>
      <c r="AA11292" s="1"/>
      <c r="AB11292" s="1"/>
      <c r="AC11292" s="1"/>
      <c r="AD11292" s="1"/>
      <c r="AE11292" s="1"/>
      <c r="AF11292" s="1"/>
      <c r="AG11292" s="1"/>
      <c r="AH11292" s="1"/>
    </row>
    <row r="11293" ht="12.75" hidden="1" customHeight="1" outlineLevel="1">
      <c r="A11293" s="122">
        <v>43619.0</v>
      </c>
      <c r="B11293" s="974" t="s">
        <v>343</v>
      </c>
      <c r="C11293" s="32" t="s">
        <v>1537</v>
      </c>
      <c r="D11293" s="9">
        <v>300.0</v>
      </c>
      <c r="E11293" s="9">
        <v>23.8798</v>
      </c>
      <c r="F11293" s="709">
        <v>0.6366666666666667</v>
      </c>
      <c r="G11293" s="195" t="s">
        <v>453</v>
      </c>
      <c r="H11293" s="710">
        <v>1.5</v>
      </c>
      <c r="I11293" s="256" t="s">
        <v>3145</v>
      </c>
      <c r="J11293" s="67">
        <f t="shared" si="636"/>
        <v>-7165.44</v>
      </c>
      <c r="K11293" s="1"/>
      <c r="L11293" s="70"/>
      <c r="M11293" s="79"/>
      <c r="N11293" s="1"/>
      <c r="O11293" s="1"/>
      <c r="P11293" s="1"/>
      <c r="Q11293" s="1"/>
      <c r="R11293" s="1"/>
      <c r="S11293" s="1"/>
      <c r="T11293" s="1"/>
      <c r="U11293" s="1"/>
      <c r="V11293" s="1"/>
      <c r="W11293" s="1"/>
      <c r="X11293" s="1"/>
      <c r="Y11293" s="1"/>
      <c r="Z11293" s="1"/>
      <c r="AA11293" s="1"/>
      <c r="AB11293" s="1"/>
      <c r="AC11293" s="1"/>
      <c r="AD11293" s="1"/>
      <c r="AE11293" s="1"/>
      <c r="AF11293" s="1"/>
      <c r="AG11293" s="1"/>
      <c r="AH11293" s="1"/>
    </row>
    <row r="11294" ht="12.75" hidden="1" customHeight="1" outlineLevel="1">
      <c r="A11294" s="197">
        <v>43619.0</v>
      </c>
      <c r="B11294" s="992"/>
      <c r="C11294" s="32" t="s">
        <v>947</v>
      </c>
      <c r="D11294" s="1"/>
      <c r="E11294" s="94" t="s">
        <v>948</v>
      </c>
      <c r="F11294" s="1022" t="s">
        <v>949</v>
      </c>
      <c r="G11294" s="87"/>
      <c r="H11294" s="199"/>
      <c r="I11294" s="200">
        <v>1.0</v>
      </c>
      <c r="K11294" s="201" t="s">
        <v>3896</v>
      </c>
      <c r="L11294" s="77"/>
      <c r="M11294" s="79"/>
      <c r="N11294" s="1"/>
      <c r="O11294" s="1"/>
      <c r="P11294" s="1"/>
      <c r="Q11294" s="1"/>
      <c r="R11294" s="1"/>
      <c r="S11294" s="1"/>
      <c r="T11294" s="1"/>
      <c r="U11294" s="1"/>
      <c r="V11294" s="1"/>
      <c r="W11294" s="1"/>
      <c r="X11294" s="1"/>
      <c r="Y11294" s="1"/>
      <c r="Z11294" s="1"/>
      <c r="AA11294" s="1"/>
      <c r="AB11294" s="1"/>
      <c r="AC11294" s="1"/>
      <c r="AD11294" s="1"/>
      <c r="AE11294" s="1"/>
      <c r="AF11294" s="1"/>
      <c r="AG11294" s="1"/>
      <c r="AH11294" s="1"/>
    </row>
    <row r="11295" ht="12.75" hidden="1" customHeight="1" outlineLevel="1">
      <c r="A11295" s="202">
        <v>43619.0</v>
      </c>
      <c r="B11295" s="992"/>
      <c r="C11295" s="32" t="s">
        <v>952</v>
      </c>
      <c r="D11295" s="1"/>
      <c r="F11295" s="231" t="s">
        <v>953</v>
      </c>
      <c r="G11295" s="1"/>
      <c r="H11295" s="68"/>
      <c r="I11295" s="204">
        <v>0.0</v>
      </c>
      <c r="K11295" s="9" t="s">
        <v>3897</v>
      </c>
      <c r="L11295" s="77"/>
      <c r="M11295" s="79"/>
      <c r="N11295" s="1"/>
      <c r="O11295" s="1"/>
      <c r="P11295" s="1"/>
      <c r="Q11295" s="1"/>
      <c r="R11295" s="1"/>
      <c r="S11295" s="1"/>
      <c r="T11295" s="1"/>
      <c r="U11295" s="1"/>
      <c r="V11295" s="1"/>
      <c r="W11295" s="1"/>
      <c r="X11295" s="1"/>
      <c r="Y11295" s="1"/>
      <c r="Z11295" s="1"/>
      <c r="AA11295" s="1"/>
      <c r="AB11295" s="1"/>
      <c r="AC11295" s="1"/>
      <c r="AD11295" s="1"/>
      <c r="AE11295" s="1"/>
      <c r="AF11295" s="1"/>
      <c r="AG11295" s="1"/>
      <c r="AH11295" s="1"/>
    </row>
    <row r="11296" ht="12.75" hidden="1" customHeight="1" outlineLevel="1">
      <c r="A11296" s="202">
        <v>43619.0</v>
      </c>
      <c r="B11296" s="992"/>
      <c r="C11296" s="32" t="s">
        <v>955</v>
      </c>
      <c r="D11296" s="1"/>
      <c r="F11296" s="231" t="s">
        <v>3718</v>
      </c>
      <c r="G11296" s="1"/>
      <c r="H11296" s="68"/>
      <c r="I11296" s="204">
        <v>0.0</v>
      </c>
      <c r="K11296" s="9" t="s">
        <v>3898</v>
      </c>
      <c r="L11296" s="77"/>
      <c r="M11296" s="79"/>
      <c r="N11296" s="1"/>
      <c r="O11296" s="1"/>
      <c r="P11296" s="1"/>
      <c r="Q11296" s="1"/>
      <c r="R11296" s="1"/>
      <c r="S11296" s="1"/>
      <c r="T11296" s="1"/>
      <c r="U11296" s="1"/>
      <c r="V11296" s="1"/>
      <c r="W11296" s="1"/>
      <c r="X11296" s="1"/>
      <c r="Y11296" s="1"/>
      <c r="Z11296" s="1"/>
      <c r="AA11296" s="1"/>
      <c r="AB11296" s="1"/>
      <c r="AC11296" s="1"/>
      <c r="AD11296" s="1"/>
      <c r="AE11296" s="1"/>
      <c r="AF11296" s="1"/>
      <c r="AG11296" s="1"/>
      <c r="AH11296" s="1"/>
    </row>
    <row r="11297" ht="12.75" hidden="1" customHeight="1" outlineLevel="1">
      <c r="A11297" s="202">
        <v>43619.0</v>
      </c>
      <c r="B11297" s="992"/>
      <c r="C11297" s="32" t="s">
        <v>958</v>
      </c>
      <c r="D11297" s="1"/>
      <c r="F11297" s="231" t="s">
        <v>3820</v>
      </c>
      <c r="G11297" s="1"/>
      <c r="H11297" s="68"/>
      <c r="I11297" s="204">
        <v>0.0</v>
      </c>
      <c r="K11297" s="9" t="s">
        <v>3899</v>
      </c>
      <c r="L11297" s="77"/>
      <c r="M11297" s="79"/>
      <c r="N11297" s="1"/>
      <c r="O11297" s="1"/>
      <c r="P11297" s="1"/>
      <c r="Q11297" s="1"/>
      <c r="R11297" s="1"/>
      <c r="S11297" s="1"/>
      <c r="T11297" s="1"/>
      <c r="U11297" s="1"/>
      <c r="V11297" s="1"/>
      <c r="W11297" s="1"/>
      <c r="X11297" s="1"/>
      <c r="Y11297" s="1"/>
      <c r="Z11297" s="1"/>
      <c r="AA11297" s="1"/>
      <c r="AB11297" s="1"/>
      <c r="AC11297" s="1"/>
      <c r="AD11297" s="1"/>
      <c r="AE11297" s="1"/>
      <c r="AF11297" s="1"/>
      <c r="AG11297" s="1"/>
      <c r="AH11297" s="1"/>
    </row>
    <row r="11298" ht="12.75" hidden="1" customHeight="1" outlineLevel="1">
      <c r="A11298" s="202">
        <v>43619.0</v>
      </c>
      <c r="B11298" s="992"/>
      <c r="C11298" s="32" t="s">
        <v>961</v>
      </c>
      <c r="D11298" s="1"/>
      <c r="F11298" s="206" t="s">
        <v>3721</v>
      </c>
      <c r="G11298" s="207"/>
      <c r="H11298" s="208"/>
      <c r="I11298" s="209">
        <v>1.0</v>
      </c>
      <c r="K11298" s="9" t="s">
        <v>964</v>
      </c>
      <c r="L11298" s="77"/>
      <c r="M11298" s="79"/>
      <c r="N11298" s="1"/>
      <c r="O11298" s="1"/>
      <c r="P11298" s="1"/>
      <c r="Q11298" s="1"/>
      <c r="R11298" s="1"/>
      <c r="S11298" s="1"/>
      <c r="T11298" s="1"/>
      <c r="U11298" s="1"/>
      <c r="V11298" s="1"/>
      <c r="W11298" s="1"/>
      <c r="X11298" s="1"/>
      <c r="Y11298" s="1"/>
      <c r="Z11298" s="1"/>
      <c r="AA11298" s="1"/>
      <c r="AB11298" s="1"/>
      <c r="AC11298" s="1"/>
      <c r="AD11298" s="1"/>
      <c r="AE11298" s="1"/>
      <c r="AF11298" s="1"/>
      <c r="AG11298" s="1"/>
      <c r="AH11298" s="1"/>
    </row>
    <row r="11299" ht="12.75" hidden="1" customHeight="1" outlineLevel="1">
      <c r="A11299" s="122">
        <v>43620.0</v>
      </c>
      <c r="B11299" s="974" t="s">
        <v>347</v>
      </c>
      <c r="C11299" s="32" t="s">
        <v>1098</v>
      </c>
      <c r="D11299" s="9">
        <v>50.0</v>
      </c>
      <c r="E11299" s="9">
        <v>243.43</v>
      </c>
      <c r="F11299" s="709">
        <v>0.42635416666666665</v>
      </c>
      <c r="G11299" s="195" t="s">
        <v>453</v>
      </c>
      <c r="H11299" s="710">
        <v>1.26</v>
      </c>
      <c r="I11299" s="256" t="s">
        <v>3145</v>
      </c>
      <c r="J11299" s="67">
        <f t="shared" ref="J11299:J11313" si="637">IF(B11299="SLD",D11299*E11299,-D11299*E11299)-H11299</f>
        <v>12170.24</v>
      </c>
      <c r="K11299" s="1"/>
      <c r="L11299" s="70"/>
      <c r="M11299" s="79"/>
      <c r="N11299" s="1"/>
      <c r="O11299" s="1"/>
      <c r="P11299" s="1"/>
      <c r="Q11299" s="1"/>
      <c r="R11299" s="1"/>
      <c r="S11299" s="1"/>
      <c r="T11299" s="1"/>
      <c r="U11299" s="1"/>
      <c r="V11299" s="1"/>
      <c r="W11299" s="1"/>
      <c r="X11299" s="1"/>
      <c r="Y11299" s="1"/>
      <c r="Z11299" s="1"/>
      <c r="AA11299" s="1"/>
      <c r="AB11299" s="1"/>
      <c r="AC11299" s="1"/>
      <c r="AD11299" s="1"/>
      <c r="AE11299" s="1"/>
      <c r="AF11299" s="1"/>
      <c r="AG11299" s="1"/>
      <c r="AH11299" s="1"/>
    </row>
    <row r="11300" ht="12.75" hidden="1" customHeight="1" outlineLevel="1">
      <c r="A11300" s="122">
        <v>43620.0</v>
      </c>
      <c r="B11300" s="974" t="s">
        <v>347</v>
      </c>
      <c r="C11300" s="32" t="s">
        <v>1123</v>
      </c>
      <c r="D11300" s="9">
        <v>25.0</v>
      </c>
      <c r="E11300" s="9">
        <v>182.2536</v>
      </c>
      <c r="F11300" s="709">
        <v>0.42659722222222224</v>
      </c>
      <c r="G11300" s="195" t="s">
        <v>453</v>
      </c>
      <c r="H11300" s="710">
        <v>1.1</v>
      </c>
      <c r="I11300" s="256" t="s">
        <v>3145</v>
      </c>
      <c r="J11300" s="67">
        <f t="shared" si="637"/>
        <v>4555.24</v>
      </c>
      <c r="K11300" s="1"/>
      <c r="L11300" s="70"/>
      <c r="M11300" s="79"/>
      <c r="N11300" s="1"/>
      <c r="O11300" s="1"/>
      <c r="P11300" s="1"/>
      <c r="Q11300" s="1"/>
      <c r="R11300" s="1"/>
      <c r="S11300" s="1"/>
      <c r="T11300" s="1"/>
      <c r="U11300" s="1"/>
      <c r="V11300" s="1"/>
      <c r="W11300" s="1"/>
      <c r="X11300" s="1"/>
      <c r="Y11300" s="1"/>
      <c r="Z11300" s="1"/>
      <c r="AA11300" s="1"/>
      <c r="AB11300" s="1"/>
      <c r="AC11300" s="1"/>
      <c r="AD11300" s="1"/>
      <c r="AE11300" s="1"/>
      <c r="AF11300" s="1"/>
      <c r="AG11300" s="1"/>
      <c r="AH11300" s="1"/>
    </row>
    <row r="11301" ht="12.75" hidden="1" customHeight="1" outlineLevel="1">
      <c r="A11301" s="122">
        <v>43620.0</v>
      </c>
      <c r="B11301" s="974" t="s">
        <v>347</v>
      </c>
      <c r="C11301" s="32" t="s">
        <v>1088</v>
      </c>
      <c r="D11301" s="9">
        <v>2.0</v>
      </c>
      <c r="E11301" s="9">
        <v>3300.0</v>
      </c>
      <c r="F11301" s="709">
        <v>0.42715277777777777</v>
      </c>
      <c r="G11301" s="195" t="s">
        <v>453</v>
      </c>
      <c r="H11301" s="710">
        <v>1.14</v>
      </c>
      <c r="I11301" s="256" t="s">
        <v>3145</v>
      </c>
      <c r="J11301" s="67">
        <f t="shared" si="637"/>
        <v>6598.86</v>
      </c>
      <c r="K11301" s="1"/>
      <c r="L11301" s="70"/>
      <c r="M11301" s="79"/>
      <c r="N11301" s="1"/>
      <c r="O11301" s="1"/>
      <c r="P11301" s="1"/>
      <c r="Q11301" s="1"/>
      <c r="R11301" s="1"/>
      <c r="S11301" s="1"/>
      <c r="T11301" s="1"/>
      <c r="U11301" s="1"/>
      <c r="V11301" s="1"/>
      <c r="W11301" s="1"/>
      <c r="X11301" s="1"/>
      <c r="Y11301" s="1"/>
      <c r="Z11301" s="1"/>
      <c r="AA11301" s="1"/>
      <c r="AB11301" s="1"/>
      <c r="AC11301" s="1"/>
      <c r="AD11301" s="1"/>
      <c r="AE11301" s="1"/>
      <c r="AF11301" s="1"/>
      <c r="AG11301" s="1"/>
      <c r="AH11301" s="1"/>
    </row>
    <row r="11302" ht="12.75" hidden="1" customHeight="1" outlineLevel="1">
      <c r="A11302" s="122">
        <v>43620.0</v>
      </c>
      <c r="B11302" s="974" t="s">
        <v>347</v>
      </c>
      <c r="C11302" s="32" t="s">
        <v>1119</v>
      </c>
      <c r="D11302" s="9">
        <v>100.0</v>
      </c>
      <c r="E11302" s="9">
        <v>80.7541</v>
      </c>
      <c r="F11302" s="709">
        <v>0.42766203703703703</v>
      </c>
      <c r="G11302" s="195" t="s">
        <v>453</v>
      </c>
      <c r="H11302" s="710">
        <v>1.18</v>
      </c>
      <c r="I11302" s="256" t="s">
        <v>3145</v>
      </c>
      <c r="J11302" s="67">
        <f t="shared" si="637"/>
        <v>8074.23</v>
      </c>
      <c r="K11302" s="1"/>
      <c r="L11302" s="70"/>
      <c r="M11302" s="79"/>
      <c r="N11302" s="1"/>
      <c r="O11302" s="1"/>
      <c r="P11302" s="1"/>
      <c r="Q11302" s="1"/>
      <c r="R11302" s="1"/>
      <c r="S11302" s="1"/>
      <c r="T11302" s="1"/>
      <c r="U11302" s="1"/>
      <c r="V11302" s="1"/>
      <c r="W11302" s="1"/>
      <c r="X11302" s="1"/>
      <c r="Y11302" s="1"/>
      <c r="Z11302" s="1"/>
      <c r="AA11302" s="1"/>
      <c r="AB11302" s="1"/>
      <c r="AC11302" s="1"/>
      <c r="AD11302" s="1"/>
      <c r="AE11302" s="1"/>
      <c r="AF11302" s="1"/>
      <c r="AG11302" s="1"/>
      <c r="AH11302" s="1"/>
    </row>
    <row r="11303" ht="12.75" hidden="1" customHeight="1" outlineLevel="1">
      <c r="A11303" s="122">
        <v>43620.0</v>
      </c>
      <c r="B11303" s="974" t="s">
        <v>343</v>
      </c>
      <c r="C11303" s="32" t="s">
        <v>346</v>
      </c>
      <c r="D11303" s="9">
        <v>150.0</v>
      </c>
      <c r="E11303" s="9">
        <v>176.205</v>
      </c>
      <c r="F11303" s="709">
        <v>0.4279050925925926</v>
      </c>
      <c r="G11303" s="195" t="s">
        <v>453</v>
      </c>
      <c r="H11303" s="710">
        <v>1.0</v>
      </c>
      <c r="I11303" s="256" t="s">
        <v>3145</v>
      </c>
      <c r="J11303" s="67">
        <f t="shared" si="637"/>
        <v>-26431.75</v>
      </c>
      <c r="K11303" s="1"/>
      <c r="L11303" s="70"/>
      <c r="M11303" s="79"/>
      <c r="N11303" s="1"/>
      <c r="O11303" s="1"/>
      <c r="P11303" s="1"/>
      <c r="Q11303" s="1"/>
      <c r="R11303" s="1"/>
      <c r="S11303" s="1"/>
      <c r="T11303" s="1"/>
      <c r="U11303" s="1"/>
      <c r="V11303" s="1"/>
      <c r="W11303" s="1"/>
      <c r="X11303" s="1"/>
      <c r="Y11303" s="1"/>
      <c r="Z11303" s="1"/>
      <c r="AA11303" s="1"/>
      <c r="AB11303" s="1"/>
      <c r="AC11303" s="1"/>
      <c r="AD11303" s="1"/>
      <c r="AE11303" s="1"/>
      <c r="AF11303" s="1"/>
      <c r="AG11303" s="1"/>
      <c r="AH11303" s="1"/>
    </row>
    <row r="11304" ht="12.75" hidden="1" customHeight="1" outlineLevel="1">
      <c r="A11304" s="122">
        <v>43620.0</v>
      </c>
      <c r="B11304" s="974" t="s">
        <v>343</v>
      </c>
      <c r="C11304" s="32" t="s">
        <v>1061</v>
      </c>
      <c r="D11304" s="9">
        <v>400.0</v>
      </c>
      <c r="E11304" s="9">
        <v>47.088</v>
      </c>
      <c r="F11304" s="709">
        <v>0.4282060185185185</v>
      </c>
      <c r="G11304" s="195" t="s">
        <v>453</v>
      </c>
      <c r="H11304" s="710">
        <v>2.0</v>
      </c>
      <c r="I11304" s="256" t="s">
        <v>3145</v>
      </c>
      <c r="J11304" s="67">
        <f t="shared" si="637"/>
        <v>-18837.2</v>
      </c>
      <c r="K11304" s="1"/>
      <c r="L11304" s="70"/>
      <c r="M11304" s="79"/>
      <c r="N11304" s="1"/>
      <c r="O11304" s="1"/>
      <c r="P11304" s="1"/>
      <c r="Q11304" s="1"/>
      <c r="R11304" s="1"/>
      <c r="S11304" s="1"/>
      <c r="T11304" s="1"/>
      <c r="U11304" s="1"/>
      <c r="V11304" s="1"/>
      <c r="W11304" s="1"/>
      <c r="X11304" s="1"/>
      <c r="Y11304" s="1"/>
      <c r="Z11304" s="1"/>
      <c r="AA11304" s="1"/>
      <c r="AB11304" s="1"/>
      <c r="AC11304" s="1"/>
      <c r="AD11304" s="1"/>
      <c r="AE11304" s="1"/>
      <c r="AF11304" s="1"/>
      <c r="AG11304" s="1"/>
      <c r="AH11304" s="1"/>
    </row>
    <row r="11305" ht="12.75" hidden="1" customHeight="1" outlineLevel="1">
      <c r="A11305" s="122">
        <v>43620.0</v>
      </c>
      <c r="B11305" s="974" t="s">
        <v>343</v>
      </c>
      <c r="C11305" s="32" t="s">
        <v>1053</v>
      </c>
      <c r="D11305" s="9">
        <v>15.0</v>
      </c>
      <c r="E11305" s="9">
        <v>1697.88</v>
      </c>
      <c r="F11305" s="709">
        <v>0.4284953703703704</v>
      </c>
      <c r="G11305" s="195" t="s">
        <v>453</v>
      </c>
      <c r="H11305" s="710">
        <v>1.0</v>
      </c>
      <c r="I11305" s="256" t="s">
        <v>3145</v>
      </c>
      <c r="J11305" s="67">
        <f t="shared" si="637"/>
        <v>-25469.2</v>
      </c>
      <c r="K11305" s="1"/>
      <c r="L11305" s="70"/>
      <c r="M11305" s="79"/>
      <c r="N11305" s="1"/>
      <c r="O11305" s="1"/>
      <c r="P11305" s="1"/>
      <c r="Q11305" s="1"/>
      <c r="R11305" s="1"/>
      <c r="S11305" s="1"/>
      <c r="T11305" s="1"/>
      <c r="U11305" s="1"/>
      <c r="V11305" s="1"/>
      <c r="W11305" s="1"/>
      <c r="X11305" s="1"/>
      <c r="Y11305" s="1"/>
      <c r="Z11305" s="1"/>
      <c r="AA11305" s="1"/>
      <c r="AB11305" s="1"/>
      <c r="AC11305" s="1"/>
      <c r="AD11305" s="1"/>
      <c r="AE11305" s="1"/>
      <c r="AF11305" s="1"/>
      <c r="AG11305" s="1"/>
      <c r="AH11305" s="1"/>
    </row>
    <row r="11306" ht="12.75" hidden="1" customHeight="1" outlineLevel="1">
      <c r="A11306" s="122">
        <v>43620.0</v>
      </c>
      <c r="B11306" s="974" t="s">
        <v>343</v>
      </c>
      <c r="C11306" s="32" t="s">
        <v>381</v>
      </c>
      <c r="D11306" s="9">
        <v>250.0</v>
      </c>
      <c r="E11306" s="9">
        <v>162.745</v>
      </c>
      <c r="F11306" s="709">
        <v>0.42894675925925924</v>
      </c>
      <c r="G11306" s="195" t="s">
        <v>453</v>
      </c>
      <c r="H11306" s="710">
        <v>1.25</v>
      </c>
      <c r="I11306" s="256" t="s">
        <v>3145</v>
      </c>
      <c r="J11306" s="67">
        <f t="shared" si="637"/>
        <v>-40687.5</v>
      </c>
      <c r="K11306" s="1"/>
      <c r="L11306" s="70"/>
      <c r="M11306" s="79"/>
      <c r="N11306" s="1"/>
      <c r="O11306" s="1"/>
      <c r="P11306" s="1"/>
      <c r="Q11306" s="1"/>
      <c r="R11306" s="1"/>
      <c r="S11306" s="1"/>
      <c r="T11306" s="1"/>
      <c r="U11306" s="1"/>
      <c r="V11306" s="1"/>
      <c r="W11306" s="1"/>
      <c r="X11306" s="1"/>
      <c r="Y11306" s="1"/>
      <c r="Z11306" s="1"/>
      <c r="AA11306" s="1"/>
      <c r="AB11306" s="1"/>
      <c r="AC11306" s="1"/>
      <c r="AD11306" s="1"/>
      <c r="AE11306" s="1"/>
      <c r="AF11306" s="1"/>
      <c r="AG11306" s="1"/>
      <c r="AH11306" s="1"/>
    </row>
    <row r="11307" ht="12.75" hidden="1" customHeight="1" outlineLevel="1">
      <c r="A11307" s="122">
        <v>43620.0</v>
      </c>
      <c r="B11307" s="974" t="s">
        <v>343</v>
      </c>
      <c r="C11307" s="32" t="s">
        <v>1040</v>
      </c>
      <c r="D11307" s="9">
        <v>200.0</v>
      </c>
      <c r="E11307" s="9">
        <v>121.6799</v>
      </c>
      <c r="F11307" s="709">
        <v>0.4293402777777778</v>
      </c>
      <c r="G11307" s="195" t="s">
        <v>453</v>
      </c>
      <c r="H11307" s="710">
        <v>1.0</v>
      </c>
      <c r="I11307" s="256" t="s">
        <v>3145</v>
      </c>
      <c r="J11307" s="67">
        <f t="shared" si="637"/>
        <v>-24336.98</v>
      </c>
      <c r="K11307" s="1"/>
      <c r="L11307" s="70"/>
      <c r="M11307" s="79"/>
      <c r="N11307" s="1"/>
      <c r="O11307" s="1"/>
      <c r="P11307" s="1"/>
      <c r="Q11307" s="1"/>
      <c r="R11307" s="1"/>
      <c r="S11307" s="1"/>
      <c r="T11307" s="1"/>
      <c r="U11307" s="1"/>
      <c r="V11307" s="1"/>
      <c r="W11307" s="1"/>
      <c r="X11307" s="1"/>
      <c r="Y11307" s="1"/>
      <c r="Z11307" s="1"/>
      <c r="AA11307" s="1"/>
      <c r="AB11307" s="1"/>
      <c r="AC11307" s="1"/>
      <c r="AD11307" s="1"/>
      <c r="AE11307" s="1"/>
      <c r="AF11307" s="1"/>
      <c r="AG11307" s="1"/>
      <c r="AH11307" s="1"/>
    </row>
    <row r="11308" ht="12.75" hidden="1" customHeight="1" outlineLevel="1">
      <c r="A11308" s="122">
        <v>43620.0</v>
      </c>
      <c r="B11308" s="974" t="s">
        <v>343</v>
      </c>
      <c r="C11308" s="32" t="s">
        <v>1035</v>
      </c>
      <c r="D11308" s="9">
        <v>30.0</v>
      </c>
      <c r="E11308" s="9">
        <v>1042.3484</v>
      </c>
      <c r="F11308" s="709">
        <v>0.4295717592592593</v>
      </c>
      <c r="G11308" s="195" t="s">
        <v>453</v>
      </c>
      <c r="H11308" s="710">
        <v>1.0</v>
      </c>
      <c r="I11308" s="256" t="s">
        <v>3145</v>
      </c>
      <c r="J11308" s="67">
        <f t="shared" si="637"/>
        <v>-31271.452</v>
      </c>
      <c r="K11308" s="1"/>
      <c r="L11308" s="70"/>
      <c r="M11308" s="79"/>
      <c r="N11308" s="1"/>
      <c r="O11308" s="1"/>
      <c r="P11308" s="1"/>
      <c r="Q11308" s="1"/>
      <c r="R11308" s="1"/>
      <c r="S11308" s="1"/>
      <c r="T11308" s="1"/>
      <c r="U11308" s="1"/>
      <c r="V11308" s="1"/>
      <c r="W11308" s="1"/>
      <c r="X11308" s="1"/>
      <c r="Y11308" s="1"/>
      <c r="Z11308" s="1"/>
      <c r="AA11308" s="1"/>
      <c r="AB11308" s="1"/>
      <c r="AC11308" s="1"/>
      <c r="AD11308" s="1"/>
      <c r="AE11308" s="1"/>
      <c r="AF11308" s="1"/>
      <c r="AG11308" s="1"/>
      <c r="AH11308" s="1"/>
    </row>
    <row r="11309" ht="12.75" hidden="1" customHeight="1" outlineLevel="1">
      <c r="A11309" s="122">
        <v>43620.0</v>
      </c>
      <c r="B11309" s="974" t="s">
        <v>343</v>
      </c>
      <c r="C11309" s="32" t="s">
        <v>1525</v>
      </c>
      <c r="D11309" s="9">
        <v>30.0</v>
      </c>
      <c r="E11309" s="9">
        <v>186.3376</v>
      </c>
      <c r="F11309" s="709">
        <v>0.4300462962962963</v>
      </c>
      <c r="G11309" s="195" t="s">
        <v>453</v>
      </c>
      <c r="H11309" s="710">
        <v>1.0</v>
      </c>
      <c r="I11309" s="256" t="s">
        <v>3145</v>
      </c>
      <c r="J11309" s="67">
        <f t="shared" si="637"/>
        <v>-5591.128</v>
      </c>
      <c r="K11309" s="1"/>
      <c r="L11309" s="70"/>
      <c r="M11309" s="79"/>
      <c r="N11309" s="1"/>
      <c r="O11309" s="1"/>
      <c r="P11309" s="1"/>
      <c r="Q11309" s="1"/>
      <c r="R11309" s="1"/>
      <c r="S11309" s="1"/>
      <c r="T11309" s="1"/>
      <c r="U11309" s="1"/>
      <c r="V11309" s="1"/>
      <c r="W11309" s="1"/>
      <c r="X11309" s="1"/>
      <c r="Y11309" s="1"/>
      <c r="Z11309" s="1"/>
      <c r="AA11309" s="1"/>
      <c r="AB11309" s="1"/>
      <c r="AC11309" s="1"/>
      <c r="AD11309" s="1"/>
      <c r="AE11309" s="1"/>
      <c r="AF11309" s="1"/>
      <c r="AG11309" s="1"/>
      <c r="AH11309" s="1"/>
    </row>
    <row r="11310" ht="12.75" hidden="1" customHeight="1" outlineLevel="1">
      <c r="A11310" s="122">
        <v>43620.0</v>
      </c>
      <c r="B11310" s="974" t="s">
        <v>347</v>
      </c>
      <c r="C11310" s="32" t="s">
        <v>1134</v>
      </c>
      <c r="D11310" s="9">
        <v>30.0</v>
      </c>
      <c r="E11310" s="9">
        <v>124.3292</v>
      </c>
      <c r="F11310" s="709">
        <v>0.4777546296296296</v>
      </c>
      <c r="G11310" s="195" t="s">
        <v>453</v>
      </c>
      <c r="H11310" s="710">
        <v>1.08</v>
      </c>
      <c r="I11310" s="256" t="s">
        <v>3145</v>
      </c>
      <c r="J11310" s="67">
        <f t="shared" si="637"/>
        <v>3728.796</v>
      </c>
      <c r="K11310" s="1"/>
      <c r="L11310" s="70"/>
      <c r="M11310" s="79"/>
      <c r="N11310" s="1"/>
      <c r="O11310" s="1"/>
      <c r="P11310" s="1"/>
      <c r="Q11310" s="1"/>
      <c r="R11310" s="1"/>
      <c r="S11310" s="1"/>
      <c r="T11310" s="1"/>
      <c r="U11310" s="1"/>
      <c r="V11310" s="1"/>
      <c r="W11310" s="1"/>
      <c r="X11310" s="1"/>
      <c r="Y11310" s="1"/>
      <c r="Z11310" s="1"/>
      <c r="AA11310" s="1"/>
      <c r="AB11310" s="1"/>
      <c r="AC11310" s="1"/>
      <c r="AD11310" s="1"/>
      <c r="AE11310" s="1"/>
      <c r="AF11310" s="1"/>
      <c r="AG11310" s="1"/>
      <c r="AH11310" s="1"/>
    </row>
    <row r="11311" ht="12.75" hidden="1" customHeight="1" outlineLevel="1">
      <c r="A11311" s="122">
        <v>43620.0</v>
      </c>
      <c r="B11311" s="974" t="s">
        <v>347</v>
      </c>
      <c r="C11311" s="32" t="s">
        <v>1061</v>
      </c>
      <c r="D11311" s="9">
        <v>200.0</v>
      </c>
      <c r="E11311" s="9">
        <v>47.07</v>
      </c>
      <c r="F11311" s="709">
        <v>0.49671296296296297</v>
      </c>
      <c r="G11311" s="195" t="s">
        <v>453</v>
      </c>
      <c r="H11311" s="710">
        <v>1.22</v>
      </c>
      <c r="I11311" s="256" t="s">
        <v>3145</v>
      </c>
      <c r="J11311" s="67">
        <f t="shared" si="637"/>
        <v>9412.78</v>
      </c>
      <c r="K11311" s="1"/>
      <c r="L11311" s="70"/>
      <c r="M11311" s="79"/>
      <c r="N11311" s="1"/>
      <c r="O11311" s="1"/>
      <c r="P11311" s="1"/>
      <c r="Q11311" s="1"/>
      <c r="R11311" s="1"/>
      <c r="S11311" s="1"/>
      <c r="T11311" s="1"/>
      <c r="U11311" s="1"/>
      <c r="V11311" s="1"/>
      <c r="W11311" s="1"/>
      <c r="X11311" s="1"/>
      <c r="Y11311" s="1"/>
      <c r="Z11311" s="1"/>
      <c r="AA11311" s="1"/>
      <c r="AB11311" s="1"/>
      <c r="AC11311" s="1"/>
      <c r="AD11311" s="1"/>
      <c r="AE11311" s="1"/>
      <c r="AF11311" s="1"/>
      <c r="AG11311" s="1"/>
      <c r="AH11311" s="1"/>
    </row>
    <row r="11312" ht="12.75" hidden="1" customHeight="1" outlineLevel="1">
      <c r="A11312" s="122">
        <v>43620.0</v>
      </c>
      <c r="B11312" s="974" t="s">
        <v>347</v>
      </c>
      <c r="C11312" s="32" t="s">
        <v>1040</v>
      </c>
      <c r="D11312" s="9">
        <v>50.0</v>
      </c>
      <c r="E11312" s="9">
        <v>122.4327</v>
      </c>
      <c r="F11312" s="709">
        <v>0.49711805555555555</v>
      </c>
      <c r="G11312" s="195" t="s">
        <v>453</v>
      </c>
      <c r="H11312" s="710">
        <v>1.13</v>
      </c>
      <c r="I11312" s="256" t="s">
        <v>3145</v>
      </c>
      <c r="J11312" s="67">
        <f t="shared" si="637"/>
        <v>6120.505</v>
      </c>
      <c r="K11312" s="1"/>
      <c r="L11312" s="70"/>
      <c r="M11312" s="79"/>
      <c r="N11312" s="1"/>
      <c r="O11312" s="1"/>
      <c r="P11312" s="1"/>
      <c r="Q11312" s="1"/>
      <c r="R11312" s="1"/>
      <c r="S11312" s="1"/>
      <c r="T11312" s="1"/>
      <c r="U11312" s="1"/>
      <c r="V11312" s="1"/>
      <c r="W11312" s="1"/>
      <c r="X11312" s="1"/>
      <c r="Y11312" s="1"/>
      <c r="Z11312" s="1"/>
      <c r="AA11312" s="1"/>
      <c r="AB11312" s="1"/>
      <c r="AC11312" s="1"/>
      <c r="AD11312" s="1"/>
      <c r="AE11312" s="1"/>
      <c r="AF11312" s="1"/>
      <c r="AG11312" s="1"/>
      <c r="AH11312" s="1"/>
    </row>
    <row r="11313" ht="12.75" hidden="1" customHeight="1" outlineLevel="1">
      <c r="A11313" s="122">
        <v>43621.0</v>
      </c>
      <c r="B11313" s="974" t="s">
        <v>347</v>
      </c>
      <c r="C11313" s="32" t="s">
        <v>1061</v>
      </c>
      <c r="D11313" s="9">
        <v>200.0</v>
      </c>
      <c r="E11313" s="9">
        <v>47.481</v>
      </c>
      <c r="F11313" s="709">
        <v>0.6663078703703704</v>
      </c>
      <c r="G11313" s="195" t="s">
        <v>453</v>
      </c>
      <c r="H11313" s="710">
        <v>1.22</v>
      </c>
      <c r="I11313" s="256" t="s">
        <v>3145</v>
      </c>
      <c r="J11313" s="67">
        <f t="shared" si="637"/>
        <v>9494.98</v>
      </c>
      <c r="K11313" s="1"/>
      <c r="L11313" s="70"/>
      <c r="M11313" s="79"/>
      <c r="N11313" s="1"/>
      <c r="O11313" s="1"/>
      <c r="P11313" s="1"/>
      <c r="Q11313" s="1"/>
      <c r="R11313" s="1"/>
      <c r="S11313" s="1"/>
      <c r="T11313" s="1"/>
      <c r="U11313" s="1"/>
      <c r="V11313" s="1"/>
      <c r="W11313" s="1"/>
      <c r="X11313" s="1"/>
      <c r="Y11313" s="1"/>
      <c r="Z11313" s="1"/>
      <c r="AA11313" s="1"/>
      <c r="AB11313" s="1"/>
      <c r="AC11313" s="1"/>
      <c r="AD11313" s="1"/>
      <c r="AE11313" s="1"/>
      <c r="AF11313" s="1"/>
      <c r="AG11313" s="1"/>
      <c r="AH11313" s="1"/>
    </row>
    <row r="11314" ht="12.75" hidden="1" customHeight="1" outlineLevel="1">
      <c r="A11314" s="197">
        <v>43621.0</v>
      </c>
      <c r="B11314" s="992"/>
      <c r="C11314" s="32" t="s">
        <v>947</v>
      </c>
      <c r="D11314" s="1"/>
      <c r="E11314" s="94" t="s">
        <v>948</v>
      </c>
      <c r="F11314" s="1022" t="s">
        <v>949</v>
      </c>
      <c r="G11314" s="87"/>
      <c r="H11314" s="199"/>
      <c r="I11314" s="200">
        <v>1.0</v>
      </c>
      <c r="K11314" s="201" t="s">
        <v>3900</v>
      </c>
      <c r="L11314" s="77"/>
      <c r="M11314" s="79"/>
      <c r="N11314" s="1"/>
      <c r="O11314" s="1"/>
      <c r="P11314" s="1"/>
      <c r="Q11314" s="1"/>
      <c r="R11314" s="1"/>
      <c r="S11314" s="1"/>
      <c r="T11314" s="1"/>
      <c r="U11314" s="1"/>
      <c r="V11314" s="1"/>
      <c r="W11314" s="1"/>
      <c r="X11314" s="1"/>
      <c r="Y11314" s="1"/>
      <c r="Z11314" s="1"/>
      <c r="AA11314" s="1"/>
      <c r="AB11314" s="1"/>
      <c r="AC11314" s="1"/>
      <c r="AD11314" s="1"/>
      <c r="AE11314" s="1"/>
      <c r="AF11314" s="1"/>
      <c r="AG11314" s="1"/>
      <c r="AH11314" s="1"/>
    </row>
    <row r="11315" ht="12.75" hidden="1" customHeight="1" outlineLevel="1">
      <c r="A11315" s="202">
        <v>43621.0</v>
      </c>
      <c r="B11315" s="992"/>
      <c r="C11315" s="32" t="s">
        <v>952</v>
      </c>
      <c r="D11315" s="1"/>
      <c r="F11315" s="231" t="s">
        <v>953</v>
      </c>
      <c r="G11315" s="1"/>
      <c r="H11315" s="68"/>
      <c r="I11315" s="204">
        <v>0.0</v>
      </c>
      <c r="K11315" s="9" t="s">
        <v>3901</v>
      </c>
      <c r="L11315" s="77"/>
      <c r="M11315" s="79"/>
      <c r="N11315" s="1"/>
      <c r="O11315" s="1"/>
      <c r="P11315" s="1"/>
      <c r="Q11315" s="1"/>
      <c r="R11315" s="1"/>
      <c r="S11315" s="1"/>
      <c r="T11315" s="1"/>
      <c r="U11315" s="1"/>
      <c r="V11315" s="1"/>
      <c r="W11315" s="1"/>
      <c r="X11315" s="1"/>
      <c r="Y11315" s="1"/>
      <c r="Z11315" s="1"/>
      <c r="AA11315" s="1"/>
      <c r="AB11315" s="1"/>
      <c r="AC11315" s="1"/>
      <c r="AD11315" s="1"/>
      <c r="AE11315" s="1"/>
      <c r="AF11315" s="1"/>
      <c r="AG11315" s="1"/>
      <c r="AH11315" s="1"/>
    </row>
    <row r="11316" ht="12.75" hidden="1" customHeight="1" outlineLevel="1">
      <c r="A11316" s="202">
        <v>43621.0</v>
      </c>
      <c r="B11316" s="992"/>
      <c r="C11316" s="32" t="s">
        <v>955</v>
      </c>
      <c r="D11316" s="1"/>
      <c r="F11316" s="231" t="s">
        <v>3718</v>
      </c>
      <c r="G11316" s="1"/>
      <c r="H11316" s="68"/>
      <c r="I11316" s="204">
        <v>0.0</v>
      </c>
      <c r="K11316" s="9" t="s">
        <v>3902</v>
      </c>
      <c r="L11316" s="77"/>
      <c r="M11316" s="79"/>
      <c r="N11316" s="1"/>
      <c r="O11316" s="1"/>
      <c r="P11316" s="1"/>
      <c r="Q11316" s="1"/>
      <c r="R11316" s="1"/>
      <c r="S11316" s="1"/>
      <c r="T11316" s="1"/>
      <c r="U11316" s="1"/>
      <c r="V11316" s="1"/>
      <c r="W11316" s="1"/>
      <c r="X11316" s="1"/>
      <c r="Y11316" s="1"/>
      <c r="Z11316" s="1"/>
      <c r="AA11316" s="1"/>
      <c r="AB11316" s="1"/>
      <c r="AC11316" s="1"/>
      <c r="AD11316" s="1"/>
      <c r="AE11316" s="1"/>
      <c r="AF11316" s="1"/>
      <c r="AG11316" s="1"/>
      <c r="AH11316" s="1"/>
    </row>
    <row r="11317" ht="12.75" hidden="1" customHeight="1" outlineLevel="1">
      <c r="A11317" s="202">
        <v>43621.0</v>
      </c>
      <c r="B11317" s="992"/>
      <c r="C11317" s="32" t="s">
        <v>958</v>
      </c>
      <c r="D11317" s="1"/>
      <c r="F11317" s="231" t="s">
        <v>3820</v>
      </c>
      <c r="G11317" s="1"/>
      <c r="H11317" s="68"/>
      <c r="I11317" s="204">
        <v>1.0</v>
      </c>
      <c r="K11317" s="9" t="s">
        <v>3903</v>
      </c>
      <c r="L11317" s="77"/>
      <c r="M11317" s="79"/>
      <c r="N11317" s="1"/>
      <c r="O11317" s="1"/>
      <c r="P11317" s="1"/>
      <c r="Q11317" s="1"/>
      <c r="R11317" s="1"/>
      <c r="S11317" s="1"/>
      <c r="T11317" s="1"/>
      <c r="U11317" s="1"/>
      <c r="V11317" s="1"/>
      <c r="W11317" s="1"/>
      <c r="X11317" s="1"/>
      <c r="Y11317" s="1"/>
      <c r="Z11317" s="1"/>
      <c r="AA11317" s="1"/>
      <c r="AB11317" s="1"/>
      <c r="AC11317" s="1"/>
      <c r="AD11317" s="1"/>
      <c r="AE11317" s="1"/>
      <c r="AF11317" s="1"/>
      <c r="AG11317" s="1"/>
      <c r="AH11317" s="1"/>
    </row>
    <row r="11318" ht="12.75" hidden="1" customHeight="1" outlineLevel="1">
      <c r="A11318" s="202">
        <v>43621.0</v>
      </c>
      <c r="B11318" s="992"/>
      <c r="C11318" s="32" t="s">
        <v>961</v>
      </c>
      <c r="D11318" s="1"/>
      <c r="F11318" s="206" t="s">
        <v>3721</v>
      </c>
      <c r="G11318" s="207"/>
      <c r="H11318" s="208"/>
      <c r="I11318" s="209">
        <v>2.0</v>
      </c>
      <c r="K11318" s="9" t="s">
        <v>964</v>
      </c>
      <c r="L11318" s="77"/>
      <c r="M11318" s="79"/>
      <c r="N11318" s="1"/>
      <c r="O11318" s="1"/>
      <c r="P11318" s="1"/>
      <c r="Q11318" s="1"/>
      <c r="R11318" s="1"/>
      <c r="S11318" s="1"/>
      <c r="T11318" s="1"/>
      <c r="U11318" s="1"/>
      <c r="V11318" s="1"/>
      <c r="W11318" s="1"/>
      <c r="X11318" s="1"/>
      <c r="Y11318" s="1"/>
      <c r="Z11318" s="1"/>
      <c r="AA11318" s="1"/>
      <c r="AB11318" s="1"/>
      <c r="AC11318" s="1"/>
      <c r="AD11318" s="1"/>
      <c r="AE11318" s="1"/>
      <c r="AF11318" s="1"/>
      <c r="AG11318" s="1"/>
      <c r="AH11318" s="1"/>
    </row>
    <row r="11319" ht="12.75" hidden="1" customHeight="1" outlineLevel="1">
      <c r="A11319" s="122">
        <v>43623.0</v>
      </c>
      <c r="B11319" s="974" t="s">
        <v>347</v>
      </c>
      <c r="C11319" s="32" t="s">
        <v>1128</v>
      </c>
      <c r="D11319" s="9">
        <v>75.0</v>
      </c>
      <c r="E11319" s="9">
        <v>109.6627</v>
      </c>
      <c r="F11319" s="709">
        <v>0.42399305555555555</v>
      </c>
      <c r="G11319" s="195" t="s">
        <v>453</v>
      </c>
      <c r="H11319" s="710">
        <v>1.18</v>
      </c>
      <c r="I11319" s="256" t="s">
        <v>3145</v>
      </c>
      <c r="J11319" s="67">
        <f t="shared" ref="J11319:J11323" si="638">IF(B11319="SLD",D11319*E11319,-D11319*E11319)-H11319</f>
        <v>8223.5225</v>
      </c>
      <c r="K11319" s="1"/>
      <c r="L11319" s="70"/>
      <c r="M11319" s="79"/>
      <c r="N11319" s="1"/>
      <c r="O11319" s="1"/>
      <c r="P11319" s="1"/>
      <c r="Q11319" s="1"/>
      <c r="R11319" s="1"/>
      <c r="S11319" s="1"/>
      <c r="T11319" s="1"/>
      <c r="U11319" s="1"/>
      <c r="V11319" s="1"/>
      <c r="W11319" s="1"/>
      <c r="X11319" s="1"/>
      <c r="Y11319" s="1"/>
      <c r="Z11319" s="1"/>
      <c r="AA11319" s="1"/>
      <c r="AB11319" s="1"/>
      <c r="AC11319" s="1"/>
      <c r="AD11319" s="1"/>
      <c r="AE11319" s="1"/>
      <c r="AF11319" s="1"/>
      <c r="AG11319" s="1"/>
      <c r="AH11319" s="1"/>
    </row>
    <row r="11320" ht="12.75" hidden="1" customHeight="1" outlineLevel="1">
      <c r="A11320" s="122">
        <v>43623.0</v>
      </c>
      <c r="B11320" s="974" t="s">
        <v>347</v>
      </c>
      <c r="C11320" s="32" t="s">
        <v>605</v>
      </c>
      <c r="D11320" s="9">
        <v>100.0</v>
      </c>
      <c r="E11320" s="9">
        <v>84.88</v>
      </c>
      <c r="F11320" s="709">
        <v>0.436400462962963</v>
      </c>
      <c r="G11320" s="195" t="s">
        <v>453</v>
      </c>
      <c r="H11320" s="710">
        <v>1.19</v>
      </c>
      <c r="I11320" s="256" t="s">
        <v>3145</v>
      </c>
      <c r="J11320" s="67">
        <f t="shared" si="638"/>
        <v>8486.81</v>
      </c>
      <c r="K11320" s="1"/>
      <c r="L11320" s="70"/>
      <c r="M11320" s="79"/>
      <c r="N11320" s="1"/>
      <c r="O11320" s="1"/>
      <c r="P11320" s="1"/>
      <c r="Q11320" s="1"/>
      <c r="R11320" s="1"/>
      <c r="S11320" s="1"/>
      <c r="T11320" s="1"/>
      <c r="U11320" s="1"/>
      <c r="V11320" s="1"/>
      <c r="W11320" s="1"/>
      <c r="X11320" s="1"/>
      <c r="Y11320" s="1"/>
      <c r="Z11320" s="1"/>
      <c r="AA11320" s="1"/>
      <c r="AB11320" s="1"/>
      <c r="AC11320" s="1"/>
      <c r="AD11320" s="1"/>
      <c r="AE11320" s="1"/>
      <c r="AF11320" s="1"/>
      <c r="AG11320" s="1"/>
      <c r="AH11320" s="1"/>
    </row>
    <row r="11321" ht="12.75" hidden="1" customHeight="1" outlineLevel="1">
      <c r="A11321" s="122">
        <v>43623.0</v>
      </c>
      <c r="B11321" s="974" t="s">
        <v>343</v>
      </c>
      <c r="C11321" s="32" t="s">
        <v>1053</v>
      </c>
      <c r="D11321" s="9">
        <v>5.0</v>
      </c>
      <c r="E11321" s="9">
        <v>1793.49</v>
      </c>
      <c r="F11321" s="709">
        <v>0.4371643518518519</v>
      </c>
      <c r="G11321" s="195" t="s">
        <v>453</v>
      </c>
      <c r="H11321" s="710">
        <v>1.0</v>
      </c>
      <c r="I11321" s="256" t="s">
        <v>3145</v>
      </c>
      <c r="J11321" s="67">
        <f t="shared" si="638"/>
        <v>-8968.45</v>
      </c>
      <c r="K11321" s="1"/>
      <c r="L11321" s="70"/>
      <c r="M11321" s="79"/>
      <c r="N11321" s="1"/>
      <c r="O11321" s="1"/>
      <c r="P11321" s="1"/>
      <c r="Q11321" s="1"/>
      <c r="R11321" s="1"/>
      <c r="S11321" s="1"/>
      <c r="T11321" s="1"/>
      <c r="U11321" s="1"/>
      <c r="V11321" s="1"/>
      <c r="W11321" s="1"/>
      <c r="X11321" s="1"/>
      <c r="Y11321" s="1"/>
      <c r="Z11321" s="1"/>
      <c r="AA11321" s="1"/>
      <c r="AB11321" s="1"/>
      <c r="AC11321" s="1"/>
      <c r="AD11321" s="1"/>
      <c r="AE11321" s="1"/>
      <c r="AF11321" s="1"/>
      <c r="AG11321" s="1"/>
      <c r="AH11321" s="1"/>
    </row>
    <row r="11322" ht="12.75" hidden="1" customHeight="1" outlineLevel="1">
      <c r="A11322" s="122">
        <v>43623.0</v>
      </c>
      <c r="B11322" s="974" t="s">
        <v>343</v>
      </c>
      <c r="C11322" s="32" t="s">
        <v>1114</v>
      </c>
      <c r="D11322" s="9">
        <v>200.0</v>
      </c>
      <c r="E11322" s="9">
        <v>42.99</v>
      </c>
      <c r="F11322" s="709">
        <v>0.43885416666666666</v>
      </c>
      <c r="G11322" s="195" t="s">
        <v>453</v>
      </c>
      <c r="H11322" s="710">
        <v>1.0</v>
      </c>
      <c r="I11322" s="256" t="s">
        <v>3145</v>
      </c>
      <c r="J11322" s="67">
        <f t="shared" si="638"/>
        <v>-8599</v>
      </c>
      <c r="K11322" s="1"/>
      <c r="L11322" s="70"/>
      <c r="M11322" s="79"/>
      <c r="N11322" s="1"/>
      <c r="O11322" s="1"/>
      <c r="P11322" s="1"/>
      <c r="Q11322" s="1"/>
      <c r="R11322" s="1"/>
      <c r="S11322" s="1"/>
      <c r="T11322" s="1"/>
      <c r="U11322" s="1"/>
      <c r="V11322" s="1"/>
      <c r="W11322" s="1"/>
      <c r="X11322" s="1"/>
      <c r="Y11322" s="1"/>
      <c r="Z11322" s="1"/>
      <c r="AA11322" s="1"/>
      <c r="AB11322" s="1"/>
      <c r="AC11322" s="1"/>
      <c r="AD11322" s="1"/>
      <c r="AE11322" s="1"/>
      <c r="AF11322" s="1"/>
      <c r="AG11322" s="1"/>
      <c r="AH11322" s="1"/>
    </row>
    <row r="11323" ht="12.75" hidden="1" customHeight="1" outlineLevel="1">
      <c r="A11323" s="122">
        <v>43623.0</v>
      </c>
      <c r="B11323" s="974" t="s">
        <v>343</v>
      </c>
      <c r="C11323" s="32" t="s">
        <v>1167</v>
      </c>
      <c r="D11323" s="9">
        <v>50.0</v>
      </c>
      <c r="E11323" s="9">
        <v>128.0973</v>
      </c>
      <c r="F11323" s="709">
        <v>0.45827546296296295</v>
      </c>
      <c r="G11323" s="195" t="s">
        <v>453</v>
      </c>
      <c r="H11323" s="710">
        <v>1.0</v>
      </c>
      <c r="I11323" s="256" t="s">
        <v>3145</v>
      </c>
      <c r="J11323" s="67">
        <f t="shared" si="638"/>
        <v>-6405.865</v>
      </c>
      <c r="K11323" s="1"/>
      <c r="L11323" s="70"/>
      <c r="M11323" s="79"/>
      <c r="N11323" s="1"/>
      <c r="O11323" s="1"/>
      <c r="P11323" s="1"/>
      <c r="Q11323" s="1"/>
      <c r="R11323" s="1"/>
      <c r="S11323" s="1"/>
      <c r="T11323" s="1"/>
      <c r="U11323" s="1"/>
      <c r="V11323" s="1"/>
      <c r="W11323" s="1"/>
      <c r="X11323" s="1"/>
      <c r="Y11323" s="1"/>
      <c r="Z11323" s="1"/>
      <c r="AA11323" s="1"/>
      <c r="AB11323" s="1"/>
      <c r="AC11323" s="1"/>
      <c r="AD11323" s="1"/>
      <c r="AE11323" s="1"/>
      <c r="AF11323" s="1"/>
      <c r="AG11323" s="1"/>
      <c r="AH11323" s="1"/>
    </row>
    <row r="11324" ht="12.75" hidden="1" customHeight="1" outlineLevel="1">
      <c r="A11324" s="1034">
        <v>43623.0</v>
      </c>
      <c r="B11324" s="177"/>
      <c r="C11324" s="177" t="s">
        <v>947</v>
      </c>
      <c r="D11324" s="1035"/>
      <c r="E11324" s="1036" t="s">
        <v>948</v>
      </c>
      <c r="F11324" s="1037" t="s">
        <v>949</v>
      </c>
      <c r="G11324" s="1038"/>
      <c r="H11324" s="1039"/>
      <c r="I11324" s="1040">
        <v>1.0</v>
      </c>
      <c r="J11324" s="1041"/>
      <c r="K11324" s="1042" t="s">
        <v>3900</v>
      </c>
      <c r="L11324" s="77"/>
      <c r="M11324" s="79"/>
      <c r="N11324" s="1"/>
      <c r="O11324" s="1"/>
      <c r="P11324" s="1"/>
      <c r="Q11324" s="1"/>
      <c r="R11324" s="1"/>
      <c r="S11324" s="1"/>
      <c r="T11324" s="1"/>
      <c r="U11324" s="1"/>
      <c r="V11324" s="1"/>
      <c r="W11324" s="1"/>
      <c r="X11324" s="1"/>
      <c r="Y11324" s="1"/>
      <c r="Z11324" s="1"/>
      <c r="AA11324" s="1"/>
      <c r="AB11324" s="1"/>
      <c r="AC11324" s="1"/>
      <c r="AD11324" s="1"/>
      <c r="AE11324" s="1"/>
      <c r="AF11324" s="1"/>
      <c r="AG11324" s="1"/>
      <c r="AH11324" s="1"/>
    </row>
    <row r="11325" ht="12.75" hidden="1" customHeight="1" outlineLevel="1">
      <c r="A11325" s="1043">
        <v>43623.0</v>
      </c>
      <c r="B11325" s="177"/>
      <c r="C11325" s="177" t="s">
        <v>952</v>
      </c>
      <c r="D11325" s="1035"/>
      <c r="E11325" s="1036"/>
      <c r="F11325" s="1044" t="s">
        <v>953</v>
      </c>
      <c r="G11325" s="1045"/>
      <c r="H11325" s="542"/>
      <c r="I11325" s="1046">
        <v>0.0</v>
      </c>
      <c r="J11325" s="1041"/>
      <c r="K11325" s="1047" t="s">
        <v>3904</v>
      </c>
      <c r="L11325" s="77"/>
      <c r="M11325" s="79"/>
      <c r="N11325" s="1"/>
      <c r="O11325" s="1"/>
      <c r="P11325" s="1"/>
      <c r="Q11325" s="1"/>
      <c r="R11325" s="1"/>
      <c r="S11325" s="1"/>
      <c r="T11325" s="1"/>
      <c r="U11325" s="1"/>
      <c r="V11325" s="1"/>
      <c r="W11325" s="1"/>
      <c r="X11325" s="1"/>
      <c r="Y11325" s="1"/>
      <c r="Z11325" s="1"/>
      <c r="AA11325" s="1"/>
      <c r="AB11325" s="1"/>
      <c r="AC11325" s="1"/>
      <c r="AD11325" s="1"/>
      <c r="AE11325" s="1"/>
      <c r="AF11325" s="1"/>
      <c r="AG11325" s="1"/>
      <c r="AH11325" s="1"/>
    </row>
    <row r="11326" ht="12.75" hidden="1" customHeight="1" outlineLevel="1">
      <c r="A11326" s="1043">
        <v>43623.0</v>
      </c>
      <c r="B11326" s="177"/>
      <c r="C11326" s="177" t="s">
        <v>955</v>
      </c>
      <c r="D11326" s="1035"/>
      <c r="E11326" s="1036"/>
      <c r="F11326" s="1044" t="s">
        <v>3718</v>
      </c>
      <c r="G11326" s="1041"/>
      <c r="H11326" s="542"/>
      <c r="I11326" s="1048">
        <v>0.0</v>
      </c>
      <c r="J11326" s="1041"/>
      <c r="K11326" s="1047" t="s">
        <v>3905</v>
      </c>
      <c r="L11326" s="77"/>
      <c r="M11326" s="79"/>
      <c r="N11326" s="1"/>
      <c r="O11326" s="1"/>
      <c r="P11326" s="1"/>
      <c r="Q11326" s="1"/>
      <c r="R11326" s="1"/>
      <c r="S11326" s="1"/>
      <c r="T11326" s="1"/>
      <c r="U11326" s="1"/>
      <c r="V11326" s="1"/>
      <c r="W11326" s="1"/>
      <c r="X11326" s="1"/>
      <c r="Y11326" s="1"/>
      <c r="Z11326" s="1"/>
      <c r="AA11326" s="1"/>
      <c r="AB11326" s="1"/>
      <c r="AC11326" s="1"/>
      <c r="AD11326" s="1"/>
      <c r="AE11326" s="1"/>
      <c r="AF11326" s="1"/>
      <c r="AG11326" s="1"/>
      <c r="AH11326" s="1"/>
    </row>
    <row r="11327" ht="12.75" hidden="1" customHeight="1" outlineLevel="1">
      <c r="A11327" s="1043">
        <v>43623.0</v>
      </c>
      <c r="B11327" s="177"/>
      <c r="C11327" s="177" t="s">
        <v>958</v>
      </c>
      <c r="D11327" s="1035"/>
      <c r="E11327" s="1036"/>
      <c r="F11327" s="1049" t="s">
        <v>3820</v>
      </c>
      <c r="G11327" s="1050"/>
      <c r="H11327" s="1051"/>
      <c r="I11327" s="1052">
        <v>1.0</v>
      </c>
      <c r="J11327" s="1041"/>
      <c r="K11327" s="1047" t="s">
        <v>3906</v>
      </c>
      <c r="L11327" s="77"/>
      <c r="M11327" s="79"/>
      <c r="N11327" s="1"/>
      <c r="O11327" s="1"/>
      <c r="P11327" s="1"/>
      <c r="Q11327" s="1"/>
      <c r="R11327" s="1"/>
      <c r="S11327" s="1"/>
      <c r="T11327" s="1"/>
      <c r="U11327" s="1"/>
      <c r="V11327" s="1"/>
      <c r="W11327" s="1"/>
      <c r="X11327" s="1"/>
      <c r="Y11327" s="1"/>
      <c r="Z11327" s="1"/>
      <c r="AA11327" s="1"/>
      <c r="AB11327" s="1"/>
      <c r="AC11327" s="1"/>
      <c r="AD11327" s="1"/>
      <c r="AE11327" s="1"/>
      <c r="AF11327" s="1"/>
      <c r="AG11327" s="1"/>
      <c r="AH11327" s="1"/>
    </row>
    <row r="11328" ht="12.75" hidden="1" customHeight="1" outlineLevel="1">
      <c r="A11328" s="1043">
        <v>43623.0</v>
      </c>
      <c r="B11328" s="177"/>
      <c r="C11328" s="177" t="s">
        <v>961</v>
      </c>
      <c r="D11328" s="1035"/>
      <c r="E11328" s="1036"/>
      <c r="F11328" s="1053" t="s">
        <v>3721</v>
      </c>
      <c r="G11328" s="1054"/>
      <c r="H11328" s="1051"/>
      <c r="I11328" s="1055">
        <v>2.0</v>
      </c>
      <c r="J11328" s="1041"/>
      <c r="K11328" s="1047" t="s">
        <v>964</v>
      </c>
      <c r="L11328" s="77"/>
      <c r="M11328" s="79"/>
      <c r="N11328" s="1"/>
      <c r="O11328" s="1"/>
      <c r="P11328" s="1"/>
      <c r="Q11328" s="1"/>
      <c r="R11328" s="1"/>
      <c r="S11328" s="1"/>
      <c r="T11328" s="1"/>
      <c r="U11328" s="1"/>
      <c r="V11328" s="1"/>
      <c r="W11328" s="1"/>
      <c r="X11328" s="1"/>
      <c r="Y11328" s="1"/>
      <c r="Z11328" s="1"/>
      <c r="AA11328" s="1"/>
      <c r="AB11328" s="1"/>
      <c r="AC11328" s="1"/>
      <c r="AD11328" s="1"/>
      <c r="AE11328" s="1"/>
      <c r="AF11328" s="1"/>
      <c r="AG11328" s="1"/>
      <c r="AH11328" s="1"/>
    </row>
    <row r="11329" ht="12.75" hidden="1" customHeight="1" outlineLevel="1">
      <c r="A11329" s="1034">
        <v>43625.0</v>
      </c>
      <c r="B11329" s="177"/>
      <c r="C11329" s="177" t="s">
        <v>947</v>
      </c>
      <c r="D11329" s="1035"/>
      <c r="E11329" s="1036" t="s">
        <v>948</v>
      </c>
      <c r="F11329" s="1037" t="s">
        <v>949</v>
      </c>
      <c r="G11329" s="1038"/>
      <c r="H11329" s="1039"/>
      <c r="I11329" s="1040">
        <v>1.0</v>
      </c>
      <c r="J11329" s="1041"/>
      <c r="K11329" s="1042" t="s">
        <v>3900</v>
      </c>
      <c r="L11329" s="77"/>
      <c r="M11329" s="79"/>
      <c r="N11329" s="1"/>
      <c r="O11329" s="1"/>
      <c r="P11329" s="1"/>
      <c r="Q11329" s="1"/>
      <c r="R11329" s="1"/>
      <c r="S11329" s="1"/>
      <c r="T11329" s="1"/>
      <c r="U11329" s="1"/>
      <c r="V11329" s="1"/>
      <c r="W11329" s="1"/>
      <c r="X11329" s="1"/>
      <c r="Y11329" s="1"/>
      <c r="Z11329" s="1"/>
      <c r="AA11329" s="1"/>
      <c r="AB11329" s="1"/>
      <c r="AC11329" s="1"/>
      <c r="AD11329" s="1"/>
      <c r="AE11329" s="1"/>
      <c r="AF11329" s="1"/>
      <c r="AG11329" s="1"/>
      <c r="AH11329" s="1"/>
    </row>
    <row r="11330" ht="12.75" hidden="1" customHeight="1" outlineLevel="1">
      <c r="A11330" s="1043">
        <v>43625.0</v>
      </c>
      <c r="B11330" s="177"/>
      <c r="C11330" s="177" t="s">
        <v>952</v>
      </c>
      <c r="D11330" s="1035"/>
      <c r="E11330" s="1036"/>
      <c r="F11330" s="1044" t="s">
        <v>953</v>
      </c>
      <c r="G11330" s="1045"/>
      <c r="H11330" s="542"/>
      <c r="I11330" s="1046">
        <v>0.0</v>
      </c>
      <c r="J11330" s="1041"/>
      <c r="K11330" s="1047" t="s">
        <v>3907</v>
      </c>
      <c r="L11330" s="77"/>
      <c r="M11330" s="79"/>
      <c r="N11330" s="1"/>
      <c r="O11330" s="1"/>
      <c r="P11330" s="1"/>
      <c r="Q11330" s="1"/>
      <c r="R11330" s="1"/>
      <c r="S11330" s="1"/>
      <c r="T11330" s="1"/>
      <c r="U11330" s="1"/>
      <c r="V11330" s="1"/>
      <c r="W11330" s="1"/>
      <c r="X11330" s="1"/>
      <c r="Y11330" s="1"/>
      <c r="Z11330" s="1"/>
      <c r="AA11330" s="1"/>
      <c r="AB11330" s="1"/>
      <c r="AC11330" s="1"/>
      <c r="AD11330" s="1"/>
      <c r="AE11330" s="1"/>
      <c r="AF11330" s="1"/>
      <c r="AG11330" s="1"/>
      <c r="AH11330" s="1"/>
    </row>
    <row r="11331" ht="12.75" hidden="1" customHeight="1" outlineLevel="1">
      <c r="A11331" s="1043">
        <v>43625.0</v>
      </c>
      <c r="B11331" s="177"/>
      <c r="C11331" s="177" t="s">
        <v>955</v>
      </c>
      <c r="D11331" s="1035"/>
      <c r="E11331" s="1036"/>
      <c r="F11331" s="1044" t="s">
        <v>3718</v>
      </c>
      <c r="G11331" s="1041"/>
      <c r="H11331" s="542"/>
      <c r="I11331" s="1048">
        <v>0.0</v>
      </c>
      <c r="J11331" s="1041"/>
      <c r="K11331" s="1047" t="s">
        <v>3905</v>
      </c>
      <c r="L11331" s="77"/>
      <c r="M11331" s="79"/>
      <c r="N11331" s="1"/>
      <c r="O11331" s="1"/>
      <c r="P11331" s="1"/>
      <c r="Q11331" s="1"/>
      <c r="R11331" s="1"/>
      <c r="S11331" s="1"/>
      <c r="T11331" s="1"/>
      <c r="U11331" s="1"/>
      <c r="V11331" s="1"/>
      <c r="W11331" s="1"/>
      <c r="X11331" s="1"/>
      <c r="Y11331" s="1"/>
      <c r="Z11331" s="1"/>
      <c r="AA11331" s="1"/>
      <c r="AB11331" s="1"/>
      <c r="AC11331" s="1"/>
      <c r="AD11331" s="1"/>
      <c r="AE11331" s="1"/>
      <c r="AF11331" s="1"/>
      <c r="AG11331" s="1"/>
      <c r="AH11331" s="1"/>
    </row>
    <row r="11332" ht="12.75" hidden="1" customHeight="1" outlineLevel="1">
      <c r="A11332" s="1043">
        <v>43625.0</v>
      </c>
      <c r="B11332" s="177"/>
      <c r="C11332" s="177" t="s">
        <v>958</v>
      </c>
      <c r="D11332" s="1035"/>
      <c r="E11332" s="1036"/>
      <c r="F11332" s="1049" t="s">
        <v>3820</v>
      </c>
      <c r="G11332" s="1050"/>
      <c r="H11332" s="1051"/>
      <c r="I11332" s="1052">
        <v>1.0</v>
      </c>
      <c r="J11332" s="1041"/>
      <c r="K11332" s="1047" t="s">
        <v>3908</v>
      </c>
      <c r="L11332" s="77"/>
      <c r="M11332" s="79"/>
      <c r="N11332" s="1"/>
      <c r="O11332" s="1"/>
      <c r="P11332" s="1"/>
      <c r="Q11332" s="1"/>
      <c r="R11332" s="1"/>
      <c r="S11332" s="1"/>
      <c r="T11332" s="1"/>
      <c r="U11332" s="1"/>
      <c r="V11332" s="1"/>
      <c r="W11332" s="1"/>
      <c r="X11332" s="1"/>
      <c r="Y11332" s="1"/>
      <c r="Z11332" s="1"/>
      <c r="AA11332" s="1"/>
      <c r="AB11332" s="1"/>
      <c r="AC11332" s="1"/>
      <c r="AD11332" s="1"/>
      <c r="AE11332" s="1"/>
      <c r="AF11332" s="1"/>
      <c r="AG11332" s="1"/>
      <c r="AH11332" s="1"/>
    </row>
    <row r="11333" ht="12.75" hidden="1" customHeight="1" outlineLevel="1">
      <c r="A11333" s="1043">
        <v>43625.0</v>
      </c>
      <c r="B11333" s="177"/>
      <c r="C11333" s="177" t="s">
        <v>961</v>
      </c>
      <c r="D11333" s="1035"/>
      <c r="E11333" s="1036"/>
      <c r="F11333" s="1053" t="s">
        <v>3721</v>
      </c>
      <c r="G11333" s="1054"/>
      <c r="H11333" s="1051"/>
      <c r="I11333" s="1055">
        <v>2.0</v>
      </c>
      <c r="J11333" s="1041"/>
      <c r="K11333" s="1047" t="s">
        <v>964</v>
      </c>
      <c r="L11333" s="77"/>
      <c r="M11333" s="79"/>
      <c r="N11333" s="1"/>
      <c r="O11333" s="1"/>
      <c r="P11333" s="1"/>
      <c r="Q11333" s="1"/>
      <c r="R11333" s="1"/>
      <c r="S11333" s="1"/>
      <c r="T11333" s="1"/>
      <c r="U11333" s="1"/>
      <c r="V11333" s="1"/>
      <c r="W11333" s="1"/>
      <c r="X11333" s="1"/>
      <c r="Y11333" s="1"/>
      <c r="Z11333" s="1"/>
      <c r="AA11333" s="1"/>
      <c r="AB11333" s="1"/>
      <c r="AC11333" s="1"/>
      <c r="AD11333" s="1"/>
      <c r="AE11333" s="1"/>
      <c r="AF11333" s="1"/>
      <c r="AG11333" s="1"/>
      <c r="AH11333" s="1"/>
    </row>
    <row r="11334" ht="12.75" hidden="1" customHeight="1" outlineLevel="1">
      <c r="A11334" s="197">
        <v>43633.0</v>
      </c>
      <c r="B11334" s="992"/>
      <c r="C11334" s="32" t="s">
        <v>947</v>
      </c>
      <c r="D11334" s="1"/>
      <c r="E11334" s="94" t="s">
        <v>948</v>
      </c>
      <c r="F11334" s="1056" t="s">
        <v>949</v>
      </c>
      <c r="G11334" s="87"/>
      <c r="H11334" s="199"/>
      <c r="I11334" s="200">
        <v>1.0</v>
      </c>
      <c r="K11334" s="201" t="s">
        <v>3893</v>
      </c>
      <c r="L11334" s="77"/>
      <c r="M11334" s="79"/>
      <c r="N11334" s="1"/>
      <c r="O11334" s="1"/>
      <c r="P11334" s="1"/>
      <c r="Q11334" s="1"/>
      <c r="R11334" s="1"/>
      <c r="S11334" s="1"/>
      <c r="T11334" s="1"/>
      <c r="U11334" s="1"/>
      <c r="V11334" s="1"/>
      <c r="W11334" s="1"/>
      <c r="X11334" s="1"/>
      <c r="Y11334" s="1"/>
      <c r="Z11334" s="1"/>
      <c r="AA11334" s="1"/>
      <c r="AB11334" s="1"/>
      <c r="AC11334" s="1"/>
      <c r="AD11334" s="1"/>
      <c r="AE11334" s="1"/>
      <c r="AF11334" s="1"/>
      <c r="AG11334" s="1"/>
      <c r="AH11334" s="1"/>
    </row>
    <row r="11335" ht="12.75" hidden="1" customHeight="1" outlineLevel="1">
      <c r="A11335" s="202">
        <v>43633.0</v>
      </c>
      <c r="B11335" s="992"/>
      <c r="C11335" s="32" t="s">
        <v>952</v>
      </c>
      <c r="D11335" s="1"/>
      <c r="F11335" s="1057" t="s">
        <v>953</v>
      </c>
      <c r="G11335" s="1"/>
      <c r="H11335" s="68"/>
      <c r="I11335" s="204">
        <v>0.0</v>
      </c>
      <c r="K11335" s="9" t="s">
        <v>3909</v>
      </c>
      <c r="L11335" s="77"/>
      <c r="M11335" s="79"/>
      <c r="N11335" s="1"/>
      <c r="O11335" s="1"/>
      <c r="P11335" s="1"/>
      <c r="Q11335" s="1"/>
      <c r="R11335" s="1"/>
      <c r="S11335" s="1"/>
      <c r="T11335" s="1"/>
      <c r="U11335" s="1"/>
      <c r="V11335" s="1"/>
      <c r="W11335" s="1"/>
      <c r="X11335" s="1"/>
      <c r="Y11335" s="1"/>
      <c r="Z11335" s="1"/>
      <c r="AA11335" s="1"/>
      <c r="AB11335" s="1"/>
      <c r="AC11335" s="1"/>
      <c r="AD11335" s="1"/>
      <c r="AE11335" s="1"/>
      <c r="AF11335" s="1"/>
      <c r="AG11335" s="1"/>
      <c r="AH11335" s="1"/>
    </row>
    <row r="11336" ht="12.75" hidden="1" customHeight="1" outlineLevel="1">
      <c r="A11336" s="202">
        <v>43633.0</v>
      </c>
      <c r="B11336" s="992"/>
      <c r="C11336" s="32" t="s">
        <v>955</v>
      </c>
      <c r="D11336" s="1"/>
      <c r="F11336" s="1057" t="s">
        <v>3718</v>
      </c>
      <c r="G11336" s="1"/>
      <c r="H11336" s="68"/>
      <c r="I11336" s="204">
        <v>0.0</v>
      </c>
      <c r="K11336" s="9" t="s">
        <v>3910</v>
      </c>
      <c r="L11336" s="77"/>
      <c r="M11336" s="79"/>
      <c r="N11336" s="1"/>
      <c r="O11336" s="1"/>
      <c r="P11336" s="1"/>
      <c r="Q11336" s="1"/>
      <c r="R11336" s="1"/>
      <c r="S11336" s="1"/>
      <c r="T11336" s="1"/>
      <c r="U11336" s="1"/>
      <c r="V11336" s="1"/>
      <c r="W11336" s="1"/>
      <c r="X11336" s="1"/>
      <c r="Y11336" s="1"/>
      <c r="Z11336" s="1"/>
      <c r="AA11336" s="1"/>
      <c r="AB11336" s="1"/>
      <c r="AC11336" s="1"/>
      <c r="AD11336" s="1"/>
      <c r="AE11336" s="1"/>
      <c r="AF11336" s="1"/>
      <c r="AG11336" s="1"/>
      <c r="AH11336" s="1"/>
    </row>
    <row r="11337" ht="12.75" hidden="1" customHeight="1" outlineLevel="1">
      <c r="A11337" s="202">
        <v>43633.0</v>
      </c>
      <c r="B11337" s="992"/>
      <c r="C11337" s="32" t="s">
        <v>958</v>
      </c>
      <c r="D11337" s="1"/>
      <c r="F11337" s="203" t="s">
        <v>959</v>
      </c>
      <c r="G11337" s="1"/>
      <c r="H11337" s="68"/>
      <c r="I11337" s="204">
        <v>0.0</v>
      </c>
      <c r="K11337" s="9" t="s">
        <v>3903</v>
      </c>
      <c r="L11337" s="77"/>
      <c r="M11337" s="79"/>
      <c r="N11337" s="1"/>
      <c r="O11337" s="1"/>
      <c r="P11337" s="1"/>
      <c r="Q11337" s="1"/>
      <c r="R11337" s="1"/>
      <c r="S11337" s="1"/>
      <c r="T11337" s="1"/>
      <c r="U11337" s="1"/>
      <c r="V11337" s="1"/>
      <c r="W11337" s="1"/>
      <c r="X11337" s="1"/>
      <c r="Y11337" s="1"/>
      <c r="Z11337" s="1"/>
      <c r="AA11337" s="1"/>
      <c r="AB11337" s="1"/>
      <c r="AC11337" s="1"/>
      <c r="AD11337" s="1"/>
      <c r="AE11337" s="1"/>
      <c r="AF11337" s="1"/>
      <c r="AG11337" s="1"/>
      <c r="AH11337" s="1"/>
    </row>
    <row r="11338" ht="12.75" hidden="1" customHeight="1" outlineLevel="1">
      <c r="A11338" s="202">
        <v>43633.0</v>
      </c>
      <c r="B11338" s="992"/>
      <c r="C11338" s="32" t="s">
        <v>961</v>
      </c>
      <c r="D11338" s="1"/>
      <c r="F11338" s="206" t="s">
        <v>3721</v>
      </c>
      <c r="G11338" s="207"/>
      <c r="H11338" s="208"/>
      <c r="I11338" s="209">
        <v>1.0</v>
      </c>
      <c r="K11338" s="9" t="s">
        <v>964</v>
      </c>
      <c r="L11338" s="77"/>
      <c r="M11338" s="79"/>
      <c r="N11338" s="1"/>
      <c r="O11338" s="1"/>
      <c r="P11338" s="1"/>
      <c r="Q11338" s="1"/>
      <c r="R11338" s="1"/>
      <c r="S11338" s="1"/>
      <c r="T11338" s="1"/>
      <c r="U11338" s="1"/>
      <c r="V11338" s="1"/>
      <c r="W11338" s="1"/>
      <c r="X11338" s="1"/>
      <c r="Y11338" s="1"/>
      <c r="Z11338" s="1"/>
      <c r="AA11338" s="1"/>
      <c r="AB11338" s="1"/>
      <c r="AC11338" s="1"/>
      <c r="AD11338" s="1"/>
      <c r="AE11338" s="1"/>
      <c r="AF11338" s="1"/>
      <c r="AG11338" s="1"/>
      <c r="AH11338" s="1"/>
    </row>
    <row r="11339" ht="12.75" hidden="1" customHeight="1" outlineLevel="1">
      <c r="A11339" s="197">
        <v>43634.0</v>
      </c>
      <c r="B11339" s="992"/>
      <c r="C11339" s="32" t="s">
        <v>947</v>
      </c>
      <c r="D11339" s="1"/>
      <c r="E11339" s="94" t="s">
        <v>948</v>
      </c>
      <c r="F11339" s="1056" t="s">
        <v>949</v>
      </c>
      <c r="G11339" s="87"/>
      <c r="H11339" s="199"/>
      <c r="I11339" s="200">
        <v>1.0</v>
      </c>
      <c r="K11339" s="201" t="s">
        <v>3911</v>
      </c>
      <c r="L11339" s="77"/>
      <c r="M11339" s="79"/>
      <c r="N11339" s="1"/>
      <c r="O11339" s="1"/>
      <c r="P11339" s="1"/>
      <c r="Q11339" s="1"/>
      <c r="R11339" s="1"/>
      <c r="S11339" s="1"/>
      <c r="T11339" s="1"/>
      <c r="U11339" s="1"/>
      <c r="V11339" s="1"/>
      <c r="W11339" s="1"/>
      <c r="X11339" s="1"/>
      <c r="Y11339" s="1"/>
      <c r="Z11339" s="1"/>
      <c r="AA11339" s="1"/>
      <c r="AB11339" s="1"/>
      <c r="AC11339" s="1"/>
      <c r="AD11339" s="1"/>
      <c r="AE11339" s="1"/>
      <c r="AF11339" s="1"/>
      <c r="AG11339" s="1"/>
      <c r="AH11339" s="1"/>
    </row>
    <row r="11340" ht="12.75" hidden="1" customHeight="1" outlineLevel="1">
      <c r="A11340" s="202">
        <v>43634.0</v>
      </c>
      <c r="B11340" s="992"/>
      <c r="C11340" s="32" t="s">
        <v>952</v>
      </c>
      <c r="D11340" s="1"/>
      <c r="F11340" s="1057" t="s">
        <v>953</v>
      </c>
      <c r="G11340" s="1"/>
      <c r="H11340" s="68"/>
      <c r="I11340" s="204">
        <v>0.0</v>
      </c>
      <c r="K11340" s="9" t="s">
        <v>3912</v>
      </c>
      <c r="L11340" s="77"/>
      <c r="M11340" s="79"/>
      <c r="N11340" s="1"/>
      <c r="O11340" s="1"/>
      <c r="P11340" s="1"/>
      <c r="Q11340" s="1"/>
      <c r="R11340" s="1"/>
      <c r="S11340" s="1"/>
      <c r="T11340" s="1"/>
      <c r="U11340" s="1"/>
      <c r="V11340" s="1"/>
      <c r="W11340" s="1"/>
      <c r="X11340" s="1"/>
      <c r="Y11340" s="1"/>
      <c r="Z11340" s="1"/>
      <c r="AA11340" s="1"/>
      <c r="AB11340" s="1"/>
      <c r="AC11340" s="1"/>
      <c r="AD11340" s="1"/>
      <c r="AE11340" s="1"/>
      <c r="AF11340" s="1"/>
      <c r="AG11340" s="1"/>
      <c r="AH11340" s="1"/>
    </row>
    <row r="11341" ht="12.75" hidden="1" customHeight="1" outlineLevel="1">
      <c r="A11341" s="202">
        <v>43634.0</v>
      </c>
      <c r="B11341" s="992"/>
      <c r="C11341" s="32" t="s">
        <v>955</v>
      </c>
      <c r="D11341" s="1"/>
      <c r="F11341" s="1057" t="s">
        <v>3718</v>
      </c>
      <c r="G11341" s="1"/>
      <c r="H11341" s="68"/>
      <c r="I11341" s="204">
        <v>0.0</v>
      </c>
      <c r="K11341" s="9" t="s">
        <v>3910</v>
      </c>
      <c r="L11341" s="77"/>
      <c r="M11341" s="79"/>
      <c r="N11341" s="1"/>
      <c r="O11341" s="1"/>
      <c r="P11341" s="1"/>
      <c r="Q11341" s="1"/>
      <c r="R11341" s="1"/>
      <c r="S11341" s="1"/>
      <c r="T11341" s="1"/>
      <c r="U11341" s="1"/>
      <c r="V11341" s="1"/>
      <c r="W11341" s="1"/>
      <c r="X11341" s="1"/>
      <c r="Y11341" s="1"/>
      <c r="Z11341" s="1"/>
      <c r="AA11341" s="1"/>
      <c r="AB11341" s="1"/>
      <c r="AC11341" s="1"/>
      <c r="AD11341" s="1"/>
      <c r="AE11341" s="1"/>
      <c r="AF11341" s="1"/>
      <c r="AG11341" s="1"/>
      <c r="AH11341" s="1"/>
    </row>
    <row r="11342" ht="12.75" hidden="1" customHeight="1" outlineLevel="1">
      <c r="A11342" s="202">
        <v>43634.0</v>
      </c>
      <c r="B11342" s="992"/>
      <c r="C11342" s="32" t="s">
        <v>958</v>
      </c>
      <c r="D11342" s="1"/>
      <c r="F11342" s="203" t="s">
        <v>959</v>
      </c>
      <c r="G11342" s="1"/>
      <c r="H11342" s="68"/>
      <c r="I11342" s="204">
        <v>0.0</v>
      </c>
      <c r="K11342" s="9" t="s">
        <v>3903</v>
      </c>
      <c r="L11342" s="77"/>
      <c r="M11342" s="79"/>
      <c r="N11342" s="1"/>
      <c r="O11342" s="1"/>
      <c r="P11342" s="1"/>
      <c r="Q11342" s="1"/>
      <c r="R11342" s="1"/>
      <c r="S11342" s="1"/>
      <c r="T11342" s="1"/>
      <c r="U11342" s="1"/>
      <c r="V11342" s="1"/>
      <c r="W11342" s="1"/>
      <c r="X11342" s="1"/>
      <c r="Y11342" s="1"/>
      <c r="Z11342" s="1"/>
      <c r="AA11342" s="1"/>
      <c r="AB11342" s="1"/>
      <c r="AC11342" s="1"/>
      <c r="AD11342" s="1"/>
      <c r="AE11342" s="1"/>
      <c r="AF11342" s="1"/>
      <c r="AG11342" s="1"/>
      <c r="AH11342" s="1"/>
    </row>
    <row r="11343" ht="12.75" hidden="1" customHeight="1" outlineLevel="1">
      <c r="A11343" s="202">
        <v>43634.0</v>
      </c>
      <c r="B11343" s="992"/>
      <c r="C11343" s="32" t="s">
        <v>961</v>
      </c>
      <c r="D11343" s="1"/>
      <c r="F11343" s="206" t="s">
        <v>3721</v>
      </c>
      <c r="G11343" s="207"/>
      <c r="H11343" s="208"/>
      <c r="I11343" s="209">
        <v>1.0</v>
      </c>
      <c r="K11343" s="9" t="s">
        <v>964</v>
      </c>
      <c r="L11343" s="77"/>
      <c r="M11343" s="79"/>
      <c r="N11343" s="1"/>
      <c r="O11343" s="1"/>
      <c r="P11343" s="1"/>
      <c r="Q11343" s="1"/>
      <c r="R11343" s="1"/>
      <c r="S11343" s="1"/>
      <c r="T11343" s="1"/>
      <c r="U11343" s="1"/>
      <c r="V11343" s="1"/>
      <c r="W11343" s="1"/>
      <c r="X11343" s="1"/>
      <c r="Y11343" s="1"/>
      <c r="Z11343" s="1"/>
      <c r="AA11343" s="1"/>
      <c r="AB11343" s="1"/>
      <c r="AC11343" s="1"/>
      <c r="AD11343" s="1"/>
      <c r="AE11343" s="1"/>
      <c r="AF11343" s="1"/>
      <c r="AG11343" s="1"/>
      <c r="AH11343" s="1"/>
    </row>
    <row r="11344" ht="12.75" hidden="1" customHeight="1" outlineLevel="1">
      <c r="A11344" s="122">
        <v>43635.0</v>
      </c>
      <c r="B11344" s="974" t="s">
        <v>343</v>
      </c>
      <c r="C11344" s="32" t="s">
        <v>847</v>
      </c>
      <c r="D11344" s="9">
        <v>50.0</v>
      </c>
      <c r="E11344" s="9">
        <v>160.47</v>
      </c>
      <c r="F11344" s="709">
        <v>0.4492824074074074</v>
      </c>
      <c r="G11344" s="195" t="s">
        <v>453</v>
      </c>
      <c r="H11344" s="710">
        <v>1.0</v>
      </c>
      <c r="I11344" s="256" t="s">
        <v>3145</v>
      </c>
      <c r="J11344" s="67">
        <f t="shared" ref="J11344:J11348" si="639">IF(B11344="SLD",D11344*E11344,-D11344*E11344)-H11344</f>
        <v>-8024.5</v>
      </c>
      <c r="K11344" s="1"/>
      <c r="L11344" s="70"/>
      <c r="M11344" s="79"/>
      <c r="N11344" s="1"/>
      <c r="O11344" s="1"/>
      <c r="P11344" s="1"/>
      <c r="Q11344" s="1"/>
      <c r="R11344" s="1"/>
      <c r="S11344" s="1"/>
      <c r="T11344" s="1"/>
      <c r="U11344" s="1"/>
      <c r="V11344" s="1"/>
      <c r="W11344" s="1"/>
      <c r="X11344" s="1"/>
      <c r="Y11344" s="1"/>
      <c r="Z11344" s="1"/>
      <c r="AA11344" s="1"/>
      <c r="AB11344" s="1"/>
      <c r="AC11344" s="1"/>
      <c r="AD11344" s="1"/>
      <c r="AE11344" s="1"/>
      <c r="AF11344" s="1"/>
      <c r="AG11344" s="1"/>
      <c r="AH11344" s="1"/>
    </row>
    <row r="11345" ht="12.75" hidden="1" customHeight="1" outlineLevel="1">
      <c r="A11345" s="122">
        <v>43635.0</v>
      </c>
      <c r="B11345" s="974" t="s">
        <v>343</v>
      </c>
      <c r="C11345" s="32" t="s">
        <v>1067</v>
      </c>
      <c r="D11345" s="9">
        <v>40.0</v>
      </c>
      <c r="E11345" s="9">
        <v>250.81</v>
      </c>
      <c r="F11345" s="709">
        <v>0.4494675925925926</v>
      </c>
      <c r="G11345" s="195" t="s">
        <v>453</v>
      </c>
      <c r="H11345" s="710">
        <v>1.0</v>
      </c>
      <c r="I11345" s="256" t="s">
        <v>3145</v>
      </c>
      <c r="J11345" s="67">
        <f t="shared" si="639"/>
        <v>-10033.4</v>
      </c>
      <c r="K11345" s="1"/>
      <c r="L11345" s="70"/>
      <c r="M11345" s="79"/>
      <c r="N11345" s="1"/>
      <c r="O11345" s="1"/>
      <c r="P11345" s="1"/>
      <c r="Q11345" s="1"/>
      <c r="R11345" s="1"/>
      <c r="S11345" s="1"/>
      <c r="T11345" s="1"/>
      <c r="U11345" s="1"/>
      <c r="V11345" s="1"/>
      <c r="W11345" s="1"/>
      <c r="X11345" s="1"/>
      <c r="Y11345" s="1"/>
      <c r="Z11345" s="1"/>
      <c r="AA11345" s="1"/>
      <c r="AB11345" s="1"/>
      <c r="AC11345" s="1"/>
      <c r="AD11345" s="1"/>
      <c r="AE11345" s="1"/>
      <c r="AF11345" s="1"/>
      <c r="AG11345" s="1"/>
      <c r="AH11345" s="1"/>
    </row>
    <row r="11346" ht="12.75" hidden="1" customHeight="1" outlineLevel="1">
      <c r="A11346" s="122">
        <v>43635.0</v>
      </c>
      <c r="B11346" s="974" t="s">
        <v>343</v>
      </c>
      <c r="C11346" s="32" t="s">
        <v>1167</v>
      </c>
      <c r="D11346" s="9">
        <v>100.0</v>
      </c>
      <c r="E11346" s="9">
        <v>130.0769</v>
      </c>
      <c r="F11346" s="709">
        <v>0.5398263888888889</v>
      </c>
      <c r="G11346" s="195" t="s">
        <v>453</v>
      </c>
      <c r="H11346" s="710">
        <v>1.0</v>
      </c>
      <c r="I11346" s="256" t="s">
        <v>3145</v>
      </c>
      <c r="J11346" s="67">
        <f t="shared" si="639"/>
        <v>-13008.69</v>
      </c>
      <c r="K11346" s="1"/>
      <c r="L11346" s="70"/>
      <c r="M11346" s="79"/>
      <c r="N11346" s="1"/>
      <c r="O11346" s="1"/>
      <c r="P11346" s="1"/>
      <c r="Q11346" s="1"/>
      <c r="R11346" s="1"/>
      <c r="S11346" s="1"/>
      <c r="T11346" s="1"/>
      <c r="U11346" s="1"/>
      <c r="V11346" s="1"/>
      <c r="W11346" s="1"/>
      <c r="X11346" s="1"/>
      <c r="Y11346" s="1"/>
      <c r="Z11346" s="1"/>
      <c r="AA11346" s="1"/>
      <c r="AB11346" s="1"/>
      <c r="AC11346" s="1"/>
      <c r="AD11346" s="1"/>
      <c r="AE11346" s="1"/>
      <c r="AF11346" s="1"/>
      <c r="AG11346" s="1"/>
      <c r="AH11346" s="1"/>
    </row>
    <row r="11347" ht="12.75" hidden="1" customHeight="1" outlineLevel="1">
      <c r="A11347" s="122">
        <v>43635.0</v>
      </c>
      <c r="B11347" s="974" t="s">
        <v>343</v>
      </c>
      <c r="C11347" s="32" t="s">
        <v>1061</v>
      </c>
      <c r="D11347" s="9">
        <v>150.0</v>
      </c>
      <c r="E11347" s="9">
        <v>50.58</v>
      </c>
      <c r="F11347" s="709">
        <v>0.5817708333333333</v>
      </c>
      <c r="G11347" s="195" t="s">
        <v>453</v>
      </c>
      <c r="H11347" s="710">
        <v>1.0</v>
      </c>
      <c r="I11347" s="256" t="s">
        <v>3145</v>
      </c>
      <c r="J11347" s="67">
        <f t="shared" si="639"/>
        <v>-7588</v>
      </c>
      <c r="K11347" s="1"/>
      <c r="L11347" s="70"/>
      <c r="M11347" s="79"/>
      <c r="N11347" s="1"/>
      <c r="O11347" s="1"/>
      <c r="P11347" s="1"/>
      <c r="Q11347" s="1"/>
      <c r="R11347" s="1"/>
      <c r="S11347" s="1"/>
      <c r="T11347" s="1"/>
      <c r="U11347" s="1"/>
      <c r="V11347" s="1"/>
      <c r="W11347" s="1"/>
      <c r="X11347" s="1"/>
      <c r="Y11347" s="1"/>
      <c r="Z11347" s="1"/>
      <c r="AA11347" s="1"/>
      <c r="AB11347" s="1"/>
      <c r="AC11347" s="1"/>
      <c r="AD11347" s="1"/>
      <c r="AE11347" s="1"/>
      <c r="AF11347" s="1"/>
      <c r="AG11347" s="1"/>
      <c r="AH11347" s="1"/>
    </row>
    <row r="11348" ht="12.75" hidden="1" customHeight="1" outlineLevel="1">
      <c r="A11348" s="122">
        <v>43635.0</v>
      </c>
      <c r="B11348" s="974" t="s">
        <v>343</v>
      </c>
      <c r="C11348" s="32" t="s">
        <v>605</v>
      </c>
      <c r="D11348" s="9">
        <v>100.0</v>
      </c>
      <c r="E11348" s="9">
        <v>87.5998</v>
      </c>
      <c r="F11348" s="709">
        <v>0.5819328703703703</v>
      </c>
      <c r="G11348" s="195" t="s">
        <v>453</v>
      </c>
      <c r="H11348" s="710">
        <v>1.0</v>
      </c>
      <c r="I11348" s="256" t="s">
        <v>3145</v>
      </c>
      <c r="J11348" s="67">
        <f t="shared" si="639"/>
        <v>-8760.98</v>
      </c>
      <c r="K11348" s="1"/>
      <c r="L11348" s="70"/>
      <c r="M11348" s="79"/>
      <c r="N11348" s="1"/>
      <c r="O11348" s="1"/>
      <c r="P11348" s="1"/>
      <c r="Q11348" s="1"/>
      <c r="R11348" s="1"/>
      <c r="S11348" s="1"/>
      <c r="T11348" s="1"/>
      <c r="U11348" s="1"/>
      <c r="V11348" s="1"/>
      <c r="W11348" s="1"/>
      <c r="X11348" s="1"/>
      <c r="Y11348" s="1"/>
      <c r="Z11348" s="1"/>
      <c r="AA11348" s="1"/>
      <c r="AB11348" s="1"/>
      <c r="AC11348" s="1"/>
      <c r="AD11348" s="1"/>
      <c r="AE11348" s="1"/>
      <c r="AF11348" s="1"/>
      <c r="AG11348" s="1"/>
      <c r="AH11348" s="1"/>
    </row>
    <row r="11349" ht="12.75" hidden="1" customHeight="1" outlineLevel="1">
      <c r="A11349" s="197">
        <v>43635.0</v>
      </c>
      <c r="B11349" s="992"/>
      <c r="C11349" s="32" t="s">
        <v>947</v>
      </c>
      <c r="D11349" s="1"/>
      <c r="E11349" s="94" t="s">
        <v>948</v>
      </c>
      <c r="F11349" s="1056" t="s">
        <v>949</v>
      </c>
      <c r="G11349" s="87"/>
      <c r="H11349" s="199"/>
      <c r="I11349" s="200">
        <v>1.0</v>
      </c>
      <c r="K11349" s="201" t="s">
        <v>3913</v>
      </c>
      <c r="L11349" s="77"/>
      <c r="M11349" s="79"/>
      <c r="N11349" s="1"/>
      <c r="O11349" s="1"/>
      <c r="P11349" s="1"/>
      <c r="Q11349" s="1"/>
      <c r="R11349" s="1"/>
      <c r="S11349" s="1"/>
      <c r="T11349" s="1"/>
      <c r="U11349" s="1"/>
      <c r="V11349" s="1"/>
      <c r="W11349" s="1"/>
      <c r="X11349" s="1"/>
      <c r="Y11349" s="1"/>
      <c r="Z11349" s="1"/>
      <c r="AA11349" s="1"/>
      <c r="AB11349" s="1"/>
      <c r="AC11349" s="1"/>
      <c r="AD11349" s="1"/>
      <c r="AE11349" s="1"/>
      <c r="AF11349" s="1"/>
      <c r="AG11349" s="1"/>
      <c r="AH11349" s="1"/>
    </row>
    <row r="11350" ht="12.75" hidden="1" customHeight="1" outlineLevel="1">
      <c r="A11350" s="202">
        <v>43635.0</v>
      </c>
      <c r="B11350" s="992"/>
      <c r="C11350" s="32" t="s">
        <v>952</v>
      </c>
      <c r="D11350" s="1"/>
      <c r="F11350" s="1057" t="s">
        <v>953</v>
      </c>
      <c r="G11350" s="1"/>
      <c r="H11350" s="68"/>
      <c r="I11350" s="204">
        <v>0.0</v>
      </c>
      <c r="K11350" s="9" t="s">
        <v>3914</v>
      </c>
      <c r="L11350" s="77"/>
      <c r="M11350" s="79"/>
      <c r="N11350" s="1"/>
      <c r="O11350" s="1"/>
      <c r="P11350" s="1"/>
      <c r="Q11350" s="1"/>
      <c r="R11350" s="1"/>
      <c r="S11350" s="1"/>
      <c r="T11350" s="1"/>
      <c r="U11350" s="1"/>
      <c r="V11350" s="1"/>
      <c r="W11350" s="1"/>
      <c r="X11350" s="1"/>
      <c r="Y11350" s="1"/>
      <c r="Z11350" s="1"/>
      <c r="AA11350" s="1"/>
      <c r="AB11350" s="1"/>
      <c r="AC11350" s="1"/>
      <c r="AD11350" s="1"/>
      <c r="AE11350" s="1"/>
      <c r="AF11350" s="1"/>
      <c r="AG11350" s="1"/>
      <c r="AH11350" s="1"/>
    </row>
    <row r="11351" ht="12.75" hidden="1" customHeight="1" outlineLevel="1">
      <c r="A11351" s="202">
        <v>43635.0</v>
      </c>
      <c r="B11351" s="992"/>
      <c r="C11351" s="32" t="s">
        <v>955</v>
      </c>
      <c r="D11351" s="1"/>
      <c r="F11351" s="1057" t="s">
        <v>3718</v>
      </c>
      <c r="G11351" s="1"/>
      <c r="H11351" s="68"/>
      <c r="I11351" s="204">
        <v>0.0</v>
      </c>
      <c r="K11351" s="9" t="s">
        <v>3910</v>
      </c>
      <c r="L11351" s="77"/>
      <c r="M11351" s="79"/>
      <c r="N11351" s="1"/>
      <c r="O11351" s="1"/>
      <c r="P11351" s="1"/>
      <c r="Q11351" s="1"/>
      <c r="R11351" s="1"/>
      <c r="S11351" s="1"/>
      <c r="T11351" s="1"/>
      <c r="U11351" s="1"/>
      <c r="V11351" s="1"/>
      <c r="W11351" s="1"/>
      <c r="X11351" s="1"/>
      <c r="Y11351" s="1"/>
      <c r="Z11351" s="1"/>
      <c r="AA11351" s="1"/>
      <c r="AB11351" s="1"/>
      <c r="AC11351" s="1"/>
      <c r="AD11351" s="1"/>
      <c r="AE11351" s="1"/>
      <c r="AF11351" s="1"/>
      <c r="AG11351" s="1"/>
      <c r="AH11351" s="1"/>
    </row>
    <row r="11352" ht="12.75" hidden="1" customHeight="1" outlineLevel="1">
      <c r="A11352" s="202">
        <v>43635.0</v>
      </c>
      <c r="B11352" s="992"/>
      <c r="C11352" s="32" t="s">
        <v>958</v>
      </c>
      <c r="D11352" s="1"/>
      <c r="F11352" s="203" t="s">
        <v>959</v>
      </c>
      <c r="G11352" s="1"/>
      <c r="H11352" s="68"/>
      <c r="I11352" s="204">
        <v>1.0</v>
      </c>
      <c r="K11352" s="9" t="s">
        <v>3903</v>
      </c>
      <c r="L11352" s="77"/>
      <c r="M11352" s="79"/>
      <c r="N11352" s="1"/>
      <c r="O11352" s="1"/>
      <c r="P11352" s="1"/>
      <c r="Q11352" s="1"/>
      <c r="R11352" s="1"/>
      <c r="S11352" s="1"/>
      <c r="T11352" s="1"/>
      <c r="U11352" s="1"/>
      <c r="V11352" s="1"/>
      <c r="W11352" s="1"/>
      <c r="X11352" s="1"/>
      <c r="Y11352" s="1"/>
      <c r="Z11352" s="1"/>
      <c r="AA11352" s="1"/>
      <c r="AB11352" s="1"/>
      <c r="AC11352" s="1"/>
      <c r="AD11352" s="1"/>
      <c r="AE11352" s="1"/>
      <c r="AF11352" s="1"/>
      <c r="AG11352" s="1"/>
      <c r="AH11352" s="1"/>
    </row>
    <row r="11353" ht="12.75" hidden="1" customHeight="1" outlineLevel="1">
      <c r="A11353" s="202">
        <v>43635.0</v>
      </c>
      <c r="B11353" s="992"/>
      <c r="C11353" s="32" t="s">
        <v>961</v>
      </c>
      <c r="D11353" s="1"/>
      <c r="F11353" s="206" t="s">
        <v>3721</v>
      </c>
      <c r="G11353" s="207"/>
      <c r="H11353" s="208"/>
      <c r="I11353" s="209">
        <v>2.0</v>
      </c>
      <c r="K11353" s="9" t="s">
        <v>964</v>
      </c>
      <c r="L11353" s="77"/>
      <c r="M11353" s="79"/>
      <c r="N11353" s="1"/>
      <c r="O11353" s="1"/>
      <c r="P11353" s="1"/>
      <c r="Q11353" s="1"/>
      <c r="R11353" s="1"/>
      <c r="S11353" s="1"/>
      <c r="T11353" s="1"/>
      <c r="U11353" s="1"/>
      <c r="V11353" s="1"/>
      <c r="W11353" s="1"/>
      <c r="X11353" s="1"/>
      <c r="Y11353" s="1"/>
      <c r="Z11353" s="1"/>
      <c r="AA11353" s="1"/>
      <c r="AB11353" s="1"/>
      <c r="AC11353" s="1"/>
      <c r="AD11353" s="1"/>
      <c r="AE11353" s="1"/>
      <c r="AF11353" s="1"/>
      <c r="AG11353" s="1"/>
      <c r="AH11353" s="1"/>
    </row>
    <row r="11354" ht="12.75" hidden="1" customHeight="1" outlineLevel="1">
      <c r="A11354" s="122">
        <v>43636.0</v>
      </c>
      <c r="B11354" s="974" t="s">
        <v>347</v>
      </c>
      <c r="C11354" s="32" t="s">
        <v>1537</v>
      </c>
      <c r="D11354" s="9">
        <v>300.0</v>
      </c>
      <c r="E11354" s="9">
        <v>23.541</v>
      </c>
      <c r="F11354" s="709">
        <v>0.6442824074074074</v>
      </c>
      <c r="G11354" s="195" t="s">
        <v>453</v>
      </c>
      <c r="H11354" s="710">
        <v>1.68</v>
      </c>
      <c r="I11354" s="256" t="s">
        <v>3145</v>
      </c>
      <c r="J11354" s="67">
        <f t="shared" ref="J11354:J11355" si="640">IF(B11354="SLD",D11354*E11354,-D11354*E11354)-H11354</f>
        <v>7060.62</v>
      </c>
      <c r="K11354" s="1"/>
      <c r="L11354" s="70"/>
      <c r="M11354" s="79"/>
      <c r="N11354" s="1"/>
      <c r="O11354" s="1"/>
      <c r="P11354" s="1"/>
      <c r="Q11354" s="1"/>
      <c r="R11354" s="1"/>
      <c r="S11354" s="1"/>
      <c r="T11354" s="1"/>
      <c r="U11354" s="1"/>
      <c r="V11354" s="1"/>
      <c r="W11354" s="1"/>
      <c r="X11354" s="1"/>
      <c r="Y11354" s="1"/>
      <c r="Z11354" s="1"/>
      <c r="AA11354" s="1"/>
      <c r="AB11354" s="1"/>
      <c r="AC11354" s="1"/>
      <c r="AD11354" s="1"/>
      <c r="AE11354" s="1"/>
      <c r="AF11354" s="1"/>
      <c r="AG11354" s="1"/>
      <c r="AH11354" s="1"/>
    </row>
    <row r="11355" ht="12.75" hidden="1" customHeight="1" outlineLevel="1">
      <c r="A11355" s="122">
        <v>43636.0</v>
      </c>
      <c r="B11355" s="974" t="s">
        <v>347</v>
      </c>
      <c r="C11355" s="32" t="s">
        <v>1525</v>
      </c>
      <c r="D11355" s="9">
        <v>30.0</v>
      </c>
      <c r="E11355" s="9">
        <v>219.502</v>
      </c>
      <c r="F11355" s="709">
        <v>0.6446875</v>
      </c>
      <c r="G11355" s="195" t="s">
        <v>453</v>
      </c>
      <c r="H11355" s="710">
        <v>1.14</v>
      </c>
      <c r="I11355" s="256" t="s">
        <v>3145</v>
      </c>
      <c r="J11355" s="67">
        <f t="shared" si="640"/>
        <v>6583.92</v>
      </c>
      <c r="K11355" s="1"/>
      <c r="L11355" s="70"/>
      <c r="M11355" s="79"/>
      <c r="N11355" s="1"/>
      <c r="O11355" s="1"/>
      <c r="P11355" s="1"/>
      <c r="Q11355" s="1"/>
      <c r="R11355" s="1"/>
      <c r="S11355" s="1"/>
      <c r="T11355" s="1"/>
      <c r="U11355" s="1"/>
      <c r="V11355" s="1"/>
      <c r="W11355" s="1"/>
      <c r="X11355" s="1"/>
      <c r="Y11355" s="1"/>
      <c r="Z11355" s="1"/>
      <c r="AA11355" s="1"/>
      <c r="AB11355" s="1"/>
      <c r="AC11355" s="1"/>
      <c r="AD11355" s="1"/>
      <c r="AE11355" s="1"/>
      <c r="AF11355" s="1"/>
      <c r="AG11355" s="1"/>
      <c r="AH11355" s="1"/>
    </row>
    <row r="11356" ht="12.75" hidden="1" customHeight="1" outlineLevel="1">
      <c r="A11356" s="197">
        <v>43636.0</v>
      </c>
      <c r="B11356" s="992"/>
      <c r="C11356" s="32" t="s">
        <v>947</v>
      </c>
      <c r="D11356" s="1"/>
      <c r="E11356" s="94" t="s">
        <v>948</v>
      </c>
      <c r="F11356" s="1056" t="s">
        <v>949</v>
      </c>
      <c r="G11356" s="87"/>
      <c r="H11356" s="199"/>
      <c r="I11356" s="200">
        <v>1.0</v>
      </c>
      <c r="K11356" s="201" t="s">
        <v>3913</v>
      </c>
      <c r="L11356" s="77"/>
      <c r="M11356" s="79"/>
      <c r="N11356" s="1"/>
      <c r="O11356" s="1"/>
      <c r="P11356" s="1"/>
      <c r="Q11356" s="1"/>
      <c r="R11356" s="1"/>
      <c r="S11356" s="1"/>
      <c r="T11356" s="1"/>
      <c r="U11356" s="1"/>
      <c r="V11356" s="1"/>
      <c r="W11356" s="1"/>
      <c r="X11356" s="1"/>
      <c r="Y11356" s="1"/>
      <c r="Z11356" s="1"/>
      <c r="AA11356" s="1"/>
      <c r="AB11356" s="1"/>
      <c r="AC11356" s="1"/>
      <c r="AD11356" s="1"/>
      <c r="AE11356" s="1"/>
      <c r="AF11356" s="1"/>
      <c r="AG11356" s="1"/>
      <c r="AH11356" s="1"/>
    </row>
    <row r="11357" ht="12.75" hidden="1" customHeight="1" outlineLevel="1">
      <c r="A11357" s="202">
        <v>43636.0</v>
      </c>
      <c r="B11357" s="992"/>
      <c r="C11357" s="32" t="s">
        <v>952</v>
      </c>
      <c r="D11357" s="1"/>
      <c r="F11357" s="1057" t="s">
        <v>953</v>
      </c>
      <c r="G11357" s="1"/>
      <c r="H11357" s="68"/>
      <c r="I11357" s="204">
        <v>0.0</v>
      </c>
      <c r="K11357" s="9" t="s">
        <v>3914</v>
      </c>
      <c r="L11357" s="77"/>
      <c r="M11357" s="79"/>
      <c r="N11357" s="1"/>
      <c r="O11357" s="1"/>
      <c r="P11357" s="1"/>
      <c r="Q11357" s="1"/>
      <c r="R11357" s="1"/>
      <c r="S11357" s="1"/>
      <c r="T11357" s="1"/>
      <c r="U11357" s="1"/>
      <c r="V11357" s="1"/>
      <c r="W11357" s="1"/>
      <c r="X11357" s="1"/>
      <c r="Y11357" s="1"/>
      <c r="Z11357" s="1"/>
      <c r="AA11357" s="1"/>
      <c r="AB11357" s="1"/>
      <c r="AC11357" s="1"/>
      <c r="AD11357" s="1"/>
      <c r="AE11357" s="1"/>
      <c r="AF11357" s="1"/>
      <c r="AG11357" s="1"/>
      <c r="AH11357" s="1"/>
    </row>
    <row r="11358" ht="12.75" hidden="1" customHeight="1" outlineLevel="1">
      <c r="A11358" s="202">
        <v>43636.0</v>
      </c>
      <c r="B11358" s="992"/>
      <c r="C11358" s="32" t="s">
        <v>955</v>
      </c>
      <c r="D11358" s="1"/>
      <c r="F11358" s="1057" t="s">
        <v>3718</v>
      </c>
      <c r="G11358" s="1"/>
      <c r="H11358" s="68"/>
      <c r="I11358" s="204">
        <v>0.0</v>
      </c>
      <c r="K11358" s="9" t="s">
        <v>3910</v>
      </c>
      <c r="L11358" s="77"/>
      <c r="M11358" s="79"/>
      <c r="N11358" s="1"/>
      <c r="O11358" s="1"/>
      <c r="P11358" s="1"/>
      <c r="Q11358" s="1"/>
      <c r="R11358" s="1"/>
      <c r="S11358" s="1"/>
      <c r="T11358" s="1"/>
      <c r="U11358" s="1"/>
      <c r="V11358" s="1"/>
      <c r="W11358" s="1"/>
      <c r="X11358" s="1"/>
      <c r="Y11358" s="1"/>
      <c r="Z11358" s="1"/>
      <c r="AA11358" s="1"/>
      <c r="AB11358" s="1"/>
      <c r="AC11358" s="1"/>
      <c r="AD11358" s="1"/>
      <c r="AE11358" s="1"/>
      <c r="AF11358" s="1"/>
      <c r="AG11358" s="1"/>
      <c r="AH11358" s="1"/>
    </row>
    <row r="11359" ht="12.75" hidden="1" customHeight="1" outlineLevel="1">
      <c r="A11359" s="202">
        <v>43636.0</v>
      </c>
      <c r="B11359" s="992"/>
      <c r="C11359" s="32" t="s">
        <v>958</v>
      </c>
      <c r="D11359" s="1"/>
      <c r="F11359" s="203" t="s">
        <v>959</v>
      </c>
      <c r="G11359" s="1"/>
      <c r="H11359" s="68"/>
      <c r="I11359" s="204">
        <v>1.0</v>
      </c>
      <c r="K11359" s="9" t="s">
        <v>3915</v>
      </c>
      <c r="L11359" s="77"/>
      <c r="M11359" s="79"/>
      <c r="N11359" s="1"/>
      <c r="O11359" s="1"/>
      <c r="P11359" s="1"/>
      <c r="Q11359" s="1"/>
      <c r="R11359" s="1"/>
      <c r="S11359" s="1"/>
      <c r="T11359" s="1"/>
      <c r="U11359" s="1"/>
      <c r="V11359" s="1"/>
      <c r="W11359" s="1"/>
      <c r="X11359" s="1"/>
      <c r="Y11359" s="1"/>
      <c r="Z11359" s="1"/>
      <c r="AA11359" s="1"/>
      <c r="AB11359" s="1"/>
      <c r="AC11359" s="1"/>
      <c r="AD11359" s="1"/>
      <c r="AE11359" s="1"/>
      <c r="AF11359" s="1"/>
      <c r="AG11359" s="1"/>
      <c r="AH11359" s="1"/>
    </row>
    <row r="11360" ht="12.75" hidden="1" customHeight="1" outlineLevel="1">
      <c r="A11360" s="202">
        <v>43636.0</v>
      </c>
      <c r="B11360" s="992"/>
      <c r="C11360" s="32" t="s">
        <v>961</v>
      </c>
      <c r="D11360" s="1"/>
      <c r="F11360" s="206" t="s">
        <v>3721</v>
      </c>
      <c r="G11360" s="207"/>
      <c r="H11360" s="208"/>
      <c r="I11360" s="209">
        <v>2.0</v>
      </c>
      <c r="K11360" s="9" t="s">
        <v>964</v>
      </c>
      <c r="L11360" s="77"/>
      <c r="M11360" s="79"/>
      <c r="N11360" s="1"/>
      <c r="O11360" s="1"/>
      <c r="P11360" s="1"/>
      <c r="Q11360" s="1"/>
      <c r="R11360" s="1"/>
      <c r="S11360" s="1"/>
      <c r="T11360" s="1"/>
      <c r="U11360" s="1"/>
      <c r="V11360" s="1"/>
      <c r="W11360" s="1"/>
      <c r="X11360" s="1"/>
      <c r="Y11360" s="1"/>
      <c r="Z11360" s="1"/>
      <c r="AA11360" s="1"/>
      <c r="AB11360" s="1"/>
      <c r="AC11360" s="1"/>
      <c r="AD11360" s="1"/>
      <c r="AE11360" s="1"/>
      <c r="AF11360" s="1"/>
      <c r="AG11360" s="1"/>
      <c r="AH11360" s="1"/>
    </row>
    <row r="11361" ht="12.75" hidden="1" customHeight="1" outlineLevel="1">
      <c r="A11361" s="197">
        <v>43642.0</v>
      </c>
      <c r="B11361" s="992"/>
      <c r="C11361" s="32" t="s">
        <v>947</v>
      </c>
      <c r="D11361" s="1"/>
      <c r="E11361" s="94" t="s">
        <v>948</v>
      </c>
      <c r="F11361" s="1056" t="s">
        <v>949</v>
      </c>
      <c r="G11361" s="87"/>
      <c r="H11361" s="199"/>
      <c r="I11361" s="200">
        <v>1.0</v>
      </c>
      <c r="K11361" s="201" t="s">
        <v>3913</v>
      </c>
      <c r="L11361" s="77"/>
      <c r="M11361" s="79"/>
      <c r="N11361" s="1"/>
      <c r="O11361" s="1"/>
      <c r="P11361" s="1"/>
      <c r="Q11361" s="1"/>
      <c r="R11361" s="1"/>
      <c r="S11361" s="1"/>
      <c r="T11361" s="1"/>
      <c r="U11361" s="1"/>
      <c r="V11361" s="1"/>
      <c r="W11361" s="1"/>
      <c r="X11361" s="1"/>
      <c r="Y11361" s="1"/>
      <c r="Z11361" s="1"/>
      <c r="AA11361" s="1"/>
      <c r="AB11361" s="1"/>
      <c r="AC11361" s="1"/>
      <c r="AD11361" s="1"/>
      <c r="AE11361" s="1"/>
      <c r="AF11361" s="1"/>
      <c r="AG11361" s="1"/>
      <c r="AH11361" s="1"/>
    </row>
    <row r="11362" ht="12.75" hidden="1" customHeight="1" outlineLevel="1">
      <c r="A11362" s="202">
        <v>43642.0</v>
      </c>
      <c r="B11362" s="992"/>
      <c r="C11362" s="32" t="s">
        <v>952</v>
      </c>
      <c r="D11362" s="1"/>
      <c r="F11362" s="1057" t="s">
        <v>953</v>
      </c>
      <c r="G11362" s="1"/>
      <c r="H11362" s="68"/>
      <c r="I11362" s="204">
        <v>0.0</v>
      </c>
      <c r="K11362" s="9" t="s">
        <v>3916</v>
      </c>
      <c r="L11362" s="77"/>
      <c r="M11362" s="79"/>
      <c r="N11362" s="1"/>
      <c r="O11362" s="1"/>
      <c r="P11362" s="1"/>
      <c r="Q11362" s="1"/>
      <c r="R11362" s="1"/>
      <c r="S11362" s="1"/>
      <c r="T11362" s="1"/>
      <c r="U11362" s="1"/>
      <c r="V11362" s="1"/>
      <c r="W11362" s="1"/>
      <c r="X11362" s="1"/>
      <c r="Y11362" s="1"/>
      <c r="Z11362" s="1"/>
      <c r="AA11362" s="1"/>
      <c r="AB11362" s="1"/>
      <c r="AC11362" s="1"/>
      <c r="AD11362" s="1"/>
      <c r="AE11362" s="1"/>
      <c r="AF11362" s="1"/>
      <c r="AG11362" s="1"/>
      <c r="AH11362" s="1"/>
    </row>
    <row r="11363" ht="12.75" hidden="1" customHeight="1" outlineLevel="1">
      <c r="A11363" s="202">
        <v>43642.0</v>
      </c>
      <c r="B11363" s="992"/>
      <c r="C11363" s="32" t="s">
        <v>955</v>
      </c>
      <c r="D11363" s="1"/>
      <c r="F11363" s="1057" t="s">
        <v>3718</v>
      </c>
      <c r="G11363" s="1"/>
      <c r="H11363" s="68"/>
      <c r="I11363" s="204">
        <v>0.0</v>
      </c>
      <c r="K11363" s="9" t="s">
        <v>3910</v>
      </c>
      <c r="L11363" s="77"/>
      <c r="M11363" s="79"/>
      <c r="N11363" s="1"/>
      <c r="O11363" s="1"/>
      <c r="P11363" s="1"/>
      <c r="Q11363" s="1"/>
      <c r="R11363" s="1"/>
      <c r="S11363" s="1"/>
      <c r="T11363" s="1"/>
      <c r="U11363" s="1"/>
      <c r="V11363" s="1"/>
      <c r="W11363" s="1"/>
      <c r="X11363" s="1"/>
      <c r="Y11363" s="1"/>
      <c r="Z11363" s="1"/>
      <c r="AA11363" s="1"/>
      <c r="AB11363" s="1"/>
      <c r="AC11363" s="1"/>
      <c r="AD11363" s="1"/>
      <c r="AE11363" s="1"/>
      <c r="AF11363" s="1"/>
      <c r="AG11363" s="1"/>
      <c r="AH11363" s="1"/>
    </row>
    <row r="11364" ht="12.75" hidden="1" customHeight="1" outlineLevel="1">
      <c r="A11364" s="202">
        <v>43642.0</v>
      </c>
      <c r="B11364" s="992"/>
      <c r="C11364" s="32" t="s">
        <v>958</v>
      </c>
      <c r="D11364" s="1"/>
      <c r="F11364" s="203" t="s">
        <v>959</v>
      </c>
      <c r="G11364" s="1"/>
      <c r="H11364" s="68"/>
      <c r="I11364" s="204">
        <v>1.0</v>
      </c>
      <c r="K11364" s="9" t="s">
        <v>3917</v>
      </c>
      <c r="L11364" s="77"/>
      <c r="M11364" s="79"/>
      <c r="N11364" s="1"/>
      <c r="O11364" s="1"/>
      <c r="P11364" s="1"/>
      <c r="Q11364" s="1"/>
      <c r="R11364" s="1"/>
      <c r="S11364" s="1"/>
      <c r="T11364" s="1"/>
      <c r="U11364" s="1"/>
      <c r="V11364" s="1"/>
      <c r="W11364" s="1"/>
      <c r="X11364" s="1"/>
      <c r="Y11364" s="1"/>
      <c r="Z11364" s="1"/>
      <c r="AA11364" s="1"/>
      <c r="AB11364" s="1"/>
      <c r="AC11364" s="1"/>
      <c r="AD11364" s="1"/>
      <c r="AE11364" s="1"/>
      <c r="AF11364" s="1"/>
      <c r="AG11364" s="1"/>
      <c r="AH11364" s="1"/>
    </row>
    <row r="11365" ht="12.75" hidden="1" customHeight="1" outlineLevel="1">
      <c r="A11365" s="202">
        <v>43642.0</v>
      </c>
      <c r="B11365" s="992"/>
      <c r="C11365" s="32" t="s">
        <v>961</v>
      </c>
      <c r="D11365" s="1"/>
      <c r="F11365" s="206" t="s">
        <v>3721</v>
      </c>
      <c r="G11365" s="207"/>
      <c r="H11365" s="208"/>
      <c r="I11365" s="209">
        <v>2.0</v>
      </c>
      <c r="K11365" s="9" t="s">
        <v>964</v>
      </c>
      <c r="L11365" s="77"/>
      <c r="M11365" s="79"/>
      <c r="N11365" s="1"/>
      <c r="O11365" s="1"/>
      <c r="P11365" s="1"/>
      <c r="Q11365" s="1"/>
      <c r="R11365" s="1"/>
      <c r="S11365" s="1"/>
      <c r="T11365" s="1"/>
      <c r="U11365" s="1"/>
      <c r="V11365" s="1"/>
      <c r="W11365" s="1"/>
      <c r="X11365" s="1"/>
      <c r="Y11365" s="1"/>
      <c r="Z11365" s="1"/>
      <c r="AA11365" s="1"/>
      <c r="AB11365" s="1"/>
      <c r="AC11365" s="1"/>
      <c r="AD11365" s="1"/>
      <c r="AE11365" s="1"/>
      <c r="AF11365" s="1"/>
      <c r="AG11365" s="1"/>
      <c r="AH11365" s="1"/>
    </row>
    <row r="11366" ht="12.75" hidden="1" customHeight="1" outlineLevel="1">
      <c r="A11366" s="202">
        <v>43643.0</v>
      </c>
      <c r="B11366" s="985" t="s">
        <v>343</v>
      </c>
      <c r="C11366" s="985" t="s">
        <v>1088</v>
      </c>
      <c r="D11366" s="985">
        <v>4.0</v>
      </c>
      <c r="E11366" s="985">
        <v>3298.0</v>
      </c>
      <c r="F11366" s="1027">
        <v>0.5684606481481481</v>
      </c>
      <c r="G11366" s="1028" t="s">
        <v>453</v>
      </c>
      <c r="H11366" s="937">
        <v>1.0</v>
      </c>
      <c r="I11366" s="1029" t="s">
        <v>3145</v>
      </c>
      <c r="J11366" s="67">
        <f t="shared" ref="J11366:J11371" si="641">IF(B11366="SLD",D11366*E11366,-D11366*E11366)-H11366</f>
        <v>-13193</v>
      </c>
      <c r="K11366" s="1"/>
      <c r="L11366" s="70"/>
      <c r="M11366" s="79"/>
      <c r="N11366" s="1"/>
      <c r="O11366" s="1"/>
      <c r="P11366" s="1"/>
      <c r="Q11366" s="1"/>
      <c r="R11366" s="1"/>
      <c r="S11366" s="1"/>
      <c r="T11366" s="1"/>
      <c r="U11366" s="1"/>
      <c r="V11366" s="1"/>
      <c r="W11366" s="1"/>
      <c r="X11366" s="1"/>
      <c r="Y11366" s="1"/>
      <c r="Z11366" s="1"/>
      <c r="AA11366" s="1"/>
      <c r="AB11366" s="1"/>
      <c r="AC11366" s="1"/>
      <c r="AD11366" s="1"/>
      <c r="AE11366" s="1"/>
      <c r="AF11366" s="1"/>
      <c r="AG11366" s="1"/>
      <c r="AH11366" s="1"/>
    </row>
    <row r="11367" ht="12.75" hidden="1" customHeight="1" outlineLevel="1">
      <c r="A11367" s="202">
        <v>43643.0</v>
      </c>
      <c r="B11367" s="985" t="s">
        <v>343</v>
      </c>
      <c r="C11367" s="985" t="s">
        <v>381</v>
      </c>
      <c r="D11367" s="985">
        <v>50.0</v>
      </c>
      <c r="E11367" s="985">
        <v>188.9775</v>
      </c>
      <c r="F11367" s="1027">
        <v>0.5686689814814815</v>
      </c>
      <c r="G11367" s="1028" t="s">
        <v>453</v>
      </c>
      <c r="H11367" s="937">
        <v>1.0</v>
      </c>
      <c r="I11367" s="1029" t="s">
        <v>3145</v>
      </c>
      <c r="J11367" s="67">
        <f t="shared" si="641"/>
        <v>-9449.875</v>
      </c>
      <c r="K11367" s="1"/>
      <c r="L11367" s="70"/>
      <c r="M11367" s="79"/>
      <c r="N11367" s="1"/>
      <c r="O11367" s="1"/>
      <c r="P11367" s="1"/>
      <c r="Q11367" s="1"/>
      <c r="R11367" s="1"/>
      <c r="S11367" s="1"/>
      <c r="T11367" s="1"/>
      <c r="U11367" s="1"/>
      <c r="V11367" s="1"/>
      <c r="W11367" s="1"/>
      <c r="X11367" s="1"/>
      <c r="Y11367" s="1"/>
      <c r="Z11367" s="1"/>
      <c r="AA11367" s="1"/>
      <c r="AB11367" s="1"/>
      <c r="AC11367" s="1"/>
      <c r="AD11367" s="1"/>
      <c r="AE11367" s="1"/>
      <c r="AF11367" s="1"/>
      <c r="AG11367" s="1"/>
      <c r="AH11367" s="1"/>
    </row>
    <row r="11368" ht="12.75" hidden="1" customHeight="1" outlineLevel="1">
      <c r="A11368" s="202">
        <v>43643.0</v>
      </c>
      <c r="B11368" s="985" t="s">
        <v>343</v>
      </c>
      <c r="C11368" s="985" t="s">
        <v>1074</v>
      </c>
      <c r="D11368" s="985">
        <v>50.0</v>
      </c>
      <c r="E11368" s="985">
        <v>207.916</v>
      </c>
      <c r="F11368" s="1027">
        <v>0.5730787037037037</v>
      </c>
      <c r="G11368" s="1028" t="s">
        <v>453</v>
      </c>
      <c r="H11368" s="937">
        <v>1.0</v>
      </c>
      <c r="I11368" s="1029" t="s">
        <v>3145</v>
      </c>
      <c r="J11368" s="67">
        <f t="shared" si="641"/>
        <v>-10396.8</v>
      </c>
      <c r="K11368" s="1"/>
      <c r="L11368" s="70"/>
      <c r="M11368" s="79"/>
      <c r="N11368" s="1"/>
      <c r="O11368" s="1"/>
      <c r="P11368" s="1"/>
      <c r="Q11368" s="1"/>
      <c r="R11368" s="1"/>
      <c r="S11368" s="1"/>
      <c r="T11368" s="1"/>
      <c r="U11368" s="1"/>
      <c r="V11368" s="1"/>
      <c r="W11368" s="1"/>
      <c r="X11368" s="1"/>
      <c r="Y11368" s="1"/>
      <c r="Z11368" s="1"/>
      <c r="AA11368" s="1"/>
      <c r="AB11368" s="1"/>
      <c r="AC11368" s="1"/>
      <c r="AD11368" s="1"/>
      <c r="AE11368" s="1"/>
      <c r="AF11368" s="1"/>
      <c r="AG11368" s="1"/>
      <c r="AH11368" s="1"/>
    </row>
    <row r="11369" ht="12.75" hidden="1" customHeight="1" outlineLevel="1">
      <c r="A11369" s="202">
        <v>43643.0</v>
      </c>
      <c r="B11369" s="985" t="s">
        <v>347</v>
      </c>
      <c r="C11369" s="985" t="s">
        <v>1525</v>
      </c>
      <c r="D11369" s="985">
        <v>25.0</v>
      </c>
      <c r="E11369" s="985">
        <v>220.735</v>
      </c>
      <c r="F11369" s="1027">
        <v>0.5808101851851852</v>
      </c>
      <c r="G11369" s="1028" t="s">
        <v>453</v>
      </c>
      <c r="H11369" s="937">
        <v>1.12</v>
      </c>
      <c r="I11369" s="1029" t="s">
        <v>3145</v>
      </c>
      <c r="J11369" s="67">
        <f t="shared" si="641"/>
        <v>5517.255</v>
      </c>
      <c r="K11369" s="1"/>
      <c r="L11369" s="70"/>
      <c r="M11369" s="79"/>
      <c r="N11369" s="1"/>
      <c r="O11369" s="1"/>
      <c r="P11369" s="1"/>
      <c r="Q11369" s="1"/>
      <c r="R11369" s="1"/>
      <c r="S11369" s="1"/>
      <c r="T11369" s="1"/>
      <c r="U11369" s="1"/>
      <c r="V11369" s="1"/>
      <c r="W11369" s="1"/>
      <c r="X11369" s="1"/>
      <c r="Y11369" s="1"/>
      <c r="Z11369" s="1"/>
      <c r="AA11369" s="1"/>
      <c r="AB11369" s="1"/>
      <c r="AC11369" s="1"/>
      <c r="AD11369" s="1"/>
      <c r="AE11369" s="1"/>
      <c r="AF11369" s="1"/>
      <c r="AG11369" s="1"/>
      <c r="AH11369" s="1"/>
    </row>
    <row r="11370" ht="12.75" hidden="1" customHeight="1" outlineLevel="1">
      <c r="A11370" s="202">
        <v>43643.0</v>
      </c>
      <c r="B11370" s="985" t="s">
        <v>343</v>
      </c>
      <c r="C11370" s="985" t="s">
        <v>1061</v>
      </c>
      <c r="D11370" s="985">
        <v>250.0</v>
      </c>
      <c r="E11370" s="985">
        <v>51.115</v>
      </c>
      <c r="F11370" s="1027">
        <v>0.582025462962963</v>
      </c>
      <c r="G11370" s="1028" t="s">
        <v>453</v>
      </c>
      <c r="H11370" s="937">
        <v>1.25</v>
      </c>
      <c r="I11370" s="1029" t="s">
        <v>3145</v>
      </c>
      <c r="J11370" s="67">
        <f t="shared" si="641"/>
        <v>-12780</v>
      </c>
      <c r="K11370" s="1"/>
      <c r="L11370" s="70"/>
      <c r="M11370" s="79"/>
      <c r="N11370" s="1"/>
      <c r="O11370" s="1"/>
      <c r="P11370" s="1"/>
      <c r="Q11370" s="1"/>
      <c r="R11370" s="1"/>
      <c r="S11370" s="1"/>
      <c r="T11370" s="1"/>
      <c r="U11370" s="1"/>
      <c r="V11370" s="1"/>
      <c r="W11370" s="1"/>
      <c r="X11370" s="1"/>
      <c r="Y11370" s="1"/>
      <c r="Z11370" s="1"/>
      <c r="AA11370" s="1"/>
      <c r="AB11370" s="1"/>
      <c r="AC11370" s="1"/>
      <c r="AD11370" s="1"/>
      <c r="AE11370" s="1"/>
      <c r="AF11370" s="1"/>
      <c r="AG11370" s="1"/>
      <c r="AH11370" s="1"/>
    </row>
    <row r="11371" ht="12.75" hidden="1" customHeight="1" outlineLevel="1">
      <c r="A11371" s="202">
        <v>43643.0</v>
      </c>
      <c r="B11371" s="985" t="s">
        <v>347</v>
      </c>
      <c r="C11371" s="985" t="s">
        <v>1537</v>
      </c>
      <c r="D11371" s="985">
        <v>250.0</v>
      </c>
      <c r="E11371" s="985">
        <v>22.905</v>
      </c>
      <c r="F11371" s="1027">
        <v>0.5824421296296296</v>
      </c>
      <c r="G11371" s="1028" t="s">
        <v>453</v>
      </c>
      <c r="H11371" s="937">
        <v>1.4</v>
      </c>
      <c r="I11371" s="1029" t="s">
        <v>3145</v>
      </c>
      <c r="J11371" s="67">
        <f t="shared" si="641"/>
        <v>5724.85</v>
      </c>
      <c r="K11371" s="1"/>
      <c r="L11371" s="70"/>
      <c r="M11371" s="79"/>
      <c r="N11371" s="1"/>
      <c r="O11371" s="1"/>
      <c r="P11371" s="1"/>
      <c r="Q11371" s="1"/>
      <c r="R11371" s="1"/>
      <c r="S11371" s="1"/>
      <c r="T11371" s="1"/>
      <c r="U11371" s="1"/>
      <c r="V11371" s="1"/>
      <c r="W11371" s="1"/>
      <c r="X11371" s="1"/>
      <c r="Y11371" s="1"/>
      <c r="Z11371" s="1"/>
      <c r="AA11371" s="1"/>
      <c r="AB11371" s="1"/>
      <c r="AC11371" s="1"/>
      <c r="AD11371" s="1"/>
      <c r="AE11371" s="1"/>
      <c r="AF11371" s="1"/>
      <c r="AG11371" s="1"/>
      <c r="AH11371" s="1"/>
    </row>
    <row r="11372" ht="12.75" hidden="1" customHeight="1" outlineLevel="1">
      <c r="A11372" s="197">
        <v>43646.0</v>
      </c>
      <c r="B11372" s="992"/>
      <c r="C11372" s="32" t="s">
        <v>947</v>
      </c>
      <c r="D11372" s="1"/>
      <c r="E11372" s="94" t="s">
        <v>948</v>
      </c>
      <c r="F11372" s="1056" t="s">
        <v>949</v>
      </c>
      <c r="G11372" s="87"/>
      <c r="H11372" s="199"/>
      <c r="I11372" s="200">
        <v>1.0</v>
      </c>
      <c r="K11372" s="201" t="s">
        <v>3913</v>
      </c>
      <c r="L11372" s="77"/>
      <c r="M11372" s="79"/>
      <c r="N11372" s="1"/>
      <c r="O11372" s="1"/>
      <c r="P11372" s="1"/>
      <c r="Q11372" s="1"/>
      <c r="R11372" s="1"/>
      <c r="S11372" s="1"/>
      <c r="T11372" s="1"/>
      <c r="U11372" s="1"/>
      <c r="V11372" s="1"/>
      <c r="W11372" s="1"/>
      <c r="X11372" s="1"/>
      <c r="Y11372" s="1"/>
      <c r="Z11372" s="1"/>
      <c r="AA11372" s="1"/>
      <c r="AB11372" s="1"/>
      <c r="AC11372" s="1"/>
      <c r="AD11372" s="1"/>
      <c r="AE11372" s="1"/>
      <c r="AF11372" s="1"/>
      <c r="AG11372" s="1"/>
      <c r="AH11372" s="1"/>
    </row>
    <row r="11373" ht="12.75" hidden="1" customHeight="1" outlineLevel="1">
      <c r="A11373" s="202">
        <v>43646.0</v>
      </c>
      <c r="B11373" s="992"/>
      <c r="C11373" s="32" t="s">
        <v>952</v>
      </c>
      <c r="D11373" s="1"/>
      <c r="F11373" s="1057" t="s">
        <v>953</v>
      </c>
      <c r="G11373" s="1"/>
      <c r="H11373" s="68"/>
      <c r="I11373" s="204">
        <v>0.0</v>
      </c>
      <c r="K11373" s="9" t="s">
        <v>3918</v>
      </c>
      <c r="L11373" s="77"/>
      <c r="M11373" s="79"/>
      <c r="N11373" s="1"/>
      <c r="O11373" s="1"/>
      <c r="P11373" s="1"/>
      <c r="Q11373" s="1"/>
      <c r="R11373" s="1"/>
      <c r="S11373" s="1"/>
      <c r="T11373" s="1"/>
      <c r="U11373" s="1"/>
      <c r="V11373" s="1"/>
      <c r="W11373" s="1"/>
      <c r="X11373" s="1"/>
      <c r="Y11373" s="1"/>
      <c r="Z11373" s="1"/>
      <c r="AA11373" s="1"/>
      <c r="AB11373" s="1"/>
      <c r="AC11373" s="1"/>
      <c r="AD11373" s="1"/>
      <c r="AE11373" s="1"/>
      <c r="AF11373" s="1"/>
      <c r="AG11373" s="1"/>
      <c r="AH11373" s="1"/>
    </row>
    <row r="11374" ht="12.75" hidden="1" customHeight="1" outlineLevel="1">
      <c r="A11374" s="202">
        <v>43646.0</v>
      </c>
      <c r="B11374" s="992"/>
      <c r="C11374" s="32" t="s">
        <v>955</v>
      </c>
      <c r="D11374" s="1"/>
      <c r="F11374" s="1057" t="s">
        <v>3718</v>
      </c>
      <c r="G11374" s="1"/>
      <c r="H11374" s="68"/>
      <c r="I11374" s="204">
        <v>0.0</v>
      </c>
      <c r="K11374" s="9" t="s">
        <v>3919</v>
      </c>
      <c r="L11374" s="77"/>
      <c r="M11374" s="79"/>
      <c r="N11374" s="1"/>
      <c r="O11374" s="1"/>
      <c r="P11374" s="1"/>
      <c r="Q11374" s="1"/>
      <c r="R11374" s="1"/>
      <c r="S11374" s="1"/>
      <c r="T11374" s="1"/>
      <c r="U11374" s="1"/>
      <c r="V11374" s="1"/>
      <c r="W11374" s="1"/>
      <c r="X11374" s="1"/>
      <c r="Y11374" s="1"/>
      <c r="Z11374" s="1"/>
      <c r="AA11374" s="1"/>
      <c r="AB11374" s="1"/>
      <c r="AC11374" s="1"/>
      <c r="AD11374" s="1"/>
      <c r="AE11374" s="1"/>
      <c r="AF11374" s="1"/>
      <c r="AG11374" s="1"/>
      <c r="AH11374" s="1"/>
    </row>
    <row r="11375" ht="12.75" hidden="1" customHeight="1" outlineLevel="1">
      <c r="A11375" s="202">
        <v>43646.0</v>
      </c>
      <c r="B11375" s="992"/>
      <c r="C11375" s="32" t="s">
        <v>958</v>
      </c>
      <c r="D11375" s="1"/>
      <c r="F11375" s="203" t="s">
        <v>959</v>
      </c>
      <c r="G11375" s="1"/>
      <c r="H11375" s="68"/>
      <c r="I11375" s="204">
        <v>1.0</v>
      </c>
      <c r="K11375" s="9" t="s">
        <v>3917</v>
      </c>
      <c r="L11375" s="77"/>
      <c r="M11375" s="79"/>
      <c r="N11375" s="1"/>
      <c r="O11375" s="1"/>
      <c r="P11375" s="1"/>
      <c r="Q11375" s="1"/>
      <c r="R11375" s="1"/>
      <c r="S11375" s="1"/>
      <c r="T11375" s="1"/>
      <c r="U11375" s="1"/>
      <c r="V11375" s="1"/>
      <c r="W11375" s="1"/>
      <c r="X11375" s="1"/>
      <c r="Y11375" s="1"/>
      <c r="Z11375" s="1"/>
      <c r="AA11375" s="1"/>
      <c r="AB11375" s="1"/>
      <c r="AC11375" s="1"/>
      <c r="AD11375" s="1"/>
      <c r="AE11375" s="1"/>
      <c r="AF11375" s="1"/>
      <c r="AG11375" s="1"/>
      <c r="AH11375" s="1"/>
    </row>
    <row r="11376" ht="12.75" hidden="1" customHeight="1" outlineLevel="1">
      <c r="A11376" s="202">
        <v>43646.0</v>
      </c>
      <c r="B11376" s="992"/>
      <c r="C11376" s="32" t="s">
        <v>961</v>
      </c>
      <c r="D11376" s="1"/>
      <c r="F11376" s="206" t="s">
        <v>3721</v>
      </c>
      <c r="G11376" s="207"/>
      <c r="H11376" s="208"/>
      <c r="I11376" s="209">
        <v>2.0</v>
      </c>
      <c r="K11376" s="9" t="s">
        <v>964</v>
      </c>
      <c r="L11376" s="77"/>
      <c r="M11376" s="79"/>
      <c r="N11376" s="1"/>
      <c r="O11376" s="1"/>
      <c r="P11376" s="1"/>
      <c r="Q11376" s="1"/>
      <c r="R11376" s="1"/>
      <c r="S11376" s="1"/>
      <c r="T11376" s="1"/>
      <c r="U11376" s="1"/>
      <c r="V11376" s="1"/>
      <c r="W11376" s="1"/>
      <c r="X11376" s="1"/>
      <c r="Y11376" s="1"/>
      <c r="Z11376" s="1"/>
      <c r="AA11376" s="1"/>
      <c r="AB11376" s="1"/>
      <c r="AC11376" s="1"/>
      <c r="AD11376" s="1"/>
      <c r="AE11376" s="1"/>
      <c r="AF11376" s="1"/>
      <c r="AG11376" s="1"/>
      <c r="AH11376" s="1"/>
    </row>
    <row r="11377" ht="12.75" hidden="1" customHeight="1" outlineLevel="1">
      <c r="A11377" s="197">
        <v>43648.0</v>
      </c>
      <c r="B11377" s="992"/>
      <c r="C11377" s="32" t="s">
        <v>947</v>
      </c>
      <c r="D11377" s="1"/>
      <c r="E11377" s="94" t="s">
        <v>948</v>
      </c>
      <c r="F11377" s="1056" t="s">
        <v>949</v>
      </c>
      <c r="G11377" s="87"/>
      <c r="H11377" s="199"/>
      <c r="I11377" s="200">
        <v>1.0</v>
      </c>
      <c r="K11377" s="201" t="s">
        <v>3913</v>
      </c>
      <c r="L11377" s="77"/>
      <c r="M11377" s="79"/>
      <c r="N11377" s="1"/>
      <c r="O11377" s="1"/>
      <c r="P11377" s="1"/>
      <c r="Q11377" s="1"/>
      <c r="R11377" s="1"/>
      <c r="S11377" s="1"/>
      <c r="T11377" s="1"/>
      <c r="U11377" s="1"/>
      <c r="V11377" s="1"/>
      <c r="W11377" s="1"/>
      <c r="X11377" s="1"/>
      <c r="Y11377" s="1"/>
      <c r="Z11377" s="1"/>
      <c r="AA11377" s="1"/>
      <c r="AB11377" s="1"/>
      <c r="AC11377" s="1"/>
      <c r="AD11377" s="1"/>
      <c r="AE11377" s="1"/>
      <c r="AF11377" s="1"/>
      <c r="AG11377" s="1"/>
      <c r="AH11377" s="1"/>
    </row>
    <row r="11378" ht="12.75" hidden="1" customHeight="1" outlineLevel="1">
      <c r="A11378" s="202">
        <v>43648.0</v>
      </c>
      <c r="B11378" s="992"/>
      <c r="C11378" s="32" t="s">
        <v>952</v>
      </c>
      <c r="D11378" s="1"/>
      <c r="F11378" s="1057" t="s">
        <v>953</v>
      </c>
      <c r="G11378" s="1"/>
      <c r="H11378" s="68"/>
      <c r="I11378" s="204">
        <v>0.0</v>
      </c>
      <c r="K11378" s="9" t="s">
        <v>3918</v>
      </c>
      <c r="L11378" s="77"/>
      <c r="M11378" s="79"/>
      <c r="N11378" s="1"/>
      <c r="O11378" s="1"/>
      <c r="P11378" s="1"/>
      <c r="Q11378" s="1"/>
      <c r="R11378" s="1"/>
      <c r="S11378" s="1"/>
      <c r="T11378" s="1"/>
      <c r="U11378" s="1"/>
      <c r="V11378" s="1"/>
      <c r="W11378" s="1"/>
      <c r="X11378" s="1"/>
      <c r="Y11378" s="1"/>
      <c r="Z11378" s="1"/>
      <c r="AA11378" s="1"/>
      <c r="AB11378" s="1"/>
      <c r="AC11378" s="1"/>
      <c r="AD11378" s="1"/>
      <c r="AE11378" s="1"/>
      <c r="AF11378" s="1"/>
      <c r="AG11378" s="1"/>
      <c r="AH11378" s="1"/>
    </row>
    <row r="11379" ht="12.75" hidden="1" customHeight="1" outlineLevel="1">
      <c r="A11379" s="202">
        <v>43648.0</v>
      </c>
      <c r="B11379" s="992"/>
      <c r="C11379" s="32" t="s">
        <v>955</v>
      </c>
      <c r="D11379" s="1"/>
      <c r="F11379" s="1057" t="s">
        <v>3718</v>
      </c>
      <c r="G11379" s="1"/>
      <c r="H11379" s="68"/>
      <c r="I11379" s="204">
        <v>0.0</v>
      </c>
      <c r="K11379" s="9" t="s">
        <v>3920</v>
      </c>
      <c r="L11379" s="77"/>
      <c r="M11379" s="79"/>
      <c r="N11379" s="1"/>
      <c r="O11379" s="1"/>
      <c r="P11379" s="1"/>
      <c r="Q11379" s="1"/>
      <c r="R11379" s="1"/>
      <c r="S11379" s="1"/>
      <c r="T11379" s="1"/>
      <c r="U11379" s="1"/>
      <c r="V11379" s="1"/>
      <c r="W11379" s="1"/>
      <c r="X11379" s="1"/>
      <c r="Y11379" s="1"/>
      <c r="Z11379" s="1"/>
      <c r="AA11379" s="1"/>
      <c r="AB11379" s="1"/>
      <c r="AC11379" s="1"/>
      <c r="AD11379" s="1"/>
      <c r="AE11379" s="1"/>
      <c r="AF11379" s="1"/>
      <c r="AG11379" s="1"/>
      <c r="AH11379" s="1"/>
    </row>
    <row r="11380" ht="12.75" hidden="1" customHeight="1" outlineLevel="1">
      <c r="A11380" s="202">
        <v>43648.0</v>
      </c>
      <c r="B11380" s="992"/>
      <c r="C11380" s="32" t="s">
        <v>958</v>
      </c>
      <c r="D11380" s="1"/>
      <c r="F11380" s="203" t="s">
        <v>959</v>
      </c>
      <c r="G11380" s="1"/>
      <c r="H11380" s="68"/>
      <c r="I11380" s="204">
        <v>1.0</v>
      </c>
      <c r="K11380" s="9" t="s">
        <v>3921</v>
      </c>
      <c r="L11380" s="77"/>
      <c r="M11380" s="79"/>
      <c r="N11380" s="1"/>
      <c r="O11380" s="1"/>
      <c r="P11380" s="1"/>
      <c r="Q11380" s="1"/>
      <c r="R11380" s="1"/>
      <c r="S11380" s="1"/>
      <c r="T11380" s="1"/>
      <c r="U11380" s="1"/>
      <c r="V11380" s="1"/>
      <c r="W11380" s="1"/>
      <c r="X11380" s="1"/>
      <c r="Y11380" s="1"/>
      <c r="Z11380" s="1"/>
      <c r="AA11380" s="1"/>
      <c r="AB11380" s="1"/>
      <c r="AC11380" s="1"/>
      <c r="AD11380" s="1"/>
      <c r="AE11380" s="1"/>
      <c r="AF11380" s="1"/>
      <c r="AG11380" s="1"/>
      <c r="AH11380" s="1"/>
    </row>
    <row r="11381" ht="12.75" hidden="1" customHeight="1" outlineLevel="1">
      <c r="A11381" s="202">
        <v>43648.0</v>
      </c>
      <c r="B11381" s="992"/>
      <c r="C11381" s="32" t="s">
        <v>961</v>
      </c>
      <c r="D11381" s="1"/>
      <c r="F11381" s="206" t="s">
        <v>3721</v>
      </c>
      <c r="G11381" s="207"/>
      <c r="H11381" s="208"/>
      <c r="I11381" s="209">
        <v>2.0</v>
      </c>
      <c r="K11381" s="9" t="s">
        <v>964</v>
      </c>
      <c r="L11381" s="77"/>
      <c r="M11381" s="79"/>
      <c r="N11381" s="1"/>
      <c r="O11381" s="1"/>
      <c r="P11381" s="1"/>
      <c r="Q11381" s="1"/>
      <c r="R11381" s="1"/>
      <c r="S11381" s="1"/>
      <c r="T11381" s="1"/>
      <c r="U11381" s="1"/>
      <c r="V11381" s="1"/>
      <c r="W11381" s="1"/>
      <c r="X11381" s="1"/>
      <c r="Y11381" s="1"/>
      <c r="Z11381" s="1"/>
      <c r="AA11381" s="1"/>
      <c r="AB11381" s="1"/>
      <c r="AC11381" s="1"/>
      <c r="AD11381" s="1"/>
      <c r="AE11381" s="1"/>
      <c r="AF11381" s="1"/>
      <c r="AG11381" s="1"/>
      <c r="AH11381" s="1"/>
    </row>
    <row r="11382" ht="12.75" hidden="1" customHeight="1" outlineLevel="1">
      <c r="A11382" s="1034">
        <v>43650.0</v>
      </c>
      <c r="B11382" s="177"/>
      <c r="C11382" s="177" t="s">
        <v>947</v>
      </c>
      <c r="D11382" s="1035"/>
      <c r="E11382" s="1036" t="s">
        <v>948</v>
      </c>
      <c r="F11382" s="1037" t="s">
        <v>949</v>
      </c>
      <c r="G11382" s="1038"/>
      <c r="H11382" s="1039"/>
      <c r="I11382" s="1040">
        <v>1.0</v>
      </c>
      <c r="J11382" s="1041"/>
      <c r="K11382" s="1042" t="s">
        <v>3913</v>
      </c>
      <c r="L11382" s="77"/>
      <c r="M11382" s="79"/>
      <c r="N11382" s="1"/>
      <c r="O11382" s="1"/>
      <c r="P11382" s="1"/>
      <c r="Q11382" s="1"/>
      <c r="R11382" s="1"/>
      <c r="S11382" s="1"/>
      <c r="T11382" s="1"/>
      <c r="U11382" s="1"/>
      <c r="V11382" s="1"/>
      <c r="W11382" s="1"/>
      <c r="X11382" s="1"/>
      <c r="Y11382" s="1"/>
      <c r="Z11382" s="1"/>
      <c r="AA11382" s="1"/>
      <c r="AB11382" s="1"/>
      <c r="AC11382" s="1"/>
      <c r="AD11382" s="1"/>
      <c r="AE11382" s="1"/>
      <c r="AF11382" s="1"/>
      <c r="AG11382" s="1"/>
      <c r="AH11382" s="1"/>
    </row>
    <row r="11383" ht="12.75" hidden="1" customHeight="1" outlineLevel="1">
      <c r="A11383" s="1043">
        <v>43650.0</v>
      </c>
      <c r="B11383" s="177"/>
      <c r="C11383" s="177" t="s">
        <v>952</v>
      </c>
      <c r="D11383" s="1035"/>
      <c r="E11383" s="1036"/>
      <c r="F11383" s="1044" t="s">
        <v>953</v>
      </c>
      <c r="G11383" s="1045"/>
      <c r="H11383" s="542"/>
      <c r="I11383" s="1046">
        <v>0.0</v>
      </c>
      <c r="J11383" s="1041"/>
      <c r="K11383" s="1047" t="s">
        <v>3918</v>
      </c>
      <c r="L11383" s="77"/>
      <c r="M11383" s="79"/>
      <c r="N11383" s="1"/>
      <c r="O11383" s="1"/>
      <c r="P11383" s="1"/>
      <c r="Q11383" s="1"/>
      <c r="R11383" s="1"/>
      <c r="S11383" s="1"/>
      <c r="T11383" s="1"/>
      <c r="U11383" s="1"/>
      <c r="V11383" s="1"/>
      <c r="W11383" s="1"/>
      <c r="X11383" s="1"/>
      <c r="Y11383" s="1"/>
      <c r="Z11383" s="1"/>
      <c r="AA11383" s="1"/>
      <c r="AB11383" s="1"/>
      <c r="AC11383" s="1"/>
      <c r="AD11383" s="1"/>
      <c r="AE11383" s="1"/>
      <c r="AF11383" s="1"/>
      <c r="AG11383" s="1"/>
      <c r="AH11383" s="1"/>
    </row>
    <row r="11384" ht="12.75" hidden="1" customHeight="1" outlineLevel="1">
      <c r="A11384" s="1043">
        <v>43650.0</v>
      </c>
      <c r="B11384" s="177"/>
      <c r="C11384" s="177" t="s">
        <v>955</v>
      </c>
      <c r="D11384" s="1035"/>
      <c r="E11384" s="1036"/>
      <c r="F11384" s="1044" t="s">
        <v>3718</v>
      </c>
      <c r="G11384" s="1041"/>
      <c r="H11384" s="542"/>
      <c r="I11384" s="1048">
        <v>0.0</v>
      </c>
      <c r="J11384" s="1041"/>
      <c r="K11384" s="1047" t="s">
        <v>3920</v>
      </c>
      <c r="L11384" s="77"/>
      <c r="M11384" s="79"/>
      <c r="N11384" s="1"/>
      <c r="O11384" s="1"/>
      <c r="P11384" s="1"/>
      <c r="Q11384" s="1"/>
      <c r="R11384" s="1"/>
      <c r="S11384" s="1"/>
      <c r="T11384" s="1"/>
      <c r="U11384" s="1"/>
      <c r="V11384" s="1"/>
      <c r="W11384" s="1"/>
      <c r="X11384" s="1"/>
      <c r="Y11384" s="1"/>
      <c r="Z11384" s="1"/>
      <c r="AA11384" s="1"/>
      <c r="AB11384" s="1"/>
      <c r="AC11384" s="1"/>
      <c r="AD11384" s="1"/>
      <c r="AE11384" s="1"/>
      <c r="AF11384" s="1"/>
      <c r="AG11384" s="1"/>
      <c r="AH11384" s="1"/>
    </row>
    <row r="11385" ht="12.75" hidden="1" customHeight="1" outlineLevel="1">
      <c r="A11385" s="1043">
        <v>43650.0</v>
      </c>
      <c r="B11385" s="177"/>
      <c r="C11385" s="177" t="s">
        <v>958</v>
      </c>
      <c r="D11385" s="1035"/>
      <c r="E11385" s="1036"/>
      <c r="F11385" s="1049" t="s">
        <v>959</v>
      </c>
      <c r="G11385" s="1050"/>
      <c r="H11385" s="1051"/>
      <c r="I11385" s="1052">
        <v>1.0</v>
      </c>
      <c r="J11385" s="1041"/>
      <c r="K11385" s="1047" t="s">
        <v>3922</v>
      </c>
      <c r="L11385" s="77"/>
      <c r="M11385" s="79"/>
      <c r="N11385" s="1"/>
      <c r="O11385" s="1"/>
      <c r="P11385" s="1"/>
      <c r="Q11385" s="1"/>
      <c r="R11385" s="1"/>
      <c r="S11385" s="1"/>
      <c r="T11385" s="1"/>
      <c r="U11385" s="1"/>
      <c r="V11385" s="1"/>
      <c r="W11385" s="1"/>
      <c r="X11385" s="1"/>
      <c r="Y11385" s="1"/>
      <c r="Z11385" s="1"/>
      <c r="AA11385" s="1"/>
      <c r="AB11385" s="1"/>
      <c r="AC11385" s="1"/>
      <c r="AD11385" s="1"/>
      <c r="AE11385" s="1"/>
      <c r="AF11385" s="1"/>
      <c r="AG11385" s="1"/>
      <c r="AH11385" s="1"/>
    </row>
    <row r="11386" ht="12.75" hidden="1" customHeight="1" outlineLevel="1">
      <c r="A11386" s="1043">
        <v>43650.0</v>
      </c>
      <c r="B11386" s="177"/>
      <c r="C11386" s="177" t="s">
        <v>961</v>
      </c>
      <c r="D11386" s="1035"/>
      <c r="E11386" s="1036"/>
      <c r="F11386" s="1053" t="s">
        <v>3721</v>
      </c>
      <c r="G11386" s="1054"/>
      <c r="H11386" s="1051"/>
      <c r="I11386" s="1055">
        <v>2.0</v>
      </c>
      <c r="J11386" s="1041"/>
      <c r="K11386" s="1047" t="s">
        <v>964</v>
      </c>
      <c r="L11386" s="77"/>
      <c r="M11386" s="79"/>
      <c r="N11386" s="1"/>
      <c r="O11386" s="1"/>
      <c r="P11386" s="1"/>
      <c r="Q11386" s="1"/>
      <c r="R11386" s="1"/>
      <c r="S11386" s="1"/>
      <c r="T11386" s="1"/>
      <c r="U11386" s="1"/>
      <c r="V11386" s="1"/>
      <c r="W11386" s="1"/>
      <c r="X11386" s="1"/>
      <c r="Y11386" s="1"/>
      <c r="Z11386" s="1"/>
      <c r="AA11386" s="1"/>
      <c r="AB11386" s="1"/>
      <c r="AC11386" s="1"/>
      <c r="AD11386" s="1"/>
      <c r="AE11386" s="1"/>
      <c r="AF11386" s="1"/>
      <c r="AG11386" s="1"/>
      <c r="AH11386" s="1"/>
    </row>
    <row r="11387" ht="12.75" hidden="1" customHeight="1" outlineLevel="1">
      <c r="A11387" s="197">
        <v>43654.0</v>
      </c>
      <c r="B11387" s="992"/>
      <c r="C11387" s="32" t="s">
        <v>947</v>
      </c>
      <c r="D11387" s="1"/>
      <c r="E11387" s="94" t="s">
        <v>948</v>
      </c>
      <c r="F11387" s="1056" t="s">
        <v>949</v>
      </c>
      <c r="G11387" s="87"/>
      <c r="H11387" s="199"/>
      <c r="I11387" s="200">
        <v>1.0</v>
      </c>
      <c r="K11387" s="201" t="s">
        <v>3913</v>
      </c>
      <c r="L11387" s="77"/>
      <c r="M11387" s="79"/>
      <c r="N11387" s="1"/>
      <c r="O11387" s="1"/>
      <c r="P11387" s="1"/>
      <c r="Q11387" s="1"/>
      <c r="R11387" s="1"/>
      <c r="S11387" s="1"/>
      <c r="T11387" s="1"/>
      <c r="U11387" s="1"/>
      <c r="V11387" s="1"/>
      <c r="W11387" s="1"/>
      <c r="X11387" s="1"/>
      <c r="Y11387" s="1"/>
      <c r="Z11387" s="1"/>
      <c r="AA11387" s="1"/>
      <c r="AB11387" s="1"/>
      <c r="AC11387" s="1"/>
      <c r="AD11387" s="1"/>
      <c r="AE11387" s="1"/>
      <c r="AF11387" s="1"/>
      <c r="AG11387" s="1"/>
      <c r="AH11387" s="1"/>
    </row>
    <row r="11388" ht="12.75" hidden="1" customHeight="1" outlineLevel="1">
      <c r="A11388" s="202">
        <v>43654.0</v>
      </c>
      <c r="B11388" s="992"/>
      <c r="C11388" s="32" t="s">
        <v>952</v>
      </c>
      <c r="D11388" s="1"/>
      <c r="F11388" s="1057" t="s">
        <v>953</v>
      </c>
      <c r="G11388" s="1"/>
      <c r="H11388" s="68"/>
      <c r="I11388" s="204">
        <v>0.0</v>
      </c>
      <c r="K11388" s="9" t="s">
        <v>3923</v>
      </c>
      <c r="L11388" s="77"/>
      <c r="M11388" s="79"/>
      <c r="N11388" s="1"/>
      <c r="O11388" s="1"/>
      <c r="P11388" s="1"/>
      <c r="Q11388" s="1"/>
      <c r="R11388" s="1"/>
      <c r="S11388" s="1"/>
      <c r="T11388" s="1"/>
      <c r="U11388" s="1"/>
      <c r="V11388" s="1"/>
      <c r="W11388" s="1"/>
      <c r="X11388" s="1"/>
      <c r="Y11388" s="1"/>
      <c r="Z11388" s="1"/>
      <c r="AA11388" s="1"/>
      <c r="AB11388" s="1"/>
      <c r="AC11388" s="1"/>
      <c r="AD11388" s="1"/>
      <c r="AE11388" s="1"/>
      <c r="AF11388" s="1"/>
      <c r="AG11388" s="1"/>
      <c r="AH11388" s="1"/>
    </row>
    <row r="11389" ht="12.75" hidden="1" customHeight="1" outlineLevel="1">
      <c r="A11389" s="202">
        <v>43654.0</v>
      </c>
      <c r="B11389" s="992"/>
      <c r="C11389" s="32" t="s">
        <v>955</v>
      </c>
      <c r="D11389" s="1"/>
      <c r="F11389" s="203" t="s">
        <v>956</v>
      </c>
      <c r="G11389" s="1"/>
      <c r="H11389" s="68"/>
      <c r="I11389" s="204">
        <v>0.0</v>
      </c>
      <c r="K11389" s="9" t="s">
        <v>3920</v>
      </c>
      <c r="L11389" s="77"/>
      <c r="M11389" s="79"/>
      <c r="N11389" s="1"/>
      <c r="O11389" s="1"/>
      <c r="P11389" s="1"/>
      <c r="Q11389" s="1"/>
      <c r="R11389" s="1"/>
      <c r="S11389" s="1"/>
      <c r="T11389" s="1"/>
      <c r="U11389" s="1"/>
      <c r="V11389" s="1"/>
      <c r="W11389" s="1"/>
      <c r="X11389" s="1"/>
      <c r="Y11389" s="1"/>
      <c r="Z11389" s="1"/>
      <c r="AA11389" s="1"/>
      <c r="AB11389" s="1"/>
      <c r="AC11389" s="1"/>
      <c r="AD11389" s="1"/>
      <c r="AE11389" s="1"/>
      <c r="AF11389" s="1"/>
      <c r="AG11389" s="1"/>
      <c r="AH11389" s="1"/>
    </row>
    <row r="11390" ht="12.75" hidden="1" customHeight="1" outlineLevel="1">
      <c r="A11390" s="202">
        <v>43654.0</v>
      </c>
      <c r="B11390" s="992"/>
      <c r="C11390" s="32" t="s">
        <v>958</v>
      </c>
      <c r="D11390" s="1"/>
      <c r="F11390" s="203" t="s">
        <v>959</v>
      </c>
      <c r="G11390" s="1"/>
      <c r="H11390" s="68"/>
      <c r="I11390" s="204">
        <v>1.0</v>
      </c>
      <c r="K11390" s="9" t="s">
        <v>3922</v>
      </c>
      <c r="L11390" s="77"/>
      <c r="M11390" s="79"/>
      <c r="N11390" s="1"/>
      <c r="O11390" s="1"/>
      <c r="P11390" s="1"/>
      <c r="Q11390" s="1"/>
      <c r="R11390" s="1"/>
      <c r="S11390" s="1"/>
      <c r="T11390" s="1"/>
      <c r="U11390" s="1"/>
      <c r="V11390" s="1"/>
      <c r="W11390" s="1"/>
      <c r="X11390" s="1"/>
      <c r="Y11390" s="1"/>
      <c r="Z11390" s="1"/>
      <c r="AA11390" s="1"/>
      <c r="AB11390" s="1"/>
      <c r="AC11390" s="1"/>
      <c r="AD11390" s="1"/>
      <c r="AE11390" s="1"/>
      <c r="AF11390" s="1"/>
      <c r="AG11390" s="1"/>
      <c r="AH11390" s="1"/>
    </row>
    <row r="11391" ht="12.75" hidden="1" customHeight="1" outlineLevel="1">
      <c r="A11391" s="202">
        <v>43654.0</v>
      </c>
      <c r="B11391" s="992"/>
      <c r="C11391" s="32" t="s">
        <v>961</v>
      </c>
      <c r="D11391" s="1"/>
      <c r="F11391" s="206" t="s">
        <v>3721</v>
      </c>
      <c r="G11391" s="207"/>
      <c r="H11391" s="208"/>
      <c r="I11391" s="209">
        <v>2.0</v>
      </c>
      <c r="K11391" s="9" t="s">
        <v>964</v>
      </c>
      <c r="L11391" s="77"/>
      <c r="M11391" s="79"/>
      <c r="N11391" s="1"/>
      <c r="O11391" s="1"/>
      <c r="P11391" s="1"/>
      <c r="Q11391" s="1"/>
      <c r="R11391" s="1"/>
      <c r="S11391" s="1"/>
      <c r="T11391" s="1"/>
      <c r="U11391" s="1"/>
      <c r="V11391" s="1"/>
      <c r="W11391" s="1"/>
      <c r="X11391" s="1"/>
      <c r="Y11391" s="1"/>
      <c r="Z11391" s="1"/>
      <c r="AA11391" s="1"/>
      <c r="AB11391" s="1"/>
      <c r="AC11391" s="1"/>
      <c r="AD11391" s="1"/>
      <c r="AE11391" s="1"/>
      <c r="AF11391" s="1"/>
      <c r="AG11391" s="1"/>
      <c r="AH11391" s="1"/>
    </row>
    <row r="11392" ht="12.75" hidden="1" customHeight="1" outlineLevel="1">
      <c r="A11392" s="197">
        <v>43656.0</v>
      </c>
      <c r="B11392" s="992"/>
      <c r="C11392" s="32" t="s">
        <v>947</v>
      </c>
      <c r="D11392" s="1"/>
      <c r="E11392" s="94" t="s">
        <v>948</v>
      </c>
      <c r="F11392" s="1056" t="s">
        <v>949</v>
      </c>
      <c r="G11392" s="87"/>
      <c r="H11392" s="199"/>
      <c r="I11392" s="200">
        <v>1.0</v>
      </c>
      <c r="K11392" s="201" t="s">
        <v>3913</v>
      </c>
      <c r="L11392" s="77"/>
      <c r="M11392" s="79"/>
      <c r="N11392" s="1"/>
      <c r="O11392" s="1"/>
      <c r="P11392" s="1"/>
      <c r="Q11392" s="1"/>
      <c r="R11392" s="1"/>
      <c r="S11392" s="1"/>
      <c r="T11392" s="1"/>
      <c r="U11392" s="1"/>
      <c r="V11392" s="1"/>
      <c r="W11392" s="1"/>
      <c r="X11392" s="1"/>
      <c r="Y11392" s="1"/>
      <c r="Z11392" s="1"/>
      <c r="AA11392" s="1"/>
      <c r="AB11392" s="1"/>
      <c r="AC11392" s="1"/>
      <c r="AD11392" s="1"/>
      <c r="AE11392" s="1"/>
      <c r="AF11392" s="1"/>
      <c r="AG11392" s="1"/>
      <c r="AH11392" s="1"/>
    </row>
    <row r="11393" ht="12.75" hidden="1" customHeight="1" outlineLevel="1">
      <c r="A11393" s="202">
        <v>43656.0</v>
      </c>
      <c r="B11393" s="992"/>
      <c r="C11393" s="32" t="s">
        <v>952</v>
      </c>
      <c r="D11393" s="1"/>
      <c r="F11393" s="1057" t="s">
        <v>953</v>
      </c>
      <c r="G11393" s="1"/>
      <c r="H11393" s="68"/>
      <c r="I11393" s="204">
        <v>0.0</v>
      </c>
      <c r="K11393" s="9" t="s">
        <v>3923</v>
      </c>
      <c r="L11393" s="77"/>
      <c r="M11393" s="79"/>
      <c r="N11393" s="1"/>
      <c r="O11393" s="1"/>
      <c r="P11393" s="1"/>
      <c r="Q11393" s="1"/>
      <c r="R11393" s="1"/>
      <c r="S11393" s="1"/>
      <c r="T11393" s="1"/>
      <c r="U11393" s="1"/>
      <c r="V11393" s="1"/>
      <c r="W11393" s="1"/>
      <c r="X11393" s="1"/>
      <c r="Y11393" s="1"/>
      <c r="Z11393" s="1"/>
      <c r="AA11393" s="1"/>
      <c r="AB11393" s="1"/>
      <c r="AC11393" s="1"/>
      <c r="AD11393" s="1"/>
      <c r="AE11393" s="1"/>
      <c r="AF11393" s="1"/>
      <c r="AG11393" s="1"/>
      <c r="AH11393" s="1"/>
    </row>
    <row r="11394" ht="12.75" hidden="1" customHeight="1" outlineLevel="1">
      <c r="A11394" s="202">
        <v>43656.0</v>
      </c>
      <c r="B11394" s="992"/>
      <c r="C11394" s="32" t="s">
        <v>955</v>
      </c>
      <c r="D11394" s="1"/>
      <c r="F11394" s="203" t="s">
        <v>956</v>
      </c>
      <c r="G11394" s="1"/>
      <c r="H11394" s="68"/>
      <c r="I11394" s="204">
        <v>0.0</v>
      </c>
      <c r="K11394" s="9" t="s">
        <v>3920</v>
      </c>
      <c r="L11394" s="77"/>
      <c r="M11394" s="79"/>
      <c r="N11394" s="1"/>
      <c r="O11394" s="1"/>
      <c r="P11394" s="1"/>
      <c r="Q11394" s="1"/>
      <c r="R11394" s="1"/>
      <c r="S11394" s="1"/>
      <c r="T11394" s="1"/>
      <c r="U11394" s="1"/>
      <c r="V11394" s="1"/>
      <c r="W11394" s="1"/>
      <c r="X11394" s="1"/>
      <c r="Y11394" s="1"/>
      <c r="Z11394" s="1"/>
      <c r="AA11394" s="1"/>
      <c r="AB11394" s="1"/>
      <c r="AC11394" s="1"/>
      <c r="AD11394" s="1"/>
      <c r="AE11394" s="1"/>
      <c r="AF11394" s="1"/>
      <c r="AG11394" s="1"/>
      <c r="AH11394" s="1"/>
    </row>
    <row r="11395" ht="12.75" hidden="1" customHeight="1" outlineLevel="1">
      <c r="A11395" s="202">
        <v>43656.0</v>
      </c>
      <c r="B11395" s="992"/>
      <c r="C11395" s="32" t="s">
        <v>958</v>
      </c>
      <c r="D11395" s="1"/>
      <c r="F11395" s="203" t="s">
        <v>959</v>
      </c>
      <c r="G11395" s="1"/>
      <c r="H11395" s="68"/>
      <c r="I11395" s="204">
        <v>1.0</v>
      </c>
      <c r="K11395" s="9" t="s">
        <v>3924</v>
      </c>
      <c r="L11395" s="77"/>
      <c r="M11395" s="79"/>
      <c r="N11395" s="1"/>
      <c r="O11395" s="1"/>
      <c r="P11395" s="1"/>
      <c r="Q11395" s="1"/>
      <c r="R11395" s="1"/>
      <c r="S11395" s="1"/>
      <c r="T11395" s="1"/>
      <c r="U11395" s="1"/>
      <c r="V11395" s="1"/>
      <c r="W11395" s="1"/>
      <c r="X11395" s="1"/>
      <c r="Y11395" s="1"/>
      <c r="Z11395" s="1"/>
      <c r="AA11395" s="1"/>
      <c r="AB11395" s="1"/>
      <c r="AC11395" s="1"/>
      <c r="AD11395" s="1"/>
      <c r="AE11395" s="1"/>
      <c r="AF11395" s="1"/>
      <c r="AG11395" s="1"/>
      <c r="AH11395" s="1"/>
    </row>
    <row r="11396" ht="12.75" hidden="1" customHeight="1" outlineLevel="1">
      <c r="A11396" s="202">
        <v>43656.0</v>
      </c>
      <c r="B11396" s="992"/>
      <c r="C11396" s="32" t="s">
        <v>961</v>
      </c>
      <c r="D11396" s="1"/>
      <c r="F11396" s="206" t="s">
        <v>3721</v>
      </c>
      <c r="G11396" s="207"/>
      <c r="H11396" s="208"/>
      <c r="I11396" s="209">
        <v>2.0</v>
      </c>
      <c r="K11396" s="9" t="s">
        <v>964</v>
      </c>
      <c r="L11396" s="77"/>
      <c r="M11396" s="79"/>
      <c r="N11396" s="1"/>
      <c r="O11396" s="1"/>
      <c r="P11396" s="1"/>
      <c r="Q11396" s="1"/>
      <c r="R11396" s="1"/>
      <c r="S11396" s="1"/>
      <c r="T11396" s="1"/>
      <c r="U11396" s="1"/>
      <c r="V11396" s="1"/>
      <c r="W11396" s="1"/>
      <c r="X11396" s="1"/>
      <c r="Y11396" s="1"/>
      <c r="Z11396" s="1"/>
      <c r="AA11396" s="1"/>
      <c r="AB11396" s="1"/>
      <c r="AC11396" s="1"/>
      <c r="AD11396" s="1"/>
      <c r="AE11396" s="1"/>
      <c r="AF11396" s="1"/>
      <c r="AG11396" s="1"/>
      <c r="AH11396" s="1"/>
    </row>
    <row r="11397" ht="12.75" hidden="1" customHeight="1" outlineLevel="1">
      <c r="A11397" s="197">
        <v>43657.0</v>
      </c>
      <c r="B11397" s="992"/>
      <c r="C11397" s="32" t="s">
        <v>947</v>
      </c>
      <c r="D11397" s="1"/>
      <c r="E11397" s="94" t="s">
        <v>948</v>
      </c>
      <c r="F11397" s="1056" t="s">
        <v>949</v>
      </c>
      <c r="G11397" s="87"/>
      <c r="H11397" s="199"/>
      <c r="I11397" s="200">
        <v>1.0</v>
      </c>
      <c r="K11397" s="201" t="s">
        <v>3913</v>
      </c>
      <c r="L11397" s="77"/>
      <c r="M11397" s="79"/>
      <c r="N11397" s="1"/>
      <c r="O11397" s="1"/>
      <c r="P11397" s="1"/>
      <c r="Q11397" s="1"/>
      <c r="R11397" s="1"/>
      <c r="S11397" s="1"/>
      <c r="T11397" s="1"/>
      <c r="U11397" s="1"/>
      <c r="V11397" s="1"/>
      <c r="W11397" s="1"/>
      <c r="X11397" s="1"/>
      <c r="Y11397" s="1"/>
      <c r="Z11397" s="1"/>
      <c r="AA11397" s="1"/>
      <c r="AB11397" s="1"/>
      <c r="AC11397" s="1"/>
      <c r="AD11397" s="1"/>
      <c r="AE11397" s="1"/>
      <c r="AF11397" s="1"/>
      <c r="AG11397" s="1"/>
      <c r="AH11397" s="1"/>
    </row>
    <row r="11398" ht="12.75" hidden="1" customHeight="1" outlineLevel="1">
      <c r="A11398" s="202">
        <v>43657.0</v>
      </c>
      <c r="B11398" s="992"/>
      <c r="C11398" s="32" t="s">
        <v>952</v>
      </c>
      <c r="D11398" s="1"/>
      <c r="F11398" s="1057" t="s">
        <v>953</v>
      </c>
      <c r="G11398" s="1"/>
      <c r="H11398" s="68"/>
      <c r="I11398" s="204">
        <v>0.0</v>
      </c>
      <c r="K11398" s="9" t="s">
        <v>3925</v>
      </c>
      <c r="L11398" s="77"/>
      <c r="M11398" s="79"/>
      <c r="N11398" s="1"/>
      <c r="O11398" s="1"/>
      <c r="P11398" s="1"/>
      <c r="Q11398" s="1"/>
      <c r="R11398" s="1"/>
      <c r="S11398" s="1"/>
      <c r="T11398" s="1"/>
      <c r="U11398" s="1"/>
      <c r="V11398" s="1"/>
      <c r="W11398" s="1"/>
      <c r="X11398" s="1"/>
      <c r="Y11398" s="1"/>
      <c r="Z11398" s="1"/>
      <c r="AA11398" s="1"/>
      <c r="AB11398" s="1"/>
      <c r="AC11398" s="1"/>
      <c r="AD11398" s="1"/>
      <c r="AE11398" s="1"/>
      <c r="AF11398" s="1"/>
      <c r="AG11398" s="1"/>
      <c r="AH11398" s="1"/>
    </row>
    <row r="11399" ht="12.75" hidden="1" customHeight="1" outlineLevel="1">
      <c r="A11399" s="202">
        <v>43657.0</v>
      </c>
      <c r="B11399" s="992"/>
      <c r="C11399" s="32" t="s">
        <v>955</v>
      </c>
      <c r="D11399" s="1"/>
      <c r="F11399" s="203" t="s">
        <v>956</v>
      </c>
      <c r="G11399" s="1"/>
      <c r="H11399" s="68"/>
      <c r="I11399" s="204">
        <v>0.0</v>
      </c>
      <c r="K11399" s="9" t="s">
        <v>3920</v>
      </c>
      <c r="L11399" s="77"/>
      <c r="M11399" s="79"/>
      <c r="N11399" s="1"/>
      <c r="O11399" s="1"/>
      <c r="P11399" s="1"/>
      <c r="Q11399" s="1"/>
      <c r="R11399" s="1"/>
      <c r="S11399" s="1"/>
      <c r="T11399" s="1"/>
      <c r="U11399" s="1"/>
      <c r="V11399" s="1"/>
      <c r="W11399" s="1"/>
      <c r="X11399" s="1"/>
      <c r="Y11399" s="1"/>
      <c r="Z11399" s="1"/>
      <c r="AA11399" s="1"/>
      <c r="AB11399" s="1"/>
      <c r="AC11399" s="1"/>
      <c r="AD11399" s="1"/>
      <c r="AE11399" s="1"/>
      <c r="AF11399" s="1"/>
      <c r="AG11399" s="1"/>
      <c r="AH11399" s="1"/>
    </row>
    <row r="11400" ht="12.75" hidden="1" customHeight="1" outlineLevel="1">
      <c r="A11400" s="202">
        <v>43657.0</v>
      </c>
      <c r="B11400" s="992"/>
      <c r="C11400" s="32" t="s">
        <v>958</v>
      </c>
      <c r="D11400" s="1"/>
      <c r="F11400" s="203" t="s">
        <v>959</v>
      </c>
      <c r="G11400" s="1"/>
      <c r="H11400" s="68"/>
      <c r="I11400" s="204">
        <v>1.0</v>
      </c>
      <c r="K11400" s="9" t="s">
        <v>3926</v>
      </c>
      <c r="L11400" s="77"/>
      <c r="M11400" s="79"/>
      <c r="N11400" s="1"/>
      <c r="O11400" s="1"/>
      <c r="P11400" s="1"/>
      <c r="Q11400" s="1"/>
      <c r="R11400" s="1"/>
      <c r="S11400" s="1"/>
      <c r="T11400" s="1"/>
      <c r="U11400" s="1"/>
      <c r="V11400" s="1"/>
      <c r="W11400" s="1"/>
      <c r="X11400" s="1"/>
      <c r="Y11400" s="1"/>
      <c r="Z11400" s="1"/>
      <c r="AA11400" s="1"/>
      <c r="AB11400" s="1"/>
      <c r="AC11400" s="1"/>
      <c r="AD11400" s="1"/>
      <c r="AE11400" s="1"/>
      <c r="AF11400" s="1"/>
      <c r="AG11400" s="1"/>
      <c r="AH11400" s="1"/>
    </row>
    <row r="11401" ht="12.75" hidden="1" customHeight="1" outlineLevel="1">
      <c r="A11401" s="202">
        <v>43657.0</v>
      </c>
      <c r="B11401" s="992"/>
      <c r="C11401" s="32" t="s">
        <v>961</v>
      </c>
      <c r="D11401" s="1"/>
      <c r="F11401" s="206" t="s">
        <v>3721</v>
      </c>
      <c r="G11401" s="207"/>
      <c r="H11401" s="208"/>
      <c r="I11401" s="209">
        <v>2.0</v>
      </c>
      <c r="K11401" s="9" t="s">
        <v>964</v>
      </c>
      <c r="L11401" s="77"/>
      <c r="M11401" s="79"/>
      <c r="N11401" s="1"/>
      <c r="O11401" s="1"/>
      <c r="P11401" s="1"/>
      <c r="Q11401" s="1"/>
      <c r="R11401" s="1"/>
      <c r="S11401" s="1"/>
      <c r="T11401" s="1"/>
      <c r="U11401" s="1"/>
      <c r="V11401" s="1"/>
      <c r="W11401" s="1"/>
      <c r="X11401" s="1"/>
      <c r="Y11401" s="1"/>
      <c r="Z11401" s="1"/>
      <c r="AA11401" s="1"/>
      <c r="AB11401" s="1"/>
      <c r="AC11401" s="1"/>
      <c r="AD11401" s="1"/>
      <c r="AE11401" s="1"/>
      <c r="AF11401" s="1"/>
      <c r="AG11401" s="1"/>
      <c r="AH11401" s="1"/>
    </row>
    <row r="11402" ht="12.75" hidden="1" customHeight="1" outlineLevel="1">
      <c r="A11402" s="197">
        <v>43659.0</v>
      </c>
      <c r="B11402" s="992"/>
      <c r="C11402" s="32" t="s">
        <v>947</v>
      </c>
      <c r="D11402" s="1"/>
      <c r="E11402" s="94" t="s">
        <v>948</v>
      </c>
      <c r="F11402" s="1056" t="s">
        <v>949</v>
      </c>
      <c r="G11402" s="87"/>
      <c r="H11402" s="199"/>
      <c r="I11402" s="200">
        <v>1.0</v>
      </c>
      <c r="K11402" s="201" t="s">
        <v>3913</v>
      </c>
      <c r="L11402" s="77"/>
      <c r="M11402" s="79"/>
      <c r="N11402" s="1"/>
      <c r="O11402" s="1"/>
      <c r="P11402" s="1"/>
      <c r="Q11402" s="1"/>
      <c r="R11402" s="1"/>
      <c r="S11402" s="1"/>
      <c r="T11402" s="1"/>
      <c r="U11402" s="1"/>
      <c r="V11402" s="1"/>
      <c r="W11402" s="1"/>
      <c r="X11402" s="1"/>
      <c r="Y11402" s="1"/>
      <c r="Z11402" s="1"/>
      <c r="AA11402" s="1"/>
      <c r="AB11402" s="1"/>
      <c r="AC11402" s="1"/>
      <c r="AD11402" s="1"/>
      <c r="AE11402" s="1"/>
      <c r="AF11402" s="1"/>
      <c r="AG11402" s="1"/>
      <c r="AH11402" s="1"/>
    </row>
    <row r="11403" ht="12.75" hidden="1" customHeight="1" outlineLevel="1">
      <c r="A11403" s="202">
        <v>43659.0</v>
      </c>
      <c r="B11403" s="992"/>
      <c r="C11403" s="32" t="s">
        <v>952</v>
      </c>
      <c r="D11403" s="1"/>
      <c r="F11403" s="1057" t="s">
        <v>953</v>
      </c>
      <c r="G11403" s="1"/>
      <c r="H11403" s="68"/>
      <c r="I11403" s="204">
        <v>0.0</v>
      </c>
      <c r="K11403" s="9" t="s">
        <v>3925</v>
      </c>
      <c r="L11403" s="77"/>
      <c r="M11403" s="79"/>
      <c r="N11403" s="1"/>
      <c r="O11403" s="1"/>
      <c r="P11403" s="1"/>
      <c r="Q11403" s="1"/>
      <c r="R11403" s="1"/>
      <c r="S11403" s="1"/>
      <c r="T11403" s="1"/>
      <c r="U11403" s="1"/>
      <c r="V11403" s="1"/>
      <c r="W11403" s="1"/>
      <c r="X11403" s="1"/>
      <c r="Y11403" s="1"/>
      <c r="Z11403" s="1"/>
      <c r="AA11403" s="1"/>
      <c r="AB11403" s="1"/>
      <c r="AC11403" s="1"/>
      <c r="AD11403" s="1"/>
      <c r="AE11403" s="1"/>
      <c r="AF11403" s="1"/>
      <c r="AG11403" s="1"/>
      <c r="AH11403" s="1"/>
    </row>
    <row r="11404" ht="12.75" hidden="1" customHeight="1" outlineLevel="1">
      <c r="A11404" s="202">
        <v>43659.0</v>
      </c>
      <c r="B11404" s="992"/>
      <c r="C11404" s="32" t="s">
        <v>955</v>
      </c>
      <c r="D11404" s="1"/>
      <c r="F11404" s="203" t="s">
        <v>956</v>
      </c>
      <c r="G11404" s="1"/>
      <c r="H11404" s="68"/>
      <c r="I11404" s="204">
        <v>0.0</v>
      </c>
      <c r="K11404" s="9" t="s">
        <v>3927</v>
      </c>
      <c r="L11404" s="77"/>
      <c r="M11404" s="79"/>
      <c r="N11404" s="1"/>
      <c r="O11404" s="1"/>
      <c r="P11404" s="1"/>
      <c r="Q11404" s="1"/>
      <c r="R11404" s="1"/>
      <c r="S11404" s="1"/>
      <c r="T11404" s="1"/>
      <c r="U11404" s="1"/>
      <c r="V11404" s="1"/>
      <c r="W11404" s="1"/>
      <c r="X11404" s="1"/>
      <c r="Y11404" s="1"/>
      <c r="Z11404" s="1"/>
      <c r="AA11404" s="1"/>
      <c r="AB11404" s="1"/>
      <c r="AC11404" s="1"/>
      <c r="AD11404" s="1"/>
      <c r="AE11404" s="1"/>
      <c r="AF11404" s="1"/>
      <c r="AG11404" s="1"/>
      <c r="AH11404" s="1"/>
    </row>
    <row r="11405" ht="12.75" hidden="1" customHeight="1" outlineLevel="1">
      <c r="A11405" s="202">
        <v>43659.0</v>
      </c>
      <c r="B11405" s="992"/>
      <c r="C11405" s="32" t="s">
        <v>958</v>
      </c>
      <c r="D11405" s="1"/>
      <c r="F11405" s="203" t="s">
        <v>959</v>
      </c>
      <c r="G11405" s="1"/>
      <c r="H11405" s="68"/>
      <c r="I11405" s="204">
        <v>1.0</v>
      </c>
      <c r="K11405" s="9" t="s">
        <v>3928</v>
      </c>
      <c r="L11405" s="77"/>
      <c r="M11405" s="79"/>
      <c r="N11405" s="1"/>
      <c r="O11405" s="1"/>
      <c r="P11405" s="1"/>
      <c r="Q11405" s="1"/>
      <c r="R11405" s="1"/>
      <c r="S11405" s="1"/>
      <c r="T11405" s="1"/>
      <c r="U11405" s="1"/>
      <c r="V11405" s="1"/>
      <c r="W11405" s="1"/>
      <c r="X11405" s="1"/>
      <c r="Y11405" s="1"/>
      <c r="Z11405" s="1"/>
      <c r="AA11405" s="1"/>
      <c r="AB11405" s="1"/>
      <c r="AC11405" s="1"/>
      <c r="AD11405" s="1"/>
      <c r="AE11405" s="1"/>
      <c r="AF11405" s="1"/>
      <c r="AG11405" s="1"/>
      <c r="AH11405" s="1"/>
    </row>
    <row r="11406" ht="12.75" hidden="1" customHeight="1" outlineLevel="1">
      <c r="A11406" s="202">
        <v>43659.0</v>
      </c>
      <c r="B11406" s="992"/>
      <c r="C11406" s="32" t="s">
        <v>961</v>
      </c>
      <c r="D11406" s="1"/>
      <c r="F11406" s="206" t="s">
        <v>3721</v>
      </c>
      <c r="G11406" s="207"/>
      <c r="H11406" s="208"/>
      <c r="I11406" s="209">
        <v>2.0</v>
      </c>
      <c r="K11406" s="9" t="s">
        <v>964</v>
      </c>
      <c r="L11406" s="77"/>
      <c r="M11406" s="79"/>
      <c r="N11406" s="1"/>
      <c r="O11406" s="1"/>
      <c r="P11406" s="1"/>
      <c r="Q11406" s="1"/>
      <c r="R11406" s="1"/>
      <c r="S11406" s="1"/>
      <c r="T11406" s="1"/>
      <c r="U11406" s="1"/>
      <c r="V11406" s="1"/>
      <c r="W11406" s="1"/>
      <c r="X11406" s="1"/>
      <c r="Y11406" s="1"/>
      <c r="Z11406" s="1"/>
      <c r="AA11406" s="1"/>
      <c r="AB11406" s="1"/>
      <c r="AC11406" s="1"/>
      <c r="AD11406" s="1"/>
      <c r="AE11406" s="1"/>
      <c r="AF11406" s="1"/>
      <c r="AG11406" s="1"/>
      <c r="AH11406" s="1"/>
    </row>
    <row r="11407" ht="12.75" hidden="1" customHeight="1" outlineLevel="1">
      <c r="A11407" s="197">
        <v>43662.0</v>
      </c>
      <c r="B11407" s="992"/>
      <c r="C11407" s="32" t="s">
        <v>947</v>
      </c>
      <c r="D11407" s="1"/>
      <c r="E11407" s="94" t="s">
        <v>948</v>
      </c>
      <c r="F11407" s="1056" t="s">
        <v>949</v>
      </c>
      <c r="G11407" s="87"/>
      <c r="H11407" s="199"/>
      <c r="I11407" s="200">
        <v>1.0</v>
      </c>
      <c r="K11407" s="201" t="s">
        <v>3929</v>
      </c>
      <c r="L11407" s="77"/>
      <c r="M11407" s="79"/>
      <c r="N11407" s="1"/>
      <c r="O11407" s="1"/>
      <c r="P11407" s="1"/>
      <c r="Q11407" s="1"/>
      <c r="R11407" s="1"/>
      <c r="S11407" s="1"/>
      <c r="T11407" s="1"/>
      <c r="U11407" s="1"/>
      <c r="V11407" s="1"/>
      <c r="W11407" s="1"/>
      <c r="X11407" s="1"/>
      <c r="Y11407" s="1"/>
      <c r="Z11407" s="1"/>
      <c r="AA11407" s="1"/>
      <c r="AB11407" s="1"/>
      <c r="AC11407" s="1"/>
      <c r="AD11407" s="1"/>
      <c r="AE11407" s="1"/>
      <c r="AF11407" s="1"/>
      <c r="AG11407" s="1"/>
      <c r="AH11407" s="1"/>
    </row>
    <row r="11408" ht="12.75" hidden="1" customHeight="1" outlineLevel="1">
      <c r="A11408" s="202">
        <v>43662.0</v>
      </c>
      <c r="B11408" s="992"/>
      <c r="C11408" s="32" t="s">
        <v>952</v>
      </c>
      <c r="D11408" s="1"/>
      <c r="F11408" s="1057" t="s">
        <v>953</v>
      </c>
      <c r="G11408" s="1"/>
      <c r="H11408" s="68"/>
      <c r="I11408" s="204">
        <v>0.0</v>
      </c>
      <c r="K11408" s="9" t="s">
        <v>3930</v>
      </c>
      <c r="L11408" s="77"/>
      <c r="M11408" s="79"/>
      <c r="N11408" s="1"/>
      <c r="O11408" s="1"/>
      <c r="P11408" s="1"/>
      <c r="Q11408" s="1"/>
      <c r="R11408" s="1"/>
      <c r="S11408" s="1"/>
      <c r="T11408" s="1"/>
      <c r="U11408" s="1"/>
      <c r="V11408" s="1"/>
      <c r="W11408" s="1"/>
      <c r="X11408" s="1"/>
      <c r="Y11408" s="1"/>
      <c r="Z11408" s="1"/>
      <c r="AA11408" s="1"/>
      <c r="AB11408" s="1"/>
      <c r="AC11408" s="1"/>
      <c r="AD11408" s="1"/>
      <c r="AE11408" s="1"/>
      <c r="AF11408" s="1"/>
      <c r="AG11408" s="1"/>
      <c r="AH11408" s="1"/>
    </row>
    <row r="11409" ht="12.75" hidden="1" customHeight="1" outlineLevel="1">
      <c r="A11409" s="202">
        <v>43662.0</v>
      </c>
      <c r="B11409" s="992"/>
      <c r="C11409" s="32" t="s">
        <v>955</v>
      </c>
      <c r="D11409" s="1"/>
      <c r="F11409" s="203" t="s">
        <v>956</v>
      </c>
      <c r="G11409" s="1"/>
      <c r="H11409" s="68"/>
      <c r="I11409" s="204">
        <v>0.0</v>
      </c>
      <c r="K11409" s="9" t="s">
        <v>3931</v>
      </c>
      <c r="L11409" s="77"/>
      <c r="M11409" s="79"/>
      <c r="N11409" s="1"/>
      <c r="O11409" s="1"/>
      <c r="P11409" s="1"/>
      <c r="Q11409" s="1"/>
      <c r="R11409" s="1"/>
      <c r="S11409" s="1"/>
      <c r="T11409" s="1"/>
      <c r="U11409" s="1"/>
      <c r="V11409" s="1"/>
      <c r="W11409" s="1"/>
      <c r="X11409" s="1"/>
      <c r="Y11409" s="1"/>
      <c r="Z11409" s="1"/>
      <c r="AA11409" s="1"/>
      <c r="AB11409" s="1"/>
      <c r="AC11409" s="1"/>
      <c r="AD11409" s="1"/>
      <c r="AE11409" s="1"/>
      <c r="AF11409" s="1"/>
      <c r="AG11409" s="1"/>
      <c r="AH11409" s="1"/>
    </row>
    <row r="11410" ht="12.75" hidden="1" customHeight="1" outlineLevel="1">
      <c r="A11410" s="202">
        <v>43662.0</v>
      </c>
      <c r="B11410" s="992"/>
      <c r="C11410" s="32" t="s">
        <v>958</v>
      </c>
      <c r="D11410" s="1"/>
      <c r="F11410" s="203" t="s">
        <v>959</v>
      </c>
      <c r="G11410" s="1"/>
      <c r="H11410" s="68"/>
      <c r="I11410" s="204">
        <v>1.0</v>
      </c>
      <c r="K11410" s="9" t="s">
        <v>3932</v>
      </c>
      <c r="L11410" s="77"/>
      <c r="M11410" s="79"/>
      <c r="N11410" s="1"/>
      <c r="O11410" s="1"/>
      <c r="P11410" s="1"/>
      <c r="Q11410" s="1"/>
      <c r="R11410" s="1"/>
      <c r="S11410" s="1"/>
      <c r="T11410" s="1"/>
      <c r="U11410" s="1"/>
      <c r="V11410" s="1"/>
      <c r="W11410" s="1"/>
      <c r="X11410" s="1"/>
      <c r="Y11410" s="1"/>
      <c r="Z11410" s="1"/>
      <c r="AA11410" s="1"/>
      <c r="AB11410" s="1"/>
      <c r="AC11410" s="1"/>
      <c r="AD11410" s="1"/>
      <c r="AE11410" s="1"/>
      <c r="AF11410" s="1"/>
      <c r="AG11410" s="1"/>
      <c r="AH11410" s="1"/>
    </row>
    <row r="11411" ht="12.75" hidden="1" customHeight="1" outlineLevel="1">
      <c r="A11411" s="202">
        <v>43662.0</v>
      </c>
      <c r="B11411" s="992"/>
      <c r="C11411" s="32" t="s">
        <v>961</v>
      </c>
      <c r="D11411" s="1"/>
      <c r="F11411" s="206" t="s">
        <v>3721</v>
      </c>
      <c r="G11411" s="207"/>
      <c r="H11411" s="208"/>
      <c r="I11411" s="209">
        <v>2.0</v>
      </c>
      <c r="K11411" s="9" t="s">
        <v>964</v>
      </c>
      <c r="L11411" s="77"/>
      <c r="M11411" s="79"/>
      <c r="N11411" s="1"/>
      <c r="O11411" s="1"/>
      <c r="P11411" s="1"/>
      <c r="Q11411" s="1"/>
      <c r="R11411" s="1"/>
      <c r="S11411" s="1"/>
      <c r="T11411" s="1"/>
      <c r="U11411" s="1"/>
      <c r="V11411" s="1"/>
      <c r="W11411" s="1"/>
      <c r="X11411" s="1"/>
      <c r="Y11411" s="1"/>
      <c r="Z11411" s="1"/>
      <c r="AA11411" s="1"/>
      <c r="AB11411" s="1"/>
      <c r="AC11411" s="1"/>
      <c r="AD11411" s="1"/>
      <c r="AE11411" s="1"/>
      <c r="AF11411" s="1"/>
      <c r="AG11411" s="1"/>
      <c r="AH11411" s="1"/>
    </row>
    <row r="11412" ht="12.75" hidden="1" customHeight="1" outlineLevel="1">
      <c r="A11412" s="202">
        <v>43664.0</v>
      </c>
      <c r="B11412" s="985" t="s">
        <v>347</v>
      </c>
      <c r="C11412" s="985" t="s">
        <v>381</v>
      </c>
      <c r="D11412" s="985">
        <v>50.0</v>
      </c>
      <c r="E11412" s="985">
        <v>200.145</v>
      </c>
      <c r="F11412" s="1058">
        <v>43664.57702546296</v>
      </c>
      <c r="G11412" s="1028" t="s">
        <v>453</v>
      </c>
      <c r="H11412" s="937">
        <v>1.21</v>
      </c>
      <c r="I11412" s="1029" t="s">
        <v>3145</v>
      </c>
      <c r="J11412" s="67">
        <f t="shared" ref="J11412:J11417" si="642">IF(B11412="SLD",D11412*E11412,-D11412*E11412)-H11412</f>
        <v>10006.04</v>
      </c>
      <c r="K11412" s="1"/>
      <c r="L11412" s="70"/>
      <c r="M11412" s="79"/>
      <c r="N11412" s="1"/>
      <c r="O11412" s="1"/>
      <c r="P11412" s="1"/>
      <c r="Q11412" s="1"/>
      <c r="R11412" s="1"/>
      <c r="S11412" s="1"/>
      <c r="T11412" s="1"/>
      <c r="U11412" s="1"/>
      <c r="V11412" s="1"/>
      <c r="W11412" s="1"/>
      <c r="X11412" s="1"/>
      <c r="Y11412" s="1"/>
      <c r="Z11412" s="1"/>
      <c r="AA11412" s="1"/>
      <c r="AB11412" s="1"/>
      <c r="AC11412" s="1"/>
      <c r="AD11412" s="1"/>
      <c r="AE11412" s="1"/>
      <c r="AF11412" s="1"/>
      <c r="AG11412" s="1"/>
      <c r="AH11412" s="1"/>
    </row>
    <row r="11413" ht="12.75" hidden="1" customHeight="1" outlineLevel="1">
      <c r="A11413" s="202">
        <v>43664.0</v>
      </c>
      <c r="B11413" s="985" t="s">
        <v>347</v>
      </c>
      <c r="C11413" s="985" t="s">
        <v>1035</v>
      </c>
      <c r="D11413" s="985">
        <v>5.0</v>
      </c>
      <c r="E11413" s="985">
        <v>1136.59</v>
      </c>
      <c r="F11413" s="1058">
        <v>43664.57827546296</v>
      </c>
      <c r="G11413" s="1028" t="s">
        <v>453</v>
      </c>
      <c r="H11413" s="937">
        <v>1.12</v>
      </c>
      <c r="I11413" s="1029" t="s">
        <v>3145</v>
      </c>
      <c r="J11413" s="67">
        <f t="shared" si="642"/>
        <v>5681.83</v>
      </c>
      <c r="K11413" s="1"/>
      <c r="L11413" s="70"/>
      <c r="M11413" s="79"/>
      <c r="N11413" s="1"/>
      <c r="O11413" s="1"/>
      <c r="P11413" s="1"/>
      <c r="Q11413" s="1"/>
      <c r="R11413" s="1"/>
      <c r="S11413" s="1"/>
      <c r="T11413" s="1"/>
      <c r="U11413" s="1"/>
      <c r="V11413" s="1"/>
      <c r="W11413" s="1"/>
      <c r="X11413" s="1"/>
      <c r="Y11413" s="1"/>
      <c r="Z11413" s="1"/>
      <c r="AA11413" s="1"/>
      <c r="AB11413" s="1"/>
      <c r="AC11413" s="1"/>
      <c r="AD11413" s="1"/>
      <c r="AE11413" s="1"/>
      <c r="AF11413" s="1"/>
      <c r="AG11413" s="1"/>
      <c r="AH11413" s="1"/>
    </row>
    <row r="11414" ht="12.75" hidden="1" customHeight="1" outlineLevel="1">
      <c r="A11414" s="202">
        <v>43664.0</v>
      </c>
      <c r="B11414" s="985" t="s">
        <v>347</v>
      </c>
      <c r="C11414" s="985" t="s">
        <v>1040</v>
      </c>
      <c r="D11414" s="985">
        <v>50.0</v>
      </c>
      <c r="E11414" s="985">
        <v>134.915</v>
      </c>
      <c r="F11414" s="1058">
        <v>43664.57896990741</v>
      </c>
      <c r="G11414" s="1028" t="s">
        <v>453</v>
      </c>
      <c r="H11414" s="937">
        <v>1.15</v>
      </c>
      <c r="I11414" s="1029" t="s">
        <v>3145</v>
      </c>
      <c r="J11414" s="67">
        <f t="shared" si="642"/>
        <v>6744.6</v>
      </c>
      <c r="K11414" s="1"/>
      <c r="L11414" s="70"/>
      <c r="M11414" s="79"/>
      <c r="N11414" s="1"/>
      <c r="O11414" s="1"/>
      <c r="P11414" s="1"/>
      <c r="Q11414" s="1"/>
      <c r="R11414" s="1"/>
      <c r="S11414" s="1"/>
      <c r="T11414" s="1"/>
      <c r="U11414" s="1"/>
      <c r="V11414" s="1"/>
      <c r="W11414" s="1"/>
      <c r="X11414" s="1"/>
      <c r="Y11414" s="1"/>
      <c r="Z11414" s="1"/>
      <c r="AA11414" s="1"/>
      <c r="AB11414" s="1"/>
      <c r="AC11414" s="1"/>
      <c r="AD11414" s="1"/>
      <c r="AE11414" s="1"/>
      <c r="AF11414" s="1"/>
      <c r="AG11414" s="1"/>
      <c r="AH11414" s="1"/>
    </row>
    <row r="11415" ht="12.75" hidden="1" customHeight="1" outlineLevel="1">
      <c r="A11415" s="202">
        <v>43664.0</v>
      </c>
      <c r="B11415" s="985" t="s">
        <v>347</v>
      </c>
      <c r="C11415" s="985" t="s">
        <v>1074</v>
      </c>
      <c r="D11415" s="985">
        <v>50.0</v>
      </c>
      <c r="E11415" s="985">
        <v>213.729</v>
      </c>
      <c r="F11415" s="1058">
        <v>43664.57912037037</v>
      </c>
      <c r="G11415" s="1028" t="s">
        <v>453</v>
      </c>
      <c r="H11415" s="937">
        <v>1.23</v>
      </c>
      <c r="I11415" s="1029" t="s">
        <v>3145</v>
      </c>
      <c r="J11415" s="67">
        <f t="shared" si="642"/>
        <v>10685.22</v>
      </c>
      <c r="K11415" s="1"/>
      <c r="L11415" s="70"/>
      <c r="M11415" s="79"/>
      <c r="N11415" s="1"/>
      <c r="O11415" s="1"/>
      <c r="P11415" s="1"/>
      <c r="Q11415" s="1"/>
      <c r="R11415" s="1"/>
      <c r="S11415" s="1"/>
      <c r="T11415" s="1"/>
      <c r="U11415" s="1"/>
      <c r="V11415" s="1"/>
      <c r="W11415" s="1"/>
      <c r="X11415" s="1"/>
      <c r="Y11415" s="1"/>
      <c r="Z11415" s="1"/>
      <c r="AA11415" s="1"/>
      <c r="AB11415" s="1"/>
      <c r="AC11415" s="1"/>
      <c r="AD11415" s="1"/>
      <c r="AE11415" s="1"/>
      <c r="AF11415" s="1"/>
      <c r="AG11415" s="1"/>
      <c r="AH11415" s="1"/>
    </row>
    <row r="11416" ht="12.75" hidden="1" customHeight="1" outlineLevel="1">
      <c r="A11416" s="202">
        <v>43664.0</v>
      </c>
      <c r="B11416" s="985" t="s">
        <v>347</v>
      </c>
      <c r="C11416" s="985" t="s">
        <v>1061</v>
      </c>
      <c r="D11416" s="985">
        <v>250.0</v>
      </c>
      <c r="E11416" s="985">
        <v>49.975</v>
      </c>
      <c r="F11416" s="1058">
        <v>43664.57943287037</v>
      </c>
      <c r="G11416" s="1028" t="s">
        <v>453</v>
      </c>
      <c r="H11416" s="937">
        <v>1.54</v>
      </c>
      <c r="I11416" s="1029" t="s">
        <v>3145</v>
      </c>
      <c r="J11416" s="67">
        <f t="shared" si="642"/>
        <v>12492.21</v>
      </c>
      <c r="K11416" s="1"/>
      <c r="L11416" s="70"/>
      <c r="M11416" s="79"/>
      <c r="N11416" s="1"/>
      <c r="O11416" s="1"/>
      <c r="P11416" s="1"/>
      <c r="Q11416" s="1"/>
      <c r="R11416" s="1"/>
      <c r="S11416" s="1"/>
      <c r="T11416" s="1"/>
      <c r="U11416" s="1"/>
      <c r="V11416" s="1"/>
      <c r="W11416" s="1"/>
      <c r="X11416" s="1"/>
      <c r="Y11416" s="1"/>
      <c r="Z11416" s="1"/>
      <c r="AA11416" s="1"/>
      <c r="AB11416" s="1"/>
      <c r="AC11416" s="1"/>
      <c r="AD11416" s="1"/>
      <c r="AE11416" s="1"/>
      <c r="AF11416" s="1"/>
      <c r="AG11416" s="1"/>
      <c r="AH11416" s="1"/>
    </row>
    <row r="11417" ht="12.75" hidden="1" customHeight="1" outlineLevel="1">
      <c r="A11417" s="202">
        <v>43664.0</v>
      </c>
      <c r="B11417" s="985" t="s">
        <v>347</v>
      </c>
      <c r="C11417" s="985" t="s">
        <v>1053</v>
      </c>
      <c r="D11417" s="985">
        <v>5.0</v>
      </c>
      <c r="E11417" s="985">
        <v>1957.385</v>
      </c>
      <c r="F11417" s="1058">
        <v>43664.57945601852</v>
      </c>
      <c r="G11417" s="1028" t="s">
        <v>453</v>
      </c>
      <c r="H11417" s="937">
        <v>1.2</v>
      </c>
      <c r="I11417" s="1029" t="s">
        <v>3145</v>
      </c>
      <c r="J11417" s="67">
        <f t="shared" si="642"/>
        <v>9785.725</v>
      </c>
      <c r="K11417" s="1"/>
      <c r="L11417" s="70"/>
      <c r="M11417" s="79"/>
      <c r="N11417" s="1"/>
      <c r="O11417" s="1"/>
      <c r="P11417" s="1"/>
      <c r="Q11417" s="1"/>
      <c r="R11417" s="1"/>
      <c r="S11417" s="1"/>
      <c r="T11417" s="1"/>
      <c r="U11417" s="1"/>
      <c r="V11417" s="1"/>
      <c r="W11417" s="1"/>
      <c r="X11417" s="1"/>
      <c r="Y11417" s="1"/>
      <c r="Z11417" s="1"/>
      <c r="AA11417" s="1"/>
      <c r="AB11417" s="1"/>
      <c r="AC11417" s="1"/>
      <c r="AD11417" s="1"/>
      <c r="AE11417" s="1"/>
      <c r="AF11417" s="1"/>
      <c r="AG11417" s="1"/>
      <c r="AH11417" s="1"/>
    </row>
    <row r="11418" ht="12.75" hidden="1" customHeight="1" outlineLevel="1">
      <c r="A11418" s="197">
        <v>43666.0</v>
      </c>
      <c r="B11418" s="992"/>
      <c r="C11418" s="32" t="s">
        <v>947</v>
      </c>
      <c r="D11418" s="1"/>
      <c r="E11418" s="94" t="s">
        <v>948</v>
      </c>
      <c r="F11418" s="1056" t="s">
        <v>949</v>
      </c>
      <c r="G11418" s="87"/>
      <c r="H11418" s="199"/>
      <c r="I11418" s="200">
        <v>1.0</v>
      </c>
      <c r="K11418" s="201" t="s">
        <v>3804</v>
      </c>
      <c r="L11418" s="77"/>
      <c r="M11418" s="79"/>
      <c r="N11418" s="1"/>
      <c r="O11418" s="1"/>
      <c r="P11418" s="1"/>
      <c r="Q11418" s="1"/>
      <c r="R11418" s="1"/>
      <c r="S11418" s="1"/>
      <c r="T11418" s="1"/>
      <c r="U11418" s="1"/>
      <c r="V11418" s="1"/>
      <c r="W11418" s="1"/>
      <c r="X11418" s="1"/>
      <c r="Y11418" s="1"/>
      <c r="Z11418" s="1"/>
      <c r="AA11418" s="1"/>
      <c r="AB11418" s="1"/>
      <c r="AC11418" s="1"/>
      <c r="AD11418" s="1"/>
      <c r="AE11418" s="1"/>
      <c r="AF11418" s="1"/>
      <c r="AG11418" s="1"/>
      <c r="AH11418" s="1"/>
    </row>
    <row r="11419" ht="12.75" hidden="1" customHeight="1" outlineLevel="1">
      <c r="A11419" s="202">
        <v>43666.0</v>
      </c>
      <c r="B11419" s="992"/>
      <c r="C11419" s="32" t="s">
        <v>952</v>
      </c>
      <c r="D11419" s="1"/>
      <c r="F11419" s="1057" t="s">
        <v>953</v>
      </c>
      <c r="G11419" s="1"/>
      <c r="H11419" s="68"/>
      <c r="I11419" s="204">
        <v>0.0</v>
      </c>
      <c r="K11419" s="9" t="s">
        <v>3933</v>
      </c>
      <c r="L11419" s="77"/>
      <c r="M11419" s="79"/>
      <c r="N11419" s="1"/>
      <c r="O11419" s="1"/>
      <c r="P11419" s="1"/>
      <c r="Q11419" s="1"/>
      <c r="R11419" s="1"/>
      <c r="S11419" s="1"/>
      <c r="T11419" s="1"/>
      <c r="U11419" s="1"/>
      <c r="V11419" s="1"/>
      <c r="W11419" s="1"/>
      <c r="X11419" s="1"/>
      <c r="Y11419" s="1"/>
      <c r="Z11419" s="1"/>
      <c r="AA11419" s="1"/>
      <c r="AB11419" s="1"/>
      <c r="AC11419" s="1"/>
      <c r="AD11419" s="1"/>
      <c r="AE11419" s="1"/>
      <c r="AF11419" s="1"/>
      <c r="AG11419" s="1"/>
      <c r="AH11419" s="1"/>
    </row>
    <row r="11420" ht="12.75" hidden="1" customHeight="1" outlineLevel="1">
      <c r="A11420" s="202">
        <v>43666.0</v>
      </c>
      <c r="B11420" s="992"/>
      <c r="C11420" s="32" t="s">
        <v>955</v>
      </c>
      <c r="D11420" s="1"/>
      <c r="F11420" s="203" t="s">
        <v>956</v>
      </c>
      <c r="G11420" s="1"/>
      <c r="H11420" s="68"/>
      <c r="I11420" s="204">
        <v>0.0</v>
      </c>
      <c r="K11420" s="9" t="s">
        <v>3934</v>
      </c>
      <c r="L11420" s="77"/>
      <c r="M11420" s="79"/>
      <c r="N11420" s="1"/>
      <c r="O11420" s="1"/>
      <c r="P11420" s="1"/>
      <c r="Q11420" s="1"/>
      <c r="R11420" s="1"/>
      <c r="S11420" s="1"/>
      <c r="T11420" s="1"/>
      <c r="U11420" s="1"/>
      <c r="V11420" s="1"/>
      <c r="W11420" s="1"/>
      <c r="X11420" s="1"/>
      <c r="Y11420" s="1"/>
      <c r="Z11420" s="1"/>
      <c r="AA11420" s="1"/>
      <c r="AB11420" s="1"/>
      <c r="AC11420" s="1"/>
      <c r="AD11420" s="1"/>
      <c r="AE11420" s="1"/>
      <c r="AF11420" s="1"/>
      <c r="AG11420" s="1"/>
      <c r="AH11420" s="1"/>
    </row>
    <row r="11421" ht="12.75" hidden="1" customHeight="1" outlineLevel="1">
      <c r="A11421" s="202">
        <v>43666.0</v>
      </c>
      <c r="B11421" s="992"/>
      <c r="C11421" s="32" t="s">
        <v>958</v>
      </c>
      <c r="D11421" s="1"/>
      <c r="F11421" s="203" t="s">
        <v>959</v>
      </c>
      <c r="G11421" s="1"/>
      <c r="H11421" s="68"/>
      <c r="I11421" s="204">
        <v>0.0</v>
      </c>
      <c r="K11421" s="9" t="s">
        <v>3935</v>
      </c>
      <c r="L11421" s="77"/>
      <c r="M11421" s="79"/>
      <c r="N11421" s="1"/>
      <c r="O11421" s="1"/>
      <c r="P11421" s="1"/>
      <c r="Q11421" s="1"/>
      <c r="R11421" s="1"/>
      <c r="S11421" s="1"/>
      <c r="T11421" s="1"/>
      <c r="U11421" s="1"/>
      <c r="V11421" s="1"/>
      <c r="W11421" s="1"/>
      <c r="X11421" s="1"/>
      <c r="Y11421" s="1"/>
      <c r="Z11421" s="1"/>
      <c r="AA11421" s="1"/>
      <c r="AB11421" s="1"/>
      <c r="AC11421" s="1"/>
      <c r="AD11421" s="1"/>
      <c r="AE11421" s="1"/>
      <c r="AF11421" s="1"/>
      <c r="AG11421" s="1"/>
      <c r="AH11421" s="1"/>
    </row>
    <row r="11422" ht="12.75" hidden="1" customHeight="1" outlineLevel="1">
      <c r="A11422" s="202">
        <v>43666.0</v>
      </c>
      <c r="B11422" s="992"/>
      <c r="C11422" s="32" t="s">
        <v>961</v>
      </c>
      <c r="D11422" s="1"/>
      <c r="F11422" s="206" t="s">
        <v>3721</v>
      </c>
      <c r="G11422" s="207"/>
      <c r="H11422" s="208"/>
      <c r="I11422" s="209">
        <v>1.0</v>
      </c>
      <c r="K11422" s="9" t="s">
        <v>964</v>
      </c>
      <c r="L11422" s="77"/>
      <c r="M11422" s="79"/>
      <c r="N11422" s="1"/>
      <c r="O11422" s="1"/>
      <c r="P11422" s="1"/>
      <c r="Q11422" s="1"/>
      <c r="R11422" s="1"/>
      <c r="S11422" s="1"/>
      <c r="T11422" s="1"/>
      <c r="U11422" s="1"/>
      <c r="V11422" s="1"/>
      <c r="W11422" s="1"/>
      <c r="X11422" s="1"/>
      <c r="Y11422" s="1"/>
      <c r="Z11422" s="1"/>
      <c r="AA11422" s="1"/>
      <c r="AB11422" s="1"/>
      <c r="AC11422" s="1"/>
      <c r="AD11422" s="1"/>
      <c r="AE11422" s="1"/>
      <c r="AF11422" s="1"/>
      <c r="AG11422" s="1"/>
      <c r="AH11422" s="1"/>
    </row>
    <row r="11423" ht="12.75" hidden="1" customHeight="1" outlineLevel="1">
      <c r="A11423" s="197">
        <v>43669.0</v>
      </c>
      <c r="B11423" s="992"/>
      <c r="C11423" s="32" t="s">
        <v>947</v>
      </c>
      <c r="D11423" s="1"/>
      <c r="E11423" s="94" t="s">
        <v>948</v>
      </c>
      <c r="F11423" s="1056" t="s">
        <v>949</v>
      </c>
      <c r="G11423" s="87"/>
      <c r="H11423" s="199"/>
      <c r="I11423" s="200">
        <v>1.0</v>
      </c>
      <c r="K11423" s="201" t="s">
        <v>3804</v>
      </c>
      <c r="L11423" s="77"/>
      <c r="M11423" s="79"/>
      <c r="N11423" s="1"/>
      <c r="O11423" s="1"/>
      <c r="P11423" s="1"/>
      <c r="Q11423" s="1"/>
      <c r="R11423" s="1"/>
      <c r="S11423" s="1"/>
      <c r="T11423" s="1"/>
      <c r="U11423" s="1"/>
      <c r="V11423" s="1"/>
      <c r="W11423" s="1"/>
      <c r="X11423" s="1"/>
      <c r="Y11423" s="1"/>
      <c r="Z11423" s="1"/>
      <c r="AA11423" s="1"/>
      <c r="AB11423" s="1"/>
      <c r="AC11423" s="1"/>
      <c r="AD11423" s="1"/>
      <c r="AE11423" s="1"/>
      <c r="AF11423" s="1"/>
      <c r="AG11423" s="1"/>
      <c r="AH11423" s="1"/>
    </row>
    <row r="11424" ht="12.75" hidden="1" customHeight="1" outlineLevel="1">
      <c r="A11424" s="202">
        <v>43669.0</v>
      </c>
      <c r="B11424" s="992"/>
      <c r="C11424" s="32" t="s">
        <v>952</v>
      </c>
      <c r="D11424" s="1"/>
      <c r="F11424" s="1057" t="s">
        <v>953</v>
      </c>
      <c r="G11424" s="1"/>
      <c r="H11424" s="68"/>
      <c r="I11424" s="204">
        <v>0.0</v>
      </c>
      <c r="K11424" s="9" t="s">
        <v>3933</v>
      </c>
      <c r="L11424" s="77"/>
      <c r="M11424" s="79"/>
      <c r="N11424" s="1"/>
      <c r="O11424" s="1"/>
      <c r="P11424" s="1"/>
      <c r="Q11424" s="1"/>
      <c r="R11424" s="1"/>
      <c r="S11424" s="1"/>
      <c r="T11424" s="1"/>
      <c r="U11424" s="1"/>
      <c r="V11424" s="1"/>
      <c r="W11424" s="1"/>
      <c r="X11424" s="1"/>
      <c r="Y11424" s="1"/>
      <c r="Z11424" s="1"/>
      <c r="AA11424" s="1"/>
      <c r="AB11424" s="1"/>
      <c r="AC11424" s="1"/>
      <c r="AD11424" s="1"/>
      <c r="AE11424" s="1"/>
      <c r="AF11424" s="1"/>
      <c r="AG11424" s="1"/>
      <c r="AH11424" s="1"/>
    </row>
    <row r="11425" ht="12.75" hidden="1" customHeight="1" outlineLevel="1">
      <c r="A11425" s="202">
        <v>43669.0</v>
      </c>
      <c r="B11425" s="992"/>
      <c r="C11425" s="32" t="s">
        <v>955</v>
      </c>
      <c r="D11425" s="1"/>
      <c r="F11425" s="203" t="s">
        <v>956</v>
      </c>
      <c r="G11425" s="1"/>
      <c r="H11425" s="68"/>
      <c r="I11425" s="204">
        <v>0.0</v>
      </c>
      <c r="K11425" s="9" t="s">
        <v>3936</v>
      </c>
      <c r="L11425" s="77"/>
      <c r="M11425" s="79"/>
      <c r="N11425" s="1"/>
      <c r="O11425" s="1"/>
      <c r="P11425" s="1"/>
      <c r="Q11425" s="1"/>
      <c r="R11425" s="1"/>
      <c r="S11425" s="1"/>
      <c r="T11425" s="1"/>
      <c r="U11425" s="1"/>
      <c r="V11425" s="1"/>
      <c r="W11425" s="1"/>
      <c r="X11425" s="1"/>
      <c r="Y11425" s="1"/>
      <c r="Z11425" s="1"/>
      <c r="AA11425" s="1"/>
      <c r="AB11425" s="1"/>
      <c r="AC11425" s="1"/>
      <c r="AD11425" s="1"/>
      <c r="AE11425" s="1"/>
      <c r="AF11425" s="1"/>
      <c r="AG11425" s="1"/>
      <c r="AH11425" s="1"/>
    </row>
    <row r="11426" ht="12.75" hidden="1" customHeight="1" outlineLevel="1">
      <c r="A11426" s="202">
        <v>43669.0</v>
      </c>
      <c r="B11426" s="992"/>
      <c r="C11426" s="32" t="s">
        <v>958</v>
      </c>
      <c r="D11426" s="1"/>
      <c r="F11426" s="203" t="s">
        <v>959</v>
      </c>
      <c r="G11426" s="1"/>
      <c r="H11426" s="68"/>
      <c r="I11426" s="204">
        <v>0.0</v>
      </c>
      <c r="K11426" s="9" t="s">
        <v>3937</v>
      </c>
      <c r="L11426" s="77"/>
      <c r="M11426" s="79"/>
      <c r="N11426" s="1"/>
      <c r="O11426" s="1"/>
      <c r="P11426" s="1"/>
      <c r="Q11426" s="1"/>
      <c r="R11426" s="1"/>
      <c r="S11426" s="1"/>
      <c r="T11426" s="1"/>
      <c r="U11426" s="1"/>
      <c r="V11426" s="1"/>
      <c r="W11426" s="1"/>
      <c r="X11426" s="1"/>
      <c r="Y11426" s="1"/>
      <c r="Z11426" s="1"/>
      <c r="AA11426" s="1"/>
      <c r="AB11426" s="1"/>
      <c r="AC11426" s="1"/>
      <c r="AD11426" s="1"/>
      <c r="AE11426" s="1"/>
      <c r="AF11426" s="1"/>
      <c r="AG11426" s="1"/>
      <c r="AH11426" s="1"/>
    </row>
    <row r="11427" ht="12.75" hidden="1" customHeight="1" outlineLevel="1">
      <c r="A11427" s="202">
        <v>43669.0</v>
      </c>
      <c r="B11427" s="992"/>
      <c r="C11427" s="32" t="s">
        <v>961</v>
      </c>
      <c r="D11427" s="1"/>
      <c r="F11427" s="206" t="s">
        <v>3721</v>
      </c>
      <c r="G11427" s="207"/>
      <c r="H11427" s="208"/>
      <c r="I11427" s="209">
        <v>1.0</v>
      </c>
      <c r="K11427" s="9" t="s">
        <v>964</v>
      </c>
      <c r="L11427" s="77"/>
      <c r="M11427" s="79"/>
      <c r="N11427" s="1"/>
      <c r="O11427" s="1"/>
      <c r="P11427" s="1"/>
      <c r="Q11427" s="1"/>
      <c r="R11427" s="1"/>
      <c r="S11427" s="1"/>
      <c r="T11427" s="1"/>
      <c r="U11427" s="1"/>
      <c r="V11427" s="1"/>
      <c r="W11427" s="1"/>
      <c r="X11427" s="1"/>
      <c r="Y11427" s="1"/>
      <c r="Z11427" s="1"/>
      <c r="AA11427" s="1"/>
      <c r="AB11427" s="1"/>
      <c r="AC11427" s="1"/>
      <c r="AD11427" s="1"/>
      <c r="AE11427" s="1"/>
      <c r="AF11427" s="1"/>
      <c r="AG11427" s="1"/>
      <c r="AH11427" s="1"/>
    </row>
    <row r="11428" ht="12.75" hidden="1" customHeight="1" outlineLevel="1">
      <c r="A11428" s="197">
        <v>43672.0</v>
      </c>
      <c r="B11428" s="992"/>
      <c r="C11428" s="32" t="s">
        <v>947</v>
      </c>
      <c r="D11428" s="1"/>
      <c r="E11428" s="94" t="s">
        <v>948</v>
      </c>
      <c r="F11428" s="1056" t="s">
        <v>949</v>
      </c>
      <c r="G11428" s="87"/>
      <c r="H11428" s="199"/>
      <c r="I11428" s="200">
        <v>1.0</v>
      </c>
      <c r="K11428" s="201" t="s">
        <v>3938</v>
      </c>
      <c r="L11428" s="77"/>
      <c r="M11428" s="79"/>
      <c r="N11428" s="1"/>
      <c r="O11428" s="1"/>
      <c r="P11428" s="1"/>
      <c r="Q11428" s="1"/>
      <c r="R11428" s="1"/>
      <c r="S11428" s="1"/>
      <c r="T11428" s="1"/>
      <c r="U11428" s="1"/>
      <c r="V11428" s="1"/>
      <c r="W11428" s="1"/>
      <c r="X11428" s="1"/>
      <c r="Y11428" s="1"/>
      <c r="Z11428" s="1"/>
      <c r="AA11428" s="1"/>
      <c r="AB11428" s="1"/>
      <c r="AC11428" s="1"/>
      <c r="AD11428" s="1"/>
      <c r="AE11428" s="1"/>
      <c r="AF11428" s="1"/>
      <c r="AG11428" s="1"/>
      <c r="AH11428" s="1"/>
    </row>
    <row r="11429" ht="12.75" hidden="1" customHeight="1" outlineLevel="1">
      <c r="A11429" s="202">
        <v>43672.0</v>
      </c>
      <c r="B11429" s="992"/>
      <c r="C11429" s="32" t="s">
        <v>952</v>
      </c>
      <c r="D11429" s="1"/>
      <c r="F11429" s="1057" t="s">
        <v>953</v>
      </c>
      <c r="G11429" s="1"/>
      <c r="H11429" s="68"/>
      <c r="I11429" s="204">
        <v>0.0</v>
      </c>
      <c r="K11429" s="9" t="s">
        <v>3939</v>
      </c>
      <c r="L11429" s="77"/>
      <c r="M11429" s="79"/>
      <c r="N11429" s="1"/>
      <c r="O11429" s="1"/>
      <c r="P11429" s="1"/>
      <c r="Q11429" s="1"/>
      <c r="R11429" s="1"/>
      <c r="S11429" s="1"/>
      <c r="T11429" s="1"/>
      <c r="U11429" s="1"/>
      <c r="V11429" s="1"/>
      <c r="W11429" s="1"/>
      <c r="X11429" s="1"/>
      <c r="Y11429" s="1"/>
      <c r="Z11429" s="1"/>
      <c r="AA11429" s="1"/>
      <c r="AB11429" s="1"/>
      <c r="AC11429" s="1"/>
      <c r="AD11429" s="1"/>
      <c r="AE11429" s="1"/>
      <c r="AF11429" s="1"/>
      <c r="AG11429" s="1"/>
      <c r="AH11429" s="1"/>
    </row>
    <row r="11430" ht="12.75" hidden="1" customHeight="1" outlineLevel="1">
      <c r="A11430" s="202">
        <v>43672.0</v>
      </c>
      <c r="B11430" s="992"/>
      <c r="C11430" s="32" t="s">
        <v>955</v>
      </c>
      <c r="D11430" s="1"/>
      <c r="F11430" s="203" t="s">
        <v>956</v>
      </c>
      <c r="G11430" s="1"/>
      <c r="H11430" s="68"/>
      <c r="I11430" s="204">
        <v>0.0</v>
      </c>
      <c r="K11430" s="9" t="s">
        <v>3940</v>
      </c>
      <c r="L11430" s="77"/>
      <c r="M11430" s="79"/>
      <c r="N11430" s="1"/>
      <c r="O11430" s="1"/>
      <c r="P11430" s="1"/>
      <c r="Q11430" s="1"/>
      <c r="R11430" s="1"/>
      <c r="S11430" s="1"/>
      <c r="T11430" s="1"/>
      <c r="U11430" s="1"/>
      <c r="V11430" s="1"/>
      <c r="W11430" s="1"/>
      <c r="X11430" s="1"/>
      <c r="Y11430" s="1"/>
      <c r="Z11430" s="1"/>
      <c r="AA11430" s="1"/>
      <c r="AB11430" s="1"/>
      <c r="AC11430" s="1"/>
      <c r="AD11430" s="1"/>
      <c r="AE11430" s="1"/>
      <c r="AF11430" s="1"/>
      <c r="AG11430" s="1"/>
      <c r="AH11430" s="1"/>
    </row>
    <row r="11431" ht="12.75" hidden="1" customHeight="1" outlineLevel="1">
      <c r="A11431" s="202">
        <v>43672.0</v>
      </c>
      <c r="B11431" s="992"/>
      <c r="C11431" s="32" t="s">
        <v>958</v>
      </c>
      <c r="D11431" s="1"/>
      <c r="F11431" s="203" t="s">
        <v>959</v>
      </c>
      <c r="G11431" s="1"/>
      <c r="H11431" s="68"/>
      <c r="I11431" s="204">
        <v>0.0</v>
      </c>
      <c r="K11431" s="9" t="s">
        <v>3941</v>
      </c>
      <c r="L11431" s="77"/>
      <c r="M11431" s="79"/>
      <c r="N11431" s="1"/>
      <c r="O11431" s="1"/>
      <c r="P11431" s="1"/>
      <c r="Q11431" s="1"/>
      <c r="R11431" s="1"/>
      <c r="S11431" s="1"/>
      <c r="T11431" s="1"/>
      <c r="U11431" s="1"/>
      <c r="V11431" s="1"/>
      <c r="W11431" s="1"/>
      <c r="X11431" s="1"/>
      <c r="Y11431" s="1"/>
      <c r="Z11431" s="1"/>
      <c r="AA11431" s="1"/>
      <c r="AB11431" s="1"/>
      <c r="AC11431" s="1"/>
      <c r="AD11431" s="1"/>
      <c r="AE11431" s="1"/>
      <c r="AF11431" s="1"/>
      <c r="AG11431" s="1"/>
      <c r="AH11431" s="1"/>
    </row>
    <row r="11432" ht="12.75" hidden="1" customHeight="1" outlineLevel="1">
      <c r="A11432" s="202">
        <v>43672.0</v>
      </c>
      <c r="B11432" s="992"/>
      <c r="C11432" s="32" t="s">
        <v>961</v>
      </c>
      <c r="D11432" s="1"/>
      <c r="F11432" s="206" t="s">
        <v>3721</v>
      </c>
      <c r="G11432" s="207"/>
      <c r="H11432" s="208"/>
      <c r="I11432" s="209">
        <v>1.0</v>
      </c>
      <c r="K11432" s="9" t="s">
        <v>964</v>
      </c>
      <c r="L11432" s="77"/>
      <c r="M11432" s="79"/>
      <c r="N11432" s="1"/>
      <c r="O11432" s="1"/>
      <c r="P11432" s="1"/>
      <c r="Q11432" s="1"/>
      <c r="R11432" s="1"/>
      <c r="S11432" s="1"/>
      <c r="T11432" s="1"/>
      <c r="U11432" s="1"/>
      <c r="V11432" s="1"/>
      <c r="W11432" s="1"/>
      <c r="X11432" s="1"/>
      <c r="Y11432" s="1"/>
      <c r="Z11432" s="1"/>
      <c r="AA11432" s="1"/>
      <c r="AB11432" s="1"/>
      <c r="AC11432" s="1"/>
      <c r="AD11432" s="1"/>
      <c r="AE11432" s="1"/>
      <c r="AF11432" s="1"/>
      <c r="AG11432" s="1"/>
      <c r="AH11432" s="1"/>
    </row>
    <row r="11433" ht="12.75" hidden="1" customHeight="1" outlineLevel="1">
      <c r="A11433" s="122">
        <v>43675.0</v>
      </c>
      <c r="B11433" s="974" t="s">
        <v>343</v>
      </c>
      <c r="C11433" s="32" t="s">
        <v>1056</v>
      </c>
      <c r="D11433" s="9">
        <v>35.0</v>
      </c>
      <c r="E11433" s="9">
        <v>387.1</v>
      </c>
      <c r="F11433" s="709">
        <v>0.472337962962963</v>
      </c>
      <c r="G11433" s="195" t="s">
        <v>453</v>
      </c>
      <c r="H11433" s="710">
        <v>1.0</v>
      </c>
      <c r="I11433" s="256" t="s">
        <v>3145</v>
      </c>
      <c r="J11433" s="67">
        <f t="shared" ref="J11433:J11434" si="643">IF(B11433="SLD",D11433*E11433,-D11433*E11433)-H11433</f>
        <v>-13549.5</v>
      </c>
      <c r="K11433" s="1"/>
      <c r="L11433" s="70"/>
      <c r="M11433" s="79"/>
      <c r="N11433" s="1"/>
      <c r="O11433" s="1"/>
      <c r="P11433" s="1"/>
      <c r="Q11433" s="1"/>
      <c r="R11433" s="1"/>
      <c r="S11433" s="1"/>
      <c r="T11433" s="1"/>
      <c r="U11433" s="1"/>
      <c r="V11433" s="1"/>
      <c r="W11433" s="1"/>
      <c r="X11433" s="1"/>
      <c r="Y11433" s="1"/>
      <c r="Z11433" s="1"/>
      <c r="AA11433" s="1"/>
      <c r="AB11433" s="1"/>
      <c r="AC11433" s="1"/>
      <c r="AD11433" s="1"/>
      <c r="AE11433" s="1"/>
      <c r="AF11433" s="1"/>
      <c r="AG11433" s="1"/>
      <c r="AH11433" s="1"/>
    </row>
    <row r="11434" ht="12.75" hidden="1" customHeight="1" outlineLevel="1">
      <c r="A11434" s="122">
        <v>43675.0</v>
      </c>
      <c r="B11434" s="974" t="s">
        <v>347</v>
      </c>
      <c r="C11434" s="32" t="s">
        <v>1215</v>
      </c>
      <c r="D11434" s="9">
        <v>500.0</v>
      </c>
      <c r="E11434" s="9">
        <v>41.18</v>
      </c>
      <c r="F11434" s="709">
        <v>0.4688541666666667</v>
      </c>
      <c r="G11434" s="195" t="s">
        <v>453</v>
      </c>
      <c r="H11434" s="710">
        <v>2.99</v>
      </c>
      <c r="I11434" s="256" t="s">
        <v>3145</v>
      </c>
      <c r="J11434" s="67">
        <f t="shared" si="643"/>
        <v>20587.01</v>
      </c>
      <c r="K11434" s="1"/>
      <c r="L11434" s="70"/>
      <c r="M11434" s="79"/>
      <c r="N11434" s="1"/>
      <c r="O11434" s="1"/>
      <c r="P11434" s="1"/>
      <c r="Q11434" s="1"/>
      <c r="R11434" s="1"/>
      <c r="S11434" s="1"/>
      <c r="T11434" s="1"/>
      <c r="U11434" s="1"/>
      <c r="V11434" s="1"/>
      <c r="W11434" s="1"/>
      <c r="X11434" s="1"/>
      <c r="Y11434" s="1"/>
      <c r="Z11434" s="1"/>
      <c r="AA11434" s="1"/>
      <c r="AB11434" s="1"/>
      <c r="AC11434" s="1"/>
      <c r="AD11434" s="1"/>
      <c r="AE11434" s="1"/>
      <c r="AF11434" s="1"/>
      <c r="AG11434" s="1"/>
      <c r="AH11434" s="1"/>
    </row>
    <row r="11435" ht="12.75" hidden="1" customHeight="1" outlineLevel="1">
      <c r="A11435" s="197">
        <v>43675.0</v>
      </c>
      <c r="B11435" s="992"/>
      <c r="C11435" s="32" t="s">
        <v>947</v>
      </c>
      <c r="D11435" s="1"/>
      <c r="E11435" s="94" t="s">
        <v>948</v>
      </c>
      <c r="F11435" s="1056" t="s">
        <v>949</v>
      </c>
      <c r="G11435" s="87"/>
      <c r="H11435" s="199"/>
      <c r="I11435" s="200">
        <v>1.0</v>
      </c>
      <c r="K11435" s="201" t="s">
        <v>3893</v>
      </c>
      <c r="L11435" s="77"/>
      <c r="M11435" s="79"/>
      <c r="N11435" s="1"/>
      <c r="O11435" s="1"/>
      <c r="P11435" s="1"/>
      <c r="Q11435" s="1"/>
      <c r="R11435" s="1"/>
      <c r="S11435" s="1"/>
      <c r="T11435" s="1"/>
      <c r="U11435" s="1"/>
      <c r="V11435" s="1"/>
      <c r="W11435" s="1"/>
      <c r="X11435" s="1"/>
      <c r="Y11435" s="1"/>
      <c r="Z11435" s="1"/>
      <c r="AA11435" s="1"/>
      <c r="AB11435" s="1"/>
      <c r="AC11435" s="1"/>
      <c r="AD11435" s="1"/>
      <c r="AE11435" s="1"/>
      <c r="AF11435" s="1"/>
      <c r="AG11435" s="1"/>
      <c r="AH11435" s="1"/>
    </row>
    <row r="11436" ht="12.75" hidden="1" customHeight="1" outlineLevel="1">
      <c r="A11436" s="202">
        <v>43675.0</v>
      </c>
      <c r="B11436" s="992"/>
      <c r="C11436" s="32" t="s">
        <v>952</v>
      </c>
      <c r="D11436" s="1"/>
      <c r="F11436" s="1057" t="s">
        <v>953</v>
      </c>
      <c r="G11436" s="1"/>
      <c r="H11436" s="68"/>
      <c r="I11436" s="204">
        <v>0.0</v>
      </c>
      <c r="K11436" s="9" t="s">
        <v>3942</v>
      </c>
      <c r="L11436" s="77"/>
      <c r="M11436" s="79"/>
      <c r="N11436" s="1"/>
      <c r="O11436" s="1"/>
      <c r="P11436" s="1"/>
      <c r="Q11436" s="1"/>
      <c r="R11436" s="1"/>
      <c r="S11436" s="1"/>
      <c r="T11436" s="1"/>
      <c r="U11436" s="1"/>
      <c r="V11436" s="1"/>
      <c r="W11436" s="1"/>
      <c r="X11436" s="1"/>
      <c r="Y11436" s="1"/>
      <c r="Z11436" s="1"/>
      <c r="AA11436" s="1"/>
      <c r="AB11436" s="1"/>
      <c r="AC11436" s="1"/>
      <c r="AD11436" s="1"/>
      <c r="AE11436" s="1"/>
      <c r="AF11436" s="1"/>
      <c r="AG11436" s="1"/>
      <c r="AH11436" s="1"/>
    </row>
    <row r="11437" ht="12.75" hidden="1" customHeight="1" outlineLevel="1">
      <c r="A11437" s="202">
        <v>43675.0</v>
      </c>
      <c r="B11437" s="992"/>
      <c r="C11437" s="32" t="s">
        <v>955</v>
      </c>
      <c r="D11437" s="1"/>
      <c r="F11437" s="203" t="s">
        <v>956</v>
      </c>
      <c r="G11437" s="1"/>
      <c r="H11437" s="68"/>
      <c r="I11437" s="204">
        <v>0.0</v>
      </c>
      <c r="K11437" s="9" t="s">
        <v>3943</v>
      </c>
      <c r="L11437" s="77"/>
      <c r="M11437" s="79"/>
      <c r="N11437" s="1"/>
      <c r="O11437" s="1"/>
      <c r="P11437" s="1"/>
      <c r="Q11437" s="1"/>
      <c r="R11437" s="1"/>
      <c r="S11437" s="1"/>
      <c r="T11437" s="1"/>
      <c r="U11437" s="1"/>
      <c r="V11437" s="1"/>
      <c r="W11437" s="1"/>
      <c r="X11437" s="1"/>
      <c r="Y11437" s="1"/>
      <c r="Z11437" s="1"/>
      <c r="AA11437" s="1"/>
      <c r="AB11437" s="1"/>
      <c r="AC11437" s="1"/>
      <c r="AD11437" s="1"/>
      <c r="AE11437" s="1"/>
      <c r="AF11437" s="1"/>
      <c r="AG11437" s="1"/>
      <c r="AH11437" s="1"/>
    </row>
    <row r="11438" ht="12.75" hidden="1" customHeight="1" outlineLevel="1">
      <c r="A11438" s="202">
        <v>43675.0</v>
      </c>
      <c r="B11438" s="992"/>
      <c r="C11438" s="32" t="s">
        <v>958</v>
      </c>
      <c r="D11438" s="1"/>
      <c r="F11438" s="203" t="s">
        <v>959</v>
      </c>
      <c r="G11438" s="1"/>
      <c r="H11438" s="68"/>
      <c r="I11438" s="204">
        <v>0.0</v>
      </c>
      <c r="K11438" s="9" t="s">
        <v>3944</v>
      </c>
      <c r="L11438" s="77"/>
      <c r="M11438" s="79"/>
      <c r="N11438" s="1"/>
      <c r="O11438" s="1"/>
      <c r="P11438" s="1"/>
      <c r="Q11438" s="1"/>
      <c r="R11438" s="1"/>
      <c r="S11438" s="1"/>
      <c r="T11438" s="1"/>
      <c r="U11438" s="1"/>
      <c r="V11438" s="1"/>
      <c r="W11438" s="1"/>
      <c r="X11438" s="1"/>
      <c r="Y11438" s="1"/>
      <c r="Z11438" s="1"/>
      <c r="AA11438" s="1"/>
      <c r="AB11438" s="1"/>
      <c r="AC11438" s="1"/>
      <c r="AD11438" s="1"/>
      <c r="AE11438" s="1"/>
      <c r="AF11438" s="1"/>
      <c r="AG11438" s="1"/>
      <c r="AH11438" s="1"/>
    </row>
    <row r="11439" ht="12.75" hidden="1" customHeight="1" outlineLevel="1">
      <c r="A11439" s="202">
        <v>43675.0</v>
      </c>
      <c r="B11439" s="992"/>
      <c r="C11439" s="32" t="s">
        <v>961</v>
      </c>
      <c r="D11439" s="1"/>
      <c r="F11439" s="206" t="s">
        <v>3721</v>
      </c>
      <c r="G11439" s="207"/>
      <c r="H11439" s="208"/>
      <c r="I11439" s="209">
        <v>1.0</v>
      </c>
      <c r="K11439" s="9" t="s">
        <v>964</v>
      </c>
      <c r="L11439" s="77"/>
      <c r="M11439" s="79"/>
      <c r="N11439" s="1"/>
      <c r="O11439" s="1"/>
      <c r="P11439" s="1"/>
      <c r="Q11439" s="1"/>
      <c r="R11439" s="1"/>
      <c r="S11439" s="1"/>
      <c r="T11439" s="1"/>
      <c r="U11439" s="1"/>
      <c r="V11439" s="1"/>
      <c r="W11439" s="1"/>
      <c r="X11439" s="1"/>
      <c r="Y11439" s="1"/>
      <c r="Z11439" s="1"/>
      <c r="AA11439" s="1"/>
      <c r="AB11439" s="1"/>
      <c r="AC11439" s="1"/>
      <c r="AD11439" s="1"/>
      <c r="AE11439" s="1"/>
      <c r="AF11439" s="1"/>
      <c r="AG11439" s="1"/>
      <c r="AH11439" s="1"/>
    </row>
    <row r="11440" ht="12.75" hidden="1" customHeight="1" outlineLevel="1">
      <c r="A11440" s="202">
        <v>43677.0</v>
      </c>
      <c r="B11440" s="985" t="s">
        <v>343</v>
      </c>
      <c r="C11440" s="985" t="s">
        <v>1079</v>
      </c>
      <c r="D11440" s="985">
        <v>100.0</v>
      </c>
      <c r="E11440" s="985">
        <v>137.84</v>
      </c>
      <c r="F11440" s="1027">
        <v>0.40349537037037037</v>
      </c>
      <c r="G11440" s="1028" t="s">
        <v>453</v>
      </c>
      <c r="H11440" s="937">
        <v>1.0</v>
      </c>
      <c r="I11440" s="1029" t="s">
        <v>3145</v>
      </c>
      <c r="J11440" s="67">
        <f t="shared" ref="J11440:J11443" si="644">IF(B11440="SLD",D11440*E11440,-D11440*E11440)-H11440</f>
        <v>-13785</v>
      </c>
      <c r="K11440" s="1"/>
      <c r="L11440" s="70"/>
      <c r="M11440" s="79"/>
      <c r="N11440" s="1"/>
      <c r="O11440" s="1"/>
      <c r="P11440" s="1"/>
      <c r="Q11440" s="1"/>
      <c r="R11440" s="1"/>
      <c r="S11440" s="1"/>
      <c r="T11440" s="1"/>
      <c r="U11440" s="1"/>
      <c r="V11440" s="1"/>
      <c r="W11440" s="1"/>
      <c r="X11440" s="1"/>
      <c r="Y11440" s="1"/>
      <c r="Z11440" s="1"/>
      <c r="AA11440" s="1"/>
      <c r="AB11440" s="1"/>
      <c r="AC11440" s="1"/>
      <c r="AD11440" s="1"/>
      <c r="AE11440" s="1"/>
      <c r="AF11440" s="1"/>
      <c r="AG11440" s="1"/>
      <c r="AH11440" s="1"/>
    </row>
    <row r="11441" ht="12.75" hidden="1" customHeight="1" outlineLevel="1">
      <c r="A11441" s="202">
        <v>43677.0</v>
      </c>
      <c r="B11441" s="985" t="s">
        <v>343</v>
      </c>
      <c r="C11441" s="985" t="s">
        <v>1119</v>
      </c>
      <c r="D11441" s="985">
        <v>100.0</v>
      </c>
      <c r="E11441" s="985">
        <v>81.47</v>
      </c>
      <c r="F11441" s="1027">
        <v>0.4444212962962963</v>
      </c>
      <c r="G11441" s="1028" t="s">
        <v>453</v>
      </c>
      <c r="H11441" s="937">
        <v>1.0</v>
      </c>
      <c r="I11441" s="1029" t="s">
        <v>3145</v>
      </c>
      <c r="J11441" s="67">
        <f t="shared" si="644"/>
        <v>-8148</v>
      </c>
      <c r="K11441" s="1"/>
      <c r="L11441" s="70"/>
      <c r="M11441" s="79"/>
      <c r="N11441" s="1"/>
      <c r="O11441" s="1"/>
      <c r="P11441" s="1"/>
      <c r="Q11441" s="1"/>
      <c r="R11441" s="1"/>
      <c r="S11441" s="1"/>
      <c r="T11441" s="1"/>
      <c r="U11441" s="1"/>
      <c r="V11441" s="1"/>
      <c r="W11441" s="1"/>
      <c r="X11441" s="1"/>
      <c r="Y11441" s="1"/>
      <c r="Z11441" s="1"/>
      <c r="AA11441" s="1"/>
      <c r="AB11441" s="1"/>
      <c r="AC11441" s="1"/>
      <c r="AD11441" s="1"/>
      <c r="AE11441" s="1"/>
      <c r="AF11441" s="1"/>
      <c r="AG11441" s="1"/>
      <c r="AH11441" s="1"/>
    </row>
    <row r="11442" ht="12.75" hidden="1" customHeight="1" outlineLevel="1">
      <c r="A11442" s="202">
        <v>43677.0</v>
      </c>
      <c r="B11442" s="985" t="s">
        <v>343</v>
      </c>
      <c r="C11442" s="985" t="s">
        <v>1088</v>
      </c>
      <c r="D11442" s="985">
        <v>2.0</v>
      </c>
      <c r="E11442" s="985">
        <v>3321.19</v>
      </c>
      <c r="F11442" s="1027">
        <v>0.4452083333333333</v>
      </c>
      <c r="G11442" s="1028" t="s">
        <v>453</v>
      </c>
      <c r="H11442" s="937">
        <v>1.0</v>
      </c>
      <c r="I11442" s="1029" t="s">
        <v>3145</v>
      </c>
      <c r="J11442" s="67">
        <f t="shared" si="644"/>
        <v>-6643.38</v>
      </c>
      <c r="K11442" s="1"/>
      <c r="L11442" s="70"/>
      <c r="M11442" s="79"/>
      <c r="N11442" s="1"/>
      <c r="O11442" s="1"/>
      <c r="P11442" s="1"/>
      <c r="Q11442" s="1"/>
      <c r="R11442" s="1"/>
      <c r="S11442" s="1"/>
      <c r="T11442" s="1"/>
      <c r="U11442" s="1"/>
      <c r="V11442" s="1"/>
      <c r="W11442" s="1"/>
      <c r="X11442" s="1"/>
      <c r="Y11442" s="1"/>
      <c r="Z11442" s="1"/>
      <c r="AA11442" s="1"/>
      <c r="AB11442" s="1"/>
      <c r="AC11442" s="1"/>
      <c r="AD11442" s="1"/>
      <c r="AE11442" s="1"/>
      <c r="AF11442" s="1"/>
      <c r="AG11442" s="1"/>
      <c r="AH11442" s="1"/>
    </row>
    <row r="11443" ht="12.75" hidden="1" customHeight="1" outlineLevel="1">
      <c r="A11443" s="202">
        <v>43677.0</v>
      </c>
      <c r="B11443" s="985" t="s">
        <v>343</v>
      </c>
      <c r="C11443" s="985" t="s">
        <v>1040</v>
      </c>
      <c r="D11443" s="985">
        <v>100.0</v>
      </c>
      <c r="E11443" s="985">
        <v>136.7252</v>
      </c>
      <c r="F11443" s="1027">
        <v>0.6227893518518518</v>
      </c>
      <c r="G11443" s="1028" t="s">
        <v>453</v>
      </c>
      <c r="H11443" s="937">
        <v>1.0</v>
      </c>
      <c r="I11443" s="1029" t="s">
        <v>3145</v>
      </c>
      <c r="J11443" s="67">
        <f t="shared" si="644"/>
        <v>-13673.52</v>
      </c>
      <c r="K11443" s="1"/>
      <c r="L11443" s="70"/>
      <c r="M11443" s="79"/>
      <c r="N11443" s="1"/>
      <c r="O11443" s="1"/>
      <c r="P11443" s="1"/>
      <c r="Q11443" s="1"/>
      <c r="R11443" s="1"/>
      <c r="S11443" s="1"/>
      <c r="T11443" s="1"/>
      <c r="U11443" s="1"/>
      <c r="V11443" s="1"/>
      <c r="W11443" s="1"/>
      <c r="X11443" s="1"/>
      <c r="Y11443" s="1"/>
      <c r="Z11443" s="1"/>
      <c r="AA11443" s="1"/>
      <c r="AB11443" s="1"/>
      <c r="AC11443" s="1"/>
      <c r="AD11443" s="1"/>
      <c r="AE11443" s="1"/>
      <c r="AF11443" s="1"/>
      <c r="AG11443" s="1"/>
      <c r="AH11443" s="1"/>
    </row>
    <row r="11444" ht="12.75" customHeight="1">
      <c r="A11444" s="197">
        <v>43678.0</v>
      </c>
      <c r="B11444" s="992"/>
      <c r="C11444" s="32" t="s">
        <v>947</v>
      </c>
      <c r="D11444" s="1"/>
      <c r="E11444" s="94" t="s">
        <v>948</v>
      </c>
      <c r="F11444" s="1056" t="s">
        <v>949</v>
      </c>
      <c r="G11444" s="87"/>
      <c r="H11444" s="199"/>
      <c r="I11444" s="200">
        <v>1.0</v>
      </c>
      <c r="K11444" s="201" t="s">
        <v>3893</v>
      </c>
      <c r="L11444" s="77"/>
      <c r="M11444" s="79"/>
      <c r="N11444" s="1"/>
      <c r="O11444" s="1"/>
      <c r="P11444" s="1"/>
      <c r="Q11444" s="1"/>
      <c r="R11444" s="1"/>
      <c r="S11444" s="1"/>
      <c r="T11444" s="1"/>
      <c r="U11444" s="1"/>
      <c r="V11444" s="1"/>
      <c r="W11444" s="1"/>
      <c r="X11444" s="1"/>
      <c r="Y11444" s="1"/>
      <c r="Z11444" s="1"/>
      <c r="AA11444" s="1"/>
      <c r="AB11444" s="1"/>
      <c r="AC11444" s="1"/>
      <c r="AD11444" s="1"/>
      <c r="AE11444" s="1"/>
      <c r="AF11444" s="1"/>
      <c r="AG11444" s="1"/>
      <c r="AH11444" s="1"/>
    </row>
    <row r="11445" ht="12.75" customHeight="1">
      <c r="A11445" s="202">
        <v>43678.0</v>
      </c>
      <c r="B11445" s="992"/>
      <c r="C11445" s="32" t="s">
        <v>952</v>
      </c>
      <c r="D11445" s="1"/>
      <c r="F11445" s="1057" t="s">
        <v>953</v>
      </c>
      <c r="G11445" s="1"/>
      <c r="H11445" s="68"/>
      <c r="I11445" s="204">
        <v>0.0</v>
      </c>
      <c r="K11445" s="9" t="s">
        <v>3945</v>
      </c>
      <c r="L11445" s="77"/>
      <c r="M11445" s="79"/>
      <c r="N11445" s="1"/>
      <c r="O11445" s="1"/>
      <c r="P11445" s="1"/>
      <c r="Q11445" s="1"/>
      <c r="R11445" s="1"/>
      <c r="S11445" s="1"/>
      <c r="T11445" s="1"/>
      <c r="U11445" s="1"/>
      <c r="V11445" s="1"/>
      <c r="W11445" s="1"/>
      <c r="X11445" s="1"/>
      <c r="Y11445" s="1"/>
      <c r="Z11445" s="1"/>
      <c r="AA11445" s="1"/>
      <c r="AB11445" s="1"/>
      <c r="AC11445" s="1"/>
      <c r="AD11445" s="1"/>
      <c r="AE11445" s="1"/>
      <c r="AF11445" s="1"/>
      <c r="AG11445" s="1"/>
      <c r="AH11445" s="1"/>
    </row>
    <row r="11446" ht="12.75" customHeight="1">
      <c r="A11446" s="202">
        <v>43678.0</v>
      </c>
      <c r="B11446" s="992"/>
      <c r="C11446" s="32" t="s">
        <v>955</v>
      </c>
      <c r="D11446" s="1"/>
      <c r="F11446" s="203" t="s">
        <v>956</v>
      </c>
      <c r="G11446" s="1"/>
      <c r="H11446" s="68"/>
      <c r="I11446" s="204">
        <v>0.0</v>
      </c>
      <c r="K11446" s="9" t="s">
        <v>3946</v>
      </c>
      <c r="L11446" s="77"/>
      <c r="M11446" s="79"/>
      <c r="N11446" s="1"/>
      <c r="O11446" s="1"/>
      <c r="P11446" s="1"/>
      <c r="Q11446" s="1"/>
      <c r="R11446" s="1"/>
      <c r="S11446" s="1"/>
      <c r="T11446" s="1"/>
      <c r="U11446" s="1"/>
      <c r="V11446" s="1"/>
      <c r="W11446" s="1"/>
      <c r="X11446" s="1"/>
      <c r="Y11446" s="1"/>
      <c r="Z11446" s="1"/>
      <c r="AA11446" s="1"/>
      <c r="AB11446" s="1"/>
      <c r="AC11446" s="1"/>
      <c r="AD11446" s="1"/>
      <c r="AE11446" s="1"/>
      <c r="AF11446" s="1"/>
      <c r="AG11446" s="1"/>
      <c r="AH11446" s="1"/>
    </row>
    <row r="11447" ht="12.75" customHeight="1">
      <c r="A11447" s="202">
        <v>43678.0</v>
      </c>
      <c r="B11447" s="992"/>
      <c r="C11447" s="32" t="s">
        <v>958</v>
      </c>
      <c r="D11447" s="1"/>
      <c r="F11447" s="203" t="s">
        <v>959</v>
      </c>
      <c r="G11447" s="1"/>
      <c r="H11447" s="68"/>
      <c r="I11447" s="204">
        <v>0.0</v>
      </c>
      <c r="K11447" s="9" t="s">
        <v>3947</v>
      </c>
      <c r="L11447" s="77"/>
      <c r="M11447" s="79"/>
      <c r="N11447" s="1"/>
      <c r="O11447" s="1"/>
      <c r="P11447" s="1"/>
      <c r="Q11447" s="1"/>
      <c r="R11447" s="1"/>
      <c r="S11447" s="1"/>
      <c r="T11447" s="1"/>
      <c r="U11447" s="1"/>
      <c r="V11447" s="1"/>
      <c r="W11447" s="1"/>
      <c r="X11447" s="1"/>
      <c r="Y11447" s="1"/>
      <c r="Z11447" s="1"/>
      <c r="AA11447" s="1"/>
      <c r="AB11447" s="1"/>
      <c r="AC11447" s="1"/>
      <c r="AD11447" s="1"/>
      <c r="AE11447" s="1"/>
      <c r="AF11447" s="1"/>
      <c r="AG11447" s="1"/>
      <c r="AH11447" s="1"/>
    </row>
    <row r="11448" ht="12.75" customHeight="1">
      <c r="A11448" s="202">
        <v>43678.0</v>
      </c>
      <c r="B11448" s="992"/>
      <c r="C11448" s="32" t="s">
        <v>961</v>
      </c>
      <c r="D11448" s="1"/>
      <c r="F11448" s="206" t="s">
        <v>3721</v>
      </c>
      <c r="G11448" s="207"/>
      <c r="H11448" s="208"/>
      <c r="I11448" s="209">
        <v>1.0</v>
      </c>
      <c r="K11448" s="9" t="s">
        <v>964</v>
      </c>
      <c r="L11448" s="77"/>
      <c r="M11448" s="79"/>
      <c r="N11448" s="1"/>
      <c r="O11448" s="1"/>
      <c r="P11448" s="1"/>
      <c r="Q11448" s="1"/>
      <c r="R11448" s="1"/>
      <c r="S11448" s="1"/>
      <c r="T11448" s="1"/>
      <c r="U11448" s="1"/>
      <c r="V11448" s="1"/>
      <c r="W11448" s="1"/>
      <c r="X11448" s="1"/>
      <c r="Y11448" s="1"/>
      <c r="Z11448" s="1"/>
      <c r="AA11448" s="1"/>
      <c r="AB11448" s="1"/>
      <c r="AC11448" s="1"/>
      <c r="AD11448" s="1"/>
      <c r="AE11448" s="1"/>
      <c r="AF11448" s="1"/>
      <c r="AG11448" s="1"/>
      <c r="AH11448" s="1"/>
    </row>
    <row r="11449" ht="12.75" customHeight="1">
      <c r="A11449" s="122">
        <v>43678.0</v>
      </c>
      <c r="B11449" s="974" t="s">
        <v>343</v>
      </c>
      <c r="C11449" s="32" t="s">
        <v>381</v>
      </c>
      <c r="D11449" s="9">
        <v>50.0</v>
      </c>
      <c r="E11449" s="9">
        <v>197.566</v>
      </c>
      <c r="F11449" s="1059">
        <v>43678.506064814814</v>
      </c>
      <c r="G11449" s="195" t="s">
        <v>453</v>
      </c>
      <c r="H11449" s="710">
        <v>1.0</v>
      </c>
      <c r="I11449" s="256" t="s">
        <v>3145</v>
      </c>
      <c r="J11449" s="67">
        <f t="shared" ref="J11449:J11450" si="645">IF(or(B11449="SLD",B11449="Rebal SLD"),D11449*E11449,-D11449*E11449)-H11449</f>
        <v>-9879.3</v>
      </c>
      <c r="K11449" s="1"/>
      <c r="L11449" s="70"/>
      <c r="M11449" s="79"/>
      <c r="N11449" s="1"/>
      <c r="O11449" s="1"/>
      <c r="P11449" s="1"/>
      <c r="Q11449" s="1"/>
      <c r="R11449" s="1"/>
      <c r="S11449" s="1"/>
      <c r="T11449" s="1"/>
      <c r="U11449" s="1"/>
      <c r="V11449" s="1"/>
      <c r="W11449" s="1"/>
      <c r="X11449" s="1"/>
      <c r="Y11449" s="1"/>
      <c r="Z11449" s="1"/>
      <c r="AA11449" s="1"/>
      <c r="AB11449" s="1"/>
      <c r="AC11449" s="1"/>
      <c r="AD11449" s="1"/>
      <c r="AE11449" s="1"/>
      <c r="AF11449" s="1"/>
      <c r="AG11449" s="1"/>
      <c r="AH11449" s="1"/>
    </row>
    <row r="11450" ht="12.75" customHeight="1">
      <c r="A11450" s="122">
        <v>43678.0</v>
      </c>
      <c r="B11450" s="974" t="s">
        <v>343</v>
      </c>
      <c r="C11450" s="32" t="s">
        <v>1053</v>
      </c>
      <c r="D11450" s="9">
        <v>5.0</v>
      </c>
      <c r="E11450" s="9">
        <v>1887.235</v>
      </c>
      <c r="F11450" s="1059">
        <v>43678.50515046297</v>
      </c>
      <c r="G11450" s="195" t="s">
        <v>453</v>
      </c>
      <c r="H11450" s="710">
        <v>1.0</v>
      </c>
      <c r="I11450" s="256" t="s">
        <v>3145</v>
      </c>
      <c r="J11450" s="67">
        <f t="shared" si="645"/>
        <v>-9437.175</v>
      </c>
      <c r="K11450" s="1"/>
      <c r="L11450" s="70"/>
      <c r="M11450" s="79"/>
      <c r="N11450" s="1"/>
      <c r="O11450" s="1"/>
      <c r="P11450" s="1"/>
      <c r="Q11450" s="1"/>
      <c r="R11450" s="1"/>
      <c r="S11450" s="1"/>
      <c r="T11450" s="1"/>
      <c r="U11450" s="1"/>
      <c r="V11450" s="1"/>
      <c r="W11450" s="1"/>
      <c r="X11450" s="1"/>
      <c r="Y11450" s="1"/>
      <c r="Z11450" s="1"/>
      <c r="AA11450" s="1"/>
      <c r="AB11450" s="1"/>
      <c r="AC11450" s="1"/>
      <c r="AD11450" s="1"/>
      <c r="AE11450" s="1"/>
      <c r="AF11450" s="1"/>
      <c r="AG11450" s="1"/>
      <c r="AH11450" s="1"/>
    </row>
    <row r="11451" ht="12.75" customHeight="1">
      <c r="A11451" s="197">
        <v>43679.0</v>
      </c>
      <c r="B11451" s="992"/>
      <c r="C11451" s="32" t="s">
        <v>947</v>
      </c>
      <c r="D11451" s="1"/>
      <c r="E11451" s="94" t="s">
        <v>948</v>
      </c>
      <c r="F11451" s="1056" t="s">
        <v>949</v>
      </c>
      <c r="G11451" s="87"/>
      <c r="H11451" s="199"/>
      <c r="I11451" s="200">
        <v>1.0</v>
      </c>
      <c r="K11451" s="201" t="s">
        <v>3948</v>
      </c>
      <c r="L11451" s="77"/>
      <c r="M11451" s="79"/>
      <c r="N11451" s="1"/>
      <c r="O11451" s="1"/>
      <c r="P11451" s="1"/>
      <c r="Q11451" s="1"/>
      <c r="R11451" s="1"/>
      <c r="S11451" s="1"/>
      <c r="T11451" s="1"/>
      <c r="U11451" s="1"/>
      <c r="V11451" s="1"/>
      <c r="W11451" s="1"/>
      <c r="X11451" s="1"/>
      <c r="Y11451" s="1"/>
      <c r="Z11451" s="1"/>
      <c r="AA11451" s="1"/>
      <c r="AB11451" s="1"/>
      <c r="AC11451" s="1"/>
      <c r="AD11451" s="1"/>
      <c r="AE11451" s="1"/>
      <c r="AF11451" s="1"/>
      <c r="AG11451" s="1"/>
      <c r="AH11451" s="1"/>
    </row>
    <row r="11452" ht="12.75" customHeight="1">
      <c r="A11452" s="202">
        <v>43679.0</v>
      </c>
      <c r="B11452" s="992"/>
      <c r="C11452" s="32" t="s">
        <v>952</v>
      </c>
      <c r="D11452" s="1"/>
      <c r="F11452" s="1057" t="s">
        <v>953</v>
      </c>
      <c r="G11452" s="1"/>
      <c r="H11452" s="68"/>
      <c r="I11452" s="204">
        <v>0.0</v>
      </c>
      <c r="K11452" s="9" t="s">
        <v>3945</v>
      </c>
      <c r="L11452" s="77"/>
      <c r="M11452" s="79"/>
      <c r="N11452" s="1"/>
      <c r="O11452" s="1"/>
      <c r="P11452" s="1"/>
      <c r="Q11452" s="1"/>
      <c r="R11452" s="1"/>
      <c r="S11452" s="1"/>
      <c r="T11452" s="1"/>
      <c r="U11452" s="1"/>
      <c r="V11452" s="1"/>
      <c r="W11452" s="1"/>
      <c r="X11452" s="1"/>
      <c r="Y11452" s="1"/>
      <c r="Z11452" s="1"/>
      <c r="AA11452" s="1"/>
      <c r="AB11452" s="1"/>
      <c r="AC11452" s="1"/>
      <c r="AD11452" s="1"/>
      <c r="AE11452" s="1"/>
      <c r="AF11452" s="1"/>
      <c r="AG11452" s="1"/>
      <c r="AH11452" s="1"/>
    </row>
    <row r="11453" ht="12.75" customHeight="1">
      <c r="A11453" s="202">
        <v>43679.0</v>
      </c>
      <c r="B11453" s="992"/>
      <c r="C11453" s="32" t="s">
        <v>955</v>
      </c>
      <c r="D11453" s="1"/>
      <c r="F11453" s="203" t="s">
        <v>956</v>
      </c>
      <c r="G11453" s="1"/>
      <c r="H11453" s="68"/>
      <c r="I11453" s="204">
        <v>0.0</v>
      </c>
      <c r="K11453" s="9" t="s">
        <v>3946</v>
      </c>
      <c r="L11453" s="77"/>
      <c r="M11453" s="79"/>
      <c r="N11453" s="1"/>
      <c r="O11453" s="1"/>
      <c r="P11453" s="1"/>
      <c r="Q11453" s="1"/>
      <c r="R11453" s="1"/>
      <c r="S11453" s="1"/>
      <c r="T11453" s="1"/>
      <c r="U11453" s="1"/>
      <c r="V11453" s="1"/>
      <c r="W11453" s="1"/>
      <c r="X11453" s="1"/>
      <c r="Y11453" s="1"/>
      <c r="Z11453" s="1"/>
      <c r="AA11453" s="1"/>
      <c r="AB11453" s="1"/>
      <c r="AC11453" s="1"/>
      <c r="AD11453" s="1"/>
      <c r="AE11453" s="1"/>
      <c r="AF11453" s="1"/>
      <c r="AG11453" s="1"/>
      <c r="AH11453" s="1"/>
    </row>
    <row r="11454" ht="12.75" customHeight="1">
      <c r="A11454" s="202">
        <v>43679.0</v>
      </c>
      <c r="B11454" s="992"/>
      <c r="C11454" s="32" t="s">
        <v>958</v>
      </c>
      <c r="D11454" s="1"/>
      <c r="F11454" s="203" t="s">
        <v>959</v>
      </c>
      <c r="G11454" s="1"/>
      <c r="H11454" s="68"/>
      <c r="I11454" s="204">
        <v>0.0</v>
      </c>
      <c r="K11454" s="9" t="s">
        <v>3947</v>
      </c>
      <c r="L11454" s="77"/>
      <c r="M11454" s="79"/>
      <c r="N11454" s="1"/>
      <c r="O11454" s="1"/>
      <c r="P11454" s="1"/>
      <c r="Q11454" s="1"/>
      <c r="R11454" s="1"/>
      <c r="S11454" s="1"/>
      <c r="T11454" s="1"/>
      <c r="U11454" s="1"/>
      <c r="V11454" s="1"/>
      <c r="W11454" s="1"/>
      <c r="X11454" s="1"/>
      <c r="Y11454" s="1"/>
      <c r="Z11454" s="1"/>
      <c r="AA11454" s="1"/>
      <c r="AB11454" s="1"/>
      <c r="AC11454" s="1"/>
      <c r="AD11454" s="1"/>
      <c r="AE11454" s="1"/>
      <c r="AF11454" s="1"/>
      <c r="AG11454" s="1"/>
      <c r="AH11454" s="1"/>
    </row>
    <row r="11455" ht="12.75" customHeight="1">
      <c r="A11455" s="202">
        <v>43679.0</v>
      </c>
      <c r="B11455" s="992"/>
      <c r="C11455" s="32" t="s">
        <v>961</v>
      </c>
      <c r="D11455" s="1"/>
      <c r="F11455" s="206" t="s">
        <v>3721</v>
      </c>
      <c r="G11455" s="207"/>
      <c r="H11455" s="208"/>
      <c r="I11455" s="209">
        <v>1.0</v>
      </c>
      <c r="K11455" s="9" t="s">
        <v>964</v>
      </c>
      <c r="L11455" s="77"/>
      <c r="M11455" s="79"/>
      <c r="N11455" s="1"/>
      <c r="O11455" s="1"/>
      <c r="P11455" s="1"/>
      <c r="Q11455" s="1"/>
      <c r="R11455" s="1"/>
      <c r="S11455" s="1"/>
      <c r="T11455" s="1"/>
      <c r="U11455" s="1"/>
      <c r="V11455" s="1"/>
      <c r="W11455" s="1"/>
      <c r="X11455" s="1"/>
      <c r="Y11455" s="1"/>
      <c r="Z11455" s="1"/>
      <c r="AA11455" s="1"/>
      <c r="AB11455" s="1"/>
      <c r="AC11455" s="1"/>
      <c r="AD11455" s="1"/>
      <c r="AE11455" s="1"/>
      <c r="AF11455" s="1"/>
      <c r="AG11455" s="1"/>
      <c r="AH11455" s="1"/>
    </row>
    <row r="11456" ht="12.75" customHeight="1">
      <c r="A11456" s="122">
        <v>43682.0</v>
      </c>
      <c r="B11456" s="974" t="s">
        <v>343</v>
      </c>
      <c r="C11456" s="32" t="s">
        <v>1537</v>
      </c>
      <c r="D11456" s="9">
        <v>250.0</v>
      </c>
      <c r="E11456" s="9">
        <v>18.158</v>
      </c>
      <c r="F11456" s="1059">
        <v>43682.641493055555</v>
      </c>
      <c r="G11456" s="195" t="s">
        <v>453</v>
      </c>
      <c r="H11456" s="710">
        <v>1.25</v>
      </c>
      <c r="I11456" s="256" t="s">
        <v>3145</v>
      </c>
      <c r="J11456" s="67">
        <f>IF(or(B11456="SLD",B11456="Rebal SLD"),D11456*E11456,-D11456*E11456)-H11456</f>
        <v>-4540.75</v>
      </c>
      <c r="K11456" s="1"/>
      <c r="L11456" s="70"/>
      <c r="M11456" s="79"/>
      <c r="N11456" s="1"/>
      <c r="O11456" s="1"/>
      <c r="P11456" s="1"/>
      <c r="Q11456" s="1"/>
      <c r="R11456" s="1"/>
      <c r="S11456" s="1"/>
      <c r="T11456" s="1"/>
      <c r="U11456" s="1"/>
      <c r="V11456" s="1"/>
      <c r="W11456" s="1"/>
      <c r="X11456" s="1"/>
      <c r="Y11456" s="1"/>
      <c r="Z11456" s="1"/>
      <c r="AA11456" s="1"/>
      <c r="AB11456" s="1"/>
      <c r="AC11456" s="1"/>
      <c r="AD11456" s="1"/>
      <c r="AE11456" s="1"/>
      <c r="AF11456" s="1"/>
      <c r="AG11456" s="1"/>
      <c r="AH11456" s="1"/>
    </row>
    <row r="11457" ht="12.75" customHeight="1">
      <c r="A11457" s="197">
        <v>43683.0</v>
      </c>
      <c r="B11457" s="992"/>
      <c r="C11457" s="32" t="s">
        <v>947</v>
      </c>
      <c r="D11457" s="1"/>
      <c r="E11457" s="94" t="s">
        <v>948</v>
      </c>
      <c r="F11457" s="1056" t="s">
        <v>949</v>
      </c>
      <c r="G11457" s="87"/>
      <c r="H11457" s="199"/>
      <c r="I11457" s="200">
        <v>1.0</v>
      </c>
      <c r="K11457" s="201" t="s">
        <v>3948</v>
      </c>
      <c r="L11457" s="77"/>
      <c r="M11457" s="79"/>
      <c r="N11457" s="1"/>
      <c r="O11457" s="1"/>
      <c r="P11457" s="1"/>
      <c r="Q11457" s="1"/>
      <c r="R11457" s="1"/>
      <c r="S11457" s="1"/>
      <c r="T11457" s="1"/>
      <c r="U11457" s="1"/>
      <c r="V11457" s="1"/>
      <c r="W11457" s="1"/>
      <c r="X11457" s="1"/>
      <c r="Y11457" s="1"/>
      <c r="Z11457" s="1"/>
      <c r="AA11457" s="1"/>
      <c r="AB11457" s="1"/>
      <c r="AC11457" s="1"/>
      <c r="AD11457" s="1"/>
      <c r="AE11457" s="1"/>
      <c r="AF11457" s="1"/>
      <c r="AG11457" s="1"/>
      <c r="AH11457" s="1"/>
    </row>
    <row r="11458" ht="12.75" customHeight="1">
      <c r="A11458" s="202">
        <v>43683.0</v>
      </c>
      <c r="B11458" s="992"/>
      <c r="C11458" s="32" t="s">
        <v>952</v>
      </c>
      <c r="D11458" s="1"/>
      <c r="F11458" s="1057" t="s">
        <v>953</v>
      </c>
      <c r="G11458" s="1"/>
      <c r="H11458" s="68"/>
      <c r="I11458" s="204">
        <v>0.0</v>
      </c>
      <c r="K11458" s="9" t="s">
        <v>3949</v>
      </c>
      <c r="L11458" s="77"/>
      <c r="M11458" s="79"/>
      <c r="N11458" s="1"/>
      <c r="O11458" s="1"/>
      <c r="P11458" s="1"/>
      <c r="Q11458" s="1"/>
      <c r="R11458" s="1"/>
      <c r="S11458" s="1"/>
      <c r="T11458" s="1"/>
      <c r="U11458" s="1"/>
      <c r="V11458" s="1"/>
      <c r="W11458" s="1"/>
      <c r="X11458" s="1"/>
      <c r="Y11458" s="1"/>
      <c r="Z11458" s="1"/>
      <c r="AA11458" s="1"/>
      <c r="AB11458" s="1"/>
      <c r="AC11458" s="1"/>
      <c r="AD11458" s="1"/>
      <c r="AE11458" s="1"/>
      <c r="AF11458" s="1"/>
      <c r="AG11458" s="1"/>
      <c r="AH11458" s="1"/>
    </row>
    <row r="11459" ht="12.75" customHeight="1">
      <c r="A11459" s="202">
        <v>43683.0</v>
      </c>
      <c r="B11459" s="992"/>
      <c r="C11459" s="32" t="s">
        <v>955</v>
      </c>
      <c r="D11459" s="1"/>
      <c r="F11459" s="203" t="s">
        <v>956</v>
      </c>
      <c r="G11459" s="1"/>
      <c r="H11459" s="68"/>
      <c r="I11459" s="204">
        <v>0.0</v>
      </c>
      <c r="K11459" s="9" t="s">
        <v>3950</v>
      </c>
      <c r="L11459" s="77"/>
      <c r="M11459" s="79"/>
      <c r="N11459" s="1"/>
      <c r="O11459" s="1"/>
      <c r="P11459" s="1"/>
      <c r="Q11459" s="1"/>
      <c r="R11459" s="1"/>
      <c r="S11459" s="1"/>
      <c r="T11459" s="1"/>
      <c r="U11459" s="1"/>
      <c r="V11459" s="1"/>
      <c r="W11459" s="1"/>
      <c r="X11459" s="1"/>
      <c r="Y11459" s="1"/>
      <c r="Z11459" s="1"/>
      <c r="AA11459" s="1"/>
      <c r="AB11459" s="1"/>
      <c r="AC11459" s="1"/>
      <c r="AD11459" s="1"/>
      <c r="AE11459" s="1"/>
      <c r="AF11459" s="1"/>
      <c r="AG11459" s="1"/>
      <c r="AH11459" s="1"/>
    </row>
    <row r="11460" ht="12.75" customHeight="1">
      <c r="A11460" s="202">
        <v>43683.0</v>
      </c>
      <c r="B11460" s="992"/>
      <c r="C11460" s="32" t="s">
        <v>958</v>
      </c>
      <c r="D11460" s="1"/>
      <c r="F11460" s="203" t="s">
        <v>959</v>
      </c>
      <c r="G11460" s="1"/>
      <c r="H11460" s="68"/>
      <c r="I11460" s="204">
        <v>0.0</v>
      </c>
      <c r="K11460" s="9" t="s">
        <v>3951</v>
      </c>
      <c r="L11460" s="77"/>
      <c r="M11460" s="79"/>
      <c r="N11460" s="1"/>
      <c r="O11460" s="1"/>
      <c r="P11460" s="1"/>
      <c r="Q11460" s="1"/>
      <c r="R11460" s="1"/>
      <c r="S11460" s="1"/>
      <c r="T11460" s="1"/>
      <c r="U11460" s="1"/>
      <c r="V11460" s="1"/>
      <c r="W11460" s="1"/>
      <c r="X11460" s="1"/>
      <c r="Y11460" s="1"/>
      <c r="Z11460" s="1"/>
      <c r="AA11460" s="1"/>
      <c r="AB11460" s="1"/>
      <c r="AC11460" s="1"/>
      <c r="AD11460" s="1"/>
      <c r="AE11460" s="1"/>
      <c r="AF11460" s="1"/>
      <c r="AG11460" s="1"/>
      <c r="AH11460" s="1"/>
    </row>
    <row r="11461" ht="12.75" customHeight="1">
      <c r="A11461" s="202">
        <v>43683.0</v>
      </c>
      <c r="B11461" s="992"/>
      <c r="C11461" s="32" t="s">
        <v>961</v>
      </c>
      <c r="D11461" s="1"/>
      <c r="F11461" s="206" t="s">
        <v>3721</v>
      </c>
      <c r="G11461" s="207"/>
      <c r="H11461" s="208"/>
      <c r="I11461" s="209">
        <v>1.0</v>
      </c>
      <c r="K11461" s="9" t="s">
        <v>964</v>
      </c>
      <c r="L11461" s="77"/>
      <c r="M11461" s="79"/>
      <c r="N11461" s="1"/>
      <c r="O11461" s="1"/>
      <c r="P11461" s="1"/>
      <c r="Q11461" s="1"/>
      <c r="R11461" s="1"/>
      <c r="S11461" s="1"/>
      <c r="T11461" s="1"/>
      <c r="U11461" s="1"/>
      <c r="V11461" s="1"/>
      <c r="W11461" s="1"/>
      <c r="X11461" s="1"/>
      <c r="Y11461" s="1"/>
      <c r="Z11461" s="1"/>
      <c r="AA11461" s="1"/>
      <c r="AB11461" s="1"/>
      <c r="AC11461" s="1"/>
      <c r="AD11461" s="1"/>
      <c r="AE11461" s="1"/>
      <c r="AF11461" s="1"/>
      <c r="AG11461" s="1"/>
      <c r="AH11461" s="1"/>
    </row>
    <row r="11462" ht="12.75" customHeight="1">
      <c r="A11462" s="122">
        <v>43685.0</v>
      </c>
      <c r="B11462" s="974" t="s">
        <v>343</v>
      </c>
      <c r="C11462" s="32" t="s">
        <v>1106</v>
      </c>
      <c r="D11462" s="9">
        <v>100.0</v>
      </c>
      <c r="E11462" s="9">
        <v>177.11</v>
      </c>
      <c r="F11462" s="709">
        <v>0.4075925925925926</v>
      </c>
      <c r="G11462" s="195" t="s">
        <v>453</v>
      </c>
      <c r="H11462" s="710">
        <v>1.0</v>
      </c>
      <c r="I11462" s="256" t="s">
        <v>3145</v>
      </c>
      <c r="J11462" s="67">
        <f t="shared" ref="J11462:J11467" si="646">IF(or(B11462="SLD",B11462="Rebal SLD"),D11462*E11462,-D11462*E11462)-H11462</f>
        <v>-17712</v>
      </c>
      <c r="K11462" s="1"/>
      <c r="L11462" s="70"/>
      <c r="M11462" s="79"/>
      <c r="N11462" s="1"/>
      <c r="O11462" s="1"/>
      <c r="P11462" s="1"/>
      <c r="Q11462" s="1"/>
      <c r="R11462" s="1"/>
      <c r="S11462" s="1"/>
      <c r="T11462" s="1"/>
      <c r="U11462" s="1"/>
      <c r="V11462" s="1"/>
      <c r="W11462" s="1"/>
      <c r="X11462" s="1"/>
      <c r="Y11462" s="1"/>
      <c r="Z11462" s="1"/>
      <c r="AA11462" s="1"/>
      <c r="AB11462" s="1"/>
      <c r="AC11462" s="1"/>
      <c r="AD11462" s="1"/>
      <c r="AE11462" s="1"/>
      <c r="AF11462" s="1"/>
      <c r="AG11462" s="1"/>
      <c r="AH11462" s="1"/>
    </row>
    <row r="11463" ht="12.75" customHeight="1">
      <c r="A11463" s="122">
        <v>43685.0</v>
      </c>
      <c r="B11463" s="974" t="s">
        <v>343</v>
      </c>
      <c r="C11463" s="32" t="s">
        <v>388</v>
      </c>
      <c r="D11463" s="9">
        <v>60.0</v>
      </c>
      <c r="E11463" s="9">
        <v>272.78</v>
      </c>
      <c r="F11463" s="709">
        <v>0.4077546296296296</v>
      </c>
      <c r="G11463" s="195" t="s">
        <v>453</v>
      </c>
      <c r="H11463" s="710">
        <v>1.0</v>
      </c>
      <c r="I11463" s="256" t="s">
        <v>3145</v>
      </c>
      <c r="J11463" s="67">
        <f t="shared" si="646"/>
        <v>-16367.8</v>
      </c>
      <c r="K11463" s="1"/>
      <c r="L11463" s="70"/>
      <c r="M11463" s="79"/>
      <c r="N11463" s="1"/>
      <c r="O11463" s="1"/>
      <c r="P11463" s="1"/>
      <c r="Q11463" s="1"/>
      <c r="R11463" s="1"/>
      <c r="S11463" s="1"/>
      <c r="T11463" s="1"/>
      <c r="U11463" s="1"/>
      <c r="V11463" s="1"/>
      <c r="W11463" s="1"/>
      <c r="X11463" s="1"/>
      <c r="Y11463" s="1"/>
      <c r="Z11463" s="1"/>
      <c r="AA11463" s="1"/>
      <c r="AB11463" s="1"/>
      <c r="AC11463" s="1"/>
      <c r="AD11463" s="1"/>
      <c r="AE11463" s="1"/>
      <c r="AF11463" s="1"/>
      <c r="AG11463" s="1"/>
      <c r="AH11463" s="1"/>
    </row>
    <row r="11464" ht="12.75" customHeight="1">
      <c r="A11464" s="122">
        <v>43685.0</v>
      </c>
      <c r="B11464" s="974" t="s">
        <v>347</v>
      </c>
      <c r="C11464" s="32" t="s">
        <v>1067</v>
      </c>
      <c r="D11464" s="9">
        <v>100.0</v>
      </c>
      <c r="E11464" s="9">
        <v>246.249</v>
      </c>
      <c r="F11464" s="709">
        <v>0.6116550925925925</v>
      </c>
      <c r="G11464" s="195" t="s">
        <v>453</v>
      </c>
      <c r="H11464" s="710">
        <v>1.52</v>
      </c>
      <c r="I11464" s="256" t="s">
        <v>3145</v>
      </c>
      <c r="J11464" s="67">
        <f t="shared" si="646"/>
        <v>24623.38</v>
      </c>
      <c r="K11464" s="1"/>
      <c r="L11464" s="70"/>
      <c r="M11464" s="79"/>
      <c r="N11464" s="1"/>
      <c r="O11464" s="1"/>
      <c r="P11464" s="1"/>
      <c r="Q11464" s="1"/>
      <c r="R11464" s="1"/>
      <c r="S11464" s="1"/>
      <c r="T11464" s="1"/>
      <c r="U11464" s="1"/>
      <c r="V11464" s="1"/>
      <c r="W11464" s="1"/>
      <c r="X11464" s="1"/>
      <c r="Y11464" s="1"/>
      <c r="Z11464" s="1"/>
      <c r="AA11464" s="1"/>
      <c r="AB11464" s="1"/>
      <c r="AC11464" s="1"/>
      <c r="AD11464" s="1"/>
      <c r="AE11464" s="1"/>
      <c r="AF11464" s="1"/>
      <c r="AG11464" s="1"/>
      <c r="AH11464" s="1"/>
    </row>
    <row r="11465" ht="12.75" customHeight="1">
      <c r="A11465" s="122">
        <v>43685.0</v>
      </c>
      <c r="B11465" s="974" t="s">
        <v>347</v>
      </c>
      <c r="C11465" s="32" t="s">
        <v>847</v>
      </c>
      <c r="D11465" s="9">
        <v>150.0</v>
      </c>
      <c r="E11465" s="9">
        <v>165.982</v>
      </c>
      <c r="F11465" s="709">
        <v>0.6118055555555556</v>
      </c>
      <c r="G11465" s="195" t="s">
        <v>453</v>
      </c>
      <c r="H11465" s="710">
        <v>1.53</v>
      </c>
      <c r="I11465" s="256" t="s">
        <v>3145</v>
      </c>
      <c r="J11465" s="67">
        <f t="shared" si="646"/>
        <v>24895.77</v>
      </c>
      <c r="K11465" s="1"/>
      <c r="L11465" s="70"/>
      <c r="M11465" s="79"/>
      <c r="N11465" s="1"/>
      <c r="O11465" s="1"/>
      <c r="P11465" s="1"/>
      <c r="Q11465" s="1"/>
      <c r="R11465" s="1"/>
      <c r="S11465" s="1"/>
      <c r="T11465" s="1"/>
      <c r="U11465" s="1"/>
      <c r="V11465" s="1"/>
      <c r="W11465" s="1"/>
      <c r="X11465" s="1"/>
      <c r="Y11465" s="1"/>
      <c r="Z11465" s="1"/>
      <c r="AA11465" s="1"/>
      <c r="AB11465" s="1"/>
      <c r="AC11465" s="1"/>
      <c r="AD11465" s="1"/>
      <c r="AE11465" s="1"/>
      <c r="AF11465" s="1"/>
      <c r="AG11465" s="1"/>
      <c r="AH11465" s="1"/>
    </row>
    <row r="11466" ht="12.75" customHeight="1">
      <c r="A11466" s="122">
        <v>43685.0</v>
      </c>
      <c r="B11466" s="974" t="s">
        <v>347</v>
      </c>
      <c r="C11466" s="32" t="s">
        <v>1167</v>
      </c>
      <c r="D11466" s="9">
        <v>250.0</v>
      </c>
      <c r="E11466" s="9">
        <v>126.49</v>
      </c>
      <c r="F11466" s="709">
        <v>0.6118518518518519</v>
      </c>
      <c r="G11466" s="195" t="s">
        <v>453</v>
      </c>
      <c r="H11466" s="710">
        <v>1.93</v>
      </c>
      <c r="I11466" s="256" t="s">
        <v>3145</v>
      </c>
      <c r="J11466" s="67">
        <f t="shared" si="646"/>
        <v>31620.57</v>
      </c>
      <c r="K11466" s="1"/>
      <c r="L11466" s="70"/>
      <c r="M11466" s="79"/>
      <c r="N11466" s="1"/>
      <c r="O11466" s="1"/>
      <c r="P11466" s="1"/>
      <c r="Q11466" s="1"/>
      <c r="R11466" s="1"/>
      <c r="S11466" s="1"/>
      <c r="T11466" s="1"/>
      <c r="U11466" s="1"/>
      <c r="V11466" s="1"/>
      <c r="W11466" s="1"/>
      <c r="X11466" s="1"/>
      <c r="Y11466" s="1"/>
      <c r="Z11466" s="1"/>
      <c r="AA11466" s="1"/>
      <c r="AB11466" s="1"/>
      <c r="AC11466" s="1"/>
      <c r="AD11466" s="1"/>
      <c r="AE11466" s="1"/>
      <c r="AF11466" s="1"/>
      <c r="AG11466" s="1"/>
      <c r="AH11466" s="1"/>
    </row>
    <row r="11467" ht="12.75" customHeight="1">
      <c r="A11467" s="122">
        <v>43685.0</v>
      </c>
      <c r="B11467" s="974" t="s">
        <v>347</v>
      </c>
      <c r="C11467" s="32" t="s">
        <v>605</v>
      </c>
      <c r="D11467" s="9">
        <v>100.0</v>
      </c>
      <c r="E11467" s="9">
        <v>99.91</v>
      </c>
      <c r="F11467" s="709">
        <v>0.6172106481481482</v>
      </c>
      <c r="G11467" s="195" t="s">
        <v>453</v>
      </c>
      <c r="H11467" s="710">
        <v>1.22</v>
      </c>
      <c r="I11467" s="256" t="s">
        <v>3145</v>
      </c>
      <c r="J11467" s="67">
        <f t="shared" si="646"/>
        <v>9989.78</v>
      </c>
      <c r="K11467" s="1"/>
      <c r="L11467" s="70"/>
      <c r="M11467" s="79"/>
      <c r="N11467" s="1"/>
      <c r="O11467" s="1"/>
      <c r="P11467" s="1"/>
      <c r="Q11467" s="1"/>
      <c r="R11467" s="1"/>
      <c r="S11467" s="1"/>
      <c r="T11467" s="1"/>
      <c r="U11467" s="1"/>
      <c r="V11467" s="1"/>
      <c r="W11467" s="1"/>
      <c r="X11467" s="1"/>
      <c r="Y11467" s="1"/>
      <c r="Z11467" s="1"/>
      <c r="AA11467" s="1"/>
      <c r="AB11467" s="1"/>
      <c r="AC11467" s="1"/>
      <c r="AD11467" s="1"/>
      <c r="AE11467" s="1"/>
      <c r="AF11467" s="1"/>
      <c r="AG11467" s="1"/>
      <c r="AH11467" s="1"/>
    </row>
    <row r="11468" ht="12.75" customHeight="1">
      <c r="A11468" s="197">
        <v>43686.0</v>
      </c>
      <c r="B11468" s="992"/>
      <c r="C11468" s="32" t="s">
        <v>947</v>
      </c>
      <c r="D11468" s="1"/>
      <c r="E11468" s="94" t="s">
        <v>948</v>
      </c>
      <c r="F11468" s="1056" t="s">
        <v>949</v>
      </c>
      <c r="G11468" s="87"/>
      <c r="H11468" s="199"/>
      <c r="I11468" s="200">
        <v>1.0</v>
      </c>
      <c r="K11468" s="201" t="s">
        <v>3948</v>
      </c>
      <c r="L11468" s="77"/>
      <c r="M11468" s="79"/>
      <c r="N11468" s="1"/>
      <c r="O11468" s="1"/>
      <c r="P11468" s="1"/>
      <c r="Q11468" s="1"/>
      <c r="R11468" s="1"/>
      <c r="S11468" s="1"/>
      <c r="T11468" s="1"/>
      <c r="U11468" s="1"/>
      <c r="V11468" s="1"/>
      <c r="W11468" s="1"/>
      <c r="X11468" s="1"/>
      <c r="Y11468" s="1"/>
      <c r="Z11468" s="1"/>
      <c r="AA11468" s="1"/>
      <c r="AB11468" s="1"/>
      <c r="AC11468" s="1"/>
      <c r="AD11468" s="1"/>
      <c r="AE11468" s="1"/>
      <c r="AF11468" s="1"/>
      <c r="AG11468" s="1"/>
      <c r="AH11468" s="1"/>
    </row>
    <row r="11469" ht="12.75" customHeight="1">
      <c r="A11469" s="202">
        <v>43686.0</v>
      </c>
      <c r="B11469" s="992"/>
      <c r="C11469" s="32" t="s">
        <v>952</v>
      </c>
      <c r="D11469" s="1"/>
      <c r="F11469" s="1057" t="s">
        <v>953</v>
      </c>
      <c r="G11469" s="1"/>
      <c r="H11469" s="68"/>
      <c r="I11469" s="204">
        <v>0.0</v>
      </c>
      <c r="K11469" s="9" t="s">
        <v>3949</v>
      </c>
      <c r="L11469" s="77"/>
      <c r="M11469" s="79"/>
      <c r="N11469" s="1"/>
      <c r="O11469" s="1"/>
      <c r="P11469" s="1"/>
      <c r="Q11469" s="1"/>
      <c r="R11469" s="1"/>
      <c r="S11469" s="1"/>
      <c r="T11469" s="1"/>
      <c r="U11469" s="1"/>
      <c r="V11469" s="1"/>
      <c r="W11469" s="1"/>
      <c r="X11469" s="1"/>
      <c r="Y11469" s="1"/>
      <c r="Z11469" s="1"/>
      <c r="AA11469" s="1"/>
      <c r="AB11469" s="1"/>
      <c r="AC11469" s="1"/>
      <c r="AD11469" s="1"/>
      <c r="AE11469" s="1"/>
      <c r="AF11469" s="1"/>
      <c r="AG11469" s="1"/>
      <c r="AH11469" s="1"/>
    </row>
    <row r="11470" ht="12.75" customHeight="1">
      <c r="A11470" s="202">
        <v>43686.0</v>
      </c>
      <c r="B11470" s="992"/>
      <c r="C11470" s="32" t="s">
        <v>955</v>
      </c>
      <c r="D11470" s="1"/>
      <c r="F11470" s="203" t="s">
        <v>956</v>
      </c>
      <c r="G11470" s="1"/>
      <c r="H11470" s="68"/>
      <c r="I11470" s="204">
        <v>0.0</v>
      </c>
      <c r="K11470" s="9" t="s">
        <v>3950</v>
      </c>
      <c r="L11470" s="77"/>
      <c r="M11470" s="79"/>
      <c r="N11470" s="1"/>
      <c r="O11470" s="1"/>
      <c r="P11470" s="1"/>
      <c r="Q11470" s="1"/>
      <c r="R11470" s="1"/>
      <c r="S11470" s="1"/>
      <c r="T11470" s="1"/>
      <c r="U11470" s="1"/>
      <c r="V11470" s="1"/>
      <c r="W11470" s="1"/>
      <c r="X11470" s="1"/>
      <c r="Y11470" s="1"/>
      <c r="Z11470" s="1"/>
      <c r="AA11470" s="1"/>
      <c r="AB11470" s="1"/>
      <c r="AC11470" s="1"/>
      <c r="AD11470" s="1"/>
      <c r="AE11470" s="1"/>
      <c r="AF11470" s="1"/>
      <c r="AG11470" s="1"/>
      <c r="AH11470" s="1"/>
    </row>
    <row r="11471" ht="12.75" customHeight="1">
      <c r="A11471" s="202">
        <v>43686.0</v>
      </c>
      <c r="B11471" s="992"/>
      <c r="C11471" s="32" t="s">
        <v>958</v>
      </c>
      <c r="D11471" s="1"/>
      <c r="F11471" s="203" t="s">
        <v>959</v>
      </c>
      <c r="G11471" s="1"/>
      <c r="H11471" s="68"/>
      <c r="I11471" s="204">
        <v>0.0</v>
      </c>
      <c r="K11471" s="9" t="s">
        <v>3951</v>
      </c>
      <c r="L11471" s="77"/>
      <c r="M11471" s="79"/>
      <c r="N11471" s="1"/>
      <c r="O11471" s="1"/>
      <c r="P11471" s="1"/>
      <c r="Q11471" s="1"/>
      <c r="R11471" s="1"/>
      <c r="S11471" s="1"/>
      <c r="T11471" s="1"/>
      <c r="U11471" s="1"/>
      <c r="V11471" s="1"/>
      <c r="W11471" s="1"/>
      <c r="X11471" s="1"/>
      <c r="Y11471" s="1"/>
      <c r="Z11471" s="1"/>
      <c r="AA11471" s="1"/>
      <c r="AB11471" s="1"/>
      <c r="AC11471" s="1"/>
      <c r="AD11471" s="1"/>
      <c r="AE11471" s="1"/>
      <c r="AF11471" s="1"/>
      <c r="AG11471" s="1"/>
      <c r="AH11471" s="1"/>
    </row>
    <row r="11472" ht="12.75" customHeight="1">
      <c r="A11472" s="202">
        <v>43686.0</v>
      </c>
      <c r="B11472" s="992"/>
      <c r="C11472" s="32" t="s">
        <v>961</v>
      </c>
      <c r="D11472" s="1"/>
      <c r="F11472" s="206" t="s">
        <v>3721</v>
      </c>
      <c r="G11472" s="207"/>
      <c r="H11472" s="208"/>
      <c r="I11472" s="209">
        <v>1.0</v>
      </c>
      <c r="K11472" s="9" t="s">
        <v>964</v>
      </c>
      <c r="L11472" s="77"/>
      <c r="M11472" s="79"/>
      <c r="N11472" s="1"/>
      <c r="O11472" s="1"/>
      <c r="P11472" s="1"/>
      <c r="Q11472" s="1"/>
      <c r="R11472" s="1"/>
      <c r="S11472" s="1"/>
      <c r="T11472" s="1"/>
      <c r="U11472" s="1"/>
      <c r="V11472" s="1"/>
      <c r="W11472" s="1"/>
      <c r="X11472" s="1"/>
      <c r="Y11472" s="1"/>
      <c r="Z11472" s="1"/>
      <c r="AA11472" s="1"/>
      <c r="AB11472" s="1"/>
      <c r="AC11472" s="1"/>
      <c r="AD11472" s="1"/>
      <c r="AE11472" s="1"/>
      <c r="AF11472" s="1"/>
      <c r="AG11472" s="1"/>
      <c r="AH11472" s="1"/>
    </row>
    <row r="11473" ht="12.75" customHeight="1">
      <c r="A11473" s="122">
        <v>43686.0</v>
      </c>
      <c r="B11473" s="974" t="s">
        <v>343</v>
      </c>
      <c r="C11473" s="32" t="s">
        <v>847</v>
      </c>
      <c r="D11473" s="9">
        <v>150.0</v>
      </c>
      <c r="E11473" s="9">
        <v>170.4</v>
      </c>
      <c r="F11473" s="1059">
        <v>43686.645844907405</v>
      </c>
      <c r="G11473" s="195" t="s">
        <v>453</v>
      </c>
      <c r="H11473" s="710">
        <v>1.0</v>
      </c>
      <c r="I11473" s="256" t="s">
        <v>3145</v>
      </c>
      <c r="J11473" s="67">
        <f t="shared" ref="J11473:J11475" si="647">IF(or(B11473="SLD",B11473="Rebal SLD"),D11473*E11473,-D11473*E11473)-H11473</f>
        <v>-25561</v>
      </c>
      <c r="K11473" s="1"/>
      <c r="L11473" s="70"/>
      <c r="M11473" s="79"/>
      <c r="N11473" s="1"/>
      <c r="O11473" s="1"/>
      <c r="P11473" s="1"/>
      <c r="Q11473" s="1"/>
      <c r="R11473" s="1"/>
      <c r="S11473" s="1"/>
      <c r="T11473" s="1"/>
      <c r="U11473" s="1"/>
      <c r="V11473" s="1"/>
      <c r="W11473" s="1"/>
      <c r="X11473" s="1"/>
      <c r="Y11473" s="1"/>
      <c r="Z11473" s="1"/>
      <c r="AA11473" s="1"/>
      <c r="AB11473" s="1"/>
      <c r="AC11473" s="1"/>
      <c r="AD11473" s="1"/>
      <c r="AE11473" s="1"/>
      <c r="AF11473" s="1"/>
      <c r="AG11473" s="1"/>
      <c r="AH11473" s="1"/>
    </row>
    <row r="11474" ht="12.75" customHeight="1">
      <c r="A11474" s="122">
        <v>43686.0</v>
      </c>
      <c r="B11474" s="974" t="s">
        <v>343</v>
      </c>
      <c r="C11474" s="32" t="s">
        <v>1067</v>
      </c>
      <c r="D11474" s="9">
        <v>100.0</v>
      </c>
      <c r="E11474" s="9">
        <v>249.335</v>
      </c>
      <c r="F11474" s="1059">
        <v>43686.646157407406</v>
      </c>
      <c r="G11474" s="195" t="s">
        <v>453</v>
      </c>
      <c r="H11474" s="710">
        <v>1.0</v>
      </c>
      <c r="I11474" s="256" t="s">
        <v>3145</v>
      </c>
      <c r="J11474" s="67">
        <f t="shared" si="647"/>
        <v>-24934.5</v>
      </c>
      <c r="K11474" s="1"/>
      <c r="L11474" s="70"/>
      <c r="M11474" s="79"/>
      <c r="N11474" s="1"/>
      <c r="O11474" s="1"/>
      <c r="P11474" s="1"/>
      <c r="Q11474" s="1"/>
      <c r="R11474" s="1"/>
      <c r="S11474" s="1"/>
      <c r="T11474" s="1"/>
      <c r="U11474" s="1"/>
      <c r="V11474" s="1"/>
      <c r="W11474" s="1"/>
      <c r="X11474" s="1"/>
      <c r="Y11474" s="1"/>
      <c r="Z11474" s="1"/>
      <c r="AA11474" s="1"/>
      <c r="AB11474" s="1"/>
      <c r="AC11474" s="1"/>
      <c r="AD11474" s="1"/>
      <c r="AE11474" s="1"/>
      <c r="AF11474" s="1"/>
      <c r="AG11474" s="1"/>
      <c r="AH11474" s="1"/>
    </row>
    <row r="11475" ht="12.75" customHeight="1">
      <c r="A11475" s="122">
        <v>43686.0</v>
      </c>
      <c r="B11475" s="974" t="s">
        <v>347</v>
      </c>
      <c r="C11475" s="32" t="s">
        <v>1150</v>
      </c>
      <c r="D11475" s="9">
        <v>150.0</v>
      </c>
      <c r="E11475" s="9">
        <v>40.52</v>
      </c>
      <c r="F11475" s="1059">
        <v>43686.64858796296</v>
      </c>
      <c r="G11475" s="195" t="s">
        <v>453</v>
      </c>
      <c r="H11475" s="710">
        <v>1.14</v>
      </c>
      <c r="I11475" s="256" t="s">
        <v>3145</v>
      </c>
      <c r="J11475" s="67">
        <f t="shared" si="647"/>
        <v>6076.86</v>
      </c>
      <c r="K11475" s="1"/>
      <c r="L11475" s="70"/>
      <c r="M11475" s="79"/>
      <c r="N11475" s="1"/>
      <c r="O11475" s="1"/>
      <c r="P11475" s="1"/>
      <c r="Q11475" s="1"/>
      <c r="R11475" s="1"/>
      <c r="S11475" s="1"/>
      <c r="T11475" s="1"/>
      <c r="U11475" s="1"/>
      <c r="V11475" s="1"/>
      <c r="W11475" s="1"/>
      <c r="X11475" s="1"/>
      <c r="Y11475" s="1"/>
      <c r="Z11475" s="1"/>
      <c r="AA11475" s="1"/>
      <c r="AB11475" s="1"/>
      <c r="AC11475" s="1"/>
      <c r="AD11475" s="1"/>
      <c r="AE11475" s="1"/>
      <c r="AF11475" s="1"/>
      <c r="AG11475" s="1"/>
      <c r="AH11475" s="1"/>
    </row>
    <row r="11476" ht="12.75" customHeight="1">
      <c r="A11476" s="197">
        <v>43687.0</v>
      </c>
      <c r="B11476" s="992"/>
      <c r="C11476" s="32" t="s">
        <v>947</v>
      </c>
      <c r="D11476" s="1"/>
      <c r="E11476" s="94" t="s">
        <v>948</v>
      </c>
      <c r="F11476" s="1056" t="s">
        <v>949</v>
      </c>
      <c r="G11476" s="87"/>
      <c r="H11476" s="199"/>
      <c r="I11476" s="200">
        <v>1.0</v>
      </c>
      <c r="K11476" s="201" t="s">
        <v>3893</v>
      </c>
      <c r="L11476" s="77"/>
      <c r="M11476" s="79"/>
      <c r="N11476" s="1"/>
      <c r="O11476" s="1"/>
      <c r="P11476" s="1"/>
      <c r="Q11476" s="1"/>
      <c r="R11476" s="1"/>
      <c r="S11476" s="1"/>
      <c r="T11476" s="1"/>
      <c r="U11476" s="1"/>
      <c r="V11476" s="1"/>
      <c r="W11476" s="1"/>
      <c r="X11476" s="1"/>
      <c r="Y11476" s="1"/>
      <c r="Z11476" s="1"/>
      <c r="AA11476" s="1"/>
      <c r="AB11476" s="1"/>
      <c r="AC11476" s="1"/>
      <c r="AD11476" s="1"/>
      <c r="AE11476" s="1"/>
      <c r="AF11476" s="1"/>
      <c r="AG11476" s="1"/>
      <c r="AH11476" s="1"/>
    </row>
    <row r="11477" ht="12.75" customHeight="1">
      <c r="A11477" s="202">
        <v>43687.0</v>
      </c>
      <c r="B11477" s="992"/>
      <c r="C11477" s="32" t="s">
        <v>952</v>
      </c>
      <c r="D11477" s="1"/>
      <c r="F11477" s="1057" t="s">
        <v>953</v>
      </c>
      <c r="G11477" s="1"/>
      <c r="H11477" s="68"/>
      <c r="I11477" s="204">
        <v>0.0</v>
      </c>
      <c r="K11477" s="9" t="s">
        <v>3952</v>
      </c>
      <c r="L11477" s="77"/>
      <c r="M11477" s="79"/>
      <c r="N11477" s="1"/>
      <c r="O11477" s="1"/>
      <c r="P11477" s="1"/>
      <c r="Q11477" s="1"/>
      <c r="R11477" s="1"/>
      <c r="S11477" s="1"/>
      <c r="T11477" s="1"/>
      <c r="U11477" s="1"/>
      <c r="V11477" s="1"/>
      <c r="W11477" s="1"/>
      <c r="X11477" s="1"/>
      <c r="Y11477" s="1"/>
      <c r="Z11477" s="1"/>
      <c r="AA11477" s="1"/>
      <c r="AB11477" s="1"/>
      <c r="AC11477" s="1"/>
      <c r="AD11477" s="1"/>
      <c r="AE11477" s="1"/>
      <c r="AF11477" s="1"/>
      <c r="AG11477" s="1"/>
      <c r="AH11477" s="1"/>
    </row>
    <row r="11478" ht="12.75" customHeight="1">
      <c r="A11478" s="202">
        <v>43687.0</v>
      </c>
      <c r="B11478" s="992"/>
      <c r="C11478" s="32" t="s">
        <v>955</v>
      </c>
      <c r="D11478" s="1"/>
      <c r="F11478" s="203" t="s">
        <v>956</v>
      </c>
      <c r="G11478" s="1"/>
      <c r="H11478" s="68"/>
      <c r="I11478" s="204">
        <v>0.0</v>
      </c>
      <c r="K11478" s="9" t="s">
        <v>3953</v>
      </c>
      <c r="L11478" s="77"/>
      <c r="M11478" s="79"/>
      <c r="N11478" s="1"/>
      <c r="O11478" s="1"/>
      <c r="P11478" s="1"/>
      <c r="Q11478" s="1"/>
      <c r="R11478" s="1"/>
      <c r="S11478" s="1"/>
      <c r="T11478" s="1"/>
      <c r="U11478" s="1"/>
      <c r="V11478" s="1"/>
      <c r="W11478" s="1"/>
      <c r="X11478" s="1"/>
      <c r="Y11478" s="1"/>
      <c r="Z11478" s="1"/>
      <c r="AA11478" s="1"/>
      <c r="AB11478" s="1"/>
      <c r="AC11478" s="1"/>
      <c r="AD11478" s="1"/>
      <c r="AE11478" s="1"/>
      <c r="AF11478" s="1"/>
      <c r="AG11478" s="1"/>
      <c r="AH11478" s="1"/>
    </row>
    <row r="11479" ht="12.75" customHeight="1">
      <c r="A11479" s="202">
        <v>43687.0</v>
      </c>
      <c r="B11479" s="992"/>
      <c r="C11479" s="32" t="s">
        <v>958</v>
      </c>
      <c r="D11479" s="1"/>
      <c r="F11479" s="203" t="s">
        <v>959</v>
      </c>
      <c r="G11479" s="1"/>
      <c r="H11479" s="68"/>
      <c r="I11479" s="204">
        <v>0.0</v>
      </c>
      <c r="K11479" s="9" t="s">
        <v>3954</v>
      </c>
      <c r="L11479" s="77"/>
      <c r="M11479" s="79"/>
      <c r="N11479" s="1"/>
      <c r="O11479" s="1"/>
      <c r="P11479" s="1"/>
      <c r="Q11479" s="1"/>
      <c r="R11479" s="1"/>
      <c r="S11479" s="1"/>
      <c r="T11479" s="1"/>
      <c r="U11479" s="1"/>
      <c r="V11479" s="1"/>
      <c r="W11479" s="1"/>
      <c r="X11479" s="1"/>
      <c r="Y11479" s="1"/>
      <c r="Z11479" s="1"/>
      <c r="AA11479" s="1"/>
      <c r="AB11479" s="1"/>
      <c r="AC11479" s="1"/>
      <c r="AD11479" s="1"/>
      <c r="AE11479" s="1"/>
      <c r="AF11479" s="1"/>
      <c r="AG11479" s="1"/>
      <c r="AH11479" s="1"/>
    </row>
    <row r="11480" ht="12.75" customHeight="1">
      <c r="A11480" s="202">
        <v>43687.0</v>
      </c>
      <c r="B11480" s="992"/>
      <c r="C11480" s="32" t="s">
        <v>961</v>
      </c>
      <c r="D11480" s="1"/>
      <c r="F11480" s="206" t="s">
        <v>3721</v>
      </c>
      <c r="G11480" s="207"/>
      <c r="H11480" s="208"/>
      <c r="I11480" s="209">
        <v>1.0</v>
      </c>
      <c r="K11480" s="9" t="s">
        <v>964</v>
      </c>
      <c r="L11480" s="77"/>
      <c r="M11480" s="79"/>
      <c r="N11480" s="1"/>
      <c r="O11480" s="1"/>
      <c r="P11480" s="1"/>
      <c r="Q11480" s="1"/>
      <c r="R11480" s="1"/>
      <c r="S11480" s="1"/>
      <c r="T11480" s="1"/>
      <c r="U11480" s="1"/>
      <c r="V11480" s="1"/>
      <c r="W11480" s="1"/>
      <c r="X11480" s="1"/>
      <c r="Y11480" s="1"/>
      <c r="Z11480" s="1"/>
      <c r="AA11480" s="1"/>
      <c r="AB11480" s="1"/>
      <c r="AC11480" s="1"/>
      <c r="AD11480" s="1"/>
      <c r="AE11480" s="1"/>
      <c r="AF11480" s="1"/>
      <c r="AG11480" s="1"/>
      <c r="AH11480" s="1"/>
    </row>
    <row r="11481" ht="12.75" customHeight="1">
      <c r="A11481" s="197">
        <v>43688.0</v>
      </c>
      <c r="B11481" s="992"/>
      <c r="C11481" s="32" t="s">
        <v>947</v>
      </c>
      <c r="D11481" s="1"/>
      <c r="E11481" s="94" t="s">
        <v>948</v>
      </c>
      <c r="F11481" s="1056" t="s">
        <v>949</v>
      </c>
      <c r="G11481" s="87"/>
      <c r="H11481" s="199"/>
      <c r="I11481" s="200">
        <v>1.0</v>
      </c>
      <c r="K11481" s="201" t="s">
        <v>3955</v>
      </c>
      <c r="L11481" s="77"/>
      <c r="M11481" s="79"/>
      <c r="N11481" s="1"/>
      <c r="O11481" s="1"/>
      <c r="P11481" s="1"/>
      <c r="Q11481" s="1"/>
      <c r="R11481" s="1"/>
      <c r="S11481" s="1"/>
      <c r="T11481" s="1"/>
      <c r="U11481" s="1"/>
      <c r="V11481" s="1"/>
      <c r="W11481" s="1"/>
      <c r="X11481" s="1"/>
      <c r="Y11481" s="1"/>
      <c r="Z11481" s="1"/>
      <c r="AA11481" s="1"/>
      <c r="AB11481" s="1"/>
      <c r="AC11481" s="1"/>
      <c r="AD11481" s="1"/>
      <c r="AE11481" s="1"/>
      <c r="AF11481" s="1"/>
      <c r="AG11481" s="1"/>
      <c r="AH11481" s="1"/>
    </row>
    <row r="11482" ht="12.75" customHeight="1">
      <c r="A11482" s="202">
        <v>43688.0</v>
      </c>
      <c r="B11482" s="992"/>
      <c r="C11482" s="32" t="s">
        <v>952</v>
      </c>
      <c r="D11482" s="1"/>
      <c r="F11482" s="1057" t="s">
        <v>953</v>
      </c>
      <c r="G11482" s="1"/>
      <c r="H11482" s="68"/>
      <c r="I11482" s="204">
        <v>0.0</v>
      </c>
      <c r="K11482" s="9" t="s">
        <v>3952</v>
      </c>
      <c r="L11482" s="77"/>
      <c r="M11482" s="79"/>
      <c r="N11482" s="1"/>
      <c r="O11482" s="1"/>
      <c r="P11482" s="1"/>
      <c r="Q11482" s="1"/>
      <c r="R11482" s="1"/>
      <c r="S11482" s="1"/>
      <c r="T11482" s="1"/>
      <c r="U11482" s="1"/>
      <c r="V11482" s="1"/>
      <c r="W11482" s="1"/>
      <c r="X11482" s="1"/>
      <c r="Y11482" s="1"/>
      <c r="Z11482" s="1"/>
      <c r="AA11482" s="1"/>
      <c r="AB11482" s="1"/>
      <c r="AC11482" s="1"/>
      <c r="AD11482" s="1"/>
      <c r="AE11482" s="1"/>
      <c r="AF11482" s="1"/>
      <c r="AG11482" s="1"/>
      <c r="AH11482" s="1"/>
    </row>
    <row r="11483" ht="12.75" customHeight="1">
      <c r="A11483" s="202">
        <v>43688.0</v>
      </c>
      <c r="B11483" s="992"/>
      <c r="C11483" s="32" t="s">
        <v>955</v>
      </c>
      <c r="D11483" s="1"/>
      <c r="F11483" s="203" t="s">
        <v>956</v>
      </c>
      <c r="G11483" s="1"/>
      <c r="H11483" s="68"/>
      <c r="I11483" s="204">
        <v>0.0</v>
      </c>
      <c r="K11483" s="9" t="s">
        <v>3956</v>
      </c>
      <c r="L11483" s="77"/>
      <c r="M11483" s="79"/>
      <c r="N11483" s="1"/>
      <c r="O11483" s="1"/>
      <c r="P11483" s="1"/>
      <c r="Q11483" s="1"/>
      <c r="R11483" s="1"/>
      <c r="S11483" s="1"/>
      <c r="T11483" s="1"/>
      <c r="U11483" s="1"/>
      <c r="V11483" s="1"/>
      <c r="W11483" s="1"/>
      <c r="X11483" s="1"/>
      <c r="Y11483" s="1"/>
      <c r="Z11483" s="1"/>
      <c r="AA11483" s="1"/>
      <c r="AB11483" s="1"/>
      <c r="AC11483" s="1"/>
      <c r="AD11483" s="1"/>
      <c r="AE11483" s="1"/>
      <c r="AF11483" s="1"/>
      <c r="AG11483" s="1"/>
      <c r="AH11483" s="1"/>
    </row>
    <row r="11484" ht="12.75" customHeight="1">
      <c r="A11484" s="202">
        <v>43688.0</v>
      </c>
      <c r="B11484" s="992"/>
      <c r="C11484" s="32" t="s">
        <v>958</v>
      </c>
      <c r="D11484" s="1"/>
      <c r="F11484" s="203" t="s">
        <v>959</v>
      </c>
      <c r="G11484" s="1"/>
      <c r="H11484" s="68"/>
      <c r="I11484" s="204">
        <v>0.0</v>
      </c>
      <c r="K11484" s="9" t="s">
        <v>3957</v>
      </c>
      <c r="L11484" s="77"/>
      <c r="M11484" s="79"/>
      <c r="N11484" s="1"/>
      <c r="O11484" s="1"/>
      <c r="P11484" s="1"/>
      <c r="Q11484" s="1"/>
      <c r="R11484" s="1"/>
      <c r="S11484" s="1"/>
      <c r="T11484" s="1"/>
      <c r="U11484" s="1"/>
      <c r="V11484" s="1"/>
      <c r="W11484" s="1"/>
      <c r="X11484" s="1"/>
      <c r="Y11484" s="1"/>
      <c r="Z11484" s="1"/>
      <c r="AA11484" s="1"/>
      <c r="AB11484" s="1"/>
      <c r="AC11484" s="1"/>
      <c r="AD11484" s="1"/>
      <c r="AE11484" s="1"/>
      <c r="AF11484" s="1"/>
      <c r="AG11484" s="1"/>
      <c r="AH11484" s="1"/>
    </row>
    <row r="11485" ht="12.75" customHeight="1">
      <c r="A11485" s="202">
        <v>43688.0</v>
      </c>
      <c r="B11485" s="992"/>
      <c r="C11485" s="32" t="s">
        <v>961</v>
      </c>
      <c r="D11485" s="1"/>
      <c r="F11485" s="206" t="s">
        <v>3721</v>
      </c>
      <c r="G11485" s="207"/>
      <c r="H11485" s="208"/>
      <c r="I11485" s="209">
        <v>1.0</v>
      </c>
      <c r="K11485" s="9" t="s">
        <v>964</v>
      </c>
      <c r="L11485" s="77"/>
      <c r="M11485" s="79"/>
      <c r="N11485" s="1"/>
      <c r="O11485" s="1"/>
      <c r="P11485" s="1"/>
      <c r="Q11485" s="1"/>
      <c r="R11485" s="1"/>
      <c r="S11485" s="1"/>
      <c r="T11485" s="1"/>
      <c r="U11485" s="1"/>
      <c r="V11485" s="1"/>
      <c r="W11485" s="1"/>
      <c r="X11485" s="1"/>
      <c r="Y11485" s="1"/>
      <c r="Z11485" s="1"/>
      <c r="AA11485" s="1"/>
      <c r="AB11485" s="1"/>
      <c r="AC11485" s="1"/>
      <c r="AD11485" s="1"/>
      <c r="AE11485" s="1"/>
      <c r="AF11485" s="1"/>
      <c r="AG11485" s="1"/>
      <c r="AH11485" s="1"/>
    </row>
    <row r="11486" ht="12.75" customHeight="1">
      <c r="A11486" s="197">
        <v>43692.0</v>
      </c>
      <c r="B11486" s="992"/>
      <c r="C11486" s="32" t="s">
        <v>947</v>
      </c>
      <c r="D11486" s="1"/>
      <c r="E11486" s="94" t="s">
        <v>948</v>
      </c>
      <c r="F11486" s="1056" t="s">
        <v>949</v>
      </c>
      <c r="G11486" s="87"/>
      <c r="H11486" s="199"/>
      <c r="I11486" s="200">
        <v>1.0</v>
      </c>
      <c r="K11486" s="201" t="s">
        <v>3958</v>
      </c>
      <c r="L11486" s="77"/>
      <c r="M11486" s="79"/>
      <c r="N11486" s="1"/>
      <c r="O11486" s="1"/>
      <c r="P11486" s="1"/>
      <c r="Q11486" s="1"/>
      <c r="R11486" s="1"/>
      <c r="S11486" s="1"/>
      <c r="T11486" s="1"/>
      <c r="U11486" s="1"/>
      <c r="V11486" s="1"/>
      <c r="W11486" s="1"/>
      <c r="X11486" s="1"/>
      <c r="Y11486" s="1"/>
      <c r="Z11486" s="1"/>
      <c r="AA11486" s="1"/>
      <c r="AB11486" s="1"/>
      <c r="AC11486" s="1"/>
      <c r="AD11486" s="1"/>
      <c r="AE11486" s="1"/>
      <c r="AF11486" s="1"/>
      <c r="AG11486" s="1"/>
      <c r="AH11486" s="1"/>
    </row>
    <row r="11487" ht="12.75" customHeight="1">
      <c r="A11487" s="202">
        <v>43692.0</v>
      </c>
      <c r="B11487" s="992"/>
      <c r="C11487" s="32" t="s">
        <v>952</v>
      </c>
      <c r="D11487" s="1"/>
      <c r="F11487" s="1057" t="s">
        <v>953</v>
      </c>
      <c r="G11487" s="1"/>
      <c r="H11487" s="68"/>
      <c r="I11487" s="204">
        <v>0.0</v>
      </c>
      <c r="K11487" s="9" t="s">
        <v>3952</v>
      </c>
      <c r="L11487" s="77"/>
      <c r="M11487" s="79"/>
      <c r="N11487" s="1"/>
      <c r="O11487" s="1"/>
      <c r="P11487" s="1"/>
      <c r="Q11487" s="1"/>
      <c r="R11487" s="1"/>
      <c r="S11487" s="1"/>
      <c r="T11487" s="1"/>
      <c r="U11487" s="1"/>
      <c r="V11487" s="1"/>
      <c r="W11487" s="1"/>
      <c r="X11487" s="1"/>
      <c r="Y11487" s="1"/>
      <c r="Z11487" s="1"/>
      <c r="AA11487" s="1"/>
      <c r="AB11487" s="1"/>
      <c r="AC11487" s="1"/>
      <c r="AD11487" s="1"/>
      <c r="AE11487" s="1"/>
      <c r="AF11487" s="1"/>
      <c r="AG11487" s="1"/>
      <c r="AH11487" s="1"/>
    </row>
    <row r="11488" ht="12.75" customHeight="1">
      <c r="A11488" s="202">
        <v>43692.0</v>
      </c>
      <c r="B11488" s="992"/>
      <c r="C11488" s="32" t="s">
        <v>955</v>
      </c>
      <c r="D11488" s="1"/>
      <c r="F11488" s="203" t="s">
        <v>956</v>
      </c>
      <c r="G11488" s="1"/>
      <c r="H11488" s="68"/>
      <c r="I11488" s="204">
        <v>0.0</v>
      </c>
      <c r="K11488" s="9" t="s">
        <v>3956</v>
      </c>
      <c r="L11488" s="77"/>
      <c r="M11488" s="79"/>
      <c r="N11488" s="1"/>
      <c r="O11488" s="1"/>
      <c r="P11488" s="1"/>
      <c r="Q11488" s="1"/>
      <c r="R11488" s="1"/>
      <c r="S11488" s="1"/>
      <c r="T11488" s="1"/>
      <c r="U11488" s="1"/>
      <c r="V11488" s="1"/>
      <c r="W11488" s="1"/>
      <c r="X11488" s="1"/>
      <c r="Y11488" s="1"/>
      <c r="Z11488" s="1"/>
      <c r="AA11488" s="1"/>
      <c r="AB11488" s="1"/>
      <c r="AC11488" s="1"/>
      <c r="AD11488" s="1"/>
      <c r="AE11488" s="1"/>
      <c r="AF11488" s="1"/>
      <c r="AG11488" s="1"/>
      <c r="AH11488" s="1"/>
    </row>
    <row r="11489" ht="12.75" customHeight="1">
      <c r="A11489" s="202">
        <v>43692.0</v>
      </c>
      <c r="B11489" s="992"/>
      <c r="C11489" s="32" t="s">
        <v>958</v>
      </c>
      <c r="D11489" s="1"/>
      <c r="F11489" s="203" t="s">
        <v>959</v>
      </c>
      <c r="G11489" s="1"/>
      <c r="H11489" s="68"/>
      <c r="I11489" s="204">
        <v>1.0</v>
      </c>
      <c r="K11489" s="9" t="s">
        <v>3959</v>
      </c>
      <c r="L11489" s="77"/>
      <c r="M11489" s="79"/>
      <c r="N11489" s="1"/>
      <c r="O11489" s="1"/>
      <c r="P11489" s="1"/>
      <c r="Q11489" s="1"/>
      <c r="R11489" s="1"/>
      <c r="S11489" s="1"/>
      <c r="T11489" s="1"/>
      <c r="U11489" s="1"/>
      <c r="V11489" s="1"/>
      <c r="W11489" s="1"/>
      <c r="X11489" s="1"/>
      <c r="Y11489" s="1"/>
      <c r="Z11489" s="1"/>
      <c r="AA11489" s="1"/>
      <c r="AB11489" s="1"/>
      <c r="AC11489" s="1"/>
      <c r="AD11489" s="1"/>
      <c r="AE11489" s="1"/>
      <c r="AF11489" s="1"/>
      <c r="AG11489" s="1"/>
      <c r="AH11489" s="1"/>
    </row>
    <row r="11490" ht="12.75" customHeight="1">
      <c r="A11490" s="202">
        <v>43692.0</v>
      </c>
      <c r="B11490" s="992"/>
      <c r="C11490" s="32" t="s">
        <v>961</v>
      </c>
      <c r="D11490" s="1"/>
      <c r="F11490" s="206" t="s">
        <v>3721</v>
      </c>
      <c r="G11490" s="207"/>
      <c r="H11490" s="208"/>
      <c r="I11490" s="209">
        <v>2.0</v>
      </c>
      <c r="K11490" s="9" t="s">
        <v>964</v>
      </c>
      <c r="L11490" s="77"/>
      <c r="M11490" s="79"/>
      <c r="N11490" s="1"/>
      <c r="O11490" s="1"/>
      <c r="P11490" s="1"/>
      <c r="Q11490" s="1"/>
      <c r="R11490" s="1"/>
      <c r="S11490" s="1"/>
      <c r="T11490" s="1"/>
      <c r="U11490" s="1"/>
      <c r="V11490" s="1"/>
      <c r="W11490" s="1"/>
      <c r="X11490" s="1"/>
      <c r="Y11490" s="1"/>
      <c r="Z11490" s="1"/>
      <c r="AA11490" s="1"/>
      <c r="AB11490" s="1"/>
      <c r="AC11490" s="1"/>
      <c r="AD11490" s="1"/>
      <c r="AE11490" s="1"/>
      <c r="AF11490" s="1"/>
      <c r="AG11490" s="1"/>
      <c r="AH11490" s="1"/>
    </row>
    <row r="11491" ht="12.75" customHeight="1">
      <c r="A11491" s="122">
        <v>43696.0</v>
      </c>
      <c r="B11491" s="974" t="s">
        <v>347</v>
      </c>
      <c r="C11491" s="32" t="s">
        <v>1362</v>
      </c>
      <c r="D11491" s="9">
        <v>30.0</v>
      </c>
      <c r="E11491" s="9">
        <v>233.0</v>
      </c>
      <c r="F11491" s="709">
        <v>0.6398611111111111</v>
      </c>
      <c r="G11491" s="195" t="s">
        <v>453</v>
      </c>
      <c r="H11491" s="710">
        <v>1.15</v>
      </c>
      <c r="I11491" s="256" t="s">
        <v>3145</v>
      </c>
      <c r="J11491" s="67">
        <f>IF(or(B11491="SLD",B11491="Rebal SLD"),D11491*E11491,-D11491*E11491)-H11491</f>
        <v>6988.85</v>
      </c>
      <c r="K11491" s="1"/>
      <c r="L11491" s="70"/>
      <c r="M11491" s="79"/>
      <c r="N11491" s="1"/>
      <c r="O11491" s="1"/>
      <c r="P11491" s="1"/>
      <c r="Q11491" s="1"/>
      <c r="R11491" s="1"/>
      <c r="S11491" s="1"/>
      <c r="T11491" s="1"/>
      <c r="U11491" s="1"/>
      <c r="V11491" s="1"/>
      <c r="W11491" s="1"/>
      <c r="X11491" s="1"/>
      <c r="Y11491" s="1"/>
      <c r="Z11491" s="1"/>
      <c r="AA11491" s="1"/>
      <c r="AB11491" s="1"/>
      <c r="AC11491" s="1"/>
      <c r="AD11491" s="1"/>
      <c r="AE11491" s="1"/>
      <c r="AF11491" s="1"/>
      <c r="AG11491" s="1"/>
      <c r="AH11491" s="1"/>
    </row>
    <row r="11492" ht="12.75" customHeight="1">
      <c r="A11492" s="197">
        <v>43696.0</v>
      </c>
      <c r="B11492" s="992"/>
      <c r="C11492" s="32" t="s">
        <v>947</v>
      </c>
      <c r="D11492" s="1"/>
      <c r="E11492" s="94" t="s">
        <v>948</v>
      </c>
      <c r="F11492" s="1056" t="s">
        <v>949</v>
      </c>
      <c r="G11492" s="87"/>
      <c r="H11492" s="199"/>
      <c r="I11492" s="200">
        <v>1.0</v>
      </c>
      <c r="K11492" s="201" t="s">
        <v>3958</v>
      </c>
      <c r="L11492" s="77"/>
      <c r="M11492" s="79"/>
      <c r="N11492" s="1"/>
      <c r="O11492" s="1"/>
      <c r="P11492" s="1"/>
      <c r="Q11492" s="1"/>
      <c r="R11492" s="1"/>
      <c r="S11492" s="1"/>
      <c r="T11492" s="1"/>
      <c r="U11492" s="1"/>
      <c r="V11492" s="1"/>
      <c r="W11492" s="1"/>
      <c r="X11492" s="1"/>
      <c r="Y11492" s="1"/>
      <c r="Z11492" s="1"/>
      <c r="AA11492" s="1"/>
      <c r="AB11492" s="1"/>
      <c r="AC11492" s="1"/>
      <c r="AD11492" s="1"/>
      <c r="AE11492" s="1"/>
      <c r="AF11492" s="1"/>
      <c r="AG11492" s="1"/>
      <c r="AH11492" s="1"/>
    </row>
    <row r="11493" ht="12.75" customHeight="1">
      <c r="A11493" s="202">
        <v>43696.0</v>
      </c>
      <c r="B11493" s="992"/>
      <c r="C11493" s="32" t="s">
        <v>952</v>
      </c>
      <c r="D11493" s="1"/>
      <c r="F11493" s="1057" t="s">
        <v>953</v>
      </c>
      <c r="G11493" s="1"/>
      <c r="H11493" s="68"/>
      <c r="I11493" s="204">
        <v>0.0</v>
      </c>
      <c r="K11493" s="9" t="s">
        <v>3952</v>
      </c>
      <c r="L11493" s="77"/>
      <c r="M11493" s="79"/>
      <c r="N11493" s="1"/>
      <c r="O11493" s="1"/>
      <c r="P11493" s="1"/>
      <c r="Q11493" s="1"/>
      <c r="R11493" s="1"/>
      <c r="S11493" s="1"/>
      <c r="T11493" s="1"/>
      <c r="U11493" s="1"/>
      <c r="V11493" s="1"/>
      <c r="W11493" s="1"/>
      <c r="X11493" s="1"/>
      <c r="Y11493" s="1"/>
      <c r="Z11493" s="1"/>
      <c r="AA11493" s="1"/>
      <c r="AB11493" s="1"/>
      <c r="AC11493" s="1"/>
      <c r="AD11493" s="1"/>
      <c r="AE11493" s="1"/>
      <c r="AF11493" s="1"/>
      <c r="AG11493" s="1"/>
      <c r="AH11493" s="1"/>
    </row>
    <row r="11494" ht="12.75" customHeight="1">
      <c r="A11494" s="202">
        <v>43696.0</v>
      </c>
      <c r="B11494" s="992"/>
      <c r="C11494" s="32" t="s">
        <v>955</v>
      </c>
      <c r="D11494" s="1"/>
      <c r="F11494" s="203" t="s">
        <v>956</v>
      </c>
      <c r="G11494" s="1"/>
      <c r="H11494" s="68"/>
      <c r="I11494" s="204">
        <v>0.0</v>
      </c>
      <c r="K11494" s="9" t="s">
        <v>3960</v>
      </c>
      <c r="L11494" s="77"/>
      <c r="M11494" s="79"/>
      <c r="N11494" s="1"/>
      <c r="O11494" s="1"/>
      <c r="P11494" s="1"/>
      <c r="Q11494" s="1"/>
      <c r="R11494" s="1"/>
      <c r="S11494" s="1"/>
      <c r="T11494" s="1"/>
      <c r="U11494" s="1"/>
      <c r="V11494" s="1"/>
      <c r="W11494" s="1"/>
      <c r="X11494" s="1"/>
      <c r="Y11494" s="1"/>
      <c r="Z11494" s="1"/>
      <c r="AA11494" s="1"/>
      <c r="AB11494" s="1"/>
      <c r="AC11494" s="1"/>
      <c r="AD11494" s="1"/>
      <c r="AE11494" s="1"/>
      <c r="AF11494" s="1"/>
      <c r="AG11494" s="1"/>
      <c r="AH11494" s="1"/>
    </row>
    <row r="11495" ht="12.75" customHeight="1">
      <c r="A11495" s="202">
        <v>43696.0</v>
      </c>
      <c r="B11495" s="992"/>
      <c r="C11495" s="32" t="s">
        <v>958</v>
      </c>
      <c r="D11495" s="1"/>
      <c r="F11495" s="203" t="s">
        <v>959</v>
      </c>
      <c r="G11495" s="1"/>
      <c r="H11495" s="68"/>
      <c r="I11495" s="204">
        <v>1.0</v>
      </c>
      <c r="K11495" s="9" t="s">
        <v>3957</v>
      </c>
      <c r="L11495" s="77"/>
      <c r="M11495" s="79"/>
      <c r="N11495" s="1"/>
      <c r="O11495" s="1"/>
      <c r="P11495" s="1"/>
      <c r="Q11495" s="1"/>
      <c r="R11495" s="1"/>
      <c r="S11495" s="1"/>
      <c r="T11495" s="1"/>
      <c r="U11495" s="1"/>
      <c r="V11495" s="1"/>
      <c r="W11495" s="1"/>
      <c r="X11495" s="1"/>
      <c r="Y11495" s="1"/>
      <c r="Z11495" s="1"/>
      <c r="AA11495" s="1"/>
      <c r="AB11495" s="1"/>
      <c r="AC11495" s="1"/>
      <c r="AD11495" s="1"/>
      <c r="AE11495" s="1"/>
      <c r="AF11495" s="1"/>
      <c r="AG11495" s="1"/>
      <c r="AH11495" s="1"/>
    </row>
    <row r="11496" ht="12.75" customHeight="1">
      <c r="A11496" s="202">
        <v>43696.0</v>
      </c>
      <c r="B11496" s="992"/>
      <c r="C11496" s="32" t="s">
        <v>961</v>
      </c>
      <c r="D11496" s="1"/>
      <c r="F11496" s="206" t="s">
        <v>3721</v>
      </c>
      <c r="G11496" s="207"/>
      <c r="H11496" s="208"/>
      <c r="I11496" s="209">
        <v>2.0</v>
      </c>
      <c r="K11496" s="9" t="s">
        <v>964</v>
      </c>
      <c r="L11496" s="77"/>
      <c r="M11496" s="79"/>
      <c r="N11496" s="1"/>
      <c r="O11496" s="1"/>
      <c r="P11496" s="1"/>
      <c r="Q11496" s="1"/>
      <c r="R11496" s="1"/>
      <c r="S11496" s="1"/>
      <c r="T11496" s="1"/>
      <c r="U11496" s="1"/>
      <c r="V11496" s="1"/>
      <c r="W11496" s="1"/>
      <c r="X11496" s="1"/>
      <c r="Y11496" s="1"/>
      <c r="Z11496" s="1"/>
      <c r="AA11496" s="1"/>
      <c r="AB11496" s="1"/>
      <c r="AC11496" s="1"/>
      <c r="AD11496" s="1"/>
      <c r="AE11496" s="1"/>
      <c r="AF11496" s="1"/>
      <c r="AG11496" s="1"/>
      <c r="AH11496" s="1"/>
    </row>
    <row r="11497" ht="12.75" customHeight="1">
      <c r="A11497" s="197">
        <v>43698.0</v>
      </c>
      <c r="B11497" s="992"/>
      <c r="C11497" s="32" t="s">
        <v>947</v>
      </c>
      <c r="D11497" s="1"/>
      <c r="E11497" s="94" t="s">
        <v>948</v>
      </c>
      <c r="F11497" s="1056" t="s">
        <v>949</v>
      </c>
      <c r="G11497" s="87"/>
      <c r="H11497" s="199"/>
      <c r="I11497" s="200">
        <v>1.0</v>
      </c>
      <c r="K11497" s="201" t="s">
        <v>3900</v>
      </c>
      <c r="L11497" s="77"/>
      <c r="M11497" s="79"/>
      <c r="N11497" s="1"/>
      <c r="O11497" s="1"/>
      <c r="P11497" s="1"/>
      <c r="Q11497" s="1"/>
      <c r="R11497" s="1"/>
      <c r="S11497" s="1"/>
      <c r="T11497" s="1"/>
      <c r="U11497" s="1"/>
      <c r="V11497" s="1"/>
      <c r="W11497" s="1"/>
      <c r="X11497" s="1"/>
      <c r="Y11497" s="1"/>
      <c r="Z11497" s="1"/>
      <c r="AA11497" s="1"/>
      <c r="AB11497" s="1"/>
      <c r="AC11497" s="1"/>
      <c r="AD11497" s="1"/>
      <c r="AE11497" s="1"/>
      <c r="AF11497" s="1"/>
      <c r="AG11497" s="1"/>
      <c r="AH11497" s="1"/>
    </row>
    <row r="11498" ht="12.75" customHeight="1">
      <c r="A11498" s="202">
        <v>43698.0</v>
      </c>
      <c r="B11498" s="992"/>
      <c r="C11498" s="32" t="s">
        <v>952</v>
      </c>
      <c r="D11498" s="1"/>
      <c r="F11498" s="1057" t="s">
        <v>953</v>
      </c>
      <c r="G11498" s="1"/>
      <c r="H11498" s="68"/>
      <c r="I11498" s="204">
        <v>0.0</v>
      </c>
      <c r="K11498" s="9" t="s">
        <v>3961</v>
      </c>
      <c r="L11498" s="77"/>
      <c r="M11498" s="79"/>
      <c r="N11498" s="1"/>
      <c r="O11498" s="1"/>
      <c r="P11498" s="1"/>
      <c r="Q11498" s="1"/>
      <c r="R11498" s="1"/>
      <c r="S11498" s="1"/>
      <c r="T11498" s="1"/>
      <c r="U11498" s="1"/>
      <c r="V11498" s="1"/>
      <c r="W11498" s="1"/>
      <c r="X11498" s="1"/>
      <c r="Y11498" s="1"/>
      <c r="Z11498" s="1"/>
      <c r="AA11498" s="1"/>
      <c r="AB11498" s="1"/>
      <c r="AC11498" s="1"/>
      <c r="AD11498" s="1"/>
      <c r="AE11498" s="1"/>
      <c r="AF11498" s="1"/>
      <c r="AG11498" s="1"/>
      <c r="AH11498" s="1"/>
    </row>
    <row r="11499" ht="12.75" customHeight="1">
      <c r="A11499" s="202">
        <v>43698.0</v>
      </c>
      <c r="B11499" s="992"/>
      <c r="C11499" s="32" t="s">
        <v>955</v>
      </c>
      <c r="D11499" s="1"/>
      <c r="F11499" s="203" t="s">
        <v>956</v>
      </c>
      <c r="G11499" s="1"/>
      <c r="H11499" s="68"/>
      <c r="I11499" s="204">
        <v>0.0</v>
      </c>
      <c r="K11499" s="9" t="s">
        <v>3962</v>
      </c>
      <c r="L11499" s="77"/>
      <c r="M11499" s="79"/>
      <c r="N11499" s="1"/>
      <c r="O11499" s="1"/>
      <c r="P11499" s="1"/>
      <c r="Q11499" s="1"/>
      <c r="R11499" s="1"/>
      <c r="S11499" s="1"/>
      <c r="T11499" s="1"/>
      <c r="U11499" s="1"/>
      <c r="V11499" s="1"/>
      <c r="W11499" s="1"/>
      <c r="X11499" s="1"/>
      <c r="Y11499" s="1"/>
      <c r="Z11499" s="1"/>
      <c r="AA11499" s="1"/>
      <c r="AB11499" s="1"/>
      <c r="AC11499" s="1"/>
      <c r="AD11499" s="1"/>
      <c r="AE11499" s="1"/>
      <c r="AF11499" s="1"/>
      <c r="AG11499" s="1"/>
      <c r="AH11499" s="1"/>
    </row>
    <row r="11500" ht="12.75" customHeight="1">
      <c r="A11500" s="202">
        <v>43698.0</v>
      </c>
      <c r="B11500" s="992"/>
      <c r="C11500" s="32" t="s">
        <v>958</v>
      </c>
      <c r="D11500" s="1"/>
      <c r="F11500" s="203" t="s">
        <v>959</v>
      </c>
      <c r="G11500" s="1"/>
      <c r="H11500" s="68"/>
      <c r="I11500" s="204">
        <v>1.0</v>
      </c>
      <c r="K11500" s="9" t="s">
        <v>3963</v>
      </c>
      <c r="L11500" s="77"/>
      <c r="M11500" s="79"/>
      <c r="N11500" s="1"/>
      <c r="O11500" s="1"/>
      <c r="P11500" s="1"/>
      <c r="Q11500" s="1"/>
      <c r="R11500" s="1"/>
      <c r="S11500" s="1"/>
      <c r="T11500" s="1"/>
      <c r="U11500" s="1"/>
      <c r="V11500" s="1"/>
      <c r="W11500" s="1"/>
      <c r="X11500" s="1"/>
      <c r="Y11500" s="1"/>
      <c r="Z11500" s="1"/>
      <c r="AA11500" s="1"/>
      <c r="AB11500" s="1"/>
      <c r="AC11500" s="1"/>
      <c r="AD11500" s="1"/>
      <c r="AE11500" s="1"/>
      <c r="AF11500" s="1"/>
      <c r="AG11500" s="1"/>
      <c r="AH11500" s="1"/>
    </row>
    <row r="11501" ht="12.75" customHeight="1">
      <c r="A11501" s="202">
        <v>43698.0</v>
      </c>
      <c r="B11501" s="992"/>
      <c r="C11501" s="32" t="s">
        <v>961</v>
      </c>
      <c r="D11501" s="1"/>
      <c r="F11501" s="206" t="s">
        <v>3721</v>
      </c>
      <c r="G11501" s="207"/>
      <c r="H11501" s="208"/>
      <c r="I11501" s="209">
        <v>2.0</v>
      </c>
      <c r="K11501" s="9" t="s">
        <v>964</v>
      </c>
      <c r="L11501" s="77"/>
      <c r="M11501" s="79"/>
      <c r="N11501" s="1"/>
      <c r="O11501" s="1"/>
      <c r="P11501" s="1"/>
      <c r="Q11501" s="1"/>
      <c r="R11501" s="1"/>
      <c r="S11501" s="1"/>
      <c r="T11501" s="1"/>
      <c r="U11501" s="1"/>
      <c r="V11501" s="1"/>
      <c r="W11501" s="1"/>
      <c r="X11501" s="1"/>
      <c r="Y11501" s="1"/>
      <c r="Z11501" s="1"/>
      <c r="AA11501" s="1"/>
      <c r="AB11501" s="1"/>
      <c r="AC11501" s="1"/>
      <c r="AD11501" s="1"/>
      <c r="AE11501" s="1"/>
      <c r="AF11501" s="1"/>
      <c r="AG11501" s="1"/>
      <c r="AH11501" s="1"/>
    </row>
    <row r="11502" ht="12.75" customHeight="1">
      <c r="A11502" s="122">
        <v>43700.0</v>
      </c>
      <c r="B11502" s="974" t="s">
        <v>343</v>
      </c>
      <c r="C11502" s="32" t="s">
        <v>1079</v>
      </c>
      <c r="D11502" s="9">
        <v>100.0</v>
      </c>
      <c r="E11502" s="9">
        <v>144.27</v>
      </c>
      <c r="F11502" s="709">
        <v>0.4769675925925926</v>
      </c>
      <c r="G11502" s="195" t="s">
        <v>453</v>
      </c>
      <c r="H11502" s="710">
        <v>1.0</v>
      </c>
      <c r="I11502" s="256" t="s">
        <v>3145</v>
      </c>
      <c r="J11502" s="67">
        <f t="shared" ref="J11502:J11504" si="648">IF(or(B11502="SLD",B11502="Rebal SLD"),D11502*E11502,-D11502*E11502)-H11502</f>
        <v>-14428</v>
      </c>
      <c r="K11502" s="1"/>
      <c r="L11502" s="70"/>
      <c r="M11502" s="79"/>
      <c r="N11502" s="1"/>
      <c r="O11502" s="1"/>
      <c r="P11502" s="1"/>
      <c r="Q11502" s="1"/>
      <c r="R11502" s="1"/>
      <c r="S11502" s="1"/>
      <c r="T11502" s="1"/>
      <c r="U11502" s="1"/>
      <c r="V11502" s="1"/>
      <c r="W11502" s="1"/>
      <c r="X11502" s="1"/>
      <c r="Y11502" s="1"/>
      <c r="Z11502" s="1"/>
      <c r="AA11502" s="1"/>
      <c r="AB11502" s="1"/>
      <c r="AC11502" s="1"/>
      <c r="AD11502" s="1"/>
      <c r="AE11502" s="1"/>
      <c r="AF11502" s="1"/>
      <c r="AG11502" s="1"/>
      <c r="AH11502" s="1"/>
    </row>
    <row r="11503" ht="12.75" customHeight="1">
      <c r="A11503" s="122">
        <v>43700.0</v>
      </c>
      <c r="B11503" s="974" t="s">
        <v>347</v>
      </c>
      <c r="C11503" s="32" t="s">
        <v>1525</v>
      </c>
      <c r="D11503" s="9">
        <v>50.0</v>
      </c>
      <c r="E11503" s="9">
        <v>218.95</v>
      </c>
      <c r="F11503" s="709">
        <v>0.4156944444444444</v>
      </c>
      <c r="G11503" s="195" t="s">
        <v>453</v>
      </c>
      <c r="H11503" s="710">
        <v>1.23</v>
      </c>
      <c r="I11503" s="256" t="s">
        <v>3145</v>
      </c>
      <c r="J11503" s="67">
        <f t="shared" si="648"/>
        <v>10946.27</v>
      </c>
      <c r="K11503" s="1"/>
      <c r="L11503" s="70"/>
      <c r="M11503" s="79"/>
      <c r="N11503" s="1"/>
      <c r="O11503" s="1"/>
      <c r="P11503" s="1"/>
      <c r="Q11503" s="1"/>
      <c r="R11503" s="1"/>
      <c r="S11503" s="1"/>
      <c r="T11503" s="1"/>
      <c r="U11503" s="1"/>
      <c r="V11503" s="1"/>
      <c r="W11503" s="1"/>
      <c r="X11503" s="1"/>
      <c r="Y11503" s="1"/>
      <c r="Z11503" s="1"/>
      <c r="AA11503" s="1"/>
      <c r="AB11503" s="1"/>
      <c r="AC11503" s="1"/>
      <c r="AD11503" s="1"/>
      <c r="AE11503" s="1"/>
      <c r="AF11503" s="1"/>
      <c r="AG11503" s="1"/>
      <c r="AH11503" s="1"/>
    </row>
    <row r="11504" ht="12.75" customHeight="1">
      <c r="A11504" s="122">
        <v>43700.0</v>
      </c>
      <c r="B11504" s="974" t="s">
        <v>343</v>
      </c>
      <c r="C11504" s="32" t="s">
        <v>1092</v>
      </c>
      <c r="D11504" s="9">
        <v>750.0</v>
      </c>
      <c r="E11504" s="9">
        <v>12.06</v>
      </c>
      <c r="F11504" s="709">
        <v>0.4140972222222222</v>
      </c>
      <c r="G11504" s="195" t="s">
        <v>453</v>
      </c>
      <c r="H11504" s="710">
        <v>3.75</v>
      </c>
      <c r="I11504" s="256" t="s">
        <v>3145</v>
      </c>
      <c r="J11504" s="67">
        <f t="shared" si="648"/>
        <v>-9048.75</v>
      </c>
      <c r="K11504" s="1"/>
      <c r="L11504" s="70"/>
      <c r="M11504" s="79"/>
      <c r="N11504" s="1"/>
      <c r="O11504" s="1"/>
      <c r="P11504" s="1"/>
      <c r="Q11504" s="1"/>
      <c r="R11504" s="1"/>
      <c r="S11504" s="1"/>
      <c r="T11504" s="1"/>
      <c r="U11504" s="1"/>
      <c r="V11504" s="1"/>
      <c r="W11504" s="1"/>
      <c r="X11504" s="1"/>
      <c r="Y11504" s="1"/>
      <c r="Z11504" s="1"/>
      <c r="AA11504" s="1"/>
      <c r="AB11504" s="1"/>
      <c r="AC11504" s="1"/>
      <c r="AD11504" s="1"/>
      <c r="AE11504" s="1"/>
      <c r="AF11504" s="1"/>
      <c r="AG11504" s="1"/>
      <c r="AH11504" s="1"/>
    </row>
    <row r="11505" ht="12.75" customHeight="1">
      <c r="A11505" s="197">
        <v>43701.0</v>
      </c>
      <c r="B11505" s="992"/>
      <c r="C11505" s="32" t="s">
        <v>947</v>
      </c>
      <c r="D11505" s="1"/>
      <c r="E11505" s="94" t="s">
        <v>948</v>
      </c>
      <c r="F11505" s="1056" t="s">
        <v>949</v>
      </c>
      <c r="G11505" s="87"/>
      <c r="H11505" s="199"/>
      <c r="I11505" s="200">
        <v>1.0</v>
      </c>
      <c r="K11505" s="201" t="s">
        <v>3900</v>
      </c>
      <c r="L11505" s="77"/>
      <c r="M11505" s="79"/>
      <c r="N11505" s="1"/>
      <c r="O11505" s="1"/>
      <c r="P11505" s="1"/>
      <c r="Q11505" s="1"/>
      <c r="R11505" s="1"/>
      <c r="S11505" s="1"/>
      <c r="T11505" s="1"/>
      <c r="U11505" s="1"/>
      <c r="V11505" s="1"/>
      <c r="W11505" s="1"/>
      <c r="X11505" s="1"/>
      <c r="Y11505" s="1"/>
      <c r="Z11505" s="1"/>
      <c r="AA11505" s="1"/>
      <c r="AB11505" s="1"/>
      <c r="AC11505" s="1"/>
      <c r="AD11505" s="1"/>
      <c r="AE11505" s="1"/>
      <c r="AF11505" s="1"/>
      <c r="AG11505" s="1"/>
      <c r="AH11505" s="1"/>
    </row>
    <row r="11506" ht="12.75" customHeight="1">
      <c r="A11506" s="202">
        <v>43701.0</v>
      </c>
      <c r="B11506" s="992"/>
      <c r="C11506" s="32" t="s">
        <v>952</v>
      </c>
      <c r="D11506" s="1"/>
      <c r="F11506" s="1057" t="s">
        <v>953</v>
      </c>
      <c r="G11506" s="1"/>
      <c r="H11506" s="68"/>
      <c r="I11506" s="204">
        <v>0.0</v>
      </c>
      <c r="K11506" s="9" t="s">
        <v>3964</v>
      </c>
      <c r="L11506" s="77"/>
      <c r="M11506" s="79"/>
      <c r="N11506" s="1"/>
      <c r="O11506" s="1"/>
      <c r="P11506" s="1"/>
      <c r="Q11506" s="1"/>
      <c r="R11506" s="1"/>
      <c r="S11506" s="1"/>
      <c r="T11506" s="1"/>
      <c r="U11506" s="1"/>
      <c r="V11506" s="1"/>
      <c r="W11506" s="1"/>
      <c r="X11506" s="1"/>
      <c r="Y11506" s="1"/>
      <c r="Z11506" s="1"/>
      <c r="AA11506" s="1"/>
      <c r="AB11506" s="1"/>
      <c r="AC11506" s="1"/>
      <c r="AD11506" s="1"/>
      <c r="AE11506" s="1"/>
      <c r="AF11506" s="1"/>
      <c r="AG11506" s="1"/>
      <c r="AH11506" s="1"/>
    </row>
    <row r="11507" ht="12.75" customHeight="1">
      <c r="A11507" s="202">
        <v>43701.0</v>
      </c>
      <c r="B11507" s="992"/>
      <c r="C11507" s="32" t="s">
        <v>955</v>
      </c>
      <c r="D11507" s="1"/>
      <c r="F11507" s="203" t="s">
        <v>956</v>
      </c>
      <c r="G11507" s="1"/>
      <c r="H11507" s="68"/>
      <c r="I11507" s="204">
        <v>0.0</v>
      </c>
      <c r="K11507" s="9" t="s">
        <v>3965</v>
      </c>
      <c r="L11507" s="77"/>
      <c r="M11507" s="79"/>
      <c r="N11507" s="1"/>
      <c r="O11507" s="1"/>
      <c r="P11507" s="1"/>
      <c r="Q11507" s="1"/>
      <c r="R11507" s="1"/>
      <c r="S11507" s="1"/>
      <c r="T11507" s="1"/>
      <c r="U11507" s="1"/>
      <c r="V11507" s="1"/>
      <c r="W11507" s="1"/>
      <c r="X11507" s="1"/>
      <c r="Y11507" s="1"/>
      <c r="Z11507" s="1"/>
      <c r="AA11507" s="1"/>
      <c r="AB11507" s="1"/>
      <c r="AC11507" s="1"/>
      <c r="AD11507" s="1"/>
      <c r="AE11507" s="1"/>
      <c r="AF11507" s="1"/>
      <c r="AG11507" s="1"/>
      <c r="AH11507" s="1"/>
    </row>
    <row r="11508" ht="12.75" customHeight="1">
      <c r="A11508" s="202">
        <v>43701.0</v>
      </c>
      <c r="B11508" s="992"/>
      <c r="C11508" s="32" t="s">
        <v>958</v>
      </c>
      <c r="D11508" s="1"/>
      <c r="F11508" s="203" t="s">
        <v>959</v>
      </c>
      <c r="G11508" s="1"/>
      <c r="H11508" s="68"/>
      <c r="I11508" s="204">
        <v>1.0</v>
      </c>
      <c r="K11508" s="9" t="s">
        <v>3966</v>
      </c>
      <c r="L11508" s="77"/>
      <c r="M11508" s="79"/>
      <c r="N11508" s="1"/>
      <c r="O11508" s="1"/>
      <c r="P11508" s="1"/>
      <c r="Q11508" s="1"/>
      <c r="R11508" s="1"/>
      <c r="S11508" s="1"/>
      <c r="T11508" s="1"/>
      <c r="U11508" s="1"/>
      <c r="V11508" s="1"/>
      <c r="W11508" s="1"/>
      <c r="X11508" s="1"/>
      <c r="Y11508" s="1"/>
      <c r="Z11508" s="1"/>
      <c r="AA11508" s="1"/>
      <c r="AB11508" s="1"/>
      <c r="AC11508" s="1"/>
      <c r="AD11508" s="1"/>
      <c r="AE11508" s="1"/>
      <c r="AF11508" s="1"/>
      <c r="AG11508" s="1"/>
      <c r="AH11508" s="1"/>
    </row>
    <row r="11509" ht="12.75" customHeight="1">
      <c r="A11509" s="202">
        <v>43701.0</v>
      </c>
      <c r="B11509" s="992"/>
      <c r="C11509" s="32" t="s">
        <v>961</v>
      </c>
      <c r="D11509" s="1"/>
      <c r="F11509" s="206" t="s">
        <v>3721</v>
      </c>
      <c r="G11509" s="207"/>
      <c r="H11509" s="208"/>
      <c r="I11509" s="209">
        <v>2.0</v>
      </c>
      <c r="K11509" s="9" t="s">
        <v>964</v>
      </c>
      <c r="L11509" s="77"/>
      <c r="M11509" s="79"/>
      <c r="N11509" s="1"/>
      <c r="O11509" s="1"/>
      <c r="P11509" s="1"/>
      <c r="Q11509" s="1"/>
      <c r="R11509" s="1"/>
      <c r="S11509" s="1"/>
      <c r="T11509" s="1"/>
      <c r="U11509" s="1"/>
      <c r="V11509" s="1"/>
      <c r="W11509" s="1"/>
      <c r="X11509" s="1"/>
      <c r="Y11509" s="1"/>
      <c r="Z11509" s="1"/>
      <c r="AA11509" s="1"/>
      <c r="AB11509" s="1"/>
      <c r="AC11509" s="1"/>
      <c r="AD11509" s="1"/>
      <c r="AE11509" s="1"/>
      <c r="AF11509" s="1"/>
      <c r="AG11509" s="1"/>
      <c r="AH11509" s="1"/>
    </row>
    <row r="11510" ht="12.75" customHeight="1">
      <c r="A11510" s="202">
        <v>43704.0</v>
      </c>
      <c r="B11510" s="985" t="s">
        <v>347</v>
      </c>
      <c r="C11510" s="985" t="s">
        <v>1146</v>
      </c>
      <c r="D11510" s="985">
        <v>75.0</v>
      </c>
      <c r="E11510" s="985">
        <v>136.574</v>
      </c>
      <c r="F11510" s="1027">
        <v>0.6361342592592593</v>
      </c>
      <c r="G11510" s="1028" t="s">
        <v>453</v>
      </c>
      <c r="H11510" s="937">
        <v>1.22</v>
      </c>
      <c r="I11510" s="1029" t="s">
        <v>3145</v>
      </c>
      <c r="J11510" s="67">
        <f t="shared" ref="J11510:J11512" si="649">IF(or(B11510="SLD",B11510="Rebal SLD"),D11510*E11510,-D11510*E11510)-H11510</f>
        <v>10241.83</v>
      </c>
      <c r="K11510" s="1"/>
      <c r="L11510" s="70"/>
      <c r="M11510" s="79"/>
      <c r="N11510" s="1"/>
      <c r="O11510" s="1"/>
      <c r="P11510" s="1"/>
      <c r="Q11510" s="1"/>
      <c r="R11510" s="1"/>
      <c r="S11510" s="1"/>
      <c r="T11510" s="1"/>
      <c r="U11510" s="1"/>
      <c r="V11510" s="1"/>
      <c r="W11510" s="1"/>
      <c r="X11510" s="1"/>
      <c r="Y11510" s="1"/>
      <c r="Z11510" s="1"/>
      <c r="AA11510" s="1"/>
      <c r="AB11510" s="1"/>
      <c r="AC11510" s="1"/>
      <c r="AD11510" s="1"/>
      <c r="AE11510" s="1"/>
      <c r="AF11510" s="1"/>
      <c r="AG11510" s="1"/>
      <c r="AH11510" s="1"/>
    </row>
    <row r="11511" ht="12.75" customHeight="1">
      <c r="A11511" s="202">
        <v>43704.0</v>
      </c>
      <c r="B11511" s="985" t="s">
        <v>347</v>
      </c>
      <c r="C11511" s="985" t="s">
        <v>1109</v>
      </c>
      <c r="D11511" s="985">
        <v>20.0</v>
      </c>
      <c r="E11511" s="985">
        <v>515.55</v>
      </c>
      <c r="F11511" s="1027">
        <v>0.6360763888888888</v>
      </c>
      <c r="G11511" s="1028" t="s">
        <v>453</v>
      </c>
      <c r="H11511" s="937">
        <v>1.22</v>
      </c>
      <c r="I11511" s="1029" t="s">
        <v>3145</v>
      </c>
      <c r="J11511" s="67">
        <f t="shared" si="649"/>
        <v>10309.78</v>
      </c>
      <c r="K11511" s="1"/>
      <c r="L11511" s="70"/>
      <c r="M11511" s="79"/>
      <c r="N11511" s="1"/>
      <c r="O11511" s="1"/>
      <c r="P11511" s="1"/>
      <c r="Q11511" s="1"/>
      <c r="R11511" s="1"/>
      <c r="S11511" s="1"/>
      <c r="T11511" s="1"/>
      <c r="U11511" s="1"/>
      <c r="V11511" s="1"/>
      <c r="W11511" s="1"/>
      <c r="X11511" s="1"/>
      <c r="Y11511" s="1"/>
      <c r="Z11511" s="1"/>
      <c r="AA11511" s="1"/>
      <c r="AB11511" s="1"/>
      <c r="AC11511" s="1"/>
      <c r="AD11511" s="1"/>
      <c r="AE11511" s="1"/>
      <c r="AF11511" s="1"/>
      <c r="AG11511" s="1"/>
      <c r="AH11511" s="1"/>
    </row>
    <row r="11512" ht="12.75" customHeight="1">
      <c r="A11512" s="202">
        <v>43704.0</v>
      </c>
      <c r="B11512" s="985" t="s">
        <v>347</v>
      </c>
      <c r="C11512" s="985" t="s">
        <v>605</v>
      </c>
      <c r="D11512" s="985">
        <v>100.0</v>
      </c>
      <c r="E11512" s="985">
        <v>94.855</v>
      </c>
      <c r="F11512" s="1027">
        <v>0.6351157407407407</v>
      </c>
      <c r="G11512" s="1028" t="s">
        <v>453</v>
      </c>
      <c r="H11512" s="937">
        <v>1.21</v>
      </c>
      <c r="I11512" s="1029" t="s">
        <v>3145</v>
      </c>
      <c r="J11512" s="67">
        <f t="shared" si="649"/>
        <v>9484.29</v>
      </c>
      <c r="K11512" s="1"/>
      <c r="L11512" s="70"/>
      <c r="M11512" s="79"/>
      <c r="N11512" s="1"/>
      <c r="O11512" s="1"/>
      <c r="P11512" s="1"/>
      <c r="Q11512" s="1"/>
      <c r="R11512" s="1"/>
      <c r="S11512" s="1"/>
      <c r="T11512" s="1"/>
      <c r="U11512" s="1"/>
      <c r="V11512" s="1"/>
      <c r="W11512" s="1"/>
      <c r="X11512" s="1"/>
      <c r="Y11512" s="1"/>
      <c r="Z11512" s="1"/>
      <c r="AA11512" s="1"/>
      <c r="AB11512" s="1"/>
      <c r="AC11512" s="1"/>
      <c r="AD11512" s="1"/>
      <c r="AE11512" s="1"/>
      <c r="AF11512" s="1"/>
      <c r="AG11512" s="1"/>
      <c r="AH11512" s="1"/>
    </row>
    <row r="11513" ht="12.75" customHeight="1">
      <c r="A11513" s="197">
        <v>43704.0</v>
      </c>
      <c r="B11513" s="992"/>
      <c r="C11513" s="32" t="s">
        <v>947</v>
      </c>
      <c r="D11513" s="1"/>
      <c r="E11513" s="94" t="s">
        <v>948</v>
      </c>
      <c r="F11513" s="1056" t="s">
        <v>949</v>
      </c>
      <c r="G11513" s="87"/>
      <c r="H11513" s="199"/>
      <c r="I11513" s="200">
        <v>1.0</v>
      </c>
      <c r="K11513" s="201" t="s">
        <v>3900</v>
      </c>
      <c r="L11513" s="77"/>
      <c r="M11513" s="79"/>
      <c r="N11513" s="1"/>
      <c r="O11513" s="1"/>
      <c r="P11513" s="1"/>
      <c r="Q11513" s="1"/>
      <c r="R11513" s="1"/>
      <c r="S11513" s="1"/>
      <c r="T11513" s="1"/>
      <c r="U11513" s="1"/>
      <c r="V11513" s="1"/>
      <c r="W11513" s="1"/>
      <c r="X11513" s="1"/>
      <c r="Y11513" s="1"/>
      <c r="Z11513" s="1"/>
      <c r="AA11513" s="1"/>
      <c r="AB11513" s="1"/>
      <c r="AC11513" s="1"/>
      <c r="AD11513" s="1"/>
      <c r="AE11513" s="1"/>
      <c r="AF11513" s="1"/>
      <c r="AG11513" s="1"/>
      <c r="AH11513" s="1"/>
    </row>
    <row r="11514" ht="12.75" customHeight="1">
      <c r="A11514" s="202">
        <v>43704.0</v>
      </c>
      <c r="B11514" s="992"/>
      <c r="C11514" s="32" t="s">
        <v>952</v>
      </c>
      <c r="D11514" s="1"/>
      <c r="F11514" s="1057" t="s">
        <v>953</v>
      </c>
      <c r="G11514" s="1"/>
      <c r="H11514" s="68"/>
      <c r="I11514" s="204">
        <v>0.0</v>
      </c>
      <c r="K11514" s="9" t="s">
        <v>3967</v>
      </c>
      <c r="L11514" s="77"/>
      <c r="M11514" s="79"/>
      <c r="N11514" s="1"/>
      <c r="O11514" s="1"/>
      <c r="P11514" s="1"/>
      <c r="Q11514" s="1"/>
      <c r="R11514" s="1"/>
      <c r="S11514" s="1"/>
      <c r="T11514" s="1"/>
      <c r="U11514" s="1"/>
      <c r="V11514" s="1"/>
      <c r="W11514" s="1"/>
      <c r="X11514" s="1"/>
      <c r="Y11514" s="1"/>
      <c r="Z11514" s="1"/>
      <c r="AA11514" s="1"/>
      <c r="AB11514" s="1"/>
      <c r="AC11514" s="1"/>
      <c r="AD11514" s="1"/>
      <c r="AE11514" s="1"/>
      <c r="AF11514" s="1"/>
      <c r="AG11514" s="1"/>
      <c r="AH11514" s="1"/>
    </row>
    <row r="11515" ht="12.75" customHeight="1">
      <c r="A11515" s="202">
        <v>43704.0</v>
      </c>
      <c r="B11515" s="992"/>
      <c r="C11515" s="32" t="s">
        <v>955</v>
      </c>
      <c r="D11515" s="1"/>
      <c r="F11515" s="203" t="s">
        <v>956</v>
      </c>
      <c r="G11515" s="1"/>
      <c r="H11515" s="68"/>
      <c r="I11515" s="204">
        <v>0.0</v>
      </c>
      <c r="K11515" s="9" t="s">
        <v>3968</v>
      </c>
      <c r="L11515" s="77"/>
      <c r="M11515" s="79"/>
      <c r="N11515" s="1"/>
      <c r="O11515" s="1"/>
      <c r="P11515" s="1"/>
      <c r="Q11515" s="1"/>
      <c r="R11515" s="1"/>
      <c r="S11515" s="1"/>
      <c r="T11515" s="1"/>
      <c r="U11515" s="1"/>
      <c r="V11515" s="1"/>
      <c r="W11515" s="1"/>
      <c r="X11515" s="1"/>
      <c r="Y11515" s="1"/>
      <c r="Z11515" s="1"/>
      <c r="AA11515" s="1"/>
      <c r="AB11515" s="1"/>
      <c r="AC11515" s="1"/>
      <c r="AD11515" s="1"/>
      <c r="AE11515" s="1"/>
      <c r="AF11515" s="1"/>
      <c r="AG11515" s="1"/>
      <c r="AH11515" s="1"/>
    </row>
    <row r="11516" ht="12.75" customHeight="1">
      <c r="A11516" s="202">
        <v>43704.0</v>
      </c>
      <c r="B11516" s="992"/>
      <c r="C11516" s="32" t="s">
        <v>958</v>
      </c>
      <c r="D11516" s="1"/>
      <c r="F11516" s="203" t="s">
        <v>959</v>
      </c>
      <c r="G11516" s="1"/>
      <c r="H11516" s="68"/>
      <c r="I11516" s="204">
        <v>1.0</v>
      </c>
      <c r="K11516" s="9" t="s">
        <v>3969</v>
      </c>
      <c r="L11516" s="77"/>
      <c r="M11516" s="79"/>
      <c r="N11516" s="1"/>
      <c r="O11516" s="1"/>
      <c r="P11516" s="1"/>
      <c r="Q11516" s="1"/>
      <c r="R11516" s="1"/>
      <c r="S11516" s="1"/>
      <c r="T11516" s="1"/>
      <c r="U11516" s="1"/>
      <c r="V11516" s="1"/>
      <c r="W11516" s="1"/>
      <c r="X11516" s="1"/>
      <c r="Y11516" s="1"/>
      <c r="Z11516" s="1"/>
      <c r="AA11516" s="1"/>
      <c r="AB11516" s="1"/>
      <c r="AC11516" s="1"/>
      <c r="AD11516" s="1"/>
      <c r="AE11516" s="1"/>
      <c r="AF11516" s="1"/>
      <c r="AG11516" s="1"/>
      <c r="AH11516" s="1"/>
    </row>
    <row r="11517" ht="12.75" customHeight="1">
      <c r="A11517" s="202">
        <v>43704.0</v>
      </c>
      <c r="B11517" s="992"/>
      <c r="C11517" s="32" t="s">
        <v>961</v>
      </c>
      <c r="D11517" s="1"/>
      <c r="F11517" s="206" t="s">
        <v>3721</v>
      </c>
      <c r="G11517" s="207"/>
      <c r="H11517" s="208"/>
      <c r="I11517" s="209">
        <v>2.0</v>
      </c>
      <c r="K11517" s="9" t="s">
        <v>964</v>
      </c>
      <c r="L11517" s="77"/>
      <c r="M11517" s="79"/>
      <c r="N11517" s="1"/>
      <c r="O11517" s="1"/>
      <c r="P11517" s="1"/>
      <c r="Q11517" s="1"/>
      <c r="R11517" s="1"/>
      <c r="S11517" s="1"/>
      <c r="T11517" s="1"/>
      <c r="U11517" s="1"/>
      <c r="V11517" s="1"/>
      <c r="W11517" s="1"/>
      <c r="X11517" s="1"/>
      <c r="Y11517" s="1"/>
      <c r="Z11517" s="1"/>
      <c r="AA11517" s="1"/>
      <c r="AB11517" s="1"/>
      <c r="AC11517" s="1"/>
      <c r="AD11517" s="1"/>
      <c r="AE11517" s="1"/>
      <c r="AF11517" s="1"/>
      <c r="AG11517" s="1"/>
      <c r="AH11517" s="1"/>
    </row>
    <row r="11518" ht="12.75" customHeight="1">
      <c r="A11518" s="122">
        <v>43705.0</v>
      </c>
      <c r="B11518" s="974" t="s">
        <v>343</v>
      </c>
      <c r="C11518" s="32" t="s">
        <v>3040</v>
      </c>
      <c r="D11518" s="9">
        <v>50.0</v>
      </c>
      <c r="E11518" s="9">
        <v>199.78</v>
      </c>
      <c r="F11518" s="709">
        <v>0.5117824074074074</v>
      </c>
      <c r="G11518" s="195" t="s">
        <v>453</v>
      </c>
      <c r="H11518" s="710">
        <v>1.0</v>
      </c>
      <c r="I11518" s="256" t="s">
        <v>3145</v>
      </c>
      <c r="J11518" s="67">
        <f>IF(or(B11518="SLD",B11518="Rebal SLD"),D11518*E11518,-D11518*E11518)-H11518</f>
        <v>-9990</v>
      </c>
      <c r="K11518" s="1"/>
      <c r="L11518" s="70"/>
      <c r="M11518" s="79"/>
      <c r="N11518" s="1"/>
      <c r="O11518" s="1"/>
      <c r="P11518" s="1"/>
      <c r="Q11518" s="1"/>
      <c r="R11518" s="1"/>
      <c r="S11518" s="1"/>
      <c r="T11518" s="1"/>
      <c r="U11518" s="1"/>
      <c r="V11518" s="1"/>
      <c r="W11518" s="1"/>
      <c r="X11518" s="1"/>
      <c r="Y11518" s="1"/>
      <c r="Z11518" s="1"/>
      <c r="AA11518" s="1"/>
      <c r="AB11518" s="1"/>
      <c r="AC11518" s="1"/>
      <c r="AD11518" s="1"/>
      <c r="AE11518" s="1"/>
      <c r="AF11518" s="1"/>
      <c r="AG11518" s="1"/>
      <c r="AH11518" s="1"/>
    </row>
    <row r="11519" ht="12.75" customHeight="1">
      <c r="A11519" s="197">
        <v>43705.0</v>
      </c>
      <c r="B11519" s="992"/>
      <c r="C11519" s="32" t="s">
        <v>947</v>
      </c>
      <c r="D11519" s="1"/>
      <c r="E11519" s="94" t="s">
        <v>948</v>
      </c>
      <c r="F11519" s="1056" t="s">
        <v>949</v>
      </c>
      <c r="G11519" s="87"/>
      <c r="H11519" s="199"/>
      <c r="I11519" s="200">
        <v>1.0</v>
      </c>
      <c r="K11519" s="201" t="s">
        <v>3900</v>
      </c>
      <c r="L11519" s="77"/>
      <c r="M11519" s="79"/>
      <c r="N11519" s="1"/>
      <c r="O11519" s="1"/>
      <c r="P11519" s="1"/>
      <c r="Q11519" s="1"/>
      <c r="R11519" s="1"/>
      <c r="S11519" s="1"/>
      <c r="T11519" s="1"/>
      <c r="U11519" s="1"/>
      <c r="V11519" s="1"/>
      <c r="W11519" s="1"/>
      <c r="X11519" s="1"/>
      <c r="Y11519" s="1"/>
      <c r="Z11519" s="1"/>
      <c r="AA11519" s="1"/>
      <c r="AB11519" s="1"/>
      <c r="AC11519" s="1"/>
      <c r="AD11519" s="1"/>
      <c r="AE11519" s="1"/>
      <c r="AF11519" s="1"/>
      <c r="AG11519" s="1"/>
      <c r="AH11519" s="1"/>
    </row>
    <row r="11520" ht="12.75" customHeight="1">
      <c r="A11520" s="202">
        <v>43705.0</v>
      </c>
      <c r="B11520" s="992"/>
      <c r="C11520" s="32" t="s">
        <v>952</v>
      </c>
      <c r="D11520" s="1"/>
      <c r="F11520" s="1057" t="s">
        <v>953</v>
      </c>
      <c r="G11520" s="1"/>
      <c r="H11520" s="68"/>
      <c r="I11520" s="204">
        <v>0.0</v>
      </c>
      <c r="K11520" s="9" t="s">
        <v>3967</v>
      </c>
      <c r="L11520" s="77"/>
      <c r="M11520" s="79"/>
      <c r="N11520" s="1"/>
      <c r="O11520" s="1"/>
      <c r="P11520" s="1"/>
      <c r="Q11520" s="1"/>
      <c r="R11520" s="1"/>
      <c r="S11520" s="1"/>
      <c r="T11520" s="1"/>
      <c r="U11520" s="1"/>
      <c r="V11520" s="1"/>
      <c r="W11520" s="1"/>
      <c r="X11520" s="1"/>
      <c r="Y11520" s="1"/>
      <c r="Z11520" s="1"/>
      <c r="AA11520" s="1"/>
      <c r="AB11520" s="1"/>
      <c r="AC11520" s="1"/>
      <c r="AD11520" s="1"/>
      <c r="AE11520" s="1"/>
      <c r="AF11520" s="1"/>
      <c r="AG11520" s="1"/>
      <c r="AH11520" s="1"/>
    </row>
    <row r="11521" ht="12.75" customHeight="1">
      <c r="A11521" s="202">
        <v>43705.0</v>
      </c>
      <c r="B11521" s="992"/>
      <c r="C11521" s="32" t="s">
        <v>955</v>
      </c>
      <c r="D11521" s="1"/>
      <c r="F11521" s="203" t="s">
        <v>956</v>
      </c>
      <c r="G11521" s="1"/>
      <c r="H11521" s="68"/>
      <c r="I11521" s="204">
        <v>0.0</v>
      </c>
      <c r="K11521" s="9" t="s">
        <v>3968</v>
      </c>
      <c r="L11521" s="77"/>
      <c r="M11521" s="79"/>
      <c r="N11521" s="1"/>
      <c r="O11521" s="1"/>
      <c r="P11521" s="1"/>
      <c r="Q11521" s="1"/>
      <c r="R11521" s="1"/>
      <c r="S11521" s="1"/>
      <c r="T11521" s="1"/>
      <c r="U11521" s="1"/>
      <c r="V11521" s="1"/>
      <c r="W11521" s="1"/>
      <c r="X11521" s="1"/>
      <c r="Y11521" s="1"/>
      <c r="Z11521" s="1"/>
      <c r="AA11521" s="1"/>
      <c r="AB11521" s="1"/>
      <c r="AC11521" s="1"/>
      <c r="AD11521" s="1"/>
      <c r="AE11521" s="1"/>
      <c r="AF11521" s="1"/>
      <c r="AG11521" s="1"/>
      <c r="AH11521" s="1"/>
    </row>
    <row r="11522" ht="12.75" customHeight="1">
      <c r="A11522" s="202">
        <v>43705.0</v>
      </c>
      <c r="B11522" s="992"/>
      <c r="C11522" s="32" t="s">
        <v>958</v>
      </c>
      <c r="D11522" s="1"/>
      <c r="F11522" s="203" t="s">
        <v>959</v>
      </c>
      <c r="G11522" s="1"/>
      <c r="H11522" s="68"/>
      <c r="I11522" s="204">
        <v>1.0</v>
      </c>
      <c r="K11522" s="9" t="s">
        <v>3970</v>
      </c>
      <c r="L11522" s="77"/>
      <c r="M11522" s="79"/>
      <c r="N11522" s="1"/>
      <c r="O11522" s="1"/>
      <c r="P11522" s="1"/>
      <c r="Q11522" s="1"/>
      <c r="R11522" s="1"/>
      <c r="S11522" s="1"/>
      <c r="T11522" s="1"/>
      <c r="U11522" s="1"/>
      <c r="V11522" s="1"/>
      <c r="W11522" s="1"/>
      <c r="X11522" s="1"/>
      <c r="Y11522" s="1"/>
      <c r="Z11522" s="1"/>
      <c r="AA11522" s="1"/>
      <c r="AB11522" s="1"/>
      <c r="AC11522" s="1"/>
      <c r="AD11522" s="1"/>
      <c r="AE11522" s="1"/>
      <c r="AF11522" s="1"/>
      <c r="AG11522" s="1"/>
      <c r="AH11522" s="1"/>
    </row>
    <row r="11523" ht="12.75" customHeight="1">
      <c r="A11523" s="202">
        <v>43705.0</v>
      </c>
      <c r="B11523" s="992"/>
      <c r="C11523" s="32" t="s">
        <v>961</v>
      </c>
      <c r="D11523" s="1"/>
      <c r="F11523" s="206" t="s">
        <v>3721</v>
      </c>
      <c r="G11523" s="207"/>
      <c r="H11523" s="208"/>
      <c r="I11523" s="209">
        <v>2.0</v>
      </c>
      <c r="K11523" s="9" t="s">
        <v>964</v>
      </c>
      <c r="L11523" s="77"/>
      <c r="M11523" s="79"/>
      <c r="N11523" s="1"/>
      <c r="O11523" s="1"/>
      <c r="P11523" s="1"/>
      <c r="Q11523" s="1"/>
      <c r="R11523" s="1"/>
      <c r="S11523" s="1"/>
      <c r="T11523" s="1"/>
      <c r="U11523" s="1"/>
      <c r="V11523" s="1"/>
      <c r="W11523" s="1"/>
      <c r="X11523" s="1"/>
      <c r="Y11523" s="1"/>
      <c r="Z11523" s="1"/>
      <c r="AA11523" s="1"/>
      <c r="AB11523" s="1"/>
      <c r="AC11523" s="1"/>
      <c r="AD11523" s="1"/>
      <c r="AE11523" s="1"/>
      <c r="AF11523" s="1"/>
      <c r="AG11523" s="1"/>
      <c r="AH11523" s="1"/>
    </row>
    <row r="11524" ht="12.75" customHeight="1">
      <c r="A11524" s="122">
        <v>43706.0</v>
      </c>
      <c r="B11524" s="974" t="s">
        <v>343</v>
      </c>
      <c r="C11524" s="32" t="s">
        <v>3040</v>
      </c>
      <c r="D11524" s="9">
        <v>100.0</v>
      </c>
      <c r="E11524" s="9">
        <v>202.1773</v>
      </c>
      <c r="F11524" s="1059">
        <v>43706.445972222224</v>
      </c>
      <c r="G11524" s="195" t="s">
        <v>453</v>
      </c>
      <c r="H11524" s="710">
        <v>1.0</v>
      </c>
      <c r="I11524" s="256" t="s">
        <v>3145</v>
      </c>
      <c r="J11524" s="67">
        <f t="shared" ref="J11524:J11538" si="650">IF(or(B11524="SLD",B11524="Rebal SLD"),D11524*E11524,-D11524*E11524)-H11524</f>
        <v>-20218.73</v>
      </c>
      <c r="K11524" s="1"/>
      <c r="L11524" s="70"/>
      <c r="M11524" s="79"/>
      <c r="N11524" s="1"/>
      <c r="O11524" s="1"/>
      <c r="P11524" s="1"/>
      <c r="Q11524" s="1"/>
      <c r="R11524" s="1"/>
      <c r="S11524" s="1"/>
      <c r="T11524" s="1"/>
      <c r="U11524" s="1"/>
      <c r="V11524" s="1"/>
      <c r="W11524" s="1"/>
      <c r="X11524" s="1"/>
      <c r="Y11524" s="1"/>
      <c r="Z11524" s="1"/>
      <c r="AA11524" s="1"/>
      <c r="AB11524" s="1"/>
      <c r="AC11524" s="1"/>
      <c r="AD11524" s="1"/>
      <c r="AE11524" s="1"/>
      <c r="AF11524" s="1"/>
      <c r="AG11524" s="1"/>
      <c r="AH11524" s="1"/>
    </row>
    <row r="11525" ht="12.75" customHeight="1">
      <c r="A11525" s="1060">
        <v>43707.0</v>
      </c>
      <c r="B11525" s="974" t="s">
        <v>347</v>
      </c>
      <c r="C11525" s="32" t="s">
        <v>1035</v>
      </c>
      <c r="D11525" s="9">
        <v>5.0</v>
      </c>
      <c r="E11525" s="9">
        <v>1188.1</v>
      </c>
      <c r="F11525" s="1059">
        <v>43707.4959375</v>
      </c>
      <c r="G11525" s="195" t="s">
        <v>453</v>
      </c>
      <c r="H11525" s="710">
        <v>1.12</v>
      </c>
      <c r="I11525" s="256" t="s">
        <v>3145</v>
      </c>
      <c r="J11525" s="67">
        <f t="shared" si="650"/>
        <v>5939.38</v>
      </c>
      <c r="K11525" s="1"/>
      <c r="L11525" s="70"/>
      <c r="M11525" s="79"/>
      <c r="N11525" s="1"/>
      <c r="O11525" s="1"/>
      <c r="P11525" s="1"/>
      <c r="Q11525" s="1"/>
      <c r="R11525" s="1"/>
      <c r="S11525" s="1"/>
      <c r="T11525" s="1"/>
      <c r="U11525" s="1"/>
      <c r="V11525" s="1"/>
      <c r="W11525" s="1"/>
      <c r="X11525" s="1"/>
      <c r="Y11525" s="1"/>
      <c r="Z11525" s="1"/>
      <c r="AA11525" s="1"/>
      <c r="AB11525" s="1"/>
      <c r="AC11525" s="1"/>
      <c r="AD11525" s="1"/>
      <c r="AE11525" s="1"/>
      <c r="AF11525" s="1"/>
      <c r="AG11525" s="1"/>
      <c r="AH11525" s="1"/>
    </row>
    <row r="11526" ht="12.75" customHeight="1">
      <c r="A11526" s="122">
        <v>43707.0</v>
      </c>
      <c r="B11526" s="974" t="s">
        <v>347</v>
      </c>
      <c r="C11526" s="32" t="s">
        <v>1040</v>
      </c>
      <c r="D11526" s="9">
        <v>50.0</v>
      </c>
      <c r="E11526" s="9">
        <v>137.135</v>
      </c>
      <c r="F11526" s="1059">
        <v>43707.49386574074</v>
      </c>
      <c r="G11526" s="195" t="s">
        <v>453</v>
      </c>
      <c r="H11526" s="710">
        <v>1.15</v>
      </c>
      <c r="I11526" s="256" t="s">
        <v>3145</v>
      </c>
      <c r="J11526" s="67">
        <f t="shared" si="650"/>
        <v>6855.6</v>
      </c>
      <c r="K11526" s="1"/>
      <c r="L11526" s="70"/>
      <c r="M11526" s="79"/>
      <c r="N11526" s="1"/>
      <c r="O11526" s="1"/>
      <c r="P11526" s="1"/>
      <c r="Q11526" s="1"/>
      <c r="R11526" s="1"/>
      <c r="S11526" s="1"/>
      <c r="T11526" s="1"/>
      <c r="U11526" s="1"/>
      <c r="V11526" s="1"/>
      <c r="W11526" s="1"/>
      <c r="X11526" s="1"/>
      <c r="Y11526" s="1"/>
      <c r="Z11526" s="1"/>
      <c r="AA11526" s="1"/>
      <c r="AB11526" s="1"/>
      <c r="AC11526" s="1"/>
      <c r="AD11526" s="1"/>
      <c r="AE11526" s="1"/>
      <c r="AF11526" s="1"/>
      <c r="AG11526" s="1"/>
      <c r="AH11526" s="1"/>
    </row>
    <row r="11527" ht="12.75" customHeight="1">
      <c r="A11527" s="122">
        <v>43707.0</v>
      </c>
      <c r="B11527" s="974" t="s">
        <v>347</v>
      </c>
      <c r="C11527" s="32" t="s">
        <v>1088</v>
      </c>
      <c r="D11527" s="9">
        <v>3.0</v>
      </c>
      <c r="E11527" s="9">
        <v>3594.55</v>
      </c>
      <c r="F11527" s="1059">
        <v>43707.49334490741</v>
      </c>
      <c r="G11527" s="195" t="s">
        <v>453</v>
      </c>
      <c r="H11527" s="710">
        <v>1.22</v>
      </c>
      <c r="I11527" s="256" t="s">
        <v>3145</v>
      </c>
      <c r="J11527" s="67">
        <f t="shared" si="650"/>
        <v>10782.43</v>
      </c>
      <c r="K11527" s="1"/>
      <c r="L11527" s="70"/>
      <c r="M11527" s="79"/>
      <c r="N11527" s="1"/>
      <c r="O11527" s="1"/>
      <c r="P11527" s="1"/>
      <c r="Q11527" s="1"/>
      <c r="R11527" s="1"/>
      <c r="S11527" s="1"/>
      <c r="T11527" s="1"/>
      <c r="U11527" s="1"/>
      <c r="V11527" s="1"/>
      <c r="W11527" s="1"/>
      <c r="X11527" s="1"/>
      <c r="Y11527" s="1"/>
      <c r="Z11527" s="1"/>
      <c r="AA11527" s="1"/>
      <c r="AB11527" s="1"/>
      <c r="AC11527" s="1"/>
      <c r="AD11527" s="1"/>
      <c r="AE11527" s="1"/>
      <c r="AF11527" s="1"/>
      <c r="AG11527" s="1"/>
      <c r="AH11527" s="1"/>
    </row>
    <row r="11528" ht="12.75" customHeight="1">
      <c r="A11528" s="122">
        <v>43707.0</v>
      </c>
      <c r="B11528" s="974" t="s">
        <v>347</v>
      </c>
      <c r="C11528" s="32" t="s">
        <v>1074</v>
      </c>
      <c r="D11528" s="9">
        <v>50.0</v>
      </c>
      <c r="E11528" s="9">
        <v>228.07</v>
      </c>
      <c r="F11528" s="1059">
        <v>43707.49288194445</v>
      </c>
      <c r="G11528" s="195" t="s">
        <v>453</v>
      </c>
      <c r="H11528" s="710">
        <v>1.24</v>
      </c>
      <c r="I11528" s="256" t="s">
        <v>3145</v>
      </c>
      <c r="J11528" s="67">
        <f t="shared" si="650"/>
        <v>11402.26</v>
      </c>
      <c r="K11528" s="1"/>
      <c r="L11528" s="70"/>
      <c r="M11528" s="79"/>
      <c r="N11528" s="1"/>
      <c r="O11528" s="1"/>
      <c r="P11528" s="1"/>
      <c r="Q11528" s="1"/>
      <c r="R11528" s="1"/>
      <c r="S11528" s="1"/>
      <c r="T11528" s="1"/>
      <c r="U11528" s="1"/>
      <c r="V11528" s="1"/>
      <c r="W11528" s="1"/>
      <c r="X11528" s="1"/>
      <c r="Y11528" s="1"/>
      <c r="Z11528" s="1"/>
      <c r="AA11528" s="1"/>
      <c r="AB11528" s="1"/>
      <c r="AC11528" s="1"/>
      <c r="AD11528" s="1"/>
      <c r="AE11528" s="1"/>
      <c r="AF11528" s="1"/>
      <c r="AG11528" s="1"/>
      <c r="AH11528" s="1"/>
    </row>
    <row r="11529" ht="12.75" customHeight="1">
      <c r="A11529" s="122">
        <v>43707.0</v>
      </c>
      <c r="B11529" s="974" t="s">
        <v>347</v>
      </c>
      <c r="C11529" s="32" t="s">
        <v>346</v>
      </c>
      <c r="D11529" s="9">
        <v>50.0</v>
      </c>
      <c r="E11529" s="9">
        <v>207.523</v>
      </c>
      <c r="F11529" s="1059">
        <v>43707.485763888886</v>
      </c>
      <c r="G11529" s="195" t="s">
        <v>453</v>
      </c>
      <c r="H11529" s="710">
        <v>1.22</v>
      </c>
      <c r="I11529" s="256" t="s">
        <v>3145</v>
      </c>
      <c r="J11529" s="67">
        <f t="shared" si="650"/>
        <v>10374.93</v>
      </c>
      <c r="K11529" s="1"/>
      <c r="L11529" s="70"/>
      <c r="M11529" s="79"/>
      <c r="N11529" s="1"/>
      <c r="O11529" s="1"/>
      <c r="P11529" s="1"/>
      <c r="Q11529" s="1"/>
      <c r="R11529" s="1"/>
      <c r="S11529" s="1"/>
      <c r="T11529" s="1"/>
      <c r="U11529" s="1"/>
      <c r="V11529" s="1"/>
      <c r="W11529" s="1"/>
      <c r="X11529" s="1"/>
      <c r="Y11529" s="1"/>
      <c r="Z11529" s="1"/>
      <c r="AA11529" s="1"/>
      <c r="AB11529" s="1"/>
      <c r="AC11529" s="1"/>
      <c r="AD11529" s="1"/>
      <c r="AE11529" s="1"/>
      <c r="AF11529" s="1"/>
      <c r="AG11529" s="1"/>
      <c r="AH11529" s="1"/>
    </row>
    <row r="11530" ht="12.75" customHeight="1">
      <c r="A11530" s="122">
        <v>43707.0</v>
      </c>
      <c r="B11530" s="974" t="s">
        <v>347</v>
      </c>
      <c r="C11530" s="32" t="s">
        <v>1035</v>
      </c>
      <c r="D11530" s="9">
        <v>5.0</v>
      </c>
      <c r="E11530" s="9">
        <v>1189.19</v>
      </c>
      <c r="F11530" s="1059">
        <v>43707.48431712963</v>
      </c>
      <c r="G11530" s="195" t="s">
        <v>453</v>
      </c>
      <c r="H11530" s="710">
        <v>1.12</v>
      </c>
      <c r="I11530" s="256" t="s">
        <v>3145</v>
      </c>
      <c r="J11530" s="67">
        <f t="shared" si="650"/>
        <v>5944.83</v>
      </c>
      <c r="K11530" s="201"/>
      <c r="L11530" s="70"/>
      <c r="M11530" s="79"/>
      <c r="N11530" s="1"/>
      <c r="O11530" s="1"/>
      <c r="P11530" s="1"/>
      <c r="Q11530" s="1"/>
      <c r="R11530" s="1"/>
      <c r="S11530" s="1"/>
      <c r="T11530" s="1"/>
      <c r="U11530" s="1"/>
      <c r="V11530" s="1"/>
      <c r="W11530" s="1"/>
      <c r="X11530" s="1"/>
      <c r="Y11530" s="1"/>
      <c r="Z11530" s="1"/>
      <c r="AA11530" s="1"/>
      <c r="AB11530" s="1"/>
      <c r="AC11530" s="1"/>
      <c r="AD11530" s="1"/>
      <c r="AE11530" s="1"/>
      <c r="AF11530" s="1"/>
      <c r="AG11530" s="1"/>
      <c r="AH11530" s="1"/>
    </row>
    <row r="11531" ht="12.75" customHeight="1">
      <c r="A11531" s="122">
        <v>43707.0</v>
      </c>
      <c r="B11531" s="974" t="s">
        <v>347</v>
      </c>
      <c r="C11531" s="32" t="s">
        <v>1114</v>
      </c>
      <c r="D11531" s="9">
        <v>150.0</v>
      </c>
      <c r="E11531" s="9">
        <v>41.17</v>
      </c>
      <c r="F11531" s="1059">
        <v>43707.48217592593</v>
      </c>
      <c r="G11531" s="195" t="s">
        <v>453</v>
      </c>
      <c r="H11531" s="710">
        <v>1.15</v>
      </c>
      <c r="I11531" s="256" t="s">
        <v>3145</v>
      </c>
      <c r="J11531" s="67">
        <f t="shared" si="650"/>
        <v>6174.35</v>
      </c>
      <c r="K11531" s="201"/>
      <c r="L11531" s="70"/>
      <c r="M11531" s="79"/>
      <c r="N11531" s="1"/>
      <c r="O11531" s="1"/>
      <c r="P11531" s="1"/>
      <c r="Q11531" s="1"/>
      <c r="R11531" s="1"/>
      <c r="S11531" s="1"/>
      <c r="T11531" s="1"/>
      <c r="U11531" s="1"/>
      <c r="V11531" s="1"/>
      <c r="W11531" s="1"/>
      <c r="X11531" s="1"/>
      <c r="Y11531" s="1"/>
      <c r="Z11531" s="1"/>
      <c r="AA11531" s="1"/>
      <c r="AB11531" s="1"/>
      <c r="AC11531" s="1"/>
      <c r="AD11531" s="1"/>
      <c r="AE11531" s="1"/>
      <c r="AF11531" s="1"/>
      <c r="AG11531" s="1"/>
      <c r="AH11531" s="1"/>
    </row>
    <row r="11532" ht="12.75" customHeight="1">
      <c r="A11532" s="122">
        <v>43707.0</v>
      </c>
      <c r="B11532" s="974" t="s">
        <v>347</v>
      </c>
      <c r="C11532" s="32" t="s">
        <v>1053</v>
      </c>
      <c r="D11532" s="9">
        <v>5.0</v>
      </c>
      <c r="E11532" s="9">
        <v>1771.45</v>
      </c>
      <c r="F11532" s="1059">
        <v>43707.48019675926</v>
      </c>
      <c r="G11532" s="195" t="s">
        <v>453</v>
      </c>
      <c r="H11532" s="710">
        <v>1.18</v>
      </c>
      <c r="I11532" s="256" t="s">
        <v>3145</v>
      </c>
      <c r="J11532" s="67">
        <f t="shared" si="650"/>
        <v>8856.07</v>
      </c>
      <c r="K11532" s="201"/>
      <c r="L11532" s="70"/>
      <c r="M11532" s="79"/>
      <c r="N11532" s="1"/>
      <c r="O11532" s="1"/>
      <c r="P11532" s="1"/>
      <c r="Q11532" s="1"/>
      <c r="R11532" s="1"/>
      <c r="S11532" s="1"/>
      <c r="T11532" s="1"/>
      <c r="U11532" s="1"/>
      <c r="V11532" s="1"/>
      <c r="W11532" s="1"/>
      <c r="X11532" s="1"/>
      <c r="Y11532" s="1"/>
      <c r="Z11532" s="1"/>
      <c r="AA11532" s="1"/>
      <c r="AB11532" s="1"/>
      <c r="AC11532" s="1"/>
      <c r="AD11532" s="1"/>
      <c r="AE11532" s="1"/>
      <c r="AF11532" s="1"/>
      <c r="AG11532" s="1"/>
      <c r="AH11532" s="1"/>
    </row>
    <row r="11533" ht="12.75" customHeight="1">
      <c r="A11533" s="122">
        <v>43707.0</v>
      </c>
      <c r="B11533" s="974" t="s">
        <v>347</v>
      </c>
      <c r="C11533" s="32" t="s">
        <v>1074</v>
      </c>
      <c r="D11533" s="9">
        <v>50.0</v>
      </c>
      <c r="E11533" s="9">
        <v>227.1</v>
      </c>
      <c r="F11533" s="1059">
        <v>43707.480092592596</v>
      </c>
      <c r="G11533" s="195" t="s">
        <v>453</v>
      </c>
      <c r="H11533" s="710">
        <v>1.24</v>
      </c>
      <c r="I11533" s="256" t="s">
        <v>3145</v>
      </c>
      <c r="J11533" s="67">
        <f t="shared" si="650"/>
        <v>11353.76</v>
      </c>
      <c r="K11533" s="201"/>
      <c r="L11533" s="70"/>
      <c r="M11533" s="79"/>
      <c r="N11533" s="1"/>
      <c r="O11533" s="1"/>
      <c r="P11533" s="1"/>
      <c r="Q11533" s="1"/>
      <c r="R11533" s="1"/>
      <c r="S11533" s="1"/>
      <c r="T11533" s="1"/>
      <c r="U11533" s="1"/>
      <c r="V11533" s="1"/>
      <c r="W11533" s="1"/>
      <c r="X11533" s="1"/>
      <c r="Y11533" s="1"/>
      <c r="Z11533" s="1"/>
      <c r="AA11533" s="1"/>
      <c r="AB11533" s="1"/>
      <c r="AC11533" s="1"/>
      <c r="AD11533" s="1"/>
      <c r="AE11533" s="1"/>
      <c r="AF11533" s="1"/>
      <c r="AG11533" s="1"/>
      <c r="AH11533" s="1"/>
    </row>
    <row r="11534" ht="12.75" customHeight="1">
      <c r="A11534" s="122">
        <v>43707.0</v>
      </c>
      <c r="B11534" s="974" t="s">
        <v>347</v>
      </c>
      <c r="C11534" s="32" t="s">
        <v>1079</v>
      </c>
      <c r="D11534" s="9">
        <v>100.0</v>
      </c>
      <c r="E11534" s="9">
        <v>131.334</v>
      </c>
      <c r="F11534" s="1059">
        <v>43707.47818287037</v>
      </c>
      <c r="G11534" s="195" t="s">
        <v>453</v>
      </c>
      <c r="H11534" s="710">
        <v>1.28</v>
      </c>
      <c r="I11534" s="256" t="s">
        <v>3145</v>
      </c>
      <c r="J11534" s="67">
        <f t="shared" si="650"/>
        <v>13132.12</v>
      </c>
      <c r="K11534" s="201"/>
      <c r="L11534" s="70"/>
      <c r="M11534" s="79"/>
      <c r="N11534" s="1"/>
      <c r="O11534" s="1"/>
      <c r="P11534" s="1"/>
      <c r="Q11534" s="1"/>
      <c r="R11534" s="1"/>
      <c r="S11534" s="1"/>
      <c r="T11534" s="1"/>
      <c r="U11534" s="1"/>
      <c r="V11534" s="1"/>
      <c r="W11534" s="1"/>
      <c r="X11534" s="1"/>
      <c r="Y11534" s="1"/>
      <c r="Z11534" s="1"/>
      <c r="AA11534" s="1"/>
      <c r="AB11534" s="1"/>
      <c r="AC11534" s="1"/>
      <c r="AD11534" s="1"/>
      <c r="AE11534" s="1"/>
      <c r="AF11534" s="1"/>
      <c r="AG11534" s="1"/>
      <c r="AH11534" s="1"/>
    </row>
    <row r="11535" ht="12.75" customHeight="1">
      <c r="A11535" s="122">
        <v>43707.0</v>
      </c>
      <c r="B11535" s="974" t="s">
        <v>347</v>
      </c>
      <c r="C11535" s="32" t="s">
        <v>1040</v>
      </c>
      <c r="D11535" s="9">
        <v>50.0</v>
      </c>
      <c r="E11535" s="9">
        <v>136.57</v>
      </c>
      <c r="F11535" s="1059">
        <v>43707.478113425925</v>
      </c>
      <c r="G11535" s="195" t="s">
        <v>453</v>
      </c>
      <c r="H11535" s="710">
        <v>1.15</v>
      </c>
      <c r="I11535" s="256" t="s">
        <v>3145</v>
      </c>
      <c r="J11535" s="67">
        <f t="shared" si="650"/>
        <v>6827.35</v>
      </c>
      <c r="K11535" s="201"/>
      <c r="L11535" s="70"/>
      <c r="M11535" s="79"/>
      <c r="N11535" s="1"/>
      <c r="O11535" s="1"/>
      <c r="P11535" s="1"/>
      <c r="Q11535" s="1"/>
      <c r="R11535" s="1"/>
      <c r="S11535" s="1"/>
      <c r="T11535" s="1"/>
      <c r="U11535" s="1"/>
      <c r="V11535" s="1"/>
      <c r="W11535" s="1"/>
      <c r="X11535" s="1"/>
      <c r="Y11535" s="1"/>
      <c r="Z11535" s="1"/>
      <c r="AA11535" s="1"/>
      <c r="AB11535" s="1"/>
      <c r="AC11535" s="1"/>
      <c r="AD11535" s="1"/>
      <c r="AE11535" s="1"/>
      <c r="AF11535" s="1"/>
      <c r="AG11535" s="1"/>
      <c r="AH11535" s="1"/>
    </row>
    <row r="11536" ht="12.75" customHeight="1">
      <c r="A11536" s="122">
        <v>43707.0</v>
      </c>
      <c r="B11536" s="974" t="s">
        <v>347</v>
      </c>
      <c r="C11536" s="32" t="s">
        <v>388</v>
      </c>
      <c r="D11536" s="9">
        <v>30.0</v>
      </c>
      <c r="E11536" s="9">
        <v>279.125</v>
      </c>
      <c r="F11536" s="1059">
        <v>43707.47721064815</v>
      </c>
      <c r="G11536" s="195" t="s">
        <v>453</v>
      </c>
      <c r="H11536" s="710">
        <v>1.18</v>
      </c>
      <c r="I11536" s="256" t="s">
        <v>3145</v>
      </c>
      <c r="J11536" s="67">
        <f t="shared" si="650"/>
        <v>8372.57</v>
      </c>
      <c r="K11536" s="201"/>
      <c r="L11536" s="70"/>
      <c r="M11536" s="79"/>
      <c r="N11536" s="1"/>
      <c r="O11536" s="1"/>
      <c r="P11536" s="1"/>
      <c r="Q11536" s="1"/>
      <c r="R11536" s="1"/>
      <c r="S11536" s="1"/>
      <c r="T11536" s="1"/>
      <c r="U11536" s="1"/>
      <c r="V11536" s="1"/>
      <c r="W11536" s="1"/>
      <c r="X11536" s="1"/>
      <c r="Y11536" s="1"/>
      <c r="Z11536" s="1"/>
      <c r="AA11536" s="1"/>
      <c r="AB11536" s="1"/>
      <c r="AC11536" s="1"/>
      <c r="AD11536" s="1"/>
      <c r="AE11536" s="1"/>
      <c r="AF11536" s="1"/>
      <c r="AG11536" s="1"/>
      <c r="AH11536" s="1"/>
    </row>
    <row r="11537" ht="12.75" customHeight="1">
      <c r="A11537" s="122">
        <v>43707.0</v>
      </c>
      <c r="B11537" s="974" t="s">
        <v>347</v>
      </c>
      <c r="C11537" s="32" t="s">
        <v>1106</v>
      </c>
      <c r="D11537" s="9">
        <v>50.0</v>
      </c>
      <c r="E11537" s="9">
        <v>179.756</v>
      </c>
      <c r="F11537" s="1059">
        <v>43707.47678240741</v>
      </c>
      <c r="G11537" s="195" t="s">
        <v>453</v>
      </c>
      <c r="H11537" s="710">
        <v>1.19</v>
      </c>
      <c r="I11537" s="256" t="s">
        <v>3145</v>
      </c>
      <c r="J11537" s="67">
        <f t="shared" si="650"/>
        <v>8986.61</v>
      </c>
      <c r="K11537" s="201"/>
      <c r="L11537" s="70"/>
      <c r="M11537" s="79"/>
      <c r="N11537" s="1"/>
      <c r="O11537" s="1"/>
      <c r="P11537" s="1"/>
      <c r="Q11537" s="1"/>
      <c r="R11537" s="1"/>
      <c r="S11537" s="1"/>
      <c r="T11537" s="1"/>
      <c r="U11537" s="1"/>
      <c r="V11537" s="1"/>
      <c r="W11537" s="1"/>
      <c r="X11537" s="1"/>
      <c r="Y11537" s="1"/>
      <c r="Z11537" s="1"/>
      <c r="AA11537" s="1"/>
      <c r="AB11537" s="1"/>
      <c r="AC11537" s="1"/>
      <c r="AD11537" s="1"/>
      <c r="AE11537" s="1"/>
      <c r="AF11537" s="1"/>
      <c r="AG11537" s="1"/>
      <c r="AH11537" s="1"/>
    </row>
    <row r="11538" ht="12.75" customHeight="1">
      <c r="A11538" s="122">
        <v>43707.0</v>
      </c>
      <c r="B11538" s="974" t="s">
        <v>347</v>
      </c>
      <c r="C11538" s="32" t="s">
        <v>381</v>
      </c>
      <c r="D11538" s="9">
        <v>50.0</v>
      </c>
      <c r="E11538" s="9">
        <v>183.94</v>
      </c>
      <c r="F11538" s="1059">
        <v>43707.473599537036</v>
      </c>
      <c r="G11538" s="195" t="s">
        <v>453</v>
      </c>
      <c r="H11538" s="710">
        <v>1.2</v>
      </c>
      <c r="I11538" s="256" t="s">
        <v>3145</v>
      </c>
      <c r="J11538" s="67">
        <f t="shared" si="650"/>
        <v>9195.8</v>
      </c>
      <c r="K11538" s="201"/>
      <c r="L11538" s="70"/>
      <c r="M11538" s="79"/>
      <c r="N11538" s="1"/>
      <c r="O11538" s="1"/>
      <c r="P11538" s="1"/>
      <c r="Q11538" s="1"/>
      <c r="R11538" s="1"/>
      <c r="S11538" s="1"/>
      <c r="T11538" s="1"/>
      <c r="U11538" s="1"/>
      <c r="V11538" s="1"/>
      <c r="W11538" s="1"/>
      <c r="X11538" s="1"/>
      <c r="Y11538" s="1"/>
      <c r="Z11538" s="1"/>
      <c r="AA11538" s="1"/>
      <c r="AB11538" s="1"/>
      <c r="AC11538" s="1"/>
      <c r="AD11538" s="1"/>
      <c r="AE11538" s="1"/>
      <c r="AF11538" s="1"/>
      <c r="AG11538" s="1"/>
      <c r="AH11538" s="1"/>
    </row>
    <row r="11539" ht="12.75" customHeight="1">
      <c r="A11539" s="197">
        <v>43707.0</v>
      </c>
      <c r="B11539" s="992"/>
      <c r="C11539" s="32" t="s">
        <v>947</v>
      </c>
      <c r="D11539" s="1"/>
      <c r="E11539" s="94" t="s">
        <v>948</v>
      </c>
      <c r="F11539" s="1056" t="s">
        <v>949</v>
      </c>
      <c r="G11539" s="87"/>
      <c r="H11539" s="199"/>
      <c r="I11539" s="200">
        <v>1.0</v>
      </c>
      <c r="K11539" s="201" t="s">
        <v>3893</v>
      </c>
      <c r="L11539" s="77"/>
      <c r="M11539" s="79"/>
      <c r="N11539" s="1"/>
      <c r="O11539" s="1"/>
      <c r="P11539" s="1"/>
      <c r="Q11539" s="1"/>
      <c r="R11539" s="1"/>
      <c r="S11539" s="1"/>
      <c r="T11539" s="1"/>
      <c r="U11539" s="1"/>
      <c r="V11539" s="1"/>
      <c r="W11539" s="1"/>
      <c r="X11539" s="1"/>
      <c r="Y11539" s="1"/>
      <c r="Z11539" s="1"/>
      <c r="AA11539" s="1"/>
      <c r="AB11539" s="1"/>
      <c r="AC11539" s="1"/>
      <c r="AD11539" s="1"/>
      <c r="AE11539" s="1"/>
      <c r="AF11539" s="1"/>
      <c r="AG11539" s="1"/>
      <c r="AH11539" s="1"/>
    </row>
    <row r="11540" ht="12.75" customHeight="1">
      <c r="A11540" s="202">
        <v>43707.0</v>
      </c>
      <c r="B11540" s="992"/>
      <c r="C11540" s="32" t="s">
        <v>952</v>
      </c>
      <c r="D11540" s="1"/>
      <c r="F11540" s="1057" t="s">
        <v>953</v>
      </c>
      <c r="G11540" s="1"/>
      <c r="H11540" s="68"/>
      <c r="I11540" s="204">
        <v>0.0</v>
      </c>
      <c r="K11540" s="9" t="s">
        <v>3971</v>
      </c>
      <c r="L11540" s="77"/>
      <c r="M11540" s="79"/>
      <c r="N11540" s="1"/>
      <c r="O11540" s="1"/>
      <c r="P11540" s="1"/>
      <c r="Q11540" s="1"/>
      <c r="R11540" s="1"/>
      <c r="S11540" s="1"/>
      <c r="T11540" s="1"/>
      <c r="U11540" s="1"/>
      <c r="V11540" s="1"/>
      <c r="W11540" s="1"/>
      <c r="X11540" s="1"/>
      <c r="Y11540" s="1"/>
      <c r="Z11540" s="1"/>
      <c r="AA11540" s="1"/>
      <c r="AB11540" s="1"/>
      <c r="AC11540" s="1"/>
      <c r="AD11540" s="1"/>
      <c r="AE11540" s="1"/>
      <c r="AF11540" s="1"/>
      <c r="AG11540" s="1"/>
      <c r="AH11540" s="1"/>
    </row>
    <row r="11541" ht="12.75" customHeight="1">
      <c r="A11541" s="202">
        <v>43707.0</v>
      </c>
      <c r="B11541" s="992"/>
      <c r="C11541" s="32" t="s">
        <v>955</v>
      </c>
      <c r="D11541" s="1"/>
      <c r="F11541" s="203" t="s">
        <v>956</v>
      </c>
      <c r="G11541" s="1"/>
      <c r="H11541" s="68"/>
      <c r="I11541" s="204">
        <v>0.0</v>
      </c>
      <c r="K11541" s="9" t="s">
        <v>3972</v>
      </c>
      <c r="L11541" s="77"/>
      <c r="M11541" s="79"/>
      <c r="N11541" s="1"/>
      <c r="O11541" s="1"/>
      <c r="P11541" s="1"/>
      <c r="Q11541" s="1"/>
      <c r="R11541" s="1"/>
      <c r="S11541" s="1"/>
      <c r="T11541" s="1"/>
      <c r="U11541" s="1"/>
      <c r="V11541" s="1"/>
      <c r="W11541" s="1"/>
      <c r="X11541" s="1"/>
      <c r="Y11541" s="1"/>
      <c r="Z11541" s="1"/>
      <c r="AA11541" s="1"/>
      <c r="AB11541" s="1"/>
      <c r="AC11541" s="1"/>
      <c r="AD11541" s="1"/>
      <c r="AE11541" s="1"/>
      <c r="AF11541" s="1"/>
      <c r="AG11541" s="1"/>
      <c r="AH11541" s="1"/>
    </row>
    <row r="11542" ht="12.75" customHeight="1">
      <c r="A11542" s="202">
        <v>43707.0</v>
      </c>
      <c r="B11542" s="992"/>
      <c r="C11542" s="32" t="s">
        <v>958</v>
      </c>
      <c r="D11542" s="1"/>
      <c r="F11542" s="203" t="s">
        <v>959</v>
      </c>
      <c r="G11542" s="1"/>
      <c r="H11542" s="68"/>
      <c r="I11542" s="204">
        <v>0.0</v>
      </c>
      <c r="K11542" s="9" t="s">
        <v>3973</v>
      </c>
      <c r="L11542" s="77"/>
      <c r="M11542" s="79"/>
      <c r="N11542" s="1"/>
      <c r="O11542" s="1"/>
      <c r="P11542" s="1"/>
      <c r="Q11542" s="1"/>
      <c r="R11542" s="1"/>
      <c r="S11542" s="1"/>
      <c r="T11542" s="1"/>
      <c r="U11542" s="1"/>
      <c r="V11542" s="1"/>
      <c r="W11542" s="1"/>
      <c r="X11542" s="1"/>
      <c r="Y11542" s="1"/>
      <c r="Z11542" s="1"/>
      <c r="AA11542" s="1"/>
      <c r="AB11542" s="1"/>
      <c r="AC11542" s="1"/>
      <c r="AD11542" s="1"/>
      <c r="AE11542" s="1"/>
      <c r="AF11542" s="1"/>
      <c r="AG11542" s="1"/>
      <c r="AH11542" s="1"/>
    </row>
    <row r="11543" ht="12.75" customHeight="1">
      <c r="A11543" s="202">
        <v>43707.0</v>
      </c>
      <c r="B11543" s="992"/>
      <c r="C11543" s="32" t="s">
        <v>961</v>
      </c>
      <c r="D11543" s="1"/>
      <c r="F11543" s="206" t="s">
        <v>3721</v>
      </c>
      <c r="G11543" s="207"/>
      <c r="H11543" s="208"/>
      <c r="I11543" s="209">
        <v>1.0</v>
      </c>
      <c r="K11543" s="9" t="s">
        <v>964</v>
      </c>
      <c r="L11543" s="77"/>
      <c r="M11543" s="79"/>
      <c r="N11543" s="1"/>
      <c r="O11543" s="1"/>
      <c r="P11543" s="1"/>
      <c r="Q11543" s="1"/>
      <c r="R11543" s="1"/>
      <c r="S11543" s="1"/>
      <c r="T11543" s="1"/>
      <c r="U11543" s="1"/>
      <c r="V11543" s="1"/>
      <c r="W11543" s="1"/>
      <c r="X11543" s="1"/>
      <c r="Y11543" s="1"/>
      <c r="Z11543" s="1"/>
      <c r="AA11543" s="1"/>
      <c r="AB11543" s="1"/>
      <c r="AC11543" s="1"/>
      <c r="AD11543" s="1"/>
      <c r="AE11543" s="1"/>
      <c r="AF11543" s="1"/>
      <c r="AG11543" s="1"/>
      <c r="AH11543" s="1"/>
    </row>
    <row r="11544" ht="12.75" customHeight="1">
      <c r="A11544" s="122">
        <v>43711.0</v>
      </c>
      <c r="B11544" s="974" t="s">
        <v>343</v>
      </c>
      <c r="C11544" s="32" t="s">
        <v>1053</v>
      </c>
      <c r="D11544" s="9">
        <v>5.0</v>
      </c>
      <c r="E11544" s="9">
        <v>1796.81</v>
      </c>
      <c r="F11544" s="709">
        <v>0.45841435185185186</v>
      </c>
      <c r="G11544" s="195" t="s">
        <v>453</v>
      </c>
      <c r="H11544" s="710">
        <v>1.0</v>
      </c>
      <c r="I11544" s="256" t="s">
        <v>3145</v>
      </c>
      <c r="J11544" s="67">
        <f>IF(or(B11544="SLD",B11544="Rebal SLD"),D11544*E11544,-D11544*E11544)-H11544</f>
        <v>-8985.05</v>
      </c>
      <c r="K11544" s="1"/>
      <c r="L11544" s="70"/>
      <c r="M11544" s="79"/>
      <c r="N11544" s="1"/>
      <c r="O11544" s="1"/>
      <c r="P11544" s="1"/>
      <c r="Q11544" s="1"/>
      <c r="R11544" s="1"/>
      <c r="S11544" s="1"/>
      <c r="T11544" s="1"/>
      <c r="U11544" s="1"/>
      <c r="V11544" s="1"/>
      <c r="W11544" s="1"/>
      <c r="X11544" s="1"/>
      <c r="Y11544" s="1"/>
      <c r="Z11544" s="1"/>
      <c r="AA11544" s="1"/>
      <c r="AB11544" s="1"/>
      <c r="AC11544" s="1"/>
      <c r="AD11544" s="1"/>
      <c r="AE11544" s="1"/>
      <c r="AF11544" s="1"/>
      <c r="AG11544" s="1"/>
      <c r="AH11544" s="1"/>
    </row>
    <row r="11545" ht="12.75" customHeight="1">
      <c r="A11545" s="197">
        <v>43711.0</v>
      </c>
      <c r="B11545" s="992"/>
      <c r="C11545" s="32" t="s">
        <v>947</v>
      </c>
      <c r="D11545" s="1"/>
      <c r="E11545" s="94" t="s">
        <v>948</v>
      </c>
      <c r="F11545" s="1056" t="s">
        <v>949</v>
      </c>
      <c r="G11545" s="87"/>
      <c r="H11545" s="199"/>
      <c r="I11545" s="200">
        <v>1.0</v>
      </c>
      <c r="K11545" s="201" t="s">
        <v>3893</v>
      </c>
      <c r="L11545" s="77"/>
      <c r="M11545" s="79"/>
      <c r="N11545" s="1"/>
      <c r="O11545" s="1"/>
      <c r="P11545" s="1"/>
      <c r="Q11545" s="1"/>
      <c r="R11545" s="1"/>
      <c r="S11545" s="1"/>
      <c r="T11545" s="1"/>
      <c r="U11545" s="1"/>
      <c r="V11545" s="1"/>
      <c r="W11545" s="1"/>
      <c r="X11545" s="1"/>
      <c r="Y11545" s="1"/>
      <c r="Z11545" s="1"/>
      <c r="AA11545" s="1"/>
      <c r="AB11545" s="1"/>
      <c r="AC11545" s="1"/>
      <c r="AD11545" s="1"/>
      <c r="AE11545" s="1"/>
      <c r="AF11545" s="1"/>
      <c r="AG11545" s="1"/>
      <c r="AH11545" s="1"/>
    </row>
    <row r="11546" ht="12.75" customHeight="1">
      <c r="A11546" s="202">
        <v>43711.0</v>
      </c>
      <c r="B11546" s="992"/>
      <c r="C11546" s="32" t="s">
        <v>952</v>
      </c>
      <c r="D11546" s="1"/>
      <c r="F11546" s="1057" t="s">
        <v>953</v>
      </c>
      <c r="G11546" s="1"/>
      <c r="H11546" s="68"/>
      <c r="I11546" s="204">
        <v>0.0</v>
      </c>
      <c r="K11546" s="9" t="s">
        <v>3974</v>
      </c>
      <c r="L11546" s="77"/>
      <c r="M11546" s="79"/>
      <c r="N11546" s="1"/>
      <c r="O11546" s="1"/>
      <c r="P11546" s="1"/>
      <c r="Q11546" s="1"/>
      <c r="R11546" s="1"/>
      <c r="S11546" s="1"/>
      <c r="T11546" s="1"/>
      <c r="U11546" s="1"/>
      <c r="V11546" s="1"/>
      <c r="W11546" s="1"/>
      <c r="X11546" s="1"/>
      <c r="Y11546" s="1"/>
      <c r="Z11546" s="1"/>
      <c r="AA11546" s="1"/>
      <c r="AB11546" s="1"/>
      <c r="AC11546" s="1"/>
      <c r="AD11546" s="1"/>
      <c r="AE11546" s="1"/>
      <c r="AF11546" s="1"/>
      <c r="AG11546" s="1"/>
      <c r="AH11546" s="1"/>
    </row>
    <row r="11547" ht="12.75" customHeight="1">
      <c r="A11547" s="202">
        <v>43711.0</v>
      </c>
      <c r="B11547" s="992"/>
      <c r="C11547" s="32" t="s">
        <v>955</v>
      </c>
      <c r="D11547" s="1"/>
      <c r="F11547" s="203" t="s">
        <v>956</v>
      </c>
      <c r="G11547" s="1"/>
      <c r="H11547" s="68"/>
      <c r="I11547" s="204">
        <v>0.0</v>
      </c>
      <c r="K11547" s="9" t="s">
        <v>3972</v>
      </c>
      <c r="L11547" s="77"/>
      <c r="M11547" s="79"/>
      <c r="N11547" s="1"/>
      <c r="O11547" s="1"/>
      <c r="P11547" s="1"/>
      <c r="Q11547" s="1"/>
      <c r="R11547" s="1"/>
      <c r="S11547" s="1"/>
      <c r="T11547" s="1"/>
      <c r="U11547" s="1"/>
      <c r="V11547" s="1"/>
      <c r="W11547" s="1"/>
      <c r="X11547" s="1"/>
      <c r="Y11547" s="1"/>
      <c r="Z11547" s="1"/>
      <c r="AA11547" s="1"/>
      <c r="AB11547" s="1"/>
      <c r="AC11547" s="1"/>
      <c r="AD11547" s="1"/>
      <c r="AE11547" s="1"/>
      <c r="AF11547" s="1"/>
      <c r="AG11547" s="1"/>
      <c r="AH11547" s="1"/>
    </row>
    <row r="11548" ht="12.75" customHeight="1">
      <c r="A11548" s="202">
        <v>43711.0</v>
      </c>
      <c r="B11548" s="992"/>
      <c r="C11548" s="32" t="s">
        <v>958</v>
      </c>
      <c r="D11548" s="1"/>
      <c r="F11548" s="203" t="s">
        <v>959</v>
      </c>
      <c r="G11548" s="1"/>
      <c r="H11548" s="68"/>
      <c r="I11548" s="204">
        <v>0.0</v>
      </c>
      <c r="K11548" s="9" t="s">
        <v>3975</v>
      </c>
      <c r="L11548" s="77"/>
      <c r="M11548" s="79"/>
      <c r="N11548" s="1"/>
      <c r="O11548" s="1"/>
      <c r="P11548" s="1"/>
      <c r="Q11548" s="1"/>
      <c r="R11548" s="1"/>
      <c r="S11548" s="1"/>
      <c r="T11548" s="1"/>
      <c r="U11548" s="1"/>
      <c r="V11548" s="1"/>
      <c r="W11548" s="1"/>
      <c r="X11548" s="1"/>
      <c r="Y11548" s="1"/>
      <c r="Z11548" s="1"/>
      <c r="AA11548" s="1"/>
      <c r="AB11548" s="1"/>
      <c r="AC11548" s="1"/>
      <c r="AD11548" s="1"/>
      <c r="AE11548" s="1"/>
      <c r="AF11548" s="1"/>
      <c r="AG11548" s="1"/>
      <c r="AH11548" s="1"/>
    </row>
    <row r="11549" ht="12.75" customHeight="1">
      <c r="A11549" s="202">
        <v>43711.0</v>
      </c>
      <c r="B11549" s="992"/>
      <c r="C11549" s="32" t="s">
        <v>961</v>
      </c>
      <c r="D11549" s="1"/>
      <c r="F11549" s="206" t="s">
        <v>3721</v>
      </c>
      <c r="G11549" s="207"/>
      <c r="H11549" s="208"/>
      <c r="I11549" s="209">
        <v>1.0</v>
      </c>
      <c r="K11549" s="9" t="s">
        <v>964</v>
      </c>
      <c r="L11549" s="77"/>
      <c r="M11549" s="79"/>
      <c r="N11549" s="1"/>
      <c r="O11549" s="1"/>
      <c r="P11549" s="1"/>
      <c r="Q11549" s="1"/>
      <c r="R11549" s="1"/>
      <c r="S11549" s="1"/>
      <c r="T11549" s="1"/>
      <c r="U11549" s="1"/>
      <c r="V11549" s="1"/>
      <c r="W11549" s="1"/>
      <c r="X11549" s="1"/>
      <c r="Y11549" s="1"/>
      <c r="Z11549" s="1"/>
      <c r="AA11549" s="1"/>
      <c r="AB11549" s="1"/>
      <c r="AC11549" s="1"/>
      <c r="AD11549" s="1"/>
      <c r="AE11549" s="1"/>
      <c r="AF11549" s="1"/>
      <c r="AG11549" s="1"/>
      <c r="AH11549" s="1"/>
    </row>
    <row r="11550" ht="12.75" customHeight="1">
      <c r="A11550" s="122">
        <v>43712.0</v>
      </c>
      <c r="B11550" s="974" t="s">
        <v>343</v>
      </c>
      <c r="C11550" s="32" t="s">
        <v>346</v>
      </c>
      <c r="D11550" s="9">
        <v>100.0</v>
      </c>
      <c r="E11550" s="9">
        <v>207.783</v>
      </c>
      <c r="F11550" s="709">
        <v>0.4213078703703704</v>
      </c>
      <c r="G11550" s="195" t="s">
        <v>453</v>
      </c>
      <c r="H11550" s="710">
        <v>1.0</v>
      </c>
      <c r="I11550" s="256" t="s">
        <v>3145</v>
      </c>
      <c r="J11550" s="67">
        <f t="shared" ref="J11550:J11554" si="651">IF(or(B11550="SLD",B11550="Rebal SLD"),D11550*E11550,-D11550*E11550)-H11550</f>
        <v>-20779.3</v>
      </c>
      <c r="K11550" s="1"/>
      <c r="L11550" s="70"/>
      <c r="M11550" s="79"/>
      <c r="N11550" s="1"/>
      <c r="O11550" s="1"/>
      <c r="P11550" s="1"/>
      <c r="Q11550" s="1"/>
      <c r="R11550" s="1"/>
      <c r="S11550" s="1"/>
      <c r="T11550" s="1"/>
      <c r="U11550" s="1"/>
      <c r="V11550" s="1"/>
      <c r="W11550" s="1"/>
      <c r="X11550" s="1"/>
      <c r="Y11550" s="1"/>
      <c r="Z11550" s="1"/>
      <c r="AA11550" s="1"/>
      <c r="AB11550" s="1"/>
      <c r="AC11550" s="1"/>
      <c r="AD11550" s="1"/>
      <c r="AE11550" s="1"/>
      <c r="AF11550" s="1"/>
      <c r="AG11550" s="1"/>
      <c r="AH11550" s="1"/>
    </row>
    <row r="11551" ht="12.75" customHeight="1">
      <c r="A11551" s="122">
        <v>43713.0</v>
      </c>
      <c r="B11551" s="974" t="s">
        <v>343</v>
      </c>
      <c r="C11551" s="32" t="s">
        <v>1070</v>
      </c>
      <c r="D11551" s="9">
        <v>70.0</v>
      </c>
      <c r="E11551" s="9">
        <v>235.93</v>
      </c>
      <c r="F11551" s="709">
        <v>0.6327083333333333</v>
      </c>
      <c r="G11551" s="195" t="s">
        <v>453</v>
      </c>
      <c r="H11551" s="710">
        <v>1.0</v>
      </c>
      <c r="I11551" s="256" t="s">
        <v>3145</v>
      </c>
      <c r="J11551" s="67">
        <f t="shared" si="651"/>
        <v>-16516.1</v>
      </c>
      <c r="K11551" s="1"/>
      <c r="L11551" s="70"/>
      <c r="M11551" s="79"/>
      <c r="N11551" s="1"/>
      <c r="O11551" s="1"/>
      <c r="P11551" s="1"/>
      <c r="Q11551" s="1"/>
      <c r="R11551" s="1"/>
      <c r="S11551" s="1"/>
      <c r="T11551" s="1"/>
      <c r="U11551" s="1"/>
      <c r="V11551" s="1"/>
      <c r="W11551" s="1"/>
      <c r="X11551" s="1"/>
      <c r="Y11551" s="1"/>
      <c r="Z11551" s="1"/>
      <c r="AA11551" s="1"/>
      <c r="AB11551" s="1"/>
      <c r="AC11551" s="1"/>
      <c r="AD11551" s="1"/>
      <c r="AE11551" s="1"/>
      <c r="AF11551" s="1"/>
      <c r="AG11551" s="1"/>
      <c r="AH11551" s="1"/>
    </row>
    <row r="11552" ht="12.75" customHeight="1">
      <c r="A11552" s="122">
        <v>43713.0</v>
      </c>
      <c r="B11552" s="974" t="s">
        <v>343</v>
      </c>
      <c r="C11552" s="32" t="s">
        <v>346</v>
      </c>
      <c r="D11552" s="9">
        <v>100.0</v>
      </c>
      <c r="E11552" s="9">
        <v>213.17</v>
      </c>
      <c r="F11552" s="709">
        <v>0.6311226851851852</v>
      </c>
      <c r="G11552" s="195" t="s">
        <v>453</v>
      </c>
      <c r="H11552" s="710">
        <v>1.0</v>
      </c>
      <c r="I11552" s="256" t="s">
        <v>3145</v>
      </c>
      <c r="J11552" s="67">
        <f t="shared" si="651"/>
        <v>-21318</v>
      </c>
      <c r="K11552" s="1"/>
      <c r="L11552" s="70">
        <f>E11755/E11552-1</f>
        <v>0.1248768588</v>
      </c>
      <c r="M11552" s="79"/>
      <c r="N11552" s="1"/>
      <c r="O11552" s="1"/>
      <c r="P11552" s="1"/>
      <c r="Q11552" s="1"/>
      <c r="R11552" s="1"/>
      <c r="S11552" s="1"/>
      <c r="T11552" s="1"/>
      <c r="U11552" s="1"/>
      <c r="V11552" s="1"/>
      <c r="W11552" s="1"/>
      <c r="X11552" s="1"/>
      <c r="Y11552" s="1"/>
      <c r="Z11552" s="1"/>
      <c r="AA11552" s="1"/>
      <c r="AB11552" s="1"/>
      <c r="AC11552" s="1"/>
      <c r="AD11552" s="1"/>
      <c r="AE11552" s="1"/>
      <c r="AF11552" s="1"/>
      <c r="AG11552" s="1"/>
      <c r="AH11552" s="1"/>
    </row>
    <row r="11553" ht="12.75" customHeight="1">
      <c r="A11553" s="122">
        <v>43713.0</v>
      </c>
      <c r="B11553" s="974" t="s">
        <v>343</v>
      </c>
      <c r="C11553" s="32" t="s">
        <v>1040</v>
      </c>
      <c r="D11553" s="9">
        <v>100.0</v>
      </c>
      <c r="E11553" s="9">
        <v>139.7</v>
      </c>
      <c r="F11553" s="709">
        <v>0.6298842592592593</v>
      </c>
      <c r="G11553" s="195" t="s">
        <v>453</v>
      </c>
      <c r="H11553" s="710">
        <v>1.0</v>
      </c>
      <c r="I11553" s="256" t="s">
        <v>3145</v>
      </c>
      <c r="J11553" s="67">
        <f t="shared" si="651"/>
        <v>-13971</v>
      </c>
      <c r="K11553" s="1"/>
      <c r="L11553" s="70">
        <f>E11638/E11553-1</f>
        <v>-0.01536721546</v>
      </c>
      <c r="M11553" s="79"/>
      <c r="N11553" s="1"/>
      <c r="O11553" s="1"/>
      <c r="P11553" s="1"/>
      <c r="Q11553" s="1"/>
      <c r="R11553" s="1"/>
      <c r="S11553" s="1"/>
      <c r="T11553" s="1"/>
      <c r="U11553" s="1"/>
      <c r="V11553" s="1"/>
      <c r="W11553" s="1"/>
      <c r="X11553" s="1"/>
      <c r="Y11553" s="1"/>
      <c r="Z11553" s="1"/>
      <c r="AA11553" s="1"/>
      <c r="AB11553" s="1"/>
      <c r="AC11553" s="1"/>
      <c r="AD11553" s="1"/>
      <c r="AE11553" s="1"/>
      <c r="AF11553" s="1"/>
      <c r="AG11553" s="1"/>
      <c r="AH11553" s="1"/>
    </row>
    <row r="11554" ht="12.75" customHeight="1">
      <c r="A11554" s="122">
        <v>43713.0</v>
      </c>
      <c r="B11554" s="974" t="s">
        <v>343</v>
      </c>
      <c r="C11554" s="32" t="s">
        <v>1079</v>
      </c>
      <c r="D11554" s="9">
        <v>100.0</v>
      </c>
      <c r="E11554" s="9">
        <v>131.61</v>
      </c>
      <c r="F11554" s="709">
        <v>0.6269097222222222</v>
      </c>
      <c r="G11554" s="195" t="s">
        <v>453</v>
      </c>
      <c r="H11554" s="710">
        <v>1.0</v>
      </c>
      <c r="I11554" s="256" t="s">
        <v>3145</v>
      </c>
      <c r="J11554" s="67">
        <f t="shared" si="651"/>
        <v>-13162</v>
      </c>
      <c r="K11554" s="1"/>
      <c r="L11554" s="70"/>
      <c r="M11554" s="79"/>
      <c r="N11554" s="1"/>
      <c r="O11554" s="1"/>
      <c r="P11554" s="1"/>
      <c r="Q11554" s="1"/>
      <c r="R11554" s="1"/>
      <c r="S11554" s="1"/>
      <c r="T11554" s="1"/>
      <c r="U11554" s="1"/>
      <c r="V11554" s="1"/>
      <c r="W11554" s="1"/>
      <c r="X11554" s="1"/>
      <c r="Y11554" s="1"/>
      <c r="Z11554" s="1"/>
      <c r="AA11554" s="1"/>
      <c r="AB11554" s="1"/>
      <c r="AC11554" s="1"/>
      <c r="AD11554" s="1"/>
      <c r="AE11554" s="1"/>
      <c r="AF11554" s="1"/>
      <c r="AG11554" s="1"/>
      <c r="AH11554" s="1"/>
    </row>
    <row r="11555" ht="12.75" customHeight="1">
      <c r="A11555" s="197">
        <v>43713.0</v>
      </c>
      <c r="B11555" s="992"/>
      <c r="C11555" s="32" t="s">
        <v>947</v>
      </c>
      <c r="D11555" s="1"/>
      <c r="E11555" s="94" t="s">
        <v>948</v>
      </c>
      <c r="F11555" s="1056" t="s">
        <v>949</v>
      </c>
      <c r="G11555" s="87"/>
      <c r="H11555" s="199"/>
      <c r="I11555" s="200">
        <v>1.0</v>
      </c>
      <c r="K11555" s="201" t="s">
        <v>3900</v>
      </c>
      <c r="L11555" s="77"/>
      <c r="M11555" s="79"/>
      <c r="N11555" s="1"/>
      <c r="O11555" s="1"/>
      <c r="P11555" s="1"/>
      <c r="Q11555" s="1"/>
      <c r="R11555" s="1"/>
      <c r="S11555" s="1"/>
      <c r="T11555" s="1"/>
      <c r="U11555" s="1"/>
      <c r="V11555" s="1"/>
      <c r="W11555" s="1"/>
      <c r="X11555" s="1"/>
      <c r="Y11555" s="1"/>
      <c r="Z11555" s="1"/>
      <c r="AA11555" s="1"/>
      <c r="AB11555" s="1"/>
      <c r="AC11555" s="1"/>
      <c r="AD11555" s="1"/>
      <c r="AE11555" s="1"/>
      <c r="AF11555" s="1"/>
      <c r="AG11555" s="1"/>
      <c r="AH11555" s="1"/>
    </row>
    <row r="11556" ht="12.75" customHeight="1">
      <c r="A11556" s="202">
        <v>43713.0</v>
      </c>
      <c r="B11556" s="992"/>
      <c r="C11556" s="32" t="s">
        <v>952</v>
      </c>
      <c r="D11556" s="1"/>
      <c r="F11556" s="1057" t="s">
        <v>953</v>
      </c>
      <c r="G11556" s="1"/>
      <c r="H11556" s="68"/>
      <c r="I11556" s="204">
        <v>0.0</v>
      </c>
      <c r="K11556" s="9" t="s">
        <v>3971</v>
      </c>
      <c r="L11556" s="77"/>
      <c r="M11556" s="79"/>
      <c r="N11556" s="1"/>
      <c r="O11556" s="1"/>
      <c r="P11556" s="1"/>
      <c r="Q11556" s="1"/>
      <c r="R11556" s="1"/>
      <c r="S11556" s="1"/>
      <c r="T11556" s="1"/>
      <c r="U11556" s="1"/>
      <c r="V11556" s="1"/>
      <c r="W11556" s="1"/>
      <c r="X11556" s="1"/>
      <c r="Y11556" s="1"/>
      <c r="Z11556" s="1"/>
      <c r="AA11556" s="1"/>
      <c r="AB11556" s="1"/>
      <c r="AC11556" s="1"/>
      <c r="AD11556" s="1"/>
      <c r="AE11556" s="1"/>
      <c r="AF11556" s="1"/>
      <c r="AG11556" s="1"/>
      <c r="AH11556" s="1"/>
    </row>
    <row r="11557" ht="12.75" customHeight="1">
      <c r="A11557" s="202">
        <v>43713.0</v>
      </c>
      <c r="B11557" s="992"/>
      <c r="C11557" s="32" t="s">
        <v>955</v>
      </c>
      <c r="D11557" s="1"/>
      <c r="F11557" s="203" t="s">
        <v>956</v>
      </c>
      <c r="G11557" s="1"/>
      <c r="H11557" s="68"/>
      <c r="I11557" s="204">
        <v>0.0</v>
      </c>
      <c r="K11557" s="9" t="s">
        <v>3972</v>
      </c>
      <c r="L11557" s="77"/>
      <c r="M11557" s="79"/>
      <c r="N11557" s="1"/>
      <c r="O11557" s="1"/>
      <c r="P11557" s="1"/>
      <c r="Q11557" s="1"/>
      <c r="R11557" s="1"/>
      <c r="S11557" s="1"/>
      <c r="T11557" s="1"/>
      <c r="U11557" s="1"/>
      <c r="V11557" s="1"/>
      <c r="W11557" s="1"/>
      <c r="X11557" s="1"/>
      <c r="Y11557" s="1"/>
      <c r="Z11557" s="1"/>
      <c r="AA11557" s="1"/>
      <c r="AB11557" s="1"/>
      <c r="AC11557" s="1"/>
      <c r="AD11557" s="1"/>
      <c r="AE11557" s="1"/>
      <c r="AF11557" s="1"/>
      <c r="AG11557" s="1"/>
      <c r="AH11557" s="1"/>
    </row>
    <row r="11558" ht="12.75" customHeight="1">
      <c r="A11558" s="202">
        <v>43713.0</v>
      </c>
      <c r="B11558" s="992"/>
      <c r="C11558" s="32" t="s">
        <v>958</v>
      </c>
      <c r="D11558" s="1"/>
      <c r="F11558" s="203" t="s">
        <v>959</v>
      </c>
      <c r="G11558" s="1"/>
      <c r="H11558" s="68"/>
      <c r="I11558" s="204">
        <v>1.0</v>
      </c>
      <c r="K11558" s="9" t="s">
        <v>3976</v>
      </c>
      <c r="L11558" s="77"/>
      <c r="M11558" s="79"/>
      <c r="N11558" s="1"/>
      <c r="O11558" s="1"/>
      <c r="P11558" s="1"/>
      <c r="Q11558" s="1"/>
      <c r="R11558" s="1"/>
      <c r="S11558" s="1"/>
      <c r="T11558" s="1"/>
      <c r="U11558" s="1"/>
      <c r="V11558" s="1"/>
      <c r="W11558" s="1"/>
      <c r="X11558" s="1"/>
      <c r="Y11558" s="1"/>
      <c r="Z11558" s="1"/>
      <c r="AA11558" s="1"/>
      <c r="AB11558" s="1"/>
      <c r="AC11558" s="1"/>
      <c r="AD11558" s="1"/>
      <c r="AE11558" s="1"/>
      <c r="AF11558" s="1"/>
      <c r="AG11558" s="1"/>
      <c r="AH11558" s="1"/>
    </row>
    <row r="11559" ht="12.75" customHeight="1">
      <c r="A11559" s="202">
        <v>43713.0</v>
      </c>
      <c r="B11559" s="992"/>
      <c r="C11559" s="32" t="s">
        <v>961</v>
      </c>
      <c r="D11559" s="1"/>
      <c r="F11559" s="206" t="s">
        <v>3721</v>
      </c>
      <c r="G11559" s="207"/>
      <c r="H11559" s="208"/>
      <c r="I11559" s="209">
        <v>2.0</v>
      </c>
      <c r="K11559" s="9" t="s">
        <v>964</v>
      </c>
      <c r="L11559" s="77"/>
      <c r="M11559" s="79"/>
      <c r="N11559" s="1"/>
      <c r="O11559" s="1"/>
      <c r="P11559" s="1"/>
      <c r="Q11559" s="1"/>
      <c r="R11559" s="1"/>
      <c r="S11559" s="1"/>
      <c r="T11559" s="1"/>
      <c r="U11559" s="1"/>
      <c r="V11559" s="1"/>
      <c r="W11559" s="1"/>
      <c r="X11559" s="1"/>
      <c r="Y11559" s="1"/>
      <c r="Z11559" s="1"/>
      <c r="AA11559" s="1"/>
      <c r="AB11559" s="1"/>
      <c r="AC11559" s="1"/>
      <c r="AD11559" s="1"/>
      <c r="AE11559" s="1"/>
      <c r="AF11559" s="1"/>
      <c r="AG11559" s="1"/>
      <c r="AH11559" s="1"/>
    </row>
    <row r="11560" ht="12.75" customHeight="1">
      <c r="A11560" s="122">
        <v>43720.0</v>
      </c>
      <c r="B11560" s="974" t="s">
        <v>343</v>
      </c>
      <c r="C11560" s="32" t="s">
        <v>1053</v>
      </c>
      <c r="D11560" s="9">
        <v>5.0</v>
      </c>
      <c r="E11560" s="9">
        <v>1846.62</v>
      </c>
      <c r="F11560" s="1059">
        <v>43720.66268518518</v>
      </c>
      <c r="G11560" s="195" t="s">
        <v>453</v>
      </c>
      <c r="H11560" s="710">
        <v>1.0</v>
      </c>
      <c r="I11560" s="256" t="s">
        <v>3145</v>
      </c>
      <c r="J11560" s="67">
        <f t="shared" ref="J11560:J11565" si="652">IF(or(B11560="SLD",B11560="Rebal SLD"),D11560*E11560,-D11560*E11560)-H11560</f>
        <v>-9234.1</v>
      </c>
      <c r="K11560" s="1"/>
      <c r="L11560" s="70"/>
      <c r="M11560" s="79"/>
      <c r="N11560" s="1"/>
      <c r="O11560" s="1"/>
      <c r="P11560" s="1"/>
      <c r="Q11560" s="1"/>
      <c r="R11560" s="1"/>
      <c r="S11560" s="1"/>
      <c r="T11560" s="1"/>
      <c r="U11560" s="1"/>
      <c r="V11560" s="1"/>
      <c r="W11560" s="1"/>
      <c r="X11560" s="1"/>
      <c r="Y11560" s="1"/>
      <c r="Z11560" s="1"/>
      <c r="AA11560" s="1"/>
      <c r="AB11560" s="1"/>
      <c r="AC11560" s="1"/>
      <c r="AD11560" s="1"/>
      <c r="AE11560" s="1"/>
      <c r="AF11560" s="1"/>
      <c r="AG11560" s="1"/>
      <c r="AH11560" s="1"/>
    </row>
    <row r="11561" ht="12.75" customHeight="1">
      <c r="A11561" s="122">
        <v>43720.0</v>
      </c>
      <c r="B11561" s="974" t="s">
        <v>343</v>
      </c>
      <c r="C11561" s="32" t="s">
        <v>1040</v>
      </c>
      <c r="D11561" s="9">
        <v>100.0</v>
      </c>
      <c r="E11561" s="9">
        <v>137.87</v>
      </c>
      <c r="F11561" s="1059">
        <v>43720.66290509259</v>
      </c>
      <c r="G11561" s="195" t="s">
        <v>453</v>
      </c>
      <c r="H11561" s="710">
        <v>1.0</v>
      </c>
      <c r="I11561" s="256" t="s">
        <v>3145</v>
      </c>
      <c r="J11561" s="67">
        <f t="shared" si="652"/>
        <v>-13788</v>
      </c>
      <c r="K11561" s="1"/>
      <c r="L11561" s="70">
        <f>E11624/E11561-1</f>
        <v>-0.01262058461</v>
      </c>
      <c r="M11561" s="79"/>
      <c r="N11561" s="1"/>
      <c r="O11561" s="1"/>
      <c r="P11561" s="1"/>
      <c r="Q11561" s="1"/>
      <c r="R11561" s="1"/>
      <c r="S11561" s="1"/>
      <c r="T11561" s="1"/>
      <c r="U11561" s="1"/>
      <c r="V11561" s="1"/>
      <c r="W11561" s="1"/>
      <c r="X11561" s="1"/>
      <c r="Y11561" s="1"/>
      <c r="Z11561" s="1"/>
      <c r="AA11561" s="1"/>
      <c r="AB11561" s="1"/>
      <c r="AC11561" s="1"/>
      <c r="AD11561" s="1"/>
      <c r="AE11561" s="1"/>
      <c r="AF11561" s="1"/>
      <c r="AG11561" s="1"/>
      <c r="AH11561" s="1"/>
    </row>
    <row r="11562" ht="12.75" customHeight="1">
      <c r="A11562" s="122">
        <v>43720.0</v>
      </c>
      <c r="B11562" s="974" t="s">
        <v>347</v>
      </c>
      <c r="C11562" s="32" t="s">
        <v>1525</v>
      </c>
      <c r="D11562" s="9">
        <v>100.0</v>
      </c>
      <c r="E11562" s="9">
        <v>246.4327</v>
      </c>
      <c r="F11562" s="1059">
        <v>43720.663194444445</v>
      </c>
      <c r="G11562" s="195" t="s">
        <v>453</v>
      </c>
      <c r="H11562" s="710">
        <v>1.52</v>
      </c>
      <c r="I11562" s="256" t="s">
        <v>3145</v>
      </c>
      <c r="J11562" s="67">
        <f t="shared" si="652"/>
        <v>24641.75</v>
      </c>
      <c r="K11562" s="1"/>
      <c r="L11562" s="70"/>
      <c r="M11562" s="79"/>
      <c r="N11562" s="1"/>
      <c r="O11562" s="1"/>
      <c r="P11562" s="1"/>
      <c r="Q11562" s="1"/>
      <c r="R11562" s="1"/>
      <c r="S11562" s="1"/>
      <c r="T11562" s="1"/>
      <c r="U11562" s="1"/>
      <c r="V11562" s="1"/>
      <c r="W11562" s="1"/>
      <c r="X11562" s="1"/>
      <c r="Y11562" s="1"/>
      <c r="Z11562" s="1"/>
      <c r="AA11562" s="1"/>
      <c r="AB11562" s="1"/>
      <c r="AC11562" s="1"/>
      <c r="AD11562" s="1"/>
      <c r="AE11562" s="1"/>
      <c r="AF11562" s="1"/>
      <c r="AG11562" s="1"/>
      <c r="AH11562" s="1"/>
    </row>
    <row r="11563" ht="12.75" customHeight="1">
      <c r="A11563" s="122">
        <v>43720.0</v>
      </c>
      <c r="B11563" s="974" t="s">
        <v>343</v>
      </c>
      <c r="C11563" s="32" t="s">
        <v>1079</v>
      </c>
      <c r="D11563" s="9">
        <v>100.0</v>
      </c>
      <c r="E11563" s="9">
        <v>125.17</v>
      </c>
      <c r="F11563" s="1059">
        <v>43720.66339120371</v>
      </c>
      <c r="G11563" s="195" t="s">
        <v>453</v>
      </c>
      <c r="H11563" s="710">
        <v>1.0</v>
      </c>
      <c r="I11563" s="256" t="s">
        <v>3145</v>
      </c>
      <c r="J11563" s="67">
        <f t="shared" si="652"/>
        <v>-12518</v>
      </c>
      <c r="K11563" s="1"/>
      <c r="L11563" s="70"/>
      <c r="M11563" s="79"/>
      <c r="N11563" s="1"/>
      <c r="O11563" s="1"/>
      <c r="P11563" s="1"/>
      <c r="Q11563" s="1"/>
      <c r="R11563" s="1"/>
      <c r="S11563" s="1"/>
      <c r="T11563" s="1"/>
      <c r="U11563" s="1"/>
      <c r="V11563" s="1"/>
      <c r="W11563" s="1"/>
      <c r="X11563" s="1"/>
      <c r="Y11563" s="1"/>
      <c r="Z11563" s="1"/>
      <c r="AA11563" s="1"/>
      <c r="AB11563" s="1"/>
      <c r="AC11563" s="1"/>
      <c r="AD11563" s="1"/>
      <c r="AE11563" s="1"/>
      <c r="AF11563" s="1"/>
      <c r="AG11563" s="1"/>
      <c r="AH11563" s="1"/>
    </row>
    <row r="11564" ht="12.75" customHeight="1">
      <c r="A11564" s="122">
        <v>43720.0</v>
      </c>
      <c r="B11564" s="974" t="s">
        <v>347</v>
      </c>
      <c r="C11564" s="32" t="s">
        <v>1537</v>
      </c>
      <c r="D11564" s="9">
        <v>750.0</v>
      </c>
      <c r="E11564" s="9">
        <v>18.42</v>
      </c>
      <c r="F11564" s="1059">
        <v>43720.664675925924</v>
      </c>
      <c r="G11564" s="195" t="s">
        <v>453</v>
      </c>
      <c r="H11564" s="710">
        <v>4.13</v>
      </c>
      <c r="I11564" s="256" t="s">
        <v>3145</v>
      </c>
      <c r="J11564" s="67">
        <f t="shared" si="652"/>
        <v>13810.87</v>
      </c>
      <c r="K11564" s="1"/>
      <c r="L11564" s="70"/>
      <c r="M11564" s="79"/>
      <c r="N11564" s="1"/>
      <c r="O11564" s="1"/>
      <c r="P11564" s="1"/>
      <c r="Q11564" s="1"/>
      <c r="R11564" s="1"/>
      <c r="S11564" s="1"/>
      <c r="T11564" s="1"/>
      <c r="U11564" s="1"/>
      <c r="V11564" s="1"/>
      <c r="W11564" s="1"/>
      <c r="X11564" s="1"/>
      <c r="Y11564" s="1"/>
      <c r="Z11564" s="1"/>
      <c r="AA11564" s="1"/>
      <c r="AB11564" s="1"/>
      <c r="AC11564" s="1"/>
      <c r="AD11564" s="1"/>
      <c r="AE11564" s="1"/>
      <c r="AF11564" s="1"/>
      <c r="AG11564" s="1"/>
      <c r="AH11564" s="1"/>
    </row>
    <row r="11565" ht="12.75" customHeight="1">
      <c r="A11565" s="122">
        <v>43720.0</v>
      </c>
      <c r="B11565" s="974" t="s">
        <v>343</v>
      </c>
      <c r="C11565" s="32" t="s">
        <v>1098</v>
      </c>
      <c r="D11565" s="9">
        <v>100.0</v>
      </c>
      <c r="E11565" s="9">
        <v>289.57</v>
      </c>
      <c r="F11565" s="1059">
        <v>43720.666342592594</v>
      </c>
      <c r="G11565" s="195" t="s">
        <v>453</v>
      </c>
      <c r="H11565" s="710">
        <v>1.0</v>
      </c>
      <c r="I11565" s="256" t="s">
        <v>3145</v>
      </c>
      <c r="J11565" s="67">
        <f t="shared" si="652"/>
        <v>-28958</v>
      </c>
      <c r="K11565" s="1"/>
      <c r="L11565" s="70">
        <f>1/E11565*(E11623*5/8+E11766*3/8)-1</f>
        <v>0.0112515972</v>
      </c>
      <c r="M11565" s="79"/>
      <c r="N11565" s="1"/>
      <c r="O11565" s="1"/>
      <c r="P11565" s="1"/>
      <c r="Q11565" s="1"/>
      <c r="R11565" s="1"/>
      <c r="S11565" s="1"/>
      <c r="T11565" s="1"/>
      <c r="U11565" s="1"/>
      <c r="V11565" s="1"/>
      <c r="W11565" s="1"/>
      <c r="X11565" s="1"/>
      <c r="Y11565" s="1"/>
      <c r="Z11565" s="1"/>
      <c r="AA11565" s="1"/>
      <c r="AB11565" s="1"/>
      <c r="AC11565" s="1"/>
      <c r="AD11565" s="1"/>
      <c r="AE11565" s="1"/>
      <c r="AF11565" s="1"/>
      <c r="AG11565" s="1"/>
      <c r="AH11565" s="1"/>
    </row>
    <row r="11566" ht="12.75" customHeight="1">
      <c r="A11566" s="197">
        <v>43720.0</v>
      </c>
      <c r="B11566" s="992"/>
      <c r="C11566" s="32" t="s">
        <v>947</v>
      </c>
      <c r="D11566" s="1"/>
      <c r="E11566" s="94" t="s">
        <v>948</v>
      </c>
      <c r="F11566" s="198" t="s">
        <v>949</v>
      </c>
      <c r="G11566" s="87"/>
      <c r="H11566" s="199"/>
      <c r="I11566" s="200">
        <v>1.0</v>
      </c>
      <c r="K11566" s="201" t="s">
        <v>3900</v>
      </c>
      <c r="L11566" s="77"/>
      <c r="M11566" s="79"/>
      <c r="N11566" s="1"/>
      <c r="O11566" s="1"/>
      <c r="P11566" s="1"/>
      <c r="Q11566" s="1"/>
      <c r="R11566" s="1"/>
      <c r="S11566" s="1"/>
      <c r="T11566" s="1"/>
      <c r="U11566" s="1"/>
      <c r="V11566" s="1"/>
      <c r="W11566" s="1"/>
      <c r="X11566" s="1"/>
      <c r="Y11566" s="1"/>
      <c r="Z11566" s="1"/>
      <c r="AA11566" s="1"/>
      <c r="AB11566" s="1"/>
      <c r="AC11566" s="1"/>
      <c r="AD11566" s="1"/>
      <c r="AE11566" s="1"/>
      <c r="AF11566" s="1"/>
      <c r="AG11566" s="1"/>
      <c r="AH11566" s="1"/>
    </row>
    <row r="11567" ht="12.75" customHeight="1">
      <c r="A11567" s="202">
        <v>43720.0</v>
      </c>
      <c r="B11567" s="992"/>
      <c r="C11567" s="32" t="s">
        <v>952</v>
      </c>
      <c r="D11567" s="1"/>
      <c r="F11567" s="203" t="s">
        <v>953</v>
      </c>
      <c r="G11567" s="1"/>
      <c r="H11567" s="68"/>
      <c r="I11567" s="204">
        <v>0.0</v>
      </c>
      <c r="K11567" s="9" t="s">
        <v>3977</v>
      </c>
      <c r="L11567" s="77"/>
      <c r="M11567" s="79"/>
      <c r="N11567" s="1"/>
      <c r="O11567" s="1"/>
      <c r="P11567" s="1"/>
      <c r="Q11567" s="1"/>
      <c r="R11567" s="1"/>
      <c r="S11567" s="1"/>
      <c r="T11567" s="1"/>
      <c r="U11567" s="1"/>
      <c r="V11567" s="1"/>
      <c r="W11567" s="1"/>
      <c r="X11567" s="1"/>
      <c r="Y11567" s="1"/>
      <c r="Z11567" s="1"/>
      <c r="AA11567" s="1"/>
      <c r="AB11567" s="1"/>
      <c r="AC11567" s="1"/>
      <c r="AD11567" s="1"/>
      <c r="AE11567" s="1"/>
      <c r="AF11567" s="1"/>
      <c r="AG11567" s="1"/>
      <c r="AH11567" s="1"/>
    </row>
    <row r="11568" ht="12.75" customHeight="1">
      <c r="A11568" s="202">
        <v>43720.0</v>
      </c>
      <c r="B11568" s="992"/>
      <c r="C11568" s="32" t="s">
        <v>955</v>
      </c>
      <c r="D11568" s="1"/>
      <c r="F11568" s="203" t="s">
        <v>956</v>
      </c>
      <c r="G11568" s="1"/>
      <c r="H11568" s="68"/>
      <c r="I11568" s="204">
        <v>0.0</v>
      </c>
      <c r="K11568" s="9" t="s">
        <v>3978</v>
      </c>
      <c r="L11568" s="77"/>
      <c r="M11568" s="79"/>
      <c r="N11568" s="1"/>
      <c r="O11568" s="1"/>
      <c r="P11568" s="1"/>
      <c r="Q11568" s="1"/>
      <c r="R11568" s="1"/>
      <c r="S11568" s="1"/>
      <c r="T11568" s="1"/>
      <c r="U11568" s="1"/>
      <c r="V11568" s="1"/>
      <c r="W11568" s="1"/>
      <c r="X11568" s="1"/>
      <c r="Y11568" s="1"/>
      <c r="Z11568" s="1"/>
      <c r="AA11568" s="1"/>
      <c r="AB11568" s="1"/>
      <c r="AC11568" s="1"/>
      <c r="AD11568" s="1"/>
      <c r="AE11568" s="1"/>
      <c r="AF11568" s="1"/>
      <c r="AG11568" s="1"/>
      <c r="AH11568" s="1"/>
    </row>
    <row r="11569" ht="12.75" customHeight="1">
      <c r="A11569" s="202">
        <v>43720.0</v>
      </c>
      <c r="B11569" s="992"/>
      <c r="C11569" s="32" t="s">
        <v>958</v>
      </c>
      <c r="D11569" s="1"/>
      <c r="F11569" s="203" t="s">
        <v>959</v>
      </c>
      <c r="G11569" s="1"/>
      <c r="H11569" s="68"/>
      <c r="I11569" s="204">
        <v>1.0</v>
      </c>
      <c r="K11569" s="9" t="s">
        <v>3979</v>
      </c>
      <c r="L11569" s="77"/>
      <c r="M11569" s="79"/>
      <c r="N11569" s="1"/>
      <c r="O11569" s="1"/>
      <c r="P11569" s="1"/>
      <c r="Q11569" s="1"/>
      <c r="R11569" s="1"/>
      <c r="S11569" s="1"/>
      <c r="T11569" s="1"/>
      <c r="U11569" s="1"/>
      <c r="V11569" s="1"/>
      <c r="W11569" s="1"/>
      <c r="X11569" s="1"/>
      <c r="Y11569" s="1"/>
      <c r="Z11569" s="1"/>
      <c r="AA11569" s="1"/>
      <c r="AB11569" s="1"/>
      <c r="AC11569" s="1"/>
      <c r="AD11569" s="1"/>
      <c r="AE11569" s="1"/>
      <c r="AF11569" s="1"/>
      <c r="AG11569" s="1"/>
      <c r="AH11569" s="1"/>
    </row>
    <row r="11570" ht="12.75" customHeight="1">
      <c r="A11570" s="202">
        <v>43720.0</v>
      </c>
      <c r="B11570" s="992"/>
      <c r="C11570" s="32" t="s">
        <v>961</v>
      </c>
      <c r="D11570" s="1"/>
      <c r="F11570" s="206" t="s">
        <v>3980</v>
      </c>
      <c r="G11570" s="207"/>
      <c r="H11570" s="208"/>
      <c r="I11570" s="209">
        <v>2.0</v>
      </c>
      <c r="K11570" s="9" t="s">
        <v>964</v>
      </c>
      <c r="L11570" s="77"/>
      <c r="M11570" s="79"/>
      <c r="N11570" s="1"/>
      <c r="O11570" s="1"/>
      <c r="P11570" s="1"/>
      <c r="Q11570" s="1"/>
      <c r="R11570" s="1"/>
      <c r="S11570" s="1"/>
      <c r="T11570" s="1"/>
      <c r="U11570" s="1"/>
      <c r="V11570" s="1"/>
      <c r="W11570" s="1"/>
      <c r="X11570" s="1"/>
      <c r="Y11570" s="1"/>
      <c r="Z11570" s="1"/>
      <c r="AA11570" s="1"/>
      <c r="AB11570" s="1"/>
      <c r="AC11570" s="1"/>
      <c r="AD11570" s="1"/>
      <c r="AE11570" s="1"/>
      <c r="AF11570" s="1"/>
      <c r="AG11570" s="1"/>
      <c r="AH11570" s="1"/>
    </row>
    <row r="11571" ht="12.75" customHeight="1">
      <c r="A11571" s="122">
        <v>43721.0</v>
      </c>
      <c r="B11571" s="974" t="s">
        <v>343</v>
      </c>
      <c r="C11571" s="32" t="s">
        <v>847</v>
      </c>
      <c r="D11571" s="9">
        <v>150.0</v>
      </c>
      <c r="E11571" s="9">
        <v>161.82</v>
      </c>
      <c r="F11571" s="1059">
        <v>43721.46542824074</v>
      </c>
      <c r="G11571" s="195" t="s">
        <v>453</v>
      </c>
      <c r="H11571" s="710">
        <v>1.0</v>
      </c>
      <c r="I11571" s="256" t="s">
        <v>3145</v>
      </c>
      <c r="J11571" s="67">
        <f t="shared" ref="J11571:J11580" si="653">IF(or(B11571="SLD",B11571="Rebal SLD"),D11571*E11571,-D11571*E11571)-H11571</f>
        <v>-24274</v>
      </c>
      <c r="K11571" s="1"/>
      <c r="L11571" s="70">
        <f>E11767/E11571-1</f>
        <v>0.04758373501</v>
      </c>
      <c r="M11571" s="79"/>
      <c r="N11571" s="1"/>
      <c r="O11571" s="1"/>
      <c r="P11571" s="1"/>
      <c r="Q11571" s="1"/>
      <c r="R11571" s="1"/>
      <c r="S11571" s="1"/>
      <c r="T11571" s="1"/>
      <c r="U11571" s="1"/>
      <c r="V11571" s="1"/>
      <c r="W11571" s="1"/>
      <c r="X11571" s="1"/>
      <c r="Y11571" s="1"/>
      <c r="Z11571" s="1"/>
      <c r="AA11571" s="1"/>
      <c r="AB11571" s="1"/>
      <c r="AC11571" s="1"/>
      <c r="AD11571" s="1"/>
      <c r="AE11571" s="1"/>
      <c r="AF11571" s="1"/>
      <c r="AG11571" s="1"/>
      <c r="AH11571" s="1"/>
    </row>
    <row r="11572" ht="12.75" customHeight="1">
      <c r="A11572" s="122">
        <v>43721.0</v>
      </c>
      <c r="B11572" s="974" t="s">
        <v>343</v>
      </c>
      <c r="C11572" s="32" t="s">
        <v>1067</v>
      </c>
      <c r="D11572" s="9">
        <v>100.0</v>
      </c>
      <c r="E11572" s="9">
        <v>234.4</v>
      </c>
      <c r="F11572" s="1059">
        <v>43721.46556712963</v>
      </c>
      <c r="G11572" s="195" t="s">
        <v>453</v>
      </c>
      <c r="H11572" s="710">
        <v>1.0</v>
      </c>
      <c r="I11572" s="256" t="s">
        <v>3145</v>
      </c>
      <c r="J11572" s="67">
        <f t="shared" si="653"/>
        <v>-23441</v>
      </c>
      <c r="K11572" s="1"/>
      <c r="L11572" s="70"/>
      <c r="M11572" s="79"/>
      <c r="N11572" s="1"/>
      <c r="O11572" s="1"/>
      <c r="P11572" s="1"/>
      <c r="Q11572" s="1"/>
      <c r="R11572" s="1"/>
      <c r="S11572" s="1"/>
      <c r="T11572" s="1"/>
      <c r="U11572" s="1"/>
      <c r="V11572" s="1"/>
      <c r="W11572" s="1"/>
      <c r="X11572" s="1"/>
      <c r="Y11572" s="1"/>
      <c r="Z11572" s="1"/>
      <c r="AA11572" s="1"/>
      <c r="AB11572" s="1"/>
      <c r="AC11572" s="1"/>
      <c r="AD11572" s="1"/>
      <c r="AE11572" s="1"/>
      <c r="AF11572" s="1"/>
      <c r="AG11572" s="1"/>
      <c r="AH11572" s="1"/>
    </row>
    <row r="11573" ht="12.75" customHeight="1">
      <c r="A11573" s="122">
        <v>43721.0</v>
      </c>
      <c r="B11573" s="974" t="s">
        <v>347</v>
      </c>
      <c r="C11573" s="32" t="s">
        <v>1537</v>
      </c>
      <c r="D11573" s="9">
        <v>500.0</v>
      </c>
      <c r="E11573" s="9">
        <v>18.34</v>
      </c>
      <c r="F11573" s="1059">
        <v>43721.465844907405</v>
      </c>
      <c r="G11573" s="195" t="s">
        <v>453</v>
      </c>
      <c r="H11573" s="710">
        <v>2.75</v>
      </c>
      <c r="I11573" s="256" t="s">
        <v>3145</v>
      </c>
      <c r="J11573" s="67">
        <f t="shared" si="653"/>
        <v>9167.25</v>
      </c>
      <c r="K11573" s="1"/>
      <c r="L11573" s="70"/>
      <c r="M11573" s="79"/>
      <c r="N11573" s="1"/>
      <c r="O11573" s="1"/>
      <c r="P11573" s="1"/>
      <c r="Q11573" s="1"/>
      <c r="R11573" s="1"/>
      <c r="S11573" s="1"/>
      <c r="T11573" s="1"/>
      <c r="U11573" s="1"/>
      <c r="V11573" s="1"/>
      <c r="W11573" s="1"/>
      <c r="X11573" s="1"/>
      <c r="Y11573" s="1"/>
      <c r="Z11573" s="1"/>
      <c r="AA11573" s="1"/>
      <c r="AB11573" s="1"/>
      <c r="AC11573" s="1"/>
      <c r="AD11573" s="1"/>
      <c r="AE11573" s="1"/>
      <c r="AF11573" s="1"/>
      <c r="AG11573" s="1"/>
      <c r="AH11573" s="1"/>
    </row>
    <row r="11574" ht="12.75" customHeight="1">
      <c r="A11574" s="122">
        <v>43721.0</v>
      </c>
      <c r="B11574" s="974" t="s">
        <v>347</v>
      </c>
      <c r="C11574" s="32" t="s">
        <v>1524</v>
      </c>
      <c r="D11574" s="9">
        <v>750.0</v>
      </c>
      <c r="E11574" s="9">
        <v>33.311</v>
      </c>
      <c r="F11574" s="1059">
        <v>43721.46673611111</v>
      </c>
      <c r="G11574" s="195" t="s">
        <v>453</v>
      </c>
      <c r="H11574" s="710">
        <v>4.36</v>
      </c>
      <c r="I11574" s="256" t="s">
        <v>3145</v>
      </c>
      <c r="J11574" s="67">
        <f t="shared" si="653"/>
        <v>24978.89</v>
      </c>
      <c r="K11574" s="1"/>
      <c r="L11574" s="70"/>
      <c r="M11574" s="79"/>
      <c r="N11574" s="1"/>
      <c r="O11574" s="1"/>
      <c r="P11574" s="1"/>
      <c r="Q11574" s="1"/>
      <c r="R11574" s="1"/>
      <c r="S11574" s="1"/>
      <c r="T11574" s="1"/>
      <c r="U11574" s="1"/>
      <c r="V11574" s="1"/>
      <c r="W11574" s="1"/>
      <c r="X11574" s="1"/>
      <c r="Y11574" s="1"/>
      <c r="Z11574" s="1"/>
      <c r="AA11574" s="1"/>
      <c r="AB11574" s="1"/>
      <c r="AC11574" s="1"/>
      <c r="AD11574" s="1"/>
      <c r="AE11574" s="1"/>
      <c r="AF11574" s="1"/>
      <c r="AG11574" s="1"/>
      <c r="AH11574" s="1"/>
    </row>
    <row r="11575" ht="12.75" customHeight="1">
      <c r="A11575" s="122">
        <v>43721.0</v>
      </c>
      <c r="B11575" s="974" t="s">
        <v>343</v>
      </c>
      <c r="C11575" s="32" t="s">
        <v>1053</v>
      </c>
      <c r="D11575" s="9">
        <v>5.0</v>
      </c>
      <c r="E11575" s="9">
        <v>1840.96</v>
      </c>
      <c r="F11575" s="1059">
        <v>43721.50922453704</v>
      </c>
      <c r="G11575" s="195" t="s">
        <v>453</v>
      </c>
      <c r="H11575" s="710">
        <v>1.0</v>
      </c>
      <c r="I11575" s="256" t="s">
        <v>3145</v>
      </c>
      <c r="J11575" s="67">
        <f t="shared" si="653"/>
        <v>-9205.8</v>
      </c>
      <c r="K11575" s="1"/>
      <c r="L11575" s="70">
        <f>1/E11575*E11758-1</f>
        <v>-0.0419020511</v>
      </c>
      <c r="M11575" s="79"/>
      <c r="N11575" s="1"/>
      <c r="O11575" s="1"/>
      <c r="P11575" s="1"/>
      <c r="Q11575" s="1"/>
      <c r="R11575" s="1"/>
      <c r="S11575" s="1"/>
      <c r="T11575" s="1"/>
      <c r="U11575" s="1"/>
      <c r="V11575" s="1"/>
      <c r="W11575" s="1"/>
      <c r="X11575" s="1"/>
      <c r="Y11575" s="1"/>
      <c r="Z11575" s="1"/>
      <c r="AA11575" s="1"/>
      <c r="AB11575" s="1"/>
      <c r="AC11575" s="1"/>
      <c r="AD11575" s="1"/>
      <c r="AE11575" s="1"/>
      <c r="AF11575" s="1"/>
      <c r="AG11575" s="1"/>
      <c r="AH11575" s="1"/>
    </row>
    <row r="11576" ht="12.75" customHeight="1">
      <c r="A11576" s="122">
        <v>43721.0</v>
      </c>
      <c r="B11576" s="974" t="s">
        <v>343</v>
      </c>
      <c r="C11576" s="32" t="s">
        <v>1035</v>
      </c>
      <c r="D11576" s="9">
        <v>10.0</v>
      </c>
      <c r="E11576" s="9">
        <v>1233.11</v>
      </c>
      <c r="F11576" s="1059">
        <v>43721.50991898148</v>
      </c>
      <c r="G11576" s="195" t="s">
        <v>453</v>
      </c>
      <c r="H11576" s="710">
        <v>1.0</v>
      </c>
      <c r="I11576" s="256" t="s">
        <v>3145</v>
      </c>
      <c r="J11576" s="67">
        <f t="shared" si="653"/>
        <v>-12332.1</v>
      </c>
      <c r="K11576" s="1"/>
      <c r="L11576" s="70"/>
      <c r="M11576" s="79"/>
      <c r="N11576" s="1"/>
      <c r="O11576" s="1"/>
      <c r="P11576" s="1"/>
      <c r="Q11576" s="1"/>
      <c r="R11576" s="1"/>
      <c r="S11576" s="1"/>
      <c r="T11576" s="1"/>
      <c r="U11576" s="1"/>
      <c r="V11576" s="1"/>
      <c r="W11576" s="1"/>
      <c r="X11576" s="1"/>
      <c r="Y11576" s="1"/>
      <c r="Z11576" s="1"/>
      <c r="AA11576" s="1"/>
      <c r="AB11576" s="1"/>
      <c r="AC11576" s="1"/>
      <c r="AD11576" s="1"/>
      <c r="AE11576" s="1"/>
      <c r="AF11576" s="1"/>
      <c r="AG11576" s="1"/>
      <c r="AH11576" s="1"/>
    </row>
    <row r="11577" ht="12.75" customHeight="1">
      <c r="A11577" s="122">
        <v>43721.0</v>
      </c>
      <c r="B11577" s="974" t="s">
        <v>343</v>
      </c>
      <c r="C11577" s="32" t="s">
        <v>1056</v>
      </c>
      <c r="D11577" s="9">
        <v>80.0</v>
      </c>
      <c r="E11577" s="9">
        <v>393.6873</v>
      </c>
      <c r="F11577" s="1059">
        <v>43721.51042824074</v>
      </c>
      <c r="G11577" s="195" t="s">
        <v>453</v>
      </c>
      <c r="H11577" s="710">
        <v>1.0</v>
      </c>
      <c r="I11577" s="256" t="s">
        <v>3145</v>
      </c>
      <c r="J11577" s="67">
        <f t="shared" si="653"/>
        <v>-31495.984</v>
      </c>
      <c r="K11577" s="1"/>
      <c r="L11577" s="70">
        <f>1/E11577*E11756-1</f>
        <v>0.01679683343</v>
      </c>
      <c r="M11577" s="79"/>
      <c r="N11577" s="1"/>
      <c r="O11577" s="1"/>
      <c r="P11577" s="1"/>
      <c r="Q11577" s="1"/>
      <c r="R11577" s="1"/>
      <c r="S11577" s="1"/>
      <c r="T11577" s="1"/>
      <c r="U11577" s="1"/>
      <c r="V11577" s="1"/>
      <c r="W11577" s="1"/>
      <c r="X11577" s="1"/>
      <c r="Y11577" s="1"/>
      <c r="Z11577" s="1"/>
      <c r="AA11577" s="1"/>
      <c r="AB11577" s="1"/>
      <c r="AC11577" s="1"/>
      <c r="AD11577" s="1"/>
      <c r="AE11577" s="1"/>
      <c r="AF11577" s="1"/>
      <c r="AG11577" s="1"/>
      <c r="AH11577" s="1"/>
    </row>
    <row r="11578" ht="12.75" customHeight="1">
      <c r="A11578" s="122">
        <v>43721.0</v>
      </c>
      <c r="B11578" s="974" t="s">
        <v>347</v>
      </c>
      <c r="C11578" s="32" t="s">
        <v>1524</v>
      </c>
      <c r="D11578" s="9">
        <v>750.0</v>
      </c>
      <c r="E11578" s="9">
        <v>33.142</v>
      </c>
      <c r="F11578" s="1059">
        <v>43721.51168981481</v>
      </c>
      <c r="G11578" s="195" t="s">
        <v>453</v>
      </c>
      <c r="H11578" s="710">
        <v>4.35</v>
      </c>
      <c r="I11578" s="256" t="s">
        <v>3145</v>
      </c>
      <c r="J11578" s="67">
        <f t="shared" si="653"/>
        <v>24852.15</v>
      </c>
      <c r="K11578" s="1"/>
      <c r="L11578" s="70"/>
      <c r="M11578" s="79"/>
      <c r="N11578" s="1"/>
      <c r="O11578" s="1"/>
      <c r="P11578" s="1"/>
      <c r="Q11578" s="1"/>
      <c r="R11578" s="1"/>
      <c r="S11578" s="1"/>
      <c r="T11578" s="1"/>
      <c r="U11578" s="1"/>
      <c r="V11578" s="1"/>
      <c r="W11578" s="1"/>
      <c r="X11578" s="1"/>
      <c r="Y11578" s="1"/>
      <c r="Z11578" s="1"/>
      <c r="AA11578" s="1"/>
      <c r="AB11578" s="1"/>
      <c r="AC11578" s="1"/>
      <c r="AD11578" s="1"/>
      <c r="AE11578" s="1"/>
      <c r="AF11578" s="1"/>
      <c r="AG11578" s="1"/>
      <c r="AH11578" s="1"/>
    </row>
    <row r="11579" ht="12.75" customHeight="1">
      <c r="A11579" s="122">
        <v>43721.0</v>
      </c>
      <c r="B11579" s="974" t="s">
        <v>347</v>
      </c>
      <c r="C11579" s="32" t="s">
        <v>1537</v>
      </c>
      <c r="D11579" s="708">
        <v>1500.0</v>
      </c>
      <c r="E11579" s="9">
        <v>18.314</v>
      </c>
      <c r="F11579" s="1059">
        <v>43721.512141203704</v>
      </c>
      <c r="G11579" s="195" t="s">
        <v>453</v>
      </c>
      <c r="H11579" s="710">
        <v>8.25</v>
      </c>
      <c r="I11579" s="256" t="s">
        <v>3145</v>
      </c>
      <c r="J11579" s="67">
        <f t="shared" si="653"/>
        <v>27462.75</v>
      </c>
      <c r="K11579" s="1"/>
      <c r="L11579" s="70">
        <f>E11621/E11579-1</f>
        <v>-0.2033417058</v>
      </c>
      <c r="M11579" s="79"/>
      <c r="N11579" s="1"/>
      <c r="O11579" s="1"/>
      <c r="P11579" s="1"/>
      <c r="Q11579" s="1"/>
      <c r="R11579" s="1"/>
      <c r="S11579" s="1"/>
      <c r="T11579" s="1"/>
      <c r="U11579" s="1"/>
      <c r="V11579" s="1"/>
      <c r="W11579" s="1"/>
      <c r="X11579" s="1"/>
      <c r="Y11579" s="1"/>
      <c r="Z11579" s="1"/>
      <c r="AA11579" s="1"/>
      <c r="AB11579" s="1"/>
      <c r="AC11579" s="1"/>
      <c r="AD11579" s="1"/>
      <c r="AE11579" s="1"/>
      <c r="AF11579" s="1"/>
      <c r="AG11579" s="1"/>
      <c r="AH11579" s="1"/>
    </row>
    <row r="11580" ht="12.75" customHeight="1">
      <c r="A11580" s="122">
        <v>43721.0</v>
      </c>
      <c r="B11580" s="974" t="s">
        <v>347</v>
      </c>
      <c r="C11580" s="32" t="s">
        <v>1524</v>
      </c>
      <c r="D11580" s="9">
        <v>300.0</v>
      </c>
      <c r="E11580" s="9">
        <v>33.192</v>
      </c>
      <c r="F11580" s="1059">
        <v>43721.51351851852</v>
      </c>
      <c r="G11580" s="195" t="s">
        <v>453</v>
      </c>
      <c r="H11580" s="710">
        <v>1.74</v>
      </c>
      <c r="I11580" s="256" t="s">
        <v>3145</v>
      </c>
      <c r="J11580" s="67">
        <f t="shared" si="653"/>
        <v>9955.86</v>
      </c>
      <c r="K11580" s="1"/>
      <c r="L11580" s="70"/>
      <c r="M11580" s="79"/>
      <c r="N11580" s="1"/>
      <c r="O11580" s="1"/>
      <c r="P11580" s="1"/>
      <c r="Q11580" s="1"/>
      <c r="R11580" s="1"/>
      <c r="S11580" s="1"/>
      <c r="T11580" s="1"/>
      <c r="U11580" s="1"/>
      <c r="V11580" s="1"/>
      <c r="W11580" s="1"/>
      <c r="X11580" s="1"/>
      <c r="Y11580" s="1"/>
      <c r="Z11580" s="1"/>
      <c r="AA11580" s="1"/>
      <c r="AB11580" s="1"/>
      <c r="AC11580" s="1"/>
      <c r="AD11580" s="1"/>
      <c r="AE11580" s="1"/>
      <c r="AF11580" s="1"/>
      <c r="AG11580" s="1"/>
      <c r="AH11580" s="1"/>
    </row>
    <row r="11581" ht="12.75" customHeight="1">
      <c r="A11581" s="197">
        <v>43723.0</v>
      </c>
      <c r="B11581" s="992"/>
      <c r="C11581" s="32" t="s">
        <v>947</v>
      </c>
      <c r="D11581" s="1"/>
      <c r="E11581" s="94" t="s">
        <v>948</v>
      </c>
      <c r="F11581" s="198" t="s">
        <v>949</v>
      </c>
      <c r="G11581" s="87"/>
      <c r="H11581" s="199"/>
      <c r="I11581" s="200">
        <v>1.0</v>
      </c>
      <c r="K11581" s="201" t="s">
        <v>3900</v>
      </c>
      <c r="L11581" s="77"/>
      <c r="M11581" s="79"/>
      <c r="N11581" s="1"/>
      <c r="O11581" s="1"/>
      <c r="P11581" s="1"/>
      <c r="Q11581" s="1"/>
      <c r="R11581" s="1"/>
      <c r="S11581" s="1"/>
      <c r="T11581" s="1"/>
      <c r="U11581" s="1"/>
      <c r="V11581" s="1"/>
      <c r="W11581" s="1"/>
      <c r="X11581" s="1"/>
      <c r="Y11581" s="1"/>
      <c r="Z11581" s="1"/>
      <c r="AA11581" s="1"/>
      <c r="AB11581" s="1"/>
      <c r="AC11581" s="1"/>
      <c r="AD11581" s="1"/>
      <c r="AE11581" s="1"/>
      <c r="AF11581" s="1"/>
      <c r="AG11581" s="1"/>
      <c r="AH11581" s="1"/>
    </row>
    <row r="11582" ht="12.75" customHeight="1">
      <c r="A11582" s="202">
        <v>43723.0</v>
      </c>
      <c r="B11582" s="992"/>
      <c r="C11582" s="32" t="s">
        <v>952</v>
      </c>
      <c r="D11582" s="1"/>
      <c r="F11582" s="203" t="s">
        <v>953</v>
      </c>
      <c r="G11582" s="1"/>
      <c r="H11582" s="68"/>
      <c r="I11582" s="204">
        <v>0.0</v>
      </c>
      <c r="K11582" s="9" t="s">
        <v>3981</v>
      </c>
      <c r="L11582" s="77"/>
      <c r="M11582" s="79"/>
      <c r="N11582" s="1"/>
      <c r="O11582" s="1"/>
      <c r="P11582" s="1"/>
      <c r="Q11582" s="1"/>
      <c r="R11582" s="1"/>
      <c r="S11582" s="1"/>
      <c r="T11582" s="1"/>
      <c r="U11582" s="1"/>
      <c r="V11582" s="1"/>
      <c r="W11582" s="1"/>
      <c r="X11582" s="1"/>
      <c r="Y11582" s="1"/>
      <c r="Z11582" s="1"/>
      <c r="AA11582" s="1"/>
      <c r="AB11582" s="1"/>
      <c r="AC11582" s="1"/>
      <c r="AD11582" s="1"/>
      <c r="AE11582" s="1"/>
      <c r="AF11582" s="1"/>
      <c r="AG11582" s="1"/>
      <c r="AH11582" s="1"/>
    </row>
    <row r="11583" ht="12.75" customHeight="1">
      <c r="A11583" s="202">
        <v>43723.0</v>
      </c>
      <c r="B11583" s="992"/>
      <c r="C11583" s="32" t="s">
        <v>955</v>
      </c>
      <c r="D11583" s="1"/>
      <c r="F11583" s="203" t="s">
        <v>956</v>
      </c>
      <c r="G11583" s="1"/>
      <c r="H11583" s="68"/>
      <c r="I11583" s="204">
        <v>0.0</v>
      </c>
      <c r="K11583" s="9" t="s">
        <v>3982</v>
      </c>
      <c r="L11583" s="77"/>
      <c r="M11583" s="79"/>
      <c r="N11583" s="1"/>
      <c r="O11583" s="1"/>
      <c r="P11583" s="1"/>
      <c r="Q11583" s="1"/>
      <c r="R11583" s="1"/>
      <c r="S11583" s="1"/>
      <c r="T11583" s="1"/>
      <c r="U11583" s="1"/>
      <c r="V11583" s="1"/>
      <c r="W11583" s="1"/>
      <c r="X11583" s="1"/>
      <c r="Y11583" s="1"/>
      <c r="Z11583" s="1"/>
      <c r="AA11583" s="1"/>
      <c r="AB11583" s="1"/>
      <c r="AC11583" s="1"/>
      <c r="AD11583" s="1"/>
      <c r="AE11583" s="1"/>
      <c r="AF11583" s="1"/>
      <c r="AG11583" s="1"/>
      <c r="AH11583" s="1"/>
    </row>
    <row r="11584" ht="12.75" customHeight="1">
      <c r="A11584" s="202">
        <v>43723.0</v>
      </c>
      <c r="B11584" s="992"/>
      <c r="C11584" s="32" t="s">
        <v>958</v>
      </c>
      <c r="D11584" s="1"/>
      <c r="F11584" s="203" t="s">
        <v>959</v>
      </c>
      <c r="G11584" s="1"/>
      <c r="H11584" s="68"/>
      <c r="I11584" s="204">
        <v>1.0</v>
      </c>
      <c r="K11584" s="9" t="s">
        <v>3983</v>
      </c>
      <c r="L11584" s="77"/>
      <c r="M11584" s="79"/>
      <c r="N11584" s="1"/>
      <c r="O11584" s="1"/>
      <c r="P11584" s="1"/>
      <c r="Q11584" s="1"/>
      <c r="R11584" s="1"/>
      <c r="S11584" s="1"/>
      <c r="T11584" s="1"/>
      <c r="U11584" s="1"/>
      <c r="V11584" s="1"/>
      <c r="W11584" s="1"/>
      <c r="X11584" s="1"/>
      <c r="Y11584" s="1"/>
      <c r="Z11584" s="1"/>
      <c r="AA11584" s="1"/>
      <c r="AB11584" s="1"/>
      <c r="AC11584" s="1"/>
      <c r="AD11584" s="1"/>
      <c r="AE11584" s="1"/>
      <c r="AF11584" s="1"/>
      <c r="AG11584" s="1"/>
      <c r="AH11584" s="1"/>
    </row>
    <row r="11585" ht="12.75" customHeight="1">
      <c r="A11585" s="202">
        <v>43723.0</v>
      </c>
      <c r="B11585" s="992"/>
      <c r="C11585" s="32" t="s">
        <v>961</v>
      </c>
      <c r="D11585" s="1"/>
      <c r="F11585" s="206" t="s">
        <v>3980</v>
      </c>
      <c r="G11585" s="207"/>
      <c r="H11585" s="208"/>
      <c r="I11585" s="209">
        <v>2.0</v>
      </c>
      <c r="K11585" s="9" t="s">
        <v>964</v>
      </c>
      <c r="L11585" s="77"/>
      <c r="M11585" s="79"/>
      <c r="N11585" s="1"/>
      <c r="O11585" s="1"/>
      <c r="P11585" s="1"/>
      <c r="Q11585" s="1"/>
      <c r="R11585" s="1"/>
      <c r="S11585" s="1"/>
      <c r="T11585" s="1"/>
      <c r="U11585" s="1"/>
      <c r="V11585" s="1"/>
      <c r="W11585" s="1"/>
      <c r="X11585" s="1"/>
      <c r="Y11585" s="1"/>
      <c r="Z11585" s="1"/>
      <c r="AA11585" s="1"/>
      <c r="AB11585" s="1"/>
      <c r="AC11585" s="1"/>
      <c r="AD11585" s="1"/>
      <c r="AE11585" s="1"/>
      <c r="AF11585" s="1"/>
      <c r="AG11585" s="1"/>
      <c r="AH11585" s="1"/>
    </row>
    <row r="11586" ht="12.75" customHeight="1">
      <c r="A11586" s="197">
        <v>43724.0</v>
      </c>
      <c r="B11586" s="992"/>
      <c r="C11586" s="32" t="s">
        <v>947</v>
      </c>
      <c r="D11586" s="1"/>
      <c r="E11586" s="94" t="s">
        <v>948</v>
      </c>
      <c r="F11586" s="198" t="s">
        <v>949</v>
      </c>
      <c r="G11586" s="87"/>
      <c r="H11586" s="199"/>
      <c r="I11586" s="200">
        <v>1.0</v>
      </c>
      <c r="K11586" s="201" t="s">
        <v>3900</v>
      </c>
      <c r="L11586" s="77"/>
      <c r="M11586" s="79"/>
      <c r="N11586" s="1"/>
      <c r="O11586" s="1"/>
      <c r="P11586" s="1"/>
      <c r="Q11586" s="1"/>
      <c r="R11586" s="1"/>
      <c r="S11586" s="1"/>
      <c r="T11586" s="1"/>
      <c r="U11586" s="1"/>
      <c r="V11586" s="1"/>
      <c r="W11586" s="1"/>
      <c r="X11586" s="1"/>
      <c r="Y11586" s="1"/>
      <c r="Z11586" s="1"/>
      <c r="AA11586" s="1"/>
      <c r="AB11586" s="1"/>
      <c r="AC11586" s="1"/>
      <c r="AD11586" s="1"/>
      <c r="AE11586" s="1"/>
      <c r="AF11586" s="1"/>
      <c r="AG11586" s="1"/>
      <c r="AH11586" s="1"/>
    </row>
    <row r="11587" ht="12.75" customHeight="1">
      <c r="A11587" s="202">
        <v>43724.0</v>
      </c>
      <c r="B11587" s="992"/>
      <c r="C11587" s="32" t="s">
        <v>952</v>
      </c>
      <c r="D11587" s="1"/>
      <c r="F11587" s="203" t="s">
        <v>953</v>
      </c>
      <c r="G11587" s="1"/>
      <c r="H11587" s="68"/>
      <c r="I11587" s="204">
        <v>0.0</v>
      </c>
      <c r="K11587" s="9" t="s">
        <v>3984</v>
      </c>
      <c r="L11587" s="77"/>
      <c r="M11587" s="79"/>
      <c r="N11587" s="1"/>
      <c r="O11587" s="1"/>
      <c r="P11587" s="1"/>
      <c r="Q11587" s="1"/>
      <c r="R11587" s="1"/>
      <c r="S11587" s="1"/>
      <c r="T11587" s="1"/>
      <c r="U11587" s="1"/>
      <c r="V11587" s="1"/>
      <c r="W11587" s="1"/>
      <c r="X11587" s="1"/>
      <c r="Y11587" s="1"/>
      <c r="Z11587" s="1"/>
      <c r="AA11587" s="1"/>
      <c r="AB11587" s="1"/>
      <c r="AC11587" s="1"/>
      <c r="AD11587" s="1"/>
      <c r="AE11587" s="1"/>
      <c r="AF11587" s="1"/>
      <c r="AG11587" s="1"/>
      <c r="AH11587" s="1"/>
    </row>
    <row r="11588" ht="12.75" customHeight="1">
      <c r="A11588" s="202">
        <v>43724.0</v>
      </c>
      <c r="B11588" s="992"/>
      <c r="C11588" s="32" t="s">
        <v>955</v>
      </c>
      <c r="D11588" s="1"/>
      <c r="F11588" s="203" t="s">
        <v>956</v>
      </c>
      <c r="G11588" s="1"/>
      <c r="H11588" s="68"/>
      <c r="I11588" s="204">
        <v>0.0</v>
      </c>
      <c r="K11588" s="9" t="s">
        <v>3982</v>
      </c>
      <c r="L11588" s="77"/>
      <c r="M11588" s="79"/>
      <c r="N11588" s="1"/>
      <c r="O11588" s="1"/>
      <c r="P11588" s="1"/>
      <c r="Q11588" s="1"/>
      <c r="R11588" s="1"/>
      <c r="S11588" s="1"/>
      <c r="T11588" s="1"/>
      <c r="U11588" s="1"/>
      <c r="V11588" s="1"/>
      <c r="W11588" s="1"/>
      <c r="X11588" s="1"/>
      <c r="Y11588" s="1"/>
      <c r="Z11588" s="1"/>
      <c r="AA11588" s="1"/>
      <c r="AB11588" s="1"/>
      <c r="AC11588" s="1"/>
      <c r="AD11588" s="1"/>
      <c r="AE11588" s="1"/>
      <c r="AF11588" s="1"/>
      <c r="AG11588" s="1"/>
      <c r="AH11588" s="1"/>
    </row>
    <row r="11589" ht="12.75" customHeight="1">
      <c r="A11589" s="202">
        <v>43724.0</v>
      </c>
      <c r="B11589" s="992"/>
      <c r="C11589" s="32" t="s">
        <v>958</v>
      </c>
      <c r="D11589" s="1"/>
      <c r="F11589" s="203" t="s">
        <v>959</v>
      </c>
      <c r="G11589" s="1"/>
      <c r="H11589" s="68"/>
      <c r="I11589" s="204">
        <v>1.0</v>
      </c>
      <c r="K11589" s="9" t="s">
        <v>3983</v>
      </c>
      <c r="L11589" s="77"/>
      <c r="M11589" s="79"/>
      <c r="N11589" s="1"/>
      <c r="O11589" s="1"/>
      <c r="P11589" s="1"/>
      <c r="Q11589" s="1"/>
      <c r="R11589" s="1"/>
      <c r="S11589" s="1"/>
      <c r="T11589" s="1"/>
      <c r="U11589" s="1"/>
      <c r="V11589" s="1"/>
      <c r="W11589" s="1"/>
      <c r="X11589" s="1"/>
      <c r="Y11589" s="1"/>
      <c r="Z11589" s="1"/>
      <c r="AA11589" s="1"/>
      <c r="AB11589" s="1"/>
      <c r="AC11589" s="1"/>
      <c r="AD11589" s="1"/>
      <c r="AE11589" s="1"/>
      <c r="AF11589" s="1"/>
      <c r="AG11589" s="1"/>
      <c r="AH11589" s="1"/>
    </row>
    <row r="11590" ht="12.75" customHeight="1">
      <c r="A11590" s="202">
        <v>43724.0</v>
      </c>
      <c r="B11590" s="992"/>
      <c r="C11590" s="32" t="s">
        <v>961</v>
      </c>
      <c r="D11590" s="1"/>
      <c r="F11590" s="206" t="s">
        <v>3980</v>
      </c>
      <c r="G11590" s="207"/>
      <c r="H11590" s="208"/>
      <c r="I11590" s="209">
        <v>2.0</v>
      </c>
      <c r="K11590" s="9" t="s">
        <v>964</v>
      </c>
      <c r="L11590" s="77"/>
      <c r="M11590" s="79"/>
      <c r="N11590" s="1"/>
      <c r="O11590" s="1"/>
      <c r="P11590" s="1"/>
      <c r="Q11590" s="1"/>
      <c r="R11590" s="1"/>
      <c r="S11590" s="1"/>
      <c r="T11590" s="1"/>
      <c r="U11590" s="1"/>
      <c r="V11590" s="1"/>
      <c r="W11590" s="1"/>
      <c r="X11590" s="1"/>
      <c r="Y11590" s="1"/>
      <c r="Z11590" s="1"/>
      <c r="AA11590" s="1"/>
      <c r="AB11590" s="1"/>
      <c r="AC11590" s="1"/>
      <c r="AD11590" s="1"/>
      <c r="AE11590" s="1"/>
      <c r="AF11590" s="1"/>
      <c r="AG11590" s="1"/>
      <c r="AH11590" s="1"/>
    </row>
    <row r="11591" ht="12.75" customHeight="1">
      <c r="A11591" s="197">
        <v>43726.0</v>
      </c>
      <c r="B11591" s="992"/>
      <c r="C11591" s="32" t="s">
        <v>947</v>
      </c>
      <c r="D11591" s="1"/>
      <c r="E11591" s="94" t="s">
        <v>948</v>
      </c>
      <c r="F11591" s="198" t="s">
        <v>949</v>
      </c>
      <c r="G11591" s="87"/>
      <c r="H11591" s="199"/>
      <c r="I11591" s="200">
        <v>1.0</v>
      </c>
      <c r="K11591" s="201" t="s">
        <v>3900</v>
      </c>
      <c r="L11591" s="77"/>
      <c r="M11591" s="79"/>
      <c r="N11591" s="1"/>
      <c r="O11591" s="1"/>
      <c r="P11591" s="1"/>
      <c r="Q11591" s="1"/>
      <c r="R11591" s="1"/>
      <c r="S11591" s="1"/>
      <c r="T11591" s="1"/>
      <c r="U11591" s="1"/>
      <c r="V11591" s="1"/>
      <c r="W11591" s="1"/>
      <c r="X11591" s="1"/>
      <c r="Y11591" s="1"/>
      <c r="Z11591" s="1"/>
      <c r="AA11591" s="1"/>
      <c r="AB11591" s="1"/>
      <c r="AC11591" s="1"/>
      <c r="AD11591" s="1"/>
      <c r="AE11591" s="1"/>
      <c r="AF11591" s="1"/>
      <c r="AG11591" s="1"/>
      <c r="AH11591" s="1"/>
    </row>
    <row r="11592" ht="12.75" customHeight="1">
      <c r="A11592" s="202">
        <v>43726.0</v>
      </c>
      <c r="B11592" s="992"/>
      <c r="C11592" s="32" t="s">
        <v>952</v>
      </c>
      <c r="D11592" s="1"/>
      <c r="F11592" s="203" t="s">
        <v>953</v>
      </c>
      <c r="G11592" s="1"/>
      <c r="H11592" s="68"/>
      <c r="I11592" s="204">
        <v>0.0</v>
      </c>
      <c r="K11592" s="9" t="s">
        <v>3985</v>
      </c>
      <c r="L11592" s="77"/>
      <c r="M11592" s="79"/>
      <c r="N11592" s="1"/>
      <c r="O11592" s="1"/>
      <c r="P11592" s="1"/>
      <c r="Q11592" s="1"/>
      <c r="R11592" s="1"/>
      <c r="S11592" s="1"/>
      <c r="T11592" s="1"/>
      <c r="U11592" s="1"/>
      <c r="V11592" s="1"/>
      <c r="W11592" s="1"/>
      <c r="X11592" s="1"/>
      <c r="Y11592" s="1"/>
      <c r="Z11592" s="1"/>
      <c r="AA11592" s="1"/>
      <c r="AB11592" s="1"/>
      <c r="AC11592" s="1"/>
      <c r="AD11592" s="1"/>
      <c r="AE11592" s="1"/>
      <c r="AF11592" s="1"/>
      <c r="AG11592" s="1"/>
      <c r="AH11592" s="1"/>
    </row>
    <row r="11593" ht="12.75" customHeight="1">
      <c r="A11593" s="202">
        <v>43726.0</v>
      </c>
      <c r="B11593" s="992"/>
      <c r="C11593" s="32" t="s">
        <v>955</v>
      </c>
      <c r="D11593" s="1"/>
      <c r="F11593" s="203" t="s">
        <v>956</v>
      </c>
      <c r="G11593" s="1"/>
      <c r="H11593" s="68"/>
      <c r="I11593" s="204">
        <v>0.0</v>
      </c>
      <c r="K11593" s="9" t="s">
        <v>3986</v>
      </c>
      <c r="L11593" s="77"/>
      <c r="M11593" s="79"/>
      <c r="N11593" s="1"/>
      <c r="O11593" s="1"/>
      <c r="P11593" s="1"/>
      <c r="Q11593" s="1"/>
      <c r="R11593" s="1"/>
      <c r="S11593" s="1"/>
      <c r="T11593" s="1"/>
      <c r="U11593" s="1"/>
      <c r="V11593" s="1"/>
      <c r="W11593" s="1"/>
      <c r="X11593" s="1"/>
      <c r="Y11593" s="1"/>
      <c r="Z11593" s="1"/>
      <c r="AA11593" s="1"/>
      <c r="AB11593" s="1"/>
      <c r="AC11593" s="1"/>
      <c r="AD11593" s="1"/>
      <c r="AE11593" s="1"/>
      <c r="AF11593" s="1"/>
      <c r="AG11593" s="1"/>
      <c r="AH11593" s="1"/>
    </row>
    <row r="11594" ht="12.75" customHeight="1">
      <c r="A11594" s="202">
        <v>43726.0</v>
      </c>
      <c r="B11594" s="992"/>
      <c r="C11594" s="32" t="s">
        <v>958</v>
      </c>
      <c r="D11594" s="1"/>
      <c r="F11594" s="203" t="s">
        <v>959</v>
      </c>
      <c r="G11594" s="1"/>
      <c r="H11594" s="68"/>
      <c r="I11594" s="204">
        <v>1.0</v>
      </c>
      <c r="K11594" s="9" t="s">
        <v>3987</v>
      </c>
      <c r="L11594" s="77"/>
      <c r="M11594" s="79"/>
      <c r="N11594" s="1"/>
      <c r="O11594" s="1"/>
      <c r="P11594" s="1"/>
      <c r="Q11594" s="1"/>
      <c r="R11594" s="1"/>
      <c r="S11594" s="1"/>
      <c r="T11594" s="1"/>
      <c r="U11594" s="1"/>
      <c r="V11594" s="1"/>
      <c r="W11594" s="1"/>
      <c r="X11594" s="1"/>
      <c r="Y11594" s="1"/>
      <c r="Z11594" s="1"/>
      <c r="AA11594" s="1"/>
      <c r="AB11594" s="1"/>
      <c r="AC11594" s="1"/>
      <c r="AD11594" s="1"/>
      <c r="AE11594" s="1"/>
      <c r="AF11594" s="1"/>
      <c r="AG11594" s="1"/>
      <c r="AH11594" s="1"/>
    </row>
    <row r="11595" ht="12.75" customHeight="1">
      <c r="A11595" s="202">
        <v>43726.0</v>
      </c>
      <c r="B11595" s="992"/>
      <c r="C11595" s="32" t="s">
        <v>961</v>
      </c>
      <c r="D11595" s="1"/>
      <c r="F11595" s="206" t="s">
        <v>3980</v>
      </c>
      <c r="G11595" s="207"/>
      <c r="H11595" s="208"/>
      <c r="I11595" s="209">
        <v>2.0</v>
      </c>
      <c r="K11595" s="9" t="s">
        <v>964</v>
      </c>
      <c r="L11595" s="77"/>
      <c r="M11595" s="79"/>
      <c r="N11595" s="1"/>
      <c r="O11595" s="1"/>
      <c r="P11595" s="1"/>
      <c r="Q11595" s="1"/>
      <c r="R11595" s="1"/>
      <c r="S11595" s="1"/>
      <c r="T11595" s="1"/>
      <c r="U11595" s="1"/>
      <c r="V11595" s="1"/>
      <c r="W11595" s="1"/>
      <c r="X11595" s="1"/>
      <c r="Y11595" s="1"/>
      <c r="Z11595" s="1"/>
      <c r="AA11595" s="1"/>
      <c r="AB11595" s="1"/>
      <c r="AC11595" s="1"/>
      <c r="AD11595" s="1"/>
      <c r="AE11595" s="1"/>
      <c r="AF11595" s="1"/>
      <c r="AG11595" s="1"/>
      <c r="AH11595" s="1"/>
    </row>
    <row r="11596" ht="12.75" customHeight="1">
      <c r="A11596" s="122">
        <v>43727.0</v>
      </c>
      <c r="B11596" s="32" t="s">
        <v>343</v>
      </c>
      <c r="C11596" s="32" t="s">
        <v>381</v>
      </c>
      <c r="D11596" s="9">
        <v>50.0</v>
      </c>
      <c r="E11596" s="9">
        <v>190.14</v>
      </c>
      <c r="F11596" s="1059">
        <v>43727.666238425925</v>
      </c>
      <c r="G11596" s="195" t="s">
        <v>453</v>
      </c>
      <c r="H11596" s="710">
        <v>1.0</v>
      </c>
      <c r="I11596" s="256" t="s">
        <v>3145</v>
      </c>
      <c r="J11596" s="67">
        <f t="shared" ref="J11596:J11599" si="654">IF(or(B11596="SLD",B11596="Rebal SLD"),D11596*E11596,-D11596*E11596)-H11596</f>
        <v>-9508</v>
      </c>
      <c r="K11596" s="1"/>
      <c r="L11596" s="70">
        <f>1/E11596*E11757-1</f>
        <v>-0.03755127801</v>
      </c>
      <c r="M11596" s="79"/>
      <c r="N11596" s="1"/>
      <c r="O11596" s="1"/>
      <c r="P11596" s="1"/>
      <c r="Q11596" s="1"/>
      <c r="R11596" s="1"/>
      <c r="S11596" s="1"/>
      <c r="T11596" s="1"/>
      <c r="U11596" s="1"/>
      <c r="V11596" s="1"/>
      <c r="W11596" s="1"/>
      <c r="X11596" s="1"/>
      <c r="Y11596" s="1"/>
      <c r="Z11596" s="1"/>
      <c r="AA11596" s="1"/>
      <c r="AB11596" s="1"/>
      <c r="AC11596" s="1"/>
      <c r="AD11596" s="1"/>
      <c r="AE11596" s="1"/>
      <c r="AF11596" s="1"/>
      <c r="AG11596" s="1"/>
      <c r="AH11596" s="1"/>
    </row>
    <row r="11597" ht="12.75" customHeight="1">
      <c r="A11597" s="202">
        <v>43732.0</v>
      </c>
      <c r="B11597" s="94" t="s">
        <v>343</v>
      </c>
      <c r="C11597" s="985" t="s">
        <v>1092</v>
      </c>
      <c r="D11597" s="985">
        <v>500.0</v>
      </c>
      <c r="E11597" s="985">
        <v>13.67</v>
      </c>
      <c r="F11597" s="1058">
        <v>43731.435949074075</v>
      </c>
      <c r="G11597" s="1028" t="s">
        <v>453</v>
      </c>
      <c r="H11597" s="937">
        <v>2.5</v>
      </c>
      <c r="I11597" s="1029" t="s">
        <v>3145</v>
      </c>
      <c r="J11597" s="67">
        <f t="shared" si="654"/>
        <v>-6837.5</v>
      </c>
      <c r="K11597" s="1"/>
      <c r="L11597" s="70"/>
      <c r="M11597" s="79"/>
      <c r="N11597" s="1"/>
      <c r="O11597" s="1"/>
      <c r="P11597" s="1"/>
      <c r="Q11597" s="1"/>
      <c r="R11597" s="1"/>
      <c r="S11597" s="1"/>
      <c r="T11597" s="1"/>
      <c r="U11597" s="1"/>
      <c r="V11597" s="1"/>
      <c r="W11597" s="1"/>
      <c r="X11597" s="1"/>
      <c r="Y11597" s="1"/>
      <c r="Z11597" s="1"/>
      <c r="AA11597" s="1"/>
      <c r="AB11597" s="1"/>
      <c r="AC11597" s="1"/>
      <c r="AD11597" s="1"/>
      <c r="AE11597" s="1"/>
      <c r="AF11597" s="1"/>
      <c r="AG11597" s="1"/>
      <c r="AH11597" s="1"/>
    </row>
    <row r="11598" ht="12.75" customHeight="1">
      <c r="A11598" s="202">
        <v>43732.0</v>
      </c>
      <c r="B11598" s="94" t="s">
        <v>343</v>
      </c>
      <c r="C11598" s="985" t="s">
        <v>1070</v>
      </c>
      <c r="D11598" s="985">
        <v>50.0</v>
      </c>
      <c r="E11598" s="985">
        <v>238.0</v>
      </c>
      <c r="F11598" s="1058">
        <v>43731.639872685184</v>
      </c>
      <c r="G11598" s="1028" t="s">
        <v>453</v>
      </c>
      <c r="H11598" s="937">
        <v>1.0</v>
      </c>
      <c r="I11598" s="1029" t="s">
        <v>3145</v>
      </c>
      <c r="J11598" s="67">
        <f t="shared" si="654"/>
        <v>-11901</v>
      </c>
      <c r="K11598" s="1"/>
      <c r="L11598" s="70"/>
      <c r="M11598" s="79"/>
      <c r="N11598" s="884">
        <v>41900.0</v>
      </c>
      <c r="O11598" s="1061" t="s">
        <v>2488</v>
      </c>
      <c r="P11598" s="839" t="s">
        <v>1070</v>
      </c>
      <c r="Q11598" s="1062">
        <v>230.0</v>
      </c>
      <c r="R11598" s="862">
        <v>-0.05891980360065474</v>
      </c>
      <c r="S11598" s="863">
        <v>244.4</v>
      </c>
      <c r="T11598" s="862">
        <v>0.2497332901863416</v>
      </c>
      <c r="U11598" s="843"/>
      <c r="V11598" s="844">
        <v>305.43481612154187</v>
      </c>
      <c r="W11598" s="1063">
        <v>11.98</v>
      </c>
      <c r="X11598" s="1063">
        <v>13.56</v>
      </c>
      <c r="Y11598" s="1064">
        <v>43861.0</v>
      </c>
      <c r="Z11598" s="842">
        <v>0.3381637626204979</v>
      </c>
      <c r="AA11598" s="1065">
        <v>13.025701255059616</v>
      </c>
      <c r="AB11598" s="1066">
        <v>0.125</v>
      </c>
      <c r="AC11598" s="1066">
        <v>0.225</v>
      </c>
      <c r="AD11598" s="1067">
        <v>23.44862745895549</v>
      </c>
      <c r="AE11598" s="1068">
        <v>4.0</v>
      </c>
      <c r="AF11598" s="1064">
        <v>43732.0</v>
      </c>
      <c r="AG11598" s="1068" t="s">
        <v>1240</v>
      </c>
      <c r="AH11598" s="1069" t="s">
        <v>2490</v>
      </c>
    </row>
    <row r="11599" ht="12.75" customHeight="1">
      <c r="A11599" s="202">
        <v>43732.0</v>
      </c>
      <c r="B11599" s="94" t="s">
        <v>343</v>
      </c>
      <c r="C11599" s="985" t="s">
        <v>1035</v>
      </c>
      <c r="D11599" s="985">
        <v>10.0</v>
      </c>
      <c r="E11599" s="985">
        <v>1236.95</v>
      </c>
      <c r="F11599" s="1058">
        <v>43731.661840277775</v>
      </c>
      <c r="G11599" s="1028" t="s">
        <v>453</v>
      </c>
      <c r="H11599" s="937">
        <v>1.0</v>
      </c>
      <c r="I11599" s="1029" t="s">
        <v>3145</v>
      </c>
      <c r="J11599" s="67">
        <f t="shared" si="654"/>
        <v>-12370.5</v>
      </c>
      <c r="K11599" s="1"/>
      <c r="L11599" s="70"/>
      <c r="M11599" s="79"/>
      <c r="N11599" s="1"/>
      <c r="O11599" s="1"/>
      <c r="P11599" s="1"/>
      <c r="Q11599" s="1"/>
      <c r="R11599" s="1"/>
      <c r="S11599" s="1"/>
      <c r="T11599" s="1"/>
      <c r="U11599" s="1"/>
      <c r="V11599" s="1"/>
      <c r="W11599" s="1"/>
      <c r="X11599" s="1"/>
      <c r="Y11599" s="1"/>
      <c r="Z11599" s="1"/>
      <c r="AA11599" s="1"/>
      <c r="AB11599" s="1"/>
      <c r="AC11599" s="1"/>
      <c r="AD11599" s="1"/>
      <c r="AE11599" s="1"/>
      <c r="AF11599" s="1"/>
      <c r="AG11599" s="1"/>
      <c r="AH11599" s="1"/>
    </row>
    <row r="11600" ht="12.75" customHeight="1">
      <c r="A11600" s="197">
        <v>43732.0</v>
      </c>
      <c r="B11600" s="992"/>
      <c r="C11600" s="32" t="s">
        <v>947</v>
      </c>
      <c r="D11600" s="1"/>
      <c r="E11600" s="94" t="s">
        <v>948</v>
      </c>
      <c r="F11600" s="198" t="s">
        <v>949</v>
      </c>
      <c r="G11600" s="87"/>
      <c r="H11600" s="199"/>
      <c r="I11600" s="200">
        <v>1.0</v>
      </c>
      <c r="K11600" s="201" t="s">
        <v>3988</v>
      </c>
      <c r="L11600" s="77"/>
      <c r="M11600" s="79"/>
      <c r="N11600" s="1"/>
      <c r="O11600" s="1"/>
      <c r="P11600" s="1"/>
      <c r="Q11600" s="1"/>
      <c r="R11600" s="1"/>
      <c r="S11600" s="1"/>
      <c r="T11600" s="1"/>
      <c r="U11600" s="1"/>
      <c r="V11600" s="1"/>
      <c r="W11600" s="1"/>
      <c r="X11600" s="1"/>
      <c r="Y11600" s="1"/>
      <c r="Z11600" s="1"/>
      <c r="AA11600" s="1"/>
      <c r="AB11600" s="1"/>
      <c r="AC11600" s="1"/>
      <c r="AD11600" s="1"/>
      <c r="AE11600" s="1"/>
      <c r="AF11600" s="1"/>
      <c r="AG11600" s="1"/>
      <c r="AH11600" s="1"/>
    </row>
    <row r="11601" ht="12.75" customHeight="1">
      <c r="A11601" s="202">
        <v>43732.0</v>
      </c>
      <c r="B11601" s="992"/>
      <c r="C11601" s="32" t="s">
        <v>952</v>
      </c>
      <c r="D11601" s="1"/>
      <c r="F11601" s="203" t="s">
        <v>953</v>
      </c>
      <c r="G11601" s="1"/>
      <c r="H11601" s="68"/>
      <c r="I11601" s="204">
        <v>0.0</v>
      </c>
      <c r="K11601" s="9" t="s">
        <v>3989</v>
      </c>
      <c r="L11601" s="77"/>
      <c r="M11601" s="79"/>
      <c r="N11601" s="1"/>
      <c r="O11601" s="1"/>
      <c r="P11601" s="1"/>
      <c r="Q11601" s="1"/>
      <c r="R11601" s="1"/>
      <c r="S11601" s="1"/>
      <c r="T11601" s="1"/>
      <c r="U11601" s="1"/>
      <c r="V11601" s="1"/>
      <c r="W11601" s="1"/>
      <c r="X11601" s="1"/>
      <c r="Y11601" s="1"/>
      <c r="Z11601" s="1"/>
      <c r="AA11601" s="1"/>
      <c r="AB11601" s="1"/>
      <c r="AC11601" s="1"/>
      <c r="AD11601" s="1"/>
      <c r="AE11601" s="1"/>
      <c r="AF11601" s="1"/>
      <c r="AG11601" s="1"/>
      <c r="AH11601" s="1"/>
    </row>
    <row r="11602" ht="12.75" customHeight="1">
      <c r="A11602" s="202">
        <v>43732.0</v>
      </c>
      <c r="B11602" s="992"/>
      <c r="C11602" s="32" t="s">
        <v>955</v>
      </c>
      <c r="D11602" s="1"/>
      <c r="F11602" s="203" t="s">
        <v>956</v>
      </c>
      <c r="G11602" s="1"/>
      <c r="H11602" s="68"/>
      <c r="I11602" s="204">
        <v>0.0</v>
      </c>
      <c r="K11602" s="9" t="s">
        <v>3990</v>
      </c>
      <c r="L11602" s="77"/>
      <c r="M11602" s="79"/>
      <c r="N11602" s="1"/>
      <c r="O11602" s="1"/>
      <c r="P11602" s="1"/>
      <c r="Q11602" s="1"/>
      <c r="R11602" s="1"/>
      <c r="S11602" s="1"/>
      <c r="T11602" s="1"/>
      <c r="U11602" s="1"/>
      <c r="V11602" s="1"/>
      <c r="W11602" s="1"/>
      <c r="X11602" s="1"/>
      <c r="Y11602" s="1"/>
      <c r="Z11602" s="1"/>
      <c r="AA11602" s="1"/>
      <c r="AB11602" s="1"/>
      <c r="AC11602" s="1"/>
      <c r="AD11602" s="1"/>
      <c r="AE11602" s="1"/>
      <c r="AF11602" s="1"/>
      <c r="AG11602" s="1"/>
      <c r="AH11602" s="1"/>
    </row>
    <row r="11603" ht="12.75" customHeight="1">
      <c r="A11603" s="202">
        <v>43732.0</v>
      </c>
      <c r="B11603" s="992"/>
      <c r="C11603" s="32" t="s">
        <v>958</v>
      </c>
      <c r="D11603" s="1"/>
      <c r="F11603" s="203" t="s">
        <v>959</v>
      </c>
      <c r="G11603" s="1"/>
      <c r="H11603" s="68"/>
      <c r="I11603" s="204">
        <v>1.0</v>
      </c>
      <c r="K11603" s="9" t="s">
        <v>3987</v>
      </c>
      <c r="L11603" s="77"/>
      <c r="M11603" s="79"/>
      <c r="N11603" s="1"/>
      <c r="O11603" s="1"/>
      <c r="P11603" s="1"/>
      <c r="Q11603" s="1"/>
      <c r="R11603" s="1"/>
      <c r="S11603" s="1"/>
      <c r="T11603" s="1"/>
      <c r="U11603" s="1"/>
      <c r="V11603" s="1"/>
      <c r="W11603" s="1"/>
      <c r="X11603" s="1"/>
      <c r="Y11603" s="1"/>
      <c r="Z11603" s="1"/>
      <c r="AA11603" s="1"/>
      <c r="AB11603" s="1"/>
      <c r="AC11603" s="1"/>
      <c r="AD11603" s="1"/>
      <c r="AE11603" s="1"/>
      <c r="AF11603" s="1"/>
      <c r="AG11603" s="1"/>
      <c r="AH11603" s="1"/>
    </row>
    <row r="11604" ht="12.75" customHeight="1">
      <c r="A11604" s="202">
        <v>43732.0</v>
      </c>
      <c r="B11604" s="992"/>
      <c r="C11604" s="32" t="s">
        <v>961</v>
      </c>
      <c r="D11604" s="1"/>
      <c r="F11604" s="206" t="s">
        <v>3980</v>
      </c>
      <c r="G11604" s="207"/>
      <c r="H11604" s="208"/>
      <c r="I11604" s="209">
        <v>2.0</v>
      </c>
      <c r="K11604" s="9" t="s">
        <v>964</v>
      </c>
      <c r="L11604" s="77"/>
      <c r="M11604" s="79"/>
      <c r="N11604" s="1"/>
      <c r="O11604" s="1"/>
      <c r="P11604" s="1"/>
      <c r="Q11604" s="1"/>
      <c r="R11604" s="1"/>
      <c r="S11604" s="1"/>
      <c r="T11604" s="1"/>
      <c r="U11604" s="1"/>
      <c r="V11604" s="1"/>
      <c r="W11604" s="1"/>
      <c r="X11604" s="1"/>
      <c r="Y11604" s="1"/>
      <c r="Z11604" s="1"/>
      <c r="AA11604" s="1"/>
      <c r="AB11604" s="1"/>
      <c r="AC11604" s="1"/>
      <c r="AD11604" s="1"/>
      <c r="AE11604" s="1"/>
      <c r="AF11604" s="1"/>
      <c r="AG11604" s="1"/>
      <c r="AH11604" s="1"/>
    </row>
    <row r="11605" ht="12.75" customHeight="1">
      <c r="A11605" s="197">
        <v>43734.0</v>
      </c>
      <c r="B11605" s="992"/>
      <c r="C11605" s="32" t="s">
        <v>947</v>
      </c>
      <c r="D11605" s="1"/>
      <c r="E11605" s="94" t="s">
        <v>948</v>
      </c>
      <c r="F11605" s="198" t="s">
        <v>949</v>
      </c>
      <c r="G11605" s="87"/>
      <c r="H11605" s="199"/>
      <c r="I11605" s="200">
        <v>1.0</v>
      </c>
      <c r="K11605" s="201" t="s">
        <v>3991</v>
      </c>
      <c r="L11605" s="77"/>
      <c r="M11605" s="79"/>
      <c r="N11605" s="1"/>
      <c r="O11605" s="1"/>
      <c r="P11605" s="1"/>
      <c r="Q11605" s="1"/>
      <c r="R11605" s="1"/>
      <c r="S11605" s="1"/>
      <c r="T11605" s="1"/>
      <c r="U11605" s="1"/>
      <c r="V11605" s="1"/>
      <c r="W11605" s="1"/>
      <c r="X11605" s="1"/>
      <c r="Y11605" s="1"/>
      <c r="Z11605" s="1"/>
      <c r="AA11605" s="1"/>
      <c r="AB11605" s="1"/>
      <c r="AC11605" s="1"/>
      <c r="AD11605" s="1"/>
      <c r="AE11605" s="1"/>
      <c r="AF11605" s="1"/>
      <c r="AG11605" s="1"/>
      <c r="AH11605" s="1"/>
    </row>
    <row r="11606" ht="12.75" customHeight="1">
      <c r="A11606" s="202">
        <v>43734.0</v>
      </c>
      <c r="B11606" s="992"/>
      <c r="C11606" s="32" t="s">
        <v>952</v>
      </c>
      <c r="D11606" s="1"/>
      <c r="F11606" s="203" t="s">
        <v>953</v>
      </c>
      <c r="G11606" s="1"/>
      <c r="H11606" s="68"/>
      <c r="I11606" s="204">
        <v>0.0</v>
      </c>
      <c r="K11606" s="9" t="s">
        <v>3992</v>
      </c>
      <c r="L11606" s="77"/>
      <c r="M11606" s="79"/>
      <c r="N11606" s="1"/>
      <c r="O11606" s="1"/>
      <c r="P11606" s="1"/>
      <c r="Q11606" s="1"/>
      <c r="R11606" s="1"/>
      <c r="S11606" s="1"/>
      <c r="T11606" s="1"/>
      <c r="U11606" s="1"/>
      <c r="V11606" s="1"/>
      <c r="W11606" s="1"/>
      <c r="X11606" s="1"/>
      <c r="Y11606" s="1"/>
      <c r="Z11606" s="1"/>
      <c r="AA11606" s="1"/>
      <c r="AB11606" s="1"/>
      <c r="AC11606" s="1"/>
      <c r="AD11606" s="1"/>
      <c r="AE11606" s="1"/>
      <c r="AF11606" s="1"/>
      <c r="AG11606" s="1"/>
      <c r="AH11606" s="1"/>
    </row>
    <row r="11607" ht="12.75" customHeight="1">
      <c r="A11607" s="202">
        <v>43734.0</v>
      </c>
      <c r="B11607" s="992"/>
      <c r="C11607" s="32" t="s">
        <v>955</v>
      </c>
      <c r="D11607" s="1"/>
      <c r="F11607" s="203" t="s">
        <v>956</v>
      </c>
      <c r="G11607" s="1"/>
      <c r="H11607" s="68"/>
      <c r="I11607" s="204">
        <v>0.0</v>
      </c>
      <c r="K11607" s="9" t="s">
        <v>3993</v>
      </c>
      <c r="L11607" s="77"/>
      <c r="M11607" s="79"/>
      <c r="N11607" s="1"/>
      <c r="O11607" s="1"/>
      <c r="P11607" s="1"/>
      <c r="Q11607" s="1"/>
      <c r="R11607" s="1"/>
      <c r="S11607" s="1"/>
      <c r="T11607" s="1"/>
      <c r="U11607" s="1"/>
      <c r="V11607" s="1"/>
      <c r="W11607" s="1"/>
      <c r="X11607" s="1"/>
      <c r="Y11607" s="1"/>
      <c r="Z11607" s="1"/>
      <c r="AA11607" s="1"/>
      <c r="AB11607" s="1"/>
      <c r="AC11607" s="1"/>
      <c r="AD11607" s="1"/>
      <c r="AE11607" s="1"/>
      <c r="AF11607" s="1"/>
      <c r="AG11607" s="1"/>
      <c r="AH11607" s="1"/>
    </row>
    <row r="11608" ht="12.75" customHeight="1">
      <c r="A11608" s="202">
        <v>43734.0</v>
      </c>
      <c r="B11608" s="992"/>
      <c r="C11608" s="32" t="s">
        <v>958</v>
      </c>
      <c r="D11608" s="1"/>
      <c r="F11608" s="203" t="s">
        <v>959</v>
      </c>
      <c r="G11608" s="1"/>
      <c r="H11608" s="68"/>
      <c r="I11608" s="204">
        <v>1.0</v>
      </c>
      <c r="K11608" s="9" t="s">
        <v>3994</v>
      </c>
      <c r="L11608" s="77"/>
      <c r="M11608" s="79"/>
      <c r="N11608" s="1"/>
      <c r="O11608" s="1"/>
      <c r="P11608" s="1"/>
      <c r="Q11608" s="1"/>
      <c r="R11608" s="1"/>
      <c r="S11608" s="1"/>
      <c r="T11608" s="1"/>
      <c r="U11608" s="1"/>
      <c r="V11608" s="1"/>
      <c r="W11608" s="1"/>
      <c r="X11608" s="1"/>
      <c r="Y11608" s="1"/>
      <c r="Z11608" s="1"/>
      <c r="AA11608" s="1"/>
      <c r="AB11608" s="1"/>
      <c r="AC11608" s="1"/>
      <c r="AD11608" s="1"/>
      <c r="AE11608" s="1"/>
      <c r="AF11608" s="1"/>
      <c r="AG11608" s="1"/>
      <c r="AH11608" s="1"/>
    </row>
    <row r="11609" ht="12.75" customHeight="1">
      <c r="A11609" s="202">
        <v>43734.0</v>
      </c>
      <c r="B11609" s="992"/>
      <c r="C11609" s="32" t="s">
        <v>961</v>
      </c>
      <c r="D11609" s="1"/>
      <c r="F11609" s="206" t="s">
        <v>962</v>
      </c>
      <c r="G11609" s="207"/>
      <c r="H11609" s="208"/>
      <c r="I11609" s="209">
        <v>2.0</v>
      </c>
      <c r="K11609" s="9" t="s">
        <v>964</v>
      </c>
      <c r="L11609" s="77"/>
      <c r="M11609" s="79"/>
      <c r="N11609" s="1"/>
      <c r="O11609" s="1"/>
      <c r="P11609" s="1"/>
      <c r="Q11609" s="1"/>
      <c r="R11609" s="1"/>
      <c r="S11609" s="1"/>
      <c r="T11609" s="1"/>
      <c r="U11609" s="1"/>
      <c r="V11609" s="1"/>
      <c r="W11609" s="1"/>
      <c r="X11609" s="1"/>
      <c r="Y11609" s="1"/>
      <c r="Z11609" s="1"/>
      <c r="AA11609" s="1"/>
      <c r="AB11609" s="1"/>
      <c r="AC11609" s="1"/>
      <c r="AD11609" s="1"/>
      <c r="AE11609" s="1"/>
      <c r="AF11609" s="1"/>
      <c r="AG11609" s="1"/>
      <c r="AH11609" s="1"/>
    </row>
    <row r="11610" ht="12.75" customHeight="1">
      <c r="A11610" s="197">
        <v>43738.0</v>
      </c>
      <c r="B11610" s="992"/>
      <c r="C11610" s="32" t="s">
        <v>947</v>
      </c>
      <c r="D11610" s="1"/>
      <c r="E11610" s="94" t="s">
        <v>948</v>
      </c>
      <c r="F11610" s="198" t="s">
        <v>949</v>
      </c>
      <c r="G11610" s="87"/>
      <c r="H11610" s="199"/>
      <c r="I11610" s="200">
        <v>1.0</v>
      </c>
      <c r="K11610" s="201" t="s">
        <v>3995</v>
      </c>
      <c r="L11610" s="77"/>
      <c r="M11610" s="79"/>
      <c r="N11610" s="1"/>
      <c r="O11610" s="1"/>
      <c r="P11610" s="1"/>
      <c r="Q11610" s="1"/>
      <c r="R11610" s="1"/>
      <c r="S11610" s="1"/>
      <c r="T11610" s="1"/>
      <c r="U11610" s="1"/>
      <c r="V11610" s="1"/>
      <c r="W11610" s="1"/>
      <c r="X11610" s="1"/>
      <c r="Y11610" s="1"/>
      <c r="Z11610" s="1"/>
      <c r="AA11610" s="1"/>
      <c r="AB11610" s="1"/>
      <c r="AC11610" s="1"/>
      <c r="AD11610" s="1"/>
      <c r="AE11610" s="1"/>
      <c r="AF11610" s="1"/>
      <c r="AG11610" s="1"/>
      <c r="AH11610" s="1"/>
    </row>
    <row r="11611" ht="12.75" customHeight="1">
      <c r="A11611" s="202">
        <v>43738.0</v>
      </c>
      <c r="B11611" s="992"/>
      <c r="C11611" s="32" t="s">
        <v>952</v>
      </c>
      <c r="D11611" s="1"/>
      <c r="F11611" s="203" t="s">
        <v>953</v>
      </c>
      <c r="G11611" s="1"/>
      <c r="H11611" s="68"/>
      <c r="I11611" s="204">
        <v>0.0</v>
      </c>
      <c r="K11611" s="9" t="s">
        <v>3992</v>
      </c>
      <c r="L11611" s="77"/>
      <c r="M11611" s="79"/>
      <c r="N11611" s="1"/>
      <c r="O11611" s="1"/>
      <c r="P11611" s="1"/>
      <c r="Q11611" s="1"/>
      <c r="R11611" s="1"/>
      <c r="S11611" s="1"/>
      <c r="T11611" s="1"/>
      <c r="U11611" s="1"/>
      <c r="V11611" s="1"/>
      <c r="W11611" s="1"/>
      <c r="X11611" s="1"/>
      <c r="Y11611" s="1"/>
      <c r="Z11611" s="1"/>
      <c r="AA11611" s="1"/>
      <c r="AB11611" s="1"/>
      <c r="AC11611" s="1"/>
      <c r="AD11611" s="1"/>
      <c r="AE11611" s="1"/>
      <c r="AF11611" s="1"/>
      <c r="AG11611" s="1"/>
      <c r="AH11611" s="1"/>
    </row>
    <row r="11612" ht="12.75" customHeight="1">
      <c r="A11612" s="202">
        <v>43738.0</v>
      </c>
      <c r="B11612" s="992"/>
      <c r="C11612" s="32" t="s">
        <v>955</v>
      </c>
      <c r="D11612" s="1"/>
      <c r="F11612" s="203" t="s">
        <v>956</v>
      </c>
      <c r="G11612" s="1"/>
      <c r="H11612" s="68"/>
      <c r="I11612" s="204">
        <v>0.0</v>
      </c>
      <c r="K11612" s="9" t="s">
        <v>3993</v>
      </c>
      <c r="L11612" s="77"/>
      <c r="M11612" s="79"/>
      <c r="N11612" s="1"/>
      <c r="O11612" s="1"/>
      <c r="P11612" s="1"/>
      <c r="Q11612" s="1"/>
      <c r="R11612" s="1"/>
      <c r="S11612" s="1"/>
      <c r="T11612" s="1"/>
      <c r="U11612" s="1"/>
      <c r="V11612" s="1"/>
      <c r="W11612" s="1"/>
      <c r="X11612" s="1"/>
      <c r="Y11612" s="1"/>
      <c r="Z11612" s="1"/>
      <c r="AA11612" s="1"/>
      <c r="AB11612" s="1"/>
      <c r="AC11612" s="1"/>
      <c r="AD11612" s="1"/>
      <c r="AE11612" s="1"/>
      <c r="AF11612" s="1"/>
      <c r="AG11612" s="1"/>
      <c r="AH11612" s="1"/>
    </row>
    <row r="11613" ht="12.75" customHeight="1">
      <c r="A11613" s="202">
        <v>43738.0</v>
      </c>
      <c r="B11613" s="992"/>
      <c r="C11613" s="32" t="s">
        <v>958</v>
      </c>
      <c r="D11613" s="1"/>
      <c r="F11613" s="203" t="s">
        <v>959</v>
      </c>
      <c r="G11613" s="1"/>
      <c r="H11613" s="68"/>
      <c r="I11613" s="204">
        <v>1.0</v>
      </c>
      <c r="K11613" s="9" t="s">
        <v>3996</v>
      </c>
      <c r="L11613" s="77"/>
      <c r="M11613" s="79"/>
      <c r="N11613" s="1"/>
      <c r="O11613" s="1"/>
      <c r="P11613" s="1"/>
      <c r="Q11613" s="1"/>
      <c r="R11613" s="1"/>
      <c r="S11613" s="1"/>
      <c r="T11613" s="1"/>
      <c r="U11613" s="1"/>
      <c r="V11613" s="1"/>
      <c r="W11613" s="1"/>
      <c r="X11613" s="1"/>
      <c r="Y11613" s="1"/>
      <c r="Z11613" s="1"/>
      <c r="AA11613" s="1"/>
      <c r="AB11613" s="1"/>
      <c r="AC11613" s="1"/>
      <c r="AD11613" s="1"/>
      <c r="AE11613" s="1"/>
      <c r="AF11613" s="1"/>
      <c r="AG11613" s="1"/>
      <c r="AH11613" s="1"/>
    </row>
    <row r="11614" ht="12.75" customHeight="1">
      <c r="A11614" s="202">
        <v>43738.0</v>
      </c>
      <c r="B11614" s="992"/>
      <c r="C11614" s="32" t="s">
        <v>961</v>
      </c>
      <c r="D11614" s="1"/>
      <c r="F11614" s="206" t="s">
        <v>962</v>
      </c>
      <c r="G11614" s="207"/>
      <c r="H11614" s="208"/>
      <c r="I11614" s="209">
        <v>2.0</v>
      </c>
      <c r="K11614" s="9" t="s">
        <v>964</v>
      </c>
      <c r="L11614" s="77"/>
      <c r="M11614" s="79"/>
      <c r="N11614" s="1"/>
      <c r="O11614" s="1"/>
      <c r="P11614" s="1"/>
      <c r="Q11614" s="1"/>
      <c r="R11614" s="1"/>
      <c r="S11614" s="1"/>
      <c r="T11614" s="1"/>
      <c r="U11614" s="1"/>
      <c r="V11614" s="1"/>
      <c r="W11614" s="1"/>
      <c r="X11614" s="1"/>
      <c r="Y11614" s="1"/>
      <c r="Z11614" s="1"/>
      <c r="AA11614" s="1"/>
      <c r="AB11614" s="1"/>
      <c r="AC11614" s="1"/>
      <c r="AD11614" s="1"/>
      <c r="AE11614" s="1"/>
      <c r="AF11614" s="1"/>
      <c r="AG11614" s="1"/>
      <c r="AH11614" s="1"/>
    </row>
    <row r="11615" ht="12.75" customHeight="1">
      <c r="A11615" s="1070">
        <v>43740.0</v>
      </c>
      <c r="B11615" s="177"/>
      <c r="C11615" s="1071" t="s">
        <v>947</v>
      </c>
      <c r="D11615" s="1035"/>
      <c r="E11615" s="1072" t="s">
        <v>948</v>
      </c>
      <c r="F11615" s="1073" t="s">
        <v>949</v>
      </c>
      <c r="G11615" s="1038"/>
      <c r="H11615" s="1039"/>
      <c r="I11615" s="1074">
        <v>1.0</v>
      </c>
      <c r="J11615" s="1041"/>
      <c r="K11615" s="1075" t="s">
        <v>3997</v>
      </c>
      <c r="L11615" s="77"/>
      <c r="M11615" s="79"/>
      <c r="N11615" s="1"/>
      <c r="O11615" s="1"/>
      <c r="P11615" s="1"/>
      <c r="Q11615" s="1"/>
      <c r="R11615" s="1"/>
      <c r="S11615" s="1"/>
      <c r="T11615" s="1"/>
      <c r="U11615" s="1"/>
      <c r="V11615" s="1"/>
      <c r="W11615" s="1"/>
      <c r="X11615" s="1"/>
      <c r="Y11615" s="1"/>
      <c r="Z11615" s="1"/>
      <c r="AA11615" s="1"/>
      <c r="AB11615" s="1"/>
      <c r="AC11615" s="1"/>
      <c r="AD11615" s="1"/>
      <c r="AE11615" s="1"/>
      <c r="AF11615" s="1"/>
      <c r="AG11615" s="1"/>
      <c r="AH11615" s="1"/>
    </row>
    <row r="11616" ht="12.75" customHeight="1">
      <c r="A11616" s="1076">
        <v>43740.0</v>
      </c>
      <c r="B11616" s="177"/>
      <c r="C11616" s="1077" t="s">
        <v>952</v>
      </c>
      <c r="D11616" s="1035"/>
      <c r="E11616" s="1036"/>
      <c r="F11616" s="1078" t="s">
        <v>953</v>
      </c>
      <c r="G11616" s="1045"/>
      <c r="H11616" s="542"/>
      <c r="I11616" s="1079">
        <v>0.0</v>
      </c>
      <c r="J11616" s="1041"/>
      <c r="K11616" s="1071" t="s">
        <v>3992</v>
      </c>
      <c r="L11616" s="77"/>
      <c r="M11616" s="79"/>
      <c r="N11616" s="1"/>
      <c r="O11616" s="1"/>
      <c r="P11616" s="1"/>
      <c r="Q11616" s="1"/>
      <c r="R11616" s="1"/>
      <c r="S11616" s="1"/>
      <c r="T11616" s="1"/>
      <c r="U11616" s="1"/>
      <c r="V11616" s="1"/>
      <c r="W11616" s="1"/>
      <c r="X11616" s="1"/>
      <c r="Y11616" s="1"/>
      <c r="Z11616" s="1"/>
      <c r="AA11616" s="1"/>
      <c r="AB11616" s="1"/>
      <c r="AC11616" s="1"/>
      <c r="AD11616" s="1"/>
      <c r="AE11616" s="1"/>
      <c r="AF11616" s="1"/>
      <c r="AG11616" s="1"/>
      <c r="AH11616" s="1"/>
    </row>
    <row r="11617" ht="12.75" customHeight="1">
      <c r="A11617" s="1076">
        <v>43740.0</v>
      </c>
      <c r="B11617" s="177"/>
      <c r="C11617" s="1077" t="s">
        <v>955</v>
      </c>
      <c r="D11617" s="1035"/>
      <c r="E11617" s="1036"/>
      <c r="F11617" s="1078" t="s">
        <v>956</v>
      </c>
      <c r="G11617" s="1045"/>
      <c r="H11617" s="542"/>
      <c r="I11617" s="1080">
        <v>0.0</v>
      </c>
      <c r="J11617" s="1041"/>
      <c r="K11617" s="1071" t="s">
        <v>3998</v>
      </c>
      <c r="L11617" s="77"/>
      <c r="M11617" s="79"/>
      <c r="N11617" s="1"/>
      <c r="O11617" s="1"/>
      <c r="P11617" s="1"/>
      <c r="Q11617" s="1"/>
      <c r="R11617" s="1"/>
      <c r="S11617" s="1"/>
      <c r="T11617" s="1"/>
      <c r="U11617" s="1"/>
      <c r="V11617" s="1"/>
      <c r="W11617" s="1"/>
      <c r="X11617" s="1"/>
      <c r="Y11617" s="1"/>
      <c r="Z11617" s="1"/>
      <c r="AA11617" s="1"/>
      <c r="AB11617" s="1"/>
      <c r="AC11617" s="1"/>
      <c r="AD11617" s="1"/>
      <c r="AE11617" s="1"/>
      <c r="AF11617" s="1"/>
      <c r="AG11617" s="1"/>
      <c r="AH11617" s="1"/>
    </row>
    <row r="11618" ht="12.75" customHeight="1">
      <c r="A11618" s="1076">
        <v>43740.0</v>
      </c>
      <c r="B11618" s="177"/>
      <c r="C11618" s="1077" t="s">
        <v>958</v>
      </c>
      <c r="D11618" s="1035"/>
      <c r="E11618" s="1036"/>
      <c r="F11618" s="1081" t="s">
        <v>959</v>
      </c>
      <c r="G11618" s="1050"/>
      <c r="H11618" s="1051"/>
      <c r="I11618" s="1082">
        <v>1.0</v>
      </c>
      <c r="J11618" s="1041"/>
      <c r="K11618" s="1071" t="s">
        <v>3996</v>
      </c>
      <c r="L11618" s="77"/>
      <c r="M11618" s="79"/>
      <c r="N11618" s="1"/>
      <c r="O11618" s="1"/>
      <c r="P11618" s="1"/>
      <c r="Q11618" s="1"/>
      <c r="R11618" s="1"/>
      <c r="S11618" s="1"/>
      <c r="T11618" s="1"/>
      <c r="U11618" s="1"/>
      <c r="V11618" s="1"/>
      <c r="W11618" s="1"/>
      <c r="X11618" s="1"/>
      <c r="Y11618" s="1"/>
      <c r="Z11618" s="1"/>
      <c r="AA11618" s="1"/>
      <c r="AB11618" s="1"/>
      <c r="AC11618" s="1"/>
      <c r="AD11618" s="1"/>
      <c r="AE11618" s="1"/>
      <c r="AF11618" s="1"/>
      <c r="AG11618" s="1"/>
      <c r="AH11618" s="1"/>
    </row>
    <row r="11619" ht="12.75" customHeight="1">
      <c r="A11619" s="1076">
        <v>43740.0</v>
      </c>
      <c r="B11619" s="177"/>
      <c r="C11619" s="1077" t="s">
        <v>961</v>
      </c>
      <c r="D11619" s="1035"/>
      <c r="E11619" s="1036"/>
      <c r="F11619" s="1081" t="s">
        <v>962</v>
      </c>
      <c r="G11619" s="1050"/>
      <c r="H11619" s="1051"/>
      <c r="I11619" s="1055">
        <v>2.0</v>
      </c>
      <c r="J11619" s="1041"/>
      <c r="K11619" s="1071" t="s">
        <v>964</v>
      </c>
      <c r="L11619" s="77"/>
      <c r="M11619" s="79"/>
      <c r="N11619" s="1"/>
      <c r="O11619" s="1"/>
      <c r="P11619" s="1"/>
      <c r="Q11619" s="1"/>
      <c r="R11619" s="1"/>
      <c r="S11619" s="1"/>
      <c r="T11619" s="1"/>
      <c r="U11619" s="1"/>
      <c r="V11619" s="1"/>
      <c r="W11619" s="1"/>
      <c r="X11619" s="1"/>
      <c r="Y11619" s="1"/>
      <c r="Z11619" s="1"/>
      <c r="AA11619" s="1"/>
      <c r="AB11619" s="1"/>
      <c r="AC11619" s="1"/>
      <c r="AD11619" s="1"/>
      <c r="AE11619" s="1"/>
      <c r="AF11619" s="1"/>
      <c r="AG11619" s="1"/>
      <c r="AH11619" s="1"/>
    </row>
    <row r="11620" ht="12.75" customHeight="1">
      <c r="A11620" s="202">
        <v>43741.0</v>
      </c>
      <c r="B11620" s="985" t="s">
        <v>343</v>
      </c>
      <c r="C11620" s="985" t="s">
        <v>1524</v>
      </c>
      <c r="D11620" s="985">
        <v>900.0</v>
      </c>
      <c r="E11620" s="985">
        <v>29.287</v>
      </c>
      <c r="F11620" s="1027">
        <v>0.47310185185185183</v>
      </c>
      <c r="G11620" s="1028" t="s">
        <v>453</v>
      </c>
      <c r="H11620" s="937">
        <v>4.5</v>
      </c>
      <c r="I11620" s="1029" t="s">
        <v>3145</v>
      </c>
      <c r="J11620" s="67">
        <f t="shared" ref="J11620:J11624" si="655">IF(or(B11620="SLD",B11620="Rebal SLD"),D11620*E11620,-D11620*E11620)-H11620</f>
        <v>-26362.8</v>
      </c>
      <c r="K11620" s="1"/>
      <c r="L11620" s="70"/>
      <c r="M11620" s="79"/>
      <c r="N11620" s="1"/>
      <c r="O11620" s="1"/>
      <c r="P11620" s="1"/>
      <c r="Q11620" s="1"/>
      <c r="R11620" s="1"/>
      <c r="S11620" s="1"/>
      <c r="T11620" s="1"/>
      <c r="U11620" s="1"/>
      <c r="V11620" s="1"/>
      <c r="W11620" s="1"/>
      <c r="X11620" s="1"/>
      <c r="Y11620" s="1"/>
      <c r="Z11620" s="1"/>
      <c r="AA11620" s="1"/>
      <c r="AB11620" s="1"/>
      <c r="AC11620" s="1"/>
      <c r="AD11620" s="1"/>
      <c r="AE11620" s="1"/>
      <c r="AF11620" s="1"/>
      <c r="AG11620" s="1"/>
      <c r="AH11620" s="1"/>
    </row>
    <row r="11621" ht="12.75" customHeight="1">
      <c r="A11621" s="202">
        <v>43741.0</v>
      </c>
      <c r="B11621" s="985" t="s">
        <v>343</v>
      </c>
      <c r="C11621" s="985" t="s">
        <v>1537</v>
      </c>
      <c r="D11621" s="1031">
        <v>1700.0</v>
      </c>
      <c r="E11621" s="985">
        <v>14.59</v>
      </c>
      <c r="F11621" s="1027">
        <v>0.49592592592592594</v>
      </c>
      <c r="G11621" s="1028" t="s">
        <v>453</v>
      </c>
      <c r="H11621" s="937">
        <v>8.5</v>
      </c>
      <c r="I11621" s="1029" t="s">
        <v>3145</v>
      </c>
      <c r="J11621" s="67">
        <f t="shared" si="655"/>
        <v>-24811.5</v>
      </c>
      <c r="K11621" s="1"/>
      <c r="L11621" s="70"/>
      <c r="M11621" s="79"/>
      <c r="N11621" s="1"/>
      <c r="O11621" s="1"/>
      <c r="P11621" s="1"/>
      <c r="Q11621" s="1"/>
      <c r="R11621" s="1"/>
      <c r="S11621" s="1"/>
      <c r="T11621" s="1"/>
      <c r="U11621" s="1"/>
      <c r="V11621" s="1"/>
      <c r="W11621" s="1"/>
      <c r="X11621" s="1"/>
      <c r="Y11621" s="1"/>
      <c r="Z11621" s="1"/>
      <c r="AA11621" s="1"/>
      <c r="AB11621" s="1"/>
      <c r="AC11621" s="1"/>
      <c r="AD11621" s="1"/>
      <c r="AE11621" s="1"/>
      <c r="AF11621" s="1"/>
      <c r="AG11621" s="1"/>
      <c r="AH11621" s="1"/>
    </row>
    <row r="11622" ht="12.75" customHeight="1">
      <c r="A11622" s="202">
        <v>43741.0</v>
      </c>
      <c r="B11622" s="985" t="s">
        <v>347</v>
      </c>
      <c r="C11622" s="985" t="s">
        <v>1074</v>
      </c>
      <c r="D11622" s="985">
        <v>50.0</v>
      </c>
      <c r="E11622" s="985">
        <v>226.28</v>
      </c>
      <c r="F11622" s="1027">
        <v>0.6546875</v>
      </c>
      <c r="G11622" s="1028" t="s">
        <v>453</v>
      </c>
      <c r="H11622" s="937">
        <v>1.24</v>
      </c>
      <c r="I11622" s="1029" t="s">
        <v>3145</v>
      </c>
      <c r="J11622" s="67">
        <f t="shared" si="655"/>
        <v>11312.76</v>
      </c>
      <c r="K11622" s="1"/>
      <c r="L11622" s="70"/>
      <c r="M11622" s="79"/>
      <c r="N11622" s="1"/>
      <c r="O11622" s="1"/>
      <c r="P11622" s="1"/>
      <c r="Q11622" s="1"/>
      <c r="R11622" s="1"/>
      <c r="S11622" s="1"/>
      <c r="T11622" s="1"/>
      <c r="U11622" s="1"/>
      <c r="V11622" s="1"/>
      <c r="W11622" s="1"/>
      <c r="X11622" s="1"/>
      <c r="Y11622" s="1"/>
      <c r="Z11622" s="1"/>
      <c r="AA11622" s="1"/>
      <c r="AB11622" s="1"/>
      <c r="AC11622" s="1"/>
      <c r="AD11622" s="1"/>
      <c r="AE11622" s="1"/>
      <c r="AF11622" s="1"/>
      <c r="AG11622" s="1"/>
      <c r="AH11622" s="1"/>
    </row>
    <row r="11623" ht="12.75" customHeight="1">
      <c r="A11623" s="202">
        <v>43741.0</v>
      </c>
      <c r="B11623" s="985" t="s">
        <v>347</v>
      </c>
      <c r="C11623" s="985" t="s">
        <v>1098</v>
      </c>
      <c r="D11623" s="985">
        <v>50.0</v>
      </c>
      <c r="E11623" s="985">
        <v>289.89</v>
      </c>
      <c r="F11623" s="1027">
        <v>0.6548611111111111</v>
      </c>
      <c r="G11623" s="1028" t="s">
        <v>453</v>
      </c>
      <c r="H11623" s="937">
        <v>1.31</v>
      </c>
      <c r="I11623" s="1029" t="s">
        <v>3145</v>
      </c>
      <c r="J11623" s="67">
        <f t="shared" si="655"/>
        <v>14493.19</v>
      </c>
      <c r="K11623" s="1"/>
      <c r="L11623" s="70" t="str">
        <f>na()</f>
        <v>#N/A</v>
      </c>
      <c r="M11623" s="79"/>
      <c r="N11623" s="1"/>
      <c r="O11623" s="1"/>
      <c r="P11623" s="1"/>
      <c r="Q11623" s="1"/>
      <c r="R11623" s="1"/>
      <c r="S11623" s="1"/>
      <c r="T11623" s="1"/>
      <c r="U11623" s="1"/>
      <c r="V11623" s="1"/>
      <c r="W11623" s="1"/>
      <c r="X11623" s="1"/>
      <c r="Y11623" s="1"/>
      <c r="Z11623" s="1"/>
      <c r="AA11623" s="1"/>
      <c r="AB11623" s="1"/>
      <c r="AC11623" s="1"/>
      <c r="AD11623" s="1"/>
      <c r="AE11623" s="1"/>
      <c r="AF11623" s="1"/>
      <c r="AG11623" s="1"/>
      <c r="AH11623" s="1"/>
    </row>
    <row r="11624" ht="12.75" customHeight="1">
      <c r="A11624" s="202">
        <v>43741.0</v>
      </c>
      <c r="B11624" s="985" t="s">
        <v>347</v>
      </c>
      <c r="C11624" s="985" t="s">
        <v>1040</v>
      </c>
      <c r="D11624" s="985">
        <v>100.0</v>
      </c>
      <c r="E11624" s="985">
        <v>136.13</v>
      </c>
      <c r="F11624" s="1027">
        <v>0.655787037037037</v>
      </c>
      <c r="G11624" s="1028" t="s">
        <v>453</v>
      </c>
      <c r="H11624" s="937">
        <v>1.29</v>
      </c>
      <c r="I11624" s="1029" t="s">
        <v>3145</v>
      </c>
      <c r="J11624" s="67">
        <f t="shared" si="655"/>
        <v>13611.71</v>
      </c>
      <c r="K11624" s="1"/>
      <c r="L11624" s="70"/>
      <c r="M11624" s="79"/>
      <c r="N11624" s="1"/>
      <c r="O11624" s="1"/>
      <c r="P11624" s="1"/>
      <c r="Q11624" s="1"/>
      <c r="R11624" s="1"/>
      <c r="S11624" s="1"/>
      <c r="T11624" s="1"/>
      <c r="U11624" s="1"/>
      <c r="V11624" s="1"/>
      <c r="W11624" s="1"/>
      <c r="X11624" s="1"/>
      <c r="Y11624" s="1"/>
      <c r="Z11624" s="1"/>
      <c r="AA11624" s="1"/>
      <c r="AB11624" s="1"/>
      <c r="AC11624" s="1"/>
      <c r="AD11624" s="1"/>
      <c r="AE11624" s="1"/>
      <c r="AF11624" s="1"/>
      <c r="AG11624" s="1"/>
      <c r="AH11624" s="1"/>
    </row>
    <row r="11625" ht="12.75" customHeight="1">
      <c r="A11625" s="197">
        <v>43741.0</v>
      </c>
      <c r="B11625" s="992"/>
      <c r="C11625" s="32" t="s">
        <v>947</v>
      </c>
      <c r="D11625" s="1"/>
      <c r="E11625" s="94" t="s">
        <v>948</v>
      </c>
      <c r="F11625" s="198" t="s">
        <v>949</v>
      </c>
      <c r="G11625" s="87"/>
      <c r="H11625" s="199"/>
      <c r="I11625" s="200">
        <v>1.0</v>
      </c>
      <c r="K11625" s="201" t="s">
        <v>3999</v>
      </c>
      <c r="L11625" s="77"/>
      <c r="M11625" s="79"/>
      <c r="N11625" s="1"/>
      <c r="O11625" s="1"/>
      <c r="P11625" s="1"/>
      <c r="Q11625" s="1"/>
      <c r="R11625" s="1"/>
      <c r="S11625" s="1"/>
      <c r="T11625" s="1"/>
      <c r="U11625" s="1"/>
      <c r="V11625" s="1"/>
      <c r="W11625" s="1"/>
      <c r="X11625" s="1"/>
      <c r="Y11625" s="1"/>
      <c r="Z11625" s="1"/>
      <c r="AA11625" s="1"/>
      <c r="AB11625" s="1"/>
      <c r="AC11625" s="1"/>
      <c r="AD11625" s="1"/>
      <c r="AE11625" s="1"/>
      <c r="AF11625" s="1"/>
      <c r="AG11625" s="1"/>
      <c r="AH11625" s="1"/>
    </row>
    <row r="11626" ht="12.75" customHeight="1">
      <c r="A11626" s="202">
        <v>43741.0</v>
      </c>
      <c r="B11626" s="992"/>
      <c r="C11626" s="32" t="s">
        <v>952</v>
      </c>
      <c r="D11626" s="1"/>
      <c r="F11626" s="203" t="s">
        <v>953</v>
      </c>
      <c r="G11626" s="1"/>
      <c r="H11626" s="68"/>
      <c r="I11626" s="204">
        <v>0.0</v>
      </c>
      <c r="K11626" s="9" t="s">
        <v>3992</v>
      </c>
      <c r="L11626" s="77"/>
      <c r="M11626" s="79"/>
      <c r="N11626" s="1"/>
      <c r="O11626" s="1"/>
      <c r="P11626" s="1"/>
      <c r="Q11626" s="1"/>
      <c r="R11626" s="1"/>
      <c r="S11626" s="1"/>
      <c r="T11626" s="1"/>
      <c r="U11626" s="1"/>
      <c r="V11626" s="1"/>
      <c r="W11626" s="1"/>
      <c r="X11626" s="1"/>
      <c r="Y11626" s="1"/>
      <c r="Z11626" s="1"/>
      <c r="AA11626" s="1"/>
      <c r="AB11626" s="1"/>
      <c r="AC11626" s="1"/>
      <c r="AD11626" s="1"/>
      <c r="AE11626" s="1"/>
      <c r="AF11626" s="1"/>
      <c r="AG11626" s="1"/>
      <c r="AH11626" s="1"/>
    </row>
    <row r="11627" ht="12.75" customHeight="1">
      <c r="A11627" s="202">
        <v>43741.0</v>
      </c>
      <c r="B11627" s="992"/>
      <c r="C11627" s="32" t="s">
        <v>955</v>
      </c>
      <c r="D11627" s="1"/>
      <c r="F11627" s="203" t="s">
        <v>956</v>
      </c>
      <c r="G11627" s="1"/>
      <c r="H11627" s="68"/>
      <c r="I11627" s="204">
        <v>0.0</v>
      </c>
      <c r="K11627" s="9" t="s">
        <v>3998</v>
      </c>
      <c r="L11627" s="77"/>
      <c r="M11627" s="79"/>
      <c r="N11627" s="1"/>
      <c r="O11627" s="1"/>
      <c r="P11627" s="1"/>
      <c r="Q11627" s="1"/>
      <c r="R11627" s="1"/>
      <c r="S11627" s="1"/>
      <c r="T11627" s="1"/>
      <c r="U11627" s="1"/>
      <c r="V11627" s="1"/>
      <c r="W11627" s="1"/>
      <c r="X11627" s="1"/>
      <c r="Y11627" s="1"/>
      <c r="Z11627" s="1"/>
      <c r="AA11627" s="1"/>
      <c r="AB11627" s="1"/>
      <c r="AC11627" s="1"/>
      <c r="AD11627" s="1"/>
      <c r="AE11627" s="1"/>
      <c r="AF11627" s="1"/>
      <c r="AG11627" s="1"/>
      <c r="AH11627" s="1"/>
    </row>
    <row r="11628" ht="12.75" customHeight="1">
      <c r="A11628" s="202">
        <v>43741.0</v>
      </c>
      <c r="B11628" s="992"/>
      <c r="C11628" s="32" t="s">
        <v>958</v>
      </c>
      <c r="D11628" s="1"/>
      <c r="F11628" s="203" t="s">
        <v>959</v>
      </c>
      <c r="G11628" s="1"/>
      <c r="H11628" s="68"/>
      <c r="I11628" s="204">
        <v>1.0</v>
      </c>
      <c r="K11628" s="9" t="s">
        <v>3996</v>
      </c>
      <c r="L11628" s="77"/>
      <c r="M11628" s="79"/>
      <c r="N11628" s="1"/>
      <c r="O11628" s="1"/>
      <c r="P11628" s="1"/>
      <c r="Q11628" s="1"/>
      <c r="R11628" s="1"/>
      <c r="S11628" s="1"/>
      <c r="T11628" s="1"/>
      <c r="U11628" s="1"/>
      <c r="V11628" s="1"/>
      <c r="W11628" s="1"/>
      <c r="X11628" s="1"/>
      <c r="Y11628" s="1"/>
      <c r="Z11628" s="1"/>
      <c r="AA11628" s="1"/>
      <c r="AB11628" s="1"/>
      <c r="AC11628" s="1"/>
      <c r="AD11628" s="1"/>
      <c r="AE11628" s="1"/>
      <c r="AF11628" s="1"/>
      <c r="AG11628" s="1"/>
      <c r="AH11628" s="1"/>
    </row>
    <row r="11629" ht="12.75" customHeight="1">
      <c r="A11629" s="202">
        <v>43741.0</v>
      </c>
      <c r="B11629" s="992"/>
      <c r="C11629" s="32" t="s">
        <v>961</v>
      </c>
      <c r="D11629" s="1"/>
      <c r="F11629" s="206" t="s">
        <v>962</v>
      </c>
      <c r="G11629" s="207"/>
      <c r="H11629" s="208"/>
      <c r="I11629" s="209">
        <v>2.0</v>
      </c>
      <c r="K11629" s="9" t="s">
        <v>964</v>
      </c>
      <c r="L11629" s="77"/>
      <c r="M11629" s="79"/>
      <c r="N11629" s="1"/>
      <c r="O11629" s="1"/>
      <c r="P11629" s="1"/>
      <c r="Q11629" s="1"/>
      <c r="R11629" s="1"/>
      <c r="S11629" s="1"/>
      <c r="T11629" s="1"/>
      <c r="U11629" s="1"/>
      <c r="V11629" s="1"/>
      <c r="W11629" s="1"/>
      <c r="X11629" s="1"/>
      <c r="Y11629" s="1"/>
      <c r="Z11629" s="1"/>
      <c r="AA11629" s="1"/>
      <c r="AB11629" s="1"/>
      <c r="AC11629" s="1"/>
      <c r="AD11629" s="1"/>
      <c r="AE11629" s="1"/>
      <c r="AF11629" s="1"/>
      <c r="AG11629" s="1"/>
      <c r="AH11629" s="1"/>
    </row>
    <row r="11630" ht="12.75" customHeight="1">
      <c r="A11630" s="1034">
        <v>43742.0</v>
      </c>
      <c r="B11630" s="177"/>
      <c r="C11630" s="1047" t="s">
        <v>947</v>
      </c>
      <c r="D11630" s="1035"/>
      <c r="E11630" s="1036" t="s">
        <v>948</v>
      </c>
      <c r="F11630" s="1037" t="s">
        <v>949</v>
      </c>
      <c r="G11630" s="1038"/>
      <c r="H11630" s="1039"/>
      <c r="I11630" s="1040">
        <v>1.0</v>
      </c>
      <c r="J11630" s="1041"/>
      <c r="K11630" s="1042" t="s">
        <v>3999</v>
      </c>
      <c r="L11630" s="77"/>
      <c r="M11630" s="79"/>
      <c r="N11630" s="1"/>
      <c r="O11630" s="1"/>
      <c r="P11630" s="1"/>
      <c r="Q11630" s="1"/>
      <c r="R11630" s="1"/>
      <c r="S11630" s="1"/>
      <c r="T11630" s="1"/>
      <c r="U11630" s="1"/>
      <c r="V11630" s="1"/>
      <c r="W11630" s="1"/>
      <c r="X11630" s="1"/>
      <c r="Y11630" s="1"/>
      <c r="Z11630" s="1"/>
      <c r="AA11630" s="1"/>
      <c r="AB11630" s="1"/>
      <c r="AC11630" s="1"/>
      <c r="AD11630" s="1"/>
      <c r="AE11630" s="1"/>
      <c r="AF11630" s="1"/>
      <c r="AG11630" s="1"/>
      <c r="AH11630" s="1"/>
    </row>
    <row r="11631" ht="12.75" customHeight="1">
      <c r="A11631" s="1043">
        <v>43742.0</v>
      </c>
      <c r="B11631" s="177"/>
      <c r="C11631" s="177" t="s">
        <v>952</v>
      </c>
      <c r="D11631" s="1035"/>
      <c r="E11631" s="1036"/>
      <c r="F11631" s="1044" t="s">
        <v>953</v>
      </c>
      <c r="G11631" s="1045"/>
      <c r="H11631" s="542"/>
      <c r="I11631" s="1046">
        <v>0.0</v>
      </c>
      <c r="J11631" s="1041"/>
      <c r="K11631" s="1047" t="s">
        <v>4000</v>
      </c>
      <c r="L11631" s="77"/>
      <c r="M11631" s="79"/>
      <c r="N11631" s="1"/>
      <c r="O11631" s="1"/>
      <c r="P11631" s="1"/>
      <c r="Q11631" s="1"/>
      <c r="R11631" s="1"/>
      <c r="S11631" s="1"/>
      <c r="T11631" s="1"/>
      <c r="U11631" s="1"/>
      <c r="V11631" s="1"/>
      <c r="W11631" s="1"/>
      <c r="X11631" s="1"/>
      <c r="Y11631" s="1"/>
      <c r="Z11631" s="1"/>
      <c r="AA11631" s="1"/>
      <c r="AB11631" s="1"/>
      <c r="AC11631" s="1"/>
      <c r="AD11631" s="1"/>
      <c r="AE11631" s="1"/>
      <c r="AF11631" s="1"/>
      <c r="AG11631" s="1"/>
      <c r="AH11631" s="1"/>
    </row>
    <row r="11632" ht="12.75" customHeight="1">
      <c r="A11632" s="1043">
        <v>43742.0</v>
      </c>
      <c r="B11632" s="177"/>
      <c r="C11632" s="177" t="s">
        <v>955</v>
      </c>
      <c r="D11632" s="1035"/>
      <c r="E11632" s="1036"/>
      <c r="F11632" s="1044" t="s">
        <v>956</v>
      </c>
      <c r="G11632" s="1045"/>
      <c r="H11632" s="542"/>
      <c r="I11632" s="1048">
        <v>0.0</v>
      </c>
      <c r="J11632" s="1041"/>
      <c r="K11632" s="1047" t="s">
        <v>4001</v>
      </c>
      <c r="L11632" s="77"/>
      <c r="M11632" s="79"/>
      <c r="N11632" s="1"/>
      <c r="O11632" s="1"/>
      <c r="P11632" s="1"/>
      <c r="Q11632" s="1"/>
      <c r="R11632" s="1"/>
      <c r="S11632" s="1"/>
      <c r="T11632" s="1"/>
      <c r="U11632" s="1"/>
      <c r="V11632" s="1"/>
      <c r="W11632" s="1"/>
      <c r="X11632" s="1"/>
      <c r="Y11632" s="1"/>
      <c r="Z11632" s="1"/>
      <c r="AA11632" s="1"/>
      <c r="AB11632" s="1"/>
      <c r="AC11632" s="1"/>
      <c r="AD11632" s="1"/>
      <c r="AE11632" s="1"/>
      <c r="AF11632" s="1"/>
      <c r="AG11632" s="1"/>
      <c r="AH11632" s="1"/>
    </row>
    <row r="11633" ht="12.75" customHeight="1">
      <c r="A11633" s="1043">
        <v>43742.0</v>
      </c>
      <c r="B11633" s="177"/>
      <c r="C11633" s="177" t="s">
        <v>958</v>
      </c>
      <c r="D11633" s="1035"/>
      <c r="E11633" s="1036"/>
      <c r="F11633" s="1049" t="s">
        <v>959</v>
      </c>
      <c r="G11633" s="1050"/>
      <c r="H11633" s="1051"/>
      <c r="I11633" s="1052">
        <v>1.0</v>
      </c>
      <c r="J11633" s="1041"/>
      <c r="K11633" s="1047" t="s">
        <v>4002</v>
      </c>
      <c r="L11633" s="77"/>
      <c r="M11633" s="79"/>
      <c r="N11633" s="1"/>
      <c r="O11633" s="1"/>
      <c r="P11633" s="1"/>
      <c r="Q11633" s="1"/>
      <c r="R11633" s="1"/>
      <c r="S11633" s="1"/>
      <c r="T11633" s="1"/>
      <c r="U11633" s="1"/>
      <c r="V11633" s="1"/>
      <c r="W11633" s="1"/>
      <c r="X11633" s="1"/>
      <c r="Y11633" s="1"/>
      <c r="Z11633" s="1"/>
      <c r="AA11633" s="1"/>
      <c r="AB11633" s="1"/>
      <c r="AC11633" s="1"/>
      <c r="AD11633" s="1"/>
      <c r="AE11633" s="1"/>
      <c r="AF11633" s="1"/>
      <c r="AG11633" s="1"/>
      <c r="AH11633" s="1"/>
    </row>
    <row r="11634" ht="12.75" customHeight="1">
      <c r="A11634" s="1043">
        <v>43742.0</v>
      </c>
      <c r="B11634" s="177"/>
      <c r="C11634" s="177" t="s">
        <v>961</v>
      </c>
      <c r="D11634" s="1035"/>
      <c r="E11634" s="1036"/>
      <c r="F11634" s="1049" t="s">
        <v>962</v>
      </c>
      <c r="G11634" s="1050"/>
      <c r="H11634" s="1051"/>
      <c r="I11634" s="1055">
        <v>2.0</v>
      </c>
      <c r="J11634" s="1041"/>
      <c r="K11634" s="1047" t="s">
        <v>964</v>
      </c>
      <c r="L11634" s="77"/>
      <c r="M11634" s="79"/>
      <c r="N11634" s="1"/>
      <c r="O11634" s="1"/>
      <c r="P11634" s="1"/>
      <c r="Q11634" s="1"/>
      <c r="R11634" s="1"/>
      <c r="S11634" s="1"/>
      <c r="T11634" s="1"/>
      <c r="U11634" s="1"/>
      <c r="V11634" s="1"/>
      <c r="W11634" s="1"/>
      <c r="X11634" s="1"/>
      <c r="Y11634" s="1"/>
      <c r="Z11634" s="1"/>
      <c r="AA11634" s="1"/>
      <c r="AB11634" s="1"/>
      <c r="AC11634" s="1"/>
      <c r="AD11634" s="1"/>
      <c r="AE11634" s="1"/>
      <c r="AF11634" s="1"/>
      <c r="AG11634" s="1"/>
      <c r="AH11634" s="1"/>
    </row>
    <row r="11635" ht="12.75" customHeight="1">
      <c r="A11635" s="122">
        <v>43745.0</v>
      </c>
      <c r="B11635" s="974" t="s">
        <v>343</v>
      </c>
      <c r="C11635" s="32" t="s">
        <v>1525</v>
      </c>
      <c r="D11635" s="9">
        <v>250.0</v>
      </c>
      <c r="E11635" s="9">
        <v>237.85</v>
      </c>
      <c r="F11635" s="709">
        <v>0.5773726851851851</v>
      </c>
      <c r="G11635" s="195" t="s">
        <v>453</v>
      </c>
      <c r="H11635" s="710">
        <v>1.25</v>
      </c>
      <c r="I11635" s="256" t="s">
        <v>3145</v>
      </c>
      <c r="J11635" s="67">
        <f t="shared" ref="J11635:J11639" si="656">IF(or(B11635="SLD",B11635="Rebal SLD"),D11635*E11635,-D11635*E11635)-H11635</f>
        <v>-59463.75</v>
      </c>
      <c r="K11635" s="1"/>
      <c r="L11635" s="70"/>
      <c r="M11635" s="79"/>
      <c r="N11635" s="1"/>
      <c r="O11635" s="1"/>
      <c r="P11635" s="1"/>
      <c r="Q11635" s="1"/>
      <c r="R11635" s="1"/>
      <c r="S11635" s="1"/>
      <c r="T11635" s="1"/>
      <c r="U11635" s="1"/>
      <c r="V11635" s="1"/>
      <c r="W11635" s="1"/>
      <c r="X11635" s="1"/>
      <c r="Y11635" s="1"/>
      <c r="Z11635" s="1"/>
      <c r="AA11635" s="1"/>
      <c r="AB11635" s="1"/>
      <c r="AC11635" s="1"/>
      <c r="AD11635" s="1"/>
      <c r="AE11635" s="1"/>
      <c r="AF11635" s="1"/>
      <c r="AG11635" s="1"/>
      <c r="AH11635" s="1"/>
    </row>
    <row r="11636" ht="12.75" customHeight="1">
      <c r="A11636" s="122">
        <v>43745.0</v>
      </c>
      <c r="B11636" s="974" t="s">
        <v>343</v>
      </c>
      <c r="C11636" s="32" t="s">
        <v>1524</v>
      </c>
      <c r="D11636" s="9">
        <v>900.0</v>
      </c>
      <c r="E11636" s="9">
        <v>30.575</v>
      </c>
      <c r="F11636" s="709">
        <v>0.5776157407407407</v>
      </c>
      <c r="G11636" s="195" t="s">
        <v>453</v>
      </c>
      <c r="H11636" s="710">
        <v>4.5</v>
      </c>
      <c r="I11636" s="256" t="s">
        <v>3145</v>
      </c>
      <c r="J11636" s="67">
        <f t="shared" si="656"/>
        <v>-27522</v>
      </c>
      <c r="K11636" s="1"/>
      <c r="L11636" s="70"/>
      <c r="M11636" s="79"/>
      <c r="N11636" s="1"/>
      <c r="O11636" s="1"/>
      <c r="P11636" s="1"/>
      <c r="Q11636" s="1"/>
      <c r="R11636" s="1"/>
      <c r="S11636" s="1"/>
      <c r="T11636" s="1"/>
      <c r="U11636" s="1"/>
      <c r="V11636" s="1"/>
      <c r="W11636" s="1"/>
      <c r="X11636" s="1"/>
      <c r="Y11636" s="1"/>
      <c r="Z11636" s="1"/>
      <c r="AA11636" s="1"/>
      <c r="AB11636" s="1"/>
      <c r="AC11636" s="1"/>
      <c r="AD11636" s="1"/>
      <c r="AE11636" s="1"/>
      <c r="AF11636" s="1"/>
      <c r="AG11636" s="1"/>
      <c r="AH11636" s="1"/>
    </row>
    <row r="11637" ht="12.75" customHeight="1">
      <c r="A11637" s="122">
        <v>43745.0</v>
      </c>
      <c r="B11637" s="974" t="s">
        <v>347</v>
      </c>
      <c r="C11637" s="32" t="s">
        <v>1146</v>
      </c>
      <c r="D11637" s="9">
        <v>30.0</v>
      </c>
      <c r="E11637" s="9">
        <v>130.51</v>
      </c>
      <c r="F11637" s="709">
        <v>0.5959722222222222</v>
      </c>
      <c r="G11637" s="195" t="s">
        <v>453</v>
      </c>
      <c r="H11637" s="710">
        <v>1.08</v>
      </c>
      <c r="I11637" s="256" t="s">
        <v>3145</v>
      </c>
      <c r="J11637" s="67">
        <f t="shared" si="656"/>
        <v>3914.22</v>
      </c>
      <c r="K11637" s="1"/>
      <c r="L11637" s="70"/>
      <c r="M11637" s="79"/>
      <c r="N11637" s="1"/>
      <c r="O11637" s="1"/>
      <c r="P11637" s="1"/>
      <c r="Q11637" s="1"/>
      <c r="R11637" s="1"/>
      <c r="S11637" s="1"/>
      <c r="T11637" s="1"/>
      <c r="U11637" s="1"/>
      <c r="V11637" s="1"/>
      <c r="W11637" s="1"/>
      <c r="X11637" s="1"/>
      <c r="Y11637" s="1"/>
      <c r="Z11637" s="1"/>
      <c r="AA11637" s="1"/>
      <c r="AB11637" s="1"/>
      <c r="AC11637" s="1"/>
      <c r="AD11637" s="1"/>
      <c r="AE11637" s="1"/>
      <c r="AF11637" s="1"/>
      <c r="AG11637" s="1"/>
      <c r="AH11637" s="1"/>
    </row>
    <row r="11638" ht="12.75" customHeight="1">
      <c r="A11638" s="122">
        <v>43745.0</v>
      </c>
      <c r="B11638" s="974" t="s">
        <v>347</v>
      </c>
      <c r="C11638" s="32" t="s">
        <v>1040</v>
      </c>
      <c r="D11638" s="9">
        <v>50.0</v>
      </c>
      <c r="E11638" s="9">
        <v>137.5532</v>
      </c>
      <c r="F11638" s="709">
        <v>0.5969212962962963</v>
      </c>
      <c r="G11638" s="195" t="s">
        <v>453</v>
      </c>
      <c r="H11638" s="710">
        <v>1.15</v>
      </c>
      <c r="I11638" s="256" t="s">
        <v>3145</v>
      </c>
      <c r="J11638" s="67">
        <f t="shared" si="656"/>
        <v>6876.51</v>
      </c>
      <c r="K11638" s="1"/>
      <c r="L11638" s="70"/>
      <c r="M11638" s="79"/>
      <c r="N11638" s="1"/>
      <c r="O11638" s="1"/>
      <c r="P11638" s="1"/>
      <c r="Q11638" s="1"/>
      <c r="R11638" s="1"/>
      <c r="S11638" s="1"/>
      <c r="T11638" s="1"/>
      <c r="U11638" s="1"/>
      <c r="V11638" s="1"/>
      <c r="W11638" s="1"/>
      <c r="X11638" s="1"/>
      <c r="Y11638" s="1"/>
      <c r="Z11638" s="1"/>
      <c r="AA11638" s="1"/>
      <c r="AB11638" s="1"/>
      <c r="AC11638" s="1"/>
      <c r="AD11638" s="1"/>
      <c r="AE11638" s="1"/>
      <c r="AF11638" s="1"/>
      <c r="AG11638" s="1"/>
      <c r="AH11638" s="1"/>
    </row>
    <row r="11639" ht="12.75" customHeight="1">
      <c r="A11639" s="122">
        <v>43745.0</v>
      </c>
      <c r="B11639" s="974" t="s">
        <v>347</v>
      </c>
      <c r="C11639" s="32" t="s">
        <v>1074</v>
      </c>
      <c r="D11639" s="9">
        <v>50.0</v>
      </c>
      <c r="E11639" s="9">
        <v>227.08</v>
      </c>
      <c r="F11639" s="709">
        <v>0.5974652777777778</v>
      </c>
      <c r="G11639" s="195" t="s">
        <v>453</v>
      </c>
      <c r="H11639" s="710">
        <v>1.24</v>
      </c>
      <c r="I11639" s="256" t="s">
        <v>3145</v>
      </c>
      <c r="J11639" s="67">
        <f t="shared" si="656"/>
        <v>11352.76</v>
      </c>
      <c r="K11639" s="1"/>
      <c r="L11639" s="70"/>
      <c r="M11639" s="79"/>
      <c r="N11639" s="1"/>
      <c r="O11639" s="1"/>
      <c r="P11639" s="1"/>
      <c r="Q11639" s="1"/>
      <c r="R11639" s="1"/>
      <c r="S11639" s="1"/>
      <c r="T11639" s="1"/>
      <c r="U11639" s="1"/>
      <c r="V11639" s="1"/>
      <c r="W11639" s="1"/>
      <c r="X11639" s="1"/>
      <c r="Y11639" s="1"/>
      <c r="Z11639" s="1"/>
      <c r="AA11639" s="1"/>
      <c r="AB11639" s="1"/>
      <c r="AC11639" s="1"/>
      <c r="AD11639" s="1"/>
      <c r="AE11639" s="1"/>
      <c r="AF11639" s="1"/>
      <c r="AG11639" s="1"/>
      <c r="AH11639" s="1"/>
    </row>
    <row r="11640" ht="12.75" customHeight="1">
      <c r="A11640" s="197">
        <v>43745.0</v>
      </c>
      <c r="B11640" s="992"/>
      <c r="C11640" s="32" t="s">
        <v>947</v>
      </c>
      <c r="D11640" s="1"/>
      <c r="E11640" s="94" t="s">
        <v>948</v>
      </c>
      <c r="F11640" s="198" t="s">
        <v>949</v>
      </c>
      <c r="G11640" s="87"/>
      <c r="H11640" s="199"/>
      <c r="I11640" s="200">
        <v>1.0</v>
      </c>
      <c r="K11640" s="201" t="s">
        <v>3988</v>
      </c>
      <c r="L11640" s="77"/>
      <c r="M11640" s="79"/>
      <c r="N11640" s="1"/>
      <c r="O11640" s="1"/>
      <c r="P11640" s="1"/>
      <c r="Q11640" s="1"/>
      <c r="R11640" s="1"/>
      <c r="S11640" s="1"/>
      <c r="T11640" s="1"/>
      <c r="U11640" s="1"/>
      <c r="V11640" s="1"/>
      <c r="W11640" s="1"/>
      <c r="X11640" s="1"/>
      <c r="Y11640" s="1"/>
      <c r="Z11640" s="1"/>
      <c r="AA11640" s="1"/>
      <c r="AB11640" s="1"/>
      <c r="AC11640" s="1"/>
      <c r="AD11640" s="1"/>
      <c r="AE11640" s="1"/>
      <c r="AF11640" s="1"/>
      <c r="AG11640" s="1"/>
      <c r="AH11640" s="1"/>
    </row>
    <row r="11641" ht="12.75" customHeight="1">
      <c r="A11641" s="202">
        <v>43745.0</v>
      </c>
      <c r="B11641" s="992"/>
      <c r="C11641" s="32" t="s">
        <v>952</v>
      </c>
      <c r="D11641" s="1"/>
      <c r="F11641" s="203" t="s">
        <v>953</v>
      </c>
      <c r="G11641" s="1"/>
      <c r="H11641" s="68"/>
      <c r="I11641" s="204">
        <v>0.0</v>
      </c>
      <c r="K11641" s="9" t="s">
        <v>4003</v>
      </c>
      <c r="L11641" s="77"/>
      <c r="M11641" s="79"/>
      <c r="N11641" s="1"/>
      <c r="O11641" s="1"/>
      <c r="P11641" s="1"/>
      <c r="Q11641" s="1"/>
      <c r="R11641" s="1"/>
      <c r="S11641" s="1"/>
      <c r="T11641" s="1"/>
      <c r="U11641" s="1"/>
      <c r="V11641" s="1"/>
      <c r="W11641" s="1"/>
      <c r="X11641" s="1"/>
      <c r="Y11641" s="1"/>
      <c r="Z11641" s="1"/>
      <c r="AA11641" s="1"/>
      <c r="AB11641" s="1"/>
      <c r="AC11641" s="1"/>
      <c r="AD11641" s="1"/>
      <c r="AE11641" s="1"/>
      <c r="AF11641" s="1"/>
      <c r="AG11641" s="1"/>
      <c r="AH11641" s="1"/>
    </row>
    <row r="11642" ht="12.75" customHeight="1">
      <c r="A11642" s="202">
        <v>43745.0</v>
      </c>
      <c r="B11642" s="992"/>
      <c r="C11642" s="32" t="s">
        <v>955</v>
      </c>
      <c r="D11642" s="1"/>
      <c r="F11642" s="203" t="s">
        <v>956</v>
      </c>
      <c r="G11642" s="1"/>
      <c r="H11642" s="68"/>
      <c r="I11642" s="204">
        <v>0.0</v>
      </c>
      <c r="K11642" s="9" t="s">
        <v>4004</v>
      </c>
      <c r="L11642" s="77"/>
      <c r="M11642" s="79"/>
      <c r="N11642" s="1"/>
      <c r="O11642" s="1"/>
      <c r="P11642" s="1"/>
      <c r="Q11642" s="1"/>
      <c r="R11642" s="1"/>
      <c r="S11642" s="1"/>
      <c r="T11642" s="1"/>
      <c r="U11642" s="1"/>
      <c r="V11642" s="1"/>
      <c r="W11642" s="1"/>
      <c r="X11642" s="1"/>
      <c r="Y11642" s="1"/>
      <c r="Z11642" s="1"/>
      <c r="AA11642" s="1"/>
      <c r="AB11642" s="1"/>
      <c r="AC11642" s="1"/>
      <c r="AD11642" s="1"/>
      <c r="AE11642" s="1"/>
      <c r="AF11642" s="1"/>
      <c r="AG11642" s="1"/>
      <c r="AH11642" s="1"/>
    </row>
    <row r="11643" ht="12.75" customHeight="1">
      <c r="A11643" s="202">
        <v>43745.0</v>
      </c>
      <c r="B11643" s="992"/>
      <c r="C11643" s="32" t="s">
        <v>958</v>
      </c>
      <c r="D11643" s="1"/>
      <c r="F11643" s="203" t="s">
        <v>959</v>
      </c>
      <c r="G11643" s="1"/>
      <c r="H11643" s="68"/>
      <c r="I11643" s="204">
        <v>1.0</v>
      </c>
      <c r="K11643" s="9" t="s">
        <v>4005</v>
      </c>
      <c r="L11643" s="77"/>
      <c r="M11643" s="79"/>
      <c r="N11643" s="1"/>
      <c r="O11643" s="1"/>
      <c r="P11643" s="1"/>
      <c r="Q11643" s="1"/>
      <c r="R11643" s="1"/>
      <c r="S11643" s="1"/>
      <c r="T11643" s="1"/>
      <c r="U11643" s="1"/>
      <c r="V11643" s="1"/>
      <c r="W11643" s="1"/>
      <c r="X11643" s="1"/>
      <c r="Y11643" s="1"/>
      <c r="Z11643" s="1"/>
      <c r="AA11643" s="1"/>
      <c r="AB11643" s="1"/>
      <c r="AC11643" s="1"/>
      <c r="AD11643" s="1"/>
      <c r="AE11643" s="1"/>
      <c r="AF11643" s="1"/>
      <c r="AG11643" s="1"/>
      <c r="AH11643" s="1"/>
    </row>
    <row r="11644" ht="12.75" customHeight="1">
      <c r="A11644" s="202">
        <v>43745.0</v>
      </c>
      <c r="B11644" s="992"/>
      <c r="C11644" s="32" t="s">
        <v>961</v>
      </c>
      <c r="D11644" s="1"/>
      <c r="F11644" s="206" t="s">
        <v>962</v>
      </c>
      <c r="G11644" s="207"/>
      <c r="H11644" s="208"/>
      <c r="I11644" s="209">
        <v>2.0</v>
      </c>
      <c r="K11644" s="9" t="s">
        <v>964</v>
      </c>
      <c r="L11644" s="77"/>
      <c r="M11644" s="79"/>
      <c r="N11644" s="1"/>
      <c r="O11644" s="1"/>
      <c r="P11644" s="1"/>
      <c r="Q11644" s="1"/>
      <c r="R11644" s="1"/>
      <c r="S11644" s="1"/>
      <c r="T11644" s="1"/>
      <c r="U11644" s="1"/>
      <c r="V11644" s="1"/>
      <c r="W11644" s="1"/>
      <c r="X11644" s="1"/>
      <c r="Y11644" s="1"/>
      <c r="Z11644" s="1"/>
      <c r="AA11644" s="1"/>
      <c r="AB11644" s="1"/>
      <c r="AC11644" s="1"/>
      <c r="AD11644" s="1"/>
      <c r="AE11644" s="1"/>
      <c r="AF11644" s="1"/>
      <c r="AG11644" s="1"/>
      <c r="AH11644" s="1"/>
    </row>
    <row r="11645" ht="12.75" customHeight="1">
      <c r="A11645" s="197">
        <v>43746.0</v>
      </c>
      <c r="B11645" s="992"/>
      <c r="C11645" s="32" t="s">
        <v>947</v>
      </c>
      <c r="D11645" s="1"/>
      <c r="E11645" s="94" t="s">
        <v>948</v>
      </c>
      <c r="F11645" s="198" t="s">
        <v>949</v>
      </c>
      <c r="G11645" s="87"/>
      <c r="H11645" s="199"/>
      <c r="I11645" s="200">
        <v>1.0</v>
      </c>
      <c r="K11645" s="201" t="s">
        <v>3988</v>
      </c>
      <c r="L11645" s="77"/>
      <c r="M11645" s="79"/>
      <c r="N11645" s="1"/>
      <c r="O11645" s="1"/>
      <c r="P11645" s="1"/>
      <c r="Q11645" s="1"/>
      <c r="R11645" s="1"/>
      <c r="S11645" s="1"/>
      <c r="T11645" s="1"/>
      <c r="U11645" s="1"/>
      <c r="V11645" s="1"/>
      <c r="W11645" s="1"/>
      <c r="X11645" s="1"/>
      <c r="Y11645" s="1"/>
      <c r="Z11645" s="1"/>
      <c r="AA11645" s="1"/>
      <c r="AB11645" s="1"/>
      <c r="AC11645" s="1"/>
      <c r="AD11645" s="1"/>
      <c r="AE11645" s="1"/>
      <c r="AF11645" s="1"/>
      <c r="AG11645" s="1"/>
      <c r="AH11645" s="1"/>
    </row>
    <row r="11646" ht="12.75" customHeight="1">
      <c r="A11646" s="202">
        <v>43746.0</v>
      </c>
      <c r="B11646" s="992"/>
      <c r="C11646" s="32" t="s">
        <v>952</v>
      </c>
      <c r="D11646" s="1"/>
      <c r="F11646" s="203" t="s">
        <v>953</v>
      </c>
      <c r="G11646" s="1"/>
      <c r="H11646" s="68"/>
      <c r="I11646" s="204">
        <v>0.0</v>
      </c>
      <c r="K11646" s="9" t="s">
        <v>4006</v>
      </c>
      <c r="L11646" s="77"/>
      <c r="M11646" s="79"/>
      <c r="N11646" s="1"/>
      <c r="O11646" s="1"/>
      <c r="P11646" s="1"/>
      <c r="Q11646" s="1"/>
      <c r="R11646" s="1"/>
      <c r="S11646" s="1"/>
      <c r="T11646" s="1"/>
      <c r="U11646" s="1"/>
      <c r="V11646" s="1"/>
      <c r="W11646" s="1"/>
      <c r="X11646" s="1"/>
      <c r="Y11646" s="1"/>
      <c r="Z11646" s="1"/>
      <c r="AA11646" s="1"/>
      <c r="AB11646" s="1"/>
      <c r="AC11646" s="1"/>
      <c r="AD11646" s="1"/>
      <c r="AE11646" s="1"/>
      <c r="AF11646" s="1"/>
      <c r="AG11646" s="1"/>
      <c r="AH11646" s="1"/>
    </row>
    <row r="11647" ht="12.75" customHeight="1">
      <c r="A11647" s="202">
        <v>43746.0</v>
      </c>
      <c r="B11647" s="992"/>
      <c r="C11647" s="32" t="s">
        <v>955</v>
      </c>
      <c r="D11647" s="1"/>
      <c r="F11647" s="203" t="s">
        <v>956</v>
      </c>
      <c r="G11647" s="1"/>
      <c r="H11647" s="68"/>
      <c r="I11647" s="204">
        <v>0.0</v>
      </c>
      <c r="K11647" s="9" t="s">
        <v>4007</v>
      </c>
      <c r="L11647" s="77"/>
      <c r="M11647" s="79"/>
      <c r="N11647" s="1"/>
      <c r="O11647" s="1"/>
      <c r="P11647" s="1"/>
      <c r="Q11647" s="1"/>
      <c r="R11647" s="1"/>
      <c r="S11647" s="1"/>
      <c r="T11647" s="1"/>
      <c r="U11647" s="1"/>
      <c r="V11647" s="1"/>
      <c r="W11647" s="1"/>
      <c r="X11647" s="1"/>
      <c r="Y11647" s="1"/>
      <c r="Z11647" s="1"/>
      <c r="AA11647" s="1"/>
      <c r="AB11647" s="1"/>
      <c r="AC11647" s="1"/>
      <c r="AD11647" s="1"/>
      <c r="AE11647" s="1"/>
      <c r="AF11647" s="1"/>
      <c r="AG11647" s="1"/>
      <c r="AH11647" s="1"/>
    </row>
    <row r="11648" ht="12.75" customHeight="1">
      <c r="A11648" s="202">
        <v>43746.0</v>
      </c>
      <c r="B11648" s="992"/>
      <c r="C11648" s="32" t="s">
        <v>958</v>
      </c>
      <c r="D11648" s="1"/>
      <c r="F11648" s="203" t="s">
        <v>959</v>
      </c>
      <c r="G11648" s="1"/>
      <c r="H11648" s="68"/>
      <c r="I11648" s="204">
        <v>1.0</v>
      </c>
      <c r="K11648" s="9" t="s">
        <v>4008</v>
      </c>
      <c r="L11648" s="77"/>
      <c r="M11648" s="79"/>
      <c r="N11648" s="1"/>
      <c r="O11648" s="1"/>
      <c r="P11648" s="1"/>
      <c r="Q11648" s="1"/>
      <c r="R11648" s="1"/>
      <c r="S11648" s="1"/>
      <c r="T11648" s="1"/>
      <c r="U11648" s="1"/>
      <c r="V11648" s="1"/>
      <c r="W11648" s="1"/>
      <c r="X11648" s="1"/>
      <c r="Y11648" s="1"/>
      <c r="Z11648" s="1"/>
      <c r="AA11648" s="1"/>
      <c r="AB11648" s="1"/>
      <c r="AC11648" s="1"/>
      <c r="AD11648" s="1"/>
      <c r="AE11648" s="1"/>
      <c r="AF11648" s="1"/>
      <c r="AG11648" s="1"/>
      <c r="AH11648" s="1"/>
    </row>
    <row r="11649" ht="12.75" customHeight="1">
      <c r="A11649" s="202">
        <v>43746.0</v>
      </c>
      <c r="B11649" s="992"/>
      <c r="C11649" s="32" t="s">
        <v>961</v>
      </c>
      <c r="D11649" s="1"/>
      <c r="F11649" s="206" t="s">
        <v>962</v>
      </c>
      <c r="G11649" s="207"/>
      <c r="H11649" s="208"/>
      <c r="I11649" s="209">
        <v>2.0</v>
      </c>
      <c r="K11649" s="9" t="s">
        <v>964</v>
      </c>
      <c r="L11649" s="77"/>
      <c r="M11649" s="79"/>
      <c r="N11649" s="1"/>
      <c r="O11649" s="1"/>
      <c r="P11649" s="1"/>
      <c r="Q11649" s="1"/>
      <c r="R11649" s="1"/>
      <c r="S11649" s="1"/>
      <c r="T11649" s="1"/>
      <c r="U11649" s="1"/>
      <c r="V11649" s="1"/>
      <c r="W11649" s="1"/>
      <c r="X11649" s="1"/>
      <c r="Y11649" s="1"/>
      <c r="Z11649" s="1"/>
      <c r="AA11649" s="1"/>
      <c r="AB11649" s="1"/>
      <c r="AC11649" s="1"/>
      <c r="AD11649" s="1"/>
      <c r="AE11649" s="1"/>
      <c r="AF11649" s="1"/>
      <c r="AG11649" s="1"/>
      <c r="AH11649" s="1"/>
    </row>
    <row r="11650" ht="12.75" customHeight="1">
      <c r="A11650" s="197">
        <v>43749.0</v>
      </c>
      <c r="B11650" s="992"/>
      <c r="C11650" s="32" t="s">
        <v>947</v>
      </c>
      <c r="D11650" s="1"/>
      <c r="E11650" s="94" t="s">
        <v>948</v>
      </c>
      <c r="F11650" s="198" t="s">
        <v>949</v>
      </c>
      <c r="G11650" s="87"/>
      <c r="H11650" s="199"/>
      <c r="I11650" s="200">
        <v>1.0</v>
      </c>
      <c r="K11650" s="201" t="s">
        <v>3988</v>
      </c>
      <c r="L11650" s="77"/>
      <c r="M11650" s="79"/>
      <c r="N11650" s="1"/>
      <c r="O11650" s="1"/>
      <c r="P11650" s="1"/>
      <c r="Q11650" s="1"/>
      <c r="R11650" s="1"/>
      <c r="S11650" s="1"/>
      <c r="T11650" s="1"/>
      <c r="U11650" s="1"/>
      <c r="V11650" s="1"/>
      <c r="W11650" s="1"/>
      <c r="X11650" s="1"/>
      <c r="Y11650" s="1"/>
      <c r="Z11650" s="1"/>
      <c r="AA11650" s="1"/>
      <c r="AB11650" s="1"/>
      <c r="AC11650" s="1"/>
      <c r="AD11650" s="1"/>
      <c r="AE11650" s="1"/>
      <c r="AF11650" s="1"/>
      <c r="AG11650" s="1"/>
      <c r="AH11650" s="1"/>
    </row>
    <row r="11651" ht="12.75" customHeight="1">
      <c r="A11651" s="202">
        <v>43749.0</v>
      </c>
      <c r="B11651" s="992"/>
      <c r="C11651" s="32" t="s">
        <v>952</v>
      </c>
      <c r="D11651" s="1"/>
      <c r="F11651" s="203" t="s">
        <v>953</v>
      </c>
      <c r="G11651" s="1"/>
      <c r="H11651" s="68"/>
      <c r="I11651" s="204">
        <v>0.0</v>
      </c>
      <c r="K11651" s="9" t="s">
        <v>4006</v>
      </c>
      <c r="L11651" s="77"/>
      <c r="M11651" s="79"/>
      <c r="N11651" s="1"/>
      <c r="O11651" s="1"/>
      <c r="P11651" s="1"/>
      <c r="Q11651" s="1"/>
      <c r="R11651" s="1"/>
      <c r="S11651" s="1"/>
      <c r="T11651" s="1"/>
      <c r="U11651" s="1"/>
      <c r="V11651" s="1"/>
      <c r="W11651" s="1"/>
      <c r="X11651" s="1"/>
      <c r="Y11651" s="1"/>
      <c r="Z11651" s="1"/>
      <c r="AA11651" s="1"/>
      <c r="AB11651" s="1"/>
      <c r="AC11651" s="1"/>
      <c r="AD11651" s="1"/>
      <c r="AE11651" s="1"/>
      <c r="AF11651" s="1"/>
      <c r="AG11651" s="1"/>
      <c r="AH11651" s="1"/>
    </row>
    <row r="11652" ht="12.75" customHeight="1">
      <c r="A11652" s="202">
        <v>43749.0</v>
      </c>
      <c r="B11652" s="992"/>
      <c r="C11652" s="32" t="s">
        <v>955</v>
      </c>
      <c r="D11652" s="1"/>
      <c r="F11652" s="203" t="s">
        <v>956</v>
      </c>
      <c r="G11652" s="1"/>
      <c r="H11652" s="68"/>
      <c r="I11652" s="204">
        <v>0.0</v>
      </c>
      <c r="K11652" s="9" t="s">
        <v>4009</v>
      </c>
      <c r="L11652" s="77"/>
      <c r="M11652" s="79"/>
      <c r="N11652" s="1"/>
      <c r="O11652" s="1"/>
      <c r="P11652" s="1"/>
      <c r="Q11652" s="1"/>
      <c r="R11652" s="1"/>
      <c r="S11652" s="1"/>
      <c r="T11652" s="1"/>
      <c r="U11652" s="1"/>
      <c r="V11652" s="1"/>
      <c r="W11652" s="1"/>
      <c r="X11652" s="1"/>
      <c r="Y11652" s="1"/>
      <c r="Z11652" s="1"/>
      <c r="AA11652" s="1"/>
      <c r="AB11652" s="1"/>
      <c r="AC11652" s="1"/>
      <c r="AD11652" s="1"/>
      <c r="AE11652" s="1"/>
      <c r="AF11652" s="1"/>
      <c r="AG11652" s="1"/>
      <c r="AH11652" s="1"/>
    </row>
    <row r="11653" ht="12.75" customHeight="1">
      <c r="A11653" s="202">
        <v>43749.0</v>
      </c>
      <c r="B11653" s="992"/>
      <c r="C11653" s="32" t="s">
        <v>958</v>
      </c>
      <c r="D11653" s="1"/>
      <c r="F11653" s="203" t="s">
        <v>959</v>
      </c>
      <c r="G11653" s="1"/>
      <c r="H11653" s="68"/>
      <c r="I11653" s="204">
        <v>1.0</v>
      </c>
      <c r="K11653" s="9" t="s">
        <v>4010</v>
      </c>
      <c r="L11653" s="77"/>
      <c r="M11653" s="79"/>
      <c r="N11653" s="1"/>
      <c r="O11653" s="1"/>
      <c r="P11653" s="1"/>
      <c r="Q11653" s="1"/>
      <c r="R11653" s="1"/>
      <c r="S11653" s="1"/>
      <c r="T11653" s="1"/>
      <c r="U11653" s="1"/>
      <c r="V11653" s="1"/>
      <c r="W11653" s="1"/>
      <c r="X11653" s="1"/>
      <c r="Y11653" s="1"/>
      <c r="Z11653" s="1"/>
      <c r="AA11653" s="1"/>
      <c r="AB11653" s="1"/>
      <c r="AC11653" s="1"/>
      <c r="AD11653" s="1"/>
      <c r="AE11653" s="1"/>
      <c r="AF11653" s="1"/>
      <c r="AG11653" s="1"/>
      <c r="AH11653" s="1"/>
    </row>
    <row r="11654" ht="12.75" customHeight="1">
      <c r="A11654" s="202">
        <v>43749.0</v>
      </c>
      <c r="B11654" s="992"/>
      <c r="C11654" s="32" t="s">
        <v>961</v>
      </c>
      <c r="D11654" s="1"/>
      <c r="F11654" s="206" t="s">
        <v>962</v>
      </c>
      <c r="G11654" s="207"/>
      <c r="H11654" s="208"/>
      <c r="I11654" s="209">
        <v>2.0</v>
      </c>
      <c r="K11654" s="9" t="s">
        <v>964</v>
      </c>
      <c r="L11654" s="77"/>
      <c r="M11654" s="79"/>
      <c r="N11654" s="1"/>
      <c r="O11654" s="1"/>
      <c r="P11654" s="1"/>
      <c r="Q11654" s="1"/>
      <c r="R11654" s="1"/>
      <c r="S11654" s="1"/>
      <c r="T11654" s="1"/>
      <c r="U11654" s="1"/>
      <c r="V11654" s="1"/>
      <c r="W11654" s="1"/>
      <c r="X11654" s="1"/>
      <c r="Y11654" s="1"/>
      <c r="Z11654" s="1"/>
      <c r="AA11654" s="1"/>
      <c r="AB11654" s="1"/>
      <c r="AC11654" s="1"/>
      <c r="AD11654" s="1"/>
      <c r="AE11654" s="1"/>
      <c r="AF11654" s="1"/>
      <c r="AG11654" s="1"/>
      <c r="AH11654" s="1"/>
    </row>
    <row r="11655" ht="12.75" customHeight="1">
      <c r="A11655" s="197">
        <v>43750.0</v>
      </c>
      <c r="B11655" s="992"/>
      <c r="C11655" s="32" t="s">
        <v>947</v>
      </c>
      <c r="D11655" s="1"/>
      <c r="E11655" s="94" t="s">
        <v>948</v>
      </c>
      <c r="F11655" s="198" t="s">
        <v>949</v>
      </c>
      <c r="G11655" s="87"/>
      <c r="H11655" s="199"/>
      <c r="I11655" s="200">
        <v>1.0</v>
      </c>
      <c r="K11655" s="201" t="s">
        <v>3988</v>
      </c>
      <c r="L11655" s="77"/>
      <c r="M11655" s="79"/>
      <c r="N11655" s="1"/>
      <c r="O11655" s="1"/>
      <c r="P11655" s="1"/>
      <c r="Q11655" s="1"/>
      <c r="R11655" s="1"/>
      <c r="S11655" s="1"/>
      <c r="T11655" s="1"/>
      <c r="U11655" s="1"/>
      <c r="V11655" s="1"/>
      <c r="W11655" s="1"/>
      <c r="X11655" s="1"/>
      <c r="Y11655" s="1"/>
      <c r="Z11655" s="1"/>
      <c r="AA11655" s="1"/>
      <c r="AB11655" s="1"/>
      <c r="AC11655" s="1"/>
      <c r="AD11655" s="1"/>
      <c r="AE11655" s="1"/>
      <c r="AF11655" s="1"/>
      <c r="AG11655" s="1"/>
      <c r="AH11655" s="1"/>
    </row>
    <row r="11656" ht="12.75" customHeight="1">
      <c r="A11656" s="202">
        <v>43750.0</v>
      </c>
      <c r="B11656" s="992"/>
      <c r="C11656" s="32" t="s">
        <v>952</v>
      </c>
      <c r="D11656" s="1"/>
      <c r="F11656" s="203" t="s">
        <v>953</v>
      </c>
      <c r="G11656" s="1"/>
      <c r="H11656" s="68"/>
      <c r="I11656" s="204">
        <v>0.0</v>
      </c>
      <c r="K11656" s="9" t="s">
        <v>4006</v>
      </c>
      <c r="L11656" s="77"/>
      <c r="M11656" s="79"/>
      <c r="N11656" s="1"/>
      <c r="O11656" s="1"/>
      <c r="P11656" s="1"/>
      <c r="Q11656" s="1"/>
      <c r="R11656" s="1"/>
      <c r="S11656" s="1"/>
      <c r="T11656" s="1"/>
      <c r="U11656" s="1"/>
      <c r="V11656" s="1"/>
      <c r="W11656" s="1"/>
      <c r="X11656" s="1"/>
      <c r="Y11656" s="1"/>
      <c r="Z11656" s="1"/>
      <c r="AA11656" s="1"/>
      <c r="AB11656" s="1"/>
      <c r="AC11656" s="1"/>
      <c r="AD11656" s="1"/>
      <c r="AE11656" s="1"/>
      <c r="AF11656" s="1"/>
      <c r="AG11656" s="1"/>
      <c r="AH11656" s="1"/>
    </row>
    <row r="11657" ht="12.75" customHeight="1">
      <c r="A11657" s="202">
        <v>43750.0</v>
      </c>
      <c r="B11657" s="992"/>
      <c r="C11657" s="32" t="s">
        <v>955</v>
      </c>
      <c r="D11657" s="1"/>
      <c r="F11657" s="203" t="s">
        <v>956</v>
      </c>
      <c r="G11657" s="1"/>
      <c r="H11657" s="68"/>
      <c r="I11657" s="204">
        <v>0.0</v>
      </c>
      <c r="K11657" s="9" t="s">
        <v>4011</v>
      </c>
      <c r="L11657" s="77"/>
      <c r="M11657" s="79"/>
      <c r="N11657" s="1"/>
      <c r="O11657" s="1"/>
      <c r="P11657" s="1"/>
      <c r="Q11657" s="1"/>
      <c r="R11657" s="1"/>
      <c r="S11657" s="1"/>
      <c r="T11657" s="1"/>
      <c r="U11657" s="1"/>
      <c r="V11657" s="1"/>
      <c r="W11657" s="1"/>
      <c r="X11657" s="1"/>
      <c r="Y11657" s="1"/>
      <c r="Z11657" s="1"/>
      <c r="AA11657" s="1"/>
      <c r="AB11657" s="1"/>
      <c r="AC11657" s="1"/>
      <c r="AD11657" s="1"/>
      <c r="AE11657" s="1"/>
      <c r="AF11657" s="1"/>
      <c r="AG11657" s="1"/>
      <c r="AH11657" s="1"/>
    </row>
    <row r="11658" ht="12.75" customHeight="1">
      <c r="A11658" s="202">
        <v>43750.0</v>
      </c>
      <c r="B11658" s="992"/>
      <c r="C11658" s="32" t="s">
        <v>958</v>
      </c>
      <c r="D11658" s="1"/>
      <c r="F11658" s="203" t="s">
        <v>959</v>
      </c>
      <c r="G11658" s="1"/>
      <c r="H11658" s="68"/>
      <c r="I11658" s="204">
        <v>1.0</v>
      </c>
      <c r="K11658" s="9" t="s">
        <v>4012</v>
      </c>
      <c r="L11658" s="77"/>
      <c r="M11658" s="79"/>
      <c r="N11658" s="1"/>
      <c r="O11658" s="1"/>
      <c r="P11658" s="1"/>
      <c r="Q11658" s="1"/>
      <c r="R11658" s="1"/>
      <c r="S11658" s="1"/>
      <c r="T11658" s="1"/>
      <c r="U11658" s="1"/>
      <c r="V11658" s="1"/>
      <c r="W11658" s="1"/>
      <c r="X11658" s="1"/>
      <c r="Y11658" s="1"/>
      <c r="Z11658" s="1"/>
      <c r="AA11658" s="1"/>
      <c r="AB11658" s="1"/>
      <c r="AC11658" s="1"/>
      <c r="AD11658" s="1"/>
      <c r="AE11658" s="1"/>
      <c r="AF11658" s="1"/>
      <c r="AG11658" s="1"/>
      <c r="AH11658" s="1"/>
    </row>
    <row r="11659" ht="12.75" customHeight="1">
      <c r="A11659" s="202">
        <v>43750.0</v>
      </c>
      <c r="B11659" s="193"/>
      <c r="C11659" s="32" t="s">
        <v>961</v>
      </c>
      <c r="D11659" s="1"/>
      <c r="F11659" s="206" t="s">
        <v>962</v>
      </c>
      <c r="G11659" s="207"/>
      <c r="H11659" s="208"/>
      <c r="I11659" s="209">
        <v>2.0</v>
      </c>
      <c r="K11659" s="9" t="s">
        <v>964</v>
      </c>
      <c r="L11659" s="1083"/>
      <c r="M11659" s="79"/>
      <c r="N11659" s="1"/>
      <c r="O11659" s="1"/>
      <c r="P11659" s="1"/>
      <c r="Q11659" s="1"/>
      <c r="R11659" s="1"/>
      <c r="S11659" s="1"/>
      <c r="T11659" s="1"/>
      <c r="U11659" s="1"/>
      <c r="V11659" s="1"/>
      <c r="W11659" s="1"/>
      <c r="X11659" s="1"/>
      <c r="Y11659" s="1"/>
      <c r="Z11659" s="1"/>
      <c r="AA11659" s="1"/>
      <c r="AB11659" s="1"/>
      <c r="AC11659" s="1"/>
      <c r="AD11659" s="1"/>
      <c r="AE11659" s="1"/>
      <c r="AF11659" s="1"/>
      <c r="AG11659" s="1"/>
      <c r="AH11659" s="1"/>
    </row>
    <row r="11660" ht="12.75" customHeight="1">
      <c r="A11660" s="122">
        <v>43750.0</v>
      </c>
      <c r="B11660" s="1020" t="s">
        <v>4013</v>
      </c>
      <c r="C11660" s="32" t="s">
        <v>2304</v>
      </c>
      <c r="D11660" s="150"/>
      <c r="E11660" s="150"/>
      <c r="F11660" s="75"/>
      <c r="G11660" s="67"/>
      <c r="H11660" s="68"/>
      <c r="I11660" s="76"/>
      <c r="J11660" s="67"/>
      <c r="K11660" s="1"/>
      <c r="L11660" s="1083"/>
      <c r="M11660" s="79"/>
      <c r="N11660" s="736">
        <v>41076.0</v>
      </c>
      <c r="O11660" s="1084" t="s">
        <v>2303</v>
      </c>
      <c r="P11660" s="1085" t="s">
        <v>2304</v>
      </c>
      <c r="Q11660" s="1086"/>
      <c r="R11660" s="1086"/>
      <c r="S11660" s="1087"/>
      <c r="T11660" s="1088">
        <v>0.511041589988958</v>
      </c>
      <c r="U11660" s="1089"/>
      <c r="V11660" s="1090">
        <v>41.05499999999999</v>
      </c>
      <c r="W11660" s="1091">
        <v>0.0</v>
      </c>
      <c r="X11660" s="1092"/>
      <c r="Y11660" s="1092"/>
      <c r="Z11660" s="1092"/>
      <c r="AA11660" s="1092"/>
      <c r="AB11660" s="1092"/>
      <c r="AC11660" s="1093"/>
      <c r="AD11660" s="1093"/>
      <c r="AE11660" s="1093"/>
      <c r="AF11660" s="1093"/>
      <c r="AG11660" s="1093"/>
      <c r="AH11660" s="1085" t="s">
        <v>2308</v>
      </c>
    </row>
    <row r="11661" ht="12.75" customHeight="1">
      <c r="A11661" s="122">
        <v>43750.0</v>
      </c>
      <c r="B11661" s="1020" t="s">
        <v>4014</v>
      </c>
      <c r="C11661" s="32" t="s">
        <v>1093</v>
      </c>
      <c r="D11661" s="150"/>
      <c r="E11661" s="150"/>
      <c r="F11661" s="75"/>
      <c r="G11661" s="67"/>
      <c r="H11661" s="68"/>
      <c r="I11661" s="76"/>
      <c r="J11661" s="67"/>
      <c r="K11661" s="1"/>
      <c r="L11661" s="1083"/>
      <c r="M11661" s="79"/>
      <c r="N11661" s="736">
        <v>41261.0</v>
      </c>
      <c r="O11661" s="1084" t="s">
        <v>2310</v>
      </c>
      <c r="P11661" s="1085" t="s">
        <v>1093</v>
      </c>
      <c r="Q11661" s="1086"/>
      <c r="R11661" s="1086"/>
      <c r="S11661" s="1087"/>
      <c r="T11661" s="1088">
        <v>31.653061224489797</v>
      </c>
      <c r="U11661" s="1089"/>
      <c r="V11661" s="1090">
        <v>80.0</v>
      </c>
      <c r="W11661" s="1091">
        <v>0.0</v>
      </c>
      <c r="X11661" s="1092"/>
      <c r="Y11661" s="1092"/>
      <c r="Z11661" s="1092"/>
      <c r="AA11661" s="1092"/>
      <c r="AB11661" s="1092"/>
      <c r="AC11661" s="1093"/>
      <c r="AD11661" s="1093"/>
      <c r="AE11661" s="1093"/>
      <c r="AF11661" s="1093"/>
      <c r="AG11661" s="1093"/>
      <c r="AH11661" s="1094" t="s">
        <v>2312</v>
      </c>
    </row>
    <row r="11662" ht="12.75" customHeight="1">
      <c r="A11662" s="122">
        <v>43750.0</v>
      </c>
      <c r="B11662" s="1020" t="s">
        <v>4014</v>
      </c>
      <c r="C11662" s="32" t="s">
        <v>861</v>
      </c>
      <c r="D11662" s="150"/>
      <c r="E11662" s="150"/>
      <c r="F11662" s="75"/>
      <c r="G11662" s="67"/>
      <c r="H11662" s="68"/>
      <c r="I11662" s="76"/>
      <c r="J11662" s="67"/>
      <c r="K11662" s="1"/>
      <c r="L11662" s="1083"/>
      <c r="M11662" s="79"/>
      <c r="N11662" s="659">
        <v>41284.0</v>
      </c>
      <c r="O11662" s="1095" t="s">
        <v>2313</v>
      </c>
      <c r="P11662" s="1096" t="s">
        <v>861</v>
      </c>
      <c r="Q11662" s="1096"/>
      <c r="R11662" s="1096"/>
      <c r="S11662" s="1097"/>
      <c r="T11662" s="1098" t="e">
        <v>#N/A</v>
      </c>
      <c r="U11662" s="1099"/>
      <c r="V11662" s="1100">
        <v>20.0</v>
      </c>
      <c r="W11662" s="1101">
        <v>0.0</v>
      </c>
      <c r="X11662" s="1102"/>
      <c r="Y11662" s="1102"/>
      <c r="Z11662" s="1102"/>
      <c r="AA11662" s="1102"/>
      <c r="AB11662" s="1102"/>
      <c r="AC11662" s="1103"/>
      <c r="AD11662" s="1103"/>
      <c r="AE11662" s="1103"/>
      <c r="AF11662" s="1103"/>
      <c r="AG11662" s="1103"/>
      <c r="AH11662" s="1104" t="s">
        <v>2314</v>
      </c>
    </row>
    <row r="11663" ht="12.75" customHeight="1">
      <c r="A11663" s="122">
        <v>43750.0</v>
      </c>
      <c r="B11663" s="1020" t="s">
        <v>4014</v>
      </c>
      <c r="C11663" s="32" t="s">
        <v>868</v>
      </c>
      <c r="D11663" s="150"/>
      <c r="E11663" s="150"/>
      <c r="F11663" s="75"/>
      <c r="G11663" s="67"/>
      <c r="H11663" s="68"/>
      <c r="I11663" s="76"/>
      <c r="J11663" s="67"/>
      <c r="K11663" s="1"/>
      <c r="L11663" s="1083"/>
      <c r="M11663" s="79"/>
      <c r="N11663" s="659">
        <v>41011.0</v>
      </c>
      <c r="O11663" s="1095" t="s">
        <v>2316</v>
      </c>
      <c r="P11663" s="1096" t="s">
        <v>868</v>
      </c>
      <c r="Q11663" s="1096"/>
      <c r="R11663" s="1096"/>
      <c r="S11663" s="1097"/>
      <c r="T11663" s="1105">
        <v>-1.0</v>
      </c>
      <c r="U11663" s="1099"/>
      <c r="V11663" s="1099"/>
      <c r="W11663" s="1101">
        <v>0.0</v>
      </c>
      <c r="X11663" s="1102"/>
      <c r="Y11663" s="1102"/>
      <c r="Z11663" s="1102"/>
      <c r="AA11663" s="1102"/>
      <c r="AB11663" s="1102"/>
      <c r="AC11663" s="1096"/>
      <c r="AD11663" s="1096"/>
      <c r="AE11663" s="1096"/>
      <c r="AF11663" s="1096"/>
      <c r="AG11663" s="1096"/>
      <c r="AH11663" s="1096" t="s">
        <v>2317</v>
      </c>
    </row>
    <row r="11664" ht="12.75" customHeight="1">
      <c r="A11664" s="122">
        <v>43750.0</v>
      </c>
      <c r="B11664" s="1020" t="s">
        <v>4014</v>
      </c>
      <c r="C11664" s="32" t="s">
        <v>967</v>
      </c>
      <c r="D11664" s="150"/>
      <c r="E11664" s="150"/>
      <c r="F11664" s="75"/>
      <c r="G11664" s="67"/>
      <c r="H11664" s="68"/>
      <c r="I11664" s="76"/>
      <c r="J11664" s="67"/>
      <c r="K11664" s="1"/>
      <c r="L11664" s="1083"/>
      <c r="M11664" s="79"/>
      <c r="N11664" s="736">
        <v>41362.0</v>
      </c>
      <c r="O11664" s="1084" t="s">
        <v>967</v>
      </c>
      <c r="P11664" s="1085" t="s">
        <v>967</v>
      </c>
      <c r="Q11664" s="1085"/>
      <c r="R11664" s="1085"/>
      <c r="S11664" s="1087"/>
      <c r="T11664" s="1088">
        <v>-1.0</v>
      </c>
      <c r="U11664" s="1089"/>
      <c r="V11664" s="1089"/>
      <c r="W11664" s="1091">
        <v>0.0</v>
      </c>
      <c r="X11664" s="1092"/>
      <c r="Y11664" s="1092"/>
      <c r="Z11664" s="1092"/>
      <c r="AA11664" s="1092"/>
      <c r="AB11664" s="1092"/>
      <c r="AC11664" s="1085"/>
      <c r="AD11664" s="1085"/>
      <c r="AE11664" s="1085"/>
      <c r="AF11664" s="1085"/>
      <c r="AG11664" s="1085"/>
      <c r="AH11664" s="1094" t="s">
        <v>2319</v>
      </c>
    </row>
    <row r="11665" ht="12.75" customHeight="1">
      <c r="A11665" s="122">
        <v>43750.0</v>
      </c>
      <c r="B11665" s="1020" t="s">
        <v>4014</v>
      </c>
      <c r="C11665" s="32" t="s">
        <v>2321</v>
      </c>
      <c r="D11665" s="150"/>
      <c r="E11665" s="150"/>
      <c r="F11665" s="75"/>
      <c r="G11665" s="67"/>
      <c r="H11665" s="68"/>
      <c r="I11665" s="76"/>
      <c r="J11665" s="67"/>
      <c r="K11665" s="1"/>
      <c r="L11665" s="1083"/>
      <c r="M11665" s="79"/>
      <c r="N11665" s="725">
        <v>40168.0</v>
      </c>
      <c r="O11665" s="1106" t="s">
        <v>2320</v>
      </c>
      <c r="P11665" s="1106" t="s">
        <v>2321</v>
      </c>
      <c r="Q11665" s="1107"/>
      <c r="R11665" s="1107"/>
      <c r="S11665" s="1108"/>
      <c r="T11665" s="1109" t="e">
        <v>#N/A</v>
      </c>
      <c r="U11665" s="1110">
        <v>35.0</v>
      </c>
      <c r="V11665" s="1110">
        <v>42.75</v>
      </c>
      <c r="W11665" s="1111">
        <v>0.0</v>
      </c>
      <c r="X11665" s="1112"/>
      <c r="Y11665" s="1112"/>
      <c r="Z11665" s="1112"/>
      <c r="AA11665" s="1112"/>
      <c r="AB11665" s="1112"/>
      <c r="AC11665" s="1113"/>
      <c r="AD11665" s="1113"/>
      <c r="AE11665" s="1113"/>
      <c r="AF11665" s="1113"/>
      <c r="AG11665" s="1113"/>
      <c r="AH11665" s="1106" t="s">
        <v>2324</v>
      </c>
    </row>
    <row r="11666" ht="12.75" customHeight="1">
      <c r="A11666" s="122">
        <v>43750.0</v>
      </c>
      <c r="B11666" s="1020" t="s">
        <v>4014</v>
      </c>
      <c r="C11666" s="32" t="s">
        <v>890</v>
      </c>
      <c r="D11666" s="150"/>
      <c r="E11666" s="150"/>
      <c r="F11666" s="75"/>
      <c r="G11666" s="67"/>
      <c r="H11666" s="68"/>
      <c r="I11666" s="76"/>
      <c r="J11666" s="67"/>
      <c r="K11666" s="1"/>
      <c r="L11666" s="1083"/>
      <c r="M11666" s="79"/>
      <c r="N11666" s="736">
        <v>40777.0</v>
      </c>
      <c r="O11666" s="1084" t="s">
        <v>1429</v>
      </c>
      <c r="P11666" s="1085" t="s">
        <v>890</v>
      </c>
      <c r="Q11666" s="1085"/>
      <c r="R11666" s="1114">
        <v>-1.0</v>
      </c>
      <c r="S11666" s="1087"/>
      <c r="T11666" s="1088">
        <v>-1.0</v>
      </c>
      <c r="U11666" s="1089"/>
      <c r="V11666" s="1089"/>
      <c r="W11666" s="1091">
        <v>0.0</v>
      </c>
      <c r="X11666" s="1092"/>
      <c r="Y11666" s="1092"/>
      <c r="Z11666" s="1092"/>
      <c r="AA11666" s="1092"/>
      <c r="AB11666" s="1092"/>
      <c r="AC11666" s="1085"/>
      <c r="AD11666" s="1085"/>
      <c r="AE11666" s="1085"/>
      <c r="AF11666" s="1085"/>
      <c r="AG11666" s="1085"/>
      <c r="AH11666" s="1085" t="s">
        <v>2325</v>
      </c>
    </row>
    <row r="11667" ht="12.75" customHeight="1">
      <c r="A11667" s="122">
        <v>43750.0</v>
      </c>
      <c r="B11667" s="1020" t="s">
        <v>4014</v>
      </c>
      <c r="C11667" s="32" t="s">
        <v>1082</v>
      </c>
      <c r="D11667" s="150"/>
      <c r="E11667" s="150"/>
      <c r="F11667" s="75"/>
      <c r="G11667" s="67"/>
      <c r="H11667" s="68"/>
      <c r="I11667" s="76"/>
      <c r="J11667" s="67"/>
      <c r="K11667" s="1"/>
      <c r="L11667" s="1083"/>
      <c r="M11667" s="79"/>
      <c r="N11667" s="736">
        <v>40432.0</v>
      </c>
      <c r="O11667" s="1084" t="s">
        <v>2326</v>
      </c>
      <c r="P11667" s="1085" t="s">
        <v>1082</v>
      </c>
      <c r="Q11667" s="1086"/>
      <c r="R11667" s="1115">
        <v>-1.0</v>
      </c>
      <c r="S11667" s="1087"/>
      <c r="T11667" s="1088">
        <v>-1.0</v>
      </c>
      <c r="U11667" s="1089"/>
      <c r="V11667" s="1089"/>
      <c r="W11667" s="1091">
        <v>0.0</v>
      </c>
      <c r="X11667" s="1092"/>
      <c r="Y11667" s="1092"/>
      <c r="Z11667" s="1092"/>
      <c r="AA11667" s="1092"/>
      <c r="AB11667" s="1092"/>
      <c r="AC11667" s="1085"/>
      <c r="AD11667" s="1085"/>
      <c r="AE11667" s="1085"/>
      <c r="AF11667" s="1085"/>
      <c r="AG11667" s="1085"/>
      <c r="AH11667" s="1085" t="s">
        <v>2327</v>
      </c>
    </row>
    <row r="11668" ht="12.75" customHeight="1">
      <c r="A11668" s="122">
        <v>43750.0</v>
      </c>
      <c r="B11668" s="1020" t="s">
        <v>4014</v>
      </c>
      <c r="C11668" s="32" t="s">
        <v>786</v>
      </c>
      <c r="D11668" s="150"/>
      <c r="E11668" s="150"/>
      <c r="F11668" s="75"/>
      <c r="G11668" s="67"/>
      <c r="H11668" s="68"/>
      <c r="I11668" s="76"/>
      <c r="J11668" s="67"/>
      <c r="K11668" s="1"/>
      <c r="L11668" s="1083"/>
      <c r="M11668" s="79"/>
      <c r="N11668" s="725">
        <v>41233.0</v>
      </c>
      <c r="O11668" s="1116" t="s">
        <v>2328</v>
      </c>
      <c r="P11668" s="1116" t="s">
        <v>786</v>
      </c>
      <c r="Q11668" s="1116"/>
      <c r="R11668" s="1117" t="e">
        <v>#N/A</v>
      </c>
      <c r="S11668" s="1118"/>
      <c r="T11668" s="1119" t="e">
        <v>#N/A</v>
      </c>
      <c r="U11668" s="1120"/>
      <c r="V11668" s="1121">
        <v>10.0</v>
      </c>
      <c r="W11668" s="1122">
        <v>0.0</v>
      </c>
      <c r="X11668" s="1123"/>
      <c r="Y11668" s="1123"/>
      <c r="Z11668" s="1123"/>
      <c r="AA11668" s="1123"/>
      <c r="AB11668" s="1123"/>
      <c r="AC11668" s="1116"/>
      <c r="AD11668" s="1116"/>
      <c r="AE11668" s="1116"/>
      <c r="AF11668" s="1116"/>
      <c r="AG11668" s="1116"/>
      <c r="AH11668" s="1124" t="s">
        <v>2331</v>
      </c>
    </row>
    <row r="11669" ht="12.75" customHeight="1">
      <c r="A11669" s="122">
        <v>43750.0</v>
      </c>
      <c r="B11669" s="1020" t="s">
        <v>4014</v>
      </c>
      <c r="C11669" s="32" t="s">
        <v>734</v>
      </c>
      <c r="D11669" s="150"/>
      <c r="E11669" s="150"/>
      <c r="F11669" s="75"/>
      <c r="G11669" s="67"/>
      <c r="H11669" s="68"/>
      <c r="I11669" s="76"/>
      <c r="J11669" s="67"/>
      <c r="K11669" s="1"/>
      <c r="L11669" s="1083"/>
      <c r="M11669" s="79"/>
      <c r="N11669" s="755">
        <v>41175.0</v>
      </c>
      <c r="O11669" s="1125" t="s">
        <v>2332</v>
      </c>
      <c r="P11669" s="1125" t="s">
        <v>734</v>
      </c>
      <c r="Q11669" s="1126"/>
      <c r="R11669" s="1127" t="s">
        <v>2333</v>
      </c>
      <c r="S11669" s="1128"/>
      <c r="T11669" s="1127" t="s">
        <v>2333</v>
      </c>
      <c r="U11669" s="1129">
        <v>30.0</v>
      </c>
      <c r="V11669" s="830"/>
      <c r="W11669" s="1130">
        <v>0.0</v>
      </c>
      <c r="X11669" s="833"/>
      <c r="Y11669" s="833"/>
      <c r="Z11669" s="833"/>
      <c r="AA11669" s="833"/>
      <c r="AB11669" s="833"/>
      <c r="AC11669" s="1125"/>
      <c r="AD11669" s="1125"/>
      <c r="AE11669" s="1125"/>
      <c r="AF11669" s="1125"/>
      <c r="AG11669" s="1125"/>
      <c r="AH11669" s="1131" t="s">
        <v>2335</v>
      </c>
    </row>
    <row r="11670" ht="12.75" customHeight="1">
      <c r="A11670" s="122">
        <v>43750.0</v>
      </c>
      <c r="B11670" s="1020" t="s">
        <v>4014</v>
      </c>
      <c r="C11670" s="32" t="s">
        <v>1893</v>
      </c>
      <c r="D11670" s="150"/>
      <c r="E11670" s="150"/>
      <c r="F11670" s="75"/>
      <c r="G11670" s="67"/>
      <c r="H11670" s="68"/>
      <c r="I11670" s="76"/>
      <c r="J11670" s="67"/>
      <c r="K11670" s="1"/>
      <c r="L11670" s="1083"/>
      <c r="M11670" s="79"/>
      <c r="N11670" s="574">
        <v>40432.0</v>
      </c>
      <c r="O11670" s="1132" t="s">
        <v>2336</v>
      </c>
      <c r="P11670" s="1133" t="s">
        <v>1893</v>
      </c>
      <c r="Q11670" s="1134"/>
      <c r="R11670" s="1135" t="s">
        <v>2333</v>
      </c>
      <c r="S11670" s="1136"/>
      <c r="T11670" s="1135" t="s">
        <v>2333</v>
      </c>
      <c r="U11670" s="1137">
        <v>65.0</v>
      </c>
      <c r="V11670" s="1138"/>
      <c r="W11670" s="1139">
        <v>0.0</v>
      </c>
      <c r="X11670" s="1140"/>
      <c r="Y11670" s="1140"/>
      <c r="Z11670" s="1140"/>
      <c r="AA11670" s="1140"/>
      <c r="AB11670" s="1140"/>
      <c r="AC11670" s="1133"/>
      <c r="AD11670" s="1133"/>
      <c r="AE11670" s="1133"/>
      <c r="AF11670" s="1133"/>
      <c r="AG11670" s="1133"/>
      <c r="AH11670" s="1133" t="s">
        <v>2338</v>
      </c>
    </row>
    <row r="11671" ht="12.75" customHeight="1">
      <c r="A11671" s="122">
        <v>43750.0</v>
      </c>
      <c r="B11671" s="1020" t="s">
        <v>4014</v>
      </c>
      <c r="C11671" s="32" t="s">
        <v>2084</v>
      </c>
      <c r="D11671" s="150"/>
      <c r="E11671" s="150"/>
      <c r="F11671" s="75"/>
      <c r="G11671" s="67"/>
      <c r="H11671" s="68"/>
      <c r="I11671" s="76"/>
      <c r="J11671" s="67"/>
      <c r="K11671" s="1"/>
      <c r="L11671" s="1083"/>
      <c r="M11671" s="79"/>
      <c r="N11671" s="585">
        <v>41063.0</v>
      </c>
      <c r="O11671" s="1061" t="s">
        <v>2340</v>
      </c>
      <c r="P11671" s="839" t="s">
        <v>2084</v>
      </c>
      <c r="Q11671" s="1141"/>
      <c r="R11671" s="849" t="s">
        <v>2333</v>
      </c>
      <c r="S11671" s="1142"/>
      <c r="T11671" s="849" t="s">
        <v>2333</v>
      </c>
      <c r="U11671" s="843"/>
      <c r="V11671" s="843"/>
      <c r="W11671" s="1143">
        <v>0.0</v>
      </c>
      <c r="X11671" s="846"/>
      <c r="Y11671" s="846"/>
      <c r="Z11671" s="846"/>
      <c r="AA11671" s="846"/>
      <c r="AB11671" s="846"/>
      <c r="AC11671" s="839"/>
      <c r="AD11671" s="839"/>
      <c r="AE11671" s="839"/>
      <c r="AF11671" s="839"/>
      <c r="AG11671" s="839"/>
      <c r="AH11671" s="847"/>
    </row>
    <row r="11672" ht="12.75" customHeight="1">
      <c r="A11672" s="122">
        <v>43750.0</v>
      </c>
      <c r="B11672" s="1020" t="s">
        <v>4014</v>
      </c>
      <c r="C11672" s="32" t="s">
        <v>1823</v>
      </c>
      <c r="D11672" s="150"/>
      <c r="E11672" s="150"/>
      <c r="F11672" s="75"/>
      <c r="G11672" s="67"/>
      <c r="H11672" s="68"/>
      <c r="I11672" s="76"/>
      <c r="J11672" s="67"/>
      <c r="K11672" s="1"/>
      <c r="L11672" s="1083"/>
      <c r="M11672" s="79"/>
      <c r="N11672" s="659">
        <v>40581.0</v>
      </c>
      <c r="O11672" s="1095" t="s">
        <v>2343</v>
      </c>
      <c r="P11672" s="1096" t="s">
        <v>1823</v>
      </c>
      <c r="Q11672" s="1144"/>
      <c r="R11672" s="1145" t="s">
        <v>2333</v>
      </c>
      <c r="S11672" s="1097"/>
      <c r="T11672" s="1145" t="s">
        <v>2333</v>
      </c>
      <c r="U11672" s="1099"/>
      <c r="V11672" s="1099"/>
      <c r="W11672" s="1101">
        <v>0.0</v>
      </c>
      <c r="X11672" s="1102"/>
      <c r="Y11672" s="1102"/>
      <c r="Z11672" s="1102"/>
      <c r="AA11672" s="1102"/>
      <c r="AB11672" s="1102"/>
      <c r="AC11672" s="1096"/>
      <c r="AD11672" s="1096"/>
      <c r="AE11672" s="1096"/>
      <c r="AF11672" s="1096"/>
      <c r="AG11672" s="1096"/>
      <c r="AH11672" s="1096" t="s">
        <v>2345</v>
      </c>
    </row>
    <row r="11673" ht="12.75" customHeight="1">
      <c r="A11673" s="122">
        <v>43750.0</v>
      </c>
      <c r="B11673" s="1020" t="s">
        <v>4014</v>
      </c>
      <c r="C11673" s="32" t="s">
        <v>2347</v>
      </c>
      <c r="D11673" s="150"/>
      <c r="E11673" s="150"/>
      <c r="F11673" s="75"/>
      <c r="G11673" s="67"/>
      <c r="H11673" s="68"/>
      <c r="I11673" s="76"/>
      <c r="J11673" s="67"/>
      <c r="K11673" s="1"/>
      <c r="L11673" s="1083"/>
      <c r="M11673" s="79"/>
      <c r="N11673" s="574">
        <v>41536.0</v>
      </c>
      <c r="O11673" s="1132" t="s">
        <v>2346</v>
      </c>
      <c r="P11673" s="1133" t="s">
        <v>2347</v>
      </c>
      <c r="Q11673" s="1133"/>
      <c r="R11673" s="867" t="s">
        <v>2333</v>
      </c>
      <c r="S11673" s="1146"/>
      <c r="T11673" s="1147">
        <v>-0.3932991246604286</v>
      </c>
      <c r="U11673" s="869"/>
      <c r="V11673" s="1148">
        <v>40.2</v>
      </c>
      <c r="W11673" s="1139">
        <v>0.0</v>
      </c>
      <c r="X11673" s="1140"/>
      <c r="Y11673" s="1140"/>
      <c r="Z11673" s="1140"/>
      <c r="AA11673" s="1140"/>
      <c r="AB11673" s="1140"/>
      <c r="AC11673" s="1133"/>
      <c r="AD11673" s="1133"/>
      <c r="AE11673" s="1133"/>
      <c r="AF11673" s="1133"/>
      <c r="AG11673" s="1133"/>
      <c r="AH11673" s="1133" t="s">
        <v>2348</v>
      </c>
    </row>
    <row r="11674" ht="12.75" customHeight="1">
      <c r="A11674" s="122">
        <v>43750.0</v>
      </c>
      <c r="B11674" s="1020" t="s">
        <v>4014</v>
      </c>
      <c r="C11674" s="32" t="s">
        <v>1072</v>
      </c>
      <c r="D11674" s="150"/>
      <c r="E11674" s="150"/>
      <c r="F11674" s="75"/>
      <c r="G11674" s="67"/>
      <c r="H11674" s="68"/>
      <c r="I11674" s="76"/>
      <c r="J11674" s="67"/>
      <c r="K11674" s="1"/>
      <c r="L11674" s="1083"/>
      <c r="M11674" s="79"/>
      <c r="N11674" s="574">
        <v>41410.0</v>
      </c>
      <c r="O11674" s="1132" t="s">
        <v>2349</v>
      </c>
      <c r="P11674" s="1133" t="s">
        <v>1072</v>
      </c>
      <c r="Q11674" s="1133"/>
      <c r="R11674" s="1149" t="s">
        <v>2333</v>
      </c>
      <c r="S11674" s="1150"/>
      <c r="T11674" s="1149" t="s">
        <v>2333</v>
      </c>
      <c r="U11674" s="1151"/>
      <c r="V11674" s="1138"/>
      <c r="W11674" s="1139">
        <v>4.0</v>
      </c>
      <c r="X11674" s="1140"/>
      <c r="Y11674" s="1140"/>
      <c r="Z11674" s="1140"/>
      <c r="AA11674" s="1140"/>
      <c r="AB11674" s="1139">
        <v>4.0</v>
      </c>
      <c r="AC11674" s="1133"/>
      <c r="AD11674" s="1133"/>
      <c r="AE11674" s="1133"/>
      <c r="AF11674" s="1133"/>
      <c r="AG11674" s="1133"/>
      <c r="AH11674" s="1152" t="s">
        <v>2350</v>
      </c>
    </row>
    <row r="11675" ht="12.75" customHeight="1">
      <c r="A11675" s="122">
        <v>43750.0</v>
      </c>
      <c r="B11675" s="1020" t="s">
        <v>4014</v>
      </c>
      <c r="C11675" s="32" t="s">
        <v>2352</v>
      </c>
      <c r="D11675" s="150"/>
      <c r="E11675" s="150"/>
      <c r="F11675" s="75"/>
      <c r="G11675" s="67"/>
      <c r="H11675" s="68"/>
      <c r="I11675" s="76"/>
      <c r="J11675" s="67"/>
      <c r="K11675" s="1"/>
      <c r="L11675" s="1083"/>
      <c r="M11675" s="79"/>
      <c r="N11675" s="611">
        <v>42165.0</v>
      </c>
      <c r="O11675" s="1061" t="s">
        <v>2351</v>
      </c>
      <c r="P11675" s="839" t="s">
        <v>2352</v>
      </c>
      <c r="Q11675" s="839"/>
      <c r="R11675" s="849" t="s">
        <v>2333</v>
      </c>
      <c r="S11675" s="1142"/>
      <c r="T11675" s="862">
        <v>2.0960159362549797</v>
      </c>
      <c r="U11675" s="843"/>
      <c r="V11675" s="844">
        <v>77.71</v>
      </c>
      <c r="W11675" s="846"/>
      <c r="X11675" s="846"/>
      <c r="Y11675" s="846"/>
      <c r="Z11675" s="846"/>
      <c r="AA11675" s="846"/>
      <c r="AB11675" s="846"/>
      <c r="AC11675" s="839"/>
      <c r="AD11675" s="839"/>
      <c r="AE11675" s="839"/>
      <c r="AF11675" s="839"/>
      <c r="AG11675" s="839"/>
      <c r="AH11675" s="839" t="s">
        <v>2353</v>
      </c>
    </row>
    <row r="11676" ht="12.75" customHeight="1">
      <c r="A11676" s="122">
        <v>43750.0</v>
      </c>
      <c r="B11676" s="1020" t="s">
        <v>4014</v>
      </c>
      <c r="C11676" s="32" t="s">
        <v>681</v>
      </c>
      <c r="D11676" s="150"/>
      <c r="E11676" s="150"/>
      <c r="F11676" s="75"/>
      <c r="G11676" s="67"/>
      <c r="H11676" s="68"/>
      <c r="I11676" s="76"/>
      <c r="J11676" s="67"/>
      <c r="K11676" s="1"/>
      <c r="L11676" s="1083"/>
      <c r="M11676" s="79"/>
      <c r="N11676" s="574">
        <v>41177.0</v>
      </c>
      <c r="O11676" s="1132" t="s">
        <v>2354</v>
      </c>
      <c r="P11676" s="1133" t="s">
        <v>681</v>
      </c>
      <c r="Q11676" s="1134"/>
      <c r="R11676" s="1135" t="s">
        <v>2333</v>
      </c>
      <c r="S11676" s="1136"/>
      <c r="T11676" s="1153">
        <v>-0.9838449111470113</v>
      </c>
      <c r="U11676" s="1138"/>
      <c r="V11676" s="1137">
        <v>20.0</v>
      </c>
      <c r="W11676" s="1139">
        <v>0.0</v>
      </c>
      <c r="X11676" s="1140"/>
      <c r="Y11676" s="1140"/>
      <c r="Z11676" s="1140"/>
      <c r="AA11676" s="1140"/>
      <c r="AB11676" s="1140"/>
      <c r="AC11676" s="1133"/>
      <c r="AD11676" s="1133"/>
      <c r="AE11676" s="1133"/>
      <c r="AF11676" s="1133"/>
      <c r="AG11676" s="1133"/>
      <c r="AH11676" s="1152" t="s">
        <v>2355</v>
      </c>
    </row>
    <row r="11677" ht="12.75" customHeight="1">
      <c r="A11677" s="122">
        <v>43750.0</v>
      </c>
      <c r="B11677" s="1020" t="s">
        <v>4014</v>
      </c>
      <c r="C11677" s="32" t="s">
        <v>1220</v>
      </c>
      <c r="D11677" s="150"/>
      <c r="E11677" s="150"/>
      <c r="F11677" s="75"/>
      <c r="G11677" s="67"/>
      <c r="H11677" s="68"/>
      <c r="I11677" s="76"/>
      <c r="J11677" s="67"/>
      <c r="K11677" s="1"/>
      <c r="L11677" s="1083"/>
      <c r="M11677" s="79"/>
      <c r="N11677" s="703">
        <v>41076.0</v>
      </c>
      <c r="O11677" s="826" t="s">
        <v>2356</v>
      </c>
      <c r="P11677" s="826" t="s">
        <v>1220</v>
      </c>
      <c r="Q11677" s="1126"/>
      <c r="R11677" s="1127" t="s">
        <v>2333</v>
      </c>
      <c r="S11677" s="1128"/>
      <c r="T11677" s="828" t="e">
        <v>#N/A</v>
      </c>
      <c r="U11677" s="830"/>
      <c r="V11677" s="1154">
        <v>81.8064</v>
      </c>
      <c r="W11677" s="1155">
        <v>0.0</v>
      </c>
      <c r="X11677" s="833"/>
      <c r="Y11677" s="833"/>
      <c r="Z11677" s="833"/>
      <c r="AA11677" s="833"/>
      <c r="AB11677" s="833"/>
      <c r="AC11677" s="826"/>
      <c r="AD11677" s="826"/>
      <c r="AE11677" s="826"/>
      <c r="AF11677" s="826"/>
      <c r="AG11677" s="826"/>
      <c r="AH11677" s="1156" t="s">
        <v>2359</v>
      </c>
    </row>
    <row r="11678" ht="12.75" customHeight="1">
      <c r="A11678" s="122">
        <v>43750.0</v>
      </c>
      <c r="B11678" s="1020" t="s">
        <v>4014</v>
      </c>
      <c r="C11678" s="32" t="s">
        <v>2361</v>
      </c>
      <c r="D11678" s="150"/>
      <c r="E11678" s="150"/>
      <c r="F11678" s="75"/>
      <c r="G11678" s="67"/>
      <c r="H11678" s="68"/>
      <c r="I11678" s="76"/>
      <c r="J11678" s="67"/>
      <c r="K11678" s="1"/>
      <c r="L11678" s="1083"/>
      <c r="M11678" s="79"/>
      <c r="N11678" s="611">
        <v>42119.0</v>
      </c>
      <c r="O11678" s="1061" t="s">
        <v>2360</v>
      </c>
      <c r="P11678" s="839" t="s">
        <v>2361</v>
      </c>
      <c r="Q11678" s="839"/>
      <c r="R11678" s="849" t="s">
        <v>2333</v>
      </c>
      <c r="S11678" s="1142"/>
      <c r="T11678" s="862">
        <v>13.309505106048704</v>
      </c>
      <c r="U11678" s="843"/>
      <c r="V11678" s="844">
        <v>182.16</v>
      </c>
      <c r="W11678" s="846"/>
      <c r="X11678" s="846"/>
      <c r="Y11678" s="846"/>
      <c r="Z11678" s="846"/>
      <c r="AA11678" s="846"/>
      <c r="AB11678" s="846"/>
      <c r="AC11678" s="839"/>
      <c r="AD11678" s="839"/>
      <c r="AE11678" s="839"/>
      <c r="AF11678" s="839"/>
      <c r="AG11678" s="839"/>
      <c r="AH11678" s="839" t="s">
        <v>2362</v>
      </c>
    </row>
    <row r="11679" ht="12.75" customHeight="1">
      <c r="A11679" s="122">
        <v>43750.0</v>
      </c>
      <c r="B11679" s="1020" t="s">
        <v>4014</v>
      </c>
      <c r="C11679" s="32" t="s">
        <v>1077</v>
      </c>
      <c r="D11679" s="150"/>
      <c r="E11679" s="150"/>
      <c r="F11679" s="75"/>
      <c r="G11679" s="67"/>
      <c r="H11679" s="68"/>
      <c r="I11679" s="76"/>
      <c r="J11679" s="67"/>
      <c r="K11679" s="1"/>
      <c r="L11679" s="1083"/>
      <c r="M11679" s="79"/>
      <c r="N11679" s="549">
        <v>41424.0</v>
      </c>
      <c r="O11679" s="1157" t="s">
        <v>2363</v>
      </c>
      <c r="P11679" s="1157" t="s">
        <v>1077</v>
      </c>
      <c r="Q11679" s="1158"/>
      <c r="R11679" s="1159" t="s">
        <v>2333</v>
      </c>
      <c r="S11679" s="1160"/>
      <c r="T11679" s="1161">
        <v>-0.7448979591836735</v>
      </c>
      <c r="U11679" s="1162"/>
      <c r="V11679" s="1163">
        <v>5.0</v>
      </c>
      <c r="W11679" s="1164">
        <v>0.0</v>
      </c>
      <c r="X11679" s="1165"/>
      <c r="Y11679" s="1165"/>
      <c r="Z11679" s="1165"/>
      <c r="AA11679" s="1165"/>
      <c r="AB11679" s="1165"/>
      <c r="AC11679" s="1157"/>
      <c r="AD11679" s="1157"/>
      <c r="AE11679" s="1157"/>
      <c r="AF11679" s="1157"/>
      <c r="AG11679" s="1157"/>
      <c r="AH11679" s="1104" t="s">
        <v>2364</v>
      </c>
    </row>
    <row r="11680" ht="12.75" customHeight="1">
      <c r="A11680" s="122">
        <v>43750.0</v>
      </c>
      <c r="B11680" s="1020" t="s">
        <v>4014</v>
      </c>
      <c r="C11680" s="32" t="s">
        <v>751</v>
      </c>
      <c r="D11680" s="150"/>
      <c r="E11680" s="150"/>
      <c r="F11680" s="75"/>
      <c r="G11680" s="67"/>
      <c r="H11680" s="68"/>
      <c r="I11680" s="76"/>
      <c r="J11680" s="67"/>
      <c r="K11680" s="1"/>
      <c r="L11680" s="1083"/>
      <c r="M11680" s="79"/>
      <c r="N11680" s="574">
        <v>41212.0</v>
      </c>
      <c r="O11680" s="1132" t="s">
        <v>2365</v>
      </c>
      <c r="P11680" s="1133" t="s">
        <v>751</v>
      </c>
      <c r="Q11680" s="1133"/>
      <c r="R11680" s="1135" t="s">
        <v>2333</v>
      </c>
      <c r="S11680" s="1136"/>
      <c r="T11680" s="1166" t="e">
        <v>#N/A</v>
      </c>
      <c r="U11680" s="1138"/>
      <c r="V11680" s="1137">
        <v>38.4</v>
      </c>
      <c r="W11680" s="1139">
        <v>0.0</v>
      </c>
      <c r="X11680" s="1140"/>
      <c r="Y11680" s="1140"/>
      <c r="Z11680" s="1140"/>
      <c r="AA11680" s="1140"/>
      <c r="AB11680" s="1140"/>
      <c r="AC11680" s="1167"/>
      <c r="AD11680" s="1167"/>
      <c r="AE11680" s="1167"/>
      <c r="AF11680" s="1167"/>
      <c r="AG11680" s="1167"/>
      <c r="AH11680" s="1152" t="s">
        <v>2366</v>
      </c>
    </row>
    <row r="11681" ht="12.75" customHeight="1">
      <c r="A11681" s="122">
        <v>43750.0</v>
      </c>
      <c r="B11681" s="1020" t="s">
        <v>4014</v>
      </c>
      <c r="C11681" s="32" t="s">
        <v>2368</v>
      </c>
      <c r="D11681" s="150"/>
      <c r="E11681" s="150"/>
      <c r="F11681" s="75"/>
      <c r="G11681" s="67"/>
      <c r="H11681" s="68"/>
      <c r="I11681" s="76"/>
      <c r="J11681" s="67"/>
      <c r="K11681" s="1"/>
      <c r="L11681" s="1083"/>
      <c r="M11681" s="79"/>
      <c r="N11681" s="574">
        <v>41543.0</v>
      </c>
      <c r="O11681" s="1132" t="s">
        <v>2367</v>
      </c>
      <c r="P11681" s="1133" t="s">
        <v>2368</v>
      </c>
      <c r="Q11681" s="1133"/>
      <c r="R11681" s="1135" t="s">
        <v>2333</v>
      </c>
      <c r="S11681" s="1136"/>
      <c r="T11681" s="1135" t="s">
        <v>2333</v>
      </c>
      <c r="U11681" s="1138"/>
      <c r="V11681" s="1138"/>
      <c r="W11681" s="1139">
        <v>0.0</v>
      </c>
      <c r="X11681" s="1140"/>
      <c r="Y11681" s="1140"/>
      <c r="Z11681" s="1140"/>
      <c r="AA11681" s="1140"/>
      <c r="AB11681" s="1140"/>
      <c r="AC11681" s="1133"/>
      <c r="AD11681" s="1133"/>
      <c r="AE11681" s="1133"/>
      <c r="AF11681" s="1133"/>
      <c r="AG11681" s="1133"/>
      <c r="AH11681" s="1133" t="s">
        <v>2369</v>
      </c>
    </row>
    <row r="11682" ht="12.75" customHeight="1">
      <c r="A11682" s="122">
        <v>43750.0</v>
      </c>
      <c r="B11682" s="1020" t="s">
        <v>4014</v>
      </c>
      <c r="C11682" s="32" t="s">
        <v>2371</v>
      </c>
      <c r="D11682" s="150"/>
      <c r="E11682" s="150"/>
      <c r="F11682" s="75"/>
      <c r="G11682" s="67"/>
      <c r="H11682" s="68"/>
      <c r="I11682" s="76"/>
      <c r="J11682" s="67"/>
      <c r="K11682" s="1"/>
      <c r="L11682" s="1083"/>
      <c r="M11682" s="79"/>
      <c r="N11682" s="659">
        <v>40432.0</v>
      </c>
      <c r="O11682" s="1095" t="s">
        <v>2370</v>
      </c>
      <c r="P11682" s="1096" t="s">
        <v>2371</v>
      </c>
      <c r="Q11682" s="1096"/>
      <c r="R11682" s="1145" t="s">
        <v>2333</v>
      </c>
      <c r="S11682" s="1097"/>
      <c r="T11682" s="1145" t="s">
        <v>2333</v>
      </c>
      <c r="U11682" s="1100">
        <v>23.0</v>
      </c>
      <c r="V11682" s="1099"/>
      <c r="W11682" s="1101">
        <v>0.0</v>
      </c>
      <c r="X11682" s="1102"/>
      <c r="Y11682" s="1102"/>
      <c r="Z11682" s="1102"/>
      <c r="AA11682" s="1102"/>
      <c r="AB11682" s="1102"/>
      <c r="AC11682" s="1096"/>
      <c r="AD11682" s="1096"/>
      <c r="AE11682" s="1096"/>
      <c r="AF11682" s="1096"/>
      <c r="AG11682" s="1096"/>
      <c r="AH11682" s="1096" t="s">
        <v>2372</v>
      </c>
    </row>
    <row r="11683" ht="12.75" customHeight="1">
      <c r="A11683" s="122">
        <v>43750.0</v>
      </c>
      <c r="B11683" s="1020" t="s">
        <v>4014</v>
      </c>
      <c r="C11683" s="32" t="s">
        <v>2374</v>
      </c>
      <c r="D11683" s="150"/>
      <c r="E11683" s="150"/>
      <c r="F11683" s="75"/>
      <c r="G11683" s="67"/>
      <c r="H11683" s="68"/>
      <c r="I11683" s="76"/>
      <c r="J11683" s="67"/>
      <c r="K11683" s="1"/>
      <c r="L11683" s="1083"/>
      <c r="M11683" s="79"/>
      <c r="N11683" s="574">
        <v>41385.0</v>
      </c>
      <c r="O11683" s="1132" t="s">
        <v>2373</v>
      </c>
      <c r="P11683" s="1133" t="s">
        <v>2374</v>
      </c>
      <c r="Q11683" s="1133"/>
      <c r="R11683" s="1135" t="s">
        <v>2333</v>
      </c>
      <c r="S11683" s="1136"/>
      <c r="T11683" s="1135" t="s">
        <v>2333</v>
      </c>
      <c r="U11683" s="1138"/>
      <c r="V11683" s="1138"/>
      <c r="W11683" s="1139">
        <v>0.0</v>
      </c>
      <c r="X11683" s="1140"/>
      <c r="Y11683" s="1140"/>
      <c r="Z11683" s="1140"/>
      <c r="AA11683" s="1140"/>
      <c r="AB11683" s="1140"/>
      <c r="AC11683" s="1133"/>
      <c r="AD11683" s="1133"/>
      <c r="AE11683" s="1133"/>
      <c r="AF11683" s="1133"/>
      <c r="AG11683" s="1133"/>
      <c r="AH11683" s="1133" t="s">
        <v>2375</v>
      </c>
    </row>
    <row r="11684" ht="12.75" customHeight="1">
      <c r="A11684" s="122">
        <v>43750.0</v>
      </c>
      <c r="B11684" s="1020" t="s">
        <v>4014</v>
      </c>
      <c r="C11684" s="32" t="s">
        <v>2212</v>
      </c>
      <c r="D11684" s="150"/>
      <c r="E11684" s="150"/>
      <c r="F11684" s="75"/>
      <c r="G11684" s="67"/>
      <c r="H11684" s="68"/>
      <c r="I11684" s="76"/>
      <c r="J11684" s="67"/>
      <c r="K11684" s="1"/>
      <c r="L11684" s="1083"/>
      <c r="M11684" s="79"/>
      <c r="N11684" s="611">
        <v>42045.0</v>
      </c>
      <c r="O11684" s="1061" t="s">
        <v>2376</v>
      </c>
      <c r="P11684" s="839" t="s">
        <v>2212</v>
      </c>
      <c r="Q11684" s="840">
        <v>39.0</v>
      </c>
      <c r="R11684" s="841" t="e">
        <v>#N/A</v>
      </c>
      <c r="S11684" s="1142"/>
      <c r="T11684" s="841" t="e">
        <v>#N/A</v>
      </c>
      <c r="U11684" s="843"/>
      <c r="V11684" s="844">
        <v>43.0</v>
      </c>
      <c r="W11684" s="846"/>
      <c r="X11684" s="846"/>
      <c r="Y11684" s="846"/>
      <c r="Z11684" s="846"/>
      <c r="AA11684" s="846"/>
      <c r="AB11684" s="846"/>
      <c r="AC11684" s="839"/>
      <c r="AD11684" s="839"/>
      <c r="AE11684" s="839"/>
      <c r="AF11684" s="839"/>
      <c r="AG11684" s="839"/>
      <c r="AH11684" s="847"/>
    </row>
    <row r="11685" ht="12.75" customHeight="1">
      <c r="A11685" s="122">
        <v>43750.0</v>
      </c>
      <c r="B11685" s="1020" t="s">
        <v>4014</v>
      </c>
      <c r="C11685" s="32" t="s">
        <v>2379</v>
      </c>
      <c r="D11685" s="150"/>
      <c r="E11685" s="150"/>
      <c r="F11685" s="75"/>
      <c r="G11685" s="67"/>
      <c r="H11685" s="68"/>
      <c r="I11685" s="76"/>
      <c r="J11685" s="67"/>
      <c r="K11685" s="1"/>
      <c r="L11685" s="1083"/>
      <c r="M11685" s="79"/>
      <c r="N11685" s="585">
        <v>41331.0</v>
      </c>
      <c r="O11685" s="1061" t="s">
        <v>2378</v>
      </c>
      <c r="P11685" s="839" t="s">
        <v>2379</v>
      </c>
      <c r="Q11685" s="1141"/>
      <c r="R11685" s="849" t="s">
        <v>2333</v>
      </c>
      <c r="S11685" s="1142"/>
      <c r="T11685" s="841" t="e">
        <v>#N/A</v>
      </c>
      <c r="U11685" s="843"/>
      <c r="V11685" s="844">
        <v>33.25</v>
      </c>
      <c r="W11685" s="1143">
        <v>0.0</v>
      </c>
      <c r="X11685" s="846"/>
      <c r="Y11685" s="846"/>
      <c r="Z11685" s="846"/>
      <c r="AA11685" s="846"/>
      <c r="AB11685" s="846"/>
      <c r="AC11685" s="839"/>
      <c r="AD11685" s="839"/>
      <c r="AE11685" s="839"/>
      <c r="AF11685" s="839"/>
      <c r="AG11685" s="839"/>
      <c r="AH11685" s="847" t="s">
        <v>2380</v>
      </c>
    </row>
    <row r="11686" ht="12.75" customHeight="1">
      <c r="A11686" s="122">
        <v>43750.0</v>
      </c>
      <c r="B11686" s="1020" t="s">
        <v>4014</v>
      </c>
      <c r="C11686" s="32" t="s">
        <v>2382</v>
      </c>
      <c r="D11686" s="150"/>
      <c r="E11686" s="150"/>
      <c r="F11686" s="75"/>
      <c r="G11686" s="67"/>
      <c r="H11686" s="68"/>
      <c r="I11686" s="76"/>
      <c r="J11686" s="67"/>
      <c r="K11686" s="1"/>
      <c r="L11686" s="1083"/>
      <c r="M11686" s="79"/>
      <c r="N11686" s="659">
        <v>40406.0</v>
      </c>
      <c r="O11686" s="1095" t="s">
        <v>2381</v>
      </c>
      <c r="P11686" s="1096" t="s">
        <v>2382</v>
      </c>
      <c r="Q11686" s="1144"/>
      <c r="R11686" s="1145" t="s">
        <v>2333</v>
      </c>
      <c r="S11686" s="1097"/>
      <c r="T11686" s="1145" t="s">
        <v>2333</v>
      </c>
      <c r="U11686" s="1100">
        <v>50.0</v>
      </c>
      <c r="V11686" s="1099"/>
      <c r="W11686" s="1168"/>
      <c r="X11686" s="1168"/>
      <c r="Y11686" s="1102"/>
      <c r="Z11686" s="1169">
        <v>-118.69451981950786</v>
      </c>
      <c r="AA11686" s="1168">
        <v>0.0</v>
      </c>
      <c r="AB11686" s="1170">
        <v>0.0</v>
      </c>
      <c r="AC11686" s="1103"/>
      <c r="AD11686" s="1103"/>
      <c r="AE11686" s="1103"/>
      <c r="AF11686" s="1103"/>
      <c r="AG11686" s="1103"/>
      <c r="AH11686" s="1096"/>
    </row>
    <row r="11687" ht="12.75" customHeight="1">
      <c r="A11687" s="122">
        <v>43750.0</v>
      </c>
      <c r="B11687" s="1020" t="s">
        <v>4014</v>
      </c>
      <c r="C11687" s="32" t="s">
        <v>2385</v>
      </c>
      <c r="D11687" s="150"/>
      <c r="E11687" s="150"/>
      <c r="F11687" s="75"/>
      <c r="G11687" s="67"/>
      <c r="H11687" s="68"/>
      <c r="I11687" s="76"/>
      <c r="J11687" s="67"/>
      <c r="K11687" s="1"/>
      <c r="L11687" s="1083"/>
      <c r="M11687" s="79"/>
      <c r="N11687" s="611">
        <v>42040.0</v>
      </c>
      <c r="O11687" s="1061" t="s">
        <v>2384</v>
      </c>
      <c r="P11687" s="839" t="s">
        <v>2385</v>
      </c>
      <c r="Q11687" s="840">
        <v>45.0</v>
      </c>
      <c r="R11687" s="862">
        <v>899.0</v>
      </c>
      <c r="S11687" s="1142"/>
      <c r="T11687" s="862">
        <v>1619.0</v>
      </c>
      <c r="U11687" s="843"/>
      <c r="V11687" s="844">
        <v>81.0</v>
      </c>
      <c r="W11687" s="845"/>
      <c r="X11687" s="845"/>
      <c r="Y11687" s="846"/>
      <c r="Z11687" s="842">
        <v>-118.69451981953956</v>
      </c>
      <c r="AA11687" s="845">
        <v>0.0</v>
      </c>
      <c r="AB11687" s="846"/>
      <c r="AC11687" s="847"/>
      <c r="AD11687" s="847"/>
      <c r="AE11687" s="847"/>
      <c r="AF11687" s="847"/>
      <c r="AG11687" s="847"/>
      <c r="AH11687" s="847" t="s">
        <v>2386</v>
      </c>
    </row>
    <row r="11688" ht="12.75" customHeight="1">
      <c r="A11688" s="122">
        <v>43750.0</v>
      </c>
      <c r="B11688" s="1020" t="s">
        <v>4014</v>
      </c>
      <c r="C11688" s="32" t="s">
        <v>1394</v>
      </c>
      <c r="D11688" s="150"/>
      <c r="E11688" s="150"/>
      <c r="F11688" s="75"/>
      <c r="G11688" s="67"/>
      <c r="H11688" s="68"/>
      <c r="I11688" s="76"/>
      <c r="J11688" s="67"/>
      <c r="K11688" s="1"/>
      <c r="L11688" s="1083"/>
      <c r="M11688" s="79"/>
      <c r="N11688" s="787">
        <v>41296.0</v>
      </c>
      <c r="O11688" s="1061" t="s">
        <v>1393</v>
      </c>
      <c r="P11688" s="839" t="s">
        <v>1394</v>
      </c>
      <c r="Q11688" s="1141"/>
      <c r="R11688" s="849" t="s">
        <v>2333</v>
      </c>
      <c r="S11688" s="1142"/>
      <c r="T11688" s="862">
        <v>-0.3813073844463626</v>
      </c>
      <c r="U11688" s="843"/>
      <c r="V11688" s="844">
        <v>394.20000000000005</v>
      </c>
      <c r="W11688" s="1065">
        <v>19.71</v>
      </c>
      <c r="X11688" s="1065">
        <v>19.71</v>
      </c>
      <c r="Y11688" s="1171">
        <v>43465.0</v>
      </c>
      <c r="Z11688" s="842">
        <v>0.38491497983257383</v>
      </c>
      <c r="AA11688" s="1065">
        <v>19.71</v>
      </c>
      <c r="AB11688" s="841">
        <v>0.05</v>
      </c>
      <c r="AC11688" s="1172"/>
      <c r="AD11688" s="1172"/>
      <c r="AE11688" s="1172"/>
      <c r="AF11688" s="1172">
        <v>43324.0</v>
      </c>
      <c r="AG11688" s="1172" t="s">
        <v>1223</v>
      </c>
      <c r="AH11688" s="1173" t="s">
        <v>1395</v>
      </c>
    </row>
    <row r="11689" ht="12.75" customHeight="1">
      <c r="A11689" s="122">
        <v>43750.0</v>
      </c>
      <c r="B11689" s="1020" t="s">
        <v>4014</v>
      </c>
      <c r="C11689" s="32" t="s">
        <v>1177</v>
      </c>
      <c r="D11689" s="150"/>
      <c r="E11689" s="150"/>
      <c r="F11689" s="75"/>
      <c r="G11689" s="67"/>
      <c r="H11689" s="68"/>
      <c r="I11689" s="76"/>
      <c r="J11689" s="67"/>
      <c r="K11689" s="1"/>
      <c r="L11689" s="1083"/>
      <c r="M11689" s="79"/>
      <c r="N11689" s="787">
        <v>40424.0</v>
      </c>
      <c r="O11689" s="1061" t="s">
        <v>1476</v>
      </c>
      <c r="P11689" s="839" t="s">
        <v>1177</v>
      </c>
      <c r="Q11689" s="1174">
        <v>1500.0</v>
      </c>
      <c r="R11689" s="862">
        <v>-0.20955281768072265</v>
      </c>
      <c r="S11689" s="863">
        <v>1897.66</v>
      </c>
      <c r="T11689" s="862">
        <v>0.36443383860088585</v>
      </c>
      <c r="U11689" s="844">
        <v>200.0</v>
      </c>
      <c r="V11689" s="844">
        <v>2589.231518159357</v>
      </c>
      <c r="W11689" s="1065">
        <v>88.83</v>
      </c>
      <c r="X11689" s="1065">
        <v>100.32</v>
      </c>
      <c r="Y11689" s="1171">
        <v>43465.0</v>
      </c>
      <c r="Z11689" s="842">
        <v>0.3849030778475412</v>
      </c>
      <c r="AA11689" s="1065">
        <v>95.89746363553175</v>
      </c>
      <c r="AB11689" s="841">
        <v>0.12</v>
      </c>
      <c r="AC11689" s="1172"/>
      <c r="AD11689" s="1172"/>
      <c r="AE11689" s="1172"/>
      <c r="AF11689" s="1172">
        <v>43324.0</v>
      </c>
      <c r="AG11689" s="1175" t="s">
        <v>1240</v>
      </c>
      <c r="AH11689" s="1156" t="s">
        <v>2389</v>
      </c>
    </row>
    <row r="11690" ht="12.75" customHeight="1">
      <c r="A11690" s="122">
        <v>43750.0</v>
      </c>
      <c r="B11690" s="1020" t="s">
        <v>4014</v>
      </c>
      <c r="C11690" s="32" t="s">
        <v>381</v>
      </c>
      <c r="D11690" s="150"/>
      <c r="E11690" s="150"/>
      <c r="F11690" s="75"/>
      <c r="G11690" s="67"/>
      <c r="H11690" s="68"/>
      <c r="I11690" s="76"/>
      <c r="J11690" s="67"/>
      <c r="K11690" s="1"/>
      <c r="L11690" s="1083"/>
      <c r="M11690" s="79"/>
      <c r="N11690" s="611">
        <v>42688.0</v>
      </c>
      <c r="O11690" s="1061" t="s">
        <v>2125</v>
      </c>
      <c r="P11690" s="839" t="s">
        <v>381</v>
      </c>
      <c r="Q11690" s="840">
        <v>150.0</v>
      </c>
      <c r="R11690" s="862">
        <v>-0.1678686341950516</v>
      </c>
      <c r="S11690" s="863">
        <v>180.26</v>
      </c>
      <c r="T11690" s="862">
        <v>0.2957707982178983</v>
      </c>
      <c r="U11690" s="843"/>
      <c r="V11690" s="844">
        <v>233.57564408675833</v>
      </c>
      <c r="W11690" s="1065">
        <v>7.14</v>
      </c>
      <c r="X11690" s="1065">
        <v>8.19</v>
      </c>
      <c r="Y11690" s="1171">
        <v>43465.0</v>
      </c>
      <c r="Z11690" s="842">
        <v>0.38490018772195755</v>
      </c>
      <c r="AA11690" s="845">
        <v>7.7858548028919445</v>
      </c>
      <c r="AB11690" s="841">
        <v>0.15</v>
      </c>
      <c r="AC11690" s="1172"/>
      <c r="AD11690" s="1172"/>
      <c r="AE11690" s="1172"/>
      <c r="AF11690" s="1172">
        <v>43324.0</v>
      </c>
      <c r="AG11690" s="1175" t="s">
        <v>1240</v>
      </c>
      <c r="AH11690" s="839" t="s">
        <v>2390</v>
      </c>
    </row>
    <row r="11691" ht="12.75" customHeight="1">
      <c r="A11691" s="122">
        <v>43750.0</v>
      </c>
      <c r="B11691" s="1020" t="s">
        <v>4014</v>
      </c>
      <c r="C11691" s="32" t="s">
        <v>1402</v>
      </c>
      <c r="D11691" s="150"/>
      <c r="E11691" s="150"/>
      <c r="F11691" s="75"/>
      <c r="G11691" s="67"/>
      <c r="H11691" s="68"/>
      <c r="I11691" s="76"/>
      <c r="J11691" s="67"/>
      <c r="K11691" s="1"/>
      <c r="L11691" s="1083"/>
      <c r="M11691" s="79"/>
      <c r="N11691" s="703">
        <v>41655.0</v>
      </c>
      <c r="O11691" s="826" t="s">
        <v>1811</v>
      </c>
      <c r="P11691" s="826" t="s">
        <v>1402</v>
      </c>
      <c r="Q11691" s="1176">
        <v>83.0</v>
      </c>
      <c r="R11691" s="1177">
        <v>-0.1727299910296023</v>
      </c>
      <c r="S11691" s="1178">
        <v>100.33</v>
      </c>
      <c r="T11691" s="1177">
        <v>0.12702573373074277</v>
      </c>
      <c r="U11691" s="830"/>
      <c r="V11691" s="1154">
        <v>113.07449186520543</v>
      </c>
      <c r="W11691" s="1179">
        <v>4.49</v>
      </c>
      <c r="X11691" s="1179">
        <v>4.85</v>
      </c>
      <c r="Y11691" s="1180">
        <v>43465.0</v>
      </c>
      <c r="Z11691" s="829">
        <v>0.3848967748604817</v>
      </c>
      <c r="AA11691" s="1179">
        <v>4.711437161050227</v>
      </c>
      <c r="AB11691" s="828">
        <v>0.09</v>
      </c>
      <c r="AC11691" s="1181"/>
      <c r="AD11691" s="1181"/>
      <c r="AE11691" s="1181"/>
      <c r="AF11691" s="1181">
        <v>43324.0</v>
      </c>
      <c r="AG11691" s="1182" t="s">
        <v>1223</v>
      </c>
      <c r="AH11691" s="826" t="s">
        <v>2392</v>
      </c>
    </row>
    <row r="11692" ht="12.75" customHeight="1">
      <c r="A11692" s="122">
        <v>43750.0</v>
      </c>
      <c r="B11692" s="1020" t="s">
        <v>4014</v>
      </c>
      <c r="C11692" s="32" t="s">
        <v>1088</v>
      </c>
      <c r="D11692" s="150"/>
      <c r="E11692" s="150"/>
      <c r="F11692" s="75"/>
      <c r="G11692" s="67"/>
      <c r="H11692" s="68"/>
      <c r="I11692" s="76"/>
      <c r="J11692" s="67"/>
      <c r="K11692" s="1"/>
      <c r="L11692" s="1083"/>
      <c r="M11692" s="79"/>
      <c r="N11692" s="611">
        <v>42215.0</v>
      </c>
      <c r="O11692" s="1061" t="s">
        <v>1088</v>
      </c>
      <c r="P11692" s="839" t="s">
        <v>1088</v>
      </c>
      <c r="Q11692" s="840">
        <v>2600.0</v>
      </c>
      <c r="R11692" s="862">
        <v>-0.04533554619657998</v>
      </c>
      <c r="S11692" s="863">
        <v>2723.47</v>
      </c>
      <c r="T11692" s="862">
        <v>0.9072640283968416</v>
      </c>
      <c r="U11692" s="843"/>
      <c r="V11692" s="844">
        <v>5194.376363417946</v>
      </c>
      <c r="W11692" s="1065">
        <v>196.74</v>
      </c>
      <c r="X11692" s="1065">
        <v>214.68</v>
      </c>
      <c r="Y11692" s="1171">
        <v>43465.0</v>
      </c>
      <c r="Z11692" s="842">
        <v>0.38489105146500274</v>
      </c>
      <c r="AA11692" s="845">
        <v>207.77505453671785</v>
      </c>
      <c r="AB11692" s="841">
        <v>0.1</v>
      </c>
      <c r="AC11692" s="1172"/>
      <c r="AD11692" s="1172"/>
      <c r="AE11692" s="1172"/>
      <c r="AF11692" s="1172">
        <v>43324.0</v>
      </c>
      <c r="AG11692" s="1175" t="s">
        <v>1223</v>
      </c>
      <c r="AH11692" s="1183" t="s">
        <v>2393</v>
      </c>
    </row>
    <row r="11693" ht="12.75" customHeight="1">
      <c r="A11693" s="122">
        <v>43750.0</v>
      </c>
      <c r="B11693" s="1020" t="s">
        <v>4014</v>
      </c>
      <c r="C11693" s="32" t="s">
        <v>2395</v>
      </c>
      <c r="D11693" s="150"/>
      <c r="E11693" s="150"/>
      <c r="F11693" s="75"/>
      <c r="G11693" s="67"/>
      <c r="H11693" s="68"/>
      <c r="I11693" s="76"/>
      <c r="J11693" s="67"/>
      <c r="K11693" s="1"/>
      <c r="L11693" s="1083"/>
      <c r="M11693" s="79"/>
      <c r="N11693" s="611">
        <v>42783.0</v>
      </c>
      <c r="O11693" s="1061" t="s">
        <v>2394</v>
      </c>
      <c r="P11693" s="839" t="s">
        <v>2395</v>
      </c>
      <c r="Q11693" s="1174">
        <v>35.0</v>
      </c>
      <c r="R11693" s="862">
        <v>-0.38757655293088367</v>
      </c>
      <c r="S11693" s="863">
        <v>57.15</v>
      </c>
      <c r="T11693" s="862">
        <v>-0.6905056019989155</v>
      </c>
      <c r="U11693" s="843"/>
      <c r="V11693" s="844">
        <v>17.687604845761975</v>
      </c>
      <c r="W11693" s="1065">
        <v>0.35</v>
      </c>
      <c r="X11693" s="1065">
        <v>0.42</v>
      </c>
      <c r="Y11693" s="1171">
        <v>43465.0</v>
      </c>
      <c r="Z11693" s="842">
        <v>0.3848873505517537</v>
      </c>
      <c r="AA11693" s="845">
        <v>0.3930578854613772</v>
      </c>
      <c r="AB11693" s="841">
        <v>0.3</v>
      </c>
      <c r="AC11693" s="1172"/>
      <c r="AD11693" s="1172"/>
      <c r="AE11693" s="1172"/>
      <c r="AF11693" s="1172">
        <v>43324.0</v>
      </c>
      <c r="AG11693" s="1175" t="s">
        <v>1608</v>
      </c>
      <c r="AH11693" s="839"/>
    </row>
    <row r="11694" ht="12.75" customHeight="1">
      <c r="A11694" s="122">
        <v>43750.0</v>
      </c>
      <c r="B11694" s="1020" t="s">
        <v>4014</v>
      </c>
      <c r="C11694" s="32" t="s">
        <v>1035</v>
      </c>
      <c r="D11694" s="150"/>
      <c r="E11694" s="150"/>
      <c r="F11694" s="75"/>
      <c r="G11694" s="67"/>
      <c r="H11694" s="68"/>
      <c r="I11694" s="76"/>
      <c r="J11694" s="67"/>
      <c r="K11694" s="1"/>
      <c r="L11694" s="1083"/>
      <c r="M11694" s="79"/>
      <c r="N11694" s="585">
        <v>40472.0</v>
      </c>
      <c r="O11694" s="1061" t="s">
        <v>2396</v>
      </c>
      <c r="P11694" s="839" t="s">
        <v>1035</v>
      </c>
      <c r="Q11694" s="1174">
        <v>1100.0</v>
      </c>
      <c r="R11694" s="862">
        <v>-0.12176349889422045</v>
      </c>
      <c r="S11694" s="863">
        <v>1252.51</v>
      </c>
      <c r="T11694" s="862">
        <v>-0.021947981512811854</v>
      </c>
      <c r="U11694" s="844">
        <v>813.6</v>
      </c>
      <c r="V11694" s="844">
        <v>1225.019933675388</v>
      </c>
      <c r="W11694" s="1065">
        <v>40.69</v>
      </c>
      <c r="X11694" s="1065">
        <v>48.3</v>
      </c>
      <c r="Y11694" s="1171">
        <v>43465.0</v>
      </c>
      <c r="Z11694" s="842">
        <v>0.3848740269850193</v>
      </c>
      <c r="AA11694" s="845">
        <v>45.371108654644004</v>
      </c>
      <c r="AB11694" s="841">
        <v>0.12</v>
      </c>
      <c r="AC11694" s="1172"/>
      <c r="AD11694" s="1172"/>
      <c r="AE11694" s="1172"/>
      <c r="AF11694" s="1172">
        <v>43324.0</v>
      </c>
      <c r="AG11694" s="1175" t="s">
        <v>1240</v>
      </c>
      <c r="AH11694" s="1156" t="s">
        <v>2397</v>
      </c>
    </row>
    <row r="11695" ht="12.75" customHeight="1">
      <c r="A11695" s="122">
        <v>43750.0</v>
      </c>
      <c r="B11695" s="1020" t="s">
        <v>4014</v>
      </c>
      <c r="C11695" s="32" t="s">
        <v>1387</v>
      </c>
      <c r="D11695" s="150"/>
      <c r="E11695" s="150"/>
      <c r="F11695" s="75"/>
      <c r="G11695" s="67"/>
      <c r="H11695" s="68"/>
      <c r="I11695" s="76"/>
      <c r="J11695" s="67"/>
      <c r="K11695" s="1"/>
      <c r="L11695" s="1083"/>
      <c r="M11695" s="79"/>
      <c r="N11695" s="611">
        <v>43288.0</v>
      </c>
      <c r="O11695" s="1061" t="s">
        <v>2096</v>
      </c>
      <c r="P11695" s="839" t="s">
        <v>1387</v>
      </c>
      <c r="Q11695" s="839"/>
      <c r="R11695" s="849" t="s">
        <v>2333</v>
      </c>
      <c r="S11695" s="863">
        <v>45.19</v>
      </c>
      <c r="T11695" s="862">
        <v>-0.3420486468188362</v>
      </c>
      <c r="U11695" s="843"/>
      <c r="V11695" s="844">
        <v>29.732821650256792</v>
      </c>
      <c r="W11695" s="1065">
        <v>0.44</v>
      </c>
      <c r="X11695" s="1065">
        <v>0.69</v>
      </c>
      <c r="Y11695" s="1171">
        <v>43465.0</v>
      </c>
      <c r="Z11695" s="842">
        <v>0.38137426797945645</v>
      </c>
      <c r="AA11695" s="845">
        <v>0.5946564330051358</v>
      </c>
      <c r="AB11695" s="841">
        <v>0.35</v>
      </c>
      <c r="AC11695" s="1172"/>
      <c r="AD11695" s="1172"/>
      <c r="AE11695" s="1172"/>
      <c r="AF11695" s="1172">
        <v>43325.0</v>
      </c>
      <c r="AG11695" s="1175" t="s">
        <v>1608</v>
      </c>
      <c r="AH11695" s="1183" t="s">
        <v>2099</v>
      </c>
    </row>
    <row r="11696" ht="12.75" customHeight="1">
      <c r="A11696" s="122">
        <v>43750.0</v>
      </c>
      <c r="B11696" s="1020" t="s">
        <v>4014</v>
      </c>
      <c r="C11696" s="32" t="s">
        <v>1112</v>
      </c>
      <c r="D11696" s="150"/>
      <c r="E11696" s="150"/>
      <c r="F11696" s="75"/>
      <c r="G11696" s="67"/>
      <c r="H11696" s="68"/>
      <c r="I11696" s="76"/>
      <c r="J11696" s="67"/>
      <c r="K11696" s="1"/>
      <c r="L11696" s="1083"/>
      <c r="M11696" s="79"/>
      <c r="N11696" s="585">
        <v>40574.0</v>
      </c>
      <c r="O11696" s="1061" t="s">
        <v>2398</v>
      </c>
      <c r="P11696" s="839" t="s">
        <v>1112</v>
      </c>
      <c r="Q11696" s="1141"/>
      <c r="R11696" s="849" t="s">
        <v>2333</v>
      </c>
      <c r="S11696" s="1184"/>
      <c r="T11696" s="849"/>
      <c r="U11696" s="843"/>
      <c r="V11696" s="835">
        <v>84.375</v>
      </c>
      <c r="W11696" s="845"/>
      <c r="X11696" s="845"/>
      <c r="Y11696" s="846"/>
      <c r="Z11696" s="842">
        <v>-118.77089257917936</v>
      </c>
      <c r="AA11696" s="845">
        <v>0.0</v>
      </c>
      <c r="AB11696" s="846">
        <v>3.0</v>
      </c>
      <c r="AC11696" s="847"/>
      <c r="AD11696" s="847"/>
      <c r="AE11696" s="847"/>
      <c r="AF11696" s="847"/>
      <c r="AG11696" s="847"/>
      <c r="AH11696" s="839" t="s">
        <v>2399</v>
      </c>
    </row>
    <row r="11697" ht="12.75" customHeight="1">
      <c r="A11697" s="122">
        <v>43750.0</v>
      </c>
      <c r="B11697" s="1020" t="s">
        <v>4014</v>
      </c>
      <c r="C11697" s="32" t="s">
        <v>1455</v>
      </c>
      <c r="D11697" s="150"/>
      <c r="E11697" s="150"/>
      <c r="F11697" s="75"/>
      <c r="G11697" s="67"/>
      <c r="H11697" s="68"/>
      <c r="I11697" s="76"/>
      <c r="J11697" s="67"/>
      <c r="K11697" s="1"/>
      <c r="L11697" s="1083"/>
      <c r="M11697" s="79"/>
      <c r="N11697" s="703">
        <v>42074.0</v>
      </c>
      <c r="O11697" s="1185" t="s">
        <v>1454</v>
      </c>
      <c r="P11697" s="1185" t="s">
        <v>1455</v>
      </c>
      <c r="Q11697" s="1186">
        <v>15.0</v>
      </c>
      <c r="R11697" s="1177">
        <v>-0.2732558139534884</v>
      </c>
      <c r="S11697" s="1178">
        <v>20.64</v>
      </c>
      <c r="T11697" s="1177">
        <v>1.0622568348854147</v>
      </c>
      <c r="U11697" s="830"/>
      <c r="V11697" s="1154">
        <v>42.56498107203496</v>
      </c>
      <c r="W11697" s="1187">
        <v>3.46</v>
      </c>
      <c r="X11697" s="1187">
        <v>3.58</v>
      </c>
      <c r="Y11697" s="1188">
        <v>43465.0</v>
      </c>
      <c r="Z11697" s="829">
        <v>0.31125823338406416</v>
      </c>
      <c r="AA11697" s="1179">
        <v>3.5426490119939125</v>
      </c>
      <c r="AB11697" s="1189">
        <v>-0.03</v>
      </c>
      <c r="AC11697" s="1188"/>
      <c r="AD11697" s="1188"/>
      <c r="AE11697" s="1188"/>
      <c r="AF11697" s="1188">
        <v>43351.0</v>
      </c>
      <c r="AG11697" s="1190" t="s">
        <v>1223</v>
      </c>
      <c r="AH11697" s="1191" t="s">
        <v>2400</v>
      </c>
    </row>
    <row r="11698" ht="12.75" customHeight="1">
      <c r="A11698" s="122">
        <v>43750.0</v>
      </c>
      <c r="B11698" s="1020" t="s">
        <v>4014</v>
      </c>
      <c r="C11698" s="32" t="s">
        <v>1053</v>
      </c>
      <c r="D11698" s="150"/>
      <c r="E11698" s="150"/>
      <c r="F11698" s="75"/>
      <c r="G11698" s="67"/>
      <c r="H11698" s="68"/>
      <c r="I11698" s="76"/>
      <c r="J11698" s="67"/>
      <c r="K11698" s="1"/>
      <c r="L11698" s="1083"/>
      <c r="M11698" s="79"/>
      <c r="N11698" s="787">
        <v>42444.0</v>
      </c>
      <c r="O11698" s="1061" t="s">
        <v>1353</v>
      </c>
      <c r="P11698" s="839" t="s">
        <v>1053</v>
      </c>
      <c r="Q11698" s="1186">
        <v>1200.0</v>
      </c>
      <c r="R11698" s="862">
        <v>-0.3852679463338917</v>
      </c>
      <c r="S11698" s="863">
        <v>1952.07</v>
      </c>
      <c r="T11698" s="862">
        <v>-0.4732920385418573</v>
      </c>
      <c r="U11698" s="843"/>
      <c r="V11698" s="844">
        <v>1028.1708103235965</v>
      </c>
      <c r="W11698" s="1065">
        <v>17.17</v>
      </c>
      <c r="X11698" s="1065">
        <v>25.37</v>
      </c>
      <c r="Y11698" s="1171">
        <v>43465.0</v>
      </c>
      <c r="Z11698" s="842">
        <v>0.3084610891996481</v>
      </c>
      <c r="AA11698" s="1065">
        <v>22.840619068562887</v>
      </c>
      <c r="AB11698" s="841">
        <v>0.3</v>
      </c>
      <c r="AC11698" s="1172"/>
      <c r="AD11698" s="1172"/>
      <c r="AE11698" s="1172"/>
      <c r="AF11698" s="1172">
        <v>43331.0</v>
      </c>
      <c r="AG11698" s="1175" t="s">
        <v>1240</v>
      </c>
      <c r="AH11698" s="839" t="s">
        <v>2401</v>
      </c>
    </row>
    <row r="11699" ht="12.75" customHeight="1">
      <c r="A11699" s="122">
        <v>43750.0</v>
      </c>
      <c r="B11699" s="1020" t="s">
        <v>4014</v>
      </c>
      <c r="C11699" s="32" t="s">
        <v>1357</v>
      </c>
      <c r="D11699" s="150"/>
      <c r="E11699" s="150"/>
      <c r="F11699" s="75"/>
      <c r="G11699" s="67"/>
      <c r="H11699" s="68"/>
      <c r="I11699" s="76"/>
      <c r="J11699" s="67"/>
      <c r="K11699" s="1"/>
      <c r="L11699" s="1083"/>
      <c r="M11699" s="79"/>
      <c r="N11699" s="825">
        <v>41587.0</v>
      </c>
      <c r="O11699" s="826" t="s">
        <v>2403</v>
      </c>
      <c r="P11699" s="826" t="s">
        <v>1357</v>
      </c>
      <c r="Q11699" s="827">
        <v>36.5</v>
      </c>
      <c r="R11699" s="828" t="e">
        <v>#N/A</v>
      </c>
      <c r="S11699" s="829" t="e">
        <v>#N/A</v>
      </c>
      <c r="T11699" s="828" t="e">
        <v>#N/A</v>
      </c>
      <c r="U11699" s="830"/>
      <c r="V11699" s="831">
        <v>62.34000000000001</v>
      </c>
      <c r="W11699" s="832"/>
      <c r="X11699" s="832"/>
      <c r="Y11699" s="833"/>
      <c r="Z11699" s="829">
        <v>-118.77381962119483</v>
      </c>
      <c r="AA11699" s="1192">
        <v>0.0</v>
      </c>
      <c r="AB11699" s="833"/>
      <c r="AC11699" s="834"/>
      <c r="AD11699" s="834"/>
      <c r="AE11699" s="834"/>
      <c r="AF11699" s="834"/>
      <c r="AG11699" s="834"/>
      <c r="AH11699" s="1156" t="s">
        <v>2405</v>
      </c>
    </row>
    <row r="11700" ht="12.75" customHeight="1">
      <c r="A11700" s="122">
        <v>43750.0</v>
      </c>
      <c r="B11700" s="1020" t="s">
        <v>4014</v>
      </c>
      <c r="C11700" s="32" t="s">
        <v>2407</v>
      </c>
      <c r="D11700" s="150"/>
      <c r="E11700" s="150"/>
      <c r="F11700" s="75"/>
      <c r="G11700" s="67"/>
      <c r="H11700" s="68"/>
      <c r="I11700" s="76"/>
      <c r="J11700" s="67"/>
      <c r="K11700" s="1"/>
      <c r="L11700" s="1083"/>
      <c r="M11700" s="79"/>
      <c r="N11700" s="787">
        <v>43095.0</v>
      </c>
      <c r="O11700" s="1061" t="s">
        <v>2406</v>
      </c>
      <c r="P11700" s="839" t="s">
        <v>2407</v>
      </c>
      <c r="Q11700" s="1141"/>
      <c r="R11700" s="849" t="s">
        <v>2333</v>
      </c>
      <c r="S11700" s="842" t="e">
        <v>#N/A</v>
      </c>
      <c r="T11700" s="841" t="e">
        <v>#N/A</v>
      </c>
      <c r="U11700" s="843"/>
      <c r="V11700" s="835">
        <v>32.11606606606607</v>
      </c>
      <c r="W11700" s="845"/>
      <c r="X11700" s="845"/>
      <c r="Y11700" s="846"/>
      <c r="Z11700" s="842">
        <v>-118.77382024381659</v>
      </c>
      <c r="AA11700" s="1193">
        <v>0.0</v>
      </c>
      <c r="AB11700" s="846"/>
      <c r="AC11700" s="847"/>
      <c r="AD11700" s="847"/>
      <c r="AE11700" s="847"/>
      <c r="AF11700" s="847"/>
      <c r="AG11700" s="847"/>
      <c r="AH11700" s="839" t="s">
        <v>2408</v>
      </c>
    </row>
    <row r="11701" ht="12.75" customHeight="1">
      <c r="A11701" s="122">
        <v>43750.0</v>
      </c>
      <c r="B11701" s="1020" t="s">
        <v>4014</v>
      </c>
      <c r="C11701" s="32" t="s">
        <v>442</v>
      </c>
      <c r="D11701" s="150"/>
      <c r="E11701" s="150"/>
      <c r="F11701" s="75"/>
      <c r="G11701" s="67"/>
      <c r="H11701" s="68"/>
      <c r="I11701" s="76"/>
      <c r="J11701" s="67"/>
      <c r="K11701" s="1"/>
      <c r="L11701" s="1083"/>
      <c r="M11701" s="79"/>
      <c r="N11701" s="838">
        <v>40564.0</v>
      </c>
      <c r="O11701" s="1061" t="s">
        <v>2409</v>
      </c>
      <c r="P11701" s="839" t="s">
        <v>442</v>
      </c>
      <c r="Q11701" s="840">
        <v>125.0</v>
      </c>
      <c r="R11701" s="841" t="e">
        <v>#N/A</v>
      </c>
      <c r="S11701" s="842" t="e">
        <v>#N/A</v>
      </c>
      <c r="T11701" s="841" t="e">
        <v>#N/A</v>
      </c>
      <c r="U11701" s="843"/>
      <c r="V11701" s="844">
        <v>123.9433033033033</v>
      </c>
      <c r="W11701" s="845"/>
      <c r="X11701" s="845"/>
      <c r="Y11701" s="846"/>
      <c r="Z11701" s="842">
        <v>-118.77382024388002</v>
      </c>
      <c r="AA11701" s="1193">
        <v>0.0</v>
      </c>
      <c r="AB11701" s="846"/>
      <c r="AC11701" s="847"/>
      <c r="AD11701" s="847"/>
      <c r="AE11701" s="847"/>
      <c r="AF11701" s="847"/>
      <c r="AG11701" s="847"/>
      <c r="AH11701" s="839" t="s">
        <v>2410</v>
      </c>
    </row>
    <row r="11702" ht="12.75" customHeight="1">
      <c r="A11702" s="122">
        <v>43750.0</v>
      </c>
      <c r="B11702" s="1020" t="s">
        <v>4014</v>
      </c>
      <c r="C11702" s="32" t="s">
        <v>2412</v>
      </c>
      <c r="D11702" s="150"/>
      <c r="E11702" s="150"/>
      <c r="F11702" s="75"/>
      <c r="G11702" s="67"/>
      <c r="H11702" s="68"/>
      <c r="I11702" s="76"/>
      <c r="J11702" s="67"/>
      <c r="K11702" s="1"/>
      <c r="L11702" s="1083"/>
      <c r="M11702" s="79"/>
      <c r="N11702" s="838">
        <v>41471.0</v>
      </c>
      <c r="O11702" s="1061" t="s">
        <v>2411</v>
      </c>
      <c r="P11702" s="839" t="s">
        <v>2412</v>
      </c>
      <c r="Q11702" s="848">
        <v>62.0</v>
      </c>
      <c r="R11702" s="841" t="e">
        <v>#N/A</v>
      </c>
      <c r="S11702" s="842" t="e">
        <v>#N/A</v>
      </c>
      <c r="T11702" s="841" t="e">
        <v>#N/A</v>
      </c>
      <c r="U11702" s="843"/>
      <c r="V11702" s="844">
        <v>99.6</v>
      </c>
      <c r="W11702" s="845"/>
      <c r="X11702" s="845"/>
      <c r="Y11702" s="846"/>
      <c r="Z11702" s="842">
        <v>-118.77382024388002</v>
      </c>
      <c r="AA11702" s="1193">
        <v>0.0</v>
      </c>
      <c r="AB11702" s="846"/>
      <c r="AC11702" s="847"/>
      <c r="AD11702" s="847"/>
      <c r="AE11702" s="847"/>
      <c r="AF11702" s="847"/>
      <c r="AG11702" s="847"/>
      <c r="AH11702" s="1156" t="s">
        <v>2414</v>
      </c>
    </row>
    <row r="11703" ht="12.75" customHeight="1">
      <c r="A11703" s="122">
        <v>43750.0</v>
      </c>
      <c r="B11703" s="1020" t="s">
        <v>4014</v>
      </c>
      <c r="C11703" s="32" t="s">
        <v>371</v>
      </c>
      <c r="D11703" s="150"/>
      <c r="E11703" s="150"/>
      <c r="F11703" s="75"/>
      <c r="G11703" s="67"/>
      <c r="H11703" s="68"/>
      <c r="I11703" s="76"/>
      <c r="J11703" s="67"/>
      <c r="K11703" s="1"/>
      <c r="L11703" s="1083"/>
      <c r="M11703" s="79"/>
      <c r="N11703" s="838">
        <v>42136.0</v>
      </c>
      <c r="O11703" s="1061" t="s">
        <v>2415</v>
      </c>
      <c r="P11703" s="839" t="s">
        <v>371</v>
      </c>
      <c r="Q11703" s="848">
        <v>40.0</v>
      </c>
      <c r="R11703" s="841" t="e">
        <v>#N/A</v>
      </c>
      <c r="S11703" s="842" t="e">
        <v>#N/A</v>
      </c>
      <c r="T11703" s="841" t="e">
        <v>#N/A</v>
      </c>
      <c r="U11703" s="843"/>
      <c r="V11703" s="844">
        <v>62.25000000000001</v>
      </c>
      <c r="W11703" s="845"/>
      <c r="X11703" s="845"/>
      <c r="Y11703" s="846"/>
      <c r="Z11703" s="842">
        <v>-118.77382024391171</v>
      </c>
      <c r="AA11703" s="1193">
        <v>0.0</v>
      </c>
      <c r="AB11703" s="846"/>
      <c r="AC11703" s="847"/>
      <c r="AD11703" s="847"/>
      <c r="AE11703" s="847"/>
      <c r="AF11703" s="847"/>
      <c r="AG11703" s="847"/>
      <c r="AH11703" s="839" t="s">
        <v>2416</v>
      </c>
    </row>
    <row r="11704" ht="12.75" customHeight="1">
      <c r="A11704" s="122">
        <v>43750.0</v>
      </c>
      <c r="B11704" s="1020" t="s">
        <v>4014</v>
      </c>
      <c r="C11704" s="32" t="s">
        <v>2418</v>
      </c>
      <c r="D11704" s="150"/>
      <c r="E11704" s="150"/>
      <c r="F11704" s="75"/>
      <c r="G11704" s="67"/>
      <c r="H11704" s="68"/>
      <c r="I11704" s="76"/>
      <c r="J11704" s="67"/>
      <c r="K11704" s="1"/>
      <c r="L11704" s="1083"/>
      <c r="M11704" s="79"/>
      <c r="N11704" s="838">
        <v>42042.0</v>
      </c>
      <c r="O11704" s="1061" t="s">
        <v>2417</v>
      </c>
      <c r="P11704" s="839" t="s">
        <v>2418</v>
      </c>
      <c r="Q11704" s="839"/>
      <c r="R11704" s="849" t="s">
        <v>2333</v>
      </c>
      <c r="S11704" s="842" t="e">
        <v>#N/A</v>
      </c>
      <c r="T11704" s="841" t="e">
        <v>#N/A</v>
      </c>
      <c r="U11704" s="843"/>
      <c r="V11704" s="844">
        <v>100.86306306306307</v>
      </c>
      <c r="W11704" s="845"/>
      <c r="X11704" s="845"/>
      <c r="Y11704" s="846"/>
      <c r="Z11704" s="842">
        <v>-118.77382024394343</v>
      </c>
      <c r="AA11704" s="1193">
        <v>0.0</v>
      </c>
      <c r="AB11704" s="846"/>
      <c r="AC11704" s="847"/>
      <c r="AD11704" s="847"/>
      <c r="AE11704" s="847"/>
      <c r="AF11704" s="847"/>
      <c r="AG11704" s="847"/>
      <c r="AH11704" s="839" t="s">
        <v>2419</v>
      </c>
    </row>
    <row r="11705" ht="12.75" customHeight="1">
      <c r="A11705" s="122">
        <v>43750.0</v>
      </c>
      <c r="B11705" s="1020" t="s">
        <v>4014</v>
      </c>
      <c r="C11705" s="32" t="s">
        <v>2421</v>
      </c>
      <c r="D11705" s="150"/>
      <c r="E11705" s="150"/>
      <c r="F11705" s="75"/>
      <c r="G11705" s="67"/>
      <c r="H11705" s="68"/>
      <c r="I11705" s="76"/>
      <c r="J11705" s="67"/>
      <c r="K11705" s="1"/>
      <c r="L11705" s="1083"/>
      <c r="M11705" s="79"/>
      <c r="N11705" s="838">
        <v>41969.0</v>
      </c>
      <c r="O11705" s="1061" t="s">
        <v>2420</v>
      </c>
      <c r="P11705" s="839" t="s">
        <v>2421</v>
      </c>
      <c r="Q11705" s="848">
        <v>57.0</v>
      </c>
      <c r="R11705" s="841" t="e">
        <v>#N/A</v>
      </c>
      <c r="S11705" s="842" t="e">
        <v>#N/A</v>
      </c>
      <c r="T11705" s="841" t="e">
        <v>#N/A</v>
      </c>
      <c r="U11705" s="843"/>
      <c r="V11705" s="844">
        <v>61.286786786786784</v>
      </c>
      <c r="W11705" s="845"/>
      <c r="X11705" s="845"/>
      <c r="Y11705" s="846"/>
      <c r="Z11705" s="842">
        <v>-118.77382024394343</v>
      </c>
      <c r="AA11705" s="1193">
        <v>0.0</v>
      </c>
      <c r="AB11705" s="846"/>
      <c r="AC11705" s="847"/>
      <c r="AD11705" s="847"/>
      <c r="AE11705" s="847"/>
      <c r="AF11705" s="847"/>
      <c r="AG11705" s="847"/>
      <c r="AH11705" s="839"/>
    </row>
    <row r="11706" ht="12.75" customHeight="1">
      <c r="A11706" s="122">
        <v>43750.0</v>
      </c>
      <c r="B11706" s="1020" t="s">
        <v>4014</v>
      </c>
      <c r="C11706" s="32" t="s">
        <v>2144</v>
      </c>
      <c r="D11706" s="150"/>
      <c r="E11706" s="150"/>
      <c r="F11706" s="75"/>
      <c r="G11706" s="67"/>
      <c r="H11706" s="68"/>
      <c r="I11706" s="76"/>
      <c r="J11706" s="67"/>
      <c r="K11706" s="1"/>
      <c r="L11706" s="1083"/>
      <c r="M11706" s="79"/>
      <c r="N11706" s="838">
        <v>41953.0</v>
      </c>
      <c r="O11706" s="1061" t="s">
        <v>2143</v>
      </c>
      <c r="P11706" s="839" t="s">
        <v>2144</v>
      </c>
      <c r="Q11706" s="848">
        <v>79.0</v>
      </c>
      <c r="R11706" s="841" t="e">
        <v>#N/A</v>
      </c>
      <c r="S11706" s="842" t="e">
        <v>#N/A</v>
      </c>
      <c r="T11706" s="841" t="e">
        <v>#N/A</v>
      </c>
      <c r="U11706" s="843"/>
      <c r="V11706" s="844">
        <v>107.08033033033031</v>
      </c>
      <c r="W11706" s="845"/>
      <c r="X11706" s="845"/>
      <c r="Y11706" s="846"/>
      <c r="Z11706" s="842">
        <v>-118.77382024394343</v>
      </c>
      <c r="AA11706" s="1193">
        <v>0.0</v>
      </c>
      <c r="AB11706" s="846"/>
      <c r="AC11706" s="847"/>
      <c r="AD11706" s="847"/>
      <c r="AE11706" s="847"/>
      <c r="AF11706" s="847"/>
      <c r="AG11706" s="847"/>
      <c r="AH11706" s="839" t="s">
        <v>2423</v>
      </c>
    </row>
    <row r="11707" ht="12.75" customHeight="1">
      <c r="A11707" s="122">
        <v>43750.0</v>
      </c>
      <c r="B11707" s="1020" t="s">
        <v>4014</v>
      </c>
      <c r="C11707" s="32" t="s">
        <v>2426</v>
      </c>
      <c r="D11707" s="150"/>
      <c r="E11707" s="150"/>
      <c r="F11707" s="75"/>
      <c r="G11707" s="67"/>
      <c r="H11707" s="68"/>
      <c r="I11707" s="76"/>
      <c r="J11707" s="67"/>
      <c r="K11707" s="1"/>
      <c r="L11707" s="1083"/>
      <c r="M11707" s="79"/>
      <c r="N11707" s="850">
        <v>41183.0</v>
      </c>
      <c r="O11707" s="1132" t="s">
        <v>2424</v>
      </c>
      <c r="P11707" s="1194" t="s">
        <v>2426</v>
      </c>
      <c r="Q11707" s="1134"/>
      <c r="R11707" s="1135" t="s">
        <v>2333</v>
      </c>
      <c r="S11707" s="1195">
        <v>18.0</v>
      </c>
      <c r="T11707" s="1153">
        <v>-0.07777777777777795</v>
      </c>
      <c r="U11707" s="1137">
        <v>34.34451048558932</v>
      </c>
      <c r="V11707" s="1137">
        <v>16.599999999999998</v>
      </c>
      <c r="W11707" s="1196"/>
      <c r="X11707" s="1196"/>
      <c r="Y11707" s="1140"/>
      <c r="Z11707" s="1197">
        <v>-118.77382747298326</v>
      </c>
      <c r="AA11707" s="1198">
        <v>0.0</v>
      </c>
      <c r="AB11707" s="1140"/>
      <c r="AC11707" s="1167"/>
      <c r="AD11707" s="1167"/>
      <c r="AE11707" s="1167"/>
      <c r="AF11707" s="1167"/>
      <c r="AG11707" s="1167"/>
      <c r="AH11707" s="1133" t="s">
        <v>2432</v>
      </c>
    </row>
    <row r="11708" ht="12.75" customHeight="1">
      <c r="A11708" s="122">
        <v>43750.0</v>
      </c>
      <c r="B11708" s="1020" t="s">
        <v>4014</v>
      </c>
      <c r="C11708" s="32" t="s">
        <v>2434</v>
      </c>
      <c r="D11708" s="150"/>
      <c r="E11708" s="150"/>
      <c r="F11708" s="75"/>
      <c r="G11708" s="67"/>
      <c r="H11708" s="68"/>
      <c r="I11708" s="76"/>
      <c r="J11708" s="67"/>
      <c r="K11708" s="1"/>
      <c r="L11708" s="1083"/>
      <c r="M11708" s="79"/>
      <c r="N11708" s="838">
        <v>41240.0</v>
      </c>
      <c r="O11708" s="1061" t="s">
        <v>2433</v>
      </c>
      <c r="P11708" s="839" t="s">
        <v>2434</v>
      </c>
      <c r="Q11708" s="848">
        <v>180.0</v>
      </c>
      <c r="R11708" s="862">
        <v>93.73684210526316</v>
      </c>
      <c r="S11708" s="863">
        <v>1.9</v>
      </c>
      <c r="T11708" s="862">
        <v>140.15852694800063</v>
      </c>
      <c r="U11708" s="843"/>
      <c r="V11708" s="844">
        <v>268.2012012012012</v>
      </c>
      <c r="W11708" s="845"/>
      <c r="X11708" s="845"/>
      <c r="Y11708" s="846"/>
      <c r="Z11708" s="842">
        <v>-118.77382747298326</v>
      </c>
      <c r="AA11708" s="1193">
        <v>0.0</v>
      </c>
      <c r="AB11708" s="846"/>
      <c r="AC11708" s="847"/>
      <c r="AD11708" s="847"/>
      <c r="AE11708" s="847"/>
      <c r="AF11708" s="847"/>
      <c r="AG11708" s="847"/>
      <c r="AH11708" s="1156" t="s">
        <v>2436</v>
      </c>
    </row>
    <row r="11709" ht="12.75" customHeight="1">
      <c r="A11709" s="122">
        <v>43750.0</v>
      </c>
      <c r="B11709" s="1020" t="s">
        <v>4014</v>
      </c>
      <c r="C11709" s="32" t="s">
        <v>2439</v>
      </c>
      <c r="D11709" s="150"/>
      <c r="E11709" s="150"/>
      <c r="F11709" s="75"/>
      <c r="G11709" s="67"/>
      <c r="H11709" s="68"/>
      <c r="I11709" s="76"/>
      <c r="J11709" s="67"/>
      <c r="K11709" s="1"/>
      <c r="L11709" s="1083"/>
      <c r="M11709" s="79"/>
      <c r="N11709" s="864">
        <v>40517.0</v>
      </c>
      <c r="O11709" s="1199" t="s">
        <v>2438</v>
      </c>
      <c r="P11709" s="1199" t="s">
        <v>2439</v>
      </c>
      <c r="Q11709" s="1200"/>
      <c r="R11709" s="1149" t="s">
        <v>2333</v>
      </c>
      <c r="S11709" s="1201" t="e">
        <v>#N/A</v>
      </c>
      <c r="T11709" s="1149" t="s">
        <v>2333</v>
      </c>
      <c r="U11709" s="1151"/>
      <c r="V11709" s="1151"/>
      <c r="W11709" s="1202"/>
      <c r="X11709" s="1202"/>
      <c r="Y11709" s="1203"/>
      <c r="Z11709" s="1201">
        <v>-118.77383348725266</v>
      </c>
      <c r="AA11709" s="1204">
        <v>0.0</v>
      </c>
      <c r="AB11709" s="1203"/>
      <c r="AC11709" s="1205"/>
      <c r="AD11709" s="1205"/>
      <c r="AE11709" s="1205"/>
      <c r="AF11709" s="1205"/>
      <c r="AG11709" s="1205"/>
      <c r="AH11709" s="1199" t="s">
        <v>2441</v>
      </c>
    </row>
    <row r="11710" ht="12.75" customHeight="1">
      <c r="A11710" s="122">
        <v>43750.0</v>
      </c>
      <c r="B11710" s="1020" t="s">
        <v>4014</v>
      </c>
      <c r="C11710" s="32" t="s">
        <v>2443</v>
      </c>
      <c r="D11710" s="150"/>
      <c r="E11710" s="150"/>
      <c r="F11710" s="75"/>
      <c r="G11710" s="67"/>
      <c r="H11710" s="68"/>
      <c r="I11710" s="76"/>
      <c r="J11710" s="67"/>
      <c r="K11710" s="1"/>
      <c r="L11710" s="1083"/>
      <c r="M11710" s="79"/>
      <c r="N11710" s="787">
        <v>41958.0</v>
      </c>
      <c r="O11710" s="1061" t="s">
        <v>2442</v>
      </c>
      <c r="P11710" s="839" t="s">
        <v>2443</v>
      </c>
      <c r="Q11710" s="1141"/>
      <c r="R11710" s="849" t="s">
        <v>2333</v>
      </c>
      <c r="S11710" s="1206">
        <v>113.0</v>
      </c>
      <c r="T11710" s="862"/>
      <c r="U11710" s="843"/>
      <c r="V11710" s="844">
        <v>68.42363003003003</v>
      </c>
      <c r="W11710" s="845"/>
      <c r="X11710" s="845"/>
      <c r="Y11710" s="846"/>
      <c r="Z11710" s="842">
        <v>-118.77383424904869</v>
      </c>
      <c r="AA11710" s="1193">
        <v>0.0</v>
      </c>
      <c r="AB11710" s="846"/>
      <c r="AC11710" s="847"/>
      <c r="AD11710" s="847"/>
      <c r="AE11710" s="847"/>
      <c r="AF11710" s="847"/>
      <c r="AG11710" s="847"/>
      <c r="AH11710" s="847"/>
    </row>
    <row r="11711" ht="12.75" customHeight="1">
      <c r="A11711" s="122">
        <v>43750.0</v>
      </c>
      <c r="B11711" s="1020" t="s">
        <v>4014</v>
      </c>
      <c r="C11711" s="32" t="s">
        <v>368</v>
      </c>
      <c r="D11711" s="150"/>
      <c r="E11711" s="150"/>
      <c r="F11711" s="75"/>
      <c r="G11711" s="67"/>
      <c r="H11711" s="68"/>
      <c r="I11711" s="76"/>
      <c r="J11711" s="67"/>
      <c r="K11711" s="1"/>
      <c r="L11711" s="1083"/>
      <c r="M11711" s="79"/>
      <c r="N11711" s="850">
        <v>40984.0</v>
      </c>
      <c r="O11711" s="1132" t="s">
        <v>2446</v>
      </c>
      <c r="P11711" s="1133" t="s">
        <v>368</v>
      </c>
      <c r="Q11711" s="1134"/>
      <c r="R11711" s="1135" t="s">
        <v>2333</v>
      </c>
      <c r="S11711" s="1207">
        <v>2.84</v>
      </c>
      <c r="T11711" s="1153"/>
      <c r="U11711" s="1138"/>
      <c r="V11711" s="1137">
        <v>37.5</v>
      </c>
      <c r="W11711" s="1196"/>
      <c r="X11711" s="1196"/>
      <c r="Y11711" s="1140"/>
      <c r="Z11711" s="1197">
        <v>-118.77383506040715</v>
      </c>
      <c r="AA11711" s="1198">
        <v>0.0</v>
      </c>
      <c r="AB11711" s="1140"/>
      <c r="AC11711" s="1167"/>
      <c r="AD11711" s="1167"/>
      <c r="AE11711" s="1167"/>
      <c r="AF11711" s="1167"/>
      <c r="AG11711" s="1167"/>
      <c r="AH11711" s="1152" t="s">
        <v>2448</v>
      </c>
    </row>
    <row r="11712" ht="12.75" customHeight="1">
      <c r="A11712" s="122">
        <v>43750.0</v>
      </c>
      <c r="B11712" s="1020" t="s">
        <v>4014</v>
      </c>
      <c r="C11712" s="32" t="s">
        <v>2450</v>
      </c>
      <c r="D11712" s="150"/>
      <c r="E11712" s="150"/>
      <c r="F11712" s="75"/>
      <c r="G11712" s="67"/>
      <c r="H11712" s="68"/>
      <c r="I11712" s="76"/>
      <c r="J11712" s="67"/>
      <c r="K11712" s="1"/>
      <c r="L11712" s="1083"/>
      <c r="M11712" s="79"/>
      <c r="N11712" s="787">
        <v>40936.0</v>
      </c>
      <c r="O11712" s="1061" t="s">
        <v>2449</v>
      </c>
      <c r="P11712" s="839" t="s">
        <v>2450</v>
      </c>
      <c r="Q11712" s="1141"/>
      <c r="R11712" s="849" t="s">
        <v>2333</v>
      </c>
      <c r="S11712" s="1206">
        <v>75.59</v>
      </c>
      <c r="T11712" s="849"/>
      <c r="U11712" s="843"/>
      <c r="V11712" s="844">
        <v>96.0</v>
      </c>
      <c r="W11712" s="845"/>
      <c r="X11712" s="845"/>
      <c r="Y11712" s="846"/>
      <c r="Z11712" s="842">
        <v>-118.77383728992264</v>
      </c>
      <c r="AA11712" s="1193">
        <v>0.0</v>
      </c>
      <c r="AB11712" s="846"/>
      <c r="AC11712" s="847"/>
      <c r="AD11712" s="847"/>
      <c r="AE11712" s="847"/>
      <c r="AF11712" s="847"/>
      <c r="AG11712" s="847"/>
      <c r="AH11712" s="839" t="s">
        <v>2451</v>
      </c>
    </row>
    <row r="11713" ht="12.75" customHeight="1">
      <c r="A11713" s="122">
        <v>43750.0</v>
      </c>
      <c r="B11713" s="1020" t="s">
        <v>4014</v>
      </c>
      <c r="C11713" s="32" t="s">
        <v>2453</v>
      </c>
      <c r="D11713" s="150"/>
      <c r="E11713" s="150"/>
      <c r="F11713" s="75"/>
      <c r="G11713" s="67"/>
      <c r="H11713" s="68"/>
      <c r="I11713" s="76"/>
      <c r="J11713" s="67"/>
      <c r="K11713" s="1"/>
      <c r="L11713" s="1083"/>
      <c r="M11713" s="79"/>
      <c r="N11713" s="787">
        <v>42127.0</v>
      </c>
      <c r="O11713" s="1061" t="s">
        <v>2452</v>
      </c>
      <c r="P11713" s="839" t="s">
        <v>2453</v>
      </c>
      <c r="Q11713" s="839"/>
      <c r="R11713" s="849" t="s">
        <v>2333</v>
      </c>
      <c r="S11713" s="863">
        <v>5.65</v>
      </c>
      <c r="T11713" s="862">
        <v>6.522123893805309</v>
      </c>
      <c r="U11713" s="843"/>
      <c r="V11713" s="844">
        <v>42.5</v>
      </c>
      <c r="W11713" s="845"/>
      <c r="X11713" s="845"/>
      <c r="Y11713" s="846"/>
      <c r="Z11713" s="842">
        <v>-118.77384106272197</v>
      </c>
      <c r="AA11713" s="1193">
        <v>0.0</v>
      </c>
      <c r="AB11713" s="846"/>
      <c r="AC11713" s="847"/>
      <c r="AD11713" s="847"/>
      <c r="AE11713" s="847"/>
      <c r="AF11713" s="847"/>
      <c r="AG11713" s="847"/>
      <c r="AH11713" s="1156" t="s">
        <v>2454</v>
      </c>
    </row>
    <row r="11714" ht="12.75" customHeight="1">
      <c r="A11714" s="122">
        <v>43750.0</v>
      </c>
      <c r="B11714" s="1020" t="s">
        <v>4014</v>
      </c>
      <c r="C11714" s="32" t="s">
        <v>2456</v>
      </c>
      <c r="D11714" s="150"/>
      <c r="E11714" s="150"/>
      <c r="F11714" s="75"/>
      <c r="G11714" s="67"/>
      <c r="H11714" s="68"/>
      <c r="I11714" s="76"/>
      <c r="J11714" s="67"/>
      <c r="K11714" s="1"/>
      <c r="L11714" s="1083"/>
      <c r="M11714" s="79"/>
      <c r="N11714" s="574">
        <v>40632.0</v>
      </c>
      <c r="O11714" s="1132" t="s">
        <v>2455</v>
      </c>
      <c r="P11714" s="1133" t="s">
        <v>2456</v>
      </c>
      <c r="Q11714" s="1134"/>
      <c r="R11714" s="1135" t="s">
        <v>2333</v>
      </c>
      <c r="S11714" s="1207">
        <v>14.85</v>
      </c>
      <c r="T11714" s="1153">
        <v>1.3380471380471382</v>
      </c>
      <c r="U11714" s="1138"/>
      <c r="V11714" s="1137">
        <v>34.72</v>
      </c>
      <c r="W11714" s="1196"/>
      <c r="X11714" s="1196"/>
      <c r="Y11714" s="1140"/>
      <c r="Z11714" s="1197">
        <v>-118.84333891210045</v>
      </c>
      <c r="AA11714" s="1196">
        <v>0.0</v>
      </c>
      <c r="AB11714" s="1140"/>
      <c r="AC11714" s="1167"/>
      <c r="AD11714" s="1167"/>
      <c r="AE11714" s="1167"/>
      <c r="AF11714" s="1167"/>
      <c r="AG11714" s="1167"/>
      <c r="AH11714" s="1133" t="s">
        <v>2458</v>
      </c>
    </row>
    <row r="11715" ht="12.75" customHeight="1">
      <c r="A11715" s="122">
        <v>43750.0</v>
      </c>
      <c r="B11715" s="1020" t="s">
        <v>4014</v>
      </c>
      <c r="C11715" s="32" t="s">
        <v>1118</v>
      </c>
      <c r="D11715" s="150"/>
      <c r="E11715" s="150"/>
      <c r="F11715" s="75"/>
      <c r="G11715" s="67"/>
      <c r="H11715" s="68"/>
      <c r="I11715" s="76"/>
      <c r="J11715" s="67"/>
      <c r="K11715" s="1"/>
      <c r="L11715" s="1083"/>
      <c r="M11715" s="79"/>
      <c r="N11715" s="585">
        <v>40832.0</v>
      </c>
      <c r="O11715" s="1061" t="s">
        <v>2459</v>
      </c>
      <c r="P11715" s="839" t="s">
        <v>1118</v>
      </c>
      <c r="Q11715" s="839"/>
      <c r="R11715" s="849" t="s">
        <v>2333</v>
      </c>
      <c r="S11715" s="863">
        <v>14.36</v>
      </c>
      <c r="T11715" s="862">
        <v>1.0891364902506964</v>
      </c>
      <c r="U11715" s="843"/>
      <c r="V11715" s="844">
        <v>30.0</v>
      </c>
      <c r="W11715" s="845"/>
      <c r="X11715" s="845"/>
      <c r="Y11715" s="846"/>
      <c r="Z11715" s="842">
        <v>-118.84334444622019</v>
      </c>
      <c r="AA11715" s="845">
        <v>0.0</v>
      </c>
      <c r="AB11715" s="846"/>
      <c r="AC11715" s="1175"/>
      <c r="AD11715" s="1175"/>
      <c r="AE11715" s="1175"/>
      <c r="AF11715" s="1175"/>
      <c r="AG11715" s="1175"/>
      <c r="AH11715" s="1156" t="s">
        <v>2460</v>
      </c>
    </row>
    <row r="11716" ht="12.75" customHeight="1">
      <c r="A11716" s="122">
        <v>43750.0</v>
      </c>
      <c r="B11716" s="1020" t="s">
        <v>4014</v>
      </c>
      <c r="C11716" s="32">
        <v>3333.0</v>
      </c>
      <c r="D11716" s="150"/>
      <c r="E11716" s="150"/>
      <c r="F11716" s="75"/>
      <c r="G11716" s="67"/>
      <c r="H11716" s="68"/>
      <c r="I11716" s="76"/>
      <c r="J11716" s="67"/>
      <c r="K11716" s="1"/>
      <c r="L11716" s="1083"/>
      <c r="M11716" s="79"/>
      <c r="N11716" s="585">
        <v>41081.0</v>
      </c>
      <c r="O11716" s="1061" t="s">
        <v>2461</v>
      </c>
      <c r="P11716" s="1208">
        <v>3333.0</v>
      </c>
      <c r="Q11716" s="839"/>
      <c r="R11716" s="849" t="s">
        <v>2333</v>
      </c>
      <c r="S11716" s="1209">
        <v>23.95</v>
      </c>
      <c r="T11716" s="849" t="s">
        <v>2333</v>
      </c>
      <c r="U11716" s="843"/>
      <c r="V11716" s="1210">
        <v>0.0</v>
      </c>
      <c r="W11716" s="840">
        <v>0.0</v>
      </c>
      <c r="X11716" s="839"/>
      <c r="Y11716" s="839"/>
      <c r="Z11716" s="839"/>
      <c r="AA11716" s="839"/>
      <c r="AB11716" s="839"/>
      <c r="AC11716" s="839"/>
      <c r="AD11716" s="839"/>
      <c r="AE11716" s="839"/>
      <c r="AF11716" s="839"/>
      <c r="AG11716" s="1175"/>
      <c r="AH11716" s="839" t="s">
        <v>2462</v>
      </c>
    </row>
    <row r="11717" ht="12.75" customHeight="1">
      <c r="A11717" s="122">
        <v>43750.0</v>
      </c>
      <c r="B11717" s="1020" t="s">
        <v>4014</v>
      </c>
      <c r="C11717" s="32" t="s">
        <v>2464</v>
      </c>
      <c r="D11717" s="150"/>
      <c r="E11717" s="150"/>
      <c r="F11717" s="75"/>
      <c r="G11717" s="67"/>
      <c r="H11717" s="68"/>
      <c r="I11717" s="76"/>
      <c r="J11717" s="67"/>
      <c r="K11717" s="1"/>
      <c r="L11717" s="1083"/>
      <c r="M11717" s="79"/>
      <c r="N11717" s="585">
        <v>41097.0</v>
      </c>
      <c r="O11717" s="1061" t="s">
        <v>2463</v>
      </c>
      <c r="P11717" s="1211" t="s">
        <v>2464</v>
      </c>
      <c r="Q11717" s="839"/>
      <c r="R11717" s="849" t="s">
        <v>2333</v>
      </c>
      <c r="S11717" s="1209">
        <v>1.6</v>
      </c>
      <c r="T11717" s="862">
        <v>-0.6875</v>
      </c>
      <c r="U11717" s="843"/>
      <c r="V11717" s="1210">
        <v>0.5</v>
      </c>
      <c r="W11717" s="840">
        <v>0.0</v>
      </c>
      <c r="X11717" s="839"/>
      <c r="Y11717" s="839"/>
      <c r="Z11717" s="839"/>
      <c r="AA11717" s="839"/>
      <c r="AB11717" s="839"/>
      <c r="AC11717" s="839"/>
      <c r="AD11717" s="839"/>
      <c r="AE11717" s="839"/>
      <c r="AF11717" s="839"/>
      <c r="AG11717" s="1175"/>
      <c r="AH11717" s="839" t="s">
        <v>2465</v>
      </c>
    </row>
    <row r="11718" ht="12.75" customHeight="1">
      <c r="A11718" s="122">
        <v>43750.0</v>
      </c>
      <c r="B11718" s="1020" t="s">
        <v>4014</v>
      </c>
      <c r="C11718" s="32" t="s">
        <v>2467</v>
      </c>
      <c r="D11718" s="150"/>
      <c r="E11718" s="150"/>
      <c r="F11718" s="75"/>
      <c r="G11718" s="67"/>
      <c r="H11718" s="68"/>
      <c r="I11718" s="76"/>
      <c r="J11718" s="67"/>
      <c r="K11718" s="1"/>
      <c r="L11718" s="1083"/>
      <c r="M11718" s="79"/>
      <c r="N11718" s="585">
        <v>41830.0</v>
      </c>
      <c r="O11718" s="1061" t="s">
        <v>2466</v>
      </c>
      <c r="P11718" s="1211" t="s">
        <v>2467</v>
      </c>
      <c r="Q11718" s="839"/>
      <c r="R11718" s="849" t="s">
        <v>2333</v>
      </c>
      <c r="S11718" s="1209">
        <v>3.08</v>
      </c>
      <c r="T11718" s="849" t="s">
        <v>2333</v>
      </c>
      <c r="U11718" s="843"/>
      <c r="V11718" s="1210">
        <v>0.0</v>
      </c>
      <c r="W11718" s="846"/>
      <c r="X11718" s="846"/>
      <c r="Y11718" s="846"/>
      <c r="Z11718" s="846"/>
      <c r="AA11718" s="846"/>
      <c r="AB11718" s="846"/>
      <c r="AC11718" s="839"/>
      <c r="AD11718" s="839"/>
      <c r="AE11718" s="839"/>
      <c r="AF11718" s="839"/>
      <c r="AG11718" s="1175"/>
      <c r="AH11718" s="839" t="s">
        <v>2468</v>
      </c>
    </row>
    <row r="11719" ht="12.75" customHeight="1">
      <c r="A11719" s="122">
        <v>43750.0</v>
      </c>
      <c r="B11719" s="1020" t="s">
        <v>4014</v>
      </c>
      <c r="C11719" s="32" t="s">
        <v>2470</v>
      </c>
      <c r="D11719" s="150"/>
      <c r="E11719" s="150"/>
      <c r="F11719" s="75"/>
      <c r="G11719" s="67"/>
      <c r="H11719" s="68"/>
      <c r="I11719" s="76"/>
      <c r="J11719" s="67"/>
      <c r="K11719" s="1"/>
      <c r="L11719" s="1083"/>
      <c r="M11719" s="79"/>
      <c r="N11719" s="585">
        <v>41128.0</v>
      </c>
      <c r="O11719" s="1061" t="s">
        <v>2469</v>
      </c>
      <c r="P11719" s="1211" t="s">
        <v>2470</v>
      </c>
      <c r="Q11719" s="839"/>
      <c r="R11719" s="849" t="s">
        <v>2333</v>
      </c>
      <c r="S11719" s="1209">
        <v>0.99</v>
      </c>
      <c r="T11719" s="862">
        <v>-0.4949494949494949</v>
      </c>
      <c r="U11719" s="843"/>
      <c r="V11719" s="1210">
        <v>0.5</v>
      </c>
      <c r="W11719" s="840">
        <v>0.0</v>
      </c>
      <c r="X11719" s="839"/>
      <c r="Y11719" s="839"/>
      <c r="Z11719" s="839"/>
      <c r="AA11719" s="839"/>
      <c r="AB11719" s="839"/>
      <c r="AC11719" s="839"/>
      <c r="AD11719" s="839"/>
      <c r="AE11719" s="839"/>
      <c r="AF11719" s="839"/>
      <c r="AG11719" s="1175"/>
      <c r="AH11719" s="1156" t="s">
        <v>2471</v>
      </c>
    </row>
    <row r="11720" ht="12.75" customHeight="1">
      <c r="A11720" s="122">
        <v>43750.0</v>
      </c>
      <c r="B11720" s="1020" t="s">
        <v>4014</v>
      </c>
      <c r="C11720" s="32" t="s">
        <v>2473</v>
      </c>
      <c r="D11720" s="150"/>
      <c r="E11720" s="150"/>
      <c r="F11720" s="75"/>
      <c r="G11720" s="67"/>
      <c r="H11720" s="68"/>
      <c r="I11720" s="76"/>
      <c r="J11720" s="67"/>
      <c r="K11720" s="1"/>
      <c r="L11720" s="1083"/>
      <c r="M11720" s="79"/>
      <c r="N11720" s="585">
        <v>41136.0</v>
      </c>
      <c r="O11720" s="1061" t="s">
        <v>2472</v>
      </c>
      <c r="P11720" s="1211" t="s">
        <v>2473</v>
      </c>
      <c r="Q11720" s="839"/>
      <c r="R11720" s="849" t="s">
        <v>2333</v>
      </c>
      <c r="S11720" s="1209">
        <v>29.3</v>
      </c>
      <c r="T11720" s="862">
        <v>-0.795221843003413</v>
      </c>
      <c r="U11720" s="843"/>
      <c r="V11720" s="1210">
        <v>6.0</v>
      </c>
      <c r="W11720" s="840">
        <v>0.0</v>
      </c>
      <c r="X11720" s="839"/>
      <c r="Y11720" s="839"/>
      <c r="Z11720" s="839"/>
      <c r="AA11720" s="839"/>
      <c r="AB11720" s="839"/>
      <c r="AC11720" s="839"/>
      <c r="AD11720" s="839"/>
      <c r="AE11720" s="839"/>
      <c r="AF11720" s="839"/>
      <c r="AG11720" s="1175"/>
      <c r="AH11720" s="1156" t="s">
        <v>2474</v>
      </c>
    </row>
    <row r="11721" ht="12.75" customHeight="1">
      <c r="A11721" s="122">
        <v>43750.0</v>
      </c>
      <c r="B11721" s="1020" t="s">
        <v>4014</v>
      </c>
      <c r="C11721" s="32" t="s">
        <v>2476</v>
      </c>
      <c r="D11721" s="150"/>
      <c r="E11721" s="150"/>
      <c r="F11721" s="75"/>
      <c r="G11721" s="67"/>
      <c r="H11721" s="68"/>
      <c r="I11721" s="76"/>
      <c r="J11721" s="67"/>
      <c r="K11721" s="1"/>
      <c r="L11721" s="1083"/>
      <c r="M11721" s="79"/>
      <c r="N11721" s="585">
        <v>40878.0</v>
      </c>
      <c r="O11721" s="1061" t="s">
        <v>2475</v>
      </c>
      <c r="P11721" s="1211" t="s">
        <v>2476</v>
      </c>
      <c r="Q11721" s="839"/>
      <c r="R11721" s="849" t="s">
        <v>2333</v>
      </c>
      <c r="S11721" s="1212" t="e">
        <v>#N/A</v>
      </c>
      <c r="T11721" s="849" t="s">
        <v>2333</v>
      </c>
      <c r="U11721" s="843"/>
      <c r="V11721" s="845"/>
      <c r="W11721" s="840">
        <v>0.0</v>
      </c>
      <c r="X11721" s="839"/>
      <c r="Y11721" s="839"/>
      <c r="Z11721" s="839"/>
      <c r="AA11721" s="839"/>
      <c r="AB11721" s="839"/>
      <c r="AC11721" s="839"/>
      <c r="AD11721" s="839"/>
      <c r="AE11721" s="839"/>
      <c r="AF11721" s="839"/>
      <c r="AG11721" s="839"/>
      <c r="AH11721" s="1156" t="s">
        <v>2477</v>
      </c>
    </row>
    <row r="11722" ht="12.75" customHeight="1">
      <c r="A11722" s="122">
        <v>43750.0</v>
      </c>
      <c r="B11722" s="1020" t="s">
        <v>4014</v>
      </c>
      <c r="C11722" s="32" t="s">
        <v>2479</v>
      </c>
      <c r="D11722" s="150"/>
      <c r="E11722" s="150"/>
      <c r="F11722" s="75"/>
      <c r="G11722" s="67"/>
      <c r="H11722" s="68"/>
      <c r="I11722" s="76"/>
      <c r="J11722" s="67"/>
      <c r="K11722" s="1"/>
      <c r="L11722" s="1083"/>
      <c r="M11722" s="79"/>
      <c r="N11722" s="652">
        <v>42424.0</v>
      </c>
      <c r="O11722" s="826" t="s">
        <v>2478</v>
      </c>
      <c r="P11722" s="826" t="s">
        <v>2479</v>
      </c>
      <c r="Q11722" s="840">
        <v>101.5</v>
      </c>
      <c r="R11722" s="862">
        <v>562.8888888888889</v>
      </c>
      <c r="S11722" s="863">
        <v>0.18</v>
      </c>
      <c r="T11722" s="862">
        <v>1410.8305134767513</v>
      </c>
      <c r="U11722" s="843"/>
      <c r="V11722" s="844">
        <v>254.12949242581524</v>
      </c>
      <c r="W11722" s="1179">
        <v>10.9</v>
      </c>
      <c r="X11722" s="1179">
        <v>12.02</v>
      </c>
      <c r="Y11722" s="1180">
        <v>43465.0</v>
      </c>
      <c r="Z11722" s="829">
        <v>-0.782253121638755</v>
      </c>
      <c r="AA11722" s="1179">
        <v>12.896123496235402</v>
      </c>
      <c r="AB11722" s="828">
        <v>0.05</v>
      </c>
      <c r="AC11722" s="1180"/>
      <c r="AD11722" s="1180"/>
      <c r="AE11722" s="1180"/>
      <c r="AF11722" s="1180">
        <v>43291.0</v>
      </c>
      <c r="AG11722" s="1182" t="s">
        <v>1223</v>
      </c>
      <c r="AH11722" s="826" t="s">
        <v>2482</v>
      </c>
    </row>
    <row r="11723" ht="12.75" customHeight="1">
      <c r="A11723" s="122">
        <v>43750.0</v>
      </c>
      <c r="B11723" s="1020" t="s">
        <v>4014</v>
      </c>
      <c r="C11723" s="32" t="s">
        <v>2484</v>
      </c>
      <c r="D11723" s="150"/>
      <c r="E11723" s="150"/>
      <c r="F11723" s="75"/>
      <c r="G11723" s="67"/>
      <c r="H11723" s="68"/>
      <c r="I11723" s="76"/>
      <c r="J11723" s="67"/>
      <c r="K11723" s="1"/>
      <c r="L11723" s="1083"/>
      <c r="M11723" s="79"/>
      <c r="N11723" s="574">
        <v>41485.0</v>
      </c>
      <c r="O11723" s="1132" t="s">
        <v>2483</v>
      </c>
      <c r="P11723" s="1133" t="s">
        <v>2484</v>
      </c>
      <c r="Q11723" s="1134"/>
      <c r="R11723" s="1135" t="s">
        <v>2333</v>
      </c>
      <c r="S11723" s="1207">
        <v>0.02</v>
      </c>
      <c r="T11723" s="1153">
        <v>1664.0000000000002</v>
      </c>
      <c r="U11723" s="1138"/>
      <c r="V11723" s="1137">
        <v>33.300000000000004</v>
      </c>
      <c r="W11723" s="1196"/>
      <c r="X11723" s="1196"/>
      <c r="Y11723" s="1140"/>
      <c r="Z11723" s="1197">
        <v>-119.8644449024924</v>
      </c>
      <c r="AA11723" s="1196">
        <v>0.0</v>
      </c>
      <c r="AB11723" s="1140"/>
      <c r="AC11723" s="1167"/>
      <c r="AD11723" s="1167"/>
      <c r="AE11723" s="1167"/>
      <c r="AF11723" s="1167"/>
      <c r="AG11723" s="1167"/>
      <c r="AH11723" s="1133" t="s">
        <v>2485</v>
      </c>
    </row>
    <row r="11724" ht="12.75" customHeight="1">
      <c r="A11724" s="122">
        <v>43750.0</v>
      </c>
      <c r="B11724" s="1020" t="s">
        <v>4014</v>
      </c>
      <c r="C11724" s="32" t="s">
        <v>381</v>
      </c>
      <c r="D11724" s="150"/>
      <c r="E11724" s="150"/>
      <c r="F11724" s="75"/>
      <c r="G11724" s="67"/>
      <c r="H11724" s="68"/>
      <c r="I11724" s="76"/>
      <c r="J11724" s="67"/>
      <c r="K11724" s="1"/>
      <c r="L11724" s="1083"/>
      <c r="M11724" s="79"/>
      <c r="N11724" s="884">
        <v>42688.0</v>
      </c>
      <c r="O11724" s="1061" t="s">
        <v>2125</v>
      </c>
      <c r="P11724" s="839" t="s">
        <v>381</v>
      </c>
      <c r="Q11724" s="1174">
        <v>160.0</v>
      </c>
      <c r="R11724" s="862">
        <v>-0.09655561829474868</v>
      </c>
      <c r="S11724" s="863">
        <v>177.1</v>
      </c>
      <c r="T11724" s="862">
        <v>0.7046584745789659</v>
      </c>
      <c r="U11724" s="843"/>
      <c r="V11724" s="844">
        <v>301.89501584793487</v>
      </c>
      <c r="W11724" s="1063">
        <v>7.98</v>
      </c>
      <c r="X11724" s="1063">
        <v>9.26</v>
      </c>
      <c r="Y11724" s="1171">
        <v>43830.0</v>
      </c>
      <c r="Z11724" s="842">
        <v>0.2532351399987357</v>
      </c>
      <c r="AA11724" s="1065">
        <v>8.935859020801619</v>
      </c>
      <c r="AB11724" s="1066">
        <v>0.2</v>
      </c>
      <c r="AC11724" s="1066">
        <v>0.25</v>
      </c>
      <c r="AD11724" s="1067">
        <v>33.78466638128009</v>
      </c>
      <c r="AE11724" s="1068">
        <v>4.0</v>
      </c>
      <c r="AF11724" s="1064">
        <v>43679.0</v>
      </c>
      <c r="AG11724" s="1175" t="s">
        <v>1240</v>
      </c>
      <c r="AH11724" s="1069" t="s">
        <v>2126</v>
      </c>
    </row>
    <row r="11725" ht="12.75" customHeight="1">
      <c r="A11725" s="122">
        <v>43750.0</v>
      </c>
      <c r="B11725" s="1020" t="s">
        <v>4014</v>
      </c>
      <c r="C11725" s="32" t="s">
        <v>1092</v>
      </c>
      <c r="D11725" s="150"/>
      <c r="E11725" s="150"/>
      <c r="F11725" s="75"/>
      <c r="G11725" s="67"/>
      <c r="H11725" s="68"/>
      <c r="I11725" s="76"/>
      <c r="J11725" s="67"/>
      <c r="K11725" s="1"/>
      <c r="L11725" s="1083"/>
      <c r="M11725" s="79"/>
      <c r="N11725" s="884">
        <v>41573.0</v>
      </c>
      <c r="O11725" s="1061" t="s">
        <v>2413</v>
      </c>
      <c r="P11725" s="839" t="s">
        <v>1092</v>
      </c>
      <c r="Q11725" s="1062">
        <v>8.0</v>
      </c>
      <c r="R11725" s="862">
        <v>-0.40431868950111693</v>
      </c>
      <c r="S11725" s="863">
        <v>13.43</v>
      </c>
      <c r="T11725" s="862">
        <v>0.8615040953090096</v>
      </c>
      <c r="U11725" s="843"/>
      <c r="V11725" s="844">
        <v>25.0</v>
      </c>
      <c r="W11725" s="845"/>
      <c r="X11725" s="845"/>
      <c r="Y11725" s="1171">
        <v>43465.0</v>
      </c>
      <c r="Z11725" s="842">
        <v>-0.7467665645611242</v>
      </c>
      <c r="AA11725" s="1193">
        <v>0.0</v>
      </c>
      <c r="AB11725" s="841">
        <v>-0.03</v>
      </c>
      <c r="AC11725" s="849"/>
      <c r="AD11725" s="1184"/>
      <c r="AE11725" s="1172"/>
      <c r="AF11725" s="1213">
        <v>43619.0</v>
      </c>
      <c r="AG11725" s="1175" t="s">
        <v>1223</v>
      </c>
      <c r="AH11725" s="1069" t="s">
        <v>2422</v>
      </c>
    </row>
    <row r="11726" ht="12.75" customHeight="1">
      <c r="A11726" s="122">
        <v>43750.0</v>
      </c>
      <c r="B11726" s="1020" t="s">
        <v>4014</v>
      </c>
      <c r="C11726" s="32" t="s">
        <v>1035</v>
      </c>
      <c r="D11726" s="150"/>
      <c r="E11726" s="150"/>
      <c r="F11726" s="75"/>
      <c r="G11726" s="67"/>
      <c r="H11726" s="68"/>
      <c r="I11726" s="76"/>
      <c r="J11726" s="67"/>
      <c r="K11726" s="1"/>
      <c r="L11726" s="1083"/>
      <c r="M11726" s="79"/>
      <c r="N11726" s="908">
        <v>40472.0</v>
      </c>
      <c r="O11726" s="826" t="s">
        <v>2396</v>
      </c>
      <c r="P11726" s="826" t="s">
        <v>1035</v>
      </c>
      <c r="Q11726" s="1176">
        <v>1100.0</v>
      </c>
      <c r="R11726" s="1177">
        <v>-0.10273665320771652</v>
      </c>
      <c r="S11726" s="1178">
        <v>1225.95</v>
      </c>
      <c r="T11726" s="1177">
        <v>0.22199937974093653</v>
      </c>
      <c r="U11726" s="844">
        <v>813.6</v>
      </c>
      <c r="V11726" s="844">
        <v>1498.1101395934013</v>
      </c>
      <c r="W11726" s="1187">
        <v>52.25</v>
      </c>
      <c r="X11726" s="1187">
        <v>55.9</v>
      </c>
      <c r="Y11726" s="1188">
        <v>43830.0</v>
      </c>
      <c r="Z11726" s="829">
        <v>0.2532326936516879</v>
      </c>
      <c r="AA11726" s="1179">
        <v>54.975700668171335</v>
      </c>
      <c r="AB11726" s="1066">
        <v>0.15</v>
      </c>
      <c r="AC11726" s="1066">
        <v>0.15</v>
      </c>
      <c r="AD11726" s="1067">
        <v>27.250405568013893</v>
      </c>
      <c r="AE11726" s="1068">
        <v>8.0</v>
      </c>
      <c r="AF11726" s="1188">
        <v>43720.0</v>
      </c>
      <c r="AG11726" s="1182" t="s">
        <v>1240</v>
      </c>
      <c r="AH11726" s="1069" t="s">
        <v>2487</v>
      </c>
    </row>
    <row r="11727" ht="12.75" customHeight="1">
      <c r="A11727" s="122">
        <v>43750.0</v>
      </c>
      <c r="B11727" s="1020" t="s">
        <v>4014</v>
      </c>
      <c r="C11727" s="32" t="s">
        <v>1070</v>
      </c>
      <c r="D11727" s="150"/>
      <c r="E11727" s="150"/>
      <c r="F11727" s="75"/>
      <c r="G11727" s="67"/>
      <c r="H11727" s="68"/>
      <c r="I11727" s="76"/>
      <c r="J11727" s="67"/>
      <c r="K11727" s="1"/>
      <c r="L11727" s="1083"/>
      <c r="M11727" s="79"/>
      <c r="N11727" s="884">
        <v>41900.0</v>
      </c>
      <c r="O11727" s="1061" t="s">
        <v>2488</v>
      </c>
      <c r="P11727" s="839" t="s">
        <v>1070</v>
      </c>
      <c r="Q11727" s="1062">
        <v>230.0</v>
      </c>
      <c r="R11727" s="862">
        <v>-0.05891980360065474</v>
      </c>
      <c r="S11727" s="863">
        <v>244.4</v>
      </c>
      <c r="T11727" s="862">
        <v>0.2497332901863416</v>
      </c>
      <c r="U11727" s="843"/>
      <c r="V11727" s="844">
        <v>305.43481612154187</v>
      </c>
      <c r="W11727" s="1063">
        <v>11.98</v>
      </c>
      <c r="X11727" s="1063">
        <v>13.56</v>
      </c>
      <c r="Y11727" s="1064">
        <v>43861.0</v>
      </c>
      <c r="Z11727" s="842">
        <v>0.3381637626204979</v>
      </c>
      <c r="AA11727" s="1065">
        <v>13.025701255059616</v>
      </c>
      <c r="AB11727" s="1066">
        <v>0.125</v>
      </c>
      <c r="AC11727" s="1066">
        <v>0.225</v>
      </c>
      <c r="AD11727" s="1067">
        <v>23.44862745895549</v>
      </c>
      <c r="AE11727" s="1068">
        <v>4.0</v>
      </c>
      <c r="AF11727" s="1064">
        <v>43732.0</v>
      </c>
      <c r="AG11727" s="1068" t="s">
        <v>1240</v>
      </c>
      <c r="AH11727" s="1069" t="s">
        <v>2490</v>
      </c>
    </row>
    <row r="11728" ht="12.75" customHeight="1">
      <c r="A11728" s="17">
        <v>43751.0</v>
      </c>
      <c r="B11728" s="1020" t="s">
        <v>4013</v>
      </c>
      <c r="C11728" s="32" t="s">
        <v>3619</v>
      </c>
      <c r="D11728" s="150"/>
      <c r="E11728" s="150"/>
      <c r="F11728" s="75"/>
      <c r="G11728" s="67"/>
      <c r="H11728" s="68"/>
      <c r="I11728" s="76"/>
      <c r="J11728" s="67"/>
      <c r="K11728" s="1"/>
      <c r="L11728" s="1083"/>
      <c r="M11728" s="79"/>
      <c r="N11728" s="1214">
        <v>43751.0</v>
      </c>
      <c r="O11728" s="1215" t="s">
        <v>3619</v>
      </c>
      <c r="P11728" s="1215" t="s">
        <v>3619</v>
      </c>
      <c r="Q11728" s="1216"/>
      <c r="R11728" s="1217" t="s">
        <v>2333</v>
      </c>
      <c r="S11728" s="1218">
        <v>9.29</v>
      </c>
      <c r="T11728" s="1219">
        <v>0.03879586379226296</v>
      </c>
      <c r="U11728" s="1220"/>
      <c r="V11728" s="1221">
        <v>9.650413574630122</v>
      </c>
      <c r="W11728" s="1222">
        <v>0.4</v>
      </c>
      <c r="X11728" s="1222">
        <v>0.7262282908163266</v>
      </c>
      <c r="Y11728" s="1223">
        <v>43830.0</v>
      </c>
      <c r="Z11728" s="1224">
        <v>0.2145741792237434</v>
      </c>
      <c r="AA11728" s="1225">
        <v>0.6562281230748487</v>
      </c>
      <c r="AB11728" s="1226">
        <v>0.0</v>
      </c>
      <c r="AC11728" s="1226">
        <v>0.07</v>
      </c>
      <c r="AD11728" s="1227">
        <v>14.705882352941167</v>
      </c>
      <c r="AE11728" s="1228">
        <v>4.0</v>
      </c>
      <c r="AF11728" s="1223">
        <v>43751.0</v>
      </c>
      <c r="AG11728" s="1228" t="s">
        <v>1223</v>
      </c>
      <c r="AH11728" s="1229" t="s">
        <v>3623</v>
      </c>
    </row>
    <row r="11729" ht="12.75" customHeight="1">
      <c r="A11729" s="122">
        <v>43752.0</v>
      </c>
      <c r="B11729" s="32" t="s">
        <v>4015</v>
      </c>
      <c r="C11729" s="32" t="s">
        <v>1537</v>
      </c>
      <c r="D11729" s="9">
        <v>900.0</v>
      </c>
      <c r="E11729" s="9">
        <v>15.199</v>
      </c>
      <c r="F11729" s="709">
        <v>0.4371412037037037</v>
      </c>
      <c r="G11729" s="195" t="s">
        <v>453</v>
      </c>
      <c r="H11729" s="710">
        <v>4.89</v>
      </c>
      <c r="I11729" s="256" t="s">
        <v>3145</v>
      </c>
      <c r="J11729" s="67">
        <f t="shared" ref="J11729:J11730" si="657">IF(or(B11729="SLD",B11729="Rebal SLD"),D11729*E11729,-D11729*E11729)-H11729</f>
        <v>13674.21</v>
      </c>
      <c r="K11729" s="1"/>
      <c r="L11729" s="70">
        <f t="shared" ref="L11729:L11730" si="658">E11753/E11729-1</f>
        <v>0.04612145536</v>
      </c>
      <c r="M11729" s="79"/>
      <c r="N11729" s="585">
        <v>41014.0</v>
      </c>
      <c r="O11729" s="586" t="s">
        <v>1827</v>
      </c>
      <c r="P11729" s="587" t="s">
        <v>1537</v>
      </c>
      <c r="Q11729" s="598">
        <v>25.0</v>
      </c>
      <c r="R11729" s="589">
        <v>0.6202203499675956</v>
      </c>
      <c r="S11729" s="590">
        <v>15.43</v>
      </c>
      <c r="T11729" s="589">
        <v>-0.7622747840262826</v>
      </c>
      <c r="U11729" s="591"/>
      <c r="V11729" s="592">
        <v>3.6681000824744605</v>
      </c>
      <c r="W11729" s="617">
        <v>1.68</v>
      </c>
      <c r="X11729" s="617">
        <v>1.1</v>
      </c>
      <c r="Y11729" s="618">
        <v>43830.0</v>
      </c>
      <c r="Z11729" s="619">
        <v>0.21179829106418166</v>
      </c>
      <c r="AA11729" s="620">
        <v>1.2228430088172255</v>
      </c>
      <c r="AB11729" s="621">
        <v>0.05</v>
      </c>
      <c r="AC11729" s="621">
        <v>0.04</v>
      </c>
      <c r="AD11729" s="622">
        <v>2.999649224001672</v>
      </c>
      <c r="AE11729" s="623">
        <v>20.0</v>
      </c>
      <c r="AF11729" s="624">
        <v>43748.0</v>
      </c>
      <c r="AG11729" s="623" t="s">
        <v>1223</v>
      </c>
      <c r="AH11729" s="601" t="s">
        <v>1830</v>
      </c>
    </row>
    <row r="11730" ht="12.75" customHeight="1">
      <c r="A11730" s="122">
        <v>43752.0</v>
      </c>
      <c r="B11730" s="32" t="s">
        <v>4015</v>
      </c>
      <c r="C11730" s="32" t="s">
        <v>1530</v>
      </c>
      <c r="D11730" s="9">
        <v>900.0</v>
      </c>
      <c r="E11730" s="9">
        <v>21.945</v>
      </c>
      <c r="F11730" s="709">
        <v>0.4378009259259259</v>
      </c>
      <c r="G11730" s="195" t="s">
        <v>453</v>
      </c>
      <c r="H11730" s="710">
        <v>5.02</v>
      </c>
      <c r="I11730" s="256" t="s">
        <v>3145</v>
      </c>
      <c r="J11730" s="67">
        <f t="shared" si="657"/>
        <v>19745.48</v>
      </c>
      <c r="K11730" s="1"/>
      <c r="L11730" s="70">
        <f t="shared" si="658"/>
        <v>0.08425609478</v>
      </c>
      <c r="M11730" s="79"/>
      <c r="N11730" s="597">
        <v>43747.0</v>
      </c>
      <c r="O11730" s="598" t="s">
        <v>1853</v>
      </c>
      <c r="P11730" s="599" t="s">
        <v>1530</v>
      </c>
      <c r="Q11730" s="598">
        <v>40.0</v>
      </c>
      <c r="R11730" s="589">
        <v>0.7605633802816902</v>
      </c>
      <c r="S11730" s="590">
        <v>22.72</v>
      </c>
      <c r="T11730" s="589">
        <v>-0.7799295774647887</v>
      </c>
      <c r="U11730" s="591"/>
      <c r="V11730" s="1230">
        <v>5.0</v>
      </c>
      <c r="W11730" s="591"/>
      <c r="X11730" s="591"/>
      <c r="Y11730" s="591"/>
      <c r="Z11730" s="591"/>
      <c r="AA11730" s="591"/>
      <c r="AB11730" s="586"/>
      <c r="AC11730" s="588"/>
      <c r="AD11730" s="588"/>
      <c r="AE11730" s="588"/>
      <c r="AF11730" s="588"/>
      <c r="AG11730" s="588"/>
      <c r="AH11730" s="601" t="s">
        <v>1859</v>
      </c>
    </row>
    <row r="11731" ht="12.75" customHeight="1">
      <c r="A11731" s="197">
        <v>43752.0</v>
      </c>
      <c r="B11731" s="992"/>
      <c r="C11731" s="32" t="s">
        <v>947</v>
      </c>
      <c r="D11731" s="1"/>
      <c r="E11731" s="94" t="s">
        <v>948</v>
      </c>
      <c r="F11731" s="198" t="s">
        <v>949</v>
      </c>
      <c r="G11731" s="87"/>
      <c r="H11731" s="199"/>
      <c r="I11731" s="200">
        <v>1.0</v>
      </c>
      <c r="K11731" s="201" t="s">
        <v>3988</v>
      </c>
      <c r="L11731" s="77"/>
      <c r="M11731" s="79"/>
      <c r="N11731" s="1"/>
      <c r="O11731" s="1"/>
      <c r="P11731" s="1"/>
      <c r="Q11731" s="1"/>
      <c r="R11731" s="1"/>
      <c r="S11731" s="1"/>
      <c r="T11731" s="1"/>
      <c r="U11731" s="1"/>
      <c r="V11731" s="1"/>
      <c r="W11731" s="1"/>
      <c r="X11731" s="1"/>
      <c r="Y11731" s="1"/>
      <c r="Z11731" s="1"/>
      <c r="AA11731" s="1"/>
      <c r="AB11731" s="1"/>
      <c r="AC11731" s="1"/>
      <c r="AD11731" s="1"/>
      <c r="AE11731" s="1"/>
      <c r="AF11731" s="1"/>
      <c r="AG11731" s="1"/>
      <c r="AH11731" s="1"/>
    </row>
    <row r="11732" ht="12.75" customHeight="1">
      <c r="A11732" s="202">
        <v>43752.0</v>
      </c>
      <c r="B11732" s="992"/>
      <c r="C11732" s="32" t="s">
        <v>952</v>
      </c>
      <c r="D11732" s="1"/>
      <c r="F11732" s="203" t="s">
        <v>953</v>
      </c>
      <c r="G11732" s="1"/>
      <c r="H11732" s="68"/>
      <c r="I11732" s="204">
        <v>0.0</v>
      </c>
      <c r="K11732" s="9" t="s">
        <v>4016</v>
      </c>
      <c r="L11732" s="77"/>
      <c r="M11732" s="79"/>
      <c r="N11732" s="1"/>
      <c r="O11732" s="1"/>
      <c r="P11732" s="1"/>
      <c r="Q11732" s="1"/>
      <c r="R11732" s="1"/>
      <c r="S11732" s="1"/>
      <c r="T11732" s="1"/>
      <c r="U11732" s="1"/>
      <c r="V11732" s="1"/>
      <c r="W11732" s="1"/>
      <c r="X11732" s="1"/>
      <c r="Y11732" s="1"/>
      <c r="Z11732" s="1"/>
      <c r="AA11732" s="1"/>
      <c r="AB11732" s="1"/>
      <c r="AC11732" s="1"/>
      <c r="AD11732" s="1"/>
      <c r="AE11732" s="1"/>
      <c r="AF11732" s="1"/>
      <c r="AG11732" s="1"/>
      <c r="AH11732" s="1"/>
    </row>
    <row r="11733" ht="12.75" customHeight="1">
      <c r="A11733" s="202">
        <v>43752.0</v>
      </c>
      <c r="B11733" s="992"/>
      <c r="C11733" s="32" t="s">
        <v>955</v>
      </c>
      <c r="D11733" s="1"/>
      <c r="F11733" s="203" t="s">
        <v>956</v>
      </c>
      <c r="G11733" s="1"/>
      <c r="H11733" s="68"/>
      <c r="I11733" s="204">
        <v>0.0</v>
      </c>
      <c r="K11733" s="9" t="s">
        <v>4017</v>
      </c>
      <c r="L11733" s="77"/>
      <c r="M11733" s="79"/>
      <c r="N11733" s="1"/>
      <c r="O11733" s="1"/>
      <c r="P11733" s="1"/>
      <c r="Q11733" s="1"/>
      <c r="R11733" s="1"/>
      <c r="S11733" s="1"/>
      <c r="T11733" s="1"/>
      <c r="U11733" s="1"/>
      <c r="V11733" s="1"/>
      <c r="W11733" s="1"/>
      <c r="X11733" s="1"/>
      <c r="Y11733" s="1"/>
      <c r="Z11733" s="1"/>
      <c r="AA11733" s="1"/>
      <c r="AB11733" s="1"/>
      <c r="AC11733" s="1"/>
      <c r="AD11733" s="1"/>
      <c r="AE11733" s="1"/>
      <c r="AF11733" s="1"/>
      <c r="AG11733" s="1"/>
      <c r="AH11733" s="1"/>
    </row>
    <row r="11734" ht="12.75" customHeight="1">
      <c r="A11734" s="202">
        <v>43752.0</v>
      </c>
      <c r="B11734" s="992"/>
      <c r="C11734" s="32" t="s">
        <v>958</v>
      </c>
      <c r="D11734" s="1"/>
      <c r="F11734" s="203" t="s">
        <v>959</v>
      </c>
      <c r="G11734" s="1"/>
      <c r="H11734" s="68"/>
      <c r="I11734" s="204">
        <v>1.0</v>
      </c>
      <c r="K11734" s="9" t="s">
        <v>4012</v>
      </c>
      <c r="L11734" s="77"/>
      <c r="M11734" s="79"/>
      <c r="N11734" s="1"/>
      <c r="O11734" s="1"/>
      <c r="P11734" s="1"/>
      <c r="Q11734" s="1"/>
      <c r="R11734" s="1"/>
      <c r="S11734" s="1"/>
      <c r="T11734" s="1"/>
      <c r="U11734" s="1"/>
      <c r="V11734" s="1"/>
      <c r="W11734" s="1"/>
      <c r="X11734" s="1"/>
      <c r="Y11734" s="1"/>
      <c r="Z11734" s="1"/>
      <c r="AA11734" s="1"/>
      <c r="AB11734" s="1"/>
      <c r="AC11734" s="1"/>
      <c r="AD11734" s="1"/>
      <c r="AE11734" s="1"/>
      <c r="AF11734" s="1"/>
      <c r="AG11734" s="1"/>
      <c r="AH11734" s="1"/>
    </row>
    <row r="11735" ht="12.75" customHeight="1">
      <c r="A11735" s="202">
        <v>43752.0</v>
      </c>
      <c r="B11735" s="992"/>
      <c r="C11735" s="32" t="s">
        <v>961</v>
      </c>
      <c r="D11735" s="1"/>
      <c r="F11735" s="206" t="s">
        <v>962</v>
      </c>
      <c r="G11735" s="207"/>
      <c r="H11735" s="208"/>
      <c r="I11735" s="209">
        <v>2.0</v>
      </c>
      <c r="K11735" s="9" t="s">
        <v>964</v>
      </c>
      <c r="L11735" s="77"/>
      <c r="M11735" s="79"/>
      <c r="N11735" s="1"/>
      <c r="O11735" s="1"/>
      <c r="P11735" s="1"/>
      <c r="Q11735" s="1"/>
      <c r="R11735" s="1"/>
      <c r="S11735" s="1"/>
      <c r="T11735" s="1"/>
      <c r="U11735" s="1"/>
      <c r="V11735" s="1"/>
      <c r="W11735" s="1"/>
      <c r="X11735" s="1"/>
      <c r="Y11735" s="1"/>
      <c r="Z11735" s="1"/>
      <c r="AA11735" s="1"/>
      <c r="AB11735" s="1"/>
      <c r="AC11735" s="1"/>
      <c r="AD11735" s="1"/>
      <c r="AE11735" s="1"/>
      <c r="AF11735" s="1"/>
      <c r="AG11735" s="1"/>
      <c r="AH11735" s="1"/>
    </row>
    <row r="11736" ht="12.75" customHeight="1">
      <c r="A11736" s="197">
        <v>43753.0</v>
      </c>
      <c r="B11736" s="992"/>
      <c r="C11736" s="32" t="s">
        <v>947</v>
      </c>
      <c r="D11736" s="1"/>
      <c r="E11736" s="94" t="s">
        <v>948</v>
      </c>
      <c r="F11736" s="198" t="s">
        <v>949</v>
      </c>
      <c r="G11736" s="87"/>
      <c r="H11736" s="199"/>
      <c r="I11736" s="200">
        <v>1.0</v>
      </c>
      <c r="K11736" s="201" t="s">
        <v>4018</v>
      </c>
      <c r="L11736" s="77"/>
      <c r="M11736" s="79"/>
      <c r="N11736" s="1"/>
      <c r="O11736" s="1"/>
      <c r="P11736" s="1"/>
      <c r="Q11736" s="1"/>
      <c r="R11736" s="1"/>
      <c r="S11736" s="1"/>
      <c r="T11736" s="1"/>
      <c r="U11736" s="1"/>
      <c r="V11736" s="1"/>
      <c r="W11736" s="1"/>
      <c r="X11736" s="1"/>
      <c r="Y11736" s="1"/>
      <c r="Z11736" s="1"/>
      <c r="AA11736" s="1"/>
      <c r="AB11736" s="1"/>
      <c r="AC11736" s="1"/>
      <c r="AD11736" s="1"/>
      <c r="AE11736" s="1"/>
      <c r="AF11736" s="1"/>
      <c r="AG11736" s="1"/>
      <c r="AH11736" s="1"/>
    </row>
    <row r="11737" ht="12.75" customHeight="1">
      <c r="A11737" s="202">
        <v>43753.0</v>
      </c>
      <c r="B11737" s="992"/>
      <c r="C11737" s="32" t="s">
        <v>952</v>
      </c>
      <c r="D11737" s="1"/>
      <c r="F11737" s="203" t="s">
        <v>953</v>
      </c>
      <c r="G11737" s="1"/>
      <c r="H11737" s="68"/>
      <c r="I11737" s="204">
        <v>0.0</v>
      </c>
      <c r="K11737" s="9" t="s">
        <v>4016</v>
      </c>
      <c r="L11737" s="77"/>
      <c r="M11737" s="79"/>
      <c r="N11737" s="1"/>
      <c r="O11737" s="1"/>
      <c r="P11737" s="1"/>
      <c r="Q11737" s="1"/>
      <c r="R11737" s="1"/>
      <c r="S11737" s="1"/>
      <c r="T11737" s="1"/>
      <c r="U11737" s="1"/>
      <c r="V11737" s="1"/>
      <c r="W11737" s="1"/>
      <c r="X11737" s="1"/>
      <c r="Y11737" s="1"/>
      <c r="Z11737" s="1"/>
      <c r="AA11737" s="1"/>
      <c r="AB11737" s="1"/>
      <c r="AC11737" s="1"/>
      <c r="AD11737" s="1"/>
      <c r="AE11737" s="1"/>
      <c r="AF11737" s="1"/>
      <c r="AG11737" s="1"/>
      <c r="AH11737" s="1"/>
    </row>
    <row r="11738" ht="12.75" customHeight="1">
      <c r="A11738" s="202">
        <v>43753.0</v>
      </c>
      <c r="B11738" s="992"/>
      <c r="C11738" s="32" t="s">
        <v>955</v>
      </c>
      <c r="D11738" s="1"/>
      <c r="F11738" s="203" t="s">
        <v>956</v>
      </c>
      <c r="G11738" s="1"/>
      <c r="H11738" s="68"/>
      <c r="I11738" s="204">
        <v>0.0</v>
      </c>
      <c r="K11738" s="9" t="s">
        <v>4017</v>
      </c>
      <c r="L11738" s="77"/>
      <c r="M11738" s="79"/>
      <c r="N11738" s="1"/>
      <c r="O11738" s="1"/>
      <c r="P11738" s="1"/>
      <c r="Q11738" s="1"/>
      <c r="R11738" s="1"/>
      <c r="S11738" s="1"/>
      <c r="T11738" s="1"/>
      <c r="U11738" s="1"/>
      <c r="V11738" s="1"/>
      <c r="W11738" s="1"/>
      <c r="X11738" s="1"/>
      <c r="Y11738" s="1"/>
      <c r="Z11738" s="1"/>
      <c r="AA11738" s="1"/>
      <c r="AB11738" s="1"/>
      <c r="AC11738" s="1"/>
      <c r="AD11738" s="1"/>
      <c r="AE11738" s="1"/>
      <c r="AF11738" s="1"/>
      <c r="AG11738" s="1"/>
      <c r="AH11738" s="1"/>
    </row>
    <row r="11739" ht="12.75" customHeight="1">
      <c r="A11739" s="202">
        <v>43753.0</v>
      </c>
      <c r="B11739" s="992"/>
      <c r="C11739" s="32" t="s">
        <v>958</v>
      </c>
      <c r="D11739" s="1"/>
      <c r="F11739" s="203" t="s">
        <v>959</v>
      </c>
      <c r="G11739" s="1"/>
      <c r="H11739" s="68"/>
      <c r="I11739" s="204">
        <v>1.0</v>
      </c>
      <c r="K11739" s="9" t="s">
        <v>4019</v>
      </c>
      <c r="L11739" s="77"/>
      <c r="M11739" s="79"/>
      <c r="N11739" s="1"/>
      <c r="O11739" s="1"/>
      <c r="P11739" s="1"/>
      <c r="Q11739" s="1"/>
      <c r="R11739" s="1"/>
      <c r="S11739" s="1"/>
      <c r="T11739" s="1"/>
      <c r="U11739" s="1"/>
      <c r="V11739" s="1"/>
      <c r="W11739" s="1"/>
      <c r="X11739" s="1"/>
      <c r="Y11739" s="1"/>
      <c r="Z11739" s="1"/>
      <c r="AA11739" s="1"/>
      <c r="AB11739" s="1"/>
      <c r="AC11739" s="1"/>
      <c r="AD11739" s="1"/>
      <c r="AE11739" s="1"/>
      <c r="AF11739" s="1"/>
      <c r="AG11739" s="1"/>
      <c r="AH11739" s="1"/>
    </row>
    <row r="11740" ht="12.75" customHeight="1">
      <c r="A11740" s="202">
        <v>43753.0</v>
      </c>
      <c r="B11740" s="992"/>
      <c r="C11740" s="32" t="s">
        <v>961</v>
      </c>
      <c r="D11740" s="1"/>
      <c r="F11740" s="206" t="s">
        <v>962</v>
      </c>
      <c r="G11740" s="207"/>
      <c r="H11740" s="208"/>
      <c r="I11740" s="209">
        <v>2.0</v>
      </c>
      <c r="K11740" s="9" t="s">
        <v>964</v>
      </c>
      <c r="L11740" s="77"/>
      <c r="M11740" s="79"/>
      <c r="N11740" s="1"/>
      <c r="O11740" s="1"/>
      <c r="P11740" s="1"/>
      <c r="Q11740" s="1"/>
      <c r="R11740" s="1"/>
      <c r="S11740" s="1"/>
      <c r="T11740" s="1"/>
      <c r="U11740" s="1"/>
      <c r="V11740" s="1"/>
      <c r="W11740" s="1"/>
      <c r="X11740" s="1"/>
      <c r="Y11740" s="1"/>
      <c r="Z11740" s="1"/>
      <c r="AA11740" s="1"/>
      <c r="AB11740" s="1"/>
      <c r="AC11740" s="1"/>
      <c r="AD11740" s="1"/>
      <c r="AE11740" s="1"/>
      <c r="AF11740" s="1"/>
      <c r="AG11740" s="1"/>
      <c r="AH11740" s="1"/>
    </row>
    <row r="11741" ht="12.75" customHeight="1">
      <c r="A11741" s="122">
        <v>43755.0</v>
      </c>
      <c r="B11741" s="32" t="s">
        <v>343</v>
      </c>
      <c r="C11741" s="32" t="s">
        <v>1082</v>
      </c>
      <c r="D11741" s="9">
        <v>17.0</v>
      </c>
      <c r="E11741" s="9">
        <v>1113.63</v>
      </c>
      <c r="F11741" s="709">
        <v>0.4250115740740741</v>
      </c>
      <c r="G11741" s="195" t="s">
        <v>453</v>
      </c>
      <c r="H11741" s="710">
        <v>1.0</v>
      </c>
      <c r="I11741" s="256" t="s">
        <v>3145</v>
      </c>
      <c r="J11741" s="67">
        <f>IF(or(B11741="SLD",B11741="Rebal SLD"),D11741*E11741,-D11741*E11741)-H11741</f>
        <v>-18932.71</v>
      </c>
      <c r="K11741" s="1"/>
      <c r="L11741" s="70"/>
      <c r="M11741" s="250"/>
      <c r="N11741" s="1231">
        <v>41563.0</v>
      </c>
      <c r="O11741" s="1232" t="s">
        <v>1405</v>
      </c>
      <c r="P11741" s="1232" t="s">
        <v>1082</v>
      </c>
      <c r="Q11741" s="1233">
        <v>890.0</v>
      </c>
      <c r="R11741" s="1234">
        <v>-0.19819819819819817</v>
      </c>
      <c r="S11741" s="1235">
        <v>1110.0</v>
      </c>
      <c r="T11741" s="1234">
        <v>0.43580300325233723</v>
      </c>
      <c r="U11741" s="1236"/>
      <c r="V11741" s="890">
        <v>1593.7413336100942</v>
      </c>
      <c r="W11741" s="1237">
        <v>62.48</v>
      </c>
      <c r="X11741" s="1237">
        <v>65.65</v>
      </c>
      <c r="Y11741" s="1238">
        <v>43708.0</v>
      </c>
      <c r="Z11741" s="1239">
        <v>-0.13592748084729092</v>
      </c>
      <c r="AA11741" s="1240">
        <v>66.08089011428592</v>
      </c>
      <c r="AB11741" s="1241">
        <v>0.125</v>
      </c>
      <c r="AC11741" s="1242">
        <v>0.15</v>
      </c>
      <c r="AD11741" s="896">
        <v>24.118036710064622</v>
      </c>
      <c r="AE11741" s="1243">
        <v>6.0</v>
      </c>
      <c r="AF11741" s="1244">
        <v>43669.0</v>
      </c>
      <c r="AG11741" s="1245" t="s">
        <v>1223</v>
      </c>
      <c r="AH11741" s="1246" t="s">
        <v>1406</v>
      </c>
    </row>
    <row r="11742" ht="12.75" customHeight="1">
      <c r="A11742" s="197">
        <v>43756.0</v>
      </c>
      <c r="B11742" s="992"/>
      <c r="C11742" s="32" t="s">
        <v>947</v>
      </c>
      <c r="D11742" s="1"/>
      <c r="E11742" s="94" t="s">
        <v>948</v>
      </c>
      <c r="F11742" s="198" t="s">
        <v>949</v>
      </c>
      <c r="G11742" s="87"/>
      <c r="H11742" s="199"/>
      <c r="I11742" s="200">
        <v>1.0</v>
      </c>
      <c r="K11742" s="201" t="s">
        <v>3988</v>
      </c>
      <c r="L11742" s="77"/>
      <c r="M11742" s="79"/>
      <c r="N11742" s="1"/>
      <c r="O11742" s="1"/>
      <c r="P11742" s="1"/>
      <c r="Q11742" s="1"/>
      <c r="R11742" s="1"/>
      <c r="S11742" s="1"/>
      <c r="T11742" s="1"/>
      <c r="U11742" s="1"/>
      <c r="V11742" s="1"/>
      <c r="W11742" s="1"/>
      <c r="X11742" s="1"/>
      <c r="Y11742" s="1"/>
      <c r="Z11742" s="1"/>
      <c r="AA11742" s="1"/>
      <c r="AB11742" s="1"/>
      <c r="AC11742" s="1"/>
      <c r="AD11742" s="1"/>
      <c r="AE11742" s="1"/>
      <c r="AF11742" s="1"/>
      <c r="AG11742" s="1"/>
      <c r="AH11742" s="1"/>
    </row>
    <row r="11743" ht="12.75" customHeight="1">
      <c r="A11743" s="202">
        <v>43756.0</v>
      </c>
      <c r="B11743" s="992"/>
      <c r="C11743" s="32" t="s">
        <v>952</v>
      </c>
      <c r="D11743" s="1"/>
      <c r="F11743" s="203" t="s">
        <v>953</v>
      </c>
      <c r="G11743" s="1"/>
      <c r="H11743" s="68"/>
      <c r="I11743" s="204">
        <v>0.0</v>
      </c>
      <c r="K11743" s="9" t="s">
        <v>4020</v>
      </c>
      <c r="L11743" s="77"/>
      <c r="M11743" s="79"/>
      <c r="N11743" s="1"/>
      <c r="O11743" s="1"/>
      <c r="P11743" s="1"/>
      <c r="Q11743" s="1"/>
      <c r="R11743" s="1"/>
      <c r="S11743" s="1"/>
      <c r="T11743" s="1"/>
      <c r="U11743" s="1"/>
      <c r="V11743" s="1"/>
      <c r="W11743" s="1"/>
      <c r="X11743" s="1"/>
      <c r="Y11743" s="1"/>
      <c r="Z11743" s="1"/>
      <c r="AA11743" s="1"/>
      <c r="AB11743" s="1"/>
      <c r="AC11743" s="1"/>
      <c r="AD11743" s="1"/>
      <c r="AE11743" s="1"/>
      <c r="AF11743" s="1"/>
      <c r="AG11743" s="1"/>
      <c r="AH11743" s="1"/>
    </row>
    <row r="11744" ht="12.75" customHeight="1">
      <c r="A11744" s="202">
        <v>43756.0</v>
      </c>
      <c r="B11744" s="992"/>
      <c r="C11744" s="32" t="s">
        <v>955</v>
      </c>
      <c r="D11744" s="1"/>
      <c r="F11744" s="203" t="s">
        <v>956</v>
      </c>
      <c r="G11744" s="1"/>
      <c r="H11744" s="68"/>
      <c r="I11744" s="204">
        <v>0.0</v>
      </c>
      <c r="K11744" s="9" t="s">
        <v>4021</v>
      </c>
      <c r="L11744" s="77"/>
      <c r="M11744" s="79"/>
      <c r="N11744" s="1"/>
      <c r="O11744" s="1"/>
      <c r="P11744" s="1"/>
      <c r="Q11744" s="1"/>
      <c r="R11744" s="1"/>
      <c r="S11744" s="1"/>
      <c r="T11744" s="1"/>
      <c r="U11744" s="1"/>
      <c r="V11744" s="1"/>
      <c r="W11744" s="1"/>
      <c r="X11744" s="1"/>
      <c r="Y11744" s="1"/>
      <c r="Z11744" s="1"/>
      <c r="AA11744" s="1"/>
      <c r="AB11744" s="1"/>
      <c r="AC11744" s="1"/>
      <c r="AD11744" s="1"/>
      <c r="AE11744" s="1"/>
      <c r="AF11744" s="1"/>
      <c r="AG11744" s="1"/>
      <c r="AH11744" s="1"/>
    </row>
    <row r="11745" ht="12.75" customHeight="1">
      <c r="A11745" s="202">
        <v>43756.0</v>
      </c>
      <c r="B11745" s="992"/>
      <c r="C11745" s="32" t="s">
        <v>958</v>
      </c>
      <c r="D11745" s="1"/>
      <c r="F11745" s="203" t="s">
        <v>959</v>
      </c>
      <c r="G11745" s="1"/>
      <c r="H11745" s="68"/>
      <c r="I11745" s="204">
        <v>1.0</v>
      </c>
      <c r="K11745" s="9" t="s">
        <v>4022</v>
      </c>
      <c r="L11745" s="77"/>
      <c r="M11745" s="79"/>
      <c r="N11745" s="1"/>
      <c r="O11745" s="1"/>
      <c r="P11745" s="1"/>
      <c r="Q11745" s="1"/>
      <c r="R11745" s="1"/>
      <c r="S11745" s="1"/>
      <c r="T11745" s="1"/>
      <c r="U11745" s="1"/>
      <c r="V11745" s="1"/>
      <c r="W11745" s="1"/>
      <c r="X11745" s="1"/>
      <c r="Y11745" s="1"/>
      <c r="Z11745" s="1"/>
      <c r="AA11745" s="1"/>
      <c r="AB11745" s="1"/>
      <c r="AC11745" s="1"/>
      <c r="AD11745" s="1"/>
      <c r="AE11745" s="1"/>
      <c r="AF11745" s="1"/>
      <c r="AG11745" s="1"/>
      <c r="AH11745" s="1"/>
    </row>
    <row r="11746" ht="12.75" customHeight="1">
      <c r="A11746" s="202">
        <v>43756.0</v>
      </c>
      <c r="B11746" s="992"/>
      <c r="C11746" s="32" t="s">
        <v>961</v>
      </c>
      <c r="D11746" s="1"/>
      <c r="F11746" s="206" t="s">
        <v>962</v>
      </c>
      <c r="G11746" s="207"/>
      <c r="H11746" s="208"/>
      <c r="I11746" s="209">
        <v>2.0</v>
      </c>
      <c r="K11746" s="9" t="s">
        <v>964</v>
      </c>
      <c r="L11746" s="77"/>
      <c r="M11746" s="79"/>
      <c r="N11746" s="1"/>
      <c r="O11746" s="1"/>
      <c r="P11746" s="1"/>
      <c r="Q11746" s="1"/>
      <c r="R11746" s="1"/>
      <c r="S11746" s="1"/>
      <c r="T11746" s="1"/>
      <c r="U11746" s="1"/>
      <c r="V11746" s="1"/>
      <c r="W11746" s="1"/>
      <c r="X11746" s="1"/>
      <c r="Y11746" s="1"/>
      <c r="Z11746" s="1"/>
      <c r="AA11746" s="1"/>
      <c r="AB11746" s="1"/>
      <c r="AC11746" s="1"/>
      <c r="AD11746" s="1"/>
      <c r="AE11746" s="1"/>
      <c r="AF11746" s="1"/>
      <c r="AG11746" s="1"/>
      <c r="AH11746" s="1"/>
    </row>
    <row r="11747" ht="12.75" customHeight="1">
      <c r="A11747" s="197">
        <v>43758.0</v>
      </c>
      <c r="B11747" s="193"/>
      <c r="C11747" s="32" t="s">
        <v>947</v>
      </c>
      <c r="D11747" s="1"/>
      <c r="E11747" s="94" t="s">
        <v>948</v>
      </c>
      <c r="F11747" s="198" t="s">
        <v>949</v>
      </c>
      <c r="G11747" s="87"/>
      <c r="H11747" s="199"/>
      <c r="I11747" s="200">
        <v>1.0</v>
      </c>
      <c r="K11747" s="201" t="s">
        <v>3988</v>
      </c>
      <c r="L11747" s="77"/>
      <c r="M11747" s="79"/>
      <c r="N11747" s="1"/>
      <c r="O11747" s="1"/>
      <c r="P11747" s="1"/>
      <c r="Q11747" s="1"/>
      <c r="R11747" s="1"/>
      <c r="S11747" s="1"/>
      <c r="T11747" s="1"/>
      <c r="U11747" s="1"/>
      <c r="V11747" s="1"/>
      <c r="W11747" s="1"/>
      <c r="X11747" s="1"/>
      <c r="Y11747" s="1"/>
      <c r="Z11747" s="1"/>
      <c r="AA11747" s="1"/>
      <c r="AB11747" s="1"/>
      <c r="AC11747" s="1"/>
      <c r="AD11747" s="1"/>
      <c r="AE11747" s="1"/>
      <c r="AF11747" s="1"/>
      <c r="AG11747" s="1"/>
      <c r="AH11747" s="1"/>
    </row>
    <row r="11748" ht="12.75" customHeight="1">
      <c r="A11748" s="202">
        <v>43758.0</v>
      </c>
      <c r="B11748" s="193"/>
      <c r="C11748" s="32" t="s">
        <v>952</v>
      </c>
      <c r="D11748" s="1"/>
      <c r="F11748" s="203" t="s">
        <v>953</v>
      </c>
      <c r="G11748" s="1"/>
      <c r="H11748" s="68"/>
      <c r="I11748" s="204">
        <v>0.0</v>
      </c>
      <c r="K11748" s="9" t="s">
        <v>4023</v>
      </c>
      <c r="L11748" s="77"/>
      <c r="M11748" s="79"/>
      <c r="N11748" s="1"/>
      <c r="O11748" s="1"/>
      <c r="P11748" s="1"/>
      <c r="Q11748" s="1"/>
      <c r="R11748" s="1"/>
      <c r="S11748" s="1"/>
      <c r="T11748" s="1"/>
      <c r="U11748" s="1"/>
      <c r="V11748" s="1"/>
      <c r="W11748" s="1"/>
      <c r="X11748" s="1"/>
      <c r="Y11748" s="1"/>
      <c r="Z11748" s="1"/>
      <c r="AA11748" s="1"/>
      <c r="AB11748" s="1"/>
      <c r="AC11748" s="1"/>
      <c r="AD11748" s="1"/>
      <c r="AE11748" s="1"/>
      <c r="AF11748" s="1"/>
      <c r="AG11748" s="1"/>
      <c r="AH11748" s="1"/>
    </row>
    <row r="11749" ht="12.75" customHeight="1">
      <c r="A11749" s="202">
        <v>43758.0</v>
      </c>
      <c r="B11749" s="193"/>
      <c r="C11749" s="32" t="s">
        <v>955</v>
      </c>
      <c r="D11749" s="1"/>
      <c r="F11749" s="203" t="s">
        <v>956</v>
      </c>
      <c r="G11749" s="1"/>
      <c r="H11749" s="68"/>
      <c r="I11749" s="204">
        <v>0.0</v>
      </c>
      <c r="K11749" s="9" t="s">
        <v>4021</v>
      </c>
      <c r="L11749" s="77"/>
      <c r="M11749" s="79"/>
      <c r="N11749" s="1"/>
      <c r="O11749" s="1"/>
      <c r="P11749" s="1"/>
      <c r="Q11749" s="1"/>
      <c r="R11749" s="1"/>
      <c r="S11749" s="1"/>
      <c r="T11749" s="1"/>
      <c r="U11749" s="1"/>
      <c r="V11749" s="1"/>
      <c r="W11749" s="1"/>
      <c r="X11749" s="1"/>
      <c r="Y11749" s="1"/>
      <c r="Z11749" s="1"/>
      <c r="AA11749" s="1"/>
      <c r="AB11749" s="1"/>
      <c r="AC11749" s="1"/>
      <c r="AD11749" s="1"/>
      <c r="AE11749" s="1"/>
      <c r="AF11749" s="1"/>
      <c r="AG11749" s="1"/>
      <c r="AH11749" s="1"/>
    </row>
    <row r="11750" ht="12.75" customHeight="1">
      <c r="A11750" s="202">
        <v>43758.0</v>
      </c>
      <c r="B11750" s="193"/>
      <c r="C11750" s="32" t="s">
        <v>958</v>
      </c>
      <c r="D11750" s="1"/>
      <c r="F11750" s="203" t="s">
        <v>959</v>
      </c>
      <c r="G11750" s="1"/>
      <c r="H11750" s="68"/>
      <c r="I11750" s="204">
        <v>1.0</v>
      </c>
      <c r="K11750" s="9" t="s">
        <v>4024</v>
      </c>
      <c r="L11750" s="77"/>
      <c r="M11750" s="79"/>
      <c r="N11750" s="1"/>
      <c r="O11750" s="1"/>
      <c r="P11750" s="1"/>
      <c r="Q11750" s="1"/>
      <c r="R11750" s="1"/>
      <c r="S11750" s="1"/>
      <c r="T11750" s="1"/>
      <c r="U11750" s="1"/>
      <c r="V11750" s="1"/>
      <c r="W11750" s="1"/>
      <c r="X11750" s="1"/>
      <c r="Y11750" s="1"/>
      <c r="Z11750" s="1"/>
      <c r="AA11750" s="1"/>
      <c r="AB11750" s="1"/>
      <c r="AC11750" s="1"/>
      <c r="AD11750" s="1"/>
      <c r="AE11750" s="1"/>
      <c r="AF11750" s="1"/>
      <c r="AG11750" s="1"/>
      <c r="AH11750" s="1"/>
    </row>
    <row r="11751" ht="12.75" customHeight="1">
      <c r="A11751" s="202">
        <v>43758.0</v>
      </c>
      <c r="B11751" s="193"/>
      <c r="C11751" s="32" t="s">
        <v>961</v>
      </c>
      <c r="D11751" s="1"/>
      <c r="F11751" s="206" t="s">
        <v>962</v>
      </c>
      <c r="G11751" s="207"/>
      <c r="H11751" s="208"/>
      <c r="I11751" s="209">
        <v>2.0</v>
      </c>
      <c r="K11751" s="9" t="s">
        <v>964</v>
      </c>
      <c r="L11751" s="77"/>
      <c r="M11751" s="79"/>
      <c r="N11751" s="1"/>
      <c r="O11751" s="1"/>
      <c r="P11751" s="1"/>
      <c r="Q11751" s="1"/>
      <c r="R11751" s="1"/>
      <c r="S11751" s="1"/>
      <c r="T11751" s="1"/>
      <c r="U11751" s="1"/>
      <c r="V11751" s="1"/>
      <c r="W11751" s="1"/>
      <c r="X11751" s="1"/>
      <c r="Y11751" s="1"/>
      <c r="Z11751" s="1"/>
      <c r="AA11751" s="1"/>
      <c r="AB11751" s="1"/>
      <c r="AC11751" s="1"/>
      <c r="AD11751" s="1"/>
      <c r="AE11751" s="1"/>
      <c r="AF11751" s="1"/>
      <c r="AG11751" s="1"/>
      <c r="AH11751" s="1"/>
    </row>
    <row r="11752" ht="12.75" customHeight="1">
      <c r="A11752" s="122">
        <v>43759.0</v>
      </c>
      <c r="B11752" s="32" t="s">
        <v>4013</v>
      </c>
      <c r="C11752" s="32" t="s">
        <v>1530</v>
      </c>
      <c r="D11752" s="150"/>
      <c r="E11752" s="150"/>
      <c r="F11752" s="75"/>
      <c r="G11752" s="67"/>
      <c r="H11752" s="68"/>
      <c r="I11752" s="76"/>
      <c r="J11752" s="67"/>
      <c r="K11752" s="1"/>
      <c r="L11752" s="77"/>
      <c r="M11752" s="79"/>
      <c r="N11752" s="597">
        <v>43747.0</v>
      </c>
      <c r="O11752" s="598" t="s">
        <v>1853</v>
      </c>
      <c r="P11752" s="599" t="s">
        <v>1530</v>
      </c>
      <c r="Q11752" s="598">
        <v>40.0</v>
      </c>
      <c r="R11752" s="589">
        <v>0.7368649587494571</v>
      </c>
      <c r="S11752" s="590">
        <v>23.03</v>
      </c>
      <c r="T11752" s="589">
        <v>-0.8551085976773893</v>
      </c>
      <c r="U11752" s="591"/>
      <c r="V11752" s="592">
        <v>3.3368489954897225</v>
      </c>
      <c r="W11752" s="628">
        <v>1.18</v>
      </c>
      <c r="X11752" s="628">
        <v>0.0</v>
      </c>
      <c r="Y11752" s="600">
        <v>43830.0</v>
      </c>
      <c r="Z11752" s="619">
        <v>0.19229299296042482</v>
      </c>
      <c r="AA11752" s="620">
        <v>0.22690573169330128</v>
      </c>
      <c r="AB11752" s="621">
        <v>0.0</v>
      </c>
      <c r="AC11752" s="621">
        <v>0.04</v>
      </c>
      <c r="AD11752" s="622">
        <v>14.705882352941167</v>
      </c>
      <c r="AE11752" s="623">
        <v>20.0</v>
      </c>
      <c r="AF11752" s="624">
        <v>43759.0</v>
      </c>
      <c r="AG11752" s="623" t="s">
        <v>1609</v>
      </c>
      <c r="AH11752" s="601" t="s">
        <v>1859</v>
      </c>
    </row>
    <row r="11753" ht="12.75" customHeight="1">
      <c r="A11753" s="122">
        <v>43760.0</v>
      </c>
      <c r="B11753" s="32" t="s">
        <v>343</v>
      </c>
      <c r="C11753" s="32" t="s">
        <v>1537</v>
      </c>
      <c r="D11753" s="708">
        <v>1800.0</v>
      </c>
      <c r="E11753" s="9">
        <v>15.9</v>
      </c>
      <c r="F11753" s="709">
        <v>0.6516666666666666</v>
      </c>
      <c r="G11753" s="195" t="s">
        <v>453</v>
      </c>
      <c r="H11753" s="710">
        <v>9.0</v>
      </c>
      <c r="I11753" s="256" t="s">
        <v>3145</v>
      </c>
      <c r="J11753" s="67">
        <f t="shared" ref="J11753:J11759" si="659">IF(or(B11753="SLD",B11753="Rebal SLD"),D11753*E11753,-D11753*E11753)-H11753</f>
        <v>-28629</v>
      </c>
      <c r="K11753" s="1"/>
      <c r="L11753" s="70" t="str">
        <f t="shared" ref="L11753:L11759" si="660">na()</f>
        <v>#N/A</v>
      </c>
      <c r="M11753" s="79"/>
      <c r="N11753" s="585">
        <v>41014.0</v>
      </c>
      <c r="O11753" s="586" t="s">
        <v>1827</v>
      </c>
      <c r="P11753" s="587" t="s">
        <v>1537</v>
      </c>
      <c r="Q11753" s="598">
        <v>25.0</v>
      </c>
      <c r="R11753" s="589">
        <v>0.5762925598991173</v>
      </c>
      <c r="S11753" s="590">
        <v>15.86</v>
      </c>
      <c r="T11753" s="589">
        <v>-0.8029135873191471</v>
      </c>
      <c r="U11753" s="591"/>
      <c r="V11753" s="592">
        <v>3.1257905051183275</v>
      </c>
      <c r="W11753" s="617">
        <v>1.12</v>
      </c>
      <c r="X11753" s="617">
        <v>0.0</v>
      </c>
      <c r="Y11753" s="618">
        <v>43830.0</v>
      </c>
      <c r="Z11753" s="619">
        <v>0.18978013781075564</v>
      </c>
      <c r="AA11753" s="620">
        <v>0.21255375434804635</v>
      </c>
      <c r="AB11753" s="621">
        <v>0.0</v>
      </c>
      <c r="AC11753" s="621">
        <v>0.04</v>
      </c>
      <c r="AD11753" s="622">
        <v>14.70588235294117</v>
      </c>
      <c r="AE11753" s="623">
        <v>20.0</v>
      </c>
      <c r="AF11753" s="624">
        <v>43758.0</v>
      </c>
      <c r="AG11753" s="623" t="s">
        <v>1223</v>
      </c>
      <c r="AH11753" s="601" t="s">
        <v>1830</v>
      </c>
    </row>
    <row r="11754" ht="12.75" customHeight="1">
      <c r="A11754" s="122">
        <v>43760.0</v>
      </c>
      <c r="B11754" s="32" t="s">
        <v>343</v>
      </c>
      <c r="C11754" s="32" t="s">
        <v>1530</v>
      </c>
      <c r="D11754" s="9">
        <v>900.0</v>
      </c>
      <c r="E11754" s="9">
        <v>23.794</v>
      </c>
      <c r="F11754" s="709">
        <v>0.651886574074074</v>
      </c>
      <c r="G11754" s="195" t="s">
        <v>453</v>
      </c>
      <c r="H11754" s="710">
        <v>4.5</v>
      </c>
      <c r="I11754" s="256" t="s">
        <v>3145</v>
      </c>
      <c r="J11754" s="67">
        <f t="shared" si="659"/>
        <v>-21419.1</v>
      </c>
      <c r="K11754" s="1"/>
      <c r="L11754" s="70" t="str">
        <f t="shared" si="660"/>
        <v>#N/A</v>
      </c>
      <c r="M11754" s="79"/>
      <c r="N11754" s="597">
        <v>43747.0</v>
      </c>
      <c r="O11754" s="598" t="s">
        <v>1853</v>
      </c>
      <c r="P11754" s="599" t="s">
        <v>1530</v>
      </c>
      <c r="Q11754" s="598">
        <v>40.0</v>
      </c>
      <c r="R11754" s="589">
        <v>0.6771488469601676</v>
      </c>
      <c r="S11754" s="590">
        <v>23.85</v>
      </c>
      <c r="T11754" s="589">
        <v>-0.8619191516205975</v>
      </c>
      <c r="U11754" s="591"/>
      <c r="V11754" s="592">
        <v>3.293228233848751</v>
      </c>
      <c r="W11754" s="628">
        <v>1.18</v>
      </c>
      <c r="X11754" s="628">
        <v>0.0</v>
      </c>
      <c r="Y11754" s="600">
        <v>43830.0</v>
      </c>
      <c r="Z11754" s="619">
        <v>0.189779254153996</v>
      </c>
      <c r="AA11754" s="620">
        <v>0.22393951990171526</v>
      </c>
      <c r="AB11754" s="621">
        <v>0.0</v>
      </c>
      <c r="AC11754" s="621">
        <v>0.04</v>
      </c>
      <c r="AD11754" s="622">
        <v>14.705882352941163</v>
      </c>
      <c r="AE11754" s="623">
        <v>20.0</v>
      </c>
      <c r="AF11754" s="624">
        <v>43759.0</v>
      </c>
      <c r="AG11754" s="623" t="s">
        <v>1609</v>
      </c>
      <c r="AH11754" s="601" t="s">
        <v>1859</v>
      </c>
    </row>
    <row r="11755" ht="12.75" customHeight="1">
      <c r="A11755" s="122">
        <v>43760.0</v>
      </c>
      <c r="B11755" s="32" t="s">
        <v>347</v>
      </c>
      <c r="C11755" s="32" t="s">
        <v>346</v>
      </c>
      <c r="D11755" s="9">
        <v>50.0</v>
      </c>
      <c r="E11755" s="9">
        <v>239.79</v>
      </c>
      <c r="F11755" s="709">
        <v>0.6581712962962963</v>
      </c>
      <c r="G11755" s="195" t="s">
        <v>453</v>
      </c>
      <c r="H11755" s="710">
        <v>1.25</v>
      </c>
      <c r="I11755" s="256" t="s">
        <v>3145</v>
      </c>
      <c r="J11755" s="67">
        <f t="shared" si="659"/>
        <v>11988.25</v>
      </c>
      <c r="K11755" s="1"/>
      <c r="L11755" s="70" t="str">
        <f t="shared" si="660"/>
        <v>#N/A</v>
      </c>
      <c r="M11755" s="79"/>
      <c r="N11755" s="597">
        <v>40424.0</v>
      </c>
      <c r="O11755" s="598" t="s">
        <v>1237</v>
      </c>
      <c r="P11755" s="599" t="s">
        <v>346</v>
      </c>
      <c r="Q11755" s="598">
        <v>187.5</v>
      </c>
      <c r="R11755" s="589">
        <v>-0.21861976996166033</v>
      </c>
      <c r="S11755" s="590">
        <v>239.96</v>
      </c>
      <c r="T11755" s="589">
        <v>0.24600142852780738</v>
      </c>
      <c r="U11755" s="591"/>
      <c r="V11755" s="592">
        <v>298.9905027895327</v>
      </c>
      <c r="W11755" s="628">
        <v>11.6</v>
      </c>
      <c r="X11755" s="628">
        <v>12.76</v>
      </c>
      <c r="Y11755" s="600">
        <v>43738.0</v>
      </c>
      <c r="Z11755" s="619">
        <v>-0.06228062284373589</v>
      </c>
      <c r="AA11755" s="620">
        <v>12.832245522498733</v>
      </c>
      <c r="AB11755" s="621">
        <v>0.04</v>
      </c>
      <c r="AC11755" s="621">
        <v>0.225</v>
      </c>
      <c r="AD11755" s="622">
        <v>23.29993626332302</v>
      </c>
      <c r="AE11755" s="623">
        <v>6.0</v>
      </c>
      <c r="AF11755" s="624">
        <v>43722.0</v>
      </c>
      <c r="AG11755" s="623" t="s">
        <v>1240</v>
      </c>
      <c r="AH11755" s="601" t="s">
        <v>1241</v>
      </c>
    </row>
    <row r="11756" ht="12.75" customHeight="1">
      <c r="A11756" s="122">
        <v>43760.0</v>
      </c>
      <c r="B11756" s="32" t="s">
        <v>347</v>
      </c>
      <c r="C11756" s="32" t="s">
        <v>1056</v>
      </c>
      <c r="D11756" s="9">
        <v>50.0</v>
      </c>
      <c r="E11756" s="9">
        <v>400.3</v>
      </c>
      <c r="F11756" s="709">
        <v>0.658912037037037</v>
      </c>
      <c r="G11756" s="195" t="s">
        <v>453</v>
      </c>
      <c r="H11756" s="710">
        <v>1.42</v>
      </c>
      <c r="I11756" s="256" t="s">
        <v>3145</v>
      </c>
      <c r="J11756" s="67">
        <f t="shared" si="659"/>
        <v>20013.58</v>
      </c>
      <c r="K11756" s="1"/>
      <c r="L11756" s="70" t="str">
        <f t="shared" si="660"/>
        <v>#N/A</v>
      </c>
      <c r="M11756" s="79"/>
      <c r="N11756" s="597">
        <v>42222.0</v>
      </c>
      <c r="O11756" s="598" t="s">
        <v>3150</v>
      </c>
      <c r="P11756" s="599" t="s">
        <v>1056</v>
      </c>
      <c r="Q11756" s="598">
        <v>340.0</v>
      </c>
      <c r="R11756" s="589">
        <v>-0.15084915084915085</v>
      </c>
      <c r="S11756" s="590">
        <v>400.4</v>
      </c>
      <c r="T11756" s="589">
        <v>0.5186158405630634</v>
      </c>
      <c r="U11756" s="591"/>
      <c r="V11756" s="592">
        <v>608.0537825614506</v>
      </c>
      <c r="W11756" s="628">
        <v>17.74</v>
      </c>
      <c r="X11756" s="628">
        <v>19.88</v>
      </c>
      <c r="Y11756" s="600">
        <v>43830.0</v>
      </c>
      <c r="Z11756" s="619">
        <v>0.1897741711377533</v>
      </c>
      <c r="AA11756" s="620">
        <v>19.473883273765207</v>
      </c>
      <c r="AB11756" s="621">
        <v>0.1</v>
      </c>
      <c r="AC11756" s="621">
        <v>0.3</v>
      </c>
      <c r="AD11756" s="622">
        <v>31.22406425125324</v>
      </c>
      <c r="AE11756" s="623">
        <v>6.0</v>
      </c>
      <c r="AF11756" s="624">
        <v>43656.0</v>
      </c>
      <c r="AG11756" s="623" t="s">
        <v>1223</v>
      </c>
      <c r="AH11756" s="601" t="s">
        <v>3152</v>
      </c>
    </row>
    <row r="11757" ht="12.75" customHeight="1">
      <c r="A11757" s="122">
        <v>43760.0</v>
      </c>
      <c r="B11757" s="32" t="s">
        <v>347</v>
      </c>
      <c r="C11757" s="32" t="s">
        <v>381</v>
      </c>
      <c r="D11757" s="9">
        <v>100.0</v>
      </c>
      <c r="E11757" s="9">
        <v>183.0</v>
      </c>
      <c r="F11757" s="709">
        <v>0.66</v>
      </c>
      <c r="G11757" s="195" t="s">
        <v>453</v>
      </c>
      <c r="H11757" s="710">
        <v>1.39</v>
      </c>
      <c r="I11757" s="256" t="s">
        <v>3145</v>
      </c>
      <c r="J11757" s="67">
        <f t="shared" si="659"/>
        <v>18298.61</v>
      </c>
      <c r="K11757" s="1"/>
      <c r="L11757" s="70" t="str">
        <f t="shared" si="660"/>
        <v>#N/A</v>
      </c>
      <c r="M11757" s="79"/>
      <c r="N11757" s="597">
        <v>42688.0</v>
      </c>
      <c r="O11757" s="598" t="s">
        <v>2125</v>
      </c>
      <c r="P11757" s="599" t="s">
        <v>381</v>
      </c>
      <c r="Q11757" s="598">
        <v>160.0</v>
      </c>
      <c r="R11757" s="589">
        <v>-0.12251837227158058</v>
      </c>
      <c r="S11757" s="590">
        <v>182.34</v>
      </c>
      <c r="T11757" s="589">
        <v>0.6707214306754206</v>
      </c>
      <c r="U11757" s="591"/>
      <c r="V11757" s="592">
        <v>304.6393456693562</v>
      </c>
      <c r="W11757" s="628">
        <v>7.98</v>
      </c>
      <c r="X11757" s="628">
        <v>9.26</v>
      </c>
      <c r="Y11757" s="600">
        <v>43830.0</v>
      </c>
      <c r="Z11757" s="619">
        <v>0.18977417078894587</v>
      </c>
      <c r="AA11757" s="620">
        <v>9.017089061390148</v>
      </c>
      <c r="AB11757" s="621">
        <v>0.2</v>
      </c>
      <c r="AC11757" s="621">
        <v>0.25</v>
      </c>
      <c r="AD11757" s="622">
        <v>33.78466638128009</v>
      </c>
      <c r="AE11757" s="623">
        <v>4.0</v>
      </c>
      <c r="AF11757" s="624">
        <v>43679.0</v>
      </c>
      <c r="AG11757" s="623" t="s">
        <v>1240</v>
      </c>
      <c r="AH11757" s="601" t="s">
        <v>2126</v>
      </c>
    </row>
    <row r="11758" ht="12.75" customHeight="1">
      <c r="A11758" s="122">
        <v>43760.0</v>
      </c>
      <c r="B11758" s="32" t="s">
        <v>347</v>
      </c>
      <c r="C11758" s="32" t="s">
        <v>1053</v>
      </c>
      <c r="D11758" s="9">
        <v>10.0</v>
      </c>
      <c r="E11758" s="9">
        <v>1763.82</v>
      </c>
      <c r="F11758" s="709">
        <v>0.6607523148148148</v>
      </c>
      <c r="G11758" s="195" t="s">
        <v>453</v>
      </c>
      <c r="H11758" s="710">
        <v>1.37</v>
      </c>
      <c r="I11758" s="256" t="s">
        <v>3145</v>
      </c>
      <c r="J11758" s="67">
        <f t="shared" si="659"/>
        <v>17636.83</v>
      </c>
      <c r="K11758" s="1"/>
      <c r="L11758" s="70" t="str">
        <f t="shared" si="660"/>
        <v>#N/A</v>
      </c>
      <c r="M11758" s="79"/>
      <c r="N11758" s="597">
        <v>42444.0</v>
      </c>
      <c r="O11758" s="598" t="s">
        <v>1353</v>
      </c>
      <c r="P11758" s="599" t="s">
        <v>1053</v>
      </c>
      <c r="Q11758" s="598">
        <v>1650.0</v>
      </c>
      <c r="R11758" s="589">
        <v>-0.06554229695366787</v>
      </c>
      <c r="S11758" s="590">
        <v>1765.73</v>
      </c>
      <c r="T11758" s="589">
        <v>0.2919817782625458</v>
      </c>
      <c r="U11758" s="591"/>
      <c r="V11758" s="592">
        <v>2281.290985331525</v>
      </c>
      <c r="W11758" s="628">
        <v>48.309</v>
      </c>
      <c r="X11758" s="628">
        <v>60.38625</v>
      </c>
      <c r="Y11758" s="600">
        <v>43830.0</v>
      </c>
      <c r="Z11758" s="619">
        <v>0.18977417050354894</v>
      </c>
      <c r="AA11758" s="620">
        <v>58.094299899286014</v>
      </c>
      <c r="AB11758" s="621">
        <v>0.25</v>
      </c>
      <c r="AC11758" s="621">
        <v>0.25</v>
      </c>
      <c r="AD11758" s="622">
        <v>39.268757679952046</v>
      </c>
      <c r="AE11758" s="623">
        <v>8.0</v>
      </c>
      <c r="AF11758" s="624">
        <v>43669.0</v>
      </c>
      <c r="AG11758" s="623" t="s">
        <v>1240</v>
      </c>
      <c r="AH11758" s="601" t="s">
        <v>1356</v>
      </c>
    </row>
    <row r="11759" ht="12.75" customHeight="1">
      <c r="A11759" s="122">
        <v>43760.0</v>
      </c>
      <c r="B11759" s="32" t="s">
        <v>347</v>
      </c>
      <c r="C11759" s="32" t="s">
        <v>346</v>
      </c>
      <c r="D11759" s="9">
        <v>50.0</v>
      </c>
      <c r="E11759" s="9">
        <v>240.2</v>
      </c>
      <c r="F11759" s="709">
        <v>0.6665856481481481</v>
      </c>
      <c r="G11759" s="195" t="s">
        <v>453</v>
      </c>
      <c r="H11759" s="710">
        <v>1.25</v>
      </c>
      <c r="I11759" s="256" t="s">
        <v>3145</v>
      </c>
      <c r="J11759" s="67">
        <f t="shared" si="659"/>
        <v>12008.75</v>
      </c>
      <c r="K11759" s="1"/>
      <c r="L11759" s="70" t="str">
        <f t="shared" si="660"/>
        <v>#N/A</v>
      </c>
      <c r="M11759" s="79"/>
      <c r="N11759" s="597">
        <v>40424.0</v>
      </c>
      <c r="O11759" s="598" t="s">
        <v>1237</v>
      </c>
      <c r="P11759" s="599" t="s">
        <v>346</v>
      </c>
      <c r="Q11759" s="598">
        <v>187.5</v>
      </c>
      <c r="R11759" s="589">
        <v>-0.21861976996166033</v>
      </c>
      <c r="S11759" s="590">
        <v>239.96</v>
      </c>
      <c r="T11759" s="589">
        <v>0.24600142852780738</v>
      </c>
      <c r="U11759" s="591"/>
      <c r="V11759" s="592">
        <v>298.9905027895327</v>
      </c>
      <c r="W11759" s="628">
        <v>11.6</v>
      </c>
      <c r="X11759" s="628">
        <v>12.76</v>
      </c>
      <c r="Y11759" s="600">
        <v>43738.0</v>
      </c>
      <c r="Z11759" s="619">
        <v>-0.06228062284373589</v>
      </c>
      <c r="AA11759" s="620">
        <v>12.832245522498733</v>
      </c>
      <c r="AB11759" s="621">
        <v>0.04</v>
      </c>
      <c r="AC11759" s="621">
        <v>0.225</v>
      </c>
      <c r="AD11759" s="622">
        <v>23.29993626332302</v>
      </c>
      <c r="AE11759" s="623">
        <v>6.0</v>
      </c>
      <c r="AF11759" s="624">
        <v>43722.0</v>
      </c>
      <c r="AG11759" s="623" t="s">
        <v>1240</v>
      </c>
      <c r="AH11759" s="601" t="s">
        <v>1241</v>
      </c>
    </row>
    <row r="11760" ht="12.75" customHeight="1">
      <c r="A11760" s="1060">
        <v>43760.0</v>
      </c>
      <c r="B11760" s="32" t="s">
        <v>4013</v>
      </c>
      <c r="C11760" s="32" t="s">
        <v>2858</v>
      </c>
      <c r="D11760" s="150"/>
      <c r="E11760" s="150"/>
      <c r="F11760" s="75"/>
      <c r="G11760" s="67"/>
      <c r="H11760" s="68"/>
      <c r="I11760" s="76"/>
      <c r="J11760" s="67"/>
      <c r="K11760" s="1"/>
      <c r="L11760" s="77"/>
      <c r="M11760" s="79"/>
      <c r="N11760" s="597">
        <v>43760.0</v>
      </c>
      <c r="O11760" s="598" t="s">
        <v>2857</v>
      </c>
      <c r="P11760" s="599" t="s">
        <v>2858</v>
      </c>
      <c r="Q11760" s="598"/>
      <c r="R11760" s="589" t="s">
        <v>2333</v>
      </c>
      <c r="S11760" s="590">
        <v>290.11</v>
      </c>
      <c r="T11760" s="589">
        <v>0.32206397454009505</v>
      </c>
      <c r="U11760" s="591">
        <v>80.74000000000001</v>
      </c>
      <c r="V11760" s="592">
        <v>383.543979653827</v>
      </c>
      <c r="W11760" s="628">
        <v>17.63</v>
      </c>
      <c r="X11760" s="628">
        <v>18.73</v>
      </c>
      <c r="Y11760" s="600">
        <v>43830.0</v>
      </c>
      <c r="Z11760" s="619">
        <v>0.18974887740994448</v>
      </c>
      <c r="AA11760" s="620">
        <v>18.52127623484906</v>
      </c>
      <c r="AB11760" s="621">
        <v>0.05</v>
      </c>
      <c r="AC11760" s="621">
        <v>0.15</v>
      </c>
      <c r="AD11760" s="622">
        <v>20.70829109131057</v>
      </c>
      <c r="AE11760" s="623">
        <v>6.0</v>
      </c>
      <c r="AF11760" s="624">
        <v>43760.0</v>
      </c>
      <c r="AG11760" s="623" t="s">
        <v>1240</v>
      </c>
      <c r="AH11760" s="601" t="s">
        <v>2860</v>
      </c>
    </row>
    <row r="11761" ht="12.75" customHeight="1">
      <c r="A11761" s="197">
        <v>43760.0</v>
      </c>
      <c r="B11761" s="193"/>
      <c r="C11761" s="32" t="s">
        <v>947</v>
      </c>
      <c r="D11761" s="1"/>
      <c r="E11761" s="94" t="s">
        <v>948</v>
      </c>
      <c r="F11761" s="198" t="s">
        <v>949</v>
      </c>
      <c r="G11761" s="87"/>
      <c r="H11761" s="199"/>
      <c r="I11761" s="200">
        <v>1.0</v>
      </c>
      <c r="K11761" s="201" t="s">
        <v>951</v>
      </c>
      <c r="L11761" s="77"/>
      <c r="M11761" s="79"/>
      <c r="N11761" s="1"/>
      <c r="O11761" s="1"/>
      <c r="P11761" s="1"/>
      <c r="Q11761" s="1"/>
      <c r="R11761" s="1"/>
      <c r="S11761" s="1"/>
      <c r="T11761" s="1"/>
      <c r="U11761" s="1"/>
      <c r="V11761" s="1"/>
      <c r="W11761" s="1"/>
      <c r="X11761" s="1"/>
      <c r="Y11761" s="1"/>
      <c r="Z11761" s="1"/>
      <c r="AA11761" s="1"/>
      <c r="AB11761" s="1"/>
      <c r="AC11761" s="1"/>
      <c r="AD11761" s="1"/>
      <c r="AE11761" s="1"/>
      <c r="AF11761" s="1"/>
      <c r="AG11761" s="1"/>
      <c r="AH11761" s="1"/>
    </row>
    <row r="11762" ht="12.75" customHeight="1">
      <c r="A11762" s="202">
        <v>43760.0</v>
      </c>
      <c r="B11762" s="193"/>
      <c r="C11762" s="32" t="s">
        <v>952</v>
      </c>
      <c r="D11762" s="1"/>
      <c r="F11762" s="203" t="s">
        <v>953</v>
      </c>
      <c r="G11762" s="1"/>
      <c r="H11762" s="68"/>
      <c r="I11762" s="204">
        <v>0.0</v>
      </c>
      <c r="K11762" s="9" t="s">
        <v>4023</v>
      </c>
      <c r="L11762" s="77"/>
      <c r="M11762" s="79"/>
      <c r="N11762" s="1"/>
      <c r="O11762" s="1"/>
      <c r="P11762" s="1"/>
      <c r="Q11762" s="1"/>
      <c r="R11762" s="1"/>
      <c r="S11762" s="1"/>
      <c r="T11762" s="1"/>
      <c r="U11762" s="1"/>
      <c r="V11762" s="1"/>
      <c r="W11762" s="1"/>
      <c r="X11762" s="1"/>
      <c r="Y11762" s="1"/>
      <c r="Z11762" s="1"/>
      <c r="AA11762" s="1"/>
      <c r="AB11762" s="1"/>
      <c r="AC11762" s="1"/>
      <c r="AD11762" s="1"/>
      <c r="AE11762" s="1"/>
      <c r="AF11762" s="1"/>
      <c r="AG11762" s="1"/>
      <c r="AH11762" s="1"/>
    </row>
    <row r="11763" ht="12.75" customHeight="1">
      <c r="A11763" s="202">
        <v>43760.0</v>
      </c>
      <c r="B11763" s="193"/>
      <c r="C11763" s="32" t="s">
        <v>955</v>
      </c>
      <c r="D11763" s="1"/>
      <c r="F11763" s="203" t="s">
        <v>956</v>
      </c>
      <c r="G11763" s="1"/>
      <c r="H11763" s="68"/>
      <c r="I11763" s="204">
        <v>0.0</v>
      </c>
      <c r="K11763" s="9" t="s">
        <v>4025</v>
      </c>
      <c r="L11763" s="77"/>
      <c r="M11763" s="79"/>
      <c r="N11763" s="1"/>
      <c r="O11763" s="1"/>
      <c r="P11763" s="1"/>
      <c r="Q11763" s="1"/>
      <c r="R11763" s="1"/>
      <c r="S11763" s="1"/>
      <c r="T11763" s="1"/>
      <c r="U11763" s="1"/>
      <c r="V11763" s="1"/>
      <c r="W11763" s="1"/>
      <c r="X11763" s="1"/>
      <c r="Y11763" s="1"/>
      <c r="Z11763" s="1"/>
      <c r="AA11763" s="1"/>
      <c r="AB11763" s="1"/>
      <c r="AC11763" s="1"/>
      <c r="AD11763" s="1"/>
      <c r="AE11763" s="1"/>
      <c r="AF11763" s="1"/>
      <c r="AG11763" s="1"/>
      <c r="AH11763" s="1"/>
    </row>
    <row r="11764" ht="12.75" customHeight="1">
      <c r="A11764" s="202">
        <v>43760.0</v>
      </c>
      <c r="B11764" s="193"/>
      <c r="C11764" s="32" t="s">
        <v>958</v>
      </c>
      <c r="D11764" s="1"/>
      <c r="F11764" s="203" t="s">
        <v>959</v>
      </c>
      <c r="G11764" s="1"/>
      <c r="H11764" s="68"/>
      <c r="I11764" s="204">
        <v>1.0</v>
      </c>
      <c r="K11764" s="9" t="s">
        <v>4026</v>
      </c>
      <c r="L11764" s="77"/>
      <c r="M11764" s="79"/>
      <c r="N11764" s="1"/>
      <c r="O11764" s="1"/>
      <c r="P11764" s="1"/>
      <c r="Q11764" s="1"/>
      <c r="R11764" s="1"/>
      <c r="S11764" s="1"/>
      <c r="T11764" s="1"/>
      <c r="U11764" s="1"/>
      <c r="V11764" s="1"/>
      <c r="W11764" s="1"/>
      <c r="X11764" s="1"/>
      <c r="Y11764" s="1"/>
      <c r="Z11764" s="1"/>
      <c r="AA11764" s="1"/>
      <c r="AB11764" s="1"/>
      <c r="AC11764" s="1"/>
      <c r="AD11764" s="1"/>
      <c r="AE11764" s="1"/>
      <c r="AF11764" s="1"/>
      <c r="AG11764" s="1"/>
      <c r="AH11764" s="1"/>
    </row>
    <row r="11765" ht="12.75" customHeight="1">
      <c r="A11765" s="202">
        <v>43760.0</v>
      </c>
      <c r="B11765" s="193"/>
      <c r="C11765" s="32" t="s">
        <v>961</v>
      </c>
      <c r="D11765" s="1"/>
      <c r="F11765" s="206" t="s">
        <v>962</v>
      </c>
      <c r="G11765" s="207"/>
      <c r="H11765" s="208"/>
      <c r="I11765" s="209">
        <v>2.0</v>
      </c>
      <c r="K11765" s="9" t="s">
        <v>964</v>
      </c>
      <c r="L11765" s="77"/>
      <c r="M11765" s="79"/>
      <c r="N11765" s="1"/>
      <c r="O11765" s="1"/>
      <c r="P11765" s="1"/>
      <c r="Q11765" s="1"/>
      <c r="R11765" s="1"/>
      <c r="S11765" s="1"/>
      <c r="T11765" s="1"/>
      <c r="U11765" s="1"/>
      <c r="V11765" s="1"/>
      <c r="W11765" s="1"/>
      <c r="X11765" s="1"/>
      <c r="Y11765" s="1"/>
      <c r="Z11765" s="1"/>
      <c r="AA11765" s="1"/>
      <c r="AB11765" s="1"/>
      <c r="AC11765" s="1"/>
      <c r="AD11765" s="1"/>
      <c r="AE11765" s="1"/>
      <c r="AF11765" s="1"/>
      <c r="AG11765" s="1"/>
      <c r="AH11765" s="1"/>
    </row>
    <row r="11766" ht="12.75" customHeight="1">
      <c r="A11766" s="1002">
        <v>43761.0</v>
      </c>
      <c r="B11766" s="985" t="s">
        <v>347</v>
      </c>
      <c r="C11766" s="985" t="s">
        <v>1098</v>
      </c>
      <c r="D11766" s="985">
        <v>30.0</v>
      </c>
      <c r="E11766" s="985">
        <v>297.725</v>
      </c>
      <c r="F11766" s="1027">
        <v>0.6177546296296297</v>
      </c>
      <c r="G11766" s="1028" t="s">
        <v>453</v>
      </c>
      <c r="H11766" s="937">
        <v>1.19</v>
      </c>
      <c r="I11766" s="1029" t="s">
        <v>3145</v>
      </c>
      <c r="J11766" s="67">
        <f t="shared" ref="J11766:J11771" si="661">IF(or(B11766="SLD",B11766="Rebal SLD"),D11766*E11766,-D11766*E11766)-H11766</f>
        <v>8930.56</v>
      </c>
      <c r="K11766" s="1"/>
      <c r="L11766" s="77" t="str">
        <f t="shared" ref="L11766:L11767" si="662">na()</f>
        <v>#N/A</v>
      </c>
      <c r="M11766" s="79"/>
      <c r="N11766" s="597">
        <v>40936.0</v>
      </c>
      <c r="O11766" s="598" t="s">
        <v>1700</v>
      </c>
      <c r="P11766" s="599" t="s">
        <v>1098</v>
      </c>
      <c r="Q11766" s="598">
        <v>192.69205863828847</v>
      </c>
      <c r="R11766" s="589">
        <v>-0.35190347558762114</v>
      </c>
      <c r="S11766" s="590">
        <v>297.32</v>
      </c>
      <c r="T11766" s="589">
        <v>-0.35190347558762114</v>
      </c>
      <c r="U11766" s="591"/>
      <c r="V11766" s="592">
        <v>192.69205863828847</v>
      </c>
      <c r="W11766" s="628">
        <v>7.9</v>
      </c>
      <c r="X11766" s="628">
        <v>8.39</v>
      </c>
      <c r="Y11766" s="600">
        <v>43708.0</v>
      </c>
      <c r="Z11766" s="619">
        <v>-0.14713129693050614</v>
      </c>
      <c r="AA11766" s="620">
        <v>8.462094335495948</v>
      </c>
      <c r="AB11766" s="621">
        <v>0.08</v>
      </c>
      <c r="AC11766" s="621">
        <v>0.16</v>
      </c>
      <c r="AD11766" s="622">
        <v>22.77120190329279</v>
      </c>
      <c r="AE11766" s="623">
        <v>8.0</v>
      </c>
      <c r="AF11766" s="624">
        <v>43704.0</v>
      </c>
      <c r="AG11766" s="623" t="s">
        <v>1223</v>
      </c>
      <c r="AH11766" s="601" t="s">
        <v>1702</v>
      </c>
    </row>
    <row r="11767" ht="12.75" customHeight="1">
      <c r="A11767" s="1060">
        <v>43762.0</v>
      </c>
      <c r="B11767" s="32" t="s">
        <v>347</v>
      </c>
      <c r="C11767" s="32" t="s">
        <v>847</v>
      </c>
      <c r="D11767" s="9">
        <v>50.0</v>
      </c>
      <c r="E11767" s="9">
        <v>169.52</v>
      </c>
      <c r="F11767" s="709">
        <v>0.4990277777777778</v>
      </c>
      <c r="G11767" s="195" t="s">
        <v>453</v>
      </c>
      <c r="H11767" s="710">
        <v>1.18</v>
      </c>
      <c r="I11767" s="256" t="s">
        <v>3145</v>
      </c>
      <c r="J11767" s="67">
        <f t="shared" si="661"/>
        <v>8474.82</v>
      </c>
      <c r="K11767" s="1"/>
      <c r="L11767" s="77" t="str">
        <f t="shared" si="662"/>
        <v>#N/A</v>
      </c>
      <c r="M11767" s="79"/>
      <c r="N11767" s="597">
        <v>41268.0</v>
      </c>
      <c r="O11767" s="598" t="s">
        <v>1654</v>
      </c>
      <c r="P11767" s="599" t="s">
        <v>847</v>
      </c>
      <c r="Q11767" s="598">
        <v>149.0</v>
      </c>
      <c r="R11767" s="589">
        <v>-0.12409617306448772</v>
      </c>
      <c r="S11767" s="590">
        <v>170.11</v>
      </c>
      <c r="T11767" s="589">
        <v>1.1463041558726492</v>
      </c>
      <c r="U11767" s="591"/>
      <c r="V11767" s="592">
        <v>365.1077999554964</v>
      </c>
      <c r="W11767" s="628">
        <v>16.55</v>
      </c>
      <c r="X11767" s="628">
        <v>18.56</v>
      </c>
      <c r="Y11767" s="600">
        <v>43830.0</v>
      </c>
      <c r="Z11767" s="619">
        <v>0.18432705565068666</v>
      </c>
      <c r="AA11767" s="620">
        <v>18.18950261814212</v>
      </c>
      <c r="AB11767" s="621">
        <v>0.09</v>
      </c>
      <c r="AC11767" s="621">
        <v>0.1</v>
      </c>
      <c r="AD11767" s="622">
        <v>20.07244549894067</v>
      </c>
      <c r="AE11767" s="623">
        <v>4.0</v>
      </c>
      <c r="AF11767" s="624">
        <v>43661.0</v>
      </c>
      <c r="AG11767" s="623" t="s">
        <v>1223</v>
      </c>
      <c r="AH11767" s="601" t="s">
        <v>1656</v>
      </c>
    </row>
    <row r="11768" ht="12.75" customHeight="1">
      <c r="A11768" s="1060">
        <v>43762.0</v>
      </c>
      <c r="B11768" s="32" t="s">
        <v>347</v>
      </c>
      <c r="C11768" s="32" t="s">
        <v>1067</v>
      </c>
      <c r="D11768" s="9">
        <v>50.0</v>
      </c>
      <c r="E11768" s="9">
        <v>245.43</v>
      </c>
      <c r="F11768" s="709">
        <v>0.4994675925925926</v>
      </c>
      <c r="G11768" s="195" t="s">
        <v>453</v>
      </c>
      <c r="H11768" s="710">
        <v>1.26</v>
      </c>
      <c r="I11768" s="256" t="s">
        <v>3145</v>
      </c>
      <c r="J11768" s="67">
        <f t="shared" si="661"/>
        <v>12270.24</v>
      </c>
      <c r="K11768" s="1"/>
      <c r="L11768" s="77"/>
      <c r="M11768" s="79"/>
      <c r="N11768" s="597">
        <v>41510.0</v>
      </c>
      <c r="O11768" s="598" t="s">
        <v>3461</v>
      </c>
      <c r="P11768" s="599" t="s">
        <v>1067</v>
      </c>
      <c r="Q11768" s="598">
        <v>200.0</v>
      </c>
      <c r="R11768" s="589">
        <v>-0.1820375444767085</v>
      </c>
      <c r="S11768" s="590">
        <v>244.51</v>
      </c>
      <c r="T11768" s="589">
        <v>0.5088690424420654</v>
      </c>
      <c r="U11768" s="591"/>
      <c r="V11768" s="592">
        <v>368.9335695675094</v>
      </c>
      <c r="W11768" s="628">
        <v>14.83</v>
      </c>
      <c r="X11768" s="628">
        <v>16.65</v>
      </c>
      <c r="Y11768" s="600">
        <v>43830.0</v>
      </c>
      <c r="Z11768" s="619">
        <v>0.18432705514332318</v>
      </c>
      <c r="AA11768" s="620">
        <v>16.314524759639152</v>
      </c>
      <c r="AB11768" s="621">
        <v>0.1</v>
      </c>
      <c r="AC11768" s="621">
        <v>0.13</v>
      </c>
      <c r="AD11768" s="622">
        <v>22.613810393069</v>
      </c>
      <c r="AE11768" s="623">
        <v>6.0</v>
      </c>
      <c r="AF11768" s="624">
        <v>43695.0</v>
      </c>
      <c r="AG11768" s="623" t="s">
        <v>1223</v>
      </c>
      <c r="AH11768" s="601" t="s">
        <v>3464</v>
      </c>
    </row>
    <row r="11769" ht="12.75" customHeight="1">
      <c r="A11769" s="1060">
        <v>43762.0</v>
      </c>
      <c r="B11769" s="32" t="s">
        <v>347</v>
      </c>
      <c r="C11769" s="32" t="s">
        <v>847</v>
      </c>
      <c r="D11769" s="9">
        <v>25.0</v>
      </c>
      <c r="E11769" s="9">
        <v>169.57</v>
      </c>
      <c r="F11769" s="709">
        <v>0.5</v>
      </c>
      <c r="G11769" s="195" t="s">
        <v>453</v>
      </c>
      <c r="H11769" s="710">
        <v>1.09</v>
      </c>
      <c r="I11769" s="256" t="s">
        <v>3145</v>
      </c>
      <c r="J11769" s="67">
        <f t="shared" si="661"/>
        <v>4238.16</v>
      </c>
      <c r="K11769" s="1"/>
      <c r="L11769" s="77" t="str">
        <f>na()</f>
        <v>#N/A</v>
      </c>
      <c r="M11769" s="79"/>
      <c r="N11769" s="597">
        <v>41268.0</v>
      </c>
      <c r="O11769" s="598" t="s">
        <v>1654</v>
      </c>
      <c r="P11769" s="599" t="s">
        <v>847</v>
      </c>
      <c r="Q11769" s="598">
        <v>149.0</v>
      </c>
      <c r="R11769" s="589">
        <v>-0.12409617306448772</v>
      </c>
      <c r="S11769" s="590">
        <v>170.11</v>
      </c>
      <c r="T11769" s="589">
        <v>1.1463041558726492</v>
      </c>
      <c r="U11769" s="591"/>
      <c r="V11769" s="592">
        <v>365.1077999554964</v>
      </c>
      <c r="W11769" s="628">
        <v>16.55</v>
      </c>
      <c r="X11769" s="628">
        <v>18.56</v>
      </c>
      <c r="Y11769" s="600">
        <v>43830.0</v>
      </c>
      <c r="Z11769" s="619">
        <v>0.18432705565068666</v>
      </c>
      <c r="AA11769" s="620">
        <v>18.18950261814212</v>
      </c>
      <c r="AB11769" s="621">
        <v>0.09</v>
      </c>
      <c r="AC11769" s="621">
        <v>0.1</v>
      </c>
      <c r="AD11769" s="622">
        <v>20.07244549894067</v>
      </c>
      <c r="AE11769" s="623">
        <v>4.0</v>
      </c>
      <c r="AF11769" s="624">
        <v>43661.0</v>
      </c>
      <c r="AG11769" s="623" t="s">
        <v>1223</v>
      </c>
      <c r="AH11769" s="601" t="s">
        <v>1656</v>
      </c>
    </row>
    <row r="11770" ht="12.75" customHeight="1">
      <c r="A11770" s="1060">
        <v>43762.0</v>
      </c>
      <c r="B11770" s="32" t="s">
        <v>347</v>
      </c>
      <c r="C11770" s="32" t="s">
        <v>1537</v>
      </c>
      <c r="D11770" s="708">
        <v>1800.0</v>
      </c>
      <c r="E11770" s="9">
        <v>15.914</v>
      </c>
      <c r="F11770" s="709">
        <v>0.5008333333333334</v>
      </c>
      <c r="G11770" s="195" t="s">
        <v>453</v>
      </c>
      <c r="H11770" s="710">
        <v>9.81</v>
      </c>
      <c r="I11770" s="256" t="s">
        <v>3145</v>
      </c>
      <c r="J11770" s="67">
        <f t="shared" si="661"/>
        <v>28635.39</v>
      </c>
      <c r="K11770" s="1"/>
      <c r="L11770" s="77"/>
      <c r="M11770" s="79"/>
      <c r="N11770" s="597">
        <v>41014.0</v>
      </c>
      <c r="O11770" s="598" t="s">
        <v>1827</v>
      </c>
      <c r="P11770" s="599" t="s">
        <v>1537</v>
      </c>
      <c r="Q11770" s="598">
        <v>25.0</v>
      </c>
      <c r="R11770" s="589">
        <v>0.5812776723592663</v>
      </c>
      <c r="S11770" s="590">
        <v>15.81</v>
      </c>
      <c r="T11770" s="589">
        <v>-0.8079712204962359</v>
      </c>
      <c r="U11770" s="591"/>
      <c r="V11770" s="592">
        <v>3.0359750039545106</v>
      </c>
      <c r="W11770" s="628">
        <v>1.12</v>
      </c>
      <c r="X11770" s="628">
        <v>0.0</v>
      </c>
      <c r="Y11770" s="600">
        <v>43830.0</v>
      </c>
      <c r="Z11770" s="619">
        <v>0.18432705381152392</v>
      </c>
      <c r="AA11770" s="620">
        <v>0.2064463002689068</v>
      </c>
      <c r="AB11770" s="621">
        <v>0.0</v>
      </c>
      <c r="AC11770" s="621">
        <v>0.04</v>
      </c>
      <c r="AD11770" s="622">
        <v>14.70588235294117</v>
      </c>
      <c r="AE11770" s="623">
        <v>20.0</v>
      </c>
      <c r="AF11770" s="624">
        <v>43758.0</v>
      </c>
      <c r="AG11770" s="623" t="s">
        <v>1223</v>
      </c>
      <c r="AH11770" s="601" t="s">
        <v>1830</v>
      </c>
    </row>
    <row r="11771" ht="12.75" customHeight="1">
      <c r="A11771" s="1060">
        <v>43762.0</v>
      </c>
      <c r="B11771" s="32" t="s">
        <v>347</v>
      </c>
      <c r="C11771" s="32" t="s">
        <v>1530</v>
      </c>
      <c r="D11771" s="9">
        <v>900.0</v>
      </c>
      <c r="E11771" s="9">
        <v>23.876</v>
      </c>
      <c r="F11771" s="709">
        <v>0.5012384259259259</v>
      </c>
      <c r="G11771" s="195" t="s">
        <v>453</v>
      </c>
      <c r="H11771" s="710">
        <v>5.05</v>
      </c>
      <c r="I11771" s="256" t="s">
        <v>3145</v>
      </c>
      <c r="J11771" s="67">
        <f t="shared" si="661"/>
        <v>21483.35</v>
      </c>
      <c r="K11771" s="1"/>
      <c r="L11771" s="77"/>
      <c r="M11771" s="79"/>
      <c r="N11771" s="597">
        <v>43747.0</v>
      </c>
      <c r="O11771" s="598" t="s">
        <v>1853</v>
      </c>
      <c r="P11771" s="599" t="s">
        <v>1530</v>
      </c>
      <c r="Q11771" s="598">
        <v>40.0</v>
      </c>
      <c r="R11771" s="589">
        <v>0.6618196925633568</v>
      </c>
      <c r="S11771" s="590">
        <v>24.07</v>
      </c>
      <c r="T11771" s="589">
        <v>-0.8671119026458395</v>
      </c>
      <c r="U11771" s="591"/>
      <c r="V11771" s="592">
        <v>3.1986165033146445</v>
      </c>
      <c r="W11771" s="628">
        <v>1.18</v>
      </c>
      <c r="X11771" s="628">
        <v>0.0</v>
      </c>
      <c r="Y11771" s="600">
        <v>43830.0</v>
      </c>
      <c r="Z11771" s="619">
        <v>0.18432705273338648</v>
      </c>
      <c r="AA11771" s="620">
        <v>0.21750592222539603</v>
      </c>
      <c r="AB11771" s="621">
        <v>0.0</v>
      </c>
      <c r="AC11771" s="621">
        <v>0.04</v>
      </c>
      <c r="AD11771" s="622">
        <v>14.705882352941163</v>
      </c>
      <c r="AE11771" s="623">
        <v>20.0</v>
      </c>
      <c r="AF11771" s="624">
        <v>43759.0</v>
      </c>
      <c r="AG11771" s="623" t="s">
        <v>1609</v>
      </c>
      <c r="AH11771" s="601" t="s">
        <v>1859</v>
      </c>
    </row>
    <row r="11772" ht="12.75" customHeight="1">
      <c r="A11772" s="1060">
        <v>43762.0</v>
      </c>
      <c r="B11772" s="32" t="s">
        <v>4013</v>
      </c>
      <c r="C11772" s="32" t="s">
        <v>1128</v>
      </c>
      <c r="D11772" s="150"/>
      <c r="E11772" s="150"/>
      <c r="F11772" s="75"/>
      <c r="G11772" s="67"/>
      <c r="H11772" s="68"/>
      <c r="I11772" s="76"/>
      <c r="J11772" s="67"/>
      <c r="K11772" s="1"/>
      <c r="L11772" s="77"/>
      <c r="M11772" s="79"/>
      <c r="N11772" s="597">
        <v>42109.0</v>
      </c>
      <c r="O11772" s="598" t="s">
        <v>2911</v>
      </c>
      <c r="P11772" s="599" t="s">
        <v>1128</v>
      </c>
      <c r="Q11772" s="598">
        <v>105.0</v>
      </c>
      <c r="R11772" s="589">
        <v>-0.1602015516276094</v>
      </c>
      <c r="S11772" s="590">
        <v>125.03</v>
      </c>
      <c r="T11772" s="589">
        <v>0.24636128407666003</v>
      </c>
      <c r="U11772" s="591"/>
      <c r="V11772" s="592">
        <v>155.8325513481048</v>
      </c>
      <c r="W11772" s="628">
        <v>10.11</v>
      </c>
      <c r="X11772" s="628">
        <v>10.42</v>
      </c>
      <c r="Y11772" s="600">
        <v>43830.0</v>
      </c>
      <c r="Z11772" s="619">
        <v>0.1843075333904094</v>
      </c>
      <c r="AA11772" s="620">
        <v>10.362864664648974</v>
      </c>
      <c r="AB11772" s="621">
        <v>0.03</v>
      </c>
      <c r="AC11772" s="621">
        <v>0.07</v>
      </c>
      <c r="AD11772" s="622">
        <v>15.037593984962399</v>
      </c>
      <c r="AE11772" s="623">
        <v>6.0</v>
      </c>
      <c r="AF11772" s="624">
        <v>43762.0</v>
      </c>
      <c r="AG11772" s="623" t="s">
        <v>1223</v>
      </c>
      <c r="AH11772" s="601" t="s">
        <v>2912</v>
      </c>
    </row>
    <row r="11773" ht="12.75" customHeight="1">
      <c r="A11773" s="1060">
        <v>43762.0</v>
      </c>
      <c r="B11773" s="32" t="s">
        <v>4013</v>
      </c>
      <c r="C11773" s="32" t="s">
        <v>1164</v>
      </c>
      <c r="D11773" s="150"/>
      <c r="E11773" s="150"/>
      <c r="F11773" s="75"/>
      <c r="G11773" s="67"/>
      <c r="H11773" s="68"/>
      <c r="I11773" s="76"/>
      <c r="J11773" s="67"/>
      <c r="K11773" s="1"/>
      <c r="L11773" s="77"/>
      <c r="M11773" s="79"/>
      <c r="N11773" s="597">
        <v>41674.0</v>
      </c>
      <c r="O11773" s="598" t="s">
        <v>2976</v>
      </c>
      <c r="P11773" s="599" t="s">
        <v>1164</v>
      </c>
      <c r="Q11773" s="598">
        <v>50.0</v>
      </c>
      <c r="R11773" s="589">
        <v>-0.11174276070349975</v>
      </c>
      <c r="S11773" s="590">
        <v>56.29</v>
      </c>
      <c r="T11773" s="589">
        <v>0.3937123396481199</v>
      </c>
      <c r="U11773" s="591"/>
      <c r="V11773" s="592">
        <v>78.45206759879267</v>
      </c>
      <c r="W11773" s="628">
        <v>4.25</v>
      </c>
      <c r="X11773" s="628">
        <v>5.1</v>
      </c>
      <c r="Y11773" s="600">
        <v>43830.0</v>
      </c>
      <c r="Z11773" s="619">
        <v>0.184307532470828</v>
      </c>
      <c r="AA11773" s="620">
        <v>4.943338597399796</v>
      </c>
      <c r="AB11773" s="621">
        <v>0.01</v>
      </c>
      <c r="AC11773" s="621">
        <v>0.15</v>
      </c>
      <c r="AD11773" s="622">
        <v>15.870259755230721</v>
      </c>
      <c r="AE11773" s="623">
        <v>8.0</v>
      </c>
      <c r="AF11773" s="624">
        <v>43762.0</v>
      </c>
      <c r="AG11773" s="623" t="s">
        <v>1223</v>
      </c>
      <c r="AH11773" s="601" t="s">
        <v>2977</v>
      </c>
    </row>
    <row r="11774" ht="12.75" customHeight="1">
      <c r="A11774" s="1060">
        <v>43762.0</v>
      </c>
      <c r="B11774" s="32" t="s">
        <v>4013</v>
      </c>
      <c r="C11774" s="32" t="s">
        <v>3233</v>
      </c>
      <c r="D11774" s="150"/>
      <c r="E11774" s="150"/>
      <c r="F11774" s="75"/>
      <c r="G11774" s="67"/>
      <c r="H11774" s="68"/>
      <c r="I11774" s="76"/>
      <c r="J11774" s="67"/>
      <c r="K11774" s="1"/>
      <c r="L11774" s="77"/>
      <c r="M11774" s="79"/>
      <c r="N11774" s="597">
        <v>43081.0</v>
      </c>
      <c r="O11774" s="598" t="s">
        <v>3232</v>
      </c>
      <c r="P11774" s="599" t="s">
        <v>3233</v>
      </c>
      <c r="Q11774" s="598"/>
      <c r="R11774" s="589" t="s">
        <v>2333</v>
      </c>
      <c r="S11774" s="590">
        <v>104.91</v>
      </c>
      <c r="T11774" s="589">
        <v>-0.29914078465069527</v>
      </c>
      <c r="U11774" s="591"/>
      <c r="V11774" s="592">
        <v>73.52714028229556</v>
      </c>
      <c r="W11774" s="628">
        <v>3.05</v>
      </c>
      <c r="X11774" s="628">
        <v>3.5</v>
      </c>
      <c r="Y11774" s="600">
        <v>43830.0</v>
      </c>
      <c r="Z11774" s="619">
        <v>0.18430129582064755</v>
      </c>
      <c r="AA11774" s="620">
        <v>3.4170644168807085</v>
      </c>
      <c r="AB11774" s="621">
        <v>0.1</v>
      </c>
      <c r="AC11774" s="621">
        <v>0.11</v>
      </c>
      <c r="AD11774" s="622">
        <v>21.517633650411348</v>
      </c>
      <c r="AE11774" s="623">
        <v>6.0</v>
      </c>
      <c r="AF11774" s="624">
        <v>43762.0</v>
      </c>
      <c r="AG11774" s="623" t="s">
        <v>1240</v>
      </c>
      <c r="AH11774" s="601" t="s">
        <v>3235</v>
      </c>
    </row>
    <row r="11775" ht="12.75" customHeight="1">
      <c r="A11775" s="1060">
        <v>43762.0</v>
      </c>
      <c r="B11775" s="32" t="s">
        <v>4013</v>
      </c>
      <c r="C11775" s="32" t="s">
        <v>1134</v>
      </c>
      <c r="D11775" s="150"/>
      <c r="E11775" s="150"/>
      <c r="F11775" s="75"/>
      <c r="G11775" s="67"/>
      <c r="H11775" s="68"/>
      <c r="I11775" s="76"/>
      <c r="J11775" s="67"/>
      <c r="K11775" s="1"/>
      <c r="L11775" s="77"/>
      <c r="M11775" s="79"/>
      <c r="N11775" s="597">
        <v>41992.0</v>
      </c>
      <c r="O11775" s="598" t="s">
        <v>2806</v>
      </c>
      <c r="P11775" s="599" t="s">
        <v>1134</v>
      </c>
      <c r="Q11775" s="598">
        <v>70.0</v>
      </c>
      <c r="R11775" s="589">
        <v>-0.4181697282021445</v>
      </c>
      <c r="S11775" s="590">
        <v>120.31</v>
      </c>
      <c r="T11775" s="589">
        <v>-0.4142940882388112</v>
      </c>
      <c r="U11775" s="591"/>
      <c r="V11775" s="592">
        <v>70.46627824398863</v>
      </c>
      <c r="W11775" s="628">
        <v>2.35</v>
      </c>
      <c r="X11775" s="628">
        <v>2.59</v>
      </c>
      <c r="Y11775" s="600">
        <v>43769.0</v>
      </c>
      <c r="Z11775" s="619">
        <v>0.017166744070271134</v>
      </c>
      <c r="AA11775" s="620">
        <v>2.5858799814231346</v>
      </c>
      <c r="AB11775" s="621">
        <v>0.15</v>
      </c>
      <c r="AC11775" s="621">
        <v>0.15</v>
      </c>
      <c r="AD11775" s="622">
        <v>27.250405568013885</v>
      </c>
      <c r="AE11775" s="623">
        <v>8.0</v>
      </c>
      <c r="AF11775" s="624">
        <v>43762.0</v>
      </c>
      <c r="AG11775" s="623" t="s">
        <v>1223</v>
      </c>
      <c r="AH11775" s="601" t="s">
        <v>2807</v>
      </c>
    </row>
    <row r="11776" ht="12.75" customHeight="1">
      <c r="A11776" s="197">
        <v>43762.0</v>
      </c>
      <c r="B11776" s="193"/>
      <c r="C11776" s="32" t="s">
        <v>947</v>
      </c>
      <c r="D11776" s="1"/>
      <c r="E11776" s="94" t="s">
        <v>948</v>
      </c>
      <c r="F11776" s="198" t="s">
        <v>949</v>
      </c>
      <c r="G11776" s="87"/>
      <c r="H11776" s="199"/>
      <c r="I11776" s="200">
        <v>1.0</v>
      </c>
      <c r="K11776" s="201" t="s">
        <v>951</v>
      </c>
      <c r="L11776" s="77"/>
      <c r="M11776" s="79"/>
      <c r="N11776" s="1"/>
      <c r="O11776" s="1"/>
      <c r="P11776" s="1"/>
      <c r="Q11776" s="1"/>
      <c r="R11776" s="1"/>
      <c r="S11776" s="1"/>
      <c r="T11776" s="1"/>
      <c r="U11776" s="1"/>
      <c r="V11776" s="1"/>
      <c r="W11776" s="1"/>
      <c r="X11776" s="1"/>
      <c r="Y11776" s="1"/>
      <c r="Z11776" s="1"/>
      <c r="AA11776" s="1"/>
      <c r="AB11776" s="1"/>
      <c r="AC11776" s="1"/>
      <c r="AD11776" s="1"/>
      <c r="AE11776" s="1"/>
      <c r="AF11776" s="1"/>
      <c r="AG11776" s="1"/>
      <c r="AH11776" s="1"/>
    </row>
    <row r="11777" ht="12.75" customHeight="1">
      <c r="A11777" s="202">
        <v>43762.0</v>
      </c>
      <c r="B11777" s="193"/>
      <c r="C11777" s="32" t="s">
        <v>952</v>
      </c>
      <c r="D11777" s="1"/>
      <c r="F11777" s="203" t="s">
        <v>953</v>
      </c>
      <c r="G11777" s="1"/>
      <c r="H11777" s="68"/>
      <c r="I11777" s="204">
        <v>0.0</v>
      </c>
      <c r="K11777" s="9" t="s">
        <v>4027</v>
      </c>
      <c r="L11777" s="77"/>
      <c r="M11777" s="79"/>
      <c r="N11777" s="1"/>
      <c r="O11777" s="1"/>
      <c r="P11777" s="1"/>
      <c r="Q11777" s="1"/>
      <c r="R11777" s="1"/>
      <c r="S11777" s="1"/>
      <c r="T11777" s="1"/>
      <c r="U11777" s="1"/>
      <c r="V11777" s="1"/>
      <c r="W11777" s="1"/>
      <c r="X11777" s="1"/>
      <c r="Y11777" s="1"/>
      <c r="Z11777" s="1"/>
      <c r="AA11777" s="1"/>
      <c r="AB11777" s="1"/>
      <c r="AC11777" s="1"/>
      <c r="AD11777" s="1"/>
      <c r="AE11777" s="1"/>
      <c r="AF11777" s="1"/>
      <c r="AG11777" s="1"/>
      <c r="AH11777" s="1"/>
    </row>
    <row r="11778" ht="12.75" customHeight="1">
      <c r="A11778" s="202">
        <v>43762.0</v>
      </c>
      <c r="B11778" s="193"/>
      <c r="C11778" s="32" t="s">
        <v>955</v>
      </c>
      <c r="D11778" s="1"/>
      <c r="F11778" s="203" t="s">
        <v>956</v>
      </c>
      <c r="G11778" s="1"/>
      <c r="H11778" s="68"/>
      <c r="I11778" s="204">
        <v>0.0</v>
      </c>
      <c r="K11778" s="9" t="s">
        <v>957</v>
      </c>
      <c r="L11778" s="77"/>
      <c r="M11778" s="79"/>
      <c r="N11778" s="1"/>
      <c r="O11778" s="1"/>
      <c r="P11778" s="1"/>
      <c r="Q11778" s="1"/>
      <c r="R11778" s="1"/>
      <c r="S11778" s="1"/>
      <c r="T11778" s="1"/>
      <c r="U11778" s="1"/>
      <c r="V11778" s="1"/>
      <c r="W11778" s="1"/>
      <c r="X11778" s="1"/>
      <c r="Y11778" s="1"/>
      <c r="Z11778" s="1"/>
      <c r="AA11778" s="1"/>
      <c r="AB11778" s="1"/>
      <c r="AC11778" s="1"/>
      <c r="AD11778" s="1"/>
      <c r="AE11778" s="1"/>
      <c r="AF11778" s="1"/>
      <c r="AG11778" s="1"/>
      <c r="AH11778" s="1"/>
    </row>
    <row r="11779" ht="12.75" customHeight="1">
      <c r="A11779" s="202">
        <v>43762.0</v>
      </c>
      <c r="B11779" s="193"/>
      <c r="C11779" s="32" t="s">
        <v>958</v>
      </c>
      <c r="D11779" s="1"/>
      <c r="F11779" s="203" t="s">
        <v>959</v>
      </c>
      <c r="G11779" s="1"/>
      <c r="H11779" s="68"/>
      <c r="I11779" s="204">
        <v>1.0</v>
      </c>
      <c r="K11779" s="9" t="s">
        <v>960</v>
      </c>
      <c r="L11779" s="77"/>
      <c r="M11779" s="79"/>
      <c r="N11779" s="1"/>
      <c r="O11779" s="1"/>
      <c r="P11779" s="1"/>
      <c r="Q11779" s="1"/>
      <c r="R11779" s="1"/>
      <c r="S11779" s="1"/>
      <c r="T11779" s="1"/>
      <c r="U11779" s="1"/>
      <c r="V11779" s="1"/>
      <c r="W11779" s="1"/>
      <c r="X11779" s="1"/>
      <c r="Y11779" s="1"/>
      <c r="Z11779" s="1"/>
      <c r="AA11779" s="1"/>
      <c r="AB11779" s="1"/>
      <c r="AC11779" s="1"/>
      <c r="AD11779" s="1"/>
      <c r="AE11779" s="1"/>
      <c r="AF11779" s="1"/>
      <c r="AG11779" s="1"/>
      <c r="AH11779" s="1"/>
    </row>
    <row r="11780" ht="12.75" customHeight="1">
      <c r="A11780" s="202">
        <v>43762.0</v>
      </c>
      <c r="B11780" s="193"/>
      <c r="C11780" s="32" t="s">
        <v>961</v>
      </c>
      <c r="D11780" s="1"/>
      <c r="F11780" s="206" t="s">
        <v>962</v>
      </c>
      <c r="G11780" s="207"/>
      <c r="H11780" s="208"/>
      <c r="I11780" s="209">
        <v>2.0</v>
      </c>
      <c r="K11780" s="9" t="s">
        <v>964</v>
      </c>
      <c r="L11780" s="77"/>
      <c r="M11780" s="79"/>
      <c r="N11780" s="1"/>
      <c r="O11780" s="1"/>
      <c r="P11780" s="1"/>
      <c r="Q11780" s="1"/>
      <c r="R11780" s="1"/>
      <c r="S11780" s="1"/>
      <c r="T11780" s="1"/>
      <c r="U11780" s="1"/>
      <c r="V11780" s="1"/>
      <c r="W11780" s="1"/>
      <c r="X11780" s="1"/>
      <c r="Y11780" s="1"/>
      <c r="Z11780" s="1"/>
      <c r="AA11780" s="1"/>
      <c r="AB11780" s="1"/>
      <c r="AC11780" s="1"/>
      <c r="AD11780" s="1"/>
      <c r="AE11780" s="1"/>
      <c r="AF11780" s="1"/>
      <c r="AG11780" s="1"/>
      <c r="AH11780" s="1"/>
    </row>
    <row r="11781" ht="12.75" customHeight="1">
      <c r="A11781" s="9"/>
      <c r="B11781" s="1"/>
      <c r="C11781" s="32"/>
      <c r="D11781" s="150"/>
      <c r="E11781" s="150"/>
      <c r="F11781" s="75"/>
      <c r="G11781" s="67"/>
      <c r="H11781" s="68"/>
      <c r="I11781" s="76"/>
      <c r="J11781" s="67"/>
      <c r="K11781" s="1"/>
      <c r="L11781" s="77"/>
      <c r="M11781" s="79"/>
      <c r="N11781" s="1"/>
      <c r="O11781" s="1"/>
      <c r="P11781" s="1"/>
      <c r="Q11781" s="1"/>
      <c r="R11781" s="1"/>
      <c r="S11781" s="1"/>
      <c r="T11781" s="1"/>
      <c r="U11781" s="1"/>
      <c r="V11781" s="1"/>
      <c r="W11781" s="1"/>
      <c r="X11781" s="1"/>
      <c r="Y11781" s="1"/>
      <c r="Z11781" s="1"/>
      <c r="AA11781" s="1"/>
      <c r="AB11781" s="1"/>
      <c r="AC11781" s="1"/>
      <c r="AD11781" s="1"/>
      <c r="AE11781" s="1"/>
      <c r="AF11781" s="1"/>
      <c r="AG11781" s="1"/>
      <c r="AH11781" s="1"/>
    </row>
    <row r="11782" ht="12.75" customHeight="1">
      <c r="A11782" s="9"/>
      <c r="B11782" s="1"/>
      <c r="C11782" s="32"/>
      <c r="D11782" s="150"/>
      <c r="E11782" s="150"/>
      <c r="F11782" s="75"/>
      <c r="G11782" s="67"/>
      <c r="H11782" s="68"/>
      <c r="I11782" s="76"/>
      <c r="J11782" s="67"/>
      <c r="K11782" s="1"/>
      <c r="L11782" s="77"/>
      <c r="M11782" s="79"/>
      <c r="N11782" s="1"/>
      <c r="O11782" s="1"/>
      <c r="P11782" s="1"/>
      <c r="Q11782" s="1"/>
      <c r="R11782" s="1"/>
      <c r="S11782" s="1"/>
      <c r="T11782" s="1"/>
      <c r="U11782" s="1"/>
      <c r="V11782" s="1"/>
      <c r="W11782" s="1"/>
      <c r="X11782" s="1"/>
      <c r="Y11782" s="1"/>
      <c r="Z11782" s="1"/>
      <c r="AA11782" s="1"/>
      <c r="AB11782" s="1"/>
      <c r="AC11782" s="1"/>
      <c r="AD11782" s="1"/>
      <c r="AE11782" s="1"/>
      <c r="AF11782" s="1"/>
      <c r="AG11782" s="1"/>
      <c r="AH11782" s="1"/>
    </row>
    <row r="11783" ht="12.75" customHeight="1">
      <c r="A11783" s="9"/>
      <c r="B11783" s="1"/>
      <c r="C11783" s="32"/>
      <c r="D11783" s="150"/>
      <c r="E11783" s="150"/>
      <c r="F11783" s="75"/>
      <c r="G11783" s="67"/>
      <c r="H11783" s="68"/>
      <c r="I11783" s="76"/>
      <c r="J11783" s="67"/>
      <c r="K11783" s="1"/>
      <c r="L11783" s="77"/>
      <c r="M11783" s="79"/>
      <c r="N11783" s="1"/>
      <c r="O11783" s="1"/>
      <c r="P11783" s="1"/>
      <c r="Q11783" s="1"/>
      <c r="R11783" s="1"/>
      <c r="S11783" s="1"/>
      <c r="T11783" s="1"/>
      <c r="U11783" s="1"/>
      <c r="V11783" s="1"/>
      <c r="W11783" s="1"/>
      <c r="X11783" s="1"/>
      <c r="Y11783" s="1"/>
      <c r="Z11783" s="1"/>
      <c r="AA11783" s="1"/>
      <c r="AB11783" s="1"/>
      <c r="AC11783" s="1"/>
      <c r="AD11783" s="1"/>
      <c r="AE11783" s="1"/>
      <c r="AF11783" s="1"/>
      <c r="AG11783" s="1"/>
      <c r="AH11783" s="1"/>
    </row>
    <row r="11784" ht="12.75" customHeight="1">
      <c r="A11784" s="9"/>
      <c r="B11784" s="1"/>
      <c r="C11784" s="32"/>
      <c r="D11784" s="150"/>
      <c r="E11784" s="150"/>
      <c r="F11784" s="75"/>
      <c r="G11784" s="67"/>
      <c r="H11784" s="68"/>
      <c r="I11784" s="76"/>
      <c r="J11784" s="67"/>
      <c r="K11784" s="1"/>
      <c r="L11784" s="77"/>
      <c r="M11784" s="79"/>
      <c r="N11784" s="1"/>
      <c r="O11784" s="1"/>
      <c r="P11784" s="1"/>
      <c r="Q11784" s="1"/>
      <c r="R11784" s="1"/>
      <c r="S11784" s="1"/>
      <c r="T11784" s="1"/>
      <c r="U11784" s="1"/>
      <c r="V11784" s="1"/>
      <c r="W11784" s="1"/>
      <c r="X11784" s="1"/>
      <c r="Y11784" s="1"/>
      <c r="Z11784" s="1"/>
      <c r="AA11784" s="1"/>
      <c r="AB11784" s="1"/>
      <c r="AC11784" s="1"/>
      <c r="AD11784" s="1"/>
      <c r="AE11784" s="1"/>
      <c r="AF11784" s="1"/>
      <c r="AG11784" s="1"/>
      <c r="AH11784" s="1"/>
    </row>
    <row r="11785" ht="12.75" customHeight="1">
      <c r="A11785" s="9">
        <v>0.0</v>
      </c>
      <c r="B11785" s="1"/>
      <c r="C11785" s="32" t="s">
        <v>4028</v>
      </c>
      <c r="D11785" s="150"/>
      <c r="E11785" s="150"/>
      <c r="F11785" s="75"/>
      <c r="G11785" s="67"/>
      <c r="H11785" s="68"/>
      <c r="I11785" s="76"/>
      <c r="J11785" s="67"/>
      <c r="K11785" s="1"/>
      <c r="L11785" s="77"/>
      <c r="M11785" s="79"/>
      <c r="N11785" s="597" t="str">
        <f t="array" ref="N11785">iferror(index(Buys!A:A,match($C11785,Buys!$C:$C,0)),index(Sells!A:A,match($C11785,Sells!$C:$C,0)))</f>
        <v>#N/A</v>
      </c>
      <c r="O11785" s="598" t="str">
        <f t="array" ref="O11785">iferror(index(Buys!B:B,match($C11785,Buys!$C:$C,0)),index(Sells!B:B,match($C11785,Sells!$C:$C,0)))</f>
        <v>#N/A</v>
      </c>
      <c r="P11785" s="599" t="str">
        <f t="array" ref="P11785">iferror(index(Buys!C:C,match($C11785,Buys!$C:$C,0)),index(Sells!C:C,match($C11785,Sells!$C:$C,0)))</f>
        <v>#N/A</v>
      </c>
      <c r="Q11785" s="598" t="str">
        <f t="array" ref="Q11785">iferror(index(Buys!D:D,match($C11785,Buys!$C:$C,0)),index(Sells!D:D,match($C11785,Sells!$C:$C,0)))</f>
        <v>#N/A</v>
      </c>
      <c r="R11785" s="589" t="str">
        <f t="array" ref="R11785">iferror(index(Buys!E:E,match($C11785,Buys!$C:$C,0)),index(Sells!E:E,match($C11785,Sells!$C:$C,0)))</f>
        <v>#N/A</v>
      </c>
      <c r="S11785" s="590" t="str">
        <f t="array" ref="S11785">iferror(index(Buys!F:F,match($C11785,Buys!$C:$C,0)),index(Sells!F:F,match($C11785,Sells!$C:$C,0)))</f>
        <v>#N/A</v>
      </c>
      <c r="T11785" s="589" t="str">
        <f t="array" ref="T11785">iferror(index(Buys!G:G,match($C11785,Buys!$C:$C,0)),index(Sells!G:G,match($C11785,Sells!$C:$C,0)))</f>
        <v>#N/A</v>
      </c>
      <c r="U11785" s="591" t="str">
        <f t="array" ref="U11785">iferror(index(Buys!H:H,match($C11785,Buys!$C:$C,0)),index(Sells!H:H,match($C11785,Sells!$C:$C,0)))</f>
        <v>#N/A</v>
      </c>
      <c r="V11785" s="592" t="str">
        <f t="array" ref="V11785">iferror(index(Buys!I:I,match($C11785,Buys!$C:$C,0)),index(Sells!I:I,match($C11785,Sells!$C:$C,0)))</f>
        <v>#N/A</v>
      </c>
      <c r="W11785" s="628" t="str">
        <f t="array" ref="W11785">iferror(index(Buys!J:J,match($C11785,Buys!$C:$C,0)),index(Sells!J:J,match($C11785,Sells!$C:$C,0)))</f>
        <v>#N/A</v>
      </c>
      <c r="X11785" s="628" t="str">
        <f t="array" ref="X11785">iferror(index(Buys!K:K,match($C11785,Buys!$C:$C,0)),index(Sells!K:K,match($C11785,Sells!$C:$C,0)))</f>
        <v>#N/A</v>
      </c>
      <c r="Y11785" s="600" t="str">
        <f t="array" ref="Y11785">iferror(index(Buys!L:L,match($C11785,Buys!$C:$C,0)),index(Sells!L:L,match($C11785,Sells!$C:$C,0)))</f>
        <v>#N/A</v>
      </c>
      <c r="Z11785" s="619" t="str">
        <f t="array" ref="Z11785">iferror(index(Buys!M:M,match($C11785,Buys!$C:$C,0)),index(Sells!M:M,match($C11785,Sells!$C:$C,0)))</f>
        <v>#N/A</v>
      </c>
      <c r="AA11785" s="620" t="str">
        <f t="array" ref="AA11785">iferror(index(Buys!N:N,match($C11785,Buys!$C:$C,0)),index(Sells!N:N,match($C11785,Sells!$C:$C,0)))</f>
        <v>#N/A</v>
      </c>
      <c r="AB11785" s="621" t="str">
        <f t="array" ref="AB11785">iferror(index(Buys!O:O,match($C11785,Buys!$C:$C,0)),index(Sells!O:O,match($C11785,Sells!$C:$C,0)))</f>
        <v>#N/A</v>
      </c>
      <c r="AC11785" s="621" t="str">
        <f t="array" ref="AC11785">iferror(index(Buys!P:P,match($C11785,Buys!$C:$C,0)),index(Sells!P:P,match($C11785,Sells!$C:$C,0)))</f>
        <v>#N/A</v>
      </c>
      <c r="AD11785" s="622" t="str">
        <f t="array" ref="AD11785">iferror(index(Buys!Q:Q,match($C11785,Buys!$C:$C,0)),index(Sells!Q:Q,match($C11785,Sells!$C:$C,0)))</f>
        <v>#N/A</v>
      </c>
      <c r="AE11785" s="623" t="str">
        <f t="array" ref="AE11785">iferror(index(Buys!R:R,match($C11785,Buys!$C:$C,0)),index(Sells!R:R,match($C11785,Sells!$C:$C,0)))</f>
        <v>#N/A</v>
      </c>
      <c r="AF11785" s="624" t="str">
        <f t="array" ref="AF11785">iferror(index(Buys!S:S,match($C11785,Buys!$C:$C,0)),index(Sells!S:S,match($C11785,Sells!$C:$C,0)))</f>
        <v>#N/A</v>
      </c>
      <c r="AG11785" s="623" t="str">
        <f t="array" ref="AG11785">iferror(index(Buys!T:T,match($C11785,Buys!$C:$C,0)),index(Sells!T:T,match($C11785,Sells!$C:$C,0)))</f>
        <v>#N/A</v>
      </c>
      <c r="AH11785" s="601" t="str">
        <f t="array" ref="AH11785">iferror(index(Buys!U:U,match($C11785,Buys!$C:$C,0)),index(Sells!U:U,match($C11785,Sells!$C:$C,0)))</f>
        <v>#N/A</v>
      </c>
    </row>
    <row r="11786" ht="12.75" customHeight="1">
      <c r="A11786" s="17"/>
      <c r="B11786" s="1"/>
      <c r="C11786" s="32"/>
      <c r="D11786" s="150"/>
      <c r="E11786" s="150"/>
      <c r="F11786" s="75"/>
      <c r="G11786" s="67"/>
      <c r="H11786" s="68"/>
      <c r="I11786" s="76"/>
      <c r="J11786" s="67"/>
      <c r="K11786" s="1"/>
      <c r="L11786" s="77"/>
      <c r="M11786" s="79"/>
      <c r="N11786" s="1"/>
      <c r="O11786" s="1"/>
      <c r="P11786" s="1"/>
      <c r="Q11786" s="1"/>
      <c r="R11786" s="1"/>
      <c r="S11786" s="1"/>
      <c r="T11786" s="1"/>
      <c r="U11786" s="1"/>
      <c r="V11786" s="1"/>
      <c r="W11786" s="1"/>
      <c r="X11786" s="1"/>
      <c r="Y11786" s="1"/>
      <c r="Z11786" s="1"/>
      <c r="AA11786" s="1"/>
      <c r="AB11786" s="1"/>
      <c r="AC11786" s="1"/>
      <c r="AD11786" s="1"/>
      <c r="AE11786" s="1"/>
      <c r="AF11786" s="1"/>
      <c r="AG11786" s="1"/>
      <c r="AH11786" s="1"/>
    </row>
    <row r="11787" ht="12.75" customHeight="1">
      <c r="A11787" s="17"/>
      <c r="B11787" s="1"/>
      <c r="C11787" s="1"/>
      <c r="D11787" s="150"/>
      <c r="E11787" s="150"/>
      <c r="F11787" s="75"/>
      <c r="G11787" s="67"/>
      <c r="H11787" s="68"/>
      <c r="I11787" s="76"/>
      <c r="J11787" s="67"/>
      <c r="K11787" s="1"/>
      <c r="L11787" s="77"/>
      <c r="M11787" s="79"/>
      <c r="N11787" s="1"/>
      <c r="O11787" s="1"/>
      <c r="P11787" s="1"/>
      <c r="Q11787" s="1"/>
      <c r="R11787" s="1"/>
      <c r="S11787" s="1"/>
      <c r="T11787" s="1"/>
      <c r="U11787" s="1"/>
      <c r="V11787" s="1"/>
      <c r="W11787" s="1"/>
      <c r="X11787" s="1"/>
      <c r="Y11787" s="1"/>
      <c r="Z11787" s="1"/>
      <c r="AA11787" s="1"/>
      <c r="AB11787" s="1"/>
      <c r="AC11787" s="1"/>
      <c r="AD11787" s="1"/>
      <c r="AE11787" s="1"/>
      <c r="AF11787" s="1"/>
      <c r="AG11787" s="1"/>
      <c r="AH11787" s="1"/>
    </row>
    <row r="11788" ht="12.75" customHeight="1">
      <c r="A11788" s="17"/>
      <c r="B11788" s="1"/>
      <c r="C11788" s="1"/>
      <c r="D11788" s="150"/>
      <c r="E11788" s="150"/>
      <c r="F11788" s="75"/>
      <c r="G11788" s="67"/>
      <c r="H11788" s="68"/>
      <c r="I11788" s="76"/>
      <c r="J11788" s="67"/>
      <c r="K11788" s="1"/>
      <c r="L11788" s="77"/>
      <c r="M11788" s="79"/>
      <c r="N11788" s="1"/>
      <c r="O11788" s="1"/>
      <c r="P11788" s="1"/>
      <c r="Q11788" s="1"/>
      <c r="R11788" s="1"/>
      <c r="S11788" s="1"/>
      <c r="T11788" s="1"/>
      <c r="U11788" s="1"/>
      <c r="V11788" s="1"/>
      <c r="W11788" s="1"/>
      <c r="X11788" s="1"/>
      <c r="Y11788" s="1"/>
      <c r="Z11788" s="1"/>
      <c r="AA11788" s="1"/>
      <c r="AB11788" s="1"/>
      <c r="AC11788" s="1"/>
      <c r="AD11788" s="1"/>
      <c r="AE11788" s="1"/>
      <c r="AF11788" s="1"/>
      <c r="AG11788" s="1"/>
      <c r="AH11788" s="1"/>
    </row>
    <row r="11789" ht="12.75" customHeight="1">
      <c r="A11789" s="17"/>
      <c r="B11789" s="1"/>
      <c r="C11789" s="1"/>
      <c r="D11789" s="150"/>
      <c r="E11789" s="150"/>
      <c r="F11789" s="75"/>
      <c r="G11789" s="67"/>
      <c r="H11789" s="68"/>
      <c r="I11789" s="76"/>
      <c r="J11789" s="67"/>
      <c r="K11789" s="1"/>
      <c r="L11789" s="77"/>
      <c r="M11789" s="79"/>
      <c r="N11789" s="1"/>
      <c r="O11789" s="1"/>
      <c r="P11789" s="1"/>
      <c r="Q11789" s="1"/>
      <c r="R11789" s="1"/>
      <c r="S11789" s="1"/>
      <c r="T11789" s="1"/>
      <c r="U11789" s="1"/>
      <c r="V11789" s="1"/>
      <c r="W11789" s="1"/>
      <c r="X11789" s="1"/>
      <c r="Y11789" s="1"/>
      <c r="Z11789" s="1"/>
      <c r="AA11789" s="1"/>
      <c r="AB11789" s="1"/>
      <c r="AC11789" s="1"/>
      <c r="AD11789" s="1"/>
      <c r="AE11789" s="1"/>
      <c r="AF11789" s="1"/>
      <c r="AG11789" s="1"/>
      <c r="AH11789" s="1"/>
    </row>
    <row r="11790" ht="12.75" customHeight="1">
      <c r="A11790" s="17"/>
      <c r="B11790" s="1"/>
      <c r="C11790" s="1"/>
      <c r="D11790" s="150"/>
      <c r="E11790" s="150"/>
      <c r="F11790" s="75"/>
      <c r="G11790" s="67"/>
      <c r="H11790" s="68"/>
      <c r="I11790" s="76"/>
      <c r="J11790" s="67"/>
      <c r="K11790" s="1"/>
      <c r="L11790" s="77"/>
      <c r="M11790" s="79"/>
      <c r="N11790" s="1"/>
      <c r="O11790" s="1"/>
      <c r="P11790" s="1"/>
      <c r="Q11790" s="1"/>
      <c r="R11790" s="1"/>
      <c r="S11790" s="1"/>
      <c r="T11790" s="1"/>
      <c r="U11790" s="1"/>
      <c r="V11790" s="1"/>
      <c r="W11790" s="1"/>
      <c r="X11790" s="1"/>
      <c r="Y11790" s="1"/>
      <c r="Z11790" s="1"/>
      <c r="AA11790" s="1"/>
      <c r="AB11790" s="1"/>
      <c r="AC11790" s="1"/>
      <c r="AD11790" s="1"/>
      <c r="AE11790" s="1"/>
      <c r="AF11790" s="1"/>
      <c r="AG11790" s="1"/>
      <c r="AH11790" s="1"/>
    </row>
    <row r="11791" ht="12.75" customHeight="1">
      <c r="A11791" s="17"/>
      <c r="B11791" s="1"/>
      <c r="C11791" s="1"/>
      <c r="D11791" s="150"/>
      <c r="E11791" s="150"/>
      <c r="F11791" s="75"/>
      <c r="G11791" s="67"/>
      <c r="H11791" s="68"/>
      <c r="I11791" s="76"/>
      <c r="J11791" s="67"/>
      <c r="K11791" s="1"/>
      <c r="L11791" s="77"/>
      <c r="M11791" s="79"/>
      <c r="N11791" s="1"/>
      <c r="O11791" s="1"/>
      <c r="P11791" s="1"/>
      <c r="Q11791" s="1"/>
      <c r="R11791" s="1"/>
      <c r="S11791" s="1"/>
      <c r="T11791" s="1"/>
      <c r="U11791" s="1"/>
      <c r="V11791" s="1"/>
      <c r="W11791" s="1"/>
      <c r="X11791" s="1"/>
      <c r="Y11791" s="1"/>
      <c r="Z11791" s="1"/>
      <c r="AA11791" s="1"/>
      <c r="AB11791" s="1"/>
      <c r="AC11791" s="1"/>
      <c r="AD11791" s="1"/>
      <c r="AE11791" s="1"/>
      <c r="AF11791" s="1"/>
      <c r="AG11791" s="1"/>
      <c r="AH11791" s="1"/>
    </row>
    <row r="11792" ht="12.75" customHeight="1">
      <c r="A11792" s="17"/>
      <c r="B11792" s="1"/>
      <c r="C11792" s="1"/>
      <c r="D11792" s="150"/>
      <c r="E11792" s="150"/>
      <c r="F11792" s="75"/>
      <c r="G11792" s="67"/>
      <c r="H11792" s="68"/>
      <c r="I11792" s="76"/>
      <c r="J11792" s="67"/>
      <c r="K11792" s="1"/>
      <c r="L11792" s="77"/>
      <c r="M11792" s="79"/>
      <c r="N11792" s="1"/>
      <c r="O11792" s="1"/>
      <c r="P11792" s="1"/>
      <c r="Q11792" s="1"/>
      <c r="R11792" s="1"/>
      <c r="S11792" s="1"/>
      <c r="T11792" s="1"/>
      <c r="U11792" s="1"/>
      <c r="V11792" s="1"/>
      <c r="W11792" s="1"/>
      <c r="X11792" s="1"/>
      <c r="Y11792" s="1"/>
      <c r="Z11792" s="1"/>
      <c r="AA11792" s="1"/>
      <c r="AB11792" s="1"/>
      <c r="AC11792" s="1"/>
      <c r="AD11792" s="1"/>
      <c r="AE11792" s="1"/>
      <c r="AF11792" s="1"/>
      <c r="AG11792" s="1"/>
      <c r="AH11792" s="1"/>
    </row>
    <row r="11793" ht="12.75" customHeight="1">
      <c r="A11793" s="17"/>
      <c r="B11793" s="1"/>
      <c r="C11793" s="1"/>
      <c r="D11793" s="150"/>
      <c r="E11793" s="150"/>
      <c r="F11793" s="75"/>
      <c r="G11793" s="67"/>
      <c r="H11793" s="68"/>
      <c r="I11793" s="76"/>
      <c r="J11793" s="67"/>
      <c r="K11793" s="1"/>
      <c r="L11793" s="77"/>
      <c r="M11793" s="79"/>
      <c r="N11793" s="1"/>
      <c r="O11793" s="1"/>
      <c r="P11793" s="1"/>
      <c r="Q11793" s="1"/>
      <c r="R11793" s="1"/>
      <c r="S11793" s="1"/>
      <c r="T11793" s="1"/>
      <c r="U11793" s="1"/>
      <c r="V11793" s="1"/>
      <c r="W11793" s="1"/>
      <c r="X11793" s="1"/>
      <c r="Y11793" s="1"/>
      <c r="Z11793" s="1"/>
      <c r="AA11793" s="1"/>
      <c r="AB11793" s="1"/>
      <c r="AC11793" s="1"/>
      <c r="AD11793" s="1"/>
      <c r="AE11793" s="1"/>
      <c r="AF11793" s="1"/>
      <c r="AG11793" s="1"/>
      <c r="AH11793" s="1"/>
    </row>
    <row r="11794" ht="12.75" customHeight="1">
      <c r="A11794" s="17"/>
      <c r="B11794" s="1"/>
      <c r="C11794" s="1"/>
      <c r="D11794" s="150"/>
      <c r="E11794" s="150"/>
      <c r="F11794" s="75"/>
      <c r="G11794" s="67"/>
      <c r="H11794" s="68"/>
      <c r="I11794" s="76"/>
      <c r="J11794" s="67"/>
      <c r="K11794" s="1"/>
      <c r="L11794" s="77"/>
      <c r="M11794" s="79"/>
      <c r="N11794" s="1"/>
      <c r="O11794" s="1"/>
      <c r="P11794" s="1"/>
      <c r="Q11794" s="1"/>
      <c r="R11794" s="1"/>
      <c r="S11794" s="1"/>
      <c r="T11794" s="1"/>
      <c r="U11794" s="1"/>
      <c r="V11794" s="1"/>
      <c r="W11794" s="1"/>
      <c r="X11794" s="1"/>
      <c r="Y11794" s="1"/>
      <c r="Z11794" s="1"/>
      <c r="AA11794" s="1"/>
      <c r="AB11794" s="1"/>
      <c r="AC11794" s="1"/>
      <c r="AD11794" s="1"/>
      <c r="AE11794" s="1"/>
      <c r="AF11794" s="1"/>
      <c r="AG11794" s="1"/>
      <c r="AH11794" s="1"/>
    </row>
    <row r="11795" ht="12.75" customHeight="1">
      <c r="A11795" s="17"/>
      <c r="B11795" s="1"/>
      <c r="C11795" s="1"/>
      <c r="D11795" s="150"/>
      <c r="E11795" s="150"/>
      <c r="F11795" s="75"/>
      <c r="G11795" s="67"/>
      <c r="H11795" s="68"/>
      <c r="I11795" s="76"/>
      <c r="J11795" s="67"/>
      <c r="K11795" s="1"/>
      <c r="L11795" s="77"/>
      <c r="M11795" s="79"/>
      <c r="N11795" s="1"/>
      <c r="O11795" s="1"/>
      <c r="P11795" s="1"/>
      <c r="Q11795" s="1"/>
      <c r="R11795" s="1"/>
      <c r="S11795" s="1"/>
      <c r="T11795" s="1"/>
      <c r="U11795" s="1"/>
      <c r="V11795" s="1"/>
      <c r="W11795" s="1"/>
      <c r="X11795" s="1"/>
      <c r="Y11795" s="1"/>
      <c r="Z11795" s="1"/>
      <c r="AA11795" s="1"/>
      <c r="AB11795" s="1"/>
      <c r="AC11795" s="1"/>
      <c r="AD11795" s="1"/>
      <c r="AE11795" s="1"/>
      <c r="AF11795" s="1"/>
      <c r="AG11795" s="1"/>
      <c r="AH11795" s="1"/>
    </row>
    <row r="11796" ht="12.75" customHeight="1">
      <c r="A11796" s="17"/>
      <c r="B11796" s="1"/>
      <c r="C11796" s="1"/>
      <c r="D11796" s="150"/>
      <c r="E11796" s="150"/>
      <c r="F11796" s="75"/>
      <c r="G11796" s="67"/>
      <c r="H11796" s="68"/>
      <c r="I11796" s="76"/>
      <c r="J11796" s="67"/>
      <c r="K11796" s="1"/>
      <c r="L11796" s="77"/>
      <c r="M11796" s="79"/>
      <c r="N11796" s="1"/>
      <c r="O11796" s="1"/>
      <c r="P11796" s="1"/>
      <c r="Q11796" s="1"/>
      <c r="R11796" s="1"/>
      <c r="S11796" s="1"/>
      <c r="T11796" s="1"/>
      <c r="U11796" s="1"/>
      <c r="V11796" s="1"/>
      <c r="W11796" s="1"/>
      <c r="X11796" s="1"/>
      <c r="Y11796" s="1"/>
      <c r="Z11796" s="1"/>
      <c r="AA11796" s="1"/>
      <c r="AB11796" s="1"/>
      <c r="AC11796" s="1"/>
      <c r="AD11796" s="1"/>
      <c r="AE11796" s="1"/>
      <c r="AF11796" s="1"/>
      <c r="AG11796" s="1"/>
      <c r="AH11796" s="1"/>
    </row>
    <row r="11797" ht="12.75" customHeight="1">
      <c r="A11797" s="17"/>
      <c r="B11797" s="1"/>
      <c r="C11797" s="1"/>
      <c r="D11797" s="150"/>
      <c r="E11797" s="150"/>
      <c r="F11797" s="75"/>
      <c r="G11797" s="67"/>
      <c r="H11797" s="68"/>
      <c r="I11797" s="76"/>
      <c r="J11797" s="67"/>
      <c r="K11797" s="1"/>
      <c r="L11797" s="77"/>
      <c r="M11797" s="79"/>
      <c r="N11797" s="1"/>
      <c r="O11797" s="1"/>
      <c r="P11797" s="1"/>
      <c r="Q11797" s="1"/>
      <c r="R11797" s="1"/>
      <c r="S11797" s="1"/>
      <c r="T11797" s="1"/>
      <c r="U11797" s="1"/>
      <c r="V11797" s="1"/>
      <c r="W11797" s="1"/>
      <c r="X11797" s="1"/>
      <c r="Y11797" s="1"/>
      <c r="Z11797" s="1"/>
      <c r="AA11797" s="1"/>
      <c r="AB11797" s="1"/>
      <c r="AC11797" s="1"/>
      <c r="AD11797" s="1"/>
      <c r="AE11797" s="1"/>
      <c r="AF11797" s="1"/>
      <c r="AG11797" s="1"/>
      <c r="AH11797" s="1"/>
    </row>
    <row r="11798" ht="12.75" customHeight="1">
      <c r="A11798" s="17"/>
      <c r="B11798" s="1"/>
      <c r="C11798" s="1"/>
      <c r="D11798" s="150"/>
      <c r="E11798" s="150"/>
      <c r="F11798" s="75"/>
      <c r="G11798" s="67"/>
      <c r="H11798" s="68"/>
      <c r="I11798" s="76"/>
      <c r="J11798" s="67"/>
      <c r="K11798" s="1"/>
      <c r="L11798" s="77"/>
      <c r="M11798" s="79"/>
      <c r="N11798" s="1"/>
      <c r="O11798" s="1"/>
      <c r="P11798" s="1"/>
      <c r="Q11798" s="1"/>
      <c r="R11798" s="1"/>
      <c r="S11798" s="1"/>
      <c r="T11798" s="1"/>
      <c r="U11798" s="1"/>
      <c r="V11798" s="1"/>
      <c r="W11798" s="1"/>
      <c r="X11798" s="1"/>
      <c r="Y11798" s="1"/>
      <c r="Z11798" s="1"/>
      <c r="AA11798" s="1"/>
      <c r="AB11798" s="1"/>
      <c r="AC11798" s="1"/>
      <c r="AD11798" s="1"/>
      <c r="AE11798" s="1"/>
      <c r="AF11798" s="1"/>
      <c r="AG11798" s="1"/>
      <c r="AH11798" s="1"/>
    </row>
    <row r="11799" ht="12.75" customHeight="1">
      <c r="A11799" s="17"/>
      <c r="B11799" s="1"/>
      <c r="C11799" s="1"/>
      <c r="D11799" s="150"/>
      <c r="E11799" s="150"/>
      <c r="F11799" s="75"/>
      <c r="G11799" s="67"/>
      <c r="H11799" s="68"/>
      <c r="I11799" s="76"/>
      <c r="J11799" s="67"/>
      <c r="K11799" s="1"/>
      <c r="L11799" s="77"/>
      <c r="M11799" s="79"/>
      <c r="N11799" s="1"/>
      <c r="O11799" s="1"/>
      <c r="P11799" s="1"/>
      <c r="Q11799" s="1"/>
      <c r="R11799" s="1"/>
      <c r="S11799" s="1"/>
      <c r="T11799" s="1"/>
      <c r="U11799" s="1"/>
      <c r="V11799" s="1"/>
      <c r="W11799" s="1"/>
      <c r="X11799" s="1"/>
      <c r="Y11799" s="1"/>
      <c r="Z11799" s="1"/>
      <c r="AA11799" s="1"/>
      <c r="AB11799" s="1"/>
      <c r="AC11799" s="1"/>
      <c r="AD11799" s="1"/>
      <c r="AE11799" s="1"/>
      <c r="AF11799" s="1"/>
      <c r="AG11799" s="1"/>
      <c r="AH11799" s="1"/>
    </row>
    <row r="11800" ht="12.75" customHeight="1">
      <c r="A11800" s="17"/>
      <c r="B11800" s="1"/>
      <c r="C11800" s="1"/>
      <c r="D11800" s="150"/>
      <c r="E11800" s="150"/>
      <c r="F11800" s="75"/>
      <c r="G11800" s="67"/>
      <c r="H11800" s="68"/>
      <c r="I11800" s="76"/>
      <c r="J11800" s="67"/>
      <c r="K11800" s="1"/>
      <c r="L11800" s="77"/>
      <c r="M11800" s="79"/>
      <c r="N11800" s="1"/>
      <c r="O11800" s="1"/>
      <c r="P11800" s="1"/>
      <c r="Q11800" s="1"/>
      <c r="R11800" s="1"/>
      <c r="S11800" s="1"/>
      <c r="T11800" s="1"/>
      <c r="U11800" s="1"/>
      <c r="V11800" s="1"/>
      <c r="W11800" s="1"/>
      <c r="X11800" s="1"/>
      <c r="Y11800" s="1"/>
      <c r="Z11800" s="1"/>
      <c r="AA11800" s="1"/>
      <c r="AB11800" s="1"/>
      <c r="AC11800" s="1"/>
      <c r="AD11800" s="1"/>
      <c r="AE11800" s="1"/>
      <c r="AF11800" s="1"/>
      <c r="AG11800" s="1"/>
      <c r="AH11800" s="1"/>
    </row>
    <row r="11801" ht="12.75" customHeight="1">
      <c r="A11801" s="17"/>
      <c r="B11801" s="1"/>
      <c r="C11801" s="1"/>
      <c r="D11801" s="150"/>
      <c r="E11801" s="150"/>
      <c r="F11801" s="75"/>
      <c r="G11801" s="67"/>
      <c r="H11801" s="68"/>
      <c r="I11801" s="76"/>
      <c r="J11801" s="67"/>
      <c r="K11801" s="1"/>
      <c r="L11801" s="77"/>
      <c r="M11801" s="79"/>
      <c r="N11801" s="1"/>
      <c r="O11801" s="1"/>
      <c r="P11801" s="1"/>
      <c r="Q11801" s="1"/>
      <c r="R11801" s="1"/>
      <c r="S11801" s="1"/>
      <c r="T11801" s="1"/>
      <c r="U11801" s="1"/>
      <c r="V11801" s="1"/>
      <c r="W11801" s="1"/>
      <c r="X11801" s="1"/>
      <c r="Y11801" s="1"/>
      <c r="Z11801" s="1"/>
      <c r="AA11801" s="1"/>
      <c r="AB11801" s="1"/>
      <c r="AC11801" s="1"/>
      <c r="AD11801" s="1"/>
      <c r="AE11801" s="1"/>
      <c r="AF11801" s="1"/>
      <c r="AG11801" s="1"/>
      <c r="AH11801" s="1"/>
    </row>
    <row r="11802" ht="12.75" customHeight="1">
      <c r="A11802" s="17"/>
      <c r="B11802" s="1"/>
      <c r="C11802" s="1"/>
      <c r="D11802" s="150"/>
      <c r="E11802" s="150"/>
      <c r="F11802" s="75"/>
      <c r="G11802" s="67"/>
      <c r="H11802" s="68"/>
      <c r="I11802" s="76"/>
      <c r="J11802" s="67"/>
      <c r="K11802" s="1"/>
      <c r="L11802" s="77"/>
      <c r="M11802" s="79"/>
      <c r="N11802" s="1"/>
      <c r="O11802" s="1"/>
      <c r="P11802" s="1"/>
      <c r="Q11802" s="1"/>
      <c r="R11802" s="1"/>
      <c r="S11802" s="1"/>
      <c r="T11802" s="1"/>
      <c r="U11802" s="1"/>
      <c r="V11802" s="1"/>
      <c r="W11802" s="1"/>
      <c r="X11802" s="1"/>
      <c r="Y11802" s="1"/>
      <c r="Z11802" s="1"/>
      <c r="AA11802" s="1"/>
      <c r="AB11802" s="1"/>
      <c r="AC11802" s="1"/>
      <c r="AD11802" s="1"/>
      <c r="AE11802" s="1"/>
      <c r="AF11802" s="1"/>
      <c r="AG11802" s="1"/>
      <c r="AH11802" s="1"/>
    </row>
    <row r="11803" ht="12.75" customHeight="1">
      <c r="A11803" s="17"/>
      <c r="B11803" s="1"/>
      <c r="C11803" s="1"/>
      <c r="D11803" s="150"/>
      <c r="E11803" s="150"/>
      <c r="F11803" s="75"/>
      <c r="G11803" s="67"/>
      <c r="H11803" s="68"/>
      <c r="I11803" s="76"/>
      <c r="J11803" s="67"/>
      <c r="K11803" s="1"/>
      <c r="L11803" s="77"/>
      <c r="M11803" s="79"/>
      <c r="N11803" s="1"/>
      <c r="O11803" s="1"/>
      <c r="P11803" s="1"/>
      <c r="Q11803" s="1"/>
      <c r="R11803" s="1"/>
      <c r="S11803" s="1"/>
      <c r="T11803" s="1"/>
      <c r="U11803" s="1"/>
      <c r="V11803" s="1"/>
      <c r="W11803" s="1"/>
      <c r="X11803" s="1"/>
      <c r="Y11803" s="1"/>
      <c r="Z11803" s="1"/>
      <c r="AA11803" s="1"/>
      <c r="AB11803" s="1"/>
      <c r="AC11803" s="1"/>
      <c r="AD11803" s="1"/>
      <c r="AE11803" s="1"/>
      <c r="AF11803" s="1"/>
      <c r="AG11803" s="1"/>
      <c r="AH11803" s="1"/>
    </row>
    <row r="11804" ht="12.75" customHeight="1">
      <c r="A11804" s="17"/>
      <c r="B11804" s="1"/>
      <c r="C11804" s="1"/>
      <c r="D11804" s="150"/>
      <c r="E11804" s="150"/>
      <c r="F11804" s="75"/>
      <c r="G11804" s="67"/>
      <c r="H11804" s="68"/>
      <c r="I11804" s="76"/>
      <c r="J11804" s="67"/>
      <c r="K11804" s="1"/>
      <c r="L11804" s="77"/>
      <c r="M11804" s="79"/>
      <c r="N11804" s="1"/>
      <c r="O11804" s="1"/>
      <c r="P11804" s="1"/>
      <c r="Q11804" s="1"/>
      <c r="R11804" s="1"/>
      <c r="S11804" s="1"/>
      <c r="T11804" s="1"/>
      <c r="U11804" s="1"/>
      <c r="V11804" s="1"/>
      <c r="W11804" s="1"/>
      <c r="X11804" s="1"/>
      <c r="Y11804" s="1"/>
      <c r="Z11804" s="1"/>
      <c r="AA11804" s="1"/>
      <c r="AB11804" s="1"/>
      <c r="AC11804" s="1"/>
      <c r="AD11804" s="1"/>
      <c r="AE11804" s="1"/>
      <c r="AF11804" s="1"/>
      <c r="AG11804" s="1"/>
      <c r="AH11804" s="1"/>
    </row>
    <row r="11805" ht="12.75" customHeight="1">
      <c r="A11805" s="17"/>
      <c r="B11805" s="1"/>
      <c r="C11805" s="1"/>
      <c r="D11805" s="150"/>
      <c r="E11805" s="150"/>
      <c r="F11805" s="75"/>
      <c r="G11805" s="67"/>
      <c r="H11805" s="68"/>
      <c r="I11805" s="76"/>
      <c r="J11805" s="67"/>
      <c r="K11805" s="1"/>
      <c r="L11805" s="77"/>
      <c r="M11805" s="79"/>
      <c r="N11805" s="1"/>
      <c r="O11805" s="1"/>
      <c r="P11805" s="1"/>
      <c r="Q11805" s="1"/>
      <c r="R11805" s="1"/>
      <c r="S11805" s="1"/>
      <c r="T11805" s="1"/>
      <c r="U11805" s="1"/>
      <c r="V11805" s="1"/>
      <c r="W11805" s="1"/>
      <c r="X11805" s="1"/>
      <c r="Y11805" s="1"/>
      <c r="Z11805" s="1"/>
      <c r="AA11805" s="1"/>
      <c r="AB11805" s="1"/>
      <c r="AC11805" s="1"/>
      <c r="AD11805" s="1"/>
      <c r="AE11805" s="1"/>
      <c r="AF11805" s="1"/>
      <c r="AG11805" s="1"/>
      <c r="AH11805" s="1"/>
    </row>
    <row r="11806" ht="12.75" customHeight="1">
      <c r="A11806" s="17"/>
      <c r="B11806" s="1"/>
      <c r="C11806" s="1"/>
      <c r="D11806" s="150"/>
      <c r="E11806" s="150"/>
      <c r="F11806" s="75"/>
      <c r="G11806" s="67"/>
      <c r="H11806" s="68"/>
      <c r="I11806" s="76"/>
      <c r="J11806" s="67"/>
      <c r="K11806" s="1"/>
      <c r="L11806" s="77"/>
      <c r="M11806" s="79"/>
      <c r="N11806" s="1"/>
      <c r="O11806" s="1"/>
      <c r="P11806" s="1"/>
      <c r="Q11806" s="1"/>
      <c r="R11806" s="1"/>
      <c r="S11806" s="1"/>
      <c r="T11806" s="1"/>
      <c r="U11806" s="1"/>
      <c r="V11806" s="1"/>
      <c r="W11806" s="1"/>
      <c r="X11806" s="1"/>
      <c r="Y11806" s="1"/>
      <c r="Z11806" s="1"/>
      <c r="AA11806" s="1"/>
      <c r="AB11806" s="1"/>
      <c r="AC11806" s="1"/>
      <c r="AD11806" s="1"/>
      <c r="AE11806" s="1"/>
      <c r="AF11806" s="1"/>
      <c r="AG11806" s="1"/>
      <c r="AH11806" s="1"/>
    </row>
    <row r="11807" ht="12.75" customHeight="1">
      <c r="A11807" s="17"/>
      <c r="B11807" s="1"/>
      <c r="C11807" s="1"/>
      <c r="D11807" s="150"/>
      <c r="E11807" s="150"/>
      <c r="F11807" s="75"/>
      <c r="G11807" s="67"/>
      <c r="H11807" s="68"/>
      <c r="I11807" s="76"/>
      <c r="J11807" s="67"/>
      <c r="K11807" s="1"/>
      <c r="L11807" s="77"/>
      <c r="M11807" s="79"/>
      <c r="N11807" s="1"/>
      <c r="O11807" s="1"/>
      <c r="P11807" s="1"/>
      <c r="Q11807" s="1"/>
      <c r="R11807" s="1"/>
      <c r="S11807" s="1"/>
      <c r="T11807" s="1"/>
      <c r="U11807" s="1"/>
      <c r="V11807" s="1"/>
      <c r="W11807" s="1"/>
      <c r="X11807" s="1"/>
      <c r="Y11807" s="1"/>
      <c r="Z11807" s="1"/>
      <c r="AA11807" s="1"/>
      <c r="AB11807" s="1"/>
      <c r="AC11807" s="1"/>
      <c r="AD11807" s="1"/>
      <c r="AE11807" s="1"/>
      <c r="AF11807" s="1"/>
      <c r="AG11807" s="1"/>
      <c r="AH11807" s="1"/>
    </row>
    <row r="11808" ht="12.75" customHeight="1">
      <c r="A11808" s="17"/>
      <c r="B11808" s="1"/>
      <c r="C11808" s="1"/>
      <c r="D11808" s="150"/>
      <c r="E11808" s="150"/>
      <c r="F11808" s="75"/>
      <c r="G11808" s="67"/>
      <c r="H11808" s="68"/>
      <c r="I11808" s="76"/>
      <c r="J11808" s="67"/>
      <c r="K11808" s="1"/>
      <c r="L11808" s="77"/>
      <c r="M11808" s="79"/>
      <c r="N11808" s="1"/>
      <c r="O11808" s="1"/>
      <c r="P11808" s="1"/>
      <c r="Q11808" s="1"/>
      <c r="R11808" s="1"/>
      <c r="S11808" s="1"/>
      <c r="T11808" s="1"/>
      <c r="U11808" s="1"/>
      <c r="V11808" s="1"/>
      <c r="W11808" s="1"/>
      <c r="X11808" s="1"/>
      <c r="Y11808" s="1"/>
      <c r="Z11808" s="1"/>
      <c r="AA11808" s="1"/>
      <c r="AB11808" s="1"/>
      <c r="AC11808" s="1"/>
      <c r="AD11808" s="1"/>
      <c r="AE11808" s="1"/>
      <c r="AF11808" s="1"/>
      <c r="AG11808" s="1"/>
      <c r="AH11808" s="1"/>
    </row>
    <row r="11809" ht="12.75" customHeight="1">
      <c r="A11809" s="17"/>
      <c r="B11809" s="1"/>
      <c r="C11809" s="1"/>
      <c r="D11809" s="150"/>
      <c r="E11809" s="150"/>
      <c r="F11809" s="75"/>
      <c r="G11809" s="67"/>
      <c r="H11809" s="68"/>
      <c r="I11809" s="76"/>
      <c r="J11809" s="67"/>
      <c r="K11809" s="1"/>
      <c r="L11809" s="77"/>
      <c r="M11809" s="79"/>
      <c r="N11809" s="1"/>
      <c r="O11809" s="1"/>
      <c r="P11809" s="1"/>
      <c r="Q11809" s="1"/>
      <c r="R11809" s="1"/>
      <c r="S11809" s="1"/>
      <c r="T11809" s="1"/>
      <c r="U11809" s="1"/>
      <c r="V11809" s="1"/>
      <c r="W11809" s="1"/>
      <c r="X11809" s="1"/>
      <c r="Y11809" s="1"/>
      <c r="Z11809" s="1"/>
      <c r="AA11809" s="1"/>
      <c r="AB11809" s="1"/>
      <c r="AC11809" s="1"/>
      <c r="AD11809" s="1"/>
      <c r="AE11809" s="1"/>
      <c r="AF11809" s="1"/>
      <c r="AG11809" s="1"/>
      <c r="AH11809" s="1"/>
    </row>
    <row r="11810" ht="12.75" customHeight="1">
      <c r="A11810" s="17"/>
      <c r="B11810" s="1"/>
      <c r="C11810" s="1"/>
      <c r="D11810" s="150"/>
      <c r="E11810" s="150"/>
      <c r="F11810" s="75"/>
      <c r="G11810" s="67"/>
      <c r="H11810" s="68"/>
      <c r="I11810" s="76"/>
      <c r="J11810" s="67"/>
      <c r="K11810" s="1"/>
      <c r="L11810" s="77"/>
      <c r="M11810" s="79"/>
      <c r="N11810" s="1"/>
      <c r="O11810" s="1"/>
      <c r="P11810" s="1"/>
      <c r="Q11810" s="1"/>
      <c r="R11810" s="1"/>
      <c r="S11810" s="1"/>
      <c r="T11810" s="1"/>
      <c r="U11810" s="1"/>
      <c r="V11810" s="1"/>
      <c r="W11810" s="1"/>
      <c r="X11810" s="1"/>
      <c r="Y11810" s="1"/>
      <c r="Z11810" s="1"/>
      <c r="AA11810" s="1"/>
      <c r="AB11810" s="1"/>
      <c r="AC11810" s="1"/>
      <c r="AD11810" s="1"/>
      <c r="AE11810" s="1"/>
      <c r="AF11810" s="1"/>
      <c r="AG11810" s="1"/>
      <c r="AH11810" s="1"/>
    </row>
    <row r="11811" ht="12.75" customHeight="1">
      <c r="A11811" s="17"/>
      <c r="B11811" s="1"/>
      <c r="C11811" s="1"/>
      <c r="D11811" s="150"/>
      <c r="E11811" s="150"/>
      <c r="F11811" s="75"/>
      <c r="G11811" s="67"/>
      <c r="H11811" s="68"/>
      <c r="I11811" s="76"/>
      <c r="J11811" s="67"/>
      <c r="K11811" s="1"/>
      <c r="L11811" s="77"/>
      <c r="M11811" s="79"/>
      <c r="N11811" s="1"/>
      <c r="O11811" s="1"/>
      <c r="P11811" s="1"/>
      <c r="Q11811" s="1"/>
      <c r="R11811" s="1"/>
      <c r="S11811" s="1"/>
      <c r="T11811" s="1"/>
      <c r="U11811" s="1"/>
      <c r="V11811" s="1"/>
      <c r="W11811" s="1"/>
      <c r="X11811" s="1"/>
      <c r="Y11811" s="1"/>
      <c r="Z11811" s="1"/>
      <c r="AA11811" s="1"/>
      <c r="AB11811" s="1"/>
      <c r="AC11811" s="1"/>
      <c r="AD11811" s="1"/>
      <c r="AE11811" s="1"/>
      <c r="AF11811" s="1"/>
      <c r="AG11811" s="1"/>
      <c r="AH11811" s="1"/>
    </row>
    <row r="11812" ht="12.75" customHeight="1">
      <c r="A11812" s="17"/>
      <c r="B11812" s="1"/>
      <c r="C11812" s="1"/>
      <c r="D11812" s="150"/>
      <c r="E11812" s="150"/>
      <c r="F11812" s="75"/>
      <c r="G11812" s="67"/>
      <c r="H11812" s="68"/>
      <c r="I11812" s="76"/>
      <c r="J11812" s="67"/>
      <c r="K11812" s="1"/>
      <c r="L11812" s="77"/>
      <c r="M11812" s="79"/>
      <c r="N11812" s="1"/>
      <c r="O11812" s="1"/>
      <c r="P11812" s="1"/>
      <c r="Q11812" s="1"/>
      <c r="R11812" s="1"/>
      <c r="S11812" s="1"/>
      <c r="T11812" s="1"/>
      <c r="U11812" s="1"/>
      <c r="V11812" s="1"/>
      <c r="W11812" s="1"/>
      <c r="X11812" s="1"/>
      <c r="Y11812" s="1"/>
      <c r="Z11812" s="1"/>
      <c r="AA11812" s="1"/>
      <c r="AB11812" s="1"/>
      <c r="AC11812" s="1"/>
      <c r="AD11812" s="1"/>
      <c r="AE11812" s="1"/>
      <c r="AF11812" s="1"/>
      <c r="AG11812" s="1"/>
      <c r="AH11812" s="1"/>
    </row>
    <row r="11813" ht="12.75" customHeight="1">
      <c r="A11813" s="17"/>
      <c r="B11813" s="1"/>
      <c r="C11813" s="1"/>
      <c r="D11813" s="150"/>
      <c r="E11813" s="150"/>
      <c r="F11813" s="75"/>
      <c r="G11813" s="67"/>
      <c r="H11813" s="68"/>
      <c r="I11813" s="76"/>
      <c r="J11813" s="67"/>
      <c r="K11813" s="1"/>
      <c r="L11813" s="77"/>
      <c r="M11813" s="79"/>
      <c r="N11813" s="1"/>
      <c r="O11813" s="1"/>
      <c r="P11813" s="1"/>
      <c r="Q11813" s="1"/>
      <c r="R11813" s="1"/>
      <c r="S11813" s="1"/>
      <c r="T11813" s="1"/>
      <c r="U11813" s="1"/>
      <c r="V11813" s="1"/>
      <c r="W11813" s="1"/>
      <c r="X11813" s="1"/>
      <c r="Y11813" s="1"/>
      <c r="Z11813" s="1"/>
      <c r="AA11813" s="1"/>
      <c r="AB11813" s="1"/>
      <c r="AC11813" s="1"/>
      <c r="AD11813" s="1"/>
      <c r="AE11813" s="1"/>
      <c r="AF11813" s="1"/>
      <c r="AG11813" s="1"/>
      <c r="AH11813" s="1"/>
    </row>
    <row r="11814" ht="12.75" customHeight="1">
      <c r="A11814" s="17"/>
      <c r="B11814" s="1"/>
      <c r="C11814" s="1"/>
      <c r="D11814" s="150"/>
      <c r="E11814" s="150"/>
      <c r="F11814" s="75"/>
      <c r="G11814" s="67"/>
      <c r="H11814" s="68"/>
      <c r="I11814" s="76"/>
      <c r="J11814" s="67"/>
      <c r="K11814" s="1"/>
      <c r="L11814" s="77"/>
      <c r="M11814" s="79"/>
      <c r="N11814" s="1"/>
      <c r="O11814" s="1"/>
      <c r="P11814" s="1"/>
      <c r="Q11814" s="1"/>
      <c r="R11814" s="1"/>
      <c r="S11814" s="1"/>
      <c r="T11814" s="1"/>
      <c r="U11814" s="1"/>
      <c r="V11814" s="1"/>
      <c r="W11814" s="1"/>
      <c r="X11814" s="1"/>
      <c r="Y11814" s="1"/>
      <c r="Z11814" s="1"/>
      <c r="AA11814" s="1"/>
      <c r="AB11814" s="1"/>
      <c r="AC11814" s="1"/>
      <c r="AD11814" s="1"/>
      <c r="AE11814" s="1"/>
      <c r="AF11814" s="1"/>
      <c r="AG11814" s="1"/>
      <c r="AH11814" s="1"/>
    </row>
    <row r="11815" ht="12.75" customHeight="1">
      <c r="A11815" s="17"/>
      <c r="B11815" s="1"/>
      <c r="C11815" s="1"/>
      <c r="D11815" s="150"/>
      <c r="E11815" s="150"/>
      <c r="F11815" s="75"/>
      <c r="G11815" s="67"/>
      <c r="H11815" s="68"/>
      <c r="I11815" s="76"/>
      <c r="J11815" s="67"/>
      <c r="K11815" s="1"/>
      <c r="L11815" s="77"/>
      <c r="M11815" s="79"/>
      <c r="N11815" s="1"/>
      <c r="O11815" s="1"/>
      <c r="P11815" s="1"/>
      <c r="Q11815" s="1"/>
      <c r="R11815" s="1"/>
      <c r="S11815" s="1"/>
      <c r="T11815" s="1"/>
      <c r="U11815" s="1"/>
      <c r="V11815" s="1"/>
      <c r="W11815" s="1"/>
      <c r="X11815" s="1"/>
      <c r="Y11815" s="1"/>
      <c r="Z11815" s="1"/>
      <c r="AA11815" s="1"/>
      <c r="AB11815" s="1"/>
      <c r="AC11815" s="1"/>
      <c r="AD11815" s="1"/>
      <c r="AE11815" s="1"/>
      <c r="AF11815" s="1"/>
      <c r="AG11815" s="1"/>
      <c r="AH11815" s="1"/>
    </row>
    <row r="11816" ht="12.75" customHeight="1">
      <c r="A11816" s="17"/>
      <c r="B11816" s="1"/>
      <c r="C11816" s="1"/>
      <c r="D11816" s="150"/>
      <c r="E11816" s="150"/>
      <c r="F11816" s="75"/>
      <c r="G11816" s="67"/>
      <c r="H11816" s="68"/>
      <c r="I11816" s="76"/>
      <c r="J11816" s="67"/>
      <c r="K11816" s="1"/>
      <c r="L11816" s="77"/>
      <c r="M11816" s="79"/>
      <c r="N11816" s="1"/>
      <c r="O11816" s="1"/>
      <c r="P11816" s="1"/>
      <c r="Q11816" s="1"/>
      <c r="R11816" s="1"/>
      <c r="S11816" s="1"/>
      <c r="T11816" s="1"/>
      <c r="U11816" s="1"/>
      <c r="V11816" s="1"/>
      <c r="W11816" s="1"/>
      <c r="X11816" s="1"/>
      <c r="Y11816" s="1"/>
      <c r="Z11816" s="1"/>
      <c r="AA11816" s="1"/>
      <c r="AB11816" s="1"/>
      <c r="AC11816" s="1"/>
      <c r="AD11816" s="1"/>
      <c r="AE11816" s="1"/>
      <c r="AF11816" s="1"/>
      <c r="AG11816" s="1"/>
      <c r="AH11816" s="1"/>
    </row>
    <row r="11817" ht="12.75" customHeight="1">
      <c r="A11817" s="17"/>
      <c r="B11817" s="1"/>
      <c r="C11817" s="1"/>
      <c r="D11817" s="150"/>
      <c r="E11817" s="150"/>
      <c r="F11817" s="75"/>
      <c r="G11817" s="67"/>
      <c r="H11817" s="68"/>
      <c r="I11817" s="76"/>
      <c r="J11817" s="67"/>
      <c r="K11817" s="1"/>
      <c r="L11817" s="77"/>
      <c r="M11817" s="79"/>
      <c r="N11817" s="1"/>
      <c r="O11817" s="1"/>
      <c r="P11817" s="1"/>
      <c r="Q11817" s="1"/>
      <c r="R11817" s="1"/>
      <c r="S11817" s="1"/>
      <c r="T11817" s="1"/>
      <c r="U11817" s="1"/>
      <c r="V11817" s="1"/>
      <c r="W11817" s="1"/>
      <c r="X11817" s="1"/>
      <c r="Y11817" s="1"/>
      <c r="Z11817" s="1"/>
      <c r="AA11817" s="1"/>
      <c r="AB11817" s="1"/>
      <c r="AC11817" s="1"/>
      <c r="AD11817" s="1"/>
      <c r="AE11817" s="1"/>
      <c r="AF11817" s="1"/>
      <c r="AG11817" s="1"/>
      <c r="AH11817" s="1"/>
    </row>
    <row r="11818" ht="12.75" customHeight="1">
      <c r="A11818" s="17"/>
      <c r="B11818" s="1"/>
      <c r="C11818" s="1"/>
      <c r="D11818" s="150"/>
      <c r="E11818" s="150"/>
      <c r="F11818" s="75"/>
      <c r="G11818" s="67"/>
      <c r="H11818" s="68"/>
      <c r="I11818" s="76"/>
      <c r="J11818" s="67"/>
      <c r="K11818" s="1"/>
      <c r="L11818" s="77"/>
      <c r="M11818" s="79"/>
      <c r="N11818" s="1"/>
      <c r="O11818" s="1"/>
      <c r="P11818" s="1"/>
      <c r="Q11818" s="1"/>
      <c r="R11818" s="1"/>
      <c r="S11818" s="1"/>
      <c r="T11818" s="1"/>
      <c r="U11818" s="1"/>
      <c r="V11818" s="1"/>
      <c r="W11818" s="1"/>
      <c r="X11818" s="1"/>
      <c r="Y11818" s="1"/>
      <c r="Z11818" s="1"/>
      <c r="AA11818" s="1"/>
      <c r="AB11818" s="1"/>
      <c r="AC11818" s="1"/>
      <c r="AD11818" s="1"/>
      <c r="AE11818" s="1"/>
      <c r="AF11818" s="1"/>
      <c r="AG11818" s="1"/>
      <c r="AH11818" s="1"/>
    </row>
    <row r="11819" ht="12.75" customHeight="1">
      <c r="A11819" s="17"/>
      <c r="B11819" s="1"/>
      <c r="C11819" s="1"/>
      <c r="D11819" s="150"/>
      <c r="E11819" s="150"/>
      <c r="F11819" s="75"/>
      <c r="G11819" s="67"/>
      <c r="H11819" s="68"/>
      <c r="I11819" s="76"/>
      <c r="J11819" s="67"/>
      <c r="K11819" s="1"/>
      <c r="L11819" s="77"/>
      <c r="M11819" s="79"/>
      <c r="N11819" s="1"/>
      <c r="O11819" s="1"/>
      <c r="P11819" s="1"/>
      <c r="Q11819" s="1"/>
      <c r="R11819" s="1"/>
      <c r="S11819" s="1"/>
      <c r="T11819" s="1"/>
      <c r="U11819" s="1"/>
      <c r="V11819" s="1"/>
      <c r="W11819" s="1"/>
      <c r="X11819" s="1"/>
      <c r="Y11819" s="1"/>
      <c r="Z11819" s="1"/>
      <c r="AA11819" s="1"/>
      <c r="AB11819" s="1"/>
      <c r="AC11819" s="1"/>
      <c r="AD11819" s="1"/>
      <c r="AE11819" s="1"/>
      <c r="AF11819" s="1"/>
      <c r="AG11819" s="1"/>
      <c r="AH11819" s="1"/>
    </row>
    <row r="11820" ht="12.75" customHeight="1">
      <c r="A11820" s="17"/>
      <c r="B11820" s="1"/>
      <c r="C11820" s="1"/>
      <c r="D11820" s="150"/>
      <c r="E11820" s="150"/>
      <c r="F11820" s="75"/>
      <c r="G11820" s="67"/>
      <c r="H11820" s="68"/>
      <c r="I11820" s="76"/>
      <c r="J11820" s="67"/>
      <c r="K11820" s="1"/>
      <c r="L11820" s="77"/>
      <c r="M11820" s="79"/>
      <c r="N11820" s="1"/>
      <c r="O11820" s="1"/>
      <c r="P11820" s="1"/>
      <c r="Q11820" s="1"/>
      <c r="R11820" s="1"/>
      <c r="S11820" s="1"/>
      <c r="T11820" s="1"/>
      <c r="U11820" s="1"/>
      <c r="V11820" s="1"/>
      <c r="W11820" s="1"/>
      <c r="X11820" s="1"/>
      <c r="Y11820" s="1"/>
      <c r="Z11820" s="1"/>
      <c r="AA11820" s="1"/>
      <c r="AB11820" s="1"/>
      <c r="AC11820" s="1"/>
      <c r="AD11820" s="1"/>
      <c r="AE11820" s="1"/>
      <c r="AF11820" s="1"/>
      <c r="AG11820" s="1"/>
      <c r="AH11820" s="1"/>
    </row>
    <row r="11821" ht="12.75" customHeight="1">
      <c r="A11821" s="17"/>
      <c r="B11821" s="1"/>
      <c r="C11821" s="1"/>
      <c r="D11821" s="150"/>
      <c r="E11821" s="150"/>
      <c r="F11821" s="75"/>
      <c r="G11821" s="67"/>
      <c r="H11821" s="68"/>
      <c r="I11821" s="76"/>
      <c r="J11821" s="67"/>
      <c r="K11821" s="1"/>
      <c r="L11821" s="77"/>
      <c r="M11821" s="79"/>
      <c r="N11821" s="1"/>
      <c r="O11821" s="1"/>
      <c r="P11821" s="1"/>
      <c r="Q11821" s="1"/>
      <c r="R11821" s="1"/>
      <c r="S11821" s="1"/>
      <c r="T11821" s="1"/>
      <c r="U11821" s="1"/>
      <c r="V11821" s="1"/>
      <c r="W11821" s="1"/>
      <c r="X11821" s="1"/>
      <c r="Y11821" s="1"/>
      <c r="Z11821" s="1"/>
      <c r="AA11821" s="1"/>
      <c r="AB11821" s="1"/>
      <c r="AC11821" s="1"/>
      <c r="AD11821" s="1"/>
      <c r="AE11821" s="1"/>
      <c r="AF11821" s="1"/>
      <c r="AG11821" s="1"/>
      <c r="AH11821" s="1"/>
    </row>
    <row r="11822" ht="12.75" customHeight="1">
      <c r="A11822" s="17"/>
      <c r="B11822" s="1"/>
      <c r="C11822" s="1"/>
      <c r="D11822" s="150"/>
      <c r="E11822" s="150"/>
      <c r="F11822" s="75"/>
      <c r="G11822" s="67"/>
      <c r="H11822" s="68"/>
      <c r="I11822" s="76"/>
      <c r="J11822" s="67"/>
      <c r="K11822" s="1"/>
      <c r="L11822" s="77"/>
      <c r="M11822" s="79"/>
      <c r="N11822" s="1"/>
      <c r="O11822" s="1"/>
      <c r="P11822" s="1"/>
      <c r="Q11822" s="1"/>
      <c r="R11822" s="1"/>
      <c r="S11822" s="1"/>
      <c r="T11822" s="1"/>
      <c r="U11822" s="1"/>
      <c r="V11822" s="1"/>
      <c r="W11822" s="1"/>
      <c r="X11822" s="1"/>
      <c r="Y11822" s="1"/>
      <c r="Z11822" s="1"/>
      <c r="AA11822" s="1"/>
      <c r="AB11822" s="1"/>
      <c r="AC11822" s="1"/>
      <c r="AD11822" s="1"/>
      <c r="AE11822" s="1"/>
      <c r="AF11822" s="1"/>
      <c r="AG11822" s="1"/>
      <c r="AH11822" s="1"/>
    </row>
    <row r="11823" ht="12.75" customHeight="1">
      <c r="A11823" s="17"/>
      <c r="B11823" s="1"/>
      <c r="C11823" s="1"/>
      <c r="D11823" s="150"/>
      <c r="E11823" s="150"/>
      <c r="F11823" s="75"/>
      <c r="G11823" s="67"/>
      <c r="H11823" s="68"/>
      <c r="I11823" s="76"/>
      <c r="J11823" s="67"/>
      <c r="K11823" s="1"/>
      <c r="L11823" s="77"/>
      <c r="M11823" s="79"/>
      <c r="N11823" s="1"/>
      <c r="O11823" s="1"/>
      <c r="P11823" s="1"/>
      <c r="Q11823" s="1"/>
      <c r="R11823" s="1"/>
      <c r="S11823" s="1"/>
      <c r="T11823" s="1"/>
      <c r="U11823" s="1"/>
      <c r="V11823" s="1"/>
      <c r="W11823" s="1"/>
      <c r="X11823" s="1"/>
      <c r="Y11823" s="1"/>
      <c r="Z11823" s="1"/>
      <c r="AA11823" s="1"/>
      <c r="AB11823" s="1"/>
      <c r="AC11823" s="1"/>
      <c r="AD11823" s="1"/>
      <c r="AE11823" s="1"/>
      <c r="AF11823" s="1"/>
      <c r="AG11823" s="1"/>
      <c r="AH11823" s="1"/>
    </row>
    <row r="11824" ht="12.75" customHeight="1">
      <c r="A11824" s="17"/>
      <c r="B11824" s="1"/>
      <c r="C11824" s="1"/>
      <c r="D11824" s="150"/>
      <c r="E11824" s="150"/>
      <c r="F11824" s="75"/>
      <c r="G11824" s="67"/>
      <c r="H11824" s="68"/>
      <c r="I11824" s="76"/>
      <c r="J11824" s="67"/>
      <c r="K11824" s="1"/>
      <c r="L11824" s="77"/>
      <c r="M11824" s="79"/>
      <c r="N11824" s="1"/>
      <c r="O11824" s="1"/>
      <c r="P11824" s="1"/>
      <c r="Q11824" s="1"/>
      <c r="R11824" s="1"/>
      <c r="S11824" s="1"/>
      <c r="T11824" s="1"/>
      <c r="U11824" s="1"/>
      <c r="V11824" s="1"/>
      <c r="W11824" s="1"/>
      <c r="X11824" s="1"/>
      <c r="Y11824" s="1"/>
      <c r="Z11824" s="1"/>
      <c r="AA11824" s="1"/>
      <c r="AB11824" s="1"/>
      <c r="AC11824" s="1"/>
      <c r="AD11824" s="1"/>
      <c r="AE11824" s="1"/>
      <c r="AF11824" s="1"/>
      <c r="AG11824" s="1"/>
      <c r="AH11824" s="1"/>
    </row>
    <row r="11825" ht="12.75" customHeight="1">
      <c r="A11825" s="17"/>
      <c r="B11825" s="1"/>
      <c r="C11825" s="1"/>
      <c r="D11825" s="150"/>
      <c r="E11825" s="150"/>
      <c r="F11825" s="75"/>
      <c r="G11825" s="67"/>
      <c r="H11825" s="68"/>
      <c r="I11825" s="76"/>
      <c r="J11825" s="67"/>
      <c r="K11825" s="1"/>
      <c r="L11825" s="77"/>
      <c r="M11825" s="79"/>
      <c r="N11825" s="1"/>
      <c r="O11825" s="1"/>
      <c r="P11825" s="1"/>
      <c r="Q11825" s="1"/>
      <c r="R11825" s="1"/>
      <c r="S11825" s="1"/>
      <c r="T11825" s="1"/>
      <c r="U11825" s="1"/>
      <c r="V11825" s="1"/>
      <c r="W11825" s="1"/>
      <c r="X11825" s="1"/>
      <c r="Y11825" s="1"/>
      <c r="Z11825" s="1"/>
      <c r="AA11825" s="1"/>
      <c r="AB11825" s="1"/>
      <c r="AC11825" s="1"/>
      <c r="AD11825" s="1"/>
      <c r="AE11825" s="1"/>
      <c r="AF11825" s="1"/>
      <c r="AG11825" s="1"/>
      <c r="AH11825" s="1"/>
    </row>
    <row r="11826" ht="12.75" customHeight="1">
      <c r="A11826" s="17"/>
      <c r="B11826" s="1"/>
      <c r="C11826" s="1"/>
      <c r="D11826" s="150"/>
      <c r="E11826" s="150"/>
      <c r="F11826" s="75"/>
      <c r="G11826" s="67"/>
      <c r="H11826" s="68"/>
      <c r="I11826" s="76"/>
      <c r="J11826" s="67"/>
      <c r="K11826" s="1"/>
      <c r="L11826" s="77"/>
      <c r="M11826" s="79"/>
      <c r="N11826" s="1"/>
      <c r="O11826" s="1"/>
      <c r="P11826" s="1"/>
      <c r="Q11826" s="1"/>
      <c r="R11826" s="1"/>
      <c r="S11826" s="1"/>
      <c r="T11826" s="1"/>
      <c r="U11826" s="1"/>
      <c r="V11826" s="1"/>
      <c r="W11826" s="1"/>
      <c r="X11826" s="1"/>
      <c r="Y11826" s="1"/>
      <c r="Z11826" s="1"/>
      <c r="AA11826" s="1"/>
      <c r="AB11826" s="1"/>
      <c r="AC11826" s="1"/>
      <c r="AD11826" s="1"/>
      <c r="AE11826" s="1"/>
      <c r="AF11826" s="1"/>
      <c r="AG11826" s="1"/>
      <c r="AH11826" s="1"/>
    </row>
    <row r="11827" ht="12.75" customHeight="1">
      <c r="A11827" s="17"/>
      <c r="B11827" s="1"/>
      <c r="C11827" s="1"/>
      <c r="D11827" s="150"/>
      <c r="E11827" s="150"/>
      <c r="F11827" s="75"/>
      <c r="G11827" s="67"/>
      <c r="H11827" s="68"/>
      <c r="I11827" s="76"/>
      <c r="J11827" s="67"/>
      <c r="K11827" s="1"/>
      <c r="L11827" s="77"/>
      <c r="M11827" s="79"/>
      <c r="N11827" s="1"/>
      <c r="O11827" s="1"/>
      <c r="P11827" s="1"/>
      <c r="Q11827" s="1"/>
      <c r="R11827" s="1"/>
      <c r="S11827" s="1"/>
      <c r="T11827" s="1"/>
      <c r="U11827" s="1"/>
      <c r="V11827" s="1"/>
      <c r="W11827" s="1"/>
      <c r="X11827" s="1"/>
      <c r="Y11827" s="1"/>
      <c r="Z11827" s="1"/>
      <c r="AA11827" s="1"/>
      <c r="AB11827" s="1"/>
      <c r="AC11827" s="1"/>
      <c r="AD11827" s="1"/>
      <c r="AE11827" s="1"/>
      <c r="AF11827" s="1"/>
      <c r="AG11827" s="1"/>
      <c r="AH11827" s="1"/>
    </row>
    <row r="11828" ht="12.75" customHeight="1">
      <c r="A11828" s="17"/>
      <c r="B11828" s="1"/>
      <c r="C11828" s="1"/>
      <c r="D11828" s="150"/>
      <c r="E11828" s="150"/>
      <c r="F11828" s="75"/>
      <c r="G11828" s="67"/>
      <c r="H11828" s="68"/>
      <c r="I11828" s="76"/>
      <c r="J11828" s="67"/>
      <c r="K11828" s="1"/>
      <c r="L11828" s="77"/>
      <c r="M11828" s="79"/>
      <c r="N11828" s="1"/>
      <c r="O11828" s="1"/>
      <c r="P11828" s="1"/>
      <c r="Q11828" s="1"/>
      <c r="R11828" s="1"/>
      <c r="S11828" s="1"/>
      <c r="T11828" s="1"/>
      <c r="U11828" s="1"/>
      <c r="V11828" s="1"/>
      <c r="W11828" s="1"/>
      <c r="X11828" s="1"/>
      <c r="Y11828" s="1"/>
      <c r="Z11828" s="1"/>
      <c r="AA11828" s="1"/>
      <c r="AB11828" s="1"/>
      <c r="AC11828" s="1"/>
      <c r="AD11828" s="1"/>
      <c r="AE11828" s="1"/>
      <c r="AF11828" s="1"/>
      <c r="AG11828" s="1"/>
      <c r="AH11828" s="1"/>
    </row>
    <row r="11829" ht="12.75" customHeight="1">
      <c r="A11829" s="17"/>
      <c r="B11829" s="1"/>
      <c r="C11829" s="1"/>
      <c r="D11829" s="150"/>
      <c r="E11829" s="150"/>
      <c r="F11829" s="75"/>
      <c r="G11829" s="67"/>
      <c r="H11829" s="68"/>
      <c r="I11829" s="76"/>
      <c r="J11829" s="67"/>
      <c r="K11829" s="1"/>
      <c r="L11829" s="77"/>
      <c r="M11829" s="79"/>
      <c r="N11829" s="1"/>
      <c r="O11829" s="1"/>
      <c r="P11829" s="1"/>
      <c r="Q11829" s="1"/>
      <c r="R11829" s="1"/>
      <c r="S11829" s="1"/>
      <c r="T11829" s="1"/>
      <c r="U11829" s="1"/>
      <c r="V11829" s="1"/>
      <c r="W11829" s="1"/>
      <c r="X11829" s="1"/>
      <c r="Y11829" s="1"/>
      <c r="Z11829" s="1"/>
      <c r="AA11829" s="1"/>
      <c r="AB11829" s="1"/>
      <c r="AC11829" s="1"/>
      <c r="AD11829" s="1"/>
      <c r="AE11829" s="1"/>
      <c r="AF11829" s="1"/>
      <c r="AG11829" s="1"/>
      <c r="AH11829" s="1"/>
    </row>
    <row r="11830" ht="12.75" customHeight="1">
      <c r="A11830" s="17"/>
      <c r="B11830" s="1"/>
      <c r="C11830" s="1"/>
      <c r="D11830" s="150"/>
      <c r="E11830" s="150"/>
      <c r="F11830" s="75"/>
      <c r="G11830" s="67"/>
      <c r="H11830" s="68"/>
      <c r="I11830" s="76"/>
      <c r="J11830" s="67"/>
      <c r="K11830" s="1"/>
      <c r="L11830" s="77"/>
      <c r="M11830" s="79"/>
      <c r="N11830" s="1"/>
      <c r="O11830" s="1"/>
      <c r="P11830" s="1"/>
      <c r="Q11830" s="1"/>
      <c r="R11830" s="1"/>
      <c r="S11830" s="1"/>
      <c r="T11830" s="1"/>
      <c r="U11830" s="1"/>
      <c r="V11830" s="1"/>
      <c r="W11830" s="1"/>
      <c r="X11830" s="1"/>
      <c r="Y11830" s="1"/>
      <c r="Z11830" s="1"/>
      <c r="AA11830" s="1"/>
      <c r="AB11830" s="1"/>
      <c r="AC11830" s="1"/>
      <c r="AD11830" s="1"/>
      <c r="AE11830" s="1"/>
      <c r="AF11830" s="1"/>
      <c r="AG11830" s="1"/>
      <c r="AH11830" s="1"/>
    </row>
    <row r="11831" ht="12.75" customHeight="1">
      <c r="A11831" s="17"/>
      <c r="B11831" s="1"/>
      <c r="C11831" s="1"/>
      <c r="D11831" s="150"/>
      <c r="E11831" s="150"/>
      <c r="F11831" s="75"/>
      <c r="G11831" s="67"/>
      <c r="H11831" s="68"/>
      <c r="I11831" s="76"/>
      <c r="J11831" s="67"/>
      <c r="K11831" s="1"/>
      <c r="L11831" s="77"/>
      <c r="M11831" s="79"/>
      <c r="N11831" s="1"/>
      <c r="O11831" s="1"/>
      <c r="P11831" s="1"/>
      <c r="Q11831" s="1"/>
      <c r="R11831" s="1"/>
      <c r="S11831" s="1"/>
      <c r="T11831" s="1"/>
      <c r="U11831" s="1"/>
      <c r="V11831" s="1"/>
      <c r="W11831" s="1"/>
      <c r="X11831" s="1"/>
      <c r="Y11831" s="1"/>
      <c r="Z11831" s="1"/>
      <c r="AA11831" s="1"/>
      <c r="AB11831" s="1"/>
      <c r="AC11831" s="1"/>
      <c r="AD11831" s="1"/>
      <c r="AE11831" s="1"/>
      <c r="AF11831" s="1"/>
      <c r="AG11831" s="1"/>
      <c r="AH11831" s="1"/>
    </row>
    <row r="11832" ht="12.75" customHeight="1">
      <c r="A11832" s="17"/>
      <c r="B11832" s="1"/>
      <c r="C11832" s="1"/>
      <c r="D11832" s="150"/>
      <c r="E11832" s="150"/>
      <c r="F11832" s="75"/>
      <c r="G11832" s="67"/>
      <c r="H11832" s="68"/>
      <c r="I11832" s="76"/>
      <c r="J11832" s="67"/>
      <c r="K11832" s="1"/>
      <c r="L11832" s="77"/>
      <c r="M11832" s="79"/>
      <c r="N11832" s="1"/>
      <c r="O11832" s="1"/>
      <c r="P11832" s="1"/>
      <c r="Q11832" s="1"/>
      <c r="R11832" s="1"/>
      <c r="S11832" s="1"/>
      <c r="T11832" s="1"/>
      <c r="U11832" s="1"/>
      <c r="V11832" s="1"/>
      <c r="W11832" s="1"/>
      <c r="X11832" s="1"/>
      <c r="Y11832" s="1"/>
      <c r="Z11832" s="1"/>
      <c r="AA11832" s="1"/>
      <c r="AB11832" s="1"/>
      <c r="AC11832" s="1"/>
      <c r="AD11832" s="1"/>
      <c r="AE11832" s="1"/>
      <c r="AF11832" s="1"/>
      <c r="AG11832" s="1"/>
      <c r="AH11832" s="1"/>
    </row>
    <row r="11833" ht="12.75" customHeight="1">
      <c r="A11833" s="17"/>
      <c r="B11833" s="1"/>
      <c r="C11833" s="1"/>
      <c r="D11833" s="150"/>
      <c r="E11833" s="150"/>
      <c r="F11833" s="75"/>
      <c r="G11833" s="67"/>
      <c r="H11833" s="68"/>
      <c r="I11833" s="76"/>
      <c r="J11833" s="67"/>
      <c r="K11833" s="1"/>
      <c r="L11833" s="77"/>
      <c r="M11833" s="79"/>
      <c r="N11833" s="1"/>
      <c r="O11833" s="1"/>
      <c r="P11833" s="1"/>
      <c r="Q11833" s="1"/>
      <c r="R11833" s="1"/>
      <c r="S11833" s="1"/>
      <c r="T11833" s="1"/>
      <c r="U11833" s="1"/>
      <c r="V11833" s="1"/>
      <c r="W11833" s="1"/>
      <c r="X11833" s="1"/>
      <c r="Y11833" s="1"/>
      <c r="Z11833" s="1"/>
      <c r="AA11833" s="1"/>
      <c r="AB11833" s="1"/>
      <c r="AC11833" s="1"/>
      <c r="AD11833" s="1"/>
      <c r="AE11833" s="1"/>
      <c r="AF11833" s="1"/>
      <c r="AG11833" s="1"/>
      <c r="AH11833" s="1"/>
    </row>
    <row r="11834" ht="12.75" customHeight="1">
      <c r="A11834" s="17"/>
      <c r="B11834" s="1"/>
      <c r="C11834" s="1"/>
      <c r="D11834" s="150"/>
      <c r="E11834" s="150"/>
      <c r="F11834" s="75"/>
      <c r="G11834" s="67"/>
      <c r="H11834" s="68"/>
      <c r="I11834" s="76"/>
      <c r="J11834" s="67"/>
      <c r="K11834" s="1"/>
      <c r="L11834" s="77"/>
      <c r="M11834" s="79"/>
      <c r="N11834" s="1"/>
      <c r="O11834" s="1"/>
      <c r="P11834" s="1"/>
      <c r="Q11834" s="1"/>
      <c r="R11834" s="1"/>
      <c r="S11834" s="1"/>
      <c r="T11834" s="1"/>
      <c r="U11834" s="1"/>
      <c r="V11834" s="1"/>
      <c r="W11834" s="1"/>
      <c r="X11834" s="1"/>
      <c r="Y11834" s="1"/>
      <c r="Z11834" s="1"/>
      <c r="AA11834" s="1"/>
      <c r="AB11834" s="1"/>
      <c r="AC11834" s="1"/>
      <c r="AD11834" s="1"/>
      <c r="AE11834" s="1"/>
      <c r="AF11834" s="1"/>
      <c r="AG11834" s="1"/>
      <c r="AH11834" s="1"/>
    </row>
    <row r="11835" ht="12.75" customHeight="1">
      <c r="A11835" s="17"/>
      <c r="B11835" s="1"/>
      <c r="C11835" s="1"/>
      <c r="D11835" s="150"/>
      <c r="E11835" s="150"/>
      <c r="F11835" s="75"/>
      <c r="G11835" s="67"/>
      <c r="H11835" s="68"/>
      <c r="I11835" s="76"/>
      <c r="J11835" s="67"/>
      <c r="K11835" s="1"/>
      <c r="L11835" s="77"/>
      <c r="M11835" s="79"/>
      <c r="N11835" s="1"/>
      <c r="O11835" s="1"/>
      <c r="P11835" s="1"/>
      <c r="Q11835" s="1"/>
      <c r="R11835" s="1"/>
      <c r="S11835" s="1"/>
      <c r="T11835" s="1"/>
      <c r="U11835" s="1"/>
      <c r="V11835" s="1"/>
      <c r="W11835" s="1"/>
      <c r="X11835" s="1"/>
      <c r="Y11835" s="1"/>
      <c r="Z11835" s="1"/>
      <c r="AA11835" s="1"/>
      <c r="AB11835" s="1"/>
      <c r="AC11835" s="1"/>
      <c r="AD11835" s="1"/>
      <c r="AE11835" s="1"/>
      <c r="AF11835" s="1"/>
      <c r="AG11835" s="1"/>
      <c r="AH11835" s="1"/>
    </row>
    <row r="11836" ht="12.75" customHeight="1">
      <c r="A11836" s="17"/>
      <c r="B11836" s="1"/>
      <c r="C11836" s="1"/>
      <c r="D11836" s="150"/>
      <c r="E11836" s="150"/>
      <c r="F11836" s="75"/>
      <c r="G11836" s="67"/>
      <c r="H11836" s="68"/>
      <c r="I11836" s="76"/>
      <c r="J11836" s="67"/>
      <c r="K11836" s="1"/>
      <c r="L11836" s="77"/>
      <c r="M11836" s="79"/>
      <c r="N11836" s="1"/>
      <c r="O11836" s="1"/>
      <c r="P11836" s="1"/>
      <c r="Q11836" s="1"/>
      <c r="R11836" s="1"/>
      <c r="S11836" s="1"/>
      <c r="T11836" s="1"/>
      <c r="U11836" s="1"/>
      <c r="V11836" s="1"/>
      <c r="W11836" s="1"/>
      <c r="X11836" s="1"/>
      <c r="Y11836" s="1"/>
      <c r="Z11836" s="1"/>
      <c r="AA11836" s="1"/>
      <c r="AB11836" s="1"/>
      <c r="AC11836" s="1"/>
      <c r="AD11836" s="1"/>
      <c r="AE11836" s="1"/>
      <c r="AF11836" s="1"/>
      <c r="AG11836" s="1"/>
      <c r="AH11836" s="1"/>
    </row>
    <row r="11837" ht="12.75" customHeight="1">
      <c r="A11837" s="17"/>
      <c r="B11837" s="1"/>
      <c r="C11837" s="1"/>
      <c r="D11837" s="150"/>
      <c r="E11837" s="150"/>
      <c r="F11837" s="75"/>
      <c r="G11837" s="67"/>
      <c r="H11837" s="68"/>
      <c r="I11837" s="76"/>
      <c r="J11837" s="67"/>
      <c r="K11837" s="1"/>
      <c r="L11837" s="77"/>
      <c r="M11837" s="79"/>
      <c r="N11837" s="1"/>
      <c r="O11837" s="1"/>
      <c r="P11837" s="1"/>
      <c r="Q11837" s="1"/>
      <c r="R11837" s="1"/>
      <c r="S11837" s="1"/>
      <c r="T11837" s="1"/>
      <c r="U11837" s="1"/>
      <c r="V11837" s="1"/>
      <c r="W11837" s="1"/>
      <c r="X11837" s="1"/>
      <c r="Y11837" s="1"/>
      <c r="Z11837" s="1"/>
      <c r="AA11837" s="1"/>
      <c r="AB11837" s="1"/>
      <c r="AC11837" s="1"/>
      <c r="AD11837" s="1"/>
      <c r="AE11837" s="1"/>
      <c r="AF11837" s="1"/>
      <c r="AG11837" s="1"/>
      <c r="AH11837" s="1"/>
    </row>
    <row r="11838" ht="12.75" customHeight="1">
      <c r="A11838" s="17"/>
      <c r="B11838" s="1"/>
      <c r="C11838" s="1"/>
      <c r="D11838" s="150"/>
      <c r="E11838" s="150"/>
      <c r="F11838" s="75"/>
      <c r="G11838" s="67"/>
      <c r="H11838" s="68"/>
      <c r="I11838" s="76"/>
      <c r="J11838" s="67"/>
      <c r="K11838" s="1"/>
      <c r="L11838" s="77"/>
      <c r="M11838" s="79"/>
      <c r="N11838" s="1"/>
      <c r="O11838" s="1"/>
      <c r="P11838" s="1"/>
      <c r="Q11838" s="1"/>
      <c r="R11838" s="1"/>
      <c r="S11838" s="1"/>
      <c r="T11838" s="1"/>
      <c r="U11838" s="1"/>
      <c r="V11838" s="1"/>
      <c r="W11838" s="1"/>
      <c r="X11838" s="1"/>
      <c r="Y11838" s="1"/>
      <c r="Z11838" s="1"/>
      <c r="AA11838" s="1"/>
      <c r="AB11838" s="1"/>
      <c r="AC11838" s="1"/>
      <c r="AD11838" s="1"/>
      <c r="AE11838" s="1"/>
      <c r="AF11838" s="1"/>
      <c r="AG11838" s="1"/>
      <c r="AH11838" s="1"/>
    </row>
    <row r="11839" ht="12.75" customHeight="1">
      <c r="A11839" s="17"/>
      <c r="B11839" s="1"/>
      <c r="C11839" s="1"/>
      <c r="D11839" s="150"/>
      <c r="E11839" s="150"/>
      <c r="F11839" s="75"/>
      <c r="G11839" s="67"/>
      <c r="H11839" s="68"/>
      <c r="I11839" s="76"/>
      <c r="J11839" s="67"/>
      <c r="K11839" s="1"/>
      <c r="L11839" s="77"/>
      <c r="M11839" s="79"/>
      <c r="N11839" s="1"/>
      <c r="O11839" s="1"/>
      <c r="P11839" s="1"/>
      <c r="Q11839" s="1"/>
      <c r="R11839" s="1"/>
      <c r="S11839" s="1"/>
      <c r="T11839" s="1"/>
      <c r="U11839" s="1"/>
      <c r="V11839" s="1"/>
      <c r="W11839" s="1"/>
      <c r="X11839" s="1"/>
      <c r="Y11839" s="1"/>
      <c r="Z11839" s="1"/>
      <c r="AA11839" s="1"/>
      <c r="AB11839" s="1"/>
      <c r="AC11839" s="1"/>
      <c r="AD11839" s="1"/>
      <c r="AE11839" s="1"/>
      <c r="AF11839" s="1"/>
      <c r="AG11839" s="1"/>
      <c r="AH11839" s="1"/>
    </row>
    <row r="11840" ht="12.75" customHeight="1">
      <c r="A11840" s="17"/>
      <c r="B11840" s="1"/>
      <c r="C11840" s="1"/>
      <c r="D11840" s="150"/>
      <c r="E11840" s="150"/>
      <c r="F11840" s="75"/>
      <c r="G11840" s="67"/>
      <c r="H11840" s="68"/>
      <c r="I11840" s="76"/>
      <c r="J11840" s="67"/>
      <c r="K11840" s="1"/>
      <c r="L11840" s="77"/>
      <c r="M11840" s="79"/>
      <c r="N11840" s="1"/>
      <c r="O11840" s="1"/>
      <c r="P11840" s="1"/>
      <c r="Q11840" s="1"/>
      <c r="R11840" s="1"/>
      <c r="S11840" s="1"/>
      <c r="T11840" s="1"/>
      <c r="U11840" s="1"/>
      <c r="V11840" s="1"/>
      <c r="W11840" s="1"/>
      <c r="X11840" s="1"/>
      <c r="Y11840" s="1"/>
      <c r="Z11840" s="1"/>
      <c r="AA11840" s="1"/>
      <c r="AB11840" s="1"/>
      <c r="AC11840" s="1"/>
      <c r="AD11840" s="1"/>
      <c r="AE11840" s="1"/>
      <c r="AF11840" s="1"/>
      <c r="AG11840" s="1"/>
      <c r="AH11840" s="1"/>
    </row>
    <row r="11841" ht="12.75" customHeight="1">
      <c r="A11841" s="17"/>
      <c r="B11841" s="1"/>
      <c r="C11841" s="1"/>
      <c r="D11841" s="150"/>
      <c r="E11841" s="150"/>
      <c r="F11841" s="75"/>
      <c r="G11841" s="67"/>
      <c r="H11841" s="68"/>
      <c r="I11841" s="76"/>
      <c r="J11841" s="67"/>
      <c r="K11841" s="1"/>
      <c r="L11841" s="77"/>
      <c r="M11841" s="79"/>
      <c r="N11841" s="1"/>
      <c r="O11841" s="1"/>
      <c r="P11841" s="1"/>
      <c r="Q11841" s="1"/>
      <c r="R11841" s="1"/>
      <c r="S11841" s="1"/>
      <c r="T11841" s="1"/>
      <c r="U11841" s="1"/>
      <c r="V11841" s="1"/>
      <c r="W11841" s="1"/>
      <c r="X11841" s="1"/>
      <c r="Y11841" s="1"/>
      <c r="Z11841" s="1"/>
      <c r="AA11841" s="1"/>
      <c r="AB11841" s="1"/>
      <c r="AC11841" s="1"/>
      <c r="AD11841" s="1"/>
      <c r="AE11841" s="1"/>
      <c r="AF11841" s="1"/>
      <c r="AG11841" s="1"/>
      <c r="AH11841" s="1"/>
    </row>
    <row r="11842" ht="12.75" customHeight="1">
      <c r="A11842" s="17"/>
      <c r="B11842" s="1"/>
      <c r="C11842" s="1"/>
      <c r="D11842" s="150"/>
      <c r="E11842" s="150"/>
      <c r="F11842" s="75"/>
      <c r="G11842" s="67"/>
      <c r="H11842" s="68"/>
      <c r="I11842" s="76"/>
      <c r="J11842" s="67"/>
      <c r="K11842" s="1"/>
      <c r="L11842" s="77"/>
      <c r="M11842" s="79"/>
      <c r="N11842" s="1"/>
      <c r="O11842" s="1"/>
      <c r="P11842" s="1"/>
      <c r="Q11842" s="1"/>
      <c r="R11842" s="1"/>
      <c r="S11842" s="1"/>
      <c r="T11842" s="1"/>
      <c r="U11842" s="1"/>
      <c r="V11842" s="1"/>
      <c r="W11842" s="1"/>
      <c r="X11842" s="1"/>
      <c r="Y11842" s="1"/>
      <c r="Z11842" s="1"/>
      <c r="AA11842" s="1"/>
      <c r="AB11842" s="1"/>
      <c r="AC11842" s="1"/>
      <c r="AD11842" s="1"/>
      <c r="AE11842" s="1"/>
      <c r="AF11842" s="1"/>
      <c r="AG11842" s="1"/>
      <c r="AH11842" s="1"/>
    </row>
    <row r="11843" ht="12.75" customHeight="1">
      <c r="A11843" s="17"/>
      <c r="B11843" s="1"/>
      <c r="C11843" s="1"/>
      <c r="D11843" s="150"/>
      <c r="E11843" s="150"/>
      <c r="F11843" s="75"/>
      <c r="G11843" s="67"/>
      <c r="H11843" s="68"/>
      <c r="I11843" s="76"/>
      <c r="J11843" s="67"/>
      <c r="K11843" s="1"/>
      <c r="L11843" s="77"/>
      <c r="M11843" s="79"/>
      <c r="N11843" s="1"/>
      <c r="O11843" s="1"/>
      <c r="P11843" s="1"/>
      <c r="Q11843" s="1"/>
      <c r="R11843" s="1"/>
      <c r="S11843" s="1"/>
      <c r="T11843" s="1"/>
      <c r="U11843" s="1"/>
      <c r="V11843" s="1"/>
      <c r="W11843" s="1"/>
      <c r="X11843" s="1"/>
      <c r="Y11843" s="1"/>
      <c r="Z11843" s="1"/>
      <c r="AA11843" s="1"/>
      <c r="AB11843" s="1"/>
      <c r="AC11843" s="1"/>
      <c r="AD11843" s="1"/>
      <c r="AE11843" s="1"/>
      <c r="AF11843" s="1"/>
      <c r="AG11843" s="1"/>
      <c r="AH11843" s="1"/>
    </row>
    <row r="11844" ht="12.75" customHeight="1">
      <c r="A11844" s="17"/>
      <c r="B11844" s="1"/>
      <c r="C11844" s="1"/>
      <c r="D11844" s="150"/>
      <c r="E11844" s="150"/>
      <c r="F11844" s="75"/>
      <c r="G11844" s="67"/>
      <c r="H11844" s="68"/>
      <c r="I11844" s="76"/>
      <c r="J11844" s="67"/>
      <c r="K11844" s="1"/>
      <c r="L11844" s="77"/>
      <c r="M11844" s="79"/>
      <c r="N11844" s="1"/>
      <c r="O11844" s="1"/>
      <c r="P11844" s="1"/>
      <c r="Q11844" s="1"/>
      <c r="R11844" s="1"/>
      <c r="S11844" s="1"/>
      <c r="T11844" s="1"/>
      <c r="U11844" s="1"/>
      <c r="V11844" s="1"/>
      <c r="W11844" s="1"/>
      <c r="X11844" s="1"/>
      <c r="Y11844" s="1"/>
      <c r="Z11844" s="1"/>
      <c r="AA11844" s="1"/>
      <c r="AB11844" s="1"/>
      <c r="AC11844" s="1"/>
      <c r="AD11844" s="1"/>
      <c r="AE11844" s="1"/>
      <c r="AF11844" s="1"/>
      <c r="AG11844" s="1"/>
      <c r="AH11844" s="1"/>
    </row>
    <row r="11845" ht="12.75" customHeight="1">
      <c r="A11845" s="17"/>
      <c r="B11845" s="1"/>
      <c r="C11845" s="1"/>
      <c r="D11845" s="150"/>
      <c r="E11845" s="150"/>
      <c r="F11845" s="75"/>
      <c r="G11845" s="67"/>
      <c r="H11845" s="68"/>
      <c r="I11845" s="76"/>
      <c r="J11845" s="67"/>
      <c r="K11845" s="1"/>
      <c r="L11845" s="77"/>
      <c r="M11845" s="79"/>
      <c r="N11845" s="1"/>
      <c r="O11845" s="1"/>
      <c r="P11845" s="1"/>
      <c r="Q11845" s="1"/>
      <c r="R11845" s="1"/>
      <c r="S11845" s="1"/>
      <c r="T11845" s="1"/>
      <c r="U11845" s="1"/>
      <c r="V11845" s="1"/>
      <c r="W11845" s="1"/>
      <c r="X11845" s="1"/>
      <c r="Y11845" s="1"/>
      <c r="Z11845" s="1"/>
      <c r="AA11845" s="1"/>
      <c r="AB11845" s="1"/>
      <c r="AC11845" s="1"/>
      <c r="AD11845" s="1"/>
      <c r="AE11845" s="1"/>
      <c r="AF11845" s="1"/>
      <c r="AG11845" s="1"/>
      <c r="AH11845" s="1"/>
    </row>
    <row r="11846" ht="12.75" customHeight="1">
      <c r="A11846" s="17"/>
      <c r="B11846" s="1"/>
      <c r="C11846" s="1"/>
      <c r="D11846" s="150"/>
      <c r="E11846" s="150"/>
      <c r="F11846" s="75"/>
      <c r="G11846" s="67"/>
      <c r="H11846" s="68"/>
      <c r="I11846" s="76"/>
      <c r="J11846" s="67"/>
      <c r="K11846" s="1"/>
      <c r="L11846" s="77"/>
      <c r="M11846" s="79"/>
      <c r="N11846" s="1"/>
      <c r="O11846" s="1"/>
      <c r="P11846" s="1"/>
      <c r="Q11846" s="1"/>
      <c r="R11846" s="1"/>
      <c r="S11846" s="1"/>
      <c r="T11846" s="1"/>
      <c r="U11846" s="1"/>
      <c r="V11846" s="1"/>
      <c r="W11846" s="1"/>
      <c r="X11846" s="1"/>
      <c r="Y11846" s="1"/>
      <c r="Z11846" s="1"/>
      <c r="AA11846" s="1"/>
      <c r="AB11846" s="1"/>
      <c r="AC11846" s="1"/>
      <c r="AD11846" s="1"/>
      <c r="AE11846" s="1"/>
      <c r="AF11846" s="1"/>
      <c r="AG11846" s="1"/>
      <c r="AH11846" s="1"/>
    </row>
    <row r="11847" ht="12.75" customHeight="1">
      <c r="A11847" s="17"/>
      <c r="B11847" s="1"/>
      <c r="C11847" s="1"/>
      <c r="D11847" s="150"/>
      <c r="E11847" s="150"/>
      <c r="F11847" s="75"/>
      <c r="G11847" s="67"/>
      <c r="H11847" s="68"/>
      <c r="I11847" s="76"/>
      <c r="J11847" s="67"/>
      <c r="K11847" s="1"/>
      <c r="L11847" s="77"/>
      <c r="M11847" s="79"/>
      <c r="N11847" s="1"/>
      <c r="O11847" s="1"/>
      <c r="P11847" s="1"/>
      <c r="Q11847" s="1"/>
      <c r="R11847" s="1"/>
      <c r="S11847" s="1"/>
      <c r="T11847" s="1"/>
      <c r="U11847" s="1"/>
      <c r="V11847" s="1"/>
      <c r="W11847" s="1"/>
      <c r="X11847" s="1"/>
      <c r="Y11847" s="1"/>
      <c r="Z11847" s="1"/>
      <c r="AA11847" s="1"/>
      <c r="AB11847" s="1"/>
      <c r="AC11847" s="1"/>
      <c r="AD11847" s="1"/>
      <c r="AE11847" s="1"/>
      <c r="AF11847" s="1"/>
      <c r="AG11847" s="1"/>
      <c r="AH11847" s="1"/>
    </row>
    <row r="11848" ht="12.75" customHeight="1">
      <c r="A11848" s="17"/>
      <c r="B11848" s="1"/>
      <c r="C11848" s="1"/>
      <c r="D11848" s="150"/>
      <c r="E11848" s="150"/>
      <c r="F11848" s="75"/>
      <c r="G11848" s="67"/>
      <c r="H11848" s="68"/>
      <c r="I11848" s="76"/>
      <c r="J11848" s="67"/>
      <c r="K11848" s="1"/>
      <c r="L11848" s="77"/>
      <c r="M11848" s="79"/>
      <c r="N11848" s="1"/>
      <c r="O11848" s="1"/>
      <c r="P11848" s="1"/>
      <c r="Q11848" s="1"/>
      <c r="R11848" s="1"/>
      <c r="S11848" s="1"/>
      <c r="T11848" s="1"/>
      <c r="U11848" s="1"/>
      <c r="V11848" s="1"/>
      <c r="W11848" s="1"/>
      <c r="X11848" s="1"/>
      <c r="Y11848" s="1"/>
      <c r="Z11848" s="1"/>
      <c r="AA11848" s="1"/>
      <c r="AB11848" s="1"/>
      <c r="AC11848" s="1"/>
      <c r="AD11848" s="1"/>
      <c r="AE11848" s="1"/>
      <c r="AF11848" s="1"/>
      <c r="AG11848" s="1"/>
      <c r="AH11848" s="1"/>
    </row>
    <row r="11849" ht="12.75" customHeight="1">
      <c r="A11849" s="17"/>
      <c r="B11849" s="1"/>
      <c r="C11849" s="1"/>
      <c r="D11849" s="150"/>
      <c r="E11849" s="150"/>
      <c r="F11849" s="75"/>
      <c r="G11849" s="67"/>
      <c r="H11849" s="68"/>
      <c r="I11849" s="76"/>
      <c r="J11849" s="67"/>
      <c r="K11849" s="1"/>
      <c r="L11849" s="77"/>
      <c r="M11849" s="79"/>
      <c r="N11849" s="1"/>
      <c r="O11849" s="1"/>
      <c r="P11849" s="1"/>
      <c r="Q11849" s="1"/>
      <c r="R11849" s="1"/>
      <c r="S11849" s="1"/>
      <c r="T11849" s="1"/>
      <c r="U11849" s="1"/>
      <c r="V11849" s="1"/>
      <c r="W11849" s="1"/>
      <c r="X11849" s="1"/>
      <c r="Y11849" s="1"/>
      <c r="Z11849" s="1"/>
      <c r="AA11849" s="1"/>
      <c r="AB11849" s="1"/>
      <c r="AC11849" s="1"/>
      <c r="AD11849" s="1"/>
      <c r="AE11849" s="1"/>
      <c r="AF11849" s="1"/>
      <c r="AG11849" s="1"/>
      <c r="AH11849" s="1"/>
    </row>
    <row r="11850" ht="12.75" customHeight="1">
      <c r="A11850" s="17"/>
      <c r="B11850" s="1"/>
      <c r="C11850" s="1"/>
      <c r="D11850" s="150"/>
      <c r="E11850" s="150"/>
      <c r="F11850" s="75"/>
      <c r="G11850" s="67"/>
      <c r="H11850" s="68"/>
      <c r="I11850" s="76"/>
      <c r="J11850" s="67"/>
      <c r="K11850" s="1"/>
      <c r="L11850" s="77"/>
      <c r="M11850" s="79"/>
      <c r="N11850" s="1"/>
      <c r="O11850" s="1"/>
      <c r="P11850" s="1"/>
      <c r="Q11850" s="1"/>
      <c r="R11850" s="1"/>
      <c r="S11850" s="1"/>
      <c r="T11850" s="1"/>
      <c r="U11850" s="1"/>
      <c r="V11850" s="1"/>
      <c r="W11850" s="1"/>
      <c r="X11850" s="1"/>
      <c r="Y11850" s="1"/>
      <c r="Z11850" s="1"/>
      <c r="AA11850" s="1"/>
      <c r="AB11850" s="1"/>
      <c r="AC11850" s="1"/>
      <c r="AD11850" s="1"/>
      <c r="AE11850" s="1"/>
      <c r="AF11850" s="1"/>
      <c r="AG11850" s="1"/>
      <c r="AH11850" s="1"/>
    </row>
    <row r="11851" ht="12.75" customHeight="1">
      <c r="A11851" s="17"/>
      <c r="B11851" s="1"/>
      <c r="C11851" s="1"/>
      <c r="D11851" s="150"/>
      <c r="E11851" s="150"/>
      <c r="F11851" s="75"/>
      <c r="G11851" s="67"/>
      <c r="H11851" s="68"/>
      <c r="I11851" s="76"/>
      <c r="J11851" s="67"/>
      <c r="K11851" s="1"/>
      <c r="L11851" s="77"/>
      <c r="M11851" s="79"/>
      <c r="N11851" s="1"/>
      <c r="O11851" s="1"/>
      <c r="P11851" s="1"/>
      <c r="Q11851" s="1"/>
      <c r="R11851" s="1"/>
      <c r="S11851" s="1"/>
      <c r="T11851" s="1"/>
      <c r="U11851" s="1"/>
      <c r="V11851" s="1"/>
      <c r="W11851" s="1"/>
      <c r="X11851" s="1"/>
      <c r="Y11851" s="1"/>
      <c r="Z11851" s="1"/>
      <c r="AA11851" s="1"/>
      <c r="AB11851" s="1"/>
      <c r="AC11851" s="1"/>
      <c r="AD11851" s="1"/>
      <c r="AE11851" s="1"/>
      <c r="AF11851" s="1"/>
      <c r="AG11851" s="1"/>
      <c r="AH11851" s="1"/>
    </row>
    <row r="11852" ht="12.75" customHeight="1">
      <c r="A11852" s="17"/>
      <c r="B11852" s="1"/>
      <c r="C11852" s="1"/>
      <c r="D11852" s="150"/>
      <c r="E11852" s="150"/>
      <c r="F11852" s="75"/>
      <c r="G11852" s="67"/>
      <c r="H11852" s="68"/>
      <c r="I11852" s="76"/>
      <c r="J11852" s="67"/>
      <c r="K11852" s="1"/>
      <c r="L11852" s="77"/>
      <c r="M11852" s="79"/>
      <c r="N11852" s="1"/>
      <c r="O11852" s="1"/>
      <c r="P11852" s="1"/>
      <c r="Q11852" s="1"/>
      <c r="R11852" s="1"/>
      <c r="S11852" s="1"/>
      <c r="T11852" s="1"/>
      <c r="U11852" s="1"/>
      <c r="V11852" s="1"/>
      <c r="W11852" s="1"/>
      <c r="X11852" s="1"/>
      <c r="Y11852" s="1"/>
      <c r="Z11852" s="1"/>
      <c r="AA11852" s="1"/>
      <c r="AB11852" s="1"/>
      <c r="AC11852" s="1"/>
      <c r="AD11852" s="1"/>
      <c r="AE11852" s="1"/>
      <c r="AF11852" s="1"/>
      <c r="AG11852" s="1"/>
      <c r="AH11852" s="1"/>
    </row>
    <row r="11853" ht="12.75" customHeight="1">
      <c r="A11853" s="17"/>
      <c r="B11853" s="1"/>
      <c r="C11853" s="1"/>
      <c r="D11853" s="150"/>
      <c r="E11853" s="150"/>
      <c r="F11853" s="75"/>
      <c r="G11853" s="67"/>
      <c r="H11853" s="68"/>
      <c r="I11853" s="76"/>
      <c r="J11853" s="67"/>
      <c r="K11853" s="1"/>
      <c r="L11853" s="77"/>
      <c r="M11853" s="79"/>
      <c r="N11853" s="1"/>
      <c r="O11853" s="1"/>
      <c r="P11853" s="1"/>
      <c r="Q11853" s="1"/>
      <c r="R11853" s="1"/>
      <c r="S11853" s="1"/>
      <c r="T11853" s="1"/>
      <c r="U11853" s="1"/>
      <c r="V11853" s="1"/>
      <c r="W11853" s="1"/>
      <c r="X11853" s="1"/>
      <c r="Y11853" s="1"/>
      <c r="Z11853" s="1"/>
      <c r="AA11853" s="1"/>
      <c r="AB11853" s="1"/>
      <c r="AC11853" s="1"/>
      <c r="AD11853" s="1"/>
      <c r="AE11853" s="1"/>
      <c r="AF11853" s="1"/>
      <c r="AG11853" s="1"/>
      <c r="AH11853" s="1"/>
    </row>
    <row r="11854" ht="12.75" customHeight="1">
      <c r="A11854" s="17"/>
      <c r="B11854" s="1"/>
      <c r="C11854" s="1"/>
      <c r="D11854" s="150"/>
      <c r="E11854" s="150"/>
      <c r="F11854" s="75"/>
      <c r="G11854" s="67"/>
      <c r="H11854" s="68"/>
      <c r="I11854" s="76"/>
      <c r="J11854" s="67"/>
      <c r="K11854" s="1"/>
      <c r="L11854" s="77"/>
      <c r="M11854" s="79"/>
      <c r="N11854" s="1"/>
      <c r="O11854" s="1"/>
      <c r="P11854" s="1"/>
      <c r="Q11854" s="1"/>
      <c r="R11854" s="1"/>
      <c r="S11854" s="1"/>
      <c r="T11854" s="1"/>
      <c r="U11854" s="1"/>
      <c r="V11854" s="1"/>
      <c r="W11854" s="1"/>
      <c r="X11854" s="1"/>
      <c r="Y11854" s="1"/>
      <c r="Z11854" s="1"/>
      <c r="AA11854" s="1"/>
      <c r="AB11854" s="1"/>
      <c r="AC11854" s="1"/>
      <c r="AD11854" s="1"/>
      <c r="AE11854" s="1"/>
      <c r="AF11854" s="1"/>
      <c r="AG11854" s="1"/>
      <c r="AH11854" s="1"/>
    </row>
    <row r="11855" ht="12.75" customHeight="1">
      <c r="A11855" s="17"/>
      <c r="B11855" s="1"/>
      <c r="C11855" s="1"/>
      <c r="D11855" s="150"/>
      <c r="E11855" s="150"/>
      <c r="F11855" s="75"/>
      <c r="G11855" s="67"/>
      <c r="H11855" s="68"/>
      <c r="I11855" s="76"/>
      <c r="J11855" s="67"/>
      <c r="K11855" s="1"/>
      <c r="L11855" s="77"/>
      <c r="M11855" s="79"/>
      <c r="N11855" s="1"/>
      <c r="O11855" s="1"/>
      <c r="P11855" s="1"/>
      <c r="Q11855" s="1"/>
      <c r="R11855" s="1"/>
      <c r="S11855" s="1"/>
      <c r="T11855" s="1"/>
      <c r="U11855" s="1"/>
      <c r="V11855" s="1"/>
      <c r="W11855" s="1"/>
      <c r="X11855" s="1"/>
      <c r="Y11855" s="1"/>
      <c r="Z11855" s="1"/>
      <c r="AA11855" s="1"/>
      <c r="AB11855" s="1"/>
      <c r="AC11855" s="1"/>
      <c r="AD11855" s="1"/>
      <c r="AE11855" s="1"/>
      <c r="AF11855" s="1"/>
      <c r="AG11855" s="1"/>
      <c r="AH11855" s="1"/>
    </row>
    <row r="11856" ht="12.75" customHeight="1">
      <c r="A11856" s="17"/>
      <c r="B11856" s="1"/>
      <c r="C11856" s="1"/>
      <c r="D11856" s="150"/>
      <c r="E11856" s="150"/>
      <c r="F11856" s="75"/>
      <c r="G11856" s="67"/>
      <c r="H11856" s="68"/>
      <c r="I11856" s="76"/>
      <c r="J11856" s="67"/>
      <c r="K11856" s="1"/>
      <c r="L11856" s="77"/>
      <c r="M11856" s="79"/>
      <c r="N11856" s="1"/>
      <c r="O11856" s="1"/>
      <c r="P11856" s="1"/>
      <c r="Q11856" s="1"/>
      <c r="R11856" s="1"/>
      <c r="S11856" s="1"/>
      <c r="T11856" s="1"/>
      <c r="U11856" s="1"/>
      <c r="V11856" s="1"/>
      <c r="W11856" s="1"/>
      <c r="X11856" s="1"/>
      <c r="Y11856" s="1"/>
      <c r="Z11856" s="1"/>
      <c r="AA11856" s="1"/>
      <c r="AB11856" s="1"/>
      <c r="AC11856" s="1"/>
      <c r="AD11856" s="1"/>
      <c r="AE11856" s="1"/>
      <c r="AF11856" s="1"/>
      <c r="AG11856" s="1"/>
      <c r="AH11856" s="1"/>
    </row>
    <row r="11857" ht="12.75" customHeight="1">
      <c r="A11857" s="17"/>
      <c r="B11857" s="1"/>
      <c r="C11857" s="1"/>
      <c r="D11857" s="150"/>
      <c r="E11857" s="150"/>
      <c r="F11857" s="75"/>
      <c r="G11857" s="67"/>
      <c r="H11857" s="68"/>
      <c r="I11857" s="76"/>
      <c r="J11857" s="67"/>
      <c r="K11857" s="1"/>
      <c r="L11857" s="77"/>
      <c r="M11857" s="79"/>
      <c r="N11857" s="1"/>
      <c r="O11857" s="1"/>
      <c r="P11857" s="1"/>
      <c r="Q11857" s="1"/>
      <c r="R11857" s="1"/>
      <c r="S11857" s="1"/>
      <c r="T11857" s="1"/>
      <c r="U11857" s="1"/>
      <c r="V11857" s="1"/>
      <c r="W11857" s="1"/>
      <c r="X11857" s="1"/>
      <c r="Y11857" s="1"/>
      <c r="Z11857" s="1"/>
      <c r="AA11857" s="1"/>
      <c r="AB11857" s="1"/>
      <c r="AC11857" s="1"/>
      <c r="AD11857" s="1"/>
      <c r="AE11857" s="1"/>
      <c r="AF11857" s="1"/>
      <c r="AG11857" s="1"/>
      <c r="AH11857" s="1"/>
    </row>
    <row r="11858" ht="12.75" customHeight="1">
      <c r="A11858" s="17"/>
      <c r="B11858" s="1"/>
      <c r="C11858" s="1"/>
      <c r="D11858" s="150"/>
      <c r="E11858" s="150"/>
      <c r="F11858" s="75"/>
      <c r="G11858" s="67"/>
      <c r="H11858" s="68"/>
      <c r="I11858" s="76"/>
      <c r="J11858" s="67"/>
      <c r="K11858" s="1"/>
      <c r="L11858" s="77"/>
      <c r="M11858" s="79"/>
      <c r="N11858" s="1"/>
      <c r="O11858" s="1"/>
      <c r="P11858" s="1"/>
      <c r="Q11858" s="1"/>
      <c r="R11858" s="1"/>
      <c r="S11858" s="1"/>
      <c r="T11858" s="1"/>
      <c r="U11858" s="1"/>
      <c r="V11858" s="1"/>
      <c r="W11858" s="1"/>
      <c r="X11858" s="1"/>
      <c r="Y11858" s="1"/>
      <c r="Z11858" s="1"/>
      <c r="AA11858" s="1"/>
      <c r="AB11858" s="1"/>
      <c r="AC11858" s="1"/>
      <c r="AD11858" s="1"/>
      <c r="AE11858" s="1"/>
      <c r="AF11858" s="1"/>
      <c r="AG11858" s="1"/>
      <c r="AH11858" s="1"/>
    </row>
    <row r="11859" ht="12.75" customHeight="1">
      <c r="A11859" s="17"/>
      <c r="B11859" s="1"/>
      <c r="C11859" s="1"/>
      <c r="D11859" s="150"/>
      <c r="E11859" s="150"/>
      <c r="F11859" s="75"/>
      <c r="G11859" s="67"/>
      <c r="H11859" s="68"/>
      <c r="I11859" s="76"/>
      <c r="J11859" s="67"/>
      <c r="K11859" s="1"/>
      <c r="L11859" s="77"/>
      <c r="M11859" s="79"/>
      <c r="N11859" s="1"/>
      <c r="O11859" s="1"/>
      <c r="P11859" s="1"/>
      <c r="Q11859" s="1"/>
      <c r="R11859" s="1"/>
      <c r="S11859" s="1"/>
      <c r="T11859" s="1"/>
      <c r="U11859" s="1"/>
      <c r="V11859" s="1"/>
      <c r="W11859" s="1"/>
      <c r="X11859" s="1"/>
      <c r="Y11859" s="1"/>
      <c r="Z11859" s="1"/>
      <c r="AA11859" s="1"/>
      <c r="AB11859" s="1"/>
      <c r="AC11859" s="1"/>
      <c r="AD11859" s="1"/>
      <c r="AE11859" s="1"/>
      <c r="AF11859" s="1"/>
      <c r="AG11859" s="1"/>
      <c r="AH11859" s="1"/>
    </row>
    <row r="11860" ht="12.75" customHeight="1">
      <c r="A11860" s="17"/>
      <c r="B11860" s="1"/>
      <c r="C11860" s="1"/>
      <c r="D11860" s="150"/>
      <c r="E11860" s="150"/>
      <c r="F11860" s="75"/>
      <c r="G11860" s="67"/>
      <c r="H11860" s="68"/>
      <c r="I11860" s="76"/>
      <c r="J11860" s="67"/>
      <c r="K11860" s="1"/>
      <c r="L11860" s="77"/>
      <c r="M11860" s="79"/>
      <c r="N11860" s="1"/>
      <c r="O11860" s="1"/>
      <c r="P11860" s="1"/>
      <c r="Q11860" s="1"/>
      <c r="R11860" s="1"/>
      <c r="S11860" s="1"/>
      <c r="T11860" s="1"/>
      <c r="U11860" s="1"/>
      <c r="V11860" s="1"/>
      <c r="W11860" s="1"/>
      <c r="X11860" s="1"/>
      <c r="Y11860" s="1"/>
      <c r="Z11860" s="1"/>
      <c r="AA11860" s="1"/>
      <c r="AB11860" s="1"/>
      <c r="AC11860" s="1"/>
      <c r="AD11860" s="1"/>
      <c r="AE11860" s="1"/>
      <c r="AF11860" s="1"/>
      <c r="AG11860" s="1"/>
      <c r="AH11860" s="1"/>
    </row>
    <row r="11861" ht="12.75" customHeight="1">
      <c r="A11861" s="17"/>
      <c r="B11861" s="1"/>
      <c r="C11861" s="1"/>
      <c r="D11861" s="150"/>
      <c r="E11861" s="150"/>
      <c r="F11861" s="75"/>
      <c r="G11861" s="67"/>
      <c r="H11861" s="68"/>
      <c r="I11861" s="76"/>
      <c r="J11861" s="67"/>
      <c r="K11861" s="1"/>
      <c r="L11861" s="77"/>
      <c r="M11861" s="79"/>
      <c r="N11861" s="1"/>
      <c r="O11861" s="1"/>
      <c r="P11861" s="1"/>
      <c r="Q11861" s="1"/>
      <c r="R11861" s="1"/>
      <c r="S11861" s="1"/>
      <c r="T11861" s="1"/>
      <c r="U11861" s="1"/>
      <c r="V11861" s="1"/>
      <c r="W11861" s="1"/>
      <c r="X11861" s="1"/>
      <c r="Y11861" s="1"/>
      <c r="Z11861" s="1"/>
      <c r="AA11861" s="1"/>
      <c r="AB11861" s="1"/>
      <c r="AC11861" s="1"/>
      <c r="AD11861" s="1"/>
      <c r="AE11861" s="1"/>
      <c r="AF11861" s="1"/>
      <c r="AG11861" s="1"/>
      <c r="AH11861" s="1"/>
    </row>
    <row r="11862" ht="12.75" customHeight="1">
      <c r="A11862" s="17"/>
      <c r="B11862" s="1"/>
      <c r="C11862" s="1"/>
      <c r="D11862" s="150"/>
      <c r="E11862" s="150"/>
      <c r="F11862" s="75"/>
      <c r="G11862" s="67"/>
      <c r="H11862" s="68"/>
      <c r="I11862" s="76"/>
      <c r="J11862" s="67"/>
      <c r="K11862" s="1"/>
      <c r="L11862" s="77"/>
      <c r="M11862" s="79"/>
      <c r="N11862" s="1"/>
      <c r="O11862" s="1"/>
      <c r="P11862" s="1"/>
      <c r="Q11862" s="1"/>
      <c r="R11862" s="1"/>
      <c r="S11862" s="1"/>
      <c r="T11862" s="1"/>
      <c r="U11862" s="1"/>
      <c r="V11862" s="1"/>
      <c r="W11862" s="1"/>
      <c r="X11862" s="1"/>
      <c r="Y11862" s="1"/>
      <c r="Z11862" s="1"/>
      <c r="AA11862" s="1"/>
      <c r="AB11862" s="1"/>
      <c r="AC11862" s="1"/>
      <c r="AD11862" s="1"/>
      <c r="AE11862" s="1"/>
      <c r="AF11862" s="1"/>
      <c r="AG11862" s="1"/>
      <c r="AH11862" s="1"/>
    </row>
    <row r="11863" ht="12.75" customHeight="1">
      <c r="A11863" s="17"/>
      <c r="B11863" s="1"/>
      <c r="C11863" s="1"/>
      <c r="D11863" s="150"/>
      <c r="E11863" s="150"/>
      <c r="F11863" s="75"/>
      <c r="G11863" s="67"/>
      <c r="H11863" s="68"/>
      <c r="I11863" s="76"/>
      <c r="J11863" s="67"/>
      <c r="K11863" s="1"/>
      <c r="L11863" s="77"/>
      <c r="M11863" s="79"/>
      <c r="N11863" s="1"/>
      <c r="O11863" s="1"/>
      <c r="P11863" s="1"/>
      <c r="Q11863" s="1"/>
      <c r="R11863" s="1"/>
      <c r="S11863" s="1"/>
      <c r="T11863" s="1"/>
      <c r="U11863" s="1"/>
      <c r="V11863" s="1"/>
      <c r="W11863" s="1"/>
      <c r="X11863" s="1"/>
      <c r="Y11863" s="1"/>
      <c r="Z11863" s="1"/>
      <c r="AA11863" s="1"/>
      <c r="AB11863" s="1"/>
      <c r="AC11863" s="1"/>
      <c r="AD11863" s="1"/>
      <c r="AE11863" s="1"/>
      <c r="AF11863" s="1"/>
      <c r="AG11863" s="1"/>
      <c r="AH11863" s="1"/>
    </row>
    <row r="11864" ht="12.75" customHeight="1">
      <c r="A11864" s="17"/>
      <c r="B11864" s="1"/>
      <c r="C11864" s="1"/>
      <c r="D11864" s="150"/>
      <c r="E11864" s="150"/>
      <c r="F11864" s="75"/>
      <c r="G11864" s="67"/>
      <c r="H11864" s="68"/>
      <c r="I11864" s="76"/>
      <c r="J11864" s="67"/>
      <c r="K11864" s="1"/>
      <c r="L11864" s="77"/>
      <c r="M11864" s="79"/>
      <c r="N11864" s="1"/>
      <c r="O11864" s="1"/>
      <c r="P11864" s="1"/>
      <c r="Q11864" s="1"/>
      <c r="R11864" s="1"/>
      <c r="S11864" s="1"/>
      <c r="T11864" s="1"/>
      <c r="U11864" s="1"/>
      <c r="V11864" s="1"/>
      <c r="W11864" s="1"/>
      <c r="X11864" s="1"/>
      <c r="Y11864" s="1"/>
      <c r="Z11864" s="1"/>
      <c r="AA11864" s="1"/>
      <c r="AB11864" s="1"/>
      <c r="AC11864" s="1"/>
      <c r="AD11864" s="1"/>
      <c r="AE11864" s="1"/>
      <c r="AF11864" s="1"/>
      <c r="AG11864" s="1"/>
      <c r="AH11864" s="1"/>
    </row>
    <row r="11865" ht="12.75" customHeight="1">
      <c r="A11865" s="17"/>
      <c r="B11865" s="1"/>
      <c r="C11865" s="1"/>
      <c r="D11865" s="150"/>
      <c r="E11865" s="150"/>
      <c r="F11865" s="75"/>
      <c r="G11865" s="67"/>
      <c r="H11865" s="68"/>
      <c r="I11865" s="76"/>
      <c r="J11865" s="67"/>
      <c r="K11865" s="1"/>
      <c r="L11865" s="77"/>
      <c r="M11865" s="79"/>
      <c r="N11865" s="1"/>
      <c r="O11865" s="1"/>
      <c r="P11865" s="1"/>
      <c r="Q11865" s="1"/>
      <c r="R11865" s="1"/>
      <c r="S11865" s="1"/>
      <c r="T11865" s="1"/>
      <c r="U11865" s="1"/>
      <c r="V11865" s="1"/>
      <c r="W11865" s="1"/>
      <c r="X11865" s="1"/>
      <c r="Y11865" s="1"/>
      <c r="Z11865" s="1"/>
      <c r="AA11865" s="1"/>
      <c r="AB11865" s="1"/>
      <c r="AC11865" s="1"/>
      <c r="AD11865" s="1"/>
      <c r="AE11865" s="1"/>
      <c r="AF11865" s="1"/>
      <c r="AG11865" s="1"/>
      <c r="AH11865" s="1"/>
    </row>
    <row r="11866" ht="12.75" customHeight="1">
      <c r="A11866" s="17"/>
      <c r="B11866" s="1"/>
      <c r="C11866" s="1"/>
      <c r="D11866" s="150"/>
      <c r="E11866" s="150"/>
      <c r="F11866" s="75"/>
      <c r="G11866" s="67"/>
      <c r="H11866" s="68"/>
      <c r="I11866" s="76"/>
      <c r="J11866" s="67"/>
      <c r="K11866" s="1"/>
      <c r="L11866" s="77"/>
      <c r="M11866" s="79"/>
      <c r="N11866" s="1"/>
      <c r="O11866" s="1"/>
      <c r="P11866" s="1"/>
      <c r="Q11866" s="1"/>
      <c r="R11866" s="1"/>
      <c r="S11866" s="1"/>
      <c r="T11866" s="1"/>
      <c r="U11866" s="1"/>
      <c r="V11866" s="1"/>
      <c r="W11866" s="1"/>
      <c r="X11866" s="1"/>
      <c r="Y11866" s="1"/>
      <c r="Z11866" s="1"/>
      <c r="AA11866" s="1"/>
      <c r="AB11866" s="1"/>
      <c r="AC11866" s="1"/>
      <c r="AD11866" s="1"/>
      <c r="AE11866" s="1"/>
      <c r="AF11866" s="1"/>
      <c r="AG11866" s="1"/>
      <c r="AH11866" s="1"/>
    </row>
    <row r="11867" ht="12.75" customHeight="1">
      <c r="A11867" s="17"/>
      <c r="B11867" s="1"/>
      <c r="C11867" s="1"/>
      <c r="D11867" s="150"/>
      <c r="E11867" s="150"/>
      <c r="F11867" s="75"/>
      <c r="G11867" s="67"/>
      <c r="H11867" s="68"/>
      <c r="I11867" s="76"/>
      <c r="J11867" s="67"/>
      <c r="K11867" s="1"/>
      <c r="L11867" s="77"/>
      <c r="M11867" s="79"/>
      <c r="N11867" s="1"/>
      <c r="O11867" s="1"/>
      <c r="P11867" s="1"/>
      <c r="Q11867" s="1"/>
      <c r="R11867" s="1"/>
      <c r="S11867" s="1"/>
      <c r="T11867" s="1"/>
      <c r="U11867" s="1"/>
      <c r="V11867" s="1"/>
      <c r="W11867" s="1"/>
      <c r="X11867" s="1"/>
      <c r="Y11867" s="1"/>
      <c r="Z11867" s="1"/>
      <c r="AA11867" s="1"/>
      <c r="AB11867" s="1"/>
      <c r="AC11867" s="1"/>
      <c r="AD11867" s="1"/>
      <c r="AE11867" s="1"/>
      <c r="AF11867" s="1"/>
      <c r="AG11867" s="1"/>
      <c r="AH11867" s="1"/>
    </row>
    <row r="11868" ht="12.75" customHeight="1">
      <c r="A11868" s="17"/>
      <c r="B11868" s="1"/>
      <c r="C11868" s="1"/>
      <c r="D11868" s="150"/>
      <c r="E11868" s="150"/>
      <c r="F11868" s="75"/>
      <c r="G11868" s="67"/>
      <c r="H11868" s="68"/>
      <c r="I11868" s="76"/>
      <c r="J11868" s="67"/>
      <c r="K11868" s="1"/>
      <c r="L11868" s="77"/>
      <c r="M11868" s="79"/>
      <c r="N11868" s="1"/>
      <c r="O11868" s="1"/>
      <c r="P11868" s="1"/>
      <c r="Q11868" s="1"/>
      <c r="R11868" s="1"/>
      <c r="S11868" s="1"/>
      <c r="T11868" s="1"/>
      <c r="U11868" s="1"/>
      <c r="V11868" s="1"/>
      <c r="W11868" s="1"/>
      <c r="X11868" s="1"/>
      <c r="Y11868" s="1"/>
      <c r="Z11868" s="1"/>
      <c r="AA11868" s="1"/>
      <c r="AB11868" s="1"/>
      <c r="AC11868" s="1"/>
      <c r="AD11868" s="1"/>
      <c r="AE11868" s="1"/>
      <c r="AF11868" s="1"/>
      <c r="AG11868" s="1"/>
      <c r="AH11868" s="1"/>
    </row>
    <row r="11869" ht="12.75" customHeight="1">
      <c r="A11869" s="17"/>
      <c r="B11869" s="1"/>
      <c r="C11869" s="1"/>
      <c r="D11869" s="150"/>
      <c r="E11869" s="150"/>
      <c r="F11869" s="75"/>
      <c r="G11869" s="67"/>
      <c r="H11869" s="68"/>
      <c r="I11869" s="76"/>
      <c r="J11869" s="67"/>
      <c r="K11869" s="1"/>
      <c r="L11869" s="77"/>
      <c r="M11869" s="79"/>
      <c r="N11869" s="1"/>
      <c r="O11869" s="1"/>
      <c r="P11869" s="1"/>
      <c r="Q11869" s="1"/>
      <c r="R11869" s="1"/>
      <c r="S11869" s="1"/>
      <c r="T11869" s="1"/>
      <c r="U11869" s="1"/>
      <c r="V11869" s="1"/>
      <c r="W11869" s="1"/>
      <c r="X11869" s="1"/>
      <c r="Y11869" s="1"/>
      <c r="Z11869" s="1"/>
      <c r="AA11869" s="1"/>
      <c r="AB11869" s="1"/>
      <c r="AC11869" s="1"/>
      <c r="AD11869" s="1"/>
      <c r="AE11869" s="1"/>
      <c r="AF11869" s="1"/>
      <c r="AG11869" s="1"/>
      <c r="AH11869" s="1"/>
    </row>
    <row r="11870" ht="12.75" customHeight="1">
      <c r="A11870" s="17"/>
      <c r="B11870" s="1"/>
      <c r="C11870" s="1"/>
      <c r="D11870" s="150"/>
      <c r="E11870" s="150"/>
      <c r="F11870" s="75"/>
      <c r="G11870" s="67"/>
      <c r="H11870" s="68"/>
      <c r="I11870" s="76"/>
      <c r="J11870" s="67"/>
      <c r="K11870" s="1"/>
      <c r="L11870" s="77"/>
      <c r="M11870" s="79"/>
      <c r="N11870" s="1"/>
      <c r="O11870" s="1"/>
      <c r="P11870" s="1"/>
      <c r="Q11870" s="1"/>
      <c r="R11870" s="1"/>
      <c r="S11870" s="1"/>
      <c r="T11870" s="1"/>
      <c r="U11870" s="1"/>
      <c r="V11870" s="1"/>
      <c r="W11870" s="1"/>
      <c r="X11870" s="1"/>
      <c r="Y11870" s="1"/>
      <c r="Z11870" s="1"/>
      <c r="AA11870" s="1"/>
      <c r="AB11870" s="1"/>
      <c r="AC11870" s="1"/>
      <c r="AD11870" s="1"/>
      <c r="AE11870" s="1"/>
      <c r="AF11870" s="1"/>
      <c r="AG11870" s="1"/>
      <c r="AH11870" s="1"/>
    </row>
    <row r="11871" ht="12.75" customHeight="1">
      <c r="A11871" s="17"/>
      <c r="B11871" s="1"/>
      <c r="C11871" s="1"/>
      <c r="D11871" s="150"/>
      <c r="E11871" s="150"/>
      <c r="F11871" s="75"/>
      <c r="G11871" s="67"/>
      <c r="H11871" s="68"/>
      <c r="I11871" s="76"/>
      <c r="J11871" s="67"/>
      <c r="K11871" s="1"/>
      <c r="L11871" s="77"/>
      <c r="M11871" s="79"/>
      <c r="N11871" s="1"/>
      <c r="O11871" s="1"/>
      <c r="P11871" s="1"/>
      <c r="Q11871" s="1"/>
      <c r="R11871" s="1"/>
      <c r="S11871" s="1"/>
      <c r="T11871" s="1"/>
      <c r="U11871" s="1"/>
      <c r="V11871" s="1"/>
      <c r="W11871" s="1"/>
      <c r="X11871" s="1"/>
      <c r="Y11871" s="1"/>
      <c r="Z11871" s="1"/>
      <c r="AA11871" s="1"/>
      <c r="AB11871" s="1"/>
      <c r="AC11871" s="1"/>
      <c r="AD11871" s="1"/>
      <c r="AE11871" s="1"/>
      <c r="AF11871" s="1"/>
      <c r="AG11871" s="1"/>
      <c r="AH11871" s="1"/>
    </row>
    <row r="11872" ht="12.75" customHeight="1">
      <c r="A11872" s="17"/>
      <c r="B11872" s="1"/>
      <c r="C11872" s="1"/>
      <c r="D11872" s="150"/>
      <c r="E11872" s="150"/>
      <c r="F11872" s="75"/>
      <c r="G11872" s="67"/>
      <c r="H11872" s="68"/>
      <c r="I11872" s="76"/>
      <c r="J11872" s="67"/>
      <c r="K11872" s="1"/>
      <c r="L11872" s="77"/>
      <c r="M11872" s="79"/>
      <c r="N11872" s="1"/>
      <c r="O11872" s="1"/>
      <c r="P11872" s="1"/>
      <c r="Q11872" s="1"/>
      <c r="R11872" s="1"/>
      <c r="S11872" s="1"/>
      <c r="T11872" s="1"/>
      <c r="U11872" s="1"/>
      <c r="V11872" s="1"/>
      <c r="W11872" s="1"/>
      <c r="X11872" s="1"/>
      <c r="Y11872" s="1"/>
      <c r="Z11872" s="1"/>
      <c r="AA11872" s="1"/>
      <c r="AB11872" s="1"/>
      <c r="AC11872" s="1"/>
      <c r="AD11872" s="1"/>
      <c r="AE11872" s="1"/>
      <c r="AF11872" s="1"/>
      <c r="AG11872" s="1"/>
      <c r="AH11872" s="1"/>
    </row>
    <row r="11873" ht="12.75" customHeight="1">
      <c r="A11873" s="17"/>
      <c r="B11873" s="1"/>
      <c r="C11873" s="1"/>
      <c r="D11873" s="150"/>
      <c r="E11873" s="150"/>
      <c r="F11873" s="75"/>
      <c r="G11873" s="67"/>
      <c r="H11873" s="68"/>
      <c r="I11873" s="76"/>
      <c r="J11873" s="67"/>
      <c r="K11873" s="1"/>
      <c r="L11873" s="77"/>
      <c r="M11873" s="79"/>
      <c r="N11873" s="1"/>
      <c r="O11873" s="1"/>
      <c r="P11873" s="1"/>
      <c r="Q11873" s="1"/>
      <c r="R11873" s="1"/>
      <c r="S11873" s="1"/>
      <c r="T11873" s="1"/>
      <c r="U11873" s="1"/>
      <c r="V11873" s="1"/>
      <c r="W11873" s="1"/>
      <c r="X11873" s="1"/>
      <c r="Y11873" s="1"/>
      <c r="Z11873" s="1"/>
      <c r="AA11873" s="1"/>
      <c r="AB11873" s="1"/>
      <c r="AC11873" s="1"/>
      <c r="AD11873" s="1"/>
      <c r="AE11873" s="1"/>
      <c r="AF11873" s="1"/>
      <c r="AG11873" s="1"/>
      <c r="AH11873" s="1"/>
    </row>
    <row r="11874" ht="12.75" customHeight="1">
      <c r="A11874" s="17"/>
      <c r="B11874" s="1"/>
      <c r="C11874" s="1"/>
      <c r="D11874" s="150"/>
      <c r="E11874" s="150"/>
      <c r="F11874" s="75"/>
      <c r="G11874" s="67"/>
      <c r="H11874" s="68"/>
      <c r="I11874" s="76"/>
      <c r="J11874" s="67"/>
      <c r="K11874" s="1"/>
      <c r="L11874" s="77"/>
      <c r="M11874" s="79"/>
      <c r="N11874" s="1"/>
      <c r="O11874" s="1"/>
      <c r="P11874" s="1"/>
      <c r="Q11874" s="1"/>
      <c r="R11874" s="1"/>
      <c r="S11874" s="1"/>
      <c r="T11874" s="1"/>
      <c r="U11874" s="1"/>
      <c r="V11874" s="1"/>
      <c r="W11874" s="1"/>
      <c r="X11874" s="1"/>
      <c r="Y11874" s="1"/>
      <c r="Z11874" s="1"/>
      <c r="AA11874" s="1"/>
      <c r="AB11874" s="1"/>
      <c r="AC11874" s="1"/>
      <c r="AD11874" s="1"/>
      <c r="AE11874" s="1"/>
      <c r="AF11874" s="1"/>
      <c r="AG11874" s="1"/>
      <c r="AH11874" s="1"/>
    </row>
    <row r="11875" ht="12.75" customHeight="1">
      <c r="A11875" s="17"/>
      <c r="B11875" s="1"/>
      <c r="C11875" s="1"/>
      <c r="D11875" s="150"/>
      <c r="E11875" s="150"/>
      <c r="F11875" s="75"/>
      <c r="G11875" s="67"/>
      <c r="H11875" s="68"/>
      <c r="I11875" s="76"/>
      <c r="J11875" s="67"/>
      <c r="K11875" s="1"/>
      <c r="L11875" s="77"/>
      <c r="M11875" s="79"/>
      <c r="N11875" s="1"/>
      <c r="O11875" s="1"/>
      <c r="P11875" s="1"/>
      <c r="Q11875" s="1"/>
      <c r="R11875" s="1"/>
      <c r="S11875" s="1"/>
      <c r="T11875" s="1"/>
      <c r="U11875" s="1"/>
      <c r="V11875" s="1"/>
      <c r="W11875" s="1"/>
      <c r="X11875" s="1"/>
      <c r="Y11875" s="1"/>
      <c r="Z11875" s="1"/>
      <c r="AA11875" s="1"/>
      <c r="AB11875" s="1"/>
      <c r="AC11875" s="1"/>
      <c r="AD11875" s="1"/>
      <c r="AE11875" s="1"/>
      <c r="AF11875" s="1"/>
      <c r="AG11875" s="1"/>
      <c r="AH11875" s="1"/>
    </row>
    <row r="11876" ht="12.75" customHeight="1">
      <c r="A11876" s="17"/>
      <c r="B11876" s="1"/>
      <c r="C11876" s="1"/>
      <c r="D11876" s="150"/>
      <c r="E11876" s="150"/>
      <c r="F11876" s="75"/>
      <c r="G11876" s="67"/>
      <c r="H11876" s="68"/>
      <c r="I11876" s="76"/>
      <c r="J11876" s="67"/>
      <c r="K11876" s="1"/>
      <c r="L11876" s="77"/>
      <c r="M11876" s="79"/>
      <c r="N11876" s="1"/>
      <c r="O11876" s="1"/>
      <c r="P11876" s="1"/>
      <c r="Q11876" s="1"/>
      <c r="R11876" s="1"/>
      <c r="S11876" s="1"/>
      <c r="T11876" s="1"/>
      <c r="U11876" s="1"/>
      <c r="V11876" s="1"/>
      <c r="W11876" s="1"/>
      <c r="X11876" s="1"/>
      <c r="Y11876" s="1"/>
      <c r="Z11876" s="1"/>
      <c r="AA11876" s="1"/>
      <c r="AB11876" s="1"/>
      <c r="AC11876" s="1"/>
      <c r="AD11876" s="1"/>
      <c r="AE11876" s="1"/>
      <c r="AF11876" s="1"/>
      <c r="AG11876" s="1"/>
      <c r="AH11876" s="1"/>
    </row>
    <row r="11877" ht="12.75" customHeight="1">
      <c r="A11877" s="17"/>
      <c r="B11877" s="1"/>
      <c r="C11877" s="1"/>
      <c r="D11877" s="150"/>
      <c r="E11877" s="150"/>
      <c r="F11877" s="75"/>
      <c r="G11877" s="67"/>
      <c r="H11877" s="68"/>
      <c r="I11877" s="76"/>
      <c r="J11877" s="67"/>
      <c r="K11877" s="1"/>
      <c r="L11877" s="77"/>
      <c r="M11877" s="79"/>
      <c r="N11877" s="1"/>
      <c r="O11877" s="1"/>
      <c r="P11877" s="1"/>
      <c r="Q11877" s="1"/>
      <c r="R11877" s="1"/>
      <c r="S11877" s="1"/>
      <c r="T11877" s="1"/>
      <c r="U11877" s="1"/>
      <c r="V11877" s="1"/>
      <c r="W11877" s="1"/>
      <c r="X11877" s="1"/>
      <c r="Y11877" s="1"/>
      <c r="Z11877" s="1"/>
      <c r="AA11877" s="1"/>
      <c r="AB11877" s="1"/>
      <c r="AC11877" s="1"/>
      <c r="AD11877" s="1"/>
      <c r="AE11877" s="1"/>
      <c r="AF11877" s="1"/>
      <c r="AG11877" s="1"/>
      <c r="AH11877" s="1"/>
    </row>
    <row r="11878" ht="12.75" customHeight="1">
      <c r="A11878" s="17"/>
      <c r="B11878" s="1"/>
      <c r="C11878" s="1"/>
      <c r="D11878" s="150"/>
      <c r="E11878" s="150"/>
      <c r="F11878" s="75"/>
      <c r="G11878" s="67"/>
      <c r="H11878" s="68"/>
      <c r="I11878" s="76"/>
      <c r="J11878" s="67"/>
      <c r="K11878" s="1"/>
      <c r="L11878" s="77"/>
      <c r="M11878" s="79"/>
      <c r="N11878" s="1"/>
      <c r="O11878" s="1"/>
      <c r="P11878" s="1"/>
      <c r="Q11878" s="1"/>
      <c r="R11878" s="1"/>
      <c r="S11878" s="1"/>
      <c r="T11878" s="1"/>
      <c r="U11878" s="1"/>
      <c r="V11878" s="1"/>
      <c r="W11878" s="1"/>
      <c r="X11878" s="1"/>
      <c r="Y11878" s="1"/>
      <c r="Z11878" s="1"/>
      <c r="AA11878" s="1"/>
      <c r="AB11878" s="1"/>
      <c r="AC11878" s="1"/>
      <c r="AD11878" s="1"/>
      <c r="AE11878" s="1"/>
      <c r="AF11878" s="1"/>
      <c r="AG11878" s="1"/>
      <c r="AH11878" s="1"/>
    </row>
    <row r="11879" ht="12.75" customHeight="1">
      <c r="A11879" s="17"/>
      <c r="B11879" s="1"/>
      <c r="C11879" s="1"/>
      <c r="D11879" s="150"/>
      <c r="E11879" s="150"/>
      <c r="F11879" s="75"/>
      <c r="G11879" s="67"/>
      <c r="H11879" s="68"/>
      <c r="I11879" s="76"/>
      <c r="J11879" s="67"/>
      <c r="K11879" s="1"/>
      <c r="L11879" s="77"/>
      <c r="M11879" s="79"/>
      <c r="N11879" s="1"/>
      <c r="O11879" s="1"/>
      <c r="P11879" s="1"/>
      <c r="Q11879" s="1"/>
      <c r="R11879" s="1"/>
      <c r="S11879" s="1"/>
      <c r="T11879" s="1"/>
      <c r="U11879" s="1"/>
      <c r="V11879" s="1"/>
      <c r="W11879" s="1"/>
      <c r="X11879" s="1"/>
      <c r="Y11879" s="1"/>
      <c r="Z11879" s="1"/>
      <c r="AA11879" s="1"/>
      <c r="AB11879" s="1"/>
      <c r="AC11879" s="1"/>
      <c r="AD11879" s="1"/>
      <c r="AE11879" s="1"/>
      <c r="AF11879" s="1"/>
      <c r="AG11879" s="1"/>
      <c r="AH11879" s="1"/>
    </row>
    <row r="11880" ht="12.75" customHeight="1">
      <c r="A11880" s="17"/>
      <c r="B11880" s="1"/>
      <c r="C11880" s="1"/>
      <c r="D11880" s="150"/>
      <c r="E11880" s="150"/>
      <c r="F11880" s="75"/>
      <c r="G11880" s="67"/>
      <c r="H11880" s="68"/>
      <c r="I11880" s="76"/>
      <c r="J11880" s="67"/>
      <c r="K11880" s="1"/>
      <c r="L11880" s="77"/>
      <c r="M11880" s="79"/>
      <c r="N11880" s="1"/>
      <c r="O11880" s="1"/>
      <c r="P11880" s="1"/>
      <c r="Q11880" s="1"/>
      <c r="R11880" s="1"/>
      <c r="S11880" s="1"/>
      <c r="T11880" s="1"/>
      <c r="U11880" s="1"/>
      <c r="V11880" s="1"/>
      <c r="W11880" s="1"/>
      <c r="X11880" s="1"/>
      <c r="Y11880" s="1"/>
      <c r="Z11880" s="1"/>
      <c r="AA11880" s="1"/>
      <c r="AB11880" s="1"/>
      <c r="AC11880" s="1"/>
      <c r="AD11880" s="1"/>
      <c r="AE11880" s="1"/>
      <c r="AF11880" s="1"/>
      <c r="AG11880" s="1"/>
      <c r="AH11880" s="1"/>
    </row>
    <row r="11881" ht="12.75" customHeight="1">
      <c r="A11881" s="17"/>
      <c r="B11881" s="1"/>
      <c r="C11881" s="1"/>
      <c r="D11881" s="150"/>
      <c r="E11881" s="150"/>
      <c r="F11881" s="75"/>
      <c r="G11881" s="67"/>
      <c r="H11881" s="68"/>
      <c r="I11881" s="76"/>
      <c r="J11881" s="67"/>
      <c r="K11881" s="1"/>
      <c r="L11881" s="77"/>
      <c r="M11881" s="79"/>
      <c r="N11881" s="1"/>
      <c r="O11881" s="1"/>
      <c r="P11881" s="1"/>
      <c r="Q11881" s="1"/>
      <c r="R11881" s="1"/>
      <c r="S11881" s="1"/>
      <c r="T11881" s="1"/>
      <c r="U11881" s="1"/>
      <c r="V11881" s="1"/>
      <c r="W11881" s="1"/>
      <c r="X11881" s="1"/>
      <c r="Y11881" s="1"/>
      <c r="Z11881" s="1"/>
      <c r="AA11881" s="1"/>
      <c r="AB11881" s="1"/>
      <c r="AC11881" s="1"/>
      <c r="AD11881" s="1"/>
      <c r="AE11881" s="1"/>
      <c r="AF11881" s="1"/>
      <c r="AG11881" s="1"/>
      <c r="AH11881" s="1"/>
    </row>
    <row r="11882" ht="12.75" customHeight="1">
      <c r="A11882" s="17"/>
      <c r="B11882" s="1"/>
      <c r="C11882" s="1"/>
      <c r="D11882" s="150"/>
      <c r="E11882" s="150"/>
      <c r="F11882" s="75"/>
      <c r="G11882" s="67"/>
      <c r="H11882" s="68"/>
      <c r="I11882" s="76"/>
      <c r="J11882" s="67"/>
      <c r="K11882" s="1"/>
      <c r="L11882" s="77"/>
      <c r="M11882" s="79"/>
      <c r="N11882" s="1"/>
      <c r="O11882" s="1"/>
      <c r="P11882" s="1"/>
      <c r="Q11882" s="1"/>
      <c r="R11882" s="1"/>
      <c r="S11882" s="1"/>
      <c r="T11882" s="1"/>
      <c r="U11882" s="1"/>
      <c r="V11882" s="1"/>
      <c r="W11882" s="1"/>
      <c r="X11882" s="1"/>
      <c r="Y11882" s="1"/>
      <c r="Z11882" s="1"/>
      <c r="AA11882" s="1"/>
      <c r="AB11882" s="1"/>
      <c r="AC11882" s="1"/>
      <c r="AD11882" s="1"/>
      <c r="AE11882" s="1"/>
      <c r="AF11882" s="1"/>
      <c r="AG11882" s="1"/>
      <c r="AH11882" s="1"/>
    </row>
    <row r="11883" ht="12.75" customHeight="1">
      <c r="A11883" s="17"/>
      <c r="B11883" s="1"/>
      <c r="C11883" s="1"/>
      <c r="D11883" s="150"/>
      <c r="E11883" s="150"/>
      <c r="F11883" s="75"/>
      <c r="G11883" s="67"/>
      <c r="H11883" s="68"/>
      <c r="I11883" s="76"/>
      <c r="J11883" s="67"/>
      <c r="K11883" s="1"/>
      <c r="L11883" s="77"/>
      <c r="M11883" s="79"/>
      <c r="N11883" s="1"/>
      <c r="O11883" s="1"/>
      <c r="P11883" s="1"/>
      <c r="Q11883" s="1"/>
      <c r="R11883" s="1"/>
      <c r="S11883" s="1"/>
      <c r="T11883" s="1"/>
      <c r="U11883" s="1"/>
      <c r="V11883" s="1"/>
      <c r="W11883" s="1"/>
      <c r="X11883" s="1"/>
      <c r="Y11883" s="1"/>
      <c r="Z11883" s="1"/>
      <c r="AA11883" s="1"/>
      <c r="AB11883" s="1"/>
      <c r="AC11883" s="1"/>
      <c r="AD11883" s="1"/>
      <c r="AE11883" s="1"/>
      <c r="AF11883" s="1"/>
      <c r="AG11883" s="1"/>
      <c r="AH11883" s="1"/>
    </row>
    <row r="11884" ht="12.75" customHeight="1">
      <c r="A11884" s="17"/>
      <c r="B11884" s="1"/>
      <c r="C11884" s="1"/>
      <c r="D11884" s="150"/>
      <c r="E11884" s="150"/>
      <c r="F11884" s="75"/>
      <c r="G11884" s="67"/>
      <c r="H11884" s="68"/>
      <c r="I11884" s="76"/>
      <c r="J11884" s="67"/>
      <c r="K11884" s="1"/>
      <c r="L11884" s="77"/>
      <c r="M11884" s="79"/>
      <c r="N11884" s="1"/>
      <c r="O11884" s="1"/>
      <c r="P11884" s="1"/>
      <c r="Q11884" s="1"/>
      <c r="R11884" s="1"/>
      <c r="S11884" s="1"/>
      <c r="T11884" s="1"/>
      <c r="U11884" s="1"/>
      <c r="V11884" s="1"/>
      <c r="W11884" s="1"/>
      <c r="X11884" s="1"/>
      <c r="Y11884" s="1"/>
      <c r="Z11884" s="1"/>
      <c r="AA11884" s="1"/>
      <c r="AB11884" s="1"/>
      <c r="AC11884" s="1"/>
      <c r="AD11884" s="1"/>
      <c r="AE11884" s="1"/>
      <c r="AF11884" s="1"/>
      <c r="AG11884" s="1"/>
      <c r="AH11884" s="1"/>
    </row>
    <row r="11885" ht="12.75" customHeight="1">
      <c r="A11885" s="17"/>
      <c r="B11885" s="1"/>
      <c r="C11885" s="1"/>
      <c r="D11885" s="150"/>
      <c r="E11885" s="150"/>
      <c r="F11885" s="75"/>
      <c r="G11885" s="67"/>
      <c r="H11885" s="68"/>
      <c r="I11885" s="76"/>
      <c r="J11885" s="67"/>
      <c r="K11885" s="1"/>
      <c r="L11885" s="77"/>
      <c r="M11885" s="79"/>
      <c r="N11885" s="1"/>
      <c r="O11885" s="1"/>
      <c r="P11885" s="1"/>
      <c r="Q11885" s="1"/>
      <c r="R11885" s="1"/>
      <c r="S11885" s="1"/>
      <c r="T11885" s="1"/>
      <c r="U11885" s="1"/>
      <c r="V11885" s="1"/>
      <c r="W11885" s="1"/>
      <c r="X11885" s="1"/>
      <c r="Y11885" s="1"/>
      <c r="Z11885" s="1"/>
      <c r="AA11885" s="1"/>
      <c r="AB11885" s="1"/>
      <c r="AC11885" s="1"/>
      <c r="AD11885" s="1"/>
      <c r="AE11885" s="1"/>
      <c r="AF11885" s="1"/>
      <c r="AG11885" s="1"/>
      <c r="AH11885" s="1"/>
    </row>
    <row r="11886" ht="12.75" customHeight="1">
      <c r="A11886" s="17"/>
      <c r="B11886" s="1"/>
      <c r="C11886" s="1"/>
      <c r="D11886" s="150"/>
      <c r="E11886" s="150"/>
      <c r="F11886" s="75"/>
      <c r="G11886" s="67"/>
      <c r="H11886" s="68"/>
      <c r="I11886" s="76"/>
      <c r="J11886" s="67"/>
      <c r="K11886" s="1"/>
      <c r="L11886" s="77"/>
      <c r="M11886" s="79"/>
      <c r="N11886" s="1"/>
      <c r="O11886" s="1"/>
      <c r="P11886" s="1"/>
      <c r="Q11886" s="1"/>
      <c r="R11886" s="1"/>
      <c r="S11886" s="1"/>
      <c r="T11886" s="1"/>
      <c r="U11886" s="1"/>
      <c r="V11886" s="1"/>
      <c r="W11886" s="1"/>
      <c r="X11886" s="1"/>
      <c r="Y11886" s="1"/>
      <c r="Z11886" s="1"/>
      <c r="AA11886" s="1"/>
      <c r="AB11886" s="1"/>
      <c r="AC11886" s="1"/>
      <c r="AD11886" s="1"/>
      <c r="AE11886" s="1"/>
      <c r="AF11886" s="1"/>
      <c r="AG11886" s="1"/>
      <c r="AH11886" s="1"/>
    </row>
    <row r="11887" ht="12.75" customHeight="1">
      <c r="A11887" s="17"/>
      <c r="B11887" s="1"/>
      <c r="C11887" s="1"/>
      <c r="D11887" s="150"/>
      <c r="E11887" s="150"/>
      <c r="F11887" s="75"/>
      <c r="G11887" s="67"/>
      <c r="H11887" s="68"/>
      <c r="I11887" s="76"/>
      <c r="J11887" s="67"/>
      <c r="K11887" s="1"/>
      <c r="L11887" s="77"/>
      <c r="M11887" s="79"/>
      <c r="N11887" s="1"/>
      <c r="O11887" s="1"/>
      <c r="P11887" s="1"/>
      <c r="Q11887" s="1"/>
      <c r="R11887" s="1"/>
      <c r="S11887" s="1"/>
      <c r="T11887" s="1"/>
      <c r="U11887" s="1"/>
      <c r="V11887" s="1"/>
      <c r="W11887" s="1"/>
      <c r="X11887" s="1"/>
      <c r="Y11887" s="1"/>
      <c r="Z11887" s="1"/>
      <c r="AA11887" s="1"/>
      <c r="AB11887" s="1"/>
      <c r="AC11887" s="1"/>
      <c r="AD11887" s="1"/>
      <c r="AE11887" s="1"/>
      <c r="AF11887" s="1"/>
      <c r="AG11887" s="1"/>
      <c r="AH11887" s="1"/>
    </row>
    <row r="11888" ht="12.75" customHeight="1">
      <c r="A11888" s="17"/>
      <c r="B11888" s="1"/>
      <c r="C11888" s="1"/>
      <c r="D11888" s="150"/>
      <c r="E11888" s="150"/>
      <c r="F11888" s="75"/>
      <c r="G11888" s="67"/>
      <c r="H11888" s="68"/>
      <c r="I11888" s="76"/>
      <c r="J11888" s="67"/>
      <c r="K11888" s="1"/>
      <c r="L11888" s="77"/>
      <c r="M11888" s="79"/>
      <c r="N11888" s="1"/>
      <c r="O11888" s="1"/>
      <c r="P11888" s="1"/>
      <c r="Q11888" s="1"/>
      <c r="R11888" s="1"/>
      <c r="S11888" s="1"/>
      <c r="T11888" s="1"/>
      <c r="U11888" s="1"/>
      <c r="V11888" s="1"/>
      <c r="W11888" s="1"/>
      <c r="X11888" s="1"/>
      <c r="Y11888" s="1"/>
      <c r="Z11888" s="1"/>
      <c r="AA11888" s="1"/>
      <c r="AB11888" s="1"/>
      <c r="AC11888" s="1"/>
      <c r="AD11888" s="1"/>
      <c r="AE11888" s="1"/>
      <c r="AF11888" s="1"/>
      <c r="AG11888" s="1"/>
      <c r="AH11888" s="1"/>
    </row>
    <row r="11889" ht="12.75" customHeight="1">
      <c r="A11889" s="17"/>
      <c r="B11889" s="1"/>
      <c r="C11889" s="1"/>
      <c r="D11889" s="150"/>
      <c r="E11889" s="150"/>
      <c r="F11889" s="75"/>
      <c r="G11889" s="67"/>
      <c r="H11889" s="68"/>
      <c r="I11889" s="76"/>
      <c r="J11889" s="67"/>
      <c r="K11889" s="1"/>
      <c r="L11889" s="77"/>
      <c r="M11889" s="79"/>
      <c r="N11889" s="1"/>
      <c r="O11889" s="1"/>
      <c r="P11889" s="1"/>
      <c r="Q11889" s="1"/>
      <c r="R11889" s="1"/>
      <c r="S11889" s="1"/>
      <c r="T11889" s="1"/>
      <c r="U11889" s="1"/>
      <c r="V11889" s="1"/>
      <c r="W11889" s="1"/>
      <c r="X11889" s="1"/>
      <c r="Y11889" s="1"/>
      <c r="Z11889" s="1"/>
      <c r="AA11889" s="1"/>
      <c r="AB11889" s="1"/>
      <c r="AC11889" s="1"/>
      <c r="AD11889" s="1"/>
      <c r="AE11889" s="1"/>
      <c r="AF11889" s="1"/>
      <c r="AG11889" s="1"/>
      <c r="AH11889" s="1"/>
    </row>
    <row r="11890" ht="12.75" customHeight="1">
      <c r="A11890" s="17"/>
      <c r="B11890" s="1"/>
      <c r="C11890" s="1"/>
      <c r="D11890" s="150"/>
      <c r="E11890" s="150"/>
      <c r="F11890" s="75"/>
      <c r="G11890" s="67"/>
      <c r="H11890" s="68"/>
      <c r="I11890" s="76"/>
      <c r="J11890" s="67"/>
      <c r="K11890" s="1"/>
      <c r="L11890" s="77"/>
      <c r="M11890" s="79"/>
      <c r="N11890" s="1"/>
      <c r="O11890" s="1"/>
      <c r="P11890" s="1"/>
      <c r="Q11890" s="1"/>
      <c r="R11890" s="1"/>
      <c r="S11890" s="1"/>
      <c r="T11890" s="1"/>
      <c r="U11890" s="1"/>
      <c r="V11890" s="1"/>
      <c r="W11890" s="1"/>
      <c r="X11890" s="1"/>
      <c r="Y11890" s="1"/>
      <c r="Z11890" s="1"/>
      <c r="AA11890" s="1"/>
      <c r="AB11890" s="1"/>
      <c r="AC11890" s="1"/>
      <c r="AD11890" s="1"/>
      <c r="AE11890" s="1"/>
      <c r="AF11890" s="1"/>
      <c r="AG11890" s="1"/>
      <c r="AH11890" s="1"/>
    </row>
    <row r="11891" ht="12.75" customHeight="1">
      <c r="A11891" s="17"/>
      <c r="B11891" s="1"/>
      <c r="C11891" s="1"/>
      <c r="D11891" s="150"/>
      <c r="E11891" s="150"/>
      <c r="F11891" s="75"/>
      <c r="G11891" s="67"/>
      <c r="H11891" s="68"/>
      <c r="I11891" s="76"/>
      <c r="J11891" s="67"/>
      <c r="K11891" s="1"/>
      <c r="L11891" s="77"/>
      <c r="M11891" s="79"/>
      <c r="N11891" s="1"/>
      <c r="O11891" s="1"/>
      <c r="P11891" s="1"/>
      <c r="Q11891" s="1"/>
      <c r="R11891" s="1"/>
      <c r="S11891" s="1"/>
      <c r="T11891" s="1"/>
      <c r="U11891" s="1"/>
      <c r="V11891" s="1"/>
      <c r="W11891" s="1"/>
      <c r="X11891" s="1"/>
      <c r="Y11891" s="1"/>
      <c r="Z11891" s="1"/>
      <c r="AA11891" s="1"/>
      <c r="AB11891" s="1"/>
      <c r="AC11891" s="1"/>
      <c r="AD11891" s="1"/>
      <c r="AE11891" s="1"/>
      <c r="AF11891" s="1"/>
      <c r="AG11891" s="1"/>
      <c r="AH11891" s="1"/>
    </row>
    <row r="11892" ht="12.75" customHeight="1">
      <c r="A11892" s="17"/>
      <c r="B11892" s="1"/>
      <c r="C11892" s="1"/>
      <c r="D11892" s="150"/>
      <c r="E11892" s="150"/>
      <c r="F11892" s="75"/>
      <c r="G11892" s="67"/>
      <c r="H11892" s="68"/>
      <c r="I11892" s="76"/>
      <c r="J11892" s="67"/>
      <c r="K11892" s="1"/>
      <c r="L11892" s="77"/>
      <c r="M11892" s="79"/>
      <c r="N11892" s="1"/>
      <c r="O11892" s="1"/>
      <c r="P11892" s="1"/>
      <c r="Q11892" s="1"/>
      <c r="R11892" s="1"/>
      <c r="S11892" s="1"/>
      <c r="T11892" s="1"/>
      <c r="U11892" s="1"/>
      <c r="V11892" s="1"/>
      <c r="W11892" s="1"/>
      <c r="X11892" s="1"/>
      <c r="Y11892" s="1"/>
      <c r="Z11892" s="1"/>
      <c r="AA11892" s="1"/>
      <c r="AB11892" s="1"/>
      <c r="AC11892" s="1"/>
      <c r="AD11892" s="1"/>
      <c r="AE11892" s="1"/>
      <c r="AF11892" s="1"/>
      <c r="AG11892" s="1"/>
      <c r="AH11892" s="1"/>
    </row>
    <row r="11893" ht="12.75" customHeight="1">
      <c r="A11893" s="17"/>
      <c r="B11893" s="1"/>
      <c r="C11893" s="1"/>
      <c r="D11893" s="150"/>
      <c r="E11893" s="150"/>
      <c r="F11893" s="75"/>
      <c r="G11893" s="67"/>
      <c r="H11893" s="68"/>
      <c r="I11893" s="76"/>
      <c r="J11893" s="67"/>
      <c r="K11893" s="1"/>
      <c r="L11893" s="77"/>
      <c r="M11893" s="79"/>
      <c r="N11893" s="1"/>
      <c r="O11893" s="1"/>
      <c r="P11893" s="1"/>
      <c r="Q11893" s="1"/>
      <c r="R11893" s="1"/>
      <c r="S11893" s="1"/>
      <c r="T11893" s="1"/>
      <c r="U11893" s="1"/>
      <c r="V11893" s="1"/>
      <c r="W11893" s="1"/>
      <c r="X11893" s="1"/>
      <c r="Y11893" s="1"/>
      <c r="Z11893" s="1"/>
      <c r="AA11893" s="1"/>
      <c r="AB11893" s="1"/>
      <c r="AC11893" s="1"/>
      <c r="AD11893" s="1"/>
      <c r="AE11893" s="1"/>
      <c r="AF11893" s="1"/>
      <c r="AG11893" s="1"/>
      <c r="AH11893" s="1"/>
    </row>
    <row r="11894" ht="12.75" customHeight="1">
      <c r="A11894" s="17"/>
      <c r="B11894" s="1"/>
      <c r="C11894" s="1"/>
      <c r="D11894" s="150"/>
      <c r="E11894" s="150"/>
      <c r="F11894" s="75"/>
      <c r="G11894" s="67"/>
      <c r="H11894" s="68"/>
      <c r="I11894" s="76"/>
      <c r="J11894" s="67"/>
      <c r="K11894" s="1"/>
      <c r="L11894" s="77"/>
      <c r="M11894" s="79"/>
      <c r="N11894" s="1"/>
      <c r="O11894" s="1"/>
      <c r="P11894" s="1"/>
      <c r="Q11894" s="1"/>
      <c r="R11894" s="1"/>
      <c r="S11894" s="1"/>
      <c r="T11894" s="1"/>
      <c r="U11894" s="1"/>
      <c r="V11894" s="1"/>
      <c r="W11894" s="1"/>
      <c r="X11894" s="1"/>
      <c r="Y11894" s="1"/>
      <c r="Z11894" s="1"/>
      <c r="AA11894" s="1"/>
      <c r="AB11894" s="1"/>
      <c r="AC11894" s="1"/>
      <c r="AD11894" s="1"/>
      <c r="AE11894" s="1"/>
      <c r="AF11894" s="1"/>
      <c r="AG11894" s="1"/>
      <c r="AH11894" s="1"/>
    </row>
    <row r="11895" ht="12.75" customHeight="1">
      <c r="A11895" s="17"/>
      <c r="B11895" s="1"/>
      <c r="C11895" s="1"/>
      <c r="D11895" s="150"/>
      <c r="E11895" s="150"/>
      <c r="F11895" s="75"/>
      <c r="G11895" s="67"/>
      <c r="H11895" s="68"/>
      <c r="I11895" s="76"/>
      <c r="J11895" s="67"/>
      <c r="K11895" s="1"/>
      <c r="L11895" s="77"/>
      <c r="M11895" s="79"/>
      <c r="N11895" s="1"/>
      <c r="O11895" s="1"/>
      <c r="P11895" s="1"/>
      <c r="Q11895" s="1"/>
      <c r="R11895" s="1"/>
      <c r="S11895" s="1"/>
      <c r="T11895" s="1"/>
      <c r="U11895" s="1"/>
      <c r="V11895" s="1"/>
      <c r="W11895" s="1"/>
      <c r="X11895" s="1"/>
      <c r="Y11895" s="1"/>
      <c r="Z11895" s="1"/>
      <c r="AA11895" s="1"/>
      <c r="AB11895" s="1"/>
      <c r="AC11895" s="1"/>
      <c r="AD11895" s="1"/>
      <c r="AE11895" s="1"/>
      <c r="AF11895" s="1"/>
      <c r="AG11895" s="1"/>
      <c r="AH11895" s="1"/>
    </row>
    <row r="11896" ht="12.75" customHeight="1">
      <c r="A11896" s="17"/>
      <c r="B11896" s="1"/>
      <c r="C11896" s="1"/>
      <c r="D11896" s="150"/>
      <c r="E11896" s="150"/>
      <c r="F11896" s="75"/>
      <c r="G11896" s="67"/>
      <c r="H11896" s="68"/>
      <c r="I11896" s="76"/>
      <c r="J11896" s="67"/>
      <c r="K11896" s="1"/>
      <c r="L11896" s="77"/>
      <c r="M11896" s="79"/>
      <c r="N11896" s="1"/>
      <c r="O11896" s="1"/>
      <c r="P11896" s="1"/>
      <c r="Q11896" s="1"/>
      <c r="R11896" s="1"/>
      <c r="S11896" s="1"/>
      <c r="T11896" s="1"/>
      <c r="U11896" s="1"/>
      <c r="V11896" s="1"/>
      <c r="W11896" s="1"/>
      <c r="X11896" s="1"/>
      <c r="Y11896" s="1"/>
      <c r="Z11896" s="1"/>
      <c r="AA11896" s="1"/>
      <c r="AB11896" s="1"/>
      <c r="AC11896" s="1"/>
      <c r="AD11896" s="1"/>
      <c r="AE11896" s="1"/>
      <c r="AF11896" s="1"/>
      <c r="AG11896" s="1"/>
      <c r="AH11896" s="1"/>
    </row>
    <row r="11897" ht="12.75" customHeight="1">
      <c r="A11897" s="17"/>
      <c r="B11897" s="1"/>
      <c r="C11897" s="1"/>
      <c r="D11897" s="150"/>
      <c r="E11897" s="150"/>
      <c r="F11897" s="75"/>
      <c r="G11897" s="67"/>
      <c r="H11897" s="68"/>
      <c r="I11897" s="76"/>
      <c r="J11897" s="67"/>
      <c r="K11897" s="1"/>
      <c r="L11897" s="77"/>
      <c r="M11897" s="79"/>
      <c r="N11897" s="1"/>
      <c r="O11897" s="1"/>
      <c r="P11897" s="1"/>
      <c r="Q11897" s="1"/>
      <c r="R11897" s="1"/>
      <c r="S11897" s="1"/>
      <c r="T11897" s="1"/>
      <c r="U11897" s="1"/>
      <c r="V11897" s="1"/>
      <c r="W11897" s="1"/>
      <c r="X11897" s="1"/>
      <c r="Y11897" s="1"/>
      <c r="Z11897" s="1"/>
      <c r="AA11897" s="1"/>
      <c r="AB11897" s="1"/>
      <c r="AC11897" s="1"/>
      <c r="AD11897" s="1"/>
      <c r="AE11897" s="1"/>
      <c r="AF11897" s="1"/>
      <c r="AG11897" s="1"/>
      <c r="AH11897" s="1"/>
    </row>
    <row r="11898" ht="12.75" customHeight="1">
      <c r="A11898" s="17"/>
      <c r="B11898" s="1"/>
      <c r="C11898" s="1"/>
      <c r="D11898" s="150"/>
      <c r="E11898" s="150"/>
      <c r="F11898" s="75"/>
      <c r="G11898" s="67"/>
      <c r="H11898" s="68"/>
      <c r="I11898" s="76"/>
      <c r="J11898" s="67"/>
      <c r="K11898" s="1"/>
      <c r="L11898" s="77"/>
      <c r="M11898" s="79"/>
      <c r="N11898" s="1"/>
      <c r="O11898" s="1"/>
      <c r="P11898" s="1"/>
      <c r="Q11898" s="1"/>
      <c r="R11898" s="1"/>
      <c r="S11898" s="1"/>
      <c r="T11898" s="1"/>
      <c r="U11898" s="1"/>
      <c r="V11898" s="1"/>
      <c r="W11898" s="1"/>
      <c r="X11898" s="1"/>
      <c r="Y11898" s="1"/>
      <c r="Z11898" s="1"/>
      <c r="AA11898" s="1"/>
      <c r="AB11898" s="1"/>
      <c r="AC11898" s="1"/>
      <c r="AD11898" s="1"/>
      <c r="AE11898" s="1"/>
      <c r="AF11898" s="1"/>
      <c r="AG11898" s="1"/>
      <c r="AH11898" s="1"/>
    </row>
    <row r="11899" ht="12.75" customHeight="1">
      <c r="A11899" s="17"/>
      <c r="B11899" s="1"/>
      <c r="C11899" s="1"/>
      <c r="D11899" s="150"/>
      <c r="E11899" s="150"/>
      <c r="F11899" s="75"/>
      <c r="G11899" s="67"/>
      <c r="H11899" s="68"/>
      <c r="I11899" s="76"/>
      <c r="J11899" s="67"/>
      <c r="K11899" s="1"/>
      <c r="L11899" s="77"/>
      <c r="M11899" s="79"/>
      <c r="N11899" s="1"/>
      <c r="O11899" s="1"/>
      <c r="P11899" s="1"/>
      <c r="Q11899" s="1"/>
      <c r="R11899" s="1"/>
      <c r="S11899" s="1"/>
      <c r="T11899" s="1"/>
      <c r="U11899" s="1"/>
      <c r="V11899" s="1"/>
      <c r="W11899" s="1"/>
      <c r="X11899" s="1"/>
      <c r="Y11899" s="1"/>
      <c r="Z11899" s="1"/>
      <c r="AA11899" s="1"/>
      <c r="AB11899" s="1"/>
      <c r="AC11899" s="1"/>
      <c r="AD11899" s="1"/>
      <c r="AE11899" s="1"/>
      <c r="AF11899" s="1"/>
      <c r="AG11899" s="1"/>
      <c r="AH11899" s="1"/>
    </row>
    <row r="11900" ht="12.75" customHeight="1">
      <c r="A11900" s="17"/>
      <c r="B11900" s="1"/>
      <c r="C11900" s="1"/>
      <c r="D11900" s="150"/>
      <c r="E11900" s="150"/>
      <c r="F11900" s="75"/>
      <c r="G11900" s="67"/>
      <c r="H11900" s="68"/>
      <c r="I11900" s="76"/>
      <c r="J11900" s="67"/>
      <c r="K11900" s="1"/>
      <c r="L11900" s="77"/>
      <c r="M11900" s="79"/>
      <c r="N11900" s="1"/>
      <c r="O11900" s="1"/>
      <c r="P11900" s="1"/>
      <c r="Q11900" s="1"/>
      <c r="R11900" s="1"/>
      <c r="S11900" s="1"/>
      <c r="T11900" s="1"/>
      <c r="U11900" s="1"/>
      <c r="V11900" s="1"/>
      <c r="W11900" s="1"/>
      <c r="X11900" s="1"/>
      <c r="Y11900" s="1"/>
      <c r="Z11900" s="1"/>
      <c r="AA11900" s="1"/>
      <c r="AB11900" s="1"/>
      <c r="AC11900" s="1"/>
      <c r="AD11900" s="1"/>
      <c r="AE11900" s="1"/>
      <c r="AF11900" s="1"/>
      <c r="AG11900" s="1"/>
      <c r="AH11900" s="1"/>
    </row>
    <row r="11901" ht="12.75" customHeight="1">
      <c r="A11901" s="17"/>
      <c r="B11901" s="1"/>
      <c r="C11901" s="1"/>
      <c r="D11901" s="150"/>
      <c r="E11901" s="150"/>
      <c r="F11901" s="75"/>
      <c r="G11901" s="67"/>
      <c r="H11901" s="68"/>
      <c r="I11901" s="76"/>
      <c r="J11901" s="67"/>
      <c r="K11901" s="1"/>
      <c r="L11901" s="77"/>
      <c r="M11901" s="79"/>
      <c r="N11901" s="1"/>
      <c r="O11901" s="1"/>
      <c r="P11901" s="1"/>
      <c r="Q11901" s="1"/>
      <c r="R11901" s="1"/>
      <c r="S11901" s="1"/>
      <c r="T11901" s="1"/>
      <c r="U11901" s="1"/>
      <c r="V11901" s="1"/>
      <c r="W11901" s="1"/>
      <c r="X11901" s="1"/>
      <c r="Y11901" s="1"/>
      <c r="Z11901" s="1"/>
      <c r="AA11901" s="1"/>
      <c r="AB11901" s="1"/>
      <c r="AC11901" s="1"/>
      <c r="AD11901" s="1"/>
      <c r="AE11901" s="1"/>
      <c r="AF11901" s="1"/>
      <c r="AG11901" s="1"/>
      <c r="AH11901" s="1"/>
    </row>
    <row r="11902" ht="12.75" customHeight="1">
      <c r="A11902" s="17"/>
      <c r="B11902" s="1"/>
      <c r="C11902" s="1"/>
      <c r="D11902" s="150"/>
      <c r="E11902" s="150"/>
      <c r="F11902" s="75"/>
      <c r="G11902" s="67"/>
      <c r="H11902" s="68"/>
      <c r="I11902" s="76"/>
      <c r="J11902" s="67"/>
      <c r="K11902" s="1"/>
      <c r="L11902" s="77"/>
      <c r="M11902" s="79"/>
      <c r="N11902" s="1"/>
      <c r="O11902" s="1"/>
      <c r="P11902" s="1"/>
      <c r="Q11902" s="1"/>
      <c r="R11902" s="1"/>
      <c r="S11902" s="1"/>
      <c r="T11902" s="1"/>
      <c r="U11902" s="1"/>
      <c r="V11902" s="1"/>
      <c r="W11902" s="1"/>
      <c r="X11902" s="1"/>
      <c r="Y11902" s="1"/>
      <c r="Z11902" s="1"/>
      <c r="AA11902" s="1"/>
      <c r="AB11902" s="1"/>
      <c r="AC11902" s="1"/>
      <c r="AD11902" s="1"/>
      <c r="AE11902" s="1"/>
      <c r="AF11902" s="1"/>
      <c r="AG11902" s="1"/>
      <c r="AH11902" s="1"/>
    </row>
    <row r="11903" ht="12.75" customHeight="1">
      <c r="A11903" s="17"/>
      <c r="B11903" s="1"/>
      <c r="C11903" s="1"/>
      <c r="D11903" s="150"/>
      <c r="E11903" s="150"/>
      <c r="F11903" s="75"/>
      <c r="G11903" s="67"/>
      <c r="H11903" s="68"/>
      <c r="I11903" s="76"/>
      <c r="J11903" s="67"/>
      <c r="K11903" s="1"/>
      <c r="L11903" s="77"/>
      <c r="M11903" s="79"/>
      <c r="N11903" s="1"/>
      <c r="O11903" s="1"/>
      <c r="P11903" s="1"/>
      <c r="Q11903" s="1"/>
      <c r="R11903" s="1"/>
      <c r="S11903" s="1"/>
      <c r="T11903" s="1"/>
      <c r="U11903" s="1"/>
      <c r="V11903" s="1"/>
      <c r="W11903" s="1"/>
      <c r="X11903" s="1"/>
      <c r="Y11903" s="1"/>
      <c r="Z11903" s="1"/>
      <c r="AA11903" s="1"/>
      <c r="AB11903" s="1"/>
      <c r="AC11903" s="1"/>
      <c r="AD11903" s="1"/>
      <c r="AE11903" s="1"/>
      <c r="AF11903" s="1"/>
      <c r="AG11903" s="1"/>
      <c r="AH11903" s="1"/>
    </row>
    <row r="11904" ht="12.75" customHeight="1">
      <c r="A11904" s="17"/>
      <c r="B11904" s="1"/>
      <c r="C11904" s="1"/>
      <c r="D11904" s="150"/>
      <c r="E11904" s="150"/>
      <c r="F11904" s="75"/>
      <c r="G11904" s="67"/>
      <c r="H11904" s="68"/>
      <c r="I11904" s="76"/>
      <c r="J11904" s="67"/>
      <c r="K11904" s="1"/>
      <c r="L11904" s="77"/>
      <c r="M11904" s="79"/>
      <c r="N11904" s="1"/>
      <c r="O11904" s="1"/>
      <c r="P11904" s="1"/>
      <c r="Q11904" s="1"/>
      <c r="R11904" s="1"/>
      <c r="S11904" s="1"/>
      <c r="T11904" s="1"/>
      <c r="U11904" s="1"/>
      <c r="V11904" s="1"/>
      <c r="W11904" s="1"/>
      <c r="X11904" s="1"/>
      <c r="Y11904" s="1"/>
      <c r="Z11904" s="1"/>
      <c r="AA11904" s="1"/>
      <c r="AB11904" s="1"/>
      <c r="AC11904" s="1"/>
      <c r="AD11904" s="1"/>
      <c r="AE11904" s="1"/>
      <c r="AF11904" s="1"/>
      <c r="AG11904" s="1"/>
      <c r="AH11904" s="1"/>
    </row>
    <row r="11905" ht="12.75" customHeight="1">
      <c r="A11905" s="17"/>
      <c r="B11905" s="1"/>
      <c r="C11905" s="1"/>
      <c r="D11905" s="150"/>
      <c r="E11905" s="150"/>
      <c r="F11905" s="75"/>
      <c r="G11905" s="67"/>
      <c r="H11905" s="68"/>
      <c r="I11905" s="76"/>
      <c r="J11905" s="67"/>
      <c r="K11905" s="1"/>
      <c r="L11905" s="77"/>
      <c r="M11905" s="79"/>
      <c r="N11905" s="1"/>
      <c r="O11905" s="1"/>
      <c r="P11905" s="1"/>
      <c r="Q11905" s="1"/>
      <c r="R11905" s="1"/>
      <c r="S11905" s="1"/>
      <c r="T11905" s="1"/>
      <c r="U11905" s="1"/>
      <c r="V11905" s="1"/>
      <c r="W11905" s="1"/>
      <c r="X11905" s="1"/>
      <c r="Y11905" s="1"/>
      <c r="Z11905" s="1"/>
      <c r="AA11905" s="1"/>
      <c r="AB11905" s="1"/>
      <c r="AC11905" s="1"/>
      <c r="AD11905" s="1"/>
      <c r="AE11905" s="1"/>
      <c r="AF11905" s="1"/>
      <c r="AG11905" s="1"/>
      <c r="AH11905" s="1"/>
    </row>
    <row r="11906" ht="12.75" customHeight="1">
      <c r="A11906" s="17"/>
      <c r="B11906" s="1"/>
      <c r="C11906" s="1"/>
      <c r="D11906" s="150"/>
      <c r="E11906" s="150"/>
      <c r="F11906" s="75"/>
      <c r="G11906" s="67"/>
      <c r="H11906" s="68"/>
      <c r="I11906" s="76"/>
      <c r="J11906" s="67"/>
      <c r="K11906" s="1"/>
      <c r="L11906" s="77"/>
      <c r="M11906" s="79"/>
      <c r="N11906" s="1"/>
      <c r="O11906" s="1"/>
      <c r="P11906" s="1"/>
      <c r="Q11906" s="1"/>
      <c r="R11906" s="1"/>
      <c r="S11906" s="1"/>
      <c r="T11906" s="1"/>
      <c r="U11906" s="1"/>
      <c r="V11906" s="1"/>
      <c r="W11906" s="1"/>
      <c r="X11906" s="1"/>
      <c r="Y11906" s="1"/>
      <c r="Z11906" s="1"/>
      <c r="AA11906" s="1"/>
      <c r="AB11906" s="1"/>
      <c r="AC11906" s="1"/>
      <c r="AD11906" s="1"/>
      <c r="AE11906" s="1"/>
      <c r="AF11906" s="1"/>
      <c r="AG11906" s="1"/>
      <c r="AH11906" s="1"/>
    </row>
    <row r="11907" ht="12.75" customHeight="1">
      <c r="A11907" s="17"/>
      <c r="B11907" s="1"/>
      <c r="C11907" s="1"/>
      <c r="D11907" s="150"/>
      <c r="E11907" s="150"/>
      <c r="F11907" s="75"/>
      <c r="G11907" s="67"/>
      <c r="H11907" s="68"/>
      <c r="I11907" s="76"/>
      <c r="J11907" s="67"/>
      <c r="K11907" s="1"/>
      <c r="L11907" s="77"/>
      <c r="M11907" s="79"/>
      <c r="N11907" s="1"/>
      <c r="O11907" s="1"/>
      <c r="P11907" s="1"/>
      <c r="Q11907" s="1"/>
      <c r="R11907" s="1"/>
      <c r="S11907" s="1"/>
      <c r="T11907" s="1"/>
      <c r="U11907" s="1"/>
      <c r="V11907" s="1"/>
      <c r="W11907" s="1"/>
      <c r="X11907" s="1"/>
      <c r="Y11907" s="1"/>
      <c r="Z11907" s="1"/>
      <c r="AA11907" s="1"/>
      <c r="AB11907" s="1"/>
      <c r="AC11907" s="1"/>
      <c r="AD11907" s="1"/>
      <c r="AE11907" s="1"/>
      <c r="AF11907" s="1"/>
      <c r="AG11907" s="1"/>
      <c r="AH11907" s="1"/>
    </row>
    <row r="11908" ht="12.75" customHeight="1">
      <c r="A11908" s="17"/>
      <c r="B11908" s="1"/>
      <c r="C11908" s="1"/>
      <c r="D11908" s="150"/>
      <c r="E11908" s="150"/>
      <c r="F11908" s="75"/>
      <c r="G11908" s="67"/>
      <c r="H11908" s="68"/>
      <c r="I11908" s="76"/>
      <c r="J11908" s="67"/>
      <c r="K11908" s="1"/>
      <c r="L11908" s="77"/>
      <c r="M11908" s="79"/>
      <c r="N11908" s="1"/>
      <c r="O11908" s="1"/>
      <c r="P11908" s="1"/>
      <c r="Q11908" s="1"/>
      <c r="R11908" s="1"/>
      <c r="S11908" s="1"/>
      <c r="T11908" s="1"/>
      <c r="U11908" s="1"/>
      <c r="V11908" s="1"/>
      <c r="W11908" s="1"/>
      <c r="X11908" s="1"/>
      <c r="Y11908" s="1"/>
      <c r="Z11908" s="1"/>
      <c r="AA11908" s="1"/>
      <c r="AB11908" s="1"/>
      <c r="AC11908" s="1"/>
      <c r="AD11908" s="1"/>
      <c r="AE11908" s="1"/>
      <c r="AF11908" s="1"/>
      <c r="AG11908" s="1"/>
      <c r="AH11908" s="1"/>
    </row>
    <row r="11909" ht="12.75" customHeight="1">
      <c r="A11909" s="17"/>
      <c r="B11909" s="1"/>
      <c r="C11909" s="1"/>
      <c r="D11909" s="150"/>
      <c r="E11909" s="150"/>
      <c r="F11909" s="75"/>
      <c r="G11909" s="67"/>
      <c r="H11909" s="68"/>
      <c r="I11909" s="76"/>
      <c r="J11909" s="67"/>
      <c r="K11909" s="1"/>
      <c r="L11909" s="77"/>
      <c r="M11909" s="79"/>
      <c r="N11909" s="1"/>
      <c r="O11909" s="1"/>
      <c r="P11909" s="1"/>
      <c r="Q11909" s="1"/>
      <c r="R11909" s="1"/>
      <c r="S11909" s="1"/>
      <c r="T11909" s="1"/>
      <c r="U11909" s="1"/>
      <c r="V11909" s="1"/>
      <c r="W11909" s="1"/>
      <c r="X11909" s="1"/>
      <c r="Y11909" s="1"/>
      <c r="Z11909" s="1"/>
      <c r="AA11909" s="1"/>
      <c r="AB11909" s="1"/>
      <c r="AC11909" s="1"/>
      <c r="AD11909" s="1"/>
      <c r="AE11909" s="1"/>
      <c r="AF11909" s="1"/>
      <c r="AG11909" s="1"/>
      <c r="AH11909" s="1"/>
    </row>
    <row r="11910" ht="12.75" customHeight="1">
      <c r="A11910" s="17"/>
      <c r="B11910" s="1"/>
      <c r="C11910" s="1"/>
      <c r="D11910" s="150"/>
      <c r="E11910" s="150"/>
      <c r="F11910" s="75"/>
      <c r="G11910" s="67"/>
      <c r="H11910" s="68"/>
      <c r="I11910" s="76"/>
      <c r="J11910" s="67"/>
      <c r="K11910" s="1"/>
      <c r="L11910" s="77"/>
      <c r="M11910" s="79"/>
      <c r="N11910" s="1"/>
      <c r="O11910" s="1"/>
      <c r="P11910" s="1"/>
      <c r="Q11910" s="1"/>
      <c r="R11910" s="1"/>
      <c r="S11910" s="1"/>
      <c r="T11910" s="1"/>
      <c r="U11910" s="1"/>
      <c r="V11910" s="1"/>
      <c r="W11910" s="1"/>
      <c r="X11910" s="1"/>
      <c r="Y11910" s="1"/>
      <c r="Z11910" s="1"/>
      <c r="AA11910" s="1"/>
      <c r="AB11910" s="1"/>
      <c r="AC11910" s="1"/>
      <c r="AD11910" s="1"/>
      <c r="AE11910" s="1"/>
      <c r="AF11910" s="1"/>
      <c r="AG11910" s="1"/>
      <c r="AH11910" s="1"/>
    </row>
    <row r="11911" ht="12.75" customHeight="1">
      <c r="A11911" s="17"/>
      <c r="B11911" s="1"/>
      <c r="C11911" s="1"/>
      <c r="D11911" s="150"/>
      <c r="E11911" s="150"/>
      <c r="F11911" s="75"/>
      <c r="G11911" s="67"/>
      <c r="H11911" s="68"/>
      <c r="I11911" s="76"/>
      <c r="J11911" s="67"/>
      <c r="K11911" s="1"/>
      <c r="L11911" s="77"/>
      <c r="M11911" s="79"/>
      <c r="N11911" s="1"/>
      <c r="O11911" s="1"/>
      <c r="P11911" s="1"/>
      <c r="Q11911" s="1"/>
      <c r="R11911" s="1"/>
      <c r="S11911" s="1"/>
      <c r="T11911" s="1"/>
      <c r="U11911" s="1"/>
      <c r="V11911" s="1"/>
      <c r="W11911" s="1"/>
      <c r="X11911" s="1"/>
      <c r="Y11911" s="1"/>
      <c r="Z11911" s="1"/>
      <c r="AA11911" s="1"/>
      <c r="AB11911" s="1"/>
      <c r="AC11911" s="1"/>
      <c r="AD11911" s="1"/>
      <c r="AE11911" s="1"/>
      <c r="AF11911" s="1"/>
      <c r="AG11911" s="1"/>
      <c r="AH11911" s="1"/>
    </row>
    <row r="11912" ht="12.75" customHeight="1">
      <c r="A11912" s="17"/>
      <c r="B11912" s="1"/>
      <c r="C11912" s="1"/>
      <c r="D11912" s="150"/>
      <c r="E11912" s="150"/>
      <c r="F11912" s="75"/>
      <c r="G11912" s="67"/>
      <c r="H11912" s="68"/>
      <c r="I11912" s="76"/>
      <c r="J11912" s="67"/>
      <c r="K11912" s="1"/>
      <c r="L11912" s="77"/>
      <c r="M11912" s="79"/>
      <c r="N11912" s="1"/>
      <c r="O11912" s="1"/>
      <c r="P11912" s="1"/>
      <c r="Q11912" s="1"/>
      <c r="R11912" s="1"/>
      <c r="S11912" s="1"/>
      <c r="T11912" s="1"/>
      <c r="U11912" s="1"/>
      <c r="V11912" s="1"/>
      <c r="W11912" s="1"/>
      <c r="X11912" s="1"/>
      <c r="Y11912" s="1"/>
      <c r="Z11912" s="1"/>
      <c r="AA11912" s="1"/>
      <c r="AB11912" s="1"/>
      <c r="AC11912" s="1"/>
      <c r="AD11912" s="1"/>
      <c r="AE11912" s="1"/>
      <c r="AF11912" s="1"/>
      <c r="AG11912" s="1"/>
      <c r="AH11912" s="1"/>
    </row>
    <row r="11913" ht="12.75" customHeight="1">
      <c r="A11913" s="17"/>
      <c r="B11913" s="1"/>
      <c r="C11913" s="1"/>
      <c r="D11913" s="150"/>
      <c r="E11913" s="150"/>
      <c r="F11913" s="75"/>
      <c r="G11913" s="67"/>
      <c r="H11913" s="68"/>
      <c r="I11913" s="76"/>
      <c r="J11913" s="67"/>
      <c r="K11913" s="1"/>
      <c r="L11913" s="77"/>
      <c r="M11913" s="79"/>
      <c r="N11913" s="1"/>
      <c r="O11913" s="1"/>
      <c r="P11913" s="1"/>
      <c r="Q11913" s="1"/>
      <c r="R11913" s="1"/>
      <c r="S11913" s="1"/>
      <c r="T11913" s="1"/>
      <c r="U11913" s="1"/>
      <c r="V11913" s="1"/>
      <c r="W11913" s="1"/>
      <c r="X11913" s="1"/>
      <c r="Y11913" s="1"/>
      <c r="Z11913" s="1"/>
      <c r="AA11913" s="1"/>
      <c r="AB11913" s="1"/>
      <c r="AC11913" s="1"/>
      <c r="AD11913" s="1"/>
      <c r="AE11913" s="1"/>
      <c r="AF11913" s="1"/>
      <c r="AG11913" s="1"/>
      <c r="AH11913" s="1"/>
    </row>
    <row r="11914" ht="12.75" customHeight="1">
      <c r="A11914" s="17"/>
      <c r="B11914" s="1"/>
      <c r="C11914" s="1"/>
      <c r="D11914" s="150"/>
      <c r="E11914" s="150"/>
      <c r="F11914" s="75"/>
      <c r="G11914" s="67"/>
      <c r="H11914" s="68"/>
      <c r="I11914" s="76"/>
      <c r="J11914" s="67"/>
      <c r="K11914" s="1"/>
      <c r="L11914" s="77"/>
      <c r="M11914" s="79"/>
      <c r="N11914" s="1"/>
      <c r="O11914" s="1"/>
      <c r="P11914" s="1"/>
      <c r="Q11914" s="1"/>
      <c r="R11914" s="1"/>
      <c r="S11914" s="1"/>
      <c r="T11914" s="1"/>
      <c r="U11914" s="1"/>
      <c r="V11914" s="1"/>
      <c r="W11914" s="1"/>
      <c r="X11914" s="1"/>
      <c r="Y11914" s="1"/>
      <c r="Z11914" s="1"/>
      <c r="AA11914" s="1"/>
      <c r="AB11914" s="1"/>
      <c r="AC11914" s="1"/>
      <c r="AD11914" s="1"/>
      <c r="AE11914" s="1"/>
      <c r="AF11914" s="1"/>
      <c r="AG11914" s="1"/>
      <c r="AH11914" s="1"/>
    </row>
    <row r="11915" ht="12.75" customHeight="1">
      <c r="A11915" s="17"/>
      <c r="B11915" s="1"/>
      <c r="C11915" s="1"/>
      <c r="D11915" s="150"/>
      <c r="E11915" s="150"/>
      <c r="F11915" s="75"/>
      <c r="G11915" s="67"/>
      <c r="H11915" s="68"/>
      <c r="I11915" s="76"/>
      <c r="J11915" s="67"/>
      <c r="K11915" s="1"/>
      <c r="L11915" s="77"/>
      <c r="M11915" s="79"/>
      <c r="N11915" s="1"/>
      <c r="O11915" s="1"/>
      <c r="P11915" s="1"/>
      <c r="Q11915" s="1"/>
      <c r="R11915" s="1"/>
      <c r="S11915" s="1"/>
      <c r="T11915" s="1"/>
      <c r="U11915" s="1"/>
      <c r="V11915" s="1"/>
      <c r="W11915" s="1"/>
      <c r="X11915" s="1"/>
      <c r="Y11915" s="1"/>
      <c r="Z11915" s="1"/>
      <c r="AA11915" s="1"/>
      <c r="AB11915" s="1"/>
      <c r="AC11915" s="1"/>
      <c r="AD11915" s="1"/>
      <c r="AE11915" s="1"/>
      <c r="AF11915" s="1"/>
      <c r="AG11915" s="1"/>
      <c r="AH11915" s="1"/>
    </row>
    <row r="11916" ht="12.75" customHeight="1">
      <c r="A11916" s="17"/>
      <c r="B11916" s="1"/>
      <c r="C11916" s="1"/>
      <c r="D11916" s="150"/>
      <c r="E11916" s="150"/>
      <c r="F11916" s="75"/>
      <c r="G11916" s="67"/>
      <c r="H11916" s="68"/>
      <c r="I11916" s="76"/>
      <c r="J11916" s="67"/>
      <c r="K11916" s="1"/>
      <c r="L11916" s="77"/>
      <c r="M11916" s="79"/>
      <c r="N11916" s="1"/>
      <c r="O11916" s="1"/>
      <c r="P11916" s="1"/>
      <c r="Q11916" s="1"/>
      <c r="R11916" s="1"/>
      <c r="S11916" s="1"/>
      <c r="T11916" s="1"/>
      <c r="U11916" s="1"/>
      <c r="V11916" s="1"/>
      <c r="W11916" s="1"/>
      <c r="X11916" s="1"/>
      <c r="Y11916" s="1"/>
      <c r="Z11916" s="1"/>
      <c r="AA11916" s="1"/>
      <c r="AB11916" s="1"/>
      <c r="AC11916" s="1"/>
      <c r="AD11916" s="1"/>
      <c r="AE11916" s="1"/>
      <c r="AF11916" s="1"/>
      <c r="AG11916" s="1"/>
      <c r="AH11916" s="1"/>
    </row>
    <row r="11917" ht="12.75" customHeight="1">
      <c r="A11917" s="17"/>
      <c r="B11917" s="1"/>
      <c r="C11917" s="1"/>
      <c r="D11917" s="150"/>
      <c r="E11917" s="150"/>
      <c r="F11917" s="75"/>
      <c r="G11917" s="67"/>
      <c r="H11917" s="68"/>
      <c r="I11917" s="76"/>
      <c r="J11917" s="67"/>
      <c r="K11917" s="1"/>
      <c r="L11917" s="77"/>
      <c r="M11917" s="79"/>
      <c r="N11917" s="1"/>
      <c r="O11917" s="1"/>
      <c r="P11917" s="1"/>
      <c r="Q11917" s="1"/>
      <c r="R11917" s="1"/>
      <c r="S11917" s="1"/>
      <c r="T11917" s="1"/>
      <c r="U11917" s="1"/>
      <c r="V11917" s="1"/>
      <c r="W11917" s="1"/>
      <c r="X11917" s="1"/>
      <c r="Y11917" s="1"/>
      <c r="Z11917" s="1"/>
      <c r="AA11917" s="1"/>
      <c r="AB11917" s="1"/>
      <c r="AC11917" s="1"/>
      <c r="AD11917" s="1"/>
      <c r="AE11917" s="1"/>
      <c r="AF11917" s="1"/>
      <c r="AG11917" s="1"/>
      <c r="AH11917" s="1"/>
    </row>
    <row r="11918" ht="12.75" customHeight="1">
      <c r="A11918" s="17"/>
      <c r="B11918" s="1"/>
      <c r="C11918" s="1"/>
      <c r="D11918" s="150"/>
      <c r="E11918" s="150"/>
      <c r="F11918" s="75"/>
      <c r="G11918" s="67"/>
      <c r="H11918" s="68"/>
      <c r="I11918" s="76"/>
      <c r="J11918" s="67"/>
      <c r="K11918" s="1"/>
      <c r="L11918" s="77"/>
      <c r="M11918" s="79"/>
      <c r="N11918" s="1"/>
      <c r="O11918" s="1"/>
      <c r="P11918" s="1"/>
      <c r="Q11918" s="1"/>
      <c r="R11918" s="1"/>
      <c r="S11918" s="1"/>
      <c r="T11918" s="1"/>
      <c r="U11918" s="1"/>
      <c r="V11918" s="1"/>
      <c r="W11918" s="1"/>
      <c r="X11918" s="1"/>
      <c r="Y11918" s="1"/>
      <c r="Z11918" s="1"/>
      <c r="AA11918" s="1"/>
      <c r="AB11918" s="1"/>
      <c r="AC11918" s="1"/>
      <c r="AD11918" s="1"/>
      <c r="AE11918" s="1"/>
      <c r="AF11918" s="1"/>
      <c r="AG11918" s="1"/>
      <c r="AH11918" s="1"/>
    </row>
    <row r="11919" ht="12.75" customHeight="1">
      <c r="A11919" s="17"/>
      <c r="B11919" s="1"/>
      <c r="C11919" s="1"/>
      <c r="D11919" s="150"/>
      <c r="E11919" s="150"/>
      <c r="F11919" s="75"/>
      <c r="G11919" s="67"/>
      <c r="H11919" s="68"/>
      <c r="I11919" s="76"/>
      <c r="J11919" s="67"/>
      <c r="K11919" s="1"/>
      <c r="L11919" s="77"/>
      <c r="M11919" s="79"/>
      <c r="N11919" s="1"/>
      <c r="O11919" s="1"/>
      <c r="P11919" s="1"/>
      <c r="Q11919" s="1"/>
      <c r="R11919" s="1"/>
      <c r="S11919" s="1"/>
      <c r="T11919" s="1"/>
      <c r="U11919" s="1"/>
      <c r="V11919" s="1"/>
      <c r="W11919" s="1"/>
      <c r="X11919" s="1"/>
      <c r="Y11919" s="1"/>
      <c r="Z11919" s="1"/>
      <c r="AA11919" s="1"/>
      <c r="AB11919" s="1"/>
      <c r="AC11919" s="1"/>
      <c r="AD11919" s="1"/>
      <c r="AE11919" s="1"/>
      <c r="AF11919" s="1"/>
      <c r="AG11919" s="1"/>
      <c r="AH11919" s="1"/>
    </row>
    <row r="11920" ht="12.75" customHeight="1">
      <c r="A11920" s="17"/>
      <c r="B11920" s="1"/>
      <c r="C11920" s="1"/>
      <c r="D11920" s="150"/>
      <c r="E11920" s="150"/>
      <c r="F11920" s="75"/>
      <c r="G11920" s="67"/>
      <c r="H11920" s="68"/>
      <c r="I11920" s="76"/>
      <c r="J11920" s="67"/>
      <c r="K11920" s="1"/>
      <c r="L11920" s="77"/>
      <c r="M11920" s="79"/>
      <c r="N11920" s="1"/>
      <c r="O11920" s="1"/>
      <c r="P11920" s="1"/>
      <c r="Q11920" s="1"/>
      <c r="R11920" s="1"/>
      <c r="S11920" s="1"/>
      <c r="T11920" s="1"/>
      <c r="U11920" s="1"/>
      <c r="V11920" s="1"/>
      <c r="W11920" s="1"/>
      <c r="X11920" s="1"/>
      <c r="Y11920" s="1"/>
      <c r="Z11920" s="1"/>
      <c r="AA11920" s="1"/>
      <c r="AB11920" s="1"/>
      <c r="AC11920" s="1"/>
      <c r="AD11920" s="1"/>
      <c r="AE11920" s="1"/>
      <c r="AF11920" s="1"/>
      <c r="AG11920" s="1"/>
      <c r="AH11920" s="1"/>
    </row>
    <row r="11921" ht="12.75" customHeight="1">
      <c r="A11921" s="17"/>
      <c r="B11921" s="1"/>
      <c r="C11921" s="1"/>
      <c r="D11921" s="150"/>
      <c r="E11921" s="150"/>
      <c r="F11921" s="75"/>
      <c r="G11921" s="67"/>
      <c r="H11921" s="68"/>
      <c r="I11921" s="76"/>
      <c r="J11921" s="67"/>
      <c r="K11921" s="1"/>
      <c r="L11921" s="77"/>
      <c r="M11921" s="79"/>
      <c r="N11921" s="1"/>
      <c r="O11921" s="1"/>
      <c r="P11921" s="1"/>
      <c r="Q11921" s="1"/>
      <c r="R11921" s="1"/>
      <c r="S11921" s="1"/>
      <c r="T11921" s="1"/>
      <c r="U11921" s="1"/>
      <c r="V11921" s="1"/>
      <c r="W11921" s="1"/>
      <c r="X11921" s="1"/>
      <c r="Y11921" s="1"/>
      <c r="Z11921" s="1"/>
      <c r="AA11921" s="1"/>
      <c r="AB11921" s="1"/>
      <c r="AC11921" s="1"/>
      <c r="AD11921" s="1"/>
      <c r="AE11921" s="1"/>
      <c r="AF11921" s="1"/>
      <c r="AG11921" s="1"/>
      <c r="AH11921" s="1"/>
    </row>
    <row r="11922" ht="12.75" customHeight="1">
      <c r="A11922" s="17"/>
      <c r="B11922" s="1"/>
      <c r="C11922" s="1"/>
      <c r="D11922" s="150"/>
      <c r="E11922" s="150"/>
      <c r="F11922" s="75"/>
      <c r="G11922" s="67"/>
      <c r="H11922" s="68"/>
      <c r="I11922" s="76"/>
      <c r="J11922" s="67"/>
      <c r="K11922" s="1"/>
      <c r="L11922" s="77"/>
      <c r="M11922" s="79"/>
      <c r="N11922" s="1"/>
      <c r="O11922" s="1"/>
      <c r="P11922" s="1"/>
      <c r="Q11922" s="1"/>
      <c r="R11922" s="1"/>
      <c r="S11922" s="1"/>
      <c r="T11922" s="1"/>
      <c r="U11922" s="1"/>
      <c r="V11922" s="1"/>
      <c r="W11922" s="1"/>
      <c r="X11922" s="1"/>
      <c r="Y11922" s="1"/>
      <c r="Z11922" s="1"/>
      <c r="AA11922" s="1"/>
      <c r="AB11922" s="1"/>
      <c r="AC11922" s="1"/>
      <c r="AD11922" s="1"/>
      <c r="AE11922" s="1"/>
      <c r="AF11922" s="1"/>
      <c r="AG11922" s="1"/>
      <c r="AH11922" s="1"/>
    </row>
    <row r="11923" ht="12.75" customHeight="1">
      <c r="A11923" s="17"/>
      <c r="B11923" s="1"/>
      <c r="C11923" s="1"/>
      <c r="D11923" s="150"/>
      <c r="E11923" s="150"/>
      <c r="F11923" s="75"/>
      <c r="G11923" s="67"/>
      <c r="H11923" s="68"/>
      <c r="I11923" s="76"/>
      <c r="J11923" s="67"/>
      <c r="K11923" s="1"/>
      <c r="L11923" s="77"/>
      <c r="M11923" s="79"/>
      <c r="N11923" s="1"/>
      <c r="O11923" s="1"/>
      <c r="P11923" s="1"/>
      <c r="Q11923" s="1"/>
      <c r="R11923" s="1"/>
      <c r="S11923" s="1"/>
      <c r="T11923" s="1"/>
      <c r="U11923" s="1"/>
      <c r="V11923" s="1"/>
      <c r="W11923" s="1"/>
      <c r="X11923" s="1"/>
      <c r="Y11923" s="1"/>
      <c r="Z11923" s="1"/>
      <c r="AA11923" s="1"/>
      <c r="AB11923" s="1"/>
      <c r="AC11923" s="1"/>
      <c r="AD11923" s="1"/>
      <c r="AE11923" s="1"/>
      <c r="AF11923" s="1"/>
      <c r="AG11923" s="1"/>
      <c r="AH11923" s="1"/>
    </row>
    <row r="11924" ht="12.75" customHeight="1">
      <c r="A11924" s="17"/>
      <c r="B11924" s="1"/>
      <c r="C11924" s="1"/>
      <c r="D11924" s="150"/>
      <c r="E11924" s="150"/>
      <c r="F11924" s="75"/>
      <c r="G11924" s="67"/>
      <c r="H11924" s="68"/>
      <c r="I11924" s="76"/>
      <c r="J11924" s="67"/>
      <c r="K11924" s="1"/>
      <c r="L11924" s="77"/>
      <c r="M11924" s="79"/>
      <c r="N11924" s="1"/>
      <c r="O11924" s="1"/>
      <c r="P11924" s="1"/>
      <c r="Q11924" s="1"/>
      <c r="R11924" s="1"/>
      <c r="S11924" s="1"/>
      <c r="T11924" s="1"/>
      <c r="U11924" s="1"/>
      <c r="V11924" s="1"/>
      <c r="W11924" s="1"/>
      <c r="X11924" s="1"/>
      <c r="Y11924" s="1"/>
      <c r="Z11924" s="1"/>
      <c r="AA11924" s="1"/>
      <c r="AB11924" s="1"/>
      <c r="AC11924" s="1"/>
      <c r="AD11924" s="1"/>
      <c r="AE11924" s="1"/>
      <c r="AF11924" s="1"/>
      <c r="AG11924" s="1"/>
      <c r="AH11924" s="1"/>
    </row>
    <row r="11925" ht="12.75" customHeight="1">
      <c r="A11925" s="17"/>
      <c r="B11925" s="1"/>
      <c r="C11925" s="1"/>
      <c r="D11925" s="150"/>
      <c r="E11925" s="150"/>
      <c r="F11925" s="75"/>
      <c r="G11925" s="67"/>
      <c r="H11925" s="68"/>
      <c r="I11925" s="76"/>
      <c r="J11925" s="67"/>
      <c r="K11925" s="1"/>
      <c r="L11925" s="77"/>
      <c r="M11925" s="79"/>
      <c r="N11925" s="1"/>
      <c r="O11925" s="1"/>
      <c r="P11925" s="1"/>
      <c r="Q11925" s="1"/>
      <c r="R11925" s="1"/>
      <c r="S11925" s="1"/>
      <c r="T11925" s="1"/>
      <c r="U11925" s="1"/>
      <c r="V11925" s="1"/>
      <c r="W11925" s="1"/>
      <c r="X11925" s="1"/>
      <c r="Y11925" s="1"/>
      <c r="Z11925" s="1"/>
      <c r="AA11925" s="1"/>
      <c r="AB11925" s="1"/>
      <c r="AC11925" s="1"/>
      <c r="AD11925" s="1"/>
      <c r="AE11925" s="1"/>
      <c r="AF11925" s="1"/>
      <c r="AG11925" s="1"/>
      <c r="AH11925" s="1"/>
    </row>
    <row r="11926" ht="12.75" customHeight="1">
      <c r="A11926" s="17"/>
      <c r="B11926" s="1"/>
      <c r="C11926" s="1"/>
      <c r="D11926" s="150"/>
      <c r="E11926" s="150"/>
      <c r="F11926" s="75"/>
      <c r="G11926" s="67"/>
      <c r="H11926" s="68"/>
      <c r="I11926" s="76"/>
      <c r="J11926" s="67"/>
      <c r="K11926" s="1"/>
      <c r="L11926" s="77"/>
      <c r="M11926" s="79"/>
      <c r="N11926" s="1"/>
      <c r="O11926" s="1"/>
      <c r="P11926" s="1"/>
      <c r="Q11926" s="1"/>
      <c r="R11926" s="1"/>
      <c r="S11926" s="1"/>
      <c r="T11926" s="1"/>
      <c r="U11926" s="1"/>
      <c r="V11926" s="1"/>
      <c r="W11926" s="1"/>
      <c r="X11926" s="1"/>
      <c r="Y11926" s="1"/>
      <c r="Z11926" s="1"/>
      <c r="AA11926" s="1"/>
      <c r="AB11926" s="1"/>
      <c r="AC11926" s="1"/>
      <c r="AD11926" s="1"/>
      <c r="AE11926" s="1"/>
      <c r="AF11926" s="1"/>
      <c r="AG11926" s="1"/>
      <c r="AH11926" s="1"/>
    </row>
    <row r="11927" ht="12.75" customHeight="1">
      <c r="A11927" s="17"/>
      <c r="B11927" s="1"/>
      <c r="C11927" s="1"/>
      <c r="D11927" s="150"/>
      <c r="E11927" s="150"/>
      <c r="F11927" s="75"/>
      <c r="G11927" s="67"/>
      <c r="H11927" s="68"/>
      <c r="I11927" s="76"/>
      <c r="J11927" s="67"/>
      <c r="K11927" s="1"/>
      <c r="L11927" s="77"/>
      <c r="M11927" s="79"/>
      <c r="N11927" s="1"/>
      <c r="O11927" s="1"/>
      <c r="P11927" s="1"/>
      <c r="Q11927" s="1"/>
      <c r="R11927" s="1"/>
      <c r="S11927" s="1"/>
      <c r="T11927" s="1"/>
      <c r="U11927" s="1"/>
      <c r="V11927" s="1"/>
      <c r="W11927" s="1"/>
      <c r="X11927" s="1"/>
      <c r="Y11927" s="1"/>
      <c r="Z11927" s="1"/>
      <c r="AA11927" s="1"/>
      <c r="AB11927" s="1"/>
      <c r="AC11927" s="1"/>
      <c r="AD11927" s="1"/>
      <c r="AE11927" s="1"/>
      <c r="AF11927" s="1"/>
      <c r="AG11927" s="1"/>
      <c r="AH11927" s="1"/>
    </row>
    <row r="11928" ht="12.75" customHeight="1">
      <c r="A11928" s="17"/>
      <c r="B11928" s="1"/>
      <c r="C11928" s="1"/>
      <c r="D11928" s="150"/>
      <c r="E11928" s="150"/>
      <c r="F11928" s="75"/>
      <c r="G11928" s="67"/>
      <c r="H11928" s="68"/>
      <c r="I11928" s="76"/>
      <c r="J11928" s="67"/>
      <c r="K11928" s="1"/>
      <c r="L11928" s="77"/>
      <c r="M11928" s="79"/>
      <c r="N11928" s="1"/>
      <c r="O11928" s="1"/>
      <c r="P11928" s="1"/>
      <c r="Q11928" s="1"/>
      <c r="R11928" s="1"/>
      <c r="S11928" s="1"/>
      <c r="T11928" s="1"/>
      <c r="U11928" s="1"/>
      <c r="V11928" s="1"/>
      <c r="W11928" s="1"/>
      <c r="X11928" s="1"/>
      <c r="Y11928" s="1"/>
      <c r="Z11928" s="1"/>
      <c r="AA11928" s="1"/>
      <c r="AB11928" s="1"/>
      <c r="AC11928" s="1"/>
      <c r="AD11928" s="1"/>
      <c r="AE11928" s="1"/>
      <c r="AF11928" s="1"/>
      <c r="AG11928" s="1"/>
      <c r="AH11928" s="1"/>
    </row>
    <row r="11929" ht="12.75" customHeight="1">
      <c r="A11929" s="17"/>
      <c r="B11929" s="1"/>
      <c r="C11929" s="1"/>
      <c r="D11929" s="150"/>
      <c r="E11929" s="150"/>
      <c r="F11929" s="75"/>
      <c r="G11929" s="67"/>
      <c r="H11929" s="68"/>
      <c r="I11929" s="76"/>
      <c r="J11929" s="67"/>
      <c r="K11929" s="1"/>
      <c r="L11929" s="77"/>
      <c r="M11929" s="79"/>
      <c r="N11929" s="1"/>
      <c r="O11929" s="1"/>
      <c r="P11929" s="1"/>
      <c r="Q11929" s="1"/>
      <c r="R11929" s="1"/>
      <c r="S11929" s="1"/>
      <c r="T11929" s="1"/>
      <c r="U11929" s="1"/>
      <c r="V11929" s="1"/>
      <c r="W11929" s="1"/>
      <c r="X11929" s="1"/>
      <c r="Y11929" s="1"/>
      <c r="Z11929" s="1"/>
      <c r="AA11929" s="1"/>
      <c r="AB11929" s="1"/>
      <c r="AC11929" s="1"/>
      <c r="AD11929" s="1"/>
      <c r="AE11929" s="1"/>
      <c r="AF11929" s="1"/>
      <c r="AG11929" s="1"/>
      <c r="AH11929" s="1"/>
    </row>
    <row r="11930" ht="12.75" customHeight="1">
      <c r="A11930" s="17"/>
      <c r="B11930" s="1"/>
      <c r="C11930" s="1"/>
      <c r="D11930" s="150"/>
      <c r="E11930" s="150"/>
      <c r="F11930" s="75"/>
      <c r="G11930" s="67"/>
      <c r="H11930" s="68"/>
      <c r="I11930" s="76"/>
      <c r="J11930" s="67"/>
      <c r="K11930" s="1"/>
      <c r="L11930" s="77"/>
      <c r="M11930" s="79"/>
      <c r="N11930" s="1"/>
      <c r="O11930" s="1"/>
      <c r="P11930" s="1"/>
      <c r="Q11930" s="1"/>
      <c r="R11930" s="1"/>
      <c r="S11930" s="1"/>
      <c r="T11930" s="1"/>
      <c r="U11930" s="1"/>
      <c r="V11930" s="1"/>
      <c r="W11930" s="1"/>
      <c r="X11930" s="1"/>
      <c r="Y11930" s="1"/>
      <c r="Z11930" s="1"/>
      <c r="AA11930" s="1"/>
      <c r="AB11930" s="1"/>
      <c r="AC11930" s="1"/>
      <c r="AD11930" s="1"/>
      <c r="AE11930" s="1"/>
      <c r="AF11930" s="1"/>
      <c r="AG11930" s="1"/>
      <c r="AH11930" s="1"/>
    </row>
    <row r="11931" ht="12.75" customHeight="1">
      <c r="A11931" s="17"/>
      <c r="B11931" s="1"/>
      <c r="C11931" s="1"/>
      <c r="D11931" s="150"/>
      <c r="E11931" s="150"/>
      <c r="F11931" s="75"/>
      <c r="G11931" s="67"/>
      <c r="H11931" s="68"/>
      <c r="I11931" s="76"/>
      <c r="J11931" s="67"/>
      <c r="K11931" s="1"/>
      <c r="L11931" s="77"/>
      <c r="M11931" s="79"/>
      <c r="N11931" s="1"/>
      <c r="O11931" s="1"/>
      <c r="P11931" s="1"/>
      <c r="Q11931" s="1"/>
      <c r="R11931" s="1"/>
      <c r="S11931" s="1"/>
      <c r="T11931" s="1"/>
      <c r="U11931" s="1"/>
      <c r="V11931" s="1"/>
      <c r="W11931" s="1"/>
      <c r="X11931" s="1"/>
      <c r="Y11931" s="1"/>
      <c r="Z11931" s="1"/>
      <c r="AA11931" s="1"/>
      <c r="AB11931" s="1"/>
      <c r="AC11931" s="1"/>
      <c r="AD11931" s="1"/>
      <c r="AE11931" s="1"/>
      <c r="AF11931" s="1"/>
      <c r="AG11931" s="1"/>
      <c r="AH11931" s="1"/>
    </row>
    <row r="11932" ht="12.75" customHeight="1">
      <c r="A11932" s="17"/>
      <c r="B11932" s="1"/>
      <c r="C11932" s="1"/>
      <c r="D11932" s="150"/>
      <c r="E11932" s="150"/>
      <c r="F11932" s="75"/>
      <c r="G11932" s="67"/>
      <c r="H11932" s="68"/>
      <c r="I11932" s="76"/>
      <c r="J11932" s="67"/>
      <c r="K11932" s="1"/>
      <c r="L11932" s="77"/>
      <c r="M11932" s="79"/>
      <c r="N11932" s="1"/>
      <c r="O11932" s="1"/>
      <c r="P11932" s="1"/>
      <c r="Q11932" s="1"/>
      <c r="R11932" s="1"/>
      <c r="S11932" s="1"/>
      <c r="T11932" s="1"/>
      <c r="U11932" s="1"/>
      <c r="V11932" s="1"/>
      <c r="W11932" s="1"/>
      <c r="X11932" s="1"/>
      <c r="Y11932" s="1"/>
      <c r="Z11932" s="1"/>
      <c r="AA11932" s="1"/>
      <c r="AB11932" s="1"/>
      <c r="AC11932" s="1"/>
      <c r="AD11932" s="1"/>
      <c r="AE11932" s="1"/>
      <c r="AF11932" s="1"/>
      <c r="AG11932" s="1"/>
      <c r="AH11932" s="1"/>
    </row>
    <row r="11933" ht="12.75" customHeight="1">
      <c r="A11933" s="17"/>
      <c r="B11933" s="1"/>
      <c r="C11933" s="1"/>
      <c r="D11933" s="150"/>
      <c r="E11933" s="150"/>
      <c r="F11933" s="75"/>
      <c r="G11933" s="67"/>
      <c r="H11933" s="68"/>
      <c r="I11933" s="76"/>
      <c r="J11933" s="67"/>
      <c r="K11933" s="1"/>
      <c r="L11933" s="77"/>
      <c r="M11933" s="79"/>
      <c r="N11933" s="1"/>
      <c r="O11933" s="1"/>
      <c r="P11933" s="1"/>
      <c r="Q11933" s="1"/>
      <c r="R11933" s="1"/>
      <c r="S11933" s="1"/>
      <c r="T11933" s="1"/>
      <c r="U11933" s="1"/>
      <c r="V11933" s="1"/>
      <c r="W11933" s="1"/>
      <c r="X11933" s="1"/>
      <c r="Y11933" s="1"/>
      <c r="Z11933" s="1"/>
      <c r="AA11933" s="1"/>
      <c r="AB11933" s="1"/>
      <c r="AC11933" s="1"/>
      <c r="AD11933" s="1"/>
      <c r="AE11933" s="1"/>
      <c r="AF11933" s="1"/>
      <c r="AG11933" s="1"/>
      <c r="AH11933" s="1"/>
    </row>
    <row r="11934" ht="12.75" customHeight="1">
      <c r="A11934" s="17"/>
      <c r="B11934" s="1"/>
      <c r="C11934" s="1"/>
      <c r="D11934" s="150"/>
      <c r="E11934" s="150"/>
      <c r="F11934" s="75"/>
      <c r="G11934" s="67"/>
      <c r="H11934" s="68"/>
      <c r="I11934" s="76"/>
      <c r="J11934" s="67"/>
      <c r="K11934" s="1"/>
      <c r="L11934" s="77"/>
      <c r="M11934" s="79"/>
      <c r="N11934" s="1"/>
      <c r="O11934" s="1"/>
      <c r="P11934" s="1"/>
      <c r="Q11934" s="1"/>
      <c r="R11934" s="1"/>
      <c r="S11934" s="1"/>
      <c r="T11934" s="1"/>
      <c r="U11934" s="1"/>
      <c r="V11934" s="1"/>
      <c r="W11934" s="1"/>
      <c r="X11934" s="1"/>
      <c r="Y11934" s="1"/>
      <c r="Z11934" s="1"/>
      <c r="AA11934" s="1"/>
      <c r="AB11934" s="1"/>
      <c r="AC11934" s="1"/>
      <c r="AD11934" s="1"/>
      <c r="AE11934" s="1"/>
      <c r="AF11934" s="1"/>
      <c r="AG11934" s="1"/>
      <c r="AH11934" s="1"/>
    </row>
    <row r="11935" ht="12.75" customHeight="1">
      <c r="A11935" s="17"/>
      <c r="B11935" s="1"/>
      <c r="C11935" s="1"/>
      <c r="D11935" s="150"/>
      <c r="E11935" s="150"/>
      <c r="F11935" s="75"/>
      <c r="G11935" s="67"/>
      <c r="H11935" s="68"/>
      <c r="I11935" s="76"/>
      <c r="J11935" s="67"/>
      <c r="K11935" s="1"/>
      <c r="L11935" s="77"/>
      <c r="M11935" s="79"/>
      <c r="N11935" s="1"/>
      <c r="O11935" s="1"/>
      <c r="P11935" s="1"/>
      <c r="Q11935" s="1"/>
      <c r="R11935" s="1"/>
      <c r="S11935" s="1"/>
      <c r="T11935" s="1"/>
      <c r="U11935" s="1"/>
      <c r="V11935" s="1"/>
      <c r="W11935" s="1"/>
      <c r="X11935" s="1"/>
      <c r="Y11935" s="1"/>
      <c r="Z11935" s="1"/>
      <c r="AA11935" s="1"/>
      <c r="AB11935" s="1"/>
      <c r="AC11935" s="1"/>
      <c r="AD11935" s="1"/>
      <c r="AE11935" s="1"/>
      <c r="AF11935" s="1"/>
      <c r="AG11935" s="1"/>
      <c r="AH11935" s="1"/>
    </row>
    <row r="11936" ht="12.75" customHeight="1">
      <c r="A11936" s="17"/>
      <c r="B11936" s="1"/>
      <c r="C11936" s="1"/>
      <c r="D11936" s="150"/>
      <c r="E11936" s="150"/>
      <c r="F11936" s="75"/>
      <c r="G11936" s="67"/>
      <c r="H11936" s="68"/>
      <c r="I11936" s="76"/>
      <c r="J11936" s="67"/>
      <c r="K11936" s="1"/>
      <c r="L11936" s="77"/>
      <c r="M11936" s="79"/>
      <c r="N11936" s="1"/>
      <c r="O11936" s="1"/>
      <c r="P11936" s="1"/>
      <c r="Q11936" s="1"/>
      <c r="R11936" s="1"/>
      <c r="S11936" s="1"/>
      <c r="T11936" s="1"/>
      <c r="U11936" s="1"/>
      <c r="V11936" s="1"/>
      <c r="W11936" s="1"/>
      <c r="X11936" s="1"/>
      <c r="Y11936" s="1"/>
      <c r="Z11936" s="1"/>
      <c r="AA11936" s="1"/>
      <c r="AB11936" s="1"/>
      <c r="AC11936" s="1"/>
      <c r="AD11936" s="1"/>
      <c r="AE11936" s="1"/>
      <c r="AF11936" s="1"/>
      <c r="AG11936" s="1"/>
      <c r="AH11936" s="1"/>
    </row>
    <row r="11937" ht="12.75" customHeight="1">
      <c r="A11937" s="17"/>
      <c r="B11937" s="1"/>
      <c r="C11937" s="1"/>
      <c r="D11937" s="150"/>
      <c r="E11937" s="150"/>
      <c r="F11937" s="75"/>
      <c r="G11937" s="67"/>
      <c r="H11937" s="68"/>
      <c r="I11937" s="76"/>
      <c r="J11937" s="67"/>
      <c r="K11937" s="1"/>
      <c r="L11937" s="77"/>
      <c r="M11937" s="79"/>
      <c r="N11937" s="1"/>
      <c r="O11937" s="1"/>
      <c r="P11937" s="1"/>
      <c r="Q11937" s="1"/>
      <c r="R11937" s="1"/>
      <c r="S11937" s="1"/>
      <c r="T11937" s="1"/>
      <c r="U11937" s="1"/>
      <c r="V11937" s="1"/>
      <c r="W11937" s="1"/>
      <c r="X11937" s="1"/>
      <c r="Y11937" s="1"/>
      <c r="Z11937" s="1"/>
      <c r="AA11937" s="1"/>
      <c r="AB11937" s="1"/>
      <c r="AC11937" s="1"/>
      <c r="AD11937" s="1"/>
      <c r="AE11937" s="1"/>
      <c r="AF11937" s="1"/>
      <c r="AG11937" s="1"/>
      <c r="AH11937" s="1"/>
    </row>
    <row r="11938" ht="12.75" customHeight="1">
      <c r="A11938" s="17"/>
      <c r="B11938" s="1"/>
      <c r="C11938" s="1"/>
      <c r="D11938" s="150"/>
      <c r="E11938" s="150"/>
      <c r="F11938" s="75"/>
      <c r="G11938" s="67"/>
      <c r="H11938" s="68"/>
      <c r="I11938" s="76"/>
      <c r="J11938" s="67"/>
      <c r="K11938" s="1"/>
      <c r="L11938" s="77"/>
      <c r="M11938" s="79"/>
      <c r="N11938" s="1"/>
      <c r="O11938" s="1"/>
      <c r="P11938" s="1"/>
      <c r="Q11938" s="1"/>
      <c r="R11938" s="1"/>
      <c r="S11938" s="1"/>
      <c r="T11938" s="1"/>
      <c r="U11938" s="1"/>
      <c r="V11938" s="1"/>
      <c r="W11938" s="1"/>
      <c r="X11938" s="1"/>
      <c r="Y11938" s="1"/>
      <c r="Z11938" s="1"/>
      <c r="AA11938" s="1"/>
      <c r="AB11938" s="1"/>
      <c r="AC11938" s="1"/>
      <c r="AD11938" s="1"/>
      <c r="AE11938" s="1"/>
      <c r="AF11938" s="1"/>
      <c r="AG11938" s="1"/>
      <c r="AH11938" s="1"/>
    </row>
    <row r="11939" ht="12.75" customHeight="1">
      <c r="A11939" s="17"/>
      <c r="B11939" s="1"/>
      <c r="C11939" s="1"/>
      <c r="D11939" s="150"/>
      <c r="E11939" s="150"/>
      <c r="F11939" s="75"/>
      <c r="G11939" s="67"/>
      <c r="H11939" s="68"/>
      <c r="I11939" s="76"/>
      <c r="J11939" s="67"/>
      <c r="K11939" s="1"/>
      <c r="L11939" s="77"/>
      <c r="M11939" s="79"/>
      <c r="N11939" s="1"/>
      <c r="O11939" s="1"/>
      <c r="P11939" s="1"/>
      <c r="Q11939" s="1"/>
      <c r="R11939" s="1"/>
      <c r="S11939" s="1"/>
      <c r="T11939" s="1"/>
      <c r="U11939" s="1"/>
      <c r="V11939" s="1"/>
      <c r="W11939" s="1"/>
      <c r="X11939" s="1"/>
      <c r="Y11939" s="1"/>
      <c r="Z11939" s="1"/>
      <c r="AA11939" s="1"/>
      <c r="AB11939" s="1"/>
      <c r="AC11939" s="1"/>
      <c r="AD11939" s="1"/>
      <c r="AE11939" s="1"/>
      <c r="AF11939" s="1"/>
      <c r="AG11939" s="1"/>
      <c r="AH11939" s="1"/>
    </row>
    <row r="11940" ht="12.75" customHeight="1">
      <c r="A11940" s="17"/>
      <c r="B11940" s="1"/>
      <c r="C11940" s="1"/>
      <c r="D11940" s="150"/>
      <c r="E11940" s="150"/>
      <c r="F11940" s="75"/>
      <c r="G11940" s="67"/>
      <c r="H11940" s="68"/>
      <c r="I11940" s="76"/>
      <c r="J11940" s="67"/>
      <c r="K11940" s="1"/>
      <c r="L11940" s="77"/>
      <c r="M11940" s="79"/>
      <c r="N11940" s="1"/>
      <c r="O11940" s="1"/>
      <c r="P11940" s="1"/>
      <c r="Q11940" s="1"/>
      <c r="R11940" s="1"/>
      <c r="S11940" s="1"/>
      <c r="T11940" s="1"/>
      <c r="U11940" s="1"/>
      <c r="V11940" s="1"/>
      <c r="W11940" s="1"/>
      <c r="X11940" s="1"/>
      <c r="Y11940" s="1"/>
      <c r="Z11940" s="1"/>
      <c r="AA11940" s="1"/>
      <c r="AB11940" s="1"/>
      <c r="AC11940" s="1"/>
      <c r="AD11940" s="1"/>
      <c r="AE11940" s="1"/>
      <c r="AF11940" s="1"/>
      <c r="AG11940" s="1"/>
      <c r="AH11940" s="1"/>
    </row>
    <row r="11941" ht="12.75" customHeight="1">
      <c r="A11941" s="17"/>
      <c r="B11941" s="1"/>
      <c r="C11941" s="1"/>
      <c r="D11941" s="150"/>
      <c r="E11941" s="150"/>
      <c r="F11941" s="75"/>
      <c r="G11941" s="67"/>
      <c r="H11941" s="68"/>
      <c r="I11941" s="76"/>
      <c r="J11941" s="67"/>
      <c r="K11941" s="1"/>
      <c r="L11941" s="77"/>
      <c r="M11941" s="79"/>
      <c r="N11941" s="1"/>
      <c r="O11941" s="1"/>
      <c r="P11941" s="1"/>
      <c r="Q11941" s="1"/>
      <c r="R11941" s="1"/>
      <c r="S11941" s="1"/>
      <c r="T11941" s="1"/>
      <c r="U11941" s="1"/>
      <c r="V11941" s="1"/>
      <c r="W11941" s="1"/>
      <c r="X11941" s="1"/>
      <c r="Y11941" s="1"/>
      <c r="Z11941" s="1"/>
      <c r="AA11941" s="1"/>
      <c r="AB11941" s="1"/>
      <c r="AC11941" s="1"/>
      <c r="AD11941" s="1"/>
      <c r="AE11941" s="1"/>
      <c r="AF11941" s="1"/>
      <c r="AG11941" s="1"/>
      <c r="AH11941" s="1"/>
    </row>
    <row r="11942" ht="12.75" customHeight="1">
      <c r="A11942" s="17"/>
      <c r="B11942" s="1"/>
      <c r="C11942" s="1"/>
      <c r="D11942" s="150"/>
      <c r="E11942" s="150"/>
      <c r="F11942" s="75"/>
      <c r="G11942" s="67"/>
      <c r="H11942" s="68"/>
      <c r="I11942" s="76"/>
      <c r="J11942" s="67"/>
      <c r="K11942" s="1"/>
      <c r="L11942" s="77"/>
      <c r="M11942" s="79"/>
      <c r="N11942" s="1"/>
      <c r="O11942" s="1"/>
      <c r="P11942" s="1"/>
      <c r="Q11942" s="1"/>
      <c r="R11942" s="1"/>
      <c r="S11942" s="1"/>
      <c r="T11942" s="1"/>
      <c r="U11942" s="1"/>
      <c r="V11942" s="1"/>
      <c r="W11942" s="1"/>
      <c r="X11942" s="1"/>
      <c r="Y11942" s="1"/>
      <c r="Z11942" s="1"/>
      <c r="AA11942" s="1"/>
      <c r="AB11942" s="1"/>
      <c r="AC11942" s="1"/>
      <c r="AD11942" s="1"/>
      <c r="AE11942" s="1"/>
      <c r="AF11942" s="1"/>
      <c r="AG11942" s="1"/>
      <c r="AH11942" s="1"/>
    </row>
    <row r="11943" ht="12.75" customHeight="1">
      <c r="A11943" s="17"/>
      <c r="B11943" s="1"/>
      <c r="C11943" s="1"/>
      <c r="D11943" s="150"/>
      <c r="E11943" s="150"/>
      <c r="F11943" s="75"/>
      <c r="G11943" s="67"/>
      <c r="H11943" s="68"/>
      <c r="I11943" s="76"/>
      <c r="J11943" s="67"/>
      <c r="K11943" s="1"/>
      <c r="L11943" s="77"/>
      <c r="M11943" s="79"/>
      <c r="N11943" s="1"/>
      <c r="O11943" s="1"/>
      <c r="P11943" s="1"/>
      <c r="Q11943" s="1"/>
      <c r="R11943" s="1"/>
      <c r="S11943" s="1"/>
      <c r="T11943" s="1"/>
      <c r="U11943" s="1"/>
      <c r="V11943" s="1"/>
      <c r="W11943" s="1"/>
      <c r="X11943" s="1"/>
      <c r="Y11943" s="1"/>
      <c r="Z11943" s="1"/>
      <c r="AA11943" s="1"/>
      <c r="AB11943" s="1"/>
      <c r="AC11943" s="1"/>
      <c r="AD11943" s="1"/>
      <c r="AE11943" s="1"/>
      <c r="AF11943" s="1"/>
      <c r="AG11943" s="1"/>
      <c r="AH11943" s="1"/>
    </row>
    <row r="11944" ht="12.75" customHeight="1">
      <c r="A11944" s="17"/>
      <c r="B11944" s="1"/>
      <c r="C11944" s="1"/>
      <c r="D11944" s="150"/>
      <c r="E11944" s="150"/>
      <c r="F11944" s="75"/>
      <c r="G11944" s="67"/>
      <c r="H11944" s="68"/>
      <c r="I11944" s="76"/>
      <c r="J11944" s="67"/>
      <c r="K11944" s="1"/>
      <c r="L11944" s="77"/>
      <c r="M11944" s="79"/>
      <c r="N11944" s="1"/>
      <c r="O11944" s="1"/>
      <c r="P11944" s="1"/>
      <c r="Q11944" s="1"/>
      <c r="R11944" s="1"/>
      <c r="S11944" s="1"/>
      <c r="T11944" s="1"/>
      <c r="U11944" s="1"/>
      <c r="V11944" s="1"/>
      <c r="W11944" s="1"/>
      <c r="X11944" s="1"/>
      <c r="Y11944" s="1"/>
      <c r="Z11944" s="1"/>
      <c r="AA11944" s="1"/>
      <c r="AB11944" s="1"/>
      <c r="AC11944" s="1"/>
      <c r="AD11944" s="1"/>
      <c r="AE11944" s="1"/>
      <c r="AF11944" s="1"/>
      <c r="AG11944" s="1"/>
      <c r="AH11944" s="1"/>
    </row>
    <row r="11945" ht="12.75" customHeight="1">
      <c r="A11945" s="17"/>
      <c r="B11945" s="1"/>
      <c r="C11945" s="1"/>
      <c r="D11945" s="150"/>
      <c r="E11945" s="150"/>
      <c r="F11945" s="75"/>
      <c r="G11945" s="67"/>
      <c r="H11945" s="68"/>
      <c r="I11945" s="76"/>
      <c r="J11945" s="67"/>
      <c r="K11945" s="1"/>
      <c r="L11945" s="77"/>
      <c r="M11945" s="79"/>
      <c r="N11945" s="1"/>
      <c r="O11945" s="1"/>
      <c r="P11945" s="1"/>
      <c r="Q11945" s="1"/>
      <c r="R11945" s="1"/>
      <c r="S11945" s="1"/>
      <c r="T11945" s="1"/>
      <c r="U11945" s="1"/>
      <c r="V11945" s="1"/>
      <c r="W11945" s="1"/>
      <c r="X11945" s="1"/>
      <c r="Y11945" s="1"/>
      <c r="Z11945" s="1"/>
      <c r="AA11945" s="1"/>
      <c r="AB11945" s="1"/>
      <c r="AC11945" s="1"/>
      <c r="AD11945" s="1"/>
      <c r="AE11945" s="1"/>
      <c r="AF11945" s="1"/>
      <c r="AG11945" s="1"/>
      <c r="AH11945" s="1"/>
    </row>
    <row r="11946" ht="12.75" customHeight="1">
      <c r="A11946" s="17"/>
      <c r="B11946" s="1"/>
      <c r="C11946" s="1"/>
      <c r="D11946" s="150"/>
      <c r="E11946" s="150"/>
      <c r="F11946" s="75"/>
      <c r="G11946" s="67"/>
      <c r="H11946" s="68"/>
      <c r="I11946" s="76"/>
      <c r="J11946" s="67"/>
      <c r="K11946" s="1"/>
      <c r="L11946" s="77"/>
      <c r="M11946" s="79"/>
      <c r="N11946" s="1"/>
      <c r="O11946" s="1"/>
      <c r="P11946" s="1"/>
      <c r="Q11946" s="1"/>
      <c r="R11946" s="1"/>
      <c r="S11946" s="1"/>
      <c r="T11946" s="1"/>
      <c r="U11946" s="1"/>
      <c r="V11946" s="1"/>
      <c r="W11946" s="1"/>
      <c r="X11946" s="1"/>
      <c r="Y11946" s="1"/>
      <c r="Z11946" s="1"/>
      <c r="AA11946" s="1"/>
      <c r="AB11946" s="1"/>
      <c r="AC11946" s="1"/>
      <c r="AD11946" s="1"/>
      <c r="AE11946" s="1"/>
      <c r="AF11946" s="1"/>
      <c r="AG11946" s="1"/>
      <c r="AH11946" s="1"/>
    </row>
    <row r="11947" ht="12.75" customHeight="1">
      <c r="A11947" s="17"/>
      <c r="B11947" s="1"/>
      <c r="C11947" s="1"/>
      <c r="D11947" s="150"/>
      <c r="E11947" s="150"/>
      <c r="F11947" s="75"/>
      <c r="G11947" s="67"/>
      <c r="H11947" s="68"/>
      <c r="I11947" s="76"/>
      <c r="J11947" s="67"/>
      <c r="K11947" s="1"/>
      <c r="L11947" s="77"/>
      <c r="M11947" s="79"/>
      <c r="N11947" s="1"/>
      <c r="O11947" s="1"/>
      <c r="P11947" s="1"/>
      <c r="Q11947" s="1"/>
      <c r="R11947" s="1"/>
      <c r="S11947" s="1"/>
      <c r="T11947" s="1"/>
      <c r="U11947" s="1"/>
      <c r="V11947" s="1"/>
      <c r="W11947" s="1"/>
      <c r="X11947" s="1"/>
      <c r="Y11947" s="1"/>
      <c r="Z11947" s="1"/>
      <c r="AA11947" s="1"/>
      <c r="AB11947" s="1"/>
      <c r="AC11947" s="1"/>
      <c r="AD11947" s="1"/>
      <c r="AE11947" s="1"/>
      <c r="AF11947" s="1"/>
      <c r="AG11947" s="1"/>
      <c r="AH11947" s="1"/>
    </row>
    <row r="11948" ht="12.75" customHeight="1">
      <c r="A11948" s="17"/>
      <c r="B11948" s="1"/>
      <c r="C11948" s="1"/>
      <c r="D11948" s="150"/>
      <c r="E11948" s="150"/>
      <c r="F11948" s="75"/>
      <c r="G11948" s="67"/>
      <c r="H11948" s="68"/>
      <c r="I11948" s="76"/>
      <c r="J11948" s="67"/>
      <c r="K11948" s="1"/>
      <c r="L11948" s="77"/>
      <c r="M11948" s="79"/>
      <c r="N11948" s="1"/>
      <c r="O11948" s="1"/>
      <c r="P11948" s="1"/>
      <c r="Q11948" s="1"/>
      <c r="R11948" s="1"/>
      <c r="S11948" s="1"/>
      <c r="T11948" s="1"/>
      <c r="U11948" s="1"/>
      <c r="V11948" s="1"/>
      <c r="W11948" s="1"/>
      <c r="X11948" s="1"/>
      <c r="Y11948" s="1"/>
      <c r="Z11948" s="1"/>
      <c r="AA11948" s="1"/>
      <c r="AB11948" s="1"/>
      <c r="AC11948" s="1"/>
      <c r="AD11948" s="1"/>
      <c r="AE11948" s="1"/>
      <c r="AF11948" s="1"/>
      <c r="AG11948" s="1"/>
      <c r="AH11948" s="1"/>
    </row>
    <row r="11949" ht="12.75" customHeight="1">
      <c r="A11949" s="17"/>
      <c r="B11949" s="1"/>
      <c r="C11949" s="1"/>
      <c r="D11949" s="150"/>
      <c r="E11949" s="150"/>
      <c r="F11949" s="75"/>
      <c r="G11949" s="67"/>
      <c r="H11949" s="68"/>
      <c r="I11949" s="76"/>
      <c r="J11949" s="67"/>
      <c r="K11949" s="1"/>
      <c r="L11949" s="77"/>
      <c r="M11949" s="79"/>
      <c r="N11949" s="1"/>
      <c r="O11949" s="1"/>
      <c r="P11949" s="1"/>
      <c r="Q11949" s="1"/>
      <c r="R11949" s="1"/>
      <c r="S11949" s="1"/>
      <c r="T11949" s="1"/>
      <c r="U11949" s="1"/>
      <c r="V11949" s="1"/>
      <c r="W11949" s="1"/>
      <c r="X11949" s="1"/>
      <c r="Y11949" s="1"/>
      <c r="Z11949" s="1"/>
      <c r="AA11949" s="1"/>
      <c r="AB11949" s="1"/>
      <c r="AC11949" s="1"/>
      <c r="AD11949" s="1"/>
      <c r="AE11949" s="1"/>
      <c r="AF11949" s="1"/>
      <c r="AG11949" s="1"/>
      <c r="AH11949" s="1"/>
    </row>
    <row r="11950" ht="12.75" customHeight="1">
      <c r="A11950" s="17"/>
      <c r="B11950" s="1"/>
      <c r="C11950" s="1"/>
      <c r="D11950" s="150"/>
      <c r="E11950" s="150"/>
      <c r="F11950" s="75"/>
      <c r="G11950" s="67"/>
      <c r="H11950" s="68"/>
      <c r="I11950" s="76"/>
      <c r="J11950" s="67"/>
      <c r="K11950" s="1"/>
      <c r="L11950" s="77"/>
      <c r="M11950" s="79"/>
      <c r="N11950" s="1"/>
      <c r="O11950" s="1"/>
      <c r="P11950" s="1"/>
      <c r="Q11950" s="1"/>
      <c r="R11950" s="1"/>
      <c r="S11950" s="1"/>
      <c r="T11950" s="1"/>
      <c r="U11950" s="1"/>
      <c r="V11950" s="1"/>
      <c r="W11950" s="1"/>
      <c r="X11950" s="1"/>
      <c r="Y11950" s="1"/>
      <c r="Z11950" s="1"/>
      <c r="AA11950" s="1"/>
      <c r="AB11950" s="1"/>
      <c r="AC11950" s="1"/>
      <c r="AD11950" s="1"/>
      <c r="AE11950" s="1"/>
      <c r="AF11950" s="1"/>
      <c r="AG11950" s="1"/>
      <c r="AH11950" s="1"/>
    </row>
    <row r="11951" ht="12.75" customHeight="1">
      <c r="A11951" s="17"/>
      <c r="B11951" s="1"/>
      <c r="C11951" s="1"/>
      <c r="D11951" s="150"/>
      <c r="E11951" s="150"/>
      <c r="F11951" s="75"/>
      <c r="G11951" s="67"/>
      <c r="H11951" s="68"/>
      <c r="I11951" s="76"/>
      <c r="J11951" s="67"/>
      <c r="K11951" s="1"/>
      <c r="L11951" s="77"/>
      <c r="M11951" s="79"/>
      <c r="N11951" s="1"/>
      <c r="O11951" s="1"/>
      <c r="P11951" s="1"/>
      <c r="Q11951" s="1"/>
      <c r="R11951" s="1"/>
      <c r="S11951" s="1"/>
      <c r="T11951" s="1"/>
      <c r="U11951" s="1"/>
      <c r="V11951" s="1"/>
      <c r="W11951" s="1"/>
      <c r="X11951" s="1"/>
      <c r="Y11951" s="1"/>
      <c r="Z11951" s="1"/>
      <c r="AA11951" s="1"/>
      <c r="AB11951" s="1"/>
      <c r="AC11951" s="1"/>
      <c r="AD11951" s="1"/>
      <c r="AE11951" s="1"/>
      <c r="AF11951" s="1"/>
      <c r="AG11951" s="1"/>
      <c r="AH11951" s="1"/>
    </row>
    <row r="11952" ht="12.75" customHeight="1">
      <c r="A11952" s="17"/>
      <c r="B11952" s="1"/>
      <c r="C11952" s="1"/>
      <c r="D11952" s="150"/>
      <c r="E11952" s="150"/>
      <c r="F11952" s="75"/>
      <c r="G11952" s="67"/>
      <c r="H11952" s="68"/>
      <c r="I11952" s="76"/>
      <c r="J11952" s="67"/>
      <c r="K11952" s="1"/>
      <c r="L11952" s="77"/>
      <c r="M11952" s="79"/>
      <c r="N11952" s="1"/>
      <c r="O11952" s="1"/>
      <c r="P11952" s="1"/>
      <c r="Q11952" s="1"/>
      <c r="R11952" s="1"/>
      <c r="S11952" s="1"/>
      <c r="T11952" s="1"/>
      <c r="U11952" s="1"/>
      <c r="V11952" s="1"/>
      <c r="W11952" s="1"/>
      <c r="X11952" s="1"/>
      <c r="Y11952" s="1"/>
      <c r="Z11952" s="1"/>
      <c r="AA11952" s="1"/>
      <c r="AB11952" s="1"/>
      <c r="AC11952" s="1"/>
      <c r="AD11952" s="1"/>
      <c r="AE11952" s="1"/>
      <c r="AF11952" s="1"/>
      <c r="AG11952" s="1"/>
      <c r="AH11952" s="1"/>
    </row>
    <row r="11953" ht="12.75" customHeight="1">
      <c r="A11953" s="17"/>
      <c r="B11953" s="1"/>
      <c r="C11953" s="1"/>
      <c r="D11953" s="150"/>
      <c r="E11953" s="150"/>
      <c r="F11953" s="75"/>
      <c r="G11953" s="67"/>
      <c r="H11953" s="68"/>
      <c r="I11953" s="76"/>
      <c r="J11953" s="67"/>
      <c r="K11953" s="1"/>
      <c r="L11953" s="77"/>
      <c r="M11953" s="79"/>
      <c r="N11953" s="1"/>
      <c r="O11953" s="1"/>
      <c r="P11953" s="1"/>
      <c r="Q11953" s="1"/>
      <c r="R11953" s="1"/>
      <c r="S11953" s="1"/>
      <c r="T11953" s="1"/>
      <c r="U11953" s="1"/>
      <c r="V11953" s="1"/>
      <c r="W11953" s="1"/>
      <c r="X11953" s="1"/>
      <c r="Y11953" s="1"/>
      <c r="Z11953" s="1"/>
      <c r="AA11953" s="1"/>
      <c r="AB11953" s="1"/>
      <c r="AC11953" s="1"/>
      <c r="AD11953" s="1"/>
      <c r="AE11953" s="1"/>
      <c r="AF11953" s="1"/>
      <c r="AG11953" s="1"/>
      <c r="AH11953" s="1"/>
    </row>
    <row r="11954" ht="12.75" customHeight="1">
      <c r="A11954" s="17"/>
      <c r="B11954" s="1"/>
      <c r="C11954" s="1"/>
      <c r="D11954" s="150"/>
      <c r="E11954" s="150"/>
      <c r="F11954" s="75"/>
      <c r="G11954" s="67"/>
      <c r="H11954" s="68"/>
      <c r="I11954" s="76"/>
      <c r="J11954" s="67"/>
      <c r="K11954" s="1"/>
      <c r="L11954" s="77"/>
      <c r="M11954" s="79"/>
      <c r="N11954" s="1"/>
      <c r="O11954" s="1"/>
      <c r="P11954" s="1"/>
      <c r="Q11954" s="1"/>
      <c r="R11954" s="1"/>
      <c r="S11954" s="1"/>
      <c r="T11954" s="1"/>
      <c r="U11954" s="1"/>
      <c r="V11954" s="1"/>
      <c r="W11954" s="1"/>
      <c r="X11954" s="1"/>
      <c r="Y11954" s="1"/>
      <c r="Z11954" s="1"/>
      <c r="AA11954" s="1"/>
      <c r="AB11954" s="1"/>
      <c r="AC11954" s="1"/>
      <c r="AD11954" s="1"/>
      <c r="AE11954" s="1"/>
      <c r="AF11954" s="1"/>
      <c r="AG11954" s="1"/>
      <c r="AH11954" s="1"/>
    </row>
    <row r="11955" ht="12.75" customHeight="1">
      <c r="A11955" s="17"/>
      <c r="B11955" s="1"/>
      <c r="C11955" s="1"/>
      <c r="D11955" s="150"/>
      <c r="E11955" s="150"/>
      <c r="F11955" s="75"/>
      <c r="G11955" s="67"/>
      <c r="H11955" s="68"/>
      <c r="I11955" s="76"/>
      <c r="J11955" s="67"/>
      <c r="K11955" s="1"/>
      <c r="L11955" s="77"/>
      <c r="M11955" s="79"/>
      <c r="N11955" s="1"/>
      <c r="O11955" s="1"/>
      <c r="P11955" s="1"/>
      <c r="Q11955" s="1"/>
      <c r="R11955" s="1"/>
      <c r="S11955" s="1"/>
      <c r="T11955" s="1"/>
      <c r="U11955" s="1"/>
      <c r="V11955" s="1"/>
      <c r="W11955" s="1"/>
      <c r="X11955" s="1"/>
      <c r="Y11955" s="1"/>
      <c r="Z11955" s="1"/>
      <c r="AA11955" s="1"/>
      <c r="AB11955" s="1"/>
      <c r="AC11955" s="1"/>
      <c r="AD11955" s="1"/>
      <c r="AE11955" s="1"/>
      <c r="AF11955" s="1"/>
      <c r="AG11955" s="1"/>
      <c r="AH11955" s="1"/>
    </row>
    <row r="11956" ht="12.75" customHeight="1">
      <c r="A11956" s="17"/>
      <c r="B11956" s="1"/>
      <c r="C11956" s="1"/>
      <c r="D11956" s="150"/>
      <c r="E11956" s="150"/>
      <c r="F11956" s="75"/>
      <c r="G11956" s="67"/>
      <c r="H11956" s="68"/>
      <c r="I11956" s="76"/>
      <c r="J11956" s="67"/>
      <c r="K11956" s="1"/>
      <c r="L11956" s="77"/>
      <c r="M11956" s="79"/>
      <c r="N11956" s="1"/>
      <c r="O11956" s="1"/>
      <c r="P11956" s="1"/>
      <c r="Q11956" s="1"/>
      <c r="R11956" s="1"/>
      <c r="S11956" s="1"/>
      <c r="T11956" s="1"/>
      <c r="U11956" s="1"/>
      <c r="V11956" s="1"/>
      <c r="W11956" s="1"/>
      <c r="X11956" s="1"/>
      <c r="Y11956" s="1"/>
      <c r="Z11956" s="1"/>
      <c r="AA11956" s="1"/>
      <c r="AB11956" s="1"/>
      <c r="AC11956" s="1"/>
      <c r="AD11956" s="1"/>
      <c r="AE11956" s="1"/>
      <c r="AF11956" s="1"/>
      <c r="AG11956" s="1"/>
      <c r="AH11956" s="1"/>
    </row>
    <row r="11957" ht="12.75" customHeight="1">
      <c r="A11957" s="17"/>
      <c r="B11957" s="1"/>
      <c r="C11957" s="1"/>
      <c r="D11957" s="150"/>
      <c r="E11957" s="150"/>
      <c r="F11957" s="75"/>
      <c r="G11957" s="67"/>
      <c r="H11957" s="68"/>
      <c r="I11957" s="76"/>
      <c r="J11957" s="67"/>
      <c r="K11957" s="1"/>
      <c r="L11957" s="77"/>
      <c r="M11957" s="79"/>
      <c r="N11957" s="1"/>
      <c r="O11957" s="1"/>
      <c r="P11957" s="1"/>
      <c r="Q11957" s="1"/>
      <c r="R11957" s="1"/>
      <c r="S11957" s="1"/>
      <c r="T11957" s="1"/>
      <c r="U11957" s="1"/>
      <c r="V11957" s="1"/>
      <c r="W11957" s="1"/>
      <c r="X11957" s="1"/>
      <c r="Y11957" s="1"/>
      <c r="Z11957" s="1"/>
      <c r="AA11957" s="1"/>
      <c r="AB11957" s="1"/>
      <c r="AC11957" s="1"/>
      <c r="AD11957" s="1"/>
      <c r="AE11957" s="1"/>
      <c r="AF11957" s="1"/>
      <c r="AG11957" s="1"/>
      <c r="AH11957" s="1"/>
    </row>
    <row r="11958" ht="12.75" customHeight="1">
      <c r="A11958" s="17"/>
      <c r="B11958" s="1"/>
      <c r="C11958" s="1"/>
      <c r="D11958" s="150"/>
      <c r="E11958" s="150"/>
      <c r="F11958" s="75"/>
      <c r="G11958" s="67"/>
      <c r="H11958" s="68"/>
      <c r="I11958" s="76"/>
      <c r="J11958" s="67"/>
      <c r="K11958" s="1"/>
      <c r="L11958" s="77"/>
      <c r="M11958" s="79"/>
      <c r="N11958" s="1"/>
      <c r="O11958" s="1"/>
      <c r="P11958" s="1"/>
      <c r="Q11958" s="1"/>
      <c r="R11958" s="1"/>
      <c r="S11958" s="1"/>
      <c r="T11958" s="1"/>
      <c r="U11958" s="1"/>
      <c r="V11958" s="1"/>
      <c r="W11958" s="1"/>
      <c r="X11958" s="1"/>
      <c r="Y11958" s="1"/>
      <c r="Z11958" s="1"/>
      <c r="AA11958" s="1"/>
      <c r="AB11958" s="1"/>
      <c r="AC11958" s="1"/>
      <c r="AD11958" s="1"/>
      <c r="AE11958" s="1"/>
      <c r="AF11958" s="1"/>
      <c r="AG11958" s="1"/>
      <c r="AH11958" s="1"/>
    </row>
    <row r="11959" ht="12.75" customHeight="1">
      <c r="A11959" s="17"/>
      <c r="B11959" s="1"/>
      <c r="C11959" s="1"/>
      <c r="D11959" s="150"/>
      <c r="E11959" s="150"/>
      <c r="F11959" s="75"/>
      <c r="G11959" s="67"/>
      <c r="H11959" s="68"/>
      <c r="I11959" s="76"/>
      <c r="J11959" s="67"/>
      <c r="K11959" s="1"/>
      <c r="L11959" s="77"/>
      <c r="M11959" s="79"/>
      <c r="N11959" s="1"/>
      <c r="O11959" s="1"/>
      <c r="P11959" s="1"/>
      <c r="Q11959" s="1"/>
      <c r="R11959" s="1"/>
      <c r="S11959" s="1"/>
      <c r="T11959" s="1"/>
      <c r="U11959" s="1"/>
      <c r="V11959" s="1"/>
      <c r="W11959" s="1"/>
      <c r="X11959" s="1"/>
      <c r="Y11959" s="1"/>
      <c r="Z11959" s="1"/>
      <c r="AA11959" s="1"/>
      <c r="AB11959" s="1"/>
      <c r="AC11959" s="1"/>
      <c r="AD11959" s="1"/>
      <c r="AE11959" s="1"/>
      <c r="AF11959" s="1"/>
      <c r="AG11959" s="1"/>
      <c r="AH11959" s="1"/>
    </row>
    <row r="11960" ht="12.75" customHeight="1">
      <c r="A11960" s="17"/>
      <c r="B11960" s="1"/>
      <c r="C11960" s="1"/>
      <c r="D11960" s="150"/>
      <c r="E11960" s="150"/>
      <c r="F11960" s="75"/>
      <c r="G11960" s="67"/>
      <c r="H11960" s="68"/>
      <c r="I11960" s="76"/>
      <c r="J11960" s="67"/>
      <c r="K11960" s="1"/>
      <c r="L11960" s="77"/>
      <c r="M11960" s="79"/>
      <c r="N11960" s="1"/>
      <c r="O11960" s="1"/>
      <c r="P11960" s="1"/>
      <c r="Q11960" s="1"/>
      <c r="R11960" s="1"/>
      <c r="S11960" s="1"/>
      <c r="T11960" s="1"/>
      <c r="U11960" s="1"/>
      <c r="V11960" s="1"/>
      <c r="W11960" s="1"/>
      <c r="X11960" s="1"/>
      <c r="Y11960" s="1"/>
      <c r="Z11960" s="1"/>
      <c r="AA11960" s="1"/>
      <c r="AB11960" s="1"/>
      <c r="AC11960" s="1"/>
      <c r="AD11960" s="1"/>
      <c r="AE11960" s="1"/>
      <c r="AF11960" s="1"/>
      <c r="AG11960" s="1"/>
      <c r="AH11960" s="1"/>
    </row>
    <row r="11961" ht="12.75" customHeight="1">
      <c r="A11961" s="17"/>
      <c r="B11961" s="1"/>
      <c r="C11961" s="1"/>
      <c r="D11961" s="150"/>
      <c r="E11961" s="150"/>
      <c r="F11961" s="75"/>
      <c r="G11961" s="67"/>
      <c r="H11961" s="68"/>
      <c r="I11961" s="76"/>
      <c r="J11961" s="67"/>
      <c r="K11961" s="1"/>
      <c r="L11961" s="77"/>
      <c r="M11961" s="79"/>
      <c r="N11961" s="1"/>
      <c r="O11961" s="1"/>
      <c r="P11961" s="1"/>
      <c r="Q11961" s="1"/>
      <c r="R11961" s="1"/>
      <c r="S11961" s="1"/>
      <c r="T11961" s="1"/>
      <c r="U11961" s="1"/>
      <c r="V11961" s="1"/>
      <c r="W11961" s="1"/>
      <c r="X11961" s="1"/>
      <c r="Y11961" s="1"/>
      <c r="Z11961" s="1"/>
      <c r="AA11961" s="1"/>
      <c r="AB11961" s="1"/>
      <c r="AC11961" s="1"/>
      <c r="AD11961" s="1"/>
      <c r="AE11961" s="1"/>
      <c r="AF11961" s="1"/>
      <c r="AG11961" s="1"/>
      <c r="AH11961" s="1"/>
    </row>
    <row r="11962" ht="12.75" customHeight="1">
      <c r="A11962" s="17"/>
      <c r="B11962" s="1"/>
      <c r="C11962" s="1"/>
      <c r="D11962" s="150"/>
      <c r="E11962" s="150"/>
      <c r="F11962" s="75"/>
      <c r="G11962" s="67"/>
      <c r="H11962" s="68"/>
      <c r="I11962" s="76"/>
      <c r="J11962" s="67"/>
      <c r="K11962" s="1"/>
      <c r="L11962" s="77"/>
      <c r="M11962" s="79"/>
      <c r="N11962" s="1"/>
      <c r="O11962" s="1"/>
      <c r="P11962" s="1"/>
      <c r="Q11962" s="1"/>
      <c r="R11962" s="1"/>
      <c r="S11962" s="1"/>
      <c r="T11962" s="1"/>
      <c r="U11962" s="1"/>
      <c r="V11962" s="1"/>
      <c r="W11962" s="1"/>
      <c r="X11962" s="1"/>
      <c r="Y11962" s="1"/>
      <c r="Z11962" s="1"/>
      <c r="AA11962" s="1"/>
      <c r="AB11962" s="1"/>
      <c r="AC11962" s="1"/>
      <c r="AD11962" s="1"/>
      <c r="AE11962" s="1"/>
      <c r="AF11962" s="1"/>
      <c r="AG11962" s="1"/>
      <c r="AH11962" s="1"/>
    </row>
    <row r="11963" ht="12.75" customHeight="1">
      <c r="A11963" s="17"/>
      <c r="B11963" s="1"/>
      <c r="C11963" s="1"/>
      <c r="D11963" s="150"/>
      <c r="E11963" s="150"/>
      <c r="F11963" s="75"/>
      <c r="G11963" s="67"/>
      <c r="H11963" s="68"/>
      <c r="I11963" s="76"/>
      <c r="J11963" s="67"/>
      <c r="K11963" s="1"/>
      <c r="L11963" s="77"/>
      <c r="M11963" s="79"/>
      <c r="N11963" s="1"/>
      <c r="O11963" s="1"/>
      <c r="P11963" s="1"/>
      <c r="Q11963" s="1"/>
      <c r="R11963" s="1"/>
      <c r="S11963" s="1"/>
      <c r="T11963" s="1"/>
      <c r="U11963" s="1"/>
      <c r="V11963" s="1"/>
      <c r="W11963" s="1"/>
      <c r="X11963" s="1"/>
      <c r="Y11963" s="1"/>
      <c r="Z11963" s="1"/>
      <c r="AA11963" s="1"/>
      <c r="AB11963" s="1"/>
      <c r="AC11963" s="1"/>
      <c r="AD11963" s="1"/>
      <c r="AE11963" s="1"/>
      <c r="AF11963" s="1"/>
      <c r="AG11963" s="1"/>
      <c r="AH11963" s="1"/>
    </row>
    <row r="11964" ht="12.75" customHeight="1">
      <c r="A11964" s="17"/>
      <c r="B11964" s="1"/>
      <c r="C11964" s="1"/>
      <c r="D11964" s="150"/>
      <c r="E11964" s="150"/>
      <c r="F11964" s="75"/>
      <c r="G11964" s="67"/>
      <c r="H11964" s="68"/>
      <c r="I11964" s="76"/>
      <c r="J11964" s="67"/>
      <c r="K11964" s="1"/>
      <c r="L11964" s="77"/>
      <c r="M11964" s="79"/>
      <c r="N11964" s="1"/>
      <c r="O11964" s="1"/>
      <c r="P11964" s="1"/>
      <c r="Q11964" s="1"/>
      <c r="R11964" s="1"/>
      <c r="S11964" s="1"/>
      <c r="T11964" s="1"/>
      <c r="U11964" s="1"/>
      <c r="V11964" s="1"/>
      <c r="W11964" s="1"/>
      <c r="X11964" s="1"/>
      <c r="Y11964" s="1"/>
      <c r="Z11964" s="1"/>
      <c r="AA11964" s="1"/>
      <c r="AB11964" s="1"/>
      <c r="AC11964" s="1"/>
      <c r="AD11964" s="1"/>
      <c r="AE11964" s="1"/>
      <c r="AF11964" s="1"/>
      <c r="AG11964" s="1"/>
      <c r="AH11964" s="1"/>
    </row>
    <row r="11965" ht="12.75" customHeight="1">
      <c r="A11965" s="17"/>
      <c r="B11965" s="1"/>
      <c r="C11965" s="1"/>
      <c r="D11965" s="150"/>
      <c r="E11965" s="150"/>
      <c r="F11965" s="75"/>
      <c r="G11965" s="67"/>
      <c r="H11965" s="68"/>
      <c r="I11965" s="76"/>
      <c r="J11965" s="67"/>
      <c r="K11965" s="1"/>
      <c r="L11965" s="77"/>
      <c r="M11965" s="79"/>
      <c r="N11965" s="1"/>
      <c r="O11965" s="1"/>
      <c r="P11965" s="1"/>
      <c r="Q11965" s="1"/>
      <c r="R11965" s="1"/>
      <c r="S11965" s="1"/>
      <c r="T11965" s="1"/>
      <c r="U11965" s="1"/>
      <c r="V11965" s="1"/>
      <c r="W11965" s="1"/>
      <c r="X11965" s="1"/>
      <c r="Y11965" s="1"/>
      <c r="Z11965" s="1"/>
      <c r="AA11965" s="1"/>
      <c r="AB11965" s="1"/>
      <c r="AC11965" s="1"/>
      <c r="AD11965" s="1"/>
      <c r="AE11965" s="1"/>
      <c r="AF11965" s="1"/>
      <c r="AG11965" s="1"/>
      <c r="AH11965" s="1"/>
    </row>
    <row r="11966" ht="12.75" customHeight="1">
      <c r="A11966" s="17"/>
      <c r="B11966" s="1"/>
      <c r="C11966" s="1"/>
      <c r="D11966" s="150"/>
      <c r="E11966" s="150"/>
      <c r="F11966" s="75"/>
      <c r="G11966" s="67"/>
      <c r="H11966" s="68"/>
      <c r="I11966" s="76"/>
      <c r="J11966" s="67"/>
      <c r="K11966" s="1"/>
      <c r="L11966" s="77"/>
      <c r="M11966" s="79"/>
      <c r="N11966" s="1"/>
      <c r="O11966" s="1"/>
      <c r="P11966" s="1"/>
      <c r="Q11966" s="1"/>
      <c r="R11966" s="1"/>
      <c r="S11966" s="1"/>
      <c r="T11966" s="1"/>
      <c r="U11966" s="1"/>
      <c r="V11966" s="1"/>
      <c r="W11966" s="1"/>
      <c r="X11966" s="1"/>
      <c r="Y11966" s="1"/>
      <c r="Z11966" s="1"/>
      <c r="AA11966" s="1"/>
      <c r="AB11966" s="1"/>
      <c r="AC11966" s="1"/>
      <c r="AD11966" s="1"/>
      <c r="AE11966" s="1"/>
      <c r="AF11966" s="1"/>
      <c r="AG11966" s="1"/>
      <c r="AH11966" s="1"/>
    </row>
    <row r="11967" ht="12.75" customHeight="1">
      <c r="A11967" s="17"/>
      <c r="B11967" s="1"/>
      <c r="C11967" s="1"/>
      <c r="D11967" s="150"/>
      <c r="E11967" s="150"/>
      <c r="F11967" s="75"/>
      <c r="G11967" s="67"/>
      <c r="H11967" s="68"/>
      <c r="I11967" s="76"/>
      <c r="J11967" s="67"/>
      <c r="K11967" s="1"/>
      <c r="L11967" s="77"/>
      <c r="M11967" s="79"/>
      <c r="N11967" s="1"/>
      <c r="O11967" s="1"/>
      <c r="P11967" s="1"/>
      <c r="Q11967" s="1"/>
      <c r="R11967" s="1"/>
      <c r="S11967" s="1"/>
      <c r="T11967" s="1"/>
      <c r="U11967" s="1"/>
      <c r="V11967" s="1"/>
      <c r="W11967" s="1"/>
      <c r="X11967" s="1"/>
      <c r="Y11967" s="1"/>
      <c r="Z11967" s="1"/>
      <c r="AA11967" s="1"/>
      <c r="AB11967" s="1"/>
      <c r="AC11967" s="1"/>
      <c r="AD11967" s="1"/>
      <c r="AE11967" s="1"/>
      <c r="AF11967" s="1"/>
      <c r="AG11967" s="1"/>
      <c r="AH11967" s="1"/>
    </row>
    <row r="11968" ht="12.75" customHeight="1">
      <c r="A11968" s="17"/>
      <c r="B11968" s="1"/>
      <c r="C11968" s="1"/>
      <c r="D11968" s="150"/>
      <c r="E11968" s="150"/>
      <c r="F11968" s="75"/>
      <c r="G11968" s="67"/>
      <c r="H11968" s="68"/>
      <c r="I11968" s="76"/>
      <c r="J11968" s="67"/>
      <c r="K11968" s="1"/>
      <c r="L11968" s="77"/>
      <c r="M11968" s="79"/>
      <c r="N11968" s="1"/>
      <c r="O11968" s="1"/>
      <c r="P11968" s="1"/>
      <c r="Q11968" s="1"/>
      <c r="R11968" s="1"/>
      <c r="S11968" s="1"/>
      <c r="T11968" s="1"/>
      <c r="U11968" s="1"/>
      <c r="V11968" s="1"/>
      <c r="W11968" s="1"/>
      <c r="X11968" s="1"/>
      <c r="Y11968" s="1"/>
      <c r="Z11968" s="1"/>
      <c r="AA11968" s="1"/>
      <c r="AB11968" s="1"/>
      <c r="AC11968" s="1"/>
      <c r="AD11968" s="1"/>
      <c r="AE11968" s="1"/>
      <c r="AF11968" s="1"/>
      <c r="AG11968" s="1"/>
      <c r="AH11968" s="1"/>
    </row>
    <row r="11969" ht="12.75" customHeight="1">
      <c r="A11969" s="17"/>
      <c r="B11969" s="1"/>
      <c r="C11969" s="1"/>
      <c r="D11969" s="150"/>
      <c r="E11969" s="150"/>
      <c r="F11969" s="75"/>
      <c r="G11969" s="67"/>
      <c r="H11969" s="68"/>
      <c r="I11969" s="76"/>
      <c r="J11969" s="67"/>
      <c r="K11969" s="1"/>
      <c r="L11969" s="77"/>
      <c r="M11969" s="79"/>
      <c r="N11969" s="1"/>
      <c r="O11969" s="1"/>
      <c r="P11969" s="1"/>
      <c r="Q11969" s="1"/>
      <c r="R11969" s="1"/>
      <c r="S11969" s="1"/>
      <c r="T11969" s="1"/>
      <c r="U11969" s="1"/>
      <c r="V11969" s="1"/>
      <c r="W11969" s="1"/>
      <c r="X11969" s="1"/>
      <c r="Y11969" s="1"/>
      <c r="Z11969" s="1"/>
      <c r="AA11969" s="1"/>
      <c r="AB11969" s="1"/>
      <c r="AC11969" s="1"/>
      <c r="AD11969" s="1"/>
      <c r="AE11969" s="1"/>
      <c r="AF11969" s="1"/>
      <c r="AG11969" s="1"/>
      <c r="AH11969" s="1"/>
    </row>
    <row r="11970" ht="12.75" customHeight="1">
      <c r="A11970" s="17"/>
      <c r="B11970" s="1"/>
      <c r="C11970" s="1"/>
      <c r="D11970" s="150"/>
      <c r="E11970" s="150"/>
      <c r="F11970" s="75"/>
      <c r="G11970" s="67"/>
      <c r="H11970" s="68"/>
      <c r="I11970" s="76"/>
      <c r="J11970" s="67"/>
      <c r="K11970" s="1"/>
      <c r="L11970" s="77"/>
      <c r="M11970" s="79"/>
      <c r="N11970" s="1"/>
      <c r="O11970" s="1"/>
      <c r="P11970" s="1"/>
      <c r="Q11970" s="1"/>
      <c r="R11970" s="1"/>
      <c r="S11970" s="1"/>
      <c r="T11970" s="1"/>
      <c r="U11970" s="1"/>
      <c r="V11970" s="1"/>
      <c r="W11970" s="1"/>
      <c r="X11970" s="1"/>
      <c r="Y11970" s="1"/>
      <c r="Z11970" s="1"/>
      <c r="AA11970" s="1"/>
      <c r="AB11970" s="1"/>
      <c r="AC11970" s="1"/>
      <c r="AD11970" s="1"/>
      <c r="AE11970" s="1"/>
      <c r="AF11970" s="1"/>
      <c r="AG11970" s="1"/>
      <c r="AH11970" s="1"/>
    </row>
    <row r="11971" ht="12.75" customHeight="1">
      <c r="A11971" s="17"/>
      <c r="B11971" s="1"/>
      <c r="C11971" s="1"/>
      <c r="D11971" s="150"/>
      <c r="E11971" s="150"/>
      <c r="F11971" s="75"/>
      <c r="G11971" s="67"/>
      <c r="H11971" s="68"/>
      <c r="I11971" s="76"/>
      <c r="J11971" s="67"/>
      <c r="K11971" s="1"/>
      <c r="L11971" s="77"/>
      <c r="M11971" s="79"/>
      <c r="N11971" s="1"/>
      <c r="O11971" s="1"/>
      <c r="P11971" s="1"/>
      <c r="Q11971" s="1"/>
      <c r="R11971" s="1"/>
      <c r="S11971" s="1"/>
      <c r="T11971" s="1"/>
      <c r="U11971" s="1"/>
      <c r="V11971" s="1"/>
      <c r="W11971" s="1"/>
      <c r="X11971" s="1"/>
      <c r="Y11971" s="1"/>
      <c r="Z11971" s="1"/>
      <c r="AA11971" s="1"/>
      <c r="AB11971" s="1"/>
      <c r="AC11971" s="1"/>
      <c r="AD11971" s="1"/>
      <c r="AE11971" s="1"/>
      <c r="AF11971" s="1"/>
      <c r="AG11971" s="1"/>
      <c r="AH11971" s="1"/>
    </row>
    <row r="11972" ht="12.75" customHeight="1">
      <c r="A11972" s="17"/>
      <c r="B11972" s="1"/>
      <c r="C11972" s="1"/>
      <c r="D11972" s="150"/>
      <c r="E11972" s="150"/>
      <c r="F11972" s="75"/>
      <c r="G11972" s="67"/>
      <c r="H11972" s="68"/>
      <c r="I11972" s="76"/>
      <c r="J11972" s="67"/>
      <c r="K11972" s="1"/>
      <c r="L11972" s="77"/>
      <c r="M11972" s="79"/>
      <c r="N11972" s="1"/>
      <c r="O11972" s="1"/>
      <c r="P11972" s="1"/>
      <c r="Q11972" s="1"/>
      <c r="R11972" s="1"/>
      <c r="S11972" s="1"/>
      <c r="T11972" s="1"/>
      <c r="U11972" s="1"/>
      <c r="V11972" s="1"/>
      <c r="W11972" s="1"/>
      <c r="X11972" s="1"/>
      <c r="Y11972" s="1"/>
      <c r="Z11972" s="1"/>
      <c r="AA11972" s="1"/>
      <c r="AB11972" s="1"/>
      <c r="AC11972" s="1"/>
      <c r="AD11972" s="1"/>
      <c r="AE11972" s="1"/>
      <c r="AF11972" s="1"/>
      <c r="AG11972" s="1"/>
      <c r="AH11972" s="1"/>
    </row>
    <row r="11973" ht="12.75" customHeight="1">
      <c r="A11973" s="17"/>
      <c r="B11973" s="1"/>
      <c r="C11973" s="1"/>
      <c r="D11973" s="150"/>
      <c r="E11973" s="150"/>
      <c r="F11973" s="75"/>
      <c r="G11973" s="67"/>
      <c r="H11973" s="68"/>
      <c r="I11973" s="76"/>
      <c r="J11973" s="67"/>
      <c r="K11973" s="1"/>
      <c r="L11973" s="77"/>
      <c r="M11973" s="79"/>
      <c r="N11973" s="1"/>
      <c r="O11973" s="1"/>
      <c r="P11973" s="1"/>
      <c r="Q11973" s="1"/>
      <c r="R11973" s="1"/>
      <c r="S11973" s="1"/>
      <c r="T11973" s="1"/>
      <c r="U11973" s="1"/>
      <c r="V11973" s="1"/>
      <c r="W11973" s="1"/>
      <c r="X11973" s="1"/>
      <c r="Y11973" s="1"/>
      <c r="Z11973" s="1"/>
      <c r="AA11973" s="1"/>
      <c r="AB11973" s="1"/>
      <c r="AC11973" s="1"/>
      <c r="AD11973" s="1"/>
      <c r="AE11973" s="1"/>
      <c r="AF11973" s="1"/>
      <c r="AG11973" s="1"/>
      <c r="AH11973" s="1"/>
    </row>
    <row r="11974" ht="12.75" customHeight="1">
      <c r="A11974" s="17"/>
      <c r="B11974" s="1"/>
      <c r="C11974" s="1"/>
      <c r="D11974" s="150"/>
      <c r="E11974" s="150"/>
      <c r="F11974" s="75"/>
      <c r="G11974" s="67"/>
      <c r="H11974" s="68"/>
      <c r="I11974" s="76"/>
      <c r="J11974" s="67"/>
      <c r="K11974" s="1"/>
      <c r="L11974" s="77"/>
      <c r="M11974" s="79"/>
      <c r="N11974" s="1"/>
      <c r="O11974" s="1"/>
      <c r="P11974" s="1"/>
      <c r="Q11974" s="1"/>
      <c r="R11974" s="1"/>
      <c r="S11974" s="1"/>
      <c r="T11974" s="1"/>
      <c r="U11974" s="1"/>
      <c r="V11974" s="1"/>
      <c r="W11974" s="1"/>
      <c r="X11974" s="1"/>
      <c r="Y11974" s="1"/>
      <c r="Z11974" s="1"/>
      <c r="AA11974" s="1"/>
      <c r="AB11974" s="1"/>
      <c r="AC11974" s="1"/>
      <c r="AD11974" s="1"/>
      <c r="AE11974" s="1"/>
      <c r="AF11974" s="1"/>
      <c r="AG11974" s="1"/>
      <c r="AH11974" s="1"/>
    </row>
    <row r="11975" ht="12.75" customHeight="1">
      <c r="A11975" s="17"/>
      <c r="B11975" s="1"/>
      <c r="C11975" s="1"/>
      <c r="D11975" s="150"/>
      <c r="E11975" s="150"/>
      <c r="F11975" s="75"/>
      <c r="G11975" s="67"/>
      <c r="H11975" s="68"/>
      <c r="I11975" s="76"/>
      <c r="J11975" s="67"/>
      <c r="K11975" s="1"/>
      <c r="L11975" s="77"/>
      <c r="M11975" s="79"/>
      <c r="N11975" s="1"/>
      <c r="O11975" s="1"/>
      <c r="P11975" s="1"/>
      <c r="Q11975" s="1"/>
      <c r="R11975" s="1"/>
      <c r="S11975" s="1"/>
      <c r="T11975" s="1"/>
      <c r="U11975" s="1"/>
      <c r="V11975" s="1"/>
      <c r="W11975" s="1"/>
      <c r="X11975" s="1"/>
      <c r="Y11975" s="1"/>
      <c r="Z11975" s="1"/>
      <c r="AA11975" s="1"/>
      <c r="AB11975" s="1"/>
      <c r="AC11975" s="1"/>
      <c r="AD11975" s="1"/>
      <c r="AE11975" s="1"/>
      <c r="AF11975" s="1"/>
      <c r="AG11975" s="1"/>
      <c r="AH11975" s="1"/>
    </row>
    <row r="11976" ht="12.75" customHeight="1">
      <c r="A11976" s="17"/>
      <c r="B11976" s="1"/>
      <c r="C11976" s="1"/>
      <c r="D11976" s="150"/>
      <c r="E11976" s="150"/>
      <c r="F11976" s="75"/>
      <c r="G11976" s="67"/>
      <c r="H11976" s="68"/>
      <c r="I11976" s="76"/>
      <c r="J11976" s="67"/>
      <c r="K11976" s="1"/>
      <c r="L11976" s="77"/>
      <c r="M11976" s="79"/>
      <c r="N11976" s="1"/>
      <c r="O11976" s="1"/>
      <c r="P11976" s="1"/>
      <c r="Q11976" s="1"/>
      <c r="R11976" s="1"/>
      <c r="S11976" s="1"/>
      <c r="T11976" s="1"/>
      <c r="U11976" s="1"/>
      <c r="V11976" s="1"/>
      <c r="W11976" s="1"/>
      <c r="X11976" s="1"/>
      <c r="Y11976" s="1"/>
      <c r="Z11976" s="1"/>
      <c r="AA11976" s="1"/>
      <c r="AB11976" s="1"/>
      <c r="AC11976" s="1"/>
      <c r="AD11976" s="1"/>
      <c r="AE11976" s="1"/>
      <c r="AF11976" s="1"/>
      <c r="AG11976" s="1"/>
      <c r="AH11976" s="1"/>
    </row>
    <row r="11977" ht="12.75" customHeight="1">
      <c r="A11977" s="17"/>
      <c r="B11977" s="1"/>
      <c r="C11977" s="1"/>
      <c r="D11977" s="150"/>
      <c r="E11977" s="150"/>
      <c r="F11977" s="75"/>
      <c r="G11977" s="67"/>
      <c r="H11977" s="68"/>
      <c r="I11977" s="76"/>
      <c r="J11977" s="67"/>
      <c r="K11977" s="1"/>
      <c r="L11977" s="77"/>
      <c r="M11977" s="79"/>
      <c r="N11977" s="1"/>
      <c r="O11977" s="1"/>
      <c r="P11977" s="1"/>
      <c r="Q11977" s="1"/>
      <c r="R11977" s="1"/>
      <c r="S11977" s="1"/>
      <c r="T11977" s="1"/>
      <c r="U11977" s="1"/>
      <c r="V11977" s="1"/>
      <c r="W11977" s="1"/>
      <c r="X11977" s="1"/>
      <c r="Y11977" s="1"/>
      <c r="Z11977" s="1"/>
      <c r="AA11977" s="1"/>
      <c r="AB11977" s="1"/>
      <c r="AC11977" s="1"/>
      <c r="AD11977" s="1"/>
      <c r="AE11977" s="1"/>
      <c r="AF11977" s="1"/>
      <c r="AG11977" s="1"/>
      <c r="AH11977" s="1"/>
    </row>
    <row r="11978" ht="12.75" customHeight="1">
      <c r="A11978" s="17"/>
      <c r="B11978" s="1"/>
      <c r="C11978" s="1"/>
      <c r="D11978" s="150"/>
      <c r="E11978" s="150"/>
      <c r="F11978" s="75"/>
      <c r="G11978" s="67"/>
      <c r="H11978" s="68"/>
      <c r="I11978" s="76"/>
      <c r="J11978" s="67"/>
      <c r="K11978" s="1"/>
      <c r="L11978" s="77"/>
      <c r="M11978" s="79"/>
      <c r="N11978" s="1"/>
      <c r="O11978" s="1"/>
      <c r="P11978" s="1"/>
      <c r="Q11978" s="1"/>
      <c r="R11978" s="1"/>
      <c r="S11978" s="1"/>
      <c r="T11978" s="1"/>
      <c r="U11978" s="1"/>
      <c r="V11978" s="1"/>
      <c r="W11978" s="1"/>
      <c r="X11978" s="1"/>
      <c r="Y11978" s="1"/>
      <c r="Z11978" s="1"/>
      <c r="AA11978" s="1"/>
      <c r="AB11978" s="1"/>
      <c r="AC11978" s="1"/>
      <c r="AD11978" s="1"/>
      <c r="AE11978" s="1"/>
      <c r="AF11978" s="1"/>
      <c r="AG11978" s="1"/>
      <c r="AH11978" s="1"/>
    </row>
    <row r="11979" ht="12.75" customHeight="1">
      <c r="A11979" s="17"/>
      <c r="B11979" s="1"/>
      <c r="C11979" s="1"/>
      <c r="D11979" s="150"/>
      <c r="E11979" s="150"/>
      <c r="F11979" s="75"/>
      <c r="G11979" s="67"/>
      <c r="H11979" s="68"/>
      <c r="I11979" s="76"/>
      <c r="J11979" s="67"/>
      <c r="K11979" s="1"/>
      <c r="L11979" s="77"/>
      <c r="M11979" s="79"/>
      <c r="N11979" s="1"/>
      <c r="O11979" s="1"/>
      <c r="P11979" s="1"/>
      <c r="Q11979" s="1"/>
      <c r="R11979" s="1"/>
      <c r="S11979" s="1"/>
      <c r="T11979" s="1"/>
      <c r="U11979" s="1"/>
      <c r="V11979" s="1"/>
      <c r="W11979" s="1"/>
      <c r="X11979" s="1"/>
      <c r="Y11979" s="1"/>
      <c r="Z11979" s="1"/>
      <c r="AA11979" s="1"/>
      <c r="AB11979" s="1"/>
      <c r="AC11979" s="1"/>
      <c r="AD11979" s="1"/>
      <c r="AE11979" s="1"/>
      <c r="AF11979" s="1"/>
      <c r="AG11979" s="1"/>
      <c r="AH11979" s="1"/>
    </row>
    <row r="11980" ht="12.75" customHeight="1">
      <c r="A11980" s="17"/>
      <c r="B11980" s="1"/>
      <c r="C11980" s="1"/>
      <c r="D11980" s="150"/>
      <c r="E11980" s="150"/>
      <c r="F11980" s="75"/>
      <c r="G11980" s="67"/>
      <c r="H11980" s="68"/>
      <c r="I11980" s="76"/>
      <c r="J11980" s="67"/>
      <c r="K11980" s="1"/>
      <c r="L11980" s="77"/>
      <c r="M11980" s="79"/>
      <c r="N11980" s="1"/>
      <c r="O11980" s="1"/>
      <c r="P11980" s="1"/>
      <c r="Q11980" s="1"/>
      <c r="R11980" s="1"/>
      <c r="S11980" s="1"/>
      <c r="T11980" s="1"/>
      <c r="U11980" s="1"/>
      <c r="V11980" s="1"/>
      <c r="W11980" s="1"/>
      <c r="X11980" s="1"/>
      <c r="Y11980" s="1"/>
      <c r="Z11980" s="1"/>
      <c r="AA11980" s="1"/>
      <c r="AB11980" s="1"/>
      <c r="AC11980" s="1"/>
      <c r="AD11980" s="1"/>
      <c r="AE11980" s="1"/>
      <c r="AF11980" s="1"/>
      <c r="AG11980" s="1"/>
      <c r="AH11980" s="1"/>
    </row>
    <row r="11981" ht="12.75" customHeight="1">
      <c r="A11981" s="17"/>
      <c r="B11981" s="1"/>
      <c r="C11981" s="1"/>
      <c r="D11981" s="150"/>
      <c r="E11981" s="150"/>
      <c r="F11981" s="75"/>
      <c r="G11981" s="67"/>
      <c r="H11981" s="68"/>
      <c r="I11981" s="76"/>
      <c r="J11981" s="67"/>
      <c r="K11981" s="1"/>
      <c r="L11981" s="77"/>
      <c r="M11981" s="79"/>
      <c r="N11981" s="1"/>
      <c r="O11981" s="1"/>
      <c r="P11981" s="1"/>
      <c r="Q11981" s="1"/>
      <c r="R11981" s="1"/>
      <c r="S11981" s="1"/>
      <c r="T11981" s="1"/>
      <c r="U11981" s="1"/>
      <c r="V11981" s="1"/>
      <c r="W11981" s="1"/>
      <c r="X11981" s="1"/>
      <c r="Y11981" s="1"/>
      <c r="Z11981" s="1"/>
      <c r="AA11981" s="1"/>
      <c r="AB11981" s="1"/>
      <c r="AC11981" s="1"/>
      <c r="AD11981" s="1"/>
      <c r="AE11981" s="1"/>
      <c r="AF11981" s="1"/>
      <c r="AG11981" s="1"/>
      <c r="AH11981" s="1"/>
    </row>
    <row r="11982" ht="12.75" customHeight="1">
      <c r="A11982" s="17"/>
      <c r="B11982" s="1"/>
      <c r="C11982" s="1"/>
      <c r="D11982" s="150"/>
      <c r="E11982" s="150"/>
      <c r="F11982" s="75"/>
      <c r="G11982" s="67"/>
      <c r="H11982" s="68"/>
      <c r="I11982" s="76"/>
      <c r="J11982" s="67"/>
      <c r="K11982" s="1"/>
      <c r="L11982" s="77"/>
      <c r="M11982" s="79"/>
      <c r="N11982" s="1"/>
      <c r="O11982" s="1"/>
      <c r="P11982" s="1"/>
      <c r="Q11982" s="1"/>
      <c r="R11982" s="1"/>
      <c r="S11982" s="1"/>
      <c r="T11982" s="1"/>
      <c r="U11982" s="1"/>
      <c r="V11982" s="1"/>
      <c r="W11982" s="1"/>
      <c r="X11982" s="1"/>
      <c r="Y11982" s="1"/>
      <c r="Z11982" s="1"/>
      <c r="AA11982" s="1"/>
      <c r="AB11982" s="1"/>
      <c r="AC11982" s="1"/>
      <c r="AD11982" s="1"/>
      <c r="AE11982" s="1"/>
      <c r="AF11982" s="1"/>
      <c r="AG11982" s="1"/>
      <c r="AH11982" s="1"/>
    </row>
    <row r="11983" ht="12.75" customHeight="1">
      <c r="A11983" s="17"/>
      <c r="B11983" s="1"/>
      <c r="C11983" s="1"/>
      <c r="D11983" s="150"/>
      <c r="E11983" s="150"/>
      <c r="F11983" s="75"/>
      <c r="G11983" s="67"/>
      <c r="H11983" s="68"/>
      <c r="I11983" s="76"/>
      <c r="J11983" s="67"/>
      <c r="K11983" s="1"/>
      <c r="L11983" s="77"/>
      <c r="M11983" s="79"/>
      <c r="N11983" s="1"/>
      <c r="O11983" s="1"/>
      <c r="P11983" s="1"/>
      <c r="Q11983" s="1"/>
      <c r="R11983" s="1"/>
      <c r="S11983" s="1"/>
      <c r="T11983" s="1"/>
      <c r="U11983" s="1"/>
      <c r="V11983" s="1"/>
      <c r="W11983" s="1"/>
      <c r="X11983" s="1"/>
      <c r="Y11983" s="1"/>
      <c r="Z11983" s="1"/>
      <c r="AA11983" s="1"/>
      <c r="AB11983" s="1"/>
      <c r="AC11983" s="1"/>
      <c r="AD11983" s="1"/>
      <c r="AE11983" s="1"/>
      <c r="AF11983" s="1"/>
      <c r="AG11983" s="1"/>
      <c r="AH11983" s="1"/>
    </row>
    <row r="11984" ht="12.75" customHeight="1">
      <c r="A11984" s="17"/>
      <c r="B11984" s="1"/>
      <c r="C11984" s="1"/>
      <c r="D11984" s="150"/>
      <c r="E11984" s="150"/>
      <c r="F11984" s="75"/>
      <c r="G11984" s="67"/>
      <c r="H11984" s="68"/>
      <c r="I11984" s="76"/>
      <c r="J11984" s="67"/>
      <c r="K11984" s="1"/>
      <c r="L11984" s="77"/>
      <c r="M11984" s="79"/>
      <c r="N11984" s="1"/>
      <c r="O11984" s="1"/>
      <c r="P11984" s="1"/>
      <c r="Q11984" s="1"/>
      <c r="R11984" s="1"/>
      <c r="S11984" s="1"/>
      <c r="T11984" s="1"/>
      <c r="U11984" s="1"/>
      <c r="V11984" s="1"/>
      <c r="W11984" s="1"/>
      <c r="X11984" s="1"/>
      <c r="Y11984" s="1"/>
      <c r="Z11984" s="1"/>
      <c r="AA11984" s="1"/>
      <c r="AB11984" s="1"/>
      <c r="AC11984" s="1"/>
      <c r="AD11984" s="1"/>
      <c r="AE11984" s="1"/>
      <c r="AF11984" s="1"/>
      <c r="AG11984" s="1"/>
      <c r="AH11984" s="1"/>
    </row>
    <row r="11985" ht="12.75" customHeight="1">
      <c r="A11985" s="17"/>
      <c r="B11985" s="1"/>
      <c r="C11985" s="1"/>
      <c r="D11985" s="150"/>
      <c r="E11985" s="150"/>
      <c r="F11985" s="75"/>
      <c r="G11985" s="67"/>
      <c r="H11985" s="68"/>
      <c r="I11985" s="76"/>
      <c r="J11985" s="67"/>
      <c r="K11985" s="1"/>
      <c r="L11985" s="77"/>
      <c r="M11985" s="79"/>
      <c r="N11985" s="1"/>
      <c r="O11985" s="1"/>
      <c r="P11985" s="1"/>
      <c r="Q11985" s="1"/>
      <c r="R11985" s="1"/>
      <c r="S11985" s="1"/>
      <c r="T11985" s="1"/>
      <c r="U11985" s="1"/>
      <c r="V11985" s="1"/>
      <c r="W11985" s="1"/>
      <c r="X11985" s="1"/>
      <c r="Y11985" s="1"/>
      <c r="Z11985" s="1"/>
      <c r="AA11985" s="1"/>
      <c r="AB11985" s="1"/>
      <c r="AC11985" s="1"/>
      <c r="AD11985" s="1"/>
      <c r="AE11985" s="1"/>
      <c r="AF11985" s="1"/>
      <c r="AG11985" s="1"/>
      <c r="AH11985" s="1"/>
    </row>
    <row r="11986" ht="12.75" customHeight="1">
      <c r="A11986" s="17"/>
      <c r="B11986" s="1"/>
      <c r="C11986" s="1"/>
      <c r="D11986" s="150"/>
      <c r="E11986" s="150"/>
      <c r="F11986" s="75"/>
      <c r="G11986" s="67"/>
      <c r="H11986" s="68"/>
      <c r="I11986" s="76"/>
      <c r="J11986" s="67"/>
      <c r="K11986" s="1"/>
      <c r="L11986" s="77"/>
      <c r="M11986" s="79"/>
      <c r="N11986" s="1"/>
      <c r="O11986" s="1"/>
      <c r="P11986" s="1"/>
      <c r="Q11986" s="1"/>
      <c r="R11986" s="1"/>
      <c r="S11986" s="1"/>
      <c r="T11986" s="1"/>
      <c r="U11986" s="1"/>
      <c r="V11986" s="1"/>
      <c r="W11986" s="1"/>
      <c r="X11986" s="1"/>
      <c r="Y11986" s="1"/>
      <c r="Z11986" s="1"/>
      <c r="AA11986" s="1"/>
      <c r="AB11986" s="1"/>
      <c r="AC11986" s="1"/>
      <c r="AD11986" s="1"/>
      <c r="AE11986" s="1"/>
      <c r="AF11986" s="1"/>
      <c r="AG11986" s="1"/>
      <c r="AH11986" s="1"/>
    </row>
    <row r="11987" ht="12.75" customHeight="1">
      <c r="A11987" s="17"/>
      <c r="B11987" s="1"/>
      <c r="C11987" s="1"/>
      <c r="D11987" s="150"/>
      <c r="E11987" s="150"/>
      <c r="F11987" s="75"/>
      <c r="G11987" s="67"/>
      <c r="H11987" s="68"/>
      <c r="I11987" s="76"/>
      <c r="J11987" s="67"/>
      <c r="K11987" s="1"/>
      <c r="L11987" s="77"/>
      <c r="M11987" s="79"/>
      <c r="N11987" s="1"/>
      <c r="O11987" s="1"/>
      <c r="P11987" s="1"/>
      <c r="Q11987" s="1"/>
      <c r="R11987" s="1"/>
      <c r="S11987" s="1"/>
      <c r="T11987" s="1"/>
      <c r="U11987" s="1"/>
      <c r="V11987" s="1"/>
      <c r="W11987" s="1"/>
      <c r="X11987" s="1"/>
      <c r="Y11987" s="1"/>
      <c r="Z11987" s="1"/>
      <c r="AA11987" s="1"/>
      <c r="AB11987" s="1"/>
      <c r="AC11987" s="1"/>
      <c r="AD11987" s="1"/>
      <c r="AE11987" s="1"/>
      <c r="AF11987" s="1"/>
      <c r="AG11987" s="1"/>
      <c r="AH11987" s="1"/>
    </row>
    <row r="11988" ht="12.75" customHeight="1">
      <c r="A11988" s="17"/>
      <c r="B11988" s="1"/>
      <c r="C11988" s="1"/>
      <c r="D11988" s="150"/>
      <c r="E11988" s="150"/>
      <c r="F11988" s="75"/>
      <c r="G11988" s="67"/>
      <c r="H11988" s="68"/>
      <c r="I11988" s="76"/>
      <c r="J11988" s="67"/>
      <c r="K11988" s="1"/>
      <c r="L11988" s="77"/>
      <c r="M11988" s="79"/>
      <c r="N11988" s="1"/>
      <c r="O11988" s="1"/>
      <c r="P11988" s="1"/>
      <c r="Q11988" s="1"/>
      <c r="R11988" s="1"/>
      <c r="S11988" s="1"/>
      <c r="T11988" s="1"/>
      <c r="U11988" s="1"/>
      <c r="V11988" s="1"/>
      <c r="W11988" s="1"/>
      <c r="X11988" s="1"/>
      <c r="Y11988" s="1"/>
      <c r="Z11988" s="1"/>
      <c r="AA11988" s="1"/>
      <c r="AB11988" s="1"/>
      <c r="AC11988" s="1"/>
      <c r="AD11988" s="1"/>
      <c r="AE11988" s="1"/>
      <c r="AF11988" s="1"/>
      <c r="AG11988" s="1"/>
      <c r="AH11988" s="1"/>
    </row>
    <row r="11989" ht="12.75" customHeight="1">
      <c r="A11989" s="17"/>
      <c r="B11989" s="1"/>
      <c r="C11989" s="1"/>
      <c r="D11989" s="150"/>
      <c r="E11989" s="150"/>
      <c r="F11989" s="75"/>
      <c r="G11989" s="67"/>
      <c r="H11989" s="68"/>
      <c r="I11989" s="76"/>
      <c r="J11989" s="67"/>
      <c r="K11989" s="1"/>
      <c r="L11989" s="77"/>
      <c r="M11989" s="79"/>
      <c r="N11989" s="1"/>
      <c r="O11989" s="1"/>
      <c r="P11989" s="1"/>
      <c r="Q11989" s="1"/>
      <c r="R11989" s="1"/>
      <c r="S11989" s="1"/>
      <c r="T11989" s="1"/>
      <c r="U11989" s="1"/>
      <c r="V11989" s="1"/>
      <c r="W11989" s="1"/>
      <c r="X11989" s="1"/>
      <c r="Y11989" s="1"/>
      <c r="Z11989" s="1"/>
      <c r="AA11989" s="1"/>
      <c r="AB11989" s="1"/>
      <c r="AC11989" s="1"/>
      <c r="AD11989" s="1"/>
      <c r="AE11989" s="1"/>
      <c r="AF11989" s="1"/>
      <c r="AG11989" s="1"/>
      <c r="AH11989" s="1"/>
    </row>
    <row r="11990" ht="12.75" customHeight="1">
      <c r="A11990" s="17"/>
      <c r="B11990" s="1"/>
      <c r="C11990" s="1"/>
      <c r="D11990" s="150"/>
      <c r="E11990" s="150"/>
      <c r="F11990" s="75"/>
      <c r="G11990" s="67"/>
      <c r="H11990" s="68"/>
      <c r="I11990" s="76"/>
      <c r="J11990" s="67"/>
      <c r="K11990" s="1"/>
      <c r="L11990" s="77"/>
      <c r="M11990" s="79"/>
      <c r="N11990" s="1"/>
      <c r="O11990" s="1"/>
      <c r="P11990" s="1"/>
      <c r="Q11990" s="1"/>
      <c r="R11990" s="1"/>
      <c r="S11990" s="1"/>
      <c r="T11990" s="1"/>
      <c r="U11990" s="1"/>
      <c r="V11990" s="1"/>
      <c r="W11990" s="1"/>
      <c r="X11990" s="1"/>
      <c r="Y11990" s="1"/>
      <c r="Z11990" s="1"/>
      <c r="AA11990" s="1"/>
      <c r="AB11990" s="1"/>
      <c r="AC11990" s="1"/>
      <c r="AD11990" s="1"/>
      <c r="AE11990" s="1"/>
      <c r="AF11990" s="1"/>
      <c r="AG11990" s="1"/>
      <c r="AH11990" s="1"/>
    </row>
    <row r="11991" ht="12.75" customHeight="1">
      <c r="A11991" s="17"/>
      <c r="B11991" s="1"/>
      <c r="C11991" s="1"/>
      <c r="D11991" s="150"/>
      <c r="E11991" s="150"/>
      <c r="F11991" s="75"/>
      <c r="G11991" s="67"/>
      <c r="H11991" s="68"/>
      <c r="I11991" s="76"/>
      <c r="J11991" s="67"/>
      <c r="K11991" s="1"/>
      <c r="L11991" s="77"/>
      <c r="M11991" s="79"/>
      <c r="N11991" s="1"/>
      <c r="O11991" s="1"/>
      <c r="P11991" s="1"/>
      <c r="Q11991" s="1"/>
      <c r="R11991" s="1"/>
      <c r="S11991" s="1"/>
      <c r="T11991" s="1"/>
      <c r="U11991" s="1"/>
      <c r="V11991" s="1"/>
      <c r="W11991" s="1"/>
      <c r="X11991" s="1"/>
      <c r="Y11991" s="1"/>
      <c r="Z11991" s="1"/>
      <c r="AA11991" s="1"/>
      <c r="AB11991" s="1"/>
      <c r="AC11991" s="1"/>
      <c r="AD11991" s="1"/>
      <c r="AE11991" s="1"/>
      <c r="AF11991" s="1"/>
      <c r="AG11991" s="1"/>
      <c r="AH11991" s="1"/>
    </row>
    <row r="11992" ht="12.75" customHeight="1">
      <c r="A11992" s="17"/>
      <c r="B11992" s="1"/>
      <c r="C11992" s="1"/>
      <c r="D11992" s="150"/>
      <c r="E11992" s="150"/>
      <c r="F11992" s="75"/>
      <c r="G11992" s="67"/>
      <c r="H11992" s="68"/>
      <c r="I11992" s="76"/>
      <c r="J11992" s="67"/>
      <c r="K11992" s="1"/>
      <c r="L11992" s="77"/>
      <c r="M11992" s="79"/>
      <c r="N11992" s="1"/>
      <c r="O11992" s="1"/>
      <c r="P11992" s="1"/>
      <c r="Q11992" s="1"/>
      <c r="R11992" s="1"/>
      <c r="S11992" s="1"/>
      <c r="T11992" s="1"/>
      <c r="U11992" s="1"/>
      <c r="V11992" s="1"/>
      <c r="W11992" s="1"/>
      <c r="X11992" s="1"/>
      <c r="Y11992" s="1"/>
      <c r="Z11992" s="1"/>
      <c r="AA11992" s="1"/>
      <c r="AB11992" s="1"/>
      <c r="AC11992" s="1"/>
      <c r="AD11992" s="1"/>
      <c r="AE11992" s="1"/>
      <c r="AF11992" s="1"/>
      <c r="AG11992" s="1"/>
      <c r="AH11992" s="1"/>
    </row>
    <row r="11993" ht="12.75" customHeight="1">
      <c r="A11993" s="17"/>
      <c r="B11993" s="1"/>
      <c r="C11993" s="1"/>
      <c r="D11993" s="150"/>
      <c r="E11993" s="150"/>
      <c r="F11993" s="75"/>
      <c r="G11993" s="67"/>
      <c r="H11993" s="68"/>
      <c r="I11993" s="76"/>
      <c r="J11993" s="67"/>
      <c r="K11993" s="1"/>
      <c r="L11993" s="77"/>
      <c r="M11993" s="79"/>
      <c r="N11993" s="1"/>
      <c r="O11993" s="1"/>
      <c r="P11993" s="1"/>
      <c r="Q11993" s="1"/>
      <c r="R11993" s="1"/>
      <c r="S11993" s="1"/>
      <c r="T11993" s="1"/>
      <c r="U11993" s="1"/>
      <c r="V11993" s="1"/>
      <c r="W11993" s="1"/>
      <c r="X11993" s="1"/>
      <c r="Y11993" s="1"/>
      <c r="Z11993" s="1"/>
      <c r="AA11993" s="1"/>
      <c r="AB11993" s="1"/>
      <c r="AC11993" s="1"/>
      <c r="AD11993" s="1"/>
      <c r="AE11993" s="1"/>
      <c r="AF11993" s="1"/>
      <c r="AG11993" s="1"/>
      <c r="AH11993" s="1"/>
    </row>
    <row r="11994" ht="12.75" customHeight="1">
      <c r="A11994" s="17"/>
      <c r="B11994" s="1"/>
      <c r="C11994" s="1"/>
      <c r="D11994" s="150"/>
      <c r="E11994" s="150"/>
      <c r="F11994" s="75"/>
      <c r="G11994" s="67"/>
      <c r="H11994" s="68"/>
      <c r="I11994" s="76"/>
      <c r="J11994" s="67"/>
      <c r="K11994" s="1"/>
      <c r="L11994" s="77"/>
      <c r="M11994" s="79"/>
      <c r="N11994" s="1"/>
      <c r="O11994" s="1"/>
      <c r="P11994" s="1"/>
      <c r="Q11994" s="1"/>
      <c r="R11994" s="1"/>
      <c r="S11994" s="1"/>
      <c r="T11994" s="1"/>
      <c r="U11994" s="1"/>
      <c r="V11994" s="1"/>
      <c r="W11994" s="1"/>
      <c r="X11994" s="1"/>
      <c r="Y11994" s="1"/>
      <c r="Z11994" s="1"/>
      <c r="AA11994" s="1"/>
      <c r="AB11994" s="1"/>
      <c r="AC11994" s="1"/>
      <c r="AD11994" s="1"/>
      <c r="AE11994" s="1"/>
      <c r="AF11994" s="1"/>
      <c r="AG11994" s="1"/>
      <c r="AH11994" s="1"/>
    </row>
    <row r="11995" ht="12.75" customHeight="1">
      <c r="A11995" s="17"/>
      <c r="B11995" s="1"/>
      <c r="C11995" s="1"/>
      <c r="D11995" s="150"/>
      <c r="E11995" s="150"/>
      <c r="F11995" s="75"/>
      <c r="G11995" s="67"/>
      <c r="H11995" s="68"/>
      <c r="I11995" s="76"/>
      <c r="J11995" s="67"/>
      <c r="K11995" s="1"/>
      <c r="L11995" s="77"/>
      <c r="M11995" s="79"/>
      <c r="N11995" s="1"/>
      <c r="O11995" s="1"/>
      <c r="P11995" s="1"/>
      <c r="Q11995" s="1"/>
      <c r="R11995" s="1"/>
      <c r="S11995" s="1"/>
      <c r="T11995" s="1"/>
      <c r="U11995" s="1"/>
      <c r="V11995" s="1"/>
      <c r="W11995" s="1"/>
      <c r="X11995" s="1"/>
      <c r="Y11995" s="1"/>
      <c r="Z11995" s="1"/>
      <c r="AA11995" s="1"/>
      <c r="AB11995" s="1"/>
      <c r="AC11995" s="1"/>
      <c r="AD11995" s="1"/>
      <c r="AE11995" s="1"/>
      <c r="AF11995" s="1"/>
      <c r="AG11995" s="1"/>
      <c r="AH11995" s="1"/>
    </row>
    <row r="11996" ht="12.75" customHeight="1">
      <c r="A11996" s="17"/>
      <c r="B11996" s="1"/>
      <c r="C11996" s="1"/>
      <c r="D11996" s="150"/>
      <c r="E11996" s="150"/>
      <c r="F11996" s="75"/>
      <c r="G11996" s="67"/>
      <c r="H11996" s="68"/>
      <c r="I11996" s="76"/>
      <c r="J11996" s="67"/>
      <c r="K11996" s="1"/>
      <c r="L11996" s="77"/>
      <c r="M11996" s="79"/>
      <c r="N11996" s="1"/>
      <c r="O11996" s="1"/>
      <c r="P11996" s="1"/>
      <c r="Q11996" s="1"/>
      <c r="R11996" s="1"/>
      <c r="S11996" s="1"/>
      <c r="T11996" s="1"/>
      <c r="U11996" s="1"/>
      <c r="V11996" s="1"/>
      <c r="W11996" s="1"/>
      <c r="X11996" s="1"/>
      <c r="Y11996" s="1"/>
      <c r="Z11996" s="1"/>
      <c r="AA11996" s="1"/>
      <c r="AB11996" s="1"/>
      <c r="AC11996" s="1"/>
      <c r="AD11996" s="1"/>
      <c r="AE11996" s="1"/>
      <c r="AF11996" s="1"/>
      <c r="AG11996" s="1"/>
      <c r="AH11996" s="1"/>
    </row>
    <row r="11997" ht="12.75" customHeight="1">
      <c r="A11997" s="17"/>
      <c r="B11997" s="1"/>
      <c r="C11997" s="1"/>
      <c r="D11997" s="150"/>
      <c r="E11997" s="150"/>
      <c r="F11997" s="75"/>
      <c r="G11997" s="67"/>
      <c r="H11997" s="68"/>
      <c r="I11997" s="76"/>
      <c r="J11997" s="67"/>
      <c r="K11997" s="1"/>
      <c r="L11997" s="77"/>
      <c r="M11997" s="79"/>
      <c r="N11997" s="1"/>
      <c r="O11997" s="1"/>
      <c r="P11997" s="1"/>
      <c r="Q11997" s="1"/>
      <c r="R11997" s="1"/>
      <c r="S11997" s="1"/>
      <c r="T11997" s="1"/>
      <c r="U11997" s="1"/>
      <c r="V11997" s="1"/>
      <c r="W11997" s="1"/>
      <c r="X11997" s="1"/>
      <c r="Y11997" s="1"/>
      <c r="Z11997" s="1"/>
      <c r="AA11997" s="1"/>
      <c r="AB11997" s="1"/>
      <c r="AC11997" s="1"/>
      <c r="AD11997" s="1"/>
      <c r="AE11997" s="1"/>
      <c r="AF11997" s="1"/>
      <c r="AG11997" s="1"/>
      <c r="AH11997" s="1"/>
    </row>
    <row r="11998" ht="12.75" customHeight="1">
      <c r="A11998" s="17"/>
      <c r="B11998" s="1"/>
      <c r="C11998" s="1"/>
      <c r="D11998" s="150"/>
      <c r="E11998" s="150"/>
      <c r="F11998" s="75"/>
      <c r="G11998" s="67"/>
      <c r="H11998" s="68"/>
      <c r="I11998" s="76"/>
      <c r="J11998" s="67"/>
      <c r="K11998" s="1"/>
      <c r="L11998" s="77"/>
      <c r="M11998" s="79"/>
      <c r="N11998" s="1"/>
      <c r="O11998" s="1"/>
      <c r="P11998" s="1"/>
      <c r="Q11998" s="1"/>
      <c r="R11998" s="1"/>
      <c r="S11998" s="1"/>
      <c r="T11998" s="1"/>
      <c r="U11998" s="1"/>
      <c r="V11998" s="1"/>
      <c r="W11998" s="1"/>
      <c r="X11998" s="1"/>
      <c r="Y11998" s="1"/>
      <c r="Z11998" s="1"/>
      <c r="AA11998" s="1"/>
      <c r="AB11998" s="1"/>
      <c r="AC11998" s="1"/>
      <c r="AD11998" s="1"/>
      <c r="AE11998" s="1"/>
      <c r="AF11998" s="1"/>
      <c r="AG11998" s="1"/>
      <c r="AH11998" s="1"/>
    </row>
    <row r="11999" ht="12.75" customHeight="1">
      <c r="A11999" s="17"/>
      <c r="B11999" s="1"/>
      <c r="C11999" s="1"/>
      <c r="D11999" s="150"/>
      <c r="E11999" s="150"/>
      <c r="F11999" s="75"/>
      <c r="G11999" s="67"/>
      <c r="H11999" s="68"/>
      <c r="I11999" s="76"/>
      <c r="J11999" s="67"/>
      <c r="K11999" s="1"/>
      <c r="L11999" s="77"/>
      <c r="M11999" s="79"/>
      <c r="N11999" s="1"/>
      <c r="O11999" s="1"/>
      <c r="P11999" s="1"/>
      <c r="Q11999" s="1"/>
      <c r="R11999" s="1"/>
      <c r="S11999" s="1"/>
      <c r="T11999" s="1"/>
      <c r="U11999" s="1"/>
      <c r="V11999" s="1"/>
      <c r="W11999" s="1"/>
      <c r="X11999" s="1"/>
      <c r="Y11999" s="1"/>
      <c r="Z11999" s="1"/>
      <c r="AA11999" s="1"/>
      <c r="AB11999" s="1"/>
      <c r="AC11999" s="1"/>
      <c r="AD11999" s="1"/>
      <c r="AE11999" s="1"/>
      <c r="AF11999" s="1"/>
      <c r="AG11999" s="1"/>
      <c r="AH11999" s="1"/>
    </row>
    <row r="12000" ht="12.75" customHeight="1">
      <c r="A12000" s="17"/>
      <c r="B12000" s="1"/>
      <c r="C12000" s="1"/>
      <c r="D12000" s="150"/>
      <c r="E12000" s="150"/>
      <c r="F12000" s="75"/>
      <c r="G12000" s="67"/>
      <c r="H12000" s="68"/>
      <c r="I12000" s="76"/>
      <c r="J12000" s="67"/>
      <c r="K12000" s="1"/>
      <c r="L12000" s="77"/>
      <c r="M12000" s="79"/>
      <c r="N12000" s="1"/>
      <c r="O12000" s="1"/>
      <c r="P12000" s="1"/>
      <c r="Q12000" s="1"/>
      <c r="R12000" s="1"/>
      <c r="S12000" s="1"/>
      <c r="T12000" s="1"/>
      <c r="U12000" s="1"/>
      <c r="V12000" s="1"/>
      <c r="W12000" s="1"/>
      <c r="X12000" s="1"/>
      <c r="Y12000" s="1"/>
      <c r="Z12000" s="1"/>
      <c r="AA12000" s="1"/>
      <c r="AB12000" s="1"/>
      <c r="AC12000" s="1"/>
      <c r="AD12000" s="1"/>
      <c r="AE12000" s="1"/>
      <c r="AF12000" s="1"/>
      <c r="AG12000" s="1"/>
      <c r="AH12000" s="1"/>
    </row>
    <row r="12001" ht="12.75" customHeight="1">
      <c r="A12001" s="17"/>
      <c r="B12001" s="1"/>
      <c r="C12001" s="1"/>
      <c r="D12001" s="150"/>
      <c r="E12001" s="150"/>
      <c r="F12001" s="75"/>
      <c r="G12001" s="67"/>
      <c r="H12001" s="68"/>
      <c r="I12001" s="76"/>
      <c r="J12001" s="67"/>
      <c r="K12001" s="1"/>
      <c r="L12001" s="77"/>
      <c r="M12001" s="79"/>
      <c r="N12001" s="1"/>
      <c r="O12001" s="1"/>
      <c r="P12001" s="1"/>
      <c r="Q12001" s="1"/>
      <c r="R12001" s="1"/>
      <c r="S12001" s="1"/>
      <c r="T12001" s="1"/>
      <c r="U12001" s="1"/>
      <c r="V12001" s="1"/>
      <c r="W12001" s="1"/>
      <c r="X12001" s="1"/>
      <c r="Y12001" s="1"/>
      <c r="Z12001" s="1"/>
      <c r="AA12001" s="1"/>
      <c r="AB12001" s="1"/>
      <c r="AC12001" s="1"/>
      <c r="AD12001" s="1"/>
      <c r="AE12001" s="1"/>
      <c r="AF12001" s="1"/>
      <c r="AG12001" s="1"/>
      <c r="AH12001" s="1"/>
    </row>
    <row r="12002" ht="12.75" customHeight="1">
      <c r="A12002" s="17"/>
      <c r="B12002" s="1"/>
      <c r="C12002" s="1"/>
      <c r="D12002" s="150"/>
      <c r="E12002" s="150"/>
      <c r="F12002" s="75"/>
      <c r="G12002" s="67"/>
      <c r="H12002" s="68"/>
      <c r="I12002" s="76"/>
      <c r="J12002" s="67"/>
      <c r="K12002" s="1"/>
      <c r="L12002" s="77"/>
      <c r="M12002" s="79"/>
      <c r="N12002" s="1"/>
      <c r="O12002" s="1"/>
      <c r="P12002" s="1"/>
      <c r="Q12002" s="1"/>
      <c r="R12002" s="1"/>
      <c r="S12002" s="1"/>
      <c r="T12002" s="1"/>
      <c r="U12002" s="1"/>
      <c r="V12002" s="1"/>
      <c r="W12002" s="1"/>
      <c r="X12002" s="1"/>
      <c r="Y12002" s="1"/>
      <c r="Z12002" s="1"/>
      <c r="AA12002" s="1"/>
      <c r="AB12002" s="1"/>
      <c r="AC12002" s="1"/>
      <c r="AD12002" s="1"/>
      <c r="AE12002" s="1"/>
      <c r="AF12002" s="1"/>
      <c r="AG12002" s="1"/>
      <c r="AH12002" s="1"/>
    </row>
    <row r="12003" ht="12.75" customHeight="1">
      <c r="A12003" s="17"/>
      <c r="B12003" s="1"/>
      <c r="C12003" s="1"/>
      <c r="D12003" s="150"/>
      <c r="E12003" s="150"/>
      <c r="F12003" s="75"/>
      <c r="G12003" s="67"/>
      <c r="H12003" s="68"/>
      <c r="I12003" s="76"/>
      <c r="J12003" s="67"/>
      <c r="K12003" s="1"/>
      <c r="L12003" s="77"/>
      <c r="M12003" s="79"/>
      <c r="N12003" s="1"/>
      <c r="O12003" s="1"/>
      <c r="P12003" s="1"/>
      <c r="Q12003" s="1"/>
      <c r="R12003" s="1"/>
      <c r="S12003" s="1"/>
      <c r="T12003" s="1"/>
      <c r="U12003" s="1"/>
      <c r="V12003" s="1"/>
      <c r="W12003" s="1"/>
      <c r="X12003" s="1"/>
      <c r="Y12003" s="1"/>
      <c r="Z12003" s="1"/>
      <c r="AA12003" s="1"/>
      <c r="AB12003" s="1"/>
      <c r="AC12003" s="1"/>
      <c r="AD12003" s="1"/>
      <c r="AE12003" s="1"/>
      <c r="AF12003" s="1"/>
      <c r="AG12003" s="1"/>
      <c r="AH12003" s="1"/>
    </row>
    <row r="12004" ht="12.75" customHeight="1">
      <c r="A12004" s="17"/>
      <c r="B12004" s="1"/>
      <c r="C12004" s="1"/>
      <c r="D12004" s="150"/>
      <c r="E12004" s="150"/>
      <c r="F12004" s="75"/>
      <c r="G12004" s="67"/>
      <c r="H12004" s="68"/>
      <c r="I12004" s="76"/>
      <c r="J12004" s="67"/>
      <c r="K12004" s="1"/>
      <c r="L12004" s="77"/>
      <c r="M12004" s="79"/>
      <c r="N12004" s="1"/>
      <c r="O12004" s="1"/>
      <c r="P12004" s="1"/>
      <c r="Q12004" s="1"/>
      <c r="R12004" s="1"/>
      <c r="S12004" s="1"/>
      <c r="T12004" s="1"/>
      <c r="U12004" s="1"/>
      <c r="V12004" s="1"/>
      <c r="W12004" s="1"/>
      <c r="X12004" s="1"/>
      <c r="Y12004" s="1"/>
      <c r="Z12004" s="1"/>
      <c r="AA12004" s="1"/>
      <c r="AB12004" s="1"/>
      <c r="AC12004" s="1"/>
      <c r="AD12004" s="1"/>
      <c r="AE12004" s="1"/>
      <c r="AF12004" s="1"/>
      <c r="AG12004" s="1"/>
      <c r="AH12004" s="1"/>
    </row>
    <row r="12005" ht="12.75" customHeight="1">
      <c r="A12005" s="17"/>
      <c r="B12005" s="1"/>
      <c r="C12005" s="1"/>
      <c r="D12005" s="150"/>
      <c r="E12005" s="150"/>
      <c r="F12005" s="75"/>
      <c r="G12005" s="67"/>
      <c r="H12005" s="68"/>
      <c r="I12005" s="76"/>
      <c r="J12005" s="67"/>
      <c r="K12005" s="1"/>
      <c r="L12005" s="77"/>
      <c r="M12005" s="79"/>
      <c r="N12005" s="1"/>
      <c r="O12005" s="1"/>
      <c r="P12005" s="1"/>
      <c r="Q12005" s="1"/>
      <c r="R12005" s="1"/>
      <c r="S12005" s="1"/>
      <c r="T12005" s="1"/>
      <c r="U12005" s="1"/>
      <c r="V12005" s="1"/>
      <c r="W12005" s="1"/>
      <c r="X12005" s="1"/>
      <c r="Y12005" s="1"/>
      <c r="Z12005" s="1"/>
      <c r="AA12005" s="1"/>
      <c r="AB12005" s="1"/>
      <c r="AC12005" s="1"/>
      <c r="AD12005" s="1"/>
      <c r="AE12005" s="1"/>
      <c r="AF12005" s="1"/>
      <c r="AG12005" s="1"/>
      <c r="AH12005" s="1"/>
    </row>
    <row r="12006" ht="12.75" customHeight="1">
      <c r="A12006" s="17"/>
      <c r="B12006" s="1"/>
      <c r="C12006" s="1"/>
      <c r="D12006" s="150"/>
      <c r="E12006" s="150"/>
      <c r="F12006" s="75"/>
      <c r="G12006" s="67"/>
      <c r="H12006" s="68"/>
      <c r="I12006" s="76"/>
      <c r="J12006" s="67"/>
      <c r="K12006" s="1"/>
      <c r="L12006" s="77"/>
      <c r="M12006" s="79"/>
      <c r="N12006" s="1"/>
      <c r="O12006" s="1"/>
      <c r="P12006" s="1"/>
      <c r="Q12006" s="1"/>
      <c r="R12006" s="1"/>
      <c r="S12006" s="1"/>
      <c r="T12006" s="1"/>
      <c r="U12006" s="1"/>
      <c r="V12006" s="1"/>
      <c r="W12006" s="1"/>
      <c r="X12006" s="1"/>
      <c r="Y12006" s="1"/>
      <c r="Z12006" s="1"/>
      <c r="AA12006" s="1"/>
      <c r="AB12006" s="1"/>
      <c r="AC12006" s="1"/>
      <c r="AD12006" s="1"/>
      <c r="AE12006" s="1"/>
      <c r="AF12006" s="1"/>
      <c r="AG12006" s="1"/>
      <c r="AH12006" s="1"/>
    </row>
    <row r="12007" ht="12.75" customHeight="1">
      <c r="A12007" s="17"/>
      <c r="B12007" s="1"/>
      <c r="C12007" s="1"/>
      <c r="D12007" s="150"/>
      <c r="E12007" s="150"/>
      <c r="F12007" s="75"/>
      <c r="G12007" s="67"/>
      <c r="H12007" s="68"/>
      <c r="I12007" s="76"/>
      <c r="J12007" s="67"/>
      <c r="K12007" s="1"/>
      <c r="L12007" s="77"/>
      <c r="M12007" s="79"/>
      <c r="N12007" s="1"/>
      <c r="O12007" s="1"/>
      <c r="P12007" s="1"/>
      <c r="Q12007" s="1"/>
      <c r="R12007" s="1"/>
      <c r="S12007" s="1"/>
      <c r="T12007" s="1"/>
      <c r="U12007" s="1"/>
      <c r="V12007" s="1"/>
      <c r="W12007" s="1"/>
      <c r="X12007" s="1"/>
      <c r="Y12007" s="1"/>
      <c r="Z12007" s="1"/>
      <c r="AA12007" s="1"/>
      <c r="AB12007" s="1"/>
      <c r="AC12007" s="1"/>
      <c r="AD12007" s="1"/>
      <c r="AE12007" s="1"/>
      <c r="AF12007" s="1"/>
      <c r="AG12007" s="1"/>
      <c r="AH12007" s="1"/>
    </row>
    <row r="12008" ht="12.75" customHeight="1">
      <c r="A12008" s="17"/>
      <c r="B12008" s="1"/>
      <c r="C12008" s="1"/>
      <c r="D12008" s="150"/>
      <c r="E12008" s="150"/>
      <c r="F12008" s="75"/>
      <c r="G12008" s="67"/>
      <c r="H12008" s="68"/>
      <c r="I12008" s="76"/>
      <c r="J12008" s="67"/>
      <c r="K12008" s="1"/>
      <c r="L12008" s="77"/>
      <c r="M12008" s="79"/>
      <c r="N12008" s="1"/>
      <c r="O12008" s="1"/>
      <c r="P12008" s="1"/>
      <c r="Q12008" s="1"/>
      <c r="R12008" s="1"/>
      <c r="S12008" s="1"/>
      <c r="T12008" s="1"/>
      <c r="U12008" s="1"/>
      <c r="V12008" s="1"/>
      <c r="W12008" s="1"/>
      <c r="X12008" s="1"/>
      <c r="Y12008" s="1"/>
      <c r="Z12008" s="1"/>
      <c r="AA12008" s="1"/>
      <c r="AB12008" s="1"/>
      <c r="AC12008" s="1"/>
      <c r="AD12008" s="1"/>
      <c r="AE12008" s="1"/>
      <c r="AF12008" s="1"/>
      <c r="AG12008" s="1"/>
      <c r="AH12008" s="1"/>
    </row>
    <row r="12009" ht="12.75" customHeight="1">
      <c r="A12009" s="17"/>
      <c r="B12009" s="1"/>
      <c r="C12009" s="1"/>
      <c r="D12009" s="150"/>
      <c r="E12009" s="150"/>
      <c r="F12009" s="75"/>
      <c r="G12009" s="67"/>
      <c r="H12009" s="68"/>
      <c r="I12009" s="76"/>
      <c r="J12009" s="67"/>
      <c r="K12009" s="1"/>
      <c r="L12009" s="77"/>
      <c r="M12009" s="79"/>
      <c r="N12009" s="1"/>
      <c r="O12009" s="1"/>
      <c r="P12009" s="1"/>
      <c r="Q12009" s="1"/>
      <c r="R12009" s="1"/>
      <c r="S12009" s="1"/>
      <c r="T12009" s="1"/>
      <c r="U12009" s="1"/>
      <c r="V12009" s="1"/>
      <c r="W12009" s="1"/>
      <c r="X12009" s="1"/>
      <c r="Y12009" s="1"/>
      <c r="Z12009" s="1"/>
      <c r="AA12009" s="1"/>
      <c r="AB12009" s="1"/>
      <c r="AC12009" s="1"/>
      <c r="AD12009" s="1"/>
      <c r="AE12009" s="1"/>
      <c r="AF12009" s="1"/>
      <c r="AG12009" s="1"/>
      <c r="AH12009" s="1"/>
    </row>
    <row r="12010" ht="12.75" customHeight="1">
      <c r="A12010" s="17"/>
      <c r="B12010" s="1"/>
      <c r="C12010" s="1"/>
      <c r="D12010" s="150"/>
      <c r="E12010" s="150"/>
      <c r="F12010" s="75"/>
      <c r="G12010" s="67"/>
      <c r="H12010" s="68"/>
      <c r="I12010" s="76"/>
      <c r="J12010" s="67"/>
      <c r="K12010" s="1"/>
      <c r="L12010" s="77"/>
      <c r="M12010" s="79"/>
      <c r="N12010" s="1"/>
      <c r="O12010" s="1"/>
      <c r="P12010" s="1"/>
      <c r="Q12010" s="1"/>
      <c r="R12010" s="1"/>
      <c r="S12010" s="1"/>
      <c r="T12010" s="1"/>
      <c r="U12010" s="1"/>
      <c r="V12010" s="1"/>
      <c r="W12010" s="1"/>
      <c r="X12010" s="1"/>
      <c r="Y12010" s="1"/>
      <c r="Z12010" s="1"/>
      <c r="AA12010" s="1"/>
      <c r="AB12010" s="1"/>
      <c r="AC12010" s="1"/>
      <c r="AD12010" s="1"/>
      <c r="AE12010" s="1"/>
      <c r="AF12010" s="1"/>
      <c r="AG12010" s="1"/>
      <c r="AH12010" s="1"/>
    </row>
    <row r="12011" ht="12.75" customHeight="1">
      <c r="A12011" s="17"/>
      <c r="B12011" s="1"/>
      <c r="C12011" s="1"/>
      <c r="D12011" s="150"/>
      <c r="E12011" s="150"/>
      <c r="F12011" s="75"/>
      <c r="G12011" s="67"/>
      <c r="H12011" s="68"/>
      <c r="I12011" s="76"/>
      <c r="J12011" s="67"/>
      <c r="K12011" s="1"/>
      <c r="L12011" s="77"/>
      <c r="M12011" s="79"/>
      <c r="N12011" s="1"/>
      <c r="O12011" s="1"/>
      <c r="P12011" s="1"/>
      <c r="Q12011" s="1"/>
      <c r="R12011" s="1"/>
      <c r="S12011" s="1"/>
      <c r="T12011" s="1"/>
      <c r="U12011" s="1"/>
      <c r="V12011" s="1"/>
      <c r="W12011" s="1"/>
      <c r="X12011" s="1"/>
      <c r="Y12011" s="1"/>
      <c r="Z12011" s="1"/>
      <c r="AA12011" s="1"/>
      <c r="AB12011" s="1"/>
      <c r="AC12011" s="1"/>
      <c r="AD12011" s="1"/>
      <c r="AE12011" s="1"/>
      <c r="AF12011" s="1"/>
      <c r="AG12011" s="1"/>
      <c r="AH12011" s="1"/>
    </row>
    <row r="12012" ht="12.75" customHeight="1">
      <c r="A12012" s="17"/>
      <c r="B12012" s="1"/>
      <c r="C12012" s="1"/>
      <c r="D12012" s="150"/>
      <c r="E12012" s="150"/>
      <c r="F12012" s="75"/>
      <c r="G12012" s="67"/>
      <c r="H12012" s="68"/>
      <c r="I12012" s="76"/>
      <c r="J12012" s="67"/>
      <c r="K12012" s="1"/>
      <c r="L12012" s="77"/>
      <c r="M12012" s="79"/>
      <c r="N12012" s="1"/>
      <c r="O12012" s="1"/>
      <c r="P12012" s="1"/>
      <c r="Q12012" s="1"/>
      <c r="R12012" s="1"/>
      <c r="S12012" s="1"/>
      <c r="T12012" s="1"/>
      <c r="U12012" s="1"/>
      <c r="V12012" s="1"/>
      <c r="W12012" s="1"/>
      <c r="X12012" s="1"/>
      <c r="Y12012" s="1"/>
      <c r="Z12012" s="1"/>
      <c r="AA12012" s="1"/>
      <c r="AB12012" s="1"/>
      <c r="AC12012" s="1"/>
      <c r="AD12012" s="1"/>
      <c r="AE12012" s="1"/>
      <c r="AF12012" s="1"/>
      <c r="AG12012" s="1"/>
      <c r="AH12012" s="1"/>
    </row>
    <row r="12013" ht="12.75" customHeight="1">
      <c r="A12013" s="17"/>
      <c r="B12013" s="1"/>
      <c r="C12013" s="1"/>
      <c r="D12013" s="150"/>
      <c r="E12013" s="150"/>
      <c r="F12013" s="75"/>
      <c r="G12013" s="67"/>
      <c r="H12013" s="68"/>
      <c r="I12013" s="76"/>
      <c r="J12013" s="67"/>
      <c r="K12013" s="1"/>
      <c r="L12013" s="77"/>
      <c r="M12013" s="79"/>
      <c r="N12013" s="1"/>
      <c r="O12013" s="1"/>
      <c r="P12013" s="1"/>
      <c r="Q12013" s="1"/>
      <c r="R12013" s="1"/>
      <c r="S12013" s="1"/>
      <c r="T12013" s="1"/>
      <c r="U12013" s="1"/>
      <c r="V12013" s="1"/>
      <c r="W12013" s="1"/>
      <c r="X12013" s="1"/>
      <c r="Y12013" s="1"/>
      <c r="Z12013" s="1"/>
      <c r="AA12013" s="1"/>
      <c r="AB12013" s="1"/>
      <c r="AC12013" s="1"/>
      <c r="AD12013" s="1"/>
      <c r="AE12013" s="1"/>
      <c r="AF12013" s="1"/>
      <c r="AG12013" s="1"/>
      <c r="AH12013" s="1"/>
    </row>
    <row r="12014" ht="12.75" customHeight="1">
      <c r="A12014" s="17"/>
      <c r="B12014" s="1"/>
      <c r="C12014" s="1"/>
      <c r="D12014" s="150"/>
      <c r="E12014" s="150"/>
      <c r="F12014" s="75"/>
      <c r="G12014" s="67"/>
      <c r="H12014" s="68"/>
      <c r="I12014" s="76"/>
      <c r="J12014" s="67"/>
      <c r="K12014" s="1"/>
      <c r="L12014" s="77"/>
      <c r="M12014" s="79"/>
      <c r="N12014" s="1"/>
      <c r="O12014" s="1"/>
      <c r="P12014" s="1"/>
      <c r="Q12014" s="1"/>
      <c r="R12014" s="1"/>
      <c r="S12014" s="1"/>
      <c r="T12014" s="1"/>
      <c r="U12014" s="1"/>
      <c r="V12014" s="1"/>
      <c r="W12014" s="1"/>
      <c r="X12014" s="1"/>
      <c r="Y12014" s="1"/>
      <c r="Z12014" s="1"/>
      <c r="AA12014" s="1"/>
      <c r="AB12014" s="1"/>
      <c r="AC12014" s="1"/>
      <c r="AD12014" s="1"/>
      <c r="AE12014" s="1"/>
      <c r="AF12014" s="1"/>
      <c r="AG12014" s="1"/>
      <c r="AH12014" s="1"/>
    </row>
    <row r="12015" ht="12.75" customHeight="1">
      <c r="A12015" s="17"/>
      <c r="B12015" s="1"/>
      <c r="C12015" s="1"/>
      <c r="D12015" s="150"/>
      <c r="E12015" s="150"/>
      <c r="F12015" s="75"/>
      <c r="G12015" s="67"/>
      <c r="H12015" s="68"/>
      <c r="I12015" s="76"/>
      <c r="J12015" s="67"/>
      <c r="K12015" s="1"/>
      <c r="L12015" s="77"/>
      <c r="M12015" s="79"/>
      <c r="N12015" s="1"/>
      <c r="O12015" s="1"/>
      <c r="P12015" s="1"/>
      <c r="Q12015" s="1"/>
      <c r="R12015" s="1"/>
      <c r="S12015" s="1"/>
      <c r="T12015" s="1"/>
      <c r="U12015" s="1"/>
      <c r="V12015" s="1"/>
      <c r="W12015" s="1"/>
      <c r="X12015" s="1"/>
      <c r="Y12015" s="1"/>
      <c r="Z12015" s="1"/>
      <c r="AA12015" s="1"/>
      <c r="AB12015" s="1"/>
      <c r="AC12015" s="1"/>
      <c r="AD12015" s="1"/>
      <c r="AE12015" s="1"/>
      <c r="AF12015" s="1"/>
      <c r="AG12015" s="1"/>
      <c r="AH12015" s="1"/>
    </row>
    <row r="12016" ht="12.75" customHeight="1">
      <c r="A12016" s="17"/>
      <c r="B12016" s="1"/>
      <c r="C12016" s="1"/>
      <c r="D12016" s="150"/>
      <c r="E12016" s="150"/>
      <c r="F12016" s="75"/>
      <c r="G12016" s="67"/>
      <c r="H12016" s="68"/>
      <c r="I12016" s="76"/>
      <c r="J12016" s="67"/>
      <c r="K12016" s="1"/>
      <c r="L12016" s="77"/>
      <c r="M12016" s="79"/>
      <c r="N12016" s="1"/>
      <c r="O12016" s="1"/>
      <c r="P12016" s="1"/>
      <c r="Q12016" s="1"/>
      <c r="R12016" s="1"/>
      <c r="S12016" s="1"/>
      <c r="T12016" s="1"/>
      <c r="U12016" s="1"/>
      <c r="V12016" s="1"/>
      <c r="W12016" s="1"/>
      <c r="X12016" s="1"/>
      <c r="Y12016" s="1"/>
      <c r="Z12016" s="1"/>
      <c r="AA12016" s="1"/>
      <c r="AB12016" s="1"/>
      <c r="AC12016" s="1"/>
      <c r="AD12016" s="1"/>
      <c r="AE12016" s="1"/>
      <c r="AF12016" s="1"/>
      <c r="AG12016" s="1"/>
      <c r="AH12016" s="1"/>
    </row>
    <row r="12017" ht="12.75" customHeight="1">
      <c r="A12017" s="17"/>
      <c r="B12017" s="1"/>
      <c r="C12017" s="1"/>
      <c r="D12017" s="150"/>
      <c r="E12017" s="150"/>
      <c r="F12017" s="75"/>
      <c r="G12017" s="67"/>
      <c r="H12017" s="68"/>
      <c r="I12017" s="76"/>
      <c r="J12017" s="67"/>
      <c r="K12017" s="1"/>
      <c r="L12017" s="77"/>
      <c r="M12017" s="79"/>
      <c r="N12017" s="1"/>
      <c r="O12017" s="1"/>
      <c r="P12017" s="1"/>
      <c r="Q12017" s="1"/>
      <c r="R12017" s="1"/>
      <c r="S12017" s="1"/>
      <c r="T12017" s="1"/>
      <c r="U12017" s="1"/>
      <c r="V12017" s="1"/>
      <c r="W12017" s="1"/>
      <c r="X12017" s="1"/>
      <c r="Y12017" s="1"/>
      <c r="Z12017" s="1"/>
      <c r="AA12017" s="1"/>
      <c r="AB12017" s="1"/>
      <c r="AC12017" s="1"/>
      <c r="AD12017" s="1"/>
      <c r="AE12017" s="1"/>
      <c r="AF12017" s="1"/>
      <c r="AG12017" s="1"/>
      <c r="AH12017" s="1"/>
    </row>
    <row r="12018" ht="12.75" customHeight="1">
      <c r="A12018" s="17"/>
      <c r="B12018" s="1"/>
      <c r="C12018" s="1"/>
      <c r="D12018" s="150"/>
      <c r="E12018" s="150"/>
      <c r="F12018" s="75"/>
      <c r="G12018" s="67"/>
      <c r="H12018" s="68"/>
      <c r="I12018" s="76"/>
      <c r="J12018" s="67"/>
      <c r="K12018" s="1"/>
      <c r="L12018" s="77"/>
      <c r="M12018" s="79"/>
      <c r="N12018" s="1"/>
      <c r="O12018" s="1"/>
      <c r="P12018" s="1"/>
      <c r="Q12018" s="1"/>
      <c r="R12018" s="1"/>
      <c r="S12018" s="1"/>
      <c r="T12018" s="1"/>
      <c r="U12018" s="1"/>
      <c r="V12018" s="1"/>
      <c r="W12018" s="1"/>
      <c r="X12018" s="1"/>
      <c r="Y12018" s="1"/>
      <c r="Z12018" s="1"/>
      <c r="AA12018" s="1"/>
      <c r="AB12018" s="1"/>
      <c r="AC12018" s="1"/>
      <c r="AD12018" s="1"/>
      <c r="AE12018" s="1"/>
      <c r="AF12018" s="1"/>
      <c r="AG12018" s="1"/>
      <c r="AH12018" s="1"/>
    </row>
    <row r="12019" ht="12.75" customHeight="1">
      <c r="A12019" s="17"/>
      <c r="B12019" s="1"/>
      <c r="C12019" s="1"/>
      <c r="D12019" s="150"/>
      <c r="E12019" s="150"/>
      <c r="F12019" s="75"/>
      <c r="G12019" s="67"/>
      <c r="H12019" s="68"/>
      <c r="I12019" s="76"/>
      <c r="J12019" s="67"/>
      <c r="K12019" s="1"/>
      <c r="L12019" s="77"/>
      <c r="M12019" s="79"/>
      <c r="N12019" s="1"/>
      <c r="O12019" s="1"/>
      <c r="P12019" s="1"/>
      <c r="Q12019" s="1"/>
      <c r="R12019" s="1"/>
      <c r="S12019" s="1"/>
      <c r="T12019" s="1"/>
      <c r="U12019" s="1"/>
      <c r="V12019" s="1"/>
      <c r="W12019" s="1"/>
      <c r="X12019" s="1"/>
      <c r="Y12019" s="1"/>
      <c r="Z12019" s="1"/>
      <c r="AA12019" s="1"/>
      <c r="AB12019" s="1"/>
      <c r="AC12019" s="1"/>
      <c r="AD12019" s="1"/>
      <c r="AE12019" s="1"/>
      <c r="AF12019" s="1"/>
      <c r="AG12019" s="1"/>
      <c r="AH12019" s="1"/>
    </row>
    <row r="12020" ht="12.75" customHeight="1">
      <c r="A12020" s="17"/>
      <c r="B12020" s="1"/>
      <c r="C12020" s="1"/>
      <c r="D12020" s="150"/>
      <c r="E12020" s="150"/>
      <c r="F12020" s="75"/>
      <c r="G12020" s="67"/>
      <c r="H12020" s="68"/>
      <c r="I12020" s="76"/>
      <c r="J12020" s="67"/>
      <c r="K12020" s="1"/>
      <c r="L12020" s="77"/>
      <c r="M12020" s="79"/>
      <c r="N12020" s="1"/>
      <c r="O12020" s="1"/>
      <c r="P12020" s="1"/>
      <c r="Q12020" s="1"/>
      <c r="R12020" s="1"/>
      <c r="S12020" s="1"/>
      <c r="T12020" s="1"/>
      <c r="U12020" s="1"/>
      <c r="V12020" s="1"/>
      <c r="W12020" s="1"/>
      <c r="X12020" s="1"/>
      <c r="Y12020" s="1"/>
      <c r="Z12020" s="1"/>
      <c r="AA12020" s="1"/>
      <c r="AB12020" s="1"/>
      <c r="AC12020" s="1"/>
      <c r="AD12020" s="1"/>
      <c r="AE12020" s="1"/>
      <c r="AF12020" s="1"/>
      <c r="AG12020" s="1"/>
      <c r="AH12020" s="1"/>
    </row>
    <row r="12021" ht="12.75" customHeight="1">
      <c r="A12021" s="17"/>
      <c r="B12021" s="1"/>
      <c r="C12021" s="1"/>
      <c r="D12021" s="150"/>
      <c r="E12021" s="150"/>
      <c r="F12021" s="75"/>
      <c r="G12021" s="67"/>
      <c r="H12021" s="68"/>
      <c r="I12021" s="76"/>
      <c r="J12021" s="67"/>
      <c r="K12021" s="1"/>
      <c r="L12021" s="77"/>
      <c r="M12021" s="79"/>
      <c r="N12021" s="1"/>
      <c r="O12021" s="1"/>
      <c r="P12021" s="1"/>
      <c r="Q12021" s="1"/>
      <c r="R12021" s="1"/>
      <c r="S12021" s="1"/>
      <c r="T12021" s="1"/>
      <c r="U12021" s="1"/>
      <c r="V12021" s="1"/>
      <c r="W12021" s="1"/>
      <c r="X12021" s="1"/>
      <c r="Y12021" s="1"/>
      <c r="Z12021" s="1"/>
      <c r="AA12021" s="1"/>
      <c r="AB12021" s="1"/>
      <c r="AC12021" s="1"/>
      <c r="AD12021" s="1"/>
      <c r="AE12021" s="1"/>
      <c r="AF12021" s="1"/>
      <c r="AG12021" s="1"/>
      <c r="AH12021" s="1"/>
    </row>
    <row r="12022" ht="12.75" customHeight="1">
      <c r="A12022" s="17"/>
      <c r="B12022" s="1"/>
      <c r="C12022" s="1"/>
      <c r="D12022" s="150"/>
      <c r="E12022" s="150"/>
      <c r="F12022" s="75"/>
      <c r="G12022" s="67"/>
      <c r="H12022" s="68"/>
      <c r="I12022" s="76"/>
      <c r="J12022" s="67"/>
      <c r="K12022" s="1"/>
      <c r="L12022" s="77"/>
      <c r="M12022" s="79"/>
      <c r="N12022" s="1"/>
      <c r="O12022" s="1"/>
      <c r="P12022" s="1"/>
      <c r="Q12022" s="1"/>
      <c r="R12022" s="1"/>
      <c r="S12022" s="1"/>
      <c r="T12022" s="1"/>
      <c r="U12022" s="1"/>
      <c r="V12022" s="1"/>
      <c r="W12022" s="1"/>
      <c r="X12022" s="1"/>
      <c r="Y12022" s="1"/>
      <c r="Z12022" s="1"/>
      <c r="AA12022" s="1"/>
      <c r="AB12022" s="1"/>
      <c r="AC12022" s="1"/>
      <c r="AD12022" s="1"/>
      <c r="AE12022" s="1"/>
      <c r="AF12022" s="1"/>
      <c r="AG12022" s="1"/>
      <c r="AH12022" s="1"/>
    </row>
    <row r="12023" ht="12.75" customHeight="1">
      <c r="A12023" s="17"/>
      <c r="B12023" s="1"/>
      <c r="C12023" s="1"/>
      <c r="D12023" s="150"/>
      <c r="E12023" s="150"/>
      <c r="F12023" s="75"/>
      <c r="G12023" s="67"/>
      <c r="H12023" s="68"/>
      <c r="I12023" s="76"/>
      <c r="J12023" s="67"/>
      <c r="K12023" s="1"/>
      <c r="L12023" s="77"/>
      <c r="M12023" s="79"/>
      <c r="N12023" s="1"/>
      <c r="O12023" s="1"/>
      <c r="P12023" s="1"/>
      <c r="Q12023" s="1"/>
      <c r="R12023" s="1"/>
      <c r="S12023" s="1"/>
      <c r="T12023" s="1"/>
      <c r="U12023" s="1"/>
      <c r="V12023" s="1"/>
      <c r="W12023" s="1"/>
      <c r="X12023" s="1"/>
      <c r="Y12023" s="1"/>
      <c r="Z12023" s="1"/>
      <c r="AA12023" s="1"/>
      <c r="AB12023" s="1"/>
      <c r="AC12023" s="1"/>
      <c r="AD12023" s="1"/>
      <c r="AE12023" s="1"/>
      <c r="AF12023" s="1"/>
      <c r="AG12023" s="1"/>
      <c r="AH12023" s="1"/>
    </row>
    <row r="12024" ht="12.75" customHeight="1">
      <c r="A12024" s="17"/>
      <c r="B12024" s="1"/>
      <c r="C12024" s="1"/>
      <c r="D12024" s="150"/>
      <c r="E12024" s="150"/>
      <c r="F12024" s="75"/>
      <c r="G12024" s="67"/>
      <c r="H12024" s="68"/>
      <c r="I12024" s="76"/>
      <c r="J12024" s="67"/>
      <c r="K12024" s="1"/>
      <c r="L12024" s="77"/>
      <c r="M12024" s="79"/>
      <c r="N12024" s="1"/>
      <c r="O12024" s="1"/>
      <c r="P12024" s="1"/>
      <c r="Q12024" s="1"/>
      <c r="R12024" s="1"/>
      <c r="S12024" s="1"/>
      <c r="T12024" s="1"/>
      <c r="U12024" s="1"/>
      <c r="V12024" s="1"/>
      <c r="W12024" s="1"/>
      <c r="X12024" s="1"/>
      <c r="Y12024" s="1"/>
      <c r="Z12024" s="1"/>
      <c r="AA12024" s="1"/>
      <c r="AB12024" s="1"/>
      <c r="AC12024" s="1"/>
      <c r="AD12024" s="1"/>
      <c r="AE12024" s="1"/>
      <c r="AF12024" s="1"/>
      <c r="AG12024" s="1"/>
      <c r="AH12024" s="1"/>
    </row>
    <row r="12025" ht="12.75" customHeight="1">
      <c r="A12025" s="17"/>
      <c r="B12025" s="1"/>
      <c r="C12025" s="1"/>
      <c r="D12025" s="150"/>
      <c r="E12025" s="150"/>
      <c r="F12025" s="75"/>
      <c r="G12025" s="67"/>
      <c r="H12025" s="68"/>
      <c r="I12025" s="76"/>
      <c r="J12025" s="67"/>
      <c r="K12025" s="1"/>
      <c r="L12025" s="77"/>
      <c r="M12025" s="79"/>
      <c r="N12025" s="1"/>
      <c r="O12025" s="1"/>
      <c r="P12025" s="1"/>
      <c r="Q12025" s="1"/>
      <c r="R12025" s="1"/>
      <c r="S12025" s="1"/>
      <c r="T12025" s="1"/>
      <c r="U12025" s="1"/>
      <c r="V12025" s="1"/>
      <c r="W12025" s="1"/>
      <c r="X12025" s="1"/>
      <c r="Y12025" s="1"/>
      <c r="Z12025" s="1"/>
      <c r="AA12025" s="1"/>
      <c r="AB12025" s="1"/>
      <c r="AC12025" s="1"/>
      <c r="AD12025" s="1"/>
      <c r="AE12025" s="1"/>
      <c r="AF12025" s="1"/>
      <c r="AG12025" s="1"/>
      <c r="AH12025" s="1"/>
    </row>
    <row r="12026" ht="12.75" customHeight="1">
      <c r="A12026" s="17"/>
      <c r="B12026" s="1"/>
      <c r="C12026" s="1"/>
      <c r="D12026" s="150"/>
      <c r="E12026" s="150"/>
      <c r="F12026" s="75"/>
      <c r="G12026" s="67"/>
      <c r="H12026" s="68"/>
      <c r="I12026" s="76"/>
      <c r="J12026" s="67"/>
      <c r="K12026" s="1"/>
      <c r="L12026" s="77"/>
      <c r="M12026" s="79"/>
      <c r="N12026" s="1"/>
      <c r="O12026" s="1"/>
      <c r="P12026" s="1"/>
      <c r="Q12026" s="1"/>
      <c r="R12026" s="1"/>
      <c r="S12026" s="1"/>
      <c r="T12026" s="1"/>
      <c r="U12026" s="1"/>
      <c r="V12026" s="1"/>
      <c r="W12026" s="1"/>
      <c r="X12026" s="1"/>
      <c r="Y12026" s="1"/>
      <c r="Z12026" s="1"/>
      <c r="AA12026" s="1"/>
      <c r="AB12026" s="1"/>
      <c r="AC12026" s="1"/>
      <c r="AD12026" s="1"/>
      <c r="AE12026" s="1"/>
      <c r="AF12026" s="1"/>
      <c r="AG12026" s="1"/>
      <c r="AH12026" s="1"/>
    </row>
    <row r="12027" ht="12.75" customHeight="1">
      <c r="A12027" s="17"/>
      <c r="B12027" s="1"/>
      <c r="C12027" s="1"/>
      <c r="D12027" s="150"/>
      <c r="E12027" s="150"/>
      <c r="F12027" s="75"/>
      <c r="G12027" s="67"/>
      <c r="H12027" s="68"/>
      <c r="I12027" s="76"/>
      <c r="J12027" s="67"/>
      <c r="K12027" s="1"/>
      <c r="L12027" s="77"/>
      <c r="M12027" s="79"/>
      <c r="N12027" s="1"/>
      <c r="O12027" s="1"/>
      <c r="P12027" s="1"/>
      <c r="Q12027" s="1"/>
      <c r="R12027" s="1"/>
      <c r="S12027" s="1"/>
      <c r="T12027" s="1"/>
      <c r="U12027" s="1"/>
      <c r="V12027" s="1"/>
      <c r="W12027" s="1"/>
      <c r="X12027" s="1"/>
      <c r="Y12027" s="1"/>
      <c r="Z12027" s="1"/>
      <c r="AA12027" s="1"/>
      <c r="AB12027" s="1"/>
      <c r="AC12027" s="1"/>
      <c r="AD12027" s="1"/>
      <c r="AE12027" s="1"/>
      <c r="AF12027" s="1"/>
      <c r="AG12027" s="1"/>
      <c r="AH12027" s="1"/>
    </row>
    <row r="12028" ht="12.75" customHeight="1">
      <c r="A12028" s="17"/>
      <c r="B12028" s="1"/>
      <c r="C12028" s="1"/>
      <c r="D12028" s="150"/>
      <c r="E12028" s="150"/>
      <c r="F12028" s="75"/>
      <c r="G12028" s="67"/>
      <c r="H12028" s="68"/>
      <c r="I12028" s="76"/>
      <c r="J12028" s="67"/>
      <c r="K12028" s="1"/>
      <c r="L12028" s="77"/>
      <c r="M12028" s="79"/>
      <c r="N12028" s="1"/>
      <c r="O12028" s="1"/>
      <c r="P12028" s="1"/>
      <c r="Q12028" s="1"/>
      <c r="R12028" s="1"/>
      <c r="S12028" s="1"/>
      <c r="T12028" s="1"/>
      <c r="U12028" s="1"/>
      <c r="V12028" s="1"/>
      <c r="W12028" s="1"/>
      <c r="X12028" s="1"/>
      <c r="Y12028" s="1"/>
      <c r="Z12028" s="1"/>
      <c r="AA12028" s="1"/>
      <c r="AB12028" s="1"/>
      <c r="AC12028" s="1"/>
      <c r="AD12028" s="1"/>
      <c r="AE12028" s="1"/>
      <c r="AF12028" s="1"/>
      <c r="AG12028" s="1"/>
      <c r="AH12028" s="1"/>
    </row>
    <row r="12029" ht="12.75" customHeight="1">
      <c r="A12029" s="17"/>
      <c r="B12029" s="1"/>
      <c r="C12029" s="1"/>
      <c r="D12029" s="150"/>
      <c r="E12029" s="150"/>
      <c r="F12029" s="75"/>
      <c r="G12029" s="67"/>
      <c r="H12029" s="68"/>
      <c r="I12029" s="76"/>
      <c r="J12029" s="67"/>
      <c r="K12029" s="1"/>
      <c r="L12029" s="77"/>
      <c r="M12029" s="79"/>
      <c r="N12029" s="1"/>
      <c r="O12029" s="1"/>
      <c r="P12029" s="1"/>
      <c r="Q12029" s="1"/>
      <c r="R12029" s="1"/>
      <c r="S12029" s="1"/>
      <c r="T12029" s="1"/>
      <c r="U12029" s="1"/>
      <c r="V12029" s="1"/>
      <c r="W12029" s="1"/>
      <c r="X12029" s="1"/>
      <c r="Y12029" s="1"/>
      <c r="Z12029" s="1"/>
      <c r="AA12029" s="1"/>
      <c r="AB12029" s="1"/>
      <c r="AC12029" s="1"/>
      <c r="AD12029" s="1"/>
      <c r="AE12029" s="1"/>
      <c r="AF12029" s="1"/>
      <c r="AG12029" s="1"/>
      <c r="AH12029" s="1"/>
    </row>
    <row r="12030" ht="12.75" customHeight="1">
      <c r="A12030" s="17"/>
      <c r="B12030" s="1"/>
      <c r="C12030" s="1"/>
      <c r="D12030" s="150"/>
      <c r="E12030" s="150"/>
      <c r="F12030" s="75"/>
      <c r="G12030" s="67"/>
      <c r="H12030" s="68"/>
      <c r="I12030" s="76"/>
      <c r="J12030" s="67"/>
      <c r="K12030" s="1"/>
      <c r="L12030" s="77"/>
      <c r="M12030" s="79"/>
      <c r="N12030" s="1"/>
      <c r="O12030" s="1"/>
      <c r="P12030" s="1"/>
      <c r="Q12030" s="1"/>
      <c r="R12030" s="1"/>
      <c r="S12030" s="1"/>
      <c r="T12030" s="1"/>
      <c r="U12030" s="1"/>
      <c r="V12030" s="1"/>
      <c r="W12030" s="1"/>
      <c r="X12030" s="1"/>
      <c r="Y12030" s="1"/>
      <c r="Z12030" s="1"/>
      <c r="AA12030" s="1"/>
      <c r="AB12030" s="1"/>
      <c r="AC12030" s="1"/>
      <c r="AD12030" s="1"/>
      <c r="AE12030" s="1"/>
      <c r="AF12030" s="1"/>
      <c r="AG12030" s="1"/>
      <c r="AH12030" s="1"/>
    </row>
    <row r="12031" ht="12.75" customHeight="1">
      <c r="A12031" s="17"/>
      <c r="B12031" s="1"/>
      <c r="C12031" s="1"/>
      <c r="D12031" s="150"/>
      <c r="E12031" s="150"/>
      <c r="F12031" s="75"/>
      <c r="G12031" s="67"/>
      <c r="H12031" s="68"/>
      <c r="I12031" s="76"/>
      <c r="J12031" s="67"/>
      <c r="K12031" s="1"/>
      <c r="L12031" s="77"/>
      <c r="M12031" s="79"/>
      <c r="N12031" s="1"/>
      <c r="O12031" s="1"/>
      <c r="P12031" s="1"/>
      <c r="Q12031" s="1"/>
      <c r="R12031" s="1"/>
      <c r="S12031" s="1"/>
      <c r="T12031" s="1"/>
      <c r="U12031" s="1"/>
      <c r="V12031" s="1"/>
      <c r="W12031" s="1"/>
      <c r="X12031" s="1"/>
      <c r="Y12031" s="1"/>
      <c r="Z12031" s="1"/>
      <c r="AA12031" s="1"/>
      <c r="AB12031" s="1"/>
      <c r="AC12031" s="1"/>
      <c r="AD12031" s="1"/>
      <c r="AE12031" s="1"/>
      <c r="AF12031" s="1"/>
      <c r="AG12031" s="1"/>
      <c r="AH12031" s="1"/>
    </row>
    <row r="12032" ht="12.75" customHeight="1">
      <c r="A12032" s="17"/>
      <c r="B12032" s="1"/>
      <c r="C12032" s="1"/>
      <c r="D12032" s="150"/>
      <c r="E12032" s="150"/>
      <c r="F12032" s="75"/>
      <c r="G12032" s="67"/>
      <c r="H12032" s="68"/>
      <c r="I12032" s="76"/>
      <c r="J12032" s="67"/>
      <c r="K12032" s="1"/>
      <c r="L12032" s="77"/>
      <c r="M12032" s="79"/>
      <c r="N12032" s="1"/>
      <c r="O12032" s="1"/>
      <c r="P12032" s="1"/>
      <c r="Q12032" s="1"/>
      <c r="R12032" s="1"/>
      <c r="S12032" s="1"/>
      <c r="T12032" s="1"/>
      <c r="U12032" s="1"/>
      <c r="V12032" s="1"/>
      <c r="W12032" s="1"/>
      <c r="X12032" s="1"/>
      <c r="Y12032" s="1"/>
      <c r="Z12032" s="1"/>
      <c r="AA12032" s="1"/>
      <c r="AB12032" s="1"/>
      <c r="AC12032" s="1"/>
      <c r="AD12032" s="1"/>
      <c r="AE12032" s="1"/>
      <c r="AF12032" s="1"/>
      <c r="AG12032" s="1"/>
      <c r="AH12032" s="1"/>
    </row>
    <row r="12033" ht="12.75" customHeight="1">
      <c r="A12033" s="17"/>
      <c r="B12033" s="1"/>
      <c r="C12033" s="1"/>
      <c r="D12033" s="150"/>
      <c r="E12033" s="150"/>
      <c r="F12033" s="75"/>
      <c r="G12033" s="67"/>
      <c r="H12033" s="68"/>
      <c r="I12033" s="76"/>
      <c r="J12033" s="67"/>
      <c r="K12033" s="1"/>
      <c r="L12033" s="77"/>
      <c r="M12033" s="79"/>
      <c r="N12033" s="1"/>
      <c r="O12033" s="1"/>
      <c r="P12033" s="1"/>
      <c r="Q12033" s="1"/>
      <c r="R12033" s="1"/>
      <c r="S12033" s="1"/>
      <c r="T12033" s="1"/>
      <c r="U12033" s="1"/>
      <c r="V12033" s="1"/>
      <c r="W12033" s="1"/>
      <c r="X12033" s="1"/>
      <c r="Y12033" s="1"/>
      <c r="Z12033" s="1"/>
      <c r="AA12033" s="1"/>
      <c r="AB12033" s="1"/>
      <c r="AC12033" s="1"/>
      <c r="AD12033" s="1"/>
      <c r="AE12033" s="1"/>
      <c r="AF12033" s="1"/>
      <c r="AG12033" s="1"/>
      <c r="AH12033" s="1"/>
    </row>
    <row r="12034" ht="12.75" customHeight="1">
      <c r="A12034" s="17"/>
      <c r="B12034" s="1"/>
      <c r="C12034" s="1"/>
      <c r="D12034" s="150"/>
      <c r="E12034" s="150"/>
      <c r="F12034" s="75"/>
      <c r="G12034" s="67"/>
      <c r="H12034" s="68"/>
      <c r="I12034" s="76"/>
      <c r="J12034" s="67"/>
      <c r="K12034" s="1"/>
      <c r="L12034" s="77"/>
      <c r="M12034" s="79"/>
      <c r="N12034" s="1"/>
      <c r="O12034" s="1"/>
      <c r="P12034" s="1"/>
      <c r="Q12034" s="1"/>
      <c r="R12034" s="1"/>
      <c r="S12034" s="1"/>
      <c r="T12034" s="1"/>
      <c r="U12034" s="1"/>
      <c r="V12034" s="1"/>
      <c r="W12034" s="1"/>
      <c r="X12034" s="1"/>
      <c r="Y12034" s="1"/>
      <c r="Z12034" s="1"/>
      <c r="AA12034" s="1"/>
      <c r="AB12034" s="1"/>
      <c r="AC12034" s="1"/>
      <c r="AD12034" s="1"/>
      <c r="AE12034" s="1"/>
      <c r="AF12034" s="1"/>
      <c r="AG12034" s="1"/>
      <c r="AH12034" s="1"/>
    </row>
    <row r="12035" ht="12.75" customHeight="1">
      <c r="A12035" s="17"/>
      <c r="B12035" s="1"/>
      <c r="C12035" s="1"/>
      <c r="D12035" s="150"/>
      <c r="E12035" s="150"/>
      <c r="F12035" s="75"/>
      <c r="G12035" s="67"/>
      <c r="H12035" s="68"/>
      <c r="I12035" s="76"/>
      <c r="J12035" s="67"/>
      <c r="K12035" s="1"/>
      <c r="L12035" s="77"/>
      <c r="M12035" s="79"/>
      <c r="N12035" s="1"/>
      <c r="O12035" s="1"/>
      <c r="P12035" s="1"/>
      <c r="Q12035" s="1"/>
      <c r="R12035" s="1"/>
      <c r="S12035" s="1"/>
      <c r="T12035" s="1"/>
      <c r="U12035" s="1"/>
      <c r="V12035" s="1"/>
      <c r="W12035" s="1"/>
      <c r="X12035" s="1"/>
      <c r="Y12035" s="1"/>
      <c r="Z12035" s="1"/>
      <c r="AA12035" s="1"/>
      <c r="AB12035" s="1"/>
      <c r="AC12035" s="1"/>
      <c r="AD12035" s="1"/>
      <c r="AE12035" s="1"/>
      <c r="AF12035" s="1"/>
      <c r="AG12035" s="1"/>
      <c r="AH12035" s="1"/>
    </row>
    <row r="12036" ht="12.75" customHeight="1">
      <c r="A12036" s="17"/>
      <c r="B12036" s="1"/>
      <c r="C12036" s="1"/>
      <c r="D12036" s="150"/>
      <c r="E12036" s="150"/>
      <c r="F12036" s="75"/>
      <c r="G12036" s="67"/>
      <c r="H12036" s="68"/>
      <c r="I12036" s="76"/>
      <c r="J12036" s="67"/>
      <c r="K12036" s="1"/>
      <c r="L12036" s="77"/>
      <c r="M12036" s="79"/>
      <c r="N12036" s="1"/>
      <c r="O12036" s="1"/>
      <c r="P12036" s="1"/>
      <c r="Q12036" s="1"/>
      <c r="R12036" s="1"/>
      <c r="S12036" s="1"/>
      <c r="T12036" s="1"/>
      <c r="U12036" s="1"/>
      <c r="V12036" s="1"/>
      <c r="W12036" s="1"/>
      <c r="X12036" s="1"/>
      <c r="Y12036" s="1"/>
      <c r="Z12036" s="1"/>
      <c r="AA12036" s="1"/>
      <c r="AB12036" s="1"/>
      <c r="AC12036" s="1"/>
      <c r="AD12036" s="1"/>
      <c r="AE12036" s="1"/>
      <c r="AF12036" s="1"/>
      <c r="AG12036" s="1"/>
      <c r="AH12036" s="1"/>
    </row>
    <row r="12037" ht="12.75" customHeight="1">
      <c r="A12037" s="17"/>
      <c r="B12037" s="1"/>
      <c r="C12037" s="1"/>
      <c r="D12037" s="150"/>
      <c r="E12037" s="150"/>
      <c r="F12037" s="75"/>
      <c r="G12037" s="67"/>
      <c r="H12037" s="68"/>
      <c r="I12037" s="76"/>
      <c r="J12037" s="67"/>
      <c r="K12037" s="1"/>
      <c r="L12037" s="77"/>
      <c r="M12037" s="79"/>
      <c r="N12037" s="1"/>
      <c r="O12037" s="1"/>
      <c r="P12037" s="1"/>
      <c r="Q12037" s="1"/>
      <c r="R12037" s="1"/>
      <c r="S12037" s="1"/>
      <c r="T12037" s="1"/>
      <c r="U12037" s="1"/>
      <c r="V12037" s="1"/>
      <c r="W12037" s="1"/>
      <c r="X12037" s="1"/>
      <c r="Y12037" s="1"/>
      <c r="Z12037" s="1"/>
      <c r="AA12037" s="1"/>
      <c r="AB12037" s="1"/>
      <c r="AC12037" s="1"/>
      <c r="AD12037" s="1"/>
      <c r="AE12037" s="1"/>
      <c r="AF12037" s="1"/>
      <c r="AG12037" s="1"/>
      <c r="AH12037" s="1"/>
    </row>
    <row r="12038" ht="12.75" customHeight="1">
      <c r="A12038" s="17"/>
      <c r="B12038" s="1"/>
      <c r="C12038" s="1"/>
      <c r="D12038" s="150"/>
      <c r="E12038" s="150"/>
      <c r="F12038" s="75"/>
      <c r="G12038" s="67"/>
      <c r="H12038" s="68"/>
      <c r="I12038" s="76"/>
      <c r="J12038" s="67"/>
      <c r="K12038" s="1"/>
      <c r="L12038" s="77"/>
      <c r="M12038" s="79"/>
      <c r="N12038" s="1"/>
      <c r="O12038" s="1"/>
      <c r="P12038" s="1"/>
      <c r="Q12038" s="1"/>
      <c r="R12038" s="1"/>
      <c r="S12038" s="1"/>
      <c r="T12038" s="1"/>
      <c r="U12038" s="1"/>
      <c r="V12038" s="1"/>
      <c r="W12038" s="1"/>
      <c r="X12038" s="1"/>
      <c r="Y12038" s="1"/>
      <c r="Z12038" s="1"/>
      <c r="AA12038" s="1"/>
      <c r="AB12038" s="1"/>
      <c r="AC12038" s="1"/>
      <c r="AD12038" s="1"/>
      <c r="AE12038" s="1"/>
      <c r="AF12038" s="1"/>
      <c r="AG12038" s="1"/>
      <c r="AH12038" s="1"/>
    </row>
    <row r="12039" ht="12.75" customHeight="1">
      <c r="A12039" s="17"/>
      <c r="B12039" s="1"/>
      <c r="C12039" s="1"/>
      <c r="D12039" s="150"/>
      <c r="E12039" s="150"/>
      <c r="F12039" s="75"/>
      <c r="G12039" s="67"/>
      <c r="H12039" s="68"/>
      <c r="I12039" s="76"/>
      <c r="J12039" s="67"/>
      <c r="K12039" s="1"/>
      <c r="L12039" s="77"/>
      <c r="M12039" s="79"/>
      <c r="N12039" s="1"/>
      <c r="O12039" s="1"/>
      <c r="P12039" s="1"/>
      <c r="Q12039" s="1"/>
      <c r="R12039" s="1"/>
      <c r="S12039" s="1"/>
      <c r="T12039" s="1"/>
      <c r="U12039" s="1"/>
      <c r="V12039" s="1"/>
      <c r="W12039" s="1"/>
      <c r="X12039" s="1"/>
      <c r="Y12039" s="1"/>
      <c r="Z12039" s="1"/>
      <c r="AA12039" s="1"/>
      <c r="AB12039" s="1"/>
      <c r="AC12039" s="1"/>
      <c r="AD12039" s="1"/>
      <c r="AE12039" s="1"/>
      <c r="AF12039" s="1"/>
      <c r="AG12039" s="1"/>
      <c r="AH12039" s="1"/>
    </row>
    <row r="12040" ht="12.75" customHeight="1">
      <c r="A12040" s="17"/>
      <c r="B12040" s="1"/>
      <c r="C12040" s="1"/>
      <c r="D12040" s="150"/>
      <c r="E12040" s="150"/>
      <c r="F12040" s="75"/>
      <c r="G12040" s="67"/>
      <c r="H12040" s="68"/>
      <c r="I12040" s="76"/>
      <c r="J12040" s="67"/>
      <c r="K12040" s="1"/>
      <c r="L12040" s="77"/>
      <c r="M12040" s="79"/>
      <c r="N12040" s="1"/>
      <c r="O12040" s="1"/>
      <c r="P12040" s="1"/>
      <c r="Q12040" s="1"/>
      <c r="R12040" s="1"/>
      <c r="S12040" s="1"/>
      <c r="T12040" s="1"/>
      <c r="U12040" s="1"/>
      <c r="V12040" s="1"/>
      <c r="W12040" s="1"/>
      <c r="X12040" s="1"/>
      <c r="Y12040" s="1"/>
      <c r="Z12040" s="1"/>
      <c r="AA12040" s="1"/>
      <c r="AB12040" s="1"/>
      <c r="AC12040" s="1"/>
      <c r="AD12040" s="1"/>
      <c r="AE12040" s="1"/>
      <c r="AF12040" s="1"/>
      <c r="AG12040" s="1"/>
      <c r="AH12040" s="1"/>
    </row>
    <row r="12041" ht="12.75" customHeight="1">
      <c r="A12041" s="17"/>
      <c r="B12041" s="1"/>
      <c r="C12041" s="1"/>
      <c r="D12041" s="150"/>
      <c r="E12041" s="150"/>
      <c r="F12041" s="75"/>
      <c r="G12041" s="67"/>
      <c r="H12041" s="68"/>
      <c r="I12041" s="76"/>
      <c r="J12041" s="67"/>
      <c r="K12041" s="1"/>
      <c r="L12041" s="77"/>
      <c r="M12041" s="79"/>
      <c r="N12041" s="1"/>
      <c r="O12041" s="1"/>
      <c r="P12041" s="1"/>
      <c r="Q12041" s="1"/>
      <c r="R12041" s="1"/>
      <c r="S12041" s="1"/>
      <c r="T12041" s="1"/>
      <c r="U12041" s="1"/>
      <c r="V12041" s="1"/>
      <c r="W12041" s="1"/>
      <c r="X12041" s="1"/>
      <c r="Y12041" s="1"/>
      <c r="Z12041" s="1"/>
      <c r="AA12041" s="1"/>
      <c r="AB12041" s="1"/>
      <c r="AC12041" s="1"/>
      <c r="AD12041" s="1"/>
      <c r="AE12041" s="1"/>
      <c r="AF12041" s="1"/>
      <c r="AG12041" s="1"/>
      <c r="AH12041" s="1"/>
    </row>
    <row r="12042" ht="12.75" customHeight="1">
      <c r="A12042" s="17"/>
      <c r="B12042" s="1"/>
      <c r="C12042" s="1"/>
      <c r="D12042" s="150"/>
      <c r="E12042" s="150"/>
      <c r="F12042" s="75"/>
      <c r="G12042" s="67"/>
      <c r="H12042" s="68"/>
      <c r="I12042" s="76"/>
      <c r="J12042" s="67"/>
      <c r="K12042" s="1"/>
      <c r="L12042" s="77"/>
      <c r="M12042" s="79"/>
      <c r="N12042" s="1"/>
      <c r="O12042" s="1"/>
      <c r="P12042" s="1"/>
      <c r="Q12042" s="1"/>
      <c r="R12042" s="1"/>
      <c r="S12042" s="1"/>
      <c r="T12042" s="1"/>
      <c r="U12042" s="1"/>
      <c r="V12042" s="1"/>
      <c r="W12042" s="1"/>
      <c r="X12042" s="1"/>
      <c r="Y12042" s="1"/>
      <c r="Z12042" s="1"/>
      <c r="AA12042" s="1"/>
      <c r="AB12042" s="1"/>
      <c r="AC12042" s="1"/>
      <c r="AD12042" s="1"/>
      <c r="AE12042" s="1"/>
      <c r="AF12042" s="1"/>
      <c r="AG12042" s="1"/>
      <c r="AH12042" s="1"/>
    </row>
    <row r="12043" ht="12.75" customHeight="1">
      <c r="A12043" s="17"/>
      <c r="B12043" s="1"/>
      <c r="C12043" s="1"/>
      <c r="D12043" s="150"/>
      <c r="E12043" s="150"/>
      <c r="F12043" s="75"/>
      <c r="G12043" s="67"/>
      <c r="H12043" s="68"/>
      <c r="I12043" s="76"/>
      <c r="J12043" s="67"/>
      <c r="K12043" s="1"/>
      <c r="L12043" s="77"/>
      <c r="M12043" s="79"/>
      <c r="N12043" s="1"/>
      <c r="O12043" s="1"/>
      <c r="P12043" s="1"/>
      <c r="Q12043" s="1"/>
      <c r="R12043" s="1"/>
      <c r="S12043" s="1"/>
      <c r="T12043" s="1"/>
      <c r="U12043" s="1"/>
      <c r="V12043" s="1"/>
      <c r="W12043" s="1"/>
      <c r="X12043" s="1"/>
      <c r="Y12043" s="1"/>
      <c r="Z12043" s="1"/>
      <c r="AA12043" s="1"/>
      <c r="AB12043" s="1"/>
      <c r="AC12043" s="1"/>
      <c r="AD12043" s="1"/>
      <c r="AE12043" s="1"/>
      <c r="AF12043" s="1"/>
      <c r="AG12043" s="1"/>
      <c r="AH12043" s="1"/>
    </row>
    <row r="12044" ht="12.75" customHeight="1">
      <c r="A12044" s="17"/>
      <c r="B12044" s="1"/>
      <c r="C12044" s="1"/>
      <c r="D12044" s="150"/>
      <c r="E12044" s="150"/>
      <c r="F12044" s="75"/>
      <c r="G12044" s="67"/>
      <c r="H12044" s="68"/>
      <c r="I12044" s="76"/>
      <c r="J12044" s="67"/>
      <c r="K12044" s="1"/>
      <c r="L12044" s="77"/>
      <c r="M12044" s="79"/>
      <c r="N12044" s="1"/>
      <c r="O12044" s="1"/>
      <c r="P12044" s="1"/>
      <c r="Q12044" s="1"/>
      <c r="R12044" s="1"/>
      <c r="S12044" s="1"/>
      <c r="T12044" s="1"/>
      <c r="U12044" s="1"/>
      <c r="V12044" s="1"/>
      <c r="W12044" s="1"/>
      <c r="X12044" s="1"/>
      <c r="Y12044" s="1"/>
      <c r="Z12044" s="1"/>
      <c r="AA12044" s="1"/>
      <c r="AB12044" s="1"/>
      <c r="AC12044" s="1"/>
      <c r="AD12044" s="1"/>
      <c r="AE12044" s="1"/>
      <c r="AF12044" s="1"/>
      <c r="AG12044" s="1"/>
      <c r="AH12044" s="1"/>
    </row>
    <row r="12045" ht="12.75" customHeight="1">
      <c r="A12045" s="17"/>
      <c r="B12045" s="1"/>
      <c r="C12045" s="1"/>
      <c r="D12045" s="150"/>
      <c r="E12045" s="150"/>
      <c r="F12045" s="75"/>
      <c r="G12045" s="67"/>
      <c r="H12045" s="68"/>
      <c r="I12045" s="76"/>
      <c r="J12045" s="67"/>
      <c r="K12045" s="1"/>
      <c r="L12045" s="77"/>
      <c r="M12045" s="79"/>
      <c r="N12045" s="1"/>
      <c r="O12045" s="1"/>
      <c r="P12045" s="1"/>
      <c r="Q12045" s="1"/>
      <c r="R12045" s="1"/>
      <c r="S12045" s="1"/>
      <c r="T12045" s="1"/>
      <c r="U12045" s="1"/>
      <c r="V12045" s="1"/>
      <c r="W12045" s="1"/>
      <c r="X12045" s="1"/>
      <c r="Y12045" s="1"/>
      <c r="Z12045" s="1"/>
      <c r="AA12045" s="1"/>
      <c r="AB12045" s="1"/>
      <c r="AC12045" s="1"/>
      <c r="AD12045" s="1"/>
      <c r="AE12045" s="1"/>
      <c r="AF12045" s="1"/>
      <c r="AG12045" s="1"/>
      <c r="AH12045" s="1"/>
    </row>
    <row r="12046" ht="12.75" customHeight="1">
      <c r="A12046" s="17"/>
      <c r="B12046" s="1"/>
      <c r="C12046" s="1"/>
      <c r="D12046" s="150"/>
      <c r="E12046" s="150"/>
      <c r="F12046" s="75"/>
      <c r="G12046" s="67"/>
      <c r="H12046" s="68"/>
      <c r="I12046" s="76"/>
      <c r="J12046" s="67"/>
      <c r="K12046" s="1"/>
      <c r="L12046" s="77"/>
      <c r="M12046" s="79"/>
      <c r="N12046" s="1"/>
      <c r="O12046" s="1"/>
      <c r="P12046" s="1"/>
      <c r="Q12046" s="1"/>
      <c r="R12046" s="1"/>
      <c r="S12046" s="1"/>
      <c r="T12046" s="1"/>
      <c r="U12046" s="1"/>
      <c r="V12046" s="1"/>
      <c r="W12046" s="1"/>
      <c r="X12046" s="1"/>
      <c r="Y12046" s="1"/>
      <c r="Z12046" s="1"/>
      <c r="AA12046" s="1"/>
      <c r="AB12046" s="1"/>
      <c r="AC12046" s="1"/>
      <c r="AD12046" s="1"/>
      <c r="AE12046" s="1"/>
      <c r="AF12046" s="1"/>
      <c r="AG12046" s="1"/>
      <c r="AH12046" s="1"/>
    </row>
    <row r="12047" ht="12.75" customHeight="1">
      <c r="A12047" s="17"/>
      <c r="B12047" s="1"/>
      <c r="C12047" s="1"/>
      <c r="D12047" s="150"/>
      <c r="E12047" s="150"/>
      <c r="F12047" s="75"/>
      <c r="G12047" s="67"/>
      <c r="H12047" s="68"/>
      <c r="I12047" s="76"/>
      <c r="J12047" s="67"/>
      <c r="K12047" s="1"/>
      <c r="L12047" s="77"/>
      <c r="M12047" s="79"/>
      <c r="N12047" s="1"/>
      <c r="O12047" s="1"/>
      <c r="P12047" s="1"/>
      <c r="Q12047" s="1"/>
      <c r="R12047" s="1"/>
      <c r="S12047" s="1"/>
      <c r="T12047" s="1"/>
      <c r="U12047" s="1"/>
      <c r="V12047" s="1"/>
      <c r="W12047" s="1"/>
      <c r="X12047" s="1"/>
      <c r="Y12047" s="1"/>
      <c r="Z12047" s="1"/>
      <c r="AA12047" s="1"/>
      <c r="AB12047" s="1"/>
      <c r="AC12047" s="1"/>
      <c r="AD12047" s="1"/>
      <c r="AE12047" s="1"/>
      <c r="AF12047" s="1"/>
      <c r="AG12047" s="1"/>
      <c r="AH12047" s="1"/>
    </row>
    <row r="12048" ht="12.75" customHeight="1">
      <c r="A12048" s="17"/>
      <c r="B12048" s="1"/>
      <c r="C12048" s="1"/>
      <c r="D12048" s="150"/>
      <c r="E12048" s="150"/>
      <c r="F12048" s="75"/>
      <c r="G12048" s="67"/>
      <c r="H12048" s="68"/>
      <c r="I12048" s="76"/>
      <c r="J12048" s="67"/>
      <c r="K12048" s="1"/>
      <c r="L12048" s="77"/>
      <c r="M12048" s="79"/>
      <c r="N12048" s="1"/>
      <c r="O12048" s="1"/>
      <c r="P12048" s="1"/>
      <c r="Q12048" s="1"/>
      <c r="R12048" s="1"/>
      <c r="S12048" s="1"/>
      <c r="T12048" s="1"/>
      <c r="U12048" s="1"/>
      <c r="V12048" s="1"/>
      <c r="W12048" s="1"/>
      <c r="X12048" s="1"/>
      <c r="Y12048" s="1"/>
      <c r="Z12048" s="1"/>
      <c r="AA12048" s="1"/>
      <c r="AB12048" s="1"/>
      <c r="AC12048" s="1"/>
      <c r="AD12048" s="1"/>
      <c r="AE12048" s="1"/>
      <c r="AF12048" s="1"/>
      <c r="AG12048" s="1"/>
      <c r="AH12048" s="1"/>
    </row>
    <row r="12049" ht="12.75" customHeight="1">
      <c r="A12049" s="17"/>
      <c r="B12049" s="1"/>
      <c r="C12049" s="1"/>
      <c r="D12049" s="150"/>
      <c r="E12049" s="150"/>
      <c r="F12049" s="75"/>
      <c r="G12049" s="67"/>
      <c r="H12049" s="68"/>
      <c r="I12049" s="76"/>
      <c r="J12049" s="67"/>
      <c r="K12049" s="1"/>
      <c r="L12049" s="77"/>
      <c r="M12049" s="79"/>
      <c r="N12049" s="1"/>
      <c r="O12049" s="1"/>
      <c r="P12049" s="1"/>
      <c r="Q12049" s="1"/>
      <c r="R12049" s="1"/>
      <c r="S12049" s="1"/>
      <c r="T12049" s="1"/>
      <c r="U12049" s="1"/>
      <c r="V12049" s="1"/>
      <c r="W12049" s="1"/>
      <c r="X12049" s="1"/>
      <c r="Y12049" s="1"/>
      <c r="Z12049" s="1"/>
      <c r="AA12049" s="1"/>
      <c r="AB12049" s="1"/>
      <c r="AC12049" s="1"/>
      <c r="AD12049" s="1"/>
      <c r="AE12049" s="1"/>
      <c r="AF12049" s="1"/>
      <c r="AG12049" s="1"/>
      <c r="AH12049" s="1"/>
    </row>
    <row r="12050" ht="12.75" customHeight="1">
      <c r="A12050" s="17"/>
      <c r="B12050" s="1"/>
      <c r="C12050" s="1"/>
      <c r="D12050" s="150"/>
      <c r="E12050" s="150"/>
      <c r="F12050" s="75"/>
      <c r="G12050" s="67"/>
      <c r="H12050" s="68"/>
      <c r="I12050" s="76"/>
      <c r="J12050" s="67"/>
      <c r="K12050" s="1"/>
      <c r="L12050" s="77"/>
      <c r="M12050" s="79"/>
      <c r="N12050" s="1"/>
      <c r="O12050" s="1"/>
      <c r="P12050" s="1"/>
      <c r="Q12050" s="1"/>
      <c r="R12050" s="1"/>
      <c r="S12050" s="1"/>
      <c r="T12050" s="1"/>
      <c r="U12050" s="1"/>
      <c r="V12050" s="1"/>
      <c r="W12050" s="1"/>
      <c r="X12050" s="1"/>
      <c r="Y12050" s="1"/>
      <c r="Z12050" s="1"/>
      <c r="AA12050" s="1"/>
      <c r="AB12050" s="1"/>
      <c r="AC12050" s="1"/>
      <c r="AD12050" s="1"/>
      <c r="AE12050" s="1"/>
      <c r="AF12050" s="1"/>
      <c r="AG12050" s="1"/>
      <c r="AH12050" s="1"/>
    </row>
    <row r="12051" ht="12.75" customHeight="1">
      <c r="A12051" s="17"/>
      <c r="B12051" s="1"/>
      <c r="C12051" s="1"/>
      <c r="D12051" s="150"/>
      <c r="E12051" s="150"/>
      <c r="F12051" s="75"/>
      <c r="G12051" s="67"/>
      <c r="H12051" s="68"/>
      <c r="I12051" s="76"/>
      <c r="J12051" s="67"/>
      <c r="K12051" s="1"/>
      <c r="L12051" s="77"/>
      <c r="M12051" s="79"/>
      <c r="N12051" s="1"/>
      <c r="O12051" s="1"/>
      <c r="P12051" s="1"/>
      <c r="Q12051" s="1"/>
      <c r="R12051" s="1"/>
      <c r="S12051" s="1"/>
      <c r="T12051" s="1"/>
      <c r="U12051" s="1"/>
      <c r="V12051" s="1"/>
      <c r="W12051" s="1"/>
      <c r="X12051" s="1"/>
      <c r="Y12051" s="1"/>
      <c r="Z12051" s="1"/>
      <c r="AA12051" s="1"/>
      <c r="AB12051" s="1"/>
      <c r="AC12051" s="1"/>
      <c r="AD12051" s="1"/>
      <c r="AE12051" s="1"/>
      <c r="AF12051" s="1"/>
      <c r="AG12051" s="1"/>
      <c r="AH12051" s="1"/>
    </row>
    <row r="12052" ht="12.75" customHeight="1">
      <c r="A12052" s="17"/>
      <c r="B12052" s="1"/>
      <c r="C12052" s="1"/>
      <c r="D12052" s="150"/>
      <c r="E12052" s="150"/>
      <c r="F12052" s="75"/>
      <c r="G12052" s="67"/>
      <c r="H12052" s="68"/>
      <c r="I12052" s="76"/>
      <c r="J12052" s="67"/>
      <c r="K12052" s="1"/>
      <c r="L12052" s="77"/>
      <c r="M12052" s="79"/>
      <c r="N12052" s="1"/>
      <c r="O12052" s="1"/>
      <c r="P12052" s="1"/>
      <c r="Q12052" s="1"/>
      <c r="R12052" s="1"/>
      <c r="S12052" s="1"/>
      <c r="T12052" s="1"/>
      <c r="U12052" s="1"/>
      <c r="V12052" s="1"/>
      <c r="W12052" s="1"/>
      <c r="X12052" s="1"/>
      <c r="Y12052" s="1"/>
      <c r="Z12052" s="1"/>
      <c r="AA12052" s="1"/>
      <c r="AB12052" s="1"/>
      <c r="AC12052" s="1"/>
      <c r="AD12052" s="1"/>
      <c r="AE12052" s="1"/>
      <c r="AF12052" s="1"/>
      <c r="AG12052" s="1"/>
      <c r="AH12052" s="1"/>
    </row>
    <row r="12053" ht="12.75" customHeight="1">
      <c r="A12053" s="17"/>
      <c r="B12053" s="1"/>
      <c r="C12053" s="1"/>
      <c r="D12053" s="150"/>
      <c r="E12053" s="150"/>
      <c r="F12053" s="75"/>
      <c r="G12053" s="67"/>
      <c r="H12053" s="68"/>
      <c r="I12053" s="76"/>
      <c r="J12053" s="67"/>
      <c r="K12053" s="1"/>
      <c r="L12053" s="77"/>
      <c r="M12053" s="79"/>
      <c r="N12053" s="1"/>
      <c r="O12053" s="1"/>
      <c r="P12053" s="1"/>
      <c r="Q12053" s="1"/>
      <c r="R12053" s="1"/>
      <c r="S12053" s="1"/>
      <c r="T12053" s="1"/>
      <c r="U12053" s="1"/>
      <c r="V12053" s="1"/>
      <c r="W12053" s="1"/>
      <c r="X12053" s="1"/>
      <c r="Y12053" s="1"/>
      <c r="Z12053" s="1"/>
      <c r="AA12053" s="1"/>
      <c r="AB12053" s="1"/>
      <c r="AC12053" s="1"/>
      <c r="AD12053" s="1"/>
      <c r="AE12053" s="1"/>
      <c r="AF12053" s="1"/>
      <c r="AG12053" s="1"/>
      <c r="AH12053" s="1"/>
    </row>
    <row r="12054" ht="12.75" customHeight="1">
      <c r="A12054" s="17"/>
      <c r="B12054" s="1"/>
      <c r="C12054" s="1"/>
      <c r="D12054" s="150"/>
      <c r="E12054" s="150"/>
      <c r="F12054" s="75"/>
      <c r="G12054" s="67"/>
      <c r="H12054" s="68"/>
      <c r="I12054" s="76"/>
      <c r="J12054" s="67"/>
      <c r="K12054" s="1"/>
      <c r="L12054" s="77"/>
      <c r="M12054" s="79"/>
      <c r="N12054" s="1"/>
      <c r="O12054" s="1"/>
      <c r="P12054" s="1"/>
      <c r="Q12054" s="1"/>
      <c r="R12054" s="1"/>
      <c r="S12054" s="1"/>
      <c r="T12054" s="1"/>
      <c r="U12054" s="1"/>
      <c r="V12054" s="1"/>
      <c r="W12054" s="1"/>
      <c r="X12054" s="1"/>
      <c r="Y12054" s="1"/>
      <c r="Z12054" s="1"/>
      <c r="AA12054" s="1"/>
      <c r="AB12054" s="1"/>
      <c r="AC12054" s="1"/>
      <c r="AD12054" s="1"/>
      <c r="AE12054" s="1"/>
      <c r="AF12054" s="1"/>
      <c r="AG12054" s="1"/>
      <c r="AH12054" s="1"/>
    </row>
    <row r="12055" ht="12.75" customHeight="1">
      <c r="A12055" s="17"/>
      <c r="B12055" s="1"/>
      <c r="C12055" s="1"/>
      <c r="D12055" s="150"/>
      <c r="E12055" s="150"/>
      <c r="F12055" s="75"/>
      <c r="G12055" s="67"/>
      <c r="H12055" s="68"/>
      <c r="I12055" s="76"/>
      <c r="J12055" s="67"/>
      <c r="K12055" s="1"/>
      <c r="L12055" s="77"/>
      <c r="M12055" s="79"/>
      <c r="N12055" s="1"/>
      <c r="O12055" s="1"/>
      <c r="P12055" s="1"/>
      <c r="Q12055" s="1"/>
      <c r="R12055" s="1"/>
      <c r="S12055" s="1"/>
      <c r="T12055" s="1"/>
      <c r="U12055" s="1"/>
      <c r="V12055" s="1"/>
      <c r="W12055" s="1"/>
      <c r="X12055" s="1"/>
      <c r="Y12055" s="1"/>
      <c r="Z12055" s="1"/>
      <c r="AA12055" s="1"/>
      <c r="AB12055" s="1"/>
      <c r="AC12055" s="1"/>
      <c r="AD12055" s="1"/>
      <c r="AE12055" s="1"/>
      <c r="AF12055" s="1"/>
      <c r="AG12055" s="1"/>
      <c r="AH12055" s="1"/>
    </row>
    <row r="12056" ht="12.75" customHeight="1">
      <c r="A12056" s="17"/>
      <c r="B12056" s="1"/>
      <c r="C12056" s="1"/>
      <c r="D12056" s="150"/>
      <c r="E12056" s="150"/>
      <c r="F12056" s="75"/>
      <c r="G12056" s="67"/>
      <c r="H12056" s="68"/>
      <c r="I12056" s="76"/>
      <c r="J12056" s="67"/>
      <c r="K12056" s="1"/>
      <c r="L12056" s="77"/>
      <c r="M12056" s="79"/>
      <c r="N12056" s="1"/>
      <c r="O12056" s="1"/>
      <c r="P12056" s="1"/>
      <c r="Q12056" s="1"/>
      <c r="R12056" s="1"/>
      <c r="S12056" s="1"/>
      <c r="T12056" s="1"/>
      <c r="U12056" s="1"/>
      <c r="V12056" s="1"/>
      <c r="W12056" s="1"/>
      <c r="X12056" s="1"/>
      <c r="Y12056" s="1"/>
      <c r="Z12056" s="1"/>
      <c r="AA12056" s="1"/>
      <c r="AB12056" s="1"/>
      <c r="AC12056" s="1"/>
      <c r="AD12056" s="1"/>
      <c r="AE12056" s="1"/>
      <c r="AF12056" s="1"/>
      <c r="AG12056" s="1"/>
      <c r="AH12056" s="1"/>
    </row>
    <row r="12057" ht="12.75" customHeight="1">
      <c r="A12057" s="17"/>
      <c r="B12057" s="1"/>
      <c r="C12057" s="1"/>
      <c r="D12057" s="150"/>
      <c r="E12057" s="150"/>
      <c r="F12057" s="75"/>
      <c r="G12057" s="67"/>
      <c r="H12057" s="68"/>
      <c r="I12057" s="76"/>
      <c r="J12057" s="67"/>
      <c r="K12057" s="1"/>
      <c r="L12057" s="77"/>
      <c r="M12057" s="79"/>
      <c r="N12057" s="1"/>
      <c r="O12057" s="1"/>
      <c r="P12057" s="1"/>
      <c r="Q12057" s="1"/>
      <c r="R12057" s="1"/>
      <c r="S12057" s="1"/>
      <c r="T12057" s="1"/>
      <c r="U12057" s="1"/>
      <c r="V12057" s="1"/>
      <c r="W12057" s="1"/>
      <c r="X12057" s="1"/>
      <c r="Y12057" s="1"/>
      <c r="Z12057" s="1"/>
      <c r="AA12057" s="1"/>
      <c r="AB12057" s="1"/>
      <c r="AC12057" s="1"/>
      <c r="AD12057" s="1"/>
      <c r="AE12057" s="1"/>
      <c r="AF12057" s="1"/>
      <c r="AG12057" s="1"/>
      <c r="AH12057" s="1"/>
    </row>
    <row r="12058" ht="12.75" customHeight="1">
      <c r="A12058" s="17"/>
      <c r="B12058" s="1"/>
      <c r="C12058" s="1"/>
      <c r="D12058" s="150"/>
      <c r="E12058" s="150"/>
      <c r="F12058" s="75"/>
      <c r="G12058" s="67"/>
      <c r="H12058" s="68"/>
      <c r="I12058" s="76"/>
      <c r="J12058" s="67"/>
      <c r="K12058" s="1"/>
      <c r="L12058" s="77"/>
      <c r="M12058" s="79"/>
      <c r="N12058" s="1"/>
      <c r="O12058" s="1"/>
      <c r="P12058" s="1"/>
      <c r="Q12058" s="1"/>
      <c r="R12058" s="1"/>
      <c r="S12058" s="1"/>
      <c r="T12058" s="1"/>
      <c r="U12058" s="1"/>
      <c r="V12058" s="1"/>
      <c r="W12058" s="1"/>
      <c r="X12058" s="1"/>
      <c r="Y12058" s="1"/>
      <c r="Z12058" s="1"/>
      <c r="AA12058" s="1"/>
      <c r="AB12058" s="1"/>
      <c r="AC12058" s="1"/>
      <c r="AD12058" s="1"/>
      <c r="AE12058" s="1"/>
      <c r="AF12058" s="1"/>
      <c r="AG12058" s="1"/>
      <c r="AH12058" s="1"/>
    </row>
    <row r="12059" ht="12.75" customHeight="1">
      <c r="A12059" s="17"/>
      <c r="B12059" s="1"/>
      <c r="C12059" s="1"/>
      <c r="D12059" s="150"/>
      <c r="E12059" s="150"/>
      <c r="F12059" s="75"/>
      <c r="G12059" s="67"/>
      <c r="H12059" s="68"/>
      <c r="I12059" s="76"/>
      <c r="J12059" s="67"/>
      <c r="K12059" s="1"/>
      <c r="L12059" s="77"/>
      <c r="M12059" s="79"/>
      <c r="N12059" s="1"/>
      <c r="O12059" s="1"/>
      <c r="P12059" s="1"/>
      <c r="Q12059" s="1"/>
      <c r="R12059" s="1"/>
      <c r="S12059" s="1"/>
      <c r="T12059" s="1"/>
      <c r="U12059" s="1"/>
      <c r="V12059" s="1"/>
      <c r="W12059" s="1"/>
      <c r="X12059" s="1"/>
      <c r="Y12059" s="1"/>
      <c r="Z12059" s="1"/>
      <c r="AA12059" s="1"/>
      <c r="AB12059" s="1"/>
      <c r="AC12059" s="1"/>
      <c r="AD12059" s="1"/>
      <c r="AE12059" s="1"/>
      <c r="AF12059" s="1"/>
      <c r="AG12059" s="1"/>
      <c r="AH12059" s="1"/>
    </row>
    <row r="12060" ht="12.75" customHeight="1">
      <c r="A12060" s="17"/>
      <c r="B12060" s="1"/>
      <c r="C12060" s="1"/>
      <c r="D12060" s="150"/>
      <c r="E12060" s="150"/>
      <c r="F12060" s="75"/>
      <c r="G12060" s="67"/>
      <c r="H12060" s="68"/>
      <c r="I12060" s="76"/>
      <c r="J12060" s="67"/>
      <c r="K12060" s="1"/>
      <c r="L12060" s="77"/>
      <c r="M12060" s="79"/>
      <c r="N12060" s="1"/>
      <c r="O12060" s="1"/>
      <c r="P12060" s="1"/>
      <c r="Q12060" s="1"/>
      <c r="R12060" s="1"/>
      <c r="S12060" s="1"/>
      <c r="T12060" s="1"/>
      <c r="U12060" s="1"/>
      <c r="V12060" s="1"/>
      <c r="W12060" s="1"/>
      <c r="X12060" s="1"/>
      <c r="Y12060" s="1"/>
      <c r="Z12060" s="1"/>
      <c r="AA12060" s="1"/>
      <c r="AB12060" s="1"/>
      <c r="AC12060" s="1"/>
      <c r="AD12060" s="1"/>
      <c r="AE12060" s="1"/>
      <c r="AF12060" s="1"/>
      <c r="AG12060" s="1"/>
      <c r="AH12060" s="1"/>
    </row>
    <row r="12061" ht="12.75" customHeight="1">
      <c r="A12061" s="17"/>
      <c r="B12061" s="1"/>
      <c r="C12061" s="1"/>
      <c r="D12061" s="150"/>
      <c r="E12061" s="150"/>
      <c r="F12061" s="75"/>
      <c r="G12061" s="67"/>
      <c r="H12061" s="68"/>
      <c r="I12061" s="76"/>
      <c r="J12061" s="67"/>
      <c r="K12061" s="1"/>
      <c r="L12061" s="77"/>
      <c r="M12061" s="79"/>
      <c r="N12061" s="1"/>
      <c r="O12061" s="1"/>
      <c r="P12061" s="1"/>
      <c r="Q12061" s="1"/>
      <c r="R12061" s="1"/>
      <c r="S12061" s="1"/>
      <c r="T12061" s="1"/>
      <c r="U12061" s="1"/>
      <c r="V12061" s="1"/>
      <c r="W12061" s="1"/>
      <c r="X12061" s="1"/>
      <c r="Y12061" s="1"/>
      <c r="Z12061" s="1"/>
      <c r="AA12061" s="1"/>
      <c r="AB12061" s="1"/>
      <c r="AC12061" s="1"/>
      <c r="AD12061" s="1"/>
      <c r="AE12061" s="1"/>
      <c r="AF12061" s="1"/>
      <c r="AG12061" s="1"/>
      <c r="AH12061" s="1"/>
    </row>
    <row r="12062" ht="12.75" customHeight="1">
      <c r="A12062" s="17"/>
      <c r="B12062" s="1"/>
      <c r="C12062" s="1"/>
      <c r="D12062" s="150"/>
      <c r="E12062" s="150"/>
      <c r="F12062" s="75"/>
      <c r="G12062" s="67"/>
      <c r="H12062" s="68"/>
      <c r="I12062" s="76"/>
      <c r="J12062" s="67"/>
      <c r="K12062" s="1"/>
      <c r="L12062" s="77"/>
      <c r="M12062" s="79"/>
      <c r="N12062" s="1"/>
      <c r="O12062" s="1"/>
      <c r="P12062" s="1"/>
      <c r="Q12062" s="1"/>
      <c r="R12062" s="1"/>
      <c r="S12062" s="1"/>
      <c r="T12062" s="1"/>
      <c r="U12062" s="1"/>
      <c r="V12062" s="1"/>
      <c r="W12062" s="1"/>
      <c r="X12062" s="1"/>
      <c r="Y12062" s="1"/>
      <c r="Z12062" s="1"/>
      <c r="AA12062" s="1"/>
      <c r="AB12062" s="1"/>
      <c r="AC12062" s="1"/>
      <c r="AD12062" s="1"/>
      <c r="AE12062" s="1"/>
      <c r="AF12062" s="1"/>
      <c r="AG12062" s="1"/>
      <c r="AH12062" s="1"/>
    </row>
    <row r="12063" ht="12.75" customHeight="1">
      <c r="A12063" s="17"/>
      <c r="B12063" s="1"/>
      <c r="C12063" s="1"/>
      <c r="D12063" s="150"/>
      <c r="E12063" s="150"/>
      <c r="F12063" s="75"/>
      <c r="G12063" s="67"/>
      <c r="H12063" s="68"/>
      <c r="I12063" s="76"/>
      <c r="J12063" s="67"/>
      <c r="K12063" s="1"/>
      <c r="L12063" s="77"/>
      <c r="M12063" s="79"/>
      <c r="N12063" s="1"/>
      <c r="O12063" s="1"/>
      <c r="P12063" s="1"/>
      <c r="Q12063" s="1"/>
      <c r="R12063" s="1"/>
      <c r="S12063" s="1"/>
      <c r="T12063" s="1"/>
      <c r="U12063" s="1"/>
      <c r="V12063" s="1"/>
      <c r="W12063" s="1"/>
      <c r="X12063" s="1"/>
      <c r="Y12063" s="1"/>
      <c r="Z12063" s="1"/>
      <c r="AA12063" s="1"/>
      <c r="AB12063" s="1"/>
      <c r="AC12063" s="1"/>
      <c r="AD12063" s="1"/>
      <c r="AE12063" s="1"/>
      <c r="AF12063" s="1"/>
      <c r="AG12063" s="1"/>
      <c r="AH12063" s="1"/>
    </row>
    <row r="12064" ht="12.75" customHeight="1">
      <c r="A12064" s="17"/>
      <c r="B12064" s="1"/>
      <c r="C12064" s="1"/>
      <c r="D12064" s="150"/>
      <c r="E12064" s="150"/>
      <c r="F12064" s="75"/>
      <c r="G12064" s="67"/>
      <c r="H12064" s="68"/>
      <c r="I12064" s="76"/>
      <c r="J12064" s="67"/>
      <c r="K12064" s="1"/>
      <c r="L12064" s="77"/>
      <c r="M12064" s="79"/>
      <c r="N12064" s="1"/>
      <c r="O12064" s="1"/>
      <c r="P12064" s="1"/>
      <c r="Q12064" s="1"/>
      <c r="R12064" s="1"/>
      <c r="S12064" s="1"/>
      <c r="T12064" s="1"/>
      <c r="U12064" s="1"/>
      <c r="V12064" s="1"/>
      <c r="W12064" s="1"/>
      <c r="X12064" s="1"/>
      <c r="Y12064" s="1"/>
      <c r="Z12064" s="1"/>
      <c r="AA12064" s="1"/>
      <c r="AB12064" s="1"/>
      <c r="AC12064" s="1"/>
      <c r="AD12064" s="1"/>
      <c r="AE12064" s="1"/>
      <c r="AF12064" s="1"/>
      <c r="AG12064" s="1"/>
      <c r="AH12064" s="1"/>
    </row>
    <row r="12065" ht="12.75" customHeight="1">
      <c r="A12065" s="17"/>
      <c r="B12065" s="1"/>
      <c r="C12065" s="1"/>
      <c r="D12065" s="150"/>
      <c r="E12065" s="150"/>
      <c r="F12065" s="75"/>
      <c r="G12065" s="67"/>
      <c r="H12065" s="68"/>
      <c r="I12065" s="76"/>
      <c r="J12065" s="67"/>
      <c r="K12065" s="1"/>
      <c r="L12065" s="77"/>
      <c r="M12065" s="79"/>
      <c r="N12065" s="1"/>
      <c r="O12065" s="1"/>
      <c r="P12065" s="1"/>
      <c r="Q12065" s="1"/>
      <c r="R12065" s="1"/>
      <c r="S12065" s="1"/>
      <c r="T12065" s="1"/>
      <c r="U12065" s="1"/>
      <c r="V12065" s="1"/>
      <c r="W12065" s="1"/>
      <c r="X12065" s="1"/>
      <c r="Y12065" s="1"/>
      <c r="Z12065" s="1"/>
      <c r="AA12065" s="1"/>
      <c r="AB12065" s="1"/>
      <c r="AC12065" s="1"/>
      <c r="AD12065" s="1"/>
      <c r="AE12065" s="1"/>
      <c r="AF12065" s="1"/>
      <c r="AG12065" s="1"/>
      <c r="AH12065" s="1"/>
    </row>
    <row r="12066" ht="12.75" customHeight="1">
      <c r="A12066" s="17"/>
      <c r="B12066" s="1"/>
      <c r="C12066" s="1"/>
      <c r="D12066" s="150"/>
      <c r="E12066" s="150"/>
      <c r="F12066" s="75"/>
      <c r="G12066" s="67"/>
      <c r="H12066" s="68"/>
      <c r="I12066" s="76"/>
      <c r="J12066" s="67"/>
      <c r="K12066" s="1"/>
      <c r="L12066" s="77"/>
      <c r="M12066" s="79"/>
      <c r="N12066" s="1"/>
      <c r="O12066" s="1"/>
      <c r="P12066" s="1"/>
      <c r="Q12066" s="1"/>
      <c r="R12066" s="1"/>
      <c r="S12066" s="1"/>
      <c r="T12066" s="1"/>
      <c r="U12066" s="1"/>
      <c r="V12066" s="1"/>
      <c r="W12066" s="1"/>
      <c r="X12066" s="1"/>
      <c r="Y12066" s="1"/>
      <c r="Z12066" s="1"/>
      <c r="AA12066" s="1"/>
      <c r="AB12066" s="1"/>
      <c r="AC12066" s="1"/>
      <c r="AD12066" s="1"/>
      <c r="AE12066" s="1"/>
      <c r="AF12066" s="1"/>
      <c r="AG12066" s="1"/>
      <c r="AH12066" s="1"/>
    </row>
    <row r="12067" ht="12.75" customHeight="1">
      <c r="A12067" s="17"/>
      <c r="B12067" s="1"/>
      <c r="C12067" s="1"/>
      <c r="D12067" s="150"/>
      <c r="E12067" s="150"/>
      <c r="F12067" s="75"/>
      <c r="G12067" s="67"/>
      <c r="H12067" s="68"/>
      <c r="I12067" s="76"/>
      <c r="J12067" s="67"/>
      <c r="K12067" s="1"/>
      <c r="L12067" s="77"/>
      <c r="M12067" s="79"/>
      <c r="N12067" s="1"/>
      <c r="O12067" s="1"/>
      <c r="P12067" s="1"/>
      <c r="Q12067" s="1"/>
      <c r="R12067" s="1"/>
      <c r="S12067" s="1"/>
      <c r="T12067" s="1"/>
      <c r="U12067" s="1"/>
      <c r="V12067" s="1"/>
      <c r="W12067" s="1"/>
      <c r="X12067" s="1"/>
      <c r="Y12067" s="1"/>
      <c r="Z12067" s="1"/>
      <c r="AA12067" s="1"/>
      <c r="AB12067" s="1"/>
      <c r="AC12067" s="1"/>
      <c r="AD12067" s="1"/>
      <c r="AE12067" s="1"/>
      <c r="AF12067" s="1"/>
      <c r="AG12067" s="1"/>
      <c r="AH12067" s="1"/>
    </row>
    <row r="12068" ht="12.75" customHeight="1">
      <c r="A12068" s="17"/>
      <c r="B12068" s="1"/>
      <c r="C12068" s="1"/>
      <c r="D12068" s="150"/>
      <c r="E12068" s="150"/>
      <c r="F12068" s="75"/>
      <c r="G12068" s="67"/>
      <c r="H12068" s="68"/>
      <c r="I12068" s="76"/>
      <c r="J12068" s="67"/>
      <c r="K12068" s="1"/>
      <c r="L12068" s="77"/>
      <c r="M12068" s="79"/>
      <c r="N12068" s="1"/>
      <c r="O12068" s="1"/>
      <c r="P12068" s="1"/>
      <c r="Q12068" s="1"/>
      <c r="R12068" s="1"/>
      <c r="S12068" s="1"/>
      <c r="T12068" s="1"/>
      <c r="U12068" s="1"/>
      <c r="V12068" s="1"/>
      <c r="W12068" s="1"/>
      <c r="X12068" s="1"/>
      <c r="Y12068" s="1"/>
      <c r="Z12068" s="1"/>
      <c r="AA12068" s="1"/>
      <c r="AB12068" s="1"/>
      <c r="AC12068" s="1"/>
      <c r="AD12068" s="1"/>
      <c r="AE12068" s="1"/>
      <c r="AF12068" s="1"/>
      <c r="AG12068" s="1"/>
      <c r="AH12068" s="1"/>
    </row>
    <row r="12069" ht="12.75" customHeight="1">
      <c r="A12069" s="17"/>
      <c r="B12069" s="1"/>
      <c r="C12069" s="1"/>
      <c r="D12069" s="150"/>
      <c r="E12069" s="150"/>
      <c r="F12069" s="75"/>
      <c r="G12069" s="67"/>
      <c r="H12069" s="68"/>
      <c r="I12069" s="76"/>
      <c r="J12069" s="67"/>
      <c r="K12069" s="1"/>
      <c r="L12069" s="77"/>
      <c r="M12069" s="79"/>
      <c r="N12069" s="1"/>
      <c r="O12069" s="1"/>
      <c r="P12069" s="1"/>
      <c r="Q12069" s="1"/>
      <c r="R12069" s="1"/>
      <c r="S12069" s="1"/>
      <c r="T12069" s="1"/>
      <c r="U12069" s="1"/>
      <c r="V12069" s="1"/>
      <c r="W12069" s="1"/>
      <c r="X12069" s="1"/>
      <c r="Y12069" s="1"/>
      <c r="Z12069" s="1"/>
      <c r="AA12069" s="1"/>
      <c r="AB12069" s="1"/>
      <c r="AC12069" s="1"/>
      <c r="AD12069" s="1"/>
      <c r="AE12069" s="1"/>
      <c r="AF12069" s="1"/>
      <c r="AG12069" s="1"/>
      <c r="AH12069" s="1"/>
    </row>
    <row r="12070" ht="12.75" customHeight="1">
      <c r="A12070" s="17"/>
      <c r="B12070" s="1"/>
      <c r="C12070" s="1"/>
      <c r="D12070" s="150"/>
      <c r="E12070" s="150"/>
      <c r="F12070" s="75"/>
      <c r="G12070" s="67"/>
      <c r="H12070" s="68"/>
      <c r="I12070" s="76"/>
      <c r="J12070" s="67"/>
      <c r="K12070" s="1"/>
      <c r="L12070" s="77"/>
      <c r="M12070" s="79"/>
      <c r="N12070" s="1"/>
      <c r="O12070" s="1"/>
      <c r="P12070" s="1"/>
      <c r="Q12070" s="1"/>
      <c r="R12070" s="1"/>
      <c r="S12070" s="1"/>
      <c r="T12070" s="1"/>
      <c r="U12070" s="1"/>
      <c r="V12070" s="1"/>
      <c r="W12070" s="1"/>
      <c r="X12070" s="1"/>
      <c r="Y12070" s="1"/>
      <c r="Z12070" s="1"/>
      <c r="AA12070" s="1"/>
      <c r="AB12070" s="1"/>
      <c r="AC12070" s="1"/>
      <c r="AD12070" s="1"/>
      <c r="AE12070" s="1"/>
      <c r="AF12070" s="1"/>
      <c r="AG12070" s="1"/>
      <c r="AH12070" s="1"/>
    </row>
    <row r="12071" ht="12.75" customHeight="1">
      <c r="A12071" s="17"/>
      <c r="B12071" s="1"/>
      <c r="C12071" s="1"/>
      <c r="D12071" s="150"/>
      <c r="E12071" s="150"/>
      <c r="F12071" s="75"/>
      <c r="G12071" s="67"/>
      <c r="H12071" s="68"/>
      <c r="I12071" s="76"/>
      <c r="J12071" s="67"/>
      <c r="K12071" s="1"/>
      <c r="L12071" s="77"/>
      <c r="M12071" s="79"/>
      <c r="N12071" s="1"/>
      <c r="O12071" s="1"/>
      <c r="P12071" s="1"/>
      <c r="Q12071" s="1"/>
      <c r="R12071" s="1"/>
      <c r="S12071" s="1"/>
      <c r="T12071" s="1"/>
      <c r="U12071" s="1"/>
      <c r="V12071" s="1"/>
      <c r="W12071" s="1"/>
      <c r="X12071" s="1"/>
      <c r="Y12071" s="1"/>
      <c r="Z12071" s="1"/>
      <c r="AA12071" s="1"/>
      <c r="AB12071" s="1"/>
      <c r="AC12071" s="1"/>
      <c r="AD12071" s="1"/>
      <c r="AE12071" s="1"/>
      <c r="AF12071" s="1"/>
      <c r="AG12071" s="1"/>
      <c r="AH12071" s="1"/>
    </row>
    <row r="12072" ht="12.75" customHeight="1">
      <c r="A12072" s="17"/>
      <c r="B12072" s="1"/>
      <c r="C12072" s="1"/>
      <c r="D12072" s="150"/>
      <c r="E12072" s="150"/>
      <c r="F12072" s="75"/>
      <c r="G12072" s="67"/>
      <c r="H12072" s="68"/>
      <c r="I12072" s="76"/>
      <c r="J12072" s="67"/>
      <c r="K12072" s="1"/>
      <c r="L12072" s="77"/>
      <c r="M12072" s="79"/>
      <c r="N12072" s="1"/>
      <c r="O12072" s="1"/>
      <c r="P12072" s="1"/>
      <c r="Q12072" s="1"/>
      <c r="R12072" s="1"/>
      <c r="S12072" s="1"/>
      <c r="T12072" s="1"/>
      <c r="U12072" s="1"/>
      <c r="V12072" s="1"/>
      <c r="W12072" s="1"/>
      <c r="X12072" s="1"/>
      <c r="Y12072" s="1"/>
      <c r="Z12072" s="1"/>
      <c r="AA12072" s="1"/>
      <c r="AB12072" s="1"/>
      <c r="AC12072" s="1"/>
      <c r="AD12072" s="1"/>
      <c r="AE12072" s="1"/>
      <c r="AF12072" s="1"/>
      <c r="AG12072" s="1"/>
      <c r="AH12072" s="1"/>
    </row>
    <row r="12073" ht="12.75" customHeight="1">
      <c r="A12073" s="17"/>
      <c r="B12073" s="1"/>
      <c r="C12073" s="1"/>
      <c r="D12073" s="150"/>
      <c r="E12073" s="150"/>
      <c r="F12073" s="75"/>
      <c r="G12073" s="67"/>
      <c r="H12073" s="68"/>
      <c r="I12073" s="76"/>
      <c r="J12073" s="67"/>
      <c r="K12073" s="1"/>
      <c r="L12073" s="77"/>
      <c r="M12073" s="79"/>
      <c r="N12073" s="1"/>
      <c r="O12073" s="1"/>
      <c r="P12073" s="1"/>
      <c r="Q12073" s="1"/>
      <c r="R12073" s="1"/>
      <c r="S12073" s="1"/>
      <c r="T12073" s="1"/>
      <c r="U12073" s="1"/>
      <c r="V12073" s="1"/>
      <c r="W12073" s="1"/>
      <c r="X12073" s="1"/>
      <c r="Y12073" s="1"/>
      <c r="Z12073" s="1"/>
      <c r="AA12073" s="1"/>
      <c r="AB12073" s="1"/>
      <c r="AC12073" s="1"/>
      <c r="AD12073" s="1"/>
      <c r="AE12073" s="1"/>
      <c r="AF12073" s="1"/>
      <c r="AG12073" s="1"/>
      <c r="AH12073" s="1"/>
    </row>
    <row r="12074" ht="12.75" customHeight="1">
      <c r="A12074" s="17"/>
      <c r="B12074" s="1"/>
      <c r="C12074" s="1"/>
      <c r="D12074" s="150"/>
      <c r="E12074" s="150"/>
      <c r="F12074" s="75"/>
      <c r="G12074" s="67"/>
      <c r="H12074" s="68"/>
      <c r="I12074" s="76"/>
      <c r="J12074" s="67"/>
      <c r="K12074" s="1"/>
      <c r="L12074" s="77"/>
      <c r="M12074" s="79"/>
      <c r="N12074" s="1"/>
      <c r="O12074" s="1"/>
      <c r="P12074" s="1"/>
      <c r="Q12074" s="1"/>
      <c r="R12074" s="1"/>
      <c r="S12074" s="1"/>
      <c r="T12074" s="1"/>
      <c r="U12074" s="1"/>
      <c r="V12074" s="1"/>
      <c r="W12074" s="1"/>
      <c r="X12074" s="1"/>
      <c r="Y12074" s="1"/>
      <c r="Z12074" s="1"/>
      <c r="AA12074" s="1"/>
      <c r="AB12074" s="1"/>
      <c r="AC12074" s="1"/>
      <c r="AD12074" s="1"/>
      <c r="AE12074" s="1"/>
      <c r="AF12074" s="1"/>
      <c r="AG12074" s="1"/>
      <c r="AH12074" s="1"/>
    </row>
    <row r="12075" ht="12.75" customHeight="1">
      <c r="A12075" s="17"/>
      <c r="B12075" s="1"/>
      <c r="C12075" s="1"/>
      <c r="D12075" s="150"/>
      <c r="E12075" s="150"/>
      <c r="F12075" s="75"/>
      <c r="G12075" s="67"/>
      <c r="H12075" s="68"/>
      <c r="I12075" s="76"/>
      <c r="J12075" s="67"/>
      <c r="K12075" s="1"/>
      <c r="L12075" s="77"/>
      <c r="M12075" s="79"/>
      <c r="N12075" s="1"/>
      <c r="O12075" s="1"/>
      <c r="P12075" s="1"/>
      <c r="Q12075" s="1"/>
      <c r="R12075" s="1"/>
      <c r="S12075" s="1"/>
      <c r="T12075" s="1"/>
      <c r="U12075" s="1"/>
      <c r="V12075" s="1"/>
      <c r="W12075" s="1"/>
      <c r="X12075" s="1"/>
      <c r="Y12075" s="1"/>
      <c r="Z12075" s="1"/>
      <c r="AA12075" s="1"/>
      <c r="AB12075" s="1"/>
      <c r="AC12075" s="1"/>
      <c r="AD12075" s="1"/>
      <c r="AE12075" s="1"/>
      <c r="AF12075" s="1"/>
      <c r="AG12075" s="1"/>
      <c r="AH12075" s="1"/>
    </row>
    <row r="12076" ht="12.75" customHeight="1">
      <c r="A12076" s="17"/>
      <c r="B12076" s="1"/>
      <c r="C12076" s="1"/>
      <c r="D12076" s="150"/>
      <c r="E12076" s="150"/>
      <c r="F12076" s="75"/>
      <c r="G12076" s="67"/>
      <c r="H12076" s="68"/>
      <c r="I12076" s="76"/>
      <c r="J12076" s="67"/>
      <c r="K12076" s="1"/>
      <c r="L12076" s="77"/>
      <c r="M12076" s="79"/>
      <c r="N12076" s="1"/>
      <c r="O12076" s="1"/>
      <c r="P12076" s="1"/>
      <c r="Q12076" s="1"/>
      <c r="R12076" s="1"/>
      <c r="S12076" s="1"/>
      <c r="T12076" s="1"/>
      <c r="U12076" s="1"/>
      <c r="V12076" s="1"/>
      <c r="W12076" s="1"/>
      <c r="X12076" s="1"/>
      <c r="Y12076" s="1"/>
      <c r="Z12076" s="1"/>
      <c r="AA12076" s="1"/>
      <c r="AB12076" s="1"/>
      <c r="AC12076" s="1"/>
      <c r="AD12076" s="1"/>
      <c r="AE12076" s="1"/>
      <c r="AF12076" s="1"/>
      <c r="AG12076" s="1"/>
      <c r="AH12076" s="1"/>
    </row>
    <row r="12077" ht="12.75" customHeight="1">
      <c r="A12077" s="17"/>
      <c r="B12077" s="1"/>
      <c r="C12077" s="1"/>
      <c r="D12077" s="150"/>
      <c r="E12077" s="150"/>
      <c r="F12077" s="75"/>
      <c r="G12077" s="67"/>
      <c r="H12077" s="68"/>
      <c r="I12077" s="76"/>
      <c r="J12077" s="67"/>
      <c r="K12077" s="1"/>
      <c r="L12077" s="77"/>
      <c r="M12077" s="79"/>
      <c r="N12077" s="1"/>
      <c r="O12077" s="1"/>
      <c r="P12077" s="1"/>
      <c r="Q12077" s="1"/>
      <c r="R12077" s="1"/>
      <c r="S12077" s="1"/>
      <c r="T12077" s="1"/>
      <c r="U12077" s="1"/>
      <c r="V12077" s="1"/>
      <c r="W12077" s="1"/>
      <c r="X12077" s="1"/>
      <c r="Y12077" s="1"/>
      <c r="Z12077" s="1"/>
      <c r="AA12077" s="1"/>
      <c r="AB12077" s="1"/>
      <c r="AC12077" s="1"/>
      <c r="AD12077" s="1"/>
      <c r="AE12077" s="1"/>
      <c r="AF12077" s="1"/>
      <c r="AG12077" s="1"/>
      <c r="AH12077" s="1"/>
    </row>
    <row r="12078" ht="12.75" customHeight="1">
      <c r="A12078" s="17"/>
      <c r="B12078" s="1"/>
      <c r="C12078" s="1"/>
      <c r="D12078" s="150"/>
      <c r="E12078" s="150"/>
      <c r="F12078" s="75"/>
      <c r="G12078" s="67"/>
      <c r="H12078" s="68"/>
      <c r="I12078" s="76"/>
      <c r="J12078" s="67"/>
      <c r="K12078" s="1"/>
      <c r="L12078" s="77"/>
      <c r="M12078" s="79"/>
      <c r="N12078" s="1"/>
      <c r="O12078" s="1"/>
      <c r="P12078" s="1"/>
      <c r="Q12078" s="1"/>
      <c r="R12078" s="1"/>
      <c r="S12078" s="1"/>
      <c r="T12078" s="1"/>
      <c r="U12078" s="1"/>
      <c r="V12078" s="1"/>
      <c r="W12078" s="1"/>
      <c r="X12078" s="1"/>
      <c r="Y12078" s="1"/>
      <c r="Z12078" s="1"/>
      <c r="AA12078" s="1"/>
      <c r="AB12078" s="1"/>
      <c r="AC12078" s="1"/>
      <c r="AD12078" s="1"/>
      <c r="AE12078" s="1"/>
      <c r="AF12078" s="1"/>
      <c r="AG12078" s="1"/>
      <c r="AH12078" s="1"/>
    </row>
    <row r="12079" ht="12.75" customHeight="1">
      <c r="A12079" s="17"/>
      <c r="B12079" s="1"/>
      <c r="C12079" s="1"/>
      <c r="D12079" s="150"/>
      <c r="E12079" s="150"/>
      <c r="F12079" s="75"/>
      <c r="G12079" s="67"/>
      <c r="H12079" s="68"/>
      <c r="I12079" s="76"/>
      <c r="J12079" s="67"/>
      <c r="K12079" s="1"/>
      <c r="L12079" s="77"/>
      <c r="M12079" s="79"/>
      <c r="N12079" s="1"/>
      <c r="O12079" s="1"/>
      <c r="P12079" s="1"/>
      <c r="Q12079" s="1"/>
      <c r="R12079" s="1"/>
      <c r="S12079" s="1"/>
      <c r="T12079" s="1"/>
      <c r="U12079" s="1"/>
      <c r="V12079" s="1"/>
      <c r="W12079" s="1"/>
      <c r="X12079" s="1"/>
      <c r="Y12079" s="1"/>
      <c r="Z12079" s="1"/>
      <c r="AA12079" s="1"/>
      <c r="AB12079" s="1"/>
      <c r="AC12079" s="1"/>
      <c r="AD12079" s="1"/>
      <c r="AE12079" s="1"/>
      <c r="AF12079" s="1"/>
      <c r="AG12079" s="1"/>
      <c r="AH12079" s="1"/>
    </row>
    <row r="12080" ht="12.75" customHeight="1">
      <c r="A12080" s="17"/>
      <c r="B12080" s="1"/>
      <c r="C12080" s="1"/>
      <c r="D12080" s="150"/>
      <c r="E12080" s="150"/>
      <c r="F12080" s="75"/>
      <c r="G12080" s="67"/>
      <c r="H12080" s="68"/>
      <c r="I12080" s="76"/>
      <c r="J12080" s="67"/>
      <c r="K12080" s="1"/>
      <c r="L12080" s="77"/>
      <c r="M12080" s="79"/>
      <c r="N12080" s="1"/>
      <c r="O12080" s="1"/>
      <c r="P12080" s="1"/>
      <c r="Q12080" s="1"/>
      <c r="R12080" s="1"/>
      <c r="S12080" s="1"/>
      <c r="T12080" s="1"/>
      <c r="U12080" s="1"/>
      <c r="V12080" s="1"/>
      <c r="W12080" s="1"/>
      <c r="X12080" s="1"/>
      <c r="Y12080" s="1"/>
      <c r="Z12080" s="1"/>
      <c r="AA12080" s="1"/>
      <c r="AB12080" s="1"/>
      <c r="AC12080" s="1"/>
      <c r="AD12080" s="1"/>
      <c r="AE12080" s="1"/>
      <c r="AF12080" s="1"/>
      <c r="AG12080" s="1"/>
      <c r="AH12080" s="1"/>
    </row>
    <row r="12081" ht="12.75" customHeight="1">
      <c r="A12081" s="17"/>
      <c r="B12081" s="1"/>
      <c r="C12081" s="1"/>
      <c r="D12081" s="150"/>
      <c r="E12081" s="150"/>
      <c r="F12081" s="75"/>
      <c r="G12081" s="67"/>
      <c r="H12081" s="68"/>
      <c r="I12081" s="76"/>
      <c r="J12081" s="67"/>
      <c r="K12081" s="1"/>
      <c r="L12081" s="77"/>
      <c r="M12081" s="79"/>
      <c r="N12081" s="1"/>
      <c r="O12081" s="1"/>
      <c r="P12081" s="1"/>
      <c r="Q12081" s="1"/>
      <c r="R12081" s="1"/>
      <c r="S12081" s="1"/>
      <c r="T12081" s="1"/>
      <c r="U12081" s="1"/>
      <c r="V12081" s="1"/>
      <c r="W12081" s="1"/>
      <c r="X12081" s="1"/>
      <c r="Y12081" s="1"/>
      <c r="Z12081" s="1"/>
      <c r="AA12081" s="1"/>
      <c r="AB12081" s="1"/>
      <c r="AC12081" s="1"/>
      <c r="AD12081" s="1"/>
      <c r="AE12081" s="1"/>
      <c r="AF12081" s="1"/>
      <c r="AG12081" s="1"/>
      <c r="AH12081" s="1"/>
    </row>
    <row r="12082" ht="12.75" customHeight="1">
      <c r="A12082" s="17"/>
      <c r="B12082" s="1"/>
      <c r="C12082" s="1"/>
      <c r="D12082" s="150"/>
      <c r="E12082" s="150"/>
      <c r="F12082" s="75"/>
      <c r="G12082" s="67"/>
      <c r="H12082" s="68"/>
      <c r="I12082" s="76"/>
      <c r="J12082" s="67"/>
      <c r="K12082" s="1"/>
      <c r="L12082" s="77"/>
      <c r="M12082" s="79"/>
      <c r="N12082" s="1"/>
      <c r="O12082" s="1"/>
      <c r="P12082" s="1"/>
      <c r="Q12082" s="1"/>
      <c r="R12082" s="1"/>
      <c r="S12082" s="1"/>
      <c r="T12082" s="1"/>
      <c r="U12082" s="1"/>
      <c r="V12082" s="1"/>
      <c r="W12082" s="1"/>
      <c r="X12082" s="1"/>
      <c r="Y12082" s="1"/>
      <c r="Z12082" s="1"/>
      <c r="AA12082" s="1"/>
      <c r="AB12082" s="1"/>
      <c r="AC12082" s="1"/>
      <c r="AD12082" s="1"/>
      <c r="AE12082" s="1"/>
      <c r="AF12082" s="1"/>
      <c r="AG12082" s="1"/>
      <c r="AH12082" s="1"/>
    </row>
    <row r="12083" ht="12.75" customHeight="1">
      <c r="A12083" s="17"/>
      <c r="B12083" s="1"/>
      <c r="C12083" s="1"/>
      <c r="D12083" s="150"/>
      <c r="E12083" s="150"/>
      <c r="F12083" s="75"/>
      <c r="G12083" s="67"/>
      <c r="H12083" s="68"/>
      <c r="I12083" s="76"/>
      <c r="J12083" s="67"/>
      <c r="K12083" s="1"/>
      <c r="L12083" s="77"/>
      <c r="M12083" s="79"/>
      <c r="N12083" s="1"/>
      <c r="O12083" s="1"/>
      <c r="P12083" s="1"/>
      <c r="Q12083" s="1"/>
      <c r="R12083" s="1"/>
      <c r="S12083" s="1"/>
      <c r="T12083" s="1"/>
      <c r="U12083" s="1"/>
      <c r="V12083" s="1"/>
      <c r="W12083" s="1"/>
      <c r="X12083" s="1"/>
      <c r="Y12083" s="1"/>
      <c r="Z12083" s="1"/>
      <c r="AA12083" s="1"/>
      <c r="AB12083" s="1"/>
      <c r="AC12083" s="1"/>
      <c r="AD12083" s="1"/>
      <c r="AE12083" s="1"/>
      <c r="AF12083" s="1"/>
      <c r="AG12083" s="1"/>
      <c r="AH12083" s="1"/>
    </row>
    <row r="12084" ht="12.75" customHeight="1">
      <c r="A12084" s="17"/>
      <c r="B12084" s="1"/>
      <c r="C12084" s="1"/>
      <c r="D12084" s="150"/>
      <c r="E12084" s="150"/>
      <c r="F12084" s="75"/>
      <c r="G12084" s="67"/>
      <c r="H12084" s="68"/>
      <c r="I12084" s="76"/>
      <c r="J12084" s="67"/>
      <c r="K12084" s="1"/>
      <c r="L12084" s="77"/>
      <c r="M12084" s="79"/>
      <c r="N12084" s="1"/>
      <c r="O12084" s="1"/>
      <c r="P12084" s="1"/>
      <c r="Q12084" s="1"/>
      <c r="R12084" s="1"/>
      <c r="S12084" s="1"/>
      <c r="T12084" s="1"/>
      <c r="U12084" s="1"/>
      <c r="V12084" s="1"/>
      <c r="W12084" s="1"/>
      <c r="X12084" s="1"/>
      <c r="Y12084" s="1"/>
      <c r="Z12084" s="1"/>
      <c r="AA12084" s="1"/>
      <c r="AB12084" s="1"/>
      <c r="AC12084" s="1"/>
      <c r="AD12084" s="1"/>
      <c r="AE12084" s="1"/>
      <c r="AF12084" s="1"/>
      <c r="AG12084" s="1"/>
      <c r="AH12084" s="1"/>
    </row>
    <row r="12085" ht="12.75" customHeight="1">
      <c r="A12085" s="17"/>
      <c r="B12085" s="1"/>
      <c r="C12085" s="1"/>
      <c r="D12085" s="150"/>
      <c r="E12085" s="150"/>
      <c r="F12085" s="75"/>
      <c r="G12085" s="67"/>
      <c r="H12085" s="68"/>
      <c r="I12085" s="76"/>
      <c r="J12085" s="67"/>
      <c r="K12085" s="1"/>
      <c r="L12085" s="77"/>
      <c r="M12085" s="79"/>
      <c r="N12085" s="1"/>
      <c r="O12085" s="1"/>
      <c r="P12085" s="1"/>
      <c r="Q12085" s="1"/>
      <c r="R12085" s="1"/>
      <c r="S12085" s="1"/>
      <c r="T12085" s="1"/>
      <c r="U12085" s="1"/>
      <c r="V12085" s="1"/>
      <c r="W12085" s="1"/>
      <c r="X12085" s="1"/>
      <c r="Y12085" s="1"/>
      <c r="Z12085" s="1"/>
      <c r="AA12085" s="1"/>
      <c r="AB12085" s="1"/>
      <c r="AC12085" s="1"/>
      <c r="AD12085" s="1"/>
      <c r="AE12085" s="1"/>
      <c r="AF12085" s="1"/>
      <c r="AG12085" s="1"/>
      <c r="AH12085" s="1"/>
    </row>
    <row r="12086" ht="12.75" customHeight="1">
      <c r="A12086" s="17"/>
      <c r="B12086" s="1"/>
      <c r="C12086" s="1"/>
      <c r="D12086" s="150"/>
      <c r="E12086" s="150"/>
      <c r="F12086" s="75"/>
      <c r="G12086" s="67"/>
      <c r="H12086" s="68"/>
      <c r="I12086" s="76"/>
      <c r="J12086" s="67"/>
      <c r="K12086" s="1"/>
      <c r="L12086" s="77"/>
      <c r="M12086" s="79"/>
      <c r="N12086" s="1"/>
      <c r="O12086" s="1"/>
      <c r="P12086" s="1"/>
      <c r="Q12086" s="1"/>
      <c r="R12086" s="1"/>
      <c r="S12086" s="1"/>
      <c r="T12086" s="1"/>
      <c r="U12086" s="1"/>
      <c r="V12086" s="1"/>
      <c r="W12086" s="1"/>
      <c r="X12086" s="1"/>
      <c r="Y12086" s="1"/>
      <c r="Z12086" s="1"/>
      <c r="AA12086" s="1"/>
      <c r="AB12086" s="1"/>
      <c r="AC12086" s="1"/>
      <c r="AD12086" s="1"/>
      <c r="AE12086" s="1"/>
      <c r="AF12086" s="1"/>
      <c r="AG12086" s="1"/>
      <c r="AH12086" s="1"/>
    </row>
    <row r="12087" ht="12.75" customHeight="1">
      <c r="A12087" s="17"/>
      <c r="B12087" s="1"/>
      <c r="C12087" s="1"/>
      <c r="D12087" s="150"/>
      <c r="E12087" s="150"/>
      <c r="F12087" s="75"/>
      <c r="G12087" s="67"/>
      <c r="H12087" s="68"/>
      <c r="I12087" s="76"/>
      <c r="J12087" s="67"/>
      <c r="K12087" s="1"/>
      <c r="L12087" s="77"/>
      <c r="M12087" s="79"/>
      <c r="N12087" s="1"/>
      <c r="O12087" s="1"/>
      <c r="P12087" s="1"/>
      <c r="Q12087" s="1"/>
      <c r="R12087" s="1"/>
      <c r="S12087" s="1"/>
      <c r="T12087" s="1"/>
      <c r="U12087" s="1"/>
      <c r="V12087" s="1"/>
      <c r="W12087" s="1"/>
      <c r="X12087" s="1"/>
      <c r="Y12087" s="1"/>
      <c r="Z12087" s="1"/>
      <c r="AA12087" s="1"/>
      <c r="AB12087" s="1"/>
      <c r="AC12087" s="1"/>
      <c r="AD12087" s="1"/>
      <c r="AE12087" s="1"/>
      <c r="AF12087" s="1"/>
      <c r="AG12087" s="1"/>
      <c r="AH12087" s="1"/>
    </row>
    <row r="12088" ht="12.75" customHeight="1">
      <c r="A12088" s="17"/>
      <c r="B12088" s="1"/>
      <c r="C12088" s="1"/>
      <c r="D12088" s="150"/>
      <c r="E12088" s="150"/>
      <c r="F12088" s="75"/>
      <c r="G12088" s="67"/>
      <c r="H12088" s="68"/>
      <c r="I12088" s="76"/>
      <c r="J12088" s="67"/>
      <c r="K12088" s="1"/>
      <c r="L12088" s="77"/>
      <c r="M12088" s="79"/>
      <c r="N12088" s="1"/>
      <c r="O12088" s="1"/>
      <c r="P12088" s="1"/>
      <c r="Q12088" s="1"/>
      <c r="R12088" s="1"/>
      <c r="S12088" s="1"/>
      <c r="T12088" s="1"/>
      <c r="U12088" s="1"/>
      <c r="V12088" s="1"/>
      <c r="W12088" s="1"/>
      <c r="X12088" s="1"/>
      <c r="Y12088" s="1"/>
      <c r="Z12088" s="1"/>
      <c r="AA12088" s="1"/>
      <c r="AB12088" s="1"/>
      <c r="AC12088" s="1"/>
      <c r="AD12088" s="1"/>
      <c r="AE12088" s="1"/>
      <c r="AF12088" s="1"/>
      <c r="AG12088" s="1"/>
      <c r="AH12088" s="1"/>
    </row>
    <row r="12089" ht="12.75" customHeight="1">
      <c r="A12089" s="17"/>
      <c r="B12089" s="1"/>
      <c r="C12089" s="1"/>
      <c r="D12089" s="150"/>
      <c r="E12089" s="150"/>
      <c r="F12089" s="75"/>
      <c r="G12089" s="67"/>
      <c r="H12089" s="68"/>
      <c r="I12089" s="76"/>
      <c r="J12089" s="67"/>
      <c r="K12089" s="1"/>
      <c r="L12089" s="77"/>
      <c r="M12089" s="79"/>
      <c r="N12089" s="1"/>
      <c r="O12089" s="1"/>
      <c r="P12089" s="1"/>
      <c r="Q12089" s="1"/>
      <c r="R12089" s="1"/>
      <c r="S12089" s="1"/>
      <c r="T12089" s="1"/>
      <c r="U12089" s="1"/>
      <c r="V12089" s="1"/>
      <c r="W12089" s="1"/>
      <c r="X12089" s="1"/>
      <c r="Y12089" s="1"/>
      <c r="Z12089" s="1"/>
      <c r="AA12089" s="1"/>
      <c r="AB12089" s="1"/>
      <c r="AC12089" s="1"/>
      <c r="AD12089" s="1"/>
      <c r="AE12089" s="1"/>
      <c r="AF12089" s="1"/>
      <c r="AG12089" s="1"/>
      <c r="AH12089" s="1"/>
    </row>
    <row r="12090" ht="12.75" customHeight="1">
      <c r="A12090" s="17"/>
      <c r="B12090" s="1"/>
      <c r="C12090" s="1"/>
      <c r="D12090" s="150"/>
      <c r="E12090" s="150"/>
      <c r="F12090" s="75"/>
      <c r="G12090" s="67"/>
      <c r="H12090" s="68"/>
      <c r="I12090" s="76"/>
      <c r="J12090" s="67"/>
      <c r="K12090" s="1"/>
      <c r="L12090" s="77"/>
      <c r="M12090" s="79"/>
      <c r="N12090" s="1"/>
      <c r="O12090" s="1"/>
      <c r="P12090" s="1"/>
      <c r="Q12090" s="1"/>
      <c r="R12090" s="1"/>
      <c r="S12090" s="1"/>
      <c r="T12090" s="1"/>
      <c r="U12090" s="1"/>
      <c r="V12090" s="1"/>
      <c r="W12090" s="1"/>
      <c r="X12090" s="1"/>
      <c r="Y12090" s="1"/>
      <c r="Z12090" s="1"/>
      <c r="AA12090" s="1"/>
      <c r="AB12090" s="1"/>
      <c r="AC12090" s="1"/>
      <c r="AD12090" s="1"/>
      <c r="AE12090" s="1"/>
      <c r="AF12090" s="1"/>
      <c r="AG12090" s="1"/>
      <c r="AH12090" s="1"/>
    </row>
    <row r="12091" ht="12.75" customHeight="1">
      <c r="A12091" s="17"/>
      <c r="B12091" s="1"/>
      <c r="C12091" s="1"/>
      <c r="D12091" s="150"/>
      <c r="E12091" s="150"/>
      <c r="F12091" s="75"/>
      <c r="G12091" s="67"/>
      <c r="H12091" s="68"/>
      <c r="I12091" s="76"/>
      <c r="J12091" s="67"/>
      <c r="K12091" s="1"/>
      <c r="L12091" s="77"/>
      <c r="M12091" s="79"/>
      <c r="N12091" s="1"/>
      <c r="O12091" s="1"/>
      <c r="P12091" s="1"/>
      <c r="Q12091" s="1"/>
      <c r="R12091" s="1"/>
      <c r="S12091" s="1"/>
      <c r="T12091" s="1"/>
      <c r="U12091" s="1"/>
      <c r="V12091" s="1"/>
      <c r="W12091" s="1"/>
      <c r="X12091" s="1"/>
      <c r="Y12091" s="1"/>
      <c r="Z12091" s="1"/>
      <c r="AA12091" s="1"/>
      <c r="AB12091" s="1"/>
      <c r="AC12091" s="1"/>
      <c r="AD12091" s="1"/>
      <c r="AE12091" s="1"/>
      <c r="AF12091" s="1"/>
      <c r="AG12091" s="1"/>
      <c r="AH12091" s="1"/>
    </row>
    <row r="12092" ht="12.75" customHeight="1">
      <c r="A12092" s="17"/>
      <c r="B12092" s="1"/>
      <c r="C12092" s="1"/>
      <c r="D12092" s="150"/>
      <c r="E12092" s="150"/>
      <c r="F12092" s="75"/>
      <c r="G12092" s="67"/>
      <c r="H12092" s="68"/>
      <c r="I12092" s="76"/>
      <c r="J12092" s="67"/>
      <c r="K12092" s="1"/>
      <c r="L12092" s="77"/>
      <c r="M12092" s="79"/>
      <c r="N12092" s="1"/>
      <c r="O12092" s="1"/>
      <c r="P12092" s="1"/>
      <c r="Q12092" s="1"/>
      <c r="R12092" s="1"/>
      <c r="S12092" s="1"/>
      <c r="T12092" s="1"/>
      <c r="U12092" s="1"/>
      <c r="V12092" s="1"/>
      <c r="W12092" s="1"/>
      <c r="X12092" s="1"/>
      <c r="Y12092" s="1"/>
      <c r="Z12092" s="1"/>
      <c r="AA12092" s="1"/>
      <c r="AB12092" s="1"/>
      <c r="AC12092" s="1"/>
      <c r="AD12092" s="1"/>
      <c r="AE12092" s="1"/>
      <c r="AF12092" s="1"/>
      <c r="AG12092" s="1"/>
      <c r="AH12092" s="1"/>
    </row>
    <row r="12093" ht="12.75" customHeight="1">
      <c r="A12093" s="17"/>
      <c r="B12093" s="1"/>
      <c r="C12093" s="1"/>
      <c r="D12093" s="150"/>
      <c r="E12093" s="150"/>
      <c r="F12093" s="75"/>
      <c r="G12093" s="67"/>
      <c r="H12093" s="68"/>
      <c r="I12093" s="76"/>
      <c r="J12093" s="67"/>
      <c r="K12093" s="1"/>
      <c r="L12093" s="77"/>
      <c r="M12093" s="79"/>
      <c r="N12093" s="1"/>
      <c r="O12093" s="1"/>
      <c r="P12093" s="1"/>
      <c r="Q12093" s="1"/>
      <c r="R12093" s="1"/>
      <c r="S12093" s="1"/>
      <c r="T12093" s="1"/>
      <c r="U12093" s="1"/>
      <c r="V12093" s="1"/>
      <c r="W12093" s="1"/>
      <c r="X12093" s="1"/>
      <c r="Y12093" s="1"/>
      <c r="Z12093" s="1"/>
      <c r="AA12093" s="1"/>
      <c r="AB12093" s="1"/>
      <c r="AC12093" s="1"/>
      <c r="AD12093" s="1"/>
      <c r="AE12093" s="1"/>
      <c r="AF12093" s="1"/>
      <c r="AG12093" s="1"/>
      <c r="AH12093" s="1"/>
    </row>
    <row r="12094" ht="12.75" customHeight="1">
      <c r="A12094" s="17"/>
      <c r="B12094" s="1"/>
      <c r="C12094" s="1"/>
      <c r="D12094" s="150"/>
      <c r="E12094" s="150"/>
      <c r="F12094" s="75"/>
      <c r="G12094" s="67"/>
      <c r="H12094" s="68"/>
      <c r="I12094" s="76"/>
      <c r="J12094" s="67"/>
      <c r="K12094" s="1"/>
      <c r="L12094" s="77"/>
      <c r="M12094" s="79"/>
      <c r="N12094" s="1"/>
      <c r="O12094" s="1"/>
      <c r="P12094" s="1"/>
      <c r="Q12094" s="1"/>
      <c r="R12094" s="1"/>
      <c r="S12094" s="1"/>
      <c r="T12094" s="1"/>
      <c r="U12094" s="1"/>
      <c r="V12094" s="1"/>
      <c r="W12094" s="1"/>
      <c r="X12094" s="1"/>
      <c r="Y12094" s="1"/>
      <c r="Z12094" s="1"/>
      <c r="AA12094" s="1"/>
      <c r="AB12094" s="1"/>
      <c r="AC12094" s="1"/>
      <c r="AD12094" s="1"/>
      <c r="AE12094" s="1"/>
      <c r="AF12094" s="1"/>
      <c r="AG12094" s="1"/>
      <c r="AH12094" s="1"/>
    </row>
    <row r="12095" ht="12.75" customHeight="1">
      <c r="A12095" s="17"/>
      <c r="B12095" s="1"/>
      <c r="C12095" s="1"/>
      <c r="D12095" s="150"/>
      <c r="E12095" s="150"/>
      <c r="F12095" s="75"/>
      <c r="G12095" s="67"/>
      <c r="H12095" s="68"/>
      <c r="I12095" s="76"/>
      <c r="J12095" s="67"/>
      <c r="K12095" s="1"/>
      <c r="L12095" s="77"/>
      <c r="M12095" s="79"/>
      <c r="N12095" s="1"/>
      <c r="O12095" s="1"/>
      <c r="P12095" s="1"/>
      <c r="Q12095" s="1"/>
      <c r="R12095" s="1"/>
      <c r="S12095" s="1"/>
      <c r="T12095" s="1"/>
      <c r="U12095" s="1"/>
      <c r="V12095" s="1"/>
      <c r="W12095" s="1"/>
      <c r="X12095" s="1"/>
      <c r="Y12095" s="1"/>
      <c r="Z12095" s="1"/>
      <c r="AA12095" s="1"/>
      <c r="AB12095" s="1"/>
      <c r="AC12095" s="1"/>
      <c r="AD12095" s="1"/>
      <c r="AE12095" s="1"/>
      <c r="AF12095" s="1"/>
      <c r="AG12095" s="1"/>
      <c r="AH12095" s="1"/>
    </row>
    <row r="12096" ht="12.75" customHeight="1">
      <c r="A12096" s="17"/>
      <c r="B12096" s="1"/>
      <c r="C12096" s="1"/>
      <c r="D12096" s="150"/>
      <c r="E12096" s="150"/>
      <c r="F12096" s="75"/>
      <c r="G12096" s="67"/>
      <c r="H12096" s="68"/>
      <c r="I12096" s="76"/>
      <c r="J12096" s="67"/>
      <c r="K12096" s="1"/>
      <c r="L12096" s="77"/>
      <c r="M12096" s="79"/>
      <c r="N12096" s="1"/>
      <c r="O12096" s="1"/>
      <c r="P12096" s="1"/>
      <c r="Q12096" s="1"/>
      <c r="R12096" s="1"/>
      <c r="S12096" s="1"/>
      <c r="T12096" s="1"/>
      <c r="U12096" s="1"/>
      <c r="V12096" s="1"/>
      <c r="W12096" s="1"/>
      <c r="X12096" s="1"/>
      <c r="Y12096" s="1"/>
      <c r="Z12096" s="1"/>
      <c r="AA12096" s="1"/>
      <c r="AB12096" s="1"/>
      <c r="AC12096" s="1"/>
      <c r="AD12096" s="1"/>
      <c r="AE12096" s="1"/>
      <c r="AF12096" s="1"/>
      <c r="AG12096" s="1"/>
      <c r="AH12096" s="1"/>
    </row>
    <row r="12097" ht="12.75" customHeight="1">
      <c r="A12097" s="17"/>
      <c r="B12097" s="1"/>
      <c r="C12097" s="1"/>
      <c r="D12097" s="150"/>
      <c r="E12097" s="150"/>
      <c r="F12097" s="75"/>
      <c r="G12097" s="67"/>
      <c r="H12097" s="68"/>
      <c r="I12097" s="76"/>
      <c r="J12097" s="67"/>
      <c r="K12097" s="1"/>
      <c r="L12097" s="77"/>
      <c r="M12097" s="79"/>
      <c r="N12097" s="1"/>
      <c r="O12097" s="1"/>
      <c r="P12097" s="1"/>
      <c r="Q12097" s="1"/>
      <c r="R12097" s="1"/>
      <c r="S12097" s="1"/>
      <c r="T12097" s="1"/>
      <c r="U12097" s="1"/>
      <c r="V12097" s="1"/>
      <c r="W12097" s="1"/>
      <c r="X12097" s="1"/>
      <c r="Y12097" s="1"/>
      <c r="Z12097" s="1"/>
      <c r="AA12097" s="1"/>
      <c r="AB12097" s="1"/>
      <c r="AC12097" s="1"/>
      <c r="AD12097" s="1"/>
      <c r="AE12097" s="1"/>
      <c r="AF12097" s="1"/>
      <c r="AG12097" s="1"/>
      <c r="AH12097" s="1"/>
    </row>
    <row r="12098" ht="12.75" customHeight="1">
      <c r="A12098" s="17"/>
      <c r="B12098" s="1"/>
      <c r="C12098" s="1"/>
      <c r="D12098" s="150"/>
      <c r="E12098" s="150"/>
      <c r="F12098" s="75"/>
      <c r="G12098" s="67"/>
      <c r="H12098" s="68"/>
      <c r="I12098" s="76"/>
      <c r="J12098" s="67"/>
      <c r="K12098" s="1"/>
      <c r="L12098" s="77"/>
      <c r="M12098" s="79"/>
      <c r="N12098" s="1"/>
      <c r="O12098" s="1"/>
      <c r="P12098" s="1"/>
      <c r="Q12098" s="1"/>
      <c r="R12098" s="1"/>
      <c r="S12098" s="1"/>
      <c r="T12098" s="1"/>
      <c r="U12098" s="1"/>
      <c r="V12098" s="1"/>
      <c r="W12098" s="1"/>
      <c r="X12098" s="1"/>
      <c r="Y12098" s="1"/>
      <c r="Z12098" s="1"/>
      <c r="AA12098" s="1"/>
      <c r="AB12098" s="1"/>
      <c r="AC12098" s="1"/>
      <c r="AD12098" s="1"/>
      <c r="AE12098" s="1"/>
      <c r="AF12098" s="1"/>
      <c r="AG12098" s="1"/>
      <c r="AH12098" s="1"/>
    </row>
    <row r="12099" ht="12.75" customHeight="1">
      <c r="A12099" s="17"/>
      <c r="B12099" s="1"/>
      <c r="C12099" s="1"/>
      <c r="D12099" s="150"/>
      <c r="E12099" s="150"/>
      <c r="F12099" s="75"/>
      <c r="G12099" s="67"/>
      <c r="H12099" s="68"/>
      <c r="I12099" s="76"/>
      <c r="J12099" s="67"/>
      <c r="K12099" s="1"/>
      <c r="L12099" s="77"/>
      <c r="M12099" s="79"/>
      <c r="N12099" s="1"/>
      <c r="O12099" s="1"/>
      <c r="P12099" s="1"/>
      <c r="Q12099" s="1"/>
      <c r="R12099" s="1"/>
      <c r="S12099" s="1"/>
      <c r="T12099" s="1"/>
      <c r="U12099" s="1"/>
      <c r="V12099" s="1"/>
      <c r="W12099" s="1"/>
      <c r="X12099" s="1"/>
      <c r="Y12099" s="1"/>
      <c r="Z12099" s="1"/>
      <c r="AA12099" s="1"/>
      <c r="AB12099" s="1"/>
      <c r="AC12099" s="1"/>
      <c r="AD12099" s="1"/>
      <c r="AE12099" s="1"/>
      <c r="AF12099" s="1"/>
      <c r="AG12099" s="1"/>
      <c r="AH12099" s="1"/>
    </row>
    <row r="12100" ht="12.75" customHeight="1">
      <c r="A12100" s="17"/>
      <c r="B12100" s="1"/>
      <c r="C12100" s="1"/>
      <c r="D12100" s="150"/>
      <c r="E12100" s="150"/>
      <c r="F12100" s="75"/>
      <c r="G12100" s="67"/>
      <c r="H12100" s="68"/>
      <c r="I12100" s="76"/>
      <c r="J12100" s="67"/>
      <c r="K12100" s="1"/>
      <c r="L12100" s="77"/>
      <c r="M12100" s="79"/>
      <c r="N12100" s="1"/>
      <c r="O12100" s="1"/>
      <c r="P12100" s="1"/>
      <c r="Q12100" s="1"/>
      <c r="R12100" s="1"/>
      <c r="S12100" s="1"/>
      <c r="T12100" s="1"/>
      <c r="U12100" s="1"/>
      <c r="V12100" s="1"/>
      <c r="W12100" s="1"/>
      <c r="X12100" s="1"/>
      <c r="Y12100" s="1"/>
      <c r="Z12100" s="1"/>
      <c r="AA12100" s="1"/>
      <c r="AB12100" s="1"/>
      <c r="AC12100" s="1"/>
      <c r="AD12100" s="1"/>
      <c r="AE12100" s="1"/>
      <c r="AF12100" s="1"/>
      <c r="AG12100" s="1"/>
      <c r="AH12100" s="1"/>
    </row>
    <row r="12101" ht="12.75" customHeight="1">
      <c r="A12101" s="17"/>
      <c r="B12101" s="1"/>
      <c r="C12101" s="1"/>
      <c r="D12101" s="150"/>
      <c r="E12101" s="150"/>
      <c r="F12101" s="75"/>
      <c r="G12101" s="67"/>
      <c r="H12101" s="68"/>
      <c r="I12101" s="76"/>
      <c r="J12101" s="67"/>
      <c r="K12101" s="1"/>
      <c r="L12101" s="77"/>
      <c r="M12101" s="79"/>
      <c r="N12101" s="1"/>
      <c r="O12101" s="1"/>
      <c r="P12101" s="1"/>
      <c r="Q12101" s="1"/>
      <c r="R12101" s="1"/>
      <c r="S12101" s="1"/>
      <c r="T12101" s="1"/>
      <c r="U12101" s="1"/>
      <c r="V12101" s="1"/>
      <c r="W12101" s="1"/>
      <c r="X12101" s="1"/>
      <c r="Y12101" s="1"/>
      <c r="Z12101" s="1"/>
      <c r="AA12101" s="1"/>
      <c r="AB12101" s="1"/>
      <c r="AC12101" s="1"/>
      <c r="AD12101" s="1"/>
      <c r="AE12101" s="1"/>
      <c r="AF12101" s="1"/>
      <c r="AG12101" s="1"/>
      <c r="AH12101" s="1"/>
    </row>
    <row r="12102" ht="12.75" customHeight="1">
      <c r="A12102" s="17"/>
      <c r="B12102" s="1"/>
      <c r="C12102" s="1"/>
      <c r="D12102" s="150"/>
      <c r="E12102" s="150"/>
      <c r="F12102" s="75"/>
      <c r="G12102" s="67"/>
      <c r="H12102" s="68"/>
      <c r="I12102" s="76"/>
      <c r="J12102" s="67"/>
      <c r="K12102" s="1"/>
      <c r="L12102" s="77"/>
      <c r="M12102" s="79"/>
      <c r="N12102" s="1"/>
      <c r="O12102" s="1"/>
      <c r="P12102" s="1"/>
      <c r="Q12102" s="1"/>
      <c r="R12102" s="1"/>
      <c r="S12102" s="1"/>
      <c r="T12102" s="1"/>
      <c r="U12102" s="1"/>
      <c r="V12102" s="1"/>
      <c r="W12102" s="1"/>
      <c r="X12102" s="1"/>
      <c r="Y12102" s="1"/>
      <c r="Z12102" s="1"/>
      <c r="AA12102" s="1"/>
      <c r="AB12102" s="1"/>
      <c r="AC12102" s="1"/>
      <c r="AD12102" s="1"/>
      <c r="AE12102" s="1"/>
      <c r="AF12102" s="1"/>
      <c r="AG12102" s="1"/>
      <c r="AH12102" s="1"/>
    </row>
    <row r="12103" ht="12.75" customHeight="1">
      <c r="A12103" s="17"/>
      <c r="B12103" s="1"/>
      <c r="C12103" s="1"/>
      <c r="D12103" s="150"/>
      <c r="E12103" s="150"/>
      <c r="F12103" s="75"/>
      <c r="G12103" s="67"/>
      <c r="H12103" s="68"/>
      <c r="I12103" s="76"/>
      <c r="J12103" s="67"/>
      <c r="K12103" s="1"/>
      <c r="L12103" s="77"/>
      <c r="M12103" s="79"/>
      <c r="N12103" s="1"/>
      <c r="O12103" s="1"/>
      <c r="P12103" s="1"/>
      <c r="Q12103" s="1"/>
      <c r="R12103" s="1"/>
      <c r="S12103" s="1"/>
      <c r="T12103" s="1"/>
      <c r="U12103" s="1"/>
      <c r="V12103" s="1"/>
      <c r="W12103" s="1"/>
      <c r="X12103" s="1"/>
      <c r="Y12103" s="1"/>
      <c r="Z12103" s="1"/>
      <c r="AA12103" s="1"/>
      <c r="AB12103" s="1"/>
      <c r="AC12103" s="1"/>
      <c r="AD12103" s="1"/>
      <c r="AE12103" s="1"/>
      <c r="AF12103" s="1"/>
      <c r="AG12103" s="1"/>
      <c r="AH12103" s="1"/>
    </row>
    <row r="12104" ht="12.75" customHeight="1">
      <c r="A12104" s="17"/>
      <c r="B12104" s="1"/>
      <c r="C12104" s="1"/>
      <c r="D12104" s="150"/>
      <c r="E12104" s="150"/>
      <c r="F12104" s="75"/>
      <c r="G12104" s="67"/>
      <c r="H12104" s="68"/>
      <c r="I12104" s="76"/>
      <c r="J12104" s="67"/>
      <c r="K12104" s="1"/>
      <c r="L12104" s="77"/>
      <c r="M12104" s="79"/>
      <c r="N12104" s="1"/>
      <c r="O12104" s="1"/>
      <c r="P12104" s="1"/>
      <c r="Q12104" s="1"/>
      <c r="R12104" s="1"/>
      <c r="S12104" s="1"/>
      <c r="T12104" s="1"/>
      <c r="U12104" s="1"/>
      <c r="V12104" s="1"/>
      <c r="W12104" s="1"/>
      <c r="X12104" s="1"/>
      <c r="Y12104" s="1"/>
      <c r="Z12104" s="1"/>
      <c r="AA12104" s="1"/>
      <c r="AB12104" s="1"/>
      <c r="AC12104" s="1"/>
      <c r="AD12104" s="1"/>
      <c r="AE12104" s="1"/>
      <c r="AF12104" s="1"/>
      <c r="AG12104" s="1"/>
      <c r="AH12104" s="1"/>
    </row>
    <row r="12105" ht="12.75" customHeight="1">
      <c r="A12105" s="17"/>
      <c r="B12105" s="1"/>
      <c r="C12105" s="1"/>
      <c r="D12105" s="150"/>
      <c r="E12105" s="150"/>
      <c r="F12105" s="75"/>
      <c r="G12105" s="67"/>
      <c r="H12105" s="68"/>
      <c r="I12105" s="76"/>
      <c r="J12105" s="67"/>
      <c r="K12105" s="1"/>
      <c r="L12105" s="77"/>
      <c r="M12105" s="79"/>
      <c r="N12105" s="1"/>
      <c r="O12105" s="1"/>
      <c r="P12105" s="1"/>
      <c r="Q12105" s="1"/>
      <c r="R12105" s="1"/>
      <c r="S12105" s="1"/>
      <c r="T12105" s="1"/>
      <c r="U12105" s="1"/>
      <c r="V12105" s="1"/>
      <c r="W12105" s="1"/>
      <c r="X12105" s="1"/>
      <c r="Y12105" s="1"/>
      <c r="Z12105" s="1"/>
      <c r="AA12105" s="1"/>
      <c r="AB12105" s="1"/>
      <c r="AC12105" s="1"/>
      <c r="AD12105" s="1"/>
      <c r="AE12105" s="1"/>
      <c r="AF12105" s="1"/>
      <c r="AG12105" s="1"/>
      <c r="AH12105" s="1"/>
    </row>
    <row r="12106" ht="12.75" customHeight="1">
      <c r="A12106" s="17"/>
      <c r="B12106" s="1"/>
      <c r="C12106" s="1"/>
      <c r="D12106" s="150"/>
      <c r="E12106" s="150"/>
      <c r="F12106" s="75"/>
      <c r="G12106" s="67"/>
      <c r="H12106" s="68"/>
      <c r="I12106" s="76"/>
      <c r="J12106" s="67"/>
      <c r="K12106" s="1"/>
      <c r="L12106" s="77"/>
      <c r="M12106" s="79"/>
      <c r="N12106" s="1"/>
      <c r="O12106" s="1"/>
      <c r="P12106" s="1"/>
      <c r="Q12106" s="1"/>
      <c r="R12106" s="1"/>
      <c r="S12106" s="1"/>
      <c r="T12106" s="1"/>
      <c r="U12106" s="1"/>
      <c r="V12106" s="1"/>
      <c r="W12106" s="1"/>
      <c r="X12106" s="1"/>
      <c r="Y12106" s="1"/>
      <c r="Z12106" s="1"/>
      <c r="AA12106" s="1"/>
      <c r="AB12106" s="1"/>
      <c r="AC12106" s="1"/>
      <c r="AD12106" s="1"/>
      <c r="AE12106" s="1"/>
      <c r="AF12106" s="1"/>
      <c r="AG12106" s="1"/>
      <c r="AH12106" s="1"/>
    </row>
    <row r="12107" ht="12.75" customHeight="1">
      <c r="A12107" s="17"/>
      <c r="B12107" s="1"/>
      <c r="C12107" s="1"/>
      <c r="D12107" s="150"/>
      <c r="E12107" s="150"/>
      <c r="F12107" s="75"/>
      <c r="G12107" s="67"/>
      <c r="H12107" s="68"/>
      <c r="I12107" s="76"/>
      <c r="J12107" s="67"/>
      <c r="K12107" s="1"/>
      <c r="L12107" s="77"/>
      <c r="M12107" s="79"/>
      <c r="N12107" s="1"/>
      <c r="O12107" s="1"/>
      <c r="P12107" s="1"/>
      <c r="Q12107" s="1"/>
      <c r="R12107" s="1"/>
      <c r="S12107" s="1"/>
      <c r="T12107" s="1"/>
      <c r="U12107" s="1"/>
      <c r="V12107" s="1"/>
      <c r="W12107" s="1"/>
      <c r="X12107" s="1"/>
      <c r="Y12107" s="1"/>
      <c r="Z12107" s="1"/>
      <c r="AA12107" s="1"/>
      <c r="AB12107" s="1"/>
      <c r="AC12107" s="1"/>
      <c r="AD12107" s="1"/>
      <c r="AE12107" s="1"/>
      <c r="AF12107" s="1"/>
      <c r="AG12107" s="1"/>
      <c r="AH12107" s="1"/>
    </row>
    <row r="12108" ht="12.75" customHeight="1">
      <c r="A12108" s="17"/>
      <c r="B12108" s="1"/>
      <c r="C12108" s="1"/>
      <c r="D12108" s="150"/>
      <c r="E12108" s="150"/>
      <c r="F12108" s="75"/>
      <c r="G12108" s="67"/>
      <c r="H12108" s="68"/>
      <c r="I12108" s="76"/>
      <c r="J12108" s="67"/>
      <c r="K12108" s="1"/>
      <c r="L12108" s="77"/>
      <c r="M12108" s="79"/>
      <c r="N12108" s="1"/>
      <c r="O12108" s="1"/>
      <c r="P12108" s="1"/>
      <c r="Q12108" s="1"/>
      <c r="R12108" s="1"/>
      <c r="S12108" s="1"/>
      <c r="T12108" s="1"/>
      <c r="U12108" s="1"/>
      <c r="V12108" s="1"/>
      <c r="W12108" s="1"/>
      <c r="X12108" s="1"/>
      <c r="Y12108" s="1"/>
      <c r="Z12108" s="1"/>
      <c r="AA12108" s="1"/>
      <c r="AB12108" s="1"/>
      <c r="AC12108" s="1"/>
      <c r="AD12108" s="1"/>
      <c r="AE12108" s="1"/>
      <c r="AF12108" s="1"/>
      <c r="AG12108" s="1"/>
      <c r="AH12108" s="1"/>
    </row>
    <row r="12109" ht="12.75" customHeight="1">
      <c r="A12109" s="17"/>
      <c r="B12109" s="1"/>
      <c r="C12109" s="1"/>
      <c r="D12109" s="150"/>
      <c r="E12109" s="150"/>
      <c r="F12109" s="75"/>
      <c r="G12109" s="67"/>
      <c r="H12109" s="68"/>
      <c r="I12109" s="76"/>
      <c r="J12109" s="67"/>
      <c r="K12109" s="1"/>
      <c r="L12109" s="77"/>
      <c r="M12109" s="79"/>
      <c r="N12109" s="1"/>
      <c r="O12109" s="1"/>
      <c r="P12109" s="1"/>
      <c r="Q12109" s="1"/>
      <c r="R12109" s="1"/>
      <c r="S12109" s="1"/>
      <c r="T12109" s="1"/>
      <c r="U12109" s="1"/>
      <c r="V12109" s="1"/>
      <c r="W12109" s="1"/>
      <c r="X12109" s="1"/>
      <c r="Y12109" s="1"/>
      <c r="Z12109" s="1"/>
      <c r="AA12109" s="1"/>
      <c r="AB12109" s="1"/>
      <c r="AC12109" s="1"/>
      <c r="AD12109" s="1"/>
      <c r="AE12109" s="1"/>
      <c r="AF12109" s="1"/>
      <c r="AG12109" s="1"/>
      <c r="AH12109" s="1"/>
    </row>
    <row r="12110" ht="12.75" customHeight="1">
      <c r="A12110" s="17"/>
      <c r="B12110" s="1"/>
      <c r="C12110" s="1"/>
      <c r="D12110" s="150"/>
      <c r="E12110" s="150"/>
      <c r="F12110" s="75"/>
      <c r="G12110" s="67"/>
      <c r="H12110" s="68"/>
      <c r="I12110" s="76"/>
      <c r="J12110" s="67"/>
      <c r="K12110" s="1"/>
      <c r="L12110" s="77"/>
      <c r="M12110" s="79"/>
      <c r="N12110" s="1"/>
      <c r="O12110" s="1"/>
      <c r="P12110" s="1"/>
      <c r="Q12110" s="1"/>
      <c r="R12110" s="1"/>
      <c r="S12110" s="1"/>
      <c r="T12110" s="1"/>
      <c r="U12110" s="1"/>
      <c r="V12110" s="1"/>
      <c r="W12110" s="1"/>
      <c r="X12110" s="1"/>
      <c r="Y12110" s="1"/>
      <c r="Z12110" s="1"/>
      <c r="AA12110" s="1"/>
      <c r="AB12110" s="1"/>
      <c r="AC12110" s="1"/>
      <c r="AD12110" s="1"/>
      <c r="AE12110" s="1"/>
      <c r="AF12110" s="1"/>
      <c r="AG12110" s="1"/>
      <c r="AH12110" s="1"/>
    </row>
    <row r="12111" ht="12.75" customHeight="1">
      <c r="A12111" s="17"/>
      <c r="B12111" s="1"/>
      <c r="C12111" s="1"/>
      <c r="D12111" s="150"/>
      <c r="E12111" s="150"/>
      <c r="F12111" s="75"/>
      <c r="G12111" s="67"/>
      <c r="H12111" s="68"/>
      <c r="I12111" s="76"/>
      <c r="J12111" s="67"/>
      <c r="K12111" s="1"/>
      <c r="L12111" s="77"/>
      <c r="M12111" s="79"/>
      <c r="N12111" s="1"/>
      <c r="O12111" s="1"/>
      <c r="P12111" s="1"/>
      <c r="Q12111" s="1"/>
      <c r="R12111" s="1"/>
      <c r="S12111" s="1"/>
      <c r="T12111" s="1"/>
      <c r="U12111" s="1"/>
      <c r="V12111" s="1"/>
      <c r="W12111" s="1"/>
      <c r="X12111" s="1"/>
      <c r="Y12111" s="1"/>
      <c r="Z12111" s="1"/>
      <c r="AA12111" s="1"/>
      <c r="AB12111" s="1"/>
      <c r="AC12111" s="1"/>
      <c r="AD12111" s="1"/>
      <c r="AE12111" s="1"/>
      <c r="AF12111" s="1"/>
      <c r="AG12111" s="1"/>
      <c r="AH12111" s="1"/>
    </row>
    <row r="12112" ht="12.75" customHeight="1">
      <c r="A12112" s="17"/>
      <c r="B12112" s="1"/>
      <c r="C12112" s="1"/>
      <c r="D12112" s="150"/>
      <c r="E12112" s="150"/>
      <c r="F12112" s="75"/>
      <c r="G12112" s="67"/>
      <c r="H12112" s="68"/>
      <c r="I12112" s="76"/>
      <c r="J12112" s="67"/>
      <c r="K12112" s="1"/>
      <c r="L12112" s="77"/>
      <c r="M12112" s="79"/>
      <c r="N12112" s="1"/>
      <c r="O12112" s="1"/>
      <c r="P12112" s="1"/>
      <c r="Q12112" s="1"/>
      <c r="R12112" s="1"/>
      <c r="S12112" s="1"/>
      <c r="T12112" s="1"/>
      <c r="U12112" s="1"/>
      <c r="V12112" s="1"/>
      <c r="W12112" s="1"/>
      <c r="X12112" s="1"/>
      <c r="Y12112" s="1"/>
      <c r="Z12112" s="1"/>
      <c r="AA12112" s="1"/>
      <c r="AB12112" s="1"/>
      <c r="AC12112" s="1"/>
      <c r="AD12112" s="1"/>
      <c r="AE12112" s="1"/>
      <c r="AF12112" s="1"/>
      <c r="AG12112" s="1"/>
      <c r="AH12112" s="1"/>
    </row>
    <row r="12113" ht="12.75" customHeight="1">
      <c r="A12113" s="17"/>
      <c r="B12113" s="1"/>
      <c r="C12113" s="1"/>
      <c r="D12113" s="150"/>
      <c r="E12113" s="150"/>
      <c r="F12113" s="75"/>
      <c r="G12113" s="67"/>
      <c r="H12113" s="68"/>
      <c r="I12113" s="76"/>
      <c r="J12113" s="67"/>
      <c r="K12113" s="1"/>
      <c r="L12113" s="77"/>
      <c r="M12113" s="79"/>
      <c r="N12113" s="1"/>
      <c r="O12113" s="1"/>
      <c r="P12113" s="1"/>
      <c r="Q12113" s="1"/>
      <c r="R12113" s="1"/>
      <c r="S12113" s="1"/>
      <c r="T12113" s="1"/>
      <c r="U12113" s="1"/>
      <c r="V12113" s="1"/>
      <c r="W12113" s="1"/>
      <c r="X12113" s="1"/>
      <c r="Y12113" s="1"/>
      <c r="Z12113" s="1"/>
      <c r="AA12113" s="1"/>
      <c r="AB12113" s="1"/>
      <c r="AC12113" s="1"/>
      <c r="AD12113" s="1"/>
      <c r="AE12113" s="1"/>
      <c r="AF12113" s="1"/>
      <c r="AG12113" s="1"/>
      <c r="AH12113" s="1"/>
    </row>
    <row r="12114" ht="12.75" customHeight="1">
      <c r="A12114" s="17"/>
      <c r="B12114" s="1"/>
      <c r="C12114" s="1"/>
      <c r="D12114" s="150"/>
      <c r="E12114" s="150"/>
      <c r="F12114" s="75"/>
      <c r="G12114" s="67"/>
      <c r="H12114" s="68"/>
      <c r="I12114" s="76"/>
      <c r="J12114" s="67"/>
      <c r="K12114" s="1"/>
      <c r="L12114" s="77"/>
      <c r="M12114" s="79"/>
      <c r="N12114" s="1"/>
      <c r="O12114" s="1"/>
      <c r="P12114" s="1"/>
      <c r="Q12114" s="1"/>
      <c r="R12114" s="1"/>
      <c r="S12114" s="1"/>
      <c r="T12114" s="1"/>
      <c r="U12114" s="1"/>
      <c r="V12114" s="1"/>
      <c r="W12114" s="1"/>
      <c r="X12114" s="1"/>
      <c r="Y12114" s="1"/>
      <c r="Z12114" s="1"/>
      <c r="AA12114" s="1"/>
      <c r="AB12114" s="1"/>
      <c r="AC12114" s="1"/>
      <c r="AD12114" s="1"/>
      <c r="AE12114" s="1"/>
      <c r="AF12114" s="1"/>
      <c r="AG12114" s="1"/>
      <c r="AH12114" s="1"/>
    </row>
    <row r="12115" ht="12.75" customHeight="1">
      <c r="A12115" s="17"/>
      <c r="B12115" s="1"/>
      <c r="C12115" s="1"/>
      <c r="D12115" s="150"/>
      <c r="E12115" s="150"/>
      <c r="F12115" s="75"/>
      <c r="G12115" s="67"/>
      <c r="H12115" s="68"/>
      <c r="I12115" s="76"/>
      <c r="J12115" s="67"/>
      <c r="K12115" s="1"/>
      <c r="L12115" s="77"/>
      <c r="M12115" s="79"/>
      <c r="N12115" s="1"/>
      <c r="O12115" s="1"/>
      <c r="P12115" s="1"/>
      <c r="Q12115" s="1"/>
      <c r="R12115" s="1"/>
      <c r="S12115" s="1"/>
      <c r="T12115" s="1"/>
      <c r="U12115" s="1"/>
      <c r="V12115" s="1"/>
      <c r="W12115" s="1"/>
      <c r="X12115" s="1"/>
      <c r="Y12115" s="1"/>
      <c r="Z12115" s="1"/>
      <c r="AA12115" s="1"/>
      <c r="AB12115" s="1"/>
      <c r="AC12115" s="1"/>
      <c r="AD12115" s="1"/>
      <c r="AE12115" s="1"/>
      <c r="AF12115" s="1"/>
      <c r="AG12115" s="1"/>
      <c r="AH12115" s="1"/>
    </row>
    <row r="12116" ht="12.75" customHeight="1">
      <c r="A12116" s="17"/>
      <c r="B12116" s="1"/>
      <c r="C12116" s="1"/>
      <c r="D12116" s="150"/>
      <c r="E12116" s="150"/>
      <c r="F12116" s="75"/>
      <c r="G12116" s="67"/>
      <c r="H12116" s="68"/>
      <c r="I12116" s="76"/>
      <c r="J12116" s="67"/>
      <c r="K12116" s="1"/>
      <c r="L12116" s="77"/>
      <c r="M12116" s="79"/>
      <c r="N12116" s="1"/>
      <c r="O12116" s="1"/>
      <c r="P12116" s="1"/>
      <c r="Q12116" s="1"/>
      <c r="R12116" s="1"/>
      <c r="S12116" s="1"/>
      <c r="T12116" s="1"/>
      <c r="U12116" s="1"/>
      <c r="V12116" s="1"/>
      <c r="W12116" s="1"/>
      <c r="X12116" s="1"/>
      <c r="Y12116" s="1"/>
      <c r="Z12116" s="1"/>
      <c r="AA12116" s="1"/>
      <c r="AB12116" s="1"/>
      <c r="AC12116" s="1"/>
      <c r="AD12116" s="1"/>
      <c r="AE12116" s="1"/>
      <c r="AF12116" s="1"/>
      <c r="AG12116" s="1"/>
      <c r="AH12116" s="1"/>
    </row>
    <row r="12117" ht="12.75" customHeight="1">
      <c r="A12117" s="17"/>
      <c r="B12117" s="1"/>
      <c r="C12117" s="1"/>
      <c r="D12117" s="150"/>
      <c r="E12117" s="150"/>
      <c r="F12117" s="75"/>
      <c r="G12117" s="67"/>
      <c r="H12117" s="68"/>
      <c r="I12117" s="76"/>
      <c r="J12117" s="67"/>
      <c r="K12117" s="1"/>
      <c r="L12117" s="77"/>
      <c r="M12117" s="79"/>
      <c r="N12117" s="1"/>
      <c r="O12117" s="1"/>
      <c r="P12117" s="1"/>
      <c r="Q12117" s="1"/>
      <c r="R12117" s="1"/>
      <c r="S12117" s="1"/>
      <c r="T12117" s="1"/>
      <c r="U12117" s="1"/>
      <c r="V12117" s="1"/>
      <c r="W12117" s="1"/>
      <c r="X12117" s="1"/>
      <c r="Y12117" s="1"/>
      <c r="Z12117" s="1"/>
      <c r="AA12117" s="1"/>
      <c r="AB12117" s="1"/>
      <c r="AC12117" s="1"/>
      <c r="AD12117" s="1"/>
      <c r="AE12117" s="1"/>
      <c r="AF12117" s="1"/>
      <c r="AG12117" s="1"/>
      <c r="AH12117" s="1"/>
    </row>
    <row r="12118" ht="12.75" customHeight="1">
      <c r="A12118" s="17"/>
      <c r="B12118" s="1"/>
      <c r="C12118" s="1"/>
      <c r="D12118" s="150"/>
      <c r="E12118" s="150"/>
      <c r="F12118" s="75"/>
      <c r="G12118" s="67"/>
      <c r="H12118" s="68"/>
      <c r="I12118" s="76"/>
      <c r="J12118" s="67"/>
      <c r="K12118" s="1"/>
      <c r="L12118" s="77"/>
      <c r="M12118" s="79"/>
      <c r="N12118" s="1"/>
      <c r="O12118" s="1"/>
      <c r="P12118" s="1"/>
      <c r="Q12118" s="1"/>
      <c r="R12118" s="1"/>
      <c r="S12118" s="1"/>
      <c r="T12118" s="1"/>
      <c r="U12118" s="1"/>
      <c r="V12118" s="1"/>
      <c r="W12118" s="1"/>
      <c r="X12118" s="1"/>
      <c r="Y12118" s="1"/>
      <c r="Z12118" s="1"/>
      <c r="AA12118" s="1"/>
      <c r="AB12118" s="1"/>
      <c r="AC12118" s="1"/>
      <c r="AD12118" s="1"/>
      <c r="AE12118" s="1"/>
      <c r="AF12118" s="1"/>
      <c r="AG12118" s="1"/>
      <c r="AH12118" s="1"/>
    </row>
    <row r="12119" ht="12.75" customHeight="1">
      <c r="A12119" s="17"/>
      <c r="B12119" s="1"/>
      <c r="C12119" s="1"/>
      <c r="D12119" s="150"/>
      <c r="E12119" s="150"/>
      <c r="F12119" s="75"/>
      <c r="G12119" s="67"/>
      <c r="H12119" s="68"/>
      <c r="I12119" s="76"/>
      <c r="J12119" s="67"/>
      <c r="K12119" s="1"/>
      <c r="L12119" s="77"/>
      <c r="M12119" s="79"/>
      <c r="N12119" s="1"/>
      <c r="O12119" s="1"/>
      <c r="P12119" s="1"/>
      <c r="Q12119" s="1"/>
      <c r="R12119" s="1"/>
      <c r="S12119" s="1"/>
      <c r="T12119" s="1"/>
      <c r="U12119" s="1"/>
      <c r="V12119" s="1"/>
      <c r="W12119" s="1"/>
      <c r="X12119" s="1"/>
      <c r="Y12119" s="1"/>
      <c r="Z12119" s="1"/>
      <c r="AA12119" s="1"/>
      <c r="AB12119" s="1"/>
      <c r="AC12119" s="1"/>
      <c r="AD12119" s="1"/>
      <c r="AE12119" s="1"/>
      <c r="AF12119" s="1"/>
      <c r="AG12119" s="1"/>
      <c r="AH12119" s="1"/>
    </row>
    <row r="12120" ht="12.75" customHeight="1">
      <c r="A12120" s="17"/>
      <c r="B12120" s="1"/>
      <c r="C12120" s="1"/>
      <c r="D12120" s="150"/>
      <c r="E12120" s="150"/>
      <c r="F12120" s="75"/>
      <c r="G12120" s="67"/>
      <c r="H12120" s="68"/>
      <c r="I12120" s="76"/>
      <c r="J12120" s="67"/>
      <c r="K12120" s="1"/>
      <c r="L12120" s="77"/>
      <c r="M12120" s="79"/>
      <c r="N12120" s="1"/>
      <c r="O12120" s="1"/>
      <c r="P12120" s="1"/>
      <c r="Q12120" s="1"/>
      <c r="R12120" s="1"/>
      <c r="S12120" s="1"/>
      <c r="T12120" s="1"/>
      <c r="U12120" s="1"/>
      <c r="V12120" s="1"/>
      <c r="W12120" s="1"/>
      <c r="X12120" s="1"/>
      <c r="Y12120" s="1"/>
      <c r="Z12120" s="1"/>
      <c r="AA12120" s="1"/>
      <c r="AB12120" s="1"/>
      <c r="AC12120" s="1"/>
      <c r="AD12120" s="1"/>
      <c r="AE12120" s="1"/>
      <c r="AF12120" s="1"/>
      <c r="AG12120" s="1"/>
      <c r="AH12120" s="1"/>
    </row>
    <row r="12121" ht="12.75" customHeight="1">
      <c r="A12121" s="17"/>
      <c r="B12121" s="1"/>
      <c r="C12121" s="1"/>
      <c r="D12121" s="150"/>
      <c r="E12121" s="150"/>
      <c r="F12121" s="75"/>
      <c r="G12121" s="67"/>
      <c r="H12121" s="68"/>
      <c r="I12121" s="76"/>
      <c r="J12121" s="67"/>
      <c r="K12121" s="1"/>
      <c r="L12121" s="77"/>
      <c r="M12121" s="79"/>
      <c r="N12121" s="1"/>
      <c r="O12121" s="1"/>
      <c r="P12121" s="1"/>
      <c r="Q12121" s="1"/>
      <c r="R12121" s="1"/>
      <c r="S12121" s="1"/>
      <c r="T12121" s="1"/>
      <c r="U12121" s="1"/>
      <c r="V12121" s="1"/>
      <c r="W12121" s="1"/>
      <c r="X12121" s="1"/>
      <c r="Y12121" s="1"/>
      <c r="Z12121" s="1"/>
      <c r="AA12121" s="1"/>
      <c r="AB12121" s="1"/>
      <c r="AC12121" s="1"/>
      <c r="AD12121" s="1"/>
      <c r="AE12121" s="1"/>
      <c r="AF12121" s="1"/>
      <c r="AG12121" s="1"/>
      <c r="AH12121" s="1"/>
    </row>
    <row r="12122" ht="12.75" customHeight="1">
      <c r="A12122" s="17"/>
      <c r="B12122" s="1"/>
      <c r="C12122" s="1"/>
      <c r="D12122" s="150"/>
      <c r="E12122" s="150"/>
      <c r="F12122" s="75"/>
      <c r="G12122" s="67"/>
      <c r="H12122" s="68"/>
      <c r="I12122" s="76"/>
      <c r="J12122" s="67"/>
      <c r="K12122" s="1"/>
      <c r="L12122" s="77"/>
      <c r="M12122" s="79"/>
      <c r="N12122" s="1"/>
      <c r="O12122" s="1"/>
      <c r="P12122" s="1"/>
      <c r="Q12122" s="1"/>
      <c r="R12122" s="1"/>
      <c r="S12122" s="1"/>
      <c r="T12122" s="1"/>
      <c r="U12122" s="1"/>
      <c r="V12122" s="1"/>
      <c r="W12122" s="1"/>
      <c r="X12122" s="1"/>
      <c r="Y12122" s="1"/>
      <c r="Z12122" s="1"/>
      <c r="AA12122" s="1"/>
      <c r="AB12122" s="1"/>
      <c r="AC12122" s="1"/>
      <c r="AD12122" s="1"/>
      <c r="AE12122" s="1"/>
      <c r="AF12122" s="1"/>
      <c r="AG12122" s="1"/>
      <c r="AH12122" s="1"/>
    </row>
    <row r="12123" ht="12.75" customHeight="1">
      <c r="A12123" s="17"/>
      <c r="B12123" s="1"/>
      <c r="C12123" s="1"/>
      <c r="D12123" s="150"/>
      <c r="E12123" s="150"/>
      <c r="F12123" s="75"/>
      <c r="G12123" s="67"/>
      <c r="H12123" s="68"/>
      <c r="I12123" s="76"/>
      <c r="J12123" s="67"/>
      <c r="K12123" s="1"/>
      <c r="L12123" s="77"/>
      <c r="M12123" s="79"/>
      <c r="N12123" s="1"/>
      <c r="O12123" s="1"/>
      <c r="P12123" s="1"/>
      <c r="Q12123" s="1"/>
      <c r="R12123" s="1"/>
      <c r="S12123" s="1"/>
      <c r="T12123" s="1"/>
      <c r="U12123" s="1"/>
      <c r="V12123" s="1"/>
      <c r="W12123" s="1"/>
      <c r="X12123" s="1"/>
      <c r="Y12123" s="1"/>
      <c r="Z12123" s="1"/>
      <c r="AA12123" s="1"/>
      <c r="AB12123" s="1"/>
      <c r="AC12123" s="1"/>
      <c r="AD12123" s="1"/>
      <c r="AE12123" s="1"/>
      <c r="AF12123" s="1"/>
      <c r="AG12123" s="1"/>
      <c r="AH12123" s="1"/>
    </row>
    <row r="12124" ht="12.75" customHeight="1">
      <c r="A12124" s="17"/>
      <c r="B12124" s="1"/>
      <c r="C12124" s="1"/>
      <c r="D12124" s="150"/>
      <c r="E12124" s="150"/>
      <c r="F12124" s="75"/>
      <c r="G12124" s="67"/>
      <c r="H12124" s="68"/>
      <c r="I12124" s="76"/>
      <c r="J12124" s="67"/>
      <c r="K12124" s="1"/>
      <c r="L12124" s="77"/>
      <c r="M12124" s="79"/>
      <c r="N12124" s="1"/>
      <c r="O12124" s="1"/>
      <c r="P12124" s="1"/>
      <c r="Q12124" s="1"/>
      <c r="R12124" s="1"/>
      <c r="S12124" s="1"/>
      <c r="T12124" s="1"/>
      <c r="U12124" s="1"/>
      <c r="V12124" s="1"/>
      <c r="W12124" s="1"/>
      <c r="X12124" s="1"/>
      <c r="Y12124" s="1"/>
      <c r="Z12124" s="1"/>
      <c r="AA12124" s="1"/>
      <c r="AB12124" s="1"/>
      <c r="AC12124" s="1"/>
      <c r="AD12124" s="1"/>
      <c r="AE12124" s="1"/>
      <c r="AF12124" s="1"/>
      <c r="AG12124" s="1"/>
      <c r="AH12124" s="1"/>
    </row>
    <row r="12125" ht="12.75" customHeight="1">
      <c r="A12125" s="17"/>
      <c r="B12125" s="1"/>
      <c r="C12125" s="1"/>
      <c r="D12125" s="150"/>
      <c r="E12125" s="150"/>
      <c r="F12125" s="75"/>
      <c r="G12125" s="67"/>
      <c r="H12125" s="68"/>
      <c r="I12125" s="76"/>
      <c r="J12125" s="67"/>
      <c r="K12125" s="1"/>
      <c r="L12125" s="77"/>
      <c r="M12125" s="79"/>
      <c r="N12125" s="1"/>
      <c r="O12125" s="1"/>
      <c r="P12125" s="1"/>
      <c r="Q12125" s="1"/>
      <c r="R12125" s="1"/>
      <c r="S12125" s="1"/>
      <c r="T12125" s="1"/>
      <c r="U12125" s="1"/>
      <c r="V12125" s="1"/>
      <c r="W12125" s="1"/>
      <c r="X12125" s="1"/>
      <c r="Y12125" s="1"/>
      <c r="Z12125" s="1"/>
      <c r="AA12125" s="1"/>
      <c r="AB12125" s="1"/>
      <c r="AC12125" s="1"/>
      <c r="AD12125" s="1"/>
      <c r="AE12125" s="1"/>
      <c r="AF12125" s="1"/>
      <c r="AG12125" s="1"/>
      <c r="AH12125" s="1"/>
    </row>
    <row r="12126" ht="12.75" customHeight="1">
      <c r="A12126" s="17"/>
      <c r="B12126" s="1"/>
      <c r="C12126" s="1"/>
      <c r="D12126" s="150"/>
      <c r="E12126" s="150"/>
      <c r="F12126" s="75"/>
      <c r="G12126" s="67"/>
      <c r="H12126" s="68"/>
      <c r="I12126" s="76"/>
      <c r="J12126" s="67"/>
      <c r="K12126" s="1"/>
      <c r="L12126" s="77"/>
      <c r="M12126" s="79"/>
      <c r="N12126" s="1"/>
      <c r="O12126" s="1"/>
      <c r="P12126" s="1"/>
      <c r="Q12126" s="1"/>
      <c r="R12126" s="1"/>
      <c r="S12126" s="1"/>
      <c r="T12126" s="1"/>
      <c r="U12126" s="1"/>
      <c r="V12126" s="1"/>
      <c r="W12126" s="1"/>
      <c r="X12126" s="1"/>
      <c r="Y12126" s="1"/>
      <c r="Z12126" s="1"/>
      <c r="AA12126" s="1"/>
      <c r="AB12126" s="1"/>
      <c r="AC12126" s="1"/>
      <c r="AD12126" s="1"/>
      <c r="AE12126" s="1"/>
      <c r="AF12126" s="1"/>
      <c r="AG12126" s="1"/>
      <c r="AH12126" s="1"/>
    </row>
    <row r="12127" ht="12.75" customHeight="1">
      <c r="A12127" s="17"/>
      <c r="B12127" s="1"/>
      <c r="C12127" s="1"/>
      <c r="D12127" s="150"/>
      <c r="E12127" s="150"/>
      <c r="F12127" s="75"/>
      <c r="G12127" s="67"/>
      <c r="H12127" s="68"/>
      <c r="I12127" s="76"/>
      <c r="J12127" s="67"/>
      <c r="K12127" s="1"/>
      <c r="L12127" s="77"/>
      <c r="M12127" s="79"/>
      <c r="N12127" s="1"/>
      <c r="O12127" s="1"/>
      <c r="P12127" s="1"/>
      <c r="Q12127" s="1"/>
      <c r="R12127" s="1"/>
      <c r="S12127" s="1"/>
      <c r="T12127" s="1"/>
      <c r="U12127" s="1"/>
      <c r="V12127" s="1"/>
      <c r="W12127" s="1"/>
      <c r="X12127" s="1"/>
      <c r="Y12127" s="1"/>
      <c r="Z12127" s="1"/>
      <c r="AA12127" s="1"/>
      <c r="AB12127" s="1"/>
      <c r="AC12127" s="1"/>
      <c r="AD12127" s="1"/>
      <c r="AE12127" s="1"/>
      <c r="AF12127" s="1"/>
      <c r="AG12127" s="1"/>
      <c r="AH12127" s="1"/>
    </row>
    <row r="12128" ht="12.75" customHeight="1">
      <c r="A12128" s="17"/>
      <c r="B12128" s="1"/>
      <c r="C12128" s="1"/>
      <c r="D12128" s="150"/>
      <c r="E12128" s="150"/>
      <c r="F12128" s="75"/>
      <c r="G12128" s="67"/>
      <c r="H12128" s="68"/>
      <c r="I12128" s="76"/>
      <c r="J12128" s="67"/>
      <c r="K12128" s="1"/>
      <c r="L12128" s="77"/>
      <c r="M12128" s="79"/>
      <c r="N12128" s="1"/>
      <c r="O12128" s="1"/>
      <c r="P12128" s="1"/>
      <c r="Q12128" s="1"/>
      <c r="R12128" s="1"/>
      <c r="S12128" s="1"/>
      <c r="T12128" s="1"/>
      <c r="U12128" s="1"/>
      <c r="V12128" s="1"/>
      <c r="W12128" s="1"/>
      <c r="X12128" s="1"/>
      <c r="Y12128" s="1"/>
      <c r="Z12128" s="1"/>
      <c r="AA12128" s="1"/>
      <c r="AB12128" s="1"/>
      <c r="AC12128" s="1"/>
      <c r="AD12128" s="1"/>
      <c r="AE12128" s="1"/>
      <c r="AF12128" s="1"/>
      <c r="AG12128" s="1"/>
      <c r="AH12128" s="1"/>
    </row>
    <row r="12129" ht="12.75" customHeight="1">
      <c r="A12129" s="17"/>
      <c r="B12129" s="1"/>
      <c r="C12129" s="1"/>
      <c r="D12129" s="150"/>
      <c r="E12129" s="150"/>
      <c r="F12129" s="75"/>
      <c r="G12129" s="67"/>
      <c r="H12129" s="68"/>
      <c r="I12129" s="76"/>
      <c r="J12129" s="67"/>
      <c r="K12129" s="1"/>
      <c r="L12129" s="77"/>
      <c r="M12129" s="79"/>
      <c r="N12129" s="1"/>
      <c r="O12129" s="1"/>
      <c r="P12129" s="1"/>
      <c r="Q12129" s="1"/>
      <c r="R12129" s="1"/>
      <c r="S12129" s="1"/>
      <c r="T12129" s="1"/>
      <c r="U12129" s="1"/>
      <c r="V12129" s="1"/>
      <c r="W12129" s="1"/>
      <c r="X12129" s="1"/>
      <c r="Y12129" s="1"/>
      <c r="Z12129" s="1"/>
      <c r="AA12129" s="1"/>
      <c r="AB12129" s="1"/>
      <c r="AC12129" s="1"/>
      <c r="AD12129" s="1"/>
      <c r="AE12129" s="1"/>
      <c r="AF12129" s="1"/>
      <c r="AG12129" s="1"/>
      <c r="AH12129" s="1"/>
    </row>
    <row r="12130" ht="12.75" customHeight="1">
      <c r="A12130" s="17"/>
      <c r="B12130" s="1"/>
      <c r="C12130" s="1"/>
      <c r="D12130" s="150"/>
      <c r="E12130" s="150"/>
      <c r="F12130" s="75"/>
      <c r="G12130" s="67"/>
      <c r="H12130" s="68"/>
      <c r="I12130" s="76"/>
      <c r="J12130" s="67"/>
      <c r="K12130" s="1"/>
      <c r="L12130" s="77"/>
      <c r="M12130" s="79"/>
      <c r="N12130" s="1"/>
      <c r="O12130" s="1"/>
      <c r="P12130" s="1"/>
      <c r="Q12130" s="1"/>
      <c r="R12130" s="1"/>
      <c r="S12130" s="1"/>
      <c r="T12130" s="1"/>
      <c r="U12130" s="1"/>
      <c r="V12130" s="1"/>
      <c r="W12130" s="1"/>
      <c r="X12130" s="1"/>
      <c r="Y12130" s="1"/>
      <c r="Z12130" s="1"/>
      <c r="AA12130" s="1"/>
      <c r="AB12130" s="1"/>
      <c r="AC12130" s="1"/>
      <c r="AD12130" s="1"/>
      <c r="AE12130" s="1"/>
      <c r="AF12130" s="1"/>
      <c r="AG12130" s="1"/>
      <c r="AH12130" s="1"/>
    </row>
    <row r="12131" ht="12.75" customHeight="1">
      <c r="A12131" s="17"/>
      <c r="B12131" s="1"/>
      <c r="C12131" s="1"/>
      <c r="D12131" s="150"/>
      <c r="E12131" s="150"/>
      <c r="F12131" s="75"/>
      <c r="G12131" s="67"/>
      <c r="H12131" s="68"/>
      <c r="I12131" s="76"/>
      <c r="J12131" s="67"/>
      <c r="K12131" s="1"/>
      <c r="L12131" s="77"/>
      <c r="M12131" s="79"/>
      <c r="N12131" s="1"/>
      <c r="O12131" s="1"/>
      <c r="P12131" s="1"/>
      <c r="Q12131" s="1"/>
      <c r="R12131" s="1"/>
      <c r="S12131" s="1"/>
      <c r="T12131" s="1"/>
      <c r="U12131" s="1"/>
      <c r="V12131" s="1"/>
      <c r="W12131" s="1"/>
      <c r="X12131" s="1"/>
      <c r="Y12131" s="1"/>
      <c r="Z12131" s="1"/>
      <c r="AA12131" s="1"/>
      <c r="AB12131" s="1"/>
      <c r="AC12131" s="1"/>
      <c r="AD12131" s="1"/>
      <c r="AE12131" s="1"/>
      <c r="AF12131" s="1"/>
      <c r="AG12131" s="1"/>
      <c r="AH12131" s="1"/>
    </row>
    <row r="12132" ht="12.75" customHeight="1">
      <c r="A12132" s="17"/>
      <c r="B12132" s="1"/>
      <c r="C12132" s="1"/>
      <c r="D12132" s="150"/>
      <c r="E12132" s="150"/>
      <c r="F12132" s="75"/>
      <c r="G12132" s="67"/>
      <c r="H12132" s="68"/>
      <c r="I12132" s="76"/>
      <c r="J12132" s="67"/>
      <c r="K12132" s="1"/>
      <c r="L12132" s="77"/>
      <c r="M12132" s="79"/>
      <c r="N12132" s="1"/>
      <c r="O12132" s="1"/>
      <c r="P12132" s="1"/>
      <c r="Q12132" s="1"/>
      <c r="R12132" s="1"/>
      <c r="S12132" s="1"/>
      <c r="T12132" s="1"/>
      <c r="U12132" s="1"/>
      <c r="V12132" s="1"/>
      <c r="W12132" s="1"/>
      <c r="X12132" s="1"/>
      <c r="Y12132" s="1"/>
      <c r="Z12132" s="1"/>
      <c r="AA12132" s="1"/>
      <c r="AB12132" s="1"/>
      <c r="AC12132" s="1"/>
      <c r="AD12132" s="1"/>
      <c r="AE12132" s="1"/>
      <c r="AF12132" s="1"/>
      <c r="AG12132" s="1"/>
      <c r="AH12132" s="1"/>
    </row>
    <row r="12133" ht="12.75" customHeight="1">
      <c r="A12133" s="17"/>
      <c r="B12133" s="1"/>
      <c r="C12133" s="1"/>
      <c r="D12133" s="150"/>
      <c r="E12133" s="150"/>
      <c r="F12133" s="75"/>
      <c r="G12133" s="67"/>
      <c r="H12133" s="68"/>
      <c r="I12133" s="76"/>
      <c r="J12133" s="67"/>
      <c r="K12133" s="1"/>
      <c r="L12133" s="77"/>
      <c r="M12133" s="79"/>
      <c r="N12133" s="1"/>
      <c r="O12133" s="1"/>
      <c r="P12133" s="1"/>
      <c r="Q12133" s="1"/>
      <c r="R12133" s="1"/>
      <c r="S12133" s="1"/>
      <c r="T12133" s="1"/>
      <c r="U12133" s="1"/>
      <c r="V12133" s="1"/>
      <c r="W12133" s="1"/>
      <c r="X12133" s="1"/>
      <c r="Y12133" s="1"/>
      <c r="Z12133" s="1"/>
      <c r="AA12133" s="1"/>
      <c r="AB12133" s="1"/>
      <c r="AC12133" s="1"/>
      <c r="AD12133" s="1"/>
      <c r="AE12133" s="1"/>
      <c r="AF12133" s="1"/>
      <c r="AG12133" s="1"/>
      <c r="AH12133" s="1"/>
    </row>
    <row r="12134" ht="12.75" customHeight="1">
      <c r="A12134" s="17"/>
      <c r="B12134" s="1"/>
      <c r="C12134" s="1"/>
      <c r="D12134" s="150"/>
      <c r="E12134" s="150"/>
      <c r="F12134" s="75"/>
      <c r="G12134" s="67"/>
      <c r="H12134" s="68"/>
      <c r="I12134" s="76"/>
      <c r="J12134" s="67"/>
      <c r="K12134" s="1"/>
      <c r="L12134" s="77"/>
      <c r="M12134" s="79"/>
      <c r="N12134" s="1"/>
      <c r="O12134" s="1"/>
      <c r="P12134" s="1"/>
      <c r="Q12134" s="1"/>
      <c r="R12134" s="1"/>
      <c r="S12134" s="1"/>
      <c r="T12134" s="1"/>
      <c r="U12134" s="1"/>
      <c r="V12134" s="1"/>
      <c r="W12134" s="1"/>
      <c r="X12134" s="1"/>
      <c r="Y12134" s="1"/>
      <c r="Z12134" s="1"/>
      <c r="AA12134" s="1"/>
      <c r="AB12134" s="1"/>
      <c r="AC12134" s="1"/>
      <c r="AD12134" s="1"/>
      <c r="AE12134" s="1"/>
      <c r="AF12134" s="1"/>
      <c r="AG12134" s="1"/>
      <c r="AH12134" s="1"/>
    </row>
    <row r="12135" ht="12.75" customHeight="1">
      <c r="A12135" s="17"/>
      <c r="B12135" s="1"/>
      <c r="C12135" s="1"/>
      <c r="D12135" s="150"/>
      <c r="E12135" s="150"/>
      <c r="F12135" s="75"/>
      <c r="G12135" s="67"/>
      <c r="H12135" s="68"/>
      <c r="I12135" s="76"/>
      <c r="J12135" s="67"/>
      <c r="K12135" s="1"/>
      <c r="L12135" s="77"/>
      <c r="M12135" s="79"/>
      <c r="N12135" s="1"/>
      <c r="O12135" s="1"/>
      <c r="P12135" s="1"/>
      <c r="Q12135" s="1"/>
      <c r="R12135" s="1"/>
      <c r="S12135" s="1"/>
      <c r="T12135" s="1"/>
      <c r="U12135" s="1"/>
      <c r="V12135" s="1"/>
      <c r="W12135" s="1"/>
      <c r="X12135" s="1"/>
      <c r="Y12135" s="1"/>
      <c r="Z12135" s="1"/>
      <c r="AA12135" s="1"/>
      <c r="AB12135" s="1"/>
      <c r="AC12135" s="1"/>
      <c r="AD12135" s="1"/>
      <c r="AE12135" s="1"/>
      <c r="AF12135" s="1"/>
      <c r="AG12135" s="1"/>
      <c r="AH12135" s="1"/>
    </row>
    <row r="12136" ht="12.75" customHeight="1">
      <c r="A12136" s="17"/>
      <c r="B12136" s="1"/>
      <c r="C12136" s="1"/>
      <c r="D12136" s="150"/>
      <c r="E12136" s="150"/>
      <c r="F12136" s="75"/>
      <c r="G12136" s="67"/>
      <c r="H12136" s="68"/>
      <c r="I12136" s="76"/>
      <c r="J12136" s="67"/>
      <c r="K12136" s="1"/>
      <c r="L12136" s="77"/>
      <c r="M12136" s="79"/>
      <c r="N12136" s="1"/>
      <c r="O12136" s="1"/>
      <c r="P12136" s="1"/>
      <c r="Q12136" s="1"/>
      <c r="R12136" s="1"/>
      <c r="S12136" s="1"/>
      <c r="T12136" s="1"/>
      <c r="U12136" s="1"/>
      <c r="V12136" s="1"/>
      <c r="W12136" s="1"/>
      <c r="X12136" s="1"/>
      <c r="Y12136" s="1"/>
      <c r="Z12136" s="1"/>
      <c r="AA12136" s="1"/>
      <c r="AB12136" s="1"/>
      <c r="AC12136" s="1"/>
      <c r="AD12136" s="1"/>
      <c r="AE12136" s="1"/>
      <c r="AF12136" s="1"/>
      <c r="AG12136" s="1"/>
      <c r="AH12136" s="1"/>
    </row>
    <row r="12137" ht="12.75" customHeight="1">
      <c r="A12137" s="17"/>
      <c r="B12137" s="1"/>
      <c r="C12137" s="1"/>
      <c r="D12137" s="150"/>
      <c r="E12137" s="150"/>
      <c r="F12137" s="75"/>
      <c r="G12137" s="67"/>
      <c r="H12137" s="68"/>
      <c r="I12137" s="76"/>
      <c r="J12137" s="67"/>
      <c r="K12137" s="1"/>
      <c r="L12137" s="77"/>
      <c r="M12137" s="79"/>
      <c r="N12137" s="1"/>
      <c r="O12137" s="1"/>
      <c r="P12137" s="1"/>
      <c r="Q12137" s="1"/>
      <c r="R12137" s="1"/>
      <c r="S12137" s="1"/>
      <c r="T12137" s="1"/>
      <c r="U12137" s="1"/>
      <c r="V12137" s="1"/>
      <c r="W12137" s="1"/>
      <c r="X12137" s="1"/>
      <c r="Y12137" s="1"/>
      <c r="Z12137" s="1"/>
      <c r="AA12137" s="1"/>
      <c r="AB12137" s="1"/>
      <c r="AC12137" s="1"/>
      <c r="AD12137" s="1"/>
      <c r="AE12137" s="1"/>
      <c r="AF12137" s="1"/>
      <c r="AG12137" s="1"/>
      <c r="AH12137" s="1"/>
    </row>
    <row r="12138" ht="12.75" customHeight="1">
      <c r="A12138" s="17"/>
      <c r="B12138" s="1"/>
      <c r="C12138" s="1"/>
      <c r="D12138" s="150"/>
      <c r="E12138" s="150"/>
      <c r="F12138" s="75"/>
      <c r="G12138" s="67"/>
      <c r="H12138" s="68"/>
      <c r="I12138" s="76"/>
      <c r="J12138" s="67"/>
      <c r="K12138" s="1"/>
      <c r="L12138" s="77"/>
      <c r="M12138" s="79"/>
      <c r="N12138" s="1"/>
      <c r="O12138" s="1"/>
      <c r="P12138" s="1"/>
      <c r="Q12138" s="1"/>
      <c r="R12138" s="1"/>
      <c r="S12138" s="1"/>
      <c r="T12138" s="1"/>
      <c r="U12138" s="1"/>
      <c r="V12138" s="1"/>
      <c r="W12138" s="1"/>
      <c r="X12138" s="1"/>
      <c r="Y12138" s="1"/>
      <c r="Z12138" s="1"/>
      <c r="AA12138" s="1"/>
      <c r="AB12138" s="1"/>
      <c r="AC12138" s="1"/>
      <c r="AD12138" s="1"/>
      <c r="AE12138" s="1"/>
      <c r="AF12138" s="1"/>
      <c r="AG12138" s="1"/>
      <c r="AH12138" s="1"/>
    </row>
    <row r="12139" ht="12.75" customHeight="1">
      <c r="A12139" s="17"/>
      <c r="B12139" s="1"/>
      <c r="C12139" s="1"/>
      <c r="D12139" s="150"/>
      <c r="E12139" s="150"/>
      <c r="F12139" s="75"/>
      <c r="G12139" s="67"/>
      <c r="H12139" s="68"/>
      <c r="I12139" s="76"/>
      <c r="J12139" s="67"/>
      <c r="K12139" s="1"/>
      <c r="L12139" s="77"/>
      <c r="M12139" s="79"/>
      <c r="N12139" s="1"/>
      <c r="O12139" s="1"/>
      <c r="P12139" s="1"/>
      <c r="Q12139" s="1"/>
      <c r="R12139" s="1"/>
      <c r="S12139" s="1"/>
      <c r="T12139" s="1"/>
      <c r="U12139" s="1"/>
      <c r="V12139" s="1"/>
      <c r="W12139" s="1"/>
      <c r="X12139" s="1"/>
      <c r="Y12139" s="1"/>
      <c r="Z12139" s="1"/>
      <c r="AA12139" s="1"/>
      <c r="AB12139" s="1"/>
      <c r="AC12139" s="1"/>
      <c r="AD12139" s="1"/>
      <c r="AE12139" s="1"/>
      <c r="AF12139" s="1"/>
      <c r="AG12139" s="1"/>
      <c r="AH12139" s="1"/>
    </row>
    <row r="12140" ht="12.75" customHeight="1">
      <c r="A12140" s="17"/>
      <c r="B12140" s="1"/>
      <c r="C12140" s="1"/>
      <c r="D12140" s="150"/>
      <c r="E12140" s="150"/>
      <c r="F12140" s="75"/>
      <c r="G12140" s="67"/>
      <c r="H12140" s="68"/>
      <c r="I12140" s="76"/>
      <c r="J12140" s="67"/>
      <c r="K12140" s="1"/>
      <c r="L12140" s="77"/>
      <c r="M12140" s="79"/>
      <c r="N12140" s="1"/>
      <c r="O12140" s="1"/>
      <c r="P12140" s="1"/>
      <c r="Q12140" s="1"/>
      <c r="R12140" s="1"/>
      <c r="S12140" s="1"/>
      <c r="T12140" s="1"/>
      <c r="U12140" s="1"/>
      <c r="V12140" s="1"/>
      <c r="W12140" s="1"/>
      <c r="X12140" s="1"/>
      <c r="Y12140" s="1"/>
      <c r="Z12140" s="1"/>
      <c r="AA12140" s="1"/>
      <c r="AB12140" s="1"/>
      <c r="AC12140" s="1"/>
      <c r="AD12140" s="1"/>
      <c r="AE12140" s="1"/>
      <c r="AF12140" s="1"/>
      <c r="AG12140" s="1"/>
      <c r="AH12140" s="1"/>
    </row>
    <row r="12141" ht="12.75" customHeight="1">
      <c r="A12141" s="17"/>
      <c r="B12141" s="1"/>
      <c r="C12141" s="1"/>
      <c r="D12141" s="150"/>
      <c r="E12141" s="150"/>
      <c r="F12141" s="75"/>
      <c r="G12141" s="67"/>
      <c r="H12141" s="68"/>
      <c r="I12141" s="76"/>
      <c r="J12141" s="67"/>
      <c r="K12141" s="1"/>
      <c r="L12141" s="77"/>
      <c r="M12141" s="79"/>
      <c r="N12141" s="1"/>
      <c r="O12141" s="1"/>
      <c r="P12141" s="1"/>
      <c r="Q12141" s="1"/>
      <c r="R12141" s="1"/>
      <c r="S12141" s="1"/>
      <c r="T12141" s="1"/>
      <c r="U12141" s="1"/>
      <c r="V12141" s="1"/>
      <c r="W12141" s="1"/>
      <c r="X12141" s="1"/>
      <c r="Y12141" s="1"/>
      <c r="Z12141" s="1"/>
      <c r="AA12141" s="1"/>
      <c r="AB12141" s="1"/>
      <c r="AC12141" s="1"/>
      <c r="AD12141" s="1"/>
      <c r="AE12141" s="1"/>
      <c r="AF12141" s="1"/>
      <c r="AG12141" s="1"/>
      <c r="AH12141" s="1"/>
    </row>
    <row r="12142" ht="12.75" customHeight="1">
      <c r="A12142" s="17"/>
      <c r="B12142" s="1"/>
      <c r="C12142" s="1"/>
      <c r="D12142" s="150"/>
      <c r="E12142" s="150"/>
      <c r="F12142" s="75"/>
      <c r="G12142" s="67"/>
      <c r="H12142" s="68"/>
      <c r="I12142" s="76"/>
      <c r="J12142" s="67"/>
      <c r="K12142" s="1"/>
      <c r="L12142" s="77"/>
      <c r="M12142" s="79"/>
      <c r="N12142" s="1"/>
      <c r="O12142" s="1"/>
      <c r="P12142" s="1"/>
      <c r="Q12142" s="1"/>
      <c r="R12142" s="1"/>
      <c r="S12142" s="1"/>
      <c r="T12142" s="1"/>
      <c r="U12142" s="1"/>
      <c r="V12142" s="1"/>
      <c r="W12142" s="1"/>
      <c r="X12142" s="1"/>
      <c r="Y12142" s="1"/>
      <c r="Z12142" s="1"/>
      <c r="AA12142" s="1"/>
      <c r="AB12142" s="1"/>
      <c r="AC12142" s="1"/>
      <c r="AD12142" s="1"/>
      <c r="AE12142" s="1"/>
      <c r="AF12142" s="1"/>
      <c r="AG12142" s="1"/>
      <c r="AH12142" s="1"/>
    </row>
    <row r="12143" ht="12.75" customHeight="1">
      <c r="A12143" s="17"/>
      <c r="B12143" s="1"/>
      <c r="C12143" s="1"/>
      <c r="D12143" s="150"/>
      <c r="E12143" s="150"/>
      <c r="F12143" s="75"/>
      <c r="G12143" s="67"/>
      <c r="H12143" s="68"/>
      <c r="I12143" s="76"/>
      <c r="J12143" s="67"/>
      <c r="K12143" s="1"/>
      <c r="L12143" s="77"/>
      <c r="M12143" s="79"/>
      <c r="N12143" s="1"/>
      <c r="O12143" s="1"/>
      <c r="P12143" s="1"/>
      <c r="Q12143" s="1"/>
      <c r="R12143" s="1"/>
      <c r="S12143" s="1"/>
      <c r="T12143" s="1"/>
      <c r="U12143" s="1"/>
      <c r="V12143" s="1"/>
      <c r="W12143" s="1"/>
      <c r="X12143" s="1"/>
      <c r="Y12143" s="1"/>
      <c r="Z12143" s="1"/>
      <c r="AA12143" s="1"/>
      <c r="AB12143" s="1"/>
      <c r="AC12143" s="1"/>
      <c r="AD12143" s="1"/>
      <c r="AE12143" s="1"/>
      <c r="AF12143" s="1"/>
      <c r="AG12143" s="1"/>
      <c r="AH12143" s="1"/>
    </row>
    <row r="12144" ht="12.75" customHeight="1">
      <c r="A12144" s="17"/>
      <c r="B12144" s="1"/>
      <c r="C12144" s="1"/>
      <c r="D12144" s="150"/>
      <c r="E12144" s="150"/>
      <c r="F12144" s="75"/>
      <c r="G12144" s="67"/>
      <c r="H12144" s="68"/>
      <c r="I12144" s="76"/>
      <c r="J12144" s="67"/>
      <c r="K12144" s="1"/>
      <c r="L12144" s="77"/>
      <c r="M12144" s="79"/>
      <c r="N12144" s="1"/>
      <c r="O12144" s="1"/>
      <c r="P12144" s="1"/>
      <c r="Q12144" s="1"/>
      <c r="R12144" s="1"/>
      <c r="S12144" s="1"/>
      <c r="T12144" s="1"/>
      <c r="U12144" s="1"/>
      <c r="V12144" s="1"/>
      <c r="W12144" s="1"/>
      <c r="X12144" s="1"/>
      <c r="Y12144" s="1"/>
      <c r="Z12144" s="1"/>
      <c r="AA12144" s="1"/>
      <c r="AB12144" s="1"/>
      <c r="AC12144" s="1"/>
      <c r="AD12144" s="1"/>
      <c r="AE12144" s="1"/>
      <c r="AF12144" s="1"/>
      <c r="AG12144" s="1"/>
      <c r="AH12144" s="1"/>
    </row>
    <row r="12145" ht="12.75" customHeight="1">
      <c r="A12145" s="17"/>
      <c r="B12145" s="1"/>
      <c r="C12145" s="1"/>
      <c r="D12145" s="150"/>
      <c r="E12145" s="150"/>
      <c r="F12145" s="75"/>
      <c r="G12145" s="67"/>
      <c r="H12145" s="68"/>
      <c r="I12145" s="76"/>
      <c r="J12145" s="67"/>
      <c r="K12145" s="1"/>
      <c r="L12145" s="77"/>
      <c r="M12145" s="79"/>
      <c r="N12145" s="1"/>
      <c r="O12145" s="1"/>
      <c r="P12145" s="1"/>
      <c r="Q12145" s="1"/>
      <c r="R12145" s="1"/>
      <c r="S12145" s="1"/>
      <c r="T12145" s="1"/>
      <c r="U12145" s="1"/>
      <c r="V12145" s="1"/>
      <c r="W12145" s="1"/>
      <c r="X12145" s="1"/>
      <c r="Y12145" s="1"/>
      <c r="Z12145" s="1"/>
      <c r="AA12145" s="1"/>
      <c r="AB12145" s="1"/>
      <c r="AC12145" s="1"/>
      <c r="AD12145" s="1"/>
      <c r="AE12145" s="1"/>
      <c r="AF12145" s="1"/>
      <c r="AG12145" s="1"/>
      <c r="AH12145" s="1"/>
    </row>
    <row r="12146" ht="12.75" customHeight="1">
      <c r="A12146" s="17"/>
      <c r="B12146" s="1"/>
      <c r="C12146" s="1"/>
      <c r="D12146" s="150"/>
      <c r="E12146" s="150"/>
      <c r="F12146" s="75"/>
      <c r="G12146" s="67"/>
      <c r="H12146" s="68"/>
      <c r="I12146" s="76"/>
      <c r="J12146" s="67"/>
      <c r="K12146" s="1"/>
      <c r="L12146" s="77"/>
      <c r="M12146" s="79"/>
      <c r="N12146" s="1"/>
      <c r="O12146" s="1"/>
      <c r="P12146" s="1"/>
      <c r="Q12146" s="1"/>
      <c r="R12146" s="1"/>
      <c r="S12146" s="1"/>
      <c r="T12146" s="1"/>
      <c r="U12146" s="1"/>
      <c r="V12146" s="1"/>
      <c r="W12146" s="1"/>
      <c r="X12146" s="1"/>
      <c r="Y12146" s="1"/>
      <c r="Z12146" s="1"/>
      <c r="AA12146" s="1"/>
      <c r="AB12146" s="1"/>
      <c r="AC12146" s="1"/>
      <c r="AD12146" s="1"/>
      <c r="AE12146" s="1"/>
      <c r="AF12146" s="1"/>
      <c r="AG12146" s="1"/>
      <c r="AH12146" s="1"/>
    </row>
    <row r="12147" ht="12.75" customHeight="1">
      <c r="A12147" s="17"/>
      <c r="B12147" s="1"/>
      <c r="C12147" s="1"/>
      <c r="D12147" s="150"/>
      <c r="E12147" s="150"/>
      <c r="F12147" s="75"/>
      <c r="G12147" s="67"/>
      <c r="H12147" s="68"/>
      <c r="I12147" s="76"/>
      <c r="J12147" s="67"/>
      <c r="K12147" s="1"/>
      <c r="L12147" s="77"/>
      <c r="M12147" s="79"/>
      <c r="N12147" s="1"/>
      <c r="O12147" s="1"/>
      <c r="P12147" s="1"/>
      <c r="Q12147" s="1"/>
      <c r="R12147" s="1"/>
      <c r="S12147" s="1"/>
      <c r="T12147" s="1"/>
      <c r="U12147" s="1"/>
      <c r="V12147" s="1"/>
      <c r="W12147" s="1"/>
      <c r="X12147" s="1"/>
      <c r="Y12147" s="1"/>
      <c r="Z12147" s="1"/>
      <c r="AA12147" s="1"/>
      <c r="AB12147" s="1"/>
      <c r="AC12147" s="1"/>
      <c r="AD12147" s="1"/>
      <c r="AE12147" s="1"/>
      <c r="AF12147" s="1"/>
      <c r="AG12147" s="1"/>
      <c r="AH12147" s="1"/>
    </row>
    <row r="12148" ht="12.75" customHeight="1">
      <c r="A12148" s="17"/>
      <c r="B12148" s="1"/>
      <c r="C12148" s="1"/>
      <c r="D12148" s="150"/>
      <c r="E12148" s="150"/>
      <c r="F12148" s="75"/>
      <c r="G12148" s="67"/>
      <c r="H12148" s="68"/>
      <c r="I12148" s="76"/>
      <c r="J12148" s="67"/>
      <c r="K12148" s="1"/>
      <c r="L12148" s="77"/>
      <c r="M12148" s="79"/>
      <c r="N12148" s="1"/>
      <c r="O12148" s="1"/>
      <c r="P12148" s="1"/>
      <c r="Q12148" s="1"/>
      <c r="R12148" s="1"/>
      <c r="S12148" s="1"/>
      <c r="T12148" s="1"/>
      <c r="U12148" s="1"/>
      <c r="V12148" s="1"/>
      <c r="W12148" s="1"/>
      <c r="X12148" s="1"/>
      <c r="Y12148" s="1"/>
      <c r="Z12148" s="1"/>
      <c r="AA12148" s="1"/>
      <c r="AB12148" s="1"/>
      <c r="AC12148" s="1"/>
      <c r="AD12148" s="1"/>
      <c r="AE12148" s="1"/>
      <c r="AF12148" s="1"/>
      <c r="AG12148" s="1"/>
      <c r="AH12148" s="1"/>
    </row>
    <row r="12149" ht="12.75" customHeight="1">
      <c r="A12149" s="17"/>
      <c r="B12149" s="1"/>
      <c r="C12149" s="1"/>
      <c r="D12149" s="150"/>
      <c r="E12149" s="150"/>
      <c r="F12149" s="75"/>
      <c r="G12149" s="67"/>
      <c r="H12149" s="68"/>
      <c r="I12149" s="76"/>
      <c r="J12149" s="67"/>
      <c r="K12149" s="1"/>
      <c r="L12149" s="77"/>
      <c r="M12149" s="79"/>
      <c r="N12149" s="1"/>
      <c r="O12149" s="1"/>
      <c r="P12149" s="1"/>
      <c r="Q12149" s="1"/>
      <c r="R12149" s="1"/>
      <c r="S12149" s="1"/>
      <c r="T12149" s="1"/>
      <c r="U12149" s="1"/>
      <c r="V12149" s="1"/>
      <c r="W12149" s="1"/>
      <c r="X12149" s="1"/>
      <c r="Y12149" s="1"/>
      <c r="Z12149" s="1"/>
      <c r="AA12149" s="1"/>
      <c r="AB12149" s="1"/>
      <c r="AC12149" s="1"/>
      <c r="AD12149" s="1"/>
      <c r="AE12149" s="1"/>
      <c r="AF12149" s="1"/>
      <c r="AG12149" s="1"/>
      <c r="AH12149" s="1"/>
    </row>
    <row r="12150" ht="12.75" customHeight="1">
      <c r="A12150" s="17"/>
      <c r="B12150" s="1"/>
      <c r="C12150" s="1"/>
      <c r="D12150" s="150"/>
      <c r="E12150" s="150"/>
      <c r="F12150" s="75"/>
      <c r="G12150" s="67"/>
      <c r="H12150" s="68"/>
      <c r="I12150" s="76"/>
      <c r="J12150" s="67"/>
      <c r="K12150" s="1"/>
      <c r="L12150" s="77"/>
      <c r="M12150" s="79"/>
      <c r="N12150" s="1"/>
      <c r="O12150" s="1"/>
      <c r="P12150" s="1"/>
      <c r="Q12150" s="1"/>
      <c r="R12150" s="1"/>
      <c r="S12150" s="1"/>
      <c r="T12150" s="1"/>
      <c r="U12150" s="1"/>
      <c r="V12150" s="1"/>
      <c r="W12150" s="1"/>
      <c r="X12150" s="1"/>
      <c r="Y12150" s="1"/>
      <c r="Z12150" s="1"/>
      <c r="AA12150" s="1"/>
      <c r="AB12150" s="1"/>
      <c r="AC12150" s="1"/>
      <c r="AD12150" s="1"/>
      <c r="AE12150" s="1"/>
      <c r="AF12150" s="1"/>
      <c r="AG12150" s="1"/>
      <c r="AH12150" s="1"/>
    </row>
    <row r="12151" ht="12.75" customHeight="1">
      <c r="A12151" s="17"/>
      <c r="B12151" s="1"/>
      <c r="C12151" s="1"/>
      <c r="D12151" s="150"/>
      <c r="E12151" s="150"/>
      <c r="F12151" s="75"/>
      <c r="G12151" s="67"/>
      <c r="H12151" s="68"/>
      <c r="I12151" s="76"/>
      <c r="J12151" s="67"/>
      <c r="K12151" s="1"/>
      <c r="L12151" s="77"/>
      <c r="M12151" s="79"/>
      <c r="N12151" s="1"/>
      <c r="O12151" s="1"/>
      <c r="P12151" s="1"/>
      <c r="Q12151" s="1"/>
      <c r="R12151" s="1"/>
      <c r="S12151" s="1"/>
      <c r="T12151" s="1"/>
      <c r="U12151" s="1"/>
      <c r="V12151" s="1"/>
      <c r="W12151" s="1"/>
      <c r="X12151" s="1"/>
      <c r="Y12151" s="1"/>
      <c r="Z12151" s="1"/>
      <c r="AA12151" s="1"/>
      <c r="AB12151" s="1"/>
      <c r="AC12151" s="1"/>
      <c r="AD12151" s="1"/>
      <c r="AE12151" s="1"/>
      <c r="AF12151" s="1"/>
      <c r="AG12151" s="1"/>
      <c r="AH12151" s="1"/>
    </row>
    <row r="12152" ht="12.75" customHeight="1">
      <c r="A12152" s="17"/>
      <c r="B12152" s="1"/>
      <c r="C12152" s="1"/>
      <c r="D12152" s="150"/>
      <c r="E12152" s="150"/>
      <c r="F12152" s="75"/>
      <c r="G12152" s="67"/>
      <c r="H12152" s="68"/>
      <c r="I12152" s="76"/>
      <c r="J12152" s="67"/>
      <c r="K12152" s="1"/>
      <c r="L12152" s="77"/>
      <c r="M12152" s="79"/>
      <c r="N12152" s="1"/>
      <c r="O12152" s="1"/>
      <c r="P12152" s="1"/>
      <c r="Q12152" s="1"/>
      <c r="R12152" s="1"/>
      <c r="S12152" s="1"/>
      <c r="T12152" s="1"/>
      <c r="U12152" s="1"/>
      <c r="V12152" s="1"/>
      <c r="W12152" s="1"/>
      <c r="X12152" s="1"/>
      <c r="Y12152" s="1"/>
      <c r="Z12152" s="1"/>
      <c r="AA12152" s="1"/>
      <c r="AB12152" s="1"/>
      <c r="AC12152" s="1"/>
      <c r="AD12152" s="1"/>
      <c r="AE12152" s="1"/>
      <c r="AF12152" s="1"/>
      <c r="AG12152" s="1"/>
      <c r="AH12152" s="1"/>
    </row>
    <row r="12153" ht="12.75" customHeight="1">
      <c r="A12153" s="17"/>
      <c r="B12153" s="1"/>
      <c r="C12153" s="1"/>
      <c r="D12153" s="150"/>
      <c r="E12153" s="150"/>
      <c r="F12153" s="75"/>
      <c r="G12153" s="67"/>
      <c r="H12153" s="68"/>
      <c r="I12153" s="76"/>
      <c r="J12153" s="67"/>
      <c r="K12153" s="1"/>
      <c r="L12153" s="77"/>
      <c r="M12153" s="79"/>
      <c r="N12153" s="1"/>
      <c r="O12153" s="1"/>
      <c r="P12153" s="1"/>
      <c r="Q12153" s="1"/>
      <c r="R12153" s="1"/>
      <c r="S12153" s="1"/>
      <c r="T12153" s="1"/>
      <c r="U12153" s="1"/>
      <c r="V12153" s="1"/>
      <c r="W12153" s="1"/>
      <c r="X12153" s="1"/>
      <c r="Y12153" s="1"/>
      <c r="Z12153" s="1"/>
      <c r="AA12153" s="1"/>
      <c r="AB12153" s="1"/>
      <c r="AC12153" s="1"/>
      <c r="AD12153" s="1"/>
      <c r="AE12153" s="1"/>
      <c r="AF12153" s="1"/>
      <c r="AG12153" s="1"/>
      <c r="AH12153" s="1"/>
    </row>
    <row r="12154" ht="12.75" customHeight="1">
      <c r="A12154" s="17"/>
      <c r="B12154" s="1"/>
      <c r="C12154" s="1"/>
      <c r="D12154" s="150"/>
      <c r="E12154" s="150"/>
      <c r="F12154" s="75"/>
      <c r="G12154" s="67"/>
      <c r="H12154" s="68"/>
      <c r="I12154" s="76"/>
      <c r="J12154" s="67"/>
      <c r="K12154" s="1"/>
      <c r="L12154" s="77"/>
      <c r="M12154" s="79"/>
      <c r="N12154" s="1"/>
      <c r="O12154" s="1"/>
      <c r="P12154" s="1"/>
      <c r="Q12154" s="1"/>
      <c r="R12154" s="1"/>
      <c r="S12154" s="1"/>
      <c r="T12154" s="1"/>
      <c r="U12154" s="1"/>
      <c r="V12154" s="1"/>
      <c r="W12154" s="1"/>
      <c r="X12154" s="1"/>
      <c r="Y12154" s="1"/>
      <c r="Z12154" s="1"/>
      <c r="AA12154" s="1"/>
      <c r="AB12154" s="1"/>
      <c r="AC12154" s="1"/>
      <c r="AD12154" s="1"/>
      <c r="AE12154" s="1"/>
      <c r="AF12154" s="1"/>
      <c r="AG12154" s="1"/>
      <c r="AH12154" s="1"/>
    </row>
    <row r="12155" ht="12.75" customHeight="1">
      <c r="A12155" s="17"/>
      <c r="B12155" s="1"/>
      <c r="C12155" s="1"/>
      <c r="D12155" s="150"/>
      <c r="E12155" s="150"/>
      <c r="F12155" s="75"/>
      <c r="G12155" s="67"/>
      <c r="H12155" s="68"/>
      <c r="I12155" s="76"/>
      <c r="J12155" s="67"/>
      <c r="K12155" s="1"/>
      <c r="L12155" s="77"/>
      <c r="M12155" s="79"/>
      <c r="N12155" s="1"/>
      <c r="O12155" s="1"/>
      <c r="P12155" s="1"/>
      <c r="Q12155" s="1"/>
      <c r="R12155" s="1"/>
      <c r="S12155" s="1"/>
      <c r="T12155" s="1"/>
      <c r="U12155" s="1"/>
      <c r="V12155" s="1"/>
      <c r="W12155" s="1"/>
      <c r="X12155" s="1"/>
      <c r="Y12155" s="1"/>
      <c r="Z12155" s="1"/>
      <c r="AA12155" s="1"/>
      <c r="AB12155" s="1"/>
      <c r="AC12155" s="1"/>
      <c r="AD12155" s="1"/>
      <c r="AE12155" s="1"/>
      <c r="AF12155" s="1"/>
      <c r="AG12155" s="1"/>
      <c r="AH12155" s="1"/>
    </row>
    <row r="12156" ht="12.75" customHeight="1">
      <c r="A12156" s="17"/>
      <c r="B12156" s="1"/>
      <c r="C12156" s="1"/>
      <c r="D12156" s="150"/>
      <c r="E12156" s="150"/>
      <c r="F12156" s="75"/>
      <c r="G12156" s="67"/>
      <c r="H12156" s="68"/>
      <c r="I12156" s="76"/>
      <c r="J12156" s="67"/>
      <c r="K12156" s="1"/>
      <c r="L12156" s="77"/>
      <c r="M12156" s="79"/>
      <c r="N12156" s="1"/>
      <c r="O12156" s="1"/>
      <c r="P12156" s="1"/>
      <c r="Q12156" s="1"/>
      <c r="R12156" s="1"/>
      <c r="S12156" s="1"/>
      <c r="T12156" s="1"/>
      <c r="U12156" s="1"/>
      <c r="V12156" s="1"/>
      <c r="W12156" s="1"/>
      <c r="X12156" s="1"/>
      <c r="Y12156" s="1"/>
      <c r="Z12156" s="1"/>
      <c r="AA12156" s="1"/>
      <c r="AB12156" s="1"/>
      <c r="AC12156" s="1"/>
      <c r="AD12156" s="1"/>
      <c r="AE12156" s="1"/>
      <c r="AF12156" s="1"/>
      <c r="AG12156" s="1"/>
      <c r="AH12156" s="1"/>
    </row>
    <row r="12157" ht="12.75" customHeight="1">
      <c r="A12157" s="17"/>
      <c r="B12157" s="1"/>
      <c r="C12157" s="1"/>
      <c r="D12157" s="150"/>
      <c r="E12157" s="150"/>
      <c r="F12157" s="75"/>
      <c r="G12157" s="67"/>
      <c r="H12157" s="68"/>
      <c r="I12157" s="76"/>
      <c r="J12157" s="67"/>
      <c r="K12157" s="1"/>
      <c r="L12157" s="77"/>
      <c r="M12157" s="79"/>
      <c r="N12157" s="1"/>
      <c r="O12157" s="1"/>
      <c r="P12157" s="1"/>
      <c r="Q12157" s="1"/>
      <c r="R12157" s="1"/>
      <c r="S12157" s="1"/>
      <c r="T12157" s="1"/>
      <c r="U12157" s="1"/>
      <c r="V12157" s="1"/>
      <c r="W12157" s="1"/>
      <c r="X12157" s="1"/>
      <c r="Y12157" s="1"/>
      <c r="Z12157" s="1"/>
      <c r="AA12157" s="1"/>
      <c r="AB12157" s="1"/>
      <c r="AC12157" s="1"/>
      <c r="AD12157" s="1"/>
      <c r="AE12157" s="1"/>
      <c r="AF12157" s="1"/>
      <c r="AG12157" s="1"/>
      <c r="AH12157" s="1"/>
    </row>
    <row r="12158" ht="12.75" customHeight="1">
      <c r="A12158" s="17"/>
      <c r="B12158" s="1"/>
      <c r="C12158" s="1"/>
      <c r="D12158" s="150"/>
      <c r="E12158" s="150"/>
      <c r="F12158" s="75"/>
      <c r="G12158" s="67"/>
      <c r="H12158" s="68"/>
      <c r="I12158" s="76"/>
      <c r="J12158" s="67"/>
      <c r="K12158" s="1"/>
      <c r="L12158" s="77"/>
      <c r="M12158" s="79"/>
      <c r="N12158" s="1"/>
      <c r="O12158" s="1"/>
      <c r="P12158" s="1"/>
      <c r="Q12158" s="1"/>
      <c r="R12158" s="1"/>
      <c r="S12158" s="1"/>
      <c r="T12158" s="1"/>
      <c r="U12158" s="1"/>
      <c r="V12158" s="1"/>
      <c r="W12158" s="1"/>
      <c r="X12158" s="1"/>
      <c r="Y12158" s="1"/>
      <c r="Z12158" s="1"/>
      <c r="AA12158" s="1"/>
      <c r="AB12158" s="1"/>
      <c r="AC12158" s="1"/>
      <c r="AD12158" s="1"/>
      <c r="AE12158" s="1"/>
      <c r="AF12158" s="1"/>
      <c r="AG12158" s="1"/>
      <c r="AH12158" s="1"/>
    </row>
    <row r="12159" ht="12.75" customHeight="1">
      <c r="A12159" s="17"/>
      <c r="B12159" s="1"/>
      <c r="C12159" s="1"/>
      <c r="D12159" s="150"/>
      <c r="E12159" s="150"/>
      <c r="F12159" s="75"/>
      <c r="G12159" s="67"/>
      <c r="H12159" s="68"/>
      <c r="I12159" s="76"/>
      <c r="J12159" s="67"/>
      <c r="K12159" s="1"/>
      <c r="L12159" s="77"/>
      <c r="M12159" s="79"/>
      <c r="N12159" s="1"/>
      <c r="O12159" s="1"/>
      <c r="P12159" s="1"/>
      <c r="Q12159" s="1"/>
      <c r="R12159" s="1"/>
      <c r="S12159" s="1"/>
      <c r="T12159" s="1"/>
      <c r="U12159" s="1"/>
      <c r="V12159" s="1"/>
      <c r="W12159" s="1"/>
      <c r="X12159" s="1"/>
      <c r="Y12159" s="1"/>
      <c r="Z12159" s="1"/>
      <c r="AA12159" s="1"/>
      <c r="AB12159" s="1"/>
      <c r="AC12159" s="1"/>
      <c r="AD12159" s="1"/>
      <c r="AE12159" s="1"/>
      <c r="AF12159" s="1"/>
      <c r="AG12159" s="1"/>
      <c r="AH12159" s="1"/>
    </row>
    <row r="12160" ht="12.75" customHeight="1">
      <c r="A12160" s="17"/>
      <c r="B12160" s="1"/>
      <c r="C12160" s="1"/>
      <c r="D12160" s="150"/>
      <c r="E12160" s="150"/>
      <c r="F12160" s="75"/>
      <c r="G12160" s="67"/>
      <c r="H12160" s="68"/>
      <c r="I12160" s="76"/>
      <c r="J12160" s="67"/>
      <c r="K12160" s="1"/>
      <c r="L12160" s="77"/>
      <c r="M12160" s="79"/>
      <c r="N12160" s="1"/>
      <c r="O12160" s="1"/>
      <c r="P12160" s="1"/>
      <c r="Q12160" s="1"/>
      <c r="R12160" s="1"/>
      <c r="S12160" s="1"/>
      <c r="T12160" s="1"/>
      <c r="U12160" s="1"/>
      <c r="V12160" s="1"/>
      <c r="W12160" s="1"/>
      <c r="X12160" s="1"/>
      <c r="Y12160" s="1"/>
      <c r="Z12160" s="1"/>
      <c r="AA12160" s="1"/>
      <c r="AB12160" s="1"/>
      <c r="AC12160" s="1"/>
      <c r="AD12160" s="1"/>
      <c r="AE12160" s="1"/>
      <c r="AF12160" s="1"/>
      <c r="AG12160" s="1"/>
      <c r="AH12160" s="1"/>
    </row>
    <row r="12161" ht="12.75" customHeight="1">
      <c r="A12161" s="17"/>
      <c r="B12161" s="1"/>
      <c r="C12161" s="1"/>
      <c r="D12161" s="150"/>
      <c r="E12161" s="150"/>
      <c r="F12161" s="75"/>
      <c r="G12161" s="67"/>
      <c r="H12161" s="68"/>
      <c r="I12161" s="76"/>
      <c r="J12161" s="67"/>
      <c r="K12161" s="1"/>
      <c r="L12161" s="77"/>
      <c r="M12161" s="79"/>
      <c r="N12161" s="1"/>
      <c r="O12161" s="1"/>
      <c r="P12161" s="1"/>
      <c r="Q12161" s="1"/>
      <c r="R12161" s="1"/>
      <c r="S12161" s="1"/>
      <c r="T12161" s="1"/>
      <c r="U12161" s="1"/>
      <c r="V12161" s="1"/>
      <c r="W12161" s="1"/>
      <c r="X12161" s="1"/>
      <c r="Y12161" s="1"/>
      <c r="Z12161" s="1"/>
      <c r="AA12161" s="1"/>
      <c r="AB12161" s="1"/>
      <c r="AC12161" s="1"/>
      <c r="AD12161" s="1"/>
      <c r="AE12161" s="1"/>
      <c r="AF12161" s="1"/>
      <c r="AG12161" s="1"/>
      <c r="AH12161" s="1"/>
    </row>
    <row r="12162" ht="12.75" customHeight="1">
      <c r="A12162" s="17"/>
      <c r="B12162" s="1"/>
      <c r="C12162" s="1"/>
      <c r="D12162" s="150"/>
      <c r="E12162" s="150"/>
      <c r="F12162" s="75"/>
      <c r="G12162" s="67"/>
      <c r="H12162" s="68"/>
      <c r="I12162" s="76"/>
      <c r="J12162" s="67"/>
      <c r="K12162" s="1"/>
      <c r="L12162" s="77"/>
      <c r="M12162" s="79"/>
      <c r="N12162" s="1"/>
      <c r="O12162" s="1"/>
      <c r="P12162" s="1"/>
      <c r="Q12162" s="1"/>
      <c r="R12162" s="1"/>
      <c r="S12162" s="1"/>
      <c r="T12162" s="1"/>
      <c r="U12162" s="1"/>
      <c r="V12162" s="1"/>
      <c r="W12162" s="1"/>
      <c r="X12162" s="1"/>
      <c r="Y12162" s="1"/>
      <c r="Z12162" s="1"/>
      <c r="AA12162" s="1"/>
      <c r="AB12162" s="1"/>
      <c r="AC12162" s="1"/>
      <c r="AD12162" s="1"/>
      <c r="AE12162" s="1"/>
      <c r="AF12162" s="1"/>
      <c r="AG12162" s="1"/>
      <c r="AH12162" s="1"/>
    </row>
    <row r="12163" ht="12.75" customHeight="1">
      <c r="A12163" s="17"/>
      <c r="B12163" s="1"/>
      <c r="C12163" s="1"/>
      <c r="D12163" s="150"/>
      <c r="E12163" s="150"/>
      <c r="F12163" s="75"/>
      <c r="G12163" s="67"/>
      <c r="H12163" s="68"/>
      <c r="I12163" s="76"/>
      <c r="J12163" s="67"/>
      <c r="K12163" s="1"/>
      <c r="L12163" s="77"/>
      <c r="M12163" s="79"/>
      <c r="N12163" s="1"/>
      <c r="O12163" s="1"/>
      <c r="P12163" s="1"/>
      <c r="Q12163" s="1"/>
      <c r="R12163" s="1"/>
      <c r="S12163" s="1"/>
      <c r="T12163" s="1"/>
      <c r="U12163" s="1"/>
      <c r="V12163" s="1"/>
      <c r="W12163" s="1"/>
      <c r="X12163" s="1"/>
      <c r="Y12163" s="1"/>
      <c r="Z12163" s="1"/>
      <c r="AA12163" s="1"/>
      <c r="AB12163" s="1"/>
      <c r="AC12163" s="1"/>
      <c r="AD12163" s="1"/>
      <c r="AE12163" s="1"/>
      <c r="AF12163" s="1"/>
      <c r="AG12163" s="1"/>
      <c r="AH12163" s="1"/>
    </row>
    <row r="12164" ht="12.75" customHeight="1">
      <c r="A12164" s="17"/>
      <c r="B12164" s="1"/>
      <c r="C12164" s="1"/>
      <c r="D12164" s="150"/>
      <c r="E12164" s="150"/>
      <c r="F12164" s="75"/>
      <c r="G12164" s="67"/>
      <c r="H12164" s="68"/>
      <c r="I12164" s="76"/>
      <c r="J12164" s="67"/>
      <c r="K12164" s="1"/>
      <c r="L12164" s="77"/>
      <c r="M12164" s="79"/>
      <c r="N12164" s="1"/>
      <c r="O12164" s="1"/>
      <c r="P12164" s="1"/>
      <c r="Q12164" s="1"/>
      <c r="R12164" s="1"/>
      <c r="S12164" s="1"/>
      <c r="T12164" s="1"/>
      <c r="U12164" s="1"/>
      <c r="V12164" s="1"/>
      <c r="W12164" s="1"/>
      <c r="X12164" s="1"/>
      <c r="Y12164" s="1"/>
      <c r="Z12164" s="1"/>
      <c r="AA12164" s="1"/>
      <c r="AB12164" s="1"/>
      <c r="AC12164" s="1"/>
      <c r="AD12164" s="1"/>
      <c r="AE12164" s="1"/>
      <c r="AF12164" s="1"/>
      <c r="AG12164" s="1"/>
      <c r="AH12164" s="1"/>
    </row>
    <row r="12165" ht="12.75" customHeight="1">
      <c r="A12165" s="17"/>
      <c r="B12165" s="1"/>
      <c r="C12165" s="1"/>
      <c r="D12165" s="150"/>
      <c r="E12165" s="150"/>
      <c r="F12165" s="75"/>
      <c r="G12165" s="67"/>
      <c r="H12165" s="68"/>
      <c r="I12165" s="76"/>
      <c r="J12165" s="67"/>
      <c r="K12165" s="1"/>
      <c r="L12165" s="77"/>
      <c r="M12165" s="79"/>
      <c r="N12165" s="1"/>
      <c r="O12165" s="1"/>
      <c r="P12165" s="1"/>
      <c r="Q12165" s="1"/>
      <c r="R12165" s="1"/>
      <c r="S12165" s="1"/>
      <c r="T12165" s="1"/>
      <c r="U12165" s="1"/>
      <c r="V12165" s="1"/>
      <c r="W12165" s="1"/>
      <c r="X12165" s="1"/>
      <c r="Y12165" s="1"/>
      <c r="Z12165" s="1"/>
      <c r="AA12165" s="1"/>
      <c r="AB12165" s="1"/>
      <c r="AC12165" s="1"/>
      <c r="AD12165" s="1"/>
      <c r="AE12165" s="1"/>
      <c r="AF12165" s="1"/>
      <c r="AG12165" s="1"/>
      <c r="AH12165" s="1"/>
    </row>
    <row r="12166" ht="12.75" customHeight="1">
      <c r="A12166" s="17"/>
      <c r="B12166" s="1"/>
      <c r="C12166" s="1"/>
      <c r="D12166" s="150"/>
      <c r="E12166" s="150"/>
      <c r="F12166" s="75"/>
      <c r="G12166" s="67"/>
      <c r="H12166" s="68"/>
      <c r="I12166" s="76"/>
      <c r="J12166" s="67"/>
      <c r="K12166" s="1"/>
      <c r="L12166" s="77"/>
      <c r="M12166" s="79"/>
      <c r="N12166" s="1"/>
      <c r="O12166" s="1"/>
      <c r="P12166" s="1"/>
      <c r="Q12166" s="1"/>
      <c r="R12166" s="1"/>
      <c r="S12166" s="1"/>
      <c r="T12166" s="1"/>
      <c r="U12166" s="1"/>
      <c r="V12166" s="1"/>
      <c r="W12166" s="1"/>
      <c r="X12166" s="1"/>
      <c r="Y12166" s="1"/>
      <c r="Z12166" s="1"/>
      <c r="AA12166" s="1"/>
      <c r="AB12166" s="1"/>
      <c r="AC12166" s="1"/>
      <c r="AD12166" s="1"/>
      <c r="AE12166" s="1"/>
      <c r="AF12166" s="1"/>
      <c r="AG12166" s="1"/>
      <c r="AH12166" s="1"/>
    </row>
    <row r="12167" ht="12.75" customHeight="1">
      <c r="A12167" s="17"/>
      <c r="B12167" s="1"/>
      <c r="C12167" s="1"/>
      <c r="D12167" s="150"/>
      <c r="E12167" s="150"/>
      <c r="F12167" s="75"/>
      <c r="G12167" s="67"/>
      <c r="H12167" s="68"/>
      <c r="I12167" s="76"/>
      <c r="J12167" s="67"/>
      <c r="K12167" s="1"/>
      <c r="L12167" s="77"/>
      <c r="M12167" s="79"/>
      <c r="N12167" s="1"/>
      <c r="O12167" s="1"/>
      <c r="P12167" s="1"/>
      <c r="Q12167" s="1"/>
      <c r="R12167" s="1"/>
      <c r="S12167" s="1"/>
      <c r="T12167" s="1"/>
      <c r="U12167" s="1"/>
      <c r="V12167" s="1"/>
      <c r="W12167" s="1"/>
      <c r="X12167" s="1"/>
      <c r="Y12167" s="1"/>
      <c r="Z12167" s="1"/>
      <c r="AA12167" s="1"/>
      <c r="AB12167" s="1"/>
      <c r="AC12167" s="1"/>
      <c r="AD12167" s="1"/>
      <c r="AE12167" s="1"/>
      <c r="AF12167" s="1"/>
      <c r="AG12167" s="1"/>
      <c r="AH12167" s="1"/>
    </row>
    <row r="12168" ht="12.75" customHeight="1">
      <c r="A12168" s="17"/>
      <c r="B12168" s="1"/>
      <c r="C12168" s="1"/>
      <c r="D12168" s="150"/>
      <c r="E12168" s="150"/>
      <c r="F12168" s="75"/>
      <c r="G12168" s="67"/>
      <c r="H12168" s="68"/>
      <c r="I12168" s="76"/>
      <c r="J12168" s="67"/>
      <c r="K12168" s="1"/>
      <c r="L12168" s="77"/>
      <c r="M12168" s="79"/>
      <c r="N12168" s="1"/>
      <c r="O12168" s="1"/>
      <c r="P12168" s="1"/>
      <c r="Q12168" s="1"/>
      <c r="R12168" s="1"/>
      <c r="S12168" s="1"/>
      <c r="T12168" s="1"/>
      <c r="U12168" s="1"/>
      <c r="V12168" s="1"/>
      <c r="W12168" s="1"/>
      <c r="X12168" s="1"/>
      <c r="Y12168" s="1"/>
      <c r="Z12168" s="1"/>
      <c r="AA12168" s="1"/>
      <c r="AB12168" s="1"/>
      <c r="AC12168" s="1"/>
      <c r="AD12168" s="1"/>
      <c r="AE12168" s="1"/>
      <c r="AF12168" s="1"/>
      <c r="AG12168" s="1"/>
      <c r="AH12168" s="1"/>
    </row>
    <row r="12169" ht="12.75" customHeight="1">
      <c r="A12169" s="17"/>
      <c r="B12169" s="1"/>
      <c r="C12169" s="1"/>
      <c r="D12169" s="150"/>
      <c r="E12169" s="150"/>
      <c r="F12169" s="75"/>
      <c r="G12169" s="67"/>
      <c r="H12169" s="68"/>
      <c r="I12169" s="76"/>
      <c r="J12169" s="67"/>
      <c r="K12169" s="1"/>
      <c r="L12169" s="77"/>
      <c r="M12169" s="79"/>
      <c r="N12169" s="1"/>
      <c r="O12169" s="1"/>
      <c r="P12169" s="1"/>
      <c r="Q12169" s="1"/>
      <c r="R12169" s="1"/>
      <c r="S12169" s="1"/>
      <c r="T12169" s="1"/>
      <c r="U12169" s="1"/>
      <c r="V12169" s="1"/>
      <c r="W12169" s="1"/>
      <c r="X12169" s="1"/>
      <c r="Y12169" s="1"/>
      <c r="Z12169" s="1"/>
      <c r="AA12169" s="1"/>
      <c r="AB12169" s="1"/>
      <c r="AC12169" s="1"/>
      <c r="AD12169" s="1"/>
      <c r="AE12169" s="1"/>
      <c r="AF12169" s="1"/>
      <c r="AG12169" s="1"/>
      <c r="AH12169" s="1"/>
    </row>
    <row r="12170" ht="12.75" customHeight="1">
      <c r="A12170" s="17"/>
      <c r="B12170" s="1"/>
      <c r="C12170" s="1"/>
      <c r="D12170" s="150"/>
      <c r="E12170" s="150"/>
      <c r="F12170" s="75"/>
      <c r="G12170" s="67"/>
      <c r="H12170" s="68"/>
      <c r="I12170" s="76"/>
      <c r="J12170" s="67"/>
      <c r="K12170" s="1"/>
      <c r="L12170" s="77"/>
      <c r="M12170" s="79"/>
      <c r="N12170" s="1"/>
      <c r="O12170" s="1"/>
      <c r="P12170" s="1"/>
      <c r="Q12170" s="1"/>
      <c r="R12170" s="1"/>
      <c r="S12170" s="1"/>
      <c r="T12170" s="1"/>
      <c r="U12170" s="1"/>
      <c r="V12170" s="1"/>
      <c r="W12170" s="1"/>
      <c r="X12170" s="1"/>
      <c r="Y12170" s="1"/>
      <c r="Z12170" s="1"/>
      <c r="AA12170" s="1"/>
      <c r="AB12170" s="1"/>
      <c r="AC12170" s="1"/>
      <c r="AD12170" s="1"/>
      <c r="AE12170" s="1"/>
      <c r="AF12170" s="1"/>
      <c r="AG12170" s="1"/>
      <c r="AH12170" s="1"/>
    </row>
    <row r="12171" ht="12.75" customHeight="1">
      <c r="A12171" s="17"/>
      <c r="B12171" s="1"/>
      <c r="C12171" s="1"/>
      <c r="D12171" s="150"/>
      <c r="E12171" s="150"/>
      <c r="F12171" s="75"/>
      <c r="G12171" s="67"/>
      <c r="H12171" s="68"/>
      <c r="I12171" s="76"/>
      <c r="J12171" s="67"/>
      <c r="K12171" s="1"/>
      <c r="L12171" s="77"/>
      <c r="M12171" s="79"/>
      <c r="N12171" s="1"/>
      <c r="O12171" s="1"/>
      <c r="P12171" s="1"/>
      <c r="Q12171" s="1"/>
      <c r="R12171" s="1"/>
      <c r="S12171" s="1"/>
      <c r="T12171" s="1"/>
      <c r="U12171" s="1"/>
      <c r="V12171" s="1"/>
      <c r="W12171" s="1"/>
      <c r="X12171" s="1"/>
      <c r="Y12171" s="1"/>
      <c r="Z12171" s="1"/>
      <c r="AA12171" s="1"/>
      <c r="AB12171" s="1"/>
      <c r="AC12171" s="1"/>
      <c r="AD12171" s="1"/>
      <c r="AE12171" s="1"/>
      <c r="AF12171" s="1"/>
      <c r="AG12171" s="1"/>
      <c r="AH12171" s="1"/>
    </row>
    <row r="12172" ht="12.75" customHeight="1">
      <c r="A12172" s="17"/>
      <c r="B12172" s="1"/>
      <c r="C12172" s="1"/>
      <c r="D12172" s="150"/>
      <c r="E12172" s="150"/>
      <c r="F12172" s="75"/>
      <c r="G12172" s="67"/>
      <c r="H12172" s="68"/>
      <c r="I12172" s="76"/>
      <c r="J12172" s="67"/>
      <c r="K12172" s="1"/>
      <c r="L12172" s="77"/>
      <c r="M12172" s="79"/>
      <c r="N12172" s="1"/>
      <c r="O12172" s="1"/>
      <c r="P12172" s="1"/>
      <c r="Q12172" s="1"/>
      <c r="R12172" s="1"/>
      <c r="S12172" s="1"/>
      <c r="T12172" s="1"/>
      <c r="U12172" s="1"/>
      <c r="V12172" s="1"/>
      <c r="W12172" s="1"/>
      <c r="X12172" s="1"/>
      <c r="Y12172" s="1"/>
      <c r="Z12172" s="1"/>
      <c r="AA12172" s="1"/>
      <c r="AB12172" s="1"/>
      <c r="AC12172" s="1"/>
      <c r="AD12172" s="1"/>
      <c r="AE12172" s="1"/>
      <c r="AF12172" s="1"/>
      <c r="AG12172" s="1"/>
      <c r="AH12172" s="1"/>
    </row>
    <row r="12173" ht="12.75" customHeight="1">
      <c r="A12173" s="17"/>
      <c r="B12173" s="1"/>
      <c r="C12173" s="1"/>
      <c r="D12173" s="150"/>
      <c r="E12173" s="150"/>
      <c r="F12173" s="75"/>
      <c r="G12173" s="67"/>
      <c r="H12173" s="68"/>
      <c r="I12173" s="76"/>
      <c r="J12173" s="67"/>
      <c r="K12173" s="1"/>
      <c r="L12173" s="77"/>
      <c r="M12173" s="79"/>
      <c r="N12173" s="1"/>
      <c r="O12173" s="1"/>
      <c r="P12173" s="1"/>
      <c r="Q12173" s="1"/>
      <c r="R12173" s="1"/>
      <c r="S12173" s="1"/>
      <c r="T12173" s="1"/>
      <c r="U12173" s="1"/>
      <c r="V12173" s="1"/>
      <c r="W12173" s="1"/>
      <c r="X12173" s="1"/>
      <c r="Y12173" s="1"/>
      <c r="Z12173" s="1"/>
      <c r="AA12173" s="1"/>
      <c r="AB12173" s="1"/>
      <c r="AC12173" s="1"/>
      <c r="AD12173" s="1"/>
      <c r="AE12173" s="1"/>
      <c r="AF12173" s="1"/>
      <c r="AG12173" s="1"/>
      <c r="AH12173" s="1"/>
    </row>
    <row r="12174" ht="12.75" customHeight="1">
      <c r="A12174" s="17"/>
      <c r="B12174" s="1"/>
      <c r="C12174" s="1"/>
      <c r="D12174" s="150"/>
      <c r="E12174" s="150"/>
      <c r="F12174" s="75"/>
      <c r="G12174" s="67"/>
      <c r="H12174" s="68"/>
      <c r="I12174" s="76"/>
      <c r="J12174" s="67"/>
      <c r="K12174" s="1"/>
      <c r="L12174" s="77"/>
      <c r="M12174" s="79"/>
      <c r="N12174" s="1"/>
      <c r="O12174" s="1"/>
      <c r="P12174" s="1"/>
      <c r="Q12174" s="1"/>
      <c r="R12174" s="1"/>
      <c r="S12174" s="1"/>
      <c r="T12174" s="1"/>
      <c r="U12174" s="1"/>
      <c r="V12174" s="1"/>
      <c r="W12174" s="1"/>
      <c r="X12174" s="1"/>
      <c r="Y12174" s="1"/>
      <c r="Z12174" s="1"/>
      <c r="AA12174" s="1"/>
      <c r="AB12174" s="1"/>
      <c r="AC12174" s="1"/>
      <c r="AD12174" s="1"/>
      <c r="AE12174" s="1"/>
      <c r="AF12174" s="1"/>
      <c r="AG12174" s="1"/>
      <c r="AH12174" s="1"/>
    </row>
    <row r="12175" ht="12.75" customHeight="1">
      <c r="A12175" s="17"/>
      <c r="B12175" s="1"/>
      <c r="C12175" s="1"/>
      <c r="D12175" s="150"/>
      <c r="E12175" s="150"/>
      <c r="F12175" s="75"/>
      <c r="G12175" s="67"/>
      <c r="H12175" s="68"/>
      <c r="I12175" s="76"/>
      <c r="J12175" s="67"/>
      <c r="K12175" s="1"/>
      <c r="L12175" s="77"/>
      <c r="M12175" s="79"/>
      <c r="N12175" s="1"/>
      <c r="O12175" s="1"/>
      <c r="P12175" s="1"/>
      <c r="Q12175" s="1"/>
      <c r="R12175" s="1"/>
      <c r="S12175" s="1"/>
      <c r="T12175" s="1"/>
      <c r="U12175" s="1"/>
      <c r="V12175" s="1"/>
      <c r="W12175" s="1"/>
      <c r="X12175" s="1"/>
      <c r="Y12175" s="1"/>
      <c r="Z12175" s="1"/>
      <c r="AA12175" s="1"/>
      <c r="AB12175" s="1"/>
      <c r="AC12175" s="1"/>
      <c r="AD12175" s="1"/>
      <c r="AE12175" s="1"/>
      <c r="AF12175" s="1"/>
      <c r="AG12175" s="1"/>
      <c r="AH12175" s="1"/>
    </row>
    <row r="12176" ht="12.75" customHeight="1">
      <c r="A12176" s="17"/>
      <c r="B12176" s="1"/>
      <c r="C12176" s="1"/>
      <c r="D12176" s="150"/>
      <c r="E12176" s="150"/>
      <c r="F12176" s="75"/>
      <c r="G12176" s="67"/>
      <c r="H12176" s="68"/>
      <c r="I12176" s="76"/>
      <c r="J12176" s="67"/>
      <c r="K12176" s="1"/>
      <c r="L12176" s="77"/>
      <c r="M12176" s="79"/>
      <c r="N12176" s="1"/>
      <c r="O12176" s="1"/>
      <c r="P12176" s="1"/>
      <c r="Q12176" s="1"/>
      <c r="R12176" s="1"/>
      <c r="S12176" s="1"/>
      <c r="T12176" s="1"/>
      <c r="U12176" s="1"/>
      <c r="V12176" s="1"/>
      <c r="W12176" s="1"/>
      <c r="X12176" s="1"/>
      <c r="Y12176" s="1"/>
      <c r="Z12176" s="1"/>
      <c r="AA12176" s="1"/>
      <c r="AB12176" s="1"/>
      <c r="AC12176" s="1"/>
      <c r="AD12176" s="1"/>
      <c r="AE12176" s="1"/>
      <c r="AF12176" s="1"/>
      <c r="AG12176" s="1"/>
      <c r="AH12176" s="1"/>
    </row>
    <row r="12177" ht="12.75" customHeight="1">
      <c r="A12177" s="17"/>
      <c r="B12177" s="1"/>
      <c r="C12177" s="1"/>
      <c r="D12177" s="150"/>
      <c r="E12177" s="150"/>
      <c r="F12177" s="75"/>
      <c r="G12177" s="67"/>
      <c r="H12177" s="68"/>
      <c r="I12177" s="76"/>
      <c r="J12177" s="67"/>
      <c r="K12177" s="1"/>
      <c r="L12177" s="77"/>
      <c r="M12177" s="79"/>
      <c r="N12177" s="1"/>
      <c r="O12177" s="1"/>
      <c r="P12177" s="1"/>
      <c r="Q12177" s="1"/>
      <c r="R12177" s="1"/>
      <c r="S12177" s="1"/>
      <c r="T12177" s="1"/>
      <c r="U12177" s="1"/>
      <c r="V12177" s="1"/>
      <c r="W12177" s="1"/>
      <c r="X12177" s="1"/>
      <c r="Y12177" s="1"/>
      <c r="Z12177" s="1"/>
      <c r="AA12177" s="1"/>
      <c r="AB12177" s="1"/>
      <c r="AC12177" s="1"/>
      <c r="AD12177" s="1"/>
      <c r="AE12177" s="1"/>
      <c r="AF12177" s="1"/>
      <c r="AG12177" s="1"/>
      <c r="AH12177" s="1"/>
    </row>
    <row r="12178" ht="12.75" customHeight="1">
      <c r="A12178" s="17"/>
      <c r="B12178" s="1"/>
      <c r="C12178" s="1"/>
      <c r="D12178" s="150"/>
      <c r="E12178" s="150"/>
      <c r="F12178" s="75"/>
      <c r="G12178" s="67"/>
      <c r="H12178" s="68"/>
      <c r="I12178" s="76"/>
      <c r="J12178" s="67"/>
      <c r="K12178" s="1"/>
      <c r="L12178" s="77"/>
      <c r="M12178" s="79"/>
      <c r="N12178" s="1"/>
      <c r="O12178" s="1"/>
      <c r="P12178" s="1"/>
      <c r="Q12178" s="1"/>
      <c r="R12178" s="1"/>
      <c r="S12178" s="1"/>
      <c r="T12178" s="1"/>
      <c r="U12178" s="1"/>
      <c r="V12178" s="1"/>
      <c r="W12178" s="1"/>
      <c r="X12178" s="1"/>
      <c r="Y12178" s="1"/>
      <c r="Z12178" s="1"/>
      <c r="AA12178" s="1"/>
      <c r="AB12178" s="1"/>
      <c r="AC12178" s="1"/>
      <c r="AD12178" s="1"/>
      <c r="AE12178" s="1"/>
      <c r="AF12178" s="1"/>
      <c r="AG12178" s="1"/>
      <c r="AH12178" s="1"/>
    </row>
    <row r="12179" ht="12.75" customHeight="1">
      <c r="A12179" s="17"/>
      <c r="B12179" s="1"/>
      <c r="C12179" s="1"/>
      <c r="D12179" s="150"/>
      <c r="E12179" s="150"/>
      <c r="F12179" s="75"/>
      <c r="G12179" s="67"/>
      <c r="H12179" s="68"/>
      <c r="I12179" s="76"/>
      <c r="J12179" s="67"/>
      <c r="K12179" s="1"/>
      <c r="L12179" s="77"/>
      <c r="M12179" s="79"/>
      <c r="N12179" s="1"/>
      <c r="O12179" s="1"/>
      <c r="P12179" s="1"/>
      <c r="Q12179" s="1"/>
      <c r="R12179" s="1"/>
      <c r="S12179" s="1"/>
      <c r="T12179" s="1"/>
      <c r="U12179" s="1"/>
      <c r="V12179" s="1"/>
      <c r="W12179" s="1"/>
      <c r="X12179" s="1"/>
      <c r="Y12179" s="1"/>
      <c r="Z12179" s="1"/>
      <c r="AA12179" s="1"/>
      <c r="AB12179" s="1"/>
      <c r="AC12179" s="1"/>
      <c r="AD12179" s="1"/>
      <c r="AE12179" s="1"/>
      <c r="AF12179" s="1"/>
      <c r="AG12179" s="1"/>
      <c r="AH12179" s="1"/>
    </row>
    <row r="12180" ht="12.75" customHeight="1">
      <c r="A12180" s="17"/>
      <c r="B12180" s="1"/>
      <c r="C12180" s="1"/>
      <c r="D12180" s="150"/>
      <c r="E12180" s="150"/>
      <c r="F12180" s="75"/>
      <c r="G12180" s="67"/>
      <c r="H12180" s="68"/>
      <c r="I12180" s="76"/>
      <c r="J12180" s="67"/>
      <c r="K12180" s="1"/>
      <c r="L12180" s="77"/>
      <c r="M12180" s="79"/>
      <c r="N12180" s="1"/>
      <c r="O12180" s="1"/>
      <c r="P12180" s="1"/>
      <c r="Q12180" s="1"/>
      <c r="R12180" s="1"/>
      <c r="S12180" s="1"/>
      <c r="T12180" s="1"/>
      <c r="U12180" s="1"/>
      <c r="V12180" s="1"/>
      <c r="W12180" s="1"/>
      <c r="X12180" s="1"/>
      <c r="Y12180" s="1"/>
      <c r="Z12180" s="1"/>
      <c r="AA12180" s="1"/>
      <c r="AB12180" s="1"/>
      <c r="AC12180" s="1"/>
      <c r="AD12180" s="1"/>
      <c r="AE12180" s="1"/>
      <c r="AF12180" s="1"/>
      <c r="AG12180" s="1"/>
      <c r="AH12180" s="1"/>
    </row>
    <row r="12181" ht="12.75" customHeight="1">
      <c r="A12181" s="17"/>
      <c r="B12181" s="1"/>
      <c r="C12181" s="1"/>
      <c r="D12181" s="150"/>
      <c r="E12181" s="150"/>
      <c r="F12181" s="75"/>
      <c r="G12181" s="67"/>
      <c r="H12181" s="68"/>
      <c r="I12181" s="76"/>
      <c r="J12181" s="67"/>
      <c r="K12181" s="1"/>
      <c r="L12181" s="77"/>
      <c r="M12181" s="79"/>
      <c r="N12181" s="1"/>
      <c r="O12181" s="1"/>
      <c r="P12181" s="1"/>
      <c r="Q12181" s="1"/>
      <c r="R12181" s="1"/>
      <c r="S12181" s="1"/>
      <c r="T12181" s="1"/>
      <c r="U12181" s="1"/>
      <c r="V12181" s="1"/>
      <c r="W12181" s="1"/>
      <c r="X12181" s="1"/>
      <c r="Y12181" s="1"/>
      <c r="Z12181" s="1"/>
      <c r="AA12181" s="1"/>
      <c r="AB12181" s="1"/>
      <c r="AC12181" s="1"/>
      <c r="AD12181" s="1"/>
      <c r="AE12181" s="1"/>
      <c r="AF12181" s="1"/>
      <c r="AG12181" s="1"/>
      <c r="AH12181" s="1"/>
    </row>
    <row r="12182" ht="12.75" customHeight="1">
      <c r="A12182" s="17"/>
      <c r="B12182" s="1"/>
      <c r="C12182" s="1"/>
      <c r="D12182" s="150"/>
      <c r="E12182" s="150"/>
      <c r="F12182" s="75"/>
      <c r="G12182" s="67"/>
      <c r="H12182" s="68"/>
      <c r="I12182" s="76"/>
      <c r="J12182" s="67"/>
      <c r="K12182" s="1"/>
      <c r="L12182" s="77"/>
      <c r="M12182" s="79"/>
      <c r="N12182" s="1"/>
      <c r="O12182" s="1"/>
      <c r="P12182" s="1"/>
      <c r="Q12182" s="1"/>
      <c r="R12182" s="1"/>
      <c r="S12182" s="1"/>
      <c r="T12182" s="1"/>
      <c r="U12182" s="1"/>
      <c r="V12182" s="1"/>
      <c r="W12182" s="1"/>
      <c r="X12182" s="1"/>
      <c r="Y12182" s="1"/>
      <c r="Z12182" s="1"/>
      <c r="AA12182" s="1"/>
      <c r="AB12182" s="1"/>
      <c r="AC12182" s="1"/>
      <c r="AD12182" s="1"/>
      <c r="AE12182" s="1"/>
      <c r="AF12182" s="1"/>
      <c r="AG12182" s="1"/>
      <c r="AH12182" s="1"/>
    </row>
    <row r="12183" ht="12.75" customHeight="1">
      <c r="A12183" s="17"/>
      <c r="B12183" s="1"/>
      <c r="C12183" s="1"/>
      <c r="D12183" s="150"/>
      <c r="E12183" s="150"/>
      <c r="F12183" s="75"/>
      <c r="G12183" s="67"/>
      <c r="H12183" s="68"/>
      <c r="I12183" s="76"/>
      <c r="J12183" s="67"/>
      <c r="K12183" s="1"/>
      <c r="L12183" s="77"/>
      <c r="M12183" s="79"/>
      <c r="N12183" s="1"/>
      <c r="O12183" s="1"/>
      <c r="P12183" s="1"/>
      <c r="Q12183" s="1"/>
      <c r="R12183" s="1"/>
      <c r="S12183" s="1"/>
      <c r="T12183" s="1"/>
      <c r="U12183" s="1"/>
      <c r="V12183" s="1"/>
      <c r="W12183" s="1"/>
      <c r="X12183" s="1"/>
      <c r="Y12183" s="1"/>
      <c r="Z12183" s="1"/>
      <c r="AA12183" s="1"/>
      <c r="AB12183" s="1"/>
      <c r="AC12183" s="1"/>
      <c r="AD12183" s="1"/>
      <c r="AE12183" s="1"/>
      <c r="AF12183" s="1"/>
      <c r="AG12183" s="1"/>
      <c r="AH12183" s="1"/>
    </row>
    <row r="12184" ht="12.75" customHeight="1">
      <c r="A12184" s="17"/>
      <c r="B12184" s="1"/>
      <c r="C12184" s="1"/>
      <c r="D12184" s="150"/>
      <c r="E12184" s="150"/>
      <c r="F12184" s="75"/>
      <c r="G12184" s="67"/>
      <c r="H12184" s="68"/>
      <c r="I12184" s="76"/>
      <c r="J12184" s="67"/>
      <c r="K12184" s="1"/>
      <c r="L12184" s="77"/>
      <c r="M12184" s="79"/>
      <c r="N12184" s="1"/>
      <c r="O12184" s="1"/>
      <c r="P12184" s="1"/>
      <c r="Q12184" s="1"/>
      <c r="R12184" s="1"/>
      <c r="S12184" s="1"/>
      <c r="T12184" s="1"/>
      <c r="U12184" s="1"/>
      <c r="V12184" s="1"/>
      <c r="W12184" s="1"/>
      <c r="X12184" s="1"/>
      <c r="Y12184" s="1"/>
      <c r="Z12184" s="1"/>
      <c r="AA12184" s="1"/>
      <c r="AB12184" s="1"/>
      <c r="AC12184" s="1"/>
      <c r="AD12184" s="1"/>
      <c r="AE12184" s="1"/>
      <c r="AF12184" s="1"/>
      <c r="AG12184" s="1"/>
      <c r="AH12184" s="1"/>
    </row>
    <row r="12185" ht="12.75" customHeight="1">
      <c r="A12185" s="17"/>
      <c r="B12185" s="1"/>
      <c r="C12185" s="1"/>
      <c r="D12185" s="150"/>
      <c r="E12185" s="150"/>
      <c r="F12185" s="75"/>
      <c r="G12185" s="67"/>
      <c r="H12185" s="68"/>
      <c r="I12185" s="76"/>
      <c r="J12185" s="67"/>
      <c r="K12185" s="1"/>
      <c r="L12185" s="77"/>
      <c r="M12185" s="79"/>
      <c r="N12185" s="1"/>
      <c r="O12185" s="1"/>
      <c r="P12185" s="1"/>
      <c r="Q12185" s="1"/>
      <c r="R12185" s="1"/>
      <c r="S12185" s="1"/>
      <c r="T12185" s="1"/>
      <c r="U12185" s="1"/>
      <c r="V12185" s="1"/>
      <c r="W12185" s="1"/>
      <c r="X12185" s="1"/>
      <c r="Y12185" s="1"/>
      <c r="Z12185" s="1"/>
      <c r="AA12185" s="1"/>
      <c r="AB12185" s="1"/>
      <c r="AC12185" s="1"/>
      <c r="AD12185" s="1"/>
      <c r="AE12185" s="1"/>
      <c r="AF12185" s="1"/>
      <c r="AG12185" s="1"/>
      <c r="AH12185" s="1"/>
    </row>
    <row r="12186" ht="12.75" customHeight="1">
      <c r="A12186" s="17"/>
      <c r="B12186" s="1"/>
      <c r="C12186" s="1"/>
      <c r="D12186" s="150"/>
      <c r="E12186" s="150"/>
      <c r="F12186" s="75"/>
      <c r="G12186" s="67"/>
      <c r="H12186" s="68"/>
      <c r="I12186" s="76"/>
      <c r="J12186" s="67"/>
      <c r="K12186" s="1"/>
      <c r="L12186" s="77"/>
      <c r="M12186" s="79"/>
      <c r="N12186" s="1"/>
      <c r="O12186" s="1"/>
      <c r="P12186" s="1"/>
      <c r="Q12186" s="1"/>
      <c r="R12186" s="1"/>
      <c r="S12186" s="1"/>
      <c r="T12186" s="1"/>
      <c r="U12186" s="1"/>
      <c r="V12186" s="1"/>
      <c r="W12186" s="1"/>
      <c r="X12186" s="1"/>
      <c r="Y12186" s="1"/>
      <c r="Z12186" s="1"/>
      <c r="AA12186" s="1"/>
      <c r="AB12186" s="1"/>
      <c r="AC12186" s="1"/>
      <c r="AD12186" s="1"/>
      <c r="AE12186" s="1"/>
      <c r="AF12186" s="1"/>
      <c r="AG12186" s="1"/>
      <c r="AH12186" s="1"/>
    </row>
    <row r="12187" ht="12.75" customHeight="1">
      <c r="A12187" s="17"/>
      <c r="B12187" s="1"/>
      <c r="C12187" s="1"/>
      <c r="D12187" s="150"/>
      <c r="E12187" s="150"/>
      <c r="F12187" s="75"/>
      <c r="G12187" s="67"/>
      <c r="H12187" s="68"/>
      <c r="I12187" s="76"/>
      <c r="J12187" s="67"/>
      <c r="K12187" s="1"/>
      <c r="L12187" s="77"/>
      <c r="M12187" s="79"/>
      <c r="N12187" s="1"/>
      <c r="O12187" s="1"/>
      <c r="P12187" s="1"/>
      <c r="Q12187" s="1"/>
      <c r="R12187" s="1"/>
      <c r="S12187" s="1"/>
      <c r="T12187" s="1"/>
      <c r="U12187" s="1"/>
      <c r="V12187" s="1"/>
      <c r="W12187" s="1"/>
      <c r="X12187" s="1"/>
      <c r="Y12187" s="1"/>
      <c r="Z12187" s="1"/>
      <c r="AA12187" s="1"/>
      <c r="AB12187" s="1"/>
      <c r="AC12187" s="1"/>
      <c r="AD12187" s="1"/>
      <c r="AE12187" s="1"/>
      <c r="AF12187" s="1"/>
      <c r="AG12187" s="1"/>
      <c r="AH12187" s="1"/>
    </row>
    <row r="12188" ht="12.75" customHeight="1">
      <c r="A12188" s="17"/>
      <c r="B12188" s="1"/>
      <c r="C12188" s="1"/>
      <c r="D12188" s="150"/>
      <c r="E12188" s="150"/>
      <c r="F12188" s="75"/>
      <c r="G12188" s="67"/>
      <c r="H12188" s="68"/>
      <c r="I12188" s="76"/>
      <c r="J12188" s="67"/>
      <c r="K12188" s="1"/>
      <c r="L12188" s="77"/>
      <c r="M12188" s="79"/>
      <c r="N12188" s="1"/>
      <c r="O12188" s="1"/>
      <c r="P12188" s="1"/>
      <c r="Q12188" s="1"/>
      <c r="R12188" s="1"/>
      <c r="S12188" s="1"/>
      <c r="T12188" s="1"/>
      <c r="U12188" s="1"/>
      <c r="V12188" s="1"/>
      <c r="W12188" s="1"/>
      <c r="X12188" s="1"/>
      <c r="Y12188" s="1"/>
      <c r="Z12188" s="1"/>
      <c r="AA12188" s="1"/>
      <c r="AB12188" s="1"/>
      <c r="AC12188" s="1"/>
      <c r="AD12188" s="1"/>
      <c r="AE12188" s="1"/>
      <c r="AF12188" s="1"/>
      <c r="AG12188" s="1"/>
      <c r="AH12188" s="1"/>
    </row>
    <row r="12189" ht="12.75" customHeight="1">
      <c r="A12189" s="17"/>
      <c r="B12189" s="1"/>
      <c r="C12189" s="1"/>
      <c r="D12189" s="150"/>
      <c r="E12189" s="150"/>
      <c r="F12189" s="75"/>
      <c r="G12189" s="67"/>
      <c r="H12189" s="68"/>
      <c r="I12189" s="76"/>
      <c r="J12189" s="67"/>
      <c r="K12189" s="1"/>
      <c r="L12189" s="77"/>
      <c r="M12189" s="79"/>
      <c r="N12189" s="1"/>
      <c r="O12189" s="1"/>
      <c r="P12189" s="1"/>
      <c r="Q12189" s="1"/>
      <c r="R12189" s="1"/>
      <c r="S12189" s="1"/>
      <c r="T12189" s="1"/>
      <c r="U12189" s="1"/>
      <c r="V12189" s="1"/>
      <c r="W12189" s="1"/>
      <c r="X12189" s="1"/>
      <c r="Y12189" s="1"/>
      <c r="Z12189" s="1"/>
      <c r="AA12189" s="1"/>
      <c r="AB12189" s="1"/>
      <c r="AC12189" s="1"/>
      <c r="AD12189" s="1"/>
      <c r="AE12189" s="1"/>
      <c r="AF12189" s="1"/>
      <c r="AG12189" s="1"/>
      <c r="AH12189" s="1"/>
    </row>
    <row r="12190" ht="12.75" customHeight="1">
      <c r="A12190" s="17"/>
      <c r="B12190" s="1"/>
      <c r="C12190" s="1"/>
      <c r="D12190" s="150"/>
      <c r="E12190" s="150"/>
      <c r="F12190" s="75"/>
      <c r="G12190" s="67"/>
      <c r="H12190" s="68"/>
      <c r="I12190" s="76"/>
      <c r="J12190" s="67"/>
      <c r="K12190" s="1"/>
      <c r="L12190" s="77"/>
      <c r="M12190" s="79"/>
      <c r="N12190" s="1"/>
      <c r="O12190" s="1"/>
      <c r="P12190" s="1"/>
      <c r="Q12190" s="1"/>
      <c r="R12190" s="1"/>
      <c r="S12190" s="1"/>
      <c r="T12190" s="1"/>
      <c r="U12190" s="1"/>
      <c r="V12190" s="1"/>
      <c r="W12190" s="1"/>
      <c r="X12190" s="1"/>
      <c r="Y12190" s="1"/>
      <c r="Z12190" s="1"/>
      <c r="AA12190" s="1"/>
      <c r="AB12190" s="1"/>
      <c r="AC12190" s="1"/>
      <c r="AD12190" s="1"/>
      <c r="AE12190" s="1"/>
      <c r="AF12190" s="1"/>
      <c r="AG12190" s="1"/>
      <c r="AH12190" s="1"/>
    </row>
    <row r="12191" ht="12.75" customHeight="1">
      <c r="A12191" s="17"/>
      <c r="B12191" s="1"/>
      <c r="C12191" s="1"/>
      <c r="D12191" s="150"/>
      <c r="E12191" s="150"/>
      <c r="F12191" s="75"/>
      <c r="G12191" s="67"/>
      <c r="H12191" s="68"/>
      <c r="I12191" s="76"/>
      <c r="J12191" s="67"/>
      <c r="K12191" s="1"/>
      <c r="L12191" s="77"/>
      <c r="M12191" s="79"/>
      <c r="N12191" s="1"/>
      <c r="O12191" s="1"/>
      <c r="P12191" s="1"/>
      <c r="Q12191" s="1"/>
      <c r="R12191" s="1"/>
      <c r="S12191" s="1"/>
      <c r="T12191" s="1"/>
      <c r="U12191" s="1"/>
      <c r="V12191" s="1"/>
      <c r="W12191" s="1"/>
      <c r="X12191" s="1"/>
      <c r="Y12191" s="1"/>
      <c r="Z12191" s="1"/>
      <c r="AA12191" s="1"/>
      <c r="AB12191" s="1"/>
      <c r="AC12191" s="1"/>
      <c r="AD12191" s="1"/>
      <c r="AE12191" s="1"/>
      <c r="AF12191" s="1"/>
      <c r="AG12191" s="1"/>
      <c r="AH12191" s="1"/>
    </row>
    <row r="12192" ht="12.75" customHeight="1">
      <c r="A12192" s="17"/>
      <c r="B12192" s="1"/>
      <c r="C12192" s="1"/>
      <c r="D12192" s="150"/>
      <c r="E12192" s="150"/>
      <c r="F12192" s="75"/>
      <c r="G12192" s="67"/>
      <c r="H12192" s="68"/>
      <c r="I12192" s="76"/>
      <c r="J12192" s="67"/>
      <c r="K12192" s="1"/>
      <c r="L12192" s="77"/>
      <c r="M12192" s="79"/>
      <c r="N12192" s="1"/>
      <c r="O12192" s="1"/>
      <c r="P12192" s="1"/>
      <c r="Q12192" s="1"/>
      <c r="R12192" s="1"/>
      <c r="S12192" s="1"/>
      <c r="T12192" s="1"/>
      <c r="U12192" s="1"/>
      <c r="V12192" s="1"/>
      <c r="W12192" s="1"/>
      <c r="X12192" s="1"/>
      <c r="Y12192" s="1"/>
      <c r="Z12192" s="1"/>
      <c r="AA12192" s="1"/>
      <c r="AB12192" s="1"/>
      <c r="AC12192" s="1"/>
      <c r="AD12192" s="1"/>
      <c r="AE12192" s="1"/>
      <c r="AF12192" s="1"/>
      <c r="AG12192" s="1"/>
      <c r="AH12192" s="1"/>
    </row>
    <row r="12193" ht="12.75" customHeight="1">
      <c r="A12193" s="17"/>
      <c r="B12193" s="1"/>
      <c r="C12193" s="1"/>
      <c r="D12193" s="150"/>
      <c r="E12193" s="150"/>
      <c r="F12193" s="75"/>
      <c r="G12193" s="67"/>
      <c r="H12193" s="68"/>
      <c r="I12193" s="76"/>
      <c r="J12193" s="67"/>
      <c r="K12193" s="1"/>
      <c r="L12193" s="77"/>
      <c r="M12193" s="79"/>
      <c r="N12193" s="1"/>
      <c r="O12193" s="1"/>
      <c r="P12193" s="1"/>
      <c r="Q12193" s="1"/>
      <c r="R12193" s="1"/>
      <c r="S12193" s="1"/>
      <c r="T12193" s="1"/>
      <c r="U12193" s="1"/>
      <c r="V12193" s="1"/>
      <c r="W12193" s="1"/>
      <c r="X12193" s="1"/>
      <c r="Y12193" s="1"/>
      <c r="Z12193" s="1"/>
      <c r="AA12193" s="1"/>
      <c r="AB12193" s="1"/>
      <c r="AC12193" s="1"/>
      <c r="AD12193" s="1"/>
      <c r="AE12193" s="1"/>
      <c r="AF12193" s="1"/>
      <c r="AG12193" s="1"/>
      <c r="AH12193" s="1"/>
    </row>
    <row r="12194" ht="12.75" customHeight="1">
      <c r="A12194" s="17"/>
      <c r="B12194" s="1"/>
      <c r="C12194" s="1"/>
      <c r="D12194" s="150"/>
      <c r="E12194" s="150"/>
      <c r="F12194" s="75"/>
      <c r="G12194" s="67"/>
      <c r="H12194" s="68"/>
      <c r="I12194" s="76"/>
      <c r="J12194" s="67"/>
      <c r="K12194" s="1"/>
      <c r="L12194" s="77"/>
      <c r="M12194" s="79"/>
      <c r="N12194" s="1"/>
      <c r="O12194" s="1"/>
      <c r="P12194" s="1"/>
      <c r="Q12194" s="1"/>
      <c r="R12194" s="1"/>
      <c r="S12194" s="1"/>
      <c r="T12194" s="1"/>
      <c r="U12194" s="1"/>
      <c r="V12194" s="1"/>
      <c r="W12194" s="1"/>
      <c r="X12194" s="1"/>
      <c r="Y12194" s="1"/>
      <c r="Z12194" s="1"/>
      <c r="AA12194" s="1"/>
      <c r="AB12194" s="1"/>
      <c r="AC12194" s="1"/>
      <c r="AD12194" s="1"/>
      <c r="AE12194" s="1"/>
      <c r="AF12194" s="1"/>
      <c r="AG12194" s="1"/>
      <c r="AH12194" s="1"/>
    </row>
    <row r="12195" ht="12.75" customHeight="1">
      <c r="A12195" s="17"/>
      <c r="B12195" s="1"/>
      <c r="C12195" s="1"/>
      <c r="D12195" s="150"/>
      <c r="E12195" s="150"/>
      <c r="F12195" s="75"/>
      <c r="G12195" s="67"/>
      <c r="H12195" s="68"/>
      <c r="I12195" s="76"/>
      <c r="J12195" s="67"/>
      <c r="K12195" s="1"/>
      <c r="L12195" s="77"/>
      <c r="M12195" s="79"/>
      <c r="N12195" s="1"/>
      <c r="O12195" s="1"/>
      <c r="P12195" s="1"/>
      <c r="Q12195" s="1"/>
      <c r="R12195" s="1"/>
      <c r="S12195" s="1"/>
      <c r="T12195" s="1"/>
      <c r="U12195" s="1"/>
      <c r="V12195" s="1"/>
      <c r="W12195" s="1"/>
      <c r="X12195" s="1"/>
      <c r="Y12195" s="1"/>
      <c r="Z12195" s="1"/>
      <c r="AA12195" s="1"/>
      <c r="AB12195" s="1"/>
      <c r="AC12195" s="1"/>
      <c r="AD12195" s="1"/>
      <c r="AE12195" s="1"/>
      <c r="AF12195" s="1"/>
      <c r="AG12195" s="1"/>
      <c r="AH12195" s="1"/>
    </row>
    <row r="12196" ht="12.75" customHeight="1">
      <c r="A12196" s="17"/>
      <c r="B12196" s="1"/>
      <c r="C12196" s="1"/>
      <c r="D12196" s="150"/>
      <c r="E12196" s="150"/>
      <c r="F12196" s="75"/>
      <c r="G12196" s="67"/>
      <c r="H12196" s="68"/>
      <c r="I12196" s="76"/>
      <c r="J12196" s="67"/>
      <c r="K12196" s="1"/>
      <c r="L12196" s="77"/>
      <c r="M12196" s="79"/>
      <c r="N12196" s="1"/>
      <c r="O12196" s="1"/>
      <c r="P12196" s="1"/>
      <c r="Q12196" s="1"/>
      <c r="R12196" s="1"/>
      <c r="S12196" s="1"/>
      <c r="T12196" s="1"/>
      <c r="U12196" s="1"/>
      <c r="V12196" s="1"/>
      <c r="W12196" s="1"/>
      <c r="X12196" s="1"/>
      <c r="Y12196" s="1"/>
      <c r="Z12196" s="1"/>
      <c r="AA12196" s="1"/>
      <c r="AB12196" s="1"/>
      <c r="AC12196" s="1"/>
      <c r="AD12196" s="1"/>
      <c r="AE12196" s="1"/>
      <c r="AF12196" s="1"/>
      <c r="AG12196" s="1"/>
      <c r="AH12196" s="1"/>
    </row>
    <row r="12197" ht="12.75" customHeight="1">
      <c r="A12197" s="17"/>
      <c r="B12197" s="1"/>
      <c r="C12197" s="1"/>
      <c r="D12197" s="150"/>
      <c r="E12197" s="150"/>
      <c r="F12197" s="75"/>
      <c r="G12197" s="67"/>
      <c r="H12197" s="68"/>
      <c r="I12197" s="76"/>
      <c r="J12197" s="67"/>
      <c r="K12197" s="1"/>
      <c r="L12197" s="77"/>
      <c r="M12197" s="79"/>
      <c r="N12197" s="1"/>
      <c r="O12197" s="1"/>
      <c r="P12197" s="1"/>
      <c r="Q12197" s="1"/>
      <c r="R12197" s="1"/>
      <c r="S12197" s="1"/>
      <c r="T12197" s="1"/>
      <c r="U12197" s="1"/>
      <c r="V12197" s="1"/>
      <c r="W12197" s="1"/>
      <c r="X12197" s="1"/>
      <c r="Y12197" s="1"/>
      <c r="Z12197" s="1"/>
      <c r="AA12197" s="1"/>
      <c r="AB12197" s="1"/>
      <c r="AC12197" s="1"/>
      <c r="AD12197" s="1"/>
      <c r="AE12197" s="1"/>
      <c r="AF12197" s="1"/>
      <c r="AG12197" s="1"/>
      <c r="AH12197" s="1"/>
    </row>
    <row r="12198" ht="12.75" customHeight="1">
      <c r="A12198" s="17"/>
      <c r="B12198" s="1"/>
      <c r="C12198" s="1"/>
      <c r="D12198" s="150"/>
      <c r="E12198" s="150"/>
      <c r="F12198" s="75"/>
      <c r="G12198" s="67"/>
      <c r="H12198" s="68"/>
      <c r="I12198" s="76"/>
      <c r="J12198" s="67"/>
      <c r="K12198" s="1"/>
      <c r="L12198" s="77"/>
      <c r="M12198" s="79"/>
      <c r="N12198" s="1"/>
      <c r="O12198" s="1"/>
      <c r="P12198" s="1"/>
      <c r="Q12198" s="1"/>
      <c r="R12198" s="1"/>
      <c r="S12198" s="1"/>
      <c r="T12198" s="1"/>
      <c r="U12198" s="1"/>
      <c r="V12198" s="1"/>
      <c r="W12198" s="1"/>
      <c r="X12198" s="1"/>
      <c r="Y12198" s="1"/>
      <c r="Z12198" s="1"/>
      <c r="AA12198" s="1"/>
      <c r="AB12198" s="1"/>
      <c r="AC12198" s="1"/>
      <c r="AD12198" s="1"/>
      <c r="AE12198" s="1"/>
      <c r="AF12198" s="1"/>
      <c r="AG12198" s="1"/>
      <c r="AH12198" s="1"/>
    </row>
    <row r="12199" ht="12.75" customHeight="1">
      <c r="A12199" s="17"/>
      <c r="B12199" s="1"/>
      <c r="C12199" s="1"/>
      <c r="D12199" s="150"/>
      <c r="E12199" s="150"/>
      <c r="F12199" s="75"/>
      <c r="G12199" s="67"/>
      <c r="H12199" s="68"/>
      <c r="I12199" s="76"/>
      <c r="J12199" s="67"/>
      <c r="K12199" s="1"/>
      <c r="L12199" s="77"/>
      <c r="M12199" s="79"/>
      <c r="N12199" s="1"/>
      <c r="O12199" s="1"/>
      <c r="P12199" s="1"/>
      <c r="Q12199" s="1"/>
      <c r="R12199" s="1"/>
      <c r="S12199" s="1"/>
      <c r="T12199" s="1"/>
      <c r="U12199" s="1"/>
      <c r="V12199" s="1"/>
      <c r="W12199" s="1"/>
      <c r="X12199" s="1"/>
      <c r="Y12199" s="1"/>
      <c r="Z12199" s="1"/>
      <c r="AA12199" s="1"/>
      <c r="AB12199" s="1"/>
      <c r="AC12199" s="1"/>
      <c r="AD12199" s="1"/>
      <c r="AE12199" s="1"/>
      <c r="AF12199" s="1"/>
      <c r="AG12199" s="1"/>
      <c r="AH12199" s="1"/>
    </row>
    <row r="12200" ht="12.75" customHeight="1">
      <c r="A12200" s="17"/>
      <c r="B12200" s="1"/>
      <c r="C12200" s="1"/>
      <c r="D12200" s="150"/>
      <c r="E12200" s="150"/>
      <c r="F12200" s="75"/>
      <c r="G12200" s="67"/>
      <c r="H12200" s="68"/>
      <c r="I12200" s="76"/>
      <c r="J12200" s="67"/>
      <c r="K12200" s="1"/>
      <c r="L12200" s="77"/>
      <c r="M12200" s="79"/>
      <c r="N12200" s="1"/>
      <c r="O12200" s="1"/>
      <c r="P12200" s="1"/>
      <c r="Q12200" s="1"/>
      <c r="R12200" s="1"/>
      <c r="S12200" s="1"/>
      <c r="T12200" s="1"/>
      <c r="U12200" s="1"/>
      <c r="V12200" s="1"/>
      <c r="W12200" s="1"/>
      <c r="X12200" s="1"/>
      <c r="Y12200" s="1"/>
      <c r="Z12200" s="1"/>
      <c r="AA12200" s="1"/>
      <c r="AB12200" s="1"/>
      <c r="AC12200" s="1"/>
      <c r="AD12200" s="1"/>
      <c r="AE12200" s="1"/>
      <c r="AF12200" s="1"/>
      <c r="AG12200" s="1"/>
      <c r="AH12200" s="1"/>
    </row>
    <row r="12201" ht="12.75" customHeight="1">
      <c r="A12201" s="17"/>
      <c r="B12201" s="1"/>
      <c r="C12201" s="1"/>
      <c r="D12201" s="150"/>
      <c r="E12201" s="150"/>
      <c r="F12201" s="75"/>
      <c r="G12201" s="67"/>
      <c r="H12201" s="68"/>
      <c r="I12201" s="76"/>
      <c r="J12201" s="67"/>
      <c r="K12201" s="1"/>
      <c r="L12201" s="77"/>
      <c r="M12201" s="79"/>
      <c r="N12201" s="1"/>
      <c r="O12201" s="1"/>
      <c r="P12201" s="1"/>
      <c r="Q12201" s="1"/>
      <c r="R12201" s="1"/>
      <c r="S12201" s="1"/>
      <c r="T12201" s="1"/>
      <c r="U12201" s="1"/>
      <c r="V12201" s="1"/>
      <c r="W12201" s="1"/>
      <c r="X12201" s="1"/>
      <c r="Y12201" s="1"/>
      <c r="Z12201" s="1"/>
      <c r="AA12201" s="1"/>
      <c r="AB12201" s="1"/>
      <c r="AC12201" s="1"/>
      <c r="AD12201" s="1"/>
      <c r="AE12201" s="1"/>
      <c r="AF12201" s="1"/>
      <c r="AG12201" s="1"/>
      <c r="AH12201" s="1"/>
    </row>
    <row r="12202" ht="12.75" customHeight="1">
      <c r="A12202" s="17"/>
      <c r="B12202" s="1"/>
      <c r="C12202" s="1"/>
      <c r="D12202" s="150"/>
      <c r="E12202" s="150"/>
      <c r="F12202" s="75"/>
      <c r="G12202" s="67"/>
      <c r="H12202" s="68"/>
      <c r="I12202" s="76"/>
      <c r="J12202" s="67"/>
      <c r="K12202" s="1"/>
      <c r="L12202" s="77"/>
      <c r="M12202" s="79"/>
      <c r="N12202" s="1"/>
      <c r="O12202" s="1"/>
      <c r="P12202" s="1"/>
      <c r="Q12202" s="1"/>
      <c r="R12202" s="1"/>
      <c r="S12202" s="1"/>
      <c r="T12202" s="1"/>
      <c r="U12202" s="1"/>
      <c r="V12202" s="1"/>
      <c r="W12202" s="1"/>
      <c r="X12202" s="1"/>
      <c r="Y12202" s="1"/>
      <c r="Z12202" s="1"/>
      <c r="AA12202" s="1"/>
      <c r="AB12202" s="1"/>
      <c r="AC12202" s="1"/>
      <c r="AD12202" s="1"/>
      <c r="AE12202" s="1"/>
      <c r="AF12202" s="1"/>
      <c r="AG12202" s="1"/>
      <c r="AH12202" s="1"/>
    </row>
    <row r="12203" ht="12.75" customHeight="1">
      <c r="A12203" s="17"/>
      <c r="B12203" s="1"/>
      <c r="C12203" s="1"/>
      <c r="D12203" s="150"/>
      <c r="E12203" s="150"/>
      <c r="F12203" s="75"/>
      <c r="G12203" s="67"/>
      <c r="H12203" s="68"/>
      <c r="I12203" s="76"/>
      <c r="J12203" s="67"/>
      <c r="K12203" s="1"/>
      <c r="L12203" s="77"/>
      <c r="M12203" s="79"/>
      <c r="N12203" s="1"/>
      <c r="O12203" s="1"/>
      <c r="P12203" s="1"/>
      <c r="Q12203" s="1"/>
      <c r="R12203" s="1"/>
      <c r="S12203" s="1"/>
      <c r="T12203" s="1"/>
      <c r="U12203" s="1"/>
      <c r="V12203" s="1"/>
      <c r="W12203" s="1"/>
      <c r="X12203" s="1"/>
      <c r="Y12203" s="1"/>
      <c r="Z12203" s="1"/>
      <c r="AA12203" s="1"/>
      <c r="AB12203" s="1"/>
      <c r="AC12203" s="1"/>
      <c r="AD12203" s="1"/>
      <c r="AE12203" s="1"/>
      <c r="AF12203" s="1"/>
      <c r="AG12203" s="1"/>
      <c r="AH12203" s="1"/>
    </row>
    <row r="12204" ht="12.75" customHeight="1">
      <c r="A12204" s="17"/>
      <c r="B12204" s="1"/>
      <c r="C12204" s="1"/>
      <c r="D12204" s="150"/>
      <c r="E12204" s="150"/>
      <c r="F12204" s="75"/>
      <c r="G12204" s="67"/>
      <c r="H12204" s="68"/>
      <c r="I12204" s="76"/>
      <c r="J12204" s="67"/>
      <c r="K12204" s="1"/>
      <c r="L12204" s="77"/>
      <c r="M12204" s="79"/>
      <c r="N12204" s="1"/>
      <c r="O12204" s="1"/>
      <c r="P12204" s="1"/>
      <c r="Q12204" s="1"/>
      <c r="R12204" s="1"/>
      <c r="S12204" s="1"/>
      <c r="T12204" s="1"/>
      <c r="U12204" s="1"/>
      <c r="V12204" s="1"/>
      <c r="W12204" s="1"/>
      <c r="X12204" s="1"/>
      <c r="Y12204" s="1"/>
      <c r="Z12204" s="1"/>
      <c r="AA12204" s="1"/>
      <c r="AB12204" s="1"/>
      <c r="AC12204" s="1"/>
      <c r="AD12204" s="1"/>
      <c r="AE12204" s="1"/>
      <c r="AF12204" s="1"/>
      <c r="AG12204" s="1"/>
      <c r="AH12204" s="1"/>
    </row>
    <row r="12205" ht="12.75" customHeight="1">
      <c r="A12205" s="17"/>
      <c r="B12205" s="1"/>
      <c r="C12205" s="1"/>
      <c r="D12205" s="150"/>
      <c r="E12205" s="150"/>
      <c r="F12205" s="75"/>
      <c r="G12205" s="67"/>
      <c r="H12205" s="68"/>
      <c r="I12205" s="76"/>
      <c r="J12205" s="67"/>
      <c r="K12205" s="1"/>
      <c r="L12205" s="77"/>
      <c r="M12205" s="79"/>
      <c r="N12205" s="1"/>
      <c r="O12205" s="1"/>
      <c r="P12205" s="1"/>
      <c r="Q12205" s="1"/>
      <c r="R12205" s="1"/>
      <c r="S12205" s="1"/>
      <c r="T12205" s="1"/>
      <c r="U12205" s="1"/>
      <c r="V12205" s="1"/>
      <c r="W12205" s="1"/>
      <c r="X12205" s="1"/>
      <c r="Y12205" s="1"/>
      <c r="Z12205" s="1"/>
      <c r="AA12205" s="1"/>
      <c r="AB12205" s="1"/>
      <c r="AC12205" s="1"/>
      <c r="AD12205" s="1"/>
      <c r="AE12205" s="1"/>
      <c r="AF12205" s="1"/>
      <c r="AG12205" s="1"/>
      <c r="AH12205" s="1"/>
    </row>
    <row r="12206" ht="12.75" customHeight="1">
      <c r="A12206" s="17"/>
      <c r="B12206" s="1"/>
      <c r="C12206" s="1"/>
      <c r="D12206" s="150"/>
      <c r="E12206" s="150"/>
      <c r="F12206" s="75"/>
      <c r="G12206" s="67"/>
      <c r="H12206" s="68"/>
      <c r="I12206" s="76"/>
      <c r="J12206" s="67"/>
      <c r="K12206" s="1"/>
      <c r="L12206" s="77"/>
      <c r="M12206" s="79"/>
      <c r="N12206" s="1"/>
      <c r="O12206" s="1"/>
      <c r="P12206" s="1"/>
      <c r="Q12206" s="1"/>
      <c r="R12206" s="1"/>
      <c r="S12206" s="1"/>
      <c r="T12206" s="1"/>
      <c r="U12206" s="1"/>
      <c r="V12206" s="1"/>
      <c r="W12206" s="1"/>
      <c r="X12206" s="1"/>
      <c r="Y12206" s="1"/>
      <c r="Z12206" s="1"/>
      <c r="AA12206" s="1"/>
      <c r="AB12206" s="1"/>
      <c r="AC12206" s="1"/>
      <c r="AD12206" s="1"/>
      <c r="AE12206" s="1"/>
      <c r="AF12206" s="1"/>
      <c r="AG12206" s="1"/>
      <c r="AH12206" s="1"/>
    </row>
    <row r="12207" ht="12.75" customHeight="1">
      <c r="A12207" s="17"/>
      <c r="B12207" s="1"/>
      <c r="C12207" s="1"/>
      <c r="D12207" s="150"/>
      <c r="E12207" s="150"/>
      <c r="F12207" s="75"/>
      <c r="G12207" s="67"/>
      <c r="H12207" s="68"/>
      <c r="I12207" s="76"/>
      <c r="J12207" s="67"/>
      <c r="K12207" s="1"/>
      <c r="L12207" s="77"/>
      <c r="M12207" s="79"/>
      <c r="N12207" s="1"/>
      <c r="O12207" s="1"/>
      <c r="P12207" s="1"/>
      <c r="Q12207" s="1"/>
      <c r="R12207" s="1"/>
      <c r="S12207" s="1"/>
      <c r="T12207" s="1"/>
      <c r="U12207" s="1"/>
      <c r="V12207" s="1"/>
      <c r="W12207" s="1"/>
      <c r="X12207" s="1"/>
      <c r="Y12207" s="1"/>
      <c r="Z12207" s="1"/>
      <c r="AA12207" s="1"/>
      <c r="AB12207" s="1"/>
      <c r="AC12207" s="1"/>
      <c r="AD12207" s="1"/>
      <c r="AE12207" s="1"/>
      <c r="AF12207" s="1"/>
      <c r="AG12207" s="1"/>
      <c r="AH12207" s="1"/>
    </row>
    <row r="12208" ht="12.75" customHeight="1">
      <c r="A12208" s="17"/>
      <c r="B12208" s="1"/>
      <c r="C12208" s="1"/>
      <c r="D12208" s="150"/>
      <c r="E12208" s="150"/>
      <c r="F12208" s="75"/>
      <c r="G12208" s="67"/>
      <c r="H12208" s="68"/>
      <c r="I12208" s="76"/>
      <c r="J12208" s="67"/>
      <c r="K12208" s="1"/>
      <c r="L12208" s="77"/>
      <c r="M12208" s="79"/>
      <c r="N12208" s="1"/>
      <c r="O12208" s="1"/>
      <c r="P12208" s="1"/>
      <c r="Q12208" s="1"/>
      <c r="R12208" s="1"/>
      <c r="S12208" s="1"/>
      <c r="T12208" s="1"/>
      <c r="U12208" s="1"/>
      <c r="V12208" s="1"/>
      <c r="W12208" s="1"/>
      <c r="X12208" s="1"/>
      <c r="Y12208" s="1"/>
      <c r="Z12208" s="1"/>
      <c r="AA12208" s="1"/>
      <c r="AB12208" s="1"/>
      <c r="AC12208" s="1"/>
      <c r="AD12208" s="1"/>
      <c r="AE12208" s="1"/>
      <c r="AF12208" s="1"/>
      <c r="AG12208" s="1"/>
      <c r="AH12208" s="1"/>
    </row>
    <row r="12209" ht="12.75" customHeight="1">
      <c r="A12209" s="17"/>
      <c r="B12209" s="1"/>
      <c r="C12209" s="1"/>
      <c r="D12209" s="150"/>
      <c r="E12209" s="150"/>
      <c r="F12209" s="75"/>
      <c r="G12209" s="67"/>
      <c r="H12209" s="68"/>
      <c r="I12209" s="76"/>
      <c r="J12209" s="67"/>
      <c r="K12209" s="1"/>
      <c r="L12209" s="77"/>
      <c r="M12209" s="79"/>
      <c r="N12209" s="1"/>
      <c r="O12209" s="1"/>
      <c r="P12209" s="1"/>
      <c r="Q12209" s="1"/>
      <c r="R12209" s="1"/>
      <c r="S12209" s="1"/>
      <c r="T12209" s="1"/>
      <c r="U12209" s="1"/>
      <c r="V12209" s="1"/>
      <c r="W12209" s="1"/>
      <c r="X12209" s="1"/>
      <c r="Y12209" s="1"/>
      <c r="Z12209" s="1"/>
      <c r="AA12209" s="1"/>
      <c r="AB12209" s="1"/>
      <c r="AC12209" s="1"/>
      <c r="AD12209" s="1"/>
      <c r="AE12209" s="1"/>
      <c r="AF12209" s="1"/>
      <c r="AG12209" s="1"/>
      <c r="AH12209" s="1"/>
    </row>
    <row r="12210" ht="12.75" customHeight="1">
      <c r="A12210" s="17"/>
      <c r="B12210" s="1"/>
      <c r="C12210" s="1"/>
      <c r="D12210" s="150"/>
      <c r="E12210" s="150"/>
      <c r="F12210" s="75"/>
      <c r="G12210" s="67"/>
      <c r="H12210" s="68"/>
      <c r="I12210" s="76"/>
      <c r="J12210" s="67"/>
      <c r="K12210" s="1"/>
      <c r="L12210" s="77"/>
      <c r="M12210" s="79"/>
      <c r="N12210" s="1"/>
      <c r="O12210" s="1"/>
      <c r="P12210" s="1"/>
      <c r="Q12210" s="1"/>
      <c r="R12210" s="1"/>
      <c r="S12210" s="1"/>
      <c r="T12210" s="1"/>
      <c r="U12210" s="1"/>
      <c r="V12210" s="1"/>
      <c r="W12210" s="1"/>
      <c r="X12210" s="1"/>
      <c r="Y12210" s="1"/>
      <c r="Z12210" s="1"/>
      <c r="AA12210" s="1"/>
      <c r="AB12210" s="1"/>
      <c r="AC12210" s="1"/>
      <c r="AD12210" s="1"/>
      <c r="AE12210" s="1"/>
      <c r="AF12210" s="1"/>
      <c r="AG12210" s="1"/>
      <c r="AH12210" s="1"/>
    </row>
    <row r="12211" ht="12.75" customHeight="1">
      <c r="A12211" s="17"/>
      <c r="B12211" s="1"/>
      <c r="C12211" s="1"/>
      <c r="D12211" s="150"/>
      <c r="E12211" s="150"/>
      <c r="F12211" s="75"/>
      <c r="G12211" s="67"/>
      <c r="H12211" s="68"/>
      <c r="I12211" s="76"/>
      <c r="J12211" s="67"/>
      <c r="K12211" s="1"/>
      <c r="L12211" s="77"/>
      <c r="M12211" s="79"/>
      <c r="N12211" s="1"/>
      <c r="O12211" s="1"/>
      <c r="P12211" s="1"/>
      <c r="Q12211" s="1"/>
      <c r="R12211" s="1"/>
      <c r="S12211" s="1"/>
      <c r="T12211" s="1"/>
      <c r="U12211" s="1"/>
      <c r="V12211" s="1"/>
      <c r="W12211" s="1"/>
      <c r="X12211" s="1"/>
      <c r="Y12211" s="1"/>
      <c r="Z12211" s="1"/>
      <c r="AA12211" s="1"/>
      <c r="AB12211" s="1"/>
      <c r="AC12211" s="1"/>
      <c r="AD12211" s="1"/>
      <c r="AE12211" s="1"/>
      <c r="AF12211" s="1"/>
      <c r="AG12211" s="1"/>
      <c r="AH12211" s="1"/>
    </row>
    <row r="12212" ht="12.75" customHeight="1">
      <c r="A12212" s="17"/>
      <c r="B12212" s="1"/>
      <c r="C12212" s="1"/>
      <c r="D12212" s="150"/>
      <c r="E12212" s="150"/>
      <c r="F12212" s="75"/>
      <c r="G12212" s="67"/>
      <c r="H12212" s="68"/>
      <c r="I12212" s="76"/>
      <c r="J12212" s="67"/>
      <c r="K12212" s="1"/>
      <c r="L12212" s="77"/>
      <c r="M12212" s="79"/>
      <c r="N12212" s="1"/>
      <c r="O12212" s="1"/>
      <c r="P12212" s="1"/>
      <c r="Q12212" s="1"/>
      <c r="R12212" s="1"/>
      <c r="S12212" s="1"/>
      <c r="T12212" s="1"/>
      <c r="U12212" s="1"/>
      <c r="V12212" s="1"/>
      <c r="W12212" s="1"/>
      <c r="X12212" s="1"/>
      <c r="Y12212" s="1"/>
      <c r="Z12212" s="1"/>
      <c r="AA12212" s="1"/>
      <c r="AB12212" s="1"/>
      <c r="AC12212" s="1"/>
      <c r="AD12212" s="1"/>
      <c r="AE12212" s="1"/>
      <c r="AF12212" s="1"/>
      <c r="AG12212" s="1"/>
      <c r="AH12212" s="1"/>
    </row>
    <row r="12213" ht="12.75" customHeight="1">
      <c r="A12213" s="17"/>
      <c r="B12213" s="1"/>
      <c r="C12213" s="1"/>
      <c r="D12213" s="150"/>
      <c r="E12213" s="150"/>
      <c r="F12213" s="75"/>
      <c r="G12213" s="67"/>
      <c r="H12213" s="68"/>
      <c r="I12213" s="76"/>
      <c r="J12213" s="67"/>
      <c r="K12213" s="1"/>
      <c r="L12213" s="77"/>
      <c r="M12213" s="79"/>
      <c r="N12213" s="1"/>
      <c r="O12213" s="1"/>
      <c r="P12213" s="1"/>
      <c r="Q12213" s="1"/>
      <c r="R12213" s="1"/>
      <c r="S12213" s="1"/>
      <c r="T12213" s="1"/>
      <c r="U12213" s="1"/>
      <c r="V12213" s="1"/>
      <c r="W12213" s="1"/>
      <c r="X12213" s="1"/>
      <c r="Y12213" s="1"/>
      <c r="Z12213" s="1"/>
      <c r="AA12213" s="1"/>
      <c r="AB12213" s="1"/>
      <c r="AC12213" s="1"/>
      <c r="AD12213" s="1"/>
      <c r="AE12213" s="1"/>
      <c r="AF12213" s="1"/>
      <c r="AG12213" s="1"/>
      <c r="AH12213" s="1"/>
    </row>
    <row r="12214" ht="12.75" customHeight="1">
      <c r="A12214" s="17"/>
      <c r="B12214" s="1"/>
      <c r="C12214" s="1"/>
      <c r="D12214" s="150"/>
      <c r="E12214" s="150"/>
      <c r="F12214" s="75"/>
      <c r="G12214" s="67"/>
      <c r="H12214" s="68"/>
      <c r="I12214" s="76"/>
      <c r="J12214" s="67"/>
      <c r="K12214" s="1"/>
      <c r="L12214" s="77"/>
      <c r="M12214" s="79"/>
      <c r="N12214" s="1"/>
      <c r="O12214" s="1"/>
      <c r="P12214" s="1"/>
      <c r="Q12214" s="1"/>
      <c r="R12214" s="1"/>
      <c r="S12214" s="1"/>
      <c r="T12214" s="1"/>
      <c r="U12214" s="1"/>
      <c r="V12214" s="1"/>
      <c r="W12214" s="1"/>
      <c r="X12214" s="1"/>
      <c r="Y12214" s="1"/>
      <c r="Z12214" s="1"/>
      <c r="AA12214" s="1"/>
      <c r="AB12214" s="1"/>
      <c r="AC12214" s="1"/>
      <c r="AD12214" s="1"/>
      <c r="AE12214" s="1"/>
      <c r="AF12214" s="1"/>
      <c r="AG12214" s="1"/>
      <c r="AH12214" s="1"/>
    </row>
    <row r="12215" ht="12.75" customHeight="1">
      <c r="A12215" s="17"/>
      <c r="B12215" s="1"/>
      <c r="C12215" s="1"/>
      <c r="D12215" s="150"/>
      <c r="E12215" s="150"/>
      <c r="F12215" s="75"/>
      <c r="G12215" s="67"/>
      <c r="H12215" s="68"/>
      <c r="I12215" s="76"/>
      <c r="J12215" s="67"/>
      <c r="K12215" s="1"/>
      <c r="L12215" s="77"/>
      <c r="M12215" s="79"/>
      <c r="N12215" s="1"/>
      <c r="O12215" s="1"/>
      <c r="P12215" s="1"/>
      <c r="Q12215" s="1"/>
      <c r="R12215" s="1"/>
      <c r="S12215" s="1"/>
      <c r="T12215" s="1"/>
      <c r="U12215" s="1"/>
      <c r="V12215" s="1"/>
      <c r="W12215" s="1"/>
      <c r="X12215" s="1"/>
      <c r="Y12215" s="1"/>
      <c r="Z12215" s="1"/>
      <c r="AA12215" s="1"/>
      <c r="AB12215" s="1"/>
      <c r="AC12215" s="1"/>
      <c r="AD12215" s="1"/>
      <c r="AE12215" s="1"/>
      <c r="AF12215" s="1"/>
      <c r="AG12215" s="1"/>
      <c r="AH12215" s="1"/>
    </row>
    <row r="12216" ht="12.75" customHeight="1">
      <c r="A12216" s="17"/>
      <c r="B12216" s="1"/>
      <c r="C12216" s="1"/>
      <c r="D12216" s="150"/>
      <c r="E12216" s="150"/>
      <c r="F12216" s="75"/>
      <c r="G12216" s="67"/>
      <c r="H12216" s="68"/>
      <c r="I12216" s="76"/>
      <c r="J12216" s="67"/>
      <c r="K12216" s="1"/>
      <c r="L12216" s="77"/>
      <c r="M12216" s="79"/>
      <c r="N12216" s="1"/>
      <c r="O12216" s="1"/>
      <c r="P12216" s="1"/>
      <c r="Q12216" s="1"/>
      <c r="R12216" s="1"/>
      <c r="S12216" s="1"/>
      <c r="T12216" s="1"/>
      <c r="U12216" s="1"/>
      <c r="V12216" s="1"/>
      <c r="W12216" s="1"/>
      <c r="X12216" s="1"/>
      <c r="Y12216" s="1"/>
      <c r="Z12216" s="1"/>
      <c r="AA12216" s="1"/>
      <c r="AB12216" s="1"/>
      <c r="AC12216" s="1"/>
      <c r="AD12216" s="1"/>
      <c r="AE12216" s="1"/>
      <c r="AF12216" s="1"/>
      <c r="AG12216" s="1"/>
      <c r="AH12216" s="1"/>
    </row>
    <row r="12217" ht="12.75" customHeight="1">
      <c r="A12217" s="17"/>
      <c r="B12217" s="1"/>
      <c r="C12217" s="1"/>
      <c r="D12217" s="150"/>
      <c r="E12217" s="150"/>
      <c r="F12217" s="75"/>
      <c r="G12217" s="67"/>
      <c r="H12217" s="68"/>
      <c r="I12217" s="76"/>
      <c r="J12217" s="67"/>
      <c r="K12217" s="1"/>
      <c r="L12217" s="77"/>
      <c r="M12217" s="79"/>
      <c r="N12217" s="1"/>
      <c r="O12217" s="1"/>
      <c r="P12217" s="1"/>
      <c r="Q12217" s="1"/>
      <c r="R12217" s="1"/>
      <c r="S12217" s="1"/>
      <c r="T12217" s="1"/>
      <c r="U12217" s="1"/>
      <c r="V12217" s="1"/>
      <c r="W12217" s="1"/>
      <c r="X12217" s="1"/>
      <c r="Y12217" s="1"/>
      <c r="Z12217" s="1"/>
      <c r="AA12217" s="1"/>
      <c r="AB12217" s="1"/>
      <c r="AC12217" s="1"/>
      <c r="AD12217" s="1"/>
      <c r="AE12217" s="1"/>
      <c r="AF12217" s="1"/>
      <c r="AG12217" s="1"/>
      <c r="AH12217" s="1"/>
    </row>
    <row r="12218" ht="12.75" customHeight="1">
      <c r="A12218" s="17"/>
      <c r="B12218" s="1"/>
      <c r="C12218" s="1"/>
      <c r="D12218" s="150"/>
      <c r="E12218" s="150"/>
      <c r="F12218" s="75"/>
      <c r="G12218" s="67"/>
      <c r="H12218" s="68"/>
      <c r="I12218" s="76"/>
      <c r="J12218" s="67"/>
      <c r="K12218" s="1"/>
      <c r="L12218" s="77"/>
      <c r="M12218" s="79"/>
      <c r="N12218" s="1"/>
      <c r="O12218" s="1"/>
      <c r="P12218" s="1"/>
      <c r="Q12218" s="1"/>
      <c r="R12218" s="1"/>
      <c r="S12218" s="1"/>
      <c r="T12218" s="1"/>
      <c r="U12218" s="1"/>
      <c r="V12218" s="1"/>
      <c r="W12218" s="1"/>
      <c r="X12218" s="1"/>
      <c r="Y12218" s="1"/>
      <c r="Z12218" s="1"/>
      <c r="AA12218" s="1"/>
      <c r="AB12218" s="1"/>
      <c r="AC12218" s="1"/>
      <c r="AD12218" s="1"/>
      <c r="AE12218" s="1"/>
      <c r="AF12218" s="1"/>
      <c r="AG12218" s="1"/>
      <c r="AH12218" s="1"/>
    </row>
    <row r="12219" ht="12.75" customHeight="1">
      <c r="A12219" s="17"/>
      <c r="B12219" s="1"/>
      <c r="C12219" s="1"/>
      <c r="D12219" s="150"/>
      <c r="E12219" s="150"/>
      <c r="F12219" s="75"/>
      <c r="G12219" s="67"/>
      <c r="H12219" s="68"/>
      <c r="I12219" s="76"/>
      <c r="J12219" s="67"/>
      <c r="K12219" s="1"/>
      <c r="L12219" s="77"/>
      <c r="M12219" s="79"/>
      <c r="N12219" s="1"/>
      <c r="O12219" s="1"/>
      <c r="P12219" s="1"/>
      <c r="Q12219" s="1"/>
      <c r="R12219" s="1"/>
      <c r="S12219" s="1"/>
      <c r="T12219" s="1"/>
      <c r="U12219" s="1"/>
      <c r="V12219" s="1"/>
      <c r="W12219" s="1"/>
      <c r="X12219" s="1"/>
      <c r="Y12219" s="1"/>
      <c r="Z12219" s="1"/>
      <c r="AA12219" s="1"/>
      <c r="AB12219" s="1"/>
      <c r="AC12219" s="1"/>
      <c r="AD12219" s="1"/>
      <c r="AE12219" s="1"/>
      <c r="AF12219" s="1"/>
      <c r="AG12219" s="1"/>
      <c r="AH12219" s="1"/>
    </row>
    <row r="12220" ht="12.75" customHeight="1">
      <c r="A12220" s="17"/>
      <c r="B12220" s="1"/>
      <c r="C12220" s="1"/>
      <c r="D12220" s="150"/>
      <c r="E12220" s="150"/>
      <c r="F12220" s="75"/>
      <c r="G12220" s="67"/>
      <c r="H12220" s="68"/>
      <c r="I12220" s="76"/>
      <c r="J12220" s="67"/>
      <c r="K12220" s="1"/>
      <c r="L12220" s="77"/>
      <c r="M12220" s="79"/>
      <c r="N12220" s="1"/>
      <c r="O12220" s="1"/>
      <c r="P12220" s="1"/>
      <c r="Q12220" s="1"/>
      <c r="R12220" s="1"/>
      <c r="S12220" s="1"/>
      <c r="T12220" s="1"/>
      <c r="U12220" s="1"/>
      <c r="V12220" s="1"/>
      <c r="W12220" s="1"/>
      <c r="X12220" s="1"/>
      <c r="Y12220" s="1"/>
      <c r="Z12220" s="1"/>
      <c r="AA12220" s="1"/>
      <c r="AB12220" s="1"/>
      <c r="AC12220" s="1"/>
      <c r="AD12220" s="1"/>
      <c r="AE12220" s="1"/>
      <c r="AF12220" s="1"/>
      <c r="AG12220" s="1"/>
      <c r="AH12220" s="1"/>
    </row>
    <row r="12221" ht="12.75" customHeight="1">
      <c r="A12221" s="17"/>
      <c r="B12221" s="1"/>
      <c r="C12221" s="1"/>
      <c r="D12221" s="150"/>
      <c r="E12221" s="150"/>
      <c r="F12221" s="75"/>
      <c r="G12221" s="67"/>
      <c r="H12221" s="68"/>
      <c r="I12221" s="76"/>
      <c r="J12221" s="67"/>
      <c r="K12221" s="1"/>
      <c r="L12221" s="77"/>
      <c r="M12221" s="79"/>
      <c r="N12221" s="1"/>
      <c r="O12221" s="1"/>
      <c r="P12221" s="1"/>
      <c r="Q12221" s="1"/>
      <c r="R12221" s="1"/>
      <c r="S12221" s="1"/>
      <c r="T12221" s="1"/>
      <c r="U12221" s="1"/>
      <c r="V12221" s="1"/>
      <c r="W12221" s="1"/>
      <c r="X12221" s="1"/>
      <c r="Y12221" s="1"/>
      <c r="Z12221" s="1"/>
      <c r="AA12221" s="1"/>
      <c r="AB12221" s="1"/>
      <c r="AC12221" s="1"/>
      <c r="AD12221" s="1"/>
      <c r="AE12221" s="1"/>
      <c r="AF12221" s="1"/>
      <c r="AG12221" s="1"/>
      <c r="AH12221" s="1"/>
    </row>
    <row r="12222" ht="12.75" customHeight="1">
      <c r="A12222" s="17"/>
      <c r="B12222" s="1"/>
      <c r="C12222" s="1"/>
      <c r="D12222" s="150"/>
      <c r="E12222" s="150"/>
      <c r="F12222" s="75"/>
      <c r="G12222" s="67"/>
      <c r="H12222" s="68"/>
      <c r="I12222" s="76"/>
      <c r="J12222" s="67"/>
      <c r="K12222" s="1"/>
      <c r="L12222" s="77"/>
      <c r="M12222" s="79"/>
      <c r="N12222" s="1"/>
      <c r="O12222" s="1"/>
      <c r="P12222" s="1"/>
      <c r="Q12222" s="1"/>
      <c r="R12222" s="1"/>
      <c r="S12222" s="1"/>
      <c r="T12222" s="1"/>
      <c r="U12222" s="1"/>
      <c r="V12222" s="1"/>
      <c r="W12222" s="1"/>
      <c r="X12222" s="1"/>
      <c r="Y12222" s="1"/>
      <c r="Z12222" s="1"/>
      <c r="AA12222" s="1"/>
      <c r="AB12222" s="1"/>
      <c r="AC12222" s="1"/>
      <c r="AD12222" s="1"/>
      <c r="AE12222" s="1"/>
      <c r="AF12222" s="1"/>
      <c r="AG12222" s="1"/>
      <c r="AH12222" s="1"/>
    </row>
    <row r="12223" ht="12.75" customHeight="1">
      <c r="A12223" s="17"/>
      <c r="B12223" s="1"/>
      <c r="C12223" s="1"/>
      <c r="D12223" s="150"/>
      <c r="E12223" s="150"/>
      <c r="F12223" s="75"/>
      <c r="G12223" s="67"/>
      <c r="H12223" s="68"/>
      <c r="I12223" s="76"/>
      <c r="J12223" s="67"/>
      <c r="K12223" s="1"/>
      <c r="L12223" s="77"/>
      <c r="M12223" s="79"/>
      <c r="N12223" s="1"/>
      <c r="O12223" s="1"/>
      <c r="P12223" s="1"/>
      <c r="Q12223" s="1"/>
      <c r="R12223" s="1"/>
      <c r="S12223" s="1"/>
      <c r="T12223" s="1"/>
      <c r="U12223" s="1"/>
      <c r="V12223" s="1"/>
      <c r="W12223" s="1"/>
      <c r="X12223" s="1"/>
      <c r="Y12223" s="1"/>
      <c r="Z12223" s="1"/>
      <c r="AA12223" s="1"/>
      <c r="AB12223" s="1"/>
      <c r="AC12223" s="1"/>
      <c r="AD12223" s="1"/>
      <c r="AE12223" s="1"/>
      <c r="AF12223" s="1"/>
      <c r="AG12223" s="1"/>
      <c r="AH12223" s="1"/>
    </row>
    <row r="12224" ht="12.75" customHeight="1">
      <c r="A12224" s="17"/>
      <c r="B12224" s="1"/>
      <c r="C12224" s="1"/>
      <c r="D12224" s="150"/>
      <c r="E12224" s="150"/>
      <c r="F12224" s="75"/>
      <c r="G12224" s="67"/>
      <c r="H12224" s="68"/>
      <c r="I12224" s="76"/>
      <c r="J12224" s="67"/>
      <c r="K12224" s="1"/>
      <c r="L12224" s="77"/>
      <c r="M12224" s="79"/>
      <c r="N12224" s="1"/>
      <c r="O12224" s="1"/>
      <c r="P12224" s="1"/>
      <c r="Q12224" s="1"/>
      <c r="R12224" s="1"/>
      <c r="S12224" s="1"/>
      <c r="T12224" s="1"/>
      <c r="U12224" s="1"/>
      <c r="V12224" s="1"/>
      <c r="W12224" s="1"/>
      <c r="X12224" s="1"/>
      <c r="Y12224" s="1"/>
      <c r="Z12224" s="1"/>
      <c r="AA12224" s="1"/>
      <c r="AB12224" s="1"/>
      <c r="AC12224" s="1"/>
      <c r="AD12224" s="1"/>
      <c r="AE12224" s="1"/>
      <c r="AF12224" s="1"/>
      <c r="AG12224" s="1"/>
      <c r="AH12224" s="1"/>
    </row>
    <row r="12225" ht="12.75" customHeight="1">
      <c r="A12225" s="17"/>
      <c r="B12225" s="1"/>
      <c r="C12225" s="1"/>
      <c r="D12225" s="150"/>
      <c r="E12225" s="150"/>
      <c r="F12225" s="75"/>
      <c r="G12225" s="67"/>
      <c r="H12225" s="68"/>
      <c r="I12225" s="76"/>
      <c r="J12225" s="67"/>
      <c r="K12225" s="1"/>
      <c r="L12225" s="77"/>
      <c r="M12225" s="79"/>
      <c r="N12225" s="1"/>
      <c r="O12225" s="1"/>
      <c r="P12225" s="1"/>
      <c r="Q12225" s="1"/>
      <c r="R12225" s="1"/>
      <c r="S12225" s="1"/>
      <c r="T12225" s="1"/>
      <c r="U12225" s="1"/>
      <c r="V12225" s="1"/>
      <c r="W12225" s="1"/>
      <c r="X12225" s="1"/>
      <c r="Y12225" s="1"/>
      <c r="Z12225" s="1"/>
      <c r="AA12225" s="1"/>
      <c r="AB12225" s="1"/>
      <c r="AC12225" s="1"/>
      <c r="AD12225" s="1"/>
      <c r="AE12225" s="1"/>
      <c r="AF12225" s="1"/>
      <c r="AG12225" s="1"/>
      <c r="AH12225" s="1"/>
    </row>
    <row r="12226" ht="12.75" customHeight="1">
      <c r="A12226" s="17"/>
      <c r="B12226" s="1"/>
      <c r="C12226" s="1"/>
      <c r="D12226" s="150"/>
      <c r="E12226" s="150"/>
      <c r="F12226" s="75"/>
      <c r="G12226" s="67"/>
      <c r="H12226" s="68"/>
      <c r="I12226" s="76"/>
      <c r="J12226" s="67"/>
      <c r="K12226" s="1"/>
      <c r="L12226" s="77"/>
      <c r="M12226" s="79"/>
      <c r="N12226" s="1"/>
      <c r="O12226" s="1"/>
      <c r="P12226" s="1"/>
      <c r="Q12226" s="1"/>
      <c r="R12226" s="1"/>
      <c r="S12226" s="1"/>
      <c r="T12226" s="1"/>
      <c r="U12226" s="1"/>
      <c r="V12226" s="1"/>
      <c r="W12226" s="1"/>
      <c r="X12226" s="1"/>
      <c r="Y12226" s="1"/>
      <c r="Z12226" s="1"/>
      <c r="AA12226" s="1"/>
      <c r="AB12226" s="1"/>
      <c r="AC12226" s="1"/>
      <c r="AD12226" s="1"/>
      <c r="AE12226" s="1"/>
      <c r="AF12226" s="1"/>
      <c r="AG12226" s="1"/>
      <c r="AH12226" s="1"/>
    </row>
    <row r="12227" ht="12.75" customHeight="1">
      <c r="A12227" s="17"/>
      <c r="B12227" s="1"/>
      <c r="C12227" s="1"/>
      <c r="D12227" s="150"/>
      <c r="E12227" s="150"/>
      <c r="F12227" s="75"/>
      <c r="G12227" s="67"/>
      <c r="H12227" s="68"/>
      <c r="I12227" s="76"/>
      <c r="J12227" s="67"/>
      <c r="K12227" s="1"/>
      <c r="L12227" s="77"/>
      <c r="M12227" s="79"/>
      <c r="N12227" s="1"/>
      <c r="O12227" s="1"/>
      <c r="P12227" s="1"/>
      <c r="Q12227" s="1"/>
      <c r="R12227" s="1"/>
      <c r="S12227" s="1"/>
      <c r="T12227" s="1"/>
      <c r="U12227" s="1"/>
      <c r="V12227" s="1"/>
      <c r="W12227" s="1"/>
      <c r="X12227" s="1"/>
      <c r="Y12227" s="1"/>
      <c r="Z12227" s="1"/>
      <c r="AA12227" s="1"/>
      <c r="AB12227" s="1"/>
      <c r="AC12227" s="1"/>
      <c r="AD12227" s="1"/>
      <c r="AE12227" s="1"/>
      <c r="AF12227" s="1"/>
      <c r="AG12227" s="1"/>
      <c r="AH12227" s="1"/>
    </row>
    <row r="12228" ht="12.75" customHeight="1">
      <c r="A12228" s="17"/>
      <c r="B12228" s="1"/>
      <c r="C12228" s="1"/>
      <c r="D12228" s="150"/>
      <c r="E12228" s="150"/>
      <c r="F12228" s="75"/>
      <c r="G12228" s="67"/>
      <c r="H12228" s="68"/>
      <c r="I12228" s="76"/>
      <c r="J12228" s="67"/>
      <c r="K12228" s="1"/>
      <c r="L12228" s="77"/>
      <c r="M12228" s="79"/>
      <c r="N12228" s="1"/>
      <c r="O12228" s="1"/>
      <c r="P12228" s="1"/>
      <c r="Q12228" s="1"/>
      <c r="R12228" s="1"/>
      <c r="S12228" s="1"/>
      <c r="T12228" s="1"/>
      <c r="U12228" s="1"/>
      <c r="V12228" s="1"/>
      <c r="W12228" s="1"/>
      <c r="X12228" s="1"/>
      <c r="Y12228" s="1"/>
      <c r="Z12228" s="1"/>
      <c r="AA12228" s="1"/>
      <c r="AB12228" s="1"/>
      <c r="AC12228" s="1"/>
      <c r="AD12228" s="1"/>
      <c r="AE12228" s="1"/>
      <c r="AF12228" s="1"/>
      <c r="AG12228" s="1"/>
      <c r="AH12228" s="1"/>
    </row>
    <row r="12229" ht="12.75" customHeight="1">
      <c r="A12229" s="17"/>
      <c r="B12229" s="1"/>
      <c r="C12229" s="1"/>
      <c r="D12229" s="150"/>
      <c r="E12229" s="150"/>
      <c r="F12229" s="75"/>
      <c r="G12229" s="67"/>
      <c r="H12229" s="68"/>
      <c r="I12229" s="76"/>
      <c r="J12229" s="67"/>
      <c r="K12229" s="1"/>
      <c r="L12229" s="77"/>
      <c r="M12229" s="79"/>
      <c r="N12229" s="1"/>
      <c r="O12229" s="1"/>
      <c r="P12229" s="1"/>
      <c r="Q12229" s="1"/>
      <c r="R12229" s="1"/>
      <c r="S12229" s="1"/>
      <c r="T12229" s="1"/>
      <c r="U12229" s="1"/>
      <c r="V12229" s="1"/>
      <c r="W12229" s="1"/>
      <c r="X12229" s="1"/>
      <c r="Y12229" s="1"/>
      <c r="Z12229" s="1"/>
      <c r="AA12229" s="1"/>
      <c r="AB12229" s="1"/>
      <c r="AC12229" s="1"/>
      <c r="AD12229" s="1"/>
      <c r="AE12229" s="1"/>
      <c r="AF12229" s="1"/>
      <c r="AG12229" s="1"/>
      <c r="AH12229" s="1"/>
    </row>
    <row r="12230" ht="12.75" customHeight="1">
      <c r="A12230" s="17"/>
      <c r="B12230" s="1"/>
      <c r="C12230" s="1"/>
      <c r="D12230" s="150"/>
      <c r="E12230" s="150"/>
      <c r="F12230" s="75"/>
      <c r="G12230" s="67"/>
      <c r="H12230" s="68"/>
      <c r="I12230" s="76"/>
      <c r="J12230" s="67"/>
      <c r="K12230" s="1"/>
      <c r="L12230" s="77"/>
      <c r="M12230" s="79"/>
      <c r="N12230" s="1"/>
      <c r="O12230" s="1"/>
      <c r="P12230" s="1"/>
      <c r="Q12230" s="1"/>
      <c r="R12230" s="1"/>
      <c r="S12230" s="1"/>
      <c r="T12230" s="1"/>
      <c r="U12230" s="1"/>
      <c r="V12230" s="1"/>
      <c r="W12230" s="1"/>
      <c r="X12230" s="1"/>
      <c r="Y12230" s="1"/>
      <c r="Z12230" s="1"/>
      <c r="AA12230" s="1"/>
      <c r="AB12230" s="1"/>
      <c r="AC12230" s="1"/>
      <c r="AD12230" s="1"/>
      <c r="AE12230" s="1"/>
      <c r="AF12230" s="1"/>
      <c r="AG12230" s="1"/>
      <c r="AH12230" s="1"/>
    </row>
    <row r="12231" ht="12.75" customHeight="1">
      <c r="A12231" s="17"/>
      <c r="B12231" s="1"/>
      <c r="C12231" s="1"/>
      <c r="D12231" s="150"/>
      <c r="E12231" s="150"/>
      <c r="F12231" s="75"/>
      <c r="G12231" s="67"/>
      <c r="H12231" s="68"/>
      <c r="I12231" s="76"/>
      <c r="J12231" s="67"/>
      <c r="K12231" s="1"/>
      <c r="L12231" s="77"/>
      <c r="M12231" s="79"/>
      <c r="N12231" s="1"/>
      <c r="O12231" s="1"/>
      <c r="P12231" s="1"/>
      <c r="Q12231" s="1"/>
      <c r="R12231" s="1"/>
      <c r="S12231" s="1"/>
      <c r="T12231" s="1"/>
      <c r="U12231" s="1"/>
      <c r="V12231" s="1"/>
      <c r="W12231" s="1"/>
      <c r="X12231" s="1"/>
      <c r="Y12231" s="1"/>
      <c r="Z12231" s="1"/>
      <c r="AA12231" s="1"/>
      <c r="AB12231" s="1"/>
      <c r="AC12231" s="1"/>
      <c r="AD12231" s="1"/>
      <c r="AE12231" s="1"/>
      <c r="AF12231" s="1"/>
      <c r="AG12231" s="1"/>
      <c r="AH12231" s="1"/>
    </row>
    <row r="12232" ht="12.75" customHeight="1">
      <c r="A12232" s="17"/>
      <c r="B12232" s="1"/>
      <c r="C12232" s="1"/>
      <c r="D12232" s="150"/>
      <c r="E12232" s="150"/>
      <c r="F12232" s="75"/>
      <c r="G12232" s="67"/>
      <c r="H12232" s="68"/>
      <c r="I12232" s="76"/>
      <c r="J12232" s="67"/>
      <c r="K12232" s="1"/>
      <c r="L12232" s="77"/>
      <c r="M12232" s="79"/>
      <c r="N12232" s="1"/>
      <c r="O12232" s="1"/>
      <c r="P12232" s="1"/>
      <c r="Q12232" s="1"/>
      <c r="R12232" s="1"/>
      <c r="S12232" s="1"/>
      <c r="T12232" s="1"/>
      <c r="U12232" s="1"/>
      <c r="V12232" s="1"/>
      <c r="W12232" s="1"/>
      <c r="X12232" s="1"/>
      <c r="Y12232" s="1"/>
      <c r="Z12232" s="1"/>
      <c r="AA12232" s="1"/>
      <c r="AB12232" s="1"/>
      <c r="AC12232" s="1"/>
      <c r="AD12232" s="1"/>
      <c r="AE12232" s="1"/>
      <c r="AF12232" s="1"/>
      <c r="AG12232" s="1"/>
      <c r="AH12232" s="1"/>
    </row>
    <row r="12233" ht="12.75" customHeight="1">
      <c r="A12233" s="17"/>
      <c r="B12233" s="1"/>
      <c r="C12233" s="1"/>
      <c r="D12233" s="150"/>
      <c r="E12233" s="150"/>
      <c r="F12233" s="75"/>
      <c r="G12233" s="67"/>
      <c r="H12233" s="68"/>
      <c r="I12233" s="76"/>
      <c r="J12233" s="67"/>
      <c r="K12233" s="1"/>
      <c r="L12233" s="77"/>
      <c r="M12233" s="79"/>
      <c r="N12233" s="1"/>
      <c r="O12233" s="1"/>
      <c r="P12233" s="1"/>
      <c r="Q12233" s="1"/>
      <c r="R12233" s="1"/>
      <c r="S12233" s="1"/>
      <c r="T12233" s="1"/>
      <c r="U12233" s="1"/>
      <c r="V12233" s="1"/>
      <c r="W12233" s="1"/>
      <c r="X12233" s="1"/>
      <c r="Y12233" s="1"/>
      <c r="Z12233" s="1"/>
      <c r="AA12233" s="1"/>
      <c r="AB12233" s="1"/>
      <c r="AC12233" s="1"/>
      <c r="AD12233" s="1"/>
      <c r="AE12233" s="1"/>
      <c r="AF12233" s="1"/>
      <c r="AG12233" s="1"/>
      <c r="AH12233" s="1"/>
    </row>
    <row r="12234" ht="12.75" customHeight="1">
      <c r="A12234" s="17"/>
      <c r="B12234" s="1"/>
      <c r="C12234" s="1"/>
      <c r="D12234" s="150"/>
      <c r="E12234" s="150"/>
      <c r="F12234" s="75"/>
      <c r="G12234" s="67"/>
      <c r="H12234" s="68"/>
      <c r="I12234" s="76"/>
      <c r="J12234" s="67"/>
      <c r="K12234" s="1"/>
      <c r="L12234" s="77"/>
      <c r="M12234" s="79"/>
      <c r="N12234" s="1"/>
      <c r="O12234" s="1"/>
      <c r="P12234" s="1"/>
      <c r="Q12234" s="1"/>
      <c r="R12234" s="1"/>
      <c r="S12234" s="1"/>
      <c r="T12234" s="1"/>
      <c r="U12234" s="1"/>
      <c r="V12234" s="1"/>
      <c r="W12234" s="1"/>
      <c r="X12234" s="1"/>
      <c r="Y12234" s="1"/>
      <c r="Z12234" s="1"/>
      <c r="AA12234" s="1"/>
      <c r="AB12234" s="1"/>
      <c r="AC12234" s="1"/>
      <c r="AD12234" s="1"/>
      <c r="AE12234" s="1"/>
      <c r="AF12234" s="1"/>
      <c r="AG12234" s="1"/>
      <c r="AH12234" s="1"/>
    </row>
    <row r="12235" ht="12.75" customHeight="1">
      <c r="A12235" s="17"/>
      <c r="B12235" s="1"/>
      <c r="C12235" s="1"/>
      <c r="D12235" s="150"/>
      <c r="E12235" s="150"/>
      <c r="F12235" s="75"/>
      <c r="G12235" s="67"/>
      <c r="H12235" s="68"/>
      <c r="I12235" s="76"/>
      <c r="J12235" s="67"/>
      <c r="K12235" s="1"/>
      <c r="L12235" s="77"/>
      <c r="M12235" s="79"/>
      <c r="N12235" s="1"/>
      <c r="O12235" s="1"/>
      <c r="P12235" s="1"/>
      <c r="Q12235" s="1"/>
      <c r="R12235" s="1"/>
      <c r="S12235" s="1"/>
      <c r="T12235" s="1"/>
      <c r="U12235" s="1"/>
      <c r="V12235" s="1"/>
      <c r="W12235" s="1"/>
      <c r="X12235" s="1"/>
      <c r="Y12235" s="1"/>
      <c r="Z12235" s="1"/>
      <c r="AA12235" s="1"/>
      <c r="AB12235" s="1"/>
      <c r="AC12235" s="1"/>
      <c r="AD12235" s="1"/>
      <c r="AE12235" s="1"/>
      <c r="AF12235" s="1"/>
      <c r="AG12235" s="1"/>
      <c r="AH12235" s="1"/>
    </row>
    <row r="12236" ht="12.75" customHeight="1">
      <c r="A12236" s="17"/>
      <c r="B12236" s="1"/>
      <c r="C12236" s="1"/>
      <c r="D12236" s="150"/>
      <c r="E12236" s="150"/>
      <c r="F12236" s="75"/>
      <c r="G12236" s="67"/>
      <c r="H12236" s="68"/>
      <c r="I12236" s="76"/>
      <c r="J12236" s="67"/>
      <c r="K12236" s="1"/>
      <c r="L12236" s="77"/>
      <c r="M12236" s="79"/>
      <c r="N12236" s="1"/>
      <c r="O12236" s="1"/>
      <c r="P12236" s="1"/>
      <c r="Q12236" s="1"/>
      <c r="R12236" s="1"/>
      <c r="S12236" s="1"/>
      <c r="T12236" s="1"/>
      <c r="U12236" s="1"/>
      <c r="V12236" s="1"/>
      <c r="W12236" s="1"/>
      <c r="X12236" s="1"/>
      <c r="Y12236" s="1"/>
      <c r="Z12236" s="1"/>
      <c r="AA12236" s="1"/>
      <c r="AB12236" s="1"/>
      <c r="AC12236" s="1"/>
      <c r="AD12236" s="1"/>
      <c r="AE12236" s="1"/>
      <c r="AF12236" s="1"/>
      <c r="AG12236" s="1"/>
      <c r="AH12236" s="1"/>
    </row>
    <row r="12237" ht="12.75" customHeight="1">
      <c r="A12237" s="17"/>
      <c r="B12237" s="1"/>
      <c r="C12237" s="1"/>
      <c r="D12237" s="150"/>
      <c r="E12237" s="150"/>
      <c r="F12237" s="75"/>
      <c r="G12237" s="67"/>
      <c r="H12237" s="68"/>
      <c r="I12237" s="76"/>
      <c r="J12237" s="67"/>
      <c r="K12237" s="1"/>
      <c r="L12237" s="77"/>
      <c r="M12237" s="79"/>
      <c r="N12237" s="1"/>
      <c r="O12237" s="1"/>
      <c r="P12237" s="1"/>
      <c r="Q12237" s="1"/>
      <c r="R12237" s="1"/>
      <c r="S12237" s="1"/>
      <c r="T12237" s="1"/>
      <c r="U12237" s="1"/>
      <c r="V12237" s="1"/>
      <c r="W12237" s="1"/>
      <c r="X12237" s="1"/>
      <c r="Y12237" s="1"/>
      <c r="Z12237" s="1"/>
      <c r="AA12237" s="1"/>
      <c r="AB12237" s="1"/>
      <c r="AC12237" s="1"/>
      <c r="AD12237" s="1"/>
      <c r="AE12237" s="1"/>
      <c r="AF12237" s="1"/>
      <c r="AG12237" s="1"/>
      <c r="AH12237" s="1"/>
    </row>
    <row r="12238" ht="12.75" customHeight="1">
      <c r="A12238" s="17"/>
      <c r="B12238" s="1"/>
      <c r="C12238" s="1"/>
      <c r="D12238" s="150"/>
      <c r="E12238" s="150"/>
      <c r="F12238" s="75"/>
      <c r="G12238" s="67"/>
      <c r="H12238" s="68"/>
      <c r="I12238" s="76"/>
      <c r="J12238" s="67"/>
      <c r="K12238" s="1"/>
      <c r="L12238" s="77"/>
      <c r="M12238" s="79"/>
      <c r="N12238" s="1"/>
      <c r="O12238" s="1"/>
      <c r="P12238" s="1"/>
      <c r="Q12238" s="1"/>
      <c r="R12238" s="1"/>
      <c r="S12238" s="1"/>
      <c r="T12238" s="1"/>
      <c r="U12238" s="1"/>
      <c r="V12238" s="1"/>
      <c r="W12238" s="1"/>
      <c r="X12238" s="1"/>
      <c r="Y12238" s="1"/>
      <c r="Z12238" s="1"/>
      <c r="AA12238" s="1"/>
      <c r="AB12238" s="1"/>
      <c r="AC12238" s="1"/>
      <c r="AD12238" s="1"/>
      <c r="AE12238" s="1"/>
      <c r="AF12238" s="1"/>
      <c r="AG12238" s="1"/>
      <c r="AH12238" s="1"/>
    </row>
    <row r="12239" ht="12.75" customHeight="1">
      <c r="A12239" s="17"/>
      <c r="B12239" s="1"/>
      <c r="C12239" s="1"/>
      <c r="D12239" s="150"/>
      <c r="E12239" s="150"/>
      <c r="F12239" s="75"/>
      <c r="G12239" s="67"/>
      <c r="H12239" s="68"/>
      <c r="I12239" s="76"/>
      <c r="J12239" s="67"/>
      <c r="K12239" s="1"/>
      <c r="L12239" s="77"/>
      <c r="M12239" s="79"/>
      <c r="N12239" s="1"/>
      <c r="O12239" s="1"/>
      <c r="P12239" s="1"/>
      <c r="Q12239" s="1"/>
      <c r="R12239" s="1"/>
      <c r="S12239" s="1"/>
      <c r="T12239" s="1"/>
      <c r="U12239" s="1"/>
      <c r="V12239" s="1"/>
      <c r="W12239" s="1"/>
      <c r="X12239" s="1"/>
      <c r="Y12239" s="1"/>
      <c r="Z12239" s="1"/>
      <c r="AA12239" s="1"/>
      <c r="AB12239" s="1"/>
      <c r="AC12239" s="1"/>
      <c r="AD12239" s="1"/>
      <c r="AE12239" s="1"/>
      <c r="AF12239" s="1"/>
      <c r="AG12239" s="1"/>
      <c r="AH12239" s="1"/>
    </row>
    <row r="12240" ht="12.75" customHeight="1">
      <c r="A12240" s="17"/>
      <c r="B12240" s="1"/>
      <c r="C12240" s="1"/>
      <c r="D12240" s="150"/>
      <c r="E12240" s="150"/>
      <c r="F12240" s="75"/>
      <c r="G12240" s="67"/>
      <c r="H12240" s="68"/>
      <c r="I12240" s="76"/>
      <c r="J12240" s="67"/>
      <c r="K12240" s="1"/>
      <c r="L12240" s="77"/>
      <c r="M12240" s="79"/>
      <c r="N12240" s="1"/>
      <c r="O12240" s="1"/>
      <c r="P12240" s="1"/>
      <c r="Q12240" s="1"/>
      <c r="R12240" s="1"/>
      <c r="S12240" s="1"/>
      <c r="T12240" s="1"/>
      <c r="U12240" s="1"/>
      <c r="V12240" s="1"/>
      <c r="W12240" s="1"/>
      <c r="X12240" s="1"/>
      <c r="Y12240" s="1"/>
      <c r="Z12240" s="1"/>
      <c r="AA12240" s="1"/>
      <c r="AB12240" s="1"/>
      <c r="AC12240" s="1"/>
      <c r="AD12240" s="1"/>
      <c r="AE12240" s="1"/>
      <c r="AF12240" s="1"/>
      <c r="AG12240" s="1"/>
      <c r="AH12240" s="1"/>
    </row>
    <row r="12241" ht="12.75" customHeight="1">
      <c r="A12241" s="17"/>
      <c r="B12241" s="1"/>
      <c r="C12241" s="1"/>
      <c r="D12241" s="150"/>
      <c r="E12241" s="150"/>
      <c r="F12241" s="75"/>
      <c r="G12241" s="67"/>
      <c r="H12241" s="68"/>
      <c r="I12241" s="76"/>
      <c r="J12241" s="67"/>
      <c r="K12241" s="1"/>
      <c r="L12241" s="77"/>
      <c r="M12241" s="79"/>
      <c r="N12241" s="1"/>
      <c r="O12241" s="1"/>
      <c r="P12241" s="1"/>
      <c r="Q12241" s="1"/>
      <c r="R12241" s="1"/>
      <c r="S12241" s="1"/>
      <c r="T12241" s="1"/>
      <c r="U12241" s="1"/>
      <c r="V12241" s="1"/>
      <c r="W12241" s="1"/>
      <c r="X12241" s="1"/>
      <c r="Y12241" s="1"/>
      <c r="Z12241" s="1"/>
      <c r="AA12241" s="1"/>
      <c r="AB12241" s="1"/>
      <c r="AC12241" s="1"/>
      <c r="AD12241" s="1"/>
      <c r="AE12241" s="1"/>
      <c r="AF12241" s="1"/>
      <c r="AG12241" s="1"/>
      <c r="AH12241" s="1"/>
    </row>
    <row r="12242" ht="12.75" customHeight="1">
      <c r="A12242" s="17"/>
      <c r="B12242" s="1"/>
      <c r="C12242" s="1"/>
      <c r="D12242" s="150"/>
      <c r="E12242" s="150"/>
      <c r="F12242" s="75"/>
      <c r="G12242" s="67"/>
      <c r="H12242" s="68"/>
      <c r="I12242" s="76"/>
      <c r="J12242" s="67"/>
      <c r="K12242" s="1"/>
      <c r="L12242" s="77"/>
      <c r="M12242" s="79"/>
      <c r="N12242" s="1"/>
      <c r="O12242" s="1"/>
      <c r="P12242" s="1"/>
      <c r="Q12242" s="1"/>
      <c r="R12242" s="1"/>
      <c r="S12242" s="1"/>
      <c r="T12242" s="1"/>
      <c r="U12242" s="1"/>
      <c r="V12242" s="1"/>
      <c r="W12242" s="1"/>
      <c r="X12242" s="1"/>
      <c r="Y12242" s="1"/>
      <c r="Z12242" s="1"/>
      <c r="AA12242" s="1"/>
      <c r="AB12242" s="1"/>
      <c r="AC12242" s="1"/>
      <c r="AD12242" s="1"/>
      <c r="AE12242" s="1"/>
      <c r="AF12242" s="1"/>
      <c r="AG12242" s="1"/>
      <c r="AH12242" s="1"/>
    </row>
    <row r="12243" ht="12.75" customHeight="1">
      <c r="A12243" s="17"/>
      <c r="B12243" s="1"/>
      <c r="C12243" s="1"/>
      <c r="D12243" s="150"/>
      <c r="E12243" s="150"/>
      <c r="F12243" s="75"/>
      <c r="G12243" s="67"/>
      <c r="H12243" s="68"/>
      <c r="I12243" s="76"/>
      <c r="J12243" s="67"/>
      <c r="K12243" s="1"/>
      <c r="L12243" s="77"/>
      <c r="M12243" s="79"/>
      <c r="N12243" s="1"/>
      <c r="O12243" s="1"/>
      <c r="P12243" s="1"/>
      <c r="Q12243" s="1"/>
      <c r="R12243" s="1"/>
      <c r="S12243" s="1"/>
      <c r="T12243" s="1"/>
      <c r="U12243" s="1"/>
      <c r="V12243" s="1"/>
      <c r="W12243" s="1"/>
      <c r="X12243" s="1"/>
      <c r="Y12243" s="1"/>
      <c r="Z12243" s="1"/>
      <c r="AA12243" s="1"/>
      <c r="AB12243" s="1"/>
      <c r="AC12243" s="1"/>
      <c r="AD12243" s="1"/>
      <c r="AE12243" s="1"/>
      <c r="AF12243" s="1"/>
      <c r="AG12243" s="1"/>
      <c r="AH12243" s="1"/>
    </row>
    <row r="12244" ht="12.75" customHeight="1">
      <c r="A12244" s="17"/>
      <c r="B12244" s="1"/>
      <c r="C12244" s="1"/>
      <c r="D12244" s="150"/>
      <c r="E12244" s="150"/>
      <c r="F12244" s="75"/>
      <c r="G12244" s="67"/>
      <c r="H12244" s="68"/>
      <c r="I12244" s="76"/>
      <c r="J12244" s="67"/>
      <c r="K12244" s="1"/>
      <c r="L12244" s="77"/>
      <c r="M12244" s="79"/>
      <c r="N12244" s="1"/>
      <c r="O12244" s="1"/>
      <c r="P12244" s="1"/>
      <c r="Q12244" s="1"/>
      <c r="R12244" s="1"/>
      <c r="S12244" s="1"/>
      <c r="T12244" s="1"/>
      <c r="U12244" s="1"/>
      <c r="V12244" s="1"/>
      <c r="W12244" s="1"/>
      <c r="X12244" s="1"/>
      <c r="Y12244" s="1"/>
      <c r="Z12244" s="1"/>
      <c r="AA12244" s="1"/>
      <c r="AB12244" s="1"/>
      <c r="AC12244" s="1"/>
      <c r="AD12244" s="1"/>
      <c r="AE12244" s="1"/>
      <c r="AF12244" s="1"/>
      <c r="AG12244" s="1"/>
      <c r="AH12244" s="1"/>
    </row>
    <row r="12245" ht="12.75" customHeight="1">
      <c r="A12245" s="17"/>
      <c r="B12245" s="1"/>
      <c r="C12245" s="1"/>
      <c r="D12245" s="150"/>
      <c r="E12245" s="150"/>
      <c r="F12245" s="75"/>
      <c r="G12245" s="67"/>
      <c r="H12245" s="68"/>
      <c r="I12245" s="76"/>
      <c r="J12245" s="67"/>
      <c r="K12245" s="1"/>
      <c r="L12245" s="77"/>
      <c r="M12245" s="79"/>
      <c r="N12245" s="1"/>
      <c r="O12245" s="1"/>
      <c r="P12245" s="1"/>
      <c r="Q12245" s="1"/>
      <c r="R12245" s="1"/>
      <c r="S12245" s="1"/>
      <c r="T12245" s="1"/>
      <c r="U12245" s="1"/>
      <c r="V12245" s="1"/>
      <c r="W12245" s="1"/>
      <c r="X12245" s="1"/>
      <c r="Y12245" s="1"/>
      <c r="Z12245" s="1"/>
      <c r="AA12245" s="1"/>
      <c r="AB12245" s="1"/>
      <c r="AC12245" s="1"/>
      <c r="AD12245" s="1"/>
      <c r="AE12245" s="1"/>
      <c r="AF12245" s="1"/>
      <c r="AG12245" s="1"/>
      <c r="AH12245" s="1"/>
    </row>
    <row r="12246" ht="12.75" customHeight="1">
      <c r="A12246" s="17"/>
      <c r="B12246" s="1"/>
      <c r="C12246" s="1"/>
      <c r="D12246" s="150"/>
      <c r="E12246" s="150"/>
      <c r="F12246" s="75"/>
      <c r="G12246" s="67"/>
      <c r="H12246" s="68"/>
      <c r="I12246" s="76"/>
      <c r="J12246" s="67"/>
      <c r="K12246" s="1"/>
      <c r="L12246" s="77"/>
      <c r="M12246" s="79"/>
      <c r="N12246" s="1"/>
      <c r="O12246" s="1"/>
      <c r="P12246" s="1"/>
      <c r="Q12246" s="1"/>
      <c r="R12246" s="1"/>
      <c r="S12246" s="1"/>
      <c r="T12246" s="1"/>
      <c r="U12246" s="1"/>
      <c r="V12246" s="1"/>
      <c r="W12246" s="1"/>
      <c r="X12246" s="1"/>
      <c r="Y12246" s="1"/>
      <c r="Z12246" s="1"/>
      <c r="AA12246" s="1"/>
      <c r="AB12246" s="1"/>
      <c r="AC12246" s="1"/>
      <c r="AD12246" s="1"/>
      <c r="AE12246" s="1"/>
      <c r="AF12246" s="1"/>
      <c r="AG12246" s="1"/>
      <c r="AH12246" s="1"/>
    </row>
    <row r="12247" ht="12.75" customHeight="1">
      <c r="A12247" s="17"/>
      <c r="B12247" s="1"/>
      <c r="C12247" s="1"/>
      <c r="D12247" s="150"/>
      <c r="E12247" s="150"/>
      <c r="F12247" s="75"/>
      <c r="G12247" s="67"/>
      <c r="H12247" s="68"/>
      <c r="I12247" s="76"/>
      <c r="J12247" s="67"/>
      <c r="K12247" s="1"/>
      <c r="L12247" s="77"/>
      <c r="M12247" s="79"/>
      <c r="N12247" s="1"/>
      <c r="O12247" s="1"/>
      <c r="P12247" s="1"/>
      <c r="Q12247" s="1"/>
      <c r="R12247" s="1"/>
      <c r="S12247" s="1"/>
      <c r="T12247" s="1"/>
      <c r="U12247" s="1"/>
      <c r="V12247" s="1"/>
      <c r="W12247" s="1"/>
      <c r="X12247" s="1"/>
      <c r="Y12247" s="1"/>
      <c r="Z12247" s="1"/>
      <c r="AA12247" s="1"/>
      <c r="AB12247" s="1"/>
      <c r="AC12247" s="1"/>
      <c r="AD12247" s="1"/>
      <c r="AE12247" s="1"/>
      <c r="AF12247" s="1"/>
      <c r="AG12247" s="1"/>
      <c r="AH12247" s="1"/>
    </row>
    <row r="12248" ht="12.75" customHeight="1">
      <c r="A12248" s="17"/>
      <c r="B12248" s="1"/>
      <c r="C12248" s="1"/>
      <c r="D12248" s="150"/>
      <c r="E12248" s="150"/>
      <c r="F12248" s="75"/>
      <c r="G12248" s="67"/>
      <c r="H12248" s="68"/>
      <c r="I12248" s="76"/>
      <c r="J12248" s="67"/>
      <c r="K12248" s="1"/>
      <c r="L12248" s="77"/>
      <c r="M12248" s="79"/>
      <c r="N12248" s="1"/>
      <c r="O12248" s="1"/>
      <c r="P12248" s="1"/>
      <c r="Q12248" s="1"/>
      <c r="R12248" s="1"/>
      <c r="S12248" s="1"/>
      <c r="T12248" s="1"/>
      <c r="U12248" s="1"/>
      <c r="V12248" s="1"/>
      <c r="W12248" s="1"/>
      <c r="X12248" s="1"/>
      <c r="Y12248" s="1"/>
      <c r="Z12248" s="1"/>
      <c r="AA12248" s="1"/>
      <c r="AB12248" s="1"/>
      <c r="AC12248" s="1"/>
      <c r="AD12248" s="1"/>
      <c r="AE12248" s="1"/>
      <c r="AF12248" s="1"/>
      <c r="AG12248" s="1"/>
      <c r="AH12248" s="1"/>
    </row>
    <row r="12249" ht="12.75" customHeight="1">
      <c r="A12249" s="17"/>
      <c r="B12249" s="1"/>
      <c r="C12249" s="1"/>
      <c r="D12249" s="150"/>
      <c r="E12249" s="150"/>
      <c r="F12249" s="75"/>
      <c r="G12249" s="67"/>
      <c r="H12249" s="68"/>
      <c r="I12249" s="76"/>
      <c r="J12249" s="67"/>
      <c r="K12249" s="1"/>
      <c r="L12249" s="77"/>
      <c r="M12249" s="79"/>
      <c r="N12249" s="1"/>
      <c r="O12249" s="1"/>
      <c r="P12249" s="1"/>
      <c r="Q12249" s="1"/>
      <c r="R12249" s="1"/>
      <c r="S12249" s="1"/>
      <c r="T12249" s="1"/>
      <c r="U12249" s="1"/>
      <c r="V12249" s="1"/>
      <c r="W12249" s="1"/>
      <c r="X12249" s="1"/>
      <c r="Y12249" s="1"/>
      <c r="Z12249" s="1"/>
      <c r="AA12249" s="1"/>
      <c r="AB12249" s="1"/>
      <c r="AC12249" s="1"/>
      <c r="AD12249" s="1"/>
      <c r="AE12249" s="1"/>
      <c r="AF12249" s="1"/>
      <c r="AG12249" s="1"/>
      <c r="AH12249" s="1"/>
    </row>
    <row r="12250" ht="12.75" customHeight="1">
      <c r="A12250" s="17"/>
      <c r="B12250" s="1"/>
      <c r="C12250" s="1"/>
      <c r="D12250" s="150"/>
      <c r="E12250" s="150"/>
      <c r="F12250" s="75"/>
      <c r="G12250" s="67"/>
      <c r="H12250" s="68"/>
      <c r="I12250" s="76"/>
      <c r="J12250" s="67"/>
      <c r="K12250" s="1"/>
      <c r="L12250" s="77"/>
      <c r="M12250" s="79"/>
      <c r="N12250" s="1"/>
      <c r="O12250" s="1"/>
      <c r="P12250" s="1"/>
      <c r="Q12250" s="1"/>
      <c r="R12250" s="1"/>
      <c r="S12250" s="1"/>
      <c r="T12250" s="1"/>
      <c r="U12250" s="1"/>
      <c r="V12250" s="1"/>
      <c r="W12250" s="1"/>
      <c r="X12250" s="1"/>
      <c r="Y12250" s="1"/>
      <c r="Z12250" s="1"/>
      <c r="AA12250" s="1"/>
      <c r="AB12250" s="1"/>
      <c r="AC12250" s="1"/>
      <c r="AD12250" s="1"/>
      <c r="AE12250" s="1"/>
      <c r="AF12250" s="1"/>
      <c r="AG12250" s="1"/>
      <c r="AH12250" s="1"/>
    </row>
    <row r="12251" ht="12.75" customHeight="1">
      <c r="A12251" s="17"/>
      <c r="B12251" s="1"/>
      <c r="C12251" s="1"/>
      <c r="D12251" s="150"/>
      <c r="E12251" s="150"/>
      <c r="F12251" s="75"/>
      <c r="G12251" s="67"/>
      <c r="H12251" s="68"/>
      <c r="I12251" s="76"/>
      <c r="J12251" s="67"/>
      <c r="K12251" s="1"/>
      <c r="L12251" s="77"/>
      <c r="M12251" s="79"/>
      <c r="N12251" s="1"/>
      <c r="O12251" s="1"/>
      <c r="P12251" s="1"/>
      <c r="Q12251" s="1"/>
      <c r="R12251" s="1"/>
      <c r="S12251" s="1"/>
      <c r="T12251" s="1"/>
      <c r="U12251" s="1"/>
      <c r="V12251" s="1"/>
      <c r="W12251" s="1"/>
      <c r="X12251" s="1"/>
      <c r="Y12251" s="1"/>
      <c r="Z12251" s="1"/>
      <c r="AA12251" s="1"/>
      <c r="AB12251" s="1"/>
      <c r="AC12251" s="1"/>
      <c r="AD12251" s="1"/>
      <c r="AE12251" s="1"/>
      <c r="AF12251" s="1"/>
      <c r="AG12251" s="1"/>
      <c r="AH12251" s="1"/>
    </row>
    <row r="12252" ht="12.75" customHeight="1">
      <c r="A12252" s="17"/>
      <c r="B12252" s="1"/>
      <c r="C12252" s="1"/>
      <c r="D12252" s="150"/>
      <c r="E12252" s="150"/>
      <c r="F12252" s="75"/>
      <c r="G12252" s="67"/>
      <c r="H12252" s="68"/>
      <c r="I12252" s="76"/>
      <c r="J12252" s="67"/>
      <c r="K12252" s="1"/>
      <c r="L12252" s="77"/>
      <c r="M12252" s="79"/>
      <c r="N12252" s="1"/>
      <c r="O12252" s="1"/>
      <c r="P12252" s="1"/>
      <c r="Q12252" s="1"/>
      <c r="R12252" s="1"/>
      <c r="S12252" s="1"/>
      <c r="T12252" s="1"/>
      <c r="U12252" s="1"/>
      <c r="V12252" s="1"/>
      <c r="W12252" s="1"/>
      <c r="X12252" s="1"/>
      <c r="Y12252" s="1"/>
      <c r="Z12252" s="1"/>
      <c r="AA12252" s="1"/>
      <c r="AB12252" s="1"/>
      <c r="AC12252" s="1"/>
      <c r="AD12252" s="1"/>
      <c r="AE12252" s="1"/>
      <c r="AF12252" s="1"/>
      <c r="AG12252" s="1"/>
      <c r="AH12252" s="1"/>
    </row>
    <row r="12253" ht="12.75" customHeight="1">
      <c r="A12253" s="17"/>
      <c r="B12253" s="1"/>
      <c r="C12253" s="1"/>
      <c r="D12253" s="150"/>
      <c r="E12253" s="150"/>
      <c r="F12253" s="75"/>
      <c r="G12253" s="67"/>
      <c r="H12253" s="68"/>
      <c r="I12253" s="76"/>
      <c r="J12253" s="67"/>
      <c r="K12253" s="1"/>
      <c r="L12253" s="77"/>
      <c r="M12253" s="79"/>
      <c r="N12253" s="1"/>
      <c r="O12253" s="1"/>
      <c r="P12253" s="1"/>
      <c r="Q12253" s="1"/>
      <c r="R12253" s="1"/>
      <c r="S12253" s="1"/>
      <c r="T12253" s="1"/>
      <c r="U12253" s="1"/>
      <c r="V12253" s="1"/>
      <c r="W12253" s="1"/>
      <c r="X12253" s="1"/>
      <c r="Y12253" s="1"/>
      <c r="Z12253" s="1"/>
      <c r="AA12253" s="1"/>
      <c r="AB12253" s="1"/>
      <c r="AC12253" s="1"/>
      <c r="AD12253" s="1"/>
      <c r="AE12253" s="1"/>
      <c r="AF12253" s="1"/>
      <c r="AG12253" s="1"/>
      <c r="AH12253" s="1"/>
    </row>
    <row r="12254" ht="12.75" customHeight="1">
      <c r="A12254" s="17"/>
      <c r="B12254" s="1"/>
      <c r="C12254" s="1"/>
      <c r="D12254" s="150"/>
      <c r="E12254" s="150"/>
      <c r="F12254" s="75"/>
      <c r="G12254" s="67"/>
      <c r="H12254" s="68"/>
      <c r="I12254" s="76"/>
      <c r="J12254" s="67"/>
      <c r="K12254" s="1"/>
      <c r="L12254" s="77"/>
      <c r="M12254" s="79"/>
      <c r="N12254" s="1"/>
      <c r="O12254" s="1"/>
      <c r="P12254" s="1"/>
      <c r="Q12254" s="1"/>
      <c r="R12254" s="1"/>
      <c r="S12254" s="1"/>
      <c r="T12254" s="1"/>
      <c r="U12254" s="1"/>
      <c r="V12254" s="1"/>
      <c r="W12254" s="1"/>
      <c r="X12254" s="1"/>
      <c r="Y12254" s="1"/>
      <c r="Z12254" s="1"/>
      <c r="AA12254" s="1"/>
      <c r="AB12254" s="1"/>
      <c r="AC12254" s="1"/>
      <c r="AD12254" s="1"/>
      <c r="AE12254" s="1"/>
      <c r="AF12254" s="1"/>
      <c r="AG12254" s="1"/>
      <c r="AH12254" s="1"/>
    </row>
    <row r="12255" ht="12.75" customHeight="1">
      <c r="A12255" s="17"/>
      <c r="B12255" s="1"/>
      <c r="C12255" s="1"/>
      <c r="D12255" s="150"/>
      <c r="E12255" s="150"/>
      <c r="F12255" s="75"/>
      <c r="G12255" s="67"/>
      <c r="H12255" s="68"/>
      <c r="I12255" s="76"/>
      <c r="J12255" s="67"/>
      <c r="K12255" s="1"/>
      <c r="L12255" s="77"/>
      <c r="M12255" s="79"/>
      <c r="N12255" s="1"/>
      <c r="O12255" s="1"/>
      <c r="P12255" s="1"/>
      <c r="Q12255" s="1"/>
      <c r="R12255" s="1"/>
      <c r="S12255" s="1"/>
      <c r="T12255" s="1"/>
      <c r="U12255" s="1"/>
      <c r="V12255" s="1"/>
      <c r="W12255" s="1"/>
      <c r="X12255" s="1"/>
      <c r="Y12255" s="1"/>
      <c r="Z12255" s="1"/>
      <c r="AA12255" s="1"/>
      <c r="AB12255" s="1"/>
      <c r="AC12255" s="1"/>
      <c r="AD12255" s="1"/>
      <c r="AE12255" s="1"/>
      <c r="AF12255" s="1"/>
      <c r="AG12255" s="1"/>
      <c r="AH12255" s="1"/>
    </row>
    <row r="12256" ht="12.75" customHeight="1">
      <c r="A12256" s="17"/>
      <c r="B12256" s="1"/>
      <c r="C12256" s="1"/>
      <c r="D12256" s="150"/>
      <c r="E12256" s="150"/>
      <c r="F12256" s="75"/>
      <c r="G12256" s="67"/>
      <c r="H12256" s="68"/>
      <c r="I12256" s="76"/>
      <c r="J12256" s="67"/>
      <c r="K12256" s="1"/>
      <c r="L12256" s="77"/>
      <c r="M12256" s="79"/>
      <c r="N12256" s="1"/>
      <c r="O12256" s="1"/>
      <c r="P12256" s="1"/>
      <c r="Q12256" s="1"/>
      <c r="R12256" s="1"/>
      <c r="S12256" s="1"/>
      <c r="T12256" s="1"/>
      <c r="U12256" s="1"/>
      <c r="V12256" s="1"/>
      <c r="W12256" s="1"/>
      <c r="X12256" s="1"/>
      <c r="Y12256" s="1"/>
      <c r="Z12256" s="1"/>
      <c r="AA12256" s="1"/>
      <c r="AB12256" s="1"/>
      <c r="AC12256" s="1"/>
      <c r="AD12256" s="1"/>
      <c r="AE12256" s="1"/>
      <c r="AF12256" s="1"/>
      <c r="AG12256" s="1"/>
      <c r="AH12256" s="1"/>
    </row>
    <row r="12257" ht="12.75" customHeight="1">
      <c r="A12257" s="17"/>
      <c r="B12257" s="1"/>
      <c r="C12257" s="1"/>
      <c r="D12257" s="150"/>
      <c r="E12257" s="150"/>
      <c r="F12257" s="75"/>
      <c r="G12257" s="67"/>
      <c r="H12257" s="68"/>
      <c r="I12257" s="76"/>
      <c r="J12257" s="67"/>
      <c r="K12257" s="1"/>
      <c r="L12257" s="77"/>
      <c r="M12257" s="79"/>
      <c r="N12257" s="1"/>
      <c r="O12257" s="1"/>
      <c r="P12257" s="1"/>
      <c r="Q12257" s="1"/>
      <c r="R12257" s="1"/>
      <c r="S12257" s="1"/>
      <c r="T12257" s="1"/>
      <c r="U12257" s="1"/>
      <c r="V12257" s="1"/>
      <c r="W12257" s="1"/>
      <c r="X12257" s="1"/>
      <c r="Y12257" s="1"/>
      <c r="Z12257" s="1"/>
      <c r="AA12257" s="1"/>
      <c r="AB12257" s="1"/>
      <c r="AC12257" s="1"/>
      <c r="AD12257" s="1"/>
      <c r="AE12257" s="1"/>
      <c r="AF12257" s="1"/>
      <c r="AG12257" s="1"/>
      <c r="AH12257" s="1"/>
    </row>
    <row r="12258" ht="12.75" customHeight="1">
      <c r="A12258" s="17"/>
      <c r="B12258" s="1"/>
      <c r="C12258" s="1"/>
      <c r="D12258" s="150"/>
      <c r="E12258" s="150"/>
      <c r="F12258" s="75"/>
      <c r="G12258" s="67"/>
      <c r="H12258" s="68"/>
      <c r="I12258" s="76"/>
      <c r="J12258" s="67"/>
      <c r="K12258" s="1"/>
      <c r="L12258" s="77"/>
      <c r="M12258" s="79"/>
      <c r="N12258" s="1"/>
      <c r="O12258" s="1"/>
      <c r="P12258" s="1"/>
      <c r="Q12258" s="1"/>
      <c r="R12258" s="1"/>
      <c r="S12258" s="1"/>
      <c r="T12258" s="1"/>
      <c r="U12258" s="1"/>
      <c r="V12258" s="1"/>
      <c r="W12258" s="1"/>
      <c r="X12258" s="1"/>
      <c r="Y12258" s="1"/>
      <c r="Z12258" s="1"/>
      <c r="AA12258" s="1"/>
      <c r="AB12258" s="1"/>
      <c r="AC12258" s="1"/>
      <c r="AD12258" s="1"/>
      <c r="AE12258" s="1"/>
      <c r="AF12258" s="1"/>
      <c r="AG12258" s="1"/>
      <c r="AH12258" s="1"/>
    </row>
    <row r="12259" ht="12.75" customHeight="1">
      <c r="A12259" s="17"/>
      <c r="B12259" s="1"/>
      <c r="C12259" s="1"/>
      <c r="D12259" s="150"/>
      <c r="E12259" s="150"/>
      <c r="F12259" s="75"/>
      <c r="G12259" s="67"/>
      <c r="H12259" s="68"/>
      <c r="I12259" s="76"/>
      <c r="J12259" s="67"/>
      <c r="K12259" s="1"/>
      <c r="L12259" s="77"/>
      <c r="M12259" s="79"/>
      <c r="N12259" s="1"/>
      <c r="O12259" s="1"/>
      <c r="P12259" s="1"/>
      <c r="Q12259" s="1"/>
      <c r="R12259" s="1"/>
      <c r="S12259" s="1"/>
      <c r="T12259" s="1"/>
      <c r="U12259" s="1"/>
      <c r="V12259" s="1"/>
      <c r="W12259" s="1"/>
      <c r="X12259" s="1"/>
      <c r="Y12259" s="1"/>
      <c r="Z12259" s="1"/>
      <c r="AA12259" s="1"/>
      <c r="AB12259" s="1"/>
      <c r="AC12259" s="1"/>
      <c r="AD12259" s="1"/>
      <c r="AE12259" s="1"/>
      <c r="AF12259" s="1"/>
      <c r="AG12259" s="1"/>
      <c r="AH12259" s="1"/>
    </row>
    <row r="12260" ht="12.75" customHeight="1">
      <c r="A12260" s="17"/>
      <c r="B12260" s="1"/>
      <c r="C12260" s="1"/>
      <c r="D12260" s="150"/>
      <c r="E12260" s="150"/>
      <c r="F12260" s="75"/>
      <c r="G12260" s="67"/>
      <c r="H12260" s="68"/>
      <c r="I12260" s="76"/>
      <c r="J12260" s="67"/>
      <c r="K12260" s="1"/>
      <c r="L12260" s="77"/>
      <c r="M12260" s="79"/>
      <c r="N12260" s="1"/>
      <c r="O12260" s="1"/>
      <c r="P12260" s="1"/>
      <c r="Q12260" s="1"/>
      <c r="R12260" s="1"/>
      <c r="S12260" s="1"/>
      <c r="T12260" s="1"/>
      <c r="U12260" s="1"/>
      <c r="V12260" s="1"/>
      <c r="W12260" s="1"/>
      <c r="X12260" s="1"/>
      <c r="Y12260" s="1"/>
      <c r="Z12260" s="1"/>
      <c r="AA12260" s="1"/>
      <c r="AB12260" s="1"/>
      <c r="AC12260" s="1"/>
      <c r="AD12260" s="1"/>
      <c r="AE12260" s="1"/>
      <c r="AF12260" s="1"/>
      <c r="AG12260" s="1"/>
      <c r="AH12260" s="1"/>
    </row>
    <row r="12261" ht="12.75" customHeight="1">
      <c r="A12261" s="17"/>
      <c r="B12261" s="1"/>
      <c r="C12261" s="1"/>
      <c r="D12261" s="150"/>
      <c r="E12261" s="150"/>
      <c r="F12261" s="75"/>
      <c r="G12261" s="67"/>
      <c r="H12261" s="68"/>
      <c r="I12261" s="76"/>
      <c r="J12261" s="67"/>
      <c r="K12261" s="1"/>
      <c r="L12261" s="77"/>
      <c r="M12261" s="79"/>
      <c r="N12261" s="1"/>
      <c r="O12261" s="1"/>
      <c r="P12261" s="1"/>
      <c r="Q12261" s="1"/>
      <c r="R12261" s="1"/>
      <c r="S12261" s="1"/>
      <c r="T12261" s="1"/>
      <c r="U12261" s="1"/>
      <c r="V12261" s="1"/>
      <c r="W12261" s="1"/>
      <c r="X12261" s="1"/>
      <c r="Y12261" s="1"/>
      <c r="Z12261" s="1"/>
      <c r="AA12261" s="1"/>
      <c r="AB12261" s="1"/>
      <c r="AC12261" s="1"/>
      <c r="AD12261" s="1"/>
      <c r="AE12261" s="1"/>
      <c r="AF12261" s="1"/>
      <c r="AG12261" s="1"/>
      <c r="AH12261" s="1"/>
    </row>
    <row r="12262" ht="12.75" customHeight="1">
      <c r="A12262" s="17"/>
      <c r="B12262" s="1"/>
      <c r="C12262" s="1"/>
      <c r="D12262" s="150"/>
      <c r="E12262" s="150"/>
      <c r="F12262" s="75"/>
      <c r="G12262" s="67"/>
      <c r="H12262" s="68"/>
      <c r="I12262" s="76"/>
      <c r="J12262" s="67"/>
      <c r="K12262" s="1"/>
      <c r="L12262" s="77"/>
      <c r="M12262" s="79"/>
      <c r="N12262" s="1"/>
      <c r="O12262" s="1"/>
      <c r="P12262" s="1"/>
      <c r="Q12262" s="1"/>
      <c r="R12262" s="1"/>
      <c r="S12262" s="1"/>
      <c r="T12262" s="1"/>
      <c r="U12262" s="1"/>
      <c r="V12262" s="1"/>
      <c r="W12262" s="1"/>
      <c r="X12262" s="1"/>
      <c r="Y12262" s="1"/>
      <c r="Z12262" s="1"/>
      <c r="AA12262" s="1"/>
      <c r="AB12262" s="1"/>
      <c r="AC12262" s="1"/>
      <c r="AD12262" s="1"/>
      <c r="AE12262" s="1"/>
      <c r="AF12262" s="1"/>
      <c r="AG12262" s="1"/>
      <c r="AH12262" s="1"/>
    </row>
    <row r="12263" ht="12.75" customHeight="1">
      <c r="A12263" s="17"/>
      <c r="B12263" s="1"/>
      <c r="C12263" s="1"/>
      <c r="D12263" s="150"/>
      <c r="E12263" s="150"/>
      <c r="F12263" s="75"/>
      <c r="G12263" s="67"/>
      <c r="H12263" s="68"/>
      <c r="I12263" s="76"/>
      <c r="J12263" s="67"/>
      <c r="K12263" s="1"/>
      <c r="L12263" s="77"/>
      <c r="M12263" s="79"/>
      <c r="N12263" s="1"/>
      <c r="O12263" s="1"/>
      <c r="P12263" s="1"/>
      <c r="Q12263" s="1"/>
      <c r="R12263" s="1"/>
      <c r="S12263" s="1"/>
      <c r="T12263" s="1"/>
      <c r="U12263" s="1"/>
      <c r="V12263" s="1"/>
      <c r="W12263" s="1"/>
      <c r="X12263" s="1"/>
      <c r="Y12263" s="1"/>
      <c r="Z12263" s="1"/>
      <c r="AA12263" s="1"/>
      <c r="AB12263" s="1"/>
      <c r="AC12263" s="1"/>
      <c r="AD12263" s="1"/>
      <c r="AE12263" s="1"/>
      <c r="AF12263" s="1"/>
      <c r="AG12263" s="1"/>
      <c r="AH12263" s="1"/>
    </row>
    <row r="12264" ht="12.75" customHeight="1">
      <c r="A12264" s="17"/>
      <c r="B12264" s="1"/>
      <c r="C12264" s="1"/>
      <c r="D12264" s="150"/>
      <c r="E12264" s="150"/>
      <c r="F12264" s="75"/>
      <c r="G12264" s="67"/>
      <c r="H12264" s="68"/>
      <c r="I12264" s="76"/>
      <c r="J12264" s="67"/>
      <c r="K12264" s="1"/>
      <c r="L12264" s="77"/>
      <c r="M12264" s="79"/>
      <c r="N12264" s="1"/>
      <c r="O12264" s="1"/>
      <c r="P12264" s="1"/>
      <c r="Q12264" s="1"/>
      <c r="R12264" s="1"/>
      <c r="S12264" s="1"/>
      <c r="T12264" s="1"/>
      <c r="U12264" s="1"/>
      <c r="V12264" s="1"/>
      <c r="W12264" s="1"/>
      <c r="X12264" s="1"/>
      <c r="Y12264" s="1"/>
      <c r="Z12264" s="1"/>
      <c r="AA12264" s="1"/>
      <c r="AB12264" s="1"/>
      <c r="AC12264" s="1"/>
      <c r="AD12264" s="1"/>
      <c r="AE12264" s="1"/>
      <c r="AF12264" s="1"/>
      <c r="AG12264" s="1"/>
      <c r="AH12264" s="1"/>
    </row>
    <row r="12265" ht="12.75" customHeight="1">
      <c r="A12265" s="17"/>
      <c r="B12265" s="1"/>
      <c r="C12265" s="1"/>
      <c r="D12265" s="150"/>
      <c r="E12265" s="150"/>
      <c r="F12265" s="75"/>
      <c r="G12265" s="67"/>
      <c r="H12265" s="68"/>
      <c r="I12265" s="76"/>
      <c r="J12265" s="67"/>
      <c r="K12265" s="1"/>
      <c r="L12265" s="77"/>
      <c r="M12265" s="79"/>
      <c r="N12265" s="1"/>
      <c r="O12265" s="1"/>
      <c r="P12265" s="1"/>
      <c r="Q12265" s="1"/>
      <c r="R12265" s="1"/>
      <c r="S12265" s="1"/>
      <c r="T12265" s="1"/>
      <c r="U12265" s="1"/>
      <c r="V12265" s="1"/>
      <c r="W12265" s="1"/>
      <c r="X12265" s="1"/>
      <c r="Y12265" s="1"/>
      <c r="Z12265" s="1"/>
      <c r="AA12265" s="1"/>
      <c r="AB12265" s="1"/>
      <c r="AC12265" s="1"/>
      <c r="AD12265" s="1"/>
      <c r="AE12265" s="1"/>
      <c r="AF12265" s="1"/>
      <c r="AG12265" s="1"/>
      <c r="AH12265" s="1"/>
    </row>
    <row r="12266" ht="12.75" customHeight="1">
      <c r="A12266" s="17"/>
      <c r="B12266" s="1"/>
      <c r="C12266" s="1"/>
      <c r="D12266" s="150"/>
      <c r="E12266" s="150"/>
      <c r="F12266" s="75"/>
      <c r="G12266" s="67"/>
      <c r="H12266" s="68"/>
      <c r="I12266" s="76"/>
      <c r="J12266" s="67"/>
      <c r="K12266" s="1"/>
      <c r="L12266" s="77"/>
      <c r="M12266" s="79"/>
      <c r="N12266" s="1"/>
      <c r="O12266" s="1"/>
      <c r="P12266" s="1"/>
      <c r="Q12266" s="1"/>
      <c r="R12266" s="1"/>
      <c r="S12266" s="1"/>
      <c r="T12266" s="1"/>
      <c r="U12266" s="1"/>
      <c r="V12266" s="1"/>
      <c r="W12266" s="1"/>
      <c r="X12266" s="1"/>
      <c r="Y12266" s="1"/>
      <c r="Z12266" s="1"/>
      <c r="AA12266" s="1"/>
      <c r="AB12266" s="1"/>
      <c r="AC12266" s="1"/>
      <c r="AD12266" s="1"/>
      <c r="AE12266" s="1"/>
      <c r="AF12266" s="1"/>
      <c r="AG12266" s="1"/>
      <c r="AH12266" s="1"/>
    </row>
    <row r="12267" ht="12.75" customHeight="1">
      <c r="A12267" s="17"/>
      <c r="B12267" s="1"/>
      <c r="C12267" s="1"/>
      <c r="D12267" s="150"/>
      <c r="E12267" s="150"/>
      <c r="F12267" s="75"/>
      <c r="G12267" s="67"/>
      <c r="H12267" s="68"/>
      <c r="I12267" s="76"/>
      <c r="J12267" s="67"/>
      <c r="K12267" s="1"/>
      <c r="L12267" s="77"/>
      <c r="M12267" s="79"/>
      <c r="N12267" s="1"/>
      <c r="O12267" s="1"/>
      <c r="P12267" s="1"/>
      <c r="Q12267" s="1"/>
      <c r="R12267" s="1"/>
      <c r="S12267" s="1"/>
      <c r="T12267" s="1"/>
      <c r="U12267" s="1"/>
      <c r="V12267" s="1"/>
      <c r="W12267" s="1"/>
      <c r="X12267" s="1"/>
      <c r="Y12267" s="1"/>
      <c r="Z12267" s="1"/>
      <c r="AA12267" s="1"/>
      <c r="AB12267" s="1"/>
      <c r="AC12267" s="1"/>
      <c r="AD12267" s="1"/>
      <c r="AE12267" s="1"/>
      <c r="AF12267" s="1"/>
      <c r="AG12267" s="1"/>
      <c r="AH12267" s="1"/>
    </row>
    <row r="12268" ht="12.75" customHeight="1">
      <c r="A12268" s="17"/>
      <c r="B12268" s="1"/>
      <c r="C12268" s="1"/>
      <c r="D12268" s="150"/>
      <c r="E12268" s="150"/>
      <c r="F12268" s="75"/>
      <c r="G12268" s="67"/>
      <c r="H12268" s="68"/>
      <c r="I12268" s="76"/>
      <c r="J12268" s="67"/>
      <c r="K12268" s="1"/>
      <c r="L12268" s="77"/>
      <c r="M12268" s="79"/>
      <c r="N12268" s="1"/>
      <c r="O12268" s="1"/>
      <c r="P12268" s="1"/>
      <c r="Q12268" s="1"/>
      <c r="R12268" s="1"/>
      <c r="S12268" s="1"/>
      <c r="T12268" s="1"/>
      <c r="U12268" s="1"/>
      <c r="V12268" s="1"/>
      <c r="W12268" s="1"/>
      <c r="X12268" s="1"/>
      <c r="Y12268" s="1"/>
      <c r="Z12268" s="1"/>
      <c r="AA12268" s="1"/>
      <c r="AB12268" s="1"/>
      <c r="AC12268" s="1"/>
      <c r="AD12268" s="1"/>
      <c r="AE12268" s="1"/>
      <c r="AF12268" s="1"/>
      <c r="AG12268" s="1"/>
      <c r="AH12268" s="1"/>
    </row>
    <row r="12269" ht="12.75" customHeight="1">
      <c r="A12269" s="17"/>
      <c r="B12269" s="1"/>
      <c r="C12269" s="1"/>
      <c r="D12269" s="150"/>
      <c r="E12269" s="150"/>
      <c r="F12269" s="75"/>
      <c r="G12269" s="67"/>
      <c r="H12269" s="68"/>
      <c r="I12269" s="76"/>
      <c r="J12269" s="67"/>
      <c r="K12269" s="1"/>
      <c r="L12269" s="77"/>
      <c r="M12269" s="79"/>
      <c r="N12269" s="1"/>
      <c r="O12269" s="1"/>
      <c r="P12269" s="1"/>
      <c r="Q12269" s="1"/>
      <c r="R12269" s="1"/>
      <c r="S12269" s="1"/>
      <c r="T12269" s="1"/>
      <c r="U12269" s="1"/>
      <c r="V12269" s="1"/>
      <c r="W12269" s="1"/>
      <c r="X12269" s="1"/>
      <c r="Y12269" s="1"/>
      <c r="Z12269" s="1"/>
      <c r="AA12269" s="1"/>
      <c r="AB12269" s="1"/>
      <c r="AC12269" s="1"/>
      <c r="AD12269" s="1"/>
      <c r="AE12269" s="1"/>
      <c r="AF12269" s="1"/>
      <c r="AG12269" s="1"/>
      <c r="AH12269" s="1"/>
    </row>
    <row r="12270" ht="12.75" customHeight="1">
      <c r="A12270" s="17"/>
      <c r="B12270" s="1"/>
      <c r="C12270" s="1"/>
      <c r="D12270" s="150"/>
      <c r="E12270" s="150"/>
      <c r="F12270" s="75"/>
      <c r="G12270" s="67"/>
      <c r="H12270" s="68"/>
      <c r="I12270" s="76"/>
      <c r="J12270" s="67"/>
      <c r="K12270" s="1"/>
      <c r="L12270" s="77"/>
      <c r="M12270" s="79"/>
      <c r="N12270" s="1"/>
      <c r="O12270" s="1"/>
      <c r="P12270" s="1"/>
      <c r="Q12270" s="1"/>
      <c r="R12270" s="1"/>
      <c r="S12270" s="1"/>
      <c r="T12270" s="1"/>
      <c r="U12270" s="1"/>
      <c r="V12270" s="1"/>
      <c r="W12270" s="1"/>
      <c r="X12270" s="1"/>
      <c r="Y12270" s="1"/>
      <c r="Z12270" s="1"/>
      <c r="AA12270" s="1"/>
      <c r="AB12270" s="1"/>
      <c r="AC12270" s="1"/>
      <c r="AD12270" s="1"/>
      <c r="AE12270" s="1"/>
      <c r="AF12270" s="1"/>
      <c r="AG12270" s="1"/>
      <c r="AH12270" s="1"/>
    </row>
    <row r="12271" ht="12.75" customHeight="1">
      <c r="A12271" s="17"/>
      <c r="B12271" s="1"/>
      <c r="C12271" s="1"/>
      <c r="D12271" s="150"/>
      <c r="E12271" s="150"/>
      <c r="F12271" s="75"/>
      <c r="G12271" s="67"/>
      <c r="H12271" s="68"/>
      <c r="I12271" s="76"/>
      <c r="J12271" s="67"/>
      <c r="K12271" s="1"/>
      <c r="L12271" s="77"/>
      <c r="M12271" s="79"/>
      <c r="N12271" s="1"/>
      <c r="O12271" s="1"/>
      <c r="P12271" s="1"/>
      <c r="Q12271" s="1"/>
      <c r="R12271" s="1"/>
      <c r="S12271" s="1"/>
      <c r="T12271" s="1"/>
      <c r="U12271" s="1"/>
      <c r="V12271" s="1"/>
      <c r="W12271" s="1"/>
      <c r="X12271" s="1"/>
      <c r="Y12271" s="1"/>
      <c r="Z12271" s="1"/>
      <c r="AA12271" s="1"/>
      <c r="AB12271" s="1"/>
      <c r="AC12271" s="1"/>
      <c r="AD12271" s="1"/>
      <c r="AE12271" s="1"/>
      <c r="AF12271" s="1"/>
      <c r="AG12271" s="1"/>
      <c r="AH12271" s="1"/>
    </row>
    <row r="12272" ht="12.75" customHeight="1">
      <c r="A12272" s="17"/>
      <c r="B12272" s="1"/>
      <c r="C12272" s="1"/>
      <c r="D12272" s="150"/>
      <c r="E12272" s="150"/>
      <c r="F12272" s="75"/>
      <c r="G12272" s="67"/>
      <c r="H12272" s="68"/>
      <c r="I12272" s="76"/>
      <c r="J12272" s="67"/>
      <c r="K12272" s="1"/>
      <c r="L12272" s="77"/>
      <c r="M12272" s="79"/>
      <c r="N12272" s="1"/>
      <c r="O12272" s="1"/>
      <c r="P12272" s="1"/>
      <c r="Q12272" s="1"/>
      <c r="R12272" s="1"/>
      <c r="S12272" s="1"/>
      <c r="T12272" s="1"/>
      <c r="U12272" s="1"/>
      <c r="V12272" s="1"/>
      <c r="W12272" s="1"/>
      <c r="X12272" s="1"/>
      <c r="Y12272" s="1"/>
      <c r="Z12272" s="1"/>
      <c r="AA12272" s="1"/>
      <c r="AB12272" s="1"/>
      <c r="AC12272" s="1"/>
      <c r="AD12272" s="1"/>
      <c r="AE12272" s="1"/>
      <c r="AF12272" s="1"/>
      <c r="AG12272" s="1"/>
      <c r="AH12272" s="1"/>
    </row>
    <row r="12273" ht="12.75" customHeight="1">
      <c r="A12273" s="17"/>
      <c r="B12273" s="1"/>
      <c r="C12273" s="1"/>
      <c r="D12273" s="150"/>
      <c r="E12273" s="150"/>
      <c r="F12273" s="75"/>
      <c r="G12273" s="67"/>
      <c r="H12273" s="68"/>
      <c r="I12273" s="76"/>
      <c r="J12273" s="67"/>
      <c r="K12273" s="1"/>
      <c r="L12273" s="77"/>
      <c r="M12273" s="79"/>
      <c r="N12273" s="1"/>
      <c r="O12273" s="1"/>
      <c r="P12273" s="1"/>
      <c r="Q12273" s="1"/>
      <c r="R12273" s="1"/>
      <c r="S12273" s="1"/>
      <c r="T12273" s="1"/>
      <c r="U12273" s="1"/>
      <c r="V12273" s="1"/>
      <c r="W12273" s="1"/>
      <c r="X12273" s="1"/>
      <c r="Y12273" s="1"/>
      <c r="Z12273" s="1"/>
      <c r="AA12273" s="1"/>
      <c r="AB12273" s="1"/>
      <c r="AC12273" s="1"/>
      <c r="AD12273" s="1"/>
      <c r="AE12273" s="1"/>
      <c r="AF12273" s="1"/>
      <c r="AG12273" s="1"/>
      <c r="AH12273" s="1"/>
    </row>
    <row r="12274" ht="12.75" customHeight="1">
      <c r="A12274" s="17"/>
      <c r="B12274" s="1"/>
      <c r="C12274" s="1"/>
      <c r="D12274" s="150"/>
      <c r="E12274" s="150"/>
      <c r="F12274" s="75"/>
      <c r="G12274" s="67"/>
      <c r="H12274" s="68"/>
      <c r="I12274" s="76"/>
      <c r="J12274" s="67"/>
      <c r="K12274" s="1"/>
      <c r="L12274" s="77"/>
      <c r="M12274" s="79"/>
      <c r="N12274" s="1"/>
      <c r="O12274" s="1"/>
      <c r="P12274" s="1"/>
      <c r="Q12274" s="1"/>
      <c r="R12274" s="1"/>
      <c r="S12274" s="1"/>
      <c r="T12274" s="1"/>
      <c r="U12274" s="1"/>
      <c r="V12274" s="1"/>
      <c r="W12274" s="1"/>
      <c r="X12274" s="1"/>
      <c r="Y12274" s="1"/>
      <c r="Z12274" s="1"/>
      <c r="AA12274" s="1"/>
      <c r="AB12274" s="1"/>
      <c r="AC12274" s="1"/>
      <c r="AD12274" s="1"/>
      <c r="AE12274" s="1"/>
      <c r="AF12274" s="1"/>
      <c r="AG12274" s="1"/>
      <c r="AH12274" s="1"/>
    </row>
    <row r="12275" ht="12.75" customHeight="1">
      <c r="A12275" s="17"/>
      <c r="B12275" s="1"/>
      <c r="C12275" s="1"/>
      <c r="D12275" s="150"/>
      <c r="E12275" s="150"/>
      <c r="F12275" s="75"/>
      <c r="G12275" s="67"/>
      <c r="H12275" s="68"/>
      <c r="I12275" s="76"/>
      <c r="J12275" s="67"/>
      <c r="K12275" s="1"/>
      <c r="L12275" s="77"/>
      <c r="M12275" s="79"/>
      <c r="N12275" s="1"/>
      <c r="O12275" s="1"/>
      <c r="P12275" s="1"/>
      <c r="Q12275" s="1"/>
      <c r="R12275" s="1"/>
      <c r="S12275" s="1"/>
      <c r="T12275" s="1"/>
      <c r="U12275" s="1"/>
      <c r="V12275" s="1"/>
      <c r="W12275" s="1"/>
      <c r="X12275" s="1"/>
      <c r="Y12275" s="1"/>
      <c r="Z12275" s="1"/>
      <c r="AA12275" s="1"/>
      <c r="AB12275" s="1"/>
      <c r="AC12275" s="1"/>
      <c r="AD12275" s="1"/>
      <c r="AE12275" s="1"/>
      <c r="AF12275" s="1"/>
      <c r="AG12275" s="1"/>
      <c r="AH12275" s="1"/>
    </row>
    <row r="12276" ht="12.75" customHeight="1">
      <c r="A12276" s="17"/>
      <c r="B12276" s="1"/>
      <c r="C12276" s="1"/>
      <c r="D12276" s="150"/>
      <c r="E12276" s="150"/>
      <c r="F12276" s="75"/>
      <c r="G12276" s="67"/>
      <c r="H12276" s="68"/>
      <c r="I12276" s="76"/>
      <c r="J12276" s="67"/>
      <c r="K12276" s="1"/>
      <c r="L12276" s="77"/>
      <c r="M12276" s="79"/>
      <c r="N12276" s="1"/>
      <c r="O12276" s="1"/>
      <c r="P12276" s="1"/>
      <c r="Q12276" s="1"/>
      <c r="R12276" s="1"/>
      <c r="S12276" s="1"/>
      <c r="T12276" s="1"/>
      <c r="U12276" s="1"/>
      <c r="V12276" s="1"/>
      <c r="W12276" s="1"/>
      <c r="X12276" s="1"/>
      <c r="Y12276" s="1"/>
      <c r="Z12276" s="1"/>
      <c r="AA12276" s="1"/>
      <c r="AB12276" s="1"/>
      <c r="AC12276" s="1"/>
      <c r="AD12276" s="1"/>
      <c r="AE12276" s="1"/>
      <c r="AF12276" s="1"/>
      <c r="AG12276" s="1"/>
      <c r="AH12276" s="1"/>
    </row>
    <row r="12277" ht="12.75" customHeight="1">
      <c r="A12277" s="17"/>
      <c r="B12277" s="1"/>
      <c r="C12277" s="1"/>
      <c r="D12277" s="150"/>
      <c r="E12277" s="150"/>
      <c r="F12277" s="75"/>
      <c r="G12277" s="67"/>
      <c r="H12277" s="68"/>
      <c r="I12277" s="76"/>
      <c r="J12277" s="67"/>
      <c r="K12277" s="1"/>
      <c r="L12277" s="77"/>
      <c r="M12277" s="79"/>
      <c r="N12277" s="1"/>
      <c r="O12277" s="1"/>
      <c r="P12277" s="1"/>
      <c r="Q12277" s="1"/>
      <c r="R12277" s="1"/>
      <c r="S12277" s="1"/>
      <c r="T12277" s="1"/>
      <c r="U12277" s="1"/>
      <c r="V12277" s="1"/>
      <c r="W12277" s="1"/>
      <c r="X12277" s="1"/>
      <c r="Y12277" s="1"/>
      <c r="Z12277" s="1"/>
      <c r="AA12277" s="1"/>
      <c r="AB12277" s="1"/>
      <c r="AC12277" s="1"/>
      <c r="AD12277" s="1"/>
      <c r="AE12277" s="1"/>
      <c r="AF12277" s="1"/>
      <c r="AG12277" s="1"/>
      <c r="AH12277" s="1"/>
    </row>
    <row r="12278" ht="12.75" customHeight="1">
      <c r="A12278" s="17"/>
      <c r="B12278" s="1"/>
      <c r="C12278" s="1"/>
      <c r="D12278" s="150"/>
      <c r="E12278" s="150"/>
      <c r="F12278" s="75"/>
      <c r="G12278" s="67"/>
      <c r="H12278" s="68"/>
      <c r="I12278" s="76"/>
      <c r="J12278" s="67"/>
      <c r="K12278" s="1"/>
      <c r="L12278" s="77"/>
      <c r="M12278" s="79"/>
      <c r="N12278" s="1"/>
      <c r="O12278" s="1"/>
      <c r="P12278" s="1"/>
      <c r="Q12278" s="1"/>
      <c r="R12278" s="1"/>
      <c r="S12278" s="1"/>
      <c r="T12278" s="1"/>
      <c r="U12278" s="1"/>
      <c r="V12278" s="1"/>
      <c r="W12278" s="1"/>
      <c r="X12278" s="1"/>
      <c r="Y12278" s="1"/>
      <c r="Z12278" s="1"/>
      <c r="AA12278" s="1"/>
      <c r="AB12278" s="1"/>
      <c r="AC12278" s="1"/>
      <c r="AD12278" s="1"/>
      <c r="AE12278" s="1"/>
      <c r="AF12278" s="1"/>
      <c r="AG12278" s="1"/>
      <c r="AH12278" s="1"/>
    </row>
    <row r="12279" ht="12.75" customHeight="1">
      <c r="A12279" s="17"/>
      <c r="B12279" s="1"/>
      <c r="C12279" s="1"/>
      <c r="D12279" s="150"/>
      <c r="E12279" s="150"/>
      <c r="F12279" s="75"/>
      <c r="G12279" s="67"/>
      <c r="H12279" s="68"/>
      <c r="I12279" s="76"/>
      <c r="J12279" s="67"/>
      <c r="K12279" s="1"/>
      <c r="L12279" s="77"/>
      <c r="M12279" s="79"/>
      <c r="N12279" s="1"/>
      <c r="O12279" s="1"/>
      <c r="P12279" s="1"/>
      <c r="Q12279" s="1"/>
      <c r="R12279" s="1"/>
      <c r="S12279" s="1"/>
      <c r="T12279" s="1"/>
      <c r="U12279" s="1"/>
      <c r="V12279" s="1"/>
      <c r="W12279" s="1"/>
      <c r="X12279" s="1"/>
      <c r="Y12279" s="1"/>
      <c r="Z12279" s="1"/>
      <c r="AA12279" s="1"/>
      <c r="AB12279" s="1"/>
      <c r="AC12279" s="1"/>
      <c r="AD12279" s="1"/>
      <c r="AE12279" s="1"/>
      <c r="AF12279" s="1"/>
      <c r="AG12279" s="1"/>
      <c r="AH12279" s="1"/>
    </row>
    <row r="12280" ht="12.75" customHeight="1">
      <c r="A12280" s="17"/>
      <c r="B12280" s="1"/>
      <c r="C12280" s="1"/>
      <c r="D12280" s="150"/>
      <c r="E12280" s="150"/>
      <c r="F12280" s="75"/>
      <c r="G12280" s="67"/>
      <c r="H12280" s="68"/>
      <c r="I12280" s="76"/>
      <c r="J12280" s="67"/>
      <c r="K12280" s="1"/>
      <c r="L12280" s="77"/>
      <c r="M12280" s="79"/>
      <c r="N12280" s="1"/>
      <c r="O12280" s="1"/>
      <c r="P12280" s="1"/>
      <c r="Q12280" s="1"/>
      <c r="R12280" s="1"/>
      <c r="S12280" s="1"/>
      <c r="T12280" s="1"/>
      <c r="U12280" s="1"/>
      <c r="V12280" s="1"/>
      <c r="W12280" s="1"/>
      <c r="X12280" s="1"/>
      <c r="Y12280" s="1"/>
      <c r="Z12280" s="1"/>
      <c r="AA12280" s="1"/>
      <c r="AB12280" s="1"/>
      <c r="AC12280" s="1"/>
      <c r="AD12280" s="1"/>
      <c r="AE12280" s="1"/>
      <c r="AF12280" s="1"/>
      <c r="AG12280" s="1"/>
      <c r="AH12280" s="1"/>
    </row>
    <row r="12281" ht="12.75" customHeight="1">
      <c r="A12281" s="17"/>
      <c r="B12281" s="1"/>
      <c r="C12281" s="1"/>
      <c r="D12281" s="150"/>
      <c r="E12281" s="150"/>
      <c r="F12281" s="75"/>
      <c r="G12281" s="67"/>
      <c r="H12281" s="68"/>
      <c r="I12281" s="76"/>
      <c r="J12281" s="67"/>
      <c r="K12281" s="1"/>
      <c r="L12281" s="77"/>
      <c r="M12281" s="79"/>
      <c r="N12281" s="1"/>
      <c r="O12281" s="1"/>
      <c r="P12281" s="1"/>
      <c r="Q12281" s="1"/>
      <c r="R12281" s="1"/>
      <c r="S12281" s="1"/>
      <c r="T12281" s="1"/>
      <c r="U12281" s="1"/>
      <c r="V12281" s="1"/>
      <c r="W12281" s="1"/>
      <c r="X12281" s="1"/>
      <c r="Y12281" s="1"/>
      <c r="Z12281" s="1"/>
      <c r="AA12281" s="1"/>
      <c r="AB12281" s="1"/>
      <c r="AC12281" s="1"/>
      <c r="AD12281" s="1"/>
      <c r="AE12281" s="1"/>
      <c r="AF12281" s="1"/>
      <c r="AG12281" s="1"/>
      <c r="AH12281" s="1"/>
    </row>
    <row r="12282" ht="12.75" customHeight="1">
      <c r="A12282" s="17"/>
      <c r="B12282" s="1"/>
      <c r="C12282" s="1"/>
      <c r="D12282" s="150"/>
      <c r="E12282" s="150"/>
      <c r="F12282" s="75"/>
      <c r="G12282" s="67"/>
      <c r="H12282" s="68"/>
      <c r="I12282" s="76"/>
      <c r="J12282" s="67"/>
      <c r="K12282" s="1"/>
      <c r="L12282" s="77"/>
      <c r="M12282" s="79"/>
      <c r="N12282" s="1"/>
      <c r="O12282" s="1"/>
      <c r="P12282" s="1"/>
      <c r="Q12282" s="1"/>
      <c r="R12282" s="1"/>
      <c r="S12282" s="1"/>
      <c r="T12282" s="1"/>
      <c r="U12282" s="1"/>
      <c r="V12282" s="1"/>
      <c r="W12282" s="1"/>
      <c r="X12282" s="1"/>
      <c r="Y12282" s="1"/>
      <c r="Z12282" s="1"/>
      <c r="AA12282" s="1"/>
      <c r="AB12282" s="1"/>
      <c r="AC12282" s="1"/>
      <c r="AD12282" s="1"/>
      <c r="AE12282" s="1"/>
      <c r="AF12282" s="1"/>
      <c r="AG12282" s="1"/>
      <c r="AH12282" s="1"/>
    </row>
    <row r="12283" ht="12.75" customHeight="1">
      <c r="A12283" s="17"/>
      <c r="B12283" s="1"/>
      <c r="C12283" s="1"/>
      <c r="D12283" s="150"/>
      <c r="E12283" s="150"/>
      <c r="F12283" s="75"/>
      <c r="G12283" s="67"/>
      <c r="H12283" s="68"/>
      <c r="I12283" s="76"/>
      <c r="J12283" s="67"/>
      <c r="K12283" s="1"/>
      <c r="L12283" s="77"/>
      <c r="M12283" s="79"/>
      <c r="N12283" s="1"/>
      <c r="O12283" s="1"/>
      <c r="P12283" s="1"/>
      <c r="Q12283" s="1"/>
      <c r="R12283" s="1"/>
      <c r="S12283" s="1"/>
      <c r="T12283" s="1"/>
      <c r="U12283" s="1"/>
      <c r="V12283" s="1"/>
      <c r="W12283" s="1"/>
      <c r="X12283" s="1"/>
      <c r="Y12283" s="1"/>
      <c r="Z12283" s="1"/>
      <c r="AA12283" s="1"/>
      <c r="AB12283" s="1"/>
      <c r="AC12283" s="1"/>
      <c r="AD12283" s="1"/>
      <c r="AE12283" s="1"/>
      <c r="AF12283" s="1"/>
      <c r="AG12283" s="1"/>
      <c r="AH12283" s="1"/>
    </row>
    <row r="12284" ht="12.75" customHeight="1">
      <c r="A12284" s="17"/>
      <c r="B12284" s="1"/>
      <c r="C12284" s="1"/>
      <c r="D12284" s="150"/>
      <c r="E12284" s="150"/>
      <c r="F12284" s="75"/>
      <c r="G12284" s="67"/>
      <c r="H12284" s="68"/>
      <c r="I12284" s="76"/>
      <c r="J12284" s="67"/>
      <c r="K12284" s="1"/>
      <c r="L12284" s="77"/>
      <c r="M12284" s="79"/>
      <c r="N12284" s="1"/>
      <c r="O12284" s="1"/>
      <c r="P12284" s="1"/>
      <c r="Q12284" s="1"/>
      <c r="R12284" s="1"/>
      <c r="S12284" s="1"/>
      <c r="T12284" s="1"/>
      <c r="U12284" s="1"/>
      <c r="V12284" s="1"/>
      <c r="W12284" s="1"/>
      <c r="X12284" s="1"/>
      <c r="Y12284" s="1"/>
      <c r="Z12284" s="1"/>
      <c r="AA12284" s="1"/>
      <c r="AB12284" s="1"/>
      <c r="AC12284" s="1"/>
      <c r="AD12284" s="1"/>
      <c r="AE12284" s="1"/>
      <c r="AF12284" s="1"/>
      <c r="AG12284" s="1"/>
      <c r="AH12284" s="1"/>
    </row>
    <row r="12285" ht="12.75" customHeight="1">
      <c r="A12285" s="17"/>
      <c r="B12285" s="1"/>
      <c r="C12285" s="1"/>
      <c r="D12285" s="150"/>
      <c r="E12285" s="150"/>
      <c r="F12285" s="75"/>
      <c r="G12285" s="67"/>
      <c r="H12285" s="68"/>
      <c r="I12285" s="76"/>
      <c r="J12285" s="67"/>
      <c r="K12285" s="1"/>
      <c r="L12285" s="77"/>
      <c r="M12285" s="79"/>
      <c r="N12285" s="1"/>
      <c r="O12285" s="1"/>
      <c r="P12285" s="1"/>
      <c r="Q12285" s="1"/>
      <c r="R12285" s="1"/>
      <c r="S12285" s="1"/>
      <c r="T12285" s="1"/>
      <c r="U12285" s="1"/>
      <c r="V12285" s="1"/>
      <c r="W12285" s="1"/>
      <c r="X12285" s="1"/>
      <c r="Y12285" s="1"/>
      <c r="Z12285" s="1"/>
      <c r="AA12285" s="1"/>
      <c r="AB12285" s="1"/>
      <c r="AC12285" s="1"/>
      <c r="AD12285" s="1"/>
      <c r="AE12285" s="1"/>
      <c r="AF12285" s="1"/>
      <c r="AG12285" s="1"/>
      <c r="AH12285" s="1"/>
    </row>
    <row r="12286" ht="12.75" customHeight="1">
      <c r="A12286" s="17"/>
      <c r="B12286" s="1"/>
      <c r="C12286" s="1"/>
      <c r="D12286" s="150"/>
      <c r="E12286" s="150"/>
      <c r="F12286" s="75"/>
      <c r="G12286" s="67"/>
      <c r="H12286" s="68"/>
      <c r="I12286" s="76"/>
      <c r="J12286" s="67"/>
      <c r="K12286" s="1"/>
      <c r="L12286" s="77"/>
      <c r="M12286" s="79"/>
      <c r="N12286" s="1"/>
      <c r="O12286" s="1"/>
      <c r="P12286" s="1"/>
      <c r="Q12286" s="1"/>
      <c r="R12286" s="1"/>
      <c r="S12286" s="1"/>
      <c r="T12286" s="1"/>
      <c r="U12286" s="1"/>
      <c r="V12286" s="1"/>
      <c r="W12286" s="1"/>
      <c r="X12286" s="1"/>
      <c r="Y12286" s="1"/>
      <c r="Z12286" s="1"/>
      <c r="AA12286" s="1"/>
      <c r="AB12286" s="1"/>
      <c r="AC12286" s="1"/>
      <c r="AD12286" s="1"/>
      <c r="AE12286" s="1"/>
      <c r="AF12286" s="1"/>
      <c r="AG12286" s="1"/>
      <c r="AH12286" s="1"/>
    </row>
    <row r="12287" ht="12.75" customHeight="1">
      <c r="A12287" s="17"/>
      <c r="B12287" s="1"/>
      <c r="C12287" s="1"/>
      <c r="D12287" s="150"/>
      <c r="E12287" s="150"/>
      <c r="F12287" s="75"/>
      <c r="G12287" s="67"/>
      <c r="H12287" s="68"/>
      <c r="I12287" s="76"/>
      <c r="J12287" s="67"/>
      <c r="K12287" s="1"/>
      <c r="L12287" s="77"/>
      <c r="M12287" s="79"/>
      <c r="N12287" s="1"/>
      <c r="O12287" s="1"/>
      <c r="P12287" s="1"/>
      <c r="Q12287" s="1"/>
      <c r="R12287" s="1"/>
      <c r="S12287" s="1"/>
      <c r="T12287" s="1"/>
      <c r="U12287" s="1"/>
      <c r="V12287" s="1"/>
      <c r="W12287" s="1"/>
      <c r="X12287" s="1"/>
      <c r="Y12287" s="1"/>
      <c r="Z12287" s="1"/>
      <c r="AA12287" s="1"/>
      <c r="AB12287" s="1"/>
      <c r="AC12287" s="1"/>
      <c r="AD12287" s="1"/>
      <c r="AE12287" s="1"/>
      <c r="AF12287" s="1"/>
      <c r="AG12287" s="1"/>
      <c r="AH12287" s="1"/>
    </row>
    <row r="12288" ht="12.75" customHeight="1">
      <c r="A12288" s="17"/>
      <c r="B12288" s="1"/>
      <c r="C12288" s="1"/>
      <c r="D12288" s="150"/>
      <c r="E12288" s="150"/>
      <c r="F12288" s="75"/>
      <c r="G12288" s="67"/>
      <c r="H12288" s="68"/>
      <c r="I12288" s="76"/>
      <c r="J12288" s="67"/>
      <c r="K12288" s="1"/>
      <c r="L12288" s="77"/>
      <c r="M12288" s="79"/>
      <c r="N12288" s="1"/>
      <c r="O12288" s="1"/>
      <c r="P12288" s="1"/>
      <c r="Q12288" s="1"/>
      <c r="R12288" s="1"/>
      <c r="S12288" s="1"/>
      <c r="T12288" s="1"/>
      <c r="U12288" s="1"/>
      <c r="V12288" s="1"/>
      <c r="W12288" s="1"/>
      <c r="X12288" s="1"/>
      <c r="Y12288" s="1"/>
      <c r="Z12288" s="1"/>
      <c r="AA12288" s="1"/>
      <c r="AB12288" s="1"/>
      <c r="AC12288" s="1"/>
      <c r="AD12288" s="1"/>
      <c r="AE12288" s="1"/>
      <c r="AF12288" s="1"/>
      <c r="AG12288" s="1"/>
      <c r="AH12288" s="1"/>
    </row>
    <row r="12289" ht="12.75" customHeight="1">
      <c r="A12289" s="17"/>
      <c r="B12289" s="1"/>
      <c r="C12289" s="1"/>
      <c r="D12289" s="150"/>
      <c r="E12289" s="150"/>
      <c r="F12289" s="75"/>
      <c r="G12289" s="67"/>
      <c r="H12289" s="68"/>
      <c r="I12289" s="76"/>
      <c r="J12289" s="67"/>
      <c r="K12289" s="1"/>
      <c r="L12289" s="77"/>
      <c r="M12289" s="79"/>
      <c r="N12289" s="1"/>
      <c r="O12289" s="1"/>
      <c r="P12289" s="1"/>
      <c r="Q12289" s="1"/>
      <c r="R12289" s="1"/>
      <c r="S12289" s="1"/>
      <c r="T12289" s="1"/>
      <c r="U12289" s="1"/>
      <c r="V12289" s="1"/>
      <c r="W12289" s="1"/>
      <c r="X12289" s="1"/>
      <c r="Y12289" s="1"/>
      <c r="Z12289" s="1"/>
      <c r="AA12289" s="1"/>
      <c r="AB12289" s="1"/>
      <c r="AC12289" s="1"/>
      <c r="AD12289" s="1"/>
      <c r="AE12289" s="1"/>
      <c r="AF12289" s="1"/>
      <c r="AG12289" s="1"/>
      <c r="AH12289" s="1"/>
    </row>
    <row r="12290" ht="12.75" customHeight="1">
      <c r="A12290" s="17"/>
      <c r="B12290" s="1"/>
      <c r="C12290" s="1"/>
      <c r="D12290" s="150"/>
      <c r="E12290" s="150"/>
      <c r="F12290" s="75"/>
      <c r="G12290" s="67"/>
      <c r="H12290" s="68"/>
      <c r="I12290" s="76"/>
      <c r="J12290" s="67"/>
      <c r="K12290" s="1"/>
      <c r="L12290" s="77"/>
      <c r="M12290" s="79"/>
      <c r="N12290" s="1"/>
      <c r="O12290" s="1"/>
      <c r="P12290" s="1"/>
      <c r="Q12290" s="1"/>
      <c r="R12290" s="1"/>
      <c r="S12290" s="1"/>
      <c r="T12290" s="1"/>
      <c r="U12290" s="1"/>
      <c r="V12290" s="1"/>
      <c r="W12290" s="1"/>
      <c r="X12290" s="1"/>
      <c r="Y12290" s="1"/>
      <c r="Z12290" s="1"/>
      <c r="AA12290" s="1"/>
      <c r="AB12290" s="1"/>
      <c r="AC12290" s="1"/>
      <c r="AD12290" s="1"/>
      <c r="AE12290" s="1"/>
      <c r="AF12290" s="1"/>
      <c r="AG12290" s="1"/>
      <c r="AH12290" s="1"/>
    </row>
    <row r="12291" ht="12.75" customHeight="1">
      <c r="A12291" s="17"/>
      <c r="B12291" s="1"/>
      <c r="C12291" s="1"/>
      <c r="D12291" s="150"/>
      <c r="E12291" s="150"/>
      <c r="F12291" s="75"/>
      <c r="G12291" s="67"/>
      <c r="H12291" s="68"/>
      <c r="I12291" s="76"/>
      <c r="J12291" s="67"/>
      <c r="K12291" s="1"/>
      <c r="L12291" s="77"/>
      <c r="M12291" s="79"/>
      <c r="N12291" s="1"/>
      <c r="O12291" s="1"/>
      <c r="P12291" s="1"/>
      <c r="Q12291" s="1"/>
      <c r="R12291" s="1"/>
      <c r="S12291" s="1"/>
      <c r="T12291" s="1"/>
      <c r="U12291" s="1"/>
      <c r="V12291" s="1"/>
      <c r="W12291" s="1"/>
      <c r="X12291" s="1"/>
      <c r="Y12291" s="1"/>
      <c r="Z12291" s="1"/>
      <c r="AA12291" s="1"/>
      <c r="AB12291" s="1"/>
      <c r="AC12291" s="1"/>
      <c r="AD12291" s="1"/>
      <c r="AE12291" s="1"/>
      <c r="AF12291" s="1"/>
      <c r="AG12291" s="1"/>
      <c r="AH12291" s="1"/>
    </row>
    <row r="12292" ht="12.75" customHeight="1">
      <c r="A12292" s="17"/>
      <c r="B12292" s="1"/>
      <c r="C12292" s="1"/>
      <c r="D12292" s="150"/>
      <c r="E12292" s="150"/>
      <c r="F12292" s="75"/>
      <c r="G12292" s="67"/>
      <c r="H12292" s="68"/>
      <c r="I12292" s="76"/>
      <c r="J12292" s="67"/>
      <c r="K12292" s="1"/>
      <c r="L12292" s="77"/>
      <c r="M12292" s="79"/>
      <c r="N12292" s="1"/>
      <c r="O12292" s="1"/>
      <c r="P12292" s="1"/>
      <c r="Q12292" s="1"/>
      <c r="R12292" s="1"/>
      <c r="S12292" s="1"/>
      <c r="T12292" s="1"/>
      <c r="U12292" s="1"/>
      <c r="V12292" s="1"/>
      <c r="W12292" s="1"/>
      <c r="X12292" s="1"/>
      <c r="Y12292" s="1"/>
      <c r="Z12292" s="1"/>
      <c r="AA12292" s="1"/>
      <c r="AB12292" s="1"/>
      <c r="AC12292" s="1"/>
      <c r="AD12292" s="1"/>
      <c r="AE12292" s="1"/>
      <c r="AF12292" s="1"/>
      <c r="AG12292" s="1"/>
      <c r="AH12292" s="1"/>
    </row>
    <row r="12293" ht="12.75" customHeight="1">
      <c r="A12293" s="17"/>
      <c r="B12293" s="1"/>
      <c r="C12293" s="1"/>
      <c r="D12293" s="150"/>
      <c r="E12293" s="150"/>
      <c r="F12293" s="75"/>
      <c r="G12293" s="67"/>
      <c r="H12293" s="68"/>
      <c r="I12293" s="76"/>
      <c r="J12293" s="67"/>
      <c r="K12293" s="1"/>
      <c r="L12293" s="77"/>
      <c r="M12293" s="79"/>
      <c r="N12293" s="1"/>
      <c r="O12293" s="1"/>
      <c r="P12293" s="1"/>
      <c r="Q12293" s="1"/>
      <c r="R12293" s="1"/>
      <c r="S12293" s="1"/>
      <c r="T12293" s="1"/>
      <c r="U12293" s="1"/>
      <c r="V12293" s="1"/>
      <c r="W12293" s="1"/>
      <c r="X12293" s="1"/>
      <c r="Y12293" s="1"/>
      <c r="Z12293" s="1"/>
      <c r="AA12293" s="1"/>
      <c r="AB12293" s="1"/>
      <c r="AC12293" s="1"/>
      <c r="AD12293" s="1"/>
      <c r="AE12293" s="1"/>
      <c r="AF12293" s="1"/>
      <c r="AG12293" s="1"/>
      <c r="AH12293" s="1"/>
    </row>
    <row r="12294" ht="12.75" customHeight="1">
      <c r="A12294" s="17"/>
      <c r="B12294" s="1"/>
      <c r="C12294" s="1"/>
      <c r="D12294" s="150"/>
      <c r="E12294" s="150"/>
      <c r="F12294" s="75"/>
      <c r="G12294" s="67"/>
      <c r="H12294" s="68"/>
      <c r="I12294" s="76"/>
      <c r="J12294" s="67"/>
      <c r="K12294" s="1"/>
      <c r="L12294" s="77"/>
      <c r="M12294" s="79"/>
      <c r="N12294" s="1"/>
      <c r="O12294" s="1"/>
      <c r="P12294" s="1"/>
      <c r="Q12294" s="1"/>
      <c r="R12294" s="1"/>
      <c r="S12294" s="1"/>
      <c r="T12294" s="1"/>
      <c r="U12294" s="1"/>
      <c r="V12294" s="1"/>
      <c r="W12294" s="1"/>
      <c r="X12294" s="1"/>
      <c r="Y12294" s="1"/>
      <c r="Z12294" s="1"/>
      <c r="AA12294" s="1"/>
      <c r="AB12294" s="1"/>
      <c r="AC12294" s="1"/>
      <c r="AD12294" s="1"/>
      <c r="AE12294" s="1"/>
      <c r="AF12294" s="1"/>
      <c r="AG12294" s="1"/>
      <c r="AH12294" s="1"/>
    </row>
    <row r="12295" ht="12.75" customHeight="1">
      <c r="A12295" s="17"/>
      <c r="B12295" s="1"/>
      <c r="C12295" s="1"/>
      <c r="D12295" s="150"/>
      <c r="E12295" s="150"/>
      <c r="F12295" s="75"/>
      <c r="G12295" s="67"/>
      <c r="H12295" s="68"/>
      <c r="I12295" s="76"/>
      <c r="J12295" s="67"/>
      <c r="K12295" s="1"/>
      <c r="L12295" s="77"/>
      <c r="M12295" s="79"/>
      <c r="N12295" s="1"/>
      <c r="O12295" s="1"/>
      <c r="P12295" s="1"/>
      <c r="Q12295" s="1"/>
      <c r="R12295" s="1"/>
      <c r="S12295" s="1"/>
      <c r="T12295" s="1"/>
      <c r="U12295" s="1"/>
      <c r="V12295" s="1"/>
      <c r="W12295" s="1"/>
      <c r="X12295" s="1"/>
      <c r="Y12295" s="1"/>
      <c r="Z12295" s="1"/>
      <c r="AA12295" s="1"/>
      <c r="AB12295" s="1"/>
      <c r="AC12295" s="1"/>
      <c r="AD12295" s="1"/>
      <c r="AE12295" s="1"/>
      <c r="AF12295" s="1"/>
      <c r="AG12295" s="1"/>
      <c r="AH12295" s="1"/>
    </row>
    <row r="12296" ht="12.75" customHeight="1">
      <c r="A12296" s="17"/>
      <c r="B12296" s="1"/>
      <c r="C12296" s="1"/>
      <c r="D12296" s="150"/>
      <c r="E12296" s="150"/>
      <c r="F12296" s="75"/>
      <c r="G12296" s="67"/>
      <c r="H12296" s="68"/>
      <c r="I12296" s="76"/>
      <c r="J12296" s="67"/>
      <c r="K12296" s="1"/>
      <c r="L12296" s="77"/>
      <c r="M12296" s="79"/>
      <c r="N12296" s="1"/>
      <c r="O12296" s="1"/>
      <c r="P12296" s="1"/>
      <c r="Q12296" s="1"/>
      <c r="R12296" s="1"/>
      <c r="S12296" s="1"/>
      <c r="T12296" s="1"/>
      <c r="U12296" s="1"/>
      <c r="V12296" s="1"/>
      <c r="W12296" s="1"/>
      <c r="X12296" s="1"/>
      <c r="Y12296" s="1"/>
      <c r="Z12296" s="1"/>
      <c r="AA12296" s="1"/>
      <c r="AB12296" s="1"/>
      <c r="AC12296" s="1"/>
      <c r="AD12296" s="1"/>
      <c r="AE12296" s="1"/>
      <c r="AF12296" s="1"/>
      <c r="AG12296" s="1"/>
      <c r="AH12296" s="1"/>
    </row>
    <row r="12297" ht="12.75" customHeight="1">
      <c r="A12297" s="17"/>
      <c r="B12297" s="1"/>
      <c r="C12297" s="1"/>
      <c r="D12297" s="150"/>
      <c r="E12297" s="150"/>
      <c r="F12297" s="75"/>
      <c r="G12297" s="67"/>
      <c r="H12297" s="68"/>
      <c r="I12297" s="76"/>
      <c r="J12297" s="67"/>
      <c r="K12297" s="1"/>
      <c r="L12297" s="77"/>
      <c r="M12297" s="79"/>
      <c r="N12297" s="1"/>
      <c r="O12297" s="1"/>
      <c r="P12297" s="1"/>
      <c r="Q12297" s="1"/>
      <c r="R12297" s="1"/>
      <c r="S12297" s="1"/>
      <c r="T12297" s="1"/>
      <c r="U12297" s="1"/>
      <c r="V12297" s="1"/>
      <c r="W12297" s="1"/>
      <c r="X12297" s="1"/>
      <c r="Y12297" s="1"/>
      <c r="Z12297" s="1"/>
      <c r="AA12297" s="1"/>
      <c r="AB12297" s="1"/>
      <c r="AC12297" s="1"/>
      <c r="AD12297" s="1"/>
      <c r="AE12297" s="1"/>
      <c r="AF12297" s="1"/>
      <c r="AG12297" s="1"/>
      <c r="AH12297" s="1"/>
    </row>
    <row r="12298" ht="12.75" customHeight="1">
      <c r="A12298" s="17"/>
      <c r="B12298" s="1"/>
      <c r="C12298" s="1"/>
      <c r="D12298" s="150"/>
      <c r="E12298" s="150"/>
      <c r="F12298" s="75"/>
      <c r="G12298" s="67"/>
      <c r="H12298" s="68"/>
      <c r="I12298" s="76"/>
      <c r="J12298" s="67"/>
      <c r="K12298" s="1"/>
      <c r="L12298" s="77"/>
      <c r="M12298" s="79"/>
      <c r="N12298" s="1"/>
      <c r="O12298" s="1"/>
      <c r="P12298" s="1"/>
      <c r="Q12298" s="1"/>
      <c r="R12298" s="1"/>
      <c r="S12298" s="1"/>
      <c r="T12298" s="1"/>
      <c r="U12298" s="1"/>
      <c r="V12298" s="1"/>
      <c r="W12298" s="1"/>
      <c r="X12298" s="1"/>
      <c r="Y12298" s="1"/>
      <c r="Z12298" s="1"/>
      <c r="AA12298" s="1"/>
      <c r="AB12298" s="1"/>
      <c r="AC12298" s="1"/>
      <c r="AD12298" s="1"/>
      <c r="AE12298" s="1"/>
      <c r="AF12298" s="1"/>
      <c r="AG12298" s="1"/>
      <c r="AH12298" s="1"/>
    </row>
    <row r="12299" ht="12.75" customHeight="1">
      <c r="A12299" s="17"/>
      <c r="B12299" s="1"/>
      <c r="C12299" s="1"/>
      <c r="D12299" s="150"/>
      <c r="E12299" s="150"/>
      <c r="F12299" s="75"/>
      <c r="G12299" s="67"/>
      <c r="H12299" s="68"/>
      <c r="I12299" s="76"/>
      <c r="J12299" s="67"/>
      <c r="K12299" s="1"/>
      <c r="L12299" s="77"/>
      <c r="M12299" s="79"/>
      <c r="N12299" s="1"/>
      <c r="O12299" s="1"/>
      <c r="P12299" s="1"/>
      <c r="Q12299" s="1"/>
      <c r="R12299" s="1"/>
      <c r="S12299" s="1"/>
      <c r="T12299" s="1"/>
      <c r="U12299" s="1"/>
      <c r="V12299" s="1"/>
      <c r="W12299" s="1"/>
      <c r="X12299" s="1"/>
      <c r="Y12299" s="1"/>
      <c r="Z12299" s="1"/>
      <c r="AA12299" s="1"/>
      <c r="AB12299" s="1"/>
      <c r="AC12299" s="1"/>
      <c r="AD12299" s="1"/>
      <c r="AE12299" s="1"/>
      <c r="AF12299" s="1"/>
      <c r="AG12299" s="1"/>
      <c r="AH12299" s="1"/>
    </row>
    <row r="12300" ht="12.75" customHeight="1">
      <c r="A12300" s="17"/>
      <c r="B12300" s="1"/>
      <c r="C12300" s="1"/>
      <c r="D12300" s="150"/>
      <c r="E12300" s="150"/>
      <c r="F12300" s="75"/>
      <c r="G12300" s="67"/>
      <c r="H12300" s="68"/>
      <c r="I12300" s="76"/>
      <c r="J12300" s="67"/>
      <c r="K12300" s="1"/>
      <c r="L12300" s="77"/>
      <c r="M12300" s="79"/>
      <c r="N12300" s="1"/>
      <c r="O12300" s="1"/>
      <c r="P12300" s="1"/>
      <c r="Q12300" s="1"/>
      <c r="R12300" s="1"/>
      <c r="S12300" s="1"/>
      <c r="T12300" s="1"/>
      <c r="U12300" s="1"/>
      <c r="V12300" s="1"/>
      <c r="W12300" s="1"/>
      <c r="X12300" s="1"/>
      <c r="Y12300" s="1"/>
      <c r="Z12300" s="1"/>
      <c r="AA12300" s="1"/>
      <c r="AB12300" s="1"/>
      <c r="AC12300" s="1"/>
      <c r="AD12300" s="1"/>
      <c r="AE12300" s="1"/>
      <c r="AF12300" s="1"/>
      <c r="AG12300" s="1"/>
      <c r="AH12300" s="1"/>
    </row>
    <row r="12301" ht="12.75" customHeight="1">
      <c r="A12301" s="17"/>
      <c r="B12301" s="1"/>
      <c r="C12301" s="1"/>
      <c r="D12301" s="150"/>
      <c r="E12301" s="150"/>
      <c r="F12301" s="75"/>
      <c r="G12301" s="67"/>
      <c r="H12301" s="68"/>
      <c r="I12301" s="76"/>
      <c r="J12301" s="67"/>
      <c r="K12301" s="1"/>
      <c r="L12301" s="77"/>
      <c r="M12301" s="79"/>
      <c r="N12301" s="1"/>
      <c r="O12301" s="1"/>
      <c r="P12301" s="1"/>
      <c r="Q12301" s="1"/>
      <c r="R12301" s="1"/>
      <c r="S12301" s="1"/>
      <c r="T12301" s="1"/>
      <c r="U12301" s="1"/>
      <c r="V12301" s="1"/>
      <c r="W12301" s="1"/>
      <c r="X12301" s="1"/>
      <c r="Y12301" s="1"/>
      <c r="Z12301" s="1"/>
      <c r="AA12301" s="1"/>
      <c r="AB12301" s="1"/>
      <c r="AC12301" s="1"/>
      <c r="AD12301" s="1"/>
      <c r="AE12301" s="1"/>
      <c r="AF12301" s="1"/>
      <c r="AG12301" s="1"/>
      <c r="AH12301" s="1"/>
    </row>
    <row r="12302" ht="12.75" customHeight="1">
      <c r="A12302" s="17"/>
      <c r="B12302" s="1"/>
      <c r="C12302" s="1"/>
      <c r="D12302" s="150"/>
      <c r="E12302" s="150"/>
      <c r="F12302" s="75"/>
      <c r="G12302" s="67"/>
      <c r="H12302" s="68"/>
      <c r="I12302" s="76"/>
      <c r="J12302" s="67"/>
      <c r="K12302" s="1"/>
      <c r="L12302" s="77"/>
      <c r="M12302" s="79"/>
      <c r="N12302" s="1"/>
      <c r="O12302" s="1"/>
      <c r="P12302" s="1"/>
      <c r="Q12302" s="1"/>
      <c r="R12302" s="1"/>
      <c r="S12302" s="1"/>
      <c r="T12302" s="1"/>
      <c r="U12302" s="1"/>
      <c r="V12302" s="1"/>
      <c r="W12302" s="1"/>
      <c r="X12302" s="1"/>
      <c r="Y12302" s="1"/>
      <c r="Z12302" s="1"/>
      <c r="AA12302" s="1"/>
      <c r="AB12302" s="1"/>
      <c r="AC12302" s="1"/>
      <c r="AD12302" s="1"/>
      <c r="AE12302" s="1"/>
      <c r="AF12302" s="1"/>
      <c r="AG12302" s="1"/>
      <c r="AH12302" s="1"/>
    </row>
    <row r="12303" ht="12.75" customHeight="1">
      <c r="A12303" s="17"/>
      <c r="B12303" s="1"/>
      <c r="C12303" s="1"/>
      <c r="D12303" s="150"/>
      <c r="E12303" s="150"/>
      <c r="F12303" s="75"/>
      <c r="G12303" s="67"/>
      <c r="H12303" s="68"/>
      <c r="I12303" s="76"/>
      <c r="J12303" s="67"/>
      <c r="K12303" s="1"/>
      <c r="L12303" s="77"/>
      <c r="M12303" s="79"/>
      <c r="N12303" s="1"/>
      <c r="O12303" s="1"/>
      <c r="P12303" s="1"/>
      <c r="Q12303" s="1"/>
      <c r="R12303" s="1"/>
      <c r="S12303" s="1"/>
      <c r="T12303" s="1"/>
      <c r="U12303" s="1"/>
      <c r="V12303" s="1"/>
      <c r="W12303" s="1"/>
      <c r="X12303" s="1"/>
      <c r="Y12303" s="1"/>
      <c r="Z12303" s="1"/>
      <c r="AA12303" s="1"/>
      <c r="AB12303" s="1"/>
      <c r="AC12303" s="1"/>
      <c r="AD12303" s="1"/>
      <c r="AE12303" s="1"/>
      <c r="AF12303" s="1"/>
      <c r="AG12303" s="1"/>
      <c r="AH12303" s="1"/>
    </row>
    <row r="12304" ht="12.75" customHeight="1">
      <c r="A12304" s="17"/>
      <c r="B12304" s="1"/>
      <c r="C12304" s="1"/>
      <c r="D12304" s="150"/>
      <c r="E12304" s="150"/>
      <c r="F12304" s="75"/>
      <c r="G12304" s="67"/>
      <c r="H12304" s="68"/>
      <c r="I12304" s="76"/>
      <c r="J12304" s="67"/>
      <c r="K12304" s="1"/>
      <c r="L12304" s="77"/>
      <c r="M12304" s="79"/>
      <c r="N12304" s="1"/>
      <c r="O12304" s="1"/>
      <c r="P12304" s="1"/>
      <c r="Q12304" s="1"/>
      <c r="R12304" s="1"/>
      <c r="S12304" s="1"/>
      <c r="T12304" s="1"/>
      <c r="U12304" s="1"/>
      <c r="V12304" s="1"/>
      <c r="W12304" s="1"/>
      <c r="X12304" s="1"/>
      <c r="Y12304" s="1"/>
      <c r="Z12304" s="1"/>
      <c r="AA12304" s="1"/>
      <c r="AB12304" s="1"/>
      <c r="AC12304" s="1"/>
      <c r="AD12304" s="1"/>
      <c r="AE12304" s="1"/>
      <c r="AF12304" s="1"/>
      <c r="AG12304" s="1"/>
      <c r="AH12304" s="1"/>
    </row>
    <row r="12305" ht="12.75" customHeight="1">
      <c r="A12305" s="17"/>
      <c r="B12305" s="1"/>
      <c r="C12305" s="1"/>
      <c r="D12305" s="150"/>
      <c r="E12305" s="150"/>
      <c r="F12305" s="75"/>
      <c r="G12305" s="67"/>
      <c r="H12305" s="68"/>
      <c r="I12305" s="76"/>
      <c r="J12305" s="67"/>
      <c r="K12305" s="1"/>
      <c r="L12305" s="77"/>
      <c r="M12305" s="79"/>
      <c r="N12305" s="1"/>
      <c r="O12305" s="1"/>
      <c r="P12305" s="1"/>
      <c r="Q12305" s="1"/>
      <c r="R12305" s="1"/>
      <c r="S12305" s="1"/>
      <c r="T12305" s="1"/>
      <c r="U12305" s="1"/>
      <c r="V12305" s="1"/>
      <c r="W12305" s="1"/>
      <c r="X12305" s="1"/>
      <c r="Y12305" s="1"/>
      <c r="Z12305" s="1"/>
      <c r="AA12305" s="1"/>
      <c r="AB12305" s="1"/>
      <c r="AC12305" s="1"/>
      <c r="AD12305" s="1"/>
      <c r="AE12305" s="1"/>
      <c r="AF12305" s="1"/>
      <c r="AG12305" s="1"/>
      <c r="AH12305" s="1"/>
    </row>
    <row r="12306" ht="12.75" customHeight="1">
      <c r="A12306" s="17"/>
      <c r="B12306" s="1"/>
      <c r="C12306" s="1"/>
      <c r="D12306" s="150"/>
      <c r="E12306" s="150"/>
      <c r="F12306" s="75"/>
      <c r="G12306" s="67"/>
      <c r="H12306" s="68"/>
      <c r="I12306" s="76"/>
      <c r="J12306" s="67"/>
      <c r="K12306" s="1"/>
      <c r="L12306" s="77"/>
      <c r="M12306" s="79"/>
      <c r="N12306" s="1"/>
      <c r="O12306" s="1"/>
      <c r="P12306" s="1"/>
      <c r="Q12306" s="1"/>
      <c r="R12306" s="1"/>
      <c r="S12306" s="1"/>
      <c r="T12306" s="1"/>
      <c r="U12306" s="1"/>
      <c r="V12306" s="1"/>
      <c r="W12306" s="1"/>
      <c r="X12306" s="1"/>
      <c r="Y12306" s="1"/>
      <c r="Z12306" s="1"/>
      <c r="AA12306" s="1"/>
      <c r="AB12306" s="1"/>
      <c r="AC12306" s="1"/>
      <c r="AD12306" s="1"/>
      <c r="AE12306" s="1"/>
      <c r="AF12306" s="1"/>
      <c r="AG12306" s="1"/>
      <c r="AH12306" s="1"/>
    </row>
    <row r="12307" ht="12.75" customHeight="1">
      <c r="A12307" s="17"/>
      <c r="B12307" s="1"/>
      <c r="C12307" s="1"/>
      <c r="D12307" s="150"/>
      <c r="E12307" s="150"/>
      <c r="F12307" s="75"/>
      <c r="G12307" s="67"/>
      <c r="H12307" s="68"/>
      <c r="I12307" s="76"/>
      <c r="J12307" s="67"/>
      <c r="K12307" s="1"/>
      <c r="L12307" s="77"/>
      <c r="M12307" s="79"/>
      <c r="N12307" s="1"/>
      <c r="O12307" s="1"/>
      <c r="P12307" s="1"/>
      <c r="Q12307" s="1"/>
      <c r="R12307" s="1"/>
      <c r="S12307" s="1"/>
      <c r="T12307" s="1"/>
      <c r="U12307" s="1"/>
      <c r="V12307" s="1"/>
      <c r="W12307" s="1"/>
      <c r="X12307" s="1"/>
      <c r="Y12307" s="1"/>
      <c r="Z12307" s="1"/>
      <c r="AA12307" s="1"/>
      <c r="AB12307" s="1"/>
      <c r="AC12307" s="1"/>
      <c r="AD12307" s="1"/>
      <c r="AE12307" s="1"/>
      <c r="AF12307" s="1"/>
      <c r="AG12307" s="1"/>
      <c r="AH12307" s="1"/>
    </row>
    <row r="12308" ht="12.75" customHeight="1">
      <c r="A12308" s="17"/>
      <c r="B12308" s="1"/>
      <c r="C12308" s="1"/>
      <c r="D12308" s="150"/>
      <c r="E12308" s="150"/>
      <c r="F12308" s="75"/>
      <c r="G12308" s="67"/>
      <c r="H12308" s="68"/>
      <c r="I12308" s="76"/>
      <c r="J12308" s="67"/>
      <c r="K12308" s="1"/>
      <c r="L12308" s="77"/>
      <c r="M12308" s="79"/>
      <c r="N12308" s="1"/>
      <c r="O12308" s="1"/>
      <c r="P12308" s="1"/>
      <c r="Q12308" s="1"/>
      <c r="R12308" s="1"/>
      <c r="S12308" s="1"/>
      <c r="T12308" s="1"/>
      <c r="U12308" s="1"/>
      <c r="V12308" s="1"/>
      <c r="W12308" s="1"/>
      <c r="X12308" s="1"/>
      <c r="Y12308" s="1"/>
      <c r="Z12308" s="1"/>
      <c r="AA12308" s="1"/>
      <c r="AB12308" s="1"/>
      <c r="AC12308" s="1"/>
      <c r="AD12308" s="1"/>
      <c r="AE12308" s="1"/>
      <c r="AF12308" s="1"/>
      <c r="AG12308" s="1"/>
      <c r="AH12308" s="1"/>
    </row>
    <row r="12309" ht="12.75" customHeight="1">
      <c r="A12309" s="17"/>
      <c r="B12309" s="1"/>
      <c r="C12309" s="1"/>
      <c r="D12309" s="150"/>
      <c r="E12309" s="150"/>
      <c r="F12309" s="75"/>
      <c r="G12309" s="67"/>
      <c r="H12309" s="68"/>
      <c r="I12309" s="76"/>
      <c r="J12309" s="67"/>
      <c r="K12309" s="1"/>
      <c r="L12309" s="77"/>
      <c r="M12309" s="79"/>
      <c r="N12309" s="1"/>
      <c r="O12309" s="1"/>
      <c r="P12309" s="1"/>
      <c r="Q12309" s="1"/>
      <c r="R12309" s="1"/>
      <c r="S12309" s="1"/>
      <c r="T12309" s="1"/>
      <c r="U12309" s="1"/>
      <c r="V12309" s="1"/>
      <c r="W12309" s="1"/>
      <c r="X12309" s="1"/>
      <c r="Y12309" s="1"/>
      <c r="Z12309" s="1"/>
      <c r="AA12309" s="1"/>
      <c r="AB12309" s="1"/>
      <c r="AC12309" s="1"/>
      <c r="AD12309" s="1"/>
      <c r="AE12309" s="1"/>
      <c r="AF12309" s="1"/>
      <c r="AG12309" s="1"/>
      <c r="AH12309" s="1"/>
    </row>
    <row r="12310" ht="12.75" customHeight="1">
      <c r="A12310" s="17"/>
      <c r="B12310" s="1"/>
      <c r="C12310" s="1"/>
      <c r="D12310" s="150"/>
      <c r="E12310" s="150"/>
      <c r="F12310" s="75"/>
      <c r="G12310" s="67"/>
      <c r="H12310" s="68"/>
      <c r="I12310" s="76"/>
      <c r="J12310" s="67"/>
      <c r="K12310" s="1"/>
      <c r="L12310" s="77"/>
      <c r="M12310" s="79"/>
      <c r="N12310" s="1"/>
      <c r="O12310" s="1"/>
      <c r="P12310" s="1"/>
      <c r="Q12310" s="1"/>
      <c r="R12310" s="1"/>
      <c r="S12310" s="1"/>
      <c r="T12310" s="1"/>
      <c r="U12310" s="1"/>
      <c r="V12310" s="1"/>
      <c r="W12310" s="1"/>
      <c r="X12310" s="1"/>
      <c r="Y12310" s="1"/>
      <c r="Z12310" s="1"/>
      <c r="AA12310" s="1"/>
      <c r="AB12310" s="1"/>
      <c r="AC12310" s="1"/>
      <c r="AD12310" s="1"/>
      <c r="AE12310" s="1"/>
      <c r="AF12310" s="1"/>
      <c r="AG12310" s="1"/>
      <c r="AH12310" s="1"/>
    </row>
    <row r="12311" ht="12.75" customHeight="1">
      <c r="A12311" s="17"/>
      <c r="B12311" s="1"/>
      <c r="C12311" s="1"/>
      <c r="D12311" s="150"/>
      <c r="E12311" s="150"/>
      <c r="F12311" s="75"/>
      <c r="G12311" s="67"/>
      <c r="H12311" s="68"/>
      <c r="I12311" s="76"/>
      <c r="J12311" s="67"/>
      <c r="K12311" s="1"/>
      <c r="L12311" s="77"/>
      <c r="M12311" s="79"/>
      <c r="N12311" s="1"/>
      <c r="O12311" s="1"/>
      <c r="P12311" s="1"/>
      <c r="Q12311" s="1"/>
      <c r="R12311" s="1"/>
      <c r="S12311" s="1"/>
      <c r="T12311" s="1"/>
      <c r="U12311" s="1"/>
      <c r="V12311" s="1"/>
      <c r="W12311" s="1"/>
      <c r="X12311" s="1"/>
      <c r="Y12311" s="1"/>
      <c r="Z12311" s="1"/>
      <c r="AA12311" s="1"/>
      <c r="AB12311" s="1"/>
      <c r="AC12311" s="1"/>
      <c r="AD12311" s="1"/>
      <c r="AE12311" s="1"/>
      <c r="AF12311" s="1"/>
      <c r="AG12311" s="1"/>
      <c r="AH12311" s="1"/>
    </row>
    <row r="12312" ht="12.75" customHeight="1">
      <c r="A12312" s="17"/>
      <c r="B12312" s="1"/>
      <c r="C12312" s="1"/>
      <c r="D12312" s="150"/>
      <c r="E12312" s="150"/>
      <c r="F12312" s="75"/>
      <c r="G12312" s="67"/>
      <c r="H12312" s="68"/>
      <c r="I12312" s="76"/>
      <c r="J12312" s="67"/>
      <c r="K12312" s="1"/>
      <c r="L12312" s="77"/>
      <c r="M12312" s="79"/>
      <c r="N12312" s="1"/>
      <c r="O12312" s="1"/>
      <c r="P12312" s="1"/>
      <c r="Q12312" s="1"/>
      <c r="R12312" s="1"/>
      <c r="S12312" s="1"/>
      <c r="T12312" s="1"/>
      <c r="U12312" s="1"/>
      <c r="V12312" s="1"/>
      <c r="W12312" s="1"/>
      <c r="X12312" s="1"/>
      <c r="Y12312" s="1"/>
      <c r="Z12312" s="1"/>
      <c r="AA12312" s="1"/>
      <c r="AB12312" s="1"/>
      <c r="AC12312" s="1"/>
      <c r="AD12312" s="1"/>
      <c r="AE12312" s="1"/>
      <c r="AF12312" s="1"/>
      <c r="AG12312" s="1"/>
      <c r="AH12312" s="1"/>
    </row>
    <row r="12313" ht="12.75" customHeight="1">
      <c r="A12313" s="17"/>
      <c r="B12313" s="1"/>
      <c r="C12313" s="1"/>
      <c r="D12313" s="150"/>
      <c r="E12313" s="150"/>
      <c r="F12313" s="75"/>
      <c r="G12313" s="67"/>
      <c r="H12313" s="68"/>
      <c r="I12313" s="76"/>
      <c r="J12313" s="67"/>
      <c r="K12313" s="1"/>
      <c r="L12313" s="77"/>
      <c r="M12313" s="79"/>
      <c r="N12313" s="1"/>
      <c r="O12313" s="1"/>
      <c r="P12313" s="1"/>
      <c r="Q12313" s="1"/>
      <c r="R12313" s="1"/>
      <c r="S12313" s="1"/>
      <c r="T12313" s="1"/>
      <c r="U12313" s="1"/>
      <c r="V12313" s="1"/>
      <c r="W12313" s="1"/>
      <c r="X12313" s="1"/>
      <c r="Y12313" s="1"/>
      <c r="Z12313" s="1"/>
      <c r="AA12313" s="1"/>
      <c r="AB12313" s="1"/>
      <c r="AC12313" s="1"/>
      <c r="AD12313" s="1"/>
      <c r="AE12313" s="1"/>
      <c r="AF12313" s="1"/>
      <c r="AG12313" s="1"/>
      <c r="AH12313" s="1"/>
    </row>
    <row r="12314" ht="12.75" customHeight="1">
      <c r="A12314" s="17"/>
      <c r="B12314" s="1"/>
      <c r="C12314" s="1"/>
      <c r="D12314" s="150"/>
      <c r="E12314" s="150"/>
      <c r="F12314" s="75"/>
      <c r="G12314" s="67"/>
      <c r="H12314" s="68"/>
      <c r="I12314" s="76"/>
      <c r="J12314" s="67"/>
      <c r="K12314" s="1"/>
      <c r="L12314" s="77"/>
      <c r="M12314" s="79"/>
      <c r="N12314" s="1"/>
      <c r="O12314" s="1"/>
      <c r="P12314" s="1"/>
      <c r="Q12314" s="1"/>
      <c r="R12314" s="1"/>
      <c r="S12314" s="1"/>
      <c r="T12314" s="1"/>
      <c r="U12314" s="1"/>
      <c r="V12314" s="1"/>
      <c r="W12314" s="1"/>
      <c r="X12314" s="1"/>
      <c r="Y12314" s="1"/>
      <c r="Z12314" s="1"/>
      <c r="AA12314" s="1"/>
      <c r="AB12314" s="1"/>
      <c r="AC12314" s="1"/>
      <c r="AD12314" s="1"/>
      <c r="AE12314" s="1"/>
      <c r="AF12314" s="1"/>
      <c r="AG12314" s="1"/>
      <c r="AH12314" s="1"/>
    </row>
    <row r="12315" ht="12.75" customHeight="1">
      <c r="A12315" s="17"/>
      <c r="B12315" s="1"/>
      <c r="C12315" s="1"/>
      <c r="D12315" s="150"/>
      <c r="E12315" s="150"/>
      <c r="F12315" s="75"/>
      <c r="G12315" s="67"/>
      <c r="H12315" s="68"/>
      <c r="I12315" s="76"/>
      <c r="J12315" s="67"/>
      <c r="K12315" s="1"/>
      <c r="L12315" s="77"/>
      <c r="M12315" s="79"/>
      <c r="N12315" s="1"/>
      <c r="O12315" s="1"/>
      <c r="P12315" s="1"/>
      <c r="Q12315" s="1"/>
      <c r="R12315" s="1"/>
      <c r="S12315" s="1"/>
      <c r="T12315" s="1"/>
      <c r="U12315" s="1"/>
      <c r="V12315" s="1"/>
      <c r="W12315" s="1"/>
      <c r="X12315" s="1"/>
      <c r="Y12315" s="1"/>
      <c r="Z12315" s="1"/>
      <c r="AA12315" s="1"/>
      <c r="AB12315" s="1"/>
      <c r="AC12315" s="1"/>
      <c r="AD12315" s="1"/>
      <c r="AE12315" s="1"/>
      <c r="AF12315" s="1"/>
      <c r="AG12315" s="1"/>
      <c r="AH12315" s="1"/>
    </row>
    <row r="12316" ht="12.75" customHeight="1">
      <c r="A12316" s="17"/>
      <c r="B12316" s="1"/>
      <c r="C12316" s="1"/>
      <c r="D12316" s="150"/>
      <c r="E12316" s="150"/>
      <c r="F12316" s="75"/>
      <c r="G12316" s="67"/>
      <c r="H12316" s="68"/>
      <c r="I12316" s="76"/>
      <c r="J12316" s="67"/>
      <c r="K12316" s="1"/>
      <c r="L12316" s="77"/>
      <c r="M12316" s="79"/>
      <c r="N12316" s="1"/>
      <c r="O12316" s="1"/>
      <c r="P12316" s="1"/>
      <c r="Q12316" s="1"/>
      <c r="R12316" s="1"/>
      <c r="S12316" s="1"/>
      <c r="T12316" s="1"/>
      <c r="U12316" s="1"/>
      <c r="V12316" s="1"/>
      <c r="W12316" s="1"/>
      <c r="X12316" s="1"/>
      <c r="Y12316" s="1"/>
      <c r="Z12316" s="1"/>
      <c r="AA12316" s="1"/>
      <c r="AB12316" s="1"/>
      <c r="AC12316" s="1"/>
      <c r="AD12316" s="1"/>
      <c r="AE12316" s="1"/>
      <c r="AF12316" s="1"/>
      <c r="AG12316" s="1"/>
      <c r="AH12316" s="1"/>
    </row>
    <row r="12317" ht="12.75" customHeight="1">
      <c r="A12317" s="17"/>
      <c r="B12317" s="1"/>
      <c r="C12317" s="1"/>
      <c r="D12317" s="150"/>
      <c r="E12317" s="150"/>
      <c r="F12317" s="75"/>
      <c r="G12317" s="67"/>
      <c r="H12317" s="68"/>
      <c r="I12317" s="76"/>
      <c r="J12317" s="67"/>
      <c r="K12317" s="1"/>
      <c r="L12317" s="77"/>
      <c r="M12317" s="79"/>
      <c r="N12317" s="1"/>
      <c r="O12317" s="1"/>
      <c r="P12317" s="1"/>
      <c r="Q12317" s="1"/>
      <c r="R12317" s="1"/>
      <c r="S12317" s="1"/>
      <c r="T12317" s="1"/>
      <c r="U12317" s="1"/>
      <c r="V12317" s="1"/>
      <c r="W12317" s="1"/>
      <c r="X12317" s="1"/>
      <c r="Y12317" s="1"/>
      <c r="Z12317" s="1"/>
      <c r="AA12317" s="1"/>
      <c r="AB12317" s="1"/>
      <c r="AC12317" s="1"/>
      <c r="AD12317" s="1"/>
      <c r="AE12317" s="1"/>
      <c r="AF12317" s="1"/>
      <c r="AG12317" s="1"/>
      <c r="AH12317" s="1"/>
    </row>
    <row r="12318" ht="12.75" customHeight="1">
      <c r="A12318" s="17"/>
      <c r="B12318" s="1"/>
      <c r="C12318" s="1"/>
      <c r="D12318" s="150"/>
      <c r="E12318" s="150"/>
      <c r="F12318" s="75"/>
      <c r="G12318" s="67"/>
      <c r="H12318" s="68"/>
      <c r="I12318" s="76"/>
      <c r="J12318" s="67"/>
      <c r="K12318" s="1"/>
      <c r="L12318" s="77"/>
      <c r="M12318" s="79"/>
      <c r="N12318" s="1"/>
      <c r="O12318" s="1"/>
      <c r="P12318" s="1"/>
      <c r="Q12318" s="1"/>
      <c r="R12318" s="1"/>
      <c r="S12318" s="1"/>
      <c r="T12318" s="1"/>
      <c r="U12318" s="1"/>
      <c r="V12318" s="1"/>
      <c r="W12318" s="1"/>
      <c r="X12318" s="1"/>
      <c r="Y12318" s="1"/>
      <c r="Z12318" s="1"/>
      <c r="AA12318" s="1"/>
      <c r="AB12318" s="1"/>
      <c r="AC12318" s="1"/>
      <c r="AD12318" s="1"/>
      <c r="AE12318" s="1"/>
      <c r="AF12318" s="1"/>
      <c r="AG12318" s="1"/>
      <c r="AH12318" s="1"/>
    </row>
    <row r="12319" ht="12.75" customHeight="1">
      <c r="A12319" s="17"/>
      <c r="B12319" s="1"/>
      <c r="C12319" s="1"/>
      <c r="D12319" s="150"/>
      <c r="E12319" s="150"/>
      <c r="F12319" s="75"/>
      <c r="G12319" s="67"/>
      <c r="H12319" s="68"/>
      <c r="I12319" s="76"/>
      <c r="J12319" s="67"/>
      <c r="K12319" s="1"/>
      <c r="L12319" s="77"/>
      <c r="M12319" s="79"/>
      <c r="N12319" s="1"/>
      <c r="O12319" s="1"/>
      <c r="P12319" s="1"/>
      <c r="Q12319" s="1"/>
      <c r="R12319" s="1"/>
      <c r="S12319" s="1"/>
      <c r="T12319" s="1"/>
      <c r="U12319" s="1"/>
      <c r="V12319" s="1"/>
      <c r="W12319" s="1"/>
      <c r="X12319" s="1"/>
      <c r="Y12319" s="1"/>
      <c r="Z12319" s="1"/>
      <c r="AA12319" s="1"/>
      <c r="AB12319" s="1"/>
      <c r="AC12319" s="1"/>
      <c r="AD12319" s="1"/>
      <c r="AE12319" s="1"/>
      <c r="AF12319" s="1"/>
      <c r="AG12319" s="1"/>
      <c r="AH12319" s="1"/>
    </row>
    <row r="12320" ht="12.75" customHeight="1">
      <c r="A12320" s="17"/>
      <c r="B12320" s="1"/>
      <c r="C12320" s="1"/>
      <c r="D12320" s="150"/>
      <c r="E12320" s="150"/>
      <c r="F12320" s="75"/>
      <c r="G12320" s="67"/>
      <c r="H12320" s="68"/>
      <c r="I12320" s="76"/>
      <c r="J12320" s="67"/>
      <c r="K12320" s="1"/>
      <c r="L12320" s="77"/>
      <c r="M12320" s="79"/>
      <c r="N12320" s="1"/>
      <c r="O12320" s="1"/>
      <c r="P12320" s="1"/>
      <c r="Q12320" s="1"/>
      <c r="R12320" s="1"/>
      <c r="S12320" s="1"/>
      <c r="T12320" s="1"/>
      <c r="U12320" s="1"/>
      <c r="V12320" s="1"/>
      <c r="W12320" s="1"/>
      <c r="X12320" s="1"/>
      <c r="Y12320" s="1"/>
      <c r="Z12320" s="1"/>
      <c r="AA12320" s="1"/>
      <c r="AB12320" s="1"/>
      <c r="AC12320" s="1"/>
      <c r="AD12320" s="1"/>
      <c r="AE12320" s="1"/>
      <c r="AF12320" s="1"/>
      <c r="AG12320" s="1"/>
      <c r="AH12320" s="1"/>
    </row>
    <row r="12321" ht="12.75" customHeight="1">
      <c r="A12321" s="17"/>
      <c r="B12321" s="1"/>
      <c r="C12321" s="1"/>
      <c r="D12321" s="150"/>
      <c r="E12321" s="150"/>
      <c r="F12321" s="75"/>
      <c r="G12321" s="67"/>
      <c r="H12321" s="68"/>
      <c r="I12321" s="76"/>
      <c r="J12321" s="67"/>
      <c r="K12321" s="1"/>
      <c r="L12321" s="77"/>
      <c r="M12321" s="79"/>
      <c r="N12321" s="1"/>
      <c r="O12321" s="1"/>
      <c r="P12321" s="1"/>
      <c r="Q12321" s="1"/>
      <c r="R12321" s="1"/>
      <c r="S12321" s="1"/>
      <c r="T12321" s="1"/>
      <c r="U12321" s="1"/>
      <c r="V12321" s="1"/>
      <c r="W12321" s="1"/>
      <c r="X12321" s="1"/>
      <c r="Y12321" s="1"/>
      <c r="Z12321" s="1"/>
      <c r="AA12321" s="1"/>
      <c r="AB12321" s="1"/>
      <c r="AC12321" s="1"/>
      <c r="AD12321" s="1"/>
      <c r="AE12321" s="1"/>
      <c r="AF12321" s="1"/>
      <c r="AG12321" s="1"/>
      <c r="AH12321" s="1"/>
    </row>
    <row r="12322" ht="12.75" customHeight="1">
      <c r="A12322" s="17"/>
      <c r="B12322" s="1"/>
      <c r="C12322" s="1"/>
      <c r="D12322" s="150"/>
      <c r="E12322" s="150"/>
      <c r="F12322" s="75"/>
      <c r="G12322" s="67"/>
      <c r="H12322" s="68"/>
      <c r="I12322" s="76"/>
      <c r="J12322" s="67"/>
      <c r="K12322" s="1"/>
      <c r="L12322" s="77"/>
      <c r="M12322" s="79"/>
      <c r="N12322" s="1"/>
      <c r="O12322" s="1"/>
      <c r="P12322" s="1"/>
      <c r="Q12322" s="1"/>
      <c r="R12322" s="1"/>
      <c r="S12322" s="1"/>
      <c r="T12322" s="1"/>
      <c r="U12322" s="1"/>
      <c r="V12322" s="1"/>
      <c r="W12322" s="1"/>
      <c r="X12322" s="1"/>
      <c r="Y12322" s="1"/>
      <c r="Z12322" s="1"/>
      <c r="AA12322" s="1"/>
      <c r="AB12322" s="1"/>
      <c r="AC12322" s="1"/>
      <c r="AD12322" s="1"/>
      <c r="AE12322" s="1"/>
      <c r="AF12322" s="1"/>
      <c r="AG12322" s="1"/>
      <c r="AH12322" s="1"/>
    </row>
    <row r="12323" ht="12.75" customHeight="1">
      <c r="A12323" s="17"/>
      <c r="B12323" s="1"/>
      <c r="C12323" s="1"/>
      <c r="D12323" s="150"/>
      <c r="E12323" s="150"/>
      <c r="F12323" s="75"/>
      <c r="G12323" s="67"/>
      <c r="H12323" s="68"/>
      <c r="I12323" s="76"/>
      <c r="J12323" s="67"/>
      <c r="K12323" s="1"/>
      <c r="L12323" s="77"/>
      <c r="M12323" s="79"/>
      <c r="N12323" s="1"/>
      <c r="O12323" s="1"/>
      <c r="P12323" s="1"/>
      <c r="Q12323" s="1"/>
      <c r="R12323" s="1"/>
      <c r="S12323" s="1"/>
      <c r="T12323" s="1"/>
      <c r="U12323" s="1"/>
      <c r="V12323" s="1"/>
      <c r="W12323" s="1"/>
      <c r="X12323" s="1"/>
      <c r="Y12323" s="1"/>
      <c r="Z12323" s="1"/>
      <c r="AA12323" s="1"/>
      <c r="AB12323" s="1"/>
      <c r="AC12323" s="1"/>
      <c r="AD12323" s="1"/>
      <c r="AE12323" s="1"/>
      <c r="AF12323" s="1"/>
      <c r="AG12323" s="1"/>
      <c r="AH12323" s="1"/>
    </row>
    <row r="12324" ht="12.75" customHeight="1">
      <c r="A12324" s="17"/>
      <c r="B12324" s="1"/>
      <c r="C12324" s="1"/>
      <c r="D12324" s="150"/>
      <c r="E12324" s="150"/>
      <c r="F12324" s="75"/>
      <c r="G12324" s="67"/>
      <c r="H12324" s="68"/>
      <c r="I12324" s="76"/>
      <c r="J12324" s="67"/>
      <c r="K12324" s="1"/>
      <c r="L12324" s="77"/>
      <c r="M12324" s="79"/>
      <c r="N12324" s="1"/>
      <c r="O12324" s="1"/>
      <c r="P12324" s="1"/>
      <c r="Q12324" s="1"/>
      <c r="R12324" s="1"/>
      <c r="S12324" s="1"/>
      <c r="T12324" s="1"/>
      <c r="U12324" s="1"/>
      <c r="V12324" s="1"/>
      <c r="W12324" s="1"/>
      <c r="X12324" s="1"/>
      <c r="Y12324" s="1"/>
      <c r="Z12324" s="1"/>
      <c r="AA12324" s="1"/>
      <c r="AB12324" s="1"/>
      <c r="AC12324" s="1"/>
      <c r="AD12324" s="1"/>
      <c r="AE12324" s="1"/>
      <c r="AF12324" s="1"/>
      <c r="AG12324" s="1"/>
      <c r="AH12324" s="1"/>
    </row>
    <row r="12325" ht="12.75" customHeight="1">
      <c r="A12325" s="17"/>
      <c r="B12325" s="1"/>
      <c r="C12325" s="1"/>
      <c r="D12325" s="150"/>
      <c r="E12325" s="150"/>
      <c r="F12325" s="75"/>
      <c r="G12325" s="67"/>
      <c r="H12325" s="68"/>
      <c r="I12325" s="76"/>
      <c r="J12325" s="67"/>
      <c r="K12325" s="1"/>
      <c r="L12325" s="77"/>
      <c r="M12325" s="79"/>
      <c r="N12325" s="1"/>
      <c r="O12325" s="1"/>
      <c r="P12325" s="1"/>
      <c r="Q12325" s="1"/>
      <c r="R12325" s="1"/>
      <c r="S12325" s="1"/>
      <c r="T12325" s="1"/>
      <c r="U12325" s="1"/>
      <c r="V12325" s="1"/>
      <c r="W12325" s="1"/>
      <c r="X12325" s="1"/>
      <c r="Y12325" s="1"/>
      <c r="Z12325" s="1"/>
      <c r="AA12325" s="1"/>
      <c r="AB12325" s="1"/>
      <c r="AC12325" s="1"/>
      <c r="AD12325" s="1"/>
      <c r="AE12325" s="1"/>
      <c r="AF12325" s="1"/>
      <c r="AG12325" s="1"/>
      <c r="AH12325" s="1"/>
    </row>
    <row r="12326" ht="12.75" customHeight="1">
      <c r="A12326" s="17"/>
      <c r="B12326" s="1"/>
      <c r="C12326" s="1"/>
      <c r="D12326" s="150"/>
      <c r="E12326" s="150"/>
      <c r="F12326" s="75"/>
      <c r="G12326" s="67"/>
      <c r="H12326" s="68"/>
      <c r="I12326" s="76"/>
      <c r="J12326" s="67"/>
      <c r="K12326" s="1"/>
      <c r="L12326" s="77"/>
      <c r="M12326" s="79"/>
      <c r="N12326" s="1"/>
      <c r="O12326" s="1"/>
      <c r="P12326" s="1"/>
      <c r="Q12326" s="1"/>
      <c r="R12326" s="1"/>
      <c r="S12326" s="1"/>
      <c r="T12326" s="1"/>
      <c r="U12326" s="1"/>
      <c r="V12326" s="1"/>
      <c r="W12326" s="1"/>
      <c r="X12326" s="1"/>
      <c r="Y12326" s="1"/>
      <c r="Z12326" s="1"/>
      <c r="AA12326" s="1"/>
      <c r="AB12326" s="1"/>
      <c r="AC12326" s="1"/>
      <c r="AD12326" s="1"/>
      <c r="AE12326" s="1"/>
      <c r="AF12326" s="1"/>
      <c r="AG12326" s="1"/>
      <c r="AH12326" s="1"/>
    </row>
    <row r="12327" ht="12.75" customHeight="1">
      <c r="A12327" s="17"/>
      <c r="B12327" s="1"/>
      <c r="C12327" s="1"/>
      <c r="D12327" s="150"/>
      <c r="E12327" s="150"/>
      <c r="F12327" s="75"/>
      <c r="G12327" s="67"/>
      <c r="H12327" s="68"/>
      <c r="I12327" s="76"/>
      <c r="J12327" s="67"/>
      <c r="K12327" s="1"/>
      <c r="L12327" s="77"/>
      <c r="M12327" s="79"/>
      <c r="N12327" s="1"/>
      <c r="O12327" s="1"/>
      <c r="P12327" s="1"/>
      <c r="Q12327" s="1"/>
      <c r="R12327" s="1"/>
      <c r="S12327" s="1"/>
      <c r="T12327" s="1"/>
      <c r="U12327" s="1"/>
      <c r="V12327" s="1"/>
      <c r="W12327" s="1"/>
      <c r="X12327" s="1"/>
      <c r="Y12327" s="1"/>
      <c r="Z12327" s="1"/>
      <c r="AA12327" s="1"/>
      <c r="AB12327" s="1"/>
      <c r="AC12327" s="1"/>
      <c r="AD12327" s="1"/>
      <c r="AE12327" s="1"/>
      <c r="AF12327" s="1"/>
      <c r="AG12327" s="1"/>
      <c r="AH12327" s="1"/>
    </row>
    <row r="12328" ht="12.75" customHeight="1">
      <c r="A12328" s="17"/>
      <c r="B12328" s="1"/>
      <c r="C12328" s="1"/>
      <c r="D12328" s="150"/>
      <c r="E12328" s="150"/>
      <c r="F12328" s="75"/>
      <c r="G12328" s="67"/>
      <c r="H12328" s="68"/>
      <c r="I12328" s="76"/>
      <c r="J12328" s="67"/>
      <c r="K12328" s="1"/>
      <c r="L12328" s="77"/>
      <c r="M12328" s="79"/>
      <c r="N12328" s="1"/>
      <c r="O12328" s="1"/>
      <c r="P12328" s="1"/>
      <c r="Q12328" s="1"/>
      <c r="R12328" s="1"/>
      <c r="S12328" s="1"/>
      <c r="T12328" s="1"/>
      <c r="U12328" s="1"/>
      <c r="V12328" s="1"/>
      <c r="W12328" s="1"/>
      <c r="X12328" s="1"/>
      <c r="Y12328" s="1"/>
      <c r="Z12328" s="1"/>
      <c r="AA12328" s="1"/>
      <c r="AB12328" s="1"/>
      <c r="AC12328" s="1"/>
      <c r="AD12328" s="1"/>
      <c r="AE12328" s="1"/>
      <c r="AF12328" s="1"/>
      <c r="AG12328" s="1"/>
      <c r="AH12328" s="1"/>
    </row>
    <row r="12329" ht="12.75" customHeight="1">
      <c r="A12329" s="17"/>
      <c r="B12329" s="1"/>
      <c r="C12329" s="1"/>
      <c r="D12329" s="150"/>
      <c r="E12329" s="150"/>
      <c r="F12329" s="75"/>
      <c r="G12329" s="67"/>
      <c r="H12329" s="68"/>
      <c r="I12329" s="76"/>
      <c r="J12329" s="67"/>
      <c r="K12329" s="1"/>
      <c r="L12329" s="77"/>
      <c r="M12329" s="79"/>
      <c r="N12329" s="1"/>
      <c r="O12329" s="1"/>
      <c r="P12329" s="1"/>
      <c r="Q12329" s="1"/>
      <c r="R12329" s="1"/>
      <c r="S12329" s="1"/>
      <c r="T12329" s="1"/>
      <c r="U12329" s="1"/>
      <c r="V12329" s="1"/>
      <c r="W12329" s="1"/>
      <c r="X12329" s="1"/>
      <c r="Y12329" s="1"/>
      <c r="Z12329" s="1"/>
      <c r="AA12329" s="1"/>
      <c r="AB12329" s="1"/>
      <c r="AC12329" s="1"/>
      <c r="AD12329" s="1"/>
      <c r="AE12329" s="1"/>
      <c r="AF12329" s="1"/>
      <c r="AG12329" s="1"/>
      <c r="AH12329" s="1"/>
    </row>
    <row r="12330" ht="12.75" customHeight="1">
      <c r="A12330" s="17"/>
      <c r="B12330" s="1"/>
      <c r="C12330" s="1"/>
      <c r="D12330" s="150"/>
      <c r="E12330" s="150"/>
      <c r="F12330" s="75"/>
      <c r="G12330" s="67"/>
      <c r="H12330" s="68"/>
      <c r="I12330" s="76"/>
      <c r="J12330" s="67"/>
      <c r="K12330" s="1"/>
      <c r="L12330" s="77"/>
      <c r="M12330" s="79"/>
      <c r="N12330" s="1"/>
      <c r="O12330" s="1"/>
      <c r="P12330" s="1"/>
      <c r="Q12330" s="1"/>
      <c r="R12330" s="1"/>
      <c r="S12330" s="1"/>
      <c r="T12330" s="1"/>
      <c r="U12330" s="1"/>
      <c r="V12330" s="1"/>
      <c r="W12330" s="1"/>
      <c r="X12330" s="1"/>
      <c r="Y12330" s="1"/>
      <c r="Z12330" s="1"/>
      <c r="AA12330" s="1"/>
      <c r="AB12330" s="1"/>
      <c r="AC12330" s="1"/>
      <c r="AD12330" s="1"/>
      <c r="AE12330" s="1"/>
      <c r="AF12330" s="1"/>
      <c r="AG12330" s="1"/>
      <c r="AH12330" s="1"/>
    </row>
    <row r="12331" ht="12.75" customHeight="1">
      <c r="A12331" s="17"/>
      <c r="B12331" s="1"/>
      <c r="C12331" s="1"/>
      <c r="D12331" s="150"/>
      <c r="E12331" s="150"/>
      <c r="F12331" s="75"/>
      <c r="G12331" s="67"/>
      <c r="H12331" s="68"/>
      <c r="I12331" s="76"/>
      <c r="J12331" s="67"/>
      <c r="K12331" s="1"/>
      <c r="L12331" s="77"/>
      <c r="M12331" s="79"/>
      <c r="N12331" s="1"/>
      <c r="O12331" s="1"/>
      <c r="P12331" s="1"/>
      <c r="Q12331" s="1"/>
      <c r="R12331" s="1"/>
      <c r="S12331" s="1"/>
      <c r="T12331" s="1"/>
      <c r="U12331" s="1"/>
      <c r="V12331" s="1"/>
      <c r="W12331" s="1"/>
      <c r="X12331" s="1"/>
      <c r="Y12331" s="1"/>
      <c r="Z12331" s="1"/>
      <c r="AA12331" s="1"/>
      <c r="AB12331" s="1"/>
      <c r="AC12331" s="1"/>
      <c r="AD12331" s="1"/>
      <c r="AE12331" s="1"/>
      <c r="AF12331" s="1"/>
      <c r="AG12331" s="1"/>
      <c r="AH12331" s="1"/>
    </row>
    <row r="12332" ht="12.75" customHeight="1">
      <c r="A12332" s="17"/>
      <c r="B12332" s="1"/>
      <c r="C12332" s="1"/>
      <c r="D12332" s="150"/>
      <c r="E12332" s="150"/>
      <c r="F12332" s="75"/>
      <c r="G12332" s="67"/>
      <c r="H12332" s="68"/>
      <c r="I12332" s="76"/>
      <c r="J12332" s="67"/>
      <c r="K12332" s="1"/>
      <c r="L12332" s="77"/>
      <c r="M12332" s="79"/>
      <c r="N12332" s="1"/>
      <c r="O12332" s="1"/>
      <c r="P12332" s="1"/>
      <c r="Q12332" s="1"/>
      <c r="R12332" s="1"/>
      <c r="S12332" s="1"/>
      <c r="T12332" s="1"/>
      <c r="U12332" s="1"/>
      <c r="V12332" s="1"/>
      <c r="W12332" s="1"/>
      <c r="X12332" s="1"/>
      <c r="Y12332" s="1"/>
      <c r="Z12332" s="1"/>
      <c r="AA12332" s="1"/>
      <c r="AB12332" s="1"/>
      <c r="AC12332" s="1"/>
      <c r="AD12332" s="1"/>
      <c r="AE12332" s="1"/>
      <c r="AF12332" s="1"/>
      <c r="AG12332" s="1"/>
      <c r="AH12332" s="1"/>
    </row>
    <row r="12333" ht="12.75" customHeight="1">
      <c r="A12333" s="17"/>
      <c r="B12333" s="1"/>
      <c r="C12333" s="1"/>
      <c r="D12333" s="150"/>
      <c r="E12333" s="150"/>
      <c r="F12333" s="75"/>
      <c r="G12333" s="67"/>
      <c r="H12333" s="68"/>
      <c r="I12333" s="76"/>
      <c r="J12333" s="67"/>
      <c r="K12333" s="1"/>
      <c r="L12333" s="77"/>
      <c r="M12333" s="79"/>
      <c r="N12333" s="1"/>
      <c r="O12333" s="1"/>
      <c r="P12333" s="1"/>
      <c r="Q12333" s="1"/>
      <c r="R12333" s="1"/>
      <c r="S12333" s="1"/>
      <c r="T12333" s="1"/>
      <c r="U12333" s="1"/>
      <c r="V12333" s="1"/>
      <c r="W12333" s="1"/>
      <c r="X12333" s="1"/>
      <c r="Y12333" s="1"/>
      <c r="Z12333" s="1"/>
      <c r="AA12333" s="1"/>
      <c r="AB12333" s="1"/>
      <c r="AC12333" s="1"/>
      <c r="AD12333" s="1"/>
      <c r="AE12333" s="1"/>
      <c r="AF12333" s="1"/>
      <c r="AG12333" s="1"/>
      <c r="AH12333" s="1"/>
    </row>
    <row r="12334" ht="12.75" customHeight="1">
      <c r="A12334" s="17"/>
      <c r="B12334" s="1"/>
      <c r="C12334" s="1"/>
      <c r="D12334" s="150"/>
      <c r="E12334" s="150"/>
      <c r="F12334" s="75"/>
      <c r="G12334" s="67"/>
      <c r="H12334" s="68"/>
      <c r="I12334" s="76"/>
      <c r="J12334" s="67"/>
      <c r="K12334" s="1"/>
      <c r="L12334" s="77"/>
      <c r="M12334" s="79"/>
      <c r="N12334" s="1"/>
      <c r="O12334" s="1"/>
      <c r="P12334" s="1"/>
      <c r="Q12334" s="1"/>
      <c r="R12334" s="1"/>
      <c r="S12334" s="1"/>
      <c r="T12334" s="1"/>
      <c r="U12334" s="1"/>
      <c r="V12334" s="1"/>
      <c r="W12334" s="1"/>
      <c r="X12334" s="1"/>
      <c r="Y12334" s="1"/>
      <c r="Z12334" s="1"/>
      <c r="AA12334" s="1"/>
      <c r="AB12334" s="1"/>
      <c r="AC12334" s="1"/>
      <c r="AD12334" s="1"/>
      <c r="AE12334" s="1"/>
      <c r="AF12334" s="1"/>
      <c r="AG12334" s="1"/>
      <c r="AH12334" s="1"/>
    </row>
    <row r="12335" ht="12.75" customHeight="1">
      <c r="A12335" s="17"/>
      <c r="B12335" s="1"/>
      <c r="C12335" s="1"/>
      <c r="D12335" s="150"/>
      <c r="E12335" s="150"/>
      <c r="F12335" s="75"/>
      <c r="G12335" s="67"/>
      <c r="H12335" s="68"/>
      <c r="I12335" s="76"/>
      <c r="J12335" s="67"/>
      <c r="K12335" s="1"/>
      <c r="L12335" s="77"/>
      <c r="M12335" s="79"/>
      <c r="N12335" s="1"/>
      <c r="O12335" s="1"/>
      <c r="P12335" s="1"/>
      <c r="Q12335" s="1"/>
      <c r="R12335" s="1"/>
      <c r="S12335" s="1"/>
      <c r="T12335" s="1"/>
      <c r="U12335" s="1"/>
      <c r="V12335" s="1"/>
      <c r="W12335" s="1"/>
      <c r="X12335" s="1"/>
      <c r="Y12335" s="1"/>
      <c r="Z12335" s="1"/>
      <c r="AA12335" s="1"/>
      <c r="AB12335" s="1"/>
      <c r="AC12335" s="1"/>
      <c r="AD12335" s="1"/>
      <c r="AE12335" s="1"/>
      <c r="AF12335" s="1"/>
      <c r="AG12335" s="1"/>
      <c r="AH12335" s="1"/>
    </row>
    <row r="12336" ht="12.75" customHeight="1">
      <c r="A12336" s="17"/>
      <c r="B12336" s="1"/>
      <c r="C12336" s="1"/>
      <c r="D12336" s="150"/>
      <c r="E12336" s="150"/>
      <c r="F12336" s="75"/>
      <c r="G12336" s="67"/>
      <c r="H12336" s="68"/>
      <c r="I12336" s="76"/>
      <c r="J12336" s="67"/>
      <c r="K12336" s="1"/>
      <c r="L12336" s="77"/>
      <c r="M12336" s="79"/>
      <c r="N12336" s="1"/>
      <c r="O12336" s="1"/>
      <c r="P12336" s="1"/>
      <c r="Q12336" s="1"/>
      <c r="R12336" s="1"/>
      <c r="S12336" s="1"/>
      <c r="T12336" s="1"/>
      <c r="U12336" s="1"/>
      <c r="V12336" s="1"/>
      <c r="W12336" s="1"/>
      <c r="X12336" s="1"/>
      <c r="Y12336" s="1"/>
      <c r="Z12336" s="1"/>
      <c r="AA12336" s="1"/>
      <c r="AB12336" s="1"/>
      <c r="AC12336" s="1"/>
      <c r="AD12336" s="1"/>
      <c r="AE12336" s="1"/>
      <c r="AF12336" s="1"/>
      <c r="AG12336" s="1"/>
      <c r="AH12336" s="1"/>
    </row>
    <row r="12337" ht="12.75" customHeight="1">
      <c r="A12337" s="17"/>
      <c r="B12337" s="1"/>
      <c r="C12337" s="1"/>
      <c r="D12337" s="150"/>
      <c r="E12337" s="150"/>
      <c r="F12337" s="75"/>
      <c r="G12337" s="67"/>
      <c r="H12337" s="68"/>
      <c r="I12337" s="76"/>
      <c r="J12337" s="67"/>
      <c r="K12337" s="1"/>
      <c r="L12337" s="77"/>
      <c r="M12337" s="79"/>
      <c r="N12337" s="1"/>
      <c r="O12337" s="1"/>
      <c r="P12337" s="1"/>
      <c r="Q12337" s="1"/>
      <c r="R12337" s="1"/>
      <c r="S12337" s="1"/>
      <c r="T12337" s="1"/>
      <c r="U12337" s="1"/>
      <c r="V12337" s="1"/>
      <c r="W12337" s="1"/>
      <c r="X12337" s="1"/>
      <c r="Y12337" s="1"/>
      <c r="Z12337" s="1"/>
      <c r="AA12337" s="1"/>
      <c r="AB12337" s="1"/>
      <c r="AC12337" s="1"/>
      <c r="AD12337" s="1"/>
      <c r="AE12337" s="1"/>
      <c r="AF12337" s="1"/>
      <c r="AG12337" s="1"/>
      <c r="AH12337" s="1"/>
    </row>
    <row r="12338" ht="12.75" customHeight="1">
      <c r="A12338" s="17"/>
      <c r="B12338" s="1"/>
      <c r="C12338" s="1"/>
      <c r="D12338" s="150"/>
      <c r="E12338" s="150"/>
      <c r="F12338" s="75"/>
      <c r="G12338" s="67"/>
      <c r="H12338" s="68"/>
      <c r="I12338" s="76"/>
      <c r="J12338" s="67"/>
      <c r="K12338" s="1"/>
      <c r="L12338" s="77"/>
      <c r="M12338" s="79"/>
      <c r="N12338" s="1"/>
      <c r="O12338" s="1"/>
      <c r="P12338" s="1"/>
      <c r="Q12338" s="1"/>
      <c r="R12338" s="1"/>
      <c r="S12338" s="1"/>
      <c r="T12338" s="1"/>
      <c r="U12338" s="1"/>
      <c r="V12338" s="1"/>
      <c r="W12338" s="1"/>
      <c r="X12338" s="1"/>
      <c r="Y12338" s="1"/>
      <c r="Z12338" s="1"/>
      <c r="AA12338" s="1"/>
      <c r="AB12338" s="1"/>
      <c r="AC12338" s="1"/>
      <c r="AD12338" s="1"/>
      <c r="AE12338" s="1"/>
      <c r="AF12338" s="1"/>
      <c r="AG12338" s="1"/>
      <c r="AH12338" s="1"/>
    </row>
    <row r="12339" ht="12.75" customHeight="1">
      <c r="A12339" s="17"/>
      <c r="B12339" s="1"/>
      <c r="C12339" s="1"/>
      <c r="D12339" s="150"/>
      <c r="E12339" s="150"/>
      <c r="F12339" s="75"/>
      <c r="G12339" s="67"/>
      <c r="H12339" s="68"/>
      <c r="I12339" s="76"/>
      <c r="J12339" s="67"/>
      <c r="K12339" s="1"/>
      <c r="L12339" s="77"/>
      <c r="M12339" s="79"/>
      <c r="N12339" s="1"/>
      <c r="O12339" s="1"/>
      <c r="P12339" s="1"/>
      <c r="Q12339" s="1"/>
      <c r="R12339" s="1"/>
      <c r="S12339" s="1"/>
      <c r="T12339" s="1"/>
      <c r="U12339" s="1"/>
      <c r="V12339" s="1"/>
      <c r="W12339" s="1"/>
      <c r="X12339" s="1"/>
      <c r="Y12339" s="1"/>
      <c r="Z12339" s="1"/>
      <c r="AA12339" s="1"/>
      <c r="AB12339" s="1"/>
      <c r="AC12339" s="1"/>
      <c r="AD12339" s="1"/>
      <c r="AE12339" s="1"/>
      <c r="AF12339" s="1"/>
      <c r="AG12339" s="1"/>
      <c r="AH12339" s="1"/>
    </row>
    <row r="12340" ht="12.75" customHeight="1">
      <c r="A12340" s="17"/>
      <c r="B12340" s="1"/>
      <c r="C12340" s="1"/>
      <c r="D12340" s="150"/>
      <c r="E12340" s="150"/>
      <c r="F12340" s="75"/>
      <c r="G12340" s="67"/>
      <c r="H12340" s="68"/>
      <c r="I12340" s="76"/>
      <c r="J12340" s="67"/>
      <c r="K12340" s="1"/>
      <c r="L12340" s="77"/>
      <c r="M12340" s="79"/>
      <c r="N12340" s="1"/>
      <c r="O12340" s="1"/>
      <c r="P12340" s="1"/>
      <c r="Q12340" s="1"/>
      <c r="R12340" s="1"/>
      <c r="S12340" s="1"/>
      <c r="T12340" s="1"/>
      <c r="U12340" s="1"/>
      <c r="V12340" s="1"/>
      <c r="W12340" s="1"/>
      <c r="X12340" s="1"/>
      <c r="Y12340" s="1"/>
      <c r="Z12340" s="1"/>
      <c r="AA12340" s="1"/>
      <c r="AB12340" s="1"/>
      <c r="AC12340" s="1"/>
      <c r="AD12340" s="1"/>
      <c r="AE12340" s="1"/>
      <c r="AF12340" s="1"/>
      <c r="AG12340" s="1"/>
      <c r="AH12340" s="1"/>
    </row>
    <row r="12341" ht="12.75" customHeight="1">
      <c r="A12341" s="17"/>
      <c r="B12341" s="1"/>
      <c r="C12341" s="1"/>
      <c r="D12341" s="150"/>
      <c r="E12341" s="150"/>
      <c r="F12341" s="75"/>
      <c r="G12341" s="67"/>
      <c r="H12341" s="68"/>
      <c r="I12341" s="76"/>
      <c r="J12341" s="67"/>
      <c r="K12341" s="1"/>
      <c r="L12341" s="77"/>
      <c r="M12341" s="79"/>
      <c r="N12341" s="1"/>
      <c r="O12341" s="1"/>
      <c r="P12341" s="1"/>
      <c r="Q12341" s="1"/>
      <c r="R12341" s="1"/>
      <c r="S12341" s="1"/>
      <c r="T12341" s="1"/>
      <c r="U12341" s="1"/>
      <c r="V12341" s="1"/>
      <c r="W12341" s="1"/>
      <c r="X12341" s="1"/>
      <c r="Y12341" s="1"/>
      <c r="Z12341" s="1"/>
      <c r="AA12341" s="1"/>
      <c r="AB12341" s="1"/>
      <c r="AC12341" s="1"/>
      <c r="AD12341" s="1"/>
      <c r="AE12341" s="1"/>
      <c r="AF12341" s="1"/>
      <c r="AG12341" s="1"/>
      <c r="AH12341" s="1"/>
    </row>
    <row r="12342" ht="12.75" customHeight="1">
      <c r="A12342" s="17"/>
      <c r="B12342" s="1"/>
      <c r="C12342" s="1"/>
      <c r="D12342" s="150"/>
      <c r="E12342" s="150"/>
      <c r="F12342" s="75"/>
      <c r="G12342" s="67"/>
      <c r="H12342" s="68"/>
      <c r="I12342" s="76"/>
      <c r="J12342" s="67"/>
      <c r="K12342" s="1"/>
      <c r="L12342" s="77"/>
      <c r="M12342" s="79"/>
      <c r="N12342" s="1"/>
      <c r="O12342" s="1"/>
      <c r="P12342" s="1"/>
      <c r="Q12342" s="1"/>
      <c r="R12342" s="1"/>
      <c r="S12342" s="1"/>
      <c r="T12342" s="1"/>
      <c r="U12342" s="1"/>
      <c r="V12342" s="1"/>
      <c r="W12342" s="1"/>
      <c r="X12342" s="1"/>
      <c r="Y12342" s="1"/>
      <c r="Z12342" s="1"/>
      <c r="AA12342" s="1"/>
      <c r="AB12342" s="1"/>
      <c r="AC12342" s="1"/>
      <c r="AD12342" s="1"/>
      <c r="AE12342" s="1"/>
      <c r="AF12342" s="1"/>
      <c r="AG12342" s="1"/>
      <c r="AH12342" s="1"/>
    </row>
    <row r="12343" ht="12.75" customHeight="1">
      <c r="A12343" s="17"/>
      <c r="B12343" s="1"/>
      <c r="C12343" s="1"/>
      <c r="D12343" s="150"/>
      <c r="E12343" s="150"/>
      <c r="F12343" s="75"/>
      <c r="G12343" s="67"/>
      <c r="H12343" s="68"/>
      <c r="I12343" s="76"/>
      <c r="J12343" s="67"/>
      <c r="K12343" s="1"/>
      <c r="L12343" s="77"/>
      <c r="M12343" s="79"/>
      <c r="N12343" s="1"/>
      <c r="O12343" s="1"/>
      <c r="P12343" s="1"/>
      <c r="Q12343" s="1"/>
      <c r="R12343" s="1"/>
      <c r="S12343" s="1"/>
      <c r="T12343" s="1"/>
      <c r="U12343" s="1"/>
      <c r="V12343" s="1"/>
      <c r="W12343" s="1"/>
      <c r="X12343" s="1"/>
      <c r="Y12343" s="1"/>
      <c r="Z12343" s="1"/>
      <c r="AA12343" s="1"/>
      <c r="AB12343" s="1"/>
      <c r="AC12343" s="1"/>
      <c r="AD12343" s="1"/>
      <c r="AE12343" s="1"/>
      <c r="AF12343" s="1"/>
      <c r="AG12343" s="1"/>
      <c r="AH12343" s="1"/>
    </row>
    <row r="12344" ht="12.75" customHeight="1">
      <c r="A12344" s="17"/>
      <c r="B12344" s="1"/>
      <c r="C12344" s="1"/>
      <c r="D12344" s="150"/>
      <c r="E12344" s="150"/>
      <c r="F12344" s="75"/>
      <c r="G12344" s="67"/>
      <c r="H12344" s="68"/>
      <c r="I12344" s="76"/>
      <c r="J12344" s="67"/>
      <c r="K12344" s="1"/>
      <c r="L12344" s="77"/>
      <c r="M12344" s="79"/>
      <c r="N12344" s="1"/>
      <c r="O12344" s="1"/>
      <c r="P12344" s="1"/>
      <c r="Q12344" s="1"/>
      <c r="R12344" s="1"/>
      <c r="S12344" s="1"/>
      <c r="T12344" s="1"/>
      <c r="U12344" s="1"/>
      <c r="V12344" s="1"/>
      <c r="W12344" s="1"/>
      <c r="X12344" s="1"/>
      <c r="Y12344" s="1"/>
      <c r="Z12344" s="1"/>
      <c r="AA12344" s="1"/>
      <c r="AB12344" s="1"/>
      <c r="AC12344" s="1"/>
      <c r="AD12344" s="1"/>
      <c r="AE12344" s="1"/>
      <c r="AF12344" s="1"/>
      <c r="AG12344" s="1"/>
      <c r="AH12344" s="1"/>
    </row>
    <row r="12345" ht="12.75" customHeight="1">
      <c r="A12345" s="17"/>
      <c r="B12345" s="1"/>
      <c r="C12345" s="1"/>
      <c r="D12345" s="150"/>
      <c r="E12345" s="150"/>
      <c r="F12345" s="75"/>
      <c r="G12345" s="67"/>
      <c r="H12345" s="68"/>
      <c r="I12345" s="76"/>
      <c r="J12345" s="67"/>
      <c r="K12345" s="1"/>
      <c r="L12345" s="77"/>
      <c r="M12345" s="79"/>
      <c r="N12345" s="1"/>
      <c r="O12345" s="1"/>
      <c r="P12345" s="1"/>
      <c r="Q12345" s="1"/>
      <c r="R12345" s="1"/>
      <c r="S12345" s="1"/>
      <c r="T12345" s="1"/>
      <c r="U12345" s="1"/>
      <c r="V12345" s="1"/>
      <c r="W12345" s="1"/>
      <c r="X12345" s="1"/>
      <c r="Y12345" s="1"/>
      <c r="Z12345" s="1"/>
      <c r="AA12345" s="1"/>
      <c r="AB12345" s="1"/>
      <c r="AC12345" s="1"/>
      <c r="AD12345" s="1"/>
      <c r="AE12345" s="1"/>
      <c r="AF12345" s="1"/>
      <c r="AG12345" s="1"/>
      <c r="AH12345" s="1"/>
    </row>
    <row r="12346" ht="12.75" customHeight="1">
      <c r="A12346" s="17"/>
      <c r="B12346" s="1"/>
      <c r="C12346" s="1"/>
      <c r="D12346" s="150"/>
      <c r="E12346" s="150"/>
      <c r="F12346" s="75"/>
      <c r="G12346" s="67"/>
      <c r="H12346" s="68"/>
      <c r="I12346" s="76"/>
      <c r="J12346" s="67"/>
      <c r="K12346" s="1"/>
      <c r="L12346" s="77"/>
      <c r="M12346" s="79"/>
      <c r="N12346" s="1"/>
      <c r="O12346" s="1"/>
      <c r="P12346" s="1"/>
      <c r="Q12346" s="1"/>
      <c r="R12346" s="1"/>
      <c r="S12346" s="1"/>
      <c r="T12346" s="1"/>
      <c r="U12346" s="1"/>
      <c r="V12346" s="1"/>
      <c r="W12346" s="1"/>
      <c r="X12346" s="1"/>
      <c r="Y12346" s="1"/>
      <c r="Z12346" s="1"/>
      <c r="AA12346" s="1"/>
      <c r="AB12346" s="1"/>
      <c r="AC12346" s="1"/>
      <c r="AD12346" s="1"/>
      <c r="AE12346" s="1"/>
      <c r="AF12346" s="1"/>
      <c r="AG12346" s="1"/>
      <c r="AH12346" s="1"/>
    </row>
    <row r="12347" ht="12.75" customHeight="1">
      <c r="A12347" s="17"/>
      <c r="B12347" s="1"/>
      <c r="C12347" s="1"/>
      <c r="D12347" s="150"/>
      <c r="E12347" s="150"/>
      <c r="F12347" s="75"/>
      <c r="G12347" s="67"/>
      <c r="H12347" s="68"/>
      <c r="I12347" s="76"/>
      <c r="J12347" s="67"/>
      <c r="K12347" s="1"/>
      <c r="L12347" s="77"/>
      <c r="M12347" s="79"/>
      <c r="N12347" s="1"/>
      <c r="O12347" s="1"/>
      <c r="P12347" s="1"/>
      <c r="Q12347" s="1"/>
      <c r="R12347" s="1"/>
      <c r="S12347" s="1"/>
      <c r="T12347" s="1"/>
      <c r="U12347" s="1"/>
      <c r="V12347" s="1"/>
      <c r="W12347" s="1"/>
      <c r="X12347" s="1"/>
      <c r="Y12347" s="1"/>
      <c r="Z12347" s="1"/>
      <c r="AA12347" s="1"/>
      <c r="AB12347" s="1"/>
      <c r="AC12347" s="1"/>
      <c r="AD12347" s="1"/>
      <c r="AE12347" s="1"/>
      <c r="AF12347" s="1"/>
      <c r="AG12347" s="1"/>
      <c r="AH12347" s="1"/>
    </row>
    <row r="12348" ht="12.75" customHeight="1">
      <c r="A12348" s="17"/>
      <c r="B12348" s="1"/>
      <c r="C12348" s="1"/>
      <c r="D12348" s="150"/>
      <c r="E12348" s="150"/>
      <c r="F12348" s="75"/>
      <c r="G12348" s="67"/>
      <c r="H12348" s="68"/>
      <c r="I12348" s="76"/>
      <c r="J12348" s="67"/>
      <c r="K12348" s="1"/>
      <c r="L12348" s="77"/>
      <c r="M12348" s="79"/>
      <c r="N12348" s="1"/>
      <c r="O12348" s="1"/>
      <c r="P12348" s="1"/>
      <c r="Q12348" s="1"/>
      <c r="R12348" s="1"/>
      <c r="S12348" s="1"/>
      <c r="T12348" s="1"/>
      <c r="U12348" s="1"/>
      <c r="V12348" s="1"/>
      <c r="W12348" s="1"/>
      <c r="X12348" s="1"/>
      <c r="Y12348" s="1"/>
      <c r="Z12348" s="1"/>
      <c r="AA12348" s="1"/>
      <c r="AB12348" s="1"/>
      <c r="AC12348" s="1"/>
      <c r="AD12348" s="1"/>
      <c r="AE12348" s="1"/>
      <c r="AF12348" s="1"/>
      <c r="AG12348" s="1"/>
      <c r="AH12348" s="1"/>
    </row>
    <row r="12349" ht="12.75" customHeight="1">
      <c r="A12349" s="17"/>
      <c r="B12349" s="1"/>
      <c r="C12349" s="1"/>
      <c r="D12349" s="150"/>
      <c r="E12349" s="150"/>
      <c r="F12349" s="75"/>
      <c r="G12349" s="67"/>
      <c r="H12349" s="68"/>
      <c r="I12349" s="76"/>
      <c r="J12349" s="67"/>
      <c r="K12349" s="1"/>
      <c r="L12349" s="77"/>
      <c r="M12349" s="79"/>
      <c r="N12349" s="1"/>
      <c r="O12349" s="1"/>
      <c r="P12349" s="1"/>
      <c r="Q12349" s="1"/>
      <c r="R12349" s="1"/>
      <c r="S12349" s="1"/>
      <c r="T12349" s="1"/>
      <c r="U12349" s="1"/>
      <c r="V12349" s="1"/>
      <c r="W12349" s="1"/>
      <c r="X12349" s="1"/>
      <c r="Y12349" s="1"/>
      <c r="Z12349" s="1"/>
      <c r="AA12349" s="1"/>
      <c r="AB12349" s="1"/>
      <c r="AC12349" s="1"/>
      <c r="AD12349" s="1"/>
      <c r="AE12349" s="1"/>
      <c r="AF12349" s="1"/>
      <c r="AG12349" s="1"/>
      <c r="AH12349" s="1"/>
    </row>
    <row r="12350" ht="12.75" customHeight="1">
      <c r="A12350" s="17"/>
      <c r="B12350" s="1"/>
      <c r="C12350" s="1"/>
      <c r="D12350" s="150"/>
      <c r="E12350" s="150"/>
      <c r="F12350" s="75"/>
      <c r="G12350" s="67"/>
      <c r="H12350" s="68"/>
      <c r="I12350" s="76"/>
      <c r="J12350" s="67"/>
      <c r="K12350" s="1"/>
      <c r="L12350" s="77"/>
      <c r="M12350" s="79"/>
      <c r="N12350" s="1"/>
      <c r="O12350" s="1"/>
      <c r="P12350" s="1"/>
      <c r="Q12350" s="1"/>
      <c r="R12350" s="1"/>
      <c r="S12350" s="1"/>
      <c r="T12350" s="1"/>
      <c r="U12350" s="1"/>
      <c r="V12350" s="1"/>
      <c r="W12350" s="1"/>
      <c r="X12350" s="1"/>
      <c r="Y12350" s="1"/>
      <c r="Z12350" s="1"/>
      <c r="AA12350" s="1"/>
      <c r="AB12350" s="1"/>
      <c r="AC12350" s="1"/>
      <c r="AD12350" s="1"/>
      <c r="AE12350" s="1"/>
      <c r="AF12350" s="1"/>
      <c r="AG12350" s="1"/>
      <c r="AH12350" s="1"/>
    </row>
    <row r="12351" ht="12.75" customHeight="1">
      <c r="A12351" s="17"/>
      <c r="B12351" s="1"/>
      <c r="C12351" s="1"/>
      <c r="D12351" s="150"/>
      <c r="E12351" s="150"/>
      <c r="F12351" s="75"/>
      <c r="G12351" s="67"/>
      <c r="H12351" s="68"/>
      <c r="I12351" s="76"/>
      <c r="J12351" s="67"/>
      <c r="K12351" s="1"/>
      <c r="L12351" s="77"/>
      <c r="M12351" s="79"/>
      <c r="N12351" s="1"/>
      <c r="O12351" s="1"/>
      <c r="P12351" s="1"/>
      <c r="Q12351" s="1"/>
      <c r="R12351" s="1"/>
      <c r="S12351" s="1"/>
      <c r="T12351" s="1"/>
      <c r="U12351" s="1"/>
      <c r="V12351" s="1"/>
      <c r="W12351" s="1"/>
      <c r="X12351" s="1"/>
      <c r="Y12351" s="1"/>
      <c r="Z12351" s="1"/>
      <c r="AA12351" s="1"/>
      <c r="AB12351" s="1"/>
      <c r="AC12351" s="1"/>
      <c r="AD12351" s="1"/>
      <c r="AE12351" s="1"/>
      <c r="AF12351" s="1"/>
      <c r="AG12351" s="1"/>
      <c r="AH12351" s="1"/>
    </row>
    <row r="12352" ht="12.75" customHeight="1">
      <c r="A12352" s="17"/>
      <c r="B12352" s="1"/>
      <c r="C12352" s="1"/>
      <c r="D12352" s="150"/>
      <c r="E12352" s="150"/>
      <c r="F12352" s="75"/>
      <c r="G12352" s="67"/>
      <c r="H12352" s="68"/>
      <c r="I12352" s="76"/>
      <c r="J12352" s="67"/>
      <c r="K12352" s="1"/>
      <c r="L12352" s="77"/>
      <c r="M12352" s="79"/>
      <c r="N12352" s="1"/>
      <c r="O12352" s="1"/>
      <c r="P12352" s="1"/>
      <c r="Q12352" s="1"/>
      <c r="R12352" s="1"/>
      <c r="S12352" s="1"/>
      <c r="T12352" s="1"/>
      <c r="U12352" s="1"/>
      <c r="V12352" s="1"/>
      <c r="W12352" s="1"/>
      <c r="X12352" s="1"/>
      <c r="Y12352" s="1"/>
      <c r="Z12352" s="1"/>
      <c r="AA12352" s="1"/>
      <c r="AB12352" s="1"/>
      <c r="AC12352" s="1"/>
      <c r="AD12352" s="1"/>
      <c r="AE12352" s="1"/>
      <c r="AF12352" s="1"/>
      <c r="AG12352" s="1"/>
      <c r="AH12352" s="1"/>
    </row>
    <row r="12353" ht="12.75" customHeight="1">
      <c r="A12353" s="17"/>
      <c r="B12353" s="1"/>
      <c r="C12353" s="1"/>
      <c r="D12353" s="150"/>
      <c r="E12353" s="150"/>
      <c r="F12353" s="75"/>
      <c r="G12353" s="67"/>
      <c r="H12353" s="68"/>
      <c r="I12353" s="76"/>
      <c r="J12353" s="67"/>
      <c r="K12353" s="1"/>
      <c r="L12353" s="77"/>
      <c r="M12353" s="79"/>
      <c r="N12353" s="1"/>
      <c r="O12353" s="1"/>
      <c r="P12353" s="1"/>
      <c r="Q12353" s="1"/>
      <c r="R12353" s="1"/>
      <c r="S12353" s="1"/>
      <c r="T12353" s="1"/>
      <c r="U12353" s="1"/>
      <c r="V12353" s="1"/>
      <c r="W12353" s="1"/>
      <c r="X12353" s="1"/>
      <c r="Y12353" s="1"/>
      <c r="Z12353" s="1"/>
      <c r="AA12353" s="1"/>
      <c r="AB12353" s="1"/>
      <c r="AC12353" s="1"/>
      <c r="AD12353" s="1"/>
      <c r="AE12353" s="1"/>
      <c r="AF12353" s="1"/>
      <c r="AG12353" s="1"/>
      <c r="AH12353" s="1"/>
    </row>
    <row r="12354" ht="12.75" customHeight="1">
      <c r="A12354" s="17"/>
      <c r="B12354" s="1"/>
      <c r="C12354" s="1"/>
      <c r="D12354" s="150"/>
      <c r="E12354" s="150"/>
      <c r="F12354" s="75"/>
      <c r="G12354" s="67"/>
      <c r="H12354" s="68"/>
      <c r="I12354" s="76"/>
      <c r="J12354" s="67"/>
      <c r="K12354" s="1"/>
      <c r="L12354" s="77"/>
      <c r="M12354" s="79"/>
      <c r="N12354" s="1"/>
      <c r="O12354" s="1"/>
      <c r="P12354" s="1"/>
      <c r="Q12354" s="1"/>
      <c r="R12354" s="1"/>
      <c r="S12354" s="1"/>
      <c r="T12354" s="1"/>
      <c r="U12354" s="1"/>
      <c r="V12354" s="1"/>
      <c r="W12354" s="1"/>
      <c r="X12354" s="1"/>
      <c r="Y12354" s="1"/>
      <c r="Z12354" s="1"/>
      <c r="AA12354" s="1"/>
      <c r="AB12354" s="1"/>
      <c r="AC12354" s="1"/>
      <c r="AD12354" s="1"/>
      <c r="AE12354" s="1"/>
      <c r="AF12354" s="1"/>
      <c r="AG12354" s="1"/>
      <c r="AH12354" s="1"/>
    </row>
    <row r="12355" ht="12.75" customHeight="1">
      <c r="A12355" s="17"/>
      <c r="B12355" s="1"/>
      <c r="C12355" s="1"/>
      <c r="D12355" s="150"/>
      <c r="E12355" s="150"/>
      <c r="F12355" s="75"/>
      <c r="G12355" s="67"/>
      <c r="H12355" s="68"/>
      <c r="I12355" s="76"/>
      <c r="J12355" s="67"/>
      <c r="K12355" s="1"/>
      <c r="L12355" s="77"/>
      <c r="M12355" s="79"/>
      <c r="N12355" s="1"/>
      <c r="O12355" s="1"/>
      <c r="P12355" s="1"/>
      <c r="Q12355" s="1"/>
      <c r="R12355" s="1"/>
      <c r="S12355" s="1"/>
      <c r="T12355" s="1"/>
      <c r="U12355" s="1"/>
      <c r="V12355" s="1"/>
      <c r="W12355" s="1"/>
      <c r="X12355" s="1"/>
      <c r="Y12355" s="1"/>
      <c r="Z12355" s="1"/>
      <c r="AA12355" s="1"/>
      <c r="AB12355" s="1"/>
      <c r="AC12355" s="1"/>
      <c r="AD12355" s="1"/>
      <c r="AE12355" s="1"/>
      <c r="AF12355" s="1"/>
      <c r="AG12355" s="1"/>
      <c r="AH12355" s="1"/>
    </row>
    <row r="12356" ht="12.75" customHeight="1">
      <c r="A12356" s="17"/>
      <c r="B12356" s="1"/>
      <c r="C12356" s="1"/>
      <c r="D12356" s="150"/>
      <c r="E12356" s="150"/>
      <c r="F12356" s="75"/>
      <c r="G12356" s="67"/>
      <c r="H12356" s="68"/>
      <c r="I12356" s="76"/>
      <c r="J12356" s="67"/>
      <c r="K12356" s="1"/>
      <c r="L12356" s="77"/>
      <c r="M12356" s="79"/>
      <c r="N12356" s="1"/>
      <c r="O12356" s="1"/>
      <c r="P12356" s="1"/>
      <c r="Q12356" s="1"/>
      <c r="R12356" s="1"/>
      <c r="S12356" s="1"/>
      <c r="T12356" s="1"/>
      <c r="U12356" s="1"/>
      <c r="V12356" s="1"/>
      <c r="W12356" s="1"/>
      <c r="X12356" s="1"/>
      <c r="Y12356" s="1"/>
      <c r="Z12356" s="1"/>
      <c r="AA12356" s="1"/>
      <c r="AB12356" s="1"/>
      <c r="AC12356" s="1"/>
      <c r="AD12356" s="1"/>
      <c r="AE12356" s="1"/>
      <c r="AF12356" s="1"/>
      <c r="AG12356" s="1"/>
      <c r="AH12356" s="1"/>
    </row>
    <row r="12357" ht="12.75" customHeight="1">
      <c r="A12357" s="17"/>
      <c r="B12357" s="1"/>
      <c r="C12357" s="1"/>
      <c r="D12357" s="150"/>
      <c r="E12357" s="150"/>
      <c r="F12357" s="75"/>
      <c r="G12357" s="67"/>
      <c r="H12357" s="68"/>
      <c r="I12357" s="76"/>
      <c r="J12357" s="67"/>
      <c r="K12357" s="1"/>
      <c r="L12357" s="77"/>
      <c r="M12357" s="79"/>
      <c r="N12357" s="1"/>
      <c r="O12357" s="1"/>
      <c r="P12357" s="1"/>
      <c r="Q12357" s="1"/>
      <c r="R12357" s="1"/>
      <c r="S12357" s="1"/>
      <c r="T12357" s="1"/>
      <c r="U12357" s="1"/>
      <c r="V12357" s="1"/>
      <c r="W12357" s="1"/>
      <c r="X12357" s="1"/>
      <c r="Y12357" s="1"/>
      <c r="Z12357" s="1"/>
      <c r="AA12357" s="1"/>
      <c r="AB12357" s="1"/>
      <c r="AC12357" s="1"/>
      <c r="AD12357" s="1"/>
      <c r="AE12357" s="1"/>
      <c r="AF12357" s="1"/>
      <c r="AG12357" s="1"/>
      <c r="AH12357" s="1"/>
    </row>
    <row r="12358" ht="12.75" customHeight="1">
      <c r="A12358" s="17"/>
      <c r="B12358" s="1"/>
      <c r="C12358" s="1"/>
      <c r="D12358" s="150"/>
      <c r="E12358" s="150"/>
      <c r="F12358" s="75"/>
      <c r="G12358" s="67"/>
      <c r="H12358" s="68"/>
      <c r="I12358" s="76"/>
      <c r="J12358" s="67"/>
      <c r="K12358" s="1"/>
      <c r="L12358" s="77"/>
      <c r="M12358" s="79"/>
      <c r="N12358" s="1"/>
      <c r="O12358" s="1"/>
      <c r="P12358" s="1"/>
      <c r="Q12358" s="1"/>
      <c r="R12358" s="1"/>
      <c r="S12358" s="1"/>
      <c r="T12358" s="1"/>
      <c r="U12358" s="1"/>
      <c r="V12358" s="1"/>
      <c r="W12358" s="1"/>
      <c r="X12358" s="1"/>
      <c r="Y12358" s="1"/>
      <c r="Z12358" s="1"/>
      <c r="AA12358" s="1"/>
      <c r="AB12358" s="1"/>
      <c r="AC12358" s="1"/>
      <c r="AD12358" s="1"/>
      <c r="AE12358" s="1"/>
      <c r="AF12358" s="1"/>
      <c r="AG12358" s="1"/>
      <c r="AH12358" s="1"/>
    </row>
    <row r="12359" ht="12.75" customHeight="1">
      <c r="A12359" s="17"/>
      <c r="B12359" s="1"/>
      <c r="C12359" s="1"/>
      <c r="D12359" s="150"/>
      <c r="E12359" s="150"/>
      <c r="F12359" s="75"/>
      <c r="G12359" s="67"/>
      <c r="H12359" s="68"/>
      <c r="I12359" s="76"/>
      <c r="J12359" s="67"/>
      <c r="K12359" s="1"/>
      <c r="L12359" s="77"/>
      <c r="M12359" s="79"/>
      <c r="N12359" s="1"/>
      <c r="O12359" s="1"/>
      <c r="P12359" s="1"/>
      <c r="Q12359" s="1"/>
      <c r="R12359" s="1"/>
      <c r="S12359" s="1"/>
      <c r="T12359" s="1"/>
      <c r="U12359" s="1"/>
      <c r="V12359" s="1"/>
      <c r="W12359" s="1"/>
      <c r="X12359" s="1"/>
      <c r="Y12359" s="1"/>
      <c r="Z12359" s="1"/>
      <c r="AA12359" s="1"/>
      <c r="AB12359" s="1"/>
      <c r="AC12359" s="1"/>
      <c r="AD12359" s="1"/>
      <c r="AE12359" s="1"/>
      <c r="AF12359" s="1"/>
      <c r="AG12359" s="1"/>
      <c r="AH12359" s="1"/>
    </row>
    <row r="12360" ht="12.75" customHeight="1">
      <c r="A12360" s="17"/>
      <c r="B12360" s="1"/>
      <c r="C12360" s="1"/>
      <c r="D12360" s="150"/>
      <c r="E12360" s="150"/>
      <c r="F12360" s="75"/>
      <c r="G12360" s="67"/>
      <c r="H12360" s="68"/>
      <c r="I12360" s="76"/>
      <c r="J12360" s="67"/>
      <c r="K12360" s="1"/>
      <c r="L12360" s="77"/>
      <c r="M12360" s="79"/>
      <c r="N12360" s="1"/>
      <c r="O12360" s="1"/>
      <c r="P12360" s="1"/>
      <c r="Q12360" s="1"/>
      <c r="R12360" s="1"/>
      <c r="S12360" s="1"/>
      <c r="T12360" s="1"/>
      <c r="U12360" s="1"/>
      <c r="V12360" s="1"/>
      <c r="W12360" s="1"/>
      <c r="X12360" s="1"/>
      <c r="Y12360" s="1"/>
      <c r="Z12360" s="1"/>
      <c r="AA12360" s="1"/>
      <c r="AB12360" s="1"/>
      <c r="AC12360" s="1"/>
      <c r="AD12360" s="1"/>
      <c r="AE12360" s="1"/>
      <c r="AF12360" s="1"/>
      <c r="AG12360" s="1"/>
      <c r="AH12360" s="1"/>
    </row>
    <row r="12361" ht="12.75" customHeight="1">
      <c r="A12361" s="17"/>
      <c r="B12361" s="1"/>
      <c r="C12361" s="1"/>
      <c r="D12361" s="150"/>
      <c r="E12361" s="150"/>
      <c r="F12361" s="75"/>
      <c r="G12361" s="67"/>
      <c r="H12361" s="68"/>
      <c r="I12361" s="76"/>
      <c r="J12361" s="67"/>
      <c r="K12361" s="1"/>
      <c r="L12361" s="77"/>
      <c r="M12361" s="79"/>
      <c r="N12361" s="1"/>
      <c r="O12361" s="1"/>
      <c r="P12361" s="1"/>
      <c r="Q12361" s="1"/>
      <c r="R12361" s="1"/>
      <c r="S12361" s="1"/>
      <c r="T12361" s="1"/>
      <c r="U12361" s="1"/>
      <c r="V12361" s="1"/>
      <c r="W12361" s="1"/>
      <c r="X12361" s="1"/>
      <c r="Y12361" s="1"/>
      <c r="Z12361" s="1"/>
      <c r="AA12361" s="1"/>
      <c r="AB12361" s="1"/>
      <c r="AC12361" s="1"/>
      <c r="AD12361" s="1"/>
      <c r="AE12361" s="1"/>
      <c r="AF12361" s="1"/>
      <c r="AG12361" s="1"/>
      <c r="AH12361" s="1"/>
    </row>
    <row r="12362" ht="12.75" customHeight="1">
      <c r="A12362" s="17"/>
      <c r="B12362" s="1"/>
      <c r="C12362" s="1"/>
      <c r="D12362" s="150"/>
      <c r="E12362" s="150"/>
      <c r="F12362" s="75"/>
      <c r="G12362" s="67"/>
      <c r="H12362" s="68"/>
      <c r="I12362" s="76"/>
      <c r="J12362" s="67"/>
      <c r="K12362" s="1"/>
      <c r="L12362" s="77"/>
      <c r="M12362" s="79"/>
      <c r="N12362" s="1"/>
      <c r="O12362" s="1"/>
      <c r="P12362" s="1"/>
      <c r="Q12362" s="1"/>
      <c r="R12362" s="1"/>
      <c r="S12362" s="1"/>
      <c r="T12362" s="1"/>
      <c r="U12362" s="1"/>
      <c r="V12362" s="1"/>
      <c r="W12362" s="1"/>
      <c r="X12362" s="1"/>
      <c r="Y12362" s="1"/>
      <c r="Z12362" s="1"/>
      <c r="AA12362" s="1"/>
      <c r="AB12362" s="1"/>
      <c r="AC12362" s="1"/>
      <c r="AD12362" s="1"/>
      <c r="AE12362" s="1"/>
      <c r="AF12362" s="1"/>
      <c r="AG12362" s="1"/>
      <c r="AH12362" s="1"/>
    </row>
    <row r="12363" ht="12.75" customHeight="1">
      <c r="A12363" s="17"/>
      <c r="B12363" s="1"/>
      <c r="C12363" s="1"/>
      <c r="D12363" s="150"/>
      <c r="E12363" s="150"/>
      <c r="F12363" s="75"/>
      <c r="G12363" s="67"/>
      <c r="H12363" s="68"/>
      <c r="I12363" s="76"/>
      <c r="J12363" s="67"/>
      <c r="K12363" s="1"/>
      <c r="L12363" s="77"/>
      <c r="M12363" s="79"/>
      <c r="N12363" s="1"/>
      <c r="O12363" s="1"/>
      <c r="P12363" s="1"/>
      <c r="Q12363" s="1"/>
      <c r="R12363" s="1"/>
      <c r="S12363" s="1"/>
      <c r="T12363" s="1"/>
      <c r="U12363" s="1"/>
      <c r="V12363" s="1"/>
      <c r="W12363" s="1"/>
      <c r="X12363" s="1"/>
      <c r="Y12363" s="1"/>
      <c r="Z12363" s="1"/>
      <c r="AA12363" s="1"/>
      <c r="AB12363" s="1"/>
      <c r="AC12363" s="1"/>
      <c r="AD12363" s="1"/>
      <c r="AE12363" s="1"/>
      <c r="AF12363" s="1"/>
      <c r="AG12363" s="1"/>
      <c r="AH12363" s="1"/>
    </row>
    <row r="12364" ht="12.75" customHeight="1">
      <c r="A12364" s="17"/>
      <c r="B12364" s="1"/>
      <c r="C12364" s="1"/>
      <c r="D12364" s="150"/>
      <c r="E12364" s="150"/>
      <c r="F12364" s="75"/>
      <c r="G12364" s="67"/>
      <c r="H12364" s="68"/>
      <c r="I12364" s="76"/>
      <c r="J12364" s="67"/>
      <c r="K12364" s="1"/>
      <c r="L12364" s="77"/>
      <c r="M12364" s="79"/>
      <c r="N12364" s="1"/>
      <c r="O12364" s="1"/>
      <c r="P12364" s="1"/>
      <c r="Q12364" s="1"/>
      <c r="R12364" s="1"/>
      <c r="S12364" s="1"/>
      <c r="T12364" s="1"/>
      <c r="U12364" s="1"/>
      <c r="V12364" s="1"/>
      <c r="W12364" s="1"/>
      <c r="X12364" s="1"/>
      <c r="Y12364" s="1"/>
      <c r="Z12364" s="1"/>
      <c r="AA12364" s="1"/>
      <c r="AB12364" s="1"/>
      <c r="AC12364" s="1"/>
      <c r="AD12364" s="1"/>
      <c r="AE12364" s="1"/>
      <c r="AF12364" s="1"/>
      <c r="AG12364" s="1"/>
      <c r="AH12364" s="1"/>
    </row>
    <row r="12365" ht="12.75" customHeight="1">
      <c r="A12365" s="17"/>
      <c r="B12365" s="1"/>
      <c r="C12365" s="1"/>
      <c r="D12365" s="150"/>
      <c r="E12365" s="150"/>
      <c r="F12365" s="75"/>
      <c r="G12365" s="67"/>
      <c r="H12365" s="68"/>
      <c r="I12365" s="76"/>
      <c r="J12365" s="67"/>
      <c r="K12365" s="1"/>
      <c r="L12365" s="77"/>
      <c r="M12365" s="79"/>
      <c r="N12365" s="1"/>
      <c r="O12365" s="1"/>
      <c r="P12365" s="1"/>
      <c r="Q12365" s="1"/>
      <c r="R12365" s="1"/>
      <c r="S12365" s="1"/>
      <c r="T12365" s="1"/>
      <c r="U12365" s="1"/>
      <c r="V12365" s="1"/>
      <c r="W12365" s="1"/>
      <c r="X12365" s="1"/>
      <c r="Y12365" s="1"/>
      <c r="Z12365" s="1"/>
      <c r="AA12365" s="1"/>
      <c r="AB12365" s="1"/>
      <c r="AC12365" s="1"/>
      <c r="AD12365" s="1"/>
      <c r="AE12365" s="1"/>
      <c r="AF12365" s="1"/>
      <c r="AG12365" s="1"/>
      <c r="AH12365" s="1"/>
    </row>
    <row r="12366" ht="12.75" customHeight="1">
      <c r="A12366" s="17"/>
      <c r="B12366" s="1"/>
      <c r="C12366" s="1"/>
      <c r="D12366" s="150"/>
      <c r="E12366" s="150"/>
      <c r="F12366" s="75"/>
      <c r="G12366" s="67"/>
      <c r="H12366" s="68"/>
      <c r="I12366" s="76"/>
      <c r="J12366" s="67"/>
      <c r="K12366" s="1"/>
      <c r="L12366" s="77"/>
      <c r="M12366" s="79"/>
      <c r="N12366" s="1"/>
      <c r="O12366" s="1"/>
      <c r="P12366" s="1"/>
      <c r="Q12366" s="1"/>
      <c r="R12366" s="1"/>
      <c r="S12366" s="1"/>
      <c r="T12366" s="1"/>
      <c r="U12366" s="1"/>
      <c r="V12366" s="1"/>
      <c r="W12366" s="1"/>
      <c r="X12366" s="1"/>
      <c r="Y12366" s="1"/>
      <c r="Z12366" s="1"/>
      <c r="AA12366" s="1"/>
      <c r="AB12366" s="1"/>
      <c r="AC12366" s="1"/>
      <c r="AD12366" s="1"/>
      <c r="AE12366" s="1"/>
      <c r="AF12366" s="1"/>
      <c r="AG12366" s="1"/>
      <c r="AH12366" s="1"/>
    </row>
    <row r="12367" ht="12.75" customHeight="1">
      <c r="A12367" s="17"/>
      <c r="B12367" s="1"/>
      <c r="C12367" s="1"/>
      <c r="D12367" s="150"/>
      <c r="E12367" s="150"/>
      <c r="F12367" s="75"/>
      <c r="G12367" s="67"/>
      <c r="H12367" s="68"/>
      <c r="I12367" s="76"/>
      <c r="J12367" s="67"/>
      <c r="K12367" s="1"/>
      <c r="L12367" s="77"/>
      <c r="M12367" s="79"/>
      <c r="N12367" s="1"/>
      <c r="O12367" s="1"/>
      <c r="P12367" s="1"/>
      <c r="Q12367" s="1"/>
      <c r="R12367" s="1"/>
      <c r="S12367" s="1"/>
      <c r="T12367" s="1"/>
      <c r="U12367" s="1"/>
      <c r="V12367" s="1"/>
      <c r="W12367" s="1"/>
      <c r="X12367" s="1"/>
      <c r="Y12367" s="1"/>
      <c r="Z12367" s="1"/>
      <c r="AA12367" s="1"/>
      <c r="AB12367" s="1"/>
      <c r="AC12367" s="1"/>
      <c r="AD12367" s="1"/>
      <c r="AE12367" s="1"/>
      <c r="AF12367" s="1"/>
      <c r="AG12367" s="1"/>
      <c r="AH12367" s="1"/>
    </row>
    <row r="12368" ht="12.75" customHeight="1">
      <c r="A12368" s="17"/>
      <c r="B12368" s="1"/>
      <c r="C12368" s="1"/>
      <c r="D12368" s="150"/>
      <c r="E12368" s="150"/>
      <c r="F12368" s="75"/>
      <c r="G12368" s="67"/>
      <c r="H12368" s="68"/>
      <c r="I12368" s="76"/>
      <c r="J12368" s="67"/>
      <c r="K12368" s="1"/>
      <c r="L12368" s="77"/>
      <c r="M12368" s="79"/>
      <c r="N12368" s="1"/>
      <c r="O12368" s="1"/>
      <c r="P12368" s="1"/>
      <c r="Q12368" s="1"/>
      <c r="R12368" s="1"/>
      <c r="S12368" s="1"/>
      <c r="T12368" s="1"/>
      <c r="U12368" s="1"/>
      <c r="V12368" s="1"/>
      <c r="W12368" s="1"/>
      <c r="X12368" s="1"/>
      <c r="Y12368" s="1"/>
      <c r="Z12368" s="1"/>
      <c r="AA12368" s="1"/>
      <c r="AB12368" s="1"/>
      <c r="AC12368" s="1"/>
      <c r="AD12368" s="1"/>
      <c r="AE12368" s="1"/>
      <c r="AF12368" s="1"/>
      <c r="AG12368" s="1"/>
      <c r="AH12368" s="1"/>
    </row>
    <row r="12369" ht="12.75" customHeight="1">
      <c r="A12369" s="17"/>
      <c r="B12369" s="1"/>
      <c r="C12369" s="1"/>
      <c r="D12369" s="150"/>
      <c r="E12369" s="150"/>
      <c r="F12369" s="75"/>
      <c r="G12369" s="67"/>
      <c r="H12369" s="68"/>
      <c r="I12369" s="76"/>
      <c r="J12369" s="67"/>
      <c r="K12369" s="1"/>
      <c r="L12369" s="77"/>
      <c r="M12369" s="79"/>
      <c r="N12369" s="1"/>
      <c r="O12369" s="1"/>
      <c r="P12369" s="1"/>
      <c r="Q12369" s="1"/>
      <c r="R12369" s="1"/>
      <c r="S12369" s="1"/>
      <c r="T12369" s="1"/>
      <c r="U12369" s="1"/>
      <c r="V12369" s="1"/>
      <c r="W12369" s="1"/>
      <c r="X12369" s="1"/>
      <c r="Y12369" s="1"/>
      <c r="Z12369" s="1"/>
      <c r="AA12369" s="1"/>
      <c r="AB12369" s="1"/>
      <c r="AC12369" s="1"/>
      <c r="AD12369" s="1"/>
      <c r="AE12369" s="1"/>
      <c r="AF12369" s="1"/>
      <c r="AG12369" s="1"/>
      <c r="AH12369" s="1"/>
    </row>
    <row r="12370" ht="12.75" customHeight="1">
      <c r="A12370" s="17"/>
      <c r="B12370" s="1"/>
      <c r="C12370" s="1"/>
      <c r="D12370" s="150"/>
      <c r="E12370" s="150"/>
      <c r="F12370" s="75"/>
      <c r="G12370" s="67"/>
      <c r="H12370" s="68"/>
      <c r="I12370" s="76"/>
      <c r="J12370" s="67"/>
      <c r="K12370" s="1"/>
      <c r="L12370" s="77"/>
      <c r="M12370" s="79"/>
      <c r="N12370" s="1"/>
      <c r="O12370" s="1"/>
      <c r="P12370" s="1"/>
      <c r="Q12370" s="1"/>
      <c r="R12370" s="1"/>
      <c r="S12370" s="1"/>
      <c r="T12370" s="1"/>
      <c r="U12370" s="1"/>
      <c r="V12370" s="1"/>
      <c r="W12370" s="1"/>
      <c r="X12370" s="1"/>
      <c r="Y12370" s="1"/>
      <c r="Z12370" s="1"/>
      <c r="AA12370" s="1"/>
      <c r="AB12370" s="1"/>
      <c r="AC12370" s="1"/>
      <c r="AD12370" s="1"/>
      <c r="AE12370" s="1"/>
      <c r="AF12370" s="1"/>
      <c r="AG12370" s="1"/>
      <c r="AH12370" s="1"/>
    </row>
    <row r="12371" ht="12.75" customHeight="1">
      <c r="A12371" s="17"/>
      <c r="B12371" s="1"/>
      <c r="C12371" s="1"/>
      <c r="D12371" s="150"/>
      <c r="E12371" s="150"/>
      <c r="F12371" s="75"/>
      <c r="G12371" s="67"/>
      <c r="H12371" s="68"/>
      <c r="I12371" s="76"/>
      <c r="J12371" s="67"/>
      <c r="K12371" s="1"/>
      <c r="L12371" s="77"/>
      <c r="M12371" s="79"/>
      <c r="N12371" s="1"/>
      <c r="O12371" s="1"/>
      <c r="P12371" s="1"/>
      <c r="Q12371" s="1"/>
      <c r="R12371" s="1"/>
      <c r="S12371" s="1"/>
      <c r="T12371" s="1"/>
      <c r="U12371" s="1"/>
      <c r="V12371" s="1"/>
      <c r="W12371" s="1"/>
      <c r="X12371" s="1"/>
      <c r="Y12371" s="1"/>
      <c r="Z12371" s="1"/>
      <c r="AA12371" s="1"/>
      <c r="AB12371" s="1"/>
      <c r="AC12371" s="1"/>
      <c r="AD12371" s="1"/>
      <c r="AE12371" s="1"/>
      <c r="AF12371" s="1"/>
      <c r="AG12371" s="1"/>
      <c r="AH12371" s="1"/>
    </row>
    <row r="12372" ht="12.75" customHeight="1">
      <c r="A12372" s="17"/>
      <c r="B12372" s="1"/>
      <c r="C12372" s="1"/>
      <c r="D12372" s="150"/>
      <c r="E12372" s="150"/>
      <c r="F12372" s="75"/>
      <c r="G12372" s="67"/>
      <c r="H12372" s="68"/>
      <c r="I12372" s="76"/>
      <c r="J12372" s="67"/>
      <c r="K12372" s="1"/>
      <c r="L12372" s="77"/>
      <c r="M12372" s="79"/>
      <c r="N12372" s="1"/>
      <c r="O12372" s="1"/>
      <c r="P12372" s="1"/>
      <c r="Q12372" s="1"/>
      <c r="R12372" s="1"/>
      <c r="S12372" s="1"/>
      <c r="T12372" s="1"/>
      <c r="U12372" s="1"/>
      <c r="V12372" s="1"/>
      <c r="W12372" s="1"/>
      <c r="X12372" s="1"/>
      <c r="Y12372" s="1"/>
      <c r="Z12372" s="1"/>
      <c r="AA12372" s="1"/>
      <c r="AB12372" s="1"/>
      <c r="AC12372" s="1"/>
      <c r="AD12372" s="1"/>
      <c r="AE12372" s="1"/>
      <c r="AF12372" s="1"/>
      <c r="AG12372" s="1"/>
      <c r="AH12372" s="1"/>
    </row>
    <row r="12373" ht="12.75" customHeight="1">
      <c r="A12373" s="17"/>
      <c r="B12373" s="1"/>
      <c r="C12373" s="1"/>
      <c r="D12373" s="150"/>
      <c r="E12373" s="150"/>
      <c r="F12373" s="75"/>
      <c r="G12373" s="67"/>
      <c r="H12373" s="68"/>
      <c r="I12373" s="76"/>
      <c r="J12373" s="67"/>
      <c r="K12373" s="1"/>
      <c r="L12373" s="77"/>
      <c r="M12373" s="79"/>
      <c r="N12373" s="1"/>
      <c r="O12373" s="1"/>
      <c r="P12373" s="1"/>
      <c r="Q12373" s="1"/>
      <c r="R12373" s="1"/>
      <c r="S12373" s="1"/>
      <c r="T12373" s="1"/>
      <c r="U12373" s="1"/>
      <c r="V12373" s="1"/>
      <c r="W12373" s="1"/>
      <c r="X12373" s="1"/>
      <c r="Y12373" s="1"/>
      <c r="Z12373" s="1"/>
      <c r="AA12373" s="1"/>
      <c r="AB12373" s="1"/>
      <c r="AC12373" s="1"/>
      <c r="AD12373" s="1"/>
      <c r="AE12373" s="1"/>
      <c r="AF12373" s="1"/>
      <c r="AG12373" s="1"/>
      <c r="AH12373" s="1"/>
    </row>
    <row r="12374" ht="12.75" customHeight="1">
      <c r="A12374" s="17"/>
      <c r="B12374" s="1"/>
      <c r="C12374" s="1"/>
      <c r="D12374" s="150"/>
      <c r="E12374" s="150"/>
      <c r="F12374" s="75"/>
      <c r="G12374" s="67"/>
      <c r="H12374" s="68"/>
      <c r="I12374" s="76"/>
      <c r="J12374" s="67"/>
      <c r="K12374" s="1"/>
      <c r="L12374" s="77"/>
      <c r="M12374" s="79"/>
      <c r="N12374" s="1"/>
      <c r="O12374" s="1"/>
      <c r="P12374" s="1"/>
      <c r="Q12374" s="1"/>
      <c r="R12374" s="1"/>
      <c r="S12374" s="1"/>
      <c r="T12374" s="1"/>
      <c r="U12374" s="1"/>
      <c r="V12374" s="1"/>
      <c r="W12374" s="1"/>
      <c r="X12374" s="1"/>
      <c r="Y12374" s="1"/>
      <c r="Z12374" s="1"/>
      <c r="AA12374" s="1"/>
      <c r="AB12374" s="1"/>
      <c r="AC12374" s="1"/>
      <c r="AD12374" s="1"/>
      <c r="AE12374" s="1"/>
      <c r="AF12374" s="1"/>
      <c r="AG12374" s="1"/>
      <c r="AH12374" s="1"/>
    </row>
    <row r="12375" ht="12.75" customHeight="1">
      <c r="A12375" s="17"/>
      <c r="B12375" s="1"/>
      <c r="C12375" s="1"/>
      <c r="D12375" s="150"/>
      <c r="E12375" s="150"/>
      <c r="F12375" s="75"/>
      <c r="G12375" s="67"/>
      <c r="H12375" s="68"/>
      <c r="I12375" s="76"/>
      <c r="J12375" s="67"/>
      <c r="K12375" s="1"/>
      <c r="L12375" s="77"/>
      <c r="M12375" s="79"/>
      <c r="N12375" s="1"/>
      <c r="O12375" s="1"/>
      <c r="P12375" s="1"/>
      <c r="Q12375" s="1"/>
      <c r="R12375" s="1"/>
      <c r="S12375" s="1"/>
      <c r="T12375" s="1"/>
      <c r="U12375" s="1"/>
      <c r="V12375" s="1"/>
      <c r="W12375" s="1"/>
      <c r="X12375" s="1"/>
      <c r="Y12375" s="1"/>
      <c r="Z12375" s="1"/>
      <c r="AA12375" s="1"/>
      <c r="AB12375" s="1"/>
      <c r="AC12375" s="1"/>
      <c r="AD12375" s="1"/>
      <c r="AE12375" s="1"/>
      <c r="AF12375" s="1"/>
      <c r="AG12375" s="1"/>
      <c r="AH12375" s="1"/>
    </row>
    <row r="12376" ht="12.75" customHeight="1">
      <c r="A12376" s="17"/>
      <c r="B12376" s="1"/>
      <c r="C12376" s="1"/>
      <c r="D12376" s="150"/>
      <c r="E12376" s="150"/>
      <c r="F12376" s="75"/>
      <c r="G12376" s="67"/>
      <c r="H12376" s="68"/>
      <c r="I12376" s="76"/>
      <c r="J12376" s="67"/>
      <c r="K12376" s="1"/>
      <c r="L12376" s="77"/>
      <c r="M12376" s="79"/>
      <c r="N12376" s="1"/>
      <c r="O12376" s="1"/>
      <c r="P12376" s="1"/>
      <c r="Q12376" s="1"/>
      <c r="R12376" s="1"/>
      <c r="S12376" s="1"/>
      <c r="T12376" s="1"/>
      <c r="U12376" s="1"/>
      <c r="V12376" s="1"/>
      <c r="W12376" s="1"/>
      <c r="X12376" s="1"/>
      <c r="Y12376" s="1"/>
      <c r="Z12376" s="1"/>
      <c r="AA12376" s="1"/>
      <c r="AB12376" s="1"/>
      <c r="AC12376" s="1"/>
      <c r="AD12376" s="1"/>
      <c r="AE12376" s="1"/>
      <c r="AF12376" s="1"/>
      <c r="AG12376" s="1"/>
      <c r="AH12376" s="1"/>
    </row>
    <row r="12377" ht="12.75" customHeight="1">
      <c r="A12377" s="17"/>
      <c r="B12377" s="1"/>
      <c r="C12377" s="1"/>
      <c r="D12377" s="150"/>
      <c r="E12377" s="150"/>
      <c r="F12377" s="75"/>
      <c r="G12377" s="67"/>
      <c r="H12377" s="68"/>
      <c r="I12377" s="76"/>
      <c r="J12377" s="67"/>
      <c r="K12377" s="1"/>
      <c r="L12377" s="77"/>
      <c r="M12377" s="79"/>
      <c r="N12377" s="1"/>
      <c r="O12377" s="1"/>
      <c r="P12377" s="1"/>
      <c r="Q12377" s="1"/>
      <c r="R12377" s="1"/>
      <c r="S12377" s="1"/>
      <c r="T12377" s="1"/>
      <c r="U12377" s="1"/>
      <c r="V12377" s="1"/>
      <c r="W12377" s="1"/>
      <c r="X12377" s="1"/>
      <c r="Y12377" s="1"/>
      <c r="Z12377" s="1"/>
      <c r="AA12377" s="1"/>
      <c r="AB12377" s="1"/>
      <c r="AC12377" s="1"/>
      <c r="AD12377" s="1"/>
      <c r="AE12377" s="1"/>
      <c r="AF12377" s="1"/>
      <c r="AG12377" s="1"/>
      <c r="AH12377" s="1"/>
    </row>
    <row r="12378" ht="12.75" customHeight="1">
      <c r="A12378" s="17"/>
      <c r="B12378" s="1"/>
      <c r="C12378" s="1"/>
      <c r="D12378" s="150"/>
      <c r="E12378" s="150"/>
      <c r="F12378" s="75"/>
      <c r="G12378" s="67"/>
      <c r="H12378" s="68"/>
      <c r="I12378" s="76"/>
      <c r="J12378" s="67"/>
      <c r="K12378" s="1"/>
      <c r="L12378" s="77"/>
      <c r="M12378" s="79"/>
      <c r="N12378" s="1"/>
      <c r="O12378" s="1"/>
      <c r="P12378" s="1"/>
      <c r="Q12378" s="1"/>
      <c r="R12378" s="1"/>
      <c r="S12378" s="1"/>
      <c r="T12378" s="1"/>
      <c r="U12378" s="1"/>
      <c r="V12378" s="1"/>
      <c r="W12378" s="1"/>
      <c r="X12378" s="1"/>
      <c r="Y12378" s="1"/>
      <c r="Z12378" s="1"/>
      <c r="AA12378" s="1"/>
      <c r="AB12378" s="1"/>
      <c r="AC12378" s="1"/>
      <c r="AD12378" s="1"/>
      <c r="AE12378" s="1"/>
      <c r="AF12378" s="1"/>
      <c r="AG12378" s="1"/>
      <c r="AH12378" s="1"/>
    </row>
    <row r="12379" ht="12.75" customHeight="1">
      <c r="A12379" s="17"/>
      <c r="B12379" s="1"/>
      <c r="C12379" s="1"/>
      <c r="D12379" s="150"/>
      <c r="E12379" s="150"/>
      <c r="F12379" s="75"/>
      <c r="G12379" s="67"/>
      <c r="H12379" s="68"/>
      <c r="I12379" s="76"/>
      <c r="J12379" s="67"/>
      <c r="K12379" s="1"/>
      <c r="L12379" s="77"/>
      <c r="M12379" s="79"/>
      <c r="N12379" s="1"/>
      <c r="O12379" s="1"/>
      <c r="P12379" s="1"/>
      <c r="Q12379" s="1"/>
      <c r="R12379" s="1"/>
      <c r="S12379" s="1"/>
      <c r="T12379" s="1"/>
      <c r="U12379" s="1"/>
      <c r="V12379" s="1"/>
      <c r="W12379" s="1"/>
      <c r="X12379" s="1"/>
      <c r="Y12379" s="1"/>
      <c r="Z12379" s="1"/>
      <c r="AA12379" s="1"/>
      <c r="AB12379" s="1"/>
      <c r="AC12379" s="1"/>
      <c r="AD12379" s="1"/>
      <c r="AE12379" s="1"/>
      <c r="AF12379" s="1"/>
      <c r="AG12379" s="1"/>
      <c r="AH12379" s="1"/>
    </row>
    <row r="12380" ht="12.75" customHeight="1">
      <c r="A12380" s="17"/>
      <c r="B12380" s="1"/>
      <c r="C12380" s="1"/>
      <c r="D12380" s="150"/>
      <c r="E12380" s="150"/>
      <c r="F12380" s="75"/>
      <c r="G12380" s="67"/>
      <c r="H12380" s="68"/>
      <c r="I12380" s="76"/>
      <c r="J12380" s="67"/>
      <c r="K12380" s="1"/>
      <c r="L12380" s="77"/>
      <c r="M12380" s="79"/>
      <c r="N12380" s="1"/>
      <c r="O12380" s="1"/>
      <c r="P12380" s="1"/>
      <c r="Q12380" s="1"/>
      <c r="R12380" s="1"/>
      <c r="S12380" s="1"/>
      <c r="T12380" s="1"/>
      <c r="U12380" s="1"/>
      <c r="V12380" s="1"/>
      <c r="W12380" s="1"/>
      <c r="X12380" s="1"/>
      <c r="Y12380" s="1"/>
      <c r="Z12380" s="1"/>
      <c r="AA12380" s="1"/>
      <c r="AB12380" s="1"/>
      <c r="AC12380" s="1"/>
      <c r="AD12380" s="1"/>
      <c r="AE12380" s="1"/>
      <c r="AF12380" s="1"/>
      <c r="AG12380" s="1"/>
      <c r="AH12380" s="1"/>
    </row>
    <row r="12381" ht="12.75" customHeight="1">
      <c r="A12381" s="17"/>
      <c r="B12381" s="1"/>
      <c r="C12381" s="1"/>
      <c r="D12381" s="150"/>
      <c r="E12381" s="150"/>
      <c r="F12381" s="75"/>
      <c r="G12381" s="67"/>
      <c r="H12381" s="68"/>
      <c r="I12381" s="76"/>
      <c r="J12381" s="67"/>
      <c r="K12381" s="1"/>
      <c r="L12381" s="77"/>
      <c r="M12381" s="79"/>
      <c r="N12381" s="1"/>
      <c r="O12381" s="1"/>
      <c r="P12381" s="1"/>
      <c r="Q12381" s="1"/>
      <c r="R12381" s="1"/>
      <c r="S12381" s="1"/>
      <c r="T12381" s="1"/>
      <c r="U12381" s="1"/>
      <c r="V12381" s="1"/>
      <c r="W12381" s="1"/>
      <c r="X12381" s="1"/>
      <c r="Y12381" s="1"/>
      <c r="Z12381" s="1"/>
      <c r="AA12381" s="1"/>
      <c r="AB12381" s="1"/>
      <c r="AC12381" s="1"/>
      <c r="AD12381" s="1"/>
      <c r="AE12381" s="1"/>
      <c r="AF12381" s="1"/>
      <c r="AG12381" s="1"/>
      <c r="AH12381" s="1"/>
    </row>
    <row r="12382" ht="12.75" customHeight="1">
      <c r="A12382" s="17"/>
      <c r="B12382" s="1"/>
      <c r="C12382" s="1"/>
      <c r="D12382" s="150"/>
      <c r="E12382" s="150"/>
      <c r="F12382" s="75"/>
      <c r="G12382" s="67"/>
      <c r="H12382" s="68"/>
      <c r="I12382" s="76"/>
      <c r="J12382" s="67"/>
      <c r="K12382" s="1"/>
      <c r="L12382" s="77"/>
      <c r="M12382" s="79"/>
      <c r="N12382" s="1"/>
      <c r="O12382" s="1"/>
      <c r="P12382" s="1"/>
      <c r="Q12382" s="1"/>
      <c r="R12382" s="1"/>
      <c r="S12382" s="1"/>
      <c r="T12382" s="1"/>
      <c r="U12382" s="1"/>
      <c r="V12382" s="1"/>
      <c r="W12382" s="1"/>
      <c r="X12382" s="1"/>
      <c r="Y12382" s="1"/>
      <c r="Z12382" s="1"/>
      <c r="AA12382" s="1"/>
      <c r="AB12382" s="1"/>
      <c r="AC12382" s="1"/>
      <c r="AD12382" s="1"/>
      <c r="AE12382" s="1"/>
      <c r="AF12382" s="1"/>
      <c r="AG12382" s="1"/>
      <c r="AH12382" s="1"/>
    </row>
    <row r="12383" ht="12.75" customHeight="1">
      <c r="A12383" s="17"/>
      <c r="B12383" s="1"/>
      <c r="C12383" s="1"/>
      <c r="D12383" s="150"/>
      <c r="E12383" s="150"/>
      <c r="F12383" s="75"/>
      <c r="G12383" s="67"/>
      <c r="H12383" s="68"/>
      <c r="I12383" s="76"/>
      <c r="J12383" s="67"/>
      <c r="K12383" s="1"/>
      <c r="L12383" s="77"/>
      <c r="M12383" s="79"/>
      <c r="N12383" s="1"/>
      <c r="O12383" s="1"/>
      <c r="P12383" s="1"/>
      <c r="Q12383" s="1"/>
      <c r="R12383" s="1"/>
      <c r="S12383" s="1"/>
      <c r="T12383" s="1"/>
      <c r="U12383" s="1"/>
      <c r="V12383" s="1"/>
      <c r="W12383" s="1"/>
      <c r="X12383" s="1"/>
      <c r="Y12383" s="1"/>
      <c r="Z12383" s="1"/>
      <c r="AA12383" s="1"/>
      <c r="AB12383" s="1"/>
      <c r="AC12383" s="1"/>
      <c r="AD12383" s="1"/>
      <c r="AE12383" s="1"/>
      <c r="AF12383" s="1"/>
      <c r="AG12383" s="1"/>
      <c r="AH12383" s="1"/>
    </row>
    <row r="12384" ht="12.75" customHeight="1">
      <c r="A12384" s="17"/>
      <c r="B12384" s="1"/>
      <c r="C12384" s="1"/>
      <c r="D12384" s="150"/>
      <c r="E12384" s="150"/>
      <c r="F12384" s="75"/>
      <c r="G12384" s="67"/>
      <c r="H12384" s="68"/>
      <c r="I12384" s="76"/>
      <c r="J12384" s="67"/>
      <c r="K12384" s="1"/>
      <c r="L12384" s="77"/>
      <c r="M12384" s="79"/>
      <c r="N12384" s="1"/>
      <c r="O12384" s="1"/>
      <c r="P12384" s="1"/>
      <c r="Q12384" s="1"/>
      <c r="R12384" s="1"/>
      <c r="S12384" s="1"/>
      <c r="T12384" s="1"/>
      <c r="U12384" s="1"/>
      <c r="V12384" s="1"/>
      <c r="W12384" s="1"/>
      <c r="X12384" s="1"/>
      <c r="Y12384" s="1"/>
      <c r="Z12384" s="1"/>
      <c r="AA12384" s="1"/>
      <c r="AB12384" s="1"/>
      <c r="AC12384" s="1"/>
      <c r="AD12384" s="1"/>
      <c r="AE12384" s="1"/>
      <c r="AF12384" s="1"/>
      <c r="AG12384" s="1"/>
      <c r="AH12384" s="1"/>
    </row>
    <row r="12385" ht="12.75" customHeight="1">
      <c r="A12385" s="17"/>
      <c r="B12385" s="1"/>
      <c r="C12385" s="1"/>
      <c r="D12385" s="150"/>
      <c r="E12385" s="150"/>
      <c r="F12385" s="75"/>
      <c r="G12385" s="67"/>
      <c r="H12385" s="68"/>
      <c r="I12385" s="76"/>
      <c r="J12385" s="67"/>
      <c r="K12385" s="1"/>
      <c r="L12385" s="77"/>
      <c r="M12385" s="79"/>
      <c r="N12385" s="1"/>
      <c r="O12385" s="1"/>
      <c r="P12385" s="1"/>
      <c r="Q12385" s="1"/>
      <c r="R12385" s="1"/>
      <c r="S12385" s="1"/>
      <c r="T12385" s="1"/>
      <c r="U12385" s="1"/>
      <c r="V12385" s="1"/>
      <c r="W12385" s="1"/>
      <c r="X12385" s="1"/>
      <c r="Y12385" s="1"/>
      <c r="Z12385" s="1"/>
      <c r="AA12385" s="1"/>
      <c r="AB12385" s="1"/>
      <c r="AC12385" s="1"/>
      <c r="AD12385" s="1"/>
      <c r="AE12385" s="1"/>
      <c r="AF12385" s="1"/>
      <c r="AG12385" s="1"/>
      <c r="AH12385" s="1"/>
    </row>
    <row r="12386" ht="12.75" customHeight="1">
      <c r="A12386" s="17"/>
      <c r="B12386" s="1"/>
      <c r="C12386" s="1"/>
      <c r="D12386" s="150"/>
      <c r="E12386" s="150"/>
      <c r="F12386" s="75"/>
      <c r="G12386" s="67"/>
      <c r="H12386" s="68"/>
      <c r="I12386" s="76"/>
      <c r="J12386" s="67"/>
      <c r="K12386" s="1"/>
      <c r="L12386" s="77"/>
      <c r="M12386" s="79"/>
      <c r="N12386" s="1"/>
      <c r="O12386" s="1"/>
      <c r="P12386" s="1"/>
      <c r="Q12386" s="1"/>
      <c r="R12386" s="1"/>
      <c r="S12386" s="1"/>
      <c r="T12386" s="1"/>
      <c r="U12386" s="1"/>
      <c r="V12386" s="1"/>
      <c r="W12386" s="1"/>
      <c r="X12386" s="1"/>
      <c r="Y12386" s="1"/>
      <c r="Z12386" s="1"/>
      <c r="AA12386" s="1"/>
      <c r="AB12386" s="1"/>
      <c r="AC12386" s="1"/>
      <c r="AD12386" s="1"/>
      <c r="AE12386" s="1"/>
      <c r="AF12386" s="1"/>
      <c r="AG12386" s="1"/>
      <c r="AH12386" s="1"/>
    </row>
    <row r="12387" ht="12.75" customHeight="1">
      <c r="A12387" s="17"/>
      <c r="B12387" s="1"/>
      <c r="C12387" s="1"/>
      <c r="D12387" s="150"/>
      <c r="E12387" s="150"/>
      <c r="F12387" s="75"/>
      <c r="G12387" s="67"/>
      <c r="H12387" s="68"/>
      <c r="I12387" s="76"/>
      <c r="J12387" s="67"/>
      <c r="K12387" s="1"/>
      <c r="L12387" s="77"/>
      <c r="M12387" s="79"/>
      <c r="N12387" s="1"/>
      <c r="O12387" s="1"/>
      <c r="P12387" s="1"/>
      <c r="Q12387" s="1"/>
      <c r="R12387" s="1"/>
      <c r="S12387" s="1"/>
      <c r="T12387" s="1"/>
      <c r="U12387" s="1"/>
      <c r="V12387" s="1"/>
      <c r="W12387" s="1"/>
      <c r="X12387" s="1"/>
      <c r="Y12387" s="1"/>
      <c r="Z12387" s="1"/>
      <c r="AA12387" s="1"/>
      <c r="AB12387" s="1"/>
      <c r="AC12387" s="1"/>
      <c r="AD12387" s="1"/>
      <c r="AE12387" s="1"/>
      <c r="AF12387" s="1"/>
      <c r="AG12387" s="1"/>
      <c r="AH12387" s="1"/>
    </row>
    <row r="12388" ht="12.75" customHeight="1">
      <c r="A12388" s="17"/>
      <c r="B12388" s="1"/>
      <c r="C12388" s="1"/>
      <c r="D12388" s="150"/>
      <c r="E12388" s="150"/>
      <c r="F12388" s="75"/>
      <c r="G12388" s="67"/>
      <c r="H12388" s="68"/>
      <c r="I12388" s="76"/>
      <c r="J12388" s="67"/>
      <c r="K12388" s="1"/>
      <c r="L12388" s="77"/>
      <c r="M12388" s="79"/>
      <c r="N12388" s="1"/>
      <c r="O12388" s="1"/>
      <c r="P12388" s="1"/>
      <c r="Q12388" s="1"/>
      <c r="R12388" s="1"/>
      <c r="S12388" s="1"/>
      <c r="T12388" s="1"/>
      <c r="U12388" s="1"/>
      <c r="V12388" s="1"/>
      <c r="W12388" s="1"/>
      <c r="X12388" s="1"/>
      <c r="Y12388" s="1"/>
      <c r="Z12388" s="1"/>
      <c r="AA12388" s="1"/>
      <c r="AB12388" s="1"/>
      <c r="AC12388" s="1"/>
      <c r="AD12388" s="1"/>
      <c r="AE12388" s="1"/>
      <c r="AF12388" s="1"/>
      <c r="AG12388" s="1"/>
      <c r="AH12388" s="1"/>
    </row>
    <row r="12389" ht="12.75" customHeight="1">
      <c r="A12389" s="17"/>
      <c r="B12389" s="1"/>
      <c r="C12389" s="1"/>
      <c r="D12389" s="150"/>
      <c r="E12389" s="150"/>
      <c r="F12389" s="75"/>
      <c r="G12389" s="67"/>
      <c r="H12389" s="68"/>
      <c r="I12389" s="76"/>
      <c r="J12389" s="67"/>
      <c r="K12389" s="1"/>
      <c r="L12389" s="77"/>
      <c r="M12389" s="79"/>
      <c r="N12389" s="1"/>
      <c r="O12389" s="1"/>
      <c r="P12389" s="1"/>
      <c r="Q12389" s="1"/>
      <c r="R12389" s="1"/>
      <c r="S12389" s="1"/>
      <c r="T12389" s="1"/>
      <c r="U12389" s="1"/>
      <c r="V12389" s="1"/>
      <c r="W12389" s="1"/>
      <c r="X12389" s="1"/>
      <c r="Y12389" s="1"/>
      <c r="Z12389" s="1"/>
      <c r="AA12389" s="1"/>
      <c r="AB12389" s="1"/>
      <c r="AC12389" s="1"/>
      <c r="AD12389" s="1"/>
      <c r="AE12389" s="1"/>
      <c r="AF12389" s="1"/>
      <c r="AG12389" s="1"/>
      <c r="AH12389" s="1"/>
    </row>
    <row r="12390" ht="12.75" customHeight="1">
      <c r="A12390" s="17"/>
      <c r="B12390" s="1"/>
      <c r="C12390" s="1"/>
      <c r="D12390" s="150"/>
      <c r="E12390" s="150"/>
      <c r="F12390" s="75"/>
      <c r="G12390" s="67"/>
      <c r="H12390" s="68"/>
      <c r="I12390" s="76"/>
      <c r="J12390" s="67"/>
      <c r="K12390" s="1"/>
      <c r="L12390" s="77"/>
      <c r="M12390" s="79"/>
      <c r="N12390" s="1"/>
      <c r="O12390" s="1"/>
      <c r="P12390" s="1"/>
      <c r="Q12390" s="1"/>
      <c r="R12390" s="1"/>
      <c r="S12390" s="1"/>
      <c r="T12390" s="1"/>
      <c r="U12390" s="1"/>
      <c r="V12390" s="1"/>
      <c r="W12390" s="1"/>
      <c r="X12390" s="1"/>
      <c r="Y12390" s="1"/>
      <c r="Z12390" s="1"/>
      <c r="AA12390" s="1"/>
      <c r="AB12390" s="1"/>
      <c r="AC12390" s="1"/>
      <c r="AD12390" s="1"/>
      <c r="AE12390" s="1"/>
      <c r="AF12390" s="1"/>
      <c r="AG12390" s="1"/>
      <c r="AH12390" s="1"/>
    </row>
    <row r="12391" ht="12.75" customHeight="1">
      <c r="A12391" s="17"/>
      <c r="B12391" s="1"/>
      <c r="C12391" s="1"/>
      <c r="D12391" s="150"/>
      <c r="E12391" s="150"/>
      <c r="F12391" s="75"/>
      <c r="G12391" s="67"/>
      <c r="H12391" s="68"/>
      <c r="I12391" s="76"/>
      <c r="J12391" s="67"/>
      <c r="K12391" s="1"/>
      <c r="L12391" s="77"/>
      <c r="M12391" s="79"/>
      <c r="N12391" s="1"/>
      <c r="O12391" s="1"/>
      <c r="P12391" s="1"/>
      <c r="Q12391" s="1"/>
      <c r="R12391" s="1"/>
      <c r="S12391" s="1"/>
      <c r="T12391" s="1"/>
      <c r="U12391" s="1"/>
      <c r="V12391" s="1"/>
      <c r="W12391" s="1"/>
      <c r="X12391" s="1"/>
      <c r="Y12391" s="1"/>
      <c r="Z12391" s="1"/>
      <c r="AA12391" s="1"/>
      <c r="AB12391" s="1"/>
      <c r="AC12391" s="1"/>
      <c r="AD12391" s="1"/>
      <c r="AE12391" s="1"/>
      <c r="AF12391" s="1"/>
      <c r="AG12391" s="1"/>
      <c r="AH12391" s="1"/>
    </row>
    <row r="12392" ht="12.75" customHeight="1">
      <c r="A12392" s="17"/>
      <c r="B12392" s="1"/>
      <c r="C12392" s="1"/>
      <c r="D12392" s="150"/>
      <c r="E12392" s="150"/>
      <c r="F12392" s="75"/>
      <c r="G12392" s="67"/>
      <c r="H12392" s="68"/>
      <c r="I12392" s="76"/>
      <c r="J12392" s="67"/>
      <c r="K12392" s="1"/>
      <c r="L12392" s="77"/>
      <c r="M12392" s="79"/>
      <c r="N12392" s="1"/>
      <c r="O12392" s="1"/>
      <c r="P12392" s="1"/>
      <c r="Q12392" s="1"/>
      <c r="R12392" s="1"/>
      <c r="S12392" s="1"/>
      <c r="T12392" s="1"/>
      <c r="U12392" s="1"/>
      <c r="V12392" s="1"/>
      <c r="W12392" s="1"/>
      <c r="X12392" s="1"/>
      <c r="Y12392" s="1"/>
      <c r="Z12392" s="1"/>
      <c r="AA12392" s="1"/>
      <c r="AB12392" s="1"/>
      <c r="AC12392" s="1"/>
      <c r="AD12392" s="1"/>
      <c r="AE12392" s="1"/>
      <c r="AF12392" s="1"/>
      <c r="AG12392" s="1"/>
      <c r="AH12392" s="1"/>
    </row>
    <row r="12393" ht="12.75" customHeight="1">
      <c r="A12393" s="17"/>
      <c r="B12393" s="1"/>
      <c r="C12393" s="1"/>
      <c r="D12393" s="150"/>
      <c r="E12393" s="150"/>
      <c r="F12393" s="75"/>
      <c r="G12393" s="67"/>
      <c r="H12393" s="68"/>
      <c r="I12393" s="76"/>
      <c r="J12393" s="67"/>
      <c r="K12393" s="1"/>
      <c r="L12393" s="77"/>
      <c r="M12393" s="79"/>
      <c r="N12393" s="1"/>
      <c r="O12393" s="1"/>
      <c r="P12393" s="1"/>
      <c r="Q12393" s="1"/>
      <c r="R12393" s="1"/>
      <c r="S12393" s="1"/>
      <c r="T12393" s="1"/>
      <c r="U12393" s="1"/>
      <c r="V12393" s="1"/>
      <c r="W12393" s="1"/>
      <c r="X12393" s="1"/>
      <c r="Y12393" s="1"/>
      <c r="Z12393" s="1"/>
      <c r="AA12393" s="1"/>
      <c r="AB12393" s="1"/>
      <c r="AC12393" s="1"/>
      <c r="AD12393" s="1"/>
      <c r="AE12393" s="1"/>
      <c r="AF12393" s="1"/>
      <c r="AG12393" s="1"/>
      <c r="AH12393" s="1"/>
    </row>
    <row r="12394" ht="12.75" customHeight="1">
      <c r="A12394" s="17"/>
      <c r="B12394" s="1"/>
      <c r="C12394" s="1"/>
      <c r="D12394" s="150"/>
      <c r="E12394" s="150"/>
      <c r="F12394" s="75"/>
      <c r="G12394" s="67"/>
      <c r="H12394" s="68"/>
      <c r="I12394" s="76"/>
      <c r="J12394" s="67"/>
      <c r="K12394" s="1"/>
      <c r="L12394" s="77"/>
      <c r="M12394" s="79"/>
      <c r="N12394" s="1"/>
      <c r="O12394" s="1"/>
      <c r="P12394" s="1"/>
      <c r="Q12394" s="1"/>
      <c r="R12394" s="1"/>
      <c r="S12394" s="1"/>
      <c r="T12394" s="1"/>
      <c r="U12394" s="1"/>
      <c r="V12394" s="1"/>
      <c r="W12394" s="1"/>
      <c r="X12394" s="1"/>
      <c r="Y12394" s="1"/>
      <c r="Z12394" s="1"/>
      <c r="AA12394" s="1"/>
      <c r="AB12394" s="1"/>
      <c r="AC12394" s="1"/>
      <c r="AD12394" s="1"/>
      <c r="AE12394" s="1"/>
      <c r="AF12394" s="1"/>
      <c r="AG12394" s="1"/>
      <c r="AH12394" s="1"/>
    </row>
    <row r="12395" ht="12.75" customHeight="1">
      <c r="A12395" s="17"/>
      <c r="B12395" s="1"/>
      <c r="C12395" s="1"/>
      <c r="D12395" s="150"/>
      <c r="E12395" s="150"/>
      <c r="F12395" s="75"/>
      <c r="G12395" s="67"/>
      <c r="H12395" s="68"/>
      <c r="I12395" s="76"/>
      <c r="J12395" s="67"/>
      <c r="K12395" s="1"/>
      <c r="L12395" s="77"/>
      <c r="M12395" s="79"/>
      <c r="N12395" s="1"/>
      <c r="O12395" s="1"/>
      <c r="P12395" s="1"/>
      <c r="Q12395" s="1"/>
      <c r="R12395" s="1"/>
      <c r="S12395" s="1"/>
      <c r="T12395" s="1"/>
      <c r="U12395" s="1"/>
      <c r="V12395" s="1"/>
      <c r="W12395" s="1"/>
      <c r="X12395" s="1"/>
      <c r="Y12395" s="1"/>
      <c r="Z12395" s="1"/>
      <c r="AA12395" s="1"/>
      <c r="AB12395" s="1"/>
      <c r="AC12395" s="1"/>
      <c r="AD12395" s="1"/>
      <c r="AE12395" s="1"/>
      <c r="AF12395" s="1"/>
      <c r="AG12395" s="1"/>
      <c r="AH12395" s="1"/>
    </row>
    <row r="12396" ht="12.75" customHeight="1">
      <c r="A12396" s="17"/>
      <c r="B12396" s="1"/>
      <c r="C12396" s="1"/>
      <c r="D12396" s="150"/>
      <c r="E12396" s="150"/>
      <c r="F12396" s="75"/>
      <c r="G12396" s="67"/>
      <c r="H12396" s="68"/>
      <c r="I12396" s="76"/>
      <c r="J12396" s="67"/>
      <c r="K12396" s="1"/>
      <c r="L12396" s="77"/>
      <c r="M12396" s="79"/>
      <c r="N12396" s="1"/>
      <c r="O12396" s="1"/>
      <c r="P12396" s="1"/>
      <c r="Q12396" s="1"/>
      <c r="R12396" s="1"/>
      <c r="S12396" s="1"/>
      <c r="T12396" s="1"/>
      <c r="U12396" s="1"/>
      <c r="V12396" s="1"/>
      <c r="W12396" s="1"/>
      <c r="X12396" s="1"/>
      <c r="Y12396" s="1"/>
      <c r="Z12396" s="1"/>
      <c r="AA12396" s="1"/>
      <c r="AB12396" s="1"/>
      <c r="AC12396" s="1"/>
      <c r="AD12396" s="1"/>
      <c r="AE12396" s="1"/>
      <c r="AF12396" s="1"/>
      <c r="AG12396" s="1"/>
      <c r="AH12396" s="1"/>
    </row>
    <row r="12397" ht="12.75" customHeight="1">
      <c r="A12397" s="17"/>
      <c r="B12397" s="1"/>
      <c r="C12397" s="1"/>
      <c r="D12397" s="150"/>
      <c r="E12397" s="150"/>
      <c r="F12397" s="75"/>
      <c r="G12397" s="67"/>
      <c r="H12397" s="68"/>
      <c r="I12397" s="76"/>
      <c r="J12397" s="67"/>
      <c r="K12397" s="1"/>
      <c r="L12397" s="77"/>
      <c r="M12397" s="79"/>
      <c r="N12397" s="1"/>
      <c r="O12397" s="1"/>
      <c r="P12397" s="1"/>
      <c r="Q12397" s="1"/>
      <c r="R12397" s="1"/>
      <c r="S12397" s="1"/>
      <c r="T12397" s="1"/>
      <c r="U12397" s="1"/>
      <c r="V12397" s="1"/>
      <c r="W12397" s="1"/>
      <c r="X12397" s="1"/>
      <c r="Y12397" s="1"/>
      <c r="Z12397" s="1"/>
      <c r="AA12397" s="1"/>
      <c r="AB12397" s="1"/>
      <c r="AC12397" s="1"/>
      <c r="AD12397" s="1"/>
      <c r="AE12397" s="1"/>
      <c r="AF12397" s="1"/>
      <c r="AG12397" s="1"/>
      <c r="AH12397" s="1"/>
    </row>
    <row r="12398" ht="12.75" customHeight="1">
      <c r="A12398" s="17"/>
      <c r="B12398" s="1"/>
      <c r="C12398" s="1"/>
      <c r="D12398" s="150"/>
      <c r="E12398" s="150"/>
      <c r="F12398" s="75"/>
      <c r="G12398" s="67"/>
      <c r="H12398" s="68"/>
      <c r="I12398" s="76"/>
      <c r="J12398" s="67"/>
      <c r="K12398" s="1"/>
      <c r="L12398" s="77"/>
      <c r="M12398" s="79"/>
      <c r="N12398" s="1"/>
      <c r="O12398" s="1"/>
      <c r="P12398" s="1"/>
      <c r="Q12398" s="1"/>
      <c r="R12398" s="1"/>
      <c r="S12398" s="1"/>
      <c r="T12398" s="1"/>
      <c r="U12398" s="1"/>
      <c r="V12398" s="1"/>
      <c r="W12398" s="1"/>
      <c r="X12398" s="1"/>
      <c r="Y12398" s="1"/>
      <c r="Z12398" s="1"/>
      <c r="AA12398" s="1"/>
      <c r="AB12398" s="1"/>
      <c r="AC12398" s="1"/>
      <c r="AD12398" s="1"/>
      <c r="AE12398" s="1"/>
      <c r="AF12398" s="1"/>
      <c r="AG12398" s="1"/>
      <c r="AH12398" s="1"/>
    </row>
    <row r="12399" ht="12.75" customHeight="1">
      <c r="A12399" s="17"/>
      <c r="B12399" s="1"/>
      <c r="C12399" s="1"/>
      <c r="D12399" s="150"/>
      <c r="E12399" s="150"/>
      <c r="F12399" s="75"/>
      <c r="G12399" s="67"/>
      <c r="H12399" s="68"/>
      <c r="I12399" s="76"/>
      <c r="J12399" s="67"/>
      <c r="K12399" s="1"/>
      <c r="L12399" s="77"/>
      <c r="M12399" s="79"/>
      <c r="N12399" s="1"/>
      <c r="O12399" s="1"/>
      <c r="P12399" s="1"/>
      <c r="Q12399" s="1"/>
      <c r="R12399" s="1"/>
      <c r="S12399" s="1"/>
      <c r="T12399" s="1"/>
      <c r="U12399" s="1"/>
      <c r="V12399" s="1"/>
      <c r="W12399" s="1"/>
      <c r="X12399" s="1"/>
      <c r="Y12399" s="1"/>
      <c r="Z12399" s="1"/>
      <c r="AA12399" s="1"/>
      <c r="AB12399" s="1"/>
      <c r="AC12399" s="1"/>
      <c r="AD12399" s="1"/>
      <c r="AE12399" s="1"/>
      <c r="AF12399" s="1"/>
      <c r="AG12399" s="1"/>
      <c r="AH12399" s="1"/>
    </row>
    <row r="12400" ht="12.75" customHeight="1">
      <c r="A12400" s="17"/>
      <c r="B12400" s="1"/>
      <c r="C12400" s="1"/>
      <c r="D12400" s="150"/>
      <c r="E12400" s="150"/>
      <c r="F12400" s="75"/>
      <c r="G12400" s="67"/>
      <c r="H12400" s="68"/>
      <c r="I12400" s="76"/>
      <c r="J12400" s="67"/>
      <c r="K12400" s="1"/>
      <c r="L12400" s="77"/>
      <c r="M12400" s="79"/>
      <c r="N12400" s="1"/>
      <c r="O12400" s="1"/>
      <c r="P12400" s="1"/>
      <c r="Q12400" s="1"/>
      <c r="R12400" s="1"/>
      <c r="S12400" s="1"/>
      <c r="T12400" s="1"/>
      <c r="U12400" s="1"/>
      <c r="V12400" s="1"/>
      <c r="W12400" s="1"/>
      <c r="X12400" s="1"/>
      <c r="Y12400" s="1"/>
      <c r="Z12400" s="1"/>
      <c r="AA12400" s="1"/>
      <c r="AB12400" s="1"/>
      <c r="AC12400" s="1"/>
      <c r="AD12400" s="1"/>
      <c r="AE12400" s="1"/>
      <c r="AF12400" s="1"/>
      <c r="AG12400" s="1"/>
      <c r="AH12400" s="1"/>
    </row>
    <row r="12401" ht="12.75" customHeight="1">
      <c r="A12401" s="17"/>
      <c r="B12401" s="1"/>
      <c r="C12401" s="1"/>
      <c r="D12401" s="150"/>
      <c r="E12401" s="150"/>
      <c r="F12401" s="75"/>
      <c r="G12401" s="67"/>
      <c r="H12401" s="68"/>
      <c r="I12401" s="76"/>
      <c r="J12401" s="67"/>
      <c r="K12401" s="1"/>
      <c r="L12401" s="77"/>
      <c r="M12401" s="79"/>
      <c r="N12401" s="1"/>
      <c r="O12401" s="1"/>
      <c r="P12401" s="1"/>
      <c r="Q12401" s="1"/>
      <c r="R12401" s="1"/>
      <c r="S12401" s="1"/>
      <c r="T12401" s="1"/>
      <c r="U12401" s="1"/>
      <c r="V12401" s="1"/>
      <c r="W12401" s="1"/>
      <c r="X12401" s="1"/>
      <c r="Y12401" s="1"/>
      <c r="Z12401" s="1"/>
      <c r="AA12401" s="1"/>
      <c r="AB12401" s="1"/>
      <c r="AC12401" s="1"/>
      <c r="AD12401" s="1"/>
      <c r="AE12401" s="1"/>
      <c r="AF12401" s="1"/>
      <c r="AG12401" s="1"/>
      <c r="AH12401" s="1"/>
    </row>
    <row r="12402" ht="12.75" customHeight="1">
      <c r="A12402" s="17"/>
      <c r="B12402" s="1"/>
      <c r="C12402" s="1"/>
      <c r="D12402" s="150"/>
      <c r="E12402" s="150"/>
      <c r="F12402" s="75"/>
      <c r="G12402" s="67"/>
      <c r="H12402" s="68"/>
      <c r="I12402" s="76"/>
      <c r="J12402" s="67"/>
      <c r="K12402" s="1"/>
      <c r="L12402" s="77"/>
      <c r="M12402" s="79"/>
      <c r="N12402" s="1"/>
      <c r="O12402" s="1"/>
      <c r="P12402" s="1"/>
      <c r="Q12402" s="1"/>
      <c r="R12402" s="1"/>
      <c r="S12402" s="1"/>
      <c r="T12402" s="1"/>
      <c r="U12402" s="1"/>
      <c r="V12402" s="1"/>
      <c r="W12402" s="1"/>
      <c r="X12402" s="1"/>
      <c r="Y12402" s="1"/>
      <c r="Z12402" s="1"/>
      <c r="AA12402" s="1"/>
      <c r="AB12402" s="1"/>
      <c r="AC12402" s="1"/>
      <c r="AD12402" s="1"/>
      <c r="AE12402" s="1"/>
      <c r="AF12402" s="1"/>
      <c r="AG12402" s="1"/>
      <c r="AH12402" s="1"/>
    </row>
    <row r="12403" ht="12.75" customHeight="1">
      <c r="A12403" s="17"/>
      <c r="B12403" s="1"/>
      <c r="C12403" s="1"/>
      <c r="D12403" s="150"/>
      <c r="E12403" s="150"/>
      <c r="F12403" s="75"/>
      <c r="G12403" s="67"/>
      <c r="H12403" s="68"/>
      <c r="I12403" s="76"/>
      <c r="J12403" s="67"/>
      <c r="K12403" s="1"/>
      <c r="L12403" s="77"/>
      <c r="M12403" s="79"/>
      <c r="N12403" s="1"/>
      <c r="O12403" s="1"/>
      <c r="P12403" s="1"/>
      <c r="Q12403" s="1"/>
      <c r="R12403" s="1"/>
      <c r="S12403" s="1"/>
      <c r="T12403" s="1"/>
      <c r="U12403" s="1"/>
      <c r="V12403" s="1"/>
      <c r="W12403" s="1"/>
      <c r="X12403" s="1"/>
      <c r="Y12403" s="1"/>
      <c r="Z12403" s="1"/>
      <c r="AA12403" s="1"/>
      <c r="AB12403" s="1"/>
      <c r="AC12403" s="1"/>
      <c r="AD12403" s="1"/>
      <c r="AE12403" s="1"/>
      <c r="AF12403" s="1"/>
      <c r="AG12403" s="1"/>
      <c r="AH12403" s="1"/>
    </row>
    <row r="12404" ht="12.75" customHeight="1">
      <c r="A12404" s="17"/>
      <c r="B12404" s="1"/>
      <c r="C12404" s="1"/>
      <c r="D12404" s="150"/>
      <c r="E12404" s="150"/>
      <c r="F12404" s="75"/>
      <c r="G12404" s="67"/>
      <c r="H12404" s="68"/>
      <c r="I12404" s="76"/>
      <c r="J12404" s="67"/>
      <c r="K12404" s="1"/>
      <c r="L12404" s="77"/>
      <c r="M12404" s="79"/>
      <c r="N12404" s="1"/>
      <c r="O12404" s="1"/>
      <c r="P12404" s="1"/>
      <c r="Q12404" s="1"/>
      <c r="R12404" s="1"/>
      <c r="S12404" s="1"/>
      <c r="T12404" s="1"/>
      <c r="U12404" s="1"/>
      <c r="V12404" s="1"/>
      <c r="W12404" s="1"/>
      <c r="X12404" s="1"/>
      <c r="Y12404" s="1"/>
      <c r="Z12404" s="1"/>
      <c r="AA12404" s="1"/>
      <c r="AB12404" s="1"/>
      <c r="AC12404" s="1"/>
      <c r="AD12404" s="1"/>
      <c r="AE12404" s="1"/>
      <c r="AF12404" s="1"/>
      <c r="AG12404" s="1"/>
      <c r="AH12404" s="1"/>
    </row>
    <row r="12405" ht="12.75" customHeight="1">
      <c r="A12405" s="17"/>
      <c r="B12405" s="1"/>
      <c r="C12405" s="1"/>
      <c r="D12405" s="150"/>
      <c r="E12405" s="150"/>
      <c r="F12405" s="75"/>
      <c r="G12405" s="67"/>
      <c r="H12405" s="68"/>
      <c r="I12405" s="76"/>
      <c r="J12405" s="67"/>
      <c r="K12405" s="1"/>
      <c r="L12405" s="77"/>
      <c r="M12405" s="79"/>
      <c r="N12405" s="1"/>
      <c r="O12405" s="1"/>
      <c r="P12405" s="1"/>
      <c r="Q12405" s="1"/>
      <c r="R12405" s="1"/>
      <c r="S12405" s="1"/>
      <c r="T12405" s="1"/>
      <c r="U12405" s="1"/>
      <c r="V12405" s="1"/>
      <c r="W12405" s="1"/>
      <c r="X12405" s="1"/>
      <c r="Y12405" s="1"/>
      <c r="Z12405" s="1"/>
      <c r="AA12405" s="1"/>
      <c r="AB12405" s="1"/>
      <c r="AC12405" s="1"/>
      <c r="AD12405" s="1"/>
      <c r="AE12405" s="1"/>
      <c r="AF12405" s="1"/>
      <c r="AG12405" s="1"/>
      <c r="AH12405" s="1"/>
    </row>
    <row r="12406" ht="12.75" customHeight="1">
      <c r="A12406" s="17"/>
      <c r="B12406" s="1"/>
      <c r="C12406" s="1"/>
      <c r="D12406" s="150"/>
      <c r="E12406" s="150"/>
      <c r="F12406" s="75"/>
      <c r="G12406" s="67"/>
      <c r="H12406" s="68"/>
      <c r="I12406" s="76"/>
      <c r="J12406" s="67"/>
      <c r="K12406" s="1"/>
      <c r="L12406" s="77"/>
      <c r="M12406" s="79"/>
      <c r="N12406" s="1"/>
      <c r="O12406" s="1"/>
      <c r="P12406" s="1"/>
      <c r="Q12406" s="1"/>
      <c r="R12406" s="1"/>
      <c r="S12406" s="1"/>
      <c r="T12406" s="1"/>
      <c r="U12406" s="1"/>
      <c r="V12406" s="1"/>
      <c r="W12406" s="1"/>
      <c r="X12406" s="1"/>
      <c r="Y12406" s="1"/>
      <c r="Z12406" s="1"/>
      <c r="AA12406" s="1"/>
      <c r="AB12406" s="1"/>
      <c r="AC12406" s="1"/>
      <c r="AD12406" s="1"/>
      <c r="AE12406" s="1"/>
      <c r="AF12406" s="1"/>
      <c r="AG12406" s="1"/>
      <c r="AH12406" s="1"/>
    </row>
    <row r="12407" ht="12.75" customHeight="1">
      <c r="A12407" s="17"/>
      <c r="B12407" s="1"/>
      <c r="C12407" s="1"/>
      <c r="D12407" s="150"/>
      <c r="E12407" s="150"/>
      <c r="F12407" s="75"/>
      <c r="G12407" s="67"/>
      <c r="H12407" s="68"/>
      <c r="I12407" s="76"/>
      <c r="J12407" s="67"/>
      <c r="K12407" s="1"/>
      <c r="L12407" s="77"/>
      <c r="M12407" s="79"/>
      <c r="N12407" s="1"/>
      <c r="O12407" s="1"/>
      <c r="P12407" s="1"/>
      <c r="Q12407" s="1"/>
      <c r="R12407" s="1"/>
      <c r="S12407" s="1"/>
      <c r="T12407" s="1"/>
      <c r="U12407" s="1"/>
      <c r="V12407" s="1"/>
      <c r="W12407" s="1"/>
      <c r="X12407" s="1"/>
      <c r="Y12407" s="1"/>
      <c r="Z12407" s="1"/>
      <c r="AA12407" s="1"/>
      <c r="AB12407" s="1"/>
      <c r="AC12407" s="1"/>
      <c r="AD12407" s="1"/>
      <c r="AE12407" s="1"/>
      <c r="AF12407" s="1"/>
      <c r="AG12407" s="1"/>
      <c r="AH12407" s="1"/>
    </row>
    <row r="12408" ht="12.75" customHeight="1">
      <c r="A12408" s="17"/>
      <c r="B12408" s="1"/>
      <c r="C12408" s="1"/>
      <c r="D12408" s="150"/>
      <c r="E12408" s="150"/>
      <c r="F12408" s="75"/>
      <c r="G12408" s="67"/>
      <c r="H12408" s="68"/>
      <c r="I12408" s="76"/>
      <c r="J12408" s="67"/>
      <c r="K12408" s="1"/>
      <c r="L12408" s="77"/>
      <c r="M12408" s="79"/>
      <c r="N12408" s="1"/>
      <c r="O12408" s="1"/>
      <c r="P12408" s="1"/>
      <c r="Q12408" s="1"/>
      <c r="R12408" s="1"/>
      <c r="S12408" s="1"/>
      <c r="T12408" s="1"/>
      <c r="U12408" s="1"/>
      <c r="V12408" s="1"/>
      <c r="W12408" s="1"/>
      <c r="X12408" s="1"/>
      <c r="Y12408" s="1"/>
      <c r="Z12408" s="1"/>
      <c r="AA12408" s="1"/>
      <c r="AB12408" s="1"/>
      <c r="AC12408" s="1"/>
      <c r="AD12408" s="1"/>
      <c r="AE12408" s="1"/>
      <c r="AF12408" s="1"/>
      <c r="AG12408" s="1"/>
      <c r="AH12408" s="1"/>
    </row>
    <row r="12409" ht="12.75" customHeight="1">
      <c r="A12409" s="17"/>
      <c r="B12409" s="1"/>
      <c r="C12409" s="1"/>
      <c r="D12409" s="150"/>
      <c r="E12409" s="150"/>
      <c r="F12409" s="75"/>
      <c r="G12409" s="67"/>
      <c r="H12409" s="68"/>
      <c r="I12409" s="76"/>
      <c r="J12409" s="67"/>
      <c r="K12409" s="1"/>
      <c r="L12409" s="77"/>
      <c r="M12409" s="79"/>
      <c r="N12409" s="1"/>
      <c r="O12409" s="1"/>
      <c r="P12409" s="1"/>
      <c r="Q12409" s="1"/>
      <c r="R12409" s="1"/>
      <c r="S12409" s="1"/>
      <c r="T12409" s="1"/>
      <c r="U12409" s="1"/>
      <c r="V12409" s="1"/>
      <c r="W12409" s="1"/>
      <c r="X12409" s="1"/>
      <c r="Y12409" s="1"/>
      <c r="Z12409" s="1"/>
      <c r="AA12409" s="1"/>
      <c r="AB12409" s="1"/>
      <c r="AC12409" s="1"/>
      <c r="AD12409" s="1"/>
      <c r="AE12409" s="1"/>
      <c r="AF12409" s="1"/>
      <c r="AG12409" s="1"/>
      <c r="AH12409" s="1"/>
    </row>
    <row r="12410" ht="12.75" customHeight="1">
      <c r="A12410" s="17"/>
      <c r="B12410" s="1"/>
      <c r="C12410" s="1"/>
      <c r="D12410" s="150"/>
      <c r="E12410" s="150"/>
      <c r="F12410" s="75"/>
      <c r="G12410" s="67"/>
      <c r="H12410" s="68"/>
      <c r="I12410" s="76"/>
      <c r="J12410" s="67"/>
      <c r="K12410" s="1"/>
      <c r="L12410" s="77"/>
      <c r="M12410" s="79"/>
      <c r="N12410" s="1"/>
      <c r="O12410" s="1"/>
      <c r="P12410" s="1"/>
      <c r="Q12410" s="1"/>
      <c r="R12410" s="1"/>
      <c r="S12410" s="1"/>
      <c r="T12410" s="1"/>
      <c r="U12410" s="1"/>
      <c r="V12410" s="1"/>
      <c r="W12410" s="1"/>
      <c r="X12410" s="1"/>
      <c r="Y12410" s="1"/>
      <c r="Z12410" s="1"/>
      <c r="AA12410" s="1"/>
      <c r="AB12410" s="1"/>
      <c r="AC12410" s="1"/>
      <c r="AD12410" s="1"/>
      <c r="AE12410" s="1"/>
      <c r="AF12410" s="1"/>
      <c r="AG12410" s="1"/>
      <c r="AH12410" s="1"/>
    </row>
    <row r="12411" ht="12.75" customHeight="1">
      <c r="A12411" s="17"/>
      <c r="B12411" s="1"/>
      <c r="C12411" s="1"/>
      <c r="D12411" s="150"/>
      <c r="E12411" s="150"/>
      <c r="F12411" s="75"/>
      <c r="G12411" s="67"/>
      <c r="H12411" s="68"/>
      <c r="I12411" s="76"/>
      <c r="J12411" s="67"/>
      <c r="K12411" s="1"/>
      <c r="L12411" s="77"/>
      <c r="M12411" s="79"/>
      <c r="N12411" s="1"/>
      <c r="O12411" s="1"/>
      <c r="P12411" s="1"/>
      <c r="Q12411" s="1"/>
      <c r="R12411" s="1"/>
      <c r="S12411" s="1"/>
      <c r="T12411" s="1"/>
      <c r="U12411" s="1"/>
      <c r="V12411" s="1"/>
      <c r="W12411" s="1"/>
      <c r="X12411" s="1"/>
      <c r="Y12411" s="1"/>
      <c r="Z12411" s="1"/>
      <c r="AA12411" s="1"/>
      <c r="AB12411" s="1"/>
      <c r="AC12411" s="1"/>
      <c r="AD12411" s="1"/>
      <c r="AE12411" s="1"/>
      <c r="AF12411" s="1"/>
      <c r="AG12411" s="1"/>
      <c r="AH12411" s="1"/>
    </row>
    <row r="12412" ht="12.75" customHeight="1">
      <c r="A12412" s="17"/>
      <c r="B12412" s="1"/>
      <c r="C12412" s="1"/>
      <c r="D12412" s="150"/>
      <c r="E12412" s="150"/>
      <c r="F12412" s="75"/>
      <c r="G12412" s="67"/>
      <c r="H12412" s="68"/>
      <c r="I12412" s="76"/>
      <c r="J12412" s="67"/>
      <c r="K12412" s="1"/>
      <c r="L12412" s="77"/>
      <c r="M12412" s="79"/>
      <c r="N12412" s="1"/>
      <c r="O12412" s="1"/>
      <c r="P12412" s="1"/>
      <c r="Q12412" s="1"/>
      <c r="R12412" s="1"/>
      <c r="S12412" s="1"/>
      <c r="T12412" s="1"/>
      <c r="U12412" s="1"/>
      <c r="V12412" s="1"/>
      <c r="W12412" s="1"/>
      <c r="X12412" s="1"/>
      <c r="Y12412" s="1"/>
      <c r="Z12412" s="1"/>
      <c r="AA12412" s="1"/>
      <c r="AB12412" s="1"/>
      <c r="AC12412" s="1"/>
      <c r="AD12412" s="1"/>
      <c r="AE12412" s="1"/>
      <c r="AF12412" s="1"/>
      <c r="AG12412" s="1"/>
      <c r="AH12412" s="1"/>
    </row>
    <row r="12413" ht="12.75" customHeight="1">
      <c r="A12413" s="17"/>
      <c r="B12413" s="1"/>
      <c r="C12413" s="1"/>
      <c r="D12413" s="150"/>
      <c r="E12413" s="150"/>
      <c r="F12413" s="75"/>
      <c r="G12413" s="67"/>
      <c r="H12413" s="68"/>
      <c r="I12413" s="76"/>
      <c r="J12413" s="67"/>
      <c r="K12413" s="1"/>
      <c r="L12413" s="77"/>
      <c r="M12413" s="79"/>
      <c r="N12413" s="1"/>
      <c r="O12413" s="1"/>
      <c r="P12413" s="1"/>
      <c r="Q12413" s="1"/>
      <c r="R12413" s="1"/>
      <c r="S12413" s="1"/>
      <c r="T12413" s="1"/>
      <c r="U12413" s="1"/>
      <c r="V12413" s="1"/>
      <c r="W12413" s="1"/>
      <c r="X12413" s="1"/>
      <c r="Y12413" s="1"/>
      <c r="Z12413" s="1"/>
      <c r="AA12413" s="1"/>
      <c r="AB12413" s="1"/>
      <c r="AC12413" s="1"/>
      <c r="AD12413" s="1"/>
      <c r="AE12413" s="1"/>
      <c r="AF12413" s="1"/>
      <c r="AG12413" s="1"/>
      <c r="AH12413" s="1"/>
    </row>
    <row r="12414" ht="12.75" customHeight="1">
      <c r="A12414" s="17"/>
      <c r="B12414" s="1"/>
      <c r="C12414" s="1"/>
      <c r="D12414" s="150"/>
      <c r="E12414" s="150"/>
      <c r="F12414" s="75"/>
      <c r="G12414" s="67"/>
      <c r="H12414" s="68"/>
      <c r="I12414" s="76"/>
      <c r="J12414" s="67"/>
      <c r="K12414" s="1"/>
      <c r="L12414" s="77"/>
      <c r="M12414" s="79"/>
      <c r="N12414" s="1"/>
      <c r="O12414" s="1"/>
      <c r="P12414" s="1"/>
      <c r="Q12414" s="1"/>
      <c r="R12414" s="1"/>
      <c r="S12414" s="1"/>
      <c r="T12414" s="1"/>
      <c r="U12414" s="1"/>
      <c r="V12414" s="1"/>
      <c r="W12414" s="1"/>
      <c r="X12414" s="1"/>
      <c r="Y12414" s="1"/>
      <c r="Z12414" s="1"/>
      <c r="AA12414" s="1"/>
      <c r="AB12414" s="1"/>
      <c r="AC12414" s="1"/>
      <c r="AD12414" s="1"/>
      <c r="AE12414" s="1"/>
      <c r="AF12414" s="1"/>
      <c r="AG12414" s="1"/>
      <c r="AH12414" s="1"/>
    </row>
    <row r="12415" ht="12.75" customHeight="1">
      <c r="A12415" s="17"/>
      <c r="B12415" s="1"/>
      <c r="C12415" s="1"/>
      <c r="D12415" s="150"/>
      <c r="E12415" s="150"/>
      <c r="F12415" s="75"/>
      <c r="G12415" s="67"/>
      <c r="H12415" s="68"/>
      <c r="I12415" s="76"/>
      <c r="J12415" s="67"/>
      <c r="K12415" s="1"/>
      <c r="L12415" s="77"/>
      <c r="M12415" s="79"/>
      <c r="N12415" s="1"/>
      <c r="O12415" s="1"/>
      <c r="P12415" s="1"/>
      <c r="Q12415" s="1"/>
      <c r="R12415" s="1"/>
      <c r="S12415" s="1"/>
      <c r="T12415" s="1"/>
      <c r="U12415" s="1"/>
      <c r="V12415" s="1"/>
      <c r="W12415" s="1"/>
      <c r="X12415" s="1"/>
      <c r="Y12415" s="1"/>
      <c r="Z12415" s="1"/>
      <c r="AA12415" s="1"/>
      <c r="AB12415" s="1"/>
      <c r="AC12415" s="1"/>
      <c r="AD12415" s="1"/>
      <c r="AE12415" s="1"/>
      <c r="AF12415" s="1"/>
      <c r="AG12415" s="1"/>
      <c r="AH12415" s="1"/>
    </row>
    <row r="12416" ht="12.75" customHeight="1">
      <c r="A12416" s="17"/>
      <c r="B12416" s="1"/>
      <c r="C12416" s="1"/>
      <c r="D12416" s="150"/>
      <c r="E12416" s="150"/>
      <c r="F12416" s="75"/>
      <c r="G12416" s="67"/>
      <c r="H12416" s="68"/>
      <c r="I12416" s="76"/>
      <c r="J12416" s="67"/>
      <c r="K12416" s="1"/>
      <c r="L12416" s="77"/>
      <c r="M12416" s="79"/>
      <c r="N12416" s="1"/>
      <c r="O12416" s="1"/>
      <c r="P12416" s="1"/>
      <c r="Q12416" s="1"/>
      <c r="R12416" s="1"/>
      <c r="S12416" s="1"/>
      <c r="T12416" s="1"/>
      <c r="U12416" s="1"/>
      <c r="V12416" s="1"/>
      <c r="W12416" s="1"/>
      <c r="X12416" s="1"/>
      <c r="Y12416" s="1"/>
      <c r="Z12416" s="1"/>
      <c r="AA12416" s="1"/>
      <c r="AB12416" s="1"/>
      <c r="AC12416" s="1"/>
      <c r="AD12416" s="1"/>
      <c r="AE12416" s="1"/>
      <c r="AF12416" s="1"/>
      <c r="AG12416" s="1"/>
      <c r="AH12416" s="1"/>
    </row>
    <row r="12417" ht="12.75" customHeight="1">
      <c r="A12417" s="17"/>
      <c r="B12417" s="1"/>
      <c r="C12417" s="1"/>
      <c r="D12417" s="150"/>
      <c r="E12417" s="150"/>
      <c r="F12417" s="75"/>
      <c r="G12417" s="67"/>
      <c r="H12417" s="68"/>
      <c r="I12417" s="76"/>
      <c r="J12417" s="67"/>
      <c r="K12417" s="1"/>
      <c r="L12417" s="77"/>
      <c r="M12417" s="79"/>
      <c r="N12417" s="1"/>
      <c r="O12417" s="1"/>
      <c r="P12417" s="1"/>
      <c r="Q12417" s="1"/>
      <c r="R12417" s="1"/>
      <c r="S12417" s="1"/>
      <c r="T12417" s="1"/>
      <c r="U12417" s="1"/>
      <c r="V12417" s="1"/>
      <c r="W12417" s="1"/>
      <c r="X12417" s="1"/>
      <c r="Y12417" s="1"/>
      <c r="Z12417" s="1"/>
      <c r="AA12417" s="1"/>
      <c r="AB12417" s="1"/>
      <c r="AC12417" s="1"/>
      <c r="AD12417" s="1"/>
      <c r="AE12417" s="1"/>
      <c r="AF12417" s="1"/>
      <c r="AG12417" s="1"/>
      <c r="AH12417" s="1"/>
    </row>
    <row r="12418" ht="12.75" customHeight="1">
      <c r="A12418" s="17"/>
      <c r="B12418" s="1"/>
      <c r="C12418" s="1"/>
      <c r="D12418" s="150"/>
      <c r="E12418" s="150"/>
      <c r="F12418" s="75"/>
      <c r="G12418" s="67"/>
      <c r="H12418" s="68"/>
      <c r="I12418" s="76"/>
      <c r="J12418" s="67"/>
      <c r="K12418" s="1"/>
      <c r="L12418" s="77"/>
      <c r="M12418" s="79"/>
      <c r="N12418" s="1"/>
      <c r="O12418" s="1"/>
      <c r="P12418" s="1"/>
      <c r="Q12418" s="1"/>
      <c r="R12418" s="1"/>
      <c r="S12418" s="1"/>
      <c r="T12418" s="1"/>
      <c r="U12418" s="1"/>
      <c r="V12418" s="1"/>
      <c r="W12418" s="1"/>
      <c r="X12418" s="1"/>
      <c r="Y12418" s="1"/>
      <c r="Z12418" s="1"/>
      <c r="AA12418" s="1"/>
      <c r="AB12418" s="1"/>
      <c r="AC12418" s="1"/>
      <c r="AD12418" s="1"/>
      <c r="AE12418" s="1"/>
      <c r="AF12418" s="1"/>
      <c r="AG12418" s="1"/>
      <c r="AH12418" s="1"/>
    </row>
    <row r="12419" ht="12.75" customHeight="1">
      <c r="A12419" s="17"/>
      <c r="B12419" s="1"/>
      <c r="C12419" s="1"/>
      <c r="D12419" s="150"/>
      <c r="E12419" s="150"/>
      <c r="F12419" s="75"/>
      <c r="G12419" s="67"/>
      <c r="H12419" s="68"/>
      <c r="I12419" s="76"/>
      <c r="J12419" s="67"/>
      <c r="K12419" s="1"/>
      <c r="L12419" s="77"/>
      <c r="M12419" s="79"/>
      <c r="N12419" s="1"/>
      <c r="O12419" s="1"/>
      <c r="P12419" s="1"/>
      <c r="Q12419" s="1"/>
      <c r="R12419" s="1"/>
      <c r="S12419" s="1"/>
      <c r="T12419" s="1"/>
      <c r="U12419" s="1"/>
      <c r="V12419" s="1"/>
      <c r="W12419" s="1"/>
      <c r="X12419" s="1"/>
      <c r="Y12419" s="1"/>
      <c r="Z12419" s="1"/>
      <c r="AA12419" s="1"/>
      <c r="AB12419" s="1"/>
      <c r="AC12419" s="1"/>
      <c r="AD12419" s="1"/>
      <c r="AE12419" s="1"/>
      <c r="AF12419" s="1"/>
      <c r="AG12419" s="1"/>
      <c r="AH12419" s="1"/>
    </row>
    <row r="12420" ht="12.75" customHeight="1">
      <c r="A12420" s="17"/>
      <c r="B12420" s="1"/>
      <c r="C12420" s="1"/>
      <c r="D12420" s="150"/>
      <c r="E12420" s="150"/>
      <c r="F12420" s="75"/>
      <c r="G12420" s="67"/>
      <c r="H12420" s="68"/>
      <c r="I12420" s="76"/>
      <c r="J12420" s="67"/>
      <c r="K12420" s="1"/>
      <c r="L12420" s="77"/>
      <c r="M12420" s="79"/>
      <c r="N12420" s="1"/>
      <c r="O12420" s="1"/>
      <c r="P12420" s="1"/>
      <c r="Q12420" s="1"/>
      <c r="R12420" s="1"/>
      <c r="S12420" s="1"/>
      <c r="T12420" s="1"/>
      <c r="U12420" s="1"/>
      <c r="V12420" s="1"/>
      <c r="W12420" s="1"/>
      <c r="X12420" s="1"/>
      <c r="Y12420" s="1"/>
      <c r="Z12420" s="1"/>
      <c r="AA12420" s="1"/>
      <c r="AB12420" s="1"/>
      <c r="AC12420" s="1"/>
      <c r="AD12420" s="1"/>
      <c r="AE12420" s="1"/>
      <c r="AF12420" s="1"/>
      <c r="AG12420" s="1"/>
      <c r="AH12420" s="1"/>
    </row>
    <row r="12421" ht="12.75" customHeight="1">
      <c r="A12421" s="17"/>
      <c r="B12421" s="1"/>
      <c r="C12421" s="1"/>
      <c r="D12421" s="150"/>
      <c r="E12421" s="150"/>
      <c r="F12421" s="75"/>
      <c r="G12421" s="67"/>
      <c r="H12421" s="68"/>
      <c r="I12421" s="76"/>
      <c r="J12421" s="67"/>
      <c r="K12421" s="1"/>
      <c r="L12421" s="77"/>
      <c r="M12421" s="79"/>
      <c r="N12421" s="1"/>
      <c r="O12421" s="1"/>
      <c r="P12421" s="1"/>
      <c r="Q12421" s="1"/>
      <c r="R12421" s="1"/>
      <c r="S12421" s="1"/>
      <c r="T12421" s="1"/>
      <c r="U12421" s="1"/>
      <c r="V12421" s="1"/>
      <c r="W12421" s="1"/>
      <c r="X12421" s="1"/>
      <c r="Y12421" s="1"/>
      <c r="Z12421" s="1"/>
      <c r="AA12421" s="1"/>
      <c r="AB12421" s="1"/>
      <c r="AC12421" s="1"/>
      <c r="AD12421" s="1"/>
      <c r="AE12421" s="1"/>
      <c r="AF12421" s="1"/>
      <c r="AG12421" s="1"/>
      <c r="AH12421" s="1"/>
    </row>
    <row r="12422" ht="12.75" customHeight="1">
      <c r="A12422" s="17"/>
      <c r="B12422" s="1"/>
      <c r="C12422" s="1"/>
      <c r="D12422" s="150"/>
      <c r="E12422" s="150"/>
      <c r="F12422" s="75"/>
      <c r="G12422" s="67"/>
      <c r="H12422" s="68"/>
      <c r="I12422" s="76"/>
      <c r="J12422" s="67"/>
      <c r="K12422" s="1"/>
      <c r="L12422" s="77"/>
      <c r="M12422" s="79"/>
      <c r="N12422" s="1"/>
      <c r="O12422" s="1"/>
      <c r="P12422" s="1"/>
      <c r="Q12422" s="1"/>
      <c r="R12422" s="1"/>
      <c r="S12422" s="1"/>
      <c r="T12422" s="1"/>
      <c r="U12422" s="1"/>
      <c r="V12422" s="1"/>
      <c r="W12422" s="1"/>
      <c r="X12422" s="1"/>
      <c r="Y12422" s="1"/>
      <c r="Z12422" s="1"/>
      <c r="AA12422" s="1"/>
      <c r="AB12422" s="1"/>
      <c r="AC12422" s="1"/>
      <c r="AD12422" s="1"/>
      <c r="AE12422" s="1"/>
      <c r="AF12422" s="1"/>
      <c r="AG12422" s="1"/>
      <c r="AH12422" s="1"/>
    </row>
    <row r="12423" ht="12.75" customHeight="1">
      <c r="A12423" s="17"/>
      <c r="B12423" s="1"/>
      <c r="C12423" s="1"/>
      <c r="D12423" s="150"/>
      <c r="E12423" s="150"/>
      <c r="F12423" s="75"/>
      <c r="G12423" s="67"/>
      <c r="H12423" s="68"/>
      <c r="I12423" s="76"/>
      <c r="J12423" s="67"/>
      <c r="K12423" s="1"/>
      <c r="L12423" s="77"/>
      <c r="M12423" s="79"/>
      <c r="N12423" s="1"/>
      <c r="O12423" s="1"/>
      <c r="P12423" s="1"/>
      <c r="Q12423" s="1"/>
      <c r="R12423" s="1"/>
      <c r="S12423" s="1"/>
      <c r="T12423" s="1"/>
      <c r="U12423" s="1"/>
      <c r="V12423" s="1"/>
      <c r="W12423" s="1"/>
      <c r="X12423" s="1"/>
      <c r="Y12423" s="1"/>
      <c r="Z12423" s="1"/>
      <c r="AA12423" s="1"/>
      <c r="AB12423" s="1"/>
      <c r="AC12423" s="1"/>
      <c r="AD12423" s="1"/>
      <c r="AE12423" s="1"/>
      <c r="AF12423" s="1"/>
      <c r="AG12423" s="1"/>
      <c r="AH12423" s="1"/>
    </row>
    <row r="12424" ht="12.75" customHeight="1">
      <c r="A12424" s="17"/>
      <c r="B12424" s="1"/>
      <c r="C12424" s="1"/>
      <c r="D12424" s="150"/>
      <c r="E12424" s="150"/>
      <c r="F12424" s="75"/>
      <c r="G12424" s="67"/>
      <c r="H12424" s="68"/>
      <c r="I12424" s="76"/>
      <c r="J12424" s="67"/>
      <c r="K12424" s="1"/>
      <c r="L12424" s="77"/>
      <c r="M12424" s="79"/>
      <c r="N12424" s="1"/>
      <c r="O12424" s="1"/>
      <c r="P12424" s="1"/>
      <c r="Q12424" s="1"/>
      <c r="R12424" s="1"/>
      <c r="S12424" s="1"/>
      <c r="T12424" s="1"/>
      <c r="U12424" s="1"/>
      <c r="V12424" s="1"/>
      <c r="W12424" s="1"/>
      <c r="X12424" s="1"/>
      <c r="Y12424" s="1"/>
      <c r="Z12424" s="1"/>
      <c r="AA12424" s="1"/>
      <c r="AB12424" s="1"/>
      <c r="AC12424" s="1"/>
      <c r="AD12424" s="1"/>
      <c r="AE12424" s="1"/>
      <c r="AF12424" s="1"/>
      <c r="AG12424" s="1"/>
      <c r="AH12424" s="1"/>
    </row>
    <row r="12425" ht="12.75" customHeight="1">
      <c r="A12425" s="17"/>
      <c r="B12425" s="1"/>
      <c r="C12425" s="1"/>
      <c r="D12425" s="150"/>
      <c r="E12425" s="150"/>
      <c r="F12425" s="75"/>
      <c r="G12425" s="67"/>
      <c r="H12425" s="68"/>
      <c r="I12425" s="76"/>
      <c r="J12425" s="67"/>
      <c r="K12425" s="1"/>
      <c r="L12425" s="77"/>
      <c r="M12425" s="79"/>
      <c r="N12425" s="1"/>
      <c r="O12425" s="1"/>
      <c r="P12425" s="1"/>
      <c r="Q12425" s="1"/>
      <c r="R12425" s="1"/>
      <c r="S12425" s="1"/>
      <c r="T12425" s="1"/>
      <c r="U12425" s="1"/>
      <c r="V12425" s="1"/>
      <c r="W12425" s="1"/>
      <c r="X12425" s="1"/>
      <c r="Y12425" s="1"/>
      <c r="Z12425" s="1"/>
      <c r="AA12425" s="1"/>
      <c r="AB12425" s="1"/>
      <c r="AC12425" s="1"/>
      <c r="AD12425" s="1"/>
      <c r="AE12425" s="1"/>
      <c r="AF12425" s="1"/>
      <c r="AG12425" s="1"/>
      <c r="AH12425" s="1"/>
    </row>
    <row r="12426" ht="12.75" customHeight="1">
      <c r="A12426" s="17"/>
      <c r="B12426" s="1"/>
      <c r="C12426" s="1"/>
      <c r="D12426" s="150"/>
      <c r="E12426" s="150"/>
      <c r="F12426" s="75"/>
      <c r="G12426" s="67"/>
      <c r="H12426" s="68"/>
      <c r="I12426" s="76"/>
      <c r="J12426" s="67"/>
      <c r="K12426" s="1"/>
      <c r="L12426" s="77"/>
      <c r="M12426" s="79"/>
      <c r="N12426" s="1"/>
      <c r="O12426" s="1"/>
      <c r="P12426" s="1"/>
      <c r="Q12426" s="1"/>
      <c r="R12426" s="1"/>
      <c r="S12426" s="1"/>
      <c r="T12426" s="1"/>
      <c r="U12426" s="1"/>
      <c r="V12426" s="1"/>
      <c r="W12426" s="1"/>
      <c r="X12426" s="1"/>
      <c r="Y12426" s="1"/>
      <c r="Z12426" s="1"/>
      <c r="AA12426" s="1"/>
      <c r="AB12426" s="1"/>
      <c r="AC12426" s="1"/>
      <c r="AD12426" s="1"/>
      <c r="AE12426" s="1"/>
      <c r="AF12426" s="1"/>
      <c r="AG12426" s="1"/>
      <c r="AH12426" s="1"/>
    </row>
    <row r="12427" ht="12.75" customHeight="1">
      <c r="A12427" s="17"/>
      <c r="B12427" s="1"/>
      <c r="C12427" s="1"/>
      <c r="D12427" s="150"/>
      <c r="E12427" s="150"/>
      <c r="F12427" s="75"/>
      <c r="G12427" s="67"/>
      <c r="H12427" s="68"/>
      <c r="I12427" s="76"/>
      <c r="J12427" s="67"/>
      <c r="K12427" s="1"/>
      <c r="L12427" s="77"/>
      <c r="M12427" s="79"/>
      <c r="N12427" s="1"/>
      <c r="O12427" s="1"/>
      <c r="P12427" s="1"/>
      <c r="Q12427" s="1"/>
      <c r="R12427" s="1"/>
      <c r="S12427" s="1"/>
      <c r="T12427" s="1"/>
      <c r="U12427" s="1"/>
      <c r="V12427" s="1"/>
      <c r="W12427" s="1"/>
      <c r="X12427" s="1"/>
      <c r="Y12427" s="1"/>
      <c r="Z12427" s="1"/>
      <c r="AA12427" s="1"/>
      <c r="AB12427" s="1"/>
      <c r="AC12427" s="1"/>
      <c r="AD12427" s="1"/>
      <c r="AE12427" s="1"/>
      <c r="AF12427" s="1"/>
      <c r="AG12427" s="1"/>
      <c r="AH12427" s="1"/>
    </row>
    <row r="12428" ht="12.75" customHeight="1">
      <c r="A12428" s="17"/>
      <c r="B12428" s="1"/>
      <c r="C12428" s="1"/>
      <c r="D12428" s="150"/>
      <c r="E12428" s="150"/>
      <c r="F12428" s="75"/>
      <c r="G12428" s="67"/>
      <c r="H12428" s="68"/>
      <c r="I12428" s="76"/>
      <c r="J12428" s="67"/>
      <c r="K12428" s="1"/>
      <c r="L12428" s="77"/>
      <c r="M12428" s="79"/>
      <c r="N12428" s="1"/>
      <c r="O12428" s="1"/>
      <c r="P12428" s="1"/>
      <c r="Q12428" s="1"/>
      <c r="R12428" s="1"/>
      <c r="S12428" s="1"/>
      <c r="T12428" s="1"/>
      <c r="U12428" s="1"/>
      <c r="V12428" s="1"/>
      <c r="W12428" s="1"/>
      <c r="X12428" s="1"/>
      <c r="Y12428" s="1"/>
      <c r="Z12428" s="1"/>
      <c r="AA12428" s="1"/>
      <c r="AB12428" s="1"/>
      <c r="AC12428" s="1"/>
      <c r="AD12428" s="1"/>
      <c r="AE12428" s="1"/>
      <c r="AF12428" s="1"/>
      <c r="AG12428" s="1"/>
      <c r="AH12428" s="1"/>
    </row>
    <row r="12429" ht="12.75" customHeight="1">
      <c r="A12429" s="17"/>
      <c r="B12429" s="1"/>
      <c r="C12429" s="1"/>
      <c r="D12429" s="150"/>
      <c r="E12429" s="150"/>
      <c r="F12429" s="75"/>
      <c r="G12429" s="67"/>
      <c r="H12429" s="68"/>
      <c r="I12429" s="76"/>
      <c r="J12429" s="67"/>
      <c r="K12429" s="1"/>
      <c r="L12429" s="77"/>
      <c r="M12429" s="79"/>
      <c r="N12429" s="1"/>
      <c r="O12429" s="1"/>
      <c r="P12429" s="1"/>
      <c r="Q12429" s="1"/>
      <c r="R12429" s="1"/>
      <c r="S12429" s="1"/>
      <c r="T12429" s="1"/>
      <c r="U12429" s="1"/>
      <c r="V12429" s="1"/>
      <c r="W12429" s="1"/>
      <c r="X12429" s="1"/>
      <c r="Y12429" s="1"/>
      <c r="Z12429" s="1"/>
      <c r="AA12429" s="1"/>
      <c r="AB12429" s="1"/>
      <c r="AC12429" s="1"/>
      <c r="AD12429" s="1"/>
      <c r="AE12429" s="1"/>
      <c r="AF12429" s="1"/>
      <c r="AG12429" s="1"/>
      <c r="AH12429" s="1"/>
    </row>
    <row r="12430" ht="12.75" customHeight="1">
      <c r="A12430" s="17"/>
      <c r="B12430" s="1"/>
      <c r="C12430" s="1"/>
      <c r="D12430" s="150"/>
      <c r="E12430" s="150"/>
      <c r="F12430" s="75"/>
      <c r="G12430" s="67"/>
      <c r="H12430" s="68"/>
      <c r="I12430" s="76"/>
      <c r="J12430" s="67"/>
      <c r="K12430" s="1"/>
      <c r="L12430" s="77"/>
      <c r="M12430" s="79"/>
      <c r="N12430" s="1"/>
      <c r="O12430" s="1"/>
      <c r="P12430" s="1"/>
      <c r="Q12430" s="1"/>
      <c r="R12430" s="1"/>
      <c r="S12430" s="1"/>
      <c r="T12430" s="1"/>
      <c r="U12430" s="1"/>
      <c r="V12430" s="1"/>
      <c r="W12430" s="1"/>
      <c r="X12430" s="1"/>
      <c r="Y12430" s="1"/>
      <c r="Z12430" s="1"/>
      <c r="AA12430" s="1"/>
      <c r="AB12430" s="1"/>
      <c r="AC12430" s="1"/>
      <c r="AD12430" s="1"/>
      <c r="AE12430" s="1"/>
      <c r="AF12430" s="1"/>
      <c r="AG12430" s="1"/>
      <c r="AH12430" s="1"/>
    </row>
    <row r="12431" ht="12.75" customHeight="1">
      <c r="A12431" s="17"/>
      <c r="B12431" s="1"/>
      <c r="C12431" s="1"/>
      <c r="D12431" s="150"/>
      <c r="E12431" s="150"/>
      <c r="F12431" s="75"/>
      <c r="G12431" s="67"/>
      <c r="H12431" s="68"/>
      <c r="I12431" s="76"/>
      <c r="J12431" s="67"/>
      <c r="K12431" s="1"/>
      <c r="L12431" s="77"/>
      <c r="M12431" s="79"/>
      <c r="N12431" s="1"/>
      <c r="O12431" s="1"/>
      <c r="P12431" s="1"/>
      <c r="Q12431" s="1"/>
      <c r="R12431" s="1"/>
      <c r="S12431" s="1"/>
      <c r="T12431" s="1"/>
      <c r="U12431" s="1"/>
      <c r="V12431" s="1"/>
      <c r="W12431" s="1"/>
      <c r="X12431" s="1"/>
      <c r="Y12431" s="1"/>
      <c r="Z12431" s="1"/>
      <c r="AA12431" s="1"/>
      <c r="AB12431" s="1"/>
      <c r="AC12431" s="1"/>
      <c r="AD12431" s="1"/>
      <c r="AE12431" s="1"/>
      <c r="AF12431" s="1"/>
      <c r="AG12431" s="1"/>
      <c r="AH12431" s="1"/>
    </row>
    <row r="12432" ht="12.75" customHeight="1">
      <c r="A12432" s="17"/>
      <c r="B12432" s="1"/>
      <c r="C12432" s="1"/>
      <c r="D12432" s="150"/>
      <c r="E12432" s="150"/>
      <c r="F12432" s="75"/>
      <c r="G12432" s="67"/>
      <c r="H12432" s="68"/>
      <c r="I12432" s="76"/>
      <c r="J12432" s="67"/>
      <c r="K12432" s="1"/>
      <c r="L12432" s="77"/>
      <c r="M12432" s="79"/>
      <c r="N12432" s="1"/>
      <c r="O12432" s="1"/>
      <c r="P12432" s="1"/>
      <c r="Q12432" s="1"/>
      <c r="R12432" s="1"/>
      <c r="S12432" s="1"/>
      <c r="T12432" s="1"/>
      <c r="U12432" s="1"/>
      <c r="V12432" s="1"/>
      <c r="W12432" s="1"/>
      <c r="X12432" s="1"/>
      <c r="Y12432" s="1"/>
      <c r="Z12432" s="1"/>
      <c r="AA12432" s="1"/>
      <c r="AB12432" s="1"/>
      <c r="AC12432" s="1"/>
      <c r="AD12432" s="1"/>
      <c r="AE12432" s="1"/>
      <c r="AF12432" s="1"/>
      <c r="AG12432" s="1"/>
      <c r="AH12432" s="1"/>
    </row>
    <row r="12433" ht="12.75" customHeight="1">
      <c r="A12433" s="17"/>
      <c r="B12433" s="1"/>
      <c r="C12433" s="1"/>
      <c r="D12433" s="150"/>
      <c r="E12433" s="150"/>
      <c r="F12433" s="75"/>
      <c r="G12433" s="67"/>
      <c r="H12433" s="68"/>
      <c r="I12433" s="76"/>
      <c r="J12433" s="67"/>
      <c r="K12433" s="1"/>
      <c r="L12433" s="77"/>
      <c r="M12433" s="79"/>
      <c r="N12433" s="1"/>
      <c r="O12433" s="1"/>
      <c r="P12433" s="1"/>
      <c r="Q12433" s="1"/>
      <c r="R12433" s="1"/>
      <c r="S12433" s="1"/>
      <c r="T12433" s="1"/>
      <c r="U12433" s="1"/>
      <c r="V12433" s="1"/>
      <c r="W12433" s="1"/>
      <c r="X12433" s="1"/>
      <c r="Y12433" s="1"/>
      <c r="Z12433" s="1"/>
      <c r="AA12433" s="1"/>
      <c r="AB12433" s="1"/>
      <c r="AC12433" s="1"/>
      <c r="AD12433" s="1"/>
      <c r="AE12433" s="1"/>
      <c r="AF12433" s="1"/>
      <c r="AG12433" s="1"/>
      <c r="AH12433" s="1"/>
    </row>
    <row r="12434" ht="12.75" customHeight="1">
      <c r="A12434" s="17"/>
      <c r="B12434" s="1"/>
      <c r="C12434" s="1"/>
      <c r="D12434" s="150"/>
      <c r="E12434" s="150"/>
      <c r="F12434" s="75"/>
      <c r="G12434" s="67"/>
      <c r="H12434" s="68"/>
      <c r="I12434" s="76"/>
      <c r="J12434" s="67"/>
      <c r="K12434" s="1"/>
      <c r="L12434" s="77"/>
      <c r="M12434" s="79"/>
      <c r="N12434" s="1"/>
      <c r="O12434" s="1"/>
      <c r="P12434" s="1"/>
      <c r="Q12434" s="1"/>
      <c r="R12434" s="1"/>
      <c r="S12434" s="1"/>
      <c r="T12434" s="1"/>
      <c r="U12434" s="1"/>
      <c r="V12434" s="1"/>
      <c r="W12434" s="1"/>
      <c r="X12434" s="1"/>
      <c r="Y12434" s="1"/>
      <c r="Z12434" s="1"/>
      <c r="AA12434" s="1"/>
      <c r="AB12434" s="1"/>
      <c r="AC12434" s="1"/>
      <c r="AD12434" s="1"/>
      <c r="AE12434" s="1"/>
      <c r="AF12434" s="1"/>
      <c r="AG12434" s="1"/>
      <c r="AH12434" s="1"/>
    </row>
    <row r="12435" ht="12.75" customHeight="1">
      <c r="A12435" s="17"/>
      <c r="B12435" s="1"/>
      <c r="C12435" s="1"/>
      <c r="D12435" s="150"/>
      <c r="E12435" s="150"/>
      <c r="F12435" s="75"/>
      <c r="G12435" s="67"/>
      <c r="H12435" s="68"/>
      <c r="I12435" s="76"/>
      <c r="J12435" s="67"/>
      <c r="K12435" s="1"/>
      <c r="L12435" s="77"/>
      <c r="M12435" s="79"/>
      <c r="N12435" s="1"/>
      <c r="O12435" s="1"/>
      <c r="P12435" s="1"/>
      <c r="Q12435" s="1"/>
      <c r="R12435" s="1"/>
      <c r="S12435" s="1"/>
      <c r="T12435" s="1"/>
      <c r="U12435" s="1"/>
      <c r="V12435" s="1"/>
      <c r="W12435" s="1"/>
      <c r="X12435" s="1"/>
      <c r="Y12435" s="1"/>
      <c r="Z12435" s="1"/>
      <c r="AA12435" s="1"/>
      <c r="AB12435" s="1"/>
      <c r="AC12435" s="1"/>
      <c r="AD12435" s="1"/>
      <c r="AE12435" s="1"/>
      <c r="AF12435" s="1"/>
      <c r="AG12435" s="1"/>
      <c r="AH12435" s="1"/>
    </row>
    <row r="12436" ht="12.75" customHeight="1">
      <c r="A12436" s="17"/>
      <c r="B12436" s="1"/>
      <c r="C12436" s="1"/>
      <c r="D12436" s="150"/>
      <c r="E12436" s="150"/>
      <c r="F12436" s="75"/>
      <c r="G12436" s="67"/>
      <c r="H12436" s="68"/>
      <c r="I12436" s="76"/>
      <c r="J12436" s="67"/>
      <c r="K12436" s="1"/>
      <c r="L12436" s="77"/>
      <c r="M12436" s="79"/>
      <c r="N12436" s="1"/>
      <c r="O12436" s="1"/>
      <c r="P12436" s="1"/>
      <c r="Q12436" s="1"/>
      <c r="R12436" s="1"/>
      <c r="S12436" s="1"/>
      <c r="T12436" s="1"/>
      <c r="U12436" s="1"/>
      <c r="V12436" s="1"/>
      <c r="W12436" s="1"/>
      <c r="X12436" s="1"/>
      <c r="Y12436" s="1"/>
      <c r="Z12436" s="1"/>
      <c r="AA12436" s="1"/>
      <c r="AB12436" s="1"/>
      <c r="AC12436" s="1"/>
      <c r="AD12436" s="1"/>
      <c r="AE12436" s="1"/>
      <c r="AF12436" s="1"/>
      <c r="AG12436" s="1"/>
      <c r="AH12436" s="1"/>
    </row>
    <row r="12437" ht="12.75" customHeight="1">
      <c r="A12437" s="17"/>
      <c r="B12437" s="1"/>
      <c r="C12437" s="1"/>
      <c r="D12437" s="150"/>
      <c r="E12437" s="150"/>
      <c r="F12437" s="75"/>
      <c r="G12437" s="67"/>
      <c r="H12437" s="68"/>
      <c r="I12437" s="76"/>
      <c r="J12437" s="67"/>
      <c r="K12437" s="1"/>
      <c r="L12437" s="77"/>
      <c r="M12437" s="79"/>
      <c r="N12437" s="1"/>
      <c r="O12437" s="1"/>
      <c r="P12437" s="1"/>
      <c r="Q12437" s="1"/>
      <c r="R12437" s="1"/>
      <c r="S12437" s="1"/>
      <c r="T12437" s="1"/>
      <c r="U12437" s="1"/>
      <c r="V12437" s="1"/>
      <c r="W12437" s="1"/>
      <c r="X12437" s="1"/>
      <c r="Y12437" s="1"/>
      <c r="Z12437" s="1"/>
      <c r="AA12437" s="1"/>
      <c r="AB12437" s="1"/>
      <c r="AC12437" s="1"/>
      <c r="AD12437" s="1"/>
      <c r="AE12437" s="1"/>
      <c r="AF12437" s="1"/>
      <c r="AG12437" s="1"/>
      <c r="AH12437" s="1"/>
    </row>
    <row r="12438" ht="12.75" customHeight="1">
      <c r="A12438" s="17"/>
      <c r="B12438" s="1"/>
      <c r="C12438" s="1"/>
      <c r="D12438" s="150"/>
      <c r="E12438" s="150"/>
      <c r="F12438" s="75"/>
      <c r="G12438" s="67"/>
      <c r="H12438" s="68"/>
      <c r="I12438" s="76"/>
      <c r="J12438" s="67"/>
      <c r="K12438" s="1"/>
      <c r="L12438" s="77"/>
      <c r="M12438" s="79"/>
      <c r="N12438" s="1"/>
      <c r="O12438" s="1"/>
      <c r="P12438" s="1"/>
      <c r="Q12438" s="1"/>
      <c r="R12438" s="1"/>
      <c r="S12438" s="1"/>
      <c r="T12438" s="1"/>
      <c r="U12438" s="1"/>
      <c r="V12438" s="1"/>
      <c r="W12438" s="1"/>
      <c r="X12438" s="1"/>
      <c r="Y12438" s="1"/>
      <c r="Z12438" s="1"/>
      <c r="AA12438" s="1"/>
      <c r="AB12438" s="1"/>
      <c r="AC12438" s="1"/>
      <c r="AD12438" s="1"/>
      <c r="AE12438" s="1"/>
      <c r="AF12438" s="1"/>
      <c r="AG12438" s="1"/>
      <c r="AH12438" s="1"/>
    </row>
    <row r="12439" ht="12.75" customHeight="1">
      <c r="A12439" s="17"/>
      <c r="B12439" s="1"/>
      <c r="C12439" s="1"/>
      <c r="D12439" s="150"/>
      <c r="E12439" s="150"/>
      <c r="F12439" s="75"/>
      <c r="G12439" s="67"/>
      <c r="H12439" s="68"/>
      <c r="I12439" s="76"/>
      <c r="J12439" s="67"/>
      <c r="K12439" s="1"/>
      <c r="L12439" s="77"/>
      <c r="M12439" s="79"/>
      <c r="N12439" s="1"/>
      <c r="O12439" s="1"/>
      <c r="P12439" s="1"/>
      <c r="Q12439" s="1"/>
      <c r="R12439" s="1"/>
      <c r="S12439" s="1"/>
      <c r="T12439" s="1"/>
      <c r="U12439" s="1"/>
      <c r="V12439" s="1"/>
      <c r="W12439" s="1"/>
      <c r="X12439" s="1"/>
      <c r="Y12439" s="1"/>
      <c r="Z12439" s="1"/>
      <c r="AA12439" s="1"/>
      <c r="AB12439" s="1"/>
      <c r="AC12439" s="1"/>
      <c r="AD12439" s="1"/>
      <c r="AE12439" s="1"/>
      <c r="AF12439" s="1"/>
      <c r="AG12439" s="1"/>
      <c r="AH12439" s="1"/>
    </row>
    <row r="12440" ht="12.75" customHeight="1">
      <c r="A12440" s="17"/>
      <c r="B12440" s="1"/>
      <c r="C12440" s="1"/>
      <c r="D12440" s="150"/>
      <c r="E12440" s="150"/>
      <c r="F12440" s="75"/>
      <c r="G12440" s="67"/>
      <c r="H12440" s="68"/>
      <c r="I12440" s="76"/>
      <c r="J12440" s="67"/>
      <c r="K12440" s="1"/>
      <c r="L12440" s="77"/>
      <c r="M12440" s="79"/>
      <c r="N12440" s="1"/>
      <c r="O12440" s="1"/>
      <c r="P12440" s="1"/>
      <c r="Q12440" s="1"/>
      <c r="R12440" s="1"/>
      <c r="S12440" s="1"/>
      <c r="T12440" s="1"/>
      <c r="U12440" s="1"/>
      <c r="V12440" s="1"/>
      <c r="W12440" s="1"/>
      <c r="X12440" s="1"/>
      <c r="Y12440" s="1"/>
      <c r="Z12440" s="1"/>
      <c r="AA12440" s="1"/>
      <c r="AB12440" s="1"/>
      <c r="AC12440" s="1"/>
      <c r="AD12440" s="1"/>
      <c r="AE12440" s="1"/>
      <c r="AF12440" s="1"/>
      <c r="AG12440" s="1"/>
      <c r="AH12440" s="1"/>
    </row>
    <row r="12441" ht="12.75" customHeight="1">
      <c r="A12441" s="17"/>
      <c r="B12441" s="1"/>
      <c r="C12441" s="1"/>
      <c r="D12441" s="150"/>
      <c r="E12441" s="150"/>
      <c r="F12441" s="75"/>
      <c r="G12441" s="67"/>
      <c r="H12441" s="68"/>
      <c r="I12441" s="76"/>
      <c r="J12441" s="67"/>
      <c r="K12441" s="1"/>
      <c r="L12441" s="77"/>
      <c r="M12441" s="79"/>
      <c r="N12441" s="1"/>
      <c r="O12441" s="1"/>
      <c r="P12441" s="1"/>
      <c r="Q12441" s="1"/>
      <c r="R12441" s="1"/>
      <c r="S12441" s="1"/>
      <c r="T12441" s="1"/>
      <c r="U12441" s="1"/>
      <c r="V12441" s="1"/>
      <c r="W12441" s="1"/>
      <c r="X12441" s="1"/>
      <c r="Y12441" s="1"/>
      <c r="Z12441" s="1"/>
      <c r="AA12441" s="1"/>
      <c r="AB12441" s="1"/>
      <c r="AC12441" s="1"/>
      <c r="AD12441" s="1"/>
      <c r="AE12441" s="1"/>
      <c r="AF12441" s="1"/>
      <c r="AG12441" s="1"/>
      <c r="AH12441" s="1"/>
    </row>
    <row r="12442" ht="12.75" customHeight="1">
      <c r="A12442" s="17"/>
      <c r="B12442" s="1"/>
      <c r="C12442" s="1"/>
      <c r="D12442" s="150"/>
      <c r="E12442" s="150"/>
      <c r="F12442" s="75"/>
      <c r="G12442" s="67"/>
      <c r="H12442" s="68"/>
      <c r="I12442" s="76"/>
      <c r="J12442" s="67"/>
      <c r="K12442" s="1"/>
      <c r="L12442" s="77"/>
      <c r="M12442" s="79"/>
      <c r="N12442" s="1"/>
      <c r="O12442" s="1"/>
      <c r="P12442" s="1"/>
      <c r="Q12442" s="1"/>
      <c r="R12442" s="1"/>
      <c r="S12442" s="1"/>
      <c r="T12442" s="1"/>
      <c r="U12442" s="1"/>
      <c r="V12442" s="1"/>
      <c r="W12442" s="1"/>
      <c r="X12442" s="1"/>
      <c r="Y12442" s="1"/>
      <c r="Z12442" s="1"/>
      <c r="AA12442" s="1"/>
      <c r="AB12442" s="1"/>
      <c r="AC12442" s="1"/>
      <c r="AD12442" s="1"/>
      <c r="AE12442" s="1"/>
      <c r="AF12442" s="1"/>
      <c r="AG12442" s="1"/>
      <c r="AH12442" s="1"/>
    </row>
    <row r="12443" ht="12.75" customHeight="1">
      <c r="A12443" s="17"/>
      <c r="B12443" s="1"/>
      <c r="C12443" s="1"/>
      <c r="D12443" s="150"/>
      <c r="E12443" s="150"/>
      <c r="F12443" s="75"/>
      <c r="G12443" s="67"/>
      <c r="H12443" s="68"/>
      <c r="I12443" s="76"/>
      <c r="J12443" s="67"/>
      <c r="K12443" s="1"/>
      <c r="L12443" s="77"/>
      <c r="M12443" s="79"/>
      <c r="N12443" s="1"/>
      <c r="O12443" s="1"/>
      <c r="P12443" s="1"/>
      <c r="Q12443" s="1"/>
      <c r="R12443" s="1"/>
      <c r="S12443" s="1"/>
      <c r="T12443" s="1"/>
      <c r="U12443" s="1"/>
      <c r="V12443" s="1"/>
      <c r="W12443" s="1"/>
      <c r="X12443" s="1"/>
      <c r="Y12443" s="1"/>
      <c r="Z12443" s="1"/>
      <c r="AA12443" s="1"/>
      <c r="AB12443" s="1"/>
      <c r="AC12443" s="1"/>
      <c r="AD12443" s="1"/>
      <c r="AE12443" s="1"/>
      <c r="AF12443" s="1"/>
      <c r="AG12443" s="1"/>
      <c r="AH12443" s="1"/>
    </row>
    <row r="12444" ht="12.75" customHeight="1">
      <c r="A12444" s="17"/>
      <c r="B12444" s="1"/>
      <c r="C12444" s="1"/>
      <c r="D12444" s="150"/>
      <c r="E12444" s="150"/>
      <c r="F12444" s="75"/>
      <c r="G12444" s="67"/>
      <c r="H12444" s="68"/>
      <c r="I12444" s="76"/>
      <c r="J12444" s="67"/>
      <c r="K12444" s="1"/>
      <c r="L12444" s="77"/>
      <c r="M12444" s="79"/>
      <c r="N12444" s="1"/>
      <c r="O12444" s="1"/>
      <c r="P12444" s="1"/>
      <c r="Q12444" s="1"/>
      <c r="R12444" s="1"/>
      <c r="S12444" s="1"/>
      <c r="T12444" s="1"/>
      <c r="U12444" s="1"/>
      <c r="V12444" s="1"/>
      <c r="W12444" s="1"/>
      <c r="X12444" s="1"/>
      <c r="Y12444" s="1"/>
      <c r="Z12444" s="1"/>
      <c r="AA12444" s="1"/>
      <c r="AB12444" s="1"/>
      <c r="AC12444" s="1"/>
      <c r="AD12444" s="1"/>
      <c r="AE12444" s="1"/>
      <c r="AF12444" s="1"/>
      <c r="AG12444" s="1"/>
      <c r="AH12444" s="1"/>
    </row>
    <row r="12445" ht="12.75" customHeight="1">
      <c r="A12445" s="17"/>
      <c r="B12445" s="1"/>
      <c r="C12445" s="1"/>
      <c r="D12445" s="150"/>
      <c r="E12445" s="150"/>
      <c r="F12445" s="75"/>
      <c r="G12445" s="67"/>
      <c r="H12445" s="68"/>
      <c r="I12445" s="76"/>
      <c r="J12445" s="67"/>
      <c r="K12445" s="1"/>
      <c r="L12445" s="77"/>
      <c r="M12445" s="79"/>
      <c r="N12445" s="1"/>
      <c r="O12445" s="1"/>
      <c r="P12445" s="1"/>
      <c r="Q12445" s="1"/>
      <c r="R12445" s="1"/>
      <c r="S12445" s="1"/>
      <c r="T12445" s="1"/>
      <c r="U12445" s="1"/>
      <c r="V12445" s="1"/>
      <c r="W12445" s="1"/>
      <c r="X12445" s="1"/>
      <c r="Y12445" s="1"/>
      <c r="Z12445" s="1"/>
      <c r="AA12445" s="1"/>
      <c r="AB12445" s="1"/>
      <c r="AC12445" s="1"/>
      <c r="AD12445" s="1"/>
      <c r="AE12445" s="1"/>
      <c r="AF12445" s="1"/>
      <c r="AG12445" s="1"/>
      <c r="AH12445" s="1"/>
    </row>
    <row r="12446" ht="12.75" customHeight="1">
      <c r="A12446" s="17"/>
      <c r="B12446" s="1"/>
      <c r="C12446" s="1"/>
      <c r="D12446" s="150"/>
      <c r="E12446" s="150"/>
      <c r="F12446" s="75"/>
      <c r="G12446" s="67"/>
      <c r="H12446" s="68"/>
      <c r="I12446" s="76"/>
      <c r="J12446" s="67"/>
      <c r="K12446" s="1"/>
      <c r="L12446" s="77"/>
      <c r="M12446" s="79"/>
      <c r="N12446" s="1"/>
      <c r="O12446" s="1"/>
      <c r="P12446" s="1"/>
      <c r="Q12446" s="1"/>
      <c r="R12446" s="1"/>
      <c r="S12446" s="1"/>
      <c r="T12446" s="1"/>
      <c r="U12446" s="1"/>
      <c r="V12446" s="1"/>
      <c r="W12446" s="1"/>
      <c r="X12446" s="1"/>
      <c r="Y12446" s="1"/>
      <c r="Z12446" s="1"/>
      <c r="AA12446" s="1"/>
      <c r="AB12446" s="1"/>
      <c r="AC12446" s="1"/>
      <c r="AD12446" s="1"/>
      <c r="AE12446" s="1"/>
      <c r="AF12446" s="1"/>
      <c r="AG12446" s="1"/>
      <c r="AH12446" s="1"/>
    </row>
    <row r="12447" ht="12.75" customHeight="1">
      <c r="A12447" s="17"/>
      <c r="B12447" s="1"/>
      <c r="C12447" s="1"/>
      <c r="D12447" s="150"/>
      <c r="E12447" s="150"/>
      <c r="F12447" s="75"/>
      <c r="G12447" s="67"/>
      <c r="H12447" s="68"/>
      <c r="I12447" s="76"/>
      <c r="J12447" s="67"/>
      <c r="K12447" s="1"/>
      <c r="L12447" s="77"/>
      <c r="M12447" s="79"/>
      <c r="N12447" s="1"/>
      <c r="O12447" s="1"/>
      <c r="P12447" s="1"/>
      <c r="Q12447" s="1"/>
      <c r="R12447" s="1"/>
      <c r="S12447" s="1"/>
      <c r="T12447" s="1"/>
      <c r="U12447" s="1"/>
      <c r="V12447" s="1"/>
      <c r="W12447" s="1"/>
      <c r="X12447" s="1"/>
      <c r="Y12447" s="1"/>
      <c r="Z12447" s="1"/>
      <c r="AA12447" s="1"/>
      <c r="AB12447" s="1"/>
      <c r="AC12447" s="1"/>
      <c r="AD12447" s="1"/>
      <c r="AE12447" s="1"/>
      <c r="AF12447" s="1"/>
      <c r="AG12447" s="1"/>
      <c r="AH12447" s="1"/>
    </row>
    <row r="12448" ht="12.75" customHeight="1">
      <c r="A12448" s="17"/>
      <c r="B12448" s="1"/>
      <c r="C12448" s="1"/>
      <c r="D12448" s="150"/>
      <c r="E12448" s="150"/>
      <c r="F12448" s="75"/>
      <c r="G12448" s="67"/>
      <c r="H12448" s="68"/>
      <c r="I12448" s="76"/>
      <c r="J12448" s="67"/>
      <c r="K12448" s="1"/>
      <c r="L12448" s="77"/>
      <c r="M12448" s="79"/>
      <c r="N12448" s="1"/>
      <c r="O12448" s="1"/>
      <c r="P12448" s="1"/>
      <c r="Q12448" s="1"/>
      <c r="R12448" s="1"/>
      <c r="S12448" s="1"/>
      <c r="T12448" s="1"/>
      <c r="U12448" s="1"/>
      <c r="V12448" s="1"/>
      <c r="W12448" s="1"/>
      <c r="X12448" s="1"/>
      <c r="Y12448" s="1"/>
      <c r="Z12448" s="1"/>
      <c r="AA12448" s="1"/>
      <c r="AB12448" s="1"/>
      <c r="AC12448" s="1"/>
      <c r="AD12448" s="1"/>
      <c r="AE12448" s="1"/>
      <c r="AF12448" s="1"/>
      <c r="AG12448" s="1"/>
      <c r="AH12448" s="1"/>
    </row>
    <row r="12449" ht="12.75" customHeight="1">
      <c r="A12449" s="17"/>
      <c r="B12449" s="1"/>
      <c r="C12449" s="1"/>
      <c r="D12449" s="150"/>
      <c r="E12449" s="150"/>
      <c r="F12449" s="75"/>
      <c r="G12449" s="67"/>
      <c r="H12449" s="68"/>
      <c r="I12449" s="76"/>
      <c r="J12449" s="67"/>
      <c r="K12449" s="1"/>
      <c r="L12449" s="77"/>
      <c r="M12449" s="79"/>
      <c r="N12449" s="1"/>
      <c r="O12449" s="1"/>
      <c r="P12449" s="1"/>
      <c r="Q12449" s="1"/>
      <c r="R12449" s="1"/>
      <c r="S12449" s="1"/>
      <c r="T12449" s="1"/>
      <c r="U12449" s="1"/>
      <c r="V12449" s="1"/>
      <c r="W12449" s="1"/>
      <c r="X12449" s="1"/>
      <c r="Y12449" s="1"/>
      <c r="Z12449" s="1"/>
      <c r="AA12449" s="1"/>
      <c r="AB12449" s="1"/>
      <c r="AC12449" s="1"/>
      <c r="AD12449" s="1"/>
      <c r="AE12449" s="1"/>
      <c r="AF12449" s="1"/>
      <c r="AG12449" s="1"/>
      <c r="AH12449" s="1"/>
    </row>
    <row r="12450" ht="12.75" customHeight="1">
      <c r="A12450" s="17"/>
      <c r="B12450" s="1"/>
      <c r="C12450" s="1"/>
      <c r="D12450" s="150"/>
      <c r="E12450" s="150"/>
      <c r="F12450" s="75"/>
      <c r="G12450" s="67"/>
      <c r="H12450" s="68"/>
      <c r="I12450" s="76"/>
      <c r="J12450" s="67"/>
      <c r="K12450" s="1"/>
      <c r="L12450" s="77"/>
      <c r="M12450" s="79"/>
      <c r="N12450" s="1"/>
      <c r="O12450" s="1"/>
      <c r="P12450" s="1"/>
      <c r="Q12450" s="1"/>
      <c r="R12450" s="1"/>
      <c r="S12450" s="1"/>
      <c r="T12450" s="1"/>
      <c r="U12450" s="1"/>
      <c r="V12450" s="1"/>
      <c r="W12450" s="1"/>
      <c r="X12450" s="1"/>
      <c r="Y12450" s="1"/>
      <c r="Z12450" s="1"/>
      <c r="AA12450" s="1"/>
      <c r="AB12450" s="1"/>
      <c r="AC12450" s="1"/>
      <c r="AD12450" s="1"/>
      <c r="AE12450" s="1"/>
      <c r="AF12450" s="1"/>
      <c r="AG12450" s="1"/>
      <c r="AH12450" s="1"/>
    </row>
    <row r="12451" ht="12.75" customHeight="1">
      <c r="A12451" s="17"/>
      <c r="B12451" s="1"/>
      <c r="C12451" s="1"/>
      <c r="D12451" s="150"/>
      <c r="E12451" s="150"/>
      <c r="F12451" s="75"/>
      <c r="G12451" s="67"/>
      <c r="H12451" s="68"/>
      <c r="I12451" s="76"/>
      <c r="J12451" s="67"/>
      <c r="K12451" s="1"/>
      <c r="L12451" s="77"/>
      <c r="M12451" s="79"/>
      <c r="N12451" s="1"/>
      <c r="O12451" s="1"/>
      <c r="P12451" s="1"/>
      <c r="Q12451" s="1"/>
      <c r="R12451" s="1"/>
      <c r="S12451" s="1"/>
      <c r="T12451" s="1"/>
      <c r="U12451" s="1"/>
      <c r="V12451" s="1"/>
      <c r="W12451" s="1"/>
      <c r="X12451" s="1"/>
      <c r="Y12451" s="1"/>
      <c r="Z12451" s="1"/>
      <c r="AA12451" s="1"/>
      <c r="AB12451" s="1"/>
      <c r="AC12451" s="1"/>
      <c r="AD12451" s="1"/>
      <c r="AE12451" s="1"/>
      <c r="AF12451" s="1"/>
      <c r="AG12451" s="1"/>
      <c r="AH12451" s="1"/>
    </row>
    <row r="12452" ht="12.75" customHeight="1">
      <c r="A12452" s="17"/>
      <c r="B12452" s="1"/>
      <c r="C12452" s="1"/>
      <c r="D12452" s="150"/>
      <c r="E12452" s="150"/>
      <c r="F12452" s="75"/>
      <c r="G12452" s="67"/>
      <c r="H12452" s="68"/>
      <c r="I12452" s="76"/>
      <c r="J12452" s="67"/>
      <c r="K12452" s="1"/>
      <c r="L12452" s="77"/>
      <c r="M12452" s="79"/>
      <c r="N12452" s="1"/>
      <c r="O12452" s="1"/>
      <c r="P12452" s="1"/>
      <c r="Q12452" s="1"/>
      <c r="R12452" s="1"/>
      <c r="S12452" s="1"/>
      <c r="T12452" s="1"/>
      <c r="U12452" s="1"/>
      <c r="V12452" s="1"/>
      <c r="W12452" s="1"/>
      <c r="X12452" s="1"/>
      <c r="Y12452" s="1"/>
      <c r="Z12452" s="1"/>
      <c r="AA12452" s="1"/>
      <c r="AB12452" s="1"/>
      <c r="AC12452" s="1"/>
      <c r="AD12452" s="1"/>
      <c r="AE12452" s="1"/>
      <c r="AF12452" s="1"/>
      <c r="AG12452" s="1"/>
      <c r="AH12452" s="1"/>
    </row>
    <row r="12453" ht="12.75" customHeight="1">
      <c r="A12453" s="17"/>
      <c r="B12453" s="1"/>
      <c r="C12453" s="1"/>
      <c r="D12453" s="150"/>
      <c r="E12453" s="150"/>
      <c r="F12453" s="75"/>
      <c r="G12453" s="67"/>
      <c r="H12453" s="68"/>
      <c r="I12453" s="76"/>
      <c r="J12453" s="67"/>
      <c r="K12453" s="1"/>
      <c r="L12453" s="77"/>
      <c r="M12453" s="79"/>
      <c r="N12453" s="1"/>
      <c r="O12453" s="1"/>
      <c r="P12453" s="1"/>
      <c r="Q12453" s="1"/>
      <c r="R12453" s="1"/>
      <c r="S12453" s="1"/>
      <c r="T12453" s="1"/>
      <c r="U12453" s="1"/>
      <c r="V12453" s="1"/>
      <c r="W12453" s="1"/>
      <c r="X12453" s="1"/>
      <c r="Y12453" s="1"/>
      <c r="Z12453" s="1"/>
      <c r="AA12453" s="1"/>
      <c r="AB12453" s="1"/>
      <c r="AC12453" s="1"/>
      <c r="AD12453" s="1"/>
      <c r="AE12453" s="1"/>
      <c r="AF12453" s="1"/>
      <c r="AG12453" s="1"/>
      <c r="AH12453" s="1"/>
    </row>
    <row r="12454" ht="12.75" customHeight="1">
      <c r="A12454" s="17"/>
      <c r="B12454" s="1"/>
      <c r="C12454" s="1"/>
      <c r="D12454" s="150"/>
      <c r="E12454" s="150"/>
      <c r="F12454" s="75"/>
      <c r="G12454" s="67"/>
      <c r="H12454" s="68"/>
      <c r="I12454" s="76"/>
      <c r="J12454" s="67"/>
      <c r="K12454" s="1"/>
      <c r="L12454" s="77"/>
      <c r="M12454" s="79"/>
      <c r="N12454" s="1"/>
      <c r="O12454" s="1"/>
      <c r="P12454" s="1"/>
      <c r="Q12454" s="1"/>
      <c r="R12454" s="1"/>
      <c r="S12454" s="1"/>
      <c r="T12454" s="1"/>
      <c r="U12454" s="1"/>
      <c r="V12454" s="1"/>
      <c r="W12454" s="1"/>
      <c r="X12454" s="1"/>
      <c r="Y12454" s="1"/>
      <c r="Z12454" s="1"/>
      <c r="AA12454" s="1"/>
      <c r="AB12454" s="1"/>
      <c r="AC12454" s="1"/>
      <c r="AD12454" s="1"/>
      <c r="AE12454" s="1"/>
      <c r="AF12454" s="1"/>
      <c r="AG12454" s="1"/>
      <c r="AH12454" s="1"/>
    </row>
    <row r="12455" ht="12.75" customHeight="1">
      <c r="A12455" s="17"/>
      <c r="B12455" s="1"/>
      <c r="C12455" s="1"/>
      <c r="D12455" s="150"/>
      <c r="E12455" s="150"/>
      <c r="F12455" s="75"/>
      <c r="G12455" s="67"/>
      <c r="H12455" s="68"/>
      <c r="I12455" s="76"/>
      <c r="J12455" s="67"/>
      <c r="K12455" s="1"/>
      <c r="L12455" s="77"/>
      <c r="M12455" s="79"/>
      <c r="N12455" s="1"/>
      <c r="O12455" s="1"/>
      <c r="P12455" s="1"/>
      <c r="Q12455" s="1"/>
      <c r="R12455" s="1"/>
      <c r="S12455" s="1"/>
      <c r="T12455" s="1"/>
      <c r="U12455" s="1"/>
      <c r="V12455" s="1"/>
      <c r="W12455" s="1"/>
      <c r="X12455" s="1"/>
      <c r="Y12455" s="1"/>
      <c r="Z12455" s="1"/>
      <c r="AA12455" s="1"/>
      <c r="AB12455" s="1"/>
      <c r="AC12455" s="1"/>
      <c r="AD12455" s="1"/>
      <c r="AE12455" s="1"/>
      <c r="AF12455" s="1"/>
      <c r="AG12455" s="1"/>
      <c r="AH12455" s="1"/>
    </row>
    <row r="12456" ht="12.75" customHeight="1">
      <c r="A12456" s="17"/>
      <c r="B12456" s="1"/>
      <c r="C12456" s="1"/>
      <c r="D12456" s="150"/>
      <c r="E12456" s="150"/>
      <c r="F12456" s="75"/>
      <c r="G12456" s="67"/>
      <c r="H12456" s="68"/>
      <c r="I12456" s="76"/>
      <c r="J12456" s="67"/>
      <c r="K12456" s="1"/>
      <c r="L12456" s="77"/>
      <c r="M12456" s="79"/>
      <c r="N12456" s="1"/>
      <c r="O12456" s="1"/>
      <c r="P12456" s="1"/>
      <c r="Q12456" s="1"/>
      <c r="R12456" s="1"/>
      <c r="S12456" s="1"/>
      <c r="T12456" s="1"/>
      <c r="U12456" s="1"/>
      <c r="V12456" s="1"/>
      <c r="W12456" s="1"/>
      <c r="X12456" s="1"/>
      <c r="Y12456" s="1"/>
      <c r="Z12456" s="1"/>
      <c r="AA12456" s="1"/>
      <c r="AB12456" s="1"/>
      <c r="AC12456" s="1"/>
      <c r="AD12456" s="1"/>
      <c r="AE12456" s="1"/>
      <c r="AF12456" s="1"/>
      <c r="AG12456" s="1"/>
      <c r="AH12456" s="1"/>
    </row>
    <row r="12457" ht="12.75" customHeight="1">
      <c r="A12457" s="17"/>
      <c r="B12457" s="1"/>
      <c r="C12457" s="1"/>
      <c r="D12457" s="150"/>
      <c r="E12457" s="150"/>
      <c r="F12457" s="75"/>
      <c r="G12457" s="67"/>
      <c r="H12457" s="68"/>
      <c r="I12457" s="76"/>
      <c r="J12457" s="67"/>
      <c r="K12457" s="1"/>
      <c r="L12457" s="77"/>
      <c r="M12457" s="79"/>
      <c r="N12457" s="1"/>
      <c r="O12457" s="1"/>
      <c r="P12457" s="1"/>
      <c r="Q12457" s="1"/>
      <c r="R12457" s="1"/>
      <c r="S12457" s="1"/>
      <c r="T12457" s="1"/>
      <c r="U12457" s="1"/>
      <c r="V12457" s="1"/>
      <c r="W12457" s="1"/>
      <c r="X12457" s="1"/>
      <c r="Y12457" s="1"/>
      <c r="Z12457" s="1"/>
      <c r="AA12457" s="1"/>
      <c r="AB12457" s="1"/>
      <c r="AC12457" s="1"/>
      <c r="AD12457" s="1"/>
      <c r="AE12457" s="1"/>
      <c r="AF12457" s="1"/>
      <c r="AG12457" s="1"/>
      <c r="AH12457" s="1"/>
    </row>
    <row r="12458" ht="12.75" customHeight="1">
      <c r="A12458" s="17"/>
      <c r="B12458" s="1"/>
      <c r="C12458" s="1"/>
      <c r="D12458" s="150"/>
      <c r="E12458" s="150"/>
      <c r="F12458" s="75"/>
      <c r="G12458" s="67"/>
      <c r="H12458" s="68"/>
      <c r="I12458" s="76"/>
      <c r="J12458" s="67"/>
      <c r="K12458" s="1"/>
      <c r="L12458" s="77"/>
      <c r="M12458" s="79"/>
      <c r="N12458" s="1"/>
      <c r="O12458" s="1"/>
      <c r="P12458" s="1"/>
      <c r="Q12458" s="1"/>
      <c r="R12458" s="1"/>
      <c r="S12458" s="1"/>
      <c r="T12458" s="1"/>
      <c r="U12458" s="1"/>
      <c r="V12458" s="1"/>
      <c r="W12458" s="1"/>
      <c r="X12458" s="1"/>
      <c r="Y12458" s="1"/>
      <c r="Z12458" s="1"/>
      <c r="AA12458" s="1"/>
      <c r="AB12458" s="1"/>
      <c r="AC12458" s="1"/>
      <c r="AD12458" s="1"/>
      <c r="AE12458" s="1"/>
      <c r="AF12458" s="1"/>
      <c r="AG12458" s="1"/>
      <c r="AH12458" s="1"/>
    </row>
    <row r="12459" ht="12.75" customHeight="1">
      <c r="A12459" s="17"/>
      <c r="B12459" s="1"/>
      <c r="C12459" s="1"/>
      <c r="D12459" s="150"/>
      <c r="E12459" s="150"/>
      <c r="F12459" s="75"/>
      <c r="G12459" s="67"/>
      <c r="H12459" s="68"/>
      <c r="I12459" s="76"/>
      <c r="J12459" s="67"/>
      <c r="K12459" s="1"/>
      <c r="L12459" s="77"/>
      <c r="M12459" s="79"/>
      <c r="N12459" s="1"/>
      <c r="O12459" s="1"/>
      <c r="P12459" s="1"/>
      <c r="Q12459" s="1"/>
      <c r="R12459" s="1"/>
      <c r="S12459" s="1"/>
      <c r="T12459" s="1"/>
      <c r="U12459" s="1"/>
      <c r="V12459" s="1"/>
      <c r="W12459" s="1"/>
      <c r="X12459" s="1"/>
      <c r="Y12459" s="1"/>
      <c r="Z12459" s="1"/>
      <c r="AA12459" s="1"/>
      <c r="AB12459" s="1"/>
      <c r="AC12459" s="1"/>
      <c r="AD12459" s="1"/>
      <c r="AE12459" s="1"/>
      <c r="AF12459" s="1"/>
      <c r="AG12459" s="1"/>
      <c r="AH12459" s="1"/>
    </row>
    <row r="12460" ht="12.75" customHeight="1">
      <c r="A12460" s="17"/>
      <c r="B12460" s="1"/>
      <c r="C12460" s="1"/>
      <c r="D12460" s="150"/>
      <c r="E12460" s="150"/>
      <c r="F12460" s="75"/>
      <c r="G12460" s="67"/>
      <c r="H12460" s="68"/>
      <c r="I12460" s="76"/>
      <c r="J12460" s="67"/>
      <c r="K12460" s="1"/>
      <c r="L12460" s="77"/>
      <c r="M12460" s="79"/>
      <c r="N12460" s="1"/>
      <c r="O12460" s="1"/>
      <c r="P12460" s="1"/>
      <c r="Q12460" s="1"/>
      <c r="R12460" s="1"/>
      <c r="S12460" s="1"/>
      <c r="T12460" s="1"/>
      <c r="U12460" s="1"/>
      <c r="V12460" s="1"/>
      <c r="W12460" s="1"/>
      <c r="X12460" s="1"/>
      <c r="Y12460" s="1"/>
      <c r="Z12460" s="1"/>
      <c r="AA12460" s="1"/>
      <c r="AB12460" s="1"/>
      <c r="AC12460" s="1"/>
      <c r="AD12460" s="1"/>
      <c r="AE12460" s="1"/>
      <c r="AF12460" s="1"/>
      <c r="AG12460" s="1"/>
      <c r="AH12460" s="1"/>
    </row>
    <row r="12461" ht="12.75" customHeight="1">
      <c r="A12461" s="17"/>
      <c r="B12461" s="1"/>
      <c r="C12461" s="1"/>
      <c r="D12461" s="150"/>
      <c r="E12461" s="150"/>
      <c r="F12461" s="75"/>
      <c r="G12461" s="67"/>
      <c r="H12461" s="68"/>
      <c r="I12461" s="76"/>
      <c r="J12461" s="67"/>
      <c r="K12461" s="1"/>
      <c r="L12461" s="77"/>
      <c r="M12461" s="79"/>
      <c r="N12461" s="1"/>
      <c r="O12461" s="1"/>
      <c r="P12461" s="1"/>
      <c r="Q12461" s="1"/>
      <c r="R12461" s="1"/>
      <c r="S12461" s="1"/>
      <c r="T12461" s="1"/>
      <c r="U12461" s="1"/>
      <c r="V12461" s="1"/>
      <c r="W12461" s="1"/>
      <c r="X12461" s="1"/>
      <c r="Y12461" s="1"/>
      <c r="Z12461" s="1"/>
      <c r="AA12461" s="1"/>
      <c r="AB12461" s="1"/>
      <c r="AC12461" s="1"/>
      <c r="AD12461" s="1"/>
      <c r="AE12461" s="1"/>
      <c r="AF12461" s="1"/>
      <c r="AG12461" s="1"/>
      <c r="AH12461" s="1"/>
    </row>
    <row r="12462" ht="12.75" customHeight="1">
      <c r="A12462" s="17"/>
      <c r="B12462" s="1"/>
      <c r="C12462" s="1"/>
      <c r="D12462" s="150"/>
      <c r="E12462" s="150"/>
      <c r="F12462" s="75"/>
      <c r="G12462" s="67"/>
      <c r="H12462" s="68"/>
      <c r="I12462" s="76"/>
      <c r="J12462" s="67"/>
      <c r="K12462" s="1"/>
      <c r="L12462" s="77"/>
      <c r="M12462" s="79"/>
      <c r="N12462" s="1"/>
      <c r="O12462" s="1"/>
      <c r="P12462" s="1"/>
      <c r="Q12462" s="1"/>
      <c r="R12462" s="1"/>
      <c r="S12462" s="1"/>
      <c r="T12462" s="1"/>
      <c r="U12462" s="1"/>
      <c r="V12462" s="1"/>
      <c r="W12462" s="1"/>
      <c r="X12462" s="1"/>
      <c r="Y12462" s="1"/>
      <c r="Z12462" s="1"/>
      <c r="AA12462" s="1"/>
      <c r="AB12462" s="1"/>
      <c r="AC12462" s="1"/>
      <c r="AD12462" s="1"/>
      <c r="AE12462" s="1"/>
      <c r="AF12462" s="1"/>
      <c r="AG12462" s="1"/>
      <c r="AH12462" s="1"/>
    </row>
    <row r="12463" ht="12.75" customHeight="1">
      <c r="A12463" s="17"/>
      <c r="B12463" s="1"/>
      <c r="C12463" s="1"/>
      <c r="D12463" s="150"/>
      <c r="E12463" s="150"/>
      <c r="F12463" s="75"/>
      <c r="G12463" s="67"/>
      <c r="H12463" s="68"/>
      <c r="I12463" s="76"/>
      <c r="J12463" s="67"/>
      <c r="K12463" s="1"/>
      <c r="L12463" s="77"/>
      <c r="M12463" s="79"/>
      <c r="N12463" s="1"/>
      <c r="O12463" s="1"/>
      <c r="P12463" s="1"/>
      <c r="Q12463" s="1"/>
      <c r="R12463" s="1"/>
      <c r="S12463" s="1"/>
      <c r="T12463" s="1"/>
      <c r="U12463" s="1"/>
      <c r="V12463" s="1"/>
      <c r="W12463" s="1"/>
      <c r="X12463" s="1"/>
      <c r="Y12463" s="1"/>
      <c r="Z12463" s="1"/>
      <c r="AA12463" s="1"/>
      <c r="AB12463" s="1"/>
      <c r="AC12463" s="1"/>
      <c r="AD12463" s="1"/>
      <c r="AE12463" s="1"/>
      <c r="AF12463" s="1"/>
      <c r="AG12463" s="1"/>
      <c r="AH12463" s="1"/>
    </row>
    <row r="12464" ht="12.75" customHeight="1">
      <c r="A12464" s="17"/>
      <c r="B12464" s="1"/>
      <c r="C12464" s="1"/>
      <c r="D12464" s="150"/>
      <c r="E12464" s="150"/>
      <c r="F12464" s="75"/>
      <c r="G12464" s="67"/>
      <c r="H12464" s="68"/>
      <c r="I12464" s="76"/>
      <c r="J12464" s="67"/>
      <c r="K12464" s="1"/>
      <c r="L12464" s="77"/>
      <c r="M12464" s="79"/>
      <c r="N12464" s="1"/>
      <c r="O12464" s="1"/>
      <c r="P12464" s="1"/>
      <c r="Q12464" s="1"/>
      <c r="R12464" s="1"/>
      <c r="S12464" s="1"/>
      <c r="T12464" s="1"/>
      <c r="U12464" s="1"/>
      <c r="V12464" s="1"/>
      <c r="W12464" s="1"/>
      <c r="X12464" s="1"/>
      <c r="Y12464" s="1"/>
      <c r="Z12464" s="1"/>
      <c r="AA12464" s="1"/>
      <c r="AB12464" s="1"/>
      <c r="AC12464" s="1"/>
      <c r="AD12464" s="1"/>
      <c r="AE12464" s="1"/>
      <c r="AF12464" s="1"/>
      <c r="AG12464" s="1"/>
      <c r="AH12464" s="1"/>
    </row>
    <row r="12465" ht="12.75" customHeight="1">
      <c r="A12465" s="17"/>
      <c r="B12465" s="1"/>
      <c r="C12465" s="1"/>
      <c r="D12465" s="150"/>
      <c r="E12465" s="150"/>
      <c r="F12465" s="75"/>
      <c r="G12465" s="67"/>
      <c r="H12465" s="68"/>
      <c r="I12465" s="76"/>
      <c r="J12465" s="67"/>
      <c r="K12465" s="1"/>
      <c r="L12465" s="77"/>
      <c r="M12465" s="79"/>
      <c r="N12465" s="1"/>
      <c r="O12465" s="1"/>
      <c r="P12465" s="1"/>
      <c r="Q12465" s="1"/>
      <c r="R12465" s="1"/>
      <c r="S12465" s="1"/>
      <c r="T12465" s="1"/>
      <c r="U12465" s="1"/>
      <c r="V12465" s="1"/>
      <c r="W12465" s="1"/>
      <c r="X12465" s="1"/>
      <c r="Y12465" s="1"/>
      <c r="Z12465" s="1"/>
      <c r="AA12465" s="1"/>
      <c r="AB12465" s="1"/>
      <c r="AC12465" s="1"/>
      <c r="AD12465" s="1"/>
      <c r="AE12465" s="1"/>
      <c r="AF12465" s="1"/>
      <c r="AG12465" s="1"/>
      <c r="AH12465" s="1"/>
    </row>
    <row r="12466" ht="12.75" customHeight="1">
      <c r="A12466" s="17"/>
      <c r="B12466" s="1"/>
      <c r="C12466" s="1"/>
      <c r="D12466" s="150"/>
      <c r="E12466" s="150"/>
      <c r="F12466" s="75"/>
      <c r="G12466" s="67"/>
      <c r="H12466" s="68"/>
      <c r="I12466" s="76"/>
      <c r="J12466" s="67"/>
      <c r="K12466" s="1"/>
      <c r="L12466" s="77"/>
      <c r="M12466" s="79"/>
      <c r="N12466" s="1"/>
      <c r="O12466" s="1"/>
      <c r="P12466" s="1"/>
      <c r="Q12466" s="1"/>
      <c r="R12466" s="1"/>
      <c r="S12466" s="1"/>
      <c r="T12466" s="1"/>
      <c r="U12466" s="1"/>
      <c r="V12466" s="1"/>
      <c r="W12466" s="1"/>
      <c r="X12466" s="1"/>
      <c r="Y12466" s="1"/>
      <c r="Z12466" s="1"/>
      <c r="AA12466" s="1"/>
      <c r="AB12466" s="1"/>
      <c r="AC12466" s="1"/>
      <c r="AD12466" s="1"/>
      <c r="AE12466" s="1"/>
      <c r="AF12466" s="1"/>
      <c r="AG12466" s="1"/>
      <c r="AH12466" s="1"/>
    </row>
    <row r="12467" ht="12.75" customHeight="1">
      <c r="A12467" s="17"/>
      <c r="B12467" s="1"/>
      <c r="C12467" s="1"/>
      <c r="D12467" s="150"/>
      <c r="E12467" s="150"/>
      <c r="F12467" s="75"/>
      <c r="G12467" s="67"/>
      <c r="H12467" s="68"/>
      <c r="I12467" s="76"/>
      <c r="J12467" s="67"/>
      <c r="K12467" s="1"/>
      <c r="L12467" s="77"/>
      <c r="M12467" s="79"/>
      <c r="N12467" s="1"/>
      <c r="O12467" s="1"/>
      <c r="P12467" s="1"/>
      <c r="Q12467" s="1"/>
      <c r="R12467" s="1"/>
      <c r="S12467" s="1"/>
      <c r="T12467" s="1"/>
      <c r="U12467" s="1"/>
      <c r="V12467" s="1"/>
      <c r="W12467" s="1"/>
      <c r="X12467" s="1"/>
      <c r="Y12467" s="1"/>
      <c r="Z12467" s="1"/>
      <c r="AA12467" s="1"/>
      <c r="AB12467" s="1"/>
      <c r="AC12467" s="1"/>
      <c r="AD12467" s="1"/>
      <c r="AE12467" s="1"/>
      <c r="AF12467" s="1"/>
      <c r="AG12467" s="1"/>
      <c r="AH12467" s="1"/>
    </row>
    <row r="12468" ht="12.75" customHeight="1">
      <c r="A12468" s="17"/>
      <c r="B12468" s="1"/>
      <c r="C12468" s="1"/>
      <c r="D12468" s="150"/>
      <c r="E12468" s="150"/>
      <c r="F12468" s="75"/>
      <c r="G12468" s="67"/>
      <c r="H12468" s="68"/>
      <c r="I12468" s="76"/>
      <c r="J12468" s="67"/>
      <c r="K12468" s="1"/>
      <c r="L12468" s="77"/>
      <c r="M12468" s="79"/>
      <c r="N12468" s="1"/>
      <c r="O12468" s="1"/>
      <c r="P12468" s="1"/>
      <c r="Q12468" s="1"/>
      <c r="R12468" s="1"/>
      <c r="S12468" s="1"/>
      <c r="T12468" s="1"/>
      <c r="U12468" s="1"/>
      <c r="V12468" s="1"/>
      <c r="W12468" s="1"/>
      <c r="X12468" s="1"/>
      <c r="Y12468" s="1"/>
      <c r="Z12468" s="1"/>
      <c r="AA12468" s="1"/>
      <c r="AB12468" s="1"/>
      <c r="AC12468" s="1"/>
      <c r="AD12468" s="1"/>
      <c r="AE12468" s="1"/>
      <c r="AF12468" s="1"/>
      <c r="AG12468" s="1"/>
      <c r="AH12468" s="1"/>
    </row>
    <row r="12469" ht="12.75" customHeight="1">
      <c r="A12469" s="17"/>
      <c r="B12469" s="1"/>
      <c r="C12469" s="1"/>
      <c r="D12469" s="150"/>
      <c r="E12469" s="150"/>
      <c r="F12469" s="75"/>
      <c r="G12469" s="67"/>
      <c r="H12469" s="68"/>
      <c r="I12469" s="76"/>
      <c r="J12469" s="67"/>
      <c r="K12469" s="1"/>
      <c r="L12469" s="77"/>
      <c r="M12469" s="79"/>
      <c r="N12469" s="1"/>
      <c r="O12469" s="1"/>
      <c r="P12469" s="1"/>
      <c r="Q12469" s="1"/>
      <c r="R12469" s="1"/>
      <c r="S12469" s="1"/>
      <c r="T12469" s="1"/>
      <c r="U12469" s="1"/>
      <c r="V12469" s="1"/>
      <c r="W12469" s="1"/>
      <c r="X12469" s="1"/>
      <c r="Y12469" s="1"/>
      <c r="Z12469" s="1"/>
      <c r="AA12469" s="1"/>
      <c r="AB12469" s="1"/>
      <c r="AC12469" s="1"/>
      <c r="AD12469" s="1"/>
      <c r="AE12469" s="1"/>
      <c r="AF12469" s="1"/>
      <c r="AG12469" s="1"/>
      <c r="AH12469" s="1"/>
    </row>
    <row r="12470" ht="12.75" customHeight="1">
      <c r="A12470" s="17"/>
      <c r="B12470" s="1"/>
      <c r="C12470" s="1"/>
      <c r="D12470" s="150"/>
      <c r="E12470" s="150"/>
      <c r="F12470" s="75"/>
      <c r="G12470" s="67"/>
      <c r="H12470" s="68"/>
      <c r="I12470" s="76"/>
      <c r="J12470" s="67"/>
      <c r="K12470" s="1"/>
      <c r="L12470" s="77"/>
      <c r="M12470" s="79"/>
      <c r="N12470" s="1"/>
      <c r="O12470" s="1"/>
      <c r="P12470" s="1"/>
      <c r="Q12470" s="1"/>
      <c r="R12470" s="1"/>
      <c r="S12470" s="1"/>
      <c r="T12470" s="1"/>
      <c r="U12470" s="1"/>
      <c r="V12470" s="1"/>
      <c r="W12470" s="1"/>
      <c r="X12470" s="1"/>
      <c r="Y12470" s="1"/>
      <c r="Z12470" s="1"/>
      <c r="AA12470" s="1"/>
      <c r="AB12470" s="1"/>
      <c r="AC12470" s="1"/>
      <c r="AD12470" s="1"/>
      <c r="AE12470" s="1"/>
      <c r="AF12470" s="1"/>
      <c r="AG12470" s="1"/>
      <c r="AH12470" s="1"/>
    </row>
    <row r="12471" ht="12.75" customHeight="1">
      <c r="A12471" s="17"/>
      <c r="B12471" s="1"/>
      <c r="C12471" s="1"/>
      <c r="D12471" s="150"/>
      <c r="E12471" s="150"/>
      <c r="F12471" s="75"/>
      <c r="G12471" s="67"/>
      <c r="H12471" s="68"/>
      <c r="I12471" s="76"/>
      <c r="J12471" s="67"/>
      <c r="K12471" s="1"/>
      <c r="L12471" s="77"/>
      <c r="M12471" s="79"/>
      <c r="N12471" s="1"/>
      <c r="O12471" s="1"/>
      <c r="P12471" s="1"/>
      <c r="Q12471" s="1"/>
      <c r="R12471" s="1"/>
      <c r="S12471" s="1"/>
      <c r="T12471" s="1"/>
      <c r="U12471" s="1"/>
      <c r="V12471" s="1"/>
      <c r="W12471" s="1"/>
      <c r="X12471" s="1"/>
      <c r="Y12471" s="1"/>
      <c r="Z12471" s="1"/>
      <c r="AA12471" s="1"/>
      <c r="AB12471" s="1"/>
      <c r="AC12471" s="1"/>
      <c r="AD12471" s="1"/>
      <c r="AE12471" s="1"/>
      <c r="AF12471" s="1"/>
      <c r="AG12471" s="1"/>
      <c r="AH12471" s="1"/>
    </row>
    <row r="12472" ht="12.75" customHeight="1">
      <c r="A12472" s="17"/>
      <c r="B12472" s="1"/>
      <c r="C12472" s="1"/>
      <c r="D12472" s="150"/>
      <c r="E12472" s="150"/>
      <c r="F12472" s="75"/>
      <c r="G12472" s="67"/>
      <c r="H12472" s="68"/>
      <c r="I12472" s="76"/>
      <c r="J12472" s="67"/>
      <c r="K12472" s="1"/>
      <c r="L12472" s="77"/>
      <c r="M12472" s="79"/>
      <c r="N12472" s="1"/>
      <c r="O12472" s="1"/>
      <c r="P12472" s="1"/>
      <c r="Q12472" s="1"/>
      <c r="R12472" s="1"/>
      <c r="S12472" s="1"/>
      <c r="T12472" s="1"/>
      <c r="U12472" s="1"/>
      <c r="V12472" s="1"/>
      <c r="W12472" s="1"/>
      <c r="X12472" s="1"/>
      <c r="Y12472" s="1"/>
      <c r="Z12472" s="1"/>
      <c r="AA12472" s="1"/>
      <c r="AB12472" s="1"/>
      <c r="AC12472" s="1"/>
      <c r="AD12472" s="1"/>
      <c r="AE12472" s="1"/>
      <c r="AF12472" s="1"/>
      <c r="AG12472" s="1"/>
      <c r="AH12472" s="1"/>
    </row>
    <row r="12473" ht="12.75" customHeight="1">
      <c r="A12473" s="17"/>
      <c r="B12473" s="1"/>
      <c r="C12473" s="1"/>
      <c r="D12473" s="150"/>
      <c r="E12473" s="150"/>
      <c r="F12473" s="75"/>
      <c r="G12473" s="67"/>
      <c r="H12473" s="68"/>
      <c r="I12473" s="76"/>
      <c r="J12473" s="67"/>
      <c r="K12473" s="1"/>
      <c r="L12473" s="77"/>
      <c r="M12473" s="79"/>
      <c r="N12473" s="1"/>
      <c r="O12473" s="1"/>
      <c r="P12473" s="1"/>
      <c r="Q12473" s="1"/>
      <c r="R12473" s="1"/>
      <c r="S12473" s="1"/>
      <c r="T12473" s="1"/>
      <c r="U12473" s="1"/>
      <c r="V12473" s="1"/>
      <c r="W12473" s="1"/>
      <c r="X12473" s="1"/>
      <c r="Y12473" s="1"/>
      <c r="Z12473" s="1"/>
      <c r="AA12473" s="1"/>
      <c r="AB12473" s="1"/>
      <c r="AC12473" s="1"/>
      <c r="AD12473" s="1"/>
      <c r="AE12473" s="1"/>
      <c r="AF12473" s="1"/>
      <c r="AG12473" s="1"/>
      <c r="AH12473" s="1"/>
    </row>
    <row r="12474" ht="12.75" customHeight="1">
      <c r="A12474" s="17"/>
      <c r="B12474" s="1"/>
      <c r="C12474" s="1"/>
      <c r="D12474" s="150"/>
      <c r="E12474" s="150"/>
      <c r="F12474" s="75"/>
      <c r="G12474" s="67"/>
      <c r="H12474" s="68"/>
      <c r="I12474" s="76"/>
      <c r="J12474" s="67"/>
      <c r="K12474" s="1"/>
      <c r="L12474" s="77"/>
      <c r="M12474" s="79"/>
      <c r="N12474" s="1"/>
      <c r="O12474" s="1"/>
      <c r="P12474" s="1"/>
      <c r="Q12474" s="1"/>
      <c r="R12474" s="1"/>
      <c r="S12474" s="1"/>
      <c r="T12474" s="1"/>
      <c r="U12474" s="1"/>
      <c r="V12474" s="1"/>
      <c r="W12474" s="1"/>
      <c r="X12474" s="1"/>
      <c r="Y12474" s="1"/>
      <c r="Z12474" s="1"/>
      <c r="AA12474" s="1"/>
      <c r="AB12474" s="1"/>
      <c r="AC12474" s="1"/>
      <c r="AD12474" s="1"/>
      <c r="AE12474" s="1"/>
      <c r="AF12474" s="1"/>
      <c r="AG12474" s="1"/>
      <c r="AH12474" s="1"/>
    </row>
    <row r="12475" ht="12.75" customHeight="1">
      <c r="A12475" s="17"/>
      <c r="B12475" s="1"/>
      <c r="C12475" s="1"/>
      <c r="D12475" s="150"/>
      <c r="E12475" s="150"/>
      <c r="F12475" s="75"/>
      <c r="G12475" s="67"/>
      <c r="H12475" s="68"/>
      <c r="I12475" s="76"/>
      <c r="J12475" s="67"/>
      <c r="K12475" s="1"/>
      <c r="L12475" s="77"/>
      <c r="M12475" s="79"/>
      <c r="N12475" s="1"/>
      <c r="O12475" s="1"/>
      <c r="P12475" s="1"/>
      <c r="Q12475" s="1"/>
      <c r="R12475" s="1"/>
      <c r="S12475" s="1"/>
      <c r="T12475" s="1"/>
      <c r="U12475" s="1"/>
      <c r="V12475" s="1"/>
      <c r="W12475" s="1"/>
      <c r="X12475" s="1"/>
      <c r="Y12475" s="1"/>
      <c r="Z12475" s="1"/>
      <c r="AA12475" s="1"/>
      <c r="AB12475" s="1"/>
      <c r="AC12475" s="1"/>
      <c r="AD12475" s="1"/>
      <c r="AE12475" s="1"/>
      <c r="AF12475" s="1"/>
      <c r="AG12475" s="1"/>
      <c r="AH12475" s="1"/>
    </row>
    <row r="12476" ht="12.75" customHeight="1">
      <c r="A12476" s="17"/>
      <c r="B12476" s="1"/>
      <c r="C12476" s="1"/>
      <c r="D12476" s="150"/>
      <c r="E12476" s="150"/>
      <c r="F12476" s="75"/>
      <c r="G12476" s="67"/>
      <c r="H12476" s="68"/>
      <c r="I12476" s="76"/>
      <c r="J12476" s="67"/>
      <c r="K12476" s="1"/>
      <c r="L12476" s="77"/>
      <c r="M12476" s="79"/>
      <c r="N12476" s="1"/>
      <c r="O12476" s="1"/>
      <c r="P12476" s="1"/>
      <c r="Q12476" s="1"/>
      <c r="R12476" s="1"/>
      <c r="S12476" s="1"/>
      <c r="T12476" s="1"/>
      <c r="U12476" s="1"/>
      <c r="V12476" s="1"/>
      <c r="W12476" s="1"/>
      <c r="X12476" s="1"/>
      <c r="Y12476" s="1"/>
      <c r="Z12476" s="1"/>
      <c r="AA12476" s="1"/>
      <c r="AB12476" s="1"/>
      <c r="AC12476" s="1"/>
      <c r="AD12476" s="1"/>
      <c r="AE12476" s="1"/>
      <c r="AF12476" s="1"/>
      <c r="AG12476" s="1"/>
      <c r="AH12476" s="1"/>
    </row>
    <row r="12477" ht="12.75" customHeight="1">
      <c r="A12477" s="17"/>
      <c r="B12477" s="1"/>
      <c r="C12477" s="1"/>
      <c r="D12477" s="150"/>
      <c r="E12477" s="150"/>
      <c r="F12477" s="75"/>
      <c r="G12477" s="67"/>
      <c r="H12477" s="68"/>
      <c r="I12477" s="76"/>
      <c r="J12477" s="67"/>
      <c r="K12477" s="1"/>
      <c r="L12477" s="77"/>
      <c r="M12477" s="79"/>
      <c r="N12477" s="1"/>
      <c r="O12477" s="1"/>
      <c r="P12477" s="1"/>
      <c r="Q12477" s="1"/>
      <c r="R12477" s="1"/>
      <c r="S12477" s="1"/>
      <c r="T12477" s="1"/>
      <c r="U12477" s="1"/>
      <c r="V12477" s="1"/>
      <c r="W12477" s="1"/>
      <c r="X12477" s="1"/>
      <c r="Y12477" s="1"/>
      <c r="Z12477" s="1"/>
      <c r="AA12477" s="1"/>
      <c r="AB12477" s="1"/>
      <c r="AC12477" s="1"/>
      <c r="AD12477" s="1"/>
      <c r="AE12477" s="1"/>
      <c r="AF12477" s="1"/>
      <c r="AG12477" s="1"/>
      <c r="AH12477" s="1"/>
    </row>
    <row r="12478" ht="12.75" customHeight="1">
      <c r="A12478" s="17"/>
      <c r="B12478" s="1"/>
      <c r="C12478" s="1"/>
      <c r="D12478" s="150"/>
      <c r="E12478" s="150"/>
      <c r="F12478" s="75"/>
      <c r="G12478" s="67"/>
      <c r="H12478" s="68"/>
      <c r="I12478" s="76"/>
      <c r="J12478" s="67"/>
      <c r="K12478" s="1"/>
      <c r="L12478" s="77"/>
      <c r="M12478" s="79"/>
      <c r="N12478" s="1"/>
      <c r="O12478" s="1"/>
      <c r="P12478" s="1"/>
      <c r="Q12478" s="1"/>
      <c r="R12478" s="1"/>
      <c r="S12478" s="1"/>
      <c r="T12478" s="1"/>
      <c r="U12478" s="1"/>
      <c r="V12478" s="1"/>
      <c r="W12478" s="1"/>
      <c r="X12478" s="1"/>
      <c r="Y12478" s="1"/>
      <c r="Z12478" s="1"/>
      <c r="AA12478" s="1"/>
      <c r="AB12478" s="1"/>
      <c r="AC12478" s="1"/>
      <c r="AD12478" s="1"/>
      <c r="AE12478" s="1"/>
      <c r="AF12478" s="1"/>
      <c r="AG12478" s="1"/>
      <c r="AH12478" s="1"/>
    </row>
    <row r="12479" ht="12.75" customHeight="1">
      <c r="A12479" s="17"/>
      <c r="B12479" s="1"/>
      <c r="C12479" s="1"/>
      <c r="D12479" s="150"/>
      <c r="E12479" s="150"/>
      <c r="F12479" s="75"/>
      <c r="G12479" s="67"/>
      <c r="H12479" s="68"/>
      <c r="I12479" s="76"/>
      <c r="J12479" s="67"/>
      <c r="K12479" s="1"/>
      <c r="L12479" s="77"/>
      <c r="M12479" s="79"/>
      <c r="N12479" s="1"/>
      <c r="O12479" s="1"/>
      <c r="P12479" s="1"/>
      <c r="Q12479" s="1"/>
      <c r="R12479" s="1"/>
      <c r="S12479" s="1"/>
      <c r="T12479" s="1"/>
      <c r="U12479" s="1"/>
      <c r="V12479" s="1"/>
      <c r="W12479" s="1"/>
      <c r="X12479" s="1"/>
      <c r="Y12479" s="1"/>
      <c r="Z12479" s="1"/>
      <c r="AA12479" s="1"/>
      <c r="AB12479" s="1"/>
      <c r="AC12479" s="1"/>
      <c r="AD12479" s="1"/>
      <c r="AE12479" s="1"/>
      <c r="AF12479" s="1"/>
      <c r="AG12479" s="1"/>
      <c r="AH12479" s="1"/>
    </row>
    <row r="12480" ht="12.75" customHeight="1">
      <c r="A12480" s="17"/>
      <c r="B12480" s="1"/>
      <c r="C12480" s="1"/>
      <c r="D12480" s="150"/>
      <c r="E12480" s="150"/>
      <c r="F12480" s="75"/>
      <c r="G12480" s="67"/>
      <c r="H12480" s="68"/>
      <c r="I12480" s="76"/>
      <c r="J12480" s="67"/>
      <c r="K12480" s="1"/>
      <c r="L12480" s="77"/>
      <c r="M12480" s="79"/>
      <c r="N12480" s="1"/>
      <c r="O12480" s="1"/>
      <c r="P12480" s="1"/>
      <c r="Q12480" s="1"/>
      <c r="R12480" s="1"/>
      <c r="S12480" s="1"/>
      <c r="T12480" s="1"/>
      <c r="U12480" s="1"/>
      <c r="V12480" s="1"/>
      <c r="W12480" s="1"/>
      <c r="X12480" s="1"/>
      <c r="Y12480" s="1"/>
      <c r="Z12480" s="1"/>
      <c r="AA12480" s="1"/>
      <c r="AB12480" s="1"/>
      <c r="AC12480" s="1"/>
      <c r="AD12480" s="1"/>
      <c r="AE12480" s="1"/>
      <c r="AF12480" s="1"/>
      <c r="AG12480" s="1"/>
      <c r="AH12480" s="1"/>
    </row>
    <row r="12481" ht="12.75" customHeight="1">
      <c r="A12481" s="17"/>
      <c r="B12481" s="1"/>
      <c r="C12481" s="1"/>
      <c r="D12481" s="150"/>
      <c r="E12481" s="150"/>
      <c r="F12481" s="75"/>
      <c r="G12481" s="67"/>
      <c r="H12481" s="68"/>
      <c r="I12481" s="76"/>
      <c r="J12481" s="67"/>
      <c r="K12481" s="1"/>
      <c r="L12481" s="77"/>
      <c r="M12481" s="79"/>
      <c r="N12481" s="1"/>
      <c r="O12481" s="1"/>
      <c r="P12481" s="1"/>
      <c r="Q12481" s="1"/>
      <c r="R12481" s="1"/>
      <c r="S12481" s="1"/>
      <c r="T12481" s="1"/>
      <c r="U12481" s="1"/>
      <c r="V12481" s="1"/>
      <c r="W12481" s="1"/>
      <c r="X12481" s="1"/>
      <c r="Y12481" s="1"/>
      <c r="Z12481" s="1"/>
      <c r="AA12481" s="1"/>
      <c r="AB12481" s="1"/>
      <c r="AC12481" s="1"/>
      <c r="AD12481" s="1"/>
      <c r="AE12481" s="1"/>
      <c r="AF12481" s="1"/>
      <c r="AG12481" s="1"/>
      <c r="AH12481" s="1"/>
    </row>
    <row r="12482" ht="12.75" customHeight="1">
      <c r="A12482" s="17"/>
      <c r="B12482" s="1"/>
      <c r="C12482" s="1"/>
      <c r="D12482" s="150"/>
      <c r="E12482" s="150"/>
      <c r="F12482" s="75"/>
      <c r="G12482" s="67"/>
      <c r="H12482" s="68"/>
      <c r="I12482" s="76"/>
      <c r="J12482" s="67"/>
      <c r="K12482" s="1"/>
      <c r="L12482" s="77"/>
      <c r="M12482" s="79"/>
      <c r="N12482" s="1"/>
      <c r="O12482" s="1"/>
      <c r="P12482" s="1"/>
      <c r="Q12482" s="1"/>
      <c r="R12482" s="1"/>
      <c r="S12482" s="1"/>
      <c r="T12482" s="1"/>
      <c r="U12482" s="1"/>
      <c r="V12482" s="1"/>
      <c r="W12482" s="1"/>
      <c r="X12482" s="1"/>
      <c r="Y12482" s="1"/>
      <c r="Z12482" s="1"/>
      <c r="AA12482" s="1"/>
      <c r="AB12482" s="1"/>
      <c r="AC12482" s="1"/>
      <c r="AD12482" s="1"/>
      <c r="AE12482" s="1"/>
      <c r="AF12482" s="1"/>
      <c r="AG12482" s="1"/>
      <c r="AH12482" s="1"/>
    </row>
    <row r="12483" ht="12.75" customHeight="1">
      <c r="A12483" s="17"/>
      <c r="B12483" s="1"/>
      <c r="C12483" s="1"/>
      <c r="D12483" s="150"/>
      <c r="E12483" s="150"/>
      <c r="F12483" s="75"/>
      <c r="G12483" s="67"/>
      <c r="H12483" s="68"/>
      <c r="I12483" s="76"/>
      <c r="J12483" s="67"/>
      <c r="K12483" s="1"/>
      <c r="L12483" s="77"/>
      <c r="M12483" s="79"/>
      <c r="N12483" s="1"/>
      <c r="O12483" s="1"/>
      <c r="P12483" s="1"/>
      <c r="Q12483" s="1"/>
      <c r="R12483" s="1"/>
      <c r="S12483" s="1"/>
      <c r="T12483" s="1"/>
      <c r="U12483" s="1"/>
      <c r="V12483" s="1"/>
      <c r="W12483" s="1"/>
      <c r="X12483" s="1"/>
      <c r="Y12483" s="1"/>
      <c r="Z12483" s="1"/>
      <c r="AA12483" s="1"/>
      <c r="AB12483" s="1"/>
      <c r="AC12483" s="1"/>
      <c r="AD12483" s="1"/>
      <c r="AE12483" s="1"/>
      <c r="AF12483" s="1"/>
      <c r="AG12483" s="1"/>
      <c r="AH12483" s="1"/>
    </row>
    <row r="12484" ht="12.75" customHeight="1">
      <c r="A12484" s="17"/>
      <c r="B12484" s="1"/>
      <c r="C12484" s="1"/>
      <c r="D12484" s="150"/>
      <c r="E12484" s="150"/>
      <c r="F12484" s="75"/>
      <c r="G12484" s="67"/>
      <c r="H12484" s="68"/>
      <c r="I12484" s="76"/>
      <c r="J12484" s="67"/>
      <c r="K12484" s="1"/>
      <c r="L12484" s="77"/>
      <c r="M12484" s="79"/>
      <c r="N12484" s="1"/>
      <c r="O12484" s="1"/>
      <c r="P12484" s="1"/>
      <c r="Q12484" s="1"/>
      <c r="R12484" s="1"/>
      <c r="S12484" s="1"/>
      <c r="T12484" s="1"/>
      <c r="U12484" s="1"/>
      <c r="V12484" s="1"/>
      <c r="W12484" s="1"/>
      <c r="X12484" s="1"/>
      <c r="Y12484" s="1"/>
      <c r="Z12484" s="1"/>
      <c r="AA12484" s="1"/>
      <c r="AB12484" s="1"/>
      <c r="AC12484" s="1"/>
      <c r="AD12484" s="1"/>
      <c r="AE12484" s="1"/>
      <c r="AF12484" s="1"/>
      <c r="AG12484" s="1"/>
      <c r="AH12484" s="1"/>
    </row>
    <row r="12485" ht="12.75" customHeight="1">
      <c r="A12485" s="17"/>
      <c r="B12485" s="1"/>
      <c r="C12485" s="1"/>
      <c r="D12485" s="150"/>
      <c r="E12485" s="150"/>
      <c r="F12485" s="75"/>
      <c r="G12485" s="67"/>
      <c r="H12485" s="68"/>
      <c r="I12485" s="76"/>
      <c r="J12485" s="67"/>
      <c r="K12485" s="1"/>
      <c r="L12485" s="77"/>
      <c r="M12485" s="79"/>
      <c r="N12485" s="1"/>
      <c r="O12485" s="1"/>
      <c r="P12485" s="1"/>
      <c r="Q12485" s="1"/>
      <c r="R12485" s="1"/>
      <c r="S12485" s="1"/>
      <c r="T12485" s="1"/>
      <c r="U12485" s="1"/>
      <c r="V12485" s="1"/>
      <c r="W12485" s="1"/>
      <c r="X12485" s="1"/>
      <c r="Y12485" s="1"/>
      <c r="Z12485" s="1"/>
      <c r="AA12485" s="1"/>
      <c r="AB12485" s="1"/>
      <c r="AC12485" s="1"/>
      <c r="AD12485" s="1"/>
      <c r="AE12485" s="1"/>
      <c r="AF12485" s="1"/>
      <c r="AG12485" s="1"/>
      <c r="AH12485" s="1"/>
    </row>
    <row r="12486" ht="12.75" customHeight="1">
      <c r="A12486" s="17"/>
      <c r="B12486" s="1"/>
      <c r="C12486" s="1"/>
      <c r="D12486" s="150"/>
      <c r="E12486" s="150"/>
      <c r="F12486" s="75"/>
      <c r="G12486" s="67"/>
      <c r="H12486" s="68"/>
      <c r="I12486" s="76"/>
      <c r="J12486" s="67"/>
      <c r="K12486" s="1"/>
      <c r="L12486" s="77"/>
      <c r="M12486" s="79"/>
      <c r="N12486" s="1"/>
      <c r="O12486" s="1"/>
      <c r="P12486" s="1"/>
      <c r="Q12486" s="1"/>
      <c r="R12486" s="1"/>
      <c r="S12486" s="1"/>
      <c r="T12486" s="1"/>
      <c r="U12486" s="1"/>
      <c r="V12486" s="1"/>
      <c r="W12486" s="1"/>
      <c r="X12486" s="1"/>
      <c r="Y12486" s="1"/>
      <c r="Z12486" s="1"/>
      <c r="AA12486" s="1"/>
      <c r="AB12486" s="1"/>
      <c r="AC12486" s="1"/>
      <c r="AD12486" s="1"/>
      <c r="AE12486" s="1"/>
      <c r="AF12486" s="1"/>
      <c r="AG12486" s="1"/>
      <c r="AH12486" s="1"/>
    </row>
    <row r="12487" ht="12.75" customHeight="1">
      <c r="A12487" s="17"/>
      <c r="B12487" s="1"/>
      <c r="C12487" s="1"/>
      <c r="D12487" s="150"/>
      <c r="E12487" s="150"/>
      <c r="F12487" s="75"/>
      <c r="G12487" s="67"/>
      <c r="H12487" s="68"/>
      <c r="I12487" s="76"/>
      <c r="J12487" s="67"/>
      <c r="K12487" s="1"/>
      <c r="L12487" s="77"/>
      <c r="M12487" s="79"/>
      <c r="N12487" s="1"/>
      <c r="O12487" s="1"/>
      <c r="P12487" s="1"/>
      <c r="Q12487" s="1"/>
      <c r="R12487" s="1"/>
      <c r="S12487" s="1"/>
      <c r="T12487" s="1"/>
      <c r="U12487" s="1"/>
      <c r="V12487" s="1"/>
      <c r="W12487" s="1"/>
      <c r="X12487" s="1"/>
      <c r="Y12487" s="1"/>
      <c r="Z12487" s="1"/>
      <c r="AA12487" s="1"/>
      <c r="AB12487" s="1"/>
      <c r="AC12487" s="1"/>
      <c r="AD12487" s="1"/>
      <c r="AE12487" s="1"/>
      <c r="AF12487" s="1"/>
      <c r="AG12487" s="1"/>
      <c r="AH12487" s="1"/>
    </row>
    <row r="12488" ht="12.75" customHeight="1">
      <c r="A12488" s="17"/>
      <c r="B12488" s="1"/>
      <c r="C12488" s="1"/>
      <c r="D12488" s="150"/>
      <c r="E12488" s="150"/>
      <c r="F12488" s="75"/>
      <c r="G12488" s="67"/>
      <c r="H12488" s="68"/>
      <c r="I12488" s="76"/>
      <c r="J12488" s="67"/>
      <c r="K12488" s="1"/>
      <c r="L12488" s="77"/>
      <c r="M12488" s="79"/>
      <c r="N12488" s="1"/>
      <c r="O12488" s="1"/>
      <c r="P12488" s="1"/>
      <c r="Q12488" s="1"/>
      <c r="R12488" s="1"/>
      <c r="S12488" s="1"/>
      <c r="T12488" s="1"/>
      <c r="U12488" s="1"/>
      <c r="V12488" s="1"/>
      <c r="W12488" s="1"/>
      <c r="X12488" s="1"/>
      <c r="Y12488" s="1"/>
      <c r="Z12488" s="1"/>
      <c r="AA12488" s="1"/>
      <c r="AB12488" s="1"/>
      <c r="AC12488" s="1"/>
      <c r="AD12488" s="1"/>
      <c r="AE12488" s="1"/>
      <c r="AF12488" s="1"/>
      <c r="AG12488" s="1"/>
      <c r="AH12488" s="1"/>
    </row>
    <row r="12489" ht="12.75" customHeight="1">
      <c r="A12489" s="17"/>
      <c r="B12489" s="1"/>
      <c r="C12489" s="1"/>
      <c r="D12489" s="150"/>
      <c r="E12489" s="150"/>
      <c r="F12489" s="75"/>
      <c r="G12489" s="67"/>
      <c r="H12489" s="68"/>
      <c r="I12489" s="76"/>
      <c r="J12489" s="67"/>
      <c r="K12489" s="1"/>
      <c r="L12489" s="77"/>
      <c r="M12489" s="79"/>
      <c r="N12489" s="1"/>
      <c r="O12489" s="1"/>
      <c r="P12489" s="1"/>
      <c r="Q12489" s="1"/>
      <c r="R12489" s="1"/>
      <c r="S12489" s="1"/>
      <c r="T12489" s="1"/>
      <c r="U12489" s="1"/>
      <c r="V12489" s="1"/>
      <c r="W12489" s="1"/>
      <c r="X12489" s="1"/>
      <c r="Y12489" s="1"/>
      <c r="Z12489" s="1"/>
      <c r="AA12489" s="1"/>
      <c r="AB12489" s="1"/>
      <c r="AC12489" s="1"/>
      <c r="AD12489" s="1"/>
      <c r="AE12489" s="1"/>
      <c r="AF12489" s="1"/>
      <c r="AG12489" s="1"/>
      <c r="AH12489" s="1"/>
    </row>
    <row r="12490" ht="12.75" customHeight="1">
      <c r="A12490" s="17"/>
      <c r="B12490" s="1"/>
      <c r="C12490" s="1"/>
      <c r="D12490" s="150"/>
      <c r="E12490" s="150"/>
      <c r="F12490" s="75"/>
      <c r="G12490" s="67"/>
      <c r="H12490" s="68"/>
      <c r="I12490" s="76"/>
      <c r="J12490" s="67"/>
      <c r="K12490" s="1"/>
      <c r="L12490" s="77"/>
      <c r="M12490" s="79"/>
      <c r="N12490" s="1"/>
      <c r="O12490" s="1"/>
      <c r="P12490" s="1"/>
      <c r="Q12490" s="1"/>
      <c r="R12490" s="1"/>
      <c r="S12490" s="1"/>
      <c r="T12490" s="1"/>
      <c r="U12490" s="1"/>
      <c r="V12490" s="1"/>
      <c r="W12490" s="1"/>
      <c r="X12490" s="1"/>
      <c r="Y12490" s="1"/>
      <c r="Z12490" s="1"/>
      <c r="AA12490" s="1"/>
      <c r="AB12490" s="1"/>
      <c r="AC12490" s="1"/>
      <c r="AD12490" s="1"/>
      <c r="AE12490" s="1"/>
      <c r="AF12490" s="1"/>
      <c r="AG12490" s="1"/>
      <c r="AH12490" s="1"/>
    </row>
    <row r="12491" ht="12.75" customHeight="1">
      <c r="A12491" s="17"/>
      <c r="B12491" s="1"/>
      <c r="C12491" s="1"/>
      <c r="D12491" s="150"/>
      <c r="E12491" s="150"/>
      <c r="F12491" s="75"/>
      <c r="G12491" s="67"/>
      <c r="H12491" s="68"/>
      <c r="I12491" s="76"/>
      <c r="J12491" s="67"/>
      <c r="K12491" s="1"/>
      <c r="L12491" s="77"/>
      <c r="M12491" s="79"/>
      <c r="N12491" s="1"/>
      <c r="O12491" s="1"/>
      <c r="P12491" s="1"/>
      <c r="Q12491" s="1"/>
      <c r="R12491" s="1"/>
      <c r="S12491" s="1"/>
      <c r="T12491" s="1"/>
      <c r="U12491" s="1"/>
      <c r="V12491" s="1"/>
      <c r="W12491" s="1"/>
      <c r="X12491" s="1"/>
      <c r="Y12491" s="1"/>
      <c r="Z12491" s="1"/>
      <c r="AA12491" s="1"/>
      <c r="AB12491" s="1"/>
      <c r="AC12491" s="1"/>
      <c r="AD12491" s="1"/>
      <c r="AE12491" s="1"/>
      <c r="AF12491" s="1"/>
      <c r="AG12491" s="1"/>
      <c r="AH12491" s="1"/>
    </row>
    <row r="12492" ht="12.75" customHeight="1">
      <c r="A12492" s="17"/>
      <c r="B12492" s="1"/>
      <c r="C12492" s="1"/>
      <c r="D12492" s="150"/>
      <c r="E12492" s="150"/>
      <c r="F12492" s="75"/>
      <c r="G12492" s="67"/>
      <c r="H12492" s="68"/>
      <c r="I12492" s="76"/>
      <c r="J12492" s="67"/>
      <c r="K12492" s="1"/>
      <c r="L12492" s="77"/>
      <c r="M12492" s="79"/>
      <c r="N12492" s="1"/>
      <c r="O12492" s="1"/>
      <c r="P12492" s="1"/>
      <c r="Q12492" s="1"/>
      <c r="R12492" s="1"/>
      <c r="S12492" s="1"/>
      <c r="T12492" s="1"/>
      <c r="U12492" s="1"/>
      <c r="V12492" s="1"/>
      <c r="W12492" s="1"/>
      <c r="X12492" s="1"/>
      <c r="Y12492" s="1"/>
      <c r="Z12492" s="1"/>
      <c r="AA12492" s="1"/>
      <c r="AB12492" s="1"/>
      <c r="AC12492" s="1"/>
      <c r="AD12492" s="1"/>
      <c r="AE12492" s="1"/>
      <c r="AF12492" s="1"/>
      <c r="AG12492" s="1"/>
      <c r="AH12492" s="1"/>
    </row>
    <row r="12493" ht="12.75" customHeight="1">
      <c r="A12493" s="17"/>
      <c r="B12493" s="1"/>
      <c r="C12493" s="1"/>
      <c r="D12493" s="150"/>
      <c r="E12493" s="150"/>
      <c r="F12493" s="75"/>
      <c r="G12493" s="67"/>
      <c r="H12493" s="68"/>
      <c r="I12493" s="76"/>
      <c r="J12493" s="67"/>
      <c r="K12493" s="1"/>
      <c r="L12493" s="77"/>
      <c r="M12493" s="79"/>
      <c r="N12493" s="1"/>
      <c r="O12493" s="1"/>
      <c r="P12493" s="1"/>
      <c r="Q12493" s="1"/>
      <c r="R12493" s="1"/>
      <c r="S12493" s="1"/>
      <c r="T12493" s="1"/>
      <c r="U12493" s="1"/>
      <c r="V12493" s="1"/>
      <c r="W12493" s="1"/>
      <c r="X12493" s="1"/>
      <c r="Y12493" s="1"/>
      <c r="Z12493" s="1"/>
      <c r="AA12493" s="1"/>
      <c r="AB12493" s="1"/>
      <c r="AC12493" s="1"/>
      <c r="AD12493" s="1"/>
      <c r="AE12493" s="1"/>
      <c r="AF12493" s="1"/>
      <c r="AG12493" s="1"/>
      <c r="AH12493" s="1"/>
    </row>
    <row r="12494" ht="12.75" customHeight="1">
      <c r="A12494" s="17"/>
      <c r="B12494" s="1"/>
      <c r="C12494" s="1"/>
      <c r="D12494" s="150"/>
      <c r="E12494" s="150"/>
      <c r="F12494" s="75"/>
      <c r="G12494" s="67"/>
      <c r="H12494" s="68"/>
      <c r="I12494" s="76"/>
      <c r="J12494" s="67"/>
      <c r="K12494" s="1"/>
      <c r="L12494" s="77"/>
      <c r="M12494" s="79"/>
      <c r="N12494" s="1"/>
      <c r="O12494" s="1"/>
      <c r="P12494" s="1"/>
      <c r="Q12494" s="1"/>
      <c r="R12494" s="1"/>
      <c r="S12494" s="1"/>
      <c r="T12494" s="1"/>
      <c r="U12494" s="1"/>
      <c r="V12494" s="1"/>
      <c r="W12494" s="1"/>
      <c r="X12494" s="1"/>
      <c r="Y12494" s="1"/>
      <c r="Z12494" s="1"/>
      <c r="AA12494" s="1"/>
      <c r="AB12494" s="1"/>
      <c r="AC12494" s="1"/>
      <c r="AD12494" s="1"/>
      <c r="AE12494" s="1"/>
      <c r="AF12494" s="1"/>
      <c r="AG12494" s="1"/>
      <c r="AH12494" s="1"/>
    </row>
    <row r="12495" ht="12.75" customHeight="1">
      <c r="A12495" s="17"/>
      <c r="B12495" s="1"/>
      <c r="C12495" s="1"/>
      <c r="D12495" s="150"/>
      <c r="E12495" s="150"/>
      <c r="F12495" s="75"/>
      <c r="G12495" s="67"/>
      <c r="H12495" s="68"/>
      <c r="I12495" s="76"/>
      <c r="J12495" s="67"/>
      <c r="K12495" s="1"/>
      <c r="L12495" s="77"/>
      <c r="M12495" s="79"/>
      <c r="N12495" s="1"/>
      <c r="O12495" s="1"/>
      <c r="P12495" s="1"/>
      <c r="Q12495" s="1"/>
      <c r="R12495" s="1"/>
      <c r="S12495" s="1"/>
      <c r="T12495" s="1"/>
      <c r="U12495" s="1"/>
      <c r="V12495" s="1"/>
      <c r="W12495" s="1"/>
      <c r="X12495" s="1"/>
      <c r="Y12495" s="1"/>
      <c r="Z12495" s="1"/>
      <c r="AA12495" s="1"/>
      <c r="AB12495" s="1"/>
      <c r="AC12495" s="1"/>
      <c r="AD12495" s="1"/>
      <c r="AE12495" s="1"/>
      <c r="AF12495" s="1"/>
      <c r="AG12495" s="1"/>
      <c r="AH12495" s="1"/>
    </row>
    <row r="12496" ht="12.75" customHeight="1">
      <c r="A12496" s="17"/>
      <c r="B12496" s="1"/>
      <c r="C12496" s="1"/>
      <c r="D12496" s="150"/>
      <c r="E12496" s="150"/>
      <c r="F12496" s="75"/>
      <c r="G12496" s="67"/>
      <c r="H12496" s="68"/>
      <c r="I12496" s="76"/>
      <c r="J12496" s="67"/>
      <c r="K12496" s="1"/>
      <c r="L12496" s="77"/>
      <c r="M12496" s="79"/>
      <c r="N12496" s="1"/>
      <c r="O12496" s="1"/>
      <c r="P12496" s="1"/>
      <c r="Q12496" s="1"/>
      <c r="R12496" s="1"/>
      <c r="S12496" s="1"/>
      <c r="T12496" s="1"/>
      <c r="U12496" s="1"/>
      <c r="V12496" s="1"/>
      <c r="W12496" s="1"/>
      <c r="X12496" s="1"/>
      <c r="Y12496" s="1"/>
      <c r="Z12496" s="1"/>
      <c r="AA12496" s="1"/>
      <c r="AB12496" s="1"/>
      <c r="AC12496" s="1"/>
      <c r="AD12496" s="1"/>
      <c r="AE12496" s="1"/>
      <c r="AF12496" s="1"/>
      <c r="AG12496" s="1"/>
      <c r="AH12496" s="1"/>
    </row>
    <row r="12497" ht="12.75" customHeight="1">
      <c r="A12497" s="17"/>
      <c r="B12497" s="1"/>
      <c r="C12497" s="1"/>
      <c r="D12497" s="150"/>
      <c r="E12497" s="150"/>
      <c r="F12497" s="75"/>
      <c r="G12497" s="67"/>
      <c r="H12497" s="68"/>
      <c r="I12497" s="76"/>
      <c r="J12497" s="67"/>
      <c r="K12497" s="1"/>
      <c r="L12497" s="77"/>
      <c r="M12497" s="79"/>
      <c r="N12497" s="1"/>
      <c r="O12497" s="1"/>
      <c r="P12497" s="1"/>
      <c r="Q12497" s="1"/>
      <c r="R12497" s="1"/>
      <c r="S12497" s="1"/>
      <c r="T12497" s="1"/>
      <c r="U12497" s="1"/>
      <c r="V12497" s="1"/>
      <c r="W12497" s="1"/>
      <c r="X12497" s="1"/>
      <c r="Y12497" s="1"/>
      <c r="Z12497" s="1"/>
      <c r="AA12497" s="1"/>
      <c r="AB12497" s="1"/>
      <c r="AC12497" s="1"/>
      <c r="AD12497" s="1"/>
      <c r="AE12497" s="1"/>
      <c r="AF12497" s="1"/>
      <c r="AG12497" s="1"/>
      <c r="AH12497" s="1"/>
    </row>
    <row r="12498" ht="12.75" customHeight="1">
      <c r="A12498" s="17"/>
      <c r="B12498" s="1"/>
      <c r="C12498" s="1"/>
      <c r="D12498" s="150"/>
      <c r="E12498" s="150"/>
      <c r="F12498" s="75"/>
      <c r="G12498" s="67"/>
      <c r="H12498" s="68"/>
      <c r="I12498" s="76"/>
      <c r="J12498" s="67"/>
      <c r="K12498" s="1"/>
      <c r="L12498" s="77"/>
      <c r="M12498" s="79"/>
      <c r="N12498" s="1"/>
      <c r="O12498" s="1"/>
      <c r="P12498" s="1"/>
      <c r="Q12498" s="1"/>
      <c r="R12498" s="1"/>
      <c r="S12498" s="1"/>
      <c r="T12498" s="1"/>
      <c r="U12498" s="1"/>
      <c r="V12498" s="1"/>
      <c r="W12498" s="1"/>
      <c r="X12498" s="1"/>
      <c r="Y12498" s="1"/>
      <c r="Z12498" s="1"/>
      <c r="AA12498" s="1"/>
      <c r="AB12498" s="1"/>
      <c r="AC12498" s="1"/>
      <c r="AD12498" s="1"/>
      <c r="AE12498" s="1"/>
      <c r="AF12498" s="1"/>
      <c r="AG12498" s="1"/>
      <c r="AH12498" s="1"/>
    </row>
    <row r="12499" ht="12.75" customHeight="1">
      <c r="A12499" s="17"/>
      <c r="B12499" s="1"/>
      <c r="C12499" s="1"/>
      <c r="D12499" s="150"/>
      <c r="E12499" s="150"/>
      <c r="F12499" s="75"/>
      <c r="G12499" s="67"/>
      <c r="H12499" s="68"/>
      <c r="I12499" s="76"/>
      <c r="J12499" s="67"/>
      <c r="K12499" s="1"/>
      <c r="L12499" s="77"/>
      <c r="M12499" s="79"/>
      <c r="N12499" s="1"/>
      <c r="O12499" s="1"/>
      <c r="P12499" s="1"/>
      <c r="Q12499" s="1"/>
      <c r="R12499" s="1"/>
      <c r="S12499" s="1"/>
      <c r="T12499" s="1"/>
      <c r="U12499" s="1"/>
      <c r="V12499" s="1"/>
      <c r="W12499" s="1"/>
      <c r="X12499" s="1"/>
      <c r="Y12499" s="1"/>
      <c r="Z12499" s="1"/>
      <c r="AA12499" s="1"/>
      <c r="AB12499" s="1"/>
      <c r="AC12499" s="1"/>
      <c r="AD12499" s="1"/>
      <c r="AE12499" s="1"/>
      <c r="AF12499" s="1"/>
      <c r="AG12499" s="1"/>
      <c r="AH12499" s="1"/>
    </row>
    <row r="12500" ht="12.75" customHeight="1">
      <c r="A12500" s="17"/>
      <c r="B12500" s="1"/>
      <c r="C12500" s="1"/>
      <c r="D12500" s="150"/>
      <c r="E12500" s="150"/>
      <c r="F12500" s="75"/>
      <c r="G12500" s="67"/>
      <c r="H12500" s="68"/>
      <c r="I12500" s="76"/>
      <c r="J12500" s="67"/>
      <c r="K12500" s="1"/>
      <c r="L12500" s="77"/>
      <c r="M12500" s="79"/>
      <c r="N12500" s="1"/>
      <c r="O12500" s="1"/>
      <c r="P12500" s="1"/>
      <c r="Q12500" s="1"/>
      <c r="R12500" s="1"/>
      <c r="S12500" s="1"/>
      <c r="T12500" s="1"/>
      <c r="U12500" s="1"/>
      <c r="V12500" s="1"/>
      <c r="W12500" s="1"/>
      <c r="X12500" s="1"/>
      <c r="Y12500" s="1"/>
      <c r="Z12500" s="1"/>
      <c r="AA12500" s="1"/>
      <c r="AB12500" s="1"/>
      <c r="AC12500" s="1"/>
      <c r="AD12500" s="1"/>
      <c r="AE12500" s="1"/>
      <c r="AF12500" s="1"/>
      <c r="AG12500" s="1"/>
      <c r="AH12500" s="1"/>
    </row>
    <row r="12501" ht="12.75" customHeight="1">
      <c r="A12501" s="17"/>
      <c r="B12501" s="1"/>
      <c r="C12501" s="1"/>
      <c r="D12501" s="150"/>
      <c r="E12501" s="150"/>
      <c r="F12501" s="75"/>
      <c r="G12501" s="67"/>
      <c r="H12501" s="68"/>
      <c r="I12501" s="76"/>
      <c r="J12501" s="67"/>
      <c r="K12501" s="1"/>
      <c r="L12501" s="77"/>
      <c r="M12501" s="79"/>
      <c r="N12501" s="1"/>
      <c r="O12501" s="1"/>
      <c r="P12501" s="1"/>
      <c r="Q12501" s="1"/>
      <c r="R12501" s="1"/>
      <c r="S12501" s="1"/>
      <c r="T12501" s="1"/>
      <c r="U12501" s="1"/>
      <c r="V12501" s="1"/>
      <c r="W12501" s="1"/>
      <c r="X12501" s="1"/>
      <c r="Y12501" s="1"/>
      <c r="Z12501" s="1"/>
      <c r="AA12501" s="1"/>
      <c r="AB12501" s="1"/>
      <c r="AC12501" s="1"/>
      <c r="AD12501" s="1"/>
      <c r="AE12501" s="1"/>
      <c r="AF12501" s="1"/>
      <c r="AG12501" s="1"/>
      <c r="AH12501" s="1"/>
    </row>
    <row r="12502" ht="12.75" customHeight="1">
      <c r="A12502" s="17"/>
      <c r="B12502" s="1"/>
      <c r="C12502" s="1"/>
      <c r="D12502" s="150"/>
      <c r="E12502" s="150"/>
      <c r="F12502" s="75"/>
      <c r="G12502" s="67"/>
      <c r="H12502" s="68"/>
      <c r="I12502" s="76"/>
      <c r="J12502" s="67"/>
      <c r="K12502" s="1"/>
      <c r="L12502" s="77"/>
      <c r="M12502" s="79"/>
      <c r="N12502" s="1"/>
      <c r="O12502" s="1"/>
      <c r="P12502" s="1"/>
      <c r="Q12502" s="1"/>
      <c r="R12502" s="1"/>
      <c r="S12502" s="1"/>
      <c r="T12502" s="1"/>
      <c r="U12502" s="1"/>
      <c r="V12502" s="1"/>
      <c r="W12502" s="1"/>
      <c r="X12502" s="1"/>
      <c r="Y12502" s="1"/>
      <c r="Z12502" s="1"/>
      <c r="AA12502" s="1"/>
      <c r="AB12502" s="1"/>
      <c r="AC12502" s="1"/>
      <c r="AD12502" s="1"/>
      <c r="AE12502" s="1"/>
      <c r="AF12502" s="1"/>
      <c r="AG12502" s="1"/>
      <c r="AH12502" s="1"/>
    </row>
    <row r="12503" ht="12.75" customHeight="1">
      <c r="A12503" s="17"/>
      <c r="B12503" s="1"/>
      <c r="C12503" s="1"/>
      <c r="D12503" s="150"/>
      <c r="E12503" s="150"/>
      <c r="F12503" s="75"/>
      <c r="G12503" s="67"/>
      <c r="H12503" s="68"/>
      <c r="I12503" s="76"/>
      <c r="J12503" s="67"/>
      <c r="K12503" s="1"/>
      <c r="L12503" s="77"/>
      <c r="M12503" s="79"/>
      <c r="N12503" s="1"/>
      <c r="O12503" s="1"/>
      <c r="P12503" s="1"/>
      <c r="Q12503" s="1"/>
      <c r="R12503" s="1"/>
      <c r="S12503" s="1"/>
      <c r="T12503" s="1"/>
      <c r="U12503" s="1"/>
      <c r="V12503" s="1"/>
      <c r="W12503" s="1"/>
      <c r="X12503" s="1"/>
      <c r="Y12503" s="1"/>
      <c r="Z12503" s="1"/>
      <c r="AA12503" s="1"/>
      <c r="AB12503" s="1"/>
      <c r="AC12503" s="1"/>
      <c r="AD12503" s="1"/>
      <c r="AE12503" s="1"/>
      <c r="AF12503" s="1"/>
      <c r="AG12503" s="1"/>
      <c r="AH12503" s="1"/>
    </row>
    <row r="12504" ht="12.75" customHeight="1">
      <c r="A12504" s="17"/>
      <c r="B12504" s="1"/>
      <c r="C12504" s="1"/>
      <c r="D12504" s="150"/>
      <c r="E12504" s="150"/>
      <c r="F12504" s="75"/>
      <c r="G12504" s="67"/>
      <c r="H12504" s="68"/>
      <c r="I12504" s="76"/>
      <c r="J12504" s="67"/>
      <c r="K12504" s="1"/>
      <c r="L12504" s="77"/>
      <c r="M12504" s="79"/>
      <c r="N12504" s="1"/>
      <c r="O12504" s="1"/>
      <c r="P12504" s="1"/>
      <c r="Q12504" s="1"/>
      <c r="R12504" s="1"/>
      <c r="S12504" s="1"/>
      <c r="T12504" s="1"/>
      <c r="U12504" s="1"/>
      <c r="V12504" s="1"/>
      <c r="W12504" s="1"/>
      <c r="X12504" s="1"/>
      <c r="Y12504" s="1"/>
      <c r="Z12504" s="1"/>
      <c r="AA12504" s="1"/>
      <c r="AB12504" s="1"/>
      <c r="AC12504" s="1"/>
      <c r="AD12504" s="1"/>
      <c r="AE12504" s="1"/>
      <c r="AF12504" s="1"/>
      <c r="AG12504" s="1"/>
      <c r="AH12504" s="1"/>
    </row>
    <row r="12505" ht="12.75" customHeight="1">
      <c r="A12505" s="17"/>
      <c r="B12505" s="1"/>
      <c r="C12505" s="1"/>
      <c r="D12505" s="150"/>
      <c r="E12505" s="150"/>
      <c r="F12505" s="75"/>
      <c r="G12505" s="67"/>
      <c r="H12505" s="68"/>
      <c r="I12505" s="76"/>
      <c r="J12505" s="67"/>
      <c r="K12505" s="1"/>
      <c r="L12505" s="77"/>
      <c r="M12505" s="79"/>
      <c r="N12505" s="1"/>
      <c r="O12505" s="1"/>
      <c r="P12505" s="1"/>
      <c r="Q12505" s="1"/>
      <c r="R12505" s="1"/>
      <c r="S12505" s="1"/>
      <c r="T12505" s="1"/>
      <c r="U12505" s="1"/>
      <c r="V12505" s="1"/>
      <c r="W12505" s="1"/>
      <c r="X12505" s="1"/>
      <c r="Y12505" s="1"/>
      <c r="Z12505" s="1"/>
      <c r="AA12505" s="1"/>
      <c r="AB12505" s="1"/>
      <c r="AC12505" s="1"/>
      <c r="AD12505" s="1"/>
      <c r="AE12505" s="1"/>
      <c r="AF12505" s="1"/>
      <c r="AG12505" s="1"/>
      <c r="AH12505" s="1"/>
    </row>
    <row r="12506" ht="12.75" customHeight="1">
      <c r="A12506" s="17"/>
      <c r="B12506" s="1"/>
      <c r="C12506" s="1"/>
      <c r="D12506" s="150"/>
      <c r="E12506" s="150"/>
      <c r="F12506" s="75"/>
      <c r="G12506" s="67"/>
      <c r="H12506" s="68"/>
      <c r="I12506" s="76"/>
      <c r="J12506" s="67"/>
      <c r="K12506" s="1"/>
      <c r="L12506" s="77"/>
      <c r="M12506" s="79"/>
      <c r="N12506" s="1"/>
      <c r="O12506" s="1"/>
      <c r="P12506" s="1"/>
      <c r="Q12506" s="1"/>
      <c r="R12506" s="1"/>
      <c r="S12506" s="1"/>
      <c r="T12506" s="1"/>
      <c r="U12506" s="1"/>
      <c r="V12506" s="1"/>
      <c r="W12506" s="1"/>
      <c r="X12506" s="1"/>
      <c r="Y12506" s="1"/>
      <c r="Z12506" s="1"/>
      <c r="AA12506" s="1"/>
      <c r="AB12506" s="1"/>
      <c r="AC12506" s="1"/>
      <c r="AD12506" s="1"/>
      <c r="AE12506" s="1"/>
      <c r="AF12506" s="1"/>
      <c r="AG12506" s="1"/>
      <c r="AH12506" s="1"/>
    </row>
    <row r="12507" ht="12.75" customHeight="1">
      <c r="A12507" s="17"/>
      <c r="B12507" s="1"/>
      <c r="C12507" s="1"/>
      <c r="D12507" s="150"/>
      <c r="E12507" s="150"/>
      <c r="F12507" s="75"/>
      <c r="G12507" s="67"/>
      <c r="H12507" s="68"/>
      <c r="I12507" s="76"/>
      <c r="J12507" s="67"/>
      <c r="K12507" s="1"/>
      <c r="L12507" s="77"/>
      <c r="M12507" s="79"/>
      <c r="N12507" s="1"/>
      <c r="O12507" s="1"/>
      <c r="P12507" s="1"/>
      <c r="Q12507" s="1"/>
      <c r="R12507" s="1"/>
      <c r="S12507" s="1"/>
      <c r="T12507" s="1"/>
      <c r="U12507" s="1"/>
      <c r="V12507" s="1"/>
      <c r="W12507" s="1"/>
      <c r="X12507" s="1"/>
      <c r="Y12507" s="1"/>
      <c r="Z12507" s="1"/>
      <c r="AA12507" s="1"/>
      <c r="AB12507" s="1"/>
      <c r="AC12507" s="1"/>
      <c r="AD12507" s="1"/>
      <c r="AE12507" s="1"/>
      <c r="AF12507" s="1"/>
      <c r="AG12507" s="1"/>
      <c r="AH12507" s="1"/>
    </row>
    <row r="12508" ht="12.75" customHeight="1">
      <c r="A12508" s="17"/>
      <c r="B12508" s="1"/>
      <c r="C12508" s="1"/>
      <c r="D12508" s="150"/>
      <c r="E12508" s="150"/>
      <c r="F12508" s="75"/>
      <c r="G12508" s="67"/>
      <c r="H12508" s="68"/>
      <c r="I12508" s="76"/>
      <c r="J12508" s="67"/>
      <c r="K12508" s="1"/>
      <c r="L12508" s="77"/>
      <c r="M12508" s="79"/>
      <c r="N12508" s="1"/>
      <c r="O12508" s="1"/>
      <c r="P12508" s="1"/>
      <c r="Q12508" s="1"/>
      <c r="R12508" s="1"/>
      <c r="S12508" s="1"/>
      <c r="T12508" s="1"/>
      <c r="U12508" s="1"/>
      <c r="V12508" s="1"/>
      <c r="W12508" s="1"/>
      <c r="X12508" s="1"/>
      <c r="Y12508" s="1"/>
      <c r="Z12508" s="1"/>
      <c r="AA12508" s="1"/>
      <c r="AB12508" s="1"/>
      <c r="AC12508" s="1"/>
      <c r="AD12508" s="1"/>
      <c r="AE12508" s="1"/>
      <c r="AF12508" s="1"/>
      <c r="AG12508" s="1"/>
      <c r="AH12508" s="1"/>
    </row>
    <row r="12509" ht="12.75" customHeight="1">
      <c r="A12509" s="17"/>
      <c r="B12509" s="1"/>
      <c r="C12509" s="1"/>
      <c r="D12509" s="150"/>
      <c r="E12509" s="150"/>
      <c r="F12509" s="75"/>
      <c r="G12509" s="67"/>
      <c r="H12509" s="68"/>
      <c r="I12509" s="76"/>
      <c r="J12509" s="67"/>
      <c r="K12509" s="1"/>
      <c r="L12509" s="77"/>
      <c r="M12509" s="79"/>
      <c r="N12509" s="1"/>
      <c r="O12509" s="1"/>
      <c r="P12509" s="1"/>
      <c r="Q12509" s="1"/>
      <c r="R12509" s="1"/>
      <c r="S12509" s="1"/>
      <c r="T12509" s="1"/>
      <c r="U12509" s="1"/>
      <c r="V12509" s="1"/>
      <c r="W12509" s="1"/>
      <c r="X12509" s="1"/>
      <c r="Y12509" s="1"/>
      <c r="Z12509" s="1"/>
      <c r="AA12509" s="1"/>
      <c r="AB12509" s="1"/>
      <c r="AC12509" s="1"/>
      <c r="AD12509" s="1"/>
      <c r="AE12509" s="1"/>
      <c r="AF12509" s="1"/>
      <c r="AG12509" s="1"/>
      <c r="AH12509" s="1"/>
    </row>
    <row r="12510" ht="12.75" customHeight="1">
      <c r="A12510" s="17"/>
      <c r="B12510" s="1"/>
      <c r="C12510" s="1"/>
      <c r="D12510" s="150"/>
      <c r="E12510" s="150"/>
      <c r="F12510" s="75"/>
      <c r="G12510" s="67"/>
      <c r="H12510" s="68"/>
      <c r="I12510" s="76"/>
      <c r="J12510" s="67"/>
      <c r="K12510" s="1"/>
      <c r="L12510" s="77"/>
      <c r="M12510" s="79"/>
      <c r="N12510" s="1"/>
      <c r="O12510" s="1"/>
      <c r="P12510" s="1"/>
      <c r="Q12510" s="1"/>
      <c r="R12510" s="1"/>
      <c r="S12510" s="1"/>
      <c r="T12510" s="1"/>
      <c r="U12510" s="1"/>
      <c r="V12510" s="1"/>
      <c r="W12510" s="1"/>
      <c r="X12510" s="1"/>
      <c r="Y12510" s="1"/>
      <c r="Z12510" s="1"/>
      <c r="AA12510" s="1"/>
      <c r="AB12510" s="1"/>
      <c r="AC12510" s="1"/>
      <c r="AD12510" s="1"/>
      <c r="AE12510" s="1"/>
      <c r="AF12510" s="1"/>
      <c r="AG12510" s="1"/>
      <c r="AH12510" s="1"/>
    </row>
    <row r="12511" ht="12.75" customHeight="1">
      <c r="A12511" s="17"/>
      <c r="B12511" s="1"/>
      <c r="C12511" s="1"/>
      <c r="D12511" s="150"/>
      <c r="E12511" s="150"/>
      <c r="F12511" s="75"/>
      <c r="G12511" s="67"/>
      <c r="H12511" s="68"/>
      <c r="I12511" s="76"/>
      <c r="J12511" s="67"/>
      <c r="K12511" s="1"/>
      <c r="L12511" s="77"/>
      <c r="M12511" s="79"/>
      <c r="N12511" s="1"/>
      <c r="O12511" s="1"/>
      <c r="P12511" s="1"/>
      <c r="Q12511" s="1"/>
      <c r="R12511" s="1"/>
      <c r="S12511" s="1"/>
      <c r="T12511" s="1"/>
      <c r="U12511" s="1"/>
      <c r="V12511" s="1"/>
      <c r="W12511" s="1"/>
      <c r="X12511" s="1"/>
      <c r="Y12511" s="1"/>
      <c r="Z12511" s="1"/>
      <c r="AA12511" s="1"/>
      <c r="AB12511" s="1"/>
      <c r="AC12511" s="1"/>
      <c r="AD12511" s="1"/>
      <c r="AE12511" s="1"/>
      <c r="AF12511" s="1"/>
      <c r="AG12511" s="1"/>
      <c r="AH12511" s="1"/>
    </row>
    <row r="12512" ht="12.75" customHeight="1">
      <c r="A12512" s="17"/>
      <c r="B12512" s="1"/>
      <c r="C12512" s="1"/>
      <c r="D12512" s="150"/>
      <c r="E12512" s="150"/>
      <c r="F12512" s="75"/>
      <c r="G12512" s="67"/>
      <c r="H12512" s="68"/>
      <c r="I12512" s="76"/>
      <c r="J12512" s="67"/>
      <c r="K12512" s="1"/>
      <c r="L12512" s="77"/>
      <c r="M12512" s="79"/>
      <c r="N12512" s="1"/>
      <c r="O12512" s="1"/>
      <c r="P12512" s="1"/>
      <c r="Q12512" s="1"/>
      <c r="R12512" s="1"/>
      <c r="S12512" s="1"/>
      <c r="T12512" s="1"/>
      <c r="U12512" s="1"/>
      <c r="V12512" s="1"/>
      <c r="W12512" s="1"/>
      <c r="X12512" s="1"/>
      <c r="Y12512" s="1"/>
      <c r="Z12512" s="1"/>
      <c r="AA12512" s="1"/>
      <c r="AB12512" s="1"/>
      <c r="AC12512" s="1"/>
      <c r="AD12512" s="1"/>
      <c r="AE12512" s="1"/>
      <c r="AF12512" s="1"/>
      <c r="AG12512" s="1"/>
      <c r="AH12512" s="1"/>
    </row>
    <row r="12513" ht="12.75" customHeight="1">
      <c r="A12513" s="17"/>
      <c r="B12513" s="1"/>
      <c r="C12513" s="1"/>
      <c r="D12513" s="150"/>
      <c r="E12513" s="150"/>
      <c r="F12513" s="75"/>
      <c r="G12513" s="67"/>
      <c r="H12513" s="68"/>
      <c r="I12513" s="76"/>
      <c r="J12513" s="67"/>
      <c r="K12513" s="1"/>
      <c r="L12513" s="77"/>
      <c r="M12513" s="79"/>
      <c r="N12513" s="1"/>
      <c r="O12513" s="1"/>
      <c r="P12513" s="1"/>
      <c r="Q12513" s="1"/>
      <c r="R12513" s="1"/>
      <c r="S12513" s="1"/>
      <c r="T12513" s="1"/>
      <c r="U12513" s="1"/>
      <c r="V12513" s="1"/>
      <c r="W12513" s="1"/>
      <c r="X12513" s="1"/>
      <c r="Y12513" s="1"/>
      <c r="Z12513" s="1"/>
      <c r="AA12513" s="1"/>
      <c r="AB12513" s="1"/>
      <c r="AC12513" s="1"/>
      <c r="AD12513" s="1"/>
      <c r="AE12513" s="1"/>
      <c r="AF12513" s="1"/>
      <c r="AG12513" s="1"/>
      <c r="AH12513" s="1"/>
    </row>
    <row r="12514" ht="12.75" customHeight="1">
      <c r="A12514" s="17"/>
      <c r="B12514" s="1"/>
      <c r="C12514" s="1"/>
      <c r="D12514" s="150"/>
      <c r="E12514" s="150"/>
      <c r="F12514" s="75"/>
      <c r="G12514" s="67"/>
      <c r="H12514" s="68"/>
      <c r="I12514" s="76"/>
      <c r="J12514" s="67"/>
      <c r="K12514" s="1"/>
      <c r="L12514" s="77"/>
      <c r="M12514" s="79"/>
      <c r="N12514" s="1"/>
      <c r="O12514" s="1"/>
      <c r="P12514" s="1"/>
      <c r="Q12514" s="1"/>
      <c r="R12514" s="1"/>
      <c r="S12514" s="1"/>
      <c r="T12514" s="1"/>
      <c r="U12514" s="1"/>
      <c r="V12514" s="1"/>
      <c r="W12514" s="1"/>
      <c r="X12514" s="1"/>
      <c r="Y12514" s="1"/>
      <c r="Z12514" s="1"/>
      <c r="AA12514" s="1"/>
      <c r="AB12514" s="1"/>
      <c r="AC12514" s="1"/>
      <c r="AD12514" s="1"/>
      <c r="AE12514" s="1"/>
      <c r="AF12514" s="1"/>
      <c r="AG12514" s="1"/>
      <c r="AH12514" s="1"/>
    </row>
    <row r="12515" ht="12.75" customHeight="1">
      <c r="A12515" s="17"/>
      <c r="B12515" s="1"/>
      <c r="C12515" s="1"/>
      <c r="D12515" s="150"/>
      <c r="E12515" s="150"/>
      <c r="F12515" s="75"/>
      <c r="G12515" s="67"/>
      <c r="H12515" s="68"/>
      <c r="I12515" s="76"/>
      <c r="J12515" s="67"/>
      <c r="K12515" s="1"/>
      <c r="L12515" s="77"/>
      <c r="M12515" s="79"/>
      <c r="N12515" s="1"/>
      <c r="O12515" s="1"/>
      <c r="P12515" s="1"/>
      <c r="Q12515" s="1"/>
      <c r="R12515" s="1"/>
      <c r="S12515" s="1"/>
      <c r="T12515" s="1"/>
      <c r="U12515" s="1"/>
      <c r="V12515" s="1"/>
      <c r="W12515" s="1"/>
      <c r="X12515" s="1"/>
      <c r="Y12515" s="1"/>
      <c r="Z12515" s="1"/>
      <c r="AA12515" s="1"/>
      <c r="AB12515" s="1"/>
      <c r="AC12515" s="1"/>
      <c r="AD12515" s="1"/>
      <c r="AE12515" s="1"/>
      <c r="AF12515" s="1"/>
      <c r="AG12515" s="1"/>
      <c r="AH12515" s="1"/>
    </row>
    <row r="12516" ht="12.75" customHeight="1">
      <c r="A12516" s="17"/>
      <c r="B12516" s="1"/>
      <c r="C12516" s="1"/>
      <c r="D12516" s="150"/>
      <c r="E12516" s="150"/>
      <c r="F12516" s="75"/>
      <c r="G12516" s="67"/>
      <c r="H12516" s="68"/>
      <c r="I12516" s="76"/>
      <c r="J12516" s="67"/>
      <c r="K12516" s="1"/>
      <c r="L12516" s="77"/>
      <c r="M12516" s="79"/>
      <c r="N12516" s="1"/>
      <c r="O12516" s="1"/>
      <c r="P12516" s="1"/>
      <c r="Q12516" s="1"/>
      <c r="R12516" s="1"/>
      <c r="S12516" s="1"/>
      <c r="T12516" s="1"/>
      <c r="U12516" s="1"/>
      <c r="V12516" s="1"/>
      <c r="W12516" s="1"/>
      <c r="X12516" s="1"/>
      <c r="Y12516" s="1"/>
      <c r="Z12516" s="1"/>
      <c r="AA12516" s="1"/>
      <c r="AB12516" s="1"/>
      <c r="AC12516" s="1"/>
      <c r="AD12516" s="1"/>
      <c r="AE12516" s="1"/>
      <c r="AF12516" s="1"/>
      <c r="AG12516" s="1"/>
      <c r="AH12516" s="1"/>
    </row>
    <row r="12517" ht="12.75" customHeight="1">
      <c r="A12517" s="17"/>
      <c r="B12517" s="1"/>
      <c r="C12517" s="1"/>
      <c r="D12517" s="150"/>
      <c r="E12517" s="150"/>
      <c r="F12517" s="75"/>
      <c r="G12517" s="67"/>
      <c r="H12517" s="68"/>
      <c r="I12517" s="76"/>
      <c r="J12517" s="67"/>
      <c r="K12517" s="1"/>
      <c r="L12517" s="77"/>
      <c r="M12517" s="79"/>
      <c r="N12517" s="1"/>
      <c r="O12517" s="1"/>
      <c r="P12517" s="1"/>
      <c r="Q12517" s="1"/>
      <c r="R12517" s="1"/>
      <c r="S12517" s="1"/>
      <c r="T12517" s="1"/>
      <c r="U12517" s="1"/>
      <c r="V12517" s="1"/>
      <c r="W12517" s="1"/>
      <c r="X12517" s="1"/>
      <c r="Y12517" s="1"/>
      <c r="Z12517" s="1"/>
      <c r="AA12517" s="1"/>
      <c r="AB12517" s="1"/>
      <c r="AC12517" s="1"/>
      <c r="AD12517" s="1"/>
      <c r="AE12517" s="1"/>
      <c r="AF12517" s="1"/>
      <c r="AG12517" s="1"/>
      <c r="AH12517" s="1"/>
    </row>
    <row r="12518" ht="12.75" customHeight="1">
      <c r="A12518" s="17"/>
      <c r="B12518" s="1"/>
      <c r="C12518" s="1"/>
      <c r="D12518" s="150"/>
      <c r="E12518" s="150"/>
      <c r="F12518" s="75"/>
      <c r="G12518" s="67"/>
      <c r="H12518" s="68"/>
      <c r="I12518" s="76"/>
      <c r="J12518" s="67"/>
      <c r="K12518" s="1"/>
      <c r="L12518" s="77"/>
      <c r="M12518" s="79"/>
      <c r="N12518" s="1"/>
      <c r="O12518" s="1"/>
      <c r="P12518" s="1"/>
      <c r="Q12518" s="1"/>
      <c r="R12518" s="1"/>
      <c r="S12518" s="1"/>
      <c r="T12518" s="1"/>
      <c r="U12518" s="1"/>
      <c r="V12518" s="1"/>
      <c r="W12518" s="1"/>
      <c r="X12518" s="1"/>
      <c r="Y12518" s="1"/>
      <c r="Z12518" s="1"/>
      <c r="AA12518" s="1"/>
      <c r="AB12518" s="1"/>
      <c r="AC12518" s="1"/>
      <c r="AD12518" s="1"/>
      <c r="AE12518" s="1"/>
      <c r="AF12518" s="1"/>
      <c r="AG12518" s="1"/>
      <c r="AH12518" s="1"/>
    </row>
    <row r="12519" ht="12.75" customHeight="1">
      <c r="A12519" s="17"/>
      <c r="B12519" s="1"/>
      <c r="C12519" s="1"/>
      <c r="D12519" s="150"/>
      <c r="E12519" s="150"/>
      <c r="F12519" s="75"/>
      <c r="G12519" s="67"/>
      <c r="H12519" s="68"/>
      <c r="I12519" s="76"/>
      <c r="J12519" s="67"/>
      <c r="K12519" s="1"/>
      <c r="L12519" s="77"/>
      <c r="M12519" s="79"/>
      <c r="N12519" s="1"/>
      <c r="O12519" s="1"/>
      <c r="P12519" s="1"/>
      <c r="Q12519" s="1"/>
      <c r="R12519" s="1"/>
      <c r="S12519" s="1"/>
      <c r="T12519" s="1"/>
      <c r="U12519" s="1"/>
      <c r="V12519" s="1"/>
      <c r="W12519" s="1"/>
      <c r="X12519" s="1"/>
      <c r="Y12519" s="1"/>
      <c r="Z12519" s="1"/>
      <c r="AA12519" s="1"/>
      <c r="AB12519" s="1"/>
      <c r="AC12519" s="1"/>
      <c r="AD12519" s="1"/>
      <c r="AE12519" s="1"/>
      <c r="AF12519" s="1"/>
      <c r="AG12519" s="1"/>
      <c r="AH12519" s="1"/>
    </row>
    <row r="12520" ht="12.75" customHeight="1">
      <c r="A12520" s="17"/>
      <c r="B12520" s="1"/>
      <c r="C12520" s="1"/>
      <c r="D12520" s="150"/>
      <c r="E12520" s="150"/>
      <c r="F12520" s="75"/>
      <c r="G12520" s="67"/>
      <c r="H12520" s="68"/>
      <c r="I12520" s="76"/>
      <c r="J12520" s="67"/>
      <c r="K12520" s="1"/>
      <c r="L12520" s="77"/>
      <c r="M12520" s="79"/>
      <c r="N12520" s="1"/>
      <c r="O12520" s="1"/>
      <c r="P12520" s="1"/>
      <c r="Q12520" s="1"/>
      <c r="R12520" s="1"/>
      <c r="S12520" s="1"/>
      <c r="T12520" s="1"/>
      <c r="U12520" s="1"/>
      <c r="V12520" s="1"/>
      <c r="W12520" s="1"/>
      <c r="X12520" s="1"/>
      <c r="Y12520" s="1"/>
      <c r="Z12520" s="1"/>
      <c r="AA12520" s="1"/>
      <c r="AB12520" s="1"/>
      <c r="AC12520" s="1"/>
      <c r="AD12520" s="1"/>
      <c r="AE12520" s="1"/>
      <c r="AF12520" s="1"/>
      <c r="AG12520" s="1"/>
      <c r="AH12520" s="1"/>
    </row>
    <row r="12521" ht="12.75" customHeight="1">
      <c r="A12521" s="17"/>
      <c r="B12521" s="1"/>
      <c r="C12521" s="1"/>
      <c r="D12521" s="150"/>
      <c r="E12521" s="150"/>
      <c r="F12521" s="75"/>
      <c r="G12521" s="67"/>
      <c r="H12521" s="68"/>
      <c r="I12521" s="76"/>
      <c r="J12521" s="67"/>
      <c r="K12521" s="1"/>
      <c r="L12521" s="77"/>
      <c r="M12521" s="79"/>
      <c r="N12521" s="1"/>
      <c r="O12521" s="1"/>
      <c r="P12521" s="1"/>
      <c r="Q12521" s="1"/>
      <c r="R12521" s="1"/>
      <c r="S12521" s="1"/>
      <c r="T12521" s="1"/>
      <c r="U12521" s="1"/>
      <c r="V12521" s="1"/>
      <c r="W12521" s="1"/>
      <c r="X12521" s="1"/>
      <c r="Y12521" s="1"/>
      <c r="Z12521" s="1"/>
      <c r="AA12521" s="1"/>
      <c r="AB12521" s="1"/>
      <c r="AC12521" s="1"/>
      <c r="AD12521" s="1"/>
      <c r="AE12521" s="1"/>
      <c r="AF12521" s="1"/>
      <c r="AG12521" s="1"/>
      <c r="AH12521" s="1"/>
    </row>
    <row r="12522" ht="12.75" customHeight="1">
      <c r="A12522" s="17"/>
      <c r="B12522" s="1"/>
      <c r="C12522" s="1"/>
      <c r="D12522" s="150"/>
      <c r="E12522" s="150"/>
      <c r="F12522" s="75"/>
      <c r="G12522" s="67"/>
      <c r="H12522" s="68"/>
      <c r="I12522" s="76"/>
      <c r="J12522" s="67"/>
      <c r="K12522" s="1"/>
      <c r="L12522" s="77"/>
      <c r="M12522" s="79"/>
      <c r="N12522" s="1"/>
      <c r="O12522" s="1"/>
      <c r="P12522" s="1"/>
      <c r="Q12522" s="1"/>
      <c r="R12522" s="1"/>
      <c r="S12522" s="1"/>
      <c r="T12522" s="1"/>
      <c r="U12522" s="1"/>
      <c r="V12522" s="1"/>
      <c r="W12522" s="1"/>
      <c r="X12522" s="1"/>
      <c r="Y12522" s="1"/>
      <c r="Z12522" s="1"/>
      <c r="AA12522" s="1"/>
      <c r="AB12522" s="1"/>
      <c r="AC12522" s="1"/>
      <c r="AD12522" s="1"/>
      <c r="AE12522" s="1"/>
      <c r="AF12522" s="1"/>
      <c r="AG12522" s="1"/>
      <c r="AH12522" s="1"/>
    </row>
    <row r="12523" ht="12.75" customHeight="1">
      <c r="A12523" s="17"/>
      <c r="B12523" s="1"/>
      <c r="C12523" s="1"/>
      <c r="D12523" s="150"/>
      <c r="E12523" s="150"/>
      <c r="F12523" s="75"/>
      <c r="G12523" s="67"/>
      <c r="H12523" s="68"/>
      <c r="I12523" s="76"/>
      <c r="J12523" s="67"/>
      <c r="K12523" s="1"/>
      <c r="L12523" s="77"/>
      <c r="M12523" s="79"/>
      <c r="N12523" s="1"/>
      <c r="O12523" s="1"/>
      <c r="P12523" s="1"/>
      <c r="Q12523" s="1"/>
      <c r="R12523" s="1"/>
      <c r="S12523" s="1"/>
      <c r="T12523" s="1"/>
      <c r="U12523" s="1"/>
      <c r="V12523" s="1"/>
      <c r="W12523" s="1"/>
      <c r="X12523" s="1"/>
      <c r="Y12523" s="1"/>
      <c r="Z12523" s="1"/>
      <c r="AA12523" s="1"/>
      <c r="AB12523" s="1"/>
      <c r="AC12523" s="1"/>
      <c r="AD12523" s="1"/>
      <c r="AE12523" s="1"/>
      <c r="AF12523" s="1"/>
      <c r="AG12523" s="1"/>
      <c r="AH12523" s="1"/>
    </row>
    <row r="12524" ht="12.75" customHeight="1">
      <c r="A12524" s="17"/>
      <c r="B12524" s="1"/>
      <c r="C12524" s="1"/>
      <c r="D12524" s="150"/>
      <c r="E12524" s="150"/>
      <c r="F12524" s="75"/>
      <c r="G12524" s="67"/>
      <c r="H12524" s="68"/>
      <c r="I12524" s="76"/>
      <c r="J12524" s="67"/>
      <c r="K12524" s="1"/>
      <c r="L12524" s="77"/>
      <c r="M12524" s="79"/>
      <c r="N12524" s="1"/>
      <c r="O12524" s="1"/>
      <c r="P12524" s="1"/>
      <c r="Q12524" s="1"/>
      <c r="R12524" s="1"/>
      <c r="S12524" s="1"/>
      <c r="T12524" s="1"/>
      <c r="U12524" s="1"/>
      <c r="V12524" s="1"/>
      <c r="W12524" s="1"/>
      <c r="X12524" s="1"/>
      <c r="Y12524" s="1"/>
      <c r="Z12524" s="1"/>
      <c r="AA12524" s="1"/>
      <c r="AB12524" s="1"/>
      <c r="AC12524" s="1"/>
      <c r="AD12524" s="1"/>
      <c r="AE12524" s="1"/>
      <c r="AF12524" s="1"/>
      <c r="AG12524" s="1"/>
      <c r="AH12524" s="1"/>
    </row>
    <row r="12525" ht="12.75" customHeight="1">
      <c r="A12525" s="17"/>
      <c r="B12525" s="1"/>
      <c r="C12525" s="1"/>
      <c r="D12525" s="150"/>
      <c r="E12525" s="150"/>
      <c r="F12525" s="75"/>
      <c r="G12525" s="67"/>
      <c r="H12525" s="68"/>
      <c r="I12525" s="76"/>
      <c r="J12525" s="67"/>
      <c r="K12525" s="1"/>
      <c r="L12525" s="77"/>
      <c r="M12525" s="79"/>
      <c r="N12525" s="1"/>
      <c r="O12525" s="1"/>
      <c r="P12525" s="1"/>
      <c r="Q12525" s="1"/>
      <c r="R12525" s="1"/>
      <c r="S12525" s="1"/>
      <c r="T12525" s="1"/>
      <c r="U12525" s="1"/>
      <c r="V12525" s="1"/>
      <c r="W12525" s="1"/>
      <c r="X12525" s="1"/>
      <c r="Y12525" s="1"/>
      <c r="Z12525" s="1"/>
      <c r="AA12525" s="1"/>
      <c r="AB12525" s="1"/>
      <c r="AC12525" s="1"/>
      <c r="AD12525" s="1"/>
      <c r="AE12525" s="1"/>
      <c r="AF12525" s="1"/>
      <c r="AG12525" s="1"/>
      <c r="AH12525" s="1"/>
    </row>
    <row r="12526" ht="12.75" customHeight="1">
      <c r="A12526" s="17"/>
      <c r="B12526" s="1"/>
      <c r="C12526" s="1"/>
      <c r="D12526" s="150"/>
      <c r="E12526" s="150"/>
      <c r="F12526" s="75"/>
      <c r="G12526" s="67"/>
      <c r="H12526" s="68"/>
      <c r="I12526" s="76"/>
      <c r="J12526" s="67"/>
      <c r="K12526" s="1"/>
      <c r="L12526" s="77"/>
      <c r="M12526" s="79"/>
      <c r="N12526" s="1"/>
      <c r="O12526" s="1"/>
      <c r="P12526" s="1"/>
      <c r="Q12526" s="1"/>
      <c r="R12526" s="1"/>
      <c r="S12526" s="1"/>
      <c r="T12526" s="1"/>
      <c r="U12526" s="1"/>
      <c r="V12526" s="1"/>
      <c r="W12526" s="1"/>
      <c r="X12526" s="1"/>
      <c r="Y12526" s="1"/>
      <c r="Z12526" s="1"/>
      <c r="AA12526" s="1"/>
      <c r="AB12526" s="1"/>
      <c r="AC12526" s="1"/>
      <c r="AD12526" s="1"/>
      <c r="AE12526" s="1"/>
      <c r="AF12526" s="1"/>
      <c r="AG12526" s="1"/>
      <c r="AH12526" s="1"/>
    </row>
    <row r="12527" ht="12.75" customHeight="1">
      <c r="A12527" s="17"/>
      <c r="B12527" s="1"/>
      <c r="C12527" s="1"/>
      <c r="D12527" s="150"/>
      <c r="E12527" s="150"/>
      <c r="F12527" s="75"/>
      <c r="G12527" s="67"/>
      <c r="H12527" s="68"/>
      <c r="I12527" s="76"/>
      <c r="J12527" s="67"/>
      <c r="K12527" s="1"/>
      <c r="L12527" s="77"/>
      <c r="M12527" s="79"/>
      <c r="N12527" s="1"/>
      <c r="O12527" s="1"/>
      <c r="P12527" s="1"/>
      <c r="Q12527" s="1"/>
      <c r="R12527" s="1"/>
      <c r="S12527" s="1"/>
      <c r="T12527" s="1"/>
      <c r="U12527" s="1"/>
      <c r="V12527" s="1"/>
      <c r="W12527" s="1"/>
      <c r="X12527" s="1"/>
      <c r="Y12527" s="1"/>
      <c r="Z12527" s="1"/>
      <c r="AA12527" s="1"/>
      <c r="AB12527" s="1"/>
      <c r="AC12527" s="1"/>
      <c r="AD12527" s="1"/>
      <c r="AE12527" s="1"/>
      <c r="AF12527" s="1"/>
      <c r="AG12527" s="1"/>
      <c r="AH12527" s="1"/>
    </row>
    <row r="12528" ht="12.75" customHeight="1">
      <c r="A12528" s="17"/>
      <c r="B12528" s="1"/>
      <c r="C12528" s="1"/>
      <c r="D12528" s="150"/>
      <c r="E12528" s="150"/>
      <c r="F12528" s="75"/>
      <c r="G12528" s="67"/>
      <c r="H12528" s="68"/>
      <c r="I12528" s="76"/>
      <c r="J12528" s="67"/>
      <c r="K12528" s="1"/>
      <c r="L12528" s="77"/>
      <c r="M12528" s="79"/>
      <c r="N12528" s="1"/>
      <c r="O12528" s="1"/>
      <c r="P12528" s="1"/>
      <c r="Q12528" s="1"/>
      <c r="R12528" s="1"/>
      <c r="S12528" s="1"/>
      <c r="T12528" s="1"/>
      <c r="U12528" s="1"/>
      <c r="V12528" s="1"/>
      <c r="W12528" s="1"/>
      <c r="X12528" s="1"/>
      <c r="Y12528" s="1"/>
      <c r="Z12528" s="1"/>
      <c r="AA12528" s="1"/>
      <c r="AB12528" s="1"/>
      <c r="AC12528" s="1"/>
      <c r="AD12528" s="1"/>
      <c r="AE12528" s="1"/>
      <c r="AF12528" s="1"/>
      <c r="AG12528" s="1"/>
      <c r="AH12528" s="1"/>
    </row>
    <row r="12529" ht="12.75" customHeight="1">
      <c r="A12529" s="17"/>
      <c r="B12529" s="1"/>
      <c r="C12529" s="1"/>
      <c r="D12529" s="150"/>
      <c r="E12529" s="150"/>
      <c r="F12529" s="75"/>
      <c r="G12529" s="67"/>
      <c r="H12529" s="68"/>
      <c r="I12529" s="76"/>
      <c r="J12529" s="67"/>
      <c r="K12529" s="1"/>
      <c r="L12529" s="77"/>
      <c r="M12529" s="79"/>
      <c r="N12529" s="1"/>
      <c r="O12529" s="1"/>
      <c r="P12529" s="1"/>
      <c r="Q12529" s="1"/>
      <c r="R12529" s="1"/>
      <c r="S12529" s="1"/>
      <c r="T12529" s="1"/>
      <c r="U12529" s="1"/>
      <c r="V12529" s="1"/>
      <c r="W12529" s="1"/>
      <c r="X12529" s="1"/>
      <c r="Y12529" s="1"/>
      <c r="Z12529" s="1"/>
      <c r="AA12529" s="1"/>
      <c r="AB12529" s="1"/>
      <c r="AC12529" s="1"/>
      <c r="AD12529" s="1"/>
      <c r="AE12529" s="1"/>
      <c r="AF12529" s="1"/>
      <c r="AG12529" s="1"/>
      <c r="AH12529" s="1"/>
    </row>
    <row r="12530" ht="12.75" customHeight="1">
      <c r="A12530" s="17"/>
      <c r="B12530" s="1"/>
      <c r="C12530" s="1"/>
      <c r="D12530" s="150"/>
      <c r="E12530" s="150"/>
      <c r="F12530" s="75"/>
      <c r="G12530" s="67"/>
      <c r="H12530" s="68"/>
      <c r="I12530" s="76"/>
      <c r="J12530" s="67"/>
      <c r="K12530" s="1"/>
      <c r="L12530" s="77"/>
      <c r="M12530" s="79"/>
      <c r="N12530" s="1"/>
      <c r="O12530" s="1"/>
      <c r="P12530" s="1"/>
      <c r="Q12530" s="1"/>
      <c r="R12530" s="1"/>
      <c r="S12530" s="1"/>
      <c r="T12530" s="1"/>
      <c r="U12530" s="1"/>
      <c r="V12530" s="1"/>
      <c r="W12530" s="1"/>
      <c r="X12530" s="1"/>
      <c r="Y12530" s="1"/>
      <c r="Z12530" s="1"/>
      <c r="AA12530" s="1"/>
      <c r="AB12530" s="1"/>
      <c r="AC12530" s="1"/>
      <c r="AD12530" s="1"/>
      <c r="AE12530" s="1"/>
      <c r="AF12530" s="1"/>
      <c r="AG12530" s="1"/>
      <c r="AH12530" s="1"/>
    </row>
    <row r="12531" ht="12.75" customHeight="1">
      <c r="A12531" s="17"/>
      <c r="B12531" s="1"/>
      <c r="C12531" s="1"/>
      <c r="D12531" s="150"/>
      <c r="E12531" s="150"/>
      <c r="F12531" s="75"/>
      <c r="G12531" s="67"/>
      <c r="H12531" s="68"/>
      <c r="I12531" s="76"/>
      <c r="J12531" s="67"/>
      <c r="K12531" s="1"/>
      <c r="L12531" s="77"/>
      <c r="M12531" s="79"/>
      <c r="N12531" s="1"/>
      <c r="O12531" s="1"/>
      <c r="P12531" s="1"/>
      <c r="Q12531" s="1"/>
      <c r="R12531" s="1"/>
      <c r="S12531" s="1"/>
      <c r="T12531" s="1"/>
      <c r="U12531" s="1"/>
      <c r="V12531" s="1"/>
      <c r="W12531" s="1"/>
      <c r="X12531" s="1"/>
      <c r="Y12531" s="1"/>
      <c r="Z12531" s="1"/>
      <c r="AA12531" s="1"/>
      <c r="AB12531" s="1"/>
      <c r="AC12531" s="1"/>
      <c r="AD12531" s="1"/>
      <c r="AE12531" s="1"/>
      <c r="AF12531" s="1"/>
      <c r="AG12531" s="1"/>
      <c r="AH12531" s="1"/>
    </row>
    <row r="12532" ht="12.75" customHeight="1">
      <c r="A12532" s="17"/>
      <c r="B12532" s="1"/>
      <c r="C12532" s="1"/>
      <c r="D12532" s="150"/>
      <c r="E12532" s="150"/>
      <c r="F12532" s="75"/>
      <c r="G12532" s="67"/>
      <c r="H12532" s="68"/>
      <c r="I12532" s="76"/>
      <c r="J12532" s="67"/>
      <c r="K12532" s="1"/>
      <c r="L12532" s="77"/>
      <c r="M12532" s="79"/>
      <c r="N12532" s="1"/>
      <c r="O12532" s="1"/>
      <c r="P12532" s="1"/>
      <c r="Q12532" s="1"/>
      <c r="R12532" s="1"/>
      <c r="S12532" s="1"/>
      <c r="T12532" s="1"/>
      <c r="U12532" s="1"/>
      <c r="V12532" s="1"/>
      <c r="W12532" s="1"/>
      <c r="X12532" s="1"/>
      <c r="Y12532" s="1"/>
      <c r="Z12532" s="1"/>
      <c r="AA12532" s="1"/>
      <c r="AB12532" s="1"/>
      <c r="AC12532" s="1"/>
      <c r="AD12532" s="1"/>
      <c r="AE12532" s="1"/>
      <c r="AF12532" s="1"/>
      <c r="AG12532" s="1"/>
      <c r="AH12532" s="1"/>
    </row>
    <row r="12533" ht="12.75" customHeight="1">
      <c r="A12533" s="17"/>
      <c r="B12533" s="1"/>
      <c r="C12533" s="1"/>
      <c r="D12533" s="150"/>
      <c r="E12533" s="150"/>
      <c r="F12533" s="75"/>
      <c r="G12533" s="67"/>
      <c r="H12533" s="68"/>
      <c r="I12533" s="76"/>
      <c r="J12533" s="67"/>
      <c r="K12533" s="1"/>
      <c r="L12533" s="77"/>
      <c r="M12533" s="79"/>
      <c r="N12533" s="1"/>
      <c r="O12533" s="1"/>
      <c r="P12533" s="1"/>
      <c r="Q12533" s="1"/>
      <c r="R12533" s="1"/>
      <c r="S12533" s="1"/>
      <c r="T12533" s="1"/>
      <c r="U12533" s="1"/>
      <c r="V12533" s="1"/>
      <c r="W12533" s="1"/>
      <c r="X12533" s="1"/>
      <c r="Y12533" s="1"/>
      <c r="Z12533" s="1"/>
      <c r="AA12533" s="1"/>
      <c r="AB12533" s="1"/>
      <c r="AC12533" s="1"/>
      <c r="AD12533" s="1"/>
      <c r="AE12533" s="1"/>
      <c r="AF12533" s="1"/>
      <c r="AG12533" s="1"/>
      <c r="AH12533" s="1"/>
    </row>
    <row r="12534" ht="12.75" customHeight="1">
      <c r="A12534" s="17"/>
      <c r="B12534" s="1"/>
      <c r="C12534" s="1"/>
      <c r="D12534" s="150"/>
      <c r="E12534" s="150"/>
      <c r="F12534" s="75"/>
      <c r="G12534" s="67"/>
      <c r="H12534" s="68"/>
      <c r="I12534" s="76"/>
      <c r="J12534" s="67"/>
      <c r="K12534" s="1"/>
      <c r="L12534" s="77"/>
      <c r="M12534" s="79"/>
      <c r="N12534" s="1"/>
      <c r="O12534" s="1"/>
      <c r="P12534" s="1"/>
      <c r="Q12534" s="1"/>
      <c r="R12534" s="1"/>
      <c r="S12534" s="1"/>
      <c r="T12534" s="1"/>
      <c r="U12534" s="1"/>
      <c r="V12534" s="1"/>
      <c r="W12534" s="1"/>
      <c r="X12534" s="1"/>
      <c r="Y12534" s="1"/>
      <c r="Z12534" s="1"/>
      <c r="AA12534" s="1"/>
      <c r="AB12534" s="1"/>
      <c r="AC12534" s="1"/>
      <c r="AD12534" s="1"/>
      <c r="AE12534" s="1"/>
      <c r="AF12534" s="1"/>
      <c r="AG12534" s="1"/>
      <c r="AH12534" s="1"/>
    </row>
    <row r="12535" ht="12.75" customHeight="1">
      <c r="A12535" s="17"/>
      <c r="B12535" s="1"/>
      <c r="C12535" s="1"/>
      <c r="D12535" s="150"/>
      <c r="E12535" s="150"/>
      <c r="F12535" s="75"/>
      <c r="G12535" s="67"/>
      <c r="H12535" s="68"/>
      <c r="I12535" s="76"/>
      <c r="J12535" s="67"/>
      <c r="K12535" s="1"/>
      <c r="L12535" s="77"/>
      <c r="M12535" s="79"/>
      <c r="N12535" s="1"/>
      <c r="O12535" s="1"/>
      <c r="P12535" s="1"/>
      <c r="Q12535" s="1"/>
      <c r="R12535" s="1"/>
      <c r="S12535" s="1"/>
      <c r="T12535" s="1"/>
      <c r="U12535" s="1"/>
      <c r="V12535" s="1"/>
      <c r="W12535" s="1"/>
      <c r="X12535" s="1"/>
      <c r="Y12535" s="1"/>
      <c r="Z12535" s="1"/>
      <c r="AA12535" s="1"/>
      <c r="AB12535" s="1"/>
      <c r="AC12535" s="1"/>
      <c r="AD12535" s="1"/>
      <c r="AE12535" s="1"/>
      <c r="AF12535" s="1"/>
      <c r="AG12535" s="1"/>
      <c r="AH12535" s="1"/>
    </row>
    <row r="12536" ht="12.75" customHeight="1">
      <c r="A12536" s="17"/>
      <c r="B12536" s="1"/>
      <c r="C12536" s="1"/>
      <c r="D12536" s="150"/>
      <c r="E12536" s="150"/>
      <c r="F12536" s="75"/>
      <c r="G12536" s="67"/>
      <c r="H12536" s="68"/>
      <c r="I12536" s="76"/>
      <c r="J12536" s="67"/>
      <c r="K12536" s="1"/>
      <c r="L12536" s="77"/>
      <c r="M12536" s="79"/>
      <c r="N12536" s="1"/>
      <c r="O12536" s="1"/>
      <c r="P12536" s="1"/>
      <c r="Q12536" s="1"/>
      <c r="R12536" s="1"/>
      <c r="S12536" s="1"/>
      <c r="T12536" s="1"/>
      <c r="U12536" s="1"/>
      <c r="V12536" s="1"/>
      <c r="W12536" s="1"/>
      <c r="X12536" s="1"/>
      <c r="Y12536" s="1"/>
      <c r="Z12536" s="1"/>
      <c r="AA12536" s="1"/>
      <c r="AB12536" s="1"/>
      <c r="AC12536" s="1"/>
      <c r="AD12536" s="1"/>
      <c r="AE12536" s="1"/>
      <c r="AF12536" s="1"/>
      <c r="AG12536" s="1"/>
      <c r="AH12536" s="1"/>
    </row>
    <row r="12537" ht="12.75" customHeight="1">
      <c r="A12537" s="17"/>
      <c r="B12537" s="1"/>
      <c r="C12537" s="1"/>
      <c r="D12537" s="150"/>
      <c r="E12537" s="150"/>
      <c r="F12537" s="75"/>
      <c r="G12537" s="67"/>
      <c r="H12537" s="68"/>
      <c r="I12537" s="76"/>
      <c r="J12537" s="67"/>
      <c r="K12537" s="1"/>
      <c r="L12537" s="77"/>
      <c r="M12537" s="79"/>
      <c r="N12537" s="1"/>
      <c r="O12537" s="1"/>
      <c r="P12537" s="1"/>
      <c r="Q12537" s="1"/>
      <c r="R12537" s="1"/>
      <c r="S12537" s="1"/>
      <c r="T12537" s="1"/>
      <c r="U12537" s="1"/>
      <c r="V12537" s="1"/>
      <c r="W12537" s="1"/>
      <c r="X12537" s="1"/>
      <c r="Y12537" s="1"/>
      <c r="Z12537" s="1"/>
      <c r="AA12537" s="1"/>
      <c r="AB12537" s="1"/>
      <c r="AC12537" s="1"/>
      <c r="AD12537" s="1"/>
      <c r="AE12537" s="1"/>
      <c r="AF12537" s="1"/>
      <c r="AG12537" s="1"/>
      <c r="AH12537" s="1"/>
    </row>
    <row r="12538" ht="12.75" customHeight="1">
      <c r="A12538" s="17"/>
      <c r="B12538" s="1"/>
      <c r="C12538" s="1"/>
      <c r="D12538" s="150"/>
      <c r="E12538" s="150"/>
      <c r="F12538" s="75"/>
      <c r="G12538" s="67"/>
      <c r="H12538" s="68"/>
      <c r="I12538" s="76"/>
      <c r="J12538" s="67"/>
      <c r="K12538" s="1"/>
      <c r="L12538" s="77"/>
      <c r="M12538" s="79"/>
      <c r="N12538" s="1"/>
      <c r="O12538" s="1"/>
      <c r="P12538" s="1"/>
      <c r="Q12538" s="1"/>
      <c r="R12538" s="1"/>
      <c r="S12538" s="1"/>
      <c r="T12538" s="1"/>
      <c r="U12538" s="1"/>
      <c r="V12538" s="1"/>
      <c r="W12538" s="1"/>
      <c r="X12538" s="1"/>
      <c r="Y12538" s="1"/>
      <c r="Z12538" s="1"/>
      <c r="AA12538" s="1"/>
      <c r="AB12538" s="1"/>
      <c r="AC12538" s="1"/>
      <c r="AD12538" s="1"/>
      <c r="AE12538" s="1"/>
      <c r="AF12538" s="1"/>
      <c r="AG12538" s="1"/>
      <c r="AH12538" s="1"/>
    </row>
    <row r="12539" ht="12.75" customHeight="1">
      <c r="A12539" s="17"/>
      <c r="B12539" s="1"/>
      <c r="C12539" s="1"/>
      <c r="D12539" s="150"/>
      <c r="E12539" s="150"/>
      <c r="F12539" s="75"/>
      <c r="G12539" s="67"/>
      <c r="H12539" s="68"/>
      <c r="I12539" s="76"/>
      <c r="J12539" s="67"/>
      <c r="K12539" s="1"/>
      <c r="L12539" s="77"/>
      <c r="M12539" s="79"/>
      <c r="N12539" s="1"/>
      <c r="O12539" s="1"/>
      <c r="P12539" s="1"/>
      <c r="Q12539" s="1"/>
      <c r="R12539" s="1"/>
      <c r="S12539" s="1"/>
      <c r="T12539" s="1"/>
      <c r="U12539" s="1"/>
      <c r="V12539" s="1"/>
      <c r="W12539" s="1"/>
      <c r="X12539" s="1"/>
      <c r="Y12539" s="1"/>
      <c r="Z12539" s="1"/>
      <c r="AA12539" s="1"/>
      <c r="AB12539" s="1"/>
      <c r="AC12539" s="1"/>
      <c r="AD12539" s="1"/>
      <c r="AE12539" s="1"/>
      <c r="AF12539" s="1"/>
      <c r="AG12539" s="1"/>
      <c r="AH12539" s="1"/>
    </row>
    <row r="12540" ht="12.75" customHeight="1">
      <c r="A12540" s="17"/>
      <c r="B12540" s="1"/>
      <c r="C12540" s="1"/>
      <c r="D12540" s="150"/>
      <c r="E12540" s="150"/>
      <c r="F12540" s="75"/>
      <c r="G12540" s="67"/>
      <c r="H12540" s="68"/>
      <c r="I12540" s="76"/>
      <c r="J12540" s="67"/>
      <c r="K12540" s="1"/>
      <c r="L12540" s="77"/>
      <c r="M12540" s="79"/>
      <c r="N12540" s="1"/>
      <c r="O12540" s="1"/>
      <c r="P12540" s="1"/>
      <c r="Q12540" s="1"/>
      <c r="R12540" s="1"/>
      <c r="S12540" s="1"/>
      <c r="T12540" s="1"/>
      <c r="U12540" s="1"/>
      <c r="V12540" s="1"/>
      <c r="W12540" s="1"/>
      <c r="X12540" s="1"/>
      <c r="Y12540" s="1"/>
      <c r="Z12540" s="1"/>
      <c r="AA12540" s="1"/>
      <c r="AB12540" s="1"/>
      <c r="AC12540" s="1"/>
      <c r="AD12540" s="1"/>
      <c r="AE12540" s="1"/>
      <c r="AF12540" s="1"/>
      <c r="AG12540" s="1"/>
      <c r="AH12540" s="1"/>
    </row>
    <row r="12541" ht="12.75" customHeight="1">
      <c r="A12541" s="17"/>
      <c r="B12541" s="1"/>
      <c r="C12541" s="1"/>
      <c r="D12541" s="150"/>
      <c r="E12541" s="150"/>
      <c r="F12541" s="75"/>
      <c r="G12541" s="67"/>
      <c r="H12541" s="68"/>
      <c r="I12541" s="76"/>
      <c r="J12541" s="67"/>
      <c r="K12541" s="1"/>
      <c r="L12541" s="77"/>
      <c r="M12541" s="79"/>
      <c r="N12541" s="1"/>
      <c r="O12541" s="1"/>
      <c r="P12541" s="1"/>
      <c r="Q12541" s="1"/>
      <c r="R12541" s="1"/>
      <c r="S12541" s="1"/>
      <c r="T12541" s="1"/>
      <c r="U12541" s="1"/>
      <c r="V12541" s="1"/>
      <c r="W12541" s="1"/>
      <c r="X12541" s="1"/>
      <c r="Y12541" s="1"/>
      <c r="Z12541" s="1"/>
      <c r="AA12541" s="1"/>
      <c r="AB12541" s="1"/>
      <c r="AC12541" s="1"/>
      <c r="AD12541" s="1"/>
      <c r="AE12541" s="1"/>
      <c r="AF12541" s="1"/>
      <c r="AG12541" s="1"/>
      <c r="AH12541" s="1"/>
    </row>
    <row r="12542" ht="12.75" customHeight="1">
      <c r="A12542" s="17"/>
      <c r="B12542" s="1"/>
      <c r="C12542" s="1"/>
      <c r="D12542" s="150"/>
      <c r="E12542" s="150"/>
      <c r="F12542" s="75"/>
      <c r="G12542" s="67"/>
      <c r="H12542" s="68"/>
      <c r="I12542" s="76"/>
      <c r="J12542" s="67"/>
      <c r="K12542" s="1"/>
      <c r="L12542" s="77"/>
      <c r="M12542" s="79"/>
      <c r="N12542" s="1"/>
      <c r="O12542" s="1"/>
      <c r="P12542" s="1"/>
      <c r="Q12542" s="1"/>
      <c r="R12542" s="1"/>
      <c r="S12542" s="1"/>
      <c r="T12542" s="1"/>
      <c r="U12542" s="1"/>
      <c r="V12542" s="1"/>
      <c r="W12542" s="1"/>
      <c r="X12542" s="1"/>
      <c r="Y12542" s="1"/>
      <c r="Z12542" s="1"/>
      <c r="AA12542" s="1"/>
      <c r="AB12542" s="1"/>
      <c r="AC12542" s="1"/>
      <c r="AD12542" s="1"/>
      <c r="AE12542" s="1"/>
      <c r="AF12542" s="1"/>
      <c r="AG12542" s="1"/>
      <c r="AH12542" s="1"/>
    </row>
    <row r="12543" ht="12.75" customHeight="1">
      <c r="A12543" s="17"/>
      <c r="B12543" s="1"/>
      <c r="C12543" s="1"/>
      <c r="D12543" s="150"/>
      <c r="E12543" s="150"/>
      <c r="F12543" s="75"/>
      <c r="G12543" s="67"/>
      <c r="H12543" s="68"/>
      <c r="I12543" s="76"/>
      <c r="J12543" s="67"/>
      <c r="K12543" s="1"/>
      <c r="L12543" s="77"/>
      <c r="M12543" s="79"/>
      <c r="N12543" s="1"/>
      <c r="O12543" s="1"/>
      <c r="P12543" s="1"/>
      <c r="Q12543" s="1"/>
      <c r="R12543" s="1"/>
      <c r="S12543" s="1"/>
      <c r="T12543" s="1"/>
      <c r="U12543" s="1"/>
      <c r="V12543" s="1"/>
      <c r="W12543" s="1"/>
      <c r="X12543" s="1"/>
      <c r="Y12543" s="1"/>
      <c r="Z12543" s="1"/>
      <c r="AA12543" s="1"/>
      <c r="AB12543" s="1"/>
      <c r="AC12543" s="1"/>
      <c r="AD12543" s="1"/>
      <c r="AE12543" s="1"/>
      <c r="AF12543" s="1"/>
      <c r="AG12543" s="1"/>
      <c r="AH12543" s="1"/>
    </row>
    <row r="12544" ht="12.75" customHeight="1">
      <c r="A12544" s="17"/>
      <c r="B12544" s="1"/>
      <c r="C12544" s="1"/>
      <c r="D12544" s="150"/>
      <c r="E12544" s="150"/>
      <c r="F12544" s="75"/>
      <c r="G12544" s="67"/>
      <c r="H12544" s="68"/>
      <c r="I12544" s="76"/>
      <c r="J12544" s="67"/>
      <c r="K12544" s="1"/>
      <c r="L12544" s="77"/>
      <c r="M12544" s="79"/>
      <c r="N12544" s="1"/>
      <c r="O12544" s="1"/>
      <c r="P12544" s="1"/>
      <c r="Q12544" s="1"/>
      <c r="R12544" s="1"/>
      <c r="S12544" s="1"/>
      <c r="T12544" s="1"/>
      <c r="U12544" s="1"/>
      <c r="V12544" s="1"/>
      <c r="W12544" s="1"/>
      <c r="X12544" s="1"/>
      <c r="Y12544" s="1"/>
      <c r="Z12544" s="1"/>
      <c r="AA12544" s="1"/>
      <c r="AB12544" s="1"/>
      <c r="AC12544" s="1"/>
      <c r="AD12544" s="1"/>
      <c r="AE12544" s="1"/>
      <c r="AF12544" s="1"/>
      <c r="AG12544" s="1"/>
      <c r="AH12544" s="1"/>
    </row>
    <row r="12545" ht="12.75" customHeight="1">
      <c r="A12545" s="17"/>
      <c r="B12545" s="1"/>
      <c r="C12545" s="1"/>
      <c r="D12545" s="150"/>
      <c r="E12545" s="150"/>
      <c r="F12545" s="75"/>
      <c r="G12545" s="67"/>
      <c r="H12545" s="68"/>
      <c r="I12545" s="76"/>
      <c r="J12545" s="67"/>
      <c r="K12545" s="1"/>
      <c r="L12545" s="77"/>
      <c r="M12545" s="79"/>
      <c r="N12545" s="1"/>
      <c r="O12545" s="1"/>
      <c r="P12545" s="1"/>
      <c r="Q12545" s="1"/>
      <c r="R12545" s="1"/>
      <c r="S12545" s="1"/>
      <c r="T12545" s="1"/>
      <c r="U12545" s="1"/>
      <c r="V12545" s="1"/>
      <c r="W12545" s="1"/>
      <c r="X12545" s="1"/>
      <c r="Y12545" s="1"/>
      <c r="Z12545" s="1"/>
      <c r="AA12545" s="1"/>
      <c r="AB12545" s="1"/>
      <c r="AC12545" s="1"/>
      <c r="AD12545" s="1"/>
      <c r="AE12545" s="1"/>
      <c r="AF12545" s="1"/>
      <c r="AG12545" s="1"/>
      <c r="AH12545" s="1"/>
    </row>
    <row r="12546" ht="12.75" customHeight="1">
      <c r="A12546" s="17"/>
      <c r="B12546" s="1"/>
      <c r="C12546" s="1"/>
      <c r="D12546" s="150"/>
      <c r="E12546" s="150"/>
      <c r="F12546" s="75"/>
      <c r="G12546" s="67"/>
      <c r="H12546" s="68"/>
      <c r="I12546" s="76"/>
      <c r="J12546" s="67"/>
      <c r="K12546" s="1"/>
      <c r="L12546" s="77"/>
      <c r="M12546" s="79"/>
      <c r="N12546" s="1"/>
      <c r="O12546" s="1"/>
      <c r="P12546" s="1"/>
      <c r="Q12546" s="1"/>
      <c r="R12546" s="1"/>
      <c r="S12546" s="1"/>
      <c r="T12546" s="1"/>
      <c r="U12546" s="1"/>
      <c r="V12546" s="1"/>
      <c r="W12546" s="1"/>
      <c r="X12546" s="1"/>
      <c r="Y12546" s="1"/>
      <c r="Z12546" s="1"/>
      <c r="AA12546" s="1"/>
      <c r="AB12546" s="1"/>
      <c r="AC12546" s="1"/>
      <c r="AD12546" s="1"/>
      <c r="AE12546" s="1"/>
      <c r="AF12546" s="1"/>
      <c r="AG12546" s="1"/>
      <c r="AH12546" s="1"/>
    </row>
    <row r="12547" ht="12.75" customHeight="1">
      <c r="A12547" s="17"/>
      <c r="B12547" s="1"/>
      <c r="C12547" s="1"/>
      <c r="D12547" s="150"/>
      <c r="E12547" s="150"/>
      <c r="F12547" s="75"/>
      <c r="G12547" s="67"/>
      <c r="H12547" s="68"/>
      <c r="I12547" s="76"/>
      <c r="J12547" s="67"/>
      <c r="K12547" s="1"/>
      <c r="L12547" s="77"/>
      <c r="M12547" s="79"/>
      <c r="N12547" s="1"/>
      <c r="O12547" s="1"/>
      <c r="P12547" s="1"/>
      <c r="Q12547" s="1"/>
      <c r="R12547" s="1"/>
      <c r="S12547" s="1"/>
      <c r="T12547" s="1"/>
      <c r="U12547" s="1"/>
      <c r="V12547" s="1"/>
      <c r="W12547" s="1"/>
      <c r="X12547" s="1"/>
      <c r="Y12547" s="1"/>
      <c r="Z12547" s="1"/>
      <c r="AA12547" s="1"/>
      <c r="AB12547" s="1"/>
      <c r="AC12547" s="1"/>
      <c r="AD12547" s="1"/>
      <c r="AE12547" s="1"/>
      <c r="AF12547" s="1"/>
      <c r="AG12547" s="1"/>
      <c r="AH12547" s="1"/>
    </row>
    <row r="12548" ht="12.75" customHeight="1">
      <c r="A12548" s="17"/>
      <c r="B12548" s="1"/>
      <c r="C12548" s="1"/>
      <c r="D12548" s="150"/>
      <c r="E12548" s="150"/>
      <c r="F12548" s="75"/>
      <c r="G12548" s="67"/>
      <c r="H12548" s="68"/>
      <c r="I12548" s="76"/>
      <c r="J12548" s="67"/>
      <c r="K12548" s="1"/>
      <c r="L12548" s="77"/>
      <c r="M12548" s="79"/>
      <c r="N12548" s="1"/>
      <c r="O12548" s="1"/>
      <c r="P12548" s="1"/>
      <c r="Q12548" s="1"/>
      <c r="R12548" s="1"/>
      <c r="S12548" s="1"/>
      <c r="T12548" s="1"/>
      <c r="U12548" s="1"/>
      <c r="V12548" s="1"/>
      <c r="W12548" s="1"/>
      <c r="X12548" s="1"/>
      <c r="Y12548" s="1"/>
      <c r="Z12548" s="1"/>
      <c r="AA12548" s="1"/>
      <c r="AB12548" s="1"/>
      <c r="AC12548" s="1"/>
      <c r="AD12548" s="1"/>
      <c r="AE12548" s="1"/>
      <c r="AF12548" s="1"/>
      <c r="AG12548" s="1"/>
      <c r="AH12548" s="1"/>
    </row>
    <row r="12549" ht="12.75" customHeight="1">
      <c r="A12549" s="17"/>
      <c r="B12549" s="1"/>
      <c r="C12549" s="1"/>
      <c r="D12549" s="150"/>
      <c r="E12549" s="150"/>
      <c r="F12549" s="75"/>
      <c r="G12549" s="67"/>
      <c r="H12549" s="68"/>
      <c r="I12549" s="76"/>
      <c r="J12549" s="67"/>
      <c r="K12549" s="1"/>
      <c r="L12549" s="77"/>
      <c r="M12549" s="79"/>
      <c r="N12549" s="1"/>
      <c r="O12549" s="1"/>
      <c r="P12549" s="1"/>
      <c r="Q12549" s="1"/>
      <c r="R12549" s="1"/>
      <c r="S12549" s="1"/>
      <c r="T12549" s="1"/>
      <c r="U12549" s="1"/>
      <c r="V12549" s="1"/>
      <c r="W12549" s="1"/>
      <c r="X12549" s="1"/>
      <c r="Y12549" s="1"/>
      <c r="Z12549" s="1"/>
      <c r="AA12549" s="1"/>
      <c r="AB12549" s="1"/>
      <c r="AC12549" s="1"/>
      <c r="AD12549" s="1"/>
      <c r="AE12549" s="1"/>
      <c r="AF12549" s="1"/>
      <c r="AG12549" s="1"/>
      <c r="AH12549" s="1"/>
    </row>
    <row r="12550" ht="12.75" customHeight="1">
      <c r="A12550" s="17"/>
      <c r="B12550" s="1"/>
      <c r="C12550" s="1"/>
      <c r="D12550" s="150"/>
      <c r="E12550" s="150"/>
      <c r="F12550" s="75"/>
      <c r="G12550" s="67"/>
      <c r="H12550" s="68"/>
      <c r="I12550" s="76"/>
      <c r="J12550" s="67"/>
      <c r="K12550" s="1"/>
      <c r="L12550" s="77"/>
      <c r="M12550" s="79"/>
      <c r="N12550" s="1"/>
      <c r="O12550" s="1"/>
      <c r="P12550" s="1"/>
      <c r="Q12550" s="1"/>
      <c r="R12550" s="1"/>
      <c r="S12550" s="1"/>
      <c r="T12550" s="1"/>
      <c r="U12550" s="1"/>
      <c r="V12550" s="1"/>
      <c r="W12550" s="1"/>
      <c r="X12550" s="1"/>
      <c r="Y12550" s="1"/>
      <c r="Z12550" s="1"/>
      <c r="AA12550" s="1"/>
      <c r="AB12550" s="1"/>
      <c r="AC12550" s="1"/>
      <c r="AD12550" s="1"/>
      <c r="AE12550" s="1"/>
      <c r="AF12550" s="1"/>
      <c r="AG12550" s="1"/>
      <c r="AH12550" s="1"/>
    </row>
    <row r="12551" ht="12.75" customHeight="1">
      <c r="A12551" s="17"/>
      <c r="B12551" s="1"/>
      <c r="C12551" s="1"/>
      <c r="D12551" s="150"/>
      <c r="E12551" s="150"/>
      <c r="F12551" s="75"/>
      <c r="G12551" s="67"/>
      <c r="H12551" s="68"/>
      <c r="I12551" s="76"/>
      <c r="J12551" s="67"/>
      <c r="K12551" s="1"/>
      <c r="L12551" s="77"/>
      <c r="M12551" s="79"/>
      <c r="N12551" s="1"/>
      <c r="O12551" s="1"/>
      <c r="P12551" s="1"/>
      <c r="Q12551" s="1"/>
      <c r="R12551" s="1"/>
      <c r="S12551" s="1"/>
      <c r="T12551" s="1"/>
      <c r="U12551" s="1"/>
      <c r="V12551" s="1"/>
      <c r="W12551" s="1"/>
      <c r="X12551" s="1"/>
      <c r="Y12551" s="1"/>
      <c r="Z12551" s="1"/>
      <c r="AA12551" s="1"/>
      <c r="AB12551" s="1"/>
      <c r="AC12551" s="1"/>
      <c r="AD12551" s="1"/>
      <c r="AE12551" s="1"/>
      <c r="AF12551" s="1"/>
      <c r="AG12551" s="1"/>
      <c r="AH12551" s="1"/>
    </row>
    <row r="12552" ht="12.75" customHeight="1">
      <c r="A12552" s="17"/>
      <c r="B12552" s="1"/>
      <c r="C12552" s="1"/>
      <c r="D12552" s="150"/>
      <c r="E12552" s="150"/>
      <c r="F12552" s="75"/>
      <c r="G12552" s="67"/>
      <c r="H12552" s="68"/>
      <c r="I12552" s="76"/>
      <c r="J12552" s="67"/>
      <c r="K12552" s="1"/>
      <c r="L12552" s="77"/>
      <c r="M12552" s="79"/>
      <c r="N12552" s="1"/>
      <c r="O12552" s="1"/>
      <c r="P12552" s="1"/>
      <c r="Q12552" s="1"/>
      <c r="R12552" s="1"/>
      <c r="S12552" s="1"/>
      <c r="T12552" s="1"/>
      <c r="U12552" s="1"/>
      <c r="V12552" s="1"/>
      <c r="W12552" s="1"/>
      <c r="X12552" s="1"/>
      <c r="Y12552" s="1"/>
      <c r="Z12552" s="1"/>
      <c r="AA12552" s="1"/>
      <c r="AB12552" s="1"/>
      <c r="AC12552" s="1"/>
      <c r="AD12552" s="1"/>
      <c r="AE12552" s="1"/>
      <c r="AF12552" s="1"/>
      <c r="AG12552" s="1"/>
      <c r="AH12552" s="1"/>
    </row>
    <row r="12553" ht="12.75" customHeight="1">
      <c r="A12553" s="17"/>
      <c r="B12553" s="1"/>
      <c r="C12553" s="1"/>
      <c r="D12553" s="150"/>
      <c r="E12553" s="150"/>
      <c r="F12553" s="75"/>
      <c r="G12553" s="67"/>
      <c r="H12553" s="68"/>
      <c r="I12553" s="76"/>
      <c r="J12553" s="67"/>
      <c r="K12553" s="1"/>
      <c r="L12553" s="77"/>
      <c r="M12553" s="79"/>
      <c r="N12553" s="1"/>
      <c r="O12553" s="1"/>
      <c r="P12553" s="1"/>
      <c r="Q12553" s="1"/>
      <c r="R12553" s="1"/>
      <c r="S12553" s="1"/>
      <c r="T12553" s="1"/>
      <c r="U12553" s="1"/>
      <c r="V12553" s="1"/>
      <c r="W12553" s="1"/>
      <c r="X12553" s="1"/>
      <c r="Y12553" s="1"/>
      <c r="Z12553" s="1"/>
      <c r="AA12553" s="1"/>
      <c r="AB12553" s="1"/>
      <c r="AC12553" s="1"/>
      <c r="AD12553" s="1"/>
      <c r="AE12553" s="1"/>
      <c r="AF12553" s="1"/>
      <c r="AG12553" s="1"/>
      <c r="AH12553" s="1"/>
    </row>
    <row r="12554" ht="12.75" customHeight="1">
      <c r="A12554" s="17"/>
      <c r="B12554" s="1"/>
      <c r="C12554" s="1"/>
      <c r="D12554" s="150"/>
      <c r="E12554" s="150"/>
      <c r="F12554" s="75"/>
      <c r="G12554" s="67"/>
      <c r="H12554" s="68"/>
      <c r="I12554" s="76"/>
      <c r="J12554" s="67"/>
      <c r="K12554" s="1"/>
      <c r="L12554" s="77"/>
      <c r="M12554" s="79"/>
      <c r="N12554" s="1"/>
      <c r="O12554" s="1"/>
      <c r="P12554" s="1"/>
      <c r="Q12554" s="1"/>
      <c r="R12554" s="1"/>
      <c r="S12554" s="1"/>
      <c r="T12554" s="1"/>
      <c r="U12554" s="1"/>
      <c r="V12554" s="1"/>
      <c r="W12554" s="1"/>
      <c r="X12554" s="1"/>
      <c r="Y12554" s="1"/>
      <c r="Z12554" s="1"/>
      <c r="AA12554" s="1"/>
      <c r="AB12554" s="1"/>
      <c r="AC12554" s="1"/>
      <c r="AD12554" s="1"/>
      <c r="AE12554" s="1"/>
      <c r="AF12554" s="1"/>
      <c r="AG12554" s="1"/>
      <c r="AH12554" s="1"/>
    </row>
    <row r="12555" ht="12.75" customHeight="1">
      <c r="A12555" s="17"/>
      <c r="B12555" s="1"/>
      <c r="C12555" s="1"/>
      <c r="D12555" s="150"/>
      <c r="E12555" s="150"/>
      <c r="F12555" s="75"/>
      <c r="G12555" s="67"/>
      <c r="H12555" s="68"/>
      <c r="I12555" s="76"/>
      <c r="J12555" s="67"/>
      <c r="K12555" s="1"/>
      <c r="L12555" s="77"/>
      <c r="M12555" s="79"/>
      <c r="N12555" s="1"/>
      <c r="O12555" s="1"/>
      <c r="P12555" s="1"/>
      <c r="Q12555" s="1"/>
      <c r="R12555" s="1"/>
      <c r="S12555" s="1"/>
      <c r="T12555" s="1"/>
      <c r="U12555" s="1"/>
      <c r="V12555" s="1"/>
      <c r="W12555" s="1"/>
      <c r="X12555" s="1"/>
      <c r="Y12555" s="1"/>
      <c r="Z12555" s="1"/>
      <c r="AA12555" s="1"/>
      <c r="AB12555" s="1"/>
      <c r="AC12555" s="1"/>
      <c r="AD12555" s="1"/>
      <c r="AE12555" s="1"/>
      <c r="AF12555" s="1"/>
      <c r="AG12555" s="1"/>
      <c r="AH12555" s="1"/>
    </row>
    <row r="12556" ht="12.75" customHeight="1">
      <c r="A12556" s="17"/>
      <c r="B12556" s="1"/>
      <c r="C12556" s="1"/>
      <c r="D12556" s="150"/>
      <c r="E12556" s="150"/>
      <c r="F12556" s="75"/>
      <c r="G12556" s="67"/>
      <c r="H12556" s="68"/>
      <c r="I12556" s="76"/>
      <c r="J12556" s="67"/>
      <c r="K12556" s="1"/>
      <c r="L12556" s="77"/>
      <c r="M12556" s="79"/>
      <c r="N12556" s="1"/>
      <c r="O12556" s="1"/>
      <c r="P12556" s="1"/>
      <c r="Q12556" s="1"/>
      <c r="R12556" s="1"/>
      <c r="S12556" s="1"/>
      <c r="T12556" s="1"/>
      <c r="U12556" s="1"/>
      <c r="V12556" s="1"/>
      <c r="W12556" s="1"/>
      <c r="X12556" s="1"/>
      <c r="Y12556" s="1"/>
      <c r="Z12556" s="1"/>
      <c r="AA12556" s="1"/>
      <c r="AB12556" s="1"/>
      <c r="AC12556" s="1"/>
      <c r="AD12556" s="1"/>
      <c r="AE12556" s="1"/>
      <c r="AF12556" s="1"/>
      <c r="AG12556" s="1"/>
      <c r="AH12556" s="1"/>
    </row>
    <row r="12557" ht="12.75" customHeight="1">
      <c r="A12557" s="17"/>
      <c r="B12557" s="1"/>
      <c r="C12557" s="1"/>
      <c r="D12557" s="150"/>
      <c r="E12557" s="150"/>
      <c r="F12557" s="75"/>
      <c r="G12557" s="67"/>
      <c r="H12557" s="68"/>
      <c r="I12557" s="76"/>
      <c r="J12557" s="67"/>
      <c r="K12557" s="1"/>
      <c r="L12557" s="77"/>
      <c r="M12557" s="79"/>
      <c r="N12557" s="1"/>
      <c r="O12557" s="1"/>
      <c r="P12557" s="1"/>
      <c r="Q12557" s="1"/>
      <c r="R12557" s="1"/>
      <c r="S12557" s="1"/>
      <c r="T12557" s="1"/>
      <c r="U12557" s="1"/>
      <c r="V12557" s="1"/>
      <c r="W12557" s="1"/>
      <c r="X12557" s="1"/>
      <c r="Y12557" s="1"/>
      <c r="Z12557" s="1"/>
      <c r="AA12557" s="1"/>
      <c r="AB12557" s="1"/>
      <c r="AC12557" s="1"/>
      <c r="AD12557" s="1"/>
      <c r="AE12557" s="1"/>
      <c r="AF12557" s="1"/>
      <c r="AG12557" s="1"/>
      <c r="AH12557" s="1"/>
    </row>
    <row r="12558" ht="12.75" customHeight="1">
      <c r="A12558" s="17"/>
      <c r="B12558" s="1"/>
      <c r="C12558" s="1"/>
      <c r="D12558" s="150"/>
      <c r="E12558" s="150"/>
      <c r="F12558" s="75"/>
      <c r="G12558" s="67"/>
      <c r="H12558" s="68"/>
      <c r="I12558" s="76"/>
      <c r="J12558" s="67"/>
      <c r="K12558" s="1"/>
      <c r="L12558" s="77"/>
      <c r="M12558" s="79"/>
      <c r="N12558" s="1"/>
      <c r="O12558" s="1"/>
      <c r="P12558" s="1"/>
      <c r="Q12558" s="1"/>
      <c r="R12558" s="1"/>
      <c r="S12558" s="1"/>
      <c r="T12558" s="1"/>
      <c r="U12558" s="1"/>
      <c r="V12558" s="1"/>
      <c r="W12558" s="1"/>
      <c r="X12558" s="1"/>
      <c r="Y12558" s="1"/>
      <c r="Z12558" s="1"/>
      <c r="AA12558" s="1"/>
      <c r="AB12558" s="1"/>
      <c r="AC12558" s="1"/>
      <c r="AD12558" s="1"/>
      <c r="AE12558" s="1"/>
      <c r="AF12558" s="1"/>
      <c r="AG12558" s="1"/>
      <c r="AH12558" s="1"/>
    </row>
    <row r="12559" ht="12.75" customHeight="1">
      <c r="A12559" s="17"/>
      <c r="B12559" s="1"/>
      <c r="C12559" s="1"/>
      <c r="D12559" s="150"/>
      <c r="E12559" s="150"/>
      <c r="F12559" s="75"/>
      <c r="G12559" s="67"/>
      <c r="H12559" s="68"/>
      <c r="I12559" s="76"/>
      <c r="J12559" s="67"/>
      <c r="K12559" s="1"/>
      <c r="L12559" s="77"/>
      <c r="M12559" s="79"/>
      <c r="N12559" s="1"/>
      <c r="O12559" s="1"/>
      <c r="P12559" s="1"/>
      <c r="Q12559" s="1"/>
      <c r="R12559" s="1"/>
      <c r="S12559" s="1"/>
      <c r="T12559" s="1"/>
      <c r="U12559" s="1"/>
      <c r="V12559" s="1"/>
      <c r="W12559" s="1"/>
      <c r="X12559" s="1"/>
      <c r="Y12559" s="1"/>
      <c r="Z12559" s="1"/>
      <c r="AA12559" s="1"/>
      <c r="AB12559" s="1"/>
      <c r="AC12559" s="1"/>
      <c r="AD12559" s="1"/>
      <c r="AE12559" s="1"/>
      <c r="AF12559" s="1"/>
      <c r="AG12559" s="1"/>
      <c r="AH12559" s="1"/>
    </row>
    <row r="12560" ht="12.75" customHeight="1">
      <c r="A12560" s="17"/>
      <c r="B12560" s="1"/>
      <c r="C12560" s="1"/>
      <c r="D12560" s="150"/>
      <c r="E12560" s="150"/>
      <c r="F12560" s="75"/>
      <c r="G12560" s="67"/>
      <c r="H12560" s="68"/>
      <c r="I12560" s="76"/>
      <c r="J12560" s="67"/>
      <c r="K12560" s="1"/>
      <c r="L12560" s="77"/>
      <c r="M12560" s="79"/>
      <c r="N12560" s="1"/>
      <c r="O12560" s="1"/>
      <c r="P12560" s="1"/>
      <c r="Q12560" s="1"/>
      <c r="R12560" s="1"/>
      <c r="S12560" s="1"/>
      <c r="T12560" s="1"/>
      <c r="U12560" s="1"/>
      <c r="V12560" s="1"/>
      <c r="W12560" s="1"/>
      <c r="X12560" s="1"/>
      <c r="Y12560" s="1"/>
      <c r="Z12560" s="1"/>
      <c r="AA12560" s="1"/>
      <c r="AB12560" s="1"/>
      <c r="AC12560" s="1"/>
      <c r="AD12560" s="1"/>
      <c r="AE12560" s="1"/>
      <c r="AF12560" s="1"/>
      <c r="AG12560" s="1"/>
      <c r="AH12560" s="1"/>
    </row>
    <row r="12561" ht="12.75" customHeight="1">
      <c r="A12561" s="17"/>
      <c r="B12561" s="1"/>
      <c r="C12561" s="1"/>
      <c r="D12561" s="150"/>
      <c r="E12561" s="150"/>
      <c r="F12561" s="75"/>
      <c r="G12561" s="67"/>
      <c r="H12561" s="68"/>
      <c r="I12561" s="76"/>
      <c r="J12561" s="67"/>
      <c r="K12561" s="1"/>
      <c r="L12561" s="77"/>
      <c r="M12561" s="79"/>
      <c r="N12561" s="1"/>
      <c r="O12561" s="1"/>
      <c r="P12561" s="1"/>
      <c r="Q12561" s="1"/>
      <c r="R12561" s="1"/>
      <c r="S12561" s="1"/>
      <c r="T12561" s="1"/>
      <c r="U12561" s="1"/>
      <c r="V12561" s="1"/>
      <c r="W12561" s="1"/>
      <c r="X12561" s="1"/>
      <c r="Y12561" s="1"/>
      <c r="Z12561" s="1"/>
      <c r="AA12561" s="1"/>
      <c r="AB12561" s="1"/>
      <c r="AC12561" s="1"/>
      <c r="AD12561" s="1"/>
      <c r="AE12561" s="1"/>
      <c r="AF12561" s="1"/>
      <c r="AG12561" s="1"/>
      <c r="AH12561" s="1"/>
    </row>
    <row r="12562" ht="12.75" customHeight="1">
      <c r="A12562" s="17"/>
      <c r="B12562" s="1"/>
      <c r="C12562" s="1"/>
      <c r="D12562" s="150"/>
      <c r="E12562" s="150"/>
      <c r="F12562" s="75"/>
      <c r="G12562" s="67"/>
      <c r="H12562" s="68"/>
      <c r="I12562" s="76"/>
      <c r="J12562" s="67"/>
      <c r="K12562" s="1"/>
      <c r="L12562" s="77"/>
      <c r="M12562" s="79"/>
      <c r="N12562" s="1"/>
      <c r="O12562" s="1"/>
      <c r="P12562" s="1"/>
      <c r="Q12562" s="1"/>
      <c r="R12562" s="1"/>
      <c r="S12562" s="1"/>
      <c r="T12562" s="1"/>
      <c r="U12562" s="1"/>
      <c r="V12562" s="1"/>
      <c r="W12562" s="1"/>
      <c r="X12562" s="1"/>
      <c r="Y12562" s="1"/>
      <c r="Z12562" s="1"/>
      <c r="AA12562" s="1"/>
      <c r="AB12562" s="1"/>
      <c r="AC12562" s="1"/>
      <c r="AD12562" s="1"/>
      <c r="AE12562" s="1"/>
      <c r="AF12562" s="1"/>
      <c r="AG12562" s="1"/>
      <c r="AH12562" s="1"/>
    </row>
    <row r="12563" ht="12.75" customHeight="1">
      <c r="A12563" s="17"/>
      <c r="B12563" s="1"/>
      <c r="C12563" s="1"/>
      <c r="D12563" s="150"/>
      <c r="E12563" s="150"/>
      <c r="F12563" s="75"/>
      <c r="G12563" s="67"/>
      <c r="H12563" s="68"/>
      <c r="I12563" s="76"/>
      <c r="J12563" s="67"/>
      <c r="K12563" s="1"/>
      <c r="L12563" s="77"/>
      <c r="M12563" s="79"/>
      <c r="N12563" s="1"/>
      <c r="O12563" s="1"/>
      <c r="P12563" s="1"/>
      <c r="Q12563" s="1"/>
      <c r="R12563" s="1"/>
      <c r="S12563" s="1"/>
      <c r="T12563" s="1"/>
      <c r="U12563" s="1"/>
      <c r="V12563" s="1"/>
      <c r="W12563" s="1"/>
      <c r="X12563" s="1"/>
      <c r="Y12563" s="1"/>
      <c r="Z12563" s="1"/>
      <c r="AA12563" s="1"/>
      <c r="AB12563" s="1"/>
      <c r="AC12563" s="1"/>
      <c r="AD12563" s="1"/>
      <c r="AE12563" s="1"/>
      <c r="AF12563" s="1"/>
      <c r="AG12563" s="1"/>
      <c r="AH12563" s="1"/>
    </row>
    <row r="12564" ht="12.75" customHeight="1">
      <c r="A12564" s="17"/>
      <c r="B12564" s="1"/>
      <c r="C12564" s="1"/>
      <c r="D12564" s="150"/>
      <c r="E12564" s="150"/>
      <c r="F12564" s="75"/>
      <c r="G12564" s="67"/>
      <c r="H12564" s="68"/>
      <c r="I12564" s="76"/>
      <c r="J12564" s="67"/>
      <c r="K12564" s="1"/>
      <c r="L12564" s="77"/>
      <c r="M12564" s="79"/>
      <c r="N12564" s="1"/>
      <c r="O12564" s="1"/>
      <c r="P12564" s="1"/>
      <c r="Q12564" s="1"/>
      <c r="R12564" s="1"/>
      <c r="S12564" s="1"/>
      <c r="T12564" s="1"/>
      <c r="U12564" s="1"/>
      <c r="V12564" s="1"/>
      <c r="W12564" s="1"/>
      <c r="X12564" s="1"/>
      <c r="Y12564" s="1"/>
      <c r="Z12564" s="1"/>
      <c r="AA12564" s="1"/>
      <c r="AB12564" s="1"/>
      <c r="AC12564" s="1"/>
      <c r="AD12564" s="1"/>
      <c r="AE12564" s="1"/>
      <c r="AF12564" s="1"/>
      <c r="AG12564" s="1"/>
      <c r="AH12564" s="1"/>
    </row>
    <row r="12565" ht="12.75" customHeight="1">
      <c r="A12565" s="17"/>
      <c r="B12565" s="1"/>
      <c r="C12565" s="1"/>
      <c r="D12565" s="150"/>
      <c r="E12565" s="150"/>
      <c r="F12565" s="75"/>
      <c r="G12565" s="67"/>
      <c r="H12565" s="68"/>
      <c r="I12565" s="76"/>
      <c r="J12565" s="67"/>
      <c r="K12565" s="1"/>
      <c r="L12565" s="77"/>
      <c r="M12565" s="79"/>
      <c r="N12565" s="1"/>
      <c r="O12565" s="1"/>
      <c r="P12565" s="1"/>
      <c r="Q12565" s="1"/>
      <c r="R12565" s="1"/>
      <c r="S12565" s="1"/>
      <c r="T12565" s="1"/>
      <c r="U12565" s="1"/>
      <c r="V12565" s="1"/>
      <c r="W12565" s="1"/>
      <c r="X12565" s="1"/>
      <c r="Y12565" s="1"/>
      <c r="Z12565" s="1"/>
      <c r="AA12565" s="1"/>
      <c r="AB12565" s="1"/>
      <c r="AC12565" s="1"/>
      <c r="AD12565" s="1"/>
      <c r="AE12565" s="1"/>
      <c r="AF12565" s="1"/>
      <c r="AG12565" s="1"/>
      <c r="AH12565" s="1"/>
    </row>
    <row r="12566" ht="12.75" customHeight="1">
      <c r="A12566" s="17"/>
      <c r="B12566" s="1"/>
      <c r="C12566" s="1"/>
      <c r="D12566" s="150"/>
      <c r="E12566" s="150"/>
      <c r="F12566" s="75"/>
      <c r="G12566" s="67"/>
      <c r="H12566" s="68"/>
      <c r="I12566" s="76"/>
      <c r="J12566" s="67"/>
      <c r="K12566" s="1"/>
      <c r="L12566" s="77"/>
      <c r="M12566" s="79"/>
      <c r="N12566" s="1"/>
      <c r="O12566" s="1"/>
      <c r="P12566" s="1"/>
      <c r="Q12566" s="1"/>
      <c r="R12566" s="1"/>
      <c r="S12566" s="1"/>
      <c r="T12566" s="1"/>
      <c r="U12566" s="1"/>
      <c r="V12566" s="1"/>
      <c r="W12566" s="1"/>
      <c r="X12566" s="1"/>
      <c r="Y12566" s="1"/>
      <c r="Z12566" s="1"/>
      <c r="AA12566" s="1"/>
      <c r="AB12566" s="1"/>
      <c r="AC12566" s="1"/>
      <c r="AD12566" s="1"/>
      <c r="AE12566" s="1"/>
      <c r="AF12566" s="1"/>
      <c r="AG12566" s="1"/>
      <c r="AH12566" s="1"/>
    </row>
    <row r="12567" ht="12.75" customHeight="1">
      <c r="A12567" s="17"/>
      <c r="B12567" s="1"/>
      <c r="C12567" s="1"/>
      <c r="D12567" s="150"/>
      <c r="E12567" s="150"/>
      <c r="F12567" s="75"/>
      <c r="G12567" s="67"/>
      <c r="H12567" s="68"/>
      <c r="I12567" s="76"/>
      <c r="J12567" s="67"/>
      <c r="K12567" s="1"/>
      <c r="L12567" s="77"/>
      <c r="M12567" s="79"/>
      <c r="N12567" s="1"/>
      <c r="O12567" s="1"/>
      <c r="P12567" s="1"/>
      <c r="Q12567" s="1"/>
      <c r="R12567" s="1"/>
      <c r="S12567" s="1"/>
      <c r="T12567" s="1"/>
      <c r="U12567" s="1"/>
      <c r="V12567" s="1"/>
      <c r="W12567" s="1"/>
      <c r="X12567" s="1"/>
      <c r="Y12567" s="1"/>
      <c r="Z12567" s="1"/>
      <c r="AA12567" s="1"/>
      <c r="AB12567" s="1"/>
      <c r="AC12567" s="1"/>
      <c r="AD12567" s="1"/>
      <c r="AE12567" s="1"/>
      <c r="AF12567" s="1"/>
      <c r="AG12567" s="1"/>
      <c r="AH12567" s="1"/>
    </row>
    <row r="12568" ht="12.75" customHeight="1">
      <c r="A12568" s="17"/>
      <c r="B12568" s="1"/>
      <c r="C12568" s="1"/>
      <c r="D12568" s="150"/>
      <c r="E12568" s="150"/>
      <c r="F12568" s="75"/>
      <c r="G12568" s="67"/>
      <c r="H12568" s="68"/>
      <c r="I12568" s="76"/>
      <c r="J12568" s="67"/>
      <c r="K12568" s="1"/>
      <c r="L12568" s="77"/>
      <c r="M12568" s="79"/>
      <c r="N12568" s="1"/>
      <c r="O12568" s="1"/>
      <c r="P12568" s="1"/>
      <c r="Q12568" s="1"/>
      <c r="R12568" s="1"/>
      <c r="S12568" s="1"/>
      <c r="T12568" s="1"/>
      <c r="U12568" s="1"/>
      <c r="V12568" s="1"/>
      <c r="W12568" s="1"/>
      <c r="X12568" s="1"/>
      <c r="Y12568" s="1"/>
      <c r="Z12568" s="1"/>
      <c r="AA12568" s="1"/>
      <c r="AB12568" s="1"/>
      <c r="AC12568" s="1"/>
      <c r="AD12568" s="1"/>
      <c r="AE12568" s="1"/>
      <c r="AF12568" s="1"/>
      <c r="AG12568" s="1"/>
      <c r="AH12568" s="1"/>
    </row>
    <row r="12569" ht="12.75" customHeight="1">
      <c r="A12569" s="17"/>
      <c r="B12569" s="1"/>
      <c r="C12569" s="1"/>
      <c r="D12569" s="150"/>
      <c r="E12569" s="150"/>
      <c r="F12569" s="75"/>
      <c r="G12569" s="67"/>
      <c r="H12569" s="68"/>
      <c r="I12569" s="76"/>
      <c r="J12569" s="67"/>
      <c r="K12569" s="1"/>
      <c r="L12569" s="77"/>
      <c r="M12569" s="79"/>
      <c r="N12569" s="1"/>
      <c r="O12569" s="1"/>
      <c r="P12569" s="1"/>
      <c r="Q12569" s="1"/>
      <c r="R12569" s="1"/>
      <c r="S12569" s="1"/>
      <c r="T12569" s="1"/>
      <c r="U12569" s="1"/>
      <c r="V12569" s="1"/>
      <c r="W12569" s="1"/>
      <c r="X12569" s="1"/>
      <c r="Y12569" s="1"/>
      <c r="Z12569" s="1"/>
      <c r="AA12569" s="1"/>
      <c r="AB12569" s="1"/>
      <c r="AC12569" s="1"/>
      <c r="AD12569" s="1"/>
      <c r="AE12569" s="1"/>
      <c r="AF12569" s="1"/>
      <c r="AG12569" s="1"/>
      <c r="AH12569" s="1"/>
    </row>
    <row r="12570" ht="12.75" customHeight="1">
      <c r="A12570" s="17"/>
      <c r="B12570" s="1"/>
      <c r="C12570" s="1"/>
      <c r="D12570" s="150"/>
      <c r="E12570" s="150"/>
      <c r="F12570" s="75"/>
      <c r="G12570" s="67"/>
      <c r="H12570" s="68"/>
      <c r="I12570" s="76"/>
      <c r="J12570" s="67"/>
      <c r="K12570" s="1"/>
      <c r="L12570" s="77"/>
      <c r="M12570" s="79"/>
      <c r="N12570" s="1"/>
      <c r="O12570" s="1"/>
      <c r="P12570" s="1"/>
      <c r="Q12570" s="1"/>
      <c r="R12570" s="1"/>
      <c r="S12570" s="1"/>
      <c r="T12570" s="1"/>
      <c r="U12570" s="1"/>
      <c r="V12570" s="1"/>
      <c r="W12570" s="1"/>
      <c r="X12570" s="1"/>
      <c r="Y12570" s="1"/>
      <c r="Z12570" s="1"/>
      <c r="AA12570" s="1"/>
      <c r="AB12570" s="1"/>
      <c r="AC12570" s="1"/>
      <c r="AD12570" s="1"/>
      <c r="AE12570" s="1"/>
      <c r="AF12570" s="1"/>
      <c r="AG12570" s="1"/>
      <c r="AH12570" s="1"/>
    </row>
    <row r="12571" ht="12.75" customHeight="1">
      <c r="A12571" s="17"/>
      <c r="B12571" s="1"/>
      <c r="C12571" s="1"/>
      <c r="D12571" s="150"/>
      <c r="E12571" s="150"/>
      <c r="F12571" s="75"/>
      <c r="G12571" s="67"/>
      <c r="H12571" s="68"/>
      <c r="I12571" s="76"/>
      <c r="J12571" s="67"/>
      <c r="K12571" s="1"/>
      <c r="L12571" s="77"/>
      <c r="M12571" s="79"/>
      <c r="N12571" s="1"/>
      <c r="O12571" s="1"/>
      <c r="P12571" s="1"/>
      <c r="Q12571" s="1"/>
      <c r="R12571" s="1"/>
      <c r="S12571" s="1"/>
      <c r="T12571" s="1"/>
      <c r="U12571" s="1"/>
      <c r="V12571" s="1"/>
      <c r="W12571" s="1"/>
      <c r="X12571" s="1"/>
      <c r="Y12571" s="1"/>
      <c r="Z12571" s="1"/>
      <c r="AA12571" s="1"/>
      <c r="AB12571" s="1"/>
      <c r="AC12571" s="1"/>
      <c r="AD12571" s="1"/>
      <c r="AE12571" s="1"/>
      <c r="AF12571" s="1"/>
      <c r="AG12571" s="1"/>
      <c r="AH12571" s="1"/>
    </row>
    <row r="12572" ht="12.75" customHeight="1">
      <c r="A12572" s="17"/>
      <c r="B12572" s="1"/>
      <c r="C12572" s="1"/>
      <c r="D12572" s="150"/>
      <c r="E12572" s="150"/>
      <c r="F12572" s="75"/>
      <c r="G12572" s="67"/>
      <c r="H12572" s="68"/>
      <c r="I12572" s="76"/>
      <c r="J12572" s="67"/>
      <c r="K12572" s="1"/>
      <c r="L12572" s="77"/>
      <c r="M12572" s="79"/>
      <c r="N12572" s="1"/>
      <c r="O12572" s="1"/>
      <c r="P12572" s="1"/>
      <c r="Q12572" s="1"/>
      <c r="R12572" s="1"/>
      <c r="S12572" s="1"/>
      <c r="T12572" s="1"/>
      <c r="U12572" s="1"/>
      <c r="V12572" s="1"/>
      <c r="W12572" s="1"/>
      <c r="X12572" s="1"/>
      <c r="Y12572" s="1"/>
      <c r="Z12572" s="1"/>
      <c r="AA12572" s="1"/>
      <c r="AB12572" s="1"/>
      <c r="AC12572" s="1"/>
      <c r="AD12572" s="1"/>
      <c r="AE12572" s="1"/>
      <c r="AF12572" s="1"/>
      <c r="AG12572" s="1"/>
      <c r="AH12572" s="1"/>
    </row>
    <row r="12573" ht="12.75" customHeight="1">
      <c r="A12573" s="17"/>
      <c r="B12573" s="1"/>
      <c r="C12573" s="1"/>
      <c r="D12573" s="150"/>
      <c r="E12573" s="150"/>
      <c r="F12573" s="75"/>
      <c r="G12573" s="67"/>
      <c r="H12573" s="68"/>
      <c r="I12573" s="76"/>
      <c r="J12573" s="67"/>
      <c r="K12573" s="1"/>
      <c r="L12573" s="77"/>
      <c r="M12573" s="79"/>
      <c r="N12573" s="1"/>
      <c r="O12573" s="1"/>
      <c r="P12573" s="1"/>
      <c r="Q12573" s="1"/>
      <c r="R12573" s="1"/>
      <c r="S12573" s="1"/>
      <c r="T12573" s="1"/>
      <c r="U12573" s="1"/>
      <c r="V12573" s="1"/>
      <c r="W12573" s="1"/>
      <c r="X12573" s="1"/>
      <c r="Y12573" s="1"/>
      <c r="Z12573" s="1"/>
      <c r="AA12573" s="1"/>
      <c r="AB12573" s="1"/>
      <c r="AC12573" s="1"/>
      <c r="AD12573" s="1"/>
      <c r="AE12573" s="1"/>
      <c r="AF12573" s="1"/>
      <c r="AG12573" s="1"/>
      <c r="AH12573" s="1"/>
    </row>
    <row r="12574" ht="12.75" customHeight="1">
      <c r="A12574" s="17"/>
      <c r="B12574" s="1"/>
      <c r="C12574" s="1"/>
      <c r="D12574" s="150"/>
      <c r="E12574" s="150"/>
      <c r="F12574" s="75"/>
      <c r="G12574" s="67"/>
      <c r="H12574" s="68"/>
      <c r="I12574" s="76"/>
      <c r="J12574" s="67"/>
      <c r="K12574" s="1"/>
      <c r="L12574" s="77"/>
      <c r="M12574" s="79"/>
      <c r="N12574" s="1"/>
      <c r="O12574" s="1"/>
      <c r="P12574" s="1"/>
      <c r="Q12574" s="1"/>
      <c r="R12574" s="1"/>
      <c r="S12574" s="1"/>
      <c r="T12574" s="1"/>
      <c r="U12574" s="1"/>
      <c r="V12574" s="1"/>
      <c r="W12574" s="1"/>
      <c r="X12574" s="1"/>
      <c r="Y12574" s="1"/>
      <c r="Z12574" s="1"/>
      <c r="AA12574" s="1"/>
      <c r="AB12574" s="1"/>
      <c r="AC12574" s="1"/>
      <c r="AD12574" s="1"/>
      <c r="AE12574" s="1"/>
      <c r="AF12574" s="1"/>
      <c r="AG12574" s="1"/>
      <c r="AH12574" s="1"/>
    </row>
    <row r="12575" ht="12.75" customHeight="1">
      <c r="A12575" s="17"/>
      <c r="B12575" s="1"/>
      <c r="C12575" s="1"/>
      <c r="D12575" s="150"/>
      <c r="E12575" s="150"/>
      <c r="F12575" s="75"/>
      <c r="G12575" s="67"/>
      <c r="H12575" s="68"/>
      <c r="I12575" s="76"/>
      <c r="J12575" s="67"/>
      <c r="K12575" s="1"/>
      <c r="L12575" s="77"/>
      <c r="M12575" s="79"/>
      <c r="N12575" s="1"/>
      <c r="O12575" s="1"/>
      <c r="P12575" s="1"/>
      <c r="Q12575" s="1"/>
      <c r="R12575" s="1"/>
      <c r="S12575" s="1"/>
      <c r="T12575" s="1"/>
      <c r="U12575" s="1"/>
      <c r="V12575" s="1"/>
      <c r="W12575" s="1"/>
      <c r="X12575" s="1"/>
      <c r="Y12575" s="1"/>
      <c r="Z12575" s="1"/>
      <c r="AA12575" s="1"/>
      <c r="AB12575" s="1"/>
      <c r="AC12575" s="1"/>
      <c r="AD12575" s="1"/>
      <c r="AE12575" s="1"/>
      <c r="AF12575" s="1"/>
      <c r="AG12575" s="1"/>
      <c r="AH12575" s="1"/>
    </row>
    <row r="12576" ht="12.75" customHeight="1">
      <c r="A12576" s="17"/>
      <c r="B12576" s="1"/>
      <c r="C12576" s="1"/>
      <c r="D12576" s="150"/>
      <c r="E12576" s="150"/>
      <c r="F12576" s="75"/>
      <c r="G12576" s="67"/>
      <c r="H12576" s="68"/>
      <c r="I12576" s="76"/>
      <c r="J12576" s="67"/>
      <c r="K12576" s="1"/>
      <c r="L12576" s="77"/>
      <c r="M12576" s="79"/>
      <c r="N12576" s="1"/>
      <c r="O12576" s="1"/>
      <c r="P12576" s="1"/>
      <c r="Q12576" s="1"/>
      <c r="R12576" s="1"/>
      <c r="S12576" s="1"/>
      <c r="T12576" s="1"/>
      <c r="U12576" s="1"/>
      <c r="V12576" s="1"/>
      <c r="W12576" s="1"/>
      <c r="X12576" s="1"/>
      <c r="Y12576" s="1"/>
      <c r="Z12576" s="1"/>
      <c r="AA12576" s="1"/>
      <c r="AB12576" s="1"/>
      <c r="AC12576" s="1"/>
      <c r="AD12576" s="1"/>
      <c r="AE12576" s="1"/>
      <c r="AF12576" s="1"/>
      <c r="AG12576" s="1"/>
      <c r="AH12576" s="1"/>
    </row>
    <row r="12577" ht="12.75" customHeight="1">
      <c r="A12577" s="17"/>
      <c r="B12577" s="1"/>
      <c r="C12577" s="1"/>
      <c r="D12577" s="150"/>
      <c r="E12577" s="150"/>
      <c r="F12577" s="75"/>
      <c r="G12577" s="67"/>
      <c r="H12577" s="68"/>
      <c r="I12577" s="76"/>
      <c r="J12577" s="67"/>
      <c r="K12577" s="1"/>
      <c r="L12577" s="77"/>
      <c r="M12577" s="79"/>
      <c r="N12577" s="1"/>
      <c r="O12577" s="1"/>
      <c r="P12577" s="1"/>
      <c r="Q12577" s="1"/>
      <c r="R12577" s="1"/>
      <c r="S12577" s="1"/>
      <c r="T12577" s="1"/>
      <c r="U12577" s="1"/>
      <c r="V12577" s="1"/>
      <c r="W12577" s="1"/>
      <c r="X12577" s="1"/>
      <c r="Y12577" s="1"/>
      <c r="Z12577" s="1"/>
      <c r="AA12577" s="1"/>
      <c r="AB12577" s="1"/>
      <c r="AC12577" s="1"/>
      <c r="AD12577" s="1"/>
      <c r="AE12577" s="1"/>
      <c r="AF12577" s="1"/>
      <c r="AG12577" s="1"/>
      <c r="AH12577" s="1"/>
    </row>
    <row r="12578" ht="12.75" customHeight="1">
      <c r="A12578" s="17"/>
      <c r="B12578" s="1"/>
      <c r="C12578" s="1"/>
      <c r="D12578" s="150"/>
      <c r="E12578" s="150"/>
      <c r="F12578" s="75"/>
      <c r="G12578" s="67"/>
      <c r="H12578" s="68"/>
      <c r="I12578" s="76"/>
      <c r="J12578" s="67"/>
      <c r="K12578" s="1"/>
      <c r="L12578" s="77"/>
      <c r="M12578" s="79"/>
      <c r="N12578" s="1"/>
      <c r="O12578" s="1"/>
      <c r="P12578" s="1"/>
      <c r="Q12578" s="1"/>
      <c r="R12578" s="1"/>
      <c r="S12578" s="1"/>
      <c r="T12578" s="1"/>
      <c r="U12578" s="1"/>
      <c r="V12578" s="1"/>
      <c r="W12578" s="1"/>
      <c r="X12578" s="1"/>
      <c r="Y12578" s="1"/>
      <c r="Z12578" s="1"/>
      <c r="AA12578" s="1"/>
      <c r="AB12578" s="1"/>
      <c r="AC12578" s="1"/>
      <c r="AD12578" s="1"/>
      <c r="AE12578" s="1"/>
      <c r="AF12578" s="1"/>
      <c r="AG12578" s="1"/>
      <c r="AH12578" s="1"/>
    </row>
    <row r="12579" ht="12.75" customHeight="1">
      <c r="A12579" s="17"/>
      <c r="B12579" s="1"/>
      <c r="C12579" s="1"/>
      <c r="D12579" s="150"/>
      <c r="E12579" s="150"/>
      <c r="F12579" s="75"/>
      <c r="G12579" s="67"/>
      <c r="H12579" s="68"/>
      <c r="I12579" s="76"/>
      <c r="J12579" s="67"/>
      <c r="K12579" s="1"/>
      <c r="L12579" s="77"/>
      <c r="M12579" s="79"/>
      <c r="N12579" s="1"/>
      <c r="O12579" s="1"/>
      <c r="P12579" s="1"/>
      <c r="Q12579" s="1"/>
      <c r="R12579" s="1"/>
      <c r="S12579" s="1"/>
      <c r="T12579" s="1"/>
      <c r="U12579" s="1"/>
      <c r="V12579" s="1"/>
      <c r="W12579" s="1"/>
      <c r="X12579" s="1"/>
      <c r="Y12579" s="1"/>
      <c r="Z12579" s="1"/>
      <c r="AA12579" s="1"/>
      <c r="AB12579" s="1"/>
      <c r="AC12579" s="1"/>
      <c r="AD12579" s="1"/>
      <c r="AE12579" s="1"/>
      <c r="AF12579" s="1"/>
      <c r="AG12579" s="1"/>
      <c r="AH12579" s="1"/>
    </row>
    <row r="12580" ht="12.75" customHeight="1">
      <c r="A12580" s="17"/>
      <c r="B12580" s="1"/>
      <c r="C12580" s="1"/>
      <c r="D12580" s="150"/>
      <c r="E12580" s="150"/>
      <c r="F12580" s="75"/>
      <c r="G12580" s="67"/>
      <c r="H12580" s="68"/>
      <c r="I12580" s="76"/>
      <c r="J12580" s="67"/>
      <c r="K12580" s="1"/>
      <c r="L12580" s="77"/>
      <c r="M12580" s="79"/>
      <c r="N12580" s="1"/>
      <c r="O12580" s="1"/>
      <c r="P12580" s="1"/>
      <c r="Q12580" s="1"/>
      <c r="R12580" s="1"/>
      <c r="S12580" s="1"/>
      <c r="T12580" s="1"/>
      <c r="U12580" s="1"/>
      <c r="V12580" s="1"/>
      <c r="W12580" s="1"/>
      <c r="X12580" s="1"/>
      <c r="Y12580" s="1"/>
      <c r="Z12580" s="1"/>
      <c r="AA12580" s="1"/>
      <c r="AB12580" s="1"/>
      <c r="AC12580" s="1"/>
      <c r="AD12580" s="1"/>
      <c r="AE12580" s="1"/>
      <c r="AF12580" s="1"/>
      <c r="AG12580" s="1"/>
      <c r="AH12580" s="1"/>
    </row>
    <row r="12581" ht="12.75" customHeight="1">
      <c r="A12581" s="17"/>
      <c r="B12581" s="1"/>
      <c r="C12581" s="1"/>
      <c r="D12581" s="150"/>
      <c r="E12581" s="150"/>
      <c r="F12581" s="75"/>
      <c r="G12581" s="67"/>
      <c r="H12581" s="68"/>
      <c r="I12581" s="76"/>
      <c r="J12581" s="67"/>
      <c r="K12581" s="1"/>
      <c r="L12581" s="77"/>
      <c r="M12581" s="79"/>
      <c r="N12581" s="1"/>
      <c r="O12581" s="1"/>
      <c r="P12581" s="1"/>
      <c r="Q12581" s="1"/>
      <c r="R12581" s="1"/>
      <c r="S12581" s="1"/>
      <c r="T12581" s="1"/>
      <c r="U12581" s="1"/>
      <c r="V12581" s="1"/>
      <c r="W12581" s="1"/>
      <c r="X12581" s="1"/>
      <c r="Y12581" s="1"/>
      <c r="Z12581" s="1"/>
      <c r="AA12581" s="1"/>
      <c r="AB12581" s="1"/>
      <c r="AC12581" s="1"/>
      <c r="AD12581" s="1"/>
      <c r="AE12581" s="1"/>
      <c r="AF12581" s="1"/>
      <c r="AG12581" s="1"/>
      <c r="AH12581" s="1"/>
    </row>
    <row r="12582" ht="12.75" customHeight="1">
      <c r="A12582" s="17"/>
      <c r="B12582" s="1"/>
      <c r="C12582" s="1"/>
      <c r="D12582" s="150"/>
      <c r="E12582" s="150"/>
      <c r="F12582" s="75"/>
      <c r="G12582" s="67"/>
      <c r="H12582" s="68"/>
      <c r="I12582" s="76"/>
      <c r="J12582" s="67"/>
      <c r="K12582" s="1"/>
      <c r="L12582" s="77"/>
      <c r="M12582" s="79"/>
      <c r="N12582" s="1"/>
      <c r="O12582" s="1"/>
      <c r="P12582" s="1"/>
      <c r="Q12582" s="1"/>
      <c r="R12582" s="1"/>
      <c r="S12582" s="1"/>
      <c r="T12582" s="1"/>
      <c r="U12582" s="1"/>
      <c r="V12582" s="1"/>
      <c r="W12582" s="1"/>
      <c r="X12582" s="1"/>
      <c r="Y12582" s="1"/>
      <c r="Z12582" s="1"/>
      <c r="AA12582" s="1"/>
      <c r="AB12582" s="1"/>
      <c r="AC12582" s="1"/>
      <c r="AD12582" s="1"/>
      <c r="AE12582" s="1"/>
      <c r="AF12582" s="1"/>
      <c r="AG12582" s="1"/>
      <c r="AH12582" s="1"/>
    </row>
    <row r="12583" ht="12.75" customHeight="1">
      <c r="A12583" s="17"/>
      <c r="B12583" s="1"/>
      <c r="C12583" s="1"/>
      <c r="D12583" s="150"/>
      <c r="E12583" s="150"/>
      <c r="F12583" s="75"/>
      <c r="G12583" s="67"/>
      <c r="H12583" s="68"/>
      <c r="I12583" s="76"/>
      <c r="J12583" s="67"/>
      <c r="K12583" s="1"/>
      <c r="L12583" s="77"/>
      <c r="M12583" s="79"/>
      <c r="N12583" s="1"/>
      <c r="O12583" s="1"/>
      <c r="P12583" s="1"/>
      <c r="Q12583" s="1"/>
      <c r="R12583" s="1"/>
      <c r="S12583" s="1"/>
      <c r="T12583" s="1"/>
      <c r="U12583" s="1"/>
      <c r="V12583" s="1"/>
      <c r="W12583" s="1"/>
      <c r="X12583" s="1"/>
      <c r="Y12583" s="1"/>
      <c r="Z12583" s="1"/>
      <c r="AA12583" s="1"/>
      <c r="AB12583" s="1"/>
      <c r="AC12583" s="1"/>
      <c r="AD12583" s="1"/>
      <c r="AE12583" s="1"/>
      <c r="AF12583" s="1"/>
      <c r="AG12583" s="1"/>
      <c r="AH12583" s="1"/>
    </row>
    <row r="12584" ht="12.75" customHeight="1">
      <c r="A12584" s="17"/>
      <c r="B12584" s="1"/>
      <c r="C12584" s="1"/>
      <c r="D12584" s="150"/>
      <c r="E12584" s="150"/>
      <c r="F12584" s="75"/>
      <c r="G12584" s="67"/>
      <c r="H12584" s="68"/>
      <c r="I12584" s="76"/>
      <c r="J12584" s="67"/>
      <c r="K12584" s="1"/>
      <c r="L12584" s="77"/>
      <c r="M12584" s="79"/>
      <c r="N12584" s="1"/>
      <c r="O12584" s="1"/>
      <c r="P12584" s="1"/>
      <c r="Q12584" s="1"/>
      <c r="R12584" s="1"/>
      <c r="S12584" s="1"/>
      <c r="T12584" s="1"/>
      <c r="U12584" s="1"/>
      <c r="V12584" s="1"/>
      <c r="W12584" s="1"/>
      <c r="X12584" s="1"/>
      <c r="Y12584" s="1"/>
      <c r="Z12584" s="1"/>
      <c r="AA12584" s="1"/>
      <c r="AB12584" s="1"/>
      <c r="AC12584" s="1"/>
      <c r="AD12584" s="1"/>
      <c r="AE12584" s="1"/>
      <c r="AF12584" s="1"/>
      <c r="AG12584" s="1"/>
      <c r="AH12584" s="1"/>
    </row>
    <row r="12585" ht="12.75" customHeight="1">
      <c r="A12585" s="17"/>
      <c r="B12585" s="1"/>
      <c r="C12585" s="1"/>
      <c r="D12585" s="150"/>
      <c r="E12585" s="150"/>
      <c r="F12585" s="75"/>
      <c r="G12585" s="67"/>
      <c r="H12585" s="68"/>
      <c r="I12585" s="76"/>
      <c r="J12585" s="67"/>
      <c r="K12585" s="1"/>
      <c r="L12585" s="77"/>
      <c r="M12585" s="79"/>
      <c r="N12585" s="1"/>
      <c r="O12585" s="1"/>
      <c r="P12585" s="1"/>
      <c r="Q12585" s="1"/>
      <c r="R12585" s="1"/>
      <c r="S12585" s="1"/>
      <c r="T12585" s="1"/>
      <c r="U12585" s="1"/>
      <c r="V12585" s="1"/>
      <c r="W12585" s="1"/>
      <c r="X12585" s="1"/>
      <c r="Y12585" s="1"/>
      <c r="Z12585" s="1"/>
      <c r="AA12585" s="1"/>
      <c r="AB12585" s="1"/>
      <c r="AC12585" s="1"/>
      <c r="AD12585" s="1"/>
      <c r="AE12585" s="1"/>
      <c r="AF12585" s="1"/>
      <c r="AG12585" s="1"/>
      <c r="AH12585" s="1"/>
    </row>
    <row r="12586" ht="12.75" customHeight="1">
      <c r="A12586" s="17"/>
      <c r="B12586" s="1"/>
      <c r="C12586" s="1"/>
      <c r="D12586" s="150"/>
      <c r="E12586" s="150"/>
      <c r="F12586" s="75"/>
      <c r="G12586" s="67"/>
      <c r="H12586" s="68"/>
      <c r="I12586" s="76"/>
      <c r="J12586" s="67"/>
      <c r="K12586" s="1"/>
      <c r="L12586" s="77"/>
      <c r="M12586" s="79"/>
      <c r="N12586" s="1"/>
      <c r="O12586" s="1"/>
      <c r="P12586" s="1"/>
      <c r="Q12586" s="1"/>
      <c r="R12586" s="1"/>
      <c r="S12586" s="1"/>
      <c r="T12586" s="1"/>
      <c r="U12586" s="1"/>
      <c r="V12586" s="1"/>
      <c r="W12586" s="1"/>
      <c r="X12586" s="1"/>
      <c r="Y12586" s="1"/>
      <c r="Z12586" s="1"/>
      <c r="AA12586" s="1"/>
      <c r="AB12586" s="1"/>
      <c r="AC12586" s="1"/>
      <c r="AD12586" s="1"/>
      <c r="AE12586" s="1"/>
      <c r="AF12586" s="1"/>
      <c r="AG12586" s="1"/>
      <c r="AH12586" s="1"/>
    </row>
    <row r="12587" ht="12.75" customHeight="1">
      <c r="A12587" s="17"/>
      <c r="B12587" s="1"/>
      <c r="C12587" s="1"/>
      <c r="D12587" s="150"/>
      <c r="E12587" s="150"/>
      <c r="F12587" s="75"/>
      <c r="G12587" s="67"/>
      <c r="H12587" s="68"/>
      <c r="I12587" s="76"/>
      <c r="J12587" s="67"/>
      <c r="K12587" s="1"/>
      <c r="L12587" s="77"/>
      <c r="M12587" s="79"/>
      <c r="N12587" s="1"/>
      <c r="O12587" s="1"/>
      <c r="P12587" s="1"/>
      <c r="Q12587" s="1"/>
      <c r="R12587" s="1"/>
      <c r="S12587" s="1"/>
      <c r="T12587" s="1"/>
      <c r="U12587" s="1"/>
      <c r="V12587" s="1"/>
      <c r="W12587" s="1"/>
      <c r="X12587" s="1"/>
      <c r="Y12587" s="1"/>
      <c r="Z12587" s="1"/>
      <c r="AA12587" s="1"/>
      <c r="AB12587" s="1"/>
      <c r="AC12587" s="1"/>
      <c r="AD12587" s="1"/>
      <c r="AE12587" s="1"/>
      <c r="AF12587" s="1"/>
      <c r="AG12587" s="1"/>
      <c r="AH12587" s="1"/>
    </row>
    <row r="12588" ht="12.75" customHeight="1">
      <c r="A12588" s="17"/>
      <c r="B12588" s="1"/>
      <c r="C12588" s="1"/>
      <c r="D12588" s="150"/>
      <c r="E12588" s="150"/>
      <c r="F12588" s="75"/>
      <c r="G12588" s="67"/>
      <c r="H12588" s="68"/>
      <c r="I12588" s="76"/>
      <c r="J12588" s="67"/>
      <c r="K12588" s="1"/>
      <c r="L12588" s="77"/>
      <c r="M12588" s="79"/>
      <c r="N12588" s="1"/>
      <c r="O12588" s="1"/>
      <c r="P12588" s="1"/>
      <c r="Q12588" s="1"/>
      <c r="R12588" s="1"/>
      <c r="S12588" s="1"/>
      <c r="T12588" s="1"/>
      <c r="U12588" s="1"/>
      <c r="V12588" s="1"/>
      <c r="W12588" s="1"/>
      <c r="X12588" s="1"/>
      <c r="Y12588" s="1"/>
      <c r="Z12588" s="1"/>
      <c r="AA12588" s="1"/>
      <c r="AB12588" s="1"/>
      <c r="AC12588" s="1"/>
      <c r="AD12588" s="1"/>
      <c r="AE12588" s="1"/>
      <c r="AF12588" s="1"/>
      <c r="AG12588" s="1"/>
      <c r="AH12588" s="1"/>
    </row>
    <row r="12589" ht="12.75" customHeight="1">
      <c r="A12589" s="17"/>
      <c r="B12589" s="1"/>
      <c r="C12589" s="1"/>
      <c r="D12589" s="150"/>
      <c r="E12589" s="150"/>
      <c r="F12589" s="75"/>
      <c r="G12589" s="67"/>
      <c r="H12589" s="68"/>
      <c r="I12589" s="76"/>
      <c r="J12589" s="67"/>
      <c r="K12589" s="1"/>
      <c r="L12589" s="77"/>
      <c r="M12589" s="79"/>
      <c r="N12589" s="1"/>
      <c r="O12589" s="1"/>
      <c r="P12589" s="1"/>
      <c r="Q12589" s="1"/>
      <c r="R12589" s="1"/>
      <c r="S12589" s="1"/>
      <c r="T12589" s="1"/>
      <c r="U12589" s="1"/>
      <c r="V12589" s="1"/>
      <c r="W12589" s="1"/>
      <c r="X12589" s="1"/>
      <c r="Y12589" s="1"/>
      <c r="Z12589" s="1"/>
      <c r="AA12589" s="1"/>
      <c r="AB12589" s="1"/>
      <c r="AC12589" s="1"/>
      <c r="AD12589" s="1"/>
      <c r="AE12589" s="1"/>
      <c r="AF12589" s="1"/>
      <c r="AG12589" s="1"/>
      <c r="AH12589" s="1"/>
    </row>
    <row r="12590" ht="12.75" customHeight="1">
      <c r="A12590" s="17"/>
      <c r="B12590" s="1"/>
      <c r="C12590" s="1"/>
      <c r="D12590" s="150"/>
      <c r="E12590" s="150"/>
      <c r="F12590" s="75"/>
      <c r="G12590" s="67"/>
      <c r="H12590" s="68"/>
      <c r="I12590" s="76"/>
      <c r="J12590" s="67"/>
      <c r="K12590" s="1"/>
      <c r="L12590" s="77"/>
      <c r="M12590" s="79"/>
      <c r="N12590" s="1"/>
      <c r="O12590" s="1"/>
      <c r="P12590" s="1"/>
      <c r="Q12590" s="1"/>
      <c r="R12590" s="1"/>
      <c r="S12590" s="1"/>
      <c r="T12590" s="1"/>
      <c r="U12590" s="1"/>
      <c r="V12590" s="1"/>
      <c r="W12590" s="1"/>
      <c r="X12590" s="1"/>
      <c r="Y12590" s="1"/>
      <c r="Z12590" s="1"/>
      <c r="AA12590" s="1"/>
      <c r="AB12590" s="1"/>
      <c r="AC12590" s="1"/>
      <c r="AD12590" s="1"/>
      <c r="AE12590" s="1"/>
      <c r="AF12590" s="1"/>
      <c r="AG12590" s="1"/>
      <c r="AH12590" s="1"/>
    </row>
    <row r="12591" ht="12.75" customHeight="1">
      <c r="A12591" s="17"/>
      <c r="B12591" s="1"/>
      <c r="C12591" s="1"/>
      <c r="D12591" s="150"/>
      <c r="E12591" s="150"/>
      <c r="F12591" s="75"/>
      <c r="G12591" s="67"/>
      <c r="H12591" s="68"/>
      <c r="I12591" s="76"/>
      <c r="J12591" s="67"/>
      <c r="K12591" s="1"/>
      <c r="L12591" s="77"/>
      <c r="M12591" s="79"/>
      <c r="N12591" s="1"/>
      <c r="O12591" s="1"/>
      <c r="P12591" s="1"/>
      <c r="Q12591" s="1"/>
      <c r="R12591" s="1"/>
      <c r="S12591" s="1"/>
      <c r="T12591" s="1"/>
      <c r="U12591" s="1"/>
      <c r="V12591" s="1"/>
      <c r="W12591" s="1"/>
      <c r="X12591" s="1"/>
      <c r="Y12591" s="1"/>
      <c r="Z12591" s="1"/>
      <c r="AA12591" s="1"/>
      <c r="AB12591" s="1"/>
      <c r="AC12591" s="1"/>
      <c r="AD12591" s="1"/>
      <c r="AE12591" s="1"/>
      <c r="AF12591" s="1"/>
      <c r="AG12591" s="1"/>
      <c r="AH12591" s="1"/>
    </row>
    <row r="12592" ht="12.75" customHeight="1">
      <c r="A12592" s="17"/>
      <c r="B12592" s="1"/>
      <c r="C12592" s="1"/>
      <c r="D12592" s="150"/>
      <c r="E12592" s="150"/>
      <c r="F12592" s="75"/>
      <c r="G12592" s="67"/>
      <c r="H12592" s="68"/>
      <c r="I12592" s="76"/>
      <c r="J12592" s="67"/>
      <c r="K12592" s="1"/>
      <c r="L12592" s="77"/>
      <c r="M12592" s="79"/>
      <c r="N12592" s="1"/>
      <c r="O12592" s="1"/>
      <c r="P12592" s="1"/>
      <c r="Q12592" s="1"/>
      <c r="R12592" s="1"/>
      <c r="S12592" s="1"/>
      <c r="T12592" s="1"/>
      <c r="U12592" s="1"/>
      <c r="V12592" s="1"/>
      <c r="W12592" s="1"/>
      <c r="X12592" s="1"/>
      <c r="Y12592" s="1"/>
      <c r="Z12592" s="1"/>
      <c r="AA12592" s="1"/>
      <c r="AB12592" s="1"/>
      <c r="AC12592" s="1"/>
      <c r="AD12592" s="1"/>
      <c r="AE12592" s="1"/>
      <c r="AF12592" s="1"/>
      <c r="AG12592" s="1"/>
      <c r="AH12592" s="1"/>
    </row>
    <row r="12593" ht="12.75" customHeight="1">
      <c r="A12593" s="17"/>
      <c r="B12593" s="1"/>
      <c r="C12593" s="1"/>
      <c r="D12593" s="150"/>
      <c r="E12593" s="150"/>
      <c r="F12593" s="75"/>
      <c r="G12593" s="67"/>
      <c r="H12593" s="68"/>
      <c r="I12593" s="76"/>
      <c r="J12593" s="67"/>
      <c r="K12593" s="1"/>
      <c r="L12593" s="77"/>
      <c r="M12593" s="79"/>
      <c r="N12593" s="1"/>
      <c r="O12593" s="1"/>
      <c r="P12593" s="1"/>
      <c r="Q12593" s="1"/>
      <c r="R12593" s="1"/>
      <c r="S12593" s="1"/>
      <c r="T12593" s="1"/>
      <c r="U12593" s="1"/>
      <c r="V12593" s="1"/>
      <c r="W12593" s="1"/>
      <c r="X12593" s="1"/>
      <c r="Y12593" s="1"/>
      <c r="Z12593" s="1"/>
      <c r="AA12593" s="1"/>
      <c r="AB12593" s="1"/>
      <c r="AC12593" s="1"/>
      <c r="AD12593" s="1"/>
      <c r="AE12593" s="1"/>
      <c r="AF12593" s="1"/>
      <c r="AG12593" s="1"/>
      <c r="AH12593" s="1"/>
    </row>
    <row r="12594" ht="12.75" customHeight="1">
      <c r="A12594" s="17"/>
      <c r="B12594" s="1"/>
      <c r="C12594" s="1"/>
      <c r="D12594" s="150"/>
      <c r="E12594" s="150"/>
      <c r="F12594" s="75"/>
      <c r="G12594" s="67"/>
      <c r="H12594" s="68"/>
      <c r="I12594" s="76"/>
      <c r="J12594" s="67"/>
      <c r="K12594" s="1"/>
      <c r="L12594" s="77"/>
      <c r="M12594" s="79"/>
      <c r="N12594" s="1"/>
      <c r="O12594" s="1"/>
      <c r="P12594" s="1"/>
      <c r="Q12594" s="1"/>
      <c r="R12594" s="1"/>
      <c r="S12594" s="1"/>
      <c r="T12594" s="1"/>
      <c r="U12594" s="1"/>
      <c r="V12594" s="1"/>
      <c r="W12594" s="1"/>
      <c r="X12594" s="1"/>
      <c r="Y12594" s="1"/>
      <c r="Z12594" s="1"/>
      <c r="AA12594" s="1"/>
      <c r="AB12594" s="1"/>
      <c r="AC12594" s="1"/>
      <c r="AD12594" s="1"/>
      <c r="AE12594" s="1"/>
      <c r="AF12594" s="1"/>
      <c r="AG12594" s="1"/>
      <c r="AH12594" s="1"/>
    </row>
    <row r="12595" ht="12.75" customHeight="1">
      <c r="A12595" s="17"/>
      <c r="B12595" s="1"/>
      <c r="C12595" s="1"/>
      <c r="D12595" s="150"/>
      <c r="E12595" s="150"/>
      <c r="F12595" s="75"/>
      <c r="G12595" s="67"/>
      <c r="H12595" s="68"/>
      <c r="I12595" s="76"/>
      <c r="J12595" s="67"/>
      <c r="K12595" s="1"/>
      <c r="L12595" s="77"/>
      <c r="M12595" s="79"/>
      <c r="N12595" s="1"/>
      <c r="O12595" s="1"/>
      <c r="P12595" s="1"/>
      <c r="Q12595" s="1"/>
      <c r="R12595" s="1"/>
      <c r="S12595" s="1"/>
      <c r="T12595" s="1"/>
      <c r="U12595" s="1"/>
      <c r="V12595" s="1"/>
      <c r="W12595" s="1"/>
      <c r="X12595" s="1"/>
      <c r="Y12595" s="1"/>
      <c r="Z12595" s="1"/>
      <c r="AA12595" s="1"/>
      <c r="AB12595" s="1"/>
      <c r="AC12595" s="1"/>
      <c r="AD12595" s="1"/>
      <c r="AE12595" s="1"/>
      <c r="AF12595" s="1"/>
      <c r="AG12595" s="1"/>
      <c r="AH12595" s="1"/>
    </row>
    <row r="12596" ht="12.75" customHeight="1">
      <c r="A12596" s="17"/>
      <c r="B12596" s="1"/>
      <c r="C12596" s="1"/>
      <c r="D12596" s="150"/>
      <c r="E12596" s="150"/>
      <c r="F12596" s="75"/>
      <c r="G12596" s="67"/>
      <c r="H12596" s="68"/>
      <c r="I12596" s="76"/>
      <c r="J12596" s="67"/>
      <c r="K12596" s="1"/>
      <c r="L12596" s="77"/>
      <c r="M12596" s="79"/>
      <c r="N12596" s="1"/>
      <c r="O12596" s="1"/>
      <c r="P12596" s="1"/>
      <c r="Q12596" s="1"/>
      <c r="R12596" s="1"/>
      <c r="S12596" s="1"/>
      <c r="T12596" s="1"/>
      <c r="U12596" s="1"/>
      <c r="V12596" s="1"/>
      <c r="W12596" s="1"/>
      <c r="X12596" s="1"/>
      <c r="Y12596" s="1"/>
      <c r="Z12596" s="1"/>
      <c r="AA12596" s="1"/>
      <c r="AB12596" s="1"/>
      <c r="AC12596" s="1"/>
      <c r="AD12596" s="1"/>
      <c r="AE12596" s="1"/>
      <c r="AF12596" s="1"/>
      <c r="AG12596" s="1"/>
      <c r="AH12596" s="1"/>
    </row>
    <row r="12597" ht="12.75" customHeight="1">
      <c r="A12597" s="17"/>
      <c r="B12597" s="1"/>
      <c r="C12597" s="1"/>
      <c r="D12597" s="150"/>
      <c r="E12597" s="150"/>
      <c r="F12597" s="75"/>
      <c r="G12597" s="67"/>
      <c r="H12597" s="68"/>
      <c r="I12597" s="76"/>
      <c r="J12597" s="67"/>
      <c r="K12597" s="1"/>
      <c r="L12597" s="77"/>
      <c r="M12597" s="79"/>
      <c r="N12597" s="1"/>
      <c r="O12597" s="1"/>
      <c r="P12597" s="1"/>
      <c r="Q12597" s="1"/>
      <c r="R12597" s="1"/>
      <c r="S12597" s="1"/>
      <c r="T12597" s="1"/>
      <c r="U12597" s="1"/>
      <c r="V12597" s="1"/>
      <c r="W12597" s="1"/>
      <c r="X12597" s="1"/>
      <c r="Y12597" s="1"/>
      <c r="Z12597" s="1"/>
      <c r="AA12597" s="1"/>
      <c r="AB12597" s="1"/>
      <c r="AC12597" s="1"/>
      <c r="AD12597" s="1"/>
      <c r="AE12597" s="1"/>
      <c r="AF12597" s="1"/>
      <c r="AG12597" s="1"/>
      <c r="AH12597" s="1"/>
    </row>
    <row r="12598" ht="12.75" customHeight="1">
      <c r="A12598" s="17"/>
      <c r="B12598" s="1"/>
      <c r="C12598" s="1"/>
      <c r="D12598" s="150"/>
      <c r="E12598" s="150"/>
      <c r="F12598" s="75"/>
      <c r="G12598" s="67"/>
      <c r="H12598" s="68"/>
      <c r="I12598" s="76"/>
      <c r="J12598" s="67"/>
      <c r="K12598" s="1"/>
      <c r="L12598" s="77"/>
      <c r="M12598" s="79"/>
      <c r="N12598" s="1"/>
      <c r="O12598" s="1"/>
      <c r="P12598" s="1"/>
      <c r="Q12598" s="1"/>
      <c r="R12598" s="1"/>
      <c r="S12598" s="1"/>
      <c r="T12598" s="1"/>
      <c r="U12598" s="1"/>
      <c r="V12598" s="1"/>
      <c r="W12598" s="1"/>
      <c r="X12598" s="1"/>
      <c r="Y12598" s="1"/>
      <c r="Z12598" s="1"/>
      <c r="AA12598" s="1"/>
      <c r="AB12598" s="1"/>
      <c r="AC12598" s="1"/>
      <c r="AD12598" s="1"/>
      <c r="AE12598" s="1"/>
      <c r="AF12598" s="1"/>
      <c r="AG12598" s="1"/>
      <c r="AH12598" s="1"/>
    </row>
    <row r="12599" ht="12.75" customHeight="1">
      <c r="A12599" s="17"/>
      <c r="B12599" s="1"/>
      <c r="C12599" s="1"/>
      <c r="D12599" s="150"/>
      <c r="E12599" s="150"/>
      <c r="F12599" s="75"/>
      <c r="G12599" s="67"/>
      <c r="H12599" s="68"/>
      <c r="I12599" s="76"/>
      <c r="J12599" s="67"/>
      <c r="K12599" s="1"/>
      <c r="L12599" s="77"/>
      <c r="M12599" s="79"/>
      <c r="N12599" s="1"/>
      <c r="O12599" s="1"/>
      <c r="P12599" s="1"/>
      <c r="Q12599" s="1"/>
      <c r="R12599" s="1"/>
      <c r="S12599" s="1"/>
      <c r="T12599" s="1"/>
      <c r="U12599" s="1"/>
      <c r="V12599" s="1"/>
      <c r="W12599" s="1"/>
      <c r="X12599" s="1"/>
      <c r="Y12599" s="1"/>
      <c r="Z12599" s="1"/>
      <c r="AA12599" s="1"/>
      <c r="AB12599" s="1"/>
      <c r="AC12599" s="1"/>
      <c r="AD12599" s="1"/>
      <c r="AE12599" s="1"/>
      <c r="AF12599" s="1"/>
      <c r="AG12599" s="1"/>
      <c r="AH12599" s="1"/>
    </row>
    <row r="12600" ht="12.75" customHeight="1">
      <c r="A12600" s="17"/>
      <c r="B12600" s="1"/>
      <c r="C12600" s="1"/>
      <c r="D12600" s="150"/>
      <c r="E12600" s="150"/>
      <c r="F12600" s="75"/>
      <c r="G12600" s="67"/>
      <c r="H12600" s="68"/>
      <c r="I12600" s="76"/>
      <c r="J12600" s="67"/>
      <c r="K12600" s="1"/>
      <c r="L12600" s="77"/>
      <c r="M12600" s="79"/>
      <c r="N12600" s="1"/>
      <c r="O12600" s="1"/>
      <c r="P12600" s="1"/>
      <c r="Q12600" s="1"/>
      <c r="R12600" s="1"/>
      <c r="S12600" s="1"/>
      <c r="T12600" s="1"/>
      <c r="U12600" s="1"/>
      <c r="V12600" s="1"/>
      <c r="W12600" s="1"/>
      <c r="X12600" s="1"/>
      <c r="Y12600" s="1"/>
      <c r="Z12600" s="1"/>
      <c r="AA12600" s="1"/>
      <c r="AB12600" s="1"/>
      <c r="AC12600" s="1"/>
      <c r="AD12600" s="1"/>
      <c r="AE12600" s="1"/>
      <c r="AF12600" s="1"/>
      <c r="AG12600" s="1"/>
      <c r="AH12600" s="1"/>
    </row>
    <row r="12601" ht="12.75" customHeight="1">
      <c r="A12601" s="17"/>
      <c r="B12601" s="1"/>
      <c r="C12601" s="1"/>
      <c r="D12601" s="150"/>
      <c r="E12601" s="150"/>
      <c r="F12601" s="75"/>
      <c r="G12601" s="67"/>
      <c r="H12601" s="68"/>
      <c r="I12601" s="76"/>
      <c r="J12601" s="67"/>
      <c r="K12601" s="1"/>
      <c r="L12601" s="77"/>
      <c r="M12601" s="79"/>
      <c r="N12601" s="1"/>
      <c r="O12601" s="1"/>
      <c r="P12601" s="1"/>
      <c r="Q12601" s="1"/>
      <c r="R12601" s="1"/>
      <c r="S12601" s="1"/>
      <c r="T12601" s="1"/>
      <c r="U12601" s="1"/>
      <c r="V12601" s="1"/>
      <c r="W12601" s="1"/>
      <c r="X12601" s="1"/>
      <c r="Y12601" s="1"/>
      <c r="Z12601" s="1"/>
      <c r="AA12601" s="1"/>
      <c r="AB12601" s="1"/>
      <c r="AC12601" s="1"/>
      <c r="AD12601" s="1"/>
      <c r="AE12601" s="1"/>
      <c r="AF12601" s="1"/>
      <c r="AG12601" s="1"/>
      <c r="AH12601" s="1"/>
    </row>
    <row r="12602" ht="12.75" customHeight="1">
      <c r="A12602" s="17"/>
      <c r="B12602" s="1"/>
      <c r="C12602" s="1"/>
      <c r="D12602" s="150"/>
      <c r="E12602" s="150"/>
      <c r="F12602" s="75"/>
      <c r="G12602" s="67"/>
      <c r="H12602" s="68"/>
      <c r="I12602" s="76"/>
      <c r="J12602" s="67"/>
      <c r="K12602" s="1"/>
      <c r="L12602" s="77"/>
      <c r="M12602" s="79"/>
      <c r="N12602" s="1"/>
      <c r="O12602" s="1"/>
      <c r="P12602" s="1"/>
      <c r="Q12602" s="1"/>
      <c r="R12602" s="1"/>
      <c r="S12602" s="1"/>
      <c r="T12602" s="1"/>
      <c r="U12602" s="1"/>
      <c r="V12602" s="1"/>
      <c r="W12602" s="1"/>
      <c r="X12602" s="1"/>
      <c r="Y12602" s="1"/>
      <c r="Z12602" s="1"/>
      <c r="AA12602" s="1"/>
      <c r="AB12602" s="1"/>
      <c r="AC12602" s="1"/>
      <c r="AD12602" s="1"/>
      <c r="AE12602" s="1"/>
      <c r="AF12602" s="1"/>
      <c r="AG12602" s="1"/>
      <c r="AH12602" s="1"/>
    </row>
    <row r="12603" ht="12.75" customHeight="1">
      <c r="A12603" s="17"/>
      <c r="B12603" s="1"/>
      <c r="C12603" s="1"/>
      <c r="D12603" s="150"/>
      <c r="E12603" s="150"/>
      <c r="F12603" s="75"/>
      <c r="G12603" s="67"/>
      <c r="H12603" s="68"/>
      <c r="I12603" s="76"/>
      <c r="J12603" s="67"/>
      <c r="K12603" s="1"/>
      <c r="L12603" s="77"/>
      <c r="M12603" s="79"/>
      <c r="N12603" s="1"/>
      <c r="O12603" s="1"/>
      <c r="P12603" s="1"/>
      <c r="Q12603" s="1"/>
      <c r="R12603" s="1"/>
      <c r="S12603" s="1"/>
      <c r="T12603" s="1"/>
      <c r="U12603" s="1"/>
      <c r="V12603" s="1"/>
      <c r="W12603" s="1"/>
      <c r="X12603" s="1"/>
      <c r="Y12603" s="1"/>
      <c r="Z12603" s="1"/>
      <c r="AA12603" s="1"/>
      <c r="AB12603" s="1"/>
      <c r="AC12603" s="1"/>
      <c r="AD12603" s="1"/>
      <c r="AE12603" s="1"/>
      <c r="AF12603" s="1"/>
      <c r="AG12603" s="1"/>
      <c r="AH12603" s="1"/>
    </row>
    <row r="12604" ht="12.75" customHeight="1">
      <c r="A12604" s="17"/>
      <c r="B12604" s="1"/>
      <c r="C12604" s="1"/>
      <c r="D12604" s="150"/>
      <c r="E12604" s="150"/>
      <c r="F12604" s="75"/>
      <c r="G12604" s="67"/>
      <c r="H12604" s="68"/>
      <c r="I12604" s="76"/>
      <c r="J12604" s="67"/>
      <c r="K12604" s="1"/>
      <c r="L12604" s="77"/>
      <c r="M12604" s="79"/>
      <c r="N12604" s="1"/>
      <c r="O12604" s="1"/>
      <c r="P12604" s="1"/>
      <c r="Q12604" s="1"/>
      <c r="R12604" s="1"/>
      <c r="S12604" s="1"/>
      <c r="T12604" s="1"/>
      <c r="U12604" s="1"/>
      <c r="V12604" s="1"/>
      <c r="W12604" s="1"/>
      <c r="X12604" s="1"/>
      <c r="Y12604" s="1"/>
      <c r="Z12604" s="1"/>
      <c r="AA12604" s="1"/>
      <c r="AB12604" s="1"/>
      <c r="AC12604" s="1"/>
      <c r="AD12604" s="1"/>
      <c r="AE12604" s="1"/>
      <c r="AF12604" s="1"/>
      <c r="AG12604" s="1"/>
      <c r="AH12604" s="1"/>
    </row>
    <row r="12605" ht="12.75" customHeight="1">
      <c r="A12605" s="17"/>
      <c r="B12605" s="1"/>
      <c r="C12605" s="1"/>
      <c r="D12605" s="150"/>
      <c r="E12605" s="150"/>
      <c r="F12605" s="75"/>
      <c r="G12605" s="67"/>
      <c r="H12605" s="68"/>
      <c r="I12605" s="76"/>
      <c r="J12605" s="67"/>
      <c r="K12605" s="1"/>
      <c r="L12605" s="77"/>
      <c r="M12605" s="79"/>
      <c r="N12605" s="1"/>
      <c r="O12605" s="1"/>
      <c r="P12605" s="1"/>
      <c r="Q12605" s="1"/>
      <c r="R12605" s="1"/>
      <c r="S12605" s="1"/>
      <c r="T12605" s="1"/>
      <c r="U12605" s="1"/>
      <c r="V12605" s="1"/>
      <c r="W12605" s="1"/>
      <c r="X12605" s="1"/>
      <c r="Y12605" s="1"/>
      <c r="Z12605" s="1"/>
      <c r="AA12605" s="1"/>
      <c r="AB12605" s="1"/>
      <c r="AC12605" s="1"/>
      <c r="AD12605" s="1"/>
      <c r="AE12605" s="1"/>
      <c r="AF12605" s="1"/>
      <c r="AG12605" s="1"/>
      <c r="AH12605" s="1"/>
    </row>
    <row r="12606" ht="12.75" customHeight="1">
      <c r="A12606" s="17"/>
      <c r="B12606" s="1"/>
      <c r="C12606" s="1"/>
      <c r="D12606" s="150"/>
      <c r="E12606" s="150"/>
      <c r="F12606" s="75"/>
      <c r="G12606" s="67"/>
      <c r="H12606" s="68"/>
      <c r="I12606" s="76"/>
      <c r="J12606" s="67"/>
      <c r="K12606" s="1"/>
      <c r="L12606" s="77"/>
      <c r="M12606" s="79"/>
      <c r="N12606" s="1"/>
      <c r="O12606" s="1"/>
      <c r="P12606" s="1"/>
      <c r="Q12606" s="1"/>
      <c r="R12606" s="1"/>
      <c r="S12606" s="1"/>
      <c r="T12606" s="1"/>
      <c r="U12606" s="1"/>
      <c r="V12606" s="1"/>
      <c r="W12606" s="1"/>
      <c r="X12606" s="1"/>
      <c r="Y12606" s="1"/>
      <c r="Z12606" s="1"/>
      <c r="AA12606" s="1"/>
      <c r="AB12606" s="1"/>
      <c r="AC12606" s="1"/>
      <c r="AD12606" s="1"/>
      <c r="AE12606" s="1"/>
      <c r="AF12606" s="1"/>
      <c r="AG12606" s="1"/>
      <c r="AH12606" s="1"/>
    </row>
    <row r="12607" ht="12.75" customHeight="1">
      <c r="A12607" s="17"/>
      <c r="B12607" s="1"/>
      <c r="C12607" s="1"/>
      <c r="D12607" s="150"/>
      <c r="E12607" s="150"/>
      <c r="F12607" s="75"/>
      <c r="G12607" s="67"/>
      <c r="H12607" s="68"/>
      <c r="I12607" s="76"/>
      <c r="J12607" s="67"/>
      <c r="K12607" s="1"/>
      <c r="L12607" s="77"/>
      <c r="M12607" s="79"/>
      <c r="N12607" s="1"/>
      <c r="O12607" s="1"/>
      <c r="P12607" s="1"/>
      <c r="Q12607" s="1"/>
      <c r="R12607" s="1"/>
      <c r="S12607" s="1"/>
      <c r="T12607" s="1"/>
      <c r="U12607" s="1"/>
      <c r="V12607" s="1"/>
      <c r="W12607" s="1"/>
      <c r="X12607" s="1"/>
      <c r="Y12607" s="1"/>
      <c r="Z12607" s="1"/>
      <c r="AA12607" s="1"/>
      <c r="AB12607" s="1"/>
      <c r="AC12607" s="1"/>
      <c r="AD12607" s="1"/>
      <c r="AE12607" s="1"/>
      <c r="AF12607" s="1"/>
      <c r="AG12607" s="1"/>
      <c r="AH12607" s="1"/>
    </row>
    <row r="12608" ht="12.75" customHeight="1">
      <c r="A12608" s="17"/>
      <c r="B12608" s="1"/>
      <c r="C12608" s="1"/>
      <c r="D12608" s="150"/>
      <c r="E12608" s="150"/>
      <c r="F12608" s="75"/>
      <c r="G12608" s="67"/>
      <c r="H12608" s="68"/>
      <c r="I12608" s="76"/>
      <c r="J12608" s="67"/>
      <c r="K12608" s="1"/>
      <c r="L12608" s="77"/>
      <c r="M12608" s="79"/>
      <c r="N12608" s="1"/>
      <c r="O12608" s="1"/>
      <c r="P12608" s="1"/>
      <c r="Q12608" s="1"/>
      <c r="R12608" s="1"/>
      <c r="S12608" s="1"/>
      <c r="T12608" s="1"/>
      <c r="U12608" s="1"/>
      <c r="V12608" s="1"/>
      <c r="W12608" s="1"/>
      <c r="X12608" s="1"/>
      <c r="Y12608" s="1"/>
      <c r="Z12608" s="1"/>
      <c r="AA12608" s="1"/>
      <c r="AB12608" s="1"/>
      <c r="AC12608" s="1"/>
      <c r="AD12608" s="1"/>
      <c r="AE12608" s="1"/>
      <c r="AF12608" s="1"/>
      <c r="AG12608" s="1"/>
      <c r="AH12608" s="1"/>
    </row>
    <row r="12609" ht="12.75" customHeight="1">
      <c r="A12609" s="17"/>
      <c r="B12609" s="1"/>
      <c r="C12609" s="1"/>
      <c r="D12609" s="150"/>
      <c r="E12609" s="150"/>
      <c r="F12609" s="75"/>
      <c r="G12609" s="67"/>
      <c r="H12609" s="68"/>
      <c r="I12609" s="76"/>
      <c r="J12609" s="67"/>
      <c r="K12609" s="1"/>
      <c r="L12609" s="77"/>
      <c r="M12609" s="79"/>
      <c r="N12609" s="1"/>
      <c r="O12609" s="1"/>
      <c r="P12609" s="1"/>
      <c r="Q12609" s="1"/>
      <c r="R12609" s="1"/>
      <c r="S12609" s="1"/>
      <c r="T12609" s="1"/>
      <c r="U12609" s="1"/>
      <c r="V12609" s="1"/>
      <c r="W12609" s="1"/>
      <c r="X12609" s="1"/>
      <c r="Y12609" s="1"/>
      <c r="Z12609" s="1"/>
      <c r="AA12609" s="1"/>
      <c r="AB12609" s="1"/>
      <c r="AC12609" s="1"/>
      <c r="AD12609" s="1"/>
      <c r="AE12609" s="1"/>
      <c r="AF12609" s="1"/>
      <c r="AG12609" s="1"/>
      <c r="AH12609" s="1"/>
    </row>
    <row r="12610" ht="12.75" customHeight="1">
      <c r="A12610" s="17"/>
      <c r="B12610" s="1"/>
      <c r="C12610" s="1"/>
      <c r="D12610" s="150"/>
      <c r="E12610" s="150"/>
      <c r="F12610" s="75"/>
      <c r="G12610" s="67"/>
      <c r="H12610" s="68"/>
      <c r="I12610" s="76"/>
      <c r="J12610" s="67"/>
      <c r="K12610" s="1"/>
      <c r="L12610" s="77"/>
      <c r="M12610" s="79"/>
      <c r="N12610" s="1"/>
      <c r="O12610" s="1"/>
      <c r="P12610" s="1"/>
      <c r="Q12610" s="1"/>
      <c r="R12610" s="1"/>
      <c r="S12610" s="1"/>
      <c r="T12610" s="1"/>
      <c r="U12610" s="1"/>
      <c r="V12610" s="1"/>
      <c r="W12610" s="1"/>
      <c r="X12610" s="1"/>
      <c r="Y12610" s="1"/>
      <c r="Z12610" s="1"/>
      <c r="AA12610" s="1"/>
      <c r="AB12610" s="1"/>
      <c r="AC12610" s="1"/>
      <c r="AD12610" s="1"/>
      <c r="AE12610" s="1"/>
      <c r="AF12610" s="1"/>
      <c r="AG12610" s="1"/>
      <c r="AH12610" s="1"/>
    </row>
    <row r="12611" ht="12.75" customHeight="1">
      <c r="A12611" s="17"/>
      <c r="B12611" s="1"/>
      <c r="C12611" s="1"/>
      <c r="D12611" s="150"/>
      <c r="E12611" s="150"/>
      <c r="F12611" s="75"/>
      <c r="G12611" s="67"/>
      <c r="H12611" s="68"/>
      <c r="I12611" s="76"/>
      <c r="J12611" s="67"/>
      <c r="K12611" s="1"/>
      <c r="L12611" s="77"/>
      <c r="M12611" s="79"/>
      <c r="N12611" s="1"/>
      <c r="O12611" s="1"/>
      <c r="P12611" s="1"/>
      <c r="Q12611" s="1"/>
      <c r="R12611" s="1"/>
      <c r="S12611" s="1"/>
      <c r="T12611" s="1"/>
      <c r="U12611" s="1"/>
      <c r="V12611" s="1"/>
      <c r="W12611" s="1"/>
      <c r="X12611" s="1"/>
      <c r="Y12611" s="1"/>
      <c r="Z12611" s="1"/>
      <c r="AA12611" s="1"/>
      <c r="AB12611" s="1"/>
      <c r="AC12611" s="1"/>
      <c r="AD12611" s="1"/>
      <c r="AE12611" s="1"/>
      <c r="AF12611" s="1"/>
      <c r="AG12611" s="1"/>
      <c r="AH12611" s="1"/>
    </row>
    <row r="12612" ht="12.75" customHeight="1">
      <c r="A12612" s="17"/>
      <c r="B12612" s="1"/>
      <c r="C12612" s="1"/>
      <c r="D12612" s="150"/>
      <c r="E12612" s="150"/>
      <c r="F12612" s="75"/>
      <c r="G12612" s="67"/>
      <c r="H12612" s="68"/>
      <c r="I12612" s="76"/>
      <c r="J12612" s="67"/>
      <c r="K12612" s="1"/>
      <c r="L12612" s="77"/>
      <c r="M12612" s="79"/>
      <c r="N12612" s="1"/>
      <c r="O12612" s="1"/>
      <c r="P12612" s="1"/>
      <c r="Q12612" s="1"/>
      <c r="R12612" s="1"/>
      <c r="S12612" s="1"/>
      <c r="T12612" s="1"/>
      <c r="U12612" s="1"/>
      <c r="V12612" s="1"/>
      <c r="W12612" s="1"/>
      <c r="X12612" s="1"/>
      <c r="Y12612" s="1"/>
      <c r="Z12612" s="1"/>
      <c r="AA12612" s="1"/>
      <c r="AB12612" s="1"/>
      <c r="AC12612" s="1"/>
      <c r="AD12612" s="1"/>
      <c r="AE12612" s="1"/>
      <c r="AF12612" s="1"/>
      <c r="AG12612" s="1"/>
      <c r="AH12612" s="1"/>
    </row>
    <row r="12613" ht="12.75" customHeight="1">
      <c r="A12613" s="17"/>
      <c r="B12613" s="1"/>
      <c r="C12613" s="1"/>
      <c r="D12613" s="150"/>
      <c r="E12613" s="150"/>
      <c r="F12613" s="75"/>
      <c r="G12613" s="67"/>
      <c r="H12613" s="68"/>
      <c r="I12613" s="76"/>
      <c r="J12613" s="67"/>
      <c r="K12613" s="1"/>
      <c r="L12613" s="77"/>
      <c r="M12613" s="79"/>
      <c r="N12613" s="1"/>
      <c r="O12613" s="1"/>
      <c r="P12613" s="1"/>
      <c r="Q12613" s="1"/>
      <c r="R12613" s="1"/>
      <c r="S12613" s="1"/>
      <c r="T12613" s="1"/>
      <c r="U12613" s="1"/>
      <c r="V12613" s="1"/>
      <c r="W12613" s="1"/>
      <c r="X12613" s="1"/>
      <c r="Y12613" s="1"/>
      <c r="Z12613" s="1"/>
      <c r="AA12613" s="1"/>
      <c r="AB12613" s="1"/>
      <c r="AC12613" s="1"/>
      <c r="AD12613" s="1"/>
      <c r="AE12613" s="1"/>
      <c r="AF12613" s="1"/>
      <c r="AG12613" s="1"/>
      <c r="AH12613" s="1"/>
    </row>
    <row r="12614" ht="12.75" customHeight="1">
      <c r="A12614" s="17"/>
      <c r="B12614" s="1"/>
      <c r="C12614" s="1"/>
      <c r="D12614" s="150"/>
      <c r="E12614" s="150"/>
      <c r="F12614" s="75"/>
      <c r="G12614" s="67"/>
      <c r="H12614" s="68"/>
      <c r="I12614" s="76"/>
      <c r="J12614" s="67"/>
      <c r="K12614" s="1"/>
      <c r="L12614" s="77"/>
      <c r="M12614" s="79"/>
      <c r="N12614" s="1"/>
      <c r="O12614" s="1"/>
      <c r="P12614" s="1"/>
      <c r="Q12614" s="1"/>
      <c r="R12614" s="1"/>
      <c r="S12614" s="1"/>
      <c r="T12614" s="1"/>
      <c r="U12614" s="1"/>
      <c r="V12614" s="1"/>
      <c r="W12614" s="1"/>
      <c r="X12614" s="1"/>
      <c r="Y12614" s="1"/>
      <c r="Z12614" s="1"/>
      <c r="AA12614" s="1"/>
      <c r="AB12614" s="1"/>
      <c r="AC12614" s="1"/>
      <c r="AD12614" s="1"/>
      <c r="AE12614" s="1"/>
      <c r="AF12614" s="1"/>
      <c r="AG12614" s="1"/>
      <c r="AH12614" s="1"/>
    </row>
    <row r="12615" ht="12.75" customHeight="1">
      <c r="A12615" s="17"/>
      <c r="B12615" s="1"/>
      <c r="C12615" s="1"/>
      <c r="D12615" s="150"/>
      <c r="E12615" s="150"/>
      <c r="F12615" s="75"/>
      <c r="G12615" s="67"/>
      <c r="H12615" s="68"/>
      <c r="I12615" s="76"/>
      <c r="J12615" s="67"/>
      <c r="K12615" s="1"/>
      <c r="L12615" s="77"/>
      <c r="M12615" s="79"/>
      <c r="N12615" s="1"/>
      <c r="O12615" s="1"/>
      <c r="P12615" s="1"/>
      <c r="Q12615" s="1"/>
      <c r="R12615" s="1"/>
      <c r="S12615" s="1"/>
      <c r="T12615" s="1"/>
      <c r="U12615" s="1"/>
      <c r="V12615" s="1"/>
      <c r="W12615" s="1"/>
      <c r="X12615" s="1"/>
      <c r="Y12615" s="1"/>
      <c r="Z12615" s="1"/>
      <c r="AA12615" s="1"/>
      <c r="AB12615" s="1"/>
      <c r="AC12615" s="1"/>
      <c r="AD12615" s="1"/>
      <c r="AE12615" s="1"/>
      <c r="AF12615" s="1"/>
      <c r="AG12615" s="1"/>
      <c r="AH12615" s="1"/>
    </row>
    <row r="12616" ht="12.75" customHeight="1">
      <c r="A12616" s="17"/>
      <c r="B12616" s="1"/>
      <c r="C12616" s="1"/>
      <c r="D12616" s="150"/>
      <c r="E12616" s="150"/>
      <c r="F12616" s="75"/>
      <c r="G12616" s="67"/>
      <c r="H12616" s="68"/>
      <c r="I12616" s="76"/>
      <c r="J12616" s="67"/>
      <c r="K12616" s="1"/>
      <c r="L12616" s="77"/>
      <c r="M12616" s="79"/>
      <c r="N12616" s="1"/>
      <c r="O12616" s="1"/>
      <c r="P12616" s="1"/>
      <c r="Q12616" s="1"/>
      <c r="R12616" s="1"/>
      <c r="S12616" s="1"/>
      <c r="T12616" s="1"/>
      <c r="U12616" s="1"/>
      <c r="V12616" s="1"/>
      <c r="W12616" s="1"/>
      <c r="X12616" s="1"/>
      <c r="Y12616" s="1"/>
      <c r="Z12616" s="1"/>
      <c r="AA12616" s="1"/>
      <c r="AB12616" s="1"/>
      <c r="AC12616" s="1"/>
      <c r="AD12616" s="1"/>
      <c r="AE12616" s="1"/>
      <c r="AF12616" s="1"/>
      <c r="AG12616" s="1"/>
      <c r="AH12616" s="1"/>
    </row>
    <row r="12617" ht="12.75" customHeight="1">
      <c r="A12617" s="17"/>
      <c r="B12617" s="1"/>
      <c r="C12617" s="1"/>
      <c r="D12617" s="150"/>
      <c r="E12617" s="150"/>
      <c r="F12617" s="75"/>
      <c r="G12617" s="67"/>
      <c r="H12617" s="68"/>
      <c r="I12617" s="76"/>
      <c r="J12617" s="67"/>
      <c r="K12617" s="1"/>
      <c r="L12617" s="77"/>
      <c r="M12617" s="79"/>
      <c r="N12617" s="1"/>
      <c r="O12617" s="1"/>
      <c r="P12617" s="1"/>
      <c r="Q12617" s="1"/>
      <c r="R12617" s="1"/>
      <c r="S12617" s="1"/>
      <c r="T12617" s="1"/>
      <c r="U12617" s="1"/>
      <c r="V12617" s="1"/>
      <c r="W12617" s="1"/>
      <c r="X12617" s="1"/>
      <c r="Y12617" s="1"/>
      <c r="Z12617" s="1"/>
      <c r="AA12617" s="1"/>
      <c r="AB12617" s="1"/>
      <c r="AC12617" s="1"/>
      <c r="AD12617" s="1"/>
      <c r="AE12617" s="1"/>
      <c r="AF12617" s="1"/>
      <c r="AG12617" s="1"/>
      <c r="AH12617" s="1"/>
    </row>
    <row r="12618" ht="12.75" customHeight="1">
      <c r="A12618" s="17"/>
      <c r="B12618" s="1"/>
      <c r="C12618" s="1"/>
      <c r="D12618" s="150"/>
      <c r="E12618" s="150"/>
      <c r="F12618" s="75"/>
      <c r="G12618" s="67"/>
      <c r="H12618" s="68"/>
      <c r="I12618" s="76"/>
      <c r="J12618" s="67"/>
      <c r="K12618" s="1"/>
      <c r="L12618" s="77"/>
      <c r="M12618" s="79"/>
      <c r="N12618" s="1"/>
      <c r="O12618" s="1"/>
      <c r="P12618" s="1"/>
      <c r="Q12618" s="1"/>
      <c r="R12618" s="1"/>
      <c r="S12618" s="1"/>
      <c r="T12618" s="1"/>
      <c r="U12618" s="1"/>
      <c r="V12618" s="1"/>
      <c r="W12618" s="1"/>
      <c r="X12618" s="1"/>
      <c r="Y12618" s="1"/>
      <c r="Z12618" s="1"/>
      <c r="AA12618" s="1"/>
      <c r="AB12618" s="1"/>
      <c r="AC12618" s="1"/>
      <c r="AD12618" s="1"/>
      <c r="AE12618" s="1"/>
      <c r="AF12618" s="1"/>
      <c r="AG12618" s="1"/>
      <c r="AH12618" s="1"/>
    </row>
    <row r="12619" ht="12.75" customHeight="1">
      <c r="A12619" s="17"/>
      <c r="B12619" s="1"/>
      <c r="C12619" s="1"/>
      <c r="D12619" s="150"/>
      <c r="E12619" s="150"/>
      <c r="F12619" s="75"/>
      <c r="G12619" s="67"/>
      <c r="H12619" s="68"/>
      <c r="I12619" s="76"/>
      <c r="J12619" s="67"/>
      <c r="K12619" s="1"/>
      <c r="L12619" s="77"/>
      <c r="M12619" s="79"/>
      <c r="N12619" s="1"/>
      <c r="O12619" s="1"/>
      <c r="P12619" s="1"/>
      <c r="Q12619" s="1"/>
      <c r="R12619" s="1"/>
      <c r="S12619" s="1"/>
      <c r="T12619" s="1"/>
      <c r="U12619" s="1"/>
      <c r="V12619" s="1"/>
      <c r="W12619" s="1"/>
      <c r="X12619" s="1"/>
      <c r="Y12619" s="1"/>
      <c r="Z12619" s="1"/>
      <c r="AA12619" s="1"/>
      <c r="AB12619" s="1"/>
      <c r="AC12619" s="1"/>
      <c r="AD12619" s="1"/>
      <c r="AE12619" s="1"/>
      <c r="AF12619" s="1"/>
      <c r="AG12619" s="1"/>
      <c r="AH12619" s="1"/>
    </row>
    <row r="12620" ht="12.75" customHeight="1">
      <c r="A12620" s="17"/>
      <c r="B12620" s="1"/>
      <c r="C12620" s="1"/>
      <c r="D12620" s="150"/>
      <c r="E12620" s="150"/>
      <c r="F12620" s="75"/>
      <c r="G12620" s="67"/>
      <c r="H12620" s="68"/>
      <c r="I12620" s="76"/>
      <c r="J12620" s="67"/>
      <c r="K12620" s="1"/>
      <c r="L12620" s="77"/>
      <c r="M12620" s="79"/>
      <c r="N12620" s="1"/>
      <c r="O12620" s="1"/>
      <c r="P12620" s="1"/>
      <c r="Q12620" s="1"/>
      <c r="R12620" s="1"/>
      <c r="S12620" s="1"/>
      <c r="T12620" s="1"/>
      <c r="U12620" s="1"/>
      <c r="V12620" s="1"/>
      <c r="W12620" s="1"/>
      <c r="X12620" s="1"/>
      <c r="Y12620" s="1"/>
      <c r="Z12620" s="1"/>
      <c r="AA12620" s="1"/>
      <c r="AB12620" s="1"/>
      <c r="AC12620" s="1"/>
      <c r="AD12620" s="1"/>
      <c r="AE12620" s="1"/>
      <c r="AF12620" s="1"/>
      <c r="AG12620" s="1"/>
      <c r="AH12620" s="1"/>
    </row>
    <row r="12621" ht="12.75" customHeight="1">
      <c r="A12621" s="17"/>
      <c r="B12621" s="1"/>
      <c r="C12621" s="1"/>
      <c r="D12621" s="150"/>
      <c r="E12621" s="150"/>
      <c r="F12621" s="75"/>
      <c r="G12621" s="67"/>
      <c r="H12621" s="68"/>
      <c r="I12621" s="76"/>
      <c r="J12621" s="67"/>
      <c r="K12621" s="1"/>
      <c r="L12621" s="77"/>
      <c r="M12621" s="79"/>
      <c r="N12621" s="1"/>
      <c r="O12621" s="1"/>
      <c r="P12621" s="1"/>
      <c r="Q12621" s="1"/>
      <c r="R12621" s="1"/>
      <c r="S12621" s="1"/>
      <c r="T12621" s="1"/>
      <c r="U12621" s="1"/>
      <c r="V12621" s="1"/>
      <c r="W12621" s="1"/>
      <c r="X12621" s="1"/>
      <c r="Y12621" s="1"/>
      <c r="Z12621" s="1"/>
      <c r="AA12621" s="1"/>
      <c r="AB12621" s="1"/>
      <c r="AC12621" s="1"/>
      <c r="AD12621" s="1"/>
      <c r="AE12621" s="1"/>
      <c r="AF12621" s="1"/>
      <c r="AG12621" s="1"/>
      <c r="AH12621" s="1"/>
    </row>
    <row r="12622" ht="12.75" customHeight="1">
      <c r="A12622" s="17"/>
      <c r="B12622" s="1"/>
      <c r="C12622" s="1"/>
      <c r="D12622" s="150"/>
      <c r="E12622" s="150"/>
      <c r="F12622" s="75"/>
      <c r="G12622" s="67"/>
      <c r="H12622" s="68"/>
      <c r="I12622" s="76"/>
      <c r="J12622" s="67"/>
      <c r="K12622" s="1"/>
      <c r="L12622" s="77"/>
      <c r="M12622" s="79"/>
      <c r="N12622" s="1"/>
      <c r="O12622" s="1"/>
      <c r="P12622" s="1"/>
      <c r="Q12622" s="1"/>
      <c r="R12622" s="1"/>
      <c r="S12622" s="1"/>
      <c r="T12622" s="1"/>
      <c r="U12622" s="1"/>
      <c r="V12622" s="1"/>
      <c r="W12622" s="1"/>
      <c r="X12622" s="1"/>
      <c r="Y12622" s="1"/>
      <c r="Z12622" s="1"/>
      <c r="AA12622" s="1"/>
      <c r="AB12622" s="1"/>
      <c r="AC12622" s="1"/>
      <c r="AD12622" s="1"/>
      <c r="AE12622" s="1"/>
      <c r="AF12622" s="1"/>
      <c r="AG12622" s="1"/>
      <c r="AH12622" s="1"/>
    </row>
    <row r="12623" ht="12.75" customHeight="1">
      <c r="A12623" s="17"/>
      <c r="B12623" s="1"/>
      <c r="C12623" s="1"/>
      <c r="D12623" s="150"/>
      <c r="E12623" s="150"/>
      <c r="F12623" s="75"/>
      <c r="G12623" s="67"/>
      <c r="H12623" s="68"/>
      <c r="I12623" s="76"/>
      <c r="J12623" s="67"/>
      <c r="K12623" s="1"/>
      <c r="L12623" s="77"/>
      <c r="M12623" s="79"/>
      <c r="N12623" s="1"/>
      <c r="O12623" s="1"/>
      <c r="P12623" s="1"/>
      <c r="Q12623" s="1"/>
      <c r="R12623" s="1"/>
      <c r="S12623" s="1"/>
      <c r="T12623" s="1"/>
      <c r="U12623" s="1"/>
      <c r="V12623" s="1"/>
      <c r="W12623" s="1"/>
      <c r="X12623" s="1"/>
      <c r="Y12623" s="1"/>
      <c r="Z12623" s="1"/>
      <c r="AA12623" s="1"/>
      <c r="AB12623" s="1"/>
      <c r="AC12623" s="1"/>
      <c r="AD12623" s="1"/>
      <c r="AE12623" s="1"/>
      <c r="AF12623" s="1"/>
      <c r="AG12623" s="1"/>
      <c r="AH12623" s="1"/>
    </row>
    <row r="12624" ht="12.75" customHeight="1">
      <c r="A12624" s="17"/>
      <c r="B12624" s="1"/>
      <c r="C12624" s="1"/>
      <c r="D12624" s="150"/>
      <c r="E12624" s="150"/>
      <c r="F12624" s="75"/>
      <c r="G12624" s="67"/>
      <c r="H12624" s="68"/>
      <c r="I12624" s="76"/>
      <c r="J12624" s="67"/>
      <c r="K12624" s="1"/>
      <c r="L12624" s="77"/>
      <c r="M12624" s="79"/>
      <c r="N12624" s="1"/>
      <c r="O12624" s="1"/>
      <c r="P12624" s="1"/>
      <c r="Q12624" s="1"/>
      <c r="R12624" s="1"/>
      <c r="S12624" s="1"/>
      <c r="T12624" s="1"/>
      <c r="U12624" s="1"/>
      <c r="V12624" s="1"/>
      <c r="W12624" s="1"/>
      <c r="X12624" s="1"/>
      <c r="Y12624" s="1"/>
      <c r="Z12624" s="1"/>
      <c r="AA12624" s="1"/>
      <c r="AB12624" s="1"/>
      <c r="AC12624" s="1"/>
      <c r="AD12624" s="1"/>
      <c r="AE12624" s="1"/>
      <c r="AF12624" s="1"/>
      <c r="AG12624" s="1"/>
      <c r="AH12624" s="1"/>
    </row>
    <row r="12625" ht="12.75" customHeight="1">
      <c r="A12625" s="17"/>
      <c r="B12625" s="1"/>
      <c r="C12625" s="1"/>
      <c r="D12625" s="150"/>
      <c r="E12625" s="150"/>
      <c r="F12625" s="75"/>
      <c r="G12625" s="67"/>
      <c r="H12625" s="68"/>
      <c r="I12625" s="76"/>
      <c r="J12625" s="67"/>
      <c r="K12625" s="1"/>
      <c r="L12625" s="77"/>
      <c r="M12625" s="79"/>
      <c r="N12625" s="1"/>
      <c r="O12625" s="1"/>
      <c r="P12625" s="1"/>
      <c r="Q12625" s="1"/>
      <c r="R12625" s="1"/>
      <c r="S12625" s="1"/>
      <c r="T12625" s="1"/>
      <c r="U12625" s="1"/>
      <c r="V12625" s="1"/>
      <c r="W12625" s="1"/>
      <c r="X12625" s="1"/>
      <c r="Y12625" s="1"/>
      <c r="Z12625" s="1"/>
      <c r="AA12625" s="1"/>
      <c r="AB12625" s="1"/>
      <c r="AC12625" s="1"/>
      <c r="AD12625" s="1"/>
      <c r="AE12625" s="1"/>
      <c r="AF12625" s="1"/>
      <c r="AG12625" s="1"/>
      <c r="AH12625" s="1"/>
    </row>
    <row r="12626" ht="12.75" customHeight="1">
      <c r="A12626" s="17"/>
      <c r="B12626" s="1"/>
      <c r="C12626" s="1"/>
      <c r="D12626" s="150"/>
      <c r="E12626" s="150"/>
      <c r="F12626" s="75"/>
      <c r="G12626" s="67"/>
      <c r="H12626" s="68"/>
      <c r="I12626" s="76"/>
      <c r="J12626" s="67"/>
      <c r="K12626" s="1"/>
      <c r="L12626" s="77"/>
      <c r="M12626" s="79"/>
      <c r="N12626" s="1"/>
      <c r="O12626" s="1"/>
      <c r="P12626" s="1"/>
      <c r="Q12626" s="1"/>
      <c r="R12626" s="1"/>
      <c r="S12626" s="1"/>
      <c r="T12626" s="1"/>
      <c r="U12626" s="1"/>
      <c r="V12626" s="1"/>
      <c r="W12626" s="1"/>
      <c r="X12626" s="1"/>
      <c r="Y12626" s="1"/>
      <c r="Z12626" s="1"/>
      <c r="AA12626" s="1"/>
      <c r="AB12626" s="1"/>
      <c r="AC12626" s="1"/>
      <c r="AD12626" s="1"/>
      <c r="AE12626" s="1"/>
      <c r="AF12626" s="1"/>
      <c r="AG12626" s="1"/>
      <c r="AH12626" s="1"/>
    </row>
    <row r="12627" ht="12.75" customHeight="1">
      <c r="A12627" s="17"/>
      <c r="B12627" s="1"/>
      <c r="C12627" s="1"/>
      <c r="D12627" s="150"/>
      <c r="E12627" s="150"/>
      <c r="F12627" s="75"/>
      <c r="G12627" s="67"/>
      <c r="H12627" s="68"/>
      <c r="I12627" s="76"/>
      <c r="J12627" s="67"/>
      <c r="K12627" s="1"/>
      <c r="L12627" s="77"/>
      <c r="M12627" s="79"/>
      <c r="N12627" s="1"/>
      <c r="O12627" s="1"/>
      <c r="P12627" s="1"/>
      <c r="Q12627" s="1"/>
      <c r="R12627" s="1"/>
      <c r="S12627" s="1"/>
      <c r="T12627" s="1"/>
      <c r="U12627" s="1"/>
      <c r="V12627" s="1"/>
      <c r="W12627" s="1"/>
      <c r="X12627" s="1"/>
      <c r="Y12627" s="1"/>
      <c r="Z12627" s="1"/>
      <c r="AA12627" s="1"/>
      <c r="AB12627" s="1"/>
      <c r="AC12627" s="1"/>
      <c r="AD12627" s="1"/>
      <c r="AE12627" s="1"/>
      <c r="AF12627" s="1"/>
      <c r="AG12627" s="1"/>
      <c r="AH12627" s="1"/>
    </row>
    <row r="12628" ht="12.75" customHeight="1">
      <c r="A12628" s="17"/>
      <c r="B12628" s="1"/>
      <c r="C12628" s="1"/>
      <c r="D12628" s="150"/>
      <c r="E12628" s="150"/>
      <c r="F12628" s="75"/>
      <c r="G12628" s="67"/>
      <c r="H12628" s="68"/>
      <c r="I12628" s="76"/>
      <c r="J12628" s="67"/>
      <c r="K12628" s="1"/>
      <c r="L12628" s="77"/>
      <c r="M12628" s="79"/>
      <c r="N12628" s="1"/>
      <c r="O12628" s="1"/>
      <c r="P12628" s="1"/>
      <c r="Q12628" s="1"/>
      <c r="R12628" s="1"/>
      <c r="S12628" s="1"/>
      <c r="T12628" s="1"/>
      <c r="U12628" s="1"/>
      <c r="V12628" s="1"/>
      <c r="W12628" s="1"/>
      <c r="X12628" s="1"/>
      <c r="Y12628" s="1"/>
      <c r="Z12628" s="1"/>
      <c r="AA12628" s="1"/>
      <c r="AB12628" s="1"/>
      <c r="AC12628" s="1"/>
      <c r="AD12628" s="1"/>
      <c r="AE12628" s="1"/>
      <c r="AF12628" s="1"/>
      <c r="AG12628" s="1"/>
      <c r="AH12628" s="1"/>
    </row>
    <row r="12629" ht="12.75" customHeight="1">
      <c r="A12629" s="17"/>
      <c r="B12629" s="1"/>
      <c r="C12629" s="1"/>
      <c r="D12629" s="150"/>
      <c r="E12629" s="150"/>
      <c r="F12629" s="75"/>
      <c r="G12629" s="67"/>
      <c r="H12629" s="68"/>
      <c r="I12629" s="76"/>
      <c r="J12629" s="67"/>
      <c r="K12629" s="1"/>
      <c r="L12629" s="77"/>
      <c r="M12629" s="79"/>
      <c r="N12629" s="1"/>
      <c r="O12629" s="1"/>
      <c r="P12629" s="1"/>
      <c r="Q12629" s="1"/>
      <c r="R12629" s="1"/>
      <c r="S12629" s="1"/>
      <c r="T12629" s="1"/>
      <c r="U12629" s="1"/>
      <c r="V12629" s="1"/>
      <c r="W12629" s="1"/>
      <c r="X12629" s="1"/>
      <c r="Y12629" s="1"/>
      <c r="Z12629" s="1"/>
      <c r="AA12629" s="1"/>
      <c r="AB12629" s="1"/>
      <c r="AC12629" s="1"/>
      <c r="AD12629" s="1"/>
      <c r="AE12629" s="1"/>
      <c r="AF12629" s="1"/>
      <c r="AG12629" s="1"/>
      <c r="AH12629" s="1"/>
    </row>
    <row r="12630" ht="12.75" customHeight="1">
      <c r="A12630" s="17"/>
      <c r="B12630" s="1"/>
      <c r="C12630" s="1"/>
      <c r="D12630" s="150"/>
      <c r="E12630" s="150"/>
      <c r="F12630" s="75"/>
      <c r="G12630" s="67"/>
      <c r="H12630" s="68"/>
      <c r="I12630" s="76"/>
      <c r="J12630" s="67"/>
      <c r="K12630" s="1"/>
      <c r="L12630" s="77"/>
      <c r="M12630" s="79"/>
      <c r="N12630" s="1"/>
      <c r="O12630" s="1"/>
      <c r="P12630" s="1"/>
      <c r="Q12630" s="1"/>
      <c r="R12630" s="1"/>
      <c r="S12630" s="1"/>
      <c r="T12630" s="1"/>
      <c r="U12630" s="1"/>
      <c r="V12630" s="1"/>
      <c r="W12630" s="1"/>
      <c r="X12630" s="1"/>
      <c r="Y12630" s="1"/>
      <c r="Z12630" s="1"/>
      <c r="AA12630" s="1"/>
      <c r="AB12630" s="1"/>
      <c r="AC12630" s="1"/>
      <c r="AD12630" s="1"/>
      <c r="AE12630" s="1"/>
      <c r="AF12630" s="1"/>
      <c r="AG12630" s="1"/>
      <c r="AH12630" s="1"/>
    </row>
    <row r="12631" ht="12.75" customHeight="1">
      <c r="A12631" s="17"/>
      <c r="B12631" s="1"/>
      <c r="C12631" s="1"/>
      <c r="D12631" s="150"/>
      <c r="E12631" s="150"/>
      <c r="F12631" s="75"/>
      <c r="G12631" s="67"/>
      <c r="H12631" s="68"/>
      <c r="I12631" s="76"/>
      <c r="J12631" s="67"/>
      <c r="K12631" s="1"/>
      <c r="L12631" s="77"/>
      <c r="M12631" s="79"/>
      <c r="N12631" s="1"/>
      <c r="O12631" s="1"/>
      <c r="P12631" s="1"/>
      <c r="Q12631" s="1"/>
      <c r="R12631" s="1"/>
      <c r="S12631" s="1"/>
      <c r="T12631" s="1"/>
      <c r="U12631" s="1"/>
      <c r="V12631" s="1"/>
      <c r="W12631" s="1"/>
      <c r="X12631" s="1"/>
      <c r="Y12631" s="1"/>
      <c r="Z12631" s="1"/>
      <c r="AA12631" s="1"/>
      <c r="AB12631" s="1"/>
      <c r="AC12631" s="1"/>
      <c r="AD12631" s="1"/>
      <c r="AE12631" s="1"/>
      <c r="AF12631" s="1"/>
      <c r="AG12631" s="1"/>
      <c r="AH12631" s="1"/>
    </row>
    <row r="12632" ht="12.75" customHeight="1">
      <c r="A12632" s="17"/>
      <c r="B12632" s="1"/>
      <c r="C12632" s="1"/>
      <c r="D12632" s="150"/>
      <c r="E12632" s="150"/>
      <c r="F12632" s="75"/>
      <c r="G12632" s="67"/>
      <c r="H12632" s="68"/>
      <c r="I12632" s="76"/>
      <c r="J12632" s="67"/>
      <c r="K12632" s="1"/>
      <c r="L12632" s="77"/>
      <c r="M12632" s="79"/>
      <c r="N12632" s="1"/>
      <c r="O12632" s="1"/>
      <c r="P12632" s="1"/>
      <c r="Q12632" s="1"/>
      <c r="R12632" s="1"/>
      <c r="S12632" s="1"/>
      <c r="T12632" s="1"/>
      <c r="U12632" s="1"/>
      <c r="V12632" s="1"/>
      <c r="W12632" s="1"/>
      <c r="X12632" s="1"/>
      <c r="Y12632" s="1"/>
      <c r="Z12632" s="1"/>
      <c r="AA12632" s="1"/>
      <c r="AB12632" s="1"/>
      <c r="AC12632" s="1"/>
      <c r="AD12632" s="1"/>
      <c r="AE12632" s="1"/>
      <c r="AF12632" s="1"/>
      <c r="AG12632" s="1"/>
      <c r="AH12632" s="1"/>
    </row>
    <row r="12633" ht="12.75" customHeight="1">
      <c r="A12633" s="17"/>
      <c r="B12633" s="1"/>
      <c r="C12633" s="1"/>
      <c r="D12633" s="150"/>
      <c r="E12633" s="150"/>
      <c r="F12633" s="75"/>
      <c r="G12633" s="67"/>
      <c r="H12633" s="68"/>
      <c r="I12633" s="76"/>
      <c r="J12633" s="67"/>
      <c r="K12633" s="1"/>
      <c r="L12633" s="77"/>
      <c r="M12633" s="79"/>
      <c r="N12633" s="1"/>
      <c r="O12633" s="1"/>
      <c r="P12633" s="1"/>
      <c r="Q12633" s="1"/>
      <c r="R12633" s="1"/>
      <c r="S12633" s="1"/>
      <c r="T12633" s="1"/>
      <c r="U12633" s="1"/>
      <c r="V12633" s="1"/>
      <c r="W12633" s="1"/>
      <c r="X12633" s="1"/>
      <c r="Y12633" s="1"/>
      <c r="Z12633" s="1"/>
      <c r="AA12633" s="1"/>
      <c r="AB12633" s="1"/>
      <c r="AC12633" s="1"/>
      <c r="AD12633" s="1"/>
      <c r="AE12633" s="1"/>
      <c r="AF12633" s="1"/>
      <c r="AG12633" s="1"/>
      <c r="AH12633" s="1"/>
    </row>
    <row r="12634" ht="12.75" customHeight="1">
      <c r="A12634" s="17"/>
      <c r="B12634" s="1"/>
      <c r="C12634" s="1"/>
      <c r="D12634" s="150"/>
      <c r="E12634" s="150"/>
      <c r="F12634" s="75"/>
      <c r="G12634" s="67"/>
      <c r="H12634" s="68"/>
      <c r="I12634" s="76"/>
      <c r="J12634" s="67"/>
      <c r="K12634" s="1"/>
      <c r="L12634" s="77"/>
      <c r="M12634" s="79"/>
      <c r="N12634" s="1"/>
      <c r="O12634" s="1"/>
      <c r="P12634" s="1"/>
      <c r="Q12634" s="1"/>
      <c r="R12634" s="1"/>
      <c r="S12634" s="1"/>
      <c r="T12634" s="1"/>
      <c r="U12634" s="1"/>
      <c r="V12634" s="1"/>
      <c r="W12634" s="1"/>
      <c r="X12634" s="1"/>
      <c r="Y12634" s="1"/>
      <c r="Z12634" s="1"/>
      <c r="AA12634" s="1"/>
      <c r="AB12634" s="1"/>
      <c r="AC12634" s="1"/>
      <c r="AD12634" s="1"/>
      <c r="AE12634" s="1"/>
      <c r="AF12634" s="1"/>
      <c r="AG12634" s="1"/>
      <c r="AH12634" s="1"/>
    </row>
    <row r="12635" ht="12.75" customHeight="1">
      <c r="A12635" s="17"/>
      <c r="B12635" s="1"/>
      <c r="C12635" s="1"/>
      <c r="D12635" s="150"/>
      <c r="E12635" s="150"/>
      <c r="F12635" s="75"/>
      <c r="G12635" s="67"/>
      <c r="H12635" s="68"/>
      <c r="I12635" s="76"/>
      <c r="J12635" s="67"/>
      <c r="K12635" s="1"/>
      <c r="L12635" s="77"/>
      <c r="M12635" s="79"/>
      <c r="N12635" s="1"/>
      <c r="O12635" s="1"/>
      <c r="P12635" s="1"/>
      <c r="Q12635" s="1"/>
      <c r="R12635" s="1"/>
      <c r="S12635" s="1"/>
      <c r="T12635" s="1"/>
      <c r="U12635" s="1"/>
      <c r="V12635" s="1"/>
      <c r="W12635" s="1"/>
      <c r="X12635" s="1"/>
      <c r="Y12635" s="1"/>
      <c r="Z12635" s="1"/>
      <c r="AA12635" s="1"/>
      <c r="AB12635" s="1"/>
      <c r="AC12635" s="1"/>
      <c r="AD12635" s="1"/>
      <c r="AE12635" s="1"/>
      <c r="AF12635" s="1"/>
      <c r="AG12635" s="1"/>
      <c r="AH12635" s="1"/>
    </row>
    <row r="12636" ht="12.75" customHeight="1">
      <c r="A12636" s="17"/>
      <c r="B12636" s="1"/>
      <c r="C12636" s="1"/>
      <c r="D12636" s="150"/>
      <c r="E12636" s="150"/>
      <c r="F12636" s="75"/>
      <c r="G12636" s="67"/>
      <c r="H12636" s="68"/>
      <c r="I12636" s="76"/>
      <c r="J12636" s="67"/>
      <c r="K12636" s="1"/>
      <c r="L12636" s="77"/>
      <c r="M12636" s="79"/>
      <c r="N12636" s="1"/>
      <c r="O12636" s="1"/>
      <c r="P12636" s="1"/>
      <c r="Q12636" s="1"/>
      <c r="R12636" s="1"/>
      <c r="S12636" s="1"/>
      <c r="T12636" s="1"/>
      <c r="U12636" s="1"/>
      <c r="V12636" s="1"/>
      <c r="W12636" s="1"/>
      <c r="X12636" s="1"/>
      <c r="Y12636" s="1"/>
      <c r="Z12636" s="1"/>
      <c r="AA12636" s="1"/>
      <c r="AB12636" s="1"/>
      <c r="AC12636" s="1"/>
      <c r="AD12636" s="1"/>
      <c r="AE12636" s="1"/>
      <c r="AF12636" s="1"/>
      <c r="AG12636" s="1"/>
      <c r="AH12636" s="1"/>
    </row>
    <row r="12637" ht="12.75" customHeight="1">
      <c r="A12637" s="17"/>
      <c r="B12637" s="1"/>
      <c r="C12637" s="1"/>
      <c r="D12637" s="150"/>
      <c r="E12637" s="150"/>
      <c r="F12637" s="75"/>
      <c r="G12637" s="67"/>
      <c r="H12637" s="68"/>
      <c r="I12637" s="76"/>
      <c r="J12637" s="67"/>
      <c r="K12637" s="1"/>
      <c r="L12637" s="77"/>
      <c r="M12637" s="79"/>
      <c r="N12637" s="1"/>
      <c r="O12637" s="1"/>
      <c r="P12637" s="1"/>
      <c r="Q12637" s="1"/>
      <c r="R12637" s="1"/>
      <c r="S12637" s="1"/>
      <c r="T12637" s="1"/>
      <c r="U12637" s="1"/>
      <c r="V12637" s="1"/>
      <c r="W12637" s="1"/>
      <c r="X12637" s="1"/>
      <c r="Y12637" s="1"/>
      <c r="Z12637" s="1"/>
      <c r="AA12637" s="1"/>
      <c r="AB12637" s="1"/>
      <c r="AC12637" s="1"/>
      <c r="AD12637" s="1"/>
      <c r="AE12637" s="1"/>
      <c r="AF12637" s="1"/>
      <c r="AG12637" s="1"/>
      <c r="AH12637" s="1"/>
    </row>
    <row r="12638" ht="12.75" customHeight="1">
      <c r="A12638" s="17"/>
      <c r="B12638" s="1"/>
      <c r="C12638" s="1"/>
      <c r="D12638" s="150"/>
      <c r="E12638" s="150"/>
      <c r="F12638" s="75"/>
      <c r="G12638" s="67"/>
      <c r="H12638" s="68"/>
      <c r="I12638" s="76"/>
      <c r="J12638" s="67"/>
      <c r="K12638" s="1"/>
      <c r="L12638" s="77"/>
      <c r="M12638" s="79"/>
      <c r="N12638" s="1"/>
      <c r="O12638" s="1"/>
      <c r="P12638" s="1"/>
      <c r="Q12638" s="1"/>
      <c r="R12638" s="1"/>
      <c r="S12638" s="1"/>
      <c r="T12638" s="1"/>
      <c r="U12638" s="1"/>
      <c r="V12638" s="1"/>
      <c r="W12638" s="1"/>
      <c r="X12638" s="1"/>
      <c r="Y12638" s="1"/>
      <c r="Z12638" s="1"/>
      <c r="AA12638" s="1"/>
      <c r="AB12638" s="1"/>
      <c r="AC12638" s="1"/>
      <c r="AD12638" s="1"/>
      <c r="AE12638" s="1"/>
      <c r="AF12638" s="1"/>
      <c r="AG12638" s="1"/>
      <c r="AH12638" s="1"/>
    </row>
    <row r="12639" ht="12.75" customHeight="1">
      <c r="A12639" s="17"/>
      <c r="B12639" s="1"/>
      <c r="C12639" s="1"/>
      <c r="D12639" s="150"/>
      <c r="E12639" s="150"/>
      <c r="F12639" s="75"/>
      <c r="G12639" s="67"/>
      <c r="H12639" s="68"/>
      <c r="I12639" s="76"/>
      <c r="J12639" s="67"/>
      <c r="K12639" s="1"/>
      <c r="L12639" s="77"/>
      <c r="M12639" s="79"/>
      <c r="N12639" s="1"/>
      <c r="O12639" s="1"/>
      <c r="P12639" s="1"/>
      <c r="Q12639" s="1"/>
      <c r="R12639" s="1"/>
      <c r="S12639" s="1"/>
      <c r="T12639" s="1"/>
      <c r="U12639" s="1"/>
      <c r="V12639" s="1"/>
      <c r="W12639" s="1"/>
      <c r="X12639" s="1"/>
      <c r="Y12639" s="1"/>
      <c r="Z12639" s="1"/>
      <c r="AA12639" s="1"/>
      <c r="AB12639" s="1"/>
      <c r="AC12639" s="1"/>
      <c r="AD12639" s="1"/>
      <c r="AE12639" s="1"/>
      <c r="AF12639" s="1"/>
      <c r="AG12639" s="1"/>
      <c r="AH12639" s="1"/>
    </row>
    <row r="12640" ht="12.75" customHeight="1">
      <c r="A12640" s="17"/>
      <c r="B12640" s="1"/>
      <c r="C12640" s="1"/>
      <c r="D12640" s="150"/>
      <c r="E12640" s="150"/>
      <c r="F12640" s="75"/>
      <c r="G12640" s="67"/>
      <c r="H12640" s="68"/>
      <c r="I12640" s="76"/>
      <c r="J12640" s="67"/>
      <c r="K12640" s="1"/>
      <c r="L12640" s="77"/>
      <c r="M12640" s="79"/>
      <c r="N12640" s="1"/>
      <c r="O12640" s="1"/>
      <c r="P12640" s="1"/>
      <c r="Q12640" s="1"/>
      <c r="R12640" s="1"/>
      <c r="S12640" s="1"/>
      <c r="T12640" s="1"/>
      <c r="U12640" s="1"/>
      <c r="V12640" s="1"/>
      <c r="W12640" s="1"/>
      <c r="X12640" s="1"/>
      <c r="Y12640" s="1"/>
      <c r="Z12640" s="1"/>
      <c r="AA12640" s="1"/>
      <c r="AB12640" s="1"/>
      <c r="AC12640" s="1"/>
      <c r="AD12640" s="1"/>
      <c r="AE12640" s="1"/>
      <c r="AF12640" s="1"/>
      <c r="AG12640" s="1"/>
      <c r="AH12640" s="1"/>
    </row>
    <row r="12641" ht="12.75" customHeight="1">
      <c r="A12641" s="17"/>
      <c r="B12641" s="1"/>
      <c r="C12641" s="1"/>
      <c r="D12641" s="150"/>
      <c r="E12641" s="150"/>
      <c r="F12641" s="75"/>
      <c r="G12641" s="67"/>
      <c r="H12641" s="68"/>
      <c r="I12641" s="76"/>
      <c r="J12641" s="67"/>
      <c r="K12641" s="1"/>
      <c r="L12641" s="77"/>
      <c r="M12641" s="79"/>
      <c r="N12641" s="1"/>
      <c r="O12641" s="1"/>
      <c r="P12641" s="1"/>
      <c r="Q12641" s="1"/>
      <c r="R12641" s="1"/>
      <c r="S12641" s="1"/>
      <c r="T12641" s="1"/>
      <c r="U12641" s="1"/>
      <c r="V12641" s="1"/>
      <c r="W12641" s="1"/>
      <c r="X12641" s="1"/>
      <c r="Y12641" s="1"/>
      <c r="Z12641" s="1"/>
      <c r="AA12641" s="1"/>
      <c r="AB12641" s="1"/>
      <c r="AC12641" s="1"/>
      <c r="AD12641" s="1"/>
      <c r="AE12641" s="1"/>
      <c r="AF12641" s="1"/>
      <c r="AG12641" s="1"/>
      <c r="AH12641" s="1"/>
    </row>
    <row r="12642" ht="12.75" customHeight="1">
      <c r="A12642" s="17"/>
      <c r="B12642" s="1"/>
      <c r="C12642" s="1"/>
      <c r="D12642" s="150"/>
      <c r="E12642" s="150"/>
      <c r="F12642" s="75"/>
      <c r="G12642" s="67"/>
      <c r="H12642" s="68"/>
      <c r="I12642" s="76"/>
      <c r="J12642" s="67"/>
      <c r="K12642" s="1"/>
      <c r="L12642" s="77"/>
      <c r="M12642" s="79"/>
      <c r="N12642" s="1"/>
      <c r="O12642" s="1"/>
      <c r="P12642" s="1"/>
      <c r="Q12642" s="1"/>
      <c r="R12642" s="1"/>
      <c r="S12642" s="1"/>
      <c r="T12642" s="1"/>
      <c r="U12642" s="1"/>
      <c r="V12642" s="1"/>
      <c r="W12642" s="1"/>
      <c r="X12642" s="1"/>
      <c r="Y12642" s="1"/>
      <c r="Z12642" s="1"/>
      <c r="AA12642" s="1"/>
      <c r="AB12642" s="1"/>
      <c r="AC12642" s="1"/>
      <c r="AD12642" s="1"/>
      <c r="AE12642" s="1"/>
      <c r="AF12642" s="1"/>
      <c r="AG12642" s="1"/>
      <c r="AH12642" s="1"/>
    </row>
    <row r="12643" ht="12.75" customHeight="1">
      <c r="A12643" s="17"/>
      <c r="B12643" s="1"/>
      <c r="C12643" s="1"/>
      <c r="D12643" s="150"/>
      <c r="E12643" s="150"/>
      <c r="F12643" s="75"/>
      <c r="G12643" s="67"/>
      <c r="H12643" s="68"/>
      <c r="I12643" s="76"/>
      <c r="J12643" s="67"/>
      <c r="K12643" s="1"/>
      <c r="L12643" s="77"/>
      <c r="M12643" s="79"/>
      <c r="N12643" s="1"/>
      <c r="O12643" s="1"/>
      <c r="P12643" s="1"/>
      <c r="Q12643" s="1"/>
      <c r="R12643" s="1"/>
      <c r="S12643" s="1"/>
      <c r="T12643" s="1"/>
      <c r="U12643" s="1"/>
      <c r="V12643" s="1"/>
      <c r="W12643" s="1"/>
      <c r="X12643" s="1"/>
      <c r="Y12643" s="1"/>
      <c r="Z12643" s="1"/>
      <c r="AA12643" s="1"/>
      <c r="AB12643" s="1"/>
      <c r="AC12643" s="1"/>
      <c r="AD12643" s="1"/>
      <c r="AE12643" s="1"/>
      <c r="AF12643" s="1"/>
      <c r="AG12643" s="1"/>
      <c r="AH12643" s="1"/>
    </row>
    <row r="12644" ht="12.75" customHeight="1">
      <c r="A12644" s="17"/>
      <c r="B12644" s="1"/>
      <c r="C12644" s="1"/>
      <c r="D12644" s="150"/>
      <c r="E12644" s="150"/>
      <c r="F12644" s="75"/>
      <c r="G12644" s="67"/>
      <c r="H12644" s="68"/>
      <c r="I12644" s="76"/>
      <c r="J12644" s="67"/>
      <c r="K12644" s="1"/>
      <c r="L12644" s="77"/>
      <c r="M12644" s="79"/>
      <c r="N12644" s="1"/>
      <c r="O12644" s="1"/>
      <c r="P12644" s="1"/>
      <c r="Q12644" s="1"/>
      <c r="R12644" s="1"/>
      <c r="S12644" s="1"/>
      <c r="T12644" s="1"/>
      <c r="U12644" s="1"/>
      <c r="V12644" s="1"/>
      <c r="W12644" s="1"/>
      <c r="X12644" s="1"/>
      <c r="Y12644" s="1"/>
      <c r="Z12644" s="1"/>
      <c r="AA12644" s="1"/>
      <c r="AB12644" s="1"/>
      <c r="AC12644" s="1"/>
      <c r="AD12644" s="1"/>
      <c r="AE12644" s="1"/>
      <c r="AF12644" s="1"/>
      <c r="AG12644" s="1"/>
      <c r="AH12644" s="1"/>
    </row>
    <row r="12645" ht="12.75" customHeight="1">
      <c r="A12645" s="17"/>
      <c r="B12645" s="1"/>
      <c r="C12645" s="1"/>
      <c r="D12645" s="150"/>
      <c r="E12645" s="150"/>
      <c r="F12645" s="75"/>
      <c r="G12645" s="67"/>
      <c r="H12645" s="68"/>
      <c r="I12645" s="76"/>
      <c r="J12645" s="67"/>
      <c r="K12645" s="1"/>
      <c r="L12645" s="77"/>
      <c r="M12645" s="79"/>
      <c r="N12645" s="1"/>
      <c r="O12645" s="1"/>
      <c r="P12645" s="1"/>
      <c r="Q12645" s="1"/>
      <c r="R12645" s="1"/>
      <c r="S12645" s="1"/>
      <c r="T12645" s="1"/>
      <c r="U12645" s="1"/>
      <c r="V12645" s="1"/>
      <c r="W12645" s="1"/>
      <c r="X12645" s="1"/>
      <c r="Y12645" s="1"/>
      <c r="Z12645" s="1"/>
      <c r="AA12645" s="1"/>
      <c r="AB12645" s="1"/>
      <c r="AC12645" s="1"/>
      <c r="AD12645" s="1"/>
      <c r="AE12645" s="1"/>
      <c r="AF12645" s="1"/>
      <c r="AG12645" s="1"/>
      <c r="AH12645" s="1"/>
    </row>
    <row r="12646" ht="12.75" customHeight="1">
      <c r="A12646" s="17"/>
      <c r="B12646" s="1"/>
      <c r="C12646" s="1"/>
      <c r="D12646" s="150"/>
      <c r="E12646" s="150"/>
      <c r="F12646" s="75"/>
      <c r="G12646" s="67"/>
      <c r="H12646" s="68"/>
      <c r="I12646" s="76"/>
      <c r="J12646" s="67"/>
      <c r="K12646" s="1"/>
      <c r="L12646" s="77"/>
      <c r="M12646" s="79"/>
      <c r="N12646" s="1"/>
      <c r="O12646" s="1"/>
      <c r="P12646" s="1"/>
      <c r="Q12646" s="1"/>
      <c r="R12646" s="1"/>
      <c r="S12646" s="1"/>
      <c r="T12646" s="1"/>
      <c r="U12646" s="1"/>
      <c r="V12646" s="1"/>
      <c r="W12646" s="1"/>
      <c r="X12646" s="1"/>
      <c r="Y12646" s="1"/>
      <c r="Z12646" s="1"/>
      <c r="AA12646" s="1"/>
      <c r="AB12646" s="1"/>
      <c r="AC12646" s="1"/>
      <c r="AD12646" s="1"/>
      <c r="AE12646" s="1"/>
      <c r="AF12646" s="1"/>
      <c r="AG12646" s="1"/>
      <c r="AH12646" s="1"/>
    </row>
    <row r="12647" ht="12.75" customHeight="1">
      <c r="A12647" s="17"/>
      <c r="B12647" s="1"/>
      <c r="C12647" s="1"/>
      <c r="D12647" s="150"/>
      <c r="E12647" s="150"/>
      <c r="F12647" s="75"/>
      <c r="G12647" s="67"/>
      <c r="H12647" s="68"/>
      <c r="I12647" s="76"/>
      <c r="J12647" s="67"/>
      <c r="K12647" s="1"/>
      <c r="L12647" s="77"/>
      <c r="M12647" s="79"/>
      <c r="N12647" s="1"/>
      <c r="O12647" s="1"/>
      <c r="P12647" s="1"/>
      <c r="Q12647" s="1"/>
      <c r="R12647" s="1"/>
      <c r="S12647" s="1"/>
      <c r="T12647" s="1"/>
      <c r="U12647" s="1"/>
      <c r="V12647" s="1"/>
      <c r="W12647" s="1"/>
      <c r="X12647" s="1"/>
      <c r="Y12647" s="1"/>
      <c r="Z12647" s="1"/>
      <c r="AA12647" s="1"/>
      <c r="AB12647" s="1"/>
      <c r="AC12647" s="1"/>
      <c r="AD12647" s="1"/>
      <c r="AE12647" s="1"/>
      <c r="AF12647" s="1"/>
      <c r="AG12647" s="1"/>
      <c r="AH12647" s="1"/>
    </row>
    <row r="12648" ht="12.75" customHeight="1">
      <c r="A12648" s="17"/>
      <c r="B12648" s="1"/>
      <c r="C12648" s="1"/>
      <c r="D12648" s="150"/>
      <c r="E12648" s="150"/>
      <c r="F12648" s="75"/>
      <c r="G12648" s="67"/>
      <c r="H12648" s="68"/>
      <c r="I12648" s="76"/>
      <c r="J12648" s="67"/>
      <c r="K12648" s="1"/>
      <c r="L12648" s="77"/>
      <c r="M12648" s="79"/>
      <c r="N12648" s="1"/>
      <c r="O12648" s="1"/>
      <c r="P12648" s="1"/>
      <c r="Q12648" s="1"/>
      <c r="R12648" s="1"/>
      <c r="S12648" s="1"/>
      <c r="T12648" s="1"/>
      <c r="U12648" s="1"/>
      <c r="V12648" s="1"/>
      <c r="W12648" s="1"/>
      <c r="X12648" s="1"/>
      <c r="Y12648" s="1"/>
      <c r="Z12648" s="1"/>
      <c r="AA12648" s="1"/>
      <c r="AB12648" s="1"/>
      <c r="AC12648" s="1"/>
      <c r="AD12648" s="1"/>
      <c r="AE12648" s="1"/>
      <c r="AF12648" s="1"/>
      <c r="AG12648" s="1"/>
      <c r="AH12648" s="1"/>
    </row>
    <row r="12649" ht="12.75" customHeight="1">
      <c r="A12649" s="17"/>
      <c r="B12649" s="1"/>
      <c r="C12649" s="1"/>
      <c r="D12649" s="150"/>
      <c r="E12649" s="150"/>
      <c r="F12649" s="75"/>
      <c r="G12649" s="67"/>
      <c r="H12649" s="68"/>
      <c r="I12649" s="76"/>
      <c r="J12649" s="67"/>
      <c r="K12649" s="1"/>
      <c r="L12649" s="77"/>
      <c r="M12649" s="79"/>
      <c r="N12649" s="1"/>
      <c r="O12649" s="1"/>
      <c r="P12649" s="1"/>
      <c r="Q12649" s="1"/>
      <c r="R12649" s="1"/>
      <c r="S12649" s="1"/>
      <c r="T12649" s="1"/>
      <c r="U12649" s="1"/>
      <c r="V12649" s="1"/>
      <c r="W12649" s="1"/>
      <c r="X12649" s="1"/>
      <c r="Y12649" s="1"/>
      <c r="Z12649" s="1"/>
      <c r="AA12649" s="1"/>
      <c r="AB12649" s="1"/>
      <c r="AC12649" s="1"/>
      <c r="AD12649" s="1"/>
      <c r="AE12649" s="1"/>
      <c r="AF12649" s="1"/>
      <c r="AG12649" s="1"/>
      <c r="AH12649" s="1"/>
    </row>
    <row r="12650" ht="12.75" customHeight="1">
      <c r="A12650" s="17"/>
      <c r="B12650" s="1"/>
      <c r="C12650" s="1"/>
      <c r="D12650" s="150"/>
      <c r="E12650" s="150"/>
      <c r="F12650" s="75"/>
      <c r="G12650" s="67"/>
      <c r="H12650" s="68"/>
      <c r="I12650" s="76"/>
      <c r="J12650" s="67"/>
      <c r="K12650" s="1"/>
      <c r="L12650" s="77"/>
      <c r="M12650" s="79"/>
      <c r="N12650" s="1"/>
      <c r="O12650" s="1"/>
      <c r="P12650" s="1"/>
      <c r="Q12650" s="1"/>
      <c r="R12650" s="1"/>
      <c r="S12650" s="1"/>
      <c r="T12650" s="1"/>
      <c r="U12650" s="1"/>
      <c r="V12650" s="1"/>
      <c r="W12650" s="1"/>
      <c r="X12650" s="1"/>
      <c r="Y12650" s="1"/>
      <c r="Z12650" s="1"/>
      <c r="AA12650" s="1"/>
      <c r="AB12650" s="1"/>
      <c r="AC12650" s="1"/>
      <c r="AD12650" s="1"/>
      <c r="AE12650" s="1"/>
      <c r="AF12650" s="1"/>
      <c r="AG12650" s="1"/>
      <c r="AH12650" s="1"/>
    </row>
    <row r="12651" ht="12.75" customHeight="1">
      <c r="A12651" s="17"/>
      <c r="B12651" s="1"/>
      <c r="C12651" s="1"/>
      <c r="D12651" s="150"/>
      <c r="E12651" s="150"/>
      <c r="F12651" s="75"/>
      <c r="G12651" s="67"/>
      <c r="H12651" s="68"/>
      <c r="I12651" s="76"/>
      <c r="J12651" s="67"/>
      <c r="K12651" s="1"/>
      <c r="L12651" s="77"/>
      <c r="M12651" s="79"/>
      <c r="N12651" s="1"/>
      <c r="O12651" s="1"/>
      <c r="P12651" s="1"/>
      <c r="Q12651" s="1"/>
      <c r="R12651" s="1"/>
      <c r="S12651" s="1"/>
      <c r="T12651" s="1"/>
      <c r="U12651" s="1"/>
      <c r="V12651" s="1"/>
      <c r="W12651" s="1"/>
      <c r="X12651" s="1"/>
      <c r="Y12651" s="1"/>
      <c r="Z12651" s="1"/>
      <c r="AA12651" s="1"/>
      <c r="AB12651" s="1"/>
      <c r="AC12651" s="1"/>
      <c r="AD12651" s="1"/>
      <c r="AE12651" s="1"/>
      <c r="AF12651" s="1"/>
      <c r="AG12651" s="1"/>
      <c r="AH12651" s="1"/>
    </row>
    <row r="12652" ht="12.75" customHeight="1">
      <c r="A12652" s="17"/>
      <c r="B12652" s="1"/>
      <c r="C12652" s="1"/>
      <c r="D12652" s="150"/>
      <c r="E12652" s="150"/>
      <c r="F12652" s="75"/>
      <c r="G12652" s="67"/>
      <c r="H12652" s="68"/>
      <c r="I12652" s="76"/>
      <c r="J12652" s="67"/>
      <c r="K12652" s="1"/>
      <c r="L12652" s="77"/>
      <c r="M12652" s="79"/>
      <c r="N12652" s="1"/>
      <c r="O12652" s="1"/>
      <c r="P12652" s="1"/>
      <c r="Q12652" s="1"/>
      <c r="R12652" s="1"/>
      <c r="S12652" s="1"/>
      <c r="T12652" s="1"/>
      <c r="U12652" s="1"/>
      <c r="V12652" s="1"/>
      <c r="W12652" s="1"/>
      <c r="X12652" s="1"/>
      <c r="Y12652" s="1"/>
      <c r="Z12652" s="1"/>
      <c r="AA12652" s="1"/>
      <c r="AB12652" s="1"/>
      <c r="AC12652" s="1"/>
      <c r="AD12652" s="1"/>
      <c r="AE12652" s="1"/>
      <c r="AF12652" s="1"/>
      <c r="AG12652" s="1"/>
      <c r="AH12652" s="1"/>
    </row>
    <row r="12653" ht="12.75" customHeight="1">
      <c r="A12653" s="17"/>
      <c r="B12653" s="1"/>
      <c r="C12653" s="1"/>
      <c r="D12653" s="150"/>
      <c r="E12653" s="150"/>
      <c r="F12653" s="75"/>
      <c r="G12653" s="67"/>
      <c r="H12653" s="68"/>
      <c r="I12653" s="76"/>
      <c r="J12653" s="67"/>
      <c r="K12653" s="1"/>
      <c r="L12653" s="77"/>
      <c r="M12653" s="79"/>
      <c r="N12653" s="1"/>
      <c r="O12653" s="1"/>
      <c r="P12653" s="1"/>
      <c r="Q12653" s="1"/>
      <c r="R12653" s="1"/>
      <c r="S12653" s="1"/>
      <c r="T12653" s="1"/>
      <c r="U12653" s="1"/>
      <c r="V12653" s="1"/>
      <c r="W12653" s="1"/>
      <c r="X12653" s="1"/>
      <c r="Y12653" s="1"/>
      <c r="Z12653" s="1"/>
      <c r="AA12653" s="1"/>
      <c r="AB12653" s="1"/>
      <c r="AC12653" s="1"/>
      <c r="AD12653" s="1"/>
      <c r="AE12653" s="1"/>
      <c r="AF12653" s="1"/>
      <c r="AG12653" s="1"/>
      <c r="AH12653" s="1"/>
    </row>
    <row r="12654" ht="12.75" customHeight="1">
      <c r="A12654" s="17"/>
      <c r="B12654" s="1"/>
      <c r="C12654" s="1"/>
      <c r="D12654" s="150"/>
      <c r="E12654" s="150"/>
      <c r="F12654" s="75"/>
      <c r="G12654" s="67"/>
      <c r="H12654" s="68"/>
      <c r="I12654" s="76"/>
      <c r="J12654" s="67"/>
      <c r="K12654" s="1"/>
      <c r="L12654" s="77"/>
      <c r="M12654" s="79"/>
      <c r="N12654" s="1"/>
      <c r="O12654" s="1"/>
      <c r="P12654" s="1"/>
      <c r="Q12654" s="1"/>
      <c r="R12654" s="1"/>
      <c r="S12654" s="1"/>
      <c r="T12654" s="1"/>
      <c r="U12654" s="1"/>
      <c r="V12654" s="1"/>
      <c r="W12654" s="1"/>
      <c r="X12654" s="1"/>
      <c r="Y12654" s="1"/>
      <c r="Z12654" s="1"/>
      <c r="AA12654" s="1"/>
      <c r="AB12654" s="1"/>
      <c r="AC12654" s="1"/>
      <c r="AD12654" s="1"/>
      <c r="AE12654" s="1"/>
      <c r="AF12654" s="1"/>
      <c r="AG12654" s="1"/>
      <c r="AH12654" s="1"/>
    </row>
    <row r="12655" ht="12.75" customHeight="1">
      <c r="A12655" s="17"/>
      <c r="B12655" s="1"/>
      <c r="C12655" s="1"/>
      <c r="D12655" s="150"/>
      <c r="E12655" s="150"/>
      <c r="F12655" s="75"/>
      <c r="G12655" s="67"/>
      <c r="H12655" s="68"/>
      <c r="I12655" s="76"/>
      <c r="J12655" s="67"/>
      <c r="K12655" s="1"/>
      <c r="L12655" s="77"/>
      <c r="M12655" s="79"/>
      <c r="N12655" s="1"/>
      <c r="O12655" s="1"/>
      <c r="P12655" s="1"/>
      <c r="Q12655" s="1"/>
      <c r="R12655" s="1"/>
      <c r="S12655" s="1"/>
      <c r="T12655" s="1"/>
      <c r="U12655" s="1"/>
      <c r="V12655" s="1"/>
      <c r="W12655" s="1"/>
      <c r="X12655" s="1"/>
      <c r="Y12655" s="1"/>
      <c r="Z12655" s="1"/>
      <c r="AA12655" s="1"/>
      <c r="AB12655" s="1"/>
      <c r="AC12655" s="1"/>
      <c r="AD12655" s="1"/>
      <c r="AE12655" s="1"/>
      <c r="AF12655" s="1"/>
      <c r="AG12655" s="1"/>
      <c r="AH12655" s="1"/>
    </row>
    <row r="12656" ht="12.75" customHeight="1">
      <c r="A12656" s="17"/>
      <c r="B12656" s="1"/>
      <c r="C12656" s="1"/>
      <c r="D12656" s="150"/>
      <c r="E12656" s="150"/>
      <c r="F12656" s="75"/>
      <c r="G12656" s="67"/>
      <c r="H12656" s="68"/>
      <c r="I12656" s="76"/>
      <c r="J12656" s="67"/>
      <c r="K12656" s="1"/>
      <c r="L12656" s="77"/>
      <c r="M12656" s="79"/>
      <c r="N12656" s="1"/>
      <c r="O12656" s="1"/>
      <c r="P12656" s="1"/>
      <c r="Q12656" s="1"/>
      <c r="R12656" s="1"/>
      <c r="S12656" s="1"/>
      <c r="T12656" s="1"/>
      <c r="U12656" s="1"/>
      <c r="V12656" s="1"/>
      <c r="W12656" s="1"/>
      <c r="X12656" s="1"/>
      <c r="Y12656" s="1"/>
      <c r="Z12656" s="1"/>
      <c r="AA12656" s="1"/>
      <c r="AB12656" s="1"/>
      <c r="AC12656" s="1"/>
      <c r="AD12656" s="1"/>
      <c r="AE12656" s="1"/>
      <c r="AF12656" s="1"/>
      <c r="AG12656" s="1"/>
      <c r="AH12656" s="1"/>
    </row>
    <row r="12657" ht="12.75" customHeight="1">
      <c r="A12657" s="17"/>
      <c r="B12657" s="1"/>
      <c r="C12657" s="1"/>
      <c r="D12657" s="150"/>
      <c r="E12657" s="150"/>
      <c r="F12657" s="75"/>
      <c r="G12657" s="67"/>
      <c r="H12657" s="68"/>
      <c r="I12657" s="76"/>
      <c r="J12657" s="67"/>
      <c r="K12657" s="1"/>
      <c r="L12657" s="77"/>
      <c r="M12657" s="79"/>
      <c r="N12657" s="1"/>
      <c r="O12657" s="1"/>
      <c r="P12657" s="1"/>
      <c r="Q12657" s="1"/>
      <c r="R12657" s="1"/>
      <c r="S12657" s="1"/>
      <c r="T12657" s="1"/>
      <c r="U12657" s="1"/>
      <c r="V12657" s="1"/>
      <c r="W12657" s="1"/>
      <c r="X12657" s="1"/>
      <c r="Y12657" s="1"/>
      <c r="Z12657" s="1"/>
      <c r="AA12657" s="1"/>
      <c r="AB12657" s="1"/>
      <c r="AC12657" s="1"/>
      <c r="AD12657" s="1"/>
      <c r="AE12657" s="1"/>
      <c r="AF12657" s="1"/>
      <c r="AG12657" s="1"/>
      <c r="AH12657" s="1"/>
    </row>
    <row r="12658" ht="12.75" customHeight="1">
      <c r="A12658" s="17"/>
      <c r="B12658" s="1"/>
      <c r="C12658" s="1"/>
      <c r="D12658" s="150"/>
      <c r="E12658" s="150"/>
      <c r="F12658" s="75"/>
      <c r="G12658" s="67"/>
      <c r="H12658" s="68"/>
      <c r="I12658" s="76"/>
      <c r="J12658" s="67"/>
      <c r="K12658" s="1"/>
      <c r="L12658" s="77"/>
      <c r="M12658" s="79"/>
      <c r="N12658" s="1"/>
      <c r="O12658" s="1"/>
      <c r="P12658" s="1"/>
      <c r="Q12658" s="1"/>
      <c r="R12658" s="1"/>
      <c r="S12658" s="1"/>
      <c r="T12658" s="1"/>
      <c r="U12658" s="1"/>
      <c r="V12658" s="1"/>
      <c r="W12658" s="1"/>
      <c r="X12658" s="1"/>
      <c r="Y12658" s="1"/>
      <c r="Z12658" s="1"/>
      <c r="AA12658" s="1"/>
      <c r="AB12658" s="1"/>
      <c r="AC12658" s="1"/>
      <c r="AD12658" s="1"/>
      <c r="AE12658" s="1"/>
      <c r="AF12658" s="1"/>
      <c r="AG12658" s="1"/>
      <c r="AH12658" s="1"/>
    </row>
    <row r="12659" ht="12.75" customHeight="1">
      <c r="A12659" s="17"/>
      <c r="B12659" s="1"/>
      <c r="C12659" s="1"/>
      <c r="D12659" s="150"/>
      <c r="E12659" s="150"/>
      <c r="F12659" s="75"/>
      <c r="G12659" s="67"/>
      <c r="H12659" s="68"/>
      <c r="I12659" s="76"/>
      <c r="J12659" s="67"/>
      <c r="K12659" s="1"/>
      <c r="L12659" s="77"/>
      <c r="M12659" s="79"/>
      <c r="N12659" s="1"/>
      <c r="O12659" s="1"/>
      <c r="P12659" s="1"/>
      <c r="Q12659" s="1"/>
      <c r="R12659" s="1"/>
      <c r="S12659" s="1"/>
      <c r="T12659" s="1"/>
      <c r="U12659" s="1"/>
      <c r="V12659" s="1"/>
      <c r="W12659" s="1"/>
      <c r="X12659" s="1"/>
      <c r="Y12659" s="1"/>
      <c r="Z12659" s="1"/>
      <c r="AA12659" s="1"/>
      <c r="AB12659" s="1"/>
      <c r="AC12659" s="1"/>
      <c r="AD12659" s="1"/>
      <c r="AE12659" s="1"/>
      <c r="AF12659" s="1"/>
      <c r="AG12659" s="1"/>
      <c r="AH12659" s="1"/>
    </row>
    <row r="12660" ht="12.75" customHeight="1">
      <c r="A12660" s="17"/>
      <c r="B12660" s="1"/>
      <c r="C12660" s="1"/>
      <c r="D12660" s="150"/>
      <c r="E12660" s="150"/>
      <c r="F12660" s="75"/>
      <c r="G12660" s="67"/>
      <c r="H12660" s="68"/>
      <c r="I12660" s="76"/>
      <c r="J12660" s="67"/>
      <c r="K12660" s="1"/>
      <c r="L12660" s="77"/>
      <c r="M12660" s="79"/>
      <c r="N12660" s="1"/>
      <c r="O12660" s="1"/>
      <c r="P12660" s="1"/>
      <c r="Q12660" s="1"/>
      <c r="R12660" s="1"/>
      <c r="S12660" s="1"/>
      <c r="T12660" s="1"/>
      <c r="U12660" s="1"/>
      <c r="V12660" s="1"/>
      <c r="W12660" s="1"/>
      <c r="X12660" s="1"/>
      <c r="Y12660" s="1"/>
      <c r="Z12660" s="1"/>
      <c r="AA12660" s="1"/>
      <c r="AB12660" s="1"/>
      <c r="AC12660" s="1"/>
      <c r="AD12660" s="1"/>
      <c r="AE12660" s="1"/>
      <c r="AF12660" s="1"/>
      <c r="AG12660" s="1"/>
      <c r="AH12660" s="1"/>
    </row>
    <row r="12661" ht="12.75" customHeight="1">
      <c r="A12661" s="17"/>
      <c r="B12661" s="1"/>
      <c r="C12661" s="1"/>
      <c r="D12661" s="150"/>
      <c r="E12661" s="150"/>
      <c r="F12661" s="75"/>
      <c r="G12661" s="67"/>
      <c r="H12661" s="68"/>
      <c r="I12661" s="76"/>
      <c r="J12661" s="67"/>
      <c r="K12661" s="1"/>
      <c r="L12661" s="77"/>
      <c r="M12661" s="79"/>
      <c r="N12661" s="1"/>
      <c r="O12661" s="1"/>
      <c r="P12661" s="1"/>
      <c r="Q12661" s="1"/>
      <c r="R12661" s="1"/>
      <c r="S12661" s="1"/>
      <c r="T12661" s="1"/>
      <c r="U12661" s="1"/>
      <c r="V12661" s="1"/>
      <c r="W12661" s="1"/>
      <c r="X12661" s="1"/>
      <c r="Y12661" s="1"/>
      <c r="Z12661" s="1"/>
      <c r="AA12661" s="1"/>
      <c r="AB12661" s="1"/>
      <c r="AC12661" s="1"/>
      <c r="AD12661" s="1"/>
      <c r="AE12661" s="1"/>
      <c r="AF12661" s="1"/>
      <c r="AG12661" s="1"/>
      <c r="AH12661" s="1"/>
    </row>
    <row r="12662" ht="12.75" customHeight="1">
      <c r="A12662" s="17"/>
      <c r="B12662" s="1"/>
      <c r="C12662" s="1"/>
      <c r="D12662" s="150"/>
      <c r="E12662" s="150"/>
      <c r="F12662" s="75"/>
      <c r="G12662" s="67"/>
      <c r="H12662" s="68"/>
      <c r="I12662" s="76"/>
      <c r="J12662" s="67"/>
      <c r="K12662" s="1"/>
      <c r="L12662" s="77"/>
      <c r="M12662" s="79"/>
      <c r="N12662" s="1"/>
      <c r="O12662" s="1"/>
      <c r="P12662" s="1"/>
      <c r="Q12662" s="1"/>
      <c r="R12662" s="1"/>
      <c r="S12662" s="1"/>
      <c r="T12662" s="1"/>
      <c r="U12662" s="1"/>
      <c r="V12662" s="1"/>
      <c r="W12662" s="1"/>
      <c r="X12662" s="1"/>
      <c r="Y12662" s="1"/>
      <c r="Z12662" s="1"/>
      <c r="AA12662" s="1"/>
      <c r="AB12662" s="1"/>
      <c r="AC12662" s="1"/>
      <c r="AD12662" s="1"/>
      <c r="AE12662" s="1"/>
      <c r="AF12662" s="1"/>
      <c r="AG12662" s="1"/>
      <c r="AH12662" s="1"/>
    </row>
    <row r="12663" ht="12.75" customHeight="1">
      <c r="A12663" s="17"/>
      <c r="B12663" s="1"/>
      <c r="C12663" s="1"/>
      <c r="D12663" s="150"/>
      <c r="E12663" s="150"/>
      <c r="F12663" s="75"/>
      <c r="G12663" s="67"/>
      <c r="H12663" s="68"/>
      <c r="I12663" s="76"/>
      <c r="J12663" s="67"/>
      <c r="K12663" s="1"/>
      <c r="L12663" s="77"/>
      <c r="M12663" s="79"/>
      <c r="N12663" s="1"/>
      <c r="O12663" s="1"/>
      <c r="P12663" s="1"/>
      <c r="Q12663" s="1"/>
      <c r="R12663" s="1"/>
      <c r="S12663" s="1"/>
      <c r="T12663" s="1"/>
      <c r="U12663" s="1"/>
      <c r="V12663" s="1"/>
      <c r="W12663" s="1"/>
      <c r="X12663" s="1"/>
      <c r="Y12663" s="1"/>
      <c r="Z12663" s="1"/>
      <c r="AA12663" s="1"/>
      <c r="AB12663" s="1"/>
      <c r="AC12663" s="1"/>
      <c r="AD12663" s="1"/>
      <c r="AE12663" s="1"/>
      <c r="AF12663" s="1"/>
      <c r="AG12663" s="1"/>
      <c r="AH12663" s="1"/>
    </row>
    <row r="12664" ht="12.75" customHeight="1">
      <c r="A12664" s="17"/>
      <c r="B12664" s="1"/>
      <c r="C12664" s="1"/>
      <c r="D12664" s="150"/>
      <c r="E12664" s="150"/>
      <c r="F12664" s="75"/>
      <c r="G12664" s="67"/>
      <c r="H12664" s="68"/>
      <c r="I12664" s="76"/>
      <c r="J12664" s="67"/>
      <c r="K12664" s="1"/>
      <c r="L12664" s="77"/>
      <c r="M12664" s="79"/>
      <c r="N12664" s="1"/>
      <c r="O12664" s="1"/>
      <c r="P12664" s="1"/>
      <c r="Q12664" s="1"/>
      <c r="R12664" s="1"/>
      <c r="S12664" s="1"/>
      <c r="T12664" s="1"/>
      <c r="U12664" s="1"/>
      <c r="V12664" s="1"/>
      <c r="W12664" s="1"/>
      <c r="X12664" s="1"/>
      <c r="Y12664" s="1"/>
      <c r="Z12664" s="1"/>
      <c r="AA12664" s="1"/>
      <c r="AB12664" s="1"/>
      <c r="AC12664" s="1"/>
      <c r="AD12664" s="1"/>
      <c r="AE12664" s="1"/>
      <c r="AF12664" s="1"/>
      <c r="AG12664" s="1"/>
      <c r="AH12664" s="1"/>
    </row>
    <row r="12665" ht="12.75" customHeight="1">
      <c r="A12665" s="17"/>
      <c r="B12665" s="1"/>
      <c r="C12665" s="1"/>
      <c r="D12665" s="150"/>
      <c r="E12665" s="150"/>
      <c r="F12665" s="75"/>
      <c r="G12665" s="67"/>
      <c r="H12665" s="68"/>
      <c r="I12665" s="76"/>
      <c r="J12665" s="67"/>
      <c r="K12665" s="1"/>
      <c r="L12665" s="77"/>
      <c r="M12665" s="79"/>
      <c r="N12665" s="1"/>
      <c r="O12665" s="1"/>
      <c r="P12665" s="1"/>
      <c r="Q12665" s="1"/>
      <c r="R12665" s="1"/>
      <c r="S12665" s="1"/>
      <c r="T12665" s="1"/>
      <c r="U12665" s="1"/>
      <c r="V12665" s="1"/>
      <c r="W12665" s="1"/>
      <c r="X12665" s="1"/>
      <c r="Y12665" s="1"/>
      <c r="Z12665" s="1"/>
      <c r="AA12665" s="1"/>
      <c r="AB12665" s="1"/>
      <c r="AC12665" s="1"/>
      <c r="AD12665" s="1"/>
      <c r="AE12665" s="1"/>
      <c r="AF12665" s="1"/>
      <c r="AG12665" s="1"/>
      <c r="AH12665" s="1"/>
    </row>
    <row r="12666" ht="12.75" customHeight="1">
      <c r="A12666" s="17"/>
      <c r="B12666" s="1"/>
      <c r="C12666" s="1"/>
      <c r="D12666" s="150"/>
      <c r="E12666" s="150"/>
      <c r="F12666" s="75"/>
      <c r="G12666" s="67"/>
      <c r="H12666" s="68"/>
      <c r="I12666" s="76"/>
      <c r="J12666" s="67"/>
      <c r="K12666" s="1"/>
      <c r="L12666" s="77"/>
      <c r="M12666" s="79"/>
      <c r="N12666" s="1"/>
      <c r="O12666" s="1"/>
      <c r="P12666" s="1"/>
      <c r="Q12666" s="1"/>
      <c r="R12666" s="1"/>
      <c r="S12666" s="1"/>
      <c r="T12666" s="1"/>
      <c r="U12666" s="1"/>
      <c r="V12666" s="1"/>
      <c r="W12666" s="1"/>
      <c r="X12666" s="1"/>
      <c r="Y12666" s="1"/>
      <c r="Z12666" s="1"/>
      <c r="AA12666" s="1"/>
      <c r="AB12666" s="1"/>
      <c r="AC12666" s="1"/>
      <c r="AD12666" s="1"/>
      <c r="AE12666" s="1"/>
      <c r="AF12666" s="1"/>
      <c r="AG12666" s="1"/>
      <c r="AH12666" s="1"/>
    </row>
    <row r="12667" ht="12.75" customHeight="1">
      <c r="A12667" s="17"/>
      <c r="B12667" s="1"/>
      <c r="C12667" s="1"/>
      <c r="D12667" s="150"/>
      <c r="E12667" s="150"/>
      <c r="F12667" s="75"/>
      <c r="G12667" s="67"/>
      <c r="H12667" s="68"/>
      <c r="I12667" s="76"/>
      <c r="J12667" s="67"/>
      <c r="K12667" s="1"/>
      <c r="L12667" s="77"/>
      <c r="M12667" s="79"/>
      <c r="N12667" s="1"/>
      <c r="O12667" s="1"/>
      <c r="P12667" s="1"/>
      <c r="Q12667" s="1"/>
      <c r="R12667" s="1"/>
      <c r="S12667" s="1"/>
      <c r="T12667" s="1"/>
      <c r="U12667" s="1"/>
      <c r="V12667" s="1"/>
      <c r="W12667" s="1"/>
      <c r="X12667" s="1"/>
      <c r="Y12667" s="1"/>
      <c r="Z12667" s="1"/>
      <c r="AA12667" s="1"/>
      <c r="AB12667" s="1"/>
      <c r="AC12667" s="1"/>
      <c r="AD12667" s="1"/>
      <c r="AE12667" s="1"/>
      <c r="AF12667" s="1"/>
      <c r="AG12667" s="1"/>
      <c r="AH12667" s="1"/>
    </row>
    <row r="12668" ht="12.75" customHeight="1">
      <c r="A12668" s="17"/>
      <c r="B12668" s="1"/>
      <c r="C12668" s="1"/>
      <c r="D12668" s="150"/>
      <c r="E12668" s="150"/>
      <c r="F12668" s="75"/>
      <c r="G12668" s="67"/>
      <c r="H12668" s="68"/>
      <c r="I12668" s="76"/>
      <c r="J12668" s="67"/>
      <c r="K12668" s="1"/>
      <c r="L12668" s="77"/>
      <c r="M12668" s="79"/>
      <c r="N12668" s="1"/>
      <c r="O12668" s="1"/>
      <c r="P12668" s="1"/>
      <c r="Q12668" s="1"/>
      <c r="R12668" s="1"/>
      <c r="S12668" s="1"/>
      <c r="T12668" s="1"/>
      <c r="U12668" s="1"/>
      <c r="V12668" s="1"/>
      <c r="W12668" s="1"/>
      <c r="X12668" s="1"/>
      <c r="Y12668" s="1"/>
      <c r="Z12668" s="1"/>
      <c r="AA12668" s="1"/>
      <c r="AB12668" s="1"/>
      <c r="AC12668" s="1"/>
      <c r="AD12668" s="1"/>
      <c r="AE12668" s="1"/>
      <c r="AF12668" s="1"/>
      <c r="AG12668" s="1"/>
      <c r="AH12668" s="1"/>
    </row>
    <row r="12669" ht="12.75" customHeight="1">
      <c r="A12669" s="17"/>
      <c r="B12669" s="1"/>
      <c r="C12669" s="1"/>
      <c r="D12669" s="150"/>
      <c r="E12669" s="150"/>
      <c r="F12669" s="75"/>
      <c r="G12669" s="67"/>
      <c r="H12669" s="68"/>
      <c r="I12669" s="76"/>
      <c r="J12669" s="67"/>
      <c r="K12669" s="1"/>
      <c r="L12669" s="77"/>
      <c r="M12669" s="79"/>
      <c r="N12669" s="1"/>
      <c r="O12669" s="1"/>
      <c r="P12669" s="1"/>
      <c r="Q12669" s="1"/>
      <c r="R12669" s="1"/>
      <c r="S12669" s="1"/>
      <c r="T12669" s="1"/>
      <c r="U12669" s="1"/>
      <c r="V12669" s="1"/>
      <c r="W12669" s="1"/>
      <c r="X12669" s="1"/>
      <c r="Y12669" s="1"/>
      <c r="Z12669" s="1"/>
      <c r="AA12669" s="1"/>
      <c r="AB12669" s="1"/>
      <c r="AC12669" s="1"/>
      <c r="AD12669" s="1"/>
      <c r="AE12669" s="1"/>
      <c r="AF12669" s="1"/>
      <c r="AG12669" s="1"/>
      <c r="AH12669" s="1"/>
    </row>
    <row r="12670" ht="12.75" customHeight="1">
      <c r="A12670" s="17"/>
      <c r="B12670" s="1"/>
      <c r="C12670" s="1"/>
      <c r="D12670" s="150"/>
      <c r="E12670" s="150"/>
      <c r="F12670" s="75"/>
      <c r="G12670" s="67"/>
      <c r="H12670" s="68"/>
      <c r="I12670" s="76"/>
      <c r="J12670" s="67"/>
      <c r="K12670" s="1"/>
      <c r="L12670" s="77"/>
      <c r="M12670" s="79"/>
      <c r="N12670" s="1"/>
      <c r="O12670" s="1"/>
      <c r="P12670" s="1"/>
      <c r="Q12670" s="1"/>
      <c r="R12670" s="1"/>
      <c r="S12670" s="1"/>
      <c r="T12670" s="1"/>
      <c r="U12670" s="1"/>
      <c r="V12670" s="1"/>
      <c r="W12670" s="1"/>
      <c r="X12670" s="1"/>
      <c r="Y12670" s="1"/>
      <c r="Z12670" s="1"/>
      <c r="AA12670" s="1"/>
      <c r="AB12670" s="1"/>
      <c r="AC12670" s="1"/>
      <c r="AD12670" s="1"/>
      <c r="AE12670" s="1"/>
      <c r="AF12670" s="1"/>
      <c r="AG12670" s="1"/>
      <c r="AH12670" s="1"/>
    </row>
    <row r="12671" ht="12.75" customHeight="1">
      <c r="A12671" s="17"/>
      <c r="B12671" s="1"/>
      <c r="C12671" s="1"/>
      <c r="D12671" s="150"/>
      <c r="E12671" s="150"/>
      <c r="F12671" s="75"/>
      <c r="G12671" s="67"/>
      <c r="H12671" s="68"/>
      <c r="I12671" s="76"/>
      <c r="J12671" s="67"/>
      <c r="K12671" s="1"/>
      <c r="L12671" s="77"/>
      <c r="M12671" s="79"/>
      <c r="N12671" s="1"/>
      <c r="O12671" s="1"/>
      <c r="P12671" s="1"/>
      <c r="Q12671" s="1"/>
      <c r="R12671" s="1"/>
      <c r="S12671" s="1"/>
      <c r="T12671" s="1"/>
      <c r="U12671" s="1"/>
      <c r="V12671" s="1"/>
      <c r="W12671" s="1"/>
      <c r="X12671" s="1"/>
      <c r="Y12671" s="1"/>
      <c r="Z12671" s="1"/>
      <c r="AA12671" s="1"/>
      <c r="AB12671" s="1"/>
      <c r="AC12671" s="1"/>
      <c r="AD12671" s="1"/>
      <c r="AE12671" s="1"/>
      <c r="AF12671" s="1"/>
      <c r="AG12671" s="1"/>
      <c r="AH12671" s="1"/>
    </row>
    <row r="12672" ht="12.75" customHeight="1">
      <c r="A12672" s="17"/>
      <c r="B12672" s="1"/>
      <c r="C12672" s="1"/>
      <c r="D12672" s="150"/>
      <c r="E12672" s="150"/>
      <c r="F12672" s="75"/>
      <c r="G12672" s="67"/>
      <c r="H12672" s="68"/>
      <c r="I12672" s="76"/>
      <c r="J12672" s="67"/>
      <c r="K12672" s="1"/>
      <c r="L12672" s="77"/>
      <c r="M12672" s="79"/>
      <c r="N12672" s="1"/>
      <c r="O12672" s="1"/>
      <c r="P12672" s="1"/>
      <c r="Q12672" s="1"/>
      <c r="R12672" s="1"/>
      <c r="S12672" s="1"/>
      <c r="T12672" s="1"/>
      <c r="U12672" s="1"/>
      <c r="V12672" s="1"/>
      <c r="W12672" s="1"/>
      <c r="X12672" s="1"/>
      <c r="Y12672" s="1"/>
      <c r="Z12672" s="1"/>
      <c r="AA12672" s="1"/>
      <c r="AB12672" s="1"/>
      <c r="AC12672" s="1"/>
      <c r="AD12672" s="1"/>
      <c r="AE12672" s="1"/>
      <c r="AF12672" s="1"/>
      <c r="AG12672" s="1"/>
      <c r="AH12672" s="1"/>
    </row>
    <row r="12673" ht="12.75" customHeight="1">
      <c r="A12673" s="17"/>
      <c r="B12673" s="1"/>
      <c r="C12673" s="1"/>
      <c r="D12673" s="150"/>
      <c r="E12673" s="150"/>
      <c r="F12673" s="75"/>
      <c r="G12673" s="67"/>
      <c r="H12673" s="68"/>
      <c r="I12673" s="76"/>
      <c r="J12673" s="67"/>
      <c r="K12673" s="1"/>
      <c r="L12673" s="77"/>
      <c r="M12673" s="79"/>
      <c r="N12673" s="1"/>
      <c r="O12673" s="1"/>
      <c r="P12673" s="1"/>
      <c r="Q12673" s="1"/>
      <c r="R12673" s="1"/>
      <c r="S12673" s="1"/>
      <c r="T12673" s="1"/>
      <c r="U12673" s="1"/>
      <c r="V12673" s="1"/>
      <c r="W12673" s="1"/>
      <c r="X12673" s="1"/>
      <c r="Y12673" s="1"/>
      <c r="Z12673" s="1"/>
      <c r="AA12673" s="1"/>
      <c r="AB12673" s="1"/>
      <c r="AC12673" s="1"/>
      <c r="AD12673" s="1"/>
      <c r="AE12673" s="1"/>
      <c r="AF12673" s="1"/>
      <c r="AG12673" s="1"/>
      <c r="AH12673" s="1"/>
    </row>
    <row r="12674" ht="12.75" customHeight="1">
      <c r="A12674" s="17"/>
      <c r="B12674" s="1"/>
      <c r="C12674" s="1"/>
      <c r="D12674" s="150"/>
      <c r="E12674" s="150"/>
      <c r="F12674" s="75"/>
      <c r="G12674" s="67"/>
      <c r="H12674" s="68"/>
      <c r="I12674" s="76"/>
      <c r="J12674" s="67"/>
      <c r="K12674" s="1"/>
      <c r="L12674" s="77"/>
      <c r="M12674" s="79"/>
      <c r="N12674" s="1"/>
      <c r="O12674" s="1"/>
      <c r="P12674" s="1"/>
      <c r="Q12674" s="1"/>
      <c r="R12674" s="1"/>
      <c r="S12674" s="1"/>
      <c r="T12674" s="1"/>
      <c r="U12674" s="1"/>
      <c r="V12674" s="1"/>
      <c r="W12674" s="1"/>
      <c r="X12674" s="1"/>
      <c r="Y12674" s="1"/>
      <c r="Z12674" s="1"/>
      <c r="AA12674" s="1"/>
      <c r="AB12674" s="1"/>
      <c r="AC12674" s="1"/>
      <c r="AD12674" s="1"/>
      <c r="AE12674" s="1"/>
      <c r="AF12674" s="1"/>
      <c r="AG12674" s="1"/>
      <c r="AH12674" s="1"/>
    </row>
    <row r="12675" ht="12.75" customHeight="1">
      <c r="A12675" s="17"/>
      <c r="B12675" s="1"/>
      <c r="C12675" s="1"/>
      <c r="D12675" s="150"/>
      <c r="E12675" s="150"/>
      <c r="F12675" s="75"/>
      <c r="G12675" s="67"/>
      <c r="H12675" s="68"/>
      <c r="I12675" s="76"/>
      <c r="J12675" s="67"/>
      <c r="K12675" s="1"/>
      <c r="L12675" s="77"/>
      <c r="M12675" s="79"/>
      <c r="N12675" s="1"/>
      <c r="O12675" s="1"/>
      <c r="P12675" s="1"/>
      <c r="Q12675" s="1"/>
      <c r="R12675" s="1"/>
      <c r="S12675" s="1"/>
      <c r="T12675" s="1"/>
      <c r="U12675" s="1"/>
      <c r="V12675" s="1"/>
      <c r="W12675" s="1"/>
      <c r="X12675" s="1"/>
      <c r="Y12675" s="1"/>
      <c r="Z12675" s="1"/>
      <c r="AA12675" s="1"/>
      <c r="AB12675" s="1"/>
      <c r="AC12675" s="1"/>
      <c r="AD12675" s="1"/>
      <c r="AE12675" s="1"/>
      <c r="AF12675" s="1"/>
      <c r="AG12675" s="1"/>
      <c r="AH12675" s="1"/>
    </row>
    <row r="12676" ht="12.75" customHeight="1">
      <c r="A12676" s="17"/>
      <c r="B12676" s="1"/>
      <c r="C12676" s="1"/>
      <c r="D12676" s="150"/>
      <c r="E12676" s="150"/>
      <c r="F12676" s="75"/>
      <c r="G12676" s="67"/>
      <c r="H12676" s="68"/>
      <c r="I12676" s="76"/>
      <c r="J12676" s="67"/>
      <c r="K12676" s="1"/>
      <c r="L12676" s="77"/>
      <c r="M12676" s="79"/>
      <c r="N12676" s="1"/>
      <c r="O12676" s="1"/>
      <c r="P12676" s="1"/>
      <c r="Q12676" s="1"/>
      <c r="R12676" s="1"/>
      <c r="S12676" s="1"/>
      <c r="T12676" s="1"/>
      <c r="U12676" s="1"/>
      <c r="V12676" s="1"/>
      <c r="W12676" s="1"/>
      <c r="X12676" s="1"/>
      <c r="Y12676" s="1"/>
      <c r="Z12676" s="1"/>
      <c r="AA12676" s="1"/>
      <c r="AB12676" s="1"/>
      <c r="AC12676" s="1"/>
      <c r="AD12676" s="1"/>
      <c r="AE12676" s="1"/>
      <c r="AF12676" s="1"/>
      <c r="AG12676" s="1"/>
      <c r="AH12676" s="1"/>
    </row>
    <row r="12677" ht="12.75" customHeight="1">
      <c r="A12677" s="17"/>
      <c r="B12677" s="1"/>
      <c r="C12677" s="1"/>
      <c r="D12677" s="150"/>
      <c r="E12677" s="150"/>
      <c r="F12677" s="75"/>
      <c r="G12677" s="67"/>
      <c r="H12677" s="68"/>
      <c r="I12677" s="76"/>
      <c r="J12677" s="67"/>
      <c r="K12677" s="1"/>
      <c r="L12677" s="77"/>
      <c r="M12677" s="79"/>
      <c r="N12677" s="1"/>
      <c r="O12677" s="1"/>
      <c r="P12677" s="1"/>
      <c r="Q12677" s="1"/>
      <c r="R12677" s="1"/>
      <c r="S12677" s="1"/>
      <c r="T12677" s="1"/>
      <c r="U12677" s="1"/>
      <c r="V12677" s="1"/>
      <c r="W12677" s="1"/>
      <c r="X12677" s="1"/>
      <c r="Y12677" s="1"/>
      <c r="Z12677" s="1"/>
      <c r="AA12677" s="1"/>
      <c r="AB12677" s="1"/>
      <c r="AC12677" s="1"/>
      <c r="AD12677" s="1"/>
      <c r="AE12677" s="1"/>
      <c r="AF12677" s="1"/>
      <c r="AG12677" s="1"/>
      <c r="AH12677" s="1"/>
    </row>
    <row r="12678" ht="12.75" customHeight="1">
      <c r="A12678" s="17"/>
      <c r="B12678" s="1"/>
      <c r="C12678" s="1"/>
      <c r="D12678" s="150"/>
      <c r="E12678" s="150"/>
      <c r="F12678" s="75"/>
      <c r="G12678" s="67"/>
      <c r="H12678" s="68"/>
      <c r="I12678" s="76"/>
      <c r="J12678" s="67"/>
      <c r="K12678" s="1"/>
      <c r="L12678" s="77"/>
      <c r="M12678" s="79"/>
      <c r="N12678" s="1"/>
      <c r="O12678" s="1"/>
      <c r="P12678" s="1"/>
      <c r="Q12678" s="1"/>
      <c r="R12678" s="1"/>
      <c r="S12678" s="1"/>
      <c r="T12678" s="1"/>
      <c r="U12678" s="1"/>
      <c r="V12678" s="1"/>
      <c r="W12678" s="1"/>
      <c r="X12678" s="1"/>
      <c r="Y12678" s="1"/>
      <c r="Z12678" s="1"/>
      <c r="AA12678" s="1"/>
      <c r="AB12678" s="1"/>
      <c r="AC12678" s="1"/>
      <c r="AD12678" s="1"/>
      <c r="AE12678" s="1"/>
      <c r="AF12678" s="1"/>
      <c r="AG12678" s="1"/>
      <c r="AH12678" s="1"/>
    </row>
    <row r="12679" ht="12.75" customHeight="1">
      <c r="A12679" s="17"/>
      <c r="B12679" s="1"/>
      <c r="C12679" s="1"/>
      <c r="D12679" s="150"/>
      <c r="E12679" s="150"/>
      <c r="F12679" s="75"/>
      <c r="G12679" s="67"/>
      <c r="H12679" s="68"/>
      <c r="I12679" s="76"/>
      <c r="J12679" s="67"/>
      <c r="K12679" s="1"/>
      <c r="L12679" s="77"/>
      <c r="M12679" s="79"/>
      <c r="N12679" s="1"/>
      <c r="O12679" s="1"/>
      <c r="P12679" s="1"/>
      <c r="Q12679" s="1"/>
      <c r="R12679" s="1"/>
      <c r="S12679" s="1"/>
      <c r="T12679" s="1"/>
      <c r="U12679" s="1"/>
      <c r="V12679" s="1"/>
      <c r="W12679" s="1"/>
      <c r="X12679" s="1"/>
      <c r="Y12679" s="1"/>
      <c r="Z12679" s="1"/>
      <c r="AA12679" s="1"/>
      <c r="AB12679" s="1"/>
      <c r="AC12679" s="1"/>
      <c r="AD12679" s="1"/>
      <c r="AE12679" s="1"/>
      <c r="AF12679" s="1"/>
      <c r="AG12679" s="1"/>
      <c r="AH12679" s="1"/>
    </row>
    <row r="12680" ht="12.75" customHeight="1">
      <c r="A12680" s="17"/>
      <c r="B12680" s="1"/>
      <c r="C12680" s="1"/>
      <c r="D12680" s="150"/>
      <c r="E12680" s="150"/>
      <c r="F12680" s="75"/>
      <c r="G12680" s="67"/>
      <c r="H12680" s="68"/>
      <c r="I12680" s="76"/>
      <c r="J12680" s="67"/>
      <c r="K12680" s="1"/>
      <c r="L12680" s="77"/>
      <c r="M12680" s="79"/>
      <c r="N12680" s="1"/>
      <c r="O12680" s="1"/>
      <c r="P12680" s="1"/>
      <c r="Q12680" s="1"/>
      <c r="R12680" s="1"/>
      <c r="S12680" s="1"/>
      <c r="T12680" s="1"/>
      <c r="U12680" s="1"/>
      <c r="V12680" s="1"/>
      <c r="W12680" s="1"/>
      <c r="X12680" s="1"/>
      <c r="Y12680" s="1"/>
      <c r="Z12680" s="1"/>
      <c r="AA12680" s="1"/>
      <c r="AB12680" s="1"/>
      <c r="AC12680" s="1"/>
      <c r="AD12680" s="1"/>
      <c r="AE12680" s="1"/>
      <c r="AF12680" s="1"/>
      <c r="AG12680" s="1"/>
      <c r="AH12680" s="1"/>
    </row>
    <row r="12681" ht="12.75" customHeight="1">
      <c r="A12681" s="17"/>
      <c r="B12681" s="1"/>
      <c r="C12681" s="1"/>
      <c r="D12681" s="150"/>
      <c r="E12681" s="150"/>
      <c r="F12681" s="75"/>
      <c r="G12681" s="67"/>
      <c r="H12681" s="68"/>
      <c r="I12681" s="76"/>
      <c r="J12681" s="67"/>
      <c r="K12681" s="1"/>
      <c r="L12681" s="77"/>
      <c r="M12681" s="79"/>
      <c r="N12681" s="1"/>
      <c r="O12681" s="1"/>
      <c r="P12681" s="1"/>
      <c r="Q12681" s="1"/>
      <c r="R12681" s="1"/>
      <c r="S12681" s="1"/>
      <c r="T12681" s="1"/>
      <c r="U12681" s="1"/>
      <c r="V12681" s="1"/>
      <c r="W12681" s="1"/>
      <c r="X12681" s="1"/>
      <c r="Y12681" s="1"/>
      <c r="Z12681" s="1"/>
      <c r="AA12681" s="1"/>
      <c r="AB12681" s="1"/>
      <c r="AC12681" s="1"/>
      <c r="AD12681" s="1"/>
      <c r="AE12681" s="1"/>
      <c r="AF12681" s="1"/>
      <c r="AG12681" s="1"/>
      <c r="AH12681" s="1"/>
    </row>
    <row r="12682" ht="12.75" customHeight="1">
      <c r="A12682" s="17"/>
      <c r="B12682" s="1"/>
      <c r="C12682" s="1"/>
      <c r="D12682" s="150"/>
      <c r="E12682" s="150"/>
      <c r="F12682" s="75"/>
      <c r="G12682" s="67"/>
      <c r="H12682" s="68"/>
      <c r="I12682" s="76"/>
      <c r="J12682" s="67"/>
      <c r="K12682" s="1"/>
      <c r="L12682" s="77"/>
      <c r="M12682" s="79"/>
      <c r="N12682" s="1"/>
      <c r="O12682" s="1"/>
      <c r="P12682" s="1"/>
      <c r="Q12682" s="1"/>
      <c r="R12682" s="1"/>
      <c r="S12682" s="1"/>
      <c r="T12682" s="1"/>
      <c r="U12682" s="1"/>
      <c r="V12682" s="1"/>
      <c r="W12682" s="1"/>
      <c r="X12682" s="1"/>
      <c r="Y12682" s="1"/>
      <c r="Z12682" s="1"/>
      <c r="AA12682" s="1"/>
      <c r="AB12682" s="1"/>
      <c r="AC12682" s="1"/>
      <c r="AD12682" s="1"/>
      <c r="AE12682" s="1"/>
      <c r="AF12682" s="1"/>
      <c r="AG12682" s="1"/>
      <c r="AH12682" s="1"/>
    </row>
    <row r="12683" ht="12.75" customHeight="1">
      <c r="A12683" s="17"/>
      <c r="B12683" s="1"/>
      <c r="C12683" s="1"/>
      <c r="D12683" s="150"/>
      <c r="E12683" s="150"/>
      <c r="F12683" s="75"/>
      <c r="G12683" s="67"/>
      <c r="H12683" s="68"/>
      <c r="I12683" s="76"/>
      <c r="J12683" s="67"/>
      <c r="K12683" s="1"/>
      <c r="L12683" s="77"/>
      <c r="M12683" s="79"/>
      <c r="N12683" s="1"/>
      <c r="O12683" s="1"/>
      <c r="P12683" s="1"/>
      <c r="Q12683" s="1"/>
      <c r="R12683" s="1"/>
      <c r="S12683" s="1"/>
      <c r="T12683" s="1"/>
      <c r="U12683" s="1"/>
      <c r="V12683" s="1"/>
      <c r="W12683" s="1"/>
      <c r="X12683" s="1"/>
      <c r="Y12683" s="1"/>
      <c r="Z12683" s="1"/>
      <c r="AA12683" s="1"/>
      <c r="AB12683" s="1"/>
      <c r="AC12683" s="1"/>
      <c r="AD12683" s="1"/>
      <c r="AE12683" s="1"/>
      <c r="AF12683" s="1"/>
      <c r="AG12683" s="1"/>
      <c r="AH12683" s="1"/>
    </row>
    <row r="12684" ht="12.75" customHeight="1">
      <c r="A12684" s="17"/>
      <c r="B12684" s="1"/>
      <c r="C12684" s="1"/>
      <c r="D12684" s="150"/>
      <c r="E12684" s="150"/>
      <c r="F12684" s="75"/>
      <c r="G12684" s="67"/>
      <c r="H12684" s="68"/>
      <c r="I12684" s="76"/>
      <c r="J12684" s="67"/>
      <c r="K12684" s="1"/>
      <c r="L12684" s="77"/>
      <c r="M12684" s="79"/>
      <c r="N12684" s="1"/>
      <c r="O12684" s="1"/>
      <c r="P12684" s="1"/>
      <c r="Q12684" s="1"/>
      <c r="R12684" s="1"/>
      <c r="S12684" s="1"/>
      <c r="T12684" s="1"/>
      <c r="U12684" s="1"/>
      <c r="V12684" s="1"/>
      <c r="W12684" s="1"/>
      <c r="X12684" s="1"/>
      <c r="Y12684" s="1"/>
      <c r="Z12684" s="1"/>
      <c r="AA12684" s="1"/>
      <c r="AB12684" s="1"/>
      <c r="AC12684" s="1"/>
      <c r="AD12684" s="1"/>
      <c r="AE12684" s="1"/>
      <c r="AF12684" s="1"/>
      <c r="AG12684" s="1"/>
      <c r="AH12684" s="1"/>
    </row>
    <row r="12685" ht="12.75" customHeight="1">
      <c r="A12685" s="17"/>
      <c r="B12685" s="1"/>
      <c r="C12685" s="1"/>
      <c r="D12685" s="150"/>
      <c r="E12685" s="150"/>
      <c r="F12685" s="75"/>
      <c r="G12685" s="67"/>
      <c r="H12685" s="68"/>
      <c r="I12685" s="76"/>
      <c r="J12685" s="67"/>
      <c r="K12685" s="1"/>
      <c r="L12685" s="77"/>
      <c r="M12685" s="79"/>
      <c r="N12685" s="1"/>
      <c r="O12685" s="1"/>
      <c r="P12685" s="1"/>
      <c r="Q12685" s="1"/>
      <c r="R12685" s="1"/>
      <c r="S12685" s="1"/>
      <c r="T12685" s="1"/>
      <c r="U12685" s="1"/>
      <c r="V12685" s="1"/>
      <c r="W12685" s="1"/>
      <c r="X12685" s="1"/>
      <c r="Y12685" s="1"/>
      <c r="Z12685" s="1"/>
      <c r="AA12685" s="1"/>
      <c r="AB12685" s="1"/>
      <c r="AC12685" s="1"/>
      <c r="AD12685" s="1"/>
      <c r="AE12685" s="1"/>
      <c r="AF12685" s="1"/>
      <c r="AG12685" s="1"/>
      <c r="AH12685" s="1"/>
    </row>
    <row r="12686" ht="12.75" customHeight="1">
      <c r="A12686" s="17"/>
      <c r="B12686" s="1"/>
      <c r="C12686" s="1"/>
      <c r="D12686" s="150"/>
      <c r="E12686" s="150"/>
      <c r="F12686" s="75"/>
      <c r="G12686" s="67"/>
      <c r="H12686" s="68"/>
      <c r="I12686" s="76"/>
      <c r="J12686" s="67"/>
      <c r="K12686" s="1"/>
      <c r="L12686" s="77"/>
      <c r="M12686" s="79"/>
      <c r="N12686" s="1"/>
      <c r="O12686" s="1"/>
      <c r="P12686" s="1"/>
      <c r="Q12686" s="1"/>
      <c r="R12686" s="1"/>
      <c r="S12686" s="1"/>
      <c r="T12686" s="1"/>
      <c r="U12686" s="1"/>
      <c r="V12686" s="1"/>
      <c r="W12686" s="1"/>
      <c r="X12686" s="1"/>
      <c r="Y12686" s="1"/>
      <c r="Z12686" s="1"/>
      <c r="AA12686" s="1"/>
      <c r="AB12686" s="1"/>
      <c r="AC12686" s="1"/>
      <c r="AD12686" s="1"/>
      <c r="AE12686" s="1"/>
      <c r="AF12686" s="1"/>
      <c r="AG12686" s="1"/>
      <c r="AH12686" s="1"/>
    </row>
    <row r="12687" ht="12.75" customHeight="1">
      <c r="A12687" s="17"/>
      <c r="B12687" s="1"/>
      <c r="C12687" s="1"/>
      <c r="D12687" s="150"/>
      <c r="E12687" s="150"/>
      <c r="F12687" s="75"/>
      <c r="G12687" s="67"/>
      <c r="H12687" s="68"/>
      <c r="I12687" s="76"/>
      <c r="J12687" s="67"/>
      <c r="K12687" s="1"/>
      <c r="L12687" s="77"/>
      <c r="M12687" s="79"/>
      <c r="N12687" s="1"/>
      <c r="O12687" s="1"/>
      <c r="P12687" s="1"/>
      <c r="Q12687" s="1"/>
      <c r="R12687" s="1"/>
      <c r="S12687" s="1"/>
      <c r="T12687" s="1"/>
      <c r="U12687" s="1"/>
      <c r="V12687" s="1"/>
      <c r="W12687" s="1"/>
      <c r="X12687" s="1"/>
      <c r="Y12687" s="1"/>
      <c r="Z12687" s="1"/>
      <c r="AA12687" s="1"/>
      <c r="AB12687" s="1"/>
      <c r="AC12687" s="1"/>
      <c r="AD12687" s="1"/>
      <c r="AE12687" s="1"/>
      <c r="AF12687" s="1"/>
      <c r="AG12687" s="1"/>
      <c r="AH12687" s="1"/>
    </row>
    <row r="12688" ht="12.75" customHeight="1">
      <c r="A12688" s="17"/>
      <c r="B12688" s="1"/>
      <c r="C12688" s="1"/>
      <c r="D12688" s="150"/>
      <c r="E12688" s="150"/>
      <c r="F12688" s="75"/>
      <c r="G12688" s="67"/>
      <c r="H12688" s="68"/>
      <c r="I12688" s="76"/>
      <c r="J12688" s="67"/>
      <c r="K12688" s="1"/>
      <c r="L12688" s="77"/>
      <c r="M12688" s="79"/>
      <c r="N12688" s="1"/>
      <c r="O12688" s="1"/>
      <c r="P12688" s="1"/>
      <c r="Q12688" s="1"/>
      <c r="R12688" s="1"/>
      <c r="S12688" s="1"/>
      <c r="T12688" s="1"/>
      <c r="U12688" s="1"/>
      <c r="V12688" s="1"/>
      <c r="W12688" s="1"/>
      <c r="X12688" s="1"/>
      <c r="Y12688" s="1"/>
      <c r="Z12688" s="1"/>
      <c r="AA12688" s="1"/>
      <c r="AB12688" s="1"/>
      <c r="AC12688" s="1"/>
      <c r="AD12688" s="1"/>
      <c r="AE12688" s="1"/>
      <c r="AF12688" s="1"/>
      <c r="AG12688" s="1"/>
      <c r="AH12688" s="1"/>
    </row>
    <row r="12689" ht="12.75" customHeight="1">
      <c r="A12689" s="17"/>
      <c r="B12689" s="1"/>
      <c r="C12689" s="1"/>
      <c r="D12689" s="150"/>
      <c r="E12689" s="150"/>
      <c r="F12689" s="75"/>
      <c r="G12689" s="67"/>
      <c r="H12689" s="68"/>
      <c r="I12689" s="76"/>
      <c r="J12689" s="67"/>
      <c r="K12689" s="1"/>
      <c r="L12689" s="77"/>
      <c r="M12689" s="79"/>
      <c r="N12689" s="1"/>
      <c r="O12689" s="1"/>
      <c r="P12689" s="1"/>
      <c r="Q12689" s="1"/>
      <c r="R12689" s="1"/>
      <c r="S12689" s="1"/>
      <c r="T12689" s="1"/>
      <c r="U12689" s="1"/>
      <c r="V12689" s="1"/>
      <c r="W12689" s="1"/>
      <c r="X12689" s="1"/>
      <c r="Y12689" s="1"/>
      <c r="Z12689" s="1"/>
      <c r="AA12689" s="1"/>
      <c r="AB12689" s="1"/>
      <c r="AC12689" s="1"/>
      <c r="AD12689" s="1"/>
      <c r="AE12689" s="1"/>
      <c r="AF12689" s="1"/>
      <c r="AG12689" s="1"/>
      <c r="AH12689" s="1"/>
    </row>
    <row r="12690" ht="12.75" customHeight="1">
      <c r="A12690" s="17"/>
      <c r="B12690" s="1"/>
      <c r="C12690" s="1"/>
      <c r="D12690" s="150"/>
      <c r="E12690" s="150"/>
      <c r="F12690" s="75"/>
      <c r="G12690" s="67"/>
      <c r="H12690" s="68"/>
      <c r="I12690" s="76"/>
      <c r="J12690" s="67"/>
      <c r="K12690" s="1"/>
      <c r="L12690" s="77"/>
      <c r="M12690" s="79"/>
      <c r="N12690" s="1"/>
      <c r="O12690" s="1"/>
      <c r="P12690" s="1"/>
      <c r="Q12690" s="1"/>
      <c r="R12690" s="1"/>
      <c r="S12690" s="1"/>
      <c r="T12690" s="1"/>
      <c r="U12690" s="1"/>
      <c r="V12690" s="1"/>
      <c r="W12690" s="1"/>
      <c r="X12690" s="1"/>
      <c r="Y12690" s="1"/>
      <c r="Z12690" s="1"/>
      <c r="AA12690" s="1"/>
      <c r="AB12690" s="1"/>
      <c r="AC12690" s="1"/>
      <c r="AD12690" s="1"/>
      <c r="AE12690" s="1"/>
      <c r="AF12690" s="1"/>
      <c r="AG12690" s="1"/>
      <c r="AH12690" s="1"/>
    </row>
    <row r="12691" ht="12.75" customHeight="1">
      <c r="A12691" s="17"/>
      <c r="B12691" s="1"/>
      <c r="C12691" s="1"/>
      <c r="D12691" s="150"/>
      <c r="E12691" s="150"/>
      <c r="F12691" s="75"/>
      <c r="G12691" s="67"/>
      <c r="H12691" s="68"/>
      <c r="I12691" s="76"/>
      <c r="J12691" s="67"/>
      <c r="K12691" s="1"/>
      <c r="L12691" s="77"/>
      <c r="M12691" s="79"/>
      <c r="N12691" s="1"/>
      <c r="O12691" s="1"/>
      <c r="P12691" s="1"/>
      <c r="Q12691" s="1"/>
      <c r="R12691" s="1"/>
      <c r="S12691" s="1"/>
      <c r="T12691" s="1"/>
      <c r="U12691" s="1"/>
      <c r="V12691" s="1"/>
      <c r="W12691" s="1"/>
      <c r="X12691" s="1"/>
      <c r="Y12691" s="1"/>
      <c r="Z12691" s="1"/>
      <c r="AA12691" s="1"/>
      <c r="AB12691" s="1"/>
      <c r="AC12691" s="1"/>
      <c r="AD12691" s="1"/>
      <c r="AE12691" s="1"/>
      <c r="AF12691" s="1"/>
      <c r="AG12691" s="1"/>
      <c r="AH12691" s="1"/>
    </row>
    <row r="12692" ht="12.75" customHeight="1">
      <c r="A12692" s="17"/>
      <c r="B12692" s="1"/>
      <c r="C12692" s="1"/>
      <c r="D12692" s="150"/>
      <c r="E12692" s="150"/>
      <c r="F12692" s="75"/>
      <c r="G12692" s="67"/>
      <c r="H12692" s="68"/>
      <c r="I12692" s="76"/>
      <c r="J12692" s="67"/>
      <c r="K12692" s="1"/>
      <c r="L12692" s="77"/>
      <c r="M12692" s="79"/>
      <c r="N12692" s="1"/>
      <c r="O12692" s="1"/>
      <c r="P12692" s="1"/>
      <c r="Q12692" s="1"/>
      <c r="R12692" s="1"/>
      <c r="S12692" s="1"/>
      <c r="T12692" s="1"/>
      <c r="U12692" s="1"/>
      <c r="V12692" s="1"/>
      <c r="W12692" s="1"/>
      <c r="X12692" s="1"/>
      <c r="Y12692" s="1"/>
      <c r="Z12692" s="1"/>
      <c r="AA12692" s="1"/>
      <c r="AB12692" s="1"/>
      <c r="AC12692" s="1"/>
      <c r="AD12692" s="1"/>
      <c r="AE12692" s="1"/>
      <c r="AF12692" s="1"/>
      <c r="AG12692" s="1"/>
      <c r="AH12692" s="1"/>
    </row>
    <row r="12693" ht="12.75" customHeight="1">
      <c r="A12693" s="17"/>
      <c r="B12693" s="1"/>
      <c r="C12693" s="1"/>
      <c r="D12693" s="150"/>
      <c r="E12693" s="150"/>
      <c r="F12693" s="75"/>
      <c r="G12693" s="67"/>
      <c r="H12693" s="68"/>
      <c r="I12693" s="76"/>
      <c r="J12693" s="67"/>
      <c r="K12693" s="1"/>
      <c r="L12693" s="77"/>
      <c r="M12693" s="79"/>
      <c r="N12693" s="1"/>
      <c r="O12693" s="1"/>
      <c r="P12693" s="1"/>
      <c r="Q12693" s="1"/>
      <c r="R12693" s="1"/>
      <c r="S12693" s="1"/>
      <c r="T12693" s="1"/>
      <c r="U12693" s="1"/>
      <c r="V12693" s="1"/>
      <c r="W12693" s="1"/>
      <c r="X12693" s="1"/>
      <c r="Y12693" s="1"/>
      <c r="Z12693" s="1"/>
      <c r="AA12693" s="1"/>
      <c r="AB12693" s="1"/>
      <c r="AC12693" s="1"/>
      <c r="AD12693" s="1"/>
      <c r="AE12693" s="1"/>
      <c r="AF12693" s="1"/>
      <c r="AG12693" s="1"/>
      <c r="AH12693" s="1"/>
    </row>
    <row r="12694" ht="12.75" customHeight="1">
      <c r="A12694" s="17"/>
      <c r="B12694" s="1"/>
      <c r="C12694" s="1"/>
      <c r="D12694" s="150"/>
      <c r="E12694" s="150"/>
      <c r="F12694" s="75"/>
      <c r="G12694" s="67"/>
      <c r="H12694" s="68"/>
      <c r="I12694" s="76"/>
      <c r="J12694" s="67"/>
      <c r="K12694" s="1"/>
      <c r="L12694" s="77"/>
      <c r="M12694" s="79"/>
      <c r="N12694" s="1"/>
      <c r="O12694" s="1"/>
      <c r="P12694" s="1"/>
      <c r="Q12694" s="1"/>
      <c r="R12694" s="1"/>
      <c r="S12694" s="1"/>
      <c r="T12694" s="1"/>
      <c r="U12694" s="1"/>
      <c r="V12694" s="1"/>
      <c r="W12694" s="1"/>
      <c r="X12694" s="1"/>
      <c r="Y12694" s="1"/>
      <c r="Z12694" s="1"/>
      <c r="AA12694" s="1"/>
      <c r="AB12694" s="1"/>
      <c r="AC12694" s="1"/>
      <c r="AD12694" s="1"/>
      <c r="AE12694" s="1"/>
      <c r="AF12694" s="1"/>
      <c r="AG12694" s="1"/>
      <c r="AH12694" s="1"/>
    </row>
    <row r="12695" ht="12.75" customHeight="1">
      <c r="A12695" s="17"/>
      <c r="B12695" s="1"/>
      <c r="C12695" s="1"/>
      <c r="D12695" s="150"/>
      <c r="E12695" s="150"/>
      <c r="F12695" s="75"/>
      <c r="G12695" s="67"/>
      <c r="H12695" s="68"/>
      <c r="I12695" s="76"/>
      <c r="J12695" s="67"/>
      <c r="K12695" s="1"/>
      <c r="L12695" s="77"/>
      <c r="M12695" s="79"/>
      <c r="N12695" s="1"/>
      <c r="O12695" s="1"/>
      <c r="P12695" s="1"/>
      <c r="Q12695" s="1"/>
      <c r="R12695" s="1"/>
      <c r="S12695" s="1"/>
      <c r="T12695" s="1"/>
      <c r="U12695" s="1"/>
      <c r="V12695" s="1"/>
      <c r="W12695" s="1"/>
      <c r="X12695" s="1"/>
      <c r="Y12695" s="1"/>
      <c r="Z12695" s="1"/>
      <c r="AA12695" s="1"/>
      <c r="AB12695" s="1"/>
      <c r="AC12695" s="1"/>
      <c r="AD12695" s="1"/>
      <c r="AE12695" s="1"/>
      <c r="AF12695" s="1"/>
      <c r="AG12695" s="1"/>
      <c r="AH12695" s="1"/>
    </row>
    <row r="12696" ht="12.75" customHeight="1">
      <c r="A12696" s="17"/>
      <c r="B12696" s="1"/>
      <c r="C12696" s="1"/>
      <c r="D12696" s="150"/>
      <c r="E12696" s="150"/>
      <c r="F12696" s="75"/>
      <c r="G12696" s="67"/>
      <c r="H12696" s="68"/>
      <c r="I12696" s="76"/>
      <c r="J12696" s="67"/>
      <c r="K12696" s="1"/>
      <c r="L12696" s="77"/>
      <c r="M12696" s="79"/>
      <c r="N12696" s="1"/>
      <c r="O12696" s="1"/>
      <c r="P12696" s="1"/>
      <c r="Q12696" s="1"/>
      <c r="R12696" s="1"/>
      <c r="S12696" s="1"/>
      <c r="T12696" s="1"/>
      <c r="U12696" s="1"/>
      <c r="V12696" s="1"/>
      <c r="W12696" s="1"/>
      <c r="X12696" s="1"/>
      <c r="Y12696" s="1"/>
      <c r="Z12696" s="1"/>
      <c r="AA12696" s="1"/>
      <c r="AB12696" s="1"/>
      <c r="AC12696" s="1"/>
      <c r="AD12696" s="1"/>
      <c r="AE12696" s="1"/>
      <c r="AF12696" s="1"/>
      <c r="AG12696" s="1"/>
      <c r="AH12696" s="1"/>
    </row>
    <row r="12697" ht="12.75" customHeight="1">
      <c r="A12697" s="17"/>
      <c r="B12697" s="1"/>
      <c r="C12697" s="1"/>
      <c r="D12697" s="150"/>
      <c r="E12697" s="150"/>
      <c r="F12697" s="75"/>
      <c r="G12697" s="67"/>
      <c r="H12697" s="68"/>
      <c r="I12697" s="76"/>
      <c r="J12697" s="67"/>
      <c r="K12697" s="1"/>
      <c r="L12697" s="77"/>
      <c r="M12697" s="79"/>
      <c r="N12697" s="1"/>
      <c r="O12697" s="1"/>
      <c r="P12697" s="1"/>
      <c r="Q12697" s="1"/>
      <c r="R12697" s="1"/>
      <c r="S12697" s="1"/>
      <c r="T12697" s="1"/>
      <c r="U12697" s="1"/>
      <c r="V12697" s="1"/>
      <c r="W12697" s="1"/>
      <c r="X12697" s="1"/>
      <c r="Y12697" s="1"/>
      <c r="Z12697" s="1"/>
      <c r="AA12697" s="1"/>
      <c r="AB12697" s="1"/>
      <c r="AC12697" s="1"/>
      <c r="AD12697" s="1"/>
      <c r="AE12697" s="1"/>
      <c r="AF12697" s="1"/>
      <c r="AG12697" s="1"/>
      <c r="AH12697" s="1"/>
    </row>
    <row r="12698" ht="12.75" customHeight="1">
      <c r="A12698" s="17"/>
      <c r="B12698" s="1"/>
      <c r="C12698" s="1"/>
      <c r="D12698" s="150"/>
      <c r="E12698" s="150"/>
      <c r="F12698" s="75"/>
      <c r="G12698" s="67"/>
      <c r="H12698" s="68"/>
      <c r="I12698" s="76"/>
      <c r="J12698" s="67"/>
      <c r="K12698" s="1"/>
      <c r="L12698" s="77"/>
      <c r="M12698" s="79"/>
      <c r="N12698" s="1"/>
      <c r="O12698" s="1"/>
      <c r="P12698" s="1"/>
      <c r="Q12698" s="1"/>
      <c r="R12698" s="1"/>
      <c r="S12698" s="1"/>
      <c r="T12698" s="1"/>
      <c r="U12698" s="1"/>
      <c r="V12698" s="1"/>
      <c r="W12698" s="1"/>
      <c r="X12698" s="1"/>
      <c r="Y12698" s="1"/>
      <c r="Z12698" s="1"/>
      <c r="AA12698" s="1"/>
      <c r="AB12698" s="1"/>
      <c r="AC12698" s="1"/>
      <c r="AD12698" s="1"/>
      <c r="AE12698" s="1"/>
      <c r="AF12698" s="1"/>
      <c r="AG12698" s="1"/>
      <c r="AH12698" s="1"/>
    </row>
    <row r="12699" ht="12.75" customHeight="1">
      <c r="A12699" s="17"/>
      <c r="B12699" s="1"/>
      <c r="C12699" s="1"/>
      <c r="D12699" s="150"/>
      <c r="E12699" s="150"/>
      <c r="F12699" s="75"/>
      <c r="G12699" s="67"/>
      <c r="H12699" s="68"/>
      <c r="I12699" s="76"/>
      <c r="J12699" s="67"/>
      <c r="K12699" s="1"/>
      <c r="L12699" s="77"/>
      <c r="M12699" s="79"/>
      <c r="N12699" s="1"/>
      <c r="O12699" s="1"/>
      <c r="P12699" s="1"/>
      <c r="Q12699" s="1"/>
      <c r="R12699" s="1"/>
      <c r="S12699" s="1"/>
      <c r="T12699" s="1"/>
      <c r="U12699" s="1"/>
      <c r="V12699" s="1"/>
      <c r="W12699" s="1"/>
      <c r="X12699" s="1"/>
      <c r="Y12699" s="1"/>
      <c r="Z12699" s="1"/>
      <c r="AA12699" s="1"/>
      <c r="AB12699" s="1"/>
      <c r="AC12699" s="1"/>
      <c r="AD12699" s="1"/>
      <c r="AE12699" s="1"/>
      <c r="AF12699" s="1"/>
      <c r="AG12699" s="1"/>
      <c r="AH12699" s="1"/>
    </row>
    <row r="12700" ht="12.75" customHeight="1">
      <c r="A12700" s="17"/>
      <c r="B12700" s="1"/>
      <c r="C12700" s="1"/>
      <c r="D12700" s="150"/>
      <c r="E12700" s="150"/>
      <c r="F12700" s="75"/>
      <c r="G12700" s="67"/>
      <c r="H12700" s="68"/>
      <c r="I12700" s="76"/>
      <c r="J12700" s="67"/>
      <c r="K12700" s="1"/>
      <c r="L12700" s="77"/>
      <c r="M12700" s="79"/>
      <c r="N12700" s="1"/>
      <c r="O12700" s="1"/>
      <c r="P12700" s="1"/>
      <c r="Q12700" s="1"/>
      <c r="R12700" s="1"/>
      <c r="S12700" s="1"/>
      <c r="T12700" s="1"/>
      <c r="U12700" s="1"/>
      <c r="V12700" s="1"/>
      <c r="W12700" s="1"/>
      <c r="X12700" s="1"/>
      <c r="Y12700" s="1"/>
      <c r="Z12700" s="1"/>
      <c r="AA12700" s="1"/>
      <c r="AB12700" s="1"/>
      <c r="AC12700" s="1"/>
      <c r="AD12700" s="1"/>
      <c r="AE12700" s="1"/>
      <c r="AF12700" s="1"/>
      <c r="AG12700" s="1"/>
      <c r="AH12700" s="1"/>
    </row>
    <row r="12701" ht="12.75" customHeight="1">
      <c r="A12701" s="17"/>
      <c r="B12701" s="1"/>
      <c r="C12701" s="1"/>
      <c r="D12701" s="150"/>
      <c r="E12701" s="150"/>
      <c r="F12701" s="75"/>
      <c r="G12701" s="67"/>
      <c r="H12701" s="68"/>
      <c r="I12701" s="76"/>
      <c r="J12701" s="67"/>
      <c r="K12701" s="1"/>
      <c r="L12701" s="77"/>
      <c r="M12701" s="79"/>
      <c r="N12701" s="1"/>
      <c r="O12701" s="1"/>
      <c r="P12701" s="1"/>
      <c r="Q12701" s="1"/>
      <c r="R12701" s="1"/>
      <c r="S12701" s="1"/>
      <c r="T12701" s="1"/>
      <c r="U12701" s="1"/>
      <c r="V12701" s="1"/>
      <c r="W12701" s="1"/>
      <c r="X12701" s="1"/>
      <c r="Y12701" s="1"/>
      <c r="Z12701" s="1"/>
      <c r="AA12701" s="1"/>
      <c r="AB12701" s="1"/>
      <c r="AC12701" s="1"/>
      <c r="AD12701" s="1"/>
      <c r="AE12701" s="1"/>
      <c r="AF12701" s="1"/>
      <c r="AG12701" s="1"/>
      <c r="AH12701" s="1"/>
    </row>
    <row r="12702" ht="12.75" customHeight="1">
      <c r="A12702" s="17"/>
      <c r="B12702" s="1"/>
      <c r="C12702" s="1"/>
      <c r="D12702" s="150"/>
      <c r="E12702" s="150"/>
      <c r="F12702" s="75"/>
      <c r="G12702" s="67"/>
      <c r="H12702" s="68"/>
      <c r="I12702" s="76"/>
      <c r="J12702" s="67"/>
      <c r="K12702" s="1"/>
      <c r="L12702" s="77"/>
      <c r="M12702" s="79"/>
      <c r="N12702" s="1"/>
      <c r="O12702" s="1"/>
      <c r="P12702" s="1"/>
      <c r="Q12702" s="1"/>
      <c r="R12702" s="1"/>
      <c r="S12702" s="1"/>
      <c r="T12702" s="1"/>
      <c r="U12702" s="1"/>
      <c r="V12702" s="1"/>
      <c r="W12702" s="1"/>
      <c r="X12702" s="1"/>
      <c r="Y12702" s="1"/>
      <c r="Z12702" s="1"/>
      <c r="AA12702" s="1"/>
      <c r="AB12702" s="1"/>
      <c r="AC12702" s="1"/>
      <c r="AD12702" s="1"/>
      <c r="AE12702" s="1"/>
      <c r="AF12702" s="1"/>
      <c r="AG12702" s="1"/>
      <c r="AH12702" s="1"/>
    </row>
    <row r="12703" ht="12.75" customHeight="1">
      <c r="A12703" s="17"/>
      <c r="B12703" s="1"/>
      <c r="C12703" s="1"/>
      <c r="D12703" s="150"/>
      <c r="E12703" s="150"/>
      <c r="F12703" s="75"/>
      <c r="G12703" s="67"/>
      <c r="H12703" s="68"/>
      <c r="I12703" s="76"/>
      <c r="J12703" s="67"/>
      <c r="K12703" s="1"/>
      <c r="L12703" s="77"/>
      <c r="M12703" s="79"/>
      <c r="N12703" s="1"/>
      <c r="O12703" s="1"/>
      <c r="P12703" s="1"/>
      <c r="Q12703" s="1"/>
      <c r="R12703" s="1"/>
      <c r="S12703" s="1"/>
      <c r="T12703" s="1"/>
      <c r="U12703" s="1"/>
      <c r="V12703" s="1"/>
      <c r="W12703" s="1"/>
      <c r="X12703" s="1"/>
      <c r="Y12703" s="1"/>
      <c r="Z12703" s="1"/>
      <c r="AA12703" s="1"/>
      <c r="AB12703" s="1"/>
      <c r="AC12703" s="1"/>
      <c r="AD12703" s="1"/>
      <c r="AE12703" s="1"/>
      <c r="AF12703" s="1"/>
      <c r="AG12703" s="1"/>
      <c r="AH12703" s="1"/>
    </row>
    <row r="12704" ht="12.75" customHeight="1">
      <c r="A12704" s="17"/>
      <c r="B12704" s="1"/>
      <c r="C12704" s="1"/>
      <c r="D12704" s="150"/>
      <c r="E12704" s="150"/>
      <c r="F12704" s="75"/>
      <c r="G12704" s="67"/>
      <c r="H12704" s="68"/>
      <c r="I12704" s="76"/>
      <c r="J12704" s="67"/>
      <c r="K12704" s="1"/>
      <c r="L12704" s="77"/>
      <c r="M12704" s="79"/>
      <c r="N12704" s="1"/>
      <c r="O12704" s="1"/>
      <c r="P12704" s="1"/>
      <c r="Q12704" s="1"/>
      <c r="R12704" s="1"/>
      <c r="S12704" s="1"/>
      <c r="T12704" s="1"/>
      <c r="U12704" s="1"/>
      <c r="V12704" s="1"/>
      <c r="W12704" s="1"/>
      <c r="X12704" s="1"/>
      <c r="Y12704" s="1"/>
      <c r="Z12704" s="1"/>
      <c r="AA12704" s="1"/>
      <c r="AB12704" s="1"/>
      <c r="AC12704" s="1"/>
      <c r="AD12704" s="1"/>
      <c r="AE12704" s="1"/>
      <c r="AF12704" s="1"/>
      <c r="AG12704" s="1"/>
      <c r="AH12704" s="1"/>
    </row>
    <row r="12705" ht="12.75" customHeight="1">
      <c r="A12705" s="17"/>
      <c r="B12705" s="1"/>
      <c r="C12705" s="1"/>
      <c r="D12705" s="150"/>
      <c r="E12705" s="150"/>
      <c r="F12705" s="75"/>
      <c r="G12705" s="67"/>
      <c r="H12705" s="68"/>
      <c r="I12705" s="76"/>
      <c r="J12705" s="67"/>
      <c r="K12705" s="1"/>
      <c r="L12705" s="77"/>
      <c r="M12705" s="79"/>
      <c r="N12705" s="1"/>
      <c r="O12705" s="1"/>
      <c r="P12705" s="1"/>
      <c r="Q12705" s="1"/>
      <c r="R12705" s="1"/>
      <c r="S12705" s="1"/>
      <c r="T12705" s="1"/>
      <c r="U12705" s="1"/>
      <c r="V12705" s="1"/>
      <c r="W12705" s="1"/>
      <c r="X12705" s="1"/>
      <c r="Y12705" s="1"/>
      <c r="Z12705" s="1"/>
      <c r="AA12705" s="1"/>
      <c r="AB12705" s="1"/>
      <c r="AC12705" s="1"/>
      <c r="AD12705" s="1"/>
      <c r="AE12705" s="1"/>
      <c r="AF12705" s="1"/>
      <c r="AG12705" s="1"/>
      <c r="AH12705" s="1"/>
    </row>
    <row r="12706" ht="12.75" customHeight="1">
      <c r="A12706" s="17"/>
      <c r="B12706" s="1"/>
      <c r="C12706" s="1"/>
      <c r="D12706" s="150"/>
      <c r="E12706" s="150"/>
      <c r="F12706" s="75"/>
      <c r="G12706" s="67"/>
      <c r="H12706" s="68"/>
      <c r="I12706" s="76"/>
      <c r="J12706" s="67"/>
      <c r="K12706" s="1"/>
      <c r="L12706" s="77"/>
      <c r="M12706" s="79"/>
      <c r="N12706" s="1"/>
      <c r="O12706" s="1"/>
      <c r="P12706" s="1"/>
      <c r="Q12706" s="1"/>
      <c r="R12706" s="1"/>
      <c r="S12706" s="1"/>
      <c r="T12706" s="1"/>
      <c r="U12706" s="1"/>
      <c r="V12706" s="1"/>
      <c r="W12706" s="1"/>
      <c r="X12706" s="1"/>
      <c r="Y12706" s="1"/>
      <c r="Z12706" s="1"/>
      <c r="AA12706" s="1"/>
      <c r="AB12706" s="1"/>
      <c r="AC12706" s="1"/>
      <c r="AD12706" s="1"/>
      <c r="AE12706" s="1"/>
      <c r="AF12706" s="1"/>
      <c r="AG12706" s="1"/>
      <c r="AH12706" s="1"/>
    </row>
    <row r="12707" ht="12.75" customHeight="1">
      <c r="A12707" s="17"/>
      <c r="B12707" s="1"/>
      <c r="C12707" s="1"/>
      <c r="D12707" s="150"/>
      <c r="E12707" s="150"/>
      <c r="F12707" s="75"/>
      <c r="G12707" s="67"/>
      <c r="H12707" s="68"/>
      <c r="I12707" s="76"/>
      <c r="J12707" s="67"/>
      <c r="K12707" s="1"/>
      <c r="L12707" s="77"/>
      <c r="M12707" s="79"/>
      <c r="N12707" s="1"/>
      <c r="O12707" s="1"/>
      <c r="P12707" s="1"/>
      <c r="Q12707" s="1"/>
      <c r="R12707" s="1"/>
      <c r="S12707" s="1"/>
      <c r="T12707" s="1"/>
      <c r="U12707" s="1"/>
      <c r="V12707" s="1"/>
      <c r="W12707" s="1"/>
      <c r="X12707" s="1"/>
      <c r="Y12707" s="1"/>
      <c r="Z12707" s="1"/>
      <c r="AA12707" s="1"/>
      <c r="AB12707" s="1"/>
      <c r="AC12707" s="1"/>
      <c r="AD12707" s="1"/>
      <c r="AE12707" s="1"/>
      <c r="AF12707" s="1"/>
      <c r="AG12707" s="1"/>
      <c r="AH12707" s="1"/>
    </row>
    <row r="12708" ht="12.75" customHeight="1">
      <c r="A12708" s="17"/>
      <c r="B12708" s="1"/>
      <c r="C12708" s="1"/>
      <c r="D12708" s="150"/>
      <c r="E12708" s="150"/>
      <c r="F12708" s="75"/>
      <c r="G12708" s="67"/>
      <c r="H12708" s="68"/>
      <c r="I12708" s="76"/>
      <c r="J12708" s="67"/>
      <c r="K12708" s="1"/>
      <c r="L12708" s="77"/>
      <c r="M12708" s="79"/>
      <c r="N12708" s="1"/>
      <c r="O12708" s="1"/>
      <c r="P12708" s="1"/>
      <c r="Q12708" s="1"/>
      <c r="R12708" s="1"/>
      <c r="S12708" s="1"/>
      <c r="T12708" s="1"/>
      <c r="U12708" s="1"/>
      <c r="V12708" s="1"/>
      <c r="W12708" s="1"/>
      <c r="X12708" s="1"/>
      <c r="Y12708" s="1"/>
      <c r="Z12708" s="1"/>
      <c r="AA12708" s="1"/>
      <c r="AB12708" s="1"/>
      <c r="AC12708" s="1"/>
      <c r="AD12708" s="1"/>
      <c r="AE12708" s="1"/>
      <c r="AF12708" s="1"/>
      <c r="AG12708" s="1"/>
      <c r="AH12708" s="1"/>
    </row>
    <row r="12709" ht="12.75" customHeight="1">
      <c r="A12709" s="17"/>
      <c r="B12709" s="1"/>
      <c r="C12709" s="1"/>
      <c r="D12709" s="150"/>
      <c r="E12709" s="150"/>
      <c r="F12709" s="75"/>
      <c r="G12709" s="67"/>
      <c r="H12709" s="68"/>
      <c r="I12709" s="76"/>
      <c r="J12709" s="67"/>
      <c r="K12709" s="1"/>
      <c r="L12709" s="77"/>
      <c r="M12709" s="79"/>
      <c r="N12709" s="1"/>
      <c r="O12709" s="1"/>
      <c r="P12709" s="1"/>
      <c r="Q12709" s="1"/>
      <c r="R12709" s="1"/>
      <c r="S12709" s="1"/>
      <c r="T12709" s="1"/>
      <c r="U12709" s="1"/>
      <c r="V12709" s="1"/>
      <c r="W12709" s="1"/>
      <c r="X12709" s="1"/>
      <c r="Y12709" s="1"/>
      <c r="Z12709" s="1"/>
      <c r="AA12709" s="1"/>
      <c r="AB12709" s="1"/>
      <c r="AC12709" s="1"/>
      <c r="AD12709" s="1"/>
      <c r="AE12709" s="1"/>
      <c r="AF12709" s="1"/>
      <c r="AG12709" s="1"/>
      <c r="AH12709" s="1"/>
    </row>
    <row r="12710" ht="12.75" customHeight="1">
      <c r="A12710" s="17"/>
      <c r="B12710" s="1"/>
      <c r="C12710" s="1"/>
      <c r="D12710" s="150"/>
      <c r="E12710" s="150"/>
      <c r="F12710" s="75"/>
      <c r="G12710" s="67"/>
      <c r="H12710" s="68"/>
      <c r="I12710" s="76"/>
      <c r="J12710" s="67"/>
      <c r="K12710" s="1"/>
      <c r="L12710" s="77"/>
      <c r="M12710" s="79"/>
      <c r="N12710" s="1"/>
      <c r="O12710" s="1"/>
      <c r="P12710" s="1"/>
      <c r="Q12710" s="1"/>
      <c r="R12710" s="1"/>
      <c r="S12710" s="1"/>
      <c r="T12710" s="1"/>
      <c r="U12710" s="1"/>
      <c r="V12710" s="1"/>
      <c r="W12710" s="1"/>
      <c r="X12710" s="1"/>
      <c r="Y12710" s="1"/>
      <c r="Z12710" s="1"/>
      <c r="AA12710" s="1"/>
      <c r="AB12710" s="1"/>
      <c r="AC12710" s="1"/>
      <c r="AD12710" s="1"/>
      <c r="AE12710" s="1"/>
      <c r="AF12710" s="1"/>
      <c r="AG12710" s="1"/>
      <c r="AH12710" s="1"/>
    </row>
    <row r="12711" ht="12.75" customHeight="1">
      <c r="A12711" s="17"/>
      <c r="B12711" s="1"/>
      <c r="C12711" s="1"/>
      <c r="D12711" s="150"/>
      <c r="E12711" s="150"/>
      <c r="F12711" s="75"/>
      <c r="G12711" s="67"/>
      <c r="H12711" s="68"/>
      <c r="I12711" s="76"/>
      <c r="J12711" s="67"/>
      <c r="K12711" s="1"/>
      <c r="L12711" s="77"/>
      <c r="M12711" s="79"/>
      <c r="N12711" s="1"/>
      <c r="O12711" s="1"/>
      <c r="P12711" s="1"/>
      <c r="Q12711" s="1"/>
      <c r="R12711" s="1"/>
      <c r="S12711" s="1"/>
      <c r="T12711" s="1"/>
      <c r="U12711" s="1"/>
      <c r="V12711" s="1"/>
      <c r="W12711" s="1"/>
      <c r="X12711" s="1"/>
      <c r="Y12711" s="1"/>
      <c r="Z12711" s="1"/>
      <c r="AA12711" s="1"/>
      <c r="AB12711" s="1"/>
      <c r="AC12711" s="1"/>
      <c r="AD12711" s="1"/>
      <c r="AE12711" s="1"/>
      <c r="AF12711" s="1"/>
      <c r="AG12711" s="1"/>
      <c r="AH12711" s="1"/>
    </row>
    <row r="12712" ht="12.75" customHeight="1">
      <c r="A12712" s="17"/>
      <c r="B12712" s="1"/>
      <c r="C12712" s="1"/>
      <c r="D12712" s="150"/>
      <c r="E12712" s="150"/>
      <c r="F12712" s="75"/>
      <c r="G12712" s="67"/>
      <c r="H12712" s="68"/>
      <c r="I12712" s="76"/>
      <c r="J12712" s="67"/>
      <c r="K12712" s="1"/>
      <c r="L12712" s="77"/>
      <c r="M12712" s="79"/>
      <c r="N12712" s="1"/>
      <c r="O12712" s="1"/>
      <c r="P12712" s="1"/>
      <c r="Q12712" s="1"/>
      <c r="R12712" s="1"/>
      <c r="S12712" s="1"/>
      <c r="T12712" s="1"/>
      <c r="U12712" s="1"/>
      <c r="V12712" s="1"/>
      <c r="W12712" s="1"/>
      <c r="X12712" s="1"/>
      <c r="Y12712" s="1"/>
      <c r="Z12712" s="1"/>
      <c r="AA12712" s="1"/>
      <c r="AB12712" s="1"/>
      <c r="AC12712" s="1"/>
      <c r="AD12712" s="1"/>
      <c r="AE12712" s="1"/>
      <c r="AF12712" s="1"/>
      <c r="AG12712" s="1"/>
      <c r="AH12712" s="1"/>
    </row>
    <row r="12713" ht="12.75" customHeight="1">
      <c r="A12713" s="17"/>
      <c r="B12713" s="1"/>
      <c r="C12713" s="1"/>
      <c r="D12713" s="150"/>
      <c r="E12713" s="150"/>
      <c r="F12713" s="75"/>
      <c r="G12713" s="67"/>
      <c r="H12713" s="68"/>
      <c r="I12713" s="76"/>
      <c r="J12713" s="67"/>
      <c r="K12713" s="1"/>
      <c r="L12713" s="77"/>
      <c r="M12713" s="79"/>
      <c r="N12713" s="1"/>
      <c r="O12713" s="1"/>
      <c r="P12713" s="1"/>
      <c r="Q12713" s="1"/>
      <c r="R12713" s="1"/>
      <c r="S12713" s="1"/>
      <c r="T12713" s="1"/>
      <c r="U12713" s="1"/>
      <c r="V12713" s="1"/>
      <c r="W12713" s="1"/>
      <c r="X12713" s="1"/>
      <c r="Y12713" s="1"/>
      <c r="Z12713" s="1"/>
      <c r="AA12713" s="1"/>
      <c r="AB12713" s="1"/>
      <c r="AC12713" s="1"/>
      <c r="AD12713" s="1"/>
      <c r="AE12713" s="1"/>
      <c r="AF12713" s="1"/>
      <c r="AG12713" s="1"/>
      <c r="AH12713" s="1"/>
    </row>
    <row r="12714" ht="12.75" customHeight="1">
      <c r="A12714" s="17"/>
      <c r="B12714" s="1"/>
      <c r="C12714" s="1"/>
      <c r="D12714" s="150"/>
      <c r="E12714" s="150"/>
      <c r="F12714" s="75"/>
      <c r="G12714" s="67"/>
      <c r="H12714" s="68"/>
      <c r="I12714" s="76"/>
      <c r="J12714" s="67"/>
      <c r="K12714" s="1"/>
      <c r="L12714" s="77"/>
      <c r="M12714" s="79"/>
      <c r="N12714" s="1"/>
      <c r="O12714" s="1"/>
      <c r="P12714" s="1"/>
      <c r="Q12714" s="1"/>
      <c r="R12714" s="1"/>
      <c r="S12714" s="1"/>
      <c r="T12714" s="1"/>
      <c r="U12714" s="1"/>
      <c r="V12714" s="1"/>
      <c r="W12714" s="1"/>
      <c r="X12714" s="1"/>
      <c r="Y12714" s="1"/>
      <c r="Z12714" s="1"/>
      <c r="AA12714" s="1"/>
      <c r="AB12714" s="1"/>
      <c r="AC12714" s="1"/>
      <c r="AD12714" s="1"/>
      <c r="AE12714" s="1"/>
      <c r="AF12714" s="1"/>
      <c r="AG12714" s="1"/>
      <c r="AH12714" s="1"/>
    </row>
    <row r="12715" ht="12.75" customHeight="1">
      <c r="A12715" s="17"/>
      <c r="B12715" s="1"/>
      <c r="C12715" s="1"/>
      <c r="D12715" s="150"/>
      <c r="E12715" s="150"/>
      <c r="F12715" s="75"/>
      <c r="G12715" s="67"/>
      <c r="H12715" s="68"/>
      <c r="I12715" s="76"/>
      <c r="J12715" s="67"/>
      <c r="K12715" s="1"/>
      <c r="L12715" s="77"/>
      <c r="M12715" s="79"/>
      <c r="N12715" s="1"/>
      <c r="O12715" s="1"/>
      <c r="P12715" s="1"/>
      <c r="Q12715" s="1"/>
      <c r="R12715" s="1"/>
      <c r="S12715" s="1"/>
      <c r="T12715" s="1"/>
      <c r="U12715" s="1"/>
      <c r="V12715" s="1"/>
      <c r="W12715" s="1"/>
      <c r="X12715" s="1"/>
      <c r="Y12715" s="1"/>
      <c r="Z12715" s="1"/>
      <c r="AA12715" s="1"/>
      <c r="AB12715" s="1"/>
      <c r="AC12715" s="1"/>
      <c r="AD12715" s="1"/>
      <c r="AE12715" s="1"/>
      <c r="AF12715" s="1"/>
      <c r="AG12715" s="1"/>
      <c r="AH12715" s="1"/>
    </row>
    <row r="12716" ht="12.75" customHeight="1">
      <c r="A12716" s="17"/>
      <c r="B12716" s="1"/>
      <c r="C12716" s="1"/>
      <c r="D12716" s="150"/>
      <c r="E12716" s="150"/>
      <c r="F12716" s="75"/>
      <c r="G12716" s="67"/>
      <c r="H12716" s="68"/>
      <c r="I12716" s="76"/>
      <c r="J12716" s="67"/>
      <c r="K12716" s="1"/>
      <c r="L12716" s="77"/>
      <c r="M12716" s="79"/>
      <c r="N12716" s="1"/>
      <c r="O12716" s="1"/>
      <c r="P12716" s="1"/>
      <c r="Q12716" s="1"/>
      <c r="R12716" s="1"/>
      <c r="S12716" s="1"/>
      <c r="T12716" s="1"/>
      <c r="U12716" s="1"/>
      <c r="V12716" s="1"/>
      <c r="W12716" s="1"/>
      <c r="X12716" s="1"/>
      <c r="Y12716" s="1"/>
      <c r="Z12716" s="1"/>
      <c r="AA12716" s="1"/>
      <c r="AB12716" s="1"/>
      <c r="AC12716" s="1"/>
      <c r="AD12716" s="1"/>
      <c r="AE12716" s="1"/>
      <c r="AF12716" s="1"/>
      <c r="AG12716" s="1"/>
      <c r="AH12716" s="1"/>
    </row>
    <row r="12717" ht="12.75" customHeight="1">
      <c r="A12717" s="17"/>
      <c r="B12717" s="1"/>
      <c r="C12717" s="1"/>
      <c r="D12717" s="150"/>
      <c r="E12717" s="150"/>
      <c r="F12717" s="75"/>
      <c r="G12717" s="67"/>
      <c r="H12717" s="68"/>
      <c r="I12717" s="76"/>
      <c r="J12717" s="67"/>
      <c r="K12717" s="1"/>
      <c r="L12717" s="77"/>
      <c r="M12717" s="79"/>
      <c r="N12717" s="1"/>
      <c r="O12717" s="1"/>
      <c r="P12717" s="1"/>
      <c r="Q12717" s="1"/>
      <c r="R12717" s="1"/>
      <c r="S12717" s="1"/>
      <c r="T12717" s="1"/>
      <c r="U12717" s="1"/>
      <c r="V12717" s="1"/>
      <c r="W12717" s="1"/>
      <c r="X12717" s="1"/>
      <c r="Y12717" s="1"/>
      <c r="Z12717" s="1"/>
      <c r="AA12717" s="1"/>
      <c r="AB12717" s="1"/>
      <c r="AC12717" s="1"/>
      <c r="AD12717" s="1"/>
      <c r="AE12717" s="1"/>
      <c r="AF12717" s="1"/>
      <c r="AG12717" s="1"/>
      <c r="AH12717" s="1"/>
    </row>
    <row r="12718" ht="12.75" customHeight="1">
      <c r="A12718" s="17"/>
      <c r="B12718" s="1"/>
      <c r="C12718" s="1"/>
      <c r="D12718" s="150"/>
      <c r="E12718" s="150"/>
      <c r="F12718" s="75"/>
      <c r="G12718" s="67"/>
      <c r="H12718" s="68"/>
      <c r="I12718" s="76"/>
      <c r="J12718" s="67"/>
      <c r="K12718" s="1"/>
      <c r="L12718" s="77"/>
      <c r="M12718" s="79"/>
      <c r="N12718" s="1"/>
      <c r="O12718" s="1"/>
      <c r="P12718" s="1"/>
      <c r="Q12718" s="1"/>
      <c r="R12718" s="1"/>
      <c r="S12718" s="1"/>
      <c r="T12718" s="1"/>
      <c r="U12718" s="1"/>
      <c r="V12718" s="1"/>
      <c r="W12718" s="1"/>
      <c r="X12718" s="1"/>
      <c r="Y12718" s="1"/>
      <c r="Z12718" s="1"/>
      <c r="AA12718" s="1"/>
      <c r="AB12718" s="1"/>
      <c r="AC12718" s="1"/>
      <c r="AD12718" s="1"/>
      <c r="AE12718" s="1"/>
      <c r="AF12718" s="1"/>
      <c r="AG12718" s="1"/>
      <c r="AH12718" s="1"/>
    </row>
    <row r="12719" ht="12.75" customHeight="1">
      <c r="A12719" s="17"/>
      <c r="B12719" s="1"/>
      <c r="C12719" s="1"/>
      <c r="D12719" s="150"/>
      <c r="E12719" s="150"/>
      <c r="F12719" s="75"/>
      <c r="G12719" s="67"/>
      <c r="H12719" s="68"/>
      <c r="I12719" s="76"/>
      <c r="J12719" s="67"/>
      <c r="K12719" s="1"/>
      <c r="L12719" s="77"/>
      <c r="M12719" s="79"/>
      <c r="N12719" s="1"/>
      <c r="O12719" s="1"/>
      <c r="P12719" s="1"/>
      <c r="Q12719" s="1"/>
      <c r="R12719" s="1"/>
      <c r="S12719" s="1"/>
      <c r="T12719" s="1"/>
      <c r="U12719" s="1"/>
      <c r="V12719" s="1"/>
      <c r="W12719" s="1"/>
      <c r="X12719" s="1"/>
      <c r="Y12719" s="1"/>
      <c r="Z12719" s="1"/>
      <c r="AA12719" s="1"/>
      <c r="AB12719" s="1"/>
      <c r="AC12719" s="1"/>
      <c r="AD12719" s="1"/>
      <c r="AE12719" s="1"/>
      <c r="AF12719" s="1"/>
      <c r="AG12719" s="1"/>
      <c r="AH12719" s="1"/>
    </row>
    <row r="12720" ht="12.75" customHeight="1">
      <c r="A12720" s="17"/>
      <c r="B12720" s="1"/>
      <c r="C12720" s="1"/>
      <c r="D12720" s="150"/>
      <c r="E12720" s="150"/>
      <c r="F12720" s="75"/>
      <c r="G12720" s="67"/>
      <c r="H12720" s="68"/>
      <c r="I12720" s="76"/>
      <c r="J12720" s="67"/>
      <c r="K12720" s="1"/>
      <c r="L12720" s="77"/>
      <c r="M12720" s="79"/>
      <c r="N12720" s="1"/>
      <c r="O12720" s="1"/>
      <c r="P12720" s="1"/>
      <c r="Q12720" s="1"/>
      <c r="R12720" s="1"/>
      <c r="S12720" s="1"/>
      <c r="T12720" s="1"/>
      <c r="U12720" s="1"/>
      <c r="V12720" s="1"/>
      <c r="W12720" s="1"/>
      <c r="X12720" s="1"/>
      <c r="Y12720" s="1"/>
      <c r="Z12720" s="1"/>
      <c r="AA12720" s="1"/>
      <c r="AB12720" s="1"/>
      <c r="AC12720" s="1"/>
      <c r="AD12720" s="1"/>
      <c r="AE12720" s="1"/>
      <c r="AF12720" s="1"/>
      <c r="AG12720" s="1"/>
      <c r="AH12720" s="1"/>
    </row>
    <row r="12721" ht="12.75" customHeight="1">
      <c r="A12721" s="17"/>
      <c r="B12721" s="1"/>
      <c r="C12721" s="1"/>
      <c r="D12721" s="150"/>
      <c r="E12721" s="150"/>
      <c r="F12721" s="75"/>
      <c r="G12721" s="67"/>
      <c r="H12721" s="68"/>
      <c r="I12721" s="76"/>
      <c r="J12721" s="67"/>
      <c r="K12721" s="1"/>
      <c r="L12721" s="77"/>
      <c r="M12721" s="79"/>
      <c r="N12721" s="1"/>
      <c r="O12721" s="1"/>
      <c r="P12721" s="1"/>
      <c r="Q12721" s="1"/>
      <c r="R12721" s="1"/>
      <c r="S12721" s="1"/>
      <c r="T12721" s="1"/>
      <c r="U12721" s="1"/>
      <c r="V12721" s="1"/>
      <c r="W12721" s="1"/>
      <c r="X12721" s="1"/>
      <c r="Y12721" s="1"/>
      <c r="Z12721" s="1"/>
      <c r="AA12721" s="1"/>
      <c r="AB12721" s="1"/>
      <c r="AC12721" s="1"/>
      <c r="AD12721" s="1"/>
      <c r="AE12721" s="1"/>
      <c r="AF12721" s="1"/>
      <c r="AG12721" s="1"/>
      <c r="AH12721" s="1"/>
    </row>
    <row r="12722" ht="12.75" customHeight="1">
      <c r="A12722" s="17"/>
      <c r="B12722" s="1"/>
      <c r="C12722" s="1"/>
      <c r="D12722" s="150"/>
      <c r="E12722" s="150"/>
      <c r="F12722" s="75"/>
      <c r="G12722" s="67"/>
      <c r="H12722" s="68"/>
      <c r="I12722" s="76"/>
      <c r="J12722" s="67"/>
      <c r="K12722" s="1"/>
      <c r="L12722" s="77"/>
      <c r="M12722" s="79"/>
      <c r="N12722" s="1"/>
      <c r="O12722" s="1"/>
      <c r="P12722" s="1"/>
      <c r="Q12722" s="1"/>
      <c r="R12722" s="1"/>
      <c r="S12722" s="1"/>
      <c r="T12722" s="1"/>
      <c r="U12722" s="1"/>
      <c r="V12722" s="1"/>
      <c r="W12722" s="1"/>
      <c r="X12722" s="1"/>
      <c r="Y12722" s="1"/>
      <c r="Z12722" s="1"/>
      <c r="AA12722" s="1"/>
      <c r="AB12722" s="1"/>
      <c r="AC12722" s="1"/>
      <c r="AD12722" s="1"/>
      <c r="AE12722" s="1"/>
      <c r="AF12722" s="1"/>
      <c r="AG12722" s="1"/>
      <c r="AH12722" s="1"/>
    </row>
    <row r="12723" ht="12.75" customHeight="1">
      <c r="A12723" s="17"/>
      <c r="B12723" s="1"/>
      <c r="C12723" s="1"/>
      <c r="D12723" s="150"/>
      <c r="E12723" s="150"/>
      <c r="F12723" s="75"/>
      <c r="G12723" s="67"/>
      <c r="H12723" s="68"/>
      <c r="I12723" s="76"/>
      <c r="J12723" s="67"/>
      <c r="K12723" s="1"/>
      <c r="L12723" s="77"/>
      <c r="M12723" s="79"/>
      <c r="N12723" s="1"/>
      <c r="O12723" s="1"/>
      <c r="P12723" s="1"/>
      <c r="Q12723" s="1"/>
      <c r="R12723" s="1"/>
      <c r="S12723" s="1"/>
      <c r="T12723" s="1"/>
      <c r="U12723" s="1"/>
      <c r="V12723" s="1"/>
      <c r="W12723" s="1"/>
      <c r="X12723" s="1"/>
      <c r="Y12723" s="1"/>
      <c r="Z12723" s="1"/>
      <c r="AA12723" s="1"/>
      <c r="AB12723" s="1"/>
      <c r="AC12723" s="1"/>
      <c r="AD12723" s="1"/>
      <c r="AE12723" s="1"/>
      <c r="AF12723" s="1"/>
      <c r="AG12723" s="1"/>
      <c r="AH12723" s="1"/>
    </row>
    <row r="12724" ht="12.75" customHeight="1">
      <c r="A12724" s="17"/>
      <c r="B12724" s="1"/>
      <c r="C12724" s="1"/>
      <c r="D12724" s="150"/>
      <c r="E12724" s="150"/>
      <c r="F12724" s="75"/>
      <c r="G12724" s="67"/>
      <c r="H12724" s="68"/>
      <c r="I12724" s="76"/>
      <c r="J12724" s="67"/>
      <c r="K12724" s="1"/>
      <c r="L12724" s="77"/>
      <c r="M12724" s="79"/>
      <c r="N12724" s="1"/>
      <c r="O12724" s="1"/>
      <c r="P12724" s="1"/>
      <c r="Q12724" s="1"/>
      <c r="R12724" s="1"/>
      <c r="S12724" s="1"/>
      <c r="T12724" s="1"/>
      <c r="U12724" s="1"/>
      <c r="V12724" s="1"/>
      <c r="W12724" s="1"/>
      <c r="X12724" s="1"/>
      <c r="Y12724" s="1"/>
      <c r="Z12724" s="1"/>
      <c r="AA12724" s="1"/>
      <c r="AB12724" s="1"/>
      <c r="AC12724" s="1"/>
      <c r="AD12724" s="1"/>
      <c r="AE12724" s="1"/>
      <c r="AF12724" s="1"/>
      <c r="AG12724" s="1"/>
      <c r="AH12724" s="1"/>
    </row>
    <row r="12725" ht="12.75" customHeight="1">
      <c r="A12725" s="17"/>
      <c r="B12725" s="1"/>
      <c r="C12725" s="1"/>
      <c r="D12725" s="150"/>
      <c r="E12725" s="150"/>
      <c r="F12725" s="75"/>
      <c r="G12725" s="67"/>
      <c r="H12725" s="68"/>
      <c r="I12725" s="76"/>
      <c r="J12725" s="67"/>
      <c r="K12725" s="1"/>
      <c r="L12725" s="77"/>
      <c r="M12725" s="79"/>
      <c r="N12725" s="1"/>
      <c r="O12725" s="1"/>
      <c r="P12725" s="1"/>
      <c r="Q12725" s="1"/>
      <c r="R12725" s="1"/>
      <c r="S12725" s="1"/>
      <c r="T12725" s="1"/>
      <c r="U12725" s="1"/>
      <c r="V12725" s="1"/>
      <c r="W12725" s="1"/>
      <c r="X12725" s="1"/>
      <c r="Y12725" s="1"/>
      <c r="Z12725" s="1"/>
      <c r="AA12725" s="1"/>
      <c r="AB12725" s="1"/>
      <c r="AC12725" s="1"/>
      <c r="AD12725" s="1"/>
      <c r="AE12725" s="1"/>
      <c r="AF12725" s="1"/>
      <c r="AG12725" s="1"/>
      <c r="AH12725" s="1"/>
    </row>
    <row r="12726" ht="12.75" customHeight="1">
      <c r="A12726" s="17"/>
      <c r="B12726" s="1"/>
      <c r="C12726" s="1"/>
      <c r="D12726" s="150"/>
      <c r="E12726" s="150"/>
      <c r="F12726" s="75"/>
      <c r="G12726" s="67"/>
      <c r="H12726" s="68"/>
      <c r="I12726" s="76"/>
      <c r="J12726" s="67"/>
      <c r="K12726" s="1"/>
      <c r="L12726" s="77"/>
      <c r="M12726" s="79"/>
      <c r="N12726" s="1"/>
      <c r="O12726" s="1"/>
      <c r="P12726" s="1"/>
      <c r="Q12726" s="1"/>
      <c r="R12726" s="1"/>
      <c r="S12726" s="1"/>
      <c r="T12726" s="1"/>
      <c r="U12726" s="1"/>
      <c r="V12726" s="1"/>
      <c r="W12726" s="1"/>
      <c r="X12726" s="1"/>
      <c r="Y12726" s="1"/>
      <c r="Z12726" s="1"/>
      <c r="AA12726" s="1"/>
      <c r="AB12726" s="1"/>
      <c r="AC12726" s="1"/>
      <c r="AD12726" s="1"/>
      <c r="AE12726" s="1"/>
      <c r="AF12726" s="1"/>
      <c r="AG12726" s="1"/>
      <c r="AH12726" s="1"/>
    </row>
    <row r="12727" ht="12.75" customHeight="1">
      <c r="A12727" s="17"/>
      <c r="B12727" s="1"/>
      <c r="C12727" s="1"/>
      <c r="D12727" s="150"/>
      <c r="E12727" s="150"/>
      <c r="F12727" s="75"/>
      <c r="G12727" s="67"/>
      <c r="H12727" s="68"/>
      <c r="I12727" s="76"/>
      <c r="J12727" s="67"/>
      <c r="K12727" s="1"/>
      <c r="L12727" s="77"/>
      <c r="M12727" s="79"/>
      <c r="N12727" s="1"/>
      <c r="O12727" s="1"/>
      <c r="P12727" s="1"/>
      <c r="Q12727" s="1"/>
      <c r="R12727" s="1"/>
      <c r="S12727" s="1"/>
      <c r="T12727" s="1"/>
      <c r="U12727" s="1"/>
      <c r="V12727" s="1"/>
      <c r="W12727" s="1"/>
      <c r="X12727" s="1"/>
      <c r="Y12727" s="1"/>
      <c r="Z12727" s="1"/>
      <c r="AA12727" s="1"/>
      <c r="AB12727" s="1"/>
      <c r="AC12727" s="1"/>
      <c r="AD12727" s="1"/>
      <c r="AE12727" s="1"/>
      <c r="AF12727" s="1"/>
      <c r="AG12727" s="1"/>
      <c r="AH12727" s="1"/>
    </row>
    <row r="12728" ht="12.75" customHeight="1">
      <c r="A12728" s="17"/>
      <c r="B12728" s="1"/>
      <c r="C12728" s="1"/>
      <c r="D12728" s="150"/>
      <c r="E12728" s="150"/>
      <c r="F12728" s="75"/>
      <c r="G12728" s="67"/>
      <c r="H12728" s="68"/>
      <c r="I12728" s="76"/>
      <c r="J12728" s="67"/>
      <c r="K12728" s="1"/>
      <c r="L12728" s="77"/>
      <c r="M12728" s="79"/>
      <c r="N12728" s="1"/>
      <c r="O12728" s="1"/>
      <c r="P12728" s="1"/>
      <c r="Q12728" s="1"/>
      <c r="R12728" s="1"/>
      <c r="S12728" s="1"/>
      <c r="T12728" s="1"/>
      <c r="U12728" s="1"/>
      <c r="V12728" s="1"/>
      <c r="W12728" s="1"/>
      <c r="X12728" s="1"/>
      <c r="Y12728" s="1"/>
      <c r="Z12728" s="1"/>
      <c r="AA12728" s="1"/>
      <c r="AB12728" s="1"/>
      <c r="AC12728" s="1"/>
      <c r="AD12728" s="1"/>
      <c r="AE12728" s="1"/>
      <c r="AF12728" s="1"/>
      <c r="AG12728" s="1"/>
      <c r="AH12728" s="1"/>
    </row>
    <row r="12729" ht="12.75" customHeight="1">
      <c r="A12729" s="17"/>
      <c r="B12729" s="1"/>
      <c r="C12729" s="1"/>
      <c r="D12729" s="150"/>
      <c r="E12729" s="150"/>
      <c r="F12729" s="75"/>
      <c r="G12729" s="67"/>
      <c r="H12729" s="68"/>
      <c r="I12729" s="76"/>
      <c r="J12729" s="67"/>
      <c r="K12729" s="1"/>
      <c r="L12729" s="77"/>
      <c r="M12729" s="79"/>
      <c r="N12729" s="1"/>
      <c r="O12729" s="1"/>
      <c r="P12729" s="1"/>
      <c r="Q12729" s="1"/>
      <c r="R12729" s="1"/>
      <c r="S12729" s="1"/>
      <c r="T12729" s="1"/>
      <c r="U12729" s="1"/>
      <c r="V12729" s="1"/>
      <c r="W12729" s="1"/>
      <c r="X12729" s="1"/>
      <c r="Y12729" s="1"/>
      <c r="Z12729" s="1"/>
      <c r="AA12729" s="1"/>
      <c r="AB12729" s="1"/>
      <c r="AC12729" s="1"/>
      <c r="AD12729" s="1"/>
      <c r="AE12729" s="1"/>
      <c r="AF12729" s="1"/>
      <c r="AG12729" s="1"/>
      <c r="AH12729" s="1"/>
    </row>
    <row r="12730" ht="12.75" customHeight="1">
      <c r="A12730" s="17"/>
      <c r="B12730" s="1"/>
      <c r="C12730" s="1"/>
      <c r="D12730" s="150"/>
      <c r="E12730" s="150"/>
      <c r="F12730" s="75"/>
      <c r="G12730" s="67"/>
      <c r="H12730" s="68"/>
      <c r="I12730" s="76"/>
      <c r="J12730" s="67"/>
      <c r="K12730" s="1"/>
      <c r="L12730" s="77"/>
      <c r="M12730" s="79"/>
      <c r="N12730" s="1"/>
      <c r="O12730" s="1"/>
      <c r="P12730" s="1"/>
      <c r="Q12730" s="1"/>
      <c r="R12730" s="1"/>
      <c r="S12730" s="1"/>
      <c r="T12730" s="1"/>
      <c r="U12730" s="1"/>
      <c r="V12730" s="1"/>
      <c r="W12730" s="1"/>
      <c r="X12730" s="1"/>
      <c r="Y12730" s="1"/>
      <c r="Z12730" s="1"/>
      <c r="AA12730" s="1"/>
      <c r="AB12730" s="1"/>
      <c r="AC12730" s="1"/>
      <c r="AD12730" s="1"/>
      <c r="AE12730" s="1"/>
      <c r="AF12730" s="1"/>
      <c r="AG12730" s="1"/>
      <c r="AH12730" s="1"/>
    </row>
    <row r="12731" ht="12.75" customHeight="1">
      <c r="A12731" s="17"/>
      <c r="B12731" s="1"/>
      <c r="C12731" s="1"/>
      <c r="D12731" s="150"/>
      <c r="E12731" s="150"/>
      <c r="F12731" s="75"/>
      <c r="G12731" s="67"/>
      <c r="H12731" s="68"/>
      <c r="I12731" s="76"/>
      <c r="J12731" s="67"/>
      <c r="K12731" s="1"/>
      <c r="L12731" s="77"/>
      <c r="M12731" s="79"/>
      <c r="N12731" s="1"/>
      <c r="O12731" s="1"/>
      <c r="P12731" s="1"/>
      <c r="Q12731" s="1"/>
      <c r="R12731" s="1"/>
      <c r="S12731" s="1"/>
      <c r="T12731" s="1"/>
      <c r="U12731" s="1"/>
      <c r="V12731" s="1"/>
      <c r="W12731" s="1"/>
      <c r="X12731" s="1"/>
      <c r="Y12731" s="1"/>
      <c r="Z12731" s="1"/>
      <c r="AA12731" s="1"/>
      <c r="AB12731" s="1"/>
      <c r="AC12731" s="1"/>
      <c r="AD12731" s="1"/>
      <c r="AE12731" s="1"/>
      <c r="AF12731" s="1"/>
      <c r="AG12731" s="1"/>
      <c r="AH12731" s="1"/>
    </row>
    <row r="12732" ht="12.75" customHeight="1">
      <c r="A12732" s="17"/>
      <c r="B12732" s="1"/>
      <c r="C12732" s="1"/>
      <c r="D12732" s="150"/>
      <c r="E12732" s="150"/>
      <c r="F12732" s="75"/>
      <c r="G12732" s="67"/>
      <c r="H12732" s="68"/>
      <c r="I12732" s="76"/>
      <c r="J12732" s="67"/>
      <c r="K12732" s="1"/>
      <c r="L12732" s="77"/>
      <c r="M12732" s="79"/>
      <c r="N12732" s="1"/>
      <c r="O12732" s="1"/>
      <c r="P12732" s="1"/>
      <c r="Q12732" s="1"/>
      <c r="R12732" s="1"/>
      <c r="S12732" s="1"/>
      <c r="T12732" s="1"/>
      <c r="U12732" s="1"/>
      <c r="V12732" s="1"/>
      <c r="W12732" s="1"/>
      <c r="X12732" s="1"/>
      <c r="Y12732" s="1"/>
      <c r="Z12732" s="1"/>
      <c r="AA12732" s="1"/>
      <c r="AB12732" s="1"/>
      <c r="AC12732" s="1"/>
      <c r="AD12732" s="1"/>
      <c r="AE12732" s="1"/>
      <c r="AF12732" s="1"/>
      <c r="AG12732" s="1"/>
      <c r="AH12732" s="1"/>
    </row>
    <row r="12733" ht="12.75" customHeight="1">
      <c r="A12733" s="17"/>
      <c r="B12733" s="1"/>
      <c r="C12733" s="1"/>
      <c r="D12733" s="150"/>
      <c r="E12733" s="150"/>
      <c r="F12733" s="75"/>
      <c r="G12733" s="67"/>
      <c r="H12733" s="68"/>
      <c r="I12733" s="76"/>
      <c r="J12733" s="67"/>
      <c r="K12733" s="1"/>
      <c r="L12733" s="77"/>
      <c r="M12733" s="79"/>
      <c r="N12733" s="1"/>
      <c r="O12733" s="1"/>
      <c r="P12733" s="1"/>
      <c r="Q12733" s="1"/>
      <c r="R12733" s="1"/>
      <c r="S12733" s="1"/>
      <c r="T12733" s="1"/>
      <c r="U12733" s="1"/>
      <c r="V12733" s="1"/>
      <c r="W12733" s="1"/>
      <c r="X12733" s="1"/>
      <c r="Y12733" s="1"/>
      <c r="Z12733" s="1"/>
      <c r="AA12733" s="1"/>
      <c r="AB12733" s="1"/>
      <c r="AC12733" s="1"/>
      <c r="AD12733" s="1"/>
      <c r="AE12733" s="1"/>
      <c r="AF12733" s="1"/>
      <c r="AG12733" s="1"/>
      <c r="AH12733" s="1"/>
    </row>
    <row r="12734" ht="12.75" customHeight="1">
      <c r="A12734" s="17"/>
      <c r="B12734" s="1"/>
      <c r="C12734" s="1"/>
      <c r="D12734" s="150"/>
      <c r="E12734" s="150"/>
      <c r="F12734" s="75"/>
      <c r="G12734" s="67"/>
      <c r="H12734" s="68"/>
      <c r="I12734" s="76"/>
      <c r="J12734" s="67"/>
      <c r="K12734" s="1"/>
      <c r="L12734" s="77"/>
      <c r="M12734" s="79"/>
      <c r="N12734" s="1"/>
      <c r="O12734" s="1"/>
      <c r="P12734" s="1"/>
      <c r="Q12734" s="1"/>
      <c r="R12734" s="1"/>
      <c r="S12734" s="1"/>
      <c r="T12734" s="1"/>
      <c r="U12734" s="1"/>
      <c r="V12734" s="1"/>
      <c r="W12734" s="1"/>
      <c r="X12734" s="1"/>
      <c r="Y12734" s="1"/>
      <c r="Z12734" s="1"/>
      <c r="AA12734" s="1"/>
      <c r="AB12734" s="1"/>
      <c r="AC12734" s="1"/>
      <c r="AD12734" s="1"/>
      <c r="AE12734" s="1"/>
      <c r="AF12734" s="1"/>
      <c r="AG12734" s="1"/>
      <c r="AH12734" s="1"/>
    </row>
    <row r="12735" ht="12.75" customHeight="1">
      <c r="A12735" s="17"/>
      <c r="B12735" s="1"/>
      <c r="C12735" s="1"/>
      <c r="D12735" s="150"/>
      <c r="E12735" s="150"/>
      <c r="F12735" s="75"/>
      <c r="G12735" s="67"/>
      <c r="H12735" s="68"/>
      <c r="I12735" s="76"/>
      <c r="J12735" s="67"/>
      <c r="K12735" s="1"/>
      <c r="L12735" s="77"/>
      <c r="M12735" s="79"/>
      <c r="N12735" s="1"/>
      <c r="O12735" s="1"/>
      <c r="P12735" s="1"/>
      <c r="Q12735" s="1"/>
      <c r="R12735" s="1"/>
      <c r="S12735" s="1"/>
      <c r="T12735" s="1"/>
      <c r="U12735" s="1"/>
      <c r="V12735" s="1"/>
      <c r="W12735" s="1"/>
      <c r="X12735" s="1"/>
      <c r="Y12735" s="1"/>
      <c r="Z12735" s="1"/>
      <c r="AA12735" s="1"/>
      <c r="AB12735" s="1"/>
      <c r="AC12735" s="1"/>
      <c r="AD12735" s="1"/>
      <c r="AE12735" s="1"/>
      <c r="AF12735" s="1"/>
      <c r="AG12735" s="1"/>
      <c r="AH12735" s="1"/>
    </row>
    <row r="12736" ht="12.75" customHeight="1">
      <c r="A12736" s="17"/>
      <c r="B12736" s="1"/>
      <c r="C12736" s="1"/>
      <c r="D12736" s="150"/>
      <c r="E12736" s="150"/>
      <c r="F12736" s="75"/>
      <c r="G12736" s="67"/>
      <c r="H12736" s="68"/>
      <c r="I12736" s="76"/>
      <c r="J12736" s="67"/>
      <c r="K12736" s="1"/>
      <c r="L12736" s="77"/>
      <c r="M12736" s="79"/>
      <c r="N12736" s="1"/>
      <c r="O12736" s="1"/>
      <c r="P12736" s="1"/>
      <c r="Q12736" s="1"/>
      <c r="R12736" s="1"/>
      <c r="S12736" s="1"/>
      <c r="T12736" s="1"/>
      <c r="U12736" s="1"/>
      <c r="V12736" s="1"/>
      <c r="W12736" s="1"/>
      <c r="X12736" s="1"/>
      <c r="Y12736" s="1"/>
      <c r="Z12736" s="1"/>
      <c r="AA12736" s="1"/>
      <c r="AB12736" s="1"/>
      <c r="AC12736" s="1"/>
      <c r="AD12736" s="1"/>
      <c r="AE12736" s="1"/>
      <c r="AF12736" s="1"/>
      <c r="AG12736" s="1"/>
      <c r="AH12736" s="1"/>
    </row>
    <row r="12737" ht="12.75" customHeight="1">
      <c r="A12737" s="17"/>
      <c r="B12737" s="1"/>
      <c r="C12737" s="1"/>
      <c r="D12737" s="150"/>
      <c r="E12737" s="150"/>
      <c r="F12737" s="75"/>
      <c r="G12737" s="67"/>
      <c r="H12737" s="68"/>
      <c r="I12737" s="76"/>
      <c r="J12737" s="67"/>
      <c r="K12737" s="1"/>
      <c r="L12737" s="77"/>
      <c r="M12737" s="79"/>
      <c r="N12737" s="1"/>
      <c r="O12737" s="1"/>
      <c r="P12737" s="1"/>
      <c r="Q12737" s="1"/>
      <c r="R12737" s="1"/>
      <c r="S12737" s="1"/>
      <c r="T12737" s="1"/>
      <c r="U12737" s="1"/>
      <c r="V12737" s="1"/>
      <c r="W12737" s="1"/>
      <c r="X12737" s="1"/>
      <c r="Y12737" s="1"/>
      <c r="Z12737" s="1"/>
      <c r="AA12737" s="1"/>
      <c r="AB12737" s="1"/>
      <c r="AC12737" s="1"/>
      <c r="AD12737" s="1"/>
      <c r="AE12737" s="1"/>
      <c r="AF12737" s="1"/>
      <c r="AG12737" s="1"/>
      <c r="AH12737" s="1"/>
    </row>
    <row r="12738" ht="12.75" customHeight="1">
      <c r="A12738" s="17"/>
      <c r="B12738" s="1"/>
      <c r="C12738" s="1"/>
      <c r="D12738" s="150"/>
      <c r="E12738" s="150"/>
      <c r="F12738" s="75"/>
      <c r="G12738" s="67"/>
      <c r="H12738" s="68"/>
      <c r="I12738" s="76"/>
      <c r="J12738" s="67"/>
      <c r="K12738" s="1"/>
      <c r="L12738" s="77"/>
      <c r="M12738" s="79"/>
      <c r="N12738" s="1"/>
      <c r="O12738" s="1"/>
      <c r="P12738" s="1"/>
      <c r="Q12738" s="1"/>
      <c r="R12738" s="1"/>
      <c r="S12738" s="1"/>
      <c r="T12738" s="1"/>
      <c r="U12738" s="1"/>
      <c r="V12738" s="1"/>
      <c r="W12738" s="1"/>
      <c r="X12738" s="1"/>
      <c r="Y12738" s="1"/>
      <c r="Z12738" s="1"/>
      <c r="AA12738" s="1"/>
      <c r="AB12738" s="1"/>
      <c r="AC12738" s="1"/>
      <c r="AD12738" s="1"/>
      <c r="AE12738" s="1"/>
      <c r="AF12738" s="1"/>
      <c r="AG12738" s="1"/>
      <c r="AH12738" s="1"/>
    </row>
    <row r="12739" ht="12.75" customHeight="1">
      <c r="A12739" s="17"/>
      <c r="B12739" s="1"/>
      <c r="C12739" s="1"/>
      <c r="D12739" s="150"/>
      <c r="E12739" s="150"/>
      <c r="F12739" s="75"/>
      <c r="G12739" s="67"/>
      <c r="H12739" s="68"/>
      <c r="I12739" s="76"/>
      <c r="J12739" s="67"/>
      <c r="K12739" s="1"/>
      <c r="L12739" s="77"/>
      <c r="M12739" s="79"/>
      <c r="N12739" s="1"/>
      <c r="O12739" s="1"/>
      <c r="P12739" s="1"/>
      <c r="Q12739" s="1"/>
      <c r="R12739" s="1"/>
      <c r="S12739" s="1"/>
      <c r="T12739" s="1"/>
      <c r="U12739" s="1"/>
      <c r="V12739" s="1"/>
      <c r="W12739" s="1"/>
      <c r="X12739" s="1"/>
      <c r="Y12739" s="1"/>
      <c r="Z12739" s="1"/>
      <c r="AA12739" s="1"/>
      <c r="AB12739" s="1"/>
      <c r="AC12739" s="1"/>
      <c r="AD12739" s="1"/>
      <c r="AE12739" s="1"/>
      <c r="AF12739" s="1"/>
      <c r="AG12739" s="1"/>
      <c r="AH12739" s="1"/>
    </row>
    <row r="12740" ht="12.75" customHeight="1">
      <c r="A12740" s="17"/>
      <c r="B12740" s="1"/>
      <c r="C12740" s="1"/>
      <c r="D12740" s="150"/>
      <c r="E12740" s="150"/>
      <c r="F12740" s="75"/>
      <c r="G12740" s="67"/>
      <c r="H12740" s="68"/>
      <c r="I12740" s="76"/>
      <c r="J12740" s="67"/>
      <c r="K12740" s="1"/>
      <c r="L12740" s="77"/>
      <c r="M12740" s="79"/>
      <c r="N12740" s="1"/>
      <c r="O12740" s="1"/>
      <c r="P12740" s="1"/>
      <c r="Q12740" s="1"/>
      <c r="R12740" s="1"/>
      <c r="S12740" s="1"/>
      <c r="T12740" s="1"/>
      <c r="U12740" s="1"/>
      <c r="V12740" s="1"/>
      <c r="W12740" s="1"/>
      <c r="X12740" s="1"/>
      <c r="Y12740" s="1"/>
      <c r="Z12740" s="1"/>
      <c r="AA12740" s="1"/>
      <c r="AB12740" s="1"/>
      <c r="AC12740" s="1"/>
      <c r="AD12740" s="1"/>
      <c r="AE12740" s="1"/>
      <c r="AF12740" s="1"/>
      <c r="AG12740" s="1"/>
      <c r="AH12740" s="1"/>
    </row>
    <row r="12741" ht="12.75" customHeight="1">
      <c r="A12741" s="17"/>
      <c r="B12741" s="1"/>
      <c r="C12741" s="1"/>
      <c r="D12741" s="150"/>
      <c r="E12741" s="150"/>
      <c r="F12741" s="75"/>
      <c r="G12741" s="67"/>
      <c r="H12741" s="68"/>
      <c r="I12741" s="76"/>
      <c r="J12741" s="67"/>
      <c r="K12741" s="1"/>
      <c r="L12741" s="77"/>
      <c r="M12741" s="79"/>
      <c r="N12741" s="1"/>
      <c r="O12741" s="1"/>
      <c r="P12741" s="1"/>
      <c r="Q12741" s="1"/>
      <c r="R12741" s="1"/>
      <c r="S12741" s="1"/>
      <c r="T12741" s="1"/>
      <c r="U12741" s="1"/>
      <c r="V12741" s="1"/>
      <c r="W12741" s="1"/>
      <c r="X12741" s="1"/>
      <c r="Y12741" s="1"/>
      <c r="Z12741" s="1"/>
      <c r="AA12741" s="1"/>
      <c r="AB12741" s="1"/>
      <c r="AC12741" s="1"/>
      <c r="AD12741" s="1"/>
      <c r="AE12741" s="1"/>
      <c r="AF12741" s="1"/>
      <c r="AG12741" s="1"/>
      <c r="AH12741" s="1"/>
    </row>
    <row r="12742" ht="12.75" customHeight="1">
      <c r="A12742" s="17"/>
      <c r="B12742" s="1"/>
      <c r="C12742" s="1"/>
      <c r="D12742" s="150"/>
      <c r="E12742" s="150"/>
      <c r="F12742" s="75"/>
      <c r="G12742" s="67"/>
      <c r="H12742" s="68"/>
      <c r="I12742" s="76"/>
      <c r="J12742" s="67"/>
      <c r="K12742" s="1"/>
      <c r="L12742" s="77"/>
      <c r="M12742" s="79"/>
      <c r="N12742" s="1"/>
      <c r="O12742" s="1"/>
      <c r="P12742" s="1"/>
      <c r="Q12742" s="1"/>
      <c r="R12742" s="1"/>
      <c r="S12742" s="1"/>
      <c r="T12742" s="1"/>
      <c r="U12742" s="1"/>
      <c r="V12742" s="1"/>
      <c r="W12742" s="1"/>
      <c r="X12742" s="1"/>
      <c r="Y12742" s="1"/>
      <c r="Z12742" s="1"/>
      <c r="AA12742" s="1"/>
      <c r="AB12742" s="1"/>
      <c r="AC12742" s="1"/>
      <c r="AD12742" s="1"/>
      <c r="AE12742" s="1"/>
      <c r="AF12742" s="1"/>
      <c r="AG12742" s="1"/>
      <c r="AH12742" s="1"/>
    </row>
    <row r="12743" ht="12.75" customHeight="1">
      <c r="A12743" s="17"/>
      <c r="B12743" s="1"/>
      <c r="C12743" s="1"/>
      <c r="D12743" s="150"/>
      <c r="E12743" s="150"/>
      <c r="F12743" s="75"/>
      <c r="G12743" s="67"/>
      <c r="H12743" s="68"/>
      <c r="I12743" s="76"/>
      <c r="J12743" s="67"/>
      <c r="K12743" s="1"/>
      <c r="L12743" s="77"/>
      <c r="M12743" s="79"/>
      <c r="N12743" s="1"/>
      <c r="O12743" s="1"/>
      <c r="P12743" s="1"/>
      <c r="Q12743" s="1"/>
      <c r="R12743" s="1"/>
      <c r="S12743" s="1"/>
      <c r="T12743" s="1"/>
      <c r="U12743" s="1"/>
      <c r="V12743" s="1"/>
      <c r="W12743" s="1"/>
      <c r="X12743" s="1"/>
      <c r="Y12743" s="1"/>
      <c r="Z12743" s="1"/>
      <c r="AA12743" s="1"/>
      <c r="AB12743" s="1"/>
      <c r="AC12743" s="1"/>
      <c r="AD12743" s="1"/>
      <c r="AE12743" s="1"/>
      <c r="AF12743" s="1"/>
      <c r="AG12743" s="1"/>
      <c r="AH12743" s="1"/>
    </row>
    <row r="12744" ht="12.75" customHeight="1">
      <c r="A12744" s="17"/>
      <c r="B12744" s="1"/>
      <c r="C12744" s="1"/>
      <c r="D12744" s="150"/>
      <c r="E12744" s="150"/>
      <c r="F12744" s="75"/>
      <c r="G12744" s="67"/>
      <c r="H12744" s="68"/>
      <c r="I12744" s="76"/>
      <c r="J12744" s="67"/>
      <c r="K12744" s="1"/>
      <c r="L12744" s="77"/>
      <c r="M12744" s="79"/>
      <c r="N12744" s="1"/>
      <c r="O12744" s="1"/>
      <c r="P12744" s="1"/>
      <c r="Q12744" s="1"/>
      <c r="R12744" s="1"/>
      <c r="S12744" s="1"/>
      <c r="T12744" s="1"/>
      <c r="U12744" s="1"/>
      <c r="V12744" s="1"/>
      <c r="W12744" s="1"/>
      <c r="X12744" s="1"/>
      <c r="Y12744" s="1"/>
      <c r="Z12744" s="1"/>
      <c r="AA12744" s="1"/>
      <c r="AB12744" s="1"/>
      <c r="AC12744" s="1"/>
      <c r="AD12744" s="1"/>
      <c r="AE12744" s="1"/>
      <c r="AF12744" s="1"/>
      <c r="AG12744" s="1"/>
      <c r="AH12744" s="1"/>
    </row>
    <row r="12745" ht="12.75" customHeight="1">
      <c r="A12745" s="17"/>
      <c r="B12745" s="1"/>
      <c r="C12745" s="1"/>
      <c r="D12745" s="150"/>
      <c r="E12745" s="150"/>
      <c r="F12745" s="75"/>
      <c r="G12745" s="67"/>
      <c r="H12745" s="68"/>
      <c r="I12745" s="76"/>
      <c r="J12745" s="67"/>
      <c r="K12745" s="1"/>
      <c r="L12745" s="77"/>
      <c r="M12745" s="79"/>
      <c r="N12745" s="1"/>
      <c r="O12745" s="1"/>
      <c r="P12745" s="1"/>
      <c r="Q12745" s="1"/>
      <c r="R12745" s="1"/>
      <c r="S12745" s="1"/>
      <c r="T12745" s="1"/>
      <c r="U12745" s="1"/>
      <c r="V12745" s="1"/>
      <c r="W12745" s="1"/>
      <c r="X12745" s="1"/>
      <c r="Y12745" s="1"/>
      <c r="Z12745" s="1"/>
      <c r="AA12745" s="1"/>
      <c r="AB12745" s="1"/>
      <c r="AC12745" s="1"/>
      <c r="AD12745" s="1"/>
      <c r="AE12745" s="1"/>
      <c r="AF12745" s="1"/>
      <c r="AG12745" s="1"/>
      <c r="AH12745" s="1"/>
    </row>
    <row r="12746" ht="12.75" customHeight="1">
      <c r="A12746" s="17"/>
      <c r="B12746" s="1"/>
      <c r="C12746" s="1"/>
      <c r="D12746" s="150"/>
      <c r="E12746" s="150"/>
      <c r="F12746" s="75"/>
      <c r="G12746" s="67"/>
      <c r="H12746" s="68"/>
      <c r="I12746" s="76"/>
      <c r="J12746" s="67"/>
      <c r="K12746" s="1"/>
      <c r="L12746" s="77"/>
      <c r="M12746" s="79"/>
      <c r="N12746" s="1"/>
      <c r="O12746" s="1"/>
      <c r="P12746" s="1"/>
      <c r="Q12746" s="1"/>
      <c r="R12746" s="1"/>
      <c r="S12746" s="1"/>
      <c r="T12746" s="1"/>
      <c r="U12746" s="1"/>
      <c r="V12746" s="1"/>
      <c r="W12746" s="1"/>
      <c r="X12746" s="1"/>
      <c r="Y12746" s="1"/>
      <c r="Z12746" s="1"/>
      <c r="AA12746" s="1"/>
      <c r="AB12746" s="1"/>
      <c r="AC12746" s="1"/>
      <c r="AD12746" s="1"/>
      <c r="AE12746" s="1"/>
      <c r="AF12746" s="1"/>
      <c r="AG12746" s="1"/>
      <c r="AH12746" s="1"/>
    </row>
    <row r="12747" ht="12.75" customHeight="1">
      <c r="A12747" s="17"/>
      <c r="B12747" s="1"/>
      <c r="C12747" s="1"/>
      <c r="D12747" s="150"/>
      <c r="E12747" s="150"/>
      <c r="F12747" s="75"/>
      <c r="G12747" s="67"/>
      <c r="H12747" s="68"/>
      <c r="I12747" s="76"/>
      <c r="J12747" s="67"/>
      <c r="K12747" s="1"/>
      <c r="L12747" s="77"/>
      <c r="M12747" s="79"/>
      <c r="N12747" s="1"/>
      <c r="O12747" s="1"/>
      <c r="P12747" s="1"/>
      <c r="Q12747" s="1"/>
      <c r="R12747" s="1"/>
      <c r="S12747" s="1"/>
      <c r="T12747" s="1"/>
      <c r="U12747" s="1"/>
      <c r="V12747" s="1"/>
      <c r="W12747" s="1"/>
      <c r="X12747" s="1"/>
      <c r="Y12747" s="1"/>
      <c r="Z12747" s="1"/>
      <c r="AA12747" s="1"/>
      <c r="AB12747" s="1"/>
      <c r="AC12747" s="1"/>
      <c r="AD12747" s="1"/>
      <c r="AE12747" s="1"/>
      <c r="AF12747" s="1"/>
      <c r="AG12747" s="1"/>
      <c r="AH12747" s="1"/>
    </row>
    <row r="12748" ht="12.75" customHeight="1">
      <c r="A12748" s="17"/>
      <c r="B12748" s="1"/>
      <c r="C12748" s="1"/>
      <c r="D12748" s="150"/>
      <c r="E12748" s="150"/>
      <c r="F12748" s="75"/>
      <c r="G12748" s="67"/>
      <c r="H12748" s="68"/>
      <c r="I12748" s="76"/>
      <c r="J12748" s="67"/>
      <c r="K12748" s="1"/>
      <c r="L12748" s="77"/>
      <c r="M12748" s="79"/>
      <c r="N12748" s="1"/>
      <c r="O12748" s="1"/>
      <c r="P12748" s="1"/>
      <c r="Q12748" s="1"/>
      <c r="R12748" s="1"/>
      <c r="S12748" s="1"/>
      <c r="T12748" s="1"/>
      <c r="U12748" s="1"/>
      <c r="V12748" s="1"/>
      <c r="W12748" s="1"/>
      <c r="X12748" s="1"/>
      <c r="Y12748" s="1"/>
      <c r="Z12748" s="1"/>
      <c r="AA12748" s="1"/>
      <c r="AB12748" s="1"/>
      <c r="AC12748" s="1"/>
      <c r="AD12748" s="1"/>
      <c r="AE12748" s="1"/>
      <c r="AF12748" s="1"/>
      <c r="AG12748" s="1"/>
      <c r="AH12748" s="1"/>
    </row>
    <row r="12749" ht="12.75" customHeight="1">
      <c r="A12749" s="17"/>
      <c r="B12749" s="1"/>
      <c r="C12749" s="1"/>
      <c r="D12749" s="150"/>
      <c r="E12749" s="150"/>
      <c r="F12749" s="75"/>
      <c r="G12749" s="67"/>
      <c r="H12749" s="68"/>
      <c r="I12749" s="76"/>
      <c r="J12749" s="67"/>
      <c r="K12749" s="1"/>
      <c r="L12749" s="77"/>
      <c r="M12749" s="79"/>
      <c r="N12749" s="1"/>
      <c r="O12749" s="1"/>
      <c r="P12749" s="1"/>
      <c r="Q12749" s="1"/>
      <c r="R12749" s="1"/>
      <c r="S12749" s="1"/>
      <c r="T12749" s="1"/>
      <c r="U12749" s="1"/>
      <c r="V12749" s="1"/>
      <c r="W12749" s="1"/>
      <c r="X12749" s="1"/>
      <c r="Y12749" s="1"/>
      <c r="Z12749" s="1"/>
      <c r="AA12749" s="1"/>
      <c r="AB12749" s="1"/>
      <c r="AC12749" s="1"/>
      <c r="AD12749" s="1"/>
      <c r="AE12749" s="1"/>
      <c r="AF12749" s="1"/>
      <c r="AG12749" s="1"/>
      <c r="AH12749" s="1"/>
    </row>
    <row r="12750" ht="12.75" customHeight="1">
      <c r="A12750" s="17"/>
      <c r="B12750" s="1"/>
      <c r="C12750" s="1"/>
      <c r="D12750" s="150"/>
      <c r="E12750" s="150"/>
      <c r="F12750" s="75"/>
      <c r="G12750" s="67"/>
      <c r="H12750" s="68"/>
      <c r="I12750" s="76"/>
      <c r="J12750" s="67"/>
      <c r="K12750" s="1"/>
      <c r="L12750" s="77"/>
      <c r="M12750" s="79"/>
      <c r="N12750" s="1"/>
      <c r="O12750" s="1"/>
      <c r="P12750" s="1"/>
      <c r="Q12750" s="1"/>
      <c r="R12750" s="1"/>
      <c r="S12750" s="1"/>
      <c r="T12750" s="1"/>
      <c r="U12750" s="1"/>
      <c r="V12750" s="1"/>
      <c r="W12750" s="1"/>
      <c r="X12750" s="1"/>
      <c r="Y12750" s="1"/>
      <c r="Z12750" s="1"/>
      <c r="AA12750" s="1"/>
      <c r="AB12750" s="1"/>
      <c r="AC12750" s="1"/>
      <c r="AD12750" s="1"/>
      <c r="AE12750" s="1"/>
      <c r="AF12750" s="1"/>
      <c r="AG12750" s="1"/>
      <c r="AH12750" s="1"/>
    </row>
    <row r="12751" ht="12.75" customHeight="1">
      <c r="A12751" s="17"/>
      <c r="B12751" s="1"/>
      <c r="C12751" s="1"/>
      <c r="D12751" s="150"/>
      <c r="E12751" s="150"/>
      <c r="F12751" s="75"/>
      <c r="G12751" s="67"/>
      <c r="H12751" s="68"/>
      <c r="I12751" s="76"/>
      <c r="J12751" s="67"/>
      <c r="K12751" s="1"/>
      <c r="L12751" s="77"/>
      <c r="M12751" s="79"/>
      <c r="N12751" s="1"/>
      <c r="O12751" s="1"/>
      <c r="P12751" s="1"/>
      <c r="Q12751" s="1"/>
      <c r="R12751" s="1"/>
      <c r="S12751" s="1"/>
      <c r="T12751" s="1"/>
      <c r="U12751" s="1"/>
      <c r="V12751" s="1"/>
      <c r="W12751" s="1"/>
      <c r="X12751" s="1"/>
      <c r="Y12751" s="1"/>
      <c r="Z12751" s="1"/>
      <c r="AA12751" s="1"/>
      <c r="AB12751" s="1"/>
      <c r="AC12751" s="1"/>
      <c r="AD12751" s="1"/>
      <c r="AE12751" s="1"/>
      <c r="AF12751" s="1"/>
      <c r="AG12751" s="1"/>
      <c r="AH12751" s="1"/>
    </row>
    <row r="12752" ht="12.75" customHeight="1">
      <c r="A12752" s="17"/>
      <c r="B12752" s="1"/>
      <c r="C12752" s="1"/>
      <c r="D12752" s="150"/>
      <c r="E12752" s="150"/>
      <c r="F12752" s="75"/>
      <c r="G12752" s="67"/>
      <c r="H12752" s="68"/>
      <c r="I12752" s="76"/>
      <c r="J12752" s="67"/>
      <c r="K12752" s="1"/>
      <c r="L12752" s="77"/>
      <c r="M12752" s="79"/>
      <c r="N12752" s="1"/>
      <c r="O12752" s="1"/>
      <c r="P12752" s="1"/>
      <c r="Q12752" s="1"/>
      <c r="R12752" s="1"/>
      <c r="S12752" s="1"/>
      <c r="T12752" s="1"/>
      <c r="U12752" s="1"/>
      <c r="V12752" s="1"/>
      <c r="W12752" s="1"/>
      <c r="X12752" s="1"/>
      <c r="Y12752" s="1"/>
      <c r="Z12752" s="1"/>
      <c r="AA12752" s="1"/>
      <c r="AB12752" s="1"/>
      <c r="AC12752" s="1"/>
      <c r="AD12752" s="1"/>
      <c r="AE12752" s="1"/>
      <c r="AF12752" s="1"/>
      <c r="AG12752" s="1"/>
      <c r="AH12752" s="1"/>
    </row>
    <row r="12753" ht="12.75" customHeight="1">
      <c r="A12753" s="17"/>
      <c r="B12753" s="1"/>
      <c r="C12753" s="1"/>
      <c r="D12753" s="150"/>
      <c r="E12753" s="150"/>
      <c r="F12753" s="75"/>
      <c r="G12753" s="67"/>
      <c r="H12753" s="68"/>
      <c r="I12753" s="76"/>
      <c r="J12753" s="67"/>
      <c r="K12753" s="1"/>
      <c r="L12753" s="77"/>
      <c r="M12753" s="79"/>
      <c r="N12753" s="1"/>
      <c r="O12753" s="1"/>
      <c r="P12753" s="1"/>
      <c r="Q12753" s="1"/>
      <c r="R12753" s="1"/>
      <c r="S12753" s="1"/>
      <c r="T12753" s="1"/>
      <c r="U12753" s="1"/>
      <c r="V12753" s="1"/>
      <c r="W12753" s="1"/>
      <c r="X12753" s="1"/>
      <c r="Y12753" s="1"/>
      <c r="Z12753" s="1"/>
      <c r="AA12753" s="1"/>
      <c r="AB12753" s="1"/>
      <c r="AC12753" s="1"/>
      <c r="AD12753" s="1"/>
      <c r="AE12753" s="1"/>
      <c r="AF12753" s="1"/>
      <c r="AG12753" s="1"/>
      <c r="AH12753" s="1"/>
    </row>
    <row r="12754" ht="12.75" customHeight="1">
      <c r="A12754" s="17"/>
      <c r="B12754" s="1"/>
      <c r="C12754" s="1"/>
      <c r="D12754" s="150"/>
      <c r="E12754" s="150"/>
      <c r="F12754" s="75"/>
      <c r="G12754" s="67"/>
      <c r="H12754" s="68"/>
      <c r="I12754" s="76"/>
      <c r="J12754" s="67"/>
      <c r="K12754" s="1"/>
      <c r="L12754" s="77"/>
      <c r="M12754" s="79"/>
      <c r="N12754" s="1"/>
      <c r="O12754" s="1"/>
      <c r="P12754" s="1"/>
      <c r="Q12754" s="1"/>
      <c r="R12754" s="1"/>
      <c r="S12754" s="1"/>
      <c r="T12754" s="1"/>
      <c r="U12754" s="1"/>
      <c r="V12754" s="1"/>
      <c r="W12754" s="1"/>
      <c r="X12754" s="1"/>
      <c r="Y12754" s="1"/>
      <c r="Z12754" s="1"/>
      <c r="AA12754" s="1"/>
      <c r="AB12754" s="1"/>
      <c r="AC12754" s="1"/>
      <c r="AD12754" s="1"/>
      <c r="AE12754" s="1"/>
      <c r="AF12754" s="1"/>
      <c r="AG12754" s="1"/>
      <c r="AH12754" s="1"/>
    </row>
    <row r="12755" ht="12.75" customHeight="1">
      <c r="A12755" s="17"/>
      <c r="B12755" s="1"/>
      <c r="C12755" s="1"/>
      <c r="D12755" s="150"/>
      <c r="E12755" s="150"/>
      <c r="F12755" s="75"/>
      <c r="G12755" s="67"/>
      <c r="H12755" s="68"/>
      <c r="I12755" s="76"/>
      <c r="J12755" s="67"/>
      <c r="K12755" s="1"/>
      <c r="L12755" s="77"/>
      <c r="M12755" s="79"/>
      <c r="N12755" s="1"/>
      <c r="O12755" s="1"/>
      <c r="P12755" s="1"/>
      <c r="Q12755" s="1"/>
      <c r="R12755" s="1"/>
      <c r="S12755" s="1"/>
      <c r="T12755" s="1"/>
      <c r="U12755" s="1"/>
      <c r="V12755" s="1"/>
      <c r="W12755" s="1"/>
      <c r="X12755" s="1"/>
      <c r="Y12755" s="1"/>
      <c r="Z12755" s="1"/>
      <c r="AA12755" s="1"/>
      <c r="AB12755" s="1"/>
      <c r="AC12755" s="1"/>
      <c r="AD12755" s="1"/>
      <c r="AE12755" s="1"/>
      <c r="AF12755" s="1"/>
      <c r="AG12755" s="1"/>
      <c r="AH12755" s="1"/>
    </row>
    <row r="12756" ht="12.75" customHeight="1">
      <c r="A12756" s="17"/>
      <c r="B12756" s="1"/>
      <c r="C12756" s="1"/>
      <c r="D12756" s="150"/>
      <c r="E12756" s="150"/>
      <c r="F12756" s="75"/>
      <c r="G12756" s="67"/>
      <c r="H12756" s="68"/>
      <c r="I12756" s="76"/>
      <c r="J12756" s="67"/>
      <c r="K12756" s="1"/>
      <c r="L12756" s="77"/>
      <c r="M12756" s="79"/>
      <c r="N12756" s="1"/>
      <c r="O12756" s="1"/>
      <c r="P12756" s="1"/>
      <c r="Q12756" s="1"/>
      <c r="R12756" s="1"/>
      <c r="S12756" s="1"/>
      <c r="T12756" s="1"/>
      <c r="U12756" s="1"/>
      <c r="V12756" s="1"/>
      <c r="W12756" s="1"/>
      <c r="X12756" s="1"/>
      <c r="Y12756" s="1"/>
      <c r="Z12756" s="1"/>
      <c r="AA12756" s="1"/>
      <c r="AB12756" s="1"/>
      <c r="AC12756" s="1"/>
      <c r="AD12756" s="1"/>
      <c r="AE12756" s="1"/>
      <c r="AF12756" s="1"/>
      <c r="AG12756" s="1"/>
      <c r="AH12756" s="1"/>
    </row>
    <row r="12757" ht="12.75" customHeight="1">
      <c r="A12757" s="17"/>
      <c r="B12757" s="1"/>
      <c r="C12757" s="1"/>
      <c r="D12757" s="150"/>
      <c r="E12757" s="150"/>
      <c r="F12757" s="75"/>
      <c r="G12757" s="67"/>
      <c r="H12757" s="68"/>
      <c r="I12757" s="76"/>
      <c r="J12757" s="67"/>
      <c r="K12757" s="1"/>
      <c r="L12757" s="77"/>
      <c r="M12757" s="79"/>
      <c r="N12757" s="1"/>
      <c r="O12757" s="1"/>
      <c r="P12757" s="1"/>
      <c r="Q12757" s="1"/>
      <c r="R12757" s="1"/>
      <c r="S12757" s="1"/>
      <c r="T12757" s="1"/>
      <c r="U12757" s="1"/>
      <c r="V12757" s="1"/>
      <c r="W12757" s="1"/>
      <c r="X12757" s="1"/>
      <c r="Y12757" s="1"/>
      <c r="Z12757" s="1"/>
      <c r="AA12757" s="1"/>
      <c r="AB12757" s="1"/>
      <c r="AC12757" s="1"/>
      <c r="AD12757" s="1"/>
      <c r="AE12757" s="1"/>
      <c r="AF12757" s="1"/>
      <c r="AG12757" s="1"/>
      <c r="AH12757" s="1"/>
    </row>
    <row r="12758" ht="12.75" customHeight="1">
      <c r="A12758" s="17"/>
      <c r="B12758" s="1"/>
      <c r="C12758" s="1"/>
      <c r="D12758" s="150"/>
      <c r="E12758" s="150"/>
      <c r="F12758" s="75"/>
      <c r="G12758" s="67"/>
      <c r="H12758" s="68"/>
      <c r="I12758" s="76"/>
      <c r="J12758" s="67"/>
      <c r="K12758" s="1"/>
      <c r="L12758" s="77"/>
      <c r="M12758" s="79"/>
      <c r="N12758" s="1"/>
      <c r="O12758" s="1"/>
      <c r="P12758" s="1"/>
      <c r="Q12758" s="1"/>
      <c r="R12758" s="1"/>
      <c r="S12758" s="1"/>
      <c r="T12758" s="1"/>
      <c r="U12758" s="1"/>
      <c r="V12758" s="1"/>
      <c r="W12758" s="1"/>
      <c r="X12758" s="1"/>
      <c r="Y12758" s="1"/>
      <c r="Z12758" s="1"/>
      <c r="AA12758" s="1"/>
      <c r="AB12758" s="1"/>
      <c r="AC12758" s="1"/>
      <c r="AD12758" s="1"/>
      <c r="AE12758" s="1"/>
      <c r="AF12758" s="1"/>
      <c r="AG12758" s="1"/>
      <c r="AH12758" s="1"/>
    </row>
    <row r="12759" ht="12.75" customHeight="1">
      <c r="A12759" s="17"/>
      <c r="B12759" s="1"/>
      <c r="C12759" s="1"/>
      <c r="D12759" s="150"/>
      <c r="E12759" s="150"/>
      <c r="F12759" s="75"/>
      <c r="G12759" s="67"/>
      <c r="H12759" s="68"/>
      <c r="I12759" s="76"/>
      <c r="J12759" s="67"/>
      <c r="K12759" s="1"/>
      <c r="L12759" s="77"/>
      <c r="M12759" s="79"/>
      <c r="N12759" s="1"/>
      <c r="O12759" s="1"/>
      <c r="P12759" s="1"/>
      <c r="Q12759" s="1"/>
      <c r="R12759" s="1"/>
      <c r="S12759" s="1"/>
      <c r="T12759" s="1"/>
      <c r="U12759" s="1"/>
      <c r="V12759" s="1"/>
      <c r="W12759" s="1"/>
      <c r="X12759" s="1"/>
      <c r="Y12759" s="1"/>
      <c r="Z12759" s="1"/>
      <c r="AA12759" s="1"/>
      <c r="AB12759" s="1"/>
      <c r="AC12759" s="1"/>
      <c r="AD12759" s="1"/>
      <c r="AE12759" s="1"/>
      <c r="AF12759" s="1"/>
      <c r="AG12759" s="1"/>
      <c r="AH12759" s="1"/>
    </row>
    <row r="12760" ht="12.75" customHeight="1">
      <c r="A12760" s="17"/>
      <c r="B12760" s="1"/>
      <c r="C12760" s="1"/>
      <c r="D12760" s="150"/>
      <c r="E12760" s="150"/>
      <c r="F12760" s="75"/>
      <c r="G12760" s="67"/>
      <c r="H12760" s="68"/>
      <c r="I12760" s="76"/>
      <c r="J12760" s="67"/>
      <c r="K12760" s="1"/>
      <c r="L12760" s="77"/>
      <c r="M12760" s="79"/>
      <c r="N12760" s="1"/>
      <c r="O12760" s="1"/>
      <c r="P12760" s="1"/>
      <c r="Q12760" s="1"/>
      <c r="R12760" s="1"/>
      <c r="S12760" s="1"/>
      <c r="T12760" s="1"/>
      <c r="U12760" s="1"/>
      <c r="V12760" s="1"/>
      <c r="W12760" s="1"/>
      <c r="X12760" s="1"/>
      <c r="Y12760" s="1"/>
      <c r="Z12760" s="1"/>
      <c r="AA12760" s="1"/>
      <c r="AB12760" s="1"/>
      <c r="AC12760" s="1"/>
      <c r="AD12760" s="1"/>
      <c r="AE12760" s="1"/>
      <c r="AF12760" s="1"/>
      <c r="AG12760" s="1"/>
      <c r="AH12760" s="1"/>
    </row>
    <row r="12761" ht="12.75" customHeight="1">
      <c r="A12761" s="17"/>
      <c r="B12761" s="1"/>
      <c r="C12761" s="1"/>
      <c r="D12761" s="150"/>
      <c r="E12761" s="150"/>
      <c r="F12761" s="75"/>
      <c r="G12761" s="67"/>
      <c r="H12761" s="68"/>
      <c r="I12761" s="76"/>
      <c r="J12761" s="67"/>
      <c r="K12761" s="1"/>
      <c r="L12761" s="77"/>
      <c r="M12761" s="79"/>
      <c r="N12761" s="1"/>
      <c r="O12761" s="1"/>
      <c r="P12761" s="1"/>
      <c r="Q12761" s="1"/>
      <c r="R12761" s="1"/>
      <c r="S12761" s="1"/>
      <c r="T12761" s="1"/>
      <c r="U12761" s="1"/>
      <c r="V12761" s="1"/>
      <c r="W12761" s="1"/>
      <c r="X12761" s="1"/>
      <c r="Y12761" s="1"/>
      <c r="Z12761" s="1"/>
      <c r="AA12761" s="1"/>
      <c r="AB12761" s="1"/>
      <c r="AC12761" s="1"/>
      <c r="AD12761" s="1"/>
      <c r="AE12761" s="1"/>
      <c r="AF12761" s="1"/>
      <c r="AG12761" s="1"/>
      <c r="AH12761" s="1"/>
    </row>
    <row r="12762" ht="12.75" customHeight="1">
      <c r="A12762" s="17"/>
      <c r="B12762" s="1"/>
      <c r="C12762" s="1"/>
      <c r="D12762" s="150"/>
      <c r="E12762" s="150"/>
      <c r="F12762" s="75"/>
      <c r="G12762" s="67"/>
      <c r="H12762" s="68"/>
      <c r="I12762" s="76"/>
      <c r="J12762" s="67"/>
      <c r="K12762" s="1"/>
      <c r="L12762" s="77"/>
      <c r="M12762" s="79"/>
      <c r="N12762" s="1"/>
      <c r="O12762" s="1"/>
      <c r="P12762" s="1"/>
      <c r="Q12762" s="1"/>
      <c r="R12762" s="1"/>
      <c r="S12762" s="1"/>
      <c r="T12762" s="1"/>
      <c r="U12762" s="1"/>
      <c r="V12762" s="1"/>
      <c r="W12762" s="1"/>
      <c r="X12762" s="1"/>
      <c r="Y12762" s="1"/>
      <c r="Z12762" s="1"/>
      <c r="AA12762" s="1"/>
      <c r="AB12762" s="1"/>
      <c r="AC12762" s="1"/>
      <c r="AD12762" s="1"/>
      <c r="AE12762" s="1"/>
      <c r="AF12762" s="1"/>
      <c r="AG12762" s="1"/>
      <c r="AH12762" s="1"/>
    </row>
    <row r="12763" ht="12.75" customHeight="1">
      <c r="A12763" s="17"/>
      <c r="B12763" s="1"/>
      <c r="C12763" s="1"/>
      <c r="D12763" s="150"/>
      <c r="E12763" s="150"/>
      <c r="F12763" s="75"/>
      <c r="G12763" s="67"/>
      <c r="H12763" s="68"/>
      <c r="I12763" s="76"/>
      <c r="J12763" s="67"/>
      <c r="K12763" s="1"/>
      <c r="L12763" s="77"/>
      <c r="M12763" s="79"/>
      <c r="N12763" s="1"/>
      <c r="O12763" s="1"/>
      <c r="P12763" s="1"/>
      <c r="Q12763" s="1"/>
      <c r="R12763" s="1"/>
      <c r="S12763" s="1"/>
      <c r="T12763" s="1"/>
      <c r="U12763" s="1"/>
      <c r="V12763" s="1"/>
      <c r="W12763" s="1"/>
      <c r="X12763" s="1"/>
      <c r="Y12763" s="1"/>
      <c r="Z12763" s="1"/>
      <c r="AA12763" s="1"/>
      <c r="AB12763" s="1"/>
      <c r="AC12763" s="1"/>
      <c r="AD12763" s="1"/>
      <c r="AE12763" s="1"/>
      <c r="AF12763" s="1"/>
      <c r="AG12763" s="1"/>
      <c r="AH12763" s="1"/>
    </row>
    <row r="12764" ht="12.75" customHeight="1">
      <c r="A12764" s="17"/>
      <c r="B12764" s="1"/>
      <c r="C12764" s="1"/>
      <c r="D12764" s="150"/>
      <c r="E12764" s="150"/>
      <c r="F12764" s="75"/>
      <c r="G12764" s="67"/>
      <c r="H12764" s="68"/>
      <c r="I12764" s="76"/>
      <c r="J12764" s="67"/>
      <c r="K12764" s="1"/>
      <c r="L12764" s="77"/>
      <c r="M12764" s="79"/>
      <c r="N12764" s="1"/>
      <c r="O12764" s="1"/>
      <c r="P12764" s="1"/>
      <c r="Q12764" s="1"/>
      <c r="R12764" s="1"/>
      <c r="S12764" s="1"/>
      <c r="T12764" s="1"/>
      <c r="U12764" s="1"/>
      <c r="V12764" s="1"/>
      <c r="W12764" s="1"/>
      <c r="X12764" s="1"/>
      <c r="Y12764" s="1"/>
      <c r="Z12764" s="1"/>
      <c r="AA12764" s="1"/>
      <c r="AB12764" s="1"/>
      <c r="AC12764" s="1"/>
      <c r="AD12764" s="1"/>
      <c r="AE12764" s="1"/>
      <c r="AF12764" s="1"/>
      <c r="AG12764" s="1"/>
      <c r="AH12764" s="1"/>
    </row>
    <row r="12765" ht="12.75" customHeight="1">
      <c r="A12765" s="17"/>
      <c r="B12765" s="1"/>
      <c r="C12765" s="1"/>
      <c r="D12765" s="150"/>
      <c r="E12765" s="150"/>
      <c r="F12765" s="75"/>
      <c r="G12765" s="67"/>
      <c r="H12765" s="68"/>
      <c r="I12765" s="76"/>
      <c r="J12765" s="67"/>
      <c r="K12765" s="1"/>
      <c r="L12765" s="77"/>
      <c r="M12765" s="79"/>
      <c r="N12765" s="1"/>
      <c r="O12765" s="1"/>
      <c r="P12765" s="1"/>
      <c r="Q12765" s="1"/>
      <c r="R12765" s="1"/>
      <c r="S12765" s="1"/>
      <c r="T12765" s="1"/>
      <c r="U12765" s="1"/>
      <c r="V12765" s="1"/>
      <c r="W12765" s="1"/>
      <c r="X12765" s="1"/>
      <c r="Y12765" s="1"/>
      <c r="Z12765" s="1"/>
      <c r="AA12765" s="1"/>
      <c r="AB12765" s="1"/>
      <c r="AC12765" s="1"/>
      <c r="AD12765" s="1"/>
      <c r="AE12765" s="1"/>
      <c r="AF12765" s="1"/>
      <c r="AG12765" s="1"/>
      <c r="AH12765" s="1"/>
    </row>
    <row r="12766" ht="12.75" customHeight="1">
      <c r="A12766" s="17"/>
      <c r="B12766" s="1"/>
      <c r="C12766" s="1"/>
      <c r="D12766" s="150"/>
      <c r="E12766" s="150"/>
      <c r="F12766" s="75"/>
      <c r="G12766" s="67"/>
      <c r="H12766" s="68"/>
      <c r="I12766" s="76"/>
      <c r="J12766" s="67"/>
      <c r="K12766" s="1"/>
      <c r="L12766" s="77"/>
      <c r="M12766" s="79"/>
      <c r="N12766" s="1"/>
      <c r="O12766" s="1"/>
      <c r="P12766" s="1"/>
      <c r="Q12766" s="1"/>
      <c r="R12766" s="1"/>
      <c r="S12766" s="1"/>
      <c r="T12766" s="1"/>
      <c r="U12766" s="1"/>
      <c r="V12766" s="1"/>
      <c r="W12766" s="1"/>
      <c r="X12766" s="1"/>
      <c r="Y12766" s="1"/>
      <c r="Z12766" s="1"/>
      <c r="AA12766" s="1"/>
      <c r="AB12766" s="1"/>
      <c r="AC12766" s="1"/>
      <c r="AD12766" s="1"/>
      <c r="AE12766" s="1"/>
      <c r="AF12766" s="1"/>
      <c r="AG12766" s="1"/>
      <c r="AH12766" s="1"/>
    </row>
    <row r="12767" ht="12.75" customHeight="1">
      <c r="A12767" s="17"/>
      <c r="B12767" s="1"/>
      <c r="C12767" s="1"/>
      <c r="D12767" s="150"/>
      <c r="E12767" s="150"/>
      <c r="F12767" s="75"/>
      <c r="G12767" s="67"/>
      <c r="H12767" s="68"/>
      <c r="I12767" s="76"/>
      <c r="J12767" s="67"/>
      <c r="K12767" s="1"/>
      <c r="L12767" s="77"/>
      <c r="M12767" s="79"/>
      <c r="N12767" s="1"/>
      <c r="O12767" s="1"/>
      <c r="P12767" s="1"/>
      <c r="Q12767" s="1"/>
      <c r="R12767" s="1"/>
      <c r="S12767" s="1"/>
      <c r="T12767" s="1"/>
      <c r="U12767" s="1"/>
      <c r="V12767" s="1"/>
      <c r="W12767" s="1"/>
      <c r="X12767" s="1"/>
      <c r="Y12767" s="1"/>
      <c r="Z12767" s="1"/>
      <c r="AA12767" s="1"/>
      <c r="AB12767" s="1"/>
      <c r="AC12767" s="1"/>
      <c r="AD12767" s="1"/>
      <c r="AE12767" s="1"/>
      <c r="AF12767" s="1"/>
      <c r="AG12767" s="1"/>
      <c r="AH12767" s="1"/>
    </row>
    <row r="12768" ht="12.75" customHeight="1">
      <c r="A12768" s="17"/>
      <c r="B12768" s="1"/>
      <c r="C12768" s="1"/>
      <c r="D12768" s="150"/>
      <c r="E12768" s="150"/>
      <c r="F12768" s="75"/>
      <c r="G12768" s="67"/>
      <c r="H12768" s="68"/>
      <c r="I12768" s="76"/>
      <c r="J12768" s="67"/>
      <c r="K12768" s="1"/>
      <c r="L12768" s="77"/>
      <c r="M12768" s="79"/>
      <c r="N12768" s="1"/>
      <c r="O12768" s="1"/>
      <c r="P12768" s="1"/>
      <c r="Q12768" s="1"/>
      <c r="R12768" s="1"/>
      <c r="S12768" s="1"/>
      <c r="T12768" s="1"/>
      <c r="U12768" s="1"/>
      <c r="V12768" s="1"/>
      <c r="W12768" s="1"/>
      <c r="X12768" s="1"/>
      <c r="Y12768" s="1"/>
      <c r="Z12768" s="1"/>
      <c r="AA12768" s="1"/>
      <c r="AB12768" s="1"/>
      <c r="AC12768" s="1"/>
      <c r="AD12768" s="1"/>
      <c r="AE12768" s="1"/>
      <c r="AF12768" s="1"/>
      <c r="AG12768" s="1"/>
      <c r="AH12768" s="1"/>
    </row>
    <row r="12769" ht="12.75" customHeight="1">
      <c r="A12769" s="17"/>
      <c r="B12769" s="1"/>
      <c r="C12769" s="1"/>
      <c r="D12769" s="150"/>
      <c r="E12769" s="150"/>
      <c r="F12769" s="75"/>
      <c r="G12769" s="67"/>
      <c r="H12769" s="68"/>
      <c r="I12769" s="76"/>
      <c r="J12769" s="67"/>
      <c r="K12769" s="1"/>
      <c r="L12769" s="77"/>
      <c r="M12769" s="79"/>
      <c r="N12769" s="1"/>
      <c r="O12769" s="1"/>
      <c r="P12769" s="1"/>
      <c r="Q12769" s="1"/>
      <c r="R12769" s="1"/>
      <c r="S12769" s="1"/>
      <c r="T12769" s="1"/>
      <c r="U12769" s="1"/>
      <c r="V12769" s="1"/>
      <c r="W12769" s="1"/>
      <c r="X12769" s="1"/>
      <c r="Y12769" s="1"/>
      <c r="Z12769" s="1"/>
      <c r="AA12769" s="1"/>
      <c r="AB12769" s="1"/>
      <c r="AC12769" s="1"/>
      <c r="AD12769" s="1"/>
      <c r="AE12769" s="1"/>
      <c r="AF12769" s="1"/>
      <c r="AG12769" s="1"/>
      <c r="AH12769" s="1"/>
    </row>
    <row r="12770" ht="12.75" customHeight="1">
      <c r="A12770" s="17"/>
      <c r="B12770" s="1"/>
      <c r="C12770" s="1"/>
      <c r="D12770" s="150"/>
      <c r="E12770" s="150"/>
      <c r="F12770" s="75"/>
      <c r="G12770" s="67"/>
      <c r="H12770" s="68"/>
      <c r="I12770" s="76"/>
      <c r="J12770" s="67"/>
      <c r="K12770" s="1"/>
      <c r="L12770" s="77"/>
      <c r="M12770" s="79"/>
      <c r="N12770" s="1"/>
      <c r="O12770" s="1"/>
      <c r="P12770" s="1"/>
      <c r="Q12770" s="1"/>
      <c r="R12770" s="1"/>
      <c r="S12770" s="1"/>
      <c r="T12770" s="1"/>
      <c r="U12770" s="1"/>
      <c r="V12770" s="1"/>
      <c r="W12770" s="1"/>
      <c r="X12770" s="1"/>
      <c r="Y12770" s="1"/>
      <c r="Z12770" s="1"/>
      <c r="AA12770" s="1"/>
      <c r="AB12770" s="1"/>
      <c r="AC12770" s="1"/>
      <c r="AD12770" s="1"/>
      <c r="AE12770" s="1"/>
      <c r="AF12770" s="1"/>
      <c r="AG12770" s="1"/>
      <c r="AH12770" s="1"/>
    </row>
    <row r="12771" ht="12.75" customHeight="1">
      <c r="A12771" s="17"/>
      <c r="B12771" s="1"/>
      <c r="C12771" s="1"/>
      <c r="D12771" s="150"/>
      <c r="E12771" s="150"/>
      <c r="F12771" s="75"/>
      <c r="G12771" s="67"/>
      <c r="H12771" s="68"/>
      <c r="I12771" s="76"/>
      <c r="J12771" s="67"/>
      <c r="K12771" s="1"/>
      <c r="L12771" s="77"/>
      <c r="M12771" s="79"/>
      <c r="N12771" s="1"/>
      <c r="O12771" s="1"/>
      <c r="P12771" s="1"/>
      <c r="Q12771" s="1"/>
      <c r="R12771" s="1"/>
      <c r="S12771" s="1"/>
      <c r="T12771" s="1"/>
      <c r="U12771" s="1"/>
      <c r="V12771" s="1"/>
      <c r="W12771" s="1"/>
      <c r="X12771" s="1"/>
      <c r="Y12771" s="1"/>
      <c r="Z12771" s="1"/>
      <c r="AA12771" s="1"/>
      <c r="AB12771" s="1"/>
      <c r="AC12771" s="1"/>
      <c r="AD12771" s="1"/>
      <c r="AE12771" s="1"/>
      <c r="AF12771" s="1"/>
      <c r="AG12771" s="1"/>
      <c r="AH12771" s="1"/>
    </row>
    <row r="12772" ht="12.75" customHeight="1">
      <c r="A12772" s="17"/>
      <c r="B12772" s="1"/>
      <c r="C12772" s="1"/>
      <c r="D12772" s="150"/>
      <c r="E12772" s="150"/>
      <c r="F12772" s="75"/>
      <c r="G12772" s="67"/>
      <c r="H12772" s="68"/>
      <c r="I12772" s="76"/>
      <c r="J12772" s="67"/>
      <c r="K12772" s="1"/>
      <c r="L12772" s="77"/>
      <c r="M12772" s="79"/>
      <c r="N12772" s="1"/>
      <c r="O12772" s="1"/>
      <c r="P12772" s="1"/>
      <c r="Q12772" s="1"/>
      <c r="R12772" s="1"/>
      <c r="S12772" s="1"/>
      <c r="T12772" s="1"/>
      <c r="U12772" s="1"/>
      <c r="V12772" s="1"/>
      <c r="W12772" s="1"/>
      <c r="X12772" s="1"/>
      <c r="Y12772" s="1"/>
      <c r="Z12772" s="1"/>
      <c r="AA12772" s="1"/>
      <c r="AB12772" s="1"/>
      <c r="AC12772" s="1"/>
      <c r="AD12772" s="1"/>
      <c r="AE12772" s="1"/>
      <c r="AF12772" s="1"/>
      <c r="AG12772" s="1"/>
      <c r="AH12772" s="1"/>
    </row>
    <row r="12773" ht="12.75" customHeight="1">
      <c r="A12773" s="17"/>
      <c r="B12773" s="1"/>
      <c r="C12773" s="1"/>
      <c r="D12773" s="150"/>
      <c r="E12773" s="150"/>
      <c r="F12773" s="75"/>
      <c r="G12773" s="67"/>
      <c r="H12773" s="68"/>
      <c r="I12773" s="76"/>
      <c r="J12773" s="67"/>
      <c r="K12773" s="1"/>
      <c r="L12773" s="77"/>
      <c r="M12773" s="79"/>
      <c r="N12773" s="1"/>
      <c r="O12773" s="1"/>
      <c r="P12773" s="1"/>
      <c r="Q12773" s="1"/>
      <c r="R12773" s="1"/>
      <c r="S12773" s="1"/>
      <c r="T12773" s="1"/>
      <c r="U12773" s="1"/>
      <c r="V12773" s="1"/>
      <c r="W12773" s="1"/>
      <c r="X12773" s="1"/>
      <c r="Y12773" s="1"/>
      <c r="Z12773" s="1"/>
      <c r="AA12773" s="1"/>
      <c r="AB12773" s="1"/>
      <c r="AC12773" s="1"/>
      <c r="AD12773" s="1"/>
      <c r="AE12773" s="1"/>
      <c r="AF12773" s="1"/>
      <c r="AG12773" s="1"/>
      <c r="AH12773" s="1"/>
    </row>
    <row r="12774" ht="12.75" customHeight="1">
      <c r="A12774" s="17"/>
      <c r="B12774" s="1"/>
      <c r="C12774" s="1"/>
      <c r="D12774" s="150"/>
      <c r="E12774" s="150"/>
      <c r="F12774" s="75"/>
      <c r="G12774" s="67"/>
      <c r="H12774" s="68"/>
      <c r="I12774" s="76"/>
      <c r="J12774" s="67"/>
      <c r="K12774" s="1"/>
      <c r="L12774" s="77"/>
      <c r="M12774" s="79"/>
      <c r="N12774" s="1"/>
      <c r="O12774" s="1"/>
      <c r="P12774" s="1"/>
      <c r="Q12774" s="1"/>
      <c r="R12774" s="1"/>
      <c r="S12774" s="1"/>
      <c r="T12774" s="1"/>
      <c r="U12774" s="1"/>
      <c r="V12774" s="1"/>
      <c r="W12774" s="1"/>
      <c r="X12774" s="1"/>
      <c r="Y12774" s="1"/>
      <c r="Z12774" s="1"/>
      <c r="AA12774" s="1"/>
      <c r="AB12774" s="1"/>
      <c r="AC12774" s="1"/>
      <c r="AD12774" s="1"/>
      <c r="AE12774" s="1"/>
      <c r="AF12774" s="1"/>
      <c r="AG12774" s="1"/>
      <c r="AH12774" s="1"/>
    </row>
    <row r="12775" ht="12.75" customHeight="1">
      <c r="A12775" s="17"/>
      <c r="B12775" s="1"/>
      <c r="C12775" s="1"/>
      <c r="D12775" s="150"/>
      <c r="E12775" s="150"/>
      <c r="F12775" s="75"/>
      <c r="G12775" s="67"/>
      <c r="H12775" s="68"/>
      <c r="I12775" s="76"/>
      <c r="J12775" s="67"/>
      <c r="K12775" s="1"/>
      <c r="L12775" s="77"/>
      <c r="M12775" s="79"/>
      <c r="N12775" s="1"/>
      <c r="O12775" s="1"/>
      <c r="P12775" s="1"/>
      <c r="Q12775" s="1"/>
      <c r="R12775" s="1"/>
      <c r="S12775" s="1"/>
      <c r="T12775" s="1"/>
      <c r="U12775" s="1"/>
      <c r="V12775" s="1"/>
      <c r="W12775" s="1"/>
      <c r="X12775" s="1"/>
      <c r="Y12775" s="1"/>
      <c r="Z12775" s="1"/>
      <c r="AA12775" s="1"/>
      <c r="AB12775" s="1"/>
      <c r="AC12775" s="1"/>
      <c r="AD12775" s="1"/>
      <c r="AE12775" s="1"/>
      <c r="AF12775" s="1"/>
      <c r="AG12775" s="1"/>
      <c r="AH12775" s="1"/>
    </row>
    <row r="12776" ht="12.75" customHeight="1">
      <c r="A12776" s="17"/>
      <c r="B12776" s="1"/>
      <c r="C12776" s="1"/>
      <c r="D12776" s="150"/>
      <c r="E12776" s="150"/>
      <c r="F12776" s="75"/>
      <c r="G12776" s="67"/>
      <c r="H12776" s="68"/>
      <c r="I12776" s="76"/>
      <c r="J12776" s="67"/>
      <c r="K12776" s="1"/>
      <c r="L12776" s="77"/>
      <c r="M12776" s="79"/>
      <c r="N12776" s="1"/>
      <c r="O12776" s="1"/>
      <c r="P12776" s="1"/>
      <c r="Q12776" s="1"/>
      <c r="R12776" s="1"/>
      <c r="S12776" s="1"/>
      <c r="T12776" s="1"/>
      <c r="U12776" s="1"/>
      <c r="V12776" s="1"/>
      <c r="W12776" s="1"/>
      <c r="X12776" s="1"/>
      <c r="Y12776" s="1"/>
      <c r="Z12776" s="1"/>
      <c r="AA12776" s="1"/>
      <c r="AB12776" s="1"/>
      <c r="AC12776" s="1"/>
      <c r="AD12776" s="1"/>
      <c r="AE12776" s="1"/>
      <c r="AF12776" s="1"/>
      <c r="AG12776" s="1"/>
      <c r="AH12776" s="1"/>
    </row>
    <row r="12777" ht="12.75" customHeight="1">
      <c r="A12777" s="17"/>
      <c r="B12777" s="1"/>
      <c r="C12777" s="1"/>
      <c r="D12777" s="150"/>
      <c r="E12777" s="150"/>
      <c r="F12777" s="75"/>
      <c r="G12777" s="67"/>
      <c r="H12777" s="68"/>
      <c r="I12777" s="76"/>
      <c r="J12777" s="67"/>
      <c r="K12777" s="1"/>
      <c r="L12777" s="77"/>
      <c r="M12777" s="79"/>
      <c r="N12777" s="1"/>
      <c r="O12777" s="1"/>
      <c r="P12777" s="1"/>
      <c r="Q12777" s="1"/>
      <c r="R12777" s="1"/>
      <c r="S12777" s="1"/>
      <c r="T12777" s="1"/>
      <c r="U12777" s="1"/>
      <c r="V12777" s="1"/>
      <c r="W12777" s="1"/>
      <c r="X12777" s="1"/>
      <c r="Y12777" s="1"/>
      <c r="Z12777" s="1"/>
      <c r="AA12777" s="1"/>
      <c r="AB12777" s="1"/>
      <c r="AC12777" s="1"/>
      <c r="AD12777" s="1"/>
      <c r="AE12777" s="1"/>
      <c r="AF12777" s="1"/>
      <c r="AG12777" s="1"/>
      <c r="AH12777" s="1"/>
    </row>
    <row r="12778" ht="12.75" customHeight="1">
      <c r="A12778" s="17"/>
      <c r="B12778" s="1"/>
      <c r="C12778" s="1"/>
      <c r="D12778" s="150"/>
      <c r="E12778" s="150"/>
      <c r="F12778" s="75"/>
      <c r="G12778" s="67"/>
      <c r="H12778" s="68"/>
      <c r="I12778" s="76"/>
      <c r="J12778" s="67"/>
      <c r="K12778" s="1"/>
      <c r="L12778" s="77"/>
      <c r="M12778" s="79"/>
      <c r="N12778" s="1"/>
      <c r="O12778" s="1"/>
      <c r="P12778" s="1"/>
      <c r="Q12778" s="1"/>
      <c r="R12778" s="1"/>
      <c r="S12778" s="1"/>
      <c r="T12778" s="1"/>
      <c r="U12778" s="1"/>
      <c r="V12778" s="1"/>
      <c r="W12778" s="1"/>
      <c r="X12778" s="1"/>
      <c r="Y12778" s="1"/>
      <c r="Z12778" s="1"/>
      <c r="AA12778" s="1"/>
      <c r="AB12778" s="1"/>
      <c r="AC12778" s="1"/>
      <c r="AD12778" s="1"/>
      <c r="AE12778" s="1"/>
      <c r="AF12778" s="1"/>
      <c r="AG12778" s="1"/>
      <c r="AH12778" s="1"/>
    </row>
    <row r="12779" ht="12.75" customHeight="1">
      <c r="A12779" s="17"/>
      <c r="B12779" s="1"/>
      <c r="C12779" s="1"/>
      <c r="D12779" s="150"/>
      <c r="E12779" s="150"/>
      <c r="F12779" s="75"/>
      <c r="G12779" s="67"/>
      <c r="H12779" s="68"/>
      <c r="I12779" s="76"/>
      <c r="J12779" s="67"/>
      <c r="K12779" s="1"/>
      <c r="L12779" s="77"/>
      <c r="M12779" s="79"/>
      <c r="N12779" s="1"/>
      <c r="O12779" s="1"/>
      <c r="P12779" s="1"/>
      <c r="Q12779" s="1"/>
      <c r="R12779" s="1"/>
      <c r="S12779" s="1"/>
      <c r="T12779" s="1"/>
      <c r="U12779" s="1"/>
      <c r="V12779" s="1"/>
      <c r="W12779" s="1"/>
      <c r="X12779" s="1"/>
      <c r="Y12779" s="1"/>
      <c r="Z12779" s="1"/>
      <c r="AA12779" s="1"/>
      <c r="AB12779" s="1"/>
      <c r="AC12779" s="1"/>
      <c r="AD12779" s="1"/>
      <c r="AE12779" s="1"/>
      <c r="AF12779" s="1"/>
      <c r="AG12779" s="1"/>
      <c r="AH12779" s="1"/>
    </row>
    <row r="12780" ht="12.75" customHeight="1">
      <c r="A12780" s="17"/>
      <c r="B12780" s="1"/>
      <c r="C12780" s="1"/>
      <c r="D12780" s="150"/>
      <c r="E12780" s="150"/>
      <c r="F12780" s="75"/>
      <c r="G12780" s="67"/>
      <c r="H12780" s="68"/>
      <c r="I12780" s="76"/>
      <c r="J12780" s="67"/>
      <c r="K12780" s="1"/>
      <c r="L12780" s="77"/>
      <c r="M12780" s="79"/>
      <c r="N12780" s="1"/>
      <c r="O12780" s="1"/>
      <c r="P12780" s="1"/>
      <c r="Q12780" s="1"/>
      <c r="R12780" s="1"/>
      <c r="S12780" s="1"/>
      <c r="T12780" s="1"/>
      <c r="U12780" s="1"/>
      <c r="V12780" s="1"/>
      <c r="W12780" s="1"/>
      <c r="X12780" s="1"/>
      <c r="Y12780" s="1"/>
      <c r="Z12780" s="1"/>
      <c r="AA12780" s="1"/>
      <c r="AB12780" s="1"/>
      <c r="AC12780" s="1"/>
      <c r="AD12780" s="1"/>
      <c r="AE12780" s="1"/>
      <c r="AF12780" s="1"/>
      <c r="AG12780" s="1"/>
      <c r="AH12780" s="1"/>
    </row>
    <row r="12781" ht="12.75" customHeight="1">
      <c r="A12781" s="17"/>
      <c r="B12781" s="1"/>
      <c r="C12781" s="1"/>
      <c r="D12781" s="150"/>
      <c r="E12781" s="150"/>
      <c r="F12781" s="75"/>
      <c r="G12781" s="67"/>
      <c r="H12781" s="68"/>
      <c r="I12781" s="76"/>
      <c r="J12781" s="67"/>
      <c r="K12781" s="1"/>
      <c r="L12781" s="77"/>
      <c r="M12781" s="79"/>
      <c r="N12781" s="1"/>
      <c r="O12781" s="1"/>
      <c r="P12781" s="1"/>
      <c r="Q12781" s="1"/>
      <c r="R12781" s="1"/>
      <c r="S12781" s="1"/>
      <c r="T12781" s="1"/>
      <c r="U12781" s="1"/>
      <c r="V12781" s="1"/>
      <c r="W12781" s="1"/>
      <c r="X12781" s="1"/>
      <c r="Y12781" s="1"/>
      <c r="Z12781" s="1"/>
      <c r="AA12781" s="1"/>
      <c r="AB12781" s="1"/>
      <c r="AC12781" s="1"/>
      <c r="AD12781" s="1"/>
      <c r="AE12781" s="1"/>
      <c r="AF12781" s="1"/>
      <c r="AG12781" s="1"/>
      <c r="AH12781" s="1"/>
    </row>
    <row r="12782" ht="12.75" customHeight="1">
      <c r="A12782" s="17"/>
      <c r="B12782" s="1"/>
      <c r="C12782" s="1"/>
      <c r="D12782" s="150"/>
      <c r="E12782" s="150"/>
      <c r="F12782" s="75"/>
      <c r="G12782" s="67"/>
      <c r="H12782" s="68"/>
      <c r="I12782" s="76"/>
      <c r="J12782" s="67"/>
      <c r="K12782" s="1"/>
      <c r="L12782" s="77"/>
      <c r="M12782" s="79"/>
      <c r="N12782" s="1"/>
      <c r="O12782" s="1"/>
      <c r="P12782" s="1"/>
      <c r="Q12782" s="1"/>
      <c r="R12782" s="1"/>
      <c r="S12782" s="1"/>
      <c r="T12782" s="1"/>
      <c r="U12782" s="1"/>
      <c r="V12782" s="1"/>
      <c r="W12782" s="1"/>
      <c r="X12782" s="1"/>
      <c r="Y12782" s="1"/>
      <c r="Z12782" s="1"/>
      <c r="AA12782" s="1"/>
      <c r="AB12782" s="1"/>
      <c r="AC12782" s="1"/>
      <c r="AD12782" s="1"/>
      <c r="AE12782" s="1"/>
      <c r="AF12782" s="1"/>
      <c r="AG12782" s="1"/>
      <c r="AH12782" s="1"/>
    </row>
    <row r="12783" ht="12.75" customHeight="1">
      <c r="A12783" s="17"/>
      <c r="B12783" s="1"/>
      <c r="C12783" s="1"/>
      <c r="D12783" s="150"/>
      <c r="E12783" s="150"/>
      <c r="F12783" s="75"/>
      <c r="G12783" s="67"/>
      <c r="H12783" s="68"/>
      <c r="I12783" s="76"/>
      <c r="J12783" s="67"/>
      <c r="K12783" s="1"/>
      <c r="L12783" s="77"/>
      <c r="M12783" s="79"/>
      <c r="N12783" s="1"/>
      <c r="O12783" s="1"/>
      <c r="P12783" s="1"/>
      <c r="Q12783" s="1"/>
      <c r="R12783" s="1"/>
      <c r="S12783" s="1"/>
      <c r="T12783" s="1"/>
      <c r="U12783" s="1"/>
      <c r="V12783" s="1"/>
      <c r="W12783" s="1"/>
      <c r="X12783" s="1"/>
      <c r="Y12783" s="1"/>
      <c r="Z12783" s="1"/>
      <c r="AA12783" s="1"/>
      <c r="AB12783" s="1"/>
      <c r="AC12783" s="1"/>
      <c r="AD12783" s="1"/>
      <c r="AE12783" s="1"/>
      <c r="AF12783" s="1"/>
      <c r="AG12783" s="1"/>
      <c r="AH12783" s="1"/>
    </row>
    <row r="12784" ht="12.75" customHeight="1">
      <c r="A12784" s="17"/>
      <c r="B12784" s="1"/>
      <c r="C12784" s="1"/>
      <c r="D12784" s="150"/>
      <c r="E12784" s="150"/>
      <c r="F12784" s="75"/>
      <c r="G12784" s="67"/>
      <c r="H12784" s="68"/>
      <c r="I12784" s="76"/>
      <c r="J12784" s="67"/>
      <c r="K12784" s="1"/>
      <c r="L12784" s="77"/>
      <c r="M12784" s="79"/>
      <c r="N12784" s="1"/>
      <c r="O12784" s="1"/>
      <c r="P12784" s="1"/>
      <c r="Q12784" s="1"/>
      <c r="R12784" s="1"/>
      <c r="S12784" s="1"/>
      <c r="T12784" s="1"/>
      <c r="U12784" s="1"/>
      <c r="V12784" s="1"/>
      <c r="W12784" s="1"/>
      <c r="X12784" s="1"/>
      <c r="Y12784" s="1"/>
      <c r="Z12784" s="1"/>
      <c r="AA12784" s="1"/>
      <c r="AB12784" s="1"/>
      <c r="AC12784" s="1"/>
      <c r="AD12784" s="1"/>
      <c r="AE12784" s="1"/>
      <c r="AF12784" s="1"/>
      <c r="AG12784" s="1"/>
      <c r="AH12784" s="1"/>
    </row>
    <row r="12785" ht="12.75" customHeight="1">
      <c r="A12785" s="17"/>
      <c r="B12785" s="1"/>
      <c r="C12785" s="1"/>
      <c r="D12785" s="150"/>
      <c r="E12785" s="150"/>
      <c r="F12785" s="75"/>
      <c r="G12785" s="67"/>
      <c r="H12785" s="68"/>
      <c r="I12785" s="76"/>
      <c r="J12785" s="67"/>
      <c r="K12785" s="1"/>
      <c r="L12785" s="77"/>
      <c r="M12785" s="79"/>
      <c r="N12785" s="1"/>
      <c r="O12785" s="1"/>
      <c r="P12785" s="1"/>
      <c r="Q12785" s="1"/>
      <c r="R12785" s="1"/>
      <c r="S12785" s="1"/>
      <c r="T12785" s="1"/>
      <c r="U12785" s="1"/>
      <c r="V12785" s="1"/>
      <c r="W12785" s="1"/>
      <c r="X12785" s="1"/>
      <c r="Y12785" s="1"/>
      <c r="Z12785" s="1"/>
      <c r="AA12785" s="1"/>
      <c r="AB12785" s="1"/>
      <c r="AC12785" s="1"/>
      <c r="AD12785" s="1"/>
      <c r="AE12785" s="1"/>
      <c r="AF12785" s="1"/>
      <c r="AG12785" s="1"/>
      <c r="AH12785" s="1"/>
    </row>
    <row r="12786" ht="12.75" customHeight="1">
      <c r="A12786" s="17"/>
      <c r="B12786" s="1"/>
      <c r="C12786" s="1"/>
      <c r="D12786" s="150"/>
      <c r="E12786" s="150"/>
      <c r="F12786" s="75"/>
      <c r="G12786" s="67"/>
      <c r="H12786" s="68"/>
      <c r="I12786" s="76"/>
      <c r="J12786" s="67"/>
      <c r="K12786" s="1"/>
      <c r="L12786" s="77"/>
      <c r="M12786" s="79"/>
      <c r="N12786" s="1"/>
      <c r="O12786" s="1"/>
      <c r="P12786" s="1"/>
      <c r="Q12786" s="1"/>
      <c r="R12786" s="1"/>
      <c r="S12786" s="1"/>
      <c r="T12786" s="1"/>
      <c r="U12786" s="1"/>
      <c r="V12786" s="1"/>
      <c r="W12786" s="1"/>
      <c r="X12786" s="1"/>
      <c r="Y12786" s="1"/>
      <c r="Z12786" s="1"/>
      <c r="AA12786" s="1"/>
      <c r="AB12786" s="1"/>
      <c r="AC12786" s="1"/>
      <c r="AD12786" s="1"/>
      <c r="AE12786" s="1"/>
      <c r="AF12786" s="1"/>
      <c r="AG12786" s="1"/>
      <c r="AH12786" s="1"/>
    </row>
    <row r="12787" ht="12.75" customHeight="1">
      <c r="A12787" s="17"/>
      <c r="B12787" s="1"/>
      <c r="C12787" s="1"/>
      <c r="D12787" s="150"/>
      <c r="E12787" s="150"/>
      <c r="F12787" s="75"/>
      <c r="G12787" s="67"/>
      <c r="H12787" s="68"/>
      <c r="I12787" s="76"/>
      <c r="J12787" s="67"/>
      <c r="K12787" s="1"/>
      <c r="L12787" s="77"/>
      <c r="M12787" s="79"/>
      <c r="N12787" s="1"/>
      <c r="O12787" s="1"/>
      <c r="P12787" s="1"/>
      <c r="Q12787" s="1"/>
      <c r="R12787" s="1"/>
      <c r="S12787" s="1"/>
      <c r="T12787" s="1"/>
      <c r="U12787" s="1"/>
      <c r="V12787" s="1"/>
      <c r="W12787" s="1"/>
      <c r="X12787" s="1"/>
      <c r="Y12787" s="1"/>
      <c r="Z12787" s="1"/>
      <c r="AA12787" s="1"/>
      <c r="AB12787" s="1"/>
      <c r="AC12787" s="1"/>
      <c r="AD12787" s="1"/>
      <c r="AE12787" s="1"/>
      <c r="AF12787" s="1"/>
      <c r="AG12787" s="1"/>
      <c r="AH12787" s="1"/>
    </row>
    <row r="12788" ht="12.75" customHeight="1">
      <c r="A12788" s="17"/>
      <c r="B12788" s="1"/>
      <c r="C12788" s="1"/>
      <c r="D12788" s="150"/>
      <c r="E12788" s="150"/>
      <c r="F12788" s="75"/>
      <c r="G12788" s="67"/>
      <c r="H12788" s="68"/>
      <c r="I12788" s="76"/>
      <c r="J12788" s="67"/>
      <c r="K12788" s="1"/>
      <c r="L12788" s="77"/>
      <c r="M12788" s="79"/>
      <c r="N12788" s="1"/>
      <c r="O12788" s="1"/>
      <c r="P12788" s="1"/>
      <c r="Q12788" s="1"/>
      <c r="R12788" s="1"/>
      <c r="S12788" s="1"/>
      <c r="T12788" s="1"/>
      <c r="U12788" s="1"/>
      <c r="V12788" s="1"/>
      <c r="W12788" s="1"/>
      <c r="X12788" s="1"/>
      <c r="Y12788" s="1"/>
      <c r="Z12788" s="1"/>
      <c r="AA12788" s="1"/>
      <c r="AB12788" s="1"/>
      <c r="AC12788" s="1"/>
      <c r="AD12788" s="1"/>
      <c r="AE12788" s="1"/>
      <c r="AF12788" s="1"/>
      <c r="AG12788" s="1"/>
      <c r="AH12788" s="1"/>
    </row>
    <row r="12789" ht="12.75" customHeight="1">
      <c r="A12789" s="17"/>
      <c r="B12789" s="1"/>
      <c r="C12789" s="1"/>
      <c r="D12789" s="150"/>
      <c r="E12789" s="150"/>
      <c r="F12789" s="75"/>
      <c r="G12789" s="67"/>
      <c r="H12789" s="68"/>
      <c r="I12789" s="76"/>
      <c r="J12789" s="67"/>
      <c r="K12789" s="1"/>
      <c r="L12789" s="77"/>
      <c r="M12789" s="79"/>
      <c r="N12789" s="1"/>
      <c r="O12789" s="1"/>
      <c r="P12789" s="1"/>
      <c r="Q12789" s="1"/>
      <c r="R12789" s="1"/>
      <c r="S12789" s="1"/>
      <c r="T12789" s="1"/>
      <c r="U12789" s="1"/>
      <c r="V12789" s="1"/>
      <c r="W12789" s="1"/>
      <c r="X12789" s="1"/>
      <c r="Y12789" s="1"/>
      <c r="Z12789" s="1"/>
      <c r="AA12789" s="1"/>
      <c r="AB12789" s="1"/>
      <c r="AC12789" s="1"/>
      <c r="AD12789" s="1"/>
      <c r="AE12789" s="1"/>
      <c r="AF12789" s="1"/>
      <c r="AG12789" s="1"/>
      <c r="AH12789" s="1"/>
    </row>
    <row r="12790" ht="12.75" customHeight="1">
      <c r="A12790" s="17"/>
      <c r="B12790" s="1"/>
      <c r="C12790" s="1"/>
      <c r="D12790" s="150"/>
      <c r="E12790" s="150"/>
      <c r="F12790" s="75"/>
      <c r="G12790" s="67"/>
      <c r="H12790" s="68"/>
      <c r="I12790" s="76"/>
      <c r="J12790" s="67"/>
      <c r="K12790" s="1"/>
      <c r="L12790" s="77"/>
      <c r="M12790" s="79"/>
      <c r="N12790" s="1"/>
      <c r="O12790" s="1"/>
      <c r="P12790" s="1"/>
      <c r="Q12790" s="1"/>
      <c r="R12790" s="1"/>
      <c r="S12790" s="1"/>
      <c r="T12790" s="1"/>
      <c r="U12790" s="1"/>
      <c r="V12790" s="1"/>
      <c r="W12790" s="1"/>
      <c r="X12790" s="1"/>
      <c r="Y12790" s="1"/>
      <c r="Z12790" s="1"/>
      <c r="AA12790" s="1"/>
      <c r="AB12790" s="1"/>
      <c r="AC12790" s="1"/>
      <c r="AD12790" s="1"/>
      <c r="AE12790" s="1"/>
      <c r="AF12790" s="1"/>
      <c r="AG12790" s="1"/>
      <c r="AH12790" s="1"/>
    </row>
    <row r="12791" ht="12.75" customHeight="1">
      <c r="A12791" s="17"/>
      <c r="B12791" s="1"/>
      <c r="C12791" s="1"/>
      <c r="D12791" s="150"/>
      <c r="E12791" s="150"/>
      <c r="F12791" s="75"/>
      <c r="G12791" s="67"/>
      <c r="H12791" s="68"/>
      <c r="I12791" s="76"/>
      <c r="J12791" s="67"/>
      <c r="K12791" s="1"/>
      <c r="L12791" s="77"/>
      <c r="M12791" s="79"/>
      <c r="N12791" s="1"/>
      <c r="O12791" s="1"/>
      <c r="P12791" s="1"/>
      <c r="Q12791" s="1"/>
      <c r="R12791" s="1"/>
      <c r="S12791" s="1"/>
      <c r="T12791" s="1"/>
      <c r="U12791" s="1"/>
      <c r="V12791" s="1"/>
      <c r="W12791" s="1"/>
      <c r="X12791" s="1"/>
      <c r="Y12791" s="1"/>
      <c r="Z12791" s="1"/>
      <c r="AA12791" s="1"/>
      <c r="AB12791" s="1"/>
      <c r="AC12791" s="1"/>
      <c r="AD12791" s="1"/>
      <c r="AE12791" s="1"/>
      <c r="AF12791" s="1"/>
      <c r="AG12791" s="1"/>
      <c r="AH12791" s="1"/>
    </row>
    <row r="12792" ht="12.75" customHeight="1">
      <c r="A12792" s="17"/>
      <c r="B12792" s="1"/>
      <c r="C12792" s="1"/>
      <c r="D12792" s="150"/>
      <c r="E12792" s="150"/>
      <c r="F12792" s="75"/>
      <c r="G12792" s="67"/>
      <c r="H12792" s="68"/>
      <c r="I12792" s="76"/>
      <c r="J12792" s="67"/>
      <c r="K12792" s="1"/>
      <c r="L12792" s="77"/>
      <c r="M12792" s="79"/>
      <c r="N12792" s="1"/>
      <c r="O12792" s="1"/>
      <c r="P12792" s="1"/>
      <c r="Q12792" s="1"/>
      <c r="R12792" s="1"/>
      <c r="S12792" s="1"/>
      <c r="T12792" s="1"/>
      <c r="U12792" s="1"/>
      <c r="V12792" s="1"/>
      <c r="W12792" s="1"/>
      <c r="X12792" s="1"/>
      <c r="Y12792" s="1"/>
      <c r="Z12792" s="1"/>
      <c r="AA12792" s="1"/>
      <c r="AB12792" s="1"/>
      <c r="AC12792" s="1"/>
      <c r="AD12792" s="1"/>
      <c r="AE12792" s="1"/>
      <c r="AF12792" s="1"/>
      <c r="AG12792" s="1"/>
      <c r="AH12792" s="1"/>
    </row>
    <row r="12793" ht="12.75" customHeight="1">
      <c r="A12793" s="17"/>
      <c r="B12793" s="1"/>
      <c r="C12793" s="1"/>
      <c r="D12793" s="150"/>
      <c r="E12793" s="150"/>
      <c r="F12793" s="75"/>
      <c r="G12793" s="67"/>
      <c r="H12793" s="68"/>
      <c r="I12793" s="76"/>
      <c r="J12793" s="67"/>
      <c r="K12793" s="1"/>
      <c r="L12793" s="77"/>
      <c r="M12793" s="79"/>
      <c r="N12793" s="1"/>
      <c r="O12793" s="1"/>
      <c r="P12793" s="1"/>
      <c r="Q12793" s="1"/>
      <c r="R12793" s="1"/>
      <c r="S12793" s="1"/>
      <c r="T12793" s="1"/>
      <c r="U12793" s="1"/>
      <c r="V12793" s="1"/>
      <c r="W12793" s="1"/>
      <c r="X12793" s="1"/>
      <c r="Y12793" s="1"/>
      <c r="Z12793" s="1"/>
      <c r="AA12793" s="1"/>
      <c r="AB12793" s="1"/>
      <c r="AC12793" s="1"/>
      <c r="AD12793" s="1"/>
      <c r="AE12793" s="1"/>
      <c r="AF12793" s="1"/>
      <c r="AG12793" s="1"/>
      <c r="AH12793" s="1"/>
    </row>
    <row r="12794" ht="12.75" customHeight="1">
      <c r="A12794" s="17"/>
      <c r="B12794" s="1"/>
      <c r="C12794" s="1"/>
      <c r="D12794" s="150"/>
      <c r="E12794" s="150"/>
      <c r="F12794" s="75"/>
      <c r="G12794" s="67"/>
      <c r="H12794" s="68"/>
      <c r="I12794" s="76"/>
      <c r="J12794" s="67"/>
      <c r="K12794" s="1"/>
      <c r="L12794" s="77"/>
      <c r="M12794" s="79"/>
      <c r="N12794" s="1"/>
      <c r="O12794" s="1"/>
      <c r="P12794" s="1"/>
      <c r="Q12794" s="1"/>
      <c r="R12794" s="1"/>
      <c r="S12794" s="1"/>
      <c r="T12794" s="1"/>
      <c r="U12794" s="1"/>
      <c r="V12794" s="1"/>
      <c r="W12794" s="1"/>
      <c r="X12794" s="1"/>
      <c r="Y12794" s="1"/>
      <c r="Z12794" s="1"/>
      <c r="AA12794" s="1"/>
      <c r="AB12794" s="1"/>
      <c r="AC12794" s="1"/>
      <c r="AD12794" s="1"/>
      <c r="AE12794" s="1"/>
      <c r="AF12794" s="1"/>
      <c r="AG12794" s="1"/>
      <c r="AH12794" s="1"/>
    </row>
    <row r="12795" ht="12.75" customHeight="1">
      <c r="A12795" s="17"/>
      <c r="B12795" s="1"/>
      <c r="C12795" s="1"/>
      <c r="D12795" s="150"/>
      <c r="E12795" s="150"/>
      <c r="F12795" s="75"/>
      <c r="G12795" s="67"/>
      <c r="H12795" s="68"/>
      <c r="I12795" s="76"/>
      <c r="J12795" s="67"/>
      <c r="K12795" s="1"/>
      <c r="L12795" s="77"/>
      <c r="M12795" s="79"/>
      <c r="N12795" s="1"/>
      <c r="O12795" s="1"/>
      <c r="P12795" s="1"/>
      <c r="Q12795" s="1"/>
      <c r="R12795" s="1"/>
      <c r="S12795" s="1"/>
      <c r="T12795" s="1"/>
      <c r="U12795" s="1"/>
      <c r="V12795" s="1"/>
      <c r="W12795" s="1"/>
      <c r="X12795" s="1"/>
      <c r="Y12795" s="1"/>
      <c r="Z12795" s="1"/>
      <c r="AA12795" s="1"/>
      <c r="AB12795" s="1"/>
      <c r="AC12795" s="1"/>
      <c r="AD12795" s="1"/>
      <c r="AE12795" s="1"/>
      <c r="AF12795" s="1"/>
      <c r="AG12795" s="1"/>
      <c r="AH12795" s="1"/>
    </row>
    <row r="12796" ht="12.75" customHeight="1">
      <c r="A12796" s="17"/>
      <c r="B12796" s="1"/>
      <c r="C12796" s="1"/>
      <c r="D12796" s="150"/>
      <c r="E12796" s="150"/>
      <c r="F12796" s="75"/>
      <c r="G12796" s="67"/>
      <c r="H12796" s="68"/>
      <c r="I12796" s="76"/>
      <c r="J12796" s="67"/>
      <c r="K12796" s="1"/>
      <c r="L12796" s="77"/>
      <c r="M12796" s="79"/>
      <c r="N12796" s="1"/>
      <c r="O12796" s="1"/>
      <c r="P12796" s="1"/>
      <c r="Q12796" s="1"/>
      <c r="R12796" s="1"/>
      <c r="S12796" s="1"/>
      <c r="T12796" s="1"/>
      <c r="U12796" s="1"/>
      <c r="V12796" s="1"/>
      <c r="W12796" s="1"/>
      <c r="X12796" s="1"/>
      <c r="Y12796" s="1"/>
      <c r="Z12796" s="1"/>
      <c r="AA12796" s="1"/>
      <c r="AB12796" s="1"/>
      <c r="AC12796" s="1"/>
      <c r="AD12796" s="1"/>
      <c r="AE12796" s="1"/>
      <c r="AF12796" s="1"/>
      <c r="AG12796" s="1"/>
      <c r="AH12796" s="1"/>
    </row>
    <row r="12797" ht="12.75" customHeight="1">
      <c r="A12797" s="17"/>
      <c r="B12797" s="1"/>
      <c r="C12797" s="1"/>
      <c r="D12797" s="150"/>
      <c r="E12797" s="150"/>
      <c r="F12797" s="75"/>
      <c r="G12797" s="67"/>
      <c r="H12797" s="68"/>
      <c r="I12797" s="76"/>
      <c r="J12797" s="67"/>
      <c r="K12797" s="1"/>
      <c r="L12797" s="77"/>
      <c r="M12797" s="79"/>
      <c r="N12797" s="1"/>
      <c r="O12797" s="1"/>
      <c r="P12797" s="1"/>
      <c r="Q12797" s="1"/>
      <c r="R12797" s="1"/>
      <c r="S12797" s="1"/>
      <c r="T12797" s="1"/>
      <c r="U12797" s="1"/>
      <c r="V12797" s="1"/>
      <c r="W12797" s="1"/>
      <c r="X12797" s="1"/>
      <c r="Y12797" s="1"/>
      <c r="Z12797" s="1"/>
      <c r="AA12797" s="1"/>
      <c r="AB12797" s="1"/>
      <c r="AC12797" s="1"/>
      <c r="AD12797" s="1"/>
      <c r="AE12797" s="1"/>
      <c r="AF12797" s="1"/>
      <c r="AG12797" s="1"/>
      <c r="AH12797" s="1"/>
    </row>
    <row r="12798" ht="12.75" customHeight="1">
      <c r="A12798" s="17"/>
      <c r="B12798" s="1"/>
      <c r="C12798" s="1"/>
      <c r="D12798" s="150"/>
      <c r="E12798" s="150"/>
      <c r="F12798" s="75"/>
      <c r="G12798" s="67"/>
      <c r="H12798" s="68"/>
      <c r="I12798" s="76"/>
      <c r="J12798" s="67"/>
      <c r="K12798" s="1"/>
      <c r="L12798" s="77"/>
      <c r="M12798" s="79"/>
      <c r="N12798" s="1"/>
      <c r="O12798" s="1"/>
      <c r="P12798" s="1"/>
      <c r="Q12798" s="1"/>
      <c r="R12798" s="1"/>
      <c r="S12798" s="1"/>
      <c r="T12798" s="1"/>
      <c r="U12798" s="1"/>
      <c r="V12798" s="1"/>
      <c r="W12798" s="1"/>
      <c r="X12798" s="1"/>
      <c r="Y12798" s="1"/>
      <c r="Z12798" s="1"/>
      <c r="AA12798" s="1"/>
      <c r="AB12798" s="1"/>
      <c r="AC12798" s="1"/>
      <c r="AD12798" s="1"/>
      <c r="AE12798" s="1"/>
      <c r="AF12798" s="1"/>
      <c r="AG12798" s="1"/>
      <c r="AH12798" s="1"/>
    </row>
    <row r="12799" ht="12.75" customHeight="1">
      <c r="A12799" s="17"/>
      <c r="B12799" s="1"/>
      <c r="C12799" s="1"/>
      <c r="D12799" s="150"/>
      <c r="E12799" s="150"/>
      <c r="F12799" s="75"/>
      <c r="G12799" s="67"/>
      <c r="H12799" s="68"/>
      <c r="I12799" s="76"/>
      <c r="J12799" s="67"/>
      <c r="K12799" s="1"/>
      <c r="L12799" s="77"/>
      <c r="M12799" s="79"/>
      <c r="N12799" s="1"/>
      <c r="O12799" s="1"/>
      <c r="P12799" s="1"/>
      <c r="Q12799" s="1"/>
      <c r="R12799" s="1"/>
      <c r="S12799" s="1"/>
      <c r="T12799" s="1"/>
      <c r="U12799" s="1"/>
      <c r="V12799" s="1"/>
      <c r="W12799" s="1"/>
      <c r="X12799" s="1"/>
      <c r="Y12799" s="1"/>
      <c r="Z12799" s="1"/>
      <c r="AA12799" s="1"/>
      <c r="AB12799" s="1"/>
      <c r="AC12799" s="1"/>
      <c r="AD12799" s="1"/>
      <c r="AE12799" s="1"/>
      <c r="AF12799" s="1"/>
      <c r="AG12799" s="1"/>
      <c r="AH12799" s="1"/>
    </row>
    <row r="12800" ht="12.75" customHeight="1">
      <c r="A12800" s="17"/>
      <c r="B12800" s="1"/>
      <c r="C12800" s="1"/>
      <c r="D12800" s="150"/>
      <c r="E12800" s="150"/>
      <c r="F12800" s="75"/>
      <c r="G12800" s="67"/>
      <c r="H12800" s="68"/>
      <c r="I12800" s="76"/>
      <c r="J12800" s="67"/>
      <c r="K12800" s="1"/>
      <c r="L12800" s="77"/>
      <c r="M12800" s="79"/>
      <c r="N12800" s="1"/>
      <c r="O12800" s="1"/>
      <c r="P12800" s="1"/>
      <c r="Q12800" s="1"/>
      <c r="R12800" s="1"/>
      <c r="S12800" s="1"/>
      <c r="T12800" s="1"/>
      <c r="U12800" s="1"/>
      <c r="V12800" s="1"/>
      <c r="W12800" s="1"/>
      <c r="X12800" s="1"/>
      <c r="Y12800" s="1"/>
      <c r="Z12800" s="1"/>
      <c r="AA12800" s="1"/>
      <c r="AB12800" s="1"/>
      <c r="AC12800" s="1"/>
      <c r="AD12800" s="1"/>
      <c r="AE12800" s="1"/>
      <c r="AF12800" s="1"/>
      <c r="AG12800" s="1"/>
      <c r="AH12800" s="1"/>
    </row>
    <row r="12801" ht="12.75" customHeight="1">
      <c r="A12801" s="17"/>
      <c r="B12801" s="1"/>
      <c r="C12801" s="1"/>
      <c r="D12801" s="150"/>
      <c r="E12801" s="150"/>
      <c r="F12801" s="75"/>
      <c r="G12801" s="67"/>
      <c r="H12801" s="68"/>
      <c r="I12801" s="76"/>
      <c r="J12801" s="67"/>
      <c r="K12801" s="1"/>
      <c r="L12801" s="77"/>
      <c r="M12801" s="79"/>
      <c r="N12801" s="1"/>
      <c r="O12801" s="1"/>
      <c r="P12801" s="1"/>
      <c r="Q12801" s="1"/>
      <c r="R12801" s="1"/>
      <c r="S12801" s="1"/>
      <c r="T12801" s="1"/>
      <c r="U12801" s="1"/>
      <c r="V12801" s="1"/>
      <c r="W12801" s="1"/>
      <c r="X12801" s="1"/>
      <c r="Y12801" s="1"/>
      <c r="Z12801" s="1"/>
      <c r="AA12801" s="1"/>
      <c r="AB12801" s="1"/>
      <c r="AC12801" s="1"/>
      <c r="AD12801" s="1"/>
      <c r="AE12801" s="1"/>
      <c r="AF12801" s="1"/>
      <c r="AG12801" s="1"/>
      <c r="AH12801" s="1"/>
    </row>
    <row r="12802" ht="12.75" customHeight="1">
      <c r="A12802" s="17"/>
      <c r="B12802" s="1"/>
      <c r="C12802" s="1"/>
      <c r="D12802" s="150"/>
      <c r="E12802" s="150"/>
      <c r="F12802" s="75"/>
      <c r="G12802" s="67"/>
      <c r="H12802" s="68"/>
      <c r="I12802" s="76"/>
      <c r="J12802" s="67"/>
      <c r="K12802" s="1"/>
      <c r="L12802" s="77"/>
      <c r="M12802" s="79"/>
      <c r="N12802" s="1"/>
      <c r="O12802" s="1"/>
      <c r="P12802" s="1"/>
      <c r="Q12802" s="1"/>
      <c r="R12802" s="1"/>
      <c r="S12802" s="1"/>
      <c r="T12802" s="1"/>
      <c r="U12802" s="1"/>
      <c r="V12802" s="1"/>
      <c r="W12802" s="1"/>
      <c r="X12802" s="1"/>
      <c r="Y12802" s="1"/>
      <c r="Z12802" s="1"/>
      <c r="AA12802" s="1"/>
      <c r="AB12802" s="1"/>
      <c r="AC12802" s="1"/>
      <c r="AD12802" s="1"/>
      <c r="AE12802" s="1"/>
      <c r="AF12802" s="1"/>
      <c r="AG12802" s="1"/>
      <c r="AH12802" s="1"/>
    </row>
    <row r="12803" ht="12.75" customHeight="1">
      <c r="A12803" s="17"/>
      <c r="B12803" s="1"/>
      <c r="C12803" s="1"/>
      <c r="D12803" s="150"/>
      <c r="E12803" s="150"/>
      <c r="F12803" s="75"/>
      <c r="G12803" s="67"/>
      <c r="H12803" s="68"/>
      <c r="I12803" s="76"/>
      <c r="J12803" s="67"/>
      <c r="K12803" s="1"/>
      <c r="L12803" s="77"/>
      <c r="M12803" s="79"/>
      <c r="N12803" s="1"/>
      <c r="O12803" s="1"/>
      <c r="P12803" s="1"/>
      <c r="Q12803" s="1"/>
      <c r="R12803" s="1"/>
      <c r="S12803" s="1"/>
      <c r="T12803" s="1"/>
      <c r="U12803" s="1"/>
      <c r="V12803" s="1"/>
      <c r="W12803" s="1"/>
      <c r="X12803" s="1"/>
      <c r="Y12803" s="1"/>
      <c r="Z12803" s="1"/>
      <c r="AA12803" s="1"/>
      <c r="AB12803" s="1"/>
      <c r="AC12803" s="1"/>
      <c r="AD12803" s="1"/>
      <c r="AE12803" s="1"/>
      <c r="AF12803" s="1"/>
      <c r="AG12803" s="1"/>
      <c r="AH12803" s="1"/>
    </row>
    <row r="12804" ht="12.75" customHeight="1">
      <c r="A12804" s="17"/>
      <c r="B12804" s="1"/>
      <c r="C12804" s="1"/>
      <c r="D12804" s="150"/>
      <c r="E12804" s="150"/>
      <c r="F12804" s="75"/>
      <c r="G12804" s="67"/>
      <c r="H12804" s="68"/>
      <c r="I12804" s="76"/>
      <c r="J12804" s="67"/>
      <c r="K12804" s="1"/>
      <c r="L12804" s="77"/>
      <c r="M12804" s="79"/>
      <c r="N12804" s="1"/>
      <c r="O12804" s="1"/>
      <c r="P12804" s="1"/>
      <c r="Q12804" s="1"/>
      <c r="R12804" s="1"/>
      <c r="S12804" s="1"/>
      <c r="T12804" s="1"/>
      <c r="U12804" s="1"/>
      <c r="V12804" s="1"/>
      <c r="W12804" s="1"/>
      <c r="X12804" s="1"/>
      <c r="Y12804" s="1"/>
      <c r="Z12804" s="1"/>
      <c r="AA12804" s="1"/>
      <c r="AB12804" s="1"/>
      <c r="AC12804" s="1"/>
      <c r="AD12804" s="1"/>
      <c r="AE12804" s="1"/>
      <c r="AF12804" s="1"/>
      <c r="AG12804" s="1"/>
      <c r="AH12804" s="1"/>
    </row>
    <row r="12805" ht="12.75" customHeight="1">
      <c r="A12805" s="17"/>
      <c r="B12805" s="1"/>
      <c r="C12805" s="1"/>
      <c r="D12805" s="150"/>
      <c r="E12805" s="150"/>
      <c r="F12805" s="75"/>
      <c r="G12805" s="67"/>
      <c r="H12805" s="68"/>
      <c r="I12805" s="76"/>
      <c r="J12805" s="67"/>
      <c r="K12805" s="1"/>
      <c r="L12805" s="77"/>
      <c r="M12805" s="79"/>
      <c r="N12805" s="1"/>
      <c r="O12805" s="1"/>
      <c r="P12805" s="1"/>
      <c r="Q12805" s="1"/>
      <c r="R12805" s="1"/>
      <c r="S12805" s="1"/>
      <c r="T12805" s="1"/>
      <c r="U12805" s="1"/>
      <c r="V12805" s="1"/>
      <c r="W12805" s="1"/>
      <c r="X12805" s="1"/>
      <c r="Y12805" s="1"/>
      <c r="Z12805" s="1"/>
      <c r="AA12805" s="1"/>
      <c r="AB12805" s="1"/>
      <c r="AC12805" s="1"/>
      <c r="AD12805" s="1"/>
      <c r="AE12805" s="1"/>
      <c r="AF12805" s="1"/>
      <c r="AG12805" s="1"/>
      <c r="AH12805" s="1"/>
    </row>
    <row r="12806" ht="12.75" customHeight="1">
      <c r="A12806" s="17"/>
      <c r="B12806" s="1"/>
      <c r="C12806" s="1"/>
      <c r="D12806" s="150"/>
      <c r="E12806" s="150"/>
      <c r="F12806" s="75"/>
      <c r="G12806" s="67"/>
      <c r="H12806" s="68"/>
      <c r="I12806" s="76"/>
      <c r="J12806" s="67"/>
      <c r="K12806" s="1"/>
      <c r="L12806" s="77"/>
      <c r="M12806" s="79"/>
      <c r="N12806" s="1"/>
      <c r="O12806" s="1"/>
      <c r="P12806" s="1"/>
      <c r="Q12806" s="1"/>
      <c r="R12806" s="1"/>
      <c r="S12806" s="1"/>
      <c r="T12806" s="1"/>
      <c r="U12806" s="1"/>
      <c r="V12806" s="1"/>
      <c r="W12806" s="1"/>
      <c r="X12806" s="1"/>
      <c r="Y12806" s="1"/>
      <c r="Z12806" s="1"/>
      <c r="AA12806" s="1"/>
      <c r="AB12806" s="1"/>
      <c r="AC12806" s="1"/>
      <c r="AD12806" s="1"/>
      <c r="AE12806" s="1"/>
      <c r="AF12806" s="1"/>
      <c r="AG12806" s="1"/>
      <c r="AH12806" s="1"/>
    </row>
    <row r="12807" ht="12.75" customHeight="1">
      <c r="A12807" s="17"/>
      <c r="B12807" s="1"/>
      <c r="C12807" s="1"/>
      <c r="D12807" s="150"/>
      <c r="E12807" s="150"/>
      <c r="F12807" s="75"/>
      <c r="G12807" s="67"/>
      <c r="H12807" s="68"/>
      <c r="I12807" s="76"/>
      <c r="J12807" s="67"/>
      <c r="K12807" s="1"/>
      <c r="L12807" s="77"/>
      <c r="M12807" s="79"/>
      <c r="N12807" s="1"/>
      <c r="O12807" s="1"/>
      <c r="P12807" s="1"/>
      <c r="Q12807" s="1"/>
      <c r="R12807" s="1"/>
      <c r="S12807" s="1"/>
      <c r="T12807" s="1"/>
      <c r="U12807" s="1"/>
      <c r="V12807" s="1"/>
      <c r="W12807" s="1"/>
      <c r="X12807" s="1"/>
      <c r="Y12807" s="1"/>
      <c r="Z12807" s="1"/>
      <c r="AA12807" s="1"/>
      <c r="AB12807" s="1"/>
      <c r="AC12807" s="1"/>
      <c r="AD12807" s="1"/>
      <c r="AE12807" s="1"/>
      <c r="AF12807" s="1"/>
      <c r="AG12807" s="1"/>
      <c r="AH12807" s="1"/>
    </row>
    <row r="12808" ht="12.75" customHeight="1">
      <c r="A12808" s="17"/>
      <c r="B12808" s="1"/>
      <c r="C12808" s="1"/>
      <c r="D12808" s="150"/>
      <c r="E12808" s="150"/>
      <c r="F12808" s="75"/>
      <c r="G12808" s="67"/>
      <c r="H12808" s="68"/>
      <c r="I12808" s="76"/>
      <c r="J12808" s="67"/>
      <c r="K12808" s="1"/>
      <c r="L12808" s="77"/>
      <c r="M12808" s="79"/>
      <c r="N12808" s="1"/>
      <c r="O12808" s="1"/>
      <c r="P12808" s="1"/>
      <c r="Q12808" s="1"/>
      <c r="R12808" s="1"/>
      <c r="S12808" s="1"/>
      <c r="T12808" s="1"/>
      <c r="U12808" s="1"/>
      <c r="V12808" s="1"/>
      <c r="W12808" s="1"/>
      <c r="X12808" s="1"/>
      <c r="Y12808" s="1"/>
      <c r="Z12808" s="1"/>
      <c r="AA12808" s="1"/>
      <c r="AB12808" s="1"/>
      <c r="AC12808" s="1"/>
      <c r="AD12808" s="1"/>
      <c r="AE12808" s="1"/>
      <c r="AF12808" s="1"/>
      <c r="AG12808" s="1"/>
      <c r="AH12808" s="1"/>
    </row>
    <row r="12809" ht="12.75" customHeight="1">
      <c r="A12809" s="17"/>
      <c r="B12809" s="1"/>
      <c r="C12809" s="1"/>
      <c r="D12809" s="150"/>
      <c r="E12809" s="150"/>
      <c r="F12809" s="75"/>
      <c r="G12809" s="67"/>
      <c r="H12809" s="68"/>
      <c r="I12809" s="76"/>
      <c r="J12809" s="67"/>
      <c r="K12809" s="1"/>
      <c r="L12809" s="77"/>
      <c r="M12809" s="79"/>
      <c r="N12809" s="1"/>
      <c r="O12809" s="1"/>
      <c r="P12809" s="1"/>
      <c r="Q12809" s="1"/>
      <c r="R12809" s="1"/>
      <c r="S12809" s="1"/>
      <c r="T12809" s="1"/>
      <c r="U12809" s="1"/>
      <c r="V12809" s="1"/>
      <c r="W12809" s="1"/>
      <c r="X12809" s="1"/>
      <c r="Y12809" s="1"/>
      <c r="Z12809" s="1"/>
      <c r="AA12809" s="1"/>
      <c r="AB12809" s="1"/>
      <c r="AC12809" s="1"/>
      <c r="AD12809" s="1"/>
      <c r="AE12809" s="1"/>
      <c r="AF12809" s="1"/>
      <c r="AG12809" s="1"/>
      <c r="AH12809" s="1"/>
    </row>
    <row r="12810" ht="12.75" customHeight="1">
      <c r="A12810" s="17"/>
      <c r="B12810" s="1"/>
      <c r="C12810" s="1"/>
      <c r="D12810" s="150"/>
      <c r="E12810" s="150"/>
      <c r="F12810" s="75"/>
      <c r="G12810" s="67"/>
      <c r="H12810" s="68"/>
      <c r="I12810" s="76"/>
      <c r="J12810" s="67"/>
      <c r="K12810" s="1"/>
      <c r="L12810" s="77"/>
      <c r="M12810" s="79"/>
      <c r="N12810" s="1"/>
      <c r="O12810" s="1"/>
      <c r="P12810" s="1"/>
      <c r="Q12810" s="1"/>
      <c r="R12810" s="1"/>
      <c r="S12810" s="1"/>
      <c r="T12810" s="1"/>
      <c r="U12810" s="1"/>
      <c r="V12810" s="1"/>
      <c r="W12810" s="1"/>
      <c r="X12810" s="1"/>
      <c r="Y12810" s="1"/>
      <c r="Z12810" s="1"/>
      <c r="AA12810" s="1"/>
      <c r="AB12810" s="1"/>
      <c r="AC12810" s="1"/>
      <c r="AD12810" s="1"/>
      <c r="AE12810" s="1"/>
      <c r="AF12810" s="1"/>
      <c r="AG12810" s="1"/>
      <c r="AH12810" s="1"/>
    </row>
    <row r="12811" ht="12.75" customHeight="1">
      <c r="A12811" s="17"/>
      <c r="B12811" s="1"/>
      <c r="C12811" s="1"/>
      <c r="D12811" s="150"/>
      <c r="E12811" s="150"/>
      <c r="F12811" s="75"/>
      <c r="G12811" s="67"/>
      <c r="H12811" s="68"/>
      <c r="I12811" s="76"/>
      <c r="J12811" s="67"/>
      <c r="K12811" s="1"/>
      <c r="L12811" s="77"/>
      <c r="M12811" s="79"/>
      <c r="N12811" s="1"/>
      <c r="O12811" s="1"/>
      <c r="P12811" s="1"/>
      <c r="Q12811" s="1"/>
      <c r="R12811" s="1"/>
      <c r="S12811" s="1"/>
      <c r="T12811" s="1"/>
      <c r="U12811" s="1"/>
      <c r="V12811" s="1"/>
      <c r="W12811" s="1"/>
      <c r="X12811" s="1"/>
      <c r="Y12811" s="1"/>
      <c r="Z12811" s="1"/>
      <c r="AA12811" s="1"/>
      <c r="AB12811" s="1"/>
      <c r="AC12811" s="1"/>
      <c r="AD12811" s="1"/>
      <c r="AE12811" s="1"/>
      <c r="AF12811" s="1"/>
      <c r="AG12811" s="1"/>
      <c r="AH12811" s="1"/>
    </row>
    <row r="12812" ht="12.75" customHeight="1">
      <c r="A12812" s="17"/>
      <c r="B12812" s="1"/>
      <c r="C12812" s="1"/>
      <c r="D12812" s="150"/>
      <c r="E12812" s="150"/>
      <c r="F12812" s="75"/>
      <c r="G12812" s="67"/>
      <c r="H12812" s="68"/>
      <c r="I12812" s="76"/>
      <c r="J12812" s="67"/>
      <c r="K12812" s="1"/>
      <c r="L12812" s="77"/>
      <c r="M12812" s="79"/>
      <c r="N12812" s="1"/>
      <c r="O12812" s="1"/>
      <c r="P12812" s="1"/>
      <c r="Q12812" s="1"/>
      <c r="R12812" s="1"/>
      <c r="S12812" s="1"/>
      <c r="T12812" s="1"/>
      <c r="U12812" s="1"/>
      <c r="V12812" s="1"/>
      <c r="W12812" s="1"/>
      <c r="X12812" s="1"/>
      <c r="Y12812" s="1"/>
      <c r="Z12812" s="1"/>
      <c r="AA12812" s="1"/>
      <c r="AB12812" s="1"/>
      <c r="AC12812" s="1"/>
      <c r="AD12812" s="1"/>
      <c r="AE12812" s="1"/>
      <c r="AF12812" s="1"/>
      <c r="AG12812" s="1"/>
      <c r="AH12812" s="1"/>
    </row>
    <row r="12813" ht="12.75" customHeight="1">
      <c r="A12813" s="17"/>
      <c r="B12813" s="1"/>
      <c r="C12813" s="1"/>
      <c r="D12813" s="150"/>
      <c r="E12813" s="150"/>
      <c r="F12813" s="75"/>
      <c r="G12813" s="67"/>
      <c r="H12813" s="68"/>
      <c r="I12813" s="76"/>
      <c r="J12813" s="67"/>
      <c r="K12813" s="1"/>
      <c r="L12813" s="77"/>
      <c r="M12813" s="79"/>
      <c r="N12813" s="1"/>
      <c r="O12813" s="1"/>
      <c r="P12813" s="1"/>
      <c r="Q12813" s="1"/>
      <c r="R12813" s="1"/>
      <c r="S12813" s="1"/>
      <c r="T12813" s="1"/>
      <c r="U12813" s="1"/>
      <c r="V12813" s="1"/>
      <c r="W12813" s="1"/>
      <c r="X12813" s="1"/>
      <c r="Y12813" s="1"/>
      <c r="Z12813" s="1"/>
      <c r="AA12813" s="1"/>
      <c r="AB12813" s="1"/>
      <c r="AC12813" s="1"/>
      <c r="AD12813" s="1"/>
      <c r="AE12813" s="1"/>
      <c r="AF12813" s="1"/>
      <c r="AG12813" s="1"/>
      <c r="AH12813" s="1"/>
    </row>
    <row r="12814" ht="12.75" customHeight="1">
      <c r="A12814" s="17"/>
      <c r="B12814" s="1"/>
      <c r="C12814" s="1"/>
      <c r="D12814" s="150"/>
      <c r="E12814" s="150"/>
      <c r="F12814" s="75"/>
      <c r="G12814" s="67"/>
      <c r="H12814" s="68"/>
      <c r="I12814" s="76"/>
      <c r="J12814" s="67"/>
      <c r="K12814" s="1"/>
      <c r="L12814" s="77"/>
      <c r="M12814" s="79"/>
      <c r="N12814" s="1"/>
      <c r="O12814" s="1"/>
      <c r="P12814" s="1"/>
      <c r="Q12814" s="1"/>
      <c r="R12814" s="1"/>
      <c r="S12814" s="1"/>
      <c r="T12814" s="1"/>
      <c r="U12814" s="1"/>
      <c r="V12814" s="1"/>
      <c r="W12814" s="1"/>
      <c r="X12814" s="1"/>
      <c r="Y12814" s="1"/>
      <c r="Z12814" s="1"/>
      <c r="AA12814" s="1"/>
      <c r="AB12814" s="1"/>
      <c r="AC12814" s="1"/>
      <c r="AD12814" s="1"/>
      <c r="AE12814" s="1"/>
      <c r="AF12814" s="1"/>
      <c r="AG12814" s="1"/>
      <c r="AH12814" s="1"/>
    </row>
    <row r="12815" ht="12.75" customHeight="1">
      <c r="A12815" s="17"/>
      <c r="B12815" s="1"/>
      <c r="C12815" s="1"/>
      <c r="D12815" s="150"/>
      <c r="E12815" s="150"/>
      <c r="F12815" s="75"/>
      <c r="G12815" s="67"/>
      <c r="H12815" s="68"/>
      <c r="I12815" s="76"/>
      <c r="J12815" s="67"/>
      <c r="K12815" s="1"/>
      <c r="L12815" s="77"/>
      <c r="M12815" s="79"/>
      <c r="N12815" s="1"/>
      <c r="O12815" s="1"/>
      <c r="P12815" s="1"/>
      <c r="Q12815" s="1"/>
      <c r="R12815" s="1"/>
      <c r="S12815" s="1"/>
      <c r="T12815" s="1"/>
      <c r="U12815" s="1"/>
      <c r="V12815" s="1"/>
      <c r="W12815" s="1"/>
      <c r="X12815" s="1"/>
      <c r="Y12815" s="1"/>
      <c r="Z12815" s="1"/>
      <c r="AA12815" s="1"/>
      <c r="AB12815" s="1"/>
      <c r="AC12815" s="1"/>
      <c r="AD12815" s="1"/>
      <c r="AE12815" s="1"/>
      <c r="AF12815" s="1"/>
      <c r="AG12815" s="1"/>
      <c r="AH12815" s="1"/>
    </row>
    <row r="12816" ht="12.75" customHeight="1">
      <c r="A12816" s="17"/>
      <c r="B12816" s="1"/>
      <c r="C12816" s="1"/>
      <c r="D12816" s="150"/>
      <c r="E12816" s="150"/>
      <c r="F12816" s="75"/>
      <c r="G12816" s="67"/>
      <c r="H12816" s="68"/>
      <c r="I12816" s="76"/>
      <c r="J12816" s="67"/>
      <c r="K12816" s="1"/>
      <c r="L12816" s="77"/>
      <c r="M12816" s="79"/>
      <c r="N12816" s="1"/>
      <c r="O12816" s="1"/>
      <c r="P12816" s="1"/>
      <c r="Q12816" s="1"/>
      <c r="R12816" s="1"/>
      <c r="S12816" s="1"/>
      <c r="T12816" s="1"/>
      <c r="U12816" s="1"/>
      <c r="V12816" s="1"/>
      <c r="W12816" s="1"/>
      <c r="X12816" s="1"/>
      <c r="Y12816" s="1"/>
      <c r="Z12816" s="1"/>
      <c r="AA12816" s="1"/>
      <c r="AB12816" s="1"/>
      <c r="AC12816" s="1"/>
      <c r="AD12816" s="1"/>
      <c r="AE12816" s="1"/>
      <c r="AF12816" s="1"/>
      <c r="AG12816" s="1"/>
      <c r="AH12816" s="1"/>
    </row>
    <row r="12817" ht="12.75" customHeight="1">
      <c r="A12817" s="17"/>
      <c r="B12817" s="1"/>
      <c r="C12817" s="1"/>
      <c r="D12817" s="150"/>
      <c r="E12817" s="150"/>
      <c r="F12817" s="75"/>
      <c r="G12817" s="67"/>
      <c r="H12817" s="68"/>
      <c r="I12817" s="76"/>
      <c r="J12817" s="67"/>
      <c r="K12817" s="1"/>
      <c r="L12817" s="77"/>
      <c r="M12817" s="79"/>
      <c r="N12817" s="1"/>
      <c r="O12817" s="1"/>
      <c r="P12817" s="1"/>
      <c r="Q12817" s="1"/>
      <c r="R12817" s="1"/>
      <c r="S12817" s="1"/>
      <c r="T12817" s="1"/>
      <c r="U12817" s="1"/>
      <c r="V12817" s="1"/>
      <c r="W12817" s="1"/>
      <c r="X12817" s="1"/>
      <c r="Y12817" s="1"/>
      <c r="Z12817" s="1"/>
      <c r="AA12817" s="1"/>
      <c r="AB12817" s="1"/>
      <c r="AC12817" s="1"/>
      <c r="AD12817" s="1"/>
      <c r="AE12817" s="1"/>
      <c r="AF12817" s="1"/>
      <c r="AG12817" s="1"/>
      <c r="AH12817" s="1"/>
    </row>
    <row r="12818" ht="12.75" customHeight="1">
      <c r="A12818" s="17"/>
      <c r="B12818" s="1"/>
      <c r="C12818" s="1"/>
      <c r="D12818" s="150"/>
      <c r="E12818" s="150"/>
      <c r="F12818" s="75"/>
      <c r="G12818" s="67"/>
      <c r="H12818" s="68"/>
      <c r="I12818" s="76"/>
      <c r="J12818" s="67"/>
      <c r="K12818" s="1"/>
      <c r="L12818" s="77"/>
      <c r="M12818" s="79"/>
      <c r="N12818" s="1"/>
      <c r="O12818" s="1"/>
      <c r="P12818" s="1"/>
      <c r="Q12818" s="1"/>
      <c r="R12818" s="1"/>
      <c r="S12818" s="1"/>
      <c r="T12818" s="1"/>
      <c r="U12818" s="1"/>
      <c r="V12818" s="1"/>
      <c r="W12818" s="1"/>
      <c r="X12818" s="1"/>
      <c r="Y12818" s="1"/>
      <c r="Z12818" s="1"/>
      <c r="AA12818" s="1"/>
      <c r="AB12818" s="1"/>
      <c r="AC12818" s="1"/>
      <c r="AD12818" s="1"/>
      <c r="AE12818" s="1"/>
      <c r="AF12818" s="1"/>
      <c r="AG12818" s="1"/>
      <c r="AH12818" s="1"/>
    </row>
    <row r="12819" ht="12.75" customHeight="1">
      <c r="A12819" s="17"/>
      <c r="B12819" s="1"/>
      <c r="C12819" s="1"/>
      <c r="D12819" s="150"/>
      <c r="E12819" s="150"/>
      <c r="F12819" s="75"/>
      <c r="G12819" s="67"/>
      <c r="H12819" s="68"/>
      <c r="I12819" s="76"/>
      <c r="J12819" s="67"/>
      <c r="K12819" s="1"/>
      <c r="L12819" s="77"/>
      <c r="M12819" s="79"/>
      <c r="N12819" s="1"/>
      <c r="O12819" s="1"/>
      <c r="P12819" s="1"/>
      <c r="Q12819" s="1"/>
      <c r="R12819" s="1"/>
      <c r="S12819" s="1"/>
      <c r="T12819" s="1"/>
      <c r="U12819" s="1"/>
      <c r="V12819" s="1"/>
      <c r="W12819" s="1"/>
      <c r="X12819" s="1"/>
      <c r="Y12819" s="1"/>
      <c r="Z12819" s="1"/>
      <c r="AA12819" s="1"/>
      <c r="AB12819" s="1"/>
      <c r="AC12819" s="1"/>
      <c r="AD12819" s="1"/>
      <c r="AE12819" s="1"/>
      <c r="AF12819" s="1"/>
      <c r="AG12819" s="1"/>
      <c r="AH12819" s="1"/>
    </row>
    <row r="12820" ht="12.75" customHeight="1">
      <c r="A12820" s="17"/>
      <c r="B12820" s="1"/>
      <c r="C12820" s="1"/>
      <c r="D12820" s="150"/>
      <c r="E12820" s="150"/>
      <c r="F12820" s="75"/>
      <c r="G12820" s="67"/>
      <c r="H12820" s="68"/>
      <c r="I12820" s="76"/>
      <c r="J12820" s="67"/>
      <c r="K12820" s="1"/>
      <c r="L12820" s="77"/>
      <c r="M12820" s="79"/>
      <c r="N12820" s="1"/>
      <c r="O12820" s="1"/>
      <c r="P12820" s="1"/>
      <c r="Q12820" s="1"/>
      <c r="R12820" s="1"/>
      <c r="S12820" s="1"/>
      <c r="T12820" s="1"/>
      <c r="U12820" s="1"/>
      <c r="V12820" s="1"/>
      <c r="W12820" s="1"/>
      <c r="X12820" s="1"/>
      <c r="Y12820" s="1"/>
      <c r="Z12820" s="1"/>
      <c r="AA12820" s="1"/>
      <c r="AB12820" s="1"/>
      <c r="AC12820" s="1"/>
      <c r="AD12820" s="1"/>
      <c r="AE12820" s="1"/>
      <c r="AF12820" s="1"/>
      <c r="AG12820" s="1"/>
      <c r="AH12820" s="1"/>
    </row>
    <row r="12821" ht="12.75" customHeight="1">
      <c r="A12821" s="17"/>
      <c r="B12821" s="1"/>
      <c r="C12821" s="1"/>
      <c r="D12821" s="150"/>
      <c r="E12821" s="150"/>
      <c r="F12821" s="75"/>
      <c r="G12821" s="67"/>
      <c r="H12821" s="68"/>
      <c r="I12821" s="76"/>
      <c r="J12821" s="67"/>
      <c r="K12821" s="1"/>
      <c r="L12821" s="77"/>
      <c r="M12821" s="79"/>
      <c r="N12821" s="1"/>
      <c r="O12821" s="1"/>
      <c r="P12821" s="1"/>
      <c r="Q12821" s="1"/>
      <c r="R12821" s="1"/>
      <c r="S12821" s="1"/>
      <c r="T12821" s="1"/>
      <c r="U12821" s="1"/>
      <c r="V12821" s="1"/>
      <c r="W12821" s="1"/>
      <c r="X12821" s="1"/>
      <c r="Y12821" s="1"/>
      <c r="Z12821" s="1"/>
      <c r="AA12821" s="1"/>
      <c r="AB12821" s="1"/>
      <c r="AC12821" s="1"/>
      <c r="AD12821" s="1"/>
      <c r="AE12821" s="1"/>
      <c r="AF12821" s="1"/>
      <c r="AG12821" s="1"/>
      <c r="AH12821" s="1"/>
    </row>
    <row r="12822" ht="12.75" customHeight="1">
      <c r="A12822" s="17"/>
      <c r="B12822" s="1"/>
      <c r="C12822" s="1"/>
      <c r="D12822" s="150"/>
      <c r="E12822" s="150"/>
      <c r="F12822" s="75"/>
      <c r="G12822" s="67"/>
      <c r="H12822" s="68"/>
      <c r="I12822" s="76"/>
      <c r="J12822" s="67"/>
      <c r="K12822" s="1"/>
      <c r="L12822" s="77"/>
      <c r="M12822" s="79"/>
      <c r="N12822" s="1"/>
      <c r="O12822" s="1"/>
      <c r="P12822" s="1"/>
      <c r="Q12822" s="1"/>
      <c r="R12822" s="1"/>
      <c r="S12822" s="1"/>
      <c r="T12822" s="1"/>
      <c r="U12822" s="1"/>
      <c r="V12822" s="1"/>
      <c r="W12822" s="1"/>
      <c r="X12822" s="1"/>
      <c r="Y12822" s="1"/>
      <c r="Z12822" s="1"/>
      <c r="AA12822" s="1"/>
      <c r="AB12822" s="1"/>
      <c r="AC12822" s="1"/>
      <c r="AD12822" s="1"/>
      <c r="AE12822" s="1"/>
      <c r="AF12822" s="1"/>
      <c r="AG12822" s="1"/>
      <c r="AH12822" s="1"/>
    </row>
    <row r="12823" ht="12.75" customHeight="1">
      <c r="A12823" s="17"/>
      <c r="B12823" s="1"/>
      <c r="C12823" s="1"/>
      <c r="D12823" s="150"/>
      <c r="E12823" s="150"/>
      <c r="F12823" s="75"/>
      <c r="G12823" s="67"/>
      <c r="H12823" s="68"/>
      <c r="I12823" s="76"/>
      <c r="J12823" s="67"/>
      <c r="K12823" s="1"/>
      <c r="L12823" s="77"/>
      <c r="M12823" s="79"/>
      <c r="N12823" s="1"/>
      <c r="O12823" s="1"/>
      <c r="P12823" s="1"/>
      <c r="Q12823" s="1"/>
      <c r="R12823" s="1"/>
      <c r="S12823" s="1"/>
      <c r="T12823" s="1"/>
      <c r="U12823" s="1"/>
      <c r="V12823" s="1"/>
      <c r="W12823" s="1"/>
      <c r="X12823" s="1"/>
      <c r="Y12823" s="1"/>
      <c r="Z12823" s="1"/>
      <c r="AA12823" s="1"/>
      <c r="AB12823" s="1"/>
      <c r="AC12823" s="1"/>
      <c r="AD12823" s="1"/>
      <c r="AE12823" s="1"/>
      <c r="AF12823" s="1"/>
      <c r="AG12823" s="1"/>
      <c r="AH12823" s="1"/>
    </row>
    <row r="12824" ht="12.75" customHeight="1">
      <c r="A12824" s="17"/>
      <c r="B12824" s="1"/>
      <c r="C12824" s="1"/>
      <c r="D12824" s="150"/>
      <c r="E12824" s="150"/>
      <c r="F12824" s="75"/>
      <c r="G12824" s="67"/>
      <c r="H12824" s="68"/>
      <c r="I12824" s="76"/>
      <c r="J12824" s="67"/>
      <c r="K12824" s="1"/>
      <c r="L12824" s="77"/>
      <c r="M12824" s="79"/>
      <c r="N12824" s="1"/>
      <c r="O12824" s="1"/>
      <c r="P12824" s="1"/>
      <c r="Q12824" s="1"/>
      <c r="R12824" s="1"/>
      <c r="S12824" s="1"/>
      <c r="T12824" s="1"/>
      <c r="U12824" s="1"/>
      <c r="V12824" s="1"/>
      <c r="W12824" s="1"/>
      <c r="X12824" s="1"/>
      <c r="Y12824" s="1"/>
      <c r="Z12824" s="1"/>
      <c r="AA12824" s="1"/>
      <c r="AB12824" s="1"/>
      <c r="AC12824" s="1"/>
      <c r="AD12824" s="1"/>
      <c r="AE12824" s="1"/>
      <c r="AF12824" s="1"/>
      <c r="AG12824" s="1"/>
      <c r="AH12824" s="1"/>
    </row>
    <row r="12825" ht="12.75" customHeight="1">
      <c r="A12825" s="17"/>
      <c r="B12825" s="1"/>
      <c r="C12825" s="1"/>
      <c r="D12825" s="150"/>
      <c r="E12825" s="150"/>
      <c r="F12825" s="75"/>
      <c r="G12825" s="67"/>
      <c r="H12825" s="68"/>
      <c r="I12825" s="76"/>
      <c r="J12825" s="67"/>
      <c r="K12825" s="1"/>
      <c r="L12825" s="77"/>
      <c r="M12825" s="79"/>
      <c r="N12825" s="1"/>
      <c r="O12825" s="1"/>
      <c r="P12825" s="1"/>
      <c r="Q12825" s="1"/>
      <c r="R12825" s="1"/>
      <c r="S12825" s="1"/>
      <c r="T12825" s="1"/>
      <c r="U12825" s="1"/>
      <c r="V12825" s="1"/>
      <c r="W12825" s="1"/>
      <c r="X12825" s="1"/>
      <c r="Y12825" s="1"/>
      <c r="Z12825" s="1"/>
      <c r="AA12825" s="1"/>
      <c r="AB12825" s="1"/>
      <c r="AC12825" s="1"/>
      <c r="AD12825" s="1"/>
      <c r="AE12825" s="1"/>
      <c r="AF12825" s="1"/>
      <c r="AG12825" s="1"/>
      <c r="AH12825" s="1"/>
    </row>
    <row r="12826" ht="12.75" customHeight="1">
      <c r="A12826" s="17"/>
      <c r="B12826" s="1"/>
      <c r="C12826" s="1"/>
      <c r="D12826" s="150"/>
      <c r="E12826" s="150"/>
      <c r="F12826" s="75"/>
      <c r="G12826" s="67"/>
      <c r="H12826" s="68"/>
      <c r="I12826" s="76"/>
      <c r="J12826" s="67"/>
      <c r="K12826" s="1"/>
      <c r="L12826" s="77"/>
      <c r="M12826" s="79"/>
      <c r="N12826" s="1"/>
      <c r="O12826" s="1"/>
      <c r="P12826" s="1"/>
      <c r="Q12826" s="1"/>
      <c r="R12826" s="1"/>
      <c r="S12826" s="1"/>
      <c r="T12826" s="1"/>
      <c r="U12826" s="1"/>
      <c r="V12826" s="1"/>
      <c r="W12826" s="1"/>
      <c r="X12826" s="1"/>
      <c r="Y12826" s="1"/>
      <c r="Z12826" s="1"/>
      <c r="AA12826" s="1"/>
      <c r="AB12826" s="1"/>
      <c r="AC12826" s="1"/>
      <c r="AD12826" s="1"/>
      <c r="AE12826" s="1"/>
      <c r="AF12826" s="1"/>
      <c r="AG12826" s="1"/>
      <c r="AH12826" s="1"/>
    </row>
    <row r="12827" ht="12.75" customHeight="1">
      <c r="A12827" s="17"/>
      <c r="B12827" s="1"/>
      <c r="C12827" s="1"/>
      <c r="D12827" s="150"/>
      <c r="E12827" s="150"/>
      <c r="F12827" s="75"/>
      <c r="G12827" s="67"/>
      <c r="H12827" s="68"/>
      <c r="I12827" s="76"/>
      <c r="J12827" s="67"/>
      <c r="K12827" s="1"/>
      <c r="L12827" s="77"/>
      <c r="M12827" s="79"/>
      <c r="N12827" s="1"/>
      <c r="O12827" s="1"/>
      <c r="P12827" s="1"/>
      <c r="Q12827" s="1"/>
      <c r="R12827" s="1"/>
      <c r="S12827" s="1"/>
      <c r="T12827" s="1"/>
      <c r="U12827" s="1"/>
      <c r="V12827" s="1"/>
      <c r="W12827" s="1"/>
      <c r="X12827" s="1"/>
      <c r="Y12827" s="1"/>
      <c r="Z12827" s="1"/>
      <c r="AA12827" s="1"/>
      <c r="AB12827" s="1"/>
      <c r="AC12827" s="1"/>
      <c r="AD12827" s="1"/>
      <c r="AE12827" s="1"/>
      <c r="AF12827" s="1"/>
      <c r="AG12827" s="1"/>
      <c r="AH12827" s="1"/>
    </row>
    <row r="12828" ht="12.75" customHeight="1">
      <c r="A12828" s="17"/>
      <c r="B12828" s="1"/>
      <c r="C12828" s="1"/>
      <c r="D12828" s="150"/>
      <c r="E12828" s="150"/>
      <c r="F12828" s="75"/>
      <c r="G12828" s="67"/>
      <c r="H12828" s="68"/>
      <c r="I12828" s="76"/>
      <c r="J12828" s="67"/>
      <c r="K12828" s="1"/>
      <c r="L12828" s="77"/>
      <c r="M12828" s="79"/>
      <c r="N12828" s="1"/>
      <c r="O12828" s="1"/>
      <c r="P12828" s="1"/>
      <c r="Q12828" s="1"/>
      <c r="R12828" s="1"/>
      <c r="S12828" s="1"/>
      <c r="T12828" s="1"/>
      <c r="U12828" s="1"/>
      <c r="V12828" s="1"/>
      <c r="W12828" s="1"/>
      <c r="X12828" s="1"/>
      <c r="Y12828" s="1"/>
      <c r="Z12828" s="1"/>
      <c r="AA12828" s="1"/>
      <c r="AB12828" s="1"/>
      <c r="AC12828" s="1"/>
      <c r="AD12828" s="1"/>
      <c r="AE12828" s="1"/>
      <c r="AF12828" s="1"/>
      <c r="AG12828" s="1"/>
      <c r="AH12828" s="1"/>
    </row>
    <row r="12829" ht="12.75" customHeight="1">
      <c r="A12829" s="17"/>
      <c r="B12829" s="1"/>
      <c r="C12829" s="1"/>
      <c r="D12829" s="150"/>
      <c r="E12829" s="150"/>
      <c r="F12829" s="75"/>
      <c r="G12829" s="67"/>
      <c r="H12829" s="68"/>
      <c r="I12829" s="76"/>
      <c r="J12829" s="67"/>
      <c r="K12829" s="1"/>
      <c r="L12829" s="77"/>
      <c r="M12829" s="79"/>
      <c r="N12829" s="1"/>
      <c r="O12829" s="1"/>
      <c r="P12829" s="1"/>
      <c r="Q12829" s="1"/>
      <c r="R12829" s="1"/>
      <c r="S12829" s="1"/>
      <c r="T12829" s="1"/>
      <c r="U12829" s="1"/>
      <c r="V12829" s="1"/>
      <c r="W12829" s="1"/>
      <c r="X12829" s="1"/>
      <c r="Y12829" s="1"/>
      <c r="Z12829" s="1"/>
      <c r="AA12829" s="1"/>
      <c r="AB12829" s="1"/>
      <c r="AC12829" s="1"/>
      <c r="AD12829" s="1"/>
      <c r="AE12829" s="1"/>
      <c r="AF12829" s="1"/>
      <c r="AG12829" s="1"/>
      <c r="AH12829" s="1"/>
    </row>
    <row r="12830" ht="12.75" customHeight="1">
      <c r="A12830" s="17"/>
      <c r="B12830" s="1"/>
      <c r="C12830" s="1"/>
      <c r="D12830" s="150"/>
      <c r="E12830" s="150"/>
      <c r="F12830" s="75"/>
      <c r="G12830" s="67"/>
      <c r="H12830" s="68"/>
      <c r="I12830" s="76"/>
      <c r="J12830" s="67"/>
      <c r="K12830" s="1"/>
      <c r="L12830" s="77"/>
      <c r="M12830" s="79"/>
      <c r="N12830" s="1"/>
      <c r="O12830" s="1"/>
      <c r="P12830" s="1"/>
      <c r="Q12830" s="1"/>
      <c r="R12830" s="1"/>
      <c r="S12830" s="1"/>
      <c r="T12830" s="1"/>
      <c r="U12830" s="1"/>
      <c r="V12830" s="1"/>
      <c r="W12830" s="1"/>
      <c r="X12830" s="1"/>
      <c r="Y12830" s="1"/>
      <c r="Z12830" s="1"/>
      <c r="AA12830" s="1"/>
      <c r="AB12830" s="1"/>
      <c r="AC12830" s="1"/>
      <c r="AD12830" s="1"/>
      <c r="AE12830" s="1"/>
      <c r="AF12830" s="1"/>
      <c r="AG12830" s="1"/>
      <c r="AH12830" s="1"/>
    </row>
    <row r="12831" ht="12.75" customHeight="1">
      <c r="A12831" s="17"/>
      <c r="B12831" s="1"/>
      <c r="C12831" s="1"/>
      <c r="D12831" s="150"/>
      <c r="E12831" s="150"/>
      <c r="F12831" s="75"/>
      <c r="G12831" s="67"/>
      <c r="H12831" s="68"/>
      <c r="I12831" s="76"/>
      <c r="J12831" s="67"/>
      <c r="K12831" s="1"/>
      <c r="L12831" s="77"/>
      <c r="M12831" s="79"/>
      <c r="N12831" s="1"/>
      <c r="O12831" s="1"/>
      <c r="P12831" s="1"/>
      <c r="Q12831" s="1"/>
      <c r="R12831" s="1"/>
      <c r="S12831" s="1"/>
      <c r="T12831" s="1"/>
      <c r="U12831" s="1"/>
      <c r="V12831" s="1"/>
      <c r="W12831" s="1"/>
      <c r="X12831" s="1"/>
      <c r="Y12831" s="1"/>
      <c r="Z12831" s="1"/>
      <c r="AA12831" s="1"/>
      <c r="AB12831" s="1"/>
      <c r="AC12831" s="1"/>
      <c r="AD12831" s="1"/>
      <c r="AE12831" s="1"/>
      <c r="AF12831" s="1"/>
      <c r="AG12831" s="1"/>
      <c r="AH12831" s="1"/>
    </row>
    <row r="12832" ht="12.75" customHeight="1">
      <c r="A12832" s="17"/>
      <c r="B12832" s="1"/>
      <c r="C12832" s="1"/>
      <c r="D12832" s="150"/>
      <c r="E12832" s="150"/>
      <c r="F12832" s="75"/>
      <c r="G12832" s="67"/>
      <c r="H12832" s="68"/>
      <c r="I12832" s="76"/>
      <c r="J12832" s="67"/>
      <c r="K12832" s="1"/>
      <c r="L12832" s="77"/>
      <c r="M12832" s="79"/>
      <c r="N12832" s="1"/>
      <c r="O12832" s="1"/>
      <c r="P12832" s="1"/>
      <c r="Q12832" s="1"/>
      <c r="R12832" s="1"/>
      <c r="S12832" s="1"/>
      <c r="T12832" s="1"/>
      <c r="U12832" s="1"/>
      <c r="V12832" s="1"/>
      <c r="W12832" s="1"/>
      <c r="X12832" s="1"/>
      <c r="Y12832" s="1"/>
      <c r="Z12832" s="1"/>
      <c r="AA12832" s="1"/>
      <c r="AB12832" s="1"/>
      <c r="AC12832" s="1"/>
      <c r="AD12832" s="1"/>
      <c r="AE12832" s="1"/>
      <c r="AF12832" s="1"/>
      <c r="AG12832" s="1"/>
      <c r="AH12832" s="1"/>
    </row>
    <row r="12833" ht="12.75" customHeight="1">
      <c r="A12833" s="17"/>
      <c r="B12833" s="1"/>
      <c r="C12833" s="1"/>
      <c r="D12833" s="150"/>
      <c r="E12833" s="150"/>
      <c r="F12833" s="75"/>
      <c r="G12833" s="67"/>
      <c r="H12833" s="68"/>
      <c r="I12833" s="76"/>
      <c r="J12833" s="67"/>
      <c r="K12833" s="1"/>
      <c r="L12833" s="77"/>
      <c r="M12833" s="79"/>
      <c r="N12833" s="1"/>
      <c r="O12833" s="1"/>
      <c r="P12833" s="1"/>
      <c r="Q12833" s="1"/>
      <c r="R12833" s="1"/>
      <c r="S12833" s="1"/>
      <c r="T12833" s="1"/>
      <c r="U12833" s="1"/>
      <c r="V12833" s="1"/>
      <c r="W12833" s="1"/>
      <c r="X12833" s="1"/>
      <c r="Y12833" s="1"/>
      <c r="Z12833" s="1"/>
      <c r="AA12833" s="1"/>
      <c r="AB12833" s="1"/>
      <c r="AC12833" s="1"/>
      <c r="AD12833" s="1"/>
      <c r="AE12833" s="1"/>
      <c r="AF12833" s="1"/>
      <c r="AG12833" s="1"/>
      <c r="AH12833" s="1"/>
    </row>
    <row r="12834" ht="12.75" customHeight="1">
      <c r="A12834" s="17"/>
      <c r="B12834" s="1"/>
      <c r="C12834" s="1"/>
      <c r="D12834" s="150"/>
      <c r="E12834" s="150"/>
      <c r="F12834" s="75"/>
      <c r="G12834" s="67"/>
      <c r="H12834" s="68"/>
      <c r="I12834" s="76"/>
      <c r="J12834" s="67"/>
      <c r="K12834" s="1"/>
      <c r="L12834" s="77"/>
      <c r="M12834" s="79"/>
      <c r="N12834" s="1"/>
      <c r="O12834" s="1"/>
      <c r="P12834" s="1"/>
      <c r="Q12834" s="1"/>
      <c r="R12834" s="1"/>
      <c r="S12834" s="1"/>
      <c r="T12834" s="1"/>
      <c r="U12834" s="1"/>
      <c r="V12834" s="1"/>
      <c r="W12834" s="1"/>
      <c r="X12834" s="1"/>
      <c r="Y12834" s="1"/>
      <c r="Z12834" s="1"/>
      <c r="AA12834" s="1"/>
      <c r="AB12834" s="1"/>
      <c r="AC12834" s="1"/>
      <c r="AD12834" s="1"/>
      <c r="AE12834" s="1"/>
      <c r="AF12834" s="1"/>
      <c r="AG12834" s="1"/>
      <c r="AH12834" s="1"/>
    </row>
  </sheetData>
  <autoFilter ref="$A$1:$AH$12834"/>
  <customSheetViews>
    <customSheetView guid="{F400C72F-99BA-4CC9-8C36-E921DA73C898}" filter="1" showAutoFilter="1">
      <autoFilter ref="$A$1:$K$225"/>
    </customSheetView>
    <customSheetView guid="{3A5266F4-DB34-4B6F-9D4A-B164FA182F60}" filter="1" showAutoFilter="1">
      <autoFilter ref="$A$1:$Q$12834"/>
    </customSheetView>
    <customSheetView guid="{EB187B22-7509-47A8-8540-FD7DC5E4551E}" filter="1" showAutoFilter="1">
      <autoFilter ref="$A$1:$O$10220">
        <filterColumn colId="2">
          <filters>
            <filter val="VRSK"/>
            <filter val="DHR"/>
            <filter val="Q"/>
            <filter val="CC"/>
            <filter val="TCMD"/>
            <filter val="NVDA"/>
            <filter val="MKC"/>
            <filter val="FONR"/>
            <filter val="LII"/>
            <filter val="TEAM"/>
            <filter val="PZZA"/>
            <filter val="MMC"/>
            <filter val="NOC"/>
            <filter val="HCA"/>
            <filter val="EW"/>
            <filter val="GS"/>
            <filter val="AGX"/>
            <filter val="LCII"/>
            <filter val="HA"/>
            <filter val="VSM"/>
            <filter val="ULTA"/>
            <filter val="MCK"/>
            <filter val="VVV"/>
            <filter val="MD"/>
            <filter val="TWNK"/>
            <filter val="HIIQ"/>
            <filter val="EFX"/>
            <filter val="UHAL"/>
            <filter val="TCEHY"/>
          </filters>
        </filterColumn>
      </autoFilter>
    </customSheetView>
  </customSheetViews>
  <conditionalFormatting sqref="L3:L2304 L2310:L2327 L2333:L3073 L3075:L4443 L4449:L5493 D7045:D10216 I10215:I10219 L10217:L77080 D10220 I10221:I10245 I10247:I10266 I10274:I10283 I10292:I10296 I10298:I10312 I10315:I10324 I10330:I10334 I10336:I10345 I10351:I10372 I10376:I10390 I10393:I10402 I10405:I10424 I10427:I10436 I10439:I10448 I10451:I10460 I10463:I10467 I10469:I10493 I10495:I10499 I10501:I10505 I10507:I10511 I10517:I10521 I10524:I10543 I10549:I10553 I10559:I10563 I10566:I10575 I10577:I10581 I10596:I10600 I10602:I10606 I10609:I10623 I10629:I10633 I10638:I10642 I10644:I10648 I10659:I10663 I10672:I10676 I10684:I10693 I10697:I10701 I10706:I10710 I10723:I10727 I10735:I10739 I10741:I10745 I10747:I10751 I10753:I10767 I10771:I10785 I10789:I10798 I10808:I10812 I10819:I10828 I10839:I10848 I10853:I10857 I10878:I10882 I10888:I10892 I10903:I10907 I10915:I10924 I10926:I10955 I10960:I10964 I10969:I10983 I10998:I11007 I11016:I11032 I11043:I11047 I11059:I11068 I11072:I11076 I11079:I11083 I11087:I11091 I11095:I11099 I11102:I11106 I11114:I11118 I11140:I11149 I11153:I11157 I11162:I11166 I11178:I11182 I11184:I11188 I11190:I11194 I11203:I11212 I11228:I11232 I11243:I11247 I11249:I11258 I11262:I11266 I11268:I11272 I11294:I11298 I11314:I11318 I11334:I11343 I11349:I11353 I11356:I11365 I11372:I11381 I11387:I11411 I11418:I11432 I11435:I11439 I11444:I11448 I11451:I11455 I11457:I11461 I11468:I11472 I11476:I11490 I11492:I11501 I11505:I11509 I11513:I11517 I11519:I11523 I11539:I11543 I11545:I11549 I11555:I11559 I11566:I11570 I11581:I11595 I11600:I11614 I11625:I11629 I11640:I11659 I11731:I11740 I11742:I11751 I11761:I11765 I11776:I11780">
    <cfRule type="cellIs" dxfId="0" priority="1" stopIfTrue="1" operator="lessThan">
      <formula>0</formula>
    </cfRule>
  </conditionalFormatting>
  <conditionalFormatting sqref="L3:L2304 L2310:L2327 L2333:L3073 L3075:L4443 L4449:L5493 D7045:D10216 I10215:I10219 L10217:L77080 D10220 I10221:I10245 I10247:I10266 I10274:I10283 I10292:I10296 I10298:I10312 I10315:I10324 I10330:I10334 I10336:I10345 I10351:I10372 I10376:I10390 I10393:I10402 I10405:I10424 I10427:I10436 I10439:I10448 I10451:I10460 I10463:I10467 I10469:I10493 I10495:I10499 I10501:I10505 I10507:I10511 I10517:I10521 I10524:I10543 I10549:I10553 I10559:I10563 I10566:I10575 I10577:I10581 I10596:I10600 I10602:I10606 I10609:I10623 I10629:I10633 I10638:I10642 I10644:I10648 I10659:I10663 I10672:I10676 I10684:I10693 I10697:I10701 I10706:I10710 I10723:I10727 I10735:I10739 I10741:I10745 I10747:I10751 I10753:I10767 I10771:I10785 I10789:I10798 I10808:I10812 I10819:I10828 I10839:I10848 I10853:I10857 I10878:I10882 I10888:I10892 I10903:I10907 I10915:I10924 I10926:I10955 I10960:I10964 I10969:I10983 I10998:I11007 I11016:I11032 I11043:I11047 I11059:I11068 I11072:I11076 I11079:I11083 I11087:I11091 I11095:I11099 I11102:I11106 I11114:I11118 I11140:I11149 I11153:I11157 I11162:I11166 I11178:I11182 I11184:I11188 I11190:I11194 I11203:I11212 I11228:I11232 I11243:I11247 I11249:I11258 I11262:I11266 I11268:I11272 I11294:I11298 I11314:I11318 I11334:I11343 I11349:I11353 I11356:I11365 I11372:I11381 I11387:I11411 I11418:I11432 I11435:I11439 I11444:I11448 I11451:I11455 I11457:I11461 I11468:I11472 I11476:I11490 I11492:I11501 I11505:I11509 I11513:I11517 I11519:I11523 I11539:I11543 I11545:I11549 I11555:I11559 I11566:I11570 I11581:I11595 I11600:I11614 I11625:I11629 I11640:I11659 I11731:I11740 I11742:I11751 I11761:I11765 I11776:I11780">
    <cfRule type="cellIs" dxfId="1" priority="2" stopIfTrue="1" operator="greaterThan">
      <formula>0</formula>
    </cfRule>
  </conditionalFormatting>
  <conditionalFormatting sqref="I3:J3">
    <cfRule type="cellIs" dxfId="0" priority="3" stopIfTrue="1" operator="lessThan">
      <formula>0</formula>
    </cfRule>
  </conditionalFormatting>
  <conditionalFormatting sqref="I3:J3">
    <cfRule type="cellIs" dxfId="1" priority="4" stopIfTrue="1" operator="greaterThan">
      <formula>0</formula>
    </cfRule>
  </conditionalFormatting>
  <conditionalFormatting sqref="I5:J5">
    <cfRule type="cellIs" dxfId="0" priority="5" stopIfTrue="1" operator="lessThan">
      <formula>0</formula>
    </cfRule>
  </conditionalFormatting>
  <conditionalFormatting sqref="I5:J5">
    <cfRule type="cellIs" dxfId="1" priority="6" stopIfTrue="1" operator="greaterThan">
      <formula>0</formula>
    </cfRule>
  </conditionalFormatting>
  <conditionalFormatting sqref="I20:J20">
    <cfRule type="cellIs" dxfId="0" priority="7" stopIfTrue="1" operator="lessThan">
      <formula>0</formula>
    </cfRule>
  </conditionalFormatting>
  <conditionalFormatting sqref="I20:J20">
    <cfRule type="cellIs" dxfId="1" priority="8" stopIfTrue="1" operator="greaterThan">
      <formula>0</formula>
    </cfRule>
  </conditionalFormatting>
  <conditionalFormatting sqref="I21:J37">
    <cfRule type="cellIs" dxfId="0" priority="9" stopIfTrue="1" operator="lessThan">
      <formula>0</formula>
    </cfRule>
  </conditionalFormatting>
  <conditionalFormatting sqref="I21:J37">
    <cfRule type="cellIs" dxfId="1" priority="10" stopIfTrue="1" operator="greaterThan">
      <formula>0</formula>
    </cfRule>
  </conditionalFormatting>
  <conditionalFormatting sqref="I39:J39">
    <cfRule type="cellIs" dxfId="0" priority="11" stopIfTrue="1" operator="lessThan">
      <formula>0</formula>
    </cfRule>
  </conditionalFormatting>
  <conditionalFormatting sqref="I39:J39">
    <cfRule type="cellIs" dxfId="1" priority="12" stopIfTrue="1" operator="greaterThan">
      <formula>0</formula>
    </cfRule>
  </conditionalFormatting>
  <conditionalFormatting sqref="I42:J42">
    <cfRule type="cellIs" dxfId="0" priority="13" stopIfTrue="1" operator="lessThan">
      <formula>0</formula>
    </cfRule>
  </conditionalFormatting>
  <conditionalFormatting sqref="I42:J42">
    <cfRule type="cellIs" dxfId="1" priority="14" stopIfTrue="1" operator="greaterThan">
      <formula>0</formula>
    </cfRule>
  </conditionalFormatting>
  <conditionalFormatting sqref="I43:J43">
    <cfRule type="cellIs" dxfId="0" priority="15" stopIfTrue="1" operator="lessThan">
      <formula>0</formula>
    </cfRule>
  </conditionalFormatting>
  <conditionalFormatting sqref="I43:J43">
    <cfRule type="cellIs" dxfId="1" priority="16" stopIfTrue="1" operator="greaterThan">
      <formula>0</formula>
    </cfRule>
  </conditionalFormatting>
  <conditionalFormatting sqref="I44:J44">
    <cfRule type="cellIs" dxfId="0" priority="17" stopIfTrue="1" operator="lessThan">
      <formula>0</formula>
    </cfRule>
  </conditionalFormatting>
  <conditionalFormatting sqref="I44:J44">
    <cfRule type="cellIs" dxfId="1" priority="18" stopIfTrue="1" operator="greaterThan">
      <formula>0</formula>
    </cfRule>
  </conditionalFormatting>
  <conditionalFormatting sqref="I45:J45">
    <cfRule type="cellIs" dxfId="0" priority="19" stopIfTrue="1" operator="lessThan">
      <formula>0</formula>
    </cfRule>
  </conditionalFormatting>
  <conditionalFormatting sqref="I45:J45">
    <cfRule type="cellIs" dxfId="1" priority="20" stopIfTrue="1" operator="greaterThan">
      <formula>0</formula>
    </cfRule>
  </conditionalFormatting>
  <conditionalFormatting sqref="I60:J60">
    <cfRule type="cellIs" dxfId="0" priority="21" stopIfTrue="1" operator="lessThan">
      <formula>0</formula>
    </cfRule>
  </conditionalFormatting>
  <conditionalFormatting sqref="I60:J60">
    <cfRule type="cellIs" dxfId="1" priority="22" stopIfTrue="1" operator="greaterThan">
      <formula>0</formula>
    </cfRule>
  </conditionalFormatting>
  <conditionalFormatting sqref="I75:J75">
    <cfRule type="cellIs" dxfId="0" priority="23" stopIfTrue="1" operator="lessThan">
      <formula>0</formula>
    </cfRule>
  </conditionalFormatting>
  <conditionalFormatting sqref="I75:J75">
    <cfRule type="cellIs" dxfId="1" priority="24" stopIfTrue="1" operator="greaterThan">
      <formula>0</formula>
    </cfRule>
  </conditionalFormatting>
  <conditionalFormatting sqref="I79:J79">
    <cfRule type="cellIs" dxfId="0" priority="25" stopIfTrue="1" operator="lessThan">
      <formula>0</formula>
    </cfRule>
  </conditionalFormatting>
  <conditionalFormatting sqref="I79:J79">
    <cfRule type="cellIs" dxfId="1" priority="26" stopIfTrue="1" operator="greaterThan">
      <formula>0</formula>
    </cfRule>
  </conditionalFormatting>
  <conditionalFormatting sqref="I104:J104">
    <cfRule type="cellIs" dxfId="0" priority="27" stopIfTrue="1" operator="lessThan">
      <formula>0</formula>
    </cfRule>
  </conditionalFormatting>
  <conditionalFormatting sqref="I104:J104">
    <cfRule type="cellIs" dxfId="1" priority="28" stopIfTrue="1" operator="greaterThan">
      <formula>0</formula>
    </cfRule>
  </conditionalFormatting>
  <conditionalFormatting sqref="I105:J105">
    <cfRule type="cellIs" dxfId="0" priority="29" stopIfTrue="1" operator="lessThan">
      <formula>0</formula>
    </cfRule>
  </conditionalFormatting>
  <conditionalFormatting sqref="I105:J105">
    <cfRule type="cellIs" dxfId="1" priority="30" stopIfTrue="1" operator="greaterThan">
      <formula>0</formula>
    </cfRule>
  </conditionalFormatting>
  <conditionalFormatting sqref="I106:J106">
    <cfRule type="cellIs" dxfId="0" priority="31" stopIfTrue="1" operator="lessThan">
      <formula>0</formula>
    </cfRule>
  </conditionalFormatting>
  <conditionalFormatting sqref="I106:J106">
    <cfRule type="cellIs" dxfId="1" priority="32" stopIfTrue="1" operator="greaterThan">
      <formula>0</formula>
    </cfRule>
  </conditionalFormatting>
  <conditionalFormatting sqref="I112:J112">
    <cfRule type="cellIs" dxfId="0" priority="33" stopIfTrue="1" operator="lessThan">
      <formula>0</formula>
    </cfRule>
  </conditionalFormatting>
  <conditionalFormatting sqref="I112:J112">
    <cfRule type="cellIs" dxfId="1" priority="34" stopIfTrue="1" operator="greaterThan">
      <formula>0</formula>
    </cfRule>
  </conditionalFormatting>
  <conditionalFormatting sqref="I131:J131">
    <cfRule type="cellIs" dxfId="0" priority="35" stopIfTrue="1" operator="lessThan">
      <formula>0</formula>
    </cfRule>
  </conditionalFormatting>
  <conditionalFormatting sqref="I131:J131">
    <cfRule type="cellIs" dxfId="1" priority="36" stopIfTrue="1" operator="greaterThan">
      <formula>0</formula>
    </cfRule>
  </conditionalFormatting>
  <conditionalFormatting sqref="I141:J141">
    <cfRule type="cellIs" dxfId="0" priority="37" stopIfTrue="1" operator="lessThan">
      <formula>0</formula>
    </cfRule>
  </conditionalFormatting>
  <conditionalFormatting sqref="I141:J141">
    <cfRule type="cellIs" dxfId="1" priority="38" stopIfTrue="1" operator="greaterThan">
      <formula>0</formula>
    </cfRule>
  </conditionalFormatting>
  <conditionalFormatting sqref="I156:J156">
    <cfRule type="cellIs" dxfId="0" priority="39" stopIfTrue="1" operator="lessThan">
      <formula>0</formula>
    </cfRule>
  </conditionalFormatting>
  <conditionalFormatting sqref="I156:J156">
    <cfRule type="cellIs" dxfId="1" priority="40" stopIfTrue="1" operator="greaterThan">
      <formula>0</formula>
    </cfRule>
  </conditionalFormatting>
  <conditionalFormatting sqref="I164:J164">
    <cfRule type="cellIs" dxfId="0" priority="41" stopIfTrue="1" operator="lessThan">
      <formula>0</formula>
    </cfRule>
  </conditionalFormatting>
  <conditionalFormatting sqref="I164:J164">
    <cfRule type="cellIs" dxfId="1" priority="42" stopIfTrue="1" operator="greaterThan">
      <formula>0</formula>
    </cfRule>
  </conditionalFormatting>
  <conditionalFormatting sqref="I165:J165">
    <cfRule type="cellIs" dxfId="0" priority="43" stopIfTrue="1" operator="lessThan">
      <formula>0</formula>
    </cfRule>
  </conditionalFormatting>
  <conditionalFormatting sqref="I165:J165">
    <cfRule type="cellIs" dxfId="1" priority="44" stopIfTrue="1" operator="greaterThan">
      <formula>0</formula>
    </cfRule>
  </conditionalFormatting>
  <conditionalFormatting sqref="I166:J166">
    <cfRule type="cellIs" dxfId="0" priority="45" stopIfTrue="1" operator="lessThan">
      <formula>0</formula>
    </cfRule>
  </conditionalFormatting>
  <conditionalFormatting sqref="I166:J166">
    <cfRule type="cellIs" dxfId="1" priority="46" stopIfTrue="1" operator="greaterThan">
      <formula>0</formula>
    </cfRule>
  </conditionalFormatting>
  <conditionalFormatting sqref="I185:J185">
    <cfRule type="cellIs" dxfId="0" priority="47" stopIfTrue="1" operator="lessThan">
      <formula>0</formula>
    </cfRule>
  </conditionalFormatting>
  <conditionalFormatting sqref="I185:J185">
    <cfRule type="cellIs" dxfId="1" priority="48" stopIfTrue="1" operator="greaterThan">
      <formula>0</formula>
    </cfRule>
  </conditionalFormatting>
  <conditionalFormatting sqref="I205:J205">
    <cfRule type="cellIs" dxfId="0" priority="49" stopIfTrue="1" operator="lessThan">
      <formula>0</formula>
    </cfRule>
  </conditionalFormatting>
  <conditionalFormatting sqref="I205:J205">
    <cfRule type="cellIs" dxfId="1" priority="50" stopIfTrue="1" operator="greaterThan">
      <formula>0</formula>
    </cfRule>
  </conditionalFormatting>
  <conditionalFormatting sqref="I211:J211">
    <cfRule type="cellIs" dxfId="0" priority="51" stopIfTrue="1" operator="lessThan">
      <formula>0</formula>
    </cfRule>
  </conditionalFormatting>
  <conditionalFormatting sqref="I211:J211">
    <cfRule type="cellIs" dxfId="1" priority="52" stopIfTrue="1" operator="greaterThan">
      <formula>0</formula>
    </cfRule>
  </conditionalFormatting>
  <conditionalFormatting sqref="I222:J222">
    <cfRule type="cellIs" dxfId="0" priority="53" stopIfTrue="1" operator="lessThan">
      <formula>0</formula>
    </cfRule>
  </conditionalFormatting>
  <conditionalFormatting sqref="I222:J222">
    <cfRule type="cellIs" dxfId="1" priority="54" stopIfTrue="1" operator="greaterThan">
      <formula>0</formula>
    </cfRule>
  </conditionalFormatting>
  <conditionalFormatting sqref="I239:J246 I252:J255">
    <cfRule type="cellIs" dxfId="0" priority="55" stopIfTrue="1" operator="lessThan">
      <formula>0</formula>
    </cfRule>
  </conditionalFormatting>
  <conditionalFormatting sqref="I239:J246 I252:J255">
    <cfRule type="cellIs" dxfId="1" priority="56" stopIfTrue="1" operator="greaterThan">
      <formula>0</formula>
    </cfRule>
  </conditionalFormatting>
  <conditionalFormatting sqref="I238:J238">
    <cfRule type="cellIs" dxfId="0" priority="57" stopIfTrue="1" operator="lessThan">
      <formula>0</formula>
    </cfRule>
  </conditionalFormatting>
  <conditionalFormatting sqref="I238:J238">
    <cfRule type="cellIs" dxfId="1" priority="58" stopIfTrue="1" operator="greaterThan">
      <formula>0</formula>
    </cfRule>
  </conditionalFormatting>
  <conditionalFormatting sqref="J212:J221">
    <cfRule type="cellIs" dxfId="0" priority="59" stopIfTrue="1" operator="lessThan">
      <formula>0</formula>
    </cfRule>
  </conditionalFormatting>
  <conditionalFormatting sqref="J212:J221">
    <cfRule type="cellIs" dxfId="1" priority="60" stopIfTrue="1" operator="greaterThan">
      <formula>0</formula>
    </cfRule>
  </conditionalFormatting>
  <conditionalFormatting sqref="I248:J251">
    <cfRule type="cellIs" dxfId="0" priority="61" stopIfTrue="1" operator="lessThan">
      <formula>0</formula>
    </cfRule>
  </conditionalFormatting>
  <conditionalFormatting sqref="I248:J251">
    <cfRule type="cellIs" dxfId="1" priority="62" stopIfTrue="1" operator="greaterThan">
      <formula>0</formula>
    </cfRule>
  </conditionalFormatting>
  <conditionalFormatting sqref="I247:J247">
    <cfRule type="cellIs" dxfId="0" priority="63" stopIfTrue="1" operator="lessThan">
      <formula>0</formula>
    </cfRule>
  </conditionalFormatting>
  <conditionalFormatting sqref="I247:J247">
    <cfRule type="cellIs" dxfId="1" priority="64" stopIfTrue="1" operator="greaterThan">
      <formula>0</formula>
    </cfRule>
  </conditionalFormatting>
  <conditionalFormatting sqref="I257:J260 I261:I266">
    <cfRule type="cellIs" dxfId="0" priority="65" stopIfTrue="1" operator="lessThan">
      <formula>0</formula>
    </cfRule>
  </conditionalFormatting>
  <conditionalFormatting sqref="I257:J260 I261:I266">
    <cfRule type="cellIs" dxfId="1" priority="66" stopIfTrue="1" operator="greaterThan">
      <formula>0</formula>
    </cfRule>
  </conditionalFormatting>
  <conditionalFormatting sqref="I256:J256">
    <cfRule type="cellIs" dxfId="0" priority="67" stopIfTrue="1" operator="lessThan">
      <formula>0</formula>
    </cfRule>
  </conditionalFormatting>
  <conditionalFormatting sqref="I256:J256">
    <cfRule type="cellIs" dxfId="1" priority="68" stopIfTrue="1" operator="greaterThan">
      <formula>0</formula>
    </cfRule>
  </conditionalFormatting>
  <conditionalFormatting sqref="I268:J271 I272:I278">
    <cfRule type="cellIs" dxfId="0" priority="69" stopIfTrue="1" operator="lessThan">
      <formula>0</formula>
    </cfRule>
  </conditionalFormatting>
  <conditionalFormatting sqref="I268:J271 I272:I278">
    <cfRule type="cellIs" dxfId="1" priority="70" stopIfTrue="1" operator="greaterThan">
      <formula>0</formula>
    </cfRule>
  </conditionalFormatting>
  <conditionalFormatting sqref="I267:J267">
    <cfRule type="cellIs" dxfId="0" priority="71" stopIfTrue="1" operator="lessThan">
      <formula>0</formula>
    </cfRule>
  </conditionalFormatting>
  <conditionalFormatting sqref="I267:J267">
    <cfRule type="cellIs" dxfId="1" priority="72" stopIfTrue="1" operator="greaterThan">
      <formula>0</formula>
    </cfRule>
  </conditionalFormatting>
  <conditionalFormatting sqref="J261:J266">
    <cfRule type="cellIs" dxfId="0" priority="73" stopIfTrue="1" operator="lessThan">
      <formula>0</formula>
    </cfRule>
  </conditionalFormatting>
  <conditionalFormatting sqref="J261:J266">
    <cfRule type="cellIs" dxfId="1" priority="74" stopIfTrue="1" operator="greaterThan">
      <formula>0</formula>
    </cfRule>
  </conditionalFormatting>
  <conditionalFormatting sqref="J272:J273">
    <cfRule type="cellIs" dxfId="0" priority="75" stopIfTrue="1" operator="lessThan">
      <formula>0</formula>
    </cfRule>
  </conditionalFormatting>
  <conditionalFormatting sqref="J272:J273">
    <cfRule type="cellIs" dxfId="1" priority="76" stopIfTrue="1" operator="greaterThan">
      <formula>0</formula>
    </cfRule>
  </conditionalFormatting>
  <conditionalFormatting sqref="I280:J283 I289:J289">
    <cfRule type="cellIs" dxfId="0" priority="77" stopIfTrue="1" operator="lessThan">
      <formula>0</formula>
    </cfRule>
  </conditionalFormatting>
  <conditionalFormatting sqref="I280:J283 I289:J289">
    <cfRule type="cellIs" dxfId="1" priority="78" stopIfTrue="1" operator="greaterThan">
      <formula>0</formula>
    </cfRule>
  </conditionalFormatting>
  <conditionalFormatting sqref="I279:J279">
    <cfRule type="cellIs" dxfId="0" priority="79" stopIfTrue="1" operator="lessThan">
      <formula>0</formula>
    </cfRule>
  </conditionalFormatting>
  <conditionalFormatting sqref="I279:J279">
    <cfRule type="cellIs" dxfId="1" priority="80" stopIfTrue="1" operator="greaterThan">
      <formula>0</formula>
    </cfRule>
  </conditionalFormatting>
  <conditionalFormatting sqref="J274:J278">
    <cfRule type="cellIs" dxfId="0" priority="81" stopIfTrue="1" operator="lessThan">
      <formula>0</formula>
    </cfRule>
  </conditionalFormatting>
  <conditionalFormatting sqref="J274:J278">
    <cfRule type="cellIs" dxfId="1" priority="82" stopIfTrue="1" operator="greaterThan">
      <formula>0</formula>
    </cfRule>
  </conditionalFormatting>
  <conditionalFormatting sqref="I285:J288">
    <cfRule type="cellIs" dxfId="0" priority="83" stopIfTrue="1" operator="lessThan">
      <formula>0</formula>
    </cfRule>
  </conditionalFormatting>
  <conditionalFormatting sqref="I285:J288">
    <cfRule type="cellIs" dxfId="1" priority="84" stopIfTrue="1" operator="greaterThan">
      <formula>0</formula>
    </cfRule>
  </conditionalFormatting>
  <conditionalFormatting sqref="I284:J284">
    <cfRule type="cellIs" dxfId="0" priority="85" stopIfTrue="1" operator="lessThan">
      <formula>0</formula>
    </cfRule>
  </conditionalFormatting>
  <conditionalFormatting sqref="I284:J284">
    <cfRule type="cellIs" dxfId="1" priority="86" stopIfTrue="1" operator="greaterThan">
      <formula>0</formula>
    </cfRule>
  </conditionalFormatting>
  <conditionalFormatting sqref="I291:J294">
    <cfRule type="cellIs" dxfId="0" priority="87" stopIfTrue="1" operator="lessThan">
      <formula>0</formula>
    </cfRule>
  </conditionalFormatting>
  <conditionalFormatting sqref="I291:J294">
    <cfRule type="cellIs" dxfId="1" priority="88" stopIfTrue="1" operator="greaterThan">
      <formula>0</formula>
    </cfRule>
  </conditionalFormatting>
  <conditionalFormatting sqref="I290:J290">
    <cfRule type="cellIs" dxfId="0" priority="89" stopIfTrue="1" operator="lessThan">
      <formula>0</formula>
    </cfRule>
  </conditionalFormatting>
  <conditionalFormatting sqref="I290:J290">
    <cfRule type="cellIs" dxfId="1" priority="90" stopIfTrue="1" operator="greaterThan">
      <formula>0</formula>
    </cfRule>
  </conditionalFormatting>
  <conditionalFormatting sqref="I296:J299 I309:I315 I300:I303 I331:J335 I341:J341 I387:J392">
    <cfRule type="cellIs" dxfId="0" priority="91" stopIfTrue="1" operator="lessThan">
      <formula>0</formula>
    </cfRule>
  </conditionalFormatting>
  <conditionalFormatting sqref="I296:J299 I309:I315 I300:I303 I331:J335 I341:J341 I387:J392">
    <cfRule type="cellIs" dxfId="1" priority="92" stopIfTrue="1" operator="greaterThan">
      <formula>0</formula>
    </cfRule>
  </conditionalFormatting>
  <conditionalFormatting sqref="I295:J295">
    <cfRule type="cellIs" dxfId="0" priority="93" stopIfTrue="1" operator="lessThan">
      <formula>0</formula>
    </cfRule>
  </conditionalFormatting>
  <conditionalFormatting sqref="I295:J295">
    <cfRule type="cellIs" dxfId="1" priority="94" stopIfTrue="1" operator="greaterThan">
      <formula>0</formula>
    </cfRule>
  </conditionalFormatting>
  <conditionalFormatting sqref="I305:J308">
    <cfRule type="cellIs" dxfId="0" priority="95" stopIfTrue="1" operator="lessThan">
      <formula>0</formula>
    </cfRule>
  </conditionalFormatting>
  <conditionalFormatting sqref="I305:J308">
    <cfRule type="cellIs" dxfId="1" priority="96" stopIfTrue="1" operator="greaterThan">
      <formula>0</formula>
    </cfRule>
  </conditionalFormatting>
  <conditionalFormatting sqref="I304:J304">
    <cfRule type="cellIs" dxfId="0" priority="97" stopIfTrue="1" operator="lessThan">
      <formula>0</formula>
    </cfRule>
  </conditionalFormatting>
  <conditionalFormatting sqref="I304:J304">
    <cfRule type="cellIs" dxfId="1" priority="98" stopIfTrue="1" operator="greaterThan">
      <formula>0</formula>
    </cfRule>
  </conditionalFormatting>
  <conditionalFormatting sqref="J300:J303">
    <cfRule type="cellIs" dxfId="0" priority="99" stopIfTrue="1" operator="lessThan">
      <formula>0</formula>
    </cfRule>
  </conditionalFormatting>
  <conditionalFormatting sqref="J300:J303">
    <cfRule type="cellIs" dxfId="1" priority="100" stopIfTrue="1" operator="greaterThan">
      <formula>0</formula>
    </cfRule>
  </conditionalFormatting>
  <conditionalFormatting sqref="I317:J320">
    <cfRule type="cellIs" dxfId="0" priority="101" stopIfTrue="1" operator="lessThan">
      <formula>0</formula>
    </cfRule>
  </conditionalFormatting>
  <conditionalFormatting sqref="I317:J320">
    <cfRule type="cellIs" dxfId="1" priority="102" stopIfTrue="1" operator="greaterThan">
      <formula>0</formula>
    </cfRule>
  </conditionalFormatting>
  <conditionalFormatting sqref="I316:J316">
    <cfRule type="cellIs" dxfId="0" priority="103" stopIfTrue="1" operator="lessThan">
      <formula>0</formula>
    </cfRule>
  </conditionalFormatting>
  <conditionalFormatting sqref="I316:J316">
    <cfRule type="cellIs" dxfId="1" priority="104" stopIfTrue="1" operator="greaterThan">
      <formula>0</formula>
    </cfRule>
  </conditionalFormatting>
  <conditionalFormatting sqref="J309:J315">
    <cfRule type="cellIs" dxfId="0" priority="105" stopIfTrue="1" operator="lessThan">
      <formula>0</formula>
    </cfRule>
  </conditionalFormatting>
  <conditionalFormatting sqref="J309:J315">
    <cfRule type="cellIs" dxfId="1" priority="106" stopIfTrue="1" operator="greaterThan">
      <formula>0</formula>
    </cfRule>
  </conditionalFormatting>
  <conditionalFormatting sqref="I322:J325">
    <cfRule type="cellIs" dxfId="0" priority="107" stopIfTrue="1" operator="lessThan">
      <formula>0</formula>
    </cfRule>
  </conditionalFormatting>
  <conditionalFormatting sqref="I322:J325">
    <cfRule type="cellIs" dxfId="1" priority="108" stopIfTrue="1" operator="greaterThan">
      <formula>0</formula>
    </cfRule>
  </conditionalFormatting>
  <conditionalFormatting sqref="I321:J321">
    <cfRule type="cellIs" dxfId="0" priority="109" stopIfTrue="1" operator="lessThan">
      <formula>0</formula>
    </cfRule>
  </conditionalFormatting>
  <conditionalFormatting sqref="I321:J321">
    <cfRule type="cellIs" dxfId="1" priority="110" stopIfTrue="1" operator="greaterThan">
      <formula>0</formula>
    </cfRule>
  </conditionalFormatting>
  <conditionalFormatting sqref="I327:J330">
    <cfRule type="cellIs" dxfId="0" priority="111" stopIfTrue="1" operator="lessThan">
      <formula>0</formula>
    </cfRule>
  </conditionalFormatting>
  <conditionalFormatting sqref="I327:J330">
    <cfRule type="cellIs" dxfId="1" priority="112" stopIfTrue="1" operator="greaterThan">
      <formula>0</formula>
    </cfRule>
  </conditionalFormatting>
  <conditionalFormatting sqref="I326:J326">
    <cfRule type="cellIs" dxfId="0" priority="113" stopIfTrue="1" operator="lessThan">
      <formula>0</formula>
    </cfRule>
  </conditionalFormatting>
  <conditionalFormatting sqref="I326:J326">
    <cfRule type="cellIs" dxfId="1" priority="114" stopIfTrue="1" operator="greaterThan">
      <formula>0</formula>
    </cfRule>
  </conditionalFormatting>
  <conditionalFormatting sqref="I337:J340">
    <cfRule type="cellIs" dxfId="0" priority="115" stopIfTrue="1" operator="lessThan">
      <formula>0</formula>
    </cfRule>
  </conditionalFormatting>
  <conditionalFormatting sqref="I337:J340">
    <cfRule type="cellIs" dxfId="1" priority="116" stopIfTrue="1" operator="greaterThan">
      <formula>0</formula>
    </cfRule>
  </conditionalFormatting>
  <conditionalFormatting sqref="I336:J336">
    <cfRule type="cellIs" dxfId="0" priority="117" stopIfTrue="1" operator="lessThan">
      <formula>0</formula>
    </cfRule>
  </conditionalFormatting>
  <conditionalFormatting sqref="I336:J336">
    <cfRule type="cellIs" dxfId="1" priority="118" stopIfTrue="1" operator="greaterThan">
      <formula>0</formula>
    </cfRule>
  </conditionalFormatting>
  <conditionalFormatting sqref="I343:J354">
    <cfRule type="cellIs" dxfId="0" priority="119" stopIfTrue="1" operator="lessThan">
      <formula>0</formula>
    </cfRule>
  </conditionalFormatting>
  <conditionalFormatting sqref="I343:J354">
    <cfRule type="cellIs" dxfId="1" priority="120" stopIfTrue="1" operator="greaterThan">
      <formula>0</formula>
    </cfRule>
  </conditionalFormatting>
  <conditionalFormatting sqref="I342:J342">
    <cfRule type="cellIs" dxfId="0" priority="121" stopIfTrue="1" operator="lessThan">
      <formula>0</formula>
    </cfRule>
  </conditionalFormatting>
  <conditionalFormatting sqref="I342:J342">
    <cfRule type="cellIs" dxfId="1" priority="122" stopIfTrue="1" operator="greaterThan">
      <formula>0</formula>
    </cfRule>
  </conditionalFormatting>
  <conditionalFormatting sqref="I356:J375">
    <cfRule type="cellIs" dxfId="0" priority="123" stopIfTrue="1" operator="lessThan">
      <formula>0</formula>
    </cfRule>
  </conditionalFormatting>
  <conditionalFormatting sqref="I356:J375">
    <cfRule type="cellIs" dxfId="1" priority="124" stopIfTrue="1" operator="greaterThan">
      <formula>0</formula>
    </cfRule>
  </conditionalFormatting>
  <conditionalFormatting sqref="I355:J355">
    <cfRule type="cellIs" dxfId="0" priority="125" stopIfTrue="1" operator="lessThan">
      <formula>0</formula>
    </cfRule>
  </conditionalFormatting>
  <conditionalFormatting sqref="I355:J355">
    <cfRule type="cellIs" dxfId="1" priority="126" stopIfTrue="1" operator="greaterThan">
      <formula>0</formula>
    </cfRule>
  </conditionalFormatting>
  <conditionalFormatting sqref="I377:J380 I381">
    <cfRule type="cellIs" dxfId="0" priority="127" stopIfTrue="1" operator="lessThan">
      <formula>0</formula>
    </cfRule>
  </conditionalFormatting>
  <conditionalFormatting sqref="I377:J380 I381">
    <cfRule type="cellIs" dxfId="1" priority="128" stopIfTrue="1" operator="greaterThan">
      <formula>0</formula>
    </cfRule>
  </conditionalFormatting>
  <conditionalFormatting sqref="I376:J376">
    <cfRule type="cellIs" dxfId="0" priority="129" stopIfTrue="1" operator="lessThan">
      <formula>0</formula>
    </cfRule>
  </conditionalFormatting>
  <conditionalFormatting sqref="I376:J376">
    <cfRule type="cellIs" dxfId="1" priority="130" stopIfTrue="1" operator="greaterThan">
      <formula>0</formula>
    </cfRule>
  </conditionalFormatting>
  <conditionalFormatting sqref="I383:J386">
    <cfRule type="cellIs" dxfId="0" priority="131" stopIfTrue="1" operator="lessThan">
      <formula>0</formula>
    </cfRule>
  </conditionalFormatting>
  <conditionalFormatting sqref="I383:J386">
    <cfRule type="cellIs" dxfId="1" priority="132" stopIfTrue="1" operator="greaterThan">
      <formula>0</formula>
    </cfRule>
  </conditionalFormatting>
  <conditionalFormatting sqref="I382:J382">
    <cfRule type="cellIs" dxfId="0" priority="133" stopIfTrue="1" operator="lessThan">
      <formula>0</formula>
    </cfRule>
  </conditionalFormatting>
  <conditionalFormatting sqref="I382:J382">
    <cfRule type="cellIs" dxfId="1" priority="134" stopIfTrue="1" operator="greaterThan">
      <formula>0</formula>
    </cfRule>
  </conditionalFormatting>
  <conditionalFormatting sqref="I394:J397">
    <cfRule type="cellIs" dxfId="0" priority="135" stopIfTrue="1" operator="lessThan">
      <formula>0</formula>
    </cfRule>
  </conditionalFormatting>
  <conditionalFormatting sqref="I394:J397">
    <cfRule type="cellIs" dxfId="1" priority="136" stopIfTrue="1" operator="greaterThan">
      <formula>0</formula>
    </cfRule>
  </conditionalFormatting>
  <conditionalFormatting sqref="I393:J393">
    <cfRule type="cellIs" dxfId="0" priority="137" stopIfTrue="1" operator="lessThan">
      <formula>0</formula>
    </cfRule>
  </conditionalFormatting>
  <conditionalFormatting sqref="I393:J393">
    <cfRule type="cellIs" dxfId="1" priority="138" stopIfTrue="1" operator="greaterThan">
      <formula>0</formula>
    </cfRule>
  </conditionalFormatting>
  <conditionalFormatting sqref="I399:J402 I403:I408">
    <cfRule type="cellIs" dxfId="0" priority="139" stopIfTrue="1" operator="lessThan">
      <formula>0</formula>
    </cfRule>
  </conditionalFormatting>
  <conditionalFormatting sqref="I399:J402 I403:I408">
    <cfRule type="cellIs" dxfId="1" priority="140" stopIfTrue="1" operator="greaterThan">
      <formula>0</formula>
    </cfRule>
  </conditionalFormatting>
  <conditionalFormatting sqref="I398:J398">
    <cfRule type="cellIs" dxfId="0" priority="141" stopIfTrue="1" operator="lessThan">
      <formula>0</formula>
    </cfRule>
  </conditionalFormatting>
  <conditionalFormatting sqref="I398:J398">
    <cfRule type="cellIs" dxfId="1" priority="142" stopIfTrue="1" operator="greaterThan">
      <formula>0</formula>
    </cfRule>
  </conditionalFormatting>
  <conditionalFormatting sqref="J381">
    <cfRule type="cellIs" dxfId="0" priority="143" stopIfTrue="1" operator="lessThan">
      <formula>0</formula>
    </cfRule>
  </conditionalFormatting>
  <conditionalFormatting sqref="J381">
    <cfRule type="cellIs" dxfId="1" priority="144" stopIfTrue="1" operator="greaterThan">
      <formula>0</formula>
    </cfRule>
  </conditionalFormatting>
  <conditionalFormatting sqref="I410:J413 I414:I422">
    <cfRule type="cellIs" dxfId="0" priority="145" stopIfTrue="1" operator="lessThan">
      <formula>0</formula>
    </cfRule>
  </conditionalFormatting>
  <conditionalFormatting sqref="I410:J413 I414:I422">
    <cfRule type="cellIs" dxfId="1" priority="146" stopIfTrue="1" operator="greaterThan">
      <formula>0</formula>
    </cfRule>
  </conditionalFormatting>
  <conditionalFormatting sqref="I409:J409">
    <cfRule type="cellIs" dxfId="0" priority="147" stopIfTrue="1" operator="lessThan">
      <formula>0</formula>
    </cfRule>
  </conditionalFormatting>
  <conditionalFormatting sqref="I409:J409">
    <cfRule type="cellIs" dxfId="1" priority="148" stopIfTrue="1" operator="greaterThan">
      <formula>0</formula>
    </cfRule>
  </conditionalFormatting>
  <conditionalFormatting sqref="J403:J408">
    <cfRule type="cellIs" dxfId="0" priority="149" stopIfTrue="1" operator="lessThan">
      <formula>0</formula>
    </cfRule>
  </conditionalFormatting>
  <conditionalFormatting sqref="J403:J408">
    <cfRule type="cellIs" dxfId="1" priority="150" stopIfTrue="1" operator="greaterThan">
      <formula>0</formula>
    </cfRule>
  </conditionalFormatting>
  <conditionalFormatting sqref="I423:J423">
    <cfRule type="cellIs" dxfId="0" priority="151" stopIfTrue="1" operator="lessThan">
      <formula>0</formula>
    </cfRule>
  </conditionalFormatting>
  <conditionalFormatting sqref="I423:J423">
    <cfRule type="cellIs" dxfId="1" priority="152" stopIfTrue="1" operator="greaterThan">
      <formula>0</formula>
    </cfRule>
  </conditionalFormatting>
  <conditionalFormatting sqref="J414:J422">
    <cfRule type="cellIs" dxfId="0" priority="153" stopIfTrue="1" operator="lessThan">
      <formula>0</formula>
    </cfRule>
  </conditionalFormatting>
  <conditionalFormatting sqref="J414:J422">
    <cfRule type="cellIs" dxfId="1" priority="154" stopIfTrue="1" operator="greaterThan">
      <formula>0</formula>
    </cfRule>
  </conditionalFormatting>
  <conditionalFormatting sqref="I437:J440">
    <cfRule type="cellIs" dxfId="0" priority="155" stopIfTrue="1" operator="lessThan">
      <formula>0</formula>
    </cfRule>
  </conditionalFormatting>
  <conditionalFormatting sqref="I437:J440">
    <cfRule type="cellIs" dxfId="1" priority="156" stopIfTrue="1" operator="greaterThan">
      <formula>0</formula>
    </cfRule>
  </conditionalFormatting>
  <conditionalFormatting sqref="I436:J436">
    <cfRule type="cellIs" dxfId="0" priority="157" stopIfTrue="1" operator="lessThan">
      <formula>0</formula>
    </cfRule>
  </conditionalFormatting>
  <conditionalFormatting sqref="I436:J436">
    <cfRule type="cellIs" dxfId="1" priority="158" stopIfTrue="1" operator="greaterThan">
      <formula>0</formula>
    </cfRule>
  </conditionalFormatting>
  <conditionalFormatting sqref="J428:J435">
    <cfRule type="cellIs" dxfId="0" priority="159" stopIfTrue="1" operator="lessThan">
      <formula>0</formula>
    </cfRule>
  </conditionalFormatting>
  <conditionalFormatting sqref="J428:J435">
    <cfRule type="cellIs" dxfId="1" priority="160" stopIfTrue="1" operator="greaterThan">
      <formula>0</formula>
    </cfRule>
  </conditionalFormatting>
  <conditionalFormatting sqref="I447:J447">
    <cfRule type="cellIs" dxfId="0" priority="161" stopIfTrue="1" operator="lessThan">
      <formula>0</formula>
    </cfRule>
  </conditionalFormatting>
  <conditionalFormatting sqref="I447:J447">
    <cfRule type="cellIs" dxfId="1" priority="162" stopIfTrue="1" operator="greaterThan">
      <formula>0</formula>
    </cfRule>
  </conditionalFormatting>
  <conditionalFormatting sqref="I443:J446">
    <cfRule type="cellIs" dxfId="0" priority="163" stopIfTrue="1" operator="lessThan">
      <formula>0</formula>
    </cfRule>
  </conditionalFormatting>
  <conditionalFormatting sqref="I443:J446">
    <cfRule type="cellIs" dxfId="1" priority="164" stopIfTrue="1" operator="greaterThan">
      <formula>0</formula>
    </cfRule>
  </conditionalFormatting>
  <conditionalFormatting sqref="I442:J442">
    <cfRule type="cellIs" dxfId="0" priority="165" stopIfTrue="1" operator="lessThan">
      <formula>0</formula>
    </cfRule>
  </conditionalFormatting>
  <conditionalFormatting sqref="I442:J442">
    <cfRule type="cellIs" dxfId="1" priority="166" stopIfTrue="1" operator="greaterThan">
      <formula>0</formula>
    </cfRule>
  </conditionalFormatting>
  <conditionalFormatting sqref="I449:J463">
    <cfRule type="cellIs" dxfId="0" priority="167" stopIfTrue="1" operator="lessThan">
      <formula>0</formula>
    </cfRule>
  </conditionalFormatting>
  <conditionalFormatting sqref="I449:J463">
    <cfRule type="cellIs" dxfId="1" priority="168" stopIfTrue="1" operator="greaterThan">
      <formula>0</formula>
    </cfRule>
  </conditionalFormatting>
  <conditionalFormatting sqref="I448:J448">
    <cfRule type="cellIs" dxfId="0" priority="169" stopIfTrue="1" operator="lessThan">
      <formula>0</formula>
    </cfRule>
  </conditionalFormatting>
  <conditionalFormatting sqref="I448:J448">
    <cfRule type="cellIs" dxfId="1" priority="170" stopIfTrue="1" operator="greaterThan">
      <formula>0</formula>
    </cfRule>
  </conditionalFormatting>
  <conditionalFormatting sqref="I465:J468">
    <cfRule type="cellIs" dxfId="0" priority="171" stopIfTrue="1" operator="lessThan">
      <formula>0</formula>
    </cfRule>
  </conditionalFormatting>
  <conditionalFormatting sqref="I465:J468">
    <cfRule type="cellIs" dxfId="1" priority="172" stopIfTrue="1" operator="greaterThan">
      <formula>0</formula>
    </cfRule>
  </conditionalFormatting>
  <conditionalFormatting sqref="I464:J464">
    <cfRule type="cellIs" dxfId="0" priority="173" stopIfTrue="1" operator="lessThan">
      <formula>0</formula>
    </cfRule>
  </conditionalFormatting>
  <conditionalFormatting sqref="I464:J464">
    <cfRule type="cellIs" dxfId="1" priority="174" stopIfTrue="1" operator="greaterThan">
      <formula>0</formula>
    </cfRule>
  </conditionalFormatting>
  <conditionalFormatting sqref="I470:J473">
    <cfRule type="cellIs" dxfId="0" priority="175" stopIfTrue="1" operator="lessThan">
      <formula>0</formula>
    </cfRule>
  </conditionalFormatting>
  <conditionalFormatting sqref="I470:J473">
    <cfRule type="cellIs" dxfId="1" priority="176" stopIfTrue="1" operator="greaterThan">
      <formula>0</formula>
    </cfRule>
  </conditionalFormatting>
  <conditionalFormatting sqref="I469:J469">
    <cfRule type="cellIs" dxfId="0" priority="177" stopIfTrue="1" operator="lessThan">
      <formula>0</formula>
    </cfRule>
  </conditionalFormatting>
  <conditionalFormatting sqref="I469:J469">
    <cfRule type="cellIs" dxfId="1" priority="178" stopIfTrue="1" operator="greaterThan">
      <formula>0</formula>
    </cfRule>
  </conditionalFormatting>
  <conditionalFormatting sqref="I475:J478">
    <cfRule type="cellIs" dxfId="0" priority="179" stopIfTrue="1" operator="lessThan">
      <formula>0</formula>
    </cfRule>
  </conditionalFormatting>
  <conditionalFormatting sqref="I475:J478">
    <cfRule type="cellIs" dxfId="1" priority="180" stopIfTrue="1" operator="greaterThan">
      <formula>0</formula>
    </cfRule>
  </conditionalFormatting>
  <conditionalFormatting sqref="I474:J474">
    <cfRule type="cellIs" dxfId="0" priority="181" stopIfTrue="1" operator="lessThan">
      <formula>0</formula>
    </cfRule>
  </conditionalFormatting>
  <conditionalFormatting sqref="I474:J474">
    <cfRule type="cellIs" dxfId="1" priority="182" stopIfTrue="1" operator="greaterThan">
      <formula>0</formula>
    </cfRule>
  </conditionalFormatting>
  <conditionalFormatting sqref="I480:J483">
    <cfRule type="cellIs" dxfId="0" priority="183" stopIfTrue="1" operator="lessThan">
      <formula>0</formula>
    </cfRule>
  </conditionalFormatting>
  <conditionalFormatting sqref="I480:J483">
    <cfRule type="cellIs" dxfId="1" priority="184" stopIfTrue="1" operator="greaterThan">
      <formula>0</formula>
    </cfRule>
  </conditionalFormatting>
  <conditionalFormatting sqref="I479:J479">
    <cfRule type="cellIs" dxfId="0" priority="185" stopIfTrue="1" operator="lessThan">
      <formula>0</formula>
    </cfRule>
  </conditionalFormatting>
  <conditionalFormatting sqref="I479:J479">
    <cfRule type="cellIs" dxfId="1" priority="186" stopIfTrue="1" operator="greaterThan">
      <formula>0</formula>
    </cfRule>
  </conditionalFormatting>
  <conditionalFormatting sqref="I485:J488">
    <cfRule type="cellIs" dxfId="0" priority="187" stopIfTrue="1" operator="lessThan">
      <formula>0</formula>
    </cfRule>
  </conditionalFormatting>
  <conditionalFormatting sqref="I485:J488">
    <cfRule type="cellIs" dxfId="1" priority="188" stopIfTrue="1" operator="greaterThan">
      <formula>0</formula>
    </cfRule>
  </conditionalFormatting>
  <conditionalFormatting sqref="I484:J484">
    <cfRule type="cellIs" dxfId="0" priority="189" stopIfTrue="1" operator="lessThan">
      <formula>0</formula>
    </cfRule>
  </conditionalFormatting>
  <conditionalFormatting sqref="I484:J484">
    <cfRule type="cellIs" dxfId="1" priority="190" stopIfTrue="1" operator="greaterThan">
      <formula>0</formula>
    </cfRule>
  </conditionalFormatting>
  <conditionalFormatting sqref="I494:J507 I513:J517 I523:J525">
    <cfRule type="cellIs" dxfId="0" priority="191" stopIfTrue="1" operator="lessThan">
      <formula>0</formula>
    </cfRule>
  </conditionalFormatting>
  <conditionalFormatting sqref="I494:J507 I513:J517 I523:J525">
    <cfRule type="cellIs" dxfId="1" priority="192" stopIfTrue="1" operator="greaterThan">
      <formula>0</formula>
    </cfRule>
  </conditionalFormatting>
  <conditionalFormatting sqref="I493:J493">
    <cfRule type="cellIs" dxfId="0" priority="193" stopIfTrue="1" operator="lessThan">
      <formula>0</formula>
    </cfRule>
  </conditionalFormatting>
  <conditionalFormatting sqref="I493:J493">
    <cfRule type="cellIs" dxfId="1" priority="194" stopIfTrue="1" operator="greaterThan">
      <formula>0</formula>
    </cfRule>
  </conditionalFormatting>
  <conditionalFormatting sqref="I509:J512">
    <cfRule type="cellIs" dxfId="0" priority="195" stopIfTrue="1" operator="lessThan">
      <formula>0</formula>
    </cfRule>
  </conditionalFormatting>
  <conditionalFormatting sqref="I509:J512">
    <cfRule type="cellIs" dxfId="1" priority="196" stopIfTrue="1" operator="greaterThan">
      <formula>0</formula>
    </cfRule>
  </conditionalFormatting>
  <conditionalFormatting sqref="I508:J508">
    <cfRule type="cellIs" dxfId="0" priority="197" stopIfTrue="1" operator="lessThan">
      <formula>0</formula>
    </cfRule>
  </conditionalFormatting>
  <conditionalFormatting sqref="I508:J508">
    <cfRule type="cellIs" dxfId="1" priority="198" stopIfTrue="1" operator="greaterThan">
      <formula>0</formula>
    </cfRule>
  </conditionalFormatting>
  <conditionalFormatting sqref="I519:J522">
    <cfRule type="cellIs" dxfId="0" priority="199" stopIfTrue="1" operator="lessThan">
      <formula>0</formula>
    </cfRule>
  </conditionalFormatting>
  <conditionalFormatting sqref="I519:J522">
    <cfRule type="cellIs" dxfId="1" priority="200" stopIfTrue="1" operator="greaterThan">
      <formula>0</formula>
    </cfRule>
  </conditionalFormatting>
  <conditionalFormatting sqref="I518:J518">
    <cfRule type="cellIs" dxfId="0" priority="201" stopIfTrue="1" operator="lessThan">
      <formula>0</formula>
    </cfRule>
  </conditionalFormatting>
  <conditionalFormatting sqref="I518:J518">
    <cfRule type="cellIs" dxfId="1" priority="202" stopIfTrue="1" operator="greaterThan">
      <formula>0</formula>
    </cfRule>
  </conditionalFormatting>
  <conditionalFormatting sqref="I527:J530">
    <cfRule type="cellIs" dxfId="0" priority="203" stopIfTrue="1" operator="lessThan">
      <formula>0</formula>
    </cfRule>
  </conditionalFormatting>
  <conditionalFormatting sqref="I527:J530">
    <cfRule type="cellIs" dxfId="1" priority="204" stopIfTrue="1" operator="greaterThan">
      <formula>0</formula>
    </cfRule>
  </conditionalFormatting>
  <conditionalFormatting sqref="I526:J526">
    <cfRule type="cellIs" dxfId="0" priority="205" stopIfTrue="1" operator="lessThan">
      <formula>0</formula>
    </cfRule>
  </conditionalFormatting>
  <conditionalFormatting sqref="I526:J526">
    <cfRule type="cellIs" dxfId="1" priority="206" stopIfTrue="1" operator="greaterThan">
      <formula>0</formula>
    </cfRule>
  </conditionalFormatting>
  <conditionalFormatting sqref="I546:J554">
    <cfRule type="cellIs" dxfId="0" priority="207" stopIfTrue="1" operator="lessThan">
      <formula>0</formula>
    </cfRule>
  </conditionalFormatting>
  <conditionalFormatting sqref="I546:J554">
    <cfRule type="cellIs" dxfId="1" priority="208" stopIfTrue="1" operator="greaterThan">
      <formula>0</formula>
    </cfRule>
  </conditionalFormatting>
  <conditionalFormatting sqref="I545:J545">
    <cfRule type="cellIs" dxfId="0" priority="209" stopIfTrue="1" operator="lessThan">
      <formula>0</formula>
    </cfRule>
  </conditionalFormatting>
  <conditionalFormatting sqref="I545:J545">
    <cfRule type="cellIs" dxfId="1" priority="210" stopIfTrue="1" operator="greaterThan">
      <formula>0</formula>
    </cfRule>
  </conditionalFormatting>
  <conditionalFormatting sqref="I556:J559">
    <cfRule type="cellIs" dxfId="0" priority="211" stopIfTrue="1" operator="lessThan">
      <formula>0</formula>
    </cfRule>
  </conditionalFormatting>
  <conditionalFormatting sqref="I556:J559">
    <cfRule type="cellIs" dxfId="1" priority="212" stopIfTrue="1" operator="greaterThan">
      <formula>0</formula>
    </cfRule>
  </conditionalFormatting>
  <conditionalFormatting sqref="I555:J555">
    <cfRule type="cellIs" dxfId="0" priority="213" stopIfTrue="1" operator="lessThan">
      <formula>0</formula>
    </cfRule>
  </conditionalFormatting>
  <conditionalFormatting sqref="I555:J555">
    <cfRule type="cellIs" dxfId="1" priority="214" stopIfTrue="1" operator="greaterThan">
      <formula>0</formula>
    </cfRule>
  </conditionalFormatting>
  <conditionalFormatting sqref="I561:J564 I573:I576 I565:I567">
    <cfRule type="cellIs" dxfId="0" priority="215" stopIfTrue="1" operator="lessThan">
      <formula>0</formula>
    </cfRule>
  </conditionalFormatting>
  <conditionalFormatting sqref="I561:J564 I573:I576 I565:I567">
    <cfRule type="cellIs" dxfId="1" priority="216" stopIfTrue="1" operator="greaterThan">
      <formula>0</formula>
    </cfRule>
  </conditionalFormatting>
  <conditionalFormatting sqref="I560:J560">
    <cfRule type="cellIs" dxfId="0" priority="217" stopIfTrue="1" operator="lessThan">
      <formula>0</formula>
    </cfRule>
  </conditionalFormatting>
  <conditionalFormatting sqref="I560:J560">
    <cfRule type="cellIs" dxfId="1" priority="218" stopIfTrue="1" operator="greaterThan">
      <formula>0</formula>
    </cfRule>
  </conditionalFormatting>
  <conditionalFormatting sqref="I569:J572">
    <cfRule type="cellIs" dxfId="0" priority="219" stopIfTrue="1" operator="lessThan">
      <formula>0</formula>
    </cfRule>
  </conditionalFormatting>
  <conditionalFormatting sqref="I569:J572">
    <cfRule type="cellIs" dxfId="1" priority="220" stopIfTrue="1" operator="greaterThan">
      <formula>0</formula>
    </cfRule>
  </conditionalFormatting>
  <conditionalFormatting sqref="I568:J568">
    <cfRule type="cellIs" dxfId="0" priority="221" stopIfTrue="1" operator="lessThan">
      <formula>0</formula>
    </cfRule>
  </conditionalFormatting>
  <conditionalFormatting sqref="I568:J568">
    <cfRule type="cellIs" dxfId="1" priority="222" stopIfTrue="1" operator="greaterThan">
      <formula>0</formula>
    </cfRule>
  </conditionalFormatting>
  <conditionalFormatting sqref="J565:J567">
    <cfRule type="cellIs" dxfId="0" priority="223" stopIfTrue="1" operator="lessThan">
      <formula>0</formula>
    </cfRule>
  </conditionalFormatting>
  <conditionalFormatting sqref="J565:J567">
    <cfRule type="cellIs" dxfId="1" priority="224" stopIfTrue="1" operator="greaterThan">
      <formula>0</formula>
    </cfRule>
  </conditionalFormatting>
  <conditionalFormatting sqref="I578:J588">
    <cfRule type="cellIs" dxfId="0" priority="225" stopIfTrue="1" operator="lessThan">
      <formula>0</formula>
    </cfRule>
  </conditionalFormatting>
  <conditionalFormatting sqref="I578:J588">
    <cfRule type="cellIs" dxfId="1" priority="226" stopIfTrue="1" operator="greaterThan">
      <formula>0</formula>
    </cfRule>
  </conditionalFormatting>
  <conditionalFormatting sqref="I577:J577">
    <cfRule type="cellIs" dxfId="0" priority="227" stopIfTrue="1" operator="lessThan">
      <formula>0</formula>
    </cfRule>
  </conditionalFormatting>
  <conditionalFormatting sqref="I577:J577">
    <cfRule type="cellIs" dxfId="1" priority="228" stopIfTrue="1" operator="greaterThan">
      <formula>0</formula>
    </cfRule>
  </conditionalFormatting>
  <conditionalFormatting sqref="J573:J576">
    <cfRule type="cellIs" dxfId="0" priority="229" stopIfTrue="1" operator="lessThan">
      <formula>0</formula>
    </cfRule>
  </conditionalFormatting>
  <conditionalFormatting sqref="J573:J576">
    <cfRule type="cellIs" dxfId="1" priority="230" stopIfTrue="1" operator="greaterThan">
      <formula>0</formula>
    </cfRule>
  </conditionalFormatting>
  <conditionalFormatting sqref="I590:J594">
    <cfRule type="cellIs" dxfId="0" priority="231" stopIfTrue="1" operator="lessThan">
      <formula>0</formula>
    </cfRule>
  </conditionalFormatting>
  <conditionalFormatting sqref="I590:J594">
    <cfRule type="cellIs" dxfId="1" priority="232" stopIfTrue="1" operator="greaterThan">
      <formula>0</formula>
    </cfRule>
  </conditionalFormatting>
  <conditionalFormatting sqref="I589:J589">
    <cfRule type="cellIs" dxfId="0" priority="233" stopIfTrue="1" operator="lessThan">
      <formula>0</formula>
    </cfRule>
  </conditionalFormatting>
  <conditionalFormatting sqref="I589:J589">
    <cfRule type="cellIs" dxfId="1" priority="234" stopIfTrue="1" operator="greaterThan">
      <formula>0</formula>
    </cfRule>
  </conditionalFormatting>
  <conditionalFormatting sqref="I596:J599">
    <cfRule type="cellIs" dxfId="0" priority="235" stopIfTrue="1" operator="lessThan">
      <formula>0</formula>
    </cfRule>
  </conditionalFormatting>
  <conditionalFormatting sqref="I596:J599">
    <cfRule type="cellIs" dxfId="1" priority="236" stopIfTrue="1" operator="greaterThan">
      <formula>0</formula>
    </cfRule>
  </conditionalFormatting>
  <conditionalFormatting sqref="I595:J595">
    <cfRule type="cellIs" dxfId="0" priority="237" stopIfTrue="1" operator="lessThan">
      <formula>0</formula>
    </cfRule>
  </conditionalFormatting>
  <conditionalFormatting sqref="I595:J595">
    <cfRule type="cellIs" dxfId="1" priority="238" stopIfTrue="1" operator="greaterThan">
      <formula>0</formula>
    </cfRule>
  </conditionalFormatting>
  <conditionalFormatting sqref="I601:J604">
    <cfRule type="cellIs" dxfId="0" priority="239" stopIfTrue="1" operator="lessThan">
      <formula>0</formula>
    </cfRule>
  </conditionalFormatting>
  <conditionalFormatting sqref="I601:J604">
    <cfRule type="cellIs" dxfId="1" priority="240" stopIfTrue="1" operator="greaterThan">
      <formula>0</formula>
    </cfRule>
  </conditionalFormatting>
  <conditionalFormatting sqref="I600:J600">
    <cfRule type="cellIs" dxfId="0" priority="241" stopIfTrue="1" operator="lessThan">
      <formula>0</formula>
    </cfRule>
  </conditionalFormatting>
  <conditionalFormatting sqref="I600:J600">
    <cfRule type="cellIs" dxfId="1" priority="242" stopIfTrue="1" operator="greaterThan">
      <formula>0</formula>
    </cfRule>
  </conditionalFormatting>
  <conditionalFormatting sqref="I606:J614">
    <cfRule type="cellIs" dxfId="0" priority="243" stopIfTrue="1" operator="lessThan">
      <formula>0</formula>
    </cfRule>
  </conditionalFormatting>
  <conditionalFormatting sqref="I606:J614">
    <cfRule type="cellIs" dxfId="1" priority="244" stopIfTrue="1" operator="greaterThan">
      <formula>0</formula>
    </cfRule>
  </conditionalFormatting>
  <conditionalFormatting sqref="I605:J605">
    <cfRule type="cellIs" dxfId="0" priority="245" stopIfTrue="1" operator="lessThan">
      <formula>0</formula>
    </cfRule>
  </conditionalFormatting>
  <conditionalFormatting sqref="I605:J605">
    <cfRule type="cellIs" dxfId="1" priority="246" stopIfTrue="1" operator="greaterThan">
      <formula>0</formula>
    </cfRule>
  </conditionalFormatting>
  <conditionalFormatting sqref="I616:J620">
    <cfRule type="cellIs" dxfId="0" priority="247" stopIfTrue="1" operator="lessThan">
      <formula>0</formula>
    </cfRule>
  </conditionalFormatting>
  <conditionalFormatting sqref="I616:J620">
    <cfRule type="cellIs" dxfId="1" priority="248" stopIfTrue="1" operator="greaterThan">
      <formula>0</formula>
    </cfRule>
  </conditionalFormatting>
  <conditionalFormatting sqref="I615:J615">
    <cfRule type="cellIs" dxfId="0" priority="249" stopIfTrue="1" operator="lessThan">
      <formula>0</formula>
    </cfRule>
  </conditionalFormatting>
  <conditionalFormatting sqref="I615:J615">
    <cfRule type="cellIs" dxfId="1" priority="250" stopIfTrue="1" operator="greaterThan">
      <formula>0</formula>
    </cfRule>
  </conditionalFormatting>
  <conditionalFormatting sqref="I622:J625 I626:I628">
    <cfRule type="cellIs" dxfId="0" priority="251" stopIfTrue="1" operator="lessThan">
      <formula>0</formula>
    </cfRule>
  </conditionalFormatting>
  <conditionalFormatting sqref="I622:J625 I626:I628">
    <cfRule type="cellIs" dxfId="1" priority="252" stopIfTrue="1" operator="greaterThan">
      <formula>0</formula>
    </cfRule>
  </conditionalFormatting>
  <conditionalFormatting sqref="I621:J621">
    <cfRule type="cellIs" dxfId="0" priority="253" stopIfTrue="1" operator="lessThan">
      <formula>0</formula>
    </cfRule>
  </conditionalFormatting>
  <conditionalFormatting sqref="I621:J621">
    <cfRule type="cellIs" dxfId="1" priority="254" stopIfTrue="1" operator="greaterThan">
      <formula>0</formula>
    </cfRule>
  </conditionalFormatting>
  <conditionalFormatting sqref="I630:J645">
    <cfRule type="cellIs" dxfId="0" priority="255" stopIfTrue="1" operator="lessThan">
      <formula>0</formula>
    </cfRule>
  </conditionalFormatting>
  <conditionalFormatting sqref="I630:J645">
    <cfRule type="cellIs" dxfId="1" priority="256" stopIfTrue="1" operator="greaterThan">
      <formula>0</formula>
    </cfRule>
  </conditionalFormatting>
  <conditionalFormatting sqref="I629:J629">
    <cfRule type="cellIs" dxfId="0" priority="257" stopIfTrue="1" operator="lessThan">
      <formula>0</formula>
    </cfRule>
  </conditionalFormatting>
  <conditionalFormatting sqref="I629:J629">
    <cfRule type="cellIs" dxfId="1" priority="258" stopIfTrue="1" operator="greaterThan">
      <formula>0</formula>
    </cfRule>
  </conditionalFormatting>
  <conditionalFormatting sqref="J626:J628">
    <cfRule type="cellIs" dxfId="0" priority="259" stopIfTrue="1" operator="lessThan">
      <formula>0</formula>
    </cfRule>
  </conditionalFormatting>
  <conditionalFormatting sqref="J626:J628">
    <cfRule type="cellIs" dxfId="1" priority="260" stopIfTrue="1" operator="greaterThan">
      <formula>0</formula>
    </cfRule>
  </conditionalFormatting>
  <conditionalFormatting sqref="I654:J657">
    <cfRule type="cellIs" dxfId="0" priority="261" stopIfTrue="1" operator="lessThan">
      <formula>0</formula>
    </cfRule>
  </conditionalFormatting>
  <conditionalFormatting sqref="I654:J657">
    <cfRule type="cellIs" dxfId="1" priority="262" stopIfTrue="1" operator="greaterThan">
      <formula>0</formula>
    </cfRule>
  </conditionalFormatting>
  <conditionalFormatting sqref="I653:J653">
    <cfRule type="cellIs" dxfId="0" priority="263" stopIfTrue="1" operator="lessThan">
      <formula>0</formula>
    </cfRule>
  </conditionalFormatting>
  <conditionalFormatting sqref="I653:J653">
    <cfRule type="cellIs" dxfId="1" priority="264" stopIfTrue="1" operator="greaterThan">
      <formula>0</formula>
    </cfRule>
  </conditionalFormatting>
  <conditionalFormatting sqref="I661:J664">
    <cfRule type="cellIs" dxfId="0" priority="265" stopIfTrue="1" operator="lessThan">
      <formula>0</formula>
    </cfRule>
  </conditionalFormatting>
  <conditionalFormatting sqref="I661:J664">
    <cfRule type="cellIs" dxfId="1" priority="266" stopIfTrue="1" operator="greaterThan">
      <formula>0</formula>
    </cfRule>
  </conditionalFormatting>
  <conditionalFormatting sqref="I660:J660">
    <cfRule type="cellIs" dxfId="0" priority="267" stopIfTrue="1" operator="lessThan">
      <formula>0</formula>
    </cfRule>
  </conditionalFormatting>
  <conditionalFormatting sqref="I660:J660">
    <cfRule type="cellIs" dxfId="1" priority="268" stopIfTrue="1" operator="greaterThan">
      <formula>0</formula>
    </cfRule>
  </conditionalFormatting>
  <conditionalFormatting sqref="I675:J678 I679:I684">
    <cfRule type="cellIs" dxfId="0" priority="269" stopIfTrue="1" operator="lessThan">
      <formula>0</formula>
    </cfRule>
  </conditionalFormatting>
  <conditionalFormatting sqref="I675:J678 I679:I684">
    <cfRule type="cellIs" dxfId="1" priority="270" stopIfTrue="1" operator="greaterThan">
      <formula>0</formula>
    </cfRule>
  </conditionalFormatting>
  <conditionalFormatting sqref="I674:J674">
    <cfRule type="cellIs" dxfId="0" priority="271" stopIfTrue="1" operator="lessThan">
      <formula>0</formula>
    </cfRule>
  </conditionalFormatting>
  <conditionalFormatting sqref="I674:J674">
    <cfRule type="cellIs" dxfId="1" priority="272" stopIfTrue="1" operator="greaterThan">
      <formula>0</formula>
    </cfRule>
  </conditionalFormatting>
  <conditionalFormatting sqref="I666:J669">
    <cfRule type="cellIs" dxfId="0" priority="273" stopIfTrue="1" operator="lessThan">
      <formula>0</formula>
    </cfRule>
  </conditionalFormatting>
  <conditionalFormatting sqref="I666:J669">
    <cfRule type="cellIs" dxfId="1" priority="274" stopIfTrue="1" operator="greaterThan">
      <formula>0</formula>
    </cfRule>
  </conditionalFormatting>
  <conditionalFormatting sqref="I665:J665">
    <cfRule type="cellIs" dxfId="0" priority="275" stopIfTrue="1" operator="lessThan">
      <formula>0</formula>
    </cfRule>
  </conditionalFormatting>
  <conditionalFormatting sqref="I665:J665">
    <cfRule type="cellIs" dxfId="1" priority="276" stopIfTrue="1" operator="greaterThan">
      <formula>0</formula>
    </cfRule>
  </conditionalFormatting>
  <conditionalFormatting sqref="I686:J689 I690:I700">
    <cfRule type="cellIs" dxfId="0" priority="277" stopIfTrue="1" operator="lessThan">
      <formula>0</formula>
    </cfRule>
  </conditionalFormatting>
  <conditionalFormatting sqref="I686:J689 I690:I700">
    <cfRule type="cellIs" dxfId="1" priority="278" stopIfTrue="1" operator="greaterThan">
      <formula>0</formula>
    </cfRule>
  </conditionalFormatting>
  <conditionalFormatting sqref="I685:J685">
    <cfRule type="cellIs" dxfId="0" priority="279" stopIfTrue="1" operator="lessThan">
      <formula>0</formula>
    </cfRule>
  </conditionalFormatting>
  <conditionalFormatting sqref="I685:J685">
    <cfRule type="cellIs" dxfId="1" priority="280" stopIfTrue="1" operator="greaterThan">
      <formula>0</formula>
    </cfRule>
  </conditionalFormatting>
  <conditionalFormatting sqref="J679:J684">
    <cfRule type="cellIs" dxfId="0" priority="281" stopIfTrue="1" operator="lessThan">
      <formula>0</formula>
    </cfRule>
  </conditionalFormatting>
  <conditionalFormatting sqref="J679:J684">
    <cfRule type="cellIs" dxfId="1" priority="282" stopIfTrue="1" operator="greaterThan">
      <formula>0</formula>
    </cfRule>
  </conditionalFormatting>
  <conditionalFormatting sqref="I702:J705 I706:I714">
    <cfRule type="cellIs" dxfId="0" priority="283" stopIfTrue="1" operator="lessThan">
      <formula>0</formula>
    </cfRule>
  </conditionalFormatting>
  <conditionalFormatting sqref="I702:J705 I706:I714">
    <cfRule type="cellIs" dxfId="1" priority="284" stopIfTrue="1" operator="greaterThan">
      <formula>0</formula>
    </cfRule>
  </conditionalFormatting>
  <conditionalFormatting sqref="I701:J701">
    <cfRule type="cellIs" dxfId="0" priority="285" stopIfTrue="1" operator="lessThan">
      <formula>0</formula>
    </cfRule>
  </conditionalFormatting>
  <conditionalFormatting sqref="I701:J701">
    <cfRule type="cellIs" dxfId="1" priority="286" stopIfTrue="1" operator="greaterThan">
      <formula>0</formula>
    </cfRule>
  </conditionalFormatting>
  <conditionalFormatting sqref="J690:J700">
    <cfRule type="cellIs" dxfId="0" priority="287" stopIfTrue="1" operator="lessThan">
      <formula>0</formula>
    </cfRule>
  </conditionalFormatting>
  <conditionalFormatting sqref="J690:J700">
    <cfRule type="cellIs" dxfId="1" priority="288" stopIfTrue="1" operator="greaterThan">
      <formula>0</formula>
    </cfRule>
  </conditionalFormatting>
  <conditionalFormatting sqref="I716:J719 I731:I732 I720:I725">
    <cfRule type="cellIs" dxfId="0" priority="289" stopIfTrue="1" operator="lessThan">
      <formula>0</formula>
    </cfRule>
  </conditionalFormatting>
  <conditionalFormatting sqref="I716:J719 I731:I732 I720:I725">
    <cfRule type="cellIs" dxfId="1" priority="290" stopIfTrue="1" operator="greaterThan">
      <formula>0</formula>
    </cfRule>
  </conditionalFormatting>
  <conditionalFormatting sqref="I715:J715">
    <cfRule type="cellIs" dxfId="0" priority="291" stopIfTrue="1" operator="lessThan">
      <formula>0</formula>
    </cfRule>
  </conditionalFormatting>
  <conditionalFormatting sqref="I715:J715">
    <cfRule type="cellIs" dxfId="1" priority="292" stopIfTrue="1" operator="greaterThan">
      <formula>0</formula>
    </cfRule>
  </conditionalFormatting>
  <conditionalFormatting sqref="J706:J714">
    <cfRule type="cellIs" dxfId="0" priority="293" stopIfTrue="1" operator="lessThan">
      <formula>0</formula>
    </cfRule>
  </conditionalFormatting>
  <conditionalFormatting sqref="J706:J714">
    <cfRule type="cellIs" dxfId="1" priority="294" stopIfTrue="1" operator="greaterThan">
      <formula>0</formula>
    </cfRule>
  </conditionalFormatting>
  <conditionalFormatting sqref="I727:J730">
    <cfRule type="cellIs" dxfId="0" priority="295" stopIfTrue="1" operator="lessThan">
      <formula>0</formula>
    </cfRule>
  </conditionalFormatting>
  <conditionalFormatting sqref="I727:J730">
    <cfRule type="cellIs" dxfId="1" priority="296" stopIfTrue="1" operator="greaterThan">
      <formula>0</formula>
    </cfRule>
  </conditionalFormatting>
  <conditionalFormatting sqref="I726:J726">
    <cfRule type="cellIs" dxfId="0" priority="297" stopIfTrue="1" operator="lessThan">
      <formula>0</formula>
    </cfRule>
  </conditionalFormatting>
  <conditionalFormatting sqref="I726:J726">
    <cfRule type="cellIs" dxfId="1" priority="298" stopIfTrue="1" operator="greaterThan">
      <formula>0</formula>
    </cfRule>
  </conditionalFormatting>
  <conditionalFormatting sqref="J720:J725">
    <cfRule type="cellIs" dxfId="0" priority="299" stopIfTrue="1" operator="lessThan">
      <formula>0</formula>
    </cfRule>
  </conditionalFormatting>
  <conditionalFormatting sqref="J720:J725">
    <cfRule type="cellIs" dxfId="1" priority="300" stopIfTrue="1" operator="greaterThan">
      <formula>0</formula>
    </cfRule>
  </conditionalFormatting>
  <conditionalFormatting sqref="I734:J737 I738 I744 I759 I750:I753">
    <cfRule type="cellIs" dxfId="0" priority="301" stopIfTrue="1" operator="lessThan">
      <formula>0</formula>
    </cfRule>
  </conditionalFormatting>
  <conditionalFormatting sqref="I734:J737 I738 I744 I759 I750:I753">
    <cfRule type="cellIs" dxfId="1" priority="302" stopIfTrue="1" operator="greaterThan">
      <formula>0</formula>
    </cfRule>
  </conditionalFormatting>
  <conditionalFormatting sqref="I733:J733">
    <cfRule type="cellIs" dxfId="0" priority="303" stopIfTrue="1" operator="lessThan">
      <formula>0</formula>
    </cfRule>
  </conditionalFormatting>
  <conditionalFormatting sqref="I733:J733">
    <cfRule type="cellIs" dxfId="1" priority="304" stopIfTrue="1" operator="greaterThan">
      <formula>0</formula>
    </cfRule>
  </conditionalFormatting>
  <conditionalFormatting sqref="J731:J732">
    <cfRule type="cellIs" dxfId="0" priority="305" stopIfTrue="1" operator="lessThan">
      <formula>0</formula>
    </cfRule>
  </conditionalFormatting>
  <conditionalFormatting sqref="J731:J732">
    <cfRule type="cellIs" dxfId="1" priority="306" stopIfTrue="1" operator="greaterThan">
      <formula>0</formula>
    </cfRule>
  </conditionalFormatting>
  <conditionalFormatting sqref="I740:J743">
    <cfRule type="cellIs" dxfId="0" priority="307" stopIfTrue="1" operator="lessThan">
      <formula>0</formula>
    </cfRule>
  </conditionalFormatting>
  <conditionalFormatting sqref="I740:J743">
    <cfRule type="cellIs" dxfId="1" priority="308" stopIfTrue="1" operator="greaterThan">
      <formula>0</formula>
    </cfRule>
  </conditionalFormatting>
  <conditionalFormatting sqref="I739:J739">
    <cfRule type="cellIs" dxfId="0" priority="309" stopIfTrue="1" operator="lessThan">
      <formula>0</formula>
    </cfRule>
  </conditionalFormatting>
  <conditionalFormatting sqref="I739:J739">
    <cfRule type="cellIs" dxfId="1" priority="310" stopIfTrue="1" operator="greaterThan">
      <formula>0</formula>
    </cfRule>
  </conditionalFormatting>
  <conditionalFormatting sqref="J738">
    <cfRule type="cellIs" dxfId="0" priority="311" stopIfTrue="1" operator="lessThan">
      <formula>0</formula>
    </cfRule>
  </conditionalFormatting>
  <conditionalFormatting sqref="J738">
    <cfRule type="cellIs" dxfId="1" priority="312" stopIfTrue="1" operator="greaterThan">
      <formula>0</formula>
    </cfRule>
  </conditionalFormatting>
  <conditionalFormatting sqref="I746:J749">
    <cfRule type="cellIs" dxfId="0" priority="313" stopIfTrue="1" operator="lessThan">
      <formula>0</formula>
    </cfRule>
  </conditionalFormatting>
  <conditionalFormatting sqref="I746:J749">
    <cfRule type="cellIs" dxfId="1" priority="314" stopIfTrue="1" operator="greaterThan">
      <formula>0</formula>
    </cfRule>
  </conditionalFormatting>
  <conditionalFormatting sqref="I745:J745">
    <cfRule type="cellIs" dxfId="0" priority="315" stopIfTrue="1" operator="lessThan">
      <formula>0</formula>
    </cfRule>
  </conditionalFormatting>
  <conditionalFormatting sqref="I745:J745">
    <cfRule type="cellIs" dxfId="1" priority="316" stopIfTrue="1" operator="greaterThan">
      <formula>0</formula>
    </cfRule>
  </conditionalFormatting>
  <conditionalFormatting sqref="J744">
    <cfRule type="cellIs" dxfId="0" priority="317" stopIfTrue="1" operator="lessThan">
      <formula>0</formula>
    </cfRule>
  </conditionalFormatting>
  <conditionalFormatting sqref="J744">
    <cfRule type="cellIs" dxfId="1" priority="318" stopIfTrue="1" operator="greaterThan">
      <formula>0</formula>
    </cfRule>
  </conditionalFormatting>
  <conditionalFormatting sqref="I755:J758">
    <cfRule type="cellIs" dxfId="0" priority="319" stopIfTrue="1" operator="lessThan">
      <formula>0</formula>
    </cfRule>
  </conditionalFormatting>
  <conditionalFormatting sqref="I755:J758">
    <cfRule type="cellIs" dxfId="1" priority="320" stopIfTrue="1" operator="greaterThan">
      <formula>0</formula>
    </cfRule>
  </conditionalFormatting>
  <conditionalFormatting sqref="I754:J754">
    <cfRule type="cellIs" dxfId="0" priority="321" stopIfTrue="1" operator="lessThan">
      <formula>0</formula>
    </cfRule>
  </conditionalFormatting>
  <conditionalFormatting sqref="I754:J754">
    <cfRule type="cellIs" dxfId="1" priority="322" stopIfTrue="1" operator="greaterThan">
      <formula>0</formula>
    </cfRule>
  </conditionalFormatting>
  <conditionalFormatting sqref="J750:J753">
    <cfRule type="cellIs" dxfId="0" priority="323" stopIfTrue="1" operator="lessThan">
      <formula>0</formula>
    </cfRule>
  </conditionalFormatting>
  <conditionalFormatting sqref="J750:J753">
    <cfRule type="cellIs" dxfId="1" priority="324" stopIfTrue="1" operator="greaterThan">
      <formula>0</formula>
    </cfRule>
  </conditionalFormatting>
  <conditionalFormatting sqref="I761:J765">
    <cfRule type="cellIs" dxfId="0" priority="325" stopIfTrue="1" operator="lessThan">
      <formula>0</formula>
    </cfRule>
  </conditionalFormatting>
  <conditionalFormatting sqref="I761:J765">
    <cfRule type="cellIs" dxfId="1" priority="326" stopIfTrue="1" operator="greaterThan">
      <formula>0</formula>
    </cfRule>
  </conditionalFormatting>
  <conditionalFormatting sqref="I760:J760">
    <cfRule type="cellIs" dxfId="0" priority="327" stopIfTrue="1" operator="lessThan">
      <formula>0</formula>
    </cfRule>
  </conditionalFormatting>
  <conditionalFormatting sqref="I760:J760">
    <cfRule type="cellIs" dxfId="1" priority="328" stopIfTrue="1" operator="greaterThan">
      <formula>0</formula>
    </cfRule>
  </conditionalFormatting>
  <conditionalFormatting sqref="J759">
    <cfRule type="cellIs" dxfId="0" priority="329" stopIfTrue="1" operator="lessThan">
      <formula>0</formula>
    </cfRule>
  </conditionalFormatting>
  <conditionalFormatting sqref="J759">
    <cfRule type="cellIs" dxfId="1" priority="330" stopIfTrue="1" operator="greaterThan">
      <formula>0</formula>
    </cfRule>
  </conditionalFormatting>
  <conditionalFormatting sqref="I789:I790">
    <cfRule type="cellIs" dxfId="0" priority="331" stopIfTrue="1" operator="lessThan">
      <formula>0</formula>
    </cfRule>
  </conditionalFormatting>
  <conditionalFormatting sqref="I789:I790">
    <cfRule type="cellIs" dxfId="1" priority="332" stopIfTrue="1" operator="greaterThan">
      <formula>0</formula>
    </cfRule>
  </conditionalFormatting>
  <conditionalFormatting sqref="I771:J771">
    <cfRule type="cellIs" dxfId="0" priority="333" stopIfTrue="1" operator="lessThan">
      <formula>0</formula>
    </cfRule>
  </conditionalFormatting>
  <conditionalFormatting sqref="I771:J771">
    <cfRule type="cellIs" dxfId="1" priority="334" stopIfTrue="1" operator="greaterThan">
      <formula>0</formula>
    </cfRule>
  </conditionalFormatting>
  <conditionalFormatting sqref="I785:J788">
    <cfRule type="cellIs" dxfId="0" priority="335" stopIfTrue="1" operator="lessThan">
      <formula>0</formula>
    </cfRule>
  </conditionalFormatting>
  <conditionalFormatting sqref="I785:J788">
    <cfRule type="cellIs" dxfId="1" priority="336" stopIfTrue="1" operator="greaterThan">
      <formula>0</formula>
    </cfRule>
  </conditionalFormatting>
  <conditionalFormatting sqref="I784:J784">
    <cfRule type="cellIs" dxfId="0" priority="337" stopIfTrue="1" operator="lessThan">
      <formula>0</formula>
    </cfRule>
  </conditionalFormatting>
  <conditionalFormatting sqref="I784:J784">
    <cfRule type="cellIs" dxfId="1" priority="338" stopIfTrue="1" operator="greaterThan">
      <formula>0</formula>
    </cfRule>
  </conditionalFormatting>
  <conditionalFormatting sqref="I792:J797">
    <cfRule type="cellIs" dxfId="0" priority="339" stopIfTrue="1" operator="lessThan">
      <formula>0</formula>
    </cfRule>
  </conditionalFormatting>
  <conditionalFormatting sqref="I792:J797">
    <cfRule type="cellIs" dxfId="1" priority="340" stopIfTrue="1" operator="greaterThan">
      <formula>0</formula>
    </cfRule>
  </conditionalFormatting>
  <conditionalFormatting sqref="I791:J791">
    <cfRule type="cellIs" dxfId="0" priority="341" stopIfTrue="1" operator="lessThan">
      <formula>0</formula>
    </cfRule>
  </conditionalFormatting>
  <conditionalFormatting sqref="I791:J791">
    <cfRule type="cellIs" dxfId="1" priority="342" stopIfTrue="1" operator="greaterThan">
      <formula>0</formula>
    </cfRule>
  </conditionalFormatting>
  <conditionalFormatting sqref="J789:J790">
    <cfRule type="cellIs" dxfId="0" priority="343" stopIfTrue="1" operator="lessThan">
      <formula>0</formula>
    </cfRule>
  </conditionalFormatting>
  <conditionalFormatting sqref="J789:J790">
    <cfRule type="cellIs" dxfId="1" priority="344" stopIfTrue="1" operator="greaterThan">
      <formula>0</formula>
    </cfRule>
  </conditionalFormatting>
  <conditionalFormatting sqref="I799:J814 I825:J828">
    <cfRule type="cellIs" dxfId="0" priority="345" stopIfTrue="1" operator="lessThan">
      <formula>0</formula>
    </cfRule>
  </conditionalFormatting>
  <conditionalFormatting sqref="I799:J814 I825:J828">
    <cfRule type="cellIs" dxfId="1" priority="346" stopIfTrue="1" operator="greaterThan">
      <formula>0</formula>
    </cfRule>
  </conditionalFormatting>
  <conditionalFormatting sqref="I798:J798">
    <cfRule type="cellIs" dxfId="0" priority="347" stopIfTrue="1" operator="lessThan">
      <formula>0</formula>
    </cfRule>
  </conditionalFormatting>
  <conditionalFormatting sqref="I798:J798">
    <cfRule type="cellIs" dxfId="1" priority="348" stopIfTrue="1" operator="greaterThan">
      <formula>0</formula>
    </cfRule>
  </conditionalFormatting>
  <conditionalFormatting sqref="I816:J819">
    <cfRule type="cellIs" dxfId="0" priority="349" stopIfTrue="1" operator="lessThan">
      <formula>0</formula>
    </cfRule>
  </conditionalFormatting>
  <conditionalFormatting sqref="I816:J819">
    <cfRule type="cellIs" dxfId="1" priority="350" stopIfTrue="1" operator="greaterThan">
      <formula>0</formula>
    </cfRule>
  </conditionalFormatting>
  <conditionalFormatting sqref="I815:J815">
    <cfRule type="cellIs" dxfId="0" priority="351" stopIfTrue="1" operator="lessThan">
      <formula>0</formula>
    </cfRule>
  </conditionalFormatting>
  <conditionalFormatting sqref="I815:J815">
    <cfRule type="cellIs" dxfId="1" priority="352" stopIfTrue="1" operator="greaterThan">
      <formula>0</formula>
    </cfRule>
  </conditionalFormatting>
  <conditionalFormatting sqref="I821:J824">
    <cfRule type="cellIs" dxfId="0" priority="353" stopIfTrue="1" operator="lessThan">
      <formula>0</formula>
    </cfRule>
  </conditionalFormatting>
  <conditionalFormatting sqref="I821:J824">
    <cfRule type="cellIs" dxfId="1" priority="354" stopIfTrue="1" operator="greaterThan">
      <formula>0</formula>
    </cfRule>
  </conditionalFormatting>
  <conditionalFormatting sqref="I820:J820">
    <cfRule type="cellIs" dxfId="0" priority="355" stopIfTrue="1" operator="lessThan">
      <formula>0</formula>
    </cfRule>
  </conditionalFormatting>
  <conditionalFormatting sqref="I820:J820">
    <cfRule type="cellIs" dxfId="1" priority="356" stopIfTrue="1" operator="greaterThan">
      <formula>0</formula>
    </cfRule>
  </conditionalFormatting>
  <conditionalFormatting sqref="I830:J839 I845:J850">
    <cfRule type="cellIs" dxfId="0" priority="357" stopIfTrue="1" operator="lessThan">
      <formula>0</formula>
    </cfRule>
  </conditionalFormatting>
  <conditionalFormatting sqref="I830:J839 I845:J850">
    <cfRule type="cellIs" dxfId="1" priority="358" stopIfTrue="1" operator="greaterThan">
      <formula>0</formula>
    </cfRule>
  </conditionalFormatting>
  <conditionalFormatting sqref="I829:J829">
    <cfRule type="cellIs" dxfId="0" priority="359" stopIfTrue="1" operator="lessThan">
      <formula>0</formula>
    </cfRule>
  </conditionalFormatting>
  <conditionalFormatting sqref="I829:J829">
    <cfRule type="cellIs" dxfId="1" priority="360" stopIfTrue="1" operator="greaterThan">
      <formula>0</formula>
    </cfRule>
  </conditionalFormatting>
  <conditionalFormatting sqref="I841:J844">
    <cfRule type="cellIs" dxfId="0" priority="361" stopIfTrue="1" operator="lessThan">
      <formula>0</formula>
    </cfRule>
  </conditionalFormatting>
  <conditionalFormatting sqref="I841:J844">
    <cfRule type="cellIs" dxfId="1" priority="362" stopIfTrue="1" operator="greaterThan">
      <formula>0</formula>
    </cfRule>
  </conditionalFormatting>
  <conditionalFormatting sqref="I840:J840">
    <cfRule type="cellIs" dxfId="0" priority="363" stopIfTrue="1" operator="lessThan">
      <formula>0</formula>
    </cfRule>
  </conditionalFormatting>
  <conditionalFormatting sqref="I840:J840">
    <cfRule type="cellIs" dxfId="1" priority="364" stopIfTrue="1" operator="greaterThan">
      <formula>0</formula>
    </cfRule>
  </conditionalFormatting>
  <conditionalFormatting sqref="I852:J855">
    <cfRule type="cellIs" dxfId="0" priority="365" stopIfTrue="1" operator="lessThan">
      <formula>0</formula>
    </cfRule>
  </conditionalFormatting>
  <conditionalFormatting sqref="I852:J855">
    <cfRule type="cellIs" dxfId="1" priority="366" stopIfTrue="1" operator="greaterThan">
      <formula>0</formula>
    </cfRule>
  </conditionalFormatting>
  <conditionalFormatting sqref="I851:J851">
    <cfRule type="cellIs" dxfId="0" priority="367" stopIfTrue="1" operator="lessThan">
      <formula>0</formula>
    </cfRule>
  </conditionalFormatting>
  <conditionalFormatting sqref="I851:J851">
    <cfRule type="cellIs" dxfId="1" priority="368" stopIfTrue="1" operator="greaterThan">
      <formula>0</formula>
    </cfRule>
  </conditionalFormatting>
  <conditionalFormatting sqref="I896:J903 I928:J932">
    <cfRule type="cellIs" dxfId="0" priority="369" stopIfTrue="1" operator="lessThan">
      <formula>0</formula>
    </cfRule>
  </conditionalFormatting>
  <conditionalFormatting sqref="I896:J903 I928:J932">
    <cfRule type="cellIs" dxfId="1" priority="370" stopIfTrue="1" operator="greaterThan">
      <formula>0</formula>
    </cfRule>
  </conditionalFormatting>
  <conditionalFormatting sqref="I867:J867">
    <cfRule type="cellIs" dxfId="0" priority="371" stopIfTrue="1" operator="lessThan">
      <formula>0</formula>
    </cfRule>
  </conditionalFormatting>
  <conditionalFormatting sqref="I867:J867">
    <cfRule type="cellIs" dxfId="1" priority="372" stopIfTrue="1" operator="greaterThan">
      <formula>0</formula>
    </cfRule>
  </conditionalFormatting>
  <conditionalFormatting sqref="I882:J885">
    <cfRule type="cellIs" dxfId="0" priority="373" stopIfTrue="1" operator="lessThan">
      <formula>0</formula>
    </cfRule>
  </conditionalFormatting>
  <conditionalFormatting sqref="I882:J885">
    <cfRule type="cellIs" dxfId="1" priority="374" stopIfTrue="1" operator="greaterThan">
      <formula>0</formula>
    </cfRule>
  </conditionalFormatting>
  <conditionalFormatting sqref="I881:J881">
    <cfRule type="cellIs" dxfId="0" priority="375" stopIfTrue="1" operator="lessThan">
      <formula>0</formula>
    </cfRule>
  </conditionalFormatting>
  <conditionalFormatting sqref="I881:J881">
    <cfRule type="cellIs" dxfId="1" priority="376" stopIfTrue="1" operator="greaterThan">
      <formula>0</formula>
    </cfRule>
  </conditionalFormatting>
  <conditionalFormatting sqref="I877:J880">
    <cfRule type="cellIs" dxfId="0" priority="377" stopIfTrue="1" operator="lessThan">
      <formula>0</formula>
    </cfRule>
  </conditionalFormatting>
  <conditionalFormatting sqref="I877:J880">
    <cfRule type="cellIs" dxfId="1" priority="378" stopIfTrue="1" operator="greaterThan">
      <formula>0</formula>
    </cfRule>
  </conditionalFormatting>
  <conditionalFormatting sqref="I876:J876">
    <cfRule type="cellIs" dxfId="0" priority="379" stopIfTrue="1" operator="lessThan">
      <formula>0</formula>
    </cfRule>
  </conditionalFormatting>
  <conditionalFormatting sqref="I876:J876">
    <cfRule type="cellIs" dxfId="1" priority="380" stopIfTrue="1" operator="greaterThan">
      <formula>0</formula>
    </cfRule>
  </conditionalFormatting>
  <conditionalFormatting sqref="I892:J895">
    <cfRule type="cellIs" dxfId="0" priority="381" stopIfTrue="1" operator="lessThan">
      <formula>0</formula>
    </cfRule>
  </conditionalFormatting>
  <conditionalFormatting sqref="I892:J895">
    <cfRule type="cellIs" dxfId="1" priority="382" stopIfTrue="1" operator="greaterThan">
      <formula>0</formula>
    </cfRule>
  </conditionalFormatting>
  <conditionalFormatting sqref="I891:J891">
    <cfRule type="cellIs" dxfId="0" priority="383" stopIfTrue="1" operator="lessThan">
      <formula>0</formula>
    </cfRule>
  </conditionalFormatting>
  <conditionalFormatting sqref="I891:J891">
    <cfRule type="cellIs" dxfId="1" priority="384" stopIfTrue="1" operator="greaterThan">
      <formula>0</formula>
    </cfRule>
  </conditionalFormatting>
  <conditionalFormatting sqref="I904:J904">
    <cfRule type="cellIs" dxfId="0" priority="385" stopIfTrue="1" operator="lessThan">
      <formula>0</formula>
    </cfRule>
  </conditionalFormatting>
  <conditionalFormatting sqref="I904:J904">
    <cfRule type="cellIs" dxfId="1" priority="386" stopIfTrue="1" operator="greaterThan">
      <formula>0</formula>
    </cfRule>
  </conditionalFormatting>
  <conditionalFormatting sqref="I927:J927">
    <cfRule type="cellIs" dxfId="0" priority="387" stopIfTrue="1" operator="lessThan">
      <formula>0</formula>
    </cfRule>
  </conditionalFormatting>
  <conditionalFormatting sqref="I927:J927">
    <cfRule type="cellIs" dxfId="1" priority="388" stopIfTrue="1" operator="greaterThan">
      <formula>0</formula>
    </cfRule>
  </conditionalFormatting>
  <conditionalFormatting sqref="I914:J914">
    <cfRule type="cellIs" dxfId="0" priority="389" stopIfTrue="1" operator="lessThan">
      <formula>0</formula>
    </cfRule>
  </conditionalFormatting>
  <conditionalFormatting sqref="I914:J914">
    <cfRule type="cellIs" dxfId="1" priority="390" stopIfTrue="1" operator="greaterThan">
      <formula>0</formula>
    </cfRule>
  </conditionalFormatting>
  <conditionalFormatting sqref="I923:J926">
    <cfRule type="cellIs" dxfId="0" priority="391" stopIfTrue="1" operator="lessThan">
      <formula>0</formula>
    </cfRule>
  </conditionalFormatting>
  <conditionalFormatting sqref="I923:J926">
    <cfRule type="cellIs" dxfId="1" priority="392" stopIfTrue="1" operator="greaterThan">
      <formula>0</formula>
    </cfRule>
  </conditionalFormatting>
  <conditionalFormatting sqref="I922:J922">
    <cfRule type="cellIs" dxfId="0" priority="393" stopIfTrue="1" operator="lessThan">
      <formula>0</formula>
    </cfRule>
  </conditionalFormatting>
  <conditionalFormatting sqref="I922:J922">
    <cfRule type="cellIs" dxfId="1" priority="394" stopIfTrue="1" operator="greaterThan">
      <formula>0</formula>
    </cfRule>
  </conditionalFormatting>
  <conditionalFormatting sqref="I934:J937">
    <cfRule type="cellIs" dxfId="0" priority="395" stopIfTrue="1" operator="lessThan">
      <formula>0</formula>
    </cfRule>
  </conditionalFormatting>
  <conditionalFormatting sqref="I934:J937">
    <cfRule type="cellIs" dxfId="1" priority="396" stopIfTrue="1" operator="greaterThan">
      <formula>0</formula>
    </cfRule>
  </conditionalFormatting>
  <conditionalFormatting sqref="I933:J933">
    <cfRule type="cellIs" dxfId="0" priority="397" stopIfTrue="1" operator="lessThan">
      <formula>0</formula>
    </cfRule>
  </conditionalFormatting>
  <conditionalFormatting sqref="I933:J933">
    <cfRule type="cellIs" dxfId="1" priority="398" stopIfTrue="1" operator="greaterThan">
      <formula>0</formula>
    </cfRule>
  </conditionalFormatting>
  <conditionalFormatting sqref="I939:J942">
    <cfRule type="cellIs" dxfId="0" priority="399" stopIfTrue="1" operator="lessThan">
      <formula>0</formula>
    </cfRule>
  </conditionalFormatting>
  <conditionalFormatting sqref="I939:J942">
    <cfRule type="cellIs" dxfId="1" priority="400" stopIfTrue="1" operator="greaterThan">
      <formula>0</formula>
    </cfRule>
  </conditionalFormatting>
  <conditionalFormatting sqref="I938:J938">
    <cfRule type="cellIs" dxfId="0" priority="401" stopIfTrue="1" operator="lessThan">
      <formula>0</formula>
    </cfRule>
  </conditionalFormatting>
  <conditionalFormatting sqref="I938:J938">
    <cfRule type="cellIs" dxfId="1" priority="402" stopIfTrue="1" operator="greaterThan">
      <formula>0</formula>
    </cfRule>
  </conditionalFormatting>
  <conditionalFormatting sqref="I945:J957 I986:I994 I1000:J1001 I1012:J1012">
    <cfRule type="cellIs" dxfId="0" priority="403" stopIfTrue="1" operator="lessThan">
      <formula>0</formula>
    </cfRule>
  </conditionalFormatting>
  <conditionalFormatting sqref="I945:J957 I986:I994 I1000:J1001 I1012:J1012">
    <cfRule type="cellIs" dxfId="1" priority="404" stopIfTrue="1" operator="greaterThan">
      <formula>0</formula>
    </cfRule>
  </conditionalFormatting>
  <conditionalFormatting sqref="I944:J944">
    <cfRule type="cellIs" dxfId="0" priority="405" stopIfTrue="1" operator="lessThan">
      <formula>0</formula>
    </cfRule>
  </conditionalFormatting>
  <conditionalFormatting sqref="I944:J944">
    <cfRule type="cellIs" dxfId="1" priority="406" stopIfTrue="1" operator="greaterThan">
      <formula>0</formula>
    </cfRule>
  </conditionalFormatting>
  <conditionalFormatting sqref="I959:J966">
    <cfRule type="cellIs" dxfId="0" priority="407" stopIfTrue="1" operator="lessThan">
      <formula>0</formula>
    </cfRule>
  </conditionalFormatting>
  <conditionalFormatting sqref="I959:J966">
    <cfRule type="cellIs" dxfId="1" priority="408" stopIfTrue="1" operator="greaterThan">
      <formula>0</formula>
    </cfRule>
  </conditionalFormatting>
  <conditionalFormatting sqref="I958:J958">
    <cfRule type="cellIs" dxfId="0" priority="409" stopIfTrue="1" operator="lessThan">
      <formula>0</formula>
    </cfRule>
  </conditionalFormatting>
  <conditionalFormatting sqref="I958:J958">
    <cfRule type="cellIs" dxfId="1" priority="410" stopIfTrue="1" operator="greaterThan">
      <formula>0</formula>
    </cfRule>
  </conditionalFormatting>
  <conditionalFormatting sqref="I968:J975">
    <cfRule type="cellIs" dxfId="0" priority="411" stopIfTrue="1" operator="lessThan">
      <formula>0</formula>
    </cfRule>
  </conditionalFormatting>
  <conditionalFormatting sqref="I968:J975">
    <cfRule type="cellIs" dxfId="1" priority="412" stopIfTrue="1" operator="greaterThan">
      <formula>0</formula>
    </cfRule>
  </conditionalFormatting>
  <conditionalFormatting sqref="I967:J967">
    <cfRule type="cellIs" dxfId="0" priority="413" stopIfTrue="1" operator="lessThan">
      <formula>0</formula>
    </cfRule>
  </conditionalFormatting>
  <conditionalFormatting sqref="I967:J967">
    <cfRule type="cellIs" dxfId="1" priority="414" stopIfTrue="1" operator="greaterThan">
      <formula>0</formula>
    </cfRule>
  </conditionalFormatting>
  <conditionalFormatting sqref="I977:J980">
    <cfRule type="cellIs" dxfId="0" priority="415" stopIfTrue="1" operator="lessThan">
      <formula>0</formula>
    </cfRule>
  </conditionalFormatting>
  <conditionalFormatting sqref="I977:J980">
    <cfRule type="cellIs" dxfId="1" priority="416" stopIfTrue="1" operator="greaterThan">
      <formula>0</formula>
    </cfRule>
  </conditionalFormatting>
  <conditionalFormatting sqref="I976:J976">
    <cfRule type="cellIs" dxfId="0" priority="417" stopIfTrue="1" operator="lessThan">
      <formula>0</formula>
    </cfRule>
  </conditionalFormatting>
  <conditionalFormatting sqref="I976:J976">
    <cfRule type="cellIs" dxfId="1" priority="418" stopIfTrue="1" operator="greaterThan">
      <formula>0</formula>
    </cfRule>
  </conditionalFormatting>
  <conditionalFormatting sqref="I981:J981">
    <cfRule type="cellIs" dxfId="0" priority="419" stopIfTrue="1" operator="lessThan">
      <formula>0</formula>
    </cfRule>
  </conditionalFormatting>
  <conditionalFormatting sqref="I981:J981">
    <cfRule type="cellIs" dxfId="1" priority="420" stopIfTrue="1" operator="greaterThan">
      <formula>0</formula>
    </cfRule>
  </conditionalFormatting>
  <conditionalFormatting sqref="I982:J985">
    <cfRule type="cellIs" dxfId="0" priority="421" stopIfTrue="1" operator="lessThan">
      <formula>0</formula>
    </cfRule>
  </conditionalFormatting>
  <conditionalFormatting sqref="I982:J985">
    <cfRule type="cellIs" dxfId="1" priority="422" stopIfTrue="1" operator="greaterThan">
      <formula>0</formula>
    </cfRule>
  </conditionalFormatting>
  <conditionalFormatting sqref="I995:J995">
    <cfRule type="cellIs" dxfId="0" priority="423" stopIfTrue="1" operator="lessThan">
      <formula>0</formula>
    </cfRule>
  </conditionalFormatting>
  <conditionalFormatting sqref="I995:J995">
    <cfRule type="cellIs" dxfId="1" priority="424" stopIfTrue="1" operator="greaterThan">
      <formula>0</formula>
    </cfRule>
  </conditionalFormatting>
  <conditionalFormatting sqref="I996:J999">
    <cfRule type="cellIs" dxfId="0" priority="425" stopIfTrue="1" operator="lessThan">
      <formula>0</formula>
    </cfRule>
  </conditionalFormatting>
  <conditionalFormatting sqref="I996:J999">
    <cfRule type="cellIs" dxfId="1" priority="426" stopIfTrue="1" operator="greaterThan">
      <formula>0</formula>
    </cfRule>
  </conditionalFormatting>
  <conditionalFormatting sqref="J986:J994">
    <cfRule type="cellIs" dxfId="0" priority="427" stopIfTrue="1" operator="lessThan">
      <formula>0</formula>
    </cfRule>
  </conditionalFormatting>
  <conditionalFormatting sqref="J986:J994">
    <cfRule type="cellIs" dxfId="1" priority="428" stopIfTrue="1" operator="greaterThan">
      <formula>0</formula>
    </cfRule>
  </conditionalFormatting>
  <conditionalFormatting sqref="I1002:J1002">
    <cfRule type="cellIs" dxfId="0" priority="429" stopIfTrue="1" operator="lessThan">
      <formula>0</formula>
    </cfRule>
  </conditionalFormatting>
  <conditionalFormatting sqref="I1002:J1002">
    <cfRule type="cellIs" dxfId="1" priority="430" stopIfTrue="1" operator="greaterThan">
      <formula>0</formula>
    </cfRule>
  </conditionalFormatting>
  <conditionalFormatting sqref="I1003:J1006">
    <cfRule type="cellIs" dxfId="0" priority="431" stopIfTrue="1" operator="lessThan">
      <formula>0</formula>
    </cfRule>
  </conditionalFormatting>
  <conditionalFormatting sqref="I1003:J1006">
    <cfRule type="cellIs" dxfId="1" priority="432" stopIfTrue="1" operator="greaterThan">
      <formula>0</formula>
    </cfRule>
  </conditionalFormatting>
  <conditionalFormatting sqref="I1007:J1007">
    <cfRule type="cellIs" dxfId="0" priority="433" stopIfTrue="1" operator="lessThan">
      <formula>0</formula>
    </cfRule>
  </conditionalFormatting>
  <conditionalFormatting sqref="I1007:J1007">
    <cfRule type="cellIs" dxfId="1" priority="434" stopIfTrue="1" operator="greaterThan">
      <formula>0</formula>
    </cfRule>
  </conditionalFormatting>
  <conditionalFormatting sqref="I1008:J1011">
    <cfRule type="cellIs" dxfId="0" priority="435" stopIfTrue="1" operator="lessThan">
      <formula>0</formula>
    </cfRule>
  </conditionalFormatting>
  <conditionalFormatting sqref="I1008:J1011">
    <cfRule type="cellIs" dxfId="1" priority="436" stopIfTrue="1" operator="greaterThan">
      <formula>0</formula>
    </cfRule>
  </conditionalFormatting>
  <conditionalFormatting sqref="I1013:J1013">
    <cfRule type="cellIs" dxfId="0" priority="437" stopIfTrue="1" operator="lessThan">
      <formula>0</formula>
    </cfRule>
  </conditionalFormatting>
  <conditionalFormatting sqref="I1013:J1013">
    <cfRule type="cellIs" dxfId="1" priority="438" stopIfTrue="1" operator="greaterThan">
      <formula>0</formula>
    </cfRule>
  </conditionalFormatting>
  <conditionalFormatting sqref="I1014:J1022">
    <cfRule type="cellIs" dxfId="0" priority="439" stopIfTrue="1" operator="lessThan">
      <formula>0</formula>
    </cfRule>
  </conditionalFormatting>
  <conditionalFormatting sqref="I1014:J1022">
    <cfRule type="cellIs" dxfId="1" priority="440" stopIfTrue="1" operator="greaterThan">
      <formula>0</formula>
    </cfRule>
  </conditionalFormatting>
  <conditionalFormatting sqref="I1023:J1023">
    <cfRule type="cellIs" dxfId="0" priority="441" stopIfTrue="1" operator="lessThan">
      <formula>0</formula>
    </cfRule>
  </conditionalFormatting>
  <conditionalFormatting sqref="I1023:J1023">
    <cfRule type="cellIs" dxfId="1" priority="442" stopIfTrue="1" operator="greaterThan">
      <formula>0</formula>
    </cfRule>
  </conditionalFormatting>
  <conditionalFormatting sqref="I1024:J1027">
    <cfRule type="cellIs" dxfId="0" priority="443" stopIfTrue="1" operator="lessThan">
      <formula>0</formula>
    </cfRule>
  </conditionalFormatting>
  <conditionalFormatting sqref="I1024:J1027">
    <cfRule type="cellIs" dxfId="1" priority="444" stopIfTrue="1" operator="greaterThan">
      <formula>0</formula>
    </cfRule>
  </conditionalFormatting>
  <conditionalFormatting sqref="I1028:J1028">
    <cfRule type="cellIs" dxfId="0" priority="445" stopIfTrue="1" operator="lessThan">
      <formula>0</formula>
    </cfRule>
  </conditionalFormatting>
  <conditionalFormatting sqref="I1028:J1028">
    <cfRule type="cellIs" dxfId="1" priority="446" stopIfTrue="1" operator="greaterThan">
      <formula>0</formula>
    </cfRule>
  </conditionalFormatting>
  <conditionalFormatting sqref="I1029:J1039 I1045:J1048 I1054:J1057">
    <cfRule type="cellIs" dxfId="0" priority="447" stopIfTrue="1" operator="lessThan">
      <formula>0</formula>
    </cfRule>
  </conditionalFormatting>
  <conditionalFormatting sqref="I1029:J1039 I1045:J1048 I1054:J1057">
    <cfRule type="cellIs" dxfId="1" priority="448" stopIfTrue="1" operator="greaterThan">
      <formula>0</formula>
    </cfRule>
  </conditionalFormatting>
  <conditionalFormatting sqref="I1040:J1040">
    <cfRule type="cellIs" dxfId="0" priority="449" stopIfTrue="1" operator="lessThan">
      <formula>0</formula>
    </cfRule>
  </conditionalFormatting>
  <conditionalFormatting sqref="I1040:J1040">
    <cfRule type="cellIs" dxfId="1" priority="450" stopIfTrue="1" operator="greaterThan">
      <formula>0</formula>
    </cfRule>
  </conditionalFormatting>
  <conditionalFormatting sqref="I1041:J1044">
    <cfRule type="cellIs" dxfId="0" priority="451" stopIfTrue="1" operator="lessThan">
      <formula>0</formula>
    </cfRule>
  </conditionalFormatting>
  <conditionalFormatting sqref="I1041:J1044">
    <cfRule type="cellIs" dxfId="1" priority="452" stopIfTrue="1" operator="greaterThan">
      <formula>0</formula>
    </cfRule>
  </conditionalFormatting>
  <conditionalFormatting sqref="I1049:J1049">
    <cfRule type="cellIs" dxfId="0" priority="453" stopIfTrue="1" operator="lessThan">
      <formula>0</formula>
    </cfRule>
  </conditionalFormatting>
  <conditionalFormatting sqref="I1049:J1049">
    <cfRule type="cellIs" dxfId="1" priority="454" stopIfTrue="1" operator="greaterThan">
      <formula>0</formula>
    </cfRule>
  </conditionalFormatting>
  <conditionalFormatting sqref="I1050:J1053">
    <cfRule type="cellIs" dxfId="0" priority="455" stopIfTrue="1" operator="lessThan">
      <formula>0</formula>
    </cfRule>
  </conditionalFormatting>
  <conditionalFormatting sqref="I1050:J1053">
    <cfRule type="cellIs" dxfId="1" priority="456" stopIfTrue="1" operator="greaterThan">
      <formula>0</formula>
    </cfRule>
  </conditionalFormatting>
  <conditionalFormatting sqref="I1058:J1058">
    <cfRule type="cellIs" dxfId="0" priority="457" stopIfTrue="1" operator="lessThan">
      <formula>0</formula>
    </cfRule>
  </conditionalFormatting>
  <conditionalFormatting sqref="I1058:J1058">
    <cfRule type="cellIs" dxfId="1" priority="458" stopIfTrue="1" operator="greaterThan">
      <formula>0</formula>
    </cfRule>
  </conditionalFormatting>
  <conditionalFormatting sqref="I1059:J1065 I1071:J1074">
    <cfRule type="cellIs" dxfId="0" priority="459" stopIfTrue="1" operator="lessThan">
      <formula>0</formula>
    </cfRule>
  </conditionalFormatting>
  <conditionalFormatting sqref="I1059:J1065 I1071:J1074">
    <cfRule type="cellIs" dxfId="1" priority="460" stopIfTrue="1" operator="greaterThan">
      <formula>0</formula>
    </cfRule>
  </conditionalFormatting>
  <conditionalFormatting sqref="I1066:J1066">
    <cfRule type="cellIs" dxfId="0" priority="461" stopIfTrue="1" operator="lessThan">
      <formula>0</formula>
    </cfRule>
  </conditionalFormatting>
  <conditionalFormatting sqref="I1066:J1066">
    <cfRule type="cellIs" dxfId="1" priority="462" stopIfTrue="1" operator="greaterThan">
      <formula>0</formula>
    </cfRule>
  </conditionalFormatting>
  <conditionalFormatting sqref="I1067:J1070">
    <cfRule type="cellIs" dxfId="0" priority="463" stopIfTrue="1" operator="lessThan">
      <formula>0</formula>
    </cfRule>
  </conditionalFormatting>
  <conditionalFormatting sqref="I1067:J1070">
    <cfRule type="cellIs" dxfId="1" priority="464" stopIfTrue="1" operator="greaterThan">
      <formula>0</formula>
    </cfRule>
  </conditionalFormatting>
  <conditionalFormatting sqref="I1075:J1075">
    <cfRule type="cellIs" dxfId="0" priority="465" stopIfTrue="1" operator="lessThan">
      <formula>0</formula>
    </cfRule>
  </conditionalFormatting>
  <conditionalFormatting sqref="I1075:J1075">
    <cfRule type="cellIs" dxfId="1" priority="466" stopIfTrue="1" operator="greaterThan">
      <formula>0</formula>
    </cfRule>
  </conditionalFormatting>
  <conditionalFormatting sqref="I1076:J1082">
    <cfRule type="cellIs" dxfId="0" priority="467" stopIfTrue="1" operator="lessThan">
      <formula>0</formula>
    </cfRule>
  </conditionalFormatting>
  <conditionalFormatting sqref="I1076:J1082">
    <cfRule type="cellIs" dxfId="1" priority="468" stopIfTrue="1" operator="greaterThan">
      <formula>0</formula>
    </cfRule>
  </conditionalFormatting>
  <conditionalFormatting sqref="I1083:J1083">
    <cfRule type="cellIs" dxfId="0" priority="469" stopIfTrue="1" operator="lessThan">
      <formula>0</formula>
    </cfRule>
  </conditionalFormatting>
  <conditionalFormatting sqref="I1083:J1083">
    <cfRule type="cellIs" dxfId="1" priority="470" stopIfTrue="1" operator="greaterThan">
      <formula>0</formula>
    </cfRule>
  </conditionalFormatting>
  <conditionalFormatting sqref="I1084:J1098">
    <cfRule type="cellIs" dxfId="0" priority="471" stopIfTrue="1" operator="lessThan">
      <formula>0</formula>
    </cfRule>
  </conditionalFormatting>
  <conditionalFormatting sqref="I1084:J1098">
    <cfRule type="cellIs" dxfId="1" priority="472" stopIfTrue="1" operator="greaterThan">
      <formula>0</formula>
    </cfRule>
  </conditionalFormatting>
  <conditionalFormatting sqref="I1099:J1100">
    <cfRule type="cellIs" dxfId="0" priority="473" stopIfTrue="1" operator="lessThan">
      <formula>0</formula>
    </cfRule>
  </conditionalFormatting>
  <conditionalFormatting sqref="I1099:J1100">
    <cfRule type="cellIs" dxfId="1" priority="474" stopIfTrue="1" operator="greaterThan">
      <formula>0</formula>
    </cfRule>
  </conditionalFormatting>
  <conditionalFormatting sqref="I1106:J1115 I1121:J1121">
    <cfRule type="cellIs" dxfId="0" priority="475" stopIfTrue="1" operator="lessThan">
      <formula>0</formula>
    </cfRule>
  </conditionalFormatting>
  <conditionalFormatting sqref="I1106:J1115 I1121:J1121">
    <cfRule type="cellIs" dxfId="1" priority="476" stopIfTrue="1" operator="greaterThan">
      <formula>0</formula>
    </cfRule>
  </conditionalFormatting>
  <conditionalFormatting sqref="I1101:J1101">
    <cfRule type="cellIs" dxfId="0" priority="477" stopIfTrue="1" operator="lessThan">
      <formula>0</formula>
    </cfRule>
  </conditionalFormatting>
  <conditionalFormatting sqref="I1101:J1101">
    <cfRule type="cellIs" dxfId="1" priority="478" stopIfTrue="1" operator="greaterThan">
      <formula>0</formula>
    </cfRule>
  </conditionalFormatting>
  <conditionalFormatting sqref="I1102:J1105">
    <cfRule type="cellIs" dxfId="0" priority="479" stopIfTrue="1" operator="lessThan">
      <formula>0</formula>
    </cfRule>
  </conditionalFormatting>
  <conditionalFormatting sqref="I1102:J1105">
    <cfRule type="cellIs" dxfId="1" priority="480" stopIfTrue="1" operator="greaterThan">
      <formula>0</formula>
    </cfRule>
  </conditionalFormatting>
  <conditionalFormatting sqref="I1116:J1116">
    <cfRule type="cellIs" dxfId="0" priority="481" stopIfTrue="1" operator="lessThan">
      <formula>0</formula>
    </cfRule>
  </conditionalFormatting>
  <conditionalFormatting sqref="I1116:J1116">
    <cfRule type="cellIs" dxfId="1" priority="482" stopIfTrue="1" operator="greaterThan">
      <formula>0</formula>
    </cfRule>
  </conditionalFormatting>
  <conditionalFormatting sqref="I1117:J1120">
    <cfRule type="cellIs" dxfId="0" priority="483" stopIfTrue="1" operator="lessThan">
      <formula>0</formula>
    </cfRule>
  </conditionalFormatting>
  <conditionalFormatting sqref="I1117:J1120">
    <cfRule type="cellIs" dxfId="1" priority="484" stopIfTrue="1" operator="greaterThan">
      <formula>0</formula>
    </cfRule>
  </conditionalFormatting>
  <conditionalFormatting sqref="I1122:J1122">
    <cfRule type="cellIs" dxfId="0" priority="485" stopIfTrue="1" operator="lessThan">
      <formula>0</formula>
    </cfRule>
  </conditionalFormatting>
  <conditionalFormatting sqref="I1122:J1122">
    <cfRule type="cellIs" dxfId="1" priority="486" stopIfTrue="1" operator="greaterThan">
      <formula>0</formula>
    </cfRule>
  </conditionalFormatting>
  <conditionalFormatting sqref="I1134:J1134">
    <cfRule type="cellIs" dxfId="0" priority="487" stopIfTrue="1" operator="lessThan">
      <formula>0</formula>
    </cfRule>
  </conditionalFormatting>
  <conditionalFormatting sqref="I1134:J1134">
    <cfRule type="cellIs" dxfId="1" priority="488" stopIfTrue="1" operator="greaterThan">
      <formula>0</formula>
    </cfRule>
  </conditionalFormatting>
  <conditionalFormatting sqref="I1139:J1139">
    <cfRule type="cellIs" dxfId="0" priority="489" stopIfTrue="1" operator="lessThan">
      <formula>0</formula>
    </cfRule>
  </conditionalFormatting>
  <conditionalFormatting sqref="I1139:J1139">
    <cfRule type="cellIs" dxfId="1" priority="490" stopIfTrue="1" operator="greaterThan">
      <formula>0</formula>
    </cfRule>
  </conditionalFormatting>
  <conditionalFormatting sqref="I1140:J1143">
    <cfRule type="cellIs" dxfId="0" priority="491" stopIfTrue="1" operator="lessThan">
      <formula>0</formula>
    </cfRule>
  </conditionalFormatting>
  <conditionalFormatting sqref="I1140:J1143">
    <cfRule type="cellIs" dxfId="1" priority="492" stopIfTrue="1" operator="greaterThan">
      <formula>0</formula>
    </cfRule>
  </conditionalFormatting>
  <conditionalFormatting sqref="I1145:J1145">
    <cfRule type="cellIs" dxfId="0" priority="493" stopIfTrue="1" operator="lessThan">
      <formula>0</formula>
    </cfRule>
  </conditionalFormatting>
  <conditionalFormatting sqref="I1145:J1145">
    <cfRule type="cellIs" dxfId="1" priority="494" stopIfTrue="1" operator="greaterThan">
      <formula>0</formula>
    </cfRule>
  </conditionalFormatting>
  <conditionalFormatting sqref="I1146:J1149">
    <cfRule type="cellIs" dxfId="0" priority="495" stopIfTrue="1" operator="lessThan">
      <formula>0</formula>
    </cfRule>
  </conditionalFormatting>
  <conditionalFormatting sqref="I1146:J1149">
    <cfRule type="cellIs" dxfId="1" priority="496" stopIfTrue="1" operator="greaterThan">
      <formula>0</formula>
    </cfRule>
  </conditionalFormatting>
  <conditionalFormatting sqref="I1150:J1150">
    <cfRule type="cellIs" dxfId="0" priority="497" stopIfTrue="1" operator="lessThan">
      <formula>0</formula>
    </cfRule>
  </conditionalFormatting>
  <conditionalFormatting sqref="I1150:J1150">
    <cfRule type="cellIs" dxfId="1" priority="498" stopIfTrue="1" operator="greaterThan">
      <formula>0</formula>
    </cfRule>
  </conditionalFormatting>
  <conditionalFormatting sqref="I1151:J1155">
    <cfRule type="cellIs" dxfId="0" priority="499" stopIfTrue="1" operator="lessThan">
      <formula>0</formula>
    </cfRule>
  </conditionalFormatting>
  <conditionalFormatting sqref="I1151:J1155">
    <cfRule type="cellIs" dxfId="1" priority="500" stopIfTrue="1" operator="greaterThan">
      <formula>0</formula>
    </cfRule>
  </conditionalFormatting>
  <conditionalFormatting sqref="I1156:J1156">
    <cfRule type="cellIs" dxfId="0" priority="501" stopIfTrue="1" operator="lessThan">
      <formula>0</formula>
    </cfRule>
  </conditionalFormatting>
  <conditionalFormatting sqref="I1156:J1156">
    <cfRule type="cellIs" dxfId="1" priority="502" stopIfTrue="1" operator="greaterThan">
      <formula>0</formula>
    </cfRule>
  </conditionalFormatting>
  <conditionalFormatting sqref="I1157:J1160">
    <cfRule type="cellIs" dxfId="0" priority="503" stopIfTrue="1" operator="lessThan">
      <formula>0</formula>
    </cfRule>
  </conditionalFormatting>
  <conditionalFormatting sqref="I1157:J1160">
    <cfRule type="cellIs" dxfId="1" priority="504" stopIfTrue="1" operator="greaterThan">
      <formula>0</formula>
    </cfRule>
  </conditionalFormatting>
  <conditionalFormatting sqref="I1164:J1164">
    <cfRule type="cellIs" dxfId="0" priority="505" stopIfTrue="1" operator="lessThan">
      <formula>0</formula>
    </cfRule>
  </conditionalFormatting>
  <conditionalFormatting sqref="I1164:J1164">
    <cfRule type="cellIs" dxfId="1" priority="506" stopIfTrue="1" operator="greaterThan">
      <formula>0</formula>
    </cfRule>
  </conditionalFormatting>
  <conditionalFormatting sqref="I1165:J1173">
    <cfRule type="cellIs" dxfId="0" priority="507" stopIfTrue="1" operator="lessThan">
      <formula>0</formula>
    </cfRule>
  </conditionalFormatting>
  <conditionalFormatting sqref="I1165:J1173">
    <cfRule type="cellIs" dxfId="1" priority="508" stopIfTrue="1" operator="greaterThan">
      <formula>0</formula>
    </cfRule>
  </conditionalFormatting>
  <conditionalFormatting sqref="I1174:J1174">
    <cfRule type="cellIs" dxfId="0" priority="509" stopIfTrue="1" operator="lessThan">
      <formula>0</formula>
    </cfRule>
  </conditionalFormatting>
  <conditionalFormatting sqref="I1174:J1174">
    <cfRule type="cellIs" dxfId="1" priority="510" stopIfTrue="1" operator="greaterThan">
      <formula>0</formula>
    </cfRule>
  </conditionalFormatting>
  <conditionalFormatting sqref="I1175:J1178">
    <cfRule type="cellIs" dxfId="0" priority="511" stopIfTrue="1" operator="lessThan">
      <formula>0</formula>
    </cfRule>
  </conditionalFormatting>
  <conditionalFormatting sqref="I1175:J1178">
    <cfRule type="cellIs" dxfId="1" priority="512" stopIfTrue="1" operator="greaterThan">
      <formula>0</formula>
    </cfRule>
  </conditionalFormatting>
  <conditionalFormatting sqref="I1179:J1179">
    <cfRule type="cellIs" dxfId="0" priority="513" stopIfTrue="1" operator="lessThan">
      <formula>0</formula>
    </cfRule>
  </conditionalFormatting>
  <conditionalFormatting sqref="I1179:J1179">
    <cfRule type="cellIs" dxfId="1" priority="514" stopIfTrue="1" operator="greaterThan">
      <formula>0</formula>
    </cfRule>
  </conditionalFormatting>
  <conditionalFormatting sqref="I1180:J1183 I1209 I1223:J1223">
    <cfRule type="cellIs" dxfId="0" priority="515" stopIfTrue="1" operator="lessThan">
      <formula>0</formula>
    </cfRule>
  </conditionalFormatting>
  <conditionalFormatting sqref="I1180:J1183 I1209 I1223:J1223">
    <cfRule type="cellIs" dxfId="1" priority="516" stopIfTrue="1" operator="greaterThan">
      <formula>0</formula>
    </cfRule>
  </conditionalFormatting>
  <conditionalFormatting sqref="I1184:J1184">
    <cfRule type="cellIs" dxfId="0" priority="517" stopIfTrue="1" operator="lessThan">
      <formula>0</formula>
    </cfRule>
  </conditionalFormatting>
  <conditionalFormatting sqref="I1184:J1184">
    <cfRule type="cellIs" dxfId="1" priority="518" stopIfTrue="1" operator="greaterThan">
      <formula>0</formula>
    </cfRule>
  </conditionalFormatting>
  <conditionalFormatting sqref="I1185:J1202">
    <cfRule type="cellIs" dxfId="0" priority="519" stopIfTrue="1" operator="lessThan">
      <formula>0</formula>
    </cfRule>
  </conditionalFormatting>
  <conditionalFormatting sqref="I1185:J1202">
    <cfRule type="cellIs" dxfId="1" priority="520" stopIfTrue="1" operator="greaterThan">
      <formula>0</formula>
    </cfRule>
  </conditionalFormatting>
  <conditionalFormatting sqref="I1203:J1203">
    <cfRule type="cellIs" dxfId="0" priority="521" stopIfTrue="1" operator="lessThan">
      <formula>0</formula>
    </cfRule>
  </conditionalFormatting>
  <conditionalFormatting sqref="I1203:J1203">
    <cfRule type="cellIs" dxfId="1" priority="522" stopIfTrue="1" operator="greaterThan">
      <formula>0</formula>
    </cfRule>
  </conditionalFormatting>
  <conditionalFormatting sqref="I1204:J1208">
    <cfRule type="cellIs" dxfId="0" priority="523" stopIfTrue="1" operator="lessThan">
      <formula>0</formula>
    </cfRule>
  </conditionalFormatting>
  <conditionalFormatting sqref="I1204:J1208">
    <cfRule type="cellIs" dxfId="1" priority="524" stopIfTrue="1" operator="greaterThan">
      <formula>0</formula>
    </cfRule>
  </conditionalFormatting>
  <conditionalFormatting sqref="I1210:J1210">
    <cfRule type="cellIs" dxfId="0" priority="525" stopIfTrue="1" operator="lessThan">
      <formula>0</formula>
    </cfRule>
  </conditionalFormatting>
  <conditionalFormatting sqref="I1210:J1210">
    <cfRule type="cellIs" dxfId="1" priority="526" stopIfTrue="1" operator="greaterThan">
      <formula>0</formula>
    </cfRule>
  </conditionalFormatting>
  <conditionalFormatting sqref="I1211:J1214 I1215:I1217">
    <cfRule type="cellIs" dxfId="0" priority="527" stopIfTrue="1" operator="lessThan">
      <formula>0</formula>
    </cfRule>
  </conditionalFormatting>
  <conditionalFormatting sqref="I1211:J1214 I1215:I1217">
    <cfRule type="cellIs" dxfId="1" priority="528" stopIfTrue="1" operator="greaterThan">
      <formula>0</formula>
    </cfRule>
  </conditionalFormatting>
  <conditionalFormatting sqref="J1209">
    <cfRule type="cellIs" dxfId="0" priority="529" stopIfTrue="1" operator="lessThan">
      <formula>0</formula>
    </cfRule>
  </conditionalFormatting>
  <conditionalFormatting sqref="J1209">
    <cfRule type="cellIs" dxfId="1" priority="530" stopIfTrue="1" operator="greaterThan">
      <formula>0</formula>
    </cfRule>
  </conditionalFormatting>
  <conditionalFormatting sqref="I1218:J1218">
    <cfRule type="cellIs" dxfId="0" priority="531" stopIfTrue="1" operator="lessThan">
      <formula>0</formula>
    </cfRule>
  </conditionalFormatting>
  <conditionalFormatting sqref="I1218:J1218">
    <cfRule type="cellIs" dxfId="1" priority="532" stopIfTrue="1" operator="greaterThan">
      <formula>0</formula>
    </cfRule>
  </conditionalFormatting>
  <conditionalFormatting sqref="I1219:J1222">
    <cfRule type="cellIs" dxfId="0" priority="533" stopIfTrue="1" operator="lessThan">
      <formula>0</formula>
    </cfRule>
  </conditionalFormatting>
  <conditionalFormatting sqref="I1219:J1222">
    <cfRule type="cellIs" dxfId="1" priority="534" stopIfTrue="1" operator="greaterThan">
      <formula>0</formula>
    </cfRule>
  </conditionalFormatting>
  <conditionalFormatting sqref="J1215:J1217">
    <cfRule type="cellIs" dxfId="0" priority="535" stopIfTrue="1" operator="lessThan">
      <formula>0</formula>
    </cfRule>
  </conditionalFormatting>
  <conditionalFormatting sqref="J1215:J1217">
    <cfRule type="cellIs" dxfId="1" priority="536" stopIfTrue="1" operator="greaterThan">
      <formula>0</formula>
    </cfRule>
  </conditionalFormatting>
  <conditionalFormatting sqref="I1224:J1224">
    <cfRule type="cellIs" dxfId="0" priority="537" stopIfTrue="1" operator="lessThan">
      <formula>0</formula>
    </cfRule>
  </conditionalFormatting>
  <conditionalFormatting sqref="I1224:J1224">
    <cfRule type="cellIs" dxfId="1" priority="538" stopIfTrue="1" operator="greaterThan">
      <formula>0</formula>
    </cfRule>
  </conditionalFormatting>
  <conditionalFormatting sqref="I1225:J1231">
    <cfRule type="cellIs" dxfId="0" priority="539" stopIfTrue="1" operator="lessThan">
      <formula>0</formula>
    </cfRule>
  </conditionalFormatting>
  <conditionalFormatting sqref="I1225:J1231">
    <cfRule type="cellIs" dxfId="1" priority="540" stopIfTrue="1" operator="greaterThan">
      <formula>0</formula>
    </cfRule>
  </conditionalFormatting>
  <conditionalFormatting sqref="I1232:J1232">
    <cfRule type="cellIs" dxfId="0" priority="541" stopIfTrue="1" operator="lessThan">
      <formula>0</formula>
    </cfRule>
  </conditionalFormatting>
  <conditionalFormatting sqref="I1232:J1232">
    <cfRule type="cellIs" dxfId="1" priority="542" stopIfTrue="1" operator="greaterThan">
      <formula>0</formula>
    </cfRule>
  </conditionalFormatting>
  <conditionalFormatting sqref="I1233:J1245 I1251:J1255">
    <cfRule type="cellIs" dxfId="0" priority="543" stopIfTrue="1" operator="lessThan">
      <formula>0</formula>
    </cfRule>
  </conditionalFormatting>
  <conditionalFormatting sqref="I1233:J1245 I1251:J1255">
    <cfRule type="cellIs" dxfId="1" priority="544" stopIfTrue="1" operator="greaterThan">
      <formula>0</formula>
    </cfRule>
  </conditionalFormatting>
  <conditionalFormatting sqref="I1246:J1246">
    <cfRule type="cellIs" dxfId="0" priority="545" stopIfTrue="1" operator="lessThan">
      <formula>0</formula>
    </cfRule>
  </conditionalFormatting>
  <conditionalFormatting sqref="I1246:J1246">
    <cfRule type="cellIs" dxfId="1" priority="546" stopIfTrue="1" operator="greaterThan">
      <formula>0</formula>
    </cfRule>
  </conditionalFormatting>
  <conditionalFormatting sqref="I1247:J1250">
    <cfRule type="cellIs" dxfId="0" priority="547" stopIfTrue="1" operator="lessThan">
      <formula>0</formula>
    </cfRule>
  </conditionalFormatting>
  <conditionalFormatting sqref="I1247:J1250">
    <cfRule type="cellIs" dxfId="1" priority="548" stopIfTrue="1" operator="greaterThan">
      <formula>0</formula>
    </cfRule>
  </conditionalFormatting>
  <conditionalFormatting sqref="I1256:J1256">
    <cfRule type="cellIs" dxfId="0" priority="549" stopIfTrue="1" operator="lessThan">
      <formula>0</formula>
    </cfRule>
  </conditionalFormatting>
  <conditionalFormatting sqref="I1256:J1256">
    <cfRule type="cellIs" dxfId="1" priority="550" stopIfTrue="1" operator="greaterThan">
      <formula>0</formula>
    </cfRule>
  </conditionalFormatting>
  <conditionalFormatting sqref="I1268:J1268">
    <cfRule type="cellIs" dxfId="0" priority="551" stopIfTrue="1" operator="lessThan">
      <formula>0</formula>
    </cfRule>
  </conditionalFormatting>
  <conditionalFormatting sqref="I1268:J1268">
    <cfRule type="cellIs" dxfId="1" priority="552" stopIfTrue="1" operator="greaterThan">
      <formula>0</formula>
    </cfRule>
  </conditionalFormatting>
  <conditionalFormatting sqref="I1269:J1289 I1295:J1316">
    <cfRule type="cellIs" dxfId="0" priority="553" stopIfTrue="1" operator="lessThan">
      <formula>0</formula>
    </cfRule>
  </conditionalFormatting>
  <conditionalFormatting sqref="I1269:J1289 I1295:J1316">
    <cfRule type="cellIs" dxfId="1" priority="554" stopIfTrue="1" operator="greaterThan">
      <formula>0</formula>
    </cfRule>
  </conditionalFormatting>
  <conditionalFormatting sqref="I1290:J1290">
    <cfRule type="cellIs" dxfId="0" priority="555" stopIfTrue="1" operator="lessThan">
      <formula>0</formula>
    </cfRule>
  </conditionalFormatting>
  <conditionalFormatting sqref="I1290:J1290">
    <cfRule type="cellIs" dxfId="1" priority="556" stopIfTrue="1" operator="greaterThan">
      <formula>0</formula>
    </cfRule>
  </conditionalFormatting>
  <conditionalFormatting sqref="I1291:J1294">
    <cfRule type="cellIs" dxfId="0" priority="557" stopIfTrue="1" operator="lessThan">
      <formula>0</formula>
    </cfRule>
  </conditionalFormatting>
  <conditionalFormatting sqref="I1291:J1294">
    <cfRule type="cellIs" dxfId="1" priority="558" stopIfTrue="1" operator="greaterThan">
      <formula>0</formula>
    </cfRule>
  </conditionalFormatting>
  <conditionalFormatting sqref="I1317:J1317">
    <cfRule type="cellIs" dxfId="0" priority="559" stopIfTrue="1" operator="lessThan">
      <formula>0</formula>
    </cfRule>
  </conditionalFormatting>
  <conditionalFormatting sqref="I1317:J1317">
    <cfRule type="cellIs" dxfId="1" priority="560" stopIfTrue="1" operator="greaterThan">
      <formula>0</formula>
    </cfRule>
  </conditionalFormatting>
  <conditionalFormatting sqref="I1318:J1336">
    <cfRule type="cellIs" dxfId="0" priority="561" stopIfTrue="1" operator="lessThan">
      <formula>0</formula>
    </cfRule>
  </conditionalFormatting>
  <conditionalFormatting sqref="I1318:J1336">
    <cfRule type="cellIs" dxfId="1" priority="562" stopIfTrue="1" operator="greaterThan">
      <formula>0</formula>
    </cfRule>
  </conditionalFormatting>
  <conditionalFormatting sqref="I1337:J1337">
    <cfRule type="cellIs" dxfId="0" priority="563" stopIfTrue="1" operator="lessThan">
      <formula>0</formula>
    </cfRule>
  </conditionalFormatting>
  <conditionalFormatting sqref="I1337:J1337">
    <cfRule type="cellIs" dxfId="1" priority="564" stopIfTrue="1" operator="greaterThan">
      <formula>0</formula>
    </cfRule>
  </conditionalFormatting>
  <conditionalFormatting sqref="I1338:J1341">
    <cfRule type="cellIs" dxfId="0" priority="565" stopIfTrue="1" operator="lessThan">
      <formula>0</formula>
    </cfRule>
  </conditionalFormatting>
  <conditionalFormatting sqref="I1338:J1341">
    <cfRule type="cellIs" dxfId="1" priority="566" stopIfTrue="1" operator="greaterThan">
      <formula>0</formula>
    </cfRule>
  </conditionalFormatting>
  <conditionalFormatting sqref="I1342:J1342">
    <cfRule type="cellIs" dxfId="0" priority="567" stopIfTrue="1" operator="lessThan">
      <formula>0</formula>
    </cfRule>
  </conditionalFormatting>
  <conditionalFormatting sqref="I1342:J1342">
    <cfRule type="cellIs" dxfId="1" priority="568" stopIfTrue="1" operator="greaterThan">
      <formula>0</formula>
    </cfRule>
  </conditionalFormatting>
  <conditionalFormatting sqref="I1343:J1357">
    <cfRule type="cellIs" dxfId="0" priority="569" stopIfTrue="1" operator="lessThan">
      <formula>0</formula>
    </cfRule>
  </conditionalFormatting>
  <conditionalFormatting sqref="I1343:J1357">
    <cfRule type="cellIs" dxfId="1" priority="570" stopIfTrue="1" operator="greaterThan">
      <formula>0</formula>
    </cfRule>
  </conditionalFormatting>
  <conditionalFormatting sqref="I1358:J1358">
    <cfRule type="cellIs" dxfId="0" priority="571" stopIfTrue="1" operator="lessThan">
      <formula>0</formula>
    </cfRule>
  </conditionalFormatting>
  <conditionalFormatting sqref="I1358:J1358">
    <cfRule type="cellIs" dxfId="1" priority="572" stopIfTrue="1" operator="greaterThan">
      <formula>0</formula>
    </cfRule>
  </conditionalFormatting>
  <conditionalFormatting sqref="I1359:J1366">
    <cfRule type="cellIs" dxfId="0" priority="573" stopIfTrue="1" operator="lessThan">
      <formula>0</formula>
    </cfRule>
  </conditionalFormatting>
  <conditionalFormatting sqref="I1359:J1366">
    <cfRule type="cellIs" dxfId="1" priority="574" stopIfTrue="1" operator="greaterThan">
      <formula>0</formula>
    </cfRule>
  </conditionalFormatting>
  <conditionalFormatting sqref="I1367:J1367">
    <cfRule type="cellIs" dxfId="0" priority="575" stopIfTrue="1" operator="lessThan">
      <formula>0</formula>
    </cfRule>
  </conditionalFormatting>
  <conditionalFormatting sqref="I1367:J1367">
    <cfRule type="cellIs" dxfId="1" priority="576" stopIfTrue="1" operator="greaterThan">
      <formula>0</formula>
    </cfRule>
  </conditionalFormatting>
  <conditionalFormatting sqref="I1368:J1381">
    <cfRule type="cellIs" dxfId="0" priority="577" stopIfTrue="1" operator="lessThan">
      <formula>0</formula>
    </cfRule>
  </conditionalFormatting>
  <conditionalFormatting sqref="I1368:J1381">
    <cfRule type="cellIs" dxfId="1" priority="578" stopIfTrue="1" operator="greaterThan">
      <formula>0</formula>
    </cfRule>
  </conditionalFormatting>
  <conditionalFormatting sqref="I1382:J1382">
    <cfRule type="cellIs" dxfId="0" priority="579" stopIfTrue="1" operator="lessThan">
      <formula>0</formula>
    </cfRule>
  </conditionalFormatting>
  <conditionalFormatting sqref="I1382:J1382">
    <cfRule type="cellIs" dxfId="1" priority="580" stopIfTrue="1" operator="greaterThan">
      <formula>0</formula>
    </cfRule>
  </conditionalFormatting>
  <conditionalFormatting sqref="I1383:J1394">
    <cfRule type="cellIs" dxfId="0" priority="581" stopIfTrue="1" operator="lessThan">
      <formula>0</formula>
    </cfRule>
  </conditionalFormatting>
  <conditionalFormatting sqref="I1383:J1394">
    <cfRule type="cellIs" dxfId="1" priority="582" stopIfTrue="1" operator="greaterThan">
      <formula>0</formula>
    </cfRule>
  </conditionalFormatting>
  <conditionalFormatting sqref="I1395:J1395">
    <cfRule type="cellIs" dxfId="0" priority="583" stopIfTrue="1" operator="lessThan">
      <formula>0</formula>
    </cfRule>
  </conditionalFormatting>
  <conditionalFormatting sqref="I1395:J1395">
    <cfRule type="cellIs" dxfId="1" priority="584" stopIfTrue="1" operator="greaterThan">
      <formula>0</formula>
    </cfRule>
  </conditionalFormatting>
  <conditionalFormatting sqref="I1396:J1399 I1405:J1406">
    <cfRule type="cellIs" dxfId="0" priority="585" stopIfTrue="1" operator="lessThan">
      <formula>0</formula>
    </cfRule>
  </conditionalFormatting>
  <conditionalFormatting sqref="I1396:J1399 I1405:J1406">
    <cfRule type="cellIs" dxfId="1" priority="586" stopIfTrue="1" operator="greaterThan">
      <formula>0</formula>
    </cfRule>
  </conditionalFormatting>
  <conditionalFormatting sqref="I1407:J1407">
    <cfRule type="cellIs" dxfId="0" priority="587" stopIfTrue="1" operator="lessThan">
      <formula>0</formula>
    </cfRule>
  </conditionalFormatting>
  <conditionalFormatting sqref="I1407:J1407">
    <cfRule type="cellIs" dxfId="1" priority="588" stopIfTrue="1" operator="greaterThan">
      <formula>0</formula>
    </cfRule>
  </conditionalFormatting>
  <conditionalFormatting sqref="I1408:J1416">
    <cfRule type="cellIs" dxfId="0" priority="589" stopIfTrue="1" operator="lessThan">
      <formula>0</formula>
    </cfRule>
  </conditionalFormatting>
  <conditionalFormatting sqref="I1408:J1416">
    <cfRule type="cellIs" dxfId="1" priority="590" stopIfTrue="1" operator="greaterThan">
      <formula>0</formula>
    </cfRule>
  </conditionalFormatting>
  <conditionalFormatting sqref="I1400:J1400">
    <cfRule type="cellIs" dxfId="0" priority="591" stopIfTrue="1" operator="lessThan">
      <formula>0</formula>
    </cfRule>
  </conditionalFormatting>
  <conditionalFormatting sqref="I1400:J1400">
    <cfRule type="cellIs" dxfId="1" priority="592" stopIfTrue="1" operator="greaterThan">
      <formula>0</formula>
    </cfRule>
  </conditionalFormatting>
  <conditionalFormatting sqref="I1401:J1404">
    <cfRule type="cellIs" dxfId="0" priority="593" stopIfTrue="1" operator="lessThan">
      <formula>0</formula>
    </cfRule>
  </conditionalFormatting>
  <conditionalFormatting sqref="I1401:J1404">
    <cfRule type="cellIs" dxfId="1" priority="594" stopIfTrue="1" operator="greaterThan">
      <formula>0</formula>
    </cfRule>
  </conditionalFormatting>
  <conditionalFormatting sqref="I1417:J1417">
    <cfRule type="cellIs" dxfId="0" priority="595" stopIfTrue="1" operator="lessThan">
      <formula>0</formula>
    </cfRule>
  </conditionalFormatting>
  <conditionalFormatting sqref="I1417:J1417">
    <cfRule type="cellIs" dxfId="1" priority="596" stopIfTrue="1" operator="greaterThan">
      <formula>0</formula>
    </cfRule>
  </conditionalFormatting>
  <conditionalFormatting sqref="I1426:J1426">
    <cfRule type="cellIs" dxfId="0" priority="597" stopIfTrue="1" operator="lessThan">
      <formula>0</formula>
    </cfRule>
  </conditionalFormatting>
  <conditionalFormatting sqref="I1426:J1426">
    <cfRule type="cellIs" dxfId="1" priority="598" stopIfTrue="1" operator="greaterThan">
      <formula>0</formula>
    </cfRule>
  </conditionalFormatting>
  <conditionalFormatting sqref="I1427:J1436">
    <cfRule type="cellIs" dxfId="0" priority="599" stopIfTrue="1" operator="lessThan">
      <formula>0</formula>
    </cfRule>
  </conditionalFormatting>
  <conditionalFormatting sqref="I1427:J1436">
    <cfRule type="cellIs" dxfId="1" priority="600" stopIfTrue="1" operator="greaterThan">
      <formula>0</formula>
    </cfRule>
  </conditionalFormatting>
  <conditionalFormatting sqref="I1437:J1437">
    <cfRule type="cellIs" dxfId="0" priority="601" stopIfTrue="1" operator="lessThan">
      <formula>0</formula>
    </cfRule>
  </conditionalFormatting>
  <conditionalFormatting sqref="I1437:J1437">
    <cfRule type="cellIs" dxfId="1" priority="602" stopIfTrue="1" operator="greaterThan">
      <formula>0</formula>
    </cfRule>
  </conditionalFormatting>
  <conditionalFormatting sqref="I1438:J1447">
    <cfRule type="cellIs" dxfId="0" priority="603" stopIfTrue="1" operator="lessThan">
      <formula>0</formula>
    </cfRule>
  </conditionalFormatting>
  <conditionalFormatting sqref="I1438:J1447">
    <cfRule type="cellIs" dxfId="1" priority="604" stopIfTrue="1" operator="greaterThan">
      <formula>0</formula>
    </cfRule>
  </conditionalFormatting>
  <conditionalFormatting sqref="I1448:J1448">
    <cfRule type="cellIs" dxfId="0" priority="605" stopIfTrue="1" operator="lessThan">
      <formula>0</formula>
    </cfRule>
  </conditionalFormatting>
  <conditionalFormatting sqref="I1448:J1448">
    <cfRule type="cellIs" dxfId="1" priority="606" stopIfTrue="1" operator="greaterThan">
      <formula>0</formula>
    </cfRule>
  </conditionalFormatting>
  <conditionalFormatting sqref="I1449:J1452">
    <cfRule type="cellIs" dxfId="0" priority="607" stopIfTrue="1" operator="lessThan">
      <formula>0</formula>
    </cfRule>
  </conditionalFormatting>
  <conditionalFormatting sqref="I1449:J1452">
    <cfRule type="cellIs" dxfId="1" priority="608" stopIfTrue="1" operator="greaterThan">
      <formula>0</formula>
    </cfRule>
  </conditionalFormatting>
  <conditionalFormatting sqref="I1453:J1453">
    <cfRule type="cellIs" dxfId="0" priority="609" stopIfTrue="1" operator="lessThan">
      <formula>0</formula>
    </cfRule>
  </conditionalFormatting>
  <conditionalFormatting sqref="I1453:J1453">
    <cfRule type="cellIs" dxfId="1" priority="610" stopIfTrue="1" operator="greaterThan">
      <formula>0</formula>
    </cfRule>
  </conditionalFormatting>
  <conditionalFormatting sqref="I1454:J1457 I1463:J1465">
    <cfRule type="cellIs" dxfId="0" priority="611" stopIfTrue="1" operator="lessThan">
      <formula>0</formula>
    </cfRule>
  </conditionalFormatting>
  <conditionalFormatting sqref="I1454:J1457 I1463:J1465">
    <cfRule type="cellIs" dxfId="1" priority="612" stopIfTrue="1" operator="greaterThan">
      <formula>0</formula>
    </cfRule>
  </conditionalFormatting>
  <conditionalFormatting sqref="I1458:J1458">
    <cfRule type="cellIs" dxfId="0" priority="613" stopIfTrue="1" operator="lessThan">
      <formula>0</formula>
    </cfRule>
  </conditionalFormatting>
  <conditionalFormatting sqref="I1458:J1458">
    <cfRule type="cellIs" dxfId="1" priority="614" stopIfTrue="1" operator="greaterThan">
      <formula>0</formula>
    </cfRule>
  </conditionalFormatting>
  <conditionalFormatting sqref="I1459:J1462">
    <cfRule type="cellIs" dxfId="0" priority="615" stopIfTrue="1" operator="lessThan">
      <formula>0</formula>
    </cfRule>
  </conditionalFormatting>
  <conditionalFormatting sqref="I1459:J1462">
    <cfRule type="cellIs" dxfId="1" priority="616" stopIfTrue="1" operator="greaterThan">
      <formula>0</formula>
    </cfRule>
  </conditionalFormatting>
  <conditionalFormatting sqref="I1466:J1466">
    <cfRule type="cellIs" dxfId="0" priority="617" stopIfTrue="1" operator="lessThan">
      <formula>0</formula>
    </cfRule>
  </conditionalFormatting>
  <conditionalFormatting sqref="I1466:J1466">
    <cfRule type="cellIs" dxfId="1" priority="618" stopIfTrue="1" operator="greaterThan">
      <formula>0</formula>
    </cfRule>
  </conditionalFormatting>
  <conditionalFormatting sqref="I1467:J1476 I1493:J1493">
    <cfRule type="cellIs" dxfId="0" priority="619" stopIfTrue="1" operator="lessThan">
      <formula>0</formula>
    </cfRule>
  </conditionalFormatting>
  <conditionalFormatting sqref="I1467:J1476 I1493:J1493">
    <cfRule type="cellIs" dxfId="1" priority="620" stopIfTrue="1" operator="greaterThan">
      <formula>0</formula>
    </cfRule>
  </conditionalFormatting>
  <conditionalFormatting sqref="I1477:J1477">
    <cfRule type="cellIs" dxfId="0" priority="621" stopIfTrue="1" operator="lessThan">
      <formula>0</formula>
    </cfRule>
  </conditionalFormatting>
  <conditionalFormatting sqref="I1477:J1477">
    <cfRule type="cellIs" dxfId="1" priority="622" stopIfTrue="1" operator="greaterThan">
      <formula>0</formula>
    </cfRule>
  </conditionalFormatting>
  <conditionalFormatting sqref="I1478:J1481">
    <cfRule type="cellIs" dxfId="0" priority="623" stopIfTrue="1" operator="lessThan">
      <formula>0</formula>
    </cfRule>
  </conditionalFormatting>
  <conditionalFormatting sqref="I1478:J1481">
    <cfRule type="cellIs" dxfId="1" priority="624" stopIfTrue="1" operator="greaterThan">
      <formula>0</formula>
    </cfRule>
  </conditionalFormatting>
  <conditionalFormatting sqref="I1488:J1488">
    <cfRule type="cellIs" dxfId="0" priority="625" stopIfTrue="1" operator="lessThan">
      <formula>0</formula>
    </cfRule>
  </conditionalFormatting>
  <conditionalFormatting sqref="I1488:J1488">
    <cfRule type="cellIs" dxfId="1" priority="626" stopIfTrue="1" operator="greaterThan">
      <formula>0</formula>
    </cfRule>
  </conditionalFormatting>
  <conditionalFormatting sqref="I1489:J1492">
    <cfRule type="cellIs" dxfId="0" priority="627" stopIfTrue="1" operator="lessThan">
      <formula>0</formula>
    </cfRule>
  </conditionalFormatting>
  <conditionalFormatting sqref="I1489:J1492">
    <cfRule type="cellIs" dxfId="1" priority="628" stopIfTrue="1" operator="greaterThan">
      <formula>0</formula>
    </cfRule>
  </conditionalFormatting>
  <conditionalFormatting sqref="I1494:J1494">
    <cfRule type="cellIs" dxfId="0" priority="629" stopIfTrue="1" operator="lessThan">
      <formula>0</formula>
    </cfRule>
  </conditionalFormatting>
  <conditionalFormatting sqref="I1494:J1494">
    <cfRule type="cellIs" dxfId="1" priority="630" stopIfTrue="1" operator="greaterThan">
      <formula>0</formula>
    </cfRule>
  </conditionalFormatting>
  <conditionalFormatting sqref="I1495:J1501">
    <cfRule type="cellIs" dxfId="0" priority="631" stopIfTrue="1" operator="lessThan">
      <formula>0</formula>
    </cfRule>
  </conditionalFormatting>
  <conditionalFormatting sqref="I1495:J1501">
    <cfRule type="cellIs" dxfId="1" priority="632" stopIfTrue="1" operator="greaterThan">
      <formula>0</formula>
    </cfRule>
  </conditionalFormatting>
  <conditionalFormatting sqref="I1502:J1502">
    <cfRule type="cellIs" dxfId="0" priority="633" stopIfTrue="1" operator="lessThan">
      <formula>0</formula>
    </cfRule>
  </conditionalFormatting>
  <conditionalFormatting sqref="I1502:J1502">
    <cfRule type="cellIs" dxfId="1" priority="634" stopIfTrue="1" operator="greaterThan">
      <formula>0</formula>
    </cfRule>
  </conditionalFormatting>
  <conditionalFormatting sqref="I1503:J1513 I1519:J1528">
    <cfRule type="cellIs" dxfId="0" priority="635" stopIfTrue="1" operator="lessThan">
      <formula>0</formula>
    </cfRule>
  </conditionalFormatting>
  <conditionalFormatting sqref="I1503:J1513 I1519:J1528">
    <cfRule type="cellIs" dxfId="1" priority="636" stopIfTrue="1" operator="greaterThan">
      <formula>0</formula>
    </cfRule>
  </conditionalFormatting>
  <conditionalFormatting sqref="I1514:J1514">
    <cfRule type="cellIs" dxfId="0" priority="637" stopIfTrue="1" operator="lessThan">
      <formula>0</formula>
    </cfRule>
  </conditionalFormatting>
  <conditionalFormatting sqref="I1514:J1514">
    <cfRule type="cellIs" dxfId="1" priority="638" stopIfTrue="1" operator="greaterThan">
      <formula>0</formula>
    </cfRule>
  </conditionalFormatting>
  <conditionalFormatting sqref="I1515:J1518">
    <cfRule type="cellIs" dxfId="0" priority="639" stopIfTrue="1" operator="lessThan">
      <formula>0</formula>
    </cfRule>
  </conditionalFormatting>
  <conditionalFormatting sqref="I1515:J1518">
    <cfRule type="cellIs" dxfId="1" priority="640" stopIfTrue="1" operator="greaterThan">
      <formula>0</formula>
    </cfRule>
  </conditionalFormatting>
  <conditionalFormatting sqref="I1529:J1529">
    <cfRule type="cellIs" dxfId="0" priority="641" stopIfTrue="1" operator="lessThan">
      <formula>0</formula>
    </cfRule>
  </conditionalFormatting>
  <conditionalFormatting sqref="I1529:J1529">
    <cfRule type="cellIs" dxfId="1" priority="642" stopIfTrue="1" operator="greaterThan">
      <formula>0</formula>
    </cfRule>
  </conditionalFormatting>
  <conditionalFormatting sqref="I1530:J1534">
    <cfRule type="cellIs" dxfId="0" priority="643" stopIfTrue="1" operator="lessThan">
      <formula>0</formula>
    </cfRule>
  </conditionalFormatting>
  <conditionalFormatting sqref="I1530:J1534">
    <cfRule type="cellIs" dxfId="1" priority="644" stopIfTrue="1" operator="greaterThan">
      <formula>0</formula>
    </cfRule>
  </conditionalFormatting>
  <conditionalFormatting sqref="I1535:J1535">
    <cfRule type="cellIs" dxfId="0" priority="645" stopIfTrue="1" operator="lessThan">
      <formula>0</formula>
    </cfRule>
  </conditionalFormatting>
  <conditionalFormatting sqref="I1535:J1535">
    <cfRule type="cellIs" dxfId="1" priority="646" stopIfTrue="1" operator="greaterThan">
      <formula>0</formula>
    </cfRule>
  </conditionalFormatting>
  <conditionalFormatting sqref="I1536:J1539 I1556:J1564">
    <cfRule type="cellIs" dxfId="0" priority="647" stopIfTrue="1" operator="lessThan">
      <formula>0</formula>
    </cfRule>
  </conditionalFormatting>
  <conditionalFormatting sqref="I1536:J1539 I1556:J1564">
    <cfRule type="cellIs" dxfId="1" priority="648" stopIfTrue="1" operator="greaterThan">
      <formula>0</formula>
    </cfRule>
  </conditionalFormatting>
  <conditionalFormatting sqref="I1540:J1540">
    <cfRule type="cellIs" dxfId="0" priority="649" stopIfTrue="1" operator="lessThan">
      <formula>0</formula>
    </cfRule>
  </conditionalFormatting>
  <conditionalFormatting sqref="I1540:J1540">
    <cfRule type="cellIs" dxfId="1" priority="650" stopIfTrue="1" operator="greaterThan">
      <formula>0</formula>
    </cfRule>
  </conditionalFormatting>
  <conditionalFormatting sqref="I1541:J1544">
    <cfRule type="cellIs" dxfId="0" priority="651" stopIfTrue="1" operator="lessThan">
      <formula>0</formula>
    </cfRule>
  </conditionalFormatting>
  <conditionalFormatting sqref="I1541:J1544">
    <cfRule type="cellIs" dxfId="1" priority="652" stopIfTrue="1" operator="greaterThan">
      <formula>0</formula>
    </cfRule>
  </conditionalFormatting>
  <conditionalFormatting sqref="I1545:J1545">
    <cfRule type="cellIs" dxfId="0" priority="653" stopIfTrue="1" operator="lessThan">
      <formula>0</formula>
    </cfRule>
  </conditionalFormatting>
  <conditionalFormatting sqref="I1545:J1545">
    <cfRule type="cellIs" dxfId="1" priority="654" stopIfTrue="1" operator="greaterThan">
      <formula>0</formula>
    </cfRule>
  </conditionalFormatting>
  <conditionalFormatting sqref="I1546:J1550">
    <cfRule type="cellIs" dxfId="0" priority="655" stopIfTrue="1" operator="lessThan">
      <formula>0</formula>
    </cfRule>
  </conditionalFormatting>
  <conditionalFormatting sqref="I1546:J1550">
    <cfRule type="cellIs" dxfId="1" priority="656" stopIfTrue="1" operator="greaterThan">
      <formula>0</formula>
    </cfRule>
  </conditionalFormatting>
  <conditionalFormatting sqref="I1551:J1551">
    <cfRule type="cellIs" dxfId="0" priority="657" stopIfTrue="1" operator="lessThan">
      <formula>0</formula>
    </cfRule>
  </conditionalFormatting>
  <conditionalFormatting sqref="I1551:J1551">
    <cfRule type="cellIs" dxfId="1" priority="658" stopIfTrue="1" operator="greaterThan">
      <formula>0</formula>
    </cfRule>
  </conditionalFormatting>
  <conditionalFormatting sqref="I1552:J1555">
    <cfRule type="cellIs" dxfId="0" priority="659" stopIfTrue="1" operator="lessThan">
      <formula>0</formula>
    </cfRule>
  </conditionalFormatting>
  <conditionalFormatting sqref="I1552:J1555">
    <cfRule type="cellIs" dxfId="1" priority="660" stopIfTrue="1" operator="greaterThan">
      <formula>0</formula>
    </cfRule>
  </conditionalFormatting>
  <conditionalFormatting sqref="I1565:J1565">
    <cfRule type="cellIs" dxfId="0" priority="661" stopIfTrue="1" operator="lessThan">
      <formula>0</formula>
    </cfRule>
  </conditionalFormatting>
  <conditionalFormatting sqref="I1565:J1565">
    <cfRule type="cellIs" dxfId="1" priority="662" stopIfTrue="1" operator="greaterThan">
      <formula>0</formula>
    </cfRule>
  </conditionalFormatting>
  <conditionalFormatting sqref="I1566:J1570 I1576:J1585 I1591:J1599 I1644:J1645 I1660:J1665 I1671:J1674">
    <cfRule type="cellIs" dxfId="0" priority="663" stopIfTrue="1" operator="lessThan">
      <formula>0</formula>
    </cfRule>
  </conditionalFormatting>
  <conditionalFormatting sqref="I1566:J1570 I1576:J1585 I1591:J1599 I1644:J1645 I1660:J1665 I1671:J1674">
    <cfRule type="cellIs" dxfId="1" priority="664" stopIfTrue="1" operator="greaterThan">
      <formula>0</formula>
    </cfRule>
  </conditionalFormatting>
  <conditionalFormatting sqref="I1571:J1571">
    <cfRule type="cellIs" dxfId="0" priority="665" stopIfTrue="1" operator="lessThan">
      <formula>0</formula>
    </cfRule>
  </conditionalFormatting>
  <conditionalFormatting sqref="I1571:J1571">
    <cfRule type="cellIs" dxfId="1" priority="666" stopIfTrue="1" operator="greaterThan">
      <formula>0</formula>
    </cfRule>
  </conditionalFormatting>
  <conditionalFormatting sqref="I1572:J1575">
    <cfRule type="cellIs" dxfId="0" priority="667" stopIfTrue="1" operator="lessThan">
      <formula>0</formula>
    </cfRule>
  </conditionalFormatting>
  <conditionalFormatting sqref="I1572:J1575">
    <cfRule type="cellIs" dxfId="1" priority="668" stopIfTrue="1" operator="greaterThan">
      <formula>0</formula>
    </cfRule>
  </conditionalFormatting>
  <conditionalFormatting sqref="I1586:J1586">
    <cfRule type="cellIs" dxfId="0" priority="669" stopIfTrue="1" operator="lessThan">
      <formula>0</formula>
    </cfRule>
  </conditionalFormatting>
  <conditionalFormatting sqref="I1586:J1586">
    <cfRule type="cellIs" dxfId="1" priority="670" stopIfTrue="1" operator="greaterThan">
      <formula>0</formula>
    </cfRule>
  </conditionalFormatting>
  <conditionalFormatting sqref="I1587:J1590">
    <cfRule type="cellIs" dxfId="0" priority="671" stopIfTrue="1" operator="lessThan">
      <formula>0</formula>
    </cfRule>
  </conditionalFormatting>
  <conditionalFormatting sqref="I1587:J1590">
    <cfRule type="cellIs" dxfId="1" priority="672" stopIfTrue="1" operator="greaterThan">
      <formula>0</formula>
    </cfRule>
  </conditionalFormatting>
  <conditionalFormatting sqref="I1600:J1600">
    <cfRule type="cellIs" dxfId="0" priority="673" stopIfTrue="1" operator="lessThan">
      <formula>0</formula>
    </cfRule>
  </conditionalFormatting>
  <conditionalFormatting sqref="I1600:J1600">
    <cfRule type="cellIs" dxfId="1" priority="674" stopIfTrue="1" operator="greaterThan">
      <formula>0</formula>
    </cfRule>
  </conditionalFormatting>
  <conditionalFormatting sqref="I1626:J1628 I1634:J1637 I1643:J1643">
    <cfRule type="cellIs" dxfId="0" priority="675" stopIfTrue="1" operator="lessThan">
      <formula>0</formula>
    </cfRule>
  </conditionalFormatting>
  <conditionalFormatting sqref="I1626:J1628 I1634:J1637 I1643:J1643">
    <cfRule type="cellIs" dxfId="1" priority="676" stopIfTrue="1" operator="greaterThan">
      <formula>0</formula>
    </cfRule>
  </conditionalFormatting>
  <conditionalFormatting sqref="I1614:J1614">
    <cfRule type="cellIs" dxfId="0" priority="677" stopIfTrue="1" operator="lessThan">
      <formula>0</formula>
    </cfRule>
  </conditionalFormatting>
  <conditionalFormatting sqref="I1614:J1614">
    <cfRule type="cellIs" dxfId="1" priority="678" stopIfTrue="1" operator="greaterThan">
      <formula>0</formula>
    </cfRule>
  </conditionalFormatting>
  <conditionalFormatting sqref="I1615:J1625">
    <cfRule type="cellIs" dxfId="0" priority="679" stopIfTrue="1" operator="lessThan">
      <formula>0</formula>
    </cfRule>
  </conditionalFormatting>
  <conditionalFormatting sqref="I1615:J1625">
    <cfRule type="cellIs" dxfId="1" priority="680" stopIfTrue="1" operator="greaterThan">
      <formula>0</formula>
    </cfRule>
  </conditionalFormatting>
  <conditionalFormatting sqref="J1610">
    <cfRule type="cellIs" dxfId="0" priority="681" stopIfTrue="1" operator="lessThan">
      <formula>0</formula>
    </cfRule>
  </conditionalFormatting>
  <conditionalFormatting sqref="J1610">
    <cfRule type="cellIs" dxfId="1" priority="682" stopIfTrue="1" operator="greaterThan">
      <formula>0</formula>
    </cfRule>
  </conditionalFormatting>
  <conditionalFormatting sqref="I1629:J1629">
    <cfRule type="cellIs" dxfId="0" priority="683" stopIfTrue="1" operator="lessThan">
      <formula>0</formula>
    </cfRule>
  </conditionalFormatting>
  <conditionalFormatting sqref="I1629:J1629">
    <cfRule type="cellIs" dxfId="1" priority="684" stopIfTrue="1" operator="greaterThan">
      <formula>0</formula>
    </cfRule>
  </conditionalFormatting>
  <conditionalFormatting sqref="I1630:J1633">
    <cfRule type="cellIs" dxfId="0" priority="685" stopIfTrue="1" operator="lessThan">
      <formula>0</formula>
    </cfRule>
  </conditionalFormatting>
  <conditionalFormatting sqref="I1630:J1633">
    <cfRule type="cellIs" dxfId="1" priority="686" stopIfTrue="1" operator="greaterThan">
      <formula>0</formula>
    </cfRule>
  </conditionalFormatting>
  <conditionalFormatting sqref="I1638:J1638">
    <cfRule type="cellIs" dxfId="0" priority="687" stopIfTrue="1" operator="lessThan">
      <formula>0</formula>
    </cfRule>
  </conditionalFormatting>
  <conditionalFormatting sqref="I1638:J1638">
    <cfRule type="cellIs" dxfId="1" priority="688" stopIfTrue="1" operator="greaterThan">
      <formula>0</formula>
    </cfRule>
  </conditionalFormatting>
  <conditionalFormatting sqref="I1639:J1642">
    <cfRule type="cellIs" dxfId="0" priority="689" stopIfTrue="1" operator="lessThan">
      <formula>0</formula>
    </cfRule>
  </conditionalFormatting>
  <conditionalFormatting sqref="I1639:J1642">
    <cfRule type="cellIs" dxfId="1" priority="690" stopIfTrue="1" operator="greaterThan">
      <formula>0</formula>
    </cfRule>
  </conditionalFormatting>
  <conditionalFormatting sqref="I1646:J1646">
    <cfRule type="cellIs" dxfId="0" priority="691" stopIfTrue="1" operator="lessThan">
      <formula>0</formula>
    </cfRule>
  </conditionalFormatting>
  <conditionalFormatting sqref="I1646:J1646">
    <cfRule type="cellIs" dxfId="1" priority="692" stopIfTrue="1" operator="greaterThan">
      <formula>0</formula>
    </cfRule>
  </conditionalFormatting>
  <conditionalFormatting sqref="I1647:J1650">
    <cfRule type="cellIs" dxfId="0" priority="693" stopIfTrue="1" operator="lessThan">
      <formula>0</formula>
    </cfRule>
  </conditionalFormatting>
  <conditionalFormatting sqref="I1647:J1650">
    <cfRule type="cellIs" dxfId="1" priority="694" stopIfTrue="1" operator="greaterThan">
      <formula>0</formula>
    </cfRule>
  </conditionalFormatting>
  <conditionalFormatting sqref="I1655:J1655">
    <cfRule type="cellIs" dxfId="0" priority="695" stopIfTrue="1" operator="lessThan">
      <formula>0</formula>
    </cfRule>
  </conditionalFormatting>
  <conditionalFormatting sqref="I1655:J1655">
    <cfRule type="cellIs" dxfId="1" priority="696" stopIfTrue="1" operator="greaterThan">
      <formula>0</formula>
    </cfRule>
  </conditionalFormatting>
  <conditionalFormatting sqref="I1656:J1659">
    <cfRule type="cellIs" dxfId="0" priority="697" stopIfTrue="1" operator="lessThan">
      <formula>0</formula>
    </cfRule>
  </conditionalFormatting>
  <conditionalFormatting sqref="I1656:J1659">
    <cfRule type="cellIs" dxfId="1" priority="698" stopIfTrue="1" operator="greaterThan">
      <formula>0</formula>
    </cfRule>
  </conditionalFormatting>
  <conditionalFormatting sqref="I1666:J1666">
    <cfRule type="cellIs" dxfId="0" priority="699" stopIfTrue="1" operator="lessThan">
      <formula>0</formula>
    </cfRule>
  </conditionalFormatting>
  <conditionalFormatting sqref="I1666:J1666">
    <cfRule type="cellIs" dxfId="1" priority="700" stopIfTrue="1" operator="greaterThan">
      <formula>0</formula>
    </cfRule>
  </conditionalFormatting>
  <conditionalFormatting sqref="I1667:J1670">
    <cfRule type="cellIs" dxfId="0" priority="701" stopIfTrue="1" operator="lessThan">
      <formula>0</formula>
    </cfRule>
  </conditionalFormatting>
  <conditionalFormatting sqref="I1667:J1670">
    <cfRule type="cellIs" dxfId="1" priority="702" stopIfTrue="1" operator="greaterThan">
      <formula>0</formula>
    </cfRule>
  </conditionalFormatting>
  <conditionalFormatting sqref="I1675:J1675">
    <cfRule type="cellIs" dxfId="0" priority="703" stopIfTrue="1" operator="lessThan">
      <formula>0</formula>
    </cfRule>
  </conditionalFormatting>
  <conditionalFormatting sqref="I1675:J1675">
    <cfRule type="cellIs" dxfId="1" priority="704" stopIfTrue="1" operator="greaterThan">
      <formula>0</formula>
    </cfRule>
  </conditionalFormatting>
  <conditionalFormatting sqref="I1676:J1683">
    <cfRule type="cellIs" dxfId="0" priority="705" stopIfTrue="1" operator="lessThan">
      <formula>0</formula>
    </cfRule>
  </conditionalFormatting>
  <conditionalFormatting sqref="I1676:J1683">
    <cfRule type="cellIs" dxfId="1" priority="706" stopIfTrue="1" operator="greaterThan">
      <formula>0</formula>
    </cfRule>
  </conditionalFormatting>
  <conditionalFormatting sqref="I1684:J1684">
    <cfRule type="cellIs" dxfId="0" priority="707" stopIfTrue="1" operator="lessThan">
      <formula>0</formula>
    </cfRule>
  </conditionalFormatting>
  <conditionalFormatting sqref="I1684:J1684">
    <cfRule type="cellIs" dxfId="1" priority="708" stopIfTrue="1" operator="greaterThan">
      <formula>0</formula>
    </cfRule>
  </conditionalFormatting>
  <conditionalFormatting sqref="I1685:J1688 I1714:J1716">
    <cfRule type="cellIs" dxfId="0" priority="709" stopIfTrue="1" operator="lessThan">
      <formula>0</formula>
    </cfRule>
  </conditionalFormatting>
  <conditionalFormatting sqref="I1685:J1688 I1714:J1716">
    <cfRule type="cellIs" dxfId="1" priority="710" stopIfTrue="1" operator="greaterThan">
      <formula>0</formula>
    </cfRule>
  </conditionalFormatting>
  <conditionalFormatting sqref="I1689:J1689">
    <cfRule type="cellIs" dxfId="0" priority="711" stopIfTrue="1" operator="lessThan">
      <formula>0</formula>
    </cfRule>
  </conditionalFormatting>
  <conditionalFormatting sqref="I1689:J1689">
    <cfRule type="cellIs" dxfId="1" priority="712" stopIfTrue="1" operator="greaterThan">
      <formula>0</formula>
    </cfRule>
  </conditionalFormatting>
  <conditionalFormatting sqref="I1690:J1697">
    <cfRule type="cellIs" dxfId="0" priority="713" stopIfTrue="1" operator="lessThan">
      <formula>0</formula>
    </cfRule>
  </conditionalFormatting>
  <conditionalFormatting sqref="I1690:J1697">
    <cfRule type="cellIs" dxfId="1" priority="714" stopIfTrue="1" operator="greaterThan">
      <formula>0</formula>
    </cfRule>
  </conditionalFormatting>
  <conditionalFormatting sqref="I1698:J1698">
    <cfRule type="cellIs" dxfId="0" priority="715" stopIfTrue="1" operator="lessThan">
      <formula>0</formula>
    </cfRule>
  </conditionalFormatting>
  <conditionalFormatting sqref="I1698:J1698">
    <cfRule type="cellIs" dxfId="1" priority="716" stopIfTrue="1" operator="greaterThan">
      <formula>0</formula>
    </cfRule>
  </conditionalFormatting>
  <conditionalFormatting sqref="I1699:J1702">
    <cfRule type="cellIs" dxfId="0" priority="717" stopIfTrue="1" operator="lessThan">
      <formula>0</formula>
    </cfRule>
  </conditionalFormatting>
  <conditionalFormatting sqref="I1699:J1702">
    <cfRule type="cellIs" dxfId="1" priority="718" stopIfTrue="1" operator="greaterThan">
      <formula>0</formula>
    </cfRule>
  </conditionalFormatting>
  <conditionalFormatting sqref="I1717:J1725 I1731:J1735">
    <cfRule type="cellIs" dxfId="0" priority="719" stopIfTrue="1" operator="lessThan">
      <formula>0</formula>
    </cfRule>
  </conditionalFormatting>
  <conditionalFormatting sqref="I1717:J1725 I1731:J1735">
    <cfRule type="cellIs" dxfId="1" priority="720" stopIfTrue="1" operator="greaterThan">
      <formula>0</formula>
    </cfRule>
  </conditionalFormatting>
  <conditionalFormatting sqref="I1726:J1730">
    <cfRule type="cellIs" dxfId="0" priority="721" stopIfTrue="1" operator="lessThan">
      <formula>0</formula>
    </cfRule>
  </conditionalFormatting>
  <conditionalFormatting sqref="I1726:J1730">
    <cfRule type="cellIs" dxfId="1" priority="722" stopIfTrue="1" operator="greaterThan">
      <formula>0</formula>
    </cfRule>
  </conditionalFormatting>
  <conditionalFormatting sqref="I1736:J1740">
    <cfRule type="cellIs" dxfId="0" priority="723" stopIfTrue="1" operator="lessThan">
      <formula>0</formula>
    </cfRule>
  </conditionalFormatting>
  <conditionalFormatting sqref="I1736:J1740">
    <cfRule type="cellIs" dxfId="1" priority="724" stopIfTrue="1" operator="greaterThan">
      <formula>0</formula>
    </cfRule>
  </conditionalFormatting>
  <conditionalFormatting sqref="I1741:J1752">
    <cfRule type="cellIs" dxfId="0" priority="725" stopIfTrue="1" operator="lessThan">
      <formula>0</formula>
    </cfRule>
  </conditionalFormatting>
  <conditionalFormatting sqref="I1741:J1752">
    <cfRule type="cellIs" dxfId="1" priority="726" stopIfTrue="1" operator="greaterThan">
      <formula>0</formula>
    </cfRule>
  </conditionalFormatting>
  <conditionalFormatting sqref="I1753:J1757">
    <cfRule type="cellIs" dxfId="0" priority="727" stopIfTrue="1" operator="lessThan">
      <formula>0</formula>
    </cfRule>
  </conditionalFormatting>
  <conditionalFormatting sqref="I1753:J1757">
    <cfRule type="cellIs" dxfId="1" priority="728" stopIfTrue="1" operator="greaterThan">
      <formula>0</formula>
    </cfRule>
  </conditionalFormatting>
  <conditionalFormatting sqref="I1758:J1762">
    <cfRule type="cellIs" dxfId="0" priority="729" stopIfTrue="1" operator="lessThan">
      <formula>0</formula>
    </cfRule>
  </conditionalFormatting>
  <conditionalFormatting sqref="I1758:J1762">
    <cfRule type="cellIs" dxfId="1" priority="730" stopIfTrue="1" operator="greaterThan">
      <formula>0</formula>
    </cfRule>
  </conditionalFormatting>
  <conditionalFormatting sqref="I1763:J1768">
    <cfRule type="cellIs" dxfId="0" priority="731" stopIfTrue="1" operator="lessThan">
      <formula>0</formula>
    </cfRule>
  </conditionalFormatting>
  <conditionalFormatting sqref="I1763:J1768">
    <cfRule type="cellIs" dxfId="1" priority="732" stopIfTrue="1" operator="greaterThan">
      <formula>0</formula>
    </cfRule>
  </conditionalFormatting>
  <conditionalFormatting sqref="I1769:J1779">
    <cfRule type="cellIs" dxfId="0" priority="733" stopIfTrue="1" operator="lessThan">
      <formula>0</formula>
    </cfRule>
  </conditionalFormatting>
  <conditionalFormatting sqref="I1769:J1779">
    <cfRule type="cellIs" dxfId="1" priority="734" stopIfTrue="1" operator="greaterThan">
      <formula>0</formula>
    </cfRule>
  </conditionalFormatting>
  <conditionalFormatting sqref="I1780:J1797">
    <cfRule type="cellIs" dxfId="0" priority="735" stopIfTrue="1" operator="lessThan">
      <formula>0</formula>
    </cfRule>
  </conditionalFormatting>
  <conditionalFormatting sqref="I1780:J1797">
    <cfRule type="cellIs" dxfId="1" priority="736" stopIfTrue="1" operator="greaterThan">
      <formula>0</formula>
    </cfRule>
  </conditionalFormatting>
  <conditionalFormatting sqref="I1805:J1812 I1818:J1819 I1825:J1830">
    <cfRule type="cellIs" dxfId="0" priority="737" stopIfTrue="1" operator="lessThan">
      <formula>0</formula>
    </cfRule>
  </conditionalFormatting>
  <conditionalFormatting sqref="I1805:J1812 I1818:J1819 I1825:J1830">
    <cfRule type="cellIs" dxfId="1" priority="738" stopIfTrue="1" operator="greaterThan">
      <formula>0</formula>
    </cfRule>
  </conditionalFormatting>
  <conditionalFormatting sqref="I1813:J1817">
    <cfRule type="cellIs" dxfId="0" priority="739" stopIfTrue="1" operator="lessThan">
      <formula>0</formula>
    </cfRule>
  </conditionalFormatting>
  <conditionalFormatting sqref="I1813:J1817">
    <cfRule type="cellIs" dxfId="1" priority="740" stopIfTrue="1" operator="greaterThan">
      <formula>0</formula>
    </cfRule>
  </conditionalFormatting>
  <conditionalFormatting sqref="I1820:J1824">
    <cfRule type="cellIs" dxfId="0" priority="741" stopIfTrue="1" operator="lessThan">
      <formula>0</formula>
    </cfRule>
  </conditionalFormatting>
  <conditionalFormatting sqref="I1820:J1824">
    <cfRule type="cellIs" dxfId="1" priority="742" stopIfTrue="1" operator="greaterThan">
      <formula>0</formula>
    </cfRule>
  </conditionalFormatting>
  <conditionalFormatting sqref="I1831:J1836">
    <cfRule type="cellIs" dxfId="0" priority="743" stopIfTrue="1" operator="lessThan">
      <formula>0</formula>
    </cfRule>
  </conditionalFormatting>
  <conditionalFormatting sqref="I1831:J1836">
    <cfRule type="cellIs" dxfId="1" priority="744" stopIfTrue="1" operator="greaterThan">
      <formula>0</formula>
    </cfRule>
  </conditionalFormatting>
  <conditionalFormatting sqref="I1869:J1876 I1882:J1882 I1896:J1897">
    <cfRule type="cellIs" dxfId="0" priority="745" stopIfTrue="1" operator="lessThan">
      <formula>0</formula>
    </cfRule>
  </conditionalFormatting>
  <conditionalFormatting sqref="I1869:J1876 I1882:J1882 I1896:J1897">
    <cfRule type="cellIs" dxfId="1" priority="746" stopIfTrue="1" operator="greaterThan">
      <formula>0</formula>
    </cfRule>
  </conditionalFormatting>
  <conditionalFormatting sqref="I1877:J1881">
    <cfRule type="cellIs" dxfId="0" priority="747" stopIfTrue="1" operator="lessThan">
      <formula>0</formula>
    </cfRule>
  </conditionalFormatting>
  <conditionalFormatting sqref="I1877:J1881">
    <cfRule type="cellIs" dxfId="1" priority="748" stopIfTrue="1" operator="greaterThan">
      <formula>0</formula>
    </cfRule>
  </conditionalFormatting>
  <conditionalFormatting sqref="I1898:J1901">
    <cfRule type="cellIs" dxfId="0" priority="749" stopIfTrue="1" operator="lessThan">
      <formula>0</formula>
    </cfRule>
  </conditionalFormatting>
  <conditionalFormatting sqref="I1898:J1901">
    <cfRule type="cellIs" dxfId="1" priority="750" stopIfTrue="1" operator="greaterThan">
      <formula>0</formula>
    </cfRule>
  </conditionalFormatting>
  <conditionalFormatting sqref="I1902:J1903">
    <cfRule type="cellIs" dxfId="0" priority="751" stopIfTrue="1" operator="lessThan">
      <formula>0</formula>
    </cfRule>
  </conditionalFormatting>
  <conditionalFormatting sqref="I1902:J1903">
    <cfRule type="cellIs" dxfId="1" priority="752" stopIfTrue="1" operator="greaterThan">
      <formula>0</formula>
    </cfRule>
  </conditionalFormatting>
  <conditionalFormatting sqref="I1904:J1907">
    <cfRule type="cellIs" dxfId="0" priority="753" stopIfTrue="1" operator="lessThan">
      <formula>0</formula>
    </cfRule>
  </conditionalFormatting>
  <conditionalFormatting sqref="I1904:J1907">
    <cfRule type="cellIs" dxfId="1" priority="754" stopIfTrue="1" operator="greaterThan">
      <formula>0</formula>
    </cfRule>
  </conditionalFormatting>
  <conditionalFormatting sqref="I1908:J1917">
    <cfRule type="cellIs" dxfId="0" priority="755" stopIfTrue="1" operator="lessThan">
      <formula>0</formula>
    </cfRule>
  </conditionalFormatting>
  <conditionalFormatting sqref="I1908:J1917">
    <cfRule type="cellIs" dxfId="1" priority="756" stopIfTrue="1" operator="greaterThan">
      <formula>0</formula>
    </cfRule>
  </conditionalFormatting>
  <conditionalFormatting sqref="I1918:J1921">
    <cfRule type="cellIs" dxfId="0" priority="757" stopIfTrue="1" operator="lessThan">
      <formula>0</formula>
    </cfRule>
  </conditionalFormatting>
  <conditionalFormatting sqref="I1918:J1921">
    <cfRule type="cellIs" dxfId="1" priority="758" stopIfTrue="1" operator="greaterThan">
      <formula>0</formula>
    </cfRule>
  </conditionalFormatting>
  <conditionalFormatting sqref="I1922:J1924 I1930:J1938 I1949:J1955 I1961:J1961 I1971:J1979 I1985:J1992 I1998:J2001 I2007:J2011">
    <cfRule type="cellIs" dxfId="0" priority="759" stopIfTrue="1" operator="lessThan">
      <formula>0</formula>
    </cfRule>
  </conditionalFormatting>
  <conditionalFormatting sqref="I1922:J1924 I1930:J1938 I1949:J1955 I1961:J1961 I1971:J1979 I1985:J1992 I1998:J2001 I2007:J2011">
    <cfRule type="cellIs" dxfId="1" priority="760" stopIfTrue="1" operator="greaterThan">
      <formula>0</formula>
    </cfRule>
  </conditionalFormatting>
  <conditionalFormatting sqref="I1925:J1928">
    <cfRule type="cellIs" dxfId="0" priority="761" stopIfTrue="1" operator="lessThan">
      <formula>0</formula>
    </cfRule>
  </conditionalFormatting>
  <conditionalFormatting sqref="I1925:J1928">
    <cfRule type="cellIs" dxfId="1" priority="762" stopIfTrue="1" operator="greaterThan">
      <formula>0</formula>
    </cfRule>
  </conditionalFormatting>
  <conditionalFormatting sqref="I1929:J1929">
    <cfRule type="cellIs" dxfId="0" priority="763" stopIfTrue="1" operator="lessThan">
      <formula>0</formula>
    </cfRule>
  </conditionalFormatting>
  <conditionalFormatting sqref="I1929:J1929">
    <cfRule type="cellIs" dxfId="1" priority="764" stopIfTrue="1" operator="greaterThan">
      <formula>0</formula>
    </cfRule>
  </conditionalFormatting>
  <conditionalFormatting sqref="I1939:J1942">
    <cfRule type="cellIs" dxfId="0" priority="765" stopIfTrue="1" operator="lessThan">
      <formula>0</formula>
    </cfRule>
  </conditionalFormatting>
  <conditionalFormatting sqref="I1939:J1942">
    <cfRule type="cellIs" dxfId="1" priority="766" stopIfTrue="1" operator="greaterThan">
      <formula>0</formula>
    </cfRule>
  </conditionalFormatting>
  <conditionalFormatting sqref="I1943:J1943">
    <cfRule type="cellIs" dxfId="0" priority="767" stopIfTrue="1" operator="lessThan">
      <formula>0</formula>
    </cfRule>
  </conditionalFormatting>
  <conditionalFormatting sqref="I1943:J1943">
    <cfRule type="cellIs" dxfId="1" priority="768" stopIfTrue="1" operator="greaterThan">
      <formula>0</formula>
    </cfRule>
  </conditionalFormatting>
  <conditionalFormatting sqref="I1960:J1960">
    <cfRule type="cellIs" dxfId="0" priority="769" stopIfTrue="1" operator="lessThan">
      <formula>0</formula>
    </cfRule>
  </conditionalFormatting>
  <conditionalFormatting sqref="I1960:J1960">
    <cfRule type="cellIs" dxfId="1" priority="770" stopIfTrue="1" operator="greaterThan">
      <formula>0</formula>
    </cfRule>
  </conditionalFormatting>
  <conditionalFormatting sqref="I1956:J1959">
    <cfRule type="cellIs" dxfId="0" priority="771" stopIfTrue="1" operator="lessThan">
      <formula>0</formula>
    </cfRule>
  </conditionalFormatting>
  <conditionalFormatting sqref="I1956:J1959">
    <cfRule type="cellIs" dxfId="1" priority="772" stopIfTrue="1" operator="greaterThan">
      <formula>0</formula>
    </cfRule>
  </conditionalFormatting>
  <conditionalFormatting sqref="I1948:J1948">
    <cfRule type="cellIs" dxfId="0" priority="773" stopIfTrue="1" operator="lessThan">
      <formula>0</formula>
    </cfRule>
  </conditionalFormatting>
  <conditionalFormatting sqref="I1948:J1948">
    <cfRule type="cellIs" dxfId="1" priority="774" stopIfTrue="1" operator="greaterThan">
      <formula>0</formula>
    </cfRule>
  </conditionalFormatting>
  <conditionalFormatting sqref="I1944:J1947">
    <cfRule type="cellIs" dxfId="0" priority="775" stopIfTrue="1" operator="lessThan">
      <formula>0</formula>
    </cfRule>
  </conditionalFormatting>
  <conditionalFormatting sqref="I1944:J1947">
    <cfRule type="cellIs" dxfId="1" priority="776" stopIfTrue="1" operator="greaterThan">
      <formula>0</formula>
    </cfRule>
  </conditionalFormatting>
  <conditionalFormatting sqref="I1966:J1970">
    <cfRule type="cellIs" dxfId="0" priority="777" stopIfTrue="1" operator="lessThan">
      <formula>0</formula>
    </cfRule>
  </conditionalFormatting>
  <conditionalFormatting sqref="I1966:J1970">
    <cfRule type="cellIs" dxfId="1" priority="778" stopIfTrue="1" operator="greaterThan">
      <formula>0</formula>
    </cfRule>
  </conditionalFormatting>
  <conditionalFormatting sqref="I1962:J1965">
    <cfRule type="cellIs" dxfId="0" priority="779" stopIfTrue="1" operator="lessThan">
      <formula>0</formula>
    </cfRule>
  </conditionalFormatting>
  <conditionalFormatting sqref="I1962:J1965">
    <cfRule type="cellIs" dxfId="1" priority="780" stopIfTrue="1" operator="greaterThan">
      <formula>0</formula>
    </cfRule>
  </conditionalFormatting>
  <conditionalFormatting sqref="I1984:J1984">
    <cfRule type="cellIs" dxfId="0" priority="781" stopIfTrue="1" operator="lessThan">
      <formula>0</formula>
    </cfRule>
  </conditionalFormatting>
  <conditionalFormatting sqref="I1984:J1984">
    <cfRule type="cellIs" dxfId="1" priority="782" stopIfTrue="1" operator="greaterThan">
      <formula>0</formula>
    </cfRule>
  </conditionalFormatting>
  <conditionalFormatting sqref="I1980:J1983">
    <cfRule type="cellIs" dxfId="0" priority="783" stopIfTrue="1" operator="lessThan">
      <formula>0</formula>
    </cfRule>
  </conditionalFormatting>
  <conditionalFormatting sqref="I1980:J1983">
    <cfRule type="cellIs" dxfId="1" priority="784" stopIfTrue="1" operator="greaterThan">
      <formula>0</formula>
    </cfRule>
  </conditionalFormatting>
  <conditionalFormatting sqref="I1997:J1997">
    <cfRule type="cellIs" dxfId="0" priority="785" stopIfTrue="1" operator="lessThan">
      <formula>0</formula>
    </cfRule>
  </conditionalFormatting>
  <conditionalFormatting sqref="I1997:J1997">
    <cfRule type="cellIs" dxfId="1" priority="786" stopIfTrue="1" operator="greaterThan">
      <formula>0</formula>
    </cfRule>
  </conditionalFormatting>
  <conditionalFormatting sqref="I1993:J1996">
    <cfRule type="cellIs" dxfId="0" priority="787" stopIfTrue="1" operator="lessThan">
      <formula>0</formula>
    </cfRule>
  </conditionalFormatting>
  <conditionalFormatting sqref="I1993:J1996">
    <cfRule type="cellIs" dxfId="1" priority="788" stopIfTrue="1" operator="greaterThan">
      <formula>0</formula>
    </cfRule>
  </conditionalFormatting>
  <conditionalFormatting sqref="I2006:J2006">
    <cfRule type="cellIs" dxfId="0" priority="789" stopIfTrue="1" operator="lessThan">
      <formula>0</formula>
    </cfRule>
  </conditionalFormatting>
  <conditionalFormatting sqref="I2006:J2006">
    <cfRule type="cellIs" dxfId="1" priority="790" stopIfTrue="1" operator="greaterThan">
      <formula>0</formula>
    </cfRule>
  </conditionalFormatting>
  <conditionalFormatting sqref="I2002:J2005">
    <cfRule type="cellIs" dxfId="0" priority="791" stopIfTrue="1" operator="lessThan">
      <formula>0</formula>
    </cfRule>
  </conditionalFormatting>
  <conditionalFormatting sqref="I2002:J2005">
    <cfRule type="cellIs" dxfId="1" priority="792" stopIfTrue="1" operator="greaterThan">
      <formula>0</formula>
    </cfRule>
  </conditionalFormatting>
  <conditionalFormatting sqref="I2016:J2016">
    <cfRule type="cellIs" dxfId="0" priority="793" stopIfTrue="1" operator="lessThan">
      <formula>0</formula>
    </cfRule>
  </conditionalFormatting>
  <conditionalFormatting sqref="I2016:J2016">
    <cfRule type="cellIs" dxfId="1" priority="794" stopIfTrue="1" operator="greaterThan">
      <formula>0</formula>
    </cfRule>
  </conditionalFormatting>
  <conditionalFormatting sqref="I2012:J2015">
    <cfRule type="cellIs" dxfId="0" priority="795" stopIfTrue="1" operator="lessThan">
      <formula>0</formula>
    </cfRule>
  </conditionalFormatting>
  <conditionalFormatting sqref="I2012:J2015">
    <cfRule type="cellIs" dxfId="1" priority="796" stopIfTrue="1" operator="greaterThan">
      <formula>0</formula>
    </cfRule>
  </conditionalFormatting>
  <conditionalFormatting sqref="I2021:J2021 I2022:I2023">
    <cfRule type="cellIs" dxfId="0" priority="797" stopIfTrue="1" operator="lessThan">
      <formula>0</formula>
    </cfRule>
  </conditionalFormatting>
  <conditionalFormatting sqref="I2021:J2021 I2022:I2023">
    <cfRule type="cellIs" dxfId="1" priority="798" stopIfTrue="1" operator="greaterThan">
      <formula>0</formula>
    </cfRule>
  </conditionalFormatting>
  <conditionalFormatting sqref="I2017:J2020">
    <cfRule type="cellIs" dxfId="0" priority="799" stopIfTrue="1" operator="lessThan">
      <formula>0</formula>
    </cfRule>
  </conditionalFormatting>
  <conditionalFormatting sqref="I2017:J2020">
    <cfRule type="cellIs" dxfId="1" priority="800" stopIfTrue="1" operator="greaterThan">
      <formula>0</formula>
    </cfRule>
  </conditionalFormatting>
  <conditionalFormatting sqref="I2028:J2030">
    <cfRule type="cellIs" dxfId="0" priority="801" stopIfTrue="1" operator="lessThan">
      <formula>0</formula>
    </cfRule>
  </conditionalFormatting>
  <conditionalFormatting sqref="I2028:J2030">
    <cfRule type="cellIs" dxfId="1" priority="802" stopIfTrue="1" operator="greaterThan">
      <formula>0</formula>
    </cfRule>
  </conditionalFormatting>
  <conditionalFormatting sqref="I2024:J2027">
    <cfRule type="cellIs" dxfId="0" priority="803" stopIfTrue="1" operator="lessThan">
      <formula>0</formula>
    </cfRule>
  </conditionalFormatting>
  <conditionalFormatting sqref="I2024:J2027">
    <cfRule type="cellIs" dxfId="1" priority="804" stopIfTrue="1" operator="greaterThan">
      <formula>0</formula>
    </cfRule>
  </conditionalFormatting>
  <conditionalFormatting sqref="J2022:J2023">
    <cfRule type="cellIs" dxfId="0" priority="805" stopIfTrue="1" operator="lessThan">
      <formula>0</formula>
    </cfRule>
  </conditionalFormatting>
  <conditionalFormatting sqref="J2022:J2023">
    <cfRule type="cellIs" dxfId="1" priority="806" stopIfTrue="1" operator="greaterThan">
      <formula>0</formula>
    </cfRule>
  </conditionalFormatting>
  <conditionalFormatting sqref="I2035:J2035">
    <cfRule type="cellIs" dxfId="0" priority="807" stopIfTrue="1" operator="lessThan">
      <formula>0</formula>
    </cfRule>
  </conditionalFormatting>
  <conditionalFormatting sqref="I2035:J2035">
    <cfRule type="cellIs" dxfId="1" priority="808" stopIfTrue="1" operator="greaterThan">
      <formula>0</formula>
    </cfRule>
  </conditionalFormatting>
  <conditionalFormatting sqref="I2031:J2034">
    <cfRule type="cellIs" dxfId="0" priority="809" stopIfTrue="1" operator="lessThan">
      <formula>0</formula>
    </cfRule>
  </conditionalFormatting>
  <conditionalFormatting sqref="I2031:J2034">
    <cfRule type="cellIs" dxfId="1" priority="810" stopIfTrue="1" operator="greaterThan">
      <formula>0</formula>
    </cfRule>
  </conditionalFormatting>
  <conditionalFormatting sqref="I2040:J2048">
    <cfRule type="cellIs" dxfId="0" priority="811" stopIfTrue="1" operator="lessThan">
      <formula>0</formula>
    </cfRule>
  </conditionalFormatting>
  <conditionalFormatting sqref="I2040:J2048">
    <cfRule type="cellIs" dxfId="1" priority="812" stopIfTrue="1" operator="greaterThan">
      <formula>0</formula>
    </cfRule>
  </conditionalFormatting>
  <conditionalFormatting sqref="I2036:J2039">
    <cfRule type="cellIs" dxfId="0" priority="813" stopIfTrue="1" operator="lessThan">
      <formula>0</formula>
    </cfRule>
  </conditionalFormatting>
  <conditionalFormatting sqref="I2036:J2039">
    <cfRule type="cellIs" dxfId="1" priority="814" stopIfTrue="1" operator="greaterThan">
      <formula>0</formula>
    </cfRule>
  </conditionalFormatting>
  <conditionalFormatting sqref="I2049:J2057 I2063:J2067 I2117:J2120">
    <cfRule type="cellIs" dxfId="0" priority="815" stopIfTrue="1" operator="lessThan">
      <formula>0</formula>
    </cfRule>
  </conditionalFormatting>
  <conditionalFormatting sqref="I2049:J2057 I2063:J2067 I2117:J2120">
    <cfRule type="cellIs" dxfId="1" priority="816" stopIfTrue="1" operator="greaterThan">
      <formula>0</formula>
    </cfRule>
  </conditionalFormatting>
  <conditionalFormatting sqref="I2058:J2062">
    <cfRule type="cellIs" dxfId="0" priority="817" stopIfTrue="1" operator="lessThan">
      <formula>0</formula>
    </cfRule>
  </conditionalFormatting>
  <conditionalFormatting sqref="I2058:J2062">
    <cfRule type="cellIs" dxfId="1" priority="818" stopIfTrue="1" operator="greaterThan">
      <formula>0</formula>
    </cfRule>
  </conditionalFormatting>
  <conditionalFormatting sqref="I2068:J2075 I2081:J2081 I2087:J2087">
    <cfRule type="cellIs" dxfId="0" priority="819" stopIfTrue="1" operator="lessThan">
      <formula>0</formula>
    </cfRule>
  </conditionalFormatting>
  <conditionalFormatting sqref="I2068:J2075 I2081:J2081 I2087:J2087">
    <cfRule type="cellIs" dxfId="1" priority="820" stopIfTrue="1" operator="greaterThan">
      <formula>0</formula>
    </cfRule>
  </conditionalFormatting>
  <conditionalFormatting sqref="I2076:J2080">
    <cfRule type="cellIs" dxfId="0" priority="821" stopIfTrue="1" operator="lessThan">
      <formula>0</formula>
    </cfRule>
  </conditionalFormatting>
  <conditionalFormatting sqref="I2076:J2080">
    <cfRule type="cellIs" dxfId="1" priority="822" stopIfTrue="1" operator="greaterThan">
      <formula>0</formula>
    </cfRule>
  </conditionalFormatting>
  <conditionalFormatting sqref="I2082:J2086">
    <cfRule type="cellIs" dxfId="0" priority="823" stopIfTrue="1" operator="lessThan">
      <formula>0</formula>
    </cfRule>
  </conditionalFormatting>
  <conditionalFormatting sqref="I2082:J2086">
    <cfRule type="cellIs" dxfId="1" priority="824" stopIfTrue="1" operator="greaterThan">
      <formula>0</formula>
    </cfRule>
  </conditionalFormatting>
  <conditionalFormatting sqref="I2088:J2092">
    <cfRule type="cellIs" dxfId="0" priority="825" stopIfTrue="1" operator="lessThan">
      <formula>0</formula>
    </cfRule>
  </conditionalFormatting>
  <conditionalFormatting sqref="I2088:J2092">
    <cfRule type="cellIs" dxfId="1" priority="826" stopIfTrue="1" operator="greaterThan">
      <formula>0</formula>
    </cfRule>
  </conditionalFormatting>
  <conditionalFormatting sqref="I2093:J2097">
    <cfRule type="cellIs" dxfId="0" priority="827" stopIfTrue="1" operator="lessThan">
      <formula>0</formula>
    </cfRule>
  </conditionalFormatting>
  <conditionalFormatting sqref="I2093:J2097">
    <cfRule type="cellIs" dxfId="1" priority="828" stopIfTrue="1" operator="greaterThan">
      <formula>0</formula>
    </cfRule>
  </conditionalFormatting>
  <conditionalFormatting sqref="I2098:J2102">
    <cfRule type="cellIs" dxfId="0" priority="829" stopIfTrue="1" operator="lessThan">
      <formula>0</formula>
    </cfRule>
  </conditionalFormatting>
  <conditionalFormatting sqref="I2098:J2102">
    <cfRule type="cellIs" dxfId="1" priority="830" stopIfTrue="1" operator="greaterThan">
      <formula>0</formula>
    </cfRule>
  </conditionalFormatting>
  <conditionalFormatting sqref="I2108:J2112">
    <cfRule type="cellIs" dxfId="0" priority="831" stopIfTrue="1" operator="lessThan">
      <formula>0</formula>
    </cfRule>
  </conditionalFormatting>
  <conditionalFormatting sqref="I2108:J2112">
    <cfRule type="cellIs" dxfId="1" priority="832" stopIfTrue="1" operator="greaterThan">
      <formula>0</formula>
    </cfRule>
  </conditionalFormatting>
  <conditionalFormatting sqref="I2103:J2107">
    <cfRule type="cellIs" dxfId="0" priority="833" stopIfTrue="1" operator="lessThan">
      <formula>0</formula>
    </cfRule>
  </conditionalFormatting>
  <conditionalFormatting sqref="I2103:J2107">
    <cfRule type="cellIs" dxfId="1" priority="834" stopIfTrue="1" operator="greaterThan">
      <formula>0</formula>
    </cfRule>
  </conditionalFormatting>
  <conditionalFormatting sqref="I2121:J2124">
    <cfRule type="cellIs" dxfId="0" priority="835" stopIfTrue="1" operator="lessThan">
      <formula>0</formula>
    </cfRule>
  </conditionalFormatting>
  <conditionalFormatting sqref="I2121:J2124">
    <cfRule type="cellIs" dxfId="1" priority="836" stopIfTrue="1" operator="greaterThan">
      <formula>0</formula>
    </cfRule>
  </conditionalFormatting>
  <conditionalFormatting sqref="I2125:J2130">
    <cfRule type="cellIs" dxfId="0" priority="837" stopIfTrue="1" operator="lessThan">
      <formula>0</formula>
    </cfRule>
  </conditionalFormatting>
  <conditionalFormatting sqref="I2125:J2130">
    <cfRule type="cellIs" dxfId="1" priority="838" stopIfTrue="1" operator="greaterThan">
      <formula>0</formula>
    </cfRule>
  </conditionalFormatting>
  <conditionalFormatting sqref="I2131:J2134">
    <cfRule type="cellIs" dxfId="0" priority="839" stopIfTrue="1" operator="lessThan">
      <formula>0</formula>
    </cfRule>
  </conditionalFormatting>
  <conditionalFormatting sqref="I2131:J2134">
    <cfRule type="cellIs" dxfId="1" priority="840" stopIfTrue="1" operator="greaterThan">
      <formula>0</formula>
    </cfRule>
  </conditionalFormatting>
  <conditionalFormatting sqref="I2135:J2143">
    <cfRule type="cellIs" dxfId="0" priority="841" stopIfTrue="1" operator="lessThan">
      <formula>0</formula>
    </cfRule>
  </conditionalFormatting>
  <conditionalFormatting sqref="I2135:J2143">
    <cfRule type="cellIs" dxfId="1" priority="842" stopIfTrue="1" operator="greaterThan">
      <formula>0</formula>
    </cfRule>
  </conditionalFormatting>
  <conditionalFormatting sqref="I2144:J2147">
    <cfRule type="cellIs" dxfId="0" priority="843" stopIfTrue="1" operator="lessThan">
      <formula>0</formula>
    </cfRule>
  </conditionalFormatting>
  <conditionalFormatting sqref="I2144:J2147">
    <cfRule type="cellIs" dxfId="1" priority="844" stopIfTrue="1" operator="greaterThan">
      <formula>0</formula>
    </cfRule>
  </conditionalFormatting>
  <conditionalFormatting sqref="I2148:J2152">
    <cfRule type="cellIs" dxfId="0" priority="845" stopIfTrue="1" operator="lessThan">
      <formula>0</formula>
    </cfRule>
  </conditionalFormatting>
  <conditionalFormatting sqref="I2148:J2152">
    <cfRule type="cellIs" dxfId="1" priority="846" stopIfTrue="1" operator="greaterThan">
      <formula>0</formula>
    </cfRule>
  </conditionalFormatting>
  <conditionalFormatting sqref="I2153:J2156">
    <cfRule type="cellIs" dxfId="0" priority="847" stopIfTrue="1" operator="lessThan">
      <formula>0</formula>
    </cfRule>
  </conditionalFormatting>
  <conditionalFormatting sqref="I2153:J2156">
    <cfRule type="cellIs" dxfId="1" priority="848" stopIfTrue="1" operator="greaterThan">
      <formula>0</formula>
    </cfRule>
  </conditionalFormatting>
  <conditionalFormatting sqref="I2157:J2157">
    <cfRule type="cellIs" dxfId="0" priority="849" stopIfTrue="1" operator="lessThan">
      <formula>0</formula>
    </cfRule>
  </conditionalFormatting>
  <conditionalFormatting sqref="I2157:J2157">
    <cfRule type="cellIs" dxfId="1" priority="850" stopIfTrue="1" operator="greaterThan">
      <formula>0</formula>
    </cfRule>
  </conditionalFormatting>
  <conditionalFormatting sqref="I2158:J2161">
    <cfRule type="cellIs" dxfId="0" priority="851" stopIfTrue="1" operator="lessThan">
      <formula>0</formula>
    </cfRule>
  </conditionalFormatting>
  <conditionalFormatting sqref="I2158:J2161">
    <cfRule type="cellIs" dxfId="1" priority="852" stopIfTrue="1" operator="greaterThan">
      <formula>0</formula>
    </cfRule>
  </conditionalFormatting>
  <conditionalFormatting sqref="I2162:J2164">
    <cfRule type="cellIs" dxfId="0" priority="853" stopIfTrue="1" operator="lessThan">
      <formula>0</formula>
    </cfRule>
  </conditionalFormatting>
  <conditionalFormatting sqref="I2162:J2164">
    <cfRule type="cellIs" dxfId="1" priority="854" stopIfTrue="1" operator="greaterThan">
      <formula>0</formula>
    </cfRule>
  </conditionalFormatting>
  <conditionalFormatting sqref="I2165:J2168">
    <cfRule type="cellIs" dxfId="0" priority="855" stopIfTrue="1" operator="lessThan">
      <formula>0</formula>
    </cfRule>
  </conditionalFormatting>
  <conditionalFormatting sqref="I2165:J2168">
    <cfRule type="cellIs" dxfId="1" priority="856" stopIfTrue="1" operator="greaterThan">
      <formula>0</formula>
    </cfRule>
  </conditionalFormatting>
  <conditionalFormatting sqref="I2169:J2169 I2175:J2175">
    <cfRule type="cellIs" dxfId="0" priority="857" stopIfTrue="1" operator="lessThan">
      <formula>0</formula>
    </cfRule>
  </conditionalFormatting>
  <conditionalFormatting sqref="I2169:J2169 I2175:J2175">
    <cfRule type="cellIs" dxfId="1" priority="858" stopIfTrue="1" operator="greaterThan">
      <formula>0</formula>
    </cfRule>
  </conditionalFormatting>
  <conditionalFormatting sqref="I2170:J2173">
    <cfRule type="cellIs" dxfId="0" priority="859" stopIfTrue="1" operator="lessThan">
      <formula>0</formula>
    </cfRule>
  </conditionalFormatting>
  <conditionalFormatting sqref="I2170:J2173">
    <cfRule type="cellIs" dxfId="1" priority="860" stopIfTrue="1" operator="greaterThan">
      <formula>0</formula>
    </cfRule>
  </conditionalFormatting>
  <conditionalFormatting sqref="I2174:J2174">
    <cfRule type="cellIs" dxfId="0" priority="861" stopIfTrue="1" operator="lessThan">
      <formula>0</formula>
    </cfRule>
  </conditionalFormatting>
  <conditionalFormatting sqref="I2174:J2174">
    <cfRule type="cellIs" dxfId="1" priority="862" stopIfTrue="1" operator="greaterThan">
      <formula>0</formula>
    </cfRule>
  </conditionalFormatting>
  <conditionalFormatting sqref="I2176:J2179">
    <cfRule type="cellIs" dxfId="0" priority="863" stopIfTrue="1" operator="lessThan">
      <formula>0</formula>
    </cfRule>
  </conditionalFormatting>
  <conditionalFormatting sqref="I2176:J2179">
    <cfRule type="cellIs" dxfId="1" priority="864" stopIfTrue="1" operator="greaterThan">
      <formula>0</formula>
    </cfRule>
  </conditionalFormatting>
  <conditionalFormatting sqref="I2180:J2182">
    <cfRule type="cellIs" dxfId="0" priority="865" stopIfTrue="1" operator="lessThan">
      <formula>0</formula>
    </cfRule>
  </conditionalFormatting>
  <conditionalFormatting sqref="I2180:J2182">
    <cfRule type="cellIs" dxfId="1" priority="866" stopIfTrue="1" operator="greaterThan">
      <formula>0</formula>
    </cfRule>
  </conditionalFormatting>
  <conditionalFormatting sqref="I2183:J2186">
    <cfRule type="cellIs" dxfId="0" priority="867" stopIfTrue="1" operator="lessThan">
      <formula>0</formula>
    </cfRule>
  </conditionalFormatting>
  <conditionalFormatting sqref="I2183:J2186">
    <cfRule type="cellIs" dxfId="1" priority="868" stopIfTrue="1" operator="greaterThan">
      <formula>0</formula>
    </cfRule>
  </conditionalFormatting>
  <conditionalFormatting sqref="I2187:J2200">
    <cfRule type="cellIs" dxfId="0" priority="869" stopIfTrue="1" operator="lessThan">
      <formula>0</formula>
    </cfRule>
  </conditionalFormatting>
  <conditionalFormatting sqref="I2187:J2200">
    <cfRule type="cellIs" dxfId="1" priority="870" stopIfTrue="1" operator="greaterThan">
      <formula>0</formula>
    </cfRule>
  </conditionalFormatting>
  <conditionalFormatting sqref="I2201:J2204">
    <cfRule type="cellIs" dxfId="0" priority="871" stopIfTrue="1" operator="lessThan">
      <formula>0</formula>
    </cfRule>
  </conditionalFormatting>
  <conditionalFormatting sqref="I2201:J2204">
    <cfRule type="cellIs" dxfId="1" priority="872" stopIfTrue="1" operator="greaterThan">
      <formula>0</formula>
    </cfRule>
  </conditionalFormatting>
  <conditionalFormatting sqref="I2205:J2206">
    <cfRule type="cellIs" dxfId="0" priority="873" stopIfTrue="1" operator="lessThan">
      <formula>0</formula>
    </cfRule>
  </conditionalFormatting>
  <conditionalFormatting sqref="I2205:J2206">
    <cfRule type="cellIs" dxfId="1" priority="874" stopIfTrue="1" operator="greaterThan">
      <formula>0</formula>
    </cfRule>
  </conditionalFormatting>
  <conditionalFormatting sqref="I2207:J2210">
    <cfRule type="cellIs" dxfId="0" priority="875" stopIfTrue="1" operator="lessThan">
      <formula>0</formula>
    </cfRule>
  </conditionalFormatting>
  <conditionalFormatting sqref="I2207:J2210">
    <cfRule type="cellIs" dxfId="1" priority="876" stopIfTrue="1" operator="greaterThan">
      <formula>0</formula>
    </cfRule>
  </conditionalFormatting>
  <conditionalFormatting sqref="I2211:J2215">
    <cfRule type="cellIs" dxfId="0" priority="877" stopIfTrue="1" operator="lessThan">
      <formula>0</formula>
    </cfRule>
  </conditionalFormatting>
  <conditionalFormatting sqref="I2211:J2215">
    <cfRule type="cellIs" dxfId="1" priority="878" stopIfTrue="1" operator="greaterThan">
      <formula>0</formula>
    </cfRule>
  </conditionalFormatting>
  <conditionalFormatting sqref="I2216:J2219">
    <cfRule type="cellIs" dxfId="0" priority="879" stopIfTrue="1" operator="lessThan">
      <formula>0</formula>
    </cfRule>
  </conditionalFormatting>
  <conditionalFormatting sqref="I2216:J2219">
    <cfRule type="cellIs" dxfId="1" priority="880" stopIfTrue="1" operator="greaterThan">
      <formula>0</formula>
    </cfRule>
  </conditionalFormatting>
  <conditionalFormatting sqref="I2220:J2220">
    <cfRule type="cellIs" dxfId="0" priority="881" stopIfTrue="1" operator="lessThan">
      <formula>0</formula>
    </cfRule>
  </conditionalFormatting>
  <conditionalFormatting sqref="I2220:J2220">
    <cfRule type="cellIs" dxfId="1" priority="882" stopIfTrue="1" operator="greaterThan">
      <formula>0</formula>
    </cfRule>
  </conditionalFormatting>
  <conditionalFormatting sqref="I2221:J2224">
    <cfRule type="cellIs" dxfId="0" priority="883" stopIfTrue="1" operator="lessThan">
      <formula>0</formula>
    </cfRule>
  </conditionalFormatting>
  <conditionalFormatting sqref="I2221:J2224">
    <cfRule type="cellIs" dxfId="1" priority="884" stopIfTrue="1" operator="greaterThan">
      <formula>0</formula>
    </cfRule>
  </conditionalFormatting>
  <conditionalFormatting sqref="I2225:J2232 I2238:J2239 I2245:J2250">
    <cfRule type="cellIs" dxfId="0" priority="885" stopIfTrue="1" operator="lessThan">
      <formula>0</formula>
    </cfRule>
  </conditionalFormatting>
  <conditionalFormatting sqref="I2225:J2232 I2238:J2239 I2245:J2250">
    <cfRule type="cellIs" dxfId="1" priority="886" stopIfTrue="1" operator="greaterThan">
      <formula>0</formula>
    </cfRule>
  </conditionalFormatting>
  <conditionalFormatting sqref="I2233:J2236">
    <cfRule type="cellIs" dxfId="0" priority="887" stopIfTrue="1" operator="lessThan">
      <formula>0</formula>
    </cfRule>
  </conditionalFormatting>
  <conditionalFormatting sqref="I2233:J2236">
    <cfRule type="cellIs" dxfId="1" priority="888" stopIfTrue="1" operator="greaterThan">
      <formula>0</formula>
    </cfRule>
  </conditionalFormatting>
  <conditionalFormatting sqref="I2237:J2237">
    <cfRule type="cellIs" dxfId="0" priority="889" stopIfTrue="1" operator="lessThan">
      <formula>0</formula>
    </cfRule>
  </conditionalFormatting>
  <conditionalFormatting sqref="I2237:J2237">
    <cfRule type="cellIs" dxfId="1" priority="890" stopIfTrue="1" operator="greaterThan">
      <formula>0</formula>
    </cfRule>
  </conditionalFormatting>
  <conditionalFormatting sqref="I2240:J2243">
    <cfRule type="cellIs" dxfId="0" priority="891" stopIfTrue="1" operator="lessThan">
      <formula>0</formula>
    </cfRule>
  </conditionalFormatting>
  <conditionalFormatting sqref="I2240:J2243">
    <cfRule type="cellIs" dxfId="1" priority="892" stopIfTrue="1" operator="greaterThan">
      <formula>0</formula>
    </cfRule>
  </conditionalFormatting>
  <conditionalFormatting sqref="I2244:J2244">
    <cfRule type="cellIs" dxfId="0" priority="893" stopIfTrue="1" operator="lessThan">
      <formula>0</formula>
    </cfRule>
  </conditionalFormatting>
  <conditionalFormatting sqref="I2244:J2244">
    <cfRule type="cellIs" dxfId="1" priority="894" stopIfTrue="1" operator="greaterThan">
      <formula>0</formula>
    </cfRule>
  </conditionalFormatting>
  <conditionalFormatting sqref="I2251:J2254">
    <cfRule type="cellIs" dxfId="0" priority="895" stopIfTrue="1" operator="lessThan">
      <formula>0</formula>
    </cfRule>
  </conditionalFormatting>
  <conditionalFormatting sqref="I2251:J2254">
    <cfRule type="cellIs" dxfId="1" priority="896" stopIfTrue="1" operator="greaterThan">
      <formula>0</formula>
    </cfRule>
  </conditionalFormatting>
  <conditionalFormatting sqref="I2255:J2255">
    <cfRule type="cellIs" dxfId="0" priority="897" stopIfTrue="1" operator="lessThan">
      <formula>0</formula>
    </cfRule>
  </conditionalFormatting>
  <conditionalFormatting sqref="I2255:J2255">
    <cfRule type="cellIs" dxfId="1" priority="898" stopIfTrue="1" operator="greaterThan">
      <formula>0</formula>
    </cfRule>
  </conditionalFormatting>
  <conditionalFormatting sqref="I2256:J2259">
    <cfRule type="cellIs" dxfId="0" priority="899" stopIfTrue="1" operator="lessThan">
      <formula>0</formula>
    </cfRule>
  </conditionalFormatting>
  <conditionalFormatting sqref="I2256:J2259">
    <cfRule type="cellIs" dxfId="1" priority="900" stopIfTrue="1" operator="greaterThan">
      <formula>0</formula>
    </cfRule>
  </conditionalFormatting>
  <conditionalFormatting sqref="I2260:J2261 I2267:J2267 I2286:J2290">
    <cfRule type="cellIs" dxfId="0" priority="901" stopIfTrue="1" operator="lessThan">
      <formula>0</formula>
    </cfRule>
  </conditionalFormatting>
  <conditionalFormatting sqref="I2260:J2261 I2267:J2267 I2286:J2290">
    <cfRule type="cellIs" dxfId="1" priority="902" stopIfTrue="1" operator="greaterThan">
      <formula>0</formula>
    </cfRule>
  </conditionalFormatting>
  <conditionalFormatting sqref="I2262:J2265">
    <cfRule type="cellIs" dxfId="0" priority="903" stopIfTrue="1" operator="lessThan">
      <formula>0</formula>
    </cfRule>
  </conditionalFormatting>
  <conditionalFormatting sqref="I2262:J2265">
    <cfRule type="cellIs" dxfId="1" priority="904" stopIfTrue="1" operator="greaterThan">
      <formula>0</formula>
    </cfRule>
  </conditionalFormatting>
  <conditionalFormatting sqref="I2266:J2266">
    <cfRule type="cellIs" dxfId="0" priority="905" stopIfTrue="1" operator="lessThan">
      <formula>0</formula>
    </cfRule>
  </conditionalFormatting>
  <conditionalFormatting sqref="I2266:J2266">
    <cfRule type="cellIs" dxfId="1" priority="906" stopIfTrue="1" operator="greaterThan">
      <formula>0</formula>
    </cfRule>
  </conditionalFormatting>
  <conditionalFormatting sqref="I2268:J2271">
    <cfRule type="cellIs" dxfId="0" priority="907" stopIfTrue="1" operator="lessThan">
      <formula>0</formula>
    </cfRule>
  </conditionalFormatting>
  <conditionalFormatting sqref="I2268:J2271">
    <cfRule type="cellIs" dxfId="1" priority="908" stopIfTrue="1" operator="greaterThan">
      <formula>0</formula>
    </cfRule>
  </conditionalFormatting>
  <conditionalFormatting sqref="I2272:J2280">
    <cfRule type="cellIs" dxfId="0" priority="909" stopIfTrue="1" operator="lessThan">
      <formula>0</formula>
    </cfRule>
  </conditionalFormatting>
  <conditionalFormatting sqref="I2272:J2280">
    <cfRule type="cellIs" dxfId="1" priority="910" stopIfTrue="1" operator="greaterThan">
      <formula>0</formula>
    </cfRule>
  </conditionalFormatting>
  <conditionalFormatting sqref="I2281:J2284">
    <cfRule type="cellIs" dxfId="0" priority="911" stopIfTrue="1" operator="lessThan">
      <formula>0</formula>
    </cfRule>
  </conditionalFormatting>
  <conditionalFormatting sqref="I2281:J2284">
    <cfRule type="cellIs" dxfId="1" priority="912" stopIfTrue="1" operator="greaterThan">
      <formula>0</formula>
    </cfRule>
  </conditionalFormatting>
  <conditionalFormatting sqref="I2285:J2285">
    <cfRule type="cellIs" dxfId="0" priority="913" stopIfTrue="1" operator="lessThan">
      <formula>0</formula>
    </cfRule>
  </conditionalFormatting>
  <conditionalFormatting sqref="I2285:J2285">
    <cfRule type="cellIs" dxfId="1" priority="914" stopIfTrue="1" operator="greaterThan">
      <formula>0</formula>
    </cfRule>
  </conditionalFormatting>
  <conditionalFormatting sqref="I2291:J2294">
    <cfRule type="cellIs" dxfId="0" priority="915" stopIfTrue="1" operator="lessThan">
      <formula>0</formula>
    </cfRule>
  </conditionalFormatting>
  <conditionalFormatting sqref="I2291:J2294">
    <cfRule type="cellIs" dxfId="1" priority="916" stopIfTrue="1" operator="greaterThan">
      <formula>0</formula>
    </cfRule>
  </conditionalFormatting>
  <conditionalFormatting sqref="I2295:J2295 I2301:J2304 I2310:J2310 I2316:J2316 I2327:J2327 I2333:J2333">
    <cfRule type="cellIs" dxfId="0" priority="917" stopIfTrue="1" operator="lessThan">
      <formula>0</formula>
    </cfRule>
  </conditionalFormatting>
  <conditionalFormatting sqref="I2295:J2295 I2301:J2304 I2310:J2310 I2316:J2316 I2327:J2327 I2333:J2333">
    <cfRule type="cellIs" dxfId="1" priority="918" stopIfTrue="1" operator="greaterThan">
      <formula>0</formula>
    </cfRule>
  </conditionalFormatting>
  <conditionalFormatting sqref="I2296:J2299">
    <cfRule type="cellIs" dxfId="0" priority="919" stopIfTrue="1" operator="lessThan">
      <formula>0</formula>
    </cfRule>
  </conditionalFormatting>
  <conditionalFormatting sqref="I2296:J2299">
    <cfRule type="cellIs" dxfId="1" priority="920" stopIfTrue="1" operator="greaterThan">
      <formula>0</formula>
    </cfRule>
  </conditionalFormatting>
  <conditionalFormatting sqref="I2300:J2300">
    <cfRule type="cellIs" dxfId="0" priority="921" stopIfTrue="1" operator="lessThan">
      <formula>0</formula>
    </cfRule>
  </conditionalFormatting>
  <conditionalFormatting sqref="I2300:J2300">
    <cfRule type="cellIs" dxfId="1" priority="922" stopIfTrue="1" operator="greaterThan">
      <formula>0</formula>
    </cfRule>
  </conditionalFormatting>
  <conditionalFormatting sqref="L2305:L2309">
    <cfRule type="cellIs" dxfId="0" priority="923" stopIfTrue="1" operator="lessThan">
      <formula>0</formula>
    </cfRule>
  </conditionalFormatting>
  <conditionalFormatting sqref="L2305:L2309">
    <cfRule type="cellIs" dxfId="1" priority="924" stopIfTrue="1" operator="greaterThan">
      <formula>0</formula>
    </cfRule>
  </conditionalFormatting>
  <conditionalFormatting sqref="I2305:J2308">
    <cfRule type="cellIs" dxfId="0" priority="925" stopIfTrue="1" operator="lessThan">
      <formula>0</formula>
    </cfRule>
  </conditionalFormatting>
  <conditionalFormatting sqref="I2305:J2308">
    <cfRule type="cellIs" dxfId="1" priority="926" stopIfTrue="1" operator="greaterThan">
      <formula>0</formula>
    </cfRule>
  </conditionalFormatting>
  <conditionalFormatting sqref="I2309:J2309">
    <cfRule type="cellIs" dxfId="0" priority="927" stopIfTrue="1" operator="lessThan">
      <formula>0</formula>
    </cfRule>
  </conditionalFormatting>
  <conditionalFormatting sqref="I2309:J2309">
    <cfRule type="cellIs" dxfId="1" priority="928" stopIfTrue="1" operator="greaterThan">
      <formula>0</formula>
    </cfRule>
  </conditionalFormatting>
  <conditionalFormatting sqref="I2311:J2314">
    <cfRule type="cellIs" dxfId="0" priority="929" stopIfTrue="1" operator="lessThan">
      <formula>0</formula>
    </cfRule>
  </conditionalFormatting>
  <conditionalFormatting sqref="I2311:J2314">
    <cfRule type="cellIs" dxfId="1" priority="930" stopIfTrue="1" operator="greaterThan">
      <formula>0</formula>
    </cfRule>
  </conditionalFormatting>
  <conditionalFormatting sqref="I2315:J2315">
    <cfRule type="cellIs" dxfId="0" priority="931" stopIfTrue="1" operator="lessThan">
      <formula>0</formula>
    </cfRule>
  </conditionalFormatting>
  <conditionalFormatting sqref="I2315:J2315">
    <cfRule type="cellIs" dxfId="1" priority="932" stopIfTrue="1" operator="greaterThan">
      <formula>0</formula>
    </cfRule>
  </conditionalFormatting>
  <conditionalFormatting sqref="I2317:J2320">
    <cfRule type="cellIs" dxfId="0" priority="933" stopIfTrue="1" operator="lessThan">
      <formula>0</formula>
    </cfRule>
  </conditionalFormatting>
  <conditionalFormatting sqref="I2317:J2320">
    <cfRule type="cellIs" dxfId="1" priority="934" stopIfTrue="1" operator="greaterThan">
      <formula>0</formula>
    </cfRule>
  </conditionalFormatting>
  <conditionalFormatting sqref="I2321:J2321">
    <cfRule type="cellIs" dxfId="0" priority="935" stopIfTrue="1" operator="lessThan">
      <formula>0</formula>
    </cfRule>
  </conditionalFormatting>
  <conditionalFormatting sqref="I2321:J2321">
    <cfRule type="cellIs" dxfId="1" priority="936" stopIfTrue="1" operator="greaterThan">
      <formula>0</formula>
    </cfRule>
  </conditionalFormatting>
  <conditionalFormatting sqref="I2322:J2325">
    <cfRule type="cellIs" dxfId="0" priority="937" stopIfTrue="1" operator="lessThan">
      <formula>0</formula>
    </cfRule>
  </conditionalFormatting>
  <conditionalFormatting sqref="I2322:J2325">
    <cfRule type="cellIs" dxfId="1" priority="938" stopIfTrue="1" operator="greaterThan">
      <formula>0</formula>
    </cfRule>
  </conditionalFormatting>
  <conditionalFormatting sqref="I2326:J2326">
    <cfRule type="cellIs" dxfId="0" priority="939" stopIfTrue="1" operator="lessThan">
      <formula>0</formula>
    </cfRule>
  </conditionalFormatting>
  <conditionalFormatting sqref="I2326:J2326">
    <cfRule type="cellIs" dxfId="1" priority="940" stopIfTrue="1" operator="greaterThan">
      <formula>0</formula>
    </cfRule>
  </conditionalFormatting>
  <conditionalFormatting sqref="L2328:L2332">
    <cfRule type="cellIs" dxfId="0" priority="941" stopIfTrue="1" operator="lessThan">
      <formula>0</formula>
    </cfRule>
  </conditionalFormatting>
  <conditionalFormatting sqref="L2328:L2332">
    <cfRule type="cellIs" dxfId="1" priority="942" stopIfTrue="1" operator="greaterThan">
      <formula>0</formula>
    </cfRule>
  </conditionalFormatting>
  <conditionalFormatting sqref="I2328:J2331">
    <cfRule type="cellIs" dxfId="0" priority="943" stopIfTrue="1" operator="lessThan">
      <formula>0</formula>
    </cfRule>
  </conditionalFormatting>
  <conditionalFormatting sqref="I2328:J2331">
    <cfRule type="cellIs" dxfId="1" priority="944" stopIfTrue="1" operator="greaterThan">
      <formula>0</formula>
    </cfRule>
  </conditionalFormatting>
  <conditionalFormatting sqref="I2332:J2332">
    <cfRule type="cellIs" dxfId="0" priority="945" stopIfTrue="1" operator="lessThan">
      <formula>0</formula>
    </cfRule>
  </conditionalFormatting>
  <conditionalFormatting sqref="I2332:J2332">
    <cfRule type="cellIs" dxfId="1" priority="946" stopIfTrue="1" operator="greaterThan">
      <formula>0</formula>
    </cfRule>
  </conditionalFormatting>
  <conditionalFormatting sqref="I2334:J2337">
    <cfRule type="cellIs" dxfId="0" priority="947" stopIfTrue="1" operator="lessThan">
      <formula>0</formula>
    </cfRule>
  </conditionalFormatting>
  <conditionalFormatting sqref="I2334:J2337">
    <cfRule type="cellIs" dxfId="1" priority="948" stopIfTrue="1" operator="greaterThan">
      <formula>0</formula>
    </cfRule>
  </conditionalFormatting>
  <conditionalFormatting sqref="I2338:J2342">
    <cfRule type="cellIs" dxfId="0" priority="949" stopIfTrue="1" operator="lessThan">
      <formula>0</formula>
    </cfRule>
  </conditionalFormatting>
  <conditionalFormatting sqref="I2338:J2342">
    <cfRule type="cellIs" dxfId="1" priority="950" stopIfTrue="1" operator="greaterThan">
      <formula>0</formula>
    </cfRule>
  </conditionalFormatting>
  <conditionalFormatting sqref="I2343:J2346">
    <cfRule type="cellIs" dxfId="0" priority="951" stopIfTrue="1" operator="lessThan">
      <formula>0</formula>
    </cfRule>
  </conditionalFormatting>
  <conditionalFormatting sqref="I2343:J2346">
    <cfRule type="cellIs" dxfId="1" priority="952" stopIfTrue="1" operator="greaterThan">
      <formula>0</formula>
    </cfRule>
  </conditionalFormatting>
  <conditionalFormatting sqref="I2347:J2349">
    <cfRule type="cellIs" dxfId="0" priority="953" stopIfTrue="1" operator="lessThan">
      <formula>0</formula>
    </cfRule>
  </conditionalFormatting>
  <conditionalFormatting sqref="I2347:J2349">
    <cfRule type="cellIs" dxfId="1" priority="954" stopIfTrue="1" operator="greaterThan">
      <formula>0</formula>
    </cfRule>
  </conditionalFormatting>
  <conditionalFormatting sqref="I2350:J2353">
    <cfRule type="cellIs" dxfId="0" priority="955" stopIfTrue="1" operator="lessThan">
      <formula>0</formula>
    </cfRule>
  </conditionalFormatting>
  <conditionalFormatting sqref="I2350:J2353">
    <cfRule type="cellIs" dxfId="1" priority="956" stopIfTrue="1" operator="greaterThan">
      <formula>0</formula>
    </cfRule>
  </conditionalFormatting>
  <conditionalFormatting sqref="I2354:J2354">
    <cfRule type="cellIs" dxfId="0" priority="957" stopIfTrue="1" operator="lessThan">
      <formula>0</formula>
    </cfRule>
  </conditionalFormatting>
  <conditionalFormatting sqref="I2354:J2354">
    <cfRule type="cellIs" dxfId="1" priority="958" stopIfTrue="1" operator="greaterThan">
      <formula>0</formula>
    </cfRule>
  </conditionalFormatting>
  <conditionalFormatting sqref="I2355:J2358">
    <cfRule type="cellIs" dxfId="0" priority="959" stopIfTrue="1" operator="lessThan">
      <formula>0</formula>
    </cfRule>
  </conditionalFormatting>
  <conditionalFormatting sqref="I2355:J2358">
    <cfRule type="cellIs" dxfId="1" priority="960" stopIfTrue="1" operator="greaterThan">
      <formula>0</formula>
    </cfRule>
  </conditionalFormatting>
  <conditionalFormatting sqref="I2359:J2359">
    <cfRule type="cellIs" dxfId="0" priority="961" stopIfTrue="1" operator="lessThan">
      <formula>0</formula>
    </cfRule>
  </conditionalFormatting>
  <conditionalFormatting sqref="I2359:J2359">
    <cfRule type="cellIs" dxfId="1" priority="962" stopIfTrue="1" operator="greaterThan">
      <formula>0</formula>
    </cfRule>
  </conditionalFormatting>
  <conditionalFormatting sqref="I2360:J2363">
    <cfRule type="cellIs" dxfId="0" priority="963" stopIfTrue="1" operator="lessThan">
      <formula>0</formula>
    </cfRule>
  </conditionalFormatting>
  <conditionalFormatting sqref="I2360:J2363">
    <cfRule type="cellIs" dxfId="1" priority="964" stopIfTrue="1" operator="greaterThan">
      <formula>0</formula>
    </cfRule>
  </conditionalFormatting>
  <conditionalFormatting sqref="I2364:J2368 I2381:J2382 I2388:J2388 I2394:J2396">
    <cfRule type="cellIs" dxfId="0" priority="965" stopIfTrue="1" operator="lessThan">
      <formula>0</formula>
    </cfRule>
  </conditionalFormatting>
  <conditionalFormatting sqref="I2364:J2368 I2381:J2382 I2388:J2388 I2394:J2396">
    <cfRule type="cellIs" dxfId="1" priority="966" stopIfTrue="1" operator="greaterThan">
      <formula>0</formula>
    </cfRule>
  </conditionalFormatting>
  <conditionalFormatting sqref="I2369:J2372">
    <cfRule type="cellIs" dxfId="0" priority="967" stopIfTrue="1" operator="lessThan">
      <formula>0</formula>
    </cfRule>
  </conditionalFormatting>
  <conditionalFormatting sqref="I2369:J2372">
    <cfRule type="cellIs" dxfId="1" priority="968" stopIfTrue="1" operator="greaterThan">
      <formula>0</formula>
    </cfRule>
  </conditionalFormatting>
  <conditionalFormatting sqref="I2373:J2375">
    <cfRule type="cellIs" dxfId="0" priority="969" stopIfTrue="1" operator="lessThan">
      <formula>0</formula>
    </cfRule>
  </conditionalFormatting>
  <conditionalFormatting sqref="I2373:J2375">
    <cfRule type="cellIs" dxfId="1" priority="970" stopIfTrue="1" operator="greaterThan">
      <formula>0</formula>
    </cfRule>
  </conditionalFormatting>
  <conditionalFormatting sqref="I2376:J2379">
    <cfRule type="cellIs" dxfId="0" priority="971" stopIfTrue="1" operator="lessThan">
      <formula>0</formula>
    </cfRule>
  </conditionalFormatting>
  <conditionalFormatting sqref="I2376:J2379">
    <cfRule type="cellIs" dxfId="1" priority="972" stopIfTrue="1" operator="greaterThan">
      <formula>0</formula>
    </cfRule>
  </conditionalFormatting>
  <conditionalFormatting sqref="I2380:J2380">
    <cfRule type="cellIs" dxfId="0" priority="973" stopIfTrue="1" operator="lessThan">
      <formula>0</formula>
    </cfRule>
  </conditionalFormatting>
  <conditionalFormatting sqref="I2380:J2380">
    <cfRule type="cellIs" dxfId="1" priority="974" stopIfTrue="1" operator="greaterThan">
      <formula>0</formula>
    </cfRule>
  </conditionalFormatting>
  <conditionalFormatting sqref="I2383:J2386">
    <cfRule type="cellIs" dxfId="0" priority="975" stopIfTrue="1" operator="lessThan">
      <formula>0</formula>
    </cfRule>
  </conditionalFormatting>
  <conditionalFormatting sqref="I2383:J2386">
    <cfRule type="cellIs" dxfId="1" priority="976" stopIfTrue="1" operator="greaterThan">
      <formula>0</formula>
    </cfRule>
  </conditionalFormatting>
  <conditionalFormatting sqref="I2387:J2387">
    <cfRule type="cellIs" dxfId="0" priority="977" stopIfTrue="1" operator="lessThan">
      <formula>0</formula>
    </cfRule>
  </conditionalFormatting>
  <conditionalFormatting sqref="I2387:J2387">
    <cfRule type="cellIs" dxfId="1" priority="978" stopIfTrue="1" operator="greaterThan">
      <formula>0</formula>
    </cfRule>
  </conditionalFormatting>
  <conditionalFormatting sqref="I2389:J2392">
    <cfRule type="cellIs" dxfId="0" priority="979" stopIfTrue="1" operator="lessThan">
      <formula>0</formula>
    </cfRule>
  </conditionalFormatting>
  <conditionalFormatting sqref="I2389:J2392">
    <cfRule type="cellIs" dxfId="1" priority="980" stopIfTrue="1" operator="greaterThan">
      <formula>0</formula>
    </cfRule>
  </conditionalFormatting>
  <conditionalFormatting sqref="I2393:J2393">
    <cfRule type="cellIs" dxfId="0" priority="981" stopIfTrue="1" operator="lessThan">
      <formula>0</formula>
    </cfRule>
  </conditionalFormatting>
  <conditionalFormatting sqref="I2393:J2393">
    <cfRule type="cellIs" dxfId="1" priority="982" stopIfTrue="1" operator="greaterThan">
      <formula>0</formula>
    </cfRule>
  </conditionalFormatting>
  <conditionalFormatting sqref="I2397:J2400">
    <cfRule type="cellIs" dxfId="0" priority="983" stopIfTrue="1" operator="lessThan">
      <formula>0</formula>
    </cfRule>
  </conditionalFormatting>
  <conditionalFormatting sqref="I2397:J2400">
    <cfRule type="cellIs" dxfId="1" priority="984" stopIfTrue="1" operator="greaterThan">
      <formula>0</formula>
    </cfRule>
  </conditionalFormatting>
  <conditionalFormatting sqref="I2401:J2403">
    <cfRule type="cellIs" dxfId="0" priority="985" stopIfTrue="1" operator="lessThan">
      <formula>0</formula>
    </cfRule>
  </conditionalFormatting>
  <conditionalFormatting sqref="I2401:J2403">
    <cfRule type="cellIs" dxfId="1" priority="986" stopIfTrue="1" operator="greaterThan">
      <formula>0</formula>
    </cfRule>
  </conditionalFormatting>
  <conditionalFormatting sqref="I2404:J2407">
    <cfRule type="cellIs" dxfId="0" priority="987" stopIfTrue="1" operator="lessThan">
      <formula>0</formula>
    </cfRule>
  </conditionalFormatting>
  <conditionalFormatting sqref="I2404:J2407">
    <cfRule type="cellIs" dxfId="1" priority="988" stopIfTrue="1" operator="greaterThan">
      <formula>0</formula>
    </cfRule>
  </conditionalFormatting>
  <conditionalFormatting sqref="I2408:J2408">
    <cfRule type="cellIs" dxfId="0" priority="989" stopIfTrue="1" operator="lessThan">
      <formula>0</formula>
    </cfRule>
  </conditionalFormatting>
  <conditionalFormatting sqref="I2408:J2408">
    <cfRule type="cellIs" dxfId="1" priority="990" stopIfTrue="1" operator="greaterThan">
      <formula>0</formula>
    </cfRule>
  </conditionalFormatting>
  <conditionalFormatting sqref="I2409:J2412">
    <cfRule type="cellIs" dxfId="0" priority="991" stopIfTrue="1" operator="lessThan">
      <formula>0</formula>
    </cfRule>
  </conditionalFormatting>
  <conditionalFormatting sqref="I2409:J2412">
    <cfRule type="cellIs" dxfId="1" priority="992" stopIfTrue="1" operator="greaterThan">
      <formula>0</formula>
    </cfRule>
  </conditionalFormatting>
  <conditionalFormatting sqref="I2413:J2414">
    <cfRule type="cellIs" dxfId="0" priority="993" stopIfTrue="1" operator="lessThan">
      <formula>0</formula>
    </cfRule>
  </conditionalFormatting>
  <conditionalFormatting sqref="I2413:J2414">
    <cfRule type="cellIs" dxfId="1" priority="994" stopIfTrue="1" operator="greaterThan">
      <formula>0</formula>
    </cfRule>
  </conditionalFormatting>
  <conditionalFormatting sqref="I2415:J2418">
    <cfRule type="cellIs" dxfId="0" priority="995" stopIfTrue="1" operator="lessThan">
      <formula>0</formula>
    </cfRule>
  </conditionalFormatting>
  <conditionalFormatting sqref="I2415:J2418">
    <cfRule type="cellIs" dxfId="1" priority="996" stopIfTrue="1" operator="greaterThan">
      <formula>0</formula>
    </cfRule>
  </conditionalFormatting>
  <conditionalFormatting sqref="I2419:J2423">
    <cfRule type="cellIs" dxfId="0" priority="997" stopIfTrue="1" operator="lessThan">
      <formula>0</formula>
    </cfRule>
  </conditionalFormatting>
  <conditionalFormatting sqref="I2419:J2423">
    <cfRule type="cellIs" dxfId="1" priority="998" stopIfTrue="1" operator="greaterThan">
      <formula>0</formula>
    </cfRule>
  </conditionalFormatting>
  <conditionalFormatting sqref="I2424:J2427">
    <cfRule type="cellIs" dxfId="0" priority="999" stopIfTrue="1" operator="lessThan">
      <formula>0</formula>
    </cfRule>
  </conditionalFormatting>
  <conditionalFormatting sqref="I2424:J2427">
    <cfRule type="cellIs" dxfId="1" priority="1000" stopIfTrue="1" operator="greaterThan">
      <formula>0</formula>
    </cfRule>
  </conditionalFormatting>
  <conditionalFormatting sqref="I2428:J2432">
    <cfRule type="cellIs" dxfId="0" priority="1001" stopIfTrue="1" operator="lessThan">
      <formula>0</formula>
    </cfRule>
  </conditionalFormatting>
  <conditionalFormatting sqref="I2428:J2432">
    <cfRule type="cellIs" dxfId="1" priority="1002" stopIfTrue="1" operator="greaterThan">
      <formula>0</formula>
    </cfRule>
  </conditionalFormatting>
  <conditionalFormatting sqref="I2433:J2436">
    <cfRule type="cellIs" dxfId="0" priority="1003" stopIfTrue="1" operator="lessThan">
      <formula>0</formula>
    </cfRule>
  </conditionalFormatting>
  <conditionalFormatting sqref="I2433:J2436">
    <cfRule type="cellIs" dxfId="1" priority="1004" stopIfTrue="1" operator="greaterThan">
      <formula>0</formula>
    </cfRule>
  </conditionalFormatting>
  <conditionalFormatting sqref="I2437:J2439">
    <cfRule type="cellIs" dxfId="0" priority="1005" stopIfTrue="1" operator="lessThan">
      <formula>0</formula>
    </cfRule>
  </conditionalFormatting>
  <conditionalFormatting sqref="I2437:J2439">
    <cfRule type="cellIs" dxfId="1" priority="1006" stopIfTrue="1" operator="greaterThan">
      <formula>0</formula>
    </cfRule>
  </conditionalFormatting>
  <conditionalFormatting sqref="I2440:J2443">
    <cfRule type="cellIs" dxfId="0" priority="1007" stopIfTrue="1" operator="lessThan">
      <formula>0</formula>
    </cfRule>
  </conditionalFormatting>
  <conditionalFormatting sqref="I2440:J2443">
    <cfRule type="cellIs" dxfId="1" priority="1008" stopIfTrue="1" operator="greaterThan">
      <formula>0</formula>
    </cfRule>
  </conditionalFormatting>
  <conditionalFormatting sqref="I2444:J2449">
    <cfRule type="cellIs" dxfId="0" priority="1009" stopIfTrue="1" operator="lessThan">
      <formula>0</formula>
    </cfRule>
  </conditionalFormatting>
  <conditionalFormatting sqref="I2444:J2449">
    <cfRule type="cellIs" dxfId="1" priority="1010" stopIfTrue="1" operator="greaterThan">
      <formula>0</formula>
    </cfRule>
  </conditionalFormatting>
  <conditionalFormatting sqref="I2450:J2453">
    <cfRule type="cellIs" dxfId="0" priority="1011" stopIfTrue="1" operator="lessThan">
      <formula>0</formula>
    </cfRule>
  </conditionalFormatting>
  <conditionalFormatting sqref="I2450:J2453">
    <cfRule type="cellIs" dxfId="1" priority="1012" stopIfTrue="1" operator="greaterThan">
      <formula>0</formula>
    </cfRule>
  </conditionalFormatting>
  <conditionalFormatting sqref="I2454:J2457 I2463:J2464">
    <cfRule type="cellIs" dxfId="0" priority="1013" stopIfTrue="1" operator="lessThan">
      <formula>0</formula>
    </cfRule>
  </conditionalFormatting>
  <conditionalFormatting sqref="I2454:J2457 I2463:J2464">
    <cfRule type="cellIs" dxfId="1" priority="1014" stopIfTrue="1" operator="greaterThan">
      <formula>0</formula>
    </cfRule>
  </conditionalFormatting>
  <conditionalFormatting sqref="I2458:J2461">
    <cfRule type="cellIs" dxfId="0" priority="1015" stopIfTrue="1" operator="lessThan">
      <formula>0</formula>
    </cfRule>
  </conditionalFormatting>
  <conditionalFormatting sqref="I2458:J2461">
    <cfRule type="cellIs" dxfId="1" priority="1016" stopIfTrue="1" operator="greaterThan">
      <formula>0</formula>
    </cfRule>
  </conditionalFormatting>
  <conditionalFormatting sqref="I2462:J2462">
    <cfRule type="cellIs" dxfId="0" priority="1017" stopIfTrue="1" operator="lessThan">
      <formula>0</formula>
    </cfRule>
  </conditionalFormatting>
  <conditionalFormatting sqref="I2462:J2462">
    <cfRule type="cellIs" dxfId="1" priority="1018" stopIfTrue="1" operator="greaterThan">
      <formula>0</formula>
    </cfRule>
  </conditionalFormatting>
  <conditionalFormatting sqref="I2465:J2468">
    <cfRule type="cellIs" dxfId="0" priority="1019" stopIfTrue="1" operator="lessThan">
      <formula>0</formula>
    </cfRule>
  </conditionalFormatting>
  <conditionalFormatting sqref="I2465:J2468">
    <cfRule type="cellIs" dxfId="1" priority="1020" stopIfTrue="1" operator="greaterThan">
      <formula>0</formula>
    </cfRule>
  </conditionalFormatting>
  <conditionalFormatting sqref="I2469:J2469">
    <cfRule type="cellIs" dxfId="0" priority="1021" stopIfTrue="1" operator="lessThan">
      <formula>0</formula>
    </cfRule>
  </conditionalFormatting>
  <conditionalFormatting sqref="I2469:J2469">
    <cfRule type="cellIs" dxfId="1" priority="1022" stopIfTrue="1" operator="greaterThan">
      <formula>0</formula>
    </cfRule>
  </conditionalFormatting>
  <conditionalFormatting sqref="I2470:J2473">
    <cfRule type="cellIs" dxfId="0" priority="1023" stopIfTrue="1" operator="lessThan">
      <formula>0</formula>
    </cfRule>
  </conditionalFormatting>
  <conditionalFormatting sqref="I2470:J2473">
    <cfRule type="cellIs" dxfId="1" priority="1024" stopIfTrue="1" operator="greaterThan">
      <formula>0</formula>
    </cfRule>
  </conditionalFormatting>
  <conditionalFormatting sqref="I2474:J2479">
    <cfRule type="cellIs" dxfId="0" priority="1025" stopIfTrue="1" operator="lessThan">
      <formula>0</formula>
    </cfRule>
  </conditionalFormatting>
  <conditionalFormatting sqref="I2474:J2479">
    <cfRule type="cellIs" dxfId="1" priority="1026" stopIfTrue="1" operator="greaterThan">
      <formula>0</formula>
    </cfRule>
  </conditionalFormatting>
  <conditionalFormatting sqref="I2480:J2483">
    <cfRule type="cellIs" dxfId="0" priority="1027" stopIfTrue="1" operator="lessThan">
      <formula>0</formula>
    </cfRule>
  </conditionalFormatting>
  <conditionalFormatting sqref="I2480:J2483">
    <cfRule type="cellIs" dxfId="1" priority="1028" stopIfTrue="1" operator="greaterThan">
      <formula>0</formula>
    </cfRule>
  </conditionalFormatting>
  <conditionalFormatting sqref="I2484:J2486">
    <cfRule type="cellIs" dxfId="0" priority="1029" stopIfTrue="1" operator="lessThan">
      <formula>0</formula>
    </cfRule>
  </conditionalFormatting>
  <conditionalFormatting sqref="I2484:J2486">
    <cfRule type="cellIs" dxfId="1" priority="1030" stopIfTrue="1" operator="greaterThan">
      <formula>0</formula>
    </cfRule>
  </conditionalFormatting>
  <conditionalFormatting sqref="I2487:J2490">
    <cfRule type="cellIs" dxfId="0" priority="1031" stopIfTrue="1" operator="lessThan">
      <formula>0</formula>
    </cfRule>
  </conditionalFormatting>
  <conditionalFormatting sqref="I2487:J2490">
    <cfRule type="cellIs" dxfId="1" priority="1032" stopIfTrue="1" operator="greaterThan">
      <formula>0</formula>
    </cfRule>
  </conditionalFormatting>
  <conditionalFormatting sqref="I2491:J2492">
    <cfRule type="cellIs" dxfId="0" priority="1033" stopIfTrue="1" operator="lessThan">
      <formula>0</formula>
    </cfRule>
  </conditionalFormatting>
  <conditionalFormatting sqref="I2491:J2492">
    <cfRule type="cellIs" dxfId="1" priority="1034" stopIfTrue="1" operator="greaterThan">
      <formula>0</formula>
    </cfRule>
  </conditionalFormatting>
  <conditionalFormatting sqref="I2493:J2496">
    <cfRule type="cellIs" dxfId="0" priority="1035" stopIfTrue="1" operator="lessThan">
      <formula>0</formula>
    </cfRule>
  </conditionalFormatting>
  <conditionalFormatting sqref="I2493:J2496">
    <cfRule type="cellIs" dxfId="1" priority="1036" stopIfTrue="1" operator="greaterThan">
      <formula>0</formula>
    </cfRule>
  </conditionalFormatting>
  <conditionalFormatting sqref="I2497:J2499">
    <cfRule type="cellIs" dxfId="0" priority="1037" stopIfTrue="1" operator="lessThan">
      <formula>0</formula>
    </cfRule>
  </conditionalFormatting>
  <conditionalFormatting sqref="I2497:J2499">
    <cfRule type="cellIs" dxfId="1" priority="1038" stopIfTrue="1" operator="greaterThan">
      <formula>0</formula>
    </cfRule>
  </conditionalFormatting>
  <conditionalFormatting sqref="I2500:J2503">
    <cfRule type="cellIs" dxfId="0" priority="1039" stopIfTrue="1" operator="lessThan">
      <formula>0</formula>
    </cfRule>
  </conditionalFormatting>
  <conditionalFormatting sqref="I2500:J2503">
    <cfRule type="cellIs" dxfId="1" priority="1040" stopIfTrue="1" operator="greaterThan">
      <formula>0</formula>
    </cfRule>
  </conditionalFormatting>
  <conditionalFormatting sqref="I2504:J2504">
    <cfRule type="cellIs" dxfId="0" priority="1041" stopIfTrue="1" operator="lessThan">
      <formula>0</formula>
    </cfRule>
  </conditionalFormatting>
  <conditionalFormatting sqref="I2504:J2504">
    <cfRule type="cellIs" dxfId="1" priority="1042" stopIfTrue="1" operator="greaterThan">
      <formula>0</formula>
    </cfRule>
  </conditionalFormatting>
  <conditionalFormatting sqref="I2505:J2508">
    <cfRule type="cellIs" dxfId="0" priority="1043" stopIfTrue="1" operator="lessThan">
      <formula>0</formula>
    </cfRule>
  </conditionalFormatting>
  <conditionalFormatting sqref="I2505:J2508">
    <cfRule type="cellIs" dxfId="1" priority="1044" stopIfTrue="1" operator="greaterThan">
      <formula>0</formula>
    </cfRule>
  </conditionalFormatting>
  <conditionalFormatting sqref="I2509:J2509">
    <cfRule type="cellIs" dxfId="0" priority="1045" stopIfTrue="1" operator="lessThan">
      <formula>0</formula>
    </cfRule>
  </conditionalFormatting>
  <conditionalFormatting sqref="I2509:J2509">
    <cfRule type="cellIs" dxfId="1" priority="1046" stopIfTrue="1" operator="greaterThan">
      <formula>0</formula>
    </cfRule>
  </conditionalFormatting>
  <conditionalFormatting sqref="I2510:J2513">
    <cfRule type="cellIs" dxfId="0" priority="1047" stopIfTrue="1" operator="lessThan">
      <formula>0</formula>
    </cfRule>
  </conditionalFormatting>
  <conditionalFormatting sqref="I2510:J2513">
    <cfRule type="cellIs" dxfId="1" priority="1048" stopIfTrue="1" operator="greaterThan">
      <formula>0</formula>
    </cfRule>
  </conditionalFormatting>
  <conditionalFormatting sqref="I2515:J2518">
    <cfRule type="cellIs" dxfId="0" priority="1049" stopIfTrue="1" operator="lessThan">
      <formula>0</formula>
    </cfRule>
  </conditionalFormatting>
  <conditionalFormatting sqref="I2515:J2518">
    <cfRule type="cellIs" dxfId="1" priority="1050" stopIfTrue="1" operator="greaterThan">
      <formula>0</formula>
    </cfRule>
  </conditionalFormatting>
  <conditionalFormatting sqref="I2519:J2519">
    <cfRule type="cellIs" dxfId="0" priority="1051" stopIfTrue="1" operator="lessThan">
      <formula>0</formula>
    </cfRule>
  </conditionalFormatting>
  <conditionalFormatting sqref="I2519:J2519">
    <cfRule type="cellIs" dxfId="1" priority="1052" stopIfTrue="1" operator="greaterThan">
      <formula>0</formula>
    </cfRule>
  </conditionalFormatting>
  <conditionalFormatting sqref="I2520:J2523">
    <cfRule type="cellIs" dxfId="0" priority="1053" stopIfTrue="1" operator="lessThan">
      <formula>0</formula>
    </cfRule>
  </conditionalFormatting>
  <conditionalFormatting sqref="I2520:J2523">
    <cfRule type="cellIs" dxfId="1" priority="1054" stopIfTrue="1" operator="greaterThan">
      <formula>0</formula>
    </cfRule>
  </conditionalFormatting>
  <conditionalFormatting sqref="I2524:J2526">
    <cfRule type="cellIs" dxfId="0" priority="1055" stopIfTrue="1" operator="lessThan">
      <formula>0</formula>
    </cfRule>
  </conditionalFormatting>
  <conditionalFormatting sqref="I2524:J2526">
    <cfRule type="cellIs" dxfId="1" priority="1056" stopIfTrue="1" operator="greaterThan">
      <formula>0</formula>
    </cfRule>
  </conditionalFormatting>
  <conditionalFormatting sqref="I2527:J2530">
    <cfRule type="cellIs" dxfId="0" priority="1057" stopIfTrue="1" operator="lessThan">
      <formula>0</formula>
    </cfRule>
  </conditionalFormatting>
  <conditionalFormatting sqref="I2527:J2530">
    <cfRule type="cellIs" dxfId="1" priority="1058" stopIfTrue="1" operator="greaterThan">
      <formula>0</formula>
    </cfRule>
  </conditionalFormatting>
  <conditionalFormatting sqref="I2531:J2531">
    <cfRule type="cellIs" dxfId="0" priority="1059" stopIfTrue="1" operator="lessThan">
      <formula>0</formula>
    </cfRule>
  </conditionalFormatting>
  <conditionalFormatting sqref="I2531:J2531">
    <cfRule type="cellIs" dxfId="1" priority="1060" stopIfTrue="1" operator="greaterThan">
      <formula>0</formula>
    </cfRule>
  </conditionalFormatting>
  <conditionalFormatting sqref="I2532:J2535">
    <cfRule type="cellIs" dxfId="0" priority="1061" stopIfTrue="1" operator="lessThan">
      <formula>0</formula>
    </cfRule>
  </conditionalFormatting>
  <conditionalFormatting sqref="I2532:J2535">
    <cfRule type="cellIs" dxfId="1" priority="1062" stopIfTrue="1" operator="greaterThan">
      <formula>0</formula>
    </cfRule>
  </conditionalFormatting>
  <conditionalFormatting sqref="I2536:J2536 I2552:J2563">
    <cfRule type="cellIs" dxfId="0" priority="1063" stopIfTrue="1" operator="lessThan">
      <formula>0</formula>
    </cfRule>
  </conditionalFormatting>
  <conditionalFormatting sqref="I2536:J2536 I2552:J2563">
    <cfRule type="cellIs" dxfId="1" priority="1064" stopIfTrue="1" operator="greaterThan">
      <formula>0</formula>
    </cfRule>
  </conditionalFormatting>
  <conditionalFormatting sqref="I2537:J2540">
    <cfRule type="cellIs" dxfId="0" priority="1065" stopIfTrue="1" operator="lessThan">
      <formula>0</formula>
    </cfRule>
  </conditionalFormatting>
  <conditionalFormatting sqref="I2537:J2540">
    <cfRule type="cellIs" dxfId="1" priority="1066" stopIfTrue="1" operator="greaterThan">
      <formula>0</formula>
    </cfRule>
  </conditionalFormatting>
  <conditionalFormatting sqref="I2541:J2541">
    <cfRule type="cellIs" dxfId="0" priority="1067" stopIfTrue="1" operator="lessThan">
      <formula>0</formula>
    </cfRule>
  </conditionalFormatting>
  <conditionalFormatting sqref="I2541:J2541">
    <cfRule type="cellIs" dxfId="1" priority="1068" stopIfTrue="1" operator="greaterThan">
      <formula>0</formula>
    </cfRule>
  </conditionalFormatting>
  <conditionalFormatting sqref="I2542:J2545">
    <cfRule type="cellIs" dxfId="0" priority="1069" stopIfTrue="1" operator="lessThan">
      <formula>0</formula>
    </cfRule>
  </conditionalFormatting>
  <conditionalFormatting sqref="I2542:J2545">
    <cfRule type="cellIs" dxfId="1" priority="1070" stopIfTrue="1" operator="greaterThan">
      <formula>0</formula>
    </cfRule>
  </conditionalFormatting>
  <conditionalFormatting sqref="I2546:J2546">
    <cfRule type="cellIs" dxfId="0" priority="1071" stopIfTrue="1" operator="lessThan">
      <formula>0</formula>
    </cfRule>
  </conditionalFormatting>
  <conditionalFormatting sqref="I2546:J2546">
    <cfRule type="cellIs" dxfId="1" priority="1072" stopIfTrue="1" operator="greaterThan">
      <formula>0</formula>
    </cfRule>
  </conditionalFormatting>
  <conditionalFormatting sqref="I2547:J2550">
    <cfRule type="cellIs" dxfId="0" priority="1073" stopIfTrue="1" operator="lessThan">
      <formula>0</formula>
    </cfRule>
  </conditionalFormatting>
  <conditionalFormatting sqref="I2547:J2550">
    <cfRule type="cellIs" dxfId="1" priority="1074" stopIfTrue="1" operator="greaterThan">
      <formula>0</formula>
    </cfRule>
  </conditionalFormatting>
  <conditionalFormatting sqref="I2551:J2551">
    <cfRule type="cellIs" dxfId="0" priority="1075" stopIfTrue="1" operator="lessThan">
      <formula>0</formula>
    </cfRule>
  </conditionalFormatting>
  <conditionalFormatting sqref="I2551:J2551">
    <cfRule type="cellIs" dxfId="1" priority="1076" stopIfTrue="1" operator="greaterThan">
      <formula>0</formula>
    </cfRule>
  </conditionalFormatting>
  <conditionalFormatting sqref="I2564:J2567">
    <cfRule type="cellIs" dxfId="0" priority="1077" stopIfTrue="1" operator="lessThan">
      <formula>0</formula>
    </cfRule>
  </conditionalFormatting>
  <conditionalFormatting sqref="I2564:J2567">
    <cfRule type="cellIs" dxfId="1" priority="1078" stopIfTrue="1" operator="greaterThan">
      <formula>0</formula>
    </cfRule>
  </conditionalFormatting>
  <conditionalFormatting sqref="I2568:J2570 I2576:J2577">
    <cfRule type="cellIs" dxfId="0" priority="1079" stopIfTrue="1" operator="lessThan">
      <formula>0</formula>
    </cfRule>
  </conditionalFormatting>
  <conditionalFormatting sqref="I2568:J2570 I2576:J2577">
    <cfRule type="cellIs" dxfId="1" priority="1080" stopIfTrue="1" operator="greaterThan">
      <formula>0</formula>
    </cfRule>
  </conditionalFormatting>
  <conditionalFormatting sqref="I2571:J2574">
    <cfRule type="cellIs" dxfId="0" priority="1081" stopIfTrue="1" operator="lessThan">
      <formula>0</formula>
    </cfRule>
  </conditionalFormatting>
  <conditionalFormatting sqref="I2571:J2574">
    <cfRule type="cellIs" dxfId="1" priority="1082" stopIfTrue="1" operator="greaterThan">
      <formula>0</formula>
    </cfRule>
  </conditionalFormatting>
  <conditionalFormatting sqref="I2575:J2575">
    <cfRule type="cellIs" dxfId="0" priority="1083" stopIfTrue="1" operator="lessThan">
      <formula>0</formula>
    </cfRule>
  </conditionalFormatting>
  <conditionalFormatting sqref="I2575:J2575">
    <cfRule type="cellIs" dxfId="1" priority="1084" stopIfTrue="1" operator="greaterThan">
      <formula>0</formula>
    </cfRule>
  </conditionalFormatting>
  <conditionalFormatting sqref="I2578:J2581">
    <cfRule type="cellIs" dxfId="0" priority="1085" stopIfTrue="1" operator="lessThan">
      <formula>0</formula>
    </cfRule>
  </conditionalFormatting>
  <conditionalFormatting sqref="I2578:J2581">
    <cfRule type="cellIs" dxfId="1" priority="1086" stopIfTrue="1" operator="greaterThan">
      <formula>0</formula>
    </cfRule>
  </conditionalFormatting>
  <conditionalFormatting sqref="I2582:J2583">
    <cfRule type="cellIs" dxfId="0" priority="1087" stopIfTrue="1" operator="lessThan">
      <formula>0</formula>
    </cfRule>
  </conditionalFormatting>
  <conditionalFormatting sqref="I2582:J2583">
    <cfRule type="cellIs" dxfId="1" priority="1088" stopIfTrue="1" operator="greaterThan">
      <formula>0</formula>
    </cfRule>
  </conditionalFormatting>
  <conditionalFormatting sqref="I2584:J2587">
    <cfRule type="cellIs" dxfId="0" priority="1089" stopIfTrue="1" operator="lessThan">
      <formula>0</formula>
    </cfRule>
  </conditionalFormatting>
  <conditionalFormatting sqref="I2584:J2587">
    <cfRule type="cellIs" dxfId="1" priority="1090" stopIfTrue="1" operator="greaterThan">
      <formula>0</formula>
    </cfRule>
  </conditionalFormatting>
  <conditionalFormatting sqref="I2588:J2588">
    <cfRule type="cellIs" dxfId="0" priority="1091" stopIfTrue="1" operator="lessThan">
      <formula>0</formula>
    </cfRule>
  </conditionalFormatting>
  <conditionalFormatting sqref="I2588:J2588">
    <cfRule type="cellIs" dxfId="1" priority="1092" stopIfTrue="1" operator="greaterThan">
      <formula>0</formula>
    </cfRule>
  </conditionalFormatting>
  <conditionalFormatting sqref="I2589:J2592">
    <cfRule type="cellIs" dxfId="0" priority="1093" stopIfTrue="1" operator="lessThan">
      <formula>0</formula>
    </cfRule>
  </conditionalFormatting>
  <conditionalFormatting sqref="I2589:J2592">
    <cfRule type="cellIs" dxfId="1" priority="1094" stopIfTrue="1" operator="greaterThan">
      <formula>0</formula>
    </cfRule>
  </conditionalFormatting>
  <conditionalFormatting sqref="I2593:J2598">
    <cfRule type="cellIs" dxfId="0" priority="1095" stopIfTrue="1" operator="lessThan">
      <formula>0</formula>
    </cfRule>
  </conditionalFormatting>
  <conditionalFormatting sqref="I2593:J2598">
    <cfRule type="cellIs" dxfId="1" priority="1096" stopIfTrue="1" operator="greaterThan">
      <formula>0</formula>
    </cfRule>
  </conditionalFormatting>
  <conditionalFormatting sqref="I2599:J2602">
    <cfRule type="cellIs" dxfId="0" priority="1097" stopIfTrue="1" operator="lessThan">
      <formula>0</formula>
    </cfRule>
  </conditionalFormatting>
  <conditionalFormatting sqref="I2599:J2602">
    <cfRule type="cellIs" dxfId="1" priority="1098" stopIfTrue="1" operator="greaterThan">
      <formula>0</formula>
    </cfRule>
  </conditionalFormatting>
  <conditionalFormatting sqref="I2603:J2603 I2609:J2611 I2617:J2622 I2642:J2643 I2663:J2665">
    <cfRule type="cellIs" dxfId="0" priority="1099" stopIfTrue="1" operator="lessThan">
      <formula>0</formula>
    </cfRule>
  </conditionalFormatting>
  <conditionalFormatting sqref="I2603:J2603 I2609:J2611 I2617:J2622 I2642:J2643 I2663:J2665">
    <cfRule type="cellIs" dxfId="1" priority="1100" stopIfTrue="1" operator="greaterThan">
      <formula>0</formula>
    </cfRule>
  </conditionalFormatting>
  <conditionalFormatting sqref="I2604:J2607">
    <cfRule type="cellIs" dxfId="0" priority="1101" stopIfTrue="1" operator="lessThan">
      <formula>0</formula>
    </cfRule>
  </conditionalFormatting>
  <conditionalFormatting sqref="I2604:J2607">
    <cfRule type="cellIs" dxfId="1" priority="1102" stopIfTrue="1" operator="greaterThan">
      <formula>0</formula>
    </cfRule>
  </conditionalFormatting>
  <conditionalFormatting sqref="I2608:J2608">
    <cfRule type="cellIs" dxfId="0" priority="1103" stopIfTrue="1" operator="lessThan">
      <formula>0</formula>
    </cfRule>
  </conditionalFormatting>
  <conditionalFormatting sqref="I2608:J2608">
    <cfRule type="cellIs" dxfId="1" priority="1104" stopIfTrue="1" operator="greaterThan">
      <formula>0</formula>
    </cfRule>
  </conditionalFormatting>
  <conditionalFormatting sqref="I2612:J2615">
    <cfRule type="cellIs" dxfId="0" priority="1105" stopIfTrue="1" operator="lessThan">
      <formula>0</formula>
    </cfRule>
  </conditionalFormatting>
  <conditionalFormatting sqref="I2612:J2615">
    <cfRule type="cellIs" dxfId="1" priority="1106" stopIfTrue="1" operator="greaterThan">
      <formula>0</formula>
    </cfRule>
  </conditionalFormatting>
  <conditionalFormatting sqref="I2616:J2616">
    <cfRule type="cellIs" dxfId="0" priority="1107" stopIfTrue="1" operator="lessThan">
      <formula>0</formula>
    </cfRule>
  </conditionalFormatting>
  <conditionalFormatting sqref="I2616:J2616">
    <cfRule type="cellIs" dxfId="1" priority="1108" stopIfTrue="1" operator="greaterThan">
      <formula>0</formula>
    </cfRule>
  </conditionalFormatting>
  <conditionalFormatting sqref="I2623:J2626">
    <cfRule type="cellIs" dxfId="0" priority="1109" stopIfTrue="1" operator="lessThan">
      <formula>0</formula>
    </cfRule>
  </conditionalFormatting>
  <conditionalFormatting sqref="I2623:J2626">
    <cfRule type="cellIs" dxfId="1" priority="1110" stopIfTrue="1" operator="greaterThan">
      <formula>0</formula>
    </cfRule>
  </conditionalFormatting>
  <conditionalFormatting sqref="I2627:J2627 I2633:J2635 I2641:J2641">
    <cfRule type="cellIs" dxfId="0" priority="1111" stopIfTrue="1" operator="lessThan">
      <formula>0</formula>
    </cfRule>
  </conditionalFormatting>
  <conditionalFormatting sqref="I2627:J2627 I2633:J2635 I2641:J2641">
    <cfRule type="cellIs" dxfId="1" priority="1112" stopIfTrue="1" operator="greaterThan">
      <formula>0</formula>
    </cfRule>
  </conditionalFormatting>
  <conditionalFormatting sqref="I2628:J2631">
    <cfRule type="cellIs" dxfId="0" priority="1113" stopIfTrue="1" operator="lessThan">
      <formula>0</formula>
    </cfRule>
  </conditionalFormatting>
  <conditionalFormatting sqref="I2628:J2631">
    <cfRule type="cellIs" dxfId="1" priority="1114" stopIfTrue="1" operator="greaterThan">
      <formula>0</formula>
    </cfRule>
  </conditionalFormatting>
  <conditionalFormatting sqref="I2632:J2632">
    <cfRule type="cellIs" dxfId="0" priority="1115" stopIfTrue="1" operator="lessThan">
      <formula>0</formula>
    </cfRule>
  </conditionalFormatting>
  <conditionalFormatting sqref="I2632:J2632">
    <cfRule type="cellIs" dxfId="1" priority="1116" stopIfTrue="1" operator="greaterThan">
      <formula>0</formula>
    </cfRule>
  </conditionalFormatting>
  <conditionalFormatting sqref="I2636:J2639">
    <cfRule type="cellIs" dxfId="0" priority="1117" stopIfTrue="1" operator="lessThan">
      <formula>0</formula>
    </cfRule>
  </conditionalFormatting>
  <conditionalFormatting sqref="I2636:J2639">
    <cfRule type="cellIs" dxfId="1" priority="1118" stopIfTrue="1" operator="greaterThan">
      <formula>0</formula>
    </cfRule>
  </conditionalFormatting>
  <conditionalFormatting sqref="I2640:J2640">
    <cfRule type="cellIs" dxfId="0" priority="1119" stopIfTrue="1" operator="lessThan">
      <formula>0</formula>
    </cfRule>
  </conditionalFormatting>
  <conditionalFormatting sqref="I2640:J2640">
    <cfRule type="cellIs" dxfId="1" priority="1120" stopIfTrue="1" operator="greaterThan">
      <formula>0</formula>
    </cfRule>
  </conditionalFormatting>
  <conditionalFormatting sqref="I2644:J2647">
    <cfRule type="cellIs" dxfId="0" priority="1121" stopIfTrue="1" operator="lessThan">
      <formula>0</formula>
    </cfRule>
  </conditionalFormatting>
  <conditionalFormatting sqref="I2644:J2647">
    <cfRule type="cellIs" dxfId="1" priority="1122" stopIfTrue="1" operator="greaterThan">
      <formula>0</formula>
    </cfRule>
  </conditionalFormatting>
  <conditionalFormatting sqref="I2648:J2648">
    <cfRule type="cellIs" dxfId="0" priority="1123" stopIfTrue="1" operator="lessThan">
      <formula>0</formula>
    </cfRule>
  </conditionalFormatting>
  <conditionalFormatting sqref="I2648:J2648">
    <cfRule type="cellIs" dxfId="1" priority="1124" stopIfTrue="1" operator="greaterThan">
      <formula>0</formula>
    </cfRule>
  </conditionalFormatting>
  <conditionalFormatting sqref="I2649:J2652">
    <cfRule type="cellIs" dxfId="0" priority="1125" stopIfTrue="1" operator="lessThan">
      <formula>0</formula>
    </cfRule>
  </conditionalFormatting>
  <conditionalFormatting sqref="I2649:J2652">
    <cfRule type="cellIs" dxfId="1" priority="1126" stopIfTrue="1" operator="greaterThan">
      <formula>0</formula>
    </cfRule>
  </conditionalFormatting>
  <conditionalFormatting sqref="I2653:J2657">
    <cfRule type="cellIs" dxfId="0" priority="1127" stopIfTrue="1" operator="lessThan">
      <formula>0</formula>
    </cfRule>
  </conditionalFormatting>
  <conditionalFormatting sqref="I2653:J2657">
    <cfRule type="cellIs" dxfId="1" priority="1128" stopIfTrue="1" operator="greaterThan">
      <formula>0</formula>
    </cfRule>
  </conditionalFormatting>
  <conditionalFormatting sqref="I2658:J2661">
    <cfRule type="cellIs" dxfId="0" priority="1129" stopIfTrue="1" operator="lessThan">
      <formula>0</formula>
    </cfRule>
  </conditionalFormatting>
  <conditionalFormatting sqref="I2658:J2661">
    <cfRule type="cellIs" dxfId="1" priority="1130" stopIfTrue="1" operator="greaterThan">
      <formula>0</formula>
    </cfRule>
  </conditionalFormatting>
  <conditionalFormatting sqref="I2662:J2662">
    <cfRule type="cellIs" dxfId="0" priority="1131" stopIfTrue="1" operator="lessThan">
      <formula>0</formula>
    </cfRule>
  </conditionalFormatting>
  <conditionalFormatting sqref="I2662:J2662">
    <cfRule type="cellIs" dxfId="1" priority="1132" stopIfTrue="1" operator="greaterThan">
      <formula>0</formula>
    </cfRule>
  </conditionalFormatting>
  <conditionalFormatting sqref="I2666:J2669">
    <cfRule type="cellIs" dxfId="0" priority="1133" stopIfTrue="1" operator="lessThan">
      <formula>0</formula>
    </cfRule>
  </conditionalFormatting>
  <conditionalFormatting sqref="I2666:J2669">
    <cfRule type="cellIs" dxfId="1" priority="1134" stopIfTrue="1" operator="greaterThan">
      <formula>0</formula>
    </cfRule>
  </conditionalFormatting>
  <conditionalFormatting sqref="I2670:J2673 I2689:J2695">
    <cfRule type="cellIs" dxfId="0" priority="1135" stopIfTrue="1" operator="lessThan">
      <formula>0</formula>
    </cfRule>
  </conditionalFormatting>
  <conditionalFormatting sqref="I2670:J2673 I2689:J2695">
    <cfRule type="cellIs" dxfId="1" priority="1136" stopIfTrue="1" operator="greaterThan">
      <formula>0</formula>
    </cfRule>
  </conditionalFormatting>
  <conditionalFormatting sqref="I2674:J2677">
    <cfRule type="cellIs" dxfId="0" priority="1137" stopIfTrue="1" operator="lessThan">
      <formula>0</formula>
    </cfRule>
  </conditionalFormatting>
  <conditionalFormatting sqref="I2674:J2677">
    <cfRule type="cellIs" dxfId="1" priority="1138" stopIfTrue="1" operator="greaterThan">
      <formula>0</formula>
    </cfRule>
  </conditionalFormatting>
  <conditionalFormatting sqref="I2678:J2678">
    <cfRule type="cellIs" dxfId="0" priority="1139" stopIfTrue="1" operator="lessThan">
      <formula>0</formula>
    </cfRule>
  </conditionalFormatting>
  <conditionalFormatting sqref="I2678:J2678">
    <cfRule type="cellIs" dxfId="1" priority="1140" stopIfTrue="1" operator="greaterThan">
      <formula>0</formula>
    </cfRule>
  </conditionalFormatting>
  <conditionalFormatting sqref="I2679:J2682">
    <cfRule type="cellIs" dxfId="0" priority="1141" stopIfTrue="1" operator="lessThan">
      <formula>0</formula>
    </cfRule>
  </conditionalFormatting>
  <conditionalFormatting sqref="I2679:J2682">
    <cfRule type="cellIs" dxfId="1" priority="1142" stopIfTrue="1" operator="greaterThan">
      <formula>0</formula>
    </cfRule>
  </conditionalFormatting>
  <conditionalFormatting sqref="I2683:J2683">
    <cfRule type="cellIs" dxfId="0" priority="1143" stopIfTrue="1" operator="lessThan">
      <formula>0</formula>
    </cfRule>
  </conditionalFormatting>
  <conditionalFormatting sqref="I2683:J2683">
    <cfRule type="cellIs" dxfId="1" priority="1144" stopIfTrue="1" operator="greaterThan">
      <formula>0</formula>
    </cfRule>
  </conditionalFormatting>
  <conditionalFormatting sqref="I2684:J2687">
    <cfRule type="cellIs" dxfId="0" priority="1145" stopIfTrue="1" operator="lessThan">
      <formula>0</formula>
    </cfRule>
  </conditionalFormatting>
  <conditionalFormatting sqref="I2684:J2687">
    <cfRule type="cellIs" dxfId="1" priority="1146" stopIfTrue="1" operator="greaterThan">
      <formula>0</formula>
    </cfRule>
  </conditionalFormatting>
  <conditionalFormatting sqref="I2688:J2688">
    <cfRule type="cellIs" dxfId="0" priority="1147" stopIfTrue="1" operator="lessThan">
      <formula>0</formula>
    </cfRule>
  </conditionalFormatting>
  <conditionalFormatting sqref="I2688:J2688">
    <cfRule type="cellIs" dxfId="1" priority="1148" stopIfTrue="1" operator="greaterThan">
      <formula>0</formula>
    </cfRule>
  </conditionalFormatting>
  <conditionalFormatting sqref="I2696:J2699">
    <cfRule type="cellIs" dxfId="0" priority="1149" stopIfTrue="1" operator="lessThan">
      <formula>0</formula>
    </cfRule>
  </conditionalFormatting>
  <conditionalFormatting sqref="I2696:J2699">
    <cfRule type="cellIs" dxfId="1" priority="1150" stopIfTrue="1" operator="greaterThan">
      <formula>0</formula>
    </cfRule>
  </conditionalFormatting>
  <conditionalFormatting sqref="I2700:J2700">
    <cfRule type="cellIs" dxfId="0" priority="1151" stopIfTrue="1" operator="lessThan">
      <formula>0</formula>
    </cfRule>
  </conditionalFormatting>
  <conditionalFormatting sqref="I2700:J2700">
    <cfRule type="cellIs" dxfId="1" priority="1152" stopIfTrue="1" operator="greaterThan">
      <formula>0</formula>
    </cfRule>
  </conditionalFormatting>
  <conditionalFormatting sqref="I2701:J2704">
    <cfRule type="cellIs" dxfId="0" priority="1153" stopIfTrue="1" operator="lessThan">
      <formula>0</formula>
    </cfRule>
  </conditionalFormatting>
  <conditionalFormatting sqref="I2701:J2704">
    <cfRule type="cellIs" dxfId="1" priority="1154" stopIfTrue="1" operator="greaterThan">
      <formula>0</formula>
    </cfRule>
  </conditionalFormatting>
  <conditionalFormatting sqref="I2705:J2705">
    <cfRule type="cellIs" dxfId="0" priority="1155" stopIfTrue="1" operator="lessThan">
      <formula>0</formula>
    </cfRule>
  </conditionalFormatting>
  <conditionalFormatting sqref="I2705:J2705">
    <cfRule type="cellIs" dxfId="1" priority="1156" stopIfTrue="1" operator="greaterThan">
      <formula>0</formula>
    </cfRule>
  </conditionalFormatting>
  <conditionalFormatting sqref="I2706:J2709">
    <cfRule type="cellIs" dxfId="0" priority="1157" stopIfTrue="1" operator="lessThan">
      <formula>0</formula>
    </cfRule>
  </conditionalFormatting>
  <conditionalFormatting sqref="I2706:J2709">
    <cfRule type="cellIs" dxfId="1" priority="1158" stopIfTrue="1" operator="greaterThan">
      <formula>0</formula>
    </cfRule>
  </conditionalFormatting>
  <conditionalFormatting sqref="I2710:J2710">
    <cfRule type="cellIs" dxfId="0" priority="1159" stopIfTrue="1" operator="lessThan">
      <formula>0</formula>
    </cfRule>
  </conditionalFormatting>
  <conditionalFormatting sqref="I2710:J2710">
    <cfRule type="cellIs" dxfId="1" priority="1160" stopIfTrue="1" operator="greaterThan">
      <formula>0</formula>
    </cfRule>
  </conditionalFormatting>
  <conditionalFormatting sqref="I2722:J2726">
    <cfRule type="cellIs" dxfId="0" priority="1161" stopIfTrue="1" operator="lessThan">
      <formula>0</formula>
    </cfRule>
  </conditionalFormatting>
  <conditionalFormatting sqref="I2722:J2726">
    <cfRule type="cellIs" dxfId="1" priority="1162" stopIfTrue="1" operator="greaterThan">
      <formula>0</formula>
    </cfRule>
  </conditionalFormatting>
  <conditionalFormatting sqref="I2728:J2738">
    <cfRule type="cellIs" dxfId="0" priority="1163" stopIfTrue="1" operator="lessThan">
      <formula>0</formula>
    </cfRule>
  </conditionalFormatting>
  <conditionalFormatting sqref="I2728:J2738">
    <cfRule type="cellIs" dxfId="1" priority="1164" stopIfTrue="1" operator="greaterThan">
      <formula>0</formula>
    </cfRule>
  </conditionalFormatting>
  <conditionalFormatting sqref="I2739:J2743">
    <cfRule type="cellIs" dxfId="0" priority="1165" stopIfTrue="1" operator="lessThan">
      <formula>0</formula>
    </cfRule>
  </conditionalFormatting>
  <conditionalFormatting sqref="I2739:J2743">
    <cfRule type="cellIs" dxfId="1" priority="1166" stopIfTrue="1" operator="greaterThan">
      <formula>0</formula>
    </cfRule>
  </conditionalFormatting>
  <conditionalFormatting sqref="I2744:J2748">
    <cfRule type="cellIs" dxfId="0" priority="1167" stopIfTrue="1" operator="lessThan">
      <formula>0</formula>
    </cfRule>
  </conditionalFormatting>
  <conditionalFormatting sqref="I2744:J2748">
    <cfRule type="cellIs" dxfId="1" priority="1168" stopIfTrue="1" operator="greaterThan">
      <formula>0</formula>
    </cfRule>
  </conditionalFormatting>
  <conditionalFormatting sqref="I2750:J2754">
    <cfRule type="cellIs" dxfId="0" priority="1169" stopIfTrue="1" operator="lessThan">
      <formula>0</formula>
    </cfRule>
  </conditionalFormatting>
  <conditionalFormatting sqref="I2750:J2754">
    <cfRule type="cellIs" dxfId="1" priority="1170" stopIfTrue="1" operator="greaterThan">
      <formula>0</formula>
    </cfRule>
  </conditionalFormatting>
  <conditionalFormatting sqref="I2755:J2763 I2769:J2771 I2777:J2781 I2792:J2793 I2799:J2806">
    <cfRule type="cellIs" dxfId="0" priority="1171" stopIfTrue="1" operator="lessThan">
      <formula>0</formula>
    </cfRule>
  </conditionalFormatting>
  <conditionalFormatting sqref="I2755:J2763 I2769:J2771 I2777:J2781 I2792:J2793 I2799:J2806">
    <cfRule type="cellIs" dxfId="1" priority="1172" stopIfTrue="1" operator="greaterThan">
      <formula>0</formula>
    </cfRule>
  </conditionalFormatting>
  <conditionalFormatting sqref="I2764:J2768">
    <cfRule type="cellIs" dxfId="0" priority="1173" stopIfTrue="1" operator="lessThan">
      <formula>0</formula>
    </cfRule>
  </conditionalFormatting>
  <conditionalFormatting sqref="I2764:J2768">
    <cfRule type="cellIs" dxfId="1" priority="1174" stopIfTrue="1" operator="greaterThan">
      <formula>0</formula>
    </cfRule>
  </conditionalFormatting>
  <conditionalFormatting sqref="I2772:J2776">
    <cfRule type="cellIs" dxfId="0" priority="1175" stopIfTrue="1" operator="lessThan">
      <formula>0</formula>
    </cfRule>
  </conditionalFormatting>
  <conditionalFormatting sqref="I2772:J2776">
    <cfRule type="cellIs" dxfId="1" priority="1176" stopIfTrue="1" operator="greaterThan">
      <formula>0</formula>
    </cfRule>
  </conditionalFormatting>
  <conditionalFormatting sqref="I2782:J2786">
    <cfRule type="cellIs" dxfId="0" priority="1177" stopIfTrue="1" operator="lessThan">
      <formula>0</formula>
    </cfRule>
  </conditionalFormatting>
  <conditionalFormatting sqref="I2782:J2786">
    <cfRule type="cellIs" dxfId="1" priority="1178" stopIfTrue="1" operator="greaterThan">
      <formula>0</formula>
    </cfRule>
  </conditionalFormatting>
  <conditionalFormatting sqref="I2787:J2791">
    <cfRule type="cellIs" dxfId="0" priority="1179" stopIfTrue="1" operator="lessThan">
      <formula>0</formula>
    </cfRule>
  </conditionalFormatting>
  <conditionalFormatting sqref="I2787:J2791">
    <cfRule type="cellIs" dxfId="1" priority="1180" stopIfTrue="1" operator="greaterThan">
      <formula>0</formula>
    </cfRule>
  </conditionalFormatting>
  <conditionalFormatting sqref="I2794:J2798">
    <cfRule type="cellIs" dxfId="0" priority="1181" stopIfTrue="1" operator="lessThan">
      <formula>0</formula>
    </cfRule>
  </conditionalFormatting>
  <conditionalFormatting sqref="I2794:J2798">
    <cfRule type="cellIs" dxfId="1" priority="1182" stopIfTrue="1" operator="greaterThan">
      <formula>0</formula>
    </cfRule>
  </conditionalFormatting>
  <conditionalFormatting sqref="I2807:J2811">
    <cfRule type="cellIs" dxfId="0" priority="1183" stopIfTrue="1" operator="lessThan">
      <formula>0</formula>
    </cfRule>
  </conditionalFormatting>
  <conditionalFormatting sqref="I2807:J2811">
    <cfRule type="cellIs" dxfId="1" priority="1184" stopIfTrue="1" operator="greaterThan">
      <formula>0</formula>
    </cfRule>
  </conditionalFormatting>
  <conditionalFormatting sqref="I2812:J2816">
    <cfRule type="cellIs" dxfId="0" priority="1185" stopIfTrue="1" operator="lessThan">
      <formula>0</formula>
    </cfRule>
  </conditionalFormatting>
  <conditionalFormatting sqref="I2812:J2816">
    <cfRule type="cellIs" dxfId="1" priority="1186" stopIfTrue="1" operator="greaterThan">
      <formula>0</formula>
    </cfRule>
  </conditionalFormatting>
  <conditionalFormatting sqref="I2817:J2821">
    <cfRule type="cellIs" dxfId="0" priority="1187" stopIfTrue="1" operator="lessThan">
      <formula>0</formula>
    </cfRule>
  </conditionalFormatting>
  <conditionalFormatting sqref="I2817:J2821">
    <cfRule type="cellIs" dxfId="1" priority="1188" stopIfTrue="1" operator="greaterThan">
      <formula>0</formula>
    </cfRule>
  </conditionalFormatting>
  <conditionalFormatting sqref="I2822:J2830 I2858:J2858 I2864:J2866">
    <cfRule type="cellIs" dxfId="0" priority="1189" stopIfTrue="1" operator="lessThan">
      <formula>0</formula>
    </cfRule>
  </conditionalFormatting>
  <conditionalFormatting sqref="I2822:J2830 I2858:J2858 I2864:J2866">
    <cfRule type="cellIs" dxfId="1" priority="1190" stopIfTrue="1" operator="greaterThan">
      <formula>0</formula>
    </cfRule>
  </conditionalFormatting>
  <conditionalFormatting sqref="I2831:J2841 I2847:J2852">
    <cfRule type="cellIs" dxfId="0" priority="1191" stopIfTrue="1" operator="lessThan">
      <formula>0</formula>
    </cfRule>
  </conditionalFormatting>
  <conditionalFormatting sqref="I2831:J2841 I2847:J2852">
    <cfRule type="cellIs" dxfId="1" priority="1192" stopIfTrue="1" operator="greaterThan">
      <formula>0</formula>
    </cfRule>
  </conditionalFormatting>
  <conditionalFormatting sqref="I2842:J2846">
    <cfRule type="cellIs" dxfId="0" priority="1193" stopIfTrue="1" operator="lessThan">
      <formula>0</formula>
    </cfRule>
  </conditionalFormatting>
  <conditionalFormatting sqref="I2842:J2846">
    <cfRule type="cellIs" dxfId="1" priority="1194" stopIfTrue="1" operator="greaterThan">
      <formula>0</formula>
    </cfRule>
  </conditionalFormatting>
  <conditionalFormatting sqref="I2853:J2857">
    <cfRule type="cellIs" dxfId="0" priority="1195" stopIfTrue="1" operator="lessThan">
      <formula>0</formula>
    </cfRule>
  </conditionalFormatting>
  <conditionalFormatting sqref="I2853:J2857">
    <cfRule type="cellIs" dxfId="1" priority="1196" stopIfTrue="1" operator="greaterThan">
      <formula>0</formula>
    </cfRule>
  </conditionalFormatting>
  <conditionalFormatting sqref="I2859:J2863">
    <cfRule type="cellIs" dxfId="0" priority="1197" stopIfTrue="1" operator="lessThan">
      <formula>0</formula>
    </cfRule>
  </conditionalFormatting>
  <conditionalFormatting sqref="I2859:J2863">
    <cfRule type="cellIs" dxfId="1" priority="1198" stopIfTrue="1" operator="greaterThan">
      <formula>0</formula>
    </cfRule>
  </conditionalFormatting>
  <conditionalFormatting sqref="I2867:J2871 I2887:J2889">
    <cfRule type="cellIs" dxfId="0" priority="1199" stopIfTrue="1" operator="lessThan">
      <formula>0</formula>
    </cfRule>
  </conditionalFormatting>
  <conditionalFormatting sqref="I2867:J2871 I2887:J2889">
    <cfRule type="cellIs" dxfId="1" priority="1200" stopIfTrue="1" operator="greaterThan">
      <formula>0</formula>
    </cfRule>
  </conditionalFormatting>
  <conditionalFormatting sqref="I2872:J2881">
    <cfRule type="cellIs" dxfId="0" priority="1201" stopIfTrue="1" operator="lessThan">
      <formula>0</formula>
    </cfRule>
  </conditionalFormatting>
  <conditionalFormatting sqref="I2872:J2881">
    <cfRule type="cellIs" dxfId="1" priority="1202" stopIfTrue="1" operator="greaterThan">
      <formula>0</formula>
    </cfRule>
  </conditionalFormatting>
  <conditionalFormatting sqref="I2882:J2886">
    <cfRule type="cellIs" dxfId="0" priority="1203" stopIfTrue="1" operator="lessThan">
      <formula>0</formula>
    </cfRule>
  </conditionalFormatting>
  <conditionalFormatting sqref="I2882:J2886">
    <cfRule type="cellIs" dxfId="1" priority="1204" stopIfTrue="1" operator="greaterThan">
      <formula>0</formula>
    </cfRule>
  </conditionalFormatting>
  <conditionalFormatting sqref="I2890:J2894">
    <cfRule type="cellIs" dxfId="0" priority="1205" stopIfTrue="1" operator="lessThan">
      <formula>0</formula>
    </cfRule>
  </conditionalFormatting>
  <conditionalFormatting sqref="I2890:J2894">
    <cfRule type="cellIs" dxfId="1" priority="1206" stopIfTrue="1" operator="greaterThan">
      <formula>0</formula>
    </cfRule>
  </conditionalFormatting>
  <conditionalFormatting sqref="I2895:J2899">
    <cfRule type="cellIs" dxfId="0" priority="1207" stopIfTrue="1" operator="lessThan">
      <formula>0</formula>
    </cfRule>
  </conditionalFormatting>
  <conditionalFormatting sqref="I2895:J2899">
    <cfRule type="cellIs" dxfId="1" priority="1208" stopIfTrue="1" operator="greaterThan">
      <formula>0</formula>
    </cfRule>
  </conditionalFormatting>
  <conditionalFormatting sqref="I2900:J2904">
    <cfRule type="cellIs" dxfId="0" priority="1209" stopIfTrue="1" operator="lessThan">
      <formula>0</formula>
    </cfRule>
  </conditionalFormatting>
  <conditionalFormatting sqref="I2900:J2904">
    <cfRule type="cellIs" dxfId="1" priority="1210" stopIfTrue="1" operator="greaterThan">
      <formula>0</formula>
    </cfRule>
  </conditionalFormatting>
  <conditionalFormatting sqref="I2905:J2909">
    <cfRule type="cellIs" dxfId="0" priority="1211" stopIfTrue="1" operator="lessThan">
      <formula>0</formula>
    </cfRule>
  </conditionalFormatting>
  <conditionalFormatting sqref="I2905:J2909">
    <cfRule type="cellIs" dxfId="1" priority="1212" stopIfTrue="1" operator="greaterThan">
      <formula>0</formula>
    </cfRule>
  </conditionalFormatting>
  <conditionalFormatting sqref="I2910:J2914 I2925">
    <cfRule type="cellIs" dxfId="0" priority="1213" stopIfTrue="1" operator="lessThan">
      <formula>0</formula>
    </cfRule>
  </conditionalFormatting>
  <conditionalFormatting sqref="I2910:J2914 I2925">
    <cfRule type="cellIs" dxfId="1" priority="1214" stopIfTrue="1" operator="greaterThan">
      <formula>0</formula>
    </cfRule>
  </conditionalFormatting>
  <conditionalFormatting sqref="I2915:J2919">
    <cfRule type="cellIs" dxfId="0" priority="1215" stopIfTrue="1" operator="lessThan">
      <formula>0</formula>
    </cfRule>
  </conditionalFormatting>
  <conditionalFormatting sqref="I2915:J2919">
    <cfRule type="cellIs" dxfId="1" priority="1216" stopIfTrue="1" operator="greaterThan">
      <formula>0</formula>
    </cfRule>
  </conditionalFormatting>
  <conditionalFormatting sqref="I2920:J2924">
    <cfRule type="cellIs" dxfId="0" priority="1217" stopIfTrue="1" operator="lessThan">
      <formula>0</formula>
    </cfRule>
  </conditionalFormatting>
  <conditionalFormatting sqref="I2920:J2924">
    <cfRule type="cellIs" dxfId="1" priority="1218" stopIfTrue="1" operator="greaterThan">
      <formula>0</formula>
    </cfRule>
  </conditionalFormatting>
  <conditionalFormatting sqref="I2926:J2930">
    <cfRule type="cellIs" dxfId="0" priority="1219" stopIfTrue="1" operator="lessThan">
      <formula>0</formula>
    </cfRule>
  </conditionalFormatting>
  <conditionalFormatting sqref="I2926:J2930">
    <cfRule type="cellIs" dxfId="1" priority="1220" stopIfTrue="1" operator="greaterThan">
      <formula>0</formula>
    </cfRule>
  </conditionalFormatting>
  <conditionalFormatting sqref="J2925">
    <cfRule type="cellIs" dxfId="0" priority="1221" stopIfTrue="1" operator="lessThan">
      <formula>0</formula>
    </cfRule>
  </conditionalFormatting>
  <conditionalFormatting sqref="J2925">
    <cfRule type="cellIs" dxfId="1" priority="1222" stopIfTrue="1" operator="greaterThan">
      <formula>0</formula>
    </cfRule>
  </conditionalFormatting>
  <conditionalFormatting sqref="I2931:J2935">
    <cfRule type="cellIs" dxfId="0" priority="1223" stopIfTrue="1" operator="lessThan">
      <formula>0</formula>
    </cfRule>
  </conditionalFormatting>
  <conditionalFormatting sqref="I2931:J2935">
    <cfRule type="cellIs" dxfId="1" priority="1224" stopIfTrue="1" operator="greaterThan">
      <formula>0</formula>
    </cfRule>
  </conditionalFormatting>
  <conditionalFormatting sqref="I2936:J2940">
    <cfRule type="cellIs" dxfId="0" priority="1225" stopIfTrue="1" operator="lessThan">
      <formula>0</formula>
    </cfRule>
  </conditionalFormatting>
  <conditionalFormatting sqref="I2936:J2940">
    <cfRule type="cellIs" dxfId="1" priority="1226" stopIfTrue="1" operator="greaterThan">
      <formula>0</formula>
    </cfRule>
  </conditionalFormatting>
  <conditionalFormatting sqref="I2941:J2945">
    <cfRule type="cellIs" dxfId="0" priority="1227" stopIfTrue="1" operator="lessThan">
      <formula>0</formula>
    </cfRule>
  </conditionalFormatting>
  <conditionalFormatting sqref="I2941:J2945">
    <cfRule type="cellIs" dxfId="1" priority="1228" stopIfTrue="1" operator="greaterThan">
      <formula>0</formula>
    </cfRule>
  </conditionalFormatting>
  <conditionalFormatting sqref="I2946:J2950">
    <cfRule type="cellIs" dxfId="0" priority="1229" stopIfTrue="1" operator="lessThan">
      <formula>0</formula>
    </cfRule>
  </conditionalFormatting>
  <conditionalFormatting sqref="I2946:J2950">
    <cfRule type="cellIs" dxfId="1" priority="1230" stopIfTrue="1" operator="greaterThan">
      <formula>0</formula>
    </cfRule>
  </conditionalFormatting>
  <conditionalFormatting sqref="I2951:J2965 I2971:J2972">
    <cfRule type="cellIs" dxfId="0" priority="1231" stopIfTrue="1" operator="lessThan">
      <formula>0</formula>
    </cfRule>
  </conditionalFormatting>
  <conditionalFormatting sqref="I2951:J2965 I2971:J2972">
    <cfRule type="cellIs" dxfId="1" priority="1232" stopIfTrue="1" operator="greaterThan">
      <formula>0</formula>
    </cfRule>
  </conditionalFormatting>
  <conditionalFormatting sqref="I2966:J2970">
    <cfRule type="cellIs" dxfId="0" priority="1233" stopIfTrue="1" operator="lessThan">
      <formula>0</formula>
    </cfRule>
  </conditionalFormatting>
  <conditionalFormatting sqref="I2966:J2970">
    <cfRule type="cellIs" dxfId="1" priority="1234" stopIfTrue="1" operator="greaterThan">
      <formula>0</formula>
    </cfRule>
  </conditionalFormatting>
  <conditionalFormatting sqref="I2973:J2977">
    <cfRule type="cellIs" dxfId="0" priority="1235" stopIfTrue="1" operator="lessThan">
      <formula>0</formula>
    </cfRule>
  </conditionalFormatting>
  <conditionalFormatting sqref="I2973:J2977">
    <cfRule type="cellIs" dxfId="1" priority="1236" stopIfTrue="1" operator="greaterThan">
      <formula>0</formula>
    </cfRule>
  </conditionalFormatting>
  <conditionalFormatting sqref="I2978:J2988">
    <cfRule type="cellIs" dxfId="0" priority="1237" stopIfTrue="1" operator="lessThan">
      <formula>0</formula>
    </cfRule>
  </conditionalFormatting>
  <conditionalFormatting sqref="I2978:J2988">
    <cfRule type="cellIs" dxfId="1" priority="1238" stopIfTrue="1" operator="greaterThan">
      <formula>0</formula>
    </cfRule>
  </conditionalFormatting>
  <conditionalFormatting sqref="I2989:J2993">
    <cfRule type="cellIs" dxfId="0" priority="1239" stopIfTrue="1" operator="lessThan">
      <formula>0</formula>
    </cfRule>
  </conditionalFormatting>
  <conditionalFormatting sqref="I2989:J2993">
    <cfRule type="cellIs" dxfId="1" priority="1240" stopIfTrue="1" operator="greaterThan">
      <formula>0</formula>
    </cfRule>
  </conditionalFormatting>
  <conditionalFormatting sqref="I2994:J2998">
    <cfRule type="cellIs" dxfId="0" priority="1241" stopIfTrue="1" operator="lessThan">
      <formula>0</formula>
    </cfRule>
  </conditionalFormatting>
  <conditionalFormatting sqref="I2994:J2998">
    <cfRule type="cellIs" dxfId="1" priority="1242" stopIfTrue="1" operator="greaterThan">
      <formula>0</formula>
    </cfRule>
  </conditionalFormatting>
  <conditionalFormatting sqref="I2999:J3003">
    <cfRule type="cellIs" dxfId="0" priority="1243" stopIfTrue="1" operator="lessThan">
      <formula>0</formula>
    </cfRule>
  </conditionalFormatting>
  <conditionalFormatting sqref="I2999:J3003">
    <cfRule type="cellIs" dxfId="1" priority="1244" stopIfTrue="1" operator="greaterThan">
      <formula>0</formula>
    </cfRule>
  </conditionalFormatting>
  <conditionalFormatting sqref="I3004:J3008">
    <cfRule type="cellIs" dxfId="0" priority="1245" stopIfTrue="1" operator="lessThan">
      <formula>0</formula>
    </cfRule>
  </conditionalFormatting>
  <conditionalFormatting sqref="I3004:J3008">
    <cfRule type="cellIs" dxfId="1" priority="1246" stopIfTrue="1" operator="greaterThan">
      <formula>0</formula>
    </cfRule>
  </conditionalFormatting>
  <conditionalFormatting sqref="I3016:J3020">
    <cfRule type="cellIs" dxfId="0" priority="1247" stopIfTrue="1" operator="lessThan">
      <formula>0</formula>
    </cfRule>
  </conditionalFormatting>
  <conditionalFormatting sqref="I3016:J3020">
    <cfRule type="cellIs" dxfId="1" priority="1248" stopIfTrue="1" operator="greaterThan">
      <formula>0</formula>
    </cfRule>
  </conditionalFormatting>
  <conditionalFormatting sqref="I3021:J3025">
    <cfRule type="cellIs" dxfId="0" priority="1249" stopIfTrue="1" operator="lessThan">
      <formula>0</formula>
    </cfRule>
  </conditionalFormatting>
  <conditionalFormatting sqref="I3021:J3025">
    <cfRule type="cellIs" dxfId="1" priority="1250" stopIfTrue="1" operator="greaterThan">
      <formula>0</formula>
    </cfRule>
  </conditionalFormatting>
  <conditionalFormatting sqref="I3030:J3036 I3068:J3068">
    <cfRule type="cellIs" dxfId="0" priority="1251" stopIfTrue="1" operator="lessThan">
      <formula>0</formula>
    </cfRule>
  </conditionalFormatting>
  <conditionalFormatting sqref="I3030:J3036 I3068:J3068">
    <cfRule type="cellIs" dxfId="1" priority="1252" stopIfTrue="1" operator="greaterThan">
      <formula>0</formula>
    </cfRule>
  </conditionalFormatting>
  <conditionalFormatting sqref="I3037:J3041">
    <cfRule type="cellIs" dxfId="0" priority="1253" stopIfTrue="1" operator="lessThan">
      <formula>0</formula>
    </cfRule>
  </conditionalFormatting>
  <conditionalFormatting sqref="I3037:J3041">
    <cfRule type="cellIs" dxfId="1" priority="1254" stopIfTrue="1" operator="greaterThan">
      <formula>0</formula>
    </cfRule>
  </conditionalFormatting>
  <conditionalFormatting sqref="I3042:J3046">
    <cfRule type="cellIs" dxfId="0" priority="1255" stopIfTrue="1" operator="lessThan">
      <formula>0</formula>
    </cfRule>
  </conditionalFormatting>
  <conditionalFormatting sqref="I3042:J3046">
    <cfRule type="cellIs" dxfId="1" priority="1256" stopIfTrue="1" operator="greaterThan">
      <formula>0</formula>
    </cfRule>
  </conditionalFormatting>
  <conditionalFormatting sqref="I3047:J3051 I3052">
    <cfRule type="cellIs" dxfId="0" priority="1257" stopIfTrue="1" operator="lessThan">
      <formula>0</formula>
    </cfRule>
  </conditionalFormatting>
  <conditionalFormatting sqref="I3047:J3051 I3052">
    <cfRule type="cellIs" dxfId="1" priority="1258" stopIfTrue="1" operator="greaterThan">
      <formula>0</formula>
    </cfRule>
  </conditionalFormatting>
  <conditionalFormatting sqref="I3053:J3057">
    <cfRule type="cellIs" dxfId="0" priority="1259" stopIfTrue="1" operator="lessThan">
      <formula>0</formula>
    </cfRule>
  </conditionalFormatting>
  <conditionalFormatting sqref="I3053:J3057">
    <cfRule type="cellIs" dxfId="1" priority="1260" stopIfTrue="1" operator="greaterThan">
      <formula>0</formula>
    </cfRule>
  </conditionalFormatting>
  <conditionalFormatting sqref="J3052">
    <cfRule type="cellIs" dxfId="0" priority="1261" stopIfTrue="1" operator="lessThan">
      <formula>0</formula>
    </cfRule>
  </conditionalFormatting>
  <conditionalFormatting sqref="J3052">
    <cfRule type="cellIs" dxfId="1" priority="1262" stopIfTrue="1" operator="greaterThan">
      <formula>0</formula>
    </cfRule>
  </conditionalFormatting>
  <conditionalFormatting sqref="I3058:J3062">
    <cfRule type="cellIs" dxfId="0" priority="1263" stopIfTrue="1" operator="lessThan">
      <formula>0</formula>
    </cfRule>
  </conditionalFormatting>
  <conditionalFormatting sqref="I3058:J3062">
    <cfRule type="cellIs" dxfId="1" priority="1264" stopIfTrue="1" operator="greaterThan">
      <formula>0</formula>
    </cfRule>
  </conditionalFormatting>
  <conditionalFormatting sqref="I3063:J3067">
    <cfRule type="cellIs" dxfId="0" priority="1265" stopIfTrue="1" operator="lessThan">
      <formula>0</formula>
    </cfRule>
  </conditionalFormatting>
  <conditionalFormatting sqref="I3063:J3067">
    <cfRule type="cellIs" dxfId="1" priority="1266" stopIfTrue="1" operator="greaterThan">
      <formula>0</formula>
    </cfRule>
  </conditionalFormatting>
  <conditionalFormatting sqref="I3076:J3078">
    <cfRule type="cellIs" dxfId="0" priority="1267" stopIfTrue="1" operator="lessThan">
      <formula>0</formula>
    </cfRule>
  </conditionalFormatting>
  <conditionalFormatting sqref="I3076:J3078">
    <cfRule type="cellIs" dxfId="1" priority="1268" stopIfTrue="1" operator="greaterThan">
      <formula>0</formula>
    </cfRule>
  </conditionalFormatting>
  <conditionalFormatting sqref="I3079:J3085">
    <cfRule type="cellIs" dxfId="0" priority="1269" stopIfTrue="1" operator="lessThan">
      <formula>0</formula>
    </cfRule>
  </conditionalFormatting>
  <conditionalFormatting sqref="I3079:J3085">
    <cfRule type="cellIs" dxfId="1" priority="1270" stopIfTrue="1" operator="greaterThan">
      <formula>0</formula>
    </cfRule>
  </conditionalFormatting>
  <conditionalFormatting sqref="J3074">
    <cfRule type="cellIs" dxfId="0" priority="1271" stopIfTrue="1" operator="lessThan">
      <formula>0</formula>
    </cfRule>
  </conditionalFormatting>
  <conditionalFormatting sqref="J3074">
    <cfRule type="cellIs" dxfId="1" priority="1272" stopIfTrue="1" operator="greaterThan">
      <formula>0</formula>
    </cfRule>
  </conditionalFormatting>
  <conditionalFormatting sqref="I3086:J3091">
    <cfRule type="cellIs" dxfId="0" priority="1273" stopIfTrue="1" operator="lessThan">
      <formula>0</formula>
    </cfRule>
  </conditionalFormatting>
  <conditionalFormatting sqref="I3086:J3091">
    <cfRule type="cellIs" dxfId="1" priority="1274" stopIfTrue="1" operator="greaterThan">
      <formula>0</formula>
    </cfRule>
  </conditionalFormatting>
  <conditionalFormatting sqref="I3092:J3097">
    <cfRule type="cellIs" dxfId="0" priority="1275" stopIfTrue="1" operator="lessThan">
      <formula>0</formula>
    </cfRule>
  </conditionalFormatting>
  <conditionalFormatting sqref="I3092:J3097">
    <cfRule type="cellIs" dxfId="1" priority="1276" stopIfTrue="1" operator="greaterThan">
      <formula>0</formula>
    </cfRule>
  </conditionalFormatting>
  <conditionalFormatting sqref="I3098:J3102">
    <cfRule type="cellIs" dxfId="0" priority="1277" stopIfTrue="1" operator="lessThan">
      <formula>0</formula>
    </cfRule>
  </conditionalFormatting>
  <conditionalFormatting sqref="I3098:J3102">
    <cfRule type="cellIs" dxfId="1" priority="1278" stopIfTrue="1" operator="greaterThan">
      <formula>0</formula>
    </cfRule>
  </conditionalFormatting>
  <conditionalFormatting sqref="I3103:J3107">
    <cfRule type="cellIs" dxfId="0" priority="1279" stopIfTrue="1" operator="lessThan">
      <formula>0</formula>
    </cfRule>
  </conditionalFormatting>
  <conditionalFormatting sqref="I3103:J3107">
    <cfRule type="cellIs" dxfId="1" priority="1280" stopIfTrue="1" operator="greaterThan">
      <formula>0</formula>
    </cfRule>
  </conditionalFormatting>
  <conditionalFormatting sqref="I3108:J3112">
    <cfRule type="cellIs" dxfId="0" priority="1281" stopIfTrue="1" operator="lessThan">
      <formula>0</formula>
    </cfRule>
  </conditionalFormatting>
  <conditionalFormatting sqref="I3108:J3112">
    <cfRule type="cellIs" dxfId="1" priority="1282" stopIfTrue="1" operator="greaterThan">
      <formula>0</formula>
    </cfRule>
  </conditionalFormatting>
  <conditionalFormatting sqref="I3113:J3117 I3123:I3125">
    <cfRule type="cellIs" dxfId="0" priority="1283" stopIfTrue="1" operator="lessThan">
      <formula>0</formula>
    </cfRule>
  </conditionalFormatting>
  <conditionalFormatting sqref="I3113:J3117 I3123:I3125">
    <cfRule type="cellIs" dxfId="1" priority="1284" stopIfTrue="1" operator="greaterThan">
      <formula>0</formula>
    </cfRule>
  </conditionalFormatting>
  <conditionalFormatting sqref="I3118:J3122">
    <cfRule type="cellIs" dxfId="0" priority="1285" stopIfTrue="1" operator="lessThan">
      <formula>0</formula>
    </cfRule>
  </conditionalFormatting>
  <conditionalFormatting sqref="I3118:J3122">
    <cfRule type="cellIs" dxfId="1" priority="1286" stopIfTrue="1" operator="greaterThan">
      <formula>0</formula>
    </cfRule>
  </conditionalFormatting>
  <conditionalFormatting sqref="I3126:J3130 I3136:I3138">
    <cfRule type="cellIs" dxfId="0" priority="1287" stopIfTrue="1" operator="lessThan">
      <formula>0</formula>
    </cfRule>
  </conditionalFormatting>
  <conditionalFormatting sqref="I3126:J3130 I3136:I3138">
    <cfRule type="cellIs" dxfId="1" priority="1288" stopIfTrue="1" operator="greaterThan">
      <formula>0</formula>
    </cfRule>
  </conditionalFormatting>
  <conditionalFormatting sqref="J3123:J3125">
    <cfRule type="cellIs" dxfId="0" priority="1289" stopIfTrue="1" operator="lessThan">
      <formula>0</formula>
    </cfRule>
  </conditionalFormatting>
  <conditionalFormatting sqref="J3123:J3125">
    <cfRule type="cellIs" dxfId="1" priority="1290" stopIfTrue="1" operator="greaterThan">
      <formula>0</formula>
    </cfRule>
  </conditionalFormatting>
  <conditionalFormatting sqref="I3131:J3135">
    <cfRule type="cellIs" dxfId="0" priority="1291" stopIfTrue="1" operator="lessThan">
      <formula>0</formula>
    </cfRule>
  </conditionalFormatting>
  <conditionalFormatting sqref="I3131:J3135">
    <cfRule type="cellIs" dxfId="1" priority="1292" stopIfTrue="1" operator="greaterThan">
      <formula>0</formula>
    </cfRule>
  </conditionalFormatting>
  <conditionalFormatting sqref="I3139:J3143">
    <cfRule type="cellIs" dxfId="0" priority="1293" stopIfTrue="1" operator="lessThan">
      <formula>0</formula>
    </cfRule>
  </conditionalFormatting>
  <conditionalFormatting sqref="I3139:J3143">
    <cfRule type="cellIs" dxfId="1" priority="1294" stopIfTrue="1" operator="greaterThan">
      <formula>0</formula>
    </cfRule>
  </conditionalFormatting>
  <conditionalFormatting sqref="J3136:J3138">
    <cfRule type="cellIs" dxfId="0" priority="1295" stopIfTrue="1" operator="lessThan">
      <formula>0</formula>
    </cfRule>
  </conditionalFormatting>
  <conditionalFormatting sqref="J3136:J3138">
    <cfRule type="cellIs" dxfId="1" priority="1296" stopIfTrue="1" operator="greaterThan">
      <formula>0</formula>
    </cfRule>
  </conditionalFormatting>
  <conditionalFormatting sqref="I3144:J3148">
    <cfRule type="cellIs" dxfId="0" priority="1297" stopIfTrue="1" operator="lessThan">
      <formula>0</formula>
    </cfRule>
  </conditionalFormatting>
  <conditionalFormatting sqref="I3144:J3148">
    <cfRule type="cellIs" dxfId="1" priority="1298" stopIfTrue="1" operator="greaterThan">
      <formula>0</formula>
    </cfRule>
  </conditionalFormatting>
  <conditionalFormatting sqref="I3149:J3153 I3154:I3157">
    <cfRule type="cellIs" dxfId="0" priority="1299" stopIfTrue="1" operator="lessThan">
      <formula>0</formula>
    </cfRule>
  </conditionalFormatting>
  <conditionalFormatting sqref="I3149:J3153 I3154:I3157">
    <cfRule type="cellIs" dxfId="1" priority="1300" stopIfTrue="1" operator="greaterThan">
      <formula>0</formula>
    </cfRule>
  </conditionalFormatting>
  <conditionalFormatting sqref="I3158:J3162 I3168 I3218">
    <cfRule type="cellIs" dxfId="0" priority="1301" stopIfTrue="1" operator="lessThan">
      <formula>0</formula>
    </cfRule>
  </conditionalFormatting>
  <conditionalFormatting sqref="I3158:J3162 I3168 I3218">
    <cfRule type="cellIs" dxfId="1" priority="1302" stopIfTrue="1" operator="greaterThan">
      <formula>0</formula>
    </cfRule>
  </conditionalFormatting>
  <conditionalFormatting sqref="J3154:J3157">
    <cfRule type="cellIs" dxfId="0" priority="1303" stopIfTrue="1" operator="lessThan">
      <formula>0</formula>
    </cfRule>
  </conditionalFormatting>
  <conditionalFormatting sqref="J3154:J3157">
    <cfRule type="cellIs" dxfId="1" priority="1304" stopIfTrue="1" operator="greaterThan">
      <formula>0</formula>
    </cfRule>
  </conditionalFormatting>
  <conditionalFormatting sqref="I3163:J3167">
    <cfRule type="cellIs" dxfId="0" priority="1305" stopIfTrue="1" operator="lessThan">
      <formula>0</formula>
    </cfRule>
  </conditionalFormatting>
  <conditionalFormatting sqref="I3163:J3167">
    <cfRule type="cellIs" dxfId="1" priority="1306" stopIfTrue="1" operator="greaterThan">
      <formula>0</formula>
    </cfRule>
  </conditionalFormatting>
  <conditionalFormatting sqref="I3169:J3173 I3174:I3182">
    <cfRule type="cellIs" dxfId="0" priority="1307" stopIfTrue="1" operator="lessThan">
      <formula>0</formula>
    </cfRule>
  </conditionalFormatting>
  <conditionalFormatting sqref="I3169:J3173 I3174:I3182">
    <cfRule type="cellIs" dxfId="1" priority="1308" stopIfTrue="1" operator="greaterThan">
      <formula>0</formula>
    </cfRule>
  </conditionalFormatting>
  <conditionalFormatting sqref="J3168">
    <cfRule type="cellIs" dxfId="0" priority="1309" stopIfTrue="1" operator="lessThan">
      <formula>0</formula>
    </cfRule>
  </conditionalFormatting>
  <conditionalFormatting sqref="J3168">
    <cfRule type="cellIs" dxfId="1" priority="1310" stopIfTrue="1" operator="greaterThan">
      <formula>0</formula>
    </cfRule>
  </conditionalFormatting>
  <conditionalFormatting sqref="I3183:J3187 I3188:I3193">
    <cfRule type="cellIs" dxfId="0" priority="1311" stopIfTrue="1" operator="lessThan">
      <formula>0</formula>
    </cfRule>
  </conditionalFormatting>
  <conditionalFormatting sqref="I3183:J3187 I3188:I3193">
    <cfRule type="cellIs" dxfId="1" priority="1312" stopIfTrue="1" operator="greaterThan">
      <formula>0</formula>
    </cfRule>
  </conditionalFormatting>
  <conditionalFormatting sqref="J3174:J3182">
    <cfRule type="cellIs" dxfId="0" priority="1313" stopIfTrue="1" operator="lessThan">
      <formula>0</formula>
    </cfRule>
  </conditionalFormatting>
  <conditionalFormatting sqref="J3174:J3182">
    <cfRule type="cellIs" dxfId="1" priority="1314" stopIfTrue="1" operator="greaterThan">
      <formula>0</formula>
    </cfRule>
  </conditionalFormatting>
  <conditionalFormatting sqref="J3188:J3193">
    <cfRule type="cellIs" dxfId="0" priority="1315" stopIfTrue="1" operator="lessThan">
      <formula>0</formula>
    </cfRule>
  </conditionalFormatting>
  <conditionalFormatting sqref="J3188:J3193">
    <cfRule type="cellIs" dxfId="1" priority="1316" stopIfTrue="1" operator="greaterThan">
      <formula>0</formula>
    </cfRule>
  </conditionalFormatting>
  <conditionalFormatting sqref="I3194:J3198 I3199:I3200">
    <cfRule type="cellIs" dxfId="0" priority="1317" stopIfTrue="1" operator="lessThan">
      <formula>0</formula>
    </cfRule>
  </conditionalFormatting>
  <conditionalFormatting sqref="I3194:J3198 I3199:I3200">
    <cfRule type="cellIs" dxfId="1" priority="1318" stopIfTrue="1" operator="greaterThan">
      <formula>0</formula>
    </cfRule>
  </conditionalFormatting>
  <conditionalFormatting sqref="I3201:J3205 I3206:I3207">
    <cfRule type="cellIs" dxfId="0" priority="1319" stopIfTrue="1" operator="lessThan">
      <formula>0</formula>
    </cfRule>
  </conditionalFormatting>
  <conditionalFormatting sqref="I3201:J3205 I3206:I3207">
    <cfRule type="cellIs" dxfId="1" priority="1320" stopIfTrue="1" operator="greaterThan">
      <formula>0</formula>
    </cfRule>
  </conditionalFormatting>
  <conditionalFormatting sqref="J3199:J3200">
    <cfRule type="cellIs" dxfId="0" priority="1321" stopIfTrue="1" operator="lessThan">
      <formula>0</formula>
    </cfRule>
  </conditionalFormatting>
  <conditionalFormatting sqref="J3199:J3200">
    <cfRule type="cellIs" dxfId="1" priority="1322" stopIfTrue="1" operator="greaterThan">
      <formula>0</formula>
    </cfRule>
  </conditionalFormatting>
  <conditionalFormatting sqref="J3206:J3207">
    <cfRule type="cellIs" dxfId="0" priority="1323" stopIfTrue="1" operator="lessThan">
      <formula>0</formula>
    </cfRule>
  </conditionalFormatting>
  <conditionalFormatting sqref="J3206:J3207">
    <cfRule type="cellIs" dxfId="1" priority="1324" stopIfTrue="1" operator="greaterThan">
      <formula>0</formula>
    </cfRule>
  </conditionalFormatting>
  <conditionalFormatting sqref="I3208:J3212">
    <cfRule type="cellIs" dxfId="0" priority="1325" stopIfTrue="1" operator="lessThan">
      <formula>0</formula>
    </cfRule>
  </conditionalFormatting>
  <conditionalFormatting sqref="I3208:J3212">
    <cfRule type="cellIs" dxfId="1" priority="1326" stopIfTrue="1" operator="greaterThan">
      <formula>0</formula>
    </cfRule>
  </conditionalFormatting>
  <conditionalFormatting sqref="I3213:J3217">
    <cfRule type="cellIs" dxfId="0" priority="1327" stopIfTrue="1" operator="lessThan">
      <formula>0</formula>
    </cfRule>
  </conditionalFormatting>
  <conditionalFormatting sqref="I3213:J3217">
    <cfRule type="cellIs" dxfId="1" priority="1328" stopIfTrue="1" operator="greaterThan">
      <formula>0</formula>
    </cfRule>
  </conditionalFormatting>
  <conditionalFormatting sqref="I3219:J3223 I3224">
    <cfRule type="cellIs" dxfId="0" priority="1329" stopIfTrue="1" operator="lessThan">
      <formula>0</formula>
    </cfRule>
  </conditionalFormatting>
  <conditionalFormatting sqref="I3219:J3223 I3224">
    <cfRule type="cellIs" dxfId="1" priority="1330" stopIfTrue="1" operator="greaterThan">
      <formula>0</formula>
    </cfRule>
  </conditionalFormatting>
  <conditionalFormatting sqref="J3218">
    <cfRule type="cellIs" dxfId="0" priority="1331" stopIfTrue="1" operator="lessThan">
      <formula>0</formula>
    </cfRule>
  </conditionalFormatting>
  <conditionalFormatting sqref="J3218">
    <cfRule type="cellIs" dxfId="1" priority="1332" stopIfTrue="1" operator="greaterThan">
      <formula>0</formula>
    </cfRule>
  </conditionalFormatting>
  <conditionalFormatting sqref="J3224">
    <cfRule type="cellIs" dxfId="0" priority="1333" stopIfTrue="1" operator="lessThan">
      <formula>0</formula>
    </cfRule>
  </conditionalFormatting>
  <conditionalFormatting sqref="J3224">
    <cfRule type="cellIs" dxfId="1" priority="1334" stopIfTrue="1" operator="greaterThan">
      <formula>0</formula>
    </cfRule>
  </conditionalFormatting>
  <conditionalFormatting sqref="I3230:J3234 I3235:I3237">
    <cfRule type="cellIs" dxfId="0" priority="1335" stopIfTrue="1" operator="lessThan">
      <formula>0</formula>
    </cfRule>
  </conditionalFormatting>
  <conditionalFormatting sqref="I3230:J3234 I3235:I3237">
    <cfRule type="cellIs" dxfId="1" priority="1336" stopIfTrue="1" operator="greaterThan">
      <formula>0</formula>
    </cfRule>
  </conditionalFormatting>
  <conditionalFormatting sqref="I3238:J3242">
    <cfRule type="cellIs" dxfId="0" priority="1337" stopIfTrue="1" operator="lessThan">
      <formula>0</formula>
    </cfRule>
  </conditionalFormatting>
  <conditionalFormatting sqref="I3238:J3242">
    <cfRule type="cellIs" dxfId="1" priority="1338" stopIfTrue="1" operator="greaterThan">
      <formula>0</formula>
    </cfRule>
  </conditionalFormatting>
  <conditionalFormatting sqref="J3235:J3237">
    <cfRule type="cellIs" dxfId="0" priority="1339" stopIfTrue="1" operator="lessThan">
      <formula>0</formula>
    </cfRule>
  </conditionalFormatting>
  <conditionalFormatting sqref="J3235:J3237">
    <cfRule type="cellIs" dxfId="1" priority="1340" stopIfTrue="1" operator="greaterThan">
      <formula>0</formula>
    </cfRule>
  </conditionalFormatting>
  <conditionalFormatting sqref="I3243:J3247">
    <cfRule type="cellIs" dxfId="0" priority="1341" stopIfTrue="1" operator="lessThan">
      <formula>0</formula>
    </cfRule>
  </conditionalFormatting>
  <conditionalFormatting sqref="I3243:J3247">
    <cfRule type="cellIs" dxfId="1" priority="1342" stopIfTrue="1" operator="greaterThan">
      <formula>0</formula>
    </cfRule>
  </conditionalFormatting>
  <conditionalFormatting sqref="I3248:J3252 I3253:I3259">
    <cfRule type="cellIs" dxfId="0" priority="1343" stopIfTrue="1" operator="lessThan">
      <formula>0</formula>
    </cfRule>
  </conditionalFormatting>
  <conditionalFormatting sqref="I3248:J3252 I3253:I3259">
    <cfRule type="cellIs" dxfId="1" priority="1344" stopIfTrue="1" operator="greaterThan">
      <formula>0</formula>
    </cfRule>
  </conditionalFormatting>
  <conditionalFormatting sqref="I3260:J3264">
    <cfRule type="cellIs" dxfId="0" priority="1345" stopIfTrue="1" operator="lessThan">
      <formula>0</formula>
    </cfRule>
  </conditionalFormatting>
  <conditionalFormatting sqref="I3260:J3264">
    <cfRule type="cellIs" dxfId="1" priority="1346" stopIfTrue="1" operator="greaterThan">
      <formula>0</formula>
    </cfRule>
  </conditionalFormatting>
  <conditionalFormatting sqref="J3253:J3259">
    <cfRule type="cellIs" dxfId="0" priority="1347" stopIfTrue="1" operator="lessThan">
      <formula>0</formula>
    </cfRule>
  </conditionalFormatting>
  <conditionalFormatting sqref="J3253:J3259">
    <cfRule type="cellIs" dxfId="1" priority="1348" stopIfTrue="1" operator="greaterThan">
      <formula>0</formula>
    </cfRule>
  </conditionalFormatting>
  <conditionalFormatting sqref="I3265:J3269 I3270:I3271">
    <cfRule type="cellIs" dxfId="0" priority="1349" stopIfTrue="1" operator="lessThan">
      <formula>0</formula>
    </cfRule>
  </conditionalFormatting>
  <conditionalFormatting sqref="I3265:J3269 I3270:I3271">
    <cfRule type="cellIs" dxfId="1" priority="1350" stopIfTrue="1" operator="greaterThan">
      <formula>0</formula>
    </cfRule>
  </conditionalFormatting>
  <conditionalFormatting sqref="I3272:J3284">
    <cfRule type="cellIs" dxfId="0" priority="1351" stopIfTrue="1" operator="lessThan">
      <formula>0</formula>
    </cfRule>
  </conditionalFormatting>
  <conditionalFormatting sqref="I3272:J3284">
    <cfRule type="cellIs" dxfId="1" priority="1352" stopIfTrue="1" operator="greaterThan">
      <formula>0</formula>
    </cfRule>
  </conditionalFormatting>
  <conditionalFormatting sqref="J3270:J3271">
    <cfRule type="cellIs" dxfId="0" priority="1353" stopIfTrue="1" operator="lessThan">
      <formula>0</formula>
    </cfRule>
  </conditionalFormatting>
  <conditionalFormatting sqref="J3270:J3271">
    <cfRule type="cellIs" dxfId="1" priority="1354" stopIfTrue="1" operator="greaterThan">
      <formula>0</formula>
    </cfRule>
  </conditionalFormatting>
  <conditionalFormatting sqref="I3285:J3289">
    <cfRule type="cellIs" dxfId="0" priority="1355" stopIfTrue="1" operator="lessThan">
      <formula>0</formula>
    </cfRule>
  </conditionalFormatting>
  <conditionalFormatting sqref="I3285:J3289">
    <cfRule type="cellIs" dxfId="1" priority="1356" stopIfTrue="1" operator="greaterThan">
      <formula>0</formula>
    </cfRule>
  </conditionalFormatting>
  <conditionalFormatting sqref="I3290:J3294">
    <cfRule type="cellIs" dxfId="0" priority="1357" stopIfTrue="1" operator="lessThan">
      <formula>0</formula>
    </cfRule>
  </conditionalFormatting>
  <conditionalFormatting sqref="I3290:J3294">
    <cfRule type="cellIs" dxfId="1" priority="1358" stopIfTrue="1" operator="greaterThan">
      <formula>0</formula>
    </cfRule>
  </conditionalFormatting>
  <conditionalFormatting sqref="I3295:J3299">
    <cfRule type="cellIs" dxfId="0" priority="1359" stopIfTrue="1" operator="lessThan">
      <formula>0</formula>
    </cfRule>
  </conditionalFormatting>
  <conditionalFormatting sqref="I3295:J3299">
    <cfRule type="cellIs" dxfId="1" priority="1360" stopIfTrue="1" operator="greaterThan">
      <formula>0</formula>
    </cfRule>
  </conditionalFormatting>
  <conditionalFormatting sqref="I3300:J3304 I3315:J3319">
    <cfRule type="cellIs" dxfId="0" priority="1361" stopIfTrue="1" operator="lessThan">
      <formula>0</formula>
    </cfRule>
  </conditionalFormatting>
  <conditionalFormatting sqref="I3300:J3304 I3315:J3319">
    <cfRule type="cellIs" dxfId="1" priority="1362" stopIfTrue="1" operator="greaterThan">
      <formula>0</formula>
    </cfRule>
  </conditionalFormatting>
  <conditionalFormatting sqref="I3305:J3309">
    <cfRule type="cellIs" dxfId="0" priority="1363" stopIfTrue="1" operator="lessThan">
      <formula>0</formula>
    </cfRule>
  </conditionalFormatting>
  <conditionalFormatting sqref="I3305:J3309">
    <cfRule type="cellIs" dxfId="1" priority="1364" stopIfTrue="1" operator="greaterThan">
      <formula>0</formula>
    </cfRule>
  </conditionalFormatting>
  <conditionalFormatting sqref="I3310:J3314">
    <cfRule type="cellIs" dxfId="0" priority="1365" stopIfTrue="1" operator="lessThan">
      <formula>0</formula>
    </cfRule>
  </conditionalFormatting>
  <conditionalFormatting sqref="I3310:J3314">
    <cfRule type="cellIs" dxfId="1" priority="1366" stopIfTrue="1" operator="greaterThan">
      <formula>0</formula>
    </cfRule>
  </conditionalFormatting>
  <conditionalFormatting sqref="I3326:J3330 I3331:I3332">
    <cfRule type="cellIs" dxfId="0" priority="1367" stopIfTrue="1" operator="lessThan">
      <formula>0</formula>
    </cfRule>
  </conditionalFormatting>
  <conditionalFormatting sqref="I3326:J3330 I3331:I3332">
    <cfRule type="cellIs" dxfId="1" priority="1368" stopIfTrue="1" operator="greaterThan">
      <formula>0</formula>
    </cfRule>
  </conditionalFormatting>
  <conditionalFormatting sqref="J3325">
    <cfRule type="cellIs" dxfId="0" priority="1369" stopIfTrue="1" operator="lessThan">
      <formula>0</formula>
    </cfRule>
  </conditionalFormatting>
  <conditionalFormatting sqref="J3325">
    <cfRule type="cellIs" dxfId="1" priority="1370" stopIfTrue="1" operator="greaterThan">
      <formula>0</formula>
    </cfRule>
  </conditionalFormatting>
  <conditionalFormatting sqref="I3333:J3337">
    <cfRule type="cellIs" dxfId="0" priority="1371" stopIfTrue="1" operator="lessThan">
      <formula>0</formula>
    </cfRule>
  </conditionalFormatting>
  <conditionalFormatting sqref="I3333:J3337">
    <cfRule type="cellIs" dxfId="1" priority="1372" stopIfTrue="1" operator="greaterThan">
      <formula>0</formula>
    </cfRule>
  </conditionalFormatting>
  <conditionalFormatting sqref="J3331:J3332">
    <cfRule type="cellIs" dxfId="0" priority="1373" stopIfTrue="1" operator="lessThan">
      <formula>0</formula>
    </cfRule>
  </conditionalFormatting>
  <conditionalFormatting sqref="J3331:J3332">
    <cfRule type="cellIs" dxfId="1" priority="1374" stopIfTrue="1" operator="greaterThan">
      <formula>0</formula>
    </cfRule>
  </conditionalFormatting>
  <conditionalFormatting sqref="I3338:J3342 I3358:J3368">
    <cfRule type="cellIs" dxfId="0" priority="1375" stopIfTrue="1" operator="lessThan">
      <formula>0</formula>
    </cfRule>
  </conditionalFormatting>
  <conditionalFormatting sqref="I3338:J3342 I3358:J3368">
    <cfRule type="cellIs" dxfId="1" priority="1376" stopIfTrue="1" operator="greaterThan">
      <formula>0</formula>
    </cfRule>
  </conditionalFormatting>
  <conditionalFormatting sqref="I3343:J3347">
    <cfRule type="cellIs" dxfId="0" priority="1377" stopIfTrue="1" operator="lessThan">
      <formula>0</formula>
    </cfRule>
  </conditionalFormatting>
  <conditionalFormatting sqref="I3343:J3347">
    <cfRule type="cellIs" dxfId="1" priority="1378" stopIfTrue="1" operator="greaterThan">
      <formula>0</formula>
    </cfRule>
  </conditionalFormatting>
  <conditionalFormatting sqref="I3348:J3352">
    <cfRule type="cellIs" dxfId="0" priority="1379" stopIfTrue="1" operator="lessThan">
      <formula>0</formula>
    </cfRule>
  </conditionalFormatting>
  <conditionalFormatting sqref="I3348:J3352">
    <cfRule type="cellIs" dxfId="1" priority="1380" stopIfTrue="1" operator="greaterThan">
      <formula>0</formula>
    </cfRule>
  </conditionalFormatting>
  <conditionalFormatting sqref="I3353:J3357">
    <cfRule type="cellIs" dxfId="0" priority="1381" stopIfTrue="1" operator="lessThan">
      <formula>0</formula>
    </cfRule>
  </conditionalFormatting>
  <conditionalFormatting sqref="I3353:J3357">
    <cfRule type="cellIs" dxfId="1" priority="1382" stopIfTrue="1" operator="greaterThan">
      <formula>0</formula>
    </cfRule>
  </conditionalFormatting>
  <conditionalFormatting sqref="I3369:J3387 I3801:I3802 I3682:I3684 I3705:I3736 I3752:I3757 I3768 I3774:I3776">
    <cfRule type="cellIs" dxfId="0" priority="1383" stopIfTrue="1" operator="lessThan">
      <formula>0</formula>
    </cfRule>
  </conditionalFormatting>
  <conditionalFormatting sqref="I3369:J3387 I3801:I3802 I3682:I3684 I3705:I3736 I3752:I3757 I3768 I3774:I3776">
    <cfRule type="cellIs" dxfId="1" priority="1384" stopIfTrue="1" operator="greaterThan">
      <formula>0</formula>
    </cfRule>
  </conditionalFormatting>
  <conditionalFormatting sqref="I3388:J3392 I3403:J3406">
    <cfRule type="cellIs" dxfId="0" priority="1385" stopIfTrue="1" operator="lessThan">
      <formula>0</formula>
    </cfRule>
  </conditionalFormatting>
  <conditionalFormatting sqref="I3388:J3392 I3403:J3406">
    <cfRule type="cellIs" dxfId="1" priority="1386" stopIfTrue="1" operator="greaterThan">
      <formula>0</formula>
    </cfRule>
  </conditionalFormatting>
  <conditionalFormatting sqref="I3393:J3397">
    <cfRule type="cellIs" dxfId="0" priority="1387" stopIfTrue="1" operator="lessThan">
      <formula>0</formula>
    </cfRule>
  </conditionalFormatting>
  <conditionalFormatting sqref="I3393:J3397">
    <cfRule type="cellIs" dxfId="1" priority="1388" stopIfTrue="1" operator="greaterThan">
      <formula>0</formula>
    </cfRule>
  </conditionalFormatting>
  <conditionalFormatting sqref="I3398:J3402">
    <cfRule type="cellIs" dxfId="0" priority="1389" stopIfTrue="1" operator="lessThan">
      <formula>0</formula>
    </cfRule>
  </conditionalFormatting>
  <conditionalFormatting sqref="I3398:J3402">
    <cfRule type="cellIs" dxfId="1" priority="1390" stopIfTrue="1" operator="greaterThan">
      <formula>0</formula>
    </cfRule>
  </conditionalFormatting>
  <conditionalFormatting sqref="I3407:J3412">
    <cfRule type="cellIs" dxfId="0" priority="1391" stopIfTrue="1" operator="lessThan">
      <formula>0</formula>
    </cfRule>
  </conditionalFormatting>
  <conditionalFormatting sqref="I3407:J3412">
    <cfRule type="cellIs" dxfId="1" priority="1392" stopIfTrue="1" operator="greaterThan">
      <formula>0</formula>
    </cfRule>
  </conditionalFormatting>
  <conditionalFormatting sqref="I3413:J3417 I3423:J3424 I3445:J3446 I3462:J3463 I3474:J3474 I3580:J3599 I3503 I3553 I3564 I3610:J3612 I3623:J3627 I3638:J3642">
    <cfRule type="cellIs" dxfId="0" priority="1393" stopIfTrue="1" operator="lessThan">
      <formula>0</formula>
    </cfRule>
  </conditionalFormatting>
  <conditionalFormatting sqref="I3413:J3417 I3423:J3424 I3445:J3446 I3462:J3463 I3474:J3474 I3580:J3599 I3503 I3553 I3564 I3610:J3612 I3623:J3627 I3638:J3642">
    <cfRule type="cellIs" dxfId="1" priority="1394" stopIfTrue="1" operator="greaterThan">
      <formula>0</formula>
    </cfRule>
  </conditionalFormatting>
  <conditionalFormatting sqref="I3418:J3422">
    <cfRule type="cellIs" dxfId="0" priority="1395" stopIfTrue="1" operator="lessThan">
      <formula>0</formula>
    </cfRule>
  </conditionalFormatting>
  <conditionalFormatting sqref="I3418:J3422">
    <cfRule type="cellIs" dxfId="1" priority="1396" stopIfTrue="1" operator="greaterThan">
      <formula>0</formula>
    </cfRule>
  </conditionalFormatting>
  <conditionalFormatting sqref="I3425:J3429">
    <cfRule type="cellIs" dxfId="0" priority="1397" stopIfTrue="1" operator="lessThan">
      <formula>0</formula>
    </cfRule>
  </conditionalFormatting>
  <conditionalFormatting sqref="I3425:J3429">
    <cfRule type="cellIs" dxfId="1" priority="1398" stopIfTrue="1" operator="greaterThan">
      <formula>0</formula>
    </cfRule>
  </conditionalFormatting>
  <conditionalFormatting sqref="I3430:J3434">
    <cfRule type="cellIs" dxfId="0" priority="1399" stopIfTrue="1" operator="lessThan">
      <formula>0</formula>
    </cfRule>
  </conditionalFormatting>
  <conditionalFormatting sqref="I3430:J3434">
    <cfRule type="cellIs" dxfId="1" priority="1400" stopIfTrue="1" operator="greaterThan">
      <formula>0</formula>
    </cfRule>
  </conditionalFormatting>
  <conditionalFormatting sqref="I3435:J3439">
    <cfRule type="cellIs" dxfId="0" priority="1401" stopIfTrue="1" operator="lessThan">
      <formula>0</formula>
    </cfRule>
  </conditionalFormatting>
  <conditionalFormatting sqref="I3435:J3439">
    <cfRule type="cellIs" dxfId="1" priority="1402" stopIfTrue="1" operator="greaterThan">
      <formula>0</formula>
    </cfRule>
  </conditionalFormatting>
  <conditionalFormatting sqref="I3440:J3444">
    <cfRule type="cellIs" dxfId="0" priority="1403" stopIfTrue="1" operator="lessThan">
      <formula>0</formula>
    </cfRule>
  </conditionalFormatting>
  <conditionalFormatting sqref="I3440:J3444">
    <cfRule type="cellIs" dxfId="1" priority="1404" stopIfTrue="1" operator="greaterThan">
      <formula>0</formula>
    </cfRule>
  </conditionalFormatting>
  <conditionalFormatting sqref="I3447:J3451">
    <cfRule type="cellIs" dxfId="0" priority="1405" stopIfTrue="1" operator="lessThan">
      <formula>0</formula>
    </cfRule>
  </conditionalFormatting>
  <conditionalFormatting sqref="I3447:J3451">
    <cfRule type="cellIs" dxfId="1" priority="1406" stopIfTrue="1" operator="greaterThan">
      <formula>0</formula>
    </cfRule>
  </conditionalFormatting>
  <conditionalFormatting sqref="I3452:J3456">
    <cfRule type="cellIs" dxfId="0" priority="1407" stopIfTrue="1" operator="lessThan">
      <formula>0</formula>
    </cfRule>
  </conditionalFormatting>
  <conditionalFormatting sqref="I3452:J3456">
    <cfRule type="cellIs" dxfId="1" priority="1408" stopIfTrue="1" operator="greaterThan">
      <formula>0</formula>
    </cfRule>
  </conditionalFormatting>
  <conditionalFormatting sqref="I3457:J3461">
    <cfRule type="cellIs" dxfId="0" priority="1409" stopIfTrue="1" operator="lessThan">
      <formula>0</formula>
    </cfRule>
  </conditionalFormatting>
  <conditionalFormatting sqref="I3457:J3461">
    <cfRule type="cellIs" dxfId="1" priority="1410" stopIfTrue="1" operator="greaterThan">
      <formula>0</formula>
    </cfRule>
  </conditionalFormatting>
  <conditionalFormatting sqref="I3464:J3468">
    <cfRule type="cellIs" dxfId="0" priority="1411" stopIfTrue="1" operator="lessThan">
      <formula>0</formula>
    </cfRule>
  </conditionalFormatting>
  <conditionalFormatting sqref="I3464:J3468">
    <cfRule type="cellIs" dxfId="1" priority="1412" stopIfTrue="1" operator="greaterThan">
      <formula>0</formula>
    </cfRule>
  </conditionalFormatting>
  <conditionalFormatting sqref="I3469:J3473">
    <cfRule type="cellIs" dxfId="0" priority="1413" stopIfTrue="1" operator="lessThan">
      <formula>0</formula>
    </cfRule>
  </conditionalFormatting>
  <conditionalFormatting sqref="I3469:J3473">
    <cfRule type="cellIs" dxfId="1" priority="1414" stopIfTrue="1" operator="greaterThan">
      <formula>0</formula>
    </cfRule>
  </conditionalFormatting>
  <conditionalFormatting sqref="I3475:J3479 I3480:I3484">
    <cfRule type="cellIs" dxfId="0" priority="1415" stopIfTrue="1" operator="lessThan">
      <formula>0</formula>
    </cfRule>
  </conditionalFormatting>
  <conditionalFormatting sqref="I3475:J3479 I3480:I3484">
    <cfRule type="cellIs" dxfId="1" priority="1416" stopIfTrue="1" operator="greaterThan">
      <formula>0</formula>
    </cfRule>
  </conditionalFormatting>
  <conditionalFormatting sqref="J3480:J3484">
    <cfRule type="cellIs" dxfId="0" priority="1417" stopIfTrue="1" operator="lessThan">
      <formula>0</formula>
    </cfRule>
  </conditionalFormatting>
  <conditionalFormatting sqref="J3480:J3484">
    <cfRule type="cellIs" dxfId="1" priority="1418" stopIfTrue="1" operator="greaterThan">
      <formula>0</formula>
    </cfRule>
  </conditionalFormatting>
  <conditionalFormatting sqref="I3485:J3489">
    <cfRule type="cellIs" dxfId="0" priority="1419" stopIfTrue="1" operator="lessThan">
      <formula>0</formula>
    </cfRule>
  </conditionalFormatting>
  <conditionalFormatting sqref="I3485:J3489">
    <cfRule type="cellIs" dxfId="1" priority="1420" stopIfTrue="1" operator="greaterThan">
      <formula>0</formula>
    </cfRule>
  </conditionalFormatting>
  <conditionalFormatting sqref="I3490:J3494 I3500:I3502">
    <cfRule type="cellIs" dxfId="0" priority="1421" stopIfTrue="1" operator="lessThan">
      <formula>0</formula>
    </cfRule>
  </conditionalFormatting>
  <conditionalFormatting sqref="I3490:J3494 I3500:I3502">
    <cfRule type="cellIs" dxfId="1" priority="1422" stopIfTrue="1" operator="greaterThan">
      <formula>0</formula>
    </cfRule>
  </conditionalFormatting>
  <conditionalFormatting sqref="I3495:J3499">
    <cfRule type="cellIs" dxfId="0" priority="1423" stopIfTrue="1" operator="lessThan">
      <formula>0</formula>
    </cfRule>
  </conditionalFormatting>
  <conditionalFormatting sqref="I3495:J3499">
    <cfRule type="cellIs" dxfId="1" priority="1424" stopIfTrue="1" operator="greaterThan">
      <formula>0</formula>
    </cfRule>
  </conditionalFormatting>
  <conditionalFormatting sqref="J3500:J3503">
    <cfRule type="cellIs" dxfId="0" priority="1425" stopIfTrue="1" operator="lessThan">
      <formula>0</formula>
    </cfRule>
  </conditionalFormatting>
  <conditionalFormatting sqref="J3500:J3503">
    <cfRule type="cellIs" dxfId="1" priority="1426" stopIfTrue="1" operator="greaterThan">
      <formula>0</formula>
    </cfRule>
  </conditionalFormatting>
  <conditionalFormatting sqref="I3504:J3508">
    <cfRule type="cellIs" dxfId="0" priority="1427" stopIfTrue="1" operator="lessThan">
      <formula>0</formula>
    </cfRule>
  </conditionalFormatting>
  <conditionalFormatting sqref="I3504:J3508">
    <cfRule type="cellIs" dxfId="1" priority="1428" stopIfTrue="1" operator="greaterThan">
      <formula>0</formula>
    </cfRule>
  </conditionalFormatting>
  <conditionalFormatting sqref="I3509:J3513">
    <cfRule type="cellIs" dxfId="0" priority="1429" stopIfTrue="1" operator="lessThan">
      <formula>0</formula>
    </cfRule>
  </conditionalFormatting>
  <conditionalFormatting sqref="I3509:J3513">
    <cfRule type="cellIs" dxfId="1" priority="1430" stopIfTrue="1" operator="greaterThan">
      <formula>0</formula>
    </cfRule>
  </conditionalFormatting>
  <conditionalFormatting sqref="I3514:J3518">
    <cfRule type="cellIs" dxfId="0" priority="1431" stopIfTrue="1" operator="lessThan">
      <formula>0</formula>
    </cfRule>
  </conditionalFormatting>
  <conditionalFormatting sqref="I3514:J3518">
    <cfRule type="cellIs" dxfId="1" priority="1432" stopIfTrue="1" operator="greaterThan">
      <formula>0</formula>
    </cfRule>
  </conditionalFormatting>
  <conditionalFormatting sqref="I3519:J3523">
    <cfRule type="cellIs" dxfId="0" priority="1433" stopIfTrue="1" operator="lessThan">
      <formula>0</formula>
    </cfRule>
  </conditionalFormatting>
  <conditionalFormatting sqref="I3519:J3523">
    <cfRule type="cellIs" dxfId="1" priority="1434" stopIfTrue="1" operator="greaterThan">
      <formula>0</formula>
    </cfRule>
  </conditionalFormatting>
  <conditionalFormatting sqref="I3524:J3528">
    <cfRule type="cellIs" dxfId="0" priority="1435" stopIfTrue="1" operator="lessThan">
      <formula>0</formula>
    </cfRule>
  </conditionalFormatting>
  <conditionalFormatting sqref="I3524:J3528">
    <cfRule type="cellIs" dxfId="1" priority="1436" stopIfTrue="1" operator="greaterThan">
      <formula>0</formula>
    </cfRule>
  </conditionalFormatting>
  <conditionalFormatting sqref="I3529:J3533">
    <cfRule type="cellIs" dxfId="0" priority="1437" stopIfTrue="1" operator="lessThan">
      <formula>0</formula>
    </cfRule>
  </conditionalFormatting>
  <conditionalFormatting sqref="I3529:J3533">
    <cfRule type="cellIs" dxfId="1" priority="1438" stopIfTrue="1" operator="greaterThan">
      <formula>0</formula>
    </cfRule>
  </conditionalFormatting>
  <conditionalFormatting sqref="I3534:J3538 I3539:I3542">
    <cfRule type="cellIs" dxfId="0" priority="1439" stopIfTrue="1" operator="lessThan">
      <formula>0</formula>
    </cfRule>
  </conditionalFormatting>
  <conditionalFormatting sqref="I3534:J3538 I3539:I3542">
    <cfRule type="cellIs" dxfId="1" priority="1440" stopIfTrue="1" operator="greaterThan">
      <formula>0</formula>
    </cfRule>
  </conditionalFormatting>
  <conditionalFormatting sqref="J3539:J3542">
    <cfRule type="cellIs" dxfId="0" priority="1441" stopIfTrue="1" operator="lessThan">
      <formula>0</formula>
    </cfRule>
  </conditionalFormatting>
  <conditionalFormatting sqref="J3539:J3542">
    <cfRule type="cellIs" dxfId="1" priority="1442" stopIfTrue="1" operator="greaterThan">
      <formula>0</formula>
    </cfRule>
  </conditionalFormatting>
  <conditionalFormatting sqref="I3543:J3547">
    <cfRule type="cellIs" dxfId="0" priority="1443" stopIfTrue="1" operator="lessThan">
      <formula>0</formula>
    </cfRule>
  </conditionalFormatting>
  <conditionalFormatting sqref="I3543:J3547">
    <cfRule type="cellIs" dxfId="1" priority="1444" stopIfTrue="1" operator="greaterThan">
      <formula>0</formula>
    </cfRule>
  </conditionalFormatting>
  <conditionalFormatting sqref="I3548:J3552">
    <cfRule type="cellIs" dxfId="0" priority="1445" stopIfTrue="1" operator="lessThan">
      <formula>0</formula>
    </cfRule>
  </conditionalFormatting>
  <conditionalFormatting sqref="I3548:J3552">
    <cfRule type="cellIs" dxfId="1" priority="1446" stopIfTrue="1" operator="greaterThan">
      <formula>0</formula>
    </cfRule>
  </conditionalFormatting>
  <conditionalFormatting sqref="J3553">
    <cfRule type="cellIs" dxfId="0" priority="1447" stopIfTrue="1" operator="lessThan">
      <formula>0</formula>
    </cfRule>
  </conditionalFormatting>
  <conditionalFormatting sqref="J3553">
    <cfRule type="cellIs" dxfId="1" priority="1448" stopIfTrue="1" operator="greaterThan">
      <formula>0</formula>
    </cfRule>
  </conditionalFormatting>
  <conditionalFormatting sqref="I3554:J3558">
    <cfRule type="cellIs" dxfId="0" priority="1449" stopIfTrue="1" operator="lessThan">
      <formula>0</formula>
    </cfRule>
  </conditionalFormatting>
  <conditionalFormatting sqref="I3554:J3558">
    <cfRule type="cellIs" dxfId="1" priority="1450" stopIfTrue="1" operator="greaterThan">
      <formula>0</formula>
    </cfRule>
  </conditionalFormatting>
  <conditionalFormatting sqref="I3559:J3563">
    <cfRule type="cellIs" dxfId="0" priority="1451" stopIfTrue="1" operator="lessThan">
      <formula>0</formula>
    </cfRule>
  </conditionalFormatting>
  <conditionalFormatting sqref="I3559:J3563">
    <cfRule type="cellIs" dxfId="1" priority="1452" stopIfTrue="1" operator="greaterThan">
      <formula>0</formula>
    </cfRule>
  </conditionalFormatting>
  <conditionalFormatting sqref="J3564">
    <cfRule type="cellIs" dxfId="0" priority="1453" stopIfTrue="1" operator="lessThan">
      <formula>0</formula>
    </cfRule>
  </conditionalFormatting>
  <conditionalFormatting sqref="J3564">
    <cfRule type="cellIs" dxfId="1" priority="1454" stopIfTrue="1" operator="greaterThan">
      <formula>0</formula>
    </cfRule>
  </conditionalFormatting>
  <conditionalFormatting sqref="I3565:J3569">
    <cfRule type="cellIs" dxfId="0" priority="1455" stopIfTrue="1" operator="lessThan">
      <formula>0</formula>
    </cfRule>
  </conditionalFormatting>
  <conditionalFormatting sqref="I3565:J3569">
    <cfRule type="cellIs" dxfId="1" priority="1456" stopIfTrue="1" operator="greaterThan">
      <formula>0</formula>
    </cfRule>
  </conditionalFormatting>
  <conditionalFormatting sqref="I3570:J3574">
    <cfRule type="cellIs" dxfId="0" priority="1457" stopIfTrue="1" operator="lessThan">
      <formula>0</formula>
    </cfRule>
  </conditionalFormatting>
  <conditionalFormatting sqref="I3570:J3574">
    <cfRule type="cellIs" dxfId="1" priority="1458" stopIfTrue="1" operator="greaterThan">
      <formula>0</formula>
    </cfRule>
  </conditionalFormatting>
  <conditionalFormatting sqref="I3575:J3579">
    <cfRule type="cellIs" dxfId="0" priority="1459" stopIfTrue="1" operator="lessThan">
      <formula>0</formula>
    </cfRule>
  </conditionalFormatting>
  <conditionalFormatting sqref="I3575:J3579">
    <cfRule type="cellIs" dxfId="1" priority="1460" stopIfTrue="1" operator="greaterThan">
      <formula>0</formula>
    </cfRule>
  </conditionalFormatting>
  <conditionalFormatting sqref="I3600:J3604">
    <cfRule type="cellIs" dxfId="0" priority="1461" stopIfTrue="1" operator="lessThan">
      <formula>0</formula>
    </cfRule>
  </conditionalFormatting>
  <conditionalFormatting sqref="I3600:J3604">
    <cfRule type="cellIs" dxfId="1" priority="1462" stopIfTrue="1" operator="greaterThan">
      <formula>0</formula>
    </cfRule>
  </conditionalFormatting>
  <conditionalFormatting sqref="I3605:J3609">
    <cfRule type="cellIs" dxfId="0" priority="1463" stopIfTrue="1" operator="lessThan">
      <formula>0</formula>
    </cfRule>
  </conditionalFormatting>
  <conditionalFormatting sqref="I3605:J3609">
    <cfRule type="cellIs" dxfId="1" priority="1464" stopIfTrue="1" operator="greaterThan">
      <formula>0</formula>
    </cfRule>
  </conditionalFormatting>
  <conditionalFormatting sqref="I3613:J3617">
    <cfRule type="cellIs" dxfId="0" priority="1465" stopIfTrue="1" operator="lessThan">
      <formula>0</formula>
    </cfRule>
  </conditionalFormatting>
  <conditionalFormatting sqref="I3613:J3617">
    <cfRule type="cellIs" dxfId="1" priority="1466" stopIfTrue="1" operator="greaterThan">
      <formula>0</formula>
    </cfRule>
  </conditionalFormatting>
  <conditionalFormatting sqref="I3618:J3622">
    <cfRule type="cellIs" dxfId="0" priority="1467" stopIfTrue="1" operator="lessThan">
      <formula>0</formula>
    </cfRule>
  </conditionalFormatting>
  <conditionalFormatting sqref="I3618:J3622">
    <cfRule type="cellIs" dxfId="1" priority="1468" stopIfTrue="1" operator="greaterThan">
      <formula>0</formula>
    </cfRule>
  </conditionalFormatting>
  <conditionalFormatting sqref="I3628:J3632">
    <cfRule type="cellIs" dxfId="0" priority="1469" stopIfTrue="1" operator="lessThan">
      <formula>0</formula>
    </cfRule>
  </conditionalFormatting>
  <conditionalFormatting sqref="I3628:J3632">
    <cfRule type="cellIs" dxfId="1" priority="1470" stopIfTrue="1" operator="greaterThan">
      <formula>0</formula>
    </cfRule>
  </conditionalFormatting>
  <conditionalFormatting sqref="I3633:J3637">
    <cfRule type="cellIs" dxfId="0" priority="1471" stopIfTrue="1" operator="lessThan">
      <formula>0</formula>
    </cfRule>
  </conditionalFormatting>
  <conditionalFormatting sqref="I3633:J3637">
    <cfRule type="cellIs" dxfId="1" priority="1472" stopIfTrue="1" operator="greaterThan">
      <formula>0</formula>
    </cfRule>
  </conditionalFormatting>
  <conditionalFormatting sqref="I3643:J3647">
    <cfRule type="cellIs" dxfId="0" priority="1473" stopIfTrue="1" operator="lessThan">
      <formula>0</formula>
    </cfRule>
  </conditionalFormatting>
  <conditionalFormatting sqref="I3643:J3647">
    <cfRule type="cellIs" dxfId="1" priority="1474" stopIfTrue="1" operator="greaterThan">
      <formula>0</formula>
    </cfRule>
  </conditionalFormatting>
  <conditionalFormatting sqref="I3648:J3652 I3679:I3681 I3653:I3657 I3668">
    <cfRule type="cellIs" dxfId="0" priority="1475" stopIfTrue="1" operator="lessThan">
      <formula>0</formula>
    </cfRule>
  </conditionalFormatting>
  <conditionalFormatting sqref="I3648:J3652 I3679:I3681 I3653:I3657 I3668">
    <cfRule type="cellIs" dxfId="1" priority="1476" stopIfTrue="1" operator="greaterThan">
      <formula>0</formula>
    </cfRule>
  </conditionalFormatting>
  <conditionalFormatting sqref="J3653:J3657">
    <cfRule type="cellIs" dxfId="0" priority="1477" stopIfTrue="1" operator="lessThan">
      <formula>0</formula>
    </cfRule>
  </conditionalFormatting>
  <conditionalFormatting sqref="J3653:J3657">
    <cfRule type="cellIs" dxfId="1" priority="1478" stopIfTrue="1" operator="greaterThan">
      <formula>0</formula>
    </cfRule>
  </conditionalFormatting>
  <conditionalFormatting sqref="I3658:J3662">
    <cfRule type="cellIs" dxfId="0" priority="1479" stopIfTrue="1" operator="lessThan">
      <formula>0</formula>
    </cfRule>
  </conditionalFormatting>
  <conditionalFormatting sqref="I3658:J3662">
    <cfRule type="cellIs" dxfId="1" priority="1480" stopIfTrue="1" operator="greaterThan">
      <formula>0</formula>
    </cfRule>
  </conditionalFormatting>
  <conditionalFormatting sqref="I3663:J3667">
    <cfRule type="cellIs" dxfId="0" priority="1481" stopIfTrue="1" operator="lessThan">
      <formula>0</formula>
    </cfRule>
  </conditionalFormatting>
  <conditionalFormatting sqref="I3663:J3667">
    <cfRule type="cellIs" dxfId="1" priority="1482" stopIfTrue="1" operator="greaterThan">
      <formula>0</formula>
    </cfRule>
  </conditionalFormatting>
  <conditionalFormatting sqref="J3668">
    <cfRule type="cellIs" dxfId="0" priority="1483" stopIfTrue="1" operator="lessThan">
      <formula>0</formula>
    </cfRule>
  </conditionalFormatting>
  <conditionalFormatting sqref="J3668">
    <cfRule type="cellIs" dxfId="1" priority="1484" stopIfTrue="1" operator="greaterThan">
      <formula>0</formula>
    </cfRule>
  </conditionalFormatting>
  <conditionalFormatting sqref="I3669:J3673">
    <cfRule type="cellIs" dxfId="0" priority="1485" stopIfTrue="1" operator="lessThan">
      <formula>0</formula>
    </cfRule>
  </conditionalFormatting>
  <conditionalFormatting sqref="I3669:J3673">
    <cfRule type="cellIs" dxfId="1" priority="1486" stopIfTrue="1" operator="greaterThan">
      <formula>0</formula>
    </cfRule>
  </conditionalFormatting>
  <conditionalFormatting sqref="I3674:J3678">
    <cfRule type="cellIs" dxfId="0" priority="1487" stopIfTrue="1" operator="lessThan">
      <formula>0</formula>
    </cfRule>
  </conditionalFormatting>
  <conditionalFormatting sqref="I3674:J3678">
    <cfRule type="cellIs" dxfId="1" priority="1488" stopIfTrue="1" operator="greaterThan">
      <formula>0</formula>
    </cfRule>
  </conditionalFormatting>
  <conditionalFormatting sqref="J3679:J3684">
    <cfRule type="cellIs" dxfId="0" priority="1489" stopIfTrue="1" operator="lessThan">
      <formula>0</formula>
    </cfRule>
  </conditionalFormatting>
  <conditionalFormatting sqref="J3679:J3684">
    <cfRule type="cellIs" dxfId="1" priority="1490" stopIfTrue="1" operator="greaterThan">
      <formula>0</formula>
    </cfRule>
  </conditionalFormatting>
  <conditionalFormatting sqref="I3685:J3689">
    <cfRule type="cellIs" dxfId="0" priority="1491" stopIfTrue="1" operator="lessThan">
      <formula>0</formula>
    </cfRule>
  </conditionalFormatting>
  <conditionalFormatting sqref="I3685:J3689">
    <cfRule type="cellIs" dxfId="1" priority="1492" stopIfTrue="1" operator="greaterThan">
      <formula>0</formula>
    </cfRule>
  </conditionalFormatting>
  <conditionalFormatting sqref="I3690:J3694">
    <cfRule type="cellIs" dxfId="0" priority="1493" stopIfTrue="1" operator="lessThan">
      <formula>0</formula>
    </cfRule>
  </conditionalFormatting>
  <conditionalFormatting sqref="I3690:J3694">
    <cfRule type="cellIs" dxfId="1" priority="1494" stopIfTrue="1" operator="greaterThan">
      <formula>0</formula>
    </cfRule>
  </conditionalFormatting>
  <conditionalFormatting sqref="I3695:J3699">
    <cfRule type="cellIs" dxfId="0" priority="1495" stopIfTrue="1" operator="lessThan">
      <formula>0</formula>
    </cfRule>
  </conditionalFormatting>
  <conditionalFormatting sqref="I3695:J3699">
    <cfRule type="cellIs" dxfId="1" priority="1496" stopIfTrue="1" operator="greaterThan">
      <formula>0</formula>
    </cfRule>
  </conditionalFormatting>
  <conditionalFormatting sqref="I3700:J3704">
    <cfRule type="cellIs" dxfId="0" priority="1497" stopIfTrue="1" operator="lessThan">
      <formula>0</formula>
    </cfRule>
  </conditionalFormatting>
  <conditionalFormatting sqref="I3700:J3704">
    <cfRule type="cellIs" dxfId="1" priority="1498" stopIfTrue="1" operator="greaterThan">
      <formula>0</formula>
    </cfRule>
  </conditionalFormatting>
  <conditionalFormatting sqref="J3705:J3736">
    <cfRule type="cellIs" dxfId="0" priority="1499" stopIfTrue="1" operator="lessThan">
      <formula>0</formula>
    </cfRule>
  </conditionalFormatting>
  <conditionalFormatting sqref="J3705:J3736">
    <cfRule type="cellIs" dxfId="1" priority="1500" stopIfTrue="1" operator="greaterThan">
      <formula>0</formula>
    </cfRule>
  </conditionalFormatting>
  <conditionalFormatting sqref="I3737:J3741">
    <cfRule type="cellIs" dxfId="0" priority="1501" stopIfTrue="1" operator="lessThan">
      <formula>0</formula>
    </cfRule>
  </conditionalFormatting>
  <conditionalFormatting sqref="I3737:J3741">
    <cfRule type="cellIs" dxfId="1" priority="1502" stopIfTrue="1" operator="greaterThan">
      <formula>0</formula>
    </cfRule>
  </conditionalFormatting>
  <conditionalFormatting sqref="I3742:J3746">
    <cfRule type="cellIs" dxfId="0" priority="1503" stopIfTrue="1" operator="lessThan">
      <formula>0</formula>
    </cfRule>
  </conditionalFormatting>
  <conditionalFormatting sqref="I3742:J3746">
    <cfRule type="cellIs" dxfId="1" priority="1504" stopIfTrue="1" operator="greaterThan">
      <formula>0</formula>
    </cfRule>
  </conditionalFormatting>
  <conditionalFormatting sqref="I3747:J3751">
    <cfRule type="cellIs" dxfId="0" priority="1505" stopIfTrue="1" operator="lessThan">
      <formula>0</formula>
    </cfRule>
  </conditionalFormatting>
  <conditionalFormatting sqref="I3747:J3751">
    <cfRule type="cellIs" dxfId="1" priority="1506" stopIfTrue="1" operator="greaterThan">
      <formula>0</formula>
    </cfRule>
  </conditionalFormatting>
  <conditionalFormatting sqref="J3752:J3757">
    <cfRule type="cellIs" dxfId="0" priority="1507" stopIfTrue="1" operator="lessThan">
      <formula>0</formula>
    </cfRule>
  </conditionalFormatting>
  <conditionalFormatting sqref="J3752:J3757">
    <cfRule type="cellIs" dxfId="1" priority="1508" stopIfTrue="1" operator="greaterThan">
      <formula>0</formula>
    </cfRule>
  </conditionalFormatting>
  <conditionalFormatting sqref="I3758:J3762">
    <cfRule type="cellIs" dxfId="0" priority="1509" stopIfTrue="1" operator="lessThan">
      <formula>0</formula>
    </cfRule>
  </conditionalFormatting>
  <conditionalFormatting sqref="I3758:J3762">
    <cfRule type="cellIs" dxfId="1" priority="1510" stopIfTrue="1" operator="greaterThan">
      <formula>0</formula>
    </cfRule>
  </conditionalFormatting>
  <conditionalFormatting sqref="I3763:J3767">
    <cfRule type="cellIs" dxfId="0" priority="1511" stopIfTrue="1" operator="lessThan">
      <formula>0</formula>
    </cfRule>
  </conditionalFormatting>
  <conditionalFormatting sqref="I3763:J3767">
    <cfRule type="cellIs" dxfId="1" priority="1512" stopIfTrue="1" operator="greaterThan">
      <formula>0</formula>
    </cfRule>
  </conditionalFormatting>
  <conditionalFormatting sqref="J3768">
    <cfRule type="cellIs" dxfId="0" priority="1513" stopIfTrue="1" operator="lessThan">
      <formula>0</formula>
    </cfRule>
  </conditionalFormatting>
  <conditionalFormatting sqref="J3768">
    <cfRule type="cellIs" dxfId="1" priority="1514" stopIfTrue="1" operator="greaterThan">
      <formula>0</formula>
    </cfRule>
  </conditionalFormatting>
  <conditionalFormatting sqref="I3769:J3773">
    <cfRule type="cellIs" dxfId="0" priority="1515" stopIfTrue="1" operator="lessThan">
      <formula>0</formula>
    </cfRule>
  </conditionalFormatting>
  <conditionalFormatting sqref="I3769:J3773">
    <cfRule type="cellIs" dxfId="1" priority="1516" stopIfTrue="1" operator="greaterThan">
      <formula>0</formula>
    </cfRule>
  </conditionalFormatting>
  <conditionalFormatting sqref="J3774:J3776">
    <cfRule type="cellIs" dxfId="0" priority="1517" stopIfTrue="1" operator="lessThan">
      <formula>0</formula>
    </cfRule>
  </conditionalFormatting>
  <conditionalFormatting sqref="J3774:J3776">
    <cfRule type="cellIs" dxfId="1" priority="1518" stopIfTrue="1" operator="greaterThan">
      <formula>0</formula>
    </cfRule>
  </conditionalFormatting>
  <conditionalFormatting sqref="I3777:J3781">
    <cfRule type="cellIs" dxfId="0" priority="1519" stopIfTrue="1" operator="lessThan">
      <formula>0</formula>
    </cfRule>
  </conditionalFormatting>
  <conditionalFormatting sqref="I3777:J3781">
    <cfRule type="cellIs" dxfId="1" priority="1520" stopIfTrue="1" operator="greaterThan">
      <formula>0</formula>
    </cfRule>
  </conditionalFormatting>
  <conditionalFormatting sqref="I3782:J3786">
    <cfRule type="cellIs" dxfId="0" priority="1521" stopIfTrue="1" operator="lessThan">
      <formula>0</formula>
    </cfRule>
  </conditionalFormatting>
  <conditionalFormatting sqref="I3782:J3786">
    <cfRule type="cellIs" dxfId="1" priority="1522" stopIfTrue="1" operator="greaterThan">
      <formula>0</formula>
    </cfRule>
  </conditionalFormatting>
  <conditionalFormatting sqref="I3787:J3791 I3792:I3800">
    <cfRule type="cellIs" dxfId="0" priority="1523" stopIfTrue="1" operator="lessThan">
      <formula>0</formula>
    </cfRule>
  </conditionalFormatting>
  <conditionalFormatting sqref="I3787:J3791 I3792:I3800">
    <cfRule type="cellIs" dxfId="1" priority="1524" stopIfTrue="1" operator="greaterThan">
      <formula>0</formula>
    </cfRule>
  </conditionalFormatting>
  <conditionalFormatting sqref="I3803:J3807 I3828:I3834 I3850:I3851 I3867:I3870 I3929:I3930 I3941:I3948 I3954 I3984:I3987 I3997:J4002 I4008:J4010 I4026:J4029 I4055:J4055 I4071:J4074 I4100:J4100 I4111:J4116 I4127:J4134 I4171:I4173 I4179 I4185:J4185 I4211:J4211 I4227:J4227 I4233:J4234 I4255:J4264 I4270:J4270 I4276:J4280 I4299:I4301 I4327:I4334 I4372:I4378 I4399 I4410:I4417 I4423:I4427 I4433:I4443 I4449:I4452 I4458:I4460 I4466:I4476 I4482:I4493 I4499:I4507 I4513:I4521 I4527:I4529 I4535:I4544 I4550:I4553 I4559:I4563 I4569 I4575:I4583 I4599:I4615 I4626:I4627 I4633:I4637 I4643:I4649 I4655:I4657 I4663:I4664 I4670:I4681 I4687:I4694 I5127:I10216 J5127:J6009 J6011:J6029 J6031:J6046 J6048:J6057 J6059:J6064 J6066:J6077 J6079:J6098 J6100:J6112 J6114:J6122 J6124:J6130 J6132:J6136 J6138:J6147 J6149:J6158 J6160:J6172 J6174:J6192 J6194:J6227 J6229:J6242 J6244:J6263 J6265:J6343 J6345:J6382 J6384:J6410 J6412:J6426 J6428:J6478 J6480:J6492 J6494:J6525 J6527:J6542 J6544:J6548 J6550:J6564 J6566:J6576 J6578:J6583 J6585:J6592 J6594:J6615 J6617:J6654 J6656:J6675 J6677:J6681 J6683:J6687 J6689:J6696 J6698:J6702 J6704:J6711 J6713:J6727 J6729:J6741 J6743:J6747 J6749:J6768 J6770:J6779 J6781:J6786 J6788:J6798 J6800:J6809 J6811:J6821 J6823:J6829 J6831:J6850 J6852:J6863 J6865:J6887 J6889:J6920 J6922:J6928 J6930:J6962 J6964:J7744 J7750:J7758 J7764:J7773 J7779:J7789 J7795:J7818 J7824:J7832 J7838:J7874 J7880:J7890 J7896 J7902:J7903 J7909:J7915 J7921:J7947 J7953:J7957 J7963:J7971 J7977:J7983 J7989:J7990 J7996:J8000 J8006:J8012 J8018 J8024:J8032 J8038 J8044:J8047 J8053:J8054 J8060:J8073 J8079:J8094 J8100:J8117 J8123:J8140 J8146:J8176 J8182:J8205 J8211:J8214 J8220:J8250 J8256:J8274 J8280:J8305 J8311:J8326 J8332:J8344 J8350:J8392 J8398:J8424 J8430:J8483 J8489:J8497 J8503:J8507 J8513:J8538 J8544:J8571 J8577:J8598 J8604:J8607 J8613:J8623 J8629:J8665 J8671:J8672 J8678:J8709 J8715:J8717 J8723:J8782 J8788:J8789 J8795:J8821 J8827:J8862 J8868:J8920 J8926:J8927 J8933:J8949 J8955:J8990 J8996:J9012 J9018:J9036 J9042:J9057 J9063:J9080 J9086:J9101 J9107:J9128 J9134:J9168 J9174:J9184 J9190 J9196 J9202:J9206 J9212:J9216 J9222:J9242 J9248:J9259 J9265:J9271 J9277 J9283:J9284 J9290:J9291 J9297 J9303:J9305 J9311:J9313 J9319:J9324 J9330:J9332 J9343:J9348 J9354:J9358 J9364:J9367 J9373:J9383 J9389:J9391 J9397 J9403:J9409 J9415:J9416 J9422:J9430 J9436:J9438 J9454:J9457 J9463:J9466 J9471 J9476 J9481 J9486:J9490 J9495 J9500 J9505 J9510 J9515 J9520:J9563 J9568 J9573:J9579 J9584 J9589 J9594 J9599 J9604 J9609:J9611 J9616 J9621:J9622 J9627:J9628 J9633 J9638 J9643:J9653 J9658 J9663:J9665 J9670 J9675:J9676 J9681 J9686:J9688 J9693 J9698:J9699 J9704:J9710 J9715:J9717 J9722 J9727 J9732 J9737:J9739 J9744:J9746 J9751:J9752 J9757 J9762 J9767 J9772 J9777:J9780 J9785 J9790:J9797 J9802:J9805 J9810 J9815:J9821 J9826:J9830 J9835:J9839 J9844 J9849:J9852 J9857 J9862 J9867 J9872 J9877:J9945 J9951 J9957 J9973:J9980 J9986:J9990 J10011:J10014 J10020:J10029 J10045:J10046 J10052:J10055 J10081:J10082 J10088:J10091 J10112:J10115 J10131 J10187 J10203:J10204 I10220:J10220 J10246 J10267:J10273 J10284:J10291 J10297 J10313:J10314 J10325:J10329 J10335 J10346:J10350 J10356:J10357 J10373:J10375 J10391:J10392 J10403:J10404 J10425:J10426 J10437:J10438 J10449:J10450 J10461:J10462 J10468 J10494 J10500 J10506 J10512:J10516 J10522:J10523 J10544:J10548 J10554:J10558 J10564:J10565 J10576 J10582:J10595 J10601 J10607:J10608 J10624:J10628 J10634:J10637 J10643 J10649:J10658 J10664:J10671 J10677:J10683 J10694:J10696 J10702:J10705 J10711:J10717 J10728:J10734 J10740 J10746 J10752 J10768:J10770 J10786:J10788 J10799:J10807 J10815 J10817:J10818 J10829:J10838 J10849:J10852 J10858:J10877 J10883:J10887 J10893:J10902 J10908:J10914 J10925 J10956:J10959 J10965:J10968 J10984:J10997 J11008:J11015 J11021:J11022 J11033:J11042 J11048:J11058 J11069:J11071 J11077:J11078 J11084:J11086 J11092:J11094 J11100:J11101 J11107:J11113 J11119:J11139 I11121:I11125 J11150:J11152 J11158:J11161 J11167:J11177 J11183 J11189 J11195:J11202 J11213:J11227 J11233:J11242 J11248 J11259:J11261 J11267 J11273:J11276 J11282:J11293 J11299:J11313 J11319:J11323 J11344:J11348 J11354:J11355 J11366:J11371 J11412:J11417 J11433:J11434 J11440:J11443 J11449:J11450 J11456 J11462:J11467 J11473:J11475 J11491 J11502:J11504 J11510:J11512 J11518 J11524:J11538 J11544 J11550:J11554 J11560:J11565 J11571:J11580 J11596:J11599 J11620:J11624 J11635:J11639 J11729:J11730 J11741 J11753:J11759 J11766:J11771">
    <cfRule type="cellIs" dxfId="0" priority="1525" stopIfTrue="1" operator="lessThan">
      <formula>0</formula>
    </cfRule>
  </conditionalFormatting>
  <conditionalFormatting sqref="I3803:J3807 I3828:I3834 I3850:I3851 I3867:I3870 I3929:I3930 I3941:I3948 I3954 I3984:I3987 I3997:J4002 I4008:J4010 I4026:J4029 I4055:J4055 I4071:J4074 I4100:J4100 I4111:J4116 I4127:J4134 I4171:I4173 I4179 I4185:J4185 I4211:J4211 I4227:J4227 I4233:J4234 I4255:J4264 I4270:J4270 I4276:J4280 I4299:I4301 I4327:I4334 I4372:I4378 I4399 I4410:I4417 I4423:I4427 I4433:I4443 I4449:I4452 I4458:I4460 I4466:I4476 I4482:I4493 I4499:I4507 I4513:I4521 I4527:I4529 I4535:I4544 I4550:I4553 I4559:I4563 I4569 I4575:I4583 I4599:I4615 I4626:I4627 I4633:I4637 I4643:I4649 I4655:I4657 I4663:I4664 I4670:I4681 I4687:I4694 I5127:I10216 J5127:J6009 J6011:J6029 J6031:J6046 J6048:J6057 J6059:J6064 J6066:J6077 J6079:J6098 J6100:J6112 J6114:J6122 J6124:J6130 J6132:J6136 J6138:J6147 J6149:J6158 J6160:J6172 J6174:J6192 J6194:J6227 J6229:J6242 J6244:J6263 J6265:J6343 J6345:J6382 J6384:J6410 J6412:J6426 J6428:J6478 J6480:J6492 J6494:J6525 J6527:J6542 J6544:J6548 J6550:J6564 J6566:J6576 J6578:J6583 J6585:J6592 J6594:J6615 J6617:J6654 J6656:J6675 J6677:J6681 J6683:J6687 J6689:J6696 J6698:J6702 J6704:J6711 J6713:J6727 J6729:J6741 J6743:J6747 J6749:J6768 J6770:J6779 J6781:J6786 J6788:J6798 J6800:J6809 J6811:J6821 J6823:J6829 J6831:J6850 J6852:J6863 J6865:J6887 J6889:J6920 J6922:J6928 J6930:J6962 J6964:J7744 J7750:J7758 J7764:J7773 J7779:J7789 J7795:J7818 J7824:J7832 J7838:J7874 J7880:J7890 J7896 J7902:J7903 J7909:J7915 J7921:J7947 J7953:J7957 J7963:J7971 J7977:J7983 J7989:J7990 J7996:J8000 J8006:J8012 J8018 J8024:J8032 J8038 J8044:J8047 J8053:J8054 J8060:J8073 J8079:J8094 J8100:J8117 J8123:J8140 J8146:J8176 J8182:J8205 J8211:J8214 J8220:J8250 J8256:J8274 J8280:J8305 J8311:J8326 J8332:J8344 J8350:J8392 J8398:J8424 J8430:J8483 J8489:J8497 J8503:J8507 J8513:J8538 J8544:J8571 J8577:J8598 J8604:J8607 J8613:J8623 J8629:J8665 J8671:J8672 J8678:J8709 J8715:J8717 J8723:J8782 J8788:J8789 J8795:J8821 J8827:J8862 J8868:J8920 J8926:J8927 J8933:J8949 J8955:J8990 J8996:J9012 J9018:J9036 J9042:J9057 J9063:J9080 J9086:J9101 J9107:J9128 J9134:J9168 J9174:J9184 J9190 J9196 J9202:J9206 J9212:J9216 J9222:J9242 J9248:J9259 J9265:J9271 J9277 J9283:J9284 J9290:J9291 J9297 J9303:J9305 J9311:J9313 J9319:J9324 J9330:J9332 J9343:J9348 J9354:J9358 J9364:J9367 J9373:J9383 J9389:J9391 J9397 J9403:J9409 J9415:J9416 J9422:J9430 J9436:J9438 J9454:J9457 J9463:J9466 J9471 J9476 J9481 J9486:J9490 J9495 J9500 J9505 J9510 J9515 J9520:J9563 J9568 J9573:J9579 J9584 J9589 J9594 J9599 J9604 J9609:J9611 J9616 J9621:J9622 J9627:J9628 J9633 J9638 J9643:J9653 J9658 J9663:J9665 J9670 J9675:J9676 J9681 J9686:J9688 J9693 J9698:J9699 J9704:J9710 J9715:J9717 J9722 J9727 J9732 J9737:J9739 J9744:J9746 J9751:J9752 J9757 J9762 J9767 J9772 J9777:J9780 J9785 J9790:J9797 J9802:J9805 J9810 J9815:J9821 J9826:J9830 J9835:J9839 J9844 J9849:J9852 J9857 J9862 J9867 J9872 J9877:J9945 J9951 J9957 J9973:J9980 J9986:J9990 J10011:J10014 J10020:J10029 J10045:J10046 J10052:J10055 J10081:J10082 J10088:J10091 J10112:J10115 J10131 J10187 J10203:J10204 I10220:J10220 J10246 J10267:J10273 J10284:J10291 J10297 J10313:J10314 J10325:J10329 J10335 J10346:J10350 J10356:J10357 J10373:J10375 J10391:J10392 J10403:J10404 J10425:J10426 J10437:J10438 J10449:J10450 J10461:J10462 J10468 J10494 J10500 J10506 J10512:J10516 J10522:J10523 J10544:J10548 J10554:J10558 J10564:J10565 J10576 J10582:J10595 J10601 J10607:J10608 J10624:J10628 J10634:J10637 J10643 J10649:J10658 J10664:J10671 J10677:J10683 J10694:J10696 J10702:J10705 J10711:J10717 J10728:J10734 J10740 J10746 J10752 J10768:J10770 J10786:J10788 J10799:J10807 J10815 J10817:J10818 J10829:J10838 J10849:J10852 J10858:J10877 J10883:J10887 J10893:J10902 J10908:J10914 J10925 J10956:J10959 J10965:J10968 J10984:J10997 J11008:J11015 J11021:J11022 J11033:J11042 J11048:J11058 J11069:J11071 J11077:J11078 J11084:J11086 J11092:J11094 J11100:J11101 J11107:J11113 J11119:J11139 I11121:I11125 J11150:J11152 J11158:J11161 J11167:J11177 J11183 J11189 J11195:J11202 J11213:J11227 J11233:J11242 J11248 J11259:J11261 J11267 J11273:J11276 J11282:J11293 J11299:J11313 J11319:J11323 J11344:J11348 J11354:J11355 J11366:J11371 J11412:J11417 J11433:J11434 J11440:J11443 J11449:J11450 J11456 J11462:J11467 J11473:J11475 J11491 J11502:J11504 J11510:J11512 J11518 J11524:J11538 J11544 J11550:J11554 J11560:J11565 J11571:J11580 J11596:J11599 J11620:J11624 J11635:J11639 J11729:J11730 J11741 J11753:J11759 J11766:J11771">
    <cfRule type="cellIs" dxfId="1" priority="1526" stopIfTrue="1" operator="greaterThan">
      <formula>0</formula>
    </cfRule>
  </conditionalFormatting>
  <conditionalFormatting sqref="I3808:J3812">
    <cfRule type="cellIs" dxfId="0" priority="1527" stopIfTrue="1" operator="lessThan">
      <formula>0</formula>
    </cfRule>
  </conditionalFormatting>
  <conditionalFormatting sqref="I3808:J3812">
    <cfRule type="cellIs" dxfId="1" priority="1528" stopIfTrue="1" operator="greaterThan">
      <formula>0</formula>
    </cfRule>
  </conditionalFormatting>
  <conditionalFormatting sqref="I3813:J3817">
    <cfRule type="cellIs" dxfId="0" priority="1529" stopIfTrue="1" operator="lessThan">
      <formula>0</formula>
    </cfRule>
  </conditionalFormatting>
  <conditionalFormatting sqref="I3813:J3817">
    <cfRule type="cellIs" dxfId="1" priority="1530" stopIfTrue="1" operator="greaterThan">
      <formula>0</formula>
    </cfRule>
  </conditionalFormatting>
  <conditionalFormatting sqref="I3818:J3822">
    <cfRule type="cellIs" dxfId="0" priority="1531" stopIfTrue="1" operator="lessThan">
      <formula>0</formula>
    </cfRule>
  </conditionalFormatting>
  <conditionalFormatting sqref="I3818:J3822">
    <cfRule type="cellIs" dxfId="1" priority="1532" stopIfTrue="1" operator="greaterThan">
      <formula>0</formula>
    </cfRule>
  </conditionalFormatting>
  <conditionalFormatting sqref="I3823:J3827">
    <cfRule type="cellIs" dxfId="0" priority="1533" stopIfTrue="1" operator="lessThan">
      <formula>0</formula>
    </cfRule>
  </conditionalFormatting>
  <conditionalFormatting sqref="I3823:J3827">
    <cfRule type="cellIs" dxfId="1" priority="1534" stopIfTrue="1" operator="greaterThan">
      <formula>0</formula>
    </cfRule>
  </conditionalFormatting>
  <conditionalFormatting sqref="J3792:J3802">
    <cfRule type="cellIs" dxfId="0" priority="1535" stopIfTrue="1" operator="lessThan">
      <formula>0</formula>
    </cfRule>
  </conditionalFormatting>
  <conditionalFormatting sqref="J3792:J3802">
    <cfRule type="cellIs" dxfId="1" priority="1536" stopIfTrue="1" operator="greaterThan">
      <formula>0</formula>
    </cfRule>
  </conditionalFormatting>
  <conditionalFormatting sqref="J3828:J3834">
    <cfRule type="cellIs" dxfId="0" priority="1537" stopIfTrue="1" operator="lessThan">
      <formula>0</formula>
    </cfRule>
  </conditionalFormatting>
  <conditionalFormatting sqref="J3828:J3834">
    <cfRule type="cellIs" dxfId="1" priority="1538" stopIfTrue="1" operator="greaterThan">
      <formula>0</formula>
    </cfRule>
  </conditionalFormatting>
  <conditionalFormatting sqref="I3835:J3839">
    <cfRule type="cellIs" dxfId="0" priority="1539" stopIfTrue="1" operator="lessThan">
      <formula>0</formula>
    </cfRule>
  </conditionalFormatting>
  <conditionalFormatting sqref="I3835:J3839">
    <cfRule type="cellIs" dxfId="1" priority="1540" stopIfTrue="1" operator="greaterThan">
      <formula>0</formula>
    </cfRule>
  </conditionalFormatting>
  <conditionalFormatting sqref="I3840:J3844">
    <cfRule type="cellIs" dxfId="0" priority="1541" stopIfTrue="1" operator="lessThan">
      <formula>0</formula>
    </cfRule>
  </conditionalFormatting>
  <conditionalFormatting sqref="I3840:J3844">
    <cfRule type="cellIs" dxfId="1" priority="1542" stopIfTrue="1" operator="greaterThan">
      <formula>0</formula>
    </cfRule>
  </conditionalFormatting>
  <conditionalFormatting sqref="I3845:J3849">
    <cfRule type="cellIs" dxfId="0" priority="1543" stopIfTrue="1" operator="lessThan">
      <formula>0</formula>
    </cfRule>
  </conditionalFormatting>
  <conditionalFormatting sqref="I3845:J3849">
    <cfRule type="cellIs" dxfId="1" priority="1544" stopIfTrue="1" operator="greaterThan">
      <formula>0</formula>
    </cfRule>
  </conditionalFormatting>
  <conditionalFormatting sqref="J3850:J3851">
    <cfRule type="cellIs" dxfId="0" priority="1545" stopIfTrue="1" operator="lessThan">
      <formula>0</formula>
    </cfRule>
  </conditionalFormatting>
  <conditionalFormatting sqref="J3850:J3851">
    <cfRule type="cellIs" dxfId="1" priority="1546" stopIfTrue="1" operator="greaterThan">
      <formula>0</formula>
    </cfRule>
  </conditionalFormatting>
  <conditionalFormatting sqref="I3852:J3856">
    <cfRule type="cellIs" dxfId="0" priority="1547" stopIfTrue="1" operator="lessThan">
      <formula>0</formula>
    </cfRule>
  </conditionalFormatting>
  <conditionalFormatting sqref="I3852:J3856">
    <cfRule type="cellIs" dxfId="1" priority="1548" stopIfTrue="1" operator="greaterThan">
      <formula>0</formula>
    </cfRule>
  </conditionalFormatting>
  <conditionalFormatting sqref="I3857:J3861">
    <cfRule type="cellIs" dxfId="0" priority="1549" stopIfTrue="1" operator="lessThan">
      <formula>0</formula>
    </cfRule>
  </conditionalFormatting>
  <conditionalFormatting sqref="I3857:J3861">
    <cfRule type="cellIs" dxfId="1" priority="1550" stopIfTrue="1" operator="greaterThan">
      <formula>0</formula>
    </cfRule>
  </conditionalFormatting>
  <conditionalFormatting sqref="I3862:J3866">
    <cfRule type="cellIs" dxfId="0" priority="1551" stopIfTrue="1" operator="lessThan">
      <formula>0</formula>
    </cfRule>
  </conditionalFormatting>
  <conditionalFormatting sqref="I3862:J3866">
    <cfRule type="cellIs" dxfId="1" priority="1552" stopIfTrue="1" operator="greaterThan">
      <formula>0</formula>
    </cfRule>
  </conditionalFormatting>
  <conditionalFormatting sqref="J3867:J3870">
    <cfRule type="cellIs" dxfId="0" priority="1553" stopIfTrue="1" operator="lessThan">
      <formula>0</formula>
    </cfRule>
  </conditionalFormatting>
  <conditionalFormatting sqref="J3867:J3870">
    <cfRule type="cellIs" dxfId="1" priority="1554" stopIfTrue="1" operator="greaterThan">
      <formula>0</formula>
    </cfRule>
  </conditionalFormatting>
  <conditionalFormatting sqref="I3871:J3875 I3881:I3889 I3900:I3906 I3912:I3913">
    <cfRule type="cellIs" dxfId="0" priority="1555" stopIfTrue="1" operator="lessThan">
      <formula>0</formula>
    </cfRule>
  </conditionalFormatting>
  <conditionalFormatting sqref="I3871:J3875 I3881:I3889 I3900:I3906 I3912:I3913">
    <cfRule type="cellIs" dxfId="1" priority="1556" stopIfTrue="1" operator="greaterThan">
      <formula>0</formula>
    </cfRule>
  </conditionalFormatting>
  <conditionalFormatting sqref="I3876:J3880">
    <cfRule type="cellIs" dxfId="0" priority="1557" stopIfTrue="1" operator="lessThan">
      <formula>0</formula>
    </cfRule>
  </conditionalFormatting>
  <conditionalFormatting sqref="I3876:J3880">
    <cfRule type="cellIs" dxfId="1" priority="1558" stopIfTrue="1" operator="greaterThan">
      <formula>0</formula>
    </cfRule>
  </conditionalFormatting>
  <conditionalFormatting sqref="J3881:J3889">
    <cfRule type="cellIs" dxfId="0" priority="1559" stopIfTrue="1" operator="lessThan">
      <formula>0</formula>
    </cfRule>
  </conditionalFormatting>
  <conditionalFormatting sqref="J3881:J3889">
    <cfRule type="cellIs" dxfId="1" priority="1560" stopIfTrue="1" operator="greaterThan">
      <formula>0</formula>
    </cfRule>
  </conditionalFormatting>
  <conditionalFormatting sqref="I3890:J3894">
    <cfRule type="cellIs" dxfId="0" priority="1561" stopIfTrue="1" operator="lessThan">
      <formula>0</formula>
    </cfRule>
  </conditionalFormatting>
  <conditionalFormatting sqref="I3890:J3894">
    <cfRule type="cellIs" dxfId="1" priority="1562" stopIfTrue="1" operator="greaterThan">
      <formula>0</formula>
    </cfRule>
  </conditionalFormatting>
  <conditionalFormatting sqref="I3895:J3899">
    <cfRule type="cellIs" dxfId="0" priority="1563" stopIfTrue="1" operator="lessThan">
      <formula>0</formula>
    </cfRule>
  </conditionalFormatting>
  <conditionalFormatting sqref="I3895:J3899">
    <cfRule type="cellIs" dxfId="1" priority="1564" stopIfTrue="1" operator="greaterThan">
      <formula>0</formula>
    </cfRule>
  </conditionalFormatting>
  <conditionalFormatting sqref="J3900:J3906">
    <cfRule type="cellIs" dxfId="0" priority="1565" stopIfTrue="1" operator="lessThan">
      <formula>0</formula>
    </cfRule>
  </conditionalFormatting>
  <conditionalFormatting sqref="J3900:J3906">
    <cfRule type="cellIs" dxfId="1" priority="1566" stopIfTrue="1" operator="greaterThan">
      <formula>0</formula>
    </cfRule>
  </conditionalFormatting>
  <conditionalFormatting sqref="I3907:J3911">
    <cfRule type="cellIs" dxfId="0" priority="1567" stopIfTrue="1" operator="lessThan">
      <formula>0</formula>
    </cfRule>
  </conditionalFormatting>
  <conditionalFormatting sqref="I3907:J3911">
    <cfRule type="cellIs" dxfId="1" priority="1568" stopIfTrue="1" operator="greaterThan">
      <formula>0</formula>
    </cfRule>
  </conditionalFormatting>
  <conditionalFormatting sqref="J3912:J3913">
    <cfRule type="cellIs" dxfId="0" priority="1569" stopIfTrue="1" operator="lessThan">
      <formula>0</formula>
    </cfRule>
  </conditionalFormatting>
  <conditionalFormatting sqref="J3912:J3913">
    <cfRule type="cellIs" dxfId="1" priority="1570" stopIfTrue="1" operator="greaterThan">
      <formula>0</formula>
    </cfRule>
  </conditionalFormatting>
  <conditionalFormatting sqref="I3914:J3918">
    <cfRule type="cellIs" dxfId="0" priority="1571" stopIfTrue="1" operator="lessThan">
      <formula>0</formula>
    </cfRule>
  </conditionalFormatting>
  <conditionalFormatting sqref="I3914:J3918">
    <cfRule type="cellIs" dxfId="1" priority="1572" stopIfTrue="1" operator="greaterThan">
      <formula>0</formula>
    </cfRule>
  </conditionalFormatting>
  <conditionalFormatting sqref="I3919:J3923">
    <cfRule type="cellIs" dxfId="0" priority="1573" stopIfTrue="1" operator="lessThan">
      <formula>0</formula>
    </cfRule>
  </conditionalFormatting>
  <conditionalFormatting sqref="I3919:J3923">
    <cfRule type="cellIs" dxfId="1" priority="1574" stopIfTrue="1" operator="greaterThan">
      <formula>0</formula>
    </cfRule>
  </conditionalFormatting>
  <conditionalFormatting sqref="I3924:J3928">
    <cfRule type="cellIs" dxfId="0" priority="1575" stopIfTrue="1" operator="lessThan">
      <formula>0</formula>
    </cfRule>
  </conditionalFormatting>
  <conditionalFormatting sqref="I3924:J3928">
    <cfRule type="cellIs" dxfId="1" priority="1576" stopIfTrue="1" operator="greaterThan">
      <formula>0</formula>
    </cfRule>
  </conditionalFormatting>
  <conditionalFormatting sqref="J3929:J3930">
    <cfRule type="cellIs" dxfId="0" priority="1577" stopIfTrue="1" operator="lessThan">
      <formula>0</formula>
    </cfRule>
  </conditionalFormatting>
  <conditionalFormatting sqref="J3929:J3930">
    <cfRule type="cellIs" dxfId="1" priority="1578" stopIfTrue="1" operator="greaterThan">
      <formula>0</formula>
    </cfRule>
  </conditionalFormatting>
  <conditionalFormatting sqref="I3931:J3935">
    <cfRule type="cellIs" dxfId="0" priority="1579" stopIfTrue="1" operator="lessThan">
      <formula>0</formula>
    </cfRule>
  </conditionalFormatting>
  <conditionalFormatting sqref="I3931:J3935">
    <cfRule type="cellIs" dxfId="1" priority="1580" stopIfTrue="1" operator="greaterThan">
      <formula>0</formula>
    </cfRule>
  </conditionalFormatting>
  <conditionalFormatting sqref="I3936:J3940">
    <cfRule type="cellIs" dxfId="0" priority="1581" stopIfTrue="1" operator="lessThan">
      <formula>0</formula>
    </cfRule>
  </conditionalFormatting>
  <conditionalFormatting sqref="I3936:J3940">
    <cfRule type="cellIs" dxfId="1" priority="1582" stopIfTrue="1" operator="greaterThan">
      <formula>0</formula>
    </cfRule>
  </conditionalFormatting>
  <conditionalFormatting sqref="J3941:J3948">
    <cfRule type="cellIs" dxfId="0" priority="1583" stopIfTrue="1" operator="lessThan">
      <formula>0</formula>
    </cfRule>
  </conditionalFormatting>
  <conditionalFormatting sqref="J3941:J3948">
    <cfRule type="cellIs" dxfId="1" priority="1584" stopIfTrue="1" operator="greaterThan">
      <formula>0</formula>
    </cfRule>
  </conditionalFormatting>
  <conditionalFormatting sqref="I3949:J3953">
    <cfRule type="cellIs" dxfId="0" priority="1585" stopIfTrue="1" operator="lessThan">
      <formula>0</formula>
    </cfRule>
  </conditionalFormatting>
  <conditionalFormatting sqref="I3949:J3953">
    <cfRule type="cellIs" dxfId="1" priority="1586" stopIfTrue="1" operator="greaterThan">
      <formula>0</formula>
    </cfRule>
  </conditionalFormatting>
  <conditionalFormatting sqref="J3954">
    <cfRule type="cellIs" dxfId="0" priority="1587" stopIfTrue="1" operator="lessThan">
      <formula>0</formula>
    </cfRule>
  </conditionalFormatting>
  <conditionalFormatting sqref="J3954">
    <cfRule type="cellIs" dxfId="1" priority="1588" stopIfTrue="1" operator="greaterThan">
      <formula>0</formula>
    </cfRule>
  </conditionalFormatting>
  <conditionalFormatting sqref="I3955:J3959 I3970:I3973">
    <cfRule type="cellIs" dxfId="0" priority="1589" stopIfTrue="1" operator="lessThan">
      <formula>0</formula>
    </cfRule>
  </conditionalFormatting>
  <conditionalFormatting sqref="I3955:J3959 I3970:I3973">
    <cfRule type="cellIs" dxfId="1" priority="1590" stopIfTrue="1" operator="greaterThan">
      <formula>0</formula>
    </cfRule>
  </conditionalFormatting>
  <conditionalFormatting sqref="I3960:J3964">
    <cfRule type="cellIs" dxfId="0" priority="1591" stopIfTrue="1" operator="lessThan">
      <formula>0</formula>
    </cfRule>
  </conditionalFormatting>
  <conditionalFormatting sqref="I3960:J3964">
    <cfRule type="cellIs" dxfId="1" priority="1592" stopIfTrue="1" operator="greaterThan">
      <formula>0</formula>
    </cfRule>
  </conditionalFormatting>
  <conditionalFormatting sqref="I3965:J3969">
    <cfRule type="cellIs" dxfId="0" priority="1593" stopIfTrue="1" operator="lessThan">
      <formula>0</formula>
    </cfRule>
  </conditionalFormatting>
  <conditionalFormatting sqref="I3965:J3969">
    <cfRule type="cellIs" dxfId="1" priority="1594" stopIfTrue="1" operator="greaterThan">
      <formula>0</formula>
    </cfRule>
  </conditionalFormatting>
  <conditionalFormatting sqref="J3970:J3973">
    <cfRule type="cellIs" dxfId="0" priority="1595" stopIfTrue="1" operator="lessThan">
      <formula>0</formula>
    </cfRule>
  </conditionalFormatting>
  <conditionalFormatting sqref="J3970:J3973">
    <cfRule type="cellIs" dxfId="1" priority="1596" stopIfTrue="1" operator="greaterThan">
      <formula>0</formula>
    </cfRule>
  </conditionalFormatting>
  <conditionalFormatting sqref="I3974:J3978">
    <cfRule type="cellIs" dxfId="0" priority="1597" stopIfTrue="1" operator="lessThan">
      <formula>0</formula>
    </cfRule>
  </conditionalFormatting>
  <conditionalFormatting sqref="I3974:J3978">
    <cfRule type="cellIs" dxfId="1" priority="1598" stopIfTrue="1" operator="greaterThan">
      <formula>0</formula>
    </cfRule>
  </conditionalFormatting>
  <conditionalFormatting sqref="I3979:J3983">
    <cfRule type="cellIs" dxfId="0" priority="1599" stopIfTrue="1" operator="lessThan">
      <formula>0</formula>
    </cfRule>
  </conditionalFormatting>
  <conditionalFormatting sqref="I3979:J3983">
    <cfRule type="cellIs" dxfId="1" priority="1600" stopIfTrue="1" operator="greaterThan">
      <formula>0</formula>
    </cfRule>
  </conditionalFormatting>
  <conditionalFormatting sqref="J3984:J3987">
    <cfRule type="cellIs" dxfId="0" priority="1601" stopIfTrue="1" operator="lessThan">
      <formula>0</formula>
    </cfRule>
  </conditionalFormatting>
  <conditionalFormatting sqref="J3984:J3987">
    <cfRule type="cellIs" dxfId="1" priority="1602" stopIfTrue="1" operator="greaterThan">
      <formula>0</formula>
    </cfRule>
  </conditionalFormatting>
  <conditionalFormatting sqref="I3988:J3996">
    <cfRule type="cellIs" dxfId="0" priority="1603" stopIfTrue="1" operator="lessThan">
      <formula>0</formula>
    </cfRule>
  </conditionalFormatting>
  <conditionalFormatting sqref="I3988:J3996">
    <cfRule type="cellIs" dxfId="1" priority="1604" stopIfTrue="1" operator="greaterThan">
      <formula>0</formula>
    </cfRule>
  </conditionalFormatting>
  <conditionalFormatting sqref="I4003:J4007">
    <cfRule type="cellIs" dxfId="0" priority="1605" stopIfTrue="1" operator="lessThan">
      <formula>0</formula>
    </cfRule>
  </conditionalFormatting>
  <conditionalFormatting sqref="I4003:J4007">
    <cfRule type="cellIs" dxfId="1" priority="1606" stopIfTrue="1" operator="greaterThan">
      <formula>0</formula>
    </cfRule>
  </conditionalFormatting>
  <conditionalFormatting sqref="I4011:J4015">
    <cfRule type="cellIs" dxfId="0" priority="1607" stopIfTrue="1" operator="lessThan">
      <formula>0</formula>
    </cfRule>
  </conditionalFormatting>
  <conditionalFormatting sqref="I4011:J4015">
    <cfRule type="cellIs" dxfId="1" priority="1608" stopIfTrue="1" operator="greaterThan">
      <formula>0</formula>
    </cfRule>
  </conditionalFormatting>
  <conditionalFormatting sqref="I4016:J4020">
    <cfRule type="cellIs" dxfId="0" priority="1609" stopIfTrue="1" operator="lessThan">
      <formula>0</formula>
    </cfRule>
  </conditionalFormatting>
  <conditionalFormatting sqref="I4016:J4020">
    <cfRule type="cellIs" dxfId="1" priority="1610" stopIfTrue="1" operator="greaterThan">
      <formula>0</formula>
    </cfRule>
  </conditionalFormatting>
  <conditionalFormatting sqref="I4021:J4025">
    <cfRule type="cellIs" dxfId="0" priority="1611" stopIfTrue="1" operator="lessThan">
      <formula>0</formula>
    </cfRule>
  </conditionalFormatting>
  <conditionalFormatting sqref="I4021:J4025">
    <cfRule type="cellIs" dxfId="1" priority="1612" stopIfTrue="1" operator="greaterThan">
      <formula>0</formula>
    </cfRule>
  </conditionalFormatting>
  <conditionalFormatting sqref="I4030:J4034">
    <cfRule type="cellIs" dxfId="0" priority="1613" stopIfTrue="1" operator="lessThan">
      <formula>0</formula>
    </cfRule>
  </conditionalFormatting>
  <conditionalFormatting sqref="I4030:J4034">
    <cfRule type="cellIs" dxfId="1" priority="1614" stopIfTrue="1" operator="greaterThan">
      <formula>0</formula>
    </cfRule>
  </conditionalFormatting>
  <conditionalFormatting sqref="I4035:J4039">
    <cfRule type="cellIs" dxfId="0" priority="1615" stopIfTrue="1" operator="lessThan">
      <formula>0</formula>
    </cfRule>
  </conditionalFormatting>
  <conditionalFormatting sqref="I4035:J4039">
    <cfRule type="cellIs" dxfId="1" priority="1616" stopIfTrue="1" operator="greaterThan">
      <formula>0</formula>
    </cfRule>
  </conditionalFormatting>
  <conditionalFormatting sqref="I4040:J4044">
    <cfRule type="cellIs" dxfId="0" priority="1617" stopIfTrue="1" operator="lessThan">
      <formula>0</formula>
    </cfRule>
  </conditionalFormatting>
  <conditionalFormatting sqref="I4040:J4044">
    <cfRule type="cellIs" dxfId="1" priority="1618" stopIfTrue="1" operator="greaterThan">
      <formula>0</formula>
    </cfRule>
  </conditionalFormatting>
  <conditionalFormatting sqref="I4045:J4049">
    <cfRule type="cellIs" dxfId="0" priority="1619" stopIfTrue="1" operator="lessThan">
      <formula>0</formula>
    </cfRule>
  </conditionalFormatting>
  <conditionalFormatting sqref="I4045:J4049">
    <cfRule type="cellIs" dxfId="1" priority="1620" stopIfTrue="1" operator="greaterThan">
      <formula>0</formula>
    </cfRule>
  </conditionalFormatting>
  <conditionalFormatting sqref="I4050:J4054">
    <cfRule type="cellIs" dxfId="0" priority="1621" stopIfTrue="1" operator="lessThan">
      <formula>0</formula>
    </cfRule>
  </conditionalFormatting>
  <conditionalFormatting sqref="I4050:J4054">
    <cfRule type="cellIs" dxfId="1" priority="1622" stopIfTrue="1" operator="greaterThan">
      <formula>0</formula>
    </cfRule>
  </conditionalFormatting>
  <conditionalFormatting sqref="I4056:J4060">
    <cfRule type="cellIs" dxfId="0" priority="1623" stopIfTrue="1" operator="lessThan">
      <formula>0</formula>
    </cfRule>
  </conditionalFormatting>
  <conditionalFormatting sqref="I4056:J4060">
    <cfRule type="cellIs" dxfId="1" priority="1624" stopIfTrue="1" operator="greaterThan">
      <formula>0</formula>
    </cfRule>
  </conditionalFormatting>
  <conditionalFormatting sqref="I4061:J4065">
    <cfRule type="cellIs" dxfId="0" priority="1625" stopIfTrue="1" operator="lessThan">
      <formula>0</formula>
    </cfRule>
  </conditionalFormatting>
  <conditionalFormatting sqref="I4061:J4065">
    <cfRule type="cellIs" dxfId="1" priority="1626" stopIfTrue="1" operator="greaterThan">
      <formula>0</formula>
    </cfRule>
  </conditionalFormatting>
  <conditionalFormatting sqref="I4066:J4070">
    <cfRule type="cellIs" dxfId="0" priority="1627" stopIfTrue="1" operator="lessThan">
      <formula>0</formula>
    </cfRule>
  </conditionalFormatting>
  <conditionalFormatting sqref="I4066:J4070">
    <cfRule type="cellIs" dxfId="1" priority="1628" stopIfTrue="1" operator="greaterThan">
      <formula>0</formula>
    </cfRule>
  </conditionalFormatting>
  <conditionalFormatting sqref="I4075:J4079">
    <cfRule type="cellIs" dxfId="0" priority="1629" stopIfTrue="1" operator="lessThan">
      <formula>0</formula>
    </cfRule>
  </conditionalFormatting>
  <conditionalFormatting sqref="I4075:J4079">
    <cfRule type="cellIs" dxfId="1" priority="1630" stopIfTrue="1" operator="greaterThan">
      <formula>0</formula>
    </cfRule>
  </conditionalFormatting>
  <conditionalFormatting sqref="I4080:J4084">
    <cfRule type="cellIs" dxfId="0" priority="1631" stopIfTrue="1" operator="lessThan">
      <formula>0</formula>
    </cfRule>
  </conditionalFormatting>
  <conditionalFormatting sqref="I4080:J4084">
    <cfRule type="cellIs" dxfId="1" priority="1632" stopIfTrue="1" operator="greaterThan">
      <formula>0</formula>
    </cfRule>
  </conditionalFormatting>
  <conditionalFormatting sqref="I4085:J4089">
    <cfRule type="cellIs" dxfId="0" priority="1633" stopIfTrue="1" operator="lessThan">
      <formula>0</formula>
    </cfRule>
  </conditionalFormatting>
  <conditionalFormatting sqref="I4085:J4089">
    <cfRule type="cellIs" dxfId="1" priority="1634" stopIfTrue="1" operator="greaterThan">
      <formula>0</formula>
    </cfRule>
  </conditionalFormatting>
  <conditionalFormatting sqref="I4090:J4094">
    <cfRule type="cellIs" dxfId="0" priority="1635" stopIfTrue="1" operator="lessThan">
      <formula>0</formula>
    </cfRule>
  </conditionalFormatting>
  <conditionalFormatting sqref="I4090:J4094">
    <cfRule type="cellIs" dxfId="1" priority="1636" stopIfTrue="1" operator="greaterThan">
      <formula>0</formula>
    </cfRule>
  </conditionalFormatting>
  <conditionalFormatting sqref="I4095:J4099">
    <cfRule type="cellIs" dxfId="0" priority="1637" stopIfTrue="1" operator="lessThan">
      <formula>0</formula>
    </cfRule>
  </conditionalFormatting>
  <conditionalFormatting sqref="I4095:J4099">
    <cfRule type="cellIs" dxfId="1" priority="1638" stopIfTrue="1" operator="greaterThan">
      <formula>0</formula>
    </cfRule>
  </conditionalFormatting>
  <conditionalFormatting sqref="I4101:J4105">
    <cfRule type="cellIs" dxfId="0" priority="1639" stopIfTrue="1" operator="lessThan">
      <formula>0</formula>
    </cfRule>
  </conditionalFormatting>
  <conditionalFormatting sqref="I4101:J4105">
    <cfRule type="cellIs" dxfId="1" priority="1640" stopIfTrue="1" operator="greaterThan">
      <formula>0</formula>
    </cfRule>
  </conditionalFormatting>
  <conditionalFormatting sqref="I4106:J4110">
    <cfRule type="cellIs" dxfId="0" priority="1641" stopIfTrue="1" operator="lessThan">
      <formula>0</formula>
    </cfRule>
  </conditionalFormatting>
  <conditionalFormatting sqref="I4106:J4110">
    <cfRule type="cellIs" dxfId="1" priority="1642" stopIfTrue="1" operator="greaterThan">
      <formula>0</formula>
    </cfRule>
  </conditionalFormatting>
  <conditionalFormatting sqref="I4117:J4121">
    <cfRule type="cellIs" dxfId="0" priority="1643" stopIfTrue="1" operator="lessThan">
      <formula>0</formula>
    </cfRule>
  </conditionalFormatting>
  <conditionalFormatting sqref="I4117:J4121">
    <cfRule type="cellIs" dxfId="1" priority="1644" stopIfTrue="1" operator="greaterThan">
      <formula>0</formula>
    </cfRule>
  </conditionalFormatting>
  <conditionalFormatting sqref="I4122:J4126">
    <cfRule type="cellIs" dxfId="0" priority="1645" stopIfTrue="1" operator="lessThan">
      <formula>0</formula>
    </cfRule>
  </conditionalFormatting>
  <conditionalFormatting sqref="I4122:J4126">
    <cfRule type="cellIs" dxfId="1" priority="1646" stopIfTrue="1" operator="greaterThan">
      <formula>0</formula>
    </cfRule>
  </conditionalFormatting>
  <conditionalFormatting sqref="I4135:J4139">
    <cfRule type="cellIs" dxfId="0" priority="1647" stopIfTrue="1" operator="lessThan">
      <formula>0</formula>
    </cfRule>
  </conditionalFormatting>
  <conditionalFormatting sqref="I4135:J4139">
    <cfRule type="cellIs" dxfId="1" priority="1648" stopIfTrue="1" operator="greaterThan">
      <formula>0</formula>
    </cfRule>
  </conditionalFormatting>
  <conditionalFormatting sqref="I4140:J4144 I4145:I4150">
    <cfRule type="cellIs" dxfId="0" priority="1649" stopIfTrue="1" operator="lessThan">
      <formula>0</formula>
    </cfRule>
  </conditionalFormatting>
  <conditionalFormatting sqref="I4140:J4144 I4145:I4150">
    <cfRule type="cellIs" dxfId="1" priority="1650" stopIfTrue="1" operator="greaterThan">
      <formula>0</formula>
    </cfRule>
  </conditionalFormatting>
  <conditionalFormatting sqref="I4151:J4155">
    <cfRule type="cellIs" dxfId="0" priority="1651" stopIfTrue="1" operator="lessThan">
      <formula>0</formula>
    </cfRule>
  </conditionalFormatting>
  <conditionalFormatting sqref="I4151:J4155">
    <cfRule type="cellIs" dxfId="1" priority="1652" stopIfTrue="1" operator="greaterThan">
      <formula>0</formula>
    </cfRule>
  </conditionalFormatting>
  <conditionalFormatting sqref="I4156:J4160">
    <cfRule type="cellIs" dxfId="0" priority="1653" stopIfTrue="1" operator="lessThan">
      <formula>0</formula>
    </cfRule>
  </conditionalFormatting>
  <conditionalFormatting sqref="I4156:J4160">
    <cfRule type="cellIs" dxfId="1" priority="1654" stopIfTrue="1" operator="greaterThan">
      <formula>0</formula>
    </cfRule>
  </conditionalFormatting>
  <conditionalFormatting sqref="J4145:J4150">
    <cfRule type="cellIs" dxfId="0" priority="1655" stopIfTrue="1" operator="lessThan">
      <formula>0</formula>
    </cfRule>
  </conditionalFormatting>
  <conditionalFormatting sqref="J4145:J4150">
    <cfRule type="cellIs" dxfId="1" priority="1656" stopIfTrue="1" operator="greaterThan">
      <formula>0</formula>
    </cfRule>
  </conditionalFormatting>
  <conditionalFormatting sqref="I4161:J4165">
    <cfRule type="cellIs" dxfId="0" priority="1657" stopIfTrue="1" operator="lessThan">
      <formula>0</formula>
    </cfRule>
  </conditionalFormatting>
  <conditionalFormatting sqref="I4161:J4165">
    <cfRule type="cellIs" dxfId="1" priority="1658" stopIfTrue="1" operator="greaterThan">
      <formula>0</formula>
    </cfRule>
  </conditionalFormatting>
  <conditionalFormatting sqref="I4166:J4170">
    <cfRule type="cellIs" dxfId="0" priority="1659" stopIfTrue="1" operator="lessThan">
      <formula>0</formula>
    </cfRule>
  </conditionalFormatting>
  <conditionalFormatting sqref="I4166:J4170">
    <cfRule type="cellIs" dxfId="1" priority="1660" stopIfTrue="1" operator="greaterThan">
      <formula>0</formula>
    </cfRule>
  </conditionalFormatting>
  <conditionalFormatting sqref="J4171:J4173">
    <cfRule type="cellIs" dxfId="0" priority="1661" stopIfTrue="1" operator="lessThan">
      <formula>0</formula>
    </cfRule>
  </conditionalFormatting>
  <conditionalFormatting sqref="J4171:J4173">
    <cfRule type="cellIs" dxfId="1" priority="1662" stopIfTrue="1" operator="greaterThan">
      <formula>0</formula>
    </cfRule>
  </conditionalFormatting>
  <conditionalFormatting sqref="I4174:J4178">
    <cfRule type="cellIs" dxfId="0" priority="1663" stopIfTrue="1" operator="lessThan">
      <formula>0</formula>
    </cfRule>
  </conditionalFormatting>
  <conditionalFormatting sqref="I4174:J4178">
    <cfRule type="cellIs" dxfId="1" priority="1664" stopIfTrue="1" operator="greaterThan">
      <formula>0</formula>
    </cfRule>
  </conditionalFormatting>
  <conditionalFormatting sqref="J4179">
    <cfRule type="cellIs" dxfId="0" priority="1665" stopIfTrue="1" operator="lessThan">
      <formula>0</formula>
    </cfRule>
  </conditionalFormatting>
  <conditionalFormatting sqref="J4179">
    <cfRule type="cellIs" dxfId="1" priority="1666" stopIfTrue="1" operator="greaterThan">
      <formula>0</formula>
    </cfRule>
  </conditionalFormatting>
  <conditionalFormatting sqref="I4180:J4184">
    <cfRule type="cellIs" dxfId="0" priority="1667" stopIfTrue="1" operator="lessThan">
      <formula>0</formula>
    </cfRule>
  </conditionalFormatting>
  <conditionalFormatting sqref="I4180:J4184">
    <cfRule type="cellIs" dxfId="1" priority="1668" stopIfTrue="1" operator="greaterThan">
      <formula>0</formula>
    </cfRule>
  </conditionalFormatting>
  <conditionalFormatting sqref="I4186:J4190">
    <cfRule type="cellIs" dxfId="0" priority="1669" stopIfTrue="1" operator="lessThan">
      <formula>0</formula>
    </cfRule>
  </conditionalFormatting>
  <conditionalFormatting sqref="I4186:J4190">
    <cfRule type="cellIs" dxfId="1" priority="1670" stopIfTrue="1" operator="greaterThan">
      <formula>0</formula>
    </cfRule>
  </conditionalFormatting>
  <conditionalFormatting sqref="I4191:J4195">
    <cfRule type="cellIs" dxfId="0" priority="1671" stopIfTrue="1" operator="lessThan">
      <formula>0</formula>
    </cfRule>
  </conditionalFormatting>
  <conditionalFormatting sqref="I4191:J4195">
    <cfRule type="cellIs" dxfId="1" priority="1672" stopIfTrue="1" operator="greaterThan">
      <formula>0</formula>
    </cfRule>
  </conditionalFormatting>
  <conditionalFormatting sqref="I4196:J4200">
    <cfRule type="cellIs" dxfId="0" priority="1673" stopIfTrue="1" operator="lessThan">
      <formula>0</formula>
    </cfRule>
  </conditionalFormatting>
  <conditionalFormatting sqref="I4196:J4200">
    <cfRule type="cellIs" dxfId="1" priority="1674" stopIfTrue="1" operator="greaterThan">
      <formula>0</formula>
    </cfRule>
  </conditionalFormatting>
  <conditionalFormatting sqref="I4201:J4205">
    <cfRule type="cellIs" dxfId="0" priority="1675" stopIfTrue="1" operator="lessThan">
      <formula>0</formula>
    </cfRule>
  </conditionalFormatting>
  <conditionalFormatting sqref="I4201:J4205">
    <cfRule type="cellIs" dxfId="1" priority="1676" stopIfTrue="1" operator="greaterThan">
      <formula>0</formula>
    </cfRule>
  </conditionalFormatting>
  <conditionalFormatting sqref="I4206:J4210">
    <cfRule type="cellIs" dxfId="0" priority="1677" stopIfTrue="1" operator="lessThan">
      <formula>0</formula>
    </cfRule>
  </conditionalFormatting>
  <conditionalFormatting sqref="I4206:J4210">
    <cfRule type="cellIs" dxfId="1" priority="1678" stopIfTrue="1" operator="greaterThan">
      <formula>0</formula>
    </cfRule>
  </conditionalFormatting>
  <conditionalFormatting sqref="I4212:J4216">
    <cfRule type="cellIs" dxfId="0" priority="1679" stopIfTrue="1" operator="lessThan">
      <formula>0</formula>
    </cfRule>
  </conditionalFormatting>
  <conditionalFormatting sqref="I4212:J4216">
    <cfRule type="cellIs" dxfId="1" priority="1680" stopIfTrue="1" operator="greaterThan">
      <formula>0</formula>
    </cfRule>
  </conditionalFormatting>
  <conditionalFormatting sqref="I4217:J4221">
    <cfRule type="cellIs" dxfId="0" priority="1681" stopIfTrue="1" operator="lessThan">
      <formula>0</formula>
    </cfRule>
  </conditionalFormatting>
  <conditionalFormatting sqref="I4217:J4221">
    <cfRule type="cellIs" dxfId="1" priority="1682" stopIfTrue="1" operator="greaterThan">
      <formula>0</formula>
    </cfRule>
  </conditionalFormatting>
  <conditionalFormatting sqref="I4222:J4226">
    <cfRule type="cellIs" dxfId="0" priority="1683" stopIfTrue="1" operator="lessThan">
      <formula>0</formula>
    </cfRule>
  </conditionalFormatting>
  <conditionalFormatting sqref="I4222:J4226">
    <cfRule type="cellIs" dxfId="1" priority="1684" stopIfTrue="1" operator="greaterThan">
      <formula>0</formula>
    </cfRule>
  </conditionalFormatting>
  <conditionalFormatting sqref="I4228:J4232">
    <cfRule type="cellIs" dxfId="0" priority="1685" stopIfTrue="1" operator="lessThan">
      <formula>0</formula>
    </cfRule>
  </conditionalFormatting>
  <conditionalFormatting sqref="I4228:J4232">
    <cfRule type="cellIs" dxfId="1" priority="1686" stopIfTrue="1" operator="greaterThan">
      <formula>0</formula>
    </cfRule>
  </conditionalFormatting>
  <conditionalFormatting sqref="I4235:J4239">
    <cfRule type="cellIs" dxfId="0" priority="1687" stopIfTrue="1" operator="lessThan">
      <formula>0</formula>
    </cfRule>
  </conditionalFormatting>
  <conditionalFormatting sqref="I4235:J4239">
    <cfRule type="cellIs" dxfId="1" priority="1688" stopIfTrue="1" operator="greaterThan">
      <formula>0</formula>
    </cfRule>
  </conditionalFormatting>
  <conditionalFormatting sqref="I4240:J4244">
    <cfRule type="cellIs" dxfId="0" priority="1689" stopIfTrue="1" operator="lessThan">
      <formula>0</formula>
    </cfRule>
  </conditionalFormatting>
  <conditionalFormatting sqref="I4240:J4244">
    <cfRule type="cellIs" dxfId="1" priority="1690" stopIfTrue="1" operator="greaterThan">
      <formula>0</formula>
    </cfRule>
  </conditionalFormatting>
  <conditionalFormatting sqref="I4245:J4249">
    <cfRule type="cellIs" dxfId="0" priority="1691" stopIfTrue="1" operator="lessThan">
      <formula>0</formula>
    </cfRule>
  </conditionalFormatting>
  <conditionalFormatting sqref="I4245:J4249">
    <cfRule type="cellIs" dxfId="1" priority="1692" stopIfTrue="1" operator="greaterThan">
      <formula>0</formula>
    </cfRule>
  </conditionalFormatting>
  <conditionalFormatting sqref="I4250:J4254">
    <cfRule type="cellIs" dxfId="0" priority="1693" stopIfTrue="1" operator="lessThan">
      <formula>0</formula>
    </cfRule>
  </conditionalFormatting>
  <conditionalFormatting sqref="I4250:J4254">
    <cfRule type="cellIs" dxfId="1" priority="1694" stopIfTrue="1" operator="greaterThan">
      <formula>0</formula>
    </cfRule>
  </conditionalFormatting>
  <conditionalFormatting sqref="I4265:J4269">
    <cfRule type="cellIs" dxfId="0" priority="1695" stopIfTrue="1" operator="lessThan">
      <formula>0</formula>
    </cfRule>
  </conditionalFormatting>
  <conditionalFormatting sqref="I4265:J4269">
    <cfRule type="cellIs" dxfId="1" priority="1696" stopIfTrue="1" operator="greaterThan">
      <formula>0</formula>
    </cfRule>
  </conditionalFormatting>
  <conditionalFormatting sqref="I4271:J4275">
    <cfRule type="cellIs" dxfId="0" priority="1697" stopIfTrue="1" operator="lessThan">
      <formula>0</formula>
    </cfRule>
  </conditionalFormatting>
  <conditionalFormatting sqref="I4271:J4275">
    <cfRule type="cellIs" dxfId="1" priority="1698" stopIfTrue="1" operator="greaterThan">
      <formula>0</formula>
    </cfRule>
  </conditionalFormatting>
  <conditionalFormatting sqref="I4281:J4285 I4286:I4293">
    <cfRule type="cellIs" dxfId="0" priority="1699" stopIfTrue="1" operator="lessThan">
      <formula>0</formula>
    </cfRule>
  </conditionalFormatting>
  <conditionalFormatting sqref="I4281:J4285 I4286:I4293">
    <cfRule type="cellIs" dxfId="1" priority="1700" stopIfTrue="1" operator="greaterThan">
      <formula>0</formula>
    </cfRule>
  </conditionalFormatting>
  <conditionalFormatting sqref="I4294:J4298">
    <cfRule type="cellIs" dxfId="0" priority="1701" stopIfTrue="1" operator="lessThan">
      <formula>0</formula>
    </cfRule>
  </conditionalFormatting>
  <conditionalFormatting sqref="I4294:J4298">
    <cfRule type="cellIs" dxfId="1" priority="1702" stopIfTrue="1" operator="greaterThan">
      <formula>0</formula>
    </cfRule>
  </conditionalFormatting>
  <conditionalFormatting sqref="J4286:J4293">
    <cfRule type="cellIs" dxfId="0" priority="1703" stopIfTrue="1" operator="lessThan">
      <formula>0</formula>
    </cfRule>
  </conditionalFormatting>
  <conditionalFormatting sqref="J4286:J4293">
    <cfRule type="cellIs" dxfId="1" priority="1704" stopIfTrue="1" operator="greaterThan">
      <formula>0</formula>
    </cfRule>
  </conditionalFormatting>
  <conditionalFormatting sqref="J4299:J4301">
    <cfRule type="cellIs" dxfId="0" priority="1705" stopIfTrue="1" operator="lessThan">
      <formula>0</formula>
    </cfRule>
  </conditionalFormatting>
  <conditionalFormatting sqref="J4299:J4301">
    <cfRule type="cellIs" dxfId="1" priority="1706" stopIfTrue="1" operator="greaterThan">
      <formula>0</formula>
    </cfRule>
  </conditionalFormatting>
  <conditionalFormatting sqref="I4302:J4306">
    <cfRule type="cellIs" dxfId="0" priority="1707" stopIfTrue="1" operator="lessThan">
      <formula>0</formula>
    </cfRule>
  </conditionalFormatting>
  <conditionalFormatting sqref="I4302:J4306">
    <cfRule type="cellIs" dxfId="1" priority="1708" stopIfTrue="1" operator="greaterThan">
      <formula>0</formula>
    </cfRule>
  </conditionalFormatting>
  <conditionalFormatting sqref="I4307:J4311">
    <cfRule type="cellIs" dxfId="0" priority="1709" stopIfTrue="1" operator="lessThan">
      <formula>0</formula>
    </cfRule>
  </conditionalFormatting>
  <conditionalFormatting sqref="I4307:J4311">
    <cfRule type="cellIs" dxfId="1" priority="1710" stopIfTrue="1" operator="greaterThan">
      <formula>0</formula>
    </cfRule>
  </conditionalFormatting>
  <conditionalFormatting sqref="I4312:J4316">
    <cfRule type="cellIs" dxfId="0" priority="1711" stopIfTrue="1" operator="lessThan">
      <formula>0</formula>
    </cfRule>
  </conditionalFormatting>
  <conditionalFormatting sqref="I4312:J4316">
    <cfRule type="cellIs" dxfId="1" priority="1712" stopIfTrue="1" operator="greaterThan">
      <formula>0</formula>
    </cfRule>
  </conditionalFormatting>
  <conditionalFormatting sqref="I4317:J4321">
    <cfRule type="cellIs" dxfId="0" priority="1713" stopIfTrue="1" operator="lessThan">
      <formula>0</formula>
    </cfRule>
  </conditionalFormatting>
  <conditionalFormatting sqref="I4317:J4321">
    <cfRule type="cellIs" dxfId="1" priority="1714" stopIfTrue="1" operator="greaterThan">
      <formula>0</formula>
    </cfRule>
  </conditionalFormatting>
  <conditionalFormatting sqref="I4322:J4326">
    <cfRule type="cellIs" dxfId="0" priority="1715" stopIfTrue="1" operator="lessThan">
      <formula>0</formula>
    </cfRule>
  </conditionalFormatting>
  <conditionalFormatting sqref="I4322:J4326">
    <cfRule type="cellIs" dxfId="1" priority="1716" stopIfTrue="1" operator="greaterThan">
      <formula>0</formula>
    </cfRule>
  </conditionalFormatting>
  <conditionalFormatting sqref="J4327:J4334">
    <cfRule type="cellIs" dxfId="0" priority="1717" stopIfTrue="1" operator="lessThan">
      <formula>0</formula>
    </cfRule>
  </conditionalFormatting>
  <conditionalFormatting sqref="J4327:J4334">
    <cfRule type="cellIs" dxfId="1" priority="1718" stopIfTrue="1" operator="greaterThan">
      <formula>0</formula>
    </cfRule>
  </conditionalFormatting>
  <conditionalFormatting sqref="I4335:J4339 I4350:I4351">
    <cfRule type="cellIs" dxfId="0" priority="1719" stopIfTrue="1" operator="lessThan">
      <formula>0</formula>
    </cfRule>
  </conditionalFormatting>
  <conditionalFormatting sqref="I4335:J4339 I4350:I4351">
    <cfRule type="cellIs" dxfId="1" priority="1720" stopIfTrue="1" operator="greaterThan">
      <formula>0</formula>
    </cfRule>
  </conditionalFormatting>
  <conditionalFormatting sqref="I4340:J4344">
    <cfRule type="cellIs" dxfId="0" priority="1721" stopIfTrue="1" operator="lessThan">
      <formula>0</formula>
    </cfRule>
  </conditionalFormatting>
  <conditionalFormatting sqref="I4340:J4344">
    <cfRule type="cellIs" dxfId="1" priority="1722" stopIfTrue="1" operator="greaterThan">
      <formula>0</formula>
    </cfRule>
  </conditionalFormatting>
  <conditionalFormatting sqref="I4345:J4349">
    <cfRule type="cellIs" dxfId="0" priority="1723" stopIfTrue="1" operator="lessThan">
      <formula>0</formula>
    </cfRule>
  </conditionalFormatting>
  <conditionalFormatting sqref="I4345:J4349">
    <cfRule type="cellIs" dxfId="1" priority="1724" stopIfTrue="1" operator="greaterThan">
      <formula>0</formula>
    </cfRule>
  </conditionalFormatting>
  <conditionalFormatting sqref="J4350:J4351">
    <cfRule type="cellIs" dxfId="0" priority="1725" stopIfTrue="1" operator="lessThan">
      <formula>0</formula>
    </cfRule>
  </conditionalFormatting>
  <conditionalFormatting sqref="J4350:J4351">
    <cfRule type="cellIs" dxfId="1" priority="1726" stopIfTrue="1" operator="greaterThan">
      <formula>0</formula>
    </cfRule>
  </conditionalFormatting>
  <conditionalFormatting sqref="I4352:J4356">
    <cfRule type="cellIs" dxfId="0" priority="1727" stopIfTrue="1" operator="lessThan">
      <formula>0</formula>
    </cfRule>
  </conditionalFormatting>
  <conditionalFormatting sqref="I4352:J4356">
    <cfRule type="cellIs" dxfId="1" priority="1728" stopIfTrue="1" operator="greaterThan">
      <formula>0</formula>
    </cfRule>
  </conditionalFormatting>
  <conditionalFormatting sqref="I4357:J4361">
    <cfRule type="cellIs" dxfId="0" priority="1729" stopIfTrue="1" operator="lessThan">
      <formula>0</formula>
    </cfRule>
  </conditionalFormatting>
  <conditionalFormatting sqref="I4357:J4361">
    <cfRule type="cellIs" dxfId="1" priority="1730" stopIfTrue="1" operator="greaterThan">
      <formula>0</formula>
    </cfRule>
  </conditionalFormatting>
  <conditionalFormatting sqref="I4362:J4366">
    <cfRule type="cellIs" dxfId="0" priority="1731" stopIfTrue="1" operator="lessThan">
      <formula>0</formula>
    </cfRule>
  </conditionalFormatting>
  <conditionalFormatting sqref="I4362:J4366">
    <cfRule type="cellIs" dxfId="1" priority="1732" stopIfTrue="1" operator="greaterThan">
      <formula>0</formula>
    </cfRule>
  </conditionalFormatting>
  <conditionalFormatting sqref="I4367:J4371">
    <cfRule type="cellIs" dxfId="0" priority="1733" stopIfTrue="1" operator="lessThan">
      <formula>0</formula>
    </cfRule>
  </conditionalFormatting>
  <conditionalFormatting sqref="I4367:J4371">
    <cfRule type="cellIs" dxfId="1" priority="1734" stopIfTrue="1" operator="greaterThan">
      <formula>0</formula>
    </cfRule>
  </conditionalFormatting>
  <conditionalFormatting sqref="J4372:J4378">
    <cfRule type="cellIs" dxfId="0" priority="1735" stopIfTrue="1" operator="lessThan">
      <formula>0</formula>
    </cfRule>
  </conditionalFormatting>
  <conditionalFormatting sqref="J4372:J4378">
    <cfRule type="cellIs" dxfId="1" priority="1736" stopIfTrue="1" operator="greaterThan">
      <formula>0</formula>
    </cfRule>
  </conditionalFormatting>
  <conditionalFormatting sqref="I4379:J4383">
    <cfRule type="cellIs" dxfId="0" priority="1737" stopIfTrue="1" operator="lessThan">
      <formula>0</formula>
    </cfRule>
  </conditionalFormatting>
  <conditionalFormatting sqref="I4379:J4383">
    <cfRule type="cellIs" dxfId="1" priority="1738" stopIfTrue="1" operator="greaterThan">
      <formula>0</formula>
    </cfRule>
  </conditionalFormatting>
  <conditionalFormatting sqref="I4384:J4388">
    <cfRule type="cellIs" dxfId="0" priority="1739" stopIfTrue="1" operator="lessThan">
      <formula>0</formula>
    </cfRule>
  </conditionalFormatting>
  <conditionalFormatting sqref="I4384:J4388">
    <cfRule type="cellIs" dxfId="1" priority="1740" stopIfTrue="1" operator="greaterThan">
      <formula>0</formula>
    </cfRule>
  </conditionalFormatting>
  <conditionalFormatting sqref="I4389:J4393">
    <cfRule type="cellIs" dxfId="0" priority="1741" stopIfTrue="1" operator="lessThan">
      <formula>0</formula>
    </cfRule>
  </conditionalFormatting>
  <conditionalFormatting sqref="I4389:J4393">
    <cfRule type="cellIs" dxfId="1" priority="1742" stopIfTrue="1" operator="greaterThan">
      <formula>0</formula>
    </cfRule>
  </conditionalFormatting>
  <conditionalFormatting sqref="I4394:J4398">
    <cfRule type="cellIs" dxfId="0" priority="1743" stopIfTrue="1" operator="lessThan">
      <formula>0</formula>
    </cfRule>
  </conditionalFormatting>
  <conditionalFormatting sqref="I4394:J4398">
    <cfRule type="cellIs" dxfId="1" priority="1744" stopIfTrue="1" operator="greaterThan">
      <formula>0</formula>
    </cfRule>
  </conditionalFormatting>
  <conditionalFormatting sqref="J4399">
    <cfRule type="cellIs" dxfId="0" priority="1745" stopIfTrue="1" operator="lessThan">
      <formula>0</formula>
    </cfRule>
  </conditionalFormatting>
  <conditionalFormatting sqref="J4399">
    <cfRule type="cellIs" dxfId="1" priority="1746" stopIfTrue="1" operator="greaterThan">
      <formula>0</formula>
    </cfRule>
  </conditionalFormatting>
  <conditionalFormatting sqref="I4400:J4404">
    <cfRule type="cellIs" dxfId="0" priority="1747" stopIfTrue="1" operator="lessThan">
      <formula>0</formula>
    </cfRule>
  </conditionalFormatting>
  <conditionalFormatting sqref="I4400:J4404">
    <cfRule type="cellIs" dxfId="1" priority="1748" stopIfTrue="1" operator="greaterThan">
      <formula>0</formula>
    </cfRule>
  </conditionalFormatting>
  <conditionalFormatting sqref="I4405:J4409">
    <cfRule type="cellIs" dxfId="0" priority="1749" stopIfTrue="1" operator="lessThan">
      <formula>0</formula>
    </cfRule>
  </conditionalFormatting>
  <conditionalFormatting sqref="I4405:J4409">
    <cfRule type="cellIs" dxfId="1" priority="1750" stopIfTrue="1" operator="greaterThan">
      <formula>0</formula>
    </cfRule>
  </conditionalFormatting>
  <conditionalFormatting sqref="J4410:J4417">
    <cfRule type="cellIs" dxfId="0" priority="1751" stopIfTrue="1" operator="lessThan">
      <formula>0</formula>
    </cfRule>
  </conditionalFormatting>
  <conditionalFormatting sqref="J4410:J4417">
    <cfRule type="cellIs" dxfId="1" priority="1752" stopIfTrue="1" operator="greaterThan">
      <formula>0</formula>
    </cfRule>
  </conditionalFormatting>
  <conditionalFormatting sqref="I4418:J4422">
    <cfRule type="cellIs" dxfId="0" priority="1753" stopIfTrue="1" operator="lessThan">
      <formula>0</formula>
    </cfRule>
  </conditionalFormatting>
  <conditionalFormatting sqref="I4418:J4422">
    <cfRule type="cellIs" dxfId="1" priority="1754" stopIfTrue="1" operator="greaterThan">
      <formula>0</formula>
    </cfRule>
  </conditionalFormatting>
  <conditionalFormatting sqref="I4428:J4432">
    <cfRule type="cellIs" dxfId="0" priority="1755" stopIfTrue="1" operator="lessThan">
      <formula>0</formula>
    </cfRule>
  </conditionalFormatting>
  <conditionalFormatting sqref="I4428:J4432">
    <cfRule type="cellIs" dxfId="1" priority="1756" stopIfTrue="1" operator="greaterThan">
      <formula>0</formula>
    </cfRule>
  </conditionalFormatting>
  <conditionalFormatting sqref="J4423:J4427">
    <cfRule type="cellIs" dxfId="0" priority="1757" stopIfTrue="1" operator="lessThan">
      <formula>0</formula>
    </cfRule>
  </conditionalFormatting>
  <conditionalFormatting sqref="J4423:J4427">
    <cfRule type="cellIs" dxfId="1" priority="1758" stopIfTrue="1" operator="greaterThan">
      <formula>0</formula>
    </cfRule>
  </conditionalFormatting>
  <conditionalFormatting sqref="J4433:J4443">
    <cfRule type="cellIs" dxfId="0" priority="1759" stopIfTrue="1" operator="lessThan">
      <formula>0</formula>
    </cfRule>
  </conditionalFormatting>
  <conditionalFormatting sqref="J4433:J4443">
    <cfRule type="cellIs" dxfId="1" priority="1760" stopIfTrue="1" operator="greaterThan">
      <formula>0</formula>
    </cfRule>
  </conditionalFormatting>
  <conditionalFormatting sqref="L4444:L4448">
    <cfRule type="cellIs" dxfId="0" priority="1761" stopIfTrue="1" operator="lessThan">
      <formula>0</formula>
    </cfRule>
  </conditionalFormatting>
  <conditionalFormatting sqref="L4444:L4448">
    <cfRule type="cellIs" dxfId="1" priority="1762" stopIfTrue="1" operator="greaterThan">
      <formula>0</formula>
    </cfRule>
  </conditionalFormatting>
  <conditionalFormatting sqref="I4444:J4448">
    <cfRule type="cellIs" dxfId="0" priority="1763" stopIfTrue="1" operator="lessThan">
      <formula>0</formula>
    </cfRule>
  </conditionalFormatting>
  <conditionalFormatting sqref="I4444:J4448">
    <cfRule type="cellIs" dxfId="1" priority="1764" stopIfTrue="1" operator="greaterThan">
      <formula>0</formula>
    </cfRule>
  </conditionalFormatting>
  <conditionalFormatting sqref="J4449:J4452">
    <cfRule type="cellIs" dxfId="0" priority="1765" stopIfTrue="1" operator="lessThan">
      <formula>0</formula>
    </cfRule>
  </conditionalFormatting>
  <conditionalFormatting sqref="J4449:J4452">
    <cfRule type="cellIs" dxfId="1" priority="1766" stopIfTrue="1" operator="greaterThan">
      <formula>0</formula>
    </cfRule>
  </conditionalFormatting>
  <conditionalFormatting sqref="I4453:J4457">
    <cfRule type="cellIs" dxfId="0" priority="1767" stopIfTrue="1" operator="lessThan">
      <formula>0</formula>
    </cfRule>
  </conditionalFormatting>
  <conditionalFormatting sqref="I4453:J4457">
    <cfRule type="cellIs" dxfId="1" priority="1768" stopIfTrue="1" operator="greaterThan">
      <formula>0</formula>
    </cfRule>
  </conditionalFormatting>
  <conditionalFormatting sqref="J4458:J4460">
    <cfRule type="cellIs" dxfId="0" priority="1769" stopIfTrue="1" operator="lessThan">
      <formula>0</formula>
    </cfRule>
  </conditionalFormatting>
  <conditionalFormatting sqref="J4458:J4460">
    <cfRule type="cellIs" dxfId="1" priority="1770" stopIfTrue="1" operator="greaterThan">
      <formula>0</formula>
    </cfRule>
  </conditionalFormatting>
  <conditionalFormatting sqref="I4461:J4465">
    <cfRule type="cellIs" dxfId="0" priority="1771" stopIfTrue="1" operator="lessThan">
      <formula>0</formula>
    </cfRule>
  </conditionalFormatting>
  <conditionalFormatting sqref="I4461:J4465">
    <cfRule type="cellIs" dxfId="1" priority="1772" stopIfTrue="1" operator="greaterThan">
      <formula>0</formula>
    </cfRule>
  </conditionalFormatting>
  <conditionalFormatting sqref="J4466:J4476">
    <cfRule type="cellIs" dxfId="0" priority="1773" stopIfTrue="1" operator="lessThan">
      <formula>0</formula>
    </cfRule>
  </conditionalFormatting>
  <conditionalFormatting sqref="J4466:J4476">
    <cfRule type="cellIs" dxfId="1" priority="1774" stopIfTrue="1" operator="greaterThan">
      <formula>0</formula>
    </cfRule>
  </conditionalFormatting>
  <conditionalFormatting sqref="I4477:J4481">
    <cfRule type="cellIs" dxfId="0" priority="1775" stopIfTrue="1" operator="lessThan">
      <formula>0</formula>
    </cfRule>
  </conditionalFormatting>
  <conditionalFormatting sqref="I4477:J4481">
    <cfRule type="cellIs" dxfId="1" priority="1776" stopIfTrue="1" operator="greaterThan">
      <formula>0</formula>
    </cfRule>
  </conditionalFormatting>
  <conditionalFormatting sqref="J4482:J4493">
    <cfRule type="cellIs" dxfId="0" priority="1777" stopIfTrue="1" operator="lessThan">
      <formula>0</formula>
    </cfRule>
  </conditionalFormatting>
  <conditionalFormatting sqref="J4482:J4493">
    <cfRule type="cellIs" dxfId="1" priority="1778" stopIfTrue="1" operator="greaterThan">
      <formula>0</formula>
    </cfRule>
  </conditionalFormatting>
  <conditionalFormatting sqref="I4494:J4498">
    <cfRule type="cellIs" dxfId="0" priority="1779" stopIfTrue="1" operator="lessThan">
      <formula>0</formula>
    </cfRule>
  </conditionalFormatting>
  <conditionalFormatting sqref="I4494:J4498">
    <cfRule type="cellIs" dxfId="1" priority="1780" stopIfTrue="1" operator="greaterThan">
      <formula>0</formula>
    </cfRule>
  </conditionalFormatting>
  <conditionalFormatting sqref="J4499:J4507">
    <cfRule type="cellIs" dxfId="0" priority="1781" stopIfTrue="1" operator="lessThan">
      <formula>0</formula>
    </cfRule>
  </conditionalFormatting>
  <conditionalFormatting sqref="J4499:J4507">
    <cfRule type="cellIs" dxfId="1" priority="1782" stopIfTrue="1" operator="greaterThan">
      <formula>0</formula>
    </cfRule>
  </conditionalFormatting>
  <conditionalFormatting sqref="I4508:J4512">
    <cfRule type="cellIs" dxfId="0" priority="1783" stopIfTrue="1" operator="lessThan">
      <formula>0</formula>
    </cfRule>
  </conditionalFormatting>
  <conditionalFormatting sqref="I4508:J4512">
    <cfRule type="cellIs" dxfId="1" priority="1784" stopIfTrue="1" operator="greaterThan">
      <formula>0</formula>
    </cfRule>
  </conditionalFormatting>
  <conditionalFormatting sqref="J4513:J4521">
    <cfRule type="cellIs" dxfId="0" priority="1785" stopIfTrue="1" operator="lessThan">
      <formula>0</formula>
    </cfRule>
  </conditionalFormatting>
  <conditionalFormatting sqref="J4513:J4521">
    <cfRule type="cellIs" dxfId="1" priority="1786" stopIfTrue="1" operator="greaterThan">
      <formula>0</formula>
    </cfRule>
  </conditionalFormatting>
  <conditionalFormatting sqref="I4522:J4526">
    <cfRule type="cellIs" dxfId="0" priority="1787" stopIfTrue="1" operator="lessThan">
      <formula>0</formula>
    </cfRule>
  </conditionalFormatting>
  <conditionalFormatting sqref="I4522:J4526">
    <cfRule type="cellIs" dxfId="1" priority="1788" stopIfTrue="1" operator="greaterThan">
      <formula>0</formula>
    </cfRule>
  </conditionalFormatting>
  <conditionalFormatting sqref="J4527:J4529">
    <cfRule type="cellIs" dxfId="0" priority="1789" stopIfTrue="1" operator="lessThan">
      <formula>0</formula>
    </cfRule>
  </conditionalFormatting>
  <conditionalFormatting sqref="J4527:J4529">
    <cfRule type="cellIs" dxfId="1" priority="1790" stopIfTrue="1" operator="greaterThan">
      <formula>0</formula>
    </cfRule>
  </conditionalFormatting>
  <conditionalFormatting sqref="I4530:J4534">
    <cfRule type="cellIs" dxfId="0" priority="1791" stopIfTrue="1" operator="lessThan">
      <formula>0</formula>
    </cfRule>
  </conditionalFormatting>
  <conditionalFormatting sqref="I4530:J4534">
    <cfRule type="cellIs" dxfId="1" priority="1792" stopIfTrue="1" operator="greaterThan">
      <formula>0</formula>
    </cfRule>
  </conditionalFormatting>
  <conditionalFormatting sqref="J4535:J4544">
    <cfRule type="cellIs" dxfId="0" priority="1793" stopIfTrue="1" operator="lessThan">
      <formula>0</formula>
    </cfRule>
  </conditionalFormatting>
  <conditionalFormatting sqref="J4535:J4544">
    <cfRule type="cellIs" dxfId="1" priority="1794" stopIfTrue="1" operator="greaterThan">
      <formula>0</formula>
    </cfRule>
  </conditionalFormatting>
  <conditionalFormatting sqref="I4545:J4549">
    <cfRule type="cellIs" dxfId="0" priority="1795" stopIfTrue="1" operator="lessThan">
      <formula>0</formula>
    </cfRule>
  </conditionalFormatting>
  <conditionalFormatting sqref="I4545:J4549">
    <cfRule type="cellIs" dxfId="1" priority="1796" stopIfTrue="1" operator="greaterThan">
      <formula>0</formula>
    </cfRule>
  </conditionalFormatting>
  <conditionalFormatting sqref="J4550:J4553">
    <cfRule type="cellIs" dxfId="0" priority="1797" stopIfTrue="1" operator="lessThan">
      <formula>0</formula>
    </cfRule>
  </conditionalFormatting>
  <conditionalFormatting sqref="J4550:J4553">
    <cfRule type="cellIs" dxfId="1" priority="1798" stopIfTrue="1" operator="greaterThan">
      <formula>0</formula>
    </cfRule>
  </conditionalFormatting>
  <conditionalFormatting sqref="I4554:J4558">
    <cfRule type="cellIs" dxfId="0" priority="1799" stopIfTrue="1" operator="lessThan">
      <formula>0</formula>
    </cfRule>
  </conditionalFormatting>
  <conditionalFormatting sqref="I4554:J4558">
    <cfRule type="cellIs" dxfId="1" priority="1800" stopIfTrue="1" operator="greaterThan">
      <formula>0</formula>
    </cfRule>
  </conditionalFormatting>
  <conditionalFormatting sqref="J4559:J4563">
    <cfRule type="cellIs" dxfId="0" priority="1801" stopIfTrue="1" operator="lessThan">
      <formula>0</formula>
    </cfRule>
  </conditionalFormatting>
  <conditionalFormatting sqref="J4559:J4563">
    <cfRule type="cellIs" dxfId="1" priority="1802" stopIfTrue="1" operator="greaterThan">
      <formula>0</formula>
    </cfRule>
  </conditionalFormatting>
  <conditionalFormatting sqref="I4564:J4568">
    <cfRule type="cellIs" dxfId="0" priority="1803" stopIfTrue="1" operator="lessThan">
      <formula>0</formula>
    </cfRule>
  </conditionalFormatting>
  <conditionalFormatting sqref="I4564:J4568">
    <cfRule type="cellIs" dxfId="1" priority="1804" stopIfTrue="1" operator="greaterThan">
      <formula>0</formula>
    </cfRule>
  </conditionalFormatting>
  <conditionalFormatting sqref="J4569">
    <cfRule type="cellIs" dxfId="0" priority="1805" stopIfTrue="1" operator="lessThan">
      <formula>0</formula>
    </cfRule>
  </conditionalFormatting>
  <conditionalFormatting sqref="J4569">
    <cfRule type="cellIs" dxfId="1" priority="1806" stopIfTrue="1" operator="greaterThan">
      <formula>0</formula>
    </cfRule>
  </conditionalFormatting>
  <conditionalFormatting sqref="I4570:J4574">
    <cfRule type="cellIs" dxfId="0" priority="1807" stopIfTrue="1" operator="lessThan">
      <formula>0</formula>
    </cfRule>
  </conditionalFormatting>
  <conditionalFormatting sqref="I4570:J4574">
    <cfRule type="cellIs" dxfId="1" priority="1808" stopIfTrue="1" operator="greaterThan">
      <formula>0</formula>
    </cfRule>
  </conditionalFormatting>
  <conditionalFormatting sqref="J4575:J4583">
    <cfRule type="cellIs" dxfId="0" priority="1809" stopIfTrue="1" operator="lessThan">
      <formula>0</formula>
    </cfRule>
  </conditionalFormatting>
  <conditionalFormatting sqref="J4575:J4583">
    <cfRule type="cellIs" dxfId="1" priority="1810" stopIfTrue="1" operator="greaterThan">
      <formula>0</formula>
    </cfRule>
  </conditionalFormatting>
  <conditionalFormatting sqref="I4584:J4588">
    <cfRule type="cellIs" dxfId="0" priority="1811" stopIfTrue="1" operator="lessThan">
      <formula>0</formula>
    </cfRule>
  </conditionalFormatting>
  <conditionalFormatting sqref="I4584:J4588">
    <cfRule type="cellIs" dxfId="1" priority="1812" stopIfTrue="1" operator="greaterThan">
      <formula>0</formula>
    </cfRule>
  </conditionalFormatting>
  <conditionalFormatting sqref="I4589:J4593">
    <cfRule type="cellIs" dxfId="0" priority="1813" stopIfTrue="1" operator="lessThan">
      <formula>0</formula>
    </cfRule>
  </conditionalFormatting>
  <conditionalFormatting sqref="I4589:J4593">
    <cfRule type="cellIs" dxfId="1" priority="1814" stopIfTrue="1" operator="greaterThan">
      <formula>0</formula>
    </cfRule>
  </conditionalFormatting>
  <conditionalFormatting sqref="I4594:J4598">
    <cfRule type="cellIs" dxfId="0" priority="1815" stopIfTrue="1" operator="lessThan">
      <formula>0</formula>
    </cfRule>
  </conditionalFormatting>
  <conditionalFormatting sqref="I4594:J4598">
    <cfRule type="cellIs" dxfId="1" priority="1816" stopIfTrue="1" operator="greaterThan">
      <formula>0</formula>
    </cfRule>
  </conditionalFormatting>
  <conditionalFormatting sqref="J4599:J4615">
    <cfRule type="cellIs" dxfId="0" priority="1817" stopIfTrue="1" operator="lessThan">
      <formula>0</formula>
    </cfRule>
  </conditionalFormatting>
  <conditionalFormatting sqref="J4599:J4615">
    <cfRule type="cellIs" dxfId="1" priority="1818" stopIfTrue="1" operator="greaterThan">
      <formula>0</formula>
    </cfRule>
  </conditionalFormatting>
  <conditionalFormatting sqref="I4616:J4620">
    <cfRule type="cellIs" dxfId="0" priority="1819" stopIfTrue="1" operator="lessThan">
      <formula>0</formula>
    </cfRule>
  </conditionalFormatting>
  <conditionalFormatting sqref="I4616:J4620">
    <cfRule type="cellIs" dxfId="1" priority="1820" stopIfTrue="1" operator="greaterThan">
      <formula>0</formula>
    </cfRule>
  </conditionalFormatting>
  <conditionalFormatting sqref="I4621:J4625">
    <cfRule type="cellIs" dxfId="0" priority="1821" stopIfTrue="1" operator="lessThan">
      <formula>0</formula>
    </cfRule>
  </conditionalFormatting>
  <conditionalFormatting sqref="I4621:J4625">
    <cfRule type="cellIs" dxfId="1" priority="1822" stopIfTrue="1" operator="greaterThan">
      <formula>0</formula>
    </cfRule>
  </conditionalFormatting>
  <conditionalFormatting sqref="J4626:J4627">
    <cfRule type="cellIs" dxfId="0" priority="1823" stopIfTrue="1" operator="lessThan">
      <formula>0</formula>
    </cfRule>
  </conditionalFormatting>
  <conditionalFormatting sqref="J4626:J4627">
    <cfRule type="cellIs" dxfId="1" priority="1824" stopIfTrue="1" operator="greaterThan">
      <formula>0</formula>
    </cfRule>
  </conditionalFormatting>
  <conditionalFormatting sqref="I4628:J4632">
    <cfRule type="cellIs" dxfId="0" priority="1825" stopIfTrue="1" operator="lessThan">
      <formula>0</formula>
    </cfRule>
  </conditionalFormatting>
  <conditionalFormatting sqref="I4628:J4632">
    <cfRule type="cellIs" dxfId="1" priority="1826" stopIfTrue="1" operator="greaterThan">
      <formula>0</formula>
    </cfRule>
  </conditionalFormatting>
  <conditionalFormatting sqref="J4633:J4637">
    <cfRule type="cellIs" dxfId="0" priority="1827" stopIfTrue="1" operator="lessThan">
      <formula>0</formula>
    </cfRule>
  </conditionalFormatting>
  <conditionalFormatting sqref="J4633:J4637">
    <cfRule type="cellIs" dxfId="1" priority="1828" stopIfTrue="1" operator="greaterThan">
      <formula>0</formula>
    </cfRule>
  </conditionalFormatting>
  <conditionalFormatting sqref="I4638:J4642">
    <cfRule type="cellIs" dxfId="0" priority="1829" stopIfTrue="1" operator="lessThan">
      <formula>0</formula>
    </cfRule>
  </conditionalFormatting>
  <conditionalFormatting sqref="I4638:J4642">
    <cfRule type="cellIs" dxfId="1" priority="1830" stopIfTrue="1" operator="greaterThan">
      <formula>0</formula>
    </cfRule>
  </conditionalFormatting>
  <conditionalFormatting sqref="J4643:J4649">
    <cfRule type="cellIs" dxfId="0" priority="1831" stopIfTrue="1" operator="lessThan">
      <formula>0</formula>
    </cfRule>
  </conditionalFormatting>
  <conditionalFormatting sqref="J4643:J4649">
    <cfRule type="cellIs" dxfId="1" priority="1832" stopIfTrue="1" operator="greaterThan">
      <formula>0</formula>
    </cfRule>
  </conditionalFormatting>
  <conditionalFormatting sqref="I4650:J4654">
    <cfRule type="cellIs" dxfId="0" priority="1833" stopIfTrue="1" operator="lessThan">
      <formula>0</formula>
    </cfRule>
  </conditionalFormatting>
  <conditionalFormatting sqref="I4650:J4654">
    <cfRule type="cellIs" dxfId="1" priority="1834" stopIfTrue="1" operator="greaterThan">
      <formula>0</formula>
    </cfRule>
  </conditionalFormatting>
  <conditionalFormatting sqref="J4655:J4657">
    <cfRule type="cellIs" dxfId="0" priority="1835" stopIfTrue="1" operator="lessThan">
      <formula>0</formula>
    </cfRule>
  </conditionalFormatting>
  <conditionalFormatting sqref="J4655:J4657">
    <cfRule type="cellIs" dxfId="1" priority="1836" stopIfTrue="1" operator="greaterThan">
      <formula>0</formula>
    </cfRule>
  </conditionalFormatting>
  <conditionalFormatting sqref="I4658:J4662">
    <cfRule type="cellIs" dxfId="0" priority="1837" stopIfTrue="1" operator="lessThan">
      <formula>0</formula>
    </cfRule>
  </conditionalFormatting>
  <conditionalFormatting sqref="I4658:J4662">
    <cfRule type="cellIs" dxfId="1" priority="1838" stopIfTrue="1" operator="greaterThan">
      <formula>0</formula>
    </cfRule>
  </conditionalFormatting>
  <conditionalFormatting sqref="J4663:J4664">
    <cfRule type="cellIs" dxfId="0" priority="1839" stopIfTrue="1" operator="lessThan">
      <formula>0</formula>
    </cfRule>
  </conditionalFormatting>
  <conditionalFormatting sqref="J4663:J4664">
    <cfRule type="cellIs" dxfId="1" priority="1840" stopIfTrue="1" operator="greaterThan">
      <formula>0</formula>
    </cfRule>
  </conditionalFormatting>
  <conditionalFormatting sqref="I4665:J4669">
    <cfRule type="cellIs" dxfId="0" priority="1841" stopIfTrue="1" operator="lessThan">
      <formula>0</formula>
    </cfRule>
  </conditionalFormatting>
  <conditionalFormatting sqref="I4665:J4669">
    <cfRule type="cellIs" dxfId="1" priority="1842" stopIfTrue="1" operator="greaterThan">
      <formula>0</formula>
    </cfRule>
  </conditionalFormatting>
  <conditionalFormatting sqref="J4670:J4681">
    <cfRule type="cellIs" dxfId="0" priority="1843" stopIfTrue="1" operator="lessThan">
      <formula>0</formula>
    </cfRule>
  </conditionalFormatting>
  <conditionalFormatting sqref="J4670:J4681">
    <cfRule type="cellIs" dxfId="1" priority="1844" stopIfTrue="1" operator="greaterThan">
      <formula>0</formula>
    </cfRule>
  </conditionalFormatting>
  <conditionalFormatting sqref="I4682:J4686">
    <cfRule type="cellIs" dxfId="0" priority="1845" stopIfTrue="1" operator="lessThan">
      <formula>0</formula>
    </cfRule>
  </conditionalFormatting>
  <conditionalFormatting sqref="I4682:J4686">
    <cfRule type="cellIs" dxfId="1" priority="1846" stopIfTrue="1" operator="greaterThan">
      <formula>0</formula>
    </cfRule>
  </conditionalFormatting>
  <conditionalFormatting sqref="J4687:J4694">
    <cfRule type="cellIs" dxfId="0" priority="1847" stopIfTrue="1" operator="lessThan">
      <formula>0</formula>
    </cfRule>
  </conditionalFormatting>
  <conditionalFormatting sqref="J4687:J4694">
    <cfRule type="cellIs" dxfId="1" priority="1848" stopIfTrue="1" operator="greaterThan">
      <formula>0</formula>
    </cfRule>
  </conditionalFormatting>
  <conditionalFormatting sqref="I4695:I4701 J4695:J4699 I4717:I4718 I4724 I4730:I4741 I4752:I4755 I4761:I4766 I4798:I4804 J4801:J4804 I4820:J4822 I4828:J4832 I4859 I4870:I4872 I4888 I4899:I4921 I4937:I4938 I4949:I4950 I4961 I4972 I4985 I5015:I5031 J5029:J5031 I5042:J5051 I5081:I5085 I5091:I5100 I5106:I5111 I5117:J5126 J5131:J5139 I5139 J5144:J5152 I5152 I5157:J5157 J5162:J5163 I5163 J5168:J5173 I5173 J5178:J5184 I5184 J5189:J5190 I5190 I5195:J5195 J5200:J5202 I5202 I5207:J5207 J5212:J5214 I5214 J5219:J5222 I5222 J5227:J5229 I5229 J5234:J5235 I5235 J5240:J5247 I5247 J5252:J5255 I5255 J5260:J5261 I5261 J5266:J5275 I5275 J5280:J5283 I5283 J5288:J5293 I5293 J5298:J5305 I5305 J5310:J5315 I5315 J5320:J5326 I5326 J5331:J5333 I5333 J5338:J5341 I5341 I5346:J5346 J5351:J5366 I5366 I5371:J5371 J5376:J5388 I5388 J5393:J5395 I5395 J5400:J5425 I5425 J5430:J5444 I5444 J5449:J5455 I5455 J5460:J5464 I5464 J5469:J5474 I5474 I5479:J5479 J5484:J5512 I5512 I5517:J5517 J5522:J5526 I5526 J5531:J5543 I5543 J5548:J5563 I5563 J5568:J5583 I5583 J5588:J5590 I5590 J5595:J5631 I5631 J5636:J5646 I5646 J5651:J5658 I5658 J5663:J5674 I5674 J5679:J5698 I5698 J5703:J5718 I5718 J5723:J5731 I5731 J5736:J5743 I5743 J5748:J5763 I5763 J5768:J5791 I5791 J5796:J5811 I5811 J5816:J5852 I5852 J5857:J5868 I5868 J5873:J5880 I5880 J5885:J5889 I5889 J5894:J5904 I5904 J5909:J5939 I5939 J5944:J5962 I5962 J5967:J5969 I5969 J5974:J5996 I5996 J6001:J6005 I6005 J6015:J6029 J6035:J6046 J6052:J6057 J6063:J6064 J6070:J6077 J6083:J6098 J6104:J6112 J6118:J6122 J6128:J6130 J6136 J6142:J6147 J6153:J6158 J6164:J6172 J6178:J6192 J6198:J6227 J6233:J6242 J6248:J6263 J6269:J6343 J6349:J6382 J6388:J6410 J6416:J6426 J6432:J6478 J6484:J6492 J6498:J6525 J6531:J6542 J6548 J6554:J6564 J6570:J6576 J6582:J6583 J6589:J6592 J6598:J6615 J6621:J6654 J6660:J6675 J6681 J6687 J6693:J6696 J6702 J6708:J6711 J6717:J6727 J6733:J6741 J6747 J6753:J6768 J6774:J6779 J6785:J6786 J6792:J6798 J6804:J6809 J6815:J6821 J6827:J6829 J6835:J6850 J6856:J6863 J6869:J6887 J6893:J6920 J6926:J6928 J6934:J6962 J6968:J7744 J7750:J7758 J7764:J7773 J7779:J7789 J7795:J7818 J7824:J7832 J7838:J7874 J7880:J7890 J7896 J7902:J7903 J7909:J7915 J7921:J7947 J7953:J7957 J7963:J7971 J7977:J7983 J7989:J7990 J7996:J8000 J8006:J8012 J8018 J8024:J8032 J8038 J8044:J8047 J8053:J8054 J8060:J8073 J8079:J8094 J8100:J8117 J8123:J8140 J8146:J8176 J8182:J8205 J8211:J8214 J8220:J8250 J8256:J8274 J8280:J8305 J8311:J8326 J8332:J8344 J8350:J8392 J8398:J8424 J8430:J8483 J8489:J8497 J8503:J8507 J8513:J8538 J8544:J8571 J8577:J8598 J8604:J8607 J8613:J8623 J8629:J8665 J8671:J8672 J8678:J8709 J8715:J8717 J8723:J8782 J8788:J8789 J8795:J8821 J8827:J8862 J8868:J8920 J8926:J8927 J8933:J8949 J8955:J8990 J8996:J9012 J9018:J9036 J9042:J9057 J9063:J9080 J9086:J9101 J9107:J9128 J9134:J9168 J9174:J9184 J9190 J9196 J9202:J9206 J9212:J9216 J9222:J9242 J9248:J9259 J9265:J9271 J9277 J9283:J9284 J9290:J9291 J9297 J9303:J9305 J9311:J9313 J9319:J9324 J9330:J9332 J9343:J9348 J9354:J9358 J9364:J9367 J9373:J9383 J9389:J9391 J9397 J9403:J9409 J9415:J9416 J9422:J9430 J9436:J9438 J9454:J9457 J9463:J9466 J9471 J9476 J9481 J9486:J9490 J9495 J9500 J9505 J9510 J9515 J9520:J9563 J9568 J9573:J9579 J9584 J9589 J9594 J9599 J9604 J9609:J9611 J9616 J9621:J9622 J9627:J9628 J9633 J9638 J9643:J9653 J9658 J9663:J9665 J9670 J9675:J9676 J9681 J9686:J9688 J9693 J9698:J9699 J9704:J9710 J9715:J9717 J9722 J9727 J9732 J9737:J9739 J9744:J9746 J9751:J9752 J9757 J9762 J9767 J9772 J9777:J9780 J9785 J9790:J9797 J9802:J9805 J9810 J9815:J9821 J9826:J9830 J9835:J9839 J9844 J9849:J9852 J9857 J9862 J9867 J9872 J9877:J9945 J9951 J9957 J9973:J9980 J9986:J9990 J10011:J10014 J10020:J10029 J10045:J10046 J10052:J10055 J10081:J10082 J10088:J10091 J10112:J10115 J10131 J10187 J10203:J10204 J10220 J10246 J10267:J10273 J10284:J10291 J10297 J10313:J10314 J10325:J10329 J10335 J10346:J10350 J10356:J10357 J10373:J10375 J10391:J10392 J10403:J10404 J10425:J10426 J10437:J10438 J10449:J10450 J10461:J10462 J10468 J10494 J10500 J10506 J10512:J10516 J10522:J10523 J10544:J10548 J10554:J10558 J10564:J10565 J10576 J10582:J10595 J10601 J10607:J10608 J10624:J10628 J10634:J10637 J10643 J10649:J10658 J10664:J10671 J10677:J10683 J10694:J10696 J10702:J10705 J10711:J10717 J10728:J10734 J10740 J10746 J10752 J10768:J10770 J10786:J10788 J10799:J10807 J10815 J10817:J10818 J10829:J10838 J10849:J10852 J10858:J10877 J10883:J10887 J10893:J10902 J10908:J10914 J10925 J10956:J10959 J10965:J10968 J10984:J10997 J11008:J11015 J11021:J11022 J11033:J11042 J11048:J11058 J11069:J11071 J11077:J11078 J11084:J11086 J11092:J11094 J11100:J11101 J11107:J11113 J11119:J11139 J11150:J11152 J11158:J11161 J11167:J11177 J11183 J11189 J11195:J11202 J11213:J11227 J11233:J11242 J11248 J11259:J11261 J11267 J11273:J11276 J11282:J11293 J11299:J11313 J11319:J11323 J11344:J11348 J11354:J11355 J11366:J11371 J11412:J11417 J11433:J11434 J11440:J11443 J11449:J11450 J11456 J11462:J11467 J11473:J11475 J11491 J11502:J11504 J11510:J11512 J11518 J11524:J11538 J11544 J11550:J11554 J11560:J11565 J11571:J11580 J11596:J11599 J11620:J11624 J11635:J11639 J11729:J11730 J11741 J11753:J11759 J11766:J11771">
    <cfRule type="cellIs" dxfId="0" priority="1849" stopIfTrue="1" operator="lessThan">
      <formula>0</formula>
    </cfRule>
  </conditionalFormatting>
  <conditionalFormatting sqref="I4695:I4701 J4695:J4699 I4717:I4718 I4724 I4730:I4741 I4752:I4755 I4761:I4766 I4798:I4804 J4801:J4804 I4820:J4822 I4828:J4832 I4859 I4870:I4872 I4888 I4899:I4921 I4937:I4938 I4949:I4950 I4961 I4972 I4985 I5015:I5031 J5029:J5031 I5042:J5051 I5081:I5085 I5091:I5100 I5106:I5111 I5117:J5126 J5131:J5139 I5139 J5144:J5152 I5152 I5157:J5157 J5162:J5163 I5163 J5168:J5173 I5173 J5178:J5184 I5184 J5189:J5190 I5190 I5195:J5195 J5200:J5202 I5202 I5207:J5207 J5212:J5214 I5214 J5219:J5222 I5222 J5227:J5229 I5229 J5234:J5235 I5235 J5240:J5247 I5247 J5252:J5255 I5255 J5260:J5261 I5261 J5266:J5275 I5275 J5280:J5283 I5283 J5288:J5293 I5293 J5298:J5305 I5305 J5310:J5315 I5315 J5320:J5326 I5326 J5331:J5333 I5333 J5338:J5341 I5341 I5346:J5346 J5351:J5366 I5366 I5371:J5371 J5376:J5388 I5388 J5393:J5395 I5395 J5400:J5425 I5425 J5430:J5444 I5444 J5449:J5455 I5455 J5460:J5464 I5464 J5469:J5474 I5474 I5479:J5479 J5484:J5512 I5512 I5517:J5517 J5522:J5526 I5526 J5531:J5543 I5543 J5548:J5563 I5563 J5568:J5583 I5583 J5588:J5590 I5590 J5595:J5631 I5631 J5636:J5646 I5646 J5651:J5658 I5658 J5663:J5674 I5674 J5679:J5698 I5698 J5703:J5718 I5718 J5723:J5731 I5731 J5736:J5743 I5743 J5748:J5763 I5763 J5768:J5791 I5791 J5796:J5811 I5811 J5816:J5852 I5852 J5857:J5868 I5868 J5873:J5880 I5880 J5885:J5889 I5889 J5894:J5904 I5904 J5909:J5939 I5939 J5944:J5962 I5962 J5967:J5969 I5969 J5974:J5996 I5996 J6001:J6005 I6005 J6015:J6029 J6035:J6046 J6052:J6057 J6063:J6064 J6070:J6077 J6083:J6098 J6104:J6112 J6118:J6122 J6128:J6130 J6136 J6142:J6147 J6153:J6158 J6164:J6172 J6178:J6192 J6198:J6227 J6233:J6242 J6248:J6263 J6269:J6343 J6349:J6382 J6388:J6410 J6416:J6426 J6432:J6478 J6484:J6492 J6498:J6525 J6531:J6542 J6548 J6554:J6564 J6570:J6576 J6582:J6583 J6589:J6592 J6598:J6615 J6621:J6654 J6660:J6675 J6681 J6687 J6693:J6696 J6702 J6708:J6711 J6717:J6727 J6733:J6741 J6747 J6753:J6768 J6774:J6779 J6785:J6786 J6792:J6798 J6804:J6809 J6815:J6821 J6827:J6829 J6835:J6850 J6856:J6863 J6869:J6887 J6893:J6920 J6926:J6928 J6934:J6962 J6968:J7744 J7750:J7758 J7764:J7773 J7779:J7789 J7795:J7818 J7824:J7832 J7838:J7874 J7880:J7890 J7896 J7902:J7903 J7909:J7915 J7921:J7947 J7953:J7957 J7963:J7971 J7977:J7983 J7989:J7990 J7996:J8000 J8006:J8012 J8018 J8024:J8032 J8038 J8044:J8047 J8053:J8054 J8060:J8073 J8079:J8094 J8100:J8117 J8123:J8140 J8146:J8176 J8182:J8205 J8211:J8214 J8220:J8250 J8256:J8274 J8280:J8305 J8311:J8326 J8332:J8344 J8350:J8392 J8398:J8424 J8430:J8483 J8489:J8497 J8503:J8507 J8513:J8538 J8544:J8571 J8577:J8598 J8604:J8607 J8613:J8623 J8629:J8665 J8671:J8672 J8678:J8709 J8715:J8717 J8723:J8782 J8788:J8789 J8795:J8821 J8827:J8862 J8868:J8920 J8926:J8927 J8933:J8949 J8955:J8990 J8996:J9012 J9018:J9036 J9042:J9057 J9063:J9080 J9086:J9101 J9107:J9128 J9134:J9168 J9174:J9184 J9190 J9196 J9202:J9206 J9212:J9216 J9222:J9242 J9248:J9259 J9265:J9271 J9277 J9283:J9284 J9290:J9291 J9297 J9303:J9305 J9311:J9313 J9319:J9324 J9330:J9332 J9343:J9348 J9354:J9358 J9364:J9367 J9373:J9383 J9389:J9391 J9397 J9403:J9409 J9415:J9416 J9422:J9430 J9436:J9438 J9454:J9457 J9463:J9466 J9471 J9476 J9481 J9486:J9490 J9495 J9500 J9505 J9510 J9515 J9520:J9563 J9568 J9573:J9579 J9584 J9589 J9594 J9599 J9604 J9609:J9611 J9616 J9621:J9622 J9627:J9628 J9633 J9638 J9643:J9653 J9658 J9663:J9665 J9670 J9675:J9676 J9681 J9686:J9688 J9693 J9698:J9699 J9704:J9710 J9715:J9717 J9722 J9727 J9732 J9737:J9739 J9744:J9746 J9751:J9752 J9757 J9762 J9767 J9772 J9777:J9780 J9785 J9790:J9797 J9802:J9805 J9810 J9815:J9821 J9826:J9830 J9835:J9839 J9844 J9849:J9852 J9857 J9862 J9867 J9872 J9877:J9945 J9951 J9957 J9973:J9980 J9986:J9990 J10011:J10014 J10020:J10029 J10045:J10046 J10052:J10055 J10081:J10082 J10088:J10091 J10112:J10115 J10131 J10187 J10203:J10204 J10220 J10246 J10267:J10273 J10284:J10291 J10297 J10313:J10314 J10325:J10329 J10335 J10346:J10350 J10356:J10357 J10373:J10375 J10391:J10392 J10403:J10404 J10425:J10426 J10437:J10438 J10449:J10450 J10461:J10462 J10468 J10494 J10500 J10506 J10512:J10516 J10522:J10523 J10544:J10548 J10554:J10558 J10564:J10565 J10576 J10582:J10595 J10601 J10607:J10608 J10624:J10628 J10634:J10637 J10643 J10649:J10658 J10664:J10671 J10677:J10683 J10694:J10696 J10702:J10705 J10711:J10717 J10728:J10734 J10740 J10746 J10752 J10768:J10770 J10786:J10788 J10799:J10807 J10815 J10817:J10818 J10829:J10838 J10849:J10852 J10858:J10877 J10883:J10887 J10893:J10902 J10908:J10914 J10925 J10956:J10959 J10965:J10968 J10984:J10997 J11008:J11015 J11021:J11022 J11033:J11042 J11048:J11058 J11069:J11071 J11077:J11078 J11084:J11086 J11092:J11094 J11100:J11101 J11107:J11113 J11119:J11139 J11150:J11152 J11158:J11161 J11167:J11177 J11183 J11189 J11195:J11202 J11213:J11227 J11233:J11242 J11248 J11259:J11261 J11267 J11273:J11276 J11282:J11293 J11299:J11313 J11319:J11323 J11344:J11348 J11354:J11355 J11366:J11371 J11412:J11417 J11433:J11434 J11440:J11443 J11449:J11450 J11456 J11462:J11467 J11473:J11475 J11491 J11502:J11504 J11510:J11512 J11518 J11524:J11538 J11544 J11550:J11554 J11560:J11565 J11571:J11580 J11596:J11599 J11620:J11624 J11635:J11639 J11729:J11730 J11741 J11753:J11759 J11766:J11771">
    <cfRule type="cellIs" dxfId="1" priority="1850" stopIfTrue="1" operator="greaterThan">
      <formula>0</formula>
    </cfRule>
  </conditionalFormatting>
  <conditionalFormatting sqref="J4700:J4701">
    <cfRule type="cellIs" dxfId="0" priority="1851" stopIfTrue="1" operator="lessThan">
      <formula>0</formula>
    </cfRule>
  </conditionalFormatting>
  <conditionalFormatting sqref="J4700:J4701">
    <cfRule type="cellIs" dxfId="1" priority="1852" stopIfTrue="1" operator="greaterThan">
      <formula>0</formula>
    </cfRule>
  </conditionalFormatting>
  <conditionalFormatting sqref="I4702:J4706">
    <cfRule type="cellIs" dxfId="0" priority="1853" stopIfTrue="1" operator="lessThan">
      <formula>0</formula>
    </cfRule>
  </conditionalFormatting>
  <conditionalFormatting sqref="I4702:J4706">
    <cfRule type="cellIs" dxfId="1" priority="1854" stopIfTrue="1" operator="greaterThan">
      <formula>0</formula>
    </cfRule>
  </conditionalFormatting>
  <conditionalFormatting sqref="I4707:J4711">
    <cfRule type="cellIs" dxfId="0" priority="1855" stopIfTrue="1" operator="lessThan">
      <formula>0</formula>
    </cfRule>
  </conditionalFormatting>
  <conditionalFormatting sqref="I4707:J4711">
    <cfRule type="cellIs" dxfId="1" priority="1856" stopIfTrue="1" operator="greaterThan">
      <formula>0</formula>
    </cfRule>
  </conditionalFormatting>
  <conditionalFormatting sqref="I4712:J4716">
    <cfRule type="cellIs" dxfId="0" priority="1857" stopIfTrue="1" operator="lessThan">
      <formula>0</formula>
    </cfRule>
  </conditionalFormatting>
  <conditionalFormatting sqref="I4712:J4716">
    <cfRule type="cellIs" dxfId="1" priority="1858" stopIfTrue="1" operator="greaterThan">
      <formula>0</formula>
    </cfRule>
  </conditionalFormatting>
  <conditionalFormatting sqref="J4717:J4718">
    <cfRule type="cellIs" dxfId="0" priority="1859" stopIfTrue="1" operator="lessThan">
      <formula>0</formula>
    </cfRule>
  </conditionalFormatting>
  <conditionalFormatting sqref="J4717:J4718">
    <cfRule type="cellIs" dxfId="1" priority="1860" stopIfTrue="1" operator="greaterThan">
      <formula>0</formula>
    </cfRule>
  </conditionalFormatting>
  <conditionalFormatting sqref="I4719:J4723">
    <cfRule type="cellIs" dxfId="0" priority="1861" stopIfTrue="1" operator="lessThan">
      <formula>0</formula>
    </cfRule>
  </conditionalFormatting>
  <conditionalFormatting sqref="I4719:J4723">
    <cfRule type="cellIs" dxfId="1" priority="1862" stopIfTrue="1" operator="greaterThan">
      <formula>0</formula>
    </cfRule>
  </conditionalFormatting>
  <conditionalFormatting sqref="J4724">
    <cfRule type="cellIs" dxfId="0" priority="1863" stopIfTrue="1" operator="lessThan">
      <formula>0</formula>
    </cfRule>
  </conditionalFormatting>
  <conditionalFormatting sqref="J4724">
    <cfRule type="cellIs" dxfId="1" priority="1864" stopIfTrue="1" operator="greaterThan">
      <formula>0</formula>
    </cfRule>
  </conditionalFormatting>
  <conditionalFormatting sqref="I4725:J4729">
    <cfRule type="cellIs" dxfId="0" priority="1865" stopIfTrue="1" operator="lessThan">
      <formula>0</formula>
    </cfRule>
  </conditionalFormatting>
  <conditionalFormatting sqref="I4725:J4729">
    <cfRule type="cellIs" dxfId="1" priority="1866" stopIfTrue="1" operator="greaterThan">
      <formula>0</formula>
    </cfRule>
  </conditionalFormatting>
  <conditionalFormatting sqref="J4730:J4741">
    <cfRule type="cellIs" dxfId="0" priority="1867" stopIfTrue="1" operator="lessThan">
      <formula>0</formula>
    </cfRule>
  </conditionalFormatting>
  <conditionalFormatting sqref="J4730:J4741">
    <cfRule type="cellIs" dxfId="1" priority="1868" stopIfTrue="1" operator="greaterThan">
      <formula>0</formula>
    </cfRule>
  </conditionalFormatting>
  <conditionalFormatting sqref="I4742:J4746">
    <cfRule type="cellIs" dxfId="0" priority="1869" stopIfTrue="1" operator="lessThan">
      <formula>0</formula>
    </cfRule>
  </conditionalFormatting>
  <conditionalFormatting sqref="I4742:J4746">
    <cfRule type="cellIs" dxfId="1" priority="1870" stopIfTrue="1" operator="greaterThan">
      <formula>0</formula>
    </cfRule>
  </conditionalFormatting>
  <conditionalFormatting sqref="I4747:J4751">
    <cfRule type="cellIs" dxfId="0" priority="1871" stopIfTrue="1" operator="lessThan">
      <formula>0</formula>
    </cfRule>
  </conditionalFormatting>
  <conditionalFormatting sqref="I4747:J4751">
    <cfRule type="cellIs" dxfId="1" priority="1872" stopIfTrue="1" operator="greaterThan">
      <formula>0</formula>
    </cfRule>
  </conditionalFormatting>
  <conditionalFormatting sqref="J4752:J4755">
    <cfRule type="cellIs" dxfId="0" priority="1873" stopIfTrue="1" operator="lessThan">
      <formula>0</formula>
    </cfRule>
  </conditionalFormatting>
  <conditionalFormatting sqref="J4752:J4755">
    <cfRule type="cellIs" dxfId="1" priority="1874" stopIfTrue="1" operator="greaterThan">
      <formula>0</formula>
    </cfRule>
  </conditionalFormatting>
  <conditionalFormatting sqref="I4756:J4760">
    <cfRule type="cellIs" dxfId="0" priority="1875" stopIfTrue="1" operator="lessThan">
      <formula>0</formula>
    </cfRule>
  </conditionalFormatting>
  <conditionalFormatting sqref="I4756:J4760">
    <cfRule type="cellIs" dxfId="1" priority="1876" stopIfTrue="1" operator="greaterThan">
      <formula>0</formula>
    </cfRule>
  </conditionalFormatting>
  <conditionalFormatting sqref="J4761:J4766">
    <cfRule type="cellIs" dxfId="0" priority="1877" stopIfTrue="1" operator="lessThan">
      <formula>0</formula>
    </cfRule>
  </conditionalFormatting>
  <conditionalFormatting sqref="J4761:J4766">
    <cfRule type="cellIs" dxfId="1" priority="1878" stopIfTrue="1" operator="greaterThan">
      <formula>0</formula>
    </cfRule>
  </conditionalFormatting>
  <conditionalFormatting sqref="I4767:J4771">
    <cfRule type="cellIs" dxfId="0" priority="1879" stopIfTrue="1" operator="lessThan">
      <formula>0</formula>
    </cfRule>
  </conditionalFormatting>
  <conditionalFormatting sqref="I4767:J4771">
    <cfRule type="cellIs" dxfId="1" priority="1880" stopIfTrue="1" operator="greaterThan">
      <formula>0</formula>
    </cfRule>
  </conditionalFormatting>
  <conditionalFormatting sqref="I4772:J4776">
    <cfRule type="cellIs" dxfId="0" priority="1881" stopIfTrue="1" operator="lessThan">
      <formula>0</formula>
    </cfRule>
  </conditionalFormatting>
  <conditionalFormatting sqref="I4772:J4776">
    <cfRule type="cellIs" dxfId="1" priority="1882" stopIfTrue="1" operator="greaterThan">
      <formula>0</formula>
    </cfRule>
  </conditionalFormatting>
  <conditionalFormatting sqref="I4777:J4781 I4787">
    <cfRule type="cellIs" dxfId="0" priority="1883" stopIfTrue="1" operator="lessThan">
      <formula>0</formula>
    </cfRule>
  </conditionalFormatting>
  <conditionalFormatting sqref="I4777:J4781 I4787">
    <cfRule type="cellIs" dxfId="1" priority="1884" stopIfTrue="1" operator="greaterThan">
      <formula>0</formula>
    </cfRule>
  </conditionalFormatting>
  <conditionalFormatting sqref="I4782:J4786">
    <cfRule type="cellIs" dxfId="0" priority="1885" stopIfTrue="1" operator="lessThan">
      <formula>0</formula>
    </cfRule>
  </conditionalFormatting>
  <conditionalFormatting sqref="I4782:J4786">
    <cfRule type="cellIs" dxfId="1" priority="1886" stopIfTrue="1" operator="greaterThan">
      <formula>0</formula>
    </cfRule>
  </conditionalFormatting>
  <conditionalFormatting sqref="J4787">
    <cfRule type="cellIs" dxfId="0" priority="1887" stopIfTrue="1" operator="lessThan">
      <formula>0</formula>
    </cfRule>
  </conditionalFormatting>
  <conditionalFormatting sqref="J4787">
    <cfRule type="cellIs" dxfId="1" priority="1888" stopIfTrue="1" operator="greaterThan">
      <formula>0</formula>
    </cfRule>
  </conditionalFormatting>
  <conditionalFormatting sqref="I4788:J4792">
    <cfRule type="cellIs" dxfId="0" priority="1889" stopIfTrue="1" operator="lessThan">
      <formula>0</formula>
    </cfRule>
  </conditionalFormatting>
  <conditionalFormatting sqref="I4788:J4792">
    <cfRule type="cellIs" dxfId="1" priority="1890" stopIfTrue="1" operator="greaterThan">
      <formula>0</formula>
    </cfRule>
  </conditionalFormatting>
  <conditionalFormatting sqref="I4793:J4797">
    <cfRule type="cellIs" dxfId="0" priority="1891" stopIfTrue="1" operator="lessThan">
      <formula>0</formula>
    </cfRule>
  </conditionalFormatting>
  <conditionalFormatting sqref="I4793:J4797">
    <cfRule type="cellIs" dxfId="1" priority="1892" stopIfTrue="1" operator="greaterThan">
      <formula>0</formula>
    </cfRule>
  </conditionalFormatting>
  <conditionalFormatting sqref="J4798:J4804">
    <cfRule type="cellIs" dxfId="0" priority="1893" stopIfTrue="1" operator="lessThan">
      <formula>0</formula>
    </cfRule>
  </conditionalFormatting>
  <conditionalFormatting sqref="J4798:J4804">
    <cfRule type="cellIs" dxfId="1" priority="1894" stopIfTrue="1" operator="greaterThan">
      <formula>0</formula>
    </cfRule>
  </conditionalFormatting>
  <conditionalFormatting sqref="I4805:J4809">
    <cfRule type="cellIs" dxfId="0" priority="1895" stopIfTrue="1" operator="lessThan">
      <formula>0</formula>
    </cfRule>
  </conditionalFormatting>
  <conditionalFormatting sqref="I4805:J4809">
    <cfRule type="cellIs" dxfId="1" priority="1896" stopIfTrue="1" operator="greaterThan">
      <formula>0</formula>
    </cfRule>
  </conditionalFormatting>
  <conditionalFormatting sqref="I4810:J4814">
    <cfRule type="cellIs" dxfId="0" priority="1897" stopIfTrue="1" operator="lessThan">
      <formula>0</formula>
    </cfRule>
  </conditionalFormatting>
  <conditionalFormatting sqref="I4810:J4814">
    <cfRule type="cellIs" dxfId="1" priority="1898" stopIfTrue="1" operator="greaterThan">
      <formula>0</formula>
    </cfRule>
  </conditionalFormatting>
  <conditionalFormatting sqref="I4815:J4819">
    <cfRule type="cellIs" dxfId="0" priority="1899" stopIfTrue="1" operator="lessThan">
      <formula>0</formula>
    </cfRule>
  </conditionalFormatting>
  <conditionalFormatting sqref="I4815:J4819">
    <cfRule type="cellIs" dxfId="1" priority="1900" stopIfTrue="1" operator="greaterThan">
      <formula>0</formula>
    </cfRule>
  </conditionalFormatting>
  <conditionalFormatting sqref="J4820:J4822">
    <cfRule type="cellIs" dxfId="0" priority="1901" stopIfTrue="1" operator="lessThan">
      <formula>0</formula>
    </cfRule>
  </conditionalFormatting>
  <conditionalFormatting sqref="J4820:J4822">
    <cfRule type="cellIs" dxfId="1" priority="1902" stopIfTrue="1" operator="greaterThan">
      <formula>0</formula>
    </cfRule>
  </conditionalFormatting>
  <conditionalFormatting sqref="I4823:J4827">
    <cfRule type="cellIs" dxfId="0" priority="1903" stopIfTrue="1" operator="lessThan">
      <formula>0</formula>
    </cfRule>
  </conditionalFormatting>
  <conditionalFormatting sqref="I4823:J4827">
    <cfRule type="cellIs" dxfId="1" priority="1904" stopIfTrue="1" operator="greaterThan">
      <formula>0</formula>
    </cfRule>
  </conditionalFormatting>
  <conditionalFormatting sqref="J4828:J4832">
    <cfRule type="cellIs" dxfId="0" priority="1905" stopIfTrue="1" operator="lessThan">
      <formula>0</formula>
    </cfRule>
  </conditionalFormatting>
  <conditionalFormatting sqref="J4828:J4832">
    <cfRule type="cellIs" dxfId="1" priority="1906" stopIfTrue="1" operator="greaterThan">
      <formula>0</formula>
    </cfRule>
  </conditionalFormatting>
  <conditionalFormatting sqref="I4833:J4837 I4843:I4845 I4851:I4853">
    <cfRule type="cellIs" dxfId="0" priority="1907" stopIfTrue="1" operator="lessThan">
      <formula>0</formula>
    </cfRule>
  </conditionalFormatting>
  <conditionalFormatting sqref="I4833:J4837 I4843:I4845 I4851:I4853">
    <cfRule type="cellIs" dxfId="1" priority="1908" stopIfTrue="1" operator="greaterThan">
      <formula>0</formula>
    </cfRule>
  </conditionalFormatting>
  <conditionalFormatting sqref="I4838:J4842">
    <cfRule type="cellIs" dxfId="0" priority="1909" stopIfTrue="1" operator="lessThan">
      <formula>0</formula>
    </cfRule>
  </conditionalFormatting>
  <conditionalFormatting sqref="I4838:J4842">
    <cfRule type="cellIs" dxfId="1" priority="1910" stopIfTrue="1" operator="greaterThan">
      <formula>0</formula>
    </cfRule>
  </conditionalFormatting>
  <conditionalFormatting sqref="J4843:J4845">
    <cfRule type="cellIs" dxfId="0" priority="1911" stopIfTrue="1" operator="lessThan">
      <formula>0</formula>
    </cfRule>
  </conditionalFormatting>
  <conditionalFormatting sqref="J4843:J4845">
    <cfRule type="cellIs" dxfId="1" priority="1912" stopIfTrue="1" operator="greaterThan">
      <formula>0</formula>
    </cfRule>
  </conditionalFormatting>
  <conditionalFormatting sqref="J4843:J4845">
    <cfRule type="cellIs" dxfId="0" priority="1913" stopIfTrue="1" operator="lessThan">
      <formula>0</formula>
    </cfRule>
  </conditionalFormatting>
  <conditionalFormatting sqref="J4843:J4845">
    <cfRule type="cellIs" dxfId="1" priority="1914" stopIfTrue="1" operator="greaterThan">
      <formula>0</formula>
    </cfRule>
  </conditionalFormatting>
  <conditionalFormatting sqref="I4846:J4850">
    <cfRule type="cellIs" dxfId="0" priority="1915" stopIfTrue="1" operator="lessThan">
      <formula>0</formula>
    </cfRule>
  </conditionalFormatting>
  <conditionalFormatting sqref="I4846:J4850">
    <cfRule type="cellIs" dxfId="1" priority="1916" stopIfTrue="1" operator="greaterThan">
      <formula>0</formula>
    </cfRule>
  </conditionalFormatting>
  <conditionalFormatting sqref="J4851:J4853">
    <cfRule type="cellIs" dxfId="0" priority="1917" stopIfTrue="1" operator="lessThan">
      <formula>0</formula>
    </cfRule>
  </conditionalFormatting>
  <conditionalFormatting sqref="J4851:J4853">
    <cfRule type="cellIs" dxfId="1" priority="1918" stopIfTrue="1" operator="greaterThan">
      <formula>0</formula>
    </cfRule>
  </conditionalFormatting>
  <conditionalFormatting sqref="J4851:J4853">
    <cfRule type="cellIs" dxfId="0" priority="1919" stopIfTrue="1" operator="lessThan">
      <formula>0</formula>
    </cfRule>
  </conditionalFormatting>
  <conditionalFormatting sqref="J4851:J4853">
    <cfRule type="cellIs" dxfId="1" priority="1920" stopIfTrue="1" operator="greaterThan">
      <formula>0</formula>
    </cfRule>
  </conditionalFormatting>
  <conditionalFormatting sqref="I4854:J4858">
    <cfRule type="cellIs" dxfId="0" priority="1921" stopIfTrue="1" operator="lessThan">
      <formula>0</formula>
    </cfRule>
  </conditionalFormatting>
  <conditionalFormatting sqref="I4854:J4858">
    <cfRule type="cellIs" dxfId="1" priority="1922" stopIfTrue="1" operator="greaterThan">
      <formula>0</formula>
    </cfRule>
  </conditionalFormatting>
  <conditionalFormatting sqref="J4859">
    <cfRule type="cellIs" dxfId="0" priority="1923" stopIfTrue="1" operator="lessThan">
      <formula>0</formula>
    </cfRule>
  </conditionalFormatting>
  <conditionalFormatting sqref="J4859">
    <cfRule type="cellIs" dxfId="1" priority="1924" stopIfTrue="1" operator="greaterThan">
      <formula>0</formula>
    </cfRule>
  </conditionalFormatting>
  <conditionalFormatting sqref="J4859">
    <cfRule type="cellIs" dxfId="0" priority="1925" stopIfTrue="1" operator="lessThan">
      <formula>0</formula>
    </cfRule>
  </conditionalFormatting>
  <conditionalFormatting sqref="J4859">
    <cfRule type="cellIs" dxfId="1" priority="1926" stopIfTrue="1" operator="greaterThan">
      <formula>0</formula>
    </cfRule>
  </conditionalFormatting>
  <conditionalFormatting sqref="I4860:J4864">
    <cfRule type="cellIs" dxfId="0" priority="1927" stopIfTrue="1" operator="lessThan">
      <formula>0</formula>
    </cfRule>
  </conditionalFormatting>
  <conditionalFormatting sqref="I4860:J4864">
    <cfRule type="cellIs" dxfId="1" priority="1928" stopIfTrue="1" operator="greaterThan">
      <formula>0</formula>
    </cfRule>
  </conditionalFormatting>
  <conditionalFormatting sqref="I4865:J4869">
    <cfRule type="cellIs" dxfId="0" priority="1929" stopIfTrue="1" operator="lessThan">
      <formula>0</formula>
    </cfRule>
  </conditionalFormatting>
  <conditionalFormatting sqref="I4865:J4869">
    <cfRule type="cellIs" dxfId="1" priority="1930" stopIfTrue="1" operator="greaterThan">
      <formula>0</formula>
    </cfRule>
  </conditionalFormatting>
  <conditionalFormatting sqref="J4870:J4872">
    <cfRule type="cellIs" dxfId="0" priority="1931" stopIfTrue="1" operator="lessThan">
      <formula>0</formula>
    </cfRule>
  </conditionalFormatting>
  <conditionalFormatting sqref="J4870:J4872">
    <cfRule type="cellIs" dxfId="1" priority="1932" stopIfTrue="1" operator="greaterThan">
      <formula>0</formula>
    </cfRule>
  </conditionalFormatting>
  <conditionalFormatting sqref="J4870:J4872">
    <cfRule type="cellIs" dxfId="0" priority="1933" stopIfTrue="1" operator="lessThan">
      <formula>0</formula>
    </cfRule>
  </conditionalFormatting>
  <conditionalFormatting sqref="J4870:J4872">
    <cfRule type="cellIs" dxfId="1" priority="1934" stopIfTrue="1" operator="greaterThan">
      <formula>0</formula>
    </cfRule>
  </conditionalFormatting>
  <conditionalFormatting sqref="I4873:J4877">
    <cfRule type="cellIs" dxfId="0" priority="1935" stopIfTrue="1" operator="lessThan">
      <formula>0</formula>
    </cfRule>
  </conditionalFormatting>
  <conditionalFormatting sqref="I4873:J4877">
    <cfRule type="cellIs" dxfId="1" priority="1936" stopIfTrue="1" operator="greaterThan">
      <formula>0</formula>
    </cfRule>
  </conditionalFormatting>
  <conditionalFormatting sqref="I4878:J4882">
    <cfRule type="cellIs" dxfId="0" priority="1937" stopIfTrue="1" operator="lessThan">
      <formula>0</formula>
    </cfRule>
  </conditionalFormatting>
  <conditionalFormatting sqref="I4878:J4882">
    <cfRule type="cellIs" dxfId="1" priority="1938" stopIfTrue="1" operator="greaterThan">
      <formula>0</formula>
    </cfRule>
  </conditionalFormatting>
  <conditionalFormatting sqref="I4883:J4887">
    <cfRule type="cellIs" dxfId="0" priority="1939" stopIfTrue="1" operator="lessThan">
      <formula>0</formula>
    </cfRule>
  </conditionalFormatting>
  <conditionalFormatting sqref="I4883:J4887">
    <cfRule type="cellIs" dxfId="1" priority="1940" stopIfTrue="1" operator="greaterThan">
      <formula>0</formula>
    </cfRule>
  </conditionalFormatting>
  <conditionalFormatting sqref="J4888">
    <cfRule type="cellIs" dxfId="0" priority="1941" stopIfTrue="1" operator="lessThan">
      <formula>0</formula>
    </cfRule>
  </conditionalFormatting>
  <conditionalFormatting sqref="J4888">
    <cfRule type="cellIs" dxfId="1" priority="1942" stopIfTrue="1" operator="greaterThan">
      <formula>0</formula>
    </cfRule>
  </conditionalFormatting>
  <conditionalFormatting sqref="J4888">
    <cfRule type="cellIs" dxfId="0" priority="1943" stopIfTrue="1" operator="lessThan">
      <formula>0</formula>
    </cfRule>
  </conditionalFormatting>
  <conditionalFormatting sqref="J4888">
    <cfRule type="cellIs" dxfId="1" priority="1944" stopIfTrue="1" operator="greaterThan">
      <formula>0</formula>
    </cfRule>
  </conditionalFormatting>
  <conditionalFormatting sqref="I4889:J4893">
    <cfRule type="cellIs" dxfId="0" priority="1945" stopIfTrue="1" operator="lessThan">
      <formula>0</formula>
    </cfRule>
  </conditionalFormatting>
  <conditionalFormatting sqref="I4889:J4893">
    <cfRule type="cellIs" dxfId="1" priority="1946" stopIfTrue="1" operator="greaterThan">
      <formula>0</formula>
    </cfRule>
  </conditionalFormatting>
  <conditionalFormatting sqref="I4894:J4898">
    <cfRule type="cellIs" dxfId="0" priority="1947" stopIfTrue="1" operator="lessThan">
      <formula>0</formula>
    </cfRule>
  </conditionalFormatting>
  <conditionalFormatting sqref="I4894:J4898">
    <cfRule type="cellIs" dxfId="1" priority="1948" stopIfTrue="1" operator="greaterThan">
      <formula>0</formula>
    </cfRule>
  </conditionalFormatting>
  <conditionalFormatting sqref="J4899:J4921">
    <cfRule type="cellIs" dxfId="0" priority="1949" stopIfTrue="1" operator="lessThan">
      <formula>0</formula>
    </cfRule>
  </conditionalFormatting>
  <conditionalFormatting sqref="J4899:J4921">
    <cfRule type="cellIs" dxfId="1" priority="1950" stopIfTrue="1" operator="greaterThan">
      <formula>0</formula>
    </cfRule>
  </conditionalFormatting>
  <conditionalFormatting sqref="J4899:J4921">
    <cfRule type="cellIs" dxfId="0" priority="1951" stopIfTrue="1" operator="lessThan">
      <formula>0</formula>
    </cfRule>
  </conditionalFormatting>
  <conditionalFormatting sqref="J4899:J4921">
    <cfRule type="cellIs" dxfId="1" priority="1952" stopIfTrue="1" operator="greaterThan">
      <formula>0</formula>
    </cfRule>
  </conditionalFormatting>
  <conditionalFormatting sqref="I4922:J4926">
    <cfRule type="cellIs" dxfId="0" priority="1953" stopIfTrue="1" operator="lessThan">
      <formula>0</formula>
    </cfRule>
  </conditionalFormatting>
  <conditionalFormatting sqref="I4922:J4926">
    <cfRule type="cellIs" dxfId="1" priority="1954" stopIfTrue="1" operator="greaterThan">
      <formula>0</formula>
    </cfRule>
  </conditionalFormatting>
  <conditionalFormatting sqref="I4927:J4931">
    <cfRule type="cellIs" dxfId="0" priority="1955" stopIfTrue="1" operator="lessThan">
      <formula>0</formula>
    </cfRule>
  </conditionalFormatting>
  <conditionalFormatting sqref="I4927:J4931">
    <cfRule type="cellIs" dxfId="1" priority="1956" stopIfTrue="1" operator="greaterThan">
      <formula>0</formula>
    </cfRule>
  </conditionalFormatting>
  <conditionalFormatting sqref="I4932:J4936">
    <cfRule type="cellIs" dxfId="0" priority="1957" stopIfTrue="1" operator="lessThan">
      <formula>0</formula>
    </cfRule>
  </conditionalFormatting>
  <conditionalFormatting sqref="I4932:J4936">
    <cfRule type="cellIs" dxfId="1" priority="1958" stopIfTrue="1" operator="greaterThan">
      <formula>0</formula>
    </cfRule>
  </conditionalFormatting>
  <conditionalFormatting sqref="J4937:J4938">
    <cfRule type="cellIs" dxfId="0" priority="1959" stopIfTrue="1" operator="lessThan">
      <formula>0</formula>
    </cfRule>
  </conditionalFormatting>
  <conditionalFormatting sqref="J4937:J4938">
    <cfRule type="cellIs" dxfId="1" priority="1960" stopIfTrue="1" operator="greaterThan">
      <formula>0</formula>
    </cfRule>
  </conditionalFormatting>
  <conditionalFormatting sqref="J4937:J4938">
    <cfRule type="cellIs" dxfId="0" priority="1961" stopIfTrue="1" operator="lessThan">
      <formula>0</formula>
    </cfRule>
  </conditionalFormatting>
  <conditionalFormatting sqref="J4937:J4938">
    <cfRule type="cellIs" dxfId="1" priority="1962" stopIfTrue="1" operator="greaterThan">
      <formula>0</formula>
    </cfRule>
  </conditionalFormatting>
  <conditionalFormatting sqref="I4939:J4943">
    <cfRule type="cellIs" dxfId="0" priority="1963" stopIfTrue="1" operator="lessThan">
      <formula>0</formula>
    </cfRule>
  </conditionalFormatting>
  <conditionalFormatting sqref="I4939:J4943">
    <cfRule type="cellIs" dxfId="1" priority="1964" stopIfTrue="1" operator="greaterThan">
      <formula>0</formula>
    </cfRule>
  </conditionalFormatting>
  <conditionalFormatting sqref="I4944:J4948">
    <cfRule type="cellIs" dxfId="0" priority="1965" stopIfTrue="1" operator="lessThan">
      <formula>0</formula>
    </cfRule>
  </conditionalFormatting>
  <conditionalFormatting sqref="I4944:J4948">
    <cfRule type="cellIs" dxfId="1" priority="1966" stopIfTrue="1" operator="greaterThan">
      <formula>0</formula>
    </cfRule>
  </conditionalFormatting>
  <conditionalFormatting sqref="J4949:J4950">
    <cfRule type="cellIs" dxfId="0" priority="1967" stopIfTrue="1" operator="lessThan">
      <formula>0</formula>
    </cfRule>
  </conditionalFormatting>
  <conditionalFormatting sqref="J4949:J4950">
    <cfRule type="cellIs" dxfId="1" priority="1968" stopIfTrue="1" operator="greaterThan">
      <formula>0</formula>
    </cfRule>
  </conditionalFormatting>
  <conditionalFormatting sqref="J4949:J4950">
    <cfRule type="cellIs" dxfId="0" priority="1969" stopIfTrue="1" operator="lessThan">
      <formula>0</formula>
    </cfRule>
  </conditionalFormatting>
  <conditionalFormatting sqref="J4949:J4950">
    <cfRule type="cellIs" dxfId="1" priority="1970" stopIfTrue="1" operator="greaterThan">
      <formula>0</formula>
    </cfRule>
  </conditionalFormatting>
  <conditionalFormatting sqref="I4951:J4955">
    <cfRule type="cellIs" dxfId="0" priority="1971" stopIfTrue="1" operator="lessThan">
      <formula>0</formula>
    </cfRule>
  </conditionalFormatting>
  <conditionalFormatting sqref="I4951:J4955">
    <cfRule type="cellIs" dxfId="1" priority="1972" stopIfTrue="1" operator="greaterThan">
      <formula>0</formula>
    </cfRule>
  </conditionalFormatting>
  <conditionalFormatting sqref="I4956:J4960">
    <cfRule type="cellIs" dxfId="0" priority="1973" stopIfTrue="1" operator="lessThan">
      <formula>0</formula>
    </cfRule>
  </conditionalFormatting>
  <conditionalFormatting sqref="I4956:J4960">
    <cfRule type="cellIs" dxfId="1" priority="1974" stopIfTrue="1" operator="greaterThan">
      <formula>0</formula>
    </cfRule>
  </conditionalFormatting>
  <conditionalFormatting sqref="J4961">
    <cfRule type="cellIs" dxfId="0" priority="1975" stopIfTrue="1" operator="lessThan">
      <formula>0</formula>
    </cfRule>
  </conditionalFormatting>
  <conditionalFormatting sqref="J4961">
    <cfRule type="cellIs" dxfId="1" priority="1976" stopIfTrue="1" operator="greaterThan">
      <formula>0</formula>
    </cfRule>
  </conditionalFormatting>
  <conditionalFormatting sqref="J4961">
    <cfRule type="cellIs" dxfId="0" priority="1977" stopIfTrue="1" operator="lessThan">
      <formula>0</formula>
    </cfRule>
  </conditionalFormatting>
  <conditionalFormatting sqref="J4961">
    <cfRule type="cellIs" dxfId="1" priority="1978" stopIfTrue="1" operator="greaterThan">
      <formula>0</formula>
    </cfRule>
  </conditionalFormatting>
  <conditionalFormatting sqref="I4962:J4966">
    <cfRule type="cellIs" dxfId="0" priority="1979" stopIfTrue="1" operator="lessThan">
      <formula>0</formula>
    </cfRule>
  </conditionalFormatting>
  <conditionalFormatting sqref="I4962:J4966">
    <cfRule type="cellIs" dxfId="1" priority="1980" stopIfTrue="1" operator="greaterThan">
      <formula>0</formula>
    </cfRule>
  </conditionalFormatting>
  <conditionalFormatting sqref="I4967:J4971">
    <cfRule type="cellIs" dxfId="0" priority="1981" stopIfTrue="1" operator="lessThan">
      <formula>0</formula>
    </cfRule>
  </conditionalFormatting>
  <conditionalFormatting sqref="I4967:J4971">
    <cfRule type="cellIs" dxfId="1" priority="1982" stopIfTrue="1" operator="greaterThan">
      <formula>0</formula>
    </cfRule>
  </conditionalFormatting>
  <conditionalFormatting sqref="J4972">
    <cfRule type="cellIs" dxfId="0" priority="1983" stopIfTrue="1" operator="lessThan">
      <formula>0</formula>
    </cfRule>
  </conditionalFormatting>
  <conditionalFormatting sqref="J4972">
    <cfRule type="cellIs" dxfId="1" priority="1984" stopIfTrue="1" operator="greaterThan">
      <formula>0</formula>
    </cfRule>
  </conditionalFormatting>
  <conditionalFormatting sqref="J4972">
    <cfRule type="cellIs" dxfId="0" priority="1985" stopIfTrue="1" operator="lessThan">
      <formula>0</formula>
    </cfRule>
  </conditionalFormatting>
  <conditionalFormatting sqref="J4972">
    <cfRule type="cellIs" dxfId="1" priority="1986" stopIfTrue="1" operator="greaterThan">
      <formula>0</formula>
    </cfRule>
  </conditionalFormatting>
  <conditionalFormatting sqref="I4973:J4977">
    <cfRule type="cellIs" dxfId="0" priority="1987" stopIfTrue="1" operator="lessThan">
      <formula>0</formula>
    </cfRule>
  </conditionalFormatting>
  <conditionalFormatting sqref="I4973:J4977">
    <cfRule type="cellIs" dxfId="1" priority="1988" stopIfTrue="1" operator="greaterThan">
      <formula>0</formula>
    </cfRule>
  </conditionalFormatting>
  <conditionalFormatting sqref="I4978:J4982 I4983:I4984">
    <cfRule type="cellIs" dxfId="0" priority="1989" stopIfTrue="1" operator="lessThan">
      <formula>0</formula>
    </cfRule>
  </conditionalFormatting>
  <conditionalFormatting sqref="I4978:J4982 I4983:I4984">
    <cfRule type="cellIs" dxfId="1" priority="1990" stopIfTrue="1" operator="greaterThan">
      <formula>0</formula>
    </cfRule>
  </conditionalFormatting>
  <conditionalFormatting sqref="J4985">
    <cfRule type="cellIs" dxfId="0" priority="1991" stopIfTrue="1" operator="lessThan">
      <formula>0</formula>
    </cfRule>
  </conditionalFormatting>
  <conditionalFormatting sqref="J4985">
    <cfRule type="cellIs" dxfId="1" priority="1992" stopIfTrue="1" operator="greaterThan">
      <formula>0</formula>
    </cfRule>
  </conditionalFormatting>
  <conditionalFormatting sqref="J4985">
    <cfRule type="cellIs" dxfId="0" priority="1993" stopIfTrue="1" operator="lessThan">
      <formula>0</formula>
    </cfRule>
  </conditionalFormatting>
  <conditionalFormatting sqref="J4985">
    <cfRule type="cellIs" dxfId="1" priority="1994" stopIfTrue="1" operator="greaterThan">
      <formula>0</formula>
    </cfRule>
  </conditionalFormatting>
  <conditionalFormatting sqref="I4986:J4990">
    <cfRule type="cellIs" dxfId="0" priority="1995" stopIfTrue="1" operator="lessThan">
      <formula>0</formula>
    </cfRule>
  </conditionalFormatting>
  <conditionalFormatting sqref="I4986:J4990">
    <cfRule type="cellIs" dxfId="1" priority="1996" stopIfTrue="1" operator="greaterThan">
      <formula>0</formula>
    </cfRule>
  </conditionalFormatting>
  <conditionalFormatting sqref="J4983:J4984">
    <cfRule type="cellIs" dxfId="0" priority="1997" stopIfTrue="1" operator="lessThan">
      <formula>0</formula>
    </cfRule>
  </conditionalFormatting>
  <conditionalFormatting sqref="J4983:J4984">
    <cfRule type="cellIs" dxfId="1" priority="1998" stopIfTrue="1" operator="greaterThan">
      <formula>0</formula>
    </cfRule>
  </conditionalFormatting>
  <conditionalFormatting sqref="J4983:J4984">
    <cfRule type="cellIs" dxfId="0" priority="1999" stopIfTrue="1" operator="lessThan">
      <formula>0</formula>
    </cfRule>
  </conditionalFormatting>
  <conditionalFormatting sqref="J4983:J4984">
    <cfRule type="cellIs" dxfId="1" priority="2000" stopIfTrue="1" operator="greaterThan">
      <formula>0</formula>
    </cfRule>
  </conditionalFormatting>
  <conditionalFormatting sqref="I4991:J4995">
    <cfRule type="cellIs" dxfId="0" priority="2001" stopIfTrue="1" operator="lessThan">
      <formula>0</formula>
    </cfRule>
  </conditionalFormatting>
  <conditionalFormatting sqref="I4991:J4995">
    <cfRule type="cellIs" dxfId="1" priority="2002" stopIfTrue="1" operator="greaterThan">
      <formula>0</formula>
    </cfRule>
  </conditionalFormatting>
  <conditionalFormatting sqref="I4996:J5000">
    <cfRule type="cellIs" dxfId="0" priority="2003" stopIfTrue="1" operator="lessThan">
      <formula>0</formula>
    </cfRule>
  </conditionalFormatting>
  <conditionalFormatting sqref="I4996:J5000">
    <cfRule type="cellIs" dxfId="1" priority="2004" stopIfTrue="1" operator="greaterThan">
      <formula>0</formula>
    </cfRule>
  </conditionalFormatting>
  <conditionalFormatting sqref="I5001:J5005 I5006:I5009">
    <cfRule type="cellIs" dxfId="0" priority="2005" stopIfTrue="1" operator="lessThan">
      <formula>0</formula>
    </cfRule>
  </conditionalFormatting>
  <conditionalFormatting sqref="I5001:J5005 I5006:I5009">
    <cfRule type="cellIs" dxfId="1" priority="2006" stopIfTrue="1" operator="greaterThan">
      <formula>0</formula>
    </cfRule>
  </conditionalFormatting>
  <conditionalFormatting sqref="I5010:J5014">
    <cfRule type="cellIs" dxfId="0" priority="2007" stopIfTrue="1" operator="lessThan">
      <formula>0</formula>
    </cfRule>
  </conditionalFormatting>
  <conditionalFormatting sqref="I5010:J5014">
    <cfRule type="cellIs" dxfId="1" priority="2008" stopIfTrue="1" operator="greaterThan">
      <formula>0</formula>
    </cfRule>
  </conditionalFormatting>
  <conditionalFormatting sqref="J5006:J5009">
    <cfRule type="cellIs" dxfId="0" priority="2009" stopIfTrue="1" operator="lessThan">
      <formula>0</formula>
    </cfRule>
  </conditionalFormatting>
  <conditionalFormatting sqref="J5006:J5009">
    <cfRule type="cellIs" dxfId="1" priority="2010" stopIfTrue="1" operator="greaterThan">
      <formula>0</formula>
    </cfRule>
  </conditionalFormatting>
  <conditionalFormatting sqref="J5006:J5009">
    <cfRule type="cellIs" dxfId="0" priority="2011" stopIfTrue="1" operator="lessThan">
      <formula>0</formula>
    </cfRule>
  </conditionalFormatting>
  <conditionalFormatting sqref="J5006:J5009">
    <cfRule type="cellIs" dxfId="1" priority="2012" stopIfTrue="1" operator="greaterThan">
      <formula>0</formula>
    </cfRule>
  </conditionalFormatting>
  <conditionalFormatting sqref="J5015:J5031">
    <cfRule type="cellIs" dxfId="0" priority="2013" stopIfTrue="1" operator="lessThan">
      <formula>0</formula>
    </cfRule>
  </conditionalFormatting>
  <conditionalFormatting sqref="J5015:J5031">
    <cfRule type="cellIs" dxfId="1" priority="2014" stopIfTrue="1" operator="greaterThan">
      <formula>0</formula>
    </cfRule>
  </conditionalFormatting>
  <conditionalFormatting sqref="J5015:J5031">
    <cfRule type="cellIs" dxfId="0" priority="2015" stopIfTrue="1" operator="lessThan">
      <formula>0</formula>
    </cfRule>
  </conditionalFormatting>
  <conditionalFormatting sqref="J5015:J5031">
    <cfRule type="cellIs" dxfId="1" priority="2016" stopIfTrue="1" operator="greaterThan">
      <formula>0</formula>
    </cfRule>
  </conditionalFormatting>
  <conditionalFormatting sqref="I5032:J5036">
    <cfRule type="cellIs" dxfId="0" priority="2017" stopIfTrue="1" operator="lessThan">
      <formula>0</formula>
    </cfRule>
  </conditionalFormatting>
  <conditionalFormatting sqref="I5032:J5036">
    <cfRule type="cellIs" dxfId="1" priority="2018" stopIfTrue="1" operator="greaterThan">
      <formula>0</formula>
    </cfRule>
  </conditionalFormatting>
  <conditionalFormatting sqref="I5037:J5041">
    <cfRule type="cellIs" dxfId="0" priority="2019" stopIfTrue="1" operator="lessThan">
      <formula>0</formula>
    </cfRule>
  </conditionalFormatting>
  <conditionalFormatting sqref="I5037:J5041">
    <cfRule type="cellIs" dxfId="1" priority="2020" stopIfTrue="1" operator="greaterThan">
      <formula>0</formula>
    </cfRule>
  </conditionalFormatting>
  <conditionalFormatting sqref="I5052:J5056 I5071:I5075 I5062:I5065">
    <cfRule type="cellIs" dxfId="0" priority="2021" stopIfTrue="1" operator="lessThan">
      <formula>0</formula>
    </cfRule>
  </conditionalFormatting>
  <conditionalFormatting sqref="I5052:J5056 I5071:I5075 I5062:I5065">
    <cfRule type="cellIs" dxfId="1" priority="2022" stopIfTrue="1" operator="greaterThan">
      <formula>0</formula>
    </cfRule>
  </conditionalFormatting>
  <conditionalFormatting sqref="J5042:J5051">
    <cfRule type="cellIs" dxfId="0" priority="2023" stopIfTrue="1" operator="lessThan">
      <formula>0</formula>
    </cfRule>
  </conditionalFormatting>
  <conditionalFormatting sqref="J5042:J5051">
    <cfRule type="cellIs" dxfId="1" priority="2024" stopIfTrue="1" operator="greaterThan">
      <formula>0</formula>
    </cfRule>
  </conditionalFormatting>
  <conditionalFormatting sqref="J5042:J5051">
    <cfRule type="cellIs" dxfId="0" priority="2025" stopIfTrue="1" operator="lessThan">
      <formula>0</formula>
    </cfRule>
  </conditionalFormatting>
  <conditionalFormatting sqref="J5042:J5051">
    <cfRule type="cellIs" dxfId="1" priority="2026" stopIfTrue="1" operator="greaterThan">
      <formula>0</formula>
    </cfRule>
  </conditionalFormatting>
  <conditionalFormatting sqref="I5057:J5061">
    <cfRule type="cellIs" dxfId="0" priority="2027" stopIfTrue="1" operator="lessThan">
      <formula>0</formula>
    </cfRule>
  </conditionalFormatting>
  <conditionalFormatting sqref="I5057:J5061">
    <cfRule type="cellIs" dxfId="1" priority="2028" stopIfTrue="1" operator="greaterThan">
      <formula>0</formula>
    </cfRule>
  </conditionalFormatting>
  <conditionalFormatting sqref="J5062">
    <cfRule type="cellIs" dxfId="0" priority="2029" stopIfTrue="1" operator="lessThan">
      <formula>0</formula>
    </cfRule>
  </conditionalFormatting>
  <conditionalFormatting sqref="J5062">
    <cfRule type="cellIs" dxfId="1" priority="2030" stopIfTrue="1" operator="greaterThan">
      <formula>0</formula>
    </cfRule>
  </conditionalFormatting>
  <conditionalFormatting sqref="J5062">
    <cfRule type="cellIs" dxfId="0" priority="2031" stopIfTrue="1" operator="lessThan">
      <formula>0</formula>
    </cfRule>
  </conditionalFormatting>
  <conditionalFormatting sqref="J5062">
    <cfRule type="cellIs" dxfId="1" priority="2032" stopIfTrue="1" operator="greaterThan">
      <formula>0</formula>
    </cfRule>
  </conditionalFormatting>
  <conditionalFormatting sqref="J5062">
    <cfRule type="cellIs" dxfId="0" priority="2033" stopIfTrue="1" operator="lessThan">
      <formula>0</formula>
    </cfRule>
  </conditionalFormatting>
  <conditionalFormatting sqref="J5062">
    <cfRule type="cellIs" dxfId="1" priority="2034" stopIfTrue="1" operator="greaterThan">
      <formula>0</formula>
    </cfRule>
  </conditionalFormatting>
  <conditionalFormatting sqref="J5063:J5065">
    <cfRule type="cellIs" dxfId="0" priority="2035" stopIfTrue="1" operator="lessThan">
      <formula>0</formula>
    </cfRule>
  </conditionalFormatting>
  <conditionalFormatting sqref="J5063:J5065">
    <cfRule type="cellIs" dxfId="1" priority="2036" stopIfTrue="1" operator="greaterThan">
      <formula>0</formula>
    </cfRule>
  </conditionalFormatting>
  <conditionalFormatting sqref="J5063:J5065">
    <cfRule type="cellIs" dxfId="0" priority="2037" stopIfTrue="1" operator="lessThan">
      <formula>0</formula>
    </cfRule>
  </conditionalFormatting>
  <conditionalFormatting sqref="J5063:J5065">
    <cfRule type="cellIs" dxfId="1" priority="2038" stopIfTrue="1" operator="greaterThan">
      <formula>0</formula>
    </cfRule>
  </conditionalFormatting>
  <conditionalFormatting sqref="J5063:J5065">
    <cfRule type="cellIs" dxfId="0" priority="2039" stopIfTrue="1" operator="lessThan">
      <formula>0</formula>
    </cfRule>
  </conditionalFormatting>
  <conditionalFormatting sqref="J5063:J5065">
    <cfRule type="cellIs" dxfId="1" priority="2040" stopIfTrue="1" operator="greaterThan">
      <formula>0</formula>
    </cfRule>
  </conditionalFormatting>
  <conditionalFormatting sqref="I5066:J5070">
    <cfRule type="cellIs" dxfId="0" priority="2041" stopIfTrue="1" operator="lessThan">
      <formula>0</formula>
    </cfRule>
  </conditionalFormatting>
  <conditionalFormatting sqref="I5066:J5070">
    <cfRule type="cellIs" dxfId="1" priority="2042" stopIfTrue="1" operator="greaterThan">
      <formula>0</formula>
    </cfRule>
  </conditionalFormatting>
  <conditionalFormatting sqref="J5071:J5075">
    <cfRule type="cellIs" dxfId="0" priority="2043" stopIfTrue="1" operator="lessThan">
      <formula>0</formula>
    </cfRule>
  </conditionalFormatting>
  <conditionalFormatting sqref="J5071:J5075">
    <cfRule type="cellIs" dxfId="1" priority="2044" stopIfTrue="1" operator="greaterThan">
      <formula>0</formula>
    </cfRule>
  </conditionalFormatting>
  <conditionalFormatting sqref="J5071:J5075">
    <cfRule type="cellIs" dxfId="0" priority="2045" stopIfTrue="1" operator="lessThan">
      <formula>0</formula>
    </cfRule>
  </conditionalFormatting>
  <conditionalFormatting sqref="J5071:J5075">
    <cfRule type="cellIs" dxfId="1" priority="2046" stopIfTrue="1" operator="greaterThan">
      <formula>0</formula>
    </cfRule>
  </conditionalFormatting>
  <conditionalFormatting sqref="J5071:J5075">
    <cfRule type="cellIs" dxfId="0" priority="2047" stopIfTrue="1" operator="lessThan">
      <formula>0</formula>
    </cfRule>
  </conditionalFormatting>
  <conditionalFormatting sqref="J5071:J5075">
    <cfRule type="cellIs" dxfId="1" priority="2048" stopIfTrue="1" operator="greaterThan">
      <formula>0</formula>
    </cfRule>
  </conditionalFormatting>
  <conditionalFormatting sqref="I5076:J5080">
    <cfRule type="cellIs" dxfId="0" priority="2049" stopIfTrue="1" operator="lessThan">
      <formula>0</formula>
    </cfRule>
  </conditionalFormatting>
  <conditionalFormatting sqref="I5076:J5080">
    <cfRule type="cellIs" dxfId="1" priority="2050" stopIfTrue="1" operator="greaterThan">
      <formula>0</formula>
    </cfRule>
  </conditionalFormatting>
  <conditionalFormatting sqref="J5081:J5085">
    <cfRule type="cellIs" dxfId="0" priority="2051" stopIfTrue="1" operator="lessThan">
      <formula>0</formula>
    </cfRule>
  </conditionalFormatting>
  <conditionalFormatting sqref="J5081:J5085">
    <cfRule type="cellIs" dxfId="1" priority="2052" stopIfTrue="1" operator="greaterThan">
      <formula>0</formula>
    </cfRule>
  </conditionalFormatting>
  <conditionalFormatting sqref="J5081:J5085">
    <cfRule type="cellIs" dxfId="0" priority="2053" stopIfTrue="1" operator="lessThan">
      <formula>0</formula>
    </cfRule>
  </conditionalFormatting>
  <conditionalFormatting sqref="J5081:J5085">
    <cfRule type="cellIs" dxfId="1" priority="2054" stopIfTrue="1" operator="greaterThan">
      <formula>0</formula>
    </cfRule>
  </conditionalFormatting>
  <conditionalFormatting sqref="J5081:J5085">
    <cfRule type="cellIs" dxfId="0" priority="2055" stopIfTrue="1" operator="lessThan">
      <formula>0</formula>
    </cfRule>
  </conditionalFormatting>
  <conditionalFormatting sqref="J5081:J5085">
    <cfRule type="cellIs" dxfId="1" priority="2056" stopIfTrue="1" operator="greaterThan">
      <formula>0</formula>
    </cfRule>
  </conditionalFormatting>
  <conditionalFormatting sqref="I5086:J5090">
    <cfRule type="cellIs" dxfId="0" priority="2057" stopIfTrue="1" operator="lessThan">
      <formula>0</formula>
    </cfRule>
  </conditionalFormatting>
  <conditionalFormatting sqref="I5086:J5090">
    <cfRule type="cellIs" dxfId="1" priority="2058" stopIfTrue="1" operator="greaterThan">
      <formula>0</formula>
    </cfRule>
  </conditionalFormatting>
  <conditionalFormatting sqref="J5091:J5100">
    <cfRule type="cellIs" dxfId="0" priority="2059" stopIfTrue="1" operator="lessThan">
      <formula>0</formula>
    </cfRule>
  </conditionalFormatting>
  <conditionalFormatting sqref="J5091:J5100">
    <cfRule type="cellIs" dxfId="1" priority="2060" stopIfTrue="1" operator="greaterThan">
      <formula>0</formula>
    </cfRule>
  </conditionalFormatting>
  <conditionalFormatting sqref="J5091:J5100">
    <cfRule type="cellIs" dxfId="0" priority="2061" stopIfTrue="1" operator="lessThan">
      <formula>0</formula>
    </cfRule>
  </conditionalFormatting>
  <conditionalFormatting sqref="J5091:J5100">
    <cfRule type="cellIs" dxfId="1" priority="2062" stopIfTrue="1" operator="greaterThan">
      <formula>0</formula>
    </cfRule>
  </conditionalFormatting>
  <conditionalFormatting sqref="J5091:J5100">
    <cfRule type="cellIs" dxfId="0" priority="2063" stopIfTrue="1" operator="lessThan">
      <formula>0</formula>
    </cfRule>
  </conditionalFormatting>
  <conditionalFormatting sqref="J5091:J5100">
    <cfRule type="cellIs" dxfId="1" priority="2064" stopIfTrue="1" operator="greaterThan">
      <formula>0</formula>
    </cfRule>
  </conditionalFormatting>
  <conditionalFormatting sqref="I5101:J5105">
    <cfRule type="cellIs" dxfId="0" priority="2065" stopIfTrue="1" operator="lessThan">
      <formula>0</formula>
    </cfRule>
  </conditionalFormatting>
  <conditionalFormatting sqref="I5101:J5105">
    <cfRule type="cellIs" dxfId="1" priority="2066" stopIfTrue="1" operator="greaterThan">
      <formula>0</formula>
    </cfRule>
  </conditionalFormatting>
  <conditionalFormatting sqref="J5106:J5111 J5117:J5125 J5131:J5138 J5144:J5151 J5162 J5168:J5172 J5178:J5183 J5189 J5200:J5201 J5212:J5213 J5219:J5221 J5227:J5228 J5234 J5240:J5246 J5252:J5254 J5260 J5266:J5274 J5280:J5282 J5288:J5292 J5298:J5304 J5310:J5314 J5320:J5325 J5331:J5332 J5338:J5340 J5351:J5365 J5376:J5387 J5393:J5394 J5400:J5424 J5430:J5443 J5449:J5454 J5460:J5463 J5469:J5473 J5484:J5511 J5522:J5525 J5531:J5542 J5548:J5562 J5568:J5582 J5588:J5589 J5595:J5630 J5636:J5645 J5651:J5657 J5663:J5673 J5679:J5697 J5703:J5717 J5723:J5730 J5736:J5742 J5748:J5762 J5768:J5790 J5796:J5810 J5816:J5851 J5857:J5867 J5873:J5879 J5885:J5888 J5894:J5903 J5909:J5938 J5944:J5961 J5967:J5968 J5974:J5995 J6001:J6004 J6015:J6029 J6035:J6046 J6052:J6057 J6063:J6064 J6070:J6077 J6083:J6098 J6104:J6112 J6118:J6122 J6128:J6130 J6136 J6142:J6147 J6153:J6158 J6164:J6172 J6178:J6192 J6198:J6227 J6233:J6242 J6248:J6263 J6269:J6343 J6349:J6382 J6388:J6410 J6416:J6426 J6432:J6478 J6484:J6492 J6498:J6525 J6531:J6542 J6548 J6554:J6564 J6570:J6576 J6582:J6583 J6589:J6592 J6598:J6615 J6621:J6654 J6660:J6675 J6681 J6687 J6693:J6696 J6702 J6708:J6711 J6717:J6727 J6733:J6741 J6747 J6753:J6768 J6774:J6779 J6785:J6786 J6792:J6798 J6804:J6809 J6815:J6821 J6827:J6829 J6835:J6850 J6856:J6863 J6869:J6887 J6893:J6920 J6926:J6928 J6934:J6962 J6968:J7744 J7750:J7758 J7764:J7773 J7779:J7789 J7795:J7818 J7824:J7832 J7838:J7874 J7880:J7890 J7896 J7902:J7903 J7909:J7915 J7921:J7947 J7953:J7957 J7963:J7971 J7977:J7983 J7989:J7990 J7996:J8000 J8006:J8012 J8018 J8024:J8032 J8038 J8044:J8047 J8053:J8054 J8060:J8073 J8079:J8094 J8100:J8117 J8123:J8140 J8146:J8176 J8182:J8205 J8211:J8214 J8220:J8250 J8256:J8274 J8280:J8305 J8311:J8326 J8332:J8344 J8350:J8392 J8398:J8424 J8430:J8483 J8489:J8497 J8503:J8507 J8513:J8538 J8544:J8571 J8577:J8598 J8604:J8607 J8613:J8623 J8629:J8665 J8671:J8672 J8678:J8709 J8715:J8717 J8723:J8782 J8788:J8789 J8795:J8821 J8827:J8862 J8868:J8920 J8926:J8927 J8933:J8949 J8955:J8990 J8996:J9012 J9018:J9036 J9042:J9057 J9063:J9080 J9086:J9101 J9107:J9128 J9134:J9168 J9174:J9184 J9190 J9196 J9202:J9206 J9212:J9216 J9222:J9242 J9248:J9259 J9265:J9271 J9277 J9283:J9284 J9290:J9291 J9297 J9303:J9305 J9311:J9313 J9319:J9324 J9330:J9332 J9343:J9348 J9354:J9358 J9364:J9367 J9373:J9383 J9389:J9391 J9397 J9403:J9409 J9415:J9416 J9422:J9430 J9436:J9438 J9454:J9457 J9463:J9466 J9471 J9476 J9481 J9486:J9490 J9495 J9500 J9505 J9510 J9515 J9520:J9563 J9568 J9573:J9579 J9584 J9589 J9594 J9599 J9604 J9609:J9611 J9616 J9621:J9622 J9627:J9628 J9633 J9638 J9643:J9653 J9658 J9663:J9665 J9670 J9675:J9676 J9681 J9686:J9688 J9693 J9698:J9699 J9704:J9710 J9715:J9717 J9722 J9727 J9732 J9737:J9739 J9744:J9746 J9751:J9752 J9757 J9762 J9767 J9772 J9777:J9780 J9785 J9790:J9797 J9802:J9805 J9810 J9815:J9821 J9826:J9830 J9835:J9839 J9844 J9849:J9852 J9857 J9862 J9867 J9872 J9877:J9945 J9951 J9957 J9973:J9980 J9986:J9990 J10011:J10014 J10020:J10029 J10045:J10046 J10052:J10055 J10081:J10082 J10088:J10091 J10112:J10115 J10131 J10187 J10203:J10204 J10220 J10246 J10267:J10273 J10284:J10291 J10297 J10313:J10314 J10325:J10329 J10335 J10346:J10350 J10356:J10357 J10373:J10375 J10391:J10392 J10403:J10404 J10425:J10426 J10437:J10438 J10449:J10450 J10461:J10462 J10468 J10494 J10500 J10506 J10512:J10516 J10522:J10523 J10544:J10548 J10554:J10558 J10564:J10565 J10576 J10582:J10595 J10601 J10607:J10608 J10624:J10628 J10634:J10637 J10643 J10649:J10658 J10664:J10671 J10677:J10683 J10694:J10696 J10702:J10705 J10711:J10717 J10728:J10734 J10740 J10746 J10752 J10768:J10770 J10786:J10788 J10799:J10807 J10815 J10817:J10818 J10829:J10838 J10849:J10852 J10858:J10877 J10883:J10887 J10893:J10902 J10908:J10914 J10925 J10956:J10959 J10965:J10968 J10984:J10997 J11008:J11015 J11021:J11022 J11033:J11042 J11048:J11058 J11069:J11071 J11077:J11078 J11084:J11086 J11092:J11094 J11100:J11101 J11107:J11113 J11119:J11139 J11150:J11152 J11158:J11161 J11167:J11177 J11183 J11189 J11195:J11202 J11213:J11227 J11233:J11242 J11248 J11259:J11261 J11267 J11273:J11276 J11282:J11293 J11299:J11313 J11319:J11323 J11344:J11348 J11354:J11355 J11366:J11371 J11412:J11417 J11433:J11434 J11440:J11443 J11449:J11450 J11456 J11462:J11467 J11473:J11475 J11491 J11502:J11504 J11510:J11512 J11518 J11524:J11538 J11544 J11550:J11554 J11560:J11565 J11571:J11580 J11596:J11599 J11620:J11624 J11635:J11639 J11729:J11730 J11741 J11753:J11759 J11766:J11771">
    <cfRule type="cellIs" dxfId="0" priority="2067" stopIfTrue="1" operator="lessThan">
      <formula>0</formula>
    </cfRule>
  </conditionalFormatting>
  <conditionalFormatting sqref="J5106:J5111 J5117:J5125 J5131:J5138 J5144:J5151 J5162 J5168:J5172 J5178:J5183 J5189 J5200:J5201 J5212:J5213 J5219:J5221 J5227:J5228 J5234 J5240:J5246 J5252:J5254 J5260 J5266:J5274 J5280:J5282 J5288:J5292 J5298:J5304 J5310:J5314 J5320:J5325 J5331:J5332 J5338:J5340 J5351:J5365 J5376:J5387 J5393:J5394 J5400:J5424 J5430:J5443 J5449:J5454 J5460:J5463 J5469:J5473 J5484:J5511 J5522:J5525 J5531:J5542 J5548:J5562 J5568:J5582 J5588:J5589 J5595:J5630 J5636:J5645 J5651:J5657 J5663:J5673 J5679:J5697 J5703:J5717 J5723:J5730 J5736:J5742 J5748:J5762 J5768:J5790 J5796:J5810 J5816:J5851 J5857:J5867 J5873:J5879 J5885:J5888 J5894:J5903 J5909:J5938 J5944:J5961 J5967:J5968 J5974:J5995 J6001:J6004 J6015:J6029 J6035:J6046 J6052:J6057 J6063:J6064 J6070:J6077 J6083:J6098 J6104:J6112 J6118:J6122 J6128:J6130 J6136 J6142:J6147 J6153:J6158 J6164:J6172 J6178:J6192 J6198:J6227 J6233:J6242 J6248:J6263 J6269:J6343 J6349:J6382 J6388:J6410 J6416:J6426 J6432:J6478 J6484:J6492 J6498:J6525 J6531:J6542 J6548 J6554:J6564 J6570:J6576 J6582:J6583 J6589:J6592 J6598:J6615 J6621:J6654 J6660:J6675 J6681 J6687 J6693:J6696 J6702 J6708:J6711 J6717:J6727 J6733:J6741 J6747 J6753:J6768 J6774:J6779 J6785:J6786 J6792:J6798 J6804:J6809 J6815:J6821 J6827:J6829 J6835:J6850 J6856:J6863 J6869:J6887 J6893:J6920 J6926:J6928 J6934:J6962 J6968:J7744 J7750:J7758 J7764:J7773 J7779:J7789 J7795:J7818 J7824:J7832 J7838:J7874 J7880:J7890 J7896 J7902:J7903 J7909:J7915 J7921:J7947 J7953:J7957 J7963:J7971 J7977:J7983 J7989:J7990 J7996:J8000 J8006:J8012 J8018 J8024:J8032 J8038 J8044:J8047 J8053:J8054 J8060:J8073 J8079:J8094 J8100:J8117 J8123:J8140 J8146:J8176 J8182:J8205 J8211:J8214 J8220:J8250 J8256:J8274 J8280:J8305 J8311:J8326 J8332:J8344 J8350:J8392 J8398:J8424 J8430:J8483 J8489:J8497 J8503:J8507 J8513:J8538 J8544:J8571 J8577:J8598 J8604:J8607 J8613:J8623 J8629:J8665 J8671:J8672 J8678:J8709 J8715:J8717 J8723:J8782 J8788:J8789 J8795:J8821 J8827:J8862 J8868:J8920 J8926:J8927 J8933:J8949 J8955:J8990 J8996:J9012 J9018:J9036 J9042:J9057 J9063:J9080 J9086:J9101 J9107:J9128 J9134:J9168 J9174:J9184 J9190 J9196 J9202:J9206 J9212:J9216 J9222:J9242 J9248:J9259 J9265:J9271 J9277 J9283:J9284 J9290:J9291 J9297 J9303:J9305 J9311:J9313 J9319:J9324 J9330:J9332 J9343:J9348 J9354:J9358 J9364:J9367 J9373:J9383 J9389:J9391 J9397 J9403:J9409 J9415:J9416 J9422:J9430 J9436:J9438 J9454:J9457 J9463:J9466 J9471 J9476 J9481 J9486:J9490 J9495 J9500 J9505 J9510 J9515 J9520:J9563 J9568 J9573:J9579 J9584 J9589 J9594 J9599 J9604 J9609:J9611 J9616 J9621:J9622 J9627:J9628 J9633 J9638 J9643:J9653 J9658 J9663:J9665 J9670 J9675:J9676 J9681 J9686:J9688 J9693 J9698:J9699 J9704:J9710 J9715:J9717 J9722 J9727 J9732 J9737:J9739 J9744:J9746 J9751:J9752 J9757 J9762 J9767 J9772 J9777:J9780 J9785 J9790:J9797 J9802:J9805 J9810 J9815:J9821 J9826:J9830 J9835:J9839 J9844 J9849:J9852 J9857 J9862 J9867 J9872 J9877:J9945 J9951 J9957 J9973:J9980 J9986:J9990 J10011:J10014 J10020:J10029 J10045:J10046 J10052:J10055 J10081:J10082 J10088:J10091 J10112:J10115 J10131 J10187 J10203:J10204 J10220 J10246 J10267:J10273 J10284:J10291 J10297 J10313:J10314 J10325:J10329 J10335 J10346:J10350 J10356:J10357 J10373:J10375 J10391:J10392 J10403:J10404 J10425:J10426 J10437:J10438 J10449:J10450 J10461:J10462 J10468 J10494 J10500 J10506 J10512:J10516 J10522:J10523 J10544:J10548 J10554:J10558 J10564:J10565 J10576 J10582:J10595 J10601 J10607:J10608 J10624:J10628 J10634:J10637 J10643 J10649:J10658 J10664:J10671 J10677:J10683 J10694:J10696 J10702:J10705 J10711:J10717 J10728:J10734 J10740 J10746 J10752 J10768:J10770 J10786:J10788 J10799:J10807 J10815 J10817:J10818 J10829:J10838 J10849:J10852 J10858:J10877 J10883:J10887 J10893:J10902 J10908:J10914 J10925 J10956:J10959 J10965:J10968 J10984:J10997 J11008:J11015 J11021:J11022 J11033:J11042 J11048:J11058 J11069:J11071 J11077:J11078 J11084:J11086 J11092:J11094 J11100:J11101 J11107:J11113 J11119:J11139 J11150:J11152 J11158:J11161 J11167:J11177 J11183 J11189 J11195:J11202 J11213:J11227 J11233:J11242 J11248 J11259:J11261 J11267 J11273:J11276 J11282:J11293 J11299:J11313 J11319:J11323 J11344:J11348 J11354:J11355 J11366:J11371 J11412:J11417 J11433:J11434 J11440:J11443 J11449:J11450 J11456 J11462:J11467 J11473:J11475 J11491 J11502:J11504 J11510:J11512 J11518 J11524:J11538 J11544 J11550:J11554 J11560:J11565 J11571:J11580 J11596:J11599 J11620:J11624 J11635:J11639 J11729:J11730 J11741 J11753:J11759 J11766:J11771">
    <cfRule type="cellIs" dxfId="1" priority="2068" stopIfTrue="1" operator="greaterThan">
      <formula>0</formula>
    </cfRule>
  </conditionalFormatting>
  <conditionalFormatting sqref="J5106:J5111 J5117:J5125 J5131:J5138 J5144:J5151 J5162 J5168:J5172 J5178:J5183 J5189 J5200:J5201 J5212:J5213 J5219:J5221 J5227:J5228 J5234 J5240:J5246 J5252:J5254 J5260 J5266:J5274 J5280:J5282 J5288:J5292 J5298:J5304 J5310:J5314 J5320:J5325 J5331:J5332 J5338:J5340 J5351:J5365 J5376:J5387 J5393:J5394 J5400:J5424 J5430:J5443 J5449:J5454 J5460:J5463 J5469:J5473 J5484:J5511 J5522:J5525 J5531:J5542 J5548:J5562 J5568:J5582 J5588:J5589 J5595:J5630 J5636:J5645 J5651:J5657 J5663:J5673 J5679:J5697 J5703:J5717 J5723:J5730 J5736:J5742 J5748:J5762 J5768:J5790 J5796:J5810 J5816:J5851 J5857:J5867 J5873:J5879 J5885:J5888 J5894:J5903 J5909:J5938 J5944:J5961 J5967:J5968 J5974:J5995 J6001:J6004 J6015:J6029 J6035:J6046 J6052:J6057 J6063:J6064 J6070:J6077 J6083:J6098 J6104:J6112 J6118:J6122 J6128:J6130 J6136 J6142:J6147 J6153:J6158 J6164:J6172 J6178:J6192 J6198:J6227 J6233:J6242 J6248:J6263 J6269:J6343 J6349:J6382 J6388:J6410 J6416:J6426 J6432:J6478 J6484:J6492 J6498:J6525 J6531:J6542 J6548 J6554:J6564 J6570:J6576 J6582:J6583 J6589:J6592 J6598:J6615 J6621:J6654 J6660:J6675 J6681 J6687 J6693:J6696 J6702 J6708:J6711 J6717:J6727 J6733:J6741 J6747 J6753:J6768 J6774:J6779 J6785:J6786 J6792:J6798 J6804:J6809 J6815:J6821 J6827:J6829 J6835:J6850 J6856:J6863 J6869:J6887 J6893:J6920 J6926:J6928 J6934:J6962 J6968:J7744 J7750:J7758 J7764:J7773 J7779:J7789 J7795:J7818 J7824:J7832 J7838:J7874 J7880:J7890 J7896 J7902:J7903 J7909:J7915 J7921:J7947 J7953:J7957 J7963:J7971 J7977:J7983 J7989:J7990 J7996:J8000 J8006:J8012 J8018 J8024:J8032 J8038 J8044:J8047 J8053:J8054 J8060:J8073 J8079:J8094 J8100:J8117 J8123:J8140 J8146:J8176 J8182:J8205 J8211:J8214 J8220:J8250 J8256:J8274 J8280:J8305 J8311:J8326 J8332:J8344 J8350:J8392 J8398:J8424 J8430:J8483 J8489:J8497 J8503:J8507 J8513:J8538 J8544:J8571 J8577:J8598 J8604:J8607 J8613:J8623 J8629:J8665 J8671:J8672 J8678:J8709 J8715:J8717 J8723:J8782 J8788:J8789 J8795:J8821 J8827:J8862 J8868:J8920 J8926:J8927 J8933:J8949 J8955:J8990 J8996:J9012 J9018:J9036 J9042:J9057 J9063:J9080 J9086:J9101 J9107:J9128 J9134:J9168 J9174:J9184 J9190 J9196 J9202:J9206 J9212:J9216 J9222:J9242 J9248:J9259 J9265:J9271 J9277 J9283:J9284 J9290:J9291 J9297 J9303:J9305 J9311:J9313 J9319:J9324 J9330:J9332 J9343:J9348 J9354:J9358 J9364:J9367 J9373:J9383 J9389:J9391 J9397 J9403:J9409 J9415:J9416 J9422:J9430 J9436:J9438 J9454:J9457 J9463:J9466 J9471 J9476 J9481 J9486:J9490 J9495 J9500 J9505 J9510 J9515 J9520:J9563 J9568 J9573:J9579 J9584 J9589 J9594 J9599 J9604 J9609:J9611 J9616 J9621:J9622 J9627:J9628 J9633 J9638 J9643:J9653 J9658 J9663:J9665 J9670 J9675:J9676 J9681 J9686:J9688 J9693 J9698:J9699 J9704:J9710 J9715:J9717 J9722 J9727 J9732 J9737:J9739 J9744:J9746 J9751:J9752 J9757 J9762 J9767 J9772 J9777:J9780 J9785 J9790:J9797 J9802:J9805 J9810 J9815:J9821 J9826:J9830 J9835:J9839 J9844 J9849:J9852 J9857 J9862 J9867 J9872 J9877:J9945 J9951 J9957 J9973:J9980 J9986:J9990 J10011:J10014 J10020:J10029 J10045:J10046 J10052:J10055 J10081:J10082 J10088:J10091 J10112:J10115 J10131 J10187 J10203:J10204 J10220 J10246 J10267:J10273 J10284:J10291 J10297 J10313:J10314 J10325:J10329 J10335 J10346:J10350 J10356:J10357 J10373:J10375 J10391:J10392 J10403:J10404 J10425:J10426 J10437:J10438 J10449:J10450 J10461:J10462 J10468 J10494 J10500 J10506 J10512:J10516 J10522:J10523 J10544:J10548 J10554:J10558 J10564:J10565 J10576 J10582:J10595 J10601 J10607:J10608 J10624:J10628 J10634:J10637 J10643 J10649:J10658 J10664:J10671 J10677:J10683 J10694:J10696 J10702:J10705 J10711:J10717 J10728:J10734 J10740 J10746 J10752 J10768:J10770 J10786:J10788 J10799:J10807 J10815 J10817:J10818 J10829:J10838 J10849:J10852 J10858:J10877 J10883:J10887 J10893:J10902 J10908:J10914 J10925 J10956:J10959 J10965:J10968 J10984:J10997 J11008:J11015 J11021:J11022 J11033:J11042 J11048:J11058 J11069:J11071 J11077:J11078 J11084:J11086 J11092:J11094 J11100:J11101 J11107:J11113 J11119:J11139 J11150:J11152 J11158:J11161 J11167:J11177 J11183 J11189 J11195:J11202 J11213:J11227 J11233:J11242 J11248 J11259:J11261 J11267 J11273:J11276 J11282:J11293 J11299:J11313 J11319:J11323 J11344:J11348 J11354:J11355 J11366:J11371 J11412:J11417 J11433:J11434 J11440:J11443 J11449:J11450 J11456 J11462:J11467 J11473:J11475 J11491 J11502:J11504 J11510:J11512 J11518 J11524:J11538 J11544 J11550:J11554 J11560:J11565 J11571:J11580 J11596:J11599 J11620:J11624 J11635:J11639 J11729:J11730 J11741 J11753:J11759 J11766:J11771">
    <cfRule type="cellIs" dxfId="0" priority="2069" stopIfTrue="1" operator="lessThan">
      <formula>0</formula>
    </cfRule>
  </conditionalFormatting>
  <conditionalFormatting sqref="J5106:J5111 J5117:J5125 J5131:J5138 J5144:J5151 J5162 J5168:J5172 J5178:J5183 J5189 J5200:J5201 J5212:J5213 J5219:J5221 J5227:J5228 J5234 J5240:J5246 J5252:J5254 J5260 J5266:J5274 J5280:J5282 J5288:J5292 J5298:J5304 J5310:J5314 J5320:J5325 J5331:J5332 J5338:J5340 J5351:J5365 J5376:J5387 J5393:J5394 J5400:J5424 J5430:J5443 J5449:J5454 J5460:J5463 J5469:J5473 J5484:J5511 J5522:J5525 J5531:J5542 J5548:J5562 J5568:J5582 J5588:J5589 J5595:J5630 J5636:J5645 J5651:J5657 J5663:J5673 J5679:J5697 J5703:J5717 J5723:J5730 J5736:J5742 J5748:J5762 J5768:J5790 J5796:J5810 J5816:J5851 J5857:J5867 J5873:J5879 J5885:J5888 J5894:J5903 J5909:J5938 J5944:J5961 J5967:J5968 J5974:J5995 J6001:J6004 J6015:J6029 J6035:J6046 J6052:J6057 J6063:J6064 J6070:J6077 J6083:J6098 J6104:J6112 J6118:J6122 J6128:J6130 J6136 J6142:J6147 J6153:J6158 J6164:J6172 J6178:J6192 J6198:J6227 J6233:J6242 J6248:J6263 J6269:J6343 J6349:J6382 J6388:J6410 J6416:J6426 J6432:J6478 J6484:J6492 J6498:J6525 J6531:J6542 J6548 J6554:J6564 J6570:J6576 J6582:J6583 J6589:J6592 J6598:J6615 J6621:J6654 J6660:J6675 J6681 J6687 J6693:J6696 J6702 J6708:J6711 J6717:J6727 J6733:J6741 J6747 J6753:J6768 J6774:J6779 J6785:J6786 J6792:J6798 J6804:J6809 J6815:J6821 J6827:J6829 J6835:J6850 J6856:J6863 J6869:J6887 J6893:J6920 J6926:J6928 J6934:J6962 J6968:J7744 J7750:J7758 J7764:J7773 J7779:J7789 J7795:J7818 J7824:J7832 J7838:J7874 J7880:J7890 J7896 J7902:J7903 J7909:J7915 J7921:J7947 J7953:J7957 J7963:J7971 J7977:J7983 J7989:J7990 J7996:J8000 J8006:J8012 J8018 J8024:J8032 J8038 J8044:J8047 J8053:J8054 J8060:J8073 J8079:J8094 J8100:J8117 J8123:J8140 J8146:J8176 J8182:J8205 J8211:J8214 J8220:J8250 J8256:J8274 J8280:J8305 J8311:J8326 J8332:J8344 J8350:J8392 J8398:J8424 J8430:J8483 J8489:J8497 J8503:J8507 J8513:J8538 J8544:J8571 J8577:J8598 J8604:J8607 J8613:J8623 J8629:J8665 J8671:J8672 J8678:J8709 J8715:J8717 J8723:J8782 J8788:J8789 J8795:J8821 J8827:J8862 J8868:J8920 J8926:J8927 J8933:J8949 J8955:J8990 J8996:J9012 J9018:J9036 J9042:J9057 J9063:J9080 J9086:J9101 J9107:J9128 J9134:J9168 J9174:J9184 J9190 J9196 J9202:J9206 J9212:J9216 J9222:J9242 J9248:J9259 J9265:J9271 J9277 J9283:J9284 J9290:J9291 J9297 J9303:J9305 J9311:J9313 J9319:J9324 J9330:J9332 J9343:J9348 J9354:J9358 J9364:J9367 J9373:J9383 J9389:J9391 J9397 J9403:J9409 J9415:J9416 J9422:J9430 J9436:J9438 J9454:J9457 J9463:J9466 J9471 J9476 J9481 J9486:J9490 J9495 J9500 J9505 J9510 J9515 J9520:J9563 J9568 J9573:J9579 J9584 J9589 J9594 J9599 J9604 J9609:J9611 J9616 J9621:J9622 J9627:J9628 J9633 J9638 J9643:J9653 J9658 J9663:J9665 J9670 J9675:J9676 J9681 J9686:J9688 J9693 J9698:J9699 J9704:J9710 J9715:J9717 J9722 J9727 J9732 J9737:J9739 J9744:J9746 J9751:J9752 J9757 J9762 J9767 J9772 J9777:J9780 J9785 J9790:J9797 J9802:J9805 J9810 J9815:J9821 J9826:J9830 J9835:J9839 J9844 J9849:J9852 J9857 J9862 J9867 J9872 J9877:J9945 J9951 J9957 J9973:J9980 J9986:J9990 J10011:J10014 J10020:J10029 J10045:J10046 J10052:J10055 J10081:J10082 J10088:J10091 J10112:J10115 J10131 J10187 J10203:J10204 J10220 J10246 J10267:J10273 J10284:J10291 J10297 J10313:J10314 J10325:J10329 J10335 J10346:J10350 J10356:J10357 J10373:J10375 J10391:J10392 J10403:J10404 J10425:J10426 J10437:J10438 J10449:J10450 J10461:J10462 J10468 J10494 J10500 J10506 J10512:J10516 J10522:J10523 J10544:J10548 J10554:J10558 J10564:J10565 J10576 J10582:J10595 J10601 J10607:J10608 J10624:J10628 J10634:J10637 J10643 J10649:J10658 J10664:J10671 J10677:J10683 J10694:J10696 J10702:J10705 J10711:J10717 J10728:J10734 J10740 J10746 J10752 J10768:J10770 J10786:J10788 J10799:J10807 J10815 J10817:J10818 J10829:J10838 J10849:J10852 J10858:J10877 J10883:J10887 J10893:J10902 J10908:J10914 J10925 J10956:J10959 J10965:J10968 J10984:J10997 J11008:J11015 J11021:J11022 J11033:J11042 J11048:J11058 J11069:J11071 J11077:J11078 J11084:J11086 J11092:J11094 J11100:J11101 J11107:J11113 J11119:J11139 J11150:J11152 J11158:J11161 J11167:J11177 J11183 J11189 J11195:J11202 J11213:J11227 J11233:J11242 J11248 J11259:J11261 J11267 J11273:J11276 J11282:J11293 J11299:J11313 J11319:J11323 J11344:J11348 J11354:J11355 J11366:J11371 J11412:J11417 J11433:J11434 J11440:J11443 J11449:J11450 J11456 J11462:J11467 J11473:J11475 J11491 J11502:J11504 J11510:J11512 J11518 J11524:J11538 J11544 J11550:J11554 J11560:J11565 J11571:J11580 J11596:J11599 J11620:J11624 J11635:J11639 J11729:J11730 J11741 J11753:J11759 J11766:J11771">
    <cfRule type="cellIs" dxfId="1" priority="2070" stopIfTrue="1" operator="greaterThan">
      <formula>0</formula>
    </cfRule>
  </conditionalFormatting>
  <conditionalFormatting sqref="J5106:J5111 J5117:J5125 J5131:J5138 J5144:J5151 J5162 J5168:J5172 J5178:J5183 J5189 J5200:J5201 J5212:J5213 J5219:J5221 J5227:J5228 J5234 J5240:J5246 J5252:J5254 J5260 J5266:J5274 J5280:J5282 J5288:J5292 J5298:J5304 J5310:J5314 J5320:J5325 J5331:J5332 J5338:J5340 J5351:J5365 J5376:J5387 J5393:J5394 J5400:J5424 J5430:J5443 J5449:J5454 J5460:J5463 J5469:J5473 J5484:J5511 J5522:J5525 J5531:J5542 J5548:J5562 J5568:J5582 J5588:J5589 J5595:J5630 J5636:J5645 J5651:J5657 J5663:J5673 J5679:J5697 J5703:J5717 J5723:J5730 J5736:J5742 J5748:J5762 J5768:J5790 J5796:J5810 J5816:J5851 J5857:J5867 J5873:J5879 J5885:J5888 J5894:J5903 J5909:J5938 J5944:J5961 J5967:J5968 J5974:J5995 J6001:J6004 J6015:J6029 J6035:J6046 J6052:J6057 J6063:J6064 J6070:J6077 J6083:J6098 J6104:J6112 J6118:J6122 J6128:J6130 J6136 J6142:J6147 J6153:J6158 J6164:J6172 J6178:J6192 J6198:J6227 J6233:J6242 J6248:J6263 J6269:J6343 J6349:J6382 J6388:J6410 J6416:J6426 J6432:J6478 J6484:J6492 J6498:J6525 J6531:J6542 J6548 J6554:J6564 J6570:J6576 J6582:J6583 J6589:J6592 J6598:J6615 J6621:J6654 J6660:J6675 J6681 J6687 J6693:J6696 J6702 J6708:J6711 J6717:J6727 J6733:J6741 J6747 J6753:J6768 J6774:J6779 J6785:J6786 J6792:J6798 J6804:J6809 J6815:J6821 J6827:J6829 J6835:J6850 J6856:J6863 J6869:J6887 J6893:J6920 J6926:J6928 J6934:J6962 J6968:J7744 J7750:J7758 J7764:J7773 J7779:J7789 J7795:J7818 J7824:J7832 J7838:J7874 J7880:J7890 J7896 J7902:J7903 J7909:J7915 J7921:J7947 J7953:J7957 J7963:J7971 J7977:J7983 J7989:J7990 J7996:J8000 J8006:J8012 J8018 J8024:J8032 J8038 J8044:J8047 J8053:J8054 J8060:J8073 J8079:J8094 J8100:J8117 J8123:J8140 J8146:J8176 J8182:J8205 J8211:J8214 J8220:J8250 J8256:J8274 J8280:J8305 J8311:J8326 J8332:J8344 J8350:J8392 J8398:J8424 J8430:J8483 J8489:J8497 J8503:J8507 J8513:J8538 J8544:J8571 J8577:J8598 J8604:J8607 J8613:J8623 J8629:J8665 J8671:J8672 J8678:J8709 J8715:J8717 J8723:J8782 J8788:J8789 J8795:J8821 J8827:J8862 J8868:J8920 J8926:J8927 J8933:J8949 J8955:J8990 J8996:J9012 J9018:J9036 J9042:J9057 J9063:J9080 J9086:J9101 J9107:J9128 J9134:J9168 J9174:J9184 J9190 J9196 J9202:J9206 J9212:J9216 J9222:J9242 J9248:J9259 J9265:J9271 J9277 J9283:J9284 J9290:J9291 J9297 J9303:J9305 J9311:J9313 J9319:J9324 J9330:J9332 J9343:J9348 J9354:J9358 J9364:J9367 J9373:J9383 J9389:J9391 J9397 J9403:J9409 J9415:J9416 J9422:J9430 J9436:J9438 J9454:J9457 J9463:J9466 J9471 J9476 J9481 J9486:J9490 J9495 J9500 J9505 J9510 J9515 J9520:J9563 J9568 J9573:J9579 J9584 J9589 J9594 J9599 J9604 J9609:J9611 J9616 J9621:J9622 J9627:J9628 J9633 J9638 J9643:J9653 J9658 J9663:J9665 J9670 J9675:J9676 J9681 J9686:J9688 J9693 J9698:J9699 J9704:J9710 J9715:J9717 J9722 J9727 J9732 J9737:J9739 J9744:J9746 J9751:J9752 J9757 J9762 J9767 J9772 J9777:J9780 J9785 J9790:J9797 J9802:J9805 J9810 J9815:J9821 J9826:J9830 J9835:J9839 J9844 J9849:J9852 J9857 J9862 J9867 J9872 J9877:J9945 J9951 J9957 J9973:J9980 J9986:J9990 J10011:J10014 J10020:J10029 J10045:J10046 J10052:J10055 J10081:J10082 J10088:J10091 J10112:J10115 J10131 J10187 J10203:J10204 J10220 J10246 J10267:J10273 J10284:J10291 J10297 J10313:J10314 J10325:J10329 J10335 J10346:J10350 J10356:J10357 J10373:J10375 J10391:J10392 J10403:J10404 J10425:J10426 J10437:J10438 J10449:J10450 J10461:J10462 J10468 J10494 J10500 J10506 J10512:J10516 J10522:J10523 J10544:J10548 J10554:J10558 J10564:J10565 J10576 J10582:J10595 J10601 J10607:J10608 J10624:J10628 J10634:J10637 J10643 J10649:J10658 J10664:J10671 J10677:J10683 J10694:J10696 J10702:J10705 J10711:J10717 J10728:J10734 J10740 J10746 J10752 J10768:J10770 J10786:J10788 J10799:J10807 J10815 J10817:J10818 J10829:J10838 J10849:J10852 J10858:J10877 J10883:J10887 J10893:J10902 J10908:J10914 J10925 J10956:J10959 J10965:J10968 J10984:J10997 J11008:J11015 J11021:J11022 J11033:J11042 J11048:J11058 J11069:J11071 J11077:J11078 J11084:J11086 J11092:J11094 J11100:J11101 J11107:J11113 J11119:J11139 J11150:J11152 J11158:J11161 J11167:J11177 J11183 J11189 J11195:J11202 J11213:J11227 J11233:J11242 J11248 J11259:J11261 J11267 J11273:J11276 J11282:J11293 J11299:J11313 J11319:J11323 J11344:J11348 J11354:J11355 J11366:J11371 J11412:J11417 J11433:J11434 J11440:J11443 J11449:J11450 J11456 J11462:J11467 J11473:J11475 J11491 J11502:J11504 J11510:J11512 J11518 J11524:J11538 J11544 J11550:J11554 J11560:J11565 J11571:J11580 J11596:J11599 J11620:J11624 J11635:J11639 J11729:J11730 J11741 J11753:J11759 J11766:J11771">
    <cfRule type="cellIs" dxfId="0" priority="2071" stopIfTrue="1" operator="lessThan">
      <formula>0</formula>
    </cfRule>
  </conditionalFormatting>
  <conditionalFormatting sqref="J5106:J5111 J5117:J5125 J5131:J5138 J5144:J5151 J5162 J5168:J5172 J5178:J5183 J5189 J5200:J5201 J5212:J5213 J5219:J5221 J5227:J5228 J5234 J5240:J5246 J5252:J5254 J5260 J5266:J5274 J5280:J5282 J5288:J5292 J5298:J5304 J5310:J5314 J5320:J5325 J5331:J5332 J5338:J5340 J5351:J5365 J5376:J5387 J5393:J5394 J5400:J5424 J5430:J5443 J5449:J5454 J5460:J5463 J5469:J5473 J5484:J5511 J5522:J5525 J5531:J5542 J5548:J5562 J5568:J5582 J5588:J5589 J5595:J5630 J5636:J5645 J5651:J5657 J5663:J5673 J5679:J5697 J5703:J5717 J5723:J5730 J5736:J5742 J5748:J5762 J5768:J5790 J5796:J5810 J5816:J5851 J5857:J5867 J5873:J5879 J5885:J5888 J5894:J5903 J5909:J5938 J5944:J5961 J5967:J5968 J5974:J5995 J6001:J6004 J6015:J6029 J6035:J6046 J6052:J6057 J6063:J6064 J6070:J6077 J6083:J6098 J6104:J6112 J6118:J6122 J6128:J6130 J6136 J6142:J6147 J6153:J6158 J6164:J6172 J6178:J6192 J6198:J6227 J6233:J6242 J6248:J6263 J6269:J6343 J6349:J6382 J6388:J6410 J6416:J6426 J6432:J6478 J6484:J6492 J6498:J6525 J6531:J6542 J6548 J6554:J6564 J6570:J6576 J6582:J6583 J6589:J6592 J6598:J6615 J6621:J6654 J6660:J6675 J6681 J6687 J6693:J6696 J6702 J6708:J6711 J6717:J6727 J6733:J6741 J6747 J6753:J6768 J6774:J6779 J6785:J6786 J6792:J6798 J6804:J6809 J6815:J6821 J6827:J6829 J6835:J6850 J6856:J6863 J6869:J6887 J6893:J6920 J6926:J6928 J6934:J6962 J6968:J7744 J7750:J7758 J7764:J7773 J7779:J7789 J7795:J7818 J7824:J7832 J7838:J7874 J7880:J7890 J7896 J7902:J7903 J7909:J7915 J7921:J7947 J7953:J7957 J7963:J7971 J7977:J7983 J7989:J7990 J7996:J8000 J8006:J8012 J8018 J8024:J8032 J8038 J8044:J8047 J8053:J8054 J8060:J8073 J8079:J8094 J8100:J8117 J8123:J8140 J8146:J8176 J8182:J8205 J8211:J8214 J8220:J8250 J8256:J8274 J8280:J8305 J8311:J8326 J8332:J8344 J8350:J8392 J8398:J8424 J8430:J8483 J8489:J8497 J8503:J8507 J8513:J8538 J8544:J8571 J8577:J8598 J8604:J8607 J8613:J8623 J8629:J8665 J8671:J8672 J8678:J8709 J8715:J8717 J8723:J8782 J8788:J8789 J8795:J8821 J8827:J8862 J8868:J8920 J8926:J8927 J8933:J8949 J8955:J8990 J8996:J9012 J9018:J9036 J9042:J9057 J9063:J9080 J9086:J9101 J9107:J9128 J9134:J9168 J9174:J9184 J9190 J9196 J9202:J9206 J9212:J9216 J9222:J9242 J9248:J9259 J9265:J9271 J9277 J9283:J9284 J9290:J9291 J9297 J9303:J9305 J9311:J9313 J9319:J9324 J9330:J9332 J9343:J9348 J9354:J9358 J9364:J9367 J9373:J9383 J9389:J9391 J9397 J9403:J9409 J9415:J9416 J9422:J9430 J9436:J9438 J9454:J9457 J9463:J9466 J9471 J9476 J9481 J9486:J9490 J9495 J9500 J9505 J9510 J9515 J9520:J9563 J9568 J9573:J9579 J9584 J9589 J9594 J9599 J9604 J9609:J9611 J9616 J9621:J9622 J9627:J9628 J9633 J9638 J9643:J9653 J9658 J9663:J9665 J9670 J9675:J9676 J9681 J9686:J9688 J9693 J9698:J9699 J9704:J9710 J9715:J9717 J9722 J9727 J9732 J9737:J9739 J9744:J9746 J9751:J9752 J9757 J9762 J9767 J9772 J9777:J9780 J9785 J9790:J9797 J9802:J9805 J9810 J9815:J9821 J9826:J9830 J9835:J9839 J9844 J9849:J9852 J9857 J9862 J9867 J9872 J9877:J9945 J9951 J9957 J9973:J9980 J9986:J9990 J10011:J10014 J10020:J10029 J10045:J10046 J10052:J10055 J10081:J10082 J10088:J10091 J10112:J10115 J10131 J10187 J10203:J10204 J10220 J10246 J10267:J10273 J10284:J10291 J10297 J10313:J10314 J10325:J10329 J10335 J10346:J10350 J10356:J10357 J10373:J10375 J10391:J10392 J10403:J10404 J10425:J10426 J10437:J10438 J10449:J10450 J10461:J10462 J10468 J10494 J10500 J10506 J10512:J10516 J10522:J10523 J10544:J10548 J10554:J10558 J10564:J10565 J10576 J10582:J10595 J10601 J10607:J10608 J10624:J10628 J10634:J10637 J10643 J10649:J10658 J10664:J10671 J10677:J10683 J10694:J10696 J10702:J10705 J10711:J10717 J10728:J10734 J10740 J10746 J10752 J10768:J10770 J10786:J10788 J10799:J10807 J10815 J10817:J10818 J10829:J10838 J10849:J10852 J10858:J10877 J10883:J10887 J10893:J10902 J10908:J10914 J10925 J10956:J10959 J10965:J10968 J10984:J10997 J11008:J11015 J11021:J11022 J11033:J11042 J11048:J11058 J11069:J11071 J11077:J11078 J11084:J11086 J11092:J11094 J11100:J11101 J11107:J11113 J11119:J11139 J11150:J11152 J11158:J11161 J11167:J11177 J11183 J11189 J11195:J11202 J11213:J11227 J11233:J11242 J11248 J11259:J11261 J11267 J11273:J11276 J11282:J11293 J11299:J11313 J11319:J11323 J11344:J11348 J11354:J11355 J11366:J11371 J11412:J11417 J11433:J11434 J11440:J11443 J11449:J11450 J11456 J11462:J11467 J11473:J11475 J11491 J11502:J11504 J11510:J11512 J11518 J11524:J11538 J11544 J11550:J11554 J11560:J11565 J11571:J11580 J11596:J11599 J11620:J11624 J11635:J11639 J11729:J11730 J11741 J11753:J11759 J11766:J11771">
    <cfRule type="cellIs" dxfId="1" priority="2072" stopIfTrue="1" operator="greaterThan">
      <formula>0</formula>
    </cfRule>
  </conditionalFormatting>
  <conditionalFormatting sqref="I5112:J5116 I5126:J5130 I5139:J5143 I5152:J5161 I5163:J5167 I5173:J5177 I5184:J5188 I5190:J5199 I5202:J5211 I5214:J5218 I5222:J5226 I5229:J5233 I5235:J5239 I5247:J5251 I5255:J5259 I5261:J5265 I5275:J5279 I5283:J5287 I5293:J5297 I5305:J5309 I5315:J5319 I5326:J5330 I5333:J5337 I5341:J5350 I5366:J5375 I5388:J5392 I5395:J5399 I5425:J5429 I5444:J5448 I5455:J5459 I5464:J5468 I5474:J5483 I5512:J5521 I5526:J5530 I5543:J5547 I5563:J5567 I5583:J5587 I5590:J5594 I5631:J5635 I5646:J5650 I5658:J5662 I5674:J5678 I5698:J5702 I5718:J5722 I5731:J5735 I5743:J5747 I5763:J5767 I5791:J5795 I5811:J5815 I5852:J5856 I5868:J5872 I5880:J5884 I5889:J5893 I5904:J5908 I5939:J5943 I5962:J5966 I5969:J5973 I5996:J6000 I6005:J6009 I6011:J6014 I6031:J6034 I6048:J6051 I6059:J6062 I6066:J6069 I6079:J6082 I6100:J6103 I6114:J6117 I6124:J6127 I6132:J6135 I6138:J6141 I6149:J6152 I6160:J6163 I6174:J6177 I6194:J6197 I6229:J6232 I6244:J6247 I6265:J6268 I6345:J6348 I6384:J6387 I6412:J6415 I6428:J6431 I6480:J6483 I6494:J6497 I6527:J6530 I6544:J6547 I6550:J6553 I6566:J6569 I6578:J6581 I6585:J6588 I6594:J6597 I6617:J6620 I6656:J6659 I6677:J6680 I6683:J6686 I6689:J6692 I6698:J6701 I6704:J6707 I6713:J6716 I6729:J6732 I6743:J6746 I6749:J6752 I6770:J6773 I6781:J6784 I6788:J6791 I6800:J6803 I6811:J6814 I6823:J6826 I6831:J6834 I6852:J6855 I6865:J6868 I6889:J6892 I6922:J6925 I6930:J6933 I6964:J6967 I6974:J6977 I7024:J7027 I7046:J7049 I7054:J7057 I7084:J7087 I7134:J7137 I7173:J7176 I7207:J7210 I7229:J7232 I7242:J7245 I7251:J7254 I7266:J7269 I7285:J7288 I7302:J7305 I7317:J7320 I7327:J7330 I7345:J7348 I7388:J7391 I7399:J7402 I7450:J7453 I7459:J7462 I7466:J7469 I7490:J7493 I7500:J7503 I7506:J7509 I7537:J7540 I7553:J7556 I7562:J7565 I7581:J7584 I7607:J7610 I7625:J7628 I7637:J7640 I7644:J7647 I7671:J7674 I7680:J7683 I7702:J7705 I7719:J7722 I7730:J7733">
    <cfRule type="cellIs" dxfId="0" priority="2073" stopIfTrue="1" operator="lessThan">
      <formula>0</formula>
    </cfRule>
  </conditionalFormatting>
  <conditionalFormatting sqref="I5112:J5116 I5126:J5130 I5139:J5143 I5152:J5161 I5163:J5167 I5173:J5177 I5184:J5188 I5190:J5199 I5202:J5211 I5214:J5218 I5222:J5226 I5229:J5233 I5235:J5239 I5247:J5251 I5255:J5259 I5261:J5265 I5275:J5279 I5283:J5287 I5293:J5297 I5305:J5309 I5315:J5319 I5326:J5330 I5333:J5337 I5341:J5350 I5366:J5375 I5388:J5392 I5395:J5399 I5425:J5429 I5444:J5448 I5455:J5459 I5464:J5468 I5474:J5483 I5512:J5521 I5526:J5530 I5543:J5547 I5563:J5567 I5583:J5587 I5590:J5594 I5631:J5635 I5646:J5650 I5658:J5662 I5674:J5678 I5698:J5702 I5718:J5722 I5731:J5735 I5743:J5747 I5763:J5767 I5791:J5795 I5811:J5815 I5852:J5856 I5868:J5872 I5880:J5884 I5889:J5893 I5904:J5908 I5939:J5943 I5962:J5966 I5969:J5973 I5996:J6000 I6005:J6009 I6011:J6014 I6031:J6034 I6048:J6051 I6059:J6062 I6066:J6069 I6079:J6082 I6100:J6103 I6114:J6117 I6124:J6127 I6132:J6135 I6138:J6141 I6149:J6152 I6160:J6163 I6174:J6177 I6194:J6197 I6229:J6232 I6244:J6247 I6265:J6268 I6345:J6348 I6384:J6387 I6412:J6415 I6428:J6431 I6480:J6483 I6494:J6497 I6527:J6530 I6544:J6547 I6550:J6553 I6566:J6569 I6578:J6581 I6585:J6588 I6594:J6597 I6617:J6620 I6656:J6659 I6677:J6680 I6683:J6686 I6689:J6692 I6698:J6701 I6704:J6707 I6713:J6716 I6729:J6732 I6743:J6746 I6749:J6752 I6770:J6773 I6781:J6784 I6788:J6791 I6800:J6803 I6811:J6814 I6823:J6826 I6831:J6834 I6852:J6855 I6865:J6868 I6889:J6892 I6922:J6925 I6930:J6933 I6964:J6967 I6974:J6977 I7024:J7027 I7046:J7049 I7054:J7057 I7084:J7087 I7134:J7137 I7173:J7176 I7207:J7210 I7229:J7232 I7242:J7245 I7251:J7254 I7266:J7269 I7285:J7288 I7302:J7305 I7317:J7320 I7327:J7330 I7345:J7348 I7388:J7391 I7399:J7402 I7450:J7453 I7459:J7462 I7466:J7469 I7490:J7493 I7500:J7503 I7506:J7509 I7537:J7540 I7553:J7556 I7562:J7565 I7581:J7584 I7607:J7610 I7625:J7628 I7637:J7640 I7644:J7647 I7671:J7674 I7680:J7683 I7702:J7705 I7719:J7722 I7730:J7733">
    <cfRule type="cellIs" dxfId="1" priority="2074" stopIfTrue="1" operator="greaterThan">
      <formula>0</formula>
    </cfRule>
  </conditionalFormatting>
  <dataValidations>
    <dataValidation type="list" allowBlank="1" sqref="B1:B12834">
      <formula1>"BOT,SLD,Rebal BOT,Rebal SLD,Start/Update,End"</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6.0" topLeftCell="G1" activePane="topRight" state="frozen"/>
      <selection activeCell="H2" sqref="H2" pane="topRight"/>
    </sheetView>
  </sheetViews>
  <sheetFormatPr customHeight="1" defaultColWidth="17.29" defaultRowHeight="15.75"/>
  <cols>
    <col customWidth="1" min="1" max="1" width="9.43"/>
    <col customWidth="1" min="2" max="2" width="10.71"/>
    <col customWidth="1" min="3" max="3" width="12.43"/>
    <col customWidth="1" min="4" max="4" width="10.14"/>
    <col customWidth="1" min="5" max="5" width="7.86"/>
    <col customWidth="1" min="6" max="6" width="10.14"/>
    <col customWidth="1" min="7" max="7" width="10.0"/>
    <col customWidth="1" min="8" max="8" width="11.86"/>
    <col customWidth="1" min="9" max="9" width="10.43"/>
    <col customWidth="1" min="10" max="10" width="10.14"/>
    <col customWidth="1" min="11" max="16" width="10.71"/>
    <col customWidth="1" min="17" max="17" width="8.86"/>
    <col customWidth="1" min="18" max="18" width="10.71"/>
  </cols>
  <sheetData>
    <row r="1" ht="12.75" customHeight="1">
      <c r="A1" s="72" t="s">
        <v>943</v>
      </c>
      <c r="B1" s="193"/>
      <c r="C1" s="1"/>
      <c r="D1" s="1"/>
      <c r="F1" s="1"/>
      <c r="G1" s="1"/>
      <c r="H1" s="68"/>
      <c r="I1" s="194" t="s">
        <v>945</v>
      </c>
    </row>
    <row r="2" ht="12.75" customHeight="1">
      <c r="A2" s="9"/>
      <c r="B2" s="32"/>
      <c r="C2" s="1"/>
      <c r="D2" s="1"/>
      <c r="F2" s="195" t="s">
        <v>946</v>
      </c>
      <c r="G2" s="68"/>
      <c r="H2" s="76"/>
      <c r="I2" s="196">
        <f>A3</f>
        <v>43763</v>
      </c>
    </row>
    <row r="3" ht="12.75" customHeight="1">
      <c r="A3" s="197">
        <v>43763.0</v>
      </c>
      <c r="B3" s="193"/>
      <c r="C3" s="32" t="s">
        <v>947</v>
      </c>
      <c r="D3" s="1"/>
      <c r="E3" s="94" t="s">
        <v>948</v>
      </c>
      <c r="F3" s="198" t="s">
        <v>949</v>
      </c>
      <c r="G3" s="87"/>
      <c r="H3" s="199"/>
      <c r="I3" s="200">
        <v>1.0</v>
      </c>
      <c r="K3" s="201" t="s">
        <v>951</v>
      </c>
    </row>
    <row r="4" ht="12.75" customHeight="1">
      <c r="A4" s="202">
        <f t="shared" ref="A4:A7" si="1">A3</f>
        <v>43763</v>
      </c>
      <c r="B4" s="193"/>
      <c r="C4" s="32" t="s">
        <v>952</v>
      </c>
      <c r="D4" s="1"/>
      <c r="F4" s="203" t="s">
        <v>953</v>
      </c>
      <c r="G4" s="1"/>
      <c r="H4" s="68"/>
      <c r="I4" s="204">
        <v>0.0</v>
      </c>
      <c r="K4" s="9" t="s">
        <v>954</v>
      </c>
      <c r="L4" s="205"/>
      <c r="M4" s="205"/>
      <c r="N4" s="205"/>
      <c r="O4" s="205"/>
      <c r="P4" s="205"/>
      <c r="Q4" s="205"/>
      <c r="R4" s="205"/>
    </row>
    <row r="5" ht="12.75" customHeight="1">
      <c r="A5" s="202">
        <f t="shared" si="1"/>
        <v>43763</v>
      </c>
      <c r="B5" s="193"/>
      <c r="C5" s="32" t="s">
        <v>955</v>
      </c>
      <c r="D5" s="1"/>
      <c r="F5" s="203" t="s">
        <v>956</v>
      </c>
      <c r="G5" s="1"/>
      <c r="H5" s="68"/>
      <c r="I5" s="204">
        <v>0.0</v>
      </c>
      <c r="K5" s="9" t="s">
        <v>957</v>
      </c>
      <c r="L5" s="205"/>
      <c r="M5" s="205"/>
      <c r="N5" s="205"/>
      <c r="O5" s="205"/>
      <c r="P5" s="205"/>
      <c r="Q5" s="205"/>
      <c r="R5" s="205"/>
    </row>
    <row r="6" ht="12.75" customHeight="1">
      <c r="A6" s="202">
        <f t="shared" si="1"/>
        <v>43763</v>
      </c>
      <c r="B6" s="193"/>
      <c r="C6" s="32" t="s">
        <v>958</v>
      </c>
      <c r="D6" s="1"/>
      <c r="F6" s="203" t="s">
        <v>959</v>
      </c>
      <c r="G6" s="1"/>
      <c r="H6" s="68"/>
      <c r="I6" s="204">
        <v>1.0</v>
      </c>
      <c r="K6" s="9" t="s">
        <v>960</v>
      </c>
      <c r="L6" s="205"/>
      <c r="M6" s="205"/>
      <c r="N6" s="205"/>
      <c r="O6" s="205"/>
      <c r="P6" s="205"/>
      <c r="Q6" s="205"/>
      <c r="R6" s="205"/>
    </row>
    <row r="7" ht="12.75" customHeight="1">
      <c r="A7" s="202">
        <f t="shared" si="1"/>
        <v>43763</v>
      </c>
      <c r="B7" s="193"/>
      <c r="C7" s="32" t="s">
        <v>961</v>
      </c>
      <c r="D7" s="1"/>
      <c r="F7" s="206" t="s">
        <v>962</v>
      </c>
      <c r="G7" s="207"/>
      <c r="H7" s="208"/>
      <c r="I7" s="209">
        <f>sum(I3:I6)</f>
        <v>2</v>
      </c>
      <c r="K7" s="9" t="s">
        <v>964</v>
      </c>
      <c r="L7" s="205"/>
      <c r="M7" s="205"/>
      <c r="N7" s="205"/>
      <c r="O7" s="205"/>
      <c r="P7" s="205"/>
      <c r="Q7" s="205"/>
      <c r="R7" s="205"/>
    </row>
    <row r="8" ht="12.75" customHeight="1">
      <c r="A8" s="17"/>
      <c r="B8" s="193"/>
      <c r="C8" s="1"/>
      <c r="D8" s="1"/>
      <c r="F8" s="195" t="s">
        <v>965</v>
      </c>
      <c r="G8" s="68"/>
      <c r="H8" s="76"/>
      <c r="I8" s="67" t="str">
        <f>if(I7&gt;2,"positive",if(I7&gt;-3,"neutral","negative"))</f>
        <v>neutral</v>
      </c>
      <c r="K8" s="94"/>
    </row>
    <row r="9" ht="12.75" customHeight="1">
      <c r="B9" s="210" t="s">
        <v>966</v>
      </c>
      <c r="C9" s="211"/>
      <c r="D9" s="211"/>
      <c r="E9" s="212"/>
      <c r="F9" s="213" t="s">
        <v>968</v>
      </c>
      <c r="G9" s="214"/>
      <c r="H9" s="215"/>
      <c r="I9" s="216"/>
      <c r="J9" s="217"/>
      <c r="M9" s="210" t="s">
        <v>970</v>
      </c>
      <c r="N9" s="211"/>
      <c r="O9" s="211"/>
      <c r="P9" s="87"/>
      <c r="Q9" s="212"/>
    </row>
    <row r="10" ht="12.75" customHeight="1">
      <c r="B10" s="218" t="s">
        <v>971</v>
      </c>
      <c r="E10" s="219"/>
      <c r="F10" s="220" t="str">
        <f>Strats!N3</f>
        <v>EQ: Allocation Pct (AP)</v>
      </c>
      <c r="H10" s="219"/>
      <c r="I10" s="94" t="s">
        <v>973</v>
      </c>
      <c r="M10" s="221"/>
      <c r="N10" s="1"/>
      <c r="O10" s="1"/>
      <c r="Q10" s="219"/>
    </row>
    <row r="11" ht="12.75" customHeight="1">
      <c r="B11" s="218" t="s">
        <v>974</v>
      </c>
      <c r="E11" s="219"/>
      <c r="F11" s="220" t="str">
        <f>Strats!H3</f>
        <v>EQ: Tactical Longs/Reduce (MT)</v>
      </c>
      <c r="H11" s="219"/>
      <c r="I11" s="222" t="s">
        <v>975</v>
      </c>
      <c r="J11" s="223" t="s">
        <v>976</v>
      </c>
      <c r="K11" s="224" t="s">
        <v>977</v>
      </c>
      <c r="M11" s="225" t="s">
        <v>978</v>
      </c>
      <c r="N11" s="226">
        <v>0.45</v>
      </c>
      <c r="O11" s="226" t="s">
        <v>979</v>
      </c>
      <c r="Q11" s="219"/>
    </row>
    <row r="12" ht="12.75" customHeight="1">
      <c r="B12" s="218" t="s">
        <v>980</v>
      </c>
      <c r="E12" s="219"/>
      <c r="F12" s="220" t="str">
        <f>Strats!L3</f>
        <v>EQ: Tactical Shorting (TS)</v>
      </c>
      <c r="H12" s="219"/>
      <c r="I12" s="227" t="s">
        <v>981</v>
      </c>
      <c r="J12" s="228">
        <v>0.09</v>
      </c>
      <c r="K12" s="229">
        <f t="shared" ref="K12:K15" si="2">J12/2</f>
        <v>0.045</v>
      </c>
      <c r="M12" s="225" t="s">
        <v>982</v>
      </c>
      <c r="N12" s="226">
        <v>0.55</v>
      </c>
      <c r="O12" s="226" t="s">
        <v>979</v>
      </c>
      <c r="Q12" s="219"/>
    </row>
    <row r="13" ht="12.75" customHeight="1">
      <c r="A13" s="230"/>
      <c r="B13" s="218" t="s">
        <v>983</v>
      </c>
      <c r="E13" s="219"/>
      <c r="F13" s="231"/>
      <c r="H13" s="219"/>
      <c r="I13" s="227" t="s">
        <v>984</v>
      </c>
      <c r="J13" s="232">
        <v>0.06</v>
      </c>
      <c r="K13" s="229">
        <f t="shared" si="2"/>
        <v>0.03</v>
      </c>
      <c r="M13" s="225" t="s">
        <v>985</v>
      </c>
      <c r="N13" s="233">
        <v>2.0</v>
      </c>
      <c r="O13" s="226" t="s">
        <v>986</v>
      </c>
      <c r="Q13" s="219"/>
    </row>
    <row r="14" ht="12.75" customHeight="1">
      <c r="A14" s="230"/>
      <c r="B14" s="218" t="s">
        <v>987</v>
      </c>
      <c r="E14" s="219"/>
      <c r="F14" s="231"/>
      <c r="H14" s="219"/>
      <c r="I14" s="234" t="s">
        <v>988</v>
      </c>
      <c r="J14" s="228">
        <v>0.03</v>
      </c>
      <c r="K14" s="229">
        <f t="shared" si="2"/>
        <v>0.015</v>
      </c>
      <c r="M14" s="235"/>
      <c r="N14" s="236"/>
      <c r="O14" s="226" t="s">
        <v>989</v>
      </c>
      <c r="Q14" s="219"/>
    </row>
    <row r="15" ht="12.75" customHeight="1">
      <c r="A15" s="230"/>
      <c r="B15" s="218" t="s">
        <v>990</v>
      </c>
      <c r="E15" s="219"/>
      <c r="F15" s="231"/>
      <c r="H15" s="219"/>
      <c r="I15" s="237" t="s">
        <v>991</v>
      </c>
      <c r="J15" s="238">
        <v>0.01</v>
      </c>
      <c r="K15" s="239">
        <f t="shared" si="2"/>
        <v>0.005</v>
      </c>
      <c r="M15" s="240"/>
      <c r="Q15" s="219"/>
    </row>
    <row r="16" ht="12.75" customHeight="1">
      <c r="B16" s="218" t="s">
        <v>993</v>
      </c>
      <c r="E16" s="219"/>
      <c r="F16" s="220" t="str">
        <f>Strats!F3</f>
        <v>EQ: Fund Value (LT)</v>
      </c>
      <c r="H16" s="219"/>
      <c r="M16" s="225" t="s">
        <v>994</v>
      </c>
      <c r="N16" s="241">
        <f>(N11*N13-N12)/N13</f>
        <v>0.175</v>
      </c>
      <c r="O16" s="236"/>
      <c r="Q16" s="219"/>
    </row>
    <row r="17" ht="12.75" customHeight="1">
      <c r="B17" s="218" t="s">
        <v>995</v>
      </c>
      <c r="E17" s="219"/>
      <c r="F17" s="220" t="str">
        <f>Strats!J3</f>
        <v>EQ: Fund Shorting (S)</v>
      </c>
      <c r="H17" s="219"/>
      <c r="J17" s="94"/>
      <c r="M17" s="225" t="s">
        <v>996</v>
      </c>
      <c r="N17" s="241">
        <f>N16/2</f>
        <v>0.0875</v>
      </c>
      <c r="O17" s="226" t="s">
        <v>997</v>
      </c>
      <c r="Q17" s="219"/>
    </row>
    <row r="18" ht="12.75" customHeight="1">
      <c r="A18" s="230"/>
      <c r="B18" s="218" t="s">
        <v>998</v>
      </c>
      <c r="E18" s="219"/>
      <c r="F18" s="240"/>
      <c r="H18" s="219"/>
      <c r="M18" s="225" t="s">
        <v>999</v>
      </c>
      <c r="N18" s="241">
        <f>N16/4</f>
        <v>0.04375</v>
      </c>
      <c r="O18" s="226" t="s">
        <v>1001</v>
      </c>
      <c r="Q18" s="219"/>
    </row>
    <row r="19" ht="12.75" customHeight="1">
      <c r="A19" s="230"/>
      <c r="B19" s="242" t="s">
        <v>1002</v>
      </c>
      <c r="C19" s="92"/>
      <c r="D19" s="92"/>
      <c r="E19" s="243"/>
      <c r="F19" s="244"/>
      <c r="G19" s="92"/>
      <c r="H19" s="243"/>
      <c r="K19" s="1"/>
      <c r="M19" s="245" t="s">
        <v>1003</v>
      </c>
      <c r="N19" s="246">
        <v>0.3333</v>
      </c>
      <c r="O19" s="64"/>
      <c r="P19" s="247"/>
      <c r="Q19" s="248"/>
    </row>
    <row r="20" ht="12.75" customHeight="1">
      <c r="A20" s="17"/>
      <c r="B20" s="222" t="s">
        <v>1004</v>
      </c>
      <c r="C20" s="87"/>
      <c r="D20" s="87"/>
      <c r="E20" s="87"/>
      <c r="F20" s="87"/>
      <c r="G20" s="87"/>
      <c r="H20" s="212"/>
      <c r="K20" s="1"/>
      <c r="O20" s="1"/>
      <c r="P20" s="1"/>
    </row>
    <row r="21" ht="12.75" customHeight="1">
      <c r="A21" s="17"/>
      <c r="B21" s="245" t="s">
        <v>1005</v>
      </c>
      <c r="C21" s="247"/>
      <c r="D21" s="64"/>
      <c r="E21" s="249"/>
      <c r="F21" s="92"/>
      <c r="G21" s="92"/>
      <c r="H21" s="243"/>
      <c r="J21" s="94"/>
      <c r="K21" s="250"/>
      <c r="L21" s="1"/>
      <c r="M21" s="1"/>
      <c r="N21" s="1"/>
      <c r="O21" s="1"/>
      <c r="P21" s="1"/>
    </row>
    <row r="22" ht="12.75" customHeight="1">
      <c r="A22" s="17"/>
      <c r="B22" s="32"/>
      <c r="C22" s="1"/>
      <c r="D22" s="74"/>
      <c r="E22" s="195" t="s">
        <v>1007</v>
      </c>
      <c r="J22" s="94"/>
      <c r="K22" s="251" t="s">
        <v>1008</v>
      </c>
      <c r="L22" s="1"/>
      <c r="M22" s="1"/>
      <c r="N22" s="1"/>
      <c r="O22" s="1"/>
      <c r="P22" s="1"/>
    </row>
    <row r="23" ht="12.75" customHeight="1">
      <c r="A23" s="17"/>
      <c r="B23" s="252" t="s">
        <v>1009</v>
      </c>
      <c r="C23" s="253">
        <f>iferror(+$E$23+sumproduct($E$26:$E$126,$M$26:$M$126),675000)</f>
        <v>1006637.05</v>
      </c>
      <c r="E23" s="254">
        <v>17393.0</v>
      </c>
      <c r="F23" s="75"/>
      <c r="K23" s="255"/>
      <c r="M23" s="1"/>
      <c r="N23" s="1"/>
      <c r="O23" s="1"/>
      <c r="P23" s="1"/>
      <c r="Q23" s="1"/>
      <c r="R23" s="1"/>
    </row>
    <row r="24" ht="12.75" customHeight="1">
      <c r="A24" s="17"/>
      <c r="B24" s="1"/>
      <c r="F24" s="9" t="s">
        <v>1011</v>
      </c>
      <c r="G24" s="67" t="str">
        <f>E161</f>
        <v>Incl Tot Ret</v>
      </c>
      <c r="H24" s="68"/>
      <c r="I24" s="256" t="s">
        <v>975</v>
      </c>
      <c r="J24" s="94" t="s">
        <v>1013</v>
      </c>
      <c r="K24" s="94"/>
      <c r="M24" s="1"/>
      <c r="P24" s="1"/>
      <c r="Q24" s="1"/>
      <c r="R24" s="1"/>
    </row>
    <row r="25" ht="12.75" customHeight="1">
      <c r="A25" s="257" t="s">
        <v>1014</v>
      </c>
      <c r="B25" s="258" t="s">
        <v>336</v>
      </c>
      <c r="C25" s="259" t="s">
        <v>1015</v>
      </c>
      <c r="D25" s="260" t="s">
        <v>1016</v>
      </c>
      <c r="E25" s="261" t="s">
        <v>1017</v>
      </c>
      <c r="F25" s="262" t="s">
        <v>1018</v>
      </c>
      <c r="G25" s="263" t="s">
        <v>1019</v>
      </c>
      <c r="H25" s="264" t="s">
        <v>321</v>
      </c>
      <c r="I25" s="262" t="s">
        <v>323</v>
      </c>
      <c r="J25" s="265" t="s">
        <v>1020</v>
      </c>
      <c r="K25" s="263" t="s">
        <v>1022</v>
      </c>
      <c r="L25" s="266" t="s">
        <v>1023</v>
      </c>
      <c r="M25" s="266" t="s">
        <v>1024</v>
      </c>
      <c r="N25" s="263" t="s">
        <v>1025</v>
      </c>
      <c r="O25" s="266" t="s">
        <v>1026</v>
      </c>
      <c r="P25" s="267" t="s">
        <v>743</v>
      </c>
      <c r="Q25" s="268" t="s">
        <v>1027</v>
      </c>
      <c r="R25" s="268" t="s">
        <v>1028</v>
      </c>
    </row>
    <row r="26" ht="12.75" customHeight="1">
      <c r="A26" s="269" t="s">
        <v>1016</v>
      </c>
      <c r="B26" s="78" t="str">
        <f t="array" ref="B26">iferror(index(Buys!$T:$T,match(C26,Buys!$C:$C,0)),"Other")</f>
        <v>Value</v>
      </c>
      <c r="C26" s="270" t="s">
        <v>1029</v>
      </c>
      <c r="D26" s="271">
        <f t="shared" ref="D26:D126" si="3">E26*M26/$C$23</f>
        <v>0.08416141647</v>
      </c>
      <c r="E26" s="272">
        <f>200+50+50+100</f>
        <v>400</v>
      </c>
      <c r="F26" s="273">
        <f t="shared" ref="F26:F126" si="4">J26-D26</f>
        <v>-0.0203388282</v>
      </c>
      <c r="G26" s="274">
        <v>0.07</v>
      </c>
      <c r="H26" s="275">
        <f>iferror(iferror(vlookup(C26,Buys!C:J,2,false),iferror(vlookup(C26,Sells!C:J,2,false),vlookup(C26,Macro!C:N,3,false))),0)/M26-1</f>
        <v>-0.1029272899</v>
      </c>
      <c r="I26" s="276">
        <f>iferror(iferror(vlookup(C26,Buys!C:J,7,false),iferror(vlookup(C26,Sells!C:J,7,false),vlookup(C26,Macro!C:N,7,false))),0)/M26-1</f>
        <v>0.4650200003</v>
      </c>
      <c r="J26" s="277">
        <f t="shared" ref="J26:J125" si="5">iferror(if(False,0, if(G26&gt;=0,max(($N$11*abs(I26/H26)-$N$12)/abs(I26/H26)/2,0),MAX(($N$11*abs(I26/H26)-$N$12)/ABS(I26/H26)/2,0))),0)*$N$19/$J$13*G26</f>
        <v>0.06382258827</v>
      </c>
      <c r="K26" s="278"/>
      <c r="L26" s="228">
        <f>IFERROR(__xludf.DUMMYFUNCTION("iferror(googlefinance(""NASDAQ:""&amp;C26,""changepct"")/100,iferror(googlefinance(""NYSE:""&amp;C26,""changepct"")/100,iferror(googlefinance(C26,""changepct"")/100,"""")))"),0.0073)</f>
        <v>0.0073</v>
      </c>
      <c r="M26" s="279">
        <f>IFERROR(__xludf.DUMMYFUNCTION("iferror(googlefinance(""NASDAQ:""&amp;C26,""price""),iferror(googlefinance(""NYSE:""&amp;C26,""price""),iferror(googlefinance(C26,""price""),1)))"),211.8)</f>
        <v>211.8</v>
      </c>
      <c r="N26" s="280">
        <f t="shared" ref="N26:N126" si="6">if(K26&lt;&gt;"",F26-K26,0)</f>
        <v>0</v>
      </c>
      <c r="O26" s="281">
        <f t="array" ref="O26">iferror(index(Buys!$Q:$Q,match(C26,Buys!$C:$C,0)),index(Sells!$Q:$Q,match(C26,Sells!$C:$C,0)))</f>
        <v>19.09809571</v>
      </c>
      <c r="P26" s="282">
        <f>IFERROR(__xludf.DUMMYFUNCTION("iferror(googlefinance(""NASDAQ:""&amp;C26,""beta""),iferror(googlefinance(""NYSE:""&amp;C26,""beta""),iferror(googlefinance(C26,""beta""),1)))"),0.84)</f>
        <v>0.84</v>
      </c>
      <c r="Q26" s="283">
        <f t="array" ref="Q26">iferror(index(Buys!$M:$M,match(C26,Buys!$C:$C,0)),index(Sells!$M:$M,match(C26,Sells!$C:$C,0)))</f>
        <v>0.1798884287</v>
      </c>
      <c r="R26" s="284">
        <f t="array" ref="R26">iferror(index(Buys!$S:$S,match(C26,Buys!$C:$C,0)),index(Sells!$S:$S,match(C26,Sells!$C:$C,0)))</f>
        <v>43687</v>
      </c>
    </row>
    <row r="27" ht="12.75" customHeight="1">
      <c r="A27" s="285" t="s">
        <v>1016</v>
      </c>
      <c r="B27" s="285" t="str">
        <f t="array" ref="B27">iferror(index(Buys!$T:$T,match(C27,Buys!$C:$C,0)),"Other")</f>
        <v>LGrowth</v>
      </c>
      <c r="C27" s="270" t="s">
        <v>1035</v>
      </c>
      <c r="D27" s="271">
        <f t="shared" si="3"/>
        <v>0.07535784621</v>
      </c>
      <c r="E27" s="272">
        <f>25+15+10+10</f>
        <v>60</v>
      </c>
      <c r="F27" s="273">
        <f t="shared" si="4"/>
        <v>-0.06073607943</v>
      </c>
      <c r="G27" s="274">
        <v>0.07</v>
      </c>
      <c r="H27" s="275">
        <f>iferror(iferror(vlookup(C27,Buys!C:J,2,false),iferror(vlookup(C27,Sells!C:J,2,false),vlookup(C27,Macro!C:N,3,false))),0)/M27-1</f>
        <v>-0.1299533339</v>
      </c>
      <c r="I27" s="276">
        <f>iferror(iferror(vlookup(C27,Buys!C:J,7,false),iferror(vlookup(C27,Sells!C:J,7,false),vlookup(C27,Macro!C:N,7,false))),0)/M27-1</f>
        <v>0.1907025644</v>
      </c>
      <c r="J27" s="277">
        <f t="shared" si="5"/>
        <v>0.01462176678</v>
      </c>
      <c r="K27" s="278"/>
      <c r="L27" s="228">
        <f>IFERROR(__xludf.DUMMYFUNCTION("iferror(googlefinance(""NASDAQ:""&amp;C27,""changepct"")/100,iferror(googlefinance(""NYSE:""&amp;C27,""changepct"")/100,iferror(googlefinance(C27,""changepct"")/100,"""")))"),0.0040999999999999995)</f>
        <v>0.0041</v>
      </c>
      <c r="M27" s="279">
        <f>IFERROR(__xludf.DUMMYFUNCTION("iferror(googlefinance(""NASDAQ:""&amp;C27,""price""),iferror(googlefinance(""NYSE:""&amp;C27,""price""),iferror(googlefinance(C27,""price""),1)))"),1264.3)</f>
        <v>1264.3</v>
      </c>
      <c r="N27" s="280">
        <f t="shared" si="6"/>
        <v>0</v>
      </c>
      <c r="O27" s="281">
        <f t="array" ref="O27">iferror(index(Buys!$Q:$Q,match(C27,Buys!$C:$C,0)),index(Sells!$Q:$Q,match(C27,Sells!$C:$C,0)))</f>
        <v>27.25040557</v>
      </c>
      <c r="P27" s="282">
        <f>IFERROR(__xludf.DUMMYFUNCTION("iferror(googlefinance(""NASDAQ:""&amp;C27,""beta""),iferror(googlefinance(""NYSE:""&amp;C27,""beta""),iferror(googlefinance(C27,""beta""),1)))"),0.99)</f>
        <v>0.99</v>
      </c>
      <c r="Q27" s="283">
        <f t="array" ref="Q27">iferror(index(Buys!$M:$M,match(C27,Buys!$C:$C,0)),index(Sells!$M:$M,match(C27,Sells!$C:$C,0)))</f>
        <v>0.1798884287</v>
      </c>
      <c r="R27" s="284">
        <f t="array" ref="R27">iferror(index(Buys!$S:$S,match(C27,Buys!$C:$C,0)),index(Sells!$S:$S,match(C27,Sells!$C:$C,0)))</f>
        <v>43720</v>
      </c>
    </row>
    <row r="28" ht="12.75" customHeight="1">
      <c r="A28" s="285" t="s">
        <v>1016</v>
      </c>
      <c r="B28" s="285" t="str">
        <f t="array" ref="B28">iferror(index(Buys!$T:$T,match(C28,Buys!$C:$C,0)),"Other")</f>
        <v>LGrowth</v>
      </c>
      <c r="C28" s="270" t="s">
        <v>381</v>
      </c>
      <c r="D28" s="271">
        <f t="shared" si="3"/>
        <v>0.0746604747</v>
      </c>
      <c r="E28" s="272">
        <f>200+200</f>
        <v>400</v>
      </c>
      <c r="F28" s="273">
        <f t="shared" si="4"/>
        <v>-0.01262120031</v>
      </c>
      <c r="G28" s="274">
        <v>0.07</v>
      </c>
      <c r="H28" s="275">
        <f>iferror(iferror(vlookup(C28,Buys!C:J,2,false),iferror(vlookup(C28,Sells!C:J,2,false),vlookup(C28,Macro!C:N,3,false))),0)/M28-1</f>
        <v>-0.1484379158</v>
      </c>
      <c r="I28" s="276">
        <f>iferror(iferror(vlookup(C28,Buys!C:J,7,false),iferror(vlookup(C28,Sells!C:J,7,false),vlookup(C28,Macro!C:N,7,false))),0)/M28-1</f>
        <v>0.6236460077</v>
      </c>
      <c r="J28" s="277">
        <f t="shared" si="5"/>
        <v>0.06203927439</v>
      </c>
      <c r="K28" s="278"/>
      <c r="L28" s="228">
        <f>IFERROR(__xludf.DUMMYFUNCTION("iferror(googlefinance(""NASDAQ:""&amp;C28,""changepct"")/100,iferror(googlefinance(""NYSE:""&amp;C28,""changepct"")/100,iferror(googlefinance(C28,""changepct"")/100,"""")))"),0.008100000000000001)</f>
        <v>0.0081</v>
      </c>
      <c r="M28" s="279">
        <f>IFERROR(__xludf.DUMMYFUNCTION("iferror(googlefinance(""NASDAQ:""&amp;C28,""price""),iferror(googlefinance(""NYSE:""&amp;C28,""price""),iferror(googlefinance(C28,""price""),1)))"),187.89)</f>
        <v>187.89</v>
      </c>
      <c r="N28" s="280">
        <f t="shared" si="6"/>
        <v>0</v>
      </c>
      <c r="O28" s="281">
        <f t="array" ref="O28">iferror(index(Buys!$Q:$Q,match(C28,Buys!$C:$C,0)),index(Sells!$Q:$Q,match(C28,Sells!$C:$C,0)))</f>
        <v>33.78466638</v>
      </c>
      <c r="P28" s="282">
        <f>IFERROR(__xludf.DUMMYFUNCTION("iferror(googlefinance(""NASDAQ:""&amp;C28,""beta""),iferror(googlefinance(""NYSE:""&amp;C28,""beta""),iferror(googlefinance(C28,""beta""),1)))"),1.02)</f>
        <v>1.02</v>
      </c>
      <c r="Q28" s="283">
        <f t="array" ref="Q28">iferror(index(Buys!$M:$M,match(C28,Buys!$C:$C,0)),index(Sells!$M:$M,match(C28,Sells!$C:$C,0)))</f>
        <v>0.1798884285</v>
      </c>
      <c r="R28" s="284">
        <f t="array" ref="R28">iferror(index(Buys!$S:$S,match(C28,Buys!$C:$C,0)),index(Sells!$S:$S,match(C28,Sells!$C:$C,0)))</f>
        <v>43679</v>
      </c>
    </row>
    <row r="29" ht="12.75" customHeight="1">
      <c r="A29" s="285" t="s">
        <v>1016</v>
      </c>
      <c r="B29" s="285" t="str">
        <f t="array" ref="B29">iferror(index(Buys!$T:$T,match(C29,Buys!$C:$C,0)),"Other")</f>
        <v>LGrowth</v>
      </c>
      <c r="C29" s="270" t="s">
        <v>1040</v>
      </c>
      <c r="D29" s="271">
        <f t="shared" si="3"/>
        <v>0.06990106315</v>
      </c>
      <c r="E29" s="272">
        <f>400+50+50</f>
        <v>500</v>
      </c>
      <c r="F29" s="273">
        <f t="shared" si="4"/>
        <v>-0.06990106315</v>
      </c>
      <c r="G29" s="274">
        <v>0.07</v>
      </c>
      <c r="H29" s="275">
        <f>iferror(iferror(vlookup(C29,Buys!C:J,2,false),iferror(vlookup(C29,Sells!C:J,2,false),vlookup(C29,Macro!C:N,3,false))),0)/M29-1</f>
        <v>-0.2112555958</v>
      </c>
      <c r="I29" s="276">
        <f>iferror(iferror(vlookup(C29,Buys!C:J,7,false),iferror(vlookup(C29,Sells!C:J,7,false),vlookup(C29,Macro!C:N,7,false))),0)/M29-1</f>
        <v>0.09645148121</v>
      </c>
      <c r="J29" s="277">
        <f t="shared" si="5"/>
        <v>0</v>
      </c>
      <c r="K29" s="278"/>
      <c r="L29" s="228">
        <f>IFERROR(__xludf.DUMMYFUNCTION("iferror(googlefinance(""NASDAQ:""&amp;C29,""changepct"")/100,iferror(googlefinance(""NYSE:""&amp;C29,""changepct"")/100,iferror(googlefinance(C29,""changepct"")/100,"""")))"),0.005600000000000001)</f>
        <v>0.0056</v>
      </c>
      <c r="M29" s="279">
        <f>IFERROR(__xludf.DUMMYFUNCTION("iferror(googlefinance(""NASDAQ:""&amp;C29,""price""),iferror(googlefinance(""NYSE:""&amp;C29,""price""),iferror(googlefinance(C29,""price""),1)))"),140.73)</f>
        <v>140.73</v>
      </c>
      <c r="N29" s="280">
        <f t="shared" si="6"/>
        <v>0</v>
      </c>
      <c r="O29" s="281">
        <f t="array" ref="O29">iferror(index(Buys!$Q:$Q,match(C29,Buys!$C:$C,0)),index(Sells!$Q:$Q,match(C29,Sells!$C:$C,0)))</f>
        <v>28.31982676</v>
      </c>
      <c r="P29" s="282">
        <f>IFERROR(__xludf.DUMMYFUNCTION("iferror(googlefinance(""NASDAQ:""&amp;C29,""beta""),iferror(googlefinance(""NYSE:""&amp;C29,""beta""),iferror(googlefinance(C29,""beta""),1)))"),1.22)</f>
        <v>1.22</v>
      </c>
      <c r="Q29" s="283">
        <f t="array" ref="Q29">iferror(index(Buys!$M:$M,match(C29,Buys!$C:$C,0)),index(Sells!$M:$M,match(C29,Sells!$C:$C,0)))</f>
        <v>0.6785185655</v>
      </c>
      <c r="R29" s="284">
        <f t="array" ref="R29">iferror(index(Buys!$S:$S,match(C29,Buys!$C:$C,0)),index(Sells!$S:$S,match(C29,Sells!$C:$C,0)))</f>
        <v>43745</v>
      </c>
    </row>
    <row r="30" ht="12.75" customHeight="1">
      <c r="A30" s="285" t="s">
        <v>1016</v>
      </c>
      <c r="B30" s="285" t="str">
        <f t="array" ref="B30">iferror(index(Buys!$T:$T,match(C30,Buys!$C:$C,0)),"Other")</f>
        <v>LGrowth</v>
      </c>
      <c r="C30" s="270" t="s">
        <v>346</v>
      </c>
      <c r="D30" s="271">
        <f t="shared" si="3"/>
        <v>0.06123855664</v>
      </c>
      <c r="E30" s="272">
        <f>50+100+100</f>
        <v>250</v>
      </c>
      <c r="F30" s="273">
        <f t="shared" si="4"/>
        <v>-0.06123855664</v>
      </c>
      <c r="G30" s="274">
        <v>0.04</v>
      </c>
      <c r="H30" s="275">
        <f>iferror(iferror(vlookup(C30,Buys!C:J,2,false),iferror(vlookup(C30,Sells!C:J,2,false),vlookup(C30,Macro!C:N,3,false))),0)/M30-1</f>
        <v>-0.2395976965</v>
      </c>
      <c r="I30" s="276">
        <f>iferror(iferror(vlookup(C30,Buys!C:J,7,false),iferror(vlookup(C30,Sells!C:J,7,false),vlookup(C30,Macro!C:N,7,false))),0)/M30-1</f>
        <v>0.213633279</v>
      </c>
      <c r="J30" s="277">
        <f t="shared" si="5"/>
        <v>0</v>
      </c>
      <c r="K30" s="278"/>
      <c r="L30" s="228">
        <f>IFERROR(__xludf.DUMMYFUNCTION("iferror(googlefinance(""NASDAQ:""&amp;C30,""changepct"")/100,iferror(googlefinance(""NYSE:""&amp;C30,""changepct"")/100,iferror(googlefinance(C30,""changepct"")/100,"""")))"),0.0123)</f>
        <v>0.0123</v>
      </c>
      <c r="M30" s="279">
        <f>IFERROR(__xludf.DUMMYFUNCTION("iferror(googlefinance(""NASDAQ:""&amp;C30,""price""),iferror(googlefinance(""NYSE:""&amp;C30,""price""),iferror(googlefinance(C30,""price""),1)))"),246.58)</f>
        <v>246.58</v>
      </c>
      <c r="N30" s="280">
        <f t="shared" si="6"/>
        <v>0</v>
      </c>
      <c r="O30" s="281">
        <f t="array" ref="O30">iferror(index(Buys!$Q:$Q,match(C30,Buys!$C:$C,0)),index(Sells!$Q:$Q,match(C30,Sells!$C:$C,0)))</f>
        <v>23.29993626</v>
      </c>
      <c r="P30" s="282">
        <f>IFERROR(__xludf.DUMMYFUNCTION("iferror(googlefinance(""NASDAQ:""&amp;C30,""beta""),iferror(googlefinance(""NYSE:""&amp;C30,""beta""),iferror(googlefinance(C30,""beta""),1)))"),1.24)</f>
        <v>1.24</v>
      </c>
      <c r="Q30" s="283">
        <f t="array" ref="Q30">iferror(index(Buys!$M:$M,match(C30,Buys!$C:$C,0)),index(Sells!$M:$M,match(C30,Sells!$C:$C,0)))</f>
        <v>-0.07216636612</v>
      </c>
      <c r="R30" s="284">
        <f t="array" ref="R30">iferror(index(Buys!$S:$S,match(C30,Buys!$C:$C,0)),index(Sells!$S:$S,match(C30,Sells!$C:$C,0)))</f>
        <v>43722</v>
      </c>
    </row>
    <row r="31" ht="12.75" customHeight="1">
      <c r="A31" s="269" t="s">
        <v>1016</v>
      </c>
      <c r="B31" s="78" t="str">
        <f t="array" ref="B31">iferror(index(Buys!$T:$T,match(C31,Buys!$C:$C,0)),"Other")</f>
        <v>Value</v>
      </c>
      <c r="C31" s="270" t="s">
        <v>1049</v>
      </c>
      <c r="D31" s="271">
        <f t="shared" si="3"/>
        <v>0.05517231856</v>
      </c>
      <c r="E31" s="272">
        <v>50.0</v>
      </c>
      <c r="F31" s="273">
        <f t="shared" si="4"/>
        <v>-0.01727379344</v>
      </c>
      <c r="G31" s="274">
        <v>0.05</v>
      </c>
      <c r="H31" s="275">
        <f>iferror(iferror(vlookup(C31,Buys!C:J,2,false),iferror(vlookup(C31,Sells!C:J,2,false),vlookup(C31,Macro!C:N,3,false))),0)/M31-1</f>
        <v>-0.1717457259</v>
      </c>
      <c r="I31" s="276">
        <f>iferror(iferror(vlookup(C31,Buys!C:J,7,false),iferror(vlookup(C31,Sells!C:J,7,false),vlookup(C31,Macro!C:N,7,false))),0)/M31-1</f>
        <v>0.5333617926</v>
      </c>
      <c r="J31" s="277">
        <f t="shared" si="5"/>
        <v>0.03789852513</v>
      </c>
      <c r="K31" s="278"/>
      <c r="L31" s="228">
        <f>IFERROR(__xludf.DUMMYFUNCTION("iferror(googlefinance(""NASDAQ:""&amp;C31,""changepct"")/100,iferror(googlefinance(""NYSE:""&amp;C31,""changepct"")/100,iferror(googlefinance(C31,""changepct"")/100,"""")))"),-0.0040999999999999995)</f>
        <v>-0.0041</v>
      </c>
      <c r="M31" s="279">
        <f>IFERROR(__xludf.DUMMYFUNCTION("iferror(googlefinance(""NASDAQ:""&amp;C31,""price""),iferror(googlefinance(""NYSE:""&amp;C31,""price""),iferror(googlefinance(C31,""price""),1)))"),1110.77)</f>
        <v>1110.77</v>
      </c>
      <c r="N31" s="280">
        <f t="shared" si="6"/>
        <v>0</v>
      </c>
      <c r="O31" s="281">
        <f t="array" ref="O31">iferror(index(Buys!$Q:$Q,match(C31,Buys!$C:$C,0)),index(Sells!$Q:$Q,match(C31,Sells!$C:$C,0)))</f>
        <v>19.77588372</v>
      </c>
      <c r="P31" s="282">
        <f>IFERROR(__xludf.DUMMYFUNCTION("iferror(googlefinance(""NASDAQ:""&amp;C31,""beta""),iferror(googlefinance(""NYSE:""&amp;C31,""beta""),iferror(googlefinance(C31,""beta""),1)))"),0.77)</f>
        <v>0.77</v>
      </c>
      <c r="Q31" s="283">
        <f t="array" ref="Q31">iferror(index(Buys!$M:$M,match(C31,Buys!$C:$C,0)),index(Sells!$M:$M,match(C31,Sells!$C:$C,0)))</f>
        <v>0.1798884284</v>
      </c>
      <c r="R31" s="284">
        <f t="array" ref="R31">iferror(index(Buys!$S:$S,match(C31,Buys!$C:$C,0)),index(Sells!$S:$S,match(C31,Sells!$C:$C,0)))</f>
        <v>43683</v>
      </c>
    </row>
    <row r="32" ht="12.75" customHeight="1">
      <c r="A32" s="285" t="s">
        <v>1016</v>
      </c>
      <c r="B32" s="285" t="str">
        <f t="array" ref="B32">iferror(index(Buys!$T:$T,match(C32,Buys!$C:$C,0)),"Other")</f>
        <v>LGrowth</v>
      </c>
      <c r="C32" s="270" t="s">
        <v>1053</v>
      </c>
      <c r="D32" s="271">
        <f t="shared" si="3"/>
        <v>0.05249151122</v>
      </c>
      <c r="E32" s="272">
        <f>10+15+5</f>
        <v>30</v>
      </c>
      <c r="F32" s="273">
        <f t="shared" si="4"/>
        <v>-0.00620577523</v>
      </c>
      <c r="G32" s="274">
        <v>0.05</v>
      </c>
      <c r="H32" s="275">
        <f>iferror(iferror(vlookup(C32,Buys!C:J,2,false),iferror(vlookup(C32,Sells!C:J,2,false),vlookup(C32,Macro!C:N,3,false))),0)/M32-1</f>
        <v>-0.06320791674</v>
      </c>
      <c r="I32" s="276">
        <f>iferror(iferror(vlookup(C32,Buys!C:J,7,false),iferror(vlookup(C32,Sells!C:J,7,false),vlookup(C32,Macro!C:N,7,false))),0)/M32-1</f>
        <v>0.2978711449</v>
      </c>
      <c r="J32" s="277">
        <f t="shared" si="5"/>
        <v>0.04628573599</v>
      </c>
      <c r="K32" s="278"/>
      <c r="L32" s="228">
        <f>IFERROR(__xludf.DUMMYFUNCTION("iferror(googlefinance(""NASDAQ:""&amp;C32,""changepct"")/100,iferror(googlefinance(""NYSE:""&amp;C32,""changepct"")/100,iferror(googlefinance(C32,""changepct"")/100,"""")))"),-0.0109)</f>
        <v>-0.0109</v>
      </c>
      <c r="M32" s="279">
        <f>IFERROR(__xludf.DUMMYFUNCTION("iferror(googlefinance(""NASDAQ:""&amp;C32,""price""),iferror(googlefinance(""NYSE:""&amp;C32,""price""),iferror(googlefinance(C32,""price""),1)))"),1761.33)</f>
        <v>1761.33</v>
      </c>
      <c r="N32" s="280">
        <f t="shared" si="6"/>
        <v>0</v>
      </c>
      <c r="O32" s="281">
        <f t="array" ref="O32">iferror(index(Buys!$Q:$Q,match(C32,Buys!$C:$C,0)),index(Sells!$Q:$Q,match(C32,Sells!$C:$C,0)))</f>
        <v>39.26875768</v>
      </c>
      <c r="P32" s="282">
        <f>IFERROR(__xludf.DUMMYFUNCTION("iferror(googlefinance(""NASDAQ:""&amp;C32,""beta""),iferror(googlefinance(""NYSE:""&amp;C32,""beta""),iferror(googlefinance(C32,""beta""),1)))"),1.54)</f>
        <v>1.54</v>
      </c>
      <c r="Q32" s="283">
        <f t="array" ref="Q32">iferror(index(Buys!$M:$M,match(C32,Buys!$C:$C,0)),index(Sells!$M:$M,match(C32,Sells!$C:$C,0)))</f>
        <v>0.1798884283</v>
      </c>
      <c r="R32" s="284">
        <f t="array" ref="R32">iferror(index(Buys!$S:$S,match(C32,Buys!$C:$C,0)),index(Sells!$S:$S,match(C32,Sells!$C:$C,0)))</f>
        <v>43669</v>
      </c>
    </row>
    <row r="33" ht="12.75" customHeight="1">
      <c r="A33" s="285" t="s">
        <v>1016</v>
      </c>
      <c r="B33" s="285" t="str">
        <f t="array" ref="B33">iferror(index(Buys!$T:$T,match(C33,Buys!$C:$C,0)),"Other")</f>
        <v>Value</v>
      </c>
      <c r="C33" s="270" t="s">
        <v>1056</v>
      </c>
      <c r="D33" s="287">
        <f t="shared" si="3"/>
        <v>0.04356485786</v>
      </c>
      <c r="E33" s="272">
        <f>25+10+35+30</f>
        <v>100</v>
      </c>
      <c r="F33" s="273">
        <f t="shared" si="4"/>
        <v>-0.03443238696</v>
      </c>
      <c r="G33" s="274">
        <v>0.025</v>
      </c>
      <c r="H33" s="275">
        <f>iferror(iferror(vlookup(C33,Buys!C:J,2,false),iferror(vlookup(C33,Sells!C:J,2,false),vlookup(C33,Macro!C:N,3,false))),0)/M33-1</f>
        <v>-0.2247001414</v>
      </c>
      <c r="I33" s="276">
        <f>iferror(iferror(vlookup(C33,Buys!C:J,7,false),iferror(vlookup(C33,Sells!C:J,7,false),vlookup(C33,Macro!C:N,7,false))),0)/M33-1</f>
        <v>0.3880474824</v>
      </c>
      <c r="J33" s="277">
        <f t="shared" si="5"/>
        <v>0.009132470898</v>
      </c>
      <c r="K33" s="278"/>
      <c r="L33" s="228">
        <f>IFERROR(__xludf.DUMMYFUNCTION("iferror(googlefinance(""NASDAQ:""&amp;C33,""changepct"")/100,iferror(googlefinance(""NYSE:""&amp;C33,""changepct"")/100,iferror(googlefinance(C33,""changepct"")/100,"""")))"),0.0028000000000000004)</f>
        <v>0.0028</v>
      </c>
      <c r="M33" s="279">
        <f>IFERROR(__xludf.DUMMYFUNCTION("iferror(googlefinance(""NASDAQ:""&amp;C33,""price""),iferror(googlefinance(""NYSE:""&amp;C33,""price""),iferror(googlefinance(C33,""price""),1)))"),438.54)</f>
        <v>438.54</v>
      </c>
      <c r="N33" s="280">
        <f t="shared" si="6"/>
        <v>0</v>
      </c>
      <c r="O33" s="281">
        <f t="array" ref="O33">iferror(index(Buys!$Q:$Q,match(C33,Buys!$C:$C,0)),index(Sells!$Q:$Q,match(C33,Sells!$C:$C,0)))</f>
        <v>31.22406425</v>
      </c>
      <c r="P33" s="282">
        <f>IFERROR(__xludf.DUMMYFUNCTION("iferror(googlefinance(""NASDAQ:""&amp;C33,""beta""),iferror(googlefinance(""NYSE:""&amp;C33,""beta""),iferror(googlefinance(C33,""beta""),1)))"),0.72)</f>
        <v>0.72</v>
      </c>
      <c r="Q33" s="283">
        <f t="array" ref="Q33">iferror(index(Buys!$M:$M,match(C33,Buys!$C:$C,0)),index(Sells!$M:$M,match(C33,Sells!$C:$C,0)))</f>
        <v>0.1798884282</v>
      </c>
      <c r="R33" s="284">
        <f t="array" ref="R33">iferror(index(Buys!$S:$S,match(C33,Buys!$C:$C,0)),index(Sells!$S:$S,match(C33,Sells!$C:$C,0)))</f>
        <v>43656</v>
      </c>
    </row>
    <row r="34" ht="12.75" customHeight="1">
      <c r="A34" s="285" t="s">
        <v>1016</v>
      </c>
      <c r="B34" s="78" t="str">
        <f t="array" ref="B34">iferror(index(Buys!$T:$T,match(C34,Buys!$C:$C,0)),"Other")</f>
        <v>Value</v>
      </c>
      <c r="C34" s="270" t="s">
        <v>1061</v>
      </c>
      <c r="D34" s="271">
        <f t="shared" si="3"/>
        <v>0.04339945564</v>
      </c>
      <c r="E34" s="272">
        <f>600+150</f>
        <v>750</v>
      </c>
      <c r="F34" s="273">
        <f t="shared" si="4"/>
        <v>-0.02857434394</v>
      </c>
      <c r="G34" s="274">
        <v>0.03</v>
      </c>
      <c r="H34" s="275">
        <f>iferror(iferror(vlookup(C34,Buys!C:J,2,false),iferror(vlookup(C34,Sells!C:J,2,false),vlookup(C34,Macro!C:N,3,false))),0)/M34-1</f>
        <v>-0.2103004292</v>
      </c>
      <c r="I34" s="276">
        <f>iferror(iferror(vlookup(C34,Buys!C:J,7,false),iferror(vlookup(C34,Sells!C:J,7,false),vlookup(C34,Macro!C:N,7,false))),0)/M34-1</f>
        <v>0.425113449</v>
      </c>
      <c r="J34" s="277">
        <f t="shared" si="5"/>
        <v>0.0148251117</v>
      </c>
      <c r="K34" s="278"/>
      <c r="L34" s="228">
        <f>IFERROR(__xludf.DUMMYFUNCTION("iferror(googlefinance(""NASDAQ:""&amp;C34,""changepct"")/100,iferror(googlefinance(""NYSE:""&amp;C34,""changepct"")/100,iferror(googlefinance(C34,""changepct"")/100,"""")))"),0.0017000000000000001)</f>
        <v>0.0017</v>
      </c>
      <c r="M34" s="279">
        <f>IFERROR(__xludf.DUMMYFUNCTION("iferror(googlefinance(""NASDAQ:""&amp;C34,""price""),iferror(googlefinance(""NYSE:""&amp;C34,""price""),iferror(googlefinance(C34,""price""),1)))"),58.25)</f>
        <v>58.25</v>
      </c>
      <c r="N34" s="280">
        <f t="shared" si="6"/>
        <v>0</v>
      </c>
      <c r="O34" s="281">
        <f t="array" ref="O34">iferror(index(Buys!$Q:$Q,match(C34,Buys!$C:$C,0)),index(Sells!$Q:$Q,match(C34,Sells!$C:$C,0)))</f>
        <v>11.9147214</v>
      </c>
      <c r="P34" s="282">
        <f>IFERROR(__xludf.DUMMYFUNCTION("iferror(googlefinance(""NASDAQ:""&amp;C34,""beta""),iferror(googlefinance(""NYSE:""&amp;C34,""beta""),iferror(googlefinance(C34,""beta""),1)))"),1.81)</f>
        <v>1.81</v>
      </c>
      <c r="Q34" s="283">
        <f t="array" ref="Q34">iferror(index(Buys!$M:$M,match(C34,Buys!$C:$C,0)),index(Sells!$M:$M,match(C34,Sells!$C:$C,0)))</f>
        <v>0.1798884281</v>
      </c>
      <c r="R34" s="284">
        <f t="array" ref="R34">iferror(index(Buys!$S:$S,match(C34,Buys!$C:$C,0)),index(Sells!$S:$S,match(C34,Sells!$C:$C,0)))</f>
        <v>43659</v>
      </c>
    </row>
    <row r="35" ht="12.75" customHeight="1">
      <c r="A35" s="269" t="s">
        <v>1016</v>
      </c>
      <c r="B35" s="285" t="str">
        <f t="array" ref="B35">iferror(index(Buys!$T:$T,match(C35,Buys!$C:$C,0)),"Other")</f>
        <v>Value</v>
      </c>
      <c r="C35" s="270" t="s">
        <v>847</v>
      </c>
      <c r="D35" s="271">
        <f t="shared" si="3"/>
        <v>0.03833084626</v>
      </c>
      <c r="E35" s="272">
        <f>150+75</f>
        <v>225</v>
      </c>
      <c r="F35" s="273">
        <f t="shared" si="4"/>
        <v>-0.01687894373</v>
      </c>
      <c r="G35" s="274">
        <v>0.02</v>
      </c>
      <c r="H35" s="275">
        <f>iferror(iferror(vlookup(C35,Buys!C:J,2,false),iferror(vlookup(C35,Sells!C:J,2,false),vlookup(C35,Macro!C:N,3,false))),0)/M35-1</f>
        <v>-0.1311446732</v>
      </c>
      <c r="I35" s="276">
        <f>iferror(iferror(vlookup(C35,Buys!C:J,7,false),iferror(vlookup(C35,Sells!C:J,7,false),vlookup(C35,Macro!C:N,7,false))),0)/M35-1</f>
        <v>1.130076851</v>
      </c>
      <c r="J35" s="277">
        <f t="shared" si="5"/>
        <v>0.02145190253</v>
      </c>
      <c r="K35" s="278"/>
      <c r="L35" s="228">
        <f>IFERROR(__xludf.DUMMYFUNCTION("iferror(googlefinance(""NASDAQ:""&amp;C35,""changepct"")/100,iferror(googlefinance(""NYSE:""&amp;C35,""changepct"")/100,iferror(googlefinance(C35,""changepct"")/100,"""")))"),0.008100000000000001)</f>
        <v>0.0081</v>
      </c>
      <c r="M35" s="279">
        <f>IFERROR(__xludf.DUMMYFUNCTION("iferror(googlefinance(""NASDAQ:""&amp;C35,""price""),iferror(googlefinance(""NYSE:""&amp;C35,""price""),iferror(googlefinance(C35,""price""),1)))"),171.49)</f>
        <v>171.49</v>
      </c>
      <c r="N35" s="280">
        <f t="shared" si="6"/>
        <v>0</v>
      </c>
      <c r="O35" s="281">
        <f t="array" ref="O35">iferror(index(Buys!$Q:$Q,match(C35,Buys!$C:$C,0)),index(Sells!$Q:$Q,match(C35,Sells!$C:$C,0)))</f>
        <v>20.0724455</v>
      </c>
      <c r="P35" s="282">
        <f>IFERROR(__xludf.DUMMYFUNCTION("iferror(googlefinance(""NASDAQ:""&amp;C35,""beta""),iferror(googlefinance(""NYSE:""&amp;C35,""beta""),iferror(googlefinance(C35,""beta""),1)))"),0.71)</f>
        <v>0.71</v>
      </c>
      <c r="Q35" s="283">
        <f t="array" ref="Q35">iferror(index(Buys!$M:$M,match(C35,Buys!$C:$C,0)),index(Sells!$M:$M,match(C35,Sells!$C:$C,0)))</f>
        <v>0.1798884281</v>
      </c>
      <c r="R35" s="284">
        <f t="array" ref="R35">iferror(index(Buys!$S:$S,match(C35,Buys!$C:$C,0)),index(Sells!$S:$S,match(C35,Sells!$C:$C,0)))</f>
        <v>43661</v>
      </c>
    </row>
    <row r="36" ht="12.75" customHeight="1">
      <c r="A36" s="285" t="s">
        <v>1016</v>
      </c>
      <c r="B36" s="78" t="str">
        <f t="array" ref="B36">iferror(index(Buys!$T:$T,match(C36,Buys!$C:$C,0)),"Other")</f>
        <v>Value</v>
      </c>
      <c r="C36" s="270" t="s">
        <v>1067</v>
      </c>
      <c r="D36" s="271">
        <f t="shared" si="3"/>
        <v>0.0364942856</v>
      </c>
      <c r="E36" s="272">
        <f>100+50</f>
        <v>150</v>
      </c>
      <c r="F36" s="273">
        <f t="shared" si="4"/>
        <v>-0.02254383651</v>
      </c>
      <c r="G36" s="274">
        <v>0.02</v>
      </c>
      <c r="H36" s="275">
        <f>iferror(iferror(vlookup(C36,Buys!C:J,2,false),iferror(vlookup(C36,Sells!C:J,2,false),vlookup(C36,Macro!C:N,3,false))),0)/M36-1</f>
        <v>-0.1833734841</v>
      </c>
      <c r="I36" s="276">
        <f>iferror(iferror(vlookup(C36,Buys!C:J,7,false),iferror(vlookup(C36,Sells!C:J,7,false),vlookup(C36,Macro!C:N,7,false))),0)/M36-1</f>
        <v>0.507150589</v>
      </c>
      <c r="J36" s="277">
        <f t="shared" si="5"/>
        <v>0.01395044909</v>
      </c>
      <c r="K36" s="278"/>
      <c r="L36" s="228">
        <f>IFERROR(__xludf.DUMMYFUNCTION("iferror(googlefinance(""NASDAQ:""&amp;C36,""changepct"")/100,iferror(googlefinance(""NYSE:""&amp;C36,""changepct"")/100,iferror(googlefinance(C36,""changepct"")/100,"""")))"),0.0016)</f>
        <v>0.0016</v>
      </c>
      <c r="M36" s="279">
        <f>IFERROR(__xludf.DUMMYFUNCTION("iferror(googlefinance(""NASDAQ:""&amp;C36,""price""),iferror(googlefinance(""NYSE:""&amp;C36,""price""),iferror(googlefinance(C36,""price""),1)))"),244.91)</f>
        <v>244.91</v>
      </c>
      <c r="N36" s="280">
        <f t="shared" si="6"/>
        <v>0</v>
      </c>
      <c r="O36" s="281">
        <f t="array" ref="O36">iferror(index(Buys!$Q:$Q,match(C36,Buys!$C:$C,0)),index(Sells!$Q:$Q,match(C36,Sells!$C:$C,0)))</f>
        <v>22.61381039</v>
      </c>
      <c r="P36" s="282">
        <f>IFERROR(__xludf.DUMMYFUNCTION("iferror(googlefinance(""NASDAQ:""&amp;C36,""beta""),iferror(googlefinance(""NYSE:""&amp;C36,""beta""),iferror(googlefinance(C36,""beta""),1)))"),0.6)</f>
        <v>0.6</v>
      </c>
      <c r="Q36" s="283">
        <f t="array" ref="Q36">iferror(index(Buys!$M:$M,match(C36,Buys!$C:$C,0)),index(Sells!$M:$M,match(C36,Sells!$C:$C,0)))</f>
        <v>0.1798884281</v>
      </c>
      <c r="R36" s="284">
        <f t="array" ref="R36">iferror(index(Buys!$S:$S,match(C36,Buys!$C:$C,0)),index(Sells!$S:$S,match(C36,Sells!$C:$C,0)))</f>
        <v>43695</v>
      </c>
    </row>
    <row r="37" ht="12.75" customHeight="1">
      <c r="A37" s="269" t="s">
        <v>1016</v>
      </c>
      <c r="B37" s="78" t="str">
        <f t="array" ref="B37">iferror(index(Buys!$T:$T,match(C37,Buys!$C:$C,0)),"Other")</f>
        <v>LGrowth</v>
      </c>
      <c r="C37" s="270" t="s">
        <v>1070</v>
      </c>
      <c r="D37" s="271">
        <f t="shared" si="3"/>
        <v>0.03589675147</v>
      </c>
      <c r="E37" s="272">
        <f>30+70+50</f>
        <v>150</v>
      </c>
      <c r="F37" s="273">
        <f t="shared" si="4"/>
        <v>-0.01468306544</v>
      </c>
      <c r="G37" s="274">
        <v>0.02</v>
      </c>
      <c r="H37" s="275">
        <f>iferror(iferror(vlookup(C37,Buys!C:J,2,false),iferror(vlookup(C37,Sells!C:J,2,false),vlookup(C37,Macro!C:N,3,false))),0)/M37-1</f>
        <v>-0.04524699045</v>
      </c>
      <c r="I37" s="276">
        <f>iferror(iferror(vlookup(C37,Buys!C:J,7,false),iferror(vlookup(C37,Sells!C:J,7,false),vlookup(C37,Macro!C:N,7,false))),0)/M37-1</f>
        <v>0.3653479489</v>
      </c>
      <c r="J37" s="277">
        <f t="shared" si="5"/>
        <v>0.02121368602</v>
      </c>
      <c r="K37" s="278"/>
      <c r="L37" s="228">
        <f>IFERROR(__xludf.DUMMYFUNCTION("iferror(googlefinance(""NASDAQ:""&amp;C37,""changepct"")/100,iferror(googlefinance(""NYSE:""&amp;C37,""changepct"")/100,iferror(googlefinance(C37,""changepct"")/100,"""")))"),0.008199999999999999)</f>
        <v>0.0082</v>
      </c>
      <c r="M37" s="279">
        <f>IFERROR(__xludf.DUMMYFUNCTION("iferror(googlefinance(""NASDAQ:""&amp;C37,""price""),iferror(googlefinance(""NYSE:""&amp;C37,""price""),iferror(googlefinance(C37,""price""),1)))"),240.9)</f>
        <v>240.9</v>
      </c>
      <c r="N37" s="280">
        <f t="shared" si="6"/>
        <v>0</v>
      </c>
      <c r="O37" s="281">
        <f t="array" ref="O37">iferror(index(Buys!$Q:$Q,match(C37,Buys!$C:$C,0)),index(Sells!$Q:$Q,match(C37,Sells!$C:$C,0)))</f>
        <v>25.02836099</v>
      </c>
      <c r="P37" s="282">
        <f>IFERROR(__xludf.DUMMYFUNCTION("iferror(googlefinance(""NASDAQ:""&amp;C37,""beta""),iferror(googlefinance(""NYSE:""&amp;C37,""beta""),iferror(googlefinance(C37,""beta""),1)))"),1.15)</f>
        <v>1.15</v>
      </c>
      <c r="Q37" s="283">
        <f t="array" ref="Q37">iferror(index(Buys!$M:$M,match(C37,Buys!$C:$C,0)),index(Sells!$M:$M,match(C37,Sells!$C:$C,0)))</f>
        <v>0.2648199348</v>
      </c>
      <c r="R37" s="284">
        <f t="array" ref="R37">iferror(index(Buys!$S:$S,match(C37,Buys!$C:$C,0)),index(Sells!$S:$S,match(C37,Sells!$C:$C,0)))</f>
        <v>43732</v>
      </c>
    </row>
    <row r="38" ht="12.75" customHeight="1">
      <c r="A38" s="269" t="s">
        <v>1016</v>
      </c>
      <c r="B38" s="78" t="str">
        <f t="array" ref="B38">iferror(index(Buys!$T:$T,match(C38,Buys!$C:$C,0)),"Other")</f>
        <v>Value</v>
      </c>
      <c r="C38" s="270" t="s">
        <v>1074</v>
      </c>
      <c r="D38" s="271">
        <f t="shared" si="3"/>
        <v>0.0349251997</v>
      </c>
      <c r="E38" s="272">
        <f>150</f>
        <v>150</v>
      </c>
      <c r="F38" s="273">
        <f t="shared" si="4"/>
        <v>-0.0349251997</v>
      </c>
      <c r="G38" s="274">
        <v>0.07</v>
      </c>
      <c r="H38" s="275">
        <f>iferror(iferror(vlookup(C38,Buys!C:J,2,false),iferror(vlookup(C38,Sells!C:J,2,false),vlookup(C38,Macro!C:N,3,false))),0)/M38-1</f>
        <v>-0.1722843246</v>
      </c>
      <c r="I38" s="276">
        <f>iferror(iferror(vlookup(C38,Buys!C:J,7,false),iferror(vlookup(C38,Sells!C:J,7,false),vlookup(C38,Macro!C:N,7,false))),0)/M38-1</f>
        <v>0.08313942132</v>
      </c>
      <c r="J38" s="277">
        <f t="shared" si="5"/>
        <v>0</v>
      </c>
      <c r="K38" s="278"/>
      <c r="L38" s="228">
        <f>IFERROR(__xludf.DUMMYFUNCTION("iferror(googlefinance(""NASDAQ:""&amp;C38,""changepct"")/100,iferror(googlefinance(""NYSE:""&amp;C38,""changepct"")/100,iferror(googlefinance(C38,""changepct"")/100,"""")))"),0.0021)</f>
        <v>0.0021</v>
      </c>
      <c r="M38" s="279">
        <f>IFERROR(__xludf.DUMMYFUNCTION("iferror(googlefinance(""NASDAQ:""&amp;C38,""price""),iferror(googlefinance(""NYSE:""&amp;C38,""price""),iferror(googlefinance(C38,""price""),1)))"),234.38)</f>
        <v>234.38</v>
      </c>
      <c r="N38" s="280">
        <f t="shared" si="6"/>
        <v>0</v>
      </c>
      <c r="O38" s="281">
        <f t="array" ref="O38">iferror(index(Buys!$Q:$Q,match(C38,Buys!$C:$C,0)),index(Sells!$Q:$Q,match(C38,Sells!$C:$C,0)))</f>
        <v>23.63701146</v>
      </c>
      <c r="P38" s="282">
        <f>IFERROR(__xludf.DUMMYFUNCTION("iferror(googlefinance(""NASDAQ:""&amp;C38,""beta""),iferror(googlefinance(""NYSE:""&amp;C38,""beta""),iferror(googlefinance(C38,""beta""),1)))"),1.05)</f>
        <v>1.05</v>
      </c>
      <c r="Q38" s="283">
        <f t="array" ref="Q38">iferror(index(Buys!$M:$M,match(C38,Buys!$C:$C,0)),index(Sells!$M:$M,match(C38,Sells!$C:$C,0)))</f>
        <v>0.2648199347</v>
      </c>
      <c r="R38" s="284">
        <f t="array" ref="R38">iferror(index(Buys!$S:$S,match(C38,Buys!$C:$C,0)),index(Sells!$S:$S,match(C38,Sells!$C:$C,0)))</f>
        <v>43722</v>
      </c>
    </row>
    <row r="39" ht="12.75" customHeight="1">
      <c r="A39" s="285" t="s">
        <v>1016</v>
      </c>
      <c r="B39" s="78" t="str">
        <f t="array" ref="B39">iferror(index(Buys!$T:$T,match(C39,Buys!$C:$C,0)),"Other")</f>
        <v>SGrowth</v>
      </c>
      <c r="C39" s="270" t="s">
        <v>1079</v>
      </c>
      <c r="D39" s="271">
        <f t="shared" si="3"/>
        <v>0.03392086552</v>
      </c>
      <c r="E39" s="272">
        <f>100+100+100</f>
        <v>300</v>
      </c>
      <c r="F39" s="273">
        <f t="shared" si="4"/>
        <v>-0.01665138641</v>
      </c>
      <c r="G39" s="274">
        <v>0.015</v>
      </c>
      <c r="H39" s="275">
        <f>iferror(iferror(vlookup(C39,Buys!C:J,2,false),iferror(vlookup(C39,Sells!C:J,2,false),vlookup(C39,Macro!C:N,3,false))),0)/M39-1</f>
        <v>-0.03356176419</v>
      </c>
      <c r="I39" s="276">
        <f>iferror(iferror(vlookup(C39,Buys!C:J,7,false),iferror(vlookup(C39,Sells!C:J,7,false),vlookup(C39,Macro!C:N,7,false))),0)/M39-1</f>
        <v>0.5201021115</v>
      </c>
      <c r="J39" s="277">
        <f t="shared" si="5"/>
        <v>0.01726947911</v>
      </c>
      <c r="K39" s="278"/>
      <c r="L39" s="228">
        <f>IFERROR(__xludf.DUMMYFUNCTION("iferror(googlefinance(""NASDAQ:""&amp;C39,""changepct"")/100,iferror(googlefinance(""NYSE:""&amp;C39,""changepct"")/100,iferror(googlefinance(C39,""changepct"")/100,"""")))"),0.0049)</f>
        <v>0.0049</v>
      </c>
      <c r="M39" s="279">
        <f>IFERROR(__xludf.DUMMYFUNCTION("iferror(googlefinance(""NASDAQ:""&amp;C39,""price""),iferror(googlefinance(""NYSE:""&amp;C39,""price""),iferror(googlefinance(C39,""price""),1)))"),113.82)</f>
        <v>113.82</v>
      </c>
      <c r="N39" s="280">
        <f t="shared" si="6"/>
        <v>0</v>
      </c>
      <c r="O39" s="281">
        <f t="array" ref="O39">iferror(index(Buys!$Q:$Q,match(C39,Buys!$C:$C,0)),index(Sells!$Q:$Q,match(C39,Sells!$C:$C,0)))</f>
        <v>155.8700137</v>
      </c>
      <c r="P39" s="282">
        <f>IFERROR(__xludf.DUMMYFUNCTION("iferror(googlefinance(""NASDAQ:""&amp;C39,""beta""),iferror(googlefinance(""NYSE:""&amp;C39,""beta""),iferror(googlefinance(C39,""beta""),1)))"),1.31)</f>
        <v>1.31</v>
      </c>
      <c r="Q39" s="283">
        <f t="array" ref="Q39">iferror(index(Buys!$M:$M,match(C39,Buys!$C:$C,0)),index(Sells!$M:$M,match(C39,Sells!$C:$C,0)))</f>
        <v>0.6785185648</v>
      </c>
      <c r="R39" s="284">
        <f t="array" ref="R39">iferror(index(Buys!$S:$S,match(C39,Buys!$C:$C,0)),index(Sells!$S:$S,match(C39,Sells!$C:$C,0)))</f>
        <v>43676</v>
      </c>
    </row>
    <row r="40" ht="12.75" customHeight="1">
      <c r="A40" s="285" t="s">
        <v>1016</v>
      </c>
      <c r="B40" s="285" t="str">
        <f t="array" ref="B40">iferror(index(Buys!$T:$T,match(C40,Buys!$C:$C,0)),"Other")</f>
        <v>Value</v>
      </c>
      <c r="C40" s="270" t="s">
        <v>1082</v>
      </c>
      <c r="D40" s="271">
        <f t="shared" si="3"/>
        <v>0.0336606923</v>
      </c>
      <c r="E40" s="272">
        <v>30.0</v>
      </c>
      <c r="F40" s="273">
        <f t="shared" si="4"/>
        <v>-0.02205284072</v>
      </c>
      <c r="G40" s="274">
        <v>0.025</v>
      </c>
      <c r="H40" s="275">
        <f>iferror(iferror(vlookup(C40,Buys!C:J,2,false),iferror(vlookup(C40,Sells!C:J,2,false),vlookup(C40,Macro!C:N,3,false))),0)/M40-1</f>
        <v>-0.2120197969</v>
      </c>
      <c r="I40" s="276">
        <f>iferror(iferror(vlookup(C40,Buys!C:J,7,false),iferror(vlookup(C40,Sells!C:J,7,false),vlookup(C40,Macro!C:N,7,false))),0)/M40-1</f>
        <v>0.4122999593</v>
      </c>
      <c r="J40" s="277">
        <f t="shared" si="5"/>
        <v>0.01160785158</v>
      </c>
      <c r="K40" s="278"/>
      <c r="L40" s="228">
        <f>IFERROR(__xludf.DUMMYFUNCTION("iferror(googlefinance(""NASDAQ:""&amp;C40,""changepct"")/100,iferror(googlefinance(""NYSE:""&amp;C40,""changepct"")/100,iferror(googlefinance(C40,""changepct"")/100,"""")))"),0.0051)</f>
        <v>0.0051</v>
      </c>
      <c r="M40" s="279">
        <f>IFERROR(__xludf.DUMMYFUNCTION("iferror(googlefinance(""NASDAQ:""&amp;C40,""price""),iferror(googlefinance(""NYSE:""&amp;C40,""price""),iferror(googlefinance(C40,""price""),1)))"),1129.47)</f>
        <v>1129.47</v>
      </c>
      <c r="N40" s="280">
        <f t="shared" si="6"/>
        <v>0</v>
      </c>
      <c r="O40" s="281">
        <f t="array" ref="O40">iferror(index(Buys!$Q:$Q,match(C40,Buys!$C:$C,0)),index(Sells!$Q:$Q,match(C40,Sells!$C:$C,0)))</f>
        <v>24.11803671</v>
      </c>
      <c r="P40" s="282">
        <f>IFERROR(__xludf.DUMMYFUNCTION("iferror(googlefinance(""NASDAQ:""&amp;C40,""beta""),iferror(googlefinance(""NYSE:""&amp;C40,""beta""),iferror(googlefinance(C40,""beta""),1)))"),0.63)</f>
        <v>0.63</v>
      </c>
      <c r="Q40" s="283">
        <f t="array" ref="Q40">iferror(index(Buys!$M:$M,match(C40,Buys!$C:$C,0)),index(Sells!$M:$M,match(C40,Sells!$C:$C,0)))</f>
        <v>-0.1543581476</v>
      </c>
      <c r="R40" s="284">
        <f t="array" ref="R40">iferror(index(Buys!$S:$S,match(C40,Buys!$C:$C,0)),index(Sells!$S:$S,match(C40,Sells!$C:$C,0)))</f>
        <v>43669</v>
      </c>
    </row>
    <row r="41" ht="12.75" customHeight="1">
      <c r="A41" s="269" t="s">
        <v>1016</v>
      </c>
      <c r="B41" s="285" t="str">
        <f t="array" ref="B41">iferror(index(Buys!$T:$T,match(C41,Buys!$C:$C,0)),"Other")</f>
        <v>Value</v>
      </c>
      <c r="C41" s="288" t="s">
        <v>605</v>
      </c>
      <c r="D41" s="271">
        <f t="shared" si="3"/>
        <v>0.02841639894</v>
      </c>
      <c r="E41" s="272">
        <f>250</f>
        <v>250</v>
      </c>
      <c r="F41" s="273">
        <f t="shared" si="4"/>
        <v>-0.02658610156</v>
      </c>
      <c r="G41" s="274">
        <v>0.03</v>
      </c>
      <c r="H41" s="275">
        <f>iferror(iferror(vlookup(C41,Buys!C:J,2,false),iferror(vlookup(C41,Sells!C:J,2,false),vlookup(C41,Macro!C:N,3,false))),0)/M41-1</f>
        <v>-0.3445201888</v>
      </c>
      <c r="I41" s="276">
        <f>iferror(iferror(vlookup(C41,Buys!C:J,7,false),iferror(vlookup(C41,Sells!C:J,7,false),vlookup(C41,Macro!C:N,7,false))),0)/M41-1</f>
        <v>0.4426891319</v>
      </c>
      <c r="J41" s="277">
        <f t="shared" si="5"/>
        <v>0.001830297382</v>
      </c>
      <c r="K41" s="278"/>
      <c r="L41" s="228">
        <f>IFERROR(__xludf.DUMMYFUNCTION("iferror(googlefinance(""NASDAQ:""&amp;C41,""changepct"")/100,iferror(googlefinance(""NYSE:""&amp;C41,""changepct"")/100,iferror(googlefinance(C41,""changepct"")/100,"""")))"),0.034300000000000004)</f>
        <v>0.0343</v>
      </c>
      <c r="M41" s="279">
        <f>IFERROR(__xludf.DUMMYFUNCTION("iferror(googlefinance(""NASDAQ:""&amp;C41,""price""),iferror(googlefinance(""NYSE:""&amp;C41,""price""),iferror(googlefinance(C41,""price""),1)))"),114.42)</f>
        <v>114.42</v>
      </c>
      <c r="N41" s="280">
        <f t="shared" si="6"/>
        <v>0</v>
      </c>
      <c r="O41" s="281">
        <f t="array" ref="O41">iferror(index(Buys!$Q:$Q,match(C41,Buys!$C:$C,0)),index(Sells!$Q:$Q,match(C41,Sells!$C:$C,0)))</f>
        <v>16.56806101</v>
      </c>
      <c r="P41" s="282">
        <f>IFERROR(__xludf.DUMMYFUNCTION("iferror(googlefinance(""NASDAQ:""&amp;C41,""beta""),iferror(googlefinance(""NYSE:""&amp;C41,""beta""),iferror(googlefinance(C41,""beta""),1)))"),1.07)</f>
        <v>1.07</v>
      </c>
      <c r="Q41" s="283">
        <f t="array" ref="Q41">iferror(index(Buys!$M:$M,match(C41,Buys!$C:$C,0)),index(Sells!$M:$M,match(C41,Sells!$C:$C,0)))</f>
        <v>0.1798884276</v>
      </c>
      <c r="R41" s="284">
        <f t="array" ref="R41">iferror(index(Buys!$S:$S,match(C41,Buys!$C:$C,0)),index(Sells!$S:$S,match(C41,Sells!$C:$C,0)))</f>
        <v>43669</v>
      </c>
    </row>
    <row r="42" ht="12.75" customHeight="1">
      <c r="A42" s="269" t="s">
        <v>1016</v>
      </c>
      <c r="B42" s="78" t="str">
        <f t="array" ref="B42">iferror(index(Buys!$T:$T,match(C42,Buys!$C:$C,0)),"Other")</f>
        <v>Value</v>
      </c>
      <c r="C42" s="270" t="s">
        <v>1088</v>
      </c>
      <c r="D42" s="271">
        <f t="shared" si="3"/>
        <v>0.02592220304</v>
      </c>
      <c r="E42" s="272">
        <f>4+3</f>
        <v>7</v>
      </c>
      <c r="F42" s="273">
        <f t="shared" si="4"/>
        <v>-0.02592220304</v>
      </c>
      <c r="G42" s="274">
        <v>0.03</v>
      </c>
      <c r="H42" s="275">
        <f>iferror(iferror(vlookup(C42,Buys!C:J,2,false),iferror(vlookup(C42,Sells!C:J,2,false),vlookup(C42,Macro!C:N,3,false))),0)/M42-1</f>
        <v>-0.2757025015</v>
      </c>
      <c r="I42" s="276">
        <f>iferror(iferror(vlookup(C42,Buys!C:J,7,false),iferror(vlookup(C42,Sells!C:J,7,false),vlookup(C42,Macro!C:N,7,false))),0)/M42-1</f>
        <v>0.2921059684</v>
      </c>
      <c r="J42" s="277">
        <f t="shared" si="5"/>
        <v>0</v>
      </c>
      <c r="K42" s="278"/>
      <c r="L42" s="228">
        <f>IFERROR(__xludf.DUMMYFUNCTION("iferror(googlefinance(""NASDAQ:""&amp;C42,""changepct"")/100,iferror(googlefinance(""NYSE:""&amp;C42,""changepct"")/100,iferror(googlefinance(C42,""changepct"")/100,"""")))"),-0.0084)</f>
        <v>-0.0084</v>
      </c>
      <c r="M42" s="279">
        <f>IFERROR(__xludf.DUMMYFUNCTION("iferror(googlefinance(""NASDAQ:""&amp;C42,""price""),iferror(googlefinance(""NYSE:""&amp;C42,""price""),iferror(googlefinance(C42,""price""),1)))"),3727.75)</f>
        <v>3727.75</v>
      </c>
      <c r="N42" s="280">
        <f t="shared" si="6"/>
        <v>0</v>
      </c>
      <c r="O42" s="281">
        <f t="array" ref="O42">iferror(index(Buys!$Q:$Q,match(C42,Buys!$C:$C,0)),index(Sells!$Q:$Q,match(C42,Sells!$C:$C,0)))</f>
        <v>23.09363302</v>
      </c>
      <c r="P42" s="282">
        <f>IFERROR(__xludf.DUMMYFUNCTION("iferror(googlefinance(""NASDAQ:""&amp;C42,""beta""),iferror(googlefinance(""NYSE:""&amp;C42,""beta""),iferror(googlefinance(C42,""beta""),1)))"),0.61)</f>
        <v>0.61</v>
      </c>
      <c r="Q42" s="283">
        <f t="array" ref="Q42">iferror(index(Buys!$M:$M,match(C42,Buys!$C:$C,0)),index(Sells!$M:$M,match(C42,Sells!$C:$C,0)))</f>
        <v>0.1798884275</v>
      </c>
      <c r="R42" s="284">
        <f t="array" ref="R42">iferror(index(Buys!$S:$S,match(C42,Buys!$C:$C,0)),index(Sells!$S:$S,match(C42,Sells!$C:$C,0)))</f>
        <v>43669</v>
      </c>
    </row>
    <row r="43" ht="12.75" customHeight="1">
      <c r="A43" s="269" t="s">
        <v>1016</v>
      </c>
      <c r="B43" s="78" t="str">
        <f t="array" ref="B43">iferror(index(Buys!$T:$T,match(C43,Buys!$C:$C,0)),"Other")</f>
        <v>Value</v>
      </c>
      <c r="C43" s="270" t="s">
        <v>1092</v>
      </c>
      <c r="D43" s="271">
        <f t="shared" si="3"/>
        <v>0.02513318976</v>
      </c>
      <c r="E43" s="272">
        <f>750+750+500</f>
        <v>2000</v>
      </c>
      <c r="F43" s="273">
        <f t="shared" si="4"/>
        <v>-0.01163926264</v>
      </c>
      <c r="G43" s="274">
        <v>0.02</v>
      </c>
      <c r="H43" s="275">
        <f>iferror(iferror(vlookup(C43,Buys!C:J,2,false),iferror(vlookup(C43,Sells!C:J,2,false),vlookup(C43,Macro!C:N,3,false))),0)/M43-1</f>
        <v>-0.3675889328</v>
      </c>
      <c r="I43" s="276">
        <f>iferror(iferror(vlookup(C43,Buys!C:J,7,false),iferror(vlookup(C43,Sells!C:J,7,false),vlookup(C43,Macro!C:N,7,false))),0)/M43-1</f>
        <v>0.976284585</v>
      </c>
      <c r="J43" s="277">
        <f t="shared" si="5"/>
        <v>0.01349392713</v>
      </c>
      <c r="K43" s="278"/>
      <c r="L43" s="228">
        <f>IFERROR(__xludf.DUMMYFUNCTION("iferror(googlefinance(""NASDAQ:""&amp;C43,""changepct"")/100,iferror(googlefinance(""NYSE:""&amp;C43,""changepct"")/100,iferror(googlefinance(C43,""changepct"")/100,"""")))"),-0.0039000000000000003)</f>
        <v>-0.0039</v>
      </c>
      <c r="M43" s="279">
        <f>IFERROR(__xludf.DUMMYFUNCTION("iferror(googlefinance(""NASDAQ:""&amp;C43,""price""),iferror(googlefinance(""NYSE:""&amp;C43,""price""),iferror(googlefinance(C43,""price""),1)))"),12.65)</f>
        <v>12.65</v>
      </c>
      <c r="N43" s="280">
        <f t="shared" si="6"/>
        <v>0</v>
      </c>
      <c r="O43" s="281" t="str">
        <f t="array" ref="O43">iferror(index(Buys!$Q:$Q,match(C43,Buys!$C:$C,0)),index(Sells!$Q:$Q,match(C43,Sells!$C:$C,0)))</f>
        <v/>
      </c>
      <c r="P43" s="282">
        <f>IFERROR(__xludf.DUMMYFUNCTION("iferror(googlefinance(""NASDAQ:""&amp;C43,""beta""),iferror(googlefinance(""NYSE:""&amp;C43,""beta""),iferror(googlefinance(C43,""beta""),1)))"),0.53)</f>
        <v>0.53</v>
      </c>
      <c r="Q43" s="283">
        <f t="array" ref="Q43">iferror(index(Buys!$M:$M,match(C43,Buys!$C:$C,0)),index(Sells!$M:$M,match(C43,Sells!$C:$C,0)))</f>
        <v>-0.8201115726</v>
      </c>
      <c r="R43" s="284">
        <f t="array" ref="R43">iferror(index(Buys!$S:$S,match(C43,Buys!$C:$C,0)),index(Sells!$S:$S,match(C43,Sells!$C:$C,0)))</f>
        <v>43619</v>
      </c>
    </row>
    <row r="44" ht="12.75" customHeight="1">
      <c r="A44" s="289" t="s">
        <v>1016</v>
      </c>
      <c r="B44" s="290" t="str">
        <f t="array" ref="B44">iferror(index(Buys!$T:$T,match(C44,Buys!$C:$C,0)),"Other")</f>
        <v>Value</v>
      </c>
      <c r="C44" s="291" t="s">
        <v>1098</v>
      </c>
      <c r="D44" s="271">
        <f t="shared" si="3"/>
        <v>0.02061815627</v>
      </c>
      <c r="E44" s="292">
        <f>50+20</f>
        <v>70</v>
      </c>
      <c r="F44" s="293">
        <f t="shared" si="4"/>
        <v>-0.02061815627</v>
      </c>
      <c r="G44" s="294">
        <v>0.02</v>
      </c>
      <c r="H44" s="275">
        <f>iferror(iferror(vlookup(C44,Buys!C:J,2,false),iferror(vlookup(C44,Sells!C:J,2,false),vlookup(C44,Macro!C:N,3,false))),0)/M44-1</f>
        <v>-0.3498391398</v>
      </c>
      <c r="I44" s="295">
        <f>iferror(iferror(vlookup(C44,Buys!C:J,7,false),iferror(vlookup(C44,Sells!C:J,7,false),vlookup(C44,Macro!C:N,7,false))),0)/M44-1</f>
        <v>-0.3498391398</v>
      </c>
      <c r="J44" s="296">
        <f t="shared" si="5"/>
        <v>0</v>
      </c>
      <c r="K44" s="278"/>
      <c r="L44" s="228">
        <f>IFERROR(__xludf.DUMMYFUNCTION("iferror(googlefinance(""NASDAQ:""&amp;C44,""changepct"")/100,iferror(googlefinance(""NYSE:""&amp;C44,""changepct"")/100,iferror(googlefinance(C44,""changepct"")/100,"""")))"),-0.0019)</f>
        <v>-0.0019</v>
      </c>
      <c r="M44" s="279">
        <f>IFERROR(__xludf.DUMMYFUNCTION("iferror(googlefinance(""NASDAQ:""&amp;C44,""price""),iferror(googlefinance(""NYSE:""&amp;C44,""price""),iferror(googlefinance(C44,""price""),1)))"),296.5)</f>
        <v>296.5</v>
      </c>
      <c r="N44" s="280">
        <f t="shared" si="6"/>
        <v>0</v>
      </c>
      <c r="O44" s="281">
        <f t="array" ref="O44">iferror(index(Buys!$Q:$Q,match(C44,Buys!$C:$C,0)),index(Sells!$Q:$Q,match(C44,Sells!$C:$C,0)))</f>
        <v>22.7712019</v>
      </c>
      <c r="P44" s="282">
        <f>IFERROR(__xludf.DUMMYFUNCTION("iferror(googlefinance(""NASDAQ:""&amp;C44,""beta""),iferror(googlefinance(""NYSE:""&amp;C44,""beta""),iferror(googlefinance(C44,""beta""),1)))"),0.94)</f>
        <v>0.94</v>
      </c>
      <c r="Q44" s="283">
        <f t="array" ref="Q44">iferror(index(Buys!$M:$M,match(C44,Buys!$C:$C,0)),index(Sells!$M:$M,match(C44,Sells!$C:$C,0)))</f>
        <v>-0.154358148</v>
      </c>
      <c r="R44" s="284">
        <f t="array" ref="R44">iferror(index(Buys!$S:$S,match(C44,Buys!$C:$C,0)),index(Sells!$S:$S,match(C44,Sells!$C:$C,0)))</f>
        <v>43704</v>
      </c>
    </row>
    <row r="45" ht="12.75" customHeight="1">
      <c r="A45" s="285" t="s">
        <v>1016</v>
      </c>
      <c r="B45" s="78" t="str">
        <f t="array" ref="B45">iferror(index(Buys!$T:$T,match(C45,Buys!$C:$C,0)),"Other")</f>
        <v>Value</v>
      </c>
      <c r="C45" s="270" t="s">
        <v>388</v>
      </c>
      <c r="D45" s="271">
        <f t="shared" si="3"/>
        <v>0.01878859913</v>
      </c>
      <c r="E45" s="272">
        <f>40+30</f>
        <v>70</v>
      </c>
      <c r="F45" s="273">
        <f t="shared" si="4"/>
        <v>-0.01878859913</v>
      </c>
      <c r="G45" s="274">
        <v>0.02</v>
      </c>
      <c r="H45" s="275">
        <f>iferror(iferror(vlookup(C45,Buys!C:J,2,false),iferror(vlookup(C45,Sells!C:J,2,false),vlookup(C45,Macro!C:N,3,false))),0)/M45-1</f>
        <v>-0.1857581702</v>
      </c>
      <c r="I45" s="276">
        <f>iferror(iferror(vlookup(C45,Buys!C:J,7,false),iferror(vlookup(C45,Sells!C:J,7,false),vlookup(C45,Macro!C:N,7,false))),0)/M45-1</f>
        <v>-0.01817053738</v>
      </c>
      <c r="J45" s="277">
        <f t="shared" si="5"/>
        <v>0</v>
      </c>
      <c r="K45" s="292"/>
      <c r="L45" s="228">
        <f>IFERROR(__xludf.DUMMYFUNCTION("iferror(googlefinance(""NASDAQ:""&amp;C45,""changepct"")/100,iferror(googlefinance(""NYSE:""&amp;C45,""changepct"")/100,iferror(googlefinance(C45,""changepct"")/100,"""")))"),0.0054)</f>
        <v>0.0054</v>
      </c>
      <c r="M45" s="279">
        <f>IFERROR(__xludf.DUMMYFUNCTION("iferror(googlefinance(""NASDAQ:""&amp;C45,""price""),iferror(googlefinance(""NYSE:""&amp;C45,""price""),iferror(googlefinance(C45,""price""),1)))"),270.19)</f>
        <v>270.19</v>
      </c>
      <c r="N45" s="280">
        <f t="shared" si="6"/>
        <v>0</v>
      </c>
      <c r="O45" s="281">
        <f t="array" ref="O45">iferror(index(Buys!$Q:$Q,match(C45,Buys!$C:$C,0)),index(Sells!$Q:$Q,match(C45,Sells!$C:$C,0)))</f>
        <v>30.28331765</v>
      </c>
      <c r="P45" s="282">
        <f>IFERROR(__xludf.DUMMYFUNCTION("iferror(googlefinance(""NASDAQ:""&amp;C45,""beta""),iferror(googlefinance(""NYSE:""&amp;C45,""beta""),iferror(googlefinance(C45,""beta""),1)))"),1.06)</f>
        <v>1.06</v>
      </c>
      <c r="Q45" s="283">
        <f t="array" ref="Q45">iferror(index(Buys!$M:$M,match(C45,Buys!$C:$C,0)),index(Sells!$M:$M,match(C45,Sells!$C:$C,0)))</f>
        <v>0.1798884273</v>
      </c>
      <c r="R45" s="284">
        <f t="array" ref="R45">iferror(index(Buys!$S:$S,match(C45,Buys!$C:$C,0)),index(Sells!$S:$S,match(C45,Sells!$C:$C,0)))</f>
        <v>43684</v>
      </c>
    </row>
    <row r="46" ht="12.75" customHeight="1">
      <c r="A46" s="269" t="s">
        <v>1016</v>
      </c>
      <c r="B46" s="285" t="str">
        <f t="array" ref="B46">iferror(index(Buys!$T:$T,match(C46,Buys!$C:$C,0)),"Other")</f>
        <v>Value</v>
      </c>
      <c r="C46" s="270" t="s">
        <v>1106</v>
      </c>
      <c r="D46" s="271">
        <f t="shared" si="3"/>
        <v>0.01766773834</v>
      </c>
      <c r="E46" s="272">
        <f>50+50</f>
        <v>100</v>
      </c>
      <c r="F46" s="273">
        <f t="shared" si="4"/>
        <v>-0.01766773834</v>
      </c>
      <c r="G46" s="274">
        <v>0.02</v>
      </c>
      <c r="H46" s="275">
        <f>iferror(iferror(vlookup(C46,Buys!C:J,2,false),iferror(vlookup(C46,Sells!C:J,2,false),vlookup(C46,Macro!C:N,3,false))),0)/M46-1</f>
        <v>-0.1565926342</v>
      </c>
      <c r="I46" s="276">
        <f>iferror(iferror(vlookup(C46,Buys!C:J,7,false),iferror(vlookup(C46,Sells!C:J,7,false),vlookup(C46,Macro!C:N,7,false))),0)/M46-1</f>
        <v>0.006689519652</v>
      </c>
      <c r="J46" s="277">
        <f t="shared" si="5"/>
        <v>0</v>
      </c>
      <c r="K46" s="278"/>
      <c r="L46" s="228">
        <f>IFERROR(__xludf.DUMMYFUNCTION("iferror(googlefinance(""NASDAQ:""&amp;C46,""changepct"")/100,iferror(googlefinance(""NYSE:""&amp;C46,""changepct"")/100,iferror(googlefinance(C46,""changepct"")/100,"""")))"),0.0096)</f>
        <v>0.0096</v>
      </c>
      <c r="M46" s="279">
        <f>IFERROR(__xludf.DUMMYFUNCTION("iferror(googlefinance(""NASDAQ:""&amp;C46,""price""),iferror(googlefinance(""NYSE:""&amp;C46,""price""),iferror(googlefinance(C46,""price""),1)))"),177.85)</f>
        <v>177.85</v>
      </c>
      <c r="N46" s="280">
        <f t="shared" si="6"/>
        <v>0</v>
      </c>
      <c r="O46" s="281">
        <f t="array" ref="O46">iferror(index(Buys!$Q:$Q,match(C46,Buys!$C:$C,0)),index(Sells!$Q:$Q,match(C46,Sells!$C:$C,0)))</f>
        <v>28.31982676</v>
      </c>
      <c r="P46" s="282">
        <f>IFERROR(__xludf.DUMMYFUNCTION("iferror(googlefinance(""NASDAQ:""&amp;C46,""beta""),iferror(googlefinance(""NYSE:""&amp;C46,""beta""),iferror(googlefinance(C46,""beta""),1)))"),0.97)</f>
        <v>0.97</v>
      </c>
      <c r="Q46" s="283">
        <f t="array" ref="Q46">iferror(index(Buys!$M:$M,match(C46,Buys!$C:$C,0)),index(Sells!$M:$M,match(C46,Sells!$C:$C,0)))</f>
        <v>-0.07216636736</v>
      </c>
      <c r="R46" s="284">
        <f t="array" ref="R46">iferror(index(Buys!$S:$S,match(C46,Buys!$C:$C,0)),index(Sells!$S:$S,match(C46,Sells!$C:$C,0)))</f>
        <v>43684</v>
      </c>
    </row>
    <row r="47" ht="12.75" customHeight="1">
      <c r="A47" s="269" t="s">
        <v>1016</v>
      </c>
      <c r="B47" s="78" t="str">
        <f t="array" ref="B47">iferror(index(Buys!$T:$T,match(C47,Buys!$C:$C,0)),"Other")</f>
        <v>Value</v>
      </c>
      <c r="C47" s="270" t="s">
        <v>1109</v>
      </c>
      <c r="D47" s="271">
        <f t="shared" si="3"/>
        <v>0.01713417959</v>
      </c>
      <c r="E47" s="272">
        <f>20+10</f>
        <v>30</v>
      </c>
      <c r="F47" s="273">
        <f t="shared" si="4"/>
        <v>-0.01713417959</v>
      </c>
      <c r="G47" s="274">
        <v>0.02</v>
      </c>
      <c r="H47" s="275">
        <f>iferror(iferror(vlookup(C47,Buys!C:J,2,false),iferror(vlookup(C47,Sells!C:J,2,false),vlookup(C47,Macro!C:N,3,false))),0)/M47-1</f>
        <v>-0.3216565495</v>
      </c>
      <c r="I47" s="276">
        <f>iferror(iferror(vlookup(C47,Buys!C:J,7,false),iferror(vlookup(C47,Sells!C:J,7,false),vlookup(C47,Macro!C:N,7,false))),0)/M47-1</f>
        <v>-0.07484015638</v>
      </c>
      <c r="J47" s="277">
        <f t="shared" si="5"/>
        <v>0</v>
      </c>
      <c r="K47" s="278"/>
      <c r="L47" s="228">
        <f>IFERROR(__xludf.DUMMYFUNCTION("iferror(googlefinance(""NASDAQ:""&amp;C47,""changepct"")/100,iferror(googlefinance(""NYSE:""&amp;C47,""changepct"")/100,iferror(googlefinance(C47,""changepct"")/100,"""")))"),0.0015)</f>
        <v>0.0015</v>
      </c>
      <c r="M47" s="279">
        <f>IFERROR(__xludf.DUMMYFUNCTION("iferror(googlefinance(""NASDAQ:""&amp;C47,""price""),iferror(googlefinance(""NYSE:""&amp;C47,""price""),iferror(googlefinance(C47,""price""),1)))"),574.93)</f>
        <v>574.93</v>
      </c>
      <c r="N47" s="280">
        <f t="shared" si="6"/>
        <v>0</v>
      </c>
      <c r="O47" s="281">
        <f t="array" ref="O47">iferror(index(Buys!$Q:$Q,match(C47,Buys!$C:$C,0)),index(Sells!$Q:$Q,match(C47,Sells!$C:$C,0)))</f>
        <v>22.54725798</v>
      </c>
      <c r="P47" s="282">
        <f>IFERROR(__xludf.DUMMYFUNCTION("iferror(googlefinance(""NASDAQ:""&amp;C47,""beta""),iferror(googlefinance(""NYSE:""&amp;C47,""beta""),iferror(googlefinance(C47,""beta""),1)))"),1.27)</f>
        <v>1.27</v>
      </c>
      <c r="Q47" s="283">
        <f t="array" ref="Q47">iferror(index(Buys!$M:$M,match(C47,Buys!$C:$C,0)),index(Sells!$M:$M,match(C47,Sells!$C:$C,0)))</f>
        <v>0.1798884271</v>
      </c>
      <c r="R47" s="284">
        <f t="array" ref="R47">iferror(index(Buys!$S:$S,match(C47,Buys!$C:$C,0)),index(Sells!$S:$S,match(C47,Sells!$C:$C,0)))</f>
        <v>43696</v>
      </c>
    </row>
    <row r="48" ht="12.75" customHeight="1">
      <c r="A48" s="285" t="s">
        <v>1016</v>
      </c>
      <c r="B48" s="78" t="str">
        <f t="array" ref="B48">iferror(index(Buys!$T:$T,match(C48,Buys!$C:$C,0)),"Other")</f>
        <v>LGrowth</v>
      </c>
      <c r="C48" s="270" t="s">
        <v>1114</v>
      </c>
      <c r="D48" s="271">
        <f t="shared" si="3"/>
        <v>0.0141232632</v>
      </c>
      <c r="E48" s="272">
        <f>300+50</f>
        <v>350</v>
      </c>
      <c r="F48" s="273">
        <f t="shared" si="4"/>
        <v>-0.001219028464</v>
      </c>
      <c r="G48" s="274">
        <v>0.03</v>
      </c>
      <c r="H48" s="275">
        <f>iferror(iferror(vlookup(C48,Buys!C:J,2,false),iferror(vlookup(C48,Sells!C:J,2,false),vlookup(C48,Macro!C:N,3,false))),0)/M48-1</f>
        <v>-0.08911866076</v>
      </c>
      <c r="I48" s="276">
        <f>iferror(iferror(vlookup(C48,Buys!C:J,7,false),iferror(vlookup(C48,Sells!C:J,7,false),vlookup(C48,Macro!C:N,7,false))),0)/M48-1</f>
        <v>0.1660781672</v>
      </c>
      <c r="J48" s="277">
        <f t="shared" si="5"/>
        <v>0.01290423473</v>
      </c>
      <c r="K48" s="278"/>
      <c r="L48" s="228">
        <f>IFERROR(__xludf.DUMMYFUNCTION("iferror(googlefinance(""NASDAQ:""&amp;C48,""changepct"")/100,iferror(googlefinance(""NYSE:""&amp;C48,""changepct"")/100,iferror(googlefinance(C48,""changepct"")/100,"""")))"),0.005699999999999999)</f>
        <v>0.0057</v>
      </c>
      <c r="M48" s="279">
        <f>IFERROR(__xludf.DUMMYFUNCTION("iferror(googlefinance(""NASDAQ:""&amp;C48,""price""),iferror(googlefinance(""NYSE:""&amp;C48,""price""),iferror(googlefinance(C48,""price""),1)))"),40.62)</f>
        <v>40.62</v>
      </c>
      <c r="N48" s="280">
        <f t="shared" si="6"/>
        <v>0</v>
      </c>
      <c r="O48" s="281">
        <f t="array" ref="O48">iferror(index(Buys!$Q:$Q,match(C48,Buys!$C:$C,0)),index(Sells!$Q:$Q,match(C48,Sells!$C:$C,0)))</f>
        <v>28.31982676</v>
      </c>
      <c r="P48" s="282">
        <f>IFERROR(__xludf.DUMMYFUNCTION("iferror(googlefinance(""NASDAQ:""&amp;C48,""beta""),iferror(googlefinance(""NYSE:""&amp;C48,""beta""),iferror(googlefinance(C48,""beta""),1)))"),1.15)</f>
        <v>1.15</v>
      </c>
      <c r="Q48" s="283">
        <f t="array" ref="Q48">iferror(index(Buys!$M:$M,match(C48,Buys!$C:$C,0)),index(Sells!$M:$M,match(C48,Sells!$C:$C,0)))</f>
        <v>0.179888427</v>
      </c>
      <c r="R48" s="284">
        <f t="array" ref="R48">iferror(index(Buys!$S:$S,match(C48,Buys!$C:$C,0)),index(Sells!$S:$S,match(C48,Sells!$C:$C,0)))</f>
        <v>43650</v>
      </c>
    </row>
    <row r="49" ht="12.75" customHeight="1">
      <c r="A49" s="285" t="s">
        <v>1016</v>
      </c>
      <c r="B49" s="285" t="str">
        <f t="array" ref="B49">iferror(index(Buys!$T:$T,match(C49,Buys!$C:$C,0)),"Other")</f>
        <v>Value</v>
      </c>
      <c r="C49" s="270" t="s">
        <v>1119</v>
      </c>
      <c r="D49" s="271">
        <f t="shared" si="3"/>
        <v>0.013768617</v>
      </c>
      <c r="E49" s="272">
        <f>100+100</f>
        <v>200</v>
      </c>
      <c r="F49" s="273">
        <f t="shared" si="4"/>
        <v>0.002751733554</v>
      </c>
      <c r="G49" s="274">
        <v>0.015</v>
      </c>
      <c r="H49" s="275">
        <f>iferror(iferror(vlookup(C49,Buys!C:J,2,false),iferror(vlookup(C49,Sells!C:J,2,false),vlookup(C49,Macro!C:N,3,false))),0)/M49-1</f>
        <v>-0.06204906205</v>
      </c>
      <c r="I49" s="276">
        <f>iferror(iferror(vlookup(C49,Buys!C:J,7,false),iferror(vlookup(C49,Sells!C:J,7,false),vlookup(C49,Macro!C:N,7,false))),0)/M49-1</f>
        <v>0.6382223654</v>
      </c>
      <c r="J49" s="277">
        <f t="shared" si="5"/>
        <v>0.01652035055</v>
      </c>
      <c r="K49" s="278"/>
      <c r="L49" s="228">
        <f>IFERROR(__xludf.DUMMYFUNCTION("iferror(googlefinance(""NASDAQ:""&amp;C49,""changepct"")/100,iferror(googlefinance(""NYSE:""&amp;C49,""changepct"")/100,iferror(googlefinance(C49,""changepct"")/100,"""")))"),-0.0042)</f>
        <v>-0.0042</v>
      </c>
      <c r="M49" s="279">
        <f>IFERROR(__xludf.DUMMYFUNCTION("iferror(googlefinance(""NASDAQ:""&amp;C49,""price""),iferror(googlefinance(""NYSE:""&amp;C49,""price""),iferror(googlefinance(C49,""price""),1)))"),69.3)</f>
        <v>69.3</v>
      </c>
      <c r="N49" s="280">
        <f t="shared" si="6"/>
        <v>0</v>
      </c>
      <c r="O49" s="281">
        <f t="array" ref="O49">iferror(index(Buys!$Q:$Q,match(C49,Buys!$C:$C,0)),index(Sells!$Q:$Q,match(C49,Sells!$C:$C,0)))</f>
        <v>20.96775771</v>
      </c>
      <c r="P49" s="282">
        <f>IFERROR(__xludf.DUMMYFUNCTION("iferror(googlefinance(""NASDAQ:""&amp;C49,""beta""),iferror(googlefinance(""NYSE:""&amp;C49,""beta""),iferror(googlefinance(C49,""beta""),1)))"),0.68)</f>
        <v>0.68</v>
      </c>
      <c r="Q49" s="283">
        <f t="array" ref="Q49">iferror(index(Buys!$M:$M,match(C49,Buys!$C:$C,0)),index(Sells!$M:$M,match(C49,Sells!$C:$C,0)))</f>
        <v>0.1798884269</v>
      </c>
      <c r="R49" s="284">
        <f t="array" ref="R49">iferror(index(Buys!$S:$S,match(C49,Buys!$C:$C,0)),index(Sells!$S:$S,match(C49,Sells!$C:$C,0)))</f>
        <v>43677</v>
      </c>
    </row>
    <row r="50" ht="12.75" customHeight="1">
      <c r="A50" s="285" t="s">
        <v>1016</v>
      </c>
      <c r="B50" s="78" t="str">
        <f t="array" ref="B50">iferror(index(Buys!$T:$T,match(C50,Buys!$C:$C,0)),"Other")</f>
        <v>Value</v>
      </c>
      <c r="C50" s="270" t="s">
        <v>1123</v>
      </c>
      <c r="D50" s="271">
        <f t="shared" si="3"/>
        <v>0.01072928917</v>
      </c>
      <c r="E50" s="272">
        <v>50.0</v>
      </c>
      <c r="F50" s="273">
        <f t="shared" si="4"/>
        <v>-0.01072928917</v>
      </c>
      <c r="G50" s="274">
        <v>0.01</v>
      </c>
      <c r="H50" s="275">
        <f>iferror(iferror(vlookup(C50,Buys!C:J,2,false),iferror(vlookup(C50,Sells!C:J,2,false),vlookup(C50,Macro!C:N,3,false))),0)/M50-1</f>
        <v>-0.3518818573</v>
      </c>
      <c r="I50" s="276">
        <f>iferror(iferror(vlookup(C50,Buys!C:J,7,false),iferror(vlookup(C50,Sells!C:J,7,false),vlookup(C50,Macro!C:N,7,false))),0)/M50-1</f>
        <v>0.07003120872</v>
      </c>
      <c r="J50" s="277">
        <f t="shared" si="5"/>
        <v>0</v>
      </c>
      <c r="K50" s="278"/>
      <c r="L50" s="228">
        <f>IFERROR(__xludf.DUMMYFUNCTION("iferror(googlefinance(""NASDAQ:""&amp;C50,""changepct"")/100,iferror(googlefinance(""NYSE:""&amp;C50,""changepct"")/100,iferror(googlefinance(C50,""changepct"")/100,"""")))"),0.002)</f>
        <v>0.002</v>
      </c>
      <c r="M50" s="279">
        <f>IFERROR(__xludf.DUMMYFUNCTION("iferror(googlefinance(""NASDAQ:""&amp;C50,""price""),iferror(googlefinance(""NYSE:""&amp;C50,""price""),iferror(googlefinance(C50,""price""),1)))"),216.01)</f>
        <v>216.01</v>
      </c>
      <c r="N50" s="280">
        <f t="shared" si="6"/>
        <v>0</v>
      </c>
      <c r="O50" s="281">
        <f t="array" ref="O50">iferror(index(Buys!$Q:$Q,match(C50,Buys!$C:$C,0)),index(Sells!$Q:$Q,match(C50,Sells!$C:$C,0)))</f>
        <v>28.26316704</v>
      </c>
      <c r="P50" s="282">
        <f>IFERROR(__xludf.DUMMYFUNCTION("iferror(googlefinance(""NASDAQ:""&amp;C50,""beta""),iferror(googlefinance(""NYSE:""&amp;C50,""beta""),iferror(googlefinance(C50,""beta""),1)))"),1.24)</f>
        <v>1.24</v>
      </c>
      <c r="Q50" s="283">
        <f t="array" ref="Q50">iferror(index(Buys!$M:$M,match(C50,Buys!$C:$C,0)),index(Sells!$M:$M,match(C50,Sells!$C:$C,0)))</f>
        <v>-0.8201115732</v>
      </c>
      <c r="R50" s="284">
        <f t="array" ref="R50">iferror(index(Buys!$S:$S,match(C50,Buys!$C:$C,0)),index(Sells!$S:$S,match(C50,Sells!$C:$C,0)))</f>
        <v>43651</v>
      </c>
    </row>
    <row r="51" ht="12.75" customHeight="1">
      <c r="A51" s="285" t="s">
        <v>1016</v>
      </c>
      <c r="B51" s="78" t="str">
        <f t="array" ref="B51">iferror(index(Buys!$T:$T,match(C51,Buys!$C:$C,0)),"Other")</f>
        <v>Value</v>
      </c>
      <c r="C51" s="270" t="s">
        <v>1128</v>
      </c>
      <c r="D51" s="271">
        <f t="shared" si="3"/>
        <v>0.009389928575</v>
      </c>
      <c r="E51" s="272">
        <v>75.0</v>
      </c>
      <c r="F51" s="273">
        <f t="shared" si="4"/>
        <v>-0.005936733535</v>
      </c>
      <c r="G51" s="274">
        <v>0.02</v>
      </c>
      <c r="H51" s="275">
        <f>iferror(iferror(vlookup(C51,Buys!C:J,2,false),iferror(vlookup(C51,Sells!C:J,2,false),vlookup(C51,Macro!C:N,3,false))),0)/M51-1</f>
        <v>-0.1668650321</v>
      </c>
      <c r="I51" s="276">
        <f>iferror(iferror(vlookup(C51,Buys!C:J,7,false),iferror(vlookup(C51,Sells!C:J,7,false),vlookup(C51,Macro!C:N,7,false))),0)/M51-1</f>
        <v>0.2366353384</v>
      </c>
      <c r="J51" s="277">
        <f t="shared" si="5"/>
        <v>0.003453195039</v>
      </c>
      <c r="K51" s="278"/>
      <c r="L51" s="228">
        <f>IFERROR(__xludf.DUMMYFUNCTION("iferror(googlefinance(""NASDAQ:""&amp;C51,""changepct"")/100,iferror(googlefinance(""NYSE:""&amp;C51,""changepct"")/100,iferror(googlefinance(C51,""changepct"")/100,"""")))"),0.008)</f>
        <v>0.008</v>
      </c>
      <c r="M51" s="279">
        <f>IFERROR(__xludf.DUMMYFUNCTION("iferror(googlefinance(""NASDAQ:""&amp;C51,""price""),iferror(googlefinance(""NYSE:""&amp;C51,""price""),iferror(googlefinance(C51,""price""),1)))"),126.03)</f>
        <v>126.03</v>
      </c>
      <c r="N51" s="280">
        <f t="shared" si="6"/>
        <v>0</v>
      </c>
      <c r="O51" s="281">
        <f t="array" ref="O51">iferror(index(Buys!$Q:$Q,match(C51,Buys!$C:$C,0)),index(Sells!$Q:$Q,match(C51,Sells!$C:$C,0)))</f>
        <v>15.03759398</v>
      </c>
      <c r="P51" s="282">
        <f>IFERROR(__xludf.DUMMYFUNCTION("iferror(googlefinance(""NASDAQ:""&amp;C51,""beta""),iferror(googlefinance(""NYSE:""&amp;C51,""beta""),iferror(googlefinance(C51,""beta""),1)))"),1.2)</f>
        <v>1.2</v>
      </c>
      <c r="Q51" s="283">
        <f t="array" ref="Q51">iferror(index(Buys!$M:$M,match(C51,Buys!$C:$C,0)),index(Sells!$M:$M,match(C51,Sells!$C:$C,0)))</f>
        <v>0.1798884268</v>
      </c>
      <c r="R51" s="284">
        <f t="array" ref="R51">iferror(index(Buys!$S:$S,match(C51,Buys!$C:$C,0)),index(Sells!$S:$S,match(C51,Sells!$C:$C,0)))</f>
        <v>43762</v>
      </c>
    </row>
    <row r="52" ht="12.75" customHeight="1">
      <c r="A52" s="269" t="s">
        <v>1016</v>
      </c>
      <c r="B52" s="78" t="str">
        <f t="array" ref="B52">iferror(index(Buys!$T:$T,match(C52,Buys!$C:$C,0)),"Other")</f>
        <v>Value</v>
      </c>
      <c r="C52" s="270" t="s">
        <v>1131</v>
      </c>
      <c r="D52" s="271">
        <f t="shared" si="3"/>
        <v>0.008283025148</v>
      </c>
      <c r="E52" s="272">
        <f>100</f>
        <v>100</v>
      </c>
      <c r="F52" s="273">
        <f t="shared" si="4"/>
        <v>-0.008283025148</v>
      </c>
      <c r="G52" s="274">
        <v>0.02</v>
      </c>
      <c r="H52" s="275">
        <f>iferror(iferror(vlookup(C52,Buys!C:J,2,false),iferror(vlookup(C52,Sells!C:J,2,false),vlookup(C52,Macro!C:N,3,false))),0)/M52-1</f>
        <v>-0.1604701367</v>
      </c>
      <c r="I52" s="276">
        <f>iferror(iferror(vlookup(C52,Buys!C:J,7,false),iferror(vlookup(C52,Sells!C:J,7,false),vlookup(C52,Macro!C:N,7,false))),0)/M52-1</f>
        <v>-0.07408997022</v>
      </c>
      <c r="J52" s="277">
        <f t="shared" si="5"/>
        <v>0</v>
      </c>
      <c r="K52" s="278"/>
      <c r="L52" s="228">
        <f>IFERROR(__xludf.DUMMYFUNCTION("iferror(googlefinance(""NASDAQ:""&amp;C52,""changepct"")/100,iferror(googlefinance(""NYSE:""&amp;C52,""changepct"")/100,iferror(googlefinance(C52,""changepct"")/100,"""")))"),0.0024)</f>
        <v>0.0024</v>
      </c>
      <c r="M52" s="279">
        <f>IFERROR(__xludf.DUMMYFUNCTION("iferror(googlefinance(""NASDAQ:""&amp;C52,""price""),iferror(googlefinance(""NYSE:""&amp;C52,""price""),iferror(googlefinance(C52,""price""),1)))"),83.38)</f>
        <v>83.38</v>
      </c>
      <c r="N52" s="280">
        <f t="shared" si="6"/>
        <v>0</v>
      </c>
      <c r="O52" s="281">
        <f t="array" ref="O52">iferror(index(Buys!$Q:$Q,match(C52,Buys!$C:$C,0)),index(Sells!$Q:$Q,match(C52,Sells!$C:$C,0)))</f>
        <v>25.33965893</v>
      </c>
      <c r="P52" s="282">
        <f>IFERROR(__xludf.DUMMYFUNCTION("iferror(googlefinance(""NASDAQ:""&amp;C52,""beta""),iferror(googlefinance(""NYSE:""&amp;C52,""beta""),iferror(googlefinance(C52,""beta""),1)))"),0.54)</f>
        <v>0.54</v>
      </c>
      <c r="Q52" s="283">
        <f t="array" ref="Q52">iferror(index(Buys!$M:$M,match(C52,Buys!$C:$C,0)),index(Sells!$M:$M,match(C52,Sells!$C:$C,0)))</f>
        <v>-0.07216636787</v>
      </c>
      <c r="R52" s="284">
        <f t="array" ref="R52">iferror(index(Buys!$S:$S,match(C52,Buys!$C:$C,0)),index(Sells!$S:$S,match(C52,Sells!$C:$C,0)))</f>
        <v>43679</v>
      </c>
    </row>
    <row r="53" ht="12.75" customHeight="1">
      <c r="A53" s="285" t="s">
        <v>1016</v>
      </c>
      <c r="B53" s="285" t="str">
        <f t="array" ref="B53">iferror(index(Buys!$T:$T,match(C53,Buys!$C:$C,0)),"Other")</f>
        <v>Value</v>
      </c>
      <c r="C53" s="270" t="s">
        <v>1134</v>
      </c>
      <c r="D53" s="271">
        <f t="shared" si="3"/>
        <v>0.008250044045</v>
      </c>
      <c r="E53" s="272">
        <f>70</f>
        <v>70</v>
      </c>
      <c r="F53" s="273">
        <f t="shared" si="4"/>
        <v>-0.008250044045</v>
      </c>
      <c r="G53" s="274">
        <v>0.01</v>
      </c>
      <c r="H53" s="275">
        <f>iferror(iferror(vlookup(C53,Buys!C:J,2,false),iferror(vlookup(C53,Sells!C:J,2,false),vlookup(C53,Macro!C:N,3,false))),0)/M53-1</f>
        <v>-0.4099797707</v>
      </c>
      <c r="I53" s="276">
        <f>iferror(iferror(vlookup(C53,Buys!C:J,7,false),iferror(vlookup(C53,Sells!C:J,7,false),vlookup(C53,Macro!C:N,7,false))),0)/M53-1</f>
        <v>-0.4058069355</v>
      </c>
      <c r="J53" s="277">
        <f t="shared" si="5"/>
        <v>0</v>
      </c>
      <c r="K53" s="278"/>
      <c r="L53" s="228">
        <f>IFERROR(__xludf.DUMMYFUNCTION("iferror(googlefinance(""NASDAQ:""&amp;C53,""changepct"")/100,iferror(googlefinance(""NYSE:""&amp;C53,""changepct"")/100,iferror(googlefinance(C53,""changepct"")/100,"""")))"),-0.0139)</f>
        <v>-0.0139</v>
      </c>
      <c r="M53" s="279">
        <f>IFERROR(__xludf.DUMMYFUNCTION("iferror(googlefinance(""NASDAQ:""&amp;C53,""price""),iferror(googlefinance(""NYSE:""&amp;C53,""price""),iferror(googlefinance(C53,""price""),1)))"),118.64)</f>
        <v>118.64</v>
      </c>
      <c r="N53" s="280">
        <f t="shared" si="6"/>
        <v>0</v>
      </c>
      <c r="O53" s="281">
        <f t="array" ref="O53">iferror(index(Buys!$Q:$Q,match(C53,Buys!$C:$C,0)),index(Sells!$Q:$Q,match(C53,Sells!$C:$C,0)))</f>
        <v>27.25040557</v>
      </c>
      <c r="P53" s="282">
        <f>IFERROR(__xludf.DUMMYFUNCTION("iferror(googlefinance(""NASDAQ:""&amp;C53,""beta""),iferror(googlefinance(""NYSE:""&amp;C53,""beta""),iferror(googlefinance(C53,""beta""),1)))"),0.6)</f>
        <v>0.6</v>
      </c>
      <c r="Q53" s="283">
        <f t="array" ref="Q53">iferror(index(Buys!$M:$M,match(C53,Buys!$C:$C,0)),index(Sells!$M:$M,match(C53,Sells!$C:$C,0)))</f>
        <v>0.01276513889</v>
      </c>
      <c r="R53" s="284">
        <f t="array" ref="R53">iferror(index(Buys!$S:$S,match(C53,Buys!$C:$C,0)),index(Sells!$S:$S,match(C53,Sells!$C:$C,0)))</f>
        <v>43762</v>
      </c>
    </row>
    <row r="54" ht="12.75" customHeight="1">
      <c r="A54" s="285" t="s">
        <v>1016</v>
      </c>
      <c r="B54" s="78" t="str">
        <f t="array" ref="B54">iferror(index(Buys!$T:$T,match(C54,Buys!$C:$C,0)),"Other")</f>
        <v>Value</v>
      </c>
      <c r="C54" s="270" t="s">
        <v>1137</v>
      </c>
      <c r="D54" s="271">
        <f t="shared" si="3"/>
        <v>0.007428794718</v>
      </c>
      <c r="E54" s="272">
        <v>30.0</v>
      </c>
      <c r="F54" s="273">
        <f t="shared" si="4"/>
        <v>-0.007428794718</v>
      </c>
      <c r="G54" s="274">
        <v>0.01</v>
      </c>
      <c r="H54" s="275">
        <f>iferror(iferror(vlookup(C54,Buys!C:J,2,false),iferror(vlookup(C54,Sells!C:J,2,false),vlookup(C54,Macro!C:N,3,false))),0)/M54-1</f>
        <v>-0.3581257271</v>
      </c>
      <c r="I54" s="276">
        <f>iferror(iferror(vlookup(C54,Buys!C:J,7,false),iferror(vlookup(C54,Sells!C:J,7,false),vlookup(C54,Macro!C:N,7,false))),0)/M54-1</f>
        <v>-0.105600829</v>
      </c>
      <c r="J54" s="277">
        <f t="shared" si="5"/>
        <v>0</v>
      </c>
      <c r="K54" s="278"/>
      <c r="L54" s="228">
        <f>IFERROR(__xludf.DUMMYFUNCTION("iferror(googlefinance(""NASDAQ:""&amp;C54,""changepct"")/100,iferror(googlefinance(""NYSE:""&amp;C54,""changepct"")/100,iferror(googlefinance(C54,""changepct"")/100,"""")))"),0.0034999999999999996)</f>
        <v>0.0035</v>
      </c>
      <c r="M54" s="279">
        <f>IFERROR(__xludf.DUMMYFUNCTION("iferror(googlefinance(""NASDAQ:""&amp;C54,""price""),iferror(googlefinance(""NYSE:""&amp;C54,""price""),iferror(googlefinance(C54,""price""),1)))"),249.27)</f>
        <v>249.27</v>
      </c>
      <c r="N54" s="280">
        <f t="shared" si="6"/>
        <v>0</v>
      </c>
      <c r="O54" s="281">
        <f t="array" ref="O54">iferror(index(Buys!$Q:$Q,match(C54,Buys!$C:$C,0)),index(Sells!$Q:$Q,match(C54,Sells!$C:$C,0)))</f>
        <v>22.41505354</v>
      </c>
      <c r="P54" s="282">
        <f>IFERROR(__xludf.DUMMYFUNCTION("iferror(googlefinance(""NASDAQ:""&amp;C54,""beta""),iferror(googlefinance(""NYSE:""&amp;C54,""beta""),iferror(googlefinance(C54,""beta""),1)))"),1.07)</f>
        <v>1.07</v>
      </c>
      <c r="Q54" s="283">
        <f t="array" ref="Q54">iferror(index(Buys!$M:$M,match(C54,Buys!$C:$C,0)),index(Sells!$M:$M,match(C54,Sells!$C:$C,0)))</f>
        <v>0.1798884264</v>
      </c>
      <c r="R54" s="284">
        <f t="array" ref="R54">iferror(index(Buys!$S:$S,match(C54,Buys!$C:$C,0)),index(Sells!$S:$S,match(C54,Sells!$C:$C,0)))</f>
        <v>43747</v>
      </c>
    </row>
    <row r="55" ht="12.75" customHeight="1">
      <c r="A55" s="269" t="s">
        <v>1016</v>
      </c>
      <c r="B55" s="78" t="str">
        <f t="array" ref="B55">iferror(index(Buys!$T:$T,match(C55,Buys!$C:$C,0)),"Other")</f>
        <v>Value</v>
      </c>
      <c r="C55" s="270" t="s">
        <v>1141</v>
      </c>
      <c r="D55" s="271">
        <f t="shared" si="3"/>
        <v>0.007396906363</v>
      </c>
      <c r="E55" s="292">
        <v>50.0</v>
      </c>
      <c r="F55" s="273">
        <f t="shared" si="4"/>
        <v>-0.007396906363</v>
      </c>
      <c r="G55" s="274">
        <v>0.01</v>
      </c>
      <c r="H55" s="275">
        <f>iferror(iferror(vlookup(C55,Buys!C:J,2,false),iferror(vlookup(C55,Sells!C:J,2,false),vlookup(C55,Macro!C:N,3,false))),0)/M55-1</f>
        <v>-0.4292237443</v>
      </c>
      <c r="I55" s="276">
        <f>iferror(iferror(vlookup(C55,Buys!C:J,7,false),iferror(vlookup(C55,Sells!C:J,7,false),vlookup(C55,Macro!C:N,7,false))),0)/M55-1</f>
        <v>-0.2660606277</v>
      </c>
      <c r="J55" s="277">
        <f t="shared" si="5"/>
        <v>0</v>
      </c>
      <c r="K55" s="278"/>
      <c r="L55" s="228">
        <f>IFERROR(__xludf.DUMMYFUNCTION("iferror(googlefinance(""NASDAQ:""&amp;C55,""changepct"")/100,iferror(googlefinance(""NYSE:""&amp;C55,""changepct"")/100,iferror(googlefinance(C55,""changepct"")/100,"""")))"),-0.0055000000000000005)</f>
        <v>-0.0055</v>
      </c>
      <c r="M55" s="279">
        <f>IFERROR(__xludf.DUMMYFUNCTION("iferror(googlefinance(""NASDAQ:""&amp;C55,""price""),iferror(googlefinance(""NYSE:""&amp;C55,""price""),iferror(googlefinance(C55,""price""),1)))"),148.92)</f>
        <v>148.92</v>
      </c>
      <c r="N55" s="280">
        <f t="shared" si="6"/>
        <v>0</v>
      </c>
      <c r="O55" s="281" t="str">
        <f t="array" ref="O55">iferror(index(Buys!$Q:$Q,match(C55,Buys!$C:$C,0)),index(Sells!$Q:$Q,match(C55,Sells!$C:$C,0)))</f>
        <v/>
      </c>
      <c r="P55" s="282">
        <f>IFERROR(__xludf.DUMMYFUNCTION("iferror(googlefinance(""NASDAQ:""&amp;C55,""beta""),iferror(googlefinance(""NYSE:""&amp;C55,""beta""),iferror(googlefinance(C55,""beta""),1)))"),0.7)</f>
        <v>0.7</v>
      </c>
      <c r="Q55" s="283">
        <f t="array" ref="Q55">iferror(index(Buys!$M:$M,match(C55,Buys!$C:$C,0)),index(Sells!$M:$M,match(C55,Sells!$C:$C,0)))</f>
        <v>0.1798884263</v>
      </c>
      <c r="R55" s="284">
        <f t="array" ref="R55">iferror(index(Buys!$S:$S,match(C55,Buys!$C:$C,0)),index(Sells!$S:$S,match(C55,Sells!$C:$C,0)))</f>
        <v>43596</v>
      </c>
    </row>
    <row r="56" ht="12.75" customHeight="1">
      <c r="A56" s="269" t="s">
        <v>1016</v>
      </c>
      <c r="B56" s="78" t="str">
        <f t="array" ref="B56">iferror(index(Buys!$T:$T,match(C56,Buys!$C:$C,0)),"Other")</f>
        <v>Value</v>
      </c>
      <c r="C56" s="270" t="s">
        <v>1143</v>
      </c>
      <c r="D56" s="271">
        <f t="shared" si="3"/>
        <v>0.006501846917</v>
      </c>
      <c r="E56" s="272">
        <v>50.0</v>
      </c>
      <c r="F56" s="273">
        <f t="shared" si="4"/>
        <v>-0.006501846917</v>
      </c>
      <c r="G56" s="274">
        <v>0.01</v>
      </c>
      <c r="H56" s="275">
        <f>iferror(iferror(vlookup(C56,Buys!C:J,2,false),iferror(vlookup(C56,Sells!C:J,2,false),vlookup(C56,Macro!C:N,3,false))),0)/M56-1</f>
        <v>-0.1749427044</v>
      </c>
      <c r="I56" s="276">
        <f>iferror(iferror(vlookup(C56,Buys!C:J,7,false),iferror(vlookup(C56,Sells!C:J,7,false),vlookup(C56,Macro!C:N,7,false))),0)/M56-1</f>
        <v>0.1233948512</v>
      </c>
      <c r="J56" s="277">
        <f t="shared" si="5"/>
        <v>0</v>
      </c>
      <c r="K56" s="278"/>
      <c r="L56" s="228">
        <f>IFERROR(__xludf.DUMMYFUNCTION("iferror(googlefinance(""NASDAQ:""&amp;C56,""changepct"")/100,iferror(googlefinance(""NYSE:""&amp;C56,""changepct"")/100,iferror(googlefinance(C56,""changepct"")/100,"""")))"),0.0049)</f>
        <v>0.0049</v>
      </c>
      <c r="M56" s="279">
        <f>IFERROR(__xludf.DUMMYFUNCTION("iferror(googlefinance(""NASDAQ:""&amp;C56,""price""),iferror(googlefinance(""NYSE:""&amp;C56,""price""),iferror(googlefinance(C56,""price""),1)))"),130.9)</f>
        <v>130.9</v>
      </c>
      <c r="N56" s="280">
        <f t="shared" si="6"/>
        <v>0</v>
      </c>
      <c r="O56" s="281">
        <f t="array" ref="O56">iferror(index(Buys!$Q:$Q,match(C56,Buys!$C:$C,0)),index(Sells!$Q:$Q,match(C56,Sells!$C:$C,0)))</f>
        <v>21.55737121</v>
      </c>
      <c r="P56" s="282">
        <f>IFERROR(__xludf.DUMMYFUNCTION("iferror(googlefinance(""NASDAQ:""&amp;C56,""beta""),iferror(googlefinance(""NYSE:""&amp;C56,""beta""),iferror(googlefinance(C56,""beta""),1)))"),0.96)</f>
        <v>0.96</v>
      </c>
      <c r="Q56" s="283">
        <f t="array" ref="Q56">iferror(index(Buys!$M:$M,match(C56,Buys!$C:$C,0)),index(Sells!$M:$M,match(C56,Sells!$C:$C,0)))</f>
        <v>-0.07216636821</v>
      </c>
      <c r="R56" s="284">
        <f t="array" ref="R56">iferror(index(Buys!$S:$S,match(C56,Buys!$C:$C,0)),index(Sells!$S:$S,match(C56,Sells!$C:$C,0)))</f>
        <v>43692</v>
      </c>
    </row>
    <row r="57" ht="12.75" customHeight="1">
      <c r="A57" s="285" t="s">
        <v>1016</v>
      </c>
      <c r="B57" s="285" t="str">
        <f t="array" ref="B57">iferror(index(Buys!$T:$T,match(C57,Buys!$C:$C,0)),"Other")</f>
        <v>Value</v>
      </c>
      <c r="C57" s="270" t="s">
        <v>1146</v>
      </c>
      <c r="D57" s="271">
        <f t="shared" si="3"/>
        <v>0.005781031008</v>
      </c>
      <c r="E57" s="272">
        <f>45</f>
        <v>45</v>
      </c>
      <c r="F57" s="273">
        <f t="shared" si="4"/>
        <v>-0.005781031008</v>
      </c>
      <c r="G57" s="274">
        <v>0.01</v>
      </c>
      <c r="H57" s="275">
        <f>iferror(iferror(vlookup(C57,Buys!C:J,2,false),iferror(vlookup(C57,Sells!C:J,2,false),vlookup(C57,Macro!C:N,3,false))),0)/M57-1</f>
        <v>-0.1957933808</v>
      </c>
      <c r="I57" s="276">
        <f>iferror(iferror(vlookup(C57,Buys!C:J,7,false),iferror(vlookup(C57,Sells!C:J,7,false),vlookup(C57,Macro!C:N,7,false))),0)/M57-1</f>
        <v>-0.064868857</v>
      </c>
      <c r="J57" s="277">
        <f t="shared" si="5"/>
        <v>0</v>
      </c>
      <c r="K57" s="278"/>
      <c r="L57" s="228">
        <f>IFERROR(__xludf.DUMMYFUNCTION("iferror(googlefinance(""NASDAQ:""&amp;C57,""changepct"")/100,iferror(googlefinance(""NYSE:""&amp;C57,""changepct"")/100,iferror(googlefinance(C57,""changepct"")/100,"""")))"),9.0E-4)</f>
        <v>0.0009</v>
      </c>
      <c r="M57" s="279">
        <f>IFERROR(__xludf.DUMMYFUNCTION("iferror(googlefinance(""NASDAQ:""&amp;C57,""price""),iferror(googlefinance(""NYSE:""&amp;C57,""price""),iferror(googlefinance(C57,""price""),1)))"),129.32)</f>
        <v>129.32</v>
      </c>
      <c r="N57" s="280">
        <f t="shared" si="6"/>
        <v>0</v>
      </c>
      <c r="O57" s="281">
        <f t="array" ref="O57">iferror(index(Buys!$Q:$Q,match(C57,Buys!$C:$C,0)),index(Sells!$Q:$Q,match(C57,Sells!$C:$C,0)))</f>
        <v>18.95502636</v>
      </c>
      <c r="P57" s="282">
        <f>IFERROR(__xludf.DUMMYFUNCTION("iferror(googlefinance(""NASDAQ:""&amp;C57,""beta""),iferror(googlefinance(""NYSE:""&amp;C57,""beta""),iferror(googlefinance(C57,""beta""),1)))"),0.64)</f>
        <v>0.64</v>
      </c>
      <c r="Q57" s="283">
        <f t="array" ref="Q57">iferror(index(Buys!$M:$M,match(C57,Buys!$C:$C,0)),index(Sells!$M:$M,match(C57,Sells!$C:$C,0)))</f>
        <v>0.1798884262</v>
      </c>
      <c r="R57" s="284">
        <f t="array" ref="R57">iferror(index(Buys!$S:$S,match(C57,Buys!$C:$C,0)),index(Sells!$S:$S,match(C57,Sells!$C:$C,0)))</f>
        <v>43692</v>
      </c>
    </row>
    <row r="58" ht="12.75" customHeight="1">
      <c r="A58" s="285" t="s">
        <v>1016</v>
      </c>
      <c r="B58" s="78" t="str">
        <f t="array" ref="B58">iferror(index(Buys!$T:$T,match(C58,Buys!$C:$C,0)),"Other")</f>
        <v>Value</v>
      </c>
      <c r="C58" s="270" t="s">
        <v>1150</v>
      </c>
      <c r="D58" s="271">
        <f t="shared" si="3"/>
        <v>0.005340554473</v>
      </c>
      <c r="E58" s="272">
        <v>150.0</v>
      </c>
      <c r="F58" s="273">
        <f t="shared" si="4"/>
        <v>0.001191573807</v>
      </c>
      <c r="G58" s="274">
        <v>0.01</v>
      </c>
      <c r="H58" s="275">
        <f>iferror(iferror(vlookup(C58,Buys!C:J,2,false),iferror(vlookup(C58,Sells!C:J,2,false),vlookup(C58,Macro!C:N,3,false))),0)/M58-1</f>
        <v>-0.1071428571</v>
      </c>
      <c r="I58" s="276">
        <f>iferror(iferror(vlookup(C58,Buys!C:J,7,false),iferror(vlookup(C58,Sells!C:J,7,false),vlookup(C58,Macro!C:N,7,false))),0)/M58-1</f>
        <v>0.2743162125</v>
      </c>
      <c r="J58" s="277">
        <f t="shared" si="5"/>
        <v>0.00653212828</v>
      </c>
      <c r="K58" s="278"/>
      <c r="L58" s="228">
        <f>IFERROR(__xludf.DUMMYFUNCTION("iferror(googlefinance(""NASDAQ:""&amp;C58,""changepct"")/100,iferror(googlefinance(""NYSE:""&amp;C58,""changepct"")/100,iferror(googlefinance(C58,""changepct"")/100,"""")))"),0.0062)</f>
        <v>0.0062</v>
      </c>
      <c r="M58" s="279">
        <f>IFERROR(__xludf.DUMMYFUNCTION("iferror(googlefinance(""NASDAQ:""&amp;C58,""price""),iferror(googlefinance(""NYSE:""&amp;C58,""price""),iferror(googlefinance(C58,""price""),1)))"),35.84)</f>
        <v>35.84</v>
      </c>
      <c r="N58" s="280">
        <f t="shared" si="6"/>
        <v>0</v>
      </c>
      <c r="O58" s="281">
        <f t="array" ref="O58">iferror(index(Buys!$Q:$Q,match(C58,Buys!$C:$C,0)),index(Sells!$Q:$Q,match(C58,Sells!$C:$C,0)))</f>
        <v>19.73684211</v>
      </c>
      <c r="P58" s="282">
        <f>IFERROR(__xludf.DUMMYFUNCTION("iferror(googlefinance(""NASDAQ:""&amp;C58,""beta""),iferror(googlefinance(""NYSE:""&amp;C58,""beta""),iferror(googlefinance(C58,""beta""),1)))"),1.39)</f>
        <v>1.39</v>
      </c>
      <c r="Q58" s="283">
        <f t="array" ref="Q58">iferror(index(Buys!$M:$M,match(C58,Buys!$C:$C,0)),index(Sells!$M:$M,match(C58,Sells!$C:$C,0)))</f>
        <v>0.1798884261</v>
      </c>
      <c r="R58" s="284">
        <f t="array" ref="R58">iferror(index(Buys!$S:$S,match(C58,Buys!$C:$C,0)),index(Sells!$S:$S,match(C58,Sells!$C:$C,0)))</f>
        <v>43676</v>
      </c>
    </row>
    <row r="59" ht="12.75" customHeight="1">
      <c r="A59" s="269" t="s">
        <v>1016</v>
      </c>
      <c r="B59" s="78" t="str">
        <f t="array" ref="B59">iferror(index(Buys!$T:$T,match(C59,Buys!$C:$C,0)),"Other")</f>
        <v>Value</v>
      </c>
      <c r="C59" s="270" t="s">
        <v>1152</v>
      </c>
      <c r="D59" s="271">
        <f t="shared" si="3"/>
        <v>0.005091706092</v>
      </c>
      <c r="E59" s="272">
        <v>50.0</v>
      </c>
      <c r="F59" s="273">
        <f t="shared" si="4"/>
        <v>-0.005091706092</v>
      </c>
      <c r="G59" s="274">
        <v>0.01</v>
      </c>
      <c r="H59" s="275">
        <f>iferror(iferror(vlookup(C59,Buys!C:J,2,false),iferror(vlookup(C59,Sells!C:J,2,false),vlookup(C59,Macro!C:N,3,false))),0)/M59-1</f>
        <v>-0.3659155204</v>
      </c>
      <c r="I59" s="276">
        <f>iferror(iferror(vlookup(C59,Buys!C:J,7,false),iferror(vlookup(C59,Sells!C:J,7,false),vlookup(C59,Macro!C:N,7,false))),0)/M59-1</f>
        <v>-0.1913128945</v>
      </c>
      <c r="J59" s="277">
        <f t="shared" si="5"/>
        <v>0</v>
      </c>
      <c r="K59" s="278"/>
      <c r="L59" s="228">
        <f>IFERROR(__xludf.DUMMYFUNCTION("iferror(googlefinance(""NASDAQ:""&amp;C59,""changepct"")/100,iferror(googlefinance(""NYSE:""&amp;C59,""changepct"")/100,iferror(googlefinance(C59,""changepct"")/100,"""")))"),-0.0091)</f>
        <v>-0.0091</v>
      </c>
      <c r="M59" s="279">
        <f>IFERROR(__xludf.DUMMYFUNCTION("iferror(googlefinance(""NASDAQ:""&amp;C59,""price""),iferror(googlefinance(""NYSE:""&amp;C59,""price""),iferror(googlefinance(C59,""price""),1)))"),102.51)</f>
        <v>102.51</v>
      </c>
      <c r="N59" s="280">
        <f t="shared" si="6"/>
        <v>0</v>
      </c>
      <c r="O59" s="281">
        <f t="array" ref="O59">iferror(index(Buys!$Q:$Q,match(C59,Buys!$C:$C,0)),index(Sells!$Q:$Q,match(C59,Sells!$C:$C,0)))</f>
        <v>21.64988984</v>
      </c>
      <c r="P59" s="282">
        <f>IFERROR(__xludf.DUMMYFUNCTION("iferror(googlefinance(""NASDAQ:""&amp;C59,""beta""),iferror(googlefinance(""NYSE:""&amp;C59,""beta""),iferror(googlefinance(C59,""beta""),1)))"),0.79)</f>
        <v>0.79</v>
      </c>
      <c r="Q59" s="283">
        <f t="array" ref="Q59">iferror(index(Buys!$M:$M,match(C59,Buys!$C:$C,0)),index(Sells!$M:$M,match(C59,Sells!$C:$C,0)))</f>
        <v>0.179888426</v>
      </c>
      <c r="R59" s="284">
        <f t="array" ref="R59">iferror(index(Buys!$S:$S,match(C59,Buys!$C:$C,0)),index(Sells!$S:$S,match(C59,Sells!$C:$C,0)))</f>
        <v>43666</v>
      </c>
    </row>
    <row r="60" ht="12.75" customHeight="1">
      <c r="A60" s="285" t="s">
        <v>1016</v>
      </c>
      <c r="B60" s="78" t="str">
        <f t="array" ref="B60">iferror(index(Buys!$T:$T,match(C60,Buys!$C:$C,0)),"Other")</f>
        <v>LGrowth</v>
      </c>
      <c r="C60" s="270" t="s">
        <v>1154</v>
      </c>
      <c r="D60" s="271">
        <f t="shared" si="3"/>
        <v>0.004124922682</v>
      </c>
      <c r="E60" s="272">
        <v>15.0</v>
      </c>
      <c r="F60" s="273">
        <f t="shared" si="4"/>
        <v>-0.004124922682</v>
      </c>
      <c r="G60" s="274">
        <v>0.01</v>
      </c>
      <c r="H60" s="275">
        <f>iferror(iferror(vlookup(C60,Buys!C:J,2,false),iferror(vlookup(C60,Sells!C:J,2,false),vlookup(C60,Macro!C:N,3,false))),0)/M60-1</f>
        <v>-0.6387544253</v>
      </c>
      <c r="I60" s="276">
        <f>iferror(iferror(vlookup(C60,Buys!C:J,7,false),iferror(vlookup(C60,Sells!C:J,7,false),vlookup(C60,Macro!C:N,7,false))),0)/M60-1</f>
        <v>-0.3099254035</v>
      </c>
      <c r="J60" s="277">
        <f t="shared" si="5"/>
        <v>0</v>
      </c>
      <c r="K60" s="278"/>
      <c r="L60" s="228">
        <f>IFERROR(__xludf.DUMMYFUNCTION("iferror(googlefinance(""NASDAQ:""&amp;C60,""changepct"")/100,iferror(googlefinance(""NYSE:""&amp;C60,""changepct"")/100,iferror(googlefinance(C60,""changepct"")/100,"""")))"),0.0196)</f>
        <v>0.0196</v>
      </c>
      <c r="M60" s="279">
        <f>IFERROR(__xludf.DUMMYFUNCTION("iferror(googlefinance(""NASDAQ:""&amp;C60,""price""),iferror(googlefinance(""NYSE:""&amp;C60,""price""),iferror(googlefinance(C60,""price""),1)))"),276.82)</f>
        <v>276.82</v>
      </c>
      <c r="N60" s="280">
        <f t="shared" si="6"/>
        <v>0</v>
      </c>
      <c r="O60" s="281">
        <f t="array" ref="O60">iferror(index(Buys!$Q:$Q,match(C60,Buys!$C:$C,0)),index(Sells!$Q:$Q,match(C60,Sells!$C:$C,0)))</f>
        <v>36.67195427</v>
      </c>
      <c r="P60" s="282">
        <f>IFERROR(__xludf.DUMMYFUNCTION("iferror(googlefinance(""NASDAQ:""&amp;C60,""beta""),iferror(googlefinance(""NYSE:""&amp;C60,""beta""),iferror(googlefinance(C60,""beta""),1)))"),1.2)</f>
        <v>1.2</v>
      </c>
      <c r="Q60" s="283">
        <f t="array" ref="Q60">iferror(index(Buys!$M:$M,match(C60,Buys!$C:$C,0)),index(Sells!$M:$M,match(C60,Sells!$C:$C,0)))</f>
        <v>0.179888426</v>
      </c>
      <c r="R60" s="284">
        <f t="array" ref="R60">iferror(index(Buys!$S:$S,match(C60,Buys!$C:$C,0)),index(Sells!$S:$S,match(C60,Sells!$C:$C,0)))</f>
        <v>43676</v>
      </c>
    </row>
    <row r="61" ht="12.75" customHeight="1">
      <c r="A61" s="269" t="s">
        <v>1016</v>
      </c>
      <c r="B61" s="78" t="str">
        <f t="array" ref="B61">iferror(index(Buys!$T:$T,match(C61,Buys!$C:$C,0)),"Other")</f>
        <v>Value</v>
      </c>
      <c r="C61" s="270" t="s">
        <v>604</v>
      </c>
      <c r="D61" s="271">
        <f t="shared" si="3"/>
        <v>0</v>
      </c>
      <c r="E61" s="272"/>
      <c r="F61" s="273">
        <f t="shared" si="4"/>
        <v>0</v>
      </c>
      <c r="G61" s="274"/>
      <c r="H61" s="275">
        <f>iferror(iferror(vlookup(C61,Buys!C:J,2,false),iferror(vlookup(C61,Sells!C:J,2,false),vlookup(C61,Macro!C:N,3,false))),0)/M61-1</f>
        <v>-0.6621621622</v>
      </c>
      <c r="I61" s="276">
        <f>iferror(iferror(vlookup(C61,Buys!C:J,7,false),iferror(vlookup(C61,Sells!C:J,7,false),vlookup(C61,Macro!C:N,7,false))),0)/M61-1</f>
        <v>6.112375533</v>
      </c>
      <c r="J61" s="277">
        <f t="shared" si="5"/>
        <v>0</v>
      </c>
      <c r="K61" s="278"/>
      <c r="L61" s="228">
        <f>IFERROR(__xludf.DUMMYFUNCTION("iferror(googlefinance(""NASDAQ:""&amp;C61,""changepct"")/100,iferror(googlefinance(""NYSE:""&amp;C61,""changepct"")/100,iferror(googlefinance(C61,""changepct"")/100,"""")))"),-0.0526)</f>
        <v>-0.0526</v>
      </c>
      <c r="M61" s="279">
        <f>IFERROR(__xludf.DUMMYFUNCTION("iferror(googlefinance(""NASDAQ:""&amp;C61,""price""),iferror(googlefinance(""NYSE:""&amp;C61,""price""),iferror(googlefinance(C61,""price""),1)))"),2.96)</f>
        <v>2.96</v>
      </c>
      <c r="N61" s="280">
        <f t="shared" si="6"/>
        <v>0</v>
      </c>
      <c r="O61" s="281">
        <f t="array" ref="O61">iferror(index(Buys!$Q:$Q,match(C61,Buys!$C:$C,0)),index(Sells!$Q:$Q,match(C61,Sells!$C:$C,0)))</f>
        <v>10.52631579</v>
      </c>
      <c r="P61" s="282">
        <f>IFERROR(__xludf.DUMMYFUNCTION("iferror(googlefinance(""NASDAQ:""&amp;C61,""beta""),iferror(googlefinance(""NYSE:""&amp;C61,""beta""),iferror(googlefinance(C61,""beta""),1)))"),2.21)</f>
        <v>2.21</v>
      </c>
      <c r="Q61" s="283">
        <f t="array" ref="Q61">iferror(index(Buys!$M:$M,match(C61,Buys!$C:$C,0)),index(Sells!$M:$M,match(C61,Sells!$C:$C,0)))</f>
        <v>-0.8201115741</v>
      </c>
      <c r="R61" s="284">
        <f t="array" ref="R61">iferror(index(Buys!$S:$S,match(C61,Buys!$C:$C,0)),index(Sells!$S:$S,match(C61,Sells!$C:$C,0)))</f>
        <v>43713</v>
      </c>
    </row>
    <row r="62" ht="12.75" customHeight="1">
      <c r="A62" s="285" t="s">
        <v>1016</v>
      </c>
      <c r="B62" s="285" t="str">
        <f t="array" ref="B62">iferror(index(Buys!$T:$T,match(C62,Buys!$C:$C,0)),"Other")</f>
        <v>Value</v>
      </c>
      <c r="C62" s="270" t="s">
        <v>1158</v>
      </c>
      <c r="D62" s="271">
        <f t="shared" si="3"/>
        <v>0</v>
      </c>
      <c r="E62" s="272"/>
      <c r="F62" s="273">
        <f t="shared" si="4"/>
        <v>0</v>
      </c>
      <c r="G62" s="274"/>
      <c r="H62" s="275">
        <f>iferror(iferror(vlookup(C62,Buys!C:J,2,false),iferror(vlookup(C62,Sells!C:J,2,false),vlookup(C62,Macro!C:N,3,false))),0)/M62-1</f>
        <v>-0.2216117216</v>
      </c>
      <c r="I62" s="276">
        <f>iferror(iferror(vlookup(C62,Buys!C:J,7,false),iferror(vlookup(C62,Sells!C:J,7,false),vlookup(C62,Macro!C:N,7,false))),0)/M62-1</f>
        <v>0.4945043842</v>
      </c>
      <c r="J62" s="277">
        <f t="shared" si="5"/>
        <v>0</v>
      </c>
      <c r="K62" s="278"/>
      <c r="L62" s="228">
        <f>IFERROR(__xludf.DUMMYFUNCTION("iferror(googlefinance(""NASDAQ:""&amp;C62,""changepct"")/100,iferror(googlefinance(""NYSE:""&amp;C62,""changepct"")/100,iferror(googlefinance(C62,""changepct"")/100,"""")))"),0.0151)</f>
        <v>0.0151</v>
      </c>
      <c r="M62" s="279">
        <f>IFERROR(__xludf.DUMMYFUNCTION("iferror(googlefinance(""NASDAQ:""&amp;C62,""price""),iferror(googlefinance(""NYSE:""&amp;C62,""price""),iferror(googlefinance(C62,""price""),1)))"),54.6)</f>
        <v>54.6</v>
      </c>
      <c r="N62" s="280">
        <f t="shared" si="6"/>
        <v>0</v>
      </c>
      <c r="O62" s="281" t="str">
        <f t="array" ref="O62">iferror(index(Buys!$Q:$Q,match(C62,Buys!$C:$C,0)),index(Sells!$Q:$Q,match(C62,Sells!$C:$C,0)))</f>
        <v/>
      </c>
      <c r="P62" s="282">
        <f>IFERROR(__xludf.DUMMYFUNCTION("iferror(googlefinance(""NASDAQ:""&amp;C62,""beta""),iferror(googlefinance(""NYSE:""&amp;C62,""beta""),iferror(googlefinance(C62,""beta""),1)))"),1.16)</f>
        <v>1.16</v>
      </c>
      <c r="Q62" s="283">
        <f t="array" ref="Q62">iferror(index(Buys!$M:$M,match(C62,Buys!$C:$C,0)),index(Sells!$M:$M,match(C62,Sells!$C:$C,0)))</f>
        <v>0.1798884258</v>
      </c>
      <c r="R62" s="284">
        <f t="array" ref="R62">iferror(index(Buys!$S:$S,match(C62,Buys!$C:$C,0)),index(Sells!$S:$S,match(C62,Sells!$C:$C,0)))</f>
        <v>43489</v>
      </c>
    </row>
    <row r="63" ht="12.75" customHeight="1">
      <c r="A63" s="269" t="s">
        <v>1016</v>
      </c>
      <c r="B63" s="78" t="str">
        <f t="array" ref="B63">iferror(index(Buys!$T:$T,match(C63,Buys!$C:$C,0)),"Other")</f>
        <v>Value</v>
      </c>
      <c r="C63" s="270" t="s">
        <v>1162</v>
      </c>
      <c r="D63" s="271">
        <f t="shared" si="3"/>
        <v>0</v>
      </c>
      <c r="E63" s="272"/>
      <c r="F63" s="273">
        <f t="shared" si="4"/>
        <v>0</v>
      </c>
      <c r="G63" s="274"/>
      <c r="H63" s="275">
        <f>iferror(iferror(vlookup(C63,Buys!C:J,2,false),iferror(vlookup(C63,Sells!C:J,2,false),vlookup(C63,Macro!C:N,3,false))),0)/M63-1</f>
        <v>-0.1298607777</v>
      </c>
      <c r="I63" s="276">
        <f>iferror(iferror(vlookup(C63,Buys!C:J,7,false),iferror(vlookup(C63,Sells!C:J,7,false),vlookup(C63,Macro!C:N,7,false))),0)/M63-1</f>
        <v>0.4076185123</v>
      </c>
      <c r="J63" s="277">
        <f t="shared" si="5"/>
        <v>0</v>
      </c>
      <c r="K63" s="278"/>
      <c r="L63" s="228">
        <f>IFERROR(__xludf.DUMMYFUNCTION("iferror(googlefinance(""NASDAQ:""&amp;C63,""changepct"")/100,iferror(googlefinance(""NYSE:""&amp;C63,""changepct"")/100,iferror(googlefinance(C63,""changepct"")/100,"""")))"),0.0066)</f>
        <v>0.0066</v>
      </c>
      <c r="M63" s="279">
        <f>IFERROR(__xludf.DUMMYFUNCTION("iferror(googlefinance(""NASDAQ:""&amp;C63,""price""),iferror(googlefinance(""NYSE:""&amp;C63,""price""),iferror(googlefinance(C63,""price""),1)))"),166.64)</f>
        <v>166.64</v>
      </c>
      <c r="N63" s="280">
        <f t="shared" si="6"/>
        <v>0</v>
      </c>
      <c r="O63" s="281" t="str">
        <f t="array" ref="O63">iferror(index(Buys!$Q:$Q,match(C63,Buys!$C:$C,0)),index(Sells!$Q:$Q,match(C63,Sells!$C:$C,0)))</f>
        <v/>
      </c>
      <c r="P63" s="282">
        <f>IFERROR(__xludf.DUMMYFUNCTION("iferror(googlefinance(""NASDAQ:""&amp;C63,""beta""),iferror(googlefinance(""NYSE:""&amp;C63,""beta""),iferror(googlefinance(C63,""beta""),1)))"),1.25)</f>
        <v>1.25</v>
      </c>
      <c r="Q63" s="283">
        <f t="array" ref="Q63">iferror(index(Buys!$M:$M,match(C63,Buys!$C:$C,0)),index(Sells!$M:$M,match(C63,Sells!$C:$C,0)))</f>
        <v>-0.8201115742</v>
      </c>
      <c r="R63" s="284">
        <f t="array" ref="R63">iferror(index(Buys!$S:$S,match(C63,Buys!$C:$C,0)),index(Sells!$S:$S,match(C63,Sells!$C:$C,0)))</f>
        <v>43399</v>
      </c>
    </row>
    <row r="64" ht="12.75" customHeight="1">
      <c r="A64" s="269" t="s">
        <v>1016</v>
      </c>
      <c r="B64" s="78" t="str">
        <f t="array" ref="B64">iferror(index(Buys!$T:$T,match(C64,Buys!$C:$C,0)),"Other")</f>
        <v>Value</v>
      </c>
      <c r="C64" s="270" t="s">
        <v>1164</v>
      </c>
      <c r="D64" s="271">
        <f t="shared" si="3"/>
        <v>0</v>
      </c>
      <c r="E64" s="272"/>
      <c r="F64" s="273">
        <f t="shared" si="4"/>
        <v>0.01553916473</v>
      </c>
      <c r="G64" s="274">
        <v>0.02</v>
      </c>
      <c r="H64" s="275">
        <f>iferror(iferror(vlookup(C64,Buys!C:J,2,false),iferror(vlookup(C64,Sells!C:J,2,false),vlookup(C64,Macro!C:N,3,false))),0)/M64-1</f>
        <v>-0.1187874515</v>
      </c>
      <c r="I64" s="276">
        <f>iferror(iferror(vlookup(C64,Buys!C:J,7,false),iferror(vlookup(C64,Sells!C:J,7,false),vlookup(C64,Macro!C:N,7,false))),0)/M64-1</f>
        <v>0.3837095544</v>
      </c>
      <c r="J64" s="277">
        <f t="shared" si="5"/>
        <v>0.01553916473</v>
      </c>
      <c r="K64" s="278"/>
      <c r="L64" s="228">
        <f>IFERROR(__xludf.DUMMYFUNCTION("iferror(googlefinance(""NASDAQ:""&amp;C64,""changepct"")/100,iferror(googlefinance(""NYSE:""&amp;C64,""changepct"")/100,iferror(googlefinance(C64,""changepct"")/100,"""")))"),0.008)</f>
        <v>0.008</v>
      </c>
      <c r="M64" s="279">
        <f>IFERROR(__xludf.DUMMYFUNCTION("iferror(googlefinance(""NASDAQ:""&amp;C64,""price""),iferror(googlefinance(""NYSE:""&amp;C64,""price""),iferror(googlefinance(C64,""price""),1)))"),56.74)</f>
        <v>56.74</v>
      </c>
      <c r="N64" s="280">
        <f t="shared" si="6"/>
        <v>0</v>
      </c>
      <c r="O64" s="281">
        <f t="array" ref="O64">iferror(index(Buys!$Q:$Q,match(C64,Buys!$C:$C,0)),index(Sells!$Q:$Q,match(C64,Sells!$C:$C,0)))</f>
        <v>15.87025976</v>
      </c>
      <c r="P64" s="282">
        <f>IFERROR(__xludf.DUMMYFUNCTION("iferror(googlefinance(""NASDAQ:""&amp;C64,""beta""),iferror(googlefinance(""NYSE:""&amp;C64,""beta""),iferror(googlefinance(C64,""beta""),1)))"),1.48)</f>
        <v>1.48</v>
      </c>
      <c r="Q64" s="283">
        <f t="array" ref="Q64">iferror(index(Buys!$M:$M,match(C64,Buys!$C:$C,0)),index(Sells!$M:$M,match(C64,Sells!$C:$C,0)))</f>
        <v>0.1798884258</v>
      </c>
      <c r="R64" s="284">
        <f t="array" ref="R64">iferror(index(Buys!$S:$S,match(C64,Buys!$C:$C,0)),index(Sells!$S:$S,match(C64,Sells!$C:$C,0)))</f>
        <v>43762</v>
      </c>
    </row>
    <row r="65" ht="12.75" customHeight="1">
      <c r="A65" s="289" t="s">
        <v>1016</v>
      </c>
      <c r="B65" s="290" t="str">
        <f t="array" ref="B65">iferror(index(Buys!$T:$T,match(C65,Buys!$C:$C,0)),"Other")</f>
        <v>Value</v>
      </c>
      <c r="C65" s="291" t="s">
        <v>1167</v>
      </c>
      <c r="D65" s="293">
        <f t="shared" si="3"/>
        <v>0</v>
      </c>
      <c r="E65" s="297"/>
      <c r="F65" s="293">
        <f t="shared" si="4"/>
        <v>0</v>
      </c>
      <c r="G65" s="294"/>
      <c r="H65" s="298">
        <f>iferror(iferror(vlookup(C65,Buys!C:J,2,false),iferror(vlookup(C65,Sells!C:J,2,false),vlookup(C65,Macro!C:N,3,false))),0)/M65-1</f>
        <v>-0.1288508751</v>
      </c>
      <c r="I65" s="295">
        <f>iferror(iferror(vlookup(C65,Buys!C:J,7,false),iferror(vlookup(C65,Sells!C:J,7,false),vlookup(C65,Macro!C:N,7,false))),0)/M65-1</f>
        <v>0.3020781302</v>
      </c>
      <c r="J65" s="296">
        <f t="shared" si="5"/>
        <v>0</v>
      </c>
      <c r="K65" s="278"/>
      <c r="L65" s="228">
        <f>IFERROR(__xludf.DUMMYFUNCTION("iferror(googlefinance(""NASDAQ:""&amp;C65,""changepct"")/100,iferror(googlefinance(""NYSE:""&amp;C65,""changepct"")/100,iferror(googlefinance(C65,""changepct"")/100,"""")))"),0.0102)</f>
        <v>0.0102</v>
      </c>
      <c r="M65" s="279">
        <f>IFERROR(__xludf.DUMMYFUNCTION("iferror(googlefinance(""NASDAQ:""&amp;C65,""price""),iferror(googlefinance(""NYSE:""&amp;C65,""price""),iferror(googlefinance(C65,""price""),1)))"),126.27)</f>
        <v>126.27</v>
      </c>
      <c r="N65" s="280">
        <f t="shared" si="6"/>
        <v>0</v>
      </c>
      <c r="O65" s="281">
        <f t="array" ref="O65">iferror(index(Buys!$Q:$Q,match(C65,Buys!$C:$C,0)),index(Sells!$Q:$Q,match(C65,Sells!$C:$C,0)))</f>
        <v>14.70588235</v>
      </c>
      <c r="P65" s="282">
        <f>IFERROR(__xludf.DUMMYFUNCTION("iferror(googlefinance(""NASDAQ:""&amp;C65,""beta""),iferror(googlefinance(""NYSE:""&amp;C65,""beta""),iferror(googlefinance(C65,""beta""),1)))"),0.87)</f>
        <v>0.87</v>
      </c>
      <c r="Q65" s="283">
        <f t="array" ref="Q65">iferror(index(Buys!$M:$M,match(C65,Buys!$C:$C,0)),index(Sells!$M:$M,match(C65,Sells!$C:$C,0)))</f>
        <v>0.1798884257</v>
      </c>
      <c r="R65" s="284">
        <f t="array" ref="R65">iferror(index(Buys!$S:$S,match(C65,Buys!$C:$C,0)),index(Sells!$S:$S,match(C65,Sells!$C:$C,0)))</f>
        <v>43710</v>
      </c>
    </row>
    <row r="66" ht="12.75" customHeight="1">
      <c r="A66" s="285" t="s">
        <v>1016</v>
      </c>
      <c r="B66" s="285" t="str">
        <f t="array" ref="B66">iferror(index(Buys!$T:$T,match(C66,Buys!$C:$C,0)),"Other")</f>
        <v>Value</v>
      </c>
      <c r="C66" s="270" t="s">
        <v>1169</v>
      </c>
      <c r="D66" s="271">
        <f t="shared" si="3"/>
        <v>0</v>
      </c>
      <c r="E66" s="272"/>
      <c r="F66" s="273">
        <f t="shared" si="4"/>
        <v>0</v>
      </c>
      <c r="G66" s="274"/>
      <c r="H66" s="275">
        <f>iferror(iferror(vlookup(C66,Buys!C:J,2,false),iferror(vlookup(C66,Sells!C:J,2,false),vlookup(C66,Macro!C:N,3,false))),0)/M66-1</f>
        <v>-0.2938164806</v>
      </c>
      <c r="I66" s="276">
        <f>iferror(iferror(vlookup(C66,Buys!C:J,7,false),iferror(vlookup(C66,Sells!C:J,7,false),vlookup(C66,Macro!C:N,7,false))),0)/M66-1</f>
        <v>0.2586263339</v>
      </c>
      <c r="J66" s="277">
        <f t="shared" si="5"/>
        <v>0</v>
      </c>
      <c r="K66" s="278"/>
      <c r="L66" s="228">
        <f>IFERROR(__xludf.DUMMYFUNCTION("iferror(googlefinance(""NASDAQ:""&amp;C66,""changepct"")/100,iferror(googlefinance(""NYSE:""&amp;C66,""changepct"")/100,iferror(googlefinance(C66,""changepct"")/100,"""")))"),-0.0032)</f>
        <v>-0.0032</v>
      </c>
      <c r="M66" s="279">
        <f>IFERROR(__xludf.DUMMYFUNCTION("iferror(googlefinance(""NASDAQ:""&amp;C66,""price""),iferror(googlefinance(""NYSE:""&amp;C66,""price""),iferror(googlefinance(C66,""price""),1)))"),226.57)</f>
        <v>226.57</v>
      </c>
      <c r="N66" s="280">
        <f t="shared" si="6"/>
        <v>0</v>
      </c>
      <c r="O66" s="281">
        <f t="array" ref="O66">iferror(index(Buys!$Q:$Q,match(C66,Buys!$C:$C,0)),index(Sells!$Q:$Q,match(C66,Sells!$C:$C,0)))</f>
        <v>20.4415203</v>
      </c>
      <c r="P66" s="282">
        <f>IFERROR(__xludf.DUMMYFUNCTION("iferror(googlefinance(""NASDAQ:""&amp;C66,""beta""),iferror(googlefinance(""NYSE:""&amp;C66,""beta""),iferror(googlefinance(C66,""beta""),1)))"),1.1)</f>
        <v>1.1</v>
      </c>
      <c r="Q66" s="283">
        <f t="array" ref="Q66">iferror(index(Buys!$M:$M,match(C66,Buys!$C:$C,0)),index(Sells!$M:$M,match(C66,Sells!$C:$C,0)))</f>
        <v>0.1798884255</v>
      </c>
      <c r="R66" s="284">
        <f t="array" ref="R66">iferror(index(Buys!$S:$S,match(C66,Buys!$C:$C,0)),index(Sells!$S:$S,match(C66,Sells!$C:$C,0)))</f>
        <v>43679</v>
      </c>
    </row>
    <row r="67" ht="12.75" customHeight="1">
      <c r="A67" s="285" t="s">
        <v>1016</v>
      </c>
      <c r="B67" s="78" t="str">
        <f t="array" ref="B67">iferror(index(Buys!$T:$T,match(C67,Buys!$C:$C,0)),"Other")</f>
        <v>Value</v>
      </c>
      <c r="C67" s="270" t="s">
        <v>1173</v>
      </c>
      <c r="D67" s="271">
        <f t="shared" si="3"/>
        <v>0</v>
      </c>
      <c r="E67" s="292"/>
      <c r="F67" s="273">
        <f t="shared" si="4"/>
        <v>0</v>
      </c>
      <c r="G67" s="274"/>
      <c r="H67" s="275">
        <f>iferror(iferror(vlookup(C67,Buys!C:J,2,false),iferror(vlookup(C67,Sells!C:J,2,false),vlookup(C67,Macro!C:N,3,false))),0)/M67-1</f>
        <v>-0.285130719</v>
      </c>
      <c r="I67" s="276">
        <f>iferror(iferror(vlookup(C67,Buys!C:J,7,false),iferror(vlookup(C67,Sells!C:J,7,false),vlookup(C67,Macro!C:N,7,false))),0)/M67-1</f>
        <v>0.2425418653</v>
      </c>
      <c r="J67" s="277">
        <f t="shared" si="5"/>
        <v>0</v>
      </c>
      <c r="K67" s="278"/>
      <c r="L67" s="228">
        <f>IFERROR(__xludf.DUMMYFUNCTION("iferror(googlefinance(""NASDAQ:""&amp;C67,""changepct"")/100,iferror(googlefinance(""NYSE:""&amp;C67,""changepct"")/100,iferror(googlefinance(C67,""changepct"")/100,"""")))"),-0.0043)</f>
        <v>-0.0043</v>
      </c>
      <c r="M67" s="279">
        <f>IFERROR(__xludf.DUMMYFUNCTION("iferror(googlefinance(""NASDAQ:""&amp;C67,""price""),iferror(googlefinance(""NYSE:""&amp;C67,""price""),iferror(googlefinance(C67,""price""),1)))"),195.84)</f>
        <v>195.84</v>
      </c>
      <c r="N67" s="280">
        <f t="shared" si="6"/>
        <v>0</v>
      </c>
      <c r="O67" s="281" t="str">
        <f t="array" ref="O67">iferror(index(Buys!$Q:$Q,match(C67,Buys!$C:$C,0)),index(Sells!$Q:$Q,match(C67,Sells!$C:$C,0)))</f>
        <v/>
      </c>
      <c r="P67" s="282">
        <f>IFERROR(__xludf.DUMMYFUNCTION("iferror(googlefinance(""NASDAQ:""&amp;C67,""beta""),iferror(googlefinance(""NYSE:""&amp;C67,""beta""),iferror(googlefinance(C67,""beta""),1)))"),0.69)</f>
        <v>0.69</v>
      </c>
      <c r="Q67" s="283">
        <f t="array" ref="Q67">iferror(index(Buys!$M:$M,match(C67,Buys!$C:$C,0)),index(Sells!$M:$M,match(C67,Sells!$C:$C,0)))</f>
        <v>-0.6584677389</v>
      </c>
      <c r="R67" s="284">
        <f t="array" ref="R67">iferror(index(Buys!$S:$S,match(C67,Buys!$C:$C,0)),index(Sells!$S:$S,match(C67,Sells!$C:$C,0)))</f>
        <v>43476</v>
      </c>
    </row>
    <row r="68" ht="12.75" customHeight="1">
      <c r="A68" s="269" t="s">
        <v>1016</v>
      </c>
      <c r="B68" s="78" t="str">
        <f t="array" ref="B68">iferror(index(Buys!$T:$T,match(C68,Buys!$C:$C,0)),"Other")</f>
        <v>Value</v>
      </c>
      <c r="C68" s="270" t="s">
        <v>1175</v>
      </c>
      <c r="D68" s="271">
        <f t="shared" si="3"/>
        <v>0</v>
      </c>
      <c r="E68" s="292"/>
      <c r="F68" s="273">
        <f t="shared" si="4"/>
        <v>0</v>
      </c>
      <c r="G68" s="274"/>
      <c r="H68" s="275">
        <f>iferror(iferror(vlookup(C68,Buys!C:J,2,false),iferror(vlookup(C68,Sells!C:J,2,false),vlookup(C68,Macro!C:N,3,false))),0)/M68-1</f>
        <v>-1</v>
      </c>
      <c r="I68" s="276">
        <f>iferror(iferror(vlookup(C68,Buys!C:J,7,false),iferror(vlookup(C68,Sells!C:J,7,false),vlookup(C68,Macro!C:N,7,false))),0)/M68-1</f>
        <v>0.2376479089</v>
      </c>
      <c r="J68" s="277">
        <f t="shared" si="5"/>
        <v>0</v>
      </c>
      <c r="K68" s="278"/>
      <c r="L68" s="228">
        <f>IFERROR(__xludf.DUMMYFUNCTION("iferror(googlefinance(""NASDAQ:""&amp;C68,""changepct"")/100,iferror(googlefinance(""NYSE:""&amp;C68,""changepct"")/100,iferror(googlefinance(C68,""changepct"")/100,"""")))"),0.0183)</f>
        <v>0.0183</v>
      </c>
      <c r="M68" s="279">
        <f>IFERROR(__xludf.DUMMYFUNCTION("iferror(googlefinance(""NASDAQ:""&amp;C68,""price""),iferror(googlefinance(""NYSE:""&amp;C68,""price""),iferror(googlefinance(C68,""price""),1)))"),148.91)</f>
        <v>148.91</v>
      </c>
      <c r="N68" s="280">
        <f t="shared" si="6"/>
        <v>0</v>
      </c>
      <c r="O68" s="281" t="str">
        <f t="array" ref="O68">iferror(index(Buys!$Q:$Q,match(C68,Buys!$C:$C,0)),index(Sells!$Q:$Q,match(C68,Sells!$C:$C,0)))</f>
        <v/>
      </c>
      <c r="P68" s="282">
        <f>IFERROR(__xludf.DUMMYFUNCTION("iferror(googlefinance(""NASDAQ:""&amp;C68,""beta""),iferror(googlefinance(""NYSE:""&amp;C68,""beta""),iferror(googlefinance(C68,""beta""),1)))"),0.67)</f>
        <v>0.67</v>
      </c>
      <c r="Q68" s="283">
        <f t="array" ref="Q68">iferror(index(Buys!$M:$M,match(C68,Buys!$C:$C,0)),index(Sells!$M:$M,match(C68,Sells!$C:$C,0)))</f>
        <v>0.1798884254</v>
      </c>
      <c r="R68" s="284">
        <f t="array" ref="R68">iferror(index(Buys!$S:$S,match(C68,Buys!$C:$C,0)),index(Sells!$S:$S,match(C68,Sells!$C:$C,0)))</f>
        <v>43536</v>
      </c>
    </row>
    <row r="69" ht="12.75" customHeight="1">
      <c r="A69" s="285" t="s">
        <v>1016</v>
      </c>
      <c r="B69" s="78" t="str">
        <f t="array" ref="B69">iferror(index(Buys!$T:$T,match(C69,Buys!$C:$C,0)),"Other")</f>
        <v>LGrowth</v>
      </c>
      <c r="C69" s="270" t="s">
        <v>1177</v>
      </c>
      <c r="D69" s="271">
        <f t="shared" si="3"/>
        <v>0</v>
      </c>
      <c r="E69" s="272"/>
      <c r="F69" s="273">
        <f t="shared" si="4"/>
        <v>0</v>
      </c>
      <c r="G69" s="274">
        <v>0.01</v>
      </c>
      <c r="H69" s="275">
        <f>iferror(iferror(vlookup(C69,Buys!C:J,2,false),iferror(vlookup(C69,Sells!C:J,2,false),vlookup(C69,Macro!C:N,3,false))),0)/M69-1</f>
        <v>-0.246083281</v>
      </c>
      <c r="I69" s="276">
        <f>iferror(iferror(vlookup(C69,Buys!C:J,7,false),iferror(vlookup(C69,Sells!C:J,7,false),vlookup(C69,Macro!C:N,7,false))),0)/M69-1</f>
        <v>0.2259061619</v>
      </c>
      <c r="J69" s="277">
        <f t="shared" si="5"/>
        <v>0</v>
      </c>
      <c r="K69" s="278"/>
      <c r="L69" s="299">
        <f>IFERROR(__xludf.DUMMYFUNCTION("iferror(googlefinance(""NASDAQ:""&amp;C69,""changepct"")/100,iferror(googlefinance(""NYSE:""&amp;C69,""changepct"")/100,iferror(googlefinance(C69,""changepct"")/100,"""")))"),0.006)</f>
        <v>0.006</v>
      </c>
      <c r="M69" s="300">
        <f>IFERROR(__xludf.DUMMYFUNCTION("iferror(googlefinance(""NASDAQ:""&amp;C69,""price""),iferror(googlefinance(""NYSE:""&amp;C69,""price""),iferror(googlefinance(C69,""price""),1)))"),2055.93)</f>
        <v>2055.93</v>
      </c>
      <c r="N69" s="280">
        <f t="shared" si="6"/>
        <v>0</v>
      </c>
      <c r="O69" s="281" t="str">
        <f t="array" ref="O69">iferror(index(Buys!$Q:$Q,match(C69,Buys!$C:$C,0)),index(Sells!$Q:$Q,match(C69,Sells!$C:$C,0)))</f>
        <v/>
      </c>
      <c r="P69" s="282">
        <f>IFERROR(__xludf.DUMMYFUNCTION("iferror(googlefinance(""NASDAQ:""&amp;C69,""beta""),iferror(googlefinance(""NYSE:""&amp;C69,""beta""),iferror(googlefinance(C69,""beta""),1)))"),1.12)</f>
        <v>1.12</v>
      </c>
      <c r="Q69" s="283">
        <f t="array" ref="Q69">iferror(index(Buys!$M:$M,match(C69,Buys!$C:$C,0)),index(Sells!$M:$M,match(C69,Sells!$C:$C,0)))</f>
        <v>0.1798884254</v>
      </c>
      <c r="R69" s="284">
        <f t="array" ref="R69">iferror(index(Buys!$S:$S,match(C69,Buys!$C:$C,0)),index(Sells!$S:$S,match(C69,Sells!$C:$C,0)))</f>
        <v>43592</v>
      </c>
    </row>
    <row r="70" ht="12.75" customHeight="1">
      <c r="A70" s="285" t="s">
        <v>1016</v>
      </c>
      <c r="B70" s="78" t="str">
        <f t="array" ref="B70">iferror(index(Buys!$T:$T,match(C70,Buys!$C:$C,0)),"Other")</f>
        <v>Value</v>
      </c>
      <c r="C70" s="270" t="s">
        <v>1182</v>
      </c>
      <c r="D70" s="271">
        <f t="shared" si="3"/>
        <v>0</v>
      </c>
      <c r="E70" s="292"/>
      <c r="F70" s="273">
        <f t="shared" si="4"/>
        <v>0</v>
      </c>
      <c r="G70" s="274">
        <v>0.01</v>
      </c>
      <c r="H70" s="275">
        <f>iferror(iferror(vlookup(C70,Buys!C:J,2,false),iferror(vlookup(C70,Sells!C:J,2,false),vlookup(C70,Macro!C:N,3,false))),0)/M70-1</f>
        <v>-0.2021122265</v>
      </c>
      <c r="I70" s="276">
        <f>iferror(iferror(vlookup(C70,Buys!C:J,7,false),iferror(vlookup(C70,Sells!C:J,7,false),vlookup(C70,Macro!C:N,7,false))),0)/M70-1</f>
        <v>0.1815703827</v>
      </c>
      <c r="J70" s="277">
        <f t="shared" si="5"/>
        <v>0</v>
      </c>
      <c r="K70" s="278"/>
      <c r="L70" s="228">
        <f>IFERROR(__xludf.DUMMYFUNCTION("iferror(googlefinance(""NASDAQ:""&amp;C70,""changepct"")/100,iferror(googlefinance(""NYSE:""&amp;C70,""changepct"")/100,iferror(googlefinance(C70,""changepct"")/100,"""")))"),0.011399999999999999)</f>
        <v>0.0114</v>
      </c>
      <c r="M70" s="279">
        <f>IFERROR(__xludf.DUMMYFUNCTION("iferror(googlefinance(""NASDAQ:""&amp;C70,""price""),iferror(googlefinance(""NYSE:""&amp;C70,""price""),iferror(googlefinance(C70,""price""),1)))"),172.33)</f>
        <v>172.33</v>
      </c>
      <c r="N70" s="280">
        <f t="shared" si="6"/>
        <v>0</v>
      </c>
      <c r="O70" s="281" t="str">
        <f t="array" ref="O70">iferror(index(Buys!$Q:$Q,match(C70,Buys!$C:$C,0)),index(Sells!$Q:$Q,match(C70,Sells!$C:$C,0)))</f>
        <v/>
      </c>
      <c r="P70" s="282">
        <f>IFERROR(__xludf.DUMMYFUNCTION("iferror(googlefinance(""NASDAQ:""&amp;C70,""beta""),iferror(googlefinance(""NYSE:""&amp;C70,""beta""),iferror(googlefinance(C70,""beta""),1)))"),1.07)</f>
        <v>1.07</v>
      </c>
      <c r="Q70" s="283">
        <f t="array" ref="Q70">iferror(index(Buys!$M:$M,match(C70,Buys!$C:$C,0)),index(Sells!$M:$M,match(C70,Sells!$C:$C,0)))</f>
        <v>-0.8201115746</v>
      </c>
      <c r="R70" s="284">
        <f t="array" ref="R70">iferror(index(Buys!$S:$S,match(C70,Buys!$C:$C,0)),index(Sells!$S:$S,match(C70,Sells!$C:$C,0)))</f>
        <v>43475</v>
      </c>
    </row>
    <row r="71" ht="12.75" customHeight="1">
      <c r="A71" s="285" t="s">
        <v>1016</v>
      </c>
      <c r="B71" s="78" t="str">
        <f t="array" ref="B71">iferror(index(Buys!$T:$T,match(C71,Buys!$C:$C,0)),"Other")</f>
        <v>Value</v>
      </c>
      <c r="C71" s="270" t="s">
        <v>1187</v>
      </c>
      <c r="D71" s="271">
        <f t="shared" si="3"/>
        <v>0</v>
      </c>
      <c r="E71" s="272"/>
      <c r="F71" s="273">
        <f t="shared" si="4"/>
        <v>0</v>
      </c>
      <c r="G71" s="274"/>
      <c r="H71" s="275">
        <f>iferror(iferror(vlookup(C71,Buys!C:J,2,false),iferror(vlookup(C71,Sells!C:J,2,false),vlookup(C71,Macro!C:N,3,false))),0)/M71-1</f>
        <v>-0.3338798934</v>
      </c>
      <c r="I71" s="276">
        <f>iferror(iferror(vlookup(C71,Buys!C:J,7,false),iferror(vlookup(C71,Sells!C:J,7,false),vlookup(C71,Macro!C:N,7,false))),0)/M71-1</f>
        <v>0.1669540319</v>
      </c>
      <c r="J71" s="277">
        <f t="shared" si="5"/>
        <v>0</v>
      </c>
      <c r="K71" s="278"/>
      <c r="L71" s="228">
        <f>IFERROR(__xludf.DUMMYFUNCTION("iferror(googlefinance(""NASDAQ:""&amp;C71,""changepct"")/100,iferror(googlefinance(""NYSE:""&amp;C71,""changepct"")/100,iferror(googlefinance(C71,""changepct"")/100,"""")))"),-8.0E-4)</f>
        <v>-0.0008</v>
      </c>
      <c r="M71" s="279">
        <f>IFERROR(__xludf.DUMMYFUNCTION("iferror(googlefinance(""NASDAQ:""&amp;C71,""price""),iferror(googlefinance(""NYSE:""&amp;C71,""price""),iferror(googlefinance(C71,""price""),1)))"),97.58)</f>
        <v>97.58</v>
      </c>
      <c r="N71" s="280">
        <f t="shared" si="6"/>
        <v>0</v>
      </c>
      <c r="O71" s="281" t="str">
        <f t="array" ref="O71">iferror(index(Buys!$Q:$Q,match(C71,Buys!$C:$C,0)),index(Sells!$Q:$Q,match(C71,Sells!$C:$C,0)))</f>
        <v/>
      </c>
      <c r="P71" s="282">
        <f>IFERROR(__xludf.DUMMYFUNCTION("iferror(googlefinance(""NASDAQ:""&amp;C71,""beta""),iferror(googlefinance(""NYSE:""&amp;C71,""beta""),iferror(googlefinance(C71,""beta""),1)))"),1.41)</f>
        <v>1.41</v>
      </c>
      <c r="Q71" s="283">
        <f t="array" ref="Q71">iferror(index(Buys!$M:$M,match(C71,Buys!$C:$C,0)),index(Sells!$M:$M,match(C71,Sells!$C:$C,0)))</f>
        <v>0.1798884254</v>
      </c>
      <c r="R71" s="284">
        <f t="array" ref="R71">iferror(index(Buys!$S:$S,match(C71,Buys!$C:$C,0)),index(Sells!$S:$S,match(C71,Sells!$C:$C,0)))</f>
        <v>43592</v>
      </c>
    </row>
    <row r="72" ht="12.75" customHeight="1">
      <c r="A72" s="269" t="s">
        <v>1016</v>
      </c>
      <c r="B72" s="285" t="str">
        <f t="array" ref="B72">iferror(index(Buys!$T:$T,match(C72,Buys!$C:$C,0)),"Other")</f>
        <v>Value</v>
      </c>
      <c r="C72" s="270" t="s">
        <v>1194</v>
      </c>
      <c r="D72" s="271">
        <f t="shared" si="3"/>
        <v>0</v>
      </c>
      <c r="E72" s="272"/>
      <c r="F72" s="273">
        <f t="shared" si="4"/>
        <v>0</v>
      </c>
      <c r="G72" s="274"/>
      <c r="H72" s="275">
        <f>iferror(iferror(vlookup(C72,Buys!C:J,2,false),iferror(vlookup(C72,Sells!C:J,2,false),vlookup(C72,Macro!C:N,3,false))),0)/M72-1</f>
        <v>0.0239906378</v>
      </c>
      <c r="I72" s="276">
        <f>iferror(iferror(vlookup(C72,Buys!C:J,7,false),iferror(vlookup(C72,Sells!C:J,7,false),vlookup(C72,Macro!C:N,7,false))),0)/M72-1</f>
        <v>0.1380551378</v>
      </c>
      <c r="J72" s="277">
        <f t="shared" si="5"/>
        <v>0</v>
      </c>
      <c r="K72" s="278"/>
      <c r="L72" s="228">
        <f>IFERROR(__xludf.DUMMYFUNCTION("iferror(googlefinance(""NASDAQ:""&amp;C72,""changepct"")/100,iferror(googlefinance(""NYSE:""&amp;C72,""changepct"")/100,iferror(googlefinance(C72,""changepct"")/100,"""")))"),-0.044000000000000004)</f>
        <v>-0.044</v>
      </c>
      <c r="M72" s="279">
        <f>IFERROR(__xludf.DUMMYFUNCTION("iferror(googlefinance(""NASDAQ:""&amp;C72,""price""),iferror(googlefinance(""NYSE:""&amp;C72,""price""),iferror(googlefinance(C72,""price""),1)))"),68.36)</f>
        <v>68.36</v>
      </c>
      <c r="N72" s="280">
        <f t="shared" si="6"/>
        <v>0</v>
      </c>
      <c r="O72" s="281">
        <f t="array" ref="O72">iferror(index(Buys!$Q:$Q,match(C72,Buys!$C:$C,0)),index(Sells!$Q:$Q,match(C72,Sells!$C:$C,0)))</f>
        <v>20.26057805</v>
      </c>
      <c r="P72" s="282">
        <f>IFERROR(__xludf.DUMMYFUNCTION("iferror(googlefinance(""NASDAQ:""&amp;C72,""beta""),iferror(googlefinance(""NYSE:""&amp;C72,""beta""),iferror(googlefinance(C72,""beta""),1)))"),1.21)</f>
        <v>1.21</v>
      </c>
      <c r="Q72" s="283">
        <f t="array" ref="Q72">iferror(index(Buys!$M:$M,match(C72,Buys!$C:$C,0)),index(Sells!$M:$M,match(C72,Sells!$C:$C,0)))</f>
        <v>0.1798884253</v>
      </c>
      <c r="R72" s="284">
        <f t="array" ref="R72">iferror(index(Buys!$S:$S,match(C72,Buys!$C:$C,0)),index(Sells!$S:$S,match(C72,Sells!$C:$C,0)))</f>
        <v>43676</v>
      </c>
    </row>
    <row r="73" ht="12.75" customHeight="1">
      <c r="A73" s="285" t="s">
        <v>1016</v>
      </c>
      <c r="B73" s="78" t="str">
        <f t="array" ref="B73">iferror(index(Buys!$T:$T,match(C73,Buys!$C:$C,0)),"Other")</f>
        <v>Value</v>
      </c>
      <c r="C73" s="270" t="s">
        <v>1199</v>
      </c>
      <c r="D73" s="271">
        <f t="shared" si="3"/>
        <v>0</v>
      </c>
      <c r="E73" s="323"/>
      <c r="F73" s="273">
        <f t="shared" si="4"/>
        <v>0</v>
      </c>
      <c r="G73" s="274">
        <v>0.01</v>
      </c>
      <c r="H73" s="275">
        <f>iferror(iferror(vlookup(C73,Buys!C:J,2,false),iferror(vlookup(C73,Sells!C:J,2,false),vlookup(C73,Macro!C:N,3,false))),0)/M73-1</f>
        <v>-0.2132179386</v>
      </c>
      <c r="I73" s="276">
        <f>iferror(iferror(vlookup(C73,Buys!C:J,7,false),iferror(vlookup(C73,Sells!C:J,7,false),vlookup(C73,Macro!C:N,7,false))),0)/M73-1</f>
        <v>0.1195517393</v>
      </c>
      <c r="J73" s="277">
        <f t="shared" si="5"/>
        <v>0</v>
      </c>
      <c r="K73" s="278"/>
      <c r="L73" s="228">
        <f>IFERROR(__xludf.DUMMYFUNCTION("iferror(googlefinance(""NASDAQ:""&amp;C73,""changepct"")/100,iferror(googlefinance(""NYSE:""&amp;C73,""changepct"")/100,iferror(googlefinance(C73,""changepct"")/100,"""")))"),0.0025)</f>
        <v>0.0025</v>
      </c>
      <c r="M73" s="279">
        <f>IFERROR(__xludf.DUMMYFUNCTION("iferror(googlefinance(""NASDAQ:""&amp;C73,""price""),iferror(googlefinance(""NYSE:""&amp;C73,""price""),iferror(googlefinance(C73,""price""),1)))"),88.97)</f>
        <v>88.97</v>
      </c>
      <c r="N73" s="280">
        <f t="shared" si="6"/>
        <v>0</v>
      </c>
      <c r="O73" s="281">
        <f t="array" ref="O73">iferror(index(Buys!$Q:$Q,match(C73,Buys!$C:$C,0)),index(Sells!$Q:$Q,match(C73,Sells!$C:$C,0)))</f>
        <v>19.70588235</v>
      </c>
      <c r="P73" s="282">
        <f>IFERROR(__xludf.DUMMYFUNCTION("iferror(googlefinance(""NASDAQ:""&amp;C73,""beta""),iferror(googlefinance(""NYSE:""&amp;C73,""beta""),iferror(googlefinance(C73,""beta""),1)))"),1.01)</f>
        <v>1.01</v>
      </c>
      <c r="Q73" s="283">
        <f t="array" ref="Q73">iferror(index(Buys!$M:$M,match(C73,Buys!$C:$C,0)),index(Sells!$M:$M,match(C73,Sells!$C:$C,0)))</f>
        <v>0.1798884252</v>
      </c>
      <c r="R73" s="284">
        <f t="array" ref="R73">iferror(index(Buys!$S:$S,match(C73,Buys!$C:$C,0)),index(Sells!$S:$S,match(C73,Sells!$C:$C,0)))</f>
        <v>43745</v>
      </c>
    </row>
    <row r="74" ht="12.75" customHeight="1">
      <c r="A74" s="269" t="s">
        <v>1016</v>
      </c>
      <c r="B74" s="78" t="str">
        <f t="array" ref="B74">iferror(index(Buys!$T:$T,match(C74,Buys!$C:$C,0)),"Other")</f>
        <v>Value</v>
      </c>
      <c r="C74" s="270" t="s">
        <v>1215</v>
      </c>
      <c r="D74" s="271">
        <f t="shared" si="3"/>
        <v>0</v>
      </c>
      <c r="E74" s="272"/>
      <c r="F74" s="273">
        <f t="shared" si="4"/>
        <v>0</v>
      </c>
      <c r="G74" s="274"/>
      <c r="H74" s="275">
        <f>iferror(iferror(vlookup(C74,Buys!C:J,2,false),iferror(vlookup(C74,Sells!C:J,2,false),vlookup(C74,Macro!C:N,3,false))),0)/M74-1</f>
        <v>-0.127399651</v>
      </c>
      <c r="I74" s="276">
        <f>iferror(iferror(vlookup(C74,Buys!C:J,7,false),iferror(vlookup(C74,Sells!C:J,7,false),vlookup(C74,Macro!C:N,7,false))),0)/M74-1</f>
        <v>0.09967168189</v>
      </c>
      <c r="J74" s="277">
        <f t="shared" si="5"/>
        <v>0</v>
      </c>
      <c r="K74" s="278"/>
      <c r="L74" s="228">
        <f>IFERROR(__xludf.DUMMYFUNCTION("iferror(googlefinance(""NASDAQ:""&amp;C74,""changepct"")/100,iferror(googlefinance(""NYSE:""&amp;C74,""changepct"")/100,iferror(googlefinance(C74,""changepct"")/100,"""")))"),0.09539999999999998)</f>
        <v>0.0954</v>
      </c>
      <c r="M74" s="279">
        <f>IFERROR(__xludf.DUMMYFUNCTION("iferror(googlefinance(""NASDAQ:""&amp;C74,""price""),iferror(googlefinance(""NYSE:""&amp;C74,""price""),iferror(googlefinance(C74,""price""),1)))"),51.57)</f>
        <v>51.57</v>
      </c>
      <c r="N74" s="280">
        <f t="shared" si="6"/>
        <v>0</v>
      </c>
      <c r="O74" s="281">
        <f t="array" ref="O74">iferror(index(Buys!$Q:$Q,match(C74,Buys!$C:$C,0)),index(Sells!$Q:$Q,match(C74,Sells!$C:$C,0)))</f>
        <v>18.80781148</v>
      </c>
      <c r="P74" s="282">
        <f>IFERROR(__xludf.DUMMYFUNCTION("iferror(googlefinance(""NASDAQ:""&amp;C74,""beta""),iferror(googlefinance(""NYSE:""&amp;C74,""beta""),iferror(googlefinance(C74,""beta""),1)))"),1.35)</f>
        <v>1.35</v>
      </c>
      <c r="Q74" s="283">
        <f t="array" ref="Q74">iferror(index(Buys!$M:$M,match(C74,Buys!$C:$C,0)),index(Sells!$M:$M,match(C74,Sells!$C:$C,0)))</f>
        <v>0.1798884252</v>
      </c>
      <c r="R74" s="284">
        <f t="array" ref="R74">iferror(index(Buys!$S:$S,match(C74,Buys!$C:$C,0)),index(Sells!$S:$S,match(C74,Sells!$C:$C,0)))</f>
        <v>43714</v>
      </c>
    </row>
    <row r="75" ht="12.75" customHeight="1">
      <c r="A75" s="285" t="s">
        <v>1016</v>
      </c>
      <c r="B75" s="78" t="str">
        <f t="array" ref="B75">iferror(index(Buys!$T:$T,match(C75,Buys!$C:$C,0)),"Other")</f>
        <v>Value</v>
      </c>
      <c r="C75" s="270" t="s">
        <v>1221</v>
      </c>
      <c r="D75" s="271">
        <f t="shared" si="3"/>
        <v>0</v>
      </c>
      <c r="E75" s="272"/>
      <c r="F75" s="273">
        <f t="shared" si="4"/>
        <v>0</v>
      </c>
      <c r="G75" s="274"/>
      <c r="H75" s="275">
        <f>iferror(iferror(vlookup(C75,Buys!C:J,2,false),iferror(vlookup(C75,Sells!C:J,2,false),vlookup(C75,Macro!C:N,3,false))),0)/M75-1</f>
        <v>-0.2695398101</v>
      </c>
      <c r="I75" s="276">
        <f>iferror(iferror(vlookup(C75,Buys!C:J,7,false),iferror(vlookup(C75,Sells!C:J,7,false),vlookup(C75,Macro!C:N,7,false))),0)/M75-1</f>
        <v>0.07439843403</v>
      </c>
      <c r="J75" s="277">
        <f t="shared" si="5"/>
        <v>0</v>
      </c>
      <c r="K75" s="278"/>
      <c r="L75" s="228">
        <f>IFERROR(__xludf.DUMMYFUNCTION("iferror(googlefinance(""NASDAQ:""&amp;C75,""changepct"")/100,iferror(googlefinance(""NYSE:""&amp;C75,""changepct"")/100,iferror(googlefinance(C75,""changepct"")/100,"""")))"),-0.0073)</f>
        <v>-0.0073</v>
      </c>
      <c r="M75" s="279">
        <f>IFERROR(__xludf.DUMMYFUNCTION("iferror(googlefinance(""NASDAQ:""&amp;C75,""price""),iferror(googlefinance(""NYSE:""&amp;C75,""price""),iferror(googlefinance(C75,""price""),1)))"),68.45)</f>
        <v>68.45</v>
      </c>
      <c r="N75" s="280">
        <f t="shared" si="6"/>
        <v>0</v>
      </c>
      <c r="O75" s="281" t="str">
        <f t="array" ref="O75">iferror(index(Buys!$Q:$Q,match(C75,Buys!$C:$C,0)),index(Sells!$Q:$Q,match(C75,Sells!$C:$C,0)))</f>
        <v/>
      </c>
      <c r="P75" s="282">
        <f>IFERROR(__xludf.DUMMYFUNCTION("iferror(googlefinance(""NASDAQ:""&amp;C75,""beta""),iferror(googlefinance(""NYSE:""&amp;C75,""beta""),iferror(googlefinance(C75,""beta""),1)))"),1.21)</f>
        <v>1.21</v>
      </c>
      <c r="Q75" s="283">
        <f t="array" ref="Q75">iferror(index(Buys!$M:$M,match(C75,Buys!$C:$C,0)),index(Sells!$M:$M,match(C75,Sells!$C:$C,0)))</f>
        <v>-0.8201115749</v>
      </c>
      <c r="R75" s="284">
        <f t="array" ref="R75">iferror(index(Buys!$S:$S,match(C75,Buys!$C:$C,0)),index(Sells!$S:$S,match(C75,Sells!$C:$C,0)))</f>
        <v>43502</v>
      </c>
    </row>
    <row r="76" ht="12.75" customHeight="1">
      <c r="A76" s="285" t="s">
        <v>1016</v>
      </c>
      <c r="B76" s="78" t="str">
        <f t="array" ref="B76">iferror(index(Buys!$T:$T,match(C76,Buys!$C:$C,0)),"Other")</f>
        <v>Value</v>
      </c>
      <c r="C76" s="270" t="s">
        <v>1229</v>
      </c>
      <c r="D76" s="271">
        <f t="shared" si="3"/>
        <v>0</v>
      </c>
      <c r="E76" s="272"/>
      <c r="F76" s="273">
        <f t="shared" si="4"/>
        <v>0</v>
      </c>
      <c r="G76" s="274"/>
      <c r="H76" s="275">
        <f>iferror(iferror(vlookup(C76,Buys!C:J,2,false),iferror(vlookup(C76,Sells!C:J,2,false),vlookup(C76,Macro!C:N,3,false))),0)/M76-1</f>
        <v>-0.2039191672</v>
      </c>
      <c r="I76" s="276">
        <f>iferror(iferror(vlookup(C76,Buys!C:J,7,false),iferror(vlookup(C76,Sells!C:J,7,false),vlookup(C76,Macro!C:N,7,false))),0)/M76-1</f>
        <v>0.07109562046</v>
      </c>
      <c r="J76" s="277">
        <f t="shared" si="5"/>
        <v>0</v>
      </c>
      <c r="K76" s="278"/>
      <c r="L76" s="228">
        <f>IFERROR(__xludf.DUMMYFUNCTION("iferror(googlefinance(""NASDAQ:""&amp;C76,""changepct"")/100,iferror(googlefinance(""NYSE:""&amp;C76,""changepct"")/100,iferror(googlefinance(C76,""changepct"")/100,"""")))"),0.0036)</f>
        <v>0.0036</v>
      </c>
      <c r="M76" s="279">
        <f>IFERROR(__xludf.DUMMYFUNCTION("iferror(googlefinance(""NASDAQ:""&amp;C76,""price""),iferror(googlefinance(""NYSE:""&amp;C76,""price""),iferror(googlefinance(C76,""price""),1)))"),81.65)</f>
        <v>81.65</v>
      </c>
      <c r="N76" s="280">
        <f t="shared" si="6"/>
        <v>0</v>
      </c>
      <c r="O76" s="281" t="str">
        <f t="array" ref="O76">iferror(index(Buys!$Q:$Q,match(C76,Buys!$C:$C,0)),index(Sells!$Q:$Q,match(C76,Sells!$C:$C,0)))</f>
        <v/>
      </c>
      <c r="P76" s="282">
        <f>IFERROR(__xludf.DUMMYFUNCTION("iferror(googlefinance(""NASDAQ:""&amp;C76,""beta""),iferror(googlefinance(""NYSE:""&amp;C76,""beta""),iferror(googlefinance(C76,""beta""),1)))"),1.13)</f>
        <v>1.13</v>
      </c>
      <c r="Q76" s="283">
        <f t="array" ref="Q76">iferror(index(Buys!$M:$M,match(C76,Buys!$C:$C,0)),index(Sells!$M:$M,match(C76,Sells!$C:$C,0)))</f>
        <v>0.1798884251</v>
      </c>
      <c r="R76" s="284">
        <f t="array" ref="R76">iferror(index(Buys!$S:$S,match(C76,Buys!$C:$C,0)),index(Sells!$S:$S,match(C76,Sells!$C:$C,0)))</f>
        <v>43580</v>
      </c>
    </row>
    <row r="77" ht="12.75" customHeight="1">
      <c r="A77" s="285" t="s">
        <v>1016</v>
      </c>
      <c r="B77" s="285" t="str">
        <f t="array" ref="B77">iferror(index(Buys!$T:$T,match(C77,Buys!$C:$C,0)),"Other")</f>
        <v>Value</v>
      </c>
      <c r="C77" s="270" t="s">
        <v>1238</v>
      </c>
      <c r="D77" s="271">
        <f t="shared" si="3"/>
        <v>0</v>
      </c>
      <c r="E77" s="272"/>
      <c r="F77" s="273">
        <f t="shared" si="4"/>
        <v>0</v>
      </c>
      <c r="G77" s="274"/>
      <c r="H77" s="275">
        <f>iferror(iferror(vlookup(C77,Buys!C:J,2,false),iferror(vlookup(C77,Sells!C:J,2,false),vlookup(C77,Macro!C:N,3,false))),0)/M77-1</f>
        <v>-0.2313211028</v>
      </c>
      <c r="I77" s="276">
        <f>iferror(iferror(vlookup(C77,Buys!C:J,7,false),iferror(vlookup(C77,Sells!C:J,7,false),vlookup(C77,Macro!C:N,7,false))),0)/M77-1</f>
        <v>0.06096790658</v>
      </c>
      <c r="J77" s="277">
        <f t="shared" si="5"/>
        <v>0</v>
      </c>
      <c r="K77" s="278"/>
      <c r="L77" s="228">
        <f>IFERROR(__xludf.DUMMYFUNCTION("iferror(googlefinance(""NASDAQ:""&amp;C77,""changepct"")/100,iferror(googlefinance(""NYSE:""&amp;C77,""changepct"")/100,iferror(googlefinance(C77,""changepct"")/100,"""")))"),-0.011399999999999999)</f>
        <v>-0.0114</v>
      </c>
      <c r="M77" s="279">
        <f>IFERROR(__xludf.DUMMYFUNCTION("iferror(googlefinance(""NASDAQ:""&amp;C77,""price""),iferror(googlefinance(""NYSE:""&amp;C77,""price""),iferror(googlefinance(C77,""price""),1)))"),97.57)</f>
        <v>97.57</v>
      </c>
      <c r="N77" s="280">
        <f t="shared" si="6"/>
        <v>0</v>
      </c>
      <c r="O77" s="281">
        <f t="array" ref="O77">iferror(index(Buys!$Q:$Q,match(C77,Buys!$C:$C,0)),index(Sells!$Q:$Q,match(C77,Sells!$C:$C,0)))</f>
        <v>20.96775771</v>
      </c>
      <c r="P77" s="282">
        <f>IFERROR(__xludf.DUMMYFUNCTION("iferror(googlefinance(""NASDAQ:""&amp;C77,""beta""),iferror(googlefinance(""NYSE:""&amp;C77,""beta""),iferror(googlefinance(C77,""beta""),1)))"),0.75)</f>
        <v>0.75</v>
      </c>
      <c r="Q77" s="283">
        <f t="array" ref="Q77">iferror(index(Buys!$M:$M,match(C77,Buys!$C:$C,0)),index(Sells!$M:$M,match(C77,Sells!$C:$C,0)))</f>
        <v>-0.820111575</v>
      </c>
      <c r="R77" s="284">
        <f t="array" ref="R77">iferror(index(Buys!$S:$S,match(C77,Buys!$C:$C,0)),index(Sells!$S:$S,match(C77,Sells!$C:$C,0)))</f>
        <v>43705</v>
      </c>
    </row>
    <row r="78" ht="12.75" customHeight="1">
      <c r="A78" s="285" t="s">
        <v>1016</v>
      </c>
      <c r="B78" s="78" t="str">
        <f t="array" ref="B78">iferror(index(Buys!$T:$T,match(C78,Buys!$C:$C,0)),"Other")</f>
        <v>Value</v>
      </c>
      <c r="C78" s="270" t="s">
        <v>1244</v>
      </c>
      <c r="D78" s="271">
        <f t="shared" si="3"/>
        <v>0</v>
      </c>
      <c r="E78" s="272"/>
      <c r="F78" s="273">
        <f t="shared" si="4"/>
        <v>0</v>
      </c>
      <c r="G78" s="274"/>
      <c r="H78" s="275">
        <f>iferror(iferror(vlookup(C78,Buys!C:J,2,false),iferror(vlookup(C78,Sells!C:J,2,false),vlookup(C78,Macro!C:N,3,false))),0)/M78-1</f>
        <v>0.1054958939</v>
      </c>
      <c r="I78" s="276">
        <f>iferror(iferror(vlookup(C78,Buys!C:J,7,false),iferror(vlookup(C78,Sells!C:J,7,false),vlookup(C78,Macro!C:N,7,false))),0)/M78-1</f>
        <v>0.0584562331</v>
      </c>
      <c r="J78" s="277">
        <f t="shared" si="5"/>
        <v>0</v>
      </c>
      <c r="K78" s="278"/>
      <c r="L78" s="228">
        <f>IFERROR(__xludf.DUMMYFUNCTION("iferror(googlefinance(""NASDAQ:""&amp;C78,""changepct"")/100,iferror(googlefinance(""NYSE:""&amp;C78,""changepct"")/100,iferror(googlefinance(C78,""changepct"")/100,"""")))"),-0.0406)</f>
        <v>-0.0406</v>
      </c>
      <c r="M78" s="279">
        <f>IFERROR(__xludf.DUMMYFUNCTION("iferror(googlefinance(""NASDAQ:""&amp;C78,""price""),iferror(googlefinance(""NYSE:""&amp;C78,""price""),iferror(googlefinance(C78,""price""),1)))"),63.32)</f>
        <v>63.32</v>
      </c>
      <c r="N78" s="280">
        <f t="shared" si="6"/>
        <v>0</v>
      </c>
      <c r="O78" s="281" t="str">
        <f t="array" ref="O78">iferror(index(Buys!$Q:$Q,match(C78,Buys!$C:$C,0)),index(Sells!$Q:$Q,match(C78,Sells!$C:$C,0)))</f>
        <v/>
      </c>
      <c r="P78" s="282">
        <f>IFERROR(__xludf.DUMMYFUNCTION("iferror(googlefinance(""NASDAQ:""&amp;C78,""beta""),iferror(googlefinance(""NYSE:""&amp;C78,""beta""),iferror(googlefinance(C78,""beta""),1)))"),1.1)</f>
        <v>1.1</v>
      </c>
      <c r="Q78" s="283">
        <f t="array" ref="Q78">iferror(index(Buys!$M:$M,match(C78,Buys!$C:$C,0)),index(Sells!$M:$M,match(C78,Sells!$C:$C,0)))</f>
        <v>0.1798884249</v>
      </c>
      <c r="R78" s="284">
        <f t="array" ref="R78">iferror(index(Buys!$S:$S,match(C78,Buys!$C:$C,0)),index(Sells!$S:$S,match(C78,Sells!$C:$C,0)))</f>
        <v>43502</v>
      </c>
    </row>
    <row r="79" ht="12.75" customHeight="1">
      <c r="A79" s="285" t="s">
        <v>1016</v>
      </c>
      <c r="B79" s="285" t="str">
        <f t="array" ref="B79">iferror(index(Buys!$T:$T,match(C79,Buys!$C:$C,0)),"Other")</f>
        <v>Value</v>
      </c>
      <c r="C79" s="270" t="s">
        <v>1250</v>
      </c>
      <c r="D79" s="271">
        <f t="shared" si="3"/>
        <v>0</v>
      </c>
      <c r="E79" s="272"/>
      <c r="F79" s="273">
        <f t="shared" si="4"/>
        <v>0</v>
      </c>
      <c r="G79" s="274"/>
      <c r="H79" s="275">
        <f>iferror(iferror(vlookup(C79,Buys!C:J,2,false),iferror(vlookup(C79,Sells!C:J,2,false),vlookup(C79,Macro!C:N,3,false))),0)/M79-1</f>
        <v>-0.2578849722</v>
      </c>
      <c r="I79" s="276">
        <f>iferror(iferror(vlookup(C79,Buys!C:J,7,false),iferror(vlookup(C79,Sells!C:J,7,false),vlookup(C79,Macro!C:N,7,false))),0)/M79-1</f>
        <v>0.05261844998</v>
      </c>
      <c r="J79" s="277">
        <f t="shared" si="5"/>
        <v>0</v>
      </c>
      <c r="K79" s="278"/>
      <c r="L79" s="299">
        <f>IFERROR(__xludf.DUMMYFUNCTION("iferror(googlefinance(""NASDAQ:""&amp;C79,""changepct"")/100,iferror(googlefinance(""NYSE:""&amp;C79,""changepct"")/100,iferror(googlefinance(C79,""changepct"")/100,"""")))"),-0.0141)</f>
        <v>-0.0141</v>
      </c>
      <c r="M79" s="300">
        <f>IFERROR(__xludf.DUMMYFUNCTION("iferror(googlefinance(""NASDAQ:""&amp;C79,""price""),iferror(googlefinance(""NYSE:""&amp;C79,""price""),iferror(googlefinance(C79,""price""),1)))"),188.65)</f>
        <v>188.65</v>
      </c>
      <c r="N79" s="280">
        <f t="shared" si="6"/>
        <v>0</v>
      </c>
      <c r="O79" s="281" t="str">
        <f t="array" ref="O79">iferror(index(Buys!$Q:$Q,match(C79,Buys!$C:$C,0)),index(Sells!$Q:$Q,match(C79,Sells!$C:$C,0)))</f>
        <v/>
      </c>
      <c r="P79" s="282">
        <f>IFERROR(__xludf.DUMMYFUNCTION("iferror(googlefinance(""NASDAQ:""&amp;C79,""beta""),iferror(googlefinance(""NYSE:""&amp;C79,""beta""),iferror(googlefinance(C79,""beta""),1)))"),0.85)</f>
        <v>0.85</v>
      </c>
      <c r="Q79" s="283">
        <f t="array" ref="Q79">iferror(index(Buys!$M:$M,match(C79,Buys!$C:$C,0)),index(Sells!$M:$M,match(C79,Sells!$C:$C,0)))</f>
        <v>0.1798884249</v>
      </c>
      <c r="R79" s="284">
        <f t="array" ref="R79">iferror(index(Buys!$S:$S,match(C79,Buys!$C:$C,0)),index(Sells!$S:$S,match(C79,Sells!$C:$C,0)))</f>
        <v>43499</v>
      </c>
    </row>
    <row r="80" ht="12.75" customHeight="1">
      <c r="A80" s="285" t="s">
        <v>1016</v>
      </c>
      <c r="B80" s="78" t="str">
        <f t="array" ref="B80">iferror(index(Buys!$T:$T,match(C80,Buys!$C:$C,0)),"Other")</f>
        <v>Value</v>
      </c>
      <c r="C80" s="270" t="s">
        <v>1263</v>
      </c>
      <c r="D80" s="271">
        <f t="shared" si="3"/>
        <v>0</v>
      </c>
      <c r="E80" s="272"/>
      <c r="F80" s="273">
        <f t="shared" si="4"/>
        <v>0</v>
      </c>
      <c r="G80" s="274"/>
      <c r="H80" s="275">
        <f>iferror(iferror(vlookup(C80,Buys!C:J,2,false),iferror(vlookup(C80,Sells!C:J,2,false),vlookup(C80,Macro!C:N,3,false))),0)/M80-1</f>
        <v>-0.2250350579</v>
      </c>
      <c r="I80" s="276">
        <f>iferror(iferror(vlookup(C80,Buys!C:J,7,false),iferror(vlookup(C80,Sells!C:J,7,false),vlookup(C80,Macro!C:N,7,false))),0)/M80-1</f>
        <v>0.03850880397</v>
      </c>
      <c r="J80" s="277">
        <f t="shared" si="5"/>
        <v>0</v>
      </c>
      <c r="K80" s="278"/>
      <c r="L80" s="228">
        <f>IFERROR(__xludf.DUMMYFUNCTION("iferror(googlefinance(""NASDAQ:""&amp;C80,""changepct"")/100,iferror(googlefinance(""NYSE:""&amp;C80,""changepct"")/100,iferror(googlefinance(C80,""changepct"")/100,"""")))"),0.004699999999999999)</f>
        <v>0.0047</v>
      </c>
      <c r="M80" s="279">
        <f>IFERROR(__xludf.DUMMYFUNCTION("iferror(googlefinance(""NASDAQ:""&amp;C80,""price""),iferror(googlefinance(""NYSE:""&amp;C80,""price""),iferror(googlefinance(C80,""price""),1)))"),270.98)</f>
        <v>270.98</v>
      </c>
      <c r="N80" s="280">
        <f t="shared" si="6"/>
        <v>0</v>
      </c>
      <c r="O80" s="281" t="str">
        <f t="array" ref="O80">iferror(index(Buys!$Q:$Q,match(C80,Buys!$C:$C,0)),index(Sells!$Q:$Q,match(C80,Sells!$C:$C,0)))</f>
        <v/>
      </c>
      <c r="P80" s="282">
        <f>IFERROR(__xludf.DUMMYFUNCTION("iferror(googlefinance(""NASDAQ:""&amp;C80,""beta""),iferror(googlefinance(""NYSE:""&amp;C80,""beta""),iferror(googlefinance(C80,""beta""),1)))"),1.08)</f>
        <v>1.08</v>
      </c>
      <c r="Q80" s="283">
        <f t="array" ref="Q80">iferror(index(Buys!$M:$M,match(C80,Buys!$C:$C,0)),index(Sells!$M:$M,match(C80,Sells!$C:$C,0)))</f>
        <v>0.09495691803</v>
      </c>
      <c r="R80" s="284">
        <f t="array" ref="R80">iferror(index(Buys!$S:$S,match(C80,Buys!$C:$C,0)),index(Sells!$S:$S,match(C80,Sells!$C:$C,0)))</f>
        <v>43483</v>
      </c>
    </row>
    <row r="81" ht="12.75" customHeight="1">
      <c r="A81" s="285" t="s">
        <v>1016</v>
      </c>
      <c r="B81" s="285" t="str">
        <f t="array" ref="B81">iferror(index(Buys!$T:$T,match(C81,Buys!$C:$C,0)),"Other")</f>
        <v>Value</v>
      </c>
      <c r="C81" s="270" t="s">
        <v>1273</v>
      </c>
      <c r="D81" s="271">
        <f t="shared" si="3"/>
        <v>0</v>
      </c>
      <c r="E81" s="272"/>
      <c r="F81" s="273">
        <f t="shared" si="4"/>
        <v>0</v>
      </c>
      <c r="G81" s="274"/>
      <c r="H81" s="275">
        <f>iferror(iferror(vlookup(C81,Buys!C:J,2,false),iferror(vlookup(C81,Sells!C:J,2,false),vlookup(C81,Macro!C:N,3,false))),0)/M81-1</f>
        <v>-0.1718916361</v>
      </c>
      <c r="I81" s="276">
        <f>iferror(iferror(vlookup(C81,Buys!C:J,7,false),iferror(vlookup(C81,Sells!C:J,7,false),vlookup(C81,Macro!C:N,7,false))),0)/M81-1</f>
        <v>0.03591716244</v>
      </c>
      <c r="J81" s="277">
        <f t="shared" si="5"/>
        <v>0</v>
      </c>
      <c r="K81" s="278"/>
      <c r="L81" s="228">
        <f>IFERROR(__xludf.DUMMYFUNCTION("iferror(googlefinance(""NASDAQ:""&amp;C81,""changepct"")/100,iferror(googlefinance(""NYSE:""&amp;C81,""changepct"")/100,iferror(googlefinance(C81,""changepct"")/100,"""")))"),-0.002)</f>
        <v>-0.002</v>
      </c>
      <c r="M81" s="279">
        <f>IFERROR(__xludf.DUMMYFUNCTION("iferror(googlefinance(""NASDAQ:""&amp;C81,""price""),iferror(googlefinance(""NYSE:""&amp;C81,""price""),iferror(googlefinance(C81,""price""),1)))"),84.53)</f>
        <v>84.53</v>
      </c>
      <c r="N81" s="280">
        <f t="shared" si="6"/>
        <v>0</v>
      </c>
      <c r="O81" s="281">
        <f t="array" ref="O81">iferror(index(Buys!$Q:$Q,match(C81,Buys!$C:$C,0)),index(Sells!$Q:$Q,match(C81,Sells!$C:$C,0)))</f>
        <v>27.44228131</v>
      </c>
      <c r="P81" s="282">
        <f>IFERROR(__xludf.DUMMYFUNCTION("iferror(googlefinance(""NASDAQ:""&amp;C81,""beta""),iferror(googlefinance(""NYSE:""&amp;C81,""beta""),iferror(googlefinance(C81,""beta""),1)))"),0.9)</f>
        <v>0.9</v>
      </c>
      <c r="Q81" s="283">
        <f t="array" ref="Q81">iferror(index(Buys!$M:$M,match(C81,Buys!$C:$C,0)),index(Sells!$M:$M,match(C81,Sells!$C:$C,0)))</f>
        <v>0.596326781</v>
      </c>
      <c r="R81" s="284">
        <f t="array" ref="R81">iferror(index(Buys!$S:$S,match(C81,Buys!$C:$C,0)),index(Sells!$S:$S,match(C81,Sells!$C:$C,0)))</f>
        <v>43656</v>
      </c>
    </row>
    <row r="82" ht="12.75" customHeight="1">
      <c r="A82" s="285" t="s">
        <v>1016</v>
      </c>
      <c r="B82" s="78" t="str">
        <f t="array" ref="B82">iferror(index(Buys!$T:$T,match(C82,Buys!$C:$C,0)),"Other")</f>
        <v>Value</v>
      </c>
      <c r="C82" s="270" t="s">
        <v>1274</v>
      </c>
      <c r="D82" s="271">
        <f t="shared" si="3"/>
        <v>0</v>
      </c>
      <c r="E82" s="272"/>
      <c r="F82" s="273">
        <f t="shared" si="4"/>
        <v>0</v>
      </c>
      <c r="G82" s="274"/>
      <c r="H82" s="275">
        <f>iferror(iferror(vlookup(C82,Buys!C:J,2,false),iferror(vlookup(C82,Sells!C:J,2,false),vlookup(C82,Macro!C:N,3,false))),0)/M82-1</f>
        <v>-0.3212111239</v>
      </c>
      <c r="I82" s="276">
        <f>iferror(iferror(vlookup(C82,Buys!C:J,7,false),iferror(vlookup(C82,Sells!C:J,7,false),vlookup(C82,Macro!C:N,7,false))),0)/M82-1</f>
        <v>0.03037215752</v>
      </c>
      <c r="J82" s="277">
        <f t="shared" si="5"/>
        <v>0</v>
      </c>
      <c r="K82" s="278"/>
      <c r="L82" s="228">
        <f>IFERROR(__xludf.DUMMYFUNCTION("iferror(googlefinance(""NASDAQ:""&amp;C82,""changepct"")/100,iferror(googlefinance(""NYSE:""&amp;C82,""changepct"")/100,iferror(googlefinance(C82,""changepct"")/100,"""")))"),-0.0074)</f>
        <v>-0.0074</v>
      </c>
      <c r="M82" s="279">
        <f>IFERROR(__xludf.DUMMYFUNCTION("iferror(googlefinance(""NASDAQ:""&amp;C82,""price""),iferror(googlefinance(""NYSE:""&amp;C82,""price""),iferror(googlefinance(C82,""price""),1)))"),243.08)</f>
        <v>243.08</v>
      </c>
      <c r="N82" s="280">
        <f t="shared" si="6"/>
        <v>0</v>
      </c>
      <c r="O82" s="281" t="str">
        <f t="array" ref="O82">iferror(index(Buys!$Q:$Q,match(C82,Buys!$C:$C,0)),index(Sells!$Q:$Q,match(C82,Sells!$C:$C,0)))</f>
        <v/>
      </c>
      <c r="P82" s="282">
        <f>IFERROR(__xludf.DUMMYFUNCTION("iferror(googlefinance(""NASDAQ:""&amp;C82,""beta""),iferror(googlefinance(""NYSE:""&amp;C82,""beta""),iferror(googlefinance(C82,""beta""),1)))"),0.9)</f>
        <v>0.9</v>
      </c>
      <c r="Q82" s="283">
        <f t="array" ref="Q82">iferror(index(Buys!$M:$M,match(C82,Buys!$C:$C,0)),index(Sells!$M:$M,match(C82,Sells!$C:$C,0)))</f>
        <v>0.1798884248</v>
      </c>
      <c r="R82" s="284">
        <f t="array" ref="R82">iferror(index(Buys!$S:$S,match(C82,Buys!$C:$C,0)),index(Sells!$S:$S,match(C82,Sells!$C:$C,0)))</f>
        <v>43597</v>
      </c>
    </row>
    <row r="83" ht="12.75" customHeight="1">
      <c r="A83" s="269" t="s">
        <v>1016</v>
      </c>
      <c r="B83" s="285" t="str">
        <f t="array" ref="B83">iferror(index(Buys!$T:$T,match(C83,Buys!$C:$C,0)),"Other")</f>
        <v>Value</v>
      </c>
      <c r="C83" s="270" t="s">
        <v>1279</v>
      </c>
      <c r="D83" s="271">
        <f t="shared" si="3"/>
        <v>0</v>
      </c>
      <c r="E83" s="272"/>
      <c r="F83" s="273">
        <f t="shared" si="4"/>
        <v>0</v>
      </c>
      <c r="G83" s="274"/>
      <c r="H83" s="275">
        <f>iferror(iferror(vlookup(C83,Buys!C:J,2,false),iferror(vlookup(C83,Sells!C:J,2,false),vlookup(C83,Macro!C:N,3,false))),0)/M83-1</f>
        <v>-0.1300565463</v>
      </c>
      <c r="I83" s="276">
        <f>iferror(iferror(vlookup(C83,Buys!C:J,7,false),iferror(vlookup(C83,Sells!C:J,7,false),vlookup(C83,Macro!C:N,7,false))),0)/M83-1</f>
        <v>0.02951250235</v>
      </c>
      <c r="J83" s="277">
        <f t="shared" si="5"/>
        <v>0</v>
      </c>
      <c r="K83" s="278"/>
      <c r="L83" s="228">
        <f>IFERROR(__xludf.DUMMYFUNCTION("iferror(googlefinance(""NASDAQ:""&amp;C83,""changepct"")/100,iferror(googlefinance(""NYSE:""&amp;C83,""changepct"")/100,iferror(googlefinance(C83,""changepct"")/100,"""")))"),0.0113)</f>
        <v>0.0113</v>
      </c>
      <c r="M83" s="279">
        <f>IFERROR(__xludf.DUMMYFUNCTION("iferror(googlefinance(""NASDAQ:""&amp;C83,""price""),iferror(googlefinance(""NYSE:""&amp;C83,""price""),iferror(googlefinance(C83,""price""),1)))"),459.8)</f>
        <v>459.8</v>
      </c>
      <c r="N83" s="280">
        <f t="shared" si="6"/>
        <v>0</v>
      </c>
      <c r="O83" s="281" t="str">
        <f t="array" ref="O83">iferror(index(Buys!$Q:$Q,match(C83,Buys!$C:$C,0)),index(Sells!$Q:$Q,match(C83,Sells!$C:$C,0)))</f>
        <v/>
      </c>
      <c r="P83" s="282">
        <f>IFERROR(__xludf.DUMMYFUNCTION("iferror(googlefinance(""NASDAQ:""&amp;C83,""beta""),iferror(googlefinance(""NYSE:""&amp;C83,""beta""),iferror(googlefinance(C83,""beta""),1)))"),1.54)</f>
        <v>1.54</v>
      </c>
      <c r="Q83" s="283">
        <f t="array" ref="Q83">iferror(index(Buys!$M:$M,match(C83,Buys!$C:$C,0)),index(Sells!$M:$M,match(C83,Sells!$C:$C,0)))</f>
        <v>0.1798884247</v>
      </c>
      <c r="R83" s="284">
        <f t="array" ref="R83">iferror(index(Buys!$S:$S,match(C83,Buys!$C:$C,0)),index(Sells!$S:$S,match(C83,Sells!$C:$C,0)))</f>
        <v>43501</v>
      </c>
    </row>
    <row r="84" ht="12.75" customHeight="1">
      <c r="A84" s="285" t="s">
        <v>1016</v>
      </c>
      <c r="B84" s="285" t="str">
        <f t="array" ref="B84">iferror(index(Buys!$T:$T,match(C84,Buys!$C:$C,0)),"Other")</f>
        <v>Value</v>
      </c>
      <c r="C84" s="270" t="s">
        <v>418</v>
      </c>
      <c r="D84" s="271">
        <f t="shared" si="3"/>
        <v>0</v>
      </c>
      <c r="E84" s="272"/>
      <c r="F84" s="273">
        <f t="shared" si="4"/>
        <v>0</v>
      </c>
      <c r="G84" s="274"/>
      <c r="H84" s="275">
        <f>iferror(iferror(vlookup(C84,Buys!C:J,2,false),iferror(vlookup(C84,Sells!C:J,2,false),vlookup(C84,Macro!C:N,3,false))),0)/M84-1</f>
        <v>-0.3739424704</v>
      </c>
      <c r="I84" s="276">
        <f>iferror(iferror(vlookup(C84,Buys!C:J,7,false),iferror(vlookup(C84,Sells!C:J,7,false),vlookup(C84,Macro!C:N,7,false))),0)/M84-1</f>
        <v>0.02533285354</v>
      </c>
      <c r="J84" s="277">
        <f t="shared" si="5"/>
        <v>0</v>
      </c>
      <c r="K84" s="278"/>
      <c r="L84" s="228">
        <f>IFERROR(__xludf.DUMMYFUNCTION("iferror(googlefinance(""NASDAQ:""&amp;C84,""changepct"")/100,iferror(googlefinance(""NYSE:""&amp;C84,""changepct"")/100,iferror(googlefinance(C84,""changepct"")/100,"""")))"),-2.0E-4)</f>
        <v>-0.0002</v>
      </c>
      <c r="M84" s="279">
        <f>IFERROR(__xludf.DUMMYFUNCTION("iferror(googlefinance(""NASDAQ:""&amp;C84,""price""),iferror(googlefinance(""NYSE:""&amp;C84,""price""),iferror(googlefinance(C84,""price""),1)))"),59.1)</f>
        <v>59.1</v>
      </c>
      <c r="N84" s="280">
        <f t="shared" si="6"/>
        <v>0</v>
      </c>
      <c r="O84" s="281" t="str">
        <f t="array" ref="O84">iferror(index(Buys!$Q:$Q,match(C84,Buys!$C:$C,0)),index(Sells!$Q:$Q,match(C84,Sells!$C:$C,0)))</f>
        <v/>
      </c>
      <c r="P84" s="282">
        <f>IFERROR(__xludf.DUMMYFUNCTION("iferror(googlefinance(""NASDAQ:""&amp;C84,""beta""),iferror(googlefinance(""NYSE:""&amp;C84,""beta""),iferror(googlefinance(C84,""beta""),1)))"),0.68)</f>
        <v>0.68</v>
      </c>
      <c r="Q84" s="283">
        <f t="array" ref="Q84">iferror(index(Buys!$M:$M,match(C84,Buys!$C:$C,0)),index(Sells!$M:$M,match(C84,Sells!$C:$C,0)))</f>
        <v>0.2648199316</v>
      </c>
      <c r="R84" s="284">
        <f t="array" ref="R84">iferror(index(Buys!$S:$S,match(C84,Buys!$C:$C,0)),index(Sells!$S:$S,match(C84,Sells!$C:$C,0)))</f>
        <v>43650</v>
      </c>
    </row>
    <row r="85" ht="12.75" customHeight="1">
      <c r="A85" s="285" t="s">
        <v>1016</v>
      </c>
      <c r="B85" s="78" t="str">
        <f t="array" ref="B85">iferror(index(Buys!$T:$T,match(C85,Buys!$C:$C,0)),"Other")</f>
        <v>Value</v>
      </c>
      <c r="C85" s="270" t="s">
        <v>1286</v>
      </c>
      <c r="D85" s="271">
        <f t="shared" si="3"/>
        <v>0</v>
      </c>
      <c r="E85" s="272"/>
      <c r="F85" s="273">
        <f t="shared" si="4"/>
        <v>0</v>
      </c>
      <c r="G85" s="274"/>
      <c r="H85" s="275">
        <f>iferror(iferror(vlookup(C85,Buys!C:J,2,false),iferror(vlookup(C85,Sells!C:J,2,false),vlookup(C85,Macro!C:N,3,false))),0)/M85-1</f>
        <v>-0.3224320173</v>
      </c>
      <c r="I85" s="276">
        <f>iferror(iferror(vlookup(C85,Buys!C:J,7,false),iferror(vlookup(C85,Sells!C:J,7,false),vlookup(C85,Macro!C:N,7,false))),0)/M85-1</f>
        <v>0.01626631963</v>
      </c>
      <c r="J85" s="277">
        <f t="shared" si="5"/>
        <v>0</v>
      </c>
      <c r="K85" s="278"/>
      <c r="L85" s="228">
        <f>IFERROR(__xludf.DUMMYFUNCTION("iferror(googlefinance(""NASDAQ:""&amp;C85,""changepct"")/100,iferror(googlefinance(""NYSE:""&amp;C85,""changepct"")/100,iferror(googlefinance(C85,""changepct"")/100,"""")))"),0.0023)</f>
        <v>0.0023</v>
      </c>
      <c r="M85" s="279">
        <f>IFERROR(__xludf.DUMMYFUNCTION("iferror(googlefinance(""NASDAQ:""&amp;C85,""price""),iferror(googlefinance(""NYSE:""&amp;C85,""price""),iferror(googlefinance(C85,""price""),1)))"),110.69)</f>
        <v>110.69</v>
      </c>
      <c r="N85" s="280">
        <f t="shared" si="6"/>
        <v>0</v>
      </c>
      <c r="O85" s="281" t="str">
        <f t="array" ref="O85">iferror(index(Buys!$Q:$Q,match(C85,Buys!$C:$C,0)),index(Sells!$Q:$Q,match(C85,Sells!$C:$C,0)))</f>
        <v/>
      </c>
      <c r="P85" s="282">
        <f>IFERROR(__xludf.DUMMYFUNCTION("iferror(googlefinance(""NASDAQ:""&amp;C85,""beta""),iferror(googlefinance(""NYSE:""&amp;C85,""beta""),iferror(googlefinance(C85,""beta""),1)))"),0.84)</f>
        <v>0.84</v>
      </c>
      <c r="Q85" s="283">
        <f t="array" ref="Q85">iferror(index(Buys!$M:$M,match(C85,Buys!$C:$C,0)),index(Sells!$M:$M,match(C85,Sells!$C:$C,0)))</f>
        <v>-0.7351800685</v>
      </c>
      <c r="R85" s="284">
        <f t="array" ref="R85">iferror(index(Buys!$S:$S,match(C85,Buys!$C:$C,0)),index(Sells!$S:$S,match(C85,Sells!$C:$C,0)))</f>
        <v>43477</v>
      </c>
    </row>
    <row r="86" ht="12.75" customHeight="1">
      <c r="A86" s="285" t="s">
        <v>1016</v>
      </c>
      <c r="B86" s="285" t="str">
        <f t="array" ref="B86">iferror(index(Buys!$T:$T,match(C86,Buys!$C:$C,0)),"Other")</f>
        <v>Value</v>
      </c>
      <c r="C86" s="270" t="s">
        <v>1290</v>
      </c>
      <c r="D86" s="271">
        <f t="shared" si="3"/>
        <v>0</v>
      </c>
      <c r="E86" s="272"/>
      <c r="F86" s="273">
        <f t="shared" si="4"/>
        <v>0</v>
      </c>
      <c r="G86" s="274"/>
      <c r="H86" s="275">
        <f>iferror(iferror(vlookup(C86,Buys!C:J,2,false),iferror(vlookup(C86,Sells!C:J,2,false),vlookup(C86,Macro!C:N,3,false))),0)/M86-1</f>
        <v>-0.1136323347</v>
      </c>
      <c r="I86" s="276">
        <f>iferror(iferror(vlookup(C86,Buys!C:J,7,false),iferror(vlookup(C86,Sells!C:J,7,false),vlookup(C86,Macro!C:N,7,false))),0)/M86-1</f>
        <v>0.009620031861</v>
      </c>
      <c r="J86" s="277">
        <f t="shared" si="5"/>
        <v>0</v>
      </c>
      <c r="K86" s="278"/>
      <c r="L86" s="228">
        <f>IFERROR(__xludf.DUMMYFUNCTION("iferror(googlefinance(""NASDAQ:""&amp;C86,""changepct"")/100,iferror(googlefinance(""NYSE:""&amp;C86,""changepct"")/100,iferror(googlefinance(C86,""changepct"")/100,"""")))"),0.0015)</f>
        <v>0.0015</v>
      </c>
      <c r="M86" s="279">
        <f>IFERROR(__xludf.DUMMYFUNCTION("iferror(googlefinance(""NASDAQ:""&amp;C86,""price""),iferror(googlefinance(""NYSE:""&amp;C86,""price""),iferror(googlefinance(C86,""price""),1)))"),112.82)</f>
        <v>112.82</v>
      </c>
      <c r="N86" s="280">
        <f t="shared" si="6"/>
        <v>0</v>
      </c>
      <c r="O86" s="281" t="str">
        <f t="array" ref="O86">iferror(index(Buys!$Q:$Q,match(C86,Buys!$C:$C,0)),index(Sells!$Q:$Q,match(C86,Sells!$C:$C,0)))</f>
        <v/>
      </c>
      <c r="P86" s="282">
        <f>IFERROR(__xludf.DUMMYFUNCTION("iferror(googlefinance(""NASDAQ:""&amp;C86,""beta""),iferror(googlefinance(""NYSE:""&amp;C86,""beta""),iferror(googlefinance(C86,""beta""),1)))"),0.7)</f>
        <v>0.7</v>
      </c>
      <c r="Q86" s="283">
        <f t="array" ref="Q86">iferror(index(Buys!$M:$M,match(C86,Buys!$C:$C,0)),index(Sells!$M:$M,match(C86,Sells!$C:$C,0)))</f>
        <v>-1.154358151</v>
      </c>
      <c r="R86" s="284">
        <f t="array" ref="R86">iferror(index(Buys!$S:$S,match(C86,Buys!$C:$C,0)),index(Sells!$S:$S,match(C86,Sells!$C:$C,0)))</f>
        <v>43471</v>
      </c>
    </row>
    <row r="87" ht="12.75" customHeight="1">
      <c r="A87" s="285" t="s">
        <v>1016</v>
      </c>
      <c r="B87" s="78" t="str">
        <f t="array" ref="B87">iferror(index(Buys!$T:$T,match(C87,Buys!$C:$C,0)),"Other")</f>
        <v>SGrowth</v>
      </c>
      <c r="C87" s="270" t="s">
        <v>1296</v>
      </c>
      <c r="D87" s="271">
        <f t="shared" si="3"/>
        <v>0</v>
      </c>
      <c r="E87" s="292"/>
      <c r="F87" s="273">
        <f t="shared" si="4"/>
        <v>0</v>
      </c>
      <c r="G87" s="274">
        <v>0.01</v>
      </c>
      <c r="H87" s="275">
        <f>iferror(iferror(vlookup(C87,Buys!C:J,2,false),iferror(vlookup(C87,Sells!C:J,2,false),vlookup(C87,Macro!C:N,3,false))),0)/M87-1</f>
        <v>-0.2128279883</v>
      </c>
      <c r="I87" s="276">
        <f>iferror(iferror(vlookup(C87,Buys!C:J,7,false),iferror(vlookup(C87,Sells!C:J,7,false),vlookup(C87,Macro!C:N,7,false))),0)/M87-1</f>
        <v>-0.01884655318</v>
      </c>
      <c r="J87" s="277">
        <f t="shared" si="5"/>
        <v>0</v>
      </c>
      <c r="K87" s="278"/>
      <c r="L87" s="228">
        <f>IFERROR(__xludf.DUMMYFUNCTION("iferror(googlefinance(""NASDAQ:""&amp;C87,""changepct"")/100,iferror(googlefinance(""NYSE:""&amp;C87,""changepct"")/100,iferror(googlefinance(C87,""changepct"")/100,"""")))"),0.0554)</f>
        <v>0.0554</v>
      </c>
      <c r="M87" s="279">
        <f>IFERROR(__xludf.DUMMYFUNCTION("iferror(googlefinance(""NASDAQ:""&amp;C87,""price""),iferror(googlefinance(""NYSE:""&amp;C87,""price""),iferror(googlefinance(C87,""price""),1)))"),34.3)</f>
        <v>34.3</v>
      </c>
      <c r="N87" s="280">
        <f t="shared" si="6"/>
        <v>0</v>
      </c>
      <c r="O87" s="281">
        <f t="array" ref="O87">iferror(index(Buys!$Q:$Q,match(C87,Buys!$C:$C,0)),index(Sells!$Q:$Q,match(C87,Sells!$C:$C,0)))</f>
        <v>158.3294594</v>
      </c>
      <c r="P87" s="282">
        <f>IFERROR(__xludf.DUMMYFUNCTION("iferror(googlefinance(""NASDAQ:""&amp;C87,""beta""),iferror(googlefinance(""NYSE:""&amp;C87,""beta""),iferror(googlefinance(C87,""beta""),1)))"),1.0)</f>
        <v>1</v>
      </c>
      <c r="Q87" s="283">
        <f t="array" ref="Q87">iferror(index(Buys!$M:$M,match(C87,Buys!$C:$C,0)),index(Sells!$M:$M,match(C87,Sells!$C:$C,0)))</f>
        <v>0.1798884246</v>
      </c>
      <c r="R87" s="284">
        <f t="array" ref="R87">iferror(index(Buys!$S:$S,match(C87,Buys!$C:$C,0)),index(Sells!$S:$S,match(C87,Sells!$C:$C,0)))</f>
        <v>43762</v>
      </c>
    </row>
    <row r="88" ht="12.75" customHeight="1">
      <c r="A88" s="269" t="s">
        <v>1016</v>
      </c>
      <c r="B88" s="285" t="str">
        <f t="array" ref="B88">iferror(index(Buys!$T:$T,match(C88,Buys!$C:$C,0)),"Other")</f>
        <v>Value</v>
      </c>
      <c r="C88" s="270" t="s">
        <v>1304</v>
      </c>
      <c r="D88" s="271">
        <f t="shared" si="3"/>
        <v>0</v>
      </c>
      <c r="E88" s="272"/>
      <c r="F88" s="273">
        <f t="shared" si="4"/>
        <v>0</v>
      </c>
      <c r="G88" s="274"/>
      <c r="H88" s="275">
        <f>iferror(iferror(vlookup(C88,Buys!C:J,2,false),iferror(vlookup(C88,Sells!C:J,2,false),vlookup(C88,Macro!C:N,3,false))),0)/M88-1</f>
        <v>-1</v>
      </c>
      <c r="I88" s="276">
        <f>iferror(iferror(vlookup(C88,Buys!C:J,7,false),iferror(vlookup(C88,Sells!C:J,7,false),vlookup(C88,Macro!C:N,7,false))),0)/M88-1</f>
        <v>-0.03254269581</v>
      </c>
      <c r="J88" s="277">
        <f t="shared" si="5"/>
        <v>0</v>
      </c>
      <c r="K88" s="278"/>
      <c r="L88" s="228">
        <f>IFERROR(__xludf.DUMMYFUNCTION("iferror(googlefinance(""NASDAQ:""&amp;C88,""changepct"")/100,iferror(googlefinance(""NYSE:""&amp;C88,""changepct"")/100,iferror(googlefinance(C88,""changepct"")/100,"""")))"),-0.0209)</f>
        <v>-0.0209</v>
      </c>
      <c r="M88" s="279">
        <f>IFERROR(__xludf.DUMMYFUNCTION("iferror(googlefinance(""NASDAQ:""&amp;C88,""price""),iferror(googlefinance(""NYSE:""&amp;C88,""price""),iferror(googlefinance(C88,""price""),1)))"),143.31)</f>
        <v>143.31</v>
      </c>
      <c r="N88" s="280">
        <f t="shared" si="6"/>
        <v>0</v>
      </c>
      <c r="O88" s="281">
        <f t="array" ref="O88">iferror(index(Buys!$Q:$Q,match(C88,Buys!$C:$C,0)),index(Sells!$Q:$Q,match(C88,Sells!$C:$C,0)))</f>
        <v>22.86594358</v>
      </c>
      <c r="P88" s="282">
        <f>IFERROR(__xludf.DUMMYFUNCTION("iferror(googlefinance(""NASDAQ:""&amp;C88,""beta""),iferror(googlefinance(""NYSE:""&amp;C88,""beta""),iferror(googlefinance(C88,""beta""),1)))"),0.07)</f>
        <v>0.07</v>
      </c>
      <c r="Q88" s="283">
        <f t="array" ref="Q88">iferror(index(Buys!$M:$M,match(C88,Buys!$C:$C,0)),index(Sells!$M:$M,match(C88,Sells!$C:$C,0)))</f>
        <v>0.1798884245</v>
      </c>
      <c r="R88" s="284">
        <f t="array" ref="R88">iferror(index(Buys!$S:$S,match(C88,Buys!$C:$C,0)),index(Sells!$S:$S,match(C88,Sells!$C:$C,0)))</f>
        <v>43680</v>
      </c>
    </row>
    <row r="89" ht="12.75" customHeight="1">
      <c r="A89" s="269" t="s">
        <v>1016</v>
      </c>
      <c r="B89" s="78" t="str">
        <f t="array" ref="B89">iferror(index(Buys!$T:$T,match(C89,Buys!$C:$C,0)),"Other")</f>
        <v>Value</v>
      </c>
      <c r="C89" s="270" t="s">
        <v>1271</v>
      </c>
      <c r="D89" s="271">
        <f t="shared" si="3"/>
        <v>0</v>
      </c>
      <c r="E89" s="272"/>
      <c r="F89" s="273">
        <f t="shared" si="4"/>
        <v>0</v>
      </c>
      <c r="G89" s="274">
        <v>0.01</v>
      </c>
      <c r="H89" s="275">
        <f>iferror(iferror(vlookup(C89,Buys!C:J,2,false),iferror(vlookup(C89,Sells!C:J,2,false),vlookup(C89,Macro!C:N,3,false))),0)/M89-1</f>
        <v>-0.1806412848</v>
      </c>
      <c r="I89" s="276">
        <f>iferror(iferror(vlookup(C89,Buys!C:J,7,false),iferror(vlookup(C89,Sells!C:J,7,false),vlookup(C89,Macro!C:N,7,false))),0)/M89-1</f>
        <v>-0.03299785491</v>
      </c>
      <c r="J89" s="277">
        <f t="shared" si="5"/>
        <v>0</v>
      </c>
      <c r="K89" s="278"/>
      <c r="L89" s="299">
        <f>IFERROR(__xludf.DUMMYFUNCTION("iferror(googlefinance(""NASDAQ:""&amp;C89,""changepct"")/100,iferror(googlefinance(""NYSE:""&amp;C89,""changepct"")/100,iferror(googlefinance(C89,""changepct"")/100,"""")))"),-0.0104)</f>
        <v>-0.0104</v>
      </c>
      <c r="M89" s="300">
        <f>IFERROR(__xludf.DUMMYFUNCTION("iferror(googlefinance(""NASDAQ:""&amp;C89,""price""),iferror(googlefinance(""NYSE:""&amp;C89,""price""),iferror(googlefinance(C89,""price""),1)))"),183.07)</f>
        <v>183.07</v>
      </c>
      <c r="N89" s="280">
        <f t="shared" si="6"/>
        <v>0</v>
      </c>
      <c r="O89" s="281">
        <f t="array" ref="O89">iferror(index(Buys!$Q:$Q,match(C89,Buys!$C:$C,0)),index(Sells!$Q:$Q,match(C89,Sells!$C:$C,0)))</f>
        <v>21.87738349</v>
      </c>
      <c r="P89" s="282">
        <f>IFERROR(__xludf.DUMMYFUNCTION("iferror(googlefinance(""NASDAQ:""&amp;C89,""beta""),iferror(googlefinance(""NYSE:""&amp;C89,""beta""),iferror(googlefinance(C89,""beta""),1)))"),1.04)</f>
        <v>1.04</v>
      </c>
      <c r="Q89" s="283">
        <f t="array" ref="Q89">iferror(index(Buys!$M:$M,match(C89,Buys!$C:$C,0)),index(Sells!$M:$M,match(C89,Sells!$C:$C,0)))</f>
        <v>-0.1543581509</v>
      </c>
      <c r="R89" s="284">
        <f t="array" ref="R89">iferror(index(Buys!$S:$S,match(C89,Buys!$C:$C,0)),index(Sells!$S:$S,match(C89,Sells!$C:$C,0)))</f>
        <v>43702</v>
      </c>
    </row>
    <row r="90" ht="12.75" customHeight="1">
      <c r="A90" s="285" t="s">
        <v>1016</v>
      </c>
      <c r="B90" s="285" t="str">
        <f t="array" ref="B90">iferror(index(Buys!$T:$T,match(C90,Buys!$C:$C,0)),"Other")</f>
        <v>Value</v>
      </c>
      <c r="C90" s="270" t="s">
        <v>1319</v>
      </c>
      <c r="D90" s="271">
        <f t="shared" si="3"/>
        <v>0</v>
      </c>
      <c r="E90" s="272"/>
      <c r="F90" s="273">
        <f t="shared" si="4"/>
        <v>0</v>
      </c>
      <c r="G90" s="274"/>
      <c r="H90" s="275">
        <f>iferror(iferror(vlookup(C90,Buys!C:J,2,false),iferror(vlookup(C90,Sells!C:J,2,false),vlookup(C90,Macro!C:N,3,false))),0)/M90-1</f>
        <v>-1</v>
      </c>
      <c r="I90" s="276">
        <f>iferror(iferror(vlookup(C90,Buys!C:J,7,false),iferror(vlookup(C90,Sells!C:J,7,false),vlookup(C90,Macro!C:N,7,false))),0)/M90-1</f>
        <v>-0.04329946937</v>
      </c>
      <c r="J90" s="277">
        <f t="shared" si="5"/>
        <v>0</v>
      </c>
      <c r="K90" s="278"/>
      <c r="L90" s="228">
        <f>IFERROR(__xludf.DUMMYFUNCTION("iferror(googlefinance(""NASDAQ:""&amp;C90,""changepct"")/100,iferror(googlefinance(""NYSE:""&amp;C90,""changepct"")/100,iferror(googlefinance(C90,""changepct"")/100,"""")))"),0.012)</f>
        <v>0.012</v>
      </c>
      <c r="M90" s="279">
        <f>IFERROR(__xludf.DUMMYFUNCTION("iferror(googlefinance(""NASDAQ:""&amp;C90,""price""),iferror(googlefinance(""NYSE:""&amp;C90,""price""),iferror(googlefinance(C90,""price""),1)))"),73.65)</f>
        <v>73.65</v>
      </c>
      <c r="N90" s="280">
        <f t="shared" si="6"/>
        <v>0</v>
      </c>
      <c r="O90" s="281" t="str">
        <f t="array" ref="O90">iferror(index(Buys!$Q:$Q,match(C90,Buys!$C:$C,0)),index(Sells!$Q:$Q,match(C90,Sells!$C:$C,0)))</f>
        <v/>
      </c>
      <c r="P90" s="282">
        <f>IFERROR(__xludf.DUMMYFUNCTION("iferror(googlefinance(""NASDAQ:""&amp;C90,""beta""),iferror(googlefinance(""NYSE:""&amp;C90,""beta""),iferror(googlefinance(C90,""beta""),1)))"),0.79)</f>
        <v>0.79</v>
      </c>
      <c r="Q90" s="283">
        <f t="array" ref="Q90">iferror(index(Buys!$M:$M,match(C90,Buys!$C:$C,0)),index(Sells!$M:$M,match(C90,Sells!$C:$C,0)))</f>
        <v>0.01276513667</v>
      </c>
      <c r="R90" s="284">
        <f t="array" ref="R90">iferror(index(Buys!$S:$S,match(C90,Buys!$C:$C,0)),index(Sells!$S:$S,match(C90,Sells!$C:$C,0)))</f>
        <v>43502</v>
      </c>
    </row>
    <row r="91" ht="12.75" customHeight="1">
      <c r="A91" s="269" t="s">
        <v>1016</v>
      </c>
      <c r="B91" s="285" t="str">
        <f t="array" ref="B91">iferror(index(Buys!$T:$T,match(C91,Buys!$C:$C,0)),"Other")</f>
        <v>LGrowth</v>
      </c>
      <c r="C91" s="270" t="s">
        <v>1330</v>
      </c>
      <c r="D91" s="271">
        <f t="shared" si="3"/>
        <v>0</v>
      </c>
      <c r="E91" s="272"/>
      <c r="F91" s="273">
        <f t="shared" si="4"/>
        <v>0</v>
      </c>
      <c r="G91" s="274"/>
      <c r="H91" s="275">
        <f>iferror(iferror(vlookup(C91,Buys!C:J,2,false),iferror(vlookup(C91,Sells!C:J,2,false),vlookup(C91,Macro!C:N,3,false))),0)/M91-1</f>
        <v>-1</v>
      </c>
      <c r="I91" s="276">
        <f>iferror(iferror(vlookup(C91,Buys!C:J,7,false),iferror(vlookup(C91,Sells!C:J,7,false),vlookup(C91,Macro!C:N,7,false))),0)/M91-1</f>
        <v>-0.04439804134</v>
      </c>
      <c r="J91" s="277">
        <f t="shared" si="5"/>
        <v>0</v>
      </c>
      <c r="K91" s="278"/>
      <c r="L91" s="228">
        <f>IFERROR(__xludf.DUMMYFUNCTION("iferror(googlefinance(""NASDAQ:""&amp;C91,""changepct"")/100,iferror(googlefinance(""NYSE:""&amp;C91,""changepct"")/100,iferror(googlefinance(C91,""changepct"")/100,"""")))"),0.0034000000000000002)</f>
        <v>0.0034</v>
      </c>
      <c r="M91" s="279">
        <f>IFERROR(__xludf.DUMMYFUNCTION("iferror(googlefinance(""NASDAQ:""&amp;C91,""price""),iferror(googlefinance(""NYSE:""&amp;C91,""price""),iferror(googlefinance(C91,""price""),1)))"),254.07)</f>
        <v>254.07</v>
      </c>
      <c r="N91" s="280">
        <f t="shared" si="6"/>
        <v>0</v>
      </c>
      <c r="O91" s="281" t="str">
        <f t="array" ref="O91">iferror(index(Buys!$Q:$Q,match(C91,Buys!$C:$C,0)),index(Sells!$Q:$Q,match(C91,Sells!$C:$C,0)))</f>
        <v/>
      </c>
      <c r="P91" s="282">
        <f>IFERROR(__xludf.DUMMYFUNCTION("iferror(googlefinance(""NASDAQ:""&amp;C91,""beta""),iferror(googlefinance(""NYSE:""&amp;C91,""beta""),iferror(googlefinance(C91,""beta""),1)))"),0.96)</f>
        <v>0.96</v>
      </c>
      <c r="Q91" s="283">
        <f t="array" ref="Q91">iferror(index(Buys!$M:$M,match(C91,Buys!$C:$C,0)),index(Sells!$M:$M,match(C91,Sells!$C:$C,0)))</f>
        <v>-0.154358151</v>
      </c>
      <c r="R91" s="284">
        <f t="array" ref="R91">iferror(index(Buys!$S:$S,match(C91,Buys!$C:$C,0)),index(Sells!$S:$S,match(C91,Sells!$C:$C,0)))</f>
        <v>43546</v>
      </c>
    </row>
    <row r="92" ht="12.75" customHeight="1">
      <c r="A92" s="269" t="s">
        <v>1016</v>
      </c>
      <c r="B92" s="78" t="str">
        <f t="array" ref="B92">iferror(index(Buys!$T:$T,match(C92,Buys!$C:$C,0)),"Other")</f>
        <v>Value</v>
      </c>
      <c r="C92" s="270" t="s">
        <v>1338</v>
      </c>
      <c r="D92" s="271">
        <f t="shared" si="3"/>
        <v>0</v>
      </c>
      <c r="E92" s="272"/>
      <c r="F92" s="273">
        <f t="shared" si="4"/>
        <v>0</v>
      </c>
      <c r="G92" s="274"/>
      <c r="H92" s="275">
        <f>iferror(iferror(vlookup(C92,Buys!C:J,2,false),iferror(vlookup(C92,Sells!C:J,2,false),vlookup(C92,Macro!C:N,3,false))),0)/M92-1</f>
        <v>-0.3740474635</v>
      </c>
      <c r="I92" s="276">
        <f>iferror(iferror(vlookup(C92,Buys!C:J,7,false),iferror(vlookup(C92,Sells!C:J,7,false),vlookup(C92,Macro!C:N,7,false))),0)/M92-1</f>
        <v>-0.05280375527</v>
      </c>
      <c r="J92" s="277">
        <f t="shared" si="5"/>
        <v>0</v>
      </c>
      <c r="K92" s="278"/>
      <c r="L92" s="228">
        <f>IFERROR(__xludf.DUMMYFUNCTION("iferror(googlefinance(""NASDAQ:""&amp;C92,""changepct"")/100,iferror(googlefinance(""NYSE:""&amp;C92,""changepct"")/100,iferror(googlefinance(C92,""changepct"")/100,"""")))"),-0.009399999999999999)</f>
        <v>-0.0094</v>
      </c>
      <c r="M92" s="279">
        <f>IFERROR(__xludf.DUMMYFUNCTION("iferror(googlefinance(""NASDAQ:""&amp;C92,""price""),iferror(googlefinance(""NYSE:""&amp;C92,""price""),iferror(googlefinance(C92,""price""),1)))"),183.72)</f>
        <v>183.72</v>
      </c>
      <c r="N92" s="280">
        <f t="shared" si="6"/>
        <v>0</v>
      </c>
      <c r="O92" s="281" t="str">
        <f t="array" ref="O92">iferror(index(Buys!$Q:$Q,match(C92,Buys!$C:$C,0)),index(Sells!$Q:$Q,match(C92,Sells!$C:$C,0)))</f>
        <v/>
      </c>
      <c r="P92" s="282">
        <f>IFERROR(__xludf.DUMMYFUNCTION("iferror(googlefinance(""NASDAQ:""&amp;C92,""beta""),iferror(googlefinance(""NYSE:""&amp;C92,""beta""),iferror(googlefinance(C92,""beta""),1)))"),0.31)</f>
        <v>0.31</v>
      </c>
      <c r="Q92" s="283">
        <f t="array" ref="Q92">iferror(index(Buys!$M:$M,match(C92,Buys!$C:$C,0)),index(Sells!$M:$M,match(C92,Sells!$C:$C,0)))</f>
        <v>-0.8201115757</v>
      </c>
      <c r="R92" s="284">
        <f t="array" ref="R92">iferror(index(Buys!$S:$S,match(C92,Buys!$C:$C,0)),index(Sells!$S:$S,match(C92,Sells!$C:$C,0)))</f>
        <v>43421</v>
      </c>
    </row>
    <row r="93" ht="12.75" customHeight="1">
      <c r="A93" s="269" t="s">
        <v>1016</v>
      </c>
      <c r="B93" s="78" t="str">
        <f t="array" ref="B93">iferror(index(Buys!$T:$T,match(C93,Buys!$C:$C,0)),"Other")</f>
        <v>Value</v>
      </c>
      <c r="C93" s="270" t="s">
        <v>1349</v>
      </c>
      <c r="D93" s="271">
        <f t="shared" si="3"/>
        <v>0</v>
      </c>
      <c r="E93" s="292"/>
      <c r="F93" s="273">
        <f t="shared" si="4"/>
        <v>0</v>
      </c>
      <c r="G93" s="274"/>
      <c r="H93" s="275">
        <f>iferror(iferror(vlookup(C93,Buys!C:J,2,false),iferror(vlookup(C93,Sells!C:J,2,false),vlookup(C93,Macro!C:N,3,false))),0)/M93-1</f>
        <v>-1</v>
      </c>
      <c r="I93" s="276">
        <f>iferror(iferror(vlookup(C93,Buys!C:J,7,false),iferror(vlookup(C93,Sells!C:J,7,false),vlookup(C93,Macro!C:N,7,false))),0)/M93-1</f>
        <v>-0.0547705088</v>
      </c>
      <c r="J93" s="277">
        <f t="shared" si="5"/>
        <v>0</v>
      </c>
      <c r="K93" s="278"/>
      <c r="L93" s="228">
        <f>IFERROR(__xludf.DUMMYFUNCTION("iferror(googlefinance(""NASDAQ:""&amp;C93,""changepct"")/100,iferror(googlefinance(""NYSE:""&amp;C93,""changepct"")/100,iferror(googlefinance(C93,""changepct"")/100,"""")))"),0.0014000000000000002)</f>
        <v>0.0014</v>
      </c>
      <c r="M93" s="279">
        <f>IFERROR(__xludf.DUMMYFUNCTION("iferror(googlefinance(""NASDAQ:""&amp;C93,""price""),iferror(googlefinance(""NYSE:""&amp;C93,""price""),iferror(googlefinance(C93,""price""),1)))"),105.44)</f>
        <v>105.44</v>
      </c>
      <c r="N93" s="280">
        <f t="shared" si="6"/>
        <v>0</v>
      </c>
      <c r="O93" s="281" t="str">
        <f t="array" ref="O93">iferror(index(Buys!$Q:$Q,match(C93,Buys!$C:$C,0)),index(Sells!$Q:$Q,match(C93,Sells!$C:$C,0)))</f>
        <v/>
      </c>
      <c r="P93" s="282">
        <f>IFERROR(__xludf.DUMMYFUNCTION("iferror(googlefinance(""NASDAQ:""&amp;C93,""beta""),iferror(googlefinance(""NYSE:""&amp;C93,""beta""),iferror(googlefinance(C93,""beta""),1)))"),0.64)</f>
        <v>0.64</v>
      </c>
      <c r="Q93" s="283">
        <f t="array" ref="Q93">iferror(index(Buys!$M:$M,match(C93,Buys!$C:$C,0)),index(Sells!$M:$M,match(C93,Sells!$C:$C,0)))</f>
        <v>-0.4968239045</v>
      </c>
      <c r="R93" s="284">
        <f t="array" ref="R93">iferror(index(Buys!$S:$S,match(C93,Buys!$C:$C,0)),index(Sells!$S:$S,match(C93,Sells!$C:$C,0)))</f>
        <v>43502</v>
      </c>
    </row>
    <row r="94" ht="12.75" customHeight="1">
      <c r="A94" s="285" t="s">
        <v>1016</v>
      </c>
      <c r="B94" s="78" t="str">
        <f t="array" ref="B94">iferror(index(Buys!$T:$T,match(C94,Buys!$C:$C,0)),"Other")</f>
        <v>Value</v>
      </c>
      <c r="C94" s="270" t="s">
        <v>1358</v>
      </c>
      <c r="D94" s="271">
        <f t="shared" si="3"/>
        <v>0</v>
      </c>
      <c r="E94" s="272"/>
      <c r="F94" s="273">
        <f t="shared" si="4"/>
        <v>0</v>
      </c>
      <c r="G94" s="274"/>
      <c r="H94" s="275">
        <f>iferror(iferror(vlookup(C94,Buys!C:J,2,false),iferror(vlookup(C94,Sells!C:J,2,false),vlookup(C94,Macro!C:N,3,false))),0)/M94-1</f>
        <v>-0.5786706215</v>
      </c>
      <c r="I94" s="276">
        <f>iferror(iferror(vlookup(C94,Buys!C:J,7,false),iferror(vlookup(C94,Sells!C:J,7,false),vlookup(C94,Macro!C:N,7,false))),0)/M94-1</f>
        <v>-0.07520413452</v>
      </c>
      <c r="J94" s="277">
        <f t="shared" si="5"/>
        <v>0</v>
      </c>
      <c r="K94" s="278"/>
      <c r="L94" s="299">
        <f>IFERROR(__xludf.DUMMYFUNCTION("iferror(googlefinance(""NASDAQ:""&amp;C94,""changepct"")/100,iferror(googlefinance(""NYSE:""&amp;C94,""changepct"")/100,iferror(googlefinance(C94,""changepct"")/100,"""")))"),0.011000000000000001)</f>
        <v>0.011</v>
      </c>
      <c r="M94" s="300">
        <f>IFERROR(__xludf.DUMMYFUNCTION("iferror(googlefinance(""NASDAQ:""&amp;C94,""price""),iferror(googlefinance(""NYSE:""&amp;C94,""price""),iferror(googlefinance(C94,""price""),1)))"),296.68)</f>
        <v>296.68</v>
      </c>
      <c r="N94" s="280">
        <f t="shared" si="6"/>
        <v>0</v>
      </c>
      <c r="O94" s="281" t="str">
        <f t="array" ref="O94">iferror(index(Buys!$Q:$Q,match(C94,Buys!$C:$C,0)),index(Sells!$Q:$Q,match(C94,Sells!$C:$C,0)))</f>
        <v/>
      </c>
      <c r="P94" s="282">
        <f>IFERROR(__xludf.DUMMYFUNCTION("iferror(googlefinance(""NASDAQ:""&amp;C94,""beta""),iferror(googlefinance(""NYSE:""&amp;C94,""beta""),iferror(googlefinance(C94,""beta""),1)))"),1.13)</f>
        <v>1.13</v>
      </c>
      <c r="Q94" s="283">
        <f t="array" ref="Q94">iferror(index(Buys!$M:$M,match(C94,Buys!$C:$C,0)),index(Sells!$M:$M,match(C94,Sells!$C:$C,0)))</f>
        <v>0.1798884242</v>
      </c>
      <c r="R94" s="284">
        <f t="array" ref="R94">iferror(index(Buys!$S:$S,match(C94,Buys!$C:$C,0)),index(Sells!$S:$S,match(C94,Sells!$C:$C,0)))</f>
        <v>43502</v>
      </c>
    </row>
    <row r="95" ht="12.75" customHeight="1">
      <c r="A95" s="269" t="s">
        <v>1016</v>
      </c>
      <c r="B95" s="78" t="str">
        <f t="array" ref="B95">iferror(index(Buys!$T:$T,match(C95,Buys!$C:$C,0)),"Other")</f>
        <v>Value</v>
      </c>
      <c r="C95" s="270" t="s">
        <v>1362</v>
      </c>
      <c r="D95" s="271">
        <f t="shared" si="3"/>
        <v>0</v>
      </c>
      <c r="E95" s="272"/>
      <c r="F95" s="273">
        <f t="shared" si="4"/>
        <v>0</v>
      </c>
      <c r="G95" s="274"/>
      <c r="H95" s="275">
        <f>iferror(iferror(vlookup(C95,Buys!C:J,2,false),iferror(vlookup(C95,Sells!C:J,2,false),vlookup(C95,Macro!C:N,3,false))),0)/M95-1</f>
        <v>-0.1720331187</v>
      </c>
      <c r="I95" s="276">
        <f>iferror(iferror(vlookup(C95,Buys!C:J,7,false),iferror(vlookup(C95,Sells!C:J,7,false),vlookup(C95,Macro!C:N,7,false))),0)/M95-1</f>
        <v>-0.0760782922</v>
      </c>
      <c r="J95" s="277">
        <f t="shared" si="5"/>
        <v>0</v>
      </c>
      <c r="K95" s="278"/>
      <c r="L95" s="228">
        <f>IFERROR(__xludf.DUMMYFUNCTION("iferror(googlefinance(""NASDAQ:""&amp;C95,""changepct"")/100,iferror(googlefinance(""NYSE:""&amp;C95,""changepct"")/100,iferror(googlefinance(C95,""changepct"")/100,"""")))"),0.030899999999999997)</f>
        <v>0.0309</v>
      </c>
      <c r="M95" s="279">
        <f>IFERROR(__xludf.DUMMYFUNCTION("iferror(googlefinance(""NASDAQ:""&amp;C95,""price""),iferror(googlefinance(""NYSE:""&amp;C95,""price""),iferror(googlefinance(C95,""price""),1)))"),271.75)</f>
        <v>271.75</v>
      </c>
      <c r="N95" s="280">
        <f t="shared" si="6"/>
        <v>0</v>
      </c>
      <c r="O95" s="281">
        <f t="array" ref="O95">iferror(index(Buys!$Q:$Q,match(C95,Buys!$C:$C,0)),index(Sells!$Q:$Q,match(C95,Sells!$C:$C,0)))</f>
        <v>23.60765588</v>
      </c>
      <c r="P95" s="282">
        <f>IFERROR(__xludf.DUMMYFUNCTION("iferror(googlefinance(""NASDAQ:""&amp;C95,""beta""),iferror(googlefinance(""NYSE:""&amp;C95,""beta""),iferror(googlefinance(C95,""beta""),1)))"),0.5)</f>
        <v>0.5</v>
      </c>
      <c r="Q95" s="283">
        <f t="array" ref="Q95">iferror(index(Buys!$M:$M,match(C95,Buys!$C:$C,0)),index(Sells!$M:$M,match(C95,Sells!$C:$C,0)))</f>
        <v>0.1798884242</v>
      </c>
      <c r="R95" s="284">
        <f t="array" ref="R95">iferror(index(Buys!$S:$S,match(C95,Buys!$C:$C,0)),index(Sells!$S:$S,match(C95,Sells!$C:$C,0)))</f>
        <v>43663</v>
      </c>
    </row>
    <row r="96" ht="12.75" customHeight="1">
      <c r="A96" s="285" t="s">
        <v>1016</v>
      </c>
      <c r="B96" s="78" t="str">
        <f t="array" ref="B96">iferror(index(Buys!$T:$T,match(C96,Buys!$C:$C,0)),"Other")</f>
        <v>Value</v>
      </c>
      <c r="C96" s="270" t="s">
        <v>1363</v>
      </c>
      <c r="D96" s="271">
        <f t="shared" si="3"/>
        <v>0</v>
      </c>
      <c r="E96" s="272"/>
      <c r="F96" s="273">
        <f t="shared" si="4"/>
        <v>0</v>
      </c>
      <c r="G96" s="274"/>
      <c r="H96" s="275">
        <f>iferror(iferror(vlookup(C96,Buys!C:J,2,false),iferror(vlookup(C96,Sells!C:J,2,false),vlookup(C96,Macro!C:N,3,false))),0)/M96-1</f>
        <v>-0.2077017371</v>
      </c>
      <c r="I96" s="276">
        <f>iferror(iferror(vlookup(C96,Buys!C:J,7,false),iferror(vlookup(C96,Sells!C:J,7,false),vlookup(C96,Macro!C:N,7,false))),0)/M96-1</f>
        <v>-0.07782678443</v>
      </c>
      <c r="J96" s="277">
        <f t="shared" si="5"/>
        <v>0</v>
      </c>
      <c r="K96" s="278"/>
      <c r="L96" s="228">
        <f>IFERROR(__xludf.DUMMYFUNCTION("iferror(googlefinance(""NASDAQ:""&amp;C96,""changepct"")/100,iferror(googlefinance(""NYSE:""&amp;C96,""changepct"")/100,iferror(googlefinance(C96,""changepct"")/100,"""")))"),0.0064)</f>
        <v>0.0064</v>
      </c>
      <c r="M96" s="279">
        <f>IFERROR(__xludf.DUMMYFUNCTION("iferror(googlefinance(""NASDAQ:""&amp;C96,""price""),iferror(googlefinance(""NYSE:""&amp;C96,""price""),iferror(googlefinance(C96,""price""),1)))"),334.47)</f>
        <v>334.47</v>
      </c>
      <c r="N96" s="280">
        <f t="shared" si="6"/>
        <v>0</v>
      </c>
      <c r="O96" s="281" t="str">
        <f t="array" ref="O96">iferror(index(Buys!$Q:$Q,match(C96,Buys!$C:$C,0)),index(Sells!$Q:$Q,match(C96,Sells!$C:$C,0)))</f>
        <v/>
      </c>
      <c r="P96" s="282">
        <f>IFERROR(__xludf.DUMMYFUNCTION("iferror(googlefinance(""NASDAQ:""&amp;C96,""beta""),iferror(googlefinance(""NYSE:""&amp;C96,""beta""),iferror(googlefinance(C96,""beta""),1)))"),1.14)</f>
        <v>1.14</v>
      </c>
      <c r="Q96" s="283">
        <f t="array" ref="Q96">iferror(index(Buys!$M:$M,match(C96,Buys!$C:$C,0)),index(Sells!$M:$M,match(C96,Sells!$C:$C,0)))</f>
        <v>-0.8201115759</v>
      </c>
      <c r="R96" s="284">
        <f t="array" ref="R96">iferror(index(Buys!$S:$S,match(C96,Buys!$C:$C,0)),index(Sells!$S:$S,match(C96,Sells!$C:$C,0)))</f>
        <v>43413</v>
      </c>
    </row>
    <row r="97" ht="12.75" customHeight="1">
      <c r="A97" s="285" t="s">
        <v>1016</v>
      </c>
      <c r="B97" s="78" t="str">
        <f t="array" ref="B97">iferror(index(Buys!$T:$T,match(C97,Buys!$C:$C,0)),"Other")</f>
        <v>Value</v>
      </c>
      <c r="C97" s="270" t="s">
        <v>1366</v>
      </c>
      <c r="D97" s="271">
        <f t="shared" si="3"/>
        <v>0</v>
      </c>
      <c r="E97" s="323"/>
      <c r="F97" s="273">
        <f t="shared" si="4"/>
        <v>0</v>
      </c>
      <c r="G97" s="274"/>
      <c r="H97" s="275">
        <f>iferror(iferror(vlookup(C97,Buys!C:J,2,false),iferror(vlookup(C97,Sells!C:J,2,false),vlookup(C97,Macro!C:N,3,false))),0)/M97-1</f>
        <v>-1</v>
      </c>
      <c r="I97" s="276">
        <f>iferror(iferror(vlookup(C97,Buys!C:J,7,false),iferror(vlookup(C97,Sells!C:J,7,false),vlookup(C97,Macro!C:N,7,false))),0)/M97-1</f>
        <v>-0.08026801713</v>
      </c>
      <c r="J97" s="277">
        <f t="shared" si="5"/>
        <v>0</v>
      </c>
      <c r="K97" s="278"/>
      <c r="L97" s="228">
        <f>IFERROR(__xludf.DUMMYFUNCTION("iferror(googlefinance(""NASDAQ:""&amp;C97,""changepct"")/100,iferror(googlefinance(""NYSE:""&amp;C97,""changepct"")/100,iferror(googlefinance(C97,""changepct"")/100,"""")))"),-0.008199999999999999)</f>
        <v>-0.0082</v>
      </c>
      <c r="M97" s="279">
        <f>IFERROR(__xludf.DUMMYFUNCTION("iferror(googlefinance(""NASDAQ:""&amp;C97,""price""),iferror(googlefinance(""NYSE:""&amp;C97,""price""),iferror(googlefinance(C97,""price""),1)))"),523.45)</f>
        <v>523.45</v>
      </c>
      <c r="N97" s="280">
        <f t="shared" si="6"/>
        <v>0</v>
      </c>
      <c r="O97" s="281" t="str">
        <f t="array" ref="O97">iferror(index(Buys!$Q:$Q,match(C97,Buys!$C:$C,0)),index(Sells!$Q:$Q,match(C97,Sells!$C:$C,0)))</f>
        <v/>
      </c>
      <c r="P97" s="282">
        <f>IFERROR(__xludf.DUMMYFUNCTION("iferror(googlefinance(""NASDAQ:""&amp;C97,""beta""),iferror(googlefinance(""NYSE:""&amp;C97,""beta""),iferror(googlefinance(C97,""beta""),1)))"),0.95)</f>
        <v>0.95</v>
      </c>
      <c r="Q97" s="283">
        <f t="array" ref="Q97">iferror(index(Buys!$M:$M,match(C97,Buys!$C:$C,0)),index(Sells!$M:$M,match(C97,Sells!$C:$C,0)))</f>
        <v>-0.07216637043</v>
      </c>
      <c r="R97" s="284">
        <f t="array" ref="R97">iferror(index(Buys!$S:$S,match(C97,Buys!$C:$C,0)),index(Sells!$S:$S,match(C97,Sells!$C:$C,0)))</f>
        <v>43621</v>
      </c>
    </row>
    <row r="98" ht="12.75" customHeight="1">
      <c r="A98" s="289" t="s">
        <v>1016</v>
      </c>
      <c r="B98" s="419" t="str">
        <f t="array" ref="B98">iferror(index(Buys!$T:$T,match(C98,Buys!$C:$C,0)),"Other")</f>
        <v>Value</v>
      </c>
      <c r="C98" s="291" t="s">
        <v>1368</v>
      </c>
      <c r="D98" s="293">
        <f t="shared" si="3"/>
        <v>0</v>
      </c>
      <c r="E98" s="420"/>
      <c r="F98" s="421">
        <f t="shared" si="4"/>
        <v>0</v>
      </c>
      <c r="G98" s="294"/>
      <c r="H98" s="298">
        <f>iferror(iferror(vlookup(C98,Buys!C:J,2,false),iferror(vlookup(C98,Sells!C:J,2,false),vlookup(C98,Macro!C:N,3,false))),0)/M98-1</f>
        <v>-1</v>
      </c>
      <c r="I98" s="295">
        <f>iferror(iferror(vlookup(C98,Buys!C:J,7,false),iferror(vlookup(C98,Sells!C:J,7,false),vlookup(C98,Macro!C:N,7,false))),0)/M98-1</f>
        <v>-0.08434034173</v>
      </c>
      <c r="J98" s="296">
        <f t="shared" si="5"/>
        <v>0</v>
      </c>
      <c r="K98" s="278"/>
      <c r="L98" s="228">
        <f>IFERROR(__xludf.DUMMYFUNCTION("iferror(googlefinance(""NASDAQ:""&amp;C98,""changepct"")/100,iferror(googlefinance(""NYSE:""&amp;C98,""changepct"")/100,iferror(googlefinance(C98,""changepct"")/100,"""")))"),-0.0024)</f>
        <v>-0.0024</v>
      </c>
      <c r="M98" s="279">
        <f>IFERROR(__xludf.DUMMYFUNCTION("iferror(googlefinance(""NASDAQ:""&amp;C98,""price""),iferror(googlefinance(""NYSE:""&amp;C98,""price""),iferror(googlefinance(C98,""price""),1)))"),54.19)</f>
        <v>54.19</v>
      </c>
      <c r="N98" s="280">
        <f t="shared" si="6"/>
        <v>0</v>
      </c>
      <c r="O98" s="281" t="str">
        <f t="array" ref="O98">iferror(index(Buys!$Q:$Q,match(C98,Buys!$C:$C,0)),index(Sells!$Q:$Q,match(C98,Sells!$C:$C,0)))</f>
        <v/>
      </c>
      <c r="P98" s="282">
        <f>IFERROR(__xludf.DUMMYFUNCTION("iferror(googlefinance(""NASDAQ:""&amp;C98,""beta""),iferror(googlefinance(""NYSE:""&amp;C98,""beta""),iferror(googlefinance(C98,""beta""),1)))"),0.58)</f>
        <v>0.58</v>
      </c>
      <c r="Q98" s="283">
        <f t="array" ref="Q98">iferror(index(Buys!$M:$M,match(C98,Buys!$C:$C,0)),index(Sells!$M:$M,match(C98,Sells!$C:$C,0)))</f>
        <v>0.1798884241</v>
      </c>
      <c r="R98" s="284">
        <f t="array" ref="R98">iferror(index(Buys!$S:$S,match(C98,Buys!$C:$C,0)),index(Sells!$S:$S,match(C98,Sells!$C:$C,0)))</f>
        <v>43501</v>
      </c>
    </row>
    <row r="99" ht="12.75" customHeight="1">
      <c r="A99" s="285" t="s">
        <v>1016</v>
      </c>
      <c r="B99" s="285" t="str">
        <f t="array" ref="B99">iferror(index(Buys!$T:$T,match(C99,Buys!$C:$C,0)),"Other")</f>
        <v>Value</v>
      </c>
      <c r="C99" s="270" t="s">
        <v>1377</v>
      </c>
      <c r="D99" s="271">
        <f t="shared" si="3"/>
        <v>0</v>
      </c>
      <c r="E99" s="292"/>
      <c r="F99" s="273">
        <f t="shared" si="4"/>
        <v>0</v>
      </c>
      <c r="G99" s="274"/>
      <c r="H99" s="275">
        <f>iferror(iferror(vlookup(C99,Buys!C:J,2,false),iferror(vlookup(C99,Sells!C:J,2,false),vlookup(C99,Macro!C:N,3,false))),0)/M99-1</f>
        <v>-0.5254559013</v>
      </c>
      <c r="I99" s="276">
        <f>iferror(iferror(vlookup(C99,Buys!C:J,7,false),iferror(vlookup(C99,Sells!C:J,7,false),vlookup(C99,Macro!C:N,7,false))),0)/M99-1</f>
        <v>-0.08508364901</v>
      </c>
      <c r="J99" s="277">
        <f t="shared" si="5"/>
        <v>0</v>
      </c>
      <c r="K99" s="278"/>
      <c r="L99" s="228">
        <f>IFERROR(__xludf.DUMMYFUNCTION("iferror(googlefinance(""NASDAQ:""&amp;C99,""changepct"")/100,iferror(googlefinance(""NYSE:""&amp;C99,""changepct"")/100,iferror(googlefinance(C99,""changepct"")/100,"""")))"),0.0161)</f>
        <v>0.0161</v>
      </c>
      <c r="M99" s="279">
        <f>IFERROR(__xludf.DUMMYFUNCTION("iferror(googlefinance(""NASDAQ:""&amp;C99,""price""),iferror(googlefinance(""NYSE:""&amp;C99,""price""),iferror(googlefinance(C99,""price""),1)))"),147.51)</f>
        <v>147.51</v>
      </c>
      <c r="N99" s="280">
        <f t="shared" si="6"/>
        <v>0</v>
      </c>
      <c r="O99" s="281" t="str">
        <f t="array" ref="O99">iferror(index(Buys!$Q:$Q,match(C99,Buys!$C:$C,0)),index(Sells!$Q:$Q,match(C99,Sells!$C:$C,0)))</f>
        <v/>
      </c>
      <c r="P99" s="282">
        <f>IFERROR(__xludf.DUMMYFUNCTION("iferror(googlefinance(""NASDAQ:""&amp;C99,""beta""),iferror(googlefinance(""NYSE:""&amp;C99,""beta""),iferror(googlefinance(C99,""beta""),1)))"),0.89)</f>
        <v>0.89</v>
      </c>
      <c r="Q99" s="283">
        <f t="array" ref="Q99">iferror(index(Buys!$M:$M,match(C99,Buys!$C:$C,0)),index(Sells!$M:$M,match(C99,Sells!$C:$C,0)))</f>
        <v>-0.8201115759</v>
      </c>
      <c r="R99" s="284">
        <f t="array" ref="R99">iferror(index(Buys!$S:$S,match(C99,Buys!$C:$C,0)),index(Sells!$S:$S,match(C99,Sells!$C:$C,0)))</f>
        <v>43510</v>
      </c>
    </row>
    <row r="100" ht="12.75" customHeight="1">
      <c r="A100" s="285" t="s">
        <v>1016</v>
      </c>
      <c r="B100" s="78" t="str">
        <f t="array" ref="B100">iferror(index(Buys!$T:$T,match(C100,Buys!$C:$C,0)),"Other")</f>
        <v>SGrowth</v>
      </c>
      <c r="C100" s="270" t="s">
        <v>1387</v>
      </c>
      <c r="D100" s="271">
        <f t="shared" si="3"/>
        <v>0</v>
      </c>
      <c r="E100" s="292"/>
      <c r="F100" s="273">
        <f t="shared" si="4"/>
        <v>0</v>
      </c>
      <c r="G100" s="274"/>
      <c r="H100" s="275">
        <f>iferror(iferror(vlookup(C100,Buys!C:J,2,false),iferror(vlookup(C100,Sells!C:J,2,false),vlookup(C100,Macro!C:N,3,false))),0)/M100-1</f>
        <v>-1</v>
      </c>
      <c r="I100" s="276">
        <f>iferror(iferror(vlookup(C100,Buys!C:J,7,false),iferror(vlookup(C100,Sells!C:J,7,false),vlookup(C100,Macro!C:N,7,false))),0)/M100-1</f>
        <v>-0.1344530955</v>
      </c>
      <c r="J100" s="277">
        <f t="shared" si="5"/>
        <v>0</v>
      </c>
      <c r="K100" s="278"/>
      <c r="L100" s="228">
        <f>IFERROR(__xludf.DUMMYFUNCTION("iferror(googlefinance(""NASDAQ:""&amp;C100,""changepct"")/100,iferror(googlefinance(""NYSE:""&amp;C100,""changepct"")/100,iferror(googlefinance(C100,""changepct"")/100,"""")))"),0.0159)</f>
        <v>0.0159</v>
      </c>
      <c r="M100" s="279">
        <f>IFERROR(__xludf.DUMMYFUNCTION("iferror(googlefinance(""NASDAQ:""&amp;C100,""price""),iferror(googlefinance(""NYSE:""&amp;C100,""price""),iferror(googlefinance(C100,""price""),1)))"),58.67)</f>
        <v>58.67</v>
      </c>
      <c r="N100" s="280">
        <f t="shared" si="6"/>
        <v>0</v>
      </c>
      <c r="O100" s="281" t="str">
        <f t="array" ref="O100">iferror(index(Buys!$Q:$Q,match(C100,Buys!$C:$C,0)),index(Sells!$Q:$Q,match(C100,Sells!$C:$C,0)))</f>
        <v/>
      </c>
      <c r="P100" s="282">
        <f>IFERROR(__xludf.DUMMYFUNCTION("iferror(googlefinance(""NASDAQ:""&amp;C100,""beta""),iferror(googlefinance(""NYSE:""&amp;C100,""beta""),iferror(googlefinance(C100,""beta""),1)))"),1.01)</f>
        <v>1.01</v>
      </c>
      <c r="Q100" s="283">
        <f t="array" ref="Q100">iferror(index(Buys!$M:$M,match(C100,Buys!$C:$C,0)),index(Sells!$M:$M,match(C100,Sells!$C:$C,0)))</f>
        <v>0.179888424</v>
      </c>
      <c r="R100" s="284">
        <f t="array" ref="R100">iferror(index(Buys!$S:$S,match(C100,Buys!$C:$C,0)),index(Sells!$S:$S,match(C100,Sells!$C:$C,0)))</f>
        <v>43582</v>
      </c>
    </row>
    <row r="101" ht="12.75" customHeight="1">
      <c r="A101" s="285" t="s">
        <v>1016</v>
      </c>
      <c r="B101" s="78" t="str">
        <f t="array" ref="B101">iferror(index(Buys!$T:$T,match(C101,Buys!$C:$C,0)),"Other")</f>
        <v>Value</v>
      </c>
      <c r="C101" s="270" t="s">
        <v>1402</v>
      </c>
      <c r="D101" s="271">
        <f t="shared" si="3"/>
        <v>0</v>
      </c>
      <c r="E101" s="292"/>
      <c r="F101" s="273">
        <f t="shared" si="4"/>
        <v>0</v>
      </c>
      <c r="G101" s="274"/>
      <c r="H101" s="275">
        <f>iferror(iferror(vlookup(C101,Buys!C:J,2,false),iferror(vlookup(C101,Sells!C:J,2,false),vlookup(C101,Macro!C:N,3,false))),0)/M101-1</f>
        <v>-0.3376021197</v>
      </c>
      <c r="I101" s="276">
        <f>iferror(iferror(vlookup(C101,Buys!C:J,7,false),iferror(vlookup(C101,Sells!C:J,7,false),vlookup(C101,Macro!C:N,7,false))),0)/M101-1</f>
        <v>-0.1465580638</v>
      </c>
      <c r="J101" s="277">
        <f t="shared" si="5"/>
        <v>0</v>
      </c>
      <c r="K101" s="278"/>
      <c r="L101" s="228">
        <f>IFERROR(__xludf.DUMMYFUNCTION("iferror(googlefinance(""NASDAQ:""&amp;C101,""changepct"")/100,iferror(googlefinance(""NYSE:""&amp;C101,""changepct"")/100,iferror(googlefinance(C101,""changepct"")/100,"""")))"),-0.0042)</f>
        <v>-0.0042</v>
      </c>
      <c r="M101" s="279">
        <f>IFERROR(__xludf.DUMMYFUNCTION("iferror(googlefinance(""NASDAQ:""&amp;C101,""price""),iferror(googlefinance(""NYSE:""&amp;C101,""price""),iferror(googlefinance(C101,""price""),1)))"),135.87)</f>
        <v>135.87</v>
      </c>
      <c r="N101" s="280">
        <f t="shared" si="6"/>
        <v>0</v>
      </c>
      <c r="O101" s="281">
        <f t="array" ref="O101">iferror(index(Buys!$Q:$Q,match(C101,Buys!$C:$C,0)),index(Sells!$Q:$Q,match(C101,Sells!$C:$C,0)))</f>
        <v>21.22089931</v>
      </c>
      <c r="P101" s="282">
        <f>IFERROR(__xludf.DUMMYFUNCTION("iferror(googlefinance(""NASDAQ:""&amp;C101,""beta""),iferror(googlefinance(""NYSE:""&amp;C101,""beta""),iferror(googlefinance(C101,""beta""),1)))"),0.94)</f>
        <v>0.94</v>
      </c>
      <c r="Q101" s="283">
        <f t="array" ref="Q101">iferror(index(Buys!$M:$M,match(C101,Buys!$C:$C,0)),index(Sells!$M:$M,match(C101,Sells!$C:$C,0)))</f>
        <v>0.179888424</v>
      </c>
      <c r="R101" s="284">
        <f t="array" ref="R101">iferror(index(Buys!$S:$S,match(C101,Buys!$C:$C,0)),index(Sells!$S:$S,match(C101,Sells!$C:$C,0)))</f>
        <v>43703</v>
      </c>
    </row>
    <row r="102" ht="12.75" customHeight="1">
      <c r="A102" s="285" t="s">
        <v>1016</v>
      </c>
      <c r="B102" s="285" t="str">
        <f t="array" ref="B102">iferror(index(Buys!$T:$T,match(C102,Buys!$C:$C,0)),"Other")</f>
        <v>Value</v>
      </c>
      <c r="C102" s="270" t="s">
        <v>1408</v>
      </c>
      <c r="D102" s="271">
        <f t="shared" si="3"/>
        <v>0</v>
      </c>
      <c r="E102" s="272"/>
      <c r="F102" s="273">
        <f t="shared" si="4"/>
        <v>0</v>
      </c>
      <c r="G102" s="274"/>
      <c r="H102" s="275">
        <f>iferror(iferror(vlookup(C102,Buys!C:J,2,false),iferror(vlookup(C102,Sells!C:J,2,false),vlookup(C102,Macro!C:N,3,false))),0)/M102-1</f>
        <v>0.001468820937</v>
      </c>
      <c r="I102" s="276">
        <f>iferror(iferror(vlookup(C102,Buys!C:J,7,false),iferror(vlookup(C102,Sells!C:J,7,false),vlookup(C102,Macro!C:N,7,false))),0)/M102-1</f>
        <v>-0.2180101779</v>
      </c>
      <c r="J102" s="277">
        <f t="shared" si="5"/>
        <v>0</v>
      </c>
      <c r="K102" s="278"/>
      <c r="L102" s="228">
        <f>IFERROR(__xludf.DUMMYFUNCTION("iferror(googlefinance(""NASDAQ:""&amp;C102,""changepct"")/100,iferror(googlefinance(""NYSE:""&amp;C102,""changepct"")/100,iferror(googlefinance(C102,""changepct"")/100,"""")))"),-0.011399999999999999)</f>
        <v>-0.0114</v>
      </c>
      <c r="M102" s="279">
        <f>IFERROR(__xludf.DUMMYFUNCTION("iferror(googlefinance(""NASDAQ:""&amp;C102,""price""),iferror(googlefinance(""NYSE:""&amp;C102,""price""),iferror(googlefinance(C102,""price""),1)))"),74.89)</f>
        <v>74.89</v>
      </c>
      <c r="N102" s="280">
        <f t="shared" si="6"/>
        <v>0</v>
      </c>
      <c r="O102" s="281">
        <f t="array" ref="O102">iferror(index(Buys!$Q:$Q,match(C102,Buys!$C:$C,0)),index(Sells!$Q:$Q,match(C102,Sells!$C:$C,0)))</f>
        <v>21.9978598</v>
      </c>
      <c r="P102" s="282">
        <f>IFERROR(__xludf.DUMMYFUNCTION("iferror(googlefinance(""NASDAQ:""&amp;C102,""beta""),iferror(googlefinance(""NYSE:""&amp;C102,""beta""),iferror(googlefinance(C102,""beta""),1)))"),0.13)</f>
        <v>0.13</v>
      </c>
      <c r="Q102" s="283">
        <f t="array" ref="Q102">iferror(index(Buys!$M:$M,match(C102,Buys!$C:$C,0)),index(Sells!$M:$M,match(C102,Sells!$C:$C,0)))</f>
        <v>0.1798884239</v>
      </c>
      <c r="R102" s="284">
        <f t="array" ref="R102">iferror(index(Buys!$S:$S,match(C102,Buys!$C:$C,0)),index(Sells!$S:$S,match(C102,Sells!$C:$C,0)))</f>
        <v>43726</v>
      </c>
    </row>
    <row r="103" ht="12.75" customHeight="1">
      <c r="A103" s="289" t="s">
        <v>1016</v>
      </c>
      <c r="B103" s="419" t="str">
        <f t="array" ref="B103">iferror(index(Buys!$T:$T,match(C103,Buys!$C:$C,0)),"Other")</f>
        <v>Value</v>
      </c>
      <c r="C103" s="291" t="s">
        <v>1411</v>
      </c>
      <c r="D103" s="293">
        <f t="shared" si="3"/>
        <v>0</v>
      </c>
      <c r="E103" s="297"/>
      <c r="F103" s="421">
        <f t="shared" si="4"/>
        <v>0</v>
      </c>
      <c r="G103" s="294"/>
      <c r="H103" s="298">
        <f>iferror(iferror(vlookup(C103,Buys!C:J,2,false),iferror(vlookup(C103,Sells!C:J,2,false),vlookup(C103,Macro!C:N,3,false))),0)/M103-1</f>
        <v>-0.2748368383</v>
      </c>
      <c r="I103" s="295">
        <f>iferror(iferror(vlookup(C103,Buys!C:J,7,false),iferror(vlookup(C103,Sells!C:J,7,false),vlookup(C103,Macro!C:N,7,false))),0)/M103-1</f>
        <v>-0.2198856029</v>
      </c>
      <c r="J103" s="296">
        <f t="shared" si="5"/>
        <v>0</v>
      </c>
      <c r="K103" s="278"/>
      <c r="L103" s="228">
        <f>IFERROR(__xludf.DUMMYFUNCTION("iferror(googlefinance(""NASDAQ:""&amp;C103,""changepct"")/100,iferror(googlefinance(""NYSE:""&amp;C103,""changepct"")/100,iferror(googlefinance(C103,""changepct"")/100,"""")))"),0.0015)</f>
        <v>0.0015</v>
      </c>
      <c r="M103" s="279">
        <f>IFERROR(__xludf.DUMMYFUNCTION("iferror(googlefinance(""NASDAQ:""&amp;C103,""price""),iferror(googlefinance(""NYSE:""&amp;C103,""price""),iferror(googlefinance(C103,""price""),1)))"),137.9)</f>
        <v>137.9</v>
      </c>
      <c r="N103" s="280">
        <f t="shared" si="6"/>
        <v>0</v>
      </c>
      <c r="O103" s="281" t="str">
        <f t="array" ref="O103">iferror(index(Buys!$Q:$Q,match(C103,Buys!$C:$C,0)),index(Sells!$Q:$Q,match(C103,Sells!$C:$C,0)))</f>
        <v/>
      </c>
      <c r="P103" s="282">
        <f>IFERROR(__xludf.DUMMYFUNCTION("iferror(googlefinance(""NASDAQ:""&amp;C103,""beta""),iferror(googlefinance(""NYSE:""&amp;C103,""beta""),iferror(googlefinance(C103,""beta""),1)))"),1.22)</f>
        <v>1.22</v>
      </c>
      <c r="Q103" s="283">
        <f t="array" ref="Q103">iferror(index(Buys!$M:$M,match(C103,Buys!$C:$C,0)),index(Sells!$M:$M,match(C103,Sells!$C:$C,0)))</f>
        <v>-0.8201115762</v>
      </c>
      <c r="R103" s="284">
        <f t="array" ref="R103">iferror(index(Buys!$S:$S,match(C103,Buys!$C:$C,0)),index(Sells!$S:$S,match(C103,Sells!$C:$C,0)))</f>
        <v>43437</v>
      </c>
    </row>
    <row r="104" ht="12.75" customHeight="1">
      <c r="A104" s="285" t="s">
        <v>1016</v>
      </c>
      <c r="B104" s="285" t="str">
        <f t="array" ref="B104">iferror(index(Buys!$T:$T,match(C104,Buys!$C:$C,0)),"Other")</f>
        <v>LGrowth</v>
      </c>
      <c r="C104" s="270" t="s">
        <v>1414</v>
      </c>
      <c r="D104" s="271">
        <f t="shared" si="3"/>
        <v>0</v>
      </c>
      <c r="E104" s="272"/>
      <c r="F104" s="273">
        <f t="shared" si="4"/>
        <v>0</v>
      </c>
      <c r="G104" s="274"/>
      <c r="H104" s="275">
        <f>iferror(iferror(vlookup(C104,Buys!C:J,2,false),iferror(vlookup(C104,Sells!C:J,2,false),vlookup(C104,Macro!C:N,3,false))),0)/M104-1</f>
        <v>-0.5110980737</v>
      </c>
      <c r="I104" s="276">
        <f>iferror(iferror(vlookup(C104,Buys!C:J,7,false),iferror(vlookup(C104,Sells!C:J,7,false),vlookup(C104,Macro!C:N,7,false))),0)/M104-1</f>
        <v>-0.2267349293</v>
      </c>
      <c r="J104" s="277">
        <f t="shared" si="5"/>
        <v>0</v>
      </c>
      <c r="K104" s="278"/>
      <c r="L104" s="228">
        <f>IFERROR(__xludf.DUMMYFUNCTION("iferror(googlefinance(""NASDAQ:""&amp;C104,""changepct"")/100,iferror(googlefinance(""NYSE:""&amp;C104,""changepct"")/100,iferror(googlefinance(C104,""changepct"")/100,"""")))"),0.039)</f>
        <v>0.039</v>
      </c>
      <c r="M104" s="279">
        <f>IFERROR(__xludf.DUMMYFUNCTION("iferror(googlefinance(""NASDAQ:""&amp;C104,""price""),iferror(googlefinance(""NYSE:""&amp;C104,""price""),iferror(googlefinance(C104,""price""),1)))"),204.54)</f>
        <v>204.54</v>
      </c>
      <c r="N104" s="280">
        <f t="shared" si="6"/>
        <v>0</v>
      </c>
      <c r="O104" s="281" t="str">
        <f t="array" ref="O104">iferror(index(Buys!$Q:$Q,match(C104,Buys!$C:$C,0)),index(Sells!$Q:$Q,match(C104,Sells!$C:$C,0)))</f>
        <v/>
      </c>
      <c r="P104" s="282">
        <f>IFERROR(__xludf.DUMMYFUNCTION("iferror(googlefinance(""NASDAQ:""&amp;C104,""beta""),iferror(googlefinance(""NYSE:""&amp;C104,""beta""),iferror(googlefinance(C104,""beta""),1)))"),2.04)</f>
        <v>2.04</v>
      </c>
      <c r="Q104" s="283">
        <f t="array" ref="Q104">iferror(index(Buys!$M:$M,match(C104,Buys!$C:$C,0)),index(Sells!$M:$M,match(C104,Sells!$C:$C,0)))</f>
        <v>0.2648199306</v>
      </c>
      <c r="R104" s="284">
        <f t="array" ref="R104">iferror(index(Buys!$S:$S,match(C104,Buys!$C:$C,0)),index(Sells!$S:$S,match(C104,Sells!$C:$C,0)))</f>
        <v>43423</v>
      </c>
    </row>
    <row r="105" ht="12.75" customHeight="1">
      <c r="A105" s="285" t="s">
        <v>1016</v>
      </c>
      <c r="B105" s="285" t="str">
        <f t="array" ref="B105">iferror(index(Buys!$T:$T,match(C105,Buys!$C:$C,0)),"Other")</f>
        <v>Value</v>
      </c>
      <c r="C105" s="270" t="s">
        <v>1416</v>
      </c>
      <c r="D105" s="271">
        <f t="shared" si="3"/>
        <v>0</v>
      </c>
      <c r="E105" s="272"/>
      <c r="F105" s="273">
        <f t="shared" si="4"/>
        <v>0</v>
      </c>
      <c r="G105" s="274"/>
      <c r="H105" s="275">
        <f>iferror(iferror(vlookup(C105,Buys!C:J,2,false),iferror(vlookup(C105,Sells!C:J,2,false),vlookup(C105,Macro!C:N,3,false))),0)/M105-1</f>
        <v>-0.5270567532</v>
      </c>
      <c r="I105" s="276">
        <f>iferror(iferror(vlookup(C105,Buys!C:J,7,false),iferror(vlookup(C105,Sells!C:J,7,false),vlookup(C105,Macro!C:N,7,false))),0)/M105-1</f>
        <v>-0.2277681591</v>
      </c>
      <c r="J105" s="277">
        <f t="shared" si="5"/>
        <v>0</v>
      </c>
      <c r="K105" s="278"/>
      <c r="L105" s="228">
        <f>IFERROR(__xludf.DUMMYFUNCTION("iferror(googlefinance(""NASDAQ:""&amp;C105,""changepct"")/100,iferror(googlefinance(""NYSE:""&amp;C105,""changepct"")/100,iferror(googlefinance(C105,""changepct"")/100,"""")))"),-0.0063)</f>
        <v>-0.0063</v>
      </c>
      <c r="M105" s="279">
        <f>IFERROR(__xludf.DUMMYFUNCTION("iferror(googlefinance(""NASDAQ:""&amp;C105,""price""),iferror(googlefinance(""NYSE:""&amp;C105,""price""),iferror(googlefinance(C105,""price""),1)))"),90.92)</f>
        <v>90.92</v>
      </c>
      <c r="N105" s="280">
        <f t="shared" si="6"/>
        <v>0</v>
      </c>
      <c r="O105" s="281">
        <f t="array" ref="O105">iferror(index(Buys!$Q:$Q,match(C105,Buys!$C:$C,0)),index(Sells!$Q:$Q,match(C105,Sells!$C:$C,0)))</f>
        <v>22.17883812</v>
      </c>
      <c r="P105" s="282">
        <f>IFERROR(__xludf.DUMMYFUNCTION("iferror(googlefinance(""NASDAQ:""&amp;C105,""beta""),iferror(googlefinance(""NYSE:""&amp;C105,""beta""),iferror(googlefinance(C105,""beta""),1)))"),0.85)</f>
        <v>0.85</v>
      </c>
      <c r="Q105" s="283">
        <f t="array" ref="Q105">iferror(index(Buys!$M:$M,match(C105,Buys!$C:$C,0)),index(Sells!$M:$M,match(C105,Sells!$C:$C,0)))</f>
        <v>0.5963267799</v>
      </c>
      <c r="R105" s="284">
        <f t="array" ref="R105">iferror(index(Buys!$S:$S,match(C105,Buys!$C:$C,0)),index(Sells!$S:$S,match(C105,Sells!$C:$C,0)))</f>
        <v>43734</v>
      </c>
    </row>
    <row r="106" ht="12.75" customHeight="1">
      <c r="A106" s="285" t="s">
        <v>1016</v>
      </c>
      <c r="B106" s="285" t="str">
        <f t="array" ref="B106">iferror(index(Buys!$T:$T,match(C106,Buys!$C:$C,0)),"Other")</f>
        <v>LGrowth</v>
      </c>
      <c r="C106" s="270" t="s">
        <v>409</v>
      </c>
      <c r="D106" s="271">
        <f t="shared" si="3"/>
        <v>0</v>
      </c>
      <c r="E106" s="272"/>
      <c r="F106" s="273">
        <f t="shared" si="4"/>
        <v>0</v>
      </c>
      <c r="G106" s="274"/>
      <c r="H106" s="275">
        <f>iferror(iferror(vlookup(C106,Buys!C:J,2,false),iferror(vlookup(C106,Sells!C:J,2,false),vlookup(C106,Macro!C:N,3,false))),0)/M106-1</f>
        <v>-1</v>
      </c>
      <c r="I106" s="276">
        <f>iferror(iferror(vlookup(C106,Buys!C:J,7,false),iferror(vlookup(C106,Sells!C:J,7,false),vlookup(C106,Macro!C:N,7,false))),0)/M106-1</f>
        <v>-0.2350921477</v>
      </c>
      <c r="J106" s="277">
        <f t="shared" si="5"/>
        <v>0</v>
      </c>
      <c r="K106" s="278"/>
      <c r="L106" s="299">
        <f>IFERROR(__xludf.DUMMYFUNCTION("iferror(googlefinance(""NASDAQ:""&amp;C106,""changepct"")/100,iferror(googlefinance(""NYSE:""&amp;C106,""changepct"")/100,iferror(googlefinance(C106,""changepct"")/100,"""")))"),0.016)</f>
        <v>0.016</v>
      </c>
      <c r="M106" s="300">
        <f>IFERROR(__xludf.DUMMYFUNCTION("iferror(googlefinance(""NASDAQ:""&amp;C106,""price""),iferror(googlefinance(""NYSE:""&amp;C106,""price""),iferror(googlefinance(C106,""price""),1)))"),150.49)</f>
        <v>150.49</v>
      </c>
      <c r="N106" s="280">
        <f t="shared" si="6"/>
        <v>0</v>
      </c>
      <c r="O106" s="281" t="str">
        <f t="array" ref="O106">iferror(index(Buys!$Q:$Q,match(C106,Buys!$C:$C,0)),index(Sells!$Q:$Q,match(C106,Sells!$C:$C,0)))</f>
        <v/>
      </c>
      <c r="P106" s="282">
        <f>IFERROR(__xludf.DUMMYFUNCTION("iferror(googlefinance(""NASDAQ:""&amp;C106,""beta""),iferror(googlefinance(""NYSE:""&amp;C106,""beta""),iferror(googlefinance(C106,""beta""),1)))"),1.23)</f>
        <v>1.23</v>
      </c>
      <c r="Q106" s="283">
        <f t="array" ref="Q106">iferror(index(Buys!$M:$M,match(C106,Buys!$C:$C,0)),index(Sells!$M:$M,match(C106,Sells!$C:$C,0)))</f>
        <v>-0.7351800695</v>
      </c>
      <c r="R106" s="284">
        <f t="array" ref="R106">iferror(index(Buys!$S:$S,match(C106,Buys!$C:$C,0)),index(Sells!$S:$S,match(C106,Sells!$C:$C,0)))</f>
        <v>43384</v>
      </c>
    </row>
    <row r="107" ht="12.75" customHeight="1">
      <c r="A107" s="285" t="s">
        <v>1016</v>
      </c>
      <c r="B107" s="78" t="str">
        <f t="array" ref="B107">iferror(index(Buys!$T:$T,match(C107,Buys!$C:$C,0)),"Other")</f>
        <v>Value</v>
      </c>
      <c r="C107" s="270" t="s">
        <v>1431</v>
      </c>
      <c r="D107" s="271">
        <f t="shared" si="3"/>
        <v>0</v>
      </c>
      <c r="E107" s="272"/>
      <c r="F107" s="273">
        <f t="shared" si="4"/>
        <v>0</v>
      </c>
      <c r="G107" s="274"/>
      <c r="H107" s="275">
        <f>iferror(iferror(vlookup(C107,Buys!C:J,2,false),iferror(vlookup(C107,Sells!C:J,2,false),vlookup(C107,Macro!C:N,3,false))),0)/M107-1</f>
        <v>-0.1407089151</v>
      </c>
      <c r="I107" s="276">
        <f>iferror(iferror(vlookup(C107,Buys!C:J,7,false),iferror(vlookup(C107,Sells!C:J,7,false),vlookup(C107,Macro!C:N,7,false))),0)/M107-1</f>
        <v>-0.2392746572</v>
      </c>
      <c r="J107" s="277">
        <f t="shared" si="5"/>
        <v>0</v>
      </c>
      <c r="K107" s="278"/>
      <c r="L107" s="228">
        <f>IFERROR(__xludf.DUMMYFUNCTION("iferror(googlefinance(""NASDAQ:""&amp;C107,""changepct"")/100,iferror(googlefinance(""NYSE:""&amp;C107,""changepct"")/100,iferror(googlefinance(C107,""changepct"")/100,"""")))"),0.044199999999999996)</f>
        <v>0.0442</v>
      </c>
      <c r="M107" s="279">
        <f>IFERROR(__xludf.DUMMYFUNCTION("iferror(googlefinance(""NASDAQ:""&amp;C107,""price""),iferror(googlefinance(""NYSE:""&amp;C107,""price""),iferror(googlefinance(C107,""price""),1)))"),46.55)</f>
        <v>46.55</v>
      </c>
      <c r="N107" s="280">
        <f t="shared" si="6"/>
        <v>0</v>
      </c>
      <c r="O107" s="281">
        <f t="array" ref="O107">iferror(index(Buys!$Q:$Q,match(C107,Buys!$C:$C,0)),index(Sells!$Q:$Q,match(C107,Sells!$C:$C,0)))</f>
        <v>17.70588235</v>
      </c>
      <c r="P107" s="282">
        <f>IFERROR(__xludf.DUMMYFUNCTION("iferror(googlefinance(""NASDAQ:""&amp;C107,""beta""),iferror(googlefinance(""NYSE:""&amp;C107,""beta""),iferror(googlefinance(C107,""beta""),1)))"),2.13)</f>
        <v>2.13</v>
      </c>
      <c r="Q107" s="283">
        <f t="array" ref="Q107">iferror(index(Buys!$M:$M,match(C107,Buys!$C:$C,0)),index(Sells!$M:$M,match(C107,Sells!$C:$C,0)))</f>
        <v>0.1798884236</v>
      </c>
      <c r="R107" s="284">
        <f t="array" ref="R107">iferror(index(Buys!$S:$S,match(C107,Buys!$C:$C,0)),index(Sells!$S:$S,match(C107,Sells!$C:$C,0)))</f>
        <v>43713</v>
      </c>
    </row>
    <row r="108" ht="12.75" customHeight="1">
      <c r="A108" s="269" t="s">
        <v>1016</v>
      </c>
      <c r="B108" s="78" t="str">
        <f t="array" ref="B108">iferror(index(Buys!$T:$T,match(C108,Buys!$C:$C,0)),"Other")</f>
        <v>LGrowth</v>
      </c>
      <c r="C108" s="270" t="s">
        <v>1439</v>
      </c>
      <c r="D108" s="271">
        <f t="shared" si="3"/>
        <v>0</v>
      </c>
      <c r="E108" s="292"/>
      <c r="F108" s="273">
        <f t="shared" si="4"/>
        <v>0</v>
      </c>
      <c r="G108" s="274"/>
      <c r="H108" s="275">
        <f>iferror(iferror(vlookup(C108,Buys!C:J,2,false),iferror(vlookup(C108,Sells!C:J,2,false),vlookup(C108,Macro!C:N,3,false))),0)/M108-1</f>
        <v>-0.302430243</v>
      </c>
      <c r="I108" s="276">
        <f>iferror(iferror(vlookup(C108,Buys!C:J,7,false),iferror(vlookup(C108,Sells!C:J,7,false),vlookup(C108,Macro!C:N,7,false))),0)/M108-1</f>
        <v>-0.2460475326</v>
      </c>
      <c r="J108" s="277">
        <f t="shared" si="5"/>
        <v>0</v>
      </c>
      <c r="K108" s="278"/>
      <c r="L108" s="228">
        <f>IFERROR(__xludf.DUMMYFUNCTION("iferror(googlefinance(""NASDAQ:""&amp;C108,""changepct"")/100,iferror(googlefinance(""NYSE:""&amp;C108,""changepct"")/100,iferror(googlefinance(C108,""changepct"")/100,"""")))"),-0.0017000000000000001)</f>
        <v>-0.0017</v>
      </c>
      <c r="M108" s="279">
        <f>IFERROR(__xludf.DUMMYFUNCTION("iferror(googlefinance(""NASDAQ:""&amp;C108,""price""),iferror(googlefinance(""NYSE:""&amp;C108,""price""),iferror(googlefinance(C108,""price""),1)))"),222.2)</f>
        <v>222.2</v>
      </c>
      <c r="N108" s="280">
        <f t="shared" si="6"/>
        <v>0</v>
      </c>
      <c r="O108" s="281" t="str">
        <f t="array" ref="O108">iferror(index(Buys!$Q:$Q,match(C108,Buys!$C:$C,0)),index(Sells!$Q:$Q,match(C108,Sells!$C:$C,0)))</f>
        <v/>
      </c>
      <c r="P108" s="282">
        <f>IFERROR(__xludf.DUMMYFUNCTION("iferror(googlefinance(""NASDAQ:""&amp;C108,""beta""),iferror(googlefinance(""NYSE:""&amp;C108,""beta""),iferror(googlefinance(C108,""beta""),1)))"),1.12)</f>
        <v>1.12</v>
      </c>
      <c r="Q108" s="283">
        <f t="array" ref="Q108">iferror(index(Buys!$M:$M,match(C108,Buys!$C:$C,0)),index(Sells!$M:$M,match(C108,Sells!$C:$C,0)))</f>
        <v>0.1798884236</v>
      </c>
      <c r="R108" s="284">
        <f t="array" ref="R108">iferror(index(Buys!$S:$S,match(C108,Buys!$C:$C,0)),index(Sells!$S:$S,match(C108,Sells!$C:$C,0)))</f>
        <v>43552</v>
      </c>
    </row>
    <row r="109" ht="12.75" customHeight="1">
      <c r="A109" s="285" t="s">
        <v>1016</v>
      </c>
      <c r="B109" s="78" t="str">
        <f t="array" ref="B109">iferror(index(Buys!$T:$T,match(C109,Buys!$C:$C,0)),"Other")</f>
        <v>Value</v>
      </c>
      <c r="C109" s="270" t="s">
        <v>1452</v>
      </c>
      <c r="D109" s="271">
        <f t="shared" si="3"/>
        <v>0</v>
      </c>
      <c r="E109" s="292"/>
      <c r="F109" s="273">
        <f t="shared" si="4"/>
        <v>0</v>
      </c>
      <c r="G109" s="274"/>
      <c r="H109" s="275">
        <f>iferror(iferror(vlookup(C109,Buys!C:J,2,false),iferror(vlookup(C109,Sells!C:J,2,false),vlookup(C109,Macro!C:N,3,false))),0)/M109-1</f>
        <v>-0.2667277727</v>
      </c>
      <c r="I109" s="276">
        <f>iferror(iferror(vlookup(C109,Buys!C:J,7,false),iferror(vlookup(C109,Sells!C:J,7,false),vlookup(C109,Macro!C:N,7,false))),0)/M109-1</f>
        <v>-0.2496146553</v>
      </c>
      <c r="J109" s="277">
        <f t="shared" si="5"/>
        <v>0</v>
      </c>
      <c r="K109" s="278"/>
      <c r="L109" s="228">
        <f>IFERROR(__xludf.DUMMYFUNCTION("iferror(googlefinance(""NASDAQ:""&amp;C109,""changepct"")/100,iferror(googlefinance(""NYSE:""&amp;C109,""changepct"")/100,iferror(googlefinance(C109,""changepct"")/100,"""")))"),0.0014000000000000002)</f>
        <v>0.0014</v>
      </c>
      <c r="M109" s="279">
        <f>IFERROR(__xludf.DUMMYFUNCTION("iferror(googlefinance(""NASDAQ:""&amp;C109,""price""),iferror(googlefinance(""NYSE:""&amp;C109,""price""),iferror(googlefinance(C109,""price""),1)))"),109.1)</f>
        <v>109.1</v>
      </c>
      <c r="N109" s="280">
        <f t="shared" si="6"/>
        <v>0</v>
      </c>
      <c r="O109" s="281" t="str">
        <f t="array" ref="O109">iferror(index(Buys!$Q:$Q,match(C109,Buys!$C:$C,0)),index(Sells!$Q:$Q,match(C109,Sells!$C:$C,0)))</f>
        <v/>
      </c>
      <c r="P109" s="282">
        <f>IFERROR(__xludf.DUMMYFUNCTION("iferror(googlefinance(""NASDAQ:""&amp;C109,""beta""),iferror(googlefinance(""NYSE:""&amp;C109,""beta""),iferror(googlefinance(C109,""beta""),1)))"),0.52)</f>
        <v>0.52</v>
      </c>
      <c r="Q109" s="283">
        <f t="array" ref="Q109">iferror(index(Buys!$M:$M,match(C109,Buys!$C:$C,0)),index(Sells!$M:$M,match(C109,Sells!$C:$C,0)))</f>
        <v>0.1798884235</v>
      </c>
      <c r="R109" s="284">
        <f t="array" ref="R109">iferror(index(Buys!$S:$S,match(C109,Buys!$C:$C,0)),index(Sells!$S:$S,match(C109,Sells!$C:$C,0)))</f>
        <v>43557</v>
      </c>
    </row>
    <row r="110" ht="12.75" customHeight="1">
      <c r="A110" s="269" t="s">
        <v>1016</v>
      </c>
      <c r="B110" s="78" t="str">
        <f t="array" ref="B110">iferror(index(Buys!$T:$T,match(C110,Buys!$C:$C,0)),"Other")</f>
        <v>LGrowth</v>
      </c>
      <c r="C110" s="270" t="s">
        <v>1462</v>
      </c>
      <c r="D110" s="271">
        <f t="shared" si="3"/>
        <v>0</v>
      </c>
      <c r="E110" s="272"/>
      <c r="F110" s="273">
        <f t="shared" si="4"/>
        <v>0</v>
      </c>
      <c r="G110" s="274"/>
      <c r="H110" s="275">
        <f>iferror(iferror(vlookup(C110,Buys!C:J,2,false),iferror(vlookup(C110,Sells!C:J,2,false),vlookup(C110,Macro!C:N,3,false))),0)/M110-1</f>
        <v>-0.2637778713</v>
      </c>
      <c r="I110" s="276">
        <f>iferror(iferror(vlookup(C110,Buys!C:J,7,false),iferror(vlookup(C110,Sells!C:J,7,false),vlookup(C110,Macro!C:N,7,false))),0)/M110-1</f>
        <v>-0.2621414033</v>
      </c>
      <c r="J110" s="277">
        <f t="shared" si="5"/>
        <v>0</v>
      </c>
      <c r="K110" s="278"/>
      <c r="L110" s="228">
        <f>IFERROR(__xludf.DUMMYFUNCTION("iferror(googlefinance(""NASDAQ:""&amp;C110,""changepct"")/100,iferror(googlefinance(""NYSE:""&amp;C110,""changepct"")/100,iferror(googlefinance(C110,""changepct"")/100,"""")))"),0.0239)</f>
        <v>0.0239</v>
      </c>
      <c r="M110" s="279">
        <f>IFERROR(__xludf.DUMMYFUNCTION("iferror(googlefinance(""NASDAQ:""&amp;C110,""price""),iferror(googlefinance(""NYSE:""&amp;C110,""price""),iferror(googlefinance(C110,""price""),1)))"),190.16)</f>
        <v>190.16</v>
      </c>
      <c r="N110" s="280">
        <f t="shared" si="6"/>
        <v>0</v>
      </c>
      <c r="O110" s="281" t="str">
        <f t="array" ref="O110">iferror(index(Buys!$Q:$Q,match(C110,Buys!$C:$C,0)),index(Sells!$Q:$Q,match(C110,Sells!$C:$C,0)))</f>
        <v/>
      </c>
      <c r="P110" s="282">
        <f>IFERROR(__xludf.DUMMYFUNCTION("iferror(googlefinance(""NASDAQ:""&amp;C110,""beta""),iferror(googlefinance(""NYSE:""&amp;C110,""beta""),iferror(googlefinance(C110,""beta""),1)))"),1.05)</f>
        <v>1.05</v>
      </c>
      <c r="Q110" s="283">
        <f t="array" ref="Q110">iferror(index(Buys!$M:$M,match(C110,Buys!$C:$C,0)),index(Sells!$M:$M,match(C110,Sells!$C:$C,0)))</f>
        <v>-0.8201115765</v>
      </c>
      <c r="R110" s="284">
        <f t="array" ref="R110">iferror(index(Buys!$S:$S,match(C110,Buys!$C:$C,0)),index(Sells!$S:$S,match(C110,Sells!$C:$C,0)))</f>
        <v>43582</v>
      </c>
    </row>
    <row r="111" ht="12.75" customHeight="1">
      <c r="A111" s="285" t="s">
        <v>1016</v>
      </c>
      <c r="B111" s="285" t="str">
        <f t="array" ref="B111">iferror(index(Buys!$T:$T,match(C111,Buys!$C:$C,0)),"Other")</f>
        <v>SGrowth</v>
      </c>
      <c r="C111" s="270" t="s">
        <v>1474</v>
      </c>
      <c r="D111" s="271">
        <f t="shared" si="3"/>
        <v>0</v>
      </c>
      <c r="E111" s="272"/>
      <c r="F111" s="273">
        <f t="shared" si="4"/>
        <v>0</v>
      </c>
      <c r="G111" s="274"/>
      <c r="H111" s="275">
        <f>iferror(iferror(vlookup(C111,Buys!C:J,2,false),iferror(vlookup(C111,Sells!C:J,2,false),vlookup(C111,Macro!C:N,3,false))),0)/M111-1</f>
        <v>-0.1406350707</v>
      </c>
      <c r="I111" s="276">
        <f>iferror(iferror(vlookup(C111,Buys!C:J,7,false),iferror(vlookup(C111,Sells!C:J,7,false),vlookup(C111,Macro!C:N,7,false))),0)/M111-1</f>
        <v>-0.2997186844</v>
      </c>
      <c r="J111" s="277">
        <f t="shared" si="5"/>
        <v>0</v>
      </c>
      <c r="K111" s="278"/>
      <c r="L111" s="299">
        <f>IFERROR(__xludf.DUMMYFUNCTION("iferror(googlefinance(""NASDAQ:""&amp;C111,""changepct"")/100,iferror(googlefinance(""NYSE:""&amp;C111,""changepct"")/100,iferror(googlefinance(C111,""changepct"")/100,"""")))"),0.0167)</f>
        <v>0.0167</v>
      </c>
      <c r="M111" s="300">
        <f>IFERROR(__xludf.DUMMYFUNCTION("iferror(googlefinance(""NASDAQ:""&amp;C111,""price""),iferror(googlefinance(""NYSE:""&amp;C111,""price""),iferror(googlefinance(C111,""price""),1)))"),698.19)</f>
        <v>698.19</v>
      </c>
      <c r="N111" s="280">
        <f t="shared" si="6"/>
        <v>0</v>
      </c>
      <c r="O111" s="281" t="str">
        <f t="array" ref="O111">iferror(index(Buys!$Q:$Q,match(C111,Buys!$C:$C,0)),index(Sells!$Q:$Q,match(C111,Sells!$C:$C,0)))</f>
        <v/>
      </c>
      <c r="P111" s="282">
        <f>IFERROR(__xludf.DUMMYFUNCTION("iferror(googlefinance(""NASDAQ:""&amp;C111,""beta""),iferror(googlefinance(""NYSE:""&amp;C111,""beta""),iferror(googlefinance(C111,""beta""),1)))"),1.37)</f>
        <v>1.37</v>
      </c>
      <c r="Q111" s="283">
        <f t="array" ref="Q111">iferror(index(Buys!$M:$M,match(C111,Buys!$C:$C,0)),index(Sells!$M:$M,match(C111,Sells!$C:$C,0)))</f>
        <v>0.1798884235</v>
      </c>
      <c r="R111" s="284">
        <f t="array" ref="R111">iferror(index(Buys!$S:$S,match(C111,Buys!$C:$C,0)),index(Sells!$S:$S,match(C111,Sells!$C:$C,0)))</f>
        <v>43585</v>
      </c>
    </row>
    <row r="112" ht="12.75" customHeight="1">
      <c r="A112" s="285" t="s">
        <v>1016</v>
      </c>
      <c r="B112" s="285" t="str">
        <f t="array" ref="B112">iferror(index(Buys!$T:$T,match(C112,Buys!$C:$C,0)),"Other")</f>
        <v>Value</v>
      </c>
      <c r="C112" s="270" t="s">
        <v>1480</v>
      </c>
      <c r="D112" s="271">
        <f t="shared" si="3"/>
        <v>0</v>
      </c>
      <c r="E112" s="272"/>
      <c r="F112" s="273">
        <f t="shared" si="4"/>
        <v>0</v>
      </c>
      <c r="G112" s="274"/>
      <c r="H112" s="275">
        <f>iferror(iferror(vlookup(C112,Buys!C:J,2,false),iferror(vlookup(C112,Sells!C:J,2,false),vlookup(C112,Macro!C:N,3,false))),0)/M112-1</f>
        <v>-0.4039402685</v>
      </c>
      <c r="I112" s="276">
        <f>iferror(iferror(vlookup(C112,Buys!C:J,7,false),iferror(vlookup(C112,Sells!C:J,7,false),vlookup(C112,Macro!C:N,7,false))),0)/M112-1</f>
        <v>-0.3063601006</v>
      </c>
      <c r="J112" s="277">
        <f t="shared" si="5"/>
        <v>0</v>
      </c>
      <c r="K112" s="278"/>
      <c r="L112" s="228">
        <f>IFERROR(__xludf.DUMMYFUNCTION("iferror(googlefinance(""NASDAQ:""&amp;C112,""changepct"")/100,iferror(googlefinance(""NYSE:""&amp;C112,""changepct"")/100,iferror(googlefinance(C112,""changepct"")/100,"""")))"),-0.0039000000000000003)</f>
        <v>-0.0039</v>
      </c>
      <c r="M112" s="279">
        <f>IFERROR(__xludf.DUMMYFUNCTION("iferror(googlefinance(""NASDAQ:""&amp;C112,""price""),iferror(googlefinance(""NYSE:""&amp;C112,""price""),iferror(googlefinance(C112,""price""),1)))"),159.38)</f>
        <v>159.38</v>
      </c>
      <c r="N112" s="280">
        <f t="shared" si="6"/>
        <v>0</v>
      </c>
      <c r="O112" s="281" t="str">
        <f t="array" ref="O112">iferror(index(Buys!$Q:$Q,match(C112,Buys!$C:$C,0)),index(Sells!$Q:$Q,match(C112,Sells!$C:$C,0)))</f>
        <v/>
      </c>
      <c r="P112" s="282">
        <f>IFERROR(__xludf.DUMMYFUNCTION("iferror(googlefinance(""NASDAQ:""&amp;C112,""beta""),iferror(googlefinance(""NYSE:""&amp;C112,""beta""),iferror(googlefinance(C112,""beta""),1)))"),0.14)</f>
        <v>0.14</v>
      </c>
      <c r="Q112" s="283">
        <f t="array" ref="Q112">iferror(index(Buys!$M:$M,match(C112,Buys!$C:$C,0)),index(Sells!$M:$M,match(C112,Sells!$C:$C,0)))</f>
        <v>0.09495691663</v>
      </c>
      <c r="R112" s="284">
        <f t="array" ref="R112">iferror(index(Buys!$S:$S,match(C112,Buys!$C:$C,0)),index(Sells!$S:$S,match(C112,Sells!$C:$C,0)))</f>
        <v>43499</v>
      </c>
    </row>
    <row r="113" ht="12.75" customHeight="1">
      <c r="A113" s="285" t="s">
        <v>1016</v>
      </c>
      <c r="B113" s="78" t="str">
        <f t="array" ref="B113">iferror(index(Buys!$T:$T,match(C113,Buys!$C:$C,0)),"Other")</f>
        <v>LGrowth</v>
      </c>
      <c r="C113" s="270" t="s">
        <v>1472</v>
      </c>
      <c r="D113" s="271">
        <f t="shared" si="3"/>
        <v>0</v>
      </c>
      <c r="E113" s="272"/>
      <c r="F113" s="273">
        <f t="shared" si="4"/>
        <v>0</v>
      </c>
      <c r="G113" s="274"/>
      <c r="H113" s="275">
        <f>iferror(iferror(vlookup(C113,Buys!C:J,2,false),iferror(vlookup(C113,Sells!C:J,2,false),vlookup(C113,Macro!C:N,3,false))),0)/M113-1</f>
        <v>-0.361124421</v>
      </c>
      <c r="I113" s="276">
        <f>iferror(iferror(vlookup(C113,Buys!C:J,7,false),iferror(vlookup(C113,Sells!C:J,7,false),vlookup(C113,Macro!C:N,7,false))),0)/M113-1</f>
        <v>-0.3150387405</v>
      </c>
      <c r="J113" s="277">
        <f t="shared" si="5"/>
        <v>0</v>
      </c>
      <c r="K113" s="278"/>
      <c r="L113" s="228">
        <f>IFERROR(__xludf.DUMMYFUNCTION("iferror(googlefinance(""NASDAQ:""&amp;C113,""changepct"")/100,iferror(googlefinance(""NYSE:""&amp;C113,""changepct"")/100,iferror(googlefinance(C113,""changepct"")/100,"""")))"),-0.005699999999999999)</f>
        <v>-0.0057</v>
      </c>
      <c r="M113" s="279">
        <f>IFERROR(__xludf.DUMMYFUNCTION("iferror(googlefinance(""NASDAQ:""&amp;C113,""price""),iferror(googlefinance(""NYSE:""&amp;C113,""price""),iferror(googlefinance(C113,""price""),1)))"),62.61)</f>
        <v>62.61</v>
      </c>
      <c r="N113" s="280">
        <f t="shared" si="6"/>
        <v>0</v>
      </c>
      <c r="O113" s="281">
        <f t="array" ref="O113">iferror(index(Buys!$Q:$Q,match(C113,Buys!$C:$C,0)),index(Sells!$Q:$Q,match(C113,Sells!$C:$C,0)))</f>
        <v>19.45779957</v>
      </c>
      <c r="P113" s="282">
        <f>IFERROR(__xludf.DUMMYFUNCTION("iferror(googlefinance(""NASDAQ:""&amp;C113,""beta""),iferror(googlefinance(""NYSE:""&amp;C113,""beta""),iferror(googlefinance(C113,""beta""),1)))"),1.0)</f>
        <v>1</v>
      </c>
      <c r="Q113" s="283">
        <f t="array" ref="Q113">iferror(index(Buys!$M:$M,match(C113,Buys!$C:$C,0)),index(Sells!$M:$M,match(C113,Sells!$C:$C,0)))</f>
        <v>-0.8201115765</v>
      </c>
      <c r="R113" s="284">
        <f t="array" ref="R113">iferror(index(Buys!$S:$S,match(C113,Buys!$C:$C,0)),index(Sells!$S:$S,match(C113,Sells!$C:$C,0)))</f>
        <v>43659</v>
      </c>
    </row>
    <row r="114" ht="12.75" customHeight="1">
      <c r="A114" s="269" t="s">
        <v>1016</v>
      </c>
      <c r="B114" s="78" t="str">
        <f t="array" ref="B114">iferror(index(Buys!$T:$T,match(C114,Buys!$C:$C,0)),"Other")</f>
        <v>Value</v>
      </c>
      <c r="C114" s="270" t="s">
        <v>1495</v>
      </c>
      <c r="D114" s="271">
        <f t="shared" si="3"/>
        <v>0</v>
      </c>
      <c r="E114" s="272"/>
      <c r="F114" s="273">
        <f t="shared" si="4"/>
        <v>0</v>
      </c>
      <c r="G114" s="274"/>
      <c r="H114" s="275">
        <f>iferror(iferror(vlookup(C114,Buys!C:J,2,false),iferror(vlookup(C114,Sells!C:J,2,false),vlookup(C114,Macro!C:N,3,false))),0)/M114-1</f>
        <v>-0.5175297523</v>
      </c>
      <c r="I114" s="276">
        <f>iferror(iferror(vlookup(C114,Buys!C:J,7,false),iferror(vlookup(C114,Sells!C:J,7,false),vlookup(C114,Macro!C:N,7,false))),0)/M114-1</f>
        <v>-0.3177442468</v>
      </c>
      <c r="J114" s="277">
        <f t="shared" si="5"/>
        <v>0</v>
      </c>
      <c r="K114" s="278"/>
      <c r="L114" s="228">
        <f>IFERROR(__xludf.DUMMYFUNCTION("iferror(googlefinance(""NASDAQ:""&amp;C114,""changepct"")/100,iferror(googlefinance(""NYSE:""&amp;C114,""changepct"")/100,iferror(googlefinance(C114,""changepct"")/100,"""")))"),0.0115)</f>
        <v>0.0115</v>
      </c>
      <c r="M114" s="279">
        <f>IFERROR(__xludf.DUMMYFUNCTION("iferror(googlefinance(""NASDAQ:""&amp;C114,""price""),iferror(googlefinance(""NYSE:""&amp;C114,""price""),iferror(googlefinance(C114,""price""),1)))"),124.36)</f>
        <v>124.36</v>
      </c>
      <c r="N114" s="280">
        <f t="shared" si="6"/>
        <v>0</v>
      </c>
      <c r="O114" s="281" t="str">
        <f t="array" ref="O114">iferror(index(Buys!$Q:$Q,match(C114,Buys!$C:$C,0)),index(Sells!$Q:$Q,match(C114,Sells!$C:$C,0)))</f>
        <v/>
      </c>
      <c r="P114" s="452">
        <f>IFERROR(__xludf.DUMMYFUNCTION("iferror(googlefinance(""NASDAQ:""&amp;C114,""beta""),iferror(googlefinance(""NYSE:""&amp;C114,""beta""),iferror(googlefinance(C114,""beta""),1)))"),0.87)</f>
        <v>0.87</v>
      </c>
      <c r="Q114" s="283">
        <f t="array" ref="Q114">iferror(index(Buys!$M:$M,match(C114,Buys!$C:$C,0)),index(Sells!$M:$M,match(C114,Sells!$C:$C,0)))</f>
        <v>0.1798884234</v>
      </c>
      <c r="R114" s="284">
        <f t="array" ref="R114">iferror(index(Buys!$S:$S,match(C114,Buys!$C:$C,0)),index(Sells!$S:$S,match(C114,Sells!$C:$C,0)))</f>
        <v>43582</v>
      </c>
    </row>
    <row r="115" ht="12.75" customHeight="1">
      <c r="A115" s="285" t="s">
        <v>1016</v>
      </c>
      <c r="B115" s="285" t="str">
        <f t="array" ref="B115">iferror(index(Buys!$T:$T,match(C115,Buys!$C:$C,0)),"Other")</f>
        <v>Value</v>
      </c>
      <c r="C115" s="270" t="s">
        <v>1501</v>
      </c>
      <c r="D115" s="271">
        <f t="shared" si="3"/>
        <v>0</v>
      </c>
      <c r="E115" s="272"/>
      <c r="F115" s="273">
        <f t="shared" si="4"/>
        <v>0</v>
      </c>
      <c r="G115" s="274"/>
      <c r="H115" s="275">
        <f>iferror(iferror(vlookup(C115,Buys!C:J,2,false),iferror(vlookup(C115,Sells!C:J,2,false),vlookup(C115,Macro!C:N,3,false))),0)/M115-1</f>
        <v>-1</v>
      </c>
      <c r="I115" s="276">
        <f>iferror(iferror(vlookup(C115,Buys!C:J,7,false),iferror(vlookup(C115,Sells!C:J,7,false),vlookup(C115,Macro!C:N,7,false))),0)/M115-1</f>
        <v>-0.3329852896</v>
      </c>
      <c r="J115" s="277">
        <f t="shared" si="5"/>
        <v>0</v>
      </c>
      <c r="K115" s="278"/>
      <c r="L115" s="299">
        <f>IFERROR(__xludf.DUMMYFUNCTION("iferror(googlefinance(""NASDAQ:""&amp;C115,""changepct"")/100,iferror(googlefinance(""NYSE:""&amp;C115,""changepct"")/100,iferror(googlefinance(C115,""changepct"")/100,"""")))"),0.0058)</f>
        <v>0.0058</v>
      </c>
      <c r="M115" s="300">
        <f>IFERROR(__xludf.DUMMYFUNCTION("iferror(googlefinance(""NASDAQ:""&amp;C115,""price""),iferror(googlefinance(""NYSE:""&amp;C115,""price""),iferror(googlefinance(C115,""price""),1)))"),191.94)</f>
        <v>191.94</v>
      </c>
      <c r="N115" s="280">
        <f t="shared" si="6"/>
        <v>0</v>
      </c>
      <c r="O115" s="281" t="str">
        <f t="array" ref="O115">iferror(index(Buys!$Q:$Q,match(C115,Buys!$C:$C,0)),index(Sells!$Q:$Q,match(C115,Sells!$C:$C,0)))</f>
        <v/>
      </c>
      <c r="P115" s="282">
        <f>IFERROR(__xludf.DUMMYFUNCTION("iferror(googlefinance(""NASDAQ:""&amp;C115,""beta""),iferror(googlefinance(""NYSE:""&amp;C115,""beta""),iferror(googlefinance(C115,""beta""),1)))"),0.81)</f>
        <v>0.81</v>
      </c>
      <c r="Q115" s="283">
        <f t="array" ref="Q115">iferror(index(Buys!$M:$M,match(C115,Buys!$C:$C,0)),index(Sells!$M:$M,match(C115,Sells!$C:$C,0)))</f>
        <v>0.1798884234</v>
      </c>
      <c r="R115" s="284">
        <f t="array" ref="R115">iferror(index(Buys!$S:$S,match(C115,Buys!$C:$C,0)),index(Sells!$S:$S,match(C115,Sells!$C:$C,0)))</f>
        <v>43532</v>
      </c>
    </row>
    <row r="116" ht="12.75" customHeight="1">
      <c r="A116" s="285" t="s">
        <v>1016</v>
      </c>
      <c r="B116" s="78" t="str">
        <f t="array" ref="B116">iferror(index(Buys!$T:$T,match(C116,Buys!$C:$C,0)),"Other")</f>
        <v>Value</v>
      </c>
      <c r="C116" s="270" t="s">
        <v>1506</v>
      </c>
      <c r="D116" s="271">
        <f t="shared" si="3"/>
        <v>0</v>
      </c>
      <c r="E116" s="272"/>
      <c r="F116" s="273">
        <f t="shared" si="4"/>
        <v>0</v>
      </c>
      <c r="G116" s="274"/>
      <c r="H116" s="275">
        <f>iferror(iferror(vlookup(C116,Buys!C:J,2,false),iferror(vlookup(C116,Sells!C:J,2,false),vlookup(C116,Macro!C:N,3,false))),0)/M116-1</f>
        <v>-0.6051722436</v>
      </c>
      <c r="I116" s="276">
        <f>iferror(iferror(vlookup(C116,Buys!C:J,7,false),iferror(vlookup(C116,Sells!C:J,7,false),vlookup(C116,Macro!C:N,7,false))),0)/M116-1</f>
        <v>-0.3386148792</v>
      </c>
      <c r="J116" s="277">
        <f t="shared" si="5"/>
        <v>0</v>
      </c>
      <c r="K116" s="278"/>
      <c r="L116" s="228">
        <f>IFERROR(__xludf.DUMMYFUNCTION("iferror(googlefinance(""NASDAQ:""&amp;C116,""changepct"")/100,iferror(googlefinance(""NYSE:""&amp;C116,""changepct"")/100,iferror(googlefinance(C116,""changepct"")/100,"""")))"),0.0287)</f>
        <v>0.0287</v>
      </c>
      <c r="M116" s="279">
        <f>IFERROR(__xludf.DUMMYFUNCTION("iferror(googlefinance(""NASDAQ:""&amp;C116,""price""),iferror(googlefinance(""NYSE:""&amp;C116,""price""),iferror(googlefinance(C116,""price""),1)))"),202.62)</f>
        <v>202.62</v>
      </c>
      <c r="N116" s="280">
        <f t="shared" si="6"/>
        <v>0</v>
      </c>
      <c r="O116" s="281" t="str">
        <f t="array" ref="O116">iferror(index(Buys!$Q:$Q,match(C116,Buys!$C:$C,0)),index(Sells!$Q:$Q,match(C116,Sells!$C:$C,0)))</f>
        <v/>
      </c>
      <c r="P116" s="282">
        <f>IFERROR(__xludf.DUMMYFUNCTION("iferror(googlefinance(""NASDAQ:""&amp;C116,""beta""),iferror(googlefinance(""NYSE:""&amp;C116,""beta""),iferror(googlefinance(C116,""beta""),1)))"),2.71)</f>
        <v>2.71</v>
      </c>
      <c r="Q116" s="283">
        <f t="array" ref="Q116">iferror(index(Buys!$M:$M,match(C116,Buys!$C:$C,0)),index(Sells!$M:$M,match(C116,Sells!$C:$C,0)))</f>
        <v>0.1798884234</v>
      </c>
      <c r="R116" s="284">
        <f t="array" ref="R116">iferror(index(Buys!$S:$S,match(C116,Buys!$C:$C,0)),index(Sells!$S:$S,match(C116,Sells!$C:$C,0)))</f>
        <v>43571</v>
      </c>
    </row>
    <row r="117" ht="12.75" customHeight="1">
      <c r="A117" s="289" t="s">
        <v>1016</v>
      </c>
      <c r="B117" s="290" t="str">
        <f t="array" ref="B117">iferror(index(Buys!$T:$T,match(C117,Buys!$C:$C,0)),"Other")</f>
        <v>Value</v>
      </c>
      <c r="C117" s="291" t="s">
        <v>1275</v>
      </c>
      <c r="D117" s="293">
        <f t="shared" si="3"/>
        <v>0</v>
      </c>
      <c r="E117" s="297"/>
      <c r="F117" s="293">
        <f t="shared" si="4"/>
        <v>0</v>
      </c>
      <c r="G117" s="274"/>
      <c r="H117" s="298">
        <f>iferror(iferror(vlookup(C117,Buys!C:J,2,false),iferror(vlookup(C117,Sells!C:J,2,false),vlookup(C117,Macro!C:N,3,false))),0)/M117-1</f>
        <v>-0.4043364308</v>
      </c>
      <c r="I117" s="295">
        <f>iferror(iferror(vlookup(C117,Buys!C:J,7,false),iferror(vlookup(C117,Sells!C:J,7,false),vlookup(C117,Macro!C:N,7,false))),0)/M117-1</f>
        <v>-0.3427100601</v>
      </c>
      <c r="J117" s="296">
        <f t="shared" si="5"/>
        <v>0</v>
      </c>
      <c r="K117" s="278"/>
      <c r="L117" s="228">
        <f>IFERROR(__xludf.DUMMYFUNCTION("iferror(googlefinance(""NASDAQ:""&amp;C117,""changepct"")/100,iferror(googlefinance(""NYSE:""&amp;C117,""changepct"")/100,iferror(googlefinance(C117,""changepct"")/100,"""")))"),-0.008199999999999999)</f>
        <v>-0.0082</v>
      </c>
      <c r="M117" s="279">
        <f>IFERROR(__xludf.DUMMYFUNCTION("iferror(googlefinance(""NASDAQ:""&amp;C117,""price""),iferror(googlefinance(""NYSE:""&amp;C117,""price""),iferror(googlefinance(C117,""price""),1)))"),83.94)</f>
        <v>83.94</v>
      </c>
      <c r="N117" s="280">
        <f t="shared" si="6"/>
        <v>0</v>
      </c>
      <c r="O117" s="281" t="str">
        <f t="array" ref="O117">iferror(index(Buys!$Q:$Q,match(C117,Buys!$C:$C,0)),index(Sells!$Q:$Q,match(C117,Sells!$C:$C,0)))</f>
        <v/>
      </c>
      <c r="P117" s="282">
        <f>IFERROR(__xludf.DUMMYFUNCTION("iferror(googlefinance(""NASDAQ:""&amp;C117,""beta""),iferror(googlefinance(""NYSE:""&amp;C117,""beta""),iferror(googlefinance(C117,""beta""),1)))"),0.82)</f>
        <v>0.82</v>
      </c>
      <c r="Q117" s="283">
        <f t="array" ref="Q117">iferror(index(Buys!$M:$M,match(C117,Buys!$C:$C,0)),index(Sells!$M:$M,match(C117,Sells!$C:$C,0)))</f>
        <v>-0.2392896588</v>
      </c>
      <c r="R117" s="284">
        <f t="array" ref="R117">iferror(index(Buys!$S:$S,match(C117,Buys!$C:$C,0)),index(Sells!$S:$S,match(C117,Sells!$C:$C,0)))</f>
        <v>43584</v>
      </c>
    </row>
    <row r="118" ht="12.75" customHeight="1">
      <c r="A118" s="285" t="s">
        <v>1016</v>
      </c>
      <c r="B118" s="78" t="str">
        <f t="array" ref="B118">iferror(index(Buys!$T:$T,match(C118,Buys!$C:$C,0)),"Other")</f>
        <v>Value</v>
      </c>
      <c r="C118" s="270" t="s">
        <v>423</v>
      </c>
      <c r="D118" s="271">
        <f t="shared" si="3"/>
        <v>0</v>
      </c>
      <c r="E118" s="272"/>
      <c r="F118" s="273">
        <f t="shared" si="4"/>
        <v>0</v>
      </c>
      <c r="G118" s="274"/>
      <c r="H118" s="275">
        <f>iferror(iferror(vlookup(C118,Buys!C:J,2,false),iferror(vlookup(C118,Sells!C:J,2,false),vlookup(C118,Macro!C:N,3,false))),0)/M118-1</f>
        <v>-0.445445723</v>
      </c>
      <c r="I118" s="276">
        <f>iferror(iferror(vlookup(C118,Buys!C:J,7,false),iferror(vlookup(C118,Sells!C:J,7,false),vlookup(C118,Macro!C:N,7,false))),0)/M118-1</f>
        <v>-0.3661071839</v>
      </c>
      <c r="J118" s="277">
        <f t="shared" si="5"/>
        <v>0</v>
      </c>
      <c r="K118" s="278"/>
      <c r="L118" s="228">
        <f>IFERROR(__xludf.DUMMYFUNCTION("iferror(googlefinance(""NASDAQ:""&amp;C118,""changepct"")/100,iferror(googlefinance(""NYSE:""&amp;C118,""changepct"")/100,iferror(googlefinance(C118,""changepct"")/100,"""")))"),0.1294)</f>
        <v>0.1294</v>
      </c>
      <c r="M118" s="279">
        <f>IFERROR(__xludf.DUMMYFUNCTION("iferror(googlefinance(""NASDAQ:""&amp;C118,""price""),iferror(googlefinance(""NYSE:""&amp;C118,""price""),iferror(googlefinance(C118,""price""),1)))"),144.26)</f>
        <v>144.26</v>
      </c>
      <c r="N118" s="280">
        <f t="shared" si="6"/>
        <v>0</v>
      </c>
      <c r="O118" s="281" t="str">
        <f t="array" ref="O118">iferror(index(Buys!$Q:$Q,match(C118,Buys!$C:$C,0)),index(Sells!$Q:$Q,match(C118,Sells!$C:$C,0)))</f>
        <v/>
      </c>
      <c r="P118" s="282">
        <f>IFERROR(__xludf.DUMMYFUNCTION("iferror(googlefinance(""NASDAQ:""&amp;C118,""beta""),iferror(googlefinance(""NYSE:""&amp;C118,""beta""),iferror(googlefinance(C118,""beta""),1)))"),0.41)</f>
        <v>0.41</v>
      </c>
      <c r="Q118" s="283">
        <f t="array" ref="Q118">iferror(index(Buys!$M:$M,match(C118,Buys!$C:$C,0)),index(Sells!$M:$M,match(C118,Sells!$C:$C,0)))</f>
        <v>-0.3242211657</v>
      </c>
      <c r="R118" s="284">
        <f t="array" ref="R118">iferror(index(Buys!$S:$S,match(C118,Buys!$C:$C,0)),index(Sells!$S:$S,match(C118,Sells!$C:$C,0)))</f>
        <v>43412</v>
      </c>
    </row>
    <row r="119" ht="12.75" customHeight="1">
      <c r="A119" s="269" t="s">
        <v>1016</v>
      </c>
      <c r="B119" s="285" t="str">
        <f t="array" ref="B119">iferror(index(Buys!$T:$T,match(C119,Buys!$C:$C,0)),"Other")</f>
        <v>Value</v>
      </c>
      <c r="C119" s="270" t="s">
        <v>1516</v>
      </c>
      <c r="D119" s="271">
        <f t="shared" si="3"/>
        <v>0</v>
      </c>
      <c r="E119" s="272"/>
      <c r="F119" s="273">
        <f t="shared" si="4"/>
        <v>0</v>
      </c>
      <c r="G119" s="274"/>
      <c r="H119" s="275">
        <f>iferror(iferror(vlookup(C119,Buys!C:J,2,false),iferror(vlookup(C119,Sells!C:J,2,false),vlookup(C119,Macro!C:N,3,false))),0)/M119-1</f>
        <v>-0.4303492397</v>
      </c>
      <c r="I119" s="276">
        <f>iferror(iferror(vlookup(C119,Buys!C:J,7,false),iferror(vlookup(C119,Sells!C:J,7,false),vlookup(C119,Macro!C:N,7,false))),0)/M119-1</f>
        <v>-0.3946290536</v>
      </c>
      <c r="J119" s="277">
        <f t="shared" si="5"/>
        <v>0</v>
      </c>
      <c r="K119" s="278"/>
      <c r="L119" s="228">
        <f>IFERROR(__xludf.DUMMYFUNCTION("iferror(googlefinance(""NASDAQ:""&amp;C119,""changepct"")/100,iferror(googlefinance(""NYSE:""&amp;C119,""changepct"")/100,iferror(googlefinance(C119,""changepct"")/100,"""")))"),-0.0028000000000000004)</f>
        <v>-0.0028</v>
      </c>
      <c r="M119" s="279">
        <f>IFERROR(__xludf.DUMMYFUNCTION("iferror(googlefinance(""NASDAQ:""&amp;C119,""price""),iferror(googlefinance(""NYSE:""&amp;C119,""price""),iferror(googlefinance(C119,""price""),1)))"),228.21)</f>
        <v>228.21</v>
      </c>
      <c r="N119" s="280">
        <f t="shared" si="6"/>
        <v>0</v>
      </c>
      <c r="O119" s="281" t="str">
        <f t="array" ref="O119">iferror(index(Buys!$Q:$Q,match(C119,Buys!$C:$C,0)),index(Sells!$Q:$Q,match(C119,Sells!$C:$C,0)))</f>
        <v/>
      </c>
      <c r="P119" s="282">
        <f>IFERROR(__xludf.DUMMYFUNCTION("iferror(googlefinance(""NASDAQ:""&amp;C119,""beta""),iferror(googlefinance(""NYSE:""&amp;C119,""beta""),iferror(googlefinance(C119,""beta""),1)))"),0.84)</f>
        <v>0.84</v>
      </c>
      <c r="Q119" s="283">
        <f t="array" ref="Q119">iferror(index(Buys!$M:$M,match(C119,Buys!$C:$C,0)),index(Sells!$M:$M,match(C119,Sells!$C:$C,0)))</f>
        <v>-0.8201115767</v>
      </c>
      <c r="R119" s="284">
        <f t="array" ref="R119">iferror(index(Buys!$S:$S,match(C119,Buys!$C:$C,0)),index(Sells!$S:$S,match(C119,Sells!$C:$C,0)))</f>
        <v>43483</v>
      </c>
    </row>
    <row r="120" ht="12.75" customHeight="1">
      <c r="A120" s="285" t="s">
        <v>1016</v>
      </c>
      <c r="B120" s="285" t="str">
        <f t="array" ref="B120">iferror(index(Buys!$T:$T,match(C120,Buys!$C:$C,0)),"Other")</f>
        <v>LGrowth</v>
      </c>
      <c r="C120" s="270" t="s">
        <v>1521</v>
      </c>
      <c r="D120" s="271">
        <f t="shared" si="3"/>
        <v>0</v>
      </c>
      <c r="E120" s="292"/>
      <c r="F120" s="273">
        <f t="shared" si="4"/>
        <v>0</v>
      </c>
      <c r="G120" s="274"/>
      <c r="H120" s="275">
        <f>iferror(iferror(vlookup(C120,Buys!C:J,2,false),iferror(vlookup(C120,Sells!C:J,2,false),vlookup(C120,Macro!C:N,3,false))),0)/M120-1</f>
        <v>-0.593106054</v>
      </c>
      <c r="I120" s="276">
        <f>iferror(iferror(vlookup(C120,Buys!C:J,7,false),iferror(vlookup(C120,Sells!C:J,7,false),vlookup(C120,Macro!C:N,7,false))),0)/M120-1</f>
        <v>-0.4372818062</v>
      </c>
      <c r="J120" s="277">
        <f t="shared" si="5"/>
        <v>0</v>
      </c>
      <c r="K120" s="278"/>
      <c r="L120" s="228">
        <f>IFERROR(__xludf.DUMMYFUNCTION("iferror(googlefinance(""NASDAQ:""&amp;C120,""changepct"")/100,iferror(googlefinance(""NYSE:""&amp;C120,""changepct"")/100,iferror(googlefinance(C120,""changepct"")/100,"""")))"),-0.0154)</f>
        <v>-0.0154</v>
      </c>
      <c r="M120" s="279">
        <f>IFERROR(__xludf.DUMMYFUNCTION("iferror(googlefinance(""NASDAQ:""&amp;C120,""price""),iferror(googlefinance(""NYSE:""&amp;C120,""price""),iferror(googlefinance(C120,""price""),1)))"),344.07)</f>
        <v>344.07</v>
      </c>
      <c r="N120" s="280">
        <f t="shared" si="6"/>
        <v>0</v>
      </c>
      <c r="O120" s="281">
        <f t="array" ref="O120">iferror(index(Buys!$Q:$Q,match(C120,Buys!$C:$C,0)),index(Sells!$Q:$Q,match(C120,Sells!$C:$C,0)))</f>
        <v>33.636457</v>
      </c>
      <c r="P120" s="282">
        <f>IFERROR(__xludf.DUMMYFUNCTION("iferror(googlefinance(""NASDAQ:""&amp;C120,""beta""),iferror(googlefinance(""NYSE:""&amp;C120,""beta""),iferror(googlefinance(C120,""beta""),1)))"),0.14)</f>
        <v>0.14</v>
      </c>
      <c r="Q120" s="283">
        <f t="array" ref="Q120">iferror(index(Buys!$M:$M,match(C120,Buys!$C:$C,0)),index(Sells!$M:$M,match(C120,Sells!$C:$C,0)))</f>
        <v>0.1798884233</v>
      </c>
      <c r="R120" s="284">
        <f t="array" ref="R120">iferror(index(Buys!$S:$S,match(C120,Buys!$C:$C,0)),index(Sells!$S:$S,match(C120,Sells!$C:$C,0)))</f>
        <v>43659</v>
      </c>
    </row>
    <row r="121" ht="12.75" customHeight="1">
      <c r="A121" s="285" t="s">
        <v>1016</v>
      </c>
      <c r="B121" s="78" t="str">
        <f t="array" ref="B121">iferror(index(Buys!$T:$T,match(C121,Buys!$C:$C,0)),"Other")</f>
        <v>Other</v>
      </c>
      <c r="C121" s="270" t="s">
        <v>1524</v>
      </c>
      <c r="D121" s="271">
        <f t="shared" si="3"/>
        <v>0</v>
      </c>
      <c r="E121" s="272"/>
      <c r="F121" s="273">
        <f t="shared" si="4"/>
        <v>0</v>
      </c>
      <c r="G121" s="274"/>
      <c r="H121" s="275">
        <f>iferror(iferror(vlookup(C121,Buys!C:J,2,false),iferror(vlookup(C121,Sells!C:J,2,false),vlookup(C121,Macro!C:N,3,false))),0)/M121-1</f>
        <v>0.3757260777</v>
      </c>
      <c r="I121" s="276">
        <f>iferror(iferror(vlookup(C121,Buys!C:J,7,false),iferror(vlookup(C121,Sells!C:J,7,false),vlookup(C121,Macro!C:N,7,false))),0)/M121-1</f>
        <v>-0.6760602021</v>
      </c>
      <c r="J121" s="277">
        <f t="shared" si="5"/>
        <v>0</v>
      </c>
      <c r="K121" s="278"/>
      <c r="L121" s="228">
        <f>IFERROR(__xludf.DUMMYFUNCTION("iferror(googlefinance(""NASDAQ:""&amp;C121,""changepct"")/100,iferror(googlefinance(""NYSE:""&amp;C121,""changepct"")/100,iferror(googlefinance(C121,""changepct"")/100,"""")))"),-0.0171)</f>
        <v>-0.0171</v>
      </c>
      <c r="M121" s="279">
        <f>IFERROR(__xludf.DUMMYFUNCTION("iferror(googlefinance(""NASDAQ:""&amp;C121,""price""),iferror(googlefinance(""NYSE:""&amp;C121,""price""),iferror(googlefinance(C121,""price""),1)))"),32.71)</f>
        <v>32.71</v>
      </c>
      <c r="N121" s="280">
        <f t="shared" si="6"/>
        <v>0</v>
      </c>
      <c r="O121" s="281">
        <f t="array" ref="O121">iferror(index(Buys!$Q:$Q,match(C121,Buys!$C:$C,0)),index(Sells!$Q:$Q,match(C121,Sells!$C:$C,0)))</f>
        <v>9.102979084</v>
      </c>
      <c r="P121" s="282">
        <f>IFERROR(__xludf.DUMMYFUNCTION("iferror(googlefinance(""NASDAQ:""&amp;C121,""beta""),iferror(googlefinance(""NYSE:""&amp;C121,""beta""),iferror(googlefinance(C121,""beta""),1)))"),1.0)</f>
        <v>1</v>
      </c>
      <c r="Q121" s="283">
        <f t="array" ref="Q121">iferror(index(Buys!$M:$M,match(C121,Buys!$C:$C,0)),index(Sells!$M:$M,match(C121,Sells!$C:$C,0)))</f>
        <v>0.1798884232</v>
      </c>
      <c r="R121" s="284">
        <f t="array" ref="R121">iferror(index(Buys!$S:$S,match(C121,Buys!$C:$C,0)),index(Sells!$S:$S,match(C121,Sells!$C:$C,0)))</f>
        <v>43710</v>
      </c>
    </row>
    <row r="122" ht="12.75" customHeight="1">
      <c r="A122" s="269" t="s">
        <v>1016</v>
      </c>
      <c r="B122" s="285" t="str">
        <f t="array" ref="B122">iferror(index(Buys!$T:$T,match(C122,Buys!$C:$C,0)),"Other")</f>
        <v>Other</v>
      </c>
      <c r="C122" s="270" t="s">
        <v>1525</v>
      </c>
      <c r="D122" s="271">
        <f t="shared" si="3"/>
        <v>0</v>
      </c>
      <c r="E122" s="272"/>
      <c r="F122" s="273">
        <f t="shared" si="4"/>
        <v>0</v>
      </c>
      <c r="G122" s="274"/>
      <c r="H122" s="275">
        <f>iferror(iferror(vlookup(C122,Buys!C:J,2,false),iferror(vlookup(C122,Sells!C:J,2,false),vlookup(C122,Macro!C:N,3,false))),0)/M122-1</f>
        <v>-0.1466796696</v>
      </c>
      <c r="I122" s="276">
        <f>iferror(iferror(vlookup(C122,Buys!C:J,7,false),iferror(vlookup(C122,Sells!C:J,7,false),vlookup(C122,Macro!C:N,7,false))),0)/M122-1</f>
        <v>-0.7355787667</v>
      </c>
      <c r="J122" s="277">
        <f t="shared" si="5"/>
        <v>0</v>
      </c>
      <c r="K122" s="278"/>
      <c r="L122" s="228">
        <f>IFERROR(__xludf.DUMMYFUNCTION("iferror(googlefinance(""NASDAQ:""&amp;C122,""changepct"")/100,iferror(googlefinance(""NYSE:""&amp;C122,""changepct"")/100,iferror(googlefinance(C122,""changepct"")/100,"""")))"),0.0949)</f>
        <v>0.0949</v>
      </c>
      <c r="M122" s="279">
        <f>IFERROR(__xludf.DUMMYFUNCTION("iferror(googlefinance(""NASDAQ:""&amp;C122,""price""),iferror(googlefinance(""NYSE:""&amp;C122,""price""),iferror(googlefinance(C122,""price""),1)))"),328.13)</f>
        <v>328.13</v>
      </c>
      <c r="N122" s="280">
        <f t="shared" si="6"/>
        <v>0</v>
      </c>
      <c r="O122" s="281">
        <f t="array" ref="O122">iferror(index(Buys!$Q:$Q,match(C122,Buys!$C:$C,0)),index(Sells!$Q:$Q,match(C122,Sells!$C:$C,0)))</f>
        <v>9.988663927</v>
      </c>
      <c r="P122" s="282">
        <f>IFERROR(__xludf.DUMMYFUNCTION("iferror(googlefinance(""NASDAQ:""&amp;C122,""beta""),iferror(googlefinance(""NYSE:""&amp;C122,""beta""),iferror(googlefinance(C122,""beta""),1)))"),0.52)</f>
        <v>0.52</v>
      </c>
      <c r="Q122" s="283">
        <f t="array" ref="Q122">iferror(index(Buys!$M:$M,match(C122,Buys!$C:$C,0)),index(Sells!$M:$M,match(C122,Sells!$C:$C,0)))</f>
        <v>0.1798884231</v>
      </c>
      <c r="R122" s="284">
        <f t="array" ref="R122">iferror(index(Buys!$S:$S,match(C122,Buys!$C:$C,0)),index(Sells!$S:$S,match(C122,Sells!$C:$C,0)))</f>
        <v>43750</v>
      </c>
    </row>
    <row r="123" ht="12.75" customHeight="1">
      <c r="A123" s="285" t="s">
        <v>1016</v>
      </c>
      <c r="B123" s="78" t="str">
        <f t="array" ref="B123">iferror(index(Buys!$T:$T,match(C123,Buys!$C:$C,0)),"Other")</f>
        <v>Other</v>
      </c>
      <c r="C123" s="270" t="s">
        <v>1527</v>
      </c>
      <c r="D123" s="271">
        <f t="shared" si="3"/>
        <v>0</v>
      </c>
      <c r="E123" s="272"/>
      <c r="F123" s="273">
        <f t="shared" si="4"/>
        <v>0</v>
      </c>
      <c r="G123" s="274"/>
      <c r="H123" s="275">
        <f>iferror(iferror(vlookup(C123,Buys!C:J,2,false),iferror(vlookup(C123,Sells!C:J,2,false),vlookup(C123,Macro!C:N,3,false))),0)/M123-1</f>
        <v>0.0768126346</v>
      </c>
      <c r="I123" s="276">
        <f>iferror(iferror(vlookup(C123,Buys!C:J,7,false),iferror(vlookup(C123,Sells!C:J,7,false),vlookup(C123,Macro!C:N,7,false))),0)/M123-1</f>
        <v>-0.9401770759</v>
      </c>
      <c r="J123" s="277">
        <f t="shared" si="5"/>
        <v>0</v>
      </c>
      <c r="K123" s="278"/>
      <c r="L123" s="228">
        <f>IFERROR(__xludf.DUMMYFUNCTION("iferror(googlefinance(""NASDAQ:""&amp;C123,""changepct"")/100,iferror(googlefinance(""NYSE:""&amp;C123,""changepct"")/100,iferror(googlefinance(C123,""changepct"")/100,"""")))"),-0.016)</f>
        <v>-0.016</v>
      </c>
      <c r="M123" s="279">
        <f>IFERROR(__xludf.DUMMYFUNCTION("iferror(googlefinance(""NASDAQ:""&amp;C123,""price""),iferror(googlefinance(""NYSE:""&amp;C123,""price""),iferror(googlefinance(C123,""price""),1)))"),83.58)</f>
        <v>83.58</v>
      </c>
      <c r="N123" s="280">
        <f t="shared" si="6"/>
        <v>0</v>
      </c>
      <c r="O123" s="281" t="str">
        <f t="array" ref="O123">iferror(index(Buys!$Q:$Q,match(C123,Buys!$C:$C,0)),index(Sells!$Q:$Q,match(C123,Sells!$C:$C,0)))</f>
        <v/>
      </c>
      <c r="P123" s="282">
        <f>IFERROR(__xludf.DUMMYFUNCTION("iferror(googlefinance(""NASDAQ:""&amp;C123,""beta""),iferror(googlefinance(""NYSE:""&amp;C123,""beta""),iferror(googlefinance(C123,""beta""),1)))"),1.0)</f>
        <v>1</v>
      </c>
      <c r="Q123" s="283" t="str">
        <f t="array" ref="Q123">iferror(index(Buys!$M:$M,match(C123,Buys!$C:$C,0)),index(Sells!$M:$M,match(C123,Sells!$C:$C,0)))</f>
        <v/>
      </c>
      <c r="R123" s="284">
        <f t="array" ref="R123">iferror(index(Buys!$S:$S,match(C123,Buys!$C:$C,0)),index(Sells!$S:$S,match(C123,Sells!$C:$C,0)))</f>
        <v>43747</v>
      </c>
    </row>
    <row r="124" ht="12.75" customHeight="1">
      <c r="A124" s="269" t="s">
        <v>1016</v>
      </c>
      <c r="B124" s="285" t="str">
        <f t="array" ref="B124">iferror(index(Buys!$T:$T,match(C124,Buys!$C:$C,0)),"Other")</f>
        <v>Other</v>
      </c>
      <c r="C124" s="270" t="s">
        <v>1530</v>
      </c>
      <c r="D124" s="271">
        <f t="shared" si="3"/>
        <v>-0.02216389711</v>
      </c>
      <c r="E124" s="272">
        <v>-900.0</v>
      </c>
      <c r="F124" s="273">
        <f t="shared" si="4"/>
        <v>0.01772468786</v>
      </c>
      <c r="G124" s="274">
        <v>-0.025</v>
      </c>
      <c r="H124" s="275">
        <f>iferror(iferror(vlookup(C124,Buys!C:J,2,false),iferror(vlookup(C124,Sells!C:J,2,false),vlookup(C124,Macro!C:N,3,false))),0)/M124-1</f>
        <v>0.6135538524</v>
      </c>
      <c r="I124" s="276">
        <f>iferror(iferror(vlookup(C124,Buys!C:J,7,false),iferror(vlookup(C124,Sells!C:J,7,false),vlookup(C124,Macro!C:N,7,false))),0)/M124-1</f>
        <v>-0.8740785307</v>
      </c>
      <c r="J124" s="277">
        <f t="shared" si="5"/>
        <v>-0.004439209249</v>
      </c>
      <c r="K124" s="278"/>
      <c r="L124" s="228">
        <f>IFERROR(__xludf.DUMMYFUNCTION("iferror(googlefinance(""NASDAQ:""&amp;C124,""changepct"")/100,iferror(googlefinance(""NYSE:""&amp;C124,""changepct"")/100,iferror(googlefinance(C124,""changepct"")/100,"""")))"),0.029900000000000003)</f>
        <v>0.0299</v>
      </c>
      <c r="M124" s="279">
        <f>IFERROR(__xludf.DUMMYFUNCTION("iferror(googlefinance(""NASDAQ:""&amp;C124,""price""),iferror(googlefinance(""NYSE:""&amp;C124,""price""),iferror(googlefinance(C124,""price""),1)))"),24.79)</f>
        <v>24.79</v>
      </c>
      <c r="N124" s="280">
        <f t="shared" si="6"/>
        <v>0</v>
      </c>
      <c r="O124" s="281">
        <f t="array" ref="O124">iferror(index(Buys!$Q:$Q,match(C124,Buys!$C:$C,0)),index(Sells!$Q:$Q,match(C124,Sells!$C:$C,0)))</f>
        <v>14.70588235</v>
      </c>
      <c r="P124" s="282">
        <f>IFERROR(__xludf.DUMMYFUNCTION("iferror(googlefinance(""NASDAQ:""&amp;C124,""beta""),iferror(googlefinance(""NYSE:""&amp;C124,""beta""),iferror(googlefinance(C124,""beta""),1)))"),0.0)</f>
        <v>0</v>
      </c>
      <c r="Q124" s="283">
        <f t="array" ref="Q124">iferror(index(Buys!$M:$M,match(C124,Buys!$C:$C,0)),index(Sells!$M:$M,match(C124,Sells!$C:$C,0)))</f>
        <v>0.179888423</v>
      </c>
      <c r="R124" s="284">
        <f t="array" ref="R124">iferror(index(Buys!$S:$S,match(C124,Buys!$C:$C,0)),index(Sells!$S:$S,match(C124,Sells!$C:$C,0)))</f>
        <v>43759</v>
      </c>
    </row>
    <row r="125" ht="12.75" customHeight="1">
      <c r="A125" s="269" t="s">
        <v>1016</v>
      </c>
      <c r="B125" s="285" t="str">
        <f t="array" ref="B125">iferror(index(Buys!$T:$T,match(C125,Buys!$C:$C,0)),"Other")</f>
        <v>Other</v>
      </c>
      <c r="C125" s="270" t="s">
        <v>1537</v>
      </c>
      <c r="D125" s="271">
        <f t="shared" si="3"/>
        <v>-0.02818096155</v>
      </c>
      <c r="E125" s="272">
        <v>-1800.0</v>
      </c>
      <c r="F125" s="273">
        <f t="shared" si="4"/>
        <v>0.02450912281</v>
      </c>
      <c r="G125" s="274">
        <v>-0.025</v>
      </c>
      <c r="H125" s="275">
        <f>iferror(iferror(vlookup(C125,Buys!C:J,2,false),iferror(vlookup(C125,Sells!C:J,2,false),vlookup(C125,Macro!C:N,3,false))),0)/M125-1</f>
        <v>0.5862944162</v>
      </c>
      <c r="I125" s="276">
        <f>iferror(iferror(vlookup(C125,Buys!C:J,7,false),iferror(vlookup(C125,Sells!C:J,7,false),vlookup(C125,Macro!C:N,7,false))),0)/M125-1</f>
        <v>-0.8120007524</v>
      </c>
      <c r="J125" s="277">
        <f t="shared" si="5"/>
        <v>-0.00367183874</v>
      </c>
      <c r="K125" s="278"/>
      <c r="L125" s="228">
        <f>IFERROR(__xludf.DUMMYFUNCTION("iferror(googlefinance(""NASDAQ:""&amp;C125,""changepct"")/100,iferror(googlefinance(""NYSE:""&amp;C125,""changepct"")/100,iferror(googlefinance(C125,""changepct"")/100,"""")))"),-0.0032)</f>
        <v>-0.0032</v>
      </c>
      <c r="M125" s="279">
        <f>IFERROR(__xludf.DUMMYFUNCTION("iferror(googlefinance(""NASDAQ:""&amp;C125,""price""),iferror(googlefinance(""NYSE:""&amp;C125,""price""),iferror(googlefinance(C125,""price""),1)))"),15.76)</f>
        <v>15.76</v>
      </c>
      <c r="N125" s="280">
        <f t="shared" si="6"/>
        <v>0</v>
      </c>
      <c r="O125" s="281">
        <f t="array" ref="O125">iferror(index(Buys!$Q:$Q,match(C125,Buys!$C:$C,0)),index(Sells!$Q:$Q,match(C125,Sells!$C:$C,0)))</f>
        <v>14.70588235</v>
      </c>
      <c r="P125" s="282">
        <f>IFERROR(__xludf.DUMMYFUNCTION("iferror(googlefinance(""NASDAQ:""&amp;C125,""beta""),iferror(googlefinance(""NYSE:""&amp;C125,""beta""),iferror(googlefinance(C125,""beta""),1)))"),1.0)</f>
        <v>1</v>
      </c>
      <c r="Q125" s="283">
        <f t="array" ref="Q125">iferror(index(Buys!$M:$M,match(C125,Buys!$C:$C,0)),index(Sells!$M:$M,match(C125,Sells!$C:$C,0)))</f>
        <v>0.1798884229</v>
      </c>
      <c r="R125" s="284">
        <f t="array" ref="R125">iferror(index(Buys!$S:$S,match(C125,Buys!$C:$C,0)),index(Sells!$S:$S,match(C125,Sells!$C:$C,0)))</f>
        <v>43758</v>
      </c>
    </row>
    <row r="126" ht="12.75" hidden="1" customHeight="1">
      <c r="A126" s="285" t="s">
        <v>1016</v>
      </c>
      <c r="B126" s="78" t="str">
        <f t="array" ref="B126">index(Buys!$T:$T,match(C126,Buys!$C:$C,0))</f>
        <v>#N/A</v>
      </c>
      <c r="C126" s="270" t="s">
        <v>1525</v>
      </c>
      <c r="D126" s="271">
        <f t="shared" si="3"/>
        <v>0</v>
      </c>
      <c r="E126" s="292"/>
      <c r="F126" s="273">
        <f t="shared" si="4"/>
        <v>0</v>
      </c>
      <c r="G126" s="274"/>
      <c r="H126" s="275">
        <f>iferror(iferror(vlookup(C126,Buys!C:I,4,false),iferror(vlookup(C126,Sells!C:I,4,false),vlookup(C126,Macro!C:I,4,false))),0)</f>
        <v>328.13</v>
      </c>
      <c r="I126" s="276" t="str">
        <f>iferror(iferror(vlookup(C126,Buys!C:I,6,false),iferror(vlookup(C126,Sells!C:I,6,false),vlookup(C126,Macro!C:I,6,false))),0)</f>
        <v/>
      </c>
      <c r="J126" s="277">
        <f>iferror(if(I126&lt;0,0, if(G126&gt;=0,max(($N$11*abs(I126/H126)-$N$12)/abs(I126/H126)/2,0),MAX(($N$11*abs(I126/H126)-$N$12)/ABS(I126/H126)/2,0))),0)*$N$19/$J$13*G126</f>
        <v>0</v>
      </c>
      <c r="K126" s="278"/>
      <c r="L126" s="228">
        <f>IFERROR(__xludf.DUMMYFUNCTION("iferror(googlefinance(C126,""changepct"")/100,"""")"),0.0949)</f>
        <v>0.0949</v>
      </c>
      <c r="M126" s="279">
        <f>IFERROR(__xludf.DUMMYFUNCTION("iferror(googlefinance(C126,""price""),"""")"),328.13)</f>
        <v>328.13</v>
      </c>
      <c r="N126" s="280">
        <f t="shared" si="6"/>
        <v>0</v>
      </c>
      <c r="O126" s="281">
        <f>(D126+N126)*$C$23/M126</f>
        <v>0</v>
      </c>
      <c r="P126" s="459">
        <f>O126-E126</f>
        <v>0</v>
      </c>
      <c r="Q126" s="461" t="str">
        <f t="array" ref="Q126">index(Buys!$M:$M,match(C126,Buys!$C:$C,0))</f>
        <v>#N/A</v>
      </c>
      <c r="R126" s="461" t="str">
        <f t="array" ref="R126">index(Buys!$S:$S,match(C126,Buys!$C:$C,0))</f>
        <v>#N/A</v>
      </c>
    </row>
    <row r="127" ht="12.75" customHeight="1">
      <c r="A127" s="17"/>
      <c r="B127" s="7"/>
      <c r="C127" s="7"/>
      <c r="D127" s="464"/>
      <c r="E127" s="465"/>
      <c r="F127" s="75"/>
      <c r="H127" s="67"/>
      <c r="I127" s="76"/>
      <c r="J127" s="67"/>
      <c r="K127" s="1"/>
      <c r="L127" s="81"/>
      <c r="M127" s="1"/>
      <c r="N127" s="468"/>
      <c r="O127" s="1"/>
      <c r="P127" s="1"/>
      <c r="Q127" s="1"/>
      <c r="R127" s="1"/>
    </row>
    <row r="128" ht="12.75" customHeight="1">
      <c r="A128" s="9" t="s">
        <v>833</v>
      </c>
      <c r="B128" s="7"/>
      <c r="C128" s="470"/>
      <c r="D128" s="280">
        <f>sum(D26:D126)</f>
        <v>0.9827216771</v>
      </c>
      <c r="E128" s="94"/>
      <c r="F128" s="280">
        <f t="shared" ref="F128:G128" si="7">sum(F26:F126)</f>
        <v>-0.5864405858</v>
      </c>
      <c r="G128" s="280">
        <f t="shared" si="7"/>
        <v>1</v>
      </c>
      <c r="H128" s="195" t="s">
        <v>1555</v>
      </c>
      <c r="I128" s="76"/>
      <c r="J128" s="280">
        <f>sum(J26:J126)</f>
        <v>0.3962810913</v>
      </c>
      <c r="K128" s="1"/>
      <c r="L128" s="81"/>
      <c r="M128" s="1"/>
      <c r="N128" s="280">
        <f>sum(N26:N126)</f>
        <v>0</v>
      </c>
      <c r="O128" s="1"/>
      <c r="P128" s="1"/>
      <c r="Q128" s="1"/>
      <c r="R128" s="1"/>
    </row>
    <row r="129" ht="12.75" customHeight="1">
      <c r="A129" s="9" t="s">
        <v>1557</v>
      </c>
      <c r="B129" s="7"/>
      <c r="C129" s="470"/>
      <c r="D129" s="72"/>
      <c r="E129" s="72"/>
      <c r="F129" s="75"/>
      <c r="G129" s="474"/>
      <c r="H129" s="67"/>
      <c r="I129" s="76"/>
      <c r="J129" s="67"/>
      <c r="K129" s="1"/>
      <c r="L129" s="81"/>
      <c r="M129" s="1"/>
      <c r="N129" s="280">
        <f>D139+N128</f>
        <v>0.9827216771</v>
      </c>
      <c r="O129" s="1"/>
      <c r="P129" s="475">
        <f>SUMPRODUCT(D26:D125,P26:P125)</f>
        <v>1.017231065</v>
      </c>
      <c r="Q129" s="1"/>
      <c r="R129" s="1"/>
    </row>
    <row r="130" ht="12.75" customHeight="1">
      <c r="A130" s="470"/>
      <c r="B130" s="7"/>
      <c r="C130" s="470" t="s">
        <v>1560</v>
      </c>
      <c r="D130" s="72" t="s">
        <v>1562</v>
      </c>
      <c r="E130" s="72" t="s">
        <v>1563</v>
      </c>
      <c r="F130" s="75"/>
      <c r="G130" s="474" t="s">
        <v>1564</v>
      </c>
      <c r="H130" s="67"/>
      <c r="I130" s="76"/>
      <c r="J130" s="67"/>
      <c r="K130" s="1"/>
      <c r="L130" s="476" t="s">
        <v>1565</v>
      </c>
      <c r="M130" s="1"/>
      <c r="N130" s="468"/>
      <c r="O130" s="1"/>
      <c r="P130" s="1"/>
      <c r="Q130" s="1"/>
      <c r="R130" s="1"/>
    </row>
    <row r="131" ht="12.75" customHeight="1">
      <c r="A131" s="9"/>
      <c r="B131" s="1"/>
      <c r="C131" s="9" t="s">
        <v>1566</v>
      </c>
      <c r="D131" s="478">
        <f t="array" ref="D131">iferror(sumproduct($D$26:$D$96,H26:H96),0)</f>
        <v>-0.1888207486</v>
      </c>
      <c r="E131" s="478">
        <f t="array" ref="E131">iferror(sumproduct($D$26:$D$64,I26:I64),0)</f>
        <v>0.352677704</v>
      </c>
      <c r="F131" s="9"/>
      <c r="G131" s="485">
        <v>0.15</v>
      </c>
      <c r="H131" s="68"/>
      <c r="I131" s="76"/>
      <c r="J131" s="67"/>
      <c r="K131" s="1"/>
      <c r="L131" s="488">
        <f>sumproduct($D$25:$D$97,$L$25:$L$97)</f>
        <v>0.004175594287</v>
      </c>
      <c r="M131" s="1"/>
      <c r="N131" s="468"/>
      <c r="O131" s="1"/>
      <c r="P131" s="1"/>
      <c r="Q131" s="1"/>
      <c r="R131" s="1"/>
    </row>
    <row r="132" ht="12.75" customHeight="1">
      <c r="A132" s="9"/>
      <c r="B132" s="1"/>
      <c r="C132" s="9" t="s">
        <v>1573</v>
      </c>
      <c r="D132" s="478">
        <f t="array" ref="D132">iferror(sumproduct($D$97:$D$126,H97:H126),0)</f>
        <v>-0.03012108485</v>
      </c>
      <c r="E132" s="478">
        <f t="array" ref="E132">iferror(sumproduct($D$95:$D$126,I95:I126),0)</f>
        <v>0.0422559486</v>
      </c>
      <c r="F132" s="9"/>
      <c r="G132" s="485">
        <v>0.025</v>
      </c>
      <c r="H132" s="68"/>
      <c r="I132" s="76"/>
      <c r="J132" s="67"/>
      <c r="K132" s="1"/>
      <c r="L132" s="488">
        <f>sumproduct($D$98:$D$126,$L$98:$L$126)</f>
        <v>-0.0005725214465</v>
      </c>
      <c r="M132" s="1"/>
      <c r="N132" s="468"/>
      <c r="O132" s="1"/>
      <c r="P132" s="1"/>
      <c r="Q132" s="1"/>
      <c r="R132" s="1"/>
    </row>
    <row r="133" ht="12.75" customHeight="1">
      <c r="A133" s="9"/>
      <c r="B133" s="1"/>
      <c r="C133" s="9" t="s">
        <v>1580</v>
      </c>
      <c r="D133" s="478">
        <f t="shared" ref="D133:E133" si="8">D131+D132</f>
        <v>-0.2189418335</v>
      </c>
      <c r="E133" s="478">
        <f t="shared" si="8"/>
        <v>0.3949336526</v>
      </c>
      <c r="F133" s="9"/>
      <c r="G133" s="485">
        <f>sum(G131:G132)</f>
        <v>0.175</v>
      </c>
      <c r="H133" s="68"/>
      <c r="I133" s="76"/>
      <c r="J133" s="67"/>
      <c r="K133" s="1"/>
      <c r="L133" s="492">
        <f>sumproduct($D$25:$D$126,$L$25:$L$126)</f>
        <v>0.00360307284</v>
      </c>
      <c r="M133" s="1"/>
      <c r="N133" s="468"/>
      <c r="O133" s="1"/>
      <c r="P133" s="1"/>
      <c r="Q133" s="1"/>
      <c r="R133" s="1"/>
    </row>
    <row r="134" ht="12.75" customHeight="1">
      <c r="A134" s="17"/>
      <c r="B134" s="1"/>
      <c r="C134" s="32"/>
      <c r="D134" s="478"/>
      <c r="E134" s="478"/>
      <c r="F134" s="9"/>
      <c r="G134" s="493"/>
      <c r="H134" s="68"/>
      <c r="I134" s="76"/>
      <c r="J134" s="67"/>
      <c r="K134" s="1"/>
      <c r="L134" s="81"/>
      <c r="M134" s="1"/>
      <c r="N134" s="468"/>
      <c r="O134" s="1"/>
      <c r="P134" s="1"/>
      <c r="Q134" s="1"/>
      <c r="R134" s="1"/>
    </row>
    <row r="135" ht="12.75" customHeight="1">
      <c r="A135" s="17"/>
      <c r="B135" s="1"/>
      <c r="C135" s="32"/>
      <c r="D135" s="478"/>
      <c r="E135" s="478"/>
      <c r="F135" s="9"/>
      <c r="G135" s="493"/>
      <c r="H135" s="68"/>
      <c r="I135" s="76"/>
      <c r="J135" s="67"/>
      <c r="K135" s="1"/>
      <c r="L135" s="81"/>
      <c r="M135" s="1"/>
      <c r="N135" s="468"/>
      <c r="O135" s="1"/>
      <c r="P135" s="1"/>
      <c r="Q135" s="1"/>
      <c r="R135" s="1"/>
    </row>
    <row r="136" ht="12.75" customHeight="1">
      <c r="A136" s="17"/>
      <c r="B136" s="1"/>
      <c r="C136" s="32"/>
      <c r="D136" s="478"/>
      <c r="E136" s="478"/>
      <c r="F136" s="9"/>
      <c r="H136" s="68"/>
      <c r="I136" s="76"/>
      <c r="J136" s="67"/>
      <c r="K136" s="1"/>
      <c r="L136" s="81"/>
      <c r="M136" s="1"/>
      <c r="N136" s="468"/>
      <c r="O136" s="1"/>
      <c r="P136" s="1"/>
      <c r="Q136" s="1"/>
      <c r="R136" s="1"/>
    </row>
    <row r="137" ht="12.75" customHeight="1">
      <c r="A137" s="17"/>
      <c r="B137" s="1"/>
      <c r="C137" s="32" t="s">
        <v>1581</v>
      </c>
      <c r="D137" s="478">
        <f>sumif($D$25:$D$126,"&gt;0")</f>
        <v>1.033066536</v>
      </c>
      <c r="E137" s="478"/>
      <c r="F137" s="9"/>
      <c r="H137" s="68"/>
      <c r="I137" s="76"/>
      <c r="J137" s="67"/>
      <c r="K137" s="1"/>
      <c r="L137" s="81"/>
      <c r="M137" s="1"/>
      <c r="N137" s="468"/>
      <c r="O137" s="1"/>
      <c r="P137" s="1"/>
      <c r="Q137" s="1"/>
      <c r="R137" s="1"/>
    </row>
    <row r="138" ht="12.75" customHeight="1">
      <c r="A138" s="17"/>
      <c r="B138" s="1"/>
      <c r="C138" s="32" t="s">
        <v>1582</v>
      </c>
      <c r="D138" s="478">
        <f>sumif($D$25:$D$127,"&lt;0")</f>
        <v>-0.05034485866</v>
      </c>
      <c r="E138" s="478"/>
      <c r="F138" s="9"/>
      <c r="H138" s="68"/>
      <c r="I138" s="76"/>
      <c r="J138" s="67"/>
      <c r="K138" s="1"/>
      <c r="L138" s="81"/>
      <c r="M138" s="1"/>
      <c r="N138" s="468"/>
      <c r="O138" s="1"/>
      <c r="P138" s="1"/>
      <c r="Q138" s="1"/>
      <c r="R138" s="1"/>
    </row>
    <row r="139" ht="12.75" customHeight="1">
      <c r="A139" s="17"/>
      <c r="B139" s="1"/>
      <c r="C139" s="1" t="s">
        <v>1585</v>
      </c>
      <c r="D139" s="478">
        <f>SUM(D25:D126)</f>
        <v>0.9827216771</v>
      </c>
      <c r="E139" s="478"/>
      <c r="F139" s="9"/>
      <c r="H139" s="68"/>
      <c r="I139" s="76"/>
      <c r="J139" s="67"/>
      <c r="K139" s="1"/>
      <c r="L139" s="81"/>
      <c r="M139" s="1"/>
      <c r="N139" s="468"/>
      <c r="O139" s="1"/>
      <c r="P139" s="1"/>
      <c r="Q139" s="1"/>
      <c r="R139" s="1"/>
    </row>
    <row r="140" ht="12.75" customHeight="1">
      <c r="A140" s="17"/>
      <c r="B140" s="1"/>
      <c r="C140" s="32" t="s">
        <v>1586</v>
      </c>
      <c r="D140" s="478">
        <f t="array" ref="D140">sum(abs(D26:D126))</f>
        <v>1.083411394</v>
      </c>
      <c r="E140" s="478"/>
      <c r="F140" s="75"/>
      <c r="G140" s="67"/>
      <c r="H140" s="68"/>
      <c r="I140" s="76"/>
      <c r="J140" s="67"/>
      <c r="K140" s="1"/>
      <c r="L140" s="81"/>
      <c r="M140" s="1"/>
      <c r="N140" s="468"/>
      <c r="O140" s="1"/>
      <c r="P140" s="1"/>
      <c r="Q140" s="1"/>
      <c r="R140" s="1"/>
    </row>
    <row r="141" ht="12.75" customHeight="1">
      <c r="A141" s="17"/>
      <c r="B141" s="1"/>
      <c r="C141" s="1"/>
      <c r="D141" s="478"/>
      <c r="E141" s="478"/>
      <c r="F141" s="75"/>
      <c r="K141" s="1"/>
      <c r="L141" s="81"/>
      <c r="M141" s="1"/>
      <c r="N141" s="468"/>
      <c r="O141" s="1"/>
      <c r="P141" s="1"/>
      <c r="Q141" s="1"/>
      <c r="R141" s="1"/>
    </row>
    <row r="142" ht="12.75" customHeight="1">
      <c r="A142" s="17"/>
      <c r="B142" s="1"/>
      <c r="C142" s="496" t="s">
        <v>1590</v>
      </c>
      <c r="D142" s="497">
        <v>0.9</v>
      </c>
      <c r="E142" s="498" t="s">
        <v>1591</v>
      </c>
      <c r="F142" s="75"/>
      <c r="K142" s="1"/>
      <c r="L142" s="81"/>
      <c r="M142" s="1"/>
      <c r="N142" s="468"/>
      <c r="O142" s="1"/>
      <c r="P142" s="1"/>
      <c r="Q142" s="1"/>
      <c r="R142" s="1"/>
    </row>
    <row r="143" ht="12.75" customHeight="1">
      <c r="A143" s="17"/>
      <c r="B143" s="1"/>
      <c r="C143" s="499" t="s">
        <v>1592</v>
      </c>
      <c r="D143" s="500">
        <v>0.8</v>
      </c>
      <c r="E143" s="9" t="s">
        <v>1594</v>
      </c>
      <c r="F143" s="75"/>
      <c r="K143" s="1"/>
      <c r="L143" s="81"/>
      <c r="M143" s="1"/>
      <c r="N143" s="468"/>
      <c r="O143" s="1"/>
      <c r="P143" s="1"/>
      <c r="Q143" s="1"/>
      <c r="R143" s="1"/>
    </row>
    <row r="144" ht="12.75" customHeight="1">
      <c r="A144" s="17"/>
      <c r="B144" s="1"/>
      <c r="C144" s="501" t="s">
        <v>1595</v>
      </c>
      <c r="D144" s="502">
        <v>0.7</v>
      </c>
      <c r="E144" s="503" t="s">
        <v>1596</v>
      </c>
      <c r="F144" s="75"/>
      <c r="K144" s="1"/>
      <c r="L144" s="81"/>
      <c r="M144" s="1"/>
      <c r="N144" s="468"/>
      <c r="O144" s="1"/>
      <c r="P144" s="1"/>
      <c r="Q144" s="1"/>
      <c r="R144" s="1"/>
    </row>
    <row r="145" ht="12.75" customHeight="1">
      <c r="A145" s="17"/>
      <c r="B145" s="1"/>
      <c r="C145" s="32"/>
      <c r="D145" s="500"/>
      <c r="E145" s="478"/>
      <c r="F145" s="75"/>
      <c r="K145" s="1"/>
      <c r="L145" s="81"/>
      <c r="M145" s="1"/>
      <c r="N145" s="468"/>
      <c r="O145" s="1"/>
      <c r="P145" s="1"/>
      <c r="Q145" s="1"/>
      <c r="R145" s="1"/>
    </row>
    <row r="146" ht="12.75" customHeight="1">
      <c r="A146" s="17"/>
      <c r="B146" s="1"/>
      <c r="C146" s="32" t="s">
        <v>1598</v>
      </c>
      <c r="D146" s="500">
        <v>1.0</v>
      </c>
      <c r="E146" s="478"/>
      <c r="F146" s="75"/>
      <c r="K146" s="1"/>
      <c r="L146" s="81"/>
      <c r="M146" s="1"/>
      <c r="N146" s="468"/>
      <c r="O146" s="1"/>
      <c r="P146" s="1"/>
      <c r="Q146" s="1"/>
      <c r="R146" s="1"/>
    </row>
    <row r="147" ht="12.75" customHeight="1">
      <c r="A147" s="17"/>
      <c r="B147" s="1"/>
      <c r="C147" s="32" t="s">
        <v>1599</v>
      </c>
      <c r="D147" s="500">
        <v>-0.05</v>
      </c>
      <c r="E147" s="478"/>
      <c r="F147" s="75"/>
      <c r="K147" s="1"/>
      <c r="L147" s="81"/>
      <c r="M147" s="1"/>
      <c r="N147" s="468"/>
      <c r="O147" s="1"/>
      <c r="P147" s="1"/>
      <c r="Q147" s="1"/>
      <c r="R147" s="1"/>
    </row>
    <row r="148" ht="12.75" customHeight="1">
      <c r="A148" s="17"/>
      <c r="B148" s="1"/>
      <c r="C148" s="32" t="s">
        <v>1600</v>
      </c>
      <c r="D148" s="500">
        <v>1.05</v>
      </c>
      <c r="E148" s="478"/>
      <c r="F148" s="75"/>
      <c r="G148" s="67"/>
      <c r="H148" s="68"/>
      <c r="I148" s="76"/>
      <c r="J148" s="67"/>
      <c r="K148" s="1"/>
      <c r="L148" s="81"/>
      <c r="M148" s="1"/>
      <c r="N148" s="468"/>
      <c r="O148" s="1"/>
      <c r="P148" s="1"/>
      <c r="Q148" s="1"/>
      <c r="R148" s="1"/>
    </row>
    <row r="149" ht="12.75" customHeight="1">
      <c r="A149" s="17"/>
      <c r="B149" s="1"/>
      <c r="C149" s="1"/>
      <c r="D149" s="478"/>
      <c r="E149" s="478"/>
      <c r="F149" s="75"/>
      <c r="G149" s="67"/>
      <c r="H149" s="68"/>
      <c r="I149" s="76"/>
      <c r="J149" s="67"/>
      <c r="K149" s="1"/>
      <c r="L149" s="81"/>
      <c r="M149" s="1"/>
      <c r="N149" s="468"/>
      <c r="O149" s="1"/>
      <c r="P149" s="1"/>
      <c r="Q149" s="1"/>
      <c r="R149" s="1"/>
    </row>
    <row r="150" ht="12.75" customHeight="1">
      <c r="A150" s="17"/>
      <c r="B150" s="1"/>
      <c r="C150" s="32" t="s">
        <v>1601</v>
      </c>
      <c r="D150" s="478">
        <f>MAX(0,min(D146-D137))</f>
        <v>0</v>
      </c>
      <c r="E150" s="478"/>
      <c r="F150" s="75"/>
      <c r="G150" s="67"/>
      <c r="H150" s="68"/>
      <c r="I150" s="76"/>
      <c r="J150" s="67"/>
      <c r="K150" s="1"/>
      <c r="L150" s="81"/>
      <c r="M150" s="1"/>
      <c r="N150" s="468"/>
      <c r="O150" s="1"/>
      <c r="P150" s="1"/>
      <c r="Q150" s="1"/>
      <c r="R150" s="1"/>
    </row>
    <row r="151" ht="12.75" customHeight="1">
      <c r="A151" s="17"/>
      <c r="B151" s="1"/>
      <c r="C151" s="32" t="s">
        <v>1602</v>
      </c>
      <c r="D151" s="478">
        <f>MIN(0,max(D147-D138))</f>
        <v>0</v>
      </c>
      <c r="E151" s="478"/>
      <c r="F151" s="75"/>
      <c r="G151" s="67"/>
      <c r="H151" s="68"/>
      <c r="I151" s="76"/>
      <c r="J151" s="67"/>
      <c r="K151" s="1"/>
      <c r="L151" s="81"/>
      <c r="M151" s="1"/>
      <c r="N151" s="468"/>
      <c r="O151" s="1"/>
      <c r="P151" s="1"/>
      <c r="Q151" s="1"/>
      <c r="R151" s="1"/>
    </row>
    <row r="152" ht="12.75" customHeight="1">
      <c r="A152" s="17"/>
      <c r="B152" s="1"/>
      <c r="C152" s="32" t="s">
        <v>1604</v>
      </c>
      <c r="D152" s="478">
        <f>MAX(D148-D140,0)</f>
        <v>0</v>
      </c>
      <c r="E152" s="478"/>
      <c r="F152" s="75"/>
      <c r="G152" s="67"/>
      <c r="H152" s="68"/>
      <c r="I152" s="76"/>
      <c r="J152" s="67"/>
      <c r="K152" s="1"/>
      <c r="L152" s="81"/>
      <c r="M152" s="1"/>
      <c r="N152" s="468"/>
      <c r="O152" s="1"/>
      <c r="P152" s="1"/>
      <c r="Q152" s="1"/>
      <c r="R152" s="1"/>
    </row>
    <row r="153" ht="12.75" customHeight="1">
      <c r="A153" s="17"/>
      <c r="B153" s="1"/>
      <c r="C153" s="1"/>
      <c r="D153" s="478"/>
      <c r="E153" s="478"/>
      <c r="F153" s="75"/>
      <c r="G153" s="67"/>
      <c r="H153" s="68"/>
      <c r="I153" s="76"/>
      <c r="J153" s="67"/>
      <c r="K153" s="1"/>
      <c r="L153" s="81"/>
      <c r="M153" s="1"/>
      <c r="N153" s="468"/>
      <c r="O153" s="1"/>
      <c r="P153" s="1"/>
      <c r="Q153" s="1"/>
      <c r="R153" s="1"/>
    </row>
    <row r="154" ht="12.75" customHeight="1">
      <c r="A154" s="17"/>
      <c r="B154" s="1"/>
      <c r="C154" s="193" t="s">
        <v>336</v>
      </c>
      <c r="D154" s="72" t="s">
        <v>1605</v>
      </c>
      <c r="E154" s="478"/>
      <c r="F154" s="75"/>
      <c r="G154" s="67"/>
      <c r="H154" s="68"/>
      <c r="I154" s="76"/>
      <c r="J154" s="67"/>
      <c r="K154" s="1"/>
      <c r="L154" s="81"/>
      <c r="M154" s="1"/>
      <c r="N154" s="468"/>
      <c r="O154" s="1"/>
      <c r="P154" s="1"/>
      <c r="Q154" s="1"/>
      <c r="R154" s="1"/>
    </row>
    <row r="155" ht="12.75" customHeight="1">
      <c r="A155" s="17"/>
      <c r="B155" s="1"/>
      <c r="C155" s="32" t="s">
        <v>1223</v>
      </c>
      <c r="D155" s="504">
        <f t="shared" ref="D155:D157" si="9">sumifs($D$26:$D$126,$B$26:$B$126,C155)</f>
        <v>0.611351281</v>
      </c>
      <c r="E155" s="9"/>
      <c r="F155" s="75"/>
      <c r="G155" s="195"/>
      <c r="I155" s="505"/>
      <c r="J155" s="76"/>
      <c r="K155" s="1"/>
      <c r="L155" s="81"/>
      <c r="M155" s="1"/>
      <c r="N155" s="468"/>
      <c r="O155" s="1"/>
      <c r="P155" s="1"/>
      <c r="Q155" s="1"/>
      <c r="R155" s="1"/>
    </row>
    <row r="156" ht="12.75" customHeight="1">
      <c r="A156" s="17"/>
      <c r="B156" s="1"/>
      <c r="C156" s="32" t="s">
        <v>1608</v>
      </c>
      <c r="D156" s="504">
        <f t="shared" si="9"/>
        <v>0.03392086552</v>
      </c>
      <c r="E156" s="9"/>
      <c r="F156" s="75"/>
      <c r="G156" s="195"/>
      <c r="I156" s="505"/>
      <c r="J156" s="76"/>
      <c r="K156" s="1"/>
      <c r="L156" s="81"/>
      <c r="M156" s="1"/>
      <c r="N156" s="468"/>
      <c r="O156" s="1"/>
      <c r="P156" s="1"/>
      <c r="Q156" s="1"/>
      <c r="R156" s="1"/>
    </row>
    <row r="157" ht="12.75" customHeight="1">
      <c r="A157" s="17"/>
      <c r="B157" s="1"/>
      <c r="C157" s="32" t="s">
        <v>1240</v>
      </c>
      <c r="D157" s="504">
        <f t="shared" si="9"/>
        <v>0.3877943892</v>
      </c>
      <c r="E157" s="9"/>
      <c r="F157" s="75"/>
      <c r="G157" s="195"/>
      <c r="I157" s="505"/>
      <c r="J157" s="76"/>
      <c r="K157" s="1"/>
      <c r="L157" s="81"/>
      <c r="M157" s="1"/>
      <c r="N157" s="468"/>
      <c r="O157" s="1"/>
      <c r="P157" s="1"/>
      <c r="Q157" s="1"/>
      <c r="R157" s="1"/>
    </row>
    <row r="158" ht="12.75" customHeight="1">
      <c r="A158" s="17"/>
      <c r="B158" s="1"/>
      <c r="C158" s="32" t="s">
        <v>1609</v>
      </c>
      <c r="D158" s="504">
        <f>sumifs($D$26:$D$126,$B$26:$B$126,"Other")</f>
        <v>-0.05034485866</v>
      </c>
      <c r="E158" s="9"/>
      <c r="F158" s="75"/>
      <c r="G158" s="195"/>
      <c r="I158" s="505"/>
      <c r="J158" s="76"/>
      <c r="K158" s="1"/>
      <c r="L158" s="81"/>
      <c r="M158" s="1"/>
      <c r="N158" s="468"/>
      <c r="O158" s="1"/>
      <c r="P158" s="1"/>
      <c r="Q158" s="1"/>
      <c r="R158" s="1"/>
    </row>
    <row r="159" ht="12.75" customHeight="1">
      <c r="A159" s="17"/>
      <c r="B159" s="1"/>
      <c r="C159" s="32" t="s">
        <v>833</v>
      </c>
      <c r="D159" s="504">
        <f>sum(D155:D158)</f>
        <v>0.9827216771</v>
      </c>
      <c r="E159" s="9"/>
      <c r="F159" s="75"/>
      <c r="G159" s="195"/>
      <c r="I159" s="505"/>
      <c r="J159" s="76"/>
      <c r="K159" s="1"/>
      <c r="L159" s="81"/>
      <c r="M159" s="1"/>
      <c r="N159" s="468"/>
      <c r="O159" s="1"/>
      <c r="P159" s="1"/>
      <c r="Q159" s="1"/>
      <c r="R159" s="1"/>
    </row>
    <row r="160" ht="12.75" customHeight="1">
      <c r="A160" s="17"/>
      <c r="B160" s="1"/>
      <c r="C160" s="1"/>
      <c r="D160" s="9"/>
      <c r="E160" s="9"/>
      <c r="F160" s="75"/>
      <c r="G160" s="195"/>
      <c r="I160" s="505"/>
      <c r="J160" s="76"/>
      <c r="K160" s="1"/>
      <c r="L160" s="81"/>
      <c r="M160" s="1"/>
      <c r="N160" s="468"/>
      <c r="O160" s="1"/>
      <c r="P160" s="1"/>
      <c r="Q160" s="1"/>
      <c r="R160" s="1"/>
    </row>
    <row r="161" ht="12.75" customHeight="1">
      <c r="A161" s="17"/>
      <c r="B161" s="1"/>
      <c r="C161" s="1"/>
      <c r="D161" s="9" t="s">
        <v>1611</v>
      </c>
      <c r="E161" s="9" t="s">
        <v>1612</v>
      </c>
      <c r="F161" s="75"/>
      <c r="G161" s="195" t="s">
        <v>1613</v>
      </c>
      <c r="I161" s="505" t="s">
        <v>1614</v>
      </c>
      <c r="J161" s="76"/>
      <c r="K161" s="1"/>
      <c r="L161" s="81"/>
      <c r="M161" s="1"/>
      <c r="N161" s="468"/>
      <c r="O161" s="1"/>
      <c r="P161" s="1"/>
      <c r="Q161" s="1"/>
      <c r="R161" s="1"/>
    </row>
    <row r="162" ht="12.75" customHeight="1">
      <c r="A162" s="17"/>
      <c r="B162" s="193" t="s">
        <v>1615</v>
      </c>
      <c r="C162" s="193" t="s">
        <v>1616</v>
      </c>
      <c r="D162" s="9" t="s">
        <v>541</v>
      </c>
      <c r="E162" s="94" t="s">
        <v>1617</v>
      </c>
      <c r="F162" s="506" t="s">
        <v>1585</v>
      </c>
      <c r="G162" s="72" t="s">
        <v>1586</v>
      </c>
      <c r="I162" s="72" t="s">
        <v>1562</v>
      </c>
      <c r="J162" s="72" t="s">
        <v>1563</v>
      </c>
      <c r="K162" s="1"/>
      <c r="L162" s="94" t="s">
        <v>1619</v>
      </c>
      <c r="M162" s="94" t="s">
        <v>1024</v>
      </c>
      <c r="N162" s="468"/>
      <c r="O162" s="1"/>
      <c r="P162" s="1"/>
      <c r="Q162" s="1"/>
      <c r="R162" s="1"/>
    </row>
    <row r="163" ht="12.75" customHeight="1">
      <c r="A163" s="17"/>
      <c r="B163" s="32" t="s">
        <v>1620</v>
      </c>
      <c r="C163" s="32" t="s">
        <v>1187</v>
      </c>
      <c r="D163" s="500">
        <f t="shared" ref="D163:D164" si="10">vlookup(C163,$C$26:$D$127,2,false)</f>
        <v>0</v>
      </c>
      <c r="E163" s="465" t="str">
        <f t="shared" ref="E163:E164" si="11">vlookup(C163,$C$26:$G$127,5,false)</f>
        <v/>
      </c>
      <c r="F163" s="478"/>
      <c r="G163" s="493"/>
      <c r="I163" s="507">
        <f t="shared" ref="I163:I164" si="12">vlookup($C163,$C$25:$J$126,6,false)</f>
        <v>-0.3338798934</v>
      </c>
      <c r="J163" s="507">
        <f t="shared" ref="J163:J164" si="13">vlookup($C163,$C$25:$J$126,7,false)</f>
        <v>0.1669540319</v>
      </c>
      <c r="K163" s="1"/>
      <c r="L163" s="508">
        <f>IFERROR(__xludf.DUMMYFUNCTION("iferror(googlefinance(C163,""changepct"")/100,"""")"),-8.0E-4)</f>
        <v>-0.0008</v>
      </c>
      <c r="M163" s="509">
        <f>IFERROR(__xludf.DUMMYFUNCTION("iferror(googlefinance(C163,""price""),"""")"),97.58)</f>
        <v>97.58</v>
      </c>
      <c r="N163" s="468"/>
      <c r="O163" s="1"/>
      <c r="P163" s="1"/>
      <c r="Q163" s="1"/>
      <c r="R163" s="1"/>
    </row>
    <row r="164" ht="12.75" customHeight="1">
      <c r="A164" s="17"/>
      <c r="B164" s="32"/>
      <c r="C164" s="32" t="s">
        <v>1431</v>
      </c>
      <c r="D164" s="500">
        <f t="shared" si="10"/>
        <v>0</v>
      </c>
      <c r="E164" s="465" t="str">
        <f t="shared" si="11"/>
        <v/>
      </c>
      <c r="F164" s="478"/>
      <c r="G164" s="493"/>
      <c r="I164" s="507">
        <f t="shared" si="12"/>
        <v>-0.1407089151</v>
      </c>
      <c r="J164" s="507">
        <f t="shared" si="13"/>
        <v>-0.2392746572</v>
      </c>
      <c r="K164" s="1"/>
      <c r="L164" s="508">
        <f>IFERROR(__xludf.DUMMYFUNCTION("iferror(googlefinance(C164,""changepct"")/100,"""")"),0.044199999999999996)</f>
        <v>0.0442</v>
      </c>
      <c r="M164" s="509">
        <f>IFERROR(__xludf.DUMMYFUNCTION("iferror(googlefinance(C164,""price""),"""")"),46.55)</f>
        <v>46.55</v>
      </c>
      <c r="N164" s="468"/>
      <c r="O164" s="1"/>
      <c r="P164" s="1"/>
      <c r="Q164" s="1"/>
      <c r="R164" s="1"/>
    </row>
    <row r="165" ht="12.75" customHeight="1">
      <c r="A165" s="17"/>
      <c r="B165" s="32"/>
      <c r="C165" s="1"/>
      <c r="D165" s="510">
        <f t="shared" ref="D165:E165" si="14">sum(D163:D164)</f>
        <v>0</v>
      </c>
      <c r="E165" s="510">
        <f t="shared" si="14"/>
        <v>0</v>
      </c>
      <c r="F165" s="478"/>
      <c r="G165" s="493"/>
      <c r="I165" s="511">
        <f t="shared" ref="I165:J165" si="15">sumproduct($D163:$D164,I163:I164)</f>
        <v>0</v>
      </c>
      <c r="J165" s="511">
        <f t="shared" si="15"/>
        <v>0</v>
      </c>
      <c r="K165" s="1"/>
      <c r="L165" s="81"/>
      <c r="M165" s="1"/>
      <c r="N165" s="468"/>
      <c r="O165" s="1"/>
      <c r="P165" s="1"/>
      <c r="Q165" s="1"/>
      <c r="R165" s="1"/>
    </row>
    <row r="166" ht="12.75" customHeight="1">
      <c r="A166" s="17"/>
      <c r="B166" s="32"/>
      <c r="C166" s="1"/>
      <c r="D166" s="478"/>
      <c r="F166" s="478"/>
      <c r="G166" s="493"/>
      <c r="I166" s="68"/>
      <c r="J166" s="76"/>
      <c r="K166" s="1"/>
      <c r="L166" s="81"/>
      <c r="M166" s="1"/>
      <c r="N166" s="468"/>
      <c r="O166" s="1"/>
      <c r="P166" s="1"/>
      <c r="Q166" s="1"/>
      <c r="R166" s="1"/>
    </row>
    <row r="167" ht="12.75" customHeight="1">
      <c r="A167" s="17"/>
      <c r="B167" s="32"/>
      <c r="C167" s="1"/>
      <c r="D167" s="478"/>
      <c r="F167" s="478"/>
      <c r="G167" s="493"/>
      <c r="I167" s="68"/>
      <c r="J167" s="76"/>
      <c r="K167" s="1"/>
      <c r="L167" s="81"/>
      <c r="M167" s="1"/>
      <c r="N167" s="468"/>
      <c r="O167" s="1"/>
      <c r="P167" s="1"/>
      <c r="Q167" s="1"/>
      <c r="R167" s="1"/>
    </row>
    <row r="168" ht="12.75" customHeight="1">
      <c r="A168" s="17"/>
      <c r="B168" s="32" t="s">
        <v>1623</v>
      </c>
      <c r="C168" s="32" t="s">
        <v>605</v>
      </c>
      <c r="D168" s="500">
        <f t="shared" ref="D168:D169" si="16">sumifs($D$26:$D$127,$C$26:$C$127,C168)</f>
        <v>0.02841639894</v>
      </c>
      <c r="E168" s="465">
        <f t="shared" ref="E168:E169" si="17">vlookup(C168,$C$26:$G$127,5,false)</f>
        <v>0.03</v>
      </c>
      <c r="F168" s="500">
        <f>sum(D168:D169)</f>
        <v>0.02841639894</v>
      </c>
      <c r="G168" s="485">
        <f t="array" ref="G168">sum(abs(D168:D169))</f>
        <v>0.02841639894</v>
      </c>
      <c r="I168" s="507">
        <f t="shared" ref="I168:I169" si="18">vlookup($C168,$C$25:$J$126,6,false)</f>
        <v>-0.3445201888</v>
      </c>
      <c r="J168" s="507">
        <f t="shared" ref="J168:J169" si="19">vlookup($C168,$C$25:$J$126,7,false)</f>
        <v>0.4426891319</v>
      </c>
      <c r="K168" s="1"/>
      <c r="L168" s="512">
        <f>IFERROR(__xludf.DUMMYFUNCTION("iferror(googlefinance(C168,""changepct"")/100,"""")"),0.034300000000000004)</f>
        <v>0.0343</v>
      </c>
      <c r="M168" s="513">
        <f>IFERROR(__xludf.DUMMYFUNCTION("iferror(googlefinance(C168,""price""),"""")"),114.42)</f>
        <v>114.42</v>
      </c>
      <c r="N168" s="468"/>
      <c r="O168" s="1"/>
      <c r="P168" s="1"/>
      <c r="Q168" s="1"/>
      <c r="R168" s="1"/>
    </row>
    <row r="169" ht="12.75" customHeight="1">
      <c r="A169" s="17"/>
      <c r="B169" s="1"/>
      <c r="C169" s="32" t="s">
        <v>790</v>
      </c>
      <c r="D169" s="500">
        <f t="shared" si="16"/>
        <v>0</v>
      </c>
      <c r="E169" t="str">
        <f t="shared" si="17"/>
        <v>#N/A</v>
      </c>
      <c r="F169" s="478"/>
      <c r="G169" s="493"/>
      <c r="I169" s="507" t="str">
        <f t="shared" si="18"/>
        <v>#N/A</v>
      </c>
      <c r="J169" s="507" t="str">
        <f t="shared" si="19"/>
        <v>#N/A</v>
      </c>
      <c r="K169" s="1"/>
      <c r="L169" s="512">
        <f>IFERROR(__xludf.DUMMYFUNCTION("iferror(googlefinance(C169,""changepct"")/100,"""")"),0.0393)</f>
        <v>0.0393</v>
      </c>
      <c r="M169" s="513">
        <f>IFERROR(__xludf.DUMMYFUNCTION("iferror(googlefinance(C169,""price""),"""")"),15.85)</f>
        <v>15.85</v>
      </c>
      <c r="N169" s="468"/>
      <c r="O169" s="1"/>
      <c r="P169" s="1"/>
      <c r="Q169" s="1"/>
      <c r="R169" s="1"/>
    </row>
    <row r="170" ht="12.75" customHeight="1">
      <c r="A170" s="17"/>
      <c r="B170" s="1"/>
      <c r="C170" s="32"/>
      <c r="D170" s="510">
        <f t="shared" ref="D170:E170" si="20">sum(D168:D169)</f>
        <v>0.02841639894</v>
      </c>
      <c r="E170" s="514" t="str">
        <f t="shared" si="20"/>
        <v>#N/A</v>
      </c>
      <c r="F170" s="478"/>
      <c r="G170" s="493"/>
      <c r="I170" s="511" t="str">
        <f t="shared" ref="I170:J170" si="21">sumproduct($D168:$D169,I168:I169)</f>
        <v>#N/A</v>
      </c>
      <c r="J170" s="511" t="str">
        <f t="shared" si="21"/>
        <v>#N/A</v>
      </c>
      <c r="K170" s="1"/>
      <c r="L170" s="81"/>
      <c r="M170" s="1"/>
      <c r="N170" s="468"/>
      <c r="O170" s="1"/>
      <c r="P170" s="1"/>
      <c r="Q170" s="1"/>
      <c r="R170" s="1"/>
    </row>
    <row r="171" ht="12.75" customHeight="1">
      <c r="A171" s="17"/>
      <c r="B171" s="1"/>
      <c r="C171" s="32"/>
      <c r="D171" s="500"/>
      <c r="F171" s="478"/>
      <c r="G171" s="493"/>
      <c r="I171" s="68"/>
      <c r="J171" s="76"/>
      <c r="K171" s="1"/>
      <c r="L171" s="81"/>
      <c r="M171" s="1"/>
      <c r="N171" s="468"/>
      <c r="O171" s="1"/>
      <c r="P171" s="1"/>
      <c r="Q171" s="1"/>
      <c r="R171" s="1"/>
    </row>
    <row r="172" ht="12.75" customHeight="1">
      <c r="A172" s="17"/>
      <c r="B172" s="1"/>
      <c r="C172" s="1"/>
      <c r="D172" s="478"/>
      <c r="F172" s="478"/>
      <c r="G172" s="493"/>
      <c r="I172" s="68"/>
      <c r="J172" s="76"/>
      <c r="K172" s="1"/>
      <c r="L172" s="81"/>
      <c r="M172" s="1"/>
      <c r="N172" s="468"/>
      <c r="O172" s="1"/>
      <c r="P172" s="1"/>
      <c r="Q172" s="1"/>
      <c r="R172" s="1"/>
    </row>
    <row r="173" ht="12.75" customHeight="1">
      <c r="A173" s="17"/>
      <c r="B173" s="32"/>
      <c r="C173" s="32"/>
      <c r="D173" s="500"/>
      <c r="F173" s="478"/>
      <c r="G173" s="493"/>
      <c r="I173" s="68"/>
      <c r="J173" s="76"/>
      <c r="K173" s="1"/>
      <c r="L173" s="81"/>
      <c r="M173" s="1"/>
      <c r="N173" s="468"/>
      <c r="O173" s="1"/>
      <c r="P173" s="1"/>
      <c r="Q173" s="1"/>
      <c r="R173" s="1"/>
    </row>
    <row r="174" ht="12.75" customHeight="1">
      <c r="A174" s="17"/>
      <c r="B174" s="32" t="s">
        <v>1626</v>
      </c>
      <c r="C174" s="32" t="s">
        <v>1049</v>
      </c>
      <c r="D174" s="500">
        <f>sumifs($D$26:$D$127,$C$26:$C$127,C174)</f>
        <v>0.05517231856</v>
      </c>
      <c r="E174" s="465">
        <f t="shared" ref="E174:E175" si="22">vlookup(C174,$C$26:$G$127,5,false)</f>
        <v>0.05</v>
      </c>
      <c r="F174" s="500" t="str">
        <f>sum(D174:D175)</f>
        <v>#N/A</v>
      </c>
      <c r="G174" s="485" t="str">
        <f t="array" ref="G174">sum(abs(D174:D175))</f>
        <v>#N/A</v>
      </c>
      <c r="I174" s="507">
        <f t="shared" ref="I174:I175" si="23">vlookup($C174,$C$25:$J$126,6,false)</f>
        <v>-0.1717457259</v>
      </c>
      <c r="J174" s="507">
        <f t="shared" ref="J174:J175" si="24">vlookup($C174,$C$25:$J$126,7,false)</f>
        <v>0.5333617926</v>
      </c>
      <c r="K174" s="1"/>
      <c r="L174" s="512">
        <f>IFERROR(__xludf.DUMMYFUNCTION("iferror(googlefinance(C174,""changepct"")/100,"""")"),-0.0040999999999999995)</f>
        <v>-0.0041</v>
      </c>
      <c r="M174" s="513">
        <f>IFERROR(__xludf.DUMMYFUNCTION("iferror(googlefinance(C174,""price""),"""")"),1110.77)</f>
        <v>1110.77</v>
      </c>
      <c r="N174" s="468"/>
      <c r="O174" s="1"/>
      <c r="P174" s="1"/>
      <c r="Q174" s="1"/>
      <c r="R174" s="1"/>
    </row>
    <row r="175" ht="12.75" customHeight="1">
      <c r="A175" s="17"/>
      <c r="B175" s="1"/>
      <c r="C175" s="32"/>
      <c r="D175" s="500" t="str">
        <f>vlookup(C175,$C$26:$D$127,2,false)</f>
        <v>#N/A</v>
      </c>
      <c r="E175" t="str">
        <f t="shared" si="22"/>
        <v>#N/A</v>
      </c>
      <c r="F175" s="478"/>
      <c r="G175" s="75"/>
      <c r="I175" s="507" t="str">
        <f t="shared" si="23"/>
        <v>#N/A</v>
      </c>
      <c r="J175" s="507" t="str">
        <f t="shared" si="24"/>
        <v>#N/A</v>
      </c>
      <c r="K175" s="1"/>
      <c r="L175" s="512" t="str">
        <f>IFERROR(__xludf.DUMMYFUNCTION("iferror(googlefinance(C175,""changepct"")/100,"""")"),"")</f>
        <v/>
      </c>
      <c r="M175" s="513" t="str">
        <f>IFERROR(__xludf.DUMMYFUNCTION("iferror(googlefinance(C175,""price""),"""")"),"")</f>
        <v/>
      </c>
      <c r="N175" s="468"/>
      <c r="O175" s="1"/>
      <c r="P175" s="1"/>
      <c r="Q175" s="1"/>
      <c r="R175" s="1"/>
    </row>
    <row r="176" ht="12.75" customHeight="1">
      <c r="A176" s="17"/>
      <c r="B176" s="1"/>
      <c r="C176" s="32"/>
      <c r="D176" s="514" t="str">
        <f t="shared" ref="D176:E176" si="25">sum(D174:D175)</f>
        <v>#N/A</v>
      </c>
      <c r="E176" s="514" t="str">
        <f t="shared" si="25"/>
        <v>#N/A</v>
      </c>
      <c r="F176" s="150"/>
      <c r="G176" s="75"/>
      <c r="I176" s="511" t="str">
        <f t="shared" ref="I176:J176" si="26">sumproduct($D174:$D175,I174:I175)</f>
        <v>#N/A</v>
      </c>
      <c r="J176" s="511" t="str">
        <f t="shared" si="26"/>
        <v>#N/A</v>
      </c>
      <c r="K176" s="1"/>
      <c r="L176" s="512"/>
      <c r="M176" s="513"/>
      <c r="N176" s="468"/>
      <c r="O176" s="1"/>
      <c r="P176" s="1"/>
      <c r="Q176" s="1"/>
      <c r="R176" s="1"/>
    </row>
    <row r="177" ht="12.75" customHeight="1">
      <c r="A177" s="17"/>
      <c r="B177" s="1"/>
      <c r="C177" s="1"/>
      <c r="D177" s="150"/>
      <c r="F177" s="150"/>
      <c r="G177" s="75"/>
      <c r="I177" s="68"/>
      <c r="J177" s="76"/>
      <c r="K177" s="1"/>
      <c r="L177" s="81"/>
      <c r="M177" s="1"/>
      <c r="N177" s="468"/>
      <c r="O177" s="1"/>
      <c r="P177" s="1"/>
      <c r="Q177" s="1"/>
      <c r="R177" s="1"/>
    </row>
    <row r="178" ht="12.75" customHeight="1">
      <c r="A178" s="17"/>
      <c r="B178" s="32"/>
      <c r="C178" s="32"/>
      <c r="D178" s="500"/>
      <c r="F178" s="150"/>
      <c r="G178" s="75"/>
      <c r="I178" s="68"/>
      <c r="J178" s="76"/>
      <c r="K178" s="1"/>
      <c r="L178" s="81"/>
      <c r="M178" s="1"/>
      <c r="N178" s="468"/>
      <c r="O178" s="1"/>
      <c r="P178" s="1"/>
      <c r="Q178" s="1"/>
      <c r="R178" s="1"/>
    </row>
    <row r="179" ht="12.75" customHeight="1">
      <c r="A179" s="17"/>
      <c r="B179" s="32" t="s">
        <v>1629</v>
      </c>
      <c r="C179" s="32" t="s">
        <v>1082</v>
      </c>
      <c r="D179" s="500">
        <f>sumifs($D$26:$D$127,$C$26:$C$127,C179)</f>
        <v>0.0336606923</v>
      </c>
      <c r="E179" s="465">
        <f t="shared" ref="E179:E180" si="27">vlookup(C179,$C$26:$G$127,5,false)</f>
        <v>0.025</v>
      </c>
      <c r="F179" s="500">
        <f>sum(D179:D180)</f>
        <v>0.07722555016</v>
      </c>
      <c r="G179" s="485">
        <f t="array" ref="G179">sum(abs(E179:E180))</f>
        <v>0.05</v>
      </c>
      <c r="I179" s="507">
        <f t="shared" ref="I179:I180" si="28">vlookup($C179,$C$25:$J$126,6,false)</f>
        <v>-0.2120197969</v>
      </c>
      <c r="J179" s="507">
        <f t="shared" ref="J179:J180" si="29">vlookup($C179,$C$25:$J$126,7,false)</f>
        <v>0.4122999593</v>
      </c>
      <c r="K179" s="1"/>
      <c r="L179" s="512">
        <f>IFERROR(__xludf.DUMMYFUNCTION("iferror(googlefinance(C179,""changepct"")/100,"""")"),0.0051)</f>
        <v>0.0051</v>
      </c>
      <c r="M179" s="513">
        <f>IFERROR(__xludf.DUMMYFUNCTION("iferror(googlefinance(C179,""price""),"""")"),1129.47)</f>
        <v>1129.47</v>
      </c>
      <c r="N179" s="468"/>
      <c r="O179" s="1"/>
      <c r="P179" s="1"/>
      <c r="Q179" s="1"/>
      <c r="R179" s="1"/>
    </row>
    <row r="180" ht="12.75" customHeight="1">
      <c r="A180" s="17"/>
      <c r="B180" s="1"/>
      <c r="C180" s="32" t="s">
        <v>1056</v>
      </c>
      <c r="D180" s="500">
        <f>vlookup(C180,$C$26:$D$127,2,false)</f>
        <v>0.04356485786</v>
      </c>
      <c r="E180" s="465">
        <f t="shared" si="27"/>
        <v>0.025</v>
      </c>
      <c r="F180" s="150"/>
      <c r="G180" s="75"/>
      <c r="I180" s="507">
        <f t="shared" si="28"/>
        <v>-0.2247001414</v>
      </c>
      <c r="J180" s="507">
        <f t="shared" si="29"/>
        <v>0.3880474824</v>
      </c>
      <c r="K180" s="1"/>
      <c r="L180" s="512">
        <f>IFERROR(__xludf.DUMMYFUNCTION("iferror(googlefinance(C180,""changepct"")/100,"""")"),0.0028000000000000004)</f>
        <v>0.0028</v>
      </c>
      <c r="M180" s="513">
        <f>IFERROR(__xludf.DUMMYFUNCTION("iferror(googlefinance(C180,""price""),"""")"),438.54)</f>
        <v>438.54</v>
      </c>
      <c r="N180" s="468"/>
      <c r="O180" s="1"/>
      <c r="P180" s="1"/>
      <c r="Q180" s="1"/>
      <c r="R180" s="1"/>
    </row>
    <row r="181" ht="12.75" customHeight="1">
      <c r="A181" s="17"/>
      <c r="B181" s="1"/>
      <c r="C181" s="1"/>
      <c r="D181" s="510">
        <f t="shared" ref="D181:E181" si="30">sum(D179:D180)</f>
        <v>0.07722555016</v>
      </c>
      <c r="E181" s="510">
        <f t="shared" si="30"/>
        <v>0.05</v>
      </c>
      <c r="F181" s="150"/>
      <c r="G181" s="75"/>
      <c r="I181" s="511">
        <f t="shared" ref="I181:J181" si="31">sumproduct($D179:$D180,I179:I180)</f>
        <v>-0.01692576287</v>
      </c>
      <c r="J181" s="511">
        <f t="shared" si="31"/>
        <v>0.03078353548</v>
      </c>
      <c r="K181" s="1"/>
      <c r="L181" s="81"/>
      <c r="M181" s="1"/>
      <c r="N181" s="468"/>
      <c r="O181" s="1"/>
      <c r="P181" s="1"/>
      <c r="Q181" s="1"/>
      <c r="R181" s="1"/>
    </row>
    <row r="182" ht="12.75" customHeight="1">
      <c r="A182" s="17"/>
      <c r="B182" s="1"/>
      <c r="C182" s="1"/>
      <c r="D182" s="150"/>
      <c r="F182" s="150"/>
      <c r="G182" s="75"/>
      <c r="I182" s="68"/>
      <c r="J182" s="76"/>
      <c r="K182" s="1"/>
      <c r="L182" s="81"/>
      <c r="M182" s="1"/>
      <c r="N182" s="468"/>
      <c r="O182" s="1"/>
      <c r="P182" s="1"/>
      <c r="Q182" s="1"/>
      <c r="R182" s="1"/>
    </row>
    <row r="183" ht="12.75" customHeight="1">
      <c r="A183" s="17"/>
      <c r="B183" s="32" t="s">
        <v>1632</v>
      </c>
      <c r="C183" s="32" t="s">
        <v>1633</v>
      </c>
      <c r="D183" s="500">
        <f>sumifs($D$26:$D$127,$C$26:$C$127,C183)</f>
        <v>0</v>
      </c>
      <c r="E183" t="str">
        <f>vlookup(C183,$C$26:$G$127,5,false)</f>
        <v>#N/A</v>
      </c>
      <c r="F183" s="500">
        <f>sum(D183)</f>
        <v>0</v>
      </c>
      <c r="G183" s="485">
        <f t="array" ref="G183">sum(abs(D183))</f>
        <v>0</v>
      </c>
      <c r="I183" s="507" t="str">
        <f>vlookup($C183,$C$25:$J$126,6,false)</f>
        <v>#N/A</v>
      </c>
      <c r="J183" s="507" t="str">
        <f>vlookup($C183,$C$25:$J$126,7,false)</f>
        <v>#N/A</v>
      </c>
      <c r="K183" s="1"/>
      <c r="L183" s="512">
        <f>IFERROR(__xludf.DUMMYFUNCTION("iferror(googlefinance(C183,""changepct"")/100,"""")"),0.0254)</f>
        <v>0.0254</v>
      </c>
      <c r="M183" s="513">
        <f>IFERROR(__xludf.DUMMYFUNCTION("iferror(googlefinance(C183,""price""),"""")"),7.67)</f>
        <v>7.67</v>
      </c>
      <c r="N183" s="468"/>
      <c r="O183" s="1"/>
      <c r="P183" s="1"/>
      <c r="Q183" s="1"/>
      <c r="R183" s="1"/>
    </row>
    <row r="184" ht="12.75" customHeight="1">
      <c r="A184" s="17"/>
      <c r="B184" s="1"/>
      <c r="C184" s="32"/>
      <c r="D184" s="515">
        <f t="shared" ref="D184:E184" si="32">sum(D183)</f>
        <v>0</v>
      </c>
      <c r="E184" s="515" t="str">
        <f t="shared" si="32"/>
        <v>#N/A</v>
      </c>
      <c r="F184" s="478"/>
      <c r="G184" s="493"/>
      <c r="I184" s="511" t="str">
        <f t="shared" ref="I184:J184" si="33">sumproduct($D183,I183)</f>
        <v>#N/A</v>
      </c>
      <c r="J184" s="511" t="str">
        <f t="shared" si="33"/>
        <v>#N/A</v>
      </c>
      <c r="K184" s="1"/>
      <c r="L184" s="81"/>
      <c r="M184" s="1"/>
      <c r="N184" s="468"/>
      <c r="O184" s="1"/>
      <c r="P184" s="1"/>
      <c r="Q184" s="1"/>
      <c r="R184" s="1"/>
    </row>
    <row r="185" ht="12.75" customHeight="1">
      <c r="A185" s="17"/>
      <c r="B185" s="1"/>
      <c r="C185" s="32"/>
      <c r="D185" s="500"/>
      <c r="F185" s="478"/>
      <c r="G185" s="493"/>
      <c r="I185" s="68"/>
      <c r="J185" s="76"/>
      <c r="K185" s="1"/>
      <c r="L185" s="81"/>
      <c r="M185" s="1"/>
      <c r="N185" s="468"/>
      <c r="O185" s="1"/>
      <c r="P185" s="1"/>
      <c r="Q185" s="1"/>
      <c r="R185" s="1"/>
    </row>
    <row r="186" ht="12.75" customHeight="1">
      <c r="A186" s="17"/>
      <c r="B186" s="32" t="s">
        <v>1635</v>
      </c>
      <c r="C186" s="32" t="s">
        <v>1244</v>
      </c>
      <c r="D186" s="500">
        <f>sumifs($D$26:$D$127,$C$26:$C$127,C186)</f>
        <v>0</v>
      </c>
      <c r="E186" s="465" t="str">
        <f t="shared" ref="E186:E187" si="34">vlookup(C186,$C$26:$G$127,5,false)</f>
        <v/>
      </c>
      <c r="F186" s="500" t="str">
        <f>sum(D186:D187)</f>
        <v>#N/A</v>
      </c>
      <c r="G186" s="485" t="str">
        <f t="array" ref="G186">sum(abs(D186:D187))</f>
        <v>#N/A</v>
      </c>
      <c r="I186" s="507">
        <f t="shared" ref="I186:I187" si="35">vlookup($C186,$C$25:$J$126,6,false)</f>
        <v>0.1054958939</v>
      </c>
      <c r="J186" s="507">
        <f t="shared" ref="J186:J187" si="36">vlookup($C186,$C$25:$J$126,7,false)</f>
        <v>0.0584562331</v>
      </c>
      <c r="K186" s="1"/>
      <c r="L186" s="512">
        <f>IFERROR(__xludf.DUMMYFUNCTION("iferror(googlefinance(C186,""changepct"")/100,"""")"),-0.0406)</f>
        <v>-0.0406</v>
      </c>
      <c r="M186" s="513">
        <f>IFERROR(__xludf.DUMMYFUNCTION("iferror(googlefinance(C186,""price""),"""")"),63.32)</f>
        <v>63.32</v>
      </c>
      <c r="N186" s="468"/>
      <c r="O186" s="1"/>
      <c r="P186" s="1"/>
      <c r="Q186" s="1"/>
      <c r="R186" s="1"/>
    </row>
    <row r="187" ht="12.75" customHeight="1">
      <c r="A187" s="17"/>
      <c r="B187" s="1"/>
      <c r="C187" s="32" t="s">
        <v>1249</v>
      </c>
      <c r="D187" s="500" t="str">
        <f>vlookup(C187,$C$26:$D$127,2,false)</f>
        <v>#N/A</v>
      </c>
      <c r="E187" t="str">
        <f t="shared" si="34"/>
        <v>#N/A</v>
      </c>
      <c r="F187" s="478"/>
      <c r="G187" s="493"/>
      <c r="I187" s="507" t="str">
        <f t="shared" si="35"/>
        <v>#N/A</v>
      </c>
      <c r="J187" s="507" t="str">
        <f t="shared" si="36"/>
        <v>#N/A</v>
      </c>
      <c r="K187" s="1"/>
      <c r="L187" s="512">
        <f>IFERROR(__xludf.DUMMYFUNCTION("iferror(googlefinance(C187,""changepct"")/100,"""")"),0.0095)</f>
        <v>0.0095</v>
      </c>
      <c r="M187" s="513">
        <f>IFERROR(__xludf.DUMMYFUNCTION("iferror(googlefinance(C187,""price""),"""")"),86.8)</f>
        <v>86.8</v>
      </c>
      <c r="N187" s="468"/>
      <c r="O187" s="1"/>
      <c r="P187" s="1"/>
      <c r="Q187" s="1"/>
      <c r="R187" s="1"/>
    </row>
    <row r="188" ht="12.75" customHeight="1">
      <c r="A188" s="17"/>
      <c r="B188" s="1"/>
      <c r="C188" s="32"/>
      <c r="D188" s="515" t="str">
        <f t="shared" ref="D188:E188" si="37">sum(D186:D187)</f>
        <v>#N/A</v>
      </c>
      <c r="E188" s="515" t="str">
        <f t="shared" si="37"/>
        <v>#N/A</v>
      </c>
      <c r="F188" s="478"/>
      <c r="G188" s="493"/>
      <c r="I188" s="511" t="str">
        <f t="shared" ref="I188:J188" si="38">sumproduct($D186:$D187,I186:I187)</f>
        <v>#N/A</v>
      </c>
      <c r="J188" s="511" t="str">
        <f t="shared" si="38"/>
        <v>#N/A</v>
      </c>
      <c r="K188" s="1"/>
      <c r="L188" s="81"/>
      <c r="M188" s="1"/>
      <c r="N188" s="468"/>
      <c r="O188" s="1"/>
      <c r="P188" s="1"/>
      <c r="Q188" s="1"/>
      <c r="R188" s="1"/>
    </row>
    <row r="189" ht="12.75" customHeight="1">
      <c r="A189" s="17"/>
      <c r="B189" s="1"/>
      <c r="C189" s="1"/>
      <c r="D189" s="150"/>
      <c r="F189" s="150"/>
      <c r="G189" s="75"/>
      <c r="I189" s="68"/>
      <c r="J189" s="76"/>
      <c r="K189" s="1"/>
      <c r="L189" s="81"/>
      <c r="M189" s="1"/>
      <c r="N189" s="468"/>
      <c r="O189" s="1"/>
      <c r="P189" s="1"/>
      <c r="Q189" s="1"/>
      <c r="R189" s="1"/>
    </row>
    <row r="190" ht="12.75" customHeight="1">
      <c r="A190" s="17"/>
      <c r="B190" s="32" t="s">
        <v>1639</v>
      </c>
      <c r="C190" s="32" t="s">
        <v>1128</v>
      </c>
      <c r="D190" s="500">
        <f>sumifs($D$26:$D$127,$C$26:$C$127,C190)</f>
        <v>0.009389928575</v>
      </c>
      <c r="E190" s="465">
        <f t="shared" ref="E190:E192" si="40">vlookup(C190,$C$26:$G$127,5,false)</f>
        <v>0.02</v>
      </c>
      <c r="F190" s="500" t="str">
        <f t="shared" ref="F190:G190" si="39">sum(D190:D192)</f>
        <v>#N/A</v>
      </c>
      <c r="G190" s="500" t="str">
        <f t="shared" si="39"/>
        <v>#N/A</v>
      </c>
      <c r="I190" s="507">
        <f t="shared" ref="I190:I192" si="41">vlookup($C190,$C$25:$J$126,6,false)</f>
        <v>-0.1668650321</v>
      </c>
      <c r="J190" s="507">
        <f t="shared" ref="J190:J192" si="42">vlookup($C190,$C$25:$J$126,7,false)</f>
        <v>0.2366353384</v>
      </c>
      <c r="K190" s="1"/>
      <c r="L190" s="512">
        <f>IFERROR(__xludf.DUMMYFUNCTION("iferror(googlefinance(C190,""changepct"")/100,"""")"),0.008)</f>
        <v>0.008</v>
      </c>
      <c r="M190" s="513">
        <f>IFERROR(__xludf.DUMMYFUNCTION("iferror(googlefinance(C190,""price""),"""")"),126.03)</f>
        <v>126.03</v>
      </c>
      <c r="N190" s="468"/>
      <c r="O190" s="1"/>
      <c r="P190" s="1"/>
      <c r="Q190" s="1"/>
      <c r="R190" s="1"/>
    </row>
    <row r="191" ht="12.75" customHeight="1">
      <c r="A191" s="17"/>
      <c r="B191" s="1"/>
      <c r="C191" s="32" t="s">
        <v>1642</v>
      </c>
      <c r="D191" s="500" t="str">
        <f t="shared" ref="D191:D192" si="43">vlookup(C191,$C$26:$D$127,2,false)</f>
        <v>#N/A</v>
      </c>
      <c r="E191" t="str">
        <f t="shared" si="40"/>
        <v>#N/A</v>
      </c>
      <c r="F191" s="478"/>
      <c r="G191" s="493"/>
      <c r="I191" s="507" t="str">
        <f t="shared" si="41"/>
        <v>#N/A</v>
      </c>
      <c r="J191" s="507" t="str">
        <f t="shared" si="42"/>
        <v>#N/A</v>
      </c>
      <c r="K191" s="1"/>
      <c r="L191" s="512">
        <f>IFERROR(__xludf.DUMMYFUNCTION("iferror(googlefinance(C191,""changepct"")/100,"""")"),0.0151)</f>
        <v>0.0151</v>
      </c>
      <c r="M191" s="513">
        <f>IFERROR(__xludf.DUMMYFUNCTION("iferror(googlefinance(C191,""price""),"""")"),214.23)</f>
        <v>214.23</v>
      </c>
      <c r="N191" s="468"/>
      <c r="O191" s="1"/>
      <c r="P191" s="1"/>
      <c r="Q191" s="1"/>
      <c r="R191" s="1"/>
    </row>
    <row r="192" ht="12.75" customHeight="1">
      <c r="A192" s="17"/>
      <c r="B192" s="1"/>
      <c r="C192" s="32" t="s">
        <v>352</v>
      </c>
      <c r="D192" s="500" t="str">
        <f t="shared" si="43"/>
        <v>#N/A</v>
      </c>
      <c r="E192" t="str">
        <f t="shared" si="40"/>
        <v>#N/A</v>
      </c>
      <c r="F192" s="478"/>
      <c r="G192" s="493"/>
      <c r="I192" s="507" t="str">
        <f t="shared" si="41"/>
        <v>#N/A</v>
      </c>
      <c r="J192" s="507" t="str">
        <f t="shared" si="42"/>
        <v>#N/A</v>
      </c>
      <c r="K192" s="1"/>
      <c r="L192" s="512">
        <f>IFERROR(__xludf.DUMMYFUNCTION("iferror(googlefinance(C192,""changepct"")/100,"""")"),0.0092)</f>
        <v>0.0092</v>
      </c>
      <c r="M192" s="513">
        <f>IFERROR(__xludf.DUMMYFUNCTION("iferror(googlefinance(C192,""price""),"""")"),51.57)</f>
        <v>51.57</v>
      </c>
      <c r="N192" s="468"/>
      <c r="O192" s="1"/>
      <c r="P192" s="1"/>
      <c r="Q192" s="1"/>
      <c r="R192" s="1"/>
    </row>
    <row r="193" ht="12.75" customHeight="1">
      <c r="A193" s="17"/>
      <c r="B193" s="1"/>
      <c r="C193" s="32"/>
      <c r="D193" s="520" t="str">
        <f t="shared" ref="D193:E193" si="44">sum(D190:D192)</f>
        <v>#N/A</v>
      </c>
      <c r="E193" s="520" t="str">
        <f t="shared" si="44"/>
        <v>#N/A</v>
      </c>
      <c r="F193" s="493"/>
      <c r="G193" s="485"/>
      <c r="I193" s="511" t="str">
        <f t="shared" ref="I193:J193" si="45">sumproduct($D190:$D192,I190:I192)</f>
        <v>#N/A</v>
      </c>
      <c r="J193" s="511" t="str">
        <f t="shared" si="45"/>
        <v>#N/A</v>
      </c>
      <c r="K193" s="1"/>
      <c r="L193" s="81"/>
      <c r="M193" s="1"/>
      <c r="N193" s="468"/>
      <c r="O193" s="1"/>
      <c r="P193" s="1"/>
      <c r="Q193" s="1"/>
      <c r="R193" s="1"/>
    </row>
    <row r="194" ht="12.75" customHeight="1">
      <c r="A194" s="17"/>
      <c r="B194" s="1"/>
      <c r="C194" s="1"/>
      <c r="D194" s="150"/>
      <c r="E194" s="150"/>
      <c r="F194" s="75"/>
      <c r="G194" s="67"/>
      <c r="H194" s="68"/>
      <c r="I194" s="76"/>
      <c r="J194" s="67"/>
      <c r="K194" s="1"/>
      <c r="L194" s="81"/>
      <c r="M194" s="1"/>
      <c r="N194" s="468"/>
      <c r="O194" s="1"/>
      <c r="P194" s="1"/>
      <c r="Q194" s="1"/>
      <c r="R194" s="1"/>
    </row>
    <row r="195" ht="12.75" customHeight="1">
      <c r="A195" s="17"/>
      <c r="B195" s="32" t="s">
        <v>1648</v>
      </c>
      <c r="C195" s="32" t="s">
        <v>1092</v>
      </c>
      <c r="D195" s="500">
        <f>sumifs($D$26:$D$127,$C$26:$C$127,C195)</f>
        <v>0.02513318976</v>
      </c>
      <c r="E195" s="465">
        <f t="shared" ref="E195:E198" si="46">vlookup(C195,$C$26:$G$127,5,false)</f>
        <v>0.02</v>
      </c>
      <c r="F195" s="500" t="str">
        <f>sum(D195:D198)</f>
        <v>#N/A</v>
      </c>
      <c r="G195" s="485" t="str">
        <f t="array" ref="G195">sum(abs(D195:D198))</f>
        <v>#N/A</v>
      </c>
      <c r="I195" s="507">
        <f t="shared" ref="I195:I198" si="47">vlookup($C195,$C$25:$J$126,6,false)</f>
        <v>-0.3675889328</v>
      </c>
      <c r="J195" s="507">
        <f t="shared" ref="J195:J198" si="48">vlookup($C195,$C$25:$J$126,7,false)</f>
        <v>0.976284585</v>
      </c>
      <c r="K195" s="1"/>
      <c r="L195" s="512">
        <f>IFERROR(__xludf.DUMMYFUNCTION("iferror(googlefinance(C195,""changepct"")/100,"""")"),-0.0039000000000000003)</f>
        <v>-0.0039</v>
      </c>
      <c r="M195" s="513">
        <f>IFERROR(__xludf.DUMMYFUNCTION("iferror(googlefinance(C195,""price""),"""")"),12.65)</f>
        <v>12.65</v>
      </c>
      <c r="N195" s="468"/>
      <c r="O195" s="1"/>
      <c r="P195" s="1"/>
      <c r="Q195" s="1"/>
      <c r="R195" s="1"/>
    </row>
    <row r="196" ht="12.75" customHeight="1">
      <c r="A196" s="17"/>
      <c r="B196" s="1"/>
      <c r="C196" s="32" t="s">
        <v>1485</v>
      </c>
      <c r="D196" s="500" t="str">
        <f t="shared" ref="D196:D198" si="49">vlookup(C196,$C$26:$D$127,2,false)</f>
        <v>#N/A</v>
      </c>
      <c r="E196" t="str">
        <f t="shared" si="46"/>
        <v>#N/A</v>
      </c>
      <c r="F196" s="478"/>
      <c r="G196" s="493"/>
      <c r="I196" s="507" t="str">
        <f t="shared" si="47"/>
        <v>#N/A</v>
      </c>
      <c r="J196" s="507" t="str">
        <f t="shared" si="48"/>
        <v>#N/A</v>
      </c>
      <c r="K196" s="1"/>
      <c r="L196" s="512">
        <f>IFERROR(__xludf.DUMMYFUNCTION("iferror(googlefinance(C196,""changepct"")/100,"""")"),-0.0064)</f>
        <v>-0.0064</v>
      </c>
      <c r="M196" s="513">
        <f>IFERROR(__xludf.DUMMYFUNCTION("iferror(googlefinance(C196,""price""),"""")"),12.45)</f>
        <v>12.45</v>
      </c>
      <c r="N196" s="468"/>
      <c r="O196" s="1"/>
      <c r="P196" s="1"/>
      <c r="Q196" s="1"/>
      <c r="R196" s="1"/>
    </row>
    <row r="197" ht="12.75" customHeight="1">
      <c r="A197" s="17"/>
      <c r="B197" s="1"/>
      <c r="C197" s="32" t="s">
        <v>604</v>
      </c>
      <c r="D197" s="500">
        <f t="shared" si="49"/>
        <v>0</v>
      </c>
      <c r="E197" s="465" t="str">
        <f t="shared" si="46"/>
        <v/>
      </c>
      <c r="F197" s="478"/>
      <c r="G197" s="493"/>
      <c r="I197" s="507">
        <f t="shared" si="47"/>
        <v>-0.6621621622</v>
      </c>
      <c r="J197" s="507">
        <f t="shared" si="48"/>
        <v>6.112375533</v>
      </c>
      <c r="K197" s="1"/>
      <c r="L197" s="512">
        <f>IFERROR(__xludf.DUMMYFUNCTION("iferror(googlefinance(C197,""changepct"")/100,"""")"),-0.0526)</f>
        <v>-0.0526</v>
      </c>
      <c r="M197" s="513">
        <f>IFERROR(__xludf.DUMMYFUNCTION("iferror(googlefinance(C197,""price""),"""")"),2.96)</f>
        <v>2.96</v>
      </c>
      <c r="N197" s="468"/>
      <c r="O197" s="1"/>
      <c r="P197" s="1"/>
      <c r="Q197" s="1"/>
      <c r="R197" s="1"/>
    </row>
    <row r="198" ht="12.75" customHeight="1">
      <c r="A198" s="17"/>
      <c r="B198" s="1"/>
      <c r="C198" s="32" t="s">
        <v>1483</v>
      </c>
      <c r="D198" s="500" t="str">
        <f t="shared" si="49"/>
        <v>#N/A</v>
      </c>
      <c r="E198" t="str">
        <f t="shared" si="46"/>
        <v>#N/A</v>
      </c>
      <c r="F198" s="478"/>
      <c r="G198" s="493"/>
      <c r="I198" s="507" t="str">
        <f t="shared" si="47"/>
        <v>#N/A</v>
      </c>
      <c r="J198" s="507" t="str">
        <f t="shared" si="48"/>
        <v>#N/A</v>
      </c>
      <c r="K198" s="1"/>
      <c r="L198" s="512">
        <f>IFERROR(__xludf.DUMMYFUNCTION("iferror(googlefinance(C198,""changepct"")/100,"""")"),-0.0466)</f>
        <v>-0.0466</v>
      </c>
      <c r="M198" s="513">
        <f>IFERROR(__xludf.DUMMYFUNCTION("iferror(googlefinance(C198,""price""),"""")"),2.82)</f>
        <v>2.82</v>
      </c>
      <c r="N198" s="468"/>
      <c r="O198" s="1"/>
      <c r="P198" s="1"/>
      <c r="Q198" s="1"/>
      <c r="R198" s="1"/>
    </row>
    <row r="199" ht="12.75" customHeight="1">
      <c r="A199" s="17"/>
      <c r="B199" s="1"/>
      <c r="C199" s="32"/>
      <c r="D199" s="533" t="str">
        <f t="shared" ref="D199:E199" si="50">sum(D195:D198)</f>
        <v>#N/A</v>
      </c>
      <c r="E199" s="533" t="str">
        <f t="shared" si="50"/>
        <v>#N/A</v>
      </c>
      <c r="F199" s="493"/>
      <c r="G199" s="485"/>
      <c r="I199" s="511" t="str">
        <f t="shared" ref="I199:J199" si="51">sumproduct($D195:$D198,I195:I198)</f>
        <v>#N/A</v>
      </c>
      <c r="J199" s="511" t="str">
        <f t="shared" si="51"/>
        <v>#N/A</v>
      </c>
      <c r="K199" s="1"/>
      <c r="L199" s="81"/>
      <c r="M199" s="1"/>
      <c r="N199" s="468"/>
      <c r="O199" s="1"/>
      <c r="P199" s="1"/>
      <c r="Q199" s="1"/>
      <c r="R199" s="1"/>
    </row>
    <row r="200" ht="12.75" customHeight="1">
      <c r="A200" s="17"/>
      <c r="B200" s="1"/>
      <c r="C200" s="1"/>
      <c r="D200" s="150"/>
      <c r="E200" s="150"/>
      <c r="F200" s="75"/>
      <c r="G200" s="67"/>
      <c r="H200" s="68"/>
      <c r="I200" s="76"/>
      <c r="J200" s="67"/>
      <c r="K200" s="1"/>
      <c r="L200" s="81"/>
      <c r="M200" s="1"/>
      <c r="N200" s="468"/>
      <c r="O200" s="1"/>
      <c r="P200" s="1"/>
      <c r="Q200" s="1"/>
      <c r="R200" s="1"/>
    </row>
    <row r="201" ht="12.75" customHeight="1">
      <c r="A201" s="17"/>
      <c r="B201" s="32" t="s">
        <v>1651</v>
      </c>
      <c r="C201" s="32" t="s">
        <v>1053</v>
      </c>
      <c r="D201" s="500">
        <f>sumifs($D$26:$D$127,$C$26:$C$127,C201)</f>
        <v>0.05249151122</v>
      </c>
      <c r="E201" s="465">
        <f t="shared" ref="E201:E207" si="52">vlookup(C201,$C$26:$G$127,5,false)</f>
        <v>0.05</v>
      </c>
      <c r="F201" s="500">
        <f>sum(D201:D207)</f>
        <v>0.3518976378</v>
      </c>
      <c r="G201" s="485">
        <f t="array" ref="G201">sum(abs(D201:D207))</f>
        <v>0.3518976378</v>
      </c>
      <c r="I201" s="507">
        <f t="shared" ref="I201:I207" si="53">vlookup($C201,$C$25:$J$126,6,false)</f>
        <v>-0.06320791674</v>
      </c>
      <c r="J201" s="507">
        <f t="shared" ref="J201:J207" si="54">vlookup($C201,$C$25:$J$126,7,false)</f>
        <v>0.2978711449</v>
      </c>
      <c r="K201" s="1"/>
      <c r="L201" s="512">
        <f>IFERROR(__xludf.DUMMYFUNCTION("iferror(googlefinance(C201,""changepct"")/100,"""")"),-0.0109)</f>
        <v>-0.0109</v>
      </c>
      <c r="M201" s="513">
        <f>IFERROR(__xludf.DUMMYFUNCTION("iferror(googlefinance(C201,""price""),"""")"),1761.33)</f>
        <v>1761.33</v>
      </c>
      <c r="N201" s="468"/>
      <c r="O201" s="1"/>
      <c r="P201" s="1"/>
      <c r="Q201" s="1"/>
      <c r="R201" s="1"/>
    </row>
    <row r="202" ht="12.75" customHeight="1">
      <c r="A202" s="17"/>
      <c r="B202" s="1"/>
      <c r="C202" s="32" t="s">
        <v>1154</v>
      </c>
      <c r="D202" s="500">
        <f t="shared" ref="D202:D207" si="55">vlookup(C202,$C$26:$D$127,2,false)</f>
        <v>0.004124922682</v>
      </c>
      <c r="E202" s="465">
        <f t="shared" si="52"/>
        <v>0.01</v>
      </c>
      <c r="F202" s="478"/>
      <c r="G202" s="493"/>
      <c r="I202" s="507">
        <f t="shared" si="53"/>
        <v>-0.6387544253</v>
      </c>
      <c r="J202" s="507">
        <f t="shared" si="54"/>
        <v>-0.3099254035</v>
      </c>
      <c r="K202" s="1"/>
      <c r="L202" s="512">
        <f>IFERROR(__xludf.DUMMYFUNCTION("iferror(googlefinance(C202,""changepct"")/100,"""")"),0.0196)</f>
        <v>0.0196</v>
      </c>
      <c r="M202" s="513">
        <f>IFERROR(__xludf.DUMMYFUNCTION("iferror(googlefinance(C202,""price""),"""")"),276.82)</f>
        <v>276.82</v>
      </c>
      <c r="N202" s="468"/>
      <c r="O202" s="1"/>
      <c r="P202" s="1"/>
      <c r="Q202" s="1"/>
      <c r="R202" s="1"/>
    </row>
    <row r="203" ht="12.75" customHeight="1">
      <c r="A203" s="17"/>
      <c r="B203" s="1"/>
      <c r="C203" s="32" t="s">
        <v>346</v>
      </c>
      <c r="D203" s="500">
        <f t="shared" si="55"/>
        <v>0.06123855664</v>
      </c>
      <c r="E203" s="465">
        <f t="shared" si="52"/>
        <v>0.04</v>
      </c>
      <c r="F203" s="478"/>
      <c r="G203" s="493"/>
      <c r="I203" s="507">
        <f t="shared" si="53"/>
        <v>-0.2395976965</v>
      </c>
      <c r="J203" s="507">
        <f t="shared" si="54"/>
        <v>0.213633279</v>
      </c>
      <c r="K203" s="1"/>
      <c r="L203" s="512">
        <f>IFERROR(__xludf.DUMMYFUNCTION("iferror(googlefinance(C203,""changepct"")/100,"""")"),0.0123)</f>
        <v>0.0123</v>
      </c>
      <c r="M203" s="513">
        <f>IFERROR(__xludf.DUMMYFUNCTION("iferror(googlefinance(C203,""price""),"""")"),246.58)</f>
        <v>246.58</v>
      </c>
      <c r="N203" s="468"/>
      <c r="O203" s="1"/>
      <c r="P203" s="1"/>
      <c r="Q203" s="1"/>
      <c r="R203" s="1"/>
    </row>
    <row r="204" ht="12.75" customHeight="1">
      <c r="A204" s="17"/>
      <c r="B204" s="1"/>
      <c r="C204" s="32" t="s">
        <v>381</v>
      </c>
      <c r="D204" s="500">
        <f t="shared" si="55"/>
        <v>0.0746604747</v>
      </c>
      <c r="E204" s="465">
        <f t="shared" si="52"/>
        <v>0.07</v>
      </c>
      <c r="F204" s="478"/>
      <c r="G204" s="493"/>
      <c r="I204" s="507">
        <f t="shared" si="53"/>
        <v>-0.1484379158</v>
      </c>
      <c r="J204" s="507">
        <f t="shared" si="54"/>
        <v>0.6236460077</v>
      </c>
      <c r="K204" s="1"/>
      <c r="L204" s="512">
        <f>IFERROR(__xludf.DUMMYFUNCTION("iferror(googlefinance(C204,""changepct"")/100,"""")"),0.008100000000000001)</f>
        <v>0.0081</v>
      </c>
      <c r="M204" s="513">
        <f>IFERROR(__xludf.DUMMYFUNCTION("iferror(googlefinance(C204,""price""),"""")"),187.89)</f>
        <v>187.89</v>
      </c>
      <c r="N204" s="468"/>
      <c r="O204" s="1"/>
      <c r="P204" s="1"/>
      <c r="Q204" s="1"/>
      <c r="R204" s="1"/>
    </row>
    <row r="205" ht="12.75" customHeight="1">
      <c r="A205" s="17"/>
      <c r="B205" s="1"/>
      <c r="C205" s="32" t="s">
        <v>1040</v>
      </c>
      <c r="D205" s="500">
        <f t="shared" si="55"/>
        <v>0.06990106315</v>
      </c>
      <c r="E205" s="465">
        <f t="shared" si="52"/>
        <v>0.07</v>
      </c>
      <c r="F205" s="478"/>
      <c r="G205" s="493"/>
      <c r="I205" s="507">
        <f t="shared" si="53"/>
        <v>-0.2112555958</v>
      </c>
      <c r="J205" s="507">
        <f t="shared" si="54"/>
        <v>0.09645148121</v>
      </c>
      <c r="K205" s="1"/>
      <c r="L205" s="512">
        <f>IFERROR(__xludf.DUMMYFUNCTION("iferror(googlefinance(C205,""changepct"")/100,"""")"),0.005600000000000001)</f>
        <v>0.0056</v>
      </c>
      <c r="M205" s="513">
        <f>IFERROR(__xludf.DUMMYFUNCTION("iferror(googlefinance(C205,""price""),"""")"),140.73)</f>
        <v>140.73</v>
      </c>
      <c r="N205" s="468"/>
      <c r="O205" s="1"/>
      <c r="P205" s="1"/>
      <c r="Q205" s="1"/>
      <c r="R205" s="1"/>
    </row>
    <row r="206" ht="12.75" customHeight="1">
      <c r="A206" s="17"/>
      <c r="B206" s="1"/>
      <c r="C206" s="32" t="s">
        <v>1114</v>
      </c>
      <c r="D206" s="500">
        <f t="shared" si="55"/>
        <v>0.0141232632</v>
      </c>
      <c r="E206" s="465">
        <f t="shared" si="52"/>
        <v>0.03</v>
      </c>
      <c r="F206" s="478"/>
      <c r="G206" s="493"/>
      <c r="I206" s="507">
        <f t="shared" si="53"/>
        <v>-0.08911866076</v>
      </c>
      <c r="J206" s="507">
        <f t="shared" si="54"/>
        <v>0.1660781672</v>
      </c>
      <c r="K206" s="1"/>
      <c r="L206" s="512">
        <f>IFERROR(__xludf.DUMMYFUNCTION("iferror(googlefinance(C206,""changepct"")/100,"""")"),0.005699999999999999)</f>
        <v>0.0057</v>
      </c>
      <c r="M206" s="513">
        <f>IFERROR(__xludf.DUMMYFUNCTION("iferror(googlefinance(C206,""price""),"""")"),40.62)</f>
        <v>40.62</v>
      </c>
      <c r="N206" s="468"/>
      <c r="O206" s="1"/>
      <c r="P206" s="1"/>
      <c r="Q206" s="1"/>
      <c r="R206" s="1"/>
    </row>
    <row r="207" ht="12.75" customHeight="1">
      <c r="A207" s="17"/>
      <c r="B207" s="1"/>
      <c r="C207" s="32" t="s">
        <v>1035</v>
      </c>
      <c r="D207" s="500">
        <f t="shared" si="55"/>
        <v>0.07535784621</v>
      </c>
      <c r="E207" s="465">
        <f t="shared" si="52"/>
        <v>0.07</v>
      </c>
      <c r="F207" s="478"/>
      <c r="G207" s="493"/>
      <c r="I207" s="507">
        <f t="shared" si="53"/>
        <v>-0.1299533339</v>
      </c>
      <c r="J207" s="507">
        <f t="shared" si="54"/>
        <v>0.1907025644</v>
      </c>
      <c r="K207" s="1"/>
      <c r="L207" s="512">
        <f>IFERROR(__xludf.DUMMYFUNCTION("iferror(googlefinance(C207,""changepct"")/100,"""")"),0.0040999999999999995)</f>
        <v>0.0041</v>
      </c>
      <c r="M207" s="513">
        <f>IFERROR(__xludf.DUMMYFUNCTION("iferror(googlefinance(C207,""price""),"""")"),1264.3)</f>
        <v>1264.3</v>
      </c>
      <c r="N207" s="468"/>
      <c r="O207" s="1"/>
      <c r="P207" s="1"/>
      <c r="Q207" s="1"/>
      <c r="R207" s="1"/>
    </row>
    <row r="208" ht="12.75" customHeight="1">
      <c r="A208" s="17"/>
      <c r="B208" s="1"/>
      <c r="C208" s="32"/>
      <c r="D208" s="533">
        <f t="shared" ref="D208:E208" si="56">sum(D201:D207)</f>
        <v>0.3518976378</v>
      </c>
      <c r="E208" s="533">
        <f t="shared" si="56"/>
        <v>0.34</v>
      </c>
      <c r="F208" s="493"/>
      <c r="G208" s="485"/>
      <c r="I208" s="511">
        <f t="shared" ref="I208:J208" si="57">sumproduct($D201:$D207,I201:I207)</f>
        <v>-0.05752639444</v>
      </c>
      <c r="J208" s="511">
        <f t="shared" si="57"/>
        <v>0.09746015011</v>
      </c>
      <c r="K208" s="1"/>
      <c r="L208" s="81"/>
      <c r="M208" s="1"/>
      <c r="N208" s="468"/>
      <c r="O208" s="1"/>
      <c r="P208" s="1"/>
      <c r="Q208" s="1"/>
      <c r="R208" s="1"/>
    </row>
    <row r="209" ht="12.75" customHeight="1">
      <c r="A209" s="17"/>
      <c r="B209" s="1"/>
      <c r="C209" s="1"/>
      <c r="D209" s="150"/>
      <c r="E209" s="150"/>
      <c r="F209" s="75"/>
      <c r="G209" s="67"/>
      <c r="H209" s="68"/>
      <c r="I209" s="76"/>
      <c r="J209" s="67"/>
      <c r="K209" s="1"/>
      <c r="L209" s="81"/>
      <c r="M209" s="1"/>
      <c r="N209" s="468"/>
      <c r="O209" s="1"/>
      <c r="P209" s="1"/>
      <c r="Q209" s="1"/>
      <c r="R209" s="1"/>
    </row>
    <row r="210" ht="12.75" customHeight="1">
      <c r="A210" s="537"/>
      <c r="B210" s="538" t="s">
        <v>1669</v>
      </c>
      <c r="C210" s="538" t="s">
        <v>847</v>
      </c>
      <c r="D210" s="539">
        <f>sumifs($D$26:$D$127,$C$26:$C$127,C210)</f>
        <v>0.03833084626</v>
      </c>
      <c r="E210" s="540">
        <f t="shared" ref="E210:E211" si="58">vlookup(C210,$C$26:$G$127,5,false)</f>
        <v>0.02</v>
      </c>
      <c r="F210" s="539">
        <f>sum(D210:D211)</f>
        <v>0.07482513186</v>
      </c>
      <c r="G210" s="541">
        <f t="array" ref="G210">sum(abs(D210:D211))</f>
        <v>0.07482513186</v>
      </c>
      <c r="H210" s="542"/>
      <c r="I210" s="543">
        <f t="shared" ref="I210:I211" si="59">vlookup($C210,$C$25:$J$126,6,false)</f>
        <v>-0.1311446732</v>
      </c>
      <c r="J210" s="543">
        <f t="shared" ref="J210:J211" si="60">vlookup($C210,$C$25:$J$126,7,false)</f>
        <v>1.130076851</v>
      </c>
      <c r="K210" s="177"/>
      <c r="L210" s="544">
        <f>IFERROR(__xludf.DUMMYFUNCTION("iferror(googlefinance(C210,""changepct"")/100,"""")"),0.008100000000000001)</f>
        <v>0.0081</v>
      </c>
      <c r="M210" s="545">
        <f>IFERROR(__xludf.DUMMYFUNCTION("iferror(googlefinance(C210,""price""),"""")"),171.49)</f>
        <v>171.49</v>
      </c>
      <c r="N210" s="546"/>
      <c r="O210" s="177"/>
      <c r="P210" s="177"/>
      <c r="Q210" s="177"/>
      <c r="R210" s="177"/>
    </row>
    <row r="211" ht="12.75" customHeight="1">
      <c r="A211" s="537"/>
      <c r="B211" s="177"/>
      <c r="C211" s="538" t="s">
        <v>1067</v>
      </c>
      <c r="D211" s="539">
        <f>vlookup(C211,$C$26:$D$127,2,false)</f>
        <v>0.0364942856</v>
      </c>
      <c r="E211" s="540">
        <f t="shared" si="58"/>
        <v>0.02</v>
      </c>
      <c r="F211" s="547"/>
      <c r="G211" s="548"/>
      <c r="H211" s="542"/>
      <c r="I211" s="543">
        <f t="shared" si="59"/>
        <v>-0.1833734841</v>
      </c>
      <c r="J211" s="543">
        <f t="shared" si="60"/>
        <v>0.507150589</v>
      </c>
      <c r="K211" s="177"/>
      <c r="L211" s="544">
        <f>IFERROR(__xludf.DUMMYFUNCTION("iferror(googlefinance(C211,""changepct"")/100,"""")"),0.0016)</f>
        <v>0.0016</v>
      </c>
      <c r="M211" s="545">
        <f>IFERROR(__xludf.DUMMYFUNCTION("iferror(googlefinance(C211,""price""),"""")"),244.91)</f>
        <v>244.91</v>
      </c>
      <c r="N211" s="546"/>
      <c r="O211" s="177"/>
      <c r="P211" s="177"/>
      <c r="Q211" s="177"/>
      <c r="R211" s="177"/>
    </row>
    <row r="212" ht="12.75" customHeight="1">
      <c r="A212" s="17"/>
      <c r="B212" s="1"/>
      <c r="C212" s="32"/>
      <c r="D212" s="533">
        <f t="shared" ref="D212:E212" si="61">sum(D210:D211)</f>
        <v>0.07482513186</v>
      </c>
      <c r="E212" s="533">
        <f t="shared" si="61"/>
        <v>0.04</v>
      </c>
      <c r="F212" s="493"/>
      <c r="G212" s="485"/>
      <c r="I212" s="511">
        <f t="shared" ref="I212:J212" si="62">sumproduct($D210:$D211,I210:I211)</f>
        <v>-0.01171897061</v>
      </c>
      <c r="J212" s="511">
        <f t="shared" si="62"/>
        <v>0.06182490046</v>
      </c>
      <c r="K212" s="1"/>
      <c r="L212" s="81"/>
      <c r="M212" s="1"/>
      <c r="N212" s="468"/>
      <c r="O212" s="1"/>
      <c r="P212" s="1"/>
      <c r="Q212" s="1"/>
      <c r="R212" s="1"/>
    </row>
    <row r="213" ht="12.75" customHeight="1">
      <c r="A213" s="17"/>
      <c r="B213" s="1"/>
      <c r="C213" s="1"/>
      <c r="D213" s="150"/>
      <c r="E213" s="150"/>
      <c r="F213" s="75"/>
      <c r="G213" s="67"/>
      <c r="H213" s="68"/>
      <c r="I213" s="76"/>
      <c r="J213" s="67"/>
      <c r="K213" s="1"/>
      <c r="L213" s="81"/>
      <c r="M213" s="1"/>
      <c r="N213" s="468"/>
      <c r="O213" s="1"/>
      <c r="P213" s="1"/>
      <c r="Q213" s="1"/>
      <c r="R213" s="1"/>
    </row>
    <row r="214" ht="12.75" customHeight="1">
      <c r="A214" s="537"/>
      <c r="B214" s="538" t="s">
        <v>1679</v>
      </c>
      <c r="C214" s="538" t="s">
        <v>1158</v>
      </c>
      <c r="D214" s="539">
        <f>sumifs($D$26:$D$127,$C$26:$C$127,C214)</f>
        <v>0</v>
      </c>
      <c r="E214" s="540" t="str">
        <f t="shared" ref="E214:E215" si="63">vlookup(C214,$C$26:$G$127,5,false)</f>
        <v/>
      </c>
      <c r="F214" s="539">
        <f>sum(D214:D215)</f>
        <v>0</v>
      </c>
      <c r="G214" s="541">
        <f t="array" ref="G214">sum(abs(D214:D215))</f>
        <v>0</v>
      </c>
      <c r="H214" s="542"/>
      <c r="I214" s="543">
        <f t="shared" ref="I214:I215" si="64">vlookup($C214,$C$25:$J$126,6,false)</f>
        <v>-0.2216117216</v>
      </c>
      <c r="J214" s="543">
        <f t="shared" ref="J214:J215" si="65">vlookup($C214,$C$25:$J$126,7,false)</f>
        <v>0.4945043842</v>
      </c>
      <c r="K214" s="177"/>
      <c r="L214" s="544">
        <f>IFERROR(__xludf.DUMMYFUNCTION("iferror(googlefinance(C214,""changepct"")/100,"""")"),0.0151)</f>
        <v>0.0151</v>
      </c>
      <c r="M214" s="545">
        <f>IFERROR(__xludf.DUMMYFUNCTION("iferror(googlefinance(C214,""price""),"""")"),54.6)</f>
        <v>54.6</v>
      </c>
      <c r="N214" s="546"/>
      <c r="O214" s="177"/>
      <c r="P214" s="177"/>
      <c r="Q214" s="177"/>
      <c r="R214" s="177"/>
    </row>
    <row r="215" ht="12.75" customHeight="1">
      <c r="A215" s="537"/>
      <c r="B215" s="177"/>
      <c r="C215" s="538" t="s">
        <v>1164</v>
      </c>
      <c r="D215" s="539">
        <f>vlookup(C215,$C$26:$D$127,2,false)</f>
        <v>0</v>
      </c>
      <c r="E215" s="540">
        <f t="shared" si="63"/>
        <v>0.02</v>
      </c>
      <c r="F215" s="547"/>
      <c r="G215" s="548"/>
      <c r="H215" s="542"/>
      <c r="I215" s="543">
        <f t="shared" si="64"/>
        <v>-0.1187874515</v>
      </c>
      <c r="J215" s="543">
        <f t="shared" si="65"/>
        <v>0.3837095544</v>
      </c>
      <c r="K215" s="177"/>
      <c r="L215" s="544">
        <f>IFERROR(__xludf.DUMMYFUNCTION("iferror(googlefinance(C215,""changepct"")/100,"""")"),0.008)</f>
        <v>0.008</v>
      </c>
      <c r="M215" s="545">
        <f>IFERROR(__xludf.DUMMYFUNCTION("iferror(googlefinance(C215,""price""),"""")"),56.74)</f>
        <v>56.74</v>
      </c>
      <c r="N215" s="546"/>
      <c r="O215" s="177"/>
      <c r="P215" s="177"/>
      <c r="Q215" s="177"/>
      <c r="R215" s="177"/>
    </row>
    <row r="216" ht="12.75" customHeight="1">
      <c r="A216" s="17"/>
      <c r="B216" s="1"/>
      <c r="C216" s="32"/>
      <c r="D216" s="533">
        <f t="shared" ref="D216:E216" si="66">sum(D214:D215)</f>
        <v>0</v>
      </c>
      <c r="E216" s="533">
        <f t="shared" si="66"/>
        <v>0.02</v>
      </c>
      <c r="F216" s="493"/>
      <c r="G216" s="485"/>
      <c r="I216" s="511">
        <f t="shared" ref="I216:J216" si="67">sumproduct($D214:$D215,I214:I215)</f>
        <v>0</v>
      </c>
      <c r="J216" s="511">
        <f t="shared" si="67"/>
        <v>0</v>
      </c>
      <c r="K216" s="1"/>
      <c r="L216" s="81"/>
      <c r="M216" s="1"/>
      <c r="N216" s="468"/>
      <c r="O216" s="1"/>
      <c r="P216" s="1"/>
      <c r="Q216" s="1"/>
      <c r="R216" s="1"/>
    </row>
    <row r="217" ht="12.75" customHeight="1">
      <c r="A217" s="17"/>
      <c r="B217" s="1"/>
      <c r="C217" s="1"/>
      <c r="D217" s="150"/>
      <c r="E217" s="150"/>
      <c r="F217" s="75"/>
      <c r="G217" s="67"/>
      <c r="H217" s="68"/>
      <c r="I217" s="76"/>
      <c r="J217" s="67"/>
      <c r="K217" s="1"/>
      <c r="L217" s="81"/>
      <c r="M217" s="1"/>
      <c r="N217" s="468"/>
      <c r="O217" s="1"/>
      <c r="P217" s="1"/>
      <c r="Q217" s="1"/>
      <c r="R217" s="1"/>
    </row>
    <row r="218" ht="12.75" customHeight="1">
      <c r="A218" s="17"/>
      <c r="B218" s="1"/>
      <c r="C218" s="1"/>
      <c r="D218" s="150"/>
      <c r="E218" s="150"/>
      <c r="F218" s="75"/>
      <c r="G218" s="67"/>
      <c r="H218" s="68"/>
      <c r="I218" s="76"/>
      <c r="J218" s="67"/>
      <c r="K218" s="1"/>
      <c r="L218" s="81"/>
      <c r="M218" s="1"/>
      <c r="N218" s="468"/>
      <c r="O218" s="1"/>
      <c r="P218" s="1"/>
      <c r="Q218" s="1"/>
      <c r="R218" s="1"/>
    </row>
    <row r="219" ht="12.75" customHeight="1">
      <c r="A219" s="17"/>
      <c r="B219" s="1"/>
      <c r="C219" s="1"/>
      <c r="D219" s="150"/>
      <c r="E219" s="150"/>
      <c r="F219" s="75"/>
      <c r="G219" s="67"/>
      <c r="H219" s="68"/>
      <c r="I219" s="76"/>
      <c r="J219" s="67"/>
      <c r="K219" s="1"/>
      <c r="L219" s="81"/>
      <c r="M219" s="1"/>
      <c r="N219" s="468"/>
      <c r="O219" s="1"/>
      <c r="P219" s="1"/>
      <c r="Q219" s="1"/>
      <c r="R219" s="1"/>
    </row>
    <row r="220" ht="12.75" customHeight="1">
      <c r="A220" s="17"/>
      <c r="B220" s="1"/>
      <c r="C220" s="1"/>
      <c r="D220" s="150"/>
      <c r="E220" s="150"/>
      <c r="F220" s="75"/>
      <c r="G220" s="67"/>
      <c r="H220" s="68"/>
      <c r="I220" s="76"/>
      <c r="J220" s="67"/>
      <c r="K220" s="1"/>
      <c r="L220" s="81"/>
      <c r="M220" s="1"/>
      <c r="N220" s="468"/>
      <c r="O220" s="1"/>
      <c r="P220" s="1"/>
      <c r="Q220" s="1"/>
      <c r="R220" s="1"/>
    </row>
    <row r="221" ht="12.75" customHeight="1">
      <c r="A221" s="17"/>
      <c r="B221" s="1"/>
      <c r="C221" s="1"/>
      <c r="D221" s="150"/>
      <c r="E221" s="150"/>
      <c r="F221" s="75"/>
      <c r="G221" s="67"/>
      <c r="H221" s="68"/>
      <c r="I221" s="76"/>
      <c r="J221" s="67"/>
      <c r="K221" s="1"/>
      <c r="L221" s="81"/>
      <c r="M221" s="1"/>
      <c r="N221" s="468"/>
      <c r="O221" s="1"/>
      <c r="P221" s="1"/>
      <c r="Q221" s="1"/>
      <c r="R221" s="1"/>
    </row>
    <row r="222" ht="12.75" customHeight="1">
      <c r="A222" s="17"/>
      <c r="B222" s="1"/>
      <c r="C222" s="1"/>
      <c r="D222" s="150"/>
      <c r="E222" s="150"/>
      <c r="F222" s="75"/>
      <c r="G222" s="67"/>
      <c r="H222" s="68"/>
      <c r="I222" s="76"/>
      <c r="J222" s="67"/>
      <c r="K222" s="1"/>
      <c r="L222" s="81"/>
      <c r="M222" s="1"/>
      <c r="N222" s="468"/>
      <c r="O222" s="1"/>
      <c r="P222" s="1"/>
      <c r="Q222" s="1"/>
      <c r="R222" s="1"/>
    </row>
    <row r="223" ht="12.75" customHeight="1">
      <c r="A223" s="17"/>
      <c r="B223" s="1"/>
      <c r="C223" s="1"/>
      <c r="D223" s="150"/>
      <c r="E223" s="150"/>
      <c r="F223" s="75"/>
      <c r="G223" s="67"/>
      <c r="H223" s="68"/>
      <c r="I223" s="76"/>
      <c r="J223" s="67"/>
      <c r="K223" s="1"/>
      <c r="L223" s="81"/>
      <c r="M223" s="1"/>
      <c r="N223" s="468"/>
      <c r="O223" s="1"/>
      <c r="P223" s="1"/>
      <c r="Q223" s="1"/>
      <c r="R223" s="1"/>
    </row>
    <row r="224" ht="12.75" customHeight="1">
      <c r="A224" s="17"/>
      <c r="B224" s="1"/>
      <c r="C224" s="1"/>
      <c r="D224" s="150"/>
      <c r="E224" s="150"/>
      <c r="F224" s="75"/>
      <c r="G224" s="67"/>
      <c r="H224" s="68"/>
      <c r="I224" s="76"/>
      <c r="J224" s="67"/>
      <c r="K224" s="1"/>
      <c r="L224" s="81"/>
      <c r="M224" s="1"/>
      <c r="N224" s="468"/>
      <c r="O224" s="1"/>
      <c r="P224" s="1"/>
      <c r="Q224" s="1"/>
      <c r="R224" s="1"/>
    </row>
    <row r="225" ht="12.75" customHeight="1">
      <c r="A225" s="17"/>
      <c r="B225" s="1"/>
      <c r="C225" s="1"/>
      <c r="D225" s="150"/>
      <c r="E225" s="150"/>
      <c r="F225" s="75"/>
      <c r="G225" s="67"/>
      <c r="H225" s="68"/>
      <c r="I225" s="76"/>
      <c r="J225" s="67"/>
      <c r="K225" s="1"/>
      <c r="L225" s="81"/>
      <c r="M225" s="1"/>
      <c r="N225" s="468"/>
      <c r="O225" s="1"/>
      <c r="P225" s="1"/>
      <c r="Q225" s="1"/>
      <c r="R225" s="1"/>
    </row>
    <row r="226" ht="12.75" customHeight="1">
      <c r="A226" s="17"/>
      <c r="B226" s="1"/>
      <c r="C226" s="1"/>
      <c r="D226" s="150"/>
      <c r="E226" s="150"/>
      <c r="F226" s="75"/>
      <c r="G226" s="67"/>
      <c r="H226" s="68"/>
      <c r="I226" s="76"/>
      <c r="J226" s="67"/>
      <c r="K226" s="1"/>
      <c r="L226" s="81"/>
      <c r="M226" s="1"/>
      <c r="N226" s="468"/>
      <c r="O226" s="1"/>
      <c r="P226" s="1"/>
      <c r="Q226" s="1"/>
      <c r="R226" s="1"/>
    </row>
    <row r="227" ht="12.75" customHeight="1">
      <c r="A227" s="17"/>
      <c r="B227" s="1"/>
      <c r="C227" s="1"/>
      <c r="D227" s="150"/>
      <c r="E227" s="150"/>
      <c r="F227" s="75"/>
      <c r="G227" s="67"/>
      <c r="H227" s="68"/>
      <c r="I227" s="76"/>
      <c r="J227" s="67"/>
      <c r="K227" s="1"/>
      <c r="L227" s="81"/>
      <c r="M227" s="1"/>
      <c r="N227" s="468"/>
      <c r="O227" s="1"/>
      <c r="P227" s="1"/>
      <c r="Q227" s="1"/>
      <c r="R227" s="1"/>
    </row>
    <row r="228" ht="12.75" customHeight="1">
      <c r="A228" s="17"/>
      <c r="B228" s="1"/>
      <c r="C228" s="1"/>
      <c r="D228" s="150"/>
      <c r="E228" s="150"/>
      <c r="F228" s="75"/>
      <c r="G228" s="67"/>
      <c r="H228" s="68"/>
      <c r="I228" s="76"/>
      <c r="J228" s="67"/>
      <c r="K228" s="1"/>
      <c r="L228" s="81"/>
      <c r="M228" s="1"/>
      <c r="N228" s="468"/>
      <c r="O228" s="1"/>
      <c r="P228" s="1"/>
      <c r="Q228" s="1"/>
      <c r="R228" s="1"/>
    </row>
    <row r="229" ht="12.75" customHeight="1">
      <c r="A229" s="17"/>
      <c r="B229" s="1"/>
      <c r="C229" s="1"/>
      <c r="D229" s="150"/>
      <c r="E229" s="150"/>
      <c r="F229" s="75"/>
      <c r="G229" s="67"/>
      <c r="H229" s="68"/>
      <c r="I229" s="76"/>
      <c r="J229" s="67"/>
      <c r="K229" s="1"/>
      <c r="L229" s="81"/>
      <c r="M229" s="1"/>
      <c r="N229" s="468"/>
      <c r="O229" s="1"/>
      <c r="P229" s="1"/>
      <c r="Q229" s="1"/>
      <c r="R229" s="1"/>
    </row>
    <row r="230" ht="12.75" customHeight="1">
      <c r="A230" s="17"/>
      <c r="B230" s="1"/>
      <c r="C230" s="1"/>
      <c r="D230" s="150"/>
      <c r="E230" s="150"/>
      <c r="F230" s="75"/>
      <c r="G230" s="67"/>
      <c r="H230" s="68"/>
      <c r="I230" s="76"/>
      <c r="J230" s="67"/>
      <c r="K230" s="1"/>
      <c r="L230" s="81"/>
      <c r="M230" s="1"/>
      <c r="N230" s="468"/>
      <c r="O230" s="1"/>
      <c r="P230" s="1"/>
      <c r="Q230" s="1"/>
      <c r="R230" s="1"/>
    </row>
    <row r="231" ht="12.75" customHeight="1">
      <c r="A231" s="17"/>
      <c r="B231" s="1"/>
      <c r="C231" s="1"/>
      <c r="D231" s="150"/>
      <c r="E231" s="150"/>
      <c r="F231" s="75"/>
      <c r="G231" s="67"/>
      <c r="H231" s="68"/>
      <c r="I231" s="76"/>
      <c r="J231" s="67"/>
      <c r="K231" s="1"/>
      <c r="L231" s="81"/>
      <c r="M231" s="1"/>
      <c r="N231" s="468"/>
      <c r="O231" s="1"/>
      <c r="P231" s="1"/>
      <c r="Q231" s="1"/>
      <c r="R231" s="1"/>
    </row>
    <row r="232" ht="12.75" customHeight="1">
      <c r="A232" s="17"/>
      <c r="B232" s="1"/>
      <c r="C232" s="1"/>
      <c r="D232" s="150"/>
      <c r="E232" s="150"/>
      <c r="F232" s="75"/>
      <c r="G232" s="67"/>
      <c r="H232" s="68"/>
      <c r="I232" s="76"/>
      <c r="J232" s="67"/>
      <c r="K232" s="1"/>
      <c r="L232" s="81"/>
      <c r="M232" s="1"/>
      <c r="N232" s="468"/>
      <c r="O232" s="1"/>
      <c r="P232" s="1"/>
      <c r="Q232" s="1"/>
      <c r="R232" s="1"/>
    </row>
    <row r="233" ht="12.75" customHeight="1">
      <c r="A233" s="17"/>
      <c r="B233" s="1"/>
      <c r="C233" s="1"/>
      <c r="D233" s="150"/>
      <c r="E233" s="150"/>
      <c r="F233" s="75"/>
      <c r="G233" s="67"/>
      <c r="H233" s="68"/>
      <c r="I233" s="76"/>
      <c r="J233" s="67"/>
      <c r="K233" s="1"/>
      <c r="L233" s="81"/>
      <c r="M233" s="1"/>
      <c r="N233" s="468"/>
      <c r="O233" s="1"/>
      <c r="P233" s="1"/>
      <c r="Q233" s="1"/>
      <c r="R233" s="1"/>
    </row>
    <row r="234" ht="12.75" customHeight="1">
      <c r="A234" s="17"/>
      <c r="B234" s="1"/>
      <c r="C234" s="1"/>
      <c r="D234" s="150"/>
      <c r="E234" s="150"/>
      <c r="F234" s="75"/>
      <c r="G234" s="67"/>
      <c r="H234" s="68"/>
      <c r="I234" s="76"/>
      <c r="J234" s="67"/>
      <c r="K234" s="1"/>
      <c r="L234" s="81"/>
      <c r="M234" s="1"/>
      <c r="N234" s="468"/>
      <c r="O234" s="1"/>
      <c r="P234" s="1"/>
      <c r="Q234" s="1"/>
      <c r="R234" s="1"/>
    </row>
    <row r="235" ht="12.75" customHeight="1">
      <c r="A235" s="17"/>
      <c r="B235" s="1"/>
      <c r="C235" s="1"/>
      <c r="D235" s="150"/>
      <c r="E235" s="150"/>
      <c r="F235" s="75"/>
      <c r="G235" s="67"/>
      <c r="H235" s="68"/>
      <c r="I235" s="76"/>
      <c r="J235" s="67"/>
      <c r="K235" s="1"/>
      <c r="L235" s="81"/>
      <c r="M235" s="1"/>
      <c r="N235" s="468"/>
      <c r="O235" s="1"/>
      <c r="P235" s="1"/>
      <c r="Q235" s="1"/>
      <c r="R235" s="1"/>
    </row>
    <row r="236" ht="12.75" customHeight="1">
      <c r="A236" s="17"/>
      <c r="B236" s="1"/>
      <c r="C236" s="1"/>
      <c r="D236" s="150"/>
      <c r="E236" s="150"/>
      <c r="F236" s="75"/>
      <c r="G236" s="67"/>
      <c r="H236" s="68"/>
      <c r="I236" s="76"/>
      <c r="J236" s="67"/>
      <c r="K236" s="1"/>
      <c r="L236" s="81"/>
      <c r="M236" s="1"/>
      <c r="N236" s="468"/>
      <c r="O236" s="1"/>
      <c r="P236" s="1"/>
      <c r="Q236" s="1"/>
      <c r="R236" s="1"/>
    </row>
    <row r="237" ht="12.75" customHeight="1">
      <c r="A237" s="17"/>
      <c r="B237" s="1"/>
      <c r="C237" s="1"/>
      <c r="D237" s="150"/>
      <c r="E237" s="150"/>
      <c r="F237" s="75"/>
      <c r="G237" s="67"/>
      <c r="H237" s="68"/>
      <c r="I237" s="76"/>
      <c r="J237" s="67"/>
      <c r="K237" s="1"/>
      <c r="L237" s="81"/>
      <c r="M237" s="1"/>
      <c r="N237" s="468"/>
      <c r="O237" s="1"/>
      <c r="P237" s="1"/>
      <c r="Q237" s="1"/>
      <c r="R237" s="1"/>
    </row>
    <row r="238" ht="12.75" customHeight="1">
      <c r="A238" s="17"/>
      <c r="B238" s="1"/>
      <c r="C238" s="1"/>
      <c r="D238" s="150"/>
      <c r="E238" s="150"/>
      <c r="F238" s="75"/>
      <c r="G238" s="67"/>
      <c r="H238" s="68"/>
      <c r="I238" s="76"/>
      <c r="J238" s="67"/>
      <c r="K238" s="1"/>
      <c r="L238" s="81"/>
      <c r="M238" s="1"/>
      <c r="N238" s="468"/>
      <c r="O238" s="1"/>
      <c r="P238" s="1"/>
      <c r="Q238" s="1"/>
      <c r="R238" s="1"/>
    </row>
    <row r="239" ht="12.75" customHeight="1">
      <c r="A239" s="17"/>
      <c r="B239" s="1"/>
      <c r="C239" s="1"/>
      <c r="D239" s="150"/>
      <c r="E239" s="150"/>
      <c r="F239" s="75"/>
      <c r="G239" s="67"/>
      <c r="H239" s="68"/>
      <c r="I239" s="76"/>
      <c r="J239" s="67"/>
      <c r="K239" s="1"/>
      <c r="L239" s="81"/>
      <c r="M239" s="1"/>
      <c r="N239" s="468"/>
      <c r="O239" s="1"/>
      <c r="P239" s="1"/>
      <c r="Q239" s="1"/>
      <c r="R239" s="1"/>
    </row>
    <row r="240" ht="12.75" customHeight="1">
      <c r="A240" s="17"/>
      <c r="B240" s="1"/>
      <c r="C240" s="1"/>
      <c r="D240" s="150"/>
      <c r="E240" s="150"/>
      <c r="F240" s="75"/>
      <c r="G240" s="67"/>
      <c r="H240" s="68"/>
      <c r="I240" s="76"/>
      <c r="J240" s="67"/>
      <c r="K240" s="1"/>
      <c r="L240" s="81"/>
      <c r="M240" s="1"/>
      <c r="N240" s="468"/>
      <c r="O240" s="1"/>
      <c r="P240" s="1"/>
      <c r="Q240" s="1"/>
      <c r="R240" s="1"/>
    </row>
    <row r="241" ht="12.75" customHeight="1">
      <c r="A241" s="17"/>
      <c r="B241" s="1"/>
      <c r="C241" s="1"/>
      <c r="D241" s="150"/>
      <c r="E241" s="150"/>
      <c r="F241" s="75"/>
      <c r="G241" s="67"/>
      <c r="H241" s="68"/>
      <c r="I241" s="76"/>
      <c r="J241" s="67"/>
      <c r="K241" s="1"/>
      <c r="L241" s="81"/>
      <c r="M241" s="1"/>
      <c r="N241" s="468"/>
      <c r="O241" s="1"/>
      <c r="P241" s="1"/>
      <c r="Q241" s="1"/>
      <c r="R241" s="1"/>
    </row>
    <row r="242" ht="12.75" customHeight="1">
      <c r="A242" s="17"/>
      <c r="B242" s="1"/>
      <c r="C242" s="1"/>
      <c r="D242" s="150"/>
      <c r="E242" s="150"/>
      <c r="F242" s="75"/>
      <c r="G242" s="67"/>
      <c r="H242" s="68"/>
      <c r="I242" s="76"/>
      <c r="J242" s="67"/>
      <c r="K242" s="1"/>
      <c r="L242" s="81"/>
      <c r="M242" s="1"/>
      <c r="N242" s="468"/>
      <c r="O242" s="1"/>
      <c r="P242" s="1"/>
      <c r="Q242" s="1"/>
      <c r="R242" s="1"/>
    </row>
    <row r="243" ht="12.75" customHeight="1">
      <c r="A243" s="17"/>
      <c r="B243" s="1"/>
      <c r="C243" s="1"/>
      <c r="D243" s="150"/>
      <c r="E243" s="150"/>
      <c r="F243" s="75"/>
      <c r="G243" s="67"/>
      <c r="H243" s="68"/>
      <c r="I243" s="76"/>
      <c r="J243" s="67"/>
      <c r="K243" s="1"/>
      <c r="L243" s="81"/>
      <c r="M243" s="1"/>
      <c r="N243" s="468"/>
      <c r="O243" s="1"/>
      <c r="P243" s="1"/>
      <c r="Q243" s="1"/>
      <c r="R243" s="1"/>
    </row>
    <row r="244" ht="12.75" customHeight="1">
      <c r="A244" s="17"/>
      <c r="B244" s="1"/>
      <c r="C244" s="1"/>
      <c r="D244" s="150"/>
      <c r="E244" s="150"/>
      <c r="F244" s="75"/>
      <c r="G244" s="67"/>
      <c r="H244" s="68"/>
      <c r="I244" s="76"/>
      <c r="J244" s="67"/>
      <c r="K244" s="1"/>
      <c r="L244" s="81"/>
      <c r="M244" s="1"/>
      <c r="N244" s="468"/>
      <c r="O244" s="1"/>
      <c r="P244" s="1"/>
      <c r="Q244" s="1"/>
      <c r="R244" s="1"/>
    </row>
    <row r="245" ht="12.75" customHeight="1">
      <c r="A245" s="17"/>
      <c r="B245" s="1"/>
      <c r="C245" s="1"/>
      <c r="D245" s="150"/>
      <c r="E245" s="150"/>
      <c r="F245" s="75"/>
      <c r="G245" s="67"/>
      <c r="H245" s="68"/>
      <c r="I245" s="76"/>
      <c r="J245" s="67"/>
      <c r="K245" s="1"/>
      <c r="L245" s="81"/>
      <c r="M245" s="1"/>
      <c r="N245" s="468"/>
      <c r="O245" s="1"/>
      <c r="P245" s="1"/>
      <c r="Q245" s="1"/>
      <c r="R245" s="1"/>
    </row>
    <row r="246" ht="12.75" customHeight="1">
      <c r="A246" s="17"/>
      <c r="B246" s="1"/>
      <c r="C246" s="1"/>
      <c r="D246" s="150"/>
      <c r="E246" s="150"/>
      <c r="F246" s="75"/>
      <c r="G246" s="67"/>
      <c r="H246" s="68"/>
      <c r="I246" s="76"/>
      <c r="J246" s="67"/>
      <c r="K246" s="1"/>
      <c r="L246" s="81"/>
      <c r="M246" s="1"/>
      <c r="N246" s="468"/>
      <c r="O246" s="1"/>
      <c r="P246" s="1"/>
      <c r="Q246" s="1"/>
      <c r="R246" s="1"/>
    </row>
    <row r="247" ht="12.75" customHeight="1">
      <c r="A247" s="17"/>
      <c r="B247" s="1"/>
      <c r="C247" s="1"/>
      <c r="D247" s="150"/>
      <c r="E247" s="150"/>
      <c r="F247" s="75"/>
      <c r="G247" s="67"/>
      <c r="H247" s="68"/>
      <c r="I247" s="76"/>
      <c r="J247" s="67"/>
      <c r="K247" s="1"/>
      <c r="L247" s="81"/>
      <c r="M247" s="1"/>
      <c r="N247" s="468"/>
      <c r="O247" s="1"/>
      <c r="P247" s="1"/>
      <c r="Q247" s="1"/>
      <c r="R247" s="1"/>
    </row>
    <row r="248" ht="12.75" customHeight="1">
      <c r="A248" s="17"/>
      <c r="B248" s="1"/>
      <c r="C248" s="1"/>
      <c r="D248" s="150"/>
      <c r="E248" s="150"/>
      <c r="F248" s="75"/>
      <c r="G248" s="67"/>
      <c r="H248" s="68"/>
      <c r="I248" s="76"/>
      <c r="J248" s="67"/>
      <c r="K248" s="1"/>
      <c r="L248" s="81"/>
      <c r="M248" s="1"/>
      <c r="N248" s="468"/>
      <c r="O248" s="1"/>
      <c r="P248" s="1"/>
      <c r="Q248" s="1"/>
      <c r="R248" s="1"/>
    </row>
    <row r="249" ht="12.75" customHeight="1">
      <c r="A249" s="17"/>
      <c r="B249" s="1"/>
      <c r="C249" s="1"/>
      <c r="D249" s="150"/>
      <c r="E249" s="150"/>
      <c r="F249" s="75"/>
      <c r="G249" s="67"/>
      <c r="H249" s="68"/>
      <c r="I249" s="76"/>
      <c r="J249" s="67"/>
      <c r="K249" s="1"/>
      <c r="L249" s="81"/>
      <c r="M249" s="1"/>
      <c r="N249" s="468"/>
      <c r="O249" s="1"/>
      <c r="P249" s="1"/>
      <c r="Q249" s="1"/>
      <c r="R249" s="1"/>
    </row>
    <row r="250" ht="12.75" customHeight="1">
      <c r="A250" s="17"/>
      <c r="B250" s="1"/>
      <c r="C250" s="1"/>
      <c r="D250" s="150"/>
      <c r="E250" s="150"/>
      <c r="F250" s="75"/>
      <c r="G250" s="67"/>
      <c r="H250" s="68"/>
      <c r="I250" s="76"/>
      <c r="J250" s="67"/>
      <c r="K250" s="1"/>
      <c r="L250" s="81"/>
      <c r="M250" s="1"/>
      <c r="N250" s="468"/>
      <c r="O250" s="1"/>
      <c r="P250" s="1"/>
      <c r="Q250" s="1"/>
      <c r="R250" s="1"/>
    </row>
    <row r="251" ht="12.75" customHeight="1">
      <c r="A251" s="17"/>
      <c r="B251" s="1"/>
      <c r="C251" s="1"/>
      <c r="D251" s="150"/>
      <c r="E251" s="150"/>
      <c r="F251" s="75"/>
      <c r="G251" s="67"/>
      <c r="H251" s="68"/>
      <c r="I251" s="76"/>
      <c r="J251" s="67"/>
      <c r="K251" s="1"/>
      <c r="L251" s="81"/>
      <c r="M251" s="1"/>
      <c r="N251" s="468"/>
      <c r="O251" s="1"/>
      <c r="P251" s="1"/>
      <c r="Q251" s="1"/>
      <c r="R251" s="1"/>
    </row>
    <row r="252" ht="12.75" customHeight="1">
      <c r="A252" s="17"/>
      <c r="B252" s="1"/>
      <c r="C252" s="1"/>
      <c r="D252" s="150"/>
      <c r="E252" s="150"/>
      <c r="F252" s="75"/>
      <c r="G252" s="67"/>
      <c r="H252" s="68"/>
      <c r="I252" s="76"/>
      <c r="J252" s="67"/>
      <c r="K252" s="1"/>
      <c r="L252" s="81"/>
      <c r="M252" s="1"/>
      <c r="N252" s="468"/>
      <c r="O252" s="1"/>
      <c r="P252" s="1"/>
      <c r="Q252" s="1"/>
      <c r="R252" s="1"/>
    </row>
    <row r="253" ht="12.75" customHeight="1">
      <c r="A253" s="17"/>
      <c r="B253" s="1"/>
      <c r="C253" s="1"/>
      <c r="D253" s="150"/>
      <c r="E253" s="150"/>
      <c r="F253" s="75"/>
      <c r="G253" s="67"/>
      <c r="H253" s="68"/>
      <c r="I253" s="76"/>
      <c r="J253" s="67"/>
      <c r="K253" s="1"/>
      <c r="L253" s="81"/>
      <c r="M253" s="1"/>
      <c r="N253" s="468"/>
      <c r="O253" s="1"/>
      <c r="P253" s="1"/>
      <c r="Q253" s="1"/>
      <c r="R253" s="1"/>
    </row>
    <row r="254" ht="12.75" customHeight="1">
      <c r="A254" s="17"/>
      <c r="B254" s="1"/>
      <c r="C254" s="1"/>
      <c r="D254" s="150"/>
      <c r="E254" s="150"/>
      <c r="F254" s="75"/>
      <c r="G254" s="67"/>
      <c r="H254" s="68"/>
      <c r="I254" s="76"/>
      <c r="J254" s="67"/>
      <c r="K254" s="1"/>
      <c r="L254" s="81"/>
      <c r="M254" s="1"/>
      <c r="N254" s="468"/>
      <c r="O254" s="1"/>
      <c r="P254" s="1"/>
      <c r="Q254" s="1"/>
      <c r="R254" s="1"/>
    </row>
    <row r="255" ht="12.75" customHeight="1">
      <c r="A255" s="17"/>
      <c r="B255" s="1"/>
      <c r="C255" s="1"/>
      <c r="D255" s="150"/>
      <c r="E255" s="150"/>
      <c r="F255" s="75"/>
      <c r="G255" s="67"/>
      <c r="H255" s="68"/>
      <c r="I255" s="76"/>
      <c r="J255" s="67"/>
      <c r="K255" s="1"/>
      <c r="L255" s="81"/>
      <c r="M255" s="1"/>
      <c r="N255" s="468"/>
      <c r="O255" s="1"/>
      <c r="P255" s="1"/>
      <c r="Q255" s="1"/>
      <c r="R255" s="1"/>
    </row>
    <row r="256" ht="12.75" customHeight="1">
      <c r="A256" s="17"/>
      <c r="B256" s="1"/>
      <c r="C256" s="1"/>
      <c r="D256" s="150"/>
      <c r="E256" s="150"/>
      <c r="F256" s="75"/>
      <c r="G256" s="67"/>
      <c r="H256" s="68"/>
      <c r="I256" s="76"/>
      <c r="J256" s="67"/>
      <c r="K256" s="1"/>
      <c r="L256" s="81"/>
      <c r="M256" s="1"/>
      <c r="N256" s="468"/>
      <c r="O256" s="1"/>
      <c r="P256" s="1"/>
      <c r="Q256" s="1"/>
      <c r="R256" s="1"/>
    </row>
    <row r="257" ht="12.75" customHeight="1">
      <c r="A257" s="17"/>
      <c r="B257" s="1"/>
      <c r="C257" s="1"/>
      <c r="D257" s="150"/>
      <c r="E257" s="150"/>
      <c r="F257" s="75"/>
      <c r="G257" s="67"/>
      <c r="H257" s="68"/>
      <c r="I257" s="76"/>
      <c r="J257" s="67"/>
      <c r="K257" s="1"/>
      <c r="L257" s="81"/>
      <c r="M257" s="1"/>
      <c r="N257" s="468"/>
      <c r="O257" s="1"/>
      <c r="P257" s="1"/>
      <c r="Q257" s="1"/>
      <c r="R257" s="1"/>
    </row>
    <row r="258" ht="12.75" customHeight="1">
      <c r="A258" s="17"/>
      <c r="B258" s="1"/>
      <c r="C258" s="1"/>
      <c r="D258" s="150"/>
      <c r="E258" s="150"/>
      <c r="F258" s="75"/>
      <c r="G258" s="67"/>
      <c r="H258" s="68"/>
      <c r="I258" s="76"/>
      <c r="J258" s="67"/>
      <c r="K258" s="1"/>
      <c r="L258" s="81"/>
      <c r="M258" s="1"/>
      <c r="N258" s="468"/>
      <c r="O258" s="1"/>
      <c r="P258" s="1"/>
      <c r="Q258" s="1"/>
      <c r="R258" s="1"/>
    </row>
    <row r="259" ht="12.75" customHeight="1">
      <c r="A259" s="17"/>
      <c r="B259" s="1"/>
      <c r="C259" s="1"/>
      <c r="D259" s="150"/>
      <c r="E259" s="150"/>
      <c r="F259" s="75"/>
      <c r="G259" s="67"/>
      <c r="H259" s="68"/>
      <c r="I259" s="76"/>
      <c r="J259" s="67"/>
      <c r="K259" s="1"/>
      <c r="L259" s="81"/>
      <c r="M259" s="1"/>
      <c r="N259" s="468"/>
      <c r="O259" s="1"/>
      <c r="P259" s="1"/>
      <c r="Q259" s="1"/>
      <c r="R259" s="1"/>
    </row>
    <row r="260" ht="12.75" customHeight="1">
      <c r="A260" s="17"/>
      <c r="B260" s="1"/>
      <c r="C260" s="1"/>
      <c r="D260" s="150"/>
      <c r="E260" s="150"/>
      <c r="F260" s="75"/>
      <c r="G260" s="67"/>
      <c r="H260" s="68"/>
      <c r="I260" s="76"/>
      <c r="J260" s="67"/>
      <c r="K260" s="1"/>
      <c r="L260" s="81"/>
      <c r="M260" s="1"/>
      <c r="N260" s="468"/>
      <c r="O260" s="1"/>
      <c r="P260" s="1"/>
      <c r="Q260" s="1"/>
      <c r="R260" s="1"/>
    </row>
    <row r="261" ht="12.75" customHeight="1">
      <c r="A261" s="17"/>
      <c r="B261" s="1"/>
      <c r="C261" s="1"/>
      <c r="D261" s="150"/>
      <c r="E261" s="150"/>
      <c r="F261" s="75"/>
      <c r="G261" s="67"/>
      <c r="H261" s="68"/>
      <c r="I261" s="76"/>
      <c r="J261" s="67"/>
      <c r="K261" s="1"/>
      <c r="L261" s="81"/>
      <c r="M261" s="1"/>
      <c r="N261" s="468"/>
      <c r="O261" s="1"/>
      <c r="P261" s="1"/>
      <c r="Q261" s="1"/>
      <c r="R261" s="1"/>
    </row>
    <row r="262" ht="12.75" customHeight="1">
      <c r="A262" s="17"/>
      <c r="B262" s="1"/>
      <c r="C262" s="1"/>
      <c r="D262" s="150"/>
      <c r="E262" s="150"/>
      <c r="F262" s="75"/>
      <c r="G262" s="67"/>
      <c r="H262" s="68"/>
      <c r="I262" s="76"/>
      <c r="J262" s="67"/>
      <c r="K262" s="1"/>
      <c r="L262" s="81"/>
      <c r="M262" s="1"/>
      <c r="N262" s="468"/>
      <c r="O262" s="1"/>
      <c r="P262" s="1"/>
      <c r="Q262" s="1"/>
      <c r="R262" s="1"/>
    </row>
    <row r="263" ht="12.75" customHeight="1">
      <c r="A263" s="17"/>
      <c r="B263" s="1"/>
      <c r="C263" s="1"/>
      <c r="D263" s="150"/>
      <c r="E263" s="150"/>
      <c r="F263" s="75"/>
      <c r="G263" s="67"/>
      <c r="H263" s="68"/>
      <c r="I263" s="76"/>
      <c r="J263" s="67"/>
      <c r="K263" s="1"/>
      <c r="L263" s="81"/>
      <c r="M263" s="1"/>
      <c r="N263" s="468"/>
      <c r="O263" s="1"/>
      <c r="P263" s="1"/>
      <c r="Q263" s="1"/>
      <c r="R263" s="1"/>
    </row>
    <row r="264" ht="12.75" customHeight="1">
      <c r="A264" s="17"/>
      <c r="B264" s="1"/>
      <c r="C264" s="1"/>
      <c r="D264" s="150"/>
      <c r="E264" s="150"/>
      <c r="F264" s="75"/>
      <c r="G264" s="67"/>
      <c r="H264" s="68"/>
      <c r="I264" s="76"/>
      <c r="J264" s="67"/>
      <c r="K264" s="1"/>
      <c r="L264" s="81"/>
      <c r="M264" s="1"/>
      <c r="N264" s="468"/>
      <c r="O264" s="1"/>
      <c r="P264" s="1"/>
      <c r="Q264" s="1"/>
      <c r="R264" s="1"/>
    </row>
    <row r="265" ht="12.75" customHeight="1">
      <c r="A265" s="17"/>
      <c r="B265" s="1"/>
      <c r="C265" s="1"/>
      <c r="D265" s="150"/>
      <c r="E265" s="150"/>
      <c r="F265" s="75"/>
      <c r="G265" s="67"/>
      <c r="H265" s="68"/>
      <c r="I265" s="76"/>
      <c r="J265" s="67"/>
      <c r="K265" s="1"/>
      <c r="L265" s="81"/>
      <c r="M265" s="1"/>
      <c r="N265" s="468"/>
      <c r="O265" s="1"/>
      <c r="P265" s="1"/>
      <c r="Q265" s="1"/>
      <c r="R265" s="1"/>
    </row>
    <row r="266" ht="12.75" customHeight="1">
      <c r="A266" s="17"/>
      <c r="B266" s="1"/>
      <c r="C266" s="1"/>
      <c r="D266" s="150"/>
      <c r="E266" s="150"/>
      <c r="F266" s="75"/>
      <c r="G266" s="67"/>
      <c r="H266" s="68"/>
      <c r="I266" s="76"/>
      <c r="J266" s="67"/>
      <c r="K266" s="1"/>
      <c r="L266" s="81"/>
      <c r="M266" s="1"/>
      <c r="N266" s="468"/>
      <c r="O266" s="1"/>
      <c r="P266" s="1"/>
      <c r="Q266" s="1"/>
      <c r="R266" s="1"/>
    </row>
    <row r="267" ht="12.75" customHeight="1">
      <c r="A267" s="17"/>
      <c r="B267" s="1"/>
      <c r="C267" s="1"/>
      <c r="D267" s="150"/>
      <c r="E267" s="150"/>
      <c r="F267" s="75"/>
      <c r="G267" s="67"/>
      <c r="H267" s="68"/>
      <c r="I267" s="76"/>
      <c r="J267" s="67"/>
      <c r="K267" s="1"/>
      <c r="L267" s="81"/>
      <c r="M267" s="1"/>
      <c r="N267" s="468"/>
      <c r="O267" s="1"/>
      <c r="P267" s="1"/>
      <c r="Q267" s="1"/>
      <c r="R267" s="1"/>
    </row>
    <row r="268" ht="12.75" customHeight="1">
      <c r="A268" s="17"/>
      <c r="B268" s="1"/>
      <c r="C268" s="1"/>
      <c r="D268" s="150"/>
      <c r="E268" s="150"/>
      <c r="F268" s="75"/>
      <c r="G268" s="67"/>
      <c r="H268" s="68"/>
      <c r="I268" s="76"/>
      <c r="J268" s="67"/>
      <c r="K268" s="1"/>
      <c r="L268" s="81"/>
      <c r="M268" s="1"/>
      <c r="N268" s="468"/>
      <c r="O268" s="1"/>
      <c r="P268" s="1"/>
      <c r="Q268" s="1"/>
      <c r="R268" s="1"/>
    </row>
    <row r="269" ht="12.75" customHeight="1">
      <c r="A269" s="17"/>
      <c r="B269" s="1"/>
      <c r="C269" s="1"/>
      <c r="D269" s="150"/>
      <c r="E269" s="150"/>
      <c r="F269" s="75"/>
      <c r="G269" s="67"/>
      <c r="H269" s="68"/>
      <c r="I269" s="76"/>
      <c r="J269" s="67"/>
      <c r="K269" s="1"/>
      <c r="L269" s="81"/>
      <c r="M269" s="1"/>
      <c r="N269" s="468"/>
      <c r="O269" s="1"/>
      <c r="P269" s="1"/>
      <c r="Q269" s="1"/>
      <c r="R269" s="1"/>
    </row>
    <row r="270" ht="12.75" customHeight="1">
      <c r="A270" s="17"/>
      <c r="B270" s="1"/>
      <c r="C270" s="1"/>
      <c r="D270" s="150"/>
      <c r="E270" s="150"/>
      <c r="F270" s="75"/>
      <c r="G270" s="67"/>
      <c r="H270" s="68"/>
      <c r="I270" s="76"/>
      <c r="J270" s="67"/>
      <c r="K270" s="1"/>
      <c r="L270" s="81"/>
      <c r="M270" s="1"/>
      <c r="N270" s="468"/>
      <c r="O270" s="1"/>
      <c r="P270" s="1"/>
      <c r="Q270" s="1"/>
      <c r="R270" s="1"/>
    </row>
    <row r="271" ht="12.75" customHeight="1">
      <c r="A271" s="17"/>
      <c r="B271" s="1"/>
      <c r="C271" s="1"/>
      <c r="D271" s="150"/>
      <c r="E271" s="150"/>
      <c r="F271" s="75"/>
      <c r="G271" s="67"/>
      <c r="H271" s="68"/>
      <c r="I271" s="76"/>
      <c r="J271" s="67"/>
      <c r="K271" s="1"/>
      <c r="L271" s="81"/>
      <c r="M271" s="1"/>
      <c r="N271" s="468"/>
      <c r="O271" s="1"/>
      <c r="P271" s="1"/>
      <c r="Q271" s="1"/>
      <c r="R271" s="1"/>
    </row>
    <row r="272" ht="12.75" customHeight="1">
      <c r="A272" s="17"/>
      <c r="B272" s="1"/>
      <c r="C272" s="1"/>
      <c r="D272" s="150"/>
      <c r="E272" s="150"/>
      <c r="F272" s="75"/>
      <c r="G272" s="67"/>
      <c r="H272" s="68"/>
      <c r="I272" s="76"/>
      <c r="J272" s="67"/>
      <c r="K272" s="1"/>
      <c r="L272" s="81"/>
      <c r="M272" s="1"/>
      <c r="N272" s="468"/>
      <c r="O272" s="1"/>
      <c r="P272" s="1"/>
      <c r="Q272" s="1"/>
      <c r="R272" s="1"/>
    </row>
    <row r="273" ht="12.75" customHeight="1">
      <c r="A273" s="17"/>
      <c r="B273" s="1"/>
      <c r="C273" s="1"/>
      <c r="D273" s="150"/>
      <c r="E273" s="150"/>
      <c r="F273" s="75"/>
      <c r="G273" s="67"/>
      <c r="H273" s="68"/>
      <c r="I273" s="76"/>
      <c r="J273" s="67"/>
      <c r="K273" s="1"/>
      <c r="L273" s="81"/>
      <c r="M273" s="1"/>
      <c r="N273" s="468"/>
      <c r="O273" s="1"/>
      <c r="P273" s="1"/>
      <c r="Q273" s="1"/>
      <c r="R273" s="1"/>
    </row>
    <row r="274" ht="12.75" customHeight="1">
      <c r="A274" s="17"/>
      <c r="B274" s="1"/>
      <c r="C274" s="1"/>
      <c r="D274" s="150"/>
      <c r="E274" s="150"/>
      <c r="F274" s="75"/>
      <c r="G274" s="67"/>
      <c r="H274" s="68"/>
      <c r="I274" s="76"/>
      <c r="J274" s="67"/>
      <c r="K274" s="1"/>
      <c r="L274" s="81"/>
      <c r="M274" s="1"/>
      <c r="N274" s="468"/>
      <c r="O274" s="1"/>
      <c r="P274" s="1"/>
      <c r="Q274" s="1"/>
      <c r="R274" s="1"/>
    </row>
    <row r="275" ht="12.75" customHeight="1">
      <c r="A275" s="17"/>
      <c r="B275" s="1"/>
      <c r="C275" s="1"/>
      <c r="D275" s="150"/>
      <c r="E275" s="150"/>
      <c r="F275" s="75"/>
      <c r="G275" s="67"/>
      <c r="H275" s="68"/>
      <c r="I275" s="76"/>
      <c r="J275" s="67"/>
      <c r="K275" s="1"/>
      <c r="L275" s="81"/>
      <c r="M275" s="1"/>
      <c r="N275" s="468"/>
      <c r="O275" s="1"/>
      <c r="P275" s="1"/>
      <c r="Q275" s="1"/>
      <c r="R275" s="1"/>
    </row>
    <row r="276" ht="12.75" customHeight="1">
      <c r="A276" s="17"/>
      <c r="B276" s="1"/>
      <c r="C276" s="1"/>
      <c r="D276" s="150"/>
      <c r="E276" s="150"/>
      <c r="F276" s="75"/>
      <c r="G276" s="67"/>
      <c r="H276" s="68"/>
      <c r="I276" s="76"/>
      <c r="J276" s="67"/>
      <c r="K276" s="1"/>
      <c r="L276" s="81"/>
      <c r="M276" s="1"/>
      <c r="N276" s="468"/>
      <c r="O276" s="1"/>
      <c r="P276" s="1"/>
      <c r="Q276" s="1"/>
      <c r="R276" s="1"/>
    </row>
    <row r="277" ht="12.75" customHeight="1">
      <c r="A277" s="17"/>
      <c r="B277" s="1"/>
      <c r="C277" s="1"/>
      <c r="D277" s="150"/>
      <c r="E277" s="150"/>
      <c r="F277" s="75"/>
      <c r="G277" s="67"/>
      <c r="H277" s="68"/>
      <c r="I277" s="76"/>
      <c r="J277" s="67"/>
      <c r="K277" s="1"/>
      <c r="L277" s="81"/>
      <c r="M277" s="1"/>
      <c r="N277" s="468"/>
      <c r="O277" s="1"/>
      <c r="P277" s="1"/>
      <c r="Q277" s="1"/>
      <c r="R277" s="1"/>
    </row>
    <row r="278" ht="12.75" customHeight="1">
      <c r="A278" s="17"/>
      <c r="B278" s="1"/>
      <c r="C278" s="1"/>
      <c r="D278" s="150"/>
      <c r="E278" s="150"/>
      <c r="F278" s="75"/>
      <c r="G278" s="67"/>
      <c r="H278" s="68"/>
      <c r="I278" s="76"/>
      <c r="J278" s="67"/>
      <c r="K278" s="1"/>
      <c r="L278" s="81"/>
      <c r="M278" s="1"/>
      <c r="N278" s="468"/>
      <c r="O278" s="1"/>
      <c r="P278" s="1"/>
      <c r="Q278" s="1"/>
      <c r="R278" s="1"/>
    </row>
    <row r="279" ht="12.75" customHeight="1">
      <c r="A279" s="17"/>
      <c r="B279" s="1"/>
      <c r="C279" s="1"/>
      <c r="D279" s="150"/>
      <c r="E279" s="150"/>
      <c r="F279" s="75"/>
      <c r="G279" s="67"/>
      <c r="H279" s="68"/>
      <c r="I279" s="76"/>
      <c r="J279" s="67"/>
      <c r="K279" s="1"/>
      <c r="L279" s="81"/>
      <c r="M279" s="1"/>
      <c r="N279" s="468"/>
      <c r="O279" s="1"/>
      <c r="P279" s="1"/>
      <c r="Q279" s="1"/>
      <c r="R279" s="1"/>
    </row>
    <row r="280" ht="12.75" customHeight="1">
      <c r="A280" s="17"/>
      <c r="B280" s="1"/>
      <c r="C280" s="1"/>
      <c r="D280" s="150"/>
      <c r="E280" s="150"/>
      <c r="F280" s="75"/>
      <c r="G280" s="67"/>
      <c r="H280" s="68"/>
      <c r="I280" s="76"/>
      <c r="J280" s="67"/>
      <c r="K280" s="1"/>
      <c r="L280" s="81"/>
      <c r="M280" s="1"/>
      <c r="N280" s="468"/>
      <c r="O280" s="1"/>
      <c r="P280" s="1"/>
      <c r="Q280" s="1"/>
      <c r="R280" s="1"/>
    </row>
    <row r="281" ht="12.75" customHeight="1">
      <c r="A281" s="17"/>
      <c r="B281" s="1"/>
      <c r="C281" s="1"/>
      <c r="D281" s="150"/>
      <c r="E281" s="150"/>
      <c r="F281" s="75"/>
      <c r="G281" s="67"/>
      <c r="H281" s="68"/>
      <c r="I281" s="76"/>
      <c r="J281" s="67"/>
      <c r="K281" s="1"/>
      <c r="L281" s="81"/>
      <c r="M281" s="1"/>
      <c r="N281" s="468"/>
      <c r="O281" s="1"/>
      <c r="P281" s="1"/>
      <c r="Q281" s="1"/>
      <c r="R281" s="1"/>
    </row>
    <row r="282" ht="12.75" customHeight="1">
      <c r="A282" s="17"/>
      <c r="B282" s="1"/>
      <c r="C282" s="1"/>
      <c r="D282" s="150"/>
      <c r="E282" s="150"/>
      <c r="F282" s="75"/>
      <c r="G282" s="67"/>
      <c r="H282" s="68"/>
      <c r="I282" s="76"/>
      <c r="J282" s="67"/>
      <c r="K282" s="1"/>
      <c r="L282" s="81"/>
      <c r="M282" s="1"/>
      <c r="N282" s="468"/>
      <c r="O282" s="1"/>
      <c r="P282" s="1"/>
      <c r="Q282" s="1"/>
      <c r="R282" s="1"/>
    </row>
    <row r="283" ht="12.75" customHeight="1">
      <c r="A283" s="17"/>
      <c r="B283" s="1"/>
      <c r="C283" s="1"/>
      <c r="D283" s="150"/>
      <c r="E283" s="150"/>
      <c r="F283" s="75"/>
      <c r="G283" s="67"/>
      <c r="H283" s="68"/>
      <c r="I283" s="76"/>
      <c r="J283" s="67"/>
      <c r="K283" s="1"/>
      <c r="L283" s="81"/>
      <c r="M283" s="1"/>
      <c r="N283" s="468"/>
      <c r="O283" s="1"/>
      <c r="P283" s="1"/>
      <c r="Q283" s="1"/>
      <c r="R283" s="1"/>
    </row>
    <row r="284" ht="12.75" customHeight="1">
      <c r="A284" s="17"/>
      <c r="B284" s="1"/>
      <c r="C284" s="1"/>
      <c r="D284" s="150"/>
      <c r="E284" s="150"/>
      <c r="F284" s="75"/>
      <c r="G284" s="67"/>
      <c r="H284" s="68"/>
      <c r="I284" s="76"/>
      <c r="J284" s="67"/>
      <c r="K284" s="1"/>
      <c r="L284" s="81"/>
      <c r="M284" s="1"/>
      <c r="N284" s="468"/>
      <c r="O284" s="1"/>
      <c r="P284" s="1"/>
      <c r="Q284" s="1"/>
      <c r="R284" s="1"/>
    </row>
    <row r="285" ht="12.75" customHeight="1">
      <c r="A285" s="17"/>
      <c r="B285" s="1"/>
      <c r="C285" s="1"/>
      <c r="D285" s="150"/>
      <c r="E285" s="150"/>
      <c r="F285" s="75"/>
      <c r="G285" s="67"/>
      <c r="H285" s="68"/>
      <c r="I285" s="76"/>
      <c r="J285" s="67"/>
      <c r="K285" s="1"/>
      <c r="L285" s="81"/>
      <c r="M285" s="1"/>
      <c r="N285" s="468"/>
      <c r="O285" s="1"/>
      <c r="P285" s="1"/>
      <c r="Q285" s="1"/>
      <c r="R285" s="1"/>
    </row>
    <row r="286" ht="12.75" customHeight="1">
      <c r="A286" s="17"/>
      <c r="B286" s="1"/>
      <c r="C286" s="1"/>
      <c r="D286" s="150"/>
      <c r="E286" s="150"/>
      <c r="F286" s="75"/>
      <c r="G286" s="67"/>
      <c r="H286" s="68"/>
      <c r="I286" s="76"/>
      <c r="J286" s="67"/>
      <c r="K286" s="1"/>
      <c r="L286" s="81"/>
      <c r="M286" s="1"/>
      <c r="N286" s="468"/>
      <c r="O286" s="1"/>
      <c r="P286" s="1"/>
      <c r="Q286" s="1"/>
      <c r="R286" s="1"/>
    </row>
    <row r="287" ht="12.75" customHeight="1">
      <c r="A287" s="17"/>
      <c r="B287" s="1"/>
      <c r="C287" s="1"/>
      <c r="D287" s="150"/>
      <c r="E287" s="150"/>
      <c r="F287" s="75"/>
      <c r="G287" s="67"/>
      <c r="H287" s="68"/>
      <c r="I287" s="76"/>
      <c r="J287" s="67"/>
      <c r="K287" s="1"/>
      <c r="L287" s="81"/>
      <c r="M287" s="1"/>
      <c r="N287" s="468"/>
      <c r="O287" s="1"/>
      <c r="P287" s="1"/>
      <c r="Q287" s="1"/>
      <c r="R287" s="1"/>
    </row>
    <row r="288" ht="12.75" customHeight="1">
      <c r="A288" s="17"/>
      <c r="B288" s="1"/>
      <c r="C288" s="1"/>
      <c r="D288" s="150"/>
      <c r="E288" s="150"/>
      <c r="F288" s="75"/>
      <c r="G288" s="67"/>
      <c r="H288" s="68"/>
      <c r="I288" s="76"/>
      <c r="J288" s="67"/>
      <c r="K288" s="1"/>
      <c r="L288" s="81"/>
      <c r="M288" s="1"/>
      <c r="N288" s="468"/>
      <c r="O288" s="1"/>
      <c r="P288" s="1"/>
      <c r="Q288" s="1"/>
      <c r="R288" s="1"/>
    </row>
    <row r="289" ht="12.75" customHeight="1">
      <c r="A289" s="17"/>
      <c r="B289" s="1"/>
      <c r="C289" s="1"/>
      <c r="D289" s="150"/>
      <c r="E289" s="150"/>
      <c r="F289" s="75"/>
      <c r="G289" s="67"/>
      <c r="H289" s="68"/>
      <c r="I289" s="76"/>
      <c r="J289" s="67"/>
      <c r="K289" s="1"/>
      <c r="L289" s="81"/>
      <c r="M289" s="1"/>
      <c r="N289" s="468"/>
      <c r="O289" s="1"/>
      <c r="P289" s="1"/>
      <c r="Q289" s="1"/>
      <c r="R289" s="1"/>
    </row>
    <row r="290" ht="12.75" customHeight="1">
      <c r="A290" s="17"/>
      <c r="B290" s="1"/>
      <c r="C290" s="1"/>
      <c r="D290" s="150"/>
      <c r="E290" s="150"/>
      <c r="F290" s="75"/>
      <c r="G290" s="67"/>
      <c r="H290" s="68"/>
      <c r="I290" s="76"/>
      <c r="J290" s="67"/>
      <c r="K290" s="1"/>
      <c r="L290" s="81"/>
      <c r="M290" s="1"/>
      <c r="N290" s="468"/>
      <c r="O290" s="1"/>
      <c r="P290" s="1"/>
      <c r="Q290" s="1"/>
      <c r="R290" s="1"/>
    </row>
    <row r="291" ht="12.75" customHeight="1">
      <c r="A291" s="17"/>
      <c r="B291" s="1"/>
      <c r="C291" s="1"/>
      <c r="D291" s="150"/>
      <c r="E291" s="150"/>
      <c r="F291" s="75"/>
      <c r="G291" s="67"/>
      <c r="H291" s="68"/>
      <c r="I291" s="76"/>
      <c r="J291" s="67"/>
      <c r="K291" s="1"/>
      <c r="L291" s="81"/>
      <c r="M291" s="1"/>
      <c r="N291" s="468"/>
      <c r="O291" s="1"/>
      <c r="P291" s="1"/>
      <c r="Q291" s="1"/>
      <c r="R291" s="1"/>
    </row>
    <row r="292" ht="12.75" customHeight="1">
      <c r="A292" s="17"/>
      <c r="B292" s="1"/>
      <c r="C292" s="1"/>
      <c r="D292" s="150"/>
      <c r="E292" s="150"/>
      <c r="F292" s="75"/>
      <c r="G292" s="67"/>
      <c r="H292" s="68"/>
      <c r="I292" s="76"/>
      <c r="J292" s="67"/>
      <c r="K292" s="1"/>
      <c r="L292" s="81"/>
      <c r="M292" s="1"/>
      <c r="N292" s="468"/>
      <c r="O292" s="1"/>
      <c r="P292" s="1"/>
      <c r="Q292" s="1"/>
      <c r="R292" s="1"/>
    </row>
    <row r="293" ht="12.75" customHeight="1">
      <c r="A293" s="17"/>
      <c r="B293" s="1"/>
      <c r="C293" s="1"/>
      <c r="D293" s="150"/>
      <c r="E293" s="150"/>
      <c r="F293" s="75"/>
      <c r="G293" s="67"/>
      <c r="H293" s="68"/>
      <c r="I293" s="76"/>
      <c r="J293" s="67"/>
      <c r="K293" s="1"/>
      <c r="L293" s="81"/>
      <c r="M293" s="1"/>
      <c r="N293" s="468"/>
      <c r="O293" s="1"/>
      <c r="P293" s="1"/>
      <c r="Q293" s="1"/>
      <c r="R293" s="1"/>
    </row>
    <row r="294" ht="12.75" customHeight="1">
      <c r="A294" s="17"/>
      <c r="B294" s="1"/>
      <c r="C294" s="1"/>
      <c r="D294" s="150"/>
      <c r="E294" s="150"/>
      <c r="F294" s="75"/>
      <c r="G294" s="67"/>
      <c r="H294" s="68"/>
      <c r="I294" s="76"/>
      <c r="J294" s="67"/>
      <c r="K294" s="1"/>
      <c r="L294" s="81"/>
      <c r="M294" s="1"/>
      <c r="N294" s="468"/>
      <c r="O294" s="1"/>
      <c r="P294" s="1"/>
      <c r="Q294" s="1"/>
      <c r="R294" s="1"/>
    </row>
    <row r="295" ht="12.75" customHeight="1">
      <c r="A295" s="17"/>
      <c r="B295" s="1"/>
      <c r="C295" s="1"/>
      <c r="D295" s="150"/>
      <c r="E295" s="150"/>
      <c r="F295" s="75"/>
      <c r="G295" s="67"/>
      <c r="H295" s="68"/>
      <c r="I295" s="76"/>
      <c r="J295" s="67"/>
      <c r="K295" s="1"/>
      <c r="L295" s="81"/>
      <c r="M295" s="1"/>
      <c r="N295" s="468"/>
      <c r="O295" s="1"/>
      <c r="P295" s="1"/>
      <c r="Q295" s="1"/>
      <c r="R295" s="1"/>
    </row>
    <row r="296" ht="12.75" customHeight="1">
      <c r="A296" s="17"/>
      <c r="B296" s="1"/>
      <c r="C296" s="1"/>
      <c r="D296" s="150"/>
      <c r="E296" s="150"/>
      <c r="F296" s="75"/>
      <c r="G296" s="67"/>
      <c r="H296" s="68"/>
      <c r="I296" s="76"/>
      <c r="J296" s="67"/>
      <c r="K296" s="1"/>
      <c r="L296" s="81"/>
      <c r="M296" s="1"/>
      <c r="N296" s="468"/>
      <c r="O296" s="1"/>
      <c r="P296" s="1"/>
      <c r="Q296" s="1"/>
      <c r="R296" s="1"/>
    </row>
    <row r="297" ht="12.75" customHeight="1">
      <c r="A297" s="17"/>
      <c r="B297" s="1"/>
      <c r="C297" s="1"/>
      <c r="D297" s="150"/>
      <c r="E297" s="150"/>
      <c r="F297" s="75"/>
      <c r="G297" s="67"/>
      <c r="H297" s="68"/>
      <c r="I297" s="76"/>
      <c r="J297" s="67"/>
      <c r="K297" s="1"/>
      <c r="L297" s="81"/>
      <c r="M297" s="1"/>
      <c r="N297" s="468"/>
      <c r="O297" s="1"/>
      <c r="P297" s="1"/>
      <c r="Q297" s="1"/>
      <c r="R297" s="1"/>
    </row>
    <row r="298" ht="12.75" customHeight="1">
      <c r="A298" s="17"/>
      <c r="B298" s="1"/>
      <c r="C298" s="1"/>
      <c r="D298" s="150"/>
      <c r="E298" s="150"/>
      <c r="F298" s="75"/>
      <c r="G298" s="67"/>
      <c r="H298" s="68"/>
      <c r="I298" s="76"/>
      <c r="J298" s="67"/>
      <c r="K298" s="1"/>
      <c r="L298" s="81"/>
      <c r="M298" s="1"/>
      <c r="N298" s="468"/>
      <c r="O298" s="1"/>
      <c r="P298" s="1"/>
      <c r="Q298" s="1"/>
      <c r="R298" s="1"/>
    </row>
    <row r="299" ht="12.75" customHeight="1">
      <c r="A299" s="17"/>
      <c r="B299" s="1"/>
      <c r="C299" s="1"/>
      <c r="D299" s="150"/>
      <c r="E299" s="150"/>
      <c r="F299" s="75"/>
      <c r="G299" s="67"/>
      <c r="H299" s="68"/>
      <c r="I299" s="76"/>
      <c r="J299" s="67"/>
      <c r="K299" s="1"/>
      <c r="L299" s="81"/>
      <c r="M299" s="1"/>
      <c r="N299" s="468"/>
      <c r="O299" s="1"/>
      <c r="P299" s="1"/>
      <c r="Q299" s="1"/>
      <c r="R299" s="1"/>
    </row>
    <row r="300" ht="12.75" customHeight="1">
      <c r="A300" s="17"/>
      <c r="B300" s="1"/>
      <c r="C300" s="1"/>
      <c r="D300" s="150"/>
      <c r="E300" s="150"/>
      <c r="F300" s="75"/>
      <c r="G300" s="67"/>
      <c r="H300" s="68"/>
      <c r="I300" s="76"/>
      <c r="J300" s="67"/>
      <c r="K300" s="1"/>
      <c r="L300" s="81"/>
      <c r="M300" s="1"/>
      <c r="N300" s="468"/>
      <c r="O300" s="1"/>
      <c r="P300" s="1"/>
      <c r="Q300" s="1"/>
      <c r="R300" s="1"/>
    </row>
    <row r="301" ht="12.75" customHeight="1">
      <c r="A301" s="17"/>
      <c r="B301" s="1"/>
      <c r="C301" s="1"/>
      <c r="D301" s="150"/>
      <c r="E301" s="150"/>
      <c r="F301" s="75"/>
      <c r="G301" s="67"/>
      <c r="H301" s="68"/>
      <c r="I301" s="76"/>
      <c r="J301" s="67"/>
      <c r="K301" s="1"/>
      <c r="L301" s="81"/>
      <c r="M301" s="1"/>
      <c r="N301" s="468"/>
      <c r="O301" s="1"/>
      <c r="P301" s="1"/>
      <c r="Q301" s="1"/>
      <c r="R301" s="1"/>
    </row>
    <row r="302" ht="12.75" customHeight="1">
      <c r="A302" s="17"/>
      <c r="B302" s="1"/>
      <c r="C302" s="1"/>
      <c r="D302" s="150"/>
      <c r="E302" s="150"/>
      <c r="F302" s="75"/>
      <c r="G302" s="67"/>
      <c r="H302" s="68"/>
      <c r="I302" s="76"/>
      <c r="J302" s="67"/>
      <c r="K302" s="1"/>
      <c r="L302" s="81"/>
      <c r="M302" s="1"/>
      <c r="N302" s="468"/>
      <c r="O302" s="1"/>
      <c r="P302" s="1"/>
      <c r="Q302" s="1"/>
      <c r="R302" s="1"/>
    </row>
    <row r="303" ht="12.75" customHeight="1">
      <c r="A303" s="17"/>
      <c r="B303" s="1"/>
      <c r="C303" s="1"/>
      <c r="D303" s="150"/>
      <c r="E303" s="150"/>
      <c r="F303" s="75"/>
      <c r="G303" s="67"/>
      <c r="H303" s="68"/>
      <c r="I303" s="76"/>
      <c r="J303" s="67"/>
      <c r="K303" s="1"/>
      <c r="L303" s="81"/>
      <c r="M303" s="1"/>
      <c r="N303" s="468"/>
      <c r="O303" s="1"/>
      <c r="P303" s="1"/>
      <c r="Q303" s="1"/>
      <c r="R303" s="1"/>
    </row>
    <row r="304" ht="12.75" customHeight="1">
      <c r="A304" s="17"/>
      <c r="B304" s="1"/>
      <c r="C304" s="1"/>
      <c r="D304" s="150"/>
      <c r="E304" s="150"/>
      <c r="F304" s="75"/>
      <c r="G304" s="67"/>
      <c r="H304" s="68"/>
      <c r="I304" s="76"/>
      <c r="J304" s="67"/>
      <c r="K304" s="1"/>
      <c r="L304" s="81"/>
      <c r="M304" s="1"/>
      <c r="N304" s="468"/>
      <c r="O304" s="1"/>
      <c r="P304" s="1"/>
      <c r="Q304" s="1"/>
      <c r="R304" s="1"/>
    </row>
    <row r="305" ht="12.75" customHeight="1">
      <c r="A305" s="17"/>
      <c r="B305" s="1"/>
      <c r="C305" s="1"/>
      <c r="D305" s="150"/>
      <c r="E305" s="150"/>
      <c r="F305" s="75"/>
      <c r="G305" s="67"/>
      <c r="H305" s="68"/>
      <c r="I305" s="76"/>
      <c r="J305" s="67"/>
      <c r="K305" s="1"/>
      <c r="L305" s="81"/>
      <c r="M305" s="1"/>
      <c r="N305" s="468"/>
      <c r="O305" s="1"/>
      <c r="P305" s="1"/>
      <c r="Q305" s="1"/>
      <c r="R305" s="1"/>
    </row>
    <row r="306" ht="12.75" customHeight="1">
      <c r="A306" s="17"/>
      <c r="B306" s="1"/>
      <c r="C306" s="1"/>
      <c r="D306" s="150"/>
      <c r="E306" s="150"/>
      <c r="F306" s="75"/>
      <c r="G306" s="67"/>
      <c r="H306" s="68"/>
      <c r="I306" s="76"/>
      <c r="J306" s="67"/>
      <c r="K306" s="1"/>
      <c r="L306" s="81"/>
      <c r="M306" s="1"/>
      <c r="N306" s="468"/>
      <c r="O306" s="1"/>
      <c r="P306" s="1"/>
      <c r="Q306" s="1"/>
      <c r="R306" s="1"/>
    </row>
    <row r="307" ht="12.75" customHeight="1">
      <c r="A307" s="17"/>
      <c r="B307" s="1"/>
      <c r="C307" s="1"/>
      <c r="D307" s="150"/>
      <c r="E307" s="150"/>
      <c r="F307" s="75"/>
      <c r="G307" s="67"/>
      <c r="H307" s="68"/>
      <c r="I307" s="76"/>
      <c r="J307" s="67"/>
      <c r="K307" s="1"/>
      <c r="L307" s="81"/>
      <c r="M307" s="1"/>
      <c r="N307" s="468"/>
      <c r="O307" s="1"/>
      <c r="P307" s="1"/>
      <c r="Q307" s="1"/>
      <c r="R307" s="1"/>
    </row>
    <row r="308" ht="12.75" customHeight="1">
      <c r="A308" s="17"/>
      <c r="B308" s="1"/>
      <c r="C308" s="1"/>
      <c r="D308" s="150"/>
      <c r="E308" s="150"/>
      <c r="F308" s="75"/>
      <c r="G308" s="67"/>
      <c r="H308" s="68"/>
      <c r="I308" s="76"/>
      <c r="J308" s="67"/>
      <c r="K308" s="1"/>
      <c r="L308" s="81"/>
      <c r="M308" s="1"/>
      <c r="N308" s="468"/>
      <c r="O308" s="1"/>
      <c r="P308" s="1"/>
      <c r="Q308" s="1"/>
      <c r="R308" s="1"/>
    </row>
    <row r="309" ht="12.75" customHeight="1">
      <c r="A309" s="17"/>
      <c r="B309" s="1"/>
      <c r="C309" s="1"/>
      <c r="D309" s="150"/>
      <c r="E309" s="150"/>
      <c r="F309" s="75"/>
      <c r="G309" s="67"/>
      <c r="H309" s="68"/>
      <c r="I309" s="76"/>
      <c r="J309" s="67"/>
      <c r="K309" s="1"/>
      <c r="L309" s="81"/>
      <c r="M309" s="1"/>
      <c r="N309" s="468"/>
      <c r="O309" s="1"/>
      <c r="P309" s="1"/>
      <c r="Q309" s="1"/>
      <c r="R309" s="1"/>
    </row>
    <row r="310" ht="12.75" customHeight="1">
      <c r="A310" s="17"/>
      <c r="B310" s="1"/>
      <c r="C310" s="1"/>
      <c r="D310" s="150"/>
      <c r="E310" s="150"/>
      <c r="F310" s="75"/>
      <c r="G310" s="67"/>
      <c r="H310" s="68"/>
      <c r="I310" s="76"/>
      <c r="J310" s="67"/>
      <c r="K310" s="1"/>
      <c r="L310" s="81"/>
      <c r="M310" s="1"/>
      <c r="N310" s="468"/>
      <c r="O310" s="1"/>
      <c r="P310" s="1"/>
      <c r="Q310" s="1"/>
      <c r="R310" s="1"/>
    </row>
    <row r="311" ht="12.75" customHeight="1">
      <c r="A311" s="17"/>
      <c r="B311" s="1"/>
      <c r="C311" s="1"/>
      <c r="D311" s="150"/>
      <c r="E311" s="150"/>
      <c r="F311" s="75"/>
      <c r="G311" s="67"/>
      <c r="H311" s="68"/>
      <c r="I311" s="76"/>
      <c r="J311" s="67"/>
      <c r="K311" s="1"/>
      <c r="L311" s="81"/>
      <c r="M311" s="1"/>
      <c r="N311" s="468"/>
      <c r="O311" s="1"/>
      <c r="P311" s="1"/>
      <c r="Q311" s="1"/>
      <c r="R311" s="1"/>
    </row>
    <row r="312" ht="12.75" customHeight="1">
      <c r="A312" s="17"/>
      <c r="B312" s="1"/>
      <c r="C312" s="1"/>
      <c r="D312" s="150"/>
      <c r="E312" s="150"/>
      <c r="F312" s="75"/>
      <c r="G312" s="67"/>
      <c r="H312" s="68"/>
      <c r="I312" s="76"/>
      <c r="J312" s="67"/>
      <c r="K312" s="1"/>
      <c r="L312" s="81"/>
      <c r="M312" s="1"/>
      <c r="N312" s="468"/>
      <c r="O312" s="1"/>
      <c r="P312" s="1"/>
      <c r="Q312" s="1"/>
      <c r="R312" s="1"/>
    </row>
    <row r="313" ht="12.75" customHeight="1">
      <c r="A313" s="17"/>
      <c r="B313" s="1"/>
      <c r="C313" s="1"/>
      <c r="D313" s="150"/>
      <c r="E313" s="150"/>
      <c r="F313" s="75"/>
      <c r="G313" s="67"/>
      <c r="H313" s="68"/>
      <c r="I313" s="76"/>
      <c r="J313" s="67"/>
      <c r="K313" s="1"/>
      <c r="L313" s="81"/>
      <c r="M313" s="1"/>
      <c r="N313" s="468"/>
      <c r="O313" s="1"/>
      <c r="P313" s="1"/>
      <c r="Q313" s="1"/>
      <c r="R313" s="1"/>
    </row>
    <row r="314" ht="12.75" customHeight="1">
      <c r="A314" s="17"/>
      <c r="B314" s="1"/>
      <c r="C314" s="1"/>
      <c r="D314" s="150"/>
      <c r="E314" s="150"/>
      <c r="F314" s="75"/>
      <c r="G314" s="67"/>
      <c r="H314" s="68"/>
      <c r="I314" s="76"/>
      <c r="J314" s="67"/>
      <c r="K314" s="1"/>
      <c r="L314" s="81"/>
      <c r="M314" s="1"/>
      <c r="N314" s="468"/>
      <c r="O314" s="1"/>
      <c r="P314" s="1"/>
      <c r="Q314" s="1"/>
      <c r="R314" s="1"/>
    </row>
    <row r="315" ht="12.75" customHeight="1">
      <c r="A315" s="17"/>
      <c r="B315" s="1"/>
      <c r="C315" s="1"/>
      <c r="D315" s="150"/>
      <c r="E315" s="150"/>
      <c r="F315" s="75"/>
      <c r="G315" s="67"/>
      <c r="H315" s="68"/>
      <c r="I315" s="76"/>
      <c r="J315" s="67"/>
      <c r="K315" s="1"/>
      <c r="L315" s="81"/>
      <c r="M315" s="1"/>
      <c r="N315" s="468"/>
      <c r="O315" s="1"/>
      <c r="P315" s="1"/>
      <c r="Q315" s="1"/>
      <c r="R315" s="1"/>
    </row>
    <row r="316" ht="12.75" customHeight="1">
      <c r="A316" s="17"/>
      <c r="B316" s="1"/>
      <c r="C316" s="1"/>
      <c r="D316" s="150"/>
      <c r="E316" s="150"/>
      <c r="F316" s="75"/>
      <c r="G316" s="67"/>
      <c r="H316" s="68"/>
      <c r="I316" s="76"/>
      <c r="J316" s="67"/>
      <c r="K316" s="1"/>
      <c r="L316" s="81"/>
      <c r="M316" s="1"/>
      <c r="N316" s="468"/>
      <c r="O316" s="1"/>
      <c r="P316" s="1"/>
      <c r="Q316" s="1"/>
      <c r="R316" s="1"/>
    </row>
    <row r="317" ht="12.75" customHeight="1">
      <c r="A317" s="17"/>
      <c r="B317" s="1"/>
      <c r="C317" s="1"/>
      <c r="D317" s="150"/>
      <c r="E317" s="150"/>
      <c r="F317" s="75"/>
      <c r="G317" s="67"/>
      <c r="H317" s="68"/>
      <c r="I317" s="76"/>
      <c r="J317" s="67"/>
      <c r="K317" s="1"/>
      <c r="L317" s="81"/>
      <c r="M317" s="1"/>
      <c r="N317" s="468"/>
      <c r="O317" s="1"/>
      <c r="P317" s="1"/>
      <c r="Q317" s="1"/>
      <c r="R317" s="1"/>
    </row>
    <row r="318" ht="12.75" customHeight="1">
      <c r="A318" s="17"/>
      <c r="B318" s="1"/>
      <c r="C318" s="1"/>
      <c r="D318" s="150"/>
      <c r="E318" s="150"/>
      <c r="F318" s="75"/>
      <c r="G318" s="67"/>
      <c r="H318" s="68"/>
      <c r="I318" s="76"/>
      <c r="J318" s="67"/>
      <c r="K318" s="1"/>
      <c r="L318" s="81"/>
      <c r="M318" s="1"/>
      <c r="N318" s="468"/>
      <c r="O318" s="1"/>
      <c r="P318" s="1"/>
      <c r="Q318" s="1"/>
      <c r="R318" s="1"/>
    </row>
    <row r="319" ht="12.75" customHeight="1">
      <c r="A319" s="17"/>
      <c r="B319" s="1"/>
      <c r="C319" s="1"/>
      <c r="D319" s="150"/>
      <c r="E319" s="150"/>
      <c r="F319" s="75"/>
      <c r="G319" s="67"/>
      <c r="H319" s="68"/>
      <c r="I319" s="76"/>
      <c r="J319" s="67"/>
      <c r="K319" s="1"/>
      <c r="L319" s="81"/>
      <c r="M319" s="1"/>
      <c r="N319" s="468"/>
      <c r="O319" s="1"/>
      <c r="P319" s="1"/>
      <c r="Q319" s="1"/>
      <c r="R319" s="1"/>
    </row>
    <row r="320" ht="12.75" customHeight="1">
      <c r="A320" s="17"/>
      <c r="B320" s="1"/>
      <c r="C320" s="1"/>
      <c r="D320" s="150"/>
      <c r="E320" s="150"/>
      <c r="F320" s="75"/>
      <c r="G320" s="67"/>
      <c r="H320" s="68"/>
      <c r="I320" s="76"/>
      <c r="J320" s="67"/>
      <c r="K320" s="1"/>
      <c r="L320" s="81"/>
      <c r="M320" s="1"/>
      <c r="N320" s="468"/>
      <c r="O320" s="1"/>
      <c r="P320" s="1"/>
      <c r="Q320" s="1"/>
      <c r="R320" s="1"/>
    </row>
    <row r="321" ht="12.75" customHeight="1">
      <c r="A321" s="17"/>
      <c r="B321" s="1"/>
      <c r="C321" s="1"/>
      <c r="D321" s="150"/>
      <c r="E321" s="150"/>
      <c r="F321" s="75"/>
      <c r="G321" s="67"/>
      <c r="H321" s="68"/>
      <c r="I321" s="76"/>
      <c r="J321" s="67"/>
      <c r="K321" s="1"/>
      <c r="L321" s="81"/>
      <c r="M321" s="1"/>
      <c r="N321" s="468"/>
      <c r="O321" s="1"/>
      <c r="P321" s="1"/>
      <c r="Q321" s="1"/>
      <c r="R321" s="1"/>
    </row>
    <row r="322" ht="12.75" customHeight="1">
      <c r="A322" s="17"/>
      <c r="B322" s="1"/>
      <c r="C322" s="1"/>
      <c r="D322" s="150"/>
      <c r="E322" s="150"/>
      <c r="F322" s="75"/>
      <c r="G322" s="67"/>
      <c r="H322" s="68"/>
      <c r="I322" s="76"/>
      <c r="J322" s="67"/>
      <c r="K322" s="1"/>
      <c r="L322" s="81"/>
      <c r="M322" s="1"/>
      <c r="N322" s="468"/>
      <c r="O322" s="1"/>
      <c r="P322" s="1"/>
      <c r="Q322" s="1"/>
      <c r="R322" s="1"/>
    </row>
    <row r="323" ht="12.75" customHeight="1">
      <c r="A323" s="17"/>
      <c r="B323" s="1"/>
      <c r="C323" s="1"/>
      <c r="D323" s="150"/>
      <c r="E323" s="150"/>
      <c r="F323" s="75"/>
      <c r="G323" s="67"/>
      <c r="H323" s="68"/>
      <c r="I323" s="76"/>
      <c r="J323" s="67"/>
      <c r="K323" s="1"/>
      <c r="L323" s="81"/>
      <c r="M323" s="1"/>
      <c r="N323" s="468"/>
      <c r="O323" s="1"/>
      <c r="P323" s="1"/>
      <c r="Q323" s="1"/>
      <c r="R323" s="1"/>
    </row>
    <row r="324" ht="12.75" customHeight="1">
      <c r="A324" s="17"/>
      <c r="B324" s="1"/>
      <c r="C324" s="1"/>
      <c r="D324" s="150"/>
      <c r="E324" s="150"/>
      <c r="F324" s="75"/>
      <c r="G324" s="67"/>
      <c r="H324" s="68"/>
      <c r="I324" s="76"/>
      <c r="J324" s="67"/>
      <c r="K324" s="1"/>
      <c r="L324" s="81"/>
      <c r="M324" s="1"/>
      <c r="N324" s="468"/>
      <c r="O324" s="1"/>
      <c r="P324" s="1"/>
      <c r="Q324" s="1"/>
      <c r="R324" s="1"/>
    </row>
    <row r="325" ht="12.75" customHeight="1">
      <c r="A325" s="17"/>
      <c r="B325" s="1"/>
      <c r="C325" s="1"/>
      <c r="D325" s="150"/>
      <c r="E325" s="150"/>
      <c r="F325" s="75"/>
      <c r="G325" s="67"/>
      <c r="H325" s="68"/>
      <c r="I325" s="76"/>
      <c r="J325" s="67"/>
      <c r="K325" s="1"/>
      <c r="L325" s="81"/>
      <c r="M325" s="1"/>
      <c r="N325" s="468"/>
      <c r="O325" s="1"/>
      <c r="P325" s="1"/>
      <c r="Q325" s="1"/>
      <c r="R325" s="1"/>
    </row>
    <row r="326" ht="12.75" customHeight="1">
      <c r="A326" s="17"/>
      <c r="B326" s="1"/>
      <c r="C326" s="1"/>
      <c r="D326" s="150"/>
      <c r="E326" s="150"/>
      <c r="F326" s="75"/>
      <c r="G326" s="67"/>
      <c r="H326" s="68"/>
      <c r="I326" s="76"/>
      <c r="J326" s="67"/>
      <c r="K326" s="1"/>
      <c r="L326" s="81"/>
      <c r="M326" s="1"/>
      <c r="N326" s="468"/>
      <c r="O326" s="1"/>
      <c r="P326" s="1"/>
      <c r="Q326" s="1"/>
      <c r="R326" s="1"/>
    </row>
    <row r="327" ht="12.75" customHeight="1">
      <c r="A327" s="17"/>
      <c r="B327" s="1"/>
      <c r="C327" s="1"/>
      <c r="D327" s="150"/>
      <c r="E327" s="150"/>
      <c r="F327" s="75"/>
      <c r="G327" s="67"/>
      <c r="H327" s="68"/>
      <c r="I327" s="76"/>
      <c r="J327" s="67"/>
      <c r="K327" s="1"/>
      <c r="L327" s="81"/>
      <c r="M327" s="1"/>
      <c r="N327" s="468"/>
      <c r="O327" s="1"/>
      <c r="P327" s="1"/>
      <c r="Q327" s="1"/>
      <c r="R327" s="1"/>
    </row>
    <row r="328" ht="12.75" customHeight="1">
      <c r="A328" s="17"/>
      <c r="B328" s="1"/>
      <c r="C328" s="1"/>
      <c r="D328" s="150"/>
      <c r="E328" s="150"/>
      <c r="F328" s="75"/>
      <c r="G328" s="67"/>
      <c r="H328" s="68"/>
      <c r="I328" s="76"/>
      <c r="J328" s="67"/>
      <c r="K328" s="1"/>
      <c r="L328" s="81"/>
      <c r="M328" s="1"/>
      <c r="N328" s="468"/>
      <c r="O328" s="1"/>
      <c r="P328" s="1"/>
      <c r="Q328" s="1"/>
      <c r="R328" s="1"/>
    </row>
    <row r="329" ht="12.75" customHeight="1">
      <c r="A329" s="17"/>
      <c r="B329" s="1"/>
      <c r="C329" s="1"/>
      <c r="D329" s="150"/>
      <c r="E329" s="150"/>
      <c r="F329" s="75"/>
      <c r="G329" s="67"/>
      <c r="H329" s="68"/>
      <c r="I329" s="76"/>
      <c r="J329" s="67"/>
      <c r="K329" s="1"/>
      <c r="L329" s="81"/>
      <c r="M329" s="1"/>
      <c r="N329" s="468"/>
      <c r="O329" s="1"/>
      <c r="P329" s="1"/>
      <c r="Q329" s="1"/>
      <c r="R329" s="1"/>
    </row>
    <row r="330" ht="12.75" customHeight="1">
      <c r="A330" s="17"/>
      <c r="B330" s="1"/>
      <c r="C330" s="1"/>
      <c r="D330" s="150"/>
      <c r="E330" s="150"/>
      <c r="F330" s="75"/>
      <c r="G330" s="67"/>
      <c r="H330" s="68"/>
      <c r="I330" s="76"/>
      <c r="J330" s="67"/>
      <c r="K330" s="1"/>
      <c r="L330" s="81"/>
      <c r="M330" s="1"/>
      <c r="N330" s="468"/>
      <c r="O330" s="1"/>
      <c r="P330" s="1"/>
      <c r="Q330" s="1"/>
      <c r="R330" s="1"/>
    </row>
    <row r="331" ht="12.75" customHeight="1">
      <c r="A331" s="17"/>
      <c r="B331" s="1"/>
      <c r="C331" s="1"/>
      <c r="D331" s="150"/>
      <c r="E331" s="150"/>
      <c r="F331" s="75"/>
      <c r="G331" s="67"/>
      <c r="H331" s="68"/>
      <c r="I331" s="76"/>
      <c r="J331" s="67"/>
      <c r="K331" s="1"/>
      <c r="L331" s="81"/>
      <c r="M331" s="1"/>
      <c r="N331" s="468"/>
      <c r="O331" s="1"/>
      <c r="P331" s="1"/>
      <c r="Q331" s="1"/>
      <c r="R331" s="1"/>
    </row>
    <row r="332" ht="12.75" customHeight="1">
      <c r="A332" s="17"/>
      <c r="B332" s="1"/>
      <c r="C332" s="1"/>
      <c r="D332" s="150"/>
      <c r="E332" s="150"/>
      <c r="F332" s="75"/>
      <c r="G332" s="67"/>
      <c r="H332" s="68"/>
      <c r="I332" s="76"/>
      <c r="J332" s="67"/>
      <c r="K332" s="1"/>
      <c r="L332" s="81"/>
      <c r="M332" s="1"/>
      <c r="N332" s="468"/>
      <c r="O332" s="1"/>
      <c r="P332" s="1"/>
      <c r="Q332" s="1"/>
      <c r="R332" s="1"/>
    </row>
    <row r="333" ht="12.75" customHeight="1">
      <c r="A333" s="17"/>
      <c r="B333" s="1"/>
      <c r="C333" s="1"/>
      <c r="D333" s="150"/>
      <c r="E333" s="150"/>
      <c r="F333" s="75"/>
      <c r="G333" s="67"/>
      <c r="H333" s="68"/>
      <c r="I333" s="76"/>
      <c r="J333" s="67"/>
      <c r="K333" s="1"/>
      <c r="L333" s="81"/>
      <c r="M333" s="1"/>
      <c r="N333" s="468"/>
      <c r="O333" s="1"/>
      <c r="P333" s="1"/>
      <c r="Q333" s="1"/>
      <c r="R333" s="1"/>
    </row>
    <row r="334" ht="12.75" customHeight="1">
      <c r="A334" s="17"/>
      <c r="B334" s="1"/>
      <c r="C334" s="1"/>
      <c r="D334" s="150"/>
      <c r="E334" s="150"/>
      <c r="F334" s="75"/>
      <c r="G334" s="67"/>
      <c r="H334" s="68"/>
      <c r="I334" s="76"/>
      <c r="J334" s="67"/>
      <c r="K334" s="1"/>
      <c r="L334" s="81"/>
      <c r="M334" s="1"/>
      <c r="N334" s="468"/>
      <c r="O334" s="1"/>
      <c r="P334" s="1"/>
      <c r="Q334" s="1"/>
      <c r="R334" s="1"/>
    </row>
    <row r="335" ht="12.75" customHeight="1">
      <c r="A335" s="17"/>
      <c r="B335" s="1"/>
      <c r="C335" s="1"/>
      <c r="D335" s="150"/>
      <c r="E335" s="150"/>
      <c r="F335" s="75"/>
      <c r="G335" s="67"/>
      <c r="H335" s="68"/>
      <c r="I335" s="76"/>
      <c r="J335" s="67"/>
      <c r="K335" s="1"/>
      <c r="L335" s="81"/>
      <c r="M335" s="1"/>
      <c r="N335" s="468"/>
      <c r="O335" s="1"/>
      <c r="P335" s="1"/>
      <c r="Q335" s="1"/>
      <c r="R335" s="1"/>
    </row>
    <row r="336" ht="12.75" customHeight="1">
      <c r="A336" s="17"/>
      <c r="B336" s="1"/>
      <c r="C336" s="1"/>
      <c r="D336" s="150"/>
      <c r="E336" s="150"/>
      <c r="F336" s="75"/>
      <c r="G336" s="67"/>
      <c r="H336" s="68"/>
      <c r="I336" s="76"/>
      <c r="J336" s="67"/>
      <c r="K336" s="1"/>
      <c r="L336" s="81"/>
      <c r="M336" s="1"/>
      <c r="N336" s="468"/>
      <c r="O336" s="1"/>
      <c r="P336" s="1"/>
      <c r="Q336" s="1"/>
      <c r="R336" s="1"/>
    </row>
    <row r="337" ht="12.75" customHeight="1">
      <c r="A337" s="17"/>
      <c r="B337" s="1"/>
      <c r="C337" s="1"/>
      <c r="D337" s="150"/>
      <c r="E337" s="150"/>
      <c r="F337" s="75"/>
      <c r="G337" s="67"/>
      <c r="H337" s="68"/>
      <c r="I337" s="76"/>
      <c r="J337" s="67"/>
      <c r="K337" s="1"/>
      <c r="L337" s="81"/>
      <c r="M337" s="1"/>
      <c r="N337" s="468"/>
      <c r="O337" s="1"/>
      <c r="P337" s="1"/>
      <c r="Q337" s="1"/>
      <c r="R337" s="1"/>
    </row>
    <row r="338" ht="12.75" customHeight="1">
      <c r="A338" s="17"/>
      <c r="B338" s="1"/>
      <c r="C338" s="1"/>
      <c r="D338" s="150"/>
      <c r="E338" s="150"/>
      <c r="F338" s="75"/>
      <c r="G338" s="67"/>
      <c r="H338" s="68"/>
      <c r="I338" s="76"/>
      <c r="J338" s="67"/>
      <c r="K338" s="1"/>
      <c r="L338" s="81"/>
      <c r="M338" s="1"/>
      <c r="N338" s="468"/>
      <c r="O338" s="1"/>
      <c r="P338" s="1"/>
      <c r="Q338" s="1"/>
      <c r="R338" s="1"/>
    </row>
    <row r="339" ht="12.75" customHeight="1">
      <c r="A339" s="17"/>
      <c r="B339" s="1"/>
      <c r="C339" s="1"/>
      <c r="D339" s="150"/>
      <c r="E339" s="150"/>
      <c r="F339" s="75"/>
      <c r="G339" s="67"/>
      <c r="H339" s="68"/>
      <c r="I339" s="76"/>
      <c r="J339" s="67"/>
      <c r="K339" s="1"/>
      <c r="L339" s="81"/>
      <c r="M339" s="1"/>
      <c r="N339" s="468"/>
      <c r="O339" s="1"/>
      <c r="P339" s="1"/>
      <c r="Q339" s="1"/>
      <c r="R339" s="1"/>
    </row>
    <row r="340" ht="12.75" customHeight="1">
      <c r="A340" s="17"/>
      <c r="B340" s="1"/>
      <c r="C340" s="1"/>
      <c r="D340" s="150"/>
      <c r="E340" s="150"/>
      <c r="F340" s="75"/>
      <c r="G340" s="67"/>
      <c r="H340" s="68"/>
      <c r="I340" s="76"/>
      <c r="J340" s="67"/>
      <c r="K340" s="1"/>
      <c r="L340" s="81"/>
      <c r="M340" s="1"/>
      <c r="N340" s="468"/>
      <c r="O340" s="1"/>
      <c r="P340" s="1"/>
      <c r="Q340" s="1"/>
      <c r="R340" s="1"/>
    </row>
    <row r="341" ht="12.75" customHeight="1">
      <c r="A341" s="17"/>
      <c r="B341" s="1"/>
      <c r="C341" s="1"/>
      <c r="D341" s="150"/>
      <c r="E341" s="150"/>
      <c r="F341" s="75"/>
      <c r="G341" s="67"/>
      <c r="H341" s="68"/>
      <c r="I341" s="76"/>
      <c r="J341" s="67"/>
      <c r="K341" s="1"/>
      <c r="L341" s="81"/>
      <c r="M341" s="1"/>
      <c r="N341" s="468"/>
      <c r="O341" s="1"/>
      <c r="P341" s="1"/>
      <c r="Q341" s="1"/>
      <c r="R341" s="1"/>
    </row>
    <row r="342" ht="12.75" customHeight="1">
      <c r="A342" s="17"/>
      <c r="B342" s="1"/>
      <c r="C342" s="1"/>
      <c r="D342" s="150"/>
      <c r="E342" s="150"/>
      <c r="F342" s="75"/>
      <c r="G342" s="67"/>
      <c r="H342" s="68"/>
      <c r="I342" s="76"/>
      <c r="J342" s="67"/>
      <c r="K342" s="1"/>
      <c r="L342" s="81"/>
      <c r="M342" s="1"/>
      <c r="N342" s="468"/>
      <c r="O342" s="1"/>
      <c r="P342" s="1"/>
      <c r="Q342" s="1"/>
      <c r="R342" s="1"/>
    </row>
    <row r="343" ht="12.75" customHeight="1">
      <c r="A343" s="17"/>
      <c r="B343" s="1"/>
      <c r="C343" s="1"/>
      <c r="D343" s="150"/>
      <c r="E343" s="150"/>
      <c r="F343" s="75"/>
      <c r="G343" s="67"/>
      <c r="H343" s="68"/>
      <c r="I343" s="76"/>
      <c r="J343" s="67"/>
      <c r="K343" s="1"/>
      <c r="L343" s="81"/>
      <c r="M343" s="1"/>
      <c r="N343" s="468"/>
      <c r="O343" s="1"/>
      <c r="P343" s="1"/>
      <c r="Q343" s="1"/>
      <c r="R343" s="1"/>
    </row>
    <row r="344" ht="12.75" customHeight="1">
      <c r="A344" s="17"/>
      <c r="B344" s="1"/>
      <c r="C344" s="1"/>
      <c r="D344" s="150"/>
      <c r="E344" s="150"/>
      <c r="F344" s="75"/>
      <c r="G344" s="67"/>
      <c r="H344" s="68"/>
      <c r="I344" s="76"/>
      <c r="J344" s="67"/>
      <c r="K344" s="1"/>
      <c r="L344" s="81"/>
      <c r="M344" s="1"/>
      <c r="N344" s="468"/>
      <c r="O344" s="1"/>
      <c r="P344" s="1"/>
      <c r="Q344" s="1"/>
      <c r="R344" s="1"/>
    </row>
    <row r="345" ht="12.75" customHeight="1">
      <c r="A345" s="17"/>
      <c r="B345" s="1"/>
      <c r="C345" s="1"/>
      <c r="D345" s="150"/>
      <c r="E345" s="150"/>
      <c r="F345" s="75"/>
      <c r="G345" s="67"/>
      <c r="H345" s="68"/>
      <c r="I345" s="76"/>
      <c r="J345" s="67"/>
      <c r="K345" s="1"/>
      <c r="L345" s="81"/>
      <c r="M345" s="1"/>
      <c r="N345" s="468"/>
      <c r="O345" s="1"/>
      <c r="P345" s="1"/>
      <c r="Q345" s="1"/>
      <c r="R345" s="1"/>
    </row>
    <row r="346" ht="12.75" customHeight="1">
      <c r="A346" s="17"/>
      <c r="B346" s="1"/>
      <c r="C346" s="1"/>
      <c r="D346" s="150"/>
      <c r="E346" s="150"/>
      <c r="F346" s="75"/>
      <c r="G346" s="67"/>
      <c r="H346" s="68"/>
      <c r="I346" s="76"/>
      <c r="J346" s="67"/>
      <c r="K346" s="1"/>
      <c r="L346" s="81"/>
      <c r="M346" s="1"/>
      <c r="N346" s="468"/>
      <c r="O346" s="1"/>
      <c r="P346" s="1"/>
      <c r="Q346" s="1"/>
      <c r="R346" s="1"/>
    </row>
    <row r="347" ht="12.75" customHeight="1">
      <c r="A347" s="17"/>
      <c r="B347" s="1"/>
      <c r="C347" s="1"/>
      <c r="D347" s="150"/>
      <c r="E347" s="150"/>
      <c r="F347" s="75"/>
      <c r="G347" s="67"/>
      <c r="H347" s="68"/>
      <c r="I347" s="76"/>
      <c r="J347" s="67"/>
      <c r="K347" s="1"/>
      <c r="L347" s="81"/>
      <c r="M347" s="1"/>
      <c r="N347" s="468"/>
      <c r="O347" s="1"/>
      <c r="P347" s="1"/>
      <c r="Q347" s="1"/>
      <c r="R347" s="1"/>
    </row>
    <row r="348" ht="12.75" customHeight="1">
      <c r="A348" s="17"/>
      <c r="B348" s="1"/>
      <c r="C348" s="1"/>
      <c r="D348" s="150"/>
      <c r="E348" s="150"/>
      <c r="F348" s="75"/>
      <c r="G348" s="67"/>
      <c r="H348" s="68"/>
      <c r="I348" s="76"/>
      <c r="J348" s="67"/>
      <c r="K348" s="1"/>
      <c r="L348" s="81"/>
      <c r="M348" s="1"/>
      <c r="N348" s="468"/>
      <c r="O348" s="1"/>
      <c r="P348" s="1"/>
      <c r="Q348" s="1"/>
      <c r="R348" s="1"/>
    </row>
    <row r="349" ht="12.75" customHeight="1">
      <c r="A349" s="17"/>
      <c r="B349" s="1"/>
      <c r="C349" s="1"/>
      <c r="D349" s="150"/>
      <c r="E349" s="150"/>
      <c r="F349" s="75"/>
      <c r="G349" s="67"/>
      <c r="H349" s="68"/>
      <c r="I349" s="76"/>
      <c r="J349" s="67"/>
      <c r="K349" s="1"/>
      <c r="L349" s="81"/>
      <c r="M349" s="1"/>
      <c r="N349" s="468"/>
      <c r="O349" s="1"/>
      <c r="P349" s="1"/>
      <c r="Q349" s="1"/>
      <c r="R349" s="1"/>
    </row>
    <row r="350" ht="12.75" customHeight="1">
      <c r="A350" s="17"/>
      <c r="B350" s="1"/>
      <c r="C350" s="1"/>
      <c r="D350" s="150"/>
      <c r="E350" s="150"/>
      <c r="F350" s="75"/>
      <c r="G350" s="67"/>
      <c r="H350" s="68"/>
      <c r="I350" s="76"/>
      <c r="J350" s="67"/>
      <c r="K350" s="1"/>
      <c r="L350" s="81"/>
      <c r="M350" s="1"/>
      <c r="N350" s="468"/>
      <c r="O350" s="1"/>
      <c r="P350" s="1"/>
      <c r="Q350" s="1"/>
      <c r="R350" s="1"/>
    </row>
    <row r="351" ht="12.75" customHeight="1">
      <c r="A351" s="17"/>
      <c r="B351" s="1"/>
      <c r="C351" s="1"/>
      <c r="D351" s="150"/>
      <c r="E351" s="150"/>
      <c r="F351" s="75"/>
      <c r="G351" s="67"/>
      <c r="H351" s="68"/>
      <c r="I351" s="76"/>
      <c r="J351" s="67"/>
      <c r="K351" s="1"/>
      <c r="L351" s="81"/>
      <c r="M351" s="1"/>
      <c r="N351" s="468"/>
      <c r="O351" s="1"/>
      <c r="P351" s="1"/>
      <c r="Q351" s="1"/>
      <c r="R351" s="1"/>
    </row>
    <row r="352" ht="12.75" customHeight="1">
      <c r="A352" s="17"/>
      <c r="B352" s="1"/>
      <c r="C352" s="1"/>
      <c r="D352" s="150"/>
      <c r="E352" s="150"/>
      <c r="F352" s="75"/>
      <c r="G352" s="67"/>
      <c r="H352" s="68"/>
      <c r="I352" s="76"/>
      <c r="J352" s="67"/>
      <c r="K352" s="1"/>
      <c r="L352" s="81"/>
      <c r="M352" s="1"/>
      <c r="N352" s="468"/>
      <c r="O352" s="1"/>
      <c r="P352" s="1"/>
      <c r="Q352" s="1"/>
      <c r="R352" s="1"/>
    </row>
    <row r="353" ht="12.75" customHeight="1">
      <c r="A353" s="17"/>
      <c r="B353" s="1"/>
      <c r="C353" s="1"/>
      <c r="D353" s="150"/>
      <c r="E353" s="150"/>
      <c r="F353" s="75"/>
      <c r="G353" s="67"/>
      <c r="H353" s="68"/>
      <c r="I353" s="76"/>
      <c r="J353" s="67"/>
      <c r="K353" s="1"/>
      <c r="L353" s="81"/>
      <c r="M353" s="1"/>
      <c r="N353" s="468"/>
      <c r="O353" s="1"/>
      <c r="P353" s="1"/>
      <c r="Q353" s="1"/>
      <c r="R353" s="1"/>
    </row>
    <row r="354" ht="12.75" customHeight="1">
      <c r="A354" s="17"/>
      <c r="B354" s="1"/>
      <c r="C354" s="1"/>
      <c r="D354" s="150"/>
      <c r="E354" s="150"/>
      <c r="F354" s="75"/>
      <c r="G354" s="67"/>
      <c r="H354" s="68"/>
      <c r="I354" s="76"/>
      <c r="J354" s="67"/>
      <c r="K354" s="1"/>
      <c r="L354" s="81"/>
      <c r="M354" s="1"/>
      <c r="N354" s="468"/>
      <c r="O354" s="1"/>
      <c r="P354" s="1"/>
      <c r="Q354" s="1"/>
      <c r="R354" s="1"/>
    </row>
    <row r="355" ht="12.75" customHeight="1">
      <c r="A355" s="17"/>
      <c r="B355" s="1"/>
      <c r="C355" s="1"/>
      <c r="D355" s="150"/>
      <c r="E355" s="150"/>
      <c r="F355" s="75"/>
      <c r="G355" s="67"/>
      <c r="H355" s="68"/>
      <c r="I355" s="76"/>
      <c r="J355" s="67"/>
      <c r="K355" s="1"/>
      <c r="L355" s="81"/>
      <c r="M355" s="1"/>
      <c r="N355" s="468"/>
      <c r="O355" s="1"/>
      <c r="P355" s="1"/>
      <c r="Q355" s="1"/>
      <c r="R355" s="1"/>
    </row>
    <row r="356" ht="12.75" customHeight="1">
      <c r="A356" s="17"/>
      <c r="B356" s="1"/>
      <c r="C356" s="1"/>
      <c r="D356" s="150"/>
      <c r="E356" s="150"/>
      <c r="F356" s="75"/>
      <c r="G356" s="67"/>
      <c r="H356" s="68"/>
      <c r="I356" s="76"/>
      <c r="J356" s="67"/>
      <c r="K356" s="1"/>
      <c r="L356" s="81"/>
      <c r="M356" s="1"/>
      <c r="N356" s="468"/>
      <c r="O356" s="1"/>
      <c r="P356" s="1"/>
      <c r="Q356" s="1"/>
      <c r="R356" s="1"/>
    </row>
    <row r="357" ht="12.75" customHeight="1">
      <c r="A357" s="17"/>
      <c r="B357" s="1"/>
      <c r="C357" s="1"/>
      <c r="D357" s="150"/>
      <c r="E357" s="150"/>
      <c r="F357" s="75"/>
      <c r="G357" s="67"/>
      <c r="H357" s="68"/>
      <c r="I357" s="76"/>
      <c r="J357" s="67"/>
      <c r="K357" s="1"/>
      <c r="L357" s="81"/>
      <c r="M357" s="1"/>
      <c r="N357" s="468"/>
      <c r="O357" s="1"/>
      <c r="P357" s="1"/>
      <c r="Q357" s="1"/>
      <c r="R357" s="1"/>
    </row>
    <row r="358" ht="12.75" customHeight="1">
      <c r="A358" s="17"/>
      <c r="B358" s="1"/>
      <c r="C358" s="1"/>
      <c r="D358" s="150"/>
      <c r="E358" s="150"/>
      <c r="F358" s="75"/>
      <c r="G358" s="67"/>
      <c r="H358" s="68"/>
      <c r="I358" s="76"/>
      <c r="J358" s="67"/>
      <c r="K358" s="1"/>
      <c r="L358" s="81"/>
      <c r="M358" s="1"/>
      <c r="N358" s="468"/>
      <c r="O358" s="1"/>
      <c r="P358" s="1"/>
      <c r="Q358" s="1"/>
      <c r="R358" s="1"/>
    </row>
    <row r="359" ht="12.75" customHeight="1">
      <c r="A359" s="17"/>
      <c r="B359" s="1"/>
      <c r="C359" s="1"/>
      <c r="D359" s="150"/>
      <c r="E359" s="150"/>
      <c r="F359" s="75"/>
      <c r="G359" s="67"/>
      <c r="H359" s="68"/>
      <c r="I359" s="76"/>
      <c r="J359" s="67"/>
      <c r="K359" s="1"/>
      <c r="L359" s="81"/>
      <c r="M359" s="1"/>
      <c r="N359" s="468"/>
      <c r="O359" s="1"/>
      <c r="P359" s="1"/>
      <c r="Q359" s="1"/>
      <c r="R359" s="1"/>
    </row>
    <row r="360" ht="12.75" customHeight="1">
      <c r="A360" s="17"/>
      <c r="B360" s="1"/>
      <c r="C360" s="1"/>
      <c r="D360" s="150"/>
      <c r="E360" s="150"/>
      <c r="F360" s="75"/>
      <c r="G360" s="67"/>
      <c r="H360" s="68"/>
      <c r="I360" s="76"/>
      <c r="J360" s="67"/>
      <c r="K360" s="1"/>
      <c r="L360" s="81"/>
      <c r="M360" s="1"/>
      <c r="N360" s="468"/>
      <c r="O360" s="1"/>
      <c r="P360" s="1"/>
      <c r="Q360" s="1"/>
      <c r="R360" s="1"/>
    </row>
    <row r="361" ht="12.75" customHeight="1">
      <c r="A361" s="17"/>
      <c r="B361" s="1"/>
      <c r="C361" s="1"/>
      <c r="D361" s="150"/>
      <c r="E361" s="150"/>
      <c r="F361" s="75"/>
      <c r="G361" s="67"/>
      <c r="H361" s="68"/>
      <c r="I361" s="76"/>
      <c r="J361" s="67"/>
      <c r="K361" s="1"/>
      <c r="L361" s="81"/>
      <c r="M361" s="1"/>
      <c r="N361" s="468"/>
      <c r="O361" s="1"/>
      <c r="P361" s="1"/>
      <c r="Q361" s="1"/>
      <c r="R361" s="1"/>
    </row>
    <row r="362" ht="12.75" customHeight="1">
      <c r="A362" s="17"/>
      <c r="B362" s="1"/>
      <c r="C362" s="1"/>
      <c r="D362" s="150"/>
      <c r="E362" s="150"/>
      <c r="F362" s="75"/>
      <c r="G362" s="67"/>
      <c r="H362" s="68"/>
      <c r="I362" s="76"/>
      <c r="J362" s="67"/>
      <c r="K362" s="1"/>
      <c r="L362" s="81"/>
      <c r="M362" s="1"/>
      <c r="N362" s="468"/>
      <c r="O362" s="1"/>
      <c r="P362" s="1"/>
      <c r="Q362" s="1"/>
      <c r="R362" s="1"/>
    </row>
    <row r="363" ht="12.75" customHeight="1">
      <c r="A363" s="17"/>
      <c r="B363" s="1"/>
      <c r="C363" s="1"/>
      <c r="D363" s="150"/>
      <c r="E363" s="150"/>
      <c r="F363" s="75"/>
      <c r="G363" s="67"/>
      <c r="H363" s="68"/>
      <c r="I363" s="76"/>
      <c r="J363" s="67"/>
      <c r="K363" s="1"/>
      <c r="L363" s="81"/>
      <c r="M363" s="1"/>
      <c r="N363" s="468"/>
      <c r="O363" s="1"/>
      <c r="P363" s="1"/>
      <c r="Q363" s="1"/>
      <c r="R363" s="1"/>
    </row>
    <row r="364" ht="12.75" customHeight="1">
      <c r="A364" s="17"/>
      <c r="B364" s="1"/>
      <c r="C364" s="1"/>
      <c r="D364" s="150"/>
      <c r="E364" s="150"/>
      <c r="F364" s="75"/>
      <c r="G364" s="67"/>
      <c r="H364" s="68"/>
      <c r="I364" s="76"/>
      <c r="J364" s="67"/>
      <c r="K364" s="1"/>
      <c r="L364" s="81"/>
      <c r="M364" s="1"/>
      <c r="N364" s="468"/>
      <c r="O364" s="1"/>
      <c r="P364" s="1"/>
      <c r="Q364" s="1"/>
      <c r="R364" s="1"/>
    </row>
    <row r="365" ht="12.75" customHeight="1">
      <c r="A365" s="17"/>
      <c r="B365" s="1"/>
      <c r="C365" s="1"/>
      <c r="D365" s="150"/>
      <c r="E365" s="150"/>
      <c r="F365" s="75"/>
      <c r="G365" s="67"/>
      <c r="H365" s="68"/>
      <c r="I365" s="76"/>
      <c r="J365" s="67"/>
      <c r="K365" s="1"/>
      <c r="L365" s="81"/>
      <c r="M365" s="1"/>
      <c r="N365" s="468"/>
      <c r="O365" s="1"/>
      <c r="P365" s="1"/>
      <c r="Q365" s="1"/>
      <c r="R365" s="1"/>
    </row>
    <row r="366" ht="12.75" customHeight="1">
      <c r="A366" s="17"/>
      <c r="B366" s="1"/>
      <c r="C366" s="1"/>
      <c r="D366" s="150"/>
      <c r="E366" s="150"/>
      <c r="F366" s="75"/>
      <c r="G366" s="67"/>
      <c r="H366" s="68"/>
      <c r="I366" s="76"/>
      <c r="J366" s="67"/>
      <c r="K366" s="1"/>
      <c r="L366" s="81"/>
      <c r="M366" s="1"/>
      <c r="N366" s="468"/>
      <c r="O366" s="1"/>
      <c r="P366" s="1"/>
      <c r="Q366" s="1"/>
      <c r="R366" s="1"/>
    </row>
    <row r="367" ht="12.75" customHeight="1">
      <c r="A367" s="17"/>
      <c r="B367" s="1"/>
      <c r="C367" s="1"/>
      <c r="D367" s="150"/>
      <c r="E367" s="150"/>
      <c r="F367" s="75"/>
      <c r="G367" s="67"/>
      <c r="H367" s="68"/>
      <c r="I367" s="76"/>
      <c r="J367" s="67"/>
      <c r="K367" s="1"/>
      <c r="L367" s="81"/>
      <c r="M367" s="1"/>
      <c r="N367" s="468"/>
      <c r="O367" s="1"/>
      <c r="P367" s="1"/>
      <c r="Q367" s="1"/>
      <c r="R367" s="1"/>
    </row>
    <row r="368" ht="12.75" customHeight="1">
      <c r="A368" s="17"/>
      <c r="B368" s="1"/>
      <c r="C368" s="1"/>
      <c r="D368" s="150"/>
      <c r="E368" s="150"/>
      <c r="F368" s="75"/>
      <c r="G368" s="67"/>
      <c r="H368" s="68"/>
      <c r="I368" s="76"/>
      <c r="J368" s="67"/>
      <c r="K368" s="1"/>
      <c r="L368" s="81"/>
      <c r="M368" s="1"/>
      <c r="N368" s="468"/>
      <c r="O368" s="1"/>
      <c r="P368" s="1"/>
      <c r="Q368" s="1"/>
      <c r="R368" s="1"/>
    </row>
    <row r="369" ht="12.75" customHeight="1">
      <c r="A369" s="17"/>
      <c r="B369" s="1"/>
      <c r="C369" s="1"/>
      <c r="D369" s="150"/>
      <c r="E369" s="150"/>
      <c r="F369" s="75"/>
      <c r="G369" s="67"/>
      <c r="H369" s="68"/>
      <c r="I369" s="76"/>
      <c r="J369" s="67"/>
      <c r="K369" s="1"/>
      <c r="L369" s="81"/>
      <c r="M369" s="1"/>
      <c r="N369" s="468"/>
      <c r="O369" s="1"/>
      <c r="P369" s="1"/>
      <c r="Q369" s="1"/>
      <c r="R369" s="1"/>
    </row>
    <row r="370" ht="12.75" customHeight="1">
      <c r="A370" s="17"/>
      <c r="B370" s="1"/>
      <c r="C370" s="1"/>
      <c r="D370" s="150"/>
      <c r="E370" s="150"/>
      <c r="F370" s="75"/>
      <c r="G370" s="67"/>
      <c r="H370" s="68"/>
      <c r="I370" s="76"/>
      <c r="J370" s="67"/>
      <c r="K370" s="1"/>
      <c r="L370" s="81"/>
      <c r="M370" s="1"/>
      <c r="N370" s="468"/>
      <c r="O370" s="1"/>
      <c r="P370" s="1"/>
      <c r="Q370" s="1"/>
      <c r="R370" s="1"/>
    </row>
    <row r="371" ht="12.75" customHeight="1">
      <c r="A371" s="17"/>
      <c r="B371" s="1"/>
      <c r="C371" s="1"/>
      <c r="D371" s="150"/>
      <c r="E371" s="150"/>
      <c r="F371" s="75"/>
      <c r="G371" s="67"/>
      <c r="H371" s="68"/>
      <c r="I371" s="76"/>
      <c r="J371" s="67"/>
      <c r="K371" s="1"/>
      <c r="L371" s="81"/>
      <c r="M371" s="1"/>
      <c r="N371" s="468"/>
      <c r="O371" s="1"/>
      <c r="P371" s="1"/>
      <c r="Q371" s="1"/>
      <c r="R371" s="1"/>
    </row>
    <row r="372" ht="12.75" customHeight="1">
      <c r="A372" s="17"/>
      <c r="B372" s="1"/>
      <c r="C372" s="1"/>
      <c r="D372" s="150"/>
      <c r="E372" s="150"/>
      <c r="F372" s="75"/>
      <c r="G372" s="67"/>
      <c r="H372" s="68"/>
      <c r="I372" s="76"/>
      <c r="J372" s="67"/>
      <c r="K372" s="1"/>
      <c r="L372" s="81"/>
      <c r="M372" s="1"/>
      <c r="N372" s="468"/>
      <c r="O372" s="1"/>
      <c r="P372" s="1"/>
      <c r="Q372" s="1"/>
      <c r="R372" s="1"/>
    </row>
    <row r="373" ht="12.75" customHeight="1">
      <c r="A373" s="17"/>
      <c r="B373" s="1"/>
      <c r="C373" s="1"/>
      <c r="D373" s="150"/>
      <c r="E373" s="150"/>
      <c r="F373" s="75"/>
      <c r="G373" s="67"/>
      <c r="H373" s="68"/>
      <c r="I373" s="76"/>
      <c r="J373" s="67"/>
      <c r="K373" s="1"/>
      <c r="L373" s="81"/>
      <c r="M373" s="1"/>
      <c r="N373" s="468"/>
      <c r="O373" s="1"/>
      <c r="P373" s="1"/>
      <c r="Q373" s="1"/>
      <c r="R373" s="1"/>
    </row>
    <row r="374" ht="12.75" customHeight="1">
      <c r="A374" s="17"/>
      <c r="B374" s="1"/>
      <c r="C374" s="1"/>
      <c r="D374" s="150"/>
      <c r="E374" s="150"/>
      <c r="F374" s="75"/>
      <c r="G374" s="67"/>
      <c r="H374" s="68"/>
      <c r="I374" s="76"/>
      <c r="J374" s="67"/>
      <c r="K374" s="1"/>
      <c r="L374" s="81"/>
      <c r="M374" s="1"/>
      <c r="N374" s="468"/>
      <c r="O374" s="1"/>
      <c r="P374" s="1"/>
      <c r="Q374" s="1"/>
      <c r="R374" s="1"/>
    </row>
    <row r="375" ht="12.75" customHeight="1">
      <c r="A375" s="17"/>
      <c r="B375" s="1"/>
      <c r="C375" s="1"/>
      <c r="D375" s="150"/>
      <c r="E375" s="150"/>
      <c r="F375" s="75"/>
      <c r="G375" s="67"/>
      <c r="H375" s="68"/>
      <c r="I375" s="76"/>
      <c r="J375" s="67"/>
      <c r="K375" s="1"/>
      <c r="L375" s="81"/>
      <c r="M375" s="1"/>
      <c r="N375" s="468"/>
      <c r="O375" s="1"/>
      <c r="P375" s="1"/>
      <c r="Q375" s="1"/>
      <c r="R375" s="1"/>
    </row>
    <row r="376" ht="12.75" customHeight="1">
      <c r="A376" s="17"/>
      <c r="B376" s="1"/>
      <c r="C376" s="1"/>
      <c r="D376" s="150"/>
      <c r="E376" s="150"/>
      <c r="F376" s="75"/>
      <c r="G376" s="67"/>
      <c r="H376" s="68"/>
      <c r="I376" s="76"/>
      <c r="J376" s="67"/>
      <c r="K376" s="1"/>
      <c r="L376" s="81"/>
      <c r="M376" s="1"/>
      <c r="N376" s="468"/>
      <c r="O376" s="1"/>
      <c r="P376" s="1"/>
      <c r="Q376" s="1"/>
      <c r="R376" s="1"/>
    </row>
    <row r="377" ht="12.75" customHeight="1">
      <c r="A377" s="17"/>
      <c r="B377" s="1"/>
      <c r="C377" s="1"/>
      <c r="D377" s="150"/>
      <c r="E377" s="150"/>
      <c r="F377" s="75"/>
      <c r="G377" s="67"/>
      <c r="H377" s="68"/>
      <c r="I377" s="76"/>
      <c r="J377" s="67"/>
      <c r="K377" s="1"/>
      <c r="L377" s="81"/>
      <c r="M377" s="1"/>
      <c r="N377" s="468"/>
      <c r="O377" s="1"/>
      <c r="P377" s="1"/>
      <c r="Q377" s="1"/>
      <c r="R377" s="1"/>
    </row>
    <row r="378" ht="12.75" customHeight="1">
      <c r="A378" s="17"/>
      <c r="B378" s="1"/>
      <c r="C378" s="1"/>
      <c r="D378" s="150"/>
      <c r="E378" s="150"/>
      <c r="F378" s="75"/>
      <c r="G378" s="67"/>
      <c r="H378" s="68"/>
      <c r="I378" s="76"/>
      <c r="J378" s="67"/>
      <c r="K378" s="1"/>
      <c r="L378" s="81"/>
      <c r="M378" s="1"/>
      <c r="N378" s="468"/>
      <c r="O378" s="1"/>
      <c r="P378" s="1"/>
      <c r="Q378" s="1"/>
      <c r="R378" s="1"/>
    </row>
    <row r="379" ht="12.75" customHeight="1">
      <c r="A379" s="17"/>
      <c r="B379" s="1"/>
      <c r="C379" s="1"/>
      <c r="D379" s="150"/>
      <c r="E379" s="150"/>
      <c r="F379" s="75"/>
      <c r="G379" s="67"/>
      <c r="H379" s="68"/>
      <c r="I379" s="76"/>
      <c r="J379" s="67"/>
      <c r="K379" s="1"/>
      <c r="L379" s="81"/>
      <c r="M379" s="1"/>
      <c r="N379" s="468"/>
      <c r="O379" s="1"/>
      <c r="P379" s="1"/>
      <c r="Q379" s="1"/>
      <c r="R379" s="1"/>
    </row>
    <row r="380" ht="12.75" customHeight="1">
      <c r="A380" s="17"/>
      <c r="B380" s="1"/>
      <c r="C380" s="1"/>
      <c r="D380" s="150"/>
      <c r="E380" s="150"/>
      <c r="F380" s="75"/>
      <c r="G380" s="67"/>
      <c r="H380" s="68"/>
      <c r="I380" s="76"/>
      <c r="J380" s="67"/>
      <c r="K380" s="1"/>
      <c r="L380" s="81"/>
      <c r="M380" s="1"/>
      <c r="N380" s="468"/>
      <c r="O380" s="1"/>
      <c r="P380" s="1"/>
      <c r="Q380" s="1"/>
      <c r="R380" s="1"/>
    </row>
    <row r="381" ht="12.75" customHeight="1">
      <c r="A381" s="17"/>
      <c r="B381" s="1"/>
      <c r="C381" s="1"/>
      <c r="D381" s="150"/>
      <c r="E381" s="150"/>
      <c r="F381" s="75"/>
      <c r="G381" s="67"/>
      <c r="H381" s="68"/>
      <c r="I381" s="76"/>
      <c r="J381" s="67"/>
      <c r="K381" s="1"/>
      <c r="L381" s="81"/>
      <c r="M381" s="1"/>
      <c r="N381" s="468"/>
      <c r="O381" s="1"/>
      <c r="P381" s="1"/>
      <c r="Q381" s="1"/>
      <c r="R381" s="1"/>
    </row>
    <row r="382" ht="12.75" customHeight="1">
      <c r="A382" s="17"/>
      <c r="B382" s="1"/>
      <c r="C382" s="1"/>
      <c r="D382" s="150"/>
      <c r="E382" s="150"/>
      <c r="F382" s="75"/>
      <c r="G382" s="67"/>
      <c r="H382" s="68"/>
      <c r="I382" s="76"/>
      <c r="J382" s="67"/>
      <c r="K382" s="1"/>
      <c r="L382" s="81"/>
      <c r="M382" s="1"/>
      <c r="N382" s="468"/>
      <c r="O382" s="1"/>
      <c r="P382" s="1"/>
      <c r="Q382" s="1"/>
      <c r="R382" s="1"/>
    </row>
    <row r="383" ht="12.75" customHeight="1">
      <c r="A383" s="17"/>
      <c r="B383" s="1"/>
      <c r="C383" s="1"/>
      <c r="D383" s="150"/>
      <c r="E383" s="150"/>
      <c r="F383" s="75"/>
      <c r="G383" s="67"/>
      <c r="H383" s="68"/>
      <c r="I383" s="76"/>
      <c r="J383" s="67"/>
      <c r="K383" s="1"/>
      <c r="L383" s="81"/>
      <c r="M383" s="1"/>
      <c r="N383" s="468"/>
      <c r="O383" s="1"/>
      <c r="P383" s="1"/>
      <c r="Q383" s="1"/>
      <c r="R383" s="1"/>
    </row>
    <row r="384" ht="12.75" customHeight="1">
      <c r="A384" s="17"/>
      <c r="B384" s="1"/>
      <c r="C384" s="1"/>
      <c r="D384" s="150"/>
      <c r="E384" s="150"/>
      <c r="F384" s="75"/>
      <c r="G384" s="67"/>
      <c r="H384" s="68"/>
      <c r="I384" s="76"/>
      <c r="J384" s="67"/>
      <c r="K384" s="1"/>
      <c r="L384" s="81"/>
      <c r="M384" s="1"/>
      <c r="N384" s="468"/>
      <c r="O384" s="1"/>
      <c r="P384" s="1"/>
      <c r="Q384" s="1"/>
      <c r="R384" s="1"/>
    </row>
    <row r="385" ht="12.75" customHeight="1">
      <c r="A385" s="17"/>
      <c r="B385" s="1"/>
      <c r="C385" s="1"/>
      <c r="D385" s="150"/>
      <c r="E385" s="150"/>
      <c r="F385" s="75"/>
      <c r="G385" s="67"/>
      <c r="H385" s="68"/>
      <c r="I385" s="76"/>
      <c r="J385" s="67"/>
      <c r="K385" s="1"/>
      <c r="L385" s="81"/>
      <c r="M385" s="1"/>
      <c r="N385" s="468"/>
      <c r="O385" s="1"/>
      <c r="P385" s="1"/>
      <c r="Q385" s="1"/>
      <c r="R385" s="1"/>
    </row>
    <row r="386" ht="12.75" customHeight="1">
      <c r="A386" s="17"/>
      <c r="B386" s="1"/>
      <c r="C386" s="1"/>
      <c r="D386" s="150"/>
      <c r="E386" s="150"/>
      <c r="F386" s="75"/>
      <c r="G386" s="67"/>
      <c r="H386" s="68"/>
      <c r="I386" s="76"/>
      <c r="J386" s="67"/>
      <c r="K386" s="1"/>
      <c r="L386" s="81"/>
      <c r="M386" s="1"/>
      <c r="N386" s="468"/>
      <c r="O386" s="1"/>
      <c r="P386" s="1"/>
      <c r="Q386" s="1"/>
      <c r="R386" s="1"/>
    </row>
    <row r="387" ht="12.75" customHeight="1">
      <c r="A387" s="17"/>
      <c r="B387" s="1"/>
      <c r="C387" s="1"/>
      <c r="D387" s="150"/>
      <c r="E387" s="150"/>
      <c r="F387" s="75"/>
      <c r="G387" s="67"/>
      <c r="H387" s="68"/>
      <c r="I387" s="76"/>
      <c r="J387" s="67"/>
      <c r="K387" s="1"/>
      <c r="L387" s="81"/>
      <c r="M387" s="1"/>
      <c r="N387" s="468"/>
      <c r="O387" s="1"/>
      <c r="P387" s="1"/>
      <c r="Q387" s="1"/>
      <c r="R387" s="1"/>
    </row>
    <row r="388" ht="12.75" customHeight="1">
      <c r="A388" s="17"/>
      <c r="B388" s="1"/>
      <c r="C388" s="1"/>
      <c r="D388" s="150"/>
      <c r="E388" s="150"/>
      <c r="F388" s="75"/>
      <c r="G388" s="67"/>
      <c r="H388" s="68"/>
      <c r="I388" s="76"/>
      <c r="J388" s="67"/>
      <c r="K388" s="1"/>
      <c r="L388" s="81"/>
      <c r="M388" s="1"/>
      <c r="N388" s="468"/>
      <c r="O388" s="1"/>
      <c r="P388" s="1"/>
      <c r="Q388" s="1"/>
      <c r="R388" s="1"/>
    </row>
    <row r="389" ht="12.75" customHeight="1">
      <c r="A389" s="17"/>
      <c r="B389" s="1"/>
      <c r="C389" s="1"/>
      <c r="D389" s="150"/>
      <c r="E389" s="150"/>
      <c r="F389" s="75"/>
      <c r="G389" s="67"/>
      <c r="H389" s="68"/>
      <c r="I389" s="76"/>
      <c r="J389" s="67"/>
      <c r="K389" s="1"/>
      <c r="L389" s="81"/>
      <c r="M389" s="1"/>
      <c r="N389" s="468"/>
      <c r="O389" s="1"/>
      <c r="P389" s="1"/>
      <c r="Q389" s="1"/>
      <c r="R389" s="1"/>
    </row>
    <row r="390" ht="12.75" customHeight="1">
      <c r="A390" s="17"/>
      <c r="B390" s="1"/>
      <c r="C390" s="1"/>
      <c r="D390" s="150"/>
      <c r="E390" s="150"/>
      <c r="F390" s="75"/>
      <c r="G390" s="67"/>
      <c r="H390" s="68"/>
      <c r="I390" s="76"/>
      <c r="J390" s="67"/>
      <c r="K390" s="1"/>
      <c r="L390" s="81"/>
      <c r="M390" s="1"/>
      <c r="N390" s="468"/>
      <c r="O390" s="1"/>
      <c r="P390" s="1"/>
      <c r="Q390" s="1"/>
      <c r="R390" s="1"/>
    </row>
    <row r="391" ht="12.75" customHeight="1">
      <c r="A391" s="17"/>
      <c r="B391" s="1"/>
      <c r="C391" s="1"/>
      <c r="D391" s="150"/>
      <c r="E391" s="150"/>
      <c r="F391" s="75"/>
      <c r="G391" s="67"/>
      <c r="H391" s="68"/>
      <c r="I391" s="76"/>
      <c r="J391" s="67"/>
      <c r="K391" s="1"/>
      <c r="L391" s="81"/>
      <c r="M391" s="1"/>
      <c r="N391" s="468"/>
      <c r="O391" s="1"/>
      <c r="P391" s="1"/>
      <c r="Q391" s="1"/>
      <c r="R391" s="1"/>
    </row>
    <row r="392" ht="12.75" customHeight="1">
      <c r="A392" s="17"/>
      <c r="B392" s="1"/>
      <c r="C392" s="1"/>
      <c r="D392" s="150"/>
      <c r="E392" s="150"/>
      <c r="F392" s="75"/>
      <c r="G392" s="67"/>
      <c r="H392" s="68"/>
      <c r="I392" s="76"/>
      <c r="J392" s="67"/>
      <c r="K392" s="1"/>
      <c r="L392" s="81"/>
      <c r="M392" s="1"/>
      <c r="N392" s="468"/>
      <c r="O392" s="1"/>
      <c r="P392" s="1"/>
      <c r="Q392" s="1"/>
      <c r="R392" s="1"/>
    </row>
    <row r="393" ht="12.75" customHeight="1">
      <c r="A393" s="17"/>
      <c r="B393" s="1"/>
      <c r="C393" s="1"/>
      <c r="D393" s="150"/>
      <c r="E393" s="150"/>
      <c r="F393" s="75"/>
      <c r="G393" s="67"/>
      <c r="H393" s="68"/>
      <c r="I393" s="76"/>
      <c r="J393" s="67"/>
      <c r="K393" s="1"/>
      <c r="L393" s="81"/>
      <c r="M393" s="1"/>
      <c r="N393" s="468"/>
      <c r="O393" s="1"/>
      <c r="P393" s="1"/>
      <c r="Q393" s="1"/>
      <c r="R393" s="1"/>
    </row>
    <row r="394" ht="12.75" customHeight="1">
      <c r="A394" s="17"/>
      <c r="B394" s="1"/>
      <c r="C394" s="1"/>
      <c r="D394" s="150"/>
      <c r="E394" s="150"/>
      <c r="F394" s="75"/>
      <c r="G394" s="67"/>
      <c r="H394" s="68"/>
      <c r="I394" s="76"/>
      <c r="J394" s="67"/>
      <c r="K394" s="1"/>
      <c r="L394" s="81"/>
      <c r="M394" s="1"/>
      <c r="N394" s="468"/>
      <c r="O394" s="1"/>
      <c r="P394" s="1"/>
      <c r="Q394" s="1"/>
      <c r="R394" s="1"/>
    </row>
    <row r="395" ht="12.75" customHeight="1">
      <c r="A395" s="17"/>
      <c r="B395" s="1"/>
      <c r="C395" s="1"/>
      <c r="D395" s="150"/>
      <c r="E395" s="150"/>
      <c r="F395" s="75"/>
      <c r="G395" s="67"/>
      <c r="H395" s="68"/>
      <c r="I395" s="76"/>
      <c r="J395" s="67"/>
      <c r="K395" s="1"/>
      <c r="L395" s="81"/>
      <c r="M395" s="1"/>
      <c r="N395" s="468"/>
      <c r="O395" s="1"/>
      <c r="P395" s="1"/>
      <c r="Q395" s="1"/>
      <c r="R395" s="1"/>
    </row>
    <row r="396" ht="12.75" customHeight="1">
      <c r="A396" s="17"/>
      <c r="B396" s="1"/>
      <c r="C396" s="1"/>
      <c r="D396" s="150"/>
      <c r="E396" s="150"/>
      <c r="F396" s="75"/>
      <c r="G396" s="67"/>
      <c r="H396" s="68"/>
      <c r="I396" s="76"/>
      <c r="J396" s="67"/>
      <c r="K396" s="1"/>
      <c r="L396" s="81"/>
      <c r="M396" s="1"/>
      <c r="N396" s="468"/>
      <c r="O396" s="1"/>
      <c r="P396" s="1"/>
      <c r="Q396" s="1"/>
      <c r="R396" s="1"/>
    </row>
    <row r="397" ht="12.75" customHeight="1">
      <c r="A397" s="17"/>
      <c r="B397" s="1"/>
      <c r="C397" s="1"/>
      <c r="D397" s="150"/>
      <c r="E397" s="150"/>
      <c r="F397" s="75"/>
      <c r="G397" s="67"/>
      <c r="H397" s="68"/>
      <c r="I397" s="76"/>
      <c r="J397" s="67"/>
      <c r="K397" s="1"/>
      <c r="L397" s="81"/>
      <c r="M397" s="1"/>
      <c r="N397" s="468"/>
      <c r="O397" s="1"/>
      <c r="P397" s="1"/>
      <c r="Q397" s="1"/>
      <c r="R397" s="1"/>
    </row>
    <row r="398" ht="12.75" customHeight="1">
      <c r="A398" s="17"/>
      <c r="B398" s="1"/>
      <c r="C398" s="1"/>
      <c r="D398" s="150"/>
      <c r="E398" s="150"/>
      <c r="F398" s="75"/>
      <c r="G398" s="67"/>
      <c r="H398" s="68"/>
      <c r="I398" s="76"/>
      <c r="J398" s="67"/>
      <c r="K398" s="1"/>
      <c r="L398" s="81"/>
      <c r="M398" s="1"/>
      <c r="N398" s="468"/>
      <c r="O398" s="1"/>
      <c r="P398" s="1"/>
      <c r="Q398" s="1"/>
      <c r="R398" s="1"/>
    </row>
    <row r="399" ht="12.75" customHeight="1">
      <c r="A399" s="17"/>
      <c r="B399" s="1"/>
      <c r="C399" s="1"/>
      <c r="D399" s="150"/>
      <c r="E399" s="150"/>
      <c r="F399" s="75"/>
      <c r="G399" s="67"/>
      <c r="H399" s="68"/>
      <c r="I399" s="76"/>
      <c r="J399" s="67"/>
      <c r="K399" s="1"/>
      <c r="L399" s="81"/>
      <c r="M399" s="1"/>
      <c r="N399" s="468"/>
      <c r="O399" s="1"/>
      <c r="P399" s="1"/>
      <c r="Q399" s="1"/>
      <c r="R399" s="1"/>
    </row>
    <row r="400" ht="12.75" customHeight="1">
      <c r="A400" s="17"/>
      <c r="B400" s="1"/>
      <c r="C400" s="1"/>
      <c r="D400" s="150"/>
      <c r="E400" s="150"/>
      <c r="F400" s="75"/>
      <c r="G400" s="67"/>
      <c r="H400" s="68"/>
      <c r="I400" s="76"/>
      <c r="J400" s="67"/>
      <c r="K400" s="1"/>
      <c r="L400" s="81"/>
      <c r="M400" s="1"/>
      <c r="N400" s="468"/>
      <c r="O400" s="1"/>
      <c r="P400" s="1"/>
      <c r="Q400" s="1"/>
      <c r="R400" s="1"/>
    </row>
    <row r="401" ht="12.75" customHeight="1">
      <c r="A401" s="17"/>
      <c r="B401" s="1"/>
      <c r="C401" s="1"/>
      <c r="D401" s="150"/>
      <c r="E401" s="150"/>
      <c r="F401" s="75"/>
      <c r="G401" s="67"/>
      <c r="H401" s="68"/>
      <c r="I401" s="76"/>
      <c r="J401" s="67"/>
      <c r="K401" s="1"/>
      <c r="L401" s="81"/>
      <c r="M401" s="1"/>
      <c r="N401" s="468"/>
      <c r="O401" s="1"/>
      <c r="P401" s="1"/>
      <c r="Q401" s="1"/>
      <c r="R401" s="1"/>
    </row>
    <row r="402" ht="12.75" customHeight="1">
      <c r="A402" s="17"/>
      <c r="B402" s="1"/>
      <c r="C402" s="1"/>
      <c r="D402" s="150"/>
      <c r="E402" s="150"/>
      <c r="F402" s="75"/>
      <c r="G402" s="67"/>
      <c r="H402" s="68"/>
      <c r="I402" s="76"/>
      <c r="J402" s="67"/>
      <c r="K402" s="1"/>
      <c r="L402" s="81"/>
      <c r="M402" s="1"/>
      <c r="N402" s="468"/>
      <c r="O402" s="1"/>
      <c r="P402" s="1"/>
      <c r="Q402" s="1"/>
      <c r="R402" s="1"/>
    </row>
    <row r="403" ht="12.75" customHeight="1">
      <c r="A403" s="17"/>
      <c r="B403" s="1"/>
      <c r="C403" s="1"/>
      <c r="D403" s="150"/>
      <c r="E403" s="150"/>
      <c r="F403" s="75"/>
      <c r="G403" s="67"/>
      <c r="H403" s="68"/>
      <c r="I403" s="76"/>
      <c r="J403" s="67"/>
      <c r="K403" s="1"/>
      <c r="L403" s="81"/>
      <c r="M403" s="1"/>
      <c r="N403" s="468"/>
      <c r="O403" s="1"/>
      <c r="P403" s="1"/>
      <c r="Q403" s="1"/>
      <c r="R403" s="1"/>
    </row>
    <row r="404" ht="12.75" customHeight="1">
      <c r="A404" s="17"/>
      <c r="B404" s="1"/>
      <c r="C404" s="1"/>
      <c r="D404" s="150"/>
      <c r="E404" s="150"/>
      <c r="F404" s="75"/>
      <c r="G404" s="67"/>
      <c r="H404" s="68"/>
      <c r="I404" s="76"/>
      <c r="J404" s="67"/>
      <c r="K404" s="1"/>
      <c r="L404" s="81"/>
      <c r="M404" s="1"/>
      <c r="N404" s="468"/>
      <c r="O404" s="1"/>
      <c r="P404" s="1"/>
      <c r="Q404" s="1"/>
      <c r="R404" s="1"/>
    </row>
    <row r="405" ht="12.75" customHeight="1">
      <c r="A405" s="17"/>
      <c r="B405" s="1"/>
      <c r="C405" s="1"/>
      <c r="D405" s="150"/>
      <c r="E405" s="150"/>
      <c r="F405" s="75"/>
      <c r="G405" s="67"/>
      <c r="H405" s="68"/>
      <c r="I405" s="76"/>
      <c r="J405" s="67"/>
      <c r="K405" s="1"/>
      <c r="L405" s="81"/>
      <c r="M405" s="1"/>
      <c r="N405" s="468"/>
      <c r="O405" s="1"/>
      <c r="P405" s="1"/>
      <c r="Q405" s="1"/>
      <c r="R405" s="1"/>
    </row>
    <row r="406" ht="12.75" customHeight="1">
      <c r="A406" s="17"/>
      <c r="B406" s="1"/>
      <c r="C406" s="1"/>
      <c r="D406" s="150"/>
      <c r="E406" s="150"/>
      <c r="F406" s="75"/>
      <c r="G406" s="67"/>
      <c r="H406" s="68"/>
      <c r="I406" s="76"/>
      <c r="J406" s="67"/>
      <c r="K406" s="1"/>
      <c r="L406" s="81"/>
      <c r="M406" s="1"/>
      <c r="N406" s="468"/>
      <c r="O406" s="1"/>
      <c r="P406" s="1"/>
      <c r="Q406" s="1"/>
      <c r="R406" s="1"/>
    </row>
    <row r="407" ht="12.75" customHeight="1">
      <c r="A407" s="17"/>
      <c r="B407" s="1"/>
      <c r="C407" s="1"/>
      <c r="D407" s="150"/>
      <c r="E407" s="150"/>
      <c r="F407" s="75"/>
      <c r="G407" s="67"/>
      <c r="H407" s="68"/>
      <c r="I407" s="76"/>
      <c r="J407" s="67"/>
      <c r="K407" s="1"/>
      <c r="L407" s="81"/>
      <c r="M407" s="1"/>
      <c r="N407" s="468"/>
      <c r="O407" s="1"/>
      <c r="P407" s="1"/>
      <c r="Q407" s="1"/>
      <c r="R407" s="1"/>
    </row>
    <row r="408" ht="12.75" customHeight="1">
      <c r="A408" s="17"/>
      <c r="B408" s="1"/>
      <c r="C408" s="1"/>
      <c r="D408" s="150"/>
      <c r="E408" s="150"/>
      <c r="F408" s="75"/>
      <c r="G408" s="67"/>
      <c r="H408" s="68"/>
      <c r="I408" s="76"/>
      <c r="J408" s="67"/>
      <c r="K408" s="1"/>
      <c r="L408" s="81"/>
      <c r="M408" s="1"/>
      <c r="N408" s="468"/>
      <c r="O408" s="1"/>
      <c r="P408" s="1"/>
      <c r="Q408" s="1"/>
      <c r="R408" s="1"/>
    </row>
    <row r="409" ht="12.75" customHeight="1">
      <c r="A409" s="17"/>
      <c r="B409" s="1"/>
      <c r="C409" s="1"/>
      <c r="D409" s="150"/>
      <c r="E409" s="150"/>
      <c r="F409" s="75"/>
      <c r="G409" s="67"/>
      <c r="H409" s="68"/>
      <c r="I409" s="76"/>
      <c r="J409" s="67"/>
      <c r="K409" s="1"/>
      <c r="L409" s="81"/>
      <c r="M409" s="1"/>
      <c r="N409" s="468"/>
      <c r="O409" s="1"/>
      <c r="P409" s="1"/>
      <c r="Q409" s="1"/>
      <c r="R409" s="1"/>
    </row>
    <row r="410" ht="12.75" customHeight="1">
      <c r="A410" s="17"/>
      <c r="B410" s="1"/>
      <c r="C410" s="1"/>
      <c r="D410" s="150"/>
      <c r="E410" s="150"/>
      <c r="F410" s="75"/>
      <c r="G410" s="67"/>
      <c r="H410" s="68"/>
      <c r="I410" s="76"/>
      <c r="J410" s="67"/>
      <c r="K410" s="1"/>
      <c r="L410" s="81"/>
      <c r="M410" s="1"/>
      <c r="N410" s="468"/>
      <c r="O410" s="1"/>
      <c r="P410" s="1"/>
      <c r="Q410" s="1"/>
      <c r="R410" s="1"/>
    </row>
    <row r="411" ht="12.75" customHeight="1">
      <c r="A411" s="17"/>
      <c r="B411" s="1"/>
      <c r="C411" s="1"/>
      <c r="D411" s="150"/>
      <c r="E411" s="150"/>
      <c r="F411" s="75"/>
      <c r="G411" s="67"/>
      <c r="H411" s="68"/>
      <c r="I411" s="76"/>
      <c r="J411" s="67"/>
      <c r="K411" s="1"/>
      <c r="L411" s="81"/>
      <c r="M411" s="1"/>
      <c r="N411" s="468"/>
      <c r="O411" s="1"/>
      <c r="P411" s="1"/>
      <c r="Q411" s="1"/>
      <c r="R411" s="1"/>
    </row>
    <row r="412" ht="12.75" customHeight="1">
      <c r="A412" s="17"/>
      <c r="B412" s="1"/>
      <c r="C412" s="1"/>
      <c r="D412" s="150"/>
      <c r="E412" s="150"/>
      <c r="F412" s="75"/>
      <c r="G412" s="67"/>
      <c r="H412" s="68"/>
      <c r="I412" s="76"/>
      <c r="J412" s="67"/>
      <c r="K412" s="1"/>
      <c r="L412" s="81"/>
      <c r="M412" s="1"/>
      <c r="N412" s="468"/>
      <c r="O412" s="1"/>
      <c r="P412" s="1"/>
      <c r="Q412" s="1"/>
      <c r="R412" s="1"/>
    </row>
    <row r="413" ht="12.75" customHeight="1">
      <c r="A413" s="17"/>
      <c r="B413" s="1"/>
      <c r="C413" s="1"/>
      <c r="D413" s="150"/>
      <c r="E413" s="150"/>
      <c r="F413" s="75"/>
      <c r="G413" s="67"/>
      <c r="H413" s="68"/>
      <c r="I413" s="76"/>
      <c r="J413" s="67"/>
      <c r="K413" s="1"/>
      <c r="L413" s="81"/>
      <c r="M413" s="1"/>
      <c r="N413" s="468"/>
      <c r="O413" s="1"/>
      <c r="P413" s="1"/>
      <c r="Q413" s="1"/>
      <c r="R413" s="1"/>
    </row>
    <row r="414" ht="12.75" customHeight="1">
      <c r="A414" s="17"/>
      <c r="B414" s="1"/>
      <c r="C414" s="1"/>
      <c r="D414" s="150"/>
      <c r="E414" s="150"/>
      <c r="F414" s="75"/>
      <c r="G414" s="67"/>
      <c r="H414" s="68"/>
      <c r="I414" s="76"/>
      <c r="J414" s="67"/>
      <c r="K414" s="1"/>
      <c r="L414" s="81"/>
      <c r="M414" s="1"/>
      <c r="N414" s="468"/>
      <c r="O414" s="1"/>
      <c r="P414" s="1"/>
      <c r="Q414" s="1"/>
      <c r="R414" s="1"/>
    </row>
    <row r="415" ht="12.75" customHeight="1">
      <c r="A415" s="17"/>
      <c r="B415" s="1"/>
      <c r="C415" s="1"/>
      <c r="D415" s="150"/>
      <c r="E415" s="150"/>
      <c r="F415" s="75"/>
      <c r="G415" s="67"/>
      <c r="H415" s="68"/>
      <c r="I415" s="76"/>
      <c r="J415" s="67"/>
      <c r="K415" s="1"/>
      <c r="L415" s="81"/>
      <c r="M415" s="1"/>
      <c r="N415" s="468"/>
      <c r="O415" s="1"/>
      <c r="P415" s="1"/>
      <c r="Q415" s="1"/>
      <c r="R415" s="1"/>
    </row>
    <row r="416" ht="12.75" customHeight="1">
      <c r="A416" s="17"/>
      <c r="B416" s="1"/>
      <c r="C416" s="1"/>
      <c r="D416" s="150"/>
      <c r="E416" s="150"/>
      <c r="F416" s="75"/>
      <c r="G416" s="67"/>
      <c r="H416" s="68"/>
      <c r="I416" s="76"/>
      <c r="J416" s="67"/>
      <c r="K416" s="1"/>
      <c r="L416" s="81"/>
      <c r="M416" s="1"/>
      <c r="N416" s="468"/>
      <c r="O416" s="1"/>
      <c r="P416" s="1"/>
      <c r="Q416" s="1"/>
      <c r="R416" s="1"/>
    </row>
    <row r="417" ht="12.75" customHeight="1">
      <c r="A417" s="17"/>
      <c r="B417" s="1"/>
      <c r="C417" s="1"/>
      <c r="D417" s="150"/>
      <c r="E417" s="150"/>
      <c r="F417" s="75"/>
      <c r="G417" s="67"/>
      <c r="H417" s="68"/>
      <c r="I417" s="76"/>
      <c r="J417" s="67"/>
      <c r="K417" s="1"/>
      <c r="L417" s="81"/>
      <c r="M417" s="1"/>
      <c r="N417" s="468"/>
      <c r="O417" s="1"/>
      <c r="P417" s="1"/>
      <c r="Q417" s="1"/>
      <c r="R417" s="1"/>
    </row>
    <row r="418" ht="12.75" customHeight="1">
      <c r="A418" s="17"/>
      <c r="B418" s="1"/>
      <c r="C418" s="1"/>
      <c r="D418" s="150"/>
      <c r="E418" s="150"/>
      <c r="F418" s="75"/>
      <c r="G418" s="67"/>
      <c r="H418" s="68"/>
      <c r="I418" s="76"/>
      <c r="J418" s="67"/>
      <c r="K418" s="1"/>
      <c r="L418" s="81"/>
      <c r="M418" s="1"/>
      <c r="N418" s="468"/>
      <c r="O418" s="1"/>
      <c r="P418" s="1"/>
      <c r="Q418" s="1"/>
      <c r="R418" s="1"/>
    </row>
    <row r="419" ht="12.75" customHeight="1">
      <c r="A419" s="17"/>
      <c r="B419" s="1"/>
      <c r="C419" s="1"/>
      <c r="D419" s="150"/>
      <c r="E419" s="150"/>
      <c r="F419" s="75"/>
      <c r="G419" s="67"/>
      <c r="H419" s="68"/>
      <c r="I419" s="76"/>
      <c r="J419" s="67"/>
      <c r="K419" s="1"/>
      <c r="L419" s="81"/>
      <c r="M419" s="1"/>
      <c r="N419" s="468"/>
      <c r="O419" s="1"/>
      <c r="P419" s="1"/>
      <c r="Q419" s="1"/>
      <c r="R419" s="1"/>
    </row>
    <row r="420" ht="12.75" customHeight="1">
      <c r="A420" s="17"/>
      <c r="B420" s="1"/>
      <c r="C420" s="1"/>
      <c r="D420" s="150"/>
      <c r="E420" s="150"/>
      <c r="F420" s="75"/>
      <c r="G420" s="67"/>
      <c r="H420" s="68"/>
      <c r="I420" s="76"/>
      <c r="J420" s="67"/>
      <c r="K420" s="1"/>
      <c r="L420" s="81"/>
      <c r="M420" s="1"/>
      <c r="N420" s="468"/>
      <c r="O420" s="1"/>
      <c r="P420" s="1"/>
      <c r="Q420" s="1"/>
      <c r="R420" s="1"/>
    </row>
    <row r="421" ht="12.75" customHeight="1">
      <c r="A421" s="17"/>
      <c r="B421" s="1"/>
      <c r="C421" s="1"/>
      <c r="D421" s="150"/>
      <c r="E421" s="150"/>
      <c r="F421" s="75"/>
      <c r="G421" s="67"/>
      <c r="H421" s="68"/>
      <c r="I421" s="76"/>
      <c r="J421" s="67"/>
      <c r="K421" s="1"/>
      <c r="L421" s="81"/>
      <c r="M421" s="1"/>
      <c r="N421" s="468"/>
      <c r="O421" s="1"/>
      <c r="P421" s="1"/>
      <c r="Q421" s="1"/>
      <c r="R421" s="1"/>
    </row>
    <row r="422" ht="12.75" customHeight="1">
      <c r="A422" s="17"/>
      <c r="B422" s="1"/>
      <c r="C422" s="1"/>
      <c r="D422" s="150"/>
      <c r="E422" s="150"/>
      <c r="F422" s="75"/>
      <c r="G422" s="67"/>
      <c r="H422" s="68"/>
      <c r="I422" s="76"/>
      <c r="J422" s="67"/>
      <c r="K422" s="1"/>
      <c r="L422" s="81"/>
      <c r="M422" s="1"/>
      <c r="N422" s="468"/>
      <c r="O422" s="1"/>
      <c r="P422" s="1"/>
      <c r="Q422" s="1"/>
      <c r="R422" s="1"/>
    </row>
    <row r="423" ht="12.75" customHeight="1">
      <c r="A423" s="17"/>
      <c r="B423" s="1"/>
      <c r="C423" s="1"/>
      <c r="D423" s="150"/>
      <c r="E423" s="150"/>
      <c r="F423" s="75"/>
      <c r="G423" s="67"/>
      <c r="H423" s="68"/>
      <c r="I423" s="76"/>
      <c r="J423" s="67"/>
      <c r="K423" s="1"/>
      <c r="L423" s="81"/>
      <c r="M423" s="1"/>
      <c r="N423" s="468"/>
      <c r="O423" s="1"/>
      <c r="P423" s="1"/>
      <c r="Q423" s="1"/>
      <c r="R423" s="1"/>
    </row>
    <row r="424" ht="12.75" customHeight="1">
      <c r="A424" s="17"/>
      <c r="B424" s="1"/>
      <c r="C424" s="1"/>
      <c r="D424" s="150"/>
      <c r="E424" s="150"/>
      <c r="F424" s="75"/>
      <c r="G424" s="67"/>
      <c r="H424" s="68"/>
      <c r="I424" s="76"/>
      <c r="J424" s="67"/>
      <c r="K424" s="1"/>
      <c r="L424" s="81"/>
      <c r="M424" s="1"/>
      <c r="N424" s="468"/>
      <c r="O424" s="1"/>
      <c r="P424" s="1"/>
      <c r="Q424" s="1"/>
      <c r="R424" s="1"/>
    </row>
    <row r="425" ht="12.75" customHeight="1">
      <c r="A425" s="17"/>
      <c r="B425" s="1"/>
      <c r="C425" s="1"/>
      <c r="D425" s="150"/>
      <c r="E425" s="150"/>
      <c r="F425" s="75"/>
      <c r="G425" s="67"/>
      <c r="H425" s="68"/>
      <c r="I425" s="76"/>
      <c r="J425" s="67"/>
      <c r="K425" s="1"/>
      <c r="L425" s="81"/>
      <c r="M425" s="1"/>
      <c r="N425" s="468"/>
      <c r="O425" s="1"/>
      <c r="P425" s="1"/>
      <c r="Q425" s="1"/>
      <c r="R425" s="1"/>
    </row>
    <row r="426" ht="12.75" customHeight="1">
      <c r="A426" s="17"/>
      <c r="B426" s="1"/>
      <c r="C426" s="1"/>
      <c r="D426" s="150"/>
      <c r="E426" s="150"/>
      <c r="F426" s="75"/>
      <c r="G426" s="67"/>
      <c r="H426" s="68"/>
      <c r="I426" s="76"/>
      <c r="J426" s="67"/>
      <c r="K426" s="1"/>
      <c r="L426" s="81"/>
      <c r="M426" s="1"/>
      <c r="N426" s="468"/>
      <c r="O426" s="1"/>
      <c r="P426" s="1"/>
      <c r="Q426" s="1"/>
      <c r="R426" s="1"/>
    </row>
    <row r="427" ht="12.75" customHeight="1">
      <c r="A427" s="17"/>
      <c r="B427" s="1"/>
      <c r="C427" s="1"/>
      <c r="D427" s="150"/>
      <c r="E427" s="150"/>
      <c r="F427" s="75"/>
      <c r="G427" s="67"/>
      <c r="H427" s="68"/>
      <c r="I427" s="76"/>
      <c r="J427" s="67"/>
      <c r="K427" s="1"/>
      <c r="L427" s="81"/>
      <c r="M427" s="1"/>
      <c r="N427" s="468"/>
      <c r="O427" s="1"/>
      <c r="P427" s="1"/>
      <c r="Q427" s="1"/>
      <c r="R427" s="1"/>
    </row>
    <row r="428" ht="12.75" customHeight="1">
      <c r="A428" s="17"/>
      <c r="B428" s="1"/>
      <c r="C428" s="1"/>
      <c r="D428" s="150"/>
      <c r="E428" s="150"/>
      <c r="F428" s="75"/>
      <c r="G428" s="67"/>
      <c r="H428" s="68"/>
      <c r="I428" s="76"/>
      <c r="J428" s="67"/>
      <c r="K428" s="1"/>
      <c r="L428" s="81"/>
      <c r="M428" s="1"/>
      <c r="N428" s="468"/>
      <c r="O428" s="1"/>
      <c r="P428" s="1"/>
      <c r="Q428" s="1"/>
      <c r="R428" s="1"/>
    </row>
    <row r="429" ht="12.75" customHeight="1">
      <c r="A429" s="17"/>
      <c r="B429" s="1"/>
      <c r="C429" s="1"/>
      <c r="D429" s="150"/>
      <c r="E429" s="150"/>
      <c r="F429" s="75"/>
      <c r="G429" s="67"/>
      <c r="H429" s="68"/>
      <c r="I429" s="76"/>
      <c r="J429" s="67"/>
      <c r="K429" s="1"/>
      <c r="L429" s="81"/>
      <c r="M429" s="1"/>
      <c r="N429" s="468"/>
      <c r="O429" s="1"/>
      <c r="P429" s="1"/>
      <c r="Q429" s="1"/>
      <c r="R429" s="1"/>
    </row>
    <row r="430" ht="12.75" customHeight="1">
      <c r="A430" s="17"/>
      <c r="B430" s="1"/>
      <c r="C430" s="1"/>
      <c r="D430" s="150"/>
      <c r="E430" s="150"/>
      <c r="F430" s="75"/>
      <c r="G430" s="67"/>
      <c r="H430" s="68"/>
      <c r="I430" s="76"/>
      <c r="J430" s="67"/>
      <c r="K430" s="1"/>
      <c r="L430" s="81"/>
      <c r="M430" s="1"/>
      <c r="N430" s="468"/>
      <c r="O430" s="1"/>
      <c r="P430" s="1"/>
      <c r="Q430" s="1"/>
      <c r="R430" s="1"/>
    </row>
    <row r="431" ht="12.75" customHeight="1">
      <c r="A431" s="17"/>
      <c r="B431" s="1"/>
      <c r="C431" s="1"/>
      <c r="D431" s="150"/>
      <c r="E431" s="150"/>
      <c r="F431" s="75"/>
      <c r="G431" s="67"/>
      <c r="H431" s="68"/>
      <c r="I431" s="76"/>
      <c r="J431" s="67"/>
      <c r="K431" s="1"/>
      <c r="L431" s="81"/>
      <c r="M431" s="1"/>
      <c r="N431" s="468"/>
      <c r="O431" s="1"/>
      <c r="P431" s="1"/>
      <c r="Q431" s="1"/>
      <c r="R431" s="1"/>
    </row>
    <row r="432" ht="12.75" customHeight="1">
      <c r="A432" s="17"/>
      <c r="B432" s="1"/>
      <c r="C432" s="1"/>
      <c r="D432" s="150"/>
      <c r="E432" s="150"/>
      <c r="F432" s="75"/>
      <c r="G432" s="67"/>
      <c r="H432" s="68"/>
      <c r="I432" s="76"/>
      <c r="J432" s="67"/>
      <c r="K432" s="1"/>
      <c r="L432" s="81"/>
      <c r="M432" s="1"/>
      <c r="N432" s="468"/>
      <c r="O432" s="1"/>
      <c r="P432" s="1"/>
      <c r="Q432" s="1"/>
      <c r="R432" s="1"/>
    </row>
    <row r="433" ht="12.75" customHeight="1">
      <c r="A433" s="17"/>
      <c r="B433" s="1"/>
      <c r="C433" s="1"/>
      <c r="D433" s="150"/>
      <c r="E433" s="150"/>
      <c r="F433" s="75"/>
      <c r="G433" s="67"/>
      <c r="H433" s="68"/>
      <c r="I433" s="76"/>
      <c r="J433" s="67"/>
      <c r="K433" s="1"/>
      <c r="L433" s="81"/>
      <c r="M433" s="1"/>
      <c r="N433" s="468"/>
      <c r="O433" s="1"/>
      <c r="P433" s="1"/>
      <c r="Q433" s="1"/>
      <c r="R433" s="1"/>
    </row>
    <row r="434" ht="12.75" customHeight="1">
      <c r="A434" s="17"/>
      <c r="B434" s="1"/>
      <c r="C434" s="1"/>
      <c r="D434" s="150"/>
      <c r="E434" s="150"/>
      <c r="F434" s="75"/>
      <c r="G434" s="67"/>
      <c r="H434" s="68"/>
      <c r="I434" s="76"/>
      <c r="J434" s="67"/>
      <c r="K434" s="1"/>
      <c r="L434" s="81"/>
      <c r="M434" s="1"/>
      <c r="N434" s="468"/>
      <c r="O434" s="1"/>
      <c r="P434" s="1"/>
      <c r="Q434" s="1"/>
      <c r="R434" s="1"/>
    </row>
    <row r="435" ht="12.75" customHeight="1">
      <c r="A435" s="17"/>
      <c r="B435" s="1"/>
      <c r="C435" s="1"/>
      <c r="D435" s="150"/>
      <c r="E435" s="150"/>
      <c r="F435" s="75"/>
      <c r="G435" s="67"/>
      <c r="H435" s="68"/>
      <c r="I435" s="76"/>
      <c r="J435" s="67"/>
      <c r="K435" s="1"/>
      <c r="L435" s="81"/>
      <c r="M435" s="1"/>
      <c r="N435" s="468"/>
      <c r="O435" s="1"/>
      <c r="P435" s="1"/>
      <c r="Q435" s="1"/>
      <c r="R435" s="1"/>
    </row>
    <row r="436" ht="12.75" customHeight="1">
      <c r="A436" s="17"/>
      <c r="B436" s="1"/>
      <c r="C436" s="1"/>
      <c r="D436" s="150"/>
      <c r="E436" s="150"/>
      <c r="F436" s="75"/>
      <c r="G436" s="67"/>
      <c r="H436" s="68"/>
      <c r="I436" s="76"/>
      <c r="J436" s="67"/>
      <c r="K436" s="1"/>
      <c r="L436" s="81"/>
      <c r="M436" s="1"/>
      <c r="N436" s="468"/>
      <c r="O436" s="1"/>
      <c r="P436" s="1"/>
      <c r="Q436" s="1"/>
      <c r="R436" s="1"/>
    </row>
    <row r="437" ht="12.75" customHeight="1">
      <c r="A437" s="17"/>
      <c r="B437" s="1"/>
      <c r="C437" s="1"/>
      <c r="D437" s="150"/>
      <c r="E437" s="150"/>
      <c r="F437" s="75"/>
      <c r="G437" s="67"/>
      <c r="H437" s="68"/>
      <c r="I437" s="76"/>
      <c r="J437" s="67"/>
      <c r="K437" s="1"/>
      <c r="L437" s="81"/>
      <c r="M437" s="1"/>
      <c r="N437" s="468"/>
      <c r="O437" s="1"/>
      <c r="P437" s="1"/>
      <c r="Q437" s="1"/>
      <c r="R437" s="1"/>
    </row>
    <row r="438" ht="12.75" customHeight="1">
      <c r="A438" s="17"/>
      <c r="B438" s="1"/>
      <c r="C438" s="1"/>
      <c r="D438" s="150"/>
      <c r="E438" s="150"/>
      <c r="F438" s="75"/>
      <c r="G438" s="67"/>
      <c r="H438" s="68"/>
      <c r="I438" s="76"/>
      <c r="J438" s="67"/>
      <c r="K438" s="1"/>
      <c r="L438" s="81"/>
      <c r="M438" s="1"/>
      <c r="N438" s="468"/>
      <c r="O438" s="1"/>
      <c r="P438" s="1"/>
      <c r="Q438" s="1"/>
      <c r="R438" s="1"/>
    </row>
    <row r="439" ht="12.75" customHeight="1">
      <c r="A439" s="17"/>
      <c r="B439" s="1"/>
      <c r="C439" s="1"/>
      <c r="D439" s="150"/>
      <c r="E439" s="150"/>
      <c r="F439" s="75"/>
      <c r="G439" s="67"/>
      <c r="H439" s="68"/>
      <c r="I439" s="76"/>
      <c r="J439" s="67"/>
      <c r="K439" s="1"/>
      <c r="L439" s="81"/>
      <c r="M439" s="1"/>
      <c r="N439" s="468"/>
      <c r="O439" s="1"/>
      <c r="P439" s="1"/>
      <c r="Q439" s="1"/>
      <c r="R439" s="1"/>
    </row>
    <row r="440" ht="12.75" customHeight="1">
      <c r="A440" s="17"/>
      <c r="B440" s="1"/>
      <c r="C440" s="1"/>
      <c r="D440" s="150"/>
      <c r="E440" s="150"/>
      <c r="F440" s="75"/>
      <c r="G440" s="67"/>
      <c r="H440" s="68"/>
      <c r="I440" s="76"/>
      <c r="J440" s="67"/>
      <c r="K440" s="1"/>
      <c r="L440" s="81"/>
      <c r="M440" s="1"/>
      <c r="N440" s="468"/>
      <c r="O440" s="1"/>
      <c r="P440" s="1"/>
      <c r="Q440" s="1"/>
      <c r="R440" s="1"/>
    </row>
    <row r="441" ht="12.75" customHeight="1">
      <c r="A441" s="17"/>
      <c r="B441" s="1"/>
      <c r="C441" s="1"/>
      <c r="D441" s="150"/>
      <c r="E441" s="150"/>
      <c r="F441" s="75"/>
      <c r="G441" s="67"/>
      <c r="H441" s="68"/>
      <c r="I441" s="76"/>
      <c r="J441" s="67"/>
      <c r="K441" s="1"/>
      <c r="L441" s="81"/>
      <c r="M441" s="1"/>
      <c r="N441" s="468"/>
      <c r="O441" s="1"/>
      <c r="P441" s="1"/>
      <c r="Q441" s="1"/>
      <c r="R441" s="1"/>
    </row>
    <row r="442" ht="12.75" customHeight="1">
      <c r="A442" s="17"/>
      <c r="B442" s="1"/>
      <c r="C442" s="1"/>
      <c r="D442" s="150"/>
      <c r="E442" s="150"/>
      <c r="F442" s="75"/>
      <c r="G442" s="67"/>
      <c r="H442" s="68"/>
      <c r="I442" s="76"/>
      <c r="J442" s="67"/>
      <c r="K442" s="1"/>
      <c r="L442" s="81"/>
      <c r="M442" s="1"/>
      <c r="N442" s="468"/>
      <c r="O442" s="1"/>
      <c r="P442" s="1"/>
      <c r="Q442" s="1"/>
      <c r="R442" s="1"/>
    </row>
    <row r="443" ht="12.75" customHeight="1">
      <c r="A443" s="17"/>
      <c r="B443" s="1"/>
      <c r="C443" s="1"/>
      <c r="D443" s="150"/>
      <c r="E443" s="150"/>
      <c r="F443" s="75"/>
      <c r="G443" s="67"/>
      <c r="H443" s="68"/>
      <c r="I443" s="76"/>
      <c r="J443" s="67"/>
      <c r="K443" s="1"/>
      <c r="L443" s="81"/>
      <c r="M443" s="1"/>
      <c r="N443" s="468"/>
      <c r="O443" s="1"/>
      <c r="P443" s="1"/>
      <c r="Q443" s="1"/>
      <c r="R443" s="1"/>
    </row>
    <row r="444" ht="12.75" customHeight="1">
      <c r="A444" s="17"/>
      <c r="B444" s="1"/>
      <c r="C444" s="1"/>
      <c r="D444" s="150"/>
      <c r="E444" s="150"/>
      <c r="F444" s="75"/>
      <c r="G444" s="67"/>
      <c r="H444" s="68"/>
      <c r="I444" s="76"/>
      <c r="J444" s="67"/>
      <c r="K444" s="1"/>
      <c r="L444" s="81"/>
      <c r="M444" s="1"/>
      <c r="N444" s="468"/>
      <c r="O444" s="1"/>
      <c r="P444" s="1"/>
      <c r="Q444" s="1"/>
      <c r="R444" s="1"/>
    </row>
    <row r="445" ht="12.75" customHeight="1">
      <c r="A445" s="17"/>
      <c r="B445" s="1"/>
      <c r="C445" s="1"/>
      <c r="D445" s="150"/>
      <c r="E445" s="150"/>
      <c r="F445" s="75"/>
      <c r="G445" s="67"/>
      <c r="H445" s="68"/>
      <c r="I445" s="76"/>
      <c r="J445" s="67"/>
      <c r="K445" s="1"/>
      <c r="L445" s="81"/>
      <c r="M445" s="1"/>
      <c r="N445" s="468"/>
      <c r="O445" s="1"/>
      <c r="P445" s="1"/>
      <c r="Q445" s="1"/>
      <c r="R445" s="1"/>
    </row>
    <row r="446" ht="12.75" customHeight="1">
      <c r="A446" s="17"/>
      <c r="B446" s="1"/>
      <c r="C446" s="1"/>
      <c r="D446" s="150"/>
      <c r="E446" s="150"/>
      <c r="F446" s="75"/>
      <c r="G446" s="67"/>
      <c r="H446" s="68"/>
      <c r="I446" s="76"/>
      <c r="J446" s="67"/>
      <c r="K446" s="1"/>
      <c r="L446" s="81"/>
      <c r="M446" s="1"/>
      <c r="N446" s="468"/>
      <c r="O446" s="1"/>
      <c r="P446" s="1"/>
      <c r="Q446" s="1"/>
      <c r="R446" s="1"/>
    </row>
    <row r="447" ht="12.75" customHeight="1">
      <c r="A447" s="17"/>
      <c r="B447" s="1"/>
      <c r="C447" s="1"/>
      <c r="D447" s="150"/>
      <c r="E447" s="150"/>
      <c r="F447" s="75"/>
      <c r="G447" s="67"/>
      <c r="H447" s="68"/>
      <c r="I447" s="76"/>
      <c r="J447" s="67"/>
      <c r="K447" s="1"/>
      <c r="L447" s="81"/>
      <c r="M447" s="1"/>
      <c r="N447" s="468"/>
      <c r="O447" s="1"/>
      <c r="P447" s="1"/>
      <c r="Q447" s="1"/>
      <c r="R447" s="1"/>
    </row>
    <row r="448" ht="12.75" customHeight="1">
      <c r="A448" s="17"/>
      <c r="B448" s="1"/>
      <c r="C448" s="1"/>
      <c r="D448" s="150"/>
      <c r="E448" s="150"/>
      <c r="F448" s="75"/>
      <c r="G448" s="67"/>
      <c r="H448" s="68"/>
      <c r="I448" s="76"/>
      <c r="J448" s="67"/>
      <c r="K448" s="1"/>
      <c r="L448" s="81"/>
      <c r="M448" s="1"/>
      <c r="N448" s="468"/>
      <c r="O448" s="1"/>
      <c r="P448" s="1"/>
      <c r="Q448" s="1"/>
      <c r="R448" s="1"/>
    </row>
    <row r="449" ht="12.75" customHeight="1">
      <c r="A449" s="17"/>
      <c r="B449" s="1"/>
      <c r="C449" s="1"/>
      <c r="D449" s="150"/>
      <c r="E449" s="150"/>
      <c r="F449" s="75"/>
      <c r="G449" s="67"/>
      <c r="H449" s="68"/>
      <c r="I449" s="76"/>
      <c r="J449" s="67"/>
      <c r="K449" s="1"/>
      <c r="L449" s="81"/>
      <c r="M449" s="1"/>
      <c r="N449" s="468"/>
      <c r="O449" s="1"/>
      <c r="P449" s="1"/>
      <c r="Q449" s="1"/>
      <c r="R449" s="1"/>
    </row>
    <row r="450" ht="12.75" customHeight="1">
      <c r="A450" s="17"/>
      <c r="B450" s="1"/>
      <c r="C450" s="1"/>
      <c r="D450" s="150"/>
      <c r="E450" s="150"/>
      <c r="F450" s="75"/>
      <c r="G450" s="67"/>
      <c r="H450" s="68"/>
      <c r="I450" s="76"/>
      <c r="J450" s="67"/>
      <c r="K450" s="1"/>
      <c r="L450" s="81"/>
      <c r="M450" s="1"/>
      <c r="N450" s="468"/>
      <c r="O450" s="1"/>
      <c r="P450" s="1"/>
      <c r="Q450" s="1"/>
      <c r="R450" s="1"/>
    </row>
    <row r="451" ht="12.75" customHeight="1">
      <c r="A451" s="17"/>
      <c r="B451" s="1"/>
      <c r="C451" s="1"/>
      <c r="D451" s="150"/>
      <c r="E451" s="150"/>
      <c r="F451" s="75"/>
      <c r="G451" s="67"/>
      <c r="H451" s="68"/>
      <c r="I451" s="76"/>
      <c r="J451" s="67"/>
      <c r="K451" s="1"/>
      <c r="L451" s="81"/>
      <c r="M451" s="1"/>
      <c r="N451" s="468"/>
      <c r="O451" s="1"/>
      <c r="P451" s="1"/>
      <c r="Q451" s="1"/>
      <c r="R451" s="1"/>
    </row>
    <row r="452" ht="12.75" customHeight="1">
      <c r="A452" s="17"/>
      <c r="B452" s="1"/>
      <c r="C452" s="1"/>
      <c r="D452" s="150"/>
      <c r="E452" s="150"/>
      <c r="F452" s="75"/>
      <c r="G452" s="67"/>
      <c r="H452" s="68"/>
      <c r="I452" s="76"/>
      <c r="J452" s="67"/>
      <c r="K452" s="1"/>
      <c r="L452" s="81"/>
      <c r="M452" s="1"/>
      <c r="N452" s="468"/>
      <c r="O452" s="1"/>
      <c r="P452" s="1"/>
      <c r="Q452" s="1"/>
      <c r="R452" s="1"/>
    </row>
    <row r="453" ht="12.75" customHeight="1">
      <c r="A453" s="17"/>
      <c r="B453" s="1"/>
      <c r="C453" s="1"/>
      <c r="D453" s="150"/>
      <c r="E453" s="150"/>
      <c r="F453" s="75"/>
      <c r="G453" s="67"/>
      <c r="H453" s="68"/>
      <c r="I453" s="76"/>
      <c r="J453" s="67"/>
      <c r="K453" s="1"/>
      <c r="L453" s="81"/>
      <c r="M453" s="1"/>
      <c r="N453" s="468"/>
      <c r="O453" s="1"/>
      <c r="P453" s="1"/>
      <c r="Q453" s="1"/>
      <c r="R453" s="1"/>
    </row>
    <row r="454" ht="12.75" customHeight="1">
      <c r="A454" s="17"/>
      <c r="B454" s="1"/>
      <c r="C454" s="1"/>
      <c r="D454" s="150"/>
      <c r="E454" s="150"/>
      <c r="F454" s="75"/>
      <c r="G454" s="67"/>
      <c r="H454" s="68"/>
      <c r="I454" s="76"/>
      <c r="J454" s="67"/>
      <c r="K454" s="1"/>
      <c r="L454" s="81"/>
      <c r="M454" s="1"/>
      <c r="N454" s="468"/>
      <c r="O454" s="1"/>
      <c r="P454" s="1"/>
      <c r="Q454" s="1"/>
      <c r="R454" s="1"/>
    </row>
    <row r="455" ht="12.75" customHeight="1">
      <c r="A455" s="17"/>
      <c r="B455" s="1"/>
      <c r="C455" s="1"/>
      <c r="D455" s="150"/>
      <c r="E455" s="150"/>
      <c r="F455" s="75"/>
      <c r="G455" s="67"/>
      <c r="H455" s="68"/>
      <c r="I455" s="76"/>
      <c r="J455" s="67"/>
      <c r="K455" s="1"/>
      <c r="L455" s="81"/>
      <c r="M455" s="1"/>
      <c r="N455" s="468"/>
      <c r="O455" s="1"/>
      <c r="P455" s="1"/>
      <c r="Q455" s="1"/>
      <c r="R455" s="1"/>
    </row>
    <row r="456" ht="12.75" customHeight="1">
      <c r="A456" s="17"/>
      <c r="B456" s="1"/>
      <c r="C456" s="1"/>
      <c r="D456" s="150"/>
      <c r="E456" s="150"/>
      <c r="F456" s="75"/>
      <c r="G456" s="67"/>
      <c r="H456" s="68"/>
      <c r="I456" s="76"/>
      <c r="J456" s="67"/>
      <c r="K456" s="1"/>
      <c r="L456" s="81"/>
      <c r="M456" s="1"/>
      <c r="N456" s="468"/>
      <c r="O456" s="1"/>
      <c r="P456" s="1"/>
      <c r="Q456" s="1"/>
      <c r="R456" s="1"/>
    </row>
    <row r="457" ht="12.75" customHeight="1">
      <c r="A457" s="17"/>
      <c r="B457" s="1"/>
      <c r="C457" s="1"/>
      <c r="D457" s="150"/>
      <c r="E457" s="150"/>
      <c r="F457" s="75"/>
      <c r="G457" s="67"/>
      <c r="H457" s="68"/>
      <c r="I457" s="76"/>
      <c r="J457" s="67"/>
      <c r="K457" s="1"/>
      <c r="L457" s="81"/>
      <c r="M457" s="1"/>
      <c r="N457" s="468"/>
      <c r="O457" s="1"/>
      <c r="P457" s="1"/>
      <c r="Q457" s="1"/>
      <c r="R457" s="1"/>
    </row>
    <row r="458" ht="12.75" customHeight="1">
      <c r="A458" s="17"/>
      <c r="B458" s="1"/>
      <c r="C458" s="1"/>
      <c r="D458" s="150"/>
      <c r="E458" s="150"/>
      <c r="F458" s="75"/>
      <c r="G458" s="67"/>
      <c r="H458" s="68"/>
      <c r="I458" s="76"/>
      <c r="J458" s="67"/>
      <c r="K458" s="1"/>
      <c r="L458" s="81"/>
      <c r="M458" s="1"/>
      <c r="N458" s="468"/>
      <c r="O458" s="1"/>
      <c r="P458" s="1"/>
      <c r="Q458" s="1"/>
      <c r="R458" s="1"/>
    </row>
    <row r="459" ht="12.75" customHeight="1">
      <c r="A459" s="17"/>
      <c r="B459" s="1"/>
      <c r="C459" s="1"/>
      <c r="D459" s="150"/>
      <c r="E459" s="150"/>
      <c r="F459" s="75"/>
      <c r="G459" s="67"/>
      <c r="H459" s="68"/>
      <c r="I459" s="76"/>
      <c r="J459" s="67"/>
      <c r="K459" s="1"/>
      <c r="L459" s="81"/>
      <c r="M459" s="1"/>
      <c r="N459" s="468"/>
      <c r="O459" s="1"/>
      <c r="P459" s="1"/>
      <c r="Q459" s="1"/>
      <c r="R459" s="1"/>
    </row>
    <row r="460" ht="12.75" customHeight="1">
      <c r="A460" s="17"/>
      <c r="B460" s="1"/>
      <c r="C460" s="1"/>
      <c r="D460" s="150"/>
      <c r="E460" s="150"/>
      <c r="F460" s="75"/>
      <c r="G460" s="67"/>
      <c r="H460" s="68"/>
      <c r="I460" s="76"/>
      <c r="J460" s="67"/>
      <c r="K460" s="1"/>
      <c r="L460" s="81"/>
      <c r="M460" s="1"/>
      <c r="N460" s="468"/>
      <c r="O460" s="1"/>
      <c r="P460" s="1"/>
      <c r="Q460" s="1"/>
      <c r="R460" s="1"/>
    </row>
    <row r="461" ht="12.75" customHeight="1">
      <c r="A461" s="17"/>
      <c r="B461" s="1"/>
      <c r="C461" s="1"/>
      <c r="D461" s="150"/>
      <c r="E461" s="150"/>
      <c r="F461" s="75"/>
      <c r="G461" s="67"/>
      <c r="H461" s="68"/>
      <c r="I461" s="76"/>
      <c r="J461" s="67"/>
      <c r="K461" s="1"/>
      <c r="L461" s="81"/>
      <c r="M461" s="1"/>
      <c r="N461" s="468"/>
      <c r="O461" s="1"/>
      <c r="P461" s="1"/>
      <c r="Q461" s="1"/>
      <c r="R461" s="1"/>
    </row>
    <row r="462" ht="12.75" customHeight="1">
      <c r="A462" s="17"/>
      <c r="B462" s="1"/>
      <c r="C462" s="1"/>
      <c r="D462" s="150"/>
      <c r="E462" s="150"/>
      <c r="F462" s="75"/>
      <c r="G462" s="67"/>
      <c r="H462" s="68"/>
      <c r="I462" s="76"/>
      <c r="J462" s="67"/>
      <c r="K462" s="1"/>
      <c r="L462" s="81"/>
      <c r="M462" s="1"/>
      <c r="N462" s="468"/>
      <c r="O462" s="1"/>
      <c r="P462" s="1"/>
      <c r="Q462" s="1"/>
      <c r="R462" s="1"/>
    </row>
    <row r="463" ht="12.75" customHeight="1">
      <c r="A463" s="17"/>
      <c r="B463" s="1"/>
      <c r="C463" s="1"/>
      <c r="D463" s="150"/>
      <c r="E463" s="150"/>
      <c r="F463" s="75"/>
      <c r="G463" s="67"/>
      <c r="H463" s="68"/>
      <c r="I463" s="76"/>
      <c r="J463" s="67"/>
      <c r="K463" s="1"/>
      <c r="L463" s="81"/>
      <c r="M463" s="1"/>
      <c r="N463" s="468"/>
      <c r="O463" s="1"/>
      <c r="P463" s="1"/>
      <c r="Q463" s="1"/>
      <c r="R463" s="1"/>
    </row>
    <row r="464" ht="12.75" customHeight="1">
      <c r="A464" s="17"/>
      <c r="B464" s="1"/>
      <c r="C464" s="1"/>
      <c r="D464" s="150"/>
      <c r="E464" s="150"/>
      <c r="F464" s="75"/>
      <c r="G464" s="67"/>
      <c r="H464" s="68"/>
      <c r="I464" s="76"/>
      <c r="J464" s="67"/>
      <c r="K464" s="1"/>
      <c r="L464" s="81"/>
      <c r="M464" s="1"/>
      <c r="N464" s="468"/>
      <c r="O464" s="1"/>
      <c r="P464" s="1"/>
      <c r="Q464" s="1"/>
      <c r="R464" s="1"/>
    </row>
    <row r="465" ht="12.75" customHeight="1">
      <c r="A465" s="17"/>
      <c r="B465" s="1"/>
      <c r="C465" s="1"/>
      <c r="D465" s="150"/>
      <c r="E465" s="150"/>
      <c r="F465" s="75"/>
      <c r="G465" s="67"/>
      <c r="H465" s="68"/>
      <c r="I465" s="76"/>
      <c r="J465" s="67"/>
      <c r="K465" s="1"/>
      <c r="L465" s="81"/>
      <c r="M465" s="1"/>
      <c r="N465" s="468"/>
      <c r="O465" s="1"/>
      <c r="P465" s="1"/>
      <c r="Q465" s="1"/>
      <c r="R465" s="1"/>
    </row>
    <row r="466" ht="12.75" customHeight="1">
      <c r="A466" s="17"/>
      <c r="B466" s="1"/>
      <c r="C466" s="1"/>
      <c r="D466" s="150"/>
      <c r="E466" s="150"/>
      <c r="F466" s="75"/>
      <c r="G466" s="67"/>
      <c r="H466" s="68"/>
      <c r="I466" s="76"/>
      <c r="J466" s="67"/>
      <c r="K466" s="1"/>
      <c r="L466" s="81"/>
      <c r="M466" s="1"/>
      <c r="N466" s="468"/>
      <c r="O466" s="1"/>
      <c r="P466" s="1"/>
      <c r="Q466" s="1"/>
      <c r="R466" s="1"/>
    </row>
    <row r="467" ht="12.75" customHeight="1">
      <c r="A467" s="17"/>
      <c r="B467" s="1"/>
      <c r="C467" s="1"/>
      <c r="D467" s="150"/>
      <c r="E467" s="150"/>
      <c r="F467" s="75"/>
      <c r="G467" s="67"/>
      <c r="H467" s="68"/>
      <c r="I467" s="76"/>
      <c r="J467" s="67"/>
      <c r="K467" s="1"/>
      <c r="L467" s="81"/>
      <c r="M467" s="1"/>
      <c r="N467" s="468"/>
      <c r="O467" s="1"/>
      <c r="P467" s="1"/>
      <c r="Q467" s="1"/>
      <c r="R467" s="1"/>
    </row>
    <row r="468" ht="12.75" customHeight="1">
      <c r="A468" s="17"/>
      <c r="B468" s="1"/>
      <c r="C468" s="1"/>
      <c r="D468" s="150"/>
      <c r="E468" s="150"/>
      <c r="F468" s="75"/>
      <c r="G468" s="67"/>
      <c r="H468" s="68"/>
      <c r="I468" s="76"/>
      <c r="J468" s="67"/>
      <c r="K468" s="1"/>
      <c r="L468" s="81"/>
      <c r="M468" s="1"/>
      <c r="N468" s="468"/>
      <c r="O468" s="1"/>
      <c r="P468" s="1"/>
      <c r="Q468" s="1"/>
      <c r="R468" s="1"/>
    </row>
    <row r="469" ht="12.75" customHeight="1">
      <c r="A469" s="17"/>
      <c r="B469" s="1"/>
      <c r="C469" s="1"/>
      <c r="D469" s="150"/>
      <c r="E469" s="150"/>
      <c r="F469" s="75"/>
      <c r="G469" s="67"/>
      <c r="H469" s="68"/>
      <c r="I469" s="76"/>
      <c r="J469" s="67"/>
      <c r="K469" s="1"/>
      <c r="L469" s="81"/>
      <c r="M469" s="1"/>
      <c r="N469" s="468"/>
      <c r="O469" s="1"/>
      <c r="P469" s="1"/>
      <c r="Q469" s="1"/>
      <c r="R469" s="1"/>
    </row>
    <row r="470" ht="12.75" customHeight="1">
      <c r="A470" s="17"/>
      <c r="B470" s="1"/>
      <c r="C470" s="1"/>
      <c r="D470" s="150"/>
      <c r="E470" s="150"/>
      <c r="F470" s="75"/>
      <c r="G470" s="67"/>
      <c r="H470" s="68"/>
      <c r="I470" s="76"/>
      <c r="J470" s="67"/>
      <c r="K470" s="1"/>
      <c r="L470" s="81"/>
      <c r="M470" s="1"/>
      <c r="N470" s="468"/>
      <c r="O470" s="1"/>
      <c r="P470" s="1"/>
      <c r="Q470" s="1"/>
      <c r="R470" s="1"/>
    </row>
    <row r="471" ht="12.75" customHeight="1">
      <c r="A471" s="17"/>
      <c r="B471" s="1"/>
      <c r="C471" s="1"/>
      <c r="D471" s="150"/>
      <c r="E471" s="150"/>
      <c r="F471" s="75"/>
      <c r="G471" s="67"/>
      <c r="H471" s="68"/>
      <c r="I471" s="76"/>
      <c r="J471" s="67"/>
      <c r="K471" s="1"/>
      <c r="L471" s="81"/>
      <c r="M471" s="1"/>
      <c r="N471" s="468"/>
      <c r="O471" s="1"/>
      <c r="P471" s="1"/>
      <c r="Q471" s="1"/>
      <c r="R471" s="1"/>
    </row>
    <row r="472" ht="12.75" customHeight="1">
      <c r="A472" s="17"/>
      <c r="B472" s="1"/>
      <c r="C472" s="1"/>
      <c r="D472" s="150"/>
      <c r="E472" s="150"/>
      <c r="F472" s="75"/>
      <c r="G472" s="67"/>
      <c r="H472" s="68"/>
      <c r="I472" s="76"/>
      <c r="J472" s="67"/>
      <c r="K472" s="1"/>
      <c r="L472" s="81"/>
      <c r="M472" s="1"/>
      <c r="N472" s="468"/>
      <c r="O472" s="1"/>
      <c r="P472" s="1"/>
      <c r="Q472" s="1"/>
      <c r="R472" s="1"/>
    </row>
    <row r="473" ht="12.75" customHeight="1">
      <c r="A473" s="17"/>
      <c r="B473" s="1"/>
      <c r="C473" s="1"/>
      <c r="D473" s="150"/>
      <c r="E473" s="150"/>
      <c r="F473" s="75"/>
      <c r="G473" s="67"/>
      <c r="H473" s="68"/>
      <c r="I473" s="76"/>
      <c r="J473" s="67"/>
      <c r="K473" s="1"/>
      <c r="L473" s="81"/>
      <c r="M473" s="1"/>
      <c r="N473" s="468"/>
      <c r="O473" s="1"/>
      <c r="P473" s="1"/>
      <c r="Q473" s="1"/>
      <c r="R473" s="1"/>
    </row>
    <row r="474" ht="12.75" customHeight="1">
      <c r="A474" s="17"/>
      <c r="B474" s="1"/>
      <c r="C474" s="1"/>
      <c r="D474" s="150"/>
      <c r="E474" s="150"/>
      <c r="F474" s="75"/>
      <c r="G474" s="67"/>
      <c r="H474" s="68"/>
      <c r="I474" s="76"/>
      <c r="J474" s="67"/>
      <c r="K474" s="1"/>
      <c r="L474" s="81"/>
      <c r="M474" s="1"/>
      <c r="N474" s="468"/>
      <c r="O474" s="1"/>
      <c r="P474" s="1"/>
      <c r="Q474" s="1"/>
      <c r="R474" s="1"/>
    </row>
    <row r="475" ht="12.75" customHeight="1">
      <c r="A475" s="17"/>
      <c r="B475" s="1"/>
      <c r="C475" s="1"/>
      <c r="D475" s="150"/>
      <c r="E475" s="150"/>
      <c r="F475" s="75"/>
      <c r="G475" s="67"/>
      <c r="H475" s="68"/>
      <c r="I475" s="76"/>
      <c r="J475" s="67"/>
      <c r="K475" s="1"/>
      <c r="L475" s="81"/>
      <c r="M475" s="1"/>
      <c r="N475" s="468"/>
      <c r="O475" s="1"/>
      <c r="P475" s="1"/>
      <c r="Q475" s="1"/>
      <c r="R475" s="1"/>
    </row>
    <row r="476" ht="12.75" customHeight="1">
      <c r="A476" s="17"/>
      <c r="B476" s="1"/>
      <c r="C476" s="1"/>
      <c r="D476" s="150"/>
      <c r="E476" s="150"/>
      <c r="F476" s="75"/>
      <c r="G476" s="67"/>
      <c r="H476" s="68"/>
      <c r="I476" s="76"/>
      <c r="J476" s="67"/>
      <c r="K476" s="1"/>
      <c r="L476" s="81"/>
      <c r="M476" s="1"/>
      <c r="N476" s="468"/>
      <c r="O476" s="1"/>
      <c r="P476" s="1"/>
      <c r="Q476" s="1"/>
      <c r="R476" s="1"/>
    </row>
    <row r="477" ht="12.75" customHeight="1">
      <c r="A477" s="17"/>
      <c r="B477" s="1"/>
      <c r="C477" s="1"/>
      <c r="D477" s="150"/>
      <c r="E477" s="150"/>
      <c r="F477" s="75"/>
      <c r="G477" s="67"/>
      <c r="H477" s="68"/>
      <c r="I477" s="76"/>
      <c r="J477" s="67"/>
      <c r="K477" s="1"/>
      <c r="L477" s="81"/>
      <c r="M477" s="1"/>
      <c r="N477" s="468"/>
      <c r="O477" s="1"/>
      <c r="P477" s="1"/>
      <c r="Q477" s="1"/>
      <c r="R477" s="1"/>
    </row>
    <row r="478" ht="12.75" customHeight="1">
      <c r="A478" s="17"/>
      <c r="B478" s="1"/>
      <c r="C478" s="1"/>
      <c r="D478" s="150"/>
      <c r="E478" s="150"/>
      <c r="F478" s="75"/>
      <c r="G478" s="67"/>
      <c r="H478" s="68"/>
      <c r="I478" s="76"/>
      <c r="J478" s="67"/>
      <c r="K478" s="1"/>
      <c r="L478" s="81"/>
      <c r="M478" s="1"/>
      <c r="N478" s="468"/>
      <c r="O478" s="1"/>
      <c r="P478" s="1"/>
      <c r="Q478" s="1"/>
      <c r="R478" s="1"/>
    </row>
    <row r="479" ht="12.75" customHeight="1">
      <c r="A479" s="17"/>
      <c r="B479" s="1"/>
      <c r="C479" s="1"/>
      <c r="D479" s="150"/>
      <c r="E479" s="150"/>
      <c r="F479" s="75"/>
      <c r="G479" s="67"/>
      <c r="H479" s="68"/>
      <c r="I479" s="76"/>
      <c r="J479" s="67"/>
      <c r="K479" s="1"/>
      <c r="L479" s="81"/>
      <c r="M479" s="1"/>
      <c r="N479" s="468"/>
      <c r="O479" s="1"/>
      <c r="P479" s="1"/>
      <c r="Q479" s="1"/>
      <c r="R479" s="1"/>
    </row>
    <row r="480" ht="12.75" customHeight="1">
      <c r="A480" s="17"/>
      <c r="B480" s="1"/>
      <c r="C480" s="1"/>
      <c r="D480" s="150"/>
      <c r="E480" s="150"/>
      <c r="F480" s="75"/>
      <c r="G480" s="67"/>
      <c r="H480" s="68"/>
      <c r="I480" s="76"/>
      <c r="J480" s="67"/>
      <c r="K480" s="1"/>
      <c r="L480" s="81"/>
      <c r="M480" s="1"/>
      <c r="N480" s="468"/>
      <c r="O480" s="1"/>
      <c r="P480" s="1"/>
      <c r="Q480" s="1"/>
      <c r="R480" s="1"/>
    </row>
    <row r="481" ht="12.75" customHeight="1">
      <c r="A481" s="17"/>
      <c r="B481" s="1"/>
      <c r="C481" s="1"/>
      <c r="D481" s="150"/>
      <c r="E481" s="150"/>
      <c r="F481" s="75"/>
      <c r="G481" s="67"/>
      <c r="H481" s="68"/>
      <c r="I481" s="76"/>
      <c r="J481" s="67"/>
      <c r="K481" s="1"/>
      <c r="L481" s="81"/>
      <c r="M481" s="1"/>
      <c r="N481" s="468"/>
      <c r="O481" s="1"/>
      <c r="P481" s="1"/>
      <c r="Q481" s="1"/>
      <c r="R481" s="1"/>
    </row>
    <row r="482" ht="12.75" customHeight="1">
      <c r="A482" s="17"/>
      <c r="B482" s="1"/>
      <c r="C482" s="1"/>
      <c r="D482" s="150"/>
      <c r="E482" s="150"/>
      <c r="F482" s="75"/>
      <c r="G482" s="67"/>
      <c r="H482" s="68"/>
      <c r="I482" s="76"/>
      <c r="J482" s="67"/>
      <c r="K482" s="1"/>
      <c r="L482" s="81"/>
      <c r="M482" s="1"/>
      <c r="N482" s="468"/>
      <c r="O482" s="1"/>
      <c r="P482" s="1"/>
      <c r="Q482" s="1"/>
      <c r="R482" s="1"/>
    </row>
    <row r="483" ht="12.75" customHeight="1">
      <c r="A483" s="17"/>
      <c r="B483" s="1"/>
      <c r="C483" s="1"/>
      <c r="D483" s="150"/>
      <c r="E483" s="150"/>
      <c r="F483" s="75"/>
      <c r="G483" s="67"/>
      <c r="H483" s="68"/>
      <c r="I483" s="76"/>
      <c r="J483" s="67"/>
      <c r="K483" s="1"/>
      <c r="L483" s="81"/>
      <c r="M483" s="1"/>
      <c r="N483" s="468"/>
      <c r="O483" s="1"/>
      <c r="P483" s="1"/>
      <c r="Q483" s="1"/>
      <c r="R483" s="1"/>
    </row>
    <row r="484" ht="12.75" customHeight="1">
      <c r="A484" s="17"/>
      <c r="B484" s="1"/>
      <c r="C484" s="1"/>
      <c r="D484" s="150"/>
      <c r="E484" s="150"/>
      <c r="F484" s="75"/>
      <c r="G484" s="67"/>
      <c r="H484" s="68"/>
      <c r="I484" s="76"/>
      <c r="J484" s="67"/>
      <c r="K484" s="1"/>
      <c r="L484" s="81"/>
      <c r="M484" s="1"/>
      <c r="N484" s="468"/>
      <c r="O484" s="1"/>
      <c r="P484" s="1"/>
      <c r="Q484" s="1"/>
      <c r="R484" s="1"/>
    </row>
    <row r="485" ht="12.75" customHeight="1">
      <c r="A485" s="17"/>
      <c r="B485" s="1"/>
      <c r="C485" s="1"/>
      <c r="D485" s="150"/>
      <c r="E485" s="150"/>
      <c r="F485" s="75"/>
      <c r="G485" s="67"/>
      <c r="H485" s="68"/>
      <c r="I485" s="76"/>
      <c r="J485" s="67"/>
      <c r="K485" s="1"/>
      <c r="L485" s="81"/>
      <c r="M485" s="1"/>
      <c r="N485" s="468"/>
      <c r="O485" s="1"/>
      <c r="P485" s="1"/>
      <c r="Q485" s="1"/>
      <c r="R485" s="1"/>
    </row>
    <row r="486" ht="12.75" customHeight="1">
      <c r="A486" s="17"/>
      <c r="B486" s="1"/>
      <c r="C486" s="1"/>
      <c r="D486" s="150"/>
      <c r="E486" s="150"/>
      <c r="F486" s="75"/>
      <c r="G486" s="67"/>
      <c r="H486" s="68"/>
      <c r="I486" s="76"/>
      <c r="J486" s="67"/>
      <c r="K486" s="1"/>
      <c r="L486" s="81"/>
      <c r="M486" s="1"/>
      <c r="N486" s="468"/>
      <c r="O486" s="1"/>
      <c r="P486" s="1"/>
      <c r="Q486" s="1"/>
      <c r="R486" s="1"/>
    </row>
    <row r="487" ht="12.75" customHeight="1">
      <c r="A487" s="17"/>
      <c r="B487" s="1"/>
      <c r="C487" s="1"/>
      <c r="D487" s="150"/>
      <c r="E487" s="150"/>
      <c r="F487" s="75"/>
      <c r="G487" s="67"/>
      <c r="H487" s="68"/>
      <c r="I487" s="76"/>
      <c r="J487" s="67"/>
      <c r="K487" s="1"/>
      <c r="L487" s="81"/>
      <c r="M487" s="1"/>
      <c r="N487" s="468"/>
      <c r="O487" s="1"/>
      <c r="P487" s="1"/>
      <c r="Q487" s="1"/>
      <c r="R487" s="1"/>
    </row>
    <row r="488" ht="12.75" customHeight="1">
      <c r="A488" s="17"/>
      <c r="B488" s="1"/>
      <c r="C488" s="1"/>
      <c r="D488" s="150"/>
      <c r="E488" s="150"/>
      <c r="F488" s="75"/>
      <c r="G488" s="67"/>
      <c r="H488" s="68"/>
      <c r="I488" s="76"/>
      <c r="J488" s="67"/>
      <c r="K488" s="1"/>
      <c r="L488" s="81"/>
      <c r="M488" s="1"/>
      <c r="N488" s="468"/>
      <c r="O488" s="1"/>
      <c r="P488" s="1"/>
      <c r="Q488" s="1"/>
      <c r="R488" s="1"/>
    </row>
    <row r="489" ht="12.75" customHeight="1">
      <c r="A489" s="17"/>
      <c r="B489" s="1"/>
      <c r="C489" s="1"/>
      <c r="D489" s="150"/>
      <c r="E489" s="150"/>
      <c r="F489" s="75"/>
      <c r="G489" s="67"/>
      <c r="H489" s="68"/>
      <c r="I489" s="76"/>
      <c r="J489" s="67"/>
      <c r="K489" s="1"/>
      <c r="L489" s="81"/>
      <c r="M489" s="1"/>
      <c r="N489" s="468"/>
      <c r="O489" s="1"/>
      <c r="P489" s="1"/>
      <c r="Q489" s="1"/>
      <c r="R489" s="1"/>
    </row>
    <row r="490" ht="12.75" customHeight="1">
      <c r="A490" s="17"/>
      <c r="B490" s="1"/>
      <c r="C490" s="1"/>
      <c r="D490" s="150"/>
      <c r="E490" s="150"/>
      <c r="F490" s="75"/>
      <c r="G490" s="67"/>
      <c r="H490" s="68"/>
      <c r="I490" s="76"/>
      <c r="J490" s="67"/>
      <c r="K490" s="1"/>
      <c r="L490" s="81"/>
      <c r="M490" s="1"/>
      <c r="N490" s="468"/>
      <c r="O490" s="1"/>
      <c r="P490" s="1"/>
      <c r="Q490" s="1"/>
      <c r="R490" s="1"/>
    </row>
    <row r="491" ht="12.75" customHeight="1">
      <c r="A491" s="17"/>
      <c r="B491" s="1"/>
      <c r="C491" s="1"/>
      <c r="D491" s="150"/>
      <c r="E491" s="150"/>
      <c r="F491" s="75"/>
      <c r="G491" s="67"/>
      <c r="H491" s="68"/>
      <c r="I491" s="76"/>
      <c r="J491" s="67"/>
      <c r="K491" s="1"/>
      <c r="L491" s="81"/>
      <c r="M491" s="1"/>
      <c r="N491" s="468"/>
      <c r="O491" s="1"/>
      <c r="P491" s="1"/>
      <c r="Q491" s="1"/>
      <c r="R491" s="1"/>
    </row>
    <row r="492" ht="12.75" customHeight="1">
      <c r="A492" s="17"/>
      <c r="B492" s="1"/>
      <c r="C492" s="1"/>
      <c r="D492" s="150"/>
      <c r="E492" s="150"/>
      <c r="F492" s="75"/>
      <c r="G492" s="67"/>
      <c r="H492" s="68"/>
      <c r="I492" s="76"/>
      <c r="J492" s="67"/>
      <c r="K492" s="1"/>
      <c r="L492" s="81"/>
      <c r="M492" s="1"/>
      <c r="N492" s="468"/>
      <c r="O492" s="1"/>
      <c r="P492" s="1"/>
      <c r="Q492" s="1"/>
      <c r="R492" s="1"/>
    </row>
    <row r="493" ht="12.75" customHeight="1">
      <c r="A493" s="17"/>
      <c r="B493" s="1"/>
      <c r="C493" s="1"/>
      <c r="D493" s="150"/>
      <c r="E493" s="150"/>
      <c r="F493" s="75"/>
      <c r="G493" s="67"/>
      <c r="H493" s="68"/>
      <c r="I493" s="76"/>
      <c r="J493" s="67"/>
      <c r="K493" s="1"/>
      <c r="L493" s="81"/>
      <c r="M493" s="1"/>
      <c r="N493" s="468"/>
      <c r="O493" s="1"/>
      <c r="P493" s="1"/>
      <c r="Q493" s="1"/>
      <c r="R493" s="1"/>
    </row>
    <row r="494" ht="12.75" customHeight="1">
      <c r="A494" s="17"/>
      <c r="B494" s="1"/>
      <c r="C494" s="1"/>
      <c r="D494" s="150"/>
      <c r="E494" s="150"/>
      <c r="F494" s="75"/>
      <c r="G494" s="67"/>
      <c r="H494" s="68"/>
      <c r="I494" s="76"/>
      <c r="J494" s="67"/>
      <c r="K494" s="1"/>
      <c r="L494" s="81"/>
      <c r="M494" s="1"/>
      <c r="N494" s="468"/>
      <c r="O494" s="1"/>
      <c r="P494" s="1"/>
      <c r="Q494" s="1"/>
      <c r="R494" s="1"/>
    </row>
    <row r="495" ht="12.75" customHeight="1">
      <c r="A495" s="17"/>
      <c r="B495" s="1"/>
      <c r="C495" s="1"/>
      <c r="D495" s="150"/>
      <c r="E495" s="150"/>
      <c r="F495" s="75"/>
      <c r="G495" s="67"/>
      <c r="H495" s="68"/>
      <c r="I495" s="76"/>
      <c r="J495" s="67"/>
      <c r="K495" s="1"/>
      <c r="L495" s="81"/>
      <c r="M495" s="1"/>
      <c r="N495" s="468"/>
      <c r="O495" s="1"/>
      <c r="P495" s="1"/>
      <c r="Q495" s="1"/>
      <c r="R495" s="1"/>
    </row>
    <row r="496" ht="12.75" customHeight="1">
      <c r="A496" s="17"/>
      <c r="B496" s="1"/>
      <c r="C496" s="1"/>
      <c r="D496" s="150"/>
      <c r="E496" s="150"/>
      <c r="F496" s="75"/>
      <c r="G496" s="67"/>
      <c r="H496" s="68"/>
      <c r="I496" s="76"/>
      <c r="J496" s="67"/>
      <c r="K496" s="1"/>
      <c r="L496" s="81"/>
      <c r="M496" s="1"/>
      <c r="N496" s="468"/>
      <c r="O496" s="1"/>
      <c r="P496" s="1"/>
      <c r="Q496" s="1"/>
      <c r="R496" s="1"/>
    </row>
    <row r="497" ht="12.75" customHeight="1">
      <c r="A497" s="17"/>
      <c r="B497" s="1"/>
      <c r="C497" s="1"/>
      <c r="D497" s="150"/>
      <c r="E497" s="150"/>
      <c r="F497" s="75"/>
      <c r="G497" s="67"/>
      <c r="H497" s="68"/>
      <c r="I497" s="76"/>
      <c r="J497" s="67"/>
      <c r="K497" s="1"/>
      <c r="L497" s="81"/>
      <c r="M497" s="1"/>
      <c r="N497" s="468"/>
      <c r="O497" s="1"/>
      <c r="P497" s="1"/>
      <c r="Q497" s="1"/>
      <c r="R497" s="1"/>
    </row>
    <row r="498" ht="12.75" customHeight="1">
      <c r="A498" s="17"/>
      <c r="B498" s="1"/>
      <c r="C498" s="1"/>
      <c r="D498" s="150"/>
      <c r="E498" s="150"/>
      <c r="F498" s="75"/>
      <c r="G498" s="67"/>
      <c r="H498" s="68"/>
      <c r="I498" s="76"/>
      <c r="J498" s="67"/>
      <c r="K498" s="1"/>
      <c r="L498" s="81"/>
      <c r="M498" s="1"/>
      <c r="N498" s="468"/>
      <c r="O498" s="1"/>
      <c r="P498" s="1"/>
      <c r="Q498" s="1"/>
      <c r="R498" s="1"/>
    </row>
    <row r="499" ht="12.75" customHeight="1">
      <c r="A499" s="17"/>
      <c r="B499" s="1"/>
      <c r="C499" s="1"/>
      <c r="D499" s="150"/>
      <c r="E499" s="150"/>
      <c r="F499" s="75"/>
      <c r="G499" s="67"/>
      <c r="H499" s="68"/>
      <c r="I499" s="76"/>
      <c r="J499" s="67"/>
      <c r="K499" s="1"/>
      <c r="L499" s="81"/>
      <c r="M499" s="1"/>
      <c r="N499" s="468"/>
      <c r="O499" s="1"/>
      <c r="P499" s="1"/>
      <c r="Q499" s="1"/>
      <c r="R499" s="1"/>
    </row>
    <row r="500" ht="12.75" customHeight="1">
      <c r="A500" s="17"/>
      <c r="B500" s="1"/>
      <c r="C500" s="1"/>
      <c r="D500" s="150"/>
      <c r="E500" s="150"/>
      <c r="F500" s="75"/>
      <c r="G500" s="67"/>
      <c r="H500" s="68"/>
      <c r="I500" s="76"/>
      <c r="J500" s="67"/>
      <c r="K500" s="1"/>
      <c r="L500" s="81"/>
      <c r="M500" s="1"/>
      <c r="N500" s="468"/>
      <c r="O500" s="1"/>
      <c r="P500" s="1"/>
      <c r="Q500" s="1"/>
      <c r="R500" s="1"/>
    </row>
    <row r="501" ht="12.75" customHeight="1">
      <c r="A501" s="17"/>
      <c r="B501" s="1"/>
      <c r="C501" s="1"/>
      <c r="D501" s="150"/>
      <c r="E501" s="150"/>
      <c r="F501" s="75"/>
      <c r="G501" s="67"/>
      <c r="H501" s="68"/>
      <c r="I501" s="76"/>
      <c r="J501" s="67"/>
      <c r="K501" s="1"/>
      <c r="L501" s="81"/>
      <c r="M501" s="1"/>
      <c r="N501" s="468"/>
      <c r="O501" s="1"/>
      <c r="P501" s="1"/>
      <c r="Q501" s="1"/>
      <c r="R501" s="1"/>
    </row>
    <row r="502" ht="12.75" customHeight="1">
      <c r="A502" s="17"/>
      <c r="B502" s="1"/>
      <c r="C502" s="1"/>
      <c r="D502" s="150"/>
      <c r="E502" s="150"/>
      <c r="F502" s="75"/>
      <c r="G502" s="67"/>
      <c r="H502" s="68"/>
      <c r="I502" s="76"/>
      <c r="J502" s="67"/>
      <c r="K502" s="1"/>
      <c r="L502" s="81"/>
      <c r="M502" s="1"/>
      <c r="N502" s="468"/>
      <c r="O502" s="1"/>
      <c r="P502" s="1"/>
      <c r="Q502" s="1"/>
      <c r="R502" s="1"/>
    </row>
    <row r="503" ht="12.75" customHeight="1">
      <c r="A503" s="17"/>
      <c r="B503" s="1"/>
      <c r="C503" s="1"/>
      <c r="D503" s="150"/>
      <c r="E503" s="150"/>
      <c r="F503" s="75"/>
      <c r="G503" s="67"/>
      <c r="H503" s="68"/>
      <c r="I503" s="76"/>
      <c r="J503" s="67"/>
      <c r="K503" s="1"/>
      <c r="L503" s="81"/>
      <c r="M503" s="1"/>
      <c r="N503" s="468"/>
      <c r="O503" s="1"/>
      <c r="P503" s="1"/>
      <c r="Q503" s="1"/>
      <c r="R503" s="1"/>
    </row>
    <row r="504" ht="12.75" customHeight="1">
      <c r="A504" s="17"/>
      <c r="B504" s="1"/>
      <c r="C504" s="1"/>
      <c r="D504" s="150"/>
      <c r="E504" s="150"/>
      <c r="F504" s="75"/>
      <c r="G504" s="67"/>
      <c r="H504" s="68"/>
      <c r="I504" s="76"/>
      <c r="J504" s="67"/>
      <c r="K504" s="1"/>
      <c r="L504" s="81"/>
      <c r="M504" s="1"/>
      <c r="N504" s="468"/>
      <c r="O504" s="1"/>
      <c r="P504" s="1"/>
      <c r="Q504" s="1"/>
      <c r="R504" s="1"/>
    </row>
    <row r="505" ht="12.75" customHeight="1">
      <c r="A505" s="17"/>
      <c r="B505" s="1"/>
      <c r="C505" s="1"/>
      <c r="D505" s="150"/>
      <c r="E505" s="150"/>
      <c r="F505" s="75"/>
      <c r="G505" s="67"/>
      <c r="H505" s="68"/>
      <c r="I505" s="76"/>
      <c r="J505" s="67"/>
      <c r="K505" s="1"/>
      <c r="L505" s="81"/>
      <c r="M505" s="1"/>
      <c r="N505" s="468"/>
      <c r="O505" s="1"/>
      <c r="P505" s="1"/>
      <c r="Q505" s="1"/>
      <c r="R505" s="1"/>
    </row>
    <row r="506" ht="12.75" customHeight="1">
      <c r="A506" s="17"/>
      <c r="B506" s="1"/>
      <c r="C506" s="1"/>
      <c r="D506" s="150"/>
      <c r="E506" s="150"/>
      <c r="F506" s="75"/>
      <c r="G506" s="67"/>
      <c r="H506" s="68"/>
      <c r="I506" s="76"/>
      <c r="J506" s="67"/>
      <c r="K506" s="1"/>
      <c r="L506" s="81"/>
      <c r="M506" s="1"/>
      <c r="N506" s="468"/>
      <c r="O506" s="1"/>
      <c r="P506" s="1"/>
      <c r="Q506" s="1"/>
      <c r="R506" s="1"/>
    </row>
    <row r="507" ht="12.75" customHeight="1">
      <c r="A507" s="17"/>
      <c r="B507" s="1"/>
      <c r="C507" s="1"/>
      <c r="D507" s="150"/>
      <c r="E507" s="150"/>
      <c r="F507" s="75"/>
      <c r="G507" s="67"/>
      <c r="H507" s="68"/>
      <c r="I507" s="76"/>
      <c r="J507" s="67"/>
      <c r="K507" s="1"/>
      <c r="L507" s="81"/>
      <c r="M507" s="1"/>
      <c r="N507" s="468"/>
      <c r="O507" s="1"/>
      <c r="P507" s="1"/>
      <c r="Q507" s="1"/>
      <c r="R507" s="1"/>
    </row>
    <row r="508" ht="12.75" customHeight="1">
      <c r="A508" s="17"/>
      <c r="B508" s="1"/>
      <c r="C508" s="1"/>
      <c r="D508" s="150"/>
      <c r="E508" s="150"/>
      <c r="F508" s="75"/>
      <c r="G508" s="67"/>
      <c r="H508" s="68"/>
      <c r="I508" s="76"/>
      <c r="J508" s="67"/>
      <c r="K508" s="1"/>
      <c r="L508" s="81"/>
      <c r="M508" s="1"/>
      <c r="N508" s="468"/>
      <c r="O508" s="1"/>
      <c r="P508" s="1"/>
      <c r="Q508" s="1"/>
      <c r="R508" s="1"/>
    </row>
    <row r="509" ht="12.75" customHeight="1">
      <c r="A509" s="17"/>
      <c r="B509" s="1"/>
      <c r="C509" s="1"/>
      <c r="D509" s="150"/>
      <c r="E509" s="150"/>
      <c r="F509" s="75"/>
      <c r="G509" s="67"/>
      <c r="H509" s="68"/>
      <c r="I509" s="76"/>
      <c r="J509" s="67"/>
      <c r="K509" s="1"/>
      <c r="L509" s="81"/>
      <c r="M509" s="1"/>
      <c r="N509" s="468"/>
      <c r="O509" s="1"/>
      <c r="P509" s="1"/>
      <c r="Q509" s="1"/>
      <c r="R509" s="1"/>
    </row>
    <row r="510" ht="12.75" customHeight="1">
      <c r="A510" s="17"/>
      <c r="B510" s="1"/>
      <c r="C510" s="1"/>
      <c r="D510" s="150"/>
      <c r="E510" s="150"/>
      <c r="F510" s="75"/>
      <c r="G510" s="67"/>
      <c r="H510" s="68"/>
      <c r="I510" s="76"/>
      <c r="J510" s="67"/>
      <c r="K510" s="1"/>
      <c r="L510" s="81"/>
      <c r="M510" s="1"/>
      <c r="N510" s="468"/>
      <c r="O510" s="1"/>
      <c r="P510" s="1"/>
      <c r="Q510" s="1"/>
      <c r="R510" s="1"/>
    </row>
    <row r="511" ht="12.75" customHeight="1">
      <c r="A511" s="17"/>
      <c r="B511" s="1"/>
      <c r="C511" s="1"/>
      <c r="D511" s="150"/>
      <c r="E511" s="150"/>
      <c r="F511" s="75"/>
      <c r="G511" s="67"/>
      <c r="H511" s="68"/>
      <c r="I511" s="76"/>
      <c r="J511" s="67"/>
      <c r="K511" s="1"/>
      <c r="L511" s="81"/>
      <c r="M511" s="1"/>
      <c r="N511" s="468"/>
      <c r="O511" s="1"/>
      <c r="P511" s="1"/>
      <c r="Q511" s="1"/>
      <c r="R511" s="1"/>
    </row>
    <row r="512" ht="12.75" customHeight="1">
      <c r="A512" s="17"/>
      <c r="B512" s="1"/>
      <c r="C512" s="1"/>
      <c r="D512" s="150"/>
      <c r="E512" s="150"/>
      <c r="F512" s="75"/>
      <c r="G512" s="67"/>
      <c r="H512" s="68"/>
      <c r="I512" s="76"/>
      <c r="J512" s="67"/>
      <c r="K512" s="1"/>
      <c r="L512" s="81"/>
      <c r="M512" s="1"/>
      <c r="N512" s="468"/>
      <c r="O512" s="1"/>
      <c r="P512" s="1"/>
      <c r="Q512" s="1"/>
      <c r="R512" s="1"/>
    </row>
    <row r="513" ht="12.75" customHeight="1">
      <c r="A513" s="17"/>
      <c r="B513" s="1"/>
      <c r="C513" s="1"/>
      <c r="D513" s="150"/>
      <c r="E513" s="150"/>
      <c r="F513" s="75"/>
      <c r="G513" s="67"/>
      <c r="H513" s="68"/>
      <c r="I513" s="76"/>
      <c r="J513" s="67"/>
      <c r="K513" s="1"/>
      <c r="L513" s="81"/>
      <c r="M513" s="1"/>
      <c r="N513" s="468"/>
      <c r="O513" s="1"/>
      <c r="P513" s="1"/>
      <c r="Q513" s="1"/>
      <c r="R513" s="1"/>
    </row>
    <row r="514" ht="12.75" customHeight="1">
      <c r="A514" s="17"/>
      <c r="B514" s="1"/>
      <c r="C514" s="1"/>
      <c r="D514" s="150"/>
      <c r="E514" s="150"/>
      <c r="F514" s="75"/>
      <c r="G514" s="67"/>
      <c r="H514" s="68"/>
      <c r="I514" s="76"/>
      <c r="J514" s="67"/>
      <c r="K514" s="1"/>
      <c r="L514" s="81"/>
      <c r="M514" s="1"/>
      <c r="N514" s="468"/>
      <c r="O514" s="1"/>
      <c r="P514" s="1"/>
      <c r="Q514" s="1"/>
      <c r="R514" s="1"/>
    </row>
    <row r="515" ht="12.75" customHeight="1">
      <c r="A515" s="17"/>
      <c r="B515" s="1"/>
      <c r="C515" s="1"/>
      <c r="D515" s="150"/>
      <c r="E515" s="150"/>
      <c r="F515" s="75"/>
      <c r="G515" s="67"/>
      <c r="H515" s="68"/>
      <c r="I515" s="76"/>
      <c r="J515" s="67"/>
      <c r="K515" s="1"/>
      <c r="L515" s="81"/>
      <c r="M515" s="1"/>
      <c r="N515" s="468"/>
      <c r="O515" s="1"/>
      <c r="P515" s="1"/>
      <c r="Q515" s="1"/>
      <c r="R515" s="1"/>
    </row>
    <row r="516" ht="12.75" customHeight="1">
      <c r="A516" s="17"/>
      <c r="B516" s="1"/>
      <c r="C516" s="1"/>
      <c r="D516" s="150"/>
      <c r="E516" s="150"/>
      <c r="F516" s="75"/>
      <c r="G516" s="67"/>
      <c r="H516" s="68"/>
      <c r="I516" s="76"/>
      <c r="J516" s="67"/>
      <c r="K516" s="1"/>
      <c r="L516" s="81"/>
      <c r="M516" s="1"/>
      <c r="N516" s="468"/>
      <c r="O516" s="1"/>
      <c r="P516" s="1"/>
      <c r="Q516" s="1"/>
      <c r="R516" s="1"/>
    </row>
    <row r="517" ht="12.75" customHeight="1">
      <c r="A517" s="17"/>
      <c r="B517" s="1"/>
      <c r="C517" s="1"/>
      <c r="D517" s="150"/>
      <c r="E517" s="150"/>
      <c r="F517" s="75"/>
      <c r="G517" s="67"/>
      <c r="H517" s="68"/>
      <c r="I517" s="76"/>
      <c r="J517" s="67"/>
      <c r="K517" s="1"/>
      <c r="L517" s="81"/>
      <c r="M517" s="1"/>
      <c r="N517" s="468"/>
      <c r="O517" s="1"/>
      <c r="P517" s="1"/>
      <c r="Q517" s="1"/>
      <c r="R517" s="1"/>
    </row>
    <row r="518" ht="12.75" customHeight="1">
      <c r="A518" s="17"/>
      <c r="B518" s="1"/>
      <c r="C518" s="1"/>
      <c r="D518" s="150"/>
      <c r="E518" s="150"/>
      <c r="F518" s="75"/>
      <c r="G518" s="67"/>
      <c r="H518" s="68"/>
      <c r="I518" s="76"/>
      <c r="J518" s="67"/>
      <c r="K518" s="1"/>
      <c r="L518" s="81"/>
      <c r="M518" s="1"/>
      <c r="N518" s="468"/>
      <c r="O518" s="1"/>
      <c r="P518" s="1"/>
      <c r="Q518" s="1"/>
      <c r="R518" s="1"/>
    </row>
    <row r="519" ht="12.75" customHeight="1">
      <c r="A519" s="17"/>
      <c r="B519" s="1"/>
      <c r="C519" s="1"/>
      <c r="D519" s="150"/>
      <c r="E519" s="150"/>
      <c r="F519" s="75"/>
      <c r="G519" s="67"/>
      <c r="H519" s="68"/>
      <c r="I519" s="76"/>
      <c r="J519" s="67"/>
      <c r="K519" s="1"/>
      <c r="L519" s="81"/>
      <c r="M519" s="1"/>
      <c r="N519" s="468"/>
      <c r="O519" s="1"/>
      <c r="P519" s="1"/>
      <c r="Q519" s="1"/>
      <c r="R519" s="1"/>
    </row>
    <row r="520" ht="12.75" customHeight="1">
      <c r="A520" s="17"/>
      <c r="B520" s="1"/>
      <c r="C520" s="1"/>
      <c r="D520" s="150"/>
      <c r="E520" s="150"/>
      <c r="F520" s="75"/>
      <c r="G520" s="67"/>
      <c r="H520" s="68"/>
      <c r="I520" s="76"/>
      <c r="J520" s="67"/>
      <c r="K520" s="1"/>
      <c r="L520" s="81"/>
      <c r="M520" s="1"/>
      <c r="N520" s="468"/>
      <c r="O520" s="1"/>
      <c r="P520" s="1"/>
      <c r="Q520" s="1"/>
      <c r="R520" s="1"/>
    </row>
    <row r="521" ht="12.75" customHeight="1">
      <c r="A521" s="17"/>
      <c r="B521" s="1"/>
      <c r="C521" s="1"/>
      <c r="D521" s="150"/>
      <c r="E521" s="150"/>
      <c r="F521" s="75"/>
      <c r="G521" s="67"/>
      <c r="H521" s="68"/>
      <c r="I521" s="76"/>
      <c r="J521" s="67"/>
      <c r="K521" s="1"/>
      <c r="L521" s="81"/>
      <c r="M521" s="1"/>
      <c r="N521" s="468"/>
      <c r="O521" s="1"/>
      <c r="P521" s="1"/>
      <c r="Q521" s="1"/>
      <c r="R521" s="1"/>
    </row>
    <row r="522" ht="12.75" customHeight="1">
      <c r="A522" s="17"/>
      <c r="B522" s="1"/>
      <c r="C522" s="1"/>
      <c r="D522" s="150"/>
      <c r="E522" s="150"/>
      <c r="F522" s="75"/>
      <c r="G522" s="67"/>
      <c r="H522" s="68"/>
      <c r="I522" s="76"/>
      <c r="J522" s="67"/>
      <c r="K522" s="1"/>
      <c r="L522" s="81"/>
      <c r="M522" s="1"/>
      <c r="N522" s="468"/>
      <c r="O522" s="1"/>
      <c r="P522" s="1"/>
      <c r="Q522" s="1"/>
      <c r="R522" s="1"/>
    </row>
    <row r="523" ht="12.75" customHeight="1">
      <c r="A523" s="17"/>
      <c r="B523" s="1"/>
      <c r="C523" s="1"/>
      <c r="D523" s="150"/>
      <c r="E523" s="150"/>
      <c r="F523" s="75"/>
      <c r="G523" s="67"/>
      <c r="H523" s="68"/>
      <c r="I523" s="76"/>
      <c r="J523" s="67"/>
      <c r="K523" s="1"/>
      <c r="L523" s="81"/>
      <c r="M523" s="1"/>
      <c r="N523" s="468"/>
      <c r="O523" s="1"/>
      <c r="P523" s="1"/>
      <c r="Q523" s="1"/>
      <c r="R523" s="1"/>
    </row>
    <row r="524" ht="12.75" customHeight="1">
      <c r="A524" s="17"/>
      <c r="B524" s="1"/>
      <c r="C524" s="1"/>
      <c r="D524" s="150"/>
      <c r="E524" s="150"/>
      <c r="F524" s="75"/>
      <c r="G524" s="67"/>
      <c r="H524" s="68"/>
      <c r="I524" s="76"/>
      <c r="J524" s="67"/>
      <c r="K524" s="1"/>
      <c r="L524" s="81"/>
      <c r="M524" s="1"/>
      <c r="N524" s="468"/>
      <c r="O524" s="1"/>
      <c r="P524" s="1"/>
      <c r="Q524" s="1"/>
      <c r="R524" s="1"/>
    </row>
    <row r="525" ht="12.75" customHeight="1">
      <c r="A525" s="17"/>
      <c r="B525" s="1"/>
      <c r="C525" s="1"/>
      <c r="D525" s="150"/>
      <c r="E525" s="150"/>
      <c r="F525" s="75"/>
      <c r="G525" s="67"/>
      <c r="H525" s="68"/>
      <c r="I525" s="76"/>
      <c r="J525" s="67"/>
      <c r="K525" s="1"/>
      <c r="L525" s="81"/>
      <c r="M525" s="1"/>
      <c r="N525" s="468"/>
      <c r="O525" s="1"/>
      <c r="P525" s="1"/>
      <c r="Q525" s="1"/>
      <c r="R525" s="1"/>
    </row>
    <row r="526" ht="12.75" customHeight="1">
      <c r="A526" s="17"/>
      <c r="B526" s="1"/>
      <c r="C526" s="1"/>
      <c r="D526" s="150"/>
      <c r="E526" s="150"/>
      <c r="F526" s="75"/>
      <c r="G526" s="67"/>
      <c r="H526" s="68"/>
      <c r="I526" s="76"/>
      <c r="J526" s="67"/>
      <c r="K526" s="1"/>
      <c r="L526" s="81"/>
      <c r="M526" s="1"/>
      <c r="N526" s="468"/>
      <c r="O526" s="1"/>
      <c r="P526" s="1"/>
      <c r="Q526" s="1"/>
      <c r="R526" s="1"/>
    </row>
    <row r="527" ht="12.75" customHeight="1">
      <c r="A527" s="17"/>
      <c r="B527" s="1"/>
      <c r="C527" s="1"/>
      <c r="D527" s="150"/>
      <c r="E527" s="150"/>
      <c r="F527" s="75"/>
      <c r="G527" s="67"/>
      <c r="H527" s="68"/>
      <c r="I527" s="76"/>
      <c r="J527" s="67"/>
      <c r="K527" s="1"/>
      <c r="L527" s="81"/>
      <c r="M527" s="1"/>
      <c r="N527" s="468"/>
      <c r="O527" s="1"/>
      <c r="P527" s="1"/>
      <c r="Q527" s="1"/>
      <c r="R527" s="1"/>
    </row>
    <row r="528" ht="12.75" customHeight="1">
      <c r="A528" s="17"/>
      <c r="B528" s="1"/>
      <c r="C528" s="1"/>
      <c r="D528" s="150"/>
      <c r="E528" s="150"/>
      <c r="F528" s="75"/>
      <c r="G528" s="67"/>
      <c r="H528" s="68"/>
      <c r="I528" s="76"/>
      <c r="J528" s="67"/>
      <c r="K528" s="1"/>
      <c r="L528" s="81"/>
      <c r="M528" s="1"/>
      <c r="N528" s="468"/>
      <c r="O528" s="1"/>
      <c r="P528" s="1"/>
      <c r="Q528" s="1"/>
      <c r="R528" s="1"/>
    </row>
    <row r="529" ht="12.75" customHeight="1">
      <c r="A529" s="17"/>
      <c r="B529" s="1"/>
      <c r="C529" s="1"/>
      <c r="D529" s="150"/>
      <c r="E529" s="150"/>
      <c r="F529" s="75"/>
      <c r="G529" s="67"/>
      <c r="H529" s="68"/>
      <c r="I529" s="76"/>
      <c r="J529" s="67"/>
      <c r="K529" s="1"/>
      <c r="L529" s="81"/>
      <c r="M529" s="1"/>
      <c r="N529" s="468"/>
      <c r="O529" s="1"/>
      <c r="P529" s="1"/>
      <c r="Q529" s="1"/>
      <c r="R529" s="1"/>
    </row>
    <row r="530" ht="12.75" customHeight="1">
      <c r="A530" s="17"/>
      <c r="B530" s="1"/>
      <c r="C530" s="1"/>
      <c r="D530" s="150"/>
      <c r="E530" s="150"/>
      <c r="F530" s="75"/>
      <c r="G530" s="67"/>
      <c r="H530" s="68"/>
      <c r="I530" s="76"/>
      <c r="J530" s="67"/>
      <c r="K530" s="1"/>
      <c r="L530" s="81"/>
      <c r="M530" s="1"/>
      <c r="N530" s="468"/>
      <c r="O530" s="1"/>
      <c r="P530" s="1"/>
      <c r="Q530" s="1"/>
      <c r="R530" s="1"/>
    </row>
    <row r="531" ht="12.75" customHeight="1">
      <c r="A531" s="17"/>
      <c r="B531" s="1"/>
      <c r="C531" s="1"/>
      <c r="D531" s="150"/>
      <c r="E531" s="150"/>
      <c r="F531" s="75"/>
      <c r="G531" s="67"/>
      <c r="H531" s="68"/>
      <c r="I531" s="76"/>
      <c r="J531" s="67"/>
      <c r="K531" s="1"/>
      <c r="L531" s="81"/>
      <c r="M531" s="1"/>
      <c r="N531" s="468"/>
      <c r="O531" s="1"/>
      <c r="P531" s="1"/>
      <c r="Q531" s="1"/>
      <c r="R531" s="1"/>
    </row>
    <row r="532" ht="12.75" customHeight="1">
      <c r="A532" s="17"/>
      <c r="B532" s="1"/>
      <c r="C532" s="1"/>
      <c r="D532" s="150"/>
      <c r="E532" s="150"/>
      <c r="F532" s="75"/>
      <c r="G532" s="67"/>
      <c r="H532" s="68"/>
      <c r="I532" s="76"/>
      <c r="J532" s="67"/>
      <c r="K532" s="1"/>
      <c r="L532" s="81"/>
      <c r="M532" s="1"/>
      <c r="N532" s="468"/>
      <c r="O532" s="1"/>
      <c r="P532" s="1"/>
      <c r="Q532" s="1"/>
      <c r="R532" s="1"/>
    </row>
    <row r="533" ht="12.75" customHeight="1">
      <c r="A533" s="17"/>
      <c r="B533" s="1"/>
      <c r="C533" s="1"/>
      <c r="D533" s="150"/>
      <c r="E533" s="150"/>
      <c r="F533" s="75"/>
      <c r="G533" s="67"/>
      <c r="H533" s="68"/>
      <c r="I533" s="76"/>
      <c r="J533" s="67"/>
      <c r="K533" s="1"/>
      <c r="L533" s="81"/>
      <c r="M533" s="1"/>
      <c r="N533" s="468"/>
      <c r="O533" s="1"/>
      <c r="P533" s="1"/>
      <c r="Q533" s="1"/>
      <c r="R533" s="1"/>
    </row>
    <row r="534" ht="12.75" customHeight="1">
      <c r="A534" s="17"/>
      <c r="B534" s="1"/>
      <c r="C534" s="1"/>
      <c r="D534" s="150"/>
      <c r="E534" s="150"/>
      <c r="F534" s="75"/>
      <c r="G534" s="67"/>
      <c r="H534" s="68"/>
      <c r="I534" s="76"/>
      <c r="J534" s="67"/>
      <c r="K534" s="1"/>
      <c r="L534" s="81"/>
      <c r="M534" s="1"/>
      <c r="N534" s="468"/>
      <c r="O534" s="1"/>
      <c r="P534" s="1"/>
      <c r="Q534" s="1"/>
      <c r="R534" s="1"/>
    </row>
    <row r="535" ht="12.75" customHeight="1">
      <c r="A535" s="17"/>
      <c r="B535" s="1"/>
      <c r="C535" s="1"/>
      <c r="D535" s="150"/>
      <c r="E535" s="150"/>
      <c r="F535" s="75"/>
      <c r="G535" s="67"/>
      <c r="H535" s="68"/>
      <c r="I535" s="76"/>
      <c r="J535" s="67"/>
      <c r="K535" s="1"/>
      <c r="L535" s="81"/>
      <c r="M535" s="1"/>
      <c r="N535" s="468"/>
      <c r="O535" s="1"/>
      <c r="P535" s="1"/>
      <c r="Q535" s="1"/>
      <c r="R535" s="1"/>
    </row>
    <row r="536" ht="12.75" customHeight="1">
      <c r="A536" s="17"/>
      <c r="B536" s="1"/>
      <c r="C536" s="1"/>
      <c r="D536" s="150"/>
      <c r="E536" s="150"/>
      <c r="F536" s="75"/>
      <c r="G536" s="67"/>
      <c r="H536" s="68"/>
      <c r="I536" s="76"/>
      <c r="J536" s="67"/>
      <c r="K536" s="1"/>
      <c r="L536" s="81"/>
      <c r="M536" s="1"/>
      <c r="N536" s="468"/>
      <c r="O536" s="1"/>
      <c r="P536" s="1"/>
      <c r="Q536" s="1"/>
      <c r="R536" s="1"/>
    </row>
    <row r="537" ht="12.75" customHeight="1">
      <c r="A537" s="17"/>
      <c r="B537" s="1"/>
      <c r="C537" s="1"/>
      <c r="D537" s="150"/>
      <c r="E537" s="150"/>
      <c r="F537" s="75"/>
      <c r="G537" s="67"/>
      <c r="H537" s="68"/>
      <c r="I537" s="76"/>
      <c r="J537" s="67"/>
      <c r="K537" s="1"/>
      <c r="L537" s="81"/>
      <c r="M537" s="1"/>
      <c r="N537" s="468"/>
      <c r="O537" s="1"/>
      <c r="P537" s="1"/>
      <c r="Q537" s="1"/>
      <c r="R537" s="1"/>
    </row>
    <row r="538" ht="12.75" customHeight="1">
      <c r="A538" s="17"/>
      <c r="B538" s="1"/>
      <c r="C538" s="1"/>
      <c r="D538" s="150"/>
      <c r="E538" s="150"/>
      <c r="F538" s="75"/>
      <c r="G538" s="67"/>
      <c r="H538" s="68"/>
      <c r="I538" s="76"/>
      <c r="J538" s="67"/>
      <c r="K538" s="1"/>
      <c r="L538" s="81"/>
      <c r="M538" s="1"/>
      <c r="N538" s="468"/>
      <c r="O538" s="1"/>
      <c r="P538" s="1"/>
      <c r="Q538" s="1"/>
      <c r="R538" s="1"/>
    </row>
    <row r="539" ht="12.75" customHeight="1">
      <c r="A539" s="17"/>
      <c r="B539" s="1"/>
      <c r="C539" s="1"/>
      <c r="D539" s="150"/>
      <c r="E539" s="150"/>
      <c r="F539" s="75"/>
      <c r="G539" s="67"/>
      <c r="H539" s="68"/>
      <c r="I539" s="76"/>
      <c r="J539" s="67"/>
      <c r="K539" s="1"/>
      <c r="L539" s="81"/>
      <c r="M539" s="1"/>
      <c r="N539" s="468"/>
      <c r="O539" s="1"/>
      <c r="P539" s="1"/>
      <c r="Q539" s="1"/>
      <c r="R539" s="1"/>
    </row>
    <row r="540" ht="12.75" customHeight="1">
      <c r="A540" s="17"/>
      <c r="B540" s="1"/>
      <c r="C540" s="1"/>
      <c r="D540" s="150"/>
      <c r="E540" s="150"/>
      <c r="F540" s="75"/>
      <c r="G540" s="67"/>
      <c r="H540" s="68"/>
      <c r="I540" s="76"/>
      <c r="J540" s="67"/>
      <c r="K540" s="1"/>
      <c r="L540" s="81"/>
      <c r="M540" s="1"/>
      <c r="N540" s="468"/>
      <c r="O540" s="1"/>
      <c r="P540" s="1"/>
      <c r="Q540" s="1"/>
      <c r="R540" s="1"/>
    </row>
    <row r="541" ht="12.75" customHeight="1">
      <c r="A541" s="17"/>
      <c r="B541" s="1"/>
      <c r="C541" s="1"/>
      <c r="D541" s="150"/>
      <c r="E541" s="150"/>
      <c r="F541" s="75"/>
      <c r="G541" s="67"/>
      <c r="H541" s="68"/>
      <c r="I541" s="76"/>
      <c r="J541" s="67"/>
      <c r="K541" s="1"/>
      <c r="L541" s="81"/>
      <c r="M541" s="1"/>
      <c r="N541" s="468"/>
      <c r="O541" s="1"/>
      <c r="P541" s="1"/>
      <c r="Q541" s="1"/>
      <c r="R541" s="1"/>
    </row>
    <row r="542" ht="12.75" customHeight="1">
      <c r="A542" s="17"/>
      <c r="B542" s="1"/>
      <c r="C542" s="1"/>
      <c r="D542" s="150"/>
      <c r="E542" s="150"/>
      <c r="F542" s="75"/>
      <c r="G542" s="67"/>
      <c r="H542" s="68"/>
      <c r="I542" s="76"/>
      <c r="J542" s="67"/>
      <c r="K542" s="1"/>
      <c r="L542" s="81"/>
      <c r="M542" s="1"/>
      <c r="N542" s="468"/>
      <c r="O542" s="1"/>
      <c r="P542" s="1"/>
      <c r="Q542" s="1"/>
      <c r="R542" s="1"/>
    </row>
    <row r="543" ht="12.75" customHeight="1">
      <c r="A543" s="17"/>
      <c r="B543" s="1"/>
      <c r="C543" s="1"/>
      <c r="D543" s="150"/>
      <c r="E543" s="150"/>
      <c r="F543" s="75"/>
      <c r="G543" s="67"/>
      <c r="H543" s="68"/>
      <c r="I543" s="76"/>
      <c r="J543" s="67"/>
      <c r="K543" s="1"/>
      <c r="L543" s="81"/>
      <c r="M543" s="1"/>
      <c r="N543" s="468"/>
      <c r="O543" s="1"/>
      <c r="P543" s="1"/>
      <c r="Q543" s="1"/>
      <c r="R543" s="1"/>
    </row>
    <row r="544" ht="12.75" customHeight="1">
      <c r="A544" s="17"/>
      <c r="B544" s="1"/>
      <c r="C544" s="1"/>
      <c r="D544" s="150"/>
      <c r="E544" s="150"/>
      <c r="F544" s="75"/>
      <c r="G544" s="67"/>
      <c r="H544" s="68"/>
      <c r="I544" s="76"/>
      <c r="J544" s="67"/>
      <c r="K544" s="1"/>
      <c r="L544" s="81"/>
      <c r="M544" s="1"/>
      <c r="N544" s="468"/>
      <c r="O544" s="1"/>
      <c r="P544" s="1"/>
      <c r="Q544" s="1"/>
      <c r="R544" s="1"/>
    </row>
    <row r="545" ht="12.75" customHeight="1">
      <c r="A545" s="17"/>
      <c r="B545" s="1"/>
      <c r="C545" s="1"/>
      <c r="D545" s="150"/>
      <c r="E545" s="150"/>
      <c r="F545" s="75"/>
      <c r="G545" s="67"/>
      <c r="H545" s="68"/>
      <c r="I545" s="76"/>
      <c r="J545" s="67"/>
      <c r="K545" s="1"/>
      <c r="L545" s="81"/>
      <c r="M545" s="1"/>
      <c r="N545" s="468"/>
      <c r="O545" s="1"/>
      <c r="P545" s="1"/>
      <c r="Q545" s="1"/>
      <c r="R545" s="1"/>
    </row>
    <row r="546" ht="12.75" customHeight="1">
      <c r="A546" s="17"/>
      <c r="B546" s="1"/>
      <c r="C546" s="1"/>
      <c r="D546" s="150"/>
      <c r="E546" s="150"/>
      <c r="F546" s="75"/>
      <c r="G546" s="67"/>
      <c r="H546" s="68"/>
      <c r="I546" s="76"/>
      <c r="J546" s="67"/>
      <c r="K546" s="1"/>
      <c r="L546" s="81"/>
      <c r="M546" s="1"/>
      <c r="N546" s="468"/>
      <c r="O546" s="1"/>
      <c r="P546" s="1"/>
      <c r="Q546" s="1"/>
      <c r="R546" s="1"/>
    </row>
    <row r="547" ht="12.75" customHeight="1">
      <c r="A547" s="17"/>
      <c r="B547" s="1"/>
      <c r="C547" s="1"/>
      <c r="D547" s="150"/>
      <c r="E547" s="150"/>
      <c r="F547" s="75"/>
      <c r="G547" s="67"/>
      <c r="H547" s="68"/>
      <c r="I547" s="76"/>
      <c r="J547" s="67"/>
      <c r="K547" s="1"/>
      <c r="L547" s="81"/>
      <c r="M547" s="1"/>
      <c r="N547" s="468"/>
      <c r="O547" s="1"/>
      <c r="P547" s="1"/>
      <c r="Q547" s="1"/>
      <c r="R547" s="1"/>
    </row>
    <row r="548" ht="12.75" customHeight="1">
      <c r="A548" s="17"/>
      <c r="B548" s="1"/>
      <c r="C548" s="1"/>
      <c r="D548" s="150"/>
      <c r="E548" s="150"/>
      <c r="F548" s="75"/>
      <c r="G548" s="67"/>
      <c r="H548" s="68"/>
      <c r="I548" s="76"/>
      <c r="J548" s="67"/>
      <c r="K548" s="1"/>
      <c r="L548" s="81"/>
      <c r="M548" s="1"/>
      <c r="N548" s="468"/>
      <c r="O548" s="1"/>
      <c r="P548" s="1"/>
      <c r="Q548" s="1"/>
      <c r="R548" s="1"/>
    </row>
    <row r="549" ht="12.75" customHeight="1">
      <c r="A549" s="17"/>
      <c r="B549" s="1"/>
      <c r="C549" s="1"/>
      <c r="D549" s="150"/>
      <c r="E549" s="150"/>
      <c r="F549" s="75"/>
      <c r="G549" s="67"/>
      <c r="H549" s="68"/>
      <c r="I549" s="76"/>
      <c r="J549" s="67"/>
      <c r="K549" s="1"/>
      <c r="L549" s="81"/>
      <c r="M549" s="1"/>
      <c r="N549" s="468"/>
      <c r="O549" s="1"/>
      <c r="P549" s="1"/>
      <c r="Q549" s="1"/>
      <c r="R549" s="1"/>
    </row>
    <row r="550" ht="12.75" customHeight="1">
      <c r="A550" s="17"/>
      <c r="B550" s="1"/>
      <c r="C550" s="1"/>
      <c r="D550" s="150"/>
      <c r="E550" s="150"/>
      <c r="F550" s="75"/>
      <c r="G550" s="67"/>
      <c r="H550" s="68"/>
      <c r="I550" s="76"/>
      <c r="J550" s="67"/>
      <c r="K550" s="1"/>
      <c r="L550" s="81"/>
      <c r="M550" s="1"/>
      <c r="N550" s="468"/>
      <c r="O550" s="1"/>
      <c r="P550" s="1"/>
      <c r="Q550" s="1"/>
      <c r="R550" s="1"/>
    </row>
    <row r="551" ht="12.75" customHeight="1">
      <c r="A551" s="17"/>
      <c r="B551" s="1"/>
      <c r="C551" s="1"/>
      <c r="D551" s="150"/>
      <c r="E551" s="150"/>
      <c r="F551" s="75"/>
      <c r="G551" s="67"/>
      <c r="H551" s="68"/>
      <c r="I551" s="76"/>
      <c r="J551" s="67"/>
      <c r="K551" s="1"/>
      <c r="L551" s="81"/>
      <c r="M551" s="1"/>
      <c r="N551" s="468"/>
      <c r="O551" s="1"/>
      <c r="P551" s="1"/>
      <c r="Q551" s="1"/>
      <c r="R551" s="1"/>
    </row>
    <row r="552" ht="12.75" customHeight="1">
      <c r="A552" s="17"/>
      <c r="B552" s="1"/>
      <c r="C552" s="1"/>
      <c r="D552" s="150"/>
      <c r="E552" s="150"/>
      <c r="F552" s="75"/>
      <c r="G552" s="67"/>
      <c r="H552" s="68"/>
      <c r="I552" s="76"/>
      <c r="J552" s="67"/>
      <c r="K552" s="1"/>
      <c r="L552" s="81"/>
      <c r="M552" s="1"/>
      <c r="N552" s="468"/>
      <c r="O552" s="1"/>
      <c r="P552" s="1"/>
      <c r="Q552" s="1"/>
      <c r="R552" s="1"/>
    </row>
    <row r="553" ht="12.75" customHeight="1">
      <c r="A553" s="17"/>
      <c r="B553" s="1"/>
      <c r="C553" s="1"/>
      <c r="D553" s="150"/>
      <c r="E553" s="150"/>
      <c r="F553" s="75"/>
      <c r="G553" s="67"/>
      <c r="H553" s="68"/>
      <c r="I553" s="76"/>
      <c r="J553" s="67"/>
      <c r="K553" s="1"/>
      <c r="L553" s="81"/>
      <c r="M553" s="1"/>
      <c r="N553" s="468"/>
      <c r="O553" s="1"/>
      <c r="P553" s="1"/>
      <c r="Q553" s="1"/>
      <c r="R553" s="1"/>
    </row>
    <row r="554" ht="12.75" customHeight="1">
      <c r="A554" s="17"/>
      <c r="B554" s="1"/>
      <c r="C554" s="1"/>
      <c r="D554" s="150"/>
      <c r="E554" s="150"/>
      <c r="F554" s="75"/>
      <c r="G554" s="67"/>
      <c r="H554" s="68"/>
      <c r="I554" s="76"/>
      <c r="J554" s="67"/>
      <c r="K554" s="1"/>
      <c r="L554" s="81"/>
      <c r="M554" s="1"/>
      <c r="N554" s="468"/>
      <c r="O554" s="1"/>
      <c r="P554" s="1"/>
      <c r="Q554" s="1"/>
      <c r="R554" s="1"/>
    </row>
    <row r="555" ht="12.75" customHeight="1">
      <c r="A555" s="17"/>
      <c r="B555" s="1"/>
      <c r="C555" s="1"/>
      <c r="D555" s="150"/>
      <c r="E555" s="150"/>
      <c r="F555" s="75"/>
      <c r="G555" s="67"/>
      <c r="H555" s="68"/>
      <c r="I555" s="76"/>
      <c r="J555" s="67"/>
      <c r="K555" s="1"/>
      <c r="L555" s="81"/>
      <c r="M555" s="1"/>
      <c r="N555" s="468"/>
      <c r="O555" s="1"/>
      <c r="P555" s="1"/>
      <c r="Q555" s="1"/>
      <c r="R555" s="1"/>
    </row>
    <row r="556" ht="12.75" customHeight="1">
      <c r="A556" s="17"/>
      <c r="B556" s="1"/>
      <c r="C556" s="1"/>
      <c r="D556" s="150"/>
      <c r="E556" s="150"/>
      <c r="F556" s="75"/>
      <c r="G556" s="67"/>
      <c r="H556" s="68"/>
      <c r="I556" s="76"/>
      <c r="J556" s="67"/>
      <c r="K556" s="1"/>
      <c r="L556" s="81"/>
      <c r="M556" s="1"/>
      <c r="N556" s="468"/>
      <c r="O556" s="1"/>
      <c r="P556" s="1"/>
      <c r="Q556" s="1"/>
      <c r="R556" s="1"/>
    </row>
    <row r="557" ht="12.75" customHeight="1">
      <c r="A557" s="17"/>
      <c r="B557" s="1"/>
      <c r="C557" s="1"/>
      <c r="D557" s="150"/>
      <c r="E557" s="150"/>
      <c r="F557" s="75"/>
      <c r="G557" s="67"/>
      <c r="H557" s="68"/>
      <c r="I557" s="76"/>
      <c r="J557" s="67"/>
      <c r="K557" s="1"/>
      <c r="L557" s="81"/>
      <c r="M557" s="1"/>
      <c r="N557" s="468"/>
      <c r="O557" s="1"/>
      <c r="P557" s="1"/>
      <c r="Q557" s="1"/>
      <c r="R557" s="1"/>
    </row>
    <row r="558" ht="12.75" customHeight="1">
      <c r="A558" s="17"/>
      <c r="B558" s="1"/>
      <c r="C558" s="1"/>
      <c r="D558" s="150"/>
      <c r="E558" s="150"/>
      <c r="F558" s="75"/>
      <c r="G558" s="67"/>
      <c r="H558" s="68"/>
      <c r="I558" s="76"/>
      <c r="J558" s="67"/>
      <c r="K558" s="1"/>
      <c r="L558" s="81"/>
      <c r="M558" s="1"/>
      <c r="N558" s="468"/>
      <c r="O558" s="1"/>
      <c r="P558" s="1"/>
      <c r="Q558" s="1"/>
      <c r="R558" s="1"/>
    </row>
    <row r="559" ht="12.75" customHeight="1">
      <c r="A559" s="17"/>
      <c r="B559" s="1"/>
      <c r="C559" s="1"/>
      <c r="D559" s="150"/>
      <c r="E559" s="150"/>
      <c r="F559" s="75"/>
      <c r="G559" s="67"/>
      <c r="H559" s="68"/>
      <c r="I559" s="76"/>
      <c r="J559" s="67"/>
      <c r="K559" s="1"/>
      <c r="L559" s="81"/>
      <c r="M559" s="1"/>
      <c r="N559" s="468"/>
      <c r="O559" s="1"/>
      <c r="P559" s="1"/>
      <c r="Q559" s="1"/>
      <c r="R559" s="1"/>
    </row>
    <row r="560" ht="12.75" customHeight="1">
      <c r="A560" s="17"/>
      <c r="B560" s="1"/>
      <c r="C560" s="1"/>
      <c r="D560" s="150"/>
      <c r="E560" s="150"/>
      <c r="F560" s="75"/>
      <c r="G560" s="67"/>
      <c r="H560" s="68"/>
      <c r="I560" s="76"/>
      <c r="J560" s="67"/>
      <c r="K560" s="1"/>
      <c r="L560" s="81"/>
      <c r="M560" s="1"/>
      <c r="N560" s="468"/>
      <c r="O560" s="1"/>
      <c r="P560" s="1"/>
      <c r="Q560" s="1"/>
      <c r="R560" s="1"/>
    </row>
    <row r="561" ht="12.75" customHeight="1">
      <c r="A561" s="17"/>
      <c r="B561" s="1"/>
      <c r="C561" s="1"/>
      <c r="D561" s="150"/>
      <c r="E561" s="150"/>
      <c r="F561" s="75"/>
      <c r="G561" s="67"/>
      <c r="H561" s="68"/>
      <c r="I561" s="76"/>
      <c r="J561" s="67"/>
      <c r="K561" s="1"/>
      <c r="L561" s="81"/>
      <c r="M561" s="1"/>
      <c r="N561" s="468"/>
      <c r="O561" s="1"/>
      <c r="P561" s="1"/>
      <c r="Q561" s="1"/>
      <c r="R561" s="1"/>
    </row>
    <row r="562" ht="12.75" customHeight="1">
      <c r="A562" s="17"/>
      <c r="B562" s="1"/>
      <c r="C562" s="1"/>
      <c r="D562" s="150"/>
      <c r="E562" s="150"/>
      <c r="F562" s="75"/>
      <c r="G562" s="67"/>
      <c r="H562" s="68"/>
      <c r="I562" s="76"/>
      <c r="J562" s="67"/>
      <c r="K562" s="1"/>
      <c r="L562" s="81"/>
      <c r="M562" s="1"/>
      <c r="N562" s="468"/>
      <c r="O562" s="1"/>
      <c r="P562" s="1"/>
      <c r="Q562" s="1"/>
      <c r="R562" s="1"/>
    </row>
    <row r="563" ht="12.75" customHeight="1">
      <c r="A563" s="17"/>
      <c r="B563" s="1"/>
      <c r="C563" s="1"/>
      <c r="D563" s="150"/>
      <c r="E563" s="150"/>
      <c r="F563" s="75"/>
      <c r="G563" s="67"/>
      <c r="H563" s="68"/>
      <c r="I563" s="76"/>
      <c r="J563" s="67"/>
      <c r="K563" s="1"/>
      <c r="L563" s="81"/>
      <c r="M563" s="1"/>
      <c r="N563" s="468"/>
      <c r="O563" s="1"/>
      <c r="P563" s="1"/>
      <c r="Q563" s="1"/>
      <c r="R563" s="1"/>
    </row>
    <row r="564" ht="12.75" customHeight="1">
      <c r="A564" s="17"/>
      <c r="B564" s="1"/>
      <c r="C564" s="1"/>
      <c r="D564" s="150"/>
      <c r="E564" s="150"/>
      <c r="F564" s="75"/>
      <c r="G564" s="67"/>
      <c r="H564" s="68"/>
      <c r="I564" s="76"/>
      <c r="J564" s="67"/>
      <c r="K564" s="1"/>
      <c r="L564" s="81"/>
      <c r="M564" s="1"/>
      <c r="N564" s="468"/>
      <c r="O564" s="1"/>
      <c r="P564" s="1"/>
      <c r="Q564" s="1"/>
      <c r="R564" s="1"/>
    </row>
    <row r="565" ht="12.75" customHeight="1">
      <c r="A565" s="17"/>
      <c r="B565" s="1"/>
      <c r="C565" s="1"/>
      <c r="D565" s="150"/>
      <c r="E565" s="150"/>
      <c r="F565" s="75"/>
      <c r="G565" s="67"/>
      <c r="H565" s="68"/>
      <c r="I565" s="76"/>
      <c r="J565" s="67"/>
      <c r="K565" s="1"/>
      <c r="L565" s="81"/>
      <c r="M565" s="1"/>
      <c r="N565" s="468"/>
      <c r="O565" s="1"/>
      <c r="P565" s="1"/>
      <c r="Q565" s="1"/>
      <c r="R565" s="1"/>
    </row>
    <row r="566" ht="12.75" customHeight="1">
      <c r="A566" s="17"/>
      <c r="B566" s="1"/>
      <c r="C566" s="1"/>
      <c r="D566" s="150"/>
      <c r="E566" s="150"/>
      <c r="F566" s="75"/>
      <c r="G566" s="67"/>
      <c r="H566" s="68"/>
      <c r="I566" s="76"/>
      <c r="J566" s="67"/>
      <c r="K566" s="1"/>
      <c r="L566" s="81"/>
      <c r="M566" s="1"/>
      <c r="N566" s="468"/>
      <c r="O566" s="1"/>
      <c r="P566" s="1"/>
      <c r="Q566" s="1"/>
      <c r="R566" s="1"/>
    </row>
    <row r="567" ht="12.75" customHeight="1">
      <c r="A567" s="17"/>
      <c r="B567" s="1"/>
      <c r="C567" s="1"/>
      <c r="D567" s="150"/>
      <c r="E567" s="150"/>
      <c r="F567" s="75"/>
      <c r="G567" s="67"/>
      <c r="H567" s="68"/>
      <c r="I567" s="76"/>
      <c r="J567" s="67"/>
      <c r="K567" s="1"/>
      <c r="L567" s="81"/>
      <c r="M567" s="1"/>
      <c r="N567" s="468"/>
      <c r="O567" s="1"/>
      <c r="P567" s="1"/>
      <c r="Q567" s="1"/>
      <c r="R567" s="1"/>
    </row>
    <row r="568" ht="12.75" customHeight="1">
      <c r="A568" s="17"/>
      <c r="B568" s="1"/>
      <c r="C568" s="1"/>
      <c r="D568" s="150"/>
      <c r="E568" s="150"/>
      <c r="F568" s="75"/>
      <c r="G568" s="67"/>
      <c r="H568" s="68"/>
      <c r="I568" s="76"/>
      <c r="J568" s="67"/>
      <c r="K568" s="1"/>
      <c r="L568" s="81"/>
      <c r="M568" s="1"/>
      <c r="N568" s="468"/>
      <c r="O568" s="1"/>
      <c r="P568" s="1"/>
      <c r="Q568" s="1"/>
      <c r="R568" s="1"/>
    </row>
    <row r="569" ht="12.75" customHeight="1">
      <c r="A569" s="17"/>
      <c r="B569" s="1"/>
      <c r="C569" s="1"/>
      <c r="D569" s="150"/>
      <c r="E569" s="150"/>
      <c r="F569" s="75"/>
      <c r="G569" s="67"/>
      <c r="H569" s="68"/>
      <c r="I569" s="76"/>
      <c r="J569" s="67"/>
      <c r="K569" s="1"/>
      <c r="L569" s="81"/>
      <c r="M569" s="1"/>
      <c r="N569" s="468"/>
      <c r="O569" s="1"/>
      <c r="P569" s="1"/>
      <c r="Q569" s="1"/>
      <c r="R569" s="1"/>
    </row>
    <row r="570" ht="12.75" customHeight="1">
      <c r="A570" s="17"/>
      <c r="B570" s="1"/>
      <c r="C570" s="1"/>
      <c r="D570" s="150"/>
      <c r="E570" s="150"/>
      <c r="F570" s="75"/>
      <c r="G570" s="67"/>
      <c r="H570" s="68"/>
      <c r="I570" s="76"/>
      <c r="J570" s="67"/>
      <c r="K570" s="1"/>
      <c r="L570" s="81"/>
      <c r="M570" s="1"/>
      <c r="N570" s="468"/>
      <c r="O570" s="1"/>
      <c r="P570" s="1"/>
      <c r="Q570" s="1"/>
      <c r="R570" s="1"/>
    </row>
    <row r="571" ht="12.75" customHeight="1">
      <c r="A571" s="17"/>
      <c r="B571" s="1"/>
      <c r="C571" s="1"/>
      <c r="D571" s="150"/>
      <c r="E571" s="150"/>
      <c r="F571" s="75"/>
      <c r="G571" s="67"/>
      <c r="H571" s="68"/>
      <c r="I571" s="76"/>
      <c r="J571" s="67"/>
      <c r="K571" s="1"/>
      <c r="L571" s="81"/>
      <c r="M571" s="1"/>
      <c r="N571" s="468"/>
      <c r="O571" s="1"/>
      <c r="P571" s="1"/>
      <c r="Q571" s="1"/>
      <c r="R571" s="1"/>
    </row>
    <row r="572" ht="12.75" customHeight="1">
      <c r="A572" s="17"/>
      <c r="B572" s="1"/>
      <c r="C572" s="1"/>
      <c r="D572" s="150"/>
      <c r="E572" s="150"/>
      <c r="F572" s="75"/>
      <c r="G572" s="67"/>
      <c r="H572" s="68"/>
      <c r="I572" s="76"/>
      <c r="J572" s="67"/>
      <c r="K572" s="1"/>
      <c r="L572" s="81"/>
      <c r="M572" s="1"/>
      <c r="N572" s="468"/>
      <c r="O572" s="1"/>
      <c r="P572" s="1"/>
      <c r="Q572" s="1"/>
      <c r="R572" s="1"/>
    </row>
    <row r="573" ht="12.75" customHeight="1">
      <c r="A573" s="17"/>
      <c r="B573" s="1"/>
      <c r="C573" s="1"/>
      <c r="D573" s="150"/>
      <c r="E573" s="150"/>
      <c r="F573" s="75"/>
      <c r="G573" s="67"/>
      <c r="H573" s="68"/>
      <c r="I573" s="76"/>
      <c r="J573" s="67"/>
      <c r="K573" s="1"/>
      <c r="L573" s="81"/>
      <c r="M573" s="1"/>
      <c r="N573" s="468"/>
      <c r="O573" s="1"/>
      <c r="P573" s="1"/>
      <c r="Q573" s="1"/>
      <c r="R573" s="1"/>
    </row>
    <row r="574" ht="12.75" customHeight="1">
      <c r="A574" s="17"/>
      <c r="B574" s="1"/>
      <c r="C574" s="1"/>
      <c r="D574" s="150"/>
      <c r="E574" s="150"/>
      <c r="F574" s="75"/>
      <c r="G574" s="67"/>
      <c r="H574" s="68"/>
      <c r="I574" s="76"/>
      <c r="J574" s="67"/>
      <c r="K574" s="1"/>
      <c r="L574" s="81"/>
      <c r="M574" s="1"/>
      <c r="N574" s="468"/>
      <c r="O574" s="1"/>
      <c r="P574" s="1"/>
      <c r="Q574" s="1"/>
      <c r="R574" s="1"/>
    </row>
    <row r="575" ht="12.75" customHeight="1">
      <c r="A575" s="17"/>
      <c r="B575" s="1"/>
      <c r="C575" s="1"/>
      <c r="D575" s="150"/>
      <c r="E575" s="150"/>
      <c r="F575" s="75"/>
      <c r="G575" s="67"/>
      <c r="H575" s="68"/>
      <c r="I575" s="76"/>
      <c r="J575" s="67"/>
      <c r="K575" s="1"/>
      <c r="L575" s="81"/>
      <c r="M575" s="1"/>
      <c r="N575" s="468"/>
      <c r="O575" s="1"/>
      <c r="P575" s="1"/>
      <c r="Q575" s="1"/>
      <c r="R575" s="1"/>
    </row>
    <row r="576" ht="12.75" customHeight="1">
      <c r="A576" s="17"/>
      <c r="B576" s="1"/>
      <c r="C576" s="1"/>
      <c r="D576" s="150"/>
      <c r="E576" s="150"/>
      <c r="F576" s="75"/>
      <c r="G576" s="67"/>
      <c r="H576" s="68"/>
      <c r="I576" s="76"/>
      <c r="J576" s="67"/>
      <c r="K576" s="1"/>
      <c r="L576" s="81"/>
      <c r="M576" s="1"/>
      <c r="N576" s="468"/>
      <c r="O576" s="1"/>
      <c r="P576" s="1"/>
      <c r="Q576" s="1"/>
      <c r="R576" s="1"/>
    </row>
    <row r="577" ht="12.75" customHeight="1">
      <c r="A577" s="17"/>
      <c r="B577" s="1"/>
      <c r="C577" s="1"/>
      <c r="D577" s="150"/>
      <c r="E577" s="150"/>
      <c r="F577" s="75"/>
      <c r="G577" s="67"/>
      <c r="H577" s="68"/>
      <c r="I577" s="76"/>
      <c r="J577" s="67"/>
      <c r="K577" s="1"/>
      <c r="L577" s="81"/>
      <c r="M577" s="1"/>
      <c r="N577" s="468"/>
      <c r="O577" s="1"/>
      <c r="P577" s="1"/>
      <c r="Q577" s="1"/>
      <c r="R577" s="1"/>
    </row>
    <row r="578" ht="12.75" customHeight="1">
      <c r="A578" s="17"/>
      <c r="B578" s="1"/>
      <c r="C578" s="1"/>
      <c r="D578" s="150"/>
      <c r="E578" s="150"/>
      <c r="F578" s="75"/>
      <c r="G578" s="67"/>
      <c r="H578" s="68"/>
      <c r="I578" s="76"/>
      <c r="J578" s="67"/>
      <c r="K578" s="1"/>
      <c r="L578" s="81"/>
      <c r="M578" s="1"/>
      <c r="N578" s="468"/>
      <c r="O578" s="1"/>
      <c r="P578" s="1"/>
      <c r="Q578" s="1"/>
      <c r="R578" s="1"/>
    </row>
    <row r="579" ht="12.75" customHeight="1">
      <c r="A579" s="17"/>
      <c r="B579" s="1"/>
      <c r="C579" s="1"/>
      <c r="D579" s="150"/>
      <c r="E579" s="150"/>
      <c r="F579" s="75"/>
      <c r="G579" s="67"/>
      <c r="H579" s="68"/>
      <c r="I579" s="76"/>
      <c r="J579" s="67"/>
      <c r="K579" s="1"/>
      <c r="L579" s="81"/>
      <c r="M579" s="1"/>
      <c r="N579" s="468"/>
      <c r="O579" s="1"/>
      <c r="P579" s="1"/>
      <c r="Q579" s="1"/>
      <c r="R579" s="1"/>
    </row>
    <row r="580" ht="12.75" customHeight="1">
      <c r="A580" s="17"/>
      <c r="B580" s="1"/>
      <c r="C580" s="1"/>
      <c r="D580" s="150"/>
      <c r="E580" s="150"/>
      <c r="F580" s="75"/>
      <c r="G580" s="67"/>
      <c r="H580" s="68"/>
      <c r="I580" s="76"/>
      <c r="J580" s="67"/>
      <c r="K580" s="1"/>
      <c r="L580" s="81"/>
      <c r="M580" s="1"/>
      <c r="N580" s="468"/>
      <c r="O580" s="1"/>
      <c r="P580" s="1"/>
      <c r="Q580" s="1"/>
      <c r="R580" s="1"/>
    </row>
    <row r="581" ht="12.75" customHeight="1">
      <c r="A581" s="17"/>
      <c r="B581" s="1"/>
      <c r="C581" s="1"/>
      <c r="D581" s="150"/>
      <c r="E581" s="150"/>
      <c r="F581" s="75"/>
      <c r="G581" s="67"/>
      <c r="H581" s="68"/>
      <c r="I581" s="76"/>
      <c r="J581" s="67"/>
      <c r="K581" s="1"/>
      <c r="L581" s="81"/>
      <c r="M581" s="1"/>
      <c r="N581" s="468"/>
      <c r="O581" s="1"/>
      <c r="P581" s="1"/>
      <c r="Q581" s="1"/>
      <c r="R581" s="1"/>
    </row>
    <row r="582" ht="12.75" customHeight="1">
      <c r="A582" s="17"/>
      <c r="B582" s="1"/>
      <c r="C582" s="1"/>
      <c r="D582" s="150"/>
      <c r="E582" s="150"/>
      <c r="F582" s="75"/>
      <c r="G582" s="67"/>
      <c r="H582" s="68"/>
      <c r="I582" s="76"/>
      <c r="J582" s="67"/>
      <c r="K582" s="1"/>
      <c r="L582" s="81"/>
      <c r="M582" s="1"/>
      <c r="N582" s="468"/>
      <c r="O582" s="1"/>
      <c r="P582" s="1"/>
      <c r="Q582" s="1"/>
      <c r="R582" s="1"/>
    </row>
    <row r="583" ht="12.75" customHeight="1">
      <c r="A583" s="17"/>
      <c r="B583" s="1"/>
      <c r="C583" s="1"/>
      <c r="D583" s="150"/>
      <c r="E583" s="150"/>
      <c r="F583" s="75"/>
      <c r="G583" s="67"/>
      <c r="H583" s="68"/>
      <c r="I583" s="76"/>
      <c r="J583" s="67"/>
      <c r="K583" s="1"/>
      <c r="L583" s="81"/>
      <c r="M583" s="1"/>
      <c r="N583" s="468"/>
      <c r="O583" s="1"/>
      <c r="P583" s="1"/>
      <c r="Q583" s="1"/>
      <c r="R583" s="1"/>
    </row>
    <row r="584" ht="12.75" customHeight="1">
      <c r="A584" s="17"/>
      <c r="B584" s="1"/>
      <c r="C584" s="1"/>
      <c r="D584" s="150"/>
      <c r="E584" s="150"/>
      <c r="F584" s="75"/>
      <c r="G584" s="67"/>
      <c r="H584" s="68"/>
      <c r="I584" s="76"/>
      <c r="J584" s="67"/>
      <c r="K584" s="1"/>
      <c r="L584" s="81"/>
      <c r="M584" s="1"/>
      <c r="N584" s="468"/>
      <c r="O584" s="1"/>
      <c r="P584" s="1"/>
      <c r="Q584" s="1"/>
      <c r="R584" s="1"/>
    </row>
    <row r="585" ht="12.75" customHeight="1">
      <c r="A585" s="17"/>
      <c r="B585" s="1"/>
      <c r="C585" s="1"/>
      <c r="D585" s="150"/>
      <c r="E585" s="150"/>
      <c r="F585" s="75"/>
      <c r="G585" s="67"/>
      <c r="H585" s="68"/>
      <c r="I585" s="76"/>
      <c r="J585" s="67"/>
      <c r="K585" s="1"/>
      <c r="L585" s="81"/>
      <c r="M585" s="1"/>
      <c r="N585" s="468"/>
      <c r="O585" s="1"/>
      <c r="P585" s="1"/>
      <c r="Q585" s="1"/>
      <c r="R585" s="1"/>
    </row>
    <row r="586" ht="12.75" customHeight="1">
      <c r="A586" s="17"/>
      <c r="B586" s="1"/>
      <c r="C586" s="1"/>
      <c r="D586" s="150"/>
      <c r="E586" s="150"/>
      <c r="F586" s="75"/>
      <c r="G586" s="67"/>
      <c r="H586" s="68"/>
      <c r="I586" s="76"/>
      <c r="J586" s="67"/>
      <c r="K586" s="1"/>
      <c r="L586" s="81"/>
      <c r="M586" s="1"/>
      <c r="N586" s="468"/>
      <c r="O586" s="1"/>
      <c r="P586" s="1"/>
      <c r="Q586" s="1"/>
      <c r="R586" s="1"/>
    </row>
    <row r="587" ht="12.75" customHeight="1">
      <c r="A587" s="17"/>
      <c r="B587" s="1"/>
      <c r="C587" s="1"/>
      <c r="D587" s="150"/>
      <c r="E587" s="150"/>
      <c r="F587" s="75"/>
      <c r="G587" s="67"/>
      <c r="H587" s="68"/>
      <c r="I587" s="76"/>
      <c r="J587" s="67"/>
      <c r="K587" s="1"/>
      <c r="L587" s="81"/>
      <c r="M587" s="1"/>
      <c r="N587" s="468"/>
      <c r="O587" s="1"/>
      <c r="P587" s="1"/>
      <c r="Q587" s="1"/>
      <c r="R587" s="1"/>
    </row>
    <row r="588" ht="12.75" customHeight="1">
      <c r="A588" s="17"/>
      <c r="B588" s="1"/>
      <c r="C588" s="1"/>
      <c r="D588" s="150"/>
      <c r="E588" s="150"/>
      <c r="F588" s="75"/>
      <c r="G588" s="67"/>
      <c r="H588" s="68"/>
      <c r="I588" s="76"/>
      <c r="J588" s="67"/>
      <c r="K588" s="1"/>
      <c r="L588" s="81"/>
      <c r="M588" s="1"/>
      <c r="N588" s="468"/>
      <c r="O588" s="1"/>
      <c r="P588" s="1"/>
      <c r="Q588" s="1"/>
      <c r="R588" s="1"/>
    </row>
    <row r="589" ht="12.75" customHeight="1">
      <c r="A589" s="17"/>
      <c r="B589" s="1"/>
      <c r="C589" s="1"/>
      <c r="D589" s="150"/>
      <c r="E589" s="150"/>
      <c r="F589" s="75"/>
      <c r="G589" s="67"/>
      <c r="H589" s="68"/>
      <c r="I589" s="76"/>
      <c r="J589" s="67"/>
      <c r="K589" s="1"/>
      <c r="L589" s="81"/>
      <c r="M589" s="1"/>
      <c r="N589" s="468"/>
      <c r="O589" s="1"/>
      <c r="P589" s="1"/>
      <c r="Q589" s="1"/>
      <c r="R589" s="1"/>
    </row>
    <row r="590" ht="12.75" customHeight="1">
      <c r="A590" s="17"/>
      <c r="B590" s="1"/>
      <c r="C590" s="1"/>
      <c r="D590" s="150"/>
      <c r="E590" s="150"/>
      <c r="F590" s="75"/>
      <c r="G590" s="67"/>
      <c r="H590" s="68"/>
      <c r="I590" s="76"/>
      <c r="J590" s="67"/>
      <c r="K590" s="1"/>
      <c r="L590" s="81"/>
      <c r="M590" s="1"/>
      <c r="N590" s="468"/>
      <c r="O590" s="1"/>
      <c r="P590" s="1"/>
      <c r="Q590" s="1"/>
      <c r="R590" s="1"/>
    </row>
    <row r="591" ht="12.75" customHeight="1">
      <c r="A591" s="17"/>
      <c r="B591" s="1"/>
      <c r="C591" s="1"/>
      <c r="D591" s="150"/>
      <c r="E591" s="150"/>
      <c r="F591" s="75"/>
      <c r="G591" s="67"/>
      <c r="H591" s="68"/>
      <c r="I591" s="76"/>
      <c r="J591" s="67"/>
      <c r="K591" s="1"/>
      <c r="L591" s="81"/>
      <c r="M591" s="1"/>
      <c r="N591" s="468"/>
      <c r="O591" s="1"/>
      <c r="P591" s="1"/>
      <c r="Q591" s="1"/>
      <c r="R591" s="1"/>
    </row>
    <row r="592" ht="12.75" customHeight="1">
      <c r="A592" s="17"/>
      <c r="B592" s="1"/>
      <c r="C592" s="1"/>
      <c r="D592" s="150"/>
      <c r="E592" s="150"/>
      <c r="F592" s="75"/>
      <c r="G592" s="67"/>
      <c r="H592" s="68"/>
      <c r="I592" s="76"/>
      <c r="J592" s="67"/>
      <c r="K592" s="1"/>
      <c r="L592" s="81"/>
      <c r="M592" s="1"/>
      <c r="N592" s="468"/>
      <c r="O592" s="1"/>
      <c r="P592" s="1"/>
      <c r="Q592" s="1"/>
      <c r="R592" s="1"/>
    </row>
    <row r="593" ht="12.75" customHeight="1">
      <c r="A593" s="17"/>
      <c r="B593" s="1"/>
      <c r="C593" s="1"/>
      <c r="D593" s="150"/>
      <c r="E593" s="150"/>
      <c r="F593" s="75"/>
      <c r="G593" s="67"/>
      <c r="H593" s="68"/>
      <c r="I593" s="76"/>
      <c r="J593" s="67"/>
      <c r="K593" s="1"/>
      <c r="L593" s="81"/>
      <c r="M593" s="1"/>
      <c r="N593" s="468"/>
      <c r="O593" s="1"/>
      <c r="P593" s="1"/>
      <c r="Q593" s="1"/>
      <c r="R593" s="1"/>
    </row>
    <row r="594" ht="12.75" customHeight="1">
      <c r="A594" s="17"/>
      <c r="B594" s="1"/>
      <c r="C594" s="1"/>
      <c r="D594" s="150"/>
      <c r="E594" s="150"/>
      <c r="F594" s="75"/>
      <c r="G594" s="67"/>
      <c r="H594" s="68"/>
      <c r="I594" s="76"/>
      <c r="J594" s="67"/>
      <c r="K594" s="1"/>
      <c r="L594" s="81"/>
      <c r="M594" s="1"/>
      <c r="N594" s="468"/>
      <c r="O594" s="1"/>
      <c r="P594" s="1"/>
      <c r="Q594" s="1"/>
      <c r="R594" s="1"/>
    </row>
    <row r="595" ht="12.75" customHeight="1">
      <c r="A595" s="17"/>
      <c r="B595" s="1"/>
      <c r="C595" s="1"/>
      <c r="D595" s="150"/>
      <c r="E595" s="150"/>
      <c r="F595" s="75"/>
      <c r="G595" s="67"/>
      <c r="H595" s="68"/>
      <c r="I595" s="76"/>
      <c r="J595" s="67"/>
      <c r="K595" s="1"/>
      <c r="L595" s="81"/>
      <c r="M595" s="1"/>
      <c r="N595" s="468"/>
      <c r="O595" s="1"/>
      <c r="P595" s="1"/>
      <c r="Q595" s="1"/>
      <c r="R595" s="1"/>
    </row>
    <row r="596" ht="12.75" customHeight="1">
      <c r="A596" s="17"/>
      <c r="B596" s="1"/>
      <c r="C596" s="1"/>
      <c r="D596" s="150"/>
      <c r="E596" s="150"/>
      <c r="F596" s="75"/>
      <c r="G596" s="67"/>
      <c r="H596" s="68"/>
      <c r="I596" s="76"/>
      <c r="J596" s="67"/>
      <c r="K596" s="1"/>
      <c r="L596" s="81"/>
      <c r="M596" s="1"/>
      <c r="N596" s="468"/>
      <c r="O596" s="1"/>
      <c r="P596" s="1"/>
      <c r="Q596" s="1"/>
      <c r="R596" s="1"/>
    </row>
    <row r="597" ht="12.75" customHeight="1">
      <c r="A597" s="17"/>
      <c r="B597" s="1"/>
      <c r="C597" s="1"/>
      <c r="D597" s="150"/>
      <c r="E597" s="150"/>
      <c r="F597" s="75"/>
      <c r="G597" s="67"/>
      <c r="H597" s="68"/>
      <c r="I597" s="76"/>
      <c r="J597" s="67"/>
      <c r="K597" s="1"/>
      <c r="L597" s="81"/>
      <c r="M597" s="1"/>
      <c r="N597" s="468"/>
      <c r="O597" s="1"/>
      <c r="P597" s="1"/>
      <c r="Q597" s="1"/>
      <c r="R597" s="1"/>
    </row>
    <row r="598" ht="12.75" customHeight="1">
      <c r="A598" s="17"/>
      <c r="B598" s="1"/>
      <c r="C598" s="1"/>
      <c r="D598" s="150"/>
      <c r="E598" s="150"/>
      <c r="F598" s="75"/>
      <c r="G598" s="67"/>
      <c r="H598" s="68"/>
      <c r="I598" s="76"/>
      <c r="J598" s="67"/>
      <c r="K598" s="1"/>
      <c r="L598" s="81"/>
      <c r="M598" s="1"/>
      <c r="N598" s="468"/>
      <c r="O598" s="1"/>
      <c r="P598" s="1"/>
      <c r="Q598" s="1"/>
      <c r="R598" s="1"/>
    </row>
    <row r="599" ht="12.75" customHeight="1">
      <c r="A599" s="17"/>
      <c r="B599" s="1"/>
      <c r="C599" s="1"/>
      <c r="D599" s="150"/>
      <c r="E599" s="150"/>
      <c r="F599" s="75"/>
      <c r="G599" s="67"/>
      <c r="H599" s="68"/>
      <c r="I599" s="76"/>
      <c r="J599" s="67"/>
      <c r="K599" s="1"/>
      <c r="L599" s="81"/>
      <c r="M599" s="1"/>
      <c r="N599" s="468"/>
      <c r="O599" s="1"/>
      <c r="P599" s="1"/>
      <c r="Q599" s="1"/>
      <c r="R599" s="1"/>
    </row>
    <row r="600" ht="12.75" customHeight="1">
      <c r="A600" s="17"/>
      <c r="B600" s="1"/>
      <c r="C600" s="1"/>
      <c r="D600" s="150"/>
      <c r="E600" s="150"/>
      <c r="F600" s="75"/>
      <c r="G600" s="67"/>
      <c r="H600" s="68"/>
      <c r="I600" s="76"/>
      <c r="J600" s="67"/>
      <c r="K600" s="1"/>
      <c r="L600" s="81"/>
      <c r="M600" s="1"/>
      <c r="N600" s="468"/>
      <c r="O600" s="1"/>
      <c r="P600" s="1"/>
      <c r="Q600" s="1"/>
      <c r="R600" s="1"/>
    </row>
    <row r="601" ht="12.75" customHeight="1">
      <c r="A601" s="17"/>
      <c r="B601" s="1"/>
      <c r="C601" s="1"/>
      <c r="D601" s="150"/>
      <c r="E601" s="150"/>
      <c r="F601" s="75"/>
      <c r="G601" s="67"/>
      <c r="H601" s="68"/>
      <c r="I601" s="76"/>
      <c r="J601" s="67"/>
      <c r="K601" s="1"/>
      <c r="L601" s="81"/>
      <c r="M601" s="1"/>
      <c r="N601" s="468"/>
      <c r="O601" s="1"/>
      <c r="P601" s="1"/>
      <c r="Q601" s="1"/>
      <c r="R601" s="1"/>
    </row>
    <row r="602" ht="12.75" customHeight="1">
      <c r="A602" s="17"/>
      <c r="B602" s="1"/>
      <c r="C602" s="1"/>
      <c r="D602" s="150"/>
      <c r="E602" s="150"/>
      <c r="F602" s="75"/>
      <c r="G602" s="67"/>
      <c r="H602" s="68"/>
      <c r="I602" s="76"/>
      <c r="J602" s="67"/>
      <c r="K602" s="1"/>
      <c r="L602" s="81"/>
      <c r="M602" s="1"/>
      <c r="N602" s="468"/>
      <c r="O602" s="1"/>
      <c r="P602" s="1"/>
      <c r="Q602" s="1"/>
      <c r="R602" s="1"/>
    </row>
    <row r="603" ht="12.75" customHeight="1">
      <c r="A603" s="17"/>
      <c r="B603" s="1"/>
      <c r="C603" s="1"/>
      <c r="D603" s="150"/>
      <c r="E603" s="150"/>
      <c r="F603" s="75"/>
      <c r="G603" s="67"/>
      <c r="H603" s="68"/>
      <c r="I603" s="76"/>
      <c r="J603" s="67"/>
      <c r="K603" s="1"/>
      <c r="L603" s="81"/>
      <c r="M603" s="1"/>
      <c r="N603" s="468"/>
      <c r="O603" s="1"/>
      <c r="P603" s="1"/>
      <c r="Q603" s="1"/>
      <c r="R603" s="1"/>
    </row>
    <row r="604" ht="12.75" customHeight="1">
      <c r="A604" s="17"/>
      <c r="B604" s="1"/>
      <c r="C604" s="1"/>
      <c r="D604" s="150"/>
      <c r="E604" s="150"/>
      <c r="F604" s="75"/>
      <c r="G604" s="67"/>
      <c r="H604" s="68"/>
      <c r="I604" s="76"/>
      <c r="J604" s="67"/>
      <c r="K604" s="1"/>
      <c r="L604" s="81"/>
      <c r="M604" s="1"/>
      <c r="N604" s="468"/>
      <c r="O604" s="1"/>
      <c r="P604" s="1"/>
      <c r="Q604" s="1"/>
      <c r="R604" s="1"/>
    </row>
    <row r="605" ht="12.75" customHeight="1">
      <c r="A605" s="17"/>
      <c r="B605" s="1"/>
      <c r="C605" s="1"/>
      <c r="D605" s="150"/>
      <c r="E605" s="150"/>
      <c r="F605" s="75"/>
      <c r="G605" s="67"/>
      <c r="H605" s="68"/>
      <c r="I605" s="76"/>
      <c r="J605" s="67"/>
      <c r="K605" s="1"/>
      <c r="L605" s="81"/>
      <c r="M605" s="1"/>
      <c r="N605" s="468"/>
      <c r="O605" s="1"/>
      <c r="P605" s="1"/>
      <c r="Q605" s="1"/>
      <c r="R605" s="1"/>
    </row>
    <row r="606" ht="12.75" customHeight="1">
      <c r="A606" s="17"/>
      <c r="B606" s="1"/>
      <c r="C606" s="1"/>
      <c r="D606" s="150"/>
      <c r="E606" s="150"/>
      <c r="F606" s="75"/>
      <c r="G606" s="67"/>
      <c r="H606" s="68"/>
      <c r="I606" s="76"/>
      <c r="J606" s="67"/>
      <c r="K606" s="1"/>
      <c r="L606" s="81"/>
      <c r="M606" s="1"/>
      <c r="N606" s="468"/>
      <c r="O606" s="1"/>
      <c r="P606" s="1"/>
      <c r="Q606" s="1"/>
      <c r="R606" s="1"/>
    </row>
    <row r="607" ht="12.75" customHeight="1">
      <c r="A607" s="17"/>
      <c r="B607" s="1"/>
      <c r="C607" s="1"/>
      <c r="D607" s="150"/>
      <c r="E607" s="150"/>
      <c r="F607" s="75"/>
      <c r="G607" s="67"/>
      <c r="H607" s="68"/>
      <c r="I607" s="76"/>
      <c r="J607" s="67"/>
      <c r="K607" s="1"/>
      <c r="L607" s="81"/>
      <c r="M607" s="1"/>
      <c r="N607" s="468"/>
      <c r="O607" s="1"/>
      <c r="P607" s="1"/>
      <c r="Q607" s="1"/>
      <c r="R607" s="1"/>
    </row>
    <row r="608" ht="12.75" customHeight="1">
      <c r="A608" s="17"/>
      <c r="B608" s="1"/>
      <c r="C608" s="1"/>
      <c r="D608" s="150"/>
      <c r="E608" s="150"/>
      <c r="F608" s="75"/>
      <c r="G608" s="67"/>
      <c r="H608" s="68"/>
      <c r="I608" s="76"/>
      <c r="J608" s="67"/>
      <c r="K608" s="1"/>
      <c r="L608" s="81"/>
      <c r="M608" s="1"/>
      <c r="N608" s="468"/>
      <c r="O608" s="1"/>
      <c r="P608" s="1"/>
      <c r="Q608" s="1"/>
      <c r="R608" s="1"/>
    </row>
    <row r="609" ht="12.75" customHeight="1">
      <c r="A609" s="17"/>
      <c r="B609" s="1"/>
      <c r="C609" s="1"/>
      <c r="D609" s="150"/>
      <c r="E609" s="150"/>
      <c r="F609" s="75"/>
      <c r="G609" s="67"/>
      <c r="H609" s="68"/>
      <c r="I609" s="76"/>
      <c r="J609" s="67"/>
      <c r="K609" s="1"/>
      <c r="L609" s="81"/>
      <c r="M609" s="1"/>
      <c r="N609" s="468"/>
      <c r="O609" s="1"/>
      <c r="P609" s="1"/>
      <c r="Q609" s="1"/>
      <c r="R609" s="1"/>
    </row>
    <row r="610" ht="12.75" customHeight="1">
      <c r="A610" s="17"/>
      <c r="B610" s="1"/>
      <c r="C610" s="1"/>
      <c r="D610" s="150"/>
      <c r="E610" s="150"/>
      <c r="F610" s="75"/>
      <c r="G610" s="67"/>
      <c r="H610" s="68"/>
      <c r="I610" s="76"/>
      <c r="J610" s="67"/>
      <c r="K610" s="1"/>
      <c r="L610" s="81"/>
      <c r="M610" s="1"/>
      <c r="N610" s="468"/>
      <c r="O610" s="1"/>
      <c r="P610" s="1"/>
      <c r="Q610" s="1"/>
      <c r="R610" s="1"/>
    </row>
    <row r="611" ht="12.75" customHeight="1">
      <c r="A611" s="17"/>
      <c r="B611" s="1"/>
      <c r="C611" s="1"/>
      <c r="D611" s="150"/>
      <c r="E611" s="150"/>
      <c r="F611" s="75"/>
      <c r="G611" s="67"/>
      <c r="H611" s="68"/>
      <c r="I611" s="76"/>
      <c r="J611" s="67"/>
      <c r="K611" s="1"/>
      <c r="L611" s="81"/>
      <c r="M611" s="1"/>
      <c r="N611" s="468"/>
      <c r="O611" s="1"/>
      <c r="P611" s="1"/>
      <c r="Q611" s="1"/>
      <c r="R611" s="1"/>
    </row>
    <row r="612" ht="12.75" customHeight="1">
      <c r="A612" s="17"/>
      <c r="B612" s="1"/>
      <c r="C612" s="1"/>
      <c r="D612" s="150"/>
      <c r="E612" s="150"/>
      <c r="F612" s="75"/>
      <c r="G612" s="67"/>
      <c r="H612" s="68"/>
      <c r="I612" s="76"/>
      <c r="J612" s="67"/>
      <c r="K612" s="1"/>
      <c r="L612" s="81"/>
      <c r="M612" s="1"/>
      <c r="N612" s="468"/>
      <c r="O612" s="1"/>
      <c r="P612" s="1"/>
      <c r="Q612" s="1"/>
      <c r="R612" s="1"/>
    </row>
    <row r="613" ht="12.75" customHeight="1">
      <c r="A613" s="17"/>
      <c r="B613" s="1"/>
      <c r="C613" s="1"/>
      <c r="D613" s="150"/>
      <c r="E613" s="150"/>
      <c r="F613" s="75"/>
      <c r="G613" s="67"/>
      <c r="H613" s="68"/>
      <c r="I613" s="76"/>
      <c r="J613" s="67"/>
      <c r="K613" s="1"/>
      <c r="L613" s="81"/>
      <c r="M613" s="1"/>
      <c r="N613" s="468"/>
      <c r="O613" s="1"/>
      <c r="P613" s="1"/>
      <c r="Q613" s="1"/>
      <c r="R613" s="1"/>
    </row>
    <row r="614" ht="12.75" customHeight="1">
      <c r="A614" s="17"/>
      <c r="B614" s="1"/>
      <c r="C614" s="1"/>
      <c r="D614" s="150"/>
      <c r="E614" s="150"/>
      <c r="F614" s="75"/>
      <c r="G614" s="67"/>
      <c r="H614" s="68"/>
      <c r="I614" s="76"/>
      <c r="J614" s="67"/>
      <c r="K614" s="1"/>
      <c r="L614" s="81"/>
      <c r="M614" s="1"/>
      <c r="N614" s="468"/>
      <c r="O614" s="1"/>
      <c r="P614" s="1"/>
      <c r="Q614" s="1"/>
      <c r="R614" s="1"/>
    </row>
    <row r="615" ht="12.75" customHeight="1">
      <c r="A615" s="17"/>
      <c r="B615" s="1"/>
      <c r="C615" s="1"/>
      <c r="D615" s="150"/>
      <c r="E615" s="150"/>
      <c r="F615" s="75"/>
      <c r="G615" s="67"/>
      <c r="H615" s="68"/>
      <c r="I615" s="76"/>
      <c r="J615" s="67"/>
      <c r="K615" s="1"/>
      <c r="L615" s="81"/>
      <c r="M615" s="1"/>
      <c r="N615" s="468"/>
      <c r="O615" s="1"/>
      <c r="P615" s="1"/>
      <c r="Q615" s="1"/>
      <c r="R615" s="1"/>
    </row>
    <row r="616" ht="12.75" customHeight="1">
      <c r="A616" s="17"/>
      <c r="B616" s="1"/>
      <c r="C616" s="1"/>
      <c r="D616" s="150"/>
      <c r="E616" s="150"/>
      <c r="F616" s="75"/>
      <c r="G616" s="67"/>
      <c r="H616" s="68"/>
      <c r="I616" s="76"/>
      <c r="J616" s="67"/>
      <c r="K616" s="1"/>
      <c r="L616" s="81"/>
      <c r="M616" s="1"/>
      <c r="N616" s="468"/>
      <c r="O616" s="1"/>
      <c r="P616" s="1"/>
      <c r="Q616" s="1"/>
      <c r="R616" s="1"/>
    </row>
    <row r="617" ht="12.75" customHeight="1">
      <c r="A617" s="17"/>
      <c r="B617" s="1"/>
      <c r="C617" s="1"/>
      <c r="D617" s="150"/>
      <c r="E617" s="150"/>
      <c r="F617" s="75"/>
      <c r="G617" s="67"/>
      <c r="H617" s="68"/>
      <c r="I617" s="76"/>
      <c r="J617" s="67"/>
      <c r="K617" s="1"/>
      <c r="L617" s="81"/>
      <c r="M617" s="1"/>
      <c r="N617" s="468"/>
      <c r="O617" s="1"/>
      <c r="P617" s="1"/>
      <c r="Q617" s="1"/>
      <c r="R617" s="1"/>
    </row>
    <row r="618" ht="12.75" customHeight="1">
      <c r="A618" s="17"/>
      <c r="B618" s="1"/>
      <c r="C618" s="1"/>
      <c r="D618" s="150"/>
      <c r="E618" s="150"/>
      <c r="F618" s="75"/>
      <c r="G618" s="67"/>
      <c r="H618" s="68"/>
      <c r="I618" s="76"/>
      <c r="J618" s="67"/>
      <c r="K618" s="1"/>
      <c r="L618" s="81"/>
      <c r="M618" s="1"/>
      <c r="N618" s="468"/>
      <c r="O618" s="1"/>
      <c r="P618" s="1"/>
      <c r="Q618" s="1"/>
      <c r="R618" s="1"/>
    </row>
    <row r="619" ht="12.75" customHeight="1">
      <c r="A619" s="17"/>
      <c r="B619" s="1"/>
      <c r="C619" s="1"/>
      <c r="D619" s="150"/>
      <c r="E619" s="150"/>
      <c r="F619" s="75"/>
      <c r="G619" s="67"/>
      <c r="H619" s="68"/>
      <c r="I619" s="76"/>
      <c r="J619" s="67"/>
      <c r="K619" s="1"/>
      <c r="L619" s="81"/>
      <c r="M619" s="1"/>
      <c r="N619" s="468"/>
      <c r="O619" s="1"/>
      <c r="P619" s="1"/>
      <c r="Q619" s="1"/>
      <c r="R619" s="1"/>
    </row>
    <row r="620" ht="12.75" customHeight="1">
      <c r="A620" s="17"/>
      <c r="B620" s="1"/>
      <c r="C620" s="1"/>
      <c r="D620" s="150"/>
      <c r="E620" s="150"/>
      <c r="F620" s="75"/>
      <c r="G620" s="67"/>
      <c r="H620" s="68"/>
      <c r="I620" s="76"/>
      <c r="J620" s="67"/>
      <c r="K620" s="1"/>
      <c r="L620" s="81"/>
      <c r="M620" s="1"/>
      <c r="N620" s="468"/>
      <c r="O620" s="1"/>
      <c r="P620" s="1"/>
      <c r="Q620" s="1"/>
      <c r="R620" s="1"/>
    </row>
    <row r="621" ht="12.75" customHeight="1">
      <c r="A621" s="17"/>
      <c r="B621" s="1"/>
      <c r="C621" s="1"/>
      <c r="D621" s="150"/>
      <c r="E621" s="150"/>
      <c r="F621" s="75"/>
      <c r="G621" s="67"/>
      <c r="H621" s="68"/>
      <c r="I621" s="76"/>
      <c r="J621" s="67"/>
      <c r="K621" s="1"/>
      <c r="L621" s="81"/>
      <c r="M621" s="1"/>
      <c r="N621" s="468"/>
      <c r="O621" s="1"/>
      <c r="P621" s="1"/>
      <c r="Q621" s="1"/>
      <c r="R621" s="1"/>
    </row>
    <row r="622" ht="12.75" customHeight="1">
      <c r="A622" s="17"/>
      <c r="B622" s="1"/>
      <c r="C622" s="1"/>
      <c r="D622" s="150"/>
      <c r="E622" s="150"/>
      <c r="F622" s="75"/>
      <c r="G622" s="67"/>
      <c r="H622" s="68"/>
      <c r="I622" s="76"/>
      <c r="J622" s="67"/>
      <c r="K622" s="1"/>
      <c r="L622" s="81"/>
      <c r="M622" s="1"/>
      <c r="N622" s="468"/>
      <c r="O622" s="1"/>
      <c r="P622" s="1"/>
      <c r="Q622" s="1"/>
      <c r="R622" s="1"/>
    </row>
    <row r="623" ht="12.75" customHeight="1">
      <c r="A623" s="17"/>
      <c r="B623" s="1"/>
      <c r="C623" s="1"/>
      <c r="D623" s="150"/>
      <c r="E623" s="150"/>
      <c r="F623" s="75"/>
      <c r="G623" s="67"/>
      <c r="H623" s="68"/>
      <c r="I623" s="76"/>
      <c r="J623" s="67"/>
      <c r="K623" s="1"/>
      <c r="L623" s="81"/>
      <c r="M623" s="1"/>
      <c r="N623" s="468"/>
      <c r="O623" s="1"/>
      <c r="P623" s="1"/>
      <c r="Q623" s="1"/>
      <c r="R623" s="1"/>
    </row>
    <row r="624" ht="12.75" customHeight="1">
      <c r="A624" s="17"/>
      <c r="B624" s="1"/>
      <c r="C624" s="1"/>
      <c r="D624" s="150"/>
      <c r="E624" s="150"/>
      <c r="F624" s="75"/>
      <c r="G624" s="67"/>
      <c r="H624" s="68"/>
      <c r="I624" s="76"/>
      <c r="J624" s="67"/>
      <c r="K624" s="1"/>
      <c r="L624" s="81"/>
      <c r="M624" s="1"/>
      <c r="N624" s="468"/>
      <c r="O624" s="1"/>
      <c r="P624" s="1"/>
      <c r="Q624" s="1"/>
      <c r="R624" s="1"/>
    </row>
    <row r="625" ht="12.75" customHeight="1">
      <c r="A625" s="17"/>
      <c r="B625" s="1"/>
      <c r="C625" s="1"/>
      <c r="D625" s="150"/>
      <c r="E625" s="150"/>
      <c r="F625" s="75"/>
      <c r="G625" s="67"/>
      <c r="H625" s="68"/>
      <c r="I625" s="76"/>
      <c r="J625" s="67"/>
      <c r="K625" s="1"/>
      <c r="L625" s="81"/>
      <c r="M625" s="1"/>
      <c r="N625" s="468"/>
      <c r="O625" s="1"/>
      <c r="P625" s="1"/>
      <c r="Q625" s="1"/>
      <c r="R625" s="1"/>
    </row>
    <row r="626" ht="12.75" customHeight="1">
      <c r="A626" s="17"/>
      <c r="B626" s="1"/>
      <c r="C626" s="1"/>
      <c r="D626" s="150"/>
      <c r="E626" s="150"/>
      <c r="F626" s="75"/>
      <c r="G626" s="67"/>
      <c r="H626" s="68"/>
      <c r="I626" s="76"/>
      <c r="J626" s="67"/>
      <c r="K626" s="1"/>
      <c r="L626" s="81"/>
      <c r="M626" s="1"/>
      <c r="N626" s="468"/>
      <c r="O626" s="1"/>
      <c r="P626" s="1"/>
      <c r="Q626" s="1"/>
      <c r="R626" s="1"/>
    </row>
    <row r="627" ht="12.75" customHeight="1">
      <c r="A627" s="17"/>
      <c r="B627" s="1"/>
      <c r="C627" s="1"/>
      <c r="D627" s="150"/>
      <c r="E627" s="150"/>
      <c r="F627" s="75"/>
      <c r="G627" s="67"/>
      <c r="H627" s="68"/>
      <c r="I627" s="76"/>
      <c r="J627" s="67"/>
      <c r="K627" s="1"/>
      <c r="L627" s="81"/>
      <c r="M627" s="1"/>
      <c r="N627" s="468"/>
      <c r="O627" s="1"/>
      <c r="P627" s="1"/>
      <c r="Q627" s="1"/>
      <c r="R627" s="1"/>
    </row>
    <row r="628" ht="12.75" customHeight="1">
      <c r="A628" s="17"/>
      <c r="B628" s="1"/>
      <c r="C628" s="1"/>
      <c r="D628" s="150"/>
      <c r="E628" s="150"/>
      <c r="F628" s="75"/>
      <c r="G628" s="67"/>
      <c r="H628" s="68"/>
      <c r="I628" s="76"/>
      <c r="J628" s="67"/>
      <c r="K628" s="1"/>
      <c r="L628" s="81"/>
      <c r="M628" s="1"/>
      <c r="N628" s="468"/>
      <c r="O628" s="1"/>
      <c r="P628" s="1"/>
      <c r="Q628" s="1"/>
      <c r="R628" s="1"/>
    </row>
    <row r="629" ht="12.75" customHeight="1">
      <c r="A629" s="17"/>
      <c r="B629" s="1"/>
      <c r="C629" s="1"/>
      <c r="D629" s="150"/>
      <c r="E629" s="150"/>
      <c r="F629" s="75"/>
      <c r="G629" s="67"/>
      <c r="H629" s="68"/>
      <c r="I629" s="76"/>
      <c r="J629" s="67"/>
      <c r="K629" s="1"/>
      <c r="L629" s="81"/>
      <c r="M629" s="1"/>
      <c r="N629" s="468"/>
      <c r="O629" s="1"/>
      <c r="P629" s="1"/>
      <c r="Q629" s="1"/>
      <c r="R629" s="1"/>
    </row>
    <row r="630" ht="12.75" customHeight="1">
      <c r="A630" s="17"/>
      <c r="B630" s="1"/>
      <c r="C630" s="1"/>
      <c r="D630" s="150"/>
      <c r="E630" s="150"/>
      <c r="F630" s="75"/>
      <c r="G630" s="67"/>
      <c r="H630" s="68"/>
      <c r="I630" s="76"/>
      <c r="J630" s="67"/>
      <c r="K630" s="1"/>
      <c r="L630" s="81"/>
      <c r="M630" s="1"/>
      <c r="N630" s="468"/>
      <c r="O630" s="1"/>
      <c r="P630" s="1"/>
      <c r="Q630" s="1"/>
      <c r="R630" s="1"/>
    </row>
    <row r="631" ht="12.75" customHeight="1">
      <c r="A631" s="17"/>
      <c r="B631" s="1"/>
      <c r="C631" s="1"/>
      <c r="D631" s="150"/>
      <c r="E631" s="150"/>
      <c r="F631" s="75"/>
      <c r="G631" s="67"/>
      <c r="H631" s="68"/>
      <c r="I631" s="76"/>
      <c r="J631" s="67"/>
      <c r="K631" s="1"/>
      <c r="L631" s="81"/>
      <c r="M631" s="1"/>
      <c r="N631" s="468"/>
      <c r="O631" s="1"/>
      <c r="P631" s="1"/>
      <c r="Q631" s="1"/>
      <c r="R631" s="1"/>
    </row>
    <row r="632" ht="12.75" customHeight="1">
      <c r="A632" s="17"/>
      <c r="B632" s="1"/>
      <c r="C632" s="1"/>
      <c r="D632" s="150"/>
      <c r="E632" s="150"/>
      <c r="F632" s="75"/>
      <c r="G632" s="67"/>
      <c r="H632" s="68"/>
      <c r="I632" s="76"/>
      <c r="J632" s="67"/>
      <c r="K632" s="1"/>
      <c r="L632" s="81"/>
      <c r="M632" s="1"/>
      <c r="N632" s="468"/>
      <c r="O632" s="1"/>
      <c r="P632" s="1"/>
      <c r="Q632" s="1"/>
      <c r="R632" s="1"/>
    </row>
    <row r="633" ht="12.75" customHeight="1">
      <c r="A633" s="17"/>
      <c r="B633" s="1"/>
      <c r="C633" s="1"/>
      <c r="D633" s="150"/>
      <c r="E633" s="150"/>
      <c r="F633" s="75"/>
      <c r="G633" s="67"/>
      <c r="H633" s="68"/>
      <c r="I633" s="76"/>
      <c r="J633" s="67"/>
      <c r="K633" s="1"/>
      <c r="L633" s="81"/>
      <c r="M633" s="1"/>
      <c r="N633" s="468"/>
      <c r="O633" s="1"/>
      <c r="P633" s="1"/>
      <c r="Q633" s="1"/>
      <c r="R633" s="1"/>
    </row>
    <row r="634" ht="12.75" customHeight="1">
      <c r="A634" s="17"/>
      <c r="B634" s="1"/>
      <c r="C634" s="1"/>
      <c r="D634" s="150"/>
      <c r="E634" s="150"/>
      <c r="F634" s="75"/>
      <c r="G634" s="67"/>
      <c r="H634" s="68"/>
      <c r="I634" s="76"/>
      <c r="J634" s="67"/>
      <c r="K634" s="1"/>
      <c r="L634" s="81"/>
      <c r="M634" s="1"/>
      <c r="N634" s="468"/>
      <c r="O634" s="1"/>
      <c r="P634" s="1"/>
      <c r="Q634" s="1"/>
      <c r="R634" s="1"/>
    </row>
    <row r="635" ht="12.75" customHeight="1">
      <c r="A635" s="17"/>
      <c r="B635" s="1"/>
      <c r="C635" s="1"/>
      <c r="D635" s="150"/>
      <c r="E635" s="150"/>
      <c r="F635" s="75"/>
      <c r="G635" s="67"/>
      <c r="H635" s="68"/>
      <c r="I635" s="76"/>
      <c r="J635" s="67"/>
      <c r="K635" s="1"/>
      <c r="L635" s="81"/>
      <c r="M635" s="1"/>
      <c r="N635" s="468"/>
      <c r="O635" s="1"/>
      <c r="P635" s="1"/>
      <c r="Q635" s="1"/>
      <c r="R635" s="1"/>
    </row>
    <row r="636" ht="12.75" customHeight="1">
      <c r="A636" s="17"/>
      <c r="B636" s="1"/>
      <c r="C636" s="1"/>
      <c r="D636" s="150"/>
      <c r="E636" s="150"/>
      <c r="F636" s="75"/>
      <c r="G636" s="67"/>
      <c r="H636" s="68"/>
      <c r="I636" s="76"/>
      <c r="J636" s="67"/>
      <c r="K636" s="1"/>
      <c r="L636" s="81"/>
      <c r="M636" s="1"/>
      <c r="N636" s="468"/>
      <c r="O636" s="1"/>
      <c r="P636" s="1"/>
      <c r="Q636" s="1"/>
      <c r="R636" s="1"/>
    </row>
    <row r="637" ht="12.75" customHeight="1">
      <c r="A637" s="17"/>
      <c r="B637" s="1"/>
      <c r="C637" s="1"/>
      <c r="D637" s="150"/>
      <c r="E637" s="150"/>
      <c r="F637" s="75"/>
      <c r="G637" s="67"/>
      <c r="H637" s="68"/>
      <c r="I637" s="76"/>
      <c r="J637" s="67"/>
      <c r="K637" s="1"/>
      <c r="L637" s="81"/>
      <c r="M637" s="1"/>
      <c r="N637" s="468"/>
      <c r="O637" s="1"/>
      <c r="P637" s="1"/>
      <c r="Q637" s="1"/>
      <c r="R637" s="1"/>
    </row>
    <row r="638" ht="12.75" customHeight="1">
      <c r="A638" s="17"/>
      <c r="B638" s="1"/>
      <c r="C638" s="1"/>
      <c r="D638" s="150"/>
      <c r="E638" s="150"/>
      <c r="F638" s="75"/>
      <c r="G638" s="67"/>
      <c r="H638" s="68"/>
      <c r="I638" s="76"/>
      <c r="J638" s="67"/>
      <c r="K638" s="1"/>
      <c r="L638" s="81"/>
      <c r="M638" s="1"/>
      <c r="N638" s="468"/>
      <c r="O638" s="1"/>
      <c r="P638" s="1"/>
      <c r="Q638" s="1"/>
      <c r="R638" s="1"/>
    </row>
    <row r="639" ht="12.75" customHeight="1">
      <c r="A639" s="17"/>
      <c r="B639" s="1"/>
      <c r="C639" s="1"/>
      <c r="D639" s="150"/>
      <c r="E639" s="150"/>
      <c r="F639" s="75"/>
      <c r="G639" s="67"/>
      <c r="H639" s="68"/>
      <c r="I639" s="76"/>
      <c r="J639" s="67"/>
      <c r="K639" s="1"/>
      <c r="L639" s="81"/>
      <c r="M639" s="1"/>
      <c r="N639" s="468"/>
      <c r="O639" s="1"/>
      <c r="P639" s="1"/>
      <c r="Q639" s="1"/>
      <c r="R639" s="1"/>
    </row>
    <row r="640" ht="12.75" customHeight="1">
      <c r="A640" s="17"/>
      <c r="B640" s="1"/>
      <c r="C640" s="1"/>
      <c r="D640" s="150"/>
      <c r="E640" s="150"/>
      <c r="F640" s="75"/>
      <c r="G640" s="67"/>
      <c r="H640" s="68"/>
      <c r="I640" s="76"/>
      <c r="J640" s="67"/>
      <c r="K640" s="1"/>
      <c r="L640" s="81"/>
      <c r="M640" s="1"/>
      <c r="N640" s="468"/>
      <c r="O640" s="1"/>
      <c r="P640" s="1"/>
      <c r="Q640" s="1"/>
      <c r="R640" s="1"/>
    </row>
    <row r="641" ht="12.75" customHeight="1">
      <c r="A641" s="17"/>
      <c r="B641" s="1"/>
      <c r="C641" s="1"/>
      <c r="D641" s="150"/>
      <c r="E641" s="150"/>
      <c r="F641" s="75"/>
      <c r="G641" s="67"/>
      <c r="H641" s="68"/>
      <c r="I641" s="76"/>
      <c r="J641" s="67"/>
      <c r="K641" s="1"/>
      <c r="L641" s="81"/>
      <c r="M641" s="1"/>
      <c r="N641" s="468"/>
      <c r="O641" s="1"/>
      <c r="P641" s="1"/>
      <c r="Q641" s="1"/>
      <c r="R641" s="1"/>
    </row>
    <row r="642" ht="12.75" customHeight="1">
      <c r="A642" s="17"/>
      <c r="B642" s="1"/>
      <c r="C642" s="1"/>
      <c r="D642" s="150"/>
      <c r="E642" s="150"/>
      <c r="F642" s="75"/>
      <c r="G642" s="67"/>
      <c r="H642" s="68"/>
      <c r="I642" s="76"/>
      <c r="J642" s="67"/>
      <c r="K642" s="1"/>
      <c r="L642" s="81"/>
      <c r="M642" s="1"/>
      <c r="N642" s="468"/>
      <c r="O642" s="1"/>
      <c r="P642" s="1"/>
      <c r="Q642" s="1"/>
      <c r="R642" s="1"/>
    </row>
    <row r="643" ht="12.75" customHeight="1">
      <c r="A643" s="17"/>
      <c r="B643" s="1"/>
      <c r="C643" s="1"/>
      <c r="D643" s="150"/>
      <c r="E643" s="150"/>
      <c r="F643" s="75"/>
      <c r="G643" s="67"/>
      <c r="H643" s="68"/>
      <c r="I643" s="76"/>
      <c r="J643" s="67"/>
      <c r="K643" s="1"/>
      <c r="L643" s="81"/>
      <c r="M643" s="1"/>
      <c r="N643" s="468"/>
      <c r="O643" s="1"/>
      <c r="P643" s="1"/>
      <c r="Q643" s="1"/>
      <c r="R643" s="1"/>
    </row>
    <row r="644" ht="12.75" customHeight="1">
      <c r="A644" s="17"/>
      <c r="B644" s="1"/>
      <c r="C644" s="1"/>
      <c r="D644" s="150"/>
      <c r="E644" s="150"/>
      <c r="F644" s="75"/>
      <c r="G644" s="67"/>
      <c r="H644" s="68"/>
      <c r="I644" s="76"/>
      <c r="J644" s="67"/>
      <c r="K644" s="1"/>
      <c r="L644" s="81"/>
      <c r="M644" s="1"/>
      <c r="N644" s="468"/>
      <c r="O644" s="1"/>
      <c r="P644" s="1"/>
      <c r="Q644" s="1"/>
      <c r="R644" s="1"/>
    </row>
    <row r="645" ht="12.75" customHeight="1">
      <c r="A645" s="17"/>
      <c r="B645" s="1"/>
      <c r="C645" s="1"/>
      <c r="D645" s="150"/>
      <c r="E645" s="150"/>
      <c r="F645" s="75"/>
      <c r="G645" s="67"/>
      <c r="H645" s="68"/>
      <c r="I645" s="76"/>
      <c r="J645" s="67"/>
      <c r="K645" s="1"/>
      <c r="L645" s="81"/>
      <c r="M645" s="1"/>
      <c r="N645" s="468"/>
      <c r="O645" s="1"/>
      <c r="P645" s="1"/>
      <c r="Q645" s="1"/>
      <c r="R645" s="1"/>
    </row>
    <row r="646" ht="12.75" customHeight="1">
      <c r="A646" s="17"/>
      <c r="B646" s="1"/>
      <c r="C646" s="1"/>
      <c r="D646" s="150"/>
      <c r="E646" s="150"/>
      <c r="F646" s="75"/>
      <c r="G646" s="67"/>
      <c r="H646" s="68"/>
      <c r="I646" s="76"/>
      <c r="J646" s="67"/>
      <c r="K646" s="1"/>
      <c r="L646" s="81"/>
      <c r="M646" s="1"/>
      <c r="N646" s="468"/>
      <c r="O646" s="1"/>
      <c r="P646" s="1"/>
      <c r="Q646" s="1"/>
      <c r="R646" s="1"/>
    </row>
    <row r="647" ht="12.75" customHeight="1">
      <c r="A647" s="17"/>
      <c r="B647" s="1"/>
      <c r="C647" s="1"/>
      <c r="D647" s="150"/>
      <c r="E647" s="150"/>
      <c r="F647" s="75"/>
      <c r="G647" s="67"/>
      <c r="H647" s="68"/>
      <c r="I647" s="76"/>
      <c r="J647" s="67"/>
      <c r="K647" s="1"/>
      <c r="L647" s="81"/>
      <c r="M647" s="1"/>
      <c r="N647" s="468"/>
      <c r="O647" s="1"/>
      <c r="P647" s="1"/>
      <c r="Q647" s="1"/>
      <c r="R647" s="1"/>
    </row>
    <row r="648" ht="12.75" customHeight="1">
      <c r="A648" s="17"/>
      <c r="B648" s="1"/>
      <c r="C648" s="1"/>
      <c r="D648" s="150"/>
      <c r="E648" s="150"/>
      <c r="F648" s="75"/>
      <c r="G648" s="67"/>
      <c r="H648" s="68"/>
      <c r="I648" s="76"/>
      <c r="J648" s="67"/>
      <c r="K648" s="1"/>
      <c r="L648" s="81"/>
      <c r="M648" s="1"/>
      <c r="N648" s="468"/>
      <c r="O648" s="1"/>
      <c r="P648" s="1"/>
      <c r="Q648" s="1"/>
      <c r="R648" s="1"/>
    </row>
    <row r="649" ht="12.75" customHeight="1">
      <c r="A649" s="17"/>
      <c r="B649" s="1"/>
      <c r="C649" s="1"/>
      <c r="D649" s="150"/>
      <c r="E649" s="150"/>
      <c r="F649" s="75"/>
      <c r="G649" s="67"/>
      <c r="H649" s="68"/>
      <c r="I649" s="76"/>
      <c r="J649" s="67"/>
      <c r="K649" s="1"/>
      <c r="L649" s="81"/>
      <c r="M649" s="1"/>
      <c r="N649" s="468"/>
      <c r="O649" s="1"/>
      <c r="P649" s="1"/>
      <c r="Q649" s="1"/>
      <c r="R649" s="1"/>
    </row>
    <row r="650" ht="12.75" customHeight="1">
      <c r="A650" s="17"/>
      <c r="B650" s="1"/>
      <c r="C650" s="1"/>
      <c r="D650" s="150"/>
      <c r="E650" s="150"/>
      <c r="F650" s="75"/>
      <c r="G650" s="67"/>
      <c r="H650" s="68"/>
      <c r="I650" s="76"/>
      <c r="J650" s="67"/>
      <c r="K650" s="1"/>
      <c r="L650" s="81"/>
      <c r="M650" s="1"/>
      <c r="N650" s="468"/>
      <c r="O650" s="1"/>
      <c r="P650" s="1"/>
      <c r="Q650" s="1"/>
      <c r="R650" s="1"/>
    </row>
    <row r="651" ht="12.75" customHeight="1">
      <c r="A651" s="17"/>
      <c r="B651" s="1"/>
      <c r="C651" s="1"/>
      <c r="D651" s="150"/>
      <c r="E651" s="150"/>
      <c r="F651" s="75"/>
      <c r="G651" s="67"/>
      <c r="H651" s="68"/>
      <c r="I651" s="76"/>
      <c r="J651" s="67"/>
      <c r="K651" s="1"/>
      <c r="L651" s="81"/>
      <c r="M651" s="1"/>
      <c r="N651" s="468"/>
      <c r="O651" s="1"/>
      <c r="P651" s="1"/>
      <c r="Q651" s="1"/>
      <c r="R651" s="1"/>
    </row>
    <row r="652" ht="12.75" customHeight="1">
      <c r="A652" s="17"/>
      <c r="B652" s="1"/>
      <c r="C652" s="1"/>
      <c r="D652" s="150"/>
      <c r="E652" s="150"/>
      <c r="F652" s="75"/>
      <c r="G652" s="67"/>
      <c r="H652" s="68"/>
      <c r="I652" s="76"/>
      <c r="J652" s="67"/>
      <c r="K652" s="1"/>
      <c r="L652" s="81"/>
      <c r="M652" s="1"/>
      <c r="N652" s="468"/>
      <c r="O652" s="1"/>
      <c r="P652" s="1"/>
      <c r="Q652" s="1"/>
      <c r="R652" s="1"/>
    </row>
    <row r="653" ht="12.75" customHeight="1">
      <c r="A653" s="17"/>
      <c r="B653" s="1"/>
      <c r="C653" s="1"/>
      <c r="D653" s="150"/>
      <c r="E653" s="150"/>
      <c r="F653" s="75"/>
      <c r="G653" s="67"/>
      <c r="H653" s="68"/>
      <c r="I653" s="76"/>
      <c r="J653" s="67"/>
      <c r="K653" s="1"/>
      <c r="L653" s="81"/>
      <c r="M653" s="1"/>
      <c r="N653" s="468"/>
      <c r="O653" s="1"/>
      <c r="P653" s="1"/>
      <c r="Q653" s="1"/>
      <c r="R653" s="1"/>
    </row>
    <row r="654" ht="12.75" customHeight="1">
      <c r="A654" s="17"/>
      <c r="B654" s="1"/>
      <c r="C654" s="1"/>
      <c r="D654" s="150"/>
      <c r="E654" s="150"/>
      <c r="F654" s="75"/>
      <c r="G654" s="67"/>
      <c r="H654" s="68"/>
      <c r="I654" s="76"/>
      <c r="J654" s="67"/>
      <c r="K654" s="1"/>
      <c r="L654" s="81"/>
      <c r="M654" s="1"/>
      <c r="N654" s="468"/>
      <c r="O654" s="1"/>
      <c r="P654" s="1"/>
      <c r="Q654" s="1"/>
      <c r="R654" s="1"/>
    </row>
    <row r="655" ht="12.75" customHeight="1">
      <c r="A655" s="17"/>
      <c r="B655" s="1"/>
      <c r="C655" s="1"/>
      <c r="D655" s="150"/>
      <c r="E655" s="150"/>
      <c r="F655" s="75"/>
      <c r="G655" s="67"/>
      <c r="H655" s="68"/>
      <c r="I655" s="76"/>
      <c r="J655" s="67"/>
      <c r="K655" s="1"/>
      <c r="L655" s="81"/>
      <c r="M655" s="1"/>
      <c r="N655" s="468"/>
      <c r="O655" s="1"/>
      <c r="P655" s="1"/>
      <c r="Q655" s="1"/>
      <c r="R655" s="1"/>
    </row>
    <row r="656" ht="12.75" customHeight="1">
      <c r="A656" s="17"/>
      <c r="B656" s="1"/>
      <c r="C656" s="1"/>
      <c r="D656" s="150"/>
      <c r="E656" s="150"/>
      <c r="F656" s="75"/>
      <c r="G656" s="67"/>
      <c r="H656" s="68"/>
      <c r="I656" s="76"/>
      <c r="J656" s="67"/>
      <c r="K656" s="1"/>
      <c r="L656" s="81"/>
      <c r="M656" s="1"/>
      <c r="N656" s="468"/>
      <c r="O656" s="1"/>
      <c r="P656" s="1"/>
      <c r="Q656" s="1"/>
      <c r="R656" s="1"/>
    </row>
    <row r="657" ht="12.75" customHeight="1">
      <c r="A657" s="17"/>
      <c r="B657" s="1"/>
      <c r="C657" s="1"/>
      <c r="D657" s="150"/>
      <c r="E657" s="150"/>
      <c r="F657" s="75"/>
      <c r="G657" s="67"/>
      <c r="H657" s="68"/>
      <c r="I657" s="76"/>
      <c r="J657" s="67"/>
      <c r="K657" s="1"/>
      <c r="L657" s="81"/>
      <c r="M657" s="1"/>
      <c r="N657" s="468"/>
      <c r="O657" s="1"/>
      <c r="P657" s="1"/>
      <c r="Q657" s="1"/>
      <c r="R657" s="1"/>
    </row>
    <row r="658" ht="12.75" customHeight="1">
      <c r="A658" s="17"/>
      <c r="B658" s="1"/>
      <c r="C658" s="1"/>
      <c r="D658" s="150"/>
      <c r="E658" s="150"/>
      <c r="F658" s="75"/>
      <c r="G658" s="67"/>
      <c r="H658" s="68"/>
      <c r="I658" s="76"/>
      <c r="J658" s="67"/>
      <c r="K658" s="1"/>
      <c r="L658" s="81"/>
      <c r="M658" s="1"/>
      <c r="N658" s="468"/>
      <c r="O658" s="1"/>
      <c r="P658" s="1"/>
      <c r="Q658" s="1"/>
      <c r="R658" s="1"/>
    </row>
    <row r="659" ht="12.75" customHeight="1">
      <c r="A659" s="17"/>
      <c r="B659" s="1"/>
      <c r="C659" s="1"/>
      <c r="D659" s="150"/>
      <c r="E659" s="150"/>
      <c r="F659" s="75"/>
      <c r="G659" s="67"/>
      <c r="H659" s="68"/>
      <c r="I659" s="76"/>
      <c r="J659" s="67"/>
      <c r="K659" s="1"/>
      <c r="L659" s="81"/>
      <c r="M659" s="1"/>
      <c r="N659" s="468"/>
      <c r="O659" s="1"/>
      <c r="P659" s="1"/>
      <c r="Q659" s="1"/>
      <c r="R659" s="1"/>
    </row>
    <row r="660" ht="12.75" customHeight="1">
      <c r="A660" s="17"/>
      <c r="B660" s="1"/>
      <c r="C660" s="1"/>
      <c r="D660" s="150"/>
      <c r="E660" s="150"/>
      <c r="F660" s="75"/>
      <c r="G660" s="67"/>
      <c r="H660" s="68"/>
      <c r="I660" s="76"/>
      <c r="J660" s="67"/>
      <c r="K660" s="1"/>
      <c r="L660" s="81"/>
      <c r="M660" s="1"/>
      <c r="N660" s="468"/>
      <c r="O660" s="1"/>
      <c r="P660" s="1"/>
      <c r="Q660" s="1"/>
      <c r="R660" s="1"/>
    </row>
    <row r="661" ht="12.75" customHeight="1">
      <c r="A661" s="17"/>
      <c r="B661" s="1"/>
      <c r="C661" s="1"/>
      <c r="D661" s="150"/>
      <c r="E661" s="150"/>
      <c r="F661" s="75"/>
      <c r="G661" s="67"/>
      <c r="H661" s="68"/>
      <c r="I661" s="76"/>
      <c r="J661" s="67"/>
      <c r="K661" s="1"/>
      <c r="L661" s="81"/>
      <c r="M661" s="1"/>
      <c r="N661" s="468"/>
      <c r="O661" s="1"/>
      <c r="P661" s="1"/>
      <c r="Q661" s="1"/>
      <c r="R661" s="1"/>
    </row>
    <row r="662" ht="12.75" customHeight="1">
      <c r="A662" s="17"/>
      <c r="B662" s="1"/>
      <c r="C662" s="1"/>
      <c r="D662" s="150"/>
      <c r="E662" s="150"/>
      <c r="F662" s="75"/>
      <c r="G662" s="67"/>
      <c r="H662" s="68"/>
      <c r="I662" s="76"/>
      <c r="J662" s="67"/>
      <c r="K662" s="1"/>
      <c r="L662" s="81"/>
      <c r="M662" s="1"/>
      <c r="N662" s="468"/>
      <c r="O662" s="1"/>
      <c r="P662" s="1"/>
      <c r="Q662" s="1"/>
      <c r="R662" s="1"/>
    </row>
    <row r="663" ht="12.75" customHeight="1">
      <c r="A663" s="17"/>
      <c r="B663" s="1"/>
      <c r="C663" s="1"/>
      <c r="D663" s="150"/>
      <c r="E663" s="150"/>
      <c r="F663" s="75"/>
      <c r="G663" s="67"/>
      <c r="H663" s="68"/>
      <c r="I663" s="76"/>
      <c r="J663" s="67"/>
      <c r="K663" s="1"/>
      <c r="L663" s="81"/>
      <c r="M663" s="1"/>
      <c r="N663" s="468"/>
      <c r="O663" s="1"/>
      <c r="P663" s="1"/>
      <c r="Q663" s="1"/>
      <c r="R663" s="1"/>
    </row>
    <row r="664" ht="12.75" customHeight="1">
      <c r="A664" s="17"/>
      <c r="B664" s="1"/>
      <c r="C664" s="1"/>
      <c r="D664" s="150"/>
      <c r="E664" s="150"/>
      <c r="F664" s="75"/>
      <c r="G664" s="67"/>
      <c r="H664" s="68"/>
      <c r="I664" s="76"/>
      <c r="J664" s="67"/>
      <c r="K664" s="1"/>
      <c r="L664" s="81"/>
      <c r="M664" s="1"/>
      <c r="N664" s="468"/>
      <c r="O664" s="1"/>
      <c r="P664" s="1"/>
      <c r="Q664" s="1"/>
      <c r="R664" s="1"/>
    </row>
    <row r="665" ht="12.75" customHeight="1">
      <c r="A665" s="17"/>
      <c r="B665" s="1"/>
      <c r="C665" s="1"/>
      <c r="D665" s="150"/>
      <c r="E665" s="150"/>
      <c r="F665" s="75"/>
      <c r="G665" s="67"/>
      <c r="H665" s="68"/>
      <c r="I665" s="76"/>
      <c r="J665" s="67"/>
      <c r="K665" s="1"/>
      <c r="L665" s="81"/>
      <c r="M665" s="1"/>
      <c r="N665" s="468"/>
      <c r="O665" s="1"/>
      <c r="P665" s="1"/>
      <c r="Q665" s="1"/>
      <c r="R665" s="1"/>
    </row>
    <row r="666" ht="12.75" customHeight="1">
      <c r="A666" s="17"/>
      <c r="B666" s="1"/>
      <c r="C666" s="1"/>
      <c r="D666" s="150"/>
      <c r="E666" s="150"/>
      <c r="F666" s="75"/>
      <c r="G666" s="67"/>
      <c r="H666" s="68"/>
      <c r="I666" s="76"/>
      <c r="J666" s="67"/>
      <c r="K666" s="1"/>
      <c r="L666" s="81"/>
      <c r="M666" s="1"/>
      <c r="N666" s="468"/>
      <c r="O666" s="1"/>
      <c r="P666" s="1"/>
      <c r="Q666" s="1"/>
      <c r="R666" s="1"/>
    </row>
    <row r="667" ht="12.75" customHeight="1">
      <c r="A667" s="17"/>
      <c r="B667" s="1"/>
      <c r="C667" s="1"/>
      <c r="D667" s="150"/>
      <c r="E667" s="150"/>
      <c r="F667" s="75"/>
      <c r="G667" s="67"/>
      <c r="H667" s="68"/>
      <c r="I667" s="76"/>
      <c r="J667" s="67"/>
      <c r="K667" s="1"/>
      <c r="L667" s="81"/>
      <c r="M667" s="1"/>
      <c r="N667" s="468"/>
      <c r="O667" s="1"/>
      <c r="P667" s="1"/>
      <c r="Q667" s="1"/>
      <c r="R667" s="1"/>
    </row>
    <row r="668" ht="12.75" customHeight="1">
      <c r="A668" s="17"/>
      <c r="B668" s="1"/>
      <c r="C668" s="1"/>
      <c r="D668" s="150"/>
      <c r="E668" s="150"/>
      <c r="F668" s="75"/>
      <c r="G668" s="67"/>
      <c r="H668" s="68"/>
      <c r="I668" s="76"/>
      <c r="J668" s="67"/>
      <c r="K668" s="1"/>
      <c r="L668" s="81"/>
      <c r="M668" s="1"/>
      <c r="N668" s="468"/>
      <c r="O668" s="1"/>
      <c r="P668" s="1"/>
      <c r="Q668" s="1"/>
      <c r="R668" s="1"/>
    </row>
    <row r="669" ht="12.75" customHeight="1">
      <c r="A669" s="17"/>
      <c r="B669" s="1"/>
      <c r="C669" s="1"/>
      <c r="D669" s="150"/>
      <c r="E669" s="150"/>
      <c r="F669" s="75"/>
      <c r="G669" s="67"/>
      <c r="H669" s="68"/>
      <c r="I669" s="76"/>
      <c r="J669" s="67"/>
      <c r="K669" s="1"/>
      <c r="L669" s="81"/>
      <c r="M669" s="1"/>
      <c r="N669" s="468"/>
      <c r="O669" s="1"/>
      <c r="P669" s="1"/>
      <c r="Q669" s="1"/>
      <c r="R669" s="1"/>
    </row>
    <row r="670" ht="12.75" customHeight="1">
      <c r="A670" s="17"/>
      <c r="B670" s="1"/>
      <c r="C670" s="1"/>
      <c r="D670" s="150"/>
      <c r="E670" s="150"/>
      <c r="F670" s="75"/>
      <c r="G670" s="67"/>
      <c r="H670" s="68"/>
      <c r="I670" s="76"/>
      <c r="J670" s="67"/>
      <c r="K670" s="1"/>
      <c r="L670" s="81"/>
      <c r="M670" s="1"/>
      <c r="N670" s="468"/>
      <c r="O670" s="1"/>
      <c r="P670" s="1"/>
      <c r="Q670" s="1"/>
      <c r="R670" s="1"/>
    </row>
    <row r="671" ht="12.75" customHeight="1">
      <c r="A671" s="17"/>
      <c r="B671" s="1"/>
      <c r="C671" s="1"/>
      <c r="D671" s="150"/>
      <c r="E671" s="150"/>
      <c r="F671" s="75"/>
      <c r="G671" s="67"/>
      <c r="H671" s="68"/>
      <c r="I671" s="76"/>
      <c r="J671" s="67"/>
      <c r="K671" s="1"/>
      <c r="L671" s="81"/>
      <c r="M671" s="1"/>
      <c r="N671" s="468"/>
      <c r="O671" s="1"/>
      <c r="P671" s="1"/>
      <c r="Q671" s="1"/>
      <c r="R671" s="1"/>
    </row>
    <row r="672" ht="12.75" customHeight="1">
      <c r="A672" s="17"/>
      <c r="B672" s="1"/>
      <c r="C672" s="1"/>
      <c r="D672" s="150"/>
      <c r="E672" s="150"/>
      <c r="F672" s="75"/>
      <c r="G672" s="67"/>
      <c r="H672" s="68"/>
      <c r="I672" s="76"/>
      <c r="J672" s="67"/>
      <c r="K672" s="1"/>
      <c r="L672" s="81"/>
      <c r="M672" s="1"/>
      <c r="N672" s="468"/>
      <c r="O672" s="1"/>
      <c r="P672" s="1"/>
      <c r="Q672" s="1"/>
      <c r="R672" s="1"/>
    </row>
    <row r="673" ht="12.75" customHeight="1">
      <c r="A673" s="17"/>
      <c r="B673" s="1"/>
      <c r="C673" s="1"/>
      <c r="D673" s="150"/>
      <c r="E673" s="150"/>
      <c r="F673" s="75"/>
      <c r="G673" s="67"/>
      <c r="H673" s="68"/>
      <c r="I673" s="76"/>
      <c r="J673" s="67"/>
      <c r="K673" s="1"/>
      <c r="L673" s="81"/>
      <c r="M673" s="1"/>
      <c r="N673" s="468"/>
      <c r="O673" s="1"/>
      <c r="P673" s="1"/>
      <c r="Q673" s="1"/>
      <c r="R673" s="1"/>
    </row>
    <row r="674" ht="12.75" customHeight="1">
      <c r="A674" s="17"/>
      <c r="B674" s="1"/>
      <c r="C674" s="1"/>
      <c r="D674" s="150"/>
      <c r="E674" s="150"/>
      <c r="F674" s="75"/>
      <c r="G674" s="67"/>
      <c r="H674" s="68"/>
      <c r="I674" s="76"/>
      <c r="J674" s="67"/>
      <c r="K674" s="1"/>
      <c r="L674" s="81"/>
      <c r="M674" s="1"/>
      <c r="N674" s="468"/>
      <c r="O674" s="1"/>
      <c r="P674" s="1"/>
      <c r="Q674" s="1"/>
      <c r="R674" s="1"/>
    </row>
    <row r="675" ht="12.75" customHeight="1">
      <c r="A675" s="17"/>
      <c r="B675" s="1"/>
      <c r="C675" s="1"/>
      <c r="D675" s="150"/>
      <c r="E675" s="150"/>
      <c r="F675" s="75"/>
      <c r="G675" s="67"/>
      <c r="H675" s="68"/>
      <c r="I675" s="76"/>
      <c r="J675" s="67"/>
      <c r="K675" s="1"/>
      <c r="L675" s="81"/>
      <c r="M675" s="1"/>
      <c r="N675" s="468"/>
      <c r="O675" s="1"/>
      <c r="P675" s="1"/>
      <c r="Q675" s="1"/>
      <c r="R675" s="1"/>
    </row>
    <row r="676" ht="12.75" customHeight="1">
      <c r="A676" s="17"/>
      <c r="B676" s="1"/>
      <c r="C676" s="1"/>
      <c r="D676" s="150"/>
      <c r="E676" s="150"/>
      <c r="F676" s="75"/>
      <c r="G676" s="67"/>
      <c r="H676" s="68"/>
      <c r="I676" s="76"/>
      <c r="J676" s="67"/>
      <c r="K676" s="1"/>
      <c r="L676" s="81"/>
      <c r="M676" s="1"/>
      <c r="N676" s="468"/>
      <c r="O676" s="1"/>
      <c r="P676" s="1"/>
      <c r="Q676" s="1"/>
      <c r="R676" s="1"/>
    </row>
    <row r="677" ht="12.75" customHeight="1">
      <c r="A677" s="17"/>
      <c r="B677" s="1"/>
      <c r="C677" s="1"/>
      <c r="D677" s="150"/>
      <c r="E677" s="150"/>
      <c r="F677" s="75"/>
      <c r="G677" s="67"/>
      <c r="H677" s="68"/>
      <c r="I677" s="76"/>
      <c r="J677" s="67"/>
      <c r="K677" s="1"/>
      <c r="L677" s="81"/>
      <c r="M677" s="1"/>
      <c r="N677" s="468"/>
      <c r="O677" s="1"/>
      <c r="P677" s="1"/>
      <c r="Q677" s="1"/>
      <c r="R677" s="1"/>
    </row>
    <row r="678" ht="12.75" customHeight="1">
      <c r="A678" s="17"/>
      <c r="B678" s="1"/>
      <c r="C678" s="1"/>
      <c r="D678" s="150"/>
      <c r="E678" s="150"/>
      <c r="F678" s="75"/>
      <c r="G678" s="67"/>
      <c r="H678" s="68"/>
      <c r="I678" s="76"/>
      <c r="J678" s="67"/>
      <c r="K678" s="1"/>
      <c r="L678" s="81"/>
      <c r="M678" s="1"/>
      <c r="N678" s="468"/>
      <c r="O678" s="1"/>
      <c r="P678" s="1"/>
      <c r="Q678" s="1"/>
      <c r="R678" s="1"/>
    </row>
    <row r="679" ht="12.75" customHeight="1">
      <c r="A679" s="17"/>
      <c r="B679" s="1"/>
      <c r="C679" s="1"/>
      <c r="D679" s="150"/>
      <c r="E679" s="150"/>
      <c r="F679" s="75"/>
      <c r="G679" s="67"/>
      <c r="H679" s="68"/>
      <c r="I679" s="76"/>
      <c r="J679" s="67"/>
      <c r="K679" s="1"/>
      <c r="L679" s="81"/>
      <c r="M679" s="1"/>
      <c r="N679" s="468"/>
      <c r="O679" s="1"/>
      <c r="P679" s="1"/>
      <c r="Q679" s="1"/>
      <c r="R679" s="1"/>
    </row>
    <row r="680" ht="12.75" customHeight="1">
      <c r="A680" s="17"/>
      <c r="B680" s="1"/>
      <c r="C680" s="1"/>
      <c r="D680" s="150"/>
      <c r="E680" s="150"/>
      <c r="F680" s="75"/>
      <c r="G680" s="67"/>
      <c r="H680" s="68"/>
      <c r="I680" s="76"/>
      <c r="J680" s="67"/>
      <c r="K680" s="1"/>
      <c r="L680" s="81"/>
      <c r="M680" s="1"/>
      <c r="N680" s="468"/>
      <c r="O680" s="1"/>
      <c r="P680" s="1"/>
      <c r="Q680" s="1"/>
      <c r="R680" s="1"/>
    </row>
    <row r="681" ht="12.75" customHeight="1">
      <c r="A681" s="17"/>
      <c r="B681" s="1"/>
      <c r="C681" s="1"/>
      <c r="D681" s="150"/>
      <c r="E681" s="150"/>
      <c r="F681" s="75"/>
      <c r="G681" s="67"/>
      <c r="H681" s="68"/>
      <c r="I681" s="76"/>
      <c r="J681" s="67"/>
      <c r="K681" s="1"/>
      <c r="L681" s="81"/>
      <c r="M681" s="1"/>
      <c r="N681" s="468"/>
      <c r="O681" s="1"/>
      <c r="P681" s="1"/>
      <c r="Q681" s="1"/>
      <c r="R681" s="1"/>
    </row>
    <row r="682" ht="12.75" customHeight="1">
      <c r="A682" s="17"/>
      <c r="B682" s="1"/>
      <c r="C682" s="1"/>
      <c r="D682" s="150"/>
      <c r="E682" s="150"/>
      <c r="F682" s="75"/>
      <c r="G682" s="67"/>
      <c r="H682" s="68"/>
      <c r="I682" s="76"/>
      <c r="J682" s="67"/>
      <c r="K682" s="1"/>
      <c r="L682" s="81"/>
      <c r="M682" s="1"/>
      <c r="N682" s="468"/>
      <c r="O682" s="1"/>
      <c r="P682" s="1"/>
      <c r="Q682" s="1"/>
      <c r="R682" s="1"/>
    </row>
    <row r="683" ht="12.75" customHeight="1">
      <c r="A683" s="17"/>
      <c r="B683" s="1"/>
      <c r="C683" s="1"/>
      <c r="D683" s="150"/>
      <c r="E683" s="150"/>
      <c r="F683" s="75"/>
      <c r="G683" s="67"/>
      <c r="H683" s="68"/>
      <c r="I683" s="76"/>
      <c r="J683" s="67"/>
      <c r="K683" s="1"/>
      <c r="L683" s="81"/>
      <c r="M683" s="1"/>
      <c r="N683" s="468"/>
      <c r="O683" s="1"/>
      <c r="P683" s="1"/>
      <c r="Q683" s="1"/>
      <c r="R683" s="1"/>
    </row>
    <row r="684" ht="12.75" customHeight="1">
      <c r="A684" s="17"/>
      <c r="B684" s="1"/>
      <c r="C684" s="1"/>
      <c r="D684" s="150"/>
      <c r="E684" s="150"/>
      <c r="F684" s="75"/>
      <c r="G684" s="67"/>
      <c r="H684" s="68"/>
      <c r="I684" s="76"/>
      <c r="J684" s="67"/>
      <c r="K684" s="1"/>
      <c r="L684" s="81"/>
      <c r="M684" s="1"/>
      <c r="N684" s="468"/>
      <c r="O684" s="1"/>
      <c r="P684" s="1"/>
      <c r="Q684" s="1"/>
      <c r="R684" s="1"/>
    </row>
    <row r="685" ht="12.75" customHeight="1">
      <c r="A685" s="17"/>
      <c r="B685" s="1"/>
      <c r="C685" s="1"/>
      <c r="D685" s="150"/>
      <c r="E685" s="150"/>
      <c r="F685" s="75"/>
      <c r="G685" s="67"/>
      <c r="H685" s="68"/>
      <c r="I685" s="76"/>
      <c r="J685" s="67"/>
      <c r="K685" s="1"/>
      <c r="L685" s="81"/>
      <c r="M685" s="1"/>
      <c r="N685" s="468"/>
      <c r="O685" s="1"/>
      <c r="P685" s="1"/>
      <c r="Q685" s="1"/>
      <c r="R685" s="1"/>
    </row>
    <row r="686" ht="12.75" customHeight="1">
      <c r="A686" s="17"/>
      <c r="B686" s="1"/>
      <c r="C686" s="1"/>
      <c r="D686" s="150"/>
      <c r="E686" s="150"/>
      <c r="F686" s="75"/>
      <c r="G686" s="67"/>
      <c r="H686" s="68"/>
      <c r="I686" s="76"/>
      <c r="J686" s="67"/>
      <c r="K686" s="1"/>
      <c r="L686" s="81"/>
      <c r="M686" s="1"/>
      <c r="N686" s="468"/>
      <c r="O686" s="1"/>
      <c r="P686" s="1"/>
      <c r="Q686" s="1"/>
      <c r="R686" s="1"/>
    </row>
    <row r="687" ht="12.75" customHeight="1">
      <c r="A687" s="17"/>
      <c r="B687" s="1"/>
      <c r="C687" s="1"/>
      <c r="D687" s="150"/>
      <c r="E687" s="150"/>
      <c r="F687" s="75"/>
      <c r="G687" s="67"/>
      <c r="H687" s="68"/>
      <c r="I687" s="76"/>
      <c r="J687" s="67"/>
      <c r="K687" s="1"/>
      <c r="L687" s="81"/>
      <c r="M687" s="1"/>
      <c r="N687" s="468"/>
      <c r="O687" s="1"/>
      <c r="P687" s="1"/>
      <c r="Q687" s="1"/>
      <c r="R687" s="1"/>
    </row>
    <row r="688" ht="12.75" customHeight="1">
      <c r="A688" s="17"/>
      <c r="B688" s="1"/>
      <c r="C688" s="1"/>
      <c r="D688" s="150"/>
      <c r="E688" s="150"/>
      <c r="F688" s="75"/>
      <c r="G688" s="67"/>
      <c r="H688" s="68"/>
      <c r="I688" s="76"/>
      <c r="J688" s="67"/>
      <c r="K688" s="1"/>
      <c r="L688" s="81"/>
      <c r="M688" s="1"/>
      <c r="N688" s="468"/>
      <c r="O688" s="1"/>
      <c r="P688" s="1"/>
      <c r="Q688" s="1"/>
      <c r="R688" s="1"/>
    </row>
    <row r="689" ht="12.75" customHeight="1">
      <c r="A689" s="17"/>
      <c r="B689" s="1"/>
      <c r="C689" s="1"/>
      <c r="D689" s="150"/>
      <c r="E689" s="150"/>
      <c r="F689" s="75"/>
      <c r="G689" s="67"/>
      <c r="H689" s="68"/>
      <c r="I689" s="76"/>
      <c r="J689" s="67"/>
      <c r="K689" s="1"/>
      <c r="L689" s="81"/>
      <c r="M689" s="1"/>
      <c r="N689" s="468"/>
      <c r="O689" s="1"/>
      <c r="P689" s="1"/>
      <c r="Q689" s="1"/>
      <c r="R689" s="1"/>
    </row>
    <row r="690" ht="12.75" customHeight="1">
      <c r="A690" s="17"/>
      <c r="B690" s="1"/>
      <c r="C690" s="1"/>
      <c r="D690" s="150"/>
      <c r="E690" s="150"/>
      <c r="F690" s="75"/>
      <c r="G690" s="67"/>
      <c r="H690" s="68"/>
      <c r="I690" s="76"/>
      <c r="J690" s="67"/>
      <c r="K690" s="1"/>
      <c r="L690" s="81"/>
      <c r="M690" s="1"/>
      <c r="N690" s="468"/>
      <c r="O690" s="1"/>
      <c r="P690" s="1"/>
      <c r="Q690" s="1"/>
      <c r="R690" s="1"/>
    </row>
    <row r="691" ht="12.75" customHeight="1">
      <c r="A691" s="17"/>
      <c r="B691" s="1"/>
      <c r="C691" s="1"/>
      <c r="D691" s="150"/>
      <c r="E691" s="150"/>
      <c r="F691" s="75"/>
      <c r="G691" s="67"/>
      <c r="H691" s="68"/>
      <c r="I691" s="76"/>
      <c r="J691" s="67"/>
      <c r="K691" s="1"/>
      <c r="L691" s="81"/>
      <c r="M691" s="1"/>
      <c r="N691" s="468"/>
      <c r="O691" s="1"/>
      <c r="P691" s="1"/>
      <c r="Q691" s="1"/>
      <c r="R691" s="1"/>
    </row>
    <row r="692" ht="12.75" customHeight="1">
      <c r="A692" s="17"/>
      <c r="B692" s="1"/>
      <c r="C692" s="1"/>
      <c r="D692" s="150"/>
      <c r="E692" s="150"/>
      <c r="F692" s="75"/>
      <c r="G692" s="67"/>
      <c r="H692" s="68"/>
      <c r="I692" s="76"/>
      <c r="J692" s="67"/>
      <c r="K692" s="1"/>
      <c r="L692" s="81"/>
      <c r="M692" s="1"/>
      <c r="N692" s="468"/>
      <c r="O692" s="1"/>
      <c r="P692" s="1"/>
      <c r="Q692" s="1"/>
      <c r="R692" s="1"/>
    </row>
    <row r="693" ht="12.75" customHeight="1">
      <c r="A693" s="17"/>
      <c r="B693" s="1"/>
      <c r="C693" s="1"/>
      <c r="D693" s="150"/>
      <c r="E693" s="150"/>
      <c r="F693" s="75"/>
      <c r="G693" s="67"/>
      <c r="H693" s="68"/>
      <c r="I693" s="76"/>
      <c r="J693" s="67"/>
      <c r="K693" s="1"/>
      <c r="L693" s="81"/>
      <c r="M693" s="1"/>
      <c r="N693" s="468"/>
      <c r="O693" s="1"/>
      <c r="P693" s="1"/>
      <c r="Q693" s="1"/>
      <c r="R693" s="1"/>
    </row>
    <row r="694" ht="12.75" customHeight="1">
      <c r="A694" s="17"/>
      <c r="B694" s="1"/>
      <c r="C694" s="1"/>
      <c r="D694" s="150"/>
      <c r="E694" s="150"/>
      <c r="F694" s="75"/>
      <c r="G694" s="67"/>
      <c r="H694" s="68"/>
      <c r="I694" s="76"/>
      <c r="J694" s="67"/>
      <c r="K694" s="1"/>
      <c r="L694" s="81"/>
      <c r="M694" s="1"/>
      <c r="N694" s="468"/>
      <c r="O694" s="1"/>
      <c r="P694" s="1"/>
      <c r="Q694" s="1"/>
      <c r="R694" s="1"/>
    </row>
    <row r="695" ht="12.75" customHeight="1">
      <c r="A695" s="17"/>
      <c r="B695" s="1"/>
      <c r="C695" s="1"/>
      <c r="D695" s="150"/>
      <c r="E695" s="150"/>
      <c r="F695" s="75"/>
      <c r="G695" s="67"/>
      <c r="H695" s="68"/>
      <c r="I695" s="76"/>
      <c r="J695" s="67"/>
      <c r="K695" s="1"/>
      <c r="L695" s="81"/>
      <c r="M695" s="1"/>
      <c r="N695" s="468"/>
      <c r="O695" s="1"/>
      <c r="P695" s="1"/>
      <c r="Q695" s="1"/>
      <c r="R695" s="1"/>
    </row>
    <row r="696" ht="12.75" customHeight="1">
      <c r="A696" s="17"/>
      <c r="B696" s="1"/>
      <c r="C696" s="1"/>
      <c r="D696" s="150"/>
      <c r="E696" s="150"/>
      <c r="F696" s="75"/>
      <c r="G696" s="67"/>
      <c r="H696" s="68"/>
      <c r="I696" s="76"/>
      <c r="J696" s="67"/>
      <c r="K696" s="1"/>
      <c r="L696" s="81"/>
      <c r="M696" s="1"/>
      <c r="N696" s="468"/>
      <c r="O696" s="1"/>
      <c r="P696" s="1"/>
      <c r="Q696" s="1"/>
      <c r="R696" s="1"/>
    </row>
    <row r="697" ht="12.75" customHeight="1">
      <c r="A697" s="17"/>
      <c r="B697" s="1"/>
      <c r="C697" s="1"/>
      <c r="D697" s="150"/>
      <c r="E697" s="150"/>
      <c r="F697" s="75"/>
      <c r="G697" s="67"/>
      <c r="H697" s="68"/>
      <c r="I697" s="76"/>
      <c r="J697" s="67"/>
      <c r="K697" s="1"/>
      <c r="L697" s="81"/>
      <c r="M697" s="1"/>
      <c r="N697" s="468"/>
      <c r="O697" s="1"/>
      <c r="P697" s="1"/>
      <c r="Q697" s="1"/>
      <c r="R697" s="1"/>
    </row>
    <row r="698" ht="12.75" customHeight="1">
      <c r="A698" s="17"/>
      <c r="B698" s="1"/>
      <c r="C698" s="1"/>
      <c r="D698" s="150"/>
      <c r="E698" s="150"/>
      <c r="F698" s="75"/>
      <c r="G698" s="67"/>
      <c r="H698" s="68"/>
      <c r="I698" s="76"/>
      <c r="J698" s="67"/>
      <c r="K698" s="1"/>
      <c r="L698" s="81"/>
      <c r="M698" s="1"/>
      <c r="N698" s="468"/>
      <c r="O698" s="1"/>
      <c r="P698" s="1"/>
      <c r="Q698" s="1"/>
      <c r="R698" s="1"/>
    </row>
    <row r="699" ht="12.75" customHeight="1">
      <c r="A699" s="17"/>
      <c r="B699" s="1"/>
      <c r="C699" s="1"/>
      <c r="D699" s="150"/>
      <c r="E699" s="150"/>
      <c r="F699" s="75"/>
      <c r="G699" s="67"/>
      <c r="H699" s="68"/>
      <c r="I699" s="76"/>
      <c r="J699" s="67"/>
      <c r="K699" s="1"/>
      <c r="L699" s="81"/>
      <c r="M699" s="1"/>
      <c r="N699" s="468"/>
      <c r="O699" s="1"/>
      <c r="P699" s="1"/>
      <c r="Q699" s="1"/>
      <c r="R699" s="1"/>
    </row>
    <row r="700" ht="12.75" customHeight="1">
      <c r="A700" s="17"/>
      <c r="B700" s="1"/>
      <c r="C700" s="1"/>
      <c r="D700" s="150"/>
      <c r="E700" s="150"/>
      <c r="F700" s="75"/>
      <c r="G700" s="67"/>
      <c r="H700" s="68"/>
      <c r="I700" s="76"/>
      <c r="J700" s="67"/>
      <c r="K700" s="1"/>
      <c r="L700" s="81"/>
      <c r="M700" s="1"/>
      <c r="N700" s="468"/>
      <c r="O700" s="1"/>
      <c r="P700" s="1"/>
      <c r="Q700" s="1"/>
      <c r="R700" s="1"/>
    </row>
    <row r="701" ht="12.75" customHeight="1">
      <c r="A701" s="17"/>
      <c r="B701" s="1"/>
      <c r="C701" s="1"/>
      <c r="D701" s="150"/>
      <c r="E701" s="150"/>
      <c r="F701" s="75"/>
      <c r="G701" s="67"/>
      <c r="H701" s="68"/>
      <c r="I701" s="76"/>
      <c r="J701" s="67"/>
      <c r="K701" s="1"/>
      <c r="L701" s="81"/>
      <c r="M701" s="1"/>
      <c r="N701" s="468"/>
      <c r="O701" s="1"/>
      <c r="P701" s="1"/>
      <c r="Q701" s="1"/>
      <c r="R701" s="1"/>
    </row>
    <row r="702" ht="12.75" customHeight="1">
      <c r="A702" s="17"/>
      <c r="B702" s="1"/>
      <c r="C702" s="1"/>
      <c r="D702" s="150"/>
      <c r="E702" s="150"/>
      <c r="F702" s="75"/>
      <c r="G702" s="67"/>
      <c r="H702" s="68"/>
      <c r="I702" s="76"/>
      <c r="J702" s="67"/>
      <c r="K702" s="1"/>
      <c r="L702" s="81"/>
      <c r="M702" s="1"/>
      <c r="N702" s="468"/>
      <c r="O702" s="1"/>
      <c r="P702" s="1"/>
      <c r="Q702" s="1"/>
      <c r="R702" s="1"/>
    </row>
    <row r="703" ht="12.75" customHeight="1">
      <c r="A703" s="17"/>
      <c r="B703" s="1"/>
      <c r="C703" s="1"/>
      <c r="D703" s="150"/>
      <c r="E703" s="150"/>
      <c r="F703" s="75"/>
      <c r="G703" s="67"/>
      <c r="H703" s="68"/>
      <c r="I703" s="76"/>
      <c r="J703" s="67"/>
      <c r="K703" s="1"/>
      <c r="L703" s="81"/>
      <c r="M703" s="1"/>
      <c r="N703" s="468"/>
      <c r="O703" s="1"/>
      <c r="P703" s="1"/>
      <c r="Q703" s="1"/>
      <c r="R703" s="1"/>
    </row>
    <row r="704" ht="12.75" customHeight="1">
      <c r="A704" s="17"/>
      <c r="B704" s="1"/>
      <c r="C704" s="1"/>
      <c r="D704" s="150"/>
      <c r="E704" s="150"/>
      <c r="F704" s="75"/>
      <c r="G704" s="67"/>
      <c r="H704" s="68"/>
      <c r="I704" s="76"/>
      <c r="J704" s="67"/>
      <c r="K704" s="1"/>
      <c r="L704" s="81"/>
      <c r="M704" s="1"/>
      <c r="N704" s="468"/>
      <c r="O704" s="1"/>
      <c r="P704" s="1"/>
      <c r="Q704" s="1"/>
      <c r="R704" s="1"/>
    </row>
    <row r="705" ht="12.75" customHeight="1">
      <c r="A705" s="17"/>
      <c r="B705" s="1"/>
      <c r="C705" s="1"/>
      <c r="D705" s="150"/>
      <c r="E705" s="150"/>
      <c r="F705" s="75"/>
      <c r="G705" s="67"/>
      <c r="H705" s="68"/>
      <c r="I705" s="76"/>
      <c r="J705" s="67"/>
      <c r="K705" s="1"/>
      <c r="L705" s="81"/>
      <c r="M705" s="1"/>
      <c r="N705" s="468"/>
      <c r="O705" s="1"/>
      <c r="P705" s="1"/>
      <c r="Q705" s="1"/>
      <c r="R705" s="1"/>
    </row>
    <row r="706" ht="12.75" customHeight="1">
      <c r="A706" s="17"/>
      <c r="B706" s="1"/>
      <c r="C706" s="1"/>
      <c r="D706" s="150"/>
      <c r="E706" s="150"/>
      <c r="F706" s="75"/>
      <c r="G706" s="67"/>
      <c r="H706" s="68"/>
      <c r="I706" s="76"/>
      <c r="J706" s="67"/>
      <c r="K706" s="1"/>
      <c r="L706" s="81"/>
      <c r="M706" s="1"/>
      <c r="N706" s="468"/>
      <c r="O706" s="1"/>
      <c r="P706" s="1"/>
      <c r="Q706" s="1"/>
      <c r="R706" s="1"/>
    </row>
    <row r="707" ht="12.75" customHeight="1">
      <c r="A707" s="17"/>
      <c r="B707" s="1"/>
      <c r="C707" s="1"/>
      <c r="D707" s="150"/>
      <c r="E707" s="150"/>
      <c r="F707" s="75"/>
      <c r="G707" s="67"/>
      <c r="H707" s="68"/>
      <c r="I707" s="76"/>
      <c r="J707" s="67"/>
      <c r="K707" s="1"/>
      <c r="L707" s="81"/>
      <c r="M707" s="1"/>
      <c r="N707" s="468"/>
      <c r="O707" s="1"/>
      <c r="P707" s="1"/>
      <c r="Q707" s="1"/>
      <c r="R707" s="1"/>
    </row>
    <row r="708" ht="12.75" customHeight="1">
      <c r="A708" s="17"/>
      <c r="B708" s="1"/>
      <c r="C708" s="1"/>
      <c r="D708" s="150"/>
      <c r="E708" s="150"/>
      <c r="F708" s="75"/>
      <c r="G708" s="67"/>
      <c r="H708" s="68"/>
      <c r="I708" s="76"/>
      <c r="J708" s="67"/>
      <c r="K708" s="1"/>
      <c r="L708" s="81"/>
      <c r="M708" s="1"/>
      <c r="N708" s="468"/>
      <c r="O708" s="1"/>
      <c r="P708" s="1"/>
      <c r="Q708" s="1"/>
      <c r="R708" s="1"/>
    </row>
    <row r="709" ht="12.75" customHeight="1">
      <c r="A709" s="17"/>
      <c r="B709" s="1"/>
      <c r="C709" s="1"/>
      <c r="D709" s="150"/>
      <c r="E709" s="150"/>
      <c r="F709" s="75"/>
      <c r="G709" s="67"/>
      <c r="H709" s="68"/>
      <c r="I709" s="76"/>
      <c r="J709" s="67"/>
      <c r="K709" s="1"/>
      <c r="L709" s="81"/>
      <c r="M709" s="1"/>
      <c r="N709" s="468"/>
      <c r="O709" s="1"/>
      <c r="P709" s="1"/>
      <c r="Q709" s="1"/>
      <c r="R709" s="1"/>
    </row>
    <row r="710" ht="12.75" customHeight="1">
      <c r="A710" s="17"/>
      <c r="B710" s="1"/>
      <c r="C710" s="1"/>
      <c r="D710" s="150"/>
      <c r="E710" s="150"/>
      <c r="F710" s="75"/>
      <c r="G710" s="67"/>
      <c r="H710" s="68"/>
      <c r="I710" s="76"/>
      <c r="J710" s="67"/>
      <c r="K710" s="1"/>
      <c r="L710" s="81"/>
      <c r="M710" s="1"/>
      <c r="N710" s="468"/>
      <c r="O710" s="1"/>
      <c r="P710" s="1"/>
      <c r="Q710" s="1"/>
      <c r="R710" s="1"/>
    </row>
    <row r="711" ht="12.75" customHeight="1">
      <c r="A711" s="17"/>
      <c r="B711" s="1"/>
      <c r="C711" s="1"/>
      <c r="D711" s="150"/>
      <c r="E711" s="150"/>
      <c r="F711" s="75"/>
      <c r="G711" s="67"/>
      <c r="H711" s="68"/>
      <c r="I711" s="76"/>
      <c r="J711" s="67"/>
      <c r="K711" s="1"/>
      <c r="L711" s="81"/>
      <c r="M711" s="1"/>
      <c r="N711" s="468"/>
      <c r="O711" s="1"/>
      <c r="P711" s="1"/>
      <c r="Q711" s="1"/>
      <c r="R711" s="1"/>
    </row>
    <row r="712" ht="12.75" customHeight="1">
      <c r="A712" s="17"/>
      <c r="B712" s="1"/>
      <c r="C712" s="1"/>
      <c r="D712" s="150"/>
      <c r="E712" s="150"/>
      <c r="F712" s="75"/>
      <c r="G712" s="67"/>
      <c r="H712" s="68"/>
      <c r="I712" s="76"/>
      <c r="J712" s="67"/>
      <c r="K712" s="1"/>
      <c r="L712" s="81"/>
      <c r="M712" s="1"/>
      <c r="N712" s="468"/>
      <c r="O712" s="1"/>
      <c r="P712" s="1"/>
      <c r="Q712" s="1"/>
      <c r="R712" s="1"/>
    </row>
    <row r="713" ht="12.75" customHeight="1">
      <c r="A713" s="17"/>
      <c r="B713" s="1"/>
      <c r="C713" s="1"/>
      <c r="D713" s="150"/>
      <c r="E713" s="150"/>
      <c r="F713" s="75"/>
      <c r="G713" s="67"/>
      <c r="H713" s="68"/>
      <c r="I713" s="76"/>
      <c r="J713" s="67"/>
      <c r="K713" s="1"/>
      <c r="L713" s="81"/>
      <c r="M713" s="1"/>
      <c r="N713" s="468"/>
      <c r="O713" s="1"/>
      <c r="P713" s="1"/>
      <c r="Q713" s="1"/>
      <c r="R713" s="1"/>
    </row>
    <row r="714" ht="12.75" customHeight="1">
      <c r="A714" s="17"/>
      <c r="B714" s="1"/>
      <c r="C714" s="1"/>
      <c r="D714" s="150"/>
      <c r="E714" s="150"/>
      <c r="F714" s="75"/>
      <c r="G714" s="67"/>
      <c r="H714" s="68"/>
      <c r="I714" s="76"/>
      <c r="J714" s="67"/>
      <c r="K714" s="1"/>
      <c r="L714" s="81"/>
      <c r="M714" s="1"/>
      <c r="N714" s="468"/>
      <c r="O714" s="1"/>
      <c r="P714" s="1"/>
      <c r="Q714" s="1"/>
      <c r="R714" s="1"/>
    </row>
    <row r="715" ht="12.75" customHeight="1">
      <c r="A715" s="17"/>
      <c r="B715" s="1"/>
      <c r="C715" s="1"/>
      <c r="D715" s="150"/>
      <c r="E715" s="150"/>
      <c r="F715" s="75"/>
      <c r="G715" s="67"/>
      <c r="H715" s="68"/>
      <c r="I715" s="76"/>
      <c r="J715" s="67"/>
      <c r="K715" s="1"/>
      <c r="L715" s="81"/>
      <c r="M715" s="1"/>
      <c r="N715" s="468"/>
      <c r="O715" s="1"/>
      <c r="P715" s="1"/>
      <c r="Q715" s="1"/>
      <c r="R715" s="1"/>
    </row>
    <row r="716" ht="12.75" customHeight="1">
      <c r="A716" s="17"/>
      <c r="B716" s="1"/>
      <c r="C716" s="1"/>
      <c r="D716" s="150"/>
      <c r="E716" s="150"/>
      <c r="F716" s="75"/>
      <c r="G716" s="67"/>
      <c r="H716" s="68"/>
      <c r="I716" s="76"/>
      <c r="J716" s="67"/>
      <c r="K716" s="1"/>
      <c r="L716" s="81"/>
      <c r="M716" s="1"/>
      <c r="N716" s="468"/>
      <c r="O716" s="1"/>
      <c r="P716" s="1"/>
      <c r="Q716" s="1"/>
      <c r="R716" s="1"/>
    </row>
    <row r="717" ht="12.75" customHeight="1">
      <c r="A717" s="17"/>
      <c r="B717" s="1"/>
      <c r="C717" s="1"/>
      <c r="D717" s="150"/>
      <c r="E717" s="150"/>
      <c r="F717" s="75"/>
      <c r="G717" s="67"/>
      <c r="H717" s="68"/>
      <c r="I717" s="76"/>
      <c r="J717" s="67"/>
      <c r="K717" s="1"/>
      <c r="L717" s="81"/>
      <c r="M717" s="1"/>
      <c r="N717" s="468"/>
      <c r="O717" s="1"/>
      <c r="P717" s="1"/>
      <c r="Q717" s="1"/>
      <c r="R717" s="1"/>
    </row>
    <row r="718" ht="12.75" customHeight="1">
      <c r="A718" s="17"/>
      <c r="B718" s="1"/>
      <c r="C718" s="1"/>
      <c r="D718" s="150"/>
      <c r="E718" s="150"/>
      <c r="F718" s="75"/>
      <c r="G718" s="67"/>
      <c r="H718" s="68"/>
      <c r="I718" s="76"/>
      <c r="J718" s="67"/>
      <c r="K718" s="1"/>
      <c r="L718" s="81"/>
      <c r="M718" s="1"/>
      <c r="N718" s="468"/>
      <c r="O718" s="1"/>
      <c r="P718" s="1"/>
      <c r="Q718" s="1"/>
      <c r="R718" s="1"/>
    </row>
    <row r="719" ht="12.75" customHeight="1">
      <c r="A719" s="17"/>
      <c r="B719" s="1"/>
      <c r="C719" s="1"/>
      <c r="D719" s="150"/>
      <c r="E719" s="150"/>
      <c r="F719" s="75"/>
      <c r="G719" s="67"/>
      <c r="H719" s="68"/>
      <c r="I719" s="76"/>
      <c r="J719" s="67"/>
      <c r="K719" s="1"/>
      <c r="L719" s="81"/>
      <c r="M719" s="1"/>
      <c r="N719" s="468"/>
      <c r="O719" s="1"/>
      <c r="P719" s="1"/>
      <c r="Q719" s="1"/>
      <c r="R719" s="1"/>
    </row>
    <row r="720" ht="12.75" customHeight="1">
      <c r="A720" s="17"/>
      <c r="B720" s="1"/>
      <c r="C720" s="1"/>
      <c r="D720" s="150"/>
      <c r="E720" s="150"/>
      <c r="F720" s="75"/>
      <c r="G720" s="67"/>
      <c r="H720" s="68"/>
      <c r="I720" s="76"/>
      <c r="J720" s="67"/>
      <c r="K720" s="1"/>
      <c r="L720" s="81"/>
      <c r="M720" s="1"/>
      <c r="N720" s="468"/>
      <c r="O720" s="1"/>
      <c r="P720" s="1"/>
      <c r="Q720" s="1"/>
      <c r="R720" s="1"/>
    </row>
    <row r="721" ht="12.75" customHeight="1">
      <c r="A721" s="17"/>
      <c r="B721" s="1"/>
      <c r="C721" s="1"/>
      <c r="D721" s="150"/>
      <c r="E721" s="150"/>
      <c r="F721" s="75"/>
      <c r="G721" s="67"/>
      <c r="H721" s="68"/>
      <c r="I721" s="76"/>
      <c r="J721" s="67"/>
      <c r="K721" s="1"/>
      <c r="L721" s="81"/>
      <c r="M721" s="1"/>
      <c r="N721" s="468"/>
      <c r="O721" s="1"/>
      <c r="P721" s="1"/>
      <c r="Q721" s="1"/>
      <c r="R721" s="1"/>
    </row>
    <row r="722" ht="12.75" customHeight="1">
      <c r="A722" s="17"/>
      <c r="B722" s="1"/>
      <c r="C722" s="1"/>
      <c r="D722" s="150"/>
      <c r="E722" s="150"/>
      <c r="F722" s="75"/>
      <c r="G722" s="67"/>
      <c r="H722" s="68"/>
      <c r="I722" s="76"/>
      <c r="J722" s="67"/>
      <c r="K722" s="1"/>
      <c r="L722" s="81"/>
      <c r="M722" s="1"/>
      <c r="N722" s="468"/>
      <c r="O722" s="1"/>
      <c r="P722" s="1"/>
      <c r="Q722" s="1"/>
      <c r="R722" s="1"/>
    </row>
    <row r="723" ht="12.75" customHeight="1">
      <c r="A723" s="17"/>
      <c r="B723" s="1"/>
      <c r="C723" s="1"/>
      <c r="D723" s="150"/>
      <c r="E723" s="150"/>
      <c r="F723" s="75"/>
      <c r="G723" s="67"/>
      <c r="H723" s="68"/>
      <c r="I723" s="76"/>
      <c r="J723" s="67"/>
      <c r="K723" s="1"/>
      <c r="L723" s="81"/>
      <c r="M723" s="1"/>
      <c r="N723" s="468"/>
      <c r="O723" s="1"/>
      <c r="P723" s="1"/>
      <c r="Q723" s="1"/>
      <c r="R723" s="1"/>
    </row>
    <row r="724" ht="12.75" customHeight="1">
      <c r="A724" s="17"/>
      <c r="B724" s="1"/>
      <c r="C724" s="1"/>
      <c r="D724" s="150"/>
      <c r="E724" s="150"/>
      <c r="F724" s="75"/>
      <c r="G724" s="67"/>
      <c r="H724" s="68"/>
      <c r="I724" s="76"/>
      <c r="J724" s="67"/>
      <c r="K724" s="1"/>
      <c r="L724" s="81"/>
      <c r="M724" s="1"/>
      <c r="N724" s="468"/>
      <c r="O724" s="1"/>
      <c r="P724" s="1"/>
      <c r="Q724" s="1"/>
      <c r="R724" s="1"/>
    </row>
    <row r="725" ht="12.75" customHeight="1">
      <c r="A725" s="17"/>
      <c r="B725" s="1"/>
      <c r="C725" s="1"/>
      <c r="D725" s="150"/>
      <c r="E725" s="150"/>
      <c r="F725" s="75"/>
      <c r="G725" s="67"/>
      <c r="H725" s="68"/>
      <c r="I725" s="76"/>
      <c r="J725" s="67"/>
      <c r="K725" s="1"/>
      <c r="L725" s="81"/>
      <c r="M725" s="1"/>
      <c r="N725" s="468"/>
      <c r="O725" s="1"/>
      <c r="P725" s="1"/>
      <c r="Q725" s="1"/>
      <c r="R725" s="1"/>
    </row>
    <row r="726" ht="12.75" customHeight="1">
      <c r="A726" s="17"/>
      <c r="B726" s="1"/>
      <c r="C726" s="1"/>
      <c r="D726" s="150"/>
      <c r="E726" s="150"/>
      <c r="F726" s="75"/>
      <c r="G726" s="67"/>
      <c r="H726" s="68"/>
      <c r="I726" s="76"/>
      <c r="J726" s="67"/>
      <c r="K726" s="1"/>
      <c r="L726" s="81"/>
      <c r="M726" s="1"/>
      <c r="N726" s="468"/>
      <c r="O726" s="1"/>
      <c r="P726" s="1"/>
      <c r="Q726" s="1"/>
      <c r="R726" s="1"/>
    </row>
    <row r="727" ht="12.75" customHeight="1">
      <c r="A727" s="17"/>
      <c r="B727" s="1"/>
      <c r="C727" s="1"/>
      <c r="D727" s="150"/>
      <c r="E727" s="150"/>
      <c r="F727" s="75"/>
      <c r="G727" s="67"/>
      <c r="H727" s="68"/>
      <c r="I727" s="76"/>
      <c r="J727" s="67"/>
      <c r="K727" s="1"/>
      <c r="L727" s="81"/>
      <c r="M727" s="1"/>
      <c r="N727" s="468"/>
      <c r="O727" s="1"/>
      <c r="P727" s="1"/>
      <c r="Q727" s="1"/>
      <c r="R727" s="1"/>
    </row>
    <row r="728" ht="12.75" customHeight="1">
      <c r="A728" s="17"/>
      <c r="B728" s="1"/>
      <c r="C728" s="1"/>
      <c r="D728" s="150"/>
      <c r="E728" s="150"/>
      <c r="F728" s="75"/>
      <c r="G728" s="67"/>
      <c r="H728" s="68"/>
      <c r="I728" s="76"/>
      <c r="J728" s="67"/>
      <c r="K728" s="1"/>
      <c r="L728" s="81"/>
      <c r="M728" s="1"/>
      <c r="N728" s="468"/>
      <c r="O728" s="1"/>
      <c r="P728" s="1"/>
      <c r="Q728" s="1"/>
      <c r="R728" s="1"/>
    </row>
    <row r="729" ht="12.75" customHeight="1">
      <c r="A729" s="17"/>
      <c r="B729" s="1"/>
      <c r="C729" s="1"/>
      <c r="D729" s="150"/>
      <c r="E729" s="150"/>
      <c r="F729" s="75"/>
      <c r="G729" s="67"/>
      <c r="H729" s="68"/>
      <c r="I729" s="76"/>
      <c r="J729" s="67"/>
      <c r="K729" s="1"/>
      <c r="L729" s="81"/>
      <c r="M729" s="1"/>
      <c r="N729" s="468"/>
      <c r="O729" s="1"/>
      <c r="P729" s="1"/>
      <c r="Q729" s="1"/>
      <c r="R729" s="1"/>
    </row>
    <row r="730" ht="12.75" customHeight="1">
      <c r="A730" s="17"/>
      <c r="B730" s="1"/>
      <c r="C730" s="1"/>
      <c r="D730" s="150"/>
      <c r="E730" s="150"/>
      <c r="F730" s="75"/>
      <c r="G730" s="67"/>
      <c r="H730" s="68"/>
      <c r="I730" s="76"/>
      <c r="J730" s="67"/>
      <c r="K730" s="1"/>
      <c r="L730" s="81"/>
      <c r="M730" s="1"/>
      <c r="N730" s="468"/>
      <c r="O730" s="1"/>
      <c r="P730" s="1"/>
      <c r="Q730" s="1"/>
      <c r="R730" s="1"/>
    </row>
    <row r="731" ht="12.75" customHeight="1">
      <c r="A731" s="17"/>
      <c r="B731" s="1"/>
      <c r="C731" s="1"/>
      <c r="D731" s="150"/>
      <c r="E731" s="150"/>
      <c r="F731" s="75"/>
      <c r="G731" s="67"/>
      <c r="H731" s="68"/>
      <c r="I731" s="76"/>
      <c r="J731" s="67"/>
      <c r="K731" s="1"/>
      <c r="L731" s="81"/>
      <c r="M731" s="1"/>
      <c r="N731" s="468"/>
      <c r="O731" s="1"/>
      <c r="P731" s="1"/>
      <c r="Q731" s="1"/>
      <c r="R731" s="1"/>
    </row>
    <row r="732" ht="12.75" customHeight="1">
      <c r="A732" s="17"/>
      <c r="B732" s="1"/>
      <c r="C732" s="1"/>
      <c r="D732" s="150"/>
      <c r="E732" s="150"/>
      <c r="F732" s="75"/>
      <c r="G732" s="67"/>
      <c r="H732" s="68"/>
      <c r="I732" s="76"/>
      <c r="J732" s="67"/>
      <c r="K732" s="1"/>
      <c r="L732" s="81"/>
      <c r="M732" s="1"/>
      <c r="N732" s="468"/>
      <c r="O732" s="1"/>
      <c r="P732" s="1"/>
      <c r="Q732" s="1"/>
      <c r="R732" s="1"/>
    </row>
    <row r="733" ht="12.75" customHeight="1">
      <c r="A733" s="17"/>
      <c r="B733" s="1"/>
      <c r="C733" s="1"/>
      <c r="D733" s="150"/>
      <c r="E733" s="150"/>
      <c r="F733" s="75"/>
      <c r="G733" s="67"/>
      <c r="H733" s="68"/>
      <c r="I733" s="76"/>
      <c r="J733" s="67"/>
      <c r="K733" s="1"/>
      <c r="L733" s="81"/>
      <c r="M733" s="1"/>
      <c r="N733" s="468"/>
      <c r="O733" s="1"/>
      <c r="P733" s="1"/>
      <c r="Q733" s="1"/>
      <c r="R733" s="1"/>
    </row>
    <row r="734" ht="12.75" customHeight="1">
      <c r="A734" s="17"/>
      <c r="B734" s="1"/>
      <c r="C734" s="1"/>
      <c r="D734" s="150"/>
      <c r="E734" s="150"/>
      <c r="F734" s="75"/>
      <c r="G734" s="67"/>
      <c r="H734" s="68"/>
      <c r="I734" s="76"/>
      <c r="J734" s="67"/>
      <c r="K734" s="1"/>
      <c r="L734" s="81"/>
      <c r="M734" s="1"/>
      <c r="N734" s="468"/>
      <c r="O734" s="1"/>
      <c r="P734" s="1"/>
      <c r="Q734" s="1"/>
      <c r="R734" s="1"/>
    </row>
    <row r="735" ht="12.75" customHeight="1">
      <c r="A735" s="17"/>
      <c r="B735" s="1"/>
      <c r="C735" s="1"/>
      <c r="D735" s="150"/>
      <c r="E735" s="150"/>
      <c r="F735" s="75"/>
      <c r="G735" s="67"/>
      <c r="H735" s="68"/>
      <c r="I735" s="76"/>
      <c r="J735" s="67"/>
      <c r="K735" s="1"/>
      <c r="L735" s="81"/>
      <c r="M735" s="1"/>
      <c r="N735" s="468"/>
      <c r="O735" s="1"/>
      <c r="P735" s="1"/>
      <c r="Q735" s="1"/>
      <c r="R735" s="1"/>
    </row>
    <row r="736" ht="12.75" customHeight="1">
      <c r="A736" s="17"/>
      <c r="B736" s="1"/>
      <c r="C736" s="1"/>
      <c r="D736" s="150"/>
      <c r="E736" s="150"/>
      <c r="F736" s="75"/>
      <c r="G736" s="67"/>
      <c r="H736" s="68"/>
      <c r="I736" s="76"/>
      <c r="J736" s="67"/>
      <c r="K736" s="1"/>
      <c r="L736" s="81"/>
      <c r="M736" s="1"/>
      <c r="N736" s="468"/>
      <c r="O736" s="1"/>
      <c r="P736" s="1"/>
      <c r="Q736" s="1"/>
      <c r="R736" s="1"/>
    </row>
    <row r="737" ht="12.75" customHeight="1">
      <c r="A737" s="17"/>
      <c r="B737" s="1"/>
      <c r="C737" s="1"/>
      <c r="D737" s="150"/>
      <c r="E737" s="150"/>
      <c r="F737" s="75"/>
      <c r="G737" s="67"/>
      <c r="H737" s="68"/>
      <c r="I737" s="76"/>
      <c r="J737" s="67"/>
      <c r="K737" s="1"/>
      <c r="L737" s="81"/>
      <c r="M737" s="1"/>
      <c r="N737" s="468"/>
      <c r="O737" s="1"/>
      <c r="P737" s="1"/>
      <c r="Q737" s="1"/>
      <c r="R737" s="1"/>
    </row>
    <row r="738" ht="12.75" customHeight="1">
      <c r="A738" s="17"/>
      <c r="B738" s="1"/>
      <c r="C738" s="1"/>
      <c r="D738" s="150"/>
      <c r="E738" s="150"/>
      <c r="F738" s="75"/>
      <c r="G738" s="67"/>
      <c r="H738" s="68"/>
      <c r="I738" s="76"/>
      <c r="J738" s="67"/>
      <c r="K738" s="1"/>
      <c r="L738" s="81"/>
      <c r="M738" s="1"/>
      <c r="N738" s="468"/>
      <c r="O738" s="1"/>
      <c r="P738" s="1"/>
      <c r="Q738" s="1"/>
      <c r="R738" s="1"/>
    </row>
    <row r="739" ht="12.75" customHeight="1">
      <c r="A739" s="17"/>
      <c r="B739" s="1"/>
      <c r="C739" s="1"/>
      <c r="D739" s="150"/>
      <c r="E739" s="150"/>
      <c r="F739" s="75"/>
      <c r="G739" s="67"/>
      <c r="H739" s="68"/>
      <c r="I739" s="76"/>
      <c r="J739" s="67"/>
      <c r="K739" s="1"/>
      <c r="L739" s="81"/>
      <c r="M739" s="1"/>
      <c r="N739" s="468"/>
      <c r="O739" s="1"/>
      <c r="P739" s="1"/>
      <c r="Q739" s="1"/>
      <c r="R739" s="1"/>
    </row>
    <row r="740" ht="12.75" customHeight="1">
      <c r="A740" s="17"/>
      <c r="B740" s="1"/>
      <c r="C740" s="1"/>
      <c r="D740" s="150"/>
      <c r="E740" s="150"/>
      <c r="F740" s="75"/>
      <c r="G740" s="67"/>
      <c r="H740" s="68"/>
      <c r="I740" s="76"/>
      <c r="J740" s="67"/>
      <c r="K740" s="1"/>
      <c r="L740" s="81"/>
      <c r="M740" s="1"/>
      <c r="N740" s="468"/>
      <c r="O740" s="1"/>
      <c r="P740" s="1"/>
      <c r="Q740" s="1"/>
      <c r="R740" s="1"/>
    </row>
    <row r="741" ht="12.75" customHeight="1">
      <c r="A741" s="17"/>
      <c r="B741" s="1"/>
      <c r="C741" s="1"/>
      <c r="D741" s="150"/>
      <c r="E741" s="150"/>
      <c r="F741" s="75"/>
      <c r="G741" s="67"/>
      <c r="H741" s="68"/>
      <c r="I741" s="76"/>
      <c r="J741" s="67"/>
      <c r="K741" s="1"/>
      <c r="L741" s="81"/>
      <c r="M741" s="1"/>
      <c r="N741" s="468"/>
      <c r="O741" s="1"/>
      <c r="P741" s="1"/>
      <c r="Q741" s="1"/>
      <c r="R741" s="1"/>
    </row>
    <row r="742" ht="12.75" customHeight="1">
      <c r="A742" s="17"/>
      <c r="B742" s="1"/>
      <c r="C742" s="1"/>
      <c r="D742" s="150"/>
      <c r="E742" s="150"/>
      <c r="F742" s="75"/>
      <c r="G742" s="67"/>
      <c r="H742" s="68"/>
      <c r="I742" s="76"/>
      <c r="J742" s="67"/>
      <c r="K742" s="1"/>
      <c r="L742" s="81"/>
      <c r="M742" s="1"/>
      <c r="N742" s="468"/>
      <c r="O742" s="1"/>
      <c r="P742" s="1"/>
      <c r="Q742" s="1"/>
      <c r="R742" s="1"/>
    </row>
    <row r="743" ht="12.75" customHeight="1">
      <c r="A743" s="17"/>
      <c r="B743" s="1"/>
      <c r="C743" s="1"/>
      <c r="D743" s="150"/>
      <c r="E743" s="150"/>
      <c r="F743" s="75"/>
      <c r="G743" s="67"/>
      <c r="H743" s="68"/>
      <c r="I743" s="76"/>
      <c r="J743" s="67"/>
      <c r="K743" s="1"/>
      <c r="L743" s="81"/>
      <c r="M743" s="1"/>
      <c r="N743" s="468"/>
      <c r="O743" s="1"/>
      <c r="P743" s="1"/>
      <c r="Q743" s="1"/>
      <c r="R743" s="1"/>
    </row>
    <row r="744" ht="12.75" customHeight="1">
      <c r="A744" s="17"/>
      <c r="B744" s="1"/>
      <c r="C744" s="1"/>
      <c r="D744" s="150"/>
      <c r="E744" s="150"/>
      <c r="F744" s="75"/>
      <c r="G744" s="67"/>
      <c r="H744" s="68"/>
      <c r="I744" s="76"/>
      <c r="J744" s="67"/>
      <c r="K744" s="1"/>
      <c r="L744" s="81"/>
      <c r="M744" s="1"/>
      <c r="N744" s="468"/>
      <c r="O744" s="1"/>
      <c r="P744" s="1"/>
      <c r="Q744" s="1"/>
      <c r="R744" s="1"/>
    </row>
    <row r="745" ht="12.75" customHeight="1">
      <c r="A745" s="17"/>
      <c r="B745" s="1"/>
      <c r="C745" s="1"/>
      <c r="D745" s="150"/>
      <c r="E745" s="150"/>
      <c r="F745" s="75"/>
      <c r="G745" s="67"/>
      <c r="H745" s="68"/>
      <c r="I745" s="76"/>
      <c r="J745" s="67"/>
      <c r="K745" s="1"/>
      <c r="L745" s="81"/>
      <c r="M745" s="1"/>
      <c r="N745" s="468"/>
      <c r="O745" s="1"/>
      <c r="P745" s="1"/>
      <c r="Q745" s="1"/>
      <c r="R745" s="1"/>
    </row>
    <row r="746" ht="12.75" customHeight="1">
      <c r="A746" s="17"/>
      <c r="B746" s="1"/>
      <c r="C746" s="1"/>
      <c r="D746" s="150"/>
      <c r="E746" s="150"/>
      <c r="F746" s="75"/>
      <c r="G746" s="67"/>
      <c r="H746" s="68"/>
      <c r="I746" s="76"/>
      <c r="J746" s="67"/>
      <c r="K746" s="1"/>
      <c r="L746" s="81"/>
      <c r="M746" s="1"/>
      <c r="N746" s="468"/>
      <c r="O746" s="1"/>
      <c r="P746" s="1"/>
      <c r="Q746" s="1"/>
      <c r="R746" s="1"/>
    </row>
    <row r="747" ht="12.75" customHeight="1">
      <c r="A747" s="17"/>
      <c r="B747" s="1"/>
      <c r="C747" s="1"/>
      <c r="D747" s="150"/>
      <c r="E747" s="150"/>
      <c r="F747" s="75"/>
      <c r="G747" s="67"/>
      <c r="H747" s="68"/>
      <c r="I747" s="76"/>
      <c r="J747" s="67"/>
      <c r="K747" s="1"/>
      <c r="L747" s="81"/>
      <c r="M747" s="1"/>
      <c r="N747" s="468"/>
      <c r="O747" s="1"/>
      <c r="P747" s="1"/>
      <c r="Q747" s="1"/>
      <c r="R747" s="1"/>
    </row>
    <row r="748" ht="12.75" customHeight="1">
      <c r="A748" s="17"/>
      <c r="B748" s="1"/>
      <c r="C748" s="1"/>
      <c r="D748" s="150"/>
      <c r="E748" s="150"/>
      <c r="F748" s="75"/>
      <c r="G748" s="67"/>
      <c r="H748" s="68"/>
      <c r="I748" s="76"/>
      <c r="J748" s="67"/>
      <c r="K748" s="1"/>
      <c r="L748" s="81"/>
      <c r="M748" s="1"/>
      <c r="N748" s="468"/>
      <c r="O748" s="1"/>
      <c r="P748" s="1"/>
      <c r="Q748" s="1"/>
      <c r="R748" s="1"/>
    </row>
    <row r="749" ht="12.75" customHeight="1">
      <c r="A749" s="17"/>
      <c r="B749" s="1"/>
      <c r="C749" s="1"/>
      <c r="D749" s="150"/>
      <c r="E749" s="150"/>
      <c r="F749" s="75"/>
      <c r="G749" s="67"/>
      <c r="H749" s="68"/>
      <c r="I749" s="76"/>
      <c r="J749" s="67"/>
      <c r="K749" s="1"/>
      <c r="L749" s="81"/>
      <c r="M749" s="1"/>
      <c r="N749" s="468"/>
      <c r="O749" s="1"/>
      <c r="P749" s="1"/>
      <c r="Q749" s="1"/>
      <c r="R749" s="1"/>
    </row>
    <row r="750" ht="12.75" customHeight="1">
      <c r="A750" s="17"/>
      <c r="B750" s="1"/>
      <c r="C750" s="1"/>
      <c r="D750" s="150"/>
      <c r="E750" s="150"/>
      <c r="F750" s="75"/>
      <c r="G750" s="67"/>
      <c r="H750" s="68"/>
      <c r="I750" s="76"/>
      <c r="J750" s="67"/>
      <c r="K750" s="1"/>
      <c r="L750" s="81"/>
      <c r="M750" s="1"/>
      <c r="N750" s="468"/>
      <c r="O750" s="1"/>
      <c r="P750" s="1"/>
      <c r="Q750" s="1"/>
      <c r="R750" s="1"/>
    </row>
    <row r="751" ht="12.75" customHeight="1">
      <c r="A751" s="17"/>
      <c r="B751" s="1"/>
      <c r="C751" s="1"/>
      <c r="D751" s="150"/>
      <c r="E751" s="150"/>
      <c r="F751" s="75"/>
      <c r="G751" s="67"/>
      <c r="H751" s="68"/>
      <c r="I751" s="76"/>
      <c r="J751" s="67"/>
      <c r="K751" s="1"/>
      <c r="L751" s="81"/>
      <c r="M751" s="1"/>
      <c r="N751" s="468"/>
      <c r="O751" s="1"/>
      <c r="P751" s="1"/>
      <c r="Q751" s="1"/>
      <c r="R751" s="1"/>
    </row>
    <row r="752" ht="12.75" customHeight="1">
      <c r="A752" s="17"/>
      <c r="B752" s="1"/>
      <c r="C752" s="1"/>
      <c r="D752" s="150"/>
      <c r="E752" s="150"/>
      <c r="F752" s="75"/>
      <c r="G752" s="67"/>
      <c r="H752" s="68"/>
      <c r="I752" s="76"/>
      <c r="J752" s="67"/>
      <c r="K752" s="1"/>
      <c r="L752" s="81"/>
      <c r="M752" s="1"/>
      <c r="N752" s="468"/>
      <c r="O752" s="1"/>
      <c r="P752" s="1"/>
      <c r="Q752" s="1"/>
      <c r="R752" s="1"/>
    </row>
    <row r="753" ht="12.75" customHeight="1">
      <c r="A753" s="17"/>
      <c r="B753" s="1"/>
      <c r="C753" s="1"/>
      <c r="D753" s="150"/>
      <c r="E753" s="150"/>
      <c r="F753" s="75"/>
      <c r="G753" s="67"/>
      <c r="H753" s="68"/>
      <c r="I753" s="76"/>
      <c r="J753" s="67"/>
      <c r="K753" s="1"/>
      <c r="L753" s="81"/>
      <c r="M753" s="1"/>
      <c r="N753" s="468"/>
      <c r="O753" s="1"/>
      <c r="P753" s="1"/>
      <c r="Q753" s="1"/>
      <c r="R753" s="1"/>
    </row>
    <row r="754" ht="12.75" customHeight="1">
      <c r="A754" s="17"/>
      <c r="B754" s="1"/>
      <c r="C754" s="1"/>
      <c r="D754" s="150"/>
      <c r="E754" s="150"/>
      <c r="F754" s="75"/>
      <c r="G754" s="67"/>
      <c r="H754" s="68"/>
      <c r="I754" s="76"/>
      <c r="J754" s="67"/>
      <c r="K754" s="1"/>
      <c r="L754" s="81"/>
      <c r="M754" s="1"/>
      <c r="N754" s="468"/>
      <c r="O754" s="1"/>
      <c r="P754" s="1"/>
      <c r="Q754" s="1"/>
      <c r="R754" s="1"/>
    </row>
    <row r="755" ht="12.75" customHeight="1">
      <c r="A755" s="17"/>
      <c r="B755" s="1"/>
      <c r="C755" s="1"/>
      <c r="D755" s="150"/>
      <c r="E755" s="150"/>
      <c r="F755" s="75"/>
      <c r="G755" s="67"/>
      <c r="H755" s="68"/>
      <c r="I755" s="76"/>
      <c r="J755" s="67"/>
      <c r="K755" s="1"/>
      <c r="L755" s="81"/>
      <c r="M755" s="1"/>
      <c r="N755" s="468"/>
      <c r="O755" s="1"/>
      <c r="P755" s="1"/>
      <c r="Q755" s="1"/>
      <c r="R755" s="1"/>
    </row>
    <row r="756" ht="12.75" customHeight="1">
      <c r="A756" s="17"/>
      <c r="B756" s="1"/>
      <c r="C756" s="1"/>
      <c r="D756" s="150"/>
      <c r="E756" s="150"/>
      <c r="F756" s="75"/>
      <c r="G756" s="67"/>
      <c r="H756" s="68"/>
      <c r="I756" s="76"/>
      <c r="J756" s="67"/>
      <c r="K756" s="1"/>
      <c r="L756" s="81"/>
      <c r="M756" s="1"/>
      <c r="N756" s="468"/>
      <c r="O756" s="1"/>
      <c r="P756" s="1"/>
      <c r="Q756" s="1"/>
      <c r="R756" s="1"/>
    </row>
    <row r="757" ht="12.75" customHeight="1">
      <c r="A757" s="17"/>
      <c r="B757" s="1"/>
      <c r="C757" s="1"/>
      <c r="D757" s="150"/>
      <c r="E757" s="150"/>
      <c r="F757" s="75"/>
      <c r="G757" s="67"/>
      <c r="H757" s="68"/>
      <c r="I757" s="76"/>
      <c r="J757" s="67"/>
      <c r="K757" s="1"/>
      <c r="L757" s="81"/>
      <c r="M757" s="1"/>
      <c r="N757" s="468"/>
      <c r="O757" s="1"/>
      <c r="P757" s="1"/>
      <c r="Q757" s="1"/>
      <c r="R757" s="1"/>
    </row>
    <row r="758" ht="12.75" customHeight="1">
      <c r="A758" s="17"/>
      <c r="B758" s="1"/>
      <c r="C758" s="1"/>
      <c r="D758" s="150"/>
      <c r="E758" s="150"/>
      <c r="F758" s="75"/>
      <c r="G758" s="67"/>
      <c r="H758" s="68"/>
      <c r="I758" s="76"/>
      <c r="J758" s="67"/>
      <c r="K758" s="1"/>
      <c r="L758" s="81"/>
      <c r="M758" s="1"/>
      <c r="N758" s="468"/>
      <c r="O758" s="1"/>
      <c r="P758" s="1"/>
      <c r="Q758" s="1"/>
      <c r="R758" s="1"/>
    </row>
    <row r="759" ht="12.75" customHeight="1">
      <c r="A759" s="17"/>
      <c r="B759" s="1"/>
      <c r="C759" s="1"/>
      <c r="D759" s="150"/>
      <c r="E759" s="150"/>
      <c r="F759" s="75"/>
      <c r="G759" s="67"/>
      <c r="H759" s="68"/>
      <c r="I759" s="76"/>
      <c r="J759" s="67"/>
      <c r="K759" s="1"/>
      <c r="L759" s="81"/>
      <c r="M759" s="1"/>
      <c r="N759" s="468"/>
      <c r="O759" s="1"/>
      <c r="P759" s="1"/>
      <c r="Q759" s="1"/>
      <c r="R759" s="1"/>
    </row>
    <row r="760" ht="12.75" customHeight="1">
      <c r="A760" s="17"/>
      <c r="B760" s="1"/>
      <c r="C760" s="1"/>
      <c r="D760" s="150"/>
      <c r="E760" s="150"/>
      <c r="F760" s="75"/>
      <c r="G760" s="67"/>
      <c r="H760" s="68"/>
      <c r="I760" s="76"/>
      <c r="J760" s="67"/>
      <c r="K760" s="1"/>
      <c r="L760" s="81"/>
      <c r="M760" s="1"/>
      <c r="N760" s="468"/>
      <c r="O760" s="1"/>
      <c r="P760" s="1"/>
      <c r="Q760" s="1"/>
      <c r="R760" s="1"/>
    </row>
    <row r="761" ht="12.75" customHeight="1">
      <c r="A761" s="17"/>
      <c r="B761" s="1"/>
      <c r="C761" s="1"/>
      <c r="D761" s="150"/>
      <c r="E761" s="150"/>
      <c r="F761" s="75"/>
      <c r="G761" s="67"/>
      <c r="H761" s="68"/>
      <c r="I761" s="76"/>
      <c r="J761" s="67"/>
      <c r="K761" s="1"/>
      <c r="L761" s="81"/>
      <c r="M761" s="1"/>
      <c r="N761" s="468"/>
      <c r="O761" s="1"/>
      <c r="P761" s="1"/>
      <c r="Q761" s="1"/>
      <c r="R761" s="1"/>
    </row>
    <row r="762" ht="12.75" customHeight="1">
      <c r="A762" s="17"/>
      <c r="B762" s="1"/>
      <c r="C762" s="1"/>
      <c r="D762" s="150"/>
      <c r="E762" s="150"/>
      <c r="F762" s="75"/>
      <c r="G762" s="67"/>
      <c r="H762" s="68"/>
      <c r="I762" s="76"/>
      <c r="J762" s="67"/>
      <c r="K762" s="1"/>
      <c r="L762" s="81"/>
      <c r="M762" s="1"/>
      <c r="N762" s="468"/>
      <c r="O762" s="1"/>
      <c r="P762" s="1"/>
      <c r="Q762" s="1"/>
      <c r="R762" s="1"/>
    </row>
    <row r="763" ht="12.75" customHeight="1">
      <c r="A763" s="17"/>
      <c r="B763" s="1"/>
      <c r="C763" s="1"/>
      <c r="D763" s="150"/>
      <c r="E763" s="150"/>
      <c r="F763" s="75"/>
      <c r="G763" s="67"/>
      <c r="H763" s="68"/>
      <c r="I763" s="76"/>
      <c r="J763" s="67"/>
      <c r="K763" s="1"/>
      <c r="L763" s="81"/>
      <c r="M763" s="1"/>
      <c r="N763" s="468"/>
      <c r="O763" s="1"/>
      <c r="P763" s="1"/>
      <c r="Q763" s="1"/>
      <c r="R763" s="1"/>
    </row>
    <row r="764" ht="12.75" customHeight="1">
      <c r="A764" s="17"/>
      <c r="B764" s="1"/>
      <c r="C764" s="1"/>
      <c r="D764" s="150"/>
      <c r="E764" s="150"/>
      <c r="F764" s="75"/>
      <c r="G764" s="67"/>
      <c r="H764" s="68"/>
      <c r="I764" s="76"/>
      <c r="J764" s="67"/>
      <c r="K764" s="1"/>
      <c r="L764" s="81"/>
      <c r="M764" s="1"/>
      <c r="N764" s="468"/>
      <c r="O764" s="1"/>
      <c r="P764" s="1"/>
      <c r="Q764" s="1"/>
      <c r="R764" s="1"/>
    </row>
    <row r="765" ht="12.75" customHeight="1">
      <c r="A765" s="17"/>
      <c r="B765" s="1"/>
      <c r="C765" s="1"/>
      <c r="D765" s="150"/>
      <c r="E765" s="150"/>
      <c r="F765" s="75"/>
      <c r="G765" s="67"/>
      <c r="H765" s="68"/>
      <c r="I765" s="76"/>
      <c r="J765" s="67"/>
      <c r="K765" s="1"/>
      <c r="L765" s="81"/>
      <c r="M765" s="1"/>
      <c r="N765" s="468"/>
      <c r="O765" s="1"/>
      <c r="P765" s="1"/>
      <c r="Q765" s="1"/>
      <c r="R765" s="1"/>
    </row>
    <row r="766" ht="12.75" customHeight="1">
      <c r="A766" s="17"/>
      <c r="B766" s="1"/>
      <c r="C766" s="1"/>
      <c r="D766" s="150"/>
      <c r="E766" s="150"/>
      <c r="F766" s="75"/>
      <c r="G766" s="67"/>
      <c r="H766" s="68"/>
      <c r="I766" s="76"/>
      <c r="J766" s="67"/>
      <c r="K766" s="1"/>
      <c r="L766" s="81"/>
      <c r="M766" s="1"/>
      <c r="N766" s="468"/>
      <c r="O766" s="1"/>
      <c r="P766" s="1"/>
      <c r="Q766" s="1"/>
      <c r="R766" s="1"/>
    </row>
    <row r="767" ht="12.75" customHeight="1">
      <c r="A767" s="17"/>
      <c r="B767" s="1"/>
      <c r="C767" s="1"/>
      <c r="D767" s="150"/>
      <c r="E767" s="150"/>
      <c r="F767" s="75"/>
      <c r="G767" s="67"/>
      <c r="H767" s="68"/>
      <c r="I767" s="76"/>
      <c r="J767" s="67"/>
      <c r="K767" s="1"/>
      <c r="L767" s="81"/>
      <c r="M767" s="1"/>
      <c r="N767" s="468"/>
      <c r="O767" s="1"/>
      <c r="P767" s="1"/>
      <c r="Q767" s="1"/>
      <c r="R767" s="1"/>
    </row>
    <row r="768" ht="12.75" customHeight="1">
      <c r="A768" s="17"/>
      <c r="B768" s="1"/>
      <c r="C768" s="1"/>
      <c r="D768" s="150"/>
      <c r="E768" s="150"/>
      <c r="F768" s="75"/>
      <c r="G768" s="67"/>
      <c r="H768" s="68"/>
      <c r="I768" s="76"/>
      <c r="J768" s="67"/>
      <c r="K768" s="1"/>
      <c r="L768" s="81"/>
      <c r="M768" s="1"/>
      <c r="N768" s="468"/>
      <c r="O768" s="1"/>
      <c r="P768" s="1"/>
      <c r="Q768" s="1"/>
      <c r="R768" s="1"/>
    </row>
    <row r="769" ht="12.75" customHeight="1">
      <c r="A769" s="17"/>
      <c r="B769" s="1"/>
      <c r="C769" s="1"/>
      <c r="D769" s="150"/>
      <c r="E769" s="150"/>
      <c r="F769" s="75"/>
      <c r="G769" s="67"/>
      <c r="H769" s="68"/>
      <c r="I769" s="76"/>
      <c r="J769" s="67"/>
      <c r="K769" s="1"/>
      <c r="L769" s="81"/>
      <c r="M769" s="1"/>
      <c r="N769" s="468"/>
      <c r="O769" s="1"/>
      <c r="P769" s="1"/>
      <c r="Q769" s="1"/>
      <c r="R769" s="1"/>
    </row>
    <row r="770" ht="12.75" customHeight="1">
      <c r="A770" s="17"/>
      <c r="B770" s="1"/>
      <c r="C770" s="1"/>
      <c r="D770" s="150"/>
      <c r="E770" s="150"/>
      <c r="F770" s="75"/>
      <c r="G770" s="67"/>
      <c r="H770" s="68"/>
      <c r="I770" s="76"/>
      <c r="J770" s="67"/>
      <c r="K770" s="1"/>
      <c r="L770" s="81"/>
      <c r="M770" s="1"/>
      <c r="N770" s="468"/>
      <c r="O770" s="1"/>
      <c r="P770" s="1"/>
      <c r="Q770" s="1"/>
      <c r="R770" s="1"/>
    </row>
    <row r="771" ht="12.75" customHeight="1">
      <c r="A771" s="17"/>
      <c r="B771" s="1"/>
      <c r="C771" s="1"/>
      <c r="D771" s="150"/>
      <c r="E771" s="150"/>
      <c r="F771" s="75"/>
      <c r="G771" s="67"/>
      <c r="H771" s="68"/>
      <c r="I771" s="76"/>
      <c r="J771" s="67"/>
      <c r="K771" s="1"/>
      <c r="L771" s="81"/>
      <c r="M771" s="1"/>
      <c r="N771" s="468"/>
      <c r="O771" s="1"/>
      <c r="P771" s="1"/>
      <c r="Q771" s="1"/>
      <c r="R771" s="1"/>
    </row>
    <row r="772" ht="12.75" customHeight="1">
      <c r="A772" s="17"/>
      <c r="B772" s="1"/>
      <c r="C772" s="1"/>
      <c r="D772" s="150"/>
      <c r="E772" s="150"/>
      <c r="F772" s="75"/>
      <c r="G772" s="67"/>
      <c r="H772" s="68"/>
      <c r="I772" s="76"/>
      <c r="J772" s="67"/>
      <c r="K772" s="1"/>
      <c r="L772" s="81"/>
      <c r="M772" s="1"/>
      <c r="N772" s="468"/>
      <c r="O772" s="1"/>
      <c r="P772" s="1"/>
      <c r="Q772" s="1"/>
      <c r="R772" s="1"/>
    </row>
    <row r="773" ht="12.75" customHeight="1">
      <c r="A773" s="17"/>
      <c r="B773" s="1"/>
      <c r="C773" s="1"/>
      <c r="D773" s="150"/>
      <c r="E773" s="150"/>
      <c r="F773" s="75"/>
      <c r="G773" s="67"/>
      <c r="H773" s="68"/>
      <c r="I773" s="76"/>
      <c r="J773" s="67"/>
      <c r="K773" s="1"/>
      <c r="L773" s="81"/>
      <c r="M773" s="1"/>
      <c r="N773" s="468"/>
      <c r="O773" s="1"/>
      <c r="P773" s="1"/>
      <c r="Q773" s="1"/>
      <c r="R773" s="1"/>
    </row>
    <row r="774" ht="12.75" customHeight="1">
      <c r="A774" s="17"/>
      <c r="B774" s="1"/>
      <c r="C774" s="1"/>
      <c r="D774" s="150"/>
      <c r="E774" s="150"/>
      <c r="F774" s="75"/>
      <c r="G774" s="67"/>
      <c r="H774" s="68"/>
      <c r="I774" s="76"/>
      <c r="J774" s="67"/>
      <c r="K774" s="1"/>
      <c r="L774" s="81"/>
      <c r="M774" s="1"/>
      <c r="N774" s="468"/>
      <c r="O774" s="1"/>
      <c r="P774" s="1"/>
      <c r="Q774" s="1"/>
      <c r="R774" s="1"/>
    </row>
    <row r="775" ht="12.75" customHeight="1">
      <c r="A775" s="17"/>
      <c r="B775" s="1"/>
      <c r="C775" s="1"/>
      <c r="D775" s="150"/>
      <c r="E775" s="150"/>
      <c r="F775" s="75"/>
      <c r="G775" s="67"/>
      <c r="H775" s="68"/>
      <c r="I775" s="76"/>
      <c r="J775" s="67"/>
      <c r="K775" s="1"/>
      <c r="L775" s="81"/>
      <c r="M775" s="1"/>
      <c r="N775" s="468"/>
      <c r="O775" s="1"/>
      <c r="P775" s="1"/>
      <c r="Q775" s="1"/>
      <c r="R775" s="1"/>
    </row>
    <row r="776" ht="12.75" customHeight="1">
      <c r="A776" s="17"/>
      <c r="B776" s="1"/>
      <c r="C776" s="1"/>
      <c r="D776" s="150"/>
      <c r="E776" s="150"/>
      <c r="F776" s="75"/>
      <c r="G776" s="67"/>
      <c r="H776" s="68"/>
      <c r="I776" s="76"/>
      <c r="J776" s="67"/>
      <c r="K776" s="1"/>
      <c r="L776" s="81"/>
      <c r="M776" s="1"/>
      <c r="N776" s="468"/>
      <c r="O776" s="1"/>
      <c r="P776" s="1"/>
      <c r="Q776" s="1"/>
      <c r="R776" s="1"/>
    </row>
    <row r="777" ht="12.75" customHeight="1">
      <c r="A777" s="17"/>
      <c r="B777" s="1"/>
      <c r="C777" s="1"/>
      <c r="D777" s="150"/>
      <c r="E777" s="150"/>
      <c r="F777" s="75"/>
      <c r="G777" s="67"/>
      <c r="H777" s="68"/>
      <c r="I777" s="76"/>
      <c r="J777" s="67"/>
      <c r="K777" s="1"/>
      <c r="L777" s="81"/>
      <c r="M777" s="1"/>
      <c r="N777" s="468"/>
      <c r="O777" s="1"/>
      <c r="P777" s="1"/>
      <c r="Q777" s="1"/>
      <c r="R777" s="1"/>
    </row>
    <row r="778" ht="12.75" customHeight="1">
      <c r="A778" s="17"/>
      <c r="B778" s="1"/>
      <c r="C778" s="1"/>
      <c r="D778" s="150"/>
      <c r="E778" s="150"/>
      <c r="F778" s="75"/>
      <c r="G778" s="67"/>
      <c r="H778" s="68"/>
      <c r="I778" s="76"/>
      <c r="J778" s="67"/>
      <c r="K778" s="1"/>
      <c r="L778" s="81"/>
      <c r="M778" s="1"/>
      <c r="N778" s="468"/>
      <c r="O778" s="1"/>
      <c r="P778" s="1"/>
      <c r="Q778" s="1"/>
      <c r="R778" s="1"/>
    </row>
    <row r="779" ht="12.75" customHeight="1">
      <c r="A779" s="17"/>
      <c r="B779" s="1"/>
      <c r="C779" s="1"/>
      <c r="D779" s="150"/>
      <c r="E779" s="150"/>
      <c r="F779" s="75"/>
      <c r="G779" s="67"/>
      <c r="H779" s="68"/>
      <c r="I779" s="76"/>
      <c r="J779" s="67"/>
      <c r="K779" s="1"/>
      <c r="L779" s="81"/>
      <c r="M779" s="1"/>
      <c r="N779" s="468"/>
      <c r="O779" s="1"/>
      <c r="P779" s="1"/>
      <c r="Q779" s="1"/>
      <c r="R779" s="1"/>
    </row>
    <row r="780" ht="12.75" customHeight="1">
      <c r="A780" s="17"/>
      <c r="B780" s="1"/>
      <c r="C780" s="1"/>
      <c r="D780" s="150"/>
      <c r="E780" s="150"/>
      <c r="F780" s="75"/>
      <c r="G780" s="67"/>
      <c r="H780" s="68"/>
      <c r="I780" s="76"/>
      <c r="J780" s="67"/>
      <c r="K780" s="1"/>
      <c r="L780" s="81"/>
      <c r="M780" s="1"/>
      <c r="N780" s="468"/>
      <c r="O780" s="1"/>
      <c r="P780" s="1"/>
      <c r="Q780" s="1"/>
      <c r="R780" s="1"/>
    </row>
    <row r="781" ht="12.75" customHeight="1">
      <c r="A781" s="17"/>
      <c r="B781" s="1"/>
      <c r="C781" s="1"/>
      <c r="D781" s="150"/>
      <c r="E781" s="150"/>
      <c r="F781" s="75"/>
      <c r="G781" s="67"/>
      <c r="H781" s="68"/>
      <c r="I781" s="76"/>
      <c r="J781" s="67"/>
      <c r="K781" s="1"/>
      <c r="L781" s="81"/>
      <c r="M781" s="1"/>
      <c r="N781" s="468"/>
      <c r="O781" s="1"/>
      <c r="P781" s="1"/>
      <c r="Q781" s="1"/>
      <c r="R781" s="1"/>
    </row>
    <row r="782" ht="12.75" customHeight="1">
      <c r="A782" s="17"/>
      <c r="B782" s="1"/>
      <c r="C782" s="1"/>
      <c r="D782" s="150"/>
      <c r="E782" s="150"/>
      <c r="F782" s="75"/>
      <c r="G782" s="67"/>
      <c r="H782" s="68"/>
      <c r="I782" s="76"/>
      <c r="J782" s="67"/>
      <c r="K782" s="1"/>
      <c r="L782" s="81"/>
      <c r="M782" s="1"/>
      <c r="N782" s="468"/>
      <c r="O782" s="1"/>
      <c r="P782" s="1"/>
      <c r="Q782" s="1"/>
      <c r="R782" s="1"/>
    </row>
    <row r="783" ht="12.75" customHeight="1">
      <c r="A783" s="17"/>
      <c r="B783" s="1"/>
      <c r="C783" s="1"/>
      <c r="D783" s="150"/>
      <c r="E783" s="150"/>
      <c r="F783" s="75"/>
      <c r="G783" s="67"/>
      <c r="H783" s="68"/>
      <c r="I783" s="76"/>
      <c r="J783" s="67"/>
      <c r="K783" s="1"/>
      <c r="L783" s="81"/>
      <c r="M783" s="1"/>
      <c r="N783" s="468"/>
      <c r="O783" s="1"/>
      <c r="P783" s="1"/>
      <c r="Q783" s="1"/>
      <c r="R783" s="1"/>
    </row>
    <row r="784" ht="12.75" customHeight="1">
      <c r="A784" s="17"/>
      <c r="B784" s="1"/>
      <c r="C784" s="1"/>
      <c r="D784" s="150"/>
      <c r="E784" s="150"/>
      <c r="F784" s="75"/>
      <c r="G784" s="67"/>
      <c r="H784" s="68"/>
      <c r="I784" s="76"/>
      <c r="J784" s="67"/>
      <c r="K784" s="1"/>
      <c r="L784" s="81"/>
      <c r="M784" s="1"/>
      <c r="N784" s="468"/>
      <c r="O784" s="1"/>
      <c r="P784" s="1"/>
      <c r="Q784" s="1"/>
      <c r="R784" s="1"/>
    </row>
    <row r="785" ht="12.75" customHeight="1">
      <c r="A785" s="17"/>
      <c r="B785" s="1"/>
      <c r="C785" s="1"/>
      <c r="D785" s="150"/>
      <c r="E785" s="150"/>
      <c r="F785" s="75"/>
      <c r="G785" s="67"/>
      <c r="H785" s="68"/>
      <c r="I785" s="76"/>
      <c r="J785" s="67"/>
      <c r="K785" s="1"/>
      <c r="L785" s="81"/>
      <c r="M785" s="1"/>
      <c r="N785" s="468"/>
      <c r="O785" s="1"/>
      <c r="P785" s="1"/>
      <c r="Q785" s="1"/>
      <c r="R785" s="1"/>
    </row>
    <row r="786" ht="12.75" customHeight="1">
      <c r="A786" s="17"/>
      <c r="B786" s="1"/>
      <c r="C786" s="1"/>
      <c r="D786" s="150"/>
      <c r="E786" s="150"/>
      <c r="F786" s="75"/>
      <c r="G786" s="67"/>
      <c r="H786" s="68"/>
      <c r="I786" s="76"/>
      <c r="J786" s="67"/>
      <c r="K786" s="1"/>
      <c r="L786" s="81"/>
      <c r="M786" s="1"/>
      <c r="N786" s="468"/>
      <c r="O786" s="1"/>
      <c r="P786" s="1"/>
      <c r="Q786" s="1"/>
      <c r="R786" s="1"/>
    </row>
    <row r="787" ht="12.75" customHeight="1">
      <c r="A787" s="17"/>
      <c r="B787" s="1"/>
      <c r="C787" s="1"/>
      <c r="D787" s="150"/>
      <c r="E787" s="150"/>
      <c r="F787" s="75"/>
      <c r="G787" s="67"/>
      <c r="H787" s="68"/>
      <c r="I787" s="76"/>
      <c r="J787" s="67"/>
      <c r="K787" s="1"/>
      <c r="L787" s="81"/>
      <c r="M787" s="1"/>
      <c r="N787" s="468"/>
      <c r="O787" s="1"/>
      <c r="P787" s="1"/>
      <c r="Q787" s="1"/>
      <c r="R787" s="1"/>
    </row>
    <row r="788" ht="12.75" customHeight="1">
      <c r="A788" s="17"/>
      <c r="B788" s="1"/>
      <c r="C788" s="1"/>
      <c r="D788" s="150"/>
      <c r="E788" s="150"/>
      <c r="F788" s="75"/>
      <c r="G788" s="67"/>
      <c r="H788" s="68"/>
      <c r="I788" s="76"/>
      <c r="J788" s="67"/>
      <c r="K788" s="1"/>
      <c r="L788" s="81"/>
      <c r="M788" s="1"/>
      <c r="N788" s="468"/>
      <c r="O788" s="1"/>
      <c r="P788" s="1"/>
      <c r="Q788" s="1"/>
      <c r="R788" s="1"/>
    </row>
    <row r="789" ht="12.75" customHeight="1">
      <c r="A789" s="17"/>
      <c r="B789" s="1"/>
      <c r="C789" s="1"/>
      <c r="D789" s="150"/>
      <c r="E789" s="150"/>
      <c r="F789" s="75"/>
      <c r="G789" s="67"/>
      <c r="H789" s="68"/>
      <c r="I789" s="76"/>
      <c r="J789" s="67"/>
      <c r="K789" s="1"/>
      <c r="L789" s="81"/>
      <c r="M789" s="1"/>
      <c r="N789" s="468"/>
      <c r="O789" s="1"/>
      <c r="P789" s="1"/>
      <c r="Q789" s="1"/>
      <c r="R789" s="1"/>
    </row>
    <row r="790" ht="12.75" customHeight="1">
      <c r="A790" s="17"/>
      <c r="B790" s="1"/>
      <c r="C790" s="1"/>
      <c r="D790" s="150"/>
      <c r="E790" s="150"/>
      <c r="F790" s="75"/>
      <c r="G790" s="67"/>
      <c r="H790" s="68"/>
      <c r="I790" s="76"/>
      <c r="J790" s="67"/>
      <c r="K790" s="1"/>
      <c r="L790" s="81"/>
      <c r="M790" s="1"/>
      <c r="N790" s="468"/>
      <c r="O790" s="1"/>
      <c r="P790" s="1"/>
      <c r="Q790" s="1"/>
      <c r="R790" s="1"/>
    </row>
    <row r="791" ht="12.75" customHeight="1">
      <c r="A791" s="17"/>
      <c r="B791" s="1"/>
      <c r="C791" s="1"/>
      <c r="D791" s="150"/>
      <c r="E791" s="150"/>
      <c r="F791" s="75"/>
      <c r="G791" s="67"/>
      <c r="H791" s="68"/>
      <c r="I791" s="76"/>
      <c r="J791" s="67"/>
      <c r="K791" s="1"/>
      <c r="L791" s="81"/>
      <c r="M791" s="1"/>
      <c r="N791" s="468"/>
      <c r="O791" s="1"/>
      <c r="P791" s="1"/>
      <c r="Q791" s="1"/>
      <c r="R791" s="1"/>
    </row>
    <row r="792" ht="12.75" customHeight="1">
      <c r="A792" s="17"/>
      <c r="B792" s="1"/>
      <c r="C792" s="1"/>
      <c r="D792" s="150"/>
      <c r="E792" s="150"/>
      <c r="F792" s="75"/>
      <c r="G792" s="67"/>
      <c r="H792" s="68"/>
      <c r="I792" s="76"/>
      <c r="J792" s="67"/>
      <c r="K792" s="1"/>
      <c r="L792" s="81"/>
      <c r="M792" s="1"/>
      <c r="N792" s="468"/>
      <c r="O792" s="1"/>
      <c r="P792" s="1"/>
      <c r="Q792" s="1"/>
      <c r="R792" s="1"/>
    </row>
    <row r="793" ht="12.75" customHeight="1">
      <c r="A793" s="17"/>
      <c r="B793" s="1"/>
      <c r="C793" s="1"/>
      <c r="D793" s="150"/>
      <c r="E793" s="150"/>
      <c r="F793" s="75"/>
      <c r="G793" s="67"/>
      <c r="H793" s="68"/>
      <c r="I793" s="76"/>
      <c r="J793" s="67"/>
      <c r="K793" s="1"/>
      <c r="L793" s="81"/>
      <c r="M793" s="1"/>
      <c r="N793" s="468"/>
      <c r="O793" s="1"/>
      <c r="P793" s="1"/>
      <c r="Q793" s="1"/>
      <c r="R793" s="1"/>
    </row>
    <row r="794" ht="12.75" customHeight="1">
      <c r="A794" s="17"/>
      <c r="B794" s="1"/>
      <c r="C794" s="1"/>
      <c r="D794" s="150"/>
      <c r="E794" s="150"/>
      <c r="F794" s="75"/>
      <c r="G794" s="67"/>
      <c r="H794" s="68"/>
      <c r="I794" s="76"/>
      <c r="J794" s="67"/>
      <c r="K794" s="1"/>
      <c r="L794" s="81"/>
      <c r="M794" s="1"/>
      <c r="N794" s="468"/>
      <c r="O794" s="1"/>
      <c r="P794" s="1"/>
      <c r="Q794" s="1"/>
      <c r="R794" s="1"/>
    </row>
    <row r="795" ht="12.75" customHeight="1">
      <c r="A795" s="17"/>
      <c r="B795" s="1"/>
      <c r="C795" s="1"/>
      <c r="D795" s="150"/>
      <c r="E795" s="150"/>
      <c r="F795" s="75"/>
      <c r="G795" s="67"/>
      <c r="H795" s="68"/>
      <c r="I795" s="76"/>
      <c r="J795" s="67"/>
      <c r="K795" s="1"/>
      <c r="L795" s="81"/>
      <c r="M795" s="1"/>
      <c r="N795" s="468"/>
      <c r="O795" s="1"/>
      <c r="P795" s="1"/>
      <c r="Q795" s="1"/>
      <c r="R795" s="1"/>
    </row>
    <row r="796" ht="12.75" customHeight="1">
      <c r="A796" s="17"/>
      <c r="B796" s="1"/>
      <c r="C796" s="1"/>
      <c r="D796" s="150"/>
      <c r="E796" s="150"/>
      <c r="F796" s="75"/>
      <c r="G796" s="67"/>
      <c r="H796" s="68"/>
      <c r="I796" s="76"/>
      <c r="J796" s="67"/>
      <c r="K796" s="1"/>
      <c r="L796" s="81"/>
      <c r="M796" s="1"/>
      <c r="N796" s="468"/>
      <c r="O796" s="1"/>
      <c r="P796" s="1"/>
      <c r="Q796" s="1"/>
      <c r="R796" s="1"/>
    </row>
    <row r="797" ht="12.75" customHeight="1">
      <c r="A797" s="17"/>
      <c r="B797" s="1"/>
      <c r="C797" s="1"/>
      <c r="D797" s="150"/>
      <c r="E797" s="150"/>
      <c r="F797" s="75"/>
      <c r="G797" s="67"/>
      <c r="H797" s="68"/>
      <c r="I797" s="76"/>
      <c r="J797" s="67"/>
      <c r="K797" s="1"/>
      <c r="L797" s="81"/>
      <c r="M797" s="1"/>
      <c r="N797" s="468"/>
      <c r="O797" s="1"/>
      <c r="P797" s="1"/>
      <c r="Q797" s="1"/>
      <c r="R797" s="1"/>
    </row>
    <row r="798" ht="12.75" customHeight="1">
      <c r="A798" s="17"/>
      <c r="B798" s="1"/>
      <c r="C798" s="1"/>
      <c r="D798" s="150"/>
      <c r="E798" s="150"/>
      <c r="F798" s="75"/>
      <c r="G798" s="67"/>
      <c r="H798" s="68"/>
      <c r="I798" s="76"/>
      <c r="J798" s="67"/>
      <c r="K798" s="1"/>
      <c r="L798" s="81"/>
      <c r="M798" s="1"/>
      <c r="N798" s="468"/>
      <c r="O798" s="1"/>
      <c r="P798" s="1"/>
      <c r="Q798" s="1"/>
      <c r="R798" s="1"/>
    </row>
    <row r="799" ht="12.75" customHeight="1">
      <c r="A799" s="17"/>
      <c r="B799" s="1"/>
      <c r="C799" s="1"/>
      <c r="D799" s="150"/>
      <c r="E799" s="150"/>
      <c r="F799" s="75"/>
      <c r="G799" s="67"/>
      <c r="H799" s="68"/>
      <c r="I799" s="76"/>
      <c r="J799" s="67"/>
      <c r="K799" s="1"/>
      <c r="L799" s="81"/>
      <c r="M799" s="1"/>
      <c r="N799" s="468"/>
      <c r="O799" s="1"/>
      <c r="P799" s="1"/>
      <c r="Q799" s="1"/>
      <c r="R799" s="1"/>
    </row>
    <row r="800" ht="12.75" customHeight="1">
      <c r="A800" s="17"/>
      <c r="B800" s="1"/>
      <c r="C800" s="1"/>
      <c r="D800" s="150"/>
      <c r="E800" s="150"/>
      <c r="F800" s="75"/>
      <c r="G800" s="67"/>
      <c r="H800" s="68"/>
      <c r="I800" s="76"/>
      <c r="J800" s="67"/>
      <c r="K800" s="1"/>
      <c r="L800" s="81"/>
      <c r="M800" s="1"/>
      <c r="N800" s="468"/>
      <c r="O800" s="1"/>
      <c r="P800" s="1"/>
      <c r="Q800" s="1"/>
      <c r="R800" s="1"/>
    </row>
    <row r="801" ht="12.75" customHeight="1">
      <c r="A801" s="17"/>
      <c r="B801" s="1"/>
      <c r="C801" s="1"/>
      <c r="D801" s="150"/>
      <c r="E801" s="150"/>
      <c r="F801" s="75"/>
      <c r="G801" s="67"/>
      <c r="H801" s="68"/>
      <c r="I801" s="76"/>
      <c r="J801" s="67"/>
      <c r="K801" s="1"/>
      <c r="L801" s="81"/>
      <c r="M801" s="1"/>
      <c r="N801" s="468"/>
      <c r="O801" s="1"/>
      <c r="P801" s="1"/>
      <c r="Q801" s="1"/>
      <c r="R801" s="1"/>
    </row>
    <row r="802" ht="12.75" customHeight="1">
      <c r="A802" s="17"/>
      <c r="B802" s="1"/>
      <c r="C802" s="1"/>
      <c r="D802" s="150"/>
      <c r="E802" s="150"/>
      <c r="F802" s="75"/>
      <c r="G802" s="67"/>
      <c r="H802" s="68"/>
      <c r="I802" s="76"/>
      <c r="J802" s="67"/>
      <c r="K802" s="1"/>
      <c r="L802" s="81"/>
      <c r="M802" s="1"/>
      <c r="N802" s="468"/>
      <c r="O802" s="1"/>
      <c r="P802" s="1"/>
      <c r="Q802" s="1"/>
      <c r="R802" s="1"/>
    </row>
    <row r="803" ht="12.75" customHeight="1">
      <c r="A803" s="17"/>
      <c r="B803" s="1"/>
      <c r="C803" s="1"/>
      <c r="D803" s="150"/>
      <c r="E803" s="150"/>
      <c r="F803" s="75"/>
      <c r="G803" s="67"/>
      <c r="H803" s="68"/>
      <c r="I803" s="76"/>
      <c r="J803" s="67"/>
      <c r="K803" s="1"/>
      <c r="L803" s="81"/>
      <c r="M803" s="1"/>
      <c r="N803" s="468"/>
      <c r="O803" s="1"/>
      <c r="P803" s="1"/>
      <c r="Q803" s="1"/>
      <c r="R803" s="1"/>
    </row>
    <row r="804" ht="12.75" customHeight="1">
      <c r="A804" s="17"/>
      <c r="B804" s="1"/>
      <c r="C804" s="1"/>
      <c r="D804" s="150"/>
      <c r="E804" s="150"/>
      <c r="F804" s="75"/>
      <c r="G804" s="67"/>
      <c r="H804" s="68"/>
      <c r="I804" s="76"/>
      <c r="J804" s="67"/>
      <c r="K804" s="1"/>
      <c r="L804" s="81"/>
      <c r="M804" s="1"/>
      <c r="N804" s="468"/>
      <c r="O804" s="1"/>
      <c r="P804" s="1"/>
      <c r="Q804" s="1"/>
      <c r="R804" s="1"/>
    </row>
    <row r="805" ht="12.75" customHeight="1">
      <c r="A805" s="17"/>
      <c r="B805" s="1"/>
      <c r="C805" s="1"/>
      <c r="D805" s="150"/>
      <c r="E805" s="150"/>
      <c r="F805" s="75"/>
      <c r="G805" s="67"/>
      <c r="H805" s="68"/>
      <c r="I805" s="76"/>
      <c r="J805" s="67"/>
      <c r="K805" s="1"/>
      <c r="L805" s="81"/>
      <c r="M805" s="1"/>
      <c r="N805" s="468"/>
      <c r="O805" s="1"/>
      <c r="P805" s="1"/>
      <c r="Q805" s="1"/>
      <c r="R805" s="1"/>
    </row>
    <row r="806" ht="12.75" customHeight="1">
      <c r="A806" s="17"/>
      <c r="B806" s="1"/>
      <c r="C806" s="1"/>
      <c r="D806" s="150"/>
      <c r="E806" s="150"/>
      <c r="F806" s="75"/>
      <c r="G806" s="67"/>
      <c r="H806" s="68"/>
      <c r="I806" s="76"/>
      <c r="J806" s="67"/>
      <c r="K806" s="1"/>
      <c r="L806" s="81"/>
      <c r="M806" s="1"/>
      <c r="N806" s="468"/>
      <c r="O806" s="1"/>
      <c r="P806" s="1"/>
      <c r="Q806" s="1"/>
      <c r="R806" s="1"/>
    </row>
    <row r="807" ht="12.75" customHeight="1">
      <c r="A807" s="17"/>
      <c r="B807" s="1"/>
      <c r="C807" s="1"/>
      <c r="D807" s="150"/>
      <c r="E807" s="150"/>
      <c r="F807" s="75"/>
      <c r="G807" s="67"/>
      <c r="H807" s="68"/>
      <c r="I807" s="76"/>
      <c r="J807" s="67"/>
      <c r="K807" s="1"/>
      <c r="L807" s="81"/>
      <c r="M807" s="1"/>
      <c r="N807" s="468"/>
      <c r="O807" s="1"/>
      <c r="P807" s="1"/>
      <c r="Q807" s="1"/>
      <c r="R807" s="1"/>
    </row>
    <row r="808" ht="12.75" customHeight="1">
      <c r="A808" s="17"/>
      <c r="B808" s="1"/>
      <c r="C808" s="1"/>
      <c r="D808" s="150"/>
      <c r="E808" s="150"/>
      <c r="F808" s="75"/>
      <c r="G808" s="67"/>
      <c r="H808" s="68"/>
      <c r="I808" s="76"/>
      <c r="J808" s="67"/>
      <c r="K808" s="1"/>
      <c r="L808" s="81"/>
      <c r="M808" s="1"/>
      <c r="N808" s="468"/>
      <c r="O808" s="1"/>
      <c r="P808" s="1"/>
      <c r="Q808" s="1"/>
      <c r="R808" s="1"/>
    </row>
    <row r="809" ht="12.75" customHeight="1">
      <c r="A809" s="17"/>
      <c r="B809" s="1"/>
      <c r="C809" s="1"/>
      <c r="D809" s="150"/>
      <c r="E809" s="150"/>
      <c r="F809" s="75"/>
      <c r="G809" s="67"/>
      <c r="H809" s="68"/>
      <c r="I809" s="76"/>
      <c r="J809" s="67"/>
      <c r="K809" s="1"/>
      <c r="L809" s="81"/>
      <c r="M809" s="1"/>
      <c r="N809" s="468"/>
      <c r="O809" s="1"/>
      <c r="P809" s="1"/>
      <c r="Q809" s="1"/>
      <c r="R809" s="1"/>
    </row>
    <row r="810" ht="12.75" customHeight="1">
      <c r="A810" s="17"/>
      <c r="B810" s="1"/>
      <c r="C810" s="1"/>
      <c r="D810" s="150"/>
      <c r="E810" s="150"/>
      <c r="F810" s="75"/>
      <c r="G810" s="67"/>
      <c r="H810" s="68"/>
      <c r="I810" s="76"/>
      <c r="J810" s="67"/>
      <c r="K810" s="1"/>
      <c r="L810" s="81"/>
      <c r="M810" s="1"/>
      <c r="N810" s="468"/>
      <c r="O810" s="1"/>
      <c r="P810" s="1"/>
      <c r="Q810" s="1"/>
      <c r="R810" s="1"/>
    </row>
    <row r="811" ht="12.75" customHeight="1">
      <c r="A811" s="17"/>
      <c r="B811" s="1"/>
      <c r="C811" s="1"/>
      <c r="D811" s="150"/>
      <c r="E811" s="150"/>
      <c r="F811" s="75"/>
      <c r="G811" s="67"/>
      <c r="H811" s="68"/>
      <c r="I811" s="76"/>
      <c r="J811" s="67"/>
      <c r="K811" s="1"/>
      <c r="L811" s="81"/>
      <c r="M811" s="1"/>
      <c r="N811" s="468"/>
      <c r="O811" s="1"/>
      <c r="P811" s="1"/>
      <c r="Q811" s="1"/>
      <c r="R811" s="1"/>
    </row>
    <row r="812" ht="12.75" customHeight="1">
      <c r="A812" s="17"/>
      <c r="B812" s="1"/>
      <c r="C812" s="1"/>
      <c r="D812" s="150"/>
      <c r="E812" s="150"/>
      <c r="F812" s="75"/>
      <c r="G812" s="67"/>
      <c r="H812" s="68"/>
      <c r="I812" s="76"/>
      <c r="J812" s="67"/>
      <c r="K812" s="1"/>
      <c r="L812" s="81"/>
      <c r="M812" s="1"/>
      <c r="N812" s="468"/>
      <c r="O812" s="1"/>
      <c r="P812" s="1"/>
      <c r="Q812" s="1"/>
      <c r="R812" s="1"/>
    </row>
    <row r="813" ht="12.75" customHeight="1">
      <c r="A813" s="17"/>
      <c r="B813" s="1"/>
      <c r="C813" s="1"/>
      <c r="D813" s="150"/>
      <c r="E813" s="150"/>
      <c r="F813" s="75"/>
      <c r="G813" s="67"/>
      <c r="H813" s="68"/>
      <c r="I813" s="76"/>
      <c r="J813" s="67"/>
      <c r="K813" s="1"/>
      <c r="L813" s="81"/>
      <c r="M813" s="1"/>
      <c r="N813" s="468"/>
      <c r="O813" s="1"/>
      <c r="P813" s="1"/>
      <c r="Q813" s="1"/>
      <c r="R813" s="1"/>
    </row>
    <row r="814" ht="12.75" customHeight="1">
      <c r="A814" s="17"/>
      <c r="B814" s="1"/>
      <c r="C814" s="1"/>
      <c r="D814" s="150"/>
      <c r="E814" s="150"/>
      <c r="F814" s="75"/>
      <c r="G814" s="67"/>
      <c r="H814" s="68"/>
      <c r="I814" s="76"/>
      <c r="J814" s="67"/>
      <c r="K814" s="1"/>
      <c r="L814" s="81"/>
      <c r="M814" s="1"/>
      <c r="N814" s="468"/>
      <c r="O814" s="1"/>
      <c r="P814" s="1"/>
      <c r="Q814" s="1"/>
      <c r="R814" s="1"/>
    </row>
    <row r="815" ht="12.75" customHeight="1">
      <c r="A815" s="17"/>
      <c r="B815" s="1"/>
      <c r="C815" s="1"/>
      <c r="D815" s="150"/>
      <c r="E815" s="150"/>
      <c r="F815" s="75"/>
      <c r="G815" s="67"/>
      <c r="H815" s="68"/>
      <c r="I815" s="76"/>
      <c r="J815" s="67"/>
      <c r="K815" s="1"/>
      <c r="L815" s="81"/>
      <c r="M815" s="1"/>
      <c r="N815" s="468"/>
      <c r="O815" s="1"/>
      <c r="P815" s="1"/>
      <c r="Q815" s="1"/>
      <c r="R815" s="1"/>
    </row>
    <row r="816" ht="12.75" customHeight="1">
      <c r="A816" s="17"/>
      <c r="B816" s="1"/>
      <c r="C816" s="1"/>
      <c r="D816" s="150"/>
      <c r="E816" s="150"/>
      <c r="F816" s="75"/>
      <c r="G816" s="67"/>
      <c r="H816" s="68"/>
      <c r="I816" s="76"/>
      <c r="J816" s="67"/>
      <c r="K816" s="1"/>
      <c r="L816" s="81"/>
      <c r="M816" s="1"/>
      <c r="N816" s="468"/>
      <c r="O816" s="1"/>
      <c r="P816" s="1"/>
      <c r="Q816" s="1"/>
      <c r="R816" s="1"/>
    </row>
    <row r="817" ht="12.75" customHeight="1">
      <c r="A817" s="17"/>
      <c r="B817" s="1"/>
      <c r="C817" s="1"/>
      <c r="D817" s="150"/>
      <c r="E817" s="150"/>
      <c r="F817" s="75"/>
      <c r="G817" s="67"/>
      <c r="H817" s="68"/>
      <c r="I817" s="76"/>
      <c r="J817" s="67"/>
      <c r="K817" s="1"/>
      <c r="L817" s="81"/>
      <c r="M817" s="1"/>
      <c r="N817" s="468"/>
      <c r="O817" s="1"/>
      <c r="P817" s="1"/>
      <c r="Q817" s="1"/>
      <c r="R817" s="1"/>
    </row>
    <row r="818" ht="12.75" customHeight="1">
      <c r="A818" s="17"/>
      <c r="B818" s="1"/>
      <c r="C818" s="1"/>
      <c r="D818" s="150"/>
      <c r="E818" s="150"/>
      <c r="F818" s="75"/>
      <c r="G818" s="67"/>
      <c r="H818" s="68"/>
      <c r="I818" s="76"/>
      <c r="J818" s="67"/>
      <c r="K818" s="1"/>
      <c r="L818" s="81"/>
      <c r="M818" s="1"/>
      <c r="N818" s="468"/>
      <c r="O818" s="1"/>
      <c r="P818" s="1"/>
      <c r="Q818" s="1"/>
      <c r="R818" s="1"/>
    </row>
    <row r="819" ht="12.75" customHeight="1">
      <c r="A819" s="17"/>
      <c r="B819" s="1"/>
      <c r="C819" s="1"/>
      <c r="D819" s="150"/>
      <c r="E819" s="150"/>
      <c r="F819" s="75"/>
      <c r="G819" s="67"/>
      <c r="H819" s="68"/>
      <c r="I819" s="76"/>
      <c r="J819" s="67"/>
      <c r="K819" s="1"/>
      <c r="L819" s="81"/>
      <c r="M819" s="1"/>
      <c r="N819" s="468"/>
      <c r="O819" s="1"/>
      <c r="P819" s="1"/>
      <c r="Q819" s="1"/>
      <c r="R819" s="1"/>
    </row>
    <row r="820" ht="12.75" customHeight="1">
      <c r="A820" s="17"/>
      <c r="B820" s="1"/>
      <c r="C820" s="1"/>
      <c r="D820" s="150"/>
      <c r="E820" s="150"/>
      <c r="F820" s="75"/>
      <c r="G820" s="67"/>
      <c r="H820" s="68"/>
      <c r="I820" s="76"/>
      <c r="J820" s="67"/>
      <c r="K820" s="1"/>
      <c r="L820" s="81"/>
      <c r="M820" s="1"/>
      <c r="N820" s="468"/>
      <c r="O820" s="1"/>
      <c r="P820" s="1"/>
      <c r="Q820" s="1"/>
      <c r="R820" s="1"/>
    </row>
    <row r="821" ht="12.75" customHeight="1">
      <c r="A821" s="17"/>
      <c r="B821" s="1"/>
      <c r="C821" s="1"/>
      <c r="D821" s="150"/>
      <c r="E821" s="150"/>
      <c r="F821" s="75"/>
      <c r="G821" s="67"/>
      <c r="H821" s="68"/>
      <c r="I821" s="76"/>
      <c r="J821" s="67"/>
      <c r="K821" s="1"/>
      <c r="L821" s="81"/>
      <c r="M821" s="1"/>
      <c r="N821" s="468"/>
      <c r="O821" s="1"/>
      <c r="P821" s="1"/>
      <c r="Q821" s="1"/>
      <c r="R821" s="1"/>
    </row>
    <row r="822" ht="12.75" customHeight="1">
      <c r="A822" s="17"/>
      <c r="B822" s="1"/>
      <c r="C822" s="1"/>
      <c r="D822" s="150"/>
      <c r="E822" s="150"/>
      <c r="F822" s="75"/>
      <c r="G822" s="67"/>
      <c r="H822" s="68"/>
      <c r="I822" s="76"/>
      <c r="J822" s="67"/>
      <c r="K822" s="1"/>
      <c r="L822" s="81"/>
      <c r="M822" s="1"/>
      <c r="N822" s="468"/>
      <c r="O822" s="1"/>
      <c r="P822" s="1"/>
      <c r="Q822" s="1"/>
      <c r="R822" s="1"/>
    </row>
    <row r="823" ht="12.75" customHeight="1">
      <c r="A823" s="17"/>
      <c r="B823" s="1"/>
      <c r="C823" s="1"/>
      <c r="D823" s="150"/>
      <c r="E823" s="150"/>
      <c r="F823" s="75"/>
      <c r="G823" s="67"/>
      <c r="H823" s="68"/>
      <c r="I823" s="76"/>
      <c r="J823" s="67"/>
      <c r="K823" s="1"/>
      <c r="L823" s="81"/>
      <c r="M823" s="1"/>
      <c r="N823" s="468"/>
      <c r="O823" s="1"/>
      <c r="P823" s="1"/>
      <c r="Q823" s="1"/>
      <c r="R823" s="1"/>
    </row>
    <row r="824" ht="12.75" customHeight="1">
      <c r="A824" s="17"/>
      <c r="B824" s="1"/>
      <c r="C824" s="1"/>
      <c r="D824" s="150"/>
      <c r="E824" s="150"/>
      <c r="F824" s="75"/>
      <c r="G824" s="67"/>
      <c r="H824" s="68"/>
      <c r="I824" s="76"/>
      <c r="J824" s="67"/>
      <c r="K824" s="1"/>
      <c r="L824" s="81"/>
      <c r="M824" s="1"/>
      <c r="N824" s="468"/>
      <c r="O824" s="1"/>
      <c r="P824" s="1"/>
      <c r="Q824" s="1"/>
      <c r="R824" s="1"/>
    </row>
    <row r="825" ht="12.75" customHeight="1">
      <c r="A825" s="17"/>
      <c r="B825" s="1"/>
      <c r="C825" s="1"/>
      <c r="D825" s="150"/>
      <c r="E825" s="150"/>
      <c r="F825" s="75"/>
      <c r="G825" s="67"/>
      <c r="H825" s="68"/>
      <c r="I825" s="76"/>
      <c r="J825" s="67"/>
      <c r="K825" s="1"/>
      <c r="L825" s="81"/>
      <c r="M825" s="1"/>
      <c r="N825" s="468"/>
      <c r="O825" s="1"/>
      <c r="P825" s="1"/>
      <c r="Q825" s="1"/>
      <c r="R825" s="1"/>
    </row>
    <row r="826" ht="12.75" customHeight="1">
      <c r="A826" s="17"/>
      <c r="B826" s="1"/>
      <c r="C826" s="1"/>
      <c r="D826" s="150"/>
      <c r="E826" s="150"/>
      <c r="F826" s="75"/>
      <c r="G826" s="67"/>
      <c r="H826" s="68"/>
      <c r="I826" s="76"/>
      <c r="J826" s="67"/>
      <c r="K826" s="1"/>
      <c r="L826" s="81"/>
      <c r="M826" s="1"/>
      <c r="N826" s="468"/>
      <c r="O826" s="1"/>
      <c r="P826" s="1"/>
      <c r="Q826" s="1"/>
      <c r="R826" s="1"/>
    </row>
    <row r="827" ht="12.75" customHeight="1">
      <c r="A827" s="17"/>
      <c r="B827" s="1"/>
      <c r="C827" s="1"/>
      <c r="D827" s="150"/>
      <c r="E827" s="150"/>
      <c r="F827" s="75"/>
      <c r="G827" s="67"/>
      <c r="H827" s="68"/>
      <c r="I827" s="76"/>
      <c r="J827" s="67"/>
      <c r="K827" s="1"/>
      <c r="L827" s="81"/>
      <c r="M827" s="1"/>
      <c r="N827" s="468"/>
      <c r="O827" s="1"/>
      <c r="P827" s="1"/>
      <c r="Q827" s="1"/>
      <c r="R827" s="1"/>
    </row>
    <row r="828" ht="12.75" customHeight="1">
      <c r="A828" s="17"/>
      <c r="B828" s="1"/>
      <c r="C828" s="1"/>
      <c r="D828" s="150"/>
      <c r="E828" s="150"/>
      <c r="F828" s="75"/>
      <c r="G828" s="67"/>
      <c r="H828" s="68"/>
      <c r="I828" s="76"/>
      <c r="J828" s="67"/>
      <c r="K828" s="1"/>
      <c r="L828" s="81"/>
      <c r="M828" s="1"/>
      <c r="N828" s="468"/>
      <c r="O828" s="1"/>
      <c r="P828" s="1"/>
      <c r="Q828" s="1"/>
      <c r="R828" s="1"/>
    </row>
    <row r="829" ht="12.75" customHeight="1">
      <c r="A829" s="17"/>
      <c r="B829" s="1"/>
      <c r="C829" s="1"/>
      <c r="D829" s="150"/>
      <c r="E829" s="150"/>
      <c r="F829" s="75"/>
      <c r="G829" s="67"/>
      <c r="H829" s="68"/>
      <c r="I829" s="76"/>
      <c r="J829" s="67"/>
      <c r="K829" s="1"/>
      <c r="L829" s="81"/>
      <c r="M829" s="1"/>
      <c r="N829" s="468"/>
      <c r="O829" s="1"/>
      <c r="P829" s="1"/>
      <c r="Q829" s="1"/>
      <c r="R829" s="1"/>
    </row>
    <row r="830" ht="12.75" customHeight="1">
      <c r="A830" s="17"/>
      <c r="B830" s="1"/>
      <c r="C830" s="1"/>
      <c r="D830" s="150"/>
      <c r="E830" s="150"/>
      <c r="F830" s="75"/>
      <c r="G830" s="67"/>
      <c r="H830" s="68"/>
      <c r="I830" s="76"/>
      <c r="J830" s="67"/>
      <c r="K830" s="1"/>
      <c r="L830" s="81"/>
      <c r="M830" s="1"/>
      <c r="N830" s="468"/>
      <c r="O830" s="1"/>
      <c r="P830" s="1"/>
      <c r="Q830" s="1"/>
      <c r="R830" s="1"/>
    </row>
    <row r="831" ht="12.75" customHeight="1">
      <c r="A831" s="17"/>
      <c r="B831" s="1"/>
      <c r="C831" s="1"/>
      <c r="D831" s="150"/>
      <c r="E831" s="150"/>
      <c r="F831" s="75"/>
      <c r="G831" s="67"/>
      <c r="H831" s="68"/>
      <c r="I831" s="76"/>
      <c r="J831" s="67"/>
      <c r="K831" s="1"/>
      <c r="L831" s="81"/>
      <c r="M831" s="1"/>
      <c r="N831" s="468"/>
      <c r="O831" s="1"/>
      <c r="P831" s="1"/>
      <c r="Q831" s="1"/>
      <c r="R831" s="1"/>
    </row>
    <row r="832" ht="12.75" customHeight="1">
      <c r="A832" s="17"/>
      <c r="B832" s="1"/>
      <c r="C832" s="1"/>
      <c r="D832" s="150"/>
      <c r="E832" s="150"/>
      <c r="F832" s="75"/>
      <c r="G832" s="67"/>
      <c r="H832" s="68"/>
      <c r="I832" s="76"/>
      <c r="J832" s="67"/>
      <c r="K832" s="1"/>
      <c r="L832" s="81"/>
      <c r="M832" s="1"/>
      <c r="N832" s="468"/>
      <c r="O832" s="1"/>
      <c r="P832" s="1"/>
      <c r="Q832" s="1"/>
      <c r="R832" s="1"/>
    </row>
    <row r="833" ht="12.75" customHeight="1">
      <c r="A833" s="17"/>
      <c r="B833" s="1"/>
      <c r="C833" s="1"/>
      <c r="D833" s="150"/>
      <c r="E833" s="150"/>
      <c r="F833" s="75"/>
      <c r="G833" s="67"/>
      <c r="H833" s="68"/>
      <c r="I833" s="76"/>
      <c r="J833" s="67"/>
      <c r="K833" s="1"/>
      <c r="L833" s="81"/>
      <c r="M833" s="1"/>
      <c r="N833" s="468"/>
      <c r="O833" s="1"/>
      <c r="P833" s="1"/>
      <c r="Q833" s="1"/>
      <c r="R833" s="1"/>
    </row>
    <row r="834" ht="12.75" customHeight="1">
      <c r="A834" s="17"/>
      <c r="B834" s="1"/>
      <c r="C834" s="1"/>
      <c r="D834" s="150"/>
      <c r="E834" s="150"/>
      <c r="F834" s="75"/>
      <c r="G834" s="67"/>
      <c r="H834" s="68"/>
      <c r="I834" s="76"/>
      <c r="J834" s="67"/>
      <c r="K834" s="1"/>
      <c r="L834" s="81"/>
      <c r="M834" s="1"/>
      <c r="N834" s="468"/>
      <c r="O834" s="1"/>
      <c r="P834" s="1"/>
      <c r="Q834" s="1"/>
      <c r="R834" s="1"/>
    </row>
    <row r="835" ht="12.75" customHeight="1">
      <c r="A835" s="17"/>
      <c r="B835" s="1"/>
      <c r="C835" s="1"/>
      <c r="D835" s="150"/>
      <c r="E835" s="150"/>
      <c r="F835" s="75"/>
      <c r="G835" s="67"/>
      <c r="H835" s="68"/>
      <c r="I835" s="76"/>
      <c r="J835" s="67"/>
      <c r="K835" s="1"/>
      <c r="L835" s="81"/>
      <c r="M835" s="1"/>
      <c r="N835" s="468"/>
      <c r="O835" s="1"/>
      <c r="P835" s="1"/>
      <c r="Q835" s="1"/>
      <c r="R835" s="1"/>
    </row>
    <row r="836" ht="12.75" customHeight="1">
      <c r="A836" s="17"/>
      <c r="B836" s="1"/>
      <c r="C836" s="1"/>
      <c r="D836" s="150"/>
      <c r="E836" s="150"/>
      <c r="F836" s="75"/>
      <c r="G836" s="67"/>
      <c r="H836" s="68"/>
      <c r="I836" s="76"/>
      <c r="J836" s="67"/>
      <c r="K836" s="1"/>
      <c r="L836" s="81"/>
      <c r="M836" s="1"/>
      <c r="N836" s="468"/>
      <c r="O836" s="1"/>
      <c r="P836" s="1"/>
      <c r="Q836" s="1"/>
      <c r="R836" s="1"/>
    </row>
    <row r="837" ht="12.75" customHeight="1">
      <c r="A837" s="17"/>
      <c r="B837" s="1"/>
      <c r="C837" s="1"/>
      <c r="D837" s="150"/>
      <c r="E837" s="150"/>
      <c r="F837" s="75"/>
      <c r="G837" s="67"/>
      <c r="H837" s="68"/>
      <c r="I837" s="76"/>
      <c r="J837" s="67"/>
      <c r="K837" s="1"/>
      <c r="L837" s="81"/>
      <c r="M837" s="1"/>
      <c r="N837" s="468"/>
      <c r="O837" s="1"/>
      <c r="P837" s="1"/>
      <c r="Q837" s="1"/>
      <c r="R837" s="1"/>
    </row>
    <row r="838" ht="12.75" customHeight="1">
      <c r="A838" s="17"/>
      <c r="B838" s="1"/>
      <c r="C838" s="1"/>
      <c r="D838" s="150"/>
      <c r="E838" s="150"/>
      <c r="F838" s="75"/>
      <c r="G838" s="67"/>
      <c r="H838" s="68"/>
      <c r="I838" s="76"/>
      <c r="J838" s="67"/>
      <c r="K838" s="1"/>
      <c r="L838" s="81"/>
      <c r="M838" s="1"/>
      <c r="N838" s="468"/>
      <c r="O838" s="1"/>
      <c r="P838" s="1"/>
      <c r="Q838" s="1"/>
      <c r="R838" s="1"/>
    </row>
    <row r="839" ht="12.75" customHeight="1">
      <c r="A839" s="17"/>
      <c r="B839" s="1"/>
      <c r="C839" s="1"/>
      <c r="D839" s="150"/>
      <c r="E839" s="150"/>
      <c r="F839" s="75"/>
      <c r="G839" s="67"/>
      <c r="H839" s="68"/>
      <c r="I839" s="76"/>
      <c r="J839" s="67"/>
      <c r="K839" s="1"/>
      <c r="L839" s="81"/>
      <c r="M839" s="1"/>
      <c r="N839" s="468"/>
      <c r="O839" s="1"/>
      <c r="P839" s="1"/>
      <c r="Q839" s="1"/>
      <c r="R839" s="1"/>
    </row>
    <row r="840" ht="12.75" customHeight="1">
      <c r="A840" s="17"/>
      <c r="B840" s="1"/>
      <c r="C840" s="1"/>
      <c r="D840" s="150"/>
      <c r="E840" s="150"/>
      <c r="F840" s="75"/>
      <c r="G840" s="67"/>
      <c r="H840" s="68"/>
      <c r="I840" s="76"/>
      <c r="J840" s="67"/>
      <c r="K840" s="1"/>
      <c r="L840" s="81"/>
      <c r="M840" s="1"/>
      <c r="N840" s="468"/>
      <c r="O840" s="1"/>
      <c r="P840" s="1"/>
      <c r="Q840" s="1"/>
      <c r="R840" s="1"/>
    </row>
    <row r="841" ht="12.75" customHeight="1">
      <c r="A841" s="17"/>
      <c r="B841" s="1"/>
      <c r="C841" s="1"/>
      <c r="D841" s="150"/>
      <c r="E841" s="150"/>
      <c r="F841" s="75"/>
      <c r="G841" s="67"/>
      <c r="H841" s="68"/>
      <c r="I841" s="76"/>
      <c r="J841" s="67"/>
      <c r="K841" s="1"/>
      <c r="L841" s="81"/>
      <c r="M841" s="1"/>
      <c r="N841" s="468"/>
      <c r="O841" s="1"/>
      <c r="P841" s="1"/>
      <c r="Q841" s="1"/>
      <c r="R841" s="1"/>
    </row>
    <row r="842" ht="12.75" customHeight="1">
      <c r="A842" s="17"/>
      <c r="B842" s="1"/>
      <c r="C842" s="1"/>
      <c r="D842" s="150"/>
      <c r="E842" s="150"/>
      <c r="F842" s="75"/>
      <c r="G842" s="67"/>
      <c r="H842" s="68"/>
      <c r="I842" s="76"/>
      <c r="J842" s="67"/>
      <c r="K842" s="1"/>
      <c r="L842" s="81"/>
      <c r="M842" s="1"/>
      <c r="N842" s="468"/>
      <c r="O842" s="1"/>
      <c r="P842" s="1"/>
      <c r="Q842" s="1"/>
      <c r="R842" s="1"/>
    </row>
    <row r="843" ht="12.75" customHeight="1">
      <c r="A843" s="17"/>
      <c r="B843" s="1"/>
      <c r="C843" s="1"/>
      <c r="D843" s="150"/>
      <c r="E843" s="150"/>
      <c r="F843" s="75"/>
      <c r="G843" s="67"/>
      <c r="H843" s="68"/>
      <c r="I843" s="76"/>
      <c r="J843" s="67"/>
      <c r="K843" s="1"/>
      <c r="L843" s="81"/>
      <c r="M843" s="1"/>
      <c r="N843" s="468"/>
      <c r="O843" s="1"/>
      <c r="P843" s="1"/>
      <c r="Q843" s="1"/>
      <c r="R843" s="1"/>
    </row>
    <row r="844" ht="12.75" customHeight="1">
      <c r="A844" s="17"/>
      <c r="B844" s="1"/>
      <c r="C844" s="1"/>
      <c r="D844" s="150"/>
      <c r="E844" s="150"/>
      <c r="F844" s="75"/>
      <c r="G844" s="67"/>
      <c r="H844" s="68"/>
      <c r="I844" s="76"/>
      <c r="J844" s="67"/>
      <c r="K844" s="1"/>
      <c r="L844" s="81"/>
      <c r="M844" s="1"/>
      <c r="N844" s="468"/>
      <c r="O844" s="1"/>
      <c r="P844" s="1"/>
      <c r="Q844" s="1"/>
      <c r="R844" s="1"/>
    </row>
    <row r="845" ht="12.75" customHeight="1">
      <c r="A845" s="17"/>
      <c r="B845" s="1"/>
      <c r="C845" s="1"/>
      <c r="D845" s="150"/>
      <c r="E845" s="150"/>
      <c r="F845" s="75"/>
      <c r="G845" s="67"/>
      <c r="H845" s="68"/>
      <c r="I845" s="76"/>
      <c r="J845" s="67"/>
      <c r="K845" s="1"/>
      <c r="L845" s="81"/>
      <c r="M845" s="1"/>
      <c r="N845" s="468"/>
      <c r="O845" s="1"/>
      <c r="P845" s="1"/>
      <c r="Q845" s="1"/>
      <c r="R845" s="1"/>
    </row>
    <row r="846" ht="12.75" customHeight="1">
      <c r="A846" s="17"/>
      <c r="B846" s="1"/>
      <c r="C846" s="1"/>
      <c r="D846" s="150"/>
      <c r="E846" s="150"/>
      <c r="F846" s="75"/>
      <c r="G846" s="67"/>
      <c r="H846" s="68"/>
      <c r="I846" s="76"/>
      <c r="J846" s="67"/>
      <c r="K846" s="1"/>
      <c r="L846" s="81"/>
      <c r="M846" s="1"/>
      <c r="N846" s="468"/>
      <c r="O846" s="1"/>
      <c r="P846" s="1"/>
      <c r="Q846" s="1"/>
      <c r="R846" s="1"/>
    </row>
    <row r="847" ht="12.75" customHeight="1">
      <c r="A847" s="17"/>
      <c r="B847" s="1"/>
      <c r="C847" s="1"/>
      <c r="D847" s="150"/>
      <c r="E847" s="150"/>
      <c r="F847" s="75"/>
      <c r="G847" s="67"/>
      <c r="H847" s="68"/>
      <c r="I847" s="76"/>
      <c r="J847" s="67"/>
      <c r="K847" s="1"/>
      <c r="L847" s="81"/>
      <c r="M847" s="1"/>
      <c r="N847" s="468"/>
      <c r="O847" s="1"/>
      <c r="P847" s="1"/>
      <c r="Q847" s="1"/>
      <c r="R847" s="1"/>
    </row>
    <row r="848" ht="12.75" customHeight="1">
      <c r="A848" s="17"/>
      <c r="B848" s="1"/>
      <c r="C848" s="1"/>
      <c r="D848" s="150"/>
      <c r="E848" s="150"/>
      <c r="F848" s="75"/>
      <c r="G848" s="67"/>
      <c r="H848" s="68"/>
      <c r="I848" s="76"/>
      <c r="J848" s="67"/>
      <c r="K848" s="1"/>
      <c r="L848" s="81"/>
      <c r="M848" s="1"/>
      <c r="N848" s="468"/>
      <c r="O848" s="1"/>
      <c r="P848" s="1"/>
      <c r="Q848" s="1"/>
      <c r="R848" s="1"/>
    </row>
    <row r="849" ht="12.75" customHeight="1">
      <c r="A849" s="17"/>
      <c r="B849" s="1"/>
      <c r="C849" s="1"/>
      <c r="D849" s="150"/>
      <c r="E849" s="150"/>
      <c r="F849" s="75"/>
      <c r="G849" s="67"/>
      <c r="H849" s="68"/>
      <c r="I849" s="76"/>
      <c r="J849" s="67"/>
      <c r="K849" s="1"/>
      <c r="L849" s="81"/>
      <c r="M849" s="1"/>
      <c r="N849" s="468"/>
      <c r="O849" s="1"/>
      <c r="P849" s="1"/>
      <c r="Q849" s="1"/>
      <c r="R849" s="1"/>
    </row>
    <row r="850" ht="12.75" customHeight="1">
      <c r="A850" s="17"/>
      <c r="B850" s="1"/>
      <c r="C850" s="1"/>
      <c r="D850" s="150"/>
      <c r="E850" s="150"/>
      <c r="F850" s="75"/>
      <c r="G850" s="67"/>
      <c r="H850" s="68"/>
      <c r="I850" s="76"/>
      <c r="J850" s="67"/>
      <c r="K850" s="1"/>
      <c r="L850" s="81"/>
      <c r="M850" s="1"/>
      <c r="N850" s="468"/>
      <c r="O850" s="1"/>
      <c r="P850" s="1"/>
      <c r="Q850" s="1"/>
      <c r="R850" s="1"/>
    </row>
    <row r="851" ht="12.75" customHeight="1">
      <c r="A851" s="17"/>
      <c r="B851" s="1"/>
      <c r="C851" s="1"/>
      <c r="D851" s="150"/>
      <c r="E851" s="150"/>
      <c r="F851" s="75"/>
      <c r="G851" s="67"/>
      <c r="H851" s="68"/>
      <c r="I851" s="76"/>
      <c r="J851" s="67"/>
      <c r="K851" s="1"/>
      <c r="L851" s="81"/>
      <c r="M851" s="1"/>
      <c r="N851" s="468"/>
      <c r="O851" s="1"/>
      <c r="P851" s="1"/>
      <c r="Q851" s="1"/>
      <c r="R851" s="1"/>
    </row>
    <row r="852" ht="12.75" customHeight="1">
      <c r="A852" s="17"/>
      <c r="B852" s="1"/>
      <c r="C852" s="1"/>
      <c r="D852" s="150"/>
      <c r="E852" s="150"/>
      <c r="F852" s="75"/>
      <c r="G852" s="67"/>
      <c r="H852" s="68"/>
      <c r="I852" s="76"/>
      <c r="J852" s="67"/>
      <c r="K852" s="1"/>
      <c r="L852" s="81"/>
      <c r="M852" s="1"/>
      <c r="N852" s="468"/>
      <c r="O852" s="1"/>
      <c r="P852" s="1"/>
      <c r="Q852" s="1"/>
      <c r="R852" s="1"/>
    </row>
    <row r="853" ht="12.75" customHeight="1">
      <c r="A853" s="17"/>
      <c r="B853" s="1"/>
      <c r="C853" s="1"/>
      <c r="D853" s="150"/>
      <c r="E853" s="150"/>
      <c r="F853" s="75"/>
      <c r="G853" s="67"/>
      <c r="H853" s="68"/>
      <c r="I853" s="76"/>
      <c r="J853" s="67"/>
      <c r="K853" s="1"/>
      <c r="L853" s="81"/>
      <c r="M853" s="1"/>
      <c r="N853" s="468"/>
      <c r="O853" s="1"/>
      <c r="P853" s="1"/>
      <c r="Q853" s="1"/>
      <c r="R853" s="1"/>
    </row>
    <row r="854" ht="12.75" customHeight="1">
      <c r="A854" s="17"/>
      <c r="B854" s="1"/>
      <c r="C854" s="1"/>
      <c r="D854" s="150"/>
      <c r="E854" s="150"/>
      <c r="F854" s="75"/>
      <c r="G854" s="67"/>
      <c r="H854" s="68"/>
      <c r="I854" s="76"/>
      <c r="J854" s="67"/>
      <c r="K854" s="1"/>
      <c r="L854" s="81"/>
      <c r="M854" s="1"/>
      <c r="N854" s="468"/>
      <c r="O854" s="1"/>
      <c r="P854" s="1"/>
      <c r="Q854" s="1"/>
      <c r="R854" s="1"/>
    </row>
    <row r="855" ht="12.75" customHeight="1">
      <c r="A855" s="17"/>
      <c r="B855" s="1"/>
      <c r="C855" s="1"/>
      <c r="D855" s="150"/>
      <c r="E855" s="150"/>
      <c r="F855" s="75"/>
      <c r="G855" s="67"/>
      <c r="H855" s="68"/>
      <c r="I855" s="76"/>
      <c r="J855" s="67"/>
      <c r="K855" s="1"/>
      <c r="L855" s="81"/>
      <c r="M855" s="1"/>
      <c r="N855" s="468"/>
      <c r="O855" s="1"/>
      <c r="P855" s="1"/>
      <c r="Q855" s="1"/>
      <c r="R855" s="1"/>
    </row>
    <row r="856" ht="12.75" customHeight="1">
      <c r="A856" s="17"/>
      <c r="B856" s="1"/>
      <c r="C856" s="1"/>
      <c r="D856" s="150"/>
      <c r="E856" s="150"/>
      <c r="F856" s="75"/>
      <c r="G856" s="67"/>
      <c r="H856" s="68"/>
      <c r="I856" s="76"/>
      <c r="J856" s="67"/>
      <c r="K856" s="1"/>
      <c r="L856" s="81"/>
      <c r="M856" s="1"/>
      <c r="N856" s="468"/>
      <c r="O856" s="1"/>
      <c r="P856" s="1"/>
      <c r="Q856" s="1"/>
      <c r="R856" s="1"/>
    </row>
    <row r="857" ht="12.75" customHeight="1">
      <c r="A857" s="17"/>
      <c r="B857" s="1"/>
      <c r="C857" s="1"/>
      <c r="D857" s="150"/>
      <c r="E857" s="150"/>
      <c r="F857" s="75"/>
      <c r="G857" s="67"/>
      <c r="H857" s="68"/>
      <c r="I857" s="76"/>
      <c r="J857" s="67"/>
      <c r="K857" s="1"/>
      <c r="L857" s="81"/>
      <c r="M857" s="1"/>
      <c r="N857" s="468"/>
      <c r="O857" s="1"/>
      <c r="P857" s="1"/>
      <c r="Q857" s="1"/>
      <c r="R857" s="1"/>
    </row>
    <row r="858" ht="12.75" customHeight="1">
      <c r="A858" s="17"/>
      <c r="B858" s="1"/>
      <c r="C858" s="1"/>
      <c r="D858" s="150"/>
      <c r="E858" s="150"/>
      <c r="F858" s="75"/>
      <c r="G858" s="67"/>
      <c r="H858" s="68"/>
      <c r="I858" s="76"/>
      <c r="J858" s="67"/>
      <c r="K858" s="1"/>
      <c r="L858" s="81"/>
      <c r="M858" s="1"/>
      <c r="N858" s="468"/>
      <c r="O858" s="1"/>
      <c r="P858" s="1"/>
      <c r="Q858" s="1"/>
      <c r="R858" s="1"/>
    </row>
    <row r="859" ht="12.75" customHeight="1">
      <c r="A859" s="17"/>
      <c r="B859" s="1"/>
      <c r="C859" s="1"/>
      <c r="D859" s="150"/>
      <c r="E859" s="150"/>
      <c r="F859" s="75"/>
      <c r="G859" s="67"/>
      <c r="H859" s="68"/>
      <c r="I859" s="76"/>
      <c r="J859" s="67"/>
      <c r="K859" s="1"/>
      <c r="L859" s="81"/>
      <c r="M859" s="1"/>
      <c r="N859" s="468"/>
      <c r="O859" s="1"/>
      <c r="P859" s="1"/>
      <c r="Q859" s="1"/>
      <c r="R859" s="1"/>
    </row>
    <row r="860" ht="12.75" customHeight="1">
      <c r="A860" s="17"/>
      <c r="B860" s="1"/>
      <c r="C860" s="1"/>
      <c r="D860" s="150"/>
      <c r="E860" s="150"/>
      <c r="F860" s="75"/>
      <c r="G860" s="67"/>
      <c r="H860" s="68"/>
      <c r="I860" s="76"/>
      <c r="J860" s="67"/>
      <c r="K860" s="1"/>
      <c r="L860" s="81"/>
      <c r="M860" s="1"/>
      <c r="N860" s="468"/>
      <c r="O860" s="1"/>
      <c r="P860" s="1"/>
      <c r="Q860" s="1"/>
      <c r="R860" s="1"/>
    </row>
    <row r="861" ht="12.75" customHeight="1">
      <c r="A861" s="17"/>
      <c r="B861" s="1"/>
      <c r="C861" s="1"/>
      <c r="D861" s="150"/>
      <c r="E861" s="150"/>
      <c r="F861" s="75"/>
      <c r="G861" s="67"/>
      <c r="H861" s="68"/>
      <c r="I861" s="76"/>
      <c r="J861" s="67"/>
      <c r="K861" s="1"/>
      <c r="L861" s="81"/>
      <c r="M861" s="1"/>
      <c r="N861" s="468"/>
      <c r="O861" s="1"/>
      <c r="P861" s="1"/>
      <c r="Q861" s="1"/>
      <c r="R861" s="1"/>
    </row>
    <row r="862" ht="12.75" customHeight="1">
      <c r="A862" s="17"/>
      <c r="B862" s="1"/>
      <c r="C862" s="1"/>
      <c r="D862" s="150"/>
      <c r="E862" s="150"/>
      <c r="F862" s="75"/>
      <c r="G862" s="67"/>
      <c r="H862" s="68"/>
      <c r="I862" s="76"/>
      <c r="J862" s="67"/>
      <c r="K862" s="1"/>
      <c r="L862" s="81"/>
      <c r="M862" s="1"/>
      <c r="N862" s="468"/>
      <c r="O862" s="1"/>
      <c r="P862" s="1"/>
      <c r="Q862" s="1"/>
      <c r="R862" s="1"/>
    </row>
    <row r="863" ht="12.75" customHeight="1">
      <c r="A863" s="17"/>
      <c r="B863" s="1"/>
      <c r="C863" s="1"/>
      <c r="D863" s="150"/>
      <c r="E863" s="150"/>
      <c r="F863" s="75"/>
      <c r="G863" s="67"/>
      <c r="H863" s="68"/>
      <c r="I863" s="76"/>
      <c r="J863" s="67"/>
      <c r="K863" s="1"/>
      <c r="L863" s="81"/>
      <c r="M863" s="1"/>
      <c r="N863" s="468"/>
      <c r="O863" s="1"/>
      <c r="P863" s="1"/>
      <c r="Q863" s="1"/>
      <c r="R863" s="1"/>
    </row>
    <row r="864" ht="12.75" customHeight="1">
      <c r="A864" s="17"/>
      <c r="B864" s="1"/>
      <c r="C864" s="1"/>
      <c r="D864" s="150"/>
      <c r="E864" s="150"/>
      <c r="F864" s="75"/>
      <c r="G864" s="67"/>
      <c r="H864" s="68"/>
      <c r="I864" s="76"/>
      <c r="J864" s="67"/>
      <c r="K864" s="1"/>
      <c r="L864" s="81"/>
      <c r="M864" s="1"/>
      <c r="N864" s="468"/>
      <c r="O864" s="1"/>
      <c r="P864" s="1"/>
      <c r="Q864" s="1"/>
      <c r="R864" s="1"/>
    </row>
    <row r="865" ht="12.75" customHeight="1">
      <c r="A865" s="17"/>
      <c r="B865" s="1"/>
      <c r="C865" s="1"/>
      <c r="D865" s="150"/>
      <c r="E865" s="150"/>
      <c r="F865" s="75"/>
      <c r="G865" s="67"/>
      <c r="H865" s="68"/>
      <c r="I865" s="76"/>
      <c r="J865" s="67"/>
      <c r="K865" s="1"/>
      <c r="L865" s="81"/>
      <c r="M865" s="1"/>
      <c r="N865" s="468"/>
      <c r="O865" s="1"/>
      <c r="P865" s="1"/>
      <c r="Q865" s="1"/>
      <c r="R865" s="1"/>
    </row>
    <row r="866" ht="12.75" customHeight="1">
      <c r="A866" s="17"/>
      <c r="B866" s="1"/>
      <c r="C866" s="1"/>
      <c r="D866" s="150"/>
      <c r="E866" s="150"/>
      <c r="F866" s="75"/>
      <c r="G866" s="67"/>
      <c r="H866" s="68"/>
      <c r="I866" s="76"/>
      <c r="J866" s="67"/>
      <c r="K866" s="1"/>
      <c r="L866" s="81"/>
      <c r="M866" s="1"/>
      <c r="N866" s="468"/>
      <c r="O866" s="1"/>
      <c r="P866" s="1"/>
      <c r="Q866" s="1"/>
      <c r="R866" s="1"/>
    </row>
    <row r="867" ht="12.75" customHeight="1">
      <c r="A867" s="17"/>
      <c r="B867" s="1"/>
      <c r="C867" s="1"/>
      <c r="D867" s="150"/>
      <c r="E867" s="150"/>
      <c r="F867" s="75"/>
      <c r="G867" s="67"/>
      <c r="H867" s="68"/>
      <c r="I867" s="76"/>
      <c r="J867" s="67"/>
      <c r="K867" s="1"/>
      <c r="L867" s="81"/>
      <c r="M867" s="1"/>
      <c r="N867" s="468"/>
      <c r="O867" s="1"/>
      <c r="P867" s="1"/>
      <c r="Q867" s="1"/>
      <c r="R867" s="1"/>
    </row>
    <row r="868" ht="12.75" customHeight="1">
      <c r="A868" s="17"/>
      <c r="B868" s="1"/>
      <c r="C868" s="1"/>
      <c r="D868" s="150"/>
      <c r="E868" s="150"/>
      <c r="F868" s="75"/>
      <c r="G868" s="67"/>
      <c r="H868" s="68"/>
      <c r="I868" s="76"/>
      <c r="J868" s="67"/>
      <c r="K868" s="1"/>
      <c r="L868" s="81"/>
      <c r="M868" s="1"/>
      <c r="N868" s="468"/>
      <c r="O868" s="1"/>
      <c r="P868" s="1"/>
      <c r="Q868" s="1"/>
      <c r="R868" s="1"/>
    </row>
    <row r="869" ht="12.75" customHeight="1">
      <c r="A869" s="17"/>
      <c r="B869" s="1"/>
      <c r="C869" s="1"/>
      <c r="D869" s="150"/>
      <c r="E869" s="150"/>
      <c r="F869" s="75"/>
      <c r="G869" s="67"/>
      <c r="H869" s="68"/>
      <c r="I869" s="76"/>
      <c r="J869" s="67"/>
      <c r="K869" s="1"/>
      <c r="L869" s="81"/>
      <c r="M869" s="1"/>
      <c r="N869" s="468"/>
      <c r="O869" s="1"/>
      <c r="P869" s="1"/>
      <c r="Q869" s="1"/>
      <c r="R869" s="1"/>
    </row>
    <row r="870" ht="12.75" customHeight="1">
      <c r="A870" s="17"/>
      <c r="B870" s="1"/>
      <c r="C870" s="1"/>
      <c r="D870" s="150"/>
      <c r="E870" s="150"/>
      <c r="F870" s="75"/>
      <c r="G870" s="67"/>
      <c r="H870" s="68"/>
      <c r="I870" s="76"/>
      <c r="J870" s="67"/>
      <c r="K870" s="1"/>
      <c r="L870" s="81"/>
      <c r="M870" s="1"/>
      <c r="N870" s="468"/>
      <c r="O870" s="1"/>
      <c r="P870" s="1"/>
      <c r="Q870" s="1"/>
      <c r="R870" s="1"/>
    </row>
    <row r="871" ht="12.75" customHeight="1">
      <c r="A871" s="17"/>
      <c r="B871" s="1"/>
      <c r="C871" s="1"/>
      <c r="D871" s="150"/>
      <c r="E871" s="150"/>
      <c r="F871" s="75"/>
      <c r="G871" s="67"/>
      <c r="H871" s="68"/>
      <c r="I871" s="76"/>
      <c r="J871" s="67"/>
      <c r="K871" s="1"/>
      <c r="L871" s="81"/>
      <c r="M871" s="1"/>
      <c r="N871" s="468"/>
      <c r="O871" s="1"/>
      <c r="P871" s="1"/>
      <c r="Q871" s="1"/>
      <c r="R871" s="1"/>
    </row>
    <row r="872" ht="12.75" customHeight="1">
      <c r="A872" s="17"/>
      <c r="B872" s="1"/>
      <c r="C872" s="1"/>
      <c r="D872" s="150"/>
      <c r="E872" s="150"/>
      <c r="F872" s="75"/>
      <c r="G872" s="67"/>
      <c r="H872" s="68"/>
      <c r="I872" s="76"/>
      <c r="J872" s="67"/>
      <c r="K872" s="1"/>
      <c r="L872" s="81"/>
      <c r="M872" s="1"/>
      <c r="N872" s="468"/>
      <c r="O872" s="1"/>
      <c r="P872" s="1"/>
      <c r="Q872" s="1"/>
      <c r="R872" s="1"/>
    </row>
    <row r="873" ht="12.75" customHeight="1">
      <c r="A873" s="17"/>
      <c r="B873" s="1"/>
      <c r="C873" s="1"/>
      <c r="D873" s="150"/>
      <c r="E873" s="150"/>
      <c r="F873" s="75"/>
      <c r="G873" s="67"/>
      <c r="H873" s="68"/>
      <c r="I873" s="76"/>
      <c r="J873" s="67"/>
      <c r="K873" s="1"/>
      <c r="L873" s="81"/>
      <c r="M873" s="1"/>
      <c r="N873" s="468"/>
      <c r="O873" s="1"/>
      <c r="P873" s="1"/>
      <c r="Q873" s="1"/>
      <c r="R873" s="1"/>
    </row>
    <row r="874" ht="12.75" customHeight="1">
      <c r="A874" s="17"/>
      <c r="B874" s="1"/>
      <c r="C874" s="1"/>
      <c r="D874" s="150"/>
      <c r="E874" s="150"/>
      <c r="F874" s="75"/>
      <c r="G874" s="67"/>
      <c r="H874" s="68"/>
      <c r="I874" s="76"/>
      <c r="J874" s="67"/>
      <c r="K874" s="1"/>
      <c r="L874" s="81"/>
      <c r="M874" s="1"/>
      <c r="N874" s="468"/>
      <c r="O874" s="1"/>
      <c r="P874" s="1"/>
      <c r="Q874" s="1"/>
      <c r="R874" s="1"/>
    </row>
    <row r="875" ht="12.75" customHeight="1">
      <c r="A875" s="17"/>
      <c r="B875" s="1"/>
      <c r="C875" s="1"/>
      <c r="D875" s="150"/>
      <c r="E875" s="150"/>
      <c r="F875" s="75"/>
      <c r="G875" s="67"/>
      <c r="H875" s="68"/>
      <c r="I875" s="76"/>
      <c r="J875" s="67"/>
      <c r="K875" s="1"/>
      <c r="L875" s="81"/>
      <c r="M875" s="1"/>
      <c r="N875" s="468"/>
      <c r="O875" s="1"/>
      <c r="P875" s="1"/>
      <c r="Q875" s="1"/>
      <c r="R875" s="1"/>
    </row>
    <row r="876" ht="12.75" customHeight="1">
      <c r="A876" s="17"/>
      <c r="B876" s="1"/>
      <c r="C876" s="1"/>
      <c r="D876" s="150"/>
      <c r="E876" s="150"/>
      <c r="F876" s="75"/>
      <c r="G876" s="67"/>
      <c r="H876" s="68"/>
      <c r="I876" s="76"/>
      <c r="J876" s="67"/>
      <c r="K876" s="1"/>
      <c r="L876" s="81"/>
      <c r="M876" s="1"/>
      <c r="N876" s="468"/>
      <c r="O876" s="1"/>
      <c r="P876" s="1"/>
      <c r="Q876" s="1"/>
      <c r="R876" s="1"/>
    </row>
    <row r="877" ht="12.75" customHeight="1">
      <c r="A877" s="17"/>
      <c r="B877" s="1"/>
      <c r="C877" s="1"/>
      <c r="D877" s="150"/>
      <c r="E877" s="150"/>
      <c r="F877" s="75"/>
      <c r="G877" s="67"/>
      <c r="H877" s="68"/>
      <c r="I877" s="76"/>
      <c r="J877" s="67"/>
      <c r="K877" s="1"/>
      <c r="L877" s="81"/>
      <c r="M877" s="1"/>
      <c r="N877" s="468"/>
      <c r="O877" s="1"/>
      <c r="P877" s="1"/>
      <c r="Q877" s="1"/>
      <c r="R877" s="1"/>
    </row>
    <row r="878" ht="12.75" customHeight="1">
      <c r="A878" s="17"/>
      <c r="B878" s="1"/>
      <c r="C878" s="1"/>
      <c r="D878" s="150"/>
      <c r="E878" s="150"/>
      <c r="F878" s="75"/>
      <c r="G878" s="67"/>
      <c r="H878" s="68"/>
      <c r="I878" s="76"/>
      <c r="J878" s="67"/>
      <c r="K878" s="1"/>
      <c r="L878" s="81"/>
      <c r="M878" s="1"/>
      <c r="N878" s="468"/>
      <c r="O878" s="1"/>
      <c r="P878" s="1"/>
      <c r="Q878" s="1"/>
      <c r="R878" s="1"/>
    </row>
    <row r="879" ht="12.75" customHeight="1">
      <c r="A879" s="17"/>
      <c r="B879" s="1"/>
      <c r="C879" s="1"/>
      <c r="D879" s="150"/>
      <c r="E879" s="150"/>
      <c r="F879" s="75"/>
      <c r="G879" s="67"/>
      <c r="H879" s="68"/>
      <c r="I879" s="76"/>
      <c r="J879" s="67"/>
      <c r="K879" s="1"/>
      <c r="L879" s="81"/>
      <c r="M879" s="1"/>
      <c r="N879" s="468"/>
      <c r="O879" s="1"/>
      <c r="P879" s="1"/>
      <c r="Q879" s="1"/>
      <c r="R879" s="1"/>
    </row>
    <row r="880" ht="12.75" customHeight="1">
      <c r="A880" s="17"/>
      <c r="B880" s="1"/>
      <c r="C880" s="1"/>
      <c r="D880" s="150"/>
      <c r="E880" s="150"/>
      <c r="F880" s="75"/>
      <c r="G880" s="67"/>
      <c r="H880" s="68"/>
      <c r="I880" s="76"/>
      <c r="J880" s="67"/>
      <c r="K880" s="1"/>
      <c r="L880" s="81"/>
      <c r="M880" s="1"/>
      <c r="N880" s="468"/>
      <c r="O880" s="1"/>
      <c r="P880" s="1"/>
      <c r="Q880" s="1"/>
      <c r="R880" s="1"/>
    </row>
    <row r="881" ht="12.75" customHeight="1">
      <c r="A881" s="17"/>
      <c r="B881" s="1"/>
      <c r="C881" s="1"/>
      <c r="D881" s="150"/>
      <c r="E881" s="150"/>
      <c r="F881" s="75"/>
      <c r="G881" s="67"/>
      <c r="H881" s="68"/>
      <c r="I881" s="76"/>
      <c r="J881" s="67"/>
      <c r="K881" s="1"/>
      <c r="L881" s="81"/>
      <c r="M881" s="1"/>
      <c r="N881" s="468"/>
      <c r="O881" s="1"/>
      <c r="P881" s="1"/>
      <c r="Q881" s="1"/>
      <c r="R881" s="1"/>
    </row>
    <row r="882" ht="12.75" customHeight="1">
      <c r="A882" s="17"/>
      <c r="B882" s="1"/>
      <c r="C882" s="1"/>
      <c r="D882" s="150"/>
      <c r="E882" s="150"/>
      <c r="F882" s="75"/>
      <c r="G882" s="67"/>
      <c r="H882" s="68"/>
      <c r="I882" s="76"/>
      <c r="J882" s="67"/>
      <c r="K882" s="1"/>
      <c r="L882" s="81"/>
      <c r="M882" s="1"/>
      <c r="N882" s="468"/>
      <c r="O882" s="1"/>
      <c r="P882" s="1"/>
      <c r="Q882" s="1"/>
      <c r="R882" s="1"/>
    </row>
    <row r="883" ht="12.75" customHeight="1">
      <c r="A883" s="17"/>
      <c r="B883" s="1"/>
      <c r="C883" s="1"/>
      <c r="D883" s="150"/>
      <c r="E883" s="150"/>
      <c r="F883" s="75"/>
      <c r="G883" s="67"/>
      <c r="H883" s="68"/>
      <c r="I883" s="76"/>
      <c r="J883" s="67"/>
      <c r="K883" s="1"/>
      <c r="L883" s="81"/>
      <c r="M883" s="1"/>
      <c r="N883" s="468"/>
      <c r="O883" s="1"/>
      <c r="P883" s="1"/>
      <c r="Q883" s="1"/>
      <c r="R883" s="1"/>
    </row>
    <row r="884" ht="12.75" customHeight="1">
      <c r="A884" s="17"/>
      <c r="B884" s="1"/>
      <c r="C884" s="1"/>
      <c r="D884" s="150"/>
      <c r="E884" s="150"/>
      <c r="F884" s="75"/>
      <c r="G884" s="67"/>
      <c r="H884" s="68"/>
      <c r="I884" s="76"/>
      <c r="J884" s="67"/>
      <c r="K884" s="1"/>
      <c r="L884" s="81"/>
      <c r="M884" s="1"/>
      <c r="N884" s="468"/>
      <c r="O884" s="1"/>
      <c r="P884" s="1"/>
      <c r="Q884" s="1"/>
      <c r="R884" s="1"/>
    </row>
    <row r="885" ht="12.75" customHeight="1">
      <c r="A885" s="17"/>
      <c r="B885" s="1"/>
      <c r="C885" s="1"/>
      <c r="D885" s="150"/>
      <c r="E885" s="150"/>
      <c r="F885" s="75"/>
      <c r="G885" s="67"/>
      <c r="H885" s="68"/>
      <c r="I885" s="76"/>
      <c r="J885" s="67"/>
      <c r="K885" s="1"/>
      <c r="L885" s="81"/>
      <c r="M885" s="1"/>
      <c r="N885" s="468"/>
      <c r="O885" s="1"/>
      <c r="P885" s="1"/>
      <c r="Q885" s="1"/>
      <c r="R885" s="1"/>
    </row>
    <row r="886" ht="12.75" customHeight="1">
      <c r="A886" s="17"/>
      <c r="B886" s="1"/>
      <c r="C886" s="1"/>
      <c r="D886" s="150"/>
      <c r="E886" s="150"/>
      <c r="F886" s="75"/>
      <c r="G886" s="67"/>
      <c r="H886" s="68"/>
      <c r="I886" s="76"/>
      <c r="J886" s="67"/>
      <c r="K886" s="1"/>
      <c r="L886" s="81"/>
      <c r="M886" s="1"/>
      <c r="N886" s="468"/>
      <c r="O886" s="1"/>
      <c r="P886" s="1"/>
      <c r="Q886" s="1"/>
      <c r="R886" s="1"/>
    </row>
    <row r="887" ht="12.75" customHeight="1">
      <c r="A887" s="17"/>
      <c r="B887" s="1"/>
      <c r="C887" s="1"/>
      <c r="D887" s="150"/>
      <c r="E887" s="150"/>
      <c r="F887" s="75"/>
      <c r="G887" s="67"/>
      <c r="H887" s="68"/>
      <c r="I887" s="76"/>
      <c r="J887" s="67"/>
      <c r="K887" s="1"/>
      <c r="L887" s="81"/>
      <c r="M887" s="1"/>
      <c r="N887" s="468"/>
      <c r="O887" s="1"/>
      <c r="P887" s="1"/>
      <c r="Q887" s="1"/>
      <c r="R887" s="1"/>
    </row>
    <row r="888" ht="12.75" customHeight="1">
      <c r="A888" s="17"/>
      <c r="B888" s="1"/>
      <c r="C888" s="1"/>
      <c r="D888" s="150"/>
      <c r="E888" s="150"/>
      <c r="F888" s="75"/>
      <c r="G888" s="67"/>
      <c r="H888" s="68"/>
      <c r="I888" s="76"/>
      <c r="J888" s="67"/>
      <c r="K888" s="1"/>
      <c r="L888" s="81"/>
      <c r="M888" s="1"/>
      <c r="N888" s="468"/>
      <c r="O888" s="1"/>
      <c r="P888" s="1"/>
      <c r="Q888" s="1"/>
      <c r="R888" s="1"/>
    </row>
    <row r="889" ht="12.75" customHeight="1">
      <c r="A889" s="17"/>
      <c r="B889" s="1"/>
      <c r="C889" s="1"/>
      <c r="D889" s="150"/>
      <c r="E889" s="150"/>
      <c r="F889" s="75"/>
      <c r="G889" s="67"/>
      <c r="H889" s="68"/>
      <c r="I889" s="76"/>
      <c r="J889" s="67"/>
      <c r="K889" s="1"/>
      <c r="L889" s="81"/>
      <c r="M889" s="1"/>
      <c r="N889" s="468"/>
      <c r="O889" s="1"/>
      <c r="P889" s="1"/>
      <c r="Q889" s="1"/>
      <c r="R889" s="1"/>
    </row>
    <row r="890" ht="12.75" customHeight="1">
      <c r="A890" s="17"/>
      <c r="B890" s="1"/>
      <c r="C890" s="1"/>
      <c r="D890" s="150"/>
      <c r="E890" s="150"/>
      <c r="F890" s="75"/>
      <c r="G890" s="67"/>
      <c r="H890" s="68"/>
      <c r="I890" s="76"/>
      <c r="J890" s="67"/>
      <c r="K890" s="1"/>
      <c r="L890" s="81"/>
      <c r="M890" s="1"/>
      <c r="N890" s="468"/>
      <c r="O890" s="1"/>
      <c r="P890" s="1"/>
      <c r="Q890" s="1"/>
      <c r="R890" s="1"/>
    </row>
    <row r="891" ht="12.75" customHeight="1">
      <c r="A891" s="17"/>
      <c r="B891" s="1"/>
      <c r="C891" s="1"/>
      <c r="D891" s="150"/>
      <c r="E891" s="150"/>
      <c r="F891" s="75"/>
      <c r="G891" s="67"/>
      <c r="H891" s="68"/>
      <c r="I891" s="76"/>
      <c r="J891" s="67"/>
      <c r="K891" s="1"/>
      <c r="L891" s="81"/>
      <c r="M891" s="1"/>
      <c r="N891" s="468"/>
      <c r="O891" s="1"/>
      <c r="P891" s="1"/>
      <c r="Q891" s="1"/>
      <c r="R891" s="1"/>
    </row>
    <row r="892" ht="12.75" customHeight="1">
      <c r="A892" s="17"/>
      <c r="B892" s="1"/>
      <c r="C892" s="1"/>
      <c r="D892" s="150"/>
      <c r="E892" s="150"/>
      <c r="F892" s="75"/>
      <c r="G892" s="67"/>
      <c r="H892" s="68"/>
      <c r="I892" s="76"/>
      <c r="J892" s="67"/>
      <c r="K892" s="1"/>
      <c r="L892" s="81"/>
      <c r="M892" s="1"/>
      <c r="N892" s="468"/>
      <c r="O892" s="1"/>
      <c r="P892" s="1"/>
      <c r="Q892" s="1"/>
      <c r="R892" s="1"/>
    </row>
    <row r="893" ht="12.75" customHeight="1">
      <c r="A893" s="17"/>
      <c r="B893" s="1"/>
      <c r="C893" s="1"/>
      <c r="D893" s="150"/>
      <c r="E893" s="150"/>
      <c r="F893" s="75"/>
      <c r="G893" s="67"/>
      <c r="H893" s="68"/>
      <c r="I893" s="76"/>
      <c r="J893" s="67"/>
      <c r="K893" s="1"/>
      <c r="L893" s="81"/>
      <c r="M893" s="1"/>
      <c r="N893" s="468"/>
      <c r="O893" s="1"/>
      <c r="P893" s="1"/>
      <c r="Q893" s="1"/>
      <c r="R893" s="1"/>
    </row>
    <row r="894" ht="12.75" customHeight="1">
      <c r="A894" s="17"/>
      <c r="B894" s="1"/>
      <c r="C894" s="1"/>
      <c r="D894" s="150"/>
      <c r="E894" s="150"/>
      <c r="F894" s="75"/>
      <c r="G894" s="67"/>
      <c r="H894" s="68"/>
      <c r="I894" s="76"/>
      <c r="J894" s="67"/>
      <c r="K894" s="1"/>
      <c r="L894" s="81"/>
      <c r="M894" s="1"/>
      <c r="N894" s="468"/>
      <c r="O894" s="1"/>
      <c r="P894" s="1"/>
      <c r="Q894" s="1"/>
      <c r="R894" s="1"/>
    </row>
    <row r="895" ht="12.75" customHeight="1">
      <c r="A895" s="17"/>
      <c r="B895" s="1"/>
      <c r="C895" s="1"/>
      <c r="D895" s="150"/>
      <c r="E895" s="150"/>
      <c r="F895" s="75"/>
      <c r="G895" s="67"/>
      <c r="H895" s="68"/>
      <c r="I895" s="76"/>
      <c r="J895" s="67"/>
      <c r="K895" s="1"/>
      <c r="L895" s="81"/>
      <c r="M895" s="1"/>
      <c r="N895" s="468"/>
      <c r="O895" s="1"/>
      <c r="P895" s="1"/>
      <c r="Q895" s="1"/>
      <c r="R895" s="1"/>
    </row>
    <row r="896" ht="12.75" customHeight="1">
      <c r="A896" s="17"/>
      <c r="B896" s="1"/>
      <c r="C896" s="1"/>
      <c r="D896" s="150"/>
      <c r="E896" s="150"/>
      <c r="F896" s="75"/>
      <c r="G896" s="67"/>
      <c r="H896" s="68"/>
      <c r="I896" s="76"/>
      <c r="J896" s="67"/>
      <c r="K896" s="1"/>
      <c r="L896" s="81"/>
      <c r="M896" s="1"/>
      <c r="N896" s="468"/>
      <c r="O896" s="1"/>
      <c r="P896" s="1"/>
      <c r="Q896" s="1"/>
      <c r="R896" s="1"/>
    </row>
    <row r="897" ht="12.75" customHeight="1">
      <c r="A897" s="17"/>
      <c r="B897" s="1"/>
      <c r="C897" s="1"/>
      <c r="D897" s="150"/>
      <c r="E897" s="150"/>
      <c r="F897" s="75"/>
      <c r="G897" s="67"/>
      <c r="H897" s="68"/>
      <c r="I897" s="76"/>
      <c r="J897" s="67"/>
      <c r="K897" s="1"/>
      <c r="L897" s="81"/>
      <c r="M897" s="1"/>
      <c r="N897" s="468"/>
      <c r="O897" s="1"/>
      <c r="P897" s="1"/>
      <c r="Q897" s="1"/>
      <c r="R897" s="1"/>
    </row>
    <row r="898" ht="12.75" customHeight="1">
      <c r="A898" s="17"/>
      <c r="B898" s="1"/>
      <c r="C898" s="1"/>
      <c r="D898" s="150"/>
      <c r="E898" s="150"/>
      <c r="F898" s="75"/>
      <c r="G898" s="67"/>
      <c r="H898" s="68"/>
      <c r="I898" s="76"/>
      <c r="J898" s="67"/>
      <c r="K898" s="1"/>
      <c r="L898" s="81"/>
      <c r="M898" s="1"/>
      <c r="N898" s="468"/>
      <c r="O898" s="1"/>
      <c r="P898" s="1"/>
      <c r="Q898" s="1"/>
      <c r="R898" s="1"/>
    </row>
    <row r="899" ht="12.75" customHeight="1">
      <c r="A899" s="17"/>
      <c r="B899" s="1"/>
      <c r="C899" s="1"/>
      <c r="D899" s="150"/>
      <c r="E899" s="150"/>
      <c r="F899" s="75"/>
      <c r="G899" s="67"/>
      <c r="H899" s="68"/>
      <c r="I899" s="76"/>
      <c r="J899" s="67"/>
      <c r="K899" s="1"/>
      <c r="L899" s="81"/>
      <c r="M899" s="1"/>
      <c r="N899" s="468"/>
      <c r="O899" s="1"/>
      <c r="P899" s="1"/>
      <c r="Q899" s="1"/>
      <c r="R899" s="1"/>
    </row>
    <row r="900" ht="12.75" customHeight="1">
      <c r="A900" s="17"/>
      <c r="B900" s="1"/>
      <c r="C900" s="1"/>
      <c r="D900" s="150"/>
      <c r="E900" s="150"/>
      <c r="F900" s="75"/>
      <c r="G900" s="67"/>
      <c r="H900" s="68"/>
      <c r="I900" s="76"/>
      <c r="J900" s="67"/>
      <c r="K900" s="1"/>
      <c r="L900" s="81"/>
      <c r="M900" s="1"/>
      <c r="N900" s="468"/>
      <c r="O900" s="1"/>
      <c r="P900" s="1"/>
      <c r="Q900" s="1"/>
      <c r="R900" s="1"/>
    </row>
    <row r="901" ht="12.75" customHeight="1">
      <c r="A901" s="17"/>
      <c r="B901" s="1"/>
      <c r="C901" s="1"/>
      <c r="D901" s="150"/>
      <c r="E901" s="150"/>
      <c r="F901" s="75"/>
      <c r="G901" s="67"/>
      <c r="H901" s="68"/>
      <c r="I901" s="76"/>
      <c r="J901" s="67"/>
      <c r="K901" s="1"/>
      <c r="L901" s="81"/>
      <c r="M901" s="1"/>
      <c r="N901" s="468"/>
      <c r="O901" s="1"/>
      <c r="P901" s="1"/>
      <c r="Q901" s="1"/>
      <c r="R901" s="1"/>
    </row>
    <row r="902" ht="12.75" customHeight="1">
      <c r="A902" s="17"/>
      <c r="B902" s="1"/>
      <c r="C902" s="1"/>
      <c r="D902" s="150"/>
      <c r="E902" s="150"/>
      <c r="F902" s="75"/>
      <c r="G902" s="67"/>
      <c r="H902" s="68"/>
      <c r="I902" s="76"/>
      <c r="J902" s="67"/>
      <c r="K902" s="1"/>
      <c r="L902" s="81"/>
      <c r="M902" s="1"/>
      <c r="N902" s="468"/>
      <c r="O902" s="1"/>
      <c r="P902" s="1"/>
      <c r="Q902" s="1"/>
      <c r="R902" s="1"/>
    </row>
    <row r="903" ht="12.75" customHeight="1">
      <c r="A903" s="17"/>
      <c r="B903" s="1"/>
      <c r="C903" s="1"/>
      <c r="D903" s="150"/>
      <c r="E903" s="150"/>
      <c r="F903" s="75"/>
      <c r="G903" s="67"/>
      <c r="H903" s="68"/>
      <c r="I903" s="76"/>
      <c r="J903" s="67"/>
      <c r="K903" s="1"/>
      <c r="L903" s="81"/>
      <c r="M903" s="1"/>
      <c r="N903" s="468"/>
      <c r="O903" s="1"/>
      <c r="P903" s="1"/>
      <c r="Q903" s="1"/>
      <c r="R903" s="1"/>
    </row>
    <row r="904" ht="12.75" customHeight="1">
      <c r="A904" s="17"/>
      <c r="B904" s="1"/>
      <c r="C904" s="1"/>
      <c r="D904" s="150"/>
      <c r="E904" s="150"/>
      <c r="F904" s="75"/>
      <c r="G904" s="67"/>
      <c r="H904" s="68"/>
      <c r="I904" s="76"/>
      <c r="J904" s="67"/>
      <c r="K904" s="1"/>
      <c r="L904" s="81"/>
      <c r="M904" s="1"/>
      <c r="N904" s="468"/>
      <c r="O904" s="1"/>
      <c r="P904" s="1"/>
      <c r="Q904" s="1"/>
      <c r="R904" s="1"/>
    </row>
    <row r="905" ht="12.75" customHeight="1">
      <c r="A905" s="17"/>
      <c r="B905" s="1"/>
      <c r="C905" s="1"/>
      <c r="D905" s="150"/>
      <c r="E905" s="150"/>
      <c r="F905" s="75"/>
      <c r="G905" s="67"/>
      <c r="H905" s="68"/>
      <c r="I905" s="76"/>
      <c r="J905" s="67"/>
      <c r="K905" s="1"/>
      <c r="L905" s="81"/>
      <c r="M905" s="1"/>
      <c r="N905" s="468"/>
      <c r="O905" s="1"/>
      <c r="P905" s="1"/>
      <c r="Q905" s="1"/>
      <c r="R905" s="1"/>
    </row>
    <row r="906" ht="12.75" customHeight="1">
      <c r="A906" s="17"/>
      <c r="B906" s="1"/>
      <c r="C906" s="1"/>
      <c r="D906" s="150"/>
      <c r="E906" s="150"/>
      <c r="F906" s="75"/>
      <c r="G906" s="67"/>
      <c r="H906" s="68"/>
      <c r="I906" s="76"/>
      <c r="J906" s="67"/>
      <c r="K906" s="1"/>
      <c r="L906" s="81"/>
      <c r="M906" s="1"/>
      <c r="N906" s="468"/>
      <c r="O906" s="1"/>
      <c r="P906" s="1"/>
      <c r="Q906" s="1"/>
      <c r="R906" s="1"/>
    </row>
    <row r="907" ht="12.75" customHeight="1">
      <c r="A907" s="17"/>
      <c r="B907" s="1"/>
      <c r="C907" s="1"/>
      <c r="D907" s="150"/>
      <c r="E907" s="150"/>
      <c r="F907" s="75"/>
      <c r="G907" s="67"/>
      <c r="H907" s="68"/>
      <c r="I907" s="76"/>
      <c r="J907" s="67"/>
      <c r="K907" s="1"/>
      <c r="L907" s="81"/>
      <c r="M907" s="1"/>
      <c r="N907" s="468"/>
      <c r="O907" s="1"/>
      <c r="P907" s="1"/>
      <c r="Q907" s="1"/>
      <c r="R907" s="1"/>
    </row>
    <row r="908" ht="12.75" customHeight="1">
      <c r="A908" s="17"/>
      <c r="B908" s="1"/>
      <c r="C908" s="1"/>
      <c r="D908" s="150"/>
      <c r="E908" s="150"/>
      <c r="F908" s="75"/>
      <c r="G908" s="67"/>
      <c r="H908" s="68"/>
      <c r="I908" s="76"/>
      <c r="J908" s="67"/>
      <c r="K908" s="1"/>
      <c r="L908" s="81"/>
      <c r="M908" s="1"/>
      <c r="N908" s="468"/>
      <c r="O908" s="1"/>
      <c r="P908" s="1"/>
      <c r="Q908" s="1"/>
      <c r="R908" s="1"/>
    </row>
    <row r="909" ht="12.75" customHeight="1">
      <c r="A909" s="17"/>
      <c r="B909" s="1"/>
      <c r="C909" s="1"/>
      <c r="D909" s="150"/>
      <c r="E909" s="150"/>
      <c r="F909" s="75"/>
      <c r="G909" s="67"/>
      <c r="H909" s="68"/>
      <c r="I909" s="76"/>
      <c r="J909" s="67"/>
      <c r="K909" s="1"/>
      <c r="L909" s="81"/>
      <c r="M909" s="1"/>
      <c r="N909" s="468"/>
      <c r="O909" s="1"/>
      <c r="P909" s="1"/>
      <c r="Q909" s="1"/>
      <c r="R909" s="1"/>
    </row>
    <row r="910" ht="12.75" customHeight="1">
      <c r="A910" s="17"/>
      <c r="B910" s="1"/>
      <c r="C910" s="1"/>
      <c r="D910" s="150"/>
      <c r="E910" s="150"/>
      <c r="F910" s="75"/>
      <c r="G910" s="67"/>
      <c r="H910" s="68"/>
      <c r="I910" s="76"/>
      <c r="J910" s="67"/>
      <c r="K910" s="1"/>
      <c r="L910" s="81"/>
      <c r="M910" s="1"/>
      <c r="N910" s="468"/>
      <c r="O910" s="1"/>
      <c r="P910" s="1"/>
      <c r="Q910" s="1"/>
      <c r="R910" s="1"/>
    </row>
    <row r="911" ht="12.75" customHeight="1">
      <c r="A911" s="17"/>
      <c r="B911" s="1"/>
      <c r="C911" s="1"/>
      <c r="D911" s="150"/>
      <c r="E911" s="150"/>
      <c r="F911" s="75"/>
      <c r="G911" s="67"/>
      <c r="H911" s="68"/>
      <c r="I911" s="76"/>
      <c r="J911" s="67"/>
      <c r="K911" s="1"/>
      <c r="L911" s="81"/>
      <c r="M911" s="1"/>
      <c r="N911" s="468"/>
      <c r="O911" s="1"/>
      <c r="P911" s="1"/>
      <c r="Q911" s="1"/>
      <c r="R911" s="1"/>
    </row>
    <row r="912" ht="12.75" customHeight="1">
      <c r="A912" s="17"/>
      <c r="B912" s="1"/>
      <c r="C912" s="1"/>
      <c r="D912" s="150"/>
      <c r="E912" s="150"/>
      <c r="F912" s="75"/>
      <c r="G912" s="67"/>
      <c r="H912" s="68"/>
      <c r="I912" s="76"/>
      <c r="J912" s="67"/>
      <c r="K912" s="1"/>
      <c r="L912" s="81"/>
      <c r="M912" s="1"/>
      <c r="N912" s="468"/>
      <c r="O912" s="1"/>
      <c r="P912" s="1"/>
      <c r="Q912" s="1"/>
      <c r="R912" s="1"/>
    </row>
    <row r="913" ht="12.75" customHeight="1">
      <c r="A913" s="17"/>
      <c r="B913" s="1"/>
      <c r="C913" s="1"/>
      <c r="D913" s="150"/>
      <c r="E913" s="150"/>
      <c r="F913" s="75"/>
      <c r="G913" s="67"/>
      <c r="H913" s="68"/>
      <c r="I913" s="76"/>
      <c r="J913" s="67"/>
      <c r="K913" s="1"/>
      <c r="L913" s="81"/>
      <c r="M913" s="1"/>
      <c r="N913" s="468"/>
      <c r="O913" s="1"/>
      <c r="P913" s="1"/>
      <c r="Q913" s="1"/>
      <c r="R913" s="1"/>
    </row>
    <row r="914" ht="12.75" customHeight="1">
      <c r="A914" s="17"/>
      <c r="B914" s="1"/>
      <c r="C914" s="1"/>
      <c r="D914" s="150"/>
      <c r="E914" s="150"/>
      <c r="F914" s="75"/>
      <c r="G914" s="67"/>
      <c r="H914" s="68"/>
      <c r="I914" s="76"/>
      <c r="J914" s="67"/>
      <c r="K914" s="1"/>
      <c r="L914" s="81"/>
      <c r="M914" s="1"/>
      <c r="N914" s="468"/>
      <c r="O914" s="1"/>
      <c r="P914" s="1"/>
      <c r="Q914" s="1"/>
      <c r="R914" s="1"/>
    </row>
    <row r="915" ht="12.75" customHeight="1">
      <c r="A915" s="17"/>
      <c r="B915" s="1"/>
      <c r="C915" s="1"/>
      <c r="D915" s="150"/>
      <c r="E915" s="150"/>
      <c r="F915" s="75"/>
      <c r="G915" s="67"/>
      <c r="H915" s="68"/>
      <c r="I915" s="76"/>
      <c r="J915" s="67"/>
      <c r="K915" s="1"/>
      <c r="L915" s="81"/>
      <c r="M915" s="1"/>
      <c r="N915" s="468"/>
      <c r="O915" s="1"/>
      <c r="P915" s="1"/>
      <c r="Q915" s="1"/>
      <c r="R915" s="1"/>
    </row>
    <row r="916" ht="12.75" customHeight="1">
      <c r="A916" s="17"/>
      <c r="B916" s="1"/>
      <c r="C916" s="1"/>
      <c r="D916" s="150"/>
      <c r="E916" s="150"/>
      <c r="F916" s="75"/>
      <c r="G916" s="67"/>
      <c r="H916" s="68"/>
      <c r="I916" s="76"/>
      <c r="J916" s="67"/>
      <c r="K916" s="1"/>
      <c r="L916" s="81"/>
      <c r="M916" s="1"/>
      <c r="N916" s="468"/>
      <c r="O916" s="1"/>
      <c r="P916" s="1"/>
      <c r="Q916" s="1"/>
      <c r="R916" s="1"/>
    </row>
    <row r="917" ht="12.75" customHeight="1">
      <c r="A917" s="17"/>
      <c r="B917" s="1"/>
      <c r="C917" s="1"/>
      <c r="D917" s="150"/>
      <c r="E917" s="150"/>
      <c r="F917" s="75"/>
      <c r="G917" s="67"/>
      <c r="H917" s="68"/>
      <c r="I917" s="76"/>
      <c r="J917" s="67"/>
      <c r="K917" s="1"/>
      <c r="L917" s="81"/>
      <c r="M917" s="1"/>
      <c r="N917" s="468"/>
      <c r="O917" s="1"/>
      <c r="P917" s="1"/>
      <c r="Q917" s="1"/>
      <c r="R917" s="1"/>
    </row>
    <row r="918" ht="12.75" customHeight="1">
      <c r="A918" s="17"/>
      <c r="B918" s="1"/>
      <c r="C918" s="1"/>
      <c r="D918" s="150"/>
      <c r="E918" s="150"/>
      <c r="F918" s="75"/>
      <c r="G918" s="67"/>
      <c r="H918" s="68"/>
      <c r="I918" s="76"/>
      <c r="J918" s="67"/>
      <c r="K918" s="1"/>
      <c r="L918" s="81"/>
      <c r="M918" s="1"/>
      <c r="N918" s="468"/>
      <c r="O918" s="1"/>
      <c r="P918" s="1"/>
      <c r="Q918" s="1"/>
      <c r="R918" s="1"/>
    </row>
    <row r="919" ht="12.75" customHeight="1">
      <c r="A919" s="17"/>
      <c r="B919" s="1"/>
      <c r="C919" s="1"/>
      <c r="D919" s="150"/>
      <c r="E919" s="150"/>
      <c r="F919" s="75"/>
      <c r="G919" s="67"/>
      <c r="H919" s="68"/>
      <c r="I919" s="76"/>
      <c r="J919" s="67"/>
      <c r="K919" s="1"/>
      <c r="L919" s="81"/>
      <c r="M919" s="1"/>
      <c r="N919" s="468"/>
      <c r="O919" s="1"/>
      <c r="P919" s="1"/>
      <c r="Q919" s="1"/>
      <c r="R919" s="1"/>
    </row>
    <row r="920" ht="12.75" customHeight="1">
      <c r="A920" s="17"/>
      <c r="B920" s="1"/>
      <c r="C920" s="1"/>
      <c r="D920" s="150"/>
      <c r="E920" s="150"/>
      <c r="F920" s="75"/>
      <c r="G920" s="67"/>
      <c r="H920" s="68"/>
      <c r="I920" s="76"/>
      <c r="J920" s="67"/>
      <c r="K920" s="1"/>
      <c r="L920" s="81"/>
      <c r="M920" s="1"/>
      <c r="N920" s="468"/>
      <c r="O920" s="1"/>
      <c r="P920" s="1"/>
      <c r="Q920" s="1"/>
      <c r="R920" s="1"/>
    </row>
    <row r="921" ht="12.75" customHeight="1">
      <c r="A921" s="17"/>
      <c r="B921" s="1"/>
      <c r="C921" s="1"/>
      <c r="D921" s="150"/>
      <c r="E921" s="150"/>
      <c r="F921" s="75"/>
      <c r="G921" s="67"/>
      <c r="H921" s="68"/>
      <c r="I921" s="76"/>
      <c r="J921" s="67"/>
      <c r="K921" s="1"/>
      <c r="L921" s="81"/>
      <c r="M921" s="1"/>
      <c r="N921" s="468"/>
      <c r="O921" s="1"/>
      <c r="P921" s="1"/>
      <c r="Q921" s="1"/>
      <c r="R921" s="1"/>
    </row>
    <row r="922" ht="12.75" customHeight="1">
      <c r="A922" s="17"/>
      <c r="B922" s="1"/>
      <c r="C922" s="1"/>
      <c r="D922" s="150"/>
      <c r="E922" s="150"/>
      <c r="F922" s="75"/>
      <c r="G922" s="67"/>
      <c r="H922" s="68"/>
      <c r="I922" s="76"/>
      <c r="J922" s="67"/>
      <c r="K922" s="1"/>
      <c r="L922" s="81"/>
      <c r="M922" s="1"/>
      <c r="N922" s="468"/>
      <c r="O922" s="1"/>
      <c r="P922" s="1"/>
      <c r="Q922" s="1"/>
      <c r="R922" s="1"/>
    </row>
    <row r="923" ht="12.75" customHeight="1">
      <c r="A923" s="17"/>
      <c r="B923" s="1"/>
      <c r="C923" s="1"/>
      <c r="D923" s="150"/>
      <c r="E923" s="150"/>
      <c r="F923" s="75"/>
      <c r="G923" s="67"/>
      <c r="H923" s="68"/>
      <c r="I923" s="76"/>
      <c r="J923" s="67"/>
      <c r="K923" s="1"/>
      <c r="L923" s="81"/>
      <c r="M923" s="1"/>
      <c r="N923" s="468"/>
      <c r="O923" s="1"/>
      <c r="P923" s="1"/>
      <c r="Q923" s="1"/>
      <c r="R923" s="1"/>
    </row>
    <row r="924" ht="12.75" customHeight="1">
      <c r="A924" s="17"/>
      <c r="B924" s="1"/>
      <c r="C924" s="1"/>
      <c r="D924" s="150"/>
      <c r="E924" s="150"/>
      <c r="F924" s="75"/>
      <c r="G924" s="67"/>
      <c r="H924" s="68"/>
      <c r="I924" s="76"/>
      <c r="J924" s="67"/>
      <c r="K924" s="1"/>
      <c r="L924" s="81"/>
      <c r="M924" s="1"/>
      <c r="N924" s="468"/>
      <c r="O924" s="1"/>
      <c r="P924" s="1"/>
      <c r="Q924" s="1"/>
      <c r="R924" s="1"/>
    </row>
    <row r="925" ht="12.75" customHeight="1">
      <c r="A925" s="17"/>
      <c r="B925" s="1"/>
      <c r="C925" s="1"/>
      <c r="D925" s="150"/>
      <c r="E925" s="150"/>
      <c r="F925" s="75"/>
      <c r="G925" s="67"/>
      <c r="H925" s="68"/>
      <c r="I925" s="76"/>
      <c r="J925" s="67"/>
      <c r="K925" s="1"/>
      <c r="L925" s="81"/>
      <c r="M925" s="1"/>
      <c r="N925" s="468"/>
      <c r="O925" s="1"/>
      <c r="P925" s="1"/>
      <c r="Q925" s="1"/>
      <c r="R925" s="1"/>
    </row>
    <row r="926" ht="12.75" customHeight="1">
      <c r="A926" s="17"/>
      <c r="B926" s="1"/>
      <c r="C926" s="1"/>
      <c r="D926" s="150"/>
      <c r="E926" s="150"/>
      <c r="F926" s="75"/>
      <c r="G926" s="67"/>
      <c r="H926" s="68"/>
      <c r="I926" s="76"/>
      <c r="J926" s="67"/>
      <c r="K926" s="1"/>
      <c r="L926" s="81"/>
      <c r="M926" s="1"/>
      <c r="N926" s="468"/>
      <c r="O926" s="1"/>
      <c r="P926" s="1"/>
      <c r="Q926" s="1"/>
      <c r="R926" s="1"/>
    </row>
    <row r="927" ht="12.75" customHeight="1">
      <c r="A927" s="17"/>
      <c r="B927" s="1"/>
      <c r="C927" s="1"/>
      <c r="D927" s="150"/>
      <c r="E927" s="150"/>
      <c r="F927" s="75"/>
      <c r="G927" s="67"/>
      <c r="H927" s="68"/>
      <c r="I927" s="76"/>
      <c r="J927" s="67"/>
      <c r="K927" s="1"/>
      <c r="L927" s="81"/>
      <c r="M927" s="1"/>
      <c r="N927" s="468"/>
      <c r="O927" s="1"/>
      <c r="P927" s="1"/>
      <c r="Q927" s="1"/>
      <c r="R927" s="1"/>
    </row>
    <row r="928" ht="12.75" customHeight="1">
      <c r="A928" s="17"/>
      <c r="B928" s="1"/>
      <c r="C928" s="1"/>
      <c r="D928" s="150"/>
      <c r="E928" s="150"/>
      <c r="F928" s="75"/>
      <c r="G928" s="67"/>
      <c r="H928" s="68"/>
      <c r="I928" s="76"/>
      <c r="J928" s="67"/>
      <c r="K928" s="1"/>
      <c r="L928" s="81"/>
      <c r="M928" s="1"/>
      <c r="N928" s="468"/>
      <c r="O928" s="1"/>
      <c r="P928" s="1"/>
      <c r="Q928" s="1"/>
      <c r="R928" s="1"/>
    </row>
    <row r="929" ht="12.75" customHeight="1">
      <c r="A929" s="17"/>
      <c r="B929" s="1"/>
      <c r="C929" s="1"/>
      <c r="D929" s="150"/>
      <c r="E929" s="150"/>
      <c r="F929" s="75"/>
      <c r="G929" s="67"/>
      <c r="H929" s="68"/>
      <c r="I929" s="76"/>
      <c r="J929" s="67"/>
      <c r="K929" s="1"/>
      <c r="L929" s="81"/>
      <c r="M929" s="1"/>
      <c r="N929" s="468"/>
      <c r="O929" s="1"/>
      <c r="P929" s="1"/>
      <c r="Q929" s="1"/>
      <c r="R929" s="1"/>
    </row>
    <row r="930" ht="12.75" customHeight="1">
      <c r="A930" s="17"/>
      <c r="B930" s="1"/>
      <c r="C930" s="1"/>
      <c r="D930" s="150"/>
      <c r="E930" s="150"/>
      <c r="F930" s="75"/>
      <c r="G930" s="67"/>
      <c r="H930" s="68"/>
      <c r="I930" s="76"/>
      <c r="J930" s="67"/>
      <c r="K930" s="1"/>
      <c r="L930" s="81"/>
      <c r="M930" s="1"/>
      <c r="N930" s="468"/>
      <c r="O930" s="1"/>
      <c r="P930" s="1"/>
      <c r="Q930" s="1"/>
      <c r="R930" s="1"/>
    </row>
    <row r="931" ht="12.75" customHeight="1">
      <c r="A931" s="17"/>
      <c r="B931" s="1"/>
      <c r="C931" s="1"/>
      <c r="D931" s="150"/>
      <c r="E931" s="150"/>
      <c r="F931" s="75"/>
      <c r="G931" s="67"/>
      <c r="H931" s="68"/>
      <c r="I931" s="76"/>
      <c r="J931" s="67"/>
      <c r="K931" s="1"/>
      <c r="L931" s="81"/>
      <c r="M931" s="1"/>
      <c r="N931" s="468"/>
      <c r="O931" s="1"/>
      <c r="P931" s="1"/>
      <c r="Q931" s="1"/>
      <c r="R931" s="1"/>
    </row>
    <row r="932" ht="12.75" customHeight="1">
      <c r="A932" s="17"/>
      <c r="B932" s="1"/>
      <c r="C932" s="1"/>
      <c r="D932" s="150"/>
      <c r="E932" s="150"/>
      <c r="F932" s="75"/>
      <c r="G932" s="67"/>
      <c r="H932" s="68"/>
      <c r="I932" s="76"/>
      <c r="J932" s="67"/>
      <c r="K932" s="1"/>
      <c r="L932" s="81"/>
      <c r="M932" s="1"/>
      <c r="N932" s="468"/>
      <c r="O932" s="1"/>
      <c r="P932" s="1"/>
      <c r="Q932" s="1"/>
      <c r="R932" s="1"/>
    </row>
    <row r="933" ht="12.75" customHeight="1">
      <c r="A933" s="17"/>
      <c r="B933" s="1"/>
      <c r="C933" s="1"/>
      <c r="D933" s="150"/>
      <c r="E933" s="150"/>
      <c r="F933" s="75"/>
      <c r="G933" s="67"/>
      <c r="H933" s="68"/>
      <c r="I933" s="76"/>
      <c r="J933" s="67"/>
      <c r="K933" s="1"/>
      <c r="L933" s="81"/>
      <c r="M933" s="1"/>
      <c r="N933" s="468"/>
      <c r="O933" s="1"/>
      <c r="P933" s="1"/>
      <c r="Q933" s="1"/>
      <c r="R933" s="1"/>
    </row>
    <row r="934" ht="12.75" customHeight="1">
      <c r="A934" s="17"/>
      <c r="B934" s="1"/>
      <c r="C934" s="1"/>
      <c r="D934" s="150"/>
      <c r="E934" s="150"/>
      <c r="F934" s="75"/>
      <c r="G934" s="67"/>
      <c r="H934" s="68"/>
      <c r="I934" s="76"/>
      <c r="J934" s="67"/>
      <c r="K934" s="1"/>
      <c r="L934" s="81"/>
      <c r="M934" s="1"/>
      <c r="N934" s="468"/>
      <c r="O934" s="1"/>
      <c r="P934" s="1"/>
      <c r="Q934" s="1"/>
      <c r="R934" s="1"/>
    </row>
    <row r="935" ht="12.75" customHeight="1">
      <c r="A935" s="17"/>
      <c r="B935" s="1"/>
      <c r="C935" s="1"/>
      <c r="D935" s="150"/>
      <c r="E935" s="150"/>
      <c r="F935" s="75"/>
      <c r="G935" s="67"/>
      <c r="H935" s="68"/>
      <c r="I935" s="76"/>
      <c r="J935" s="67"/>
      <c r="K935" s="1"/>
      <c r="L935" s="81"/>
      <c r="M935" s="1"/>
      <c r="N935" s="468"/>
      <c r="O935" s="1"/>
      <c r="P935" s="1"/>
      <c r="Q935" s="1"/>
      <c r="R935" s="1"/>
    </row>
    <row r="936" ht="12.75" customHeight="1">
      <c r="A936" s="17"/>
      <c r="B936" s="1"/>
      <c r="C936" s="1"/>
      <c r="D936" s="150"/>
      <c r="E936" s="150"/>
      <c r="F936" s="75"/>
      <c r="G936" s="67"/>
      <c r="H936" s="68"/>
      <c r="I936" s="76"/>
      <c r="J936" s="67"/>
      <c r="K936" s="1"/>
      <c r="L936" s="81"/>
      <c r="M936" s="1"/>
      <c r="N936" s="468"/>
      <c r="O936" s="1"/>
      <c r="P936" s="1"/>
      <c r="Q936" s="1"/>
      <c r="R936" s="1"/>
    </row>
    <row r="937" ht="12.75" customHeight="1">
      <c r="A937" s="17"/>
      <c r="B937" s="1"/>
      <c r="C937" s="1"/>
      <c r="D937" s="150"/>
      <c r="E937" s="150"/>
      <c r="F937" s="75"/>
      <c r="G937" s="67"/>
      <c r="H937" s="68"/>
      <c r="I937" s="76"/>
      <c r="J937" s="67"/>
      <c r="K937" s="1"/>
      <c r="L937" s="81"/>
      <c r="M937" s="1"/>
      <c r="N937" s="468"/>
      <c r="O937" s="1"/>
      <c r="P937" s="1"/>
      <c r="Q937" s="1"/>
      <c r="R937" s="1"/>
    </row>
    <row r="938" ht="12.75" customHeight="1">
      <c r="A938" s="17"/>
      <c r="B938" s="1"/>
      <c r="C938" s="1"/>
      <c r="D938" s="150"/>
      <c r="E938" s="150"/>
      <c r="F938" s="75"/>
      <c r="G938" s="67"/>
      <c r="H938" s="68"/>
      <c r="I938" s="76"/>
      <c r="J938" s="67"/>
      <c r="K938" s="1"/>
      <c r="L938" s="81"/>
      <c r="M938" s="1"/>
      <c r="N938" s="468"/>
      <c r="O938" s="1"/>
      <c r="P938" s="1"/>
      <c r="Q938" s="1"/>
      <c r="R938" s="1"/>
    </row>
    <row r="939" ht="12.75" customHeight="1">
      <c r="A939" s="17"/>
      <c r="B939" s="1"/>
      <c r="C939" s="1"/>
      <c r="D939" s="150"/>
      <c r="E939" s="150"/>
      <c r="F939" s="75"/>
      <c r="G939" s="67"/>
      <c r="H939" s="68"/>
      <c r="I939" s="76"/>
      <c r="J939" s="67"/>
      <c r="K939" s="1"/>
      <c r="L939" s="81"/>
      <c r="M939" s="1"/>
      <c r="N939" s="468"/>
      <c r="O939" s="1"/>
      <c r="P939" s="1"/>
      <c r="Q939" s="1"/>
      <c r="R939" s="1"/>
    </row>
    <row r="940" ht="12.75" customHeight="1">
      <c r="A940" s="17"/>
      <c r="B940" s="1"/>
      <c r="C940" s="1"/>
      <c r="D940" s="150"/>
      <c r="E940" s="150"/>
      <c r="F940" s="75"/>
      <c r="G940" s="67"/>
      <c r="H940" s="68"/>
      <c r="I940" s="76"/>
      <c r="J940" s="67"/>
      <c r="K940" s="1"/>
      <c r="L940" s="81"/>
      <c r="M940" s="1"/>
      <c r="N940" s="468"/>
      <c r="O940" s="1"/>
      <c r="P940" s="1"/>
      <c r="Q940" s="1"/>
      <c r="R940" s="1"/>
    </row>
    <row r="941" ht="12.75" customHeight="1">
      <c r="A941" s="17"/>
      <c r="B941" s="1"/>
      <c r="C941" s="1"/>
      <c r="D941" s="150"/>
      <c r="E941" s="150"/>
      <c r="F941" s="75"/>
      <c r="G941" s="67"/>
      <c r="H941" s="68"/>
      <c r="I941" s="76"/>
      <c r="J941" s="67"/>
      <c r="K941" s="1"/>
      <c r="L941" s="81"/>
      <c r="M941" s="1"/>
      <c r="N941" s="468"/>
      <c r="O941" s="1"/>
      <c r="P941" s="1"/>
      <c r="Q941" s="1"/>
      <c r="R941" s="1"/>
    </row>
    <row r="942" ht="12.75" customHeight="1">
      <c r="A942" s="17"/>
      <c r="B942" s="1"/>
      <c r="C942" s="1"/>
      <c r="D942" s="150"/>
      <c r="E942" s="150"/>
      <c r="F942" s="75"/>
      <c r="G942" s="67"/>
      <c r="H942" s="68"/>
      <c r="I942" s="76"/>
      <c r="J942" s="67"/>
      <c r="K942" s="1"/>
      <c r="L942" s="81"/>
      <c r="M942" s="1"/>
      <c r="N942" s="468"/>
      <c r="O942" s="1"/>
      <c r="P942" s="1"/>
      <c r="Q942" s="1"/>
      <c r="R942" s="1"/>
    </row>
    <row r="943" ht="12.75" customHeight="1">
      <c r="A943" s="17"/>
      <c r="B943" s="1"/>
      <c r="C943" s="1"/>
      <c r="D943" s="150"/>
      <c r="E943" s="150"/>
      <c r="F943" s="75"/>
      <c r="G943" s="67"/>
      <c r="H943" s="68"/>
      <c r="I943" s="76"/>
      <c r="J943" s="67"/>
      <c r="K943" s="1"/>
      <c r="L943" s="81"/>
      <c r="M943" s="1"/>
      <c r="N943" s="468"/>
      <c r="O943" s="1"/>
      <c r="P943" s="1"/>
      <c r="Q943" s="1"/>
      <c r="R943" s="1"/>
    </row>
    <row r="944" ht="12.75" customHeight="1">
      <c r="A944" s="17"/>
      <c r="B944" s="1"/>
      <c r="C944" s="1"/>
      <c r="D944" s="150"/>
      <c r="E944" s="150"/>
      <c r="F944" s="75"/>
      <c r="G944" s="67"/>
      <c r="H944" s="68"/>
      <c r="I944" s="76"/>
      <c r="J944" s="67"/>
      <c r="K944" s="1"/>
      <c r="L944" s="81"/>
      <c r="M944" s="1"/>
      <c r="N944" s="468"/>
      <c r="O944" s="1"/>
      <c r="P944" s="1"/>
      <c r="Q944" s="1"/>
      <c r="R944" s="1"/>
    </row>
    <row r="945" ht="12.75" customHeight="1">
      <c r="A945" s="17"/>
      <c r="B945" s="1"/>
      <c r="C945" s="1"/>
      <c r="D945" s="150"/>
      <c r="E945" s="150"/>
      <c r="F945" s="75"/>
      <c r="G945" s="67"/>
      <c r="H945" s="68"/>
      <c r="I945" s="76"/>
      <c r="J945" s="67"/>
      <c r="K945" s="1"/>
      <c r="L945" s="81"/>
      <c r="M945" s="1"/>
      <c r="N945" s="468"/>
      <c r="O945" s="1"/>
      <c r="P945" s="1"/>
      <c r="Q945" s="1"/>
      <c r="R945" s="1"/>
    </row>
    <row r="946" ht="12.75" customHeight="1">
      <c r="A946" s="17"/>
      <c r="B946" s="1"/>
      <c r="C946" s="1"/>
      <c r="D946" s="150"/>
      <c r="E946" s="150"/>
      <c r="F946" s="75"/>
      <c r="G946" s="67"/>
      <c r="H946" s="68"/>
      <c r="I946" s="76"/>
      <c r="J946" s="67"/>
      <c r="K946" s="1"/>
      <c r="L946" s="81"/>
      <c r="M946" s="1"/>
      <c r="N946" s="468"/>
      <c r="O946" s="1"/>
      <c r="P946" s="1"/>
      <c r="Q946" s="1"/>
      <c r="R946" s="1"/>
    </row>
    <row r="947" ht="12.75" customHeight="1">
      <c r="A947" s="17"/>
      <c r="B947" s="1"/>
      <c r="C947" s="1"/>
      <c r="D947" s="150"/>
      <c r="E947" s="150"/>
      <c r="F947" s="75"/>
      <c r="G947" s="67"/>
      <c r="H947" s="68"/>
      <c r="I947" s="76"/>
      <c r="J947" s="67"/>
      <c r="K947" s="1"/>
      <c r="L947" s="81"/>
      <c r="M947" s="1"/>
      <c r="N947" s="468"/>
      <c r="O947" s="1"/>
      <c r="P947" s="1"/>
      <c r="Q947" s="1"/>
      <c r="R947" s="1"/>
    </row>
    <row r="948" ht="12.75" customHeight="1">
      <c r="A948" s="17"/>
      <c r="B948" s="1"/>
      <c r="C948" s="1"/>
      <c r="D948" s="150"/>
      <c r="E948" s="150"/>
      <c r="F948" s="75"/>
      <c r="G948" s="67"/>
      <c r="H948" s="68"/>
      <c r="I948" s="76"/>
      <c r="J948" s="67"/>
      <c r="K948" s="1"/>
      <c r="L948" s="81"/>
      <c r="M948" s="1"/>
      <c r="N948" s="468"/>
      <c r="O948" s="1"/>
      <c r="P948" s="1"/>
      <c r="Q948" s="1"/>
      <c r="R948" s="1"/>
    </row>
    <row r="949" ht="12.75" customHeight="1">
      <c r="A949" s="17"/>
      <c r="B949" s="1"/>
      <c r="C949" s="1"/>
      <c r="D949" s="150"/>
      <c r="E949" s="150"/>
      <c r="F949" s="75"/>
      <c r="G949" s="67"/>
      <c r="H949" s="68"/>
      <c r="I949" s="76"/>
      <c r="J949" s="67"/>
      <c r="K949" s="1"/>
      <c r="L949" s="81"/>
      <c r="M949" s="1"/>
      <c r="N949" s="468"/>
      <c r="O949" s="1"/>
      <c r="P949" s="1"/>
      <c r="Q949" s="1"/>
      <c r="R949" s="1"/>
    </row>
    <row r="950" ht="12.75" customHeight="1">
      <c r="A950" s="17"/>
      <c r="B950" s="1"/>
      <c r="C950" s="1"/>
      <c r="D950" s="150"/>
      <c r="E950" s="150"/>
      <c r="F950" s="75"/>
      <c r="G950" s="67"/>
      <c r="H950" s="68"/>
      <c r="I950" s="76"/>
      <c r="J950" s="67"/>
      <c r="K950" s="1"/>
      <c r="L950" s="81"/>
      <c r="M950" s="1"/>
      <c r="N950" s="468"/>
      <c r="O950" s="1"/>
      <c r="P950" s="1"/>
      <c r="Q950" s="1"/>
      <c r="R950" s="1"/>
    </row>
    <row r="951" ht="12.75" customHeight="1">
      <c r="A951" s="17"/>
      <c r="B951" s="1"/>
      <c r="C951" s="1"/>
      <c r="D951" s="150"/>
      <c r="E951" s="150"/>
      <c r="F951" s="75"/>
      <c r="G951" s="67"/>
      <c r="H951" s="68"/>
      <c r="I951" s="76"/>
      <c r="J951" s="67"/>
      <c r="K951" s="1"/>
      <c r="L951" s="81"/>
      <c r="M951" s="1"/>
      <c r="N951" s="468"/>
      <c r="O951" s="1"/>
      <c r="P951" s="1"/>
      <c r="Q951" s="1"/>
      <c r="R951" s="1"/>
    </row>
    <row r="952" ht="12.75" customHeight="1">
      <c r="A952" s="17"/>
      <c r="B952" s="1"/>
      <c r="C952" s="1"/>
      <c r="D952" s="150"/>
      <c r="E952" s="150"/>
      <c r="F952" s="75"/>
      <c r="G952" s="67"/>
      <c r="H952" s="68"/>
      <c r="I952" s="76"/>
      <c r="J952" s="67"/>
      <c r="K952" s="1"/>
      <c r="L952" s="81"/>
      <c r="M952" s="1"/>
      <c r="N952" s="468"/>
      <c r="O952" s="1"/>
      <c r="P952" s="1"/>
      <c r="Q952" s="1"/>
      <c r="R952" s="1"/>
    </row>
    <row r="953" ht="12.75" customHeight="1">
      <c r="A953" s="17"/>
      <c r="B953" s="1"/>
      <c r="C953" s="1"/>
      <c r="D953" s="150"/>
      <c r="E953" s="150"/>
      <c r="F953" s="75"/>
      <c r="G953" s="67"/>
      <c r="H953" s="68"/>
      <c r="I953" s="76"/>
      <c r="J953" s="67"/>
      <c r="K953" s="1"/>
      <c r="L953" s="81"/>
      <c r="M953" s="1"/>
      <c r="N953" s="468"/>
      <c r="O953" s="1"/>
      <c r="P953" s="1"/>
      <c r="Q953" s="1"/>
      <c r="R953" s="1"/>
    </row>
    <row r="954" ht="12.75" customHeight="1">
      <c r="A954" s="17"/>
      <c r="B954" s="1"/>
      <c r="C954" s="1"/>
      <c r="D954" s="150"/>
      <c r="E954" s="150"/>
      <c r="F954" s="75"/>
      <c r="G954" s="67"/>
      <c r="H954" s="68"/>
      <c r="I954" s="76"/>
      <c r="J954" s="67"/>
      <c r="K954" s="1"/>
      <c r="L954" s="81"/>
      <c r="M954" s="1"/>
      <c r="N954" s="468"/>
      <c r="O954" s="1"/>
      <c r="P954" s="1"/>
      <c r="Q954" s="1"/>
      <c r="R954" s="1"/>
    </row>
    <row r="955" ht="12.75" customHeight="1">
      <c r="A955" s="17"/>
      <c r="B955" s="1"/>
      <c r="C955" s="1"/>
      <c r="D955" s="150"/>
      <c r="E955" s="150"/>
      <c r="F955" s="75"/>
      <c r="G955" s="67"/>
      <c r="H955" s="68"/>
      <c r="I955" s="76"/>
      <c r="J955" s="67"/>
      <c r="K955" s="1"/>
      <c r="L955" s="81"/>
      <c r="M955" s="1"/>
      <c r="N955" s="468"/>
      <c r="O955" s="1"/>
      <c r="P955" s="1"/>
      <c r="Q955" s="1"/>
      <c r="R955" s="1"/>
    </row>
    <row r="956" ht="12.75" customHeight="1">
      <c r="A956" s="17"/>
      <c r="B956" s="1"/>
      <c r="C956" s="1"/>
      <c r="D956" s="150"/>
      <c r="E956" s="150"/>
      <c r="F956" s="75"/>
      <c r="G956" s="67"/>
      <c r="H956" s="68"/>
      <c r="I956" s="76"/>
      <c r="J956" s="67"/>
      <c r="K956" s="1"/>
      <c r="L956" s="81"/>
      <c r="M956" s="1"/>
      <c r="N956" s="468"/>
      <c r="O956" s="1"/>
      <c r="P956" s="1"/>
      <c r="Q956" s="1"/>
      <c r="R956" s="1"/>
    </row>
    <row r="957" ht="12.75" customHeight="1">
      <c r="A957" s="17"/>
      <c r="B957" s="1"/>
      <c r="C957" s="1"/>
      <c r="D957" s="150"/>
      <c r="E957" s="150"/>
      <c r="F957" s="75"/>
      <c r="G957" s="67"/>
      <c r="H957" s="68"/>
      <c r="I957" s="76"/>
      <c r="J957" s="67"/>
      <c r="K957" s="1"/>
      <c r="L957" s="81"/>
      <c r="M957" s="1"/>
      <c r="N957" s="468"/>
      <c r="O957" s="1"/>
      <c r="P957" s="1"/>
      <c r="Q957" s="1"/>
      <c r="R957" s="1"/>
    </row>
    <row r="958" ht="12.75" customHeight="1">
      <c r="A958" s="17"/>
      <c r="B958" s="1"/>
      <c r="C958" s="1"/>
      <c r="D958" s="150"/>
      <c r="E958" s="150"/>
      <c r="F958" s="75"/>
      <c r="G958" s="67"/>
      <c r="H958" s="68"/>
      <c r="I958" s="76"/>
      <c r="J958" s="67"/>
      <c r="K958" s="1"/>
      <c r="L958" s="81"/>
      <c r="M958" s="1"/>
      <c r="N958" s="468"/>
      <c r="O958" s="1"/>
      <c r="P958" s="1"/>
      <c r="Q958" s="1"/>
      <c r="R958" s="1"/>
    </row>
    <row r="959" ht="12.75" customHeight="1">
      <c r="A959" s="17"/>
      <c r="B959" s="1"/>
      <c r="C959" s="1"/>
      <c r="D959" s="150"/>
      <c r="E959" s="150"/>
      <c r="F959" s="75"/>
      <c r="G959" s="67"/>
      <c r="H959" s="68"/>
      <c r="I959" s="76"/>
      <c r="J959" s="67"/>
      <c r="K959" s="1"/>
      <c r="L959" s="81"/>
      <c r="M959" s="1"/>
      <c r="N959" s="468"/>
      <c r="O959" s="1"/>
      <c r="P959" s="1"/>
      <c r="Q959" s="1"/>
      <c r="R959" s="1"/>
    </row>
    <row r="960" ht="12.75" customHeight="1">
      <c r="A960" s="17"/>
      <c r="B960" s="1"/>
      <c r="C960" s="1"/>
      <c r="D960" s="150"/>
      <c r="E960" s="150"/>
      <c r="F960" s="75"/>
      <c r="G960" s="67"/>
      <c r="H960" s="68"/>
      <c r="I960" s="76"/>
      <c r="J960" s="67"/>
      <c r="K960" s="1"/>
      <c r="L960" s="81"/>
      <c r="M960" s="1"/>
      <c r="N960" s="468"/>
      <c r="O960" s="1"/>
      <c r="P960" s="1"/>
      <c r="Q960" s="1"/>
      <c r="R960" s="1"/>
    </row>
    <row r="961" ht="12.75" customHeight="1">
      <c r="A961" s="17"/>
      <c r="B961" s="1"/>
      <c r="C961" s="1"/>
      <c r="D961" s="150"/>
      <c r="E961" s="150"/>
      <c r="F961" s="75"/>
      <c r="G961" s="67"/>
      <c r="H961" s="68"/>
      <c r="I961" s="76"/>
      <c r="J961" s="67"/>
      <c r="K961" s="1"/>
      <c r="L961" s="81"/>
      <c r="M961" s="1"/>
      <c r="N961" s="468"/>
      <c r="O961" s="1"/>
      <c r="P961" s="1"/>
      <c r="Q961" s="1"/>
      <c r="R961" s="1"/>
    </row>
    <row r="962" ht="12.75" customHeight="1">
      <c r="A962" s="17"/>
      <c r="B962" s="1"/>
      <c r="C962" s="1"/>
      <c r="D962" s="150"/>
      <c r="E962" s="150"/>
      <c r="F962" s="75"/>
      <c r="G962" s="67"/>
      <c r="H962" s="68"/>
      <c r="I962" s="76"/>
      <c r="J962" s="67"/>
      <c r="K962" s="1"/>
      <c r="L962" s="81"/>
      <c r="M962" s="1"/>
      <c r="N962" s="468"/>
      <c r="O962" s="1"/>
      <c r="P962" s="1"/>
      <c r="Q962" s="1"/>
      <c r="R962" s="1"/>
    </row>
    <row r="963" ht="12.75" customHeight="1">
      <c r="A963" s="17"/>
      <c r="B963" s="1"/>
      <c r="C963" s="1"/>
      <c r="D963" s="150"/>
      <c r="E963" s="150"/>
      <c r="F963" s="75"/>
      <c r="G963" s="67"/>
      <c r="H963" s="68"/>
      <c r="I963" s="76"/>
      <c r="J963" s="67"/>
      <c r="K963" s="1"/>
      <c r="L963" s="81"/>
      <c r="M963" s="1"/>
      <c r="N963" s="468"/>
      <c r="O963" s="1"/>
      <c r="P963" s="1"/>
      <c r="Q963" s="1"/>
      <c r="R963" s="1"/>
    </row>
    <row r="964" ht="12.75" customHeight="1">
      <c r="A964" s="17"/>
      <c r="B964" s="1"/>
      <c r="C964" s="1"/>
      <c r="D964" s="150"/>
      <c r="E964" s="150"/>
      <c r="F964" s="75"/>
      <c r="G964" s="67"/>
      <c r="H964" s="68"/>
      <c r="I964" s="76"/>
      <c r="J964" s="67"/>
      <c r="K964" s="1"/>
      <c r="L964" s="81"/>
      <c r="M964" s="1"/>
      <c r="N964" s="468"/>
      <c r="O964" s="1"/>
      <c r="P964" s="1"/>
      <c r="Q964" s="1"/>
      <c r="R964" s="1"/>
    </row>
    <row r="965" ht="12.75" customHeight="1">
      <c r="A965" s="17"/>
      <c r="B965" s="1"/>
      <c r="C965" s="1"/>
      <c r="D965" s="150"/>
      <c r="E965" s="150"/>
      <c r="F965" s="75"/>
      <c r="G965" s="67"/>
      <c r="H965" s="68"/>
      <c r="I965" s="76"/>
      <c r="J965" s="67"/>
      <c r="K965" s="1"/>
      <c r="L965" s="81"/>
      <c r="M965" s="1"/>
      <c r="N965" s="468"/>
      <c r="O965" s="1"/>
      <c r="P965" s="1"/>
      <c r="Q965" s="1"/>
      <c r="R965" s="1"/>
    </row>
    <row r="966" ht="12.75" customHeight="1">
      <c r="A966" s="17"/>
      <c r="B966" s="1"/>
      <c r="C966" s="1"/>
      <c r="D966" s="150"/>
      <c r="E966" s="150"/>
      <c r="F966" s="75"/>
      <c r="G966" s="67"/>
      <c r="H966" s="68"/>
      <c r="I966" s="76"/>
      <c r="J966" s="67"/>
      <c r="K966" s="1"/>
      <c r="L966" s="81"/>
      <c r="M966" s="1"/>
      <c r="N966" s="468"/>
      <c r="O966" s="1"/>
      <c r="P966" s="1"/>
      <c r="Q966" s="1"/>
      <c r="R966" s="1"/>
    </row>
    <row r="967" ht="12.75" customHeight="1">
      <c r="A967" s="17"/>
      <c r="B967" s="1"/>
      <c r="C967" s="1"/>
      <c r="D967" s="150"/>
      <c r="E967" s="150"/>
      <c r="F967" s="75"/>
      <c r="G967" s="67"/>
      <c r="H967" s="68"/>
      <c r="I967" s="76"/>
      <c r="J967" s="67"/>
      <c r="K967" s="1"/>
      <c r="L967" s="81"/>
      <c r="M967" s="1"/>
      <c r="N967" s="468"/>
      <c r="O967" s="1"/>
      <c r="P967" s="1"/>
      <c r="Q967" s="1"/>
      <c r="R967" s="1"/>
    </row>
    <row r="968" ht="12.75" customHeight="1">
      <c r="A968" s="17"/>
      <c r="B968" s="1"/>
      <c r="C968" s="1"/>
      <c r="D968" s="150"/>
      <c r="E968" s="150"/>
      <c r="F968" s="75"/>
      <c r="G968" s="67"/>
      <c r="H968" s="68"/>
      <c r="I968" s="76"/>
      <c r="J968" s="67"/>
      <c r="K968" s="1"/>
      <c r="L968" s="81"/>
      <c r="M968" s="1"/>
      <c r="N968" s="468"/>
      <c r="O968" s="1"/>
      <c r="P968" s="1"/>
      <c r="Q968" s="1"/>
      <c r="R968" s="1"/>
    </row>
    <row r="969" ht="12.75" customHeight="1">
      <c r="A969" s="17"/>
      <c r="B969" s="1"/>
      <c r="C969" s="1"/>
      <c r="D969" s="150"/>
      <c r="E969" s="150"/>
      <c r="F969" s="75"/>
      <c r="G969" s="67"/>
      <c r="H969" s="68"/>
      <c r="I969" s="76"/>
      <c r="J969" s="67"/>
      <c r="K969" s="1"/>
      <c r="L969" s="81"/>
      <c r="M969" s="1"/>
      <c r="N969" s="468"/>
      <c r="O969" s="1"/>
      <c r="P969" s="1"/>
      <c r="Q969" s="1"/>
      <c r="R969" s="1"/>
    </row>
    <row r="970" ht="12.75" customHeight="1">
      <c r="A970" s="17"/>
      <c r="B970" s="1"/>
      <c r="C970" s="1"/>
      <c r="D970" s="150"/>
      <c r="E970" s="150"/>
      <c r="F970" s="75"/>
      <c r="G970" s="67"/>
      <c r="H970" s="68"/>
      <c r="I970" s="76"/>
      <c r="J970" s="67"/>
      <c r="K970" s="1"/>
      <c r="L970" s="81"/>
      <c r="M970" s="1"/>
      <c r="N970" s="468"/>
      <c r="O970" s="1"/>
      <c r="P970" s="1"/>
      <c r="Q970" s="1"/>
      <c r="R970" s="1"/>
    </row>
    <row r="971" ht="12.75" customHeight="1">
      <c r="A971" s="17"/>
      <c r="B971" s="1"/>
      <c r="C971" s="1"/>
      <c r="D971" s="150"/>
      <c r="E971" s="150"/>
      <c r="F971" s="75"/>
      <c r="G971" s="67"/>
      <c r="H971" s="68"/>
      <c r="I971" s="76"/>
      <c r="J971" s="67"/>
      <c r="K971" s="1"/>
      <c r="L971" s="81"/>
      <c r="M971" s="1"/>
      <c r="N971" s="468"/>
      <c r="O971" s="1"/>
      <c r="P971" s="1"/>
      <c r="Q971" s="1"/>
      <c r="R971" s="1"/>
    </row>
    <row r="972" ht="12.75" customHeight="1">
      <c r="A972" s="17"/>
      <c r="B972" s="1"/>
      <c r="C972" s="1"/>
      <c r="D972" s="150"/>
      <c r="E972" s="150"/>
      <c r="F972" s="75"/>
      <c r="G972" s="67"/>
      <c r="H972" s="68"/>
      <c r="I972" s="76"/>
      <c r="J972" s="67"/>
      <c r="K972" s="1"/>
      <c r="L972" s="81"/>
      <c r="M972" s="1"/>
      <c r="N972" s="468"/>
      <c r="O972" s="1"/>
      <c r="P972" s="1"/>
      <c r="Q972" s="1"/>
      <c r="R972" s="1"/>
    </row>
    <row r="973" ht="12.75" customHeight="1">
      <c r="A973" s="17"/>
      <c r="B973" s="1"/>
      <c r="C973" s="1"/>
      <c r="D973" s="150"/>
      <c r="E973" s="150"/>
      <c r="F973" s="75"/>
      <c r="G973" s="67"/>
      <c r="H973" s="68"/>
      <c r="I973" s="76"/>
      <c r="J973" s="67"/>
      <c r="K973" s="1"/>
      <c r="L973" s="81"/>
      <c r="M973" s="1"/>
      <c r="N973" s="468"/>
      <c r="O973" s="1"/>
      <c r="P973" s="1"/>
      <c r="Q973" s="1"/>
      <c r="R973" s="1"/>
    </row>
    <row r="974" ht="12.75" customHeight="1">
      <c r="A974" s="17"/>
      <c r="B974" s="1"/>
      <c r="C974" s="1"/>
      <c r="D974" s="150"/>
      <c r="E974" s="150"/>
      <c r="F974" s="75"/>
      <c r="G974" s="67"/>
      <c r="H974" s="68"/>
      <c r="I974" s="76"/>
      <c r="J974" s="67"/>
      <c r="K974" s="1"/>
      <c r="L974" s="81"/>
      <c r="M974" s="1"/>
      <c r="N974" s="468"/>
      <c r="O974" s="1"/>
      <c r="P974" s="1"/>
      <c r="Q974" s="1"/>
      <c r="R974" s="1"/>
    </row>
    <row r="975" ht="12.75" customHeight="1">
      <c r="A975" s="17"/>
      <c r="B975" s="1"/>
      <c r="C975" s="1"/>
      <c r="D975" s="150"/>
      <c r="E975" s="150"/>
      <c r="F975" s="75"/>
      <c r="G975" s="67"/>
      <c r="H975" s="68"/>
      <c r="I975" s="76"/>
      <c r="J975" s="67"/>
      <c r="K975" s="1"/>
      <c r="L975" s="81"/>
      <c r="M975" s="1"/>
      <c r="N975" s="468"/>
      <c r="O975" s="1"/>
      <c r="P975" s="1"/>
      <c r="Q975" s="1"/>
      <c r="R975" s="1"/>
    </row>
    <row r="976" ht="12.75" customHeight="1">
      <c r="A976" s="17"/>
      <c r="B976" s="1"/>
      <c r="C976" s="1"/>
      <c r="D976" s="150"/>
      <c r="E976" s="150"/>
      <c r="F976" s="75"/>
      <c r="G976" s="67"/>
      <c r="H976" s="68"/>
      <c r="I976" s="76"/>
      <c r="J976" s="67"/>
      <c r="K976" s="1"/>
      <c r="L976" s="81"/>
      <c r="M976" s="1"/>
      <c r="N976" s="468"/>
      <c r="O976" s="1"/>
      <c r="P976" s="1"/>
      <c r="Q976" s="1"/>
      <c r="R976" s="1"/>
    </row>
    <row r="977" ht="12.75" customHeight="1">
      <c r="A977" s="17"/>
      <c r="B977" s="1"/>
      <c r="C977" s="1"/>
      <c r="D977" s="150"/>
      <c r="E977" s="150"/>
      <c r="F977" s="75"/>
      <c r="G977" s="67"/>
      <c r="H977" s="68"/>
      <c r="I977" s="76"/>
      <c r="J977" s="67"/>
      <c r="K977" s="1"/>
      <c r="L977" s="81"/>
      <c r="M977" s="1"/>
      <c r="N977" s="468"/>
      <c r="O977" s="1"/>
      <c r="P977" s="1"/>
      <c r="Q977" s="1"/>
      <c r="R977" s="1"/>
    </row>
    <row r="978" ht="12.75" customHeight="1">
      <c r="A978" s="17"/>
      <c r="B978" s="1"/>
      <c r="C978" s="1"/>
      <c r="D978" s="150"/>
      <c r="E978" s="150"/>
      <c r="F978" s="75"/>
      <c r="G978" s="67"/>
      <c r="H978" s="68"/>
      <c r="I978" s="76"/>
      <c r="J978" s="67"/>
      <c r="K978" s="1"/>
      <c r="L978" s="81"/>
      <c r="M978" s="1"/>
      <c r="N978" s="468"/>
      <c r="O978" s="1"/>
      <c r="P978" s="1"/>
      <c r="Q978" s="1"/>
      <c r="R978" s="1"/>
    </row>
    <row r="979" ht="12.75" customHeight="1">
      <c r="A979" s="17"/>
      <c r="B979" s="1"/>
      <c r="C979" s="1"/>
      <c r="D979" s="150"/>
      <c r="E979" s="150"/>
      <c r="F979" s="75"/>
      <c r="G979" s="67"/>
      <c r="H979" s="68"/>
      <c r="I979" s="76"/>
      <c r="J979" s="67"/>
      <c r="K979" s="1"/>
      <c r="L979" s="81"/>
      <c r="M979" s="1"/>
      <c r="N979" s="468"/>
      <c r="O979" s="1"/>
      <c r="P979" s="1"/>
      <c r="Q979" s="1"/>
      <c r="R979" s="1"/>
    </row>
    <row r="980" ht="12.75" customHeight="1">
      <c r="A980" s="17"/>
      <c r="B980" s="1"/>
      <c r="C980" s="1"/>
      <c r="D980" s="150"/>
      <c r="E980" s="150"/>
      <c r="F980" s="75"/>
      <c r="G980" s="67"/>
      <c r="H980" s="68"/>
      <c r="I980" s="76"/>
      <c r="J980" s="67"/>
      <c r="K980" s="1"/>
      <c r="L980" s="81"/>
      <c r="M980" s="1"/>
      <c r="N980" s="468"/>
      <c r="O980" s="1"/>
      <c r="P980" s="1"/>
      <c r="Q980" s="1"/>
      <c r="R980" s="1"/>
    </row>
    <row r="981" ht="12.75" customHeight="1">
      <c r="A981" s="17"/>
      <c r="B981" s="1"/>
      <c r="C981" s="1"/>
      <c r="D981" s="150"/>
      <c r="E981" s="150"/>
      <c r="F981" s="75"/>
      <c r="G981" s="67"/>
      <c r="H981" s="68"/>
      <c r="I981" s="76"/>
      <c r="J981" s="67"/>
      <c r="K981" s="1"/>
      <c r="L981" s="81"/>
      <c r="M981" s="1"/>
      <c r="N981" s="468"/>
      <c r="O981" s="1"/>
      <c r="P981" s="1"/>
      <c r="Q981" s="1"/>
      <c r="R981" s="1"/>
    </row>
    <row r="982" ht="12.75" customHeight="1">
      <c r="A982" s="17"/>
      <c r="B982" s="1"/>
      <c r="C982" s="1"/>
      <c r="D982" s="150"/>
      <c r="E982" s="150"/>
      <c r="F982" s="75"/>
      <c r="G982" s="67"/>
      <c r="H982" s="68"/>
      <c r="I982" s="76"/>
      <c r="J982" s="67"/>
      <c r="K982" s="1"/>
      <c r="L982" s="81"/>
      <c r="M982" s="1"/>
      <c r="N982" s="468"/>
      <c r="O982" s="1"/>
      <c r="P982" s="1"/>
      <c r="Q982" s="1"/>
      <c r="R982" s="1"/>
    </row>
    <row r="983" ht="12.75" customHeight="1">
      <c r="A983" s="17"/>
      <c r="B983" s="1"/>
      <c r="C983" s="1"/>
      <c r="D983" s="150"/>
      <c r="E983" s="150"/>
      <c r="F983" s="75"/>
      <c r="G983" s="67"/>
      <c r="H983" s="68"/>
      <c r="I983" s="76"/>
      <c r="J983" s="67"/>
      <c r="K983" s="1"/>
      <c r="L983" s="81"/>
      <c r="M983" s="1"/>
      <c r="N983" s="468"/>
      <c r="O983" s="1"/>
      <c r="P983" s="1"/>
      <c r="Q983" s="1"/>
      <c r="R983" s="1"/>
    </row>
    <row r="984" ht="12.75" customHeight="1">
      <c r="A984" s="17"/>
      <c r="B984" s="1"/>
      <c r="C984" s="1"/>
      <c r="D984" s="150"/>
      <c r="E984" s="150"/>
      <c r="F984" s="75"/>
      <c r="G984" s="67"/>
      <c r="H984" s="68"/>
      <c r="I984" s="76"/>
      <c r="J984" s="67"/>
      <c r="K984" s="1"/>
      <c r="L984" s="81"/>
      <c r="M984" s="1"/>
      <c r="N984" s="468"/>
      <c r="O984" s="1"/>
      <c r="P984" s="1"/>
      <c r="Q984" s="1"/>
      <c r="R984" s="1"/>
    </row>
    <row r="985" ht="12.75" customHeight="1">
      <c r="A985" s="17"/>
      <c r="B985" s="1"/>
      <c r="C985" s="1"/>
      <c r="D985" s="150"/>
      <c r="E985" s="150"/>
      <c r="F985" s="75"/>
      <c r="G985" s="67"/>
      <c r="H985" s="68"/>
      <c r="I985" s="76"/>
      <c r="J985" s="67"/>
      <c r="K985" s="1"/>
      <c r="L985" s="81"/>
      <c r="M985" s="1"/>
      <c r="N985" s="468"/>
      <c r="O985" s="1"/>
      <c r="P985" s="1"/>
      <c r="Q985" s="1"/>
      <c r="R985" s="1"/>
    </row>
    <row r="986" ht="12.75" customHeight="1">
      <c r="A986" s="17"/>
      <c r="B986" s="1"/>
      <c r="C986" s="1"/>
      <c r="D986" s="150"/>
      <c r="E986" s="150"/>
      <c r="F986" s="75"/>
      <c r="G986" s="67"/>
      <c r="H986" s="68"/>
      <c r="I986" s="76"/>
      <c r="J986" s="67"/>
      <c r="K986" s="1"/>
      <c r="L986" s="81"/>
      <c r="M986" s="1"/>
      <c r="N986" s="468"/>
      <c r="O986" s="1"/>
      <c r="P986" s="1"/>
      <c r="Q986" s="1"/>
      <c r="R986" s="1"/>
    </row>
    <row r="987" ht="12.75" customHeight="1">
      <c r="A987" s="17"/>
      <c r="B987" s="1"/>
      <c r="C987" s="1"/>
      <c r="D987" s="150"/>
      <c r="E987" s="150"/>
      <c r="F987" s="75"/>
      <c r="G987" s="67"/>
      <c r="H987" s="68"/>
      <c r="I987" s="76"/>
      <c r="J987" s="67"/>
      <c r="K987" s="1"/>
      <c r="L987" s="81"/>
      <c r="M987" s="1"/>
      <c r="N987" s="468"/>
      <c r="O987" s="1"/>
      <c r="P987" s="1"/>
      <c r="Q987" s="1"/>
      <c r="R987" s="1"/>
    </row>
    <row r="988" ht="12.75" customHeight="1">
      <c r="A988" s="17"/>
      <c r="B988" s="1"/>
      <c r="C988" s="1"/>
      <c r="D988" s="150"/>
      <c r="E988" s="150"/>
      <c r="F988" s="75"/>
      <c r="G988" s="67"/>
      <c r="H988" s="68"/>
      <c r="I988" s="76"/>
      <c r="J988" s="67"/>
      <c r="K988" s="1"/>
      <c r="L988" s="81"/>
      <c r="M988" s="1"/>
      <c r="N988" s="468"/>
      <c r="O988" s="1"/>
      <c r="P988" s="1"/>
      <c r="Q988" s="1"/>
      <c r="R988" s="1"/>
    </row>
    <row r="989" ht="12.75" customHeight="1">
      <c r="A989" s="17"/>
      <c r="B989" s="1"/>
      <c r="C989" s="1"/>
      <c r="D989" s="150"/>
      <c r="E989" s="150"/>
      <c r="F989" s="75"/>
      <c r="G989" s="67"/>
      <c r="H989" s="68"/>
      <c r="I989" s="76"/>
      <c r="J989" s="67"/>
      <c r="K989" s="1"/>
      <c r="L989" s="81"/>
      <c r="M989" s="1"/>
      <c r="N989" s="468"/>
      <c r="O989" s="1"/>
      <c r="P989" s="1"/>
      <c r="Q989" s="1"/>
      <c r="R989" s="1"/>
    </row>
    <row r="990" ht="12.75" customHeight="1">
      <c r="A990" s="17"/>
      <c r="B990" s="1"/>
      <c r="C990" s="1"/>
      <c r="D990" s="150"/>
      <c r="E990" s="150"/>
      <c r="F990" s="75"/>
      <c r="G990" s="67"/>
      <c r="H990" s="68"/>
      <c r="I990" s="76"/>
      <c r="J990" s="67"/>
      <c r="K990" s="1"/>
      <c r="L990" s="81"/>
      <c r="M990" s="1"/>
      <c r="N990" s="468"/>
      <c r="O990" s="1"/>
      <c r="P990" s="1"/>
      <c r="Q990" s="1"/>
      <c r="R990" s="1"/>
    </row>
    <row r="991" ht="12.75" customHeight="1">
      <c r="A991" s="17"/>
      <c r="B991" s="1"/>
      <c r="C991" s="1"/>
      <c r="D991" s="150"/>
      <c r="E991" s="150"/>
      <c r="F991" s="75"/>
      <c r="G991" s="67"/>
      <c r="H991" s="68"/>
      <c r="I991" s="76"/>
      <c r="J991" s="67"/>
      <c r="K991" s="1"/>
      <c r="L991" s="81"/>
      <c r="M991" s="1"/>
      <c r="N991" s="468"/>
      <c r="O991" s="1"/>
      <c r="P991" s="1"/>
      <c r="Q991" s="1"/>
      <c r="R991" s="1"/>
    </row>
    <row r="992" ht="12.75" customHeight="1">
      <c r="A992" s="17"/>
      <c r="B992" s="1"/>
      <c r="C992" s="1"/>
      <c r="D992" s="150"/>
      <c r="E992" s="150"/>
      <c r="F992" s="75"/>
      <c r="G992" s="67"/>
      <c r="H992" s="68"/>
      <c r="I992" s="76"/>
      <c r="J992" s="67"/>
      <c r="K992" s="1"/>
      <c r="L992" s="81"/>
      <c r="M992" s="1"/>
      <c r="N992" s="468"/>
      <c r="O992" s="1"/>
      <c r="P992" s="1"/>
      <c r="Q992" s="1"/>
      <c r="R992" s="1"/>
    </row>
    <row r="993" ht="12.75" customHeight="1">
      <c r="A993" s="17"/>
      <c r="B993" s="1"/>
      <c r="C993" s="1"/>
      <c r="D993" s="150"/>
      <c r="E993" s="150"/>
      <c r="F993" s="75"/>
      <c r="G993" s="67"/>
      <c r="H993" s="68"/>
      <c r="I993" s="76"/>
      <c r="J993" s="67"/>
      <c r="K993" s="1"/>
      <c r="L993" s="81"/>
      <c r="M993" s="1"/>
      <c r="N993" s="468"/>
      <c r="O993" s="1"/>
      <c r="P993" s="1"/>
      <c r="Q993" s="1"/>
      <c r="R993" s="1"/>
    </row>
    <row r="994" ht="12.75" customHeight="1">
      <c r="A994" s="17"/>
      <c r="B994" s="1"/>
      <c r="C994" s="1"/>
      <c r="D994" s="150"/>
      <c r="E994" s="150"/>
      <c r="F994" s="75"/>
      <c r="G994" s="67"/>
      <c r="H994" s="68"/>
      <c r="I994" s="76"/>
      <c r="J994" s="67"/>
      <c r="K994" s="1"/>
      <c r="L994" s="81"/>
      <c r="M994" s="1"/>
      <c r="N994" s="468"/>
      <c r="O994" s="1"/>
      <c r="P994" s="1"/>
      <c r="Q994" s="1"/>
      <c r="R994" s="1"/>
    </row>
    <row r="995" ht="12.75" customHeight="1">
      <c r="A995" s="17"/>
      <c r="B995" s="1"/>
      <c r="C995" s="1"/>
      <c r="D995" s="150"/>
      <c r="E995" s="150"/>
      <c r="F995" s="75"/>
      <c r="G995" s="67"/>
      <c r="H995" s="68"/>
      <c r="I995" s="76"/>
      <c r="J995" s="67"/>
      <c r="K995" s="1"/>
      <c r="L995" s="81"/>
      <c r="M995" s="1"/>
      <c r="N995" s="468"/>
      <c r="O995" s="1"/>
      <c r="P995" s="1"/>
      <c r="Q995" s="1"/>
      <c r="R995" s="1"/>
    </row>
    <row r="996" ht="12.75" customHeight="1">
      <c r="A996" s="17"/>
      <c r="B996" s="1"/>
      <c r="C996" s="1"/>
      <c r="D996" s="150"/>
      <c r="E996" s="150"/>
      <c r="F996" s="75"/>
      <c r="G996" s="67"/>
      <c r="H996" s="68"/>
      <c r="I996" s="76"/>
      <c r="J996" s="67"/>
      <c r="K996" s="1"/>
      <c r="L996" s="81"/>
      <c r="M996" s="1"/>
      <c r="N996" s="468"/>
      <c r="O996" s="1"/>
      <c r="P996" s="1"/>
      <c r="Q996" s="1"/>
      <c r="R996" s="1"/>
    </row>
    <row r="997" ht="12.75" customHeight="1">
      <c r="A997" s="17"/>
      <c r="B997" s="1"/>
      <c r="C997" s="1"/>
      <c r="D997" s="150"/>
      <c r="E997" s="150"/>
      <c r="F997" s="75"/>
      <c r="G997" s="67"/>
      <c r="H997" s="68"/>
      <c r="I997" s="76"/>
      <c r="J997" s="67"/>
      <c r="K997" s="1"/>
      <c r="L997" s="81"/>
      <c r="M997" s="1"/>
      <c r="N997" s="468"/>
      <c r="O997" s="1"/>
      <c r="P997" s="1"/>
      <c r="Q997" s="1"/>
      <c r="R997" s="1"/>
    </row>
    <row r="998" ht="12.75" customHeight="1">
      <c r="A998" s="17"/>
      <c r="B998" s="1"/>
      <c r="C998" s="1"/>
      <c r="D998" s="150"/>
      <c r="E998" s="150"/>
      <c r="F998" s="75"/>
      <c r="G998" s="67"/>
      <c r="H998" s="68"/>
      <c r="I998" s="76"/>
      <c r="J998" s="67"/>
      <c r="K998" s="1"/>
      <c r="L998" s="81"/>
      <c r="M998" s="1"/>
      <c r="N998" s="468"/>
      <c r="O998" s="1"/>
      <c r="P998" s="1"/>
      <c r="Q998" s="1"/>
      <c r="R998" s="1"/>
    </row>
    <row r="999" ht="12.75" customHeight="1">
      <c r="A999" s="17"/>
      <c r="B999" s="1"/>
      <c r="C999" s="1"/>
      <c r="D999" s="150"/>
      <c r="E999" s="150"/>
      <c r="F999" s="75"/>
      <c r="G999" s="67"/>
      <c r="H999" s="68"/>
      <c r="I999" s="76"/>
      <c r="J999" s="67"/>
      <c r="K999" s="1"/>
      <c r="L999" s="81"/>
      <c r="M999" s="1"/>
      <c r="N999" s="468"/>
      <c r="O999" s="1"/>
      <c r="P999" s="1"/>
      <c r="Q999" s="1"/>
      <c r="R999" s="1"/>
    </row>
    <row r="1000" ht="12.75" customHeight="1">
      <c r="A1000" s="17"/>
      <c r="B1000" s="1"/>
      <c r="C1000" s="1"/>
      <c r="D1000" s="150"/>
      <c r="E1000" s="150"/>
      <c r="F1000" s="75"/>
      <c r="G1000" s="67"/>
      <c r="H1000" s="68"/>
      <c r="I1000" s="76"/>
      <c r="J1000" s="67"/>
      <c r="K1000" s="1"/>
      <c r="L1000" s="81"/>
      <c r="M1000" s="1"/>
      <c r="N1000" s="468"/>
      <c r="O1000" s="1"/>
      <c r="P1000" s="1"/>
      <c r="Q1000" s="1"/>
      <c r="R1000" s="1"/>
    </row>
    <row r="1001" ht="12.75" customHeight="1">
      <c r="A1001" s="17"/>
      <c r="B1001" s="1"/>
      <c r="C1001" s="1"/>
      <c r="D1001" s="150"/>
      <c r="E1001" s="150"/>
      <c r="F1001" s="75"/>
      <c r="G1001" s="67"/>
      <c r="H1001" s="68"/>
      <c r="I1001" s="76"/>
      <c r="J1001" s="67"/>
      <c r="K1001" s="1"/>
      <c r="L1001" s="81"/>
      <c r="M1001" s="1"/>
      <c r="N1001" s="468"/>
      <c r="O1001" s="1"/>
      <c r="P1001" s="1"/>
      <c r="Q1001" s="1"/>
      <c r="R1001" s="1"/>
    </row>
    <row r="1002" ht="12.75" customHeight="1">
      <c r="A1002" s="17"/>
      <c r="B1002" s="1"/>
      <c r="C1002" s="1"/>
      <c r="D1002" s="150"/>
      <c r="E1002" s="150"/>
      <c r="F1002" s="75"/>
      <c r="G1002" s="67"/>
      <c r="H1002" s="68"/>
      <c r="I1002" s="76"/>
      <c r="J1002" s="67"/>
      <c r="K1002" s="1"/>
      <c r="L1002" s="81"/>
      <c r="M1002" s="1"/>
      <c r="N1002" s="468"/>
      <c r="O1002" s="1"/>
      <c r="P1002" s="1"/>
      <c r="Q1002" s="1"/>
      <c r="R1002" s="1"/>
    </row>
    <row r="1003" ht="12.75" customHeight="1">
      <c r="A1003" s="17"/>
      <c r="B1003" s="1"/>
      <c r="C1003" s="1"/>
      <c r="D1003" s="150"/>
      <c r="E1003" s="150"/>
      <c r="F1003" s="75"/>
      <c r="G1003" s="67"/>
      <c r="H1003" s="68"/>
      <c r="I1003" s="76"/>
      <c r="J1003" s="67"/>
      <c r="K1003" s="1"/>
      <c r="L1003" s="81"/>
      <c r="M1003" s="1"/>
      <c r="N1003" s="468"/>
      <c r="O1003" s="1"/>
      <c r="P1003" s="1"/>
      <c r="Q1003" s="1"/>
      <c r="R1003" s="1"/>
    </row>
    <row r="1004" ht="12.75" customHeight="1">
      <c r="A1004" s="17"/>
      <c r="B1004" s="1"/>
      <c r="C1004" s="1"/>
      <c r="D1004" s="150"/>
      <c r="E1004" s="150"/>
      <c r="F1004" s="75"/>
      <c r="G1004" s="67"/>
      <c r="H1004" s="68"/>
      <c r="I1004" s="76"/>
      <c r="J1004" s="67"/>
      <c r="K1004" s="1"/>
      <c r="L1004" s="81"/>
      <c r="M1004" s="1"/>
      <c r="N1004" s="468"/>
      <c r="O1004" s="1"/>
      <c r="P1004" s="1"/>
      <c r="Q1004" s="1"/>
      <c r="R1004" s="1"/>
    </row>
    <row r="1005" ht="12.75" customHeight="1">
      <c r="A1005" s="17"/>
      <c r="B1005" s="1"/>
      <c r="C1005" s="1"/>
      <c r="D1005" s="150"/>
      <c r="E1005" s="150"/>
      <c r="F1005" s="75"/>
      <c r="G1005" s="67"/>
      <c r="H1005" s="68"/>
      <c r="I1005" s="76"/>
      <c r="J1005" s="67"/>
      <c r="K1005" s="1"/>
      <c r="L1005" s="81"/>
      <c r="M1005" s="1"/>
      <c r="N1005" s="468"/>
      <c r="O1005" s="1"/>
      <c r="P1005" s="1"/>
      <c r="Q1005" s="1"/>
      <c r="R1005" s="1"/>
    </row>
    <row r="1006" ht="12.75" customHeight="1">
      <c r="A1006" s="17"/>
      <c r="B1006" s="1"/>
      <c r="C1006" s="1"/>
      <c r="D1006" s="150"/>
      <c r="E1006" s="150"/>
      <c r="F1006" s="75"/>
      <c r="G1006" s="67"/>
      <c r="H1006" s="68"/>
      <c r="I1006" s="76"/>
      <c r="J1006" s="67"/>
      <c r="K1006" s="1"/>
      <c r="L1006" s="81"/>
      <c r="M1006" s="1"/>
      <c r="N1006" s="468"/>
      <c r="O1006" s="1"/>
      <c r="P1006" s="1"/>
      <c r="Q1006" s="1"/>
      <c r="R1006" s="1"/>
    </row>
    <row r="1007" ht="12.75" customHeight="1">
      <c r="A1007" s="17"/>
      <c r="B1007" s="1"/>
      <c r="C1007" s="1"/>
      <c r="D1007" s="150"/>
      <c r="E1007" s="150"/>
      <c r="F1007" s="75"/>
      <c r="G1007" s="67"/>
      <c r="H1007" s="68"/>
      <c r="I1007" s="76"/>
      <c r="J1007" s="67"/>
      <c r="K1007" s="1"/>
      <c r="L1007" s="81"/>
      <c r="M1007" s="1"/>
      <c r="N1007" s="468"/>
      <c r="O1007" s="1"/>
      <c r="P1007" s="1"/>
      <c r="Q1007" s="1"/>
      <c r="R1007" s="1"/>
    </row>
    <row r="1008" ht="12.75" customHeight="1">
      <c r="A1008" s="17"/>
      <c r="B1008" s="1"/>
      <c r="C1008" s="1"/>
      <c r="D1008" s="150"/>
      <c r="E1008" s="150"/>
      <c r="F1008" s="75"/>
      <c r="G1008" s="67"/>
      <c r="H1008" s="68"/>
      <c r="I1008" s="76"/>
      <c r="J1008" s="67"/>
      <c r="K1008" s="1"/>
      <c r="L1008" s="81"/>
      <c r="M1008" s="1"/>
      <c r="N1008" s="468"/>
      <c r="O1008" s="1"/>
      <c r="P1008" s="1"/>
      <c r="Q1008" s="1"/>
      <c r="R1008" s="1"/>
    </row>
    <row r="1009" ht="12.75" customHeight="1">
      <c r="A1009" s="17"/>
      <c r="B1009" s="1"/>
      <c r="C1009" s="1"/>
      <c r="D1009" s="150"/>
      <c r="E1009" s="150"/>
      <c r="F1009" s="75"/>
      <c r="G1009" s="67"/>
      <c r="H1009" s="68"/>
      <c r="I1009" s="76"/>
      <c r="J1009" s="67"/>
      <c r="K1009" s="1"/>
      <c r="L1009" s="81"/>
      <c r="M1009" s="1"/>
      <c r="N1009" s="468"/>
      <c r="O1009" s="1"/>
      <c r="P1009" s="1"/>
      <c r="Q1009" s="1"/>
      <c r="R1009" s="1"/>
    </row>
    <row r="1010" ht="12.75" customHeight="1">
      <c r="A1010" s="17"/>
      <c r="B1010" s="1"/>
      <c r="C1010" s="1"/>
      <c r="D1010" s="150"/>
      <c r="E1010" s="150"/>
      <c r="F1010" s="75"/>
      <c r="G1010" s="67"/>
      <c r="H1010" s="68"/>
      <c r="I1010" s="76"/>
      <c r="J1010" s="67"/>
      <c r="K1010" s="1"/>
      <c r="L1010" s="81"/>
      <c r="M1010" s="1"/>
      <c r="N1010" s="468"/>
      <c r="O1010" s="1"/>
      <c r="P1010" s="1"/>
      <c r="Q1010" s="1"/>
      <c r="R1010" s="1"/>
    </row>
    <row r="1011" ht="12.75" customHeight="1">
      <c r="A1011" s="17"/>
      <c r="B1011" s="1"/>
      <c r="C1011" s="1"/>
      <c r="D1011" s="150"/>
      <c r="E1011" s="150"/>
      <c r="F1011" s="75"/>
      <c r="G1011" s="67"/>
      <c r="H1011" s="68"/>
      <c r="I1011" s="76"/>
      <c r="J1011" s="67"/>
      <c r="K1011" s="1"/>
      <c r="L1011" s="81"/>
      <c r="M1011" s="1"/>
      <c r="N1011" s="468"/>
      <c r="O1011" s="1"/>
      <c r="P1011" s="1"/>
      <c r="Q1011" s="1"/>
      <c r="R1011" s="1"/>
    </row>
    <row r="1012" ht="12.75" customHeight="1">
      <c r="A1012" s="17"/>
      <c r="B1012" s="1"/>
      <c r="C1012" s="1"/>
      <c r="D1012" s="150"/>
      <c r="E1012" s="150"/>
      <c r="F1012" s="75"/>
      <c r="G1012" s="67"/>
      <c r="H1012" s="68"/>
      <c r="I1012" s="76"/>
      <c r="J1012" s="67"/>
      <c r="K1012" s="1"/>
      <c r="L1012" s="81"/>
      <c r="M1012" s="1"/>
      <c r="N1012" s="468"/>
      <c r="O1012" s="1"/>
      <c r="P1012" s="1"/>
      <c r="Q1012" s="1"/>
      <c r="R1012" s="1"/>
    </row>
    <row r="1013" ht="12.75" customHeight="1">
      <c r="A1013" s="17"/>
      <c r="B1013" s="1"/>
      <c r="C1013" s="1"/>
      <c r="D1013" s="150"/>
      <c r="E1013" s="150"/>
      <c r="F1013" s="75"/>
      <c r="G1013" s="67"/>
      <c r="H1013" s="68"/>
      <c r="I1013" s="76"/>
      <c r="J1013" s="67"/>
      <c r="K1013" s="1"/>
      <c r="L1013" s="81"/>
      <c r="M1013" s="1"/>
      <c r="N1013" s="468"/>
      <c r="O1013" s="1"/>
      <c r="P1013" s="1"/>
      <c r="Q1013" s="1"/>
      <c r="R1013" s="1"/>
    </row>
    <row r="1014" ht="12.75" customHeight="1">
      <c r="A1014" s="17"/>
      <c r="B1014" s="1"/>
      <c r="C1014" s="1"/>
      <c r="D1014" s="150"/>
      <c r="E1014" s="150"/>
      <c r="F1014" s="75"/>
      <c r="G1014" s="67"/>
      <c r="H1014" s="68"/>
      <c r="I1014" s="76"/>
      <c r="J1014" s="67"/>
      <c r="K1014" s="1"/>
      <c r="L1014" s="81"/>
      <c r="M1014" s="1"/>
      <c r="N1014" s="468"/>
      <c r="O1014" s="1"/>
      <c r="P1014" s="1"/>
      <c r="Q1014" s="1"/>
      <c r="R1014" s="1"/>
    </row>
    <row r="1015" ht="12.75" customHeight="1">
      <c r="A1015" s="17"/>
      <c r="B1015" s="1"/>
      <c r="C1015" s="1"/>
      <c r="D1015" s="150"/>
      <c r="E1015" s="150"/>
      <c r="F1015" s="75"/>
      <c r="G1015" s="67"/>
      <c r="H1015" s="68"/>
      <c r="I1015" s="76"/>
      <c r="J1015" s="67"/>
      <c r="K1015" s="1"/>
      <c r="L1015" s="81"/>
      <c r="M1015" s="1"/>
      <c r="N1015" s="468"/>
      <c r="O1015" s="1"/>
      <c r="P1015" s="1"/>
      <c r="Q1015" s="1"/>
      <c r="R1015" s="1"/>
    </row>
    <row r="1016" ht="12.75" customHeight="1">
      <c r="A1016" s="17"/>
      <c r="B1016" s="1"/>
      <c r="C1016" s="1"/>
      <c r="D1016" s="150"/>
      <c r="E1016" s="150"/>
      <c r="F1016" s="75"/>
      <c r="G1016" s="67"/>
      <c r="H1016" s="68"/>
      <c r="I1016" s="76"/>
      <c r="J1016" s="67"/>
      <c r="K1016" s="1"/>
      <c r="L1016" s="81"/>
      <c r="M1016" s="1"/>
      <c r="N1016" s="468"/>
      <c r="O1016" s="1"/>
      <c r="P1016" s="1"/>
      <c r="Q1016" s="1"/>
      <c r="R1016" s="1"/>
    </row>
    <row r="1017" ht="12.75" customHeight="1">
      <c r="A1017" s="17"/>
      <c r="B1017" s="1"/>
      <c r="C1017" s="1"/>
      <c r="D1017" s="150"/>
      <c r="E1017" s="150"/>
      <c r="F1017" s="75"/>
      <c r="G1017" s="67"/>
      <c r="H1017" s="68"/>
      <c r="I1017" s="76"/>
      <c r="J1017" s="67"/>
      <c r="K1017" s="1"/>
      <c r="L1017" s="81"/>
      <c r="M1017" s="1"/>
      <c r="N1017" s="468"/>
      <c r="O1017" s="1"/>
      <c r="P1017" s="1"/>
      <c r="Q1017" s="1"/>
      <c r="R1017" s="1"/>
    </row>
    <row r="1018" ht="12.75" customHeight="1">
      <c r="A1018" s="17"/>
      <c r="B1018" s="1"/>
      <c r="C1018" s="1"/>
      <c r="D1018" s="150"/>
      <c r="E1018" s="150"/>
      <c r="F1018" s="75"/>
      <c r="G1018" s="67"/>
      <c r="H1018" s="68"/>
      <c r="I1018" s="76"/>
      <c r="J1018" s="67"/>
      <c r="K1018" s="1"/>
      <c r="L1018" s="81"/>
      <c r="M1018" s="1"/>
      <c r="N1018" s="468"/>
      <c r="O1018" s="1"/>
      <c r="P1018" s="1"/>
      <c r="Q1018" s="1"/>
      <c r="R1018" s="1"/>
    </row>
    <row r="1019" ht="12.75" customHeight="1">
      <c r="A1019" s="17"/>
      <c r="B1019" s="1"/>
      <c r="C1019" s="1"/>
      <c r="D1019" s="150"/>
      <c r="E1019" s="150"/>
      <c r="F1019" s="75"/>
      <c r="G1019" s="67"/>
      <c r="H1019" s="68"/>
      <c r="I1019" s="76"/>
      <c r="J1019" s="67"/>
      <c r="K1019" s="1"/>
      <c r="L1019" s="81"/>
      <c r="M1019" s="1"/>
      <c r="N1019" s="468"/>
      <c r="O1019" s="1"/>
      <c r="P1019" s="1"/>
      <c r="Q1019" s="1"/>
      <c r="R1019" s="1"/>
    </row>
    <row r="1020" ht="12.75" customHeight="1">
      <c r="A1020" s="17"/>
      <c r="B1020" s="1"/>
      <c r="C1020" s="1"/>
      <c r="D1020" s="150"/>
      <c r="E1020" s="150"/>
      <c r="F1020" s="75"/>
      <c r="G1020" s="67"/>
      <c r="H1020" s="68"/>
      <c r="I1020" s="76"/>
      <c r="J1020" s="67"/>
      <c r="K1020" s="1"/>
      <c r="L1020" s="81"/>
      <c r="M1020" s="1"/>
      <c r="N1020" s="468"/>
      <c r="O1020" s="1"/>
      <c r="P1020" s="1"/>
      <c r="Q1020" s="1"/>
      <c r="R1020" s="1"/>
    </row>
    <row r="1021" ht="12.75" customHeight="1">
      <c r="A1021" s="17"/>
      <c r="B1021" s="1"/>
      <c r="C1021" s="1"/>
      <c r="D1021" s="150"/>
      <c r="E1021" s="150"/>
      <c r="F1021" s="75"/>
      <c r="G1021" s="67"/>
      <c r="H1021" s="68"/>
      <c r="I1021" s="76"/>
      <c r="J1021" s="67"/>
      <c r="K1021" s="1"/>
      <c r="L1021" s="81"/>
      <c r="M1021" s="1"/>
      <c r="N1021" s="468"/>
      <c r="O1021" s="1"/>
      <c r="P1021" s="1"/>
      <c r="Q1021" s="1"/>
      <c r="R1021" s="1"/>
    </row>
    <row r="1022" ht="12.75" customHeight="1">
      <c r="A1022" s="17"/>
      <c r="B1022" s="1"/>
      <c r="C1022" s="1"/>
      <c r="D1022" s="150"/>
      <c r="E1022" s="150"/>
      <c r="F1022" s="75"/>
      <c r="G1022" s="67"/>
      <c r="H1022" s="68"/>
      <c r="I1022" s="76"/>
      <c r="J1022" s="67"/>
      <c r="K1022" s="1"/>
      <c r="L1022" s="81"/>
      <c r="M1022" s="1"/>
      <c r="N1022" s="468"/>
      <c r="O1022" s="1"/>
      <c r="P1022" s="1"/>
      <c r="Q1022" s="1"/>
      <c r="R1022" s="1"/>
    </row>
    <row r="1023" ht="12.75" customHeight="1">
      <c r="A1023" s="17"/>
      <c r="B1023" s="1"/>
      <c r="C1023" s="1"/>
      <c r="D1023" s="150"/>
      <c r="E1023" s="150"/>
      <c r="F1023" s="75"/>
      <c r="G1023" s="67"/>
      <c r="H1023" s="68"/>
      <c r="I1023" s="76"/>
      <c r="J1023" s="67"/>
      <c r="K1023" s="1"/>
      <c r="L1023" s="81"/>
      <c r="M1023" s="1"/>
      <c r="N1023" s="468"/>
      <c r="O1023" s="1"/>
      <c r="P1023" s="1"/>
      <c r="Q1023" s="1"/>
      <c r="R1023" s="1"/>
    </row>
    <row r="1024" ht="12.75" customHeight="1">
      <c r="A1024" s="17"/>
      <c r="B1024" s="1"/>
      <c r="C1024" s="1"/>
      <c r="D1024" s="150"/>
      <c r="E1024" s="150"/>
      <c r="F1024" s="75"/>
      <c r="G1024" s="67"/>
      <c r="H1024" s="68"/>
      <c r="I1024" s="76"/>
      <c r="J1024" s="67"/>
      <c r="K1024" s="1"/>
      <c r="L1024" s="81"/>
      <c r="M1024" s="1"/>
      <c r="N1024" s="468"/>
      <c r="O1024" s="1"/>
      <c r="P1024" s="1"/>
      <c r="Q1024" s="1"/>
      <c r="R1024" s="1"/>
    </row>
    <row r="1025" ht="12.75" customHeight="1">
      <c r="A1025" s="17"/>
      <c r="B1025" s="1"/>
      <c r="C1025" s="1"/>
      <c r="D1025" s="150"/>
      <c r="E1025" s="150"/>
      <c r="F1025" s="75"/>
      <c r="G1025" s="67"/>
      <c r="H1025" s="68"/>
      <c r="I1025" s="76"/>
      <c r="J1025" s="67"/>
      <c r="K1025" s="1"/>
      <c r="L1025" s="81"/>
      <c r="M1025" s="1"/>
      <c r="N1025" s="468"/>
      <c r="O1025" s="1"/>
      <c r="P1025" s="1"/>
      <c r="Q1025" s="1"/>
      <c r="R1025" s="1"/>
    </row>
    <row r="1026" ht="12.75" customHeight="1">
      <c r="A1026" s="17"/>
      <c r="B1026" s="1"/>
      <c r="C1026" s="1"/>
      <c r="D1026" s="150"/>
      <c r="E1026" s="150"/>
      <c r="F1026" s="75"/>
      <c r="G1026" s="67"/>
      <c r="H1026" s="68"/>
      <c r="I1026" s="76"/>
      <c r="J1026" s="67"/>
      <c r="K1026" s="1"/>
      <c r="L1026" s="81"/>
      <c r="M1026" s="1"/>
      <c r="N1026" s="468"/>
      <c r="O1026" s="1"/>
      <c r="P1026" s="1"/>
      <c r="Q1026" s="1"/>
      <c r="R1026" s="1"/>
    </row>
    <row r="1027" ht="12.75" customHeight="1">
      <c r="A1027" s="17"/>
      <c r="B1027" s="1"/>
      <c r="C1027" s="1"/>
      <c r="D1027" s="150"/>
      <c r="E1027" s="150"/>
      <c r="F1027" s="75"/>
      <c r="G1027" s="67"/>
      <c r="H1027" s="68"/>
      <c r="I1027" s="76"/>
      <c r="J1027" s="67"/>
      <c r="K1027" s="1"/>
      <c r="L1027" s="81"/>
      <c r="M1027" s="1"/>
      <c r="N1027" s="468"/>
      <c r="O1027" s="1"/>
      <c r="P1027" s="1"/>
      <c r="Q1027" s="1"/>
      <c r="R1027" s="1"/>
    </row>
    <row r="1028" ht="12.75" customHeight="1">
      <c r="A1028" s="17"/>
      <c r="B1028" s="1"/>
      <c r="C1028" s="1"/>
      <c r="D1028" s="150"/>
      <c r="E1028" s="150"/>
      <c r="F1028" s="75"/>
      <c r="G1028" s="67"/>
      <c r="H1028" s="68"/>
      <c r="I1028" s="76"/>
      <c r="J1028" s="67"/>
      <c r="K1028" s="1"/>
      <c r="L1028" s="81"/>
      <c r="M1028" s="1"/>
      <c r="N1028" s="468"/>
      <c r="O1028" s="1"/>
      <c r="P1028" s="1"/>
      <c r="Q1028" s="1"/>
      <c r="R1028" s="1"/>
    </row>
    <row r="1029" ht="12.75" customHeight="1">
      <c r="A1029" s="17"/>
      <c r="B1029" s="1"/>
      <c r="C1029" s="1"/>
      <c r="D1029" s="150"/>
      <c r="E1029" s="150"/>
      <c r="F1029" s="75"/>
      <c r="G1029" s="67"/>
      <c r="H1029" s="68"/>
      <c r="I1029" s="76"/>
      <c r="J1029" s="67"/>
      <c r="K1029" s="1"/>
      <c r="L1029" s="81"/>
      <c r="M1029" s="1"/>
      <c r="N1029" s="468"/>
      <c r="O1029" s="1"/>
      <c r="P1029" s="1"/>
      <c r="Q1029" s="1"/>
      <c r="R1029" s="1"/>
    </row>
    <row r="1030" ht="12.75" customHeight="1">
      <c r="A1030" s="17"/>
      <c r="B1030" s="1"/>
      <c r="C1030" s="1"/>
      <c r="D1030" s="150"/>
      <c r="E1030" s="150"/>
      <c r="F1030" s="75"/>
      <c r="G1030" s="67"/>
      <c r="H1030" s="68"/>
      <c r="I1030" s="76"/>
      <c r="J1030" s="67"/>
      <c r="K1030" s="1"/>
      <c r="L1030" s="81"/>
      <c r="M1030" s="1"/>
      <c r="N1030" s="468"/>
      <c r="O1030" s="1"/>
      <c r="P1030" s="1"/>
      <c r="Q1030" s="1"/>
      <c r="R1030" s="1"/>
    </row>
    <row r="1031" ht="12.75" customHeight="1">
      <c r="A1031" s="17"/>
      <c r="B1031" s="1"/>
      <c r="C1031" s="1"/>
      <c r="D1031" s="150"/>
      <c r="E1031" s="150"/>
      <c r="F1031" s="75"/>
      <c r="G1031" s="67"/>
      <c r="H1031" s="68"/>
      <c r="I1031" s="76"/>
      <c r="J1031" s="67"/>
      <c r="K1031" s="1"/>
      <c r="L1031" s="81"/>
      <c r="M1031" s="1"/>
      <c r="N1031" s="468"/>
      <c r="O1031" s="1"/>
      <c r="P1031" s="1"/>
      <c r="Q1031" s="1"/>
      <c r="R1031" s="1"/>
    </row>
    <row r="1032" ht="12.75" customHeight="1">
      <c r="A1032" s="17"/>
      <c r="B1032" s="1"/>
      <c r="C1032" s="1"/>
      <c r="D1032" s="150"/>
      <c r="E1032" s="150"/>
      <c r="F1032" s="75"/>
      <c r="G1032" s="67"/>
      <c r="H1032" s="68"/>
      <c r="I1032" s="76"/>
      <c r="J1032" s="67"/>
      <c r="K1032" s="1"/>
      <c r="L1032" s="81"/>
      <c r="M1032" s="1"/>
      <c r="N1032" s="468"/>
      <c r="O1032" s="1"/>
      <c r="P1032" s="1"/>
      <c r="Q1032" s="1"/>
      <c r="R1032" s="1"/>
    </row>
    <row r="1033" ht="12.75" customHeight="1">
      <c r="A1033" s="17"/>
      <c r="B1033" s="1"/>
      <c r="C1033" s="1"/>
      <c r="D1033" s="150"/>
      <c r="E1033" s="150"/>
      <c r="F1033" s="75"/>
      <c r="G1033" s="67"/>
      <c r="H1033" s="68"/>
      <c r="I1033" s="76"/>
      <c r="J1033" s="67"/>
      <c r="K1033" s="1"/>
      <c r="L1033" s="81"/>
      <c r="M1033" s="1"/>
      <c r="N1033" s="468"/>
      <c r="O1033" s="1"/>
      <c r="P1033" s="1"/>
      <c r="Q1033" s="1"/>
      <c r="R1033" s="1"/>
    </row>
    <row r="1034" ht="12.75" customHeight="1">
      <c r="A1034" s="17"/>
      <c r="B1034" s="1"/>
      <c r="C1034" s="1"/>
      <c r="D1034" s="150"/>
      <c r="E1034" s="150"/>
      <c r="F1034" s="75"/>
      <c r="G1034" s="67"/>
      <c r="H1034" s="68"/>
      <c r="I1034" s="76"/>
      <c r="J1034" s="67"/>
      <c r="K1034" s="1"/>
      <c r="L1034" s="81"/>
      <c r="M1034" s="1"/>
      <c r="N1034" s="468"/>
      <c r="O1034" s="1"/>
      <c r="P1034" s="1"/>
      <c r="Q1034" s="1"/>
      <c r="R1034" s="1"/>
    </row>
    <row r="1035" ht="12.75" customHeight="1">
      <c r="A1035" s="17"/>
      <c r="B1035" s="1"/>
      <c r="C1035" s="1"/>
      <c r="D1035" s="150"/>
      <c r="E1035" s="150"/>
      <c r="F1035" s="75"/>
      <c r="G1035" s="67"/>
      <c r="H1035" s="68"/>
      <c r="I1035" s="76"/>
      <c r="J1035" s="67"/>
      <c r="K1035" s="1"/>
      <c r="L1035" s="81"/>
      <c r="M1035" s="1"/>
      <c r="N1035" s="468"/>
      <c r="O1035" s="1"/>
      <c r="P1035" s="1"/>
      <c r="Q1035" s="1"/>
      <c r="R1035" s="1"/>
    </row>
    <row r="1036" ht="12.75" customHeight="1">
      <c r="A1036" s="17"/>
      <c r="B1036" s="1"/>
      <c r="C1036" s="1"/>
      <c r="D1036" s="150"/>
      <c r="E1036" s="150"/>
      <c r="F1036" s="75"/>
      <c r="G1036" s="67"/>
      <c r="H1036" s="68"/>
      <c r="I1036" s="76"/>
      <c r="J1036" s="67"/>
      <c r="K1036" s="1"/>
      <c r="L1036" s="81"/>
      <c r="M1036" s="1"/>
      <c r="N1036" s="468"/>
      <c r="O1036" s="1"/>
      <c r="P1036" s="1"/>
      <c r="Q1036" s="1"/>
      <c r="R1036" s="1"/>
    </row>
    <row r="1037" ht="12.75" customHeight="1">
      <c r="A1037" s="17"/>
      <c r="B1037" s="1"/>
      <c r="C1037" s="1"/>
      <c r="D1037" s="150"/>
      <c r="E1037" s="150"/>
      <c r="F1037" s="75"/>
      <c r="G1037" s="67"/>
      <c r="H1037" s="68"/>
      <c r="I1037" s="76"/>
      <c r="J1037" s="67"/>
      <c r="K1037" s="1"/>
      <c r="L1037" s="81"/>
      <c r="M1037" s="1"/>
      <c r="N1037" s="468"/>
      <c r="O1037" s="1"/>
      <c r="P1037" s="1"/>
      <c r="Q1037" s="1"/>
      <c r="R1037" s="1"/>
    </row>
    <row r="1038" ht="12.75" customHeight="1">
      <c r="A1038" s="17"/>
      <c r="B1038" s="1"/>
      <c r="C1038" s="1"/>
      <c r="D1038" s="150"/>
      <c r="E1038" s="150"/>
      <c r="F1038" s="75"/>
      <c r="G1038" s="67"/>
      <c r="H1038" s="68"/>
      <c r="I1038" s="76"/>
      <c r="J1038" s="67"/>
      <c r="K1038" s="1"/>
      <c r="L1038" s="81"/>
      <c r="M1038" s="1"/>
      <c r="N1038" s="468"/>
      <c r="O1038" s="1"/>
      <c r="P1038" s="1"/>
      <c r="Q1038" s="1"/>
      <c r="R1038" s="1"/>
    </row>
    <row r="1039" ht="12.75" customHeight="1">
      <c r="A1039" s="17"/>
      <c r="B1039" s="1"/>
      <c r="C1039" s="1"/>
      <c r="D1039" s="150"/>
      <c r="E1039" s="150"/>
      <c r="F1039" s="75"/>
      <c r="G1039" s="67"/>
      <c r="H1039" s="68"/>
      <c r="I1039" s="76"/>
      <c r="J1039" s="67"/>
      <c r="K1039" s="1"/>
      <c r="L1039" s="81"/>
      <c r="M1039" s="1"/>
      <c r="N1039" s="468"/>
      <c r="O1039" s="1"/>
      <c r="P1039" s="1"/>
      <c r="Q1039" s="1"/>
      <c r="R1039" s="1"/>
    </row>
    <row r="1040" ht="12.75" customHeight="1">
      <c r="A1040" s="17"/>
      <c r="B1040" s="1"/>
      <c r="C1040" s="1"/>
      <c r="D1040" s="150"/>
      <c r="E1040" s="150"/>
      <c r="F1040" s="75"/>
      <c r="G1040" s="67"/>
      <c r="H1040" s="68"/>
      <c r="I1040" s="76"/>
      <c r="J1040" s="67"/>
      <c r="K1040" s="1"/>
      <c r="L1040" s="81"/>
      <c r="M1040" s="1"/>
      <c r="N1040" s="468"/>
      <c r="O1040" s="1"/>
      <c r="P1040" s="1"/>
      <c r="Q1040" s="1"/>
      <c r="R1040" s="1"/>
    </row>
    <row r="1041" ht="12.75" customHeight="1">
      <c r="A1041" s="17"/>
      <c r="B1041" s="1"/>
      <c r="C1041" s="1"/>
      <c r="D1041" s="150"/>
      <c r="E1041" s="150"/>
      <c r="F1041" s="75"/>
      <c r="G1041" s="67"/>
      <c r="H1041" s="68"/>
      <c r="I1041" s="76"/>
      <c r="J1041" s="67"/>
      <c r="K1041" s="1"/>
      <c r="L1041" s="81"/>
      <c r="M1041" s="1"/>
      <c r="N1041" s="468"/>
      <c r="O1041" s="1"/>
      <c r="P1041" s="1"/>
      <c r="Q1041" s="1"/>
      <c r="R1041" s="1"/>
    </row>
    <row r="1042" ht="12.75" customHeight="1">
      <c r="A1042" s="17"/>
      <c r="B1042" s="1"/>
      <c r="C1042" s="1"/>
      <c r="D1042" s="150"/>
      <c r="E1042" s="150"/>
      <c r="F1042" s="75"/>
      <c r="G1042" s="67"/>
      <c r="H1042" s="68"/>
      <c r="I1042" s="76"/>
      <c r="J1042" s="67"/>
      <c r="K1042" s="1"/>
      <c r="L1042" s="81"/>
      <c r="M1042" s="1"/>
      <c r="N1042" s="468"/>
      <c r="O1042" s="1"/>
      <c r="P1042" s="1"/>
      <c r="Q1042" s="1"/>
      <c r="R1042" s="1"/>
    </row>
    <row r="1043" ht="12.75" customHeight="1">
      <c r="A1043" s="17"/>
      <c r="B1043" s="1"/>
      <c r="C1043" s="1"/>
      <c r="D1043" s="150"/>
      <c r="E1043" s="150"/>
      <c r="F1043" s="75"/>
      <c r="G1043" s="67"/>
      <c r="H1043" s="68"/>
      <c r="I1043" s="76"/>
      <c r="J1043" s="67"/>
      <c r="K1043" s="1"/>
      <c r="L1043" s="81"/>
      <c r="M1043" s="1"/>
      <c r="N1043" s="468"/>
      <c r="O1043" s="1"/>
      <c r="P1043" s="1"/>
      <c r="Q1043" s="1"/>
      <c r="R1043" s="1"/>
    </row>
    <row r="1044" ht="12.75" customHeight="1">
      <c r="A1044" s="17"/>
      <c r="B1044" s="1"/>
      <c r="C1044" s="1"/>
      <c r="D1044" s="150"/>
      <c r="E1044" s="150"/>
      <c r="F1044" s="75"/>
      <c r="G1044" s="67"/>
      <c r="H1044" s="68"/>
      <c r="I1044" s="76"/>
      <c r="J1044" s="67"/>
      <c r="K1044" s="1"/>
      <c r="L1044" s="81"/>
      <c r="M1044" s="1"/>
      <c r="N1044" s="468"/>
      <c r="O1044" s="1"/>
      <c r="P1044" s="1"/>
      <c r="Q1044" s="1"/>
      <c r="R1044" s="1"/>
    </row>
    <row r="1045" ht="12.75" customHeight="1">
      <c r="A1045" s="17"/>
      <c r="B1045" s="1"/>
      <c r="C1045" s="1"/>
      <c r="D1045" s="150"/>
      <c r="E1045" s="150"/>
      <c r="F1045" s="75"/>
      <c r="G1045" s="67"/>
      <c r="H1045" s="68"/>
      <c r="I1045" s="76"/>
      <c r="J1045" s="67"/>
      <c r="K1045" s="1"/>
      <c r="L1045" s="81"/>
      <c r="M1045" s="1"/>
      <c r="N1045" s="468"/>
      <c r="O1045" s="1"/>
      <c r="P1045" s="1"/>
      <c r="Q1045" s="1"/>
      <c r="R1045" s="1"/>
    </row>
    <row r="1046" ht="12.75" customHeight="1">
      <c r="A1046" s="17"/>
      <c r="B1046" s="1"/>
      <c r="C1046" s="1"/>
      <c r="D1046" s="150"/>
      <c r="E1046" s="150"/>
      <c r="F1046" s="75"/>
      <c r="G1046" s="67"/>
      <c r="H1046" s="68"/>
      <c r="I1046" s="76"/>
      <c r="J1046" s="67"/>
      <c r="K1046" s="1"/>
      <c r="L1046" s="81"/>
      <c r="M1046" s="1"/>
      <c r="N1046" s="468"/>
      <c r="O1046" s="1"/>
      <c r="P1046" s="1"/>
      <c r="Q1046" s="1"/>
      <c r="R1046" s="1"/>
    </row>
    <row r="1047" ht="12.75" customHeight="1">
      <c r="A1047" s="17"/>
      <c r="B1047" s="1"/>
      <c r="C1047" s="1"/>
      <c r="D1047" s="150"/>
      <c r="E1047" s="150"/>
      <c r="F1047" s="75"/>
      <c r="G1047" s="67"/>
      <c r="H1047" s="68"/>
      <c r="I1047" s="76"/>
      <c r="J1047" s="67"/>
      <c r="K1047" s="1"/>
      <c r="L1047" s="81"/>
      <c r="M1047" s="1"/>
      <c r="N1047" s="468"/>
      <c r="O1047" s="1"/>
      <c r="P1047" s="1"/>
      <c r="Q1047" s="1"/>
      <c r="R1047" s="1"/>
    </row>
    <row r="1048" ht="12.75" customHeight="1">
      <c r="A1048" s="17"/>
      <c r="B1048" s="1"/>
      <c r="C1048" s="1"/>
      <c r="D1048" s="150"/>
      <c r="E1048" s="150"/>
      <c r="F1048" s="75"/>
      <c r="G1048" s="67"/>
      <c r="H1048" s="68"/>
      <c r="I1048" s="76"/>
      <c r="J1048" s="67"/>
      <c r="K1048" s="1"/>
      <c r="L1048" s="81"/>
      <c r="M1048" s="1"/>
      <c r="N1048" s="468"/>
      <c r="O1048" s="1"/>
      <c r="P1048" s="1"/>
      <c r="Q1048" s="1"/>
      <c r="R1048" s="1"/>
    </row>
    <row r="1049" ht="12.75" customHeight="1">
      <c r="A1049" s="17"/>
      <c r="B1049" s="1"/>
      <c r="C1049" s="1"/>
      <c r="D1049" s="150"/>
      <c r="E1049" s="150"/>
      <c r="F1049" s="75"/>
      <c r="G1049" s="67"/>
      <c r="H1049" s="68"/>
      <c r="I1049" s="76"/>
      <c r="J1049" s="67"/>
      <c r="K1049" s="1"/>
      <c r="L1049" s="81"/>
      <c r="M1049" s="1"/>
      <c r="N1049" s="468"/>
      <c r="O1049" s="1"/>
      <c r="P1049" s="1"/>
      <c r="Q1049" s="1"/>
      <c r="R1049" s="1"/>
    </row>
    <row r="1050" ht="12.75" customHeight="1">
      <c r="A1050" s="17"/>
      <c r="B1050" s="1"/>
      <c r="C1050" s="1"/>
      <c r="D1050" s="150"/>
      <c r="E1050" s="150"/>
      <c r="F1050" s="75"/>
      <c r="G1050" s="67"/>
      <c r="H1050" s="68"/>
      <c r="I1050" s="76"/>
      <c r="J1050" s="67"/>
      <c r="K1050" s="1"/>
      <c r="L1050" s="81"/>
      <c r="M1050" s="1"/>
      <c r="N1050" s="468"/>
      <c r="O1050" s="1"/>
      <c r="P1050" s="1"/>
      <c r="Q1050" s="1"/>
      <c r="R1050" s="1"/>
    </row>
    <row r="1051" ht="12.75" customHeight="1">
      <c r="A1051" s="17"/>
      <c r="B1051" s="1"/>
      <c r="C1051" s="1"/>
      <c r="D1051" s="150"/>
      <c r="E1051" s="150"/>
      <c r="F1051" s="75"/>
      <c r="G1051" s="67"/>
      <c r="H1051" s="68"/>
      <c r="I1051" s="76"/>
      <c r="J1051" s="67"/>
      <c r="K1051" s="1"/>
      <c r="L1051" s="81"/>
      <c r="M1051" s="1"/>
      <c r="N1051" s="468"/>
      <c r="O1051" s="1"/>
      <c r="P1051" s="1"/>
      <c r="Q1051" s="1"/>
      <c r="R1051" s="1"/>
    </row>
    <row r="1052" ht="12.75" customHeight="1">
      <c r="A1052" s="17"/>
      <c r="B1052" s="1"/>
      <c r="C1052" s="1"/>
      <c r="D1052" s="150"/>
      <c r="E1052" s="150"/>
      <c r="F1052" s="75"/>
      <c r="G1052" s="67"/>
      <c r="H1052" s="68"/>
      <c r="I1052" s="76"/>
      <c r="J1052" s="67"/>
      <c r="K1052" s="1"/>
      <c r="L1052" s="81"/>
      <c r="M1052" s="1"/>
      <c r="N1052" s="468"/>
      <c r="O1052" s="1"/>
      <c r="P1052" s="1"/>
      <c r="Q1052" s="1"/>
      <c r="R1052" s="1"/>
    </row>
    <row r="1053" ht="12.75" customHeight="1">
      <c r="A1053" s="17"/>
      <c r="B1053" s="1"/>
      <c r="C1053" s="1"/>
      <c r="D1053" s="150"/>
      <c r="E1053" s="150"/>
      <c r="F1053" s="75"/>
      <c r="G1053" s="67"/>
      <c r="H1053" s="68"/>
      <c r="I1053" s="76"/>
      <c r="J1053" s="67"/>
      <c r="K1053" s="1"/>
      <c r="L1053" s="81"/>
      <c r="M1053" s="1"/>
      <c r="N1053" s="468"/>
      <c r="O1053" s="1"/>
      <c r="P1053" s="1"/>
      <c r="Q1053" s="1"/>
      <c r="R1053" s="1"/>
    </row>
    <row r="1054" ht="12.75" customHeight="1">
      <c r="A1054" s="17"/>
      <c r="B1054" s="1"/>
      <c r="C1054" s="1"/>
      <c r="D1054" s="150"/>
      <c r="E1054" s="150"/>
      <c r="F1054" s="75"/>
      <c r="G1054" s="67"/>
      <c r="H1054" s="68"/>
      <c r="I1054" s="76"/>
      <c r="J1054" s="67"/>
      <c r="K1054" s="1"/>
      <c r="L1054" s="81"/>
      <c r="M1054" s="1"/>
      <c r="N1054" s="468"/>
      <c r="O1054" s="1"/>
      <c r="P1054" s="1"/>
      <c r="Q1054" s="1"/>
      <c r="R1054" s="1"/>
    </row>
    <row r="1055" ht="12.75" customHeight="1">
      <c r="A1055" s="17"/>
      <c r="B1055" s="1"/>
      <c r="C1055" s="1"/>
      <c r="D1055" s="150"/>
      <c r="E1055" s="150"/>
      <c r="F1055" s="75"/>
      <c r="G1055" s="67"/>
      <c r="H1055" s="68"/>
      <c r="I1055" s="76"/>
      <c r="J1055" s="67"/>
      <c r="K1055" s="1"/>
      <c r="L1055" s="81"/>
      <c r="M1055" s="1"/>
      <c r="N1055" s="468"/>
      <c r="O1055" s="1"/>
      <c r="P1055" s="1"/>
      <c r="Q1055" s="1"/>
      <c r="R1055" s="1"/>
    </row>
    <row r="1056" ht="12.75" customHeight="1">
      <c r="A1056" s="17"/>
      <c r="B1056" s="1"/>
      <c r="C1056" s="1"/>
      <c r="D1056" s="150"/>
      <c r="E1056" s="150"/>
      <c r="F1056" s="75"/>
      <c r="G1056" s="67"/>
      <c r="H1056" s="68"/>
      <c r="I1056" s="76"/>
      <c r="J1056" s="67"/>
      <c r="K1056" s="1"/>
      <c r="L1056" s="81"/>
      <c r="M1056" s="1"/>
      <c r="N1056" s="468"/>
      <c r="O1056" s="1"/>
      <c r="P1056" s="1"/>
      <c r="Q1056" s="1"/>
      <c r="R1056" s="1"/>
    </row>
    <row r="1057" ht="12.75" customHeight="1">
      <c r="A1057" s="17"/>
      <c r="B1057" s="1"/>
      <c r="C1057" s="1"/>
      <c r="D1057" s="150"/>
      <c r="E1057" s="150"/>
      <c r="F1057" s="75"/>
      <c r="G1057" s="67"/>
      <c r="H1057" s="68"/>
      <c r="I1057" s="76"/>
      <c r="J1057" s="67"/>
      <c r="K1057" s="1"/>
      <c r="L1057" s="81"/>
      <c r="M1057" s="1"/>
      <c r="N1057" s="468"/>
      <c r="O1057" s="1"/>
      <c r="P1057" s="1"/>
      <c r="Q1057" s="1"/>
      <c r="R1057" s="1"/>
    </row>
    <row r="1058" ht="12.75" customHeight="1">
      <c r="A1058" s="17"/>
      <c r="B1058" s="1"/>
      <c r="C1058" s="1"/>
      <c r="D1058" s="150"/>
      <c r="E1058" s="150"/>
      <c r="F1058" s="75"/>
      <c r="G1058" s="67"/>
      <c r="H1058" s="68"/>
      <c r="I1058" s="76"/>
      <c r="J1058" s="67"/>
      <c r="K1058" s="1"/>
      <c r="L1058" s="81"/>
      <c r="M1058" s="1"/>
      <c r="N1058" s="468"/>
      <c r="O1058" s="1"/>
      <c r="P1058" s="1"/>
      <c r="Q1058" s="1"/>
      <c r="R1058" s="1"/>
    </row>
    <row r="1059" ht="12.75" customHeight="1">
      <c r="A1059" s="17"/>
      <c r="B1059" s="1"/>
      <c r="C1059" s="1"/>
      <c r="D1059" s="150"/>
      <c r="E1059" s="150"/>
      <c r="F1059" s="75"/>
      <c r="G1059" s="67"/>
      <c r="H1059" s="68"/>
      <c r="I1059" s="76"/>
      <c r="J1059" s="67"/>
      <c r="K1059" s="1"/>
      <c r="L1059" s="81"/>
      <c r="M1059" s="1"/>
      <c r="N1059" s="468"/>
      <c r="O1059" s="1"/>
      <c r="P1059" s="1"/>
      <c r="Q1059" s="1"/>
      <c r="R1059" s="1"/>
    </row>
    <row r="1060" ht="12.75" customHeight="1">
      <c r="A1060" s="17"/>
      <c r="B1060" s="1"/>
      <c r="C1060" s="1"/>
      <c r="D1060" s="150"/>
      <c r="E1060" s="150"/>
      <c r="F1060" s="75"/>
      <c r="G1060" s="67"/>
      <c r="H1060" s="68"/>
      <c r="I1060" s="76"/>
      <c r="J1060" s="67"/>
      <c r="K1060" s="1"/>
      <c r="L1060" s="81"/>
      <c r="M1060" s="1"/>
      <c r="N1060" s="468"/>
      <c r="O1060" s="1"/>
      <c r="P1060" s="1"/>
      <c r="Q1060" s="1"/>
      <c r="R1060" s="1"/>
    </row>
    <row r="1061" ht="12.75" customHeight="1">
      <c r="A1061" s="17"/>
      <c r="B1061" s="1"/>
      <c r="C1061" s="1"/>
      <c r="D1061" s="150"/>
      <c r="E1061" s="150"/>
      <c r="F1061" s="75"/>
      <c r="G1061" s="67"/>
      <c r="H1061" s="68"/>
      <c r="I1061" s="76"/>
      <c r="J1061" s="67"/>
      <c r="K1061" s="1"/>
      <c r="L1061" s="81"/>
      <c r="M1061" s="1"/>
      <c r="N1061" s="468"/>
      <c r="O1061" s="1"/>
      <c r="P1061" s="1"/>
      <c r="Q1061" s="1"/>
      <c r="R1061" s="1"/>
    </row>
    <row r="1062" ht="12.75" customHeight="1">
      <c r="A1062" s="17"/>
      <c r="B1062" s="1"/>
      <c r="C1062" s="1"/>
      <c r="D1062" s="150"/>
      <c r="E1062" s="150"/>
      <c r="F1062" s="75"/>
      <c r="G1062" s="67"/>
      <c r="H1062" s="68"/>
      <c r="I1062" s="76"/>
      <c r="J1062" s="67"/>
      <c r="K1062" s="1"/>
      <c r="L1062" s="81"/>
      <c r="M1062" s="1"/>
      <c r="N1062" s="468"/>
      <c r="O1062" s="1"/>
      <c r="P1062" s="1"/>
      <c r="Q1062" s="1"/>
      <c r="R1062" s="1"/>
    </row>
    <row r="1063" ht="12.75" customHeight="1">
      <c r="A1063" s="17"/>
      <c r="B1063" s="1"/>
      <c r="C1063" s="1"/>
      <c r="D1063" s="150"/>
      <c r="E1063" s="150"/>
      <c r="F1063" s="75"/>
      <c r="G1063" s="67"/>
      <c r="H1063" s="68"/>
      <c r="I1063" s="76"/>
      <c r="J1063" s="67"/>
      <c r="K1063" s="1"/>
      <c r="L1063" s="81"/>
      <c r="M1063" s="1"/>
      <c r="N1063" s="468"/>
      <c r="O1063" s="1"/>
      <c r="P1063" s="1"/>
      <c r="Q1063" s="1"/>
      <c r="R1063" s="1"/>
    </row>
    <row r="1064" ht="12.75" customHeight="1">
      <c r="A1064" s="17"/>
      <c r="B1064" s="1"/>
      <c r="C1064" s="1"/>
      <c r="D1064" s="150"/>
      <c r="E1064" s="150"/>
      <c r="F1064" s="75"/>
      <c r="G1064" s="67"/>
      <c r="H1064" s="68"/>
      <c r="I1064" s="76"/>
      <c r="J1064" s="67"/>
      <c r="K1064" s="1"/>
      <c r="L1064" s="81"/>
      <c r="M1064" s="1"/>
      <c r="N1064" s="468"/>
      <c r="O1064" s="1"/>
      <c r="P1064" s="1"/>
      <c r="Q1064" s="1"/>
      <c r="R1064" s="1"/>
    </row>
    <row r="1065" ht="12.75" customHeight="1">
      <c r="A1065" s="17"/>
      <c r="B1065" s="1"/>
      <c r="C1065" s="1"/>
      <c r="D1065" s="150"/>
      <c r="E1065" s="150"/>
      <c r="F1065" s="75"/>
      <c r="G1065" s="67"/>
      <c r="H1065" s="68"/>
      <c r="I1065" s="76"/>
      <c r="J1065" s="67"/>
      <c r="K1065" s="1"/>
      <c r="L1065" s="81"/>
      <c r="M1065" s="1"/>
      <c r="N1065" s="468"/>
      <c r="O1065" s="1"/>
      <c r="P1065" s="1"/>
      <c r="Q1065" s="1"/>
      <c r="R1065" s="1"/>
    </row>
    <row r="1066" ht="12.75" customHeight="1">
      <c r="A1066" s="17"/>
      <c r="B1066" s="1"/>
      <c r="C1066" s="1"/>
      <c r="D1066" s="150"/>
      <c r="E1066" s="150"/>
      <c r="F1066" s="75"/>
      <c r="G1066" s="67"/>
      <c r="H1066" s="68"/>
      <c r="I1066" s="76"/>
      <c r="J1066" s="67"/>
      <c r="K1066" s="1"/>
      <c r="L1066" s="81"/>
      <c r="M1066" s="1"/>
      <c r="N1066" s="468"/>
      <c r="O1066" s="1"/>
      <c r="P1066" s="1"/>
      <c r="Q1066" s="1"/>
      <c r="R1066" s="1"/>
    </row>
    <row r="1067" ht="12.75" customHeight="1">
      <c r="A1067" s="17"/>
      <c r="B1067" s="1"/>
      <c r="C1067" s="1"/>
      <c r="D1067" s="150"/>
      <c r="E1067" s="150"/>
      <c r="F1067" s="75"/>
      <c r="G1067" s="67"/>
      <c r="H1067" s="68"/>
      <c r="I1067" s="76"/>
      <c r="J1067" s="67"/>
      <c r="K1067" s="1"/>
      <c r="L1067" s="81"/>
      <c r="M1067" s="1"/>
      <c r="N1067" s="468"/>
      <c r="O1067" s="1"/>
      <c r="P1067" s="1"/>
      <c r="Q1067" s="1"/>
      <c r="R1067" s="1"/>
    </row>
    <row r="1068" ht="12.75" customHeight="1">
      <c r="A1068" s="17"/>
      <c r="B1068" s="1"/>
      <c r="C1068" s="1"/>
      <c r="D1068" s="150"/>
      <c r="E1068" s="150"/>
      <c r="F1068" s="75"/>
      <c r="G1068" s="67"/>
      <c r="H1068" s="68"/>
      <c r="I1068" s="76"/>
      <c r="J1068" s="67"/>
      <c r="K1068" s="1"/>
      <c r="L1068" s="81"/>
      <c r="M1068" s="1"/>
      <c r="N1068" s="468"/>
      <c r="O1068" s="1"/>
      <c r="P1068" s="1"/>
      <c r="Q1068" s="1"/>
      <c r="R1068" s="1"/>
    </row>
    <row r="1069" ht="12.75" customHeight="1">
      <c r="A1069" s="17"/>
      <c r="B1069" s="1"/>
      <c r="C1069" s="1"/>
      <c r="D1069" s="150"/>
      <c r="E1069" s="150"/>
      <c r="F1069" s="75"/>
      <c r="G1069" s="67"/>
      <c r="H1069" s="68"/>
      <c r="I1069" s="76"/>
      <c r="J1069" s="67"/>
      <c r="K1069" s="1"/>
      <c r="L1069" s="81"/>
      <c r="M1069" s="1"/>
      <c r="N1069" s="468"/>
      <c r="O1069" s="1"/>
      <c r="P1069" s="1"/>
      <c r="Q1069" s="1"/>
      <c r="R1069" s="1"/>
    </row>
    <row r="1070" ht="12.75" customHeight="1">
      <c r="A1070" s="17"/>
      <c r="B1070" s="1"/>
      <c r="C1070" s="1"/>
      <c r="D1070" s="150"/>
      <c r="E1070" s="150"/>
      <c r="F1070" s="75"/>
      <c r="G1070" s="67"/>
      <c r="H1070" s="68"/>
      <c r="I1070" s="76"/>
      <c r="J1070" s="67"/>
      <c r="K1070" s="1"/>
      <c r="L1070" s="81"/>
      <c r="M1070" s="1"/>
      <c r="N1070" s="468"/>
      <c r="O1070" s="1"/>
      <c r="P1070" s="1"/>
      <c r="Q1070" s="1"/>
      <c r="R1070" s="1"/>
    </row>
    <row r="1071" ht="12.75" customHeight="1">
      <c r="A1071" s="17"/>
      <c r="B1071" s="1"/>
      <c r="C1071" s="1"/>
      <c r="D1071" s="150"/>
      <c r="E1071" s="150"/>
      <c r="F1071" s="75"/>
      <c r="G1071" s="67"/>
      <c r="H1071" s="68"/>
      <c r="I1071" s="76"/>
      <c r="J1071" s="67"/>
      <c r="K1071" s="1"/>
      <c r="L1071" s="81"/>
      <c r="M1071" s="1"/>
      <c r="N1071" s="468"/>
      <c r="O1071" s="1"/>
      <c r="P1071" s="1"/>
      <c r="Q1071" s="1"/>
      <c r="R1071" s="1"/>
    </row>
    <row r="1072" ht="12.75" customHeight="1">
      <c r="A1072" s="17"/>
      <c r="B1072" s="1"/>
      <c r="C1072" s="1"/>
      <c r="D1072" s="150"/>
      <c r="E1072" s="150"/>
      <c r="F1072" s="75"/>
      <c r="G1072" s="67"/>
      <c r="H1072" s="68"/>
      <c r="I1072" s="76"/>
      <c r="J1072" s="67"/>
      <c r="K1072" s="1"/>
      <c r="L1072" s="81"/>
      <c r="M1072" s="1"/>
      <c r="N1072" s="468"/>
      <c r="O1072" s="1"/>
      <c r="P1072" s="1"/>
      <c r="Q1072" s="1"/>
      <c r="R1072" s="1"/>
    </row>
    <row r="1073" ht="12.75" customHeight="1">
      <c r="A1073" s="17"/>
      <c r="B1073" s="1"/>
      <c r="C1073" s="1"/>
      <c r="D1073" s="150"/>
      <c r="E1073" s="150"/>
      <c r="F1073" s="75"/>
      <c r="G1073" s="67"/>
      <c r="H1073" s="68"/>
      <c r="I1073" s="76"/>
      <c r="J1073" s="67"/>
      <c r="K1073" s="1"/>
      <c r="L1073" s="81"/>
      <c r="M1073" s="1"/>
      <c r="N1073" s="468"/>
      <c r="O1073" s="1"/>
      <c r="P1073" s="1"/>
      <c r="Q1073" s="1"/>
      <c r="R1073" s="1"/>
    </row>
    <row r="1074" ht="12.75" customHeight="1">
      <c r="A1074" s="17"/>
      <c r="B1074" s="1"/>
      <c r="C1074" s="1"/>
      <c r="D1074" s="150"/>
      <c r="E1074" s="150"/>
      <c r="F1074" s="75"/>
      <c r="G1074" s="67"/>
      <c r="H1074" s="68"/>
      <c r="I1074" s="76"/>
      <c r="J1074" s="67"/>
      <c r="K1074" s="1"/>
      <c r="L1074" s="81"/>
      <c r="M1074" s="1"/>
      <c r="N1074" s="468"/>
      <c r="O1074" s="1"/>
      <c r="P1074" s="1"/>
      <c r="Q1074" s="1"/>
      <c r="R1074" s="1"/>
    </row>
    <row r="1075" ht="12.75" customHeight="1">
      <c r="A1075" s="17"/>
      <c r="B1075" s="1"/>
      <c r="C1075" s="1"/>
      <c r="D1075" s="150"/>
      <c r="E1075" s="150"/>
      <c r="F1075" s="75"/>
      <c r="G1075" s="67"/>
      <c r="H1075" s="68"/>
      <c r="I1075" s="76"/>
      <c r="J1075" s="67"/>
      <c r="K1075" s="1"/>
      <c r="L1075" s="81"/>
      <c r="M1075" s="1"/>
      <c r="N1075" s="468"/>
      <c r="O1075" s="1"/>
      <c r="P1075" s="1"/>
      <c r="Q1075" s="1"/>
      <c r="R1075" s="1"/>
    </row>
    <row r="1076" ht="12.75" customHeight="1">
      <c r="A1076" s="17"/>
      <c r="B1076" s="1"/>
      <c r="C1076" s="1"/>
      <c r="D1076" s="150"/>
      <c r="E1076" s="150"/>
      <c r="F1076" s="75"/>
      <c r="G1076" s="67"/>
      <c r="H1076" s="68"/>
      <c r="I1076" s="76"/>
      <c r="J1076" s="67"/>
      <c r="K1076" s="1"/>
      <c r="L1076" s="81"/>
      <c r="M1076" s="1"/>
      <c r="N1076" s="468"/>
      <c r="O1076" s="1"/>
      <c r="P1076" s="1"/>
      <c r="Q1076" s="1"/>
      <c r="R1076" s="1"/>
    </row>
    <row r="1077" ht="12.75" customHeight="1">
      <c r="A1077" s="17"/>
      <c r="B1077" s="1"/>
      <c r="C1077" s="1"/>
      <c r="D1077" s="150"/>
      <c r="E1077" s="150"/>
      <c r="F1077" s="75"/>
      <c r="G1077" s="67"/>
      <c r="H1077" s="68"/>
      <c r="I1077" s="76"/>
      <c r="J1077" s="67"/>
      <c r="K1077" s="1"/>
      <c r="L1077" s="81"/>
      <c r="M1077" s="1"/>
      <c r="N1077" s="468"/>
      <c r="O1077" s="1"/>
      <c r="P1077" s="1"/>
      <c r="Q1077" s="1"/>
      <c r="R1077" s="1"/>
    </row>
    <row r="1078" ht="12.75" customHeight="1">
      <c r="A1078" s="17"/>
      <c r="B1078" s="1"/>
      <c r="C1078" s="1"/>
      <c r="D1078" s="150"/>
      <c r="E1078" s="150"/>
      <c r="F1078" s="75"/>
      <c r="G1078" s="67"/>
      <c r="H1078" s="68"/>
      <c r="I1078" s="76"/>
      <c r="J1078" s="67"/>
      <c r="K1078" s="1"/>
      <c r="L1078" s="81"/>
      <c r="M1078" s="1"/>
      <c r="N1078" s="468"/>
      <c r="O1078" s="1"/>
      <c r="P1078" s="1"/>
      <c r="Q1078" s="1"/>
      <c r="R1078" s="1"/>
    </row>
    <row r="1079" ht="12.75" customHeight="1">
      <c r="A1079" s="17"/>
      <c r="B1079" s="1"/>
      <c r="C1079" s="1"/>
      <c r="D1079" s="150"/>
      <c r="E1079" s="150"/>
      <c r="F1079" s="75"/>
      <c r="G1079" s="67"/>
      <c r="H1079" s="68"/>
      <c r="I1079" s="76"/>
      <c r="J1079" s="67"/>
      <c r="K1079" s="1"/>
      <c r="L1079" s="81"/>
      <c r="M1079" s="1"/>
      <c r="N1079" s="468"/>
      <c r="O1079" s="1"/>
      <c r="P1079" s="1"/>
      <c r="Q1079" s="1"/>
      <c r="R1079" s="1"/>
    </row>
    <row r="1080" ht="12.75" customHeight="1">
      <c r="A1080" s="17"/>
      <c r="B1080" s="1"/>
      <c r="C1080" s="1"/>
      <c r="D1080" s="150"/>
      <c r="E1080" s="150"/>
      <c r="F1080" s="75"/>
      <c r="G1080" s="67"/>
      <c r="H1080" s="68"/>
      <c r="I1080" s="76"/>
      <c r="J1080" s="67"/>
      <c r="K1080" s="1"/>
      <c r="L1080" s="81"/>
      <c r="M1080" s="1"/>
      <c r="N1080" s="468"/>
      <c r="O1080" s="1"/>
      <c r="P1080" s="1"/>
      <c r="Q1080" s="1"/>
      <c r="R1080" s="1"/>
    </row>
    <row r="1081" ht="12.75" customHeight="1">
      <c r="A1081" s="17"/>
      <c r="B1081" s="1"/>
      <c r="C1081" s="1"/>
      <c r="D1081" s="150"/>
      <c r="E1081" s="150"/>
      <c r="F1081" s="75"/>
      <c r="G1081" s="67"/>
      <c r="H1081" s="68"/>
      <c r="I1081" s="76"/>
      <c r="J1081" s="67"/>
      <c r="K1081" s="1"/>
      <c r="L1081" s="81"/>
      <c r="M1081" s="1"/>
      <c r="N1081" s="468"/>
      <c r="O1081" s="1"/>
      <c r="P1081" s="1"/>
      <c r="Q1081" s="1"/>
      <c r="R1081" s="1"/>
    </row>
    <row r="1082" ht="12.75" customHeight="1">
      <c r="A1082" s="17"/>
      <c r="B1082" s="1"/>
      <c r="C1082" s="1"/>
      <c r="D1082" s="150"/>
      <c r="E1082" s="150"/>
      <c r="F1082" s="75"/>
      <c r="G1082" s="67"/>
      <c r="H1082" s="68"/>
      <c r="I1082" s="76"/>
      <c r="J1082" s="67"/>
      <c r="K1082" s="1"/>
      <c r="L1082" s="81"/>
      <c r="M1082" s="1"/>
      <c r="N1082" s="468"/>
      <c r="O1082" s="1"/>
      <c r="P1082" s="1"/>
      <c r="Q1082" s="1"/>
      <c r="R1082" s="1"/>
    </row>
    <row r="1083" ht="12.75" customHeight="1">
      <c r="A1083" s="17"/>
      <c r="B1083" s="1"/>
      <c r="C1083" s="1"/>
      <c r="D1083" s="150"/>
      <c r="E1083" s="150"/>
      <c r="F1083" s="75"/>
      <c r="G1083" s="67"/>
      <c r="H1083" s="68"/>
      <c r="I1083" s="76"/>
      <c r="J1083" s="67"/>
      <c r="K1083" s="1"/>
      <c r="L1083" s="81"/>
      <c r="M1083" s="1"/>
      <c r="N1083" s="468"/>
      <c r="O1083" s="1"/>
      <c r="P1083" s="1"/>
      <c r="Q1083" s="1"/>
      <c r="R1083" s="1"/>
    </row>
    <row r="1084" ht="12.75" customHeight="1">
      <c r="A1084" s="17"/>
      <c r="B1084" s="1"/>
      <c r="C1084" s="1"/>
      <c r="D1084" s="150"/>
      <c r="E1084" s="150"/>
      <c r="F1084" s="75"/>
      <c r="G1084" s="67"/>
      <c r="H1084" s="68"/>
      <c r="I1084" s="76"/>
      <c r="J1084" s="67"/>
      <c r="K1084" s="1"/>
      <c r="L1084" s="81"/>
      <c r="M1084" s="1"/>
      <c r="N1084" s="468"/>
      <c r="O1084" s="1"/>
      <c r="P1084" s="1"/>
      <c r="Q1084" s="1"/>
      <c r="R1084" s="1"/>
    </row>
    <row r="1085" ht="12.75" customHeight="1">
      <c r="A1085" s="17"/>
      <c r="B1085" s="1"/>
      <c r="C1085" s="1"/>
      <c r="D1085" s="150"/>
      <c r="E1085" s="150"/>
      <c r="F1085" s="75"/>
      <c r="G1085" s="67"/>
      <c r="H1085" s="68"/>
      <c r="I1085" s="76"/>
      <c r="J1085" s="67"/>
      <c r="K1085" s="1"/>
      <c r="L1085" s="81"/>
      <c r="M1085" s="1"/>
      <c r="N1085" s="468"/>
      <c r="O1085" s="1"/>
      <c r="P1085" s="1"/>
      <c r="Q1085" s="1"/>
      <c r="R1085" s="1"/>
    </row>
    <row r="1086" ht="12.75" customHeight="1">
      <c r="A1086" s="17"/>
      <c r="B1086" s="1"/>
      <c r="C1086" s="1"/>
      <c r="D1086" s="150"/>
      <c r="E1086" s="150"/>
      <c r="F1086" s="75"/>
      <c r="G1086" s="67"/>
      <c r="H1086" s="68"/>
      <c r="I1086" s="76"/>
      <c r="J1086" s="67"/>
      <c r="K1086" s="1"/>
      <c r="L1086" s="81"/>
      <c r="M1086" s="1"/>
      <c r="N1086" s="468"/>
      <c r="O1086" s="1"/>
      <c r="P1086" s="1"/>
      <c r="Q1086" s="1"/>
      <c r="R1086" s="1"/>
    </row>
    <row r="1087" ht="12.75" customHeight="1">
      <c r="A1087" s="17"/>
      <c r="B1087" s="1"/>
      <c r="C1087" s="1"/>
      <c r="D1087" s="150"/>
      <c r="E1087" s="150"/>
      <c r="F1087" s="75"/>
      <c r="G1087" s="67"/>
      <c r="H1087" s="68"/>
      <c r="I1087" s="76"/>
      <c r="J1087" s="67"/>
      <c r="K1087" s="1"/>
      <c r="L1087" s="81"/>
      <c r="M1087" s="1"/>
      <c r="N1087" s="468"/>
      <c r="O1087" s="1"/>
      <c r="P1087" s="1"/>
      <c r="Q1087" s="1"/>
      <c r="R1087" s="1"/>
    </row>
    <row r="1088" ht="12.75" customHeight="1">
      <c r="A1088" s="17"/>
      <c r="B1088" s="1"/>
      <c r="C1088" s="1"/>
      <c r="D1088" s="150"/>
      <c r="E1088" s="150"/>
      <c r="F1088" s="75"/>
      <c r="G1088" s="67"/>
      <c r="H1088" s="68"/>
      <c r="I1088" s="76"/>
      <c r="J1088" s="67"/>
      <c r="K1088" s="1"/>
      <c r="L1088" s="81"/>
      <c r="M1088" s="1"/>
      <c r="N1088" s="468"/>
      <c r="O1088" s="1"/>
      <c r="P1088" s="1"/>
      <c r="Q1088" s="1"/>
      <c r="R1088" s="1"/>
    </row>
    <row r="1089" ht="12.75" customHeight="1">
      <c r="A1089" s="17"/>
      <c r="B1089" s="1"/>
      <c r="C1089" s="1"/>
      <c r="D1089" s="150"/>
      <c r="E1089" s="150"/>
      <c r="F1089" s="75"/>
      <c r="G1089" s="67"/>
      <c r="H1089" s="68"/>
      <c r="I1089" s="76"/>
      <c r="J1089" s="67"/>
      <c r="K1089" s="1"/>
      <c r="L1089" s="81"/>
      <c r="M1089" s="1"/>
      <c r="N1089" s="468"/>
      <c r="O1089" s="1"/>
      <c r="P1089" s="1"/>
      <c r="Q1089" s="1"/>
      <c r="R1089" s="1"/>
    </row>
    <row r="1090" ht="12.75" customHeight="1">
      <c r="A1090" s="17"/>
      <c r="B1090" s="1"/>
      <c r="C1090" s="1"/>
      <c r="D1090" s="150"/>
      <c r="E1090" s="150"/>
      <c r="F1090" s="75"/>
      <c r="G1090" s="67"/>
      <c r="H1090" s="68"/>
      <c r="I1090" s="76"/>
      <c r="J1090" s="67"/>
      <c r="K1090" s="1"/>
      <c r="L1090" s="81"/>
      <c r="M1090" s="1"/>
      <c r="N1090" s="468"/>
      <c r="O1090" s="1"/>
      <c r="P1090" s="1"/>
      <c r="Q1090" s="1"/>
      <c r="R1090" s="1"/>
    </row>
    <row r="1091" ht="12.75" customHeight="1">
      <c r="A1091" s="17"/>
      <c r="B1091" s="1"/>
      <c r="C1091" s="1"/>
      <c r="D1091" s="150"/>
      <c r="E1091" s="150"/>
      <c r="F1091" s="75"/>
      <c r="G1091" s="67"/>
      <c r="H1091" s="68"/>
      <c r="I1091" s="76"/>
      <c r="J1091" s="67"/>
      <c r="K1091" s="1"/>
      <c r="L1091" s="81"/>
      <c r="M1091" s="1"/>
      <c r="N1091" s="468"/>
      <c r="O1091" s="1"/>
      <c r="P1091" s="1"/>
      <c r="Q1091" s="1"/>
      <c r="R1091" s="1"/>
    </row>
    <row r="1092" ht="12.75" customHeight="1">
      <c r="A1092" s="17"/>
      <c r="B1092" s="1"/>
      <c r="C1092" s="1"/>
      <c r="D1092" s="150"/>
      <c r="E1092" s="150"/>
      <c r="F1092" s="75"/>
      <c r="G1092" s="67"/>
      <c r="H1092" s="68"/>
      <c r="I1092" s="76"/>
      <c r="J1092" s="67"/>
      <c r="K1092" s="1"/>
      <c r="L1092" s="81"/>
      <c r="M1092" s="1"/>
      <c r="N1092" s="468"/>
      <c r="O1092" s="1"/>
      <c r="P1092" s="1"/>
      <c r="Q1092" s="1"/>
      <c r="R1092" s="1"/>
    </row>
    <row r="1093" ht="12.75" customHeight="1">
      <c r="A1093" s="17"/>
      <c r="B1093" s="1"/>
      <c r="C1093" s="1"/>
      <c r="D1093" s="150"/>
      <c r="E1093" s="150"/>
      <c r="F1093" s="75"/>
      <c r="G1093" s="67"/>
      <c r="H1093" s="68"/>
      <c r="I1093" s="76"/>
      <c r="J1093" s="67"/>
      <c r="K1093" s="1"/>
      <c r="L1093" s="81"/>
      <c r="M1093" s="1"/>
      <c r="N1093" s="468"/>
      <c r="O1093" s="1"/>
      <c r="P1093" s="1"/>
      <c r="Q1093" s="1"/>
      <c r="R1093" s="1"/>
    </row>
    <row r="1094" ht="12.75" customHeight="1">
      <c r="A1094" s="17"/>
      <c r="B1094" s="1"/>
      <c r="C1094" s="1"/>
      <c r="D1094" s="150"/>
      <c r="E1094" s="150"/>
      <c r="F1094" s="75"/>
      <c r="G1094" s="67"/>
      <c r="H1094" s="68"/>
      <c r="I1094" s="76"/>
      <c r="J1094" s="67"/>
      <c r="K1094" s="1"/>
      <c r="L1094" s="81"/>
      <c r="M1094" s="1"/>
      <c r="N1094" s="468"/>
      <c r="O1094" s="1"/>
      <c r="P1094" s="1"/>
      <c r="Q1094" s="1"/>
      <c r="R1094" s="1"/>
    </row>
    <row r="1095" ht="12.75" customHeight="1">
      <c r="A1095" s="17"/>
      <c r="B1095" s="1"/>
      <c r="C1095" s="1"/>
      <c r="D1095" s="150"/>
      <c r="E1095" s="150"/>
      <c r="F1095" s="75"/>
      <c r="G1095" s="67"/>
      <c r="H1095" s="68"/>
      <c r="I1095" s="76"/>
      <c r="J1095" s="67"/>
      <c r="K1095" s="1"/>
      <c r="L1095" s="81"/>
      <c r="M1095" s="1"/>
      <c r="N1095" s="468"/>
      <c r="O1095" s="1"/>
      <c r="P1095" s="1"/>
      <c r="Q1095" s="1"/>
      <c r="R1095" s="1"/>
    </row>
    <row r="1096" ht="12.75" customHeight="1">
      <c r="A1096" s="17"/>
      <c r="B1096" s="1"/>
      <c r="C1096" s="1"/>
      <c r="D1096" s="150"/>
      <c r="E1096" s="150"/>
      <c r="F1096" s="75"/>
      <c r="G1096" s="67"/>
      <c r="H1096" s="68"/>
      <c r="I1096" s="76"/>
      <c r="J1096" s="67"/>
      <c r="K1096" s="1"/>
      <c r="L1096" s="81"/>
      <c r="M1096" s="1"/>
      <c r="N1096" s="468"/>
      <c r="O1096" s="1"/>
      <c r="P1096" s="1"/>
      <c r="Q1096" s="1"/>
      <c r="R1096" s="1"/>
    </row>
    <row r="1097" ht="12.75" customHeight="1">
      <c r="A1097" s="17"/>
      <c r="B1097" s="1"/>
      <c r="C1097" s="1"/>
      <c r="D1097" s="150"/>
      <c r="E1097" s="150"/>
      <c r="F1097" s="75"/>
      <c r="G1097" s="67"/>
      <c r="H1097" s="68"/>
      <c r="I1097" s="76"/>
      <c r="J1097" s="67"/>
      <c r="K1097" s="1"/>
      <c r="L1097" s="81"/>
      <c r="M1097" s="1"/>
      <c r="N1097" s="468"/>
      <c r="O1097" s="1"/>
      <c r="P1097" s="1"/>
      <c r="Q1097" s="1"/>
      <c r="R1097" s="1"/>
    </row>
    <row r="1098" ht="12.75" customHeight="1">
      <c r="A1098" s="17"/>
      <c r="B1098" s="1"/>
      <c r="C1098" s="1"/>
      <c r="D1098" s="150"/>
      <c r="E1098" s="150"/>
      <c r="F1098" s="75"/>
      <c r="G1098" s="67"/>
      <c r="H1098" s="68"/>
      <c r="I1098" s="76"/>
      <c r="J1098" s="67"/>
      <c r="K1098" s="1"/>
      <c r="L1098" s="81"/>
      <c r="M1098" s="1"/>
      <c r="N1098" s="468"/>
      <c r="O1098" s="1"/>
      <c r="P1098" s="1"/>
      <c r="Q1098" s="1"/>
      <c r="R1098" s="1"/>
    </row>
    <row r="1099" ht="12.75" customHeight="1">
      <c r="A1099" s="17"/>
      <c r="B1099" s="1"/>
      <c r="C1099" s="1"/>
      <c r="D1099" s="150"/>
      <c r="E1099" s="150"/>
      <c r="F1099" s="75"/>
      <c r="G1099" s="67"/>
      <c r="H1099" s="68"/>
      <c r="I1099" s="76"/>
      <c r="J1099" s="67"/>
      <c r="K1099" s="1"/>
      <c r="L1099" s="81"/>
      <c r="M1099" s="1"/>
      <c r="N1099" s="468"/>
      <c r="O1099" s="1"/>
      <c r="P1099" s="1"/>
      <c r="Q1099" s="1"/>
      <c r="R1099" s="1"/>
    </row>
    <row r="1100" ht="12.75" customHeight="1">
      <c r="A1100" s="17"/>
      <c r="B1100" s="1"/>
      <c r="C1100" s="1"/>
      <c r="D1100" s="150"/>
      <c r="E1100" s="150"/>
      <c r="F1100" s="75"/>
      <c r="G1100" s="67"/>
      <c r="H1100" s="68"/>
      <c r="I1100" s="76"/>
      <c r="J1100" s="67"/>
      <c r="K1100" s="1"/>
      <c r="L1100" s="81"/>
      <c r="M1100" s="1"/>
      <c r="N1100" s="468"/>
      <c r="O1100" s="1"/>
      <c r="P1100" s="1"/>
      <c r="Q1100" s="1"/>
      <c r="R1100" s="1"/>
    </row>
    <row r="1101" ht="12.75" customHeight="1">
      <c r="A1101" s="17"/>
      <c r="B1101" s="1"/>
      <c r="C1101" s="1"/>
      <c r="D1101" s="150"/>
      <c r="E1101" s="150"/>
      <c r="F1101" s="75"/>
      <c r="G1101" s="67"/>
      <c r="H1101" s="68"/>
      <c r="I1101" s="76"/>
      <c r="J1101" s="67"/>
      <c r="K1101" s="1"/>
      <c r="L1101" s="81"/>
      <c r="M1101" s="1"/>
      <c r="N1101" s="468"/>
      <c r="O1101" s="1"/>
      <c r="P1101" s="1"/>
      <c r="Q1101" s="1"/>
      <c r="R1101" s="1"/>
    </row>
    <row r="1102" ht="12.75" customHeight="1">
      <c r="A1102" s="17"/>
      <c r="B1102" s="1"/>
      <c r="C1102" s="1"/>
      <c r="D1102" s="150"/>
      <c r="E1102" s="150"/>
      <c r="F1102" s="75"/>
      <c r="G1102" s="67"/>
      <c r="H1102" s="68"/>
      <c r="I1102" s="76"/>
      <c r="J1102" s="67"/>
      <c r="K1102" s="1"/>
      <c r="L1102" s="81"/>
      <c r="M1102" s="1"/>
      <c r="N1102" s="468"/>
      <c r="O1102" s="1"/>
      <c r="P1102" s="1"/>
      <c r="Q1102" s="1"/>
      <c r="R1102" s="1"/>
    </row>
    <row r="1103" ht="12.75" customHeight="1">
      <c r="A1103" s="17"/>
      <c r="B1103" s="1"/>
      <c r="C1103" s="1"/>
      <c r="D1103" s="150"/>
      <c r="E1103" s="150"/>
      <c r="F1103" s="75"/>
      <c r="G1103" s="67"/>
      <c r="H1103" s="68"/>
      <c r="I1103" s="76"/>
      <c r="J1103" s="67"/>
      <c r="K1103" s="1"/>
      <c r="L1103" s="81"/>
      <c r="M1103" s="1"/>
      <c r="N1103" s="468"/>
      <c r="O1103" s="1"/>
      <c r="P1103" s="1"/>
      <c r="Q1103" s="1"/>
      <c r="R1103" s="1"/>
    </row>
    <row r="1104" ht="12.75" customHeight="1">
      <c r="A1104" s="17"/>
      <c r="B1104" s="1"/>
      <c r="C1104" s="1"/>
      <c r="D1104" s="150"/>
      <c r="E1104" s="150"/>
      <c r="F1104" s="75"/>
      <c r="G1104" s="67"/>
      <c r="H1104" s="68"/>
      <c r="I1104" s="76"/>
      <c r="J1104" s="67"/>
      <c r="K1104" s="1"/>
      <c r="L1104" s="81"/>
      <c r="M1104" s="1"/>
      <c r="N1104" s="468"/>
      <c r="O1104" s="1"/>
      <c r="P1104" s="1"/>
      <c r="Q1104" s="1"/>
      <c r="R1104" s="1"/>
    </row>
    <row r="1105" ht="12.75" customHeight="1">
      <c r="A1105" s="17"/>
      <c r="B1105" s="1"/>
      <c r="C1105" s="1"/>
      <c r="D1105" s="150"/>
      <c r="E1105" s="150"/>
      <c r="F1105" s="75"/>
      <c r="G1105" s="67"/>
      <c r="H1105" s="68"/>
      <c r="I1105" s="76"/>
      <c r="J1105" s="67"/>
      <c r="K1105" s="1"/>
      <c r="L1105" s="81"/>
      <c r="M1105" s="1"/>
      <c r="N1105" s="468"/>
      <c r="O1105" s="1"/>
      <c r="P1105" s="1"/>
      <c r="Q1105" s="1"/>
      <c r="R1105" s="1"/>
    </row>
    <row r="1106" ht="12.75" customHeight="1">
      <c r="A1106" s="17"/>
      <c r="B1106" s="1"/>
      <c r="C1106" s="1"/>
      <c r="D1106" s="150"/>
      <c r="E1106" s="150"/>
      <c r="F1106" s="75"/>
      <c r="G1106" s="67"/>
      <c r="H1106" s="68"/>
      <c r="I1106" s="76"/>
      <c r="J1106" s="67"/>
      <c r="K1106" s="1"/>
      <c r="L1106" s="81"/>
      <c r="M1106" s="1"/>
      <c r="N1106" s="468"/>
      <c r="O1106" s="1"/>
      <c r="P1106" s="1"/>
      <c r="Q1106" s="1"/>
      <c r="R1106" s="1"/>
    </row>
    <row r="1107" ht="12.75" customHeight="1">
      <c r="A1107" s="17"/>
      <c r="B1107" s="1"/>
      <c r="C1107" s="1"/>
      <c r="D1107" s="150"/>
      <c r="E1107" s="150"/>
      <c r="F1107" s="75"/>
      <c r="G1107" s="67"/>
      <c r="H1107" s="68"/>
      <c r="I1107" s="76"/>
      <c r="J1107" s="67"/>
      <c r="K1107" s="1"/>
      <c r="L1107" s="81"/>
      <c r="M1107" s="1"/>
      <c r="N1107" s="468"/>
      <c r="O1107" s="1"/>
      <c r="P1107" s="1"/>
      <c r="Q1107" s="1"/>
      <c r="R1107" s="1"/>
    </row>
    <row r="1108" ht="12.75" customHeight="1">
      <c r="A1108" s="17"/>
      <c r="B1108" s="1"/>
      <c r="C1108" s="1"/>
      <c r="D1108" s="150"/>
      <c r="E1108" s="150"/>
      <c r="F1108" s="75"/>
      <c r="G1108" s="67"/>
      <c r="H1108" s="68"/>
      <c r="I1108" s="76"/>
      <c r="J1108" s="67"/>
      <c r="K1108" s="1"/>
      <c r="L1108" s="81"/>
      <c r="M1108" s="1"/>
      <c r="N1108" s="468"/>
      <c r="O1108" s="1"/>
      <c r="P1108" s="1"/>
      <c r="Q1108" s="1"/>
      <c r="R1108" s="1"/>
    </row>
    <row r="1109" ht="12.75" customHeight="1">
      <c r="A1109" s="17"/>
      <c r="B1109" s="1"/>
      <c r="C1109" s="1"/>
      <c r="D1109" s="150"/>
      <c r="E1109" s="150"/>
      <c r="F1109" s="75"/>
      <c r="G1109" s="67"/>
      <c r="H1109" s="68"/>
      <c r="I1109" s="76"/>
      <c r="J1109" s="67"/>
      <c r="K1109" s="1"/>
      <c r="L1109" s="81"/>
      <c r="M1109" s="1"/>
      <c r="N1109" s="468"/>
      <c r="O1109" s="1"/>
      <c r="P1109" s="1"/>
      <c r="Q1109" s="1"/>
      <c r="R1109" s="1"/>
    </row>
    <row r="1110" ht="12.75" customHeight="1">
      <c r="A1110" s="17"/>
      <c r="B1110" s="1"/>
      <c r="C1110" s="1"/>
      <c r="D1110" s="150"/>
      <c r="E1110" s="150"/>
      <c r="F1110" s="75"/>
      <c r="G1110" s="67"/>
      <c r="H1110" s="68"/>
      <c r="I1110" s="76"/>
      <c r="J1110" s="67"/>
      <c r="K1110" s="1"/>
      <c r="L1110" s="81"/>
      <c r="M1110" s="1"/>
      <c r="N1110" s="468"/>
      <c r="O1110" s="1"/>
      <c r="P1110" s="1"/>
      <c r="Q1110" s="1"/>
      <c r="R1110" s="1"/>
    </row>
    <row r="1111" ht="12.75" customHeight="1">
      <c r="A1111" s="17"/>
      <c r="B1111" s="1"/>
      <c r="C1111" s="1"/>
      <c r="D1111" s="150"/>
      <c r="E1111" s="150"/>
      <c r="F1111" s="75"/>
      <c r="G1111" s="67"/>
      <c r="H1111" s="68"/>
      <c r="I1111" s="76"/>
      <c r="J1111" s="67"/>
      <c r="K1111" s="1"/>
      <c r="L1111" s="81"/>
      <c r="M1111" s="1"/>
      <c r="N1111" s="468"/>
      <c r="O1111" s="1"/>
      <c r="P1111" s="1"/>
      <c r="Q1111" s="1"/>
      <c r="R1111" s="1"/>
    </row>
    <row r="1112" ht="12.75" customHeight="1">
      <c r="A1112" s="17"/>
      <c r="B1112" s="1"/>
      <c r="C1112" s="1"/>
      <c r="D1112" s="150"/>
      <c r="E1112" s="150"/>
      <c r="F1112" s="75"/>
      <c r="G1112" s="67"/>
      <c r="H1112" s="68"/>
      <c r="I1112" s="76"/>
      <c r="J1112" s="67"/>
      <c r="K1112" s="1"/>
      <c r="L1112" s="81"/>
      <c r="M1112" s="1"/>
      <c r="N1112" s="468"/>
      <c r="O1112" s="1"/>
      <c r="P1112" s="1"/>
      <c r="Q1112" s="1"/>
      <c r="R1112" s="1"/>
    </row>
    <row r="1113" ht="12.75" customHeight="1">
      <c r="A1113" s="17"/>
      <c r="B1113" s="1"/>
      <c r="C1113" s="1"/>
      <c r="D1113" s="150"/>
      <c r="E1113" s="150"/>
      <c r="F1113" s="75"/>
      <c r="G1113" s="67"/>
      <c r="H1113" s="68"/>
      <c r="I1113" s="76"/>
      <c r="J1113" s="67"/>
      <c r="K1113" s="1"/>
      <c r="L1113" s="81"/>
      <c r="M1113" s="1"/>
      <c r="N1113" s="468"/>
      <c r="O1113" s="1"/>
      <c r="P1113" s="1"/>
      <c r="Q1113" s="1"/>
      <c r="R1113" s="1"/>
    </row>
    <row r="1114" ht="12.75" customHeight="1">
      <c r="A1114" s="17"/>
      <c r="B1114" s="1"/>
      <c r="C1114" s="1"/>
      <c r="D1114" s="150"/>
      <c r="E1114" s="150"/>
      <c r="F1114" s="75"/>
      <c r="G1114" s="67"/>
      <c r="H1114" s="68"/>
      <c r="I1114" s="76"/>
      <c r="J1114" s="67"/>
      <c r="K1114" s="1"/>
      <c r="L1114" s="81"/>
      <c r="M1114" s="1"/>
      <c r="N1114" s="468"/>
      <c r="O1114" s="1"/>
      <c r="P1114" s="1"/>
      <c r="Q1114" s="1"/>
      <c r="R1114" s="1"/>
    </row>
    <row r="1115" ht="12.75" customHeight="1">
      <c r="A1115" s="17"/>
      <c r="B1115" s="1"/>
      <c r="C1115" s="1"/>
      <c r="D1115" s="150"/>
      <c r="E1115" s="150"/>
      <c r="F1115" s="75"/>
      <c r="G1115" s="67"/>
      <c r="H1115" s="68"/>
      <c r="I1115" s="76"/>
      <c r="J1115" s="67"/>
      <c r="K1115" s="1"/>
      <c r="L1115" s="81"/>
      <c r="M1115" s="1"/>
      <c r="N1115" s="468"/>
      <c r="O1115" s="1"/>
      <c r="P1115" s="1"/>
      <c r="Q1115" s="1"/>
      <c r="R1115" s="1"/>
    </row>
    <row r="1116" ht="12.75" customHeight="1">
      <c r="A1116" s="17"/>
      <c r="B1116" s="1"/>
      <c r="C1116" s="1"/>
      <c r="D1116" s="150"/>
      <c r="E1116" s="150"/>
      <c r="F1116" s="75"/>
      <c r="G1116" s="67"/>
      <c r="H1116" s="68"/>
      <c r="I1116" s="76"/>
      <c r="J1116" s="67"/>
      <c r="K1116" s="1"/>
      <c r="L1116" s="81"/>
      <c r="M1116" s="1"/>
      <c r="N1116" s="468"/>
      <c r="O1116" s="1"/>
      <c r="P1116" s="1"/>
      <c r="Q1116" s="1"/>
      <c r="R1116" s="1"/>
    </row>
    <row r="1117" ht="12.75" customHeight="1">
      <c r="A1117" s="17"/>
      <c r="B1117" s="1"/>
      <c r="C1117" s="1"/>
      <c r="D1117" s="150"/>
      <c r="E1117" s="150"/>
      <c r="F1117" s="75"/>
      <c r="G1117" s="67"/>
      <c r="H1117" s="68"/>
      <c r="I1117" s="76"/>
      <c r="J1117" s="67"/>
      <c r="K1117" s="1"/>
      <c r="L1117" s="81"/>
      <c r="M1117" s="1"/>
      <c r="N1117" s="468"/>
      <c r="O1117" s="1"/>
      <c r="P1117" s="1"/>
      <c r="Q1117" s="1"/>
      <c r="R1117" s="1"/>
    </row>
    <row r="1118" ht="12.75" customHeight="1">
      <c r="A1118" s="17"/>
      <c r="B1118" s="1"/>
      <c r="C1118" s="1"/>
      <c r="D1118" s="150"/>
      <c r="E1118" s="150"/>
      <c r="F1118" s="75"/>
      <c r="G1118" s="67"/>
      <c r="H1118" s="68"/>
      <c r="I1118" s="76"/>
      <c r="J1118" s="67"/>
      <c r="K1118" s="1"/>
      <c r="L1118" s="81"/>
      <c r="M1118" s="1"/>
      <c r="N1118" s="468"/>
      <c r="O1118" s="1"/>
      <c r="P1118" s="1"/>
      <c r="Q1118" s="1"/>
      <c r="R1118" s="1"/>
    </row>
    <row r="1119" ht="12.75" customHeight="1">
      <c r="A1119" s="17"/>
      <c r="B1119" s="1"/>
      <c r="C1119" s="1"/>
      <c r="D1119" s="150"/>
      <c r="E1119" s="150"/>
      <c r="F1119" s="75"/>
      <c r="G1119" s="67"/>
      <c r="H1119" s="68"/>
      <c r="I1119" s="76"/>
      <c r="J1119" s="67"/>
      <c r="K1119" s="1"/>
      <c r="L1119" s="81"/>
      <c r="M1119" s="1"/>
      <c r="N1119" s="468"/>
      <c r="O1119" s="1"/>
      <c r="P1119" s="1"/>
      <c r="Q1119" s="1"/>
      <c r="R1119" s="1"/>
    </row>
    <row r="1120" ht="12.75" customHeight="1">
      <c r="A1120" s="17"/>
      <c r="B1120" s="1"/>
      <c r="C1120" s="1"/>
      <c r="D1120" s="150"/>
      <c r="E1120" s="150"/>
      <c r="F1120" s="75"/>
      <c r="G1120" s="67"/>
      <c r="H1120" s="68"/>
      <c r="I1120" s="76"/>
      <c r="J1120" s="67"/>
      <c r="K1120" s="1"/>
      <c r="L1120" s="81"/>
      <c r="M1120" s="1"/>
      <c r="N1120" s="468"/>
      <c r="O1120" s="1"/>
      <c r="P1120" s="1"/>
      <c r="Q1120" s="1"/>
      <c r="R1120" s="1"/>
    </row>
    <row r="1121" ht="12.75" customHeight="1">
      <c r="A1121" s="17"/>
      <c r="B1121" s="1"/>
      <c r="C1121" s="1"/>
      <c r="D1121" s="150"/>
      <c r="E1121" s="150"/>
      <c r="F1121" s="75"/>
      <c r="G1121" s="67"/>
      <c r="H1121" s="68"/>
      <c r="I1121" s="76"/>
      <c r="J1121" s="67"/>
      <c r="K1121" s="1"/>
      <c r="L1121" s="81"/>
      <c r="M1121" s="1"/>
      <c r="N1121" s="468"/>
      <c r="O1121" s="1"/>
      <c r="P1121" s="1"/>
      <c r="Q1121" s="1"/>
      <c r="R1121" s="1"/>
    </row>
    <row r="1122" ht="12.75" customHeight="1">
      <c r="A1122" s="17"/>
      <c r="B1122" s="1"/>
      <c r="C1122" s="1"/>
      <c r="D1122" s="150"/>
      <c r="E1122" s="150"/>
      <c r="F1122" s="75"/>
      <c r="G1122" s="67"/>
      <c r="H1122" s="68"/>
      <c r="I1122" s="76"/>
      <c r="J1122" s="67"/>
      <c r="K1122" s="1"/>
      <c r="L1122" s="81"/>
      <c r="M1122" s="1"/>
      <c r="N1122" s="468"/>
      <c r="O1122" s="1"/>
      <c r="P1122" s="1"/>
      <c r="Q1122" s="1"/>
      <c r="R1122" s="1"/>
    </row>
    <row r="1123" ht="12.75" customHeight="1">
      <c r="A1123" s="17"/>
      <c r="B1123" s="1"/>
      <c r="C1123" s="1"/>
      <c r="D1123" s="150"/>
      <c r="E1123" s="150"/>
      <c r="F1123" s="75"/>
      <c r="G1123" s="67"/>
      <c r="H1123" s="68"/>
      <c r="I1123" s="76"/>
      <c r="J1123" s="67"/>
      <c r="K1123" s="1"/>
      <c r="L1123" s="81"/>
      <c r="M1123" s="1"/>
      <c r="N1123" s="468"/>
      <c r="O1123" s="1"/>
      <c r="P1123" s="1"/>
      <c r="Q1123" s="1"/>
      <c r="R1123" s="1"/>
    </row>
    <row r="1124" ht="12.75" customHeight="1">
      <c r="A1124" s="17"/>
      <c r="B1124" s="1"/>
      <c r="C1124" s="1"/>
      <c r="D1124" s="150"/>
      <c r="E1124" s="150"/>
      <c r="F1124" s="75"/>
      <c r="G1124" s="67"/>
      <c r="H1124" s="68"/>
      <c r="I1124" s="76"/>
      <c r="J1124" s="67"/>
      <c r="K1124" s="1"/>
      <c r="L1124" s="81"/>
      <c r="M1124" s="1"/>
      <c r="N1124" s="468"/>
      <c r="O1124" s="1"/>
      <c r="P1124" s="1"/>
      <c r="Q1124" s="1"/>
      <c r="R1124" s="1"/>
    </row>
    <row r="1125" ht="12.75" customHeight="1">
      <c r="A1125" s="17"/>
      <c r="B1125" s="1"/>
      <c r="C1125" s="1"/>
      <c r="D1125" s="150"/>
      <c r="E1125" s="150"/>
      <c r="F1125" s="75"/>
      <c r="G1125" s="67"/>
      <c r="H1125" s="68"/>
      <c r="I1125" s="76"/>
      <c r="J1125" s="67"/>
      <c r="K1125" s="1"/>
      <c r="L1125" s="81"/>
      <c r="M1125" s="1"/>
      <c r="N1125" s="468"/>
      <c r="O1125" s="1"/>
      <c r="P1125" s="1"/>
      <c r="Q1125" s="1"/>
      <c r="R1125" s="1"/>
    </row>
    <row r="1126" ht="12.75" customHeight="1">
      <c r="A1126" s="17"/>
      <c r="B1126" s="1"/>
      <c r="C1126" s="1"/>
      <c r="D1126" s="150"/>
      <c r="E1126" s="150"/>
      <c r="F1126" s="75"/>
      <c r="G1126" s="67"/>
      <c r="H1126" s="68"/>
      <c r="I1126" s="76"/>
      <c r="J1126" s="67"/>
      <c r="K1126" s="1"/>
      <c r="L1126" s="81"/>
      <c r="M1126" s="1"/>
      <c r="N1126" s="468"/>
      <c r="O1126" s="1"/>
      <c r="P1126" s="1"/>
      <c r="Q1126" s="1"/>
      <c r="R1126" s="1"/>
    </row>
    <row r="1127" ht="12.75" customHeight="1">
      <c r="A1127" s="17"/>
      <c r="B1127" s="1"/>
      <c r="C1127" s="1"/>
      <c r="D1127" s="150"/>
      <c r="E1127" s="150"/>
      <c r="F1127" s="75"/>
      <c r="G1127" s="67"/>
      <c r="H1127" s="68"/>
      <c r="I1127" s="76"/>
      <c r="J1127" s="67"/>
      <c r="K1127" s="1"/>
      <c r="L1127" s="81"/>
      <c r="M1127" s="1"/>
      <c r="N1127" s="468"/>
      <c r="O1127" s="1"/>
      <c r="P1127" s="1"/>
      <c r="Q1127" s="1"/>
      <c r="R1127" s="1"/>
    </row>
    <row r="1128" ht="12.75" customHeight="1">
      <c r="A1128" s="17"/>
      <c r="B1128" s="1"/>
      <c r="C1128" s="1"/>
      <c r="D1128" s="150"/>
      <c r="E1128" s="150"/>
      <c r="F1128" s="75"/>
      <c r="G1128" s="67"/>
      <c r="H1128" s="68"/>
      <c r="I1128" s="76"/>
      <c r="J1128" s="67"/>
      <c r="K1128" s="1"/>
      <c r="L1128" s="81"/>
      <c r="M1128" s="1"/>
      <c r="N1128" s="468"/>
      <c r="O1128" s="1"/>
      <c r="P1128" s="1"/>
      <c r="Q1128" s="1"/>
      <c r="R1128" s="1"/>
    </row>
    <row r="1129" ht="12.75" customHeight="1">
      <c r="A1129" s="17"/>
      <c r="B1129" s="1"/>
      <c r="C1129" s="1"/>
      <c r="D1129" s="150"/>
      <c r="E1129" s="150"/>
      <c r="F1129" s="75"/>
      <c r="G1129" s="67"/>
      <c r="H1129" s="68"/>
      <c r="I1129" s="76"/>
      <c r="J1129" s="67"/>
      <c r="K1129" s="1"/>
      <c r="L1129" s="81"/>
      <c r="M1129" s="1"/>
      <c r="N1129" s="468"/>
      <c r="O1129" s="1"/>
      <c r="P1129" s="1"/>
      <c r="Q1129" s="1"/>
      <c r="R1129" s="1"/>
    </row>
    <row r="1130" ht="12.75" customHeight="1">
      <c r="A1130" s="17"/>
      <c r="B1130" s="1"/>
      <c r="C1130" s="1"/>
      <c r="D1130" s="150"/>
      <c r="E1130" s="150"/>
      <c r="F1130" s="75"/>
      <c r="G1130" s="67"/>
      <c r="H1130" s="68"/>
      <c r="I1130" s="76"/>
      <c r="J1130" s="67"/>
      <c r="K1130" s="1"/>
      <c r="L1130" s="81"/>
      <c r="M1130" s="1"/>
      <c r="N1130" s="468"/>
      <c r="O1130" s="1"/>
      <c r="P1130" s="1"/>
      <c r="Q1130" s="1"/>
      <c r="R1130" s="1"/>
    </row>
    <row r="1131" ht="12.75" customHeight="1">
      <c r="A1131" s="17"/>
      <c r="B1131" s="1"/>
      <c r="C1131" s="1"/>
      <c r="D1131" s="150"/>
      <c r="E1131" s="150"/>
      <c r="F1131" s="75"/>
      <c r="G1131" s="67"/>
      <c r="H1131" s="68"/>
      <c r="I1131" s="76"/>
      <c r="J1131" s="67"/>
      <c r="K1131" s="1"/>
      <c r="L1131" s="81"/>
      <c r="M1131" s="1"/>
      <c r="N1131" s="468"/>
      <c r="O1131" s="1"/>
      <c r="P1131" s="1"/>
      <c r="Q1131" s="1"/>
      <c r="R1131" s="1"/>
    </row>
    <row r="1132" ht="12.75" customHeight="1">
      <c r="A1132" s="17"/>
      <c r="B1132" s="1"/>
      <c r="C1132" s="1"/>
      <c r="D1132" s="150"/>
      <c r="E1132" s="150"/>
      <c r="F1132" s="75"/>
      <c r="G1132" s="67"/>
      <c r="H1132" s="68"/>
      <c r="I1132" s="76"/>
      <c r="J1132" s="67"/>
      <c r="K1132" s="1"/>
      <c r="L1132" s="81"/>
      <c r="M1132" s="1"/>
      <c r="N1132" s="468"/>
      <c r="O1132" s="1"/>
      <c r="P1132" s="1"/>
      <c r="Q1132" s="1"/>
      <c r="R1132" s="1"/>
    </row>
    <row r="1133" ht="12.75" customHeight="1">
      <c r="A1133" s="17"/>
      <c r="B1133" s="1"/>
      <c r="C1133" s="1"/>
      <c r="D1133" s="150"/>
      <c r="E1133" s="150"/>
      <c r="F1133" s="75"/>
      <c r="G1133" s="67"/>
      <c r="H1133" s="68"/>
      <c r="I1133" s="76"/>
      <c r="J1133" s="67"/>
      <c r="K1133" s="1"/>
      <c r="L1133" s="81"/>
      <c r="M1133" s="1"/>
      <c r="N1133" s="468"/>
      <c r="O1133" s="1"/>
      <c r="P1133" s="1"/>
      <c r="Q1133" s="1"/>
      <c r="R1133" s="1"/>
    </row>
    <row r="1134" ht="12.75" customHeight="1">
      <c r="A1134" s="17"/>
      <c r="B1134" s="1"/>
      <c r="C1134" s="1"/>
      <c r="D1134" s="150"/>
      <c r="E1134" s="150"/>
      <c r="F1134" s="75"/>
      <c r="G1134" s="67"/>
      <c r="H1134" s="68"/>
      <c r="I1134" s="76"/>
      <c r="J1134" s="67"/>
      <c r="K1134" s="1"/>
      <c r="L1134" s="81"/>
      <c r="M1134" s="1"/>
      <c r="N1134" s="468"/>
      <c r="O1134" s="1"/>
      <c r="P1134" s="1"/>
      <c r="Q1134" s="1"/>
      <c r="R1134" s="1"/>
    </row>
    <row r="1135" ht="12.75" customHeight="1">
      <c r="A1135" s="17"/>
      <c r="B1135" s="1"/>
      <c r="C1135" s="1"/>
      <c r="D1135" s="150"/>
      <c r="E1135" s="150"/>
      <c r="F1135" s="75"/>
      <c r="G1135" s="67"/>
      <c r="H1135" s="68"/>
      <c r="I1135" s="76"/>
      <c r="J1135" s="67"/>
      <c r="K1135" s="1"/>
      <c r="L1135" s="81"/>
      <c r="M1135" s="1"/>
      <c r="N1135" s="468"/>
      <c r="O1135" s="1"/>
      <c r="P1135" s="1"/>
      <c r="Q1135" s="1"/>
      <c r="R1135" s="1"/>
    </row>
    <row r="1136" ht="12.75" customHeight="1">
      <c r="A1136" s="17"/>
      <c r="B1136" s="1"/>
      <c r="C1136" s="1"/>
      <c r="D1136" s="150"/>
      <c r="E1136" s="150"/>
      <c r="F1136" s="75"/>
      <c r="G1136" s="67"/>
      <c r="H1136" s="68"/>
      <c r="I1136" s="76"/>
      <c r="J1136" s="67"/>
      <c r="K1136" s="1"/>
      <c r="L1136" s="81"/>
      <c r="M1136" s="1"/>
      <c r="N1136" s="468"/>
      <c r="O1136" s="1"/>
      <c r="P1136" s="1"/>
      <c r="Q1136" s="1"/>
      <c r="R1136" s="1"/>
    </row>
    <row r="1137" ht="12.75" customHeight="1">
      <c r="A1137" s="17"/>
      <c r="B1137" s="1"/>
      <c r="C1137" s="1"/>
      <c r="D1137" s="150"/>
      <c r="E1137" s="150"/>
      <c r="F1137" s="75"/>
      <c r="G1137" s="67"/>
      <c r="H1137" s="68"/>
      <c r="I1137" s="76"/>
      <c r="J1137" s="67"/>
      <c r="K1137" s="1"/>
      <c r="L1137" s="81"/>
      <c r="M1137" s="1"/>
      <c r="N1137" s="468"/>
      <c r="O1137" s="1"/>
      <c r="P1137" s="1"/>
      <c r="Q1137" s="1"/>
      <c r="R1137" s="1"/>
    </row>
    <row r="1138" ht="12.75" customHeight="1">
      <c r="A1138" s="17"/>
      <c r="B1138" s="1"/>
      <c r="C1138" s="1"/>
      <c r="D1138" s="150"/>
      <c r="E1138" s="150"/>
      <c r="F1138" s="75"/>
      <c r="G1138" s="67"/>
      <c r="H1138" s="68"/>
      <c r="I1138" s="76"/>
      <c r="J1138" s="67"/>
      <c r="K1138" s="1"/>
      <c r="L1138" s="81"/>
      <c r="M1138" s="1"/>
      <c r="N1138" s="468"/>
      <c r="O1138" s="1"/>
      <c r="P1138" s="1"/>
      <c r="Q1138" s="1"/>
      <c r="R1138" s="1"/>
    </row>
    <row r="1139" ht="12.75" customHeight="1">
      <c r="A1139" s="17"/>
      <c r="B1139" s="1"/>
      <c r="C1139" s="1"/>
      <c r="D1139" s="150"/>
      <c r="E1139" s="150"/>
      <c r="F1139" s="75"/>
      <c r="G1139" s="67"/>
      <c r="H1139" s="68"/>
      <c r="I1139" s="76"/>
      <c r="J1139" s="67"/>
      <c r="K1139" s="1"/>
      <c r="L1139" s="81"/>
      <c r="M1139" s="1"/>
      <c r="N1139" s="468"/>
      <c r="O1139" s="1"/>
      <c r="P1139" s="1"/>
      <c r="Q1139" s="1"/>
      <c r="R1139" s="1"/>
    </row>
  </sheetData>
  <autoFilter ref="$A$25:$R$126">
    <filterColumn colId="8">
      <filters blank="1">
        <filter val="50.7%"/>
        <filter val="-8.4%"/>
        <filter val="-5.5%"/>
        <filter val="-1.9%"/>
        <filter val="-3.3%"/>
        <filter val="7.0%"/>
        <filter val="-19.1%"/>
        <filter val="36.5%"/>
        <filter val="-73.6%"/>
        <filter val="-7.8%"/>
        <filter val="-33.3%"/>
        <filter val="-13.4%"/>
        <filter val="-8.5%"/>
        <filter val="12.0%"/>
        <filter val="-43.7%"/>
        <filter val="29.8%"/>
        <filter val="-26.6%"/>
        <filter val="7.1%"/>
        <filter val="-67.6%"/>
        <filter val="-10.6%"/>
        <filter val="97.6%"/>
        <filter val="23.7%"/>
        <filter val="-34.3%"/>
        <filter val="-35.0%"/>
        <filter val="-87.4%"/>
        <filter val="25.9%"/>
        <filter val="-21.8%"/>
        <filter val="19.1%"/>
        <filter val="21.4%"/>
        <filter val="0.7%"/>
        <filter val="3.6%"/>
        <filter val="5.8%"/>
        <filter val="27.4%"/>
        <filter val="23.8%"/>
        <filter val="-6.5%"/>
        <filter val="-4.3%"/>
        <filter val="40.8%"/>
        <filter val="-24.6%"/>
        <filter val="49.5%"/>
        <filter val="-23.9%"/>
        <filter val="38.4%"/>
        <filter val="44.3%"/>
        <filter val="-30.6%"/>
        <filter val="30.2%"/>
        <filter val="3.0%"/>
        <filter val="46.5%"/>
        <filter val="-4.4%"/>
        <filter val="-8.0%"/>
        <filter val="-22.7%"/>
        <filter val="7.4%"/>
        <filter val="18.2%"/>
        <filter val="1.6%"/>
        <filter val="9.6%"/>
        <filter val="-94.0%"/>
        <filter val="53.3%"/>
        <filter val="611.2%"/>
        <filter val="-7.4%"/>
        <filter val="24.3%"/>
        <filter val="63.8%"/>
        <filter val="3.9%"/>
        <filter val="5.3%"/>
        <filter val="-26.2%"/>
        <filter val="-30.0%"/>
        <filter val="41.2%"/>
        <filter val="-39.5%"/>
        <filter val="-31.5%"/>
        <filter val="-36.6%"/>
        <filter val="1.0%"/>
        <filter val="22.6%"/>
        <filter val="-7.5%"/>
        <filter val="-5.3%"/>
        <filter val="-81.2%"/>
        <filter val="-25.0%"/>
        <filter val="8.3%"/>
        <filter val="16.6%"/>
        <filter val="6.1%"/>
        <filter val="113.0%"/>
        <filter val="-31.0%"/>
        <filter val="2.5%"/>
        <filter val="-31.8%"/>
        <filter val="-7.6%"/>
        <filter val="29.2%"/>
        <filter val="52.0%"/>
        <filter val="-1.8%"/>
        <filter val="-40.6%"/>
        <filter val="-22.8%"/>
        <filter val="10.0%"/>
        <filter val="-23.5%"/>
        <filter val="62.4%"/>
        <filter val="13.8%"/>
        <filter val="42.5%"/>
        <filter val="-22.0%"/>
        <filter val="12.3%"/>
        <filter val="-14.7%"/>
        <filter val="16.7%"/>
        <filter val="-33.9%"/>
        <filter val="38.8%"/>
      </filters>
    </filterColumn>
    <sortState ref="A25:R126">
      <sortCondition descending="1" ref="D25:D126"/>
      <sortCondition descending="1" ref="I25:I126"/>
      <sortCondition ref="F25:F126"/>
      <sortCondition ref="R25:R126"/>
      <sortCondition ref="L25:L126"/>
      <sortCondition descending="1" ref="E25:E126"/>
      <sortCondition descending="1" ref="M25:M126"/>
      <sortCondition descending="1" ref="N25:N126"/>
      <sortCondition ref="H25:H126"/>
      <sortCondition descending="1" ref="C25:C126"/>
    </sortState>
  </autoFilter>
  <customSheetViews>
    <customSheetView guid="{F400C72F-99BA-4CC9-8C36-E921DA73C898}" filter="1" showAutoFilter="1">
      <autoFilter ref="$A$25:$J$126">
        <sortState ref="A25:J126">
          <sortCondition descending="1" ref="D25:D126"/>
          <sortCondition descending="1" ref="I25:I126"/>
        </sortState>
      </autoFilter>
    </customSheetView>
    <customSheetView guid="{F411629F-0215-4E4E-9CBF-4F89145406FC}" filter="1" showAutoFilter="1">
      <autoFilter ref="$A$25:$O$126">
        <sortState ref="A25:O126">
          <sortCondition descending="1" ref="D25:D126"/>
        </sortState>
      </autoFilter>
    </customSheetView>
  </customSheetViews>
  <conditionalFormatting sqref="D1:D9 I3:I7 O9:O10 L21:L22 B23 N23 N127 N130:N1139">
    <cfRule type="cellIs" dxfId="0" priority="1" stopIfTrue="1" operator="lessThan">
      <formula>0</formula>
    </cfRule>
  </conditionalFormatting>
  <conditionalFormatting sqref="D1:D9 I3:I7 O9:O10 L21:L22 B23 N23 N127 N130:N1139">
    <cfRule type="cellIs" dxfId="1" priority="2" stopIfTrue="1" operator="greaterThan">
      <formula>0</formula>
    </cfRule>
  </conditionalFormatting>
  <conditionalFormatting sqref="I14:I15 I24">
    <cfRule type="cellIs" dxfId="0" priority="3" stopIfTrue="1" operator="lessThan">
      <formula>0</formula>
    </cfRule>
  </conditionalFormatting>
  <conditionalFormatting sqref="I14:I15 I24">
    <cfRule type="cellIs" dxfId="1" priority="4" stopIfTrue="1" operator="greaterThan">
      <formula>0</formula>
    </cfRule>
  </conditionalFormatting>
  <conditionalFormatting sqref="I1 I3:I7 I9 J11:K11 I12:I13">
    <cfRule type="cellIs" dxfId="0" priority="5" stopIfTrue="1" operator="lessThan">
      <formula>0</formula>
    </cfRule>
  </conditionalFormatting>
  <conditionalFormatting sqref="I1 I3:I7 I9 J11:K11 I12:I13">
    <cfRule type="cellIs" dxfId="1" priority="6" stopIfTrue="1" operator="greaterThan">
      <formula>0</formula>
    </cfRule>
  </conditionalFormatting>
  <dataValidations>
    <dataValidation type="list" allowBlank="1" sqref="I3:I6">
      <formula1>"-1,0,1"</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7.29" defaultRowHeight="15.75"/>
  <cols>
    <col customWidth="1" min="1" max="1" width="10.86"/>
    <col customWidth="1" min="2" max="2" width="28.86"/>
    <col customWidth="1" min="3" max="3" width="6.43"/>
    <col customWidth="1" min="4" max="4" width="10.43"/>
    <col customWidth="1" min="5" max="5" width="12.29"/>
    <col customWidth="1" min="6" max="6" width="13.71"/>
    <col customWidth="1" min="7" max="7" width="13.0"/>
    <col customWidth="1" hidden="1" min="8" max="8" width="9.14"/>
    <col customWidth="1" min="9" max="9" width="9.14"/>
    <col customWidth="1" min="10" max="10" width="17.86"/>
    <col customWidth="1" min="11" max="11" width="9.14"/>
    <col customWidth="1" min="12" max="12" width="10.14"/>
    <col customWidth="1" min="13" max="13" width="16.86"/>
    <col customWidth="1" min="14" max="14" width="14.14"/>
    <col customWidth="1" min="15" max="15" width="12.86"/>
    <col customWidth="1" min="16" max="19" width="13.71"/>
    <col customWidth="1" min="20" max="20" width="13.43"/>
    <col customWidth="1" min="21" max="21" width="54.43"/>
    <col customWidth="1" min="22" max="127" width="11.71"/>
  </cols>
  <sheetData>
    <row r="1" ht="15.0" customHeight="1">
      <c r="A1" s="301"/>
      <c r="B1" s="302"/>
      <c r="C1" s="303" t="s">
        <v>1190</v>
      </c>
      <c r="D1" s="303"/>
      <c r="E1" s="304" t="s">
        <v>1191</v>
      </c>
      <c r="F1" s="305">
        <v>43466.0</v>
      </c>
      <c r="G1" s="306" t="s">
        <v>1192</v>
      </c>
      <c r="H1" s="307"/>
      <c r="I1" s="308">
        <f>1/max(0.0666,Valu!$C$21)</f>
        <v>14.70588235</v>
      </c>
      <c r="J1" s="309" t="s">
        <v>1195</v>
      </c>
      <c r="K1" s="310"/>
      <c r="L1" s="311"/>
      <c r="M1" s="312"/>
      <c r="N1" s="313"/>
      <c r="O1" s="314"/>
      <c r="P1" s="315"/>
      <c r="Q1" s="312"/>
      <c r="R1" s="316"/>
      <c r="S1" s="316"/>
      <c r="T1" s="316"/>
      <c r="U1" s="317"/>
      <c r="V1" s="318" t="s">
        <v>1196</v>
      </c>
      <c r="W1" s="319"/>
      <c r="X1" s="319"/>
      <c r="Y1" s="319"/>
      <c r="Z1" s="319"/>
      <c r="AA1" s="319"/>
      <c r="AB1" s="319"/>
      <c r="AC1" s="319"/>
      <c r="AD1" s="319"/>
      <c r="AE1" s="319"/>
      <c r="AF1" s="319"/>
      <c r="AG1" s="319"/>
      <c r="AH1" s="319"/>
      <c r="AI1" s="319"/>
      <c r="AJ1" s="319"/>
      <c r="AK1" s="319"/>
      <c r="AL1" s="319"/>
      <c r="AM1" s="319"/>
      <c r="AN1" s="319"/>
      <c r="AO1" s="319"/>
      <c r="AP1" s="319"/>
      <c r="AQ1" s="319"/>
      <c r="AR1" s="319"/>
      <c r="AS1" s="319"/>
      <c r="AT1" s="319"/>
      <c r="AU1" s="319"/>
      <c r="AV1" s="319"/>
      <c r="AW1" s="319"/>
      <c r="AX1" s="319"/>
      <c r="AY1" s="319"/>
      <c r="AZ1" s="319"/>
      <c r="BA1" s="319"/>
      <c r="BB1" s="319"/>
      <c r="BC1" s="319"/>
      <c r="BD1" s="319"/>
      <c r="BE1" s="319"/>
      <c r="BF1" s="319"/>
      <c r="BG1" s="319"/>
      <c r="BH1" s="319"/>
      <c r="BI1" s="319"/>
      <c r="BJ1" s="319"/>
      <c r="BK1" s="319"/>
      <c r="BL1" s="319"/>
      <c r="BM1" s="319"/>
      <c r="BN1" s="319"/>
      <c r="BO1" s="319"/>
      <c r="BP1" s="319"/>
      <c r="BQ1" s="319"/>
      <c r="BR1" s="319"/>
      <c r="BS1" s="319"/>
      <c r="BT1" s="319"/>
      <c r="BU1" s="319"/>
      <c r="BV1" s="319"/>
      <c r="BW1" s="319"/>
      <c r="BX1" s="319"/>
      <c r="BY1" s="319"/>
      <c r="BZ1" s="319"/>
      <c r="CA1" s="319"/>
      <c r="CB1" s="319"/>
      <c r="CC1" s="319"/>
      <c r="CD1" s="319"/>
      <c r="CE1" s="319"/>
      <c r="CF1" s="319"/>
      <c r="CG1" s="319"/>
      <c r="CH1" s="319"/>
      <c r="CI1" s="319"/>
      <c r="CJ1" s="319"/>
      <c r="CK1" s="319"/>
      <c r="CL1" s="319"/>
      <c r="CM1" s="319"/>
      <c r="CN1" s="319"/>
      <c r="CO1" s="319"/>
      <c r="CP1" s="319"/>
      <c r="CQ1" s="319"/>
      <c r="CR1" s="319"/>
      <c r="CS1" s="319"/>
      <c r="CT1" s="319"/>
      <c r="CU1" s="319"/>
      <c r="CV1" s="319"/>
      <c r="CW1" s="319"/>
      <c r="CX1" s="319"/>
      <c r="CY1" s="319"/>
      <c r="CZ1" s="319"/>
      <c r="DA1" s="319"/>
      <c r="DB1" s="319"/>
      <c r="DC1" s="319"/>
      <c r="DD1" s="319"/>
      <c r="DE1" s="319"/>
      <c r="DF1" s="319"/>
      <c r="DG1" s="319"/>
      <c r="DH1" s="319"/>
      <c r="DI1" s="319"/>
      <c r="DJ1" s="319"/>
      <c r="DK1" s="319"/>
      <c r="DL1" s="319"/>
      <c r="DM1" s="319"/>
      <c r="DN1" s="319"/>
      <c r="DO1" s="319"/>
      <c r="DP1" s="319"/>
      <c r="DQ1" s="319"/>
      <c r="DR1" s="319"/>
      <c r="DS1" s="319"/>
      <c r="DT1" s="319"/>
      <c r="DU1" s="319"/>
      <c r="DV1" s="319"/>
      <c r="DW1" s="319"/>
    </row>
    <row r="2" ht="15.0" customHeight="1">
      <c r="A2" s="301"/>
      <c r="B2" s="320"/>
      <c r="C2" s="303" t="s">
        <v>1198</v>
      </c>
      <c r="D2" s="303"/>
      <c r="E2" s="321"/>
      <c r="F2" s="322"/>
      <c r="G2" s="324"/>
      <c r="H2" s="325"/>
      <c r="I2" s="326" t="s">
        <v>1201</v>
      </c>
      <c r="J2" s="313"/>
      <c r="K2" s="313"/>
      <c r="L2" s="314"/>
      <c r="M2" s="312"/>
      <c r="N2" s="313"/>
      <c r="O2" s="314"/>
      <c r="P2" s="315"/>
      <c r="Q2" s="312"/>
      <c r="R2" s="316"/>
      <c r="S2" s="316"/>
      <c r="T2" s="316"/>
      <c r="U2" s="317"/>
      <c r="V2" s="318" t="s">
        <v>1202</v>
      </c>
      <c r="W2" s="318" t="s">
        <v>1202</v>
      </c>
      <c r="X2" s="318" t="s">
        <v>1202</v>
      </c>
      <c r="Y2" s="318" t="s">
        <v>1202</v>
      </c>
      <c r="Z2" s="318" t="s">
        <v>1202</v>
      </c>
      <c r="AA2" s="318" t="s">
        <v>1202</v>
      </c>
      <c r="AB2" s="318" t="s">
        <v>1202</v>
      </c>
      <c r="AC2" s="318" t="s">
        <v>1202</v>
      </c>
      <c r="AD2" s="318" t="s">
        <v>1202</v>
      </c>
      <c r="AE2" s="318" t="s">
        <v>1202</v>
      </c>
      <c r="AF2" s="318" t="s">
        <v>1202</v>
      </c>
      <c r="AG2" s="318" t="s">
        <v>1202</v>
      </c>
      <c r="AH2" s="318" t="s">
        <v>1202</v>
      </c>
      <c r="AI2" s="318" t="s">
        <v>1202</v>
      </c>
      <c r="AJ2" s="318" t="s">
        <v>1202</v>
      </c>
      <c r="AK2" s="318" t="s">
        <v>1202</v>
      </c>
      <c r="AL2" s="318" t="s">
        <v>1202</v>
      </c>
      <c r="AM2" s="318" t="s">
        <v>1202</v>
      </c>
      <c r="AN2" s="318" t="s">
        <v>1202</v>
      </c>
      <c r="AO2" s="318" t="s">
        <v>1202</v>
      </c>
      <c r="AP2" s="318" t="s">
        <v>1203</v>
      </c>
      <c r="AQ2" s="318" t="s">
        <v>1203</v>
      </c>
      <c r="AR2" s="318" t="s">
        <v>1203</v>
      </c>
      <c r="AS2" s="318" t="s">
        <v>1203</v>
      </c>
      <c r="AT2" s="318" t="s">
        <v>1203</v>
      </c>
      <c r="AU2" s="318" t="s">
        <v>1203</v>
      </c>
      <c r="AV2" s="318" t="s">
        <v>1203</v>
      </c>
      <c r="AW2" s="318" t="s">
        <v>1203</v>
      </c>
      <c r="AX2" s="318" t="s">
        <v>1203</v>
      </c>
      <c r="AY2" s="318" t="s">
        <v>1203</v>
      </c>
      <c r="AZ2" s="318" t="s">
        <v>1203</v>
      </c>
      <c r="BA2" s="318" t="s">
        <v>1203</v>
      </c>
      <c r="BB2" s="318" t="s">
        <v>1203</v>
      </c>
      <c r="BC2" s="318" t="s">
        <v>1203</v>
      </c>
      <c r="BD2" s="318" t="s">
        <v>1203</v>
      </c>
      <c r="BE2" s="318" t="s">
        <v>1203</v>
      </c>
      <c r="BF2" s="318" t="s">
        <v>1203</v>
      </c>
      <c r="BG2" s="318" t="s">
        <v>1203</v>
      </c>
      <c r="BH2" s="318" t="s">
        <v>1203</v>
      </c>
      <c r="BI2" s="318" t="s">
        <v>1203</v>
      </c>
      <c r="BJ2" s="318" t="s">
        <v>1204</v>
      </c>
      <c r="BK2" s="318" t="s">
        <v>1204</v>
      </c>
      <c r="BL2" s="318" t="s">
        <v>1204</v>
      </c>
      <c r="BM2" s="318" t="s">
        <v>1204</v>
      </c>
      <c r="BN2" s="318" t="s">
        <v>1204</v>
      </c>
      <c r="BO2" s="318" t="s">
        <v>1204</v>
      </c>
      <c r="BP2" s="318" t="s">
        <v>1204</v>
      </c>
      <c r="BQ2" s="318" t="s">
        <v>1204</v>
      </c>
      <c r="BR2" s="318" t="s">
        <v>1204</v>
      </c>
      <c r="BS2" s="318" t="s">
        <v>1204</v>
      </c>
      <c r="BT2" s="318" t="s">
        <v>1204</v>
      </c>
      <c r="BU2" s="318" t="s">
        <v>1204</v>
      </c>
      <c r="BV2" s="318" t="s">
        <v>1204</v>
      </c>
      <c r="BW2" s="318" t="s">
        <v>1204</v>
      </c>
      <c r="BX2" s="318" t="s">
        <v>1204</v>
      </c>
      <c r="BY2" s="318" t="s">
        <v>1204</v>
      </c>
      <c r="BZ2" s="318" t="s">
        <v>1204</v>
      </c>
      <c r="CA2" s="318" t="s">
        <v>1204</v>
      </c>
      <c r="CB2" s="318" t="s">
        <v>1204</v>
      </c>
      <c r="CC2" s="318" t="s">
        <v>1204</v>
      </c>
      <c r="CD2" s="318" t="s">
        <v>1205</v>
      </c>
      <c r="CE2" s="318" t="s">
        <v>1205</v>
      </c>
      <c r="CF2" s="318" t="s">
        <v>1205</v>
      </c>
      <c r="CG2" s="318" t="s">
        <v>1205</v>
      </c>
      <c r="CH2" s="318" t="s">
        <v>1205</v>
      </c>
      <c r="CI2" s="318" t="s">
        <v>1205</v>
      </c>
      <c r="CJ2" s="318" t="s">
        <v>1205</v>
      </c>
      <c r="CK2" s="318" t="s">
        <v>1205</v>
      </c>
      <c r="CL2" s="318" t="s">
        <v>1205</v>
      </c>
      <c r="CM2" s="318" t="s">
        <v>1205</v>
      </c>
      <c r="CN2" s="318" t="s">
        <v>1205</v>
      </c>
      <c r="CO2" s="318" t="s">
        <v>1205</v>
      </c>
      <c r="CP2" s="318" t="s">
        <v>1205</v>
      </c>
      <c r="CQ2" s="318" t="s">
        <v>1205</v>
      </c>
      <c r="CR2" s="318" t="s">
        <v>1205</v>
      </c>
      <c r="CS2" s="318" t="s">
        <v>1205</v>
      </c>
      <c r="CT2" s="318" t="s">
        <v>1205</v>
      </c>
      <c r="CU2" s="318" t="s">
        <v>1205</v>
      </c>
      <c r="CV2" s="318" t="s">
        <v>1205</v>
      </c>
      <c r="CW2" s="318" t="s">
        <v>1205</v>
      </c>
      <c r="CX2" s="318" t="s">
        <v>1206</v>
      </c>
      <c r="CY2" s="318" t="s">
        <v>1207</v>
      </c>
      <c r="CZ2" s="318" t="s">
        <v>1207</v>
      </c>
      <c r="DA2" s="318" t="s">
        <v>1207</v>
      </c>
      <c r="DB2" s="318" t="s">
        <v>1207</v>
      </c>
      <c r="DC2" s="318" t="s">
        <v>1207</v>
      </c>
      <c r="DD2" s="318" t="s">
        <v>1207</v>
      </c>
      <c r="DE2" s="318" t="s">
        <v>1207</v>
      </c>
      <c r="DF2" s="318" t="s">
        <v>1207</v>
      </c>
      <c r="DG2" s="318" t="s">
        <v>1207</v>
      </c>
      <c r="DH2" s="318" t="s">
        <v>1207</v>
      </c>
      <c r="DI2" s="318" t="s">
        <v>1207</v>
      </c>
      <c r="DJ2" s="318" t="s">
        <v>1207</v>
      </c>
      <c r="DK2" s="318" t="s">
        <v>1207</v>
      </c>
      <c r="DL2" s="318" t="s">
        <v>1207</v>
      </c>
      <c r="DM2" s="318" t="s">
        <v>1207</v>
      </c>
      <c r="DN2" s="318" t="s">
        <v>1207</v>
      </c>
      <c r="DO2" s="318" t="s">
        <v>1207</v>
      </c>
      <c r="DP2" s="318" t="s">
        <v>1207</v>
      </c>
      <c r="DQ2" s="318" t="s">
        <v>1207</v>
      </c>
      <c r="DR2" s="318" t="s">
        <v>1207</v>
      </c>
      <c r="DS2" s="318" t="s">
        <v>1207</v>
      </c>
      <c r="DT2" s="318"/>
      <c r="DU2" s="318"/>
      <c r="DV2" s="318"/>
      <c r="DW2" s="318"/>
    </row>
    <row r="3" ht="51.75" customHeight="1">
      <c r="A3" s="327" t="s">
        <v>3</v>
      </c>
      <c r="B3" s="328" t="s">
        <v>318</v>
      </c>
      <c r="C3" s="328" t="s">
        <v>319</v>
      </c>
      <c r="D3" s="329" t="s">
        <v>320</v>
      </c>
      <c r="E3" s="330" t="s">
        <v>321</v>
      </c>
      <c r="F3" s="331" t="s">
        <v>322</v>
      </c>
      <c r="G3" s="332" t="s">
        <v>323</v>
      </c>
      <c r="H3" s="333" t="s">
        <v>324</v>
      </c>
      <c r="I3" s="334" t="s">
        <v>1208</v>
      </c>
      <c r="J3" s="335" t="s">
        <v>1209</v>
      </c>
      <c r="K3" s="336" t="s">
        <v>327</v>
      </c>
      <c r="L3" s="337" t="s">
        <v>1210</v>
      </c>
      <c r="M3" s="338" t="s">
        <v>329</v>
      </c>
      <c r="N3" s="336" t="s">
        <v>330</v>
      </c>
      <c r="O3" s="337" t="s">
        <v>1211</v>
      </c>
      <c r="P3" s="339" t="s">
        <v>332</v>
      </c>
      <c r="Q3" s="340" t="s">
        <v>1026</v>
      </c>
      <c r="R3" s="341" t="s">
        <v>1212</v>
      </c>
      <c r="S3" s="342" t="s">
        <v>335</v>
      </c>
      <c r="T3" s="342" t="s">
        <v>336</v>
      </c>
      <c r="U3" s="329" t="s">
        <v>1213</v>
      </c>
      <c r="V3" s="342">
        <v>1.0</v>
      </c>
      <c r="W3" s="342">
        <f t="shared" ref="W3:AO3" si="1">V3+1</f>
        <v>2</v>
      </c>
      <c r="X3" s="342">
        <f t="shared" si="1"/>
        <v>3</v>
      </c>
      <c r="Y3" s="342">
        <f t="shared" si="1"/>
        <v>4</v>
      </c>
      <c r="Z3" s="342">
        <f t="shared" si="1"/>
        <v>5</v>
      </c>
      <c r="AA3" s="342">
        <f t="shared" si="1"/>
        <v>6</v>
      </c>
      <c r="AB3" s="342">
        <f t="shared" si="1"/>
        <v>7</v>
      </c>
      <c r="AC3" s="342">
        <f t="shared" si="1"/>
        <v>8</v>
      </c>
      <c r="AD3" s="342">
        <f t="shared" si="1"/>
        <v>9</v>
      </c>
      <c r="AE3" s="342">
        <f t="shared" si="1"/>
        <v>10</v>
      </c>
      <c r="AF3" s="342">
        <f t="shared" si="1"/>
        <v>11</v>
      </c>
      <c r="AG3" s="342">
        <f t="shared" si="1"/>
        <v>12</v>
      </c>
      <c r="AH3" s="342">
        <f t="shared" si="1"/>
        <v>13</v>
      </c>
      <c r="AI3" s="342">
        <f t="shared" si="1"/>
        <v>14</v>
      </c>
      <c r="AJ3" s="342">
        <f t="shared" si="1"/>
        <v>15</v>
      </c>
      <c r="AK3" s="342">
        <f t="shared" si="1"/>
        <v>16</v>
      </c>
      <c r="AL3" s="342">
        <f t="shared" si="1"/>
        <v>17</v>
      </c>
      <c r="AM3" s="342">
        <f t="shared" si="1"/>
        <v>18</v>
      </c>
      <c r="AN3" s="342">
        <f t="shared" si="1"/>
        <v>19</v>
      </c>
      <c r="AO3" s="342">
        <f t="shared" si="1"/>
        <v>20</v>
      </c>
      <c r="AP3" s="342">
        <v>1.0</v>
      </c>
      <c r="AQ3" s="342">
        <f t="shared" ref="AQ3:BI3" si="2">AP3+1</f>
        <v>2</v>
      </c>
      <c r="AR3" s="342">
        <f t="shared" si="2"/>
        <v>3</v>
      </c>
      <c r="AS3" s="342">
        <f t="shared" si="2"/>
        <v>4</v>
      </c>
      <c r="AT3" s="342">
        <f t="shared" si="2"/>
        <v>5</v>
      </c>
      <c r="AU3" s="342">
        <f t="shared" si="2"/>
        <v>6</v>
      </c>
      <c r="AV3" s="342">
        <f t="shared" si="2"/>
        <v>7</v>
      </c>
      <c r="AW3" s="342">
        <f t="shared" si="2"/>
        <v>8</v>
      </c>
      <c r="AX3" s="342">
        <f t="shared" si="2"/>
        <v>9</v>
      </c>
      <c r="AY3" s="342">
        <f t="shared" si="2"/>
        <v>10</v>
      </c>
      <c r="AZ3" s="342">
        <f t="shared" si="2"/>
        <v>11</v>
      </c>
      <c r="BA3" s="342">
        <f t="shared" si="2"/>
        <v>12</v>
      </c>
      <c r="BB3" s="342">
        <f t="shared" si="2"/>
        <v>13</v>
      </c>
      <c r="BC3" s="342">
        <f t="shared" si="2"/>
        <v>14</v>
      </c>
      <c r="BD3" s="342">
        <f t="shared" si="2"/>
        <v>15</v>
      </c>
      <c r="BE3" s="342">
        <f t="shared" si="2"/>
        <v>16</v>
      </c>
      <c r="BF3" s="342">
        <f t="shared" si="2"/>
        <v>17</v>
      </c>
      <c r="BG3" s="342">
        <f t="shared" si="2"/>
        <v>18</v>
      </c>
      <c r="BH3" s="342">
        <f t="shared" si="2"/>
        <v>19</v>
      </c>
      <c r="BI3" s="342">
        <f t="shared" si="2"/>
        <v>20</v>
      </c>
      <c r="BJ3" s="342">
        <v>1.0</v>
      </c>
      <c r="BK3" s="342">
        <f t="shared" ref="BK3:CC3" si="3">BJ3+1</f>
        <v>2</v>
      </c>
      <c r="BL3" s="342">
        <f t="shared" si="3"/>
        <v>3</v>
      </c>
      <c r="BM3" s="342">
        <f t="shared" si="3"/>
        <v>4</v>
      </c>
      <c r="BN3" s="342">
        <f t="shared" si="3"/>
        <v>5</v>
      </c>
      <c r="BO3" s="342">
        <f t="shared" si="3"/>
        <v>6</v>
      </c>
      <c r="BP3" s="342">
        <f t="shared" si="3"/>
        <v>7</v>
      </c>
      <c r="BQ3" s="342">
        <f t="shared" si="3"/>
        <v>8</v>
      </c>
      <c r="BR3" s="342">
        <f t="shared" si="3"/>
        <v>9</v>
      </c>
      <c r="BS3" s="342">
        <f t="shared" si="3"/>
        <v>10</v>
      </c>
      <c r="BT3" s="342">
        <f t="shared" si="3"/>
        <v>11</v>
      </c>
      <c r="BU3" s="342">
        <f t="shared" si="3"/>
        <v>12</v>
      </c>
      <c r="BV3" s="342">
        <f t="shared" si="3"/>
        <v>13</v>
      </c>
      <c r="BW3" s="342">
        <f t="shared" si="3"/>
        <v>14</v>
      </c>
      <c r="BX3" s="342">
        <f t="shared" si="3"/>
        <v>15</v>
      </c>
      <c r="BY3" s="342">
        <f t="shared" si="3"/>
        <v>16</v>
      </c>
      <c r="BZ3" s="342">
        <f t="shared" si="3"/>
        <v>17</v>
      </c>
      <c r="CA3" s="342">
        <f t="shared" si="3"/>
        <v>18</v>
      </c>
      <c r="CB3" s="342">
        <f t="shared" si="3"/>
        <v>19</v>
      </c>
      <c r="CC3" s="342">
        <f t="shared" si="3"/>
        <v>20</v>
      </c>
      <c r="CD3" s="342">
        <v>1.0</v>
      </c>
      <c r="CE3" s="342">
        <f t="shared" ref="CE3:CW3" si="4">CD3+1</f>
        <v>2</v>
      </c>
      <c r="CF3" s="342">
        <f t="shared" si="4"/>
        <v>3</v>
      </c>
      <c r="CG3" s="342">
        <f t="shared" si="4"/>
        <v>4</v>
      </c>
      <c r="CH3" s="342">
        <f t="shared" si="4"/>
        <v>5</v>
      </c>
      <c r="CI3" s="342">
        <f t="shared" si="4"/>
        <v>6</v>
      </c>
      <c r="CJ3" s="342">
        <f t="shared" si="4"/>
        <v>7</v>
      </c>
      <c r="CK3" s="342">
        <f t="shared" si="4"/>
        <v>8</v>
      </c>
      <c r="CL3" s="342">
        <f t="shared" si="4"/>
        <v>9</v>
      </c>
      <c r="CM3" s="342">
        <f t="shared" si="4"/>
        <v>10</v>
      </c>
      <c r="CN3" s="342">
        <f t="shared" si="4"/>
        <v>11</v>
      </c>
      <c r="CO3" s="342">
        <f t="shared" si="4"/>
        <v>12</v>
      </c>
      <c r="CP3" s="342">
        <f t="shared" si="4"/>
        <v>13</v>
      </c>
      <c r="CQ3" s="342">
        <f t="shared" si="4"/>
        <v>14</v>
      </c>
      <c r="CR3" s="342">
        <f t="shared" si="4"/>
        <v>15</v>
      </c>
      <c r="CS3" s="342">
        <f t="shared" si="4"/>
        <v>16</v>
      </c>
      <c r="CT3" s="342">
        <f t="shared" si="4"/>
        <v>17</v>
      </c>
      <c r="CU3" s="342">
        <f t="shared" si="4"/>
        <v>18</v>
      </c>
      <c r="CV3" s="342">
        <f t="shared" si="4"/>
        <v>19</v>
      </c>
      <c r="CW3" s="342">
        <f t="shared" si="4"/>
        <v>20</v>
      </c>
      <c r="CX3" s="342">
        <f>20</f>
        <v>20</v>
      </c>
      <c r="CY3" s="342">
        <v>1.0</v>
      </c>
      <c r="CZ3" s="342">
        <f t="shared" ref="CZ3:DR3" si="5">CY3+1</f>
        <v>2</v>
      </c>
      <c r="DA3" s="342">
        <f t="shared" si="5"/>
        <v>3</v>
      </c>
      <c r="DB3" s="342">
        <f t="shared" si="5"/>
        <v>4</v>
      </c>
      <c r="DC3" s="342">
        <f t="shared" si="5"/>
        <v>5</v>
      </c>
      <c r="DD3" s="342">
        <f t="shared" si="5"/>
        <v>6</v>
      </c>
      <c r="DE3" s="342">
        <f t="shared" si="5"/>
        <v>7</v>
      </c>
      <c r="DF3" s="342">
        <f t="shared" si="5"/>
        <v>8</v>
      </c>
      <c r="DG3" s="342">
        <f t="shared" si="5"/>
        <v>9</v>
      </c>
      <c r="DH3" s="342">
        <f t="shared" si="5"/>
        <v>10</v>
      </c>
      <c r="DI3" s="342">
        <f t="shared" si="5"/>
        <v>11</v>
      </c>
      <c r="DJ3" s="342">
        <f t="shared" si="5"/>
        <v>12</v>
      </c>
      <c r="DK3" s="342">
        <f t="shared" si="5"/>
        <v>13</v>
      </c>
      <c r="DL3" s="342">
        <f t="shared" si="5"/>
        <v>14</v>
      </c>
      <c r="DM3" s="342">
        <f t="shared" si="5"/>
        <v>15</v>
      </c>
      <c r="DN3" s="342">
        <f t="shared" si="5"/>
        <v>16</v>
      </c>
      <c r="DO3" s="342">
        <f t="shared" si="5"/>
        <v>17</v>
      </c>
      <c r="DP3" s="342">
        <f t="shared" si="5"/>
        <v>18</v>
      </c>
      <c r="DQ3" s="342">
        <f t="shared" si="5"/>
        <v>19</v>
      </c>
      <c r="DR3" s="342">
        <f t="shared" si="5"/>
        <v>20</v>
      </c>
      <c r="DS3" s="342">
        <f>20</f>
        <v>20</v>
      </c>
      <c r="DT3" s="342"/>
      <c r="DU3" s="342"/>
      <c r="DV3" s="342"/>
      <c r="DW3" s="342"/>
    </row>
    <row r="4">
      <c r="A4" s="343">
        <v>43291.0</v>
      </c>
      <c r="B4" s="344" t="s">
        <v>1218</v>
      </c>
      <c r="C4" s="344" t="s">
        <v>1219</v>
      </c>
      <c r="D4" s="344"/>
      <c r="E4" s="345" t="str">
        <f>IFERROR(__xludf.DUMMYFUNCTION("if(and(D4&lt;&gt;0,D4&lt;&gt;""""),D4/GOOGLEFINANCE(C4,""price"")-1,"""")"),"")</f>
        <v/>
      </c>
      <c r="F4" s="346">
        <f>IFERROR(__xludf.DUMMYFUNCTION("GOOGLEFINANCE(C4,""price"")"),0.0)</f>
        <v>0</v>
      </c>
      <c r="G4" s="345" t="str">
        <f t="shared" ref="G4:G395" si="6">if(and(I4&lt;&gt;0,I4&lt;&gt;""),I4/F4-1,"")</f>
        <v>#DIV/0!</v>
      </c>
      <c r="H4" s="347"/>
      <c r="I4" s="348">
        <v>103.0</v>
      </c>
      <c r="J4" s="349"/>
      <c r="K4" s="349"/>
      <c r="L4" s="350"/>
      <c r="M4" s="351">
        <f t="shared" ref="M4:M395" si="7">(L4-now())/365</f>
        <v>-119.9023034</v>
      </c>
      <c r="N4" s="349">
        <f t="shared" ref="N4:N395" si="8">J4*M4+(1-M4)*K4</f>
        <v>0</v>
      </c>
      <c r="O4" s="350"/>
      <c r="P4" s="352"/>
      <c r="Q4" s="353"/>
      <c r="R4" s="354"/>
      <c r="S4" s="354">
        <v>43291.0</v>
      </c>
      <c r="T4" s="355" t="s">
        <v>1223</v>
      </c>
      <c r="U4" s="356" t="s">
        <v>1224</v>
      </c>
      <c r="V4" s="344"/>
      <c r="W4" s="344"/>
      <c r="X4" s="344"/>
      <c r="Y4" s="344"/>
      <c r="Z4" s="344"/>
      <c r="AA4" s="344"/>
      <c r="AB4" s="344"/>
      <c r="AC4" s="344"/>
      <c r="AD4" s="344"/>
      <c r="AE4" s="344"/>
      <c r="AF4" s="344"/>
      <c r="AG4" s="344"/>
      <c r="AH4" s="344"/>
      <c r="AI4" s="344"/>
      <c r="AJ4" s="344"/>
      <c r="AK4" s="344"/>
      <c r="AL4" s="344"/>
      <c r="AM4" s="344"/>
      <c r="AN4" s="344"/>
      <c r="AO4" s="344"/>
      <c r="AP4" s="344"/>
      <c r="AQ4" s="344"/>
      <c r="AR4" s="344"/>
      <c r="AS4" s="344"/>
      <c r="AT4" s="344"/>
      <c r="AU4" s="344"/>
      <c r="AV4" s="344"/>
      <c r="AW4" s="344"/>
      <c r="AX4" s="344"/>
      <c r="AY4" s="344"/>
      <c r="AZ4" s="344"/>
      <c r="BA4" s="344"/>
      <c r="BB4" s="344"/>
      <c r="BC4" s="344"/>
      <c r="BD4" s="344"/>
      <c r="BE4" s="344"/>
      <c r="BF4" s="344"/>
      <c r="BG4" s="344"/>
      <c r="BH4" s="344"/>
      <c r="BI4" s="344"/>
      <c r="BJ4" s="344"/>
      <c r="BK4" s="344"/>
      <c r="BL4" s="344"/>
      <c r="BM4" s="344"/>
      <c r="BN4" s="344"/>
      <c r="BO4" s="344"/>
      <c r="BP4" s="344"/>
      <c r="BQ4" s="344"/>
      <c r="BR4" s="344"/>
      <c r="BS4" s="344"/>
      <c r="BT4" s="344"/>
      <c r="BU4" s="344"/>
      <c r="BV4" s="344"/>
      <c r="BW4" s="344"/>
      <c r="BX4" s="344"/>
      <c r="BY4" s="344"/>
      <c r="BZ4" s="344"/>
      <c r="CA4" s="344"/>
      <c r="CB4" s="344"/>
      <c r="CC4" s="344"/>
      <c r="CD4" s="344"/>
      <c r="CE4" s="344"/>
      <c r="CF4" s="344"/>
      <c r="CG4" s="344"/>
      <c r="CH4" s="344"/>
      <c r="CI4" s="344"/>
      <c r="CJ4" s="344"/>
      <c r="CK4" s="344"/>
      <c r="CL4" s="344"/>
      <c r="CM4" s="344"/>
      <c r="CN4" s="344"/>
      <c r="CO4" s="344"/>
      <c r="CP4" s="344"/>
      <c r="CQ4" s="344"/>
      <c r="CR4" s="344"/>
      <c r="CS4" s="344"/>
      <c r="CT4" s="344"/>
      <c r="CU4" s="344"/>
      <c r="CV4" s="344"/>
      <c r="CW4" s="344"/>
      <c r="CX4" s="344"/>
      <c r="CY4" s="344"/>
      <c r="CZ4" s="344"/>
      <c r="DA4" s="344"/>
      <c r="DB4" s="344"/>
      <c r="DC4" s="344"/>
      <c r="DD4" s="344"/>
      <c r="DE4" s="344"/>
      <c r="DF4" s="344"/>
      <c r="DG4" s="344"/>
      <c r="DH4" s="344"/>
      <c r="DI4" s="344"/>
      <c r="DJ4" s="344"/>
      <c r="DK4" s="344"/>
      <c r="DL4" s="344"/>
      <c r="DM4" s="344"/>
      <c r="DN4" s="344"/>
      <c r="DO4" s="344"/>
      <c r="DP4" s="344"/>
      <c r="DQ4" s="344"/>
      <c r="DR4" s="344"/>
      <c r="DS4" s="344"/>
      <c r="DT4" s="344"/>
      <c r="DU4" s="344"/>
      <c r="DV4" s="344"/>
      <c r="DW4" s="344"/>
    </row>
    <row r="5">
      <c r="A5" s="357">
        <v>43650.0</v>
      </c>
      <c r="B5" s="358" t="s">
        <v>1226</v>
      </c>
      <c r="C5" s="358" t="s">
        <v>1227</v>
      </c>
      <c r="D5" s="344"/>
      <c r="E5" s="345" t="str">
        <f>IFERROR(__xludf.DUMMYFUNCTION("if(and(D5&lt;&gt;0,D5&lt;&gt;""""),D5/GOOGLEFINANCE(C5,""price"")-1,"""")"),"")</f>
        <v/>
      </c>
      <c r="F5" s="346">
        <f>IFERROR(__xludf.DUMMYFUNCTION("GOOGLEFINANCE(C5,""price"")"),47.84)</f>
        <v>47.84</v>
      </c>
      <c r="G5" s="345">
        <f t="shared" si="6"/>
        <v>-0.199208803</v>
      </c>
      <c r="H5" s="347"/>
      <c r="I5" s="348">
        <f>N5*($I$1+O5*100)</f>
        <v>38.30985087</v>
      </c>
      <c r="J5" s="359">
        <v>1.28</v>
      </c>
      <c r="K5" s="359">
        <v>1.61</v>
      </c>
      <c r="L5" s="360">
        <v>43830.0</v>
      </c>
      <c r="M5" s="351">
        <f t="shared" si="7"/>
        <v>0.179888422</v>
      </c>
      <c r="N5" s="349">
        <f t="shared" si="8"/>
        <v>1.550636821</v>
      </c>
      <c r="O5" s="361">
        <v>0.1</v>
      </c>
      <c r="P5" s="361"/>
      <c r="Q5" s="362"/>
      <c r="R5" s="360"/>
      <c r="S5" s="360">
        <v>43650.0</v>
      </c>
      <c r="T5" s="355" t="s">
        <v>1223</v>
      </c>
      <c r="U5" s="363" t="s">
        <v>1231</v>
      </c>
      <c r="V5" s="358"/>
      <c r="W5" s="358"/>
      <c r="X5" s="358"/>
      <c r="Y5" s="358"/>
      <c r="Z5" s="358"/>
      <c r="AA5" s="358"/>
      <c r="AB5" s="358"/>
      <c r="AC5" s="358"/>
      <c r="AD5" s="358"/>
      <c r="AE5" s="358"/>
      <c r="AF5" s="358"/>
      <c r="AG5" s="358"/>
      <c r="AH5" s="358"/>
      <c r="AI5" s="358"/>
      <c r="AJ5" s="358"/>
      <c r="AK5" s="358"/>
      <c r="AL5" s="358"/>
      <c r="AM5" s="358"/>
      <c r="AN5" s="358"/>
      <c r="AO5" s="358"/>
      <c r="AP5" s="358"/>
      <c r="AQ5" s="358"/>
      <c r="AR5" s="358"/>
      <c r="AS5" s="358"/>
      <c r="AT5" s="358"/>
      <c r="AU5" s="358"/>
      <c r="AV5" s="358"/>
      <c r="AW5" s="358"/>
      <c r="AX5" s="358"/>
      <c r="AY5" s="358"/>
      <c r="AZ5" s="358"/>
      <c r="BA5" s="358"/>
      <c r="BB5" s="358"/>
      <c r="BC5" s="358"/>
      <c r="BD5" s="358"/>
      <c r="BE5" s="358"/>
      <c r="BF5" s="358"/>
      <c r="BG5" s="358"/>
      <c r="BH5" s="358"/>
      <c r="BI5" s="358"/>
      <c r="BJ5" s="358"/>
      <c r="BK5" s="358"/>
      <c r="BL5" s="358"/>
      <c r="BM5" s="358"/>
      <c r="BN5" s="358"/>
      <c r="BO5" s="358"/>
      <c r="BP5" s="358"/>
      <c r="BQ5" s="358"/>
      <c r="BR5" s="358"/>
      <c r="BS5" s="358"/>
      <c r="BT5" s="358"/>
      <c r="BU5" s="358"/>
      <c r="BV5" s="358"/>
      <c r="BW5" s="358"/>
      <c r="BX5" s="358"/>
      <c r="BY5" s="358"/>
      <c r="BZ5" s="358"/>
      <c r="CA5" s="358"/>
      <c r="CB5" s="358"/>
      <c r="CC5" s="358"/>
      <c r="CD5" s="358"/>
      <c r="CE5" s="358"/>
      <c r="CF5" s="358"/>
      <c r="CG5" s="358"/>
      <c r="CH5" s="358"/>
      <c r="CI5" s="358"/>
      <c r="CJ5" s="358"/>
      <c r="CK5" s="358"/>
      <c r="CL5" s="358"/>
      <c r="CM5" s="358"/>
      <c r="CN5" s="358"/>
      <c r="CO5" s="358"/>
      <c r="CP5" s="358"/>
      <c r="CQ5" s="358"/>
      <c r="CR5" s="358"/>
      <c r="CS5" s="358"/>
      <c r="CT5" s="358"/>
      <c r="CU5" s="358"/>
      <c r="CV5" s="358"/>
      <c r="CW5" s="358"/>
      <c r="CX5" s="358"/>
      <c r="CY5" s="358"/>
      <c r="CZ5" s="358"/>
      <c r="DA5" s="358"/>
      <c r="DB5" s="358"/>
      <c r="DC5" s="358"/>
      <c r="DD5" s="358"/>
      <c r="DE5" s="358"/>
      <c r="DF5" s="358"/>
      <c r="DG5" s="358"/>
      <c r="DH5" s="358"/>
      <c r="DI5" s="358"/>
      <c r="DJ5" s="358"/>
      <c r="DK5" s="358"/>
      <c r="DL5" s="358"/>
      <c r="DM5" s="358"/>
      <c r="DN5" s="358"/>
      <c r="DO5" s="358"/>
      <c r="DP5" s="358"/>
      <c r="DQ5" s="358"/>
      <c r="DR5" s="358"/>
      <c r="DS5" s="358"/>
      <c r="DT5" s="358"/>
      <c r="DU5" s="358"/>
      <c r="DV5" s="358"/>
      <c r="DW5" s="358"/>
    </row>
    <row r="6">
      <c r="A6" s="343">
        <v>42332.0</v>
      </c>
      <c r="B6" s="344" t="s">
        <v>1232</v>
      </c>
      <c r="C6" s="344" t="s">
        <v>1233</v>
      </c>
      <c r="D6" s="344">
        <v>109.0</v>
      </c>
      <c r="E6" s="345">
        <f>IFERROR(__xludf.DUMMYFUNCTION("if(and(D6&lt;&gt;0,D6&lt;&gt;""""),D6/GOOGLEFINANCE(C6,""price"")-1,"""")"),-0.34162841266006283)</f>
        <v>-0.3416284127</v>
      </c>
      <c r="F6" s="364">
        <f>IFERROR(__xludf.DUMMYFUNCTION("GOOGLEFINANCE(C6,""price"")"),165.56)</f>
        <v>165.56</v>
      </c>
      <c r="G6" s="345">
        <f t="shared" si="6"/>
        <v>0.05694754345</v>
      </c>
      <c r="H6" s="347"/>
      <c r="I6" s="348">
        <f>8.88*($I$1+5)</f>
        <v>174.9882353</v>
      </c>
      <c r="J6" s="349"/>
      <c r="K6" s="349"/>
      <c r="L6" s="350"/>
      <c r="M6" s="351">
        <f t="shared" si="7"/>
        <v>-119.9023034</v>
      </c>
      <c r="N6" s="349">
        <f t="shared" si="8"/>
        <v>0</v>
      </c>
      <c r="O6" s="350"/>
      <c r="P6" s="352"/>
      <c r="Q6" s="353"/>
      <c r="R6" s="365"/>
      <c r="S6" s="365"/>
      <c r="T6" s="365"/>
      <c r="U6" s="356" t="s">
        <v>1235</v>
      </c>
      <c r="V6" s="344"/>
      <c r="W6" s="344"/>
      <c r="X6" s="344"/>
      <c r="Y6" s="344"/>
      <c r="Z6" s="344"/>
      <c r="AA6" s="344"/>
      <c r="AB6" s="344"/>
      <c r="AC6" s="344"/>
      <c r="AD6" s="344"/>
      <c r="AE6" s="344"/>
      <c r="AF6" s="344"/>
      <c r="AG6" s="344"/>
      <c r="AH6" s="344"/>
      <c r="AI6" s="344"/>
      <c r="AJ6" s="344"/>
      <c r="AK6" s="344"/>
      <c r="AL6" s="344"/>
      <c r="AM6" s="344"/>
      <c r="AN6" s="344"/>
      <c r="AO6" s="344"/>
      <c r="AP6" s="344"/>
      <c r="AQ6" s="344"/>
      <c r="AR6" s="344"/>
      <c r="AS6" s="344"/>
      <c r="AT6" s="344"/>
      <c r="AU6" s="344"/>
      <c r="AV6" s="344"/>
      <c r="AW6" s="344"/>
      <c r="AX6" s="344"/>
      <c r="AY6" s="344"/>
      <c r="AZ6" s="344"/>
      <c r="BA6" s="344"/>
      <c r="BB6" s="344"/>
      <c r="BC6" s="344"/>
      <c r="BD6" s="344"/>
      <c r="BE6" s="344"/>
      <c r="BF6" s="344"/>
      <c r="BG6" s="344"/>
      <c r="BH6" s="344"/>
      <c r="BI6" s="344"/>
      <c r="BJ6" s="344"/>
      <c r="BK6" s="344"/>
      <c r="BL6" s="344"/>
      <c r="BM6" s="344"/>
      <c r="BN6" s="344"/>
      <c r="BO6" s="344"/>
      <c r="BP6" s="344"/>
      <c r="BQ6" s="344"/>
      <c r="BR6" s="344"/>
      <c r="BS6" s="344"/>
      <c r="BT6" s="344"/>
      <c r="BU6" s="344"/>
      <c r="BV6" s="344"/>
      <c r="BW6" s="344"/>
      <c r="BX6" s="344"/>
      <c r="BY6" s="344"/>
      <c r="BZ6" s="344"/>
      <c r="CA6" s="344"/>
      <c r="CB6" s="344"/>
      <c r="CC6" s="344"/>
      <c r="CD6" s="344"/>
      <c r="CE6" s="344"/>
      <c r="CF6" s="344"/>
      <c r="CG6" s="344"/>
      <c r="CH6" s="344"/>
      <c r="CI6" s="344"/>
      <c r="CJ6" s="344"/>
      <c r="CK6" s="344"/>
      <c r="CL6" s="344"/>
      <c r="CM6" s="344"/>
      <c r="CN6" s="344"/>
      <c r="CO6" s="344"/>
      <c r="CP6" s="344"/>
      <c r="CQ6" s="344"/>
      <c r="CR6" s="344"/>
      <c r="CS6" s="344"/>
      <c r="CT6" s="344"/>
      <c r="CU6" s="344"/>
      <c r="CV6" s="344"/>
      <c r="CW6" s="344"/>
      <c r="CX6" s="344"/>
      <c r="CY6" s="344"/>
      <c r="CZ6" s="344"/>
      <c r="DA6" s="344"/>
      <c r="DB6" s="344"/>
      <c r="DC6" s="344"/>
      <c r="DD6" s="344"/>
      <c r="DE6" s="344"/>
      <c r="DF6" s="344"/>
      <c r="DG6" s="344"/>
      <c r="DH6" s="344"/>
      <c r="DI6" s="344"/>
      <c r="DJ6" s="344"/>
      <c r="DK6" s="344"/>
      <c r="DL6" s="344"/>
      <c r="DM6" s="344"/>
      <c r="DN6" s="344"/>
      <c r="DO6" s="344"/>
      <c r="DP6" s="344"/>
      <c r="DQ6" s="344"/>
      <c r="DR6" s="344"/>
      <c r="DS6" s="344"/>
      <c r="DT6" s="344"/>
      <c r="DU6" s="344"/>
      <c r="DV6" s="344"/>
      <c r="DW6" s="344"/>
    </row>
    <row r="7" ht="15.0" customHeight="1">
      <c r="A7" s="366">
        <v>40424.0</v>
      </c>
      <c r="B7" s="367" t="s">
        <v>1237</v>
      </c>
      <c r="C7" s="367" t="s">
        <v>346</v>
      </c>
      <c r="D7" s="358">
        <v>187.5</v>
      </c>
      <c r="E7" s="345">
        <f>IFERROR(__xludf.DUMMYFUNCTION("if(and(D7&lt;&gt;0,D7&lt;&gt;""""),D7/GOOGLEFINANCE(C7,""price"")-1,"""")"),-0.23959769648795526)</f>
        <v>-0.2395976965</v>
      </c>
      <c r="F7" s="364">
        <f>IFERROR(__xludf.DUMMYFUNCTION("GOOGLEFINANCE(C7,""price"")"),246.58)</f>
        <v>246.58</v>
      </c>
      <c r="G7" s="345">
        <f t="shared" si="6"/>
        <v>0.213633279</v>
      </c>
      <c r="H7" s="347"/>
      <c r="I7" s="368">
        <f>N7*($I$1+iferror(sqrt((O7*100)*(P7-1/$I$1)*100),-sqrt((O7*100)*-1*(P7-1/$I$1)*100))*(R7/4)^0.2)</f>
        <v>299.2576939</v>
      </c>
      <c r="J7" s="369">
        <v>11.6</v>
      </c>
      <c r="K7" s="369">
        <v>12.76</v>
      </c>
      <c r="L7" s="360">
        <v>43738.0</v>
      </c>
      <c r="M7" s="351">
        <f t="shared" si="7"/>
        <v>-0.07216636612</v>
      </c>
      <c r="N7" s="349">
        <f t="shared" si="8"/>
        <v>12.84371298</v>
      </c>
      <c r="O7" s="361">
        <v>0.04</v>
      </c>
      <c r="P7" s="370">
        <v>0.225</v>
      </c>
      <c r="Q7" s="371">
        <f>I7/N7</f>
        <v>23.29993626</v>
      </c>
      <c r="R7" s="355">
        <v>6.0</v>
      </c>
      <c r="S7" s="360">
        <v>43722.0</v>
      </c>
      <c r="T7" s="365" t="s">
        <v>1240</v>
      </c>
      <c r="U7" s="363" t="s">
        <v>1241</v>
      </c>
      <c r="V7" s="358"/>
      <c r="W7" s="358"/>
      <c r="X7" s="358"/>
      <c r="Y7" s="358"/>
      <c r="Z7" s="358"/>
      <c r="AA7" s="358"/>
      <c r="AB7" s="358"/>
      <c r="AC7" s="358"/>
      <c r="AD7" s="358"/>
      <c r="AE7" s="358"/>
      <c r="AF7" s="358"/>
      <c r="AG7" s="358"/>
      <c r="AH7" s="358"/>
      <c r="AI7" s="358"/>
      <c r="AJ7" s="358"/>
      <c r="AK7" s="358"/>
      <c r="AL7" s="358"/>
      <c r="AM7" s="358"/>
      <c r="AN7" s="358"/>
      <c r="AO7" s="358"/>
      <c r="AP7" s="358"/>
      <c r="AQ7" s="358"/>
      <c r="AR7" s="358"/>
      <c r="AS7" s="358"/>
      <c r="AT7" s="358"/>
      <c r="AU7" s="358"/>
      <c r="AV7" s="358"/>
      <c r="AW7" s="358"/>
      <c r="AX7" s="358"/>
      <c r="AY7" s="358"/>
      <c r="AZ7" s="358"/>
      <c r="BA7" s="358"/>
      <c r="BB7" s="358"/>
      <c r="BC7" s="358"/>
      <c r="BD7" s="358"/>
      <c r="BE7" s="358"/>
      <c r="BF7" s="358"/>
      <c r="BG7" s="358"/>
      <c r="BH7" s="358"/>
      <c r="BI7" s="358"/>
      <c r="BJ7" s="358"/>
      <c r="BK7" s="358"/>
      <c r="BL7" s="358"/>
      <c r="BM7" s="358"/>
      <c r="BN7" s="358"/>
      <c r="BO7" s="358"/>
      <c r="BP7" s="358"/>
      <c r="BQ7" s="358"/>
      <c r="BR7" s="358"/>
      <c r="BS7" s="358"/>
      <c r="BT7" s="358"/>
      <c r="BU7" s="358"/>
      <c r="BV7" s="358"/>
      <c r="BW7" s="358"/>
      <c r="BX7" s="358"/>
      <c r="BY7" s="358"/>
      <c r="BZ7" s="358"/>
      <c r="CA7" s="358"/>
      <c r="CB7" s="358"/>
      <c r="CC7" s="358"/>
      <c r="CD7" s="358"/>
      <c r="CE7" s="358"/>
      <c r="CF7" s="358"/>
      <c r="CG7" s="358"/>
      <c r="CH7" s="358"/>
      <c r="CI7" s="358"/>
      <c r="CJ7" s="358"/>
      <c r="CK7" s="358"/>
      <c r="CL7" s="358"/>
      <c r="CM7" s="358"/>
      <c r="CN7" s="358"/>
      <c r="CO7" s="358"/>
      <c r="CP7" s="358"/>
      <c r="CQ7" s="358"/>
      <c r="CR7" s="358"/>
      <c r="CS7" s="358"/>
      <c r="CT7" s="358"/>
      <c r="CU7" s="358"/>
      <c r="CV7" s="358"/>
      <c r="CW7" s="358"/>
      <c r="CX7" s="358"/>
      <c r="CY7" s="358"/>
      <c r="CZ7" s="358"/>
      <c r="DA7" s="358"/>
      <c r="DB7" s="358"/>
      <c r="DC7" s="358"/>
      <c r="DD7" s="358"/>
      <c r="DE7" s="358"/>
      <c r="DF7" s="358"/>
      <c r="DG7" s="358"/>
      <c r="DH7" s="358"/>
      <c r="DI7" s="358"/>
      <c r="DJ7" s="358"/>
      <c r="DK7" s="358"/>
      <c r="DL7" s="358"/>
      <c r="DM7" s="358"/>
      <c r="DN7" s="358"/>
      <c r="DO7" s="358"/>
      <c r="DP7" s="358"/>
      <c r="DQ7" s="358"/>
      <c r="DR7" s="358"/>
      <c r="DS7" s="358"/>
      <c r="DT7" s="358"/>
      <c r="DU7" s="358"/>
      <c r="DV7" s="358"/>
      <c r="DW7" s="358"/>
    </row>
    <row r="8" ht="15.0" customHeight="1">
      <c r="A8" s="372">
        <v>42978.0</v>
      </c>
      <c r="B8" s="320" t="s">
        <v>1243</v>
      </c>
      <c r="C8" s="320" t="s">
        <v>911</v>
      </c>
      <c r="D8" s="373">
        <v>70.0</v>
      </c>
      <c r="E8" s="374">
        <f>IFERROR(__xludf.DUMMYFUNCTION("if(and(D8&lt;&gt;0,D8&lt;&gt;""""),D8/GOOGLEFINANCE(C8,""price"")-1,"""")"),-0.08532601594146083)</f>
        <v>-0.08532601594</v>
      </c>
      <c r="F8" s="375">
        <f>IFERROR(__xludf.DUMMYFUNCTION("GOOGLEFINANCE(C8,""price"")"),76.53)</f>
        <v>76.53</v>
      </c>
      <c r="G8" s="374">
        <f t="shared" si="6"/>
        <v>0.09019584931</v>
      </c>
      <c r="H8" s="376"/>
      <c r="I8" s="348">
        <f t="shared" ref="I8:I9" si="9">N8*($I$1+O8*100)</f>
        <v>83.43268835</v>
      </c>
      <c r="J8" s="377">
        <f>7.95/2</f>
        <v>3.975</v>
      </c>
      <c r="K8" s="377">
        <f>8.76/2</f>
        <v>4.38</v>
      </c>
      <c r="L8" s="378">
        <v>43465.0</v>
      </c>
      <c r="M8" s="379">
        <f t="shared" si="7"/>
        <v>-0.820111578</v>
      </c>
      <c r="N8" s="380">
        <f t="shared" si="8"/>
        <v>4.712145189</v>
      </c>
      <c r="O8" s="370">
        <v>0.03</v>
      </c>
      <c r="P8" s="370"/>
      <c r="Q8" s="371"/>
      <c r="R8" s="378"/>
      <c r="S8" s="378">
        <v>43489.0</v>
      </c>
      <c r="T8" s="381" t="s">
        <v>1223</v>
      </c>
      <c r="U8" s="382" t="s">
        <v>1246</v>
      </c>
      <c r="V8" s="358"/>
      <c r="W8" s="358"/>
      <c r="X8" s="358"/>
      <c r="Y8" s="358"/>
      <c r="Z8" s="358"/>
      <c r="AA8" s="358"/>
      <c r="AB8" s="358"/>
      <c r="AC8" s="358"/>
      <c r="AD8" s="358"/>
      <c r="AE8" s="358"/>
      <c r="AF8" s="358"/>
      <c r="AG8" s="358"/>
      <c r="AH8" s="358"/>
      <c r="AI8" s="358"/>
      <c r="AJ8" s="358"/>
      <c r="AK8" s="358"/>
      <c r="AL8" s="358"/>
      <c r="AM8" s="358"/>
      <c r="AN8" s="358"/>
      <c r="AO8" s="358"/>
      <c r="AP8" s="358"/>
      <c r="AQ8" s="358"/>
      <c r="AR8" s="358"/>
      <c r="AS8" s="358"/>
      <c r="AT8" s="358"/>
      <c r="AU8" s="358"/>
      <c r="AV8" s="358"/>
      <c r="AW8" s="358"/>
      <c r="AX8" s="358"/>
      <c r="AY8" s="358"/>
      <c r="AZ8" s="358"/>
      <c r="BA8" s="358"/>
      <c r="BB8" s="358"/>
      <c r="BC8" s="358"/>
      <c r="BD8" s="358"/>
      <c r="BE8" s="358"/>
      <c r="BF8" s="358"/>
      <c r="BG8" s="358"/>
      <c r="BH8" s="358"/>
      <c r="BI8" s="358"/>
      <c r="BJ8" s="358"/>
      <c r="BK8" s="358"/>
      <c r="BL8" s="358"/>
      <c r="BM8" s="358"/>
      <c r="BN8" s="358"/>
      <c r="BO8" s="358"/>
      <c r="BP8" s="358"/>
      <c r="BQ8" s="358"/>
      <c r="BR8" s="358"/>
      <c r="BS8" s="358"/>
      <c r="BT8" s="358"/>
      <c r="BU8" s="358"/>
      <c r="BV8" s="358"/>
      <c r="BW8" s="358"/>
      <c r="BX8" s="358"/>
      <c r="BY8" s="358"/>
      <c r="BZ8" s="358"/>
      <c r="CA8" s="358"/>
      <c r="CB8" s="358"/>
      <c r="CC8" s="358"/>
      <c r="CD8" s="358"/>
      <c r="CE8" s="358"/>
      <c r="CF8" s="358"/>
      <c r="CG8" s="358"/>
      <c r="CH8" s="358"/>
      <c r="CI8" s="358"/>
      <c r="CJ8" s="358"/>
      <c r="CK8" s="358"/>
      <c r="CL8" s="358"/>
      <c r="CM8" s="358"/>
      <c r="CN8" s="358"/>
      <c r="CO8" s="358"/>
      <c r="CP8" s="358"/>
      <c r="CQ8" s="358"/>
      <c r="CR8" s="358"/>
      <c r="CS8" s="358"/>
      <c r="CT8" s="358"/>
      <c r="CU8" s="358"/>
      <c r="CV8" s="358"/>
      <c r="CW8" s="358"/>
      <c r="CX8" s="358"/>
      <c r="CY8" s="358"/>
      <c r="CZ8" s="358"/>
      <c r="DA8" s="358"/>
      <c r="DB8" s="358"/>
      <c r="DC8" s="358"/>
      <c r="DD8" s="358"/>
      <c r="DE8" s="358"/>
      <c r="DF8" s="358"/>
      <c r="DG8" s="358"/>
      <c r="DH8" s="358"/>
      <c r="DI8" s="358"/>
      <c r="DJ8" s="358"/>
      <c r="DK8" s="358"/>
      <c r="DL8" s="358"/>
      <c r="DM8" s="358"/>
      <c r="DN8" s="358"/>
      <c r="DO8" s="358"/>
      <c r="DP8" s="358"/>
      <c r="DQ8" s="358"/>
      <c r="DR8" s="358"/>
      <c r="DS8" s="358"/>
      <c r="DT8" s="358"/>
      <c r="DU8" s="358"/>
      <c r="DV8" s="358"/>
      <c r="DW8" s="358"/>
    </row>
    <row r="9" ht="15.0" customHeight="1">
      <c r="A9" s="383">
        <v>40113.0</v>
      </c>
      <c r="B9" s="320" t="s">
        <v>1248</v>
      </c>
      <c r="C9" s="320" t="s">
        <v>1249</v>
      </c>
      <c r="D9" s="384">
        <v>80.0</v>
      </c>
      <c r="E9" s="374">
        <f>IFERROR(__xludf.DUMMYFUNCTION("if(and(D9&lt;&gt;0,D9&lt;&gt;""""),D9/GOOGLEFINANCE(C9,""price"")-1,"""")"),-0.07834101382488479)</f>
        <v>-0.07834101382</v>
      </c>
      <c r="F9" s="375">
        <f>IFERROR(__xludf.DUMMYFUNCTION("GOOGLEFINANCE(C9,""price"")"),86.8)</f>
        <v>86.8</v>
      </c>
      <c r="G9" s="374">
        <f t="shared" si="6"/>
        <v>0.6028371995</v>
      </c>
      <c r="H9" s="376"/>
      <c r="I9" s="368">
        <f t="shared" si="9"/>
        <v>139.1262689</v>
      </c>
      <c r="J9" s="385">
        <v>6.49</v>
      </c>
      <c r="K9" s="385">
        <v>7.15</v>
      </c>
      <c r="L9" s="378">
        <v>43373.0</v>
      </c>
      <c r="M9" s="379">
        <f t="shared" si="7"/>
        <v>-1.072166372</v>
      </c>
      <c r="N9" s="380">
        <f t="shared" si="8"/>
        <v>7.857629806</v>
      </c>
      <c r="O9" s="370">
        <v>0.03</v>
      </c>
      <c r="P9" s="370"/>
      <c r="Q9" s="371"/>
      <c r="R9" s="378"/>
      <c r="S9" s="378">
        <v>43341.0</v>
      </c>
      <c r="T9" s="381" t="s">
        <v>1223</v>
      </c>
      <c r="U9" s="386" t="s">
        <v>1252</v>
      </c>
      <c r="V9" s="344"/>
      <c r="W9" s="344"/>
      <c r="X9" s="344"/>
      <c r="Y9" s="344"/>
      <c r="Z9" s="344"/>
      <c r="AA9" s="344"/>
      <c r="AB9" s="344"/>
      <c r="AC9" s="344"/>
      <c r="AD9" s="344"/>
      <c r="AE9" s="344"/>
      <c r="AF9" s="344"/>
      <c r="AG9" s="344"/>
      <c r="AH9" s="344"/>
      <c r="AI9" s="344"/>
      <c r="AJ9" s="344"/>
      <c r="AK9" s="344"/>
      <c r="AL9" s="344"/>
      <c r="AM9" s="344"/>
      <c r="AN9" s="344"/>
      <c r="AO9" s="344"/>
      <c r="AP9" s="344"/>
      <c r="AQ9" s="344"/>
      <c r="AR9" s="344"/>
      <c r="AS9" s="344"/>
      <c r="AT9" s="344"/>
      <c r="AU9" s="344"/>
      <c r="AV9" s="344"/>
      <c r="AW9" s="344"/>
      <c r="AX9" s="344"/>
      <c r="AY9" s="344"/>
      <c r="AZ9" s="344"/>
      <c r="BA9" s="344"/>
      <c r="BB9" s="344"/>
      <c r="BC9" s="344"/>
      <c r="BD9" s="344"/>
      <c r="BE9" s="344"/>
      <c r="BF9" s="344"/>
      <c r="BG9" s="344"/>
      <c r="BH9" s="344"/>
      <c r="BI9" s="344"/>
      <c r="BJ9" s="344"/>
      <c r="BK9" s="344"/>
      <c r="BL9" s="344"/>
      <c r="BM9" s="344"/>
      <c r="BN9" s="344"/>
      <c r="BO9" s="344"/>
      <c r="BP9" s="344"/>
      <c r="BQ9" s="344"/>
      <c r="BR9" s="344"/>
      <c r="BS9" s="344"/>
      <c r="BT9" s="344"/>
      <c r="BU9" s="344"/>
      <c r="BV9" s="344"/>
      <c r="BW9" s="344"/>
      <c r="BX9" s="344"/>
      <c r="BY9" s="344"/>
      <c r="BZ9" s="344"/>
      <c r="CA9" s="344"/>
      <c r="CB9" s="344"/>
      <c r="CC9" s="344"/>
      <c r="CD9" s="344"/>
      <c r="CE9" s="344"/>
      <c r="CF9" s="344"/>
      <c r="CG9" s="344"/>
      <c r="CH9" s="344"/>
      <c r="CI9" s="344"/>
      <c r="CJ9" s="344"/>
      <c r="CK9" s="344"/>
      <c r="CL9" s="344"/>
      <c r="CM9" s="344"/>
      <c r="CN9" s="344"/>
      <c r="CO9" s="344"/>
      <c r="CP9" s="344"/>
      <c r="CQ9" s="344"/>
      <c r="CR9" s="344"/>
      <c r="CS9" s="344"/>
      <c r="CT9" s="344"/>
      <c r="CU9" s="344"/>
      <c r="CV9" s="344"/>
      <c r="CW9" s="344"/>
      <c r="CX9" s="344"/>
      <c r="CY9" s="344"/>
      <c r="CZ9" s="344"/>
      <c r="DA9" s="344"/>
      <c r="DB9" s="344"/>
      <c r="DC9" s="344"/>
      <c r="DD9" s="344"/>
      <c r="DE9" s="344"/>
      <c r="DF9" s="344"/>
      <c r="DG9" s="344"/>
      <c r="DH9" s="344"/>
      <c r="DI9" s="344"/>
      <c r="DJ9" s="344"/>
      <c r="DK9" s="344"/>
      <c r="DL9" s="344"/>
      <c r="DM9" s="344"/>
      <c r="DN9" s="344"/>
      <c r="DO9" s="344"/>
      <c r="DP9" s="344"/>
      <c r="DQ9" s="344"/>
      <c r="DR9" s="344"/>
      <c r="DS9" s="344"/>
      <c r="DT9" s="344"/>
      <c r="DU9" s="344"/>
      <c r="DV9" s="344"/>
      <c r="DW9" s="344"/>
    </row>
    <row r="10" ht="15.0" customHeight="1">
      <c r="A10" s="383">
        <v>41920.0</v>
      </c>
      <c r="B10" s="320" t="s">
        <v>1254</v>
      </c>
      <c r="C10" s="320" t="s">
        <v>1255</v>
      </c>
      <c r="D10" s="384">
        <v>60.0</v>
      </c>
      <c r="E10" s="374">
        <f>IFERROR(__xludf.DUMMYFUNCTION("if(and(D10&lt;&gt;0,D10&lt;&gt;""""),D10/GOOGLEFINANCE(C10,""price"")-1,"""")"),-0.41707956863888085)</f>
        <v>-0.4170795686</v>
      </c>
      <c r="F10" s="375">
        <f>IFERROR(__xludf.DUMMYFUNCTION("GOOGLEFINANCE(C10,""price"")"),102.93)</f>
        <v>102.93</v>
      </c>
      <c r="G10" s="374">
        <f t="shared" si="6"/>
        <v>0.385096301</v>
      </c>
      <c r="H10" s="376"/>
      <c r="I10" s="376">
        <f t="shared" ref="I10:I11" si="10">(N10*($I$1+O10*100))</f>
        <v>142.5679623</v>
      </c>
      <c r="J10" s="377">
        <v>7.87</v>
      </c>
      <c r="K10" s="377">
        <v>7.97</v>
      </c>
      <c r="L10" s="378">
        <v>43465.0</v>
      </c>
      <c r="M10" s="379">
        <f t="shared" si="7"/>
        <v>-0.820111578</v>
      </c>
      <c r="N10" s="380">
        <f t="shared" si="8"/>
        <v>8.052011158</v>
      </c>
      <c r="O10" s="370">
        <v>0.03</v>
      </c>
      <c r="P10" s="370"/>
      <c r="Q10" s="371"/>
      <c r="R10" s="378"/>
      <c r="S10" s="378">
        <v>43377.0</v>
      </c>
      <c r="T10" s="387"/>
      <c r="U10" s="386" t="s">
        <v>1257</v>
      </c>
      <c r="V10" s="344"/>
      <c r="W10" s="344"/>
      <c r="X10" s="344"/>
      <c r="Y10" s="344"/>
      <c r="Z10" s="344"/>
      <c r="AA10" s="344"/>
      <c r="AB10" s="344"/>
      <c r="AC10" s="344"/>
      <c r="AD10" s="344"/>
      <c r="AE10" s="344"/>
      <c r="AF10" s="344"/>
      <c r="AG10" s="344"/>
      <c r="AH10" s="344"/>
      <c r="AI10" s="344"/>
      <c r="AJ10" s="344"/>
      <c r="AK10" s="344"/>
      <c r="AL10" s="344"/>
      <c r="AM10" s="344"/>
      <c r="AN10" s="344"/>
      <c r="AO10" s="344"/>
      <c r="AP10" s="344"/>
      <c r="AQ10" s="344"/>
      <c r="AR10" s="344"/>
      <c r="AS10" s="344"/>
      <c r="AT10" s="344"/>
      <c r="AU10" s="344"/>
      <c r="AV10" s="344"/>
      <c r="AW10" s="344"/>
      <c r="AX10" s="344"/>
      <c r="AY10" s="344"/>
      <c r="AZ10" s="344"/>
      <c r="BA10" s="344"/>
      <c r="BB10" s="344"/>
      <c r="BC10" s="344"/>
      <c r="BD10" s="344"/>
      <c r="BE10" s="344"/>
      <c r="BF10" s="344"/>
      <c r="BG10" s="344"/>
      <c r="BH10" s="344"/>
      <c r="BI10" s="344"/>
      <c r="BJ10" s="344"/>
      <c r="BK10" s="344"/>
      <c r="BL10" s="344"/>
      <c r="BM10" s="344"/>
      <c r="BN10" s="344"/>
      <c r="BO10" s="344"/>
      <c r="BP10" s="344"/>
      <c r="BQ10" s="344"/>
      <c r="BR10" s="344"/>
      <c r="BS10" s="344"/>
      <c r="BT10" s="344"/>
      <c r="BU10" s="344"/>
      <c r="BV10" s="344"/>
      <c r="BW10" s="344"/>
      <c r="BX10" s="344"/>
      <c r="BY10" s="344"/>
      <c r="BZ10" s="344"/>
      <c r="CA10" s="344"/>
      <c r="CB10" s="344"/>
      <c r="CC10" s="344"/>
      <c r="CD10" s="344"/>
      <c r="CE10" s="344"/>
      <c r="CF10" s="344"/>
      <c r="CG10" s="344"/>
      <c r="CH10" s="344"/>
      <c r="CI10" s="344"/>
      <c r="CJ10" s="344"/>
      <c r="CK10" s="344"/>
      <c r="CL10" s="344"/>
      <c r="CM10" s="344"/>
      <c r="CN10" s="344"/>
      <c r="CO10" s="344"/>
      <c r="CP10" s="344"/>
      <c r="CQ10" s="344"/>
      <c r="CR10" s="344"/>
      <c r="CS10" s="344"/>
      <c r="CT10" s="344"/>
      <c r="CU10" s="344"/>
      <c r="CV10" s="344"/>
      <c r="CW10" s="344"/>
      <c r="CX10" s="344"/>
      <c r="CY10" s="344"/>
      <c r="CZ10" s="344"/>
      <c r="DA10" s="344"/>
      <c r="DB10" s="344"/>
      <c r="DC10" s="344"/>
      <c r="DD10" s="344"/>
      <c r="DE10" s="344"/>
      <c r="DF10" s="344"/>
      <c r="DG10" s="344"/>
      <c r="DH10" s="344"/>
      <c r="DI10" s="344"/>
      <c r="DJ10" s="344"/>
      <c r="DK10" s="344"/>
      <c r="DL10" s="344"/>
      <c r="DM10" s="344"/>
      <c r="DN10" s="344"/>
      <c r="DO10" s="344"/>
      <c r="DP10" s="344"/>
      <c r="DQ10" s="344"/>
      <c r="DR10" s="344"/>
      <c r="DS10" s="344"/>
      <c r="DT10" s="344"/>
      <c r="DU10" s="344"/>
      <c r="DV10" s="344"/>
      <c r="DW10" s="344"/>
    </row>
    <row r="11" ht="15.0" customHeight="1">
      <c r="A11" s="388">
        <v>43482.0</v>
      </c>
      <c r="B11" s="373" t="s">
        <v>1258</v>
      </c>
      <c r="C11" s="373" t="s">
        <v>1229</v>
      </c>
      <c r="D11" s="373">
        <v>65.0</v>
      </c>
      <c r="E11" s="374">
        <f>IFERROR(__xludf.DUMMYFUNCTION("if(and(D11&lt;&gt;0,D11&lt;&gt;""""),D11/GOOGLEFINANCE(C11,""price"")-1,"""")"),-0.203919167176975)</f>
        <v>-0.2039191672</v>
      </c>
      <c r="F11" s="375">
        <f>IFERROR(__xludf.DUMMYFUNCTION("GOOGLEFINANCE(C11,""price"")"),81.65)</f>
        <v>81.65</v>
      </c>
      <c r="G11" s="374">
        <f t="shared" si="6"/>
        <v>0.07109562046</v>
      </c>
      <c r="H11" s="376"/>
      <c r="I11" s="376">
        <f t="shared" si="10"/>
        <v>87.45495741</v>
      </c>
      <c r="J11" s="377">
        <v>3.22</v>
      </c>
      <c r="K11" s="377">
        <v>3.61</v>
      </c>
      <c r="L11" s="378">
        <v>43830.0</v>
      </c>
      <c r="M11" s="379">
        <f t="shared" si="7"/>
        <v>0.1798884251</v>
      </c>
      <c r="N11" s="380">
        <f t="shared" si="8"/>
        <v>3.539843514</v>
      </c>
      <c r="O11" s="370">
        <v>0.1</v>
      </c>
      <c r="P11" s="370"/>
      <c r="Q11" s="371"/>
      <c r="R11" s="378"/>
      <c r="S11" s="378">
        <v>43580.0</v>
      </c>
      <c r="T11" s="381" t="s">
        <v>1223</v>
      </c>
      <c r="U11" s="382" t="s">
        <v>1260</v>
      </c>
      <c r="V11" s="358"/>
      <c r="W11" s="358"/>
      <c r="X11" s="358"/>
      <c r="Y11" s="358"/>
      <c r="Z11" s="358"/>
      <c r="AA11" s="358"/>
      <c r="AB11" s="358"/>
      <c r="AC11" s="358"/>
      <c r="AD11" s="358"/>
      <c r="AE11" s="358"/>
      <c r="AF11" s="358"/>
      <c r="AG11" s="358"/>
      <c r="AH11" s="358"/>
      <c r="AI11" s="358"/>
      <c r="AJ11" s="358"/>
      <c r="AK11" s="358"/>
      <c r="AL11" s="358"/>
      <c r="AM11" s="358"/>
      <c r="AN11" s="358"/>
      <c r="AO11" s="358"/>
      <c r="AP11" s="358"/>
      <c r="AQ11" s="358"/>
      <c r="AR11" s="358"/>
      <c r="AS11" s="358"/>
      <c r="AT11" s="358"/>
      <c r="AU11" s="358"/>
      <c r="AV11" s="358"/>
      <c r="AW11" s="358"/>
      <c r="AX11" s="358"/>
      <c r="AY11" s="358"/>
      <c r="AZ11" s="358"/>
      <c r="BA11" s="358"/>
      <c r="BB11" s="358"/>
      <c r="BC11" s="358"/>
      <c r="BD11" s="358"/>
      <c r="BE11" s="358"/>
      <c r="BF11" s="358"/>
      <c r="BG11" s="358"/>
      <c r="BH11" s="358"/>
      <c r="BI11" s="358"/>
      <c r="BJ11" s="358"/>
      <c r="BK11" s="358"/>
      <c r="BL11" s="358"/>
      <c r="BM11" s="358"/>
      <c r="BN11" s="358"/>
      <c r="BO11" s="358"/>
      <c r="BP11" s="358"/>
      <c r="BQ11" s="358"/>
      <c r="BR11" s="358"/>
      <c r="BS11" s="358"/>
      <c r="BT11" s="358"/>
      <c r="BU11" s="358"/>
      <c r="BV11" s="358"/>
      <c r="BW11" s="358"/>
      <c r="BX11" s="358"/>
      <c r="BY11" s="358"/>
      <c r="BZ11" s="358"/>
      <c r="CA11" s="358"/>
      <c r="CB11" s="358"/>
      <c r="CC11" s="358"/>
      <c r="CD11" s="358"/>
      <c r="CE11" s="358"/>
      <c r="CF11" s="358"/>
      <c r="CG11" s="358"/>
      <c r="CH11" s="358"/>
      <c r="CI11" s="358"/>
      <c r="CJ11" s="358"/>
      <c r="CK11" s="358"/>
      <c r="CL11" s="358"/>
      <c r="CM11" s="358"/>
      <c r="CN11" s="358"/>
      <c r="CO11" s="358"/>
      <c r="CP11" s="358"/>
      <c r="CQ11" s="358"/>
      <c r="CR11" s="358"/>
      <c r="CS11" s="358"/>
      <c r="CT11" s="358"/>
      <c r="CU11" s="358"/>
      <c r="CV11" s="358"/>
      <c r="CW11" s="358"/>
      <c r="CX11" s="358"/>
      <c r="CY11" s="358"/>
      <c r="CZ11" s="358"/>
      <c r="DA11" s="358"/>
      <c r="DB11" s="358"/>
      <c r="DC11" s="358"/>
      <c r="DD11" s="358"/>
      <c r="DE11" s="358"/>
      <c r="DF11" s="358"/>
      <c r="DG11" s="358"/>
      <c r="DH11" s="358"/>
      <c r="DI11" s="358"/>
      <c r="DJ11" s="358"/>
      <c r="DK11" s="358"/>
      <c r="DL11" s="358"/>
      <c r="DM11" s="358"/>
      <c r="DN11" s="358"/>
      <c r="DO11" s="358"/>
      <c r="DP11" s="358"/>
      <c r="DQ11" s="358"/>
      <c r="DR11" s="358"/>
      <c r="DS11" s="358"/>
      <c r="DT11" s="358"/>
      <c r="DU11" s="358"/>
      <c r="DV11" s="358"/>
      <c r="DW11" s="358"/>
    </row>
    <row r="12" ht="15.0" customHeight="1">
      <c r="A12" s="372">
        <v>42473.0</v>
      </c>
      <c r="B12" s="384" t="s">
        <v>1261</v>
      </c>
      <c r="C12" s="384" t="s">
        <v>1262</v>
      </c>
      <c r="D12" s="384"/>
      <c r="E12" s="374" t="str">
        <f>IFERROR(__xludf.DUMMYFUNCTION("if(and(D12&lt;&gt;0,D12&lt;&gt;""""),D12/GOOGLEFINANCE(C12,""price"")-1,"""")"),"")</f>
        <v/>
      </c>
      <c r="F12" s="375">
        <f>IFERROR(__xludf.DUMMYFUNCTION("GOOGLEFINANCE(C12,""price"")"),39.95)</f>
        <v>39.95</v>
      </c>
      <c r="G12" s="374">
        <f t="shared" si="6"/>
        <v>0.001251564456</v>
      </c>
      <c r="H12" s="376"/>
      <c r="I12" s="348">
        <v>40.0</v>
      </c>
      <c r="J12" s="380"/>
      <c r="K12" s="380"/>
      <c r="L12" s="389"/>
      <c r="M12" s="379">
        <f t="shared" si="7"/>
        <v>-119.9023034</v>
      </c>
      <c r="N12" s="380">
        <f t="shared" si="8"/>
        <v>0</v>
      </c>
      <c r="O12" s="389"/>
      <c r="P12" s="390"/>
      <c r="Q12" s="391"/>
      <c r="R12" s="387"/>
      <c r="S12" s="387"/>
      <c r="T12" s="387"/>
      <c r="U12" s="386" t="s">
        <v>1265</v>
      </c>
      <c r="V12" s="344"/>
      <c r="W12" s="344"/>
      <c r="X12" s="344"/>
      <c r="Y12" s="344"/>
      <c r="Z12" s="344"/>
      <c r="AA12" s="344"/>
      <c r="AB12" s="344"/>
      <c r="AC12" s="344"/>
      <c r="AD12" s="344"/>
      <c r="AE12" s="344"/>
      <c r="AF12" s="344"/>
      <c r="AG12" s="344"/>
      <c r="AH12" s="344"/>
      <c r="AI12" s="344"/>
      <c r="AJ12" s="344"/>
      <c r="AK12" s="344"/>
      <c r="AL12" s="344"/>
      <c r="AM12" s="344"/>
      <c r="AN12" s="344"/>
      <c r="AO12" s="344"/>
      <c r="AP12" s="344"/>
      <c r="AQ12" s="344"/>
      <c r="AR12" s="344"/>
      <c r="AS12" s="344"/>
      <c r="AT12" s="344"/>
      <c r="AU12" s="344"/>
      <c r="AV12" s="344"/>
      <c r="AW12" s="344"/>
      <c r="AX12" s="344"/>
      <c r="AY12" s="344"/>
      <c r="AZ12" s="344"/>
      <c r="BA12" s="344"/>
      <c r="BB12" s="344"/>
      <c r="BC12" s="344"/>
      <c r="BD12" s="344"/>
      <c r="BE12" s="344"/>
      <c r="BF12" s="344"/>
      <c r="BG12" s="344"/>
      <c r="BH12" s="344"/>
      <c r="BI12" s="344"/>
      <c r="BJ12" s="344"/>
      <c r="BK12" s="344"/>
      <c r="BL12" s="344"/>
      <c r="BM12" s="344"/>
      <c r="BN12" s="344"/>
      <c r="BO12" s="344"/>
      <c r="BP12" s="344"/>
      <c r="BQ12" s="344"/>
      <c r="BR12" s="344"/>
      <c r="BS12" s="344"/>
      <c r="BT12" s="344"/>
      <c r="BU12" s="344"/>
      <c r="BV12" s="344"/>
      <c r="BW12" s="344"/>
      <c r="BX12" s="344"/>
      <c r="BY12" s="344"/>
      <c r="BZ12" s="344"/>
      <c r="CA12" s="344"/>
      <c r="CB12" s="344"/>
      <c r="CC12" s="344"/>
      <c r="CD12" s="344"/>
      <c r="CE12" s="344"/>
      <c r="CF12" s="344"/>
      <c r="CG12" s="344"/>
      <c r="CH12" s="344"/>
      <c r="CI12" s="344"/>
      <c r="CJ12" s="344"/>
      <c r="CK12" s="344"/>
      <c r="CL12" s="344"/>
      <c r="CM12" s="344"/>
      <c r="CN12" s="344"/>
      <c r="CO12" s="344"/>
      <c r="CP12" s="344"/>
      <c r="CQ12" s="344"/>
      <c r="CR12" s="344"/>
      <c r="CS12" s="344"/>
      <c r="CT12" s="344"/>
      <c r="CU12" s="344"/>
      <c r="CV12" s="344"/>
      <c r="CW12" s="344"/>
      <c r="CX12" s="344"/>
      <c r="CY12" s="344"/>
      <c r="CZ12" s="344"/>
      <c r="DA12" s="344"/>
      <c r="DB12" s="344"/>
      <c r="DC12" s="344"/>
      <c r="DD12" s="344"/>
      <c r="DE12" s="344"/>
      <c r="DF12" s="344"/>
      <c r="DG12" s="344"/>
      <c r="DH12" s="344"/>
      <c r="DI12" s="344"/>
      <c r="DJ12" s="344"/>
      <c r="DK12" s="344"/>
      <c r="DL12" s="344"/>
      <c r="DM12" s="344"/>
      <c r="DN12" s="344"/>
      <c r="DO12" s="344"/>
      <c r="DP12" s="344"/>
      <c r="DQ12" s="344"/>
      <c r="DR12" s="344"/>
      <c r="DS12" s="344"/>
      <c r="DT12" s="344"/>
      <c r="DU12" s="344"/>
      <c r="DV12" s="344"/>
      <c r="DW12" s="344"/>
    </row>
    <row r="13" ht="15.0" customHeight="1">
      <c r="A13" s="372">
        <v>42703.0</v>
      </c>
      <c r="B13" s="384" t="s">
        <v>1266</v>
      </c>
      <c r="C13" s="384" t="s">
        <v>1267</v>
      </c>
      <c r="D13" s="320"/>
      <c r="E13" s="374" t="str">
        <f>IFERROR(__xludf.DUMMYFUNCTION("if(and(D13&lt;&gt;0,D13&lt;&gt;""""),D13/GOOGLEFINANCE(C13,""price"")-1,"""")"),"")</f>
        <v/>
      </c>
      <c r="F13" s="375">
        <f>IFERROR(__xludf.DUMMYFUNCTION("GOOGLEFINANCE(C13,""price"")"),40.8)</f>
        <v>40.8</v>
      </c>
      <c r="G13" s="374">
        <f t="shared" si="6"/>
        <v>-0.1007729163</v>
      </c>
      <c r="H13" s="376"/>
      <c r="I13" s="368">
        <f>(N13)*($I$1+O13*100)</f>
        <v>36.68846501</v>
      </c>
      <c r="J13" s="377">
        <v>2.24</v>
      </c>
      <c r="K13" s="377">
        <v>2.38</v>
      </c>
      <c r="L13" s="378">
        <v>43465.0</v>
      </c>
      <c r="M13" s="379">
        <f t="shared" si="7"/>
        <v>-0.820111578</v>
      </c>
      <c r="N13" s="380">
        <f t="shared" si="8"/>
        <v>2.494815621</v>
      </c>
      <c r="O13" s="370">
        <v>0.0</v>
      </c>
      <c r="P13" s="370"/>
      <c r="Q13" s="371"/>
      <c r="R13" s="378"/>
      <c r="S13" s="378">
        <v>43352.0</v>
      </c>
      <c r="T13" s="381" t="s">
        <v>1223</v>
      </c>
      <c r="U13" s="382" t="s">
        <v>1269</v>
      </c>
      <c r="V13" s="358"/>
      <c r="W13" s="358"/>
      <c r="X13" s="358"/>
      <c r="Y13" s="358"/>
      <c r="Z13" s="358"/>
      <c r="AA13" s="358"/>
      <c r="AB13" s="358"/>
      <c r="AC13" s="358"/>
      <c r="AD13" s="358"/>
      <c r="AE13" s="358"/>
      <c r="AF13" s="358"/>
      <c r="AG13" s="358"/>
      <c r="AH13" s="358"/>
      <c r="AI13" s="358"/>
      <c r="AJ13" s="358"/>
      <c r="AK13" s="358"/>
      <c r="AL13" s="358"/>
      <c r="AM13" s="358"/>
      <c r="AN13" s="358"/>
      <c r="AO13" s="358"/>
      <c r="AP13" s="358"/>
      <c r="AQ13" s="358"/>
      <c r="AR13" s="358"/>
      <c r="AS13" s="358"/>
      <c r="AT13" s="358"/>
      <c r="AU13" s="358"/>
      <c r="AV13" s="358"/>
      <c r="AW13" s="358"/>
      <c r="AX13" s="358"/>
      <c r="AY13" s="358"/>
      <c r="AZ13" s="358"/>
      <c r="BA13" s="358"/>
      <c r="BB13" s="358"/>
      <c r="BC13" s="358"/>
      <c r="BD13" s="358"/>
      <c r="BE13" s="358"/>
      <c r="BF13" s="358"/>
      <c r="BG13" s="358"/>
      <c r="BH13" s="358"/>
      <c r="BI13" s="358"/>
      <c r="BJ13" s="358"/>
      <c r="BK13" s="358"/>
      <c r="BL13" s="358"/>
      <c r="BM13" s="358"/>
      <c r="BN13" s="358"/>
      <c r="BO13" s="358"/>
      <c r="BP13" s="358"/>
      <c r="BQ13" s="358"/>
      <c r="BR13" s="358"/>
      <c r="BS13" s="358"/>
      <c r="BT13" s="358"/>
      <c r="BU13" s="358"/>
      <c r="BV13" s="358"/>
      <c r="BW13" s="358"/>
      <c r="BX13" s="358"/>
      <c r="BY13" s="358"/>
      <c r="BZ13" s="358"/>
      <c r="CA13" s="358"/>
      <c r="CB13" s="358"/>
      <c r="CC13" s="358"/>
      <c r="CD13" s="358"/>
      <c r="CE13" s="358"/>
      <c r="CF13" s="358"/>
      <c r="CG13" s="358"/>
      <c r="CH13" s="358"/>
      <c r="CI13" s="358"/>
      <c r="CJ13" s="358"/>
      <c r="CK13" s="358"/>
      <c r="CL13" s="358"/>
      <c r="CM13" s="358"/>
      <c r="CN13" s="358"/>
      <c r="CO13" s="358"/>
      <c r="CP13" s="358"/>
      <c r="CQ13" s="358"/>
      <c r="CR13" s="358"/>
      <c r="CS13" s="358"/>
      <c r="CT13" s="358"/>
      <c r="CU13" s="358"/>
      <c r="CV13" s="358"/>
      <c r="CW13" s="358"/>
      <c r="CX13" s="358"/>
      <c r="CY13" s="358"/>
      <c r="CZ13" s="358"/>
      <c r="DA13" s="358"/>
      <c r="DB13" s="358"/>
      <c r="DC13" s="358"/>
      <c r="DD13" s="358"/>
      <c r="DE13" s="358"/>
      <c r="DF13" s="358"/>
      <c r="DG13" s="358"/>
      <c r="DH13" s="358"/>
      <c r="DI13" s="358"/>
      <c r="DJ13" s="358"/>
      <c r="DK13" s="358"/>
      <c r="DL13" s="358"/>
      <c r="DM13" s="358"/>
      <c r="DN13" s="358"/>
      <c r="DO13" s="358"/>
      <c r="DP13" s="358"/>
      <c r="DQ13" s="358"/>
      <c r="DR13" s="358"/>
      <c r="DS13" s="358"/>
      <c r="DT13" s="358"/>
      <c r="DU13" s="358"/>
      <c r="DV13" s="358"/>
      <c r="DW13" s="358"/>
    </row>
    <row r="14" ht="15.0" customHeight="1">
      <c r="A14" s="383">
        <v>40936.0</v>
      </c>
      <c r="B14" s="320" t="s">
        <v>1270</v>
      </c>
      <c r="C14" s="320" t="s">
        <v>1271</v>
      </c>
      <c r="D14" s="373">
        <v>150.0</v>
      </c>
      <c r="E14" s="374">
        <f>IFERROR(__xludf.DUMMYFUNCTION("if(and(D14&lt;&gt;0,D14&lt;&gt;""""),D14/GOOGLEFINANCE(C14,""price"")-1,"""")"),-0.1806412847544655)</f>
        <v>-0.1806412848</v>
      </c>
      <c r="F14" s="375">
        <f>IFERROR(__xludf.DUMMYFUNCTION("GOOGLEFINANCE(C14,""price"")"),183.07)</f>
        <v>183.07</v>
      </c>
      <c r="G14" s="374">
        <f t="shared" si="6"/>
        <v>-0.03299785491</v>
      </c>
      <c r="H14" s="376"/>
      <c r="I14" s="368">
        <f>sum(CY14:DS14)</f>
        <v>177.0290827</v>
      </c>
      <c r="J14" s="377">
        <v>7.33</v>
      </c>
      <c r="K14" s="377">
        <v>7.99</v>
      </c>
      <c r="L14" s="378">
        <v>43708.0</v>
      </c>
      <c r="M14" s="379">
        <f t="shared" si="7"/>
        <v>-0.1543581509</v>
      </c>
      <c r="N14" s="380">
        <f t="shared" si="8"/>
        <v>8.09187638</v>
      </c>
      <c r="O14" s="370">
        <v>0.05</v>
      </c>
      <c r="P14" s="370">
        <v>0.35</v>
      </c>
      <c r="Q14" s="371">
        <f>I14/N14</f>
        <v>21.87738349</v>
      </c>
      <c r="R14" s="381">
        <v>8.0</v>
      </c>
      <c r="S14" s="378">
        <v>43702.0</v>
      </c>
      <c r="T14" s="381" t="s">
        <v>1223</v>
      </c>
      <c r="U14" s="382" t="s">
        <v>1272</v>
      </c>
      <c r="V14" s="392">
        <f>O14</f>
        <v>0.05</v>
      </c>
      <c r="W14" s="392">
        <f>max(min(Valu!$C$15,$O14),$O14-max($O14-Valu!$C$15,0)/$R14*(W$3-1))</f>
        <v>0.0475</v>
      </c>
      <c r="X14" s="392">
        <f>max(min(Valu!$C$15,$O14),$O14-max($O14-Valu!$C$15,0)/$R14*(X$3-1))</f>
        <v>0.045</v>
      </c>
      <c r="Y14" s="392">
        <f>max(min(Valu!$C$15,$O14),$O14-max($O14-Valu!$C$15,0)/$R14*(Y$3-1))</f>
        <v>0.0425</v>
      </c>
      <c r="Z14" s="392">
        <f>max(min(Valu!$C$15,$O14),$O14-max($O14-Valu!$C$15,0)/$R14*(Z$3-1))</f>
        <v>0.04</v>
      </c>
      <c r="AA14" s="392">
        <f>max(min(Valu!$C$15,$O14),$O14-max($O14-Valu!$C$15,0)/$R14*(AA$3-1))</f>
        <v>0.0375</v>
      </c>
      <c r="AB14" s="392">
        <f>max(min(Valu!$C$15,$O14),$O14-max($O14-Valu!$C$15,0)/$R14*(AB$3-1))</f>
        <v>0.035</v>
      </c>
      <c r="AC14" s="392">
        <f>max(min(Valu!$C$15,$O14),$O14-max($O14-Valu!$C$15,0)/$R14*(AC$3-1))</f>
        <v>0.0325</v>
      </c>
      <c r="AD14" s="392">
        <f>max(min(Valu!$C$15,$O14),$O14-max($O14-Valu!$C$15,0)/$R14*(AD$3-1))</f>
        <v>0.03</v>
      </c>
      <c r="AE14" s="392">
        <f>max(min(Valu!$C$15,$O14),$O14-max($O14-Valu!$C$15,0)/$R14*(AE$3-1))</f>
        <v>0.03</v>
      </c>
      <c r="AF14" s="392">
        <f>max(min(Valu!$C$15,$O14),$O14-max($O14-Valu!$C$15,0)/$R14*(AF$3-1))</f>
        <v>0.03</v>
      </c>
      <c r="AG14" s="392">
        <f>max(min(Valu!$C$15,$O14),$O14-max($O14-Valu!$C$15,0)/$R14*(AG$3-1))</f>
        <v>0.03</v>
      </c>
      <c r="AH14" s="392">
        <f>max(min(Valu!$C$15,$O14),$O14-max($O14-Valu!$C$15,0)/$R14*(AH$3-1))</f>
        <v>0.03</v>
      </c>
      <c r="AI14" s="392">
        <f>max(min(Valu!$C$15,$O14),$O14-max($O14-Valu!$C$15,0)/$R14*(AI$3-1))</f>
        <v>0.03</v>
      </c>
      <c r="AJ14" s="392">
        <f>max(min(Valu!$C$15,$O14),$O14-max($O14-Valu!$C$15,0)/$R14*(AJ$3-1))</f>
        <v>0.03</v>
      </c>
      <c r="AK14" s="392">
        <f>max(min(Valu!$C$15,$O14),$O14-max($O14-Valu!$C$15,0)/$R14*(AK$3-1))</f>
        <v>0.03</v>
      </c>
      <c r="AL14" s="392">
        <f>max(min(Valu!$C$15,$O14),$O14-max($O14-Valu!$C$15,0)/$R14*(AL$3-1))</f>
        <v>0.03</v>
      </c>
      <c r="AM14" s="392">
        <f>max(min(Valu!$C$15,$O14),$O14-max($O14-Valu!$C$15,0)/$R14*(AM$3-1))</f>
        <v>0.03</v>
      </c>
      <c r="AN14" s="392">
        <f>max(min(Valu!$C$15,$O14),$O14-max($O14-Valu!$C$15,0)/$R14*(AN$3-1))</f>
        <v>0.03</v>
      </c>
      <c r="AO14" s="392">
        <f>max(min(Valu!$C$15,$O14),$O14-max($O14-Valu!$C$15,0)/$R14*(AO$3-1))</f>
        <v>0.03</v>
      </c>
      <c r="AP14" s="392">
        <f>max(min(Valu!$C$14,$P14),$P14-max($P14-Valu!$C$14,0)/$R14*(AP$3-1))</f>
        <v>0.35</v>
      </c>
      <c r="AQ14" s="392">
        <f>max(min(Valu!$C$14,$P14),$P14-max($P14-Valu!$C$14,0)/$R14*(AQ$3-1))</f>
        <v>0.32125</v>
      </c>
      <c r="AR14" s="392">
        <f>max(min(Valu!$C$14,$P14),$P14-max($P14-Valu!$C$14,0)/$R14*(AR$3-1))</f>
        <v>0.2925</v>
      </c>
      <c r="AS14" s="392">
        <f>max(min(Valu!$C$14,$P14),$P14-max($P14-Valu!$C$14,0)/$R14*(AS$3-1))</f>
        <v>0.26375</v>
      </c>
      <c r="AT14" s="392">
        <f>max(min(Valu!$C$14,$P14),$P14-max($P14-Valu!$C$14,0)/$R14*(AT$3-1))</f>
        <v>0.235</v>
      </c>
      <c r="AU14" s="392">
        <f>max(min(Valu!$C$14,$P14),$P14-max($P14-Valu!$C$14,0)/$R14*(AU$3-1))</f>
        <v>0.20625</v>
      </c>
      <c r="AV14" s="392">
        <f>max(min(Valu!$C$14,$P14),$P14-max($P14-Valu!$C$14,0)/$R14*(AV$3-1))</f>
        <v>0.1775</v>
      </c>
      <c r="AW14" s="392">
        <f>max(min(Valu!$C$14,$P14),$P14-max($P14-Valu!$C$14,0)/$R14*(AW$3-1))</f>
        <v>0.14875</v>
      </c>
      <c r="AX14" s="392">
        <f>max(min(Valu!$C$14,$P14),$P14-max($P14-Valu!$C$14,0)/$R14*(AX$3-1))</f>
        <v>0.12</v>
      </c>
      <c r="AY14" s="392">
        <f>max(min(Valu!$C$14,$P14),$P14-max($P14-Valu!$C$14,0)/$R14*(AY$3-1))</f>
        <v>0.12</v>
      </c>
      <c r="AZ14" s="392">
        <f>max(min(Valu!$C$14,$P14),$P14-max($P14-Valu!$C$14,0)/$R14*(AZ$3-1))</f>
        <v>0.12</v>
      </c>
      <c r="BA14" s="392">
        <f>max(min(Valu!$C$14,$P14),$P14-max($P14-Valu!$C$14,0)/$R14*(BA$3-1))</f>
        <v>0.12</v>
      </c>
      <c r="BB14" s="392">
        <f>max(min(Valu!$C$14,$P14),$P14-max($P14-Valu!$C$14,0)/$R14*(BB$3-1))</f>
        <v>0.12</v>
      </c>
      <c r="BC14" s="392">
        <f>max(min(Valu!$C$14,$P14),$P14-max($P14-Valu!$C$14,0)/$R14*(BC$3-1))</f>
        <v>0.12</v>
      </c>
      <c r="BD14" s="392">
        <f>max(min(Valu!$C$14,$P14),$P14-max($P14-Valu!$C$14,0)/$R14*(BD$3-1))</f>
        <v>0.12</v>
      </c>
      <c r="BE14" s="392">
        <f>max(min(Valu!$C$14,$P14),$P14-max($P14-Valu!$C$14,0)/$R14*(BE$3-1))</f>
        <v>0.12</v>
      </c>
      <c r="BF14" s="392">
        <f>max(min(Valu!$C$14,$P14),$P14-max($P14-Valu!$C$14,0)/$R14*(BF$3-1))</f>
        <v>0.12</v>
      </c>
      <c r="BG14" s="392">
        <f>max(min(Valu!$C$14,$P14),$P14-max($P14-Valu!$C$14,0)/$R14*(BG$3-1))</f>
        <v>0.12</v>
      </c>
      <c r="BH14" s="392">
        <f>max(min(Valu!$C$14,$P14),$P14-max($P14-Valu!$C$14,0)/$R14*(BH$3-1))</f>
        <v>0.12</v>
      </c>
      <c r="BI14" s="392">
        <f>max(min(Valu!$C$14,$P14),$P14-max($P14-Valu!$C$14,0)/$R14*(BI$3-1))</f>
        <v>0.12</v>
      </c>
      <c r="BJ14" s="393">
        <f>N14</f>
        <v>8.09187638</v>
      </c>
      <c r="BK14" s="369">
        <f>$BJ14*(1+V14)</f>
        <v>8.496470199</v>
      </c>
      <c r="BL14" s="369">
        <f t="shared" ref="BL14:CC14" si="11">BK14*(1+W14)</f>
        <v>8.900052533</v>
      </c>
      <c r="BM14" s="369">
        <f t="shared" si="11"/>
        <v>9.300554897</v>
      </c>
      <c r="BN14" s="369">
        <f t="shared" si="11"/>
        <v>9.69582848</v>
      </c>
      <c r="BO14" s="369">
        <f t="shared" si="11"/>
        <v>10.08366162</v>
      </c>
      <c r="BP14" s="369">
        <f t="shared" si="11"/>
        <v>10.46179893</v>
      </c>
      <c r="BQ14" s="369">
        <f t="shared" si="11"/>
        <v>10.82796189</v>
      </c>
      <c r="BR14" s="369">
        <f t="shared" si="11"/>
        <v>11.17987065</v>
      </c>
      <c r="BS14" s="369">
        <f t="shared" si="11"/>
        <v>11.51526677</v>
      </c>
      <c r="BT14" s="369">
        <f t="shared" si="11"/>
        <v>11.86072478</v>
      </c>
      <c r="BU14" s="369">
        <f t="shared" si="11"/>
        <v>12.21654652</v>
      </c>
      <c r="BV14" s="369">
        <f t="shared" si="11"/>
        <v>12.58304292</v>
      </c>
      <c r="BW14" s="369">
        <f t="shared" si="11"/>
        <v>12.9605342</v>
      </c>
      <c r="BX14" s="369">
        <f t="shared" si="11"/>
        <v>13.34935023</v>
      </c>
      <c r="BY14" s="369">
        <f t="shared" si="11"/>
        <v>13.74983074</v>
      </c>
      <c r="BZ14" s="369">
        <f t="shared" si="11"/>
        <v>14.16232566</v>
      </c>
      <c r="CA14" s="369">
        <f t="shared" si="11"/>
        <v>14.58719543</v>
      </c>
      <c r="CB14" s="369">
        <f t="shared" si="11"/>
        <v>15.02481129</v>
      </c>
      <c r="CC14" s="369">
        <f t="shared" si="11"/>
        <v>15.47555563</v>
      </c>
      <c r="CD14" s="369">
        <f t="shared" ref="CD14:CW14" si="12">BJ14*(1-V14/AP14)</f>
        <v>6.93589404</v>
      </c>
      <c r="CE14" s="369">
        <f t="shared" si="12"/>
        <v>7.240182776</v>
      </c>
      <c r="CF14" s="369">
        <f t="shared" si="12"/>
        <v>7.530813682</v>
      </c>
      <c r="CG14" s="369">
        <f t="shared" si="12"/>
        <v>7.801887283</v>
      </c>
      <c r="CH14" s="369">
        <f t="shared" si="12"/>
        <v>8.045474696</v>
      </c>
      <c r="CI14" s="369">
        <f t="shared" si="12"/>
        <v>8.250268598</v>
      </c>
      <c r="CJ14" s="369">
        <f t="shared" si="12"/>
        <v>8.398909</v>
      </c>
      <c r="CK14" s="369">
        <f t="shared" si="12"/>
        <v>8.462188706</v>
      </c>
      <c r="CL14" s="369">
        <f t="shared" si="12"/>
        <v>8.384902991</v>
      </c>
      <c r="CM14" s="369">
        <f t="shared" si="12"/>
        <v>8.63645008</v>
      </c>
      <c r="CN14" s="369">
        <f t="shared" si="12"/>
        <v>8.895543583</v>
      </c>
      <c r="CO14" s="369">
        <f t="shared" si="12"/>
        <v>9.16240989</v>
      </c>
      <c r="CP14" s="369">
        <f t="shared" si="12"/>
        <v>9.437282187</v>
      </c>
      <c r="CQ14" s="369">
        <f t="shared" si="12"/>
        <v>9.720400653</v>
      </c>
      <c r="CR14" s="369">
        <f t="shared" si="12"/>
        <v>10.01201267</v>
      </c>
      <c r="CS14" s="369">
        <f t="shared" si="12"/>
        <v>10.31237305</v>
      </c>
      <c r="CT14" s="369">
        <f t="shared" si="12"/>
        <v>10.62174424</v>
      </c>
      <c r="CU14" s="369">
        <f t="shared" si="12"/>
        <v>10.94039657</v>
      </c>
      <c r="CV14" s="369">
        <f t="shared" si="12"/>
        <v>11.26860847</v>
      </c>
      <c r="CW14" s="369">
        <f t="shared" si="12"/>
        <v>11.60666672</v>
      </c>
      <c r="CX14" s="369">
        <f>CW14*(1+min(Valu!$C$15,$O14))/(Valu!$C$21-min(Valu!$C$15,$O14))</f>
        <v>314.6017559</v>
      </c>
      <c r="CY14" s="369">
        <f>CD14/(1+Valu!$C$21)^CY$3</f>
        <v>6.494282809</v>
      </c>
      <c r="CZ14" s="369">
        <f>CE14/(1+Valu!$C$21)^CZ$3</f>
        <v>6.347563067</v>
      </c>
      <c r="DA14" s="369">
        <f>CF14/(1+Valu!$C$21)^DA$3</f>
        <v>6.181987817</v>
      </c>
      <c r="DB14" s="369">
        <f>CG14/(1+Valu!$C$21)^DB$3</f>
        <v>5.996732285</v>
      </c>
      <c r="DC14" s="369">
        <f>CH14/(1+Valu!$C$21)^DC$3</f>
        <v>5.790224596</v>
      </c>
      <c r="DD14" s="369">
        <f>CI14/(1+Valu!$C$21)^DD$3</f>
        <v>5.55956192</v>
      </c>
      <c r="DE14" s="369">
        <f>CJ14/(1+Valu!$C$21)^DE$3</f>
        <v>5.299368342</v>
      </c>
      <c r="DF14" s="369">
        <f>CK14/(1+Valu!$C$21)^DF$3</f>
        <v>4.999340122</v>
      </c>
      <c r="DG14" s="369">
        <f>CL14/(1+Valu!$C$21)^DG$3</f>
        <v>4.638277927</v>
      </c>
      <c r="DH14" s="369">
        <f>CM14/(1+Valu!$C$21)^DH$3</f>
        <v>4.473245566</v>
      </c>
      <c r="DI14" s="369">
        <f>CN14/(1+Valu!$C$21)^DI$3</f>
        <v>4.314085144</v>
      </c>
      <c r="DJ14" s="369">
        <f>CO14/(1+Valu!$C$21)^DJ$3</f>
        <v>4.160587732</v>
      </c>
      <c r="DK14" s="369">
        <f>CP14/(1+Valu!$C$21)^DK$3</f>
        <v>4.012551839</v>
      </c>
      <c r="DL14" s="369">
        <f>CQ14/(1+Valu!$C$21)^DL$3</f>
        <v>3.869783141</v>
      </c>
      <c r="DM14" s="369">
        <f>CR14/(1+Valu!$C$21)^DM$3</f>
        <v>3.732094227</v>
      </c>
      <c r="DN14" s="369">
        <f>CS14/(1+Valu!$C$21)^DN$3</f>
        <v>3.599304358</v>
      </c>
      <c r="DO14" s="369">
        <f>CT14/(1+Valu!$C$21)^DO$3</f>
        <v>3.471239222</v>
      </c>
      <c r="DP14" s="369">
        <f>CU14/(1+Valu!$C$21)^DP$3</f>
        <v>3.34773071</v>
      </c>
      <c r="DQ14" s="369">
        <f>CV14/(1+Valu!$C$21)^DQ$3</f>
        <v>3.228616696</v>
      </c>
      <c r="DR14" s="369">
        <f>CW14/(1+Valu!$C$21)^DR$3</f>
        <v>3.113740821</v>
      </c>
      <c r="DS14" s="369">
        <f>CX14/(1+Valu!$C$21)^DS$3</f>
        <v>84.39876436</v>
      </c>
      <c r="DT14" s="367"/>
      <c r="DU14" s="367"/>
      <c r="DV14" s="367"/>
      <c r="DW14" s="367"/>
    </row>
    <row r="15" ht="15.0" customHeight="1">
      <c r="A15" s="388">
        <v>43369.0</v>
      </c>
      <c r="B15" s="373" t="s">
        <v>1289</v>
      </c>
      <c r="C15" s="373" t="s">
        <v>1263</v>
      </c>
      <c r="D15" s="373">
        <v>210.0</v>
      </c>
      <c r="E15" s="374">
        <f>IFERROR(__xludf.DUMMYFUNCTION("if(and(D15&lt;&gt;0,D15&lt;&gt;""""),D15/GOOGLEFINANCE(C15,""price"")-1,"""")"),-0.22503505793785528)</f>
        <v>-0.2250350579</v>
      </c>
      <c r="F15" s="375">
        <f>IFERROR(__xludf.DUMMYFUNCTION("GOOGLEFINANCE(C15,""price"")"),270.98)</f>
        <v>270.98</v>
      </c>
      <c r="G15" s="374">
        <f t="shared" si="6"/>
        <v>0.03850880397</v>
      </c>
      <c r="H15" s="376"/>
      <c r="I15" s="368">
        <f t="shared" ref="I15:I17" si="13">(N15)*($I$1+O15*100)</f>
        <v>281.4151157</v>
      </c>
      <c r="J15" s="377">
        <v>7.79</v>
      </c>
      <c r="K15" s="377">
        <v>9.65</v>
      </c>
      <c r="L15" s="378">
        <v>43799.0</v>
      </c>
      <c r="M15" s="379">
        <f t="shared" si="7"/>
        <v>0.09495691803</v>
      </c>
      <c r="N15" s="380">
        <f t="shared" si="8"/>
        <v>9.473380132</v>
      </c>
      <c r="O15" s="370">
        <v>0.15</v>
      </c>
      <c r="P15" s="370"/>
      <c r="Q15" s="371"/>
      <c r="R15" s="378"/>
      <c r="S15" s="378">
        <v>43483.0</v>
      </c>
      <c r="T15" s="381" t="s">
        <v>1223</v>
      </c>
      <c r="U15" s="382" t="s">
        <v>1292</v>
      </c>
      <c r="V15" s="358"/>
      <c r="W15" s="358"/>
      <c r="X15" s="358"/>
      <c r="Y15" s="358"/>
      <c r="Z15" s="358"/>
      <c r="AA15" s="358"/>
      <c r="AB15" s="358"/>
      <c r="AC15" s="358"/>
      <c r="AD15" s="358"/>
      <c r="AE15" s="358"/>
      <c r="AF15" s="358"/>
      <c r="AG15" s="358"/>
      <c r="AH15" s="358"/>
      <c r="AI15" s="358"/>
      <c r="AJ15" s="358"/>
      <c r="AK15" s="358"/>
      <c r="AL15" s="358"/>
      <c r="AM15" s="358"/>
      <c r="AN15" s="358"/>
      <c r="AO15" s="358"/>
      <c r="AP15" s="358"/>
      <c r="AQ15" s="358"/>
      <c r="AR15" s="358"/>
      <c r="AS15" s="358"/>
      <c r="AT15" s="358"/>
      <c r="AU15" s="358"/>
      <c r="AV15" s="358"/>
      <c r="AW15" s="358"/>
      <c r="AX15" s="358"/>
      <c r="AY15" s="358"/>
      <c r="AZ15" s="358"/>
      <c r="BA15" s="358"/>
      <c r="BB15" s="358"/>
      <c r="BC15" s="358"/>
      <c r="BD15" s="358"/>
      <c r="BE15" s="358"/>
      <c r="BF15" s="358"/>
      <c r="BG15" s="358"/>
      <c r="BH15" s="358"/>
      <c r="BI15" s="358"/>
      <c r="BJ15" s="358"/>
      <c r="BK15" s="358"/>
      <c r="BL15" s="358"/>
      <c r="BM15" s="358"/>
      <c r="BN15" s="358"/>
      <c r="BO15" s="358"/>
      <c r="BP15" s="358"/>
      <c r="BQ15" s="358"/>
      <c r="BR15" s="358"/>
      <c r="BS15" s="358"/>
      <c r="BT15" s="358"/>
      <c r="BU15" s="358"/>
      <c r="BV15" s="358"/>
      <c r="BW15" s="358"/>
      <c r="BX15" s="358"/>
      <c r="BY15" s="358"/>
      <c r="BZ15" s="358"/>
      <c r="CA15" s="358"/>
      <c r="CB15" s="358"/>
      <c r="CC15" s="358"/>
      <c r="CD15" s="358"/>
      <c r="CE15" s="358"/>
      <c r="CF15" s="358"/>
      <c r="CG15" s="358"/>
      <c r="CH15" s="358"/>
      <c r="CI15" s="358"/>
      <c r="CJ15" s="358"/>
      <c r="CK15" s="358"/>
      <c r="CL15" s="358"/>
      <c r="CM15" s="358"/>
      <c r="CN15" s="358"/>
      <c r="CO15" s="358"/>
      <c r="CP15" s="358"/>
      <c r="CQ15" s="358"/>
      <c r="CR15" s="358"/>
      <c r="CS15" s="358"/>
      <c r="CT15" s="358"/>
      <c r="CU15" s="358"/>
      <c r="CV15" s="358"/>
      <c r="CW15" s="358"/>
      <c r="CX15" s="358"/>
      <c r="CY15" s="358"/>
      <c r="CZ15" s="358"/>
      <c r="DA15" s="358"/>
      <c r="DB15" s="358"/>
      <c r="DC15" s="358"/>
      <c r="DD15" s="358"/>
      <c r="DE15" s="358"/>
      <c r="DF15" s="358"/>
      <c r="DG15" s="358"/>
      <c r="DH15" s="358"/>
      <c r="DI15" s="358"/>
      <c r="DJ15" s="358"/>
      <c r="DK15" s="358"/>
      <c r="DL15" s="358"/>
      <c r="DM15" s="358"/>
      <c r="DN15" s="358"/>
      <c r="DO15" s="358"/>
      <c r="DP15" s="358"/>
      <c r="DQ15" s="358"/>
      <c r="DR15" s="358"/>
      <c r="DS15" s="358"/>
      <c r="DT15" s="358"/>
      <c r="DU15" s="358"/>
      <c r="DV15" s="358"/>
      <c r="DW15" s="358"/>
    </row>
    <row r="16" ht="15.0" customHeight="1">
      <c r="A16" s="394">
        <v>41537.0</v>
      </c>
      <c r="B16" s="302" t="s">
        <v>1293</v>
      </c>
      <c r="C16" s="395" t="s">
        <v>1294</v>
      </c>
      <c r="D16" s="302"/>
      <c r="E16" s="396" t="str">
        <f>IFERROR(__xludf.DUMMYFUNCTION("if(and(D16&lt;&gt;0,D16&lt;&gt;""""),D16/GOOGLEFINANCE(C16,""price"")-1,"""")"),"")</f>
        <v/>
      </c>
      <c r="F16" s="397">
        <f>IFERROR(__xludf.DUMMYFUNCTION("GOOGLEFINANCE(C16,""price"")"),104.8)</f>
        <v>104.8</v>
      </c>
      <c r="G16" s="396">
        <f t="shared" si="6"/>
        <v>2.029552849</v>
      </c>
      <c r="H16" s="398"/>
      <c r="I16" s="399">
        <f t="shared" si="13"/>
        <v>317.4971386</v>
      </c>
      <c r="J16" s="400">
        <v>22.7</v>
      </c>
      <c r="K16" s="400">
        <v>25.13</v>
      </c>
      <c r="L16" s="401">
        <v>43465.0</v>
      </c>
      <c r="M16" s="402">
        <f t="shared" si="7"/>
        <v>-0.820111578</v>
      </c>
      <c r="N16" s="403">
        <f t="shared" si="8"/>
        <v>27.12287113</v>
      </c>
      <c r="O16" s="404">
        <v>-0.03</v>
      </c>
      <c r="P16" s="404"/>
      <c r="Q16" s="405"/>
      <c r="R16" s="401"/>
      <c r="S16" s="401">
        <v>43419.0</v>
      </c>
      <c r="T16" s="406" t="s">
        <v>1223</v>
      </c>
      <c r="U16" s="407" t="s">
        <v>1297</v>
      </c>
      <c r="V16" s="408"/>
      <c r="W16" s="408"/>
      <c r="X16" s="408"/>
      <c r="Y16" s="408"/>
      <c r="Z16" s="408"/>
      <c r="AA16" s="408"/>
      <c r="AB16" s="408"/>
      <c r="AC16" s="408"/>
      <c r="AD16" s="408"/>
      <c r="AE16" s="408"/>
      <c r="AF16" s="408"/>
      <c r="AG16" s="408"/>
      <c r="AH16" s="408"/>
      <c r="AI16" s="408"/>
      <c r="AJ16" s="408"/>
      <c r="AK16" s="408"/>
      <c r="AL16" s="408"/>
      <c r="AM16" s="408"/>
      <c r="AN16" s="408"/>
      <c r="AO16" s="408"/>
      <c r="AP16" s="408"/>
      <c r="AQ16" s="408"/>
      <c r="AR16" s="408"/>
      <c r="AS16" s="408"/>
      <c r="AT16" s="408"/>
      <c r="AU16" s="408"/>
      <c r="AV16" s="408"/>
      <c r="AW16" s="408"/>
      <c r="AX16" s="408"/>
      <c r="AY16" s="408"/>
      <c r="AZ16" s="408"/>
      <c r="BA16" s="408"/>
      <c r="BB16" s="408"/>
      <c r="BC16" s="408"/>
      <c r="BD16" s="408"/>
      <c r="BE16" s="408"/>
      <c r="BF16" s="408"/>
      <c r="BG16" s="408"/>
      <c r="BH16" s="408"/>
      <c r="BI16" s="408"/>
      <c r="BJ16" s="408"/>
      <c r="BK16" s="408"/>
      <c r="BL16" s="408"/>
      <c r="BM16" s="408"/>
      <c r="BN16" s="408"/>
      <c r="BO16" s="408"/>
      <c r="BP16" s="408"/>
      <c r="BQ16" s="408"/>
      <c r="BR16" s="408"/>
      <c r="BS16" s="408"/>
      <c r="BT16" s="408"/>
      <c r="BU16" s="408"/>
      <c r="BV16" s="408"/>
      <c r="BW16" s="408"/>
      <c r="BX16" s="408"/>
      <c r="BY16" s="408"/>
      <c r="BZ16" s="408"/>
      <c r="CA16" s="408"/>
      <c r="CB16" s="408"/>
      <c r="CC16" s="408"/>
      <c r="CD16" s="408"/>
      <c r="CE16" s="408"/>
      <c r="CF16" s="408"/>
      <c r="CG16" s="408"/>
      <c r="CH16" s="408"/>
      <c r="CI16" s="408"/>
      <c r="CJ16" s="408"/>
      <c r="CK16" s="408"/>
      <c r="CL16" s="408"/>
      <c r="CM16" s="408"/>
      <c r="CN16" s="408"/>
      <c r="CO16" s="408"/>
      <c r="CP16" s="408"/>
      <c r="CQ16" s="408"/>
      <c r="CR16" s="408"/>
      <c r="CS16" s="408"/>
      <c r="CT16" s="408"/>
      <c r="CU16" s="408"/>
      <c r="CV16" s="408"/>
      <c r="CW16" s="408"/>
      <c r="CX16" s="408"/>
      <c r="CY16" s="408"/>
      <c r="CZ16" s="408"/>
      <c r="DA16" s="408"/>
      <c r="DB16" s="408"/>
      <c r="DC16" s="408"/>
      <c r="DD16" s="408"/>
      <c r="DE16" s="408"/>
      <c r="DF16" s="408"/>
      <c r="DG16" s="408"/>
      <c r="DH16" s="408"/>
      <c r="DI16" s="408"/>
      <c r="DJ16" s="408"/>
      <c r="DK16" s="408"/>
      <c r="DL16" s="408"/>
      <c r="DM16" s="408"/>
      <c r="DN16" s="408"/>
      <c r="DO16" s="408"/>
      <c r="DP16" s="408"/>
      <c r="DQ16" s="408"/>
      <c r="DR16" s="408"/>
      <c r="DS16" s="408"/>
      <c r="DT16" s="408"/>
      <c r="DU16" s="408"/>
      <c r="DV16" s="408"/>
      <c r="DW16" s="408"/>
    </row>
    <row r="17" ht="15.0" customHeight="1">
      <c r="A17" s="388">
        <v>43483.0</v>
      </c>
      <c r="B17" s="373" t="s">
        <v>1299</v>
      </c>
      <c r="C17" s="373" t="s">
        <v>1300</v>
      </c>
      <c r="D17" s="373">
        <v>120.0</v>
      </c>
      <c r="E17" s="374">
        <f>IFERROR(__xludf.DUMMYFUNCTION("if(and(D17&lt;&gt;0,D17&lt;&gt;""""),D17/GOOGLEFINANCE(C17,""price"")-1,"""")"),-0.17548440291328837)</f>
        <v>-0.1754844029</v>
      </c>
      <c r="F17" s="375">
        <f>IFERROR(__xludf.DUMMYFUNCTION("GOOGLEFINANCE(C17,""price"")"),145.54)</f>
        <v>145.54</v>
      </c>
      <c r="G17" s="374">
        <f t="shared" si="6"/>
        <v>-0.4564515216</v>
      </c>
      <c r="H17" s="376"/>
      <c r="I17" s="368">
        <f t="shared" si="13"/>
        <v>79.10804554</v>
      </c>
      <c r="J17" s="377">
        <v>0.97</v>
      </c>
      <c r="K17" s="377">
        <v>3.14</v>
      </c>
      <c r="L17" s="378">
        <v>43496.0</v>
      </c>
      <c r="M17" s="379">
        <f t="shared" si="7"/>
        <v>-0.7351800711</v>
      </c>
      <c r="N17" s="380">
        <f t="shared" si="8"/>
        <v>4.735340754</v>
      </c>
      <c r="O17" s="370">
        <v>0.02</v>
      </c>
      <c r="P17" s="370"/>
      <c r="Q17" s="371"/>
      <c r="R17" s="378"/>
      <c r="S17" s="378">
        <v>43483.0</v>
      </c>
      <c r="T17" s="381" t="s">
        <v>1240</v>
      </c>
      <c r="U17" s="382" t="s">
        <v>1302</v>
      </c>
      <c r="V17" s="358"/>
      <c r="W17" s="358"/>
      <c r="X17" s="358"/>
      <c r="Y17" s="358"/>
      <c r="Z17" s="358"/>
      <c r="AA17" s="358"/>
      <c r="AB17" s="358"/>
      <c r="AC17" s="358"/>
      <c r="AD17" s="358"/>
      <c r="AE17" s="358"/>
      <c r="AF17" s="358"/>
      <c r="AG17" s="358"/>
      <c r="AH17" s="358"/>
      <c r="AI17" s="358"/>
      <c r="AJ17" s="358"/>
      <c r="AK17" s="358"/>
      <c r="AL17" s="358"/>
      <c r="AM17" s="358"/>
      <c r="AN17" s="358"/>
      <c r="AO17" s="358"/>
      <c r="AP17" s="358"/>
      <c r="AQ17" s="358"/>
      <c r="AR17" s="358"/>
      <c r="AS17" s="358"/>
      <c r="AT17" s="358"/>
      <c r="AU17" s="358"/>
      <c r="AV17" s="358"/>
      <c r="AW17" s="358"/>
      <c r="AX17" s="358"/>
      <c r="AY17" s="358"/>
      <c r="AZ17" s="358"/>
      <c r="BA17" s="358"/>
      <c r="BB17" s="358"/>
      <c r="BC17" s="358"/>
      <c r="BD17" s="358"/>
      <c r="BE17" s="358"/>
      <c r="BF17" s="358"/>
      <c r="BG17" s="358"/>
      <c r="BH17" s="358"/>
      <c r="BI17" s="358"/>
      <c r="BJ17" s="358"/>
      <c r="BK17" s="358"/>
      <c r="BL17" s="358"/>
      <c r="BM17" s="358"/>
      <c r="BN17" s="358"/>
      <c r="BO17" s="358"/>
      <c r="BP17" s="358"/>
      <c r="BQ17" s="358"/>
      <c r="BR17" s="358"/>
      <c r="BS17" s="358"/>
      <c r="BT17" s="358"/>
      <c r="BU17" s="358"/>
      <c r="BV17" s="358"/>
      <c r="BW17" s="358"/>
      <c r="BX17" s="358"/>
      <c r="BY17" s="358"/>
      <c r="BZ17" s="358"/>
      <c r="CA17" s="358"/>
      <c r="CB17" s="358"/>
      <c r="CC17" s="358"/>
      <c r="CD17" s="358"/>
      <c r="CE17" s="358"/>
      <c r="CF17" s="358"/>
      <c r="CG17" s="358"/>
      <c r="CH17" s="358"/>
      <c r="CI17" s="358"/>
      <c r="CJ17" s="358"/>
      <c r="CK17" s="358"/>
      <c r="CL17" s="358"/>
      <c r="CM17" s="358"/>
      <c r="CN17" s="358"/>
      <c r="CO17" s="358"/>
      <c r="CP17" s="358"/>
      <c r="CQ17" s="358"/>
      <c r="CR17" s="358"/>
      <c r="CS17" s="358"/>
      <c r="CT17" s="358"/>
      <c r="CU17" s="358"/>
      <c r="CV17" s="358"/>
      <c r="CW17" s="358"/>
      <c r="CX17" s="358"/>
      <c r="CY17" s="358"/>
      <c r="CZ17" s="358"/>
      <c r="DA17" s="358"/>
      <c r="DB17" s="358"/>
      <c r="DC17" s="358"/>
      <c r="DD17" s="358"/>
      <c r="DE17" s="358"/>
      <c r="DF17" s="358"/>
      <c r="DG17" s="358"/>
      <c r="DH17" s="358"/>
      <c r="DI17" s="358"/>
      <c r="DJ17" s="358"/>
      <c r="DK17" s="358"/>
      <c r="DL17" s="358"/>
      <c r="DM17" s="358"/>
      <c r="DN17" s="358"/>
      <c r="DO17" s="358"/>
      <c r="DP17" s="358"/>
      <c r="DQ17" s="358"/>
      <c r="DR17" s="358"/>
      <c r="DS17" s="358"/>
      <c r="DT17" s="358"/>
      <c r="DU17" s="358"/>
      <c r="DV17" s="358"/>
      <c r="DW17" s="358"/>
    </row>
    <row r="18" ht="15.0" customHeight="1">
      <c r="A18" s="372">
        <v>42114.0</v>
      </c>
      <c r="B18" s="384" t="s">
        <v>1303</v>
      </c>
      <c r="C18" s="384" t="s">
        <v>1061</v>
      </c>
      <c r="D18" s="373">
        <v>46.0</v>
      </c>
      <c r="E18" s="374">
        <f>IFERROR(__xludf.DUMMYFUNCTION("if(and(D18&lt;&gt;0,D18&lt;&gt;""""),D18/GOOGLEFINANCE(C18,""price"")-1,"""")"),-0.2103004291845494)</f>
        <v>-0.2103004292</v>
      </c>
      <c r="F18" s="375">
        <f>IFERROR(__xludf.DUMMYFUNCTION("GOOGLEFINANCE(C18,""price"")"),58.25)</f>
        <v>58.25</v>
      </c>
      <c r="G18" s="374">
        <f t="shared" si="6"/>
        <v>0.425113449</v>
      </c>
      <c r="H18" s="376"/>
      <c r="I18" s="368">
        <f>N18*($I$1+iferror(sqrt((O18*100)*(P18-1/$I$1)*100),-sqrt((O18*100)*-1*(P18-1/$I$1)*100))*(R18/4)^0.2)</f>
        <v>83.0128584</v>
      </c>
      <c r="J18" s="377">
        <v>6.59</v>
      </c>
      <c r="K18" s="377">
        <v>7.05</v>
      </c>
      <c r="L18" s="378">
        <v>43830.0</v>
      </c>
      <c r="M18" s="379">
        <f t="shared" si="7"/>
        <v>0.1798884281</v>
      </c>
      <c r="N18" s="380">
        <f t="shared" si="8"/>
        <v>6.967251323</v>
      </c>
      <c r="O18" s="370">
        <v>0.03</v>
      </c>
      <c r="P18" s="370">
        <v>0.05</v>
      </c>
      <c r="Q18" s="371">
        <f>I18/N18</f>
        <v>11.9147214</v>
      </c>
      <c r="R18" s="381">
        <v>10.0</v>
      </c>
      <c r="S18" s="378">
        <v>43659.0</v>
      </c>
      <c r="T18" s="387" t="s">
        <v>1223</v>
      </c>
      <c r="U18" s="382" t="s">
        <v>1306</v>
      </c>
      <c r="V18" s="358"/>
      <c r="W18" s="358"/>
      <c r="X18" s="358"/>
      <c r="Y18" s="358"/>
      <c r="Z18" s="358"/>
      <c r="AA18" s="358"/>
      <c r="AB18" s="358"/>
      <c r="AC18" s="358"/>
      <c r="AD18" s="358"/>
      <c r="AE18" s="358"/>
      <c r="AF18" s="358"/>
      <c r="AG18" s="358"/>
      <c r="AH18" s="358"/>
      <c r="AI18" s="358"/>
      <c r="AJ18" s="358"/>
      <c r="AK18" s="358"/>
      <c r="AL18" s="358"/>
      <c r="AM18" s="358"/>
      <c r="AN18" s="358"/>
      <c r="AO18" s="358"/>
      <c r="AP18" s="358"/>
      <c r="AQ18" s="358"/>
      <c r="AR18" s="358"/>
      <c r="AS18" s="358"/>
      <c r="AT18" s="358"/>
      <c r="AU18" s="358"/>
      <c r="AV18" s="358"/>
      <c r="AW18" s="358"/>
      <c r="AX18" s="358"/>
      <c r="AY18" s="358"/>
      <c r="AZ18" s="358"/>
      <c r="BA18" s="358"/>
      <c r="BB18" s="358"/>
      <c r="BC18" s="358"/>
      <c r="BD18" s="358"/>
      <c r="BE18" s="358"/>
      <c r="BF18" s="358"/>
      <c r="BG18" s="358"/>
      <c r="BH18" s="358"/>
      <c r="BI18" s="358"/>
      <c r="BJ18" s="358"/>
      <c r="BK18" s="358"/>
      <c r="BL18" s="358"/>
      <c r="BM18" s="358"/>
      <c r="BN18" s="358"/>
      <c r="BO18" s="358"/>
      <c r="BP18" s="358"/>
      <c r="BQ18" s="358"/>
      <c r="BR18" s="358"/>
      <c r="BS18" s="358"/>
      <c r="BT18" s="358"/>
      <c r="BU18" s="358"/>
      <c r="BV18" s="358"/>
      <c r="BW18" s="358"/>
      <c r="BX18" s="358"/>
      <c r="BY18" s="358"/>
      <c r="BZ18" s="358"/>
      <c r="CA18" s="358"/>
      <c r="CB18" s="358"/>
      <c r="CC18" s="358"/>
      <c r="CD18" s="358"/>
      <c r="CE18" s="358"/>
      <c r="CF18" s="358"/>
      <c r="CG18" s="358"/>
      <c r="CH18" s="358"/>
      <c r="CI18" s="358"/>
      <c r="CJ18" s="358"/>
      <c r="CK18" s="358"/>
      <c r="CL18" s="358"/>
      <c r="CM18" s="358"/>
      <c r="CN18" s="358"/>
      <c r="CO18" s="358"/>
      <c r="CP18" s="358"/>
      <c r="CQ18" s="358"/>
      <c r="CR18" s="358"/>
      <c r="CS18" s="358"/>
      <c r="CT18" s="358"/>
      <c r="CU18" s="358"/>
      <c r="CV18" s="358"/>
      <c r="CW18" s="358"/>
      <c r="CX18" s="358"/>
      <c r="CY18" s="358"/>
      <c r="CZ18" s="358"/>
      <c r="DA18" s="358"/>
      <c r="DB18" s="358"/>
      <c r="DC18" s="358"/>
      <c r="DD18" s="358"/>
      <c r="DE18" s="358"/>
      <c r="DF18" s="358"/>
      <c r="DG18" s="358"/>
      <c r="DH18" s="358"/>
      <c r="DI18" s="358"/>
      <c r="DJ18" s="358"/>
      <c r="DK18" s="358"/>
      <c r="DL18" s="358"/>
      <c r="DM18" s="358"/>
      <c r="DN18" s="358"/>
      <c r="DO18" s="358"/>
      <c r="DP18" s="358"/>
      <c r="DQ18" s="358"/>
      <c r="DR18" s="358"/>
      <c r="DS18" s="358"/>
      <c r="DT18" s="358"/>
      <c r="DU18" s="358"/>
      <c r="DV18" s="358"/>
      <c r="DW18" s="358"/>
    </row>
    <row r="19" ht="15.0" customHeight="1">
      <c r="A19" s="372">
        <v>42424.0</v>
      </c>
      <c r="B19" s="384" t="s">
        <v>1307</v>
      </c>
      <c r="C19" s="384" t="s">
        <v>1308</v>
      </c>
      <c r="D19" s="320"/>
      <c r="E19" s="374" t="str">
        <f>IFERROR(__xludf.DUMMYFUNCTION("if(and(D19&lt;&gt;0,D19&lt;&gt;""""),D19/GOOGLEFINANCE(C19,""price"")-1,"""")"),"")</f>
        <v/>
      </c>
      <c r="F19" s="375">
        <f>IFERROR(__xludf.DUMMYFUNCTION("GOOGLEFINANCE(C19,""price"")"),53.26)</f>
        <v>53.26</v>
      </c>
      <c r="G19" s="374">
        <f t="shared" si="6"/>
        <v>0.5811115284</v>
      </c>
      <c r="H19" s="376"/>
      <c r="I19" s="368">
        <f>56.14*(0.1)*15</f>
        <v>84.21</v>
      </c>
      <c r="J19" s="380"/>
      <c r="K19" s="380"/>
      <c r="L19" s="389"/>
      <c r="M19" s="379">
        <f t="shared" si="7"/>
        <v>-119.9023034</v>
      </c>
      <c r="N19" s="380">
        <f t="shared" si="8"/>
        <v>0</v>
      </c>
      <c r="O19" s="390"/>
      <c r="P19" s="390"/>
      <c r="Q19" s="391"/>
      <c r="R19" s="409"/>
      <c r="S19" s="409"/>
      <c r="T19" s="387"/>
      <c r="U19" s="386"/>
      <c r="V19" s="344"/>
      <c r="W19" s="344"/>
      <c r="X19" s="344"/>
      <c r="Y19" s="344"/>
      <c r="Z19" s="344"/>
      <c r="AA19" s="344"/>
      <c r="AB19" s="344"/>
      <c r="AC19" s="344"/>
      <c r="AD19" s="344"/>
      <c r="AE19" s="344"/>
      <c r="AF19" s="344"/>
      <c r="AG19" s="344"/>
      <c r="AH19" s="344"/>
      <c r="AI19" s="344"/>
      <c r="AJ19" s="344"/>
      <c r="AK19" s="344"/>
      <c r="AL19" s="344"/>
      <c r="AM19" s="344"/>
      <c r="AN19" s="344"/>
      <c r="AO19" s="344"/>
      <c r="AP19" s="344"/>
      <c r="AQ19" s="344"/>
      <c r="AR19" s="344"/>
      <c r="AS19" s="344"/>
      <c r="AT19" s="344"/>
      <c r="AU19" s="344"/>
      <c r="AV19" s="344"/>
      <c r="AW19" s="344"/>
      <c r="AX19" s="344"/>
      <c r="AY19" s="344"/>
      <c r="AZ19" s="344"/>
      <c r="BA19" s="344"/>
      <c r="BB19" s="344"/>
      <c r="BC19" s="344"/>
      <c r="BD19" s="344"/>
      <c r="BE19" s="344"/>
      <c r="BF19" s="344"/>
      <c r="BG19" s="344"/>
      <c r="BH19" s="344"/>
      <c r="BI19" s="344"/>
      <c r="BJ19" s="344"/>
      <c r="BK19" s="344"/>
      <c r="BL19" s="344"/>
      <c r="BM19" s="344"/>
      <c r="BN19" s="344"/>
      <c r="BO19" s="344"/>
      <c r="BP19" s="344"/>
      <c r="BQ19" s="344"/>
      <c r="BR19" s="344"/>
      <c r="BS19" s="344"/>
      <c r="BT19" s="344"/>
      <c r="BU19" s="344"/>
      <c r="BV19" s="344"/>
      <c r="BW19" s="344"/>
      <c r="BX19" s="344"/>
      <c r="BY19" s="344"/>
      <c r="BZ19" s="344"/>
      <c r="CA19" s="344"/>
      <c r="CB19" s="344"/>
      <c r="CC19" s="344"/>
      <c r="CD19" s="344"/>
      <c r="CE19" s="344"/>
      <c r="CF19" s="344"/>
      <c r="CG19" s="344"/>
      <c r="CH19" s="344"/>
      <c r="CI19" s="344"/>
      <c r="CJ19" s="344"/>
      <c r="CK19" s="344"/>
      <c r="CL19" s="344"/>
      <c r="CM19" s="344"/>
      <c r="CN19" s="344"/>
      <c r="CO19" s="344"/>
      <c r="CP19" s="344"/>
      <c r="CQ19" s="344"/>
      <c r="CR19" s="344"/>
      <c r="CS19" s="344"/>
      <c r="CT19" s="344"/>
      <c r="CU19" s="344"/>
      <c r="CV19" s="344"/>
      <c r="CW19" s="344"/>
      <c r="CX19" s="344"/>
      <c r="CY19" s="344"/>
      <c r="CZ19" s="344"/>
      <c r="DA19" s="344"/>
      <c r="DB19" s="344"/>
      <c r="DC19" s="344"/>
      <c r="DD19" s="344"/>
      <c r="DE19" s="344"/>
      <c r="DF19" s="344"/>
      <c r="DG19" s="344"/>
      <c r="DH19" s="344"/>
      <c r="DI19" s="344"/>
      <c r="DJ19" s="344"/>
      <c r="DK19" s="344"/>
      <c r="DL19" s="344"/>
      <c r="DM19" s="344"/>
      <c r="DN19" s="344"/>
      <c r="DO19" s="344"/>
      <c r="DP19" s="344"/>
      <c r="DQ19" s="344"/>
      <c r="DR19" s="344"/>
      <c r="DS19" s="344"/>
      <c r="DT19" s="344"/>
      <c r="DU19" s="344"/>
      <c r="DV19" s="344"/>
      <c r="DW19" s="344"/>
    </row>
    <row r="20" ht="15.0" customHeight="1">
      <c r="A20" s="372">
        <v>42220.0</v>
      </c>
      <c r="B20" s="384" t="s">
        <v>1309</v>
      </c>
      <c r="C20" s="384" t="s">
        <v>1310</v>
      </c>
      <c r="D20" s="384">
        <v>170.0</v>
      </c>
      <c r="E20" s="374">
        <f>IFERROR(__xludf.DUMMYFUNCTION("if(and(D20&lt;&gt;0,D20&lt;&gt;""""),D20/GOOGLEFINANCE(C20,""price"")-1,"""")"),-0.022089277496548543)</f>
        <v>-0.0220892775</v>
      </c>
      <c r="F20" s="375">
        <f>IFERROR(__xludf.DUMMYFUNCTION("GOOGLEFINANCE(C20,""price"")"),173.84)</f>
        <v>173.84</v>
      </c>
      <c r="G20" s="374">
        <f t="shared" si="6"/>
        <v>0.7526885196</v>
      </c>
      <c r="H20" s="376"/>
      <c r="I20" s="368">
        <f>N20*($I$1+O20*100)</f>
        <v>304.6873723</v>
      </c>
      <c r="J20" s="385">
        <v>16.28</v>
      </c>
      <c r="K20" s="385">
        <v>16.79</v>
      </c>
      <c r="L20" s="378">
        <v>43465.0</v>
      </c>
      <c r="M20" s="379">
        <f t="shared" si="7"/>
        <v>-0.820111578</v>
      </c>
      <c r="N20" s="380">
        <f t="shared" si="8"/>
        <v>17.2082569</v>
      </c>
      <c r="O20" s="370">
        <v>0.03</v>
      </c>
      <c r="P20" s="370"/>
      <c r="Q20" s="371"/>
      <c r="R20" s="378"/>
      <c r="S20" s="378">
        <v>43347.0</v>
      </c>
      <c r="T20" s="381" t="s">
        <v>1223</v>
      </c>
      <c r="U20" s="386" t="s">
        <v>1311</v>
      </c>
      <c r="V20" s="344"/>
      <c r="W20" s="344"/>
      <c r="X20" s="344"/>
      <c r="Y20" s="344"/>
      <c r="Z20" s="344"/>
      <c r="AA20" s="344"/>
      <c r="AB20" s="344"/>
      <c r="AC20" s="344"/>
      <c r="AD20" s="344"/>
      <c r="AE20" s="344"/>
      <c r="AF20" s="344"/>
      <c r="AG20" s="344"/>
      <c r="AH20" s="344"/>
      <c r="AI20" s="344"/>
      <c r="AJ20" s="344"/>
      <c r="AK20" s="344"/>
      <c r="AL20" s="344"/>
      <c r="AM20" s="344"/>
      <c r="AN20" s="344"/>
      <c r="AO20" s="344"/>
      <c r="AP20" s="344"/>
      <c r="AQ20" s="344"/>
      <c r="AR20" s="344"/>
      <c r="AS20" s="344"/>
      <c r="AT20" s="344"/>
      <c r="AU20" s="344"/>
      <c r="AV20" s="344"/>
      <c r="AW20" s="344"/>
      <c r="AX20" s="344"/>
      <c r="AY20" s="344"/>
      <c r="AZ20" s="344"/>
      <c r="BA20" s="344"/>
      <c r="BB20" s="344"/>
      <c r="BC20" s="344"/>
      <c r="BD20" s="344"/>
      <c r="BE20" s="344"/>
      <c r="BF20" s="344"/>
      <c r="BG20" s="344"/>
      <c r="BH20" s="344"/>
      <c r="BI20" s="344"/>
      <c r="BJ20" s="344"/>
      <c r="BK20" s="344"/>
      <c r="BL20" s="344"/>
      <c r="BM20" s="344"/>
      <c r="BN20" s="344"/>
      <c r="BO20" s="344"/>
      <c r="BP20" s="344"/>
      <c r="BQ20" s="344"/>
      <c r="BR20" s="344"/>
      <c r="BS20" s="344"/>
      <c r="BT20" s="344"/>
      <c r="BU20" s="344"/>
      <c r="BV20" s="344"/>
      <c r="BW20" s="344"/>
      <c r="BX20" s="344"/>
      <c r="BY20" s="344"/>
      <c r="BZ20" s="344"/>
      <c r="CA20" s="344"/>
      <c r="CB20" s="344"/>
      <c r="CC20" s="344"/>
      <c r="CD20" s="344"/>
      <c r="CE20" s="344"/>
      <c r="CF20" s="344"/>
      <c r="CG20" s="344"/>
      <c r="CH20" s="344"/>
      <c r="CI20" s="344"/>
      <c r="CJ20" s="344"/>
      <c r="CK20" s="344"/>
      <c r="CL20" s="344"/>
      <c r="CM20" s="344"/>
      <c r="CN20" s="344"/>
      <c r="CO20" s="344"/>
      <c r="CP20" s="344"/>
      <c r="CQ20" s="344"/>
      <c r="CR20" s="344"/>
      <c r="CS20" s="344"/>
      <c r="CT20" s="344"/>
      <c r="CU20" s="344"/>
      <c r="CV20" s="344"/>
      <c r="CW20" s="344"/>
      <c r="CX20" s="344"/>
      <c r="CY20" s="344"/>
      <c r="CZ20" s="344"/>
      <c r="DA20" s="344"/>
      <c r="DB20" s="344"/>
      <c r="DC20" s="344"/>
      <c r="DD20" s="344"/>
      <c r="DE20" s="344"/>
      <c r="DF20" s="344"/>
      <c r="DG20" s="344"/>
      <c r="DH20" s="344"/>
      <c r="DI20" s="344"/>
      <c r="DJ20" s="344"/>
      <c r="DK20" s="344"/>
      <c r="DL20" s="344"/>
      <c r="DM20" s="344"/>
      <c r="DN20" s="344"/>
      <c r="DO20" s="344"/>
      <c r="DP20" s="344"/>
      <c r="DQ20" s="344"/>
      <c r="DR20" s="344"/>
      <c r="DS20" s="344"/>
      <c r="DT20" s="344"/>
      <c r="DU20" s="344"/>
      <c r="DV20" s="344"/>
      <c r="DW20" s="344"/>
    </row>
    <row r="21" ht="15.0" customHeight="1">
      <c r="A21" s="394">
        <v>41212.0</v>
      </c>
      <c r="B21" s="302" t="s">
        <v>1312</v>
      </c>
      <c r="C21" s="302" t="s">
        <v>1313</v>
      </c>
      <c r="D21" s="302"/>
      <c r="E21" s="396" t="str">
        <f>IFERROR(__xludf.DUMMYFUNCTION("if(and(D21&lt;&gt;0,D21&lt;&gt;""""),D21/GOOGLEFINANCE(C21,""price"")-1,"""")"),"")</f>
        <v/>
      </c>
      <c r="F21" s="397" t="str">
        <f>IFERROR(__xludf.DUMMYFUNCTION("GOOGLEFINANCE(C21,""price"")"),"#N/A")</f>
        <v>#N/A</v>
      </c>
      <c r="G21" s="396" t="str">
        <f t="shared" si="6"/>
        <v>#N/A</v>
      </c>
      <c r="H21" s="398"/>
      <c r="I21" s="398">
        <f>6*15</f>
        <v>90</v>
      </c>
      <c r="J21" s="403"/>
      <c r="K21" s="403"/>
      <c r="L21" s="410"/>
      <c r="M21" s="402">
        <f t="shared" si="7"/>
        <v>-119.9023034</v>
      </c>
      <c r="N21" s="403">
        <f t="shared" si="8"/>
        <v>0</v>
      </c>
      <c r="O21" s="410"/>
      <c r="P21" s="411"/>
      <c r="Q21" s="402"/>
      <c r="R21" s="412"/>
      <c r="S21" s="412"/>
      <c r="T21" s="412"/>
      <c r="U21" s="413" t="s">
        <v>1315</v>
      </c>
      <c r="V21" s="414"/>
      <c r="W21" s="414"/>
      <c r="X21" s="414"/>
      <c r="Y21" s="414"/>
      <c r="Z21" s="414"/>
      <c r="AA21" s="414"/>
      <c r="AB21" s="414"/>
      <c r="AC21" s="414"/>
      <c r="AD21" s="414"/>
      <c r="AE21" s="414"/>
      <c r="AF21" s="414"/>
      <c r="AG21" s="414"/>
      <c r="AH21" s="414"/>
      <c r="AI21" s="414"/>
      <c r="AJ21" s="414"/>
      <c r="AK21" s="414"/>
      <c r="AL21" s="414"/>
      <c r="AM21" s="414"/>
      <c r="AN21" s="414"/>
      <c r="AO21" s="414"/>
      <c r="AP21" s="414"/>
      <c r="AQ21" s="414"/>
      <c r="AR21" s="414"/>
      <c r="AS21" s="414"/>
      <c r="AT21" s="414"/>
      <c r="AU21" s="414"/>
      <c r="AV21" s="414"/>
      <c r="AW21" s="414"/>
      <c r="AX21" s="414"/>
      <c r="AY21" s="414"/>
      <c r="AZ21" s="414"/>
      <c r="BA21" s="414"/>
      <c r="BB21" s="414"/>
      <c r="BC21" s="414"/>
      <c r="BD21" s="414"/>
      <c r="BE21" s="414"/>
      <c r="BF21" s="414"/>
      <c r="BG21" s="414"/>
      <c r="BH21" s="414"/>
      <c r="BI21" s="414"/>
      <c r="BJ21" s="414"/>
      <c r="BK21" s="414"/>
      <c r="BL21" s="414"/>
      <c r="BM21" s="414"/>
      <c r="BN21" s="414"/>
      <c r="BO21" s="414"/>
      <c r="BP21" s="414"/>
      <c r="BQ21" s="414"/>
      <c r="BR21" s="414"/>
      <c r="BS21" s="414"/>
      <c r="BT21" s="414"/>
      <c r="BU21" s="414"/>
      <c r="BV21" s="414"/>
      <c r="BW21" s="414"/>
      <c r="BX21" s="414"/>
      <c r="BY21" s="414"/>
      <c r="BZ21" s="414"/>
      <c r="CA21" s="414"/>
      <c r="CB21" s="414"/>
      <c r="CC21" s="414"/>
      <c r="CD21" s="414"/>
      <c r="CE21" s="414"/>
      <c r="CF21" s="414"/>
      <c r="CG21" s="414"/>
      <c r="CH21" s="414"/>
      <c r="CI21" s="414"/>
      <c r="CJ21" s="414"/>
      <c r="CK21" s="414"/>
      <c r="CL21" s="414"/>
      <c r="CM21" s="414"/>
      <c r="CN21" s="414"/>
      <c r="CO21" s="414"/>
      <c r="CP21" s="414"/>
      <c r="CQ21" s="414"/>
      <c r="CR21" s="414"/>
      <c r="CS21" s="414"/>
      <c r="CT21" s="414"/>
      <c r="CU21" s="414"/>
      <c r="CV21" s="414"/>
      <c r="CW21" s="414"/>
      <c r="CX21" s="414"/>
      <c r="CY21" s="414"/>
      <c r="CZ21" s="414"/>
      <c r="DA21" s="414"/>
      <c r="DB21" s="414"/>
      <c r="DC21" s="414"/>
      <c r="DD21" s="414"/>
      <c r="DE21" s="414"/>
      <c r="DF21" s="414"/>
      <c r="DG21" s="414"/>
      <c r="DH21" s="414"/>
      <c r="DI21" s="414"/>
      <c r="DJ21" s="414"/>
      <c r="DK21" s="414"/>
      <c r="DL21" s="414"/>
      <c r="DM21" s="414"/>
      <c r="DN21" s="414"/>
      <c r="DO21" s="414"/>
      <c r="DP21" s="414"/>
      <c r="DQ21" s="414"/>
      <c r="DR21" s="414"/>
      <c r="DS21" s="414"/>
      <c r="DT21" s="414"/>
      <c r="DU21" s="414"/>
      <c r="DV21" s="414"/>
      <c r="DW21" s="414"/>
    </row>
    <row r="22" ht="15.0" customHeight="1">
      <c r="A22" s="372">
        <v>42683.0</v>
      </c>
      <c r="B22" s="384" t="s">
        <v>1316</v>
      </c>
      <c r="C22" s="384" t="s">
        <v>1317</v>
      </c>
      <c r="D22" s="384">
        <v>35.0</v>
      </c>
      <c r="E22" s="374">
        <f>IFERROR(__xludf.DUMMYFUNCTION("if(and(D22&lt;&gt;0,D22&lt;&gt;""""),D22/GOOGLEFINANCE(C22,""price"")-1,"""")"),-0.11482043500252903)</f>
        <v>-0.114820435</v>
      </c>
      <c r="F22" s="375">
        <f>IFERROR(__xludf.DUMMYFUNCTION("GOOGLEFINANCE(C22,""price"")"),39.54)</f>
        <v>39.54</v>
      </c>
      <c r="G22" s="374">
        <f t="shared" si="6"/>
        <v>-0.02693474962</v>
      </c>
      <c r="H22" s="376"/>
      <c r="I22" s="368">
        <f>(1.96*0.5+0.5*3.17)*(15)</f>
        <v>38.475</v>
      </c>
      <c r="J22" s="380"/>
      <c r="K22" s="380"/>
      <c r="L22" s="389"/>
      <c r="M22" s="379">
        <f t="shared" si="7"/>
        <v>-119.9023034</v>
      </c>
      <c r="N22" s="380">
        <f t="shared" si="8"/>
        <v>0</v>
      </c>
      <c r="O22" s="389"/>
      <c r="P22" s="390"/>
      <c r="Q22" s="391"/>
      <c r="R22" s="387"/>
      <c r="S22" s="387"/>
      <c r="T22" s="387"/>
      <c r="U22" s="382" t="s">
        <v>1318</v>
      </c>
      <c r="V22" s="358"/>
      <c r="W22" s="358"/>
      <c r="X22" s="358"/>
      <c r="Y22" s="358"/>
      <c r="Z22" s="358"/>
      <c r="AA22" s="358"/>
      <c r="AB22" s="358"/>
      <c r="AC22" s="358"/>
      <c r="AD22" s="358"/>
      <c r="AE22" s="358"/>
      <c r="AF22" s="358"/>
      <c r="AG22" s="358"/>
      <c r="AH22" s="358"/>
      <c r="AI22" s="358"/>
      <c r="AJ22" s="358"/>
      <c r="AK22" s="358"/>
      <c r="AL22" s="358"/>
      <c r="AM22" s="358"/>
      <c r="AN22" s="358"/>
      <c r="AO22" s="358"/>
      <c r="AP22" s="358"/>
      <c r="AQ22" s="358"/>
      <c r="AR22" s="358"/>
      <c r="AS22" s="358"/>
      <c r="AT22" s="358"/>
      <c r="AU22" s="358"/>
      <c r="AV22" s="358"/>
      <c r="AW22" s="358"/>
      <c r="AX22" s="358"/>
      <c r="AY22" s="358"/>
      <c r="AZ22" s="358"/>
      <c r="BA22" s="358"/>
      <c r="BB22" s="358"/>
      <c r="BC22" s="358"/>
      <c r="BD22" s="358"/>
      <c r="BE22" s="358"/>
      <c r="BF22" s="358"/>
      <c r="BG22" s="358"/>
      <c r="BH22" s="358"/>
      <c r="BI22" s="358"/>
      <c r="BJ22" s="358"/>
      <c r="BK22" s="358"/>
      <c r="BL22" s="358"/>
      <c r="BM22" s="358"/>
      <c r="BN22" s="358"/>
      <c r="BO22" s="358"/>
      <c r="BP22" s="358"/>
      <c r="BQ22" s="358"/>
      <c r="BR22" s="358"/>
      <c r="BS22" s="358"/>
      <c r="BT22" s="358"/>
      <c r="BU22" s="358"/>
      <c r="BV22" s="358"/>
      <c r="BW22" s="358"/>
      <c r="BX22" s="358"/>
      <c r="BY22" s="358"/>
      <c r="BZ22" s="358"/>
      <c r="CA22" s="358"/>
      <c r="CB22" s="358"/>
      <c r="CC22" s="358"/>
      <c r="CD22" s="358"/>
      <c r="CE22" s="358"/>
      <c r="CF22" s="358"/>
      <c r="CG22" s="358"/>
      <c r="CH22" s="358"/>
      <c r="CI22" s="358"/>
      <c r="CJ22" s="358"/>
      <c r="CK22" s="358"/>
      <c r="CL22" s="358"/>
      <c r="CM22" s="358"/>
      <c r="CN22" s="358"/>
      <c r="CO22" s="358"/>
      <c r="CP22" s="358"/>
      <c r="CQ22" s="358"/>
      <c r="CR22" s="358"/>
      <c r="CS22" s="358"/>
      <c r="CT22" s="358"/>
      <c r="CU22" s="358"/>
      <c r="CV22" s="358"/>
      <c r="CW22" s="358"/>
      <c r="CX22" s="358"/>
      <c r="CY22" s="358"/>
      <c r="CZ22" s="358"/>
      <c r="DA22" s="358"/>
      <c r="DB22" s="358"/>
      <c r="DC22" s="358"/>
      <c r="DD22" s="358"/>
      <c r="DE22" s="358"/>
      <c r="DF22" s="358"/>
      <c r="DG22" s="358"/>
      <c r="DH22" s="358"/>
      <c r="DI22" s="358"/>
      <c r="DJ22" s="358"/>
      <c r="DK22" s="358"/>
      <c r="DL22" s="358"/>
      <c r="DM22" s="358"/>
      <c r="DN22" s="358"/>
      <c r="DO22" s="358"/>
      <c r="DP22" s="358"/>
      <c r="DQ22" s="358"/>
      <c r="DR22" s="358"/>
      <c r="DS22" s="358"/>
      <c r="DT22" s="358"/>
      <c r="DU22" s="358"/>
      <c r="DV22" s="358"/>
      <c r="DW22" s="358"/>
    </row>
    <row r="23" ht="15.0" customHeight="1">
      <c r="A23" s="383">
        <v>40975.0</v>
      </c>
      <c r="B23" s="320" t="s">
        <v>1320</v>
      </c>
      <c r="C23" s="320" t="s">
        <v>344</v>
      </c>
      <c r="D23" s="384">
        <v>52.25</v>
      </c>
      <c r="E23" s="374">
        <f>IFERROR(__xludf.DUMMYFUNCTION("if(and(D23&lt;&gt;0,D23&lt;&gt;""""),D23/GOOGLEFINANCE(C23,""price"")-1,"""")"),-0.01041666666666663)</f>
        <v>-0.01041666667</v>
      </c>
      <c r="F23" s="375">
        <f>IFERROR(__xludf.DUMMYFUNCTION("GOOGLEFINANCE(C23,""price"")"),52.8)</f>
        <v>52.8</v>
      </c>
      <c r="G23" s="374">
        <f t="shared" si="6"/>
        <v>0.3827651515</v>
      </c>
      <c r="H23" s="376"/>
      <c r="I23" s="368">
        <f>max(73.01*0.085*(10),73.01)</f>
        <v>73.01</v>
      </c>
      <c r="J23" s="380"/>
      <c r="K23" s="380"/>
      <c r="L23" s="389"/>
      <c r="M23" s="379">
        <f t="shared" si="7"/>
        <v>-119.9023034</v>
      </c>
      <c r="N23" s="380">
        <f t="shared" si="8"/>
        <v>0</v>
      </c>
      <c r="O23" s="389"/>
      <c r="P23" s="390"/>
      <c r="Q23" s="391"/>
      <c r="R23" s="387"/>
      <c r="S23" s="387"/>
      <c r="T23" s="387"/>
      <c r="U23" s="386" t="s">
        <v>1323</v>
      </c>
      <c r="V23" s="344"/>
      <c r="W23" s="344"/>
      <c r="X23" s="344"/>
      <c r="Y23" s="344"/>
      <c r="Z23" s="344"/>
      <c r="AA23" s="344"/>
      <c r="AB23" s="344"/>
      <c r="AC23" s="344"/>
      <c r="AD23" s="344"/>
      <c r="AE23" s="344"/>
      <c r="AF23" s="344"/>
      <c r="AG23" s="344"/>
      <c r="AH23" s="344"/>
      <c r="AI23" s="344"/>
      <c r="AJ23" s="344"/>
      <c r="AK23" s="344"/>
      <c r="AL23" s="344"/>
      <c r="AM23" s="344"/>
      <c r="AN23" s="344"/>
      <c r="AO23" s="344"/>
      <c r="AP23" s="344"/>
      <c r="AQ23" s="344"/>
      <c r="AR23" s="344"/>
      <c r="AS23" s="344"/>
      <c r="AT23" s="344"/>
      <c r="AU23" s="344"/>
      <c r="AV23" s="344"/>
      <c r="AW23" s="344"/>
      <c r="AX23" s="344"/>
      <c r="AY23" s="344"/>
      <c r="AZ23" s="344"/>
      <c r="BA23" s="344"/>
      <c r="BB23" s="344"/>
      <c r="BC23" s="344"/>
      <c r="BD23" s="344"/>
      <c r="BE23" s="344"/>
      <c r="BF23" s="344"/>
      <c r="BG23" s="344"/>
      <c r="BH23" s="344"/>
      <c r="BI23" s="344"/>
      <c r="BJ23" s="344"/>
      <c r="BK23" s="344"/>
      <c r="BL23" s="344"/>
      <c r="BM23" s="344"/>
      <c r="BN23" s="344"/>
      <c r="BO23" s="344"/>
      <c r="BP23" s="344"/>
      <c r="BQ23" s="344"/>
      <c r="BR23" s="344"/>
      <c r="BS23" s="344"/>
      <c r="BT23" s="344"/>
      <c r="BU23" s="344"/>
      <c r="BV23" s="344"/>
      <c r="BW23" s="344"/>
      <c r="BX23" s="344"/>
      <c r="BY23" s="344"/>
      <c r="BZ23" s="344"/>
      <c r="CA23" s="344"/>
      <c r="CB23" s="344"/>
      <c r="CC23" s="344"/>
      <c r="CD23" s="344"/>
      <c r="CE23" s="344"/>
      <c r="CF23" s="344"/>
      <c r="CG23" s="344"/>
      <c r="CH23" s="344"/>
      <c r="CI23" s="344"/>
      <c r="CJ23" s="344"/>
      <c r="CK23" s="344"/>
      <c r="CL23" s="344"/>
      <c r="CM23" s="344"/>
      <c r="CN23" s="344"/>
      <c r="CO23" s="344"/>
      <c r="CP23" s="344"/>
      <c r="CQ23" s="344"/>
      <c r="CR23" s="344"/>
      <c r="CS23" s="344"/>
      <c r="CT23" s="344"/>
      <c r="CU23" s="344"/>
      <c r="CV23" s="344"/>
      <c r="CW23" s="344"/>
      <c r="CX23" s="344"/>
      <c r="CY23" s="344"/>
      <c r="CZ23" s="344"/>
      <c r="DA23" s="344"/>
      <c r="DB23" s="344"/>
      <c r="DC23" s="344"/>
      <c r="DD23" s="344"/>
      <c r="DE23" s="344"/>
      <c r="DF23" s="344"/>
      <c r="DG23" s="344"/>
      <c r="DH23" s="344"/>
      <c r="DI23" s="344"/>
      <c r="DJ23" s="344"/>
      <c r="DK23" s="344"/>
      <c r="DL23" s="344"/>
      <c r="DM23" s="344"/>
      <c r="DN23" s="344"/>
      <c r="DO23" s="344"/>
      <c r="DP23" s="344"/>
      <c r="DQ23" s="344"/>
      <c r="DR23" s="344"/>
      <c r="DS23" s="344"/>
      <c r="DT23" s="344"/>
      <c r="DU23" s="344"/>
      <c r="DV23" s="344"/>
      <c r="DW23" s="344"/>
    </row>
    <row r="24" ht="15.0" customHeight="1">
      <c r="A24" s="383">
        <v>41591.0</v>
      </c>
      <c r="B24" s="320" t="s">
        <v>1324</v>
      </c>
      <c r="C24" s="320" t="s">
        <v>1325</v>
      </c>
      <c r="D24" s="384">
        <v>55.0</v>
      </c>
      <c r="E24" s="374">
        <f>IFERROR(__xludf.DUMMYFUNCTION("if(and(D24&lt;&gt;0,D24&lt;&gt;""""),D24/GOOGLEFINANCE(C24,""price"")-1,"""")"),-0.5619972923468981)</f>
        <v>-0.5619972923</v>
      </c>
      <c r="F24" s="375">
        <f>IFERROR(__xludf.DUMMYFUNCTION("GOOGLEFINANCE(C24,""price"")"),125.57)</f>
        <v>125.57</v>
      </c>
      <c r="G24" s="374">
        <f t="shared" si="6"/>
        <v>-0.2360356773</v>
      </c>
      <c r="H24" s="376"/>
      <c r="I24" s="376">
        <f>75.24*(0.07+0.015)*15</f>
        <v>95.931</v>
      </c>
      <c r="J24" s="380"/>
      <c r="K24" s="380"/>
      <c r="L24" s="389"/>
      <c r="M24" s="379">
        <f t="shared" si="7"/>
        <v>-119.9023034</v>
      </c>
      <c r="N24" s="380">
        <f t="shared" si="8"/>
        <v>0</v>
      </c>
      <c r="O24" s="389"/>
      <c r="P24" s="390"/>
      <c r="Q24" s="391"/>
      <c r="R24" s="387"/>
      <c r="S24" s="387"/>
      <c r="T24" s="387"/>
      <c r="U24" s="386" t="s">
        <v>1326</v>
      </c>
      <c r="V24" s="344"/>
      <c r="W24" s="344"/>
      <c r="X24" s="344"/>
      <c r="Y24" s="344"/>
      <c r="Z24" s="344"/>
      <c r="AA24" s="344"/>
      <c r="AB24" s="344"/>
      <c r="AC24" s="344"/>
      <c r="AD24" s="344"/>
      <c r="AE24" s="344"/>
      <c r="AF24" s="344"/>
      <c r="AG24" s="344"/>
      <c r="AH24" s="344"/>
      <c r="AI24" s="344"/>
      <c r="AJ24" s="344"/>
      <c r="AK24" s="344"/>
      <c r="AL24" s="344"/>
      <c r="AM24" s="344"/>
      <c r="AN24" s="344"/>
      <c r="AO24" s="344"/>
      <c r="AP24" s="344"/>
      <c r="AQ24" s="344"/>
      <c r="AR24" s="344"/>
      <c r="AS24" s="344"/>
      <c r="AT24" s="344"/>
      <c r="AU24" s="344"/>
      <c r="AV24" s="344"/>
      <c r="AW24" s="344"/>
      <c r="AX24" s="344"/>
      <c r="AY24" s="344"/>
      <c r="AZ24" s="344"/>
      <c r="BA24" s="344"/>
      <c r="BB24" s="344"/>
      <c r="BC24" s="344"/>
      <c r="BD24" s="344"/>
      <c r="BE24" s="344"/>
      <c r="BF24" s="344"/>
      <c r="BG24" s="344"/>
      <c r="BH24" s="344"/>
      <c r="BI24" s="344"/>
      <c r="BJ24" s="344"/>
      <c r="BK24" s="344"/>
      <c r="BL24" s="344"/>
      <c r="BM24" s="344"/>
      <c r="BN24" s="344"/>
      <c r="BO24" s="344"/>
      <c r="BP24" s="344"/>
      <c r="BQ24" s="344"/>
      <c r="BR24" s="344"/>
      <c r="BS24" s="344"/>
      <c r="BT24" s="344"/>
      <c r="BU24" s="344"/>
      <c r="BV24" s="344"/>
      <c r="BW24" s="344"/>
      <c r="BX24" s="344"/>
      <c r="BY24" s="344"/>
      <c r="BZ24" s="344"/>
      <c r="CA24" s="344"/>
      <c r="CB24" s="344"/>
      <c r="CC24" s="344"/>
      <c r="CD24" s="344"/>
      <c r="CE24" s="344"/>
      <c r="CF24" s="344"/>
      <c r="CG24" s="344"/>
      <c r="CH24" s="344"/>
      <c r="CI24" s="344"/>
      <c r="CJ24" s="344"/>
      <c r="CK24" s="344"/>
      <c r="CL24" s="344"/>
      <c r="CM24" s="344"/>
      <c r="CN24" s="344"/>
      <c r="CO24" s="344"/>
      <c r="CP24" s="344"/>
      <c r="CQ24" s="344"/>
      <c r="CR24" s="344"/>
      <c r="CS24" s="344"/>
      <c r="CT24" s="344"/>
      <c r="CU24" s="344"/>
      <c r="CV24" s="344"/>
      <c r="CW24" s="344"/>
      <c r="CX24" s="344"/>
      <c r="CY24" s="344"/>
      <c r="CZ24" s="344"/>
      <c r="DA24" s="344"/>
      <c r="DB24" s="344"/>
      <c r="DC24" s="344"/>
      <c r="DD24" s="344"/>
      <c r="DE24" s="344"/>
      <c r="DF24" s="344"/>
      <c r="DG24" s="344"/>
      <c r="DH24" s="344"/>
      <c r="DI24" s="344"/>
      <c r="DJ24" s="344"/>
      <c r="DK24" s="344"/>
      <c r="DL24" s="344"/>
      <c r="DM24" s="344"/>
      <c r="DN24" s="344"/>
      <c r="DO24" s="344"/>
      <c r="DP24" s="344"/>
      <c r="DQ24" s="344"/>
      <c r="DR24" s="344"/>
      <c r="DS24" s="344"/>
      <c r="DT24" s="344"/>
      <c r="DU24" s="344"/>
      <c r="DV24" s="344"/>
      <c r="DW24" s="344"/>
    </row>
    <row r="25" ht="15.0" customHeight="1">
      <c r="A25" s="372">
        <v>42708.0</v>
      </c>
      <c r="B25" s="384" t="s">
        <v>1327</v>
      </c>
      <c r="C25" s="384" t="s">
        <v>1328</v>
      </c>
      <c r="D25" s="384"/>
      <c r="E25" s="374" t="str">
        <f>IFERROR(__xludf.DUMMYFUNCTION("if(and(D25&lt;&gt;0,D25&lt;&gt;""""),D25/GOOGLEFINANCE(C25,""price"")-1,"""")"),"")</f>
        <v/>
      </c>
      <c r="F25" s="375">
        <f>IFERROR(__xludf.DUMMYFUNCTION("GOOGLEFINANCE(C25,""price"")"),89.15)</f>
        <v>89.15</v>
      </c>
      <c r="G25" s="374">
        <f t="shared" si="6"/>
        <v>-0.4240374781</v>
      </c>
      <c r="H25" s="376"/>
      <c r="I25" s="376">
        <f>2.9*($I$1+3)</f>
        <v>51.34705882</v>
      </c>
      <c r="J25" s="380"/>
      <c r="K25" s="380"/>
      <c r="L25" s="389"/>
      <c r="M25" s="379">
        <f t="shared" si="7"/>
        <v>-119.9023034</v>
      </c>
      <c r="N25" s="380">
        <f t="shared" si="8"/>
        <v>0</v>
      </c>
      <c r="O25" s="389"/>
      <c r="P25" s="390"/>
      <c r="Q25" s="391"/>
      <c r="R25" s="387"/>
      <c r="S25" s="387"/>
      <c r="T25" s="387"/>
      <c r="U25" s="386" t="s">
        <v>1331</v>
      </c>
      <c r="V25" s="344"/>
      <c r="W25" s="344"/>
      <c r="X25" s="344"/>
      <c r="Y25" s="344"/>
      <c r="Z25" s="344"/>
      <c r="AA25" s="344"/>
      <c r="AB25" s="344"/>
      <c r="AC25" s="344"/>
      <c r="AD25" s="344"/>
      <c r="AE25" s="344"/>
      <c r="AF25" s="344"/>
      <c r="AG25" s="344"/>
      <c r="AH25" s="344"/>
      <c r="AI25" s="344"/>
      <c r="AJ25" s="344"/>
      <c r="AK25" s="344"/>
      <c r="AL25" s="344"/>
      <c r="AM25" s="344"/>
      <c r="AN25" s="344"/>
      <c r="AO25" s="344"/>
      <c r="AP25" s="344"/>
      <c r="AQ25" s="344"/>
      <c r="AR25" s="344"/>
      <c r="AS25" s="344"/>
      <c r="AT25" s="344"/>
      <c r="AU25" s="344"/>
      <c r="AV25" s="344"/>
      <c r="AW25" s="344"/>
      <c r="AX25" s="344"/>
      <c r="AY25" s="344"/>
      <c r="AZ25" s="344"/>
      <c r="BA25" s="344"/>
      <c r="BB25" s="344"/>
      <c r="BC25" s="344"/>
      <c r="BD25" s="344"/>
      <c r="BE25" s="344"/>
      <c r="BF25" s="344"/>
      <c r="BG25" s="344"/>
      <c r="BH25" s="344"/>
      <c r="BI25" s="344"/>
      <c r="BJ25" s="344"/>
      <c r="BK25" s="344"/>
      <c r="BL25" s="344"/>
      <c r="BM25" s="344"/>
      <c r="BN25" s="344"/>
      <c r="BO25" s="344"/>
      <c r="BP25" s="344"/>
      <c r="BQ25" s="344"/>
      <c r="BR25" s="344"/>
      <c r="BS25" s="344"/>
      <c r="BT25" s="344"/>
      <c r="BU25" s="344"/>
      <c r="BV25" s="344"/>
      <c r="BW25" s="344"/>
      <c r="BX25" s="344"/>
      <c r="BY25" s="344"/>
      <c r="BZ25" s="344"/>
      <c r="CA25" s="344"/>
      <c r="CB25" s="344"/>
      <c r="CC25" s="344"/>
      <c r="CD25" s="344"/>
      <c r="CE25" s="344"/>
      <c r="CF25" s="344"/>
      <c r="CG25" s="344"/>
      <c r="CH25" s="344"/>
      <c r="CI25" s="344"/>
      <c r="CJ25" s="344"/>
      <c r="CK25" s="344"/>
      <c r="CL25" s="344"/>
      <c r="CM25" s="344"/>
      <c r="CN25" s="344"/>
      <c r="CO25" s="344"/>
      <c r="CP25" s="344"/>
      <c r="CQ25" s="344"/>
      <c r="CR25" s="344"/>
      <c r="CS25" s="344"/>
      <c r="CT25" s="344"/>
      <c r="CU25" s="344"/>
      <c r="CV25" s="344"/>
      <c r="CW25" s="344"/>
      <c r="CX25" s="344"/>
      <c r="CY25" s="344"/>
      <c r="CZ25" s="344"/>
      <c r="DA25" s="344"/>
      <c r="DB25" s="344"/>
      <c r="DC25" s="344"/>
      <c r="DD25" s="344"/>
      <c r="DE25" s="344"/>
      <c r="DF25" s="344"/>
      <c r="DG25" s="344"/>
      <c r="DH25" s="344"/>
      <c r="DI25" s="344"/>
      <c r="DJ25" s="344"/>
      <c r="DK25" s="344"/>
      <c r="DL25" s="344"/>
      <c r="DM25" s="344"/>
      <c r="DN25" s="344"/>
      <c r="DO25" s="344"/>
      <c r="DP25" s="344"/>
      <c r="DQ25" s="344"/>
      <c r="DR25" s="344"/>
      <c r="DS25" s="344"/>
      <c r="DT25" s="344"/>
      <c r="DU25" s="344"/>
      <c r="DV25" s="344"/>
      <c r="DW25" s="344"/>
    </row>
    <row r="26" ht="15.0" customHeight="1">
      <c r="A26" s="383">
        <v>41670.0</v>
      </c>
      <c r="B26" s="320" t="s">
        <v>1332</v>
      </c>
      <c r="C26" s="320" t="s">
        <v>1333</v>
      </c>
      <c r="D26" s="320"/>
      <c r="E26" s="374" t="str">
        <f>IFERROR(__xludf.DUMMYFUNCTION("if(and(D26&lt;&gt;0,D26&lt;&gt;""""),D26/GOOGLEFINANCE(C26,""price"")-1,"""")"),"")</f>
        <v/>
      </c>
      <c r="F26" s="375">
        <f>IFERROR(__xludf.DUMMYFUNCTION("GOOGLEFINANCE(C26,""price"")"),63.59)</f>
        <v>63.59</v>
      </c>
      <c r="G26" s="374">
        <f t="shared" si="6"/>
        <v>0.1110237459</v>
      </c>
      <c r="H26" s="376"/>
      <c r="I26" s="376">
        <f>(4.37*0.5+5.05*0.5)*(15)</f>
        <v>70.65</v>
      </c>
      <c r="J26" s="380"/>
      <c r="K26" s="380"/>
      <c r="L26" s="389"/>
      <c r="M26" s="379">
        <f t="shared" si="7"/>
        <v>-119.9023034</v>
      </c>
      <c r="N26" s="380">
        <f t="shared" si="8"/>
        <v>0</v>
      </c>
      <c r="O26" s="389"/>
      <c r="P26" s="415"/>
      <c r="Q26" s="379"/>
      <c r="R26" s="416"/>
      <c r="S26" s="416"/>
      <c r="T26" s="416"/>
      <c r="U26" s="417" t="s">
        <v>1334</v>
      </c>
      <c r="V26" s="367"/>
      <c r="W26" s="367"/>
      <c r="X26" s="367"/>
      <c r="Y26" s="367"/>
      <c r="Z26" s="367"/>
      <c r="AA26" s="367"/>
      <c r="AB26" s="367"/>
      <c r="AC26" s="367"/>
      <c r="AD26" s="367"/>
      <c r="AE26" s="367"/>
      <c r="AF26" s="367"/>
      <c r="AG26" s="367"/>
      <c r="AH26" s="367"/>
      <c r="AI26" s="367"/>
      <c r="AJ26" s="367"/>
      <c r="AK26" s="367"/>
      <c r="AL26" s="367"/>
      <c r="AM26" s="367"/>
      <c r="AN26" s="367"/>
      <c r="AO26" s="367"/>
      <c r="AP26" s="367"/>
      <c r="AQ26" s="367"/>
      <c r="AR26" s="367"/>
      <c r="AS26" s="367"/>
      <c r="AT26" s="367"/>
      <c r="AU26" s="367"/>
      <c r="AV26" s="367"/>
      <c r="AW26" s="367"/>
      <c r="AX26" s="367"/>
      <c r="AY26" s="367"/>
      <c r="AZ26" s="367"/>
      <c r="BA26" s="367"/>
      <c r="BB26" s="367"/>
      <c r="BC26" s="367"/>
      <c r="BD26" s="367"/>
      <c r="BE26" s="367"/>
      <c r="BF26" s="367"/>
      <c r="BG26" s="367"/>
      <c r="BH26" s="367"/>
      <c r="BI26" s="367"/>
      <c r="BJ26" s="367"/>
      <c r="BK26" s="367"/>
      <c r="BL26" s="367"/>
      <c r="BM26" s="367"/>
      <c r="BN26" s="367"/>
      <c r="BO26" s="367"/>
      <c r="BP26" s="367"/>
      <c r="BQ26" s="367"/>
      <c r="BR26" s="367"/>
      <c r="BS26" s="367"/>
      <c r="BT26" s="367"/>
      <c r="BU26" s="367"/>
      <c r="BV26" s="367"/>
      <c r="BW26" s="367"/>
      <c r="BX26" s="367"/>
      <c r="BY26" s="367"/>
      <c r="BZ26" s="367"/>
      <c r="CA26" s="367"/>
      <c r="CB26" s="367"/>
      <c r="CC26" s="367"/>
      <c r="CD26" s="367"/>
      <c r="CE26" s="367"/>
      <c r="CF26" s="367"/>
      <c r="CG26" s="367"/>
      <c r="CH26" s="367"/>
      <c r="CI26" s="367"/>
      <c r="CJ26" s="367"/>
      <c r="CK26" s="367"/>
      <c r="CL26" s="367"/>
      <c r="CM26" s="367"/>
      <c r="CN26" s="367"/>
      <c r="CO26" s="367"/>
      <c r="CP26" s="367"/>
      <c r="CQ26" s="367"/>
      <c r="CR26" s="367"/>
      <c r="CS26" s="367"/>
      <c r="CT26" s="367"/>
      <c r="CU26" s="367"/>
      <c r="CV26" s="367"/>
      <c r="CW26" s="367"/>
      <c r="CX26" s="367"/>
      <c r="CY26" s="367"/>
      <c r="CZ26" s="367"/>
      <c r="DA26" s="367"/>
      <c r="DB26" s="367"/>
      <c r="DC26" s="367"/>
      <c r="DD26" s="367"/>
      <c r="DE26" s="367"/>
      <c r="DF26" s="367"/>
      <c r="DG26" s="367"/>
      <c r="DH26" s="367"/>
      <c r="DI26" s="367"/>
      <c r="DJ26" s="367"/>
      <c r="DK26" s="367"/>
      <c r="DL26" s="367"/>
      <c r="DM26" s="367"/>
      <c r="DN26" s="367"/>
      <c r="DO26" s="367"/>
      <c r="DP26" s="367"/>
      <c r="DQ26" s="367"/>
      <c r="DR26" s="367"/>
      <c r="DS26" s="367"/>
      <c r="DT26" s="367"/>
      <c r="DU26" s="367"/>
      <c r="DV26" s="367"/>
      <c r="DW26" s="367"/>
    </row>
    <row r="27" ht="15.0" customHeight="1">
      <c r="A27" s="372">
        <v>42514.0</v>
      </c>
      <c r="B27" s="384" t="s">
        <v>1336</v>
      </c>
      <c r="C27" s="384" t="s">
        <v>1337</v>
      </c>
      <c r="D27" s="320"/>
      <c r="E27" s="374" t="str">
        <f>IFERROR(__xludf.DUMMYFUNCTION("if(and(D27&lt;&gt;0,D27&lt;&gt;""""),D27/GOOGLEFINANCE(C27,""price"")-1,"""")"),"")</f>
        <v/>
      </c>
      <c r="F27" s="375">
        <f>IFERROR(__xludf.DUMMYFUNCTION("GOOGLEFINANCE(C27,""price"")"),243.38)</f>
        <v>243.38</v>
      </c>
      <c r="G27" s="374">
        <f t="shared" si="6"/>
        <v>-0.2588091448</v>
      </c>
      <c r="H27" s="376"/>
      <c r="I27" s="368">
        <f>N27*($I$1+O27*100)</f>
        <v>180.3910303</v>
      </c>
      <c r="J27" s="377">
        <v>4.99</v>
      </c>
      <c r="K27" s="377">
        <v>6.26</v>
      </c>
      <c r="L27" s="378">
        <v>43465.0</v>
      </c>
      <c r="M27" s="379">
        <f t="shared" si="7"/>
        <v>-0.820111578</v>
      </c>
      <c r="N27" s="380">
        <f t="shared" si="8"/>
        <v>7.301541704</v>
      </c>
      <c r="O27" s="390">
        <v>0.1</v>
      </c>
      <c r="P27" s="370"/>
      <c r="Q27" s="371"/>
      <c r="R27" s="378"/>
      <c r="S27" s="378">
        <v>43399.0</v>
      </c>
      <c r="T27" s="381" t="s">
        <v>1223</v>
      </c>
      <c r="U27" s="382" t="s">
        <v>1340</v>
      </c>
      <c r="V27" s="358"/>
      <c r="W27" s="358"/>
      <c r="X27" s="358"/>
      <c r="Y27" s="358"/>
      <c r="Z27" s="358"/>
      <c r="AA27" s="358"/>
      <c r="AB27" s="358"/>
      <c r="AC27" s="358"/>
      <c r="AD27" s="358"/>
      <c r="AE27" s="358"/>
      <c r="AF27" s="358"/>
      <c r="AG27" s="358"/>
      <c r="AH27" s="358"/>
      <c r="AI27" s="358"/>
      <c r="AJ27" s="358"/>
      <c r="AK27" s="358"/>
      <c r="AL27" s="358"/>
      <c r="AM27" s="358"/>
      <c r="AN27" s="358"/>
      <c r="AO27" s="358"/>
      <c r="AP27" s="358"/>
      <c r="AQ27" s="358"/>
      <c r="AR27" s="358"/>
      <c r="AS27" s="358"/>
      <c r="AT27" s="358"/>
      <c r="AU27" s="358"/>
      <c r="AV27" s="358"/>
      <c r="AW27" s="358"/>
      <c r="AX27" s="358"/>
      <c r="AY27" s="358"/>
      <c r="AZ27" s="358"/>
      <c r="BA27" s="358"/>
      <c r="BB27" s="358"/>
      <c r="BC27" s="358"/>
      <c r="BD27" s="358"/>
      <c r="BE27" s="358"/>
      <c r="BF27" s="358"/>
      <c r="BG27" s="358"/>
      <c r="BH27" s="358"/>
      <c r="BI27" s="358"/>
      <c r="BJ27" s="358"/>
      <c r="BK27" s="358"/>
      <c r="BL27" s="358"/>
      <c r="BM27" s="358"/>
      <c r="BN27" s="358"/>
      <c r="BO27" s="358"/>
      <c r="BP27" s="358"/>
      <c r="BQ27" s="358"/>
      <c r="BR27" s="358"/>
      <c r="BS27" s="358"/>
      <c r="BT27" s="358"/>
      <c r="BU27" s="358"/>
      <c r="BV27" s="358"/>
      <c r="BW27" s="358"/>
      <c r="BX27" s="358"/>
      <c r="BY27" s="358"/>
      <c r="BZ27" s="358"/>
      <c r="CA27" s="358"/>
      <c r="CB27" s="358"/>
      <c r="CC27" s="358"/>
      <c r="CD27" s="358"/>
      <c r="CE27" s="358"/>
      <c r="CF27" s="358"/>
      <c r="CG27" s="358"/>
      <c r="CH27" s="358"/>
      <c r="CI27" s="358"/>
      <c r="CJ27" s="358"/>
      <c r="CK27" s="358"/>
      <c r="CL27" s="358"/>
      <c r="CM27" s="358"/>
      <c r="CN27" s="358"/>
      <c r="CO27" s="358"/>
      <c r="CP27" s="358"/>
      <c r="CQ27" s="358"/>
      <c r="CR27" s="358"/>
      <c r="CS27" s="358"/>
      <c r="CT27" s="358"/>
      <c r="CU27" s="358"/>
      <c r="CV27" s="358"/>
      <c r="CW27" s="358"/>
      <c r="CX27" s="358"/>
      <c r="CY27" s="358"/>
      <c r="CZ27" s="358"/>
      <c r="DA27" s="358"/>
      <c r="DB27" s="358"/>
      <c r="DC27" s="358"/>
      <c r="DD27" s="358"/>
      <c r="DE27" s="358"/>
      <c r="DF27" s="358"/>
      <c r="DG27" s="358"/>
      <c r="DH27" s="358"/>
      <c r="DI27" s="358"/>
      <c r="DJ27" s="358"/>
      <c r="DK27" s="358"/>
      <c r="DL27" s="358"/>
      <c r="DM27" s="358"/>
      <c r="DN27" s="358"/>
      <c r="DO27" s="358"/>
      <c r="DP27" s="358"/>
      <c r="DQ27" s="358"/>
      <c r="DR27" s="358"/>
      <c r="DS27" s="358"/>
      <c r="DT27" s="358"/>
      <c r="DU27" s="358"/>
      <c r="DV27" s="358"/>
      <c r="DW27" s="358"/>
    </row>
    <row r="28" ht="15.0" customHeight="1">
      <c r="A28" s="343">
        <v>41933.0</v>
      </c>
      <c r="B28" s="344" t="s">
        <v>1341</v>
      </c>
      <c r="C28" s="344" t="s">
        <v>1342</v>
      </c>
      <c r="D28" s="344"/>
      <c r="E28" s="345" t="str">
        <f>IFERROR(__xludf.DUMMYFUNCTION("if(and(D28&lt;&gt;0,D28&lt;&gt;""""),D28/GOOGLEFINANCE(C28,""price"")-1,"""")"),"")</f>
        <v/>
      </c>
      <c r="F28" s="364">
        <f>IFERROR(__xludf.DUMMYFUNCTION("GOOGLEFINANCE(C28,""price"")"),113.33)</f>
        <v>113.33</v>
      </c>
      <c r="G28" s="345">
        <f t="shared" si="6"/>
        <v>-0.4435822507</v>
      </c>
      <c r="H28" s="347"/>
      <c r="I28" s="368">
        <f>3.2*($I$1+5)</f>
        <v>63.05882353</v>
      </c>
      <c r="J28" s="349"/>
      <c r="K28" s="349"/>
      <c r="L28" s="350"/>
      <c r="M28" s="351">
        <f t="shared" si="7"/>
        <v>-119.9023034</v>
      </c>
      <c r="N28" s="349">
        <f t="shared" si="8"/>
        <v>0</v>
      </c>
      <c r="O28" s="389"/>
      <c r="P28" s="352"/>
      <c r="Q28" s="353"/>
      <c r="R28" s="365"/>
      <c r="S28" s="365"/>
      <c r="T28" s="365"/>
      <c r="U28" s="356"/>
      <c r="V28" s="344"/>
      <c r="W28" s="344"/>
      <c r="X28" s="344"/>
      <c r="Y28" s="344"/>
      <c r="Z28" s="344"/>
      <c r="AA28" s="344"/>
      <c r="AB28" s="344"/>
      <c r="AC28" s="344"/>
      <c r="AD28" s="344"/>
      <c r="AE28" s="344"/>
      <c r="AF28" s="344"/>
      <c r="AG28" s="344"/>
      <c r="AH28" s="344"/>
      <c r="AI28" s="344"/>
      <c r="AJ28" s="344"/>
      <c r="AK28" s="344"/>
      <c r="AL28" s="344"/>
      <c r="AM28" s="344"/>
      <c r="AN28" s="344"/>
      <c r="AO28" s="344"/>
      <c r="AP28" s="344"/>
      <c r="AQ28" s="344"/>
      <c r="AR28" s="344"/>
      <c r="AS28" s="344"/>
      <c r="AT28" s="344"/>
      <c r="AU28" s="344"/>
      <c r="AV28" s="344"/>
      <c r="AW28" s="344"/>
      <c r="AX28" s="344"/>
      <c r="AY28" s="344"/>
      <c r="AZ28" s="344"/>
      <c r="BA28" s="344"/>
      <c r="BB28" s="344"/>
      <c r="BC28" s="344"/>
      <c r="BD28" s="344"/>
      <c r="BE28" s="344"/>
      <c r="BF28" s="344"/>
      <c r="BG28" s="344"/>
      <c r="BH28" s="344"/>
      <c r="BI28" s="344"/>
      <c r="BJ28" s="344"/>
      <c r="BK28" s="344"/>
      <c r="BL28" s="344"/>
      <c r="BM28" s="344"/>
      <c r="BN28" s="344"/>
      <c r="BO28" s="344"/>
      <c r="BP28" s="344"/>
      <c r="BQ28" s="344"/>
      <c r="BR28" s="344"/>
      <c r="BS28" s="344"/>
      <c r="BT28" s="344"/>
      <c r="BU28" s="344"/>
      <c r="BV28" s="344"/>
      <c r="BW28" s="344"/>
      <c r="BX28" s="344"/>
      <c r="BY28" s="344"/>
      <c r="BZ28" s="344"/>
      <c r="CA28" s="344"/>
      <c r="CB28" s="344"/>
      <c r="CC28" s="344"/>
      <c r="CD28" s="344"/>
      <c r="CE28" s="344"/>
      <c r="CF28" s="344"/>
      <c r="CG28" s="344"/>
      <c r="CH28" s="344"/>
      <c r="CI28" s="344"/>
      <c r="CJ28" s="344"/>
      <c r="CK28" s="344"/>
      <c r="CL28" s="344"/>
      <c r="CM28" s="344"/>
      <c r="CN28" s="344"/>
      <c r="CO28" s="344"/>
      <c r="CP28" s="344"/>
      <c r="CQ28" s="344"/>
      <c r="CR28" s="344"/>
      <c r="CS28" s="344"/>
      <c r="CT28" s="344"/>
      <c r="CU28" s="344"/>
      <c r="CV28" s="344"/>
      <c r="CW28" s="344"/>
      <c r="CX28" s="344"/>
      <c r="CY28" s="344"/>
      <c r="CZ28" s="344"/>
      <c r="DA28" s="344"/>
      <c r="DB28" s="344"/>
      <c r="DC28" s="344"/>
      <c r="DD28" s="344"/>
      <c r="DE28" s="344"/>
      <c r="DF28" s="344"/>
      <c r="DG28" s="344"/>
      <c r="DH28" s="344"/>
      <c r="DI28" s="344"/>
      <c r="DJ28" s="344"/>
      <c r="DK28" s="344"/>
      <c r="DL28" s="344"/>
      <c r="DM28" s="344"/>
      <c r="DN28" s="344"/>
      <c r="DO28" s="344"/>
      <c r="DP28" s="344"/>
      <c r="DQ28" s="344"/>
      <c r="DR28" s="344"/>
      <c r="DS28" s="344"/>
      <c r="DT28" s="344"/>
      <c r="DU28" s="344"/>
      <c r="DV28" s="344"/>
      <c r="DW28" s="344"/>
    </row>
    <row r="29" ht="15.0" customHeight="1">
      <c r="A29" s="372">
        <v>41933.0</v>
      </c>
      <c r="B29" s="384" t="s">
        <v>1344</v>
      </c>
      <c r="C29" s="384" t="s">
        <v>1345</v>
      </c>
      <c r="D29" s="384">
        <v>145.0</v>
      </c>
      <c r="E29" s="374">
        <f>IFERROR(__xludf.DUMMYFUNCTION("if(and(D29&lt;&gt;0,D29&lt;&gt;""""),D29/GOOGLEFINANCE(C29,""price"")-1,"""")"),-0.28589017483378487)</f>
        <v>-0.2858901748</v>
      </c>
      <c r="F29" s="375">
        <f>IFERROR(__xludf.DUMMYFUNCTION("GOOGLEFINANCE(C29,""price"")"),203.05)</f>
        <v>203.05</v>
      </c>
      <c r="G29" s="374">
        <f t="shared" si="6"/>
        <v>0.286162204</v>
      </c>
      <c r="H29" s="376"/>
      <c r="I29" s="368">
        <f>N29*($I$1+O29*100)</f>
        <v>261.1552355</v>
      </c>
      <c r="J29" s="377">
        <v>14.24</v>
      </c>
      <c r="K29" s="377">
        <v>14.52</v>
      </c>
      <c r="L29" s="378">
        <v>43465.0</v>
      </c>
      <c r="M29" s="379">
        <f t="shared" si="7"/>
        <v>-0.820111578</v>
      </c>
      <c r="N29" s="380">
        <f t="shared" si="8"/>
        <v>14.74963124</v>
      </c>
      <c r="O29" s="370">
        <v>0.03</v>
      </c>
      <c r="P29" s="370"/>
      <c r="Q29" s="371"/>
      <c r="R29" s="378"/>
      <c r="S29" s="378">
        <v>43429.0</v>
      </c>
      <c r="T29" s="381" t="s">
        <v>1223</v>
      </c>
      <c r="U29" s="386" t="s">
        <v>1347</v>
      </c>
      <c r="V29" s="344"/>
      <c r="W29" s="344"/>
      <c r="X29" s="344"/>
      <c r="Y29" s="344"/>
      <c r="Z29" s="344"/>
      <c r="AA29" s="344"/>
      <c r="AB29" s="344"/>
      <c r="AC29" s="344"/>
      <c r="AD29" s="344"/>
      <c r="AE29" s="344"/>
      <c r="AF29" s="344"/>
      <c r="AG29" s="344"/>
      <c r="AH29" s="344"/>
      <c r="AI29" s="344"/>
      <c r="AJ29" s="344"/>
      <c r="AK29" s="344"/>
      <c r="AL29" s="344"/>
      <c r="AM29" s="344"/>
      <c r="AN29" s="344"/>
      <c r="AO29" s="344"/>
      <c r="AP29" s="344"/>
      <c r="AQ29" s="344"/>
      <c r="AR29" s="344"/>
      <c r="AS29" s="344"/>
      <c r="AT29" s="344"/>
      <c r="AU29" s="344"/>
      <c r="AV29" s="344"/>
      <c r="AW29" s="344"/>
      <c r="AX29" s="344"/>
      <c r="AY29" s="344"/>
      <c r="AZ29" s="344"/>
      <c r="BA29" s="344"/>
      <c r="BB29" s="344"/>
      <c r="BC29" s="344"/>
      <c r="BD29" s="344"/>
      <c r="BE29" s="344"/>
      <c r="BF29" s="344"/>
      <c r="BG29" s="344"/>
      <c r="BH29" s="344"/>
      <c r="BI29" s="344"/>
      <c r="BJ29" s="344"/>
      <c r="BK29" s="344"/>
      <c r="BL29" s="344"/>
      <c r="BM29" s="344"/>
      <c r="BN29" s="344"/>
      <c r="BO29" s="344"/>
      <c r="BP29" s="344"/>
      <c r="BQ29" s="344"/>
      <c r="BR29" s="344"/>
      <c r="BS29" s="344"/>
      <c r="BT29" s="344"/>
      <c r="BU29" s="344"/>
      <c r="BV29" s="344"/>
      <c r="BW29" s="344"/>
      <c r="BX29" s="344"/>
      <c r="BY29" s="344"/>
      <c r="BZ29" s="344"/>
      <c r="CA29" s="344"/>
      <c r="CB29" s="344"/>
      <c r="CC29" s="344"/>
      <c r="CD29" s="344"/>
      <c r="CE29" s="344"/>
      <c r="CF29" s="344"/>
      <c r="CG29" s="344"/>
      <c r="CH29" s="344"/>
      <c r="CI29" s="344"/>
      <c r="CJ29" s="344"/>
      <c r="CK29" s="344"/>
      <c r="CL29" s="344"/>
      <c r="CM29" s="344"/>
      <c r="CN29" s="344"/>
      <c r="CO29" s="344"/>
      <c r="CP29" s="344"/>
      <c r="CQ29" s="344"/>
      <c r="CR29" s="344"/>
      <c r="CS29" s="344"/>
      <c r="CT29" s="344"/>
      <c r="CU29" s="344"/>
      <c r="CV29" s="344"/>
      <c r="CW29" s="344"/>
      <c r="CX29" s="344"/>
      <c r="CY29" s="344"/>
      <c r="CZ29" s="344"/>
      <c r="DA29" s="344"/>
      <c r="DB29" s="344"/>
      <c r="DC29" s="344"/>
      <c r="DD29" s="344"/>
      <c r="DE29" s="344"/>
      <c r="DF29" s="344"/>
      <c r="DG29" s="344"/>
      <c r="DH29" s="344"/>
      <c r="DI29" s="344"/>
      <c r="DJ29" s="344"/>
      <c r="DK29" s="344"/>
      <c r="DL29" s="344"/>
      <c r="DM29" s="344"/>
      <c r="DN29" s="344"/>
      <c r="DO29" s="344"/>
      <c r="DP29" s="344"/>
      <c r="DQ29" s="344"/>
      <c r="DR29" s="344"/>
      <c r="DS29" s="344"/>
      <c r="DT29" s="344"/>
      <c r="DU29" s="344"/>
      <c r="DV29" s="344"/>
      <c r="DW29" s="344"/>
    </row>
    <row r="30" ht="15.0" customHeight="1">
      <c r="A30" s="394">
        <v>41290.0</v>
      </c>
      <c r="B30" s="302" t="s">
        <v>1348</v>
      </c>
      <c r="C30" s="302" t="s">
        <v>869</v>
      </c>
      <c r="D30" s="302"/>
      <c r="E30" s="396" t="str">
        <f>IFERROR(__xludf.DUMMYFUNCTION("if(and(D30&lt;&gt;0,D30&lt;&gt;""""),D30/GOOGLEFINANCE(C30,""price"")-1,"""")"),"")</f>
        <v/>
      </c>
      <c r="F30" s="397">
        <f>IFERROR(__xludf.DUMMYFUNCTION("GOOGLEFINANCE(C30,""price"")"),196.56)</f>
        <v>196.56</v>
      </c>
      <c r="G30" s="396">
        <f t="shared" si="6"/>
        <v>-0.9372964998</v>
      </c>
      <c r="H30" s="398"/>
      <c r="I30" s="399">
        <f>24.65*0.5</f>
        <v>12.325</v>
      </c>
      <c r="J30" s="403"/>
      <c r="K30" s="403"/>
      <c r="L30" s="410"/>
      <c r="M30" s="402">
        <f t="shared" si="7"/>
        <v>-119.9023034</v>
      </c>
      <c r="N30" s="403">
        <f t="shared" si="8"/>
        <v>0</v>
      </c>
      <c r="O30" s="410"/>
      <c r="P30" s="411"/>
      <c r="Q30" s="402"/>
      <c r="R30" s="412"/>
      <c r="S30" s="412"/>
      <c r="T30" s="412"/>
      <c r="U30" s="413" t="s">
        <v>1351</v>
      </c>
      <c r="V30" s="414"/>
      <c r="W30" s="414"/>
      <c r="X30" s="414"/>
      <c r="Y30" s="414"/>
      <c r="Z30" s="414"/>
      <c r="AA30" s="414"/>
      <c r="AB30" s="414"/>
      <c r="AC30" s="414"/>
      <c r="AD30" s="414"/>
      <c r="AE30" s="414"/>
      <c r="AF30" s="414"/>
      <c r="AG30" s="414"/>
      <c r="AH30" s="414"/>
      <c r="AI30" s="414"/>
      <c r="AJ30" s="414"/>
      <c r="AK30" s="414"/>
      <c r="AL30" s="414"/>
      <c r="AM30" s="414"/>
      <c r="AN30" s="414"/>
      <c r="AO30" s="414"/>
      <c r="AP30" s="414"/>
      <c r="AQ30" s="414"/>
      <c r="AR30" s="414"/>
      <c r="AS30" s="414"/>
      <c r="AT30" s="414"/>
      <c r="AU30" s="414"/>
      <c r="AV30" s="414"/>
      <c r="AW30" s="414"/>
      <c r="AX30" s="414"/>
      <c r="AY30" s="414"/>
      <c r="AZ30" s="414"/>
      <c r="BA30" s="414"/>
      <c r="BB30" s="414"/>
      <c r="BC30" s="414"/>
      <c r="BD30" s="414"/>
      <c r="BE30" s="414"/>
      <c r="BF30" s="414"/>
      <c r="BG30" s="414"/>
      <c r="BH30" s="414"/>
      <c r="BI30" s="414"/>
      <c r="BJ30" s="414"/>
      <c r="BK30" s="414"/>
      <c r="BL30" s="414"/>
      <c r="BM30" s="414"/>
      <c r="BN30" s="414"/>
      <c r="BO30" s="414"/>
      <c r="BP30" s="414"/>
      <c r="BQ30" s="414"/>
      <c r="BR30" s="414"/>
      <c r="BS30" s="414"/>
      <c r="BT30" s="414"/>
      <c r="BU30" s="414"/>
      <c r="BV30" s="414"/>
      <c r="BW30" s="414"/>
      <c r="BX30" s="414"/>
      <c r="BY30" s="414"/>
      <c r="BZ30" s="414"/>
      <c r="CA30" s="414"/>
      <c r="CB30" s="414"/>
      <c r="CC30" s="414"/>
      <c r="CD30" s="414"/>
      <c r="CE30" s="414"/>
      <c r="CF30" s="414"/>
      <c r="CG30" s="414"/>
      <c r="CH30" s="414"/>
      <c r="CI30" s="414"/>
      <c r="CJ30" s="414"/>
      <c r="CK30" s="414"/>
      <c r="CL30" s="414"/>
      <c r="CM30" s="414"/>
      <c r="CN30" s="414"/>
      <c r="CO30" s="414"/>
      <c r="CP30" s="414"/>
      <c r="CQ30" s="414"/>
      <c r="CR30" s="414"/>
      <c r="CS30" s="414"/>
      <c r="CT30" s="414"/>
      <c r="CU30" s="414"/>
      <c r="CV30" s="414"/>
      <c r="CW30" s="414"/>
      <c r="CX30" s="414"/>
      <c r="CY30" s="414"/>
      <c r="CZ30" s="414"/>
      <c r="DA30" s="414"/>
      <c r="DB30" s="414"/>
      <c r="DC30" s="414"/>
      <c r="DD30" s="414"/>
      <c r="DE30" s="414"/>
      <c r="DF30" s="414"/>
      <c r="DG30" s="414"/>
      <c r="DH30" s="414"/>
      <c r="DI30" s="414"/>
      <c r="DJ30" s="414"/>
      <c r="DK30" s="414"/>
      <c r="DL30" s="414"/>
      <c r="DM30" s="414"/>
      <c r="DN30" s="414"/>
      <c r="DO30" s="414"/>
      <c r="DP30" s="414"/>
      <c r="DQ30" s="414"/>
      <c r="DR30" s="414"/>
      <c r="DS30" s="414"/>
      <c r="DT30" s="414"/>
      <c r="DU30" s="414"/>
      <c r="DV30" s="414"/>
      <c r="DW30" s="414"/>
    </row>
    <row r="31" ht="15.0" customHeight="1">
      <c r="A31" s="372">
        <v>42444.0</v>
      </c>
      <c r="B31" s="384" t="s">
        <v>1353</v>
      </c>
      <c r="C31" s="384" t="s">
        <v>1053</v>
      </c>
      <c r="D31" s="418">
        <v>1650.0</v>
      </c>
      <c r="E31" s="374">
        <f>IFERROR(__xludf.DUMMYFUNCTION("if(and(D31&lt;&gt;0,D31&lt;&gt;""""),D31/GOOGLEFINANCE(C31,""price"")-1,"""")"),-0.06320791674473258)</f>
        <v>-0.06320791674</v>
      </c>
      <c r="F31" s="375">
        <f>IFERROR(__xludf.DUMMYFUNCTION("GOOGLEFINANCE(C31,""price"")"),1761.33)</f>
        <v>1761.33</v>
      </c>
      <c r="G31" s="374">
        <f t="shared" si="6"/>
        <v>0.2978711449</v>
      </c>
      <c r="H31" s="376"/>
      <c r="I31" s="368">
        <f>sum(CY31:DS31)</f>
        <v>2285.979384</v>
      </c>
      <c r="J31" s="377">
        <f>241545/500*0.1</f>
        <v>48.309</v>
      </c>
      <c r="K31" s="377">
        <f>J31*(1+O31)</f>
        <v>60.38625</v>
      </c>
      <c r="L31" s="378">
        <v>43830.0</v>
      </c>
      <c r="M31" s="379">
        <f t="shared" si="7"/>
        <v>0.1798884283</v>
      </c>
      <c r="N31" s="380">
        <f t="shared" si="8"/>
        <v>58.21369248</v>
      </c>
      <c r="O31" s="370">
        <v>0.25</v>
      </c>
      <c r="P31" s="370">
        <v>0.25</v>
      </c>
      <c r="Q31" s="371">
        <f>I31/N31</f>
        <v>39.26875768</v>
      </c>
      <c r="R31" s="381">
        <v>8.0</v>
      </c>
      <c r="S31" s="378">
        <v>43669.0</v>
      </c>
      <c r="T31" s="387" t="s">
        <v>1240</v>
      </c>
      <c r="U31" s="382" t="s">
        <v>1356</v>
      </c>
      <c r="V31" s="392">
        <f>O31</f>
        <v>0.25</v>
      </c>
      <c r="W31" s="392">
        <f>max(min(Valu!$C$15,$O31),$O31-max($O31-Valu!$C$15,0)/$R31*(W$3-1))</f>
        <v>0.2225</v>
      </c>
      <c r="X31" s="392">
        <f>max(min(Valu!$C$15,$O31),$O31-max($O31-Valu!$C$15,0)/$R31*(X$3-1))</f>
        <v>0.195</v>
      </c>
      <c r="Y31" s="392">
        <f>max(min(Valu!$C$15,$O31),$O31-max($O31-Valu!$C$15,0)/$R31*(Y$3-1))</f>
        <v>0.1675</v>
      </c>
      <c r="Z31" s="392">
        <f>max(min(Valu!$C$15,$O31),$O31-max($O31-Valu!$C$15,0)/$R31*(Z$3-1))</f>
        <v>0.14</v>
      </c>
      <c r="AA31" s="392">
        <f>max(min(Valu!$C$15,$O31),$O31-max($O31-Valu!$C$15,0)/$R31*(AA$3-1))</f>
        <v>0.1125</v>
      </c>
      <c r="AB31" s="392">
        <f>max(min(Valu!$C$15,$O31),$O31-max($O31-Valu!$C$15,0)/$R31*(AB$3-1))</f>
        <v>0.085</v>
      </c>
      <c r="AC31" s="392">
        <f>max(min(Valu!$C$15,$O31),$O31-max($O31-Valu!$C$15,0)/$R31*(AC$3-1))</f>
        <v>0.0575</v>
      </c>
      <c r="AD31" s="392">
        <f>max(min(Valu!$C$15,$O31),$O31-max($O31-Valu!$C$15,0)/$R31*(AD$3-1))</f>
        <v>0.03</v>
      </c>
      <c r="AE31" s="392">
        <f>max(min(Valu!$C$15,$O31),$O31-max($O31-Valu!$C$15,0)/$R31*(AE$3-1))</f>
        <v>0.03</v>
      </c>
      <c r="AF31" s="392">
        <f>max(min(Valu!$C$15,$O31),$O31-max($O31-Valu!$C$15,0)/$R31*(AF$3-1))</f>
        <v>0.03</v>
      </c>
      <c r="AG31" s="392">
        <f>max(min(Valu!$C$15,$O31),$O31-max($O31-Valu!$C$15,0)/$R31*(AG$3-1))</f>
        <v>0.03</v>
      </c>
      <c r="AH31" s="392">
        <f>max(min(Valu!$C$15,$O31),$O31-max($O31-Valu!$C$15,0)/$R31*(AH$3-1))</f>
        <v>0.03</v>
      </c>
      <c r="AI31" s="392">
        <f>max(min(Valu!$C$15,$O31),$O31-max($O31-Valu!$C$15,0)/$R31*(AI$3-1))</f>
        <v>0.03</v>
      </c>
      <c r="AJ31" s="392">
        <f>max(min(Valu!$C$15,$O31),$O31-max($O31-Valu!$C$15,0)/$R31*(AJ$3-1))</f>
        <v>0.03</v>
      </c>
      <c r="AK31" s="392">
        <f>max(min(Valu!$C$15,$O31),$O31-max($O31-Valu!$C$15,0)/$R31*(AK$3-1))</f>
        <v>0.03</v>
      </c>
      <c r="AL31" s="392">
        <f>max(min(Valu!$C$15,$O31),$O31-max($O31-Valu!$C$15,0)/$R31*(AL$3-1))</f>
        <v>0.03</v>
      </c>
      <c r="AM31" s="392">
        <f>max(min(Valu!$C$15,$O31),$O31-max($O31-Valu!$C$15,0)/$R31*(AM$3-1))</f>
        <v>0.03</v>
      </c>
      <c r="AN31" s="392">
        <f>max(min(Valu!$C$15,$O31),$O31-max($O31-Valu!$C$15,0)/$R31*(AN$3-1))</f>
        <v>0.03</v>
      </c>
      <c r="AO31" s="392">
        <f>max(min(Valu!$C$15,$O31),$O31-max($O31-Valu!$C$15,0)/$R31*(AO$3-1))</f>
        <v>0.03</v>
      </c>
      <c r="AP31" s="392">
        <f>max(min(Valu!$C$14,$P31),$P31-max($P31-Valu!$C$14,0)/$R31*(AP$3-1))</f>
        <v>0.25</v>
      </c>
      <c r="AQ31" s="392">
        <f>max(min(Valu!$C$14,$P31),$P31-max($P31-Valu!$C$14,0)/$R31*(AQ$3-1))</f>
        <v>0.23375</v>
      </c>
      <c r="AR31" s="392">
        <f>max(min(Valu!$C$14,$P31),$P31-max($P31-Valu!$C$14,0)/$R31*(AR$3-1))</f>
        <v>0.2175</v>
      </c>
      <c r="AS31" s="392">
        <f>max(min(Valu!$C$14,$P31),$P31-max($P31-Valu!$C$14,0)/$R31*(AS$3-1))</f>
        <v>0.20125</v>
      </c>
      <c r="AT31" s="392">
        <f>max(min(Valu!$C$14,$P31),$P31-max($P31-Valu!$C$14,0)/$R31*(AT$3-1))</f>
        <v>0.185</v>
      </c>
      <c r="AU31" s="392">
        <f>max(min(Valu!$C$14,$P31),$P31-max($P31-Valu!$C$14,0)/$R31*(AU$3-1))</f>
        <v>0.16875</v>
      </c>
      <c r="AV31" s="392">
        <f>max(min(Valu!$C$14,$P31),$P31-max($P31-Valu!$C$14,0)/$R31*(AV$3-1))</f>
        <v>0.1525</v>
      </c>
      <c r="AW31" s="392">
        <f>max(min(Valu!$C$14,$P31),$P31-max($P31-Valu!$C$14,0)/$R31*(AW$3-1))</f>
        <v>0.13625</v>
      </c>
      <c r="AX31" s="392">
        <f>max(min(Valu!$C$14,$P31),$P31-max($P31-Valu!$C$14,0)/$R31*(AX$3-1))</f>
        <v>0.12</v>
      </c>
      <c r="AY31" s="392">
        <f>max(min(Valu!$C$14,$P31),$P31-max($P31-Valu!$C$14,0)/$R31*(AY$3-1))</f>
        <v>0.12</v>
      </c>
      <c r="AZ31" s="392">
        <f>max(min(Valu!$C$14,$P31),$P31-max($P31-Valu!$C$14,0)/$R31*(AZ$3-1))</f>
        <v>0.12</v>
      </c>
      <c r="BA31" s="392">
        <f>max(min(Valu!$C$14,$P31),$P31-max($P31-Valu!$C$14,0)/$R31*(BA$3-1))</f>
        <v>0.12</v>
      </c>
      <c r="BB31" s="392">
        <f>max(min(Valu!$C$14,$P31),$P31-max($P31-Valu!$C$14,0)/$R31*(BB$3-1))</f>
        <v>0.12</v>
      </c>
      <c r="BC31" s="392">
        <f>max(min(Valu!$C$14,$P31),$P31-max($P31-Valu!$C$14,0)/$R31*(BC$3-1))</f>
        <v>0.12</v>
      </c>
      <c r="BD31" s="392">
        <f>max(min(Valu!$C$14,$P31),$P31-max($P31-Valu!$C$14,0)/$R31*(BD$3-1))</f>
        <v>0.12</v>
      </c>
      <c r="BE31" s="392">
        <f>max(min(Valu!$C$14,$P31),$P31-max($P31-Valu!$C$14,0)/$R31*(BE$3-1))</f>
        <v>0.12</v>
      </c>
      <c r="BF31" s="392">
        <f>max(min(Valu!$C$14,$P31),$P31-max($P31-Valu!$C$14,0)/$R31*(BF$3-1))</f>
        <v>0.12</v>
      </c>
      <c r="BG31" s="392">
        <f>max(min(Valu!$C$14,$P31),$P31-max($P31-Valu!$C$14,0)/$R31*(BG$3-1))</f>
        <v>0.12</v>
      </c>
      <c r="BH31" s="392">
        <f>max(min(Valu!$C$14,$P31),$P31-max($P31-Valu!$C$14,0)/$R31*(BH$3-1))</f>
        <v>0.12</v>
      </c>
      <c r="BI31" s="392">
        <f>max(min(Valu!$C$14,$P31),$P31-max($P31-Valu!$C$14,0)/$R31*(BI$3-1))</f>
        <v>0.12</v>
      </c>
      <c r="BJ31" s="393">
        <f>N31</f>
        <v>58.21369248</v>
      </c>
      <c r="BK31" s="369">
        <f>$BJ31*(1+V31)</f>
        <v>72.7671156</v>
      </c>
      <c r="BL31" s="369">
        <f t="shared" ref="BL31:CC31" si="14">BK31*(1+W31)</f>
        <v>88.95779882</v>
      </c>
      <c r="BM31" s="369">
        <f t="shared" si="14"/>
        <v>106.3045696</v>
      </c>
      <c r="BN31" s="369">
        <f t="shared" si="14"/>
        <v>124.110585</v>
      </c>
      <c r="BO31" s="369">
        <f t="shared" si="14"/>
        <v>141.4860669</v>
      </c>
      <c r="BP31" s="369">
        <f t="shared" si="14"/>
        <v>157.4032494</v>
      </c>
      <c r="BQ31" s="369">
        <f t="shared" si="14"/>
        <v>170.7825256</v>
      </c>
      <c r="BR31" s="369">
        <f t="shared" si="14"/>
        <v>180.6025208</v>
      </c>
      <c r="BS31" s="369">
        <f t="shared" si="14"/>
        <v>186.0205965</v>
      </c>
      <c r="BT31" s="369">
        <f t="shared" si="14"/>
        <v>191.6012144</v>
      </c>
      <c r="BU31" s="369">
        <f t="shared" si="14"/>
        <v>197.3492508</v>
      </c>
      <c r="BV31" s="369">
        <f t="shared" si="14"/>
        <v>203.2697283</v>
      </c>
      <c r="BW31" s="369">
        <f t="shared" si="14"/>
        <v>209.3678202</v>
      </c>
      <c r="BX31" s="369">
        <f t="shared" si="14"/>
        <v>215.6488548</v>
      </c>
      <c r="BY31" s="369">
        <f t="shared" si="14"/>
        <v>222.1183204</v>
      </c>
      <c r="BZ31" s="369">
        <f t="shared" si="14"/>
        <v>228.78187</v>
      </c>
      <c r="CA31" s="369">
        <f t="shared" si="14"/>
        <v>235.6453261</v>
      </c>
      <c r="CB31" s="369">
        <f t="shared" si="14"/>
        <v>242.7146859</v>
      </c>
      <c r="CC31" s="369">
        <f t="shared" si="14"/>
        <v>249.9961265</v>
      </c>
      <c r="CD31" s="369">
        <f t="shared" ref="CD31:CW31" si="15">BJ31*(1-V31/AP31)</f>
        <v>0</v>
      </c>
      <c r="CE31" s="369">
        <f t="shared" si="15"/>
        <v>3.502160644</v>
      </c>
      <c r="CF31" s="369">
        <f t="shared" si="15"/>
        <v>9.202530912</v>
      </c>
      <c r="CG31" s="369">
        <f t="shared" si="15"/>
        <v>17.8274744</v>
      </c>
      <c r="CH31" s="369">
        <f t="shared" si="15"/>
        <v>30.18906122</v>
      </c>
      <c r="CI31" s="369">
        <f t="shared" si="15"/>
        <v>47.1620223</v>
      </c>
      <c r="CJ31" s="369">
        <f t="shared" si="15"/>
        <v>69.67029073</v>
      </c>
      <c r="CK31" s="369">
        <f t="shared" si="15"/>
        <v>98.70916619</v>
      </c>
      <c r="CL31" s="369">
        <f t="shared" si="15"/>
        <v>135.4518906</v>
      </c>
      <c r="CM31" s="369">
        <f t="shared" si="15"/>
        <v>139.5154474</v>
      </c>
      <c r="CN31" s="369">
        <f t="shared" si="15"/>
        <v>143.7009108</v>
      </c>
      <c r="CO31" s="369">
        <f t="shared" si="15"/>
        <v>148.0119381</v>
      </c>
      <c r="CP31" s="369">
        <f t="shared" si="15"/>
        <v>152.4522962</v>
      </c>
      <c r="CQ31" s="369">
        <f t="shared" si="15"/>
        <v>157.0258651</v>
      </c>
      <c r="CR31" s="369">
        <f t="shared" si="15"/>
        <v>161.7366411</v>
      </c>
      <c r="CS31" s="369">
        <f t="shared" si="15"/>
        <v>166.5887403</v>
      </c>
      <c r="CT31" s="369">
        <f t="shared" si="15"/>
        <v>171.5864025</v>
      </c>
      <c r="CU31" s="369">
        <f t="shared" si="15"/>
        <v>176.7339946</v>
      </c>
      <c r="CV31" s="369">
        <f t="shared" si="15"/>
        <v>182.0360144</v>
      </c>
      <c r="CW31" s="369">
        <f t="shared" si="15"/>
        <v>187.4970949</v>
      </c>
      <c r="CX31" s="369">
        <f>CW31*(1+min(Valu!$C$15,$O31))/(Valu!$C$21-min(Valu!$C$15,$O31))</f>
        <v>5082.158098</v>
      </c>
      <c r="CY31" s="369">
        <f>CD31/(1+Valu!$C$21)^CY$3</f>
        <v>0</v>
      </c>
      <c r="CZ31" s="369">
        <f>CE31/(1+Valu!$C$21)^CZ$3</f>
        <v>3.070390106</v>
      </c>
      <c r="DA31" s="369">
        <f>CF31/(1+Valu!$C$21)^DA$3</f>
        <v>7.554287809</v>
      </c>
      <c r="DB31" s="369">
        <f>CG31/(1+Valu!$C$21)^DB$3</f>
        <v>13.70265776</v>
      </c>
      <c r="DC31" s="369">
        <f>CH31/(1+Valu!$C$21)^DC$3</f>
        <v>21.72667883</v>
      </c>
      <c r="DD31" s="369">
        <f>CI31/(1+Valu!$C$21)^DD$3</f>
        <v>31.7808057</v>
      </c>
      <c r="DE31" s="369">
        <f>CJ31/(1+Valu!$C$21)^DE$3</f>
        <v>43.95910624</v>
      </c>
      <c r="DF31" s="369">
        <f>CK31/(1+Valu!$C$21)^DF$3</f>
        <v>58.31596435</v>
      </c>
      <c r="DG31" s="369">
        <f>CL31/(1+Valu!$C$21)^DG$3</f>
        <v>74.92794076</v>
      </c>
      <c r="DH31" s="369">
        <f>CM31/(1+Valu!$C$21)^DH$3</f>
        <v>72.26196534</v>
      </c>
      <c r="DI31" s="369">
        <f>CN31/(1+Valu!$C$21)^DI$3</f>
        <v>69.69084672</v>
      </c>
      <c r="DJ31" s="369">
        <f>CO31/(1+Valu!$C$21)^DJ$3</f>
        <v>67.21120985</v>
      </c>
      <c r="DK31" s="369">
        <f>CP31/(1+Valu!$C$21)^DK$3</f>
        <v>64.81979976</v>
      </c>
      <c r="DL31" s="369">
        <f>CQ31/(1+Valu!$C$21)^DL$3</f>
        <v>62.5134773</v>
      </c>
      <c r="DM31" s="369">
        <f>CR31/(1+Valu!$C$21)^DM$3</f>
        <v>60.289215</v>
      </c>
      <c r="DN31" s="369">
        <f>CS31/(1+Valu!$C$21)^DN$3</f>
        <v>58.14409312</v>
      </c>
      <c r="DO31" s="369">
        <f>CT31/(1+Valu!$C$21)^DO$3</f>
        <v>56.0752958</v>
      </c>
      <c r="DP31" s="369">
        <f>CU31/(1+Valu!$C$21)^DP$3</f>
        <v>54.08010737</v>
      </c>
      <c r="DQ31" s="369">
        <f>CV31/(1+Valu!$C$21)^DQ$3</f>
        <v>52.15590879</v>
      </c>
      <c r="DR31" s="369">
        <f>CW31/(1+Valu!$C$21)^DR$3</f>
        <v>50.30017421</v>
      </c>
      <c r="DS31" s="369">
        <f>CX31/(1+Valu!$C$21)^DS$3</f>
        <v>1363.399459</v>
      </c>
      <c r="DT31" s="355"/>
      <c r="DU31" s="358"/>
      <c r="DV31" s="358"/>
      <c r="DW31" s="358"/>
    </row>
    <row r="32" ht="15.0" customHeight="1">
      <c r="A32" s="394">
        <v>40333.0</v>
      </c>
      <c r="B32" s="395" t="s">
        <v>1372</v>
      </c>
      <c r="C32" s="395" t="s">
        <v>1373</v>
      </c>
      <c r="D32" s="422"/>
      <c r="E32" s="396" t="str">
        <f>IFERROR(__xludf.DUMMYFUNCTION("if(and(D32&lt;&gt;0,D32&lt;&gt;""""),D32/GOOGLEFINANCE(C32,""price"")-1,"""")"),"")</f>
        <v/>
      </c>
      <c r="F32" s="397">
        <f>IFERROR(__xludf.DUMMYFUNCTION("GOOGLEFINANCE(C32,""price"")"),263.07)</f>
        <v>263.07</v>
      </c>
      <c r="G32" s="396">
        <f t="shared" si="6"/>
        <v>-0.0351930486</v>
      </c>
      <c r="H32" s="398">
        <v>30.0</v>
      </c>
      <c r="I32" s="398">
        <f>(12.88)*($I$1+5)</f>
        <v>253.8117647</v>
      </c>
      <c r="J32" s="403"/>
      <c r="K32" s="403"/>
      <c r="L32" s="410"/>
      <c r="M32" s="402">
        <f t="shared" si="7"/>
        <v>-119.9023034</v>
      </c>
      <c r="N32" s="403">
        <f t="shared" si="8"/>
        <v>0</v>
      </c>
      <c r="O32" s="410"/>
      <c r="P32" s="423"/>
      <c r="Q32" s="424"/>
      <c r="R32" s="425"/>
      <c r="S32" s="425"/>
      <c r="T32" s="425"/>
      <c r="U32" s="426" t="s">
        <v>1376</v>
      </c>
      <c r="V32" s="427"/>
      <c r="W32" s="427"/>
      <c r="X32" s="427"/>
      <c r="Y32" s="427"/>
      <c r="Z32" s="427"/>
      <c r="AA32" s="427"/>
      <c r="AB32" s="427"/>
      <c r="AC32" s="427"/>
      <c r="AD32" s="427"/>
      <c r="AE32" s="427"/>
      <c r="AF32" s="427"/>
      <c r="AG32" s="427"/>
      <c r="AH32" s="427"/>
      <c r="AI32" s="427"/>
      <c r="AJ32" s="427"/>
      <c r="AK32" s="427"/>
      <c r="AL32" s="427"/>
      <c r="AM32" s="427"/>
      <c r="AN32" s="427"/>
      <c r="AO32" s="427"/>
      <c r="AP32" s="427"/>
      <c r="AQ32" s="427"/>
      <c r="AR32" s="427"/>
      <c r="AS32" s="427"/>
      <c r="AT32" s="427"/>
      <c r="AU32" s="427"/>
      <c r="AV32" s="427"/>
      <c r="AW32" s="427"/>
      <c r="AX32" s="427"/>
      <c r="AY32" s="427"/>
      <c r="AZ32" s="427"/>
      <c r="BA32" s="427"/>
      <c r="BB32" s="427"/>
      <c r="BC32" s="427"/>
      <c r="BD32" s="427"/>
      <c r="BE32" s="427"/>
      <c r="BF32" s="427"/>
      <c r="BG32" s="427"/>
      <c r="BH32" s="427"/>
      <c r="BI32" s="427"/>
      <c r="BJ32" s="427"/>
      <c r="BK32" s="427"/>
      <c r="BL32" s="427"/>
      <c r="BM32" s="427"/>
      <c r="BN32" s="427"/>
      <c r="BO32" s="427"/>
      <c r="BP32" s="427"/>
      <c r="BQ32" s="427"/>
      <c r="BR32" s="427"/>
      <c r="BS32" s="427"/>
      <c r="BT32" s="427"/>
      <c r="BU32" s="427"/>
      <c r="BV32" s="427"/>
      <c r="BW32" s="427"/>
      <c r="BX32" s="427"/>
      <c r="BY32" s="427"/>
      <c r="BZ32" s="427"/>
      <c r="CA32" s="427"/>
      <c r="CB32" s="427"/>
      <c r="CC32" s="427"/>
      <c r="CD32" s="427"/>
      <c r="CE32" s="427"/>
      <c r="CF32" s="427"/>
      <c r="CG32" s="427"/>
      <c r="CH32" s="427"/>
      <c r="CI32" s="427"/>
      <c r="CJ32" s="427"/>
      <c r="CK32" s="427"/>
      <c r="CL32" s="427"/>
      <c r="CM32" s="427"/>
      <c r="CN32" s="427"/>
      <c r="CO32" s="427"/>
      <c r="CP32" s="427"/>
      <c r="CQ32" s="427"/>
      <c r="CR32" s="427"/>
      <c r="CS32" s="427"/>
      <c r="CT32" s="427"/>
      <c r="CU32" s="427"/>
      <c r="CV32" s="427"/>
      <c r="CW32" s="427"/>
      <c r="CX32" s="427"/>
      <c r="CY32" s="427"/>
      <c r="CZ32" s="427"/>
      <c r="DA32" s="427"/>
      <c r="DB32" s="427"/>
      <c r="DC32" s="427"/>
      <c r="DD32" s="427"/>
      <c r="DE32" s="427"/>
      <c r="DF32" s="427"/>
      <c r="DG32" s="427"/>
      <c r="DH32" s="427"/>
      <c r="DI32" s="427"/>
      <c r="DJ32" s="427"/>
      <c r="DK32" s="427"/>
      <c r="DL32" s="427"/>
      <c r="DM32" s="427"/>
      <c r="DN32" s="427"/>
      <c r="DO32" s="427"/>
      <c r="DP32" s="427"/>
      <c r="DQ32" s="427"/>
      <c r="DR32" s="427"/>
      <c r="DS32" s="427"/>
      <c r="DT32" s="427"/>
      <c r="DU32" s="427"/>
      <c r="DV32" s="427"/>
      <c r="DW32" s="427"/>
    </row>
    <row r="33" ht="15.0" customHeight="1">
      <c r="A33" s="372">
        <v>41964.0</v>
      </c>
      <c r="B33" s="384" t="s">
        <v>1378</v>
      </c>
      <c r="C33" s="384" t="s">
        <v>1250</v>
      </c>
      <c r="D33" s="373">
        <v>140.0</v>
      </c>
      <c r="E33" s="374">
        <f>IFERROR(__xludf.DUMMYFUNCTION("if(and(D33&lt;&gt;0,D33&lt;&gt;""""),D33/GOOGLEFINANCE(C33,""price"")-1,"""")"),-0.2578849721706865)</f>
        <v>-0.2578849722</v>
      </c>
      <c r="F33" s="375">
        <f>IFERROR(__xludf.DUMMYFUNCTION("GOOGLEFINANCE(C33,""price"")"),188.65)</f>
        <v>188.65</v>
      </c>
      <c r="G33" s="374">
        <f t="shared" si="6"/>
        <v>0.05261844998</v>
      </c>
      <c r="H33" s="376"/>
      <c r="I33" s="376">
        <f>average(7.6*($I$1+10)*1.05,200)</f>
        <v>198.5764706</v>
      </c>
      <c r="J33" s="377">
        <v>9.18</v>
      </c>
      <c r="K33" s="377">
        <v>10.18</v>
      </c>
      <c r="L33" s="378">
        <v>43830.0</v>
      </c>
      <c r="M33" s="379">
        <f t="shared" si="7"/>
        <v>0.1798884249</v>
      </c>
      <c r="N33" s="380">
        <f t="shared" si="8"/>
        <v>10.00011158</v>
      </c>
      <c r="O33" s="370">
        <v>0.01</v>
      </c>
      <c r="P33" s="370"/>
      <c r="Q33" s="371"/>
      <c r="R33" s="378"/>
      <c r="S33" s="378">
        <v>43499.0</v>
      </c>
      <c r="T33" s="381" t="s">
        <v>1223</v>
      </c>
      <c r="U33" s="386" t="s">
        <v>1380</v>
      </c>
      <c r="V33" s="344"/>
      <c r="W33" s="344"/>
      <c r="X33" s="344"/>
      <c r="Y33" s="344"/>
      <c r="Z33" s="344"/>
      <c r="AA33" s="344"/>
      <c r="AB33" s="344"/>
      <c r="AC33" s="344"/>
      <c r="AD33" s="344"/>
      <c r="AE33" s="344"/>
      <c r="AF33" s="344"/>
      <c r="AG33" s="344"/>
      <c r="AH33" s="344"/>
      <c r="AI33" s="344"/>
      <c r="AJ33" s="344"/>
      <c r="AK33" s="344"/>
      <c r="AL33" s="344"/>
      <c r="AM33" s="344"/>
      <c r="AN33" s="344"/>
      <c r="AO33" s="344"/>
      <c r="AP33" s="344"/>
      <c r="AQ33" s="344"/>
      <c r="AR33" s="344"/>
      <c r="AS33" s="344"/>
      <c r="AT33" s="344"/>
      <c r="AU33" s="344"/>
      <c r="AV33" s="344"/>
      <c r="AW33" s="344"/>
      <c r="AX33" s="344"/>
      <c r="AY33" s="344"/>
      <c r="AZ33" s="344"/>
      <c r="BA33" s="344"/>
      <c r="BB33" s="344"/>
      <c r="BC33" s="344"/>
      <c r="BD33" s="344"/>
      <c r="BE33" s="344"/>
      <c r="BF33" s="344"/>
      <c r="BG33" s="344"/>
      <c r="BH33" s="344"/>
      <c r="BI33" s="344"/>
      <c r="BJ33" s="344"/>
      <c r="BK33" s="344"/>
      <c r="BL33" s="344"/>
      <c r="BM33" s="344"/>
      <c r="BN33" s="344"/>
      <c r="BO33" s="344"/>
      <c r="BP33" s="344"/>
      <c r="BQ33" s="344"/>
      <c r="BR33" s="344"/>
      <c r="BS33" s="344"/>
      <c r="BT33" s="344"/>
      <c r="BU33" s="344"/>
      <c r="BV33" s="344"/>
      <c r="BW33" s="344"/>
      <c r="BX33" s="344"/>
      <c r="BY33" s="344"/>
      <c r="BZ33" s="344"/>
      <c r="CA33" s="344"/>
      <c r="CB33" s="344"/>
      <c r="CC33" s="344"/>
      <c r="CD33" s="344"/>
      <c r="CE33" s="344"/>
      <c r="CF33" s="344"/>
      <c r="CG33" s="344"/>
      <c r="CH33" s="344"/>
      <c r="CI33" s="344"/>
      <c r="CJ33" s="344"/>
      <c r="CK33" s="344"/>
      <c r="CL33" s="344"/>
      <c r="CM33" s="344"/>
      <c r="CN33" s="344"/>
      <c r="CO33" s="344"/>
      <c r="CP33" s="344"/>
      <c r="CQ33" s="344"/>
      <c r="CR33" s="344"/>
      <c r="CS33" s="344"/>
      <c r="CT33" s="344"/>
      <c r="CU33" s="344"/>
      <c r="CV33" s="344"/>
      <c r="CW33" s="344"/>
      <c r="CX33" s="344"/>
      <c r="CY33" s="344"/>
      <c r="CZ33" s="344"/>
      <c r="DA33" s="344"/>
      <c r="DB33" s="344"/>
      <c r="DC33" s="344"/>
      <c r="DD33" s="344"/>
      <c r="DE33" s="344"/>
      <c r="DF33" s="344"/>
      <c r="DG33" s="344"/>
      <c r="DH33" s="344"/>
      <c r="DI33" s="344"/>
      <c r="DJ33" s="344"/>
      <c r="DK33" s="344"/>
      <c r="DL33" s="344"/>
      <c r="DM33" s="344"/>
      <c r="DN33" s="344"/>
      <c r="DO33" s="344"/>
      <c r="DP33" s="344"/>
      <c r="DQ33" s="344"/>
      <c r="DR33" s="344"/>
      <c r="DS33" s="344"/>
      <c r="DT33" s="344"/>
      <c r="DU33" s="344"/>
      <c r="DV33" s="344"/>
      <c r="DW33" s="344"/>
    </row>
    <row r="34" ht="15.0" customHeight="1">
      <c r="A34" s="383">
        <v>41617.0</v>
      </c>
      <c r="B34" s="320" t="s">
        <v>1381</v>
      </c>
      <c r="C34" s="320" t="s">
        <v>1382</v>
      </c>
      <c r="D34" s="384">
        <v>125.0</v>
      </c>
      <c r="E34" s="374">
        <f>IFERROR(__xludf.DUMMYFUNCTION("if(and(D34&lt;&gt;0,D34&lt;&gt;""""),D34/GOOGLEFINANCE(C34,""price"")-1,"""")"),-0.4138610147238113)</f>
        <v>-0.4138610147</v>
      </c>
      <c r="F34" s="375">
        <f>IFERROR(__xludf.DUMMYFUNCTION("GOOGLEFINANCE(C34,""price"")"),213.26)</f>
        <v>213.26</v>
      </c>
      <c r="G34" s="374">
        <f t="shared" si="6"/>
        <v>-0.1312012573</v>
      </c>
      <c r="H34" s="376"/>
      <c r="I34" s="376">
        <f>N34*($I$1+O34*100)</f>
        <v>185.2800199</v>
      </c>
      <c r="J34" s="377">
        <v>8.18</v>
      </c>
      <c r="K34" s="377">
        <v>9.32</v>
      </c>
      <c r="L34" s="378">
        <v>43738.0</v>
      </c>
      <c r="M34" s="379">
        <f t="shared" si="7"/>
        <v>-0.07216637249</v>
      </c>
      <c r="N34" s="380">
        <f t="shared" si="8"/>
        <v>9.402269665</v>
      </c>
      <c r="O34" s="370">
        <v>0.05</v>
      </c>
      <c r="P34" s="370"/>
      <c r="Q34" s="371"/>
      <c r="R34" s="378"/>
      <c r="S34" s="378">
        <v>43546.0</v>
      </c>
      <c r="T34" s="381" t="s">
        <v>1223</v>
      </c>
      <c r="U34" s="386" t="s">
        <v>1384</v>
      </c>
      <c r="V34" s="344"/>
      <c r="W34" s="344"/>
      <c r="X34" s="344"/>
      <c r="Y34" s="344"/>
      <c r="Z34" s="344"/>
      <c r="AA34" s="344"/>
      <c r="AB34" s="344"/>
      <c r="AC34" s="344"/>
      <c r="AD34" s="344"/>
      <c r="AE34" s="344"/>
      <c r="AF34" s="344"/>
      <c r="AG34" s="344"/>
      <c r="AH34" s="344"/>
      <c r="AI34" s="344"/>
      <c r="AJ34" s="344"/>
      <c r="AK34" s="344"/>
      <c r="AL34" s="344"/>
      <c r="AM34" s="344"/>
      <c r="AN34" s="344"/>
      <c r="AO34" s="344"/>
      <c r="AP34" s="344"/>
      <c r="AQ34" s="344"/>
      <c r="AR34" s="344"/>
      <c r="AS34" s="344"/>
      <c r="AT34" s="344"/>
      <c r="AU34" s="344"/>
      <c r="AV34" s="344"/>
      <c r="AW34" s="344"/>
      <c r="AX34" s="344"/>
      <c r="AY34" s="344"/>
      <c r="AZ34" s="344"/>
      <c r="BA34" s="344"/>
      <c r="BB34" s="344"/>
      <c r="BC34" s="344"/>
      <c r="BD34" s="344"/>
      <c r="BE34" s="344"/>
      <c r="BF34" s="344"/>
      <c r="BG34" s="344"/>
      <c r="BH34" s="344"/>
      <c r="BI34" s="344"/>
      <c r="BJ34" s="344"/>
      <c r="BK34" s="344"/>
      <c r="BL34" s="344"/>
      <c r="BM34" s="344"/>
      <c r="BN34" s="344"/>
      <c r="BO34" s="344"/>
      <c r="BP34" s="344"/>
      <c r="BQ34" s="344"/>
      <c r="BR34" s="344"/>
      <c r="BS34" s="344"/>
      <c r="BT34" s="344"/>
      <c r="BU34" s="344"/>
      <c r="BV34" s="344"/>
      <c r="BW34" s="344"/>
      <c r="BX34" s="344"/>
      <c r="BY34" s="344"/>
      <c r="BZ34" s="344"/>
      <c r="CA34" s="344"/>
      <c r="CB34" s="344"/>
      <c r="CC34" s="344"/>
      <c r="CD34" s="344"/>
      <c r="CE34" s="344"/>
      <c r="CF34" s="344"/>
      <c r="CG34" s="344"/>
      <c r="CH34" s="344"/>
      <c r="CI34" s="344"/>
      <c r="CJ34" s="344"/>
      <c r="CK34" s="344"/>
      <c r="CL34" s="344"/>
      <c r="CM34" s="344"/>
      <c r="CN34" s="344"/>
      <c r="CO34" s="344"/>
      <c r="CP34" s="344"/>
      <c r="CQ34" s="344"/>
      <c r="CR34" s="344"/>
      <c r="CS34" s="344"/>
      <c r="CT34" s="344"/>
      <c r="CU34" s="344"/>
      <c r="CV34" s="344"/>
      <c r="CW34" s="344"/>
      <c r="CX34" s="344"/>
      <c r="CY34" s="344"/>
      <c r="CZ34" s="344"/>
      <c r="DA34" s="344"/>
      <c r="DB34" s="344"/>
      <c r="DC34" s="344"/>
      <c r="DD34" s="344"/>
      <c r="DE34" s="344"/>
      <c r="DF34" s="344"/>
      <c r="DG34" s="344"/>
      <c r="DH34" s="344"/>
      <c r="DI34" s="344"/>
      <c r="DJ34" s="344"/>
      <c r="DK34" s="344"/>
      <c r="DL34" s="344"/>
      <c r="DM34" s="344"/>
      <c r="DN34" s="344"/>
      <c r="DO34" s="344"/>
      <c r="DP34" s="344"/>
      <c r="DQ34" s="344"/>
      <c r="DR34" s="344"/>
      <c r="DS34" s="344"/>
      <c r="DT34" s="344"/>
      <c r="DU34" s="344"/>
      <c r="DV34" s="344"/>
      <c r="DW34" s="344"/>
    </row>
    <row r="35" ht="15.0" customHeight="1">
      <c r="A35" s="383">
        <v>41137.0</v>
      </c>
      <c r="B35" s="320" t="s">
        <v>1385</v>
      </c>
      <c r="C35" s="320" t="s">
        <v>1386</v>
      </c>
      <c r="D35" s="320"/>
      <c r="E35" s="374" t="str">
        <f>IFERROR(__xludf.DUMMYFUNCTION("if(and(D35&lt;&gt;0,D35&lt;&gt;""""),D35/GOOGLEFINANCE(C35,""price"")-1,"""")"),"")</f>
        <v/>
      </c>
      <c r="F35" s="375">
        <f>IFERROR(__xludf.DUMMYFUNCTION("GOOGLEFINANCE(C35,""price"")"),100.23)</f>
        <v>100.23</v>
      </c>
      <c r="G35" s="374">
        <f t="shared" si="6"/>
        <v>-0.3637222623</v>
      </c>
      <c r="H35" s="376"/>
      <c r="I35" s="347">
        <f>(2.97*0.5+3.19*0.5)*($I$1+6)</f>
        <v>63.77411765</v>
      </c>
      <c r="J35" s="380"/>
      <c r="K35" s="380"/>
      <c r="L35" s="389"/>
      <c r="M35" s="379">
        <f t="shared" si="7"/>
        <v>-119.9023034</v>
      </c>
      <c r="N35" s="380">
        <f t="shared" si="8"/>
        <v>0</v>
      </c>
      <c r="O35" s="389"/>
      <c r="P35" s="415"/>
      <c r="Q35" s="379"/>
      <c r="R35" s="416"/>
      <c r="S35" s="416"/>
      <c r="T35" s="416"/>
      <c r="U35" s="417" t="s">
        <v>1389</v>
      </c>
      <c r="V35" s="367"/>
      <c r="W35" s="367"/>
      <c r="X35" s="367"/>
      <c r="Y35" s="367"/>
      <c r="Z35" s="367"/>
      <c r="AA35" s="367"/>
      <c r="AB35" s="367"/>
      <c r="AC35" s="367"/>
      <c r="AD35" s="367"/>
      <c r="AE35" s="367"/>
      <c r="AF35" s="367"/>
      <c r="AG35" s="367"/>
      <c r="AH35" s="367"/>
      <c r="AI35" s="367"/>
      <c r="AJ35" s="367"/>
      <c r="AK35" s="367"/>
      <c r="AL35" s="367"/>
      <c r="AM35" s="367"/>
      <c r="AN35" s="367"/>
      <c r="AO35" s="367"/>
      <c r="AP35" s="367"/>
      <c r="AQ35" s="367"/>
      <c r="AR35" s="367"/>
      <c r="AS35" s="367"/>
      <c r="AT35" s="367"/>
      <c r="AU35" s="367"/>
      <c r="AV35" s="367"/>
      <c r="AW35" s="367"/>
      <c r="AX35" s="367"/>
      <c r="AY35" s="367"/>
      <c r="AZ35" s="367"/>
      <c r="BA35" s="367"/>
      <c r="BB35" s="367"/>
      <c r="BC35" s="367"/>
      <c r="BD35" s="367"/>
      <c r="BE35" s="367"/>
      <c r="BF35" s="367"/>
      <c r="BG35" s="367"/>
      <c r="BH35" s="367"/>
      <c r="BI35" s="367"/>
      <c r="BJ35" s="367"/>
      <c r="BK35" s="367"/>
      <c r="BL35" s="367"/>
      <c r="BM35" s="367"/>
      <c r="BN35" s="367"/>
      <c r="BO35" s="367"/>
      <c r="BP35" s="367"/>
      <c r="BQ35" s="367"/>
      <c r="BR35" s="367"/>
      <c r="BS35" s="367"/>
      <c r="BT35" s="367"/>
      <c r="BU35" s="367"/>
      <c r="BV35" s="367"/>
      <c r="BW35" s="367"/>
      <c r="BX35" s="367"/>
      <c r="BY35" s="367"/>
      <c r="BZ35" s="367"/>
      <c r="CA35" s="367"/>
      <c r="CB35" s="367"/>
      <c r="CC35" s="367"/>
      <c r="CD35" s="367"/>
      <c r="CE35" s="367"/>
      <c r="CF35" s="367"/>
      <c r="CG35" s="367"/>
      <c r="CH35" s="367"/>
      <c r="CI35" s="367"/>
      <c r="CJ35" s="367"/>
      <c r="CK35" s="367"/>
      <c r="CL35" s="367"/>
      <c r="CM35" s="367"/>
      <c r="CN35" s="367"/>
      <c r="CO35" s="367"/>
      <c r="CP35" s="367"/>
      <c r="CQ35" s="367"/>
      <c r="CR35" s="367"/>
      <c r="CS35" s="367"/>
      <c r="CT35" s="367"/>
      <c r="CU35" s="367"/>
      <c r="CV35" s="367"/>
      <c r="CW35" s="367"/>
      <c r="CX35" s="367"/>
      <c r="CY35" s="367"/>
      <c r="CZ35" s="367"/>
      <c r="DA35" s="367"/>
      <c r="DB35" s="367"/>
      <c r="DC35" s="367"/>
      <c r="DD35" s="367"/>
      <c r="DE35" s="367"/>
      <c r="DF35" s="367"/>
      <c r="DG35" s="367"/>
      <c r="DH35" s="367"/>
      <c r="DI35" s="367"/>
      <c r="DJ35" s="367"/>
      <c r="DK35" s="367"/>
      <c r="DL35" s="367"/>
      <c r="DM35" s="367"/>
      <c r="DN35" s="367"/>
      <c r="DO35" s="367"/>
      <c r="DP35" s="367"/>
      <c r="DQ35" s="367"/>
      <c r="DR35" s="367"/>
      <c r="DS35" s="367"/>
      <c r="DT35" s="367"/>
      <c r="DU35" s="367"/>
      <c r="DV35" s="367"/>
      <c r="DW35" s="367"/>
    </row>
    <row r="36" ht="15.0" customHeight="1">
      <c r="A36" s="394">
        <v>40936.0</v>
      </c>
      <c r="B36" s="302" t="s">
        <v>1390</v>
      </c>
      <c r="C36" s="302" t="s">
        <v>354</v>
      </c>
      <c r="D36" s="302"/>
      <c r="E36" s="396" t="str">
        <f>IFERROR(__xludf.DUMMYFUNCTION("if(and(D36&lt;&gt;0,D36&lt;&gt;""""),D36/GOOGLEFINANCE(C36,""price"")-1,"""")"),"")</f>
        <v/>
      </c>
      <c r="F36" s="397">
        <f>IFERROR(__xludf.DUMMYFUNCTION("GOOGLEFINANCE(C36,""price"")"),19.26)</f>
        <v>19.26</v>
      </c>
      <c r="G36" s="396" t="str">
        <f t="shared" si="6"/>
        <v/>
      </c>
      <c r="H36" s="398"/>
      <c r="I36" s="399"/>
      <c r="J36" s="403"/>
      <c r="K36" s="403"/>
      <c r="L36" s="410"/>
      <c r="M36" s="402">
        <f t="shared" si="7"/>
        <v>-119.9023034</v>
      </c>
      <c r="N36" s="403">
        <f t="shared" si="8"/>
        <v>0</v>
      </c>
      <c r="O36" s="410"/>
      <c r="P36" s="411"/>
      <c r="Q36" s="402"/>
      <c r="R36" s="412"/>
      <c r="S36" s="412"/>
      <c r="T36" s="412"/>
      <c r="U36" s="413" t="s">
        <v>1392</v>
      </c>
      <c r="V36" s="414"/>
      <c r="W36" s="414"/>
      <c r="X36" s="414"/>
      <c r="Y36" s="414"/>
      <c r="Z36" s="414"/>
      <c r="AA36" s="414"/>
      <c r="AB36" s="414"/>
      <c r="AC36" s="414"/>
      <c r="AD36" s="414"/>
      <c r="AE36" s="414"/>
      <c r="AF36" s="414"/>
      <c r="AG36" s="414"/>
      <c r="AH36" s="414"/>
      <c r="AI36" s="414"/>
      <c r="AJ36" s="414"/>
      <c r="AK36" s="414"/>
      <c r="AL36" s="414"/>
      <c r="AM36" s="414"/>
      <c r="AN36" s="414"/>
      <c r="AO36" s="414"/>
      <c r="AP36" s="414"/>
      <c r="AQ36" s="414"/>
      <c r="AR36" s="414"/>
      <c r="AS36" s="414"/>
      <c r="AT36" s="414"/>
      <c r="AU36" s="414"/>
      <c r="AV36" s="414"/>
      <c r="AW36" s="414"/>
      <c r="AX36" s="414"/>
      <c r="AY36" s="414"/>
      <c r="AZ36" s="414"/>
      <c r="BA36" s="414"/>
      <c r="BB36" s="414"/>
      <c r="BC36" s="414"/>
      <c r="BD36" s="414"/>
      <c r="BE36" s="414"/>
      <c r="BF36" s="414"/>
      <c r="BG36" s="414"/>
      <c r="BH36" s="414"/>
      <c r="BI36" s="414"/>
      <c r="BJ36" s="414"/>
      <c r="BK36" s="414"/>
      <c r="BL36" s="414"/>
      <c r="BM36" s="414"/>
      <c r="BN36" s="414"/>
      <c r="BO36" s="414"/>
      <c r="BP36" s="414"/>
      <c r="BQ36" s="414"/>
      <c r="BR36" s="414"/>
      <c r="BS36" s="414"/>
      <c r="BT36" s="414"/>
      <c r="BU36" s="414"/>
      <c r="BV36" s="414"/>
      <c r="BW36" s="414"/>
      <c r="BX36" s="414"/>
      <c r="BY36" s="414"/>
      <c r="BZ36" s="414"/>
      <c r="CA36" s="414"/>
      <c r="CB36" s="414"/>
      <c r="CC36" s="414"/>
      <c r="CD36" s="414"/>
      <c r="CE36" s="414"/>
      <c r="CF36" s="414"/>
      <c r="CG36" s="414"/>
      <c r="CH36" s="414"/>
      <c r="CI36" s="414"/>
      <c r="CJ36" s="414"/>
      <c r="CK36" s="414"/>
      <c r="CL36" s="414"/>
      <c r="CM36" s="414"/>
      <c r="CN36" s="414"/>
      <c r="CO36" s="414"/>
      <c r="CP36" s="414"/>
      <c r="CQ36" s="414"/>
      <c r="CR36" s="414"/>
      <c r="CS36" s="414"/>
      <c r="CT36" s="414"/>
      <c r="CU36" s="414"/>
      <c r="CV36" s="414"/>
      <c r="CW36" s="414"/>
      <c r="CX36" s="414"/>
      <c r="CY36" s="414"/>
      <c r="CZ36" s="414"/>
      <c r="DA36" s="414"/>
      <c r="DB36" s="414"/>
      <c r="DC36" s="414"/>
      <c r="DD36" s="414"/>
      <c r="DE36" s="414"/>
      <c r="DF36" s="414"/>
      <c r="DG36" s="414"/>
      <c r="DH36" s="414"/>
      <c r="DI36" s="414"/>
      <c r="DJ36" s="414"/>
      <c r="DK36" s="414"/>
      <c r="DL36" s="414"/>
      <c r="DM36" s="414"/>
      <c r="DN36" s="414"/>
      <c r="DO36" s="414"/>
      <c r="DP36" s="414"/>
      <c r="DQ36" s="414"/>
      <c r="DR36" s="414"/>
      <c r="DS36" s="414"/>
      <c r="DT36" s="414"/>
      <c r="DU36" s="414"/>
      <c r="DV36" s="414"/>
      <c r="DW36" s="414"/>
    </row>
    <row r="37" ht="15.0" customHeight="1">
      <c r="A37" s="383">
        <v>41296.0</v>
      </c>
      <c r="B37" s="320" t="s">
        <v>1393</v>
      </c>
      <c r="C37" s="320" t="s">
        <v>1394</v>
      </c>
      <c r="D37" s="320"/>
      <c r="E37" s="374" t="str">
        <f>IFERROR(__xludf.DUMMYFUNCTION("if(and(D37&lt;&gt;0,D37&lt;&gt;""""),D37/GOOGLEFINANCE(C37,""price"")-1,"""")"),"")</f>
        <v/>
      </c>
      <c r="F37" s="375">
        <f>IFERROR(__xludf.DUMMYFUNCTION("GOOGLEFINANCE(C37,""price"")"),811.89)</f>
        <v>811.89</v>
      </c>
      <c r="G37" s="374">
        <f t="shared" si="6"/>
        <v>-0.5216064477</v>
      </c>
      <c r="H37" s="376"/>
      <c r="I37" s="376">
        <f t="shared" ref="I37:I38" si="16">N37*($I$1+O37*100)</f>
        <v>388.4029412</v>
      </c>
      <c r="J37" s="385">
        <v>19.71</v>
      </c>
      <c r="K37" s="385">
        <v>19.71</v>
      </c>
      <c r="L37" s="409">
        <v>43465.0</v>
      </c>
      <c r="M37" s="379">
        <f t="shared" si="7"/>
        <v>-0.820111578</v>
      </c>
      <c r="N37" s="380">
        <f t="shared" si="8"/>
        <v>19.71</v>
      </c>
      <c r="O37" s="390">
        <v>0.05</v>
      </c>
      <c r="P37" s="370"/>
      <c r="Q37" s="371"/>
      <c r="R37" s="378"/>
      <c r="S37" s="378">
        <v>43324.0</v>
      </c>
      <c r="T37" s="387" t="s">
        <v>1223</v>
      </c>
      <c r="U37" s="382" t="s">
        <v>1395</v>
      </c>
      <c r="V37" s="358"/>
      <c r="W37" s="358"/>
      <c r="X37" s="358"/>
      <c r="Y37" s="358"/>
      <c r="Z37" s="358"/>
      <c r="AA37" s="358"/>
      <c r="AB37" s="358"/>
      <c r="AC37" s="358"/>
      <c r="AD37" s="358"/>
      <c r="AE37" s="358"/>
      <c r="AF37" s="358"/>
      <c r="AG37" s="358"/>
      <c r="AH37" s="358"/>
      <c r="AI37" s="358"/>
      <c r="AJ37" s="358"/>
      <c r="AK37" s="358"/>
      <c r="AL37" s="358"/>
      <c r="AM37" s="358"/>
      <c r="AN37" s="358"/>
      <c r="AO37" s="358"/>
      <c r="AP37" s="358"/>
      <c r="AQ37" s="358"/>
      <c r="AR37" s="358"/>
      <c r="AS37" s="358"/>
      <c r="AT37" s="358"/>
      <c r="AU37" s="358"/>
      <c r="AV37" s="358"/>
      <c r="AW37" s="358"/>
      <c r="AX37" s="358"/>
      <c r="AY37" s="358"/>
      <c r="AZ37" s="358"/>
      <c r="BA37" s="358"/>
      <c r="BB37" s="358"/>
      <c r="BC37" s="358"/>
      <c r="BD37" s="358"/>
      <c r="BE37" s="358"/>
      <c r="BF37" s="358"/>
      <c r="BG37" s="358"/>
      <c r="BH37" s="358"/>
      <c r="BI37" s="358"/>
      <c r="BJ37" s="358"/>
      <c r="BK37" s="358"/>
      <c r="BL37" s="358"/>
      <c r="BM37" s="358"/>
      <c r="BN37" s="358"/>
      <c r="BO37" s="358"/>
      <c r="BP37" s="358"/>
      <c r="BQ37" s="358"/>
      <c r="BR37" s="358"/>
      <c r="BS37" s="358"/>
      <c r="BT37" s="358"/>
      <c r="BU37" s="358"/>
      <c r="BV37" s="358"/>
      <c r="BW37" s="358"/>
      <c r="BX37" s="358"/>
      <c r="BY37" s="358"/>
      <c r="BZ37" s="358"/>
      <c r="CA37" s="358"/>
      <c r="CB37" s="358"/>
      <c r="CC37" s="358"/>
      <c r="CD37" s="358"/>
      <c r="CE37" s="358"/>
      <c r="CF37" s="358"/>
      <c r="CG37" s="358"/>
      <c r="CH37" s="358"/>
      <c r="CI37" s="358"/>
      <c r="CJ37" s="358"/>
      <c r="CK37" s="358"/>
      <c r="CL37" s="358"/>
      <c r="CM37" s="358"/>
      <c r="CN37" s="358"/>
      <c r="CO37" s="358"/>
      <c r="CP37" s="358"/>
      <c r="CQ37" s="358"/>
      <c r="CR37" s="358"/>
      <c r="CS37" s="358"/>
      <c r="CT37" s="358"/>
      <c r="CU37" s="358"/>
      <c r="CV37" s="358"/>
      <c r="CW37" s="358"/>
      <c r="CX37" s="358"/>
      <c r="CY37" s="358"/>
      <c r="CZ37" s="358"/>
      <c r="DA37" s="358"/>
      <c r="DB37" s="358"/>
      <c r="DC37" s="358"/>
      <c r="DD37" s="358"/>
      <c r="DE37" s="358"/>
      <c r="DF37" s="358"/>
      <c r="DG37" s="358"/>
      <c r="DH37" s="358"/>
      <c r="DI37" s="358"/>
      <c r="DJ37" s="358"/>
      <c r="DK37" s="358"/>
      <c r="DL37" s="358"/>
      <c r="DM37" s="358"/>
      <c r="DN37" s="358"/>
      <c r="DO37" s="358"/>
      <c r="DP37" s="358"/>
      <c r="DQ37" s="358"/>
      <c r="DR37" s="358"/>
      <c r="DS37" s="358"/>
      <c r="DT37" s="358"/>
      <c r="DU37" s="358"/>
      <c r="DV37" s="358"/>
      <c r="DW37" s="358"/>
    </row>
    <row r="38">
      <c r="A38" s="366">
        <v>40159.0</v>
      </c>
      <c r="B38" s="358" t="s">
        <v>1396</v>
      </c>
      <c r="C38" s="358" t="s">
        <v>1397</v>
      </c>
      <c r="D38" s="358">
        <v>30.0</v>
      </c>
      <c r="E38" s="345">
        <f>IFERROR(__xludf.DUMMYFUNCTION("if(and(D38&lt;&gt;0,D38&lt;&gt;""""),D38/GOOGLEFINANCE(C38,""price"")-1,"""")"),-0.007279947054930513)</f>
        <v>-0.007279947055</v>
      </c>
      <c r="F38" s="364">
        <f>IFERROR(__xludf.DUMMYFUNCTION("GOOGLEFINANCE(C38,""price"")"),30.22)</f>
        <v>30.22</v>
      </c>
      <c r="G38" s="345">
        <f t="shared" si="6"/>
        <v>0.8090383983</v>
      </c>
      <c r="H38" s="347">
        <v>58.7</v>
      </c>
      <c r="I38" s="347">
        <f t="shared" si="16"/>
        <v>54.6691404</v>
      </c>
      <c r="J38" s="369">
        <v>2.87</v>
      </c>
      <c r="K38" s="369">
        <v>3.51</v>
      </c>
      <c r="L38" s="360">
        <v>43646.0</v>
      </c>
      <c r="M38" s="351">
        <f t="shared" si="7"/>
        <v>-0.324221167</v>
      </c>
      <c r="N38" s="349">
        <f t="shared" si="8"/>
        <v>3.717501547</v>
      </c>
      <c r="O38" s="361">
        <v>0.0</v>
      </c>
      <c r="P38" s="361"/>
      <c r="Q38" s="362"/>
      <c r="R38" s="360"/>
      <c r="S38" s="360">
        <v>43420.0</v>
      </c>
      <c r="T38" s="355" t="s">
        <v>1223</v>
      </c>
      <c r="U38" s="363" t="s">
        <v>1398</v>
      </c>
      <c r="V38" s="358"/>
      <c r="W38" s="358"/>
      <c r="X38" s="358"/>
      <c r="Y38" s="358"/>
      <c r="Z38" s="358"/>
      <c r="AA38" s="358"/>
      <c r="AB38" s="358"/>
      <c r="AC38" s="358"/>
      <c r="AD38" s="358"/>
      <c r="AE38" s="358"/>
      <c r="AF38" s="358"/>
      <c r="AG38" s="358"/>
      <c r="AH38" s="358"/>
      <c r="AI38" s="358"/>
      <c r="AJ38" s="358"/>
      <c r="AK38" s="358"/>
      <c r="AL38" s="358"/>
      <c r="AM38" s="358"/>
      <c r="AN38" s="358"/>
      <c r="AO38" s="358"/>
      <c r="AP38" s="358"/>
      <c r="AQ38" s="358"/>
      <c r="AR38" s="358"/>
      <c r="AS38" s="358"/>
      <c r="AT38" s="358"/>
      <c r="AU38" s="358"/>
      <c r="AV38" s="358"/>
      <c r="AW38" s="358"/>
      <c r="AX38" s="358"/>
      <c r="AY38" s="358"/>
      <c r="AZ38" s="358"/>
      <c r="BA38" s="358"/>
      <c r="BB38" s="358"/>
      <c r="BC38" s="358"/>
      <c r="BD38" s="358"/>
      <c r="BE38" s="358"/>
      <c r="BF38" s="358"/>
      <c r="BG38" s="358"/>
      <c r="BH38" s="358"/>
      <c r="BI38" s="358"/>
      <c r="BJ38" s="358"/>
      <c r="BK38" s="358"/>
      <c r="BL38" s="358"/>
      <c r="BM38" s="358"/>
      <c r="BN38" s="358"/>
      <c r="BO38" s="358"/>
      <c r="BP38" s="358"/>
      <c r="BQ38" s="358"/>
      <c r="BR38" s="358"/>
      <c r="BS38" s="358"/>
      <c r="BT38" s="358"/>
      <c r="BU38" s="358"/>
      <c r="BV38" s="358"/>
      <c r="BW38" s="358"/>
      <c r="BX38" s="358"/>
      <c r="BY38" s="358"/>
      <c r="BZ38" s="358"/>
      <c r="CA38" s="358"/>
      <c r="CB38" s="358"/>
      <c r="CC38" s="358"/>
      <c r="CD38" s="358"/>
      <c r="CE38" s="358"/>
      <c r="CF38" s="358"/>
      <c r="CG38" s="358"/>
      <c r="CH38" s="358"/>
      <c r="CI38" s="358"/>
      <c r="CJ38" s="358"/>
      <c r="CK38" s="358"/>
      <c r="CL38" s="358"/>
      <c r="CM38" s="358"/>
      <c r="CN38" s="358"/>
      <c r="CO38" s="358"/>
      <c r="CP38" s="358"/>
      <c r="CQ38" s="358"/>
      <c r="CR38" s="358"/>
      <c r="CS38" s="358"/>
      <c r="CT38" s="358"/>
      <c r="CU38" s="358"/>
      <c r="CV38" s="358"/>
      <c r="CW38" s="358"/>
      <c r="CX38" s="358"/>
      <c r="CY38" s="358"/>
      <c r="CZ38" s="358"/>
      <c r="DA38" s="358"/>
      <c r="DB38" s="358"/>
      <c r="DC38" s="358"/>
      <c r="DD38" s="358"/>
      <c r="DE38" s="358"/>
      <c r="DF38" s="358"/>
      <c r="DG38" s="358"/>
      <c r="DH38" s="358"/>
      <c r="DI38" s="358"/>
      <c r="DJ38" s="358"/>
      <c r="DK38" s="358"/>
      <c r="DL38" s="358"/>
      <c r="DM38" s="358"/>
      <c r="DN38" s="358"/>
      <c r="DO38" s="358"/>
      <c r="DP38" s="358"/>
      <c r="DQ38" s="358"/>
      <c r="DR38" s="358"/>
      <c r="DS38" s="358"/>
      <c r="DT38" s="358"/>
      <c r="DU38" s="358"/>
      <c r="DV38" s="358"/>
      <c r="DW38" s="358"/>
    </row>
    <row r="39">
      <c r="A39" s="366">
        <v>40109.0</v>
      </c>
      <c r="B39" s="367" t="s">
        <v>1399</v>
      </c>
      <c r="C39" s="367" t="s">
        <v>1400</v>
      </c>
      <c r="D39" s="344">
        <v>60.0</v>
      </c>
      <c r="E39" s="345">
        <f>IFERROR(__xludf.DUMMYFUNCTION("if(and(D39&lt;&gt;0,D39&lt;&gt;""""),D39/GOOGLEFINANCE(C39,""price"")-1,"""")"),-0.49264332825976664)</f>
        <v>-0.4926433283</v>
      </c>
      <c r="F39" s="364">
        <f>IFERROR(__xludf.DUMMYFUNCTION("GOOGLEFINANCE(C39,""price"")"),118.26)</f>
        <v>118.26</v>
      </c>
      <c r="G39" s="345">
        <f t="shared" si="6"/>
        <v>-0.1378915848</v>
      </c>
      <c r="H39" s="347">
        <v>33.0</v>
      </c>
      <c r="I39" s="347">
        <f>5.6*($I$1+3.5)</f>
        <v>101.9529412</v>
      </c>
      <c r="J39" s="369">
        <v>7.39</v>
      </c>
      <c r="K39" s="369">
        <v>8.15</v>
      </c>
      <c r="L39" s="360">
        <v>43465.0</v>
      </c>
      <c r="M39" s="351">
        <f t="shared" si="7"/>
        <v>-0.820111578</v>
      </c>
      <c r="N39" s="349">
        <f t="shared" si="8"/>
        <v>8.773284799</v>
      </c>
      <c r="O39" s="350"/>
      <c r="P39" s="352"/>
      <c r="Q39" s="353"/>
      <c r="R39" s="365"/>
      <c r="S39" s="365"/>
      <c r="T39" s="365"/>
      <c r="U39" s="356" t="s">
        <v>1404</v>
      </c>
      <c r="V39" s="344"/>
      <c r="W39" s="344"/>
      <c r="X39" s="344"/>
      <c r="Y39" s="344"/>
      <c r="Z39" s="344"/>
      <c r="AA39" s="344"/>
      <c r="AB39" s="344"/>
      <c r="AC39" s="344"/>
      <c r="AD39" s="344"/>
      <c r="AE39" s="344"/>
      <c r="AF39" s="344"/>
      <c r="AG39" s="344"/>
      <c r="AH39" s="344"/>
      <c r="AI39" s="344"/>
      <c r="AJ39" s="344"/>
      <c r="AK39" s="344"/>
      <c r="AL39" s="344"/>
      <c r="AM39" s="344"/>
      <c r="AN39" s="344"/>
      <c r="AO39" s="344"/>
      <c r="AP39" s="344"/>
      <c r="AQ39" s="344"/>
      <c r="AR39" s="344"/>
      <c r="AS39" s="344"/>
      <c r="AT39" s="344"/>
      <c r="AU39" s="344"/>
      <c r="AV39" s="344"/>
      <c r="AW39" s="344"/>
      <c r="AX39" s="344"/>
      <c r="AY39" s="344"/>
      <c r="AZ39" s="344"/>
      <c r="BA39" s="344"/>
      <c r="BB39" s="344"/>
      <c r="BC39" s="344"/>
      <c r="BD39" s="344"/>
      <c r="BE39" s="344"/>
      <c r="BF39" s="344"/>
      <c r="BG39" s="344"/>
      <c r="BH39" s="344"/>
      <c r="BI39" s="344"/>
      <c r="BJ39" s="344"/>
      <c r="BK39" s="344"/>
      <c r="BL39" s="344"/>
      <c r="BM39" s="344"/>
      <c r="BN39" s="344"/>
      <c r="BO39" s="344"/>
      <c r="BP39" s="344"/>
      <c r="BQ39" s="344"/>
      <c r="BR39" s="344"/>
      <c r="BS39" s="344"/>
      <c r="BT39" s="344"/>
      <c r="BU39" s="344"/>
      <c r="BV39" s="344"/>
      <c r="BW39" s="344"/>
      <c r="BX39" s="344"/>
      <c r="BY39" s="344"/>
      <c r="BZ39" s="344"/>
      <c r="CA39" s="344"/>
      <c r="CB39" s="344"/>
      <c r="CC39" s="344"/>
      <c r="CD39" s="344"/>
      <c r="CE39" s="344"/>
      <c r="CF39" s="344"/>
      <c r="CG39" s="344"/>
      <c r="CH39" s="344"/>
      <c r="CI39" s="344"/>
      <c r="CJ39" s="344"/>
      <c r="CK39" s="344"/>
      <c r="CL39" s="344"/>
      <c r="CM39" s="344"/>
      <c r="CN39" s="344"/>
      <c r="CO39" s="344"/>
      <c r="CP39" s="344"/>
      <c r="CQ39" s="344"/>
      <c r="CR39" s="344"/>
      <c r="CS39" s="344"/>
      <c r="CT39" s="344"/>
      <c r="CU39" s="344"/>
      <c r="CV39" s="344"/>
      <c r="CW39" s="344"/>
      <c r="CX39" s="344"/>
      <c r="CY39" s="344"/>
      <c r="CZ39" s="344"/>
      <c r="DA39" s="344"/>
      <c r="DB39" s="344"/>
      <c r="DC39" s="344"/>
      <c r="DD39" s="344"/>
      <c r="DE39" s="344"/>
      <c r="DF39" s="344"/>
      <c r="DG39" s="344"/>
      <c r="DH39" s="344"/>
      <c r="DI39" s="344"/>
      <c r="DJ39" s="344"/>
      <c r="DK39" s="344"/>
      <c r="DL39" s="344"/>
      <c r="DM39" s="344"/>
      <c r="DN39" s="344"/>
      <c r="DO39" s="344"/>
      <c r="DP39" s="344"/>
      <c r="DQ39" s="344"/>
      <c r="DR39" s="344"/>
      <c r="DS39" s="344"/>
      <c r="DT39" s="344"/>
      <c r="DU39" s="344"/>
      <c r="DV39" s="344"/>
      <c r="DW39" s="344"/>
    </row>
    <row r="40" ht="15.0" customHeight="1">
      <c r="A40" s="366">
        <v>41563.0</v>
      </c>
      <c r="B40" s="367" t="s">
        <v>1405</v>
      </c>
      <c r="C40" s="367" t="s">
        <v>1082</v>
      </c>
      <c r="D40" s="358">
        <v>890.0</v>
      </c>
      <c r="E40" s="345">
        <f>IFERROR(__xludf.DUMMYFUNCTION("if(and(D40&lt;&gt;0,D40&lt;&gt;""""),D40/GOOGLEFINANCE(C40,""price"")-1,"""")"),-0.21201979689588923)</f>
        <v>-0.2120197969</v>
      </c>
      <c r="F40" s="364">
        <f>IFERROR(__xludf.DUMMYFUNCTION("GOOGLEFINANCE(C40,""price"")"),1129.47)</f>
        <v>1129.47</v>
      </c>
      <c r="G40" s="345">
        <f t="shared" si="6"/>
        <v>0.4122999593</v>
      </c>
      <c r="H40" s="347"/>
      <c r="I40" s="368">
        <f>sum(CY40:DS40)</f>
        <v>1595.150435</v>
      </c>
      <c r="J40" s="369">
        <v>62.48</v>
      </c>
      <c r="K40" s="369">
        <v>65.65</v>
      </c>
      <c r="L40" s="360">
        <v>43708.0</v>
      </c>
      <c r="M40" s="351">
        <f t="shared" si="7"/>
        <v>-0.1543581476</v>
      </c>
      <c r="N40" s="359">
        <f t="shared" si="8"/>
        <v>66.13931533</v>
      </c>
      <c r="O40" s="361">
        <v>0.125</v>
      </c>
      <c r="P40" s="361">
        <v>0.15</v>
      </c>
      <c r="Q40" s="371">
        <f>I40/N40</f>
        <v>24.11803671</v>
      </c>
      <c r="R40" s="355">
        <v>6.0</v>
      </c>
      <c r="S40" s="428">
        <v>43669.0</v>
      </c>
      <c r="T40" s="365" t="s">
        <v>1223</v>
      </c>
      <c r="U40" s="363" t="s">
        <v>1406</v>
      </c>
      <c r="V40" s="429">
        <f>O40</f>
        <v>0.125</v>
      </c>
      <c r="W40" s="430">
        <f>max(min(Valu!$C$15,$O40),$O40-max($O40-Valu!$C$15,0)/$R40*(W$3-1))</f>
        <v>0.1091666667</v>
      </c>
      <c r="X40" s="430">
        <f>max(min(Valu!$C$15,$O40),$O40-max($O40-Valu!$C$15,0)/$R40*(X$3-1))</f>
        <v>0.09333333333</v>
      </c>
      <c r="Y40" s="430">
        <f>max(min(Valu!$C$15,$O40),$O40-max($O40-Valu!$C$15,0)/$R40*(Y$3-1))</f>
        <v>0.0775</v>
      </c>
      <c r="Z40" s="430">
        <f>max(min(Valu!$C$15,$O40),$O40-max($O40-Valu!$C$15,0)/$R40*(Z$3-1))</f>
        <v>0.06166666667</v>
      </c>
      <c r="AA40" s="430">
        <f>max(min(Valu!$C$15,$O40),$O40-max($O40-Valu!$C$15,0)/$R40*(AA$3-1))</f>
        <v>0.04583333333</v>
      </c>
      <c r="AB40" s="430">
        <f>max(min(Valu!$C$15,$O40),$O40-max($O40-Valu!$C$15,0)/$R40*(AB$3-1))</f>
        <v>0.03</v>
      </c>
      <c r="AC40" s="430">
        <f>max(min(Valu!$C$15,$O40),$O40-max($O40-Valu!$C$15,0)/$R40*(AC$3-1))</f>
        <v>0.03</v>
      </c>
      <c r="AD40" s="430">
        <f>max(min(Valu!$C$15,$O40),$O40-max($O40-Valu!$C$15,0)/$R40*(AD$3-1))</f>
        <v>0.03</v>
      </c>
      <c r="AE40" s="430">
        <f>max(min(Valu!$C$15,$O40),$O40-max($O40-Valu!$C$15,0)/$R40*(AE$3-1))</f>
        <v>0.03</v>
      </c>
      <c r="AF40" s="430">
        <f>max(min(Valu!$C$15,$O40),$O40-max($O40-Valu!$C$15,0)/$R40*(AF$3-1))</f>
        <v>0.03</v>
      </c>
      <c r="AG40" s="430">
        <f>max(min(Valu!$C$15,$O40),$O40-max($O40-Valu!$C$15,0)/$R40*(AG$3-1))</f>
        <v>0.03</v>
      </c>
      <c r="AH40" s="430">
        <f>max(min(Valu!$C$15,$O40),$O40-max($O40-Valu!$C$15,0)/$R40*(AH$3-1))</f>
        <v>0.03</v>
      </c>
      <c r="AI40" s="430">
        <f>max(min(Valu!$C$15,$O40),$O40-max($O40-Valu!$C$15,0)/$R40*(AI$3-1))</f>
        <v>0.03</v>
      </c>
      <c r="AJ40" s="430">
        <f>max(min(Valu!$C$15,$O40),$O40-max($O40-Valu!$C$15,0)/$R40*(AJ$3-1))</f>
        <v>0.03</v>
      </c>
      <c r="AK40" s="430">
        <f>max(min(Valu!$C$15,$O40),$O40-max($O40-Valu!$C$15,0)/$R40*(AK$3-1))</f>
        <v>0.03</v>
      </c>
      <c r="AL40" s="430">
        <f>max(min(Valu!$C$15,$O40),$O40-max($O40-Valu!$C$15,0)/$R40*(AL$3-1))</f>
        <v>0.03</v>
      </c>
      <c r="AM40" s="430">
        <f>max(min(Valu!$C$15,$O40),$O40-max($O40-Valu!$C$15,0)/$R40*(AM$3-1))</f>
        <v>0.03</v>
      </c>
      <c r="AN40" s="430">
        <f>max(min(Valu!$C$15,$O40),$O40-max($O40-Valu!$C$15,0)/$R40*(AN$3-1))</f>
        <v>0.03</v>
      </c>
      <c r="AO40" s="430">
        <f>max(min(Valu!$C$15,$O40),$O40-max($O40-Valu!$C$15,0)/$R40*(AO$3-1))</f>
        <v>0.03</v>
      </c>
      <c r="AP40" s="430">
        <f>max(min(Valu!$C$14,$P40),$P40-max($P40-Valu!$C$14,0)/$R40*(AP$3-1))</f>
        <v>0.15</v>
      </c>
      <c r="AQ40" s="430">
        <f>max(min(Valu!$C$14,$P40),$P40-max($P40-Valu!$C$14,0)/$R40*(AQ$3-1))</f>
        <v>0.145</v>
      </c>
      <c r="AR40" s="430">
        <f>max(min(Valu!$C$14,$P40),$P40-max($P40-Valu!$C$14,0)/$R40*(AR$3-1))</f>
        <v>0.14</v>
      </c>
      <c r="AS40" s="430">
        <f>max(min(Valu!$C$14,$P40),$P40-max($P40-Valu!$C$14,0)/$R40*(AS$3-1))</f>
        <v>0.135</v>
      </c>
      <c r="AT40" s="430">
        <f>max(min(Valu!$C$14,$P40),$P40-max($P40-Valu!$C$14,0)/$R40*(AT$3-1))</f>
        <v>0.13</v>
      </c>
      <c r="AU40" s="430">
        <f>max(min(Valu!$C$14,$P40),$P40-max($P40-Valu!$C$14,0)/$R40*(AU$3-1))</f>
        <v>0.125</v>
      </c>
      <c r="AV40" s="430">
        <f>max(min(Valu!$C$14,$P40),$P40-max($P40-Valu!$C$14,0)/$R40*(AV$3-1))</f>
        <v>0.12</v>
      </c>
      <c r="AW40" s="430">
        <f>max(min(Valu!$C$14,$P40),$P40-max($P40-Valu!$C$14,0)/$R40*(AW$3-1))</f>
        <v>0.12</v>
      </c>
      <c r="AX40" s="430">
        <f>max(min(Valu!$C$14,$P40),$P40-max($P40-Valu!$C$14,0)/$R40*(AX$3-1))</f>
        <v>0.12</v>
      </c>
      <c r="AY40" s="430">
        <f>max(min(Valu!$C$14,$P40),$P40-max($P40-Valu!$C$14,0)/$R40*(AY$3-1))</f>
        <v>0.12</v>
      </c>
      <c r="AZ40" s="430">
        <f>max(min(Valu!$C$14,$P40),$P40-max($P40-Valu!$C$14,0)/$R40*(AZ$3-1))</f>
        <v>0.12</v>
      </c>
      <c r="BA40" s="430">
        <f>max(min(Valu!$C$14,$P40),$P40-max($P40-Valu!$C$14,0)/$R40*(BA$3-1))</f>
        <v>0.12</v>
      </c>
      <c r="BB40" s="430">
        <f>max(min(Valu!$C$14,$P40),$P40-max($P40-Valu!$C$14,0)/$R40*(BB$3-1))</f>
        <v>0.12</v>
      </c>
      <c r="BC40" s="430">
        <f>max(min(Valu!$C$14,$P40),$P40-max($P40-Valu!$C$14,0)/$R40*(BC$3-1))</f>
        <v>0.12</v>
      </c>
      <c r="BD40" s="430">
        <f>max(min(Valu!$C$14,$P40),$P40-max($P40-Valu!$C$14,0)/$R40*(BD$3-1))</f>
        <v>0.12</v>
      </c>
      <c r="BE40" s="430">
        <f>max(min(Valu!$C$14,$P40),$P40-max($P40-Valu!$C$14,0)/$R40*(BE$3-1))</f>
        <v>0.12</v>
      </c>
      <c r="BF40" s="430">
        <f>max(min(Valu!$C$14,$P40),$P40-max($P40-Valu!$C$14,0)/$R40*(BF$3-1))</f>
        <v>0.12</v>
      </c>
      <c r="BG40" s="430">
        <f>max(min(Valu!$C$14,$P40),$P40-max($P40-Valu!$C$14,0)/$R40*(BG$3-1))</f>
        <v>0.12</v>
      </c>
      <c r="BH40" s="430">
        <f>max(min(Valu!$C$14,$P40),$P40-max($P40-Valu!$C$14,0)/$R40*(BH$3-1))</f>
        <v>0.12</v>
      </c>
      <c r="BI40" s="430">
        <f>max(min(Valu!$C$14,$P40),$P40-max($P40-Valu!$C$14,0)/$R40*(BI$3-1))</f>
        <v>0.12</v>
      </c>
      <c r="BJ40" s="431">
        <f>N40</f>
        <v>66.13931533</v>
      </c>
      <c r="BK40" s="432">
        <f>$BJ40*(1+V40)</f>
        <v>74.40672974</v>
      </c>
      <c r="BL40" s="432">
        <f t="shared" ref="BL40:CC40" si="17">BK40*(1+W40)</f>
        <v>82.52946441</v>
      </c>
      <c r="BM40" s="432">
        <f t="shared" si="17"/>
        <v>90.23221442</v>
      </c>
      <c r="BN40" s="432">
        <f t="shared" si="17"/>
        <v>97.22521104</v>
      </c>
      <c r="BO40" s="432">
        <f t="shared" si="17"/>
        <v>103.2207657</v>
      </c>
      <c r="BP40" s="432">
        <f t="shared" si="17"/>
        <v>107.9517175</v>
      </c>
      <c r="BQ40" s="432">
        <f t="shared" si="17"/>
        <v>111.190269</v>
      </c>
      <c r="BR40" s="432">
        <f t="shared" si="17"/>
        <v>114.5259771</v>
      </c>
      <c r="BS40" s="432">
        <f t="shared" si="17"/>
        <v>117.9617564</v>
      </c>
      <c r="BT40" s="432">
        <f t="shared" si="17"/>
        <v>121.5006091</v>
      </c>
      <c r="BU40" s="432">
        <f t="shared" si="17"/>
        <v>125.1456273</v>
      </c>
      <c r="BV40" s="432">
        <f t="shared" si="17"/>
        <v>128.8999962</v>
      </c>
      <c r="BW40" s="432">
        <f t="shared" si="17"/>
        <v>132.7669961</v>
      </c>
      <c r="BX40" s="432">
        <f t="shared" si="17"/>
        <v>136.7500059</v>
      </c>
      <c r="BY40" s="432">
        <f t="shared" si="17"/>
        <v>140.8525061</v>
      </c>
      <c r="BZ40" s="432">
        <f t="shared" si="17"/>
        <v>145.0780813</v>
      </c>
      <c r="CA40" s="432">
        <f t="shared" si="17"/>
        <v>149.4304237</v>
      </c>
      <c r="CB40" s="432">
        <f t="shared" si="17"/>
        <v>153.9133364</v>
      </c>
      <c r="CC40" s="432">
        <f t="shared" si="17"/>
        <v>158.5307365</v>
      </c>
      <c r="CD40" s="432">
        <f t="shared" ref="CD40:CW40" si="18">BJ40*(1-V40/AP40)</f>
        <v>11.02321922</v>
      </c>
      <c r="CE40" s="432">
        <f t="shared" si="18"/>
        <v>18.38786999</v>
      </c>
      <c r="CF40" s="432">
        <f t="shared" si="18"/>
        <v>27.50982147</v>
      </c>
      <c r="CG40" s="432">
        <f t="shared" si="18"/>
        <v>38.43223947</v>
      </c>
      <c r="CH40" s="432">
        <f t="shared" si="18"/>
        <v>51.10555965</v>
      </c>
      <c r="CI40" s="432">
        <f t="shared" si="18"/>
        <v>65.37315162</v>
      </c>
      <c r="CJ40" s="432">
        <f t="shared" si="18"/>
        <v>80.96378811</v>
      </c>
      <c r="CK40" s="432">
        <f t="shared" si="18"/>
        <v>83.39270175</v>
      </c>
      <c r="CL40" s="432">
        <f t="shared" si="18"/>
        <v>85.89448281</v>
      </c>
      <c r="CM40" s="432">
        <f t="shared" si="18"/>
        <v>88.47131729</v>
      </c>
      <c r="CN40" s="432">
        <f t="shared" si="18"/>
        <v>91.12545681</v>
      </c>
      <c r="CO40" s="432">
        <f t="shared" si="18"/>
        <v>93.85922051</v>
      </c>
      <c r="CP40" s="432">
        <f t="shared" si="18"/>
        <v>96.67499713</v>
      </c>
      <c r="CQ40" s="432">
        <f t="shared" si="18"/>
        <v>99.57524704</v>
      </c>
      <c r="CR40" s="432">
        <f t="shared" si="18"/>
        <v>102.5625045</v>
      </c>
      <c r="CS40" s="432">
        <f t="shared" si="18"/>
        <v>105.6393796</v>
      </c>
      <c r="CT40" s="432">
        <f t="shared" si="18"/>
        <v>108.808561</v>
      </c>
      <c r="CU40" s="432">
        <f t="shared" si="18"/>
        <v>112.0728178</v>
      </c>
      <c r="CV40" s="432">
        <f t="shared" si="18"/>
        <v>115.4350023</v>
      </c>
      <c r="CW40" s="432">
        <f t="shared" si="18"/>
        <v>118.8980524</v>
      </c>
      <c r="CX40" s="432">
        <f>CW40*(1+min(Valu!$C$15,$O40))/(Valu!$C$21-min(Valu!$C$15,$O40))</f>
        <v>3222.762999</v>
      </c>
      <c r="CY40" s="432">
        <f>CD40/(1+Valu!$C$21)^CY$3</f>
        <v>10.32136631</v>
      </c>
      <c r="CZ40" s="432">
        <f>CE40/(1+Valu!$C$21)^CZ$3</f>
        <v>16.12088646</v>
      </c>
      <c r="DA40" s="432">
        <f>CF40/(1+Valu!$C$21)^DA$3</f>
        <v>22.58260374</v>
      </c>
      <c r="DB40" s="432">
        <f>CG40/(1+Valu!$C$21)^DB$3</f>
        <v>29.54001293</v>
      </c>
      <c r="DC40" s="432">
        <f>CH40/(1+Valu!$C$21)^DC$3</f>
        <v>36.78001356</v>
      </c>
      <c r="DD40" s="432">
        <f>CI40/(1+Valu!$C$21)^DD$3</f>
        <v>44.0526366</v>
      </c>
      <c r="DE40" s="432">
        <f>CJ40/(1+Valu!$C$21)^DE$3</f>
        <v>51.08484156</v>
      </c>
      <c r="DF40" s="432">
        <f>CK40/(1+Valu!$C$21)^DF$3</f>
        <v>49.26721611</v>
      </c>
      <c r="DG40" s="432">
        <f>CL40/(1+Valu!$C$21)^DG$3</f>
        <v>47.51426273</v>
      </c>
      <c r="DH40" s="432">
        <f>CM40/(1+Valu!$C$21)^DH$3</f>
        <v>45.82368035</v>
      </c>
      <c r="DI40" s="432">
        <f>CN40/(1+Valu!$C$21)^DI$3</f>
        <v>44.19324977</v>
      </c>
      <c r="DJ40" s="432">
        <f>CO40/(1+Valu!$C$21)^DJ$3</f>
        <v>42.62083077</v>
      </c>
      <c r="DK40" s="432">
        <f>CP40/(1+Valu!$C$21)^DK$3</f>
        <v>41.10435927</v>
      </c>
      <c r="DL40" s="432">
        <f>CQ40/(1+Valu!$C$21)^DL$3</f>
        <v>39.64184461</v>
      </c>
      <c r="DM40" s="432">
        <f>CR40/(1+Valu!$C$21)^DM$3</f>
        <v>38.23136699</v>
      </c>
      <c r="DN40" s="432">
        <f>CS40/(1+Valu!$C$21)^DN$3</f>
        <v>36.87107491</v>
      </c>
      <c r="DO40" s="432">
        <f>CT40/(1+Valu!$C$21)^DO$3</f>
        <v>35.55918273</v>
      </c>
      <c r="DP40" s="432">
        <f>CU40/(1+Valu!$C$21)^DP$3</f>
        <v>34.29396837</v>
      </c>
      <c r="DQ40" s="432">
        <f>CV40/(1+Valu!$C$21)^DQ$3</f>
        <v>33.07377099</v>
      </c>
      <c r="DR40" s="432">
        <f>CW40/(1+Valu!$C$21)^DR$3</f>
        <v>31.89698888</v>
      </c>
      <c r="DS40" s="432">
        <f>CX40/(1+Valu!$C$21)^DS$3</f>
        <v>864.5762774</v>
      </c>
      <c r="DT40" s="358"/>
      <c r="DU40" s="358"/>
      <c r="DV40" s="358"/>
      <c r="DW40" s="358"/>
    </row>
    <row r="41" ht="15.0" customHeight="1">
      <c r="A41" s="372">
        <v>42708.0</v>
      </c>
      <c r="B41" s="384" t="s">
        <v>1419</v>
      </c>
      <c r="C41" s="384" t="s">
        <v>1420</v>
      </c>
      <c r="D41" s="320"/>
      <c r="E41" s="374" t="str">
        <f>IFERROR(__xludf.DUMMYFUNCTION("if(and(D41&lt;&gt;0,D41&lt;&gt;""""),D41/GOOGLEFINANCE(C41,""price"")-1,"""")"),"")</f>
        <v/>
      </c>
      <c r="F41" s="375">
        <f>IFERROR(__xludf.DUMMYFUNCTION("GOOGLEFINANCE(C41,""price"")"),115.82)</f>
        <v>115.82</v>
      </c>
      <c r="G41" s="374">
        <f t="shared" si="6"/>
        <v>-0.6648196492</v>
      </c>
      <c r="H41" s="376"/>
      <c r="I41" s="368">
        <f>1.97*($I$1+5)</f>
        <v>38.82058824</v>
      </c>
      <c r="J41" s="380"/>
      <c r="K41" s="380"/>
      <c r="L41" s="389"/>
      <c r="M41" s="379">
        <f t="shared" si="7"/>
        <v>-119.9023034</v>
      </c>
      <c r="N41" s="380">
        <f t="shared" si="8"/>
        <v>0</v>
      </c>
      <c r="O41" s="389"/>
      <c r="P41" s="415"/>
      <c r="Q41" s="379"/>
      <c r="R41" s="416"/>
      <c r="S41" s="416"/>
      <c r="T41" s="416"/>
      <c r="U41" s="417"/>
      <c r="V41" s="367"/>
      <c r="W41" s="367"/>
      <c r="X41" s="367"/>
      <c r="Y41" s="367"/>
      <c r="Z41" s="367"/>
      <c r="AA41" s="367"/>
      <c r="AB41" s="367"/>
      <c r="AC41" s="367"/>
      <c r="AD41" s="367"/>
      <c r="AE41" s="367"/>
      <c r="AF41" s="367"/>
      <c r="AG41" s="367"/>
      <c r="AH41" s="367"/>
      <c r="AI41" s="367"/>
      <c r="AJ41" s="367"/>
      <c r="AK41" s="367"/>
      <c r="AL41" s="367"/>
      <c r="AM41" s="367"/>
      <c r="AN41" s="367"/>
      <c r="AO41" s="367"/>
      <c r="AP41" s="367"/>
      <c r="AQ41" s="367"/>
      <c r="AR41" s="367"/>
      <c r="AS41" s="367"/>
      <c r="AT41" s="367"/>
      <c r="AU41" s="367"/>
      <c r="AV41" s="367"/>
      <c r="AW41" s="367"/>
      <c r="AX41" s="367"/>
      <c r="AY41" s="367"/>
      <c r="AZ41" s="367"/>
      <c r="BA41" s="367"/>
      <c r="BB41" s="367"/>
      <c r="BC41" s="367"/>
      <c r="BD41" s="367"/>
      <c r="BE41" s="367"/>
      <c r="BF41" s="367"/>
      <c r="BG41" s="367"/>
      <c r="BH41" s="367"/>
      <c r="BI41" s="367"/>
      <c r="BJ41" s="367"/>
      <c r="BK41" s="367"/>
      <c r="BL41" s="367"/>
      <c r="BM41" s="367"/>
      <c r="BN41" s="367"/>
      <c r="BO41" s="367"/>
      <c r="BP41" s="367"/>
      <c r="BQ41" s="367"/>
      <c r="BR41" s="367"/>
      <c r="BS41" s="367"/>
      <c r="BT41" s="367"/>
      <c r="BU41" s="367"/>
      <c r="BV41" s="367"/>
      <c r="BW41" s="367"/>
      <c r="BX41" s="367"/>
      <c r="BY41" s="367"/>
      <c r="BZ41" s="367"/>
      <c r="CA41" s="367"/>
      <c r="CB41" s="367"/>
      <c r="CC41" s="367"/>
      <c r="CD41" s="367"/>
      <c r="CE41" s="367"/>
      <c r="CF41" s="367"/>
      <c r="CG41" s="367"/>
      <c r="CH41" s="367"/>
      <c r="CI41" s="367"/>
      <c r="CJ41" s="367"/>
      <c r="CK41" s="367"/>
      <c r="CL41" s="367"/>
      <c r="CM41" s="367"/>
      <c r="CN41" s="367"/>
      <c r="CO41" s="367"/>
      <c r="CP41" s="367"/>
      <c r="CQ41" s="367"/>
      <c r="CR41" s="367"/>
      <c r="CS41" s="367"/>
      <c r="CT41" s="367"/>
      <c r="CU41" s="367"/>
      <c r="CV41" s="367"/>
      <c r="CW41" s="367"/>
      <c r="CX41" s="367"/>
      <c r="CY41" s="367"/>
      <c r="CZ41" s="367"/>
      <c r="DA41" s="367"/>
      <c r="DB41" s="367"/>
      <c r="DC41" s="367"/>
      <c r="DD41" s="367"/>
      <c r="DE41" s="367"/>
      <c r="DF41" s="367"/>
      <c r="DG41" s="367"/>
      <c r="DH41" s="367"/>
      <c r="DI41" s="367"/>
      <c r="DJ41" s="367"/>
      <c r="DK41" s="367"/>
      <c r="DL41" s="367"/>
      <c r="DM41" s="367"/>
      <c r="DN41" s="367"/>
      <c r="DO41" s="367"/>
      <c r="DP41" s="367"/>
      <c r="DQ41" s="367"/>
      <c r="DR41" s="367"/>
      <c r="DS41" s="367"/>
      <c r="DT41" s="367"/>
      <c r="DU41" s="367"/>
      <c r="DV41" s="367"/>
      <c r="DW41" s="367"/>
    </row>
    <row r="42" ht="15.0" customHeight="1">
      <c r="A42" s="388">
        <v>43483.0</v>
      </c>
      <c r="B42" s="373" t="s">
        <v>1421</v>
      </c>
      <c r="C42" s="373" t="s">
        <v>1422</v>
      </c>
      <c r="D42" s="373">
        <v>300.0</v>
      </c>
      <c r="E42" s="374">
        <f>IFERROR(__xludf.DUMMYFUNCTION("if(and(D42&lt;&gt;0,D42&lt;&gt;""""),D42/GOOGLEFINANCE(C42,""price"")-1,"""")"),-0.11720566165435653)</f>
        <v>-0.1172056617</v>
      </c>
      <c r="F42" s="375">
        <f>IFERROR(__xludf.DUMMYFUNCTION("GOOGLEFINANCE(C42,""price"")"),339.83)</f>
        <v>339.83</v>
      </c>
      <c r="G42" s="374">
        <f t="shared" si="6"/>
        <v>0.1638990853</v>
      </c>
      <c r="H42" s="376"/>
      <c r="I42" s="376">
        <f t="shared" ref="I42:I43" si="19">N42*($I$1+O42*100)</f>
        <v>395.5278262</v>
      </c>
      <c r="J42" s="377">
        <v>15.12</v>
      </c>
      <c r="K42" s="377">
        <v>18.43</v>
      </c>
      <c r="L42" s="378">
        <v>43465.0</v>
      </c>
      <c r="M42" s="379">
        <f t="shared" si="7"/>
        <v>-0.820111578</v>
      </c>
      <c r="N42" s="380">
        <f t="shared" si="8"/>
        <v>21.14456932</v>
      </c>
      <c r="O42" s="370">
        <v>0.04</v>
      </c>
      <c r="P42" s="370"/>
      <c r="Q42" s="371"/>
      <c r="R42" s="378"/>
      <c r="S42" s="378">
        <v>43536.0</v>
      </c>
      <c r="T42" s="381" t="s">
        <v>1223</v>
      </c>
      <c r="U42" s="382" t="s">
        <v>1424</v>
      </c>
      <c r="V42" s="358"/>
      <c r="W42" s="358"/>
      <c r="X42" s="358"/>
      <c r="Y42" s="358"/>
      <c r="Z42" s="358"/>
      <c r="AA42" s="358"/>
      <c r="AB42" s="358"/>
      <c r="AC42" s="358"/>
      <c r="AD42" s="358"/>
      <c r="AE42" s="358"/>
      <c r="AF42" s="358"/>
      <c r="AG42" s="358"/>
      <c r="AH42" s="358"/>
      <c r="AI42" s="358"/>
      <c r="AJ42" s="358"/>
      <c r="AK42" s="358"/>
      <c r="AL42" s="358"/>
      <c r="AM42" s="358"/>
      <c r="AN42" s="358"/>
      <c r="AO42" s="358"/>
      <c r="AP42" s="358"/>
      <c r="AQ42" s="358"/>
      <c r="AR42" s="358"/>
      <c r="AS42" s="358"/>
      <c r="AT42" s="358"/>
      <c r="AU42" s="358"/>
      <c r="AV42" s="358"/>
      <c r="AW42" s="358"/>
      <c r="AX42" s="358"/>
      <c r="AY42" s="358"/>
      <c r="AZ42" s="358"/>
      <c r="BA42" s="358"/>
      <c r="BB42" s="358"/>
      <c r="BC42" s="358"/>
      <c r="BD42" s="358"/>
      <c r="BE42" s="358"/>
      <c r="BF42" s="358"/>
      <c r="BG42" s="358"/>
      <c r="BH42" s="358"/>
      <c r="BI42" s="358"/>
      <c r="BJ42" s="358"/>
      <c r="BK42" s="358"/>
      <c r="BL42" s="358"/>
      <c r="BM42" s="358"/>
      <c r="BN42" s="358"/>
      <c r="BO42" s="358"/>
      <c r="BP42" s="358"/>
      <c r="BQ42" s="358"/>
      <c r="BR42" s="358"/>
      <c r="BS42" s="358"/>
      <c r="BT42" s="358"/>
      <c r="BU42" s="358"/>
      <c r="BV42" s="358"/>
      <c r="BW42" s="358"/>
      <c r="BX42" s="358"/>
      <c r="BY42" s="358"/>
      <c r="BZ42" s="358"/>
      <c r="CA42" s="358"/>
      <c r="CB42" s="358"/>
      <c r="CC42" s="358"/>
      <c r="CD42" s="358"/>
      <c r="CE42" s="358"/>
      <c r="CF42" s="358"/>
      <c r="CG42" s="358"/>
      <c r="CH42" s="358"/>
      <c r="CI42" s="358"/>
      <c r="CJ42" s="358"/>
      <c r="CK42" s="358"/>
      <c r="CL42" s="358"/>
      <c r="CM42" s="358"/>
      <c r="CN42" s="358"/>
      <c r="CO42" s="358"/>
      <c r="CP42" s="358"/>
      <c r="CQ42" s="358"/>
      <c r="CR42" s="358"/>
      <c r="CS42" s="358"/>
      <c r="CT42" s="358"/>
      <c r="CU42" s="358"/>
      <c r="CV42" s="358"/>
      <c r="CW42" s="358"/>
      <c r="CX42" s="358"/>
      <c r="CY42" s="358"/>
      <c r="CZ42" s="358"/>
      <c r="DA42" s="358"/>
      <c r="DB42" s="358"/>
      <c r="DC42" s="358"/>
      <c r="DD42" s="358"/>
      <c r="DE42" s="358"/>
      <c r="DF42" s="358"/>
      <c r="DG42" s="358"/>
      <c r="DH42" s="358"/>
      <c r="DI42" s="358"/>
      <c r="DJ42" s="358"/>
      <c r="DK42" s="358"/>
      <c r="DL42" s="358"/>
      <c r="DM42" s="358"/>
      <c r="DN42" s="358"/>
      <c r="DO42" s="358"/>
      <c r="DP42" s="358"/>
      <c r="DQ42" s="358"/>
      <c r="DR42" s="358"/>
      <c r="DS42" s="358"/>
      <c r="DT42" s="358"/>
      <c r="DU42" s="358"/>
      <c r="DV42" s="358"/>
      <c r="DW42" s="358"/>
    </row>
    <row r="43" ht="15.0" customHeight="1">
      <c r="A43" s="343">
        <v>43291.0</v>
      </c>
      <c r="B43" s="344" t="s">
        <v>1425</v>
      </c>
      <c r="C43" s="344" t="s">
        <v>1426</v>
      </c>
      <c r="D43" s="367"/>
      <c r="E43" s="345" t="str">
        <f>IFERROR(__xludf.DUMMYFUNCTION("if(and(D43&lt;&gt;0,D43&lt;&gt;""""),D43/GOOGLEFINANCE(C43,""price"")-1,"""")"),"")</f>
        <v/>
      </c>
      <c r="F43" s="364">
        <f>IFERROR(__xludf.DUMMYFUNCTION("GOOGLEFINANCE(C43,""price"")"),174.31)</f>
        <v>174.31</v>
      </c>
      <c r="G43" s="345">
        <f t="shared" si="6"/>
        <v>0.3558044656</v>
      </c>
      <c r="H43" s="347"/>
      <c r="I43" s="347">
        <f t="shared" si="19"/>
        <v>236.3302764</v>
      </c>
      <c r="J43" s="359">
        <v>6.34</v>
      </c>
      <c r="K43" s="359">
        <v>8.39</v>
      </c>
      <c r="L43" s="354">
        <v>43555.0</v>
      </c>
      <c r="M43" s="351">
        <f t="shared" si="7"/>
        <v>-0.5735362355</v>
      </c>
      <c r="N43" s="349">
        <f t="shared" si="8"/>
        <v>9.565749283</v>
      </c>
      <c r="O43" s="352">
        <v>0.1</v>
      </c>
      <c r="P43" s="352"/>
      <c r="Q43" s="353"/>
      <c r="R43" s="433"/>
      <c r="S43" s="433">
        <v>43291.0</v>
      </c>
      <c r="T43" s="365" t="s">
        <v>1240</v>
      </c>
      <c r="U43" s="356" t="s">
        <v>1428</v>
      </c>
      <c r="V43" s="344"/>
      <c r="W43" s="344"/>
      <c r="X43" s="344"/>
      <c r="Y43" s="344"/>
      <c r="Z43" s="344"/>
      <c r="AA43" s="344"/>
      <c r="AB43" s="344"/>
      <c r="AC43" s="344"/>
      <c r="AD43" s="344"/>
      <c r="AE43" s="344"/>
      <c r="AF43" s="344"/>
      <c r="AG43" s="344"/>
      <c r="AH43" s="344"/>
      <c r="AI43" s="344"/>
      <c r="AJ43" s="344"/>
      <c r="AK43" s="344"/>
      <c r="AL43" s="344"/>
      <c r="AM43" s="344"/>
      <c r="AN43" s="344"/>
      <c r="AO43" s="344"/>
      <c r="AP43" s="344"/>
      <c r="AQ43" s="344"/>
      <c r="AR43" s="344"/>
      <c r="AS43" s="344"/>
      <c r="AT43" s="344"/>
      <c r="AU43" s="344"/>
      <c r="AV43" s="344"/>
      <c r="AW43" s="344"/>
      <c r="AX43" s="344"/>
      <c r="AY43" s="344"/>
      <c r="AZ43" s="344"/>
      <c r="BA43" s="344"/>
      <c r="BB43" s="344"/>
      <c r="BC43" s="344"/>
      <c r="BD43" s="344"/>
      <c r="BE43" s="344"/>
      <c r="BF43" s="344"/>
      <c r="BG43" s="344"/>
      <c r="BH43" s="344"/>
      <c r="BI43" s="344"/>
      <c r="BJ43" s="344"/>
      <c r="BK43" s="344"/>
      <c r="BL43" s="344"/>
      <c r="BM43" s="344"/>
      <c r="BN43" s="344"/>
      <c r="BO43" s="344"/>
      <c r="BP43" s="344"/>
      <c r="BQ43" s="344"/>
      <c r="BR43" s="344"/>
      <c r="BS43" s="344"/>
      <c r="BT43" s="344"/>
      <c r="BU43" s="344"/>
      <c r="BV43" s="344"/>
      <c r="BW43" s="344"/>
      <c r="BX43" s="344"/>
      <c r="BY43" s="344"/>
      <c r="BZ43" s="344"/>
      <c r="CA43" s="344"/>
      <c r="CB43" s="344"/>
      <c r="CC43" s="344"/>
      <c r="CD43" s="344"/>
      <c r="CE43" s="344"/>
      <c r="CF43" s="344"/>
      <c r="CG43" s="344"/>
      <c r="CH43" s="344"/>
      <c r="CI43" s="344"/>
      <c r="CJ43" s="344"/>
      <c r="CK43" s="344"/>
      <c r="CL43" s="344"/>
      <c r="CM43" s="344"/>
      <c r="CN43" s="344"/>
      <c r="CO43" s="344"/>
      <c r="CP43" s="344"/>
      <c r="CQ43" s="344"/>
      <c r="CR43" s="344"/>
      <c r="CS43" s="344"/>
      <c r="CT43" s="344"/>
      <c r="CU43" s="344"/>
      <c r="CV43" s="344"/>
      <c r="CW43" s="344"/>
      <c r="CX43" s="344"/>
      <c r="CY43" s="344"/>
      <c r="CZ43" s="344"/>
      <c r="DA43" s="344"/>
      <c r="DB43" s="344"/>
      <c r="DC43" s="344"/>
      <c r="DD43" s="344"/>
      <c r="DE43" s="344"/>
      <c r="DF43" s="344"/>
      <c r="DG43" s="344"/>
      <c r="DH43" s="344"/>
      <c r="DI43" s="344"/>
      <c r="DJ43" s="344"/>
      <c r="DK43" s="344"/>
      <c r="DL43" s="344"/>
      <c r="DM43" s="344"/>
      <c r="DN43" s="344"/>
      <c r="DO43" s="344"/>
      <c r="DP43" s="344"/>
      <c r="DQ43" s="344"/>
      <c r="DR43" s="344"/>
      <c r="DS43" s="344"/>
      <c r="DT43" s="344"/>
      <c r="DU43" s="344"/>
      <c r="DV43" s="344"/>
      <c r="DW43" s="344"/>
    </row>
    <row r="44" ht="15.0" customHeight="1">
      <c r="A44" s="366">
        <v>41075.0</v>
      </c>
      <c r="B44" s="367" t="s">
        <v>1429</v>
      </c>
      <c r="C44" s="367" t="s">
        <v>890</v>
      </c>
      <c r="D44" s="367"/>
      <c r="E44" s="345" t="str">
        <f>IFERROR(__xludf.DUMMYFUNCTION("if(and(D44&lt;&gt;0,D44&lt;&gt;""""),D44/GOOGLEFINANCE(C44,""price"")-1,"""")"),"")</f>
        <v/>
      </c>
      <c r="F44" s="364">
        <f>IFERROR(__xludf.DUMMYFUNCTION("GOOGLEFINANCE(C44,""price"")"),31.72)</f>
        <v>31.72</v>
      </c>
      <c r="G44" s="345">
        <f t="shared" si="6"/>
        <v>-0.369482976</v>
      </c>
      <c r="H44" s="347"/>
      <c r="I44" s="348">
        <v>20.0</v>
      </c>
      <c r="J44" s="349"/>
      <c r="K44" s="349"/>
      <c r="L44" s="350"/>
      <c r="M44" s="351">
        <f t="shared" si="7"/>
        <v>-119.9023034</v>
      </c>
      <c r="N44" s="349">
        <f t="shared" si="8"/>
        <v>0</v>
      </c>
      <c r="O44" s="350"/>
      <c r="P44" s="434"/>
      <c r="Q44" s="351"/>
      <c r="R44" s="435"/>
      <c r="S44" s="435"/>
      <c r="T44" s="435"/>
      <c r="U44" s="436" t="s">
        <v>1432</v>
      </c>
      <c r="V44" s="367"/>
      <c r="W44" s="367"/>
      <c r="X44" s="367"/>
      <c r="Y44" s="367"/>
      <c r="Z44" s="367"/>
      <c r="AA44" s="367"/>
      <c r="AB44" s="367"/>
      <c r="AC44" s="367"/>
      <c r="AD44" s="367"/>
      <c r="AE44" s="367"/>
      <c r="AF44" s="367"/>
      <c r="AG44" s="367"/>
      <c r="AH44" s="367"/>
      <c r="AI44" s="367"/>
      <c r="AJ44" s="367"/>
      <c r="AK44" s="367"/>
      <c r="AL44" s="367"/>
      <c r="AM44" s="367"/>
      <c r="AN44" s="367"/>
      <c r="AO44" s="367"/>
      <c r="AP44" s="367"/>
      <c r="AQ44" s="367"/>
      <c r="AR44" s="367"/>
      <c r="AS44" s="367"/>
      <c r="AT44" s="367"/>
      <c r="AU44" s="367"/>
      <c r="AV44" s="367"/>
      <c r="AW44" s="367"/>
      <c r="AX44" s="367"/>
      <c r="AY44" s="367"/>
      <c r="AZ44" s="367"/>
      <c r="BA44" s="367"/>
      <c r="BB44" s="367"/>
      <c r="BC44" s="367"/>
      <c r="BD44" s="367"/>
      <c r="BE44" s="367"/>
      <c r="BF44" s="367"/>
      <c r="BG44" s="367"/>
      <c r="BH44" s="367"/>
      <c r="BI44" s="367"/>
      <c r="BJ44" s="367"/>
      <c r="BK44" s="367"/>
      <c r="BL44" s="367"/>
      <c r="BM44" s="367"/>
      <c r="BN44" s="367"/>
      <c r="BO44" s="367"/>
      <c r="BP44" s="367"/>
      <c r="BQ44" s="367"/>
      <c r="BR44" s="367"/>
      <c r="BS44" s="367"/>
      <c r="BT44" s="367"/>
      <c r="BU44" s="367"/>
      <c r="BV44" s="367"/>
      <c r="BW44" s="367"/>
      <c r="BX44" s="367"/>
      <c r="BY44" s="367"/>
      <c r="BZ44" s="367"/>
      <c r="CA44" s="367"/>
      <c r="CB44" s="367"/>
      <c r="CC44" s="367"/>
      <c r="CD44" s="367"/>
      <c r="CE44" s="367"/>
      <c r="CF44" s="367"/>
      <c r="CG44" s="367"/>
      <c r="CH44" s="367"/>
      <c r="CI44" s="367"/>
      <c r="CJ44" s="367"/>
      <c r="CK44" s="367"/>
      <c r="CL44" s="367"/>
      <c r="CM44" s="367"/>
      <c r="CN44" s="367"/>
      <c r="CO44" s="367"/>
      <c r="CP44" s="367"/>
      <c r="CQ44" s="367"/>
      <c r="CR44" s="367"/>
      <c r="CS44" s="367"/>
      <c r="CT44" s="367"/>
      <c r="CU44" s="367"/>
      <c r="CV44" s="367"/>
      <c r="CW44" s="367"/>
      <c r="CX44" s="367"/>
      <c r="CY44" s="367"/>
      <c r="CZ44" s="367"/>
      <c r="DA44" s="367"/>
      <c r="DB44" s="367"/>
      <c r="DC44" s="367"/>
      <c r="DD44" s="367"/>
      <c r="DE44" s="367"/>
      <c r="DF44" s="367"/>
      <c r="DG44" s="367"/>
      <c r="DH44" s="367"/>
      <c r="DI44" s="367"/>
      <c r="DJ44" s="367"/>
      <c r="DK44" s="367"/>
      <c r="DL44" s="367"/>
      <c r="DM44" s="367"/>
      <c r="DN44" s="367"/>
      <c r="DO44" s="367"/>
      <c r="DP44" s="367"/>
      <c r="DQ44" s="367"/>
      <c r="DR44" s="367"/>
      <c r="DS44" s="367"/>
      <c r="DT44" s="367"/>
      <c r="DU44" s="367"/>
      <c r="DV44" s="367"/>
      <c r="DW44" s="367"/>
    </row>
    <row r="45" ht="15.0" customHeight="1">
      <c r="A45" s="343">
        <v>42708.0</v>
      </c>
      <c r="B45" s="344" t="s">
        <v>1433</v>
      </c>
      <c r="C45" s="344" t="s">
        <v>1434</v>
      </c>
      <c r="D45" s="367"/>
      <c r="E45" s="345" t="str">
        <f>IFERROR(__xludf.DUMMYFUNCTION("if(and(D45&lt;&gt;0,D45&lt;&gt;""""),D45/GOOGLEFINANCE(C45,""price"")-1,"""")"),"")</f>
        <v/>
      </c>
      <c r="F45" s="364">
        <f>IFERROR(__xludf.DUMMYFUNCTION("GOOGLEFINANCE(C45,""price"")"),53.88)</f>
        <v>53.88</v>
      </c>
      <c r="G45" s="345">
        <f t="shared" si="6"/>
        <v>-0.2099971614</v>
      </c>
      <c r="H45" s="347"/>
      <c r="I45" s="368">
        <f>23.38*0.1*($I$1+3.5)</f>
        <v>42.56535294</v>
      </c>
      <c r="J45" s="349"/>
      <c r="K45" s="349"/>
      <c r="L45" s="350"/>
      <c r="M45" s="351">
        <f t="shared" si="7"/>
        <v>-119.9023034</v>
      </c>
      <c r="N45" s="349">
        <f t="shared" si="8"/>
        <v>0</v>
      </c>
      <c r="O45" s="350"/>
      <c r="P45" s="352"/>
      <c r="Q45" s="353"/>
      <c r="R45" s="365"/>
      <c r="S45" s="365"/>
      <c r="T45" s="365"/>
      <c r="U45" s="356" t="s">
        <v>1435</v>
      </c>
      <c r="V45" s="344"/>
      <c r="W45" s="344"/>
      <c r="X45" s="344"/>
      <c r="Y45" s="344"/>
      <c r="Z45" s="344"/>
      <c r="AA45" s="344"/>
      <c r="AB45" s="344"/>
      <c r="AC45" s="344"/>
      <c r="AD45" s="344"/>
      <c r="AE45" s="344"/>
      <c r="AF45" s="344"/>
      <c r="AG45" s="344"/>
      <c r="AH45" s="344"/>
      <c r="AI45" s="344"/>
      <c r="AJ45" s="344"/>
      <c r="AK45" s="344"/>
      <c r="AL45" s="344"/>
      <c r="AM45" s="344"/>
      <c r="AN45" s="344"/>
      <c r="AO45" s="344"/>
      <c r="AP45" s="344"/>
      <c r="AQ45" s="344"/>
      <c r="AR45" s="344"/>
      <c r="AS45" s="344"/>
      <c r="AT45" s="344"/>
      <c r="AU45" s="344"/>
      <c r="AV45" s="344"/>
      <c r="AW45" s="344"/>
      <c r="AX45" s="344"/>
      <c r="AY45" s="344"/>
      <c r="AZ45" s="344"/>
      <c r="BA45" s="344"/>
      <c r="BB45" s="344"/>
      <c r="BC45" s="344"/>
      <c r="BD45" s="344"/>
      <c r="BE45" s="344"/>
      <c r="BF45" s="344"/>
      <c r="BG45" s="344"/>
      <c r="BH45" s="344"/>
      <c r="BI45" s="344"/>
      <c r="BJ45" s="344"/>
      <c r="BK45" s="344"/>
      <c r="BL45" s="344"/>
      <c r="BM45" s="344"/>
      <c r="BN45" s="344"/>
      <c r="BO45" s="344"/>
      <c r="BP45" s="344"/>
      <c r="BQ45" s="344"/>
      <c r="BR45" s="344"/>
      <c r="BS45" s="344"/>
      <c r="BT45" s="344"/>
      <c r="BU45" s="344"/>
      <c r="BV45" s="344"/>
      <c r="BW45" s="344"/>
      <c r="BX45" s="344"/>
      <c r="BY45" s="344"/>
      <c r="BZ45" s="344"/>
      <c r="CA45" s="344"/>
      <c r="CB45" s="344"/>
      <c r="CC45" s="344"/>
      <c r="CD45" s="344"/>
      <c r="CE45" s="344"/>
      <c r="CF45" s="344"/>
      <c r="CG45" s="344"/>
      <c r="CH45" s="344"/>
      <c r="CI45" s="344"/>
      <c r="CJ45" s="344"/>
      <c r="CK45" s="344"/>
      <c r="CL45" s="344"/>
      <c r="CM45" s="344"/>
      <c r="CN45" s="344"/>
      <c r="CO45" s="344"/>
      <c r="CP45" s="344"/>
      <c r="CQ45" s="344"/>
      <c r="CR45" s="344"/>
      <c r="CS45" s="344"/>
      <c r="CT45" s="344"/>
      <c r="CU45" s="344"/>
      <c r="CV45" s="344"/>
      <c r="CW45" s="344"/>
      <c r="CX45" s="344"/>
      <c r="CY45" s="344"/>
      <c r="CZ45" s="344"/>
      <c r="DA45" s="344"/>
      <c r="DB45" s="344"/>
      <c r="DC45" s="344"/>
      <c r="DD45" s="344"/>
      <c r="DE45" s="344"/>
      <c r="DF45" s="344"/>
      <c r="DG45" s="344"/>
      <c r="DH45" s="344"/>
      <c r="DI45" s="344"/>
      <c r="DJ45" s="344"/>
      <c r="DK45" s="344"/>
      <c r="DL45" s="344"/>
      <c r="DM45" s="344"/>
      <c r="DN45" s="344"/>
      <c r="DO45" s="344"/>
      <c r="DP45" s="344"/>
      <c r="DQ45" s="344"/>
      <c r="DR45" s="344"/>
      <c r="DS45" s="344"/>
      <c r="DT45" s="344"/>
      <c r="DU45" s="344"/>
      <c r="DV45" s="344"/>
      <c r="DW45" s="344"/>
    </row>
    <row r="46" ht="15.0" customHeight="1">
      <c r="A46" s="372">
        <v>42484.0</v>
      </c>
      <c r="B46" s="384" t="s">
        <v>1437</v>
      </c>
      <c r="C46" s="384" t="s">
        <v>1438</v>
      </c>
      <c r="D46" s="320"/>
      <c r="E46" s="374" t="str">
        <f>IFERROR(__xludf.DUMMYFUNCTION("if(and(D46&lt;&gt;0,D46&lt;&gt;""""),D46/GOOGLEFINANCE(C46,""price"")-1,"""")"),"")</f>
        <v/>
      </c>
      <c r="F46" s="375">
        <f>IFERROR(__xludf.DUMMYFUNCTION("GOOGLEFINANCE(C46,""price"")"),77.28)</f>
        <v>77.28</v>
      </c>
      <c r="G46" s="374">
        <f t="shared" si="6"/>
        <v>-0.385085556</v>
      </c>
      <c r="H46" s="376"/>
      <c r="I46" s="368">
        <f>2.14*($I$1+7.5)</f>
        <v>47.52058824</v>
      </c>
      <c r="J46" s="380"/>
      <c r="K46" s="380"/>
      <c r="L46" s="389"/>
      <c r="M46" s="379">
        <f t="shared" si="7"/>
        <v>-119.9023034</v>
      </c>
      <c r="N46" s="380">
        <f t="shared" si="8"/>
        <v>0</v>
      </c>
      <c r="O46" s="389"/>
      <c r="P46" s="390"/>
      <c r="Q46" s="391"/>
      <c r="R46" s="387"/>
      <c r="S46" s="387"/>
      <c r="T46" s="387"/>
      <c r="U46" s="386" t="s">
        <v>1440</v>
      </c>
      <c r="V46" s="344"/>
      <c r="W46" s="344"/>
      <c r="X46" s="344"/>
      <c r="Y46" s="344"/>
      <c r="Z46" s="344"/>
      <c r="AA46" s="344"/>
      <c r="AB46" s="344"/>
      <c r="AC46" s="344"/>
      <c r="AD46" s="344"/>
      <c r="AE46" s="344"/>
      <c r="AF46" s="344"/>
      <c r="AG46" s="344"/>
      <c r="AH46" s="344"/>
      <c r="AI46" s="344"/>
      <c r="AJ46" s="344"/>
      <c r="AK46" s="344"/>
      <c r="AL46" s="344"/>
      <c r="AM46" s="344"/>
      <c r="AN46" s="344"/>
      <c r="AO46" s="344"/>
      <c r="AP46" s="344"/>
      <c r="AQ46" s="344"/>
      <c r="AR46" s="344"/>
      <c r="AS46" s="344"/>
      <c r="AT46" s="344"/>
      <c r="AU46" s="344"/>
      <c r="AV46" s="344"/>
      <c r="AW46" s="344"/>
      <c r="AX46" s="344"/>
      <c r="AY46" s="344"/>
      <c r="AZ46" s="344"/>
      <c r="BA46" s="344"/>
      <c r="BB46" s="344"/>
      <c r="BC46" s="344"/>
      <c r="BD46" s="344"/>
      <c r="BE46" s="344"/>
      <c r="BF46" s="344"/>
      <c r="BG46" s="344"/>
      <c r="BH46" s="344"/>
      <c r="BI46" s="344"/>
      <c r="BJ46" s="344"/>
      <c r="BK46" s="344"/>
      <c r="BL46" s="344"/>
      <c r="BM46" s="344"/>
      <c r="BN46" s="344"/>
      <c r="BO46" s="344"/>
      <c r="BP46" s="344"/>
      <c r="BQ46" s="344"/>
      <c r="BR46" s="344"/>
      <c r="BS46" s="344"/>
      <c r="BT46" s="344"/>
      <c r="BU46" s="344"/>
      <c r="BV46" s="344"/>
      <c r="BW46" s="344"/>
      <c r="BX46" s="344"/>
      <c r="BY46" s="344"/>
      <c r="BZ46" s="344"/>
      <c r="CA46" s="344"/>
      <c r="CB46" s="344"/>
      <c r="CC46" s="344"/>
      <c r="CD46" s="344"/>
      <c r="CE46" s="344"/>
      <c r="CF46" s="344"/>
      <c r="CG46" s="344"/>
      <c r="CH46" s="344"/>
      <c r="CI46" s="344"/>
      <c r="CJ46" s="344"/>
      <c r="CK46" s="344"/>
      <c r="CL46" s="344"/>
      <c r="CM46" s="344"/>
      <c r="CN46" s="344"/>
      <c r="CO46" s="344"/>
      <c r="CP46" s="344"/>
      <c r="CQ46" s="344"/>
      <c r="CR46" s="344"/>
      <c r="CS46" s="344"/>
      <c r="CT46" s="344"/>
      <c r="CU46" s="344"/>
      <c r="CV46" s="344"/>
      <c r="CW46" s="344"/>
      <c r="CX46" s="344"/>
      <c r="CY46" s="344"/>
      <c r="CZ46" s="344"/>
      <c r="DA46" s="344"/>
      <c r="DB46" s="344"/>
      <c r="DC46" s="344"/>
      <c r="DD46" s="344"/>
      <c r="DE46" s="344"/>
      <c r="DF46" s="344"/>
      <c r="DG46" s="344"/>
      <c r="DH46" s="344"/>
      <c r="DI46" s="344"/>
      <c r="DJ46" s="344"/>
      <c r="DK46" s="344"/>
      <c r="DL46" s="344"/>
      <c r="DM46" s="344"/>
      <c r="DN46" s="344"/>
      <c r="DO46" s="344"/>
      <c r="DP46" s="344"/>
      <c r="DQ46" s="344"/>
      <c r="DR46" s="344"/>
      <c r="DS46" s="344"/>
      <c r="DT46" s="344"/>
      <c r="DU46" s="344"/>
      <c r="DV46" s="344"/>
      <c r="DW46" s="344"/>
    </row>
    <row r="47" ht="15.0" customHeight="1">
      <c r="A47" s="394">
        <v>41624.0</v>
      </c>
      <c r="B47" s="302" t="s">
        <v>1441</v>
      </c>
      <c r="C47" s="302" t="s">
        <v>1442</v>
      </c>
      <c r="D47" s="302"/>
      <c r="E47" s="396" t="str">
        <f>IFERROR(__xludf.DUMMYFUNCTION("if(and(D47&lt;&gt;0,D47&lt;&gt;""""),D47/GOOGLEFINANCE(C47,""price"")-1,"""")"),"")</f>
        <v/>
      </c>
      <c r="F47" s="397">
        <f>IFERROR(__xludf.DUMMYFUNCTION("GOOGLEFINANCE(C47,""price"")"),12.9)</f>
        <v>12.9</v>
      </c>
      <c r="G47" s="396">
        <f t="shared" si="6"/>
        <v>0.007751937984</v>
      </c>
      <c r="H47" s="398"/>
      <c r="I47" s="399">
        <v>13.0</v>
      </c>
      <c r="J47" s="403"/>
      <c r="K47" s="403"/>
      <c r="L47" s="410"/>
      <c r="M47" s="402">
        <f t="shared" si="7"/>
        <v>-119.9023034</v>
      </c>
      <c r="N47" s="403">
        <f t="shared" si="8"/>
        <v>0</v>
      </c>
      <c r="O47" s="410"/>
      <c r="P47" s="411"/>
      <c r="Q47" s="402"/>
      <c r="R47" s="412"/>
      <c r="S47" s="412"/>
      <c r="T47" s="412"/>
      <c r="U47" s="413" t="s">
        <v>1444</v>
      </c>
      <c r="V47" s="414"/>
      <c r="W47" s="414"/>
      <c r="X47" s="414"/>
      <c r="Y47" s="414"/>
      <c r="Z47" s="414"/>
      <c r="AA47" s="414"/>
      <c r="AB47" s="414"/>
      <c r="AC47" s="414"/>
      <c r="AD47" s="414"/>
      <c r="AE47" s="414"/>
      <c r="AF47" s="414"/>
      <c r="AG47" s="414"/>
      <c r="AH47" s="414"/>
      <c r="AI47" s="414"/>
      <c r="AJ47" s="414"/>
      <c r="AK47" s="414"/>
      <c r="AL47" s="414"/>
      <c r="AM47" s="414"/>
      <c r="AN47" s="414"/>
      <c r="AO47" s="414"/>
      <c r="AP47" s="414"/>
      <c r="AQ47" s="414"/>
      <c r="AR47" s="414"/>
      <c r="AS47" s="414"/>
      <c r="AT47" s="414"/>
      <c r="AU47" s="414"/>
      <c r="AV47" s="414"/>
      <c r="AW47" s="414"/>
      <c r="AX47" s="414"/>
      <c r="AY47" s="414"/>
      <c r="AZ47" s="414"/>
      <c r="BA47" s="414"/>
      <c r="BB47" s="414"/>
      <c r="BC47" s="414"/>
      <c r="BD47" s="414"/>
      <c r="BE47" s="414"/>
      <c r="BF47" s="414"/>
      <c r="BG47" s="414"/>
      <c r="BH47" s="414"/>
      <c r="BI47" s="414"/>
      <c r="BJ47" s="414"/>
      <c r="BK47" s="414"/>
      <c r="BL47" s="414"/>
      <c r="BM47" s="414"/>
      <c r="BN47" s="414"/>
      <c r="BO47" s="414"/>
      <c r="BP47" s="414"/>
      <c r="BQ47" s="414"/>
      <c r="BR47" s="414"/>
      <c r="BS47" s="414"/>
      <c r="BT47" s="414"/>
      <c r="BU47" s="414"/>
      <c r="BV47" s="414"/>
      <c r="BW47" s="414"/>
      <c r="BX47" s="414"/>
      <c r="BY47" s="414"/>
      <c r="BZ47" s="414"/>
      <c r="CA47" s="414"/>
      <c r="CB47" s="414"/>
      <c r="CC47" s="414"/>
      <c r="CD47" s="414"/>
      <c r="CE47" s="414"/>
      <c r="CF47" s="414"/>
      <c r="CG47" s="414"/>
      <c r="CH47" s="414"/>
      <c r="CI47" s="414"/>
      <c r="CJ47" s="414"/>
      <c r="CK47" s="414"/>
      <c r="CL47" s="414"/>
      <c r="CM47" s="414"/>
      <c r="CN47" s="414"/>
      <c r="CO47" s="414"/>
      <c r="CP47" s="414"/>
      <c r="CQ47" s="414"/>
      <c r="CR47" s="414"/>
      <c r="CS47" s="414"/>
      <c r="CT47" s="414"/>
      <c r="CU47" s="414"/>
      <c r="CV47" s="414"/>
      <c r="CW47" s="414"/>
      <c r="CX47" s="414"/>
      <c r="CY47" s="414"/>
      <c r="CZ47" s="414"/>
      <c r="DA47" s="414"/>
      <c r="DB47" s="414"/>
      <c r="DC47" s="414"/>
      <c r="DD47" s="414"/>
      <c r="DE47" s="414"/>
      <c r="DF47" s="414"/>
      <c r="DG47" s="414"/>
      <c r="DH47" s="414"/>
      <c r="DI47" s="414"/>
      <c r="DJ47" s="414"/>
      <c r="DK47" s="414"/>
      <c r="DL47" s="414"/>
      <c r="DM47" s="414"/>
      <c r="DN47" s="414"/>
      <c r="DO47" s="414"/>
      <c r="DP47" s="414"/>
      <c r="DQ47" s="414"/>
      <c r="DR47" s="414"/>
      <c r="DS47" s="414"/>
      <c r="DT47" s="414"/>
      <c r="DU47" s="414"/>
      <c r="DV47" s="414"/>
      <c r="DW47" s="414"/>
    </row>
    <row r="48" ht="15.0" customHeight="1">
      <c r="A48" s="394">
        <v>41654.0</v>
      </c>
      <c r="B48" s="302" t="s">
        <v>1445</v>
      </c>
      <c r="C48" s="302" t="s">
        <v>1446</v>
      </c>
      <c r="D48" s="302"/>
      <c r="E48" s="396" t="str">
        <f>IFERROR(__xludf.DUMMYFUNCTION("if(and(D48&lt;&gt;0,D48&lt;&gt;""""),D48/GOOGLEFINANCE(C48,""price"")-1,"""")"),"")</f>
        <v/>
      </c>
      <c r="F48" s="397">
        <f>IFERROR(__xludf.DUMMYFUNCTION("GOOGLEFINANCE(C48,""price"")"),100.1)</f>
        <v>100.1</v>
      </c>
      <c r="G48" s="396">
        <f t="shared" si="6"/>
        <v>-0.3630557678</v>
      </c>
      <c r="H48" s="398"/>
      <c r="I48" s="398">
        <f>2.6*(1+0.08)*($I$1+8)</f>
        <v>63.75811765</v>
      </c>
      <c r="J48" s="403"/>
      <c r="K48" s="403"/>
      <c r="L48" s="410"/>
      <c r="M48" s="402">
        <f t="shared" si="7"/>
        <v>-119.9023034</v>
      </c>
      <c r="N48" s="403">
        <f t="shared" si="8"/>
        <v>0</v>
      </c>
      <c r="O48" s="410"/>
      <c r="P48" s="423"/>
      <c r="Q48" s="424"/>
      <c r="R48" s="425"/>
      <c r="S48" s="425"/>
      <c r="T48" s="425"/>
      <c r="U48" s="426" t="s">
        <v>1448</v>
      </c>
      <c r="V48" s="427"/>
      <c r="W48" s="427"/>
      <c r="X48" s="427"/>
      <c r="Y48" s="427"/>
      <c r="Z48" s="427"/>
      <c r="AA48" s="427"/>
      <c r="AB48" s="427"/>
      <c r="AC48" s="427"/>
      <c r="AD48" s="427"/>
      <c r="AE48" s="427"/>
      <c r="AF48" s="427"/>
      <c r="AG48" s="427"/>
      <c r="AH48" s="427"/>
      <c r="AI48" s="427"/>
      <c r="AJ48" s="427"/>
      <c r="AK48" s="427"/>
      <c r="AL48" s="427"/>
      <c r="AM48" s="427"/>
      <c r="AN48" s="427"/>
      <c r="AO48" s="427"/>
      <c r="AP48" s="427"/>
      <c r="AQ48" s="427"/>
      <c r="AR48" s="427"/>
      <c r="AS48" s="427"/>
      <c r="AT48" s="427"/>
      <c r="AU48" s="427"/>
      <c r="AV48" s="427"/>
      <c r="AW48" s="427"/>
      <c r="AX48" s="427"/>
      <c r="AY48" s="427"/>
      <c r="AZ48" s="427"/>
      <c r="BA48" s="427"/>
      <c r="BB48" s="427"/>
      <c r="BC48" s="427"/>
      <c r="BD48" s="427"/>
      <c r="BE48" s="427"/>
      <c r="BF48" s="427"/>
      <c r="BG48" s="427"/>
      <c r="BH48" s="427"/>
      <c r="BI48" s="427"/>
      <c r="BJ48" s="427"/>
      <c r="BK48" s="427"/>
      <c r="BL48" s="427"/>
      <c r="BM48" s="427"/>
      <c r="BN48" s="427"/>
      <c r="BO48" s="427"/>
      <c r="BP48" s="427"/>
      <c r="BQ48" s="427"/>
      <c r="BR48" s="427"/>
      <c r="BS48" s="427"/>
      <c r="BT48" s="427"/>
      <c r="BU48" s="427"/>
      <c r="BV48" s="427"/>
      <c r="BW48" s="427"/>
      <c r="BX48" s="427"/>
      <c r="BY48" s="427"/>
      <c r="BZ48" s="427"/>
      <c r="CA48" s="427"/>
      <c r="CB48" s="427"/>
      <c r="CC48" s="427"/>
      <c r="CD48" s="427"/>
      <c r="CE48" s="427"/>
      <c r="CF48" s="427"/>
      <c r="CG48" s="427"/>
      <c r="CH48" s="427"/>
      <c r="CI48" s="427"/>
      <c r="CJ48" s="427"/>
      <c r="CK48" s="427"/>
      <c r="CL48" s="427"/>
      <c r="CM48" s="427"/>
      <c r="CN48" s="427"/>
      <c r="CO48" s="427"/>
      <c r="CP48" s="427"/>
      <c r="CQ48" s="427"/>
      <c r="CR48" s="427"/>
      <c r="CS48" s="427"/>
      <c r="CT48" s="427"/>
      <c r="CU48" s="427"/>
      <c r="CV48" s="427"/>
      <c r="CW48" s="427"/>
      <c r="CX48" s="427"/>
      <c r="CY48" s="427"/>
      <c r="CZ48" s="427"/>
      <c r="DA48" s="427"/>
      <c r="DB48" s="427"/>
      <c r="DC48" s="427"/>
      <c r="DD48" s="427"/>
      <c r="DE48" s="427"/>
      <c r="DF48" s="427"/>
      <c r="DG48" s="427"/>
      <c r="DH48" s="427"/>
      <c r="DI48" s="427"/>
      <c r="DJ48" s="427"/>
      <c r="DK48" s="427"/>
      <c r="DL48" s="427"/>
      <c r="DM48" s="427"/>
      <c r="DN48" s="427"/>
      <c r="DO48" s="427"/>
      <c r="DP48" s="427"/>
      <c r="DQ48" s="427"/>
      <c r="DR48" s="427"/>
      <c r="DS48" s="427"/>
      <c r="DT48" s="427"/>
      <c r="DU48" s="427"/>
      <c r="DV48" s="427"/>
      <c r="DW48" s="427"/>
    </row>
    <row r="49" ht="15.0" customHeight="1">
      <c r="A49" s="394">
        <v>40543.0</v>
      </c>
      <c r="B49" s="302" t="s">
        <v>1449</v>
      </c>
      <c r="C49" s="302" t="s">
        <v>1450</v>
      </c>
      <c r="D49" s="302"/>
      <c r="E49" s="396" t="str">
        <f>IFERROR(__xludf.DUMMYFUNCTION("if(and(D49&lt;&gt;0,D49&lt;&gt;""""),D49/GOOGLEFINANCE(C49,""price"")-1,"""")"),"")</f>
        <v/>
      </c>
      <c r="F49" s="397">
        <f>IFERROR(__xludf.DUMMYFUNCTION("GOOGLEFINANCE(C49,""price"")"),244.3)</f>
        <v>244.3</v>
      </c>
      <c r="G49" s="396">
        <f t="shared" si="6"/>
        <v>-0.67253377</v>
      </c>
      <c r="H49" s="398">
        <v>60.0</v>
      </c>
      <c r="I49" s="398">
        <v>80.0</v>
      </c>
      <c r="J49" s="403"/>
      <c r="K49" s="403"/>
      <c r="L49" s="410"/>
      <c r="M49" s="402">
        <f t="shared" si="7"/>
        <v>-119.9023034</v>
      </c>
      <c r="N49" s="403">
        <f t="shared" si="8"/>
        <v>0</v>
      </c>
      <c r="O49" s="410"/>
      <c r="P49" s="411"/>
      <c r="Q49" s="402"/>
      <c r="R49" s="412"/>
      <c r="S49" s="412"/>
      <c r="T49" s="412"/>
      <c r="U49" s="413" t="s">
        <v>1453</v>
      </c>
      <c r="V49" s="414"/>
      <c r="W49" s="414"/>
      <c r="X49" s="414"/>
      <c r="Y49" s="414"/>
      <c r="Z49" s="414"/>
      <c r="AA49" s="414"/>
      <c r="AB49" s="414"/>
      <c r="AC49" s="414"/>
      <c r="AD49" s="414"/>
      <c r="AE49" s="414"/>
      <c r="AF49" s="414"/>
      <c r="AG49" s="414"/>
      <c r="AH49" s="414"/>
      <c r="AI49" s="414"/>
      <c r="AJ49" s="414"/>
      <c r="AK49" s="414"/>
      <c r="AL49" s="414"/>
      <c r="AM49" s="414"/>
      <c r="AN49" s="414"/>
      <c r="AO49" s="414"/>
      <c r="AP49" s="414"/>
      <c r="AQ49" s="414"/>
      <c r="AR49" s="414"/>
      <c r="AS49" s="414"/>
      <c r="AT49" s="414"/>
      <c r="AU49" s="414"/>
      <c r="AV49" s="414"/>
      <c r="AW49" s="414"/>
      <c r="AX49" s="414"/>
      <c r="AY49" s="414"/>
      <c r="AZ49" s="414"/>
      <c r="BA49" s="414"/>
      <c r="BB49" s="414"/>
      <c r="BC49" s="414"/>
      <c r="BD49" s="414"/>
      <c r="BE49" s="414"/>
      <c r="BF49" s="414"/>
      <c r="BG49" s="414"/>
      <c r="BH49" s="414"/>
      <c r="BI49" s="414"/>
      <c r="BJ49" s="414"/>
      <c r="BK49" s="414"/>
      <c r="BL49" s="414"/>
      <c r="BM49" s="414"/>
      <c r="BN49" s="414"/>
      <c r="BO49" s="414"/>
      <c r="BP49" s="414"/>
      <c r="BQ49" s="414"/>
      <c r="BR49" s="414"/>
      <c r="BS49" s="414"/>
      <c r="BT49" s="414"/>
      <c r="BU49" s="414"/>
      <c r="BV49" s="414"/>
      <c r="BW49" s="414"/>
      <c r="BX49" s="414"/>
      <c r="BY49" s="414"/>
      <c r="BZ49" s="414"/>
      <c r="CA49" s="414"/>
      <c r="CB49" s="414"/>
      <c r="CC49" s="414"/>
      <c r="CD49" s="414"/>
      <c r="CE49" s="414"/>
      <c r="CF49" s="414"/>
      <c r="CG49" s="414"/>
      <c r="CH49" s="414"/>
      <c r="CI49" s="414"/>
      <c r="CJ49" s="414"/>
      <c r="CK49" s="414"/>
      <c r="CL49" s="414"/>
      <c r="CM49" s="414"/>
      <c r="CN49" s="414"/>
      <c r="CO49" s="414"/>
      <c r="CP49" s="414"/>
      <c r="CQ49" s="414"/>
      <c r="CR49" s="414"/>
      <c r="CS49" s="414"/>
      <c r="CT49" s="414"/>
      <c r="CU49" s="414"/>
      <c r="CV49" s="414"/>
      <c r="CW49" s="414"/>
      <c r="CX49" s="414"/>
      <c r="CY49" s="414"/>
      <c r="CZ49" s="414"/>
      <c r="DA49" s="414"/>
      <c r="DB49" s="414"/>
      <c r="DC49" s="414"/>
      <c r="DD49" s="414"/>
      <c r="DE49" s="414"/>
      <c r="DF49" s="414"/>
      <c r="DG49" s="414"/>
      <c r="DH49" s="414"/>
      <c r="DI49" s="414"/>
      <c r="DJ49" s="414"/>
      <c r="DK49" s="414"/>
      <c r="DL49" s="414"/>
      <c r="DM49" s="414"/>
      <c r="DN49" s="414"/>
      <c r="DO49" s="414"/>
      <c r="DP49" s="414"/>
      <c r="DQ49" s="414"/>
      <c r="DR49" s="414"/>
      <c r="DS49" s="414"/>
      <c r="DT49" s="414"/>
      <c r="DU49" s="414"/>
      <c r="DV49" s="414"/>
      <c r="DW49" s="414"/>
    </row>
    <row r="50" ht="15.0" customHeight="1">
      <c r="A50" s="372">
        <v>42074.0</v>
      </c>
      <c r="B50" s="373" t="s">
        <v>1454</v>
      </c>
      <c r="C50" s="373" t="s">
        <v>1455</v>
      </c>
      <c r="D50" s="373">
        <v>15.0</v>
      </c>
      <c r="E50" s="374">
        <f>IFERROR(__xludf.DUMMYFUNCTION("if(and(D50&lt;&gt;0,D50&lt;&gt;""""),D50/GOOGLEFINANCE(C50,""price"")-1,"""")"),-0.3625159371015725)</f>
        <v>-0.3625159371</v>
      </c>
      <c r="F50" s="375">
        <f>IFERROR(__xludf.DUMMYFUNCTION("GOOGLEFINANCE(C50,""price"")"),23.53)</f>
        <v>23.53</v>
      </c>
      <c r="G50" s="374">
        <f t="shared" si="6"/>
        <v>0.8299649121</v>
      </c>
      <c r="H50" s="376"/>
      <c r="I50" s="376">
        <f>N50*($I$1+O50*100)</f>
        <v>43.05907438</v>
      </c>
      <c r="J50" s="377">
        <v>3.46</v>
      </c>
      <c r="K50" s="377">
        <v>3.58</v>
      </c>
      <c r="L50" s="378">
        <v>43465.0</v>
      </c>
      <c r="M50" s="379">
        <f t="shared" si="7"/>
        <v>-0.820111578</v>
      </c>
      <c r="N50" s="380">
        <f t="shared" si="8"/>
        <v>3.678413389</v>
      </c>
      <c r="O50" s="370">
        <v>-0.03</v>
      </c>
      <c r="P50" s="370"/>
      <c r="Q50" s="371"/>
      <c r="R50" s="378"/>
      <c r="S50" s="378">
        <v>43351.0</v>
      </c>
      <c r="T50" s="381" t="s">
        <v>1223</v>
      </c>
      <c r="U50" s="382" t="s">
        <v>1457</v>
      </c>
      <c r="V50" s="358"/>
      <c r="W50" s="358"/>
      <c r="X50" s="358"/>
      <c r="Y50" s="358"/>
      <c r="Z50" s="358"/>
      <c r="AA50" s="358"/>
      <c r="AB50" s="358"/>
      <c r="AC50" s="358"/>
      <c r="AD50" s="358"/>
      <c r="AE50" s="358"/>
      <c r="AF50" s="358"/>
      <c r="AG50" s="358"/>
      <c r="AH50" s="358"/>
      <c r="AI50" s="358"/>
      <c r="AJ50" s="358"/>
      <c r="AK50" s="358"/>
      <c r="AL50" s="358"/>
      <c r="AM50" s="358"/>
      <c r="AN50" s="358"/>
      <c r="AO50" s="358"/>
      <c r="AP50" s="358"/>
      <c r="AQ50" s="358"/>
      <c r="AR50" s="358"/>
      <c r="AS50" s="358"/>
      <c r="AT50" s="358"/>
      <c r="AU50" s="358"/>
      <c r="AV50" s="358"/>
      <c r="AW50" s="358"/>
      <c r="AX50" s="358"/>
      <c r="AY50" s="358"/>
      <c r="AZ50" s="358"/>
      <c r="BA50" s="358"/>
      <c r="BB50" s="358"/>
      <c r="BC50" s="358"/>
      <c r="BD50" s="358"/>
      <c r="BE50" s="358"/>
      <c r="BF50" s="358"/>
      <c r="BG50" s="358"/>
      <c r="BH50" s="358"/>
      <c r="BI50" s="358"/>
      <c r="BJ50" s="358"/>
      <c r="BK50" s="358"/>
      <c r="BL50" s="358"/>
      <c r="BM50" s="358"/>
      <c r="BN50" s="358"/>
      <c r="BO50" s="358"/>
      <c r="BP50" s="358"/>
      <c r="BQ50" s="358"/>
      <c r="BR50" s="358"/>
      <c r="BS50" s="358"/>
      <c r="BT50" s="358"/>
      <c r="BU50" s="358"/>
      <c r="BV50" s="358"/>
      <c r="BW50" s="358"/>
      <c r="BX50" s="358"/>
      <c r="BY50" s="358"/>
      <c r="BZ50" s="358"/>
      <c r="CA50" s="358"/>
      <c r="CB50" s="358"/>
      <c r="CC50" s="358"/>
      <c r="CD50" s="358"/>
      <c r="CE50" s="358"/>
      <c r="CF50" s="358"/>
      <c r="CG50" s="358"/>
      <c r="CH50" s="358"/>
      <c r="CI50" s="358"/>
      <c r="CJ50" s="358"/>
      <c r="CK50" s="358"/>
      <c r="CL50" s="358"/>
      <c r="CM50" s="358"/>
      <c r="CN50" s="358"/>
      <c r="CO50" s="358"/>
      <c r="CP50" s="358"/>
      <c r="CQ50" s="358"/>
      <c r="CR50" s="358"/>
      <c r="CS50" s="358"/>
      <c r="CT50" s="358"/>
      <c r="CU50" s="358"/>
      <c r="CV50" s="358"/>
      <c r="CW50" s="358"/>
      <c r="CX50" s="358"/>
      <c r="CY50" s="358"/>
      <c r="CZ50" s="358"/>
      <c r="DA50" s="358"/>
      <c r="DB50" s="358"/>
      <c r="DC50" s="358"/>
      <c r="DD50" s="358"/>
      <c r="DE50" s="358"/>
      <c r="DF50" s="358"/>
      <c r="DG50" s="358"/>
      <c r="DH50" s="358"/>
      <c r="DI50" s="358"/>
      <c r="DJ50" s="358"/>
      <c r="DK50" s="358"/>
      <c r="DL50" s="358"/>
      <c r="DM50" s="358"/>
      <c r="DN50" s="358"/>
      <c r="DO50" s="358"/>
      <c r="DP50" s="358"/>
      <c r="DQ50" s="358"/>
      <c r="DR50" s="358"/>
      <c r="DS50" s="358"/>
      <c r="DT50" s="358"/>
      <c r="DU50" s="358"/>
      <c r="DV50" s="358"/>
      <c r="DW50" s="358"/>
    </row>
    <row r="51" ht="15.0" customHeight="1">
      <c r="A51" s="394">
        <v>40495.0</v>
      </c>
      <c r="B51" s="302" t="s">
        <v>1459</v>
      </c>
      <c r="C51" s="302" t="s">
        <v>1460</v>
      </c>
      <c r="D51" s="302"/>
      <c r="E51" s="396" t="str">
        <f>IFERROR(__xludf.DUMMYFUNCTION("if(and(D51&lt;&gt;0,D51&lt;&gt;""""),D51/GOOGLEFINANCE(C51,""price"")-1,"""")"),"")</f>
        <v/>
      </c>
      <c r="F51" s="397">
        <f>IFERROR(__xludf.DUMMYFUNCTION("GOOGLEFINANCE(C51,""price"")"),103.87)</f>
        <v>103.87</v>
      </c>
      <c r="G51" s="396" t="str">
        <f t="shared" si="6"/>
        <v/>
      </c>
      <c r="H51" s="398">
        <v>80.0</v>
      </c>
      <c r="I51" s="398"/>
      <c r="J51" s="403"/>
      <c r="K51" s="403"/>
      <c r="L51" s="410"/>
      <c r="M51" s="402">
        <f t="shared" si="7"/>
        <v>-119.9023034</v>
      </c>
      <c r="N51" s="403">
        <f t="shared" si="8"/>
        <v>0</v>
      </c>
      <c r="O51" s="410"/>
      <c r="P51" s="411"/>
      <c r="Q51" s="402"/>
      <c r="R51" s="412"/>
      <c r="S51" s="412"/>
      <c r="T51" s="412"/>
      <c r="U51" s="413" t="s">
        <v>1461</v>
      </c>
      <c r="V51" s="414"/>
      <c r="W51" s="414"/>
      <c r="X51" s="414"/>
      <c r="Y51" s="414"/>
      <c r="Z51" s="414"/>
      <c r="AA51" s="414"/>
      <c r="AB51" s="414"/>
      <c r="AC51" s="414"/>
      <c r="AD51" s="414"/>
      <c r="AE51" s="414"/>
      <c r="AF51" s="414"/>
      <c r="AG51" s="414"/>
      <c r="AH51" s="414"/>
      <c r="AI51" s="414"/>
      <c r="AJ51" s="414"/>
      <c r="AK51" s="414"/>
      <c r="AL51" s="414"/>
      <c r="AM51" s="414"/>
      <c r="AN51" s="414"/>
      <c r="AO51" s="414"/>
      <c r="AP51" s="414"/>
      <c r="AQ51" s="414"/>
      <c r="AR51" s="414"/>
      <c r="AS51" s="414"/>
      <c r="AT51" s="414"/>
      <c r="AU51" s="414"/>
      <c r="AV51" s="414"/>
      <c r="AW51" s="414"/>
      <c r="AX51" s="414"/>
      <c r="AY51" s="414"/>
      <c r="AZ51" s="414"/>
      <c r="BA51" s="414"/>
      <c r="BB51" s="414"/>
      <c r="BC51" s="414"/>
      <c r="BD51" s="414"/>
      <c r="BE51" s="414"/>
      <c r="BF51" s="414"/>
      <c r="BG51" s="414"/>
      <c r="BH51" s="414"/>
      <c r="BI51" s="414"/>
      <c r="BJ51" s="414"/>
      <c r="BK51" s="414"/>
      <c r="BL51" s="414"/>
      <c r="BM51" s="414"/>
      <c r="BN51" s="414"/>
      <c r="BO51" s="414"/>
      <c r="BP51" s="414"/>
      <c r="BQ51" s="414"/>
      <c r="BR51" s="414"/>
      <c r="BS51" s="414"/>
      <c r="BT51" s="414"/>
      <c r="BU51" s="414"/>
      <c r="BV51" s="414"/>
      <c r="BW51" s="414"/>
      <c r="BX51" s="414"/>
      <c r="BY51" s="414"/>
      <c r="BZ51" s="414"/>
      <c r="CA51" s="414"/>
      <c r="CB51" s="414"/>
      <c r="CC51" s="414"/>
      <c r="CD51" s="414"/>
      <c r="CE51" s="414"/>
      <c r="CF51" s="414"/>
      <c r="CG51" s="414"/>
      <c r="CH51" s="414"/>
      <c r="CI51" s="414"/>
      <c r="CJ51" s="414"/>
      <c r="CK51" s="414"/>
      <c r="CL51" s="414"/>
      <c r="CM51" s="414"/>
      <c r="CN51" s="414"/>
      <c r="CO51" s="414"/>
      <c r="CP51" s="414"/>
      <c r="CQ51" s="414"/>
      <c r="CR51" s="414"/>
      <c r="CS51" s="414"/>
      <c r="CT51" s="414"/>
      <c r="CU51" s="414"/>
      <c r="CV51" s="414"/>
      <c r="CW51" s="414"/>
      <c r="CX51" s="414"/>
      <c r="CY51" s="414"/>
      <c r="CZ51" s="414"/>
      <c r="DA51" s="414"/>
      <c r="DB51" s="414"/>
      <c r="DC51" s="414"/>
      <c r="DD51" s="414"/>
      <c r="DE51" s="414"/>
      <c r="DF51" s="414"/>
      <c r="DG51" s="414"/>
      <c r="DH51" s="414"/>
      <c r="DI51" s="414"/>
      <c r="DJ51" s="414"/>
      <c r="DK51" s="414"/>
      <c r="DL51" s="414"/>
      <c r="DM51" s="414"/>
      <c r="DN51" s="414"/>
      <c r="DO51" s="414"/>
      <c r="DP51" s="414"/>
      <c r="DQ51" s="414"/>
      <c r="DR51" s="414"/>
      <c r="DS51" s="414"/>
      <c r="DT51" s="414"/>
      <c r="DU51" s="414"/>
      <c r="DV51" s="414"/>
      <c r="DW51" s="414"/>
    </row>
    <row r="52" ht="15.0" customHeight="1">
      <c r="A52" s="372">
        <v>42366.0</v>
      </c>
      <c r="B52" s="437" t="s">
        <v>1463</v>
      </c>
      <c r="C52" s="384" t="s">
        <v>1465</v>
      </c>
      <c r="D52" s="373">
        <v>275.0</v>
      </c>
      <c r="E52" s="374">
        <f>IFERROR(__xludf.DUMMYFUNCTION("if(and(D52&lt;&gt;0,D52&lt;&gt;""""),D52/GOOGLEFINANCE(C52,""price"")-1,"""")"),-0.04527149007082354)</f>
        <v>-0.04527149007</v>
      </c>
      <c r="F52" s="375">
        <f>IFERROR(__xludf.DUMMYFUNCTION("GOOGLEFINANCE(C52,""price"")"),288.04)</f>
        <v>288.04</v>
      </c>
      <c r="G52" s="374">
        <f t="shared" si="6"/>
        <v>0.7952168408</v>
      </c>
      <c r="H52" s="376"/>
      <c r="I52" s="376">
        <f>N52*($I$1+O52*100)</f>
        <v>517.0942588</v>
      </c>
      <c r="J52" s="377">
        <v>28.77</v>
      </c>
      <c r="K52" s="377">
        <v>29.3</v>
      </c>
      <c r="L52" s="378">
        <v>43830.0</v>
      </c>
      <c r="M52" s="379">
        <f t="shared" si="7"/>
        <v>0.179888422</v>
      </c>
      <c r="N52" s="380">
        <f t="shared" si="8"/>
        <v>29.20465914</v>
      </c>
      <c r="O52" s="370">
        <v>0.03</v>
      </c>
      <c r="P52" s="370"/>
      <c r="Q52" s="371"/>
      <c r="R52" s="378"/>
      <c r="S52" s="378">
        <v>43499.0</v>
      </c>
      <c r="T52" s="381" t="s">
        <v>1223</v>
      </c>
      <c r="U52" s="382" t="s">
        <v>1466</v>
      </c>
      <c r="V52" s="358"/>
      <c r="W52" s="358"/>
      <c r="X52" s="358"/>
      <c r="Y52" s="358"/>
      <c r="Z52" s="358"/>
      <c r="AA52" s="358"/>
      <c r="AB52" s="358"/>
      <c r="AC52" s="358"/>
      <c r="AD52" s="358"/>
      <c r="AE52" s="358"/>
      <c r="AF52" s="358"/>
      <c r="AG52" s="358"/>
      <c r="AH52" s="358"/>
      <c r="AI52" s="358"/>
      <c r="AJ52" s="358"/>
      <c r="AK52" s="358"/>
      <c r="AL52" s="358"/>
      <c r="AM52" s="358"/>
      <c r="AN52" s="358"/>
      <c r="AO52" s="358"/>
      <c r="AP52" s="358"/>
      <c r="AQ52" s="358"/>
      <c r="AR52" s="358"/>
      <c r="AS52" s="358"/>
      <c r="AT52" s="358"/>
      <c r="AU52" s="358"/>
      <c r="AV52" s="358"/>
      <c r="AW52" s="358"/>
      <c r="AX52" s="358"/>
      <c r="AY52" s="358"/>
      <c r="AZ52" s="358"/>
      <c r="BA52" s="358"/>
      <c r="BB52" s="358"/>
      <c r="BC52" s="358"/>
      <c r="BD52" s="358"/>
      <c r="BE52" s="358"/>
      <c r="BF52" s="358"/>
      <c r="BG52" s="358"/>
      <c r="BH52" s="358"/>
      <c r="BI52" s="358"/>
      <c r="BJ52" s="358"/>
      <c r="BK52" s="358"/>
      <c r="BL52" s="358"/>
      <c r="BM52" s="358"/>
      <c r="BN52" s="358"/>
      <c r="BO52" s="358"/>
      <c r="BP52" s="358"/>
      <c r="BQ52" s="358"/>
      <c r="BR52" s="358"/>
      <c r="BS52" s="358"/>
      <c r="BT52" s="358"/>
      <c r="BU52" s="358"/>
      <c r="BV52" s="358"/>
      <c r="BW52" s="358"/>
      <c r="BX52" s="358"/>
      <c r="BY52" s="358"/>
      <c r="BZ52" s="358"/>
      <c r="CA52" s="358"/>
      <c r="CB52" s="358"/>
      <c r="CC52" s="358"/>
      <c r="CD52" s="358"/>
      <c r="CE52" s="358"/>
      <c r="CF52" s="358"/>
      <c r="CG52" s="358"/>
      <c r="CH52" s="358"/>
      <c r="CI52" s="358"/>
      <c r="CJ52" s="358"/>
      <c r="CK52" s="358"/>
      <c r="CL52" s="358"/>
      <c r="CM52" s="358"/>
      <c r="CN52" s="358"/>
      <c r="CO52" s="358"/>
      <c r="CP52" s="358"/>
      <c r="CQ52" s="358"/>
      <c r="CR52" s="358"/>
      <c r="CS52" s="358"/>
      <c r="CT52" s="358"/>
      <c r="CU52" s="358"/>
      <c r="CV52" s="358"/>
      <c r="CW52" s="358"/>
      <c r="CX52" s="358"/>
      <c r="CY52" s="358"/>
      <c r="CZ52" s="358"/>
      <c r="DA52" s="358"/>
      <c r="DB52" s="358"/>
      <c r="DC52" s="358"/>
      <c r="DD52" s="358"/>
      <c r="DE52" s="358"/>
      <c r="DF52" s="358"/>
      <c r="DG52" s="358"/>
      <c r="DH52" s="358"/>
      <c r="DI52" s="358"/>
      <c r="DJ52" s="358"/>
      <c r="DK52" s="358"/>
      <c r="DL52" s="358"/>
      <c r="DM52" s="358"/>
      <c r="DN52" s="358"/>
      <c r="DO52" s="358"/>
      <c r="DP52" s="358"/>
      <c r="DQ52" s="358"/>
      <c r="DR52" s="358"/>
      <c r="DS52" s="358"/>
      <c r="DT52" s="358"/>
      <c r="DU52" s="358"/>
      <c r="DV52" s="358"/>
      <c r="DW52" s="358"/>
    </row>
    <row r="53" ht="15.0" customHeight="1">
      <c r="A53" s="394">
        <v>40036.0</v>
      </c>
      <c r="B53" s="302" t="s">
        <v>1467</v>
      </c>
      <c r="C53" s="302" t="s">
        <v>1468</v>
      </c>
      <c r="D53" s="422"/>
      <c r="E53" s="396" t="str">
        <f>IFERROR(__xludf.DUMMYFUNCTION("if(and(D53&lt;&gt;0,D53&lt;&gt;""""),D53/GOOGLEFINANCE(C53,""price"")-1,"""")"),"")</f>
        <v/>
      </c>
      <c r="F53" s="397">
        <f>IFERROR(__xludf.DUMMYFUNCTION("GOOGLEFINANCE(C53,""price"")"),21.38)</f>
        <v>21.38</v>
      </c>
      <c r="G53" s="396" t="str">
        <f t="shared" si="6"/>
        <v/>
      </c>
      <c r="H53" s="398">
        <v>20.0</v>
      </c>
      <c r="I53" s="398"/>
      <c r="J53" s="403"/>
      <c r="K53" s="403"/>
      <c r="L53" s="410"/>
      <c r="M53" s="402">
        <f t="shared" si="7"/>
        <v>-119.9023034</v>
      </c>
      <c r="N53" s="403">
        <f t="shared" si="8"/>
        <v>0</v>
      </c>
      <c r="O53" s="410"/>
      <c r="P53" s="411"/>
      <c r="Q53" s="402"/>
      <c r="R53" s="412"/>
      <c r="S53" s="412"/>
      <c r="T53" s="412"/>
      <c r="U53" s="413" t="s">
        <v>1469</v>
      </c>
      <c r="V53" s="414"/>
      <c r="W53" s="414"/>
      <c r="X53" s="414"/>
      <c r="Y53" s="414"/>
      <c r="Z53" s="414"/>
      <c r="AA53" s="414"/>
      <c r="AB53" s="414"/>
      <c r="AC53" s="414"/>
      <c r="AD53" s="414"/>
      <c r="AE53" s="414"/>
      <c r="AF53" s="414"/>
      <c r="AG53" s="414"/>
      <c r="AH53" s="414"/>
      <c r="AI53" s="414"/>
      <c r="AJ53" s="414"/>
      <c r="AK53" s="414"/>
      <c r="AL53" s="414"/>
      <c r="AM53" s="414"/>
      <c r="AN53" s="414"/>
      <c r="AO53" s="414"/>
      <c r="AP53" s="414"/>
      <c r="AQ53" s="414"/>
      <c r="AR53" s="414"/>
      <c r="AS53" s="414"/>
      <c r="AT53" s="414"/>
      <c r="AU53" s="414"/>
      <c r="AV53" s="414"/>
      <c r="AW53" s="414"/>
      <c r="AX53" s="414"/>
      <c r="AY53" s="414"/>
      <c r="AZ53" s="414"/>
      <c r="BA53" s="414"/>
      <c r="BB53" s="414"/>
      <c r="BC53" s="414"/>
      <c r="BD53" s="414"/>
      <c r="BE53" s="414"/>
      <c r="BF53" s="414"/>
      <c r="BG53" s="414"/>
      <c r="BH53" s="414"/>
      <c r="BI53" s="414"/>
      <c r="BJ53" s="414"/>
      <c r="BK53" s="414"/>
      <c r="BL53" s="414"/>
      <c r="BM53" s="414"/>
      <c r="BN53" s="414"/>
      <c r="BO53" s="414"/>
      <c r="BP53" s="414"/>
      <c r="BQ53" s="414"/>
      <c r="BR53" s="414"/>
      <c r="BS53" s="414"/>
      <c r="BT53" s="414"/>
      <c r="BU53" s="414"/>
      <c r="BV53" s="414"/>
      <c r="BW53" s="414"/>
      <c r="BX53" s="414"/>
      <c r="BY53" s="414"/>
      <c r="BZ53" s="414"/>
      <c r="CA53" s="414"/>
      <c r="CB53" s="414"/>
      <c r="CC53" s="414"/>
      <c r="CD53" s="414"/>
      <c r="CE53" s="414"/>
      <c r="CF53" s="414"/>
      <c r="CG53" s="414"/>
      <c r="CH53" s="414"/>
      <c r="CI53" s="414"/>
      <c r="CJ53" s="414"/>
      <c r="CK53" s="414"/>
      <c r="CL53" s="414"/>
      <c r="CM53" s="414"/>
      <c r="CN53" s="414"/>
      <c r="CO53" s="414"/>
      <c r="CP53" s="414"/>
      <c r="CQ53" s="414"/>
      <c r="CR53" s="414"/>
      <c r="CS53" s="414"/>
      <c r="CT53" s="414"/>
      <c r="CU53" s="414"/>
      <c r="CV53" s="414"/>
      <c r="CW53" s="414"/>
      <c r="CX53" s="414"/>
      <c r="CY53" s="414"/>
      <c r="CZ53" s="414"/>
      <c r="DA53" s="414"/>
      <c r="DB53" s="414"/>
      <c r="DC53" s="414"/>
      <c r="DD53" s="414"/>
      <c r="DE53" s="414"/>
      <c r="DF53" s="414"/>
      <c r="DG53" s="414"/>
      <c r="DH53" s="414"/>
      <c r="DI53" s="414"/>
      <c r="DJ53" s="414"/>
      <c r="DK53" s="414"/>
      <c r="DL53" s="414"/>
      <c r="DM53" s="414"/>
      <c r="DN53" s="414"/>
      <c r="DO53" s="414"/>
      <c r="DP53" s="414"/>
      <c r="DQ53" s="414"/>
      <c r="DR53" s="414"/>
      <c r="DS53" s="414"/>
      <c r="DT53" s="414"/>
      <c r="DU53" s="414"/>
      <c r="DV53" s="414"/>
      <c r="DW53" s="414"/>
    </row>
    <row r="54" ht="15.0" customHeight="1">
      <c r="A54" s="388">
        <v>43347.0</v>
      </c>
      <c r="B54" s="438" t="s">
        <v>1471</v>
      </c>
      <c r="C54" s="373" t="s">
        <v>1472</v>
      </c>
      <c r="D54" s="373">
        <v>40.0</v>
      </c>
      <c r="E54" s="374">
        <f>IFERROR(__xludf.DUMMYFUNCTION("if(and(D54&lt;&gt;0,D54&lt;&gt;""""),D54/GOOGLEFINANCE(C54,""price"")-1,"""")"),-0.36112442101900655)</f>
        <v>-0.361124421</v>
      </c>
      <c r="F54" s="375">
        <f>IFERROR(__xludf.DUMMYFUNCTION("GOOGLEFINANCE(C54,""price"")"),62.61)</f>
        <v>62.61</v>
      </c>
      <c r="G54" s="374">
        <f t="shared" si="6"/>
        <v>-0.3150387405</v>
      </c>
      <c r="H54" s="376">
        <v>200.0</v>
      </c>
      <c r="I54" s="368">
        <f>N54*($I$1+iferror(sqrt((O54*100)*(P54-1/$I$1)*100),-sqrt((O54*100)*-1*(P54-1/$I$1)*100))*(R54/4)^0.2)</f>
        <v>42.88542446</v>
      </c>
      <c r="J54" s="377">
        <v>1.84</v>
      </c>
      <c r="K54" s="377">
        <v>2.04</v>
      </c>
      <c r="L54" s="409">
        <v>43465.0</v>
      </c>
      <c r="M54" s="379">
        <f t="shared" si="7"/>
        <v>-0.8201115765</v>
      </c>
      <c r="N54" s="380">
        <f t="shared" si="8"/>
        <v>2.204022315</v>
      </c>
      <c r="O54" s="370">
        <v>0.06</v>
      </c>
      <c r="P54" s="370">
        <v>0.1</v>
      </c>
      <c r="Q54" s="371">
        <f>I54/N54</f>
        <v>19.45779957</v>
      </c>
      <c r="R54" s="381">
        <v>6.0</v>
      </c>
      <c r="S54" s="378">
        <v>43659.0</v>
      </c>
      <c r="T54" s="387" t="s">
        <v>1240</v>
      </c>
      <c r="U54" s="382" t="s">
        <v>1475</v>
      </c>
      <c r="V54" s="358"/>
      <c r="W54" s="358"/>
      <c r="X54" s="358"/>
      <c r="Y54" s="358"/>
      <c r="Z54" s="358"/>
      <c r="AA54" s="358"/>
      <c r="AB54" s="358"/>
      <c r="AC54" s="358"/>
      <c r="AD54" s="358"/>
      <c r="AE54" s="358"/>
      <c r="AF54" s="358"/>
      <c r="AG54" s="358"/>
      <c r="AH54" s="358"/>
      <c r="AI54" s="358"/>
      <c r="AJ54" s="358"/>
      <c r="AK54" s="358"/>
      <c r="AL54" s="358"/>
      <c r="AM54" s="358"/>
      <c r="AN54" s="358"/>
      <c r="AO54" s="358"/>
      <c r="AP54" s="358"/>
      <c r="AQ54" s="358"/>
      <c r="AR54" s="358"/>
      <c r="AS54" s="358"/>
      <c r="AT54" s="358"/>
      <c r="AU54" s="358"/>
      <c r="AV54" s="358"/>
      <c r="AW54" s="358"/>
      <c r="AX54" s="358"/>
      <c r="AY54" s="358"/>
      <c r="AZ54" s="358"/>
      <c r="BA54" s="358"/>
      <c r="BB54" s="358"/>
      <c r="BC54" s="358"/>
      <c r="BD54" s="358"/>
      <c r="BE54" s="358"/>
      <c r="BF54" s="358"/>
      <c r="BG54" s="358"/>
      <c r="BH54" s="358"/>
      <c r="BI54" s="358"/>
      <c r="BJ54" s="358"/>
      <c r="BK54" s="358"/>
      <c r="BL54" s="358"/>
      <c r="BM54" s="358"/>
      <c r="BN54" s="358"/>
      <c r="BO54" s="358"/>
      <c r="BP54" s="358"/>
      <c r="BQ54" s="358"/>
      <c r="BR54" s="358"/>
      <c r="BS54" s="358"/>
      <c r="BT54" s="358"/>
      <c r="BU54" s="358"/>
      <c r="BV54" s="358"/>
      <c r="BW54" s="358"/>
      <c r="BX54" s="358"/>
      <c r="BY54" s="358"/>
      <c r="BZ54" s="358"/>
      <c r="CA54" s="358"/>
      <c r="CB54" s="358"/>
      <c r="CC54" s="358"/>
      <c r="CD54" s="358"/>
      <c r="CE54" s="358"/>
      <c r="CF54" s="358"/>
      <c r="CG54" s="358"/>
      <c r="CH54" s="358"/>
      <c r="CI54" s="358"/>
      <c r="CJ54" s="358"/>
      <c r="CK54" s="358"/>
      <c r="CL54" s="358"/>
      <c r="CM54" s="358"/>
      <c r="CN54" s="358"/>
      <c r="CO54" s="358"/>
      <c r="CP54" s="358"/>
      <c r="CQ54" s="358"/>
      <c r="CR54" s="358"/>
      <c r="CS54" s="358"/>
      <c r="CT54" s="358"/>
      <c r="CU54" s="358"/>
      <c r="CV54" s="358"/>
      <c r="CW54" s="358"/>
      <c r="CX54" s="358"/>
      <c r="CY54" s="358"/>
      <c r="CZ54" s="358"/>
      <c r="DA54" s="358"/>
      <c r="DB54" s="358"/>
      <c r="DC54" s="358"/>
      <c r="DD54" s="358"/>
      <c r="DE54" s="358"/>
      <c r="DF54" s="358"/>
      <c r="DG54" s="358"/>
      <c r="DH54" s="358"/>
      <c r="DI54" s="358"/>
      <c r="DJ54" s="358"/>
      <c r="DK54" s="358"/>
      <c r="DL54" s="358"/>
      <c r="DM54" s="358"/>
      <c r="DN54" s="358"/>
      <c r="DO54" s="358"/>
      <c r="DP54" s="358"/>
      <c r="DQ54" s="358"/>
      <c r="DR54" s="358"/>
      <c r="DS54" s="358"/>
      <c r="DT54" s="358"/>
      <c r="DU54" s="358"/>
      <c r="DV54" s="358"/>
      <c r="DW54" s="358"/>
    </row>
    <row r="55" ht="15.0" customHeight="1">
      <c r="A55" s="383">
        <v>40424.0</v>
      </c>
      <c r="B55" s="439" t="s">
        <v>1476</v>
      </c>
      <c r="C55" s="384" t="s">
        <v>1177</v>
      </c>
      <c r="D55" s="373">
        <v>1550.0</v>
      </c>
      <c r="E55" s="374">
        <f>IFERROR(__xludf.DUMMYFUNCTION("if(and(D55&lt;&gt;0,D55&lt;&gt;""""),D55/GOOGLEFINANCE(C55,""price"")-1,"""")"),-0.24608328104556088)</f>
        <v>-0.246083281</v>
      </c>
      <c r="F55" s="375">
        <f>IFERROR(__xludf.DUMMYFUNCTION("GOOGLEFINANCE(C55,""price"")"),2055.93)</f>
        <v>2055.93</v>
      </c>
      <c r="G55" s="374">
        <f t="shared" si="6"/>
        <v>0.2259061619</v>
      </c>
      <c r="H55" s="376">
        <v>200.0</v>
      </c>
      <c r="I55" s="376">
        <f t="shared" ref="I55:I56" si="20">N55*($I$1+O55*100)</f>
        <v>2520.377255</v>
      </c>
      <c r="J55" s="377">
        <v>101.66</v>
      </c>
      <c r="K55" s="377">
        <v>113.05</v>
      </c>
      <c r="L55" s="378">
        <v>43830.0</v>
      </c>
      <c r="M55" s="379">
        <f t="shared" si="7"/>
        <v>0.1798884254</v>
      </c>
      <c r="N55" s="380">
        <f t="shared" si="8"/>
        <v>111.0010708</v>
      </c>
      <c r="O55" s="370">
        <v>0.08</v>
      </c>
      <c r="P55" s="370"/>
      <c r="Q55" s="371"/>
      <c r="R55" s="378"/>
      <c r="S55" s="378">
        <v>43592.0</v>
      </c>
      <c r="T55" s="387" t="s">
        <v>1240</v>
      </c>
      <c r="U55" s="382" t="s">
        <v>1479</v>
      </c>
      <c r="V55" s="358"/>
      <c r="W55" s="358"/>
      <c r="X55" s="358"/>
      <c r="Y55" s="358"/>
      <c r="Z55" s="358"/>
      <c r="AA55" s="358"/>
      <c r="AB55" s="358"/>
      <c r="AC55" s="358"/>
      <c r="AD55" s="358"/>
      <c r="AE55" s="358"/>
      <c r="AF55" s="358"/>
      <c r="AG55" s="358"/>
      <c r="AH55" s="358"/>
      <c r="AI55" s="358"/>
      <c r="AJ55" s="358"/>
      <c r="AK55" s="358"/>
      <c r="AL55" s="358"/>
      <c r="AM55" s="358"/>
      <c r="AN55" s="358"/>
      <c r="AO55" s="358"/>
      <c r="AP55" s="358"/>
      <c r="AQ55" s="358"/>
      <c r="AR55" s="358"/>
      <c r="AS55" s="358"/>
      <c r="AT55" s="358"/>
      <c r="AU55" s="358"/>
      <c r="AV55" s="358"/>
      <c r="AW55" s="358"/>
      <c r="AX55" s="358"/>
      <c r="AY55" s="358"/>
      <c r="AZ55" s="358"/>
      <c r="BA55" s="358"/>
      <c r="BB55" s="358"/>
      <c r="BC55" s="358"/>
      <c r="BD55" s="358"/>
      <c r="BE55" s="358"/>
      <c r="BF55" s="358"/>
      <c r="BG55" s="358"/>
      <c r="BH55" s="358"/>
      <c r="BI55" s="358"/>
      <c r="BJ55" s="358"/>
      <c r="BK55" s="358"/>
      <c r="BL55" s="358"/>
      <c r="BM55" s="358"/>
      <c r="BN55" s="358"/>
      <c r="BO55" s="358"/>
      <c r="BP55" s="358"/>
      <c r="BQ55" s="358"/>
      <c r="BR55" s="358"/>
      <c r="BS55" s="358"/>
      <c r="BT55" s="358"/>
      <c r="BU55" s="358"/>
      <c r="BV55" s="358"/>
      <c r="BW55" s="358"/>
      <c r="BX55" s="358"/>
      <c r="BY55" s="358"/>
      <c r="BZ55" s="358"/>
      <c r="CA55" s="358"/>
      <c r="CB55" s="358"/>
      <c r="CC55" s="358"/>
      <c r="CD55" s="358"/>
      <c r="CE55" s="358"/>
      <c r="CF55" s="358"/>
      <c r="CG55" s="358"/>
      <c r="CH55" s="358"/>
      <c r="CI55" s="358"/>
      <c r="CJ55" s="358"/>
      <c r="CK55" s="358"/>
      <c r="CL55" s="358"/>
      <c r="CM55" s="358"/>
      <c r="CN55" s="358"/>
      <c r="CO55" s="358"/>
      <c r="CP55" s="358"/>
      <c r="CQ55" s="358"/>
      <c r="CR55" s="358"/>
      <c r="CS55" s="358"/>
      <c r="CT55" s="358"/>
      <c r="CU55" s="358"/>
      <c r="CV55" s="358"/>
      <c r="CW55" s="358"/>
      <c r="CX55" s="358"/>
      <c r="CY55" s="358"/>
      <c r="CZ55" s="358"/>
      <c r="DA55" s="358"/>
      <c r="DB55" s="358"/>
      <c r="DC55" s="358"/>
      <c r="DD55" s="358"/>
      <c r="DE55" s="358"/>
      <c r="DF55" s="358"/>
      <c r="DG55" s="358"/>
      <c r="DH55" s="358"/>
      <c r="DI55" s="358"/>
      <c r="DJ55" s="358"/>
      <c r="DK55" s="358"/>
      <c r="DL55" s="358"/>
      <c r="DM55" s="358"/>
      <c r="DN55" s="358"/>
      <c r="DO55" s="358"/>
      <c r="DP55" s="358"/>
      <c r="DQ55" s="358"/>
      <c r="DR55" s="358"/>
      <c r="DS55" s="358"/>
      <c r="DT55" s="358"/>
      <c r="DU55" s="358"/>
      <c r="DV55" s="358"/>
      <c r="DW55" s="358"/>
    </row>
    <row r="56" ht="15.0" customHeight="1">
      <c r="A56" s="372">
        <v>43665.0</v>
      </c>
      <c r="B56" s="384" t="s">
        <v>1481</v>
      </c>
      <c r="C56" s="384" t="s">
        <v>1279</v>
      </c>
      <c r="D56" s="384">
        <v>400.0</v>
      </c>
      <c r="E56" s="374">
        <f>IFERROR(__xludf.DUMMYFUNCTION("if(and(D56&lt;&gt;0,D56&lt;&gt;""""),D56/GOOGLEFINANCE(C56,""price"")-1,"""")"),-0.13005654632448893)</f>
        <v>-0.1300565463</v>
      </c>
      <c r="F56" s="375">
        <f>IFERROR(__xludf.DUMMYFUNCTION("GOOGLEFINANCE(C56,""price"")"),459.8)</f>
        <v>459.8</v>
      </c>
      <c r="G56" s="374">
        <f t="shared" si="6"/>
        <v>0.02951250235</v>
      </c>
      <c r="H56" s="376">
        <v>58.7</v>
      </c>
      <c r="I56" s="376">
        <f t="shared" si="20"/>
        <v>473.3698486</v>
      </c>
      <c r="J56" s="377">
        <v>25.99</v>
      </c>
      <c r="K56" s="377">
        <v>28.85</v>
      </c>
      <c r="L56" s="378">
        <v>43830.0</v>
      </c>
      <c r="M56" s="379">
        <f t="shared" si="7"/>
        <v>0.1798884247</v>
      </c>
      <c r="N56" s="380">
        <f t="shared" si="8"/>
        <v>28.33551911</v>
      </c>
      <c r="O56" s="390">
        <v>0.02</v>
      </c>
      <c r="P56" s="370"/>
      <c r="Q56" s="371"/>
      <c r="R56" s="378"/>
      <c r="S56" s="378">
        <v>43501.0</v>
      </c>
      <c r="T56" s="387" t="s">
        <v>1223</v>
      </c>
      <c r="U56" s="386" t="s">
        <v>1482</v>
      </c>
      <c r="V56" s="344"/>
      <c r="W56" s="344"/>
      <c r="X56" s="344"/>
      <c r="Y56" s="344"/>
      <c r="Z56" s="344"/>
      <c r="AA56" s="344"/>
      <c r="AB56" s="344"/>
      <c r="AC56" s="344"/>
      <c r="AD56" s="344"/>
      <c r="AE56" s="344"/>
      <c r="AF56" s="344"/>
      <c r="AG56" s="344"/>
      <c r="AH56" s="344"/>
      <c r="AI56" s="344"/>
      <c r="AJ56" s="344"/>
      <c r="AK56" s="344"/>
      <c r="AL56" s="344"/>
      <c r="AM56" s="344"/>
      <c r="AN56" s="344"/>
      <c r="AO56" s="344"/>
      <c r="AP56" s="344"/>
      <c r="AQ56" s="344"/>
      <c r="AR56" s="344"/>
      <c r="AS56" s="344"/>
      <c r="AT56" s="344"/>
      <c r="AU56" s="344"/>
      <c r="AV56" s="344"/>
      <c r="AW56" s="344"/>
      <c r="AX56" s="344"/>
      <c r="AY56" s="344"/>
      <c r="AZ56" s="344"/>
      <c r="BA56" s="344"/>
      <c r="BB56" s="344"/>
      <c r="BC56" s="344"/>
      <c r="BD56" s="344"/>
      <c r="BE56" s="344"/>
      <c r="BF56" s="344"/>
      <c r="BG56" s="344"/>
      <c r="BH56" s="344"/>
      <c r="BI56" s="344"/>
      <c r="BJ56" s="344"/>
      <c r="BK56" s="344"/>
      <c r="BL56" s="344"/>
      <c r="BM56" s="344"/>
      <c r="BN56" s="344"/>
      <c r="BO56" s="344"/>
      <c r="BP56" s="344"/>
      <c r="BQ56" s="344"/>
      <c r="BR56" s="344"/>
      <c r="BS56" s="344"/>
      <c r="BT56" s="344"/>
      <c r="BU56" s="344"/>
      <c r="BV56" s="344"/>
      <c r="BW56" s="344"/>
      <c r="BX56" s="344"/>
      <c r="BY56" s="344"/>
      <c r="BZ56" s="344"/>
      <c r="CA56" s="344"/>
      <c r="CB56" s="344"/>
      <c r="CC56" s="344"/>
      <c r="CD56" s="344"/>
      <c r="CE56" s="344"/>
      <c r="CF56" s="344"/>
      <c r="CG56" s="344"/>
      <c r="CH56" s="344"/>
      <c r="CI56" s="344"/>
      <c r="CJ56" s="344"/>
      <c r="CK56" s="344"/>
      <c r="CL56" s="344"/>
      <c r="CM56" s="344"/>
      <c r="CN56" s="344"/>
      <c r="CO56" s="344"/>
      <c r="CP56" s="344"/>
      <c r="CQ56" s="344"/>
      <c r="CR56" s="344"/>
      <c r="CS56" s="344"/>
      <c r="CT56" s="344"/>
      <c r="CU56" s="344"/>
      <c r="CV56" s="344"/>
      <c r="CW56" s="344"/>
      <c r="CX56" s="344"/>
      <c r="CY56" s="344"/>
      <c r="CZ56" s="344"/>
      <c r="DA56" s="344"/>
      <c r="DB56" s="344"/>
      <c r="DC56" s="344"/>
      <c r="DD56" s="344"/>
      <c r="DE56" s="344"/>
      <c r="DF56" s="344"/>
      <c r="DG56" s="344"/>
      <c r="DH56" s="344"/>
      <c r="DI56" s="344"/>
      <c r="DJ56" s="344"/>
      <c r="DK56" s="344"/>
      <c r="DL56" s="344"/>
      <c r="DM56" s="344"/>
      <c r="DN56" s="344"/>
      <c r="DO56" s="344"/>
      <c r="DP56" s="344"/>
      <c r="DQ56" s="344"/>
      <c r="DR56" s="344"/>
      <c r="DS56" s="344"/>
      <c r="DT56" s="344"/>
      <c r="DU56" s="344"/>
      <c r="DV56" s="344"/>
      <c r="DW56" s="344"/>
    </row>
    <row r="57" ht="15.0" customHeight="1">
      <c r="A57" s="383">
        <v>40159.0</v>
      </c>
      <c r="B57" s="320" t="s">
        <v>1484</v>
      </c>
      <c r="C57" s="320" t="s">
        <v>1486</v>
      </c>
      <c r="D57" s="384">
        <f>75/2</f>
        <v>37.5</v>
      </c>
      <c r="E57" s="374">
        <f>IFERROR(__xludf.DUMMYFUNCTION("if(and(D57&lt;&gt;0,D57&lt;&gt;""""),D57/GOOGLEFINANCE(C57,""price"")-1,"""")"),-0.4785148101793909)</f>
        <v>-0.4785148102</v>
      </c>
      <c r="F57" s="375">
        <f>IFERROR(__xludf.DUMMYFUNCTION("GOOGLEFINANCE(C57,""price"")"),71.91)</f>
        <v>71.91</v>
      </c>
      <c r="G57" s="374">
        <f t="shared" si="6"/>
        <v>-0.353276563</v>
      </c>
      <c r="H57" s="376">
        <v>58.7</v>
      </c>
      <c r="I57" s="376">
        <f>2.36*($I$1+5)</f>
        <v>46.50588235</v>
      </c>
      <c r="J57" s="380"/>
      <c r="K57" s="380"/>
      <c r="L57" s="389"/>
      <c r="M57" s="379">
        <f t="shared" si="7"/>
        <v>-119.9023034</v>
      </c>
      <c r="N57" s="380">
        <f t="shared" si="8"/>
        <v>0</v>
      </c>
      <c r="O57" s="389"/>
      <c r="P57" s="390"/>
      <c r="Q57" s="391"/>
      <c r="R57" s="387"/>
      <c r="S57" s="387"/>
      <c r="T57" s="387"/>
      <c r="U57" s="386" t="s">
        <v>1488</v>
      </c>
      <c r="V57" s="344"/>
      <c r="W57" s="344"/>
      <c r="X57" s="344"/>
      <c r="Y57" s="344"/>
      <c r="Z57" s="344"/>
      <c r="AA57" s="344"/>
      <c r="AB57" s="344"/>
      <c r="AC57" s="344"/>
      <c r="AD57" s="344"/>
      <c r="AE57" s="344"/>
      <c r="AF57" s="344"/>
      <c r="AG57" s="344"/>
      <c r="AH57" s="344"/>
      <c r="AI57" s="344"/>
      <c r="AJ57" s="344"/>
      <c r="AK57" s="344"/>
      <c r="AL57" s="344"/>
      <c r="AM57" s="344"/>
      <c r="AN57" s="344"/>
      <c r="AO57" s="344"/>
      <c r="AP57" s="344"/>
      <c r="AQ57" s="344"/>
      <c r="AR57" s="344"/>
      <c r="AS57" s="344"/>
      <c r="AT57" s="344"/>
      <c r="AU57" s="344"/>
      <c r="AV57" s="344"/>
      <c r="AW57" s="344"/>
      <c r="AX57" s="344"/>
      <c r="AY57" s="344"/>
      <c r="AZ57" s="344"/>
      <c r="BA57" s="344"/>
      <c r="BB57" s="344"/>
      <c r="BC57" s="344"/>
      <c r="BD57" s="344"/>
      <c r="BE57" s="344"/>
      <c r="BF57" s="344"/>
      <c r="BG57" s="344"/>
      <c r="BH57" s="344"/>
      <c r="BI57" s="344"/>
      <c r="BJ57" s="344"/>
      <c r="BK57" s="344"/>
      <c r="BL57" s="344"/>
      <c r="BM57" s="344"/>
      <c r="BN57" s="344"/>
      <c r="BO57" s="344"/>
      <c r="BP57" s="344"/>
      <c r="BQ57" s="344"/>
      <c r="BR57" s="344"/>
      <c r="BS57" s="344"/>
      <c r="BT57" s="344"/>
      <c r="BU57" s="344"/>
      <c r="BV57" s="344"/>
      <c r="BW57" s="344"/>
      <c r="BX57" s="344"/>
      <c r="BY57" s="344"/>
      <c r="BZ57" s="344"/>
      <c r="CA57" s="344"/>
      <c r="CB57" s="344"/>
      <c r="CC57" s="344"/>
      <c r="CD57" s="344"/>
      <c r="CE57" s="344"/>
      <c r="CF57" s="344"/>
      <c r="CG57" s="344"/>
      <c r="CH57" s="344"/>
      <c r="CI57" s="344"/>
      <c r="CJ57" s="344"/>
      <c r="CK57" s="344"/>
      <c r="CL57" s="344"/>
      <c r="CM57" s="344"/>
      <c r="CN57" s="344"/>
      <c r="CO57" s="344"/>
      <c r="CP57" s="344"/>
      <c r="CQ57" s="344"/>
      <c r="CR57" s="344"/>
      <c r="CS57" s="344"/>
      <c r="CT57" s="344"/>
      <c r="CU57" s="344"/>
      <c r="CV57" s="344"/>
      <c r="CW57" s="344"/>
      <c r="CX57" s="344"/>
      <c r="CY57" s="344"/>
      <c r="CZ57" s="344"/>
      <c r="DA57" s="344"/>
      <c r="DB57" s="344"/>
      <c r="DC57" s="344"/>
      <c r="DD57" s="344"/>
      <c r="DE57" s="344"/>
      <c r="DF57" s="344"/>
      <c r="DG57" s="344"/>
      <c r="DH57" s="344"/>
      <c r="DI57" s="344"/>
      <c r="DJ57" s="344"/>
      <c r="DK57" s="344"/>
      <c r="DL57" s="344"/>
      <c r="DM57" s="344"/>
      <c r="DN57" s="344"/>
      <c r="DO57" s="344"/>
      <c r="DP57" s="344"/>
      <c r="DQ57" s="344"/>
      <c r="DR57" s="344"/>
      <c r="DS57" s="344"/>
      <c r="DT57" s="344"/>
      <c r="DU57" s="344"/>
      <c r="DV57" s="344"/>
      <c r="DW57" s="344"/>
    </row>
    <row r="58" ht="15.0" customHeight="1">
      <c r="A58" s="440">
        <v>42040.0</v>
      </c>
      <c r="B58" s="427" t="s">
        <v>1489</v>
      </c>
      <c r="C58" s="427" t="s">
        <v>1490</v>
      </c>
      <c r="D58" s="414"/>
      <c r="E58" s="441" t="str">
        <f>IFERROR(__xludf.DUMMYFUNCTION("if(and(D58&lt;&gt;0,D58&lt;&gt;""""),D58/GOOGLEFINANCE(C58,""price"")-1,"""")"),"")</f>
        <v/>
      </c>
      <c r="F58" s="442">
        <f>IFERROR(__xludf.DUMMYFUNCTION("GOOGLEFINANCE(C58,""price"")"),123.55)</f>
        <v>123.55</v>
      </c>
      <c r="G58" s="441">
        <f t="shared" si="6"/>
        <v>-0.5326731259</v>
      </c>
      <c r="H58" s="443"/>
      <c r="I58" s="443">
        <f>2.93*($I$1+5)</f>
        <v>57.73823529</v>
      </c>
      <c r="J58" s="444"/>
      <c r="K58" s="445"/>
      <c r="L58" s="446"/>
      <c r="M58" s="447">
        <f t="shared" si="7"/>
        <v>-119.9023034</v>
      </c>
      <c r="N58" s="445">
        <f t="shared" si="8"/>
        <v>0</v>
      </c>
      <c r="O58" s="446"/>
      <c r="P58" s="448"/>
      <c r="Q58" s="447"/>
      <c r="R58" s="449"/>
      <c r="S58" s="449"/>
      <c r="T58" s="449"/>
      <c r="U58" s="450"/>
      <c r="V58" s="414"/>
      <c r="W58" s="414"/>
      <c r="X58" s="414"/>
      <c r="Y58" s="414"/>
      <c r="Z58" s="414"/>
      <c r="AA58" s="414"/>
      <c r="AB58" s="414"/>
      <c r="AC58" s="414"/>
      <c r="AD58" s="414"/>
      <c r="AE58" s="414"/>
      <c r="AF58" s="414"/>
      <c r="AG58" s="414"/>
      <c r="AH58" s="414"/>
      <c r="AI58" s="414"/>
      <c r="AJ58" s="414"/>
      <c r="AK58" s="414"/>
      <c r="AL58" s="414"/>
      <c r="AM58" s="414"/>
      <c r="AN58" s="414"/>
      <c r="AO58" s="414"/>
      <c r="AP58" s="414"/>
      <c r="AQ58" s="414"/>
      <c r="AR58" s="414"/>
      <c r="AS58" s="414"/>
      <c r="AT58" s="414"/>
      <c r="AU58" s="414"/>
      <c r="AV58" s="414"/>
      <c r="AW58" s="414"/>
      <c r="AX58" s="414"/>
      <c r="AY58" s="414"/>
      <c r="AZ58" s="414"/>
      <c r="BA58" s="414"/>
      <c r="BB58" s="414"/>
      <c r="BC58" s="414"/>
      <c r="BD58" s="414"/>
      <c r="BE58" s="414"/>
      <c r="BF58" s="414"/>
      <c r="BG58" s="414"/>
      <c r="BH58" s="414"/>
      <c r="BI58" s="414"/>
      <c r="BJ58" s="414"/>
      <c r="BK58" s="414"/>
      <c r="BL58" s="414"/>
      <c r="BM58" s="414"/>
      <c r="BN58" s="414"/>
      <c r="BO58" s="414"/>
      <c r="BP58" s="414"/>
      <c r="BQ58" s="414"/>
      <c r="BR58" s="414"/>
      <c r="BS58" s="414"/>
      <c r="BT58" s="414"/>
      <c r="BU58" s="414"/>
      <c r="BV58" s="414"/>
      <c r="BW58" s="414"/>
      <c r="BX58" s="414"/>
      <c r="BY58" s="414"/>
      <c r="BZ58" s="414"/>
      <c r="CA58" s="414"/>
      <c r="CB58" s="414"/>
      <c r="CC58" s="414"/>
      <c r="CD58" s="414"/>
      <c r="CE58" s="414"/>
      <c r="CF58" s="414"/>
      <c r="CG58" s="414"/>
      <c r="CH58" s="414"/>
      <c r="CI58" s="414"/>
      <c r="CJ58" s="414"/>
      <c r="CK58" s="414"/>
      <c r="CL58" s="414"/>
      <c r="CM58" s="414"/>
      <c r="CN58" s="414"/>
      <c r="CO58" s="414"/>
      <c r="CP58" s="414"/>
      <c r="CQ58" s="414"/>
      <c r="CR58" s="414"/>
      <c r="CS58" s="414"/>
      <c r="CT58" s="414"/>
      <c r="CU58" s="414"/>
      <c r="CV58" s="414"/>
      <c r="CW58" s="414"/>
      <c r="CX58" s="414"/>
      <c r="CY58" s="414"/>
      <c r="CZ58" s="414"/>
      <c r="DA58" s="414"/>
      <c r="DB58" s="414"/>
      <c r="DC58" s="414"/>
      <c r="DD58" s="414"/>
      <c r="DE58" s="414"/>
      <c r="DF58" s="414"/>
      <c r="DG58" s="414"/>
      <c r="DH58" s="414"/>
      <c r="DI58" s="414"/>
      <c r="DJ58" s="414"/>
      <c r="DK58" s="414"/>
      <c r="DL58" s="414"/>
      <c r="DM58" s="414"/>
      <c r="DN58" s="414"/>
      <c r="DO58" s="414"/>
      <c r="DP58" s="414"/>
      <c r="DQ58" s="414"/>
      <c r="DR58" s="414"/>
      <c r="DS58" s="414"/>
      <c r="DT58" s="414"/>
      <c r="DU58" s="414"/>
      <c r="DV58" s="414"/>
      <c r="DW58" s="414"/>
    </row>
    <row r="59" ht="15.0" customHeight="1">
      <c r="A59" s="343">
        <v>42181.0</v>
      </c>
      <c r="B59" s="451" t="s">
        <v>1494</v>
      </c>
      <c r="C59" s="344" t="s">
        <v>1029</v>
      </c>
      <c r="D59" s="358">
        <v>190.0</v>
      </c>
      <c r="E59" s="345">
        <f>IFERROR(__xludf.DUMMYFUNCTION("if(and(D59&lt;&gt;0,D59&lt;&gt;""""),D59/GOOGLEFINANCE(C59,""price"")-1,"""")"),-0.10292728989612843)</f>
        <v>-0.1029272899</v>
      </c>
      <c r="F59" s="364">
        <f>IFERROR(__xludf.DUMMYFUNCTION("GOOGLEFINANCE(C59,""price"")"),211.8)</f>
        <v>211.8</v>
      </c>
      <c r="G59" s="345">
        <f t="shared" si="6"/>
        <v>0.4650200003</v>
      </c>
      <c r="H59" s="347"/>
      <c r="I59" s="368">
        <f t="shared" ref="I59:I60" si="23">sum(CY59:DS59)</f>
        <v>310.2912361</v>
      </c>
      <c r="J59" s="349">
        <f>234108.75/1500*P59</f>
        <v>15.60725</v>
      </c>
      <c r="K59" s="359">
        <f>J59*(1+O59)</f>
        <v>16.3876125</v>
      </c>
      <c r="L59" s="360">
        <v>43830.0</v>
      </c>
      <c r="M59" s="351">
        <f t="shared" si="7"/>
        <v>0.1798884287</v>
      </c>
      <c r="N59" s="349">
        <f t="shared" si="8"/>
        <v>16.24723432</v>
      </c>
      <c r="O59" s="352">
        <v>0.05</v>
      </c>
      <c r="P59" s="361">
        <v>0.1</v>
      </c>
      <c r="Q59" s="371">
        <f t="shared" ref="Q59:Q60" si="24">I59/N59</f>
        <v>19.09809571</v>
      </c>
      <c r="R59" s="355">
        <v>8.0</v>
      </c>
      <c r="S59" s="360">
        <v>43687.0</v>
      </c>
      <c r="T59" s="365" t="s">
        <v>1223</v>
      </c>
      <c r="U59" s="363" t="s">
        <v>1498</v>
      </c>
      <c r="V59" s="429">
        <f t="shared" ref="V59:V60" si="25">O59</f>
        <v>0.05</v>
      </c>
      <c r="W59" s="430">
        <f>max(min(Valu!$C$15,$O59),$O59-max($O59-Valu!$C$15,0)/$R59*(W$3-1))</f>
        <v>0.0475</v>
      </c>
      <c r="X59" s="430">
        <f>max(min(Valu!$C$15,$O59),$O59-max($O59-Valu!$C$15,0)/$R59*(X$3-1))</f>
        <v>0.045</v>
      </c>
      <c r="Y59" s="430">
        <f>max(min(Valu!$C$15,$O59),$O59-max($O59-Valu!$C$15,0)/$R59*(Y$3-1))</f>
        <v>0.0425</v>
      </c>
      <c r="Z59" s="430">
        <f>max(min(Valu!$C$15,$O59),$O59-max($O59-Valu!$C$15,0)/$R59*(Z$3-1))</f>
        <v>0.04</v>
      </c>
      <c r="AA59" s="430">
        <f>max(min(Valu!$C$15,$O59),$O59-max($O59-Valu!$C$15,0)/$R59*(AA$3-1))</f>
        <v>0.0375</v>
      </c>
      <c r="AB59" s="430">
        <f>max(min(Valu!$C$15,$O59),$O59-max($O59-Valu!$C$15,0)/$R59*(AB$3-1))</f>
        <v>0.035</v>
      </c>
      <c r="AC59" s="430">
        <f>max(min(Valu!$C$15,$O59),$O59-max($O59-Valu!$C$15,0)/$R59*(AC$3-1))</f>
        <v>0.0325</v>
      </c>
      <c r="AD59" s="430">
        <f>max(min(Valu!$C$15,$O59),$O59-max($O59-Valu!$C$15,0)/$R59*(AD$3-1))</f>
        <v>0.03</v>
      </c>
      <c r="AE59" s="430">
        <f>max(min(Valu!$C$15,$O59),$O59-max($O59-Valu!$C$15,0)/$R59*(AE$3-1))</f>
        <v>0.03</v>
      </c>
      <c r="AF59" s="430">
        <f>max(min(Valu!$C$15,$O59),$O59-max($O59-Valu!$C$15,0)/$R59*(AF$3-1))</f>
        <v>0.03</v>
      </c>
      <c r="AG59" s="430">
        <f>max(min(Valu!$C$15,$O59),$O59-max($O59-Valu!$C$15,0)/$R59*(AG$3-1))</f>
        <v>0.03</v>
      </c>
      <c r="AH59" s="430">
        <f>max(min(Valu!$C$15,$O59),$O59-max($O59-Valu!$C$15,0)/$R59*(AH$3-1))</f>
        <v>0.03</v>
      </c>
      <c r="AI59" s="430">
        <f>max(min(Valu!$C$15,$O59),$O59-max($O59-Valu!$C$15,0)/$R59*(AI$3-1))</f>
        <v>0.03</v>
      </c>
      <c r="AJ59" s="430">
        <f>max(min(Valu!$C$15,$O59),$O59-max($O59-Valu!$C$15,0)/$R59*(AJ$3-1))</f>
        <v>0.03</v>
      </c>
      <c r="AK59" s="430">
        <f>max(min(Valu!$C$15,$O59),$O59-max($O59-Valu!$C$15,0)/$R59*(AK$3-1))</f>
        <v>0.03</v>
      </c>
      <c r="AL59" s="430">
        <f>max(min(Valu!$C$15,$O59),$O59-max($O59-Valu!$C$15,0)/$R59*(AL$3-1))</f>
        <v>0.03</v>
      </c>
      <c r="AM59" s="430">
        <f>max(min(Valu!$C$15,$O59),$O59-max($O59-Valu!$C$15,0)/$R59*(AM$3-1))</f>
        <v>0.03</v>
      </c>
      <c r="AN59" s="430">
        <f>max(min(Valu!$C$15,$O59),$O59-max($O59-Valu!$C$15,0)/$R59*(AN$3-1))</f>
        <v>0.03</v>
      </c>
      <c r="AO59" s="430">
        <f>max(min(Valu!$C$15,$O59),$O59-max($O59-Valu!$C$15,0)/$R59*(AO$3-1))</f>
        <v>0.03</v>
      </c>
      <c r="AP59" s="430">
        <f>max(min(Valu!$C$14,$P59),$P59-max($P59-Valu!$C$14,0)/$R59*(AP$3-1))</f>
        <v>0.1</v>
      </c>
      <c r="AQ59" s="430">
        <f>max(min(Valu!$C$14,$P59),$P59-max($P59-Valu!$C$14,0)/$R59*(AQ$3-1))</f>
        <v>0.1</v>
      </c>
      <c r="AR59" s="430">
        <f>max(min(Valu!$C$14,$P59),$P59-max($P59-Valu!$C$14,0)/$R59*(AR$3-1))</f>
        <v>0.1</v>
      </c>
      <c r="AS59" s="430">
        <f>max(min(Valu!$C$14,$P59),$P59-max($P59-Valu!$C$14,0)/$R59*(AS$3-1))</f>
        <v>0.1</v>
      </c>
      <c r="AT59" s="430">
        <f>max(min(Valu!$C$14,$P59),$P59-max($P59-Valu!$C$14,0)/$R59*(AT$3-1))</f>
        <v>0.1</v>
      </c>
      <c r="AU59" s="430">
        <f>max(min(Valu!$C$14,$P59),$P59-max($P59-Valu!$C$14,0)/$R59*(AU$3-1))</f>
        <v>0.1</v>
      </c>
      <c r="AV59" s="430">
        <f>max(min(Valu!$C$14,$P59),$P59-max($P59-Valu!$C$14,0)/$R59*(AV$3-1))</f>
        <v>0.1</v>
      </c>
      <c r="AW59" s="430">
        <f>max(min(Valu!$C$14,$P59),$P59-max($P59-Valu!$C$14,0)/$R59*(AW$3-1))</f>
        <v>0.1</v>
      </c>
      <c r="AX59" s="430">
        <f>max(min(Valu!$C$14,$P59),$P59-max($P59-Valu!$C$14,0)/$R59*(AX$3-1))</f>
        <v>0.1</v>
      </c>
      <c r="AY59" s="430">
        <f>max(min(Valu!$C$14,$P59),$P59-max($P59-Valu!$C$14,0)/$R59*(AY$3-1))</f>
        <v>0.1</v>
      </c>
      <c r="AZ59" s="430">
        <f>max(min(Valu!$C$14,$P59),$P59-max($P59-Valu!$C$14,0)/$R59*(AZ$3-1))</f>
        <v>0.1</v>
      </c>
      <c r="BA59" s="430">
        <f>max(min(Valu!$C$14,$P59),$P59-max($P59-Valu!$C$14,0)/$R59*(BA$3-1))</f>
        <v>0.1</v>
      </c>
      <c r="BB59" s="430">
        <f>max(min(Valu!$C$14,$P59),$P59-max($P59-Valu!$C$14,0)/$R59*(BB$3-1))</f>
        <v>0.1</v>
      </c>
      <c r="BC59" s="430">
        <f>max(min(Valu!$C$14,$P59),$P59-max($P59-Valu!$C$14,0)/$R59*(BC$3-1))</f>
        <v>0.1</v>
      </c>
      <c r="BD59" s="430">
        <f>max(min(Valu!$C$14,$P59),$P59-max($P59-Valu!$C$14,0)/$R59*(BD$3-1))</f>
        <v>0.1</v>
      </c>
      <c r="BE59" s="430">
        <f>max(min(Valu!$C$14,$P59),$P59-max($P59-Valu!$C$14,0)/$R59*(BE$3-1))</f>
        <v>0.1</v>
      </c>
      <c r="BF59" s="430">
        <f>max(min(Valu!$C$14,$P59),$P59-max($P59-Valu!$C$14,0)/$R59*(BF$3-1))</f>
        <v>0.1</v>
      </c>
      <c r="BG59" s="430">
        <f>max(min(Valu!$C$14,$P59),$P59-max($P59-Valu!$C$14,0)/$R59*(BG$3-1))</f>
        <v>0.1</v>
      </c>
      <c r="BH59" s="430">
        <f>max(min(Valu!$C$14,$P59),$P59-max($P59-Valu!$C$14,0)/$R59*(BH$3-1))</f>
        <v>0.1</v>
      </c>
      <c r="BI59" s="430">
        <f>max(min(Valu!$C$14,$P59),$P59-max($P59-Valu!$C$14,0)/$R59*(BI$3-1))</f>
        <v>0.1</v>
      </c>
      <c r="BJ59" s="431">
        <f t="shared" ref="BJ59:BJ60" si="26">N59</f>
        <v>16.24723432</v>
      </c>
      <c r="BK59" s="432">
        <f t="shared" ref="BK59:BK60" si="27">$BJ59*(1+V59)</f>
        <v>17.05959603</v>
      </c>
      <c r="BL59" s="432">
        <f t="shared" ref="BL59:CC59" si="21">BK59*(1+W59)</f>
        <v>17.86992684</v>
      </c>
      <c r="BM59" s="432">
        <f t="shared" si="21"/>
        <v>18.67407355</v>
      </c>
      <c r="BN59" s="432">
        <f t="shared" si="21"/>
        <v>19.46772168</v>
      </c>
      <c r="BO59" s="432">
        <f t="shared" si="21"/>
        <v>20.24643054</v>
      </c>
      <c r="BP59" s="432">
        <f t="shared" si="21"/>
        <v>21.00567169</v>
      </c>
      <c r="BQ59" s="432">
        <f t="shared" si="21"/>
        <v>21.7408702</v>
      </c>
      <c r="BR59" s="432">
        <f t="shared" si="21"/>
        <v>22.44744848</v>
      </c>
      <c r="BS59" s="432">
        <f t="shared" si="21"/>
        <v>23.12087193</v>
      </c>
      <c r="BT59" s="432">
        <f t="shared" si="21"/>
        <v>23.81449809</v>
      </c>
      <c r="BU59" s="432">
        <f t="shared" si="21"/>
        <v>24.52893304</v>
      </c>
      <c r="BV59" s="432">
        <f t="shared" si="21"/>
        <v>25.26480103</v>
      </c>
      <c r="BW59" s="432">
        <f t="shared" si="21"/>
        <v>26.02274506</v>
      </c>
      <c r="BX59" s="432">
        <f t="shared" si="21"/>
        <v>26.80342741</v>
      </c>
      <c r="BY59" s="432">
        <f t="shared" si="21"/>
        <v>27.60753023</v>
      </c>
      <c r="BZ59" s="432">
        <f t="shared" si="21"/>
        <v>28.43575614</v>
      </c>
      <c r="CA59" s="432">
        <f t="shared" si="21"/>
        <v>29.28882882</v>
      </c>
      <c r="CB59" s="432">
        <f t="shared" si="21"/>
        <v>30.16749369</v>
      </c>
      <c r="CC59" s="432">
        <f t="shared" si="21"/>
        <v>31.0725185</v>
      </c>
      <c r="CD59" s="432">
        <f t="shared" ref="CD59:CW59" si="22">BJ59*(1-V59/AP59)</f>
        <v>8.123617158</v>
      </c>
      <c r="CE59" s="432">
        <f t="shared" si="22"/>
        <v>8.956287917</v>
      </c>
      <c r="CF59" s="432">
        <f t="shared" si="22"/>
        <v>9.828459764</v>
      </c>
      <c r="CG59" s="432">
        <f t="shared" si="22"/>
        <v>10.73759229</v>
      </c>
      <c r="CH59" s="432">
        <f t="shared" si="22"/>
        <v>11.68063301</v>
      </c>
      <c r="CI59" s="432">
        <f t="shared" si="22"/>
        <v>12.65401909</v>
      </c>
      <c r="CJ59" s="432">
        <f t="shared" si="22"/>
        <v>13.6536866</v>
      </c>
      <c r="CK59" s="432">
        <f t="shared" si="22"/>
        <v>14.67508738</v>
      </c>
      <c r="CL59" s="432">
        <f t="shared" si="22"/>
        <v>15.71321394</v>
      </c>
      <c r="CM59" s="432">
        <f t="shared" si="22"/>
        <v>16.18461035</v>
      </c>
      <c r="CN59" s="432">
        <f t="shared" si="22"/>
        <v>16.67014866</v>
      </c>
      <c r="CO59" s="432">
        <f t="shared" si="22"/>
        <v>17.17025312</v>
      </c>
      <c r="CP59" s="432">
        <f t="shared" si="22"/>
        <v>17.68536072</v>
      </c>
      <c r="CQ59" s="432">
        <f t="shared" si="22"/>
        <v>18.21592154</v>
      </c>
      <c r="CR59" s="432">
        <f t="shared" si="22"/>
        <v>18.76239919</v>
      </c>
      <c r="CS59" s="432">
        <f t="shared" si="22"/>
        <v>19.32527116</v>
      </c>
      <c r="CT59" s="432">
        <f t="shared" si="22"/>
        <v>19.9050293</v>
      </c>
      <c r="CU59" s="432">
        <f t="shared" si="22"/>
        <v>20.50218018</v>
      </c>
      <c r="CV59" s="432">
        <f t="shared" si="22"/>
        <v>21.11724558</v>
      </c>
      <c r="CW59" s="432">
        <f t="shared" si="22"/>
        <v>21.75076295</v>
      </c>
      <c r="CX59" s="432">
        <f>CW59*(1+min(Valu!$C$15,$O59))/(Valu!$C$21-min(Valu!$C$15,$O59))</f>
        <v>589.5601536</v>
      </c>
      <c r="CY59" s="432">
        <f>CD59/(1+Valu!$C$21)^CY$3</f>
        <v>7.606383107</v>
      </c>
      <c r="CZ59" s="432">
        <f>CE59/(1+Valu!$C$21)^CZ$3</f>
        <v>7.852094921</v>
      </c>
      <c r="DA59" s="432">
        <f>CF59/(1+Valu!$C$21)^DA$3</f>
        <v>8.068108054</v>
      </c>
      <c r="DB59" s="432">
        <f>CG59/(1+Valu!$C$21)^DB$3</f>
        <v>8.253191058</v>
      </c>
      <c r="DC59" s="432">
        <f>CH59/(1+Valu!$C$21)^DC$3</f>
        <v>8.406401248</v>
      </c>
      <c r="DD59" s="432">
        <f>CI59/(1+Valu!$C$21)^DD$3</f>
        <v>8.527092402</v>
      </c>
      <c r="DE59" s="432">
        <f>CJ59/(1+Valu!$C$21)^DE$3</f>
        <v>8.61491826</v>
      </c>
      <c r="DF59" s="432">
        <f>CK59/(1+Valu!$C$21)^DF$3</f>
        <v>8.669831849</v>
      </c>
      <c r="DG59" s="432">
        <f>CL59/(1+Valu!$C$21)^DG$3</f>
        <v>8.692080689</v>
      </c>
      <c r="DH59" s="432">
        <f>CM59/(1+Valu!$C$21)^DH$3</f>
        <v>8.382811901</v>
      </c>
      <c r="DI59" s="432">
        <f>CN59/(1+Valu!$C$21)^DI$3</f>
        <v>8.084547058</v>
      </c>
      <c r="DJ59" s="432">
        <f>CO59/(1+Valu!$C$21)^DJ$3</f>
        <v>7.796894634</v>
      </c>
      <c r="DK59" s="432">
        <f>CP59/(1+Valu!$C$21)^DK$3</f>
        <v>7.519477035</v>
      </c>
      <c r="DL59" s="432">
        <f>CQ59/(1+Valu!$C$21)^DL$3</f>
        <v>7.251930099</v>
      </c>
      <c r="DM59" s="432">
        <f>CR59/(1+Valu!$C$21)^DM$3</f>
        <v>6.993902624</v>
      </c>
      <c r="DN59" s="432">
        <f>CS59/(1+Valu!$C$21)^DN$3</f>
        <v>6.745055901</v>
      </c>
      <c r="DO59" s="432">
        <f>CT59/(1+Valu!$C$21)^DO$3</f>
        <v>6.505063276</v>
      </c>
      <c r="DP59" s="432">
        <f>CU59/(1+Valu!$C$21)^DP$3</f>
        <v>6.273609713</v>
      </c>
      <c r="DQ59" s="432">
        <f>CV59/(1+Valu!$C$21)^DQ$3</f>
        <v>6.05039139</v>
      </c>
      <c r="DR59" s="432">
        <f>CW59/(1+Valu!$C$21)^DR$3</f>
        <v>5.835115292</v>
      </c>
      <c r="DS59" s="432">
        <f>CX59/(1+Valu!$C$21)^DS$3</f>
        <v>158.1623355</v>
      </c>
      <c r="DT59" s="358"/>
      <c r="DU59" s="358"/>
      <c r="DV59" s="358"/>
      <c r="DW59" s="358"/>
    </row>
    <row r="60" ht="15.0" customHeight="1">
      <c r="A60" s="357">
        <v>43675.0</v>
      </c>
      <c r="B60" s="453" t="s">
        <v>1517</v>
      </c>
      <c r="C60" s="358" t="s">
        <v>1518</v>
      </c>
      <c r="D60" s="358"/>
      <c r="E60" s="345" t="str">
        <f>IFERROR(__xludf.DUMMYFUNCTION("if(and(D60&lt;&gt;0,D60&lt;&gt;""""),D60/GOOGLEFINANCE(C60,""price"")-1,"""")"),"")</f>
        <v/>
      </c>
      <c r="F60" s="364">
        <f>IFERROR(__xludf.DUMMYFUNCTION("GOOGLEFINANCE(C60,""price"")"),35.96)</f>
        <v>35.96</v>
      </c>
      <c r="G60" s="345">
        <f t="shared" si="6"/>
        <v>-0.2196478146</v>
      </c>
      <c r="H60" s="347"/>
      <c r="I60" s="368">
        <f t="shared" si="23"/>
        <v>28.06146459</v>
      </c>
      <c r="J60" s="369">
        <v>1.41</v>
      </c>
      <c r="K60" s="369">
        <v>1.51</v>
      </c>
      <c r="L60" s="360">
        <v>43830.0</v>
      </c>
      <c r="M60" s="351">
        <f t="shared" si="7"/>
        <v>0.179888422</v>
      </c>
      <c r="N60" s="349">
        <f t="shared" si="8"/>
        <v>1.492011158</v>
      </c>
      <c r="O60" s="352">
        <v>0.05</v>
      </c>
      <c r="P60" s="361">
        <v>0.1</v>
      </c>
      <c r="Q60" s="371">
        <f t="shared" si="24"/>
        <v>18.80781148</v>
      </c>
      <c r="R60" s="355">
        <v>4.0</v>
      </c>
      <c r="S60" s="360">
        <v>43533.0</v>
      </c>
      <c r="T60" s="365" t="s">
        <v>1223</v>
      </c>
      <c r="U60" s="363" t="s">
        <v>1520</v>
      </c>
      <c r="V60" s="429">
        <f t="shared" si="25"/>
        <v>0.05</v>
      </c>
      <c r="W60" s="430">
        <f>max(min(Valu!$C$15,$O60),$O60-max($O60-Valu!$C$15,0)/$R60*(W$3-1))</f>
        <v>0.045</v>
      </c>
      <c r="X60" s="430">
        <f>max(min(Valu!$C$15,$O60),$O60-max($O60-Valu!$C$15,0)/$R60*(X$3-1))</f>
        <v>0.04</v>
      </c>
      <c r="Y60" s="430">
        <f>max(min(Valu!$C$15,$O60),$O60-max($O60-Valu!$C$15,0)/$R60*(Y$3-1))</f>
        <v>0.035</v>
      </c>
      <c r="Z60" s="430">
        <f>max(min(Valu!$C$15,$O60),$O60-max($O60-Valu!$C$15,0)/$R60*(Z$3-1))</f>
        <v>0.03</v>
      </c>
      <c r="AA60" s="430">
        <f>max(min(Valu!$C$15,$O60),$O60-max($O60-Valu!$C$15,0)/$R60*(AA$3-1))</f>
        <v>0.03</v>
      </c>
      <c r="AB60" s="430">
        <f>max(min(Valu!$C$15,$O60),$O60-max($O60-Valu!$C$15,0)/$R60*(AB$3-1))</f>
        <v>0.03</v>
      </c>
      <c r="AC60" s="430">
        <f>max(min(Valu!$C$15,$O60),$O60-max($O60-Valu!$C$15,0)/$R60*(AC$3-1))</f>
        <v>0.03</v>
      </c>
      <c r="AD60" s="430">
        <f>max(min(Valu!$C$15,$O60),$O60-max($O60-Valu!$C$15,0)/$R60*(AD$3-1))</f>
        <v>0.03</v>
      </c>
      <c r="AE60" s="430">
        <f>max(min(Valu!$C$15,$O60),$O60-max($O60-Valu!$C$15,0)/$R60*(AE$3-1))</f>
        <v>0.03</v>
      </c>
      <c r="AF60" s="430">
        <f>max(min(Valu!$C$15,$O60),$O60-max($O60-Valu!$C$15,0)/$R60*(AF$3-1))</f>
        <v>0.03</v>
      </c>
      <c r="AG60" s="430">
        <f>max(min(Valu!$C$15,$O60),$O60-max($O60-Valu!$C$15,0)/$R60*(AG$3-1))</f>
        <v>0.03</v>
      </c>
      <c r="AH60" s="430">
        <f>max(min(Valu!$C$15,$O60),$O60-max($O60-Valu!$C$15,0)/$R60*(AH$3-1))</f>
        <v>0.03</v>
      </c>
      <c r="AI60" s="430">
        <f>max(min(Valu!$C$15,$O60),$O60-max($O60-Valu!$C$15,0)/$R60*(AI$3-1))</f>
        <v>0.03</v>
      </c>
      <c r="AJ60" s="430">
        <f>max(min(Valu!$C$15,$O60),$O60-max($O60-Valu!$C$15,0)/$R60*(AJ$3-1))</f>
        <v>0.03</v>
      </c>
      <c r="AK60" s="430">
        <f>max(min(Valu!$C$15,$O60),$O60-max($O60-Valu!$C$15,0)/$R60*(AK$3-1))</f>
        <v>0.03</v>
      </c>
      <c r="AL60" s="430">
        <f>max(min(Valu!$C$15,$O60),$O60-max($O60-Valu!$C$15,0)/$R60*(AL$3-1))</f>
        <v>0.03</v>
      </c>
      <c r="AM60" s="430">
        <f>max(min(Valu!$C$15,$O60),$O60-max($O60-Valu!$C$15,0)/$R60*(AM$3-1))</f>
        <v>0.03</v>
      </c>
      <c r="AN60" s="430">
        <f>max(min(Valu!$C$15,$O60),$O60-max($O60-Valu!$C$15,0)/$R60*(AN$3-1))</f>
        <v>0.03</v>
      </c>
      <c r="AO60" s="430">
        <f>max(min(Valu!$C$15,$O60),$O60-max($O60-Valu!$C$15,0)/$R60*(AO$3-1))</f>
        <v>0.03</v>
      </c>
      <c r="AP60" s="430">
        <f>max(min(Valu!$C$14,$P60),$P60-max($P60-Valu!$C$14,0)/$R60*(AP$3-1))</f>
        <v>0.1</v>
      </c>
      <c r="AQ60" s="430">
        <f>max(min(Valu!$C$14,$P60),$P60-max($P60-Valu!$C$14,0)/$R60*(AQ$3-1))</f>
        <v>0.1</v>
      </c>
      <c r="AR60" s="430">
        <f>max(min(Valu!$C$14,$P60),$P60-max($P60-Valu!$C$14,0)/$R60*(AR$3-1))</f>
        <v>0.1</v>
      </c>
      <c r="AS60" s="430">
        <f>max(min(Valu!$C$14,$P60),$P60-max($P60-Valu!$C$14,0)/$R60*(AS$3-1))</f>
        <v>0.1</v>
      </c>
      <c r="AT60" s="430">
        <f>max(min(Valu!$C$14,$P60),$P60-max($P60-Valu!$C$14,0)/$R60*(AT$3-1))</f>
        <v>0.1</v>
      </c>
      <c r="AU60" s="430">
        <f>max(min(Valu!$C$14,$P60),$P60-max($P60-Valu!$C$14,0)/$R60*(AU$3-1))</f>
        <v>0.1</v>
      </c>
      <c r="AV60" s="430">
        <f>max(min(Valu!$C$14,$P60),$P60-max($P60-Valu!$C$14,0)/$R60*(AV$3-1))</f>
        <v>0.1</v>
      </c>
      <c r="AW60" s="430">
        <f>max(min(Valu!$C$14,$P60),$P60-max($P60-Valu!$C$14,0)/$R60*(AW$3-1))</f>
        <v>0.1</v>
      </c>
      <c r="AX60" s="430">
        <f>max(min(Valu!$C$14,$P60),$P60-max($P60-Valu!$C$14,0)/$R60*(AX$3-1))</f>
        <v>0.1</v>
      </c>
      <c r="AY60" s="430">
        <f>max(min(Valu!$C$14,$P60),$P60-max($P60-Valu!$C$14,0)/$R60*(AY$3-1))</f>
        <v>0.1</v>
      </c>
      <c r="AZ60" s="430">
        <f>max(min(Valu!$C$14,$P60),$P60-max($P60-Valu!$C$14,0)/$R60*(AZ$3-1))</f>
        <v>0.1</v>
      </c>
      <c r="BA60" s="430">
        <f>max(min(Valu!$C$14,$P60),$P60-max($P60-Valu!$C$14,0)/$R60*(BA$3-1))</f>
        <v>0.1</v>
      </c>
      <c r="BB60" s="430">
        <f>max(min(Valu!$C$14,$P60),$P60-max($P60-Valu!$C$14,0)/$R60*(BB$3-1))</f>
        <v>0.1</v>
      </c>
      <c r="BC60" s="430">
        <f>max(min(Valu!$C$14,$P60),$P60-max($P60-Valu!$C$14,0)/$R60*(BC$3-1))</f>
        <v>0.1</v>
      </c>
      <c r="BD60" s="430">
        <f>max(min(Valu!$C$14,$P60),$P60-max($P60-Valu!$C$14,0)/$R60*(BD$3-1))</f>
        <v>0.1</v>
      </c>
      <c r="BE60" s="430">
        <f>max(min(Valu!$C$14,$P60),$P60-max($P60-Valu!$C$14,0)/$R60*(BE$3-1))</f>
        <v>0.1</v>
      </c>
      <c r="BF60" s="430">
        <f>max(min(Valu!$C$14,$P60),$P60-max($P60-Valu!$C$14,0)/$R60*(BF$3-1))</f>
        <v>0.1</v>
      </c>
      <c r="BG60" s="430">
        <f>max(min(Valu!$C$14,$P60),$P60-max($P60-Valu!$C$14,0)/$R60*(BG$3-1))</f>
        <v>0.1</v>
      </c>
      <c r="BH60" s="430">
        <f>max(min(Valu!$C$14,$P60),$P60-max($P60-Valu!$C$14,0)/$R60*(BH$3-1))</f>
        <v>0.1</v>
      </c>
      <c r="BI60" s="430">
        <f>max(min(Valu!$C$14,$P60),$P60-max($P60-Valu!$C$14,0)/$R60*(BI$3-1))</f>
        <v>0.1</v>
      </c>
      <c r="BJ60" s="431">
        <f t="shared" si="26"/>
        <v>1.492011158</v>
      </c>
      <c r="BK60" s="432">
        <f t="shared" si="27"/>
        <v>1.566611716</v>
      </c>
      <c r="BL60" s="432">
        <f t="shared" ref="BL60:CC60" si="28">BK60*(1+W60)</f>
        <v>1.637109243</v>
      </c>
      <c r="BM60" s="432">
        <f t="shared" si="28"/>
        <v>1.702593613</v>
      </c>
      <c r="BN60" s="432">
        <f t="shared" si="28"/>
        <v>1.762184389</v>
      </c>
      <c r="BO60" s="432">
        <f t="shared" si="28"/>
        <v>1.815049921</v>
      </c>
      <c r="BP60" s="432">
        <f t="shared" si="28"/>
        <v>1.869501418</v>
      </c>
      <c r="BQ60" s="432">
        <f t="shared" si="28"/>
        <v>1.925586461</v>
      </c>
      <c r="BR60" s="432">
        <f t="shared" si="28"/>
        <v>1.983354055</v>
      </c>
      <c r="BS60" s="432">
        <f t="shared" si="28"/>
        <v>2.042854676</v>
      </c>
      <c r="BT60" s="432">
        <f t="shared" si="28"/>
        <v>2.104140317</v>
      </c>
      <c r="BU60" s="432">
        <f t="shared" si="28"/>
        <v>2.167264526</v>
      </c>
      <c r="BV60" s="432">
        <f t="shared" si="28"/>
        <v>2.232282462</v>
      </c>
      <c r="BW60" s="432">
        <f t="shared" si="28"/>
        <v>2.299250936</v>
      </c>
      <c r="BX60" s="432">
        <f t="shared" si="28"/>
        <v>2.368228464</v>
      </c>
      <c r="BY60" s="432">
        <f t="shared" si="28"/>
        <v>2.439275318</v>
      </c>
      <c r="BZ60" s="432">
        <f t="shared" si="28"/>
        <v>2.512453577</v>
      </c>
      <c r="CA60" s="432">
        <f t="shared" si="28"/>
        <v>2.587827185</v>
      </c>
      <c r="CB60" s="432">
        <f t="shared" si="28"/>
        <v>2.665462</v>
      </c>
      <c r="CC60" s="432">
        <f t="shared" si="28"/>
        <v>2.74542586</v>
      </c>
      <c r="CD60" s="432">
        <f t="shared" ref="CD60:CW60" si="29">BJ60*(1-V60/AP60)</f>
        <v>0.7460055789</v>
      </c>
      <c r="CE60" s="432">
        <f t="shared" si="29"/>
        <v>0.8616364436</v>
      </c>
      <c r="CF60" s="432">
        <f t="shared" si="29"/>
        <v>0.9822655457</v>
      </c>
      <c r="CG60" s="432">
        <f t="shared" si="29"/>
        <v>1.106685848</v>
      </c>
      <c r="CH60" s="432">
        <f t="shared" si="29"/>
        <v>1.233529072</v>
      </c>
      <c r="CI60" s="432">
        <f t="shared" si="29"/>
        <v>1.270534945</v>
      </c>
      <c r="CJ60" s="432">
        <f t="shared" si="29"/>
        <v>1.308650993</v>
      </c>
      <c r="CK60" s="432">
        <f t="shared" si="29"/>
        <v>1.347910523</v>
      </c>
      <c r="CL60" s="432">
        <f t="shared" si="29"/>
        <v>1.388347838</v>
      </c>
      <c r="CM60" s="432">
        <f t="shared" si="29"/>
        <v>1.429998273</v>
      </c>
      <c r="CN60" s="432">
        <f t="shared" si="29"/>
        <v>1.472898222</v>
      </c>
      <c r="CO60" s="432">
        <f t="shared" si="29"/>
        <v>1.517085168</v>
      </c>
      <c r="CP60" s="432">
        <f t="shared" si="29"/>
        <v>1.562597723</v>
      </c>
      <c r="CQ60" s="432">
        <f t="shared" si="29"/>
        <v>1.609475655</v>
      </c>
      <c r="CR60" s="432">
        <f t="shared" si="29"/>
        <v>1.657759925</v>
      </c>
      <c r="CS60" s="432">
        <f t="shared" si="29"/>
        <v>1.707492722</v>
      </c>
      <c r="CT60" s="432">
        <f t="shared" si="29"/>
        <v>1.758717504</v>
      </c>
      <c r="CU60" s="432">
        <f t="shared" si="29"/>
        <v>1.811479029</v>
      </c>
      <c r="CV60" s="432">
        <f t="shared" si="29"/>
        <v>1.8658234</v>
      </c>
      <c r="CW60" s="432">
        <f t="shared" si="29"/>
        <v>1.921798102</v>
      </c>
      <c r="CX60" s="432">
        <f>CW60*(1+min(Valu!$C$15,$O60))/(Valu!$C$21-min(Valu!$C$15,$O60))</f>
        <v>52.09084329</v>
      </c>
      <c r="CY60" s="432">
        <f>CD60/(1+Valu!$C$21)^CY$3</f>
        <v>0.6985070963</v>
      </c>
      <c r="CZ60" s="432">
        <f>CE60/(1+Valu!$C$21)^CZ$3</f>
        <v>0.7554079553</v>
      </c>
      <c r="DA60" s="432">
        <f>CF60/(1+Valu!$C$21)^DA$3</f>
        <v>0.8063343343</v>
      </c>
      <c r="DB60" s="432">
        <f>CG60/(1+Valu!$C$21)^DB$3</f>
        <v>0.8506273564</v>
      </c>
      <c r="DC60" s="432">
        <f>CH60/(1+Valu!$C$21)^DC$3</f>
        <v>0.8877549982</v>
      </c>
      <c r="DD60" s="432">
        <f>CI60/(1+Valu!$C$21)^DD$3</f>
        <v>0.8561682099</v>
      </c>
      <c r="DE60" s="432">
        <f>CJ60/(1+Valu!$C$21)^DE$3</f>
        <v>0.825705296</v>
      </c>
      <c r="DF60" s="432">
        <f>CK60/(1+Valu!$C$21)^DF$3</f>
        <v>0.7963262686</v>
      </c>
      <c r="DG60" s="432">
        <f>CL60/(1+Valu!$C$21)^DG$3</f>
        <v>0.7679925625</v>
      </c>
      <c r="DH60" s="432">
        <f>CM60/(1+Valu!$C$21)^DH$3</f>
        <v>0.7406669844</v>
      </c>
      <c r="DI60" s="432">
        <f>CN60/(1+Valu!$C$21)^DI$3</f>
        <v>0.7143136647</v>
      </c>
      <c r="DJ60" s="432">
        <f>CO60/(1+Valu!$C$21)^DJ$3</f>
        <v>0.68889801</v>
      </c>
      <c r="DK60" s="432">
        <f>CP60/(1+Valu!$C$21)^DK$3</f>
        <v>0.6643866576</v>
      </c>
      <c r="DL60" s="432">
        <f>CQ60/(1+Valu!$C$21)^DL$3</f>
        <v>0.6407474319</v>
      </c>
      <c r="DM60" s="432">
        <f>CR60/(1+Valu!$C$21)^DM$3</f>
        <v>0.6179493023</v>
      </c>
      <c r="DN60" s="432">
        <f>CS60/(1+Valu!$C$21)^DN$3</f>
        <v>0.5959623421</v>
      </c>
      <c r="DO60" s="432">
        <f>CT60/(1+Valu!$C$21)^DO$3</f>
        <v>0.5747576895</v>
      </c>
      <c r="DP60" s="432">
        <f>CU60/(1+Valu!$C$21)^DP$3</f>
        <v>0.5543075095</v>
      </c>
      <c r="DQ60" s="432">
        <f>CV60/(1+Valu!$C$21)^DQ$3</f>
        <v>0.5345849577</v>
      </c>
      <c r="DR60" s="432">
        <f>CW60/(1+Valu!$C$21)^DR$3</f>
        <v>0.5155641446</v>
      </c>
      <c r="DS60" s="432">
        <f>CX60/(1+Valu!$C$21)^DS$3</f>
        <v>13.97450181</v>
      </c>
      <c r="DT60" s="358"/>
      <c r="DU60" s="358"/>
      <c r="DV60" s="358"/>
      <c r="DW60" s="358"/>
    </row>
    <row r="61" ht="15.0" customHeight="1">
      <c r="A61" s="394">
        <v>41291.0</v>
      </c>
      <c r="B61" s="302" t="s">
        <v>1532</v>
      </c>
      <c r="C61" s="302" t="s">
        <v>1533</v>
      </c>
      <c r="D61" s="302"/>
      <c r="E61" s="396" t="str">
        <f>IFERROR(__xludf.DUMMYFUNCTION("if(and(D61&lt;&gt;0,D61&lt;&gt;""""),D61/GOOGLEFINANCE(C61,""price"")-1,"""")"),"")</f>
        <v/>
      </c>
      <c r="F61" s="397">
        <f>IFERROR(__xludf.DUMMYFUNCTION("GOOGLEFINANCE(C61,""price"")"),43.73)</f>
        <v>43.73</v>
      </c>
      <c r="G61" s="396" t="str">
        <f t="shared" si="6"/>
        <v/>
      </c>
      <c r="H61" s="398"/>
      <c r="I61" s="398"/>
      <c r="J61" s="403"/>
      <c r="K61" s="403"/>
      <c r="L61" s="410"/>
      <c r="M61" s="402">
        <f t="shared" si="7"/>
        <v>-119.9023034</v>
      </c>
      <c r="N61" s="403">
        <f t="shared" si="8"/>
        <v>0</v>
      </c>
      <c r="O61" s="410"/>
      <c r="P61" s="411"/>
      <c r="Q61" s="402"/>
      <c r="R61" s="412"/>
      <c r="S61" s="412"/>
      <c r="T61" s="412"/>
      <c r="U61" s="413" t="s">
        <v>1534</v>
      </c>
      <c r="V61" s="414"/>
      <c r="W61" s="414"/>
      <c r="X61" s="414"/>
      <c r="Y61" s="414"/>
      <c r="Z61" s="414"/>
      <c r="AA61" s="414"/>
      <c r="AB61" s="414"/>
      <c r="AC61" s="414"/>
      <c r="AD61" s="414"/>
      <c r="AE61" s="414"/>
      <c r="AF61" s="414"/>
      <c r="AG61" s="414"/>
      <c r="AH61" s="414"/>
      <c r="AI61" s="414"/>
      <c r="AJ61" s="414"/>
      <c r="AK61" s="414"/>
      <c r="AL61" s="414"/>
      <c r="AM61" s="414"/>
      <c r="AN61" s="414"/>
      <c r="AO61" s="414"/>
      <c r="AP61" s="414"/>
      <c r="AQ61" s="414"/>
      <c r="AR61" s="414"/>
      <c r="AS61" s="414"/>
      <c r="AT61" s="414"/>
      <c r="AU61" s="414"/>
      <c r="AV61" s="414"/>
      <c r="AW61" s="414"/>
      <c r="AX61" s="414"/>
      <c r="AY61" s="414"/>
      <c r="AZ61" s="414"/>
      <c r="BA61" s="414"/>
      <c r="BB61" s="414"/>
      <c r="BC61" s="414"/>
      <c r="BD61" s="414"/>
      <c r="BE61" s="414"/>
      <c r="BF61" s="414"/>
      <c r="BG61" s="414"/>
      <c r="BH61" s="414"/>
      <c r="BI61" s="414"/>
      <c r="BJ61" s="414"/>
      <c r="BK61" s="414"/>
      <c r="BL61" s="414"/>
      <c r="BM61" s="414"/>
      <c r="BN61" s="414"/>
      <c r="BO61" s="414"/>
      <c r="BP61" s="414"/>
      <c r="BQ61" s="414"/>
      <c r="BR61" s="414"/>
      <c r="BS61" s="414"/>
      <c r="BT61" s="414"/>
      <c r="BU61" s="414"/>
      <c r="BV61" s="414"/>
      <c r="BW61" s="414"/>
      <c r="BX61" s="414"/>
      <c r="BY61" s="414"/>
      <c r="BZ61" s="414"/>
      <c r="CA61" s="414"/>
      <c r="CB61" s="414"/>
      <c r="CC61" s="414"/>
      <c r="CD61" s="414"/>
      <c r="CE61" s="414"/>
      <c r="CF61" s="414"/>
      <c r="CG61" s="414"/>
      <c r="CH61" s="414"/>
      <c r="CI61" s="414"/>
      <c r="CJ61" s="414"/>
      <c r="CK61" s="414"/>
      <c r="CL61" s="414"/>
      <c r="CM61" s="414"/>
      <c r="CN61" s="414"/>
      <c r="CO61" s="414"/>
      <c r="CP61" s="414"/>
      <c r="CQ61" s="414"/>
      <c r="CR61" s="414"/>
      <c r="CS61" s="414"/>
      <c r="CT61" s="414"/>
      <c r="CU61" s="414"/>
      <c r="CV61" s="414"/>
      <c r="CW61" s="414"/>
      <c r="CX61" s="414"/>
      <c r="CY61" s="414"/>
      <c r="CZ61" s="414"/>
      <c r="DA61" s="414"/>
      <c r="DB61" s="414"/>
      <c r="DC61" s="414"/>
      <c r="DD61" s="414"/>
      <c r="DE61" s="414"/>
      <c r="DF61" s="414"/>
      <c r="DG61" s="414"/>
      <c r="DH61" s="414"/>
      <c r="DI61" s="414"/>
      <c r="DJ61" s="414"/>
      <c r="DK61" s="414"/>
      <c r="DL61" s="414"/>
      <c r="DM61" s="414"/>
      <c r="DN61" s="414"/>
      <c r="DO61" s="414"/>
      <c r="DP61" s="414"/>
      <c r="DQ61" s="414"/>
      <c r="DR61" s="414"/>
      <c r="DS61" s="414"/>
      <c r="DT61" s="414"/>
      <c r="DU61" s="414"/>
      <c r="DV61" s="414"/>
      <c r="DW61" s="414"/>
    </row>
    <row r="62" ht="15.0" customHeight="1">
      <c r="A62" s="388">
        <v>43515.0</v>
      </c>
      <c r="B62" s="454" t="s">
        <v>1535</v>
      </c>
      <c r="C62" s="373" t="s">
        <v>1536</v>
      </c>
      <c r="D62" s="373"/>
      <c r="E62" s="374" t="str">
        <f>IFERROR(__xludf.DUMMYFUNCTION("if(and(D62&lt;&gt;0,D62&lt;&gt;""""),D62/GOOGLEFINANCE(C62,""price"")-1,"""")"),"")</f>
        <v/>
      </c>
      <c r="F62" s="375">
        <f>IFERROR(__xludf.DUMMYFUNCTION("GOOGLEFINANCE(C62,""price"")"),34.0)</f>
        <v>34</v>
      </c>
      <c r="G62" s="374">
        <f t="shared" si="6"/>
        <v>0.7128027682</v>
      </c>
      <c r="H62" s="376"/>
      <c r="I62" s="376">
        <f>N62*($I$1+O62*100)</f>
        <v>58.23529412</v>
      </c>
      <c r="J62" s="377">
        <f>8*0.75</f>
        <v>6</v>
      </c>
      <c r="K62" s="385">
        <f>J62</f>
        <v>6</v>
      </c>
      <c r="L62" s="409">
        <v>43465.0</v>
      </c>
      <c r="M62" s="379">
        <f t="shared" si="7"/>
        <v>-0.820111578</v>
      </c>
      <c r="N62" s="380">
        <f t="shared" si="8"/>
        <v>6</v>
      </c>
      <c r="O62" s="370">
        <v>-0.05</v>
      </c>
      <c r="P62" s="370"/>
      <c r="Q62" s="371"/>
      <c r="R62" s="378"/>
      <c r="S62" s="378">
        <v>43410.0</v>
      </c>
      <c r="T62" s="387" t="s">
        <v>1223</v>
      </c>
      <c r="U62" s="382" t="s">
        <v>1539</v>
      </c>
      <c r="V62" s="358"/>
      <c r="W62" s="358"/>
      <c r="X62" s="358"/>
      <c r="Y62" s="358"/>
      <c r="Z62" s="358"/>
      <c r="AA62" s="358"/>
      <c r="AB62" s="358"/>
      <c r="AC62" s="358"/>
      <c r="AD62" s="358"/>
      <c r="AE62" s="358"/>
      <c r="AF62" s="358"/>
      <c r="AG62" s="358"/>
      <c r="AH62" s="358"/>
      <c r="AI62" s="358"/>
      <c r="AJ62" s="358"/>
      <c r="AK62" s="358"/>
      <c r="AL62" s="358"/>
      <c r="AM62" s="358"/>
      <c r="AN62" s="358"/>
      <c r="AO62" s="358"/>
      <c r="AP62" s="358"/>
      <c r="AQ62" s="358"/>
      <c r="AR62" s="358"/>
      <c r="AS62" s="358"/>
      <c r="AT62" s="358"/>
      <c r="AU62" s="358"/>
      <c r="AV62" s="358"/>
      <c r="AW62" s="358"/>
      <c r="AX62" s="358"/>
      <c r="AY62" s="358"/>
      <c r="AZ62" s="358"/>
      <c r="BA62" s="358"/>
      <c r="BB62" s="358"/>
      <c r="BC62" s="358"/>
      <c r="BD62" s="358"/>
      <c r="BE62" s="358"/>
      <c r="BF62" s="358"/>
      <c r="BG62" s="358"/>
      <c r="BH62" s="358"/>
      <c r="BI62" s="358"/>
      <c r="BJ62" s="358"/>
      <c r="BK62" s="358"/>
      <c r="BL62" s="358"/>
      <c r="BM62" s="358"/>
      <c r="BN62" s="358"/>
      <c r="BO62" s="358"/>
      <c r="BP62" s="358"/>
      <c r="BQ62" s="358"/>
      <c r="BR62" s="358"/>
      <c r="BS62" s="358"/>
      <c r="BT62" s="358"/>
      <c r="BU62" s="358"/>
      <c r="BV62" s="358"/>
      <c r="BW62" s="358"/>
      <c r="BX62" s="358"/>
      <c r="BY62" s="358"/>
      <c r="BZ62" s="358"/>
      <c r="CA62" s="358"/>
      <c r="CB62" s="358"/>
      <c r="CC62" s="358"/>
      <c r="CD62" s="358"/>
      <c r="CE62" s="358"/>
      <c r="CF62" s="358"/>
      <c r="CG62" s="358"/>
      <c r="CH62" s="358"/>
      <c r="CI62" s="358"/>
      <c r="CJ62" s="358"/>
      <c r="CK62" s="358"/>
      <c r="CL62" s="358"/>
      <c r="CM62" s="358"/>
      <c r="CN62" s="358"/>
      <c r="CO62" s="358"/>
      <c r="CP62" s="358"/>
      <c r="CQ62" s="358"/>
      <c r="CR62" s="358"/>
      <c r="CS62" s="358"/>
      <c r="CT62" s="358"/>
      <c r="CU62" s="358"/>
      <c r="CV62" s="358"/>
      <c r="CW62" s="358"/>
      <c r="CX62" s="358"/>
      <c r="CY62" s="358"/>
      <c r="CZ62" s="358"/>
      <c r="DA62" s="358"/>
      <c r="DB62" s="358"/>
      <c r="DC62" s="358"/>
      <c r="DD62" s="358"/>
      <c r="DE62" s="358"/>
      <c r="DF62" s="358"/>
      <c r="DG62" s="358"/>
      <c r="DH62" s="358"/>
      <c r="DI62" s="358"/>
      <c r="DJ62" s="358"/>
      <c r="DK62" s="358"/>
      <c r="DL62" s="358"/>
      <c r="DM62" s="358"/>
      <c r="DN62" s="358"/>
      <c r="DO62" s="358"/>
      <c r="DP62" s="358"/>
      <c r="DQ62" s="358"/>
      <c r="DR62" s="358"/>
      <c r="DS62" s="358"/>
      <c r="DT62" s="358"/>
      <c r="DU62" s="358"/>
      <c r="DV62" s="358"/>
      <c r="DW62" s="358"/>
    </row>
    <row r="63" ht="15.0" customHeight="1">
      <c r="A63" s="394">
        <v>41428.0</v>
      </c>
      <c r="B63" s="455" t="s">
        <v>1541</v>
      </c>
      <c r="C63" s="302" t="s">
        <v>1542</v>
      </c>
      <c r="D63" s="422"/>
      <c r="E63" s="396" t="str">
        <f>IFERROR(__xludf.DUMMYFUNCTION("if(and(D63&lt;&gt;0,D63&lt;&gt;""""),D63/GOOGLEFINANCE(C63,""price"")-1,"""")"),"")</f>
        <v/>
      </c>
      <c r="F63" s="397">
        <f>IFERROR(__xludf.DUMMYFUNCTION("GOOGLEFINANCE(C63,""price"")"),35.99)</f>
        <v>35.99</v>
      </c>
      <c r="G63" s="396" t="str">
        <f t="shared" si="6"/>
        <v/>
      </c>
      <c r="H63" s="398"/>
      <c r="I63" s="398"/>
      <c r="J63" s="403"/>
      <c r="K63" s="403"/>
      <c r="L63" s="410"/>
      <c r="M63" s="402">
        <f t="shared" si="7"/>
        <v>-119.9023034</v>
      </c>
      <c r="N63" s="403">
        <f t="shared" si="8"/>
        <v>0</v>
      </c>
      <c r="O63" s="410"/>
      <c r="P63" s="411"/>
      <c r="Q63" s="402"/>
      <c r="R63" s="412"/>
      <c r="S63" s="412"/>
      <c r="T63" s="412"/>
      <c r="U63" s="413" t="s">
        <v>1543</v>
      </c>
      <c r="V63" s="414"/>
      <c r="W63" s="414"/>
      <c r="X63" s="414"/>
      <c r="Y63" s="414"/>
      <c r="Z63" s="414"/>
      <c r="AA63" s="414"/>
      <c r="AB63" s="414"/>
      <c r="AC63" s="414"/>
      <c r="AD63" s="414"/>
      <c r="AE63" s="414"/>
      <c r="AF63" s="414"/>
      <c r="AG63" s="414"/>
      <c r="AH63" s="414"/>
      <c r="AI63" s="414"/>
      <c r="AJ63" s="414"/>
      <c r="AK63" s="414"/>
      <c r="AL63" s="414"/>
      <c r="AM63" s="414"/>
      <c r="AN63" s="414"/>
      <c r="AO63" s="414"/>
      <c r="AP63" s="414"/>
      <c r="AQ63" s="414"/>
      <c r="AR63" s="414"/>
      <c r="AS63" s="414"/>
      <c r="AT63" s="414"/>
      <c r="AU63" s="414"/>
      <c r="AV63" s="414"/>
      <c r="AW63" s="414"/>
      <c r="AX63" s="414"/>
      <c r="AY63" s="414"/>
      <c r="AZ63" s="414"/>
      <c r="BA63" s="414"/>
      <c r="BB63" s="414"/>
      <c r="BC63" s="414"/>
      <c r="BD63" s="414"/>
      <c r="BE63" s="414"/>
      <c r="BF63" s="414"/>
      <c r="BG63" s="414"/>
      <c r="BH63" s="414"/>
      <c r="BI63" s="414"/>
      <c r="BJ63" s="414"/>
      <c r="BK63" s="414"/>
      <c r="BL63" s="414"/>
      <c r="BM63" s="414"/>
      <c r="BN63" s="414"/>
      <c r="BO63" s="414"/>
      <c r="BP63" s="414"/>
      <c r="BQ63" s="414"/>
      <c r="BR63" s="414"/>
      <c r="BS63" s="414"/>
      <c r="BT63" s="414"/>
      <c r="BU63" s="414"/>
      <c r="BV63" s="414"/>
      <c r="BW63" s="414"/>
      <c r="BX63" s="414"/>
      <c r="BY63" s="414"/>
      <c r="BZ63" s="414"/>
      <c r="CA63" s="414"/>
      <c r="CB63" s="414"/>
      <c r="CC63" s="414"/>
      <c r="CD63" s="414"/>
      <c r="CE63" s="414"/>
      <c r="CF63" s="414"/>
      <c r="CG63" s="414"/>
      <c r="CH63" s="414"/>
      <c r="CI63" s="414"/>
      <c r="CJ63" s="414"/>
      <c r="CK63" s="414"/>
      <c r="CL63" s="414"/>
      <c r="CM63" s="414"/>
      <c r="CN63" s="414"/>
      <c r="CO63" s="414"/>
      <c r="CP63" s="414"/>
      <c r="CQ63" s="414"/>
      <c r="CR63" s="414"/>
      <c r="CS63" s="414"/>
      <c r="CT63" s="414"/>
      <c r="CU63" s="414"/>
      <c r="CV63" s="414"/>
      <c r="CW63" s="414"/>
      <c r="CX63" s="414"/>
      <c r="CY63" s="414"/>
      <c r="CZ63" s="414"/>
      <c r="DA63" s="414"/>
      <c r="DB63" s="414"/>
      <c r="DC63" s="414"/>
      <c r="DD63" s="414"/>
      <c r="DE63" s="414"/>
      <c r="DF63" s="414"/>
      <c r="DG63" s="414"/>
      <c r="DH63" s="414"/>
      <c r="DI63" s="414"/>
      <c r="DJ63" s="414"/>
      <c r="DK63" s="414"/>
      <c r="DL63" s="414"/>
      <c r="DM63" s="414"/>
      <c r="DN63" s="414"/>
      <c r="DO63" s="414"/>
      <c r="DP63" s="414"/>
      <c r="DQ63" s="414"/>
      <c r="DR63" s="414"/>
      <c r="DS63" s="414"/>
      <c r="DT63" s="414"/>
      <c r="DU63" s="414"/>
      <c r="DV63" s="414"/>
      <c r="DW63" s="414"/>
    </row>
    <row r="64" ht="15.0" customHeight="1">
      <c r="A64" s="394">
        <v>40121.0</v>
      </c>
      <c r="B64" s="302" t="s">
        <v>1544</v>
      </c>
      <c r="C64" s="302" t="s">
        <v>904</v>
      </c>
      <c r="D64" s="422"/>
      <c r="E64" s="396" t="str">
        <f>IFERROR(__xludf.DUMMYFUNCTION("if(and(D64&lt;&gt;0,D64&lt;&gt;""""),D64/GOOGLEFINANCE(C64,""price"")-1,"""")"),"")</f>
        <v/>
      </c>
      <c r="F64" s="397">
        <f>IFERROR(__xludf.DUMMYFUNCTION("GOOGLEFINANCE(C64,""price"")"),73.17)</f>
        <v>73.17</v>
      </c>
      <c r="G64" s="396">
        <f t="shared" si="6"/>
        <v>-0.3166598333</v>
      </c>
      <c r="H64" s="398">
        <v>40.0</v>
      </c>
      <c r="I64" s="398">
        <v>50.0</v>
      </c>
      <c r="J64" s="403"/>
      <c r="K64" s="403"/>
      <c r="L64" s="410"/>
      <c r="M64" s="402">
        <f t="shared" si="7"/>
        <v>-119.9023034</v>
      </c>
      <c r="N64" s="403">
        <f t="shared" si="8"/>
        <v>0</v>
      </c>
      <c r="O64" s="410">
        <v>1.0</v>
      </c>
      <c r="P64" s="411"/>
      <c r="Q64" s="402"/>
      <c r="R64" s="412"/>
      <c r="S64" s="412"/>
      <c r="T64" s="412"/>
      <c r="U64" s="413" t="s">
        <v>1545</v>
      </c>
      <c r="V64" s="414"/>
      <c r="W64" s="414"/>
      <c r="X64" s="414"/>
      <c r="Y64" s="414"/>
      <c r="Z64" s="414"/>
      <c r="AA64" s="414"/>
      <c r="AB64" s="414"/>
      <c r="AC64" s="414"/>
      <c r="AD64" s="414"/>
      <c r="AE64" s="414"/>
      <c r="AF64" s="414"/>
      <c r="AG64" s="414"/>
      <c r="AH64" s="414"/>
      <c r="AI64" s="414"/>
      <c r="AJ64" s="414"/>
      <c r="AK64" s="414"/>
      <c r="AL64" s="414"/>
      <c r="AM64" s="414"/>
      <c r="AN64" s="414"/>
      <c r="AO64" s="414"/>
      <c r="AP64" s="414"/>
      <c r="AQ64" s="414"/>
      <c r="AR64" s="414"/>
      <c r="AS64" s="414"/>
      <c r="AT64" s="414"/>
      <c r="AU64" s="414"/>
      <c r="AV64" s="414"/>
      <c r="AW64" s="414"/>
      <c r="AX64" s="414"/>
      <c r="AY64" s="414"/>
      <c r="AZ64" s="414"/>
      <c r="BA64" s="414"/>
      <c r="BB64" s="414"/>
      <c r="BC64" s="414"/>
      <c r="BD64" s="414"/>
      <c r="BE64" s="414"/>
      <c r="BF64" s="414"/>
      <c r="BG64" s="414"/>
      <c r="BH64" s="414"/>
      <c r="BI64" s="414"/>
      <c r="BJ64" s="414"/>
      <c r="BK64" s="414"/>
      <c r="BL64" s="414"/>
      <c r="BM64" s="414"/>
      <c r="BN64" s="414"/>
      <c r="BO64" s="414"/>
      <c r="BP64" s="414"/>
      <c r="BQ64" s="414"/>
      <c r="BR64" s="414"/>
      <c r="BS64" s="414"/>
      <c r="BT64" s="414"/>
      <c r="BU64" s="414"/>
      <c r="BV64" s="414"/>
      <c r="BW64" s="414"/>
      <c r="BX64" s="414"/>
      <c r="BY64" s="414"/>
      <c r="BZ64" s="414"/>
      <c r="CA64" s="414"/>
      <c r="CB64" s="414"/>
      <c r="CC64" s="414"/>
      <c r="CD64" s="414"/>
      <c r="CE64" s="414"/>
      <c r="CF64" s="414"/>
      <c r="CG64" s="414"/>
      <c r="CH64" s="414"/>
      <c r="CI64" s="414"/>
      <c r="CJ64" s="414"/>
      <c r="CK64" s="414"/>
      <c r="CL64" s="414"/>
      <c r="CM64" s="414"/>
      <c r="CN64" s="414"/>
      <c r="CO64" s="414"/>
      <c r="CP64" s="414"/>
      <c r="CQ64" s="414"/>
      <c r="CR64" s="414"/>
      <c r="CS64" s="414"/>
      <c r="CT64" s="414"/>
      <c r="CU64" s="414"/>
      <c r="CV64" s="414"/>
      <c r="CW64" s="414"/>
      <c r="CX64" s="414"/>
      <c r="CY64" s="414"/>
      <c r="CZ64" s="414"/>
      <c r="DA64" s="414"/>
      <c r="DB64" s="414"/>
      <c r="DC64" s="414"/>
      <c r="DD64" s="414"/>
      <c r="DE64" s="414"/>
      <c r="DF64" s="414"/>
      <c r="DG64" s="414"/>
      <c r="DH64" s="414"/>
      <c r="DI64" s="414"/>
      <c r="DJ64" s="414"/>
      <c r="DK64" s="414"/>
      <c r="DL64" s="414"/>
      <c r="DM64" s="414"/>
      <c r="DN64" s="414"/>
      <c r="DO64" s="414"/>
      <c r="DP64" s="414"/>
      <c r="DQ64" s="414"/>
      <c r="DR64" s="414"/>
      <c r="DS64" s="414"/>
      <c r="DT64" s="414"/>
      <c r="DU64" s="414"/>
      <c r="DV64" s="414"/>
      <c r="DW64" s="414"/>
    </row>
    <row r="65" ht="15.0" customHeight="1">
      <c r="A65" s="394">
        <v>40168.0</v>
      </c>
      <c r="B65" s="302" t="s">
        <v>1546</v>
      </c>
      <c r="C65" s="302" t="s">
        <v>1547</v>
      </c>
      <c r="D65" s="422"/>
      <c r="E65" s="396" t="str">
        <f>IFERROR(__xludf.DUMMYFUNCTION("if(and(D65&lt;&gt;0,D65&lt;&gt;""""),D65/GOOGLEFINANCE(C65,""price"")-1,"""")"),"")</f>
        <v/>
      </c>
      <c r="F65" s="397">
        <f>IFERROR(__xludf.DUMMYFUNCTION("GOOGLEFINANCE(C65,""price"")"),9000.0)</f>
        <v>9000</v>
      </c>
      <c r="G65" s="396" t="str">
        <f t="shared" si="6"/>
        <v/>
      </c>
      <c r="H65" s="398">
        <v>20.0</v>
      </c>
      <c r="I65" s="398"/>
      <c r="J65" s="403"/>
      <c r="K65" s="403"/>
      <c r="L65" s="410"/>
      <c r="M65" s="402">
        <f t="shared" si="7"/>
        <v>-119.9023034</v>
      </c>
      <c r="N65" s="403">
        <f t="shared" si="8"/>
        <v>0</v>
      </c>
      <c r="O65" s="410"/>
      <c r="P65" s="411"/>
      <c r="Q65" s="402"/>
      <c r="R65" s="412"/>
      <c r="S65" s="412"/>
      <c r="T65" s="412"/>
      <c r="U65" s="413" t="s">
        <v>1548</v>
      </c>
      <c r="V65" s="414"/>
      <c r="W65" s="414"/>
      <c r="X65" s="414"/>
      <c r="Y65" s="414"/>
      <c r="Z65" s="414"/>
      <c r="AA65" s="414"/>
      <c r="AB65" s="414"/>
      <c r="AC65" s="414"/>
      <c r="AD65" s="414"/>
      <c r="AE65" s="414"/>
      <c r="AF65" s="414"/>
      <c r="AG65" s="414"/>
      <c r="AH65" s="414"/>
      <c r="AI65" s="414"/>
      <c r="AJ65" s="414"/>
      <c r="AK65" s="414"/>
      <c r="AL65" s="414"/>
      <c r="AM65" s="414"/>
      <c r="AN65" s="414"/>
      <c r="AO65" s="414"/>
      <c r="AP65" s="414"/>
      <c r="AQ65" s="414"/>
      <c r="AR65" s="414"/>
      <c r="AS65" s="414"/>
      <c r="AT65" s="414"/>
      <c r="AU65" s="414"/>
      <c r="AV65" s="414"/>
      <c r="AW65" s="414"/>
      <c r="AX65" s="414"/>
      <c r="AY65" s="414"/>
      <c r="AZ65" s="414"/>
      <c r="BA65" s="414"/>
      <c r="BB65" s="414"/>
      <c r="BC65" s="414"/>
      <c r="BD65" s="414"/>
      <c r="BE65" s="414"/>
      <c r="BF65" s="414"/>
      <c r="BG65" s="414"/>
      <c r="BH65" s="414"/>
      <c r="BI65" s="414"/>
      <c r="BJ65" s="414"/>
      <c r="BK65" s="414"/>
      <c r="BL65" s="414"/>
      <c r="BM65" s="414"/>
      <c r="BN65" s="414"/>
      <c r="BO65" s="414"/>
      <c r="BP65" s="414"/>
      <c r="BQ65" s="414"/>
      <c r="BR65" s="414"/>
      <c r="BS65" s="414"/>
      <c r="BT65" s="414"/>
      <c r="BU65" s="414"/>
      <c r="BV65" s="414"/>
      <c r="BW65" s="414"/>
      <c r="BX65" s="414"/>
      <c r="BY65" s="414"/>
      <c r="BZ65" s="414"/>
      <c r="CA65" s="414"/>
      <c r="CB65" s="414"/>
      <c r="CC65" s="414"/>
      <c r="CD65" s="414"/>
      <c r="CE65" s="414"/>
      <c r="CF65" s="414"/>
      <c r="CG65" s="414"/>
      <c r="CH65" s="414"/>
      <c r="CI65" s="414"/>
      <c r="CJ65" s="414"/>
      <c r="CK65" s="414"/>
      <c r="CL65" s="414"/>
      <c r="CM65" s="414"/>
      <c r="CN65" s="414"/>
      <c r="CO65" s="414"/>
      <c r="CP65" s="414"/>
      <c r="CQ65" s="414"/>
      <c r="CR65" s="414"/>
      <c r="CS65" s="414"/>
      <c r="CT65" s="414"/>
      <c r="CU65" s="414"/>
      <c r="CV65" s="414"/>
      <c r="CW65" s="414"/>
      <c r="CX65" s="414"/>
      <c r="CY65" s="414"/>
      <c r="CZ65" s="414"/>
      <c r="DA65" s="414"/>
      <c r="DB65" s="414"/>
      <c r="DC65" s="414"/>
      <c r="DD65" s="414"/>
      <c r="DE65" s="414"/>
      <c r="DF65" s="414"/>
      <c r="DG65" s="414"/>
      <c r="DH65" s="414"/>
      <c r="DI65" s="414"/>
      <c r="DJ65" s="414"/>
      <c r="DK65" s="414"/>
      <c r="DL65" s="414"/>
      <c r="DM65" s="414"/>
      <c r="DN65" s="414"/>
      <c r="DO65" s="414"/>
      <c r="DP65" s="414"/>
      <c r="DQ65" s="414"/>
      <c r="DR65" s="414"/>
      <c r="DS65" s="414"/>
      <c r="DT65" s="414"/>
      <c r="DU65" s="414"/>
      <c r="DV65" s="414"/>
      <c r="DW65" s="414"/>
    </row>
    <row r="66" ht="15.0" customHeight="1">
      <c r="A66" s="456">
        <v>40036.0</v>
      </c>
      <c r="B66" s="457" t="s">
        <v>1550</v>
      </c>
      <c r="C66" s="457" t="s">
        <v>1551</v>
      </c>
      <c r="D66" s="458"/>
      <c r="E66" s="460" t="str">
        <f>IFERROR(__xludf.DUMMYFUNCTION("if(and(D66&lt;&gt;0,D66&lt;&gt;""""),D66/GOOGLEFINANCE(C66,""price"")-1,"""")"),"")</f>
        <v/>
      </c>
      <c r="F66" s="462">
        <f>IFERROR(__xludf.DUMMYFUNCTION("GOOGLEFINANCE(C66,""price"")"),0.07)</f>
        <v>0.07</v>
      </c>
      <c r="G66" s="460" t="str">
        <f t="shared" si="6"/>
        <v/>
      </c>
      <c r="H66" s="463">
        <v>5.0</v>
      </c>
      <c r="I66" s="463"/>
      <c r="J66" s="466"/>
      <c r="K66" s="466"/>
      <c r="L66" s="467"/>
      <c r="M66" s="469">
        <f t="shared" si="7"/>
        <v>-119.9023034</v>
      </c>
      <c r="N66" s="466">
        <f t="shared" si="8"/>
        <v>0</v>
      </c>
      <c r="O66" s="467"/>
      <c r="P66" s="471"/>
      <c r="Q66" s="469"/>
      <c r="R66" s="472"/>
      <c r="S66" s="472"/>
      <c r="T66" s="472"/>
      <c r="U66" s="473" t="s">
        <v>1556</v>
      </c>
      <c r="V66" s="319"/>
      <c r="W66" s="319"/>
      <c r="X66" s="319"/>
      <c r="Y66" s="319"/>
      <c r="Z66" s="319"/>
      <c r="AA66" s="319"/>
      <c r="AB66" s="319"/>
      <c r="AC66" s="319"/>
      <c r="AD66" s="319"/>
      <c r="AE66" s="319"/>
      <c r="AF66" s="319"/>
      <c r="AG66" s="319"/>
      <c r="AH66" s="319"/>
      <c r="AI66" s="319"/>
      <c r="AJ66" s="319"/>
      <c r="AK66" s="319"/>
      <c r="AL66" s="319"/>
      <c r="AM66" s="319"/>
      <c r="AN66" s="319"/>
      <c r="AO66" s="319"/>
      <c r="AP66" s="319"/>
      <c r="AQ66" s="319"/>
      <c r="AR66" s="319"/>
      <c r="AS66" s="319"/>
      <c r="AT66" s="319"/>
      <c r="AU66" s="319"/>
      <c r="AV66" s="319"/>
      <c r="AW66" s="319"/>
      <c r="AX66" s="319"/>
      <c r="AY66" s="319"/>
      <c r="AZ66" s="319"/>
      <c r="BA66" s="319"/>
      <c r="BB66" s="319"/>
      <c r="BC66" s="319"/>
      <c r="BD66" s="319"/>
      <c r="BE66" s="319"/>
      <c r="BF66" s="319"/>
      <c r="BG66" s="319"/>
      <c r="BH66" s="319"/>
      <c r="BI66" s="319"/>
      <c r="BJ66" s="319"/>
      <c r="BK66" s="319"/>
      <c r="BL66" s="319"/>
      <c r="BM66" s="319"/>
      <c r="BN66" s="319"/>
      <c r="BO66" s="319"/>
      <c r="BP66" s="319"/>
      <c r="BQ66" s="319"/>
      <c r="BR66" s="319"/>
      <c r="BS66" s="319"/>
      <c r="BT66" s="319"/>
      <c r="BU66" s="319"/>
      <c r="BV66" s="319"/>
      <c r="BW66" s="319"/>
      <c r="BX66" s="319"/>
      <c r="BY66" s="319"/>
      <c r="BZ66" s="319"/>
      <c r="CA66" s="319"/>
      <c r="CB66" s="319"/>
      <c r="CC66" s="319"/>
      <c r="CD66" s="319"/>
      <c r="CE66" s="319"/>
      <c r="CF66" s="319"/>
      <c r="CG66" s="319"/>
      <c r="CH66" s="319"/>
      <c r="CI66" s="319"/>
      <c r="CJ66" s="319"/>
      <c r="CK66" s="319"/>
      <c r="CL66" s="319"/>
      <c r="CM66" s="319"/>
      <c r="CN66" s="319"/>
      <c r="CO66" s="319"/>
      <c r="CP66" s="319"/>
      <c r="CQ66" s="319"/>
      <c r="CR66" s="319"/>
      <c r="CS66" s="319"/>
      <c r="CT66" s="319"/>
      <c r="CU66" s="319"/>
      <c r="CV66" s="319"/>
      <c r="CW66" s="319"/>
      <c r="CX66" s="319"/>
      <c r="CY66" s="319"/>
      <c r="CZ66" s="319"/>
      <c r="DA66" s="319"/>
      <c r="DB66" s="319"/>
      <c r="DC66" s="319"/>
      <c r="DD66" s="319"/>
      <c r="DE66" s="319"/>
      <c r="DF66" s="319"/>
      <c r="DG66" s="319"/>
      <c r="DH66" s="319"/>
      <c r="DI66" s="319"/>
      <c r="DJ66" s="319"/>
      <c r="DK66" s="319"/>
      <c r="DL66" s="319"/>
      <c r="DM66" s="319"/>
      <c r="DN66" s="319"/>
      <c r="DO66" s="319"/>
      <c r="DP66" s="319"/>
      <c r="DQ66" s="319"/>
      <c r="DR66" s="319"/>
      <c r="DS66" s="319"/>
      <c r="DT66" s="319"/>
      <c r="DU66" s="319"/>
      <c r="DV66" s="319"/>
      <c r="DW66" s="319"/>
    </row>
    <row r="67" ht="15.0" customHeight="1">
      <c r="A67" s="372">
        <v>42729.0</v>
      </c>
      <c r="B67" s="384" t="s">
        <v>1559</v>
      </c>
      <c r="C67" s="384" t="s">
        <v>1561</v>
      </c>
      <c r="D67" s="384"/>
      <c r="E67" s="374" t="str">
        <f>IFERROR(__xludf.DUMMYFUNCTION("if(and(D67&lt;&gt;0,D67&lt;&gt;""""),D67/GOOGLEFINANCE(C67,""price"")-1,"""")"),"")</f>
        <v/>
      </c>
      <c r="F67" s="375">
        <f>IFERROR(__xludf.DUMMYFUNCTION("GOOGLEFINANCE(C67,""price"")"),114.1)</f>
        <v>114.1</v>
      </c>
      <c r="G67" s="374">
        <f t="shared" si="6"/>
        <v>-0.5630509873</v>
      </c>
      <c r="H67" s="376"/>
      <c r="I67" s="376">
        <f>2.53*($I$1+5)</f>
        <v>49.85588235</v>
      </c>
      <c r="J67" s="380"/>
      <c r="K67" s="380"/>
      <c r="L67" s="389"/>
      <c r="M67" s="379">
        <f t="shared" si="7"/>
        <v>-119.9023034</v>
      </c>
      <c r="N67" s="380">
        <f t="shared" si="8"/>
        <v>0</v>
      </c>
      <c r="O67" s="389"/>
      <c r="P67" s="390"/>
      <c r="Q67" s="391"/>
      <c r="R67" s="387"/>
      <c r="S67" s="387"/>
      <c r="T67" s="387"/>
      <c r="U67" s="386" t="s">
        <v>1568</v>
      </c>
      <c r="V67" s="344"/>
      <c r="W67" s="344"/>
      <c r="X67" s="344"/>
      <c r="Y67" s="344"/>
      <c r="Z67" s="344"/>
      <c r="AA67" s="344"/>
      <c r="AB67" s="344"/>
      <c r="AC67" s="344"/>
      <c r="AD67" s="344"/>
      <c r="AE67" s="344"/>
      <c r="AF67" s="344"/>
      <c r="AG67" s="344"/>
      <c r="AH67" s="344"/>
      <c r="AI67" s="344"/>
      <c r="AJ67" s="344"/>
      <c r="AK67" s="344"/>
      <c r="AL67" s="344"/>
      <c r="AM67" s="344"/>
      <c r="AN67" s="344"/>
      <c r="AO67" s="344"/>
      <c r="AP67" s="344"/>
      <c r="AQ67" s="344"/>
      <c r="AR67" s="344"/>
      <c r="AS67" s="344"/>
      <c r="AT67" s="344"/>
      <c r="AU67" s="344"/>
      <c r="AV67" s="344"/>
      <c r="AW67" s="344"/>
      <c r="AX67" s="344"/>
      <c r="AY67" s="344"/>
      <c r="AZ67" s="344"/>
      <c r="BA67" s="344"/>
      <c r="BB67" s="344"/>
      <c r="BC67" s="344"/>
      <c r="BD67" s="344"/>
      <c r="BE67" s="344"/>
      <c r="BF67" s="344"/>
      <c r="BG67" s="344"/>
      <c r="BH67" s="344"/>
      <c r="BI67" s="344"/>
      <c r="BJ67" s="344"/>
      <c r="BK67" s="344"/>
      <c r="BL67" s="344"/>
      <c r="BM67" s="344"/>
      <c r="BN67" s="344"/>
      <c r="BO67" s="344"/>
      <c r="BP67" s="344"/>
      <c r="BQ67" s="344"/>
      <c r="BR67" s="344"/>
      <c r="BS67" s="344"/>
      <c r="BT67" s="344"/>
      <c r="BU67" s="344"/>
      <c r="BV67" s="344"/>
      <c r="BW67" s="344"/>
      <c r="BX67" s="344"/>
      <c r="BY67" s="344"/>
      <c r="BZ67" s="344"/>
      <c r="CA67" s="344"/>
      <c r="CB67" s="344"/>
      <c r="CC67" s="344"/>
      <c r="CD67" s="344"/>
      <c r="CE67" s="344"/>
      <c r="CF67" s="344"/>
      <c r="CG67" s="344"/>
      <c r="CH67" s="344"/>
      <c r="CI67" s="344"/>
      <c r="CJ67" s="344"/>
      <c r="CK67" s="344"/>
      <c r="CL67" s="344"/>
      <c r="CM67" s="344"/>
      <c r="CN67" s="344"/>
      <c r="CO67" s="344"/>
      <c r="CP67" s="344"/>
      <c r="CQ67" s="344"/>
      <c r="CR67" s="344"/>
      <c r="CS67" s="344"/>
      <c r="CT67" s="344"/>
      <c r="CU67" s="344"/>
      <c r="CV67" s="344"/>
      <c r="CW67" s="344"/>
      <c r="CX67" s="344"/>
      <c r="CY67" s="344"/>
      <c r="CZ67" s="344"/>
      <c r="DA67" s="344"/>
      <c r="DB67" s="344"/>
      <c r="DC67" s="344"/>
      <c r="DD67" s="344"/>
      <c r="DE67" s="344"/>
      <c r="DF67" s="344"/>
      <c r="DG67" s="344"/>
      <c r="DH67" s="344"/>
      <c r="DI67" s="344"/>
      <c r="DJ67" s="344"/>
      <c r="DK67" s="344"/>
      <c r="DL67" s="344"/>
      <c r="DM67" s="344"/>
      <c r="DN67" s="344"/>
      <c r="DO67" s="344"/>
      <c r="DP67" s="344"/>
      <c r="DQ67" s="344"/>
      <c r="DR67" s="344"/>
      <c r="DS67" s="344"/>
      <c r="DT67" s="344"/>
      <c r="DU67" s="344"/>
      <c r="DV67" s="344"/>
      <c r="DW67" s="344"/>
    </row>
    <row r="68" ht="15.0" customHeight="1">
      <c r="A68" s="456">
        <v>40036.0</v>
      </c>
      <c r="B68" s="477" t="s">
        <v>1569</v>
      </c>
      <c r="C68" s="477" t="s">
        <v>1570</v>
      </c>
      <c r="D68" s="479"/>
      <c r="E68" s="480" t="str">
        <f>IFERROR(__xludf.DUMMYFUNCTION("if(and(D68&lt;&gt;0,D68&lt;&gt;""""),D68/GOOGLEFINANCE(C68,""price"")-1,"""")"),"")</f>
        <v/>
      </c>
      <c r="F68" s="481">
        <f>IFERROR(__xludf.DUMMYFUNCTION("GOOGLEFINANCE(C68,""price"")"),25.25)</f>
        <v>25.25</v>
      </c>
      <c r="G68" s="480" t="str">
        <f t="shared" si="6"/>
        <v/>
      </c>
      <c r="H68" s="482">
        <v>6.5</v>
      </c>
      <c r="I68" s="482"/>
      <c r="J68" s="483"/>
      <c r="K68" s="483"/>
      <c r="L68" s="484"/>
      <c r="M68" s="486">
        <f t="shared" si="7"/>
        <v>-119.9023034</v>
      </c>
      <c r="N68" s="483">
        <f t="shared" si="8"/>
        <v>0</v>
      </c>
      <c r="O68" s="484"/>
      <c r="P68" s="487"/>
      <c r="Q68" s="486"/>
      <c r="R68" s="489"/>
      <c r="S68" s="489"/>
      <c r="T68" s="489"/>
      <c r="U68" s="490"/>
      <c r="V68" s="319"/>
      <c r="W68" s="319"/>
      <c r="X68" s="319"/>
      <c r="Y68" s="319"/>
      <c r="Z68" s="319"/>
      <c r="AA68" s="319"/>
      <c r="AB68" s="319"/>
      <c r="AC68" s="319"/>
      <c r="AD68" s="319"/>
      <c r="AE68" s="319"/>
      <c r="AF68" s="319"/>
      <c r="AG68" s="319"/>
      <c r="AH68" s="319"/>
      <c r="AI68" s="319"/>
      <c r="AJ68" s="319"/>
      <c r="AK68" s="319"/>
      <c r="AL68" s="319"/>
      <c r="AM68" s="319"/>
      <c r="AN68" s="319"/>
      <c r="AO68" s="319"/>
      <c r="AP68" s="319"/>
      <c r="AQ68" s="319"/>
      <c r="AR68" s="319"/>
      <c r="AS68" s="319"/>
      <c r="AT68" s="319"/>
      <c r="AU68" s="319"/>
      <c r="AV68" s="319"/>
      <c r="AW68" s="319"/>
      <c r="AX68" s="319"/>
      <c r="AY68" s="319"/>
      <c r="AZ68" s="319"/>
      <c r="BA68" s="319"/>
      <c r="BB68" s="319"/>
      <c r="BC68" s="319"/>
      <c r="BD68" s="319"/>
      <c r="BE68" s="319"/>
      <c r="BF68" s="319"/>
      <c r="BG68" s="319"/>
      <c r="BH68" s="319"/>
      <c r="BI68" s="319"/>
      <c r="BJ68" s="319"/>
      <c r="BK68" s="319"/>
      <c r="BL68" s="319"/>
      <c r="BM68" s="319"/>
      <c r="BN68" s="319"/>
      <c r="BO68" s="319"/>
      <c r="BP68" s="319"/>
      <c r="BQ68" s="319"/>
      <c r="BR68" s="319"/>
      <c r="BS68" s="319"/>
      <c r="BT68" s="319"/>
      <c r="BU68" s="319"/>
      <c r="BV68" s="319"/>
      <c r="BW68" s="319"/>
      <c r="BX68" s="319"/>
      <c r="BY68" s="319"/>
      <c r="BZ68" s="319"/>
      <c r="CA68" s="319"/>
      <c r="CB68" s="319"/>
      <c r="CC68" s="319"/>
      <c r="CD68" s="319"/>
      <c r="CE68" s="319"/>
      <c r="CF68" s="319"/>
      <c r="CG68" s="319"/>
      <c r="CH68" s="319"/>
      <c r="CI68" s="319"/>
      <c r="CJ68" s="319"/>
      <c r="CK68" s="319"/>
      <c r="CL68" s="319"/>
      <c r="CM68" s="319"/>
      <c r="CN68" s="319"/>
      <c r="CO68" s="319"/>
      <c r="CP68" s="319"/>
      <c r="CQ68" s="319"/>
      <c r="CR68" s="319"/>
      <c r="CS68" s="319"/>
      <c r="CT68" s="319"/>
      <c r="CU68" s="319"/>
      <c r="CV68" s="319"/>
      <c r="CW68" s="319"/>
      <c r="CX68" s="319"/>
      <c r="CY68" s="319"/>
      <c r="CZ68" s="319"/>
      <c r="DA68" s="319"/>
      <c r="DB68" s="319"/>
      <c r="DC68" s="319"/>
      <c r="DD68" s="319"/>
      <c r="DE68" s="319"/>
      <c r="DF68" s="319"/>
      <c r="DG68" s="319"/>
      <c r="DH68" s="319"/>
      <c r="DI68" s="319"/>
      <c r="DJ68" s="319"/>
      <c r="DK68" s="319"/>
      <c r="DL68" s="319"/>
      <c r="DM68" s="319"/>
      <c r="DN68" s="319"/>
      <c r="DO68" s="319"/>
      <c r="DP68" s="319"/>
      <c r="DQ68" s="319"/>
      <c r="DR68" s="319"/>
      <c r="DS68" s="319"/>
      <c r="DT68" s="319"/>
      <c r="DU68" s="319"/>
      <c r="DV68" s="319"/>
      <c r="DW68" s="319"/>
    </row>
    <row r="69" ht="15.0" customHeight="1">
      <c r="A69" s="372">
        <v>42860.0</v>
      </c>
      <c r="B69" s="384" t="s">
        <v>1575</v>
      </c>
      <c r="C69" s="384" t="s">
        <v>1576</v>
      </c>
      <c r="D69" s="384">
        <v>42.5</v>
      </c>
      <c r="E69" s="374">
        <f>IFERROR(__xludf.DUMMYFUNCTION("if(and(D69&lt;&gt;0,D69&lt;&gt;""""),D69/GOOGLEFINANCE(C69,""price"")-1,"""")"),1.5373134328358211)</f>
        <v>1.537313433</v>
      </c>
      <c r="F69" s="375">
        <f>IFERROR(__xludf.DUMMYFUNCTION("GOOGLEFINANCE(C69,""price"")"),16.75)</f>
        <v>16.75</v>
      </c>
      <c r="G69" s="374">
        <f t="shared" si="6"/>
        <v>0.4527720941</v>
      </c>
      <c r="H69" s="376"/>
      <c r="I69" s="376">
        <f t="shared" ref="I69:I70" si="30">N69*($I$1+O69*100)</f>
        <v>24.33393258</v>
      </c>
      <c r="J69" s="385">
        <v>3.99</v>
      </c>
      <c r="K69" s="385">
        <v>5.43</v>
      </c>
      <c r="L69" s="378">
        <v>43830.0</v>
      </c>
      <c r="M69" s="379">
        <f t="shared" si="7"/>
        <v>0.179888422</v>
      </c>
      <c r="N69" s="380">
        <f t="shared" si="8"/>
        <v>5.170960672</v>
      </c>
      <c r="O69" s="370">
        <v>-0.1</v>
      </c>
      <c r="P69" s="370"/>
      <c r="Q69" s="371"/>
      <c r="R69" s="378"/>
      <c r="S69" s="378">
        <v>43650.0</v>
      </c>
      <c r="T69" s="381" t="s">
        <v>1223</v>
      </c>
      <c r="U69" s="382" t="s">
        <v>1578</v>
      </c>
      <c r="V69" s="358"/>
      <c r="W69" s="358"/>
      <c r="X69" s="358"/>
      <c r="Y69" s="358"/>
      <c r="Z69" s="358"/>
      <c r="AA69" s="358"/>
      <c r="AB69" s="358"/>
      <c r="AC69" s="358"/>
      <c r="AD69" s="358"/>
      <c r="AE69" s="358"/>
      <c r="AF69" s="358"/>
      <c r="AG69" s="358"/>
      <c r="AH69" s="358"/>
      <c r="AI69" s="358"/>
      <c r="AJ69" s="358"/>
      <c r="AK69" s="358"/>
      <c r="AL69" s="358"/>
      <c r="AM69" s="358"/>
      <c r="AN69" s="358"/>
      <c r="AO69" s="358"/>
      <c r="AP69" s="358"/>
      <c r="AQ69" s="358"/>
      <c r="AR69" s="358"/>
      <c r="AS69" s="358"/>
      <c r="AT69" s="358"/>
      <c r="AU69" s="358"/>
      <c r="AV69" s="358"/>
      <c r="AW69" s="358"/>
      <c r="AX69" s="358"/>
      <c r="AY69" s="358"/>
      <c r="AZ69" s="358"/>
      <c r="BA69" s="358"/>
      <c r="BB69" s="358"/>
      <c r="BC69" s="358"/>
      <c r="BD69" s="358"/>
      <c r="BE69" s="358"/>
      <c r="BF69" s="358"/>
      <c r="BG69" s="358"/>
      <c r="BH69" s="358"/>
      <c r="BI69" s="358"/>
      <c r="BJ69" s="358"/>
      <c r="BK69" s="358"/>
      <c r="BL69" s="358"/>
      <c r="BM69" s="358"/>
      <c r="BN69" s="358"/>
      <c r="BO69" s="358"/>
      <c r="BP69" s="358"/>
      <c r="BQ69" s="358"/>
      <c r="BR69" s="358"/>
      <c r="BS69" s="358"/>
      <c r="BT69" s="358"/>
      <c r="BU69" s="358"/>
      <c r="BV69" s="358"/>
      <c r="BW69" s="358"/>
      <c r="BX69" s="358"/>
      <c r="BY69" s="358"/>
      <c r="BZ69" s="358"/>
      <c r="CA69" s="358"/>
      <c r="CB69" s="358"/>
      <c r="CC69" s="358"/>
      <c r="CD69" s="358"/>
      <c r="CE69" s="358"/>
      <c r="CF69" s="358"/>
      <c r="CG69" s="358"/>
      <c r="CH69" s="358"/>
      <c r="CI69" s="358"/>
      <c r="CJ69" s="358"/>
      <c r="CK69" s="358"/>
      <c r="CL69" s="358"/>
      <c r="CM69" s="358"/>
      <c r="CN69" s="358"/>
      <c r="CO69" s="358"/>
      <c r="CP69" s="358"/>
      <c r="CQ69" s="358"/>
      <c r="CR69" s="358"/>
      <c r="CS69" s="358"/>
      <c r="CT69" s="358"/>
      <c r="CU69" s="358"/>
      <c r="CV69" s="358"/>
      <c r="CW69" s="358"/>
      <c r="CX69" s="358"/>
      <c r="CY69" s="358"/>
      <c r="CZ69" s="358"/>
      <c r="DA69" s="358"/>
      <c r="DB69" s="358"/>
      <c r="DC69" s="358"/>
      <c r="DD69" s="358"/>
      <c r="DE69" s="358"/>
      <c r="DF69" s="358"/>
      <c r="DG69" s="358"/>
      <c r="DH69" s="358"/>
      <c r="DI69" s="358"/>
      <c r="DJ69" s="358"/>
      <c r="DK69" s="358"/>
      <c r="DL69" s="358"/>
      <c r="DM69" s="358"/>
      <c r="DN69" s="358"/>
      <c r="DO69" s="358"/>
      <c r="DP69" s="358"/>
      <c r="DQ69" s="358"/>
      <c r="DR69" s="358"/>
      <c r="DS69" s="358"/>
      <c r="DT69" s="358"/>
      <c r="DU69" s="358"/>
      <c r="DV69" s="358"/>
      <c r="DW69" s="358"/>
    </row>
    <row r="70" ht="15.0" customHeight="1">
      <c r="A70" s="372">
        <v>42484.0</v>
      </c>
      <c r="B70" s="384" t="s">
        <v>1579</v>
      </c>
      <c r="C70" s="384" t="s">
        <v>1290</v>
      </c>
      <c r="D70" s="384">
        <v>100.0</v>
      </c>
      <c r="E70" s="374">
        <f>IFERROR(__xludf.DUMMYFUNCTION("if(and(D70&lt;&gt;0,D70&lt;&gt;""""),D70/GOOGLEFINANCE(C70,""price"")-1,"""")"),-0.11363233469243039)</f>
        <v>-0.1136323347</v>
      </c>
      <c r="F70" s="375">
        <f>IFERROR(__xludf.DUMMYFUNCTION("GOOGLEFINANCE(C70,""price"")"),112.82)</f>
        <v>112.82</v>
      </c>
      <c r="G70" s="374">
        <f t="shared" si="6"/>
        <v>0.009620031861</v>
      </c>
      <c r="H70" s="376"/>
      <c r="I70" s="376">
        <f t="shared" si="30"/>
        <v>113.905332</v>
      </c>
      <c r="J70" s="377">
        <v>4.56</v>
      </c>
      <c r="K70" s="380">
        <f>J70*1.07</f>
        <v>4.8792</v>
      </c>
      <c r="L70" s="491">
        <v>43343.0</v>
      </c>
      <c r="M70" s="379">
        <f t="shared" si="7"/>
        <v>-1.154358151</v>
      </c>
      <c r="N70" s="380">
        <f t="shared" si="8"/>
        <v>5.247671122</v>
      </c>
      <c r="O70" s="370">
        <v>0.07</v>
      </c>
      <c r="P70" s="370"/>
      <c r="Q70" s="371"/>
      <c r="R70" s="378"/>
      <c r="S70" s="378">
        <v>43471.0</v>
      </c>
      <c r="T70" s="381" t="s">
        <v>1223</v>
      </c>
      <c r="U70" s="386" t="s">
        <v>1568</v>
      </c>
      <c r="V70" s="344"/>
      <c r="W70" s="344"/>
      <c r="X70" s="344"/>
      <c r="Y70" s="344"/>
      <c r="Z70" s="344"/>
      <c r="AA70" s="344"/>
      <c r="AB70" s="344"/>
      <c r="AC70" s="344"/>
      <c r="AD70" s="344"/>
      <c r="AE70" s="344"/>
      <c r="AF70" s="344"/>
      <c r="AG70" s="344"/>
      <c r="AH70" s="344"/>
      <c r="AI70" s="344"/>
      <c r="AJ70" s="344"/>
      <c r="AK70" s="344"/>
      <c r="AL70" s="344"/>
      <c r="AM70" s="344"/>
      <c r="AN70" s="344"/>
      <c r="AO70" s="344"/>
      <c r="AP70" s="344"/>
      <c r="AQ70" s="344"/>
      <c r="AR70" s="344"/>
      <c r="AS70" s="344"/>
      <c r="AT70" s="344"/>
      <c r="AU70" s="344"/>
      <c r="AV70" s="344"/>
      <c r="AW70" s="344"/>
      <c r="AX70" s="344"/>
      <c r="AY70" s="344"/>
      <c r="AZ70" s="344"/>
      <c r="BA70" s="344"/>
      <c r="BB70" s="344"/>
      <c r="BC70" s="344"/>
      <c r="BD70" s="344"/>
      <c r="BE70" s="344"/>
      <c r="BF70" s="344"/>
      <c r="BG70" s="344"/>
      <c r="BH70" s="344"/>
      <c r="BI70" s="344"/>
      <c r="BJ70" s="344"/>
      <c r="BK70" s="344"/>
      <c r="BL70" s="344"/>
      <c r="BM70" s="344"/>
      <c r="BN70" s="344"/>
      <c r="BO70" s="344"/>
      <c r="BP70" s="344"/>
      <c r="BQ70" s="344"/>
      <c r="BR70" s="344"/>
      <c r="BS70" s="344"/>
      <c r="BT70" s="344"/>
      <c r="BU70" s="344"/>
      <c r="BV70" s="344"/>
      <c r="BW70" s="344"/>
      <c r="BX70" s="344"/>
      <c r="BY70" s="344"/>
      <c r="BZ70" s="344"/>
      <c r="CA70" s="344"/>
      <c r="CB70" s="344"/>
      <c r="CC70" s="344"/>
      <c r="CD70" s="344"/>
      <c r="CE70" s="344"/>
      <c r="CF70" s="344"/>
      <c r="CG70" s="344"/>
      <c r="CH70" s="344"/>
      <c r="CI70" s="344"/>
      <c r="CJ70" s="344"/>
      <c r="CK70" s="344"/>
      <c r="CL70" s="344"/>
      <c r="CM70" s="344"/>
      <c r="CN70" s="344"/>
      <c r="CO70" s="344"/>
      <c r="CP70" s="344"/>
      <c r="CQ70" s="344"/>
      <c r="CR70" s="344"/>
      <c r="CS70" s="344"/>
      <c r="CT70" s="344"/>
      <c r="CU70" s="344"/>
      <c r="CV70" s="344"/>
      <c r="CW70" s="344"/>
      <c r="CX70" s="344"/>
      <c r="CY70" s="344"/>
      <c r="CZ70" s="344"/>
      <c r="DA70" s="344"/>
      <c r="DB70" s="344"/>
      <c r="DC70" s="344"/>
      <c r="DD70" s="344"/>
      <c r="DE70" s="344"/>
      <c r="DF70" s="344"/>
      <c r="DG70" s="344"/>
      <c r="DH70" s="344"/>
      <c r="DI70" s="344"/>
      <c r="DJ70" s="344"/>
      <c r="DK70" s="344"/>
      <c r="DL70" s="344"/>
      <c r="DM70" s="344"/>
      <c r="DN70" s="344"/>
      <c r="DO70" s="344"/>
      <c r="DP70" s="344"/>
      <c r="DQ70" s="344"/>
      <c r="DR70" s="344"/>
      <c r="DS70" s="344"/>
      <c r="DT70" s="344"/>
      <c r="DU70" s="344"/>
      <c r="DV70" s="344"/>
      <c r="DW70" s="344"/>
    </row>
    <row r="71" ht="15.0" customHeight="1">
      <c r="A71" s="494">
        <v>40401.0</v>
      </c>
      <c r="B71" s="414" t="s">
        <v>1583</v>
      </c>
      <c r="C71" s="414" t="s">
        <v>1584</v>
      </c>
      <c r="D71" s="495"/>
      <c r="E71" s="441" t="str">
        <f>IFERROR(__xludf.DUMMYFUNCTION("if(and(D71&lt;&gt;0,D71&lt;&gt;""""),D71/GOOGLEFINANCE(C71,""price"")-1,"""")"),"")</f>
        <v/>
      </c>
      <c r="F71" s="442">
        <f>IFERROR(__xludf.DUMMYFUNCTION("GOOGLEFINANCE(C71,""price"")"),20.55)</f>
        <v>20.55</v>
      </c>
      <c r="G71" s="441" t="str">
        <f t="shared" si="6"/>
        <v/>
      </c>
      <c r="H71" s="443">
        <v>35.0</v>
      </c>
      <c r="I71" s="443"/>
      <c r="J71" s="445"/>
      <c r="K71" s="445"/>
      <c r="L71" s="446"/>
      <c r="M71" s="447">
        <f t="shared" si="7"/>
        <v>-119.9023034</v>
      </c>
      <c r="N71" s="445">
        <f t="shared" si="8"/>
        <v>0</v>
      </c>
      <c r="O71" s="446"/>
      <c r="P71" s="448"/>
      <c r="Q71" s="447"/>
      <c r="R71" s="449"/>
      <c r="S71" s="449"/>
      <c r="T71" s="449"/>
      <c r="U71" s="450" t="s">
        <v>1587</v>
      </c>
      <c r="V71" s="414"/>
      <c r="W71" s="414"/>
      <c r="X71" s="414"/>
      <c r="Y71" s="414"/>
      <c r="Z71" s="414"/>
      <c r="AA71" s="414"/>
      <c r="AB71" s="414"/>
      <c r="AC71" s="414"/>
      <c r="AD71" s="414"/>
      <c r="AE71" s="414"/>
      <c r="AF71" s="414"/>
      <c r="AG71" s="414"/>
      <c r="AH71" s="414"/>
      <c r="AI71" s="414"/>
      <c r="AJ71" s="414"/>
      <c r="AK71" s="414"/>
      <c r="AL71" s="414"/>
      <c r="AM71" s="414"/>
      <c r="AN71" s="414"/>
      <c r="AO71" s="414"/>
      <c r="AP71" s="414"/>
      <c r="AQ71" s="414"/>
      <c r="AR71" s="414"/>
      <c r="AS71" s="414"/>
      <c r="AT71" s="414"/>
      <c r="AU71" s="414"/>
      <c r="AV71" s="414"/>
      <c r="AW71" s="414"/>
      <c r="AX71" s="414"/>
      <c r="AY71" s="414"/>
      <c r="AZ71" s="414"/>
      <c r="BA71" s="414"/>
      <c r="BB71" s="414"/>
      <c r="BC71" s="414"/>
      <c r="BD71" s="414"/>
      <c r="BE71" s="414"/>
      <c r="BF71" s="414"/>
      <c r="BG71" s="414"/>
      <c r="BH71" s="414"/>
      <c r="BI71" s="414"/>
      <c r="BJ71" s="414"/>
      <c r="BK71" s="414"/>
      <c r="BL71" s="414"/>
      <c r="BM71" s="414"/>
      <c r="BN71" s="414"/>
      <c r="BO71" s="414"/>
      <c r="BP71" s="414"/>
      <c r="BQ71" s="414"/>
      <c r="BR71" s="414"/>
      <c r="BS71" s="414"/>
      <c r="BT71" s="414"/>
      <c r="BU71" s="414"/>
      <c r="BV71" s="414"/>
      <c r="BW71" s="414"/>
      <c r="BX71" s="414"/>
      <c r="BY71" s="414"/>
      <c r="BZ71" s="414"/>
      <c r="CA71" s="414"/>
      <c r="CB71" s="414"/>
      <c r="CC71" s="414"/>
      <c r="CD71" s="414"/>
      <c r="CE71" s="414"/>
      <c r="CF71" s="414"/>
      <c r="CG71" s="414"/>
      <c r="CH71" s="414"/>
      <c r="CI71" s="414"/>
      <c r="CJ71" s="414"/>
      <c r="CK71" s="414"/>
      <c r="CL71" s="414"/>
      <c r="CM71" s="414"/>
      <c r="CN71" s="414"/>
      <c r="CO71" s="414"/>
      <c r="CP71" s="414"/>
      <c r="CQ71" s="414"/>
      <c r="CR71" s="414"/>
      <c r="CS71" s="414"/>
      <c r="CT71" s="414"/>
      <c r="CU71" s="414"/>
      <c r="CV71" s="414"/>
      <c r="CW71" s="414"/>
      <c r="CX71" s="414"/>
      <c r="CY71" s="414"/>
      <c r="CZ71" s="414"/>
      <c r="DA71" s="414"/>
      <c r="DB71" s="414"/>
      <c r="DC71" s="414"/>
      <c r="DD71" s="414"/>
      <c r="DE71" s="414"/>
      <c r="DF71" s="414"/>
      <c r="DG71" s="414"/>
      <c r="DH71" s="414"/>
      <c r="DI71" s="414"/>
      <c r="DJ71" s="414"/>
      <c r="DK71" s="414"/>
      <c r="DL71" s="414"/>
      <c r="DM71" s="414"/>
      <c r="DN71" s="414"/>
      <c r="DO71" s="414"/>
      <c r="DP71" s="414"/>
      <c r="DQ71" s="414"/>
      <c r="DR71" s="414"/>
      <c r="DS71" s="414"/>
      <c r="DT71" s="414"/>
      <c r="DU71" s="414"/>
      <c r="DV71" s="414"/>
      <c r="DW71" s="414"/>
    </row>
    <row r="72" ht="15.0" customHeight="1">
      <c r="A72" s="372">
        <v>42152.0</v>
      </c>
      <c r="B72" s="384" t="s">
        <v>1588</v>
      </c>
      <c r="C72" s="384" t="s">
        <v>1589</v>
      </c>
      <c r="D72" s="384"/>
      <c r="E72" s="374" t="str">
        <f>IFERROR(__xludf.DUMMYFUNCTION("if(and(D72&lt;&gt;0,D72&lt;&gt;""""),D72/GOOGLEFINANCE(C72,""price"")-1,"""")"),"")</f>
        <v/>
      </c>
      <c r="F72" s="375">
        <f>IFERROR(__xludf.DUMMYFUNCTION("GOOGLEFINANCE(C72,""price"")"),49.7)</f>
        <v>49.7</v>
      </c>
      <c r="G72" s="374">
        <f t="shared" si="6"/>
        <v>-0.3029944372</v>
      </c>
      <c r="H72" s="376"/>
      <c r="I72" s="376">
        <f>1.56*($I$1+7.5)</f>
        <v>34.64117647</v>
      </c>
      <c r="J72" s="380"/>
      <c r="K72" s="380"/>
      <c r="L72" s="389"/>
      <c r="M72" s="379">
        <f t="shared" si="7"/>
        <v>-119.9023034</v>
      </c>
      <c r="N72" s="380">
        <f t="shared" si="8"/>
        <v>0</v>
      </c>
      <c r="O72" s="389"/>
      <c r="P72" s="390"/>
      <c r="Q72" s="391"/>
      <c r="R72" s="387"/>
      <c r="S72" s="387"/>
      <c r="T72" s="387"/>
      <c r="U72" s="386" t="s">
        <v>1593</v>
      </c>
      <c r="V72" s="344"/>
      <c r="W72" s="344"/>
      <c r="X72" s="344"/>
      <c r="Y72" s="344"/>
      <c r="Z72" s="344"/>
      <c r="AA72" s="344"/>
      <c r="AB72" s="344"/>
      <c r="AC72" s="344"/>
      <c r="AD72" s="344"/>
      <c r="AE72" s="344"/>
      <c r="AF72" s="344"/>
      <c r="AG72" s="344"/>
      <c r="AH72" s="344"/>
      <c r="AI72" s="344"/>
      <c r="AJ72" s="344"/>
      <c r="AK72" s="344"/>
      <c r="AL72" s="344"/>
      <c r="AM72" s="344"/>
      <c r="AN72" s="344"/>
      <c r="AO72" s="344"/>
      <c r="AP72" s="344"/>
      <c r="AQ72" s="344"/>
      <c r="AR72" s="344"/>
      <c r="AS72" s="344"/>
      <c r="AT72" s="344"/>
      <c r="AU72" s="344"/>
      <c r="AV72" s="344"/>
      <c r="AW72" s="344"/>
      <c r="AX72" s="344"/>
      <c r="AY72" s="344"/>
      <c r="AZ72" s="344"/>
      <c r="BA72" s="344"/>
      <c r="BB72" s="344"/>
      <c r="BC72" s="344"/>
      <c r="BD72" s="344"/>
      <c r="BE72" s="344"/>
      <c r="BF72" s="344"/>
      <c r="BG72" s="344"/>
      <c r="BH72" s="344"/>
      <c r="BI72" s="344"/>
      <c r="BJ72" s="344"/>
      <c r="BK72" s="344"/>
      <c r="BL72" s="344"/>
      <c r="BM72" s="344"/>
      <c r="BN72" s="344"/>
      <c r="BO72" s="344"/>
      <c r="BP72" s="344"/>
      <c r="BQ72" s="344"/>
      <c r="BR72" s="344"/>
      <c r="BS72" s="344"/>
      <c r="BT72" s="344"/>
      <c r="BU72" s="344"/>
      <c r="BV72" s="344"/>
      <c r="BW72" s="344"/>
      <c r="BX72" s="344"/>
      <c r="BY72" s="344"/>
      <c r="BZ72" s="344"/>
      <c r="CA72" s="344"/>
      <c r="CB72" s="344"/>
      <c r="CC72" s="344"/>
      <c r="CD72" s="344"/>
      <c r="CE72" s="344"/>
      <c r="CF72" s="344"/>
      <c r="CG72" s="344"/>
      <c r="CH72" s="344"/>
      <c r="CI72" s="344"/>
      <c r="CJ72" s="344"/>
      <c r="CK72" s="344"/>
      <c r="CL72" s="344"/>
      <c r="CM72" s="344"/>
      <c r="CN72" s="344"/>
      <c r="CO72" s="344"/>
      <c r="CP72" s="344"/>
      <c r="CQ72" s="344"/>
      <c r="CR72" s="344"/>
      <c r="CS72" s="344"/>
      <c r="CT72" s="344"/>
      <c r="CU72" s="344"/>
      <c r="CV72" s="344"/>
      <c r="CW72" s="344"/>
      <c r="CX72" s="344"/>
      <c r="CY72" s="344"/>
      <c r="CZ72" s="344"/>
      <c r="DA72" s="344"/>
      <c r="DB72" s="344"/>
      <c r="DC72" s="344"/>
      <c r="DD72" s="344"/>
      <c r="DE72" s="344"/>
      <c r="DF72" s="344"/>
      <c r="DG72" s="344"/>
      <c r="DH72" s="344"/>
      <c r="DI72" s="344"/>
      <c r="DJ72" s="344"/>
      <c r="DK72" s="344"/>
      <c r="DL72" s="344"/>
      <c r="DM72" s="344"/>
      <c r="DN72" s="344"/>
      <c r="DO72" s="344"/>
      <c r="DP72" s="344"/>
      <c r="DQ72" s="344"/>
      <c r="DR72" s="344"/>
      <c r="DS72" s="344"/>
      <c r="DT72" s="344"/>
      <c r="DU72" s="344"/>
      <c r="DV72" s="344"/>
      <c r="DW72" s="344"/>
    </row>
    <row r="73" ht="15.0" customHeight="1">
      <c r="A73" s="394">
        <v>40460.0</v>
      </c>
      <c r="B73" s="302" t="s">
        <v>1597</v>
      </c>
      <c r="C73" s="302" t="s">
        <v>779</v>
      </c>
      <c r="D73" s="395">
        <f>240/5</f>
        <v>48</v>
      </c>
      <c r="E73" s="396">
        <f>IFERROR(__xludf.DUMMYFUNCTION("if(and(D73&lt;&gt;0,D73&lt;&gt;""""),D73/GOOGLEFINANCE(C73,""price"")-1,"""")"),0.04031209362808852)</f>
        <v>0.04031209363</v>
      </c>
      <c r="F73" s="397">
        <f>IFERROR(__xludf.DUMMYFUNCTION("GOOGLEFINANCE(C73,""price"")"),46.14)</f>
        <v>46.14</v>
      </c>
      <c r="G73" s="396">
        <f t="shared" si="6"/>
        <v>0.4466840052</v>
      </c>
      <c r="H73" s="398">
        <v>70.0</v>
      </c>
      <c r="I73" s="398">
        <f>max(4.45*15)</f>
        <v>66.75</v>
      </c>
      <c r="J73" s="403"/>
      <c r="K73" s="403"/>
      <c r="L73" s="410"/>
      <c r="M73" s="402">
        <f t="shared" si="7"/>
        <v>-119.9023034</v>
      </c>
      <c r="N73" s="403">
        <f t="shared" si="8"/>
        <v>0</v>
      </c>
      <c r="O73" s="410">
        <v>3.0</v>
      </c>
      <c r="P73" s="423"/>
      <c r="Q73" s="424"/>
      <c r="R73" s="425"/>
      <c r="S73" s="425"/>
      <c r="T73" s="425"/>
      <c r="U73" s="426" t="s">
        <v>1603</v>
      </c>
      <c r="V73" s="427"/>
      <c r="W73" s="427"/>
      <c r="X73" s="427"/>
      <c r="Y73" s="427"/>
      <c r="Z73" s="427"/>
      <c r="AA73" s="427"/>
      <c r="AB73" s="427"/>
      <c r="AC73" s="427"/>
      <c r="AD73" s="427"/>
      <c r="AE73" s="427"/>
      <c r="AF73" s="427"/>
      <c r="AG73" s="427"/>
      <c r="AH73" s="427"/>
      <c r="AI73" s="427"/>
      <c r="AJ73" s="427"/>
      <c r="AK73" s="427"/>
      <c r="AL73" s="427"/>
      <c r="AM73" s="427"/>
      <c r="AN73" s="427"/>
      <c r="AO73" s="427"/>
      <c r="AP73" s="427"/>
      <c r="AQ73" s="427"/>
      <c r="AR73" s="427"/>
      <c r="AS73" s="427"/>
      <c r="AT73" s="427"/>
      <c r="AU73" s="427"/>
      <c r="AV73" s="427"/>
      <c r="AW73" s="427"/>
      <c r="AX73" s="427"/>
      <c r="AY73" s="427"/>
      <c r="AZ73" s="427"/>
      <c r="BA73" s="427"/>
      <c r="BB73" s="427"/>
      <c r="BC73" s="427"/>
      <c r="BD73" s="427"/>
      <c r="BE73" s="427"/>
      <c r="BF73" s="427"/>
      <c r="BG73" s="427"/>
      <c r="BH73" s="427"/>
      <c r="BI73" s="427"/>
      <c r="BJ73" s="427"/>
      <c r="BK73" s="427"/>
      <c r="BL73" s="427"/>
      <c r="BM73" s="427"/>
      <c r="BN73" s="427"/>
      <c r="BO73" s="427"/>
      <c r="BP73" s="427"/>
      <c r="BQ73" s="427"/>
      <c r="BR73" s="427"/>
      <c r="BS73" s="427"/>
      <c r="BT73" s="427"/>
      <c r="BU73" s="427"/>
      <c r="BV73" s="427"/>
      <c r="BW73" s="427"/>
      <c r="BX73" s="427"/>
      <c r="BY73" s="427"/>
      <c r="BZ73" s="427"/>
      <c r="CA73" s="427"/>
      <c r="CB73" s="427"/>
      <c r="CC73" s="427"/>
      <c r="CD73" s="427"/>
      <c r="CE73" s="427"/>
      <c r="CF73" s="427"/>
      <c r="CG73" s="427"/>
      <c r="CH73" s="427"/>
      <c r="CI73" s="427"/>
      <c r="CJ73" s="427"/>
      <c r="CK73" s="427"/>
      <c r="CL73" s="427"/>
      <c r="CM73" s="427"/>
      <c r="CN73" s="427"/>
      <c r="CO73" s="427"/>
      <c r="CP73" s="427"/>
      <c r="CQ73" s="427"/>
      <c r="CR73" s="427"/>
      <c r="CS73" s="427"/>
      <c r="CT73" s="427"/>
      <c r="CU73" s="427"/>
      <c r="CV73" s="427"/>
      <c r="CW73" s="427"/>
      <c r="CX73" s="427"/>
      <c r="CY73" s="427"/>
      <c r="CZ73" s="427"/>
      <c r="DA73" s="427"/>
      <c r="DB73" s="427"/>
      <c r="DC73" s="427"/>
      <c r="DD73" s="427"/>
      <c r="DE73" s="427"/>
      <c r="DF73" s="427"/>
      <c r="DG73" s="427"/>
      <c r="DH73" s="427"/>
      <c r="DI73" s="427"/>
      <c r="DJ73" s="427"/>
      <c r="DK73" s="427"/>
      <c r="DL73" s="427"/>
      <c r="DM73" s="427"/>
      <c r="DN73" s="427"/>
      <c r="DO73" s="427"/>
      <c r="DP73" s="427"/>
      <c r="DQ73" s="427"/>
      <c r="DR73" s="427"/>
      <c r="DS73" s="427"/>
      <c r="DT73" s="427"/>
      <c r="DU73" s="427"/>
      <c r="DV73" s="427"/>
      <c r="DW73" s="427"/>
    </row>
    <row r="74" ht="15.0" customHeight="1">
      <c r="A74" s="372">
        <v>42025.0</v>
      </c>
      <c r="B74" s="384" t="s">
        <v>1606</v>
      </c>
      <c r="C74" s="384" t="s">
        <v>1607</v>
      </c>
      <c r="D74" s="384">
        <v>22.5</v>
      </c>
      <c r="E74" s="374">
        <f>IFERROR(__xludf.DUMMYFUNCTION("if(and(D74&lt;&gt;0,D74&lt;&gt;""""),D74/GOOGLEFINANCE(C74,""price"")-1,"""")"),-0.37238493723849375)</f>
        <v>-0.3723849372</v>
      </c>
      <c r="F74" s="375">
        <f>IFERROR(__xludf.DUMMYFUNCTION("GOOGLEFINANCE(C74,""price"")"),35.85)</f>
        <v>35.85</v>
      </c>
      <c r="G74" s="374">
        <f t="shared" si="6"/>
        <v>-0.2050209205</v>
      </c>
      <c r="H74" s="376"/>
      <c r="I74" s="368">
        <f>(35+22)/2</f>
        <v>28.5</v>
      </c>
      <c r="J74" s="380"/>
      <c r="K74" s="380"/>
      <c r="L74" s="389"/>
      <c r="M74" s="379">
        <f t="shared" si="7"/>
        <v>-119.9023034</v>
      </c>
      <c r="N74" s="380">
        <f t="shared" si="8"/>
        <v>0</v>
      </c>
      <c r="O74" s="389"/>
      <c r="P74" s="390"/>
      <c r="Q74" s="391"/>
      <c r="R74" s="387"/>
      <c r="S74" s="387"/>
      <c r="T74" s="387"/>
      <c r="U74" s="386" t="s">
        <v>1610</v>
      </c>
      <c r="V74" s="344"/>
      <c r="W74" s="344"/>
      <c r="X74" s="344"/>
      <c r="Y74" s="344"/>
      <c r="Z74" s="344"/>
      <c r="AA74" s="344"/>
      <c r="AB74" s="344"/>
      <c r="AC74" s="344"/>
      <c r="AD74" s="344"/>
      <c r="AE74" s="344"/>
      <c r="AF74" s="344"/>
      <c r="AG74" s="344"/>
      <c r="AH74" s="344"/>
      <c r="AI74" s="344"/>
      <c r="AJ74" s="344"/>
      <c r="AK74" s="344"/>
      <c r="AL74" s="344"/>
      <c r="AM74" s="344"/>
      <c r="AN74" s="344"/>
      <c r="AO74" s="344"/>
      <c r="AP74" s="344"/>
      <c r="AQ74" s="344"/>
      <c r="AR74" s="344"/>
      <c r="AS74" s="344"/>
      <c r="AT74" s="344"/>
      <c r="AU74" s="344"/>
      <c r="AV74" s="344"/>
      <c r="AW74" s="344"/>
      <c r="AX74" s="344"/>
      <c r="AY74" s="344"/>
      <c r="AZ74" s="344"/>
      <c r="BA74" s="344"/>
      <c r="BB74" s="344"/>
      <c r="BC74" s="344"/>
      <c r="BD74" s="344"/>
      <c r="BE74" s="344"/>
      <c r="BF74" s="344"/>
      <c r="BG74" s="344"/>
      <c r="BH74" s="344"/>
      <c r="BI74" s="344"/>
      <c r="BJ74" s="344"/>
      <c r="BK74" s="344"/>
      <c r="BL74" s="344"/>
      <c r="BM74" s="344"/>
      <c r="BN74" s="344"/>
      <c r="BO74" s="344"/>
      <c r="BP74" s="344"/>
      <c r="BQ74" s="344"/>
      <c r="BR74" s="344"/>
      <c r="BS74" s="344"/>
      <c r="BT74" s="344"/>
      <c r="BU74" s="344"/>
      <c r="BV74" s="344"/>
      <c r="BW74" s="344"/>
      <c r="BX74" s="344"/>
      <c r="BY74" s="344"/>
      <c r="BZ74" s="344"/>
      <c r="CA74" s="344"/>
      <c r="CB74" s="344"/>
      <c r="CC74" s="344"/>
      <c r="CD74" s="344"/>
      <c r="CE74" s="344"/>
      <c r="CF74" s="344"/>
      <c r="CG74" s="344"/>
      <c r="CH74" s="344"/>
      <c r="CI74" s="344"/>
      <c r="CJ74" s="344"/>
      <c r="CK74" s="344"/>
      <c r="CL74" s="344"/>
      <c r="CM74" s="344"/>
      <c r="CN74" s="344"/>
      <c r="CO74" s="344"/>
      <c r="CP74" s="344"/>
      <c r="CQ74" s="344"/>
      <c r="CR74" s="344"/>
      <c r="CS74" s="344"/>
      <c r="CT74" s="344"/>
      <c r="CU74" s="344"/>
      <c r="CV74" s="344"/>
      <c r="CW74" s="344"/>
      <c r="CX74" s="344"/>
      <c r="CY74" s="344"/>
      <c r="CZ74" s="344"/>
      <c r="DA74" s="344"/>
      <c r="DB74" s="344"/>
      <c r="DC74" s="344"/>
      <c r="DD74" s="344"/>
      <c r="DE74" s="344"/>
      <c r="DF74" s="344"/>
      <c r="DG74" s="344"/>
      <c r="DH74" s="344"/>
      <c r="DI74" s="344"/>
      <c r="DJ74" s="344"/>
      <c r="DK74" s="344"/>
      <c r="DL74" s="344"/>
      <c r="DM74" s="344"/>
      <c r="DN74" s="344"/>
      <c r="DO74" s="344"/>
      <c r="DP74" s="344"/>
      <c r="DQ74" s="344"/>
      <c r="DR74" s="344"/>
      <c r="DS74" s="344"/>
      <c r="DT74" s="344"/>
      <c r="DU74" s="344"/>
      <c r="DV74" s="344"/>
      <c r="DW74" s="344"/>
    </row>
    <row r="75" ht="15.0" customHeight="1">
      <c r="A75" s="372">
        <v>42252.0</v>
      </c>
      <c r="B75" s="384" t="s">
        <v>1618</v>
      </c>
      <c r="C75" s="384" t="s">
        <v>1408</v>
      </c>
      <c r="D75" s="384">
        <v>75.0</v>
      </c>
      <c r="E75" s="374">
        <f>IFERROR(__xludf.DUMMYFUNCTION("if(and(D75&lt;&gt;0,D75&lt;&gt;""""),D75/GOOGLEFINANCE(C75,""price"")-1,"""")"),0.0014688209373747707)</f>
        <v>0.001468820937</v>
      </c>
      <c r="F75" s="375">
        <f>IFERROR(__xludf.DUMMYFUNCTION("GOOGLEFINANCE(C75,""price"")"),74.89)</f>
        <v>74.89</v>
      </c>
      <c r="G75" s="374">
        <f t="shared" si="6"/>
        <v>-0.2180101779</v>
      </c>
      <c r="H75" s="376"/>
      <c r="I75" s="368">
        <f>sum(CY75:DS75)</f>
        <v>58.56321778</v>
      </c>
      <c r="J75" s="385">
        <v>2.49</v>
      </c>
      <c r="K75" s="377">
        <v>2.7</v>
      </c>
      <c r="L75" s="378">
        <v>43830.0</v>
      </c>
      <c r="M75" s="379">
        <f t="shared" si="7"/>
        <v>0.1798884239</v>
      </c>
      <c r="N75" s="380">
        <f t="shared" si="8"/>
        <v>2.662223431</v>
      </c>
      <c r="O75" s="370">
        <v>0.08</v>
      </c>
      <c r="P75" s="370">
        <v>0.15</v>
      </c>
      <c r="Q75" s="371">
        <f>I75/N75</f>
        <v>21.9978598</v>
      </c>
      <c r="R75" s="381">
        <v>6.0</v>
      </c>
      <c r="S75" s="378">
        <v>43726.0</v>
      </c>
      <c r="T75" s="381" t="s">
        <v>1223</v>
      </c>
      <c r="U75" s="382" t="s">
        <v>1621</v>
      </c>
      <c r="V75" s="429">
        <f>O75</f>
        <v>0.08</v>
      </c>
      <c r="W75" s="430">
        <f>max(min(Valu!$C$15,$O75),$O75-max($O75-Valu!$C$15,0)/$R75*(W$3-1))</f>
        <v>0.07166666667</v>
      </c>
      <c r="X75" s="430">
        <f>max(min(Valu!$C$15,$O75),$O75-max($O75-Valu!$C$15,0)/$R75*(X$3-1))</f>
        <v>0.06333333333</v>
      </c>
      <c r="Y75" s="430">
        <f>max(min(Valu!$C$15,$O75),$O75-max($O75-Valu!$C$15,0)/$R75*(Y$3-1))</f>
        <v>0.055</v>
      </c>
      <c r="Z75" s="430">
        <f>max(min(Valu!$C$15,$O75),$O75-max($O75-Valu!$C$15,0)/$R75*(Z$3-1))</f>
        <v>0.04666666667</v>
      </c>
      <c r="AA75" s="430">
        <f>max(min(Valu!$C$15,$O75),$O75-max($O75-Valu!$C$15,0)/$R75*(AA$3-1))</f>
        <v>0.03833333333</v>
      </c>
      <c r="AB75" s="430">
        <f>max(min(Valu!$C$15,$O75),$O75-max($O75-Valu!$C$15,0)/$R75*(AB$3-1))</f>
        <v>0.03</v>
      </c>
      <c r="AC75" s="430">
        <f>max(min(Valu!$C$15,$O75),$O75-max($O75-Valu!$C$15,0)/$R75*(AC$3-1))</f>
        <v>0.03</v>
      </c>
      <c r="AD75" s="430">
        <f>max(min(Valu!$C$15,$O75),$O75-max($O75-Valu!$C$15,0)/$R75*(AD$3-1))</f>
        <v>0.03</v>
      </c>
      <c r="AE75" s="430">
        <f>max(min(Valu!$C$15,$O75),$O75-max($O75-Valu!$C$15,0)/$R75*(AE$3-1))</f>
        <v>0.03</v>
      </c>
      <c r="AF75" s="430">
        <f>max(min(Valu!$C$15,$O75),$O75-max($O75-Valu!$C$15,0)/$R75*(AF$3-1))</f>
        <v>0.03</v>
      </c>
      <c r="AG75" s="430">
        <f>max(min(Valu!$C$15,$O75),$O75-max($O75-Valu!$C$15,0)/$R75*(AG$3-1))</f>
        <v>0.03</v>
      </c>
      <c r="AH75" s="430">
        <f>max(min(Valu!$C$15,$O75),$O75-max($O75-Valu!$C$15,0)/$R75*(AH$3-1))</f>
        <v>0.03</v>
      </c>
      <c r="AI75" s="430">
        <f>max(min(Valu!$C$15,$O75),$O75-max($O75-Valu!$C$15,0)/$R75*(AI$3-1))</f>
        <v>0.03</v>
      </c>
      <c r="AJ75" s="430">
        <f>max(min(Valu!$C$15,$O75),$O75-max($O75-Valu!$C$15,0)/$R75*(AJ$3-1))</f>
        <v>0.03</v>
      </c>
      <c r="AK75" s="430">
        <f>max(min(Valu!$C$15,$O75),$O75-max($O75-Valu!$C$15,0)/$R75*(AK$3-1))</f>
        <v>0.03</v>
      </c>
      <c r="AL75" s="430">
        <f>max(min(Valu!$C$15,$O75),$O75-max($O75-Valu!$C$15,0)/$R75*(AL$3-1))</f>
        <v>0.03</v>
      </c>
      <c r="AM75" s="430">
        <f>max(min(Valu!$C$15,$O75),$O75-max($O75-Valu!$C$15,0)/$R75*(AM$3-1))</f>
        <v>0.03</v>
      </c>
      <c r="AN75" s="430">
        <f>max(min(Valu!$C$15,$O75),$O75-max($O75-Valu!$C$15,0)/$R75*(AN$3-1))</f>
        <v>0.03</v>
      </c>
      <c r="AO75" s="430">
        <f>max(min(Valu!$C$15,$O75),$O75-max($O75-Valu!$C$15,0)/$R75*(AO$3-1))</f>
        <v>0.03</v>
      </c>
      <c r="AP75" s="430">
        <f>max(min(Valu!$C$14,$P75),$P75-max($P75-Valu!$C$14,0)/$R75*(AP$3-1))</f>
        <v>0.15</v>
      </c>
      <c r="AQ75" s="430">
        <f>max(min(Valu!$C$14,$P75),$P75-max($P75-Valu!$C$14,0)/$R75*(AQ$3-1))</f>
        <v>0.145</v>
      </c>
      <c r="AR75" s="430">
        <f>max(min(Valu!$C$14,$P75),$P75-max($P75-Valu!$C$14,0)/$R75*(AR$3-1))</f>
        <v>0.14</v>
      </c>
      <c r="AS75" s="430">
        <f>max(min(Valu!$C$14,$P75),$P75-max($P75-Valu!$C$14,0)/$R75*(AS$3-1))</f>
        <v>0.135</v>
      </c>
      <c r="AT75" s="430">
        <f>max(min(Valu!$C$14,$P75),$P75-max($P75-Valu!$C$14,0)/$R75*(AT$3-1))</f>
        <v>0.13</v>
      </c>
      <c r="AU75" s="430">
        <f>max(min(Valu!$C$14,$P75),$P75-max($P75-Valu!$C$14,0)/$R75*(AU$3-1))</f>
        <v>0.125</v>
      </c>
      <c r="AV75" s="430">
        <f>max(min(Valu!$C$14,$P75),$P75-max($P75-Valu!$C$14,0)/$R75*(AV$3-1))</f>
        <v>0.12</v>
      </c>
      <c r="AW75" s="430">
        <f>max(min(Valu!$C$14,$P75),$P75-max($P75-Valu!$C$14,0)/$R75*(AW$3-1))</f>
        <v>0.12</v>
      </c>
      <c r="AX75" s="430">
        <f>max(min(Valu!$C$14,$P75),$P75-max($P75-Valu!$C$14,0)/$R75*(AX$3-1))</f>
        <v>0.12</v>
      </c>
      <c r="AY75" s="430">
        <f>max(min(Valu!$C$14,$P75),$P75-max($P75-Valu!$C$14,0)/$R75*(AY$3-1))</f>
        <v>0.12</v>
      </c>
      <c r="AZ75" s="430">
        <f>max(min(Valu!$C$14,$P75),$P75-max($P75-Valu!$C$14,0)/$R75*(AZ$3-1))</f>
        <v>0.12</v>
      </c>
      <c r="BA75" s="430">
        <f>max(min(Valu!$C$14,$P75),$P75-max($P75-Valu!$C$14,0)/$R75*(BA$3-1))</f>
        <v>0.12</v>
      </c>
      <c r="BB75" s="430">
        <f>max(min(Valu!$C$14,$P75),$P75-max($P75-Valu!$C$14,0)/$R75*(BB$3-1))</f>
        <v>0.12</v>
      </c>
      <c r="BC75" s="430">
        <f>max(min(Valu!$C$14,$P75),$P75-max($P75-Valu!$C$14,0)/$R75*(BC$3-1))</f>
        <v>0.12</v>
      </c>
      <c r="BD75" s="430">
        <f>max(min(Valu!$C$14,$P75),$P75-max($P75-Valu!$C$14,0)/$R75*(BD$3-1))</f>
        <v>0.12</v>
      </c>
      <c r="BE75" s="430">
        <f>max(min(Valu!$C$14,$P75),$P75-max($P75-Valu!$C$14,0)/$R75*(BE$3-1))</f>
        <v>0.12</v>
      </c>
      <c r="BF75" s="430">
        <f>max(min(Valu!$C$14,$P75),$P75-max($P75-Valu!$C$14,0)/$R75*(BF$3-1))</f>
        <v>0.12</v>
      </c>
      <c r="BG75" s="430">
        <f>max(min(Valu!$C$14,$P75),$P75-max($P75-Valu!$C$14,0)/$R75*(BG$3-1))</f>
        <v>0.12</v>
      </c>
      <c r="BH75" s="430">
        <f>max(min(Valu!$C$14,$P75),$P75-max($P75-Valu!$C$14,0)/$R75*(BH$3-1))</f>
        <v>0.12</v>
      </c>
      <c r="BI75" s="430">
        <f>max(min(Valu!$C$14,$P75),$P75-max($P75-Valu!$C$14,0)/$R75*(BI$3-1))</f>
        <v>0.12</v>
      </c>
      <c r="BJ75" s="431">
        <f>N75</f>
        <v>2.662223431</v>
      </c>
      <c r="BK75" s="432">
        <f>$BJ75*(1+V75)</f>
        <v>2.875201305</v>
      </c>
      <c r="BL75" s="432">
        <f t="shared" ref="BL75:CC75" si="31">BK75*(1+W75)</f>
        <v>3.081257399</v>
      </c>
      <c r="BM75" s="432">
        <f t="shared" si="31"/>
        <v>3.276403701</v>
      </c>
      <c r="BN75" s="432">
        <f t="shared" si="31"/>
        <v>3.456605905</v>
      </c>
      <c r="BO75" s="432">
        <f t="shared" si="31"/>
        <v>3.61791418</v>
      </c>
      <c r="BP75" s="432">
        <f t="shared" si="31"/>
        <v>3.75660089</v>
      </c>
      <c r="BQ75" s="432">
        <f t="shared" si="31"/>
        <v>3.869298917</v>
      </c>
      <c r="BR75" s="432">
        <f t="shared" si="31"/>
        <v>3.985377885</v>
      </c>
      <c r="BS75" s="432">
        <f t="shared" si="31"/>
        <v>4.104939221</v>
      </c>
      <c r="BT75" s="432">
        <f t="shared" si="31"/>
        <v>4.228087398</v>
      </c>
      <c r="BU75" s="432">
        <f t="shared" si="31"/>
        <v>4.35493002</v>
      </c>
      <c r="BV75" s="432">
        <f t="shared" si="31"/>
        <v>4.48557792</v>
      </c>
      <c r="BW75" s="432">
        <f t="shared" si="31"/>
        <v>4.620145258</v>
      </c>
      <c r="BX75" s="432">
        <f t="shared" si="31"/>
        <v>4.758749616</v>
      </c>
      <c r="BY75" s="432">
        <f t="shared" si="31"/>
        <v>4.901512104</v>
      </c>
      <c r="BZ75" s="432">
        <f t="shared" si="31"/>
        <v>5.048557467</v>
      </c>
      <c r="CA75" s="432">
        <f t="shared" si="31"/>
        <v>5.200014191</v>
      </c>
      <c r="CB75" s="432">
        <f t="shared" si="31"/>
        <v>5.356014617</v>
      </c>
      <c r="CC75" s="432">
        <f t="shared" si="31"/>
        <v>5.516695055</v>
      </c>
      <c r="CD75" s="432">
        <f t="shared" ref="CD75:CW75" si="32">BJ75*(1-V75/AP75)</f>
        <v>1.242370934</v>
      </c>
      <c r="CE75" s="432">
        <f t="shared" si="32"/>
        <v>1.454124798</v>
      </c>
      <c r="CF75" s="432">
        <f t="shared" si="32"/>
        <v>1.687355242</v>
      </c>
      <c r="CG75" s="432">
        <f t="shared" si="32"/>
        <v>1.941572564</v>
      </c>
      <c r="CH75" s="432">
        <f t="shared" si="32"/>
        <v>2.215773016</v>
      </c>
      <c r="CI75" s="432">
        <f t="shared" si="32"/>
        <v>2.508420498</v>
      </c>
      <c r="CJ75" s="432">
        <f t="shared" si="32"/>
        <v>2.817450668</v>
      </c>
      <c r="CK75" s="432">
        <f t="shared" si="32"/>
        <v>2.901974188</v>
      </c>
      <c r="CL75" s="432">
        <f t="shared" si="32"/>
        <v>2.989033413</v>
      </c>
      <c r="CM75" s="432">
        <f t="shared" si="32"/>
        <v>3.078704416</v>
      </c>
      <c r="CN75" s="432">
        <f t="shared" si="32"/>
        <v>3.171065548</v>
      </c>
      <c r="CO75" s="432">
        <f t="shared" si="32"/>
        <v>3.266197515</v>
      </c>
      <c r="CP75" s="432">
        <f t="shared" si="32"/>
        <v>3.36418344</v>
      </c>
      <c r="CQ75" s="432">
        <f t="shared" si="32"/>
        <v>3.465108943</v>
      </c>
      <c r="CR75" s="432">
        <f t="shared" si="32"/>
        <v>3.569062212</v>
      </c>
      <c r="CS75" s="432">
        <f t="shared" si="32"/>
        <v>3.676134078</v>
      </c>
      <c r="CT75" s="432">
        <f t="shared" si="32"/>
        <v>3.7864181</v>
      </c>
      <c r="CU75" s="432">
        <f t="shared" si="32"/>
        <v>3.900010643</v>
      </c>
      <c r="CV75" s="432">
        <f t="shared" si="32"/>
        <v>4.017010963</v>
      </c>
      <c r="CW75" s="432">
        <f t="shared" si="32"/>
        <v>4.137521292</v>
      </c>
      <c r="CX75" s="432">
        <f>CW75*(1+min(Valu!$C$15,$O75))/(Valu!$C$21-min(Valu!$C$15,$O75))</f>
        <v>112.1486034</v>
      </c>
      <c r="CY75" s="432">
        <f>CD75/(1+Valu!$C$21)^CY$3</f>
        <v>1.163268665</v>
      </c>
      <c r="CZ75" s="432">
        <f>CE75/(1+Valu!$C$21)^CZ$3</f>
        <v>1.274850256</v>
      </c>
      <c r="DA75" s="432">
        <f>CF75/(1+Valu!$C$21)^DA$3</f>
        <v>1.385137117</v>
      </c>
      <c r="DB75" s="432">
        <f>CG75/(1+Valu!$C$21)^DB$3</f>
        <v>1.492342872</v>
      </c>
      <c r="DC75" s="432">
        <f>CH75/(1+Valu!$C$21)^DC$3</f>
        <v>1.594663323</v>
      </c>
      <c r="DD75" s="432">
        <f>CI75/(1+Valu!$C$21)^DD$3</f>
        <v>1.690335159</v>
      </c>
      <c r="DE75" s="432">
        <f>CJ75/(1+Valu!$C$21)^DE$3</f>
        <v>1.777696231</v>
      </c>
      <c r="DF75" s="432">
        <f>CK75/(1+Valu!$C$21)^DF$3</f>
        <v>1.714444867</v>
      </c>
      <c r="DG75" s="432">
        <f>CL75/(1+Valu!$C$21)^DG$3</f>
        <v>1.65344402</v>
      </c>
      <c r="DH75" s="432">
        <f>CM75/(1+Valu!$C$21)^DH$3</f>
        <v>1.594613614</v>
      </c>
      <c r="DI75" s="432">
        <f>CN75/(1+Valu!$C$21)^DI$3</f>
        <v>1.537876426</v>
      </c>
      <c r="DJ75" s="432">
        <f>CO75/(1+Valu!$C$21)^DJ$3</f>
        <v>1.483157976</v>
      </c>
      <c r="DK75" s="432">
        <f>CP75/(1+Valu!$C$21)^DK$3</f>
        <v>1.430386438</v>
      </c>
      <c r="DL75" s="432">
        <f>CQ75/(1+Valu!$C$21)^DL$3</f>
        <v>1.379492538</v>
      </c>
      <c r="DM75" s="432">
        <f>CR75/(1+Valu!$C$21)^DM$3</f>
        <v>1.33040947</v>
      </c>
      <c r="DN75" s="432">
        <f>CS75/(1+Valu!$C$21)^DN$3</f>
        <v>1.283072804</v>
      </c>
      <c r="DO75" s="432">
        <f>CT75/(1+Valu!$C$21)^DO$3</f>
        <v>1.237420401</v>
      </c>
      <c r="DP75" s="432">
        <f>CU75/(1+Valu!$C$21)^DP$3</f>
        <v>1.193392334</v>
      </c>
      <c r="DQ75" s="432">
        <f>CV75/(1+Valu!$C$21)^DQ$3</f>
        <v>1.150930809</v>
      </c>
      <c r="DR75" s="432">
        <f>CW75/(1+Valu!$C$21)^DR$3</f>
        <v>1.109980087</v>
      </c>
      <c r="DS75" s="432">
        <f>CX75/(1+Valu!$C$21)^DS$3</f>
        <v>30.08630237</v>
      </c>
      <c r="DT75" s="344"/>
      <c r="DU75" s="344"/>
      <c r="DV75" s="344"/>
      <c r="DW75" s="344"/>
    </row>
    <row r="76" ht="15.0" customHeight="1">
      <c r="A76" s="383">
        <v>40112.0</v>
      </c>
      <c r="B76" s="320" t="s">
        <v>1636</v>
      </c>
      <c r="C76" s="320" t="s">
        <v>1637</v>
      </c>
      <c r="D76" s="373">
        <v>250.0</v>
      </c>
      <c r="E76" s="374">
        <f>IFERROR(__xludf.DUMMYFUNCTION("if(and(D76&lt;&gt;0,D76&lt;&gt;""""),D76/GOOGLEFINANCE(C76,""price"")-1,"""")"),-0.38196830733480014)</f>
        <v>-0.3819683073</v>
      </c>
      <c r="F76" s="375">
        <f>IFERROR(__xludf.DUMMYFUNCTION("GOOGLEFINANCE(C76,""price"")"),404.51)</f>
        <v>404.51</v>
      </c>
      <c r="G76" s="374">
        <f t="shared" si="6"/>
        <v>-0.3662170401</v>
      </c>
      <c r="H76" s="376"/>
      <c r="I76" s="376">
        <f>N76*($I$1+O76*100)</f>
        <v>256.3715451</v>
      </c>
      <c r="J76" s="377">
        <v>11.39</v>
      </c>
      <c r="K76" s="377">
        <v>12.28</v>
      </c>
      <c r="L76" s="378">
        <v>43465.0</v>
      </c>
      <c r="M76" s="379">
        <f t="shared" si="7"/>
        <v>-0.820111578</v>
      </c>
      <c r="N76" s="380">
        <f t="shared" si="8"/>
        <v>13.0098993</v>
      </c>
      <c r="O76" s="370">
        <v>0.05</v>
      </c>
      <c r="P76" s="370"/>
      <c r="Q76" s="371"/>
      <c r="R76" s="378"/>
      <c r="S76" s="378">
        <v>43351.0</v>
      </c>
      <c r="T76" s="381" t="s">
        <v>1223</v>
      </c>
      <c r="U76" s="386" t="s">
        <v>1640</v>
      </c>
      <c r="V76" s="344"/>
      <c r="W76" s="344"/>
      <c r="X76" s="344"/>
      <c r="Y76" s="344"/>
      <c r="Z76" s="344"/>
      <c r="AA76" s="344"/>
      <c r="AB76" s="344"/>
      <c r="AC76" s="344"/>
      <c r="AD76" s="344"/>
      <c r="AE76" s="344"/>
      <c r="AF76" s="344"/>
      <c r="AG76" s="344"/>
      <c r="AH76" s="344"/>
      <c r="AI76" s="344"/>
      <c r="AJ76" s="344"/>
      <c r="AK76" s="344"/>
      <c r="AL76" s="344"/>
      <c r="AM76" s="344"/>
      <c r="AN76" s="344"/>
      <c r="AO76" s="344"/>
      <c r="AP76" s="344"/>
      <c r="AQ76" s="344"/>
      <c r="AR76" s="344"/>
      <c r="AS76" s="344"/>
      <c r="AT76" s="344"/>
      <c r="AU76" s="344"/>
      <c r="AV76" s="344"/>
      <c r="AW76" s="344"/>
      <c r="AX76" s="344"/>
      <c r="AY76" s="344"/>
      <c r="AZ76" s="344"/>
      <c r="BA76" s="344"/>
      <c r="BB76" s="344"/>
      <c r="BC76" s="344"/>
      <c r="BD76" s="344"/>
      <c r="BE76" s="344"/>
      <c r="BF76" s="344"/>
      <c r="BG76" s="344"/>
      <c r="BH76" s="344"/>
      <c r="BI76" s="344"/>
      <c r="BJ76" s="344"/>
      <c r="BK76" s="344"/>
      <c r="BL76" s="344"/>
      <c r="BM76" s="344"/>
      <c r="BN76" s="344"/>
      <c r="BO76" s="344"/>
      <c r="BP76" s="344"/>
      <c r="BQ76" s="344"/>
      <c r="BR76" s="344"/>
      <c r="BS76" s="344"/>
      <c r="BT76" s="344"/>
      <c r="BU76" s="344"/>
      <c r="BV76" s="344"/>
      <c r="BW76" s="344"/>
      <c r="BX76" s="344"/>
      <c r="BY76" s="344"/>
      <c r="BZ76" s="344"/>
      <c r="CA76" s="344"/>
      <c r="CB76" s="344"/>
      <c r="CC76" s="344"/>
      <c r="CD76" s="344"/>
      <c r="CE76" s="344"/>
      <c r="CF76" s="344"/>
      <c r="CG76" s="344"/>
      <c r="CH76" s="344"/>
      <c r="CI76" s="344"/>
      <c r="CJ76" s="344"/>
      <c r="CK76" s="344"/>
      <c r="CL76" s="344"/>
      <c r="CM76" s="344"/>
      <c r="CN76" s="344"/>
      <c r="CO76" s="344"/>
      <c r="CP76" s="344"/>
      <c r="CQ76" s="344"/>
      <c r="CR76" s="344"/>
      <c r="CS76" s="344"/>
      <c r="CT76" s="344"/>
      <c r="CU76" s="344"/>
      <c r="CV76" s="344"/>
      <c r="CW76" s="344"/>
      <c r="CX76" s="344"/>
      <c r="CY76" s="344"/>
      <c r="CZ76" s="344"/>
      <c r="DA76" s="344"/>
      <c r="DB76" s="344"/>
      <c r="DC76" s="344"/>
      <c r="DD76" s="344"/>
      <c r="DE76" s="344"/>
      <c r="DF76" s="344"/>
      <c r="DG76" s="344"/>
      <c r="DH76" s="344"/>
      <c r="DI76" s="344"/>
      <c r="DJ76" s="344"/>
      <c r="DK76" s="344"/>
      <c r="DL76" s="344"/>
      <c r="DM76" s="344"/>
      <c r="DN76" s="344"/>
      <c r="DO76" s="344"/>
      <c r="DP76" s="344"/>
      <c r="DQ76" s="344"/>
      <c r="DR76" s="344"/>
      <c r="DS76" s="344"/>
      <c r="DT76" s="344"/>
      <c r="DU76" s="344"/>
      <c r="DV76" s="344"/>
      <c r="DW76" s="344"/>
    </row>
    <row r="77" ht="15.0" customHeight="1">
      <c r="A77" s="516">
        <v>42428.0</v>
      </c>
      <c r="B77" s="517" t="s">
        <v>1644</v>
      </c>
      <c r="C77" s="517" t="s">
        <v>1645</v>
      </c>
      <c r="D77" s="518"/>
      <c r="E77" s="519" t="str">
        <f>IFERROR(__xludf.DUMMYFUNCTION("if(and(D77&lt;&gt;0,D77&lt;&gt;""""),D77/GOOGLEFINANCE(C77,""price"")-1,"""")"),"")</f>
        <v/>
      </c>
      <c r="F77" s="521">
        <f>IFERROR(__xludf.DUMMYFUNCTION("GOOGLEFINANCE(C77,""price"")"),108.32)</f>
        <v>108.32</v>
      </c>
      <c r="G77" s="519">
        <f t="shared" si="6"/>
        <v>-0.1722510644</v>
      </c>
      <c r="H77" s="522"/>
      <c r="I77" s="522">
        <f>4.55*($I$1+5)</f>
        <v>89.66176471</v>
      </c>
      <c r="J77" s="523"/>
      <c r="K77" s="524"/>
      <c r="L77" s="525"/>
      <c r="M77" s="526">
        <f t="shared" si="7"/>
        <v>-119.9023034</v>
      </c>
      <c r="N77" s="524">
        <f t="shared" si="8"/>
        <v>0</v>
      </c>
      <c r="O77" s="525"/>
      <c r="P77" s="527"/>
      <c r="Q77" s="528"/>
      <c r="R77" s="529"/>
      <c r="S77" s="529"/>
      <c r="T77" s="529"/>
      <c r="U77" s="530"/>
      <c r="V77" s="531"/>
      <c r="W77" s="531"/>
      <c r="X77" s="531"/>
      <c r="Y77" s="531"/>
      <c r="Z77" s="531"/>
      <c r="AA77" s="531"/>
      <c r="AB77" s="531"/>
      <c r="AC77" s="531"/>
      <c r="AD77" s="531"/>
      <c r="AE77" s="531"/>
      <c r="AF77" s="531"/>
      <c r="AG77" s="531"/>
      <c r="AH77" s="531"/>
      <c r="AI77" s="531"/>
      <c r="AJ77" s="531"/>
      <c r="AK77" s="531"/>
      <c r="AL77" s="531"/>
      <c r="AM77" s="531"/>
      <c r="AN77" s="531"/>
      <c r="AO77" s="531"/>
      <c r="AP77" s="531"/>
      <c r="AQ77" s="531"/>
      <c r="AR77" s="531"/>
      <c r="AS77" s="531"/>
      <c r="AT77" s="531"/>
      <c r="AU77" s="531"/>
      <c r="AV77" s="531"/>
      <c r="AW77" s="531"/>
      <c r="AX77" s="531"/>
      <c r="AY77" s="531"/>
      <c r="AZ77" s="531"/>
      <c r="BA77" s="531"/>
      <c r="BB77" s="531"/>
      <c r="BC77" s="531"/>
      <c r="BD77" s="531"/>
      <c r="BE77" s="531"/>
      <c r="BF77" s="531"/>
      <c r="BG77" s="531"/>
      <c r="BH77" s="531"/>
      <c r="BI77" s="531"/>
      <c r="BJ77" s="531"/>
      <c r="BK77" s="531"/>
      <c r="BL77" s="531"/>
      <c r="BM77" s="531"/>
      <c r="BN77" s="531"/>
      <c r="BO77" s="531"/>
      <c r="BP77" s="531"/>
      <c r="BQ77" s="531"/>
      <c r="BR77" s="531"/>
      <c r="BS77" s="531"/>
      <c r="BT77" s="531"/>
      <c r="BU77" s="531"/>
      <c r="BV77" s="531"/>
      <c r="BW77" s="531"/>
      <c r="BX77" s="531"/>
      <c r="BY77" s="531"/>
      <c r="BZ77" s="531"/>
      <c r="CA77" s="531"/>
      <c r="CB77" s="531"/>
      <c r="CC77" s="531"/>
      <c r="CD77" s="531"/>
      <c r="CE77" s="531"/>
      <c r="CF77" s="531"/>
      <c r="CG77" s="531"/>
      <c r="CH77" s="531"/>
      <c r="CI77" s="531"/>
      <c r="CJ77" s="531"/>
      <c r="CK77" s="531"/>
      <c r="CL77" s="531"/>
      <c r="CM77" s="531"/>
      <c r="CN77" s="531"/>
      <c r="CO77" s="531"/>
      <c r="CP77" s="531"/>
      <c r="CQ77" s="531"/>
      <c r="CR77" s="531"/>
      <c r="CS77" s="531"/>
      <c r="CT77" s="531"/>
      <c r="CU77" s="531"/>
      <c r="CV77" s="531"/>
      <c r="CW77" s="531"/>
      <c r="CX77" s="531"/>
      <c r="CY77" s="531"/>
      <c r="CZ77" s="531"/>
      <c r="DA77" s="531"/>
      <c r="DB77" s="531"/>
      <c r="DC77" s="531"/>
      <c r="DD77" s="531"/>
      <c r="DE77" s="531"/>
      <c r="DF77" s="531"/>
      <c r="DG77" s="531"/>
      <c r="DH77" s="531"/>
      <c r="DI77" s="531"/>
      <c r="DJ77" s="531"/>
      <c r="DK77" s="531"/>
      <c r="DL77" s="531"/>
      <c r="DM77" s="531"/>
      <c r="DN77" s="531"/>
      <c r="DO77" s="531"/>
      <c r="DP77" s="531"/>
      <c r="DQ77" s="531"/>
      <c r="DR77" s="531"/>
      <c r="DS77" s="531"/>
      <c r="DT77" s="531"/>
      <c r="DU77" s="531"/>
      <c r="DV77" s="531"/>
      <c r="DW77" s="531"/>
    </row>
    <row r="78" ht="15.0" customHeight="1">
      <c r="A78" s="383">
        <v>41617.0</v>
      </c>
      <c r="B78" s="320" t="s">
        <v>1649</v>
      </c>
      <c r="C78" s="320" t="s">
        <v>1451</v>
      </c>
      <c r="D78" s="532"/>
      <c r="E78" s="374" t="str">
        <f>IFERROR(__xludf.DUMMYFUNCTION("if(and(D78&lt;&gt;0,D78&lt;&gt;""""),D78/GOOGLEFINANCE(C78,""price"")-1,"""")"),"")</f>
        <v/>
      </c>
      <c r="F78" s="375">
        <f>IFERROR(__xludf.DUMMYFUNCTION("GOOGLEFINANCE(C78,""price"")"),13.27)</f>
        <v>13.27</v>
      </c>
      <c r="G78" s="374" t="str">
        <f t="shared" si="6"/>
        <v/>
      </c>
      <c r="H78" s="376"/>
      <c r="I78" s="376"/>
      <c r="J78" s="380"/>
      <c r="K78" s="380"/>
      <c r="L78" s="389"/>
      <c r="M78" s="379">
        <f t="shared" si="7"/>
        <v>-119.9023034</v>
      </c>
      <c r="N78" s="380">
        <f t="shared" si="8"/>
        <v>0</v>
      </c>
      <c r="O78" s="389"/>
      <c r="P78" s="415"/>
      <c r="Q78" s="379"/>
      <c r="R78" s="416"/>
      <c r="S78" s="416"/>
      <c r="T78" s="416"/>
      <c r="U78" s="417" t="s">
        <v>1652</v>
      </c>
      <c r="V78" s="367"/>
      <c r="W78" s="367"/>
      <c r="X78" s="367"/>
      <c r="Y78" s="367"/>
      <c r="Z78" s="367"/>
      <c r="AA78" s="367"/>
      <c r="AB78" s="367"/>
      <c r="AC78" s="367"/>
      <c r="AD78" s="367"/>
      <c r="AE78" s="367"/>
      <c r="AF78" s="367"/>
      <c r="AG78" s="367"/>
      <c r="AH78" s="367"/>
      <c r="AI78" s="367"/>
      <c r="AJ78" s="367"/>
      <c r="AK78" s="367"/>
      <c r="AL78" s="367"/>
      <c r="AM78" s="367"/>
      <c r="AN78" s="367"/>
      <c r="AO78" s="367"/>
      <c r="AP78" s="367"/>
      <c r="AQ78" s="367"/>
      <c r="AR78" s="367"/>
      <c r="AS78" s="367"/>
      <c r="AT78" s="367"/>
      <c r="AU78" s="367"/>
      <c r="AV78" s="367"/>
      <c r="AW78" s="367"/>
      <c r="AX78" s="367"/>
      <c r="AY78" s="367"/>
      <c r="AZ78" s="367"/>
      <c r="BA78" s="367"/>
      <c r="BB78" s="367"/>
      <c r="BC78" s="367"/>
      <c r="BD78" s="367"/>
      <c r="BE78" s="367"/>
      <c r="BF78" s="367"/>
      <c r="BG78" s="367"/>
      <c r="BH78" s="367"/>
      <c r="BI78" s="367"/>
      <c r="BJ78" s="367"/>
      <c r="BK78" s="367"/>
      <c r="BL78" s="367"/>
      <c r="BM78" s="367"/>
      <c r="BN78" s="367"/>
      <c r="BO78" s="367"/>
      <c r="BP78" s="367"/>
      <c r="BQ78" s="367"/>
      <c r="BR78" s="367"/>
      <c r="BS78" s="367"/>
      <c r="BT78" s="367"/>
      <c r="BU78" s="367"/>
      <c r="BV78" s="367"/>
      <c r="BW78" s="367"/>
      <c r="BX78" s="367"/>
      <c r="BY78" s="367"/>
      <c r="BZ78" s="367"/>
      <c r="CA78" s="367"/>
      <c r="CB78" s="367"/>
      <c r="CC78" s="367"/>
      <c r="CD78" s="367"/>
      <c r="CE78" s="367"/>
      <c r="CF78" s="367"/>
      <c r="CG78" s="367"/>
      <c r="CH78" s="367"/>
      <c r="CI78" s="367"/>
      <c r="CJ78" s="367"/>
      <c r="CK78" s="367"/>
      <c r="CL78" s="367"/>
      <c r="CM78" s="367"/>
      <c r="CN78" s="367"/>
      <c r="CO78" s="367"/>
      <c r="CP78" s="367"/>
      <c r="CQ78" s="367"/>
      <c r="CR78" s="367"/>
      <c r="CS78" s="367"/>
      <c r="CT78" s="367"/>
      <c r="CU78" s="367"/>
      <c r="CV78" s="367"/>
      <c r="CW78" s="367"/>
      <c r="CX78" s="367"/>
      <c r="CY78" s="367"/>
      <c r="CZ78" s="367"/>
      <c r="DA78" s="367"/>
      <c r="DB78" s="367"/>
      <c r="DC78" s="367"/>
      <c r="DD78" s="367"/>
      <c r="DE78" s="367"/>
      <c r="DF78" s="367"/>
      <c r="DG78" s="367"/>
      <c r="DH78" s="367"/>
      <c r="DI78" s="367"/>
      <c r="DJ78" s="367"/>
      <c r="DK78" s="367"/>
      <c r="DL78" s="367"/>
      <c r="DM78" s="367"/>
      <c r="DN78" s="367"/>
      <c r="DO78" s="367"/>
      <c r="DP78" s="367"/>
      <c r="DQ78" s="367"/>
      <c r="DR78" s="367"/>
      <c r="DS78" s="367"/>
      <c r="DT78" s="367"/>
      <c r="DU78" s="367"/>
      <c r="DV78" s="367"/>
      <c r="DW78" s="367"/>
    </row>
    <row r="79" ht="15.0" customHeight="1">
      <c r="A79" s="383">
        <v>41268.0</v>
      </c>
      <c r="B79" s="320" t="s">
        <v>1654</v>
      </c>
      <c r="C79" s="320" t="s">
        <v>847</v>
      </c>
      <c r="D79" s="373">
        <v>149.0</v>
      </c>
      <c r="E79" s="374">
        <f>IFERROR(__xludf.DUMMYFUNCTION("if(and(D79&lt;&gt;0,D79&lt;&gt;""""),D79/GOOGLEFINANCE(C79,""price"")-1,"""")"),-0.13114467315878486)</f>
        <v>-0.1311446732</v>
      </c>
      <c r="F79" s="375">
        <f>IFERROR(__xludf.DUMMYFUNCTION("GOOGLEFINANCE(C79,""price"")"),171.49)</f>
        <v>171.49</v>
      </c>
      <c r="G79" s="374">
        <f t="shared" si="6"/>
        <v>1.130076851</v>
      </c>
      <c r="H79" s="376"/>
      <c r="I79" s="368">
        <f>N79*($I$1+iferror(sqrt((O79*100)*(P79-1/$I$1)*100),-sqrt((O79*100)*-1*(P79-1/$I$1)*100))*(R79/4)^0.2)</f>
        <v>365.2868791</v>
      </c>
      <c r="J79" s="377">
        <v>16.55</v>
      </c>
      <c r="K79" s="377">
        <v>18.56</v>
      </c>
      <c r="L79" s="378">
        <v>43830.0</v>
      </c>
      <c r="M79" s="379">
        <f t="shared" si="7"/>
        <v>0.1798884281</v>
      </c>
      <c r="N79" s="380">
        <f t="shared" si="8"/>
        <v>18.19842426</v>
      </c>
      <c r="O79" s="370">
        <v>0.09</v>
      </c>
      <c r="P79" s="370">
        <v>0.1</v>
      </c>
      <c r="Q79" s="371">
        <f>I79/N79</f>
        <v>20.0724455</v>
      </c>
      <c r="R79" s="381">
        <v>4.0</v>
      </c>
      <c r="S79" s="378">
        <v>43661.0</v>
      </c>
      <c r="T79" s="387" t="s">
        <v>1223</v>
      </c>
      <c r="U79" s="382" t="s">
        <v>1656</v>
      </c>
      <c r="V79" s="358"/>
      <c r="W79" s="358"/>
      <c r="X79" s="358"/>
      <c r="Y79" s="358"/>
      <c r="Z79" s="358"/>
      <c r="AA79" s="358"/>
      <c r="AB79" s="358"/>
      <c r="AC79" s="358"/>
      <c r="AD79" s="358"/>
      <c r="AE79" s="358"/>
      <c r="AF79" s="358"/>
      <c r="AG79" s="358"/>
      <c r="AH79" s="358"/>
      <c r="AI79" s="358"/>
      <c r="AJ79" s="358"/>
      <c r="AK79" s="358"/>
      <c r="AL79" s="358"/>
      <c r="AM79" s="358"/>
      <c r="AN79" s="358"/>
      <c r="AO79" s="358"/>
      <c r="AP79" s="358"/>
      <c r="AQ79" s="358"/>
      <c r="AR79" s="358"/>
      <c r="AS79" s="358"/>
      <c r="AT79" s="358"/>
      <c r="AU79" s="358"/>
      <c r="AV79" s="358"/>
      <c r="AW79" s="358"/>
      <c r="AX79" s="358"/>
      <c r="AY79" s="358"/>
      <c r="AZ79" s="358"/>
      <c r="BA79" s="358"/>
      <c r="BB79" s="358"/>
      <c r="BC79" s="358"/>
      <c r="BD79" s="358"/>
      <c r="BE79" s="358"/>
      <c r="BF79" s="358"/>
      <c r="BG79" s="358"/>
      <c r="BH79" s="358"/>
      <c r="BI79" s="358"/>
      <c r="BJ79" s="358"/>
      <c r="BK79" s="358"/>
      <c r="BL79" s="358"/>
      <c r="BM79" s="358"/>
      <c r="BN79" s="358"/>
      <c r="BO79" s="358"/>
      <c r="BP79" s="358"/>
      <c r="BQ79" s="358"/>
      <c r="BR79" s="358"/>
      <c r="BS79" s="358"/>
      <c r="BT79" s="358"/>
      <c r="BU79" s="358"/>
      <c r="BV79" s="358"/>
      <c r="BW79" s="358"/>
      <c r="BX79" s="358"/>
      <c r="BY79" s="358"/>
      <c r="BZ79" s="358"/>
      <c r="CA79" s="358"/>
      <c r="CB79" s="358"/>
      <c r="CC79" s="358"/>
      <c r="CD79" s="358"/>
      <c r="CE79" s="358"/>
      <c r="CF79" s="358"/>
      <c r="CG79" s="358"/>
      <c r="CH79" s="358"/>
      <c r="CI79" s="358"/>
      <c r="CJ79" s="358"/>
      <c r="CK79" s="358"/>
      <c r="CL79" s="358"/>
      <c r="CM79" s="358"/>
      <c r="CN79" s="358"/>
      <c r="CO79" s="358"/>
      <c r="CP79" s="358"/>
      <c r="CQ79" s="358"/>
      <c r="CR79" s="358"/>
      <c r="CS79" s="358"/>
      <c r="CT79" s="358"/>
      <c r="CU79" s="358"/>
      <c r="CV79" s="358"/>
      <c r="CW79" s="358"/>
      <c r="CX79" s="358"/>
      <c r="CY79" s="358"/>
      <c r="CZ79" s="358"/>
      <c r="DA79" s="358"/>
      <c r="DB79" s="358"/>
      <c r="DC79" s="358"/>
      <c r="DD79" s="358"/>
      <c r="DE79" s="358"/>
      <c r="DF79" s="358"/>
      <c r="DG79" s="358"/>
      <c r="DH79" s="358"/>
      <c r="DI79" s="358"/>
      <c r="DJ79" s="358"/>
      <c r="DK79" s="358"/>
      <c r="DL79" s="358"/>
      <c r="DM79" s="358"/>
      <c r="DN79" s="358"/>
      <c r="DO79" s="358"/>
      <c r="DP79" s="358"/>
      <c r="DQ79" s="358"/>
      <c r="DR79" s="358"/>
      <c r="DS79" s="358"/>
      <c r="DT79" s="358"/>
      <c r="DU79" s="358"/>
      <c r="DV79" s="358"/>
      <c r="DW79" s="358"/>
    </row>
    <row r="80" ht="15.0" customHeight="1">
      <c r="A80" s="494">
        <v>41083.0</v>
      </c>
      <c r="B80" s="414" t="s">
        <v>1657</v>
      </c>
      <c r="C80" s="414" t="s">
        <v>1658</v>
      </c>
      <c r="D80" s="495"/>
      <c r="E80" s="441" t="str">
        <f>IFERROR(__xludf.DUMMYFUNCTION("if(and(D80&lt;&gt;0,D80&lt;&gt;""""),D80/GOOGLEFINANCE(C80,""price"")-1,"""")"),"")</f>
        <v/>
      </c>
      <c r="F80" s="442" t="str">
        <f>IFERROR(__xludf.DUMMYFUNCTION("GOOGLEFINANCE(C80,""price"")"),"#N/A")</f>
        <v>#N/A</v>
      </c>
      <c r="G80" s="441" t="str">
        <f t="shared" si="6"/>
        <v/>
      </c>
      <c r="H80" s="443"/>
      <c r="I80" s="443"/>
      <c r="J80" s="445"/>
      <c r="K80" s="445"/>
      <c r="L80" s="446"/>
      <c r="M80" s="447">
        <f t="shared" si="7"/>
        <v>-119.9023034</v>
      </c>
      <c r="N80" s="445">
        <f t="shared" si="8"/>
        <v>0</v>
      </c>
      <c r="O80" s="446"/>
      <c r="P80" s="448"/>
      <c r="Q80" s="447"/>
      <c r="R80" s="449"/>
      <c r="S80" s="449"/>
      <c r="T80" s="449"/>
      <c r="U80" s="450" t="s">
        <v>1660</v>
      </c>
      <c r="V80" s="414"/>
      <c r="W80" s="414"/>
      <c r="X80" s="414"/>
      <c r="Y80" s="414"/>
      <c r="Z80" s="414"/>
      <c r="AA80" s="414"/>
      <c r="AB80" s="414"/>
      <c r="AC80" s="414"/>
      <c r="AD80" s="414"/>
      <c r="AE80" s="414"/>
      <c r="AF80" s="414"/>
      <c r="AG80" s="414"/>
      <c r="AH80" s="414"/>
      <c r="AI80" s="414"/>
      <c r="AJ80" s="414"/>
      <c r="AK80" s="414"/>
      <c r="AL80" s="414"/>
      <c r="AM80" s="414"/>
      <c r="AN80" s="414"/>
      <c r="AO80" s="414"/>
      <c r="AP80" s="414"/>
      <c r="AQ80" s="414"/>
      <c r="AR80" s="414"/>
      <c r="AS80" s="414"/>
      <c r="AT80" s="414"/>
      <c r="AU80" s="414"/>
      <c r="AV80" s="414"/>
      <c r="AW80" s="414"/>
      <c r="AX80" s="414"/>
      <c r="AY80" s="414"/>
      <c r="AZ80" s="414"/>
      <c r="BA80" s="414"/>
      <c r="BB80" s="414"/>
      <c r="BC80" s="414"/>
      <c r="BD80" s="414"/>
      <c r="BE80" s="414"/>
      <c r="BF80" s="414"/>
      <c r="BG80" s="414"/>
      <c r="BH80" s="414"/>
      <c r="BI80" s="414"/>
      <c r="BJ80" s="414"/>
      <c r="BK80" s="414"/>
      <c r="BL80" s="414"/>
      <c r="BM80" s="414"/>
      <c r="BN80" s="414"/>
      <c r="BO80" s="414"/>
      <c r="BP80" s="414"/>
      <c r="BQ80" s="414"/>
      <c r="BR80" s="414"/>
      <c r="BS80" s="414"/>
      <c r="BT80" s="414"/>
      <c r="BU80" s="414"/>
      <c r="BV80" s="414"/>
      <c r="BW80" s="414"/>
      <c r="BX80" s="414"/>
      <c r="BY80" s="414"/>
      <c r="BZ80" s="414"/>
      <c r="CA80" s="414"/>
      <c r="CB80" s="414"/>
      <c r="CC80" s="414"/>
      <c r="CD80" s="414"/>
      <c r="CE80" s="414"/>
      <c r="CF80" s="414"/>
      <c r="CG80" s="414"/>
      <c r="CH80" s="414"/>
      <c r="CI80" s="414"/>
      <c r="CJ80" s="414"/>
      <c r="CK80" s="414"/>
      <c r="CL80" s="414"/>
      <c r="CM80" s="414"/>
      <c r="CN80" s="414"/>
      <c r="CO80" s="414"/>
      <c r="CP80" s="414"/>
      <c r="CQ80" s="414"/>
      <c r="CR80" s="414"/>
      <c r="CS80" s="414"/>
      <c r="CT80" s="414"/>
      <c r="CU80" s="414"/>
      <c r="CV80" s="414"/>
      <c r="CW80" s="414"/>
      <c r="CX80" s="414"/>
      <c r="CY80" s="414"/>
      <c r="CZ80" s="414"/>
      <c r="DA80" s="414"/>
      <c r="DB80" s="414"/>
      <c r="DC80" s="414"/>
      <c r="DD80" s="414"/>
      <c r="DE80" s="414"/>
      <c r="DF80" s="414"/>
      <c r="DG80" s="414"/>
      <c r="DH80" s="414"/>
      <c r="DI80" s="414"/>
      <c r="DJ80" s="414"/>
      <c r="DK80" s="414"/>
      <c r="DL80" s="414"/>
      <c r="DM80" s="414"/>
      <c r="DN80" s="414"/>
      <c r="DO80" s="414"/>
      <c r="DP80" s="414"/>
      <c r="DQ80" s="414"/>
      <c r="DR80" s="414"/>
      <c r="DS80" s="414"/>
      <c r="DT80" s="414"/>
      <c r="DU80" s="414"/>
      <c r="DV80" s="414"/>
      <c r="DW80" s="414"/>
    </row>
    <row r="81" ht="15.0" customHeight="1">
      <c r="A81" s="366">
        <v>40406.0</v>
      </c>
      <c r="B81" s="367" t="s">
        <v>1662</v>
      </c>
      <c r="C81" s="367" t="s">
        <v>1663</v>
      </c>
      <c r="D81" s="534"/>
      <c r="E81" s="345" t="str">
        <f>IFERROR(__xludf.DUMMYFUNCTION("if(and(D81&lt;&gt;0,D81&lt;&gt;""""),D81/GOOGLEFINANCE(C81,""price"")-1,"""")"),"")</f>
        <v/>
      </c>
      <c r="F81" s="364">
        <f>IFERROR(__xludf.DUMMYFUNCTION("GOOGLEFINANCE(C81,""price"")"),44.24)</f>
        <v>44.24</v>
      </c>
      <c r="G81" s="345">
        <f t="shared" si="6"/>
        <v>1.001648761</v>
      </c>
      <c r="H81" s="347">
        <v>40.0</v>
      </c>
      <c r="I81" s="347">
        <f>(3.9)*($I$1+8)</f>
        <v>88.55294118</v>
      </c>
      <c r="J81" s="349"/>
      <c r="K81" s="349"/>
      <c r="L81" s="350"/>
      <c r="M81" s="351">
        <f t="shared" si="7"/>
        <v>-119.9023034</v>
      </c>
      <c r="N81" s="349">
        <f t="shared" si="8"/>
        <v>0</v>
      </c>
      <c r="O81" s="350"/>
      <c r="P81" s="434"/>
      <c r="Q81" s="351"/>
      <c r="R81" s="435"/>
      <c r="S81" s="435"/>
      <c r="T81" s="435"/>
      <c r="U81" s="436" t="s">
        <v>1665</v>
      </c>
      <c r="V81" s="367"/>
      <c r="W81" s="367"/>
      <c r="X81" s="367"/>
      <c r="Y81" s="367"/>
      <c r="Z81" s="367"/>
      <c r="AA81" s="367"/>
      <c r="AB81" s="367"/>
      <c r="AC81" s="367"/>
      <c r="AD81" s="367"/>
      <c r="AE81" s="367"/>
      <c r="AF81" s="367"/>
      <c r="AG81" s="367"/>
      <c r="AH81" s="367"/>
      <c r="AI81" s="367"/>
      <c r="AJ81" s="367"/>
      <c r="AK81" s="367"/>
      <c r="AL81" s="367"/>
      <c r="AM81" s="367"/>
      <c r="AN81" s="367"/>
      <c r="AO81" s="367"/>
      <c r="AP81" s="367"/>
      <c r="AQ81" s="367"/>
      <c r="AR81" s="367"/>
      <c r="AS81" s="367"/>
      <c r="AT81" s="367"/>
      <c r="AU81" s="367"/>
      <c r="AV81" s="367"/>
      <c r="AW81" s="367"/>
      <c r="AX81" s="367"/>
      <c r="AY81" s="367"/>
      <c r="AZ81" s="367"/>
      <c r="BA81" s="367"/>
      <c r="BB81" s="367"/>
      <c r="BC81" s="367"/>
      <c r="BD81" s="367"/>
      <c r="BE81" s="367"/>
      <c r="BF81" s="367"/>
      <c r="BG81" s="367"/>
      <c r="BH81" s="367"/>
      <c r="BI81" s="367"/>
      <c r="BJ81" s="367"/>
      <c r="BK81" s="367"/>
      <c r="BL81" s="367"/>
      <c r="BM81" s="367"/>
      <c r="BN81" s="367"/>
      <c r="BO81" s="367"/>
      <c r="BP81" s="367"/>
      <c r="BQ81" s="367"/>
      <c r="BR81" s="367"/>
      <c r="BS81" s="367"/>
      <c r="BT81" s="367"/>
      <c r="BU81" s="367"/>
      <c r="BV81" s="367"/>
      <c r="BW81" s="367"/>
      <c r="BX81" s="367"/>
      <c r="BY81" s="367"/>
      <c r="BZ81" s="367"/>
      <c r="CA81" s="367"/>
      <c r="CB81" s="367"/>
      <c r="CC81" s="367"/>
      <c r="CD81" s="367"/>
      <c r="CE81" s="367"/>
      <c r="CF81" s="367"/>
      <c r="CG81" s="367"/>
      <c r="CH81" s="367"/>
      <c r="CI81" s="367"/>
      <c r="CJ81" s="367"/>
      <c r="CK81" s="367"/>
      <c r="CL81" s="367"/>
      <c r="CM81" s="367"/>
      <c r="CN81" s="367"/>
      <c r="CO81" s="367"/>
      <c r="CP81" s="367"/>
      <c r="CQ81" s="367"/>
      <c r="CR81" s="367"/>
      <c r="CS81" s="367"/>
      <c r="CT81" s="367"/>
      <c r="CU81" s="367"/>
      <c r="CV81" s="367"/>
      <c r="CW81" s="367"/>
      <c r="CX81" s="367"/>
      <c r="CY81" s="367"/>
      <c r="CZ81" s="367"/>
      <c r="DA81" s="367"/>
      <c r="DB81" s="367"/>
      <c r="DC81" s="367"/>
      <c r="DD81" s="367"/>
      <c r="DE81" s="367"/>
      <c r="DF81" s="367"/>
      <c r="DG81" s="367"/>
      <c r="DH81" s="367"/>
      <c r="DI81" s="367"/>
      <c r="DJ81" s="367"/>
      <c r="DK81" s="367"/>
      <c r="DL81" s="367"/>
      <c r="DM81" s="367"/>
      <c r="DN81" s="367"/>
      <c r="DO81" s="367"/>
      <c r="DP81" s="367"/>
      <c r="DQ81" s="367"/>
      <c r="DR81" s="367"/>
      <c r="DS81" s="367"/>
      <c r="DT81" s="367"/>
      <c r="DU81" s="367"/>
      <c r="DV81" s="367"/>
      <c r="DW81" s="367"/>
    </row>
    <row r="82" ht="15.0" customHeight="1">
      <c r="A82" s="301">
        <v>40193.0</v>
      </c>
      <c r="B82" s="319" t="s">
        <v>1666</v>
      </c>
      <c r="C82" s="319" t="s">
        <v>1667</v>
      </c>
      <c r="D82" s="535"/>
      <c r="E82" s="536" t="str">
        <f>IFERROR(__xludf.DUMMYFUNCTION("if(and(D82&lt;&gt;0,D82&lt;&gt;""""),D82/GOOGLEFINANCE(C82,""price"")-1,"""")"),"")</f>
        <v/>
      </c>
      <c r="F82" s="322">
        <f>IFERROR(__xludf.DUMMYFUNCTION("GOOGLEFINANCE(C82,""price"")"),19.12)</f>
        <v>19.12</v>
      </c>
      <c r="G82" s="536" t="str">
        <f t="shared" si="6"/>
        <v/>
      </c>
      <c r="H82" s="325">
        <v>7.0</v>
      </c>
      <c r="I82" s="325"/>
      <c r="J82" s="313"/>
      <c r="K82" s="313"/>
      <c r="L82" s="314"/>
      <c r="M82" s="312">
        <f t="shared" si="7"/>
        <v>-119.9023034</v>
      </c>
      <c r="N82" s="313">
        <f t="shared" si="8"/>
        <v>0</v>
      </c>
      <c r="O82" s="314"/>
      <c r="P82" s="315"/>
      <c r="Q82" s="312"/>
      <c r="R82" s="316"/>
      <c r="S82" s="316"/>
      <c r="T82" s="316"/>
      <c r="U82" s="317" t="s">
        <v>1670</v>
      </c>
      <c r="V82" s="319"/>
      <c r="W82" s="319"/>
      <c r="X82" s="319"/>
      <c r="Y82" s="319"/>
      <c r="Z82" s="319"/>
      <c r="AA82" s="319"/>
      <c r="AB82" s="319"/>
      <c r="AC82" s="319"/>
      <c r="AD82" s="319"/>
      <c r="AE82" s="319"/>
      <c r="AF82" s="319"/>
      <c r="AG82" s="319"/>
      <c r="AH82" s="319"/>
      <c r="AI82" s="319"/>
      <c r="AJ82" s="319"/>
      <c r="AK82" s="319"/>
      <c r="AL82" s="319"/>
      <c r="AM82" s="319"/>
      <c r="AN82" s="319"/>
      <c r="AO82" s="319"/>
      <c r="AP82" s="319"/>
      <c r="AQ82" s="319"/>
      <c r="AR82" s="319"/>
      <c r="AS82" s="319"/>
      <c r="AT82" s="319"/>
      <c r="AU82" s="319"/>
      <c r="AV82" s="319"/>
      <c r="AW82" s="319"/>
      <c r="AX82" s="319"/>
      <c r="AY82" s="319"/>
      <c r="AZ82" s="319"/>
      <c r="BA82" s="319"/>
      <c r="BB82" s="319"/>
      <c r="BC82" s="319"/>
      <c r="BD82" s="319"/>
      <c r="BE82" s="319"/>
      <c r="BF82" s="319"/>
      <c r="BG82" s="319"/>
      <c r="BH82" s="319"/>
      <c r="BI82" s="319"/>
      <c r="BJ82" s="319"/>
      <c r="BK82" s="319"/>
      <c r="BL82" s="319"/>
      <c r="BM82" s="319"/>
      <c r="BN82" s="319"/>
      <c r="BO82" s="319"/>
      <c r="BP82" s="319"/>
      <c r="BQ82" s="319"/>
      <c r="BR82" s="319"/>
      <c r="BS82" s="319"/>
      <c r="BT82" s="319"/>
      <c r="BU82" s="319"/>
      <c r="BV82" s="319"/>
      <c r="BW82" s="319"/>
      <c r="BX82" s="319"/>
      <c r="BY82" s="319"/>
      <c r="BZ82" s="319"/>
      <c r="CA82" s="319"/>
      <c r="CB82" s="319"/>
      <c r="CC82" s="319"/>
      <c r="CD82" s="319"/>
      <c r="CE82" s="319"/>
      <c r="CF82" s="319"/>
      <c r="CG82" s="319"/>
      <c r="CH82" s="319"/>
      <c r="CI82" s="319"/>
      <c r="CJ82" s="319"/>
      <c r="CK82" s="319"/>
      <c r="CL82" s="319"/>
      <c r="CM82" s="319"/>
      <c r="CN82" s="319"/>
      <c r="CO82" s="319"/>
      <c r="CP82" s="319"/>
      <c r="CQ82" s="319"/>
      <c r="CR82" s="319"/>
      <c r="CS82" s="319"/>
      <c r="CT82" s="319"/>
      <c r="CU82" s="319"/>
      <c r="CV82" s="319"/>
      <c r="CW82" s="319"/>
      <c r="CX82" s="319"/>
      <c r="CY82" s="319"/>
      <c r="CZ82" s="319"/>
      <c r="DA82" s="319"/>
      <c r="DB82" s="319"/>
      <c r="DC82" s="319"/>
      <c r="DD82" s="319"/>
      <c r="DE82" s="319"/>
      <c r="DF82" s="319"/>
      <c r="DG82" s="319"/>
      <c r="DH82" s="319"/>
      <c r="DI82" s="319"/>
      <c r="DJ82" s="319"/>
      <c r="DK82" s="319"/>
      <c r="DL82" s="319"/>
      <c r="DM82" s="319"/>
      <c r="DN82" s="319"/>
      <c r="DO82" s="319"/>
      <c r="DP82" s="319"/>
      <c r="DQ82" s="319"/>
      <c r="DR82" s="319"/>
      <c r="DS82" s="319"/>
      <c r="DT82" s="319"/>
      <c r="DU82" s="319"/>
      <c r="DV82" s="319"/>
      <c r="DW82" s="319"/>
    </row>
    <row r="83" ht="15.0" customHeight="1">
      <c r="A83" s="383">
        <v>40473.0</v>
      </c>
      <c r="B83" s="320" t="s">
        <v>1671</v>
      </c>
      <c r="C83" s="320" t="s">
        <v>1672</v>
      </c>
      <c r="D83" s="532"/>
      <c r="E83" s="374" t="str">
        <f>IFERROR(__xludf.DUMMYFUNCTION("if(and(D83&lt;&gt;0,D83&lt;&gt;""""),D83/GOOGLEFINANCE(C83,""price"")-1,"""")"),"")</f>
        <v/>
      </c>
      <c r="F83" s="375">
        <f>IFERROR(__xludf.DUMMYFUNCTION("GOOGLEFINANCE(C83,""price"")"),787.87)</f>
        <v>787.87</v>
      </c>
      <c r="G83" s="374">
        <f t="shared" si="6"/>
        <v>-0.629388595</v>
      </c>
      <c r="H83" s="376">
        <v>150.0</v>
      </c>
      <c r="I83" s="376">
        <f>N83*($I$1+O83*100)</f>
        <v>291.9936077</v>
      </c>
      <c r="J83" s="377">
        <v>8.52</v>
      </c>
      <c r="K83" s="377">
        <v>11.98</v>
      </c>
      <c r="L83" s="378">
        <v>43465.0</v>
      </c>
      <c r="M83" s="379">
        <f t="shared" si="7"/>
        <v>-0.820111578</v>
      </c>
      <c r="N83" s="380">
        <f t="shared" si="8"/>
        <v>14.81758606</v>
      </c>
      <c r="O83" s="370">
        <v>0.05</v>
      </c>
      <c r="P83" s="370"/>
      <c r="Q83" s="371"/>
      <c r="R83" s="378"/>
      <c r="S83" s="378">
        <v>43466.0</v>
      </c>
      <c r="T83" s="381" t="s">
        <v>1223</v>
      </c>
      <c r="U83" s="417" t="s">
        <v>1674</v>
      </c>
      <c r="V83" s="367"/>
      <c r="W83" s="367"/>
      <c r="X83" s="367"/>
      <c r="Y83" s="367"/>
      <c r="Z83" s="367"/>
      <c r="AA83" s="367"/>
      <c r="AB83" s="367"/>
      <c r="AC83" s="367"/>
      <c r="AD83" s="367"/>
      <c r="AE83" s="367"/>
      <c r="AF83" s="367"/>
      <c r="AG83" s="367"/>
      <c r="AH83" s="367"/>
      <c r="AI83" s="367"/>
      <c r="AJ83" s="367"/>
      <c r="AK83" s="367"/>
      <c r="AL83" s="367"/>
      <c r="AM83" s="367"/>
      <c r="AN83" s="367"/>
      <c r="AO83" s="367"/>
      <c r="AP83" s="367"/>
      <c r="AQ83" s="367"/>
      <c r="AR83" s="367"/>
      <c r="AS83" s="367"/>
      <c r="AT83" s="367"/>
      <c r="AU83" s="367"/>
      <c r="AV83" s="367"/>
      <c r="AW83" s="367"/>
      <c r="AX83" s="367"/>
      <c r="AY83" s="367"/>
      <c r="AZ83" s="367"/>
      <c r="BA83" s="367"/>
      <c r="BB83" s="367"/>
      <c r="BC83" s="367"/>
      <c r="BD83" s="367"/>
      <c r="BE83" s="367"/>
      <c r="BF83" s="367"/>
      <c r="BG83" s="367"/>
      <c r="BH83" s="367"/>
      <c r="BI83" s="367"/>
      <c r="BJ83" s="367"/>
      <c r="BK83" s="367"/>
      <c r="BL83" s="367"/>
      <c r="BM83" s="367"/>
      <c r="BN83" s="367"/>
      <c r="BO83" s="367"/>
      <c r="BP83" s="367"/>
      <c r="BQ83" s="367"/>
      <c r="BR83" s="367"/>
      <c r="BS83" s="367"/>
      <c r="BT83" s="367"/>
      <c r="BU83" s="367"/>
      <c r="BV83" s="367"/>
      <c r="BW83" s="367"/>
      <c r="BX83" s="367"/>
      <c r="BY83" s="367"/>
      <c r="BZ83" s="367"/>
      <c r="CA83" s="367"/>
      <c r="CB83" s="367"/>
      <c r="CC83" s="367"/>
      <c r="CD83" s="367"/>
      <c r="CE83" s="367"/>
      <c r="CF83" s="367"/>
      <c r="CG83" s="367"/>
      <c r="CH83" s="367"/>
      <c r="CI83" s="367"/>
      <c r="CJ83" s="367"/>
      <c r="CK83" s="367"/>
      <c r="CL83" s="367"/>
      <c r="CM83" s="367"/>
      <c r="CN83" s="367"/>
      <c r="CO83" s="367"/>
      <c r="CP83" s="367"/>
      <c r="CQ83" s="367"/>
      <c r="CR83" s="367"/>
      <c r="CS83" s="367"/>
      <c r="CT83" s="367"/>
      <c r="CU83" s="367"/>
      <c r="CV83" s="367"/>
      <c r="CW83" s="367"/>
      <c r="CX83" s="367"/>
      <c r="CY83" s="367"/>
      <c r="CZ83" s="367"/>
      <c r="DA83" s="367"/>
      <c r="DB83" s="367"/>
      <c r="DC83" s="367"/>
      <c r="DD83" s="367"/>
      <c r="DE83" s="367"/>
      <c r="DF83" s="367"/>
      <c r="DG83" s="367"/>
      <c r="DH83" s="367"/>
      <c r="DI83" s="367"/>
      <c r="DJ83" s="367"/>
      <c r="DK83" s="367"/>
      <c r="DL83" s="367"/>
      <c r="DM83" s="367"/>
      <c r="DN83" s="367"/>
      <c r="DO83" s="367"/>
      <c r="DP83" s="367"/>
      <c r="DQ83" s="367"/>
      <c r="DR83" s="367"/>
      <c r="DS83" s="367"/>
      <c r="DT83" s="367"/>
      <c r="DU83" s="367"/>
      <c r="DV83" s="367"/>
      <c r="DW83" s="367"/>
    </row>
    <row r="84" ht="15.0" customHeight="1">
      <c r="A84" s="394">
        <v>40629.0</v>
      </c>
      <c r="B84" s="302" t="s">
        <v>1675</v>
      </c>
      <c r="C84" s="302" t="s">
        <v>1676</v>
      </c>
      <c r="D84" s="422"/>
      <c r="E84" s="396" t="str">
        <f>IFERROR(__xludf.DUMMYFUNCTION("if(and(D84&lt;&gt;0,D84&lt;&gt;""""),D84/GOOGLEFINANCE(C84,""price"")-1,"""")"),"")</f>
        <v/>
      </c>
      <c r="F84" s="442">
        <f>IFERROR(__xludf.DUMMYFUNCTION("GOOGLEFINANCE(C84,""price"")"),178.52)</f>
        <v>178.52</v>
      </c>
      <c r="G84" s="396">
        <f t="shared" si="6"/>
        <v>-0.4118306072</v>
      </c>
      <c r="H84" s="398"/>
      <c r="I84" s="443">
        <f>10.5*10</f>
        <v>105</v>
      </c>
      <c r="J84" s="403"/>
      <c r="K84" s="403"/>
      <c r="L84" s="410"/>
      <c r="M84" s="402">
        <f t="shared" si="7"/>
        <v>-119.9023034</v>
      </c>
      <c r="N84" s="403">
        <f t="shared" si="8"/>
        <v>0</v>
      </c>
      <c r="O84" s="410"/>
      <c r="P84" s="411"/>
      <c r="Q84" s="402"/>
      <c r="R84" s="412"/>
      <c r="S84" s="412"/>
      <c r="T84" s="412"/>
      <c r="U84" s="413" t="s">
        <v>1677</v>
      </c>
      <c r="V84" s="414"/>
      <c r="W84" s="414"/>
      <c r="X84" s="414"/>
      <c r="Y84" s="414"/>
      <c r="Z84" s="414"/>
      <c r="AA84" s="414"/>
      <c r="AB84" s="414"/>
      <c r="AC84" s="414"/>
      <c r="AD84" s="414"/>
      <c r="AE84" s="414"/>
      <c r="AF84" s="414"/>
      <c r="AG84" s="414"/>
      <c r="AH84" s="414"/>
      <c r="AI84" s="414"/>
      <c r="AJ84" s="414"/>
      <c r="AK84" s="414"/>
      <c r="AL84" s="414"/>
      <c r="AM84" s="414"/>
      <c r="AN84" s="414"/>
      <c r="AO84" s="414"/>
      <c r="AP84" s="414"/>
      <c r="AQ84" s="414"/>
      <c r="AR84" s="414"/>
      <c r="AS84" s="414"/>
      <c r="AT84" s="414"/>
      <c r="AU84" s="414"/>
      <c r="AV84" s="414"/>
      <c r="AW84" s="414"/>
      <c r="AX84" s="414"/>
      <c r="AY84" s="414"/>
      <c r="AZ84" s="414"/>
      <c r="BA84" s="414"/>
      <c r="BB84" s="414"/>
      <c r="BC84" s="414"/>
      <c r="BD84" s="414"/>
      <c r="BE84" s="414"/>
      <c r="BF84" s="414"/>
      <c r="BG84" s="414"/>
      <c r="BH84" s="414"/>
      <c r="BI84" s="414"/>
      <c r="BJ84" s="414"/>
      <c r="BK84" s="414"/>
      <c r="BL84" s="414"/>
      <c r="BM84" s="414"/>
      <c r="BN84" s="414"/>
      <c r="BO84" s="414"/>
      <c r="BP84" s="414"/>
      <c r="BQ84" s="414"/>
      <c r="BR84" s="414"/>
      <c r="BS84" s="414"/>
      <c r="BT84" s="414"/>
      <c r="BU84" s="414"/>
      <c r="BV84" s="414"/>
      <c r="BW84" s="414"/>
      <c r="BX84" s="414"/>
      <c r="BY84" s="414"/>
      <c r="BZ84" s="414"/>
      <c r="CA84" s="414"/>
      <c r="CB84" s="414"/>
      <c r="CC84" s="414"/>
      <c r="CD84" s="414"/>
      <c r="CE84" s="414"/>
      <c r="CF84" s="414"/>
      <c r="CG84" s="414"/>
      <c r="CH84" s="414"/>
      <c r="CI84" s="414"/>
      <c r="CJ84" s="414"/>
      <c r="CK84" s="414"/>
      <c r="CL84" s="414"/>
      <c r="CM84" s="414"/>
      <c r="CN84" s="414"/>
      <c r="CO84" s="414"/>
      <c r="CP84" s="414"/>
      <c r="CQ84" s="414"/>
      <c r="CR84" s="414"/>
      <c r="CS84" s="414"/>
      <c r="CT84" s="414"/>
      <c r="CU84" s="414"/>
      <c r="CV84" s="414"/>
      <c r="CW84" s="414"/>
      <c r="CX84" s="414"/>
      <c r="CY84" s="414"/>
      <c r="CZ84" s="414"/>
      <c r="DA84" s="414"/>
      <c r="DB84" s="414"/>
      <c r="DC84" s="414"/>
      <c r="DD84" s="414"/>
      <c r="DE84" s="414"/>
      <c r="DF84" s="414"/>
      <c r="DG84" s="414"/>
      <c r="DH84" s="414"/>
      <c r="DI84" s="414"/>
      <c r="DJ84" s="414"/>
      <c r="DK84" s="414"/>
      <c r="DL84" s="414"/>
      <c r="DM84" s="414"/>
      <c r="DN84" s="414"/>
      <c r="DO84" s="414"/>
      <c r="DP84" s="414"/>
      <c r="DQ84" s="414"/>
      <c r="DR84" s="414"/>
      <c r="DS84" s="414"/>
      <c r="DT84" s="414"/>
      <c r="DU84" s="414"/>
      <c r="DV84" s="414"/>
      <c r="DW84" s="414"/>
    </row>
    <row r="85" ht="15.0" customHeight="1">
      <c r="A85" s="383">
        <v>40202.0</v>
      </c>
      <c r="B85" s="320" t="s">
        <v>1678</v>
      </c>
      <c r="C85" s="320" t="s">
        <v>1199</v>
      </c>
      <c r="D85" s="373">
        <v>70.0</v>
      </c>
      <c r="E85" s="374">
        <f>IFERROR(__xludf.DUMMYFUNCTION("if(and(D85&lt;&gt;0,D85&lt;&gt;""""),D85/GOOGLEFINANCE(C85,""price"")-1,"""")"),-0.21321793863099925)</f>
        <v>-0.2132179386</v>
      </c>
      <c r="F85" s="375">
        <f>IFERROR(__xludf.DUMMYFUNCTION("GOOGLEFINANCE(C85,""price"")"),88.97)</f>
        <v>88.97</v>
      </c>
      <c r="G85" s="374">
        <f t="shared" si="6"/>
        <v>0.1195517393</v>
      </c>
      <c r="H85" s="376">
        <v>60.0</v>
      </c>
      <c r="I85" s="347">
        <f>N85*($I$1+O85*100)</f>
        <v>99.60651824</v>
      </c>
      <c r="J85" s="377">
        <v>4.62</v>
      </c>
      <c r="K85" s="377">
        <v>5.15</v>
      </c>
      <c r="L85" s="378">
        <v>43830.0</v>
      </c>
      <c r="M85" s="379">
        <f t="shared" si="7"/>
        <v>0.1798884252</v>
      </c>
      <c r="N85" s="380">
        <f t="shared" si="8"/>
        <v>5.054659135</v>
      </c>
      <c r="O85" s="370">
        <v>0.05</v>
      </c>
      <c r="P85" s="370">
        <v>0.14</v>
      </c>
      <c r="Q85" s="371">
        <f>I85/N85</f>
        <v>19.70588235</v>
      </c>
      <c r="R85" s="381">
        <v>6.0</v>
      </c>
      <c r="S85" s="378">
        <v>43745.0</v>
      </c>
      <c r="T85" s="381" t="s">
        <v>1223</v>
      </c>
      <c r="U85" s="386" t="s">
        <v>1681</v>
      </c>
      <c r="V85" s="429">
        <f>O85</f>
        <v>0.05</v>
      </c>
      <c r="W85" s="430">
        <f>max(min(Valu!$C$15,$O85),$O85-max($O85-Valu!$C$15,0)/$R85*(W$3-1))</f>
        <v>0.04666666667</v>
      </c>
      <c r="X85" s="430">
        <f>max(min(Valu!$C$15,$O85),$O85-max($O85-Valu!$C$15,0)/$R85*(X$3-1))</f>
        <v>0.04333333333</v>
      </c>
      <c r="Y85" s="430">
        <f>max(min(Valu!$C$15,$O85),$O85-max($O85-Valu!$C$15,0)/$R85*(Y$3-1))</f>
        <v>0.04</v>
      </c>
      <c r="Z85" s="430">
        <f>max(min(Valu!$C$15,$O85),$O85-max($O85-Valu!$C$15,0)/$R85*(Z$3-1))</f>
        <v>0.03666666667</v>
      </c>
      <c r="AA85" s="430">
        <f>max(min(Valu!$C$15,$O85),$O85-max($O85-Valu!$C$15,0)/$R85*(AA$3-1))</f>
        <v>0.03333333333</v>
      </c>
      <c r="AB85" s="430">
        <f>max(min(Valu!$C$15,$O85),$O85-max($O85-Valu!$C$15,0)/$R85*(AB$3-1))</f>
        <v>0.03</v>
      </c>
      <c r="AC85" s="430">
        <f>max(min(Valu!$C$15,$O85),$O85-max($O85-Valu!$C$15,0)/$R85*(AC$3-1))</f>
        <v>0.03</v>
      </c>
      <c r="AD85" s="430">
        <f>max(min(Valu!$C$15,$O85),$O85-max($O85-Valu!$C$15,0)/$R85*(AD$3-1))</f>
        <v>0.03</v>
      </c>
      <c r="AE85" s="430">
        <f>max(min(Valu!$C$15,$O85),$O85-max($O85-Valu!$C$15,0)/$R85*(AE$3-1))</f>
        <v>0.03</v>
      </c>
      <c r="AF85" s="430">
        <f>max(min(Valu!$C$15,$O85),$O85-max($O85-Valu!$C$15,0)/$R85*(AF$3-1))</f>
        <v>0.03</v>
      </c>
      <c r="AG85" s="430">
        <f>max(min(Valu!$C$15,$O85),$O85-max($O85-Valu!$C$15,0)/$R85*(AG$3-1))</f>
        <v>0.03</v>
      </c>
      <c r="AH85" s="430">
        <f>max(min(Valu!$C$15,$O85),$O85-max($O85-Valu!$C$15,0)/$R85*(AH$3-1))</f>
        <v>0.03</v>
      </c>
      <c r="AI85" s="430">
        <f>max(min(Valu!$C$15,$O85),$O85-max($O85-Valu!$C$15,0)/$R85*(AI$3-1))</f>
        <v>0.03</v>
      </c>
      <c r="AJ85" s="430">
        <f>max(min(Valu!$C$15,$O85),$O85-max($O85-Valu!$C$15,0)/$R85*(AJ$3-1))</f>
        <v>0.03</v>
      </c>
      <c r="AK85" s="430">
        <f>max(min(Valu!$C$15,$O85),$O85-max($O85-Valu!$C$15,0)/$R85*(AK$3-1))</f>
        <v>0.03</v>
      </c>
      <c r="AL85" s="430">
        <f>max(min(Valu!$C$15,$O85),$O85-max($O85-Valu!$C$15,0)/$R85*(AL$3-1))</f>
        <v>0.03</v>
      </c>
      <c r="AM85" s="430">
        <f>max(min(Valu!$C$15,$O85),$O85-max($O85-Valu!$C$15,0)/$R85*(AM$3-1))</f>
        <v>0.03</v>
      </c>
      <c r="AN85" s="430">
        <f>max(min(Valu!$C$15,$O85),$O85-max($O85-Valu!$C$15,0)/$R85*(AN$3-1))</f>
        <v>0.03</v>
      </c>
      <c r="AO85" s="430">
        <f>max(min(Valu!$C$15,$O85),$O85-max($O85-Valu!$C$15,0)/$R85*(AO$3-1))</f>
        <v>0.03</v>
      </c>
      <c r="AP85" s="430">
        <f>max(min(Valu!$C$14,$P85),$P85-max($P85-Valu!$C$14,0)/$R85*(AP$3-1))</f>
        <v>0.14</v>
      </c>
      <c r="AQ85" s="430">
        <f>max(min(Valu!$C$14,$P85),$P85-max($P85-Valu!$C$14,0)/$R85*(AQ$3-1))</f>
        <v>0.1366666667</v>
      </c>
      <c r="AR85" s="430">
        <f>max(min(Valu!$C$14,$P85),$P85-max($P85-Valu!$C$14,0)/$R85*(AR$3-1))</f>
        <v>0.1333333333</v>
      </c>
      <c r="AS85" s="430">
        <f>max(min(Valu!$C$14,$P85),$P85-max($P85-Valu!$C$14,0)/$R85*(AS$3-1))</f>
        <v>0.13</v>
      </c>
      <c r="AT85" s="430">
        <f>max(min(Valu!$C$14,$P85),$P85-max($P85-Valu!$C$14,0)/$R85*(AT$3-1))</f>
        <v>0.1266666667</v>
      </c>
      <c r="AU85" s="430">
        <f>max(min(Valu!$C$14,$P85),$P85-max($P85-Valu!$C$14,0)/$R85*(AU$3-1))</f>
        <v>0.1233333333</v>
      </c>
      <c r="AV85" s="430">
        <f>max(min(Valu!$C$14,$P85),$P85-max($P85-Valu!$C$14,0)/$R85*(AV$3-1))</f>
        <v>0.12</v>
      </c>
      <c r="AW85" s="430">
        <f>max(min(Valu!$C$14,$P85),$P85-max($P85-Valu!$C$14,0)/$R85*(AW$3-1))</f>
        <v>0.12</v>
      </c>
      <c r="AX85" s="430">
        <f>max(min(Valu!$C$14,$P85),$P85-max($P85-Valu!$C$14,0)/$R85*(AX$3-1))</f>
        <v>0.12</v>
      </c>
      <c r="AY85" s="430">
        <f>max(min(Valu!$C$14,$P85),$P85-max($P85-Valu!$C$14,0)/$R85*(AY$3-1))</f>
        <v>0.12</v>
      </c>
      <c r="AZ85" s="430">
        <f>max(min(Valu!$C$14,$P85),$P85-max($P85-Valu!$C$14,0)/$R85*(AZ$3-1))</f>
        <v>0.12</v>
      </c>
      <c r="BA85" s="430">
        <f>max(min(Valu!$C$14,$P85),$P85-max($P85-Valu!$C$14,0)/$R85*(BA$3-1))</f>
        <v>0.12</v>
      </c>
      <c r="BB85" s="430">
        <f>max(min(Valu!$C$14,$P85),$P85-max($P85-Valu!$C$14,0)/$R85*(BB$3-1))</f>
        <v>0.12</v>
      </c>
      <c r="BC85" s="430">
        <f>max(min(Valu!$C$14,$P85),$P85-max($P85-Valu!$C$14,0)/$R85*(BC$3-1))</f>
        <v>0.12</v>
      </c>
      <c r="BD85" s="430">
        <f>max(min(Valu!$C$14,$P85),$P85-max($P85-Valu!$C$14,0)/$R85*(BD$3-1))</f>
        <v>0.12</v>
      </c>
      <c r="BE85" s="430">
        <f>max(min(Valu!$C$14,$P85),$P85-max($P85-Valu!$C$14,0)/$R85*(BE$3-1))</f>
        <v>0.12</v>
      </c>
      <c r="BF85" s="430">
        <f>max(min(Valu!$C$14,$P85),$P85-max($P85-Valu!$C$14,0)/$R85*(BF$3-1))</f>
        <v>0.12</v>
      </c>
      <c r="BG85" s="430">
        <f>max(min(Valu!$C$14,$P85),$P85-max($P85-Valu!$C$14,0)/$R85*(BG$3-1))</f>
        <v>0.12</v>
      </c>
      <c r="BH85" s="430">
        <f>max(min(Valu!$C$14,$P85),$P85-max($P85-Valu!$C$14,0)/$R85*(BH$3-1))</f>
        <v>0.12</v>
      </c>
      <c r="BI85" s="430">
        <f>max(min(Valu!$C$14,$P85),$P85-max($P85-Valu!$C$14,0)/$R85*(BI$3-1))</f>
        <v>0.12</v>
      </c>
      <c r="BJ85" s="431">
        <f>N85</f>
        <v>5.054659135</v>
      </c>
      <c r="BK85" s="432">
        <f>$BJ85*(1+V85)</f>
        <v>5.307392091</v>
      </c>
      <c r="BL85" s="432">
        <f t="shared" ref="BL85:CC85" si="33">BK85*(1+W85)</f>
        <v>5.555070389</v>
      </c>
      <c r="BM85" s="432">
        <f t="shared" si="33"/>
        <v>5.795790106</v>
      </c>
      <c r="BN85" s="432">
        <f t="shared" si="33"/>
        <v>6.02762171</v>
      </c>
      <c r="BO85" s="432">
        <f t="shared" si="33"/>
        <v>6.248634506</v>
      </c>
      <c r="BP85" s="432">
        <f t="shared" si="33"/>
        <v>6.456922323</v>
      </c>
      <c r="BQ85" s="432">
        <f t="shared" si="33"/>
        <v>6.650629993</v>
      </c>
      <c r="BR85" s="432">
        <f t="shared" si="33"/>
        <v>6.850148892</v>
      </c>
      <c r="BS85" s="432">
        <f t="shared" si="33"/>
        <v>7.055653359</v>
      </c>
      <c r="BT85" s="432">
        <f t="shared" si="33"/>
        <v>7.26732296</v>
      </c>
      <c r="BU85" s="432">
        <f t="shared" si="33"/>
        <v>7.485342649</v>
      </c>
      <c r="BV85" s="432">
        <f t="shared" si="33"/>
        <v>7.709902928</v>
      </c>
      <c r="BW85" s="432">
        <f t="shared" si="33"/>
        <v>7.941200016</v>
      </c>
      <c r="BX85" s="432">
        <f t="shared" si="33"/>
        <v>8.179436017</v>
      </c>
      <c r="BY85" s="432">
        <f t="shared" si="33"/>
        <v>8.424819097</v>
      </c>
      <c r="BZ85" s="432">
        <f t="shared" si="33"/>
        <v>8.67756367</v>
      </c>
      <c r="CA85" s="432">
        <f t="shared" si="33"/>
        <v>8.93789058</v>
      </c>
      <c r="CB85" s="432">
        <f t="shared" si="33"/>
        <v>9.206027297</v>
      </c>
      <c r="CC85" s="432">
        <f t="shared" si="33"/>
        <v>9.482208116</v>
      </c>
      <c r="CD85" s="432">
        <f t="shared" ref="CD85:CW85" si="34">BJ85*(1-V85/AP85)</f>
        <v>3.249423729</v>
      </c>
      <c r="CE85" s="432">
        <f t="shared" si="34"/>
        <v>3.495111865</v>
      </c>
      <c r="CF85" s="432">
        <f t="shared" si="34"/>
        <v>3.749672513</v>
      </c>
      <c r="CG85" s="432">
        <f t="shared" si="34"/>
        <v>4.012470073</v>
      </c>
      <c r="CH85" s="432">
        <f t="shared" si="34"/>
        <v>4.282783847</v>
      </c>
      <c r="CI85" s="432">
        <f t="shared" si="34"/>
        <v>4.559814369</v>
      </c>
      <c r="CJ85" s="432">
        <f t="shared" si="34"/>
        <v>4.842691742</v>
      </c>
      <c r="CK85" s="432">
        <f t="shared" si="34"/>
        <v>4.987972494</v>
      </c>
      <c r="CL85" s="432">
        <f t="shared" si="34"/>
        <v>5.137611669</v>
      </c>
      <c r="CM85" s="432">
        <f t="shared" si="34"/>
        <v>5.291740019</v>
      </c>
      <c r="CN85" s="432">
        <f t="shared" si="34"/>
        <v>5.45049222</v>
      </c>
      <c r="CO85" s="432">
        <f t="shared" si="34"/>
        <v>5.614006987</v>
      </c>
      <c r="CP85" s="432">
        <f t="shared" si="34"/>
        <v>5.782427196</v>
      </c>
      <c r="CQ85" s="432">
        <f t="shared" si="34"/>
        <v>5.955900012</v>
      </c>
      <c r="CR85" s="432">
        <f t="shared" si="34"/>
        <v>6.134577012</v>
      </c>
      <c r="CS85" s="432">
        <f t="shared" si="34"/>
        <v>6.318614323</v>
      </c>
      <c r="CT85" s="432">
        <f t="shared" si="34"/>
        <v>6.508172752</v>
      </c>
      <c r="CU85" s="432">
        <f t="shared" si="34"/>
        <v>6.703417935</v>
      </c>
      <c r="CV85" s="432">
        <f t="shared" si="34"/>
        <v>6.904520473</v>
      </c>
      <c r="CW85" s="432">
        <f t="shared" si="34"/>
        <v>7.111656087</v>
      </c>
      <c r="CX85" s="432">
        <f>CW85*(1+min(Valu!$C$15,$O85))/(Valu!$C$21-min(Valu!$C$15,$O85))</f>
        <v>192.7633097</v>
      </c>
      <c r="CY85" s="432">
        <f>CD85/(1+Valu!$C$21)^CY$3</f>
        <v>3.042531582</v>
      </c>
      <c r="CZ85" s="432">
        <f>CE85/(1+Valu!$C$21)^CZ$3</f>
        <v>3.064210349</v>
      </c>
      <c r="DA85" s="432">
        <f>CF85/(1+Valu!$C$21)^DA$3</f>
        <v>3.078077718</v>
      </c>
      <c r="DB85" s="432">
        <f>CG85/(1+Valu!$C$21)^DB$3</f>
        <v>3.084088241</v>
      </c>
      <c r="DC85" s="432">
        <f>CH85/(1+Valu!$C$21)^DC$3</f>
        <v>3.082264416</v>
      </c>
      <c r="DD85" s="432">
        <f>CI85/(1+Valu!$C$21)^DD$3</f>
        <v>3.072696365</v>
      </c>
      <c r="DE85" s="432">
        <f>CJ85/(1+Valu!$C$21)^DE$3</f>
        <v>3.055540584</v>
      </c>
      <c r="DF85" s="432">
        <f>CK85/(1+Valu!$C$21)^DF$3</f>
        <v>2.946822848</v>
      </c>
      <c r="DG85" s="432">
        <f>CL85/(1+Valu!$C$21)^DG$3</f>
        <v>2.841973346</v>
      </c>
      <c r="DH85" s="432">
        <f>CM85/(1+Valu!$C$21)^DH$3</f>
        <v>2.740854444</v>
      </c>
      <c r="DI85" s="432">
        <f>CN85/(1+Valu!$C$21)^DI$3</f>
        <v>2.643333405</v>
      </c>
      <c r="DJ85" s="432">
        <f>CO85/(1+Valu!$C$21)^DJ$3</f>
        <v>2.549282217</v>
      </c>
      <c r="DK85" s="432">
        <f>CP85/(1+Valu!$C$21)^DK$3</f>
        <v>2.458577419</v>
      </c>
      <c r="DL85" s="432">
        <f>CQ85/(1+Valu!$C$21)^DL$3</f>
        <v>2.371099945</v>
      </c>
      <c r="DM85" s="432">
        <f>CR85/(1+Valu!$C$21)^DM$3</f>
        <v>2.286734966</v>
      </c>
      <c r="DN85" s="432">
        <f>CS85/(1+Valu!$C$21)^DN$3</f>
        <v>2.205371737</v>
      </c>
      <c r="DO85" s="432">
        <f>CT85/(1+Valu!$C$21)^DO$3</f>
        <v>2.126903454</v>
      </c>
      <c r="DP85" s="432">
        <f>CU85/(1+Valu!$C$21)^DP$3</f>
        <v>2.051227114</v>
      </c>
      <c r="DQ85" s="432">
        <f>CV85/(1+Valu!$C$21)^DQ$3</f>
        <v>1.978243378</v>
      </c>
      <c r="DR85" s="432">
        <f>CW85/(1+Valu!$C$21)^DR$3</f>
        <v>1.907856441</v>
      </c>
      <c r="DS85" s="432">
        <f>CX85/(1+Valu!$C$21)^DS$3</f>
        <v>51.7129509</v>
      </c>
      <c r="DT85" s="344"/>
      <c r="DU85" s="344"/>
      <c r="DV85" s="344"/>
      <c r="DW85" s="344"/>
    </row>
    <row r="86" ht="15.0" customHeight="1">
      <c r="A86" s="494">
        <v>41074.0</v>
      </c>
      <c r="B86" s="414" t="s">
        <v>1694</v>
      </c>
      <c r="C86" s="414" t="s">
        <v>1695</v>
      </c>
      <c r="D86" s="495"/>
      <c r="E86" s="441" t="str">
        <f>IFERROR(__xludf.DUMMYFUNCTION("if(and(D86&lt;&gt;0,D86&lt;&gt;""""),D86/GOOGLEFINANCE(C86,""price"")-1,"""")"),"")</f>
        <v/>
      </c>
      <c r="F86" s="442">
        <f>IFERROR(__xludf.DUMMYFUNCTION("GOOGLEFINANCE(C86,""price"")"),18.81)</f>
        <v>18.81</v>
      </c>
      <c r="G86" s="441" t="str">
        <f t="shared" si="6"/>
        <v/>
      </c>
      <c r="H86" s="443"/>
      <c r="I86" s="443"/>
      <c r="J86" s="445"/>
      <c r="K86" s="445"/>
      <c r="L86" s="446"/>
      <c r="M86" s="447">
        <f t="shared" si="7"/>
        <v>-119.9023034</v>
      </c>
      <c r="N86" s="445">
        <f t="shared" si="8"/>
        <v>0</v>
      </c>
      <c r="O86" s="446"/>
      <c r="P86" s="448"/>
      <c r="Q86" s="447"/>
      <c r="R86" s="449"/>
      <c r="S86" s="449"/>
      <c r="T86" s="449"/>
      <c r="U86" s="450" t="s">
        <v>1696</v>
      </c>
      <c r="V86" s="414"/>
      <c r="W86" s="414"/>
      <c r="X86" s="414"/>
      <c r="Y86" s="414"/>
      <c r="Z86" s="414"/>
      <c r="AA86" s="414"/>
      <c r="AB86" s="414"/>
      <c r="AC86" s="414"/>
      <c r="AD86" s="414"/>
      <c r="AE86" s="414"/>
      <c r="AF86" s="414"/>
      <c r="AG86" s="414"/>
      <c r="AH86" s="414"/>
      <c r="AI86" s="414"/>
      <c r="AJ86" s="414"/>
      <c r="AK86" s="414"/>
      <c r="AL86" s="414"/>
      <c r="AM86" s="414"/>
      <c r="AN86" s="414"/>
      <c r="AO86" s="414"/>
      <c r="AP86" s="414"/>
      <c r="AQ86" s="414"/>
      <c r="AR86" s="414"/>
      <c r="AS86" s="414"/>
      <c r="AT86" s="414"/>
      <c r="AU86" s="414"/>
      <c r="AV86" s="414"/>
      <c r="AW86" s="414"/>
      <c r="AX86" s="414"/>
      <c r="AY86" s="414"/>
      <c r="AZ86" s="414"/>
      <c r="BA86" s="414"/>
      <c r="BB86" s="414"/>
      <c r="BC86" s="414"/>
      <c r="BD86" s="414"/>
      <c r="BE86" s="414"/>
      <c r="BF86" s="414"/>
      <c r="BG86" s="414"/>
      <c r="BH86" s="414"/>
      <c r="BI86" s="414"/>
      <c r="BJ86" s="414"/>
      <c r="BK86" s="414"/>
      <c r="BL86" s="414"/>
      <c r="BM86" s="414"/>
      <c r="BN86" s="414"/>
      <c r="BO86" s="414"/>
      <c r="BP86" s="414"/>
      <c r="BQ86" s="414"/>
      <c r="BR86" s="414"/>
      <c r="BS86" s="414"/>
      <c r="BT86" s="414"/>
      <c r="BU86" s="414"/>
      <c r="BV86" s="414"/>
      <c r="BW86" s="414"/>
      <c r="BX86" s="414"/>
      <c r="BY86" s="414"/>
      <c r="BZ86" s="414"/>
      <c r="CA86" s="414"/>
      <c r="CB86" s="414"/>
      <c r="CC86" s="414"/>
      <c r="CD86" s="414"/>
      <c r="CE86" s="414"/>
      <c r="CF86" s="414"/>
      <c r="CG86" s="414"/>
      <c r="CH86" s="414"/>
      <c r="CI86" s="414"/>
      <c r="CJ86" s="414"/>
      <c r="CK86" s="414"/>
      <c r="CL86" s="414"/>
      <c r="CM86" s="414"/>
      <c r="CN86" s="414"/>
      <c r="CO86" s="414"/>
      <c r="CP86" s="414"/>
      <c r="CQ86" s="414"/>
      <c r="CR86" s="414"/>
      <c r="CS86" s="414"/>
      <c r="CT86" s="414"/>
      <c r="CU86" s="414"/>
      <c r="CV86" s="414"/>
      <c r="CW86" s="414"/>
      <c r="CX86" s="414"/>
      <c r="CY86" s="414"/>
      <c r="CZ86" s="414"/>
      <c r="DA86" s="414"/>
      <c r="DB86" s="414"/>
      <c r="DC86" s="414"/>
      <c r="DD86" s="414"/>
      <c r="DE86" s="414"/>
      <c r="DF86" s="414"/>
      <c r="DG86" s="414"/>
      <c r="DH86" s="414"/>
      <c r="DI86" s="414"/>
      <c r="DJ86" s="414"/>
      <c r="DK86" s="414"/>
      <c r="DL86" s="414"/>
      <c r="DM86" s="414"/>
      <c r="DN86" s="414"/>
      <c r="DO86" s="414"/>
      <c r="DP86" s="414"/>
      <c r="DQ86" s="414"/>
      <c r="DR86" s="414"/>
      <c r="DS86" s="414"/>
      <c r="DT86" s="414"/>
      <c r="DU86" s="414"/>
      <c r="DV86" s="414"/>
      <c r="DW86" s="414"/>
    </row>
    <row r="87" ht="15.0" customHeight="1">
      <c r="A87" s="301">
        <v>41306.0</v>
      </c>
      <c r="B87" s="319" t="s">
        <v>1697</v>
      </c>
      <c r="C87" s="319" t="s">
        <v>887</v>
      </c>
      <c r="D87" s="535"/>
      <c r="E87" s="536" t="str">
        <f>IFERROR(__xludf.DUMMYFUNCTION("if(and(D87&lt;&gt;0,D87&lt;&gt;""""),D87/GOOGLEFINANCE(C87,""price"")-1,"""")"),"")</f>
        <v/>
      </c>
      <c r="F87" s="322">
        <f>IFERROR(__xludf.DUMMYFUNCTION("GOOGLEFINANCE(C87,""price"")"),74.28)</f>
        <v>74.28</v>
      </c>
      <c r="G87" s="536">
        <f t="shared" si="6"/>
        <v>-0.5961227787</v>
      </c>
      <c r="H87" s="325"/>
      <c r="I87" s="325">
        <v>30.0</v>
      </c>
      <c r="J87" s="313"/>
      <c r="K87" s="313"/>
      <c r="L87" s="314"/>
      <c r="M87" s="312">
        <f t="shared" si="7"/>
        <v>-119.9023034</v>
      </c>
      <c r="N87" s="313">
        <f t="shared" si="8"/>
        <v>0</v>
      </c>
      <c r="O87" s="314"/>
      <c r="P87" s="315"/>
      <c r="Q87" s="312"/>
      <c r="R87" s="316"/>
      <c r="S87" s="316"/>
      <c r="T87" s="316"/>
      <c r="U87" s="317" t="s">
        <v>1699</v>
      </c>
      <c r="V87" s="319"/>
      <c r="W87" s="319"/>
      <c r="X87" s="319"/>
      <c r="Y87" s="319"/>
      <c r="Z87" s="319"/>
      <c r="AA87" s="319"/>
      <c r="AB87" s="319"/>
      <c r="AC87" s="319"/>
      <c r="AD87" s="319"/>
      <c r="AE87" s="319"/>
      <c r="AF87" s="319"/>
      <c r="AG87" s="319"/>
      <c r="AH87" s="319"/>
      <c r="AI87" s="319"/>
      <c r="AJ87" s="319"/>
      <c r="AK87" s="319"/>
      <c r="AL87" s="319"/>
      <c r="AM87" s="319"/>
      <c r="AN87" s="319"/>
      <c r="AO87" s="319"/>
      <c r="AP87" s="319"/>
      <c r="AQ87" s="319"/>
      <c r="AR87" s="319"/>
      <c r="AS87" s="319"/>
      <c r="AT87" s="319"/>
      <c r="AU87" s="319"/>
      <c r="AV87" s="319"/>
      <c r="AW87" s="319"/>
      <c r="AX87" s="319"/>
      <c r="AY87" s="319"/>
      <c r="AZ87" s="319"/>
      <c r="BA87" s="319"/>
      <c r="BB87" s="319"/>
      <c r="BC87" s="319"/>
      <c r="BD87" s="319"/>
      <c r="BE87" s="319"/>
      <c r="BF87" s="319"/>
      <c r="BG87" s="319"/>
      <c r="BH87" s="319"/>
      <c r="BI87" s="319"/>
      <c r="BJ87" s="319"/>
      <c r="BK87" s="319"/>
      <c r="BL87" s="319"/>
      <c r="BM87" s="319"/>
      <c r="BN87" s="319"/>
      <c r="BO87" s="319"/>
      <c r="BP87" s="319"/>
      <c r="BQ87" s="319"/>
      <c r="BR87" s="319"/>
      <c r="BS87" s="319"/>
      <c r="BT87" s="319"/>
      <c r="BU87" s="319"/>
      <c r="BV87" s="319"/>
      <c r="BW87" s="319"/>
      <c r="BX87" s="319"/>
      <c r="BY87" s="319"/>
      <c r="BZ87" s="319"/>
      <c r="CA87" s="319"/>
      <c r="CB87" s="319"/>
      <c r="CC87" s="319"/>
      <c r="CD87" s="319"/>
      <c r="CE87" s="319"/>
      <c r="CF87" s="319"/>
      <c r="CG87" s="319"/>
      <c r="CH87" s="319"/>
      <c r="CI87" s="319"/>
      <c r="CJ87" s="319"/>
      <c r="CK87" s="319"/>
      <c r="CL87" s="319"/>
      <c r="CM87" s="319"/>
      <c r="CN87" s="319"/>
      <c r="CO87" s="319"/>
      <c r="CP87" s="319"/>
      <c r="CQ87" s="319"/>
      <c r="CR87" s="319"/>
      <c r="CS87" s="319"/>
      <c r="CT87" s="319"/>
      <c r="CU87" s="319"/>
      <c r="CV87" s="319"/>
      <c r="CW87" s="319"/>
      <c r="CX87" s="319"/>
      <c r="CY87" s="319"/>
      <c r="CZ87" s="319"/>
      <c r="DA87" s="319"/>
      <c r="DB87" s="319"/>
      <c r="DC87" s="319"/>
      <c r="DD87" s="319"/>
      <c r="DE87" s="319"/>
      <c r="DF87" s="319"/>
      <c r="DG87" s="319"/>
      <c r="DH87" s="319"/>
      <c r="DI87" s="319"/>
      <c r="DJ87" s="319"/>
      <c r="DK87" s="319"/>
      <c r="DL87" s="319"/>
      <c r="DM87" s="319"/>
      <c r="DN87" s="319"/>
      <c r="DO87" s="319"/>
      <c r="DP87" s="319"/>
      <c r="DQ87" s="319"/>
      <c r="DR87" s="319"/>
      <c r="DS87" s="319"/>
      <c r="DT87" s="319"/>
      <c r="DU87" s="319"/>
      <c r="DV87" s="319"/>
      <c r="DW87" s="319"/>
    </row>
    <row r="88" ht="15.0" customHeight="1">
      <c r="A88" s="383">
        <v>40936.0</v>
      </c>
      <c r="B88" s="384" t="s">
        <v>1700</v>
      </c>
      <c r="C88" s="384" t="s">
        <v>1098</v>
      </c>
      <c r="D88" s="418">
        <f>min(205,I88)</f>
        <v>192.772695</v>
      </c>
      <c r="E88" s="374">
        <f>IFERROR(__xludf.DUMMYFUNCTION("if(and(D88&lt;&gt;0,D88&lt;&gt;""""),D88/GOOGLEFINANCE(C88,""price"")-1,"""")"),-0.34983913983344195)</f>
        <v>-0.3498391398</v>
      </c>
      <c r="F88" s="375">
        <f>IFERROR(__xludf.DUMMYFUNCTION("GOOGLEFINANCE(C88,""price"")"),296.5)</f>
        <v>296.5</v>
      </c>
      <c r="G88" s="374">
        <f t="shared" si="6"/>
        <v>-0.3498391398</v>
      </c>
      <c r="H88" s="376"/>
      <c r="I88" s="368">
        <f t="shared" ref="I88:I89" si="37">sum(CY88:DS88)</f>
        <v>192.772695</v>
      </c>
      <c r="J88" s="377">
        <v>7.9</v>
      </c>
      <c r="K88" s="377">
        <v>8.39</v>
      </c>
      <c r="L88" s="378">
        <v>43708.0</v>
      </c>
      <c r="M88" s="379">
        <f t="shared" si="7"/>
        <v>-0.154358148</v>
      </c>
      <c r="N88" s="380">
        <f t="shared" si="8"/>
        <v>8.465635492</v>
      </c>
      <c r="O88" s="370">
        <v>0.08</v>
      </c>
      <c r="P88" s="370">
        <v>0.16</v>
      </c>
      <c r="Q88" s="371">
        <f t="shared" ref="Q88:Q89" si="38">I88/N88</f>
        <v>22.7712019</v>
      </c>
      <c r="R88" s="381">
        <v>8.0</v>
      </c>
      <c r="S88" s="378">
        <v>43704.0</v>
      </c>
      <c r="T88" s="381" t="s">
        <v>1223</v>
      </c>
      <c r="U88" s="382" t="s">
        <v>1702</v>
      </c>
      <c r="V88" s="429">
        <f t="shared" ref="V88:V89" si="39">O88</f>
        <v>0.08</v>
      </c>
      <c r="W88" s="430">
        <f>max(min(Valu!$C$15,$O88),$O88-max($O88-Valu!$C$15,0)/$R88*(W$3-1))</f>
        <v>0.07375</v>
      </c>
      <c r="X88" s="430">
        <f>max(min(Valu!$C$15,$O88),$O88-max($O88-Valu!$C$15,0)/$R88*(X$3-1))</f>
        <v>0.0675</v>
      </c>
      <c r="Y88" s="430">
        <f>max(min(Valu!$C$15,$O88),$O88-max($O88-Valu!$C$15,0)/$R88*(Y$3-1))</f>
        <v>0.06125</v>
      </c>
      <c r="Z88" s="430">
        <f>max(min(Valu!$C$15,$O88),$O88-max($O88-Valu!$C$15,0)/$R88*(Z$3-1))</f>
        <v>0.055</v>
      </c>
      <c r="AA88" s="430">
        <f>max(min(Valu!$C$15,$O88),$O88-max($O88-Valu!$C$15,0)/$R88*(AA$3-1))</f>
        <v>0.04875</v>
      </c>
      <c r="AB88" s="430">
        <f>max(min(Valu!$C$15,$O88),$O88-max($O88-Valu!$C$15,0)/$R88*(AB$3-1))</f>
        <v>0.0425</v>
      </c>
      <c r="AC88" s="430">
        <f>max(min(Valu!$C$15,$O88),$O88-max($O88-Valu!$C$15,0)/$R88*(AC$3-1))</f>
        <v>0.03625</v>
      </c>
      <c r="AD88" s="430">
        <f>max(min(Valu!$C$15,$O88),$O88-max($O88-Valu!$C$15,0)/$R88*(AD$3-1))</f>
        <v>0.03</v>
      </c>
      <c r="AE88" s="430">
        <f>max(min(Valu!$C$15,$O88),$O88-max($O88-Valu!$C$15,0)/$R88*(AE$3-1))</f>
        <v>0.03</v>
      </c>
      <c r="AF88" s="430">
        <f>max(min(Valu!$C$15,$O88),$O88-max($O88-Valu!$C$15,0)/$R88*(AF$3-1))</f>
        <v>0.03</v>
      </c>
      <c r="AG88" s="430">
        <f>max(min(Valu!$C$15,$O88),$O88-max($O88-Valu!$C$15,0)/$R88*(AG$3-1))</f>
        <v>0.03</v>
      </c>
      <c r="AH88" s="430">
        <f>max(min(Valu!$C$15,$O88),$O88-max($O88-Valu!$C$15,0)/$R88*(AH$3-1))</f>
        <v>0.03</v>
      </c>
      <c r="AI88" s="430">
        <f>max(min(Valu!$C$15,$O88),$O88-max($O88-Valu!$C$15,0)/$R88*(AI$3-1))</f>
        <v>0.03</v>
      </c>
      <c r="AJ88" s="430">
        <f>max(min(Valu!$C$15,$O88),$O88-max($O88-Valu!$C$15,0)/$R88*(AJ$3-1))</f>
        <v>0.03</v>
      </c>
      <c r="AK88" s="430">
        <f>max(min(Valu!$C$15,$O88),$O88-max($O88-Valu!$C$15,0)/$R88*(AK$3-1))</f>
        <v>0.03</v>
      </c>
      <c r="AL88" s="430">
        <f>max(min(Valu!$C$15,$O88),$O88-max($O88-Valu!$C$15,0)/$R88*(AL$3-1))</f>
        <v>0.03</v>
      </c>
      <c r="AM88" s="430">
        <f>max(min(Valu!$C$15,$O88),$O88-max($O88-Valu!$C$15,0)/$R88*(AM$3-1))</f>
        <v>0.03</v>
      </c>
      <c r="AN88" s="430">
        <f>max(min(Valu!$C$15,$O88),$O88-max($O88-Valu!$C$15,0)/$R88*(AN$3-1))</f>
        <v>0.03</v>
      </c>
      <c r="AO88" s="430">
        <f>max(min(Valu!$C$15,$O88),$O88-max($O88-Valu!$C$15,0)/$R88*(AO$3-1))</f>
        <v>0.03</v>
      </c>
      <c r="AP88" s="430">
        <f>max(min(Valu!$C$14,$P88),$P88-max($P88-Valu!$C$14,0)/$R88*(AP$3-1))</f>
        <v>0.16</v>
      </c>
      <c r="AQ88" s="430">
        <f>max(min(Valu!$C$14,$P88),$P88-max($P88-Valu!$C$14,0)/$R88*(AQ$3-1))</f>
        <v>0.155</v>
      </c>
      <c r="AR88" s="430">
        <f>max(min(Valu!$C$14,$P88),$P88-max($P88-Valu!$C$14,0)/$R88*(AR$3-1))</f>
        <v>0.15</v>
      </c>
      <c r="AS88" s="430">
        <f>max(min(Valu!$C$14,$P88),$P88-max($P88-Valu!$C$14,0)/$R88*(AS$3-1))</f>
        <v>0.145</v>
      </c>
      <c r="AT88" s="430">
        <f>max(min(Valu!$C$14,$P88),$P88-max($P88-Valu!$C$14,0)/$R88*(AT$3-1))</f>
        <v>0.14</v>
      </c>
      <c r="AU88" s="430">
        <f>max(min(Valu!$C$14,$P88),$P88-max($P88-Valu!$C$14,0)/$R88*(AU$3-1))</f>
        <v>0.135</v>
      </c>
      <c r="AV88" s="430">
        <f>max(min(Valu!$C$14,$P88),$P88-max($P88-Valu!$C$14,0)/$R88*(AV$3-1))</f>
        <v>0.13</v>
      </c>
      <c r="AW88" s="430">
        <f>max(min(Valu!$C$14,$P88),$P88-max($P88-Valu!$C$14,0)/$R88*(AW$3-1))</f>
        <v>0.125</v>
      </c>
      <c r="AX88" s="430">
        <f>max(min(Valu!$C$14,$P88),$P88-max($P88-Valu!$C$14,0)/$R88*(AX$3-1))</f>
        <v>0.12</v>
      </c>
      <c r="AY88" s="430">
        <f>max(min(Valu!$C$14,$P88),$P88-max($P88-Valu!$C$14,0)/$R88*(AY$3-1))</f>
        <v>0.12</v>
      </c>
      <c r="AZ88" s="430">
        <f>max(min(Valu!$C$14,$P88),$P88-max($P88-Valu!$C$14,0)/$R88*(AZ$3-1))</f>
        <v>0.12</v>
      </c>
      <c r="BA88" s="430">
        <f>max(min(Valu!$C$14,$P88),$P88-max($P88-Valu!$C$14,0)/$R88*(BA$3-1))</f>
        <v>0.12</v>
      </c>
      <c r="BB88" s="430">
        <f>max(min(Valu!$C$14,$P88),$P88-max($P88-Valu!$C$14,0)/$R88*(BB$3-1))</f>
        <v>0.12</v>
      </c>
      <c r="BC88" s="430">
        <f>max(min(Valu!$C$14,$P88),$P88-max($P88-Valu!$C$14,0)/$R88*(BC$3-1))</f>
        <v>0.12</v>
      </c>
      <c r="BD88" s="430">
        <f>max(min(Valu!$C$14,$P88),$P88-max($P88-Valu!$C$14,0)/$R88*(BD$3-1))</f>
        <v>0.12</v>
      </c>
      <c r="BE88" s="430">
        <f>max(min(Valu!$C$14,$P88),$P88-max($P88-Valu!$C$14,0)/$R88*(BE$3-1))</f>
        <v>0.12</v>
      </c>
      <c r="BF88" s="430">
        <f>max(min(Valu!$C$14,$P88),$P88-max($P88-Valu!$C$14,0)/$R88*(BF$3-1))</f>
        <v>0.12</v>
      </c>
      <c r="BG88" s="430">
        <f>max(min(Valu!$C$14,$P88),$P88-max($P88-Valu!$C$14,0)/$R88*(BG$3-1))</f>
        <v>0.12</v>
      </c>
      <c r="BH88" s="430">
        <f>max(min(Valu!$C$14,$P88),$P88-max($P88-Valu!$C$14,0)/$R88*(BH$3-1))</f>
        <v>0.12</v>
      </c>
      <c r="BI88" s="430">
        <f>max(min(Valu!$C$14,$P88),$P88-max($P88-Valu!$C$14,0)/$R88*(BI$3-1))</f>
        <v>0.12</v>
      </c>
      <c r="BJ88" s="431">
        <f t="shared" ref="BJ88:BJ89" si="40">N88</f>
        <v>8.465635492</v>
      </c>
      <c r="BK88" s="432">
        <f t="shared" ref="BK88:BK89" si="41">$BJ88*(1+V88)</f>
        <v>9.142886332</v>
      </c>
      <c r="BL88" s="432">
        <f t="shared" ref="BL88:CC88" si="35">BK88*(1+W88)</f>
        <v>9.817174199</v>
      </c>
      <c r="BM88" s="432">
        <f t="shared" si="35"/>
        <v>10.47983346</v>
      </c>
      <c r="BN88" s="432">
        <f t="shared" si="35"/>
        <v>11.12172326</v>
      </c>
      <c r="BO88" s="432">
        <f t="shared" si="35"/>
        <v>11.73341804</v>
      </c>
      <c r="BP88" s="432">
        <f t="shared" si="35"/>
        <v>12.30542216</v>
      </c>
      <c r="BQ88" s="432">
        <f t="shared" si="35"/>
        <v>12.82840261</v>
      </c>
      <c r="BR88" s="432">
        <f t="shared" si="35"/>
        <v>13.2934322</v>
      </c>
      <c r="BS88" s="432">
        <f t="shared" si="35"/>
        <v>13.69223517</v>
      </c>
      <c r="BT88" s="432">
        <f t="shared" si="35"/>
        <v>14.10300222</v>
      </c>
      <c r="BU88" s="432">
        <f t="shared" si="35"/>
        <v>14.52609229</v>
      </c>
      <c r="BV88" s="432">
        <f t="shared" si="35"/>
        <v>14.96187506</v>
      </c>
      <c r="BW88" s="432">
        <f t="shared" si="35"/>
        <v>15.41073131</v>
      </c>
      <c r="BX88" s="432">
        <f t="shared" si="35"/>
        <v>15.87305325</v>
      </c>
      <c r="BY88" s="432">
        <f t="shared" si="35"/>
        <v>16.34924485</v>
      </c>
      <c r="BZ88" s="432">
        <f t="shared" si="35"/>
        <v>16.83972219</v>
      </c>
      <c r="CA88" s="432">
        <f t="shared" si="35"/>
        <v>17.34491386</v>
      </c>
      <c r="CB88" s="432">
        <f t="shared" si="35"/>
        <v>17.86526127</v>
      </c>
      <c r="CC88" s="432">
        <f t="shared" si="35"/>
        <v>18.40121911</v>
      </c>
      <c r="CD88" s="432">
        <f t="shared" ref="CD88:CW88" si="36">BJ88*(1-V88/AP88)</f>
        <v>4.232817746</v>
      </c>
      <c r="CE88" s="432">
        <f t="shared" si="36"/>
        <v>4.792642029</v>
      </c>
      <c r="CF88" s="432">
        <f t="shared" si="36"/>
        <v>5.399445809</v>
      </c>
      <c r="CG88" s="432">
        <f t="shared" si="36"/>
        <v>6.053007256</v>
      </c>
      <c r="CH88" s="432">
        <f t="shared" si="36"/>
        <v>6.752474834</v>
      </c>
      <c r="CI88" s="432">
        <f t="shared" si="36"/>
        <v>7.496350412</v>
      </c>
      <c r="CJ88" s="432">
        <f t="shared" si="36"/>
        <v>8.282495688</v>
      </c>
      <c r="CK88" s="432">
        <f t="shared" si="36"/>
        <v>9.108165851</v>
      </c>
      <c r="CL88" s="432">
        <f t="shared" si="36"/>
        <v>9.970074151</v>
      </c>
      <c r="CM88" s="432">
        <f t="shared" si="36"/>
        <v>10.26917638</v>
      </c>
      <c r="CN88" s="432">
        <f t="shared" si="36"/>
        <v>10.57725167</v>
      </c>
      <c r="CO88" s="432">
        <f t="shared" si="36"/>
        <v>10.89456922</v>
      </c>
      <c r="CP88" s="432">
        <f t="shared" si="36"/>
        <v>11.22140629</v>
      </c>
      <c r="CQ88" s="432">
        <f t="shared" si="36"/>
        <v>11.55804848</v>
      </c>
      <c r="CR88" s="432">
        <f t="shared" si="36"/>
        <v>11.90478994</v>
      </c>
      <c r="CS88" s="432">
        <f t="shared" si="36"/>
        <v>12.26193363</v>
      </c>
      <c r="CT88" s="432">
        <f t="shared" si="36"/>
        <v>12.62979164</v>
      </c>
      <c r="CU88" s="432">
        <f t="shared" si="36"/>
        <v>13.00868539</v>
      </c>
      <c r="CV88" s="432">
        <f t="shared" si="36"/>
        <v>13.39894595</v>
      </c>
      <c r="CW88" s="432">
        <f t="shared" si="36"/>
        <v>13.80091433</v>
      </c>
      <c r="CX88" s="432">
        <f>CW88*(1+min(Valu!$C$15,$O88))/(Valu!$C$21-min(Valu!$C$15,$O88))</f>
        <v>374.0774148</v>
      </c>
      <c r="CY88" s="432">
        <f>CD88/(1+Valu!$C$21)^CY$3</f>
        <v>3.963312496</v>
      </c>
      <c r="CZ88" s="432">
        <f>CE88/(1+Valu!$C$21)^CZ$3</f>
        <v>4.201772038</v>
      </c>
      <c r="DA88" s="432">
        <f>CF88/(1+Valu!$C$21)^DA$3</f>
        <v>4.432364101</v>
      </c>
      <c r="DB88" s="432">
        <f>CG88/(1+Valu!$C$21)^DB$3</f>
        <v>4.652497878</v>
      </c>
      <c r="DC88" s="432">
        <f>CH88/(1+Valu!$C$21)^DC$3</f>
        <v>4.859669236</v>
      </c>
      <c r="DD88" s="432">
        <f>CI88/(1+Valu!$C$21)^DD$3</f>
        <v>5.051523329</v>
      </c>
      <c r="DE88" s="432">
        <f>CJ88/(1+Valu!$C$21)^DE$3</f>
        <v>5.225916299</v>
      </c>
      <c r="DF88" s="432">
        <f>CK88/(1+Valu!$C$21)^DF$3</f>
        <v>5.380974185</v>
      </c>
      <c r="DG88" s="432">
        <f>CL88/(1+Valu!$C$21)^DG$3</f>
        <v>5.515147274</v>
      </c>
      <c r="DH88" s="432">
        <f>CM88/(1+Valu!$C$21)^DH$3</f>
        <v>5.318915442</v>
      </c>
      <c r="DI88" s="432">
        <f>CN88/(1+Valu!$C$21)^DI$3</f>
        <v>5.129665641</v>
      </c>
      <c r="DJ88" s="432">
        <f>CO88/(1+Valu!$C$21)^DJ$3</f>
        <v>4.947149448</v>
      </c>
      <c r="DK88" s="432">
        <f>CP88/(1+Valu!$C$21)^DK$3</f>
        <v>4.771127277</v>
      </c>
      <c r="DL88" s="432">
        <f>CQ88/(1+Valu!$C$21)^DL$3</f>
        <v>4.601368067</v>
      </c>
      <c r="DM88" s="432">
        <f>CR88/(1+Valu!$C$21)^DM$3</f>
        <v>4.437648978</v>
      </c>
      <c r="DN88" s="432">
        <f>CS88/(1+Valu!$C$21)^DN$3</f>
        <v>4.279755101</v>
      </c>
      <c r="DO88" s="432">
        <f>CT88/(1+Valu!$C$21)^DO$3</f>
        <v>4.12747917</v>
      </c>
      <c r="DP88" s="432">
        <f>CU88/(1+Valu!$C$21)^DP$3</f>
        <v>3.980621297</v>
      </c>
      <c r="DQ88" s="432">
        <f>CV88/(1+Valu!$C$21)^DQ$3</f>
        <v>3.838988704</v>
      </c>
      <c r="DR88" s="432">
        <f>CW88/(1+Valu!$C$21)^DR$3</f>
        <v>3.702395473</v>
      </c>
      <c r="DS88" s="432">
        <f>CX88/(1+Valu!$C$21)^DS$3</f>
        <v>100.3544036</v>
      </c>
      <c r="DT88" s="358"/>
      <c r="DU88" s="358"/>
      <c r="DV88" s="358"/>
      <c r="DW88" s="358"/>
    </row>
    <row r="89" ht="15.0" customHeight="1">
      <c r="A89" s="372">
        <v>42491.0</v>
      </c>
      <c r="B89" s="384" t="s">
        <v>1714</v>
      </c>
      <c r="C89" s="384" t="s">
        <v>1169</v>
      </c>
      <c r="D89" s="373">
        <v>160.0</v>
      </c>
      <c r="E89" s="374">
        <f>IFERROR(__xludf.DUMMYFUNCTION("if(and(D89&lt;&gt;0,D89&lt;&gt;""""),D89/GOOGLEFINANCE(C89,""price"")-1,"""")"),-0.293816480557885)</f>
        <v>-0.2938164806</v>
      </c>
      <c r="F89" s="375">
        <f>IFERROR(__xludf.DUMMYFUNCTION("GOOGLEFINANCE(C89,""price"")"),226.57)</f>
        <v>226.57</v>
      </c>
      <c r="G89" s="374">
        <f t="shared" si="6"/>
        <v>0.2586263339</v>
      </c>
      <c r="H89" s="376"/>
      <c r="I89" s="368">
        <f t="shared" si="37"/>
        <v>285.1669685</v>
      </c>
      <c r="J89" s="385">
        <v>12.63</v>
      </c>
      <c r="K89" s="377">
        <v>14.24</v>
      </c>
      <c r="L89" s="378">
        <v>43830.0</v>
      </c>
      <c r="M89" s="379">
        <f t="shared" si="7"/>
        <v>0.1798884255</v>
      </c>
      <c r="N89" s="380">
        <f t="shared" si="8"/>
        <v>13.95037963</v>
      </c>
      <c r="O89" s="370">
        <v>0.05</v>
      </c>
      <c r="P89" s="370">
        <v>0.15</v>
      </c>
      <c r="Q89" s="371">
        <f t="shared" si="38"/>
        <v>20.4415203</v>
      </c>
      <c r="R89" s="381">
        <v>4.0</v>
      </c>
      <c r="S89" s="378">
        <v>43679.0</v>
      </c>
      <c r="T89" s="381" t="s">
        <v>1223</v>
      </c>
      <c r="U89" s="386" t="s">
        <v>1716</v>
      </c>
      <c r="V89" s="429">
        <f t="shared" si="39"/>
        <v>0.05</v>
      </c>
      <c r="W89" s="430">
        <f>max(min(Valu!$C$15,$O89),$O89-max($O89-Valu!$C$15,0)/$R89*(W$3-1))</f>
        <v>0.045</v>
      </c>
      <c r="X89" s="430">
        <f>max(min(Valu!$C$15,$O89),$O89-max($O89-Valu!$C$15,0)/$R89*(X$3-1))</f>
        <v>0.04</v>
      </c>
      <c r="Y89" s="430">
        <f>max(min(Valu!$C$15,$O89),$O89-max($O89-Valu!$C$15,0)/$R89*(Y$3-1))</f>
        <v>0.035</v>
      </c>
      <c r="Z89" s="430">
        <f>max(min(Valu!$C$15,$O89),$O89-max($O89-Valu!$C$15,0)/$R89*(Z$3-1))</f>
        <v>0.03</v>
      </c>
      <c r="AA89" s="430">
        <f>max(min(Valu!$C$15,$O89),$O89-max($O89-Valu!$C$15,0)/$R89*(AA$3-1))</f>
        <v>0.03</v>
      </c>
      <c r="AB89" s="430">
        <f>max(min(Valu!$C$15,$O89),$O89-max($O89-Valu!$C$15,0)/$R89*(AB$3-1))</f>
        <v>0.03</v>
      </c>
      <c r="AC89" s="430">
        <f>max(min(Valu!$C$15,$O89),$O89-max($O89-Valu!$C$15,0)/$R89*(AC$3-1))</f>
        <v>0.03</v>
      </c>
      <c r="AD89" s="430">
        <f>max(min(Valu!$C$15,$O89),$O89-max($O89-Valu!$C$15,0)/$R89*(AD$3-1))</f>
        <v>0.03</v>
      </c>
      <c r="AE89" s="430">
        <f>max(min(Valu!$C$15,$O89),$O89-max($O89-Valu!$C$15,0)/$R89*(AE$3-1))</f>
        <v>0.03</v>
      </c>
      <c r="AF89" s="430">
        <f>max(min(Valu!$C$15,$O89),$O89-max($O89-Valu!$C$15,0)/$R89*(AF$3-1))</f>
        <v>0.03</v>
      </c>
      <c r="AG89" s="430">
        <f>max(min(Valu!$C$15,$O89),$O89-max($O89-Valu!$C$15,0)/$R89*(AG$3-1))</f>
        <v>0.03</v>
      </c>
      <c r="AH89" s="430">
        <f>max(min(Valu!$C$15,$O89),$O89-max($O89-Valu!$C$15,0)/$R89*(AH$3-1))</f>
        <v>0.03</v>
      </c>
      <c r="AI89" s="430">
        <f>max(min(Valu!$C$15,$O89),$O89-max($O89-Valu!$C$15,0)/$R89*(AI$3-1))</f>
        <v>0.03</v>
      </c>
      <c r="AJ89" s="430">
        <f>max(min(Valu!$C$15,$O89),$O89-max($O89-Valu!$C$15,0)/$R89*(AJ$3-1))</f>
        <v>0.03</v>
      </c>
      <c r="AK89" s="430">
        <f>max(min(Valu!$C$15,$O89),$O89-max($O89-Valu!$C$15,0)/$R89*(AK$3-1))</f>
        <v>0.03</v>
      </c>
      <c r="AL89" s="430">
        <f>max(min(Valu!$C$15,$O89),$O89-max($O89-Valu!$C$15,0)/$R89*(AL$3-1))</f>
        <v>0.03</v>
      </c>
      <c r="AM89" s="430">
        <f>max(min(Valu!$C$15,$O89),$O89-max($O89-Valu!$C$15,0)/$R89*(AM$3-1))</f>
        <v>0.03</v>
      </c>
      <c r="AN89" s="430">
        <f>max(min(Valu!$C$15,$O89),$O89-max($O89-Valu!$C$15,0)/$R89*(AN$3-1))</f>
        <v>0.03</v>
      </c>
      <c r="AO89" s="430">
        <f>max(min(Valu!$C$15,$O89),$O89-max($O89-Valu!$C$15,0)/$R89*(AO$3-1))</f>
        <v>0.03</v>
      </c>
      <c r="AP89" s="430">
        <f>max(min(Valu!$C$14,$P89),$P89-max($P89-Valu!$C$14,0)/$R89*(AP$3-1))</f>
        <v>0.15</v>
      </c>
      <c r="AQ89" s="430">
        <f>max(min(Valu!$C$14,$P89),$P89-max($P89-Valu!$C$14,0)/$R89*(AQ$3-1))</f>
        <v>0.1425</v>
      </c>
      <c r="AR89" s="430">
        <f>max(min(Valu!$C$14,$P89),$P89-max($P89-Valu!$C$14,0)/$R89*(AR$3-1))</f>
        <v>0.135</v>
      </c>
      <c r="AS89" s="430">
        <f>max(min(Valu!$C$14,$P89),$P89-max($P89-Valu!$C$14,0)/$R89*(AS$3-1))</f>
        <v>0.1275</v>
      </c>
      <c r="AT89" s="430">
        <f>max(min(Valu!$C$14,$P89),$P89-max($P89-Valu!$C$14,0)/$R89*(AT$3-1))</f>
        <v>0.12</v>
      </c>
      <c r="AU89" s="430">
        <f>max(min(Valu!$C$14,$P89),$P89-max($P89-Valu!$C$14,0)/$R89*(AU$3-1))</f>
        <v>0.12</v>
      </c>
      <c r="AV89" s="430">
        <f>max(min(Valu!$C$14,$P89),$P89-max($P89-Valu!$C$14,0)/$R89*(AV$3-1))</f>
        <v>0.12</v>
      </c>
      <c r="AW89" s="430">
        <f>max(min(Valu!$C$14,$P89),$P89-max($P89-Valu!$C$14,0)/$R89*(AW$3-1))</f>
        <v>0.12</v>
      </c>
      <c r="AX89" s="430">
        <f>max(min(Valu!$C$14,$P89),$P89-max($P89-Valu!$C$14,0)/$R89*(AX$3-1))</f>
        <v>0.12</v>
      </c>
      <c r="AY89" s="430">
        <f>max(min(Valu!$C$14,$P89),$P89-max($P89-Valu!$C$14,0)/$R89*(AY$3-1))</f>
        <v>0.12</v>
      </c>
      <c r="AZ89" s="430">
        <f>max(min(Valu!$C$14,$P89),$P89-max($P89-Valu!$C$14,0)/$R89*(AZ$3-1))</f>
        <v>0.12</v>
      </c>
      <c r="BA89" s="430">
        <f>max(min(Valu!$C$14,$P89),$P89-max($P89-Valu!$C$14,0)/$R89*(BA$3-1))</f>
        <v>0.12</v>
      </c>
      <c r="BB89" s="430">
        <f>max(min(Valu!$C$14,$P89),$P89-max($P89-Valu!$C$14,0)/$R89*(BB$3-1))</f>
        <v>0.12</v>
      </c>
      <c r="BC89" s="430">
        <f>max(min(Valu!$C$14,$P89),$P89-max($P89-Valu!$C$14,0)/$R89*(BC$3-1))</f>
        <v>0.12</v>
      </c>
      <c r="BD89" s="430">
        <f>max(min(Valu!$C$14,$P89),$P89-max($P89-Valu!$C$14,0)/$R89*(BD$3-1))</f>
        <v>0.12</v>
      </c>
      <c r="BE89" s="430">
        <f>max(min(Valu!$C$14,$P89),$P89-max($P89-Valu!$C$14,0)/$R89*(BE$3-1))</f>
        <v>0.12</v>
      </c>
      <c r="BF89" s="430">
        <f>max(min(Valu!$C$14,$P89),$P89-max($P89-Valu!$C$14,0)/$R89*(BF$3-1))</f>
        <v>0.12</v>
      </c>
      <c r="BG89" s="430">
        <f>max(min(Valu!$C$14,$P89),$P89-max($P89-Valu!$C$14,0)/$R89*(BG$3-1))</f>
        <v>0.12</v>
      </c>
      <c r="BH89" s="430">
        <f>max(min(Valu!$C$14,$P89),$P89-max($P89-Valu!$C$14,0)/$R89*(BH$3-1))</f>
        <v>0.12</v>
      </c>
      <c r="BI89" s="430">
        <f>max(min(Valu!$C$14,$P89),$P89-max($P89-Valu!$C$14,0)/$R89*(BI$3-1))</f>
        <v>0.12</v>
      </c>
      <c r="BJ89" s="431">
        <f t="shared" si="40"/>
        <v>13.95037963</v>
      </c>
      <c r="BK89" s="432">
        <f t="shared" si="41"/>
        <v>14.64789862</v>
      </c>
      <c r="BL89" s="432">
        <f t="shared" ref="BL89:CC89" si="42">BK89*(1+W89)</f>
        <v>15.30705405</v>
      </c>
      <c r="BM89" s="432">
        <f t="shared" si="42"/>
        <v>15.91933622</v>
      </c>
      <c r="BN89" s="432">
        <f t="shared" si="42"/>
        <v>16.47651298</v>
      </c>
      <c r="BO89" s="432">
        <f t="shared" si="42"/>
        <v>16.97080837</v>
      </c>
      <c r="BP89" s="432">
        <f t="shared" si="42"/>
        <v>17.47993262</v>
      </c>
      <c r="BQ89" s="432">
        <f t="shared" si="42"/>
        <v>18.0043306</v>
      </c>
      <c r="BR89" s="432">
        <f t="shared" si="42"/>
        <v>18.54446052</v>
      </c>
      <c r="BS89" s="432">
        <f t="shared" si="42"/>
        <v>19.10079434</v>
      </c>
      <c r="BT89" s="432">
        <f t="shared" si="42"/>
        <v>19.67381817</v>
      </c>
      <c r="BU89" s="432">
        <f t="shared" si="42"/>
        <v>20.26403271</v>
      </c>
      <c r="BV89" s="432">
        <f t="shared" si="42"/>
        <v>20.87195369</v>
      </c>
      <c r="BW89" s="432">
        <f t="shared" si="42"/>
        <v>21.4981123</v>
      </c>
      <c r="BX89" s="432">
        <f t="shared" si="42"/>
        <v>22.14305567</v>
      </c>
      <c r="BY89" s="432">
        <f t="shared" si="42"/>
        <v>22.80734734</v>
      </c>
      <c r="BZ89" s="432">
        <f t="shared" si="42"/>
        <v>23.49156776</v>
      </c>
      <c r="CA89" s="432">
        <f t="shared" si="42"/>
        <v>24.1963148</v>
      </c>
      <c r="CB89" s="432">
        <f t="shared" si="42"/>
        <v>24.92220424</v>
      </c>
      <c r="CC89" s="432">
        <f t="shared" si="42"/>
        <v>25.66987037</v>
      </c>
      <c r="CD89" s="432">
        <f t="shared" ref="CD89:CW89" si="43">BJ89*(1-V89/AP89)</f>
        <v>9.30025309</v>
      </c>
      <c r="CE89" s="432">
        <f t="shared" si="43"/>
        <v>10.02224642</v>
      </c>
      <c r="CF89" s="432">
        <f t="shared" si="43"/>
        <v>10.77163063</v>
      </c>
      <c r="CG89" s="432">
        <f t="shared" si="43"/>
        <v>11.54932235</v>
      </c>
      <c r="CH89" s="432">
        <f t="shared" si="43"/>
        <v>12.35738474</v>
      </c>
      <c r="CI89" s="432">
        <f t="shared" si="43"/>
        <v>12.72810628</v>
      </c>
      <c r="CJ89" s="432">
        <f t="shared" si="43"/>
        <v>13.10994947</v>
      </c>
      <c r="CK89" s="432">
        <f t="shared" si="43"/>
        <v>13.50324795</v>
      </c>
      <c r="CL89" s="432">
        <f t="shared" si="43"/>
        <v>13.90834539</v>
      </c>
      <c r="CM89" s="432">
        <f t="shared" si="43"/>
        <v>14.32559575</v>
      </c>
      <c r="CN89" s="432">
        <f t="shared" si="43"/>
        <v>14.75536363</v>
      </c>
      <c r="CO89" s="432">
        <f t="shared" si="43"/>
        <v>15.19802453</v>
      </c>
      <c r="CP89" s="432">
        <f t="shared" si="43"/>
        <v>15.65396527</v>
      </c>
      <c r="CQ89" s="432">
        <f t="shared" si="43"/>
        <v>16.12358423</v>
      </c>
      <c r="CR89" s="432">
        <f t="shared" si="43"/>
        <v>16.60729176</v>
      </c>
      <c r="CS89" s="432">
        <f t="shared" si="43"/>
        <v>17.10551051</v>
      </c>
      <c r="CT89" s="432">
        <f t="shared" si="43"/>
        <v>17.61867582</v>
      </c>
      <c r="CU89" s="432">
        <f t="shared" si="43"/>
        <v>18.1472361</v>
      </c>
      <c r="CV89" s="432">
        <f t="shared" si="43"/>
        <v>18.69165318</v>
      </c>
      <c r="CW89" s="432">
        <f t="shared" si="43"/>
        <v>19.25240278</v>
      </c>
      <c r="CX89" s="432">
        <f>CW89*(1+min(Valu!$C$15,$O89))/(Valu!$C$21-min(Valu!$C$15,$O89))</f>
        <v>521.8414437</v>
      </c>
      <c r="CY89" s="432">
        <f>CD89/(1+Valu!$C$21)^CY$3</f>
        <v>8.708102144</v>
      </c>
      <c r="CZ89" s="432">
        <f>CE89/(1+Valu!$C$21)^CZ$3</f>
        <v>8.786634703</v>
      </c>
      <c r="DA89" s="432">
        <f>CF89/(1+Valu!$C$21)^DA$3</f>
        <v>8.842349864</v>
      </c>
      <c r="DB89" s="432">
        <f>CG89/(1+Valu!$C$21)^DB$3</f>
        <v>8.87710777</v>
      </c>
      <c r="DC89" s="432">
        <f>CH89/(1+Valu!$C$21)^DC$3</f>
        <v>8.89345076</v>
      </c>
      <c r="DD89" s="432">
        <f>CI89/(1+Valu!$C$21)^DD$3</f>
        <v>8.577017119</v>
      </c>
      <c r="DE89" s="432">
        <f>CJ89/(1+Valu!$C$21)^DE$3</f>
        <v>8.271842352</v>
      </c>
      <c r="DF89" s="432">
        <f>CK89/(1+Valu!$C$21)^DF$3</f>
        <v>7.977525864</v>
      </c>
      <c r="DG89" s="432">
        <f>CL89/(1+Valu!$C$21)^DG$3</f>
        <v>7.693681311</v>
      </c>
      <c r="DH89" s="432">
        <f>CM89/(1+Valu!$C$21)^DH$3</f>
        <v>7.419936096</v>
      </c>
      <c r="DI89" s="432">
        <f>CN89/(1+Valu!$C$21)^DI$3</f>
        <v>7.155930879</v>
      </c>
      <c r="DJ89" s="432">
        <f>CO89/(1+Valu!$C$21)^DJ$3</f>
        <v>6.901319106</v>
      </c>
      <c r="DK89" s="432">
        <f>CP89/(1+Valu!$C$21)^DK$3</f>
        <v>6.655766553</v>
      </c>
      <c r="DL89" s="432">
        <f>CQ89/(1+Valu!$C$21)^DL$3</f>
        <v>6.41895089</v>
      </c>
      <c r="DM89" s="432">
        <f>CR89/(1+Valu!$C$21)^DM$3</f>
        <v>6.190561251</v>
      </c>
      <c r="DN89" s="432">
        <f>CS89/(1+Valu!$C$21)^DN$3</f>
        <v>5.970297836</v>
      </c>
      <c r="DO89" s="432">
        <f>CT89/(1+Valu!$C$21)^DO$3</f>
        <v>5.757871508</v>
      </c>
      <c r="DP89" s="432">
        <f>CU89/(1+Valu!$C$21)^DP$3</f>
        <v>5.553003421</v>
      </c>
      <c r="DQ89" s="432">
        <f>CV89/(1+Valu!$C$21)^DQ$3</f>
        <v>5.355424648</v>
      </c>
      <c r="DR89" s="432">
        <f>CW89/(1+Valu!$C$21)^DR$3</f>
        <v>5.164875831</v>
      </c>
      <c r="DS89" s="432">
        <f>CX89/(1+Valu!$C$21)^DS$3</f>
        <v>139.9953186</v>
      </c>
      <c r="DT89" s="344"/>
      <c r="DU89" s="344"/>
      <c r="DV89" s="344"/>
      <c r="DW89" s="344"/>
    </row>
    <row r="90" ht="15.0" customHeight="1">
      <c r="A90" s="383">
        <v>41549.0</v>
      </c>
      <c r="B90" s="320" t="s">
        <v>1726</v>
      </c>
      <c r="C90" s="320" t="s">
        <v>1275</v>
      </c>
      <c r="D90" s="373">
        <v>50.0</v>
      </c>
      <c r="E90" s="374">
        <f>IFERROR(__xludf.DUMMYFUNCTION("if(and(D90&lt;&gt;0,D90&lt;&gt;""""),D90/GOOGLEFINANCE(C90,""price"")-1,"""")"),-0.40433643078389325)</f>
        <v>-0.4043364308</v>
      </c>
      <c r="F90" s="375">
        <f>IFERROR(__xludf.DUMMYFUNCTION("GOOGLEFINANCE(C90,""price"")"),83.94)</f>
        <v>83.94</v>
      </c>
      <c r="G90" s="374">
        <f t="shared" si="6"/>
        <v>-0.3427100601</v>
      </c>
      <c r="H90" s="376">
        <f>1.35*1.2*20</f>
        <v>32.4</v>
      </c>
      <c r="I90" s="376">
        <f t="shared" ref="I90:I91" si="44">N90*($I$1+O90*100)</f>
        <v>55.17291756</v>
      </c>
      <c r="J90" s="377">
        <v>2.15</v>
      </c>
      <c r="K90" s="377">
        <v>2.42</v>
      </c>
      <c r="L90" s="378">
        <v>43677.0</v>
      </c>
      <c r="M90" s="379">
        <f t="shared" si="7"/>
        <v>-0.2392896588</v>
      </c>
      <c r="N90" s="380">
        <f t="shared" si="8"/>
        <v>2.484608208</v>
      </c>
      <c r="O90" s="370">
        <v>0.075</v>
      </c>
      <c r="P90" s="370"/>
      <c r="Q90" s="371"/>
      <c r="R90" s="378"/>
      <c r="S90" s="378">
        <v>43584.0</v>
      </c>
      <c r="T90" s="381" t="s">
        <v>1223</v>
      </c>
      <c r="U90" s="417" t="s">
        <v>1727</v>
      </c>
      <c r="V90" s="367"/>
      <c r="W90" s="367"/>
      <c r="X90" s="367"/>
      <c r="Y90" s="367"/>
      <c r="Z90" s="367"/>
      <c r="AA90" s="367"/>
      <c r="AB90" s="367"/>
      <c r="AC90" s="367"/>
      <c r="AD90" s="367"/>
      <c r="AE90" s="367"/>
      <c r="AF90" s="367"/>
      <c r="AG90" s="367"/>
      <c r="AH90" s="367"/>
      <c r="AI90" s="367"/>
      <c r="AJ90" s="367"/>
      <c r="AK90" s="367"/>
      <c r="AL90" s="367"/>
      <c r="AM90" s="367"/>
      <c r="AN90" s="367"/>
      <c r="AO90" s="367"/>
      <c r="AP90" s="367"/>
      <c r="AQ90" s="367"/>
      <c r="AR90" s="367"/>
      <c r="AS90" s="367"/>
      <c r="AT90" s="367"/>
      <c r="AU90" s="367"/>
      <c r="AV90" s="367"/>
      <c r="AW90" s="367"/>
      <c r="AX90" s="367"/>
      <c r="AY90" s="367"/>
      <c r="AZ90" s="367"/>
      <c r="BA90" s="367"/>
      <c r="BB90" s="367"/>
      <c r="BC90" s="367"/>
      <c r="BD90" s="367"/>
      <c r="BE90" s="367"/>
      <c r="BF90" s="367"/>
      <c r="BG90" s="367"/>
      <c r="BH90" s="367"/>
      <c r="BI90" s="367"/>
      <c r="BJ90" s="367"/>
      <c r="BK90" s="367"/>
      <c r="BL90" s="367"/>
      <c r="BM90" s="367"/>
      <c r="BN90" s="367"/>
      <c r="BO90" s="367"/>
      <c r="BP90" s="367"/>
      <c r="BQ90" s="367"/>
      <c r="BR90" s="367"/>
      <c r="BS90" s="367"/>
      <c r="BT90" s="367"/>
      <c r="BU90" s="367"/>
      <c r="BV90" s="367"/>
      <c r="BW90" s="367"/>
      <c r="BX90" s="367"/>
      <c r="BY90" s="367"/>
      <c r="BZ90" s="367"/>
      <c r="CA90" s="367"/>
      <c r="CB90" s="367"/>
      <c r="CC90" s="367"/>
      <c r="CD90" s="367"/>
      <c r="CE90" s="367"/>
      <c r="CF90" s="367"/>
      <c r="CG90" s="367"/>
      <c r="CH90" s="367"/>
      <c r="CI90" s="367"/>
      <c r="CJ90" s="367"/>
      <c r="CK90" s="367"/>
      <c r="CL90" s="367"/>
      <c r="CM90" s="367"/>
      <c r="CN90" s="367"/>
      <c r="CO90" s="367"/>
      <c r="CP90" s="367"/>
      <c r="CQ90" s="367"/>
      <c r="CR90" s="367"/>
      <c r="CS90" s="367"/>
      <c r="CT90" s="367"/>
      <c r="CU90" s="367"/>
      <c r="CV90" s="367"/>
      <c r="CW90" s="367"/>
      <c r="CX90" s="367"/>
      <c r="CY90" s="367"/>
      <c r="CZ90" s="367"/>
      <c r="DA90" s="367"/>
      <c r="DB90" s="367"/>
      <c r="DC90" s="367"/>
      <c r="DD90" s="367"/>
      <c r="DE90" s="367"/>
      <c r="DF90" s="367"/>
      <c r="DG90" s="367"/>
      <c r="DH90" s="367"/>
      <c r="DI90" s="367"/>
      <c r="DJ90" s="367"/>
      <c r="DK90" s="367"/>
      <c r="DL90" s="367"/>
      <c r="DM90" s="367"/>
      <c r="DN90" s="367"/>
      <c r="DO90" s="367"/>
      <c r="DP90" s="367"/>
      <c r="DQ90" s="367"/>
      <c r="DR90" s="367"/>
      <c r="DS90" s="367"/>
      <c r="DT90" s="367"/>
      <c r="DU90" s="367"/>
      <c r="DV90" s="367"/>
      <c r="DW90" s="367"/>
    </row>
    <row r="91" ht="15.0" customHeight="1">
      <c r="A91" s="343">
        <v>42632.0</v>
      </c>
      <c r="B91" s="344" t="s">
        <v>1729</v>
      </c>
      <c r="C91" s="344" t="s">
        <v>409</v>
      </c>
      <c r="D91" s="534"/>
      <c r="E91" s="345" t="str">
        <f>IFERROR(__xludf.DUMMYFUNCTION("if(and(D91&lt;&gt;0,D91&lt;&gt;""""),D91/GOOGLEFINANCE(C91,""price"")-1,"""")"),"")</f>
        <v/>
      </c>
      <c r="F91" s="364">
        <f>IFERROR(__xludf.DUMMYFUNCTION("GOOGLEFINANCE(C91,""price"")"),150.49)</f>
        <v>150.49</v>
      </c>
      <c r="G91" s="345">
        <f t="shared" si="6"/>
        <v>-0.2350921477</v>
      </c>
      <c r="H91" s="347"/>
      <c r="I91" s="376">
        <f t="shared" si="44"/>
        <v>115.1109827</v>
      </c>
      <c r="J91" s="369">
        <v>2.5</v>
      </c>
      <c r="K91" s="369">
        <v>2.73</v>
      </c>
      <c r="L91" s="354">
        <v>43496.0</v>
      </c>
      <c r="M91" s="351">
        <f t="shared" si="7"/>
        <v>-0.7351800695</v>
      </c>
      <c r="N91" s="349">
        <f t="shared" si="8"/>
        <v>2.899091416</v>
      </c>
      <c r="O91" s="352">
        <v>0.25</v>
      </c>
      <c r="P91" s="361"/>
      <c r="Q91" s="362"/>
      <c r="R91" s="360"/>
      <c r="S91" s="360">
        <v>43384.0</v>
      </c>
      <c r="T91" s="365" t="s">
        <v>1240</v>
      </c>
      <c r="U91" s="363" t="s">
        <v>1731</v>
      </c>
      <c r="V91" s="358"/>
      <c r="W91" s="358"/>
      <c r="X91" s="358"/>
      <c r="Y91" s="358"/>
      <c r="Z91" s="358"/>
      <c r="AA91" s="358"/>
      <c r="AB91" s="358"/>
      <c r="AC91" s="358"/>
      <c r="AD91" s="358"/>
      <c r="AE91" s="358"/>
      <c r="AF91" s="358"/>
      <c r="AG91" s="358"/>
      <c r="AH91" s="358"/>
      <c r="AI91" s="358"/>
      <c r="AJ91" s="358"/>
      <c r="AK91" s="358"/>
      <c r="AL91" s="358"/>
      <c r="AM91" s="358"/>
      <c r="AN91" s="358"/>
      <c r="AO91" s="358"/>
      <c r="AP91" s="358"/>
      <c r="AQ91" s="358"/>
      <c r="AR91" s="358"/>
      <c r="AS91" s="358"/>
      <c r="AT91" s="358"/>
      <c r="AU91" s="358"/>
      <c r="AV91" s="358"/>
      <c r="AW91" s="358"/>
      <c r="AX91" s="358"/>
      <c r="AY91" s="358"/>
      <c r="AZ91" s="358"/>
      <c r="BA91" s="358"/>
      <c r="BB91" s="358"/>
      <c r="BC91" s="358"/>
      <c r="BD91" s="358"/>
      <c r="BE91" s="358"/>
      <c r="BF91" s="358"/>
      <c r="BG91" s="358"/>
      <c r="BH91" s="358"/>
      <c r="BI91" s="358"/>
      <c r="BJ91" s="358"/>
      <c r="BK91" s="358"/>
      <c r="BL91" s="358"/>
      <c r="BM91" s="358"/>
      <c r="BN91" s="358"/>
      <c r="BO91" s="358"/>
      <c r="BP91" s="358"/>
      <c r="BQ91" s="358"/>
      <c r="BR91" s="358"/>
      <c r="BS91" s="358"/>
      <c r="BT91" s="358"/>
      <c r="BU91" s="358"/>
      <c r="BV91" s="358"/>
      <c r="BW91" s="358"/>
      <c r="BX91" s="358"/>
      <c r="BY91" s="358"/>
      <c r="BZ91" s="358"/>
      <c r="CA91" s="358"/>
      <c r="CB91" s="358"/>
      <c r="CC91" s="358"/>
      <c r="CD91" s="358"/>
      <c r="CE91" s="358"/>
      <c r="CF91" s="358"/>
      <c r="CG91" s="358"/>
      <c r="CH91" s="358"/>
      <c r="CI91" s="358"/>
      <c r="CJ91" s="358"/>
      <c r="CK91" s="358"/>
      <c r="CL91" s="358"/>
      <c r="CM91" s="358"/>
      <c r="CN91" s="358"/>
      <c r="CO91" s="358"/>
      <c r="CP91" s="358"/>
      <c r="CQ91" s="358"/>
      <c r="CR91" s="358"/>
      <c r="CS91" s="358"/>
      <c r="CT91" s="358"/>
      <c r="CU91" s="358"/>
      <c r="CV91" s="358"/>
      <c r="CW91" s="358"/>
      <c r="CX91" s="358"/>
      <c r="CY91" s="358"/>
      <c r="CZ91" s="358"/>
      <c r="DA91" s="358"/>
      <c r="DB91" s="358"/>
      <c r="DC91" s="358"/>
      <c r="DD91" s="358"/>
      <c r="DE91" s="358"/>
      <c r="DF91" s="358"/>
      <c r="DG91" s="358"/>
      <c r="DH91" s="358"/>
      <c r="DI91" s="358"/>
      <c r="DJ91" s="358"/>
      <c r="DK91" s="358"/>
      <c r="DL91" s="358"/>
      <c r="DM91" s="358"/>
      <c r="DN91" s="358"/>
      <c r="DO91" s="358"/>
      <c r="DP91" s="358"/>
      <c r="DQ91" s="358"/>
      <c r="DR91" s="358"/>
      <c r="DS91" s="358"/>
      <c r="DT91" s="358"/>
      <c r="DU91" s="358"/>
      <c r="DV91" s="358"/>
      <c r="DW91" s="358"/>
    </row>
    <row r="92" ht="15.0" customHeight="1">
      <c r="A92" s="394">
        <v>40564.0</v>
      </c>
      <c r="B92" s="302" t="s">
        <v>1732</v>
      </c>
      <c r="C92" s="302" t="s">
        <v>1733</v>
      </c>
      <c r="D92" s="302"/>
      <c r="E92" s="396" t="str">
        <f>IFERROR(__xludf.DUMMYFUNCTION("if(and(D92&lt;&gt;0,D92&lt;&gt;""""),D92/GOOGLEFINANCE(C92,""price"")-1,"""")"),"")</f>
        <v/>
      </c>
      <c r="F92" s="397">
        <f>IFERROR(__xludf.DUMMYFUNCTION("GOOGLEFINANCE(C92,""price"")"),90.33)</f>
        <v>90.33</v>
      </c>
      <c r="G92" s="396" t="str">
        <f t="shared" si="6"/>
        <v/>
      </c>
      <c r="H92" s="398"/>
      <c r="I92" s="443"/>
      <c r="J92" s="403"/>
      <c r="K92" s="403"/>
      <c r="L92" s="410"/>
      <c r="M92" s="402">
        <f t="shared" si="7"/>
        <v>-119.9023034</v>
      </c>
      <c r="N92" s="403">
        <f t="shared" si="8"/>
        <v>0</v>
      </c>
      <c r="O92" s="410"/>
      <c r="P92" s="448"/>
      <c r="Q92" s="447"/>
      <c r="R92" s="449"/>
      <c r="S92" s="449"/>
      <c r="T92" s="412"/>
      <c r="U92" s="413">
        <v>1.0</v>
      </c>
      <c r="V92" s="414"/>
      <c r="W92" s="414"/>
      <c r="X92" s="414"/>
      <c r="Y92" s="414"/>
      <c r="Z92" s="414"/>
      <c r="AA92" s="414"/>
      <c r="AB92" s="414"/>
      <c r="AC92" s="414"/>
      <c r="AD92" s="414"/>
      <c r="AE92" s="414"/>
      <c r="AF92" s="414"/>
      <c r="AG92" s="414"/>
      <c r="AH92" s="414"/>
      <c r="AI92" s="414"/>
      <c r="AJ92" s="414"/>
      <c r="AK92" s="414"/>
      <c r="AL92" s="414"/>
      <c r="AM92" s="414"/>
      <c r="AN92" s="414"/>
      <c r="AO92" s="414"/>
      <c r="AP92" s="414"/>
      <c r="AQ92" s="414"/>
      <c r="AR92" s="414"/>
      <c r="AS92" s="414"/>
      <c r="AT92" s="414"/>
      <c r="AU92" s="414"/>
      <c r="AV92" s="414"/>
      <c r="AW92" s="414"/>
      <c r="AX92" s="414"/>
      <c r="AY92" s="414"/>
      <c r="AZ92" s="414"/>
      <c r="BA92" s="414"/>
      <c r="BB92" s="414"/>
      <c r="BC92" s="414"/>
      <c r="BD92" s="414"/>
      <c r="BE92" s="414"/>
      <c r="BF92" s="414"/>
      <c r="BG92" s="414"/>
      <c r="BH92" s="414"/>
      <c r="BI92" s="414"/>
      <c r="BJ92" s="414"/>
      <c r="BK92" s="414"/>
      <c r="BL92" s="414"/>
      <c r="BM92" s="414"/>
      <c r="BN92" s="414"/>
      <c r="BO92" s="414"/>
      <c r="BP92" s="414"/>
      <c r="BQ92" s="414"/>
      <c r="BR92" s="414"/>
      <c r="BS92" s="414"/>
      <c r="BT92" s="414"/>
      <c r="BU92" s="414"/>
      <c r="BV92" s="414"/>
      <c r="BW92" s="414"/>
      <c r="BX92" s="414"/>
      <c r="BY92" s="414"/>
      <c r="BZ92" s="414"/>
      <c r="CA92" s="414"/>
      <c r="CB92" s="414"/>
      <c r="CC92" s="414"/>
      <c r="CD92" s="414"/>
      <c r="CE92" s="414"/>
      <c r="CF92" s="414"/>
      <c r="CG92" s="414"/>
      <c r="CH92" s="414"/>
      <c r="CI92" s="414"/>
      <c r="CJ92" s="414"/>
      <c r="CK92" s="414"/>
      <c r="CL92" s="414"/>
      <c r="CM92" s="414"/>
      <c r="CN92" s="414"/>
      <c r="CO92" s="414"/>
      <c r="CP92" s="414"/>
      <c r="CQ92" s="414"/>
      <c r="CR92" s="414"/>
      <c r="CS92" s="414"/>
      <c r="CT92" s="414"/>
      <c r="CU92" s="414"/>
      <c r="CV92" s="414"/>
      <c r="CW92" s="414"/>
      <c r="CX92" s="414"/>
      <c r="CY92" s="414"/>
      <c r="CZ92" s="414"/>
      <c r="DA92" s="414"/>
      <c r="DB92" s="414"/>
      <c r="DC92" s="414"/>
      <c r="DD92" s="414"/>
      <c r="DE92" s="414"/>
      <c r="DF92" s="414"/>
      <c r="DG92" s="414"/>
      <c r="DH92" s="414"/>
      <c r="DI92" s="414"/>
      <c r="DJ92" s="414"/>
      <c r="DK92" s="414"/>
      <c r="DL92" s="414"/>
      <c r="DM92" s="414"/>
      <c r="DN92" s="414"/>
      <c r="DO92" s="414"/>
      <c r="DP92" s="414"/>
      <c r="DQ92" s="414"/>
      <c r="DR92" s="414"/>
      <c r="DS92" s="414"/>
      <c r="DT92" s="414"/>
      <c r="DU92" s="414"/>
      <c r="DV92" s="414"/>
      <c r="DW92" s="414"/>
    </row>
    <row r="93" ht="15.0" customHeight="1">
      <c r="A93" s="372">
        <v>42061.0</v>
      </c>
      <c r="B93" s="384" t="s">
        <v>1734</v>
      </c>
      <c r="C93" s="384" t="s">
        <v>1735</v>
      </c>
      <c r="D93" s="384">
        <v>30.0</v>
      </c>
      <c r="E93" s="374">
        <f>IFERROR(__xludf.DUMMYFUNCTION("if(and(D93&lt;&gt;0,D93&lt;&gt;""""),D93/GOOGLEFINANCE(C93,""price"")-1,"""")"),0.04166666666666674)</f>
        <v>0.04166666667</v>
      </c>
      <c r="F93" s="375">
        <f>IFERROR(__xludf.DUMMYFUNCTION("GOOGLEFINANCE(C93,""price"")"),28.8)</f>
        <v>28.8</v>
      </c>
      <c r="G93" s="374">
        <f t="shared" si="6"/>
        <v>0.1284722222</v>
      </c>
      <c r="H93" s="376"/>
      <c r="I93" s="376">
        <f>3.25*10</f>
        <v>32.5</v>
      </c>
      <c r="J93" s="380"/>
      <c r="K93" s="380"/>
      <c r="L93" s="389"/>
      <c r="M93" s="379">
        <f t="shared" si="7"/>
        <v>-119.9023034</v>
      </c>
      <c r="N93" s="380">
        <f t="shared" si="8"/>
        <v>0</v>
      </c>
      <c r="O93" s="389"/>
      <c r="P93" s="390"/>
      <c r="Q93" s="391"/>
      <c r="R93" s="387"/>
      <c r="S93" s="387"/>
      <c r="T93" s="387"/>
      <c r="U93" s="386" t="s">
        <v>1736</v>
      </c>
      <c r="V93" s="344"/>
      <c r="W93" s="344"/>
      <c r="X93" s="344"/>
      <c r="Y93" s="344"/>
      <c r="Z93" s="344"/>
      <c r="AA93" s="344"/>
      <c r="AB93" s="344"/>
      <c r="AC93" s="344"/>
      <c r="AD93" s="344"/>
      <c r="AE93" s="344"/>
      <c r="AF93" s="344"/>
      <c r="AG93" s="344"/>
      <c r="AH93" s="344"/>
      <c r="AI93" s="344"/>
      <c r="AJ93" s="344"/>
      <c r="AK93" s="344"/>
      <c r="AL93" s="344"/>
      <c r="AM93" s="344"/>
      <c r="AN93" s="344"/>
      <c r="AO93" s="344"/>
      <c r="AP93" s="344"/>
      <c r="AQ93" s="344"/>
      <c r="AR93" s="344"/>
      <c r="AS93" s="344"/>
      <c r="AT93" s="344"/>
      <c r="AU93" s="344"/>
      <c r="AV93" s="344"/>
      <c r="AW93" s="344"/>
      <c r="AX93" s="344"/>
      <c r="AY93" s="344"/>
      <c r="AZ93" s="344"/>
      <c r="BA93" s="344"/>
      <c r="BB93" s="344"/>
      <c r="BC93" s="344"/>
      <c r="BD93" s="344"/>
      <c r="BE93" s="344"/>
      <c r="BF93" s="344"/>
      <c r="BG93" s="344"/>
      <c r="BH93" s="344"/>
      <c r="BI93" s="344"/>
      <c r="BJ93" s="344"/>
      <c r="BK93" s="344"/>
      <c r="BL93" s="344"/>
      <c r="BM93" s="344"/>
      <c r="BN93" s="344"/>
      <c r="BO93" s="344"/>
      <c r="BP93" s="344"/>
      <c r="BQ93" s="344"/>
      <c r="BR93" s="344"/>
      <c r="BS93" s="344"/>
      <c r="BT93" s="344"/>
      <c r="BU93" s="344"/>
      <c r="BV93" s="344"/>
      <c r="BW93" s="344"/>
      <c r="BX93" s="344"/>
      <c r="BY93" s="344"/>
      <c r="BZ93" s="344"/>
      <c r="CA93" s="344"/>
      <c r="CB93" s="344"/>
      <c r="CC93" s="344"/>
      <c r="CD93" s="344"/>
      <c r="CE93" s="344"/>
      <c r="CF93" s="344"/>
      <c r="CG93" s="344"/>
      <c r="CH93" s="344"/>
      <c r="CI93" s="344"/>
      <c r="CJ93" s="344"/>
      <c r="CK93" s="344"/>
      <c r="CL93" s="344"/>
      <c r="CM93" s="344"/>
      <c r="CN93" s="344"/>
      <c r="CO93" s="344"/>
      <c r="CP93" s="344"/>
      <c r="CQ93" s="344"/>
      <c r="CR93" s="344"/>
      <c r="CS93" s="344"/>
      <c r="CT93" s="344"/>
      <c r="CU93" s="344"/>
      <c r="CV93" s="344"/>
      <c r="CW93" s="344"/>
      <c r="CX93" s="344"/>
      <c r="CY93" s="344"/>
      <c r="CZ93" s="344"/>
      <c r="DA93" s="344"/>
      <c r="DB93" s="344"/>
      <c r="DC93" s="344"/>
      <c r="DD93" s="344"/>
      <c r="DE93" s="344"/>
      <c r="DF93" s="344"/>
      <c r="DG93" s="344"/>
      <c r="DH93" s="344"/>
      <c r="DI93" s="344"/>
      <c r="DJ93" s="344"/>
      <c r="DK93" s="344"/>
      <c r="DL93" s="344"/>
      <c r="DM93" s="344"/>
      <c r="DN93" s="344"/>
      <c r="DO93" s="344"/>
      <c r="DP93" s="344"/>
      <c r="DQ93" s="344"/>
      <c r="DR93" s="344"/>
      <c r="DS93" s="344"/>
      <c r="DT93" s="344"/>
      <c r="DU93" s="344"/>
      <c r="DV93" s="344"/>
      <c r="DW93" s="344"/>
    </row>
    <row r="94" ht="15.0" customHeight="1">
      <c r="A94" s="372">
        <v>42842.0</v>
      </c>
      <c r="B94" s="384" t="s">
        <v>1738</v>
      </c>
      <c r="C94" s="384" t="s">
        <v>1739</v>
      </c>
      <c r="D94" s="384"/>
      <c r="E94" s="374" t="str">
        <f>IFERROR(__xludf.DUMMYFUNCTION("if(and(D94&lt;&gt;0,D94&lt;&gt;""""),D94/GOOGLEFINANCE(C94,""price"")-1,"""")"),"")</f>
        <v/>
      </c>
      <c r="F94" s="375">
        <f>IFERROR(__xludf.DUMMYFUNCTION("GOOGLEFINANCE(C94,""price"")"),91.09)</f>
        <v>91.09</v>
      </c>
      <c r="G94" s="374">
        <f t="shared" si="6"/>
        <v>-0.2219016128</v>
      </c>
      <c r="H94" s="376"/>
      <c r="I94" s="368">
        <f>N94*($I$1+iferror(sqrt((O94*100)*(P94-1/$I$1)*100),-sqrt((O94*100)*-1*(P94-1/$I$1)*100))*(R94/4)^0.2)</f>
        <v>70.87698209</v>
      </c>
      <c r="J94" s="385">
        <v>3.35</v>
      </c>
      <c r="K94" s="385">
        <v>3.65</v>
      </c>
      <c r="L94" s="378">
        <v>43769.0</v>
      </c>
      <c r="M94" s="379">
        <f t="shared" si="7"/>
        <v>0.01276513429</v>
      </c>
      <c r="N94" s="380">
        <f t="shared" si="8"/>
        <v>3.64617046</v>
      </c>
      <c r="O94" s="370">
        <v>0.07</v>
      </c>
      <c r="P94" s="370">
        <v>0.1</v>
      </c>
      <c r="Q94" s="371">
        <f t="shared" ref="Q94:Q95" si="45">I94/N94</f>
        <v>19.43874618</v>
      </c>
      <c r="R94" s="381">
        <v>4.0</v>
      </c>
      <c r="S94" s="378">
        <v>43655.0</v>
      </c>
      <c r="T94" s="381" t="s">
        <v>1223</v>
      </c>
      <c r="U94" s="382" t="s">
        <v>1741</v>
      </c>
      <c r="V94" s="358"/>
      <c r="W94" s="358"/>
      <c r="X94" s="358"/>
      <c r="Y94" s="358"/>
      <c r="Z94" s="358"/>
      <c r="AA94" s="358"/>
      <c r="AB94" s="358"/>
      <c r="AC94" s="358"/>
      <c r="AD94" s="358"/>
      <c r="AE94" s="358"/>
      <c r="AF94" s="358"/>
      <c r="AG94" s="358"/>
      <c r="AH94" s="358"/>
      <c r="AI94" s="358"/>
      <c r="AJ94" s="358"/>
      <c r="AK94" s="358"/>
      <c r="AL94" s="358"/>
      <c r="AM94" s="358"/>
      <c r="AN94" s="358"/>
      <c r="AO94" s="358"/>
      <c r="AP94" s="358"/>
      <c r="AQ94" s="358"/>
      <c r="AR94" s="358"/>
      <c r="AS94" s="358"/>
      <c r="AT94" s="358"/>
      <c r="AU94" s="358"/>
      <c r="AV94" s="358"/>
      <c r="AW94" s="358"/>
      <c r="AX94" s="358"/>
      <c r="AY94" s="358"/>
      <c r="AZ94" s="358"/>
      <c r="BA94" s="358"/>
      <c r="BB94" s="358"/>
      <c r="BC94" s="358"/>
      <c r="BD94" s="358"/>
      <c r="BE94" s="358"/>
      <c r="BF94" s="358"/>
      <c r="BG94" s="358"/>
      <c r="BH94" s="358"/>
      <c r="BI94" s="358"/>
      <c r="BJ94" s="358"/>
      <c r="BK94" s="358"/>
      <c r="BL94" s="358"/>
      <c r="BM94" s="358"/>
      <c r="BN94" s="358"/>
      <c r="BO94" s="358"/>
      <c r="BP94" s="358"/>
      <c r="BQ94" s="358"/>
      <c r="BR94" s="358"/>
      <c r="BS94" s="358"/>
      <c r="BT94" s="358"/>
      <c r="BU94" s="358"/>
      <c r="BV94" s="358"/>
      <c r="BW94" s="358"/>
      <c r="BX94" s="358"/>
      <c r="BY94" s="358"/>
      <c r="BZ94" s="358"/>
      <c r="CA94" s="358"/>
      <c r="CB94" s="358"/>
      <c r="CC94" s="358"/>
      <c r="CD94" s="358"/>
      <c r="CE94" s="358"/>
      <c r="CF94" s="358"/>
      <c r="CG94" s="358"/>
      <c r="CH94" s="358"/>
      <c r="CI94" s="358"/>
      <c r="CJ94" s="358"/>
      <c r="CK94" s="358"/>
      <c r="CL94" s="358"/>
      <c r="CM94" s="358"/>
      <c r="CN94" s="358"/>
      <c r="CO94" s="358"/>
      <c r="CP94" s="358"/>
      <c r="CQ94" s="358"/>
      <c r="CR94" s="358"/>
      <c r="CS94" s="358"/>
      <c r="CT94" s="358"/>
      <c r="CU94" s="358"/>
      <c r="CV94" s="358"/>
      <c r="CW94" s="358"/>
      <c r="CX94" s="358"/>
      <c r="CY94" s="358"/>
      <c r="CZ94" s="358"/>
      <c r="DA94" s="358"/>
      <c r="DB94" s="358"/>
      <c r="DC94" s="358"/>
      <c r="DD94" s="358"/>
      <c r="DE94" s="358"/>
      <c r="DF94" s="358"/>
      <c r="DG94" s="358"/>
      <c r="DH94" s="358"/>
      <c r="DI94" s="358"/>
      <c r="DJ94" s="358"/>
      <c r="DK94" s="358"/>
      <c r="DL94" s="358"/>
      <c r="DM94" s="358"/>
      <c r="DN94" s="358"/>
      <c r="DO94" s="358"/>
      <c r="DP94" s="358"/>
      <c r="DQ94" s="358"/>
      <c r="DR94" s="358"/>
      <c r="DS94" s="358"/>
      <c r="DT94" s="358"/>
      <c r="DU94" s="358"/>
      <c r="DV94" s="358"/>
      <c r="DW94" s="358"/>
    </row>
    <row r="95" ht="15.0" customHeight="1">
      <c r="A95" s="388">
        <v>43712.0</v>
      </c>
      <c r="B95" s="373" t="s">
        <v>1743</v>
      </c>
      <c r="C95" s="373" t="s">
        <v>1744</v>
      </c>
      <c r="D95" s="384"/>
      <c r="E95" s="374" t="str">
        <f>IFERROR(__xludf.DUMMYFUNCTION("if(and(D95&lt;&gt;0,D95&lt;&gt;""""),D95/GOOGLEFINANCE(C95,""price"")-1,"""")"),"")</f>
        <v/>
      </c>
      <c r="F95" s="375">
        <f>IFERROR(__xludf.DUMMYFUNCTION("GOOGLEFINANCE(C95,""price"")"),77.24)</f>
        <v>77.24</v>
      </c>
      <c r="G95" s="374">
        <f t="shared" si="6"/>
        <v>-0.2399267022</v>
      </c>
      <c r="H95" s="376"/>
      <c r="I95" s="368">
        <f>sum(CY95:DS95)</f>
        <v>58.70806152</v>
      </c>
      <c r="J95" s="385">
        <v>2.46</v>
      </c>
      <c r="K95" s="385">
        <f>J95*(1+O95)</f>
        <v>2.6322</v>
      </c>
      <c r="L95" s="378">
        <v>43555.0</v>
      </c>
      <c r="M95" s="379">
        <f t="shared" si="7"/>
        <v>-0.5735362356</v>
      </c>
      <c r="N95" s="380">
        <f t="shared" si="8"/>
        <v>2.73096294</v>
      </c>
      <c r="O95" s="370">
        <v>0.07</v>
      </c>
      <c r="P95" s="370">
        <v>0.25</v>
      </c>
      <c r="Q95" s="371">
        <f t="shared" si="45"/>
        <v>21.49720184</v>
      </c>
      <c r="R95" s="381">
        <v>4.0</v>
      </c>
      <c r="S95" s="378">
        <v>43712.0</v>
      </c>
      <c r="T95" s="381" t="s">
        <v>1223</v>
      </c>
      <c r="U95" s="382" t="s">
        <v>1745</v>
      </c>
      <c r="V95" s="429">
        <f>O95</f>
        <v>0.07</v>
      </c>
      <c r="W95" s="430">
        <f>max(min(Valu!$C$15,$O95),$O95-max($O95-Valu!$C$15,0)/$R95*(W$3-1))</f>
        <v>0.06</v>
      </c>
      <c r="X95" s="430">
        <f>max(min(Valu!$C$15,$O95),$O95-max($O95-Valu!$C$15,0)/$R95*(X$3-1))</f>
        <v>0.05</v>
      </c>
      <c r="Y95" s="430">
        <f>max(min(Valu!$C$15,$O95),$O95-max($O95-Valu!$C$15,0)/$R95*(Y$3-1))</f>
        <v>0.04</v>
      </c>
      <c r="Z95" s="430">
        <f>max(min(Valu!$C$15,$O95),$O95-max($O95-Valu!$C$15,0)/$R95*(Z$3-1))</f>
        <v>0.03</v>
      </c>
      <c r="AA95" s="430">
        <f>max(min(Valu!$C$15,$O95),$O95-max($O95-Valu!$C$15,0)/$R95*(AA$3-1))</f>
        <v>0.03</v>
      </c>
      <c r="AB95" s="430">
        <f>max(min(Valu!$C$15,$O95),$O95-max($O95-Valu!$C$15,0)/$R95*(AB$3-1))</f>
        <v>0.03</v>
      </c>
      <c r="AC95" s="430">
        <f>max(min(Valu!$C$15,$O95),$O95-max($O95-Valu!$C$15,0)/$R95*(AC$3-1))</f>
        <v>0.03</v>
      </c>
      <c r="AD95" s="430">
        <f>max(min(Valu!$C$15,$O95),$O95-max($O95-Valu!$C$15,0)/$R95*(AD$3-1))</f>
        <v>0.03</v>
      </c>
      <c r="AE95" s="430">
        <f>max(min(Valu!$C$15,$O95),$O95-max($O95-Valu!$C$15,0)/$R95*(AE$3-1))</f>
        <v>0.03</v>
      </c>
      <c r="AF95" s="430">
        <f>max(min(Valu!$C$15,$O95),$O95-max($O95-Valu!$C$15,0)/$R95*(AF$3-1))</f>
        <v>0.03</v>
      </c>
      <c r="AG95" s="430">
        <f>max(min(Valu!$C$15,$O95),$O95-max($O95-Valu!$C$15,0)/$R95*(AG$3-1))</f>
        <v>0.03</v>
      </c>
      <c r="AH95" s="430">
        <f>max(min(Valu!$C$15,$O95),$O95-max($O95-Valu!$C$15,0)/$R95*(AH$3-1))</f>
        <v>0.03</v>
      </c>
      <c r="AI95" s="430">
        <f>max(min(Valu!$C$15,$O95),$O95-max($O95-Valu!$C$15,0)/$R95*(AI$3-1))</f>
        <v>0.03</v>
      </c>
      <c r="AJ95" s="430">
        <f>max(min(Valu!$C$15,$O95),$O95-max($O95-Valu!$C$15,0)/$R95*(AJ$3-1))</f>
        <v>0.03</v>
      </c>
      <c r="AK95" s="430">
        <f>max(min(Valu!$C$15,$O95),$O95-max($O95-Valu!$C$15,0)/$R95*(AK$3-1))</f>
        <v>0.03</v>
      </c>
      <c r="AL95" s="430">
        <f>max(min(Valu!$C$15,$O95),$O95-max($O95-Valu!$C$15,0)/$R95*(AL$3-1))</f>
        <v>0.03</v>
      </c>
      <c r="AM95" s="430">
        <f>max(min(Valu!$C$15,$O95),$O95-max($O95-Valu!$C$15,0)/$R95*(AM$3-1))</f>
        <v>0.03</v>
      </c>
      <c r="AN95" s="430">
        <f>max(min(Valu!$C$15,$O95),$O95-max($O95-Valu!$C$15,0)/$R95*(AN$3-1))</f>
        <v>0.03</v>
      </c>
      <c r="AO95" s="430">
        <f>max(min(Valu!$C$15,$O95),$O95-max($O95-Valu!$C$15,0)/$R95*(AO$3-1))</f>
        <v>0.03</v>
      </c>
      <c r="AP95" s="430">
        <f>max(min(Valu!$C$14,$P95),$P95-max($P95-Valu!$C$14,0)/$R95*(AP$3-1))</f>
        <v>0.25</v>
      </c>
      <c r="AQ95" s="430">
        <f>max(min(Valu!$C$14,$P95),$P95-max($P95-Valu!$C$14,0)/$R95*(AQ$3-1))</f>
        <v>0.2175</v>
      </c>
      <c r="AR95" s="430">
        <f>max(min(Valu!$C$14,$P95),$P95-max($P95-Valu!$C$14,0)/$R95*(AR$3-1))</f>
        <v>0.185</v>
      </c>
      <c r="AS95" s="430">
        <f>max(min(Valu!$C$14,$P95),$P95-max($P95-Valu!$C$14,0)/$R95*(AS$3-1))</f>
        <v>0.1525</v>
      </c>
      <c r="AT95" s="430">
        <f>max(min(Valu!$C$14,$P95),$P95-max($P95-Valu!$C$14,0)/$R95*(AT$3-1))</f>
        <v>0.12</v>
      </c>
      <c r="AU95" s="430">
        <f>max(min(Valu!$C$14,$P95),$P95-max($P95-Valu!$C$14,0)/$R95*(AU$3-1))</f>
        <v>0.12</v>
      </c>
      <c r="AV95" s="430">
        <f>max(min(Valu!$C$14,$P95),$P95-max($P95-Valu!$C$14,0)/$R95*(AV$3-1))</f>
        <v>0.12</v>
      </c>
      <c r="AW95" s="430">
        <f>max(min(Valu!$C$14,$P95),$P95-max($P95-Valu!$C$14,0)/$R95*(AW$3-1))</f>
        <v>0.12</v>
      </c>
      <c r="AX95" s="430">
        <f>max(min(Valu!$C$14,$P95),$P95-max($P95-Valu!$C$14,0)/$R95*(AX$3-1))</f>
        <v>0.12</v>
      </c>
      <c r="AY95" s="430">
        <f>max(min(Valu!$C$14,$P95),$P95-max($P95-Valu!$C$14,0)/$R95*(AY$3-1))</f>
        <v>0.12</v>
      </c>
      <c r="AZ95" s="430">
        <f>max(min(Valu!$C$14,$P95),$P95-max($P95-Valu!$C$14,0)/$R95*(AZ$3-1))</f>
        <v>0.12</v>
      </c>
      <c r="BA95" s="430">
        <f>max(min(Valu!$C$14,$P95),$P95-max($P95-Valu!$C$14,0)/$R95*(BA$3-1))</f>
        <v>0.12</v>
      </c>
      <c r="BB95" s="430">
        <f>max(min(Valu!$C$14,$P95),$P95-max($P95-Valu!$C$14,0)/$R95*(BB$3-1))</f>
        <v>0.12</v>
      </c>
      <c r="BC95" s="430">
        <f>max(min(Valu!$C$14,$P95),$P95-max($P95-Valu!$C$14,0)/$R95*(BC$3-1))</f>
        <v>0.12</v>
      </c>
      <c r="BD95" s="430">
        <f>max(min(Valu!$C$14,$P95),$P95-max($P95-Valu!$C$14,0)/$R95*(BD$3-1))</f>
        <v>0.12</v>
      </c>
      <c r="BE95" s="430">
        <f>max(min(Valu!$C$14,$P95),$P95-max($P95-Valu!$C$14,0)/$R95*(BE$3-1))</f>
        <v>0.12</v>
      </c>
      <c r="BF95" s="430">
        <f>max(min(Valu!$C$14,$P95),$P95-max($P95-Valu!$C$14,0)/$R95*(BF$3-1))</f>
        <v>0.12</v>
      </c>
      <c r="BG95" s="430">
        <f>max(min(Valu!$C$14,$P95),$P95-max($P95-Valu!$C$14,0)/$R95*(BG$3-1))</f>
        <v>0.12</v>
      </c>
      <c r="BH95" s="430">
        <f>max(min(Valu!$C$14,$P95),$P95-max($P95-Valu!$C$14,0)/$R95*(BH$3-1))</f>
        <v>0.12</v>
      </c>
      <c r="BI95" s="430">
        <f>max(min(Valu!$C$14,$P95),$P95-max($P95-Valu!$C$14,0)/$R95*(BI$3-1))</f>
        <v>0.12</v>
      </c>
      <c r="BJ95" s="431">
        <f>N95</f>
        <v>2.73096294</v>
      </c>
      <c r="BK95" s="432">
        <f>$BJ95*(1+V95)</f>
        <v>2.922130346</v>
      </c>
      <c r="BL95" s="432">
        <f t="shared" ref="BL95:CC95" si="46">BK95*(1+W95)</f>
        <v>3.097458166</v>
      </c>
      <c r="BM95" s="432">
        <f t="shared" si="46"/>
        <v>3.252331075</v>
      </c>
      <c r="BN95" s="432">
        <f t="shared" si="46"/>
        <v>3.382424318</v>
      </c>
      <c r="BO95" s="432">
        <f t="shared" si="46"/>
        <v>3.483897047</v>
      </c>
      <c r="BP95" s="432">
        <f t="shared" si="46"/>
        <v>3.588413959</v>
      </c>
      <c r="BQ95" s="432">
        <f t="shared" si="46"/>
        <v>3.696066377</v>
      </c>
      <c r="BR95" s="432">
        <f t="shared" si="46"/>
        <v>3.806948369</v>
      </c>
      <c r="BS95" s="432">
        <f t="shared" si="46"/>
        <v>3.92115682</v>
      </c>
      <c r="BT95" s="432">
        <f t="shared" si="46"/>
        <v>4.038791524</v>
      </c>
      <c r="BU95" s="432">
        <f t="shared" si="46"/>
        <v>4.15995527</v>
      </c>
      <c r="BV95" s="432">
        <f t="shared" si="46"/>
        <v>4.284753928</v>
      </c>
      <c r="BW95" s="432">
        <f t="shared" si="46"/>
        <v>4.413296546</v>
      </c>
      <c r="BX95" s="432">
        <f t="shared" si="46"/>
        <v>4.545695442</v>
      </c>
      <c r="BY95" s="432">
        <f t="shared" si="46"/>
        <v>4.682066306</v>
      </c>
      <c r="BZ95" s="432">
        <f t="shared" si="46"/>
        <v>4.822528295</v>
      </c>
      <c r="CA95" s="432">
        <f t="shared" si="46"/>
        <v>4.967204144</v>
      </c>
      <c r="CB95" s="432">
        <f t="shared" si="46"/>
        <v>5.116220268</v>
      </c>
      <c r="CC95" s="432">
        <f t="shared" si="46"/>
        <v>5.269706876</v>
      </c>
      <c r="CD95" s="432">
        <f t="shared" ref="CD95:CW95" si="47">BJ95*(1-V95/AP95)</f>
        <v>1.966293317</v>
      </c>
      <c r="CE95" s="432">
        <f t="shared" si="47"/>
        <v>2.116025423</v>
      </c>
      <c r="CF95" s="432">
        <f t="shared" si="47"/>
        <v>2.260307311</v>
      </c>
      <c r="CG95" s="432">
        <f t="shared" si="47"/>
        <v>2.399260629</v>
      </c>
      <c r="CH95" s="432">
        <f t="shared" si="47"/>
        <v>2.536818238</v>
      </c>
      <c r="CI95" s="432">
        <f t="shared" si="47"/>
        <v>2.612922785</v>
      </c>
      <c r="CJ95" s="432">
        <f t="shared" si="47"/>
        <v>2.691310469</v>
      </c>
      <c r="CK95" s="432">
        <f t="shared" si="47"/>
        <v>2.772049783</v>
      </c>
      <c r="CL95" s="432">
        <f t="shared" si="47"/>
        <v>2.855211276</v>
      </c>
      <c r="CM95" s="432">
        <f t="shared" si="47"/>
        <v>2.940867615</v>
      </c>
      <c r="CN95" s="432">
        <f t="shared" si="47"/>
        <v>3.029093643</v>
      </c>
      <c r="CO95" s="432">
        <f t="shared" si="47"/>
        <v>3.119966452</v>
      </c>
      <c r="CP95" s="432">
        <f t="shared" si="47"/>
        <v>3.213565446</v>
      </c>
      <c r="CQ95" s="432">
        <f t="shared" si="47"/>
        <v>3.309972409</v>
      </c>
      <c r="CR95" s="432">
        <f t="shared" si="47"/>
        <v>3.409271582</v>
      </c>
      <c r="CS95" s="432">
        <f t="shared" si="47"/>
        <v>3.511549729</v>
      </c>
      <c r="CT95" s="432">
        <f t="shared" si="47"/>
        <v>3.616896221</v>
      </c>
      <c r="CU95" s="432">
        <f t="shared" si="47"/>
        <v>3.725403108</v>
      </c>
      <c r="CV95" s="432">
        <f t="shared" si="47"/>
        <v>3.837165201</v>
      </c>
      <c r="CW95" s="432">
        <f t="shared" si="47"/>
        <v>3.952280157</v>
      </c>
      <c r="CX95" s="432">
        <f>CW95*(1+min(Valu!$C$15,$O95))/(Valu!$C$21-min(Valu!$C$15,$O95))</f>
        <v>107.1275937</v>
      </c>
      <c r="CY95" s="432">
        <f>CD95/(1+Valu!$C$21)^CY$3</f>
        <v>1.841098611</v>
      </c>
      <c r="CZ95" s="432">
        <f>CE95/(1+Valu!$C$21)^CZ$3</f>
        <v>1.855147202</v>
      </c>
      <c r="DA95" s="432">
        <f>CF95/(1+Valu!$C$21)^DA$3</f>
        <v>1.855469123</v>
      </c>
      <c r="DB95" s="432">
        <f>CG95/(1+Valu!$C$21)^DB$3</f>
        <v>1.844133753</v>
      </c>
      <c r="DC95" s="432">
        <f>CH95/(1+Valu!$C$21)^DC$3</f>
        <v>1.825715438</v>
      </c>
      <c r="DD95" s="432">
        <f>CI95/(1+Valu!$C$21)^DD$3</f>
        <v>1.760755525</v>
      </c>
      <c r="DE95" s="432">
        <f>CJ95/(1+Valu!$C$21)^DE$3</f>
        <v>1.69810692</v>
      </c>
      <c r="DF95" s="432">
        <f>CK95/(1+Valu!$C$21)^DF$3</f>
        <v>1.637687386</v>
      </c>
      <c r="DG95" s="432">
        <f>CL95/(1+Valu!$C$21)^DG$3</f>
        <v>1.57941761</v>
      </c>
      <c r="DH95" s="432">
        <f>CM95/(1+Valu!$C$21)^DH$3</f>
        <v>1.523221103</v>
      </c>
      <c r="DI95" s="432">
        <f>CN95/(1+Valu!$C$21)^DI$3</f>
        <v>1.469024098</v>
      </c>
      <c r="DJ95" s="432">
        <f>CO95/(1+Valu!$C$21)^DJ$3</f>
        <v>1.41675545</v>
      </c>
      <c r="DK95" s="432">
        <f>CP95/(1+Valu!$C$21)^DK$3</f>
        <v>1.366346548</v>
      </c>
      <c r="DL95" s="432">
        <f>CQ95/(1+Valu!$C$21)^DL$3</f>
        <v>1.317731222</v>
      </c>
      <c r="DM95" s="432">
        <f>CR95/(1+Valu!$C$21)^DM$3</f>
        <v>1.270845654</v>
      </c>
      <c r="DN95" s="432">
        <f>CS95/(1+Valu!$C$21)^DN$3</f>
        <v>1.225628299</v>
      </c>
      <c r="DO95" s="432">
        <f>CT95/(1+Valu!$C$21)^DO$3</f>
        <v>1.182019802</v>
      </c>
      <c r="DP95" s="432">
        <f>CU95/(1+Valu!$C$21)^DP$3</f>
        <v>1.139962917</v>
      </c>
      <c r="DQ95" s="432">
        <f>CV95/(1+Valu!$C$21)^DQ$3</f>
        <v>1.099402439</v>
      </c>
      <c r="DR95" s="432">
        <f>CW95/(1+Valu!$C$21)^DR$3</f>
        <v>1.060285124</v>
      </c>
      <c r="DS95" s="432">
        <f>CX95/(1+Valu!$C$21)^DS$3</f>
        <v>28.7393073</v>
      </c>
      <c r="DT95" s="358"/>
      <c r="DU95" s="358"/>
      <c r="DV95" s="358"/>
      <c r="DW95" s="358"/>
    </row>
    <row r="96" ht="15.0" customHeight="1">
      <c r="A96" s="394">
        <v>41303.0</v>
      </c>
      <c r="B96" s="302" t="s">
        <v>1764</v>
      </c>
      <c r="C96" s="302" t="s">
        <v>881</v>
      </c>
      <c r="D96" s="302"/>
      <c r="E96" s="396" t="str">
        <f>IFERROR(__xludf.DUMMYFUNCTION("if(and(D96&lt;&gt;0,D96&lt;&gt;""""),D96/GOOGLEFINANCE(C96,""price"")-1,"""")"),"")</f>
        <v/>
      </c>
      <c r="F96" s="397" t="str">
        <f>IFERROR(__xludf.DUMMYFUNCTION("GOOGLEFINANCE(C96,""price"")"),"#N/A")</f>
        <v>#N/A</v>
      </c>
      <c r="G96" s="396" t="str">
        <f t="shared" si="6"/>
        <v/>
      </c>
      <c r="H96" s="398"/>
      <c r="I96" s="399"/>
      <c r="J96" s="403"/>
      <c r="K96" s="403"/>
      <c r="L96" s="410"/>
      <c r="M96" s="402">
        <f t="shared" si="7"/>
        <v>-119.9023034</v>
      </c>
      <c r="N96" s="403">
        <f t="shared" si="8"/>
        <v>0</v>
      </c>
      <c r="O96" s="410"/>
      <c r="P96" s="411"/>
      <c r="Q96" s="402"/>
      <c r="R96" s="412"/>
      <c r="S96" s="412"/>
      <c r="T96" s="412"/>
      <c r="U96" s="413" t="s">
        <v>1765</v>
      </c>
      <c r="V96" s="414"/>
      <c r="W96" s="414"/>
      <c r="X96" s="414"/>
      <c r="Y96" s="414"/>
      <c r="Z96" s="414"/>
      <c r="AA96" s="414"/>
      <c r="AB96" s="414"/>
      <c r="AC96" s="414"/>
      <c r="AD96" s="414"/>
      <c r="AE96" s="414"/>
      <c r="AF96" s="414"/>
      <c r="AG96" s="414"/>
      <c r="AH96" s="414"/>
      <c r="AI96" s="414"/>
      <c r="AJ96" s="414"/>
      <c r="AK96" s="414"/>
      <c r="AL96" s="414"/>
      <c r="AM96" s="414"/>
      <c r="AN96" s="414"/>
      <c r="AO96" s="414"/>
      <c r="AP96" s="414"/>
      <c r="AQ96" s="414"/>
      <c r="AR96" s="414"/>
      <c r="AS96" s="414"/>
      <c r="AT96" s="414"/>
      <c r="AU96" s="414"/>
      <c r="AV96" s="414"/>
      <c r="AW96" s="414"/>
      <c r="AX96" s="414"/>
      <c r="AY96" s="414"/>
      <c r="AZ96" s="414"/>
      <c r="BA96" s="414"/>
      <c r="BB96" s="414"/>
      <c r="BC96" s="414"/>
      <c r="BD96" s="414"/>
      <c r="BE96" s="414"/>
      <c r="BF96" s="414"/>
      <c r="BG96" s="414"/>
      <c r="BH96" s="414"/>
      <c r="BI96" s="414"/>
      <c r="BJ96" s="414"/>
      <c r="BK96" s="414"/>
      <c r="BL96" s="414"/>
      <c r="BM96" s="414"/>
      <c r="BN96" s="414"/>
      <c r="BO96" s="414"/>
      <c r="BP96" s="414"/>
      <c r="BQ96" s="414"/>
      <c r="BR96" s="414"/>
      <c r="BS96" s="414"/>
      <c r="BT96" s="414"/>
      <c r="BU96" s="414"/>
      <c r="BV96" s="414"/>
      <c r="BW96" s="414"/>
      <c r="BX96" s="414"/>
      <c r="BY96" s="414"/>
      <c r="BZ96" s="414"/>
      <c r="CA96" s="414"/>
      <c r="CB96" s="414"/>
      <c r="CC96" s="414"/>
      <c r="CD96" s="414"/>
      <c r="CE96" s="414"/>
      <c r="CF96" s="414"/>
      <c r="CG96" s="414"/>
      <c r="CH96" s="414"/>
      <c r="CI96" s="414"/>
      <c r="CJ96" s="414"/>
      <c r="CK96" s="414"/>
      <c r="CL96" s="414"/>
      <c r="CM96" s="414"/>
      <c r="CN96" s="414"/>
      <c r="CO96" s="414"/>
      <c r="CP96" s="414"/>
      <c r="CQ96" s="414"/>
      <c r="CR96" s="414"/>
      <c r="CS96" s="414"/>
      <c r="CT96" s="414"/>
      <c r="CU96" s="414"/>
      <c r="CV96" s="414"/>
      <c r="CW96" s="414"/>
      <c r="CX96" s="414"/>
      <c r="CY96" s="414"/>
      <c r="CZ96" s="414"/>
      <c r="DA96" s="414"/>
      <c r="DB96" s="414"/>
      <c r="DC96" s="414"/>
      <c r="DD96" s="414"/>
      <c r="DE96" s="414"/>
      <c r="DF96" s="414"/>
      <c r="DG96" s="414"/>
      <c r="DH96" s="414"/>
      <c r="DI96" s="414"/>
      <c r="DJ96" s="414"/>
      <c r="DK96" s="414"/>
      <c r="DL96" s="414"/>
      <c r="DM96" s="414"/>
      <c r="DN96" s="414"/>
      <c r="DO96" s="414"/>
      <c r="DP96" s="414"/>
      <c r="DQ96" s="414"/>
      <c r="DR96" s="414"/>
      <c r="DS96" s="414"/>
      <c r="DT96" s="414"/>
      <c r="DU96" s="414"/>
      <c r="DV96" s="414"/>
      <c r="DW96" s="414"/>
    </row>
    <row r="97" ht="15.0" customHeight="1">
      <c r="A97" s="383">
        <v>41623.0</v>
      </c>
      <c r="B97" s="320" t="s">
        <v>1767</v>
      </c>
      <c r="C97" s="320" t="s">
        <v>1158</v>
      </c>
      <c r="D97" s="373">
        <v>42.5</v>
      </c>
      <c r="E97" s="374">
        <f>IFERROR(__xludf.DUMMYFUNCTION("if(and(D97&lt;&gt;0,D97&lt;&gt;""""),D97/GOOGLEFINANCE(C97,""price"")-1,"""")"),-0.2216117216117216)</f>
        <v>-0.2216117216</v>
      </c>
      <c r="F97" s="375">
        <f>IFERROR(__xludf.DUMMYFUNCTION("GOOGLEFINANCE(C97,""price"")"),54.6)</f>
        <v>54.6</v>
      </c>
      <c r="G97" s="374">
        <f t="shared" si="6"/>
        <v>0.4945043842</v>
      </c>
      <c r="H97" s="376"/>
      <c r="I97" s="376">
        <f>N97*($I$1+O97*100)</f>
        <v>81.59993938</v>
      </c>
      <c r="J97" s="377">
        <f>6.61</f>
        <v>6.61</v>
      </c>
      <c r="K97" s="377">
        <f>7.05</f>
        <v>7.05</v>
      </c>
      <c r="L97" s="409">
        <v>43830.0</v>
      </c>
      <c r="M97" s="379">
        <f t="shared" si="7"/>
        <v>0.1798884258</v>
      </c>
      <c r="N97" s="380">
        <f t="shared" si="8"/>
        <v>6.970849093</v>
      </c>
      <c r="O97" s="370">
        <v>-0.03</v>
      </c>
      <c r="P97" s="370"/>
      <c r="Q97" s="371"/>
      <c r="R97" s="378"/>
      <c r="S97" s="378">
        <v>43489.0</v>
      </c>
      <c r="T97" s="387" t="s">
        <v>1223</v>
      </c>
      <c r="U97" s="382" t="s">
        <v>1768</v>
      </c>
      <c r="V97" s="358"/>
      <c r="W97" s="358"/>
      <c r="X97" s="358"/>
      <c r="Y97" s="358"/>
      <c r="Z97" s="358"/>
      <c r="AA97" s="358"/>
      <c r="AB97" s="358"/>
      <c r="AC97" s="358"/>
      <c r="AD97" s="358"/>
      <c r="AE97" s="358"/>
      <c r="AF97" s="358"/>
      <c r="AG97" s="358"/>
      <c r="AH97" s="358"/>
      <c r="AI97" s="358"/>
      <c r="AJ97" s="358"/>
      <c r="AK97" s="358"/>
      <c r="AL97" s="358"/>
      <c r="AM97" s="358"/>
      <c r="AN97" s="358"/>
      <c r="AO97" s="358"/>
      <c r="AP97" s="358"/>
      <c r="AQ97" s="358"/>
      <c r="AR97" s="358"/>
      <c r="AS97" s="358"/>
      <c r="AT97" s="358"/>
      <c r="AU97" s="358"/>
      <c r="AV97" s="358"/>
      <c r="AW97" s="358"/>
      <c r="AX97" s="358"/>
      <c r="AY97" s="358"/>
      <c r="AZ97" s="358"/>
      <c r="BA97" s="358"/>
      <c r="BB97" s="358"/>
      <c r="BC97" s="358"/>
      <c r="BD97" s="358"/>
      <c r="BE97" s="358"/>
      <c r="BF97" s="358"/>
      <c r="BG97" s="358"/>
      <c r="BH97" s="358"/>
      <c r="BI97" s="358"/>
      <c r="BJ97" s="358"/>
      <c r="BK97" s="358"/>
      <c r="BL97" s="358"/>
      <c r="BM97" s="358"/>
      <c r="BN97" s="358"/>
      <c r="BO97" s="358"/>
      <c r="BP97" s="358"/>
      <c r="BQ97" s="358"/>
      <c r="BR97" s="358"/>
      <c r="BS97" s="358"/>
      <c r="BT97" s="358"/>
      <c r="BU97" s="358"/>
      <c r="BV97" s="358"/>
      <c r="BW97" s="358"/>
      <c r="BX97" s="358"/>
      <c r="BY97" s="358"/>
      <c r="BZ97" s="358"/>
      <c r="CA97" s="358"/>
      <c r="CB97" s="358"/>
      <c r="CC97" s="358"/>
      <c r="CD97" s="358"/>
      <c r="CE97" s="358"/>
      <c r="CF97" s="358"/>
      <c r="CG97" s="358"/>
      <c r="CH97" s="358"/>
      <c r="CI97" s="358"/>
      <c r="CJ97" s="358"/>
      <c r="CK97" s="358"/>
      <c r="CL97" s="358"/>
      <c r="CM97" s="358"/>
      <c r="CN97" s="358"/>
      <c r="CO97" s="358"/>
      <c r="CP97" s="358"/>
      <c r="CQ97" s="358"/>
      <c r="CR97" s="358"/>
      <c r="CS97" s="358"/>
      <c r="CT97" s="358"/>
      <c r="CU97" s="358"/>
      <c r="CV97" s="358"/>
      <c r="CW97" s="358"/>
      <c r="CX97" s="358"/>
      <c r="CY97" s="358"/>
      <c r="CZ97" s="358"/>
      <c r="DA97" s="358"/>
      <c r="DB97" s="358"/>
      <c r="DC97" s="358"/>
      <c r="DD97" s="358"/>
      <c r="DE97" s="358"/>
      <c r="DF97" s="358"/>
      <c r="DG97" s="358"/>
      <c r="DH97" s="358"/>
      <c r="DI97" s="358"/>
      <c r="DJ97" s="358"/>
      <c r="DK97" s="358"/>
      <c r="DL97" s="358"/>
      <c r="DM97" s="358"/>
      <c r="DN97" s="358"/>
      <c r="DO97" s="358"/>
      <c r="DP97" s="358"/>
      <c r="DQ97" s="358"/>
      <c r="DR97" s="358"/>
      <c r="DS97" s="358"/>
      <c r="DT97" s="358"/>
      <c r="DU97" s="358"/>
      <c r="DV97" s="358"/>
      <c r="DW97" s="358"/>
    </row>
    <row r="98" ht="15.0" customHeight="1">
      <c r="A98" s="383">
        <v>43734.0</v>
      </c>
      <c r="B98" s="320" t="s">
        <v>1769</v>
      </c>
      <c r="C98" s="320" t="s">
        <v>1296</v>
      </c>
      <c r="D98" s="373">
        <v>27.0</v>
      </c>
      <c r="E98" s="374">
        <f>IFERROR(__xludf.DUMMYFUNCTION("if(and(D98&lt;&gt;0,D98&lt;&gt;""""),D98/GOOGLEFINANCE(C98,""price"")-1,"""")"),-0.2128279883381924)</f>
        <v>-0.2128279883</v>
      </c>
      <c r="F98" s="375">
        <f>IFERROR(__xludf.DUMMYFUNCTION("GOOGLEFINANCE(C98,""price"")"),34.3)</f>
        <v>34.3</v>
      </c>
      <c r="G98" s="374">
        <f t="shared" si="6"/>
        <v>-0.01884655318</v>
      </c>
      <c r="H98" s="376"/>
      <c r="I98" s="368">
        <f>sum(CY98:DS98)</f>
        <v>33.65356323</v>
      </c>
      <c r="J98" s="377">
        <f>330.33/251*0.1</f>
        <v>0.1316055777</v>
      </c>
      <c r="K98" s="377">
        <f>J98*(1+O98)</f>
        <v>0.230309761</v>
      </c>
      <c r="L98" s="378">
        <v>43830.0</v>
      </c>
      <c r="M98" s="379">
        <f t="shared" si="7"/>
        <v>0.1798884246</v>
      </c>
      <c r="N98" s="380">
        <f t="shared" si="8"/>
        <v>0.2125540209</v>
      </c>
      <c r="O98" s="370">
        <v>0.75</v>
      </c>
      <c r="P98" s="370">
        <v>0.2</v>
      </c>
      <c r="Q98" s="371">
        <f>I98/N98</f>
        <v>158.3294594</v>
      </c>
      <c r="R98" s="381">
        <v>8.0</v>
      </c>
      <c r="S98" s="378">
        <v>43762.0</v>
      </c>
      <c r="T98" s="387" t="s">
        <v>1608</v>
      </c>
      <c r="U98" s="382" t="s">
        <v>1771</v>
      </c>
      <c r="V98" s="429">
        <f>O98</f>
        <v>0.75</v>
      </c>
      <c r="W98" s="430">
        <f>max(min(Valu!$C$15,$O98),$O98-max($O98-Valu!$C$15,0)/$R98*(W$3-1))</f>
        <v>0.66</v>
      </c>
      <c r="X98" s="430">
        <f>max(min(Valu!$C$15,$O98),$O98-max($O98-Valu!$C$15,0)/$R98*(X$3-1))</f>
        <v>0.57</v>
      </c>
      <c r="Y98" s="430">
        <f>max(min(Valu!$C$15,$O98),$O98-max($O98-Valu!$C$15,0)/$R98*(Y$3-1))</f>
        <v>0.48</v>
      </c>
      <c r="Z98" s="430">
        <f>max(min(Valu!$C$15,$O98),$O98-max($O98-Valu!$C$15,0)/$R98*(Z$3-1))</f>
        <v>0.39</v>
      </c>
      <c r="AA98" s="430">
        <f>max(min(Valu!$C$15,$O98),$O98-max($O98-Valu!$C$15,0)/$R98*(AA$3-1))</f>
        <v>0.3</v>
      </c>
      <c r="AB98" s="430">
        <f>max(min(Valu!$C$15,$O98),$O98-max($O98-Valu!$C$15,0)/$R98*(AB$3-1))</f>
        <v>0.21</v>
      </c>
      <c r="AC98" s="430">
        <f>max(min(Valu!$C$15,$O98),$O98-max($O98-Valu!$C$15,0)/$R98*(AC$3-1))</f>
        <v>0.12</v>
      </c>
      <c r="AD98" s="430">
        <f>max(min(Valu!$C$15,$O98),$O98-max($O98-Valu!$C$15,0)/$R98*(AD$3-1))</f>
        <v>0.03</v>
      </c>
      <c r="AE98" s="430">
        <f>max(min(Valu!$C$15,$O98),$O98-max($O98-Valu!$C$15,0)/$R98*(AE$3-1))</f>
        <v>0.03</v>
      </c>
      <c r="AF98" s="430">
        <f>max(min(Valu!$C$15,$O98),$O98-max($O98-Valu!$C$15,0)/$R98*(AF$3-1))</f>
        <v>0.03</v>
      </c>
      <c r="AG98" s="430">
        <f>max(min(Valu!$C$15,$O98),$O98-max($O98-Valu!$C$15,0)/$R98*(AG$3-1))</f>
        <v>0.03</v>
      </c>
      <c r="AH98" s="430">
        <f>max(min(Valu!$C$15,$O98),$O98-max($O98-Valu!$C$15,0)/$R98*(AH$3-1))</f>
        <v>0.03</v>
      </c>
      <c r="AI98" s="430">
        <f>max(min(Valu!$C$15,$O98),$O98-max($O98-Valu!$C$15,0)/$R98*(AI$3-1))</f>
        <v>0.03</v>
      </c>
      <c r="AJ98" s="430">
        <f>max(min(Valu!$C$15,$O98),$O98-max($O98-Valu!$C$15,0)/$R98*(AJ$3-1))</f>
        <v>0.03</v>
      </c>
      <c r="AK98" s="430">
        <f>max(min(Valu!$C$15,$O98),$O98-max($O98-Valu!$C$15,0)/$R98*(AK$3-1))</f>
        <v>0.03</v>
      </c>
      <c r="AL98" s="430">
        <f>max(min(Valu!$C$15,$O98),$O98-max($O98-Valu!$C$15,0)/$R98*(AL$3-1))</f>
        <v>0.03</v>
      </c>
      <c r="AM98" s="430">
        <f>max(min(Valu!$C$15,$O98),$O98-max($O98-Valu!$C$15,0)/$R98*(AM$3-1))</f>
        <v>0.03</v>
      </c>
      <c r="AN98" s="430">
        <f>max(min(Valu!$C$15,$O98),$O98-max($O98-Valu!$C$15,0)/$R98*(AN$3-1))</f>
        <v>0.03</v>
      </c>
      <c r="AO98" s="430">
        <f>max(min(Valu!$C$15,$O98),$O98-max($O98-Valu!$C$15,0)/$R98*(AO$3-1))</f>
        <v>0.03</v>
      </c>
      <c r="AP98" s="430">
        <f>max(min(Valu!$C$14,$P98),$P98-max($P98-Valu!$C$14,0)/$R98*(AP$3-1))</f>
        <v>0.2</v>
      </c>
      <c r="AQ98" s="430">
        <f>max(min(Valu!$C$14,$P98),$P98-max($P98-Valu!$C$14,0)/$R98*(AQ$3-1))</f>
        <v>0.19</v>
      </c>
      <c r="AR98" s="430">
        <f>max(min(Valu!$C$14,$P98),$P98-max($P98-Valu!$C$14,0)/$R98*(AR$3-1))</f>
        <v>0.18</v>
      </c>
      <c r="AS98" s="430">
        <f>max(min(Valu!$C$14,$P98),$P98-max($P98-Valu!$C$14,0)/$R98*(AS$3-1))</f>
        <v>0.17</v>
      </c>
      <c r="AT98" s="430">
        <f>max(min(Valu!$C$14,$P98),$P98-max($P98-Valu!$C$14,0)/$R98*(AT$3-1))</f>
        <v>0.16</v>
      </c>
      <c r="AU98" s="430">
        <f>max(min(Valu!$C$14,$P98),$P98-max($P98-Valu!$C$14,0)/$R98*(AU$3-1))</f>
        <v>0.15</v>
      </c>
      <c r="AV98" s="430">
        <f>max(min(Valu!$C$14,$P98),$P98-max($P98-Valu!$C$14,0)/$R98*(AV$3-1))</f>
        <v>0.14</v>
      </c>
      <c r="AW98" s="430">
        <f>max(min(Valu!$C$14,$P98),$P98-max($P98-Valu!$C$14,0)/$R98*(AW$3-1))</f>
        <v>0.13</v>
      </c>
      <c r="AX98" s="430">
        <f>max(min(Valu!$C$14,$P98),$P98-max($P98-Valu!$C$14,0)/$R98*(AX$3-1))</f>
        <v>0.12</v>
      </c>
      <c r="AY98" s="430">
        <f>max(min(Valu!$C$14,$P98),$P98-max($P98-Valu!$C$14,0)/$R98*(AY$3-1))</f>
        <v>0.12</v>
      </c>
      <c r="AZ98" s="430">
        <f>max(min(Valu!$C$14,$P98),$P98-max($P98-Valu!$C$14,0)/$R98*(AZ$3-1))</f>
        <v>0.12</v>
      </c>
      <c r="BA98" s="430">
        <f>max(min(Valu!$C$14,$P98),$P98-max($P98-Valu!$C$14,0)/$R98*(BA$3-1))</f>
        <v>0.12</v>
      </c>
      <c r="BB98" s="430">
        <f>max(min(Valu!$C$14,$P98),$P98-max($P98-Valu!$C$14,0)/$R98*(BB$3-1))</f>
        <v>0.12</v>
      </c>
      <c r="BC98" s="430">
        <f>max(min(Valu!$C$14,$P98),$P98-max($P98-Valu!$C$14,0)/$R98*(BC$3-1))</f>
        <v>0.12</v>
      </c>
      <c r="BD98" s="430">
        <f>max(min(Valu!$C$14,$P98),$P98-max($P98-Valu!$C$14,0)/$R98*(BD$3-1))</f>
        <v>0.12</v>
      </c>
      <c r="BE98" s="430">
        <f>max(min(Valu!$C$14,$P98),$P98-max($P98-Valu!$C$14,0)/$R98*(BE$3-1))</f>
        <v>0.12</v>
      </c>
      <c r="BF98" s="430">
        <f>max(min(Valu!$C$14,$P98),$P98-max($P98-Valu!$C$14,0)/$R98*(BF$3-1))</f>
        <v>0.12</v>
      </c>
      <c r="BG98" s="430">
        <f>max(min(Valu!$C$14,$P98),$P98-max($P98-Valu!$C$14,0)/$R98*(BG$3-1))</f>
        <v>0.12</v>
      </c>
      <c r="BH98" s="430">
        <f>max(min(Valu!$C$14,$P98),$P98-max($P98-Valu!$C$14,0)/$R98*(BH$3-1))</f>
        <v>0.12</v>
      </c>
      <c r="BI98" s="430">
        <f>max(min(Valu!$C$14,$P98),$P98-max($P98-Valu!$C$14,0)/$R98*(BI$3-1))</f>
        <v>0.12</v>
      </c>
      <c r="BJ98" s="431">
        <f>N98</f>
        <v>0.2125540209</v>
      </c>
      <c r="BK98" s="432">
        <f>$BJ98*(1+V98)</f>
        <v>0.3719695366</v>
      </c>
      <c r="BL98" s="432">
        <f t="shared" ref="BL98:CC98" si="48">BK98*(1+W98)</f>
        <v>0.6174694308</v>
      </c>
      <c r="BM98" s="432">
        <f t="shared" si="48"/>
        <v>0.9694270063</v>
      </c>
      <c r="BN98" s="432">
        <f t="shared" si="48"/>
        <v>1.434751969</v>
      </c>
      <c r="BO98" s="432">
        <f t="shared" si="48"/>
        <v>1.994305237</v>
      </c>
      <c r="BP98" s="432">
        <f t="shared" si="48"/>
        <v>2.592596809</v>
      </c>
      <c r="BQ98" s="432">
        <f t="shared" si="48"/>
        <v>3.137042138</v>
      </c>
      <c r="BR98" s="432">
        <f t="shared" si="48"/>
        <v>3.513487195</v>
      </c>
      <c r="BS98" s="432">
        <f t="shared" si="48"/>
        <v>3.618891811</v>
      </c>
      <c r="BT98" s="432">
        <f t="shared" si="48"/>
        <v>3.727458565</v>
      </c>
      <c r="BU98" s="432">
        <f t="shared" si="48"/>
        <v>3.839282322</v>
      </c>
      <c r="BV98" s="432">
        <f t="shared" si="48"/>
        <v>3.954460792</v>
      </c>
      <c r="BW98" s="432">
        <f t="shared" si="48"/>
        <v>4.073094616</v>
      </c>
      <c r="BX98" s="432">
        <f t="shared" si="48"/>
        <v>4.195287454</v>
      </c>
      <c r="BY98" s="432">
        <f t="shared" si="48"/>
        <v>4.321146078</v>
      </c>
      <c r="BZ98" s="432">
        <f t="shared" si="48"/>
        <v>4.45078046</v>
      </c>
      <c r="CA98" s="432">
        <f t="shared" si="48"/>
        <v>4.584303874</v>
      </c>
      <c r="CB98" s="432">
        <f t="shared" si="48"/>
        <v>4.72183299</v>
      </c>
      <c r="CC98" s="432">
        <f t="shared" si="48"/>
        <v>4.86348798</v>
      </c>
      <c r="CD98" s="432">
        <f t="shared" ref="CD98:CW98" si="49">BJ98*(1-V98/AP98)</f>
        <v>-0.5845235575</v>
      </c>
      <c r="CE98" s="432">
        <f t="shared" si="49"/>
        <v>-0.9201351695</v>
      </c>
      <c r="CF98" s="432">
        <f t="shared" si="49"/>
        <v>-1.337850433</v>
      </c>
      <c r="CG98" s="432">
        <f t="shared" si="49"/>
        <v>-1.767778659</v>
      </c>
      <c r="CH98" s="432">
        <f t="shared" si="49"/>
        <v>-2.062455956</v>
      </c>
      <c r="CI98" s="432">
        <f t="shared" si="49"/>
        <v>-1.994305237</v>
      </c>
      <c r="CJ98" s="432">
        <f t="shared" si="49"/>
        <v>-1.296298404</v>
      </c>
      <c r="CK98" s="432">
        <f t="shared" si="49"/>
        <v>0.2413109337</v>
      </c>
      <c r="CL98" s="432">
        <f t="shared" si="49"/>
        <v>2.635115396</v>
      </c>
      <c r="CM98" s="432">
        <f t="shared" si="49"/>
        <v>2.714168858</v>
      </c>
      <c r="CN98" s="432">
        <f t="shared" si="49"/>
        <v>2.795593924</v>
      </c>
      <c r="CO98" s="432">
        <f t="shared" si="49"/>
        <v>2.879461742</v>
      </c>
      <c r="CP98" s="432">
        <f t="shared" si="49"/>
        <v>2.965845594</v>
      </c>
      <c r="CQ98" s="432">
        <f t="shared" si="49"/>
        <v>3.054820962</v>
      </c>
      <c r="CR98" s="432">
        <f t="shared" si="49"/>
        <v>3.146465591</v>
      </c>
      <c r="CS98" s="432">
        <f t="shared" si="49"/>
        <v>3.240859558</v>
      </c>
      <c r="CT98" s="432">
        <f t="shared" si="49"/>
        <v>3.338085345</v>
      </c>
      <c r="CU98" s="432">
        <f t="shared" si="49"/>
        <v>3.438227905</v>
      </c>
      <c r="CV98" s="432">
        <f t="shared" si="49"/>
        <v>3.541374743</v>
      </c>
      <c r="CW98" s="432">
        <f t="shared" si="49"/>
        <v>3.647615985</v>
      </c>
      <c r="CX98" s="432">
        <f>CW98*(1+min(Valu!$C$15,$O98))/(Valu!$C$21-min(Valu!$C$15,$O98))</f>
        <v>98.86959117</v>
      </c>
      <c r="CY98" s="432">
        <f>CD98/(1+Valu!$C$21)^CY$3</f>
        <v>-0.5473067018</v>
      </c>
      <c r="CZ98" s="432">
        <f>CE98/(1+Valu!$C$21)^CZ$3</f>
        <v>-0.8066945545</v>
      </c>
      <c r="DA98" s="432">
        <f>CF98/(1+Valu!$C$21)^DA$3</f>
        <v>-1.098231271</v>
      </c>
      <c r="DB98" s="432">
        <f>CG98/(1+Valu!$C$21)^DB$3</f>
        <v>-1.358760383</v>
      </c>
      <c r="DC98" s="432">
        <f>CH98/(1+Valu!$C$21)^DC$3</f>
        <v>-1.484323008</v>
      </c>
      <c r="DD98" s="432">
        <f>CI98/(1+Valu!$C$21)^DD$3</f>
        <v>-1.343891211</v>
      </c>
      <c r="DE98" s="432">
        <f>CJ98/(1+Valu!$C$21)^DE$3</f>
        <v>-0.8179113175</v>
      </c>
      <c r="DF98" s="432">
        <f>CK98/(1+Valu!$C$21)^DF$3</f>
        <v>0.1425630502</v>
      </c>
      <c r="DG98" s="432">
        <f>CL98/(1+Valu!$C$21)^DG$3</f>
        <v>1.457667142</v>
      </c>
      <c r="DH98" s="432">
        <f>CM98/(1+Valu!$C$21)^DH$3</f>
        <v>1.405802581</v>
      </c>
      <c r="DI98" s="432">
        <f>CN98/(1+Valu!$C$21)^DI$3</f>
        <v>1.355783388</v>
      </c>
      <c r="DJ98" s="432">
        <f>CO98/(1+Valu!$C$21)^DJ$3</f>
        <v>1.307543904</v>
      </c>
      <c r="DK98" s="432">
        <f>CP98/(1+Valu!$C$21)^DK$3</f>
        <v>1.261020806</v>
      </c>
      <c r="DL98" s="432">
        <f>CQ98/(1+Valu!$C$21)^DL$3</f>
        <v>1.216153025</v>
      </c>
      <c r="DM98" s="432">
        <f>CR98/(1+Valu!$C$21)^DM$3</f>
        <v>1.172881662</v>
      </c>
      <c r="DN98" s="432">
        <f>CS98/(1+Valu!$C$21)^DN$3</f>
        <v>1.131149918</v>
      </c>
      <c r="DO98" s="432">
        <f>CT98/(1+Valu!$C$21)^DO$3</f>
        <v>1.090903011</v>
      </c>
      <c r="DP98" s="432">
        <f>CU98/(1+Valu!$C$21)^DP$3</f>
        <v>1.05208811</v>
      </c>
      <c r="DQ98" s="432">
        <f>CV98/(1+Valu!$C$21)^DQ$3</f>
        <v>1.014654263</v>
      </c>
      <c r="DR98" s="432">
        <f>CW98/(1+Valu!$C$21)^DR$3</f>
        <v>0.9785523323</v>
      </c>
      <c r="DS98" s="432">
        <f>CX98/(1+Valu!$C$21)^DS$3</f>
        <v>26.52391848</v>
      </c>
      <c r="DT98" s="358"/>
      <c r="DU98" s="358"/>
      <c r="DV98" s="358"/>
      <c r="DW98" s="358"/>
    </row>
    <row r="99" ht="15.0" customHeight="1">
      <c r="A99" s="366">
        <v>41615.0</v>
      </c>
      <c r="B99" s="367" t="s">
        <v>1784</v>
      </c>
      <c r="C99" s="367" t="s">
        <v>1785</v>
      </c>
      <c r="D99" s="367"/>
      <c r="E99" s="345" t="str">
        <f>IFERROR(__xludf.DUMMYFUNCTION("if(and(D99&lt;&gt;0,D99&lt;&gt;""""),D99/GOOGLEFINANCE(C99,""price"")-1,"""")"),"")</f>
        <v/>
      </c>
      <c r="F99" s="364">
        <f>IFERROR(__xludf.DUMMYFUNCTION("GOOGLEFINANCE(C99,""price"")"),173.11)</f>
        <v>173.11</v>
      </c>
      <c r="G99" s="345" t="str">
        <f t="shared" si="6"/>
        <v/>
      </c>
      <c r="H99" s="347"/>
      <c r="I99" s="347"/>
      <c r="J99" s="349"/>
      <c r="K99" s="349"/>
      <c r="L99" s="350"/>
      <c r="M99" s="351">
        <f t="shared" si="7"/>
        <v>-119.9023034</v>
      </c>
      <c r="N99" s="349">
        <f t="shared" si="8"/>
        <v>0</v>
      </c>
      <c r="O99" s="350"/>
      <c r="P99" s="434"/>
      <c r="Q99" s="351"/>
      <c r="R99" s="435"/>
      <c r="S99" s="435"/>
      <c r="T99" s="435"/>
      <c r="U99" s="436" t="s">
        <v>1788</v>
      </c>
      <c r="V99" s="367"/>
      <c r="W99" s="367"/>
      <c r="X99" s="367"/>
      <c r="Y99" s="367"/>
      <c r="Z99" s="367"/>
      <c r="AA99" s="367"/>
      <c r="AB99" s="367"/>
      <c r="AC99" s="367"/>
      <c r="AD99" s="367"/>
      <c r="AE99" s="367"/>
      <c r="AF99" s="367"/>
      <c r="AG99" s="367"/>
      <c r="AH99" s="367"/>
      <c r="AI99" s="367"/>
      <c r="AJ99" s="367"/>
      <c r="AK99" s="367"/>
      <c r="AL99" s="367"/>
      <c r="AM99" s="367"/>
      <c r="AN99" s="367"/>
      <c r="AO99" s="367"/>
      <c r="AP99" s="367"/>
      <c r="AQ99" s="367"/>
      <c r="AR99" s="367"/>
      <c r="AS99" s="367"/>
      <c r="AT99" s="367"/>
      <c r="AU99" s="367"/>
      <c r="AV99" s="367"/>
      <c r="AW99" s="367"/>
      <c r="AX99" s="367"/>
      <c r="AY99" s="367"/>
      <c r="AZ99" s="367"/>
      <c r="BA99" s="367"/>
      <c r="BB99" s="367"/>
      <c r="BC99" s="367"/>
      <c r="BD99" s="367"/>
      <c r="BE99" s="367"/>
      <c r="BF99" s="367"/>
      <c r="BG99" s="367"/>
      <c r="BH99" s="367"/>
      <c r="BI99" s="367"/>
      <c r="BJ99" s="367"/>
      <c r="BK99" s="367"/>
      <c r="BL99" s="367"/>
      <c r="BM99" s="367"/>
      <c r="BN99" s="367"/>
      <c r="BO99" s="367"/>
      <c r="BP99" s="367"/>
      <c r="BQ99" s="367"/>
      <c r="BR99" s="367"/>
      <c r="BS99" s="367"/>
      <c r="BT99" s="367"/>
      <c r="BU99" s="367"/>
      <c r="BV99" s="367"/>
      <c r="BW99" s="367"/>
      <c r="BX99" s="367"/>
      <c r="BY99" s="367"/>
      <c r="BZ99" s="367"/>
      <c r="CA99" s="367"/>
      <c r="CB99" s="367"/>
      <c r="CC99" s="367"/>
      <c r="CD99" s="367"/>
      <c r="CE99" s="367"/>
      <c r="CF99" s="367"/>
      <c r="CG99" s="367"/>
      <c r="CH99" s="367"/>
      <c r="CI99" s="367"/>
      <c r="CJ99" s="367"/>
      <c r="CK99" s="367"/>
      <c r="CL99" s="367"/>
      <c r="CM99" s="367"/>
      <c r="CN99" s="367"/>
      <c r="CO99" s="367"/>
      <c r="CP99" s="367"/>
      <c r="CQ99" s="367"/>
      <c r="CR99" s="367"/>
      <c r="CS99" s="367"/>
      <c r="CT99" s="367"/>
      <c r="CU99" s="367"/>
      <c r="CV99" s="367"/>
      <c r="CW99" s="367"/>
      <c r="CX99" s="367"/>
      <c r="CY99" s="367"/>
      <c r="CZ99" s="367"/>
      <c r="DA99" s="367"/>
      <c r="DB99" s="367"/>
      <c r="DC99" s="367"/>
      <c r="DD99" s="367"/>
      <c r="DE99" s="367"/>
      <c r="DF99" s="367"/>
      <c r="DG99" s="367"/>
      <c r="DH99" s="367"/>
      <c r="DI99" s="367"/>
      <c r="DJ99" s="367"/>
      <c r="DK99" s="367"/>
      <c r="DL99" s="367"/>
      <c r="DM99" s="367"/>
      <c r="DN99" s="367"/>
      <c r="DO99" s="367"/>
      <c r="DP99" s="367"/>
      <c r="DQ99" s="367"/>
      <c r="DR99" s="367"/>
      <c r="DS99" s="367"/>
      <c r="DT99" s="367"/>
      <c r="DU99" s="367"/>
      <c r="DV99" s="367"/>
      <c r="DW99" s="367"/>
    </row>
    <row r="100" ht="15.0" customHeight="1">
      <c r="A100" s="494">
        <v>40401.0</v>
      </c>
      <c r="B100" s="414" t="s">
        <v>1789</v>
      </c>
      <c r="C100" s="414" t="s">
        <v>1790</v>
      </c>
      <c r="D100" s="495"/>
      <c r="E100" s="441" t="str">
        <f>IFERROR(__xludf.DUMMYFUNCTION("if(and(D100&lt;&gt;0,D100&lt;&gt;""""),D100/GOOGLEFINANCE(C100,""price"")-1,"""")"),"")</f>
        <v/>
      </c>
      <c r="F100" s="442">
        <f>IFERROR(__xludf.DUMMYFUNCTION("GOOGLEFINANCE(C100,""price"")"),160.34)</f>
        <v>160.34</v>
      </c>
      <c r="G100" s="441" t="str">
        <f t="shared" si="6"/>
        <v/>
      </c>
      <c r="H100" s="443"/>
      <c r="I100" s="443"/>
      <c r="J100" s="445"/>
      <c r="K100" s="445"/>
      <c r="L100" s="446"/>
      <c r="M100" s="447">
        <f t="shared" si="7"/>
        <v>-119.9023034</v>
      </c>
      <c r="N100" s="445">
        <f t="shared" si="8"/>
        <v>0</v>
      </c>
      <c r="O100" s="446"/>
      <c r="P100" s="448"/>
      <c r="Q100" s="447"/>
      <c r="R100" s="449"/>
      <c r="S100" s="449"/>
      <c r="T100" s="449"/>
      <c r="U100" s="450" t="s">
        <v>1792</v>
      </c>
      <c r="V100" s="414"/>
      <c r="W100" s="414"/>
      <c r="X100" s="414"/>
      <c r="Y100" s="414"/>
      <c r="Z100" s="414"/>
      <c r="AA100" s="414"/>
      <c r="AB100" s="414"/>
      <c r="AC100" s="414"/>
      <c r="AD100" s="414"/>
      <c r="AE100" s="414"/>
      <c r="AF100" s="414"/>
      <c r="AG100" s="414"/>
      <c r="AH100" s="414"/>
      <c r="AI100" s="414"/>
      <c r="AJ100" s="414"/>
      <c r="AK100" s="414"/>
      <c r="AL100" s="414"/>
      <c r="AM100" s="414"/>
      <c r="AN100" s="414"/>
      <c r="AO100" s="414"/>
      <c r="AP100" s="414"/>
      <c r="AQ100" s="414"/>
      <c r="AR100" s="414"/>
      <c r="AS100" s="414"/>
      <c r="AT100" s="414"/>
      <c r="AU100" s="414"/>
      <c r="AV100" s="414"/>
      <c r="AW100" s="414"/>
      <c r="AX100" s="414"/>
      <c r="AY100" s="414"/>
      <c r="AZ100" s="414"/>
      <c r="BA100" s="414"/>
      <c r="BB100" s="414"/>
      <c r="BC100" s="414"/>
      <c r="BD100" s="414"/>
      <c r="BE100" s="414"/>
      <c r="BF100" s="414"/>
      <c r="BG100" s="414"/>
      <c r="BH100" s="414"/>
      <c r="BI100" s="414"/>
      <c r="BJ100" s="414"/>
      <c r="BK100" s="414"/>
      <c r="BL100" s="414"/>
      <c r="BM100" s="414"/>
      <c r="BN100" s="414"/>
      <c r="BO100" s="414"/>
      <c r="BP100" s="414"/>
      <c r="BQ100" s="414"/>
      <c r="BR100" s="414"/>
      <c r="BS100" s="414"/>
      <c r="BT100" s="414"/>
      <c r="BU100" s="414"/>
      <c r="BV100" s="414"/>
      <c r="BW100" s="414"/>
      <c r="BX100" s="414"/>
      <c r="BY100" s="414"/>
      <c r="BZ100" s="414"/>
      <c r="CA100" s="414"/>
      <c r="CB100" s="414"/>
      <c r="CC100" s="414"/>
      <c r="CD100" s="414"/>
      <c r="CE100" s="414"/>
      <c r="CF100" s="414"/>
      <c r="CG100" s="414"/>
      <c r="CH100" s="414"/>
      <c r="CI100" s="414"/>
      <c r="CJ100" s="414"/>
      <c r="CK100" s="414"/>
      <c r="CL100" s="414"/>
      <c r="CM100" s="414"/>
      <c r="CN100" s="414"/>
      <c r="CO100" s="414"/>
      <c r="CP100" s="414"/>
      <c r="CQ100" s="414"/>
      <c r="CR100" s="414"/>
      <c r="CS100" s="414"/>
      <c r="CT100" s="414"/>
      <c r="CU100" s="414"/>
      <c r="CV100" s="414"/>
      <c r="CW100" s="414"/>
      <c r="CX100" s="414"/>
      <c r="CY100" s="414"/>
      <c r="CZ100" s="414"/>
      <c r="DA100" s="414"/>
      <c r="DB100" s="414"/>
      <c r="DC100" s="414"/>
      <c r="DD100" s="414"/>
      <c r="DE100" s="414"/>
      <c r="DF100" s="414"/>
      <c r="DG100" s="414"/>
      <c r="DH100" s="414"/>
      <c r="DI100" s="414"/>
      <c r="DJ100" s="414"/>
      <c r="DK100" s="414"/>
      <c r="DL100" s="414"/>
      <c r="DM100" s="414"/>
      <c r="DN100" s="414"/>
      <c r="DO100" s="414"/>
      <c r="DP100" s="414"/>
      <c r="DQ100" s="414"/>
      <c r="DR100" s="414"/>
      <c r="DS100" s="414"/>
      <c r="DT100" s="414"/>
      <c r="DU100" s="414"/>
      <c r="DV100" s="414"/>
      <c r="DW100" s="414"/>
    </row>
    <row r="101" ht="15.0" customHeight="1">
      <c r="A101" s="301">
        <v>40215.0</v>
      </c>
      <c r="B101" s="319" t="s">
        <v>1794</v>
      </c>
      <c r="C101" s="319" t="s">
        <v>1795</v>
      </c>
      <c r="D101" s="535"/>
      <c r="E101" s="536" t="str">
        <f>IFERROR(__xludf.DUMMYFUNCTION("if(and(D101&lt;&gt;0,D101&lt;&gt;""""),D101/GOOGLEFINANCE(C101,""price"")-1,"""")"),"")</f>
        <v/>
      </c>
      <c r="F101" s="322">
        <f>IFERROR(__xludf.DUMMYFUNCTION("GOOGLEFINANCE(C101,""price"")"),80.14)</f>
        <v>80.14</v>
      </c>
      <c r="G101" s="536" t="str">
        <f t="shared" si="6"/>
        <v/>
      </c>
      <c r="H101" s="325">
        <v>10.0</v>
      </c>
      <c r="I101" s="325"/>
      <c r="J101" s="313"/>
      <c r="K101" s="313"/>
      <c r="L101" s="314"/>
      <c r="M101" s="312">
        <f t="shared" si="7"/>
        <v>-119.9023034</v>
      </c>
      <c r="N101" s="313">
        <f t="shared" si="8"/>
        <v>0</v>
      </c>
      <c r="O101" s="314"/>
      <c r="P101" s="315"/>
      <c r="Q101" s="312"/>
      <c r="R101" s="316"/>
      <c r="S101" s="316"/>
      <c r="T101" s="316"/>
      <c r="U101" s="317" t="s">
        <v>1796</v>
      </c>
      <c r="V101" s="319"/>
      <c r="W101" s="319"/>
      <c r="X101" s="319"/>
      <c r="Y101" s="319"/>
      <c r="Z101" s="319"/>
      <c r="AA101" s="319"/>
      <c r="AB101" s="319"/>
      <c r="AC101" s="319"/>
      <c r="AD101" s="319"/>
      <c r="AE101" s="319"/>
      <c r="AF101" s="319"/>
      <c r="AG101" s="319"/>
      <c r="AH101" s="319"/>
      <c r="AI101" s="319"/>
      <c r="AJ101" s="319"/>
      <c r="AK101" s="319"/>
      <c r="AL101" s="319"/>
      <c r="AM101" s="319"/>
      <c r="AN101" s="319"/>
      <c r="AO101" s="319"/>
      <c r="AP101" s="319"/>
      <c r="AQ101" s="319"/>
      <c r="AR101" s="319"/>
      <c r="AS101" s="319"/>
      <c r="AT101" s="319"/>
      <c r="AU101" s="319"/>
      <c r="AV101" s="319"/>
      <c r="AW101" s="319"/>
      <c r="AX101" s="319"/>
      <c r="AY101" s="319"/>
      <c r="AZ101" s="319"/>
      <c r="BA101" s="319"/>
      <c r="BB101" s="319"/>
      <c r="BC101" s="319"/>
      <c r="BD101" s="319"/>
      <c r="BE101" s="319"/>
      <c r="BF101" s="319"/>
      <c r="BG101" s="319"/>
      <c r="BH101" s="319"/>
      <c r="BI101" s="319"/>
      <c r="BJ101" s="319"/>
      <c r="BK101" s="319"/>
      <c r="BL101" s="319"/>
      <c r="BM101" s="319"/>
      <c r="BN101" s="319"/>
      <c r="BO101" s="319"/>
      <c r="BP101" s="319"/>
      <c r="BQ101" s="319"/>
      <c r="BR101" s="319"/>
      <c r="BS101" s="319"/>
      <c r="BT101" s="319"/>
      <c r="BU101" s="319"/>
      <c r="BV101" s="319"/>
      <c r="BW101" s="319"/>
      <c r="BX101" s="319"/>
      <c r="BY101" s="319"/>
      <c r="BZ101" s="319"/>
      <c r="CA101" s="319"/>
      <c r="CB101" s="319"/>
      <c r="CC101" s="319"/>
      <c r="CD101" s="319"/>
      <c r="CE101" s="319"/>
      <c r="CF101" s="319"/>
      <c r="CG101" s="319"/>
      <c r="CH101" s="319"/>
      <c r="CI101" s="319"/>
      <c r="CJ101" s="319"/>
      <c r="CK101" s="319"/>
      <c r="CL101" s="319"/>
      <c r="CM101" s="319"/>
      <c r="CN101" s="319"/>
      <c r="CO101" s="319"/>
      <c r="CP101" s="319"/>
      <c r="CQ101" s="319"/>
      <c r="CR101" s="319"/>
      <c r="CS101" s="319"/>
      <c r="CT101" s="319"/>
      <c r="CU101" s="319"/>
      <c r="CV101" s="319"/>
      <c r="CW101" s="319"/>
      <c r="CX101" s="319"/>
      <c r="CY101" s="319"/>
      <c r="CZ101" s="319"/>
      <c r="DA101" s="319"/>
      <c r="DB101" s="319"/>
      <c r="DC101" s="319"/>
      <c r="DD101" s="319"/>
      <c r="DE101" s="319"/>
      <c r="DF101" s="319"/>
      <c r="DG101" s="319"/>
      <c r="DH101" s="319"/>
      <c r="DI101" s="319"/>
      <c r="DJ101" s="319"/>
      <c r="DK101" s="319"/>
      <c r="DL101" s="319"/>
      <c r="DM101" s="319"/>
      <c r="DN101" s="319"/>
      <c r="DO101" s="319"/>
      <c r="DP101" s="319"/>
      <c r="DQ101" s="319"/>
      <c r="DR101" s="319"/>
      <c r="DS101" s="319"/>
      <c r="DT101" s="319"/>
      <c r="DU101" s="319"/>
      <c r="DV101" s="319"/>
      <c r="DW101" s="319"/>
    </row>
    <row r="102" ht="15.0" customHeight="1">
      <c r="A102" s="343">
        <v>42110.0</v>
      </c>
      <c r="B102" s="344" t="s">
        <v>1800</v>
      </c>
      <c r="C102" s="344" t="s">
        <v>1801</v>
      </c>
      <c r="D102" s="344">
        <v>65.0</v>
      </c>
      <c r="E102" s="345">
        <f>IFERROR(__xludf.DUMMYFUNCTION("if(and(D102&lt;&gt;0,D102&lt;&gt;""""),D102/GOOGLEFINANCE(C102,""price"")-1,"""")"),-0.5992107534837834)</f>
        <v>-0.5992107535</v>
      </c>
      <c r="F102" s="364">
        <f>IFERROR(__xludf.DUMMYFUNCTION("GOOGLEFINANCE(C102,""price"")"),162.18)</f>
        <v>162.18</v>
      </c>
      <c r="G102" s="345">
        <f t="shared" si="6"/>
        <v>-0.3909816979</v>
      </c>
      <c r="H102" s="347"/>
      <c r="I102" s="347">
        <f>4.35*($I$1+8)</f>
        <v>98.77058824</v>
      </c>
      <c r="J102" s="349"/>
      <c r="K102" s="349"/>
      <c r="L102" s="350"/>
      <c r="M102" s="351">
        <f t="shared" si="7"/>
        <v>-119.9023034</v>
      </c>
      <c r="N102" s="349">
        <f t="shared" si="8"/>
        <v>0</v>
      </c>
      <c r="O102" s="350"/>
      <c r="P102" s="434"/>
      <c r="Q102" s="351"/>
      <c r="R102" s="435"/>
      <c r="S102" s="435"/>
      <c r="T102" s="435"/>
      <c r="U102" s="436"/>
      <c r="V102" s="367"/>
      <c r="W102" s="367"/>
      <c r="X102" s="367"/>
      <c r="Y102" s="367"/>
      <c r="Z102" s="367"/>
      <c r="AA102" s="367"/>
      <c r="AB102" s="367"/>
      <c r="AC102" s="367"/>
      <c r="AD102" s="367"/>
      <c r="AE102" s="367"/>
      <c r="AF102" s="367"/>
      <c r="AG102" s="367"/>
      <c r="AH102" s="367"/>
      <c r="AI102" s="367"/>
      <c r="AJ102" s="367"/>
      <c r="AK102" s="367"/>
      <c r="AL102" s="367"/>
      <c r="AM102" s="367"/>
      <c r="AN102" s="367"/>
      <c r="AO102" s="367"/>
      <c r="AP102" s="367"/>
      <c r="AQ102" s="367"/>
      <c r="AR102" s="367"/>
      <c r="AS102" s="367"/>
      <c r="AT102" s="367"/>
      <c r="AU102" s="367"/>
      <c r="AV102" s="367"/>
      <c r="AW102" s="367"/>
      <c r="AX102" s="367"/>
      <c r="AY102" s="367"/>
      <c r="AZ102" s="367"/>
      <c r="BA102" s="367"/>
      <c r="BB102" s="367"/>
      <c r="BC102" s="367"/>
      <c r="BD102" s="367"/>
      <c r="BE102" s="367"/>
      <c r="BF102" s="367"/>
      <c r="BG102" s="367"/>
      <c r="BH102" s="367"/>
      <c r="BI102" s="367"/>
      <c r="BJ102" s="367"/>
      <c r="BK102" s="367"/>
      <c r="BL102" s="367"/>
      <c r="BM102" s="367"/>
      <c r="BN102" s="367"/>
      <c r="BO102" s="367"/>
      <c r="BP102" s="367"/>
      <c r="BQ102" s="367"/>
      <c r="BR102" s="367"/>
      <c r="BS102" s="367"/>
      <c r="BT102" s="367"/>
      <c r="BU102" s="367"/>
      <c r="BV102" s="367"/>
      <c r="BW102" s="367"/>
      <c r="BX102" s="367"/>
      <c r="BY102" s="367"/>
      <c r="BZ102" s="367"/>
      <c r="CA102" s="367"/>
      <c r="CB102" s="367"/>
      <c r="CC102" s="367"/>
      <c r="CD102" s="367"/>
      <c r="CE102" s="367"/>
      <c r="CF102" s="367"/>
      <c r="CG102" s="367"/>
      <c r="CH102" s="367"/>
      <c r="CI102" s="367"/>
      <c r="CJ102" s="367"/>
      <c r="CK102" s="367"/>
      <c r="CL102" s="367"/>
      <c r="CM102" s="367"/>
      <c r="CN102" s="367"/>
      <c r="CO102" s="367"/>
      <c r="CP102" s="367"/>
      <c r="CQ102" s="367"/>
      <c r="CR102" s="367"/>
      <c r="CS102" s="367"/>
      <c r="CT102" s="367"/>
      <c r="CU102" s="367"/>
      <c r="CV102" s="367"/>
      <c r="CW102" s="367"/>
      <c r="CX102" s="367"/>
      <c r="CY102" s="367"/>
      <c r="CZ102" s="367"/>
      <c r="DA102" s="367"/>
      <c r="DB102" s="367"/>
      <c r="DC102" s="367"/>
      <c r="DD102" s="367"/>
      <c r="DE102" s="367"/>
      <c r="DF102" s="367"/>
      <c r="DG102" s="367"/>
      <c r="DH102" s="367"/>
      <c r="DI102" s="367"/>
      <c r="DJ102" s="367"/>
      <c r="DK102" s="367"/>
      <c r="DL102" s="367"/>
      <c r="DM102" s="367"/>
      <c r="DN102" s="367"/>
      <c r="DO102" s="367"/>
      <c r="DP102" s="367"/>
      <c r="DQ102" s="367"/>
      <c r="DR102" s="367"/>
      <c r="DS102" s="367"/>
      <c r="DT102" s="367"/>
      <c r="DU102" s="367"/>
      <c r="DV102" s="367"/>
      <c r="DW102" s="367"/>
    </row>
    <row r="103" ht="15.0" customHeight="1">
      <c r="A103" s="494">
        <v>40241.0</v>
      </c>
      <c r="B103" s="414" t="s">
        <v>1805</v>
      </c>
      <c r="C103" s="414" t="s">
        <v>1806</v>
      </c>
      <c r="D103" s="495"/>
      <c r="E103" s="396" t="str">
        <f>IFERROR(__xludf.DUMMYFUNCTION("if(and(D103&lt;&gt;0,D103&lt;&gt;""""),D103/GOOGLEFINANCE(C103,""price"")-1,"""")"),"")</f>
        <v/>
      </c>
      <c r="F103" s="442">
        <f>IFERROR(__xludf.DUMMYFUNCTION("GOOGLEFINANCE(C103,""price"")"),100.63)</f>
        <v>100.63</v>
      </c>
      <c r="G103" s="396" t="str">
        <f t="shared" si="6"/>
        <v/>
      </c>
      <c r="H103" s="398">
        <v>40.0</v>
      </c>
      <c r="I103" s="398"/>
      <c r="J103" s="445"/>
      <c r="K103" s="445"/>
      <c r="L103" s="446"/>
      <c r="M103" s="447">
        <f t="shared" si="7"/>
        <v>-119.9023034</v>
      </c>
      <c r="N103" s="445">
        <f t="shared" si="8"/>
        <v>0</v>
      </c>
      <c r="O103" s="446"/>
      <c r="P103" s="448"/>
      <c r="Q103" s="447"/>
      <c r="R103" s="449"/>
      <c r="S103" s="449"/>
      <c r="T103" s="449"/>
      <c r="U103" s="450" t="s">
        <v>1809</v>
      </c>
      <c r="V103" s="414"/>
      <c r="W103" s="414"/>
      <c r="X103" s="414"/>
      <c r="Y103" s="414"/>
      <c r="Z103" s="414"/>
      <c r="AA103" s="414"/>
      <c r="AB103" s="414"/>
      <c r="AC103" s="414"/>
      <c r="AD103" s="414"/>
      <c r="AE103" s="414"/>
      <c r="AF103" s="414"/>
      <c r="AG103" s="414"/>
      <c r="AH103" s="414"/>
      <c r="AI103" s="414"/>
      <c r="AJ103" s="414"/>
      <c r="AK103" s="414"/>
      <c r="AL103" s="414"/>
      <c r="AM103" s="414"/>
      <c r="AN103" s="414"/>
      <c r="AO103" s="414"/>
      <c r="AP103" s="414"/>
      <c r="AQ103" s="414"/>
      <c r="AR103" s="414"/>
      <c r="AS103" s="414"/>
      <c r="AT103" s="414"/>
      <c r="AU103" s="414"/>
      <c r="AV103" s="414"/>
      <c r="AW103" s="414"/>
      <c r="AX103" s="414"/>
      <c r="AY103" s="414"/>
      <c r="AZ103" s="414"/>
      <c r="BA103" s="414"/>
      <c r="BB103" s="414"/>
      <c r="BC103" s="414"/>
      <c r="BD103" s="414"/>
      <c r="BE103" s="414"/>
      <c r="BF103" s="414"/>
      <c r="BG103" s="414"/>
      <c r="BH103" s="414"/>
      <c r="BI103" s="414"/>
      <c r="BJ103" s="414"/>
      <c r="BK103" s="414"/>
      <c r="BL103" s="414"/>
      <c r="BM103" s="414"/>
      <c r="BN103" s="414"/>
      <c r="BO103" s="414"/>
      <c r="BP103" s="414"/>
      <c r="BQ103" s="414"/>
      <c r="BR103" s="414"/>
      <c r="BS103" s="414"/>
      <c r="BT103" s="414"/>
      <c r="BU103" s="414"/>
      <c r="BV103" s="414"/>
      <c r="BW103" s="414"/>
      <c r="BX103" s="414"/>
      <c r="BY103" s="414"/>
      <c r="BZ103" s="414"/>
      <c r="CA103" s="414"/>
      <c r="CB103" s="414"/>
      <c r="CC103" s="414"/>
      <c r="CD103" s="414"/>
      <c r="CE103" s="414"/>
      <c r="CF103" s="414"/>
      <c r="CG103" s="414"/>
      <c r="CH103" s="414"/>
      <c r="CI103" s="414"/>
      <c r="CJ103" s="414"/>
      <c r="CK103" s="414"/>
      <c r="CL103" s="414"/>
      <c r="CM103" s="414"/>
      <c r="CN103" s="414"/>
      <c r="CO103" s="414"/>
      <c r="CP103" s="414"/>
      <c r="CQ103" s="414"/>
      <c r="CR103" s="414"/>
      <c r="CS103" s="414"/>
      <c r="CT103" s="414"/>
      <c r="CU103" s="414"/>
      <c r="CV103" s="414"/>
      <c r="CW103" s="414"/>
      <c r="CX103" s="414"/>
      <c r="CY103" s="414"/>
      <c r="CZ103" s="414"/>
      <c r="DA103" s="414"/>
      <c r="DB103" s="414"/>
      <c r="DC103" s="414"/>
      <c r="DD103" s="414"/>
      <c r="DE103" s="414"/>
      <c r="DF103" s="414"/>
      <c r="DG103" s="414"/>
      <c r="DH103" s="414"/>
      <c r="DI103" s="414"/>
      <c r="DJ103" s="414"/>
      <c r="DK103" s="414"/>
      <c r="DL103" s="414"/>
      <c r="DM103" s="414"/>
      <c r="DN103" s="414"/>
      <c r="DO103" s="414"/>
      <c r="DP103" s="414"/>
      <c r="DQ103" s="414"/>
      <c r="DR103" s="414"/>
      <c r="DS103" s="414"/>
      <c r="DT103" s="414"/>
      <c r="DU103" s="414"/>
      <c r="DV103" s="414"/>
      <c r="DW103" s="414"/>
    </row>
    <row r="104" ht="15.0" customHeight="1">
      <c r="A104" s="383">
        <v>41655.0</v>
      </c>
      <c r="B104" s="320" t="s">
        <v>1811</v>
      </c>
      <c r="C104" s="320" t="s">
        <v>1402</v>
      </c>
      <c r="D104" s="373">
        <v>90.0</v>
      </c>
      <c r="E104" s="374">
        <f>IFERROR(__xludf.DUMMYFUNCTION("if(and(D104&lt;&gt;0,D104&lt;&gt;""""),D104/GOOGLEFINANCE(C104,""price"")-1,"""")"),-0.33760211967321707)</f>
        <v>-0.3376021197</v>
      </c>
      <c r="F104" s="375">
        <f>IFERROR(__xludf.DUMMYFUNCTION("GOOGLEFINANCE(C104,""price"")"),135.87)</f>
        <v>135.87</v>
      </c>
      <c r="G104" s="374">
        <f t="shared" si="6"/>
        <v>-0.1465580638</v>
      </c>
      <c r="H104" s="376"/>
      <c r="I104" s="368">
        <f t="shared" ref="I104:I105" si="52">sum(CY104:DS104)</f>
        <v>115.9571559</v>
      </c>
      <c r="J104" s="377">
        <v>4.8</v>
      </c>
      <c r="K104" s="377">
        <v>5.61</v>
      </c>
      <c r="L104" s="378">
        <v>43830.0</v>
      </c>
      <c r="M104" s="379">
        <f t="shared" si="7"/>
        <v>0.179888424</v>
      </c>
      <c r="N104" s="380">
        <f t="shared" si="8"/>
        <v>5.464290377</v>
      </c>
      <c r="O104" s="370">
        <v>0.07</v>
      </c>
      <c r="P104" s="370">
        <v>0.12</v>
      </c>
      <c r="Q104" s="371">
        <f t="shared" ref="Q104:Q105" si="53">I104/N104</f>
        <v>21.22089931</v>
      </c>
      <c r="R104" s="381">
        <v>6.0</v>
      </c>
      <c r="S104" s="378">
        <v>43703.0</v>
      </c>
      <c r="T104" s="387" t="s">
        <v>1223</v>
      </c>
      <c r="U104" s="382" t="s">
        <v>1813</v>
      </c>
      <c r="V104" s="429">
        <f t="shared" ref="V104:V105" si="54">O104</f>
        <v>0.07</v>
      </c>
      <c r="W104" s="430">
        <f>max(min(Valu!$C$15,$O104),$O104-max($O104-Valu!$C$15,0)/$R104*(W$3-1))</f>
        <v>0.06333333333</v>
      </c>
      <c r="X104" s="430">
        <f>max(min(Valu!$C$15,$O104),$O104-max($O104-Valu!$C$15,0)/$R104*(X$3-1))</f>
        <v>0.05666666667</v>
      </c>
      <c r="Y104" s="430">
        <f>max(min(Valu!$C$15,$O104),$O104-max($O104-Valu!$C$15,0)/$R104*(Y$3-1))</f>
        <v>0.05</v>
      </c>
      <c r="Z104" s="430">
        <f>max(min(Valu!$C$15,$O104),$O104-max($O104-Valu!$C$15,0)/$R104*(Z$3-1))</f>
        <v>0.04333333333</v>
      </c>
      <c r="AA104" s="430">
        <f>max(min(Valu!$C$15,$O104),$O104-max($O104-Valu!$C$15,0)/$R104*(AA$3-1))</f>
        <v>0.03666666667</v>
      </c>
      <c r="AB104" s="430">
        <f>max(min(Valu!$C$15,$O104),$O104-max($O104-Valu!$C$15,0)/$R104*(AB$3-1))</f>
        <v>0.03</v>
      </c>
      <c r="AC104" s="430">
        <f>max(min(Valu!$C$15,$O104),$O104-max($O104-Valu!$C$15,0)/$R104*(AC$3-1))</f>
        <v>0.03</v>
      </c>
      <c r="AD104" s="430">
        <f>max(min(Valu!$C$15,$O104),$O104-max($O104-Valu!$C$15,0)/$R104*(AD$3-1))</f>
        <v>0.03</v>
      </c>
      <c r="AE104" s="430">
        <f>max(min(Valu!$C$15,$O104),$O104-max($O104-Valu!$C$15,0)/$R104*(AE$3-1))</f>
        <v>0.03</v>
      </c>
      <c r="AF104" s="430">
        <f>max(min(Valu!$C$15,$O104),$O104-max($O104-Valu!$C$15,0)/$R104*(AF$3-1))</f>
        <v>0.03</v>
      </c>
      <c r="AG104" s="430">
        <f>max(min(Valu!$C$15,$O104),$O104-max($O104-Valu!$C$15,0)/$R104*(AG$3-1))</f>
        <v>0.03</v>
      </c>
      <c r="AH104" s="430">
        <f>max(min(Valu!$C$15,$O104),$O104-max($O104-Valu!$C$15,0)/$R104*(AH$3-1))</f>
        <v>0.03</v>
      </c>
      <c r="AI104" s="430">
        <f>max(min(Valu!$C$15,$O104),$O104-max($O104-Valu!$C$15,0)/$R104*(AI$3-1))</f>
        <v>0.03</v>
      </c>
      <c r="AJ104" s="430">
        <f>max(min(Valu!$C$15,$O104),$O104-max($O104-Valu!$C$15,0)/$R104*(AJ$3-1))</f>
        <v>0.03</v>
      </c>
      <c r="AK104" s="430">
        <f>max(min(Valu!$C$15,$O104),$O104-max($O104-Valu!$C$15,0)/$R104*(AK$3-1))</f>
        <v>0.03</v>
      </c>
      <c r="AL104" s="430">
        <f>max(min(Valu!$C$15,$O104),$O104-max($O104-Valu!$C$15,0)/$R104*(AL$3-1))</f>
        <v>0.03</v>
      </c>
      <c r="AM104" s="430">
        <f>max(min(Valu!$C$15,$O104),$O104-max($O104-Valu!$C$15,0)/$R104*(AM$3-1))</f>
        <v>0.03</v>
      </c>
      <c r="AN104" s="430">
        <f>max(min(Valu!$C$15,$O104),$O104-max($O104-Valu!$C$15,0)/$R104*(AN$3-1))</f>
        <v>0.03</v>
      </c>
      <c r="AO104" s="430">
        <f>max(min(Valu!$C$15,$O104),$O104-max($O104-Valu!$C$15,0)/$R104*(AO$3-1))</f>
        <v>0.03</v>
      </c>
      <c r="AP104" s="430">
        <f>max(min(Valu!$C$14,$P104),$P104-max($P104-Valu!$C$14,0)/$R104*(AP$3-1))</f>
        <v>0.12</v>
      </c>
      <c r="AQ104" s="430">
        <f>max(min(Valu!$C$14,$P104),$P104-max($P104-Valu!$C$14,0)/$R104*(AQ$3-1))</f>
        <v>0.12</v>
      </c>
      <c r="AR104" s="430">
        <f>max(min(Valu!$C$14,$P104),$P104-max($P104-Valu!$C$14,0)/$R104*(AR$3-1))</f>
        <v>0.12</v>
      </c>
      <c r="AS104" s="430">
        <f>max(min(Valu!$C$14,$P104),$P104-max($P104-Valu!$C$14,0)/$R104*(AS$3-1))</f>
        <v>0.12</v>
      </c>
      <c r="AT104" s="430">
        <f>max(min(Valu!$C$14,$P104),$P104-max($P104-Valu!$C$14,0)/$R104*(AT$3-1))</f>
        <v>0.12</v>
      </c>
      <c r="AU104" s="430">
        <f>max(min(Valu!$C$14,$P104),$P104-max($P104-Valu!$C$14,0)/$R104*(AU$3-1))</f>
        <v>0.12</v>
      </c>
      <c r="AV104" s="430">
        <f>max(min(Valu!$C$14,$P104),$P104-max($P104-Valu!$C$14,0)/$R104*(AV$3-1))</f>
        <v>0.12</v>
      </c>
      <c r="AW104" s="430">
        <f>max(min(Valu!$C$14,$P104),$P104-max($P104-Valu!$C$14,0)/$R104*(AW$3-1))</f>
        <v>0.12</v>
      </c>
      <c r="AX104" s="430">
        <f>max(min(Valu!$C$14,$P104),$P104-max($P104-Valu!$C$14,0)/$R104*(AX$3-1))</f>
        <v>0.12</v>
      </c>
      <c r="AY104" s="430">
        <f>max(min(Valu!$C$14,$P104),$P104-max($P104-Valu!$C$14,0)/$R104*(AY$3-1))</f>
        <v>0.12</v>
      </c>
      <c r="AZ104" s="430">
        <f>max(min(Valu!$C$14,$P104),$P104-max($P104-Valu!$C$14,0)/$R104*(AZ$3-1))</f>
        <v>0.12</v>
      </c>
      <c r="BA104" s="430">
        <f>max(min(Valu!$C$14,$P104),$P104-max($P104-Valu!$C$14,0)/$R104*(BA$3-1))</f>
        <v>0.12</v>
      </c>
      <c r="BB104" s="430">
        <f>max(min(Valu!$C$14,$P104),$P104-max($P104-Valu!$C$14,0)/$R104*(BB$3-1))</f>
        <v>0.12</v>
      </c>
      <c r="BC104" s="430">
        <f>max(min(Valu!$C$14,$P104),$P104-max($P104-Valu!$C$14,0)/$R104*(BC$3-1))</f>
        <v>0.12</v>
      </c>
      <c r="BD104" s="430">
        <f>max(min(Valu!$C$14,$P104),$P104-max($P104-Valu!$C$14,0)/$R104*(BD$3-1))</f>
        <v>0.12</v>
      </c>
      <c r="BE104" s="430">
        <f>max(min(Valu!$C$14,$P104),$P104-max($P104-Valu!$C$14,0)/$R104*(BE$3-1))</f>
        <v>0.12</v>
      </c>
      <c r="BF104" s="430">
        <f>max(min(Valu!$C$14,$P104),$P104-max($P104-Valu!$C$14,0)/$R104*(BF$3-1))</f>
        <v>0.12</v>
      </c>
      <c r="BG104" s="430">
        <f>max(min(Valu!$C$14,$P104),$P104-max($P104-Valu!$C$14,0)/$R104*(BG$3-1))</f>
        <v>0.12</v>
      </c>
      <c r="BH104" s="430">
        <f>max(min(Valu!$C$14,$P104),$P104-max($P104-Valu!$C$14,0)/$R104*(BH$3-1))</f>
        <v>0.12</v>
      </c>
      <c r="BI104" s="430">
        <f>max(min(Valu!$C$14,$P104),$P104-max($P104-Valu!$C$14,0)/$R104*(BI$3-1))</f>
        <v>0.12</v>
      </c>
      <c r="BJ104" s="431">
        <f t="shared" ref="BJ104:BJ105" si="55">N104</f>
        <v>5.464290377</v>
      </c>
      <c r="BK104" s="432">
        <f t="shared" ref="BK104:BK105" si="56">$BJ104*(1+V104)</f>
        <v>5.846790703</v>
      </c>
      <c r="BL104" s="432">
        <f t="shared" ref="BL104:CC104" si="50">BK104*(1+W104)</f>
        <v>6.217087447</v>
      </c>
      <c r="BM104" s="432">
        <f t="shared" si="50"/>
        <v>6.569389069</v>
      </c>
      <c r="BN104" s="432">
        <f t="shared" si="50"/>
        <v>6.897858523</v>
      </c>
      <c r="BO104" s="432">
        <f t="shared" si="50"/>
        <v>7.196765726</v>
      </c>
      <c r="BP104" s="432">
        <f t="shared" si="50"/>
        <v>7.460647136</v>
      </c>
      <c r="BQ104" s="432">
        <f t="shared" si="50"/>
        <v>7.68446655</v>
      </c>
      <c r="BR104" s="432">
        <f t="shared" si="50"/>
        <v>7.915000546</v>
      </c>
      <c r="BS104" s="432">
        <f t="shared" si="50"/>
        <v>8.152450562</v>
      </c>
      <c r="BT104" s="432">
        <f t="shared" si="50"/>
        <v>8.397024079</v>
      </c>
      <c r="BU104" s="432">
        <f t="shared" si="50"/>
        <v>8.648934802</v>
      </c>
      <c r="BV104" s="432">
        <f t="shared" si="50"/>
        <v>8.908402846</v>
      </c>
      <c r="BW104" s="432">
        <f t="shared" si="50"/>
        <v>9.175654931</v>
      </c>
      <c r="BX104" s="432">
        <f t="shared" si="50"/>
        <v>9.450924579</v>
      </c>
      <c r="BY104" s="432">
        <f t="shared" si="50"/>
        <v>9.734452316</v>
      </c>
      <c r="BZ104" s="432">
        <f t="shared" si="50"/>
        <v>10.02648589</v>
      </c>
      <c r="CA104" s="432">
        <f t="shared" si="50"/>
        <v>10.32728046</v>
      </c>
      <c r="CB104" s="432">
        <f t="shared" si="50"/>
        <v>10.63709888</v>
      </c>
      <c r="CC104" s="432">
        <f t="shared" si="50"/>
        <v>10.95621184</v>
      </c>
      <c r="CD104" s="432">
        <f t="shared" ref="CD104:CW104" si="51">BJ104*(1-V104/AP104)</f>
        <v>2.276787657</v>
      </c>
      <c r="CE104" s="432">
        <f t="shared" si="51"/>
        <v>2.760984499</v>
      </c>
      <c r="CF104" s="432">
        <f t="shared" si="51"/>
        <v>3.281240597</v>
      </c>
      <c r="CG104" s="432">
        <f t="shared" si="51"/>
        <v>3.832143624</v>
      </c>
      <c r="CH104" s="432">
        <f t="shared" si="51"/>
        <v>4.406965167</v>
      </c>
      <c r="CI104" s="432">
        <f t="shared" si="51"/>
        <v>4.997753976</v>
      </c>
      <c r="CJ104" s="432">
        <f t="shared" si="51"/>
        <v>5.595485352</v>
      </c>
      <c r="CK104" s="432">
        <f t="shared" si="51"/>
        <v>5.763349912</v>
      </c>
      <c r="CL104" s="432">
        <f t="shared" si="51"/>
        <v>5.93625041</v>
      </c>
      <c r="CM104" s="432">
        <f t="shared" si="51"/>
        <v>6.114337922</v>
      </c>
      <c r="CN104" s="432">
        <f t="shared" si="51"/>
        <v>6.29776806</v>
      </c>
      <c r="CO104" s="432">
        <f t="shared" si="51"/>
        <v>6.486701101</v>
      </c>
      <c r="CP104" s="432">
        <f t="shared" si="51"/>
        <v>6.681302134</v>
      </c>
      <c r="CQ104" s="432">
        <f t="shared" si="51"/>
        <v>6.881741198</v>
      </c>
      <c r="CR104" s="432">
        <f t="shared" si="51"/>
        <v>7.088193434</v>
      </c>
      <c r="CS104" s="432">
        <f t="shared" si="51"/>
        <v>7.300839237</v>
      </c>
      <c r="CT104" s="432">
        <f t="shared" si="51"/>
        <v>7.519864414</v>
      </c>
      <c r="CU104" s="432">
        <f t="shared" si="51"/>
        <v>7.745460347</v>
      </c>
      <c r="CV104" s="432">
        <f t="shared" si="51"/>
        <v>7.977824157</v>
      </c>
      <c r="CW104" s="432">
        <f t="shared" si="51"/>
        <v>8.217158882</v>
      </c>
      <c r="CX104" s="432">
        <f>CW104*(1+min(Valu!$C$15,$O104))/(Valu!$C$21-min(Valu!$C$15,$O104))</f>
        <v>222.7282539</v>
      </c>
      <c r="CY104" s="432">
        <f>CD104/(1+Valu!$C$21)^CY$3</f>
        <v>2.131823649</v>
      </c>
      <c r="CZ104" s="432">
        <f>CE104/(1+Valu!$C$21)^CZ$3</f>
        <v>2.420591272</v>
      </c>
      <c r="DA104" s="432">
        <f>CF104/(1+Valu!$C$21)^DA$3</f>
        <v>2.693545512</v>
      </c>
      <c r="DB104" s="432">
        <f>CG104/(1+Valu!$C$21)^DB$3</f>
        <v>2.94548467</v>
      </c>
      <c r="DC104" s="432">
        <f>CH104/(1+Valu!$C$21)^DC$3</f>
        <v>3.171636115</v>
      </c>
      <c r="DD104" s="432">
        <f>CI104/(1+Valu!$C$21)^DD$3</f>
        <v>3.367808256</v>
      </c>
      <c r="DE104" s="432">
        <f>CJ104/(1+Valu!$C$21)^DE$3</f>
        <v>3.530522587</v>
      </c>
      <c r="DF104" s="432">
        <f>CK104/(1+Valu!$C$21)^DF$3</f>
        <v>3.404904742</v>
      </c>
      <c r="DG104" s="432">
        <f>CL104/(1+Valu!$C$21)^DG$3</f>
        <v>3.283756446</v>
      </c>
      <c r="DH104" s="432">
        <f>CM104/(1+Valu!$C$21)^DH$3</f>
        <v>3.16691867</v>
      </c>
      <c r="DI104" s="432">
        <f>CN104/(1+Valu!$C$21)^DI$3</f>
        <v>3.054238043</v>
      </c>
      <c r="DJ104" s="432">
        <f>CO104/(1+Valu!$C$21)^DJ$3</f>
        <v>2.945566652</v>
      </c>
      <c r="DK104" s="432">
        <f>CP104/(1+Valu!$C$21)^DK$3</f>
        <v>2.840761846</v>
      </c>
      <c r="DL104" s="432">
        <f>CQ104/(1+Valu!$C$21)^DL$3</f>
        <v>2.73968605</v>
      </c>
      <c r="DM104" s="432">
        <f>CR104/(1+Valu!$C$21)^DM$3</f>
        <v>2.642206584</v>
      </c>
      <c r="DN104" s="432">
        <f>CS104/(1+Valu!$C$21)^DN$3</f>
        <v>2.548195488</v>
      </c>
      <c r="DO104" s="432">
        <f>CT104/(1+Valu!$C$21)^DO$3</f>
        <v>2.457529357</v>
      </c>
      <c r="DP104" s="432">
        <f>CU104/(1+Valu!$C$21)^DP$3</f>
        <v>2.370089173</v>
      </c>
      <c r="DQ104" s="432">
        <f>CV104/(1+Valu!$C$21)^DQ$3</f>
        <v>2.285760158</v>
      </c>
      <c r="DR104" s="432">
        <f>CW104/(1+Valu!$C$21)^DR$3</f>
        <v>2.204431613</v>
      </c>
      <c r="DS104" s="432">
        <f>CX104/(1+Valu!$C$21)^DS$3</f>
        <v>59.75169898</v>
      </c>
      <c r="DT104" s="358"/>
      <c r="DU104" s="358"/>
      <c r="DV104" s="358"/>
      <c r="DW104" s="358"/>
    </row>
    <row r="105" ht="15.0" customHeight="1">
      <c r="A105" s="372">
        <v>42989.0</v>
      </c>
      <c r="B105" s="384" t="s">
        <v>1832</v>
      </c>
      <c r="C105" s="384" t="s">
        <v>1143</v>
      </c>
      <c r="D105" s="384">
        <v>108.0</v>
      </c>
      <c r="E105" s="374">
        <f>IFERROR(__xludf.DUMMYFUNCTION("if(and(D105&lt;&gt;0,D105&lt;&gt;""""),D105/GOOGLEFINANCE(C105,""price"")-1,"""")"),-0.17494270435446913)</f>
        <v>-0.1749427044</v>
      </c>
      <c r="F105" s="375">
        <f>IFERROR(__xludf.DUMMYFUNCTION("GOOGLEFINANCE(C105,""price"")"),130.9)</f>
        <v>130.9</v>
      </c>
      <c r="G105" s="374">
        <f t="shared" si="6"/>
        <v>0.1233948512</v>
      </c>
      <c r="H105" s="376"/>
      <c r="I105" s="368">
        <f t="shared" si="52"/>
        <v>147.052386</v>
      </c>
      <c r="J105" s="385">
        <v>6.8</v>
      </c>
      <c r="K105" s="377">
        <v>6.82</v>
      </c>
      <c r="L105" s="378">
        <v>43738.0</v>
      </c>
      <c r="M105" s="379">
        <f t="shared" si="7"/>
        <v>-0.07216636821</v>
      </c>
      <c r="N105" s="380">
        <f t="shared" si="8"/>
        <v>6.821443327</v>
      </c>
      <c r="O105" s="390">
        <v>0.07</v>
      </c>
      <c r="P105" s="361">
        <v>0.15</v>
      </c>
      <c r="Q105" s="371">
        <f t="shared" si="53"/>
        <v>21.55737121</v>
      </c>
      <c r="R105" s="355">
        <v>6.0</v>
      </c>
      <c r="S105" s="360">
        <v>43692.0</v>
      </c>
      <c r="T105" s="387" t="s">
        <v>1223</v>
      </c>
      <c r="U105" s="382" t="s">
        <v>1834</v>
      </c>
      <c r="V105" s="429">
        <f t="shared" si="54"/>
        <v>0.07</v>
      </c>
      <c r="W105" s="430">
        <f>max(min(Valu!$C$15,$O105),$O105-max($O105-Valu!$C$15,0)/$R105*(W$3-1))</f>
        <v>0.06333333333</v>
      </c>
      <c r="X105" s="430">
        <f>max(min(Valu!$C$15,$O105),$O105-max($O105-Valu!$C$15,0)/$R105*(X$3-1))</f>
        <v>0.05666666667</v>
      </c>
      <c r="Y105" s="430">
        <f>max(min(Valu!$C$15,$O105),$O105-max($O105-Valu!$C$15,0)/$R105*(Y$3-1))</f>
        <v>0.05</v>
      </c>
      <c r="Z105" s="430">
        <f>max(min(Valu!$C$15,$O105),$O105-max($O105-Valu!$C$15,0)/$R105*(Z$3-1))</f>
        <v>0.04333333333</v>
      </c>
      <c r="AA105" s="430">
        <f>max(min(Valu!$C$15,$O105),$O105-max($O105-Valu!$C$15,0)/$R105*(AA$3-1))</f>
        <v>0.03666666667</v>
      </c>
      <c r="AB105" s="430">
        <f>max(min(Valu!$C$15,$O105),$O105-max($O105-Valu!$C$15,0)/$R105*(AB$3-1))</f>
        <v>0.03</v>
      </c>
      <c r="AC105" s="430">
        <f>max(min(Valu!$C$15,$O105),$O105-max($O105-Valu!$C$15,0)/$R105*(AC$3-1))</f>
        <v>0.03</v>
      </c>
      <c r="AD105" s="430">
        <f>max(min(Valu!$C$15,$O105),$O105-max($O105-Valu!$C$15,0)/$R105*(AD$3-1))</f>
        <v>0.03</v>
      </c>
      <c r="AE105" s="430">
        <f>max(min(Valu!$C$15,$O105),$O105-max($O105-Valu!$C$15,0)/$R105*(AE$3-1))</f>
        <v>0.03</v>
      </c>
      <c r="AF105" s="430">
        <f>max(min(Valu!$C$15,$O105),$O105-max($O105-Valu!$C$15,0)/$R105*(AF$3-1))</f>
        <v>0.03</v>
      </c>
      <c r="AG105" s="430">
        <f>max(min(Valu!$C$15,$O105),$O105-max($O105-Valu!$C$15,0)/$R105*(AG$3-1))</f>
        <v>0.03</v>
      </c>
      <c r="AH105" s="430">
        <f>max(min(Valu!$C$15,$O105),$O105-max($O105-Valu!$C$15,0)/$R105*(AH$3-1))</f>
        <v>0.03</v>
      </c>
      <c r="AI105" s="430">
        <f>max(min(Valu!$C$15,$O105),$O105-max($O105-Valu!$C$15,0)/$R105*(AI$3-1))</f>
        <v>0.03</v>
      </c>
      <c r="AJ105" s="430">
        <f>max(min(Valu!$C$15,$O105),$O105-max($O105-Valu!$C$15,0)/$R105*(AJ$3-1))</f>
        <v>0.03</v>
      </c>
      <c r="AK105" s="430">
        <f>max(min(Valu!$C$15,$O105),$O105-max($O105-Valu!$C$15,0)/$R105*(AK$3-1))</f>
        <v>0.03</v>
      </c>
      <c r="AL105" s="430">
        <f>max(min(Valu!$C$15,$O105),$O105-max($O105-Valu!$C$15,0)/$R105*(AL$3-1))</f>
        <v>0.03</v>
      </c>
      <c r="AM105" s="430">
        <f>max(min(Valu!$C$15,$O105),$O105-max($O105-Valu!$C$15,0)/$R105*(AM$3-1))</f>
        <v>0.03</v>
      </c>
      <c r="AN105" s="430">
        <f>max(min(Valu!$C$15,$O105),$O105-max($O105-Valu!$C$15,0)/$R105*(AN$3-1))</f>
        <v>0.03</v>
      </c>
      <c r="AO105" s="430">
        <f>max(min(Valu!$C$15,$O105),$O105-max($O105-Valu!$C$15,0)/$R105*(AO$3-1))</f>
        <v>0.03</v>
      </c>
      <c r="AP105" s="430">
        <f>max(min(Valu!$C$14,$P105),$P105-max($P105-Valu!$C$14,0)/$R105*(AP$3-1))</f>
        <v>0.15</v>
      </c>
      <c r="AQ105" s="430">
        <f>max(min(Valu!$C$14,$P105),$P105-max($P105-Valu!$C$14,0)/$R105*(AQ$3-1))</f>
        <v>0.145</v>
      </c>
      <c r="AR105" s="430">
        <f>max(min(Valu!$C$14,$P105),$P105-max($P105-Valu!$C$14,0)/$R105*(AR$3-1))</f>
        <v>0.14</v>
      </c>
      <c r="AS105" s="430">
        <f>max(min(Valu!$C$14,$P105),$P105-max($P105-Valu!$C$14,0)/$R105*(AS$3-1))</f>
        <v>0.135</v>
      </c>
      <c r="AT105" s="430">
        <f>max(min(Valu!$C$14,$P105),$P105-max($P105-Valu!$C$14,0)/$R105*(AT$3-1))</f>
        <v>0.13</v>
      </c>
      <c r="AU105" s="430">
        <f>max(min(Valu!$C$14,$P105),$P105-max($P105-Valu!$C$14,0)/$R105*(AU$3-1))</f>
        <v>0.125</v>
      </c>
      <c r="AV105" s="430">
        <f>max(min(Valu!$C$14,$P105),$P105-max($P105-Valu!$C$14,0)/$R105*(AV$3-1))</f>
        <v>0.12</v>
      </c>
      <c r="AW105" s="430">
        <f>max(min(Valu!$C$14,$P105),$P105-max($P105-Valu!$C$14,0)/$R105*(AW$3-1))</f>
        <v>0.12</v>
      </c>
      <c r="AX105" s="430">
        <f>max(min(Valu!$C$14,$P105),$P105-max($P105-Valu!$C$14,0)/$R105*(AX$3-1))</f>
        <v>0.12</v>
      </c>
      <c r="AY105" s="430">
        <f>max(min(Valu!$C$14,$P105),$P105-max($P105-Valu!$C$14,0)/$R105*(AY$3-1))</f>
        <v>0.12</v>
      </c>
      <c r="AZ105" s="430">
        <f>max(min(Valu!$C$14,$P105),$P105-max($P105-Valu!$C$14,0)/$R105*(AZ$3-1))</f>
        <v>0.12</v>
      </c>
      <c r="BA105" s="430">
        <f>max(min(Valu!$C$14,$P105),$P105-max($P105-Valu!$C$14,0)/$R105*(BA$3-1))</f>
        <v>0.12</v>
      </c>
      <c r="BB105" s="430">
        <f>max(min(Valu!$C$14,$P105),$P105-max($P105-Valu!$C$14,0)/$R105*(BB$3-1))</f>
        <v>0.12</v>
      </c>
      <c r="BC105" s="430">
        <f>max(min(Valu!$C$14,$P105),$P105-max($P105-Valu!$C$14,0)/$R105*(BC$3-1))</f>
        <v>0.12</v>
      </c>
      <c r="BD105" s="430">
        <f>max(min(Valu!$C$14,$P105),$P105-max($P105-Valu!$C$14,0)/$R105*(BD$3-1))</f>
        <v>0.12</v>
      </c>
      <c r="BE105" s="430">
        <f>max(min(Valu!$C$14,$P105),$P105-max($P105-Valu!$C$14,0)/$R105*(BE$3-1))</f>
        <v>0.12</v>
      </c>
      <c r="BF105" s="430">
        <f>max(min(Valu!$C$14,$P105),$P105-max($P105-Valu!$C$14,0)/$R105*(BF$3-1))</f>
        <v>0.12</v>
      </c>
      <c r="BG105" s="430">
        <f>max(min(Valu!$C$14,$P105),$P105-max($P105-Valu!$C$14,0)/$R105*(BG$3-1))</f>
        <v>0.12</v>
      </c>
      <c r="BH105" s="430">
        <f>max(min(Valu!$C$14,$P105),$P105-max($P105-Valu!$C$14,0)/$R105*(BH$3-1))</f>
        <v>0.12</v>
      </c>
      <c r="BI105" s="430">
        <f>max(min(Valu!$C$14,$P105),$P105-max($P105-Valu!$C$14,0)/$R105*(BI$3-1))</f>
        <v>0.12</v>
      </c>
      <c r="BJ105" s="431">
        <f t="shared" si="55"/>
        <v>6.821443327</v>
      </c>
      <c r="BK105" s="432">
        <f t="shared" si="56"/>
        <v>7.29894436</v>
      </c>
      <c r="BL105" s="432">
        <f t="shared" ref="BL105:CC105" si="57">BK105*(1+W105)</f>
        <v>7.761210836</v>
      </c>
      <c r="BM105" s="432">
        <f t="shared" si="57"/>
        <v>8.201012784</v>
      </c>
      <c r="BN105" s="432">
        <f t="shared" si="57"/>
        <v>8.611063423</v>
      </c>
      <c r="BO105" s="432">
        <f t="shared" si="57"/>
        <v>8.984209505</v>
      </c>
      <c r="BP105" s="432">
        <f t="shared" si="57"/>
        <v>9.31363052</v>
      </c>
      <c r="BQ105" s="432">
        <f t="shared" si="57"/>
        <v>9.593039435</v>
      </c>
      <c r="BR105" s="432">
        <f t="shared" si="57"/>
        <v>9.880830619</v>
      </c>
      <c r="BS105" s="432">
        <f t="shared" si="57"/>
        <v>10.17725554</v>
      </c>
      <c r="BT105" s="432">
        <f t="shared" si="57"/>
        <v>10.4825732</v>
      </c>
      <c r="BU105" s="432">
        <f t="shared" si="57"/>
        <v>10.7970504</v>
      </c>
      <c r="BV105" s="432">
        <f t="shared" si="57"/>
        <v>11.12096191</v>
      </c>
      <c r="BW105" s="432">
        <f t="shared" si="57"/>
        <v>11.45459077</v>
      </c>
      <c r="BX105" s="432">
        <f t="shared" si="57"/>
        <v>11.79822849</v>
      </c>
      <c r="BY105" s="432">
        <f t="shared" si="57"/>
        <v>12.15217535</v>
      </c>
      <c r="BZ105" s="432">
        <f t="shared" si="57"/>
        <v>12.51674061</v>
      </c>
      <c r="CA105" s="432">
        <f t="shared" si="57"/>
        <v>12.89224282</v>
      </c>
      <c r="CB105" s="432">
        <f t="shared" si="57"/>
        <v>13.27901011</v>
      </c>
      <c r="CC105" s="432">
        <f t="shared" si="57"/>
        <v>13.67738041</v>
      </c>
      <c r="CD105" s="432">
        <f t="shared" ref="CD105:CW105" si="58">BJ105*(1-V105/AP105)</f>
        <v>3.638103108</v>
      </c>
      <c r="CE105" s="432">
        <f t="shared" si="58"/>
        <v>4.110899697</v>
      </c>
      <c r="CF105" s="432">
        <f t="shared" si="58"/>
        <v>4.619768355</v>
      </c>
      <c r="CG105" s="432">
        <f t="shared" si="58"/>
        <v>5.163600642</v>
      </c>
      <c r="CH105" s="432">
        <f t="shared" si="58"/>
        <v>5.740708949</v>
      </c>
      <c r="CI105" s="432">
        <f t="shared" si="58"/>
        <v>6.348841383</v>
      </c>
      <c r="CJ105" s="432">
        <f t="shared" si="58"/>
        <v>6.98522289</v>
      </c>
      <c r="CK105" s="432">
        <f t="shared" si="58"/>
        <v>7.194779577</v>
      </c>
      <c r="CL105" s="432">
        <f t="shared" si="58"/>
        <v>7.410622964</v>
      </c>
      <c r="CM105" s="432">
        <f t="shared" si="58"/>
        <v>7.632941653</v>
      </c>
      <c r="CN105" s="432">
        <f t="shared" si="58"/>
        <v>7.861929902</v>
      </c>
      <c r="CO105" s="432">
        <f t="shared" si="58"/>
        <v>8.097787799</v>
      </c>
      <c r="CP105" s="432">
        <f t="shared" si="58"/>
        <v>8.340721433</v>
      </c>
      <c r="CQ105" s="432">
        <f t="shared" si="58"/>
        <v>8.590943076</v>
      </c>
      <c r="CR105" s="432">
        <f t="shared" si="58"/>
        <v>8.848671369</v>
      </c>
      <c r="CS105" s="432">
        <f t="shared" si="58"/>
        <v>9.11413151</v>
      </c>
      <c r="CT105" s="432">
        <f t="shared" si="58"/>
        <v>9.387555455</v>
      </c>
      <c r="CU105" s="432">
        <f t="shared" si="58"/>
        <v>9.669182119</v>
      </c>
      <c r="CV105" s="432">
        <f t="shared" si="58"/>
        <v>9.959257582</v>
      </c>
      <c r="CW105" s="432">
        <f t="shared" si="58"/>
        <v>10.25803531</v>
      </c>
      <c r="CX105" s="432">
        <f>CW105*(1+min(Valu!$C$15,$O105))/(Valu!$C$21-min(Valu!$C$15,$O105))</f>
        <v>278.0467466</v>
      </c>
      <c r="CY105" s="432">
        <f>CD105/(1+Valu!$C$21)^CY$3</f>
        <v>3.406463584</v>
      </c>
      <c r="CZ105" s="432">
        <f>CE105/(1+Valu!$C$21)^CZ$3</f>
        <v>3.604079607</v>
      </c>
      <c r="DA105" s="432">
        <f>CF105/(1+Valu!$C$21)^DA$3</f>
        <v>3.792332794</v>
      </c>
      <c r="DB105" s="432">
        <f>CG105/(1+Valu!$C$21)^DB$3</f>
        <v>3.968876959</v>
      </c>
      <c r="DC105" s="432">
        <f>CH105/(1+Valu!$C$21)^DC$3</f>
        <v>4.131514349</v>
      </c>
      <c r="DD105" s="432">
        <f>CI105/(1+Valu!$C$21)^DD$3</f>
        <v>4.278257899</v>
      </c>
      <c r="DE105" s="432">
        <f>CJ105/(1+Valu!$C$21)^DE$3</f>
        <v>4.407390179</v>
      </c>
      <c r="DF105" s="432">
        <f>CK105/(1+Valu!$C$21)^DF$3</f>
        <v>4.250572926</v>
      </c>
      <c r="DG105" s="432">
        <f>CL105/(1+Valu!$C$21)^DG$3</f>
        <v>4.099335312</v>
      </c>
      <c r="DH105" s="432">
        <f>CM105/(1+Valu!$C$21)^DH$3</f>
        <v>3.953478812</v>
      </c>
      <c r="DI105" s="432">
        <f>CN105/(1+Valu!$C$21)^DI$3</f>
        <v>3.812811963</v>
      </c>
      <c r="DJ105" s="432">
        <f>CO105/(1+Valu!$C$21)^DJ$3</f>
        <v>3.677150114</v>
      </c>
      <c r="DK105" s="432">
        <f>CP105/(1+Valu!$C$21)^DK$3</f>
        <v>3.546315185</v>
      </c>
      <c r="DL105" s="432">
        <f>CQ105/(1+Valu!$C$21)^DL$3</f>
        <v>3.420135432</v>
      </c>
      <c r="DM105" s="432">
        <f>CR105/(1+Valu!$C$21)^DM$3</f>
        <v>3.29844522</v>
      </c>
      <c r="DN105" s="432">
        <f>CS105/(1+Valu!$C$21)^DN$3</f>
        <v>3.181084809</v>
      </c>
      <c r="DO105" s="432">
        <f>CT105/(1+Valu!$C$21)^DO$3</f>
        <v>3.067900144</v>
      </c>
      <c r="DP105" s="432">
        <f>CU105/(1+Valu!$C$21)^DP$3</f>
        <v>2.958742648</v>
      </c>
      <c r="DQ105" s="432">
        <f>CV105/(1+Valu!$C$21)^DQ$3</f>
        <v>2.853469033</v>
      </c>
      <c r="DR105" s="432">
        <f>CW105/(1+Valu!$C$21)^DR$3</f>
        <v>2.751941109</v>
      </c>
      <c r="DS105" s="432">
        <f>CX105/(1+Valu!$C$21)^DS$3</f>
        <v>74.59208795</v>
      </c>
      <c r="DT105" s="358"/>
      <c r="DU105" s="358"/>
      <c r="DV105" s="358"/>
      <c r="DW105" s="358"/>
    </row>
    <row r="106" ht="15.0" customHeight="1">
      <c r="A106" s="456">
        <v>40914.0</v>
      </c>
      <c r="B106" s="457" t="s">
        <v>1854</v>
      </c>
      <c r="C106" s="457" t="s">
        <v>1855</v>
      </c>
      <c r="D106" s="458"/>
      <c r="E106" s="460" t="str">
        <f>IFERROR(__xludf.DUMMYFUNCTION("if(and(D106&lt;&gt;0,D106&lt;&gt;""""),D106/GOOGLEFINANCE(C106,""price"")-1,"""")"),"")</f>
        <v/>
      </c>
      <c r="F106" s="462">
        <f>IFERROR(__xludf.DUMMYFUNCTION("GOOGLEFINANCE(C106,""price"")"),63.91)</f>
        <v>63.91</v>
      </c>
      <c r="G106" s="460" t="str">
        <f t="shared" si="6"/>
        <v/>
      </c>
      <c r="H106" s="463"/>
      <c r="I106" s="463"/>
      <c r="J106" s="466"/>
      <c r="K106" s="466"/>
      <c r="L106" s="467"/>
      <c r="M106" s="469">
        <f t="shared" si="7"/>
        <v>-119.9023034</v>
      </c>
      <c r="N106" s="466">
        <f t="shared" si="8"/>
        <v>0</v>
      </c>
      <c r="O106" s="467"/>
      <c r="P106" s="315"/>
      <c r="Q106" s="312"/>
      <c r="R106" s="316"/>
      <c r="S106" s="316"/>
      <c r="T106" s="316"/>
      <c r="U106" s="473" t="s">
        <v>1856</v>
      </c>
      <c r="V106" s="319"/>
      <c r="W106" s="319"/>
      <c r="X106" s="319"/>
      <c r="Y106" s="319"/>
      <c r="Z106" s="319"/>
      <c r="AA106" s="319"/>
      <c r="AB106" s="319"/>
      <c r="AC106" s="319"/>
      <c r="AD106" s="319"/>
      <c r="AE106" s="319"/>
      <c r="AF106" s="319"/>
      <c r="AG106" s="319"/>
      <c r="AH106" s="319"/>
      <c r="AI106" s="319"/>
      <c r="AJ106" s="319"/>
      <c r="AK106" s="319"/>
      <c r="AL106" s="319"/>
      <c r="AM106" s="319"/>
      <c r="AN106" s="319"/>
      <c r="AO106" s="319"/>
      <c r="AP106" s="319"/>
      <c r="AQ106" s="319"/>
      <c r="AR106" s="319"/>
      <c r="AS106" s="319"/>
      <c r="AT106" s="319"/>
      <c r="AU106" s="319"/>
      <c r="AV106" s="319"/>
      <c r="AW106" s="319"/>
      <c r="AX106" s="319"/>
      <c r="AY106" s="319"/>
      <c r="AZ106" s="319"/>
      <c r="BA106" s="319"/>
      <c r="BB106" s="319"/>
      <c r="BC106" s="319"/>
      <c r="BD106" s="319"/>
      <c r="BE106" s="319"/>
      <c r="BF106" s="319"/>
      <c r="BG106" s="319"/>
      <c r="BH106" s="319"/>
      <c r="BI106" s="319"/>
      <c r="BJ106" s="319"/>
      <c r="BK106" s="319"/>
      <c r="BL106" s="319"/>
      <c r="BM106" s="319"/>
      <c r="BN106" s="319"/>
      <c r="BO106" s="319"/>
      <c r="BP106" s="319"/>
      <c r="BQ106" s="319"/>
      <c r="BR106" s="319"/>
      <c r="BS106" s="319"/>
      <c r="BT106" s="319"/>
      <c r="BU106" s="319"/>
      <c r="BV106" s="319"/>
      <c r="BW106" s="319"/>
      <c r="BX106" s="319"/>
      <c r="BY106" s="319"/>
      <c r="BZ106" s="319"/>
      <c r="CA106" s="319"/>
      <c r="CB106" s="319"/>
      <c r="CC106" s="319"/>
      <c r="CD106" s="319"/>
      <c r="CE106" s="319"/>
      <c r="CF106" s="319"/>
      <c r="CG106" s="319"/>
      <c r="CH106" s="319"/>
      <c r="CI106" s="319"/>
      <c r="CJ106" s="319"/>
      <c r="CK106" s="319"/>
      <c r="CL106" s="319"/>
      <c r="CM106" s="319"/>
      <c r="CN106" s="319"/>
      <c r="CO106" s="319"/>
      <c r="CP106" s="319"/>
      <c r="CQ106" s="319"/>
      <c r="CR106" s="319"/>
      <c r="CS106" s="319"/>
      <c r="CT106" s="319"/>
      <c r="CU106" s="319"/>
      <c r="CV106" s="319"/>
      <c r="CW106" s="319"/>
      <c r="CX106" s="319"/>
      <c r="CY106" s="319"/>
      <c r="CZ106" s="319"/>
      <c r="DA106" s="319"/>
      <c r="DB106" s="319"/>
      <c r="DC106" s="319"/>
      <c r="DD106" s="319"/>
      <c r="DE106" s="319"/>
      <c r="DF106" s="319"/>
      <c r="DG106" s="319"/>
      <c r="DH106" s="319"/>
      <c r="DI106" s="319"/>
      <c r="DJ106" s="319"/>
      <c r="DK106" s="319"/>
      <c r="DL106" s="319"/>
      <c r="DM106" s="319"/>
      <c r="DN106" s="319"/>
      <c r="DO106" s="319"/>
      <c r="DP106" s="319"/>
      <c r="DQ106" s="319"/>
      <c r="DR106" s="319"/>
      <c r="DS106" s="319"/>
      <c r="DT106" s="319"/>
      <c r="DU106" s="319"/>
      <c r="DV106" s="319"/>
      <c r="DW106" s="319"/>
    </row>
    <row r="107" ht="15.0" customHeight="1">
      <c r="A107" s="383">
        <v>40554.0</v>
      </c>
      <c r="B107" s="629" t="s">
        <v>1857</v>
      </c>
      <c r="C107" s="629" t="s">
        <v>458</v>
      </c>
      <c r="D107" s="630">
        <v>70.0</v>
      </c>
      <c r="E107" s="631">
        <f>IFERROR(__xludf.DUMMYFUNCTION("if(and(D107&lt;&gt;0,D107&lt;&gt;""""),D107/GOOGLEFINANCE(C107,""price"")-1,"""")"),-0.38891313836752506)</f>
        <v>-0.3889131384</v>
      </c>
      <c r="F107" s="632">
        <f>IFERROR(__xludf.DUMMYFUNCTION("GOOGLEFINANCE(C107,""price"")"),114.55)</f>
        <v>114.55</v>
      </c>
      <c r="G107" s="631">
        <f t="shared" si="6"/>
        <v>0.001870209669</v>
      </c>
      <c r="H107" s="633"/>
      <c r="I107" s="376">
        <f>N107*($I$1+O107*100)</f>
        <v>114.7642325</v>
      </c>
      <c r="J107" s="634">
        <v>5.51</v>
      </c>
      <c r="K107" s="634">
        <v>6.07</v>
      </c>
      <c r="L107" s="635">
        <v>43496.0</v>
      </c>
      <c r="M107" s="636">
        <f t="shared" si="7"/>
        <v>-0.7351800712</v>
      </c>
      <c r="N107" s="637">
        <f t="shared" si="8"/>
        <v>6.48170084</v>
      </c>
      <c r="O107" s="638">
        <v>0.03</v>
      </c>
      <c r="P107" s="638"/>
      <c r="Q107" s="639"/>
      <c r="R107" s="635"/>
      <c r="S107" s="635">
        <v>43388.0</v>
      </c>
      <c r="T107" s="640"/>
      <c r="U107" s="641" t="s">
        <v>1861</v>
      </c>
      <c r="V107" s="344"/>
      <c r="W107" s="344"/>
      <c r="X107" s="344"/>
      <c r="Y107" s="344"/>
      <c r="Z107" s="344"/>
      <c r="AA107" s="344"/>
      <c r="AB107" s="344"/>
      <c r="AC107" s="344"/>
      <c r="AD107" s="344"/>
      <c r="AE107" s="344"/>
      <c r="AF107" s="344"/>
      <c r="AG107" s="344"/>
      <c r="AH107" s="344"/>
      <c r="AI107" s="344"/>
      <c r="AJ107" s="344"/>
      <c r="AK107" s="344"/>
      <c r="AL107" s="344"/>
      <c r="AM107" s="344"/>
      <c r="AN107" s="344"/>
      <c r="AO107" s="344"/>
      <c r="AP107" s="344"/>
      <c r="AQ107" s="344"/>
      <c r="AR107" s="344"/>
      <c r="AS107" s="344"/>
      <c r="AT107" s="344"/>
      <c r="AU107" s="344"/>
      <c r="AV107" s="344"/>
      <c r="AW107" s="344"/>
      <c r="AX107" s="344"/>
      <c r="AY107" s="344"/>
      <c r="AZ107" s="344"/>
      <c r="BA107" s="344"/>
      <c r="BB107" s="344"/>
      <c r="BC107" s="344"/>
      <c r="BD107" s="344"/>
      <c r="BE107" s="344"/>
      <c r="BF107" s="344"/>
      <c r="BG107" s="344"/>
      <c r="BH107" s="344"/>
      <c r="BI107" s="344"/>
      <c r="BJ107" s="344"/>
      <c r="BK107" s="344"/>
      <c r="BL107" s="344"/>
      <c r="BM107" s="344"/>
      <c r="BN107" s="344"/>
      <c r="BO107" s="344"/>
      <c r="BP107" s="344"/>
      <c r="BQ107" s="344"/>
      <c r="BR107" s="344"/>
      <c r="BS107" s="344"/>
      <c r="BT107" s="344"/>
      <c r="BU107" s="344"/>
      <c r="BV107" s="344"/>
      <c r="BW107" s="344"/>
      <c r="BX107" s="344"/>
      <c r="BY107" s="344"/>
      <c r="BZ107" s="344"/>
      <c r="CA107" s="344"/>
      <c r="CB107" s="344"/>
      <c r="CC107" s="344"/>
      <c r="CD107" s="344"/>
      <c r="CE107" s="344"/>
      <c r="CF107" s="344"/>
      <c r="CG107" s="344"/>
      <c r="CH107" s="344"/>
      <c r="CI107" s="344"/>
      <c r="CJ107" s="344"/>
      <c r="CK107" s="344"/>
      <c r="CL107" s="344"/>
      <c r="CM107" s="344"/>
      <c r="CN107" s="344"/>
      <c r="CO107" s="344"/>
      <c r="CP107" s="344"/>
      <c r="CQ107" s="344"/>
      <c r="CR107" s="344"/>
      <c r="CS107" s="344"/>
      <c r="CT107" s="344"/>
      <c r="CU107" s="344"/>
      <c r="CV107" s="344"/>
      <c r="CW107" s="344"/>
      <c r="CX107" s="344"/>
      <c r="CY107" s="344"/>
      <c r="CZ107" s="344"/>
      <c r="DA107" s="344"/>
      <c r="DB107" s="344"/>
      <c r="DC107" s="344"/>
      <c r="DD107" s="344"/>
      <c r="DE107" s="344"/>
      <c r="DF107" s="344"/>
      <c r="DG107" s="344"/>
      <c r="DH107" s="344"/>
      <c r="DI107" s="344"/>
      <c r="DJ107" s="344"/>
      <c r="DK107" s="344"/>
      <c r="DL107" s="344"/>
      <c r="DM107" s="344"/>
      <c r="DN107" s="344"/>
      <c r="DO107" s="344"/>
      <c r="DP107" s="344"/>
      <c r="DQ107" s="344"/>
      <c r="DR107" s="344"/>
      <c r="DS107" s="344"/>
      <c r="DT107" s="344"/>
      <c r="DU107" s="344"/>
      <c r="DV107" s="344"/>
      <c r="DW107" s="344"/>
    </row>
    <row r="108" ht="15.0" customHeight="1">
      <c r="A108" s="372">
        <v>42278.0</v>
      </c>
      <c r="B108" s="630" t="s">
        <v>1862</v>
      </c>
      <c r="C108" s="630" t="s">
        <v>1863</v>
      </c>
      <c r="D108" s="630"/>
      <c r="E108" s="631" t="str">
        <f>IFERROR(__xludf.DUMMYFUNCTION("if(and(D108&lt;&gt;0,D108&lt;&gt;""""),D108/GOOGLEFINANCE(C108,""price"")-1,"""")"),"")</f>
        <v/>
      </c>
      <c r="F108" s="632">
        <f>IFERROR(__xludf.DUMMYFUNCTION("GOOGLEFINANCE(C108,""price"")"),82.92)</f>
        <v>82.92</v>
      </c>
      <c r="G108" s="631">
        <f t="shared" si="6"/>
        <v>-0.3036874663</v>
      </c>
      <c r="H108" s="633"/>
      <c r="I108" s="642">
        <f>2.93*($I$1+5)</f>
        <v>57.73823529</v>
      </c>
      <c r="J108" s="637"/>
      <c r="K108" s="637"/>
      <c r="L108" s="643"/>
      <c r="M108" s="636">
        <f t="shared" si="7"/>
        <v>-119.9023034</v>
      </c>
      <c r="N108" s="637">
        <f t="shared" si="8"/>
        <v>0</v>
      </c>
      <c r="O108" s="643"/>
      <c r="P108" s="644"/>
      <c r="Q108" s="645"/>
      <c r="R108" s="640"/>
      <c r="S108" s="640"/>
      <c r="T108" s="640"/>
      <c r="U108" s="641" t="s">
        <v>1864</v>
      </c>
      <c r="V108" s="344"/>
      <c r="W108" s="344"/>
      <c r="X108" s="344"/>
      <c r="Y108" s="344"/>
      <c r="Z108" s="344"/>
      <c r="AA108" s="344"/>
      <c r="AB108" s="344"/>
      <c r="AC108" s="344"/>
      <c r="AD108" s="344"/>
      <c r="AE108" s="344"/>
      <c r="AF108" s="344"/>
      <c r="AG108" s="344"/>
      <c r="AH108" s="344"/>
      <c r="AI108" s="344"/>
      <c r="AJ108" s="344"/>
      <c r="AK108" s="344"/>
      <c r="AL108" s="344"/>
      <c r="AM108" s="344"/>
      <c r="AN108" s="344"/>
      <c r="AO108" s="344"/>
      <c r="AP108" s="344"/>
      <c r="AQ108" s="344"/>
      <c r="AR108" s="344"/>
      <c r="AS108" s="344"/>
      <c r="AT108" s="344"/>
      <c r="AU108" s="344"/>
      <c r="AV108" s="344"/>
      <c r="AW108" s="344"/>
      <c r="AX108" s="344"/>
      <c r="AY108" s="344"/>
      <c r="AZ108" s="344"/>
      <c r="BA108" s="344"/>
      <c r="BB108" s="344"/>
      <c r="BC108" s="344"/>
      <c r="BD108" s="344"/>
      <c r="BE108" s="344"/>
      <c r="BF108" s="344"/>
      <c r="BG108" s="344"/>
      <c r="BH108" s="344"/>
      <c r="BI108" s="344"/>
      <c r="BJ108" s="344"/>
      <c r="BK108" s="344"/>
      <c r="BL108" s="344"/>
      <c r="BM108" s="344"/>
      <c r="BN108" s="344"/>
      <c r="BO108" s="344"/>
      <c r="BP108" s="344"/>
      <c r="BQ108" s="344"/>
      <c r="BR108" s="344"/>
      <c r="BS108" s="344"/>
      <c r="BT108" s="344"/>
      <c r="BU108" s="344"/>
      <c r="BV108" s="344"/>
      <c r="BW108" s="344"/>
      <c r="BX108" s="344"/>
      <c r="BY108" s="344"/>
      <c r="BZ108" s="344"/>
      <c r="CA108" s="344"/>
      <c r="CB108" s="344"/>
      <c r="CC108" s="344"/>
      <c r="CD108" s="344"/>
      <c r="CE108" s="344"/>
      <c r="CF108" s="344"/>
      <c r="CG108" s="344"/>
      <c r="CH108" s="344"/>
      <c r="CI108" s="344"/>
      <c r="CJ108" s="344"/>
      <c r="CK108" s="344"/>
      <c r="CL108" s="344"/>
      <c r="CM108" s="344"/>
      <c r="CN108" s="344"/>
      <c r="CO108" s="344"/>
      <c r="CP108" s="344"/>
      <c r="CQ108" s="344"/>
      <c r="CR108" s="344"/>
      <c r="CS108" s="344"/>
      <c r="CT108" s="344"/>
      <c r="CU108" s="344"/>
      <c r="CV108" s="344"/>
      <c r="CW108" s="344"/>
      <c r="CX108" s="344"/>
      <c r="CY108" s="344"/>
      <c r="CZ108" s="344"/>
      <c r="DA108" s="344"/>
      <c r="DB108" s="344"/>
      <c r="DC108" s="344"/>
      <c r="DD108" s="344"/>
      <c r="DE108" s="344"/>
      <c r="DF108" s="344"/>
      <c r="DG108" s="344"/>
      <c r="DH108" s="344"/>
      <c r="DI108" s="344"/>
      <c r="DJ108" s="344"/>
      <c r="DK108" s="344"/>
      <c r="DL108" s="344"/>
      <c r="DM108" s="344"/>
      <c r="DN108" s="344"/>
      <c r="DO108" s="344"/>
      <c r="DP108" s="344"/>
      <c r="DQ108" s="344"/>
      <c r="DR108" s="344"/>
      <c r="DS108" s="344"/>
      <c r="DT108" s="344"/>
      <c r="DU108" s="344"/>
      <c r="DV108" s="344"/>
      <c r="DW108" s="344"/>
    </row>
    <row r="109" ht="15.0" customHeight="1">
      <c r="A109" s="646">
        <v>41930.0</v>
      </c>
      <c r="B109" s="395" t="s">
        <v>1866</v>
      </c>
      <c r="C109" s="395" t="s">
        <v>1867</v>
      </c>
      <c r="D109" s="422"/>
      <c r="E109" s="396" t="str">
        <f>IFERROR(__xludf.DUMMYFUNCTION("if(and(D109&lt;&gt;0,D109&lt;&gt;""""),D109/GOOGLEFINANCE(C109,""price"")-1,"""")"),"")</f>
        <v/>
      </c>
      <c r="F109" s="397">
        <f>IFERROR(__xludf.DUMMYFUNCTION("GOOGLEFINANCE(C109,""price"")"),103.65)</f>
        <v>103.65</v>
      </c>
      <c r="G109" s="396">
        <f t="shared" si="6"/>
        <v>-0.188356247</v>
      </c>
      <c r="H109" s="398"/>
      <c r="I109" s="399">
        <f>4.69*17.5*1.025</f>
        <v>84.126875</v>
      </c>
      <c r="J109" s="403"/>
      <c r="K109" s="403"/>
      <c r="L109" s="410"/>
      <c r="M109" s="402">
        <f t="shared" si="7"/>
        <v>-119.9023034</v>
      </c>
      <c r="N109" s="403">
        <f t="shared" si="8"/>
        <v>0</v>
      </c>
      <c r="O109" s="410"/>
      <c r="P109" s="423"/>
      <c r="Q109" s="424"/>
      <c r="R109" s="425"/>
      <c r="S109" s="425"/>
      <c r="T109" s="425"/>
      <c r="U109" s="426" t="s">
        <v>1868</v>
      </c>
      <c r="V109" s="427"/>
      <c r="W109" s="427"/>
      <c r="X109" s="427"/>
      <c r="Y109" s="427"/>
      <c r="Z109" s="427"/>
      <c r="AA109" s="427"/>
      <c r="AB109" s="427"/>
      <c r="AC109" s="427"/>
      <c r="AD109" s="427"/>
      <c r="AE109" s="427"/>
      <c r="AF109" s="427"/>
      <c r="AG109" s="427"/>
      <c r="AH109" s="427"/>
      <c r="AI109" s="427"/>
      <c r="AJ109" s="427"/>
      <c r="AK109" s="427"/>
      <c r="AL109" s="427"/>
      <c r="AM109" s="427"/>
      <c r="AN109" s="427"/>
      <c r="AO109" s="427"/>
      <c r="AP109" s="427"/>
      <c r="AQ109" s="427"/>
      <c r="AR109" s="427"/>
      <c r="AS109" s="427"/>
      <c r="AT109" s="427"/>
      <c r="AU109" s="427"/>
      <c r="AV109" s="427"/>
      <c r="AW109" s="427"/>
      <c r="AX109" s="427"/>
      <c r="AY109" s="427"/>
      <c r="AZ109" s="427"/>
      <c r="BA109" s="427"/>
      <c r="BB109" s="427"/>
      <c r="BC109" s="427"/>
      <c r="BD109" s="427"/>
      <c r="BE109" s="427"/>
      <c r="BF109" s="427"/>
      <c r="BG109" s="427"/>
      <c r="BH109" s="427"/>
      <c r="BI109" s="427"/>
      <c r="BJ109" s="427"/>
      <c r="BK109" s="427"/>
      <c r="BL109" s="427"/>
      <c r="BM109" s="427"/>
      <c r="BN109" s="427"/>
      <c r="BO109" s="427"/>
      <c r="BP109" s="427"/>
      <c r="BQ109" s="427"/>
      <c r="BR109" s="427"/>
      <c r="BS109" s="427"/>
      <c r="BT109" s="427"/>
      <c r="BU109" s="427"/>
      <c r="BV109" s="427"/>
      <c r="BW109" s="427"/>
      <c r="BX109" s="427"/>
      <c r="BY109" s="427"/>
      <c r="BZ109" s="427"/>
      <c r="CA109" s="427"/>
      <c r="CB109" s="427"/>
      <c r="CC109" s="427"/>
      <c r="CD109" s="427"/>
      <c r="CE109" s="427"/>
      <c r="CF109" s="427"/>
      <c r="CG109" s="427"/>
      <c r="CH109" s="427"/>
      <c r="CI109" s="427"/>
      <c r="CJ109" s="427"/>
      <c r="CK109" s="427"/>
      <c r="CL109" s="427"/>
      <c r="CM109" s="427"/>
      <c r="CN109" s="427"/>
      <c r="CO109" s="427"/>
      <c r="CP109" s="427"/>
      <c r="CQ109" s="427"/>
      <c r="CR109" s="427"/>
      <c r="CS109" s="427"/>
      <c r="CT109" s="427"/>
      <c r="CU109" s="427"/>
      <c r="CV109" s="427"/>
      <c r="CW109" s="427"/>
      <c r="CX109" s="427"/>
      <c r="CY109" s="427"/>
      <c r="CZ109" s="427"/>
      <c r="DA109" s="427"/>
      <c r="DB109" s="427"/>
      <c r="DC109" s="427"/>
      <c r="DD109" s="427"/>
      <c r="DE109" s="427"/>
      <c r="DF109" s="427"/>
      <c r="DG109" s="427"/>
      <c r="DH109" s="427"/>
      <c r="DI109" s="427"/>
      <c r="DJ109" s="427"/>
      <c r="DK109" s="427"/>
      <c r="DL109" s="427"/>
      <c r="DM109" s="427"/>
      <c r="DN109" s="427"/>
      <c r="DO109" s="427"/>
      <c r="DP109" s="427"/>
      <c r="DQ109" s="427"/>
      <c r="DR109" s="427"/>
      <c r="DS109" s="427"/>
      <c r="DT109" s="427"/>
      <c r="DU109" s="427"/>
      <c r="DV109" s="427"/>
      <c r="DW109" s="427"/>
    </row>
    <row r="110" ht="15.0" customHeight="1">
      <c r="A110" s="372">
        <v>42209.0</v>
      </c>
      <c r="B110" s="384" t="s">
        <v>1869</v>
      </c>
      <c r="C110" s="384" t="s">
        <v>1362</v>
      </c>
      <c r="D110" s="373">
        <v>225.0</v>
      </c>
      <c r="E110" s="374">
        <f>IFERROR(__xludf.DUMMYFUNCTION("if(and(D110&lt;&gt;0,D110&lt;&gt;""""),D110/GOOGLEFINANCE(C110,""price"")-1,"""")"),-0.17203311867525295)</f>
        <v>-0.1720331187</v>
      </c>
      <c r="F110" s="375">
        <f>IFERROR(__xludf.DUMMYFUNCTION("GOOGLEFINANCE(C110,""price"")"),271.75)</f>
        <v>271.75</v>
      </c>
      <c r="G110" s="374">
        <f t="shared" si="6"/>
        <v>-0.0760782922</v>
      </c>
      <c r="H110" s="376"/>
      <c r="I110" s="368">
        <f>sum(CY110:DS110)</f>
        <v>251.0757241</v>
      </c>
      <c r="J110" s="377">
        <v>9.52</v>
      </c>
      <c r="K110" s="377">
        <v>10.88</v>
      </c>
      <c r="L110" s="378">
        <v>43830.0</v>
      </c>
      <c r="M110" s="379">
        <f t="shared" si="7"/>
        <v>0.1798884242</v>
      </c>
      <c r="N110" s="380">
        <f t="shared" si="8"/>
        <v>10.63535174</v>
      </c>
      <c r="O110" s="370">
        <v>0.12</v>
      </c>
      <c r="P110" s="370">
        <v>0.3</v>
      </c>
      <c r="Q110" s="371">
        <f>I110/N110</f>
        <v>23.60765588</v>
      </c>
      <c r="R110" s="381">
        <v>4.0</v>
      </c>
      <c r="S110" s="378">
        <v>43663.0</v>
      </c>
      <c r="T110" s="381" t="s">
        <v>1223</v>
      </c>
      <c r="U110" s="386" t="s">
        <v>1871</v>
      </c>
      <c r="V110" s="429">
        <f>O110</f>
        <v>0.12</v>
      </c>
      <c r="W110" s="430">
        <f>max(min(Valu!$C$15,$O110),$O110-max($O110-Valu!$C$15,0)/$R110*(W$3-1))</f>
        <v>0.0975</v>
      </c>
      <c r="X110" s="430">
        <f>max(min(Valu!$C$15,$O110),$O110-max($O110-Valu!$C$15,0)/$R110*(X$3-1))</f>
        <v>0.075</v>
      </c>
      <c r="Y110" s="430">
        <f>max(min(Valu!$C$15,$O110),$O110-max($O110-Valu!$C$15,0)/$R110*(Y$3-1))</f>
        <v>0.0525</v>
      </c>
      <c r="Z110" s="430">
        <f>max(min(Valu!$C$15,$O110),$O110-max($O110-Valu!$C$15,0)/$R110*(Z$3-1))</f>
        <v>0.03</v>
      </c>
      <c r="AA110" s="430">
        <f>max(min(Valu!$C$15,$O110),$O110-max($O110-Valu!$C$15,0)/$R110*(AA$3-1))</f>
        <v>0.03</v>
      </c>
      <c r="AB110" s="430">
        <f>max(min(Valu!$C$15,$O110),$O110-max($O110-Valu!$C$15,0)/$R110*(AB$3-1))</f>
        <v>0.03</v>
      </c>
      <c r="AC110" s="430">
        <f>max(min(Valu!$C$15,$O110),$O110-max($O110-Valu!$C$15,0)/$R110*(AC$3-1))</f>
        <v>0.03</v>
      </c>
      <c r="AD110" s="430">
        <f>max(min(Valu!$C$15,$O110),$O110-max($O110-Valu!$C$15,0)/$R110*(AD$3-1))</f>
        <v>0.03</v>
      </c>
      <c r="AE110" s="430">
        <f>max(min(Valu!$C$15,$O110),$O110-max($O110-Valu!$C$15,0)/$R110*(AE$3-1))</f>
        <v>0.03</v>
      </c>
      <c r="AF110" s="430">
        <f>max(min(Valu!$C$15,$O110),$O110-max($O110-Valu!$C$15,0)/$R110*(AF$3-1))</f>
        <v>0.03</v>
      </c>
      <c r="AG110" s="430">
        <f>max(min(Valu!$C$15,$O110),$O110-max($O110-Valu!$C$15,0)/$R110*(AG$3-1))</f>
        <v>0.03</v>
      </c>
      <c r="AH110" s="430">
        <f>max(min(Valu!$C$15,$O110),$O110-max($O110-Valu!$C$15,0)/$R110*(AH$3-1))</f>
        <v>0.03</v>
      </c>
      <c r="AI110" s="430">
        <f>max(min(Valu!$C$15,$O110),$O110-max($O110-Valu!$C$15,0)/$R110*(AI$3-1))</f>
        <v>0.03</v>
      </c>
      <c r="AJ110" s="430">
        <f>max(min(Valu!$C$15,$O110),$O110-max($O110-Valu!$C$15,0)/$R110*(AJ$3-1))</f>
        <v>0.03</v>
      </c>
      <c r="AK110" s="430">
        <f>max(min(Valu!$C$15,$O110),$O110-max($O110-Valu!$C$15,0)/$R110*(AK$3-1))</f>
        <v>0.03</v>
      </c>
      <c r="AL110" s="430">
        <f>max(min(Valu!$C$15,$O110),$O110-max($O110-Valu!$C$15,0)/$R110*(AL$3-1))</f>
        <v>0.03</v>
      </c>
      <c r="AM110" s="430">
        <f>max(min(Valu!$C$15,$O110),$O110-max($O110-Valu!$C$15,0)/$R110*(AM$3-1))</f>
        <v>0.03</v>
      </c>
      <c r="AN110" s="430">
        <f>max(min(Valu!$C$15,$O110),$O110-max($O110-Valu!$C$15,0)/$R110*(AN$3-1))</f>
        <v>0.03</v>
      </c>
      <c r="AO110" s="430">
        <f>max(min(Valu!$C$15,$O110),$O110-max($O110-Valu!$C$15,0)/$R110*(AO$3-1))</f>
        <v>0.03</v>
      </c>
      <c r="AP110" s="430">
        <f>max(min(Valu!$C$14,$P110),$P110-max($P110-Valu!$C$14,0)/$R110*(AP$3-1))</f>
        <v>0.3</v>
      </c>
      <c r="AQ110" s="430">
        <f>max(min(Valu!$C$14,$P110),$P110-max($P110-Valu!$C$14,0)/$R110*(AQ$3-1))</f>
        <v>0.255</v>
      </c>
      <c r="AR110" s="430">
        <f>max(min(Valu!$C$14,$P110),$P110-max($P110-Valu!$C$14,0)/$R110*(AR$3-1))</f>
        <v>0.21</v>
      </c>
      <c r="AS110" s="430">
        <f>max(min(Valu!$C$14,$P110),$P110-max($P110-Valu!$C$14,0)/$R110*(AS$3-1))</f>
        <v>0.165</v>
      </c>
      <c r="AT110" s="430">
        <f>max(min(Valu!$C$14,$P110),$P110-max($P110-Valu!$C$14,0)/$R110*(AT$3-1))</f>
        <v>0.12</v>
      </c>
      <c r="AU110" s="430">
        <f>max(min(Valu!$C$14,$P110),$P110-max($P110-Valu!$C$14,0)/$R110*(AU$3-1))</f>
        <v>0.12</v>
      </c>
      <c r="AV110" s="430">
        <f>max(min(Valu!$C$14,$P110),$P110-max($P110-Valu!$C$14,0)/$R110*(AV$3-1))</f>
        <v>0.12</v>
      </c>
      <c r="AW110" s="430">
        <f>max(min(Valu!$C$14,$P110),$P110-max($P110-Valu!$C$14,0)/$R110*(AW$3-1))</f>
        <v>0.12</v>
      </c>
      <c r="AX110" s="430">
        <f>max(min(Valu!$C$14,$P110),$P110-max($P110-Valu!$C$14,0)/$R110*(AX$3-1))</f>
        <v>0.12</v>
      </c>
      <c r="AY110" s="430">
        <f>max(min(Valu!$C$14,$P110),$P110-max($P110-Valu!$C$14,0)/$R110*(AY$3-1))</f>
        <v>0.12</v>
      </c>
      <c r="AZ110" s="430">
        <f>max(min(Valu!$C$14,$P110),$P110-max($P110-Valu!$C$14,0)/$R110*(AZ$3-1))</f>
        <v>0.12</v>
      </c>
      <c r="BA110" s="430">
        <f>max(min(Valu!$C$14,$P110),$P110-max($P110-Valu!$C$14,0)/$R110*(BA$3-1))</f>
        <v>0.12</v>
      </c>
      <c r="BB110" s="430">
        <f>max(min(Valu!$C$14,$P110),$P110-max($P110-Valu!$C$14,0)/$R110*(BB$3-1))</f>
        <v>0.12</v>
      </c>
      <c r="BC110" s="430">
        <f>max(min(Valu!$C$14,$P110),$P110-max($P110-Valu!$C$14,0)/$R110*(BC$3-1))</f>
        <v>0.12</v>
      </c>
      <c r="BD110" s="430">
        <f>max(min(Valu!$C$14,$P110),$P110-max($P110-Valu!$C$14,0)/$R110*(BD$3-1))</f>
        <v>0.12</v>
      </c>
      <c r="BE110" s="430">
        <f>max(min(Valu!$C$14,$P110),$P110-max($P110-Valu!$C$14,0)/$R110*(BE$3-1))</f>
        <v>0.12</v>
      </c>
      <c r="BF110" s="430">
        <f>max(min(Valu!$C$14,$P110),$P110-max($P110-Valu!$C$14,0)/$R110*(BF$3-1))</f>
        <v>0.12</v>
      </c>
      <c r="BG110" s="430">
        <f>max(min(Valu!$C$14,$P110),$P110-max($P110-Valu!$C$14,0)/$R110*(BG$3-1))</f>
        <v>0.12</v>
      </c>
      <c r="BH110" s="430">
        <f>max(min(Valu!$C$14,$P110),$P110-max($P110-Valu!$C$14,0)/$R110*(BH$3-1))</f>
        <v>0.12</v>
      </c>
      <c r="BI110" s="430">
        <f>max(min(Valu!$C$14,$P110),$P110-max($P110-Valu!$C$14,0)/$R110*(BI$3-1))</f>
        <v>0.12</v>
      </c>
      <c r="BJ110" s="431">
        <f>N110</f>
        <v>10.63535174</v>
      </c>
      <c r="BK110" s="432">
        <f>$BJ110*(1+V110)</f>
        <v>11.91159395</v>
      </c>
      <c r="BL110" s="432">
        <f t="shared" ref="BL110:CC110" si="59">BK110*(1+W110)</f>
        <v>13.07297436</v>
      </c>
      <c r="BM110" s="432">
        <f t="shared" si="59"/>
        <v>14.05344744</v>
      </c>
      <c r="BN110" s="432">
        <f t="shared" si="59"/>
        <v>14.79125343</v>
      </c>
      <c r="BO110" s="432">
        <f t="shared" si="59"/>
        <v>15.23499103</v>
      </c>
      <c r="BP110" s="432">
        <f t="shared" si="59"/>
        <v>15.69204076</v>
      </c>
      <c r="BQ110" s="432">
        <f t="shared" si="59"/>
        <v>16.16280199</v>
      </c>
      <c r="BR110" s="432">
        <f t="shared" si="59"/>
        <v>16.64768605</v>
      </c>
      <c r="BS110" s="432">
        <f t="shared" si="59"/>
        <v>17.14711663</v>
      </c>
      <c r="BT110" s="432">
        <f t="shared" si="59"/>
        <v>17.66153013</v>
      </c>
      <c r="BU110" s="432">
        <f t="shared" si="59"/>
        <v>18.19137603</v>
      </c>
      <c r="BV110" s="432">
        <f t="shared" si="59"/>
        <v>18.73711731</v>
      </c>
      <c r="BW110" s="432">
        <f t="shared" si="59"/>
        <v>19.29923083</v>
      </c>
      <c r="BX110" s="432">
        <f t="shared" si="59"/>
        <v>19.87820776</v>
      </c>
      <c r="BY110" s="432">
        <f t="shared" si="59"/>
        <v>20.47455399</v>
      </c>
      <c r="BZ110" s="432">
        <f t="shared" si="59"/>
        <v>21.08879061</v>
      </c>
      <c r="CA110" s="432">
        <f t="shared" si="59"/>
        <v>21.72145433</v>
      </c>
      <c r="CB110" s="432">
        <f t="shared" si="59"/>
        <v>22.37309796</v>
      </c>
      <c r="CC110" s="432">
        <f t="shared" si="59"/>
        <v>23.0442909</v>
      </c>
      <c r="CD110" s="432">
        <f t="shared" ref="CD110:CW110" si="60">BJ110*(1-V110/AP110)</f>
        <v>6.381211046</v>
      </c>
      <c r="CE110" s="432">
        <f t="shared" si="60"/>
        <v>7.35716097</v>
      </c>
      <c r="CF110" s="432">
        <f t="shared" si="60"/>
        <v>8.404054947</v>
      </c>
      <c r="CG110" s="432">
        <f t="shared" si="60"/>
        <v>9.581895982</v>
      </c>
      <c r="CH110" s="432">
        <f t="shared" si="60"/>
        <v>11.09344007</v>
      </c>
      <c r="CI110" s="432">
        <f t="shared" si="60"/>
        <v>11.42624327</v>
      </c>
      <c r="CJ110" s="432">
        <f t="shared" si="60"/>
        <v>11.76903057</v>
      </c>
      <c r="CK110" s="432">
        <f t="shared" si="60"/>
        <v>12.12210149</v>
      </c>
      <c r="CL110" s="432">
        <f t="shared" si="60"/>
        <v>12.48576454</v>
      </c>
      <c r="CM110" s="432">
        <f t="shared" si="60"/>
        <v>12.86033747</v>
      </c>
      <c r="CN110" s="432">
        <f t="shared" si="60"/>
        <v>13.2461476</v>
      </c>
      <c r="CO110" s="432">
        <f t="shared" si="60"/>
        <v>13.64353202</v>
      </c>
      <c r="CP110" s="432">
        <f t="shared" si="60"/>
        <v>14.05283798</v>
      </c>
      <c r="CQ110" s="432">
        <f t="shared" si="60"/>
        <v>14.47442312</v>
      </c>
      <c r="CR110" s="432">
        <f t="shared" si="60"/>
        <v>14.90865582</v>
      </c>
      <c r="CS110" s="432">
        <f t="shared" si="60"/>
        <v>15.35591549</v>
      </c>
      <c r="CT110" s="432">
        <f t="shared" si="60"/>
        <v>15.81659296</v>
      </c>
      <c r="CU110" s="432">
        <f t="shared" si="60"/>
        <v>16.29109075</v>
      </c>
      <c r="CV110" s="432">
        <f t="shared" si="60"/>
        <v>16.77982347</v>
      </c>
      <c r="CW110" s="432">
        <f t="shared" si="60"/>
        <v>17.28321817</v>
      </c>
      <c r="CX110" s="432">
        <f>CW110*(1+min(Valu!$C$15,$O110))/(Valu!$C$21-min(Valu!$C$15,$O110))</f>
        <v>468.4661768</v>
      </c>
      <c r="CY110" s="432">
        <f>CD110/(1+Valu!$C$21)^CY$3</f>
        <v>5.97491671</v>
      </c>
      <c r="CZ110" s="432">
        <f>CE110/(1+Valu!$C$21)^CZ$3</f>
        <v>6.450119382</v>
      </c>
      <c r="DA110" s="432">
        <f>CF110/(1+Valu!$C$21)^DA$3</f>
        <v>6.898824947</v>
      </c>
      <c r="DB110" s="432">
        <f>CG110/(1+Valu!$C$21)^DB$3</f>
        <v>7.364892993</v>
      </c>
      <c r="DC110" s="432">
        <f>CH110/(1+Valu!$C$21)^DC$3</f>
        <v>7.983806051</v>
      </c>
      <c r="DD110" s="432">
        <f>CI110/(1+Valu!$C$21)^DD$3</f>
        <v>7.699738045</v>
      </c>
      <c r="DE110" s="432">
        <f>CJ110/(1+Valu!$C$21)^DE$3</f>
        <v>7.425777328</v>
      </c>
      <c r="DF110" s="432">
        <f>CK110/(1+Valu!$C$21)^DF$3</f>
        <v>7.161564277</v>
      </c>
      <c r="DG110" s="432">
        <f>CL110/(1+Valu!$C$21)^DG$3</f>
        <v>6.906752065</v>
      </c>
      <c r="DH110" s="432">
        <f>CM110/(1+Valu!$C$21)^DH$3</f>
        <v>6.661006205</v>
      </c>
      <c r="DI110" s="432">
        <f>CN110/(1+Valu!$C$21)^DI$3</f>
        <v>6.424004112</v>
      </c>
      <c r="DJ110" s="432">
        <f>CO110/(1+Valu!$C$21)^DJ$3</f>
        <v>6.195434677</v>
      </c>
      <c r="DK110" s="432">
        <f>CP110/(1+Valu!$C$21)^DK$3</f>
        <v>5.974997863</v>
      </c>
      <c r="DL110" s="432">
        <f>CQ110/(1+Valu!$C$21)^DL$3</f>
        <v>5.762404306</v>
      </c>
      <c r="DM110" s="432">
        <f>CR110/(1+Valu!$C$21)^DM$3</f>
        <v>5.557374939</v>
      </c>
      <c r="DN110" s="432">
        <f>CS110/(1+Valu!$C$21)^DN$3</f>
        <v>5.359640625</v>
      </c>
      <c r="DO110" s="432">
        <f>CT110/(1+Valu!$C$21)^DO$3</f>
        <v>5.168941801</v>
      </c>
      <c r="DP110" s="432">
        <f>CU110/(1+Valu!$C$21)^DP$3</f>
        <v>4.985028142</v>
      </c>
      <c r="DQ110" s="432">
        <f>CV110/(1+Valu!$C$21)^DQ$3</f>
        <v>4.807658226</v>
      </c>
      <c r="DR110" s="432">
        <f>CW110/(1+Valu!$C$21)^DR$3</f>
        <v>4.636599226</v>
      </c>
      <c r="DS110" s="432">
        <f>CX110/(1+Valu!$C$21)^DS$3</f>
        <v>125.6762422</v>
      </c>
      <c r="DT110" s="344"/>
      <c r="DU110" s="344"/>
      <c r="DV110" s="344"/>
      <c r="DW110" s="344"/>
    </row>
    <row r="111" ht="15.0" customHeight="1">
      <c r="A111" s="394">
        <v>40510.0</v>
      </c>
      <c r="B111" s="302" t="s">
        <v>1908</v>
      </c>
      <c r="C111" s="302" t="s">
        <v>1909</v>
      </c>
      <c r="D111" s="422"/>
      <c r="E111" s="396" t="str">
        <f>IFERROR(__xludf.DUMMYFUNCTION("if(and(D111&lt;&gt;0,D111&lt;&gt;""""),D111/GOOGLEFINANCE(C111,""price"")-1,"""")"),"")</f>
        <v/>
      </c>
      <c r="F111" s="397">
        <f>IFERROR(__xludf.DUMMYFUNCTION("GOOGLEFINANCE(C111,""price"")"),2.7)</f>
        <v>2.7</v>
      </c>
      <c r="G111" s="396" t="str">
        <f t="shared" si="6"/>
        <v/>
      </c>
      <c r="H111" s="398">
        <v>30.0</v>
      </c>
      <c r="I111" s="398"/>
      <c r="J111" s="403"/>
      <c r="K111" s="403"/>
      <c r="L111" s="410"/>
      <c r="M111" s="402">
        <f t="shared" si="7"/>
        <v>-119.9023034</v>
      </c>
      <c r="N111" s="403">
        <f t="shared" si="8"/>
        <v>0</v>
      </c>
      <c r="O111" s="410"/>
      <c r="P111" s="411"/>
      <c r="Q111" s="402"/>
      <c r="R111" s="412"/>
      <c r="S111" s="412"/>
      <c r="T111" s="412"/>
      <c r="U111" s="413" t="s">
        <v>1912</v>
      </c>
      <c r="V111" s="414"/>
      <c r="W111" s="414"/>
      <c r="X111" s="414"/>
      <c r="Y111" s="414"/>
      <c r="Z111" s="414"/>
      <c r="AA111" s="414"/>
      <c r="AB111" s="414"/>
      <c r="AC111" s="414"/>
      <c r="AD111" s="414"/>
      <c r="AE111" s="414"/>
      <c r="AF111" s="414"/>
      <c r="AG111" s="414"/>
      <c r="AH111" s="414"/>
      <c r="AI111" s="414"/>
      <c r="AJ111" s="414"/>
      <c r="AK111" s="414"/>
      <c r="AL111" s="414"/>
      <c r="AM111" s="414"/>
      <c r="AN111" s="414"/>
      <c r="AO111" s="414"/>
      <c r="AP111" s="414"/>
      <c r="AQ111" s="414"/>
      <c r="AR111" s="414"/>
      <c r="AS111" s="414"/>
      <c r="AT111" s="414"/>
      <c r="AU111" s="414"/>
      <c r="AV111" s="414"/>
      <c r="AW111" s="414"/>
      <c r="AX111" s="414"/>
      <c r="AY111" s="414"/>
      <c r="AZ111" s="414"/>
      <c r="BA111" s="414"/>
      <c r="BB111" s="414"/>
      <c r="BC111" s="414"/>
      <c r="BD111" s="414"/>
      <c r="BE111" s="414"/>
      <c r="BF111" s="414"/>
      <c r="BG111" s="414"/>
      <c r="BH111" s="414"/>
      <c r="BI111" s="414"/>
      <c r="BJ111" s="414"/>
      <c r="BK111" s="414"/>
      <c r="BL111" s="414"/>
      <c r="BM111" s="414"/>
      <c r="BN111" s="414"/>
      <c r="BO111" s="414"/>
      <c r="BP111" s="414"/>
      <c r="BQ111" s="414"/>
      <c r="BR111" s="414"/>
      <c r="BS111" s="414"/>
      <c r="BT111" s="414"/>
      <c r="BU111" s="414"/>
      <c r="BV111" s="414"/>
      <c r="BW111" s="414"/>
      <c r="BX111" s="414"/>
      <c r="BY111" s="414"/>
      <c r="BZ111" s="414"/>
      <c r="CA111" s="414"/>
      <c r="CB111" s="414"/>
      <c r="CC111" s="414"/>
      <c r="CD111" s="414"/>
      <c r="CE111" s="414"/>
      <c r="CF111" s="414"/>
      <c r="CG111" s="414"/>
      <c r="CH111" s="414"/>
      <c r="CI111" s="414"/>
      <c r="CJ111" s="414"/>
      <c r="CK111" s="414"/>
      <c r="CL111" s="414"/>
      <c r="CM111" s="414"/>
      <c r="CN111" s="414"/>
      <c r="CO111" s="414"/>
      <c r="CP111" s="414"/>
      <c r="CQ111" s="414"/>
      <c r="CR111" s="414"/>
      <c r="CS111" s="414"/>
      <c r="CT111" s="414"/>
      <c r="CU111" s="414"/>
      <c r="CV111" s="414"/>
      <c r="CW111" s="414"/>
      <c r="CX111" s="414"/>
      <c r="CY111" s="414"/>
      <c r="CZ111" s="414"/>
      <c r="DA111" s="414"/>
      <c r="DB111" s="414"/>
      <c r="DC111" s="414"/>
      <c r="DD111" s="414"/>
      <c r="DE111" s="414"/>
      <c r="DF111" s="414"/>
      <c r="DG111" s="414"/>
      <c r="DH111" s="414"/>
      <c r="DI111" s="414"/>
      <c r="DJ111" s="414"/>
      <c r="DK111" s="414"/>
      <c r="DL111" s="414"/>
      <c r="DM111" s="414"/>
      <c r="DN111" s="414"/>
      <c r="DO111" s="414"/>
      <c r="DP111" s="414"/>
      <c r="DQ111" s="414"/>
      <c r="DR111" s="414"/>
      <c r="DS111" s="414"/>
      <c r="DT111" s="414"/>
      <c r="DU111" s="414"/>
      <c r="DV111" s="414"/>
      <c r="DW111" s="414"/>
    </row>
    <row r="112" ht="15.0" customHeight="1">
      <c r="A112" s="383">
        <v>41184.0</v>
      </c>
      <c r="B112" s="320" t="s">
        <v>1914</v>
      </c>
      <c r="C112" s="320" t="s">
        <v>855</v>
      </c>
      <c r="D112" s="384">
        <v>60.0</v>
      </c>
      <c r="E112" s="374">
        <f>IFERROR(__xludf.DUMMYFUNCTION("if(and(D112&lt;&gt;0,D112&lt;&gt;""""),D112/GOOGLEFINANCE(C112,""price"")-1,"""")"),0.03752377658654682)</f>
        <v>0.03752377659</v>
      </c>
      <c r="F112" s="375">
        <f>IFERROR(__xludf.DUMMYFUNCTION("GOOGLEFINANCE(C112,""price"")"),57.83)</f>
        <v>57.83</v>
      </c>
      <c r="G112" s="374">
        <f t="shared" si="6"/>
        <v>0.3391380415</v>
      </c>
      <c r="H112" s="376">
        <f>(5.51*1.175)*17.5</f>
        <v>113.299375</v>
      </c>
      <c r="I112" s="376">
        <f>4.14*($I$1+4)</f>
        <v>77.44235294</v>
      </c>
      <c r="J112" s="380"/>
      <c r="K112" s="380"/>
      <c r="L112" s="389"/>
      <c r="M112" s="379">
        <f t="shared" si="7"/>
        <v>-119.9023034</v>
      </c>
      <c r="N112" s="380">
        <f t="shared" si="8"/>
        <v>0</v>
      </c>
      <c r="O112" s="389"/>
      <c r="P112" s="390"/>
      <c r="Q112" s="391"/>
      <c r="R112" s="387"/>
      <c r="S112" s="387"/>
      <c r="T112" s="387"/>
      <c r="U112" s="386" t="s">
        <v>1917</v>
      </c>
      <c r="V112" s="344"/>
      <c r="W112" s="344"/>
      <c r="X112" s="344"/>
      <c r="Y112" s="344"/>
      <c r="Z112" s="344"/>
      <c r="AA112" s="344"/>
      <c r="AB112" s="344"/>
      <c r="AC112" s="344"/>
      <c r="AD112" s="344"/>
      <c r="AE112" s="344"/>
      <c r="AF112" s="344"/>
      <c r="AG112" s="344"/>
      <c r="AH112" s="344"/>
      <c r="AI112" s="344"/>
      <c r="AJ112" s="344"/>
      <c r="AK112" s="344"/>
      <c r="AL112" s="344"/>
      <c r="AM112" s="344"/>
      <c r="AN112" s="344"/>
      <c r="AO112" s="344"/>
      <c r="AP112" s="344"/>
      <c r="AQ112" s="344"/>
      <c r="AR112" s="344"/>
      <c r="AS112" s="344"/>
      <c r="AT112" s="344"/>
      <c r="AU112" s="344"/>
      <c r="AV112" s="344"/>
      <c r="AW112" s="344"/>
      <c r="AX112" s="344"/>
      <c r="AY112" s="344"/>
      <c r="AZ112" s="344"/>
      <c r="BA112" s="344"/>
      <c r="BB112" s="344"/>
      <c r="BC112" s="344"/>
      <c r="BD112" s="344"/>
      <c r="BE112" s="344"/>
      <c r="BF112" s="344"/>
      <c r="BG112" s="344"/>
      <c r="BH112" s="344"/>
      <c r="BI112" s="344"/>
      <c r="BJ112" s="344"/>
      <c r="BK112" s="344"/>
      <c r="BL112" s="344"/>
      <c r="BM112" s="344"/>
      <c r="BN112" s="344"/>
      <c r="BO112" s="344"/>
      <c r="BP112" s="344"/>
      <c r="BQ112" s="344"/>
      <c r="BR112" s="344"/>
      <c r="BS112" s="344"/>
      <c r="BT112" s="344"/>
      <c r="BU112" s="344"/>
      <c r="BV112" s="344"/>
      <c r="BW112" s="344"/>
      <c r="BX112" s="344"/>
      <c r="BY112" s="344"/>
      <c r="BZ112" s="344"/>
      <c r="CA112" s="344"/>
      <c r="CB112" s="344"/>
      <c r="CC112" s="344"/>
      <c r="CD112" s="344"/>
      <c r="CE112" s="344"/>
      <c r="CF112" s="344"/>
      <c r="CG112" s="344"/>
      <c r="CH112" s="344"/>
      <c r="CI112" s="344"/>
      <c r="CJ112" s="344"/>
      <c r="CK112" s="344"/>
      <c r="CL112" s="344"/>
      <c r="CM112" s="344"/>
      <c r="CN112" s="344"/>
      <c r="CO112" s="344"/>
      <c r="CP112" s="344"/>
      <c r="CQ112" s="344"/>
      <c r="CR112" s="344"/>
      <c r="CS112" s="344"/>
      <c r="CT112" s="344"/>
      <c r="CU112" s="344"/>
      <c r="CV112" s="344"/>
      <c r="CW112" s="344"/>
      <c r="CX112" s="344"/>
      <c r="CY112" s="344"/>
      <c r="CZ112" s="344"/>
      <c r="DA112" s="344"/>
      <c r="DB112" s="344"/>
      <c r="DC112" s="344"/>
      <c r="DD112" s="344"/>
      <c r="DE112" s="344"/>
      <c r="DF112" s="344"/>
      <c r="DG112" s="344"/>
      <c r="DH112" s="344"/>
      <c r="DI112" s="344"/>
      <c r="DJ112" s="344"/>
      <c r="DK112" s="344"/>
      <c r="DL112" s="344"/>
      <c r="DM112" s="344"/>
      <c r="DN112" s="344"/>
      <c r="DO112" s="344"/>
      <c r="DP112" s="344"/>
      <c r="DQ112" s="344"/>
      <c r="DR112" s="344"/>
      <c r="DS112" s="344"/>
      <c r="DT112" s="344"/>
      <c r="DU112" s="344"/>
      <c r="DV112" s="344"/>
      <c r="DW112" s="344"/>
    </row>
    <row r="113" ht="15.0" customHeight="1">
      <c r="A113" s="372">
        <v>41942.0</v>
      </c>
      <c r="B113" s="384" t="s">
        <v>1919</v>
      </c>
      <c r="C113" s="373" t="s">
        <v>1920</v>
      </c>
      <c r="D113" s="384">
        <v>45.0</v>
      </c>
      <c r="E113" s="374" t="str">
        <f>IFERROR(__xludf.DUMMYFUNCTION("if(and(D113&lt;&gt;0,D113&lt;&gt;""""),D113/GOOGLEFINANCE(C113,""price"")-1,"""")"),"#N/A")</f>
        <v>#N/A</v>
      </c>
      <c r="F113" s="375" t="str">
        <f>IFERROR(__xludf.DUMMYFUNCTION("GOOGLEFINANCE(C113,""price"")"),"#N/A")</f>
        <v>#N/A</v>
      </c>
      <c r="G113" s="374" t="str">
        <f t="shared" si="6"/>
        <v>#N/A</v>
      </c>
      <c r="H113" s="376"/>
      <c r="I113" s="368">
        <f>(N113)*($I$1+O113*100)</f>
        <v>97.10044173</v>
      </c>
      <c r="J113" s="377">
        <v>4.21</v>
      </c>
      <c r="K113" s="377">
        <v>4.91</v>
      </c>
      <c r="L113" s="378">
        <v>43465.0</v>
      </c>
      <c r="M113" s="379">
        <f t="shared" si="7"/>
        <v>-0.820111578</v>
      </c>
      <c r="N113" s="380">
        <f t="shared" si="8"/>
        <v>5.484078105</v>
      </c>
      <c r="O113" s="370">
        <v>0.03</v>
      </c>
      <c r="P113" s="370"/>
      <c r="Q113" s="371"/>
      <c r="R113" s="378"/>
      <c r="S113" s="378">
        <v>43352.0</v>
      </c>
      <c r="T113" s="381" t="s">
        <v>1223</v>
      </c>
      <c r="U113" s="386" t="s">
        <v>1922</v>
      </c>
      <c r="V113" s="344"/>
      <c r="W113" s="344"/>
      <c r="X113" s="344"/>
      <c r="Y113" s="344"/>
      <c r="Z113" s="344"/>
      <c r="AA113" s="344"/>
      <c r="AB113" s="344"/>
      <c r="AC113" s="344"/>
      <c r="AD113" s="344"/>
      <c r="AE113" s="344"/>
      <c r="AF113" s="344"/>
      <c r="AG113" s="344"/>
      <c r="AH113" s="344"/>
      <c r="AI113" s="344"/>
      <c r="AJ113" s="344"/>
      <c r="AK113" s="344"/>
      <c r="AL113" s="344"/>
      <c r="AM113" s="344"/>
      <c r="AN113" s="344"/>
      <c r="AO113" s="344"/>
      <c r="AP113" s="344"/>
      <c r="AQ113" s="344"/>
      <c r="AR113" s="344"/>
      <c r="AS113" s="344"/>
      <c r="AT113" s="344"/>
      <c r="AU113" s="344"/>
      <c r="AV113" s="344"/>
      <c r="AW113" s="344"/>
      <c r="AX113" s="344"/>
      <c r="AY113" s="344"/>
      <c r="AZ113" s="344"/>
      <c r="BA113" s="344"/>
      <c r="BB113" s="344"/>
      <c r="BC113" s="344"/>
      <c r="BD113" s="344"/>
      <c r="BE113" s="344"/>
      <c r="BF113" s="344"/>
      <c r="BG113" s="344"/>
      <c r="BH113" s="344"/>
      <c r="BI113" s="344"/>
      <c r="BJ113" s="344"/>
      <c r="BK113" s="344"/>
      <c r="BL113" s="344"/>
      <c r="BM113" s="344"/>
      <c r="BN113" s="344"/>
      <c r="BO113" s="344"/>
      <c r="BP113" s="344"/>
      <c r="BQ113" s="344"/>
      <c r="BR113" s="344"/>
      <c r="BS113" s="344"/>
      <c r="BT113" s="344"/>
      <c r="BU113" s="344"/>
      <c r="BV113" s="344"/>
      <c r="BW113" s="344"/>
      <c r="BX113" s="344"/>
      <c r="BY113" s="344"/>
      <c r="BZ113" s="344"/>
      <c r="CA113" s="344"/>
      <c r="CB113" s="344"/>
      <c r="CC113" s="344"/>
      <c r="CD113" s="344"/>
      <c r="CE113" s="344"/>
      <c r="CF113" s="344"/>
      <c r="CG113" s="344"/>
      <c r="CH113" s="344"/>
      <c r="CI113" s="344"/>
      <c r="CJ113" s="344"/>
      <c r="CK113" s="344"/>
      <c r="CL113" s="344"/>
      <c r="CM113" s="344"/>
      <c r="CN113" s="344"/>
      <c r="CO113" s="344"/>
      <c r="CP113" s="344"/>
      <c r="CQ113" s="344"/>
      <c r="CR113" s="344"/>
      <c r="CS113" s="344"/>
      <c r="CT113" s="344"/>
      <c r="CU113" s="344"/>
      <c r="CV113" s="344"/>
      <c r="CW113" s="344"/>
      <c r="CX113" s="344"/>
      <c r="CY113" s="344"/>
      <c r="CZ113" s="344"/>
      <c r="DA113" s="344"/>
      <c r="DB113" s="344"/>
      <c r="DC113" s="344"/>
      <c r="DD113" s="344"/>
      <c r="DE113" s="344"/>
      <c r="DF113" s="344"/>
      <c r="DG113" s="344"/>
      <c r="DH113" s="344"/>
      <c r="DI113" s="344"/>
      <c r="DJ113" s="344"/>
      <c r="DK113" s="344"/>
      <c r="DL113" s="344"/>
      <c r="DM113" s="344"/>
      <c r="DN113" s="344"/>
      <c r="DO113" s="344"/>
      <c r="DP113" s="344"/>
      <c r="DQ113" s="344"/>
      <c r="DR113" s="344"/>
      <c r="DS113" s="344"/>
      <c r="DT113" s="344"/>
      <c r="DU113" s="344"/>
      <c r="DV113" s="344"/>
      <c r="DW113" s="344"/>
    </row>
    <row r="114" ht="15.0" customHeight="1">
      <c r="A114" s="388">
        <v>43477.0</v>
      </c>
      <c r="B114" s="373" t="s">
        <v>1924</v>
      </c>
      <c r="C114" s="373" t="s">
        <v>1150</v>
      </c>
      <c r="D114" s="373">
        <v>32.0</v>
      </c>
      <c r="E114" s="374">
        <f>IFERROR(__xludf.DUMMYFUNCTION("if(and(D114&lt;&gt;0,D114&lt;&gt;""""),D114/GOOGLEFINANCE(C114,""price"")-1,"""")"),-0.1071428571428572)</f>
        <v>-0.1071428571</v>
      </c>
      <c r="F114" s="375">
        <f>IFERROR(__xludf.DUMMYFUNCTION("GOOGLEFINANCE(C114,""price"")"),35.84)</f>
        <v>35.84</v>
      </c>
      <c r="G114" s="374">
        <f t="shared" si="6"/>
        <v>0.2743162125</v>
      </c>
      <c r="H114" s="376">
        <f t="shared" ref="H114:H115" si="63">(5.51*1.175)*17.5</f>
        <v>113.299375</v>
      </c>
      <c r="I114" s="368">
        <f>sum(CY114:DS114)</f>
        <v>45.67149305</v>
      </c>
      <c r="J114" s="377">
        <v>2.15</v>
      </c>
      <c r="K114" s="377">
        <v>2.35</v>
      </c>
      <c r="L114" s="378">
        <v>43830.0</v>
      </c>
      <c r="M114" s="379">
        <f t="shared" si="7"/>
        <v>0.1798884261</v>
      </c>
      <c r="N114" s="380">
        <f t="shared" si="8"/>
        <v>2.314022315</v>
      </c>
      <c r="O114" s="370">
        <v>0.03</v>
      </c>
      <c r="P114" s="370">
        <v>0.12</v>
      </c>
      <c r="Q114" s="371">
        <f>I114/N114</f>
        <v>19.73684211</v>
      </c>
      <c r="R114" s="381">
        <v>4.0</v>
      </c>
      <c r="S114" s="378">
        <v>43676.0</v>
      </c>
      <c r="T114" s="381" t="s">
        <v>1223</v>
      </c>
      <c r="U114" s="382" t="s">
        <v>1928</v>
      </c>
      <c r="V114" s="429">
        <f>O114</f>
        <v>0.03</v>
      </c>
      <c r="W114" s="430">
        <f>max(min(Valu!$C$15,$O114),$O114-max($O114-Valu!$C$15,0)/$R114*(W$3-1))</f>
        <v>0.03</v>
      </c>
      <c r="X114" s="430">
        <f>max(min(Valu!$C$15,$O114),$O114-max($O114-Valu!$C$15,0)/$R114*(X$3-1))</f>
        <v>0.03</v>
      </c>
      <c r="Y114" s="430">
        <f>max(min(Valu!$C$15,$O114),$O114-max($O114-Valu!$C$15,0)/$R114*(Y$3-1))</f>
        <v>0.03</v>
      </c>
      <c r="Z114" s="430">
        <f>max(min(Valu!$C$15,$O114),$O114-max($O114-Valu!$C$15,0)/$R114*(Z$3-1))</f>
        <v>0.03</v>
      </c>
      <c r="AA114" s="430">
        <f>max(min(Valu!$C$15,$O114),$O114-max($O114-Valu!$C$15,0)/$R114*(AA$3-1))</f>
        <v>0.03</v>
      </c>
      <c r="AB114" s="430">
        <f>max(min(Valu!$C$15,$O114),$O114-max($O114-Valu!$C$15,0)/$R114*(AB$3-1))</f>
        <v>0.03</v>
      </c>
      <c r="AC114" s="430">
        <f>max(min(Valu!$C$15,$O114),$O114-max($O114-Valu!$C$15,0)/$R114*(AC$3-1))</f>
        <v>0.03</v>
      </c>
      <c r="AD114" s="430">
        <f>max(min(Valu!$C$15,$O114),$O114-max($O114-Valu!$C$15,0)/$R114*(AD$3-1))</f>
        <v>0.03</v>
      </c>
      <c r="AE114" s="430">
        <f>max(min(Valu!$C$15,$O114),$O114-max($O114-Valu!$C$15,0)/$R114*(AE$3-1))</f>
        <v>0.03</v>
      </c>
      <c r="AF114" s="430">
        <f>max(min(Valu!$C$15,$O114),$O114-max($O114-Valu!$C$15,0)/$R114*(AF$3-1))</f>
        <v>0.03</v>
      </c>
      <c r="AG114" s="430">
        <f>max(min(Valu!$C$15,$O114),$O114-max($O114-Valu!$C$15,0)/$R114*(AG$3-1))</f>
        <v>0.03</v>
      </c>
      <c r="AH114" s="430">
        <f>max(min(Valu!$C$15,$O114),$O114-max($O114-Valu!$C$15,0)/$R114*(AH$3-1))</f>
        <v>0.03</v>
      </c>
      <c r="AI114" s="430">
        <f>max(min(Valu!$C$15,$O114),$O114-max($O114-Valu!$C$15,0)/$R114*(AI$3-1))</f>
        <v>0.03</v>
      </c>
      <c r="AJ114" s="430">
        <f>max(min(Valu!$C$15,$O114),$O114-max($O114-Valu!$C$15,0)/$R114*(AJ$3-1))</f>
        <v>0.03</v>
      </c>
      <c r="AK114" s="430">
        <f>max(min(Valu!$C$15,$O114),$O114-max($O114-Valu!$C$15,0)/$R114*(AK$3-1))</f>
        <v>0.03</v>
      </c>
      <c r="AL114" s="430">
        <f>max(min(Valu!$C$15,$O114),$O114-max($O114-Valu!$C$15,0)/$R114*(AL$3-1))</f>
        <v>0.03</v>
      </c>
      <c r="AM114" s="430">
        <f>max(min(Valu!$C$15,$O114),$O114-max($O114-Valu!$C$15,0)/$R114*(AM$3-1))</f>
        <v>0.03</v>
      </c>
      <c r="AN114" s="430">
        <f>max(min(Valu!$C$15,$O114),$O114-max($O114-Valu!$C$15,0)/$R114*(AN$3-1))</f>
        <v>0.03</v>
      </c>
      <c r="AO114" s="430">
        <f>max(min(Valu!$C$15,$O114),$O114-max($O114-Valu!$C$15,0)/$R114*(AO$3-1))</f>
        <v>0.03</v>
      </c>
      <c r="AP114" s="430">
        <f>max(min(Valu!$C$14,$P114),$P114-max($P114-Valu!$C$14,0)/$R114*(AP$3-1))</f>
        <v>0.12</v>
      </c>
      <c r="AQ114" s="430">
        <f>max(min(Valu!$C$14,$P114),$P114-max($P114-Valu!$C$14,0)/$R114*(AQ$3-1))</f>
        <v>0.12</v>
      </c>
      <c r="AR114" s="430">
        <f>max(min(Valu!$C$14,$P114),$P114-max($P114-Valu!$C$14,0)/$R114*(AR$3-1))</f>
        <v>0.12</v>
      </c>
      <c r="AS114" s="430">
        <f>max(min(Valu!$C$14,$P114),$P114-max($P114-Valu!$C$14,0)/$R114*(AS$3-1))</f>
        <v>0.12</v>
      </c>
      <c r="AT114" s="430">
        <f>max(min(Valu!$C$14,$P114),$P114-max($P114-Valu!$C$14,0)/$R114*(AT$3-1))</f>
        <v>0.12</v>
      </c>
      <c r="AU114" s="430">
        <f>max(min(Valu!$C$14,$P114),$P114-max($P114-Valu!$C$14,0)/$R114*(AU$3-1))</f>
        <v>0.12</v>
      </c>
      <c r="AV114" s="430">
        <f>max(min(Valu!$C$14,$P114),$P114-max($P114-Valu!$C$14,0)/$R114*(AV$3-1))</f>
        <v>0.12</v>
      </c>
      <c r="AW114" s="430">
        <f>max(min(Valu!$C$14,$P114),$P114-max($P114-Valu!$C$14,0)/$R114*(AW$3-1))</f>
        <v>0.12</v>
      </c>
      <c r="AX114" s="430">
        <f>max(min(Valu!$C$14,$P114),$P114-max($P114-Valu!$C$14,0)/$R114*(AX$3-1))</f>
        <v>0.12</v>
      </c>
      <c r="AY114" s="430">
        <f>max(min(Valu!$C$14,$P114),$P114-max($P114-Valu!$C$14,0)/$R114*(AY$3-1))</f>
        <v>0.12</v>
      </c>
      <c r="AZ114" s="430">
        <f>max(min(Valu!$C$14,$P114),$P114-max($P114-Valu!$C$14,0)/$R114*(AZ$3-1))</f>
        <v>0.12</v>
      </c>
      <c r="BA114" s="430">
        <f>max(min(Valu!$C$14,$P114),$P114-max($P114-Valu!$C$14,0)/$R114*(BA$3-1))</f>
        <v>0.12</v>
      </c>
      <c r="BB114" s="430">
        <f>max(min(Valu!$C$14,$P114),$P114-max($P114-Valu!$C$14,0)/$R114*(BB$3-1))</f>
        <v>0.12</v>
      </c>
      <c r="BC114" s="430">
        <f>max(min(Valu!$C$14,$P114),$P114-max($P114-Valu!$C$14,0)/$R114*(BC$3-1))</f>
        <v>0.12</v>
      </c>
      <c r="BD114" s="430">
        <f>max(min(Valu!$C$14,$P114),$P114-max($P114-Valu!$C$14,0)/$R114*(BD$3-1))</f>
        <v>0.12</v>
      </c>
      <c r="BE114" s="430">
        <f>max(min(Valu!$C$14,$P114),$P114-max($P114-Valu!$C$14,0)/$R114*(BE$3-1))</f>
        <v>0.12</v>
      </c>
      <c r="BF114" s="430">
        <f>max(min(Valu!$C$14,$P114),$P114-max($P114-Valu!$C$14,0)/$R114*(BF$3-1))</f>
        <v>0.12</v>
      </c>
      <c r="BG114" s="430">
        <f>max(min(Valu!$C$14,$P114),$P114-max($P114-Valu!$C$14,0)/$R114*(BG$3-1))</f>
        <v>0.12</v>
      </c>
      <c r="BH114" s="430">
        <f>max(min(Valu!$C$14,$P114),$P114-max($P114-Valu!$C$14,0)/$R114*(BH$3-1))</f>
        <v>0.12</v>
      </c>
      <c r="BI114" s="430">
        <f>max(min(Valu!$C$14,$P114),$P114-max($P114-Valu!$C$14,0)/$R114*(BI$3-1))</f>
        <v>0.12</v>
      </c>
      <c r="BJ114" s="431">
        <f>N114</f>
        <v>2.314022315</v>
      </c>
      <c r="BK114" s="432">
        <f>$BJ114*(1+V114)</f>
        <v>2.383442984</v>
      </c>
      <c r="BL114" s="432">
        <f t="shared" ref="BL114:CC114" si="61">BK114*(1+W114)</f>
        <v>2.454946274</v>
      </c>
      <c r="BM114" s="432">
        <f t="shared" si="61"/>
        <v>2.528594662</v>
      </c>
      <c r="BN114" s="432">
        <f t="shared" si="61"/>
        <v>2.604452502</v>
      </c>
      <c r="BO114" s="432">
        <f t="shared" si="61"/>
        <v>2.682586077</v>
      </c>
      <c r="BP114" s="432">
        <f t="shared" si="61"/>
        <v>2.763063659</v>
      </c>
      <c r="BQ114" s="432">
        <f t="shared" si="61"/>
        <v>2.845955569</v>
      </c>
      <c r="BR114" s="432">
        <f t="shared" si="61"/>
        <v>2.931334236</v>
      </c>
      <c r="BS114" s="432">
        <f t="shared" si="61"/>
        <v>3.019274263</v>
      </c>
      <c r="BT114" s="432">
        <f t="shared" si="61"/>
        <v>3.109852491</v>
      </c>
      <c r="BU114" s="432">
        <f t="shared" si="61"/>
        <v>3.203148066</v>
      </c>
      <c r="BV114" s="432">
        <f t="shared" si="61"/>
        <v>3.299242508</v>
      </c>
      <c r="BW114" s="432">
        <f t="shared" si="61"/>
        <v>3.398219783</v>
      </c>
      <c r="BX114" s="432">
        <f t="shared" si="61"/>
        <v>3.500166376</v>
      </c>
      <c r="BY114" s="432">
        <f t="shared" si="61"/>
        <v>3.605171368</v>
      </c>
      <c r="BZ114" s="432">
        <f t="shared" si="61"/>
        <v>3.713326509</v>
      </c>
      <c r="CA114" s="432">
        <f t="shared" si="61"/>
        <v>3.824726304</v>
      </c>
      <c r="CB114" s="432">
        <f t="shared" si="61"/>
        <v>3.939468093</v>
      </c>
      <c r="CC114" s="432">
        <f t="shared" si="61"/>
        <v>4.057652136</v>
      </c>
      <c r="CD114" s="432">
        <f t="shared" ref="CD114:CW114" si="62">BJ114*(1-V114/AP114)</f>
        <v>1.735516736</v>
      </c>
      <c r="CE114" s="432">
        <f t="shared" si="62"/>
        <v>1.787582238</v>
      </c>
      <c r="CF114" s="432">
        <f t="shared" si="62"/>
        <v>1.841209705</v>
      </c>
      <c r="CG114" s="432">
        <f t="shared" si="62"/>
        <v>1.896445996</v>
      </c>
      <c r="CH114" s="432">
        <f t="shared" si="62"/>
        <v>1.953339376</v>
      </c>
      <c r="CI114" s="432">
        <f t="shared" si="62"/>
        <v>2.011939558</v>
      </c>
      <c r="CJ114" s="432">
        <f t="shared" si="62"/>
        <v>2.072297744</v>
      </c>
      <c r="CK114" s="432">
        <f t="shared" si="62"/>
        <v>2.134466677</v>
      </c>
      <c r="CL114" s="432">
        <f t="shared" si="62"/>
        <v>2.198500677</v>
      </c>
      <c r="CM114" s="432">
        <f t="shared" si="62"/>
        <v>2.264455697</v>
      </c>
      <c r="CN114" s="432">
        <f t="shared" si="62"/>
        <v>2.332389368</v>
      </c>
      <c r="CO114" s="432">
        <f t="shared" si="62"/>
        <v>2.402361049</v>
      </c>
      <c r="CP114" s="432">
        <f t="shared" si="62"/>
        <v>2.474431881</v>
      </c>
      <c r="CQ114" s="432">
        <f t="shared" si="62"/>
        <v>2.548664837</v>
      </c>
      <c r="CR114" s="432">
        <f t="shared" si="62"/>
        <v>2.625124782</v>
      </c>
      <c r="CS114" s="432">
        <f t="shared" si="62"/>
        <v>2.703878526</v>
      </c>
      <c r="CT114" s="432">
        <f t="shared" si="62"/>
        <v>2.784994882</v>
      </c>
      <c r="CU114" s="432">
        <f t="shared" si="62"/>
        <v>2.868544728</v>
      </c>
      <c r="CV114" s="432">
        <f t="shared" si="62"/>
        <v>2.95460107</v>
      </c>
      <c r="CW114" s="432">
        <f t="shared" si="62"/>
        <v>3.043239102</v>
      </c>
      <c r="CX114" s="432">
        <f>CW114*(1+min(Valu!$C$15,$O114))/(Valu!$C$21-min(Valu!$C$15,$O114))</f>
        <v>82.48779671</v>
      </c>
      <c r="CY114" s="432">
        <f>CD114/(1+Valu!$C$21)^CY$3</f>
        <v>1.62501567</v>
      </c>
      <c r="CZ114" s="432">
        <f>CE114/(1+Valu!$C$21)^CZ$3</f>
        <v>1.567196761</v>
      </c>
      <c r="DA114" s="432">
        <f>CF114/(1+Valu!$C$21)^DA$3</f>
        <v>1.511435078</v>
      </c>
      <c r="DB114" s="432">
        <f>CG114/(1+Valu!$C$21)^DB$3</f>
        <v>1.457657426</v>
      </c>
      <c r="DC114" s="432">
        <f>CH114/(1+Valu!$C$21)^DC$3</f>
        <v>1.40579321</v>
      </c>
      <c r="DD114" s="432">
        <f>CI114/(1+Valu!$C$21)^DD$3</f>
        <v>1.355774351</v>
      </c>
      <c r="DE114" s="432">
        <f>CJ114/(1+Valu!$C$21)^DE$3</f>
        <v>1.307535188</v>
      </c>
      <c r="DF114" s="432">
        <f>CK114/(1+Valu!$C$21)^DF$3</f>
        <v>1.261012401</v>
      </c>
      <c r="DG114" s="432">
        <f>CL114/(1+Valu!$C$21)^DG$3</f>
        <v>1.216144918</v>
      </c>
      <c r="DH114" s="432">
        <f>CM114/(1+Valu!$C$21)^DH$3</f>
        <v>1.172873845</v>
      </c>
      <c r="DI114" s="432">
        <f>CN114/(1+Valu!$C$21)^DI$3</f>
        <v>1.131142378</v>
      </c>
      <c r="DJ114" s="432">
        <f>CO114/(1+Valu!$C$21)^DJ$3</f>
        <v>1.090895739</v>
      </c>
      <c r="DK114" s="432">
        <f>CP114/(1+Valu!$C$21)^DK$3</f>
        <v>1.052081097</v>
      </c>
      <c r="DL114" s="432">
        <f>CQ114/(1+Valu!$C$21)^DL$3</f>
        <v>1.0146475</v>
      </c>
      <c r="DM114" s="432">
        <f>CR114/(1+Valu!$C$21)^DM$3</f>
        <v>0.9785458097</v>
      </c>
      <c r="DN114" s="432">
        <f>CS114/(1+Valu!$C$21)^DN$3</f>
        <v>0.9437286367</v>
      </c>
      <c r="DO114" s="432">
        <f>CT114/(1+Valu!$C$21)^DO$3</f>
        <v>0.9101502769</v>
      </c>
      <c r="DP114" s="432">
        <f>CU114/(1+Valu!$C$21)^DP$3</f>
        <v>0.8777666528</v>
      </c>
      <c r="DQ114" s="432">
        <f>CV114/(1+Valu!$C$21)^DQ$3</f>
        <v>0.8465352551</v>
      </c>
      <c r="DR114" s="432">
        <f>CW114/(1+Valu!$C$21)^DR$3</f>
        <v>0.8164150868</v>
      </c>
      <c r="DS114" s="432">
        <f>CX114/(1+Valu!$C$21)^DS$3</f>
        <v>22.12914577</v>
      </c>
      <c r="DT114" s="358"/>
      <c r="DU114" s="358"/>
      <c r="DV114" s="358"/>
      <c r="DW114" s="358"/>
    </row>
    <row r="115" ht="15.0" customHeight="1">
      <c r="A115" s="383">
        <v>41312.0</v>
      </c>
      <c r="B115" s="320" t="s">
        <v>1977</v>
      </c>
      <c r="C115" s="320" t="s">
        <v>1977</v>
      </c>
      <c r="D115" s="384">
        <v>60.0</v>
      </c>
      <c r="E115" s="374">
        <f>IFERROR(__xludf.DUMMYFUNCTION("if(and(D115&lt;&gt;0,D115&lt;&gt;""""),D115/GOOGLEFINANCE(C115,""price"")-1,"""")"),0.44057623049219696)</f>
        <v>0.4405762305</v>
      </c>
      <c r="F115" s="375">
        <f>IFERROR(__xludf.DUMMYFUNCTION("GOOGLEFINANCE(C115,""price"")"),41.65)</f>
        <v>41.65</v>
      </c>
      <c r="G115" s="374">
        <f t="shared" si="6"/>
        <v>1.464162332</v>
      </c>
      <c r="H115" s="376">
        <f t="shared" si="63"/>
        <v>113.299375</v>
      </c>
      <c r="I115" s="368">
        <f t="shared" ref="I115:I118" si="64">(N115)*($I$1+O115*100)</f>
        <v>102.6323611</v>
      </c>
      <c r="J115" s="385">
        <v>3.73</v>
      </c>
      <c r="K115" s="385">
        <v>4.22</v>
      </c>
      <c r="L115" s="409">
        <v>43465.0</v>
      </c>
      <c r="M115" s="379">
        <f t="shared" si="7"/>
        <v>-0.820111578</v>
      </c>
      <c r="N115" s="380">
        <f t="shared" si="8"/>
        <v>4.621854673</v>
      </c>
      <c r="O115" s="390">
        <v>0.075</v>
      </c>
      <c r="P115" s="390"/>
      <c r="Q115" s="391"/>
      <c r="R115" s="409"/>
      <c r="S115" s="409">
        <v>43288.0</v>
      </c>
      <c r="T115" s="381" t="s">
        <v>1608</v>
      </c>
      <c r="U115" s="417" t="s">
        <v>1981</v>
      </c>
      <c r="V115" s="367"/>
      <c r="W115" s="367"/>
      <c r="X115" s="367"/>
      <c r="Y115" s="367"/>
      <c r="Z115" s="367"/>
      <c r="AA115" s="367"/>
      <c r="AB115" s="367"/>
      <c r="AC115" s="367"/>
      <c r="AD115" s="367"/>
      <c r="AE115" s="367"/>
      <c r="AF115" s="367"/>
      <c r="AG115" s="367"/>
      <c r="AH115" s="367"/>
      <c r="AI115" s="367"/>
      <c r="AJ115" s="367"/>
      <c r="AK115" s="367"/>
      <c r="AL115" s="367"/>
      <c r="AM115" s="367"/>
      <c r="AN115" s="367"/>
      <c r="AO115" s="367"/>
      <c r="AP115" s="367"/>
      <c r="AQ115" s="367"/>
      <c r="AR115" s="367"/>
      <c r="AS115" s="367"/>
      <c r="AT115" s="367"/>
      <c r="AU115" s="367"/>
      <c r="AV115" s="367"/>
      <c r="AW115" s="367"/>
      <c r="AX115" s="367"/>
      <c r="AY115" s="367"/>
      <c r="AZ115" s="367"/>
      <c r="BA115" s="367"/>
      <c r="BB115" s="367"/>
      <c r="BC115" s="367"/>
      <c r="BD115" s="367"/>
      <c r="BE115" s="367"/>
      <c r="BF115" s="367"/>
      <c r="BG115" s="367"/>
      <c r="BH115" s="367"/>
      <c r="BI115" s="367"/>
      <c r="BJ115" s="367"/>
      <c r="BK115" s="367"/>
      <c r="BL115" s="367"/>
      <c r="BM115" s="367"/>
      <c r="BN115" s="367"/>
      <c r="BO115" s="367"/>
      <c r="BP115" s="367"/>
      <c r="BQ115" s="367"/>
      <c r="BR115" s="367"/>
      <c r="BS115" s="367"/>
      <c r="BT115" s="367"/>
      <c r="BU115" s="367"/>
      <c r="BV115" s="367"/>
      <c r="BW115" s="367"/>
      <c r="BX115" s="367"/>
      <c r="BY115" s="367"/>
      <c r="BZ115" s="367"/>
      <c r="CA115" s="367"/>
      <c r="CB115" s="367"/>
      <c r="CC115" s="367"/>
      <c r="CD115" s="367"/>
      <c r="CE115" s="367"/>
      <c r="CF115" s="367"/>
      <c r="CG115" s="367"/>
      <c r="CH115" s="367"/>
      <c r="CI115" s="367"/>
      <c r="CJ115" s="367"/>
      <c r="CK115" s="367"/>
      <c r="CL115" s="367"/>
      <c r="CM115" s="367"/>
      <c r="CN115" s="367"/>
      <c r="CO115" s="367"/>
      <c r="CP115" s="367"/>
      <c r="CQ115" s="367"/>
      <c r="CR115" s="367"/>
      <c r="CS115" s="367"/>
      <c r="CT115" s="367"/>
      <c r="CU115" s="367"/>
      <c r="CV115" s="367"/>
      <c r="CW115" s="367"/>
      <c r="CX115" s="367"/>
      <c r="CY115" s="367"/>
      <c r="CZ115" s="367"/>
      <c r="DA115" s="367"/>
      <c r="DB115" s="367"/>
      <c r="DC115" s="367"/>
      <c r="DD115" s="367"/>
      <c r="DE115" s="367"/>
      <c r="DF115" s="367"/>
      <c r="DG115" s="367"/>
      <c r="DH115" s="367"/>
      <c r="DI115" s="367"/>
      <c r="DJ115" s="367"/>
      <c r="DK115" s="367"/>
      <c r="DL115" s="367"/>
      <c r="DM115" s="367"/>
      <c r="DN115" s="367"/>
      <c r="DO115" s="367"/>
      <c r="DP115" s="367"/>
      <c r="DQ115" s="367"/>
      <c r="DR115" s="367"/>
      <c r="DS115" s="367"/>
      <c r="DT115" s="367"/>
      <c r="DU115" s="367"/>
      <c r="DV115" s="367"/>
      <c r="DW115" s="367"/>
    </row>
    <row r="116" ht="15.0" customHeight="1">
      <c r="A116" s="383">
        <v>41761.0</v>
      </c>
      <c r="B116" s="320" t="s">
        <v>1982</v>
      </c>
      <c r="C116" s="320" t="s">
        <v>1501</v>
      </c>
      <c r="D116" s="384"/>
      <c r="E116" s="374" t="str">
        <f>IFERROR(__xludf.DUMMYFUNCTION("if(and(D116&lt;&gt;0,D116&lt;&gt;""""),D116/GOOGLEFINANCE(C116,""price"")-1,"""")"),"")</f>
        <v/>
      </c>
      <c r="F116" s="375">
        <f>IFERROR(__xludf.DUMMYFUNCTION("GOOGLEFINANCE(C116,""price"")"),191.94)</f>
        <v>191.94</v>
      </c>
      <c r="G116" s="374">
        <f t="shared" si="6"/>
        <v>-0.3329852896</v>
      </c>
      <c r="H116" s="376"/>
      <c r="I116" s="368">
        <f t="shared" si="64"/>
        <v>128.0268035</v>
      </c>
      <c r="J116" s="377">
        <v>5.89</v>
      </c>
      <c r="K116" s="377">
        <v>6.63</v>
      </c>
      <c r="L116" s="378">
        <v>43830.0</v>
      </c>
      <c r="M116" s="379">
        <f t="shared" si="7"/>
        <v>0.1798884234</v>
      </c>
      <c r="N116" s="380">
        <f t="shared" si="8"/>
        <v>6.496882567</v>
      </c>
      <c r="O116" s="370">
        <v>0.05</v>
      </c>
      <c r="P116" s="370"/>
      <c r="Q116" s="371"/>
      <c r="R116" s="378"/>
      <c r="S116" s="378">
        <v>43532.0</v>
      </c>
      <c r="T116" s="381" t="s">
        <v>1223</v>
      </c>
      <c r="U116" s="417" t="s">
        <v>1987</v>
      </c>
      <c r="V116" s="367"/>
      <c r="W116" s="367"/>
      <c r="X116" s="367"/>
      <c r="Y116" s="367"/>
      <c r="Z116" s="367"/>
      <c r="AA116" s="367"/>
      <c r="AB116" s="367"/>
      <c r="AC116" s="367"/>
      <c r="AD116" s="367"/>
      <c r="AE116" s="367"/>
      <c r="AF116" s="367"/>
      <c r="AG116" s="367"/>
      <c r="AH116" s="367"/>
      <c r="AI116" s="367"/>
      <c r="AJ116" s="367"/>
      <c r="AK116" s="367"/>
      <c r="AL116" s="367"/>
      <c r="AM116" s="367"/>
      <c r="AN116" s="367"/>
      <c r="AO116" s="367"/>
      <c r="AP116" s="367"/>
      <c r="AQ116" s="367"/>
      <c r="AR116" s="367"/>
      <c r="AS116" s="367"/>
      <c r="AT116" s="367"/>
      <c r="AU116" s="367"/>
      <c r="AV116" s="367"/>
      <c r="AW116" s="367"/>
      <c r="AX116" s="367"/>
      <c r="AY116" s="367"/>
      <c r="AZ116" s="367"/>
      <c r="BA116" s="367"/>
      <c r="BB116" s="367"/>
      <c r="BC116" s="367"/>
      <c r="BD116" s="367"/>
      <c r="BE116" s="367"/>
      <c r="BF116" s="367"/>
      <c r="BG116" s="367"/>
      <c r="BH116" s="367"/>
      <c r="BI116" s="367"/>
      <c r="BJ116" s="367"/>
      <c r="BK116" s="367"/>
      <c r="BL116" s="367"/>
      <c r="BM116" s="367"/>
      <c r="BN116" s="367"/>
      <c r="BO116" s="367"/>
      <c r="BP116" s="367"/>
      <c r="BQ116" s="367"/>
      <c r="BR116" s="367"/>
      <c r="BS116" s="367"/>
      <c r="BT116" s="367"/>
      <c r="BU116" s="367"/>
      <c r="BV116" s="367"/>
      <c r="BW116" s="367"/>
      <c r="BX116" s="367"/>
      <c r="BY116" s="367"/>
      <c r="BZ116" s="367"/>
      <c r="CA116" s="367"/>
      <c r="CB116" s="367"/>
      <c r="CC116" s="367"/>
      <c r="CD116" s="367"/>
      <c r="CE116" s="367"/>
      <c r="CF116" s="367"/>
      <c r="CG116" s="367"/>
      <c r="CH116" s="367"/>
      <c r="CI116" s="367"/>
      <c r="CJ116" s="367"/>
      <c r="CK116" s="367"/>
      <c r="CL116" s="367"/>
      <c r="CM116" s="367"/>
      <c r="CN116" s="367"/>
      <c r="CO116" s="367"/>
      <c r="CP116" s="367"/>
      <c r="CQ116" s="367"/>
      <c r="CR116" s="367"/>
      <c r="CS116" s="367"/>
      <c r="CT116" s="367"/>
      <c r="CU116" s="367"/>
      <c r="CV116" s="367"/>
      <c r="CW116" s="367"/>
      <c r="CX116" s="367"/>
      <c r="CY116" s="367"/>
      <c r="CZ116" s="367"/>
      <c r="DA116" s="367"/>
      <c r="DB116" s="367"/>
      <c r="DC116" s="367"/>
      <c r="DD116" s="367"/>
      <c r="DE116" s="367"/>
      <c r="DF116" s="367"/>
      <c r="DG116" s="367"/>
      <c r="DH116" s="367"/>
      <c r="DI116" s="367"/>
      <c r="DJ116" s="367"/>
      <c r="DK116" s="367"/>
      <c r="DL116" s="367"/>
      <c r="DM116" s="367"/>
      <c r="DN116" s="367"/>
      <c r="DO116" s="367"/>
      <c r="DP116" s="367"/>
      <c r="DQ116" s="367"/>
      <c r="DR116" s="367"/>
      <c r="DS116" s="367"/>
      <c r="DT116" s="367"/>
      <c r="DU116" s="367"/>
      <c r="DV116" s="367"/>
      <c r="DW116" s="367"/>
    </row>
    <row r="117" ht="15.0" customHeight="1">
      <c r="A117" s="372">
        <v>42530.0</v>
      </c>
      <c r="B117" s="384" t="s">
        <v>1989</v>
      </c>
      <c r="C117" s="384" t="s">
        <v>1411</v>
      </c>
      <c r="D117" s="384">
        <v>100.0</v>
      </c>
      <c r="E117" s="374">
        <f>IFERROR(__xludf.DUMMYFUNCTION("if(and(D117&lt;&gt;0,D117&lt;&gt;""""),D117/GOOGLEFINANCE(C117,""price"")-1,"""")"),-0.27483683828861494)</f>
        <v>-0.2748368383</v>
      </c>
      <c r="F117" s="375">
        <f>IFERROR(__xludf.DUMMYFUNCTION("GOOGLEFINANCE(C117,""price"")"),137.9)</f>
        <v>137.9</v>
      </c>
      <c r="G117" s="374">
        <f t="shared" si="6"/>
        <v>-0.2198856029</v>
      </c>
      <c r="H117" s="376"/>
      <c r="I117" s="368">
        <f t="shared" si="64"/>
        <v>107.5777754</v>
      </c>
      <c r="J117" s="377">
        <v>5.73</v>
      </c>
      <c r="K117" s="377">
        <v>5.92</v>
      </c>
      <c r="L117" s="409">
        <v>43465.0</v>
      </c>
      <c r="M117" s="379">
        <f t="shared" si="7"/>
        <v>-0.8201115762</v>
      </c>
      <c r="N117" s="380">
        <f t="shared" si="8"/>
        <v>6.075821199</v>
      </c>
      <c r="O117" s="390">
        <v>0.03</v>
      </c>
      <c r="P117" s="370"/>
      <c r="Q117" s="371"/>
      <c r="R117" s="378"/>
      <c r="S117" s="378">
        <v>43437.0</v>
      </c>
      <c r="T117" s="381" t="s">
        <v>1223</v>
      </c>
      <c r="U117" s="386" t="s">
        <v>1991</v>
      </c>
      <c r="V117" s="344"/>
      <c r="W117" s="344"/>
      <c r="X117" s="344"/>
      <c r="Y117" s="344"/>
      <c r="Z117" s="344"/>
      <c r="AA117" s="344"/>
      <c r="AB117" s="344"/>
      <c r="AC117" s="344"/>
      <c r="AD117" s="344"/>
      <c r="AE117" s="344"/>
      <c r="AF117" s="344"/>
      <c r="AG117" s="344"/>
      <c r="AH117" s="344"/>
      <c r="AI117" s="344"/>
      <c r="AJ117" s="344"/>
      <c r="AK117" s="344"/>
      <c r="AL117" s="344"/>
      <c r="AM117" s="344"/>
      <c r="AN117" s="344"/>
      <c r="AO117" s="344"/>
      <c r="AP117" s="344"/>
      <c r="AQ117" s="344"/>
      <c r="AR117" s="344"/>
      <c r="AS117" s="344"/>
      <c r="AT117" s="344"/>
      <c r="AU117" s="344"/>
      <c r="AV117" s="344"/>
      <c r="AW117" s="344"/>
      <c r="AX117" s="344"/>
      <c r="AY117" s="344"/>
      <c r="AZ117" s="344"/>
      <c r="BA117" s="344"/>
      <c r="BB117" s="344"/>
      <c r="BC117" s="344"/>
      <c r="BD117" s="344"/>
      <c r="BE117" s="344"/>
      <c r="BF117" s="344"/>
      <c r="BG117" s="344"/>
      <c r="BH117" s="344"/>
      <c r="BI117" s="344"/>
      <c r="BJ117" s="344"/>
      <c r="BK117" s="344"/>
      <c r="BL117" s="344"/>
      <c r="BM117" s="344"/>
      <c r="BN117" s="344"/>
      <c r="BO117" s="344"/>
      <c r="BP117" s="344"/>
      <c r="BQ117" s="344"/>
      <c r="BR117" s="344"/>
      <c r="BS117" s="344"/>
      <c r="BT117" s="344"/>
      <c r="BU117" s="344"/>
      <c r="BV117" s="344"/>
      <c r="BW117" s="344"/>
      <c r="BX117" s="344"/>
      <c r="BY117" s="344"/>
      <c r="BZ117" s="344"/>
      <c r="CA117" s="344"/>
      <c r="CB117" s="344"/>
      <c r="CC117" s="344"/>
      <c r="CD117" s="344"/>
      <c r="CE117" s="344"/>
      <c r="CF117" s="344"/>
      <c r="CG117" s="344"/>
      <c r="CH117" s="344"/>
      <c r="CI117" s="344"/>
      <c r="CJ117" s="344"/>
      <c r="CK117" s="344"/>
      <c r="CL117" s="344"/>
      <c r="CM117" s="344"/>
      <c r="CN117" s="344"/>
      <c r="CO117" s="344"/>
      <c r="CP117" s="344"/>
      <c r="CQ117" s="344"/>
      <c r="CR117" s="344"/>
      <c r="CS117" s="344"/>
      <c r="CT117" s="344"/>
      <c r="CU117" s="344"/>
      <c r="CV117" s="344"/>
      <c r="CW117" s="344"/>
      <c r="CX117" s="344"/>
      <c r="CY117" s="344"/>
      <c r="CZ117" s="344"/>
      <c r="DA117" s="344"/>
      <c r="DB117" s="344"/>
      <c r="DC117" s="344"/>
      <c r="DD117" s="344"/>
      <c r="DE117" s="344"/>
      <c r="DF117" s="344"/>
      <c r="DG117" s="344"/>
      <c r="DH117" s="344"/>
      <c r="DI117" s="344"/>
      <c r="DJ117" s="344"/>
      <c r="DK117" s="344"/>
      <c r="DL117" s="344"/>
      <c r="DM117" s="344"/>
      <c r="DN117" s="344"/>
      <c r="DO117" s="344"/>
      <c r="DP117" s="344"/>
      <c r="DQ117" s="344"/>
      <c r="DR117" s="344"/>
      <c r="DS117" s="344"/>
      <c r="DT117" s="344"/>
      <c r="DU117" s="344"/>
      <c r="DV117" s="344"/>
      <c r="DW117" s="344"/>
    </row>
    <row r="118" ht="15.0" customHeight="1">
      <c r="A118" s="372">
        <v>42208.0</v>
      </c>
      <c r="B118" s="384" t="s">
        <v>1994</v>
      </c>
      <c r="C118" s="384" t="s">
        <v>1995</v>
      </c>
      <c r="D118" s="384">
        <v>53.5</v>
      </c>
      <c r="E118" s="374">
        <f>IFERROR(__xludf.DUMMYFUNCTION("if(and(D118&lt;&gt;0,D118&lt;&gt;""""),D118/GOOGLEFINANCE(C118,""price"")-1,"""")"),0.19499664954210405)</f>
        <v>0.1949966495</v>
      </c>
      <c r="F118" s="375">
        <f>IFERROR(__xludf.DUMMYFUNCTION("GOOGLEFINANCE(C118,""price"")"),44.77)</f>
        <v>44.77</v>
      </c>
      <c r="G118" s="374">
        <f t="shared" si="6"/>
        <v>1.284794764</v>
      </c>
      <c r="H118" s="376"/>
      <c r="I118" s="368">
        <f t="shared" si="64"/>
        <v>102.2902616</v>
      </c>
      <c r="J118" s="385">
        <v>4.39</v>
      </c>
      <c r="K118" s="385">
        <v>4.83</v>
      </c>
      <c r="L118" s="409">
        <v>43465.0</v>
      </c>
      <c r="M118" s="379">
        <f t="shared" si="7"/>
        <v>-0.820111578</v>
      </c>
      <c r="N118" s="380">
        <f t="shared" si="8"/>
        <v>5.190849094</v>
      </c>
      <c r="O118" s="390">
        <v>0.05</v>
      </c>
      <c r="P118" s="390"/>
      <c r="Q118" s="391"/>
      <c r="R118" s="409"/>
      <c r="S118" s="409">
        <v>43267.0</v>
      </c>
      <c r="T118" s="381" t="s">
        <v>1223</v>
      </c>
      <c r="U118" s="386" t="s">
        <v>1997</v>
      </c>
      <c r="V118" s="344"/>
      <c r="W118" s="344"/>
      <c r="X118" s="344"/>
      <c r="Y118" s="344"/>
      <c r="Z118" s="344"/>
      <c r="AA118" s="344"/>
      <c r="AB118" s="344"/>
      <c r="AC118" s="344"/>
      <c r="AD118" s="344"/>
      <c r="AE118" s="344"/>
      <c r="AF118" s="344"/>
      <c r="AG118" s="344"/>
      <c r="AH118" s="344"/>
      <c r="AI118" s="344"/>
      <c r="AJ118" s="344"/>
      <c r="AK118" s="344"/>
      <c r="AL118" s="344"/>
      <c r="AM118" s="344"/>
      <c r="AN118" s="344"/>
      <c r="AO118" s="344"/>
      <c r="AP118" s="344"/>
      <c r="AQ118" s="344"/>
      <c r="AR118" s="344"/>
      <c r="AS118" s="344"/>
      <c r="AT118" s="344"/>
      <c r="AU118" s="344"/>
      <c r="AV118" s="344"/>
      <c r="AW118" s="344"/>
      <c r="AX118" s="344"/>
      <c r="AY118" s="344"/>
      <c r="AZ118" s="344"/>
      <c r="BA118" s="344"/>
      <c r="BB118" s="344"/>
      <c r="BC118" s="344"/>
      <c r="BD118" s="344"/>
      <c r="BE118" s="344"/>
      <c r="BF118" s="344"/>
      <c r="BG118" s="344"/>
      <c r="BH118" s="344"/>
      <c r="BI118" s="344"/>
      <c r="BJ118" s="344"/>
      <c r="BK118" s="344"/>
      <c r="BL118" s="344"/>
      <c r="BM118" s="344"/>
      <c r="BN118" s="344"/>
      <c r="BO118" s="344"/>
      <c r="BP118" s="344"/>
      <c r="BQ118" s="344"/>
      <c r="BR118" s="344"/>
      <c r="BS118" s="344"/>
      <c r="BT118" s="344"/>
      <c r="BU118" s="344"/>
      <c r="BV118" s="344"/>
      <c r="BW118" s="344"/>
      <c r="BX118" s="344"/>
      <c r="BY118" s="344"/>
      <c r="BZ118" s="344"/>
      <c r="CA118" s="344"/>
      <c r="CB118" s="344"/>
      <c r="CC118" s="344"/>
      <c r="CD118" s="344"/>
      <c r="CE118" s="344"/>
      <c r="CF118" s="344"/>
      <c r="CG118" s="344"/>
      <c r="CH118" s="344"/>
      <c r="CI118" s="344"/>
      <c r="CJ118" s="344"/>
      <c r="CK118" s="344"/>
      <c r="CL118" s="344"/>
      <c r="CM118" s="344"/>
      <c r="CN118" s="344"/>
      <c r="CO118" s="344"/>
      <c r="CP118" s="344"/>
      <c r="CQ118" s="344"/>
      <c r="CR118" s="344"/>
      <c r="CS118" s="344"/>
      <c r="CT118" s="344"/>
      <c r="CU118" s="344"/>
      <c r="CV118" s="344"/>
      <c r="CW118" s="344"/>
      <c r="CX118" s="344"/>
      <c r="CY118" s="344"/>
      <c r="CZ118" s="344"/>
      <c r="DA118" s="344"/>
      <c r="DB118" s="344"/>
      <c r="DC118" s="344"/>
      <c r="DD118" s="344"/>
      <c r="DE118" s="344"/>
      <c r="DF118" s="344"/>
      <c r="DG118" s="344"/>
      <c r="DH118" s="344"/>
      <c r="DI118" s="344"/>
      <c r="DJ118" s="344"/>
      <c r="DK118" s="344"/>
      <c r="DL118" s="344"/>
      <c r="DM118" s="344"/>
      <c r="DN118" s="344"/>
      <c r="DO118" s="344"/>
      <c r="DP118" s="344"/>
      <c r="DQ118" s="344"/>
      <c r="DR118" s="344"/>
      <c r="DS118" s="344"/>
      <c r="DT118" s="344"/>
      <c r="DU118" s="344"/>
      <c r="DV118" s="344"/>
      <c r="DW118" s="344"/>
    </row>
    <row r="119" ht="15.0" customHeight="1">
      <c r="A119" s="394">
        <v>40655.0</v>
      </c>
      <c r="B119" s="302" t="s">
        <v>1999</v>
      </c>
      <c r="C119" s="302" t="s">
        <v>2000</v>
      </c>
      <c r="D119" s="422"/>
      <c r="E119" s="396" t="str">
        <f>IFERROR(__xludf.DUMMYFUNCTION("if(and(D119&lt;&gt;0,D119&lt;&gt;""""),D119/GOOGLEFINANCE(C119,""price"")-1,"""")"),"")</f>
        <v/>
      </c>
      <c r="F119" s="397">
        <f>IFERROR(__xludf.DUMMYFUNCTION("GOOGLEFINANCE(C119,""price"")"),0.53)</f>
        <v>0.53</v>
      </c>
      <c r="G119" s="396" t="str">
        <f t="shared" si="6"/>
        <v/>
      </c>
      <c r="H119" s="398"/>
      <c r="I119" s="398"/>
      <c r="J119" s="403"/>
      <c r="K119" s="403"/>
      <c r="L119" s="410"/>
      <c r="M119" s="402">
        <f t="shared" si="7"/>
        <v>-119.9023034</v>
      </c>
      <c r="N119" s="403">
        <f t="shared" si="8"/>
        <v>0</v>
      </c>
      <c r="O119" s="410"/>
      <c r="P119" s="411"/>
      <c r="Q119" s="402"/>
      <c r="R119" s="412"/>
      <c r="S119" s="412"/>
      <c r="T119" s="412"/>
      <c r="U119" s="413" t="s">
        <v>2002</v>
      </c>
      <c r="V119" s="414"/>
      <c r="W119" s="414"/>
      <c r="X119" s="414"/>
      <c r="Y119" s="414"/>
      <c r="Z119" s="414"/>
      <c r="AA119" s="414"/>
      <c r="AB119" s="414"/>
      <c r="AC119" s="414"/>
      <c r="AD119" s="414"/>
      <c r="AE119" s="414"/>
      <c r="AF119" s="414"/>
      <c r="AG119" s="414"/>
      <c r="AH119" s="414"/>
      <c r="AI119" s="414"/>
      <c r="AJ119" s="414"/>
      <c r="AK119" s="414"/>
      <c r="AL119" s="414"/>
      <c r="AM119" s="414"/>
      <c r="AN119" s="414"/>
      <c r="AO119" s="414"/>
      <c r="AP119" s="414"/>
      <c r="AQ119" s="414"/>
      <c r="AR119" s="414"/>
      <c r="AS119" s="414"/>
      <c r="AT119" s="414"/>
      <c r="AU119" s="414"/>
      <c r="AV119" s="414"/>
      <c r="AW119" s="414"/>
      <c r="AX119" s="414"/>
      <c r="AY119" s="414"/>
      <c r="AZ119" s="414"/>
      <c r="BA119" s="414"/>
      <c r="BB119" s="414"/>
      <c r="BC119" s="414"/>
      <c r="BD119" s="414"/>
      <c r="BE119" s="414"/>
      <c r="BF119" s="414"/>
      <c r="BG119" s="414"/>
      <c r="BH119" s="414"/>
      <c r="BI119" s="414"/>
      <c r="BJ119" s="414"/>
      <c r="BK119" s="414"/>
      <c r="BL119" s="414"/>
      <c r="BM119" s="414"/>
      <c r="BN119" s="414"/>
      <c r="BO119" s="414"/>
      <c r="BP119" s="414"/>
      <c r="BQ119" s="414"/>
      <c r="BR119" s="414"/>
      <c r="BS119" s="414"/>
      <c r="BT119" s="414"/>
      <c r="BU119" s="414"/>
      <c r="BV119" s="414"/>
      <c r="BW119" s="414"/>
      <c r="BX119" s="414"/>
      <c r="BY119" s="414"/>
      <c r="BZ119" s="414"/>
      <c r="CA119" s="414"/>
      <c r="CB119" s="414"/>
      <c r="CC119" s="414"/>
      <c r="CD119" s="414"/>
      <c r="CE119" s="414"/>
      <c r="CF119" s="414"/>
      <c r="CG119" s="414"/>
      <c r="CH119" s="414"/>
      <c r="CI119" s="414"/>
      <c r="CJ119" s="414"/>
      <c r="CK119" s="414"/>
      <c r="CL119" s="414"/>
      <c r="CM119" s="414"/>
      <c r="CN119" s="414"/>
      <c r="CO119" s="414"/>
      <c r="CP119" s="414"/>
      <c r="CQ119" s="414"/>
      <c r="CR119" s="414"/>
      <c r="CS119" s="414"/>
      <c r="CT119" s="414"/>
      <c r="CU119" s="414"/>
      <c r="CV119" s="414"/>
      <c r="CW119" s="414"/>
      <c r="CX119" s="414"/>
      <c r="CY119" s="414"/>
      <c r="CZ119" s="414"/>
      <c r="DA119" s="414"/>
      <c r="DB119" s="414"/>
      <c r="DC119" s="414"/>
      <c r="DD119" s="414"/>
      <c r="DE119" s="414"/>
      <c r="DF119" s="414"/>
      <c r="DG119" s="414"/>
      <c r="DH119" s="414"/>
      <c r="DI119" s="414"/>
      <c r="DJ119" s="414"/>
      <c r="DK119" s="414"/>
      <c r="DL119" s="414"/>
      <c r="DM119" s="414"/>
      <c r="DN119" s="414"/>
      <c r="DO119" s="414"/>
      <c r="DP119" s="414"/>
      <c r="DQ119" s="414"/>
      <c r="DR119" s="414"/>
      <c r="DS119" s="414"/>
      <c r="DT119" s="414"/>
      <c r="DU119" s="414"/>
      <c r="DV119" s="414"/>
      <c r="DW119" s="414"/>
    </row>
    <row r="120" ht="15.0" customHeight="1">
      <c r="A120" s="372">
        <v>42315.0</v>
      </c>
      <c r="B120" s="384" t="s">
        <v>2004</v>
      </c>
      <c r="C120" s="384" t="s">
        <v>2005</v>
      </c>
      <c r="D120" s="384"/>
      <c r="E120" s="374" t="str">
        <f>IFERROR(__xludf.DUMMYFUNCTION("if(and(D120&lt;&gt;0,D120&lt;&gt;""""),D120/GOOGLEFINANCE(C120,""price"")-1,"""")"),"")</f>
        <v/>
      </c>
      <c r="F120" s="375">
        <f>IFERROR(__xludf.DUMMYFUNCTION("GOOGLEFINANCE(C120,""price"")"),20.26)</f>
        <v>20.26</v>
      </c>
      <c r="G120" s="374">
        <f t="shared" si="6"/>
        <v>-0.07344230881</v>
      </c>
      <c r="H120" s="376"/>
      <c r="I120" s="368">
        <f>0.69*($I$1+12.5)</f>
        <v>18.77205882</v>
      </c>
      <c r="J120" s="380"/>
      <c r="K120" s="380"/>
      <c r="L120" s="389"/>
      <c r="M120" s="379">
        <f t="shared" si="7"/>
        <v>-119.9023034</v>
      </c>
      <c r="N120" s="380">
        <f t="shared" si="8"/>
        <v>0</v>
      </c>
      <c r="O120" s="389"/>
      <c r="P120" s="390"/>
      <c r="Q120" s="391"/>
      <c r="R120" s="387"/>
      <c r="S120" s="387"/>
      <c r="T120" s="387"/>
      <c r="U120" s="386" t="s">
        <v>2010</v>
      </c>
      <c r="V120" s="344"/>
      <c r="W120" s="344"/>
      <c r="X120" s="344"/>
      <c r="Y120" s="344"/>
      <c r="Z120" s="344"/>
      <c r="AA120" s="344"/>
      <c r="AB120" s="344"/>
      <c r="AC120" s="344"/>
      <c r="AD120" s="344"/>
      <c r="AE120" s="344"/>
      <c r="AF120" s="344"/>
      <c r="AG120" s="344"/>
      <c r="AH120" s="344"/>
      <c r="AI120" s="344"/>
      <c r="AJ120" s="344"/>
      <c r="AK120" s="344"/>
      <c r="AL120" s="344"/>
      <c r="AM120" s="344"/>
      <c r="AN120" s="344"/>
      <c r="AO120" s="344"/>
      <c r="AP120" s="344"/>
      <c r="AQ120" s="344"/>
      <c r="AR120" s="344"/>
      <c r="AS120" s="344"/>
      <c r="AT120" s="344"/>
      <c r="AU120" s="344"/>
      <c r="AV120" s="344"/>
      <c r="AW120" s="344"/>
      <c r="AX120" s="344"/>
      <c r="AY120" s="344"/>
      <c r="AZ120" s="344"/>
      <c r="BA120" s="344"/>
      <c r="BB120" s="344"/>
      <c r="BC120" s="344"/>
      <c r="BD120" s="344"/>
      <c r="BE120" s="344"/>
      <c r="BF120" s="344"/>
      <c r="BG120" s="344"/>
      <c r="BH120" s="344"/>
      <c r="BI120" s="344"/>
      <c r="BJ120" s="344"/>
      <c r="BK120" s="344"/>
      <c r="BL120" s="344"/>
      <c r="BM120" s="344"/>
      <c r="BN120" s="344"/>
      <c r="BO120" s="344"/>
      <c r="BP120" s="344"/>
      <c r="BQ120" s="344"/>
      <c r="BR120" s="344"/>
      <c r="BS120" s="344"/>
      <c r="BT120" s="344"/>
      <c r="BU120" s="344"/>
      <c r="BV120" s="344"/>
      <c r="BW120" s="344"/>
      <c r="BX120" s="344"/>
      <c r="BY120" s="344"/>
      <c r="BZ120" s="344"/>
      <c r="CA120" s="344"/>
      <c r="CB120" s="344"/>
      <c r="CC120" s="344"/>
      <c r="CD120" s="344"/>
      <c r="CE120" s="344"/>
      <c r="CF120" s="344"/>
      <c r="CG120" s="344"/>
      <c r="CH120" s="344"/>
      <c r="CI120" s="344"/>
      <c r="CJ120" s="344"/>
      <c r="CK120" s="344"/>
      <c r="CL120" s="344"/>
      <c r="CM120" s="344"/>
      <c r="CN120" s="344"/>
      <c r="CO120" s="344"/>
      <c r="CP120" s="344"/>
      <c r="CQ120" s="344"/>
      <c r="CR120" s="344"/>
      <c r="CS120" s="344"/>
      <c r="CT120" s="344"/>
      <c r="CU120" s="344"/>
      <c r="CV120" s="344"/>
      <c r="CW120" s="344"/>
      <c r="CX120" s="344"/>
      <c r="CY120" s="344"/>
      <c r="CZ120" s="344"/>
      <c r="DA120" s="344"/>
      <c r="DB120" s="344"/>
      <c r="DC120" s="344"/>
      <c r="DD120" s="344"/>
      <c r="DE120" s="344"/>
      <c r="DF120" s="344"/>
      <c r="DG120" s="344"/>
      <c r="DH120" s="344"/>
      <c r="DI120" s="344"/>
      <c r="DJ120" s="344"/>
      <c r="DK120" s="344"/>
      <c r="DL120" s="344"/>
      <c r="DM120" s="344"/>
      <c r="DN120" s="344"/>
      <c r="DO120" s="344"/>
      <c r="DP120" s="344"/>
      <c r="DQ120" s="344"/>
      <c r="DR120" s="344"/>
      <c r="DS120" s="344"/>
      <c r="DT120" s="344"/>
      <c r="DU120" s="344"/>
      <c r="DV120" s="344"/>
      <c r="DW120" s="344"/>
    </row>
    <row r="121" ht="15.0" customHeight="1">
      <c r="A121" s="372">
        <v>43438.0</v>
      </c>
      <c r="B121" s="384" t="s">
        <v>2013</v>
      </c>
      <c r="C121" s="384" t="s">
        <v>2014</v>
      </c>
      <c r="D121" s="384"/>
      <c r="E121" s="374" t="str">
        <f>IFERROR(__xludf.DUMMYFUNCTION("if(and(D121&lt;&gt;0,D121&lt;&gt;""""),D121/GOOGLEFINANCE(C121,""price"")-1,"""")"),"")</f>
        <v/>
      </c>
      <c r="F121" s="375">
        <f>IFERROR(__xludf.DUMMYFUNCTION("GOOGLEFINANCE(C121,""price"")"),26.87)</f>
        <v>26.87</v>
      </c>
      <c r="G121" s="374">
        <f t="shared" si="6"/>
        <v>-0.2500527956</v>
      </c>
      <c r="H121" s="376"/>
      <c r="I121" s="368">
        <f t="shared" ref="I121:I122" si="65">(N121)*($I$1+O121*100)</f>
        <v>20.15108138</v>
      </c>
      <c r="J121" s="385">
        <v>1.15</v>
      </c>
      <c r="K121" s="385">
        <v>1.08</v>
      </c>
      <c r="L121" s="409">
        <v>43465.0</v>
      </c>
      <c r="M121" s="379">
        <f t="shared" si="7"/>
        <v>-0.820111578</v>
      </c>
      <c r="N121" s="380">
        <f t="shared" si="8"/>
        <v>1.02259219</v>
      </c>
      <c r="O121" s="370">
        <v>0.05</v>
      </c>
      <c r="P121" s="370"/>
      <c r="Q121" s="371"/>
      <c r="R121" s="378"/>
      <c r="S121" s="378">
        <v>43471.0</v>
      </c>
      <c r="T121" s="381" t="s">
        <v>1223</v>
      </c>
      <c r="U121" s="386" t="s">
        <v>2018</v>
      </c>
      <c r="V121" s="344"/>
      <c r="W121" s="344"/>
      <c r="X121" s="344"/>
      <c r="Y121" s="344"/>
      <c r="Z121" s="344"/>
      <c r="AA121" s="344"/>
      <c r="AB121" s="344"/>
      <c r="AC121" s="344"/>
      <c r="AD121" s="344"/>
      <c r="AE121" s="344"/>
      <c r="AF121" s="344"/>
      <c r="AG121" s="344"/>
      <c r="AH121" s="344"/>
      <c r="AI121" s="344"/>
      <c r="AJ121" s="344"/>
      <c r="AK121" s="344"/>
      <c r="AL121" s="344"/>
      <c r="AM121" s="344"/>
      <c r="AN121" s="344"/>
      <c r="AO121" s="344"/>
      <c r="AP121" s="344"/>
      <c r="AQ121" s="344"/>
      <c r="AR121" s="344"/>
      <c r="AS121" s="344"/>
      <c r="AT121" s="344"/>
      <c r="AU121" s="344"/>
      <c r="AV121" s="344"/>
      <c r="AW121" s="344"/>
      <c r="AX121" s="344"/>
      <c r="AY121" s="344"/>
      <c r="AZ121" s="344"/>
      <c r="BA121" s="344"/>
      <c r="BB121" s="344"/>
      <c r="BC121" s="344"/>
      <c r="BD121" s="344"/>
      <c r="BE121" s="344"/>
      <c r="BF121" s="344"/>
      <c r="BG121" s="344"/>
      <c r="BH121" s="344"/>
      <c r="BI121" s="344"/>
      <c r="BJ121" s="344"/>
      <c r="BK121" s="344"/>
      <c r="BL121" s="344"/>
      <c r="BM121" s="344"/>
      <c r="BN121" s="344"/>
      <c r="BO121" s="344"/>
      <c r="BP121" s="344"/>
      <c r="BQ121" s="344"/>
      <c r="BR121" s="344"/>
      <c r="BS121" s="344"/>
      <c r="BT121" s="344"/>
      <c r="BU121" s="344"/>
      <c r="BV121" s="344"/>
      <c r="BW121" s="344"/>
      <c r="BX121" s="344"/>
      <c r="BY121" s="344"/>
      <c r="BZ121" s="344"/>
      <c r="CA121" s="344"/>
      <c r="CB121" s="344"/>
      <c r="CC121" s="344"/>
      <c r="CD121" s="344"/>
      <c r="CE121" s="344"/>
      <c r="CF121" s="344"/>
      <c r="CG121" s="344"/>
      <c r="CH121" s="344"/>
      <c r="CI121" s="344"/>
      <c r="CJ121" s="344"/>
      <c r="CK121" s="344"/>
      <c r="CL121" s="344"/>
      <c r="CM121" s="344"/>
      <c r="CN121" s="344"/>
      <c r="CO121" s="344"/>
      <c r="CP121" s="344"/>
      <c r="CQ121" s="344"/>
      <c r="CR121" s="344"/>
      <c r="CS121" s="344"/>
      <c r="CT121" s="344"/>
      <c r="CU121" s="344"/>
      <c r="CV121" s="344"/>
      <c r="CW121" s="344"/>
      <c r="CX121" s="344"/>
      <c r="CY121" s="344"/>
      <c r="CZ121" s="344"/>
      <c r="DA121" s="344"/>
      <c r="DB121" s="344"/>
      <c r="DC121" s="344"/>
      <c r="DD121" s="344"/>
      <c r="DE121" s="344"/>
      <c r="DF121" s="344"/>
      <c r="DG121" s="344"/>
      <c r="DH121" s="344"/>
      <c r="DI121" s="344"/>
      <c r="DJ121" s="344"/>
      <c r="DK121" s="344"/>
      <c r="DL121" s="344"/>
      <c r="DM121" s="344"/>
      <c r="DN121" s="344"/>
      <c r="DO121" s="344"/>
      <c r="DP121" s="344"/>
      <c r="DQ121" s="344"/>
      <c r="DR121" s="344"/>
      <c r="DS121" s="344"/>
      <c r="DT121" s="344"/>
      <c r="DU121" s="344"/>
      <c r="DV121" s="344"/>
      <c r="DW121" s="344"/>
    </row>
    <row r="122" ht="15.0" customHeight="1">
      <c r="A122" s="372">
        <v>42555.0</v>
      </c>
      <c r="B122" s="384" t="s">
        <v>2020</v>
      </c>
      <c r="C122" s="384" t="s">
        <v>2021</v>
      </c>
      <c r="D122" s="373">
        <v>55.0</v>
      </c>
      <c r="E122" s="374" t="str">
        <f>IFERROR(__xludf.DUMMYFUNCTION("if(and(D122&lt;&gt;0,D122&lt;&gt;""""),D122/GOOGLEFINANCE(C122,""price"")-1,"""")"),"#N/A")</f>
        <v>#N/A</v>
      </c>
      <c r="F122" s="375" t="str">
        <f>IFERROR(__xludf.DUMMYFUNCTION("GOOGLEFINANCE(C122,""price"")"),"#N/A")</f>
        <v>#N/A</v>
      </c>
      <c r="G122" s="374" t="str">
        <f t="shared" si="6"/>
        <v>#N/A</v>
      </c>
      <c r="H122" s="376"/>
      <c r="I122" s="368">
        <f t="shared" si="65"/>
        <v>43.61160414</v>
      </c>
      <c r="J122" s="385">
        <v>1.9</v>
      </c>
      <c r="K122" s="385">
        <v>1.96</v>
      </c>
      <c r="L122" s="409">
        <v>43465.0</v>
      </c>
      <c r="M122" s="379">
        <f t="shared" si="7"/>
        <v>-0.820111578</v>
      </c>
      <c r="N122" s="380">
        <f t="shared" si="8"/>
        <v>2.009206695</v>
      </c>
      <c r="O122" s="370">
        <v>0.07</v>
      </c>
      <c r="P122" s="370"/>
      <c r="Q122" s="371"/>
      <c r="R122" s="378"/>
      <c r="S122" s="378">
        <v>43483.0</v>
      </c>
      <c r="T122" s="381" t="s">
        <v>1608</v>
      </c>
      <c r="U122" s="386" t="s">
        <v>2023</v>
      </c>
      <c r="V122" s="344"/>
      <c r="W122" s="344"/>
      <c r="X122" s="344"/>
      <c r="Y122" s="344"/>
      <c r="Z122" s="344"/>
      <c r="AA122" s="344"/>
      <c r="AB122" s="344"/>
      <c r="AC122" s="344"/>
      <c r="AD122" s="344"/>
      <c r="AE122" s="344"/>
      <c r="AF122" s="344"/>
      <c r="AG122" s="344"/>
      <c r="AH122" s="344"/>
      <c r="AI122" s="344"/>
      <c r="AJ122" s="344"/>
      <c r="AK122" s="344"/>
      <c r="AL122" s="344"/>
      <c r="AM122" s="344"/>
      <c r="AN122" s="344"/>
      <c r="AO122" s="344"/>
      <c r="AP122" s="344"/>
      <c r="AQ122" s="344"/>
      <c r="AR122" s="344"/>
      <c r="AS122" s="344"/>
      <c r="AT122" s="344"/>
      <c r="AU122" s="344"/>
      <c r="AV122" s="344"/>
      <c r="AW122" s="344"/>
      <c r="AX122" s="344"/>
      <c r="AY122" s="344"/>
      <c r="AZ122" s="344"/>
      <c r="BA122" s="344"/>
      <c r="BB122" s="344"/>
      <c r="BC122" s="344"/>
      <c r="BD122" s="344"/>
      <c r="BE122" s="344"/>
      <c r="BF122" s="344"/>
      <c r="BG122" s="344"/>
      <c r="BH122" s="344"/>
      <c r="BI122" s="344"/>
      <c r="BJ122" s="344"/>
      <c r="BK122" s="344"/>
      <c r="BL122" s="344"/>
      <c r="BM122" s="344"/>
      <c r="BN122" s="344"/>
      <c r="BO122" s="344"/>
      <c r="BP122" s="344"/>
      <c r="BQ122" s="344"/>
      <c r="BR122" s="344"/>
      <c r="BS122" s="344"/>
      <c r="BT122" s="344"/>
      <c r="BU122" s="344"/>
      <c r="BV122" s="344"/>
      <c r="BW122" s="344"/>
      <c r="BX122" s="344"/>
      <c r="BY122" s="344"/>
      <c r="BZ122" s="344"/>
      <c r="CA122" s="344"/>
      <c r="CB122" s="344"/>
      <c r="CC122" s="344"/>
      <c r="CD122" s="344"/>
      <c r="CE122" s="344"/>
      <c r="CF122" s="344"/>
      <c r="CG122" s="344"/>
      <c r="CH122" s="344"/>
      <c r="CI122" s="344"/>
      <c r="CJ122" s="344"/>
      <c r="CK122" s="344"/>
      <c r="CL122" s="344"/>
      <c r="CM122" s="344"/>
      <c r="CN122" s="344"/>
      <c r="CO122" s="344"/>
      <c r="CP122" s="344"/>
      <c r="CQ122" s="344"/>
      <c r="CR122" s="344"/>
      <c r="CS122" s="344"/>
      <c r="CT122" s="344"/>
      <c r="CU122" s="344"/>
      <c r="CV122" s="344"/>
      <c r="CW122" s="344"/>
      <c r="CX122" s="344"/>
      <c r="CY122" s="344"/>
      <c r="CZ122" s="344"/>
      <c r="DA122" s="344"/>
      <c r="DB122" s="344"/>
      <c r="DC122" s="344"/>
      <c r="DD122" s="344"/>
      <c r="DE122" s="344"/>
      <c r="DF122" s="344"/>
      <c r="DG122" s="344"/>
      <c r="DH122" s="344"/>
      <c r="DI122" s="344"/>
      <c r="DJ122" s="344"/>
      <c r="DK122" s="344"/>
      <c r="DL122" s="344"/>
      <c r="DM122" s="344"/>
      <c r="DN122" s="344"/>
      <c r="DO122" s="344"/>
      <c r="DP122" s="344"/>
      <c r="DQ122" s="344"/>
      <c r="DR122" s="344"/>
      <c r="DS122" s="344"/>
      <c r="DT122" s="344"/>
      <c r="DU122" s="344"/>
      <c r="DV122" s="344"/>
      <c r="DW122" s="344"/>
    </row>
    <row r="123" ht="15.0" customHeight="1">
      <c r="A123" s="388">
        <v>43711.0</v>
      </c>
      <c r="B123" s="373" t="s">
        <v>2025</v>
      </c>
      <c r="C123" s="373" t="s">
        <v>2026</v>
      </c>
      <c r="D123" s="373"/>
      <c r="E123" s="374" t="str">
        <f>IFERROR(__xludf.DUMMYFUNCTION("if(and(D123&lt;&gt;0,D123&lt;&gt;""""),D123/GOOGLEFINANCE(C123,""price"")-1,"""")"),"")</f>
        <v/>
      </c>
      <c r="F123" s="375">
        <f>IFERROR(__xludf.DUMMYFUNCTION("GOOGLEFINANCE(C123,""price"")"),185.66)</f>
        <v>185.66</v>
      </c>
      <c r="G123" s="374">
        <f t="shared" si="6"/>
        <v>-0.2819053922</v>
      </c>
      <c r="H123" s="376"/>
      <c r="I123" s="368">
        <f>sum(CY123:DS123)</f>
        <v>133.3214449</v>
      </c>
      <c r="J123" s="377">
        <v>6.05</v>
      </c>
      <c r="K123" s="377">
        <v>6.52</v>
      </c>
      <c r="L123" s="378">
        <v>43830.0</v>
      </c>
      <c r="M123" s="379">
        <f t="shared" si="7"/>
        <v>0.179888422</v>
      </c>
      <c r="N123" s="380">
        <f t="shared" si="8"/>
        <v>6.435452442</v>
      </c>
      <c r="O123" s="370">
        <v>0.05</v>
      </c>
      <c r="P123" s="370">
        <v>0.225</v>
      </c>
      <c r="Q123" s="371">
        <f>I123/N123</f>
        <v>20.71671667</v>
      </c>
      <c r="R123" s="381">
        <v>4.0</v>
      </c>
      <c r="S123" s="378">
        <v>43711.0</v>
      </c>
      <c r="T123" s="381" t="s">
        <v>1608</v>
      </c>
      <c r="U123" s="382" t="s">
        <v>2027</v>
      </c>
      <c r="V123" s="429">
        <f>O123</f>
        <v>0.05</v>
      </c>
      <c r="W123" s="430">
        <f>max(min(Valu!$C$15,$O123),$O123-max($O123-Valu!$C$15,0)/$R123*(W$3-1))</f>
        <v>0.045</v>
      </c>
      <c r="X123" s="430">
        <f>max(min(Valu!$C$15,$O123),$O123-max($O123-Valu!$C$15,0)/$R123*(X$3-1))</f>
        <v>0.04</v>
      </c>
      <c r="Y123" s="430">
        <f>max(min(Valu!$C$15,$O123),$O123-max($O123-Valu!$C$15,0)/$R123*(Y$3-1))</f>
        <v>0.035</v>
      </c>
      <c r="Z123" s="430">
        <f>max(min(Valu!$C$15,$O123),$O123-max($O123-Valu!$C$15,0)/$R123*(Z$3-1))</f>
        <v>0.03</v>
      </c>
      <c r="AA123" s="430">
        <f>max(min(Valu!$C$15,$O123),$O123-max($O123-Valu!$C$15,0)/$R123*(AA$3-1))</f>
        <v>0.03</v>
      </c>
      <c r="AB123" s="430">
        <f>max(min(Valu!$C$15,$O123),$O123-max($O123-Valu!$C$15,0)/$R123*(AB$3-1))</f>
        <v>0.03</v>
      </c>
      <c r="AC123" s="430">
        <f>max(min(Valu!$C$15,$O123),$O123-max($O123-Valu!$C$15,0)/$R123*(AC$3-1))</f>
        <v>0.03</v>
      </c>
      <c r="AD123" s="430">
        <f>max(min(Valu!$C$15,$O123),$O123-max($O123-Valu!$C$15,0)/$R123*(AD$3-1))</f>
        <v>0.03</v>
      </c>
      <c r="AE123" s="430">
        <f>max(min(Valu!$C$15,$O123),$O123-max($O123-Valu!$C$15,0)/$R123*(AE$3-1))</f>
        <v>0.03</v>
      </c>
      <c r="AF123" s="430">
        <f>max(min(Valu!$C$15,$O123),$O123-max($O123-Valu!$C$15,0)/$R123*(AF$3-1))</f>
        <v>0.03</v>
      </c>
      <c r="AG123" s="430">
        <f>max(min(Valu!$C$15,$O123),$O123-max($O123-Valu!$C$15,0)/$R123*(AG$3-1))</f>
        <v>0.03</v>
      </c>
      <c r="AH123" s="430">
        <f>max(min(Valu!$C$15,$O123),$O123-max($O123-Valu!$C$15,0)/$R123*(AH$3-1))</f>
        <v>0.03</v>
      </c>
      <c r="AI123" s="430">
        <f>max(min(Valu!$C$15,$O123),$O123-max($O123-Valu!$C$15,0)/$R123*(AI$3-1))</f>
        <v>0.03</v>
      </c>
      <c r="AJ123" s="430">
        <f>max(min(Valu!$C$15,$O123),$O123-max($O123-Valu!$C$15,0)/$R123*(AJ$3-1))</f>
        <v>0.03</v>
      </c>
      <c r="AK123" s="430">
        <f>max(min(Valu!$C$15,$O123),$O123-max($O123-Valu!$C$15,0)/$R123*(AK$3-1))</f>
        <v>0.03</v>
      </c>
      <c r="AL123" s="430">
        <f>max(min(Valu!$C$15,$O123),$O123-max($O123-Valu!$C$15,0)/$R123*(AL$3-1))</f>
        <v>0.03</v>
      </c>
      <c r="AM123" s="430">
        <f>max(min(Valu!$C$15,$O123),$O123-max($O123-Valu!$C$15,0)/$R123*(AM$3-1))</f>
        <v>0.03</v>
      </c>
      <c r="AN123" s="430">
        <f>max(min(Valu!$C$15,$O123),$O123-max($O123-Valu!$C$15,0)/$R123*(AN$3-1))</f>
        <v>0.03</v>
      </c>
      <c r="AO123" s="430">
        <f>max(min(Valu!$C$15,$O123),$O123-max($O123-Valu!$C$15,0)/$R123*(AO$3-1))</f>
        <v>0.03</v>
      </c>
      <c r="AP123" s="430">
        <f>max(min(Valu!$C$14,$P123),$P123-max($P123-Valu!$C$14,0)/$R123*(AP$3-1))</f>
        <v>0.225</v>
      </c>
      <c r="AQ123" s="430">
        <f>max(min(Valu!$C$14,$P123),$P123-max($P123-Valu!$C$14,0)/$R123*(AQ$3-1))</f>
        <v>0.19875</v>
      </c>
      <c r="AR123" s="430">
        <f>max(min(Valu!$C$14,$P123),$P123-max($P123-Valu!$C$14,0)/$R123*(AR$3-1))</f>
        <v>0.1725</v>
      </c>
      <c r="AS123" s="430">
        <f>max(min(Valu!$C$14,$P123),$P123-max($P123-Valu!$C$14,0)/$R123*(AS$3-1))</f>
        <v>0.14625</v>
      </c>
      <c r="AT123" s="430">
        <f>max(min(Valu!$C$14,$P123),$P123-max($P123-Valu!$C$14,0)/$R123*(AT$3-1))</f>
        <v>0.12</v>
      </c>
      <c r="AU123" s="430">
        <f>max(min(Valu!$C$14,$P123),$P123-max($P123-Valu!$C$14,0)/$R123*(AU$3-1))</f>
        <v>0.12</v>
      </c>
      <c r="AV123" s="430">
        <f>max(min(Valu!$C$14,$P123),$P123-max($P123-Valu!$C$14,0)/$R123*(AV$3-1))</f>
        <v>0.12</v>
      </c>
      <c r="AW123" s="430">
        <f>max(min(Valu!$C$14,$P123),$P123-max($P123-Valu!$C$14,0)/$R123*(AW$3-1))</f>
        <v>0.12</v>
      </c>
      <c r="AX123" s="430">
        <f>max(min(Valu!$C$14,$P123),$P123-max($P123-Valu!$C$14,0)/$R123*(AX$3-1))</f>
        <v>0.12</v>
      </c>
      <c r="AY123" s="430">
        <f>max(min(Valu!$C$14,$P123),$P123-max($P123-Valu!$C$14,0)/$R123*(AY$3-1))</f>
        <v>0.12</v>
      </c>
      <c r="AZ123" s="430">
        <f>max(min(Valu!$C$14,$P123),$P123-max($P123-Valu!$C$14,0)/$R123*(AZ$3-1))</f>
        <v>0.12</v>
      </c>
      <c r="BA123" s="430">
        <f>max(min(Valu!$C$14,$P123),$P123-max($P123-Valu!$C$14,0)/$R123*(BA$3-1))</f>
        <v>0.12</v>
      </c>
      <c r="BB123" s="430">
        <f>max(min(Valu!$C$14,$P123),$P123-max($P123-Valu!$C$14,0)/$R123*(BB$3-1))</f>
        <v>0.12</v>
      </c>
      <c r="BC123" s="430">
        <f>max(min(Valu!$C$14,$P123),$P123-max($P123-Valu!$C$14,0)/$R123*(BC$3-1))</f>
        <v>0.12</v>
      </c>
      <c r="BD123" s="430">
        <f>max(min(Valu!$C$14,$P123),$P123-max($P123-Valu!$C$14,0)/$R123*(BD$3-1))</f>
        <v>0.12</v>
      </c>
      <c r="BE123" s="430">
        <f>max(min(Valu!$C$14,$P123),$P123-max($P123-Valu!$C$14,0)/$R123*(BE$3-1))</f>
        <v>0.12</v>
      </c>
      <c r="BF123" s="430">
        <f>max(min(Valu!$C$14,$P123),$P123-max($P123-Valu!$C$14,0)/$R123*(BF$3-1))</f>
        <v>0.12</v>
      </c>
      <c r="BG123" s="430">
        <f>max(min(Valu!$C$14,$P123),$P123-max($P123-Valu!$C$14,0)/$R123*(BG$3-1))</f>
        <v>0.12</v>
      </c>
      <c r="BH123" s="430">
        <f>max(min(Valu!$C$14,$P123),$P123-max($P123-Valu!$C$14,0)/$R123*(BH$3-1))</f>
        <v>0.12</v>
      </c>
      <c r="BI123" s="430">
        <f>max(min(Valu!$C$14,$P123),$P123-max($P123-Valu!$C$14,0)/$R123*(BI$3-1))</f>
        <v>0.12</v>
      </c>
      <c r="BJ123" s="431">
        <f>N123</f>
        <v>6.435452442</v>
      </c>
      <c r="BK123" s="432">
        <f>$BJ123*(1+V123)</f>
        <v>6.757225064</v>
      </c>
      <c r="BL123" s="432">
        <f t="shared" ref="BL123:CC123" si="66">BK123*(1+W123)</f>
        <v>7.061300192</v>
      </c>
      <c r="BM123" s="432">
        <f t="shared" si="66"/>
        <v>7.343752199</v>
      </c>
      <c r="BN123" s="432">
        <f t="shared" si="66"/>
        <v>7.600783526</v>
      </c>
      <c r="BO123" s="432">
        <f t="shared" si="66"/>
        <v>7.828807032</v>
      </c>
      <c r="BP123" s="432">
        <f t="shared" si="66"/>
        <v>8.063671243</v>
      </c>
      <c r="BQ123" s="432">
        <f t="shared" si="66"/>
        <v>8.30558138</v>
      </c>
      <c r="BR123" s="432">
        <f t="shared" si="66"/>
        <v>8.554748822</v>
      </c>
      <c r="BS123" s="432">
        <f t="shared" si="66"/>
        <v>8.811391286</v>
      </c>
      <c r="BT123" s="432">
        <f t="shared" si="66"/>
        <v>9.075733025</v>
      </c>
      <c r="BU123" s="432">
        <f t="shared" si="66"/>
        <v>9.348005016</v>
      </c>
      <c r="BV123" s="432">
        <f t="shared" si="66"/>
        <v>9.628445166</v>
      </c>
      <c r="BW123" s="432">
        <f t="shared" si="66"/>
        <v>9.917298521</v>
      </c>
      <c r="BX123" s="432">
        <f t="shared" si="66"/>
        <v>10.21481748</v>
      </c>
      <c r="BY123" s="432">
        <f t="shared" si="66"/>
        <v>10.521262</v>
      </c>
      <c r="BZ123" s="432">
        <f t="shared" si="66"/>
        <v>10.83689986</v>
      </c>
      <c r="CA123" s="432">
        <f t="shared" si="66"/>
        <v>11.16200686</v>
      </c>
      <c r="CB123" s="432">
        <f t="shared" si="66"/>
        <v>11.49686706</v>
      </c>
      <c r="CC123" s="432">
        <f t="shared" si="66"/>
        <v>11.84177307</v>
      </c>
      <c r="CD123" s="432">
        <f t="shared" ref="CD123:CW123" si="67">BJ123*(1-V123/AP123)</f>
        <v>5.005351899</v>
      </c>
      <c r="CE123" s="432">
        <f t="shared" si="67"/>
        <v>5.227287313</v>
      </c>
      <c r="CF123" s="432">
        <f t="shared" si="67"/>
        <v>5.423897249</v>
      </c>
      <c r="CG123" s="432">
        <f t="shared" si="67"/>
        <v>5.58627304</v>
      </c>
      <c r="CH123" s="432">
        <f t="shared" si="67"/>
        <v>5.700587645</v>
      </c>
      <c r="CI123" s="432">
        <f t="shared" si="67"/>
        <v>5.871605274</v>
      </c>
      <c r="CJ123" s="432">
        <f t="shared" si="67"/>
        <v>6.047753432</v>
      </c>
      <c r="CK123" s="432">
        <f t="shared" si="67"/>
        <v>6.229186035</v>
      </c>
      <c r="CL123" s="432">
        <f t="shared" si="67"/>
        <v>6.416061616</v>
      </c>
      <c r="CM123" s="432">
        <f t="shared" si="67"/>
        <v>6.608543465</v>
      </c>
      <c r="CN123" s="432">
        <f t="shared" si="67"/>
        <v>6.806799769</v>
      </c>
      <c r="CO123" s="432">
        <f t="shared" si="67"/>
        <v>7.011003762</v>
      </c>
      <c r="CP123" s="432">
        <f t="shared" si="67"/>
        <v>7.221333875</v>
      </c>
      <c r="CQ123" s="432">
        <f t="shared" si="67"/>
        <v>7.437973891</v>
      </c>
      <c r="CR123" s="432">
        <f t="shared" si="67"/>
        <v>7.661113108</v>
      </c>
      <c r="CS123" s="432">
        <f t="shared" si="67"/>
        <v>7.890946501</v>
      </c>
      <c r="CT123" s="432">
        <f t="shared" si="67"/>
        <v>8.127674896</v>
      </c>
      <c r="CU123" s="432">
        <f t="shared" si="67"/>
        <v>8.371505143</v>
      </c>
      <c r="CV123" s="432">
        <f t="shared" si="67"/>
        <v>8.622650297</v>
      </c>
      <c r="CW123" s="432">
        <f t="shared" si="67"/>
        <v>8.881329806</v>
      </c>
      <c r="CX123" s="432">
        <f>CW123*(1+min(Valu!$C$15,$O123))/(Valu!$C$21-min(Valu!$C$15,$O123))</f>
        <v>240.7307816</v>
      </c>
      <c r="CY123" s="432">
        <f>CD123/(1+Valu!$C$21)^CY$3</f>
        <v>4.686659082</v>
      </c>
      <c r="CZ123" s="432">
        <f>CE123/(1+Valu!$C$21)^CZ$3</f>
        <v>4.582831252</v>
      </c>
      <c r="DA123" s="432">
        <f>CF123/(1+Valu!$C$21)^DA$3</f>
        <v>4.452436102</v>
      </c>
      <c r="DB123" s="432">
        <f>CG123/(1+Valu!$C$21)^DB$3</f>
        <v>4.293753893</v>
      </c>
      <c r="DC123" s="432">
        <f>CH123/(1+Valu!$C$21)^DC$3</f>
        <v>4.102639563</v>
      </c>
      <c r="DD123" s="432">
        <f>CI123/(1+Valu!$C$21)^DD$3</f>
        <v>3.956665496</v>
      </c>
      <c r="DE123" s="432">
        <f>CJ123/(1+Valu!$C$21)^DE$3</f>
        <v>3.815885263</v>
      </c>
      <c r="DF123" s="432">
        <f>CK123/(1+Valu!$C$21)^DF$3</f>
        <v>3.680114065</v>
      </c>
      <c r="DG123" s="432">
        <f>CL123/(1+Valu!$C$21)^DG$3</f>
        <v>3.549173677</v>
      </c>
      <c r="DH123" s="432">
        <f>CM123/(1+Valu!$C$21)^DH$3</f>
        <v>3.422892216</v>
      </c>
      <c r="DI123" s="432">
        <f>CN123/(1+Valu!$C$21)^DI$3</f>
        <v>3.301103916</v>
      </c>
      <c r="DJ123" s="432">
        <f>CO123/(1+Valu!$C$21)^DJ$3</f>
        <v>3.183648908</v>
      </c>
      <c r="DK123" s="432">
        <f>CP123/(1+Valu!$C$21)^DK$3</f>
        <v>3.070373011</v>
      </c>
      <c r="DL123" s="432">
        <f>CQ123/(1+Valu!$C$21)^DL$3</f>
        <v>2.961127529</v>
      </c>
      <c r="DM123" s="432">
        <f>CR123/(1+Valu!$C$21)^DM$3</f>
        <v>2.855769059</v>
      </c>
      <c r="DN123" s="432">
        <f>CS123/(1+Valu!$C$21)^DN$3</f>
        <v>2.754159298</v>
      </c>
      <c r="DO123" s="432">
        <f>CT123/(1+Valu!$C$21)^DO$3</f>
        <v>2.656164866</v>
      </c>
      <c r="DP123" s="432">
        <f>CU123/(1+Valu!$C$21)^DP$3</f>
        <v>2.561657128</v>
      </c>
      <c r="DQ123" s="432">
        <f>CV123/(1+Valu!$C$21)^DQ$3</f>
        <v>2.470512024</v>
      </c>
      <c r="DR123" s="432">
        <f>CW123/(1+Valu!$C$21)^DR$3</f>
        <v>2.382609911</v>
      </c>
      <c r="DS123" s="432">
        <f>CX123/(1+Valu!$C$21)^DS$3</f>
        <v>64.58126863</v>
      </c>
      <c r="DT123" s="344"/>
      <c r="DU123" s="344"/>
      <c r="DV123" s="344"/>
      <c r="DW123" s="344"/>
    </row>
    <row r="124" ht="15.0" customHeight="1">
      <c r="A124" s="456">
        <v>41386.0</v>
      </c>
      <c r="B124" s="457" t="s">
        <v>2078</v>
      </c>
      <c r="C124" s="457" t="s">
        <v>2079</v>
      </c>
      <c r="D124" s="458"/>
      <c r="E124" s="460" t="str">
        <f>IFERROR(__xludf.DUMMYFUNCTION("if(and(D124&lt;&gt;0,D124&lt;&gt;""""),D124/GOOGLEFINANCE(C124,""price"")-1,"""")"),"")</f>
        <v/>
      </c>
      <c r="F124" s="462">
        <f>IFERROR(__xludf.DUMMYFUNCTION("GOOGLEFINANCE(C124,""price"")"),194.33)</f>
        <v>194.33</v>
      </c>
      <c r="G124" s="460" t="str">
        <f t="shared" si="6"/>
        <v/>
      </c>
      <c r="H124" s="463"/>
      <c r="I124" s="463"/>
      <c r="J124" s="466"/>
      <c r="K124" s="466"/>
      <c r="L124" s="467"/>
      <c r="M124" s="469">
        <f t="shared" si="7"/>
        <v>-119.9023034</v>
      </c>
      <c r="N124" s="466">
        <f t="shared" si="8"/>
        <v>0</v>
      </c>
      <c r="O124" s="467"/>
      <c r="P124" s="471"/>
      <c r="Q124" s="469"/>
      <c r="R124" s="472"/>
      <c r="S124" s="472"/>
      <c r="T124" s="472"/>
      <c r="U124" s="473" t="s">
        <v>2080</v>
      </c>
      <c r="V124" s="319"/>
      <c r="W124" s="319"/>
      <c r="X124" s="319"/>
      <c r="Y124" s="319"/>
      <c r="Z124" s="319"/>
      <c r="AA124" s="319"/>
      <c r="AB124" s="319"/>
      <c r="AC124" s="319"/>
      <c r="AD124" s="319"/>
      <c r="AE124" s="319"/>
      <c r="AF124" s="319"/>
      <c r="AG124" s="319"/>
      <c r="AH124" s="319"/>
      <c r="AI124" s="319"/>
      <c r="AJ124" s="319"/>
      <c r="AK124" s="319"/>
      <c r="AL124" s="319"/>
      <c r="AM124" s="319"/>
      <c r="AN124" s="319"/>
      <c r="AO124" s="319"/>
      <c r="AP124" s="319"/>
      <c r="AQ124" s="319"/>
      <c r="AR124" s="319"/>
      <c r="AS124" s="319"/>
      <c r="AT124" s="319"/>
      <c r="AU124" s="319"/>
      <c r="AV124" s="319"/>
      <c r="AW124" s="319"/>
      <c r="AX124" s="319"/>
      <c r="AY124" s="319"/>
      <c r="AZ124" s="319"/>
      <c r="BA124" s="319"/>
      <c r="BB124" s="319"/>
      <c r="BC124" s="319"/>
      <c r="BD124" s="319"/>
      <c r="BE124" s="319"/>
      <c r="BF124" s="319"/>
      <c r="BG124" s="319"/>
      <c r="BH124" s="319"/>
      <c r="BI124" s="319"/>
      <c r="BJ124" s="319"/>
      <c r="BK124" s="319"/>
      <c r="BL124" s="319"/>
      <c r="BM124" s="319"/>
      <c r="BN124" s="319"/>
      <c r="BO124" s="319"/>
      <c r="BP124" s="319"/>
      <c r="BQ124" s="319"/>
      <c r="BR124" s="319"/>
      <c r="BS124" s="319"/>
      <c r="BT124" s="319"/>
      <c r="BU124" s="319"/>
      <c r="BV124" s="319"/>
      <c r="BW124" s="319"/>
      <c r="BX124" s="319"/>
      <c r="BY124" s="319"/>
      <c r="BZ124" s="319"/>
      <c r="CA124" s="319"/>
      <c r="CB124" s="319"/>
      <c r="CC124" s="319"/>
      <c r="CD124" s="319"/>
      <c r="CE124" s="319"/>
      <c r="CF124" s="319"/>
      <c r="CG124" s="319"/>
      <c r="CH124" s="319"/>
      <c r="CI124" s="319"/>
      <c r="CJ124" s="319"/>
      <c r="CK124" s="319"/>
      <c r="CL124" s="319"/>
      <c r="CM124" s="319"/>
      <c r="CN124" s="319"/>
      <c r="CO124" s="319"/>
      <c r="CP124" s="319"/>
      <c r="CQ124" s="319"/>
      <c r="CR124" s="319"/>
      <c r="CS124" s="319"/>
      <c r="CT124" s="319"/>
      <c r="CU124" s="319"/>
      <c r="CV124" s="319"/>
      <c r="CW124" s="319"/>
      <c r="CX124" s="319"/>
      <c r="CY124" s="319"/>
      <c r="CZ124" s="319"/>
      <c r="DA124" s="319"/>
      <c r="DB124" s="319"/>
      <c r="DC124" s="319"/>
      <c r="DD124" s="319"/>
      <c r="DE124" s="319"/>
      <c r="DF124" s="319"/>
      <c r="DG124" s="319"/>
      <c r="DH124" s="319"/>
      <c r="DI124" s="319"/>
      <c r="DJ124" s="319"/>
      <c r="DK124" s="319"/>
      <c r="DL124" s="319"/>
      <c r="DM124" s="319"/>
      <c r="DN124" s="319"/>
      <c r="DO124" s="319"/>
      <c r="DP124" s="319"/>
      <c r="DQ124" s="319"/>
      <c r="DR124" s="319"/>
      <c r="DS124" s="319"/>
      <c r="DT124" s="319"/>
      <c r="DU124" s="319"/>
      <c r="DV124" s="319"/>
      <c r="DW124" s="319"/>
    </row>
    <row r="125" ht="15.0" customHeight="1">
      <c r="A125" s="366">
        <v>41623.0</v>
      </c>
      <c r="B125" s="367" t="s">
        <v>2082</v>
      </c>
      <c r="C125" s="367" t="s">
        <v>1470</v>
      </c>
      <c r="D125" s="534"/>
      <c r="E125" s="345" t="str">
        <f>IFERROR(__xludf.DUMMYFUNCTION("if(and(D125&lt;&gt;0,D125&lt;&gt;""""),D125/GOOGLEFINANCE(C125,""price"")-1,"""")"),"")</f>
        <v/>
      </c>
      <c r="F125" s="364">
        <f>IFERROR(__xludf.DUMMYFUNCTION("GOOGLEFINANCE(C125,""price"")"),70.44)</f>
        <v>70.44</v>
      </c>
      <c r="G125" s="345">
        <f t="shared" si="6"/>
        <v>0.4829287337</v>
      </c>
      <c r="H125" s="347"/>
      <c r="I125" s="347">
        <f>5.08*17.5*1.175</f>
        <v>104.4575</v>
      </c>
      <c r="J125" s="349"/>
      <c r="K125" s="349"/>
      <c r="L125" s="350"/>
      <c r="M125" s="351">
        <f t="shared" si="7"/>
        <v>-119.9023034</v>
      </c>
      <c r="N125" s="349">
        <f t="shared" si="8"/>
        <v>0</v>
      </c>
      <c r="O125" s="350"/>
      <c r="P125" s="434"/>
      <c r="Q125" s="351"/>
      <c r="R125" s="435"/>
      <c r="S125" s="435"/>
      <c r="T125" s="435"/>
      <c r="U125" s="436" t="s">
        <v>2086</v>
      </c>
      <c r="V125" s="367"/>
      <c r="W125" s="367"/>
      <c r="X125" s="367"/>
      <c r="Y125" s="367"/>
      <c r="Z125" s="367"/>
      <c r="AA125" s="367"/>
      <c r="AB125" s="367"/>
      <c r="AC125" s="367"/>
      <c r="AD125" s="367"/>
      <c r="AE125" s="367"/>
      <c r="AF125" s="367"/>
      <c r="AG125" s="367"/>
      <c r="AH125" s="367"/>
      <c r="AI125" s="367"/>
      <c r="AJ125" s="367"/>
      <c r="AK125" s="367"/>
      <c r="AL125" s="367"/>
      <c r="AM125" s="367"/>
      <c r="AN125" s="367"/>
      <c r="AO125" s="367"/>
      <c r="AP125" s="367"/>
      <c r="AQ125" s="367"/>
      <c r="AR125" s="367"/>
      <c r="AS125" s="367"/>
      <c r="AT125" s="367"/>
      <c r="AU125" s="367"/>
      <c r="AV125" s="367"/>
      <c r="AW125" s="367"/>
      <c r="AX125" s="367"/>
      <c r="AY125" s="367"/>
      <c r="AZ125" s="367"/>
      <c r="BA125" s="367"/>
      <c r="BB125" s="367"/>
      <c r="BC125" s="367"/>
      <c r="BD125" s="367"/>
      <c r="BE125" s="367"/>
      <c r="BF125" s="367"/>
      <c r="BG125" s="367"/>
      <c r="BH125" s="367"/>
      <c r="BI125" s="367"/>
      <c r="BJ125" s="367"/>
      <c r="BK125" s="367"/>
      <c r="BL125" s="367"/>
      <c r="BM125" s="367"/>
      <c r="BN125" s="367"/>
      <c r="BO125" s="367"/>
      <c r="BP125" s="367"/>
      <c r="BQ125" s="367"/>
      <c r="BR125" s="367"/>
      <c r="BS125" s="367"/>
      <c r="BT125" s="367"/>
      <c r="BU125" s="367"/>
      <c r="BV125" s="367"/>
      <c r="BW125" s="367"/>
      <c r="BX125" s="367"/>
      <c r="BY125" s="367"/>
      <c r="BZ125" s="367"/>
      <c r="CA125" s="367"/>
      <c r="CB125" s="367"/>
      <c r="CC125" s="367"/>
      <c r="CD125" s="367"/>
      <c r="CE125" s="367"/>
      <c r="CF125" s="367"/>
      <c r="CG125" s="367"/>
      <c r="CH125" s="367"/>
      <c r="CI125" s="367"/>
      <c r="CJ125" s="367"/>
      <c r="CK125" s="367"/>
      <c r="CL125" s="367"/>
      <c r="CM125" s="367"/>
      <c r="CN125" s="367"/>
      <c r="CO125" s="367"/>
      <c r="CP125" s="367"/>
      <c r="CQ125" s="367"/>
      <c r="CR125" s="367"/>
      <c r="CS125" s="367"/>
      <c r="CT125" s="367"/>
      <c r="CU125" s="367"/>
      <c r="CV125" s="367"/>
      <c r="CW125" s="367"/>
      <c r="CX125" s="367"/>
      <c r="CY125" s="367"/>
      <c r="CZ125" s="367"/>
      <c r="DA125" s="367"/>
      <c r="DB125" s="367"/>
      <c r="DC125" s="367"/>
      <c r="DD125" s="367"/>
      <c r="DE125" s="367"/>
      <c r="DF125" s="367"/>
      <c r="DG125" s="367"/>
      <c r="DH125" s="367"/>
      <c r="DI125" s="367"/>
      <c r="DJ125" s="367"/>
      <c r="DK125" s="367"/>
      <c r="DL125" s="367"/>
      <c r="DM125" s="367"/>
      <c r="DN125" s="367"/>
      <c r="DO125" s="367"/>
      <c r="DP125" s="367"/>
      <c r="DQ125" s="367"/>
      <c r="DR125" s="367"/>
      <c r="DS125" s="367"/>
      <c r="DT125" s="367"/>
      <c r="DU125" s="367"/>
      <c r="DV125" s="367"/>
      <c r="DW125" s="367"/>
    </row>
    <row r="126" ht="15.0" customHeight="1">
      <c r="A126" s="383">
        <v>40444.0</v>
      </c>
      <c r="B126" s="367" t="s">
        <v>2088</v>
      </c>
      <c r="C126" s="367" t="s">
        <v>413</v>
      </c>
      <c r="D126" s="534"/>
      <c r="E126" s="345" t="str">
        <f>IFERROR(__xludf.DUMMYFUNCTION("if(and(D126&lt;&gt;0,D126&lt;&gt;""""),D126/GOOGLEFINANCE(C126,""price"")-1,"""")"),"")</f>
        <v/>
      </c>
      <c r="F126" s="364" t="str">
        <f>IFERROR(__xludf.DUMMYFUNCTION("GOOGLEFINANCE(C126,""price"")"),"#N/A")</f>
        <v>#N/A</v>
      </c>
      <c r="G126" s="345" t="str">
        <f t="shared" si="6"/>
        <v>#N/A</v>
      </c>
      <c r="H126" s="347">
        <v>49.0</v>
      </c>
      <c r="I126" s="376">
        <f>4.3*17</f>
        <v>73.1</v>
      </c>
      <c r="J126" s="349"/>
      <c r="K126" s="349"/>
      <c r="L126" s="389"/>
      <c r="M126" s="351">
        <f t="shared" si="7"/>
        <v>-119.9023034</v>
      </c>
      <c r="N126" s="349">
        <f t="shared" si="8"/>
        <v>0</v>
      </c>
      <c r="O126" s="350"/>
      <c r="P126" s="434"/>
      <c r="Q126" s="351"/>
      <c r="R126" s="435"/>
      <c r="S126" s="435"/>
      <c r="T126" s="435"/>
      <c r="U126" s="436" t="s">
        <v>2092</v>
      </c>
      <c r="V126" s="367"/>
      <c r="W126" s="367"/>
      <c r="X126" s="367"/>
      <c r="Y126" s="367"/>
      <c r="Z126" s="367"/>
      <c r="AA126" s="367"/>
      <c r="AB126" s="367"/>
      <c r="AC126" s="367"/>
      <c r="AD126" s="367"/>
      <c r="AE126" s="367"/>
      <c r="AF126" s="367"/>
      <c r="AG126" s="367"/>
      <c r="AH126" s="367"/>
      <c r="AI126" s="367"/>
      <c r="AJ126" s="367"/>
      <c r="AK126" s="367"/>
      <c r="AL126" s="367"/>
      <c r="AM126" s="367"/>
      <c r="AN126" s="367"/>
      <c r="AO126" s="367"/>
      <c r="AP126" s="367"/>
      <c r="AQ126" s="367"/>
      <c r="AR126" s="367"/>
      <c r="AS126" s="367"/>
      <c r="AT126" s="367"/>
      <c r="AU126" s="367"/>
      <c r="AV126" s="367"/>
      <c r="AW126" s="367"/>
      <c r="AX126" s="367"/>
      <c r="AY126" s="367"/>
      <c r="AZ126" s="367"/>
      <c r="BA126" s="367"/>
      <c r="BB126" s="367"/>
      <c r="BC126" s="367"/>
      <c r="BD126" s="367"/>
      <c r="BE126" s="367"/>
      <c r="BF126" s="367"/>
      <c r="BG126" s="367"/>
      <c r="BH126" s="367"/>
      <c r="BI126" s="367"/>
      <c r="BJ126" s="367"/>
      <c r="BK126" s="367"/>
      <c r="BL126" s="367"/>
      <c r="BM126" s="367"/>
      <c r="BN126" s="367"/>
      <c r="BO126" s="367"/>
      <c r="BP126" s="367"/>
      <c r="BQ126" s="367"/>
      <c r="BR126" s="367"/>
      <c r="BS126" s="367"/>
      <c r="BT126" s="367"/>
      <c r="BU126" s="367"/>
      <c r="BV126" s="367"/>
      <c r="BW126" s="367"/>
      <c r="BX126" s="367"/>
      <c r="BY126" s="367"/>
      <c r="BZ126" s="367"/>
      <c r="CA126" s="367"/>
      <c r="CB126" s="367"/>
      <c r="CC126" s="367"/>
      <c r="CD126" s="367"/>
      <c r="CE126" s="367"/>
      <c r="CF126" s="367"/>
      <c r="CG126" s="367"/>
      <c r="CH126" s="367"/>
      <c r="CI126" s="367"/>
      <c r="CJ126" s="367"/>
      <c r="CK126" s="367"/>
      <c r="CL126" s="367"/>
      <c r="CM126" s="367"/>
      <c r="CN126" s="367"/>
      <c r="CO126" s="367"/>
      <c r="CP126" s="367"/>
      <c r="CQ126" s="367"/>
      <c r="CR126" s="367"/>
      <c r="CS126" s="367"/>
      <c r="CT126" s="367"/>
      <c r="CU126" s="367"/>
      <c r="CV126" s="367"/>
      <c r="CW126" s="367"/>
      <c r="CX126" s="367"/>
      <c r="CY126" s="367"/>
      <c r="CZ126" s="367"/>
      <c r="DA126" s="367"/>
      <c r="DB126" s="367"/>
      <c r="DC126" s="367"/>
      <c r="DD126" s="367"/>
      <c r="DE126" s="367"/>
      <c r="DF126" s="367"/>
      <c r="DG126" s="367"/>
      <c r="DH126" s="367"/>
      <c r="DI126" s="367"/>
      <c r="DJ126" s="367"/>
      <c r="DK126" s="367"/>
      <c r="DL126" s="367"/>
      <c r="DM126" s="367"/>
      <c r="DN126" s="367"/>
      <c r="DO126" s="367"/>
      <c r="DP126" s="367"/>
      <c r="DQ126" s="367"/>
      <c r="DR126" s="367"/>
      <c r="DS126" s="367"/>
      <c r="DT126" s="367"/>
      <c r="DU126" s="367"/>
      <c r="DV126" s="367"/>
      <c r="DW126" s="367"/>
    </row>
    <row r="127" ht="15.0" customHeight="1">
      <c r="A127" s="372">
        <v>43288.0</v>
      </c>
      <c r="B127" s="384" t="s">
        <v>2096</v>
      </c>
      <c r="C127" s="384" t="s">
        <v>1387</v>
      </c>
      <c r="D127" s="384"/>
      <c r="E127" s="374" t="str">
        <f>IFERROR(__xludf.DUMMYFUNCTION("if(and(D127&lt;&gt;0,D127&lt;&gt;""""),D127/GOOGLEFINANCE(C127,""price"")-1,"""")"),"")</f>
        <v/>
      </c>
      <c r="F127" s="375">
        <f>IFERROR(__xludf.DUMMYFUNCTION("GOOGLEFINANCE(C127,""price"")"),58.67)</f>
        <v>58.67</v>
      </c>
      <c r="G127" s="374">
        <f t="shared" si="6"/>
        <v>-0.1344530955</v>
      </c>
      <c r="H127" s="376"/>
      <c r="I127" s="368">
        <f t="shared" ref="I127:I128" si="68">(N127)*($I$1+O127*100)</f>
        <v>50.78163689</v>
      </c>
      <c r="J127" s="385">
        <v>0.71</v>
      </c>
      <c r="K127" s="385">
        <v>1.09</v>
      </c>
      <c r="L127" s="378">
        <v>43830.0</v>
      </c>
      <c r="M127" s="379">
        <f t="shared" si="7"/>
        <v>0.179888424</v>
      </c>
      <c r="N127" s="380">
        <f t="shared" si="8"/>
        <v>1.021642399</v>
      </c>
      <c r="O127" s="390">
        <v>0.35</v>
      </c>
      <c r="P127" s="370"/>
      <c r="Q127" s="371"/>
      <c r="R127" s="378"/>
      <c r="S127" s="378">
        <v>43582.0</v>
      </c>
      <c r="T127" s="387" t="s">
        <v>1608</v>
      </c>
      <c r="U127" s="382" t="s">
        <v>2099</v>
      </c>
      <c r="V127" s="358"/>
      <c r="W127" s="358"/>
      <c r="X127" s="358"/>
      <c r="Y127" s="358"/>
      <c r="Z127" s="358"/>
      <c r="AA127" s="358"/>
      <c r="AB127" s="358"/>
      <c r="AC127" s="358"/>
      <c r="AD127" s="358"/>
      <c r="AE127" s="358"/>
      <c r="AF127" s="358"/>
      <c r="AG127" s="358"/>
      <c r="AH127" s="358"/>
      <c r="AI127" s="358"/>
      <c r="AJ127" s="358"/>
      <c r="AK127" s="358"/>
      <c r="AL127" s="358"/>
      <c r="AM127" s="358"/>
      <c r="AN127" s="358"/>
      <c r="AO127" s="358"/>
      <c r="AP127" s="358"/>
      <c r="AQ127" s="358"/>
      <c r="AR127" s="358"/>
      <c r="AS127" s="358"/>
      <c r="AT127" s="358"/>
      <c r="AU127" s="358"/>
      <c r="AV127" s="358"/>
      <c r="AW127" s="358"/>
      <c r="AX127" s="358"/>
      <c r="AY127" s="358"/>
      <c r="AZ127" s="358"/>
      <c r="BA127" s="358"/>
      <c r="BB127" s="358"/>
      <c r="BC127" s="358"/>
      <c r="BD127" s="358"/>
      <c r="BE127" s="358"/>
      <c r="BF127" s="358"/>
      <c r="BG127" s="358"/>
      <c r="BH127" s="358"/>
      <c r="BI127" s="358"/>
      <c r="BJ127" s="358"/>
      <c r="BK127" s="358"/>
      <c r="BL127" s="358"/>
      <c r="BM127" s="358"/>
      <c r="BN127" s="358"/>
      <c r="BO127" s="358"/>
      <c r="BP127" s="358"/>
      <c r="BQ127" s="358"/>
      <c r="BR127" s="358"/>
      <c r="BS127" s="358"/>
      <c r="BT127" s="358"/>
      <c r="BU127" s="358"/>
      <c r="BV127" s="358"/>
      <c r="BW127" s="358"/>
      <c r="BX127" s="358"/>
      <c r="BY127" s="358"/>
      <c r="BZ127" s="358"/>
      <c r="CA127" s="358"/>
      <c r="CB127" s="358"/>
      <c r="CC127" s="358"/>
      <c r="CD127" s="358"/>
      <c r="CE127" s="358"/>
      <c r="CF127" s="358"/>
      <c r="CG127" s="358"/>
      <c r="CH127" s="358"/>
      <c r="CI127" s="358"/>
      <c r="CJ127" s="358"/>
      <c r="CK127" s="358"/>
      <c r="CL127" s="358"/>
      <c r="CM127" s="358"/>
      <c r="CN127" s="358"/>
      <c r="CO127" s="358"/>
      <c r="CP127" s="358"/>
      <c r="CQ127" s="358"/>
      <c r="CR127" s="358"/>
      <c r="CS127" s="358"/>
      <c r="CT127" s="358"/>
      <c r="CU127" s="358"/>
      <c r="CV127" s="358"/>
      <c r="CW127" s="358"/>
      <c r="CX127" s="358"/>
      <c r="CY127" s="358"/>
      <c r="CZ127" s="358"/>
      <c r="DA127" s="358"/>
      <c r="DB127" s="358"/>
      <c r="DC127" s="358"/>
      <c r="DD127" s="358"/>
      <c r="DE127" s="358"/>
      <c r="DF127" s="358"/>
      <c r="DG127" s="358"/>
      <c r="DH127" s="358"/>
      <c r="DI127" s="358"/>
      <c r="DJ127" s="358"/>
      <c r="DK127" s="358"/>
      <c r="DL127" s="358"/>
      <c r="DM127" s="358"/>
      <c r="DN127" s="358"/>
      <c r="DO127" s="358"/>
      <c r="DP127" s="358"/>
      <c r="DQ127" s="358"/>
      <c r="DR127" s="358"/>
      <c r="DS127" s="358"/>
      <c r="DT127" s="358"/>
      <c r="DU127" s="358"/>
      <c r="DV127" s="358"/>
      <c r="DW127" s="358"/>
    </row>
    <row r="128" ht="15.0" customHeight="1">
      <c r="A128" s="372">
        <v>42602.0</v>
      </c>
      <c r="B128" s="384" t="s">
        <v>2103</v>
      </c>
      <c r="C128" s="384" t="s">
        <v>1516</v>
      </c>
      <c r="D128" s="373">
        <v>130.0</v>
      </c>
      <c r="E128" s="374">
        <f>IFERROR(__xludf.DUMMYFUNCTION("if(and(D128&lt;&gt;0,D128&lt;&gt;""""),D128/GOOGLEFINANCE(C128,""price"")-1,"""")"),-0.43034923973533157)</f>
        <v>-0.4303492397</v>
      </c>
      <c r="F128" s="375">
        <f>IFERROR(__xludf.DUMMYFUNCTION("GOOGLEFINANCE(C128,""price"")"),228.21)</f>
        <v>228.21</v>
      </c>
      <c r="G128" s="374">
        <f t="shared" si="6"/>
        <v>-0.3946290536</v>
      </c>
      <c r="H128" s="376"/>
      <c r="I128" s="368">
        <f t="shared" si="68"/>
        <v>138.1517037</v>
      </c>
      <c r="J128" s="377">
        <v>4.7</v>
      </c>
      <c r="K128" s="377">
        <v>5.19</v>
      </c>
      <c r="L128" s="409">
        <v>43465.0</v>
      </c>
      <c r="M128" s="379">
        <f t="shared" si="7"/>
        <v>-0.8201115767</v>
      </c>
      <c r="N128" s="380">
        <f t="shared" si="8"/>
        <v>5.591854673</v>
      </c>
      <c r="O128" s="370">
        <v>0.1</v>
      </c>
      <c r="P128" s="370"/>
      <c r="Q128" s="371"/>
      <c r="R128" s="378"/>
      <c r="S128" s="378">
        <v>43483.0</v>
      </c>
      <c r="T128" s="387" t="s">
        <v>1223</v>
      </c>
      <c r="U128" s="386" t="s">
        <v>2105</v>
      </c>
      <c r="V128" s="344"/>
      <c r="W128" s="344"/>
      <c r="X128" s="344"/>
      <c r="Y128" s="344"/>
      <c r="Z128" s="344"/>
      <c r="AA128" s="344"/>
      <c r="AB128" s="344"/>
      <c r="AC128" s="344"/>
      <c r="AD128" s="344"/>
      <c r="AE128" s="344"/>
      <c r="AF128" s="344"/>
      <c r="AG128" s="344"/>
      <c r="AH128" s="344"/>
      <c r="AI128" s="344"/>
      <c r="AJ128" s="344"/>
      <c r="AK128" s="344"/>
      <c r="AL128" s="344"/>
      <c r="AM128" s="344"/>
      <c r="AN128" s="344"/>
      <c r="AO128" s="344"/>
      <c r="AP128" s="344"/>
      <c r="AQ128" s="344"/>
      <c r="AR128" s="344"/>
      <c r="AS128" s="344"/>
      <c r="AT128" s="344"/>
      <c r="AU128" s="344"/>
      <c r="AV128" s="344"/>
      <c r="AW128" s="344"/>
      <c r="AX128" s="344"/>
      <c r="AY128" s="344"/>
      <c r="AZ128" s="344"/>
      <c r="BA128" s="344"/>
      <c r="BB128" s="344"/>
      <c r="BC128" s="344"/>
      <c r="BD128" s="344"/>
      <c r="BE128" s="344"/>
      <c r="BF128" s="344"/>
      <c r="BG128" s="344"/>
      <c r="BH128" s="344"/>
      <c r="BI128" s="344"/>
      <c r="BJ128" s="344"/>
      <c r="BK128" s="344"/>
      <c r="BL128" s="344"/>
      <c r="BM128" s="344"/>
      <c r="BN128" s="344"/>
      <c r="BO128" s="344"/>
      <c r="BP128" s="344"/>
      <c r="BQ128" s="344"/>
      <c r="BR128" s="344"/>
      <c r="BS128" s="344"/>
      <c r="BT128" s="344"/>
      <c r="BU128" s="344"/>
      <c r="BV128" s="344"/>
      <c r="BW128" s="344"/>
      <c r="BX128" s="344"/>
      <c r="BY128" s="344"/>
      <c r="BZ128" s="344"/>
      <c r="CA128" s="344"/>
      <c r="CB128" s="344"/>
      <c r="CC128" s="344"/>
      <c r="CD128" s="344"/>
      <c r="CE128" s="344"/>
      <c r="CF128" s="344"/>
      <c r="CG128" s="344"/>
      <c r="CH128" s="344"/>
      <c r="CI128" s="344"/>
      <c r="CJ128" s="344"/>
      <c r="CK128" s="344"/>
      <c r="CL128" s="344"/>
      <c r="CM128" s="344"/>
      <c r="CN128" s="344"/>
      <c r="CO128" s="344"/>
      <c r="CP128" s="344"/>
      <c r="CQ128" s="344"/>
      <c r="CR128" s="344"/>
      <c r="CS128" s="344"/>
      <c r="CT128" s="344"/>
      <c r="CU128" s="344"/>
      <c r="CV128" s="344"/>
      <c r="CW128" s="344"/>
      <c r="CX128" s="344"/>
      <c r="CY128" s="344"/>
      <c r="CZ128" s="344"/>
      <c r="DA128" s="344"/>
      <c r="DB128" s="344"/>
      <c r="DC128" s="344"/>
      <c r="DD128" s="344"/>
      <c r="DE128" s="344"/>
      <c r="DF128" s="344"/>
      <c r="DG128" s="344"/>
      <c r="DH128" s="344"/>
      <c r="DI128" s="344"/>
      <c r="DJ128" s="344"/>
      <c r="DK128" s="344"/>
      <c r="DL128" s="344"/>
      <c r="DM128" s="344"/>
      <c r="DN128" s="344"/>
      <c r="DO128" s="344"/>
      <c r="DP128" s="344"/>
      <c r="DQ128" s="344"/>
      <c r="DR128" s="344"/>
      <c r="DS128" s="344"/>
      <c r="DT128" s="344"/>
      <c r="DU128" s="344"/>
      <c r="DV128" s="344"/>
      <c r="DW128" s="344"/>
    </row>
    <row r="129" ht="15.0" customHeight="1">
      <c r="A129" s="516">
        <v>42467.0</v>
      </c>
      <c r="B129" s="517" t="s">
        <v>2107</v>
      </c>
      <c r="C129" s="517" t="s">
        <v>2108</v>
      </c>
      <c r="D129" s="518"/>
      <c r="E129" s="519" t="str">
        <f>IFERROR(__xludf.DUMMYFUNCTION("if(and(D129&lt;&gt;0,D129&lt;&gt;""""),D129/GOOGLEFINANCE(C129,""price"")-1,"""")"),"")</f>
        <v/>
      </c>
      <c r="F129" s="521">
        <f>IFERROR(__xludf.DUMMYFUNCTION("GOOGLEFINANCE(C129,""price"")"),75.25)</f>
        <v>75.25</v>
      </c>
      <c r="G129" s="683">
        <f t="shared" si="6"/>
        <v>-0.3453195232</v>
      </c>
      <c r="H129" s="684"/>
      <c r="I129" s="684">
        <f>2.5*($I$1+5)</f>
        <v>49.26470588</v>
      </c>
      <c r="J129" s="523"/>
      <c r="K129" s="524"/>
      <c r="L129" s="525"/>
      <c r="M129" s="526">
        <f t="shared" si="7"/>
        <v>-119.9023034</v>
      </c>
      <c r="N129" s="524">
        <f t="shared" si="8"/>
        <v>0</v>
      </c>
      <c r="O129" s="525"/>
      <c r="P129" s="686"/>
      <c r="Q129" s="687"/>
      <c r="R129" s="688"/>
      <c r="S129" s="688"/>
      <c r="T129" s="688"/>
      <c r="U129" s="689" t="s">
        <v>2111</v>
      </c>
      <c r="V129" s="690"/>
      <c r="W129" s="690"/>
      <c r="X129" s="690"/>
      <c r="Y129" s="690"/>
      <c r="Z129" s="690"/>
      <c r="AA129" s="690"/>
      <c r="AB129" s="690"/>
      <c r="AC129" s="690"/>
      <c r="AD129" s="690"/>
      <c r="AE129" s="690"/>
      <c r="AF129" s="690"/>
      <c r="AG129" s="690"/>
      <c r="AH129" s="690"/>
      <c r="AI129" s="690"/>
      <c r="AJ129" s="690"/>
      <c r="AK129" s="690"/>
      <c r="AL129" s="690"/>
      <c r="AM129" s="690"/>
      <c r="AN129" s="690"/>
      <c r="AO129" s="690"/>
      <c r="AP129" s="690"/>
      <c r="AQ129" s="690"/>
      <c r="AR129" s="690"/>
      <c r="AS129" s="690"/>
      <c r="AT129" s="690"/>
      <c r="AU129" s="690"/>
      <c r="AV129" s="690"/>
      <c r="AW129" s="690"/>
      <c r="AX129" s="690"/>
      <c r="AY129" s="690"/>
      <c r="AZ129" s="690"/>
      <c r="BA129" s="690"/>
      <c r="BB129" s="690"/>
      <c r="BC129" s="690"/>
      <c r="BD129" s="690"/>
      <c r="BE129" s="690"/>
      <c r="BF129" s="690"/>
      <c r="BG129" s="690"/>
      <c r="BH129" s="690"/>
      <c r="BI129" s="690"/>
      <c r="BJ129" s="690"/>
      <c r="BK129" s="690"/>
      <c r="BL129" s="690"/>
      <c r="BM129" s="690"/>
      <c r="BN129" s="690"/>
      <c r="BO129" s="690"/>
      <c r="BP129" s="690"/>
      <c r="BQ129" s="690"/>
      <c r="BR129" s="690"/>
      <c r="BS129" s="690"/>
      <c r="BT129" s="690"/>
      <c r="BU129" s="690"/>
      <c r="BV129" s="690"/>
      <c r="BW129" s="690"/>
      <c r="BX129" s="690"/>
      <c r="BY129" s="690"/>
      <c r="BZ129" s="690"/>
      <c r="CA129" s="690"/>
      <c r="CB129" s="690"/>
      <c r="CC129" s="690"/>
      <c r="CD129" s="690"/>
      <c r="CE129" s="690"/>
      <c r="CF129" s="690"/>
      <c r="CG129" s="690"/>
      <c r="CH129" s="690"/>
      <c r="CI129" s="690"/>
      <c r="CJ129" s="690"/>
      <c r="CK129" s="690"/>
      <c r="CL129" s="690"/>
      <c r="CM129" s="690"/>
      <c r="CN129" s="690"/>
      <c r="CO129" s="690"/>
      <c r="CP129" s="690"/>
      <c r="CQ129" s="690"/>
      <c r="CR129" s="690"/>
      <c r="CS129" s="690"/>
      <c r="CT129" s="690"/>
      <c r="CU129" s="690"/>
      <c r="CV129" s="690"/>
      <c r="CW129" s="690"/>
      <c r="CX129" s="690"/>
      <c r="CY129" s="690"/>
      <c r="CZ129" s="690"/>
      <c r="DA129" s="690"/>
      <c r="DB129" s="690"/>
      <c r="DC129" s="690"/>
      <c r="DD129" s="690"/>
      <c r="DE129" s="690"/>
      <c r="DF129" s="690"/>
      <c r="DG129" s="690"/>
      <c r="DH129" s="690"/>
      <c r="DI129" s="690"/>
      <c r="DJ129" s="690"/>
      <c r="DK129" s="690"/>
      <c r="DL129" s="690"/>
      <c r="DM129" s="690"/>
      <c r="DN129" s="690"/>
      <c r="DO129" s="690"/>
      <c r="DP129" s="690"/>
      <c r="DQ129" s="690"/>
      <c r="DR129" s="690"/>
      <c r="DS129" s="690"/>
      <c r="DT129" s="690"/>
      <c r="DU129" s="690"/>
      <c r="DV129" s="690"/>
      <c r="DW129" s="690"/>
    </row>
    <row r="130" ht="15.0" customHeight="1">
      <c r="A130" s="394">
        <v>41059.0</v>
      </c>
      <c r="B130" s="302" t="s">
        <v>2113</v>
      </c>
      <c r="C130" s="302" t="s">
        <v>2114</v>
      </c>
      <c r="D130" s="422"/>
      <c r="E130" s="396" t="str">
        <f>IFERROR(__xludf.DUMMYFUNCTION("if(and(D130&lt;&gt;0,D130&lt;&gt;""""),D130/GOOGLEFINANCE(C130,""price"")-1,"""")"),"")</f>
        <v/>
      </c>
      <c r="F130" s="397">
        <f>IFERROR(__xludf.DUMMYFUNCTION("GOOGLEFINANCE(C130,""price"")"),137.06)</f>
        <v>137.06</v>
      </c>
      <c r="G130" s="396" t="str">
        <f t="shared" si="6"/>
        <v/>
      </c>
      <c r="H130" s="398"/>
      <c r="I130" s="398"/>
      <c r="J130" s="403"/>
      <c r="K130" s="403"/>
      <c r="L130" s="410"/>
      <c r="M130" s="402">
        <f t="shared" si="7"/>
        <v>-119.9023034</v>
      </c>
      <c r="N130" s="403">
        <f t="shared" si="8"/>
        <v>0</v>
      </c>
      <c r="O130" s="410"/>
      <c r="P130" s="411"/>
      <c r="Q130" s="402"/>
      <c r="R130" s="412"/>
      <c r="S130" s="412"/>
      <c r="T130" s="412"/>
      <c r="U130" s="413" t="s">
        <v>2116</v>
      </c>
      <c r="V130" s="414"/>
      <c r="W130" s="414"/>
      <c r="X130" s="414"/>
      <c r="Y130" s="414"/>
      <c r="Z130" s="414"/>
      <c r="AA130" s="414"/>
      <c r="AB130" s="414"/>
      <c r="AC130" s="414"/>
      <c r="AD130" s="414"/>
      <c r="AE130" s="414"/>
      <c r="AF130" s="414"/>
      <c r="AG130" s="414"/>
      <c r="AH130" s="414"/>
      <c r="AI130" s="414"/>
      <c r="AJ130" s="414"/>
      <c r="AK130" s="414"/>
      <c r="AL130" s="414"/>
      <c r="AM130" s="414"/>
      <c r="AN130" s="414"/>
      <c r="AO130" s="414"/>
      <c r="AP130" s="414"/>
      <c r="AQ130" s="414"/>
      <c r="AR130" s="414"/>
      <c r="AS130" s="414"/>
      <c r="AT130" s="414"/>
      <c r="AU130" s="414"/>
      <c r="AV130" s="414"/>
      <c r="AW130" s="414"/>
      <c r="AX130" s="414"/>
      <c r="AY130" s="414"/>
      <c r="AZ130" s="414"/>
      <c r="BA130" s="414"/>
      <c r="BB130" s="414"/>
      <c r="BC130" s="414"/>
      <c r="BD130" s="414"/>
      <c r="BE130" s="414"/>
      <c r="BF130" s="414"/>
      <c r="BG130" s="414"/>
      <c r="BH130" s="414"/>
      <c r="BI130" s="414"/>
      <c r="BJ130" s="414"/>
      <c r="BK130" s="414"/>
      <c r="BL130" s="414"/>
      <c r="BM130" s="414"/>
      <c r="BN130" s="414"/>
      <c r="BO130" s="414"/>
      <c r="BP130" s="414"/>
      <c r="BQ130" s="414"/>
      <c r="BR130" s="414"/>
      <c r="BS130" s="414"/>
      <c r="BT130" s="414"/>
      <c r="BU130" s="414"/>
      <c r="BV130" s="414"/>
      <c r="BW130" s="414"/>
      <c r="BX130" s="414"/>
      <c r="BY130" s="414"/>
      <c r="BZ130" s="414"/>
      <c r="CA130" s="414"/>
      <c r="CB130" s="414"/>
      <c r="CC130" s="414"/>
      <c r="CD130" s="414"/>
      <c r="CE130" s="414"/>
      <c r="CF130" s="414"/>
      <c r="CG130" s="414"/>
      <c r="CH130" s="414"/>
      <c r="CI130" s="414"/>
      <c r="CJ130" s="414"/>
      <c r="CK130" s="414"/>
      <c r="CL130" s="414"/>
      <c r="CM130" s="414"/>
      <c r="CN130" s="414"/>
      <c r="CO130" s="414"/>
      <c r="CP130" s="414"/>
      <c r="CQ130" s="414"/>
      <c r="CR130" s="414"/>
      <c r="CS130" s="414"/>
      <c r="CT130" s="414"/>
      <c r="CU130" s="414"/>
      <c r="CV130" s="414"/>
      <c r="CW130" s="414"/>
      <c r="CX130" s="414"/>
      <c r="CY130" s="414"/>
      <c r="CZ130" s="414"/>
      <c r="DA130" s="414"/>
      <c r="DB130" s="414"/>
      <c r="DC130" s="414"/>
      <c r="DD130" s="414"/>
      <c r="DE130" s="414"/>
      <c r="DF130" s="414"/>
      <c r="DG130" s="414"/>
      <c r="DH130" s="414"/>
      <c r="DI130" s="414"/>
      <c r="DJ130" s="414"/>
      <c r="DK130" s="414"/>
      <c r="DL130" s="414"/>
      <c r="DM130" s="414"/>
      <c r="DN130" s="414"/>
      <c r="DO130" s="414"/>
      <c r="DP130" s="414"/>
      <c r="DQ130" s="414"/>
      <c r="DR130" s="414"/>
      <c r="DS130" s="414"/>
      <c r="DT130" s="414"/>
      <c r="DU130" s="414"/>
      <c r="DV130" s="414"/>
      <c r="DW130" s="414"/>
    </row>
    <row r="131" ht="15.0" customHeight="1">
      <c r="A131" s="394">
        <v>41267.0</v>
      </c>
      <c r="B131" s="302" t="s">
        <v>2117</v>
      </c>
      <c r="C131" s="302" t="s">
        <v>2118</v>
      </c>
      <c r="D131" s="422"/>
      <c r="E131" s="396" t="str">
        <f>IFERROR(__xludf.DUMMYFUNCTION("if(and(D131&lt;&gt;0,D131&lt;&gt;""""),D131/GOOGLEFINANCE(C131,""price"")-1,"""")"),"")</f>
        <v/>
      </c>
      <c r="F131" s="397">
        <f>IFERROR(__xludf.DUMMYFUNCTION("GOOGLEFINANCE(C131,""price"")"),5.27)</f>
        <v>5.27</v>
      </c>
      <c r="G131" s="396" t="str">
        <f t="shared" si="6"/>
        <v/>
      </c>
      <c r="H131" s="398"/>
      <c r="I131" s="398"/>
      <c r="J131" s="403"/>
      <c r="K131" s="403"/>
      <c r="L131" s="410"/>
      <c r="M131" s="402">
        <f t="shared" si="7"/>
        <v>-119.9023034</v>
      </c>
      <c r="N131" s="403">
        <f t="shared" si="8"/>
        <v>0</v>
      </c>
      <c r="O131" s="410"/>
      <c r="P131" s="411"/>
      <c r="Q131" s="402"/>
      <c r="R131" s="412"/>
      <c r="S131" s="412"/>
      <c r="T131" s="412"/>
      <c r="U131" s="413" t="s">
        <v>2119</v>
      </c>
      <c r="V131" s="414"/>
      <c r="W131" s="414"/>
      <c r="X131" s="414"/>
      <c r="Y131" s="414"/>
      <c r="Z131" s="414"/>
      <c r="AA131" s="414"/>
      <c r="AB131" s="414"/>
      <c r="AC131" s="414"/>
      <c r="AD131" s="414"/>
      <c r="AE131" s="414"/>
      <c r="AF131" s="414"/>
      <c r="AG131" s="414"/>
      <c r="AH131" s="414"/>
      <c r="AI131" s="414"/>
      <c r="AJ131" s="414"/>
      <c r="AK131" s="414"/>
      <c r="AL131" s="414"/>
      <c r="AM131" s="414"/>
      <c r="AN131" s="414"/>
      <c r="AO131" s="414"/>
      <c r="AP131" s="414"/>
      <c r="AQ131" s="414"/>
      <c r="AR131" s="414"/>
      <c r="AS131" s="414"/>
      <c r="AT131" s="414"/>
      <c r="AU131" s="414"/>
      <c r="AV131" s="414"/>
      <c r="AW131" s="414"/>
      <c r="AX131" s="414"/>
      <c r="AY131" s="414"/>
      <c r="AZ131" s="414"/>
      <c r="BA131" s="414"/>
      <c r="BB131" s="414"/>
      <c r="BC131" s="414"/>
      <c r="BD131" s="414"/>
      <c r="BE131" s="414"/>
      <c r="BF131" s="414"/>
      <c r="BG131" s="414"/>
      <c r="BH131" s="414"/>
      <c r="BI131" s="414"/>
      <c r="BJ131" s="414"/>
      <c r="BK131" s="414"/>
      <c r="BL131" s="414"/>
      <c r="BM131" s="414"/>
      <c r="BN131" s="414"/>
      <c r="BO131" s="414"/>
      <c r="BP131" s="414"/>
      <c r="BQ131" s="414"/>
      <c r="BR131" s="414"/>
      <c r="BS131" s="414"/>
      <c r="BT131" s="414"/>
      <c r="BU131" s="414"/>
      <c r="BV131" s="414"/>
      <c r="BW131" s="414"/>
      <c r="BX131" s="414"/>
      <c r="BY131" s="414"/>
      <c r="BZ131" s="414"/>
      <c r="CA131" s="414"/>
      <c r="CB131" s="414"/>
      <c r="CC131" s="414"/>
      <c r="CD131" s="414"/>
      <c r="CE131" s="414"/>
      <c r="CF131" s="414"/>
      <c r="CG131" s="414"/>
      <c r="CH131" s="414"/>
      <c r="CI131" s="414"/>
      <c r="CJ131" s="414"/>
      <c r="CK131" s="414"/>
      <c r="CL131" s="414"/>
      <c r="CM131" s="414"/>
      <c r="CN131" s="414"/>
      <c r="CO131" s="414"/>
      <c r="CP131" s="414"/>
      <c r="CQ131" s="414"/>
      <c r="CR131" s="414"/>
      <c r="CS131" s="414"/>
      <c r="CT131" s="414"/>
      <c r="CU131" s="414"/>
      <c r="CV131" s="414"/>
      <c r="CW131" s="414"/>
      <c r="CX131" s="414"/>
      <c r="CY131" s="414"/>
      <c r="CZ131" s="414"/>
      <c r="DA131" s="414"/>
      <c r="DB131" s="414"/>
      <c r="DC131" s="414"/>
      <c r="DD131" s="414"/>
      <c r="DE131" s="414"/>
      <c r="DF131" s="414"/>
      <c r="DG131" s="414"/>
      <c r="DH131" s="414"/>
      <c r="DI131" s="414"/>
      <c r="DJ131" s="414"/>
      <c r="DK131" s="414"/>
      <c r="DL131" s="414"/>
      <c r="DM131" s="414"/>
      <c r="DN131" s="414"/>
      <c r="DO131" s="414"/>
      <c r="DP131" s="414"/>
      <c r="DQ131" s="414"/>
      <c r="DR131" s="414"/>
      <c r="DS131" s="414"/>
      <c r="DT131" s="414"/>
      <c r="DU131" s="414"/>
      <c r="DV131" s="414"/>
      <c r="DW131" s="414"/>
    </row>
    <row r="132" ht="15.0" customHeight="1">
      <c r="A132" s="372">
        <v>42412.0</v>
      </c>
      <c r="B132" s="384" t="s">
        <v>2121</v>
      </c>
      <c r="C132" s="384" t="s">
        <v>2122</v>
      </c>
      <c r="D132" s="532"/>
      <c r="E132" s="374" t="str">
        <f>IFERROR(__xludf.DUMMYFUNCTION("if(and(D132&lt;&gt;0,D132&lt;&gt;""""),D132/GOOGLEFINANCE(C132,""price"")-1,"""")"),"")</f>
        <v/>
      </c>
      <c r="F132" s="375">
        <f>IFERROR(__xludf.DUMMYFUNCTION("GOOGLEFINANCE(C132,""price"")"),37.18)</f>
        <v>37.18</v>
      </c>
      <c r="G132" s="374">
        <f t="shared" si="6"/>
        <v>0.430821441</v>
      </c>
      <c r="H132" s="376">
        <f>1.89*17.5*1.175</f>
        <v>38.863125</v>
      </c>
      <c r="I132" s="376">
        <f>2.03*($I$1+11.5)</f>
        <v>53.19794118</v>
      </c>
      <c r="J132" s="380"/>
      <c r="K132" s="380"/>
      <c r="L132" s="389"/>
      <c r="M132" s="379">
        <f t="shared" si="7"/>
        <v>-119.9023034</v>
      </c>
      <c r="N132" s="380">
        <f t="shared" si="8"/>
        <v>0</v>
      </c>
      <c r="O132" s="389"/>
      <c r="P132" s="390"/>
      <c r="Q132" s="391"/>
      <c r="R132" s="387"/>
      <c r="S132" s="387"/>
      <c r="T132" s="387"/>
      <c r="U132" s="386" t="s">
        <v>2124</v>
      </c>
      <c r="V132" s="344"/>
      <c r="W132" s="344"/>
      <c r="X132" s="344"/>
      <c r="Y132" s="344"/>
      <c r="Z132" s="344"/>
      <c r="AA132" s="344"/>
      <c r="AB132" s="344"/>
      <c r="AC132" s="344"/>
      <c r="AD132" s="344"/>
      <c r="AE132" s="344"/>
      <c r="AF132" s="344"/>
      <c r="AG132" s="344"/>
      <c r="AH132" s="344"/>
      <c r="AI132" s="344"/>
      <c r="AJ132" s="344"/>
      <c r="AK132" s="344"/>
      <c r="AL132" s="344"/>
      <c r="AM132" s="344"/>
      <c r="AN132" s="344"/>
      <c r="AO132" s="344"/>
      <c r="AP132" s="344"/>
      <c r="AQ132" s="344"/>
      <c r="AR132" s="344"/>
      <c r="AS132" s="344"/>
      <c r="AT132" s="344"/>
      <c r="AU132" s="344"/>
      <c r="AV132" s="344"/>
      <c r="AW132" s="344"/>
      <c r="AX132" s="344"/>
      <c r="AY132" s="344"/>
      <c r="AZ132" s="344"/>
      <c r="BA132" s="344"/>
      <c r="BB132" s="344"/>
      <c r="BC132" s="344"/>
      <c r="BD132" s="344"/>
      <c r="BE132" s="344"/>
      <c r="BF132" s="344"/>
      <c r="BG132" s="344"/>
      <c r="BH132" s="344"/>
      <c r="BI132" s="344"/>
      <c r="BJ132" s="344"/>
      <c r="BK132" s="344"/>
      <c r="BL132" s="344"/>
      <c r="BM132" s="344"/>
      <c r="BN132" s="344"/>
      <c r="BO132" s="344"/>
      <c r="BP132" s="344"/>
      <c r="BQ132" s="344"/>
      <c r="BR132" s="344"/>
      <c r="BS132" s="344"/>
      <c r="BT132" s="344"/>
      <c r="BU132" s="344"/>
      <c r="BV132" s="344"/>
      <c r="BW132" s="344"/>
      <c r="BX132" s="344"/>
      <c r="BY132" s="344"/>
      <c r="BZ132" s="344"/>
      <c r="CA132" s="344"/>
      <c r="CB132" s="344"/>
      <c r="CC132" s="344"/>
      <c r="CD132" s="344"/>
      <c r="CE132" s="344"/>
      <c r="CF132" s="344"/>
      <c r="CG132" s="344"/>
      <c r="CH132" s="344"/>
      <c r="CI132" s="344"/>
      <c r="CJ132" s="344"/>
      <c r="CK132" s="344"/>
      <c r="CL132" s="344"/>
      <c r="CM132" s="344"/>
      <c r="CN132" s="344"/>
      <c r="CO132" s="344"/>
      <c r="CP132" s="344"/>
      <c r="CQ132" s="344"/>
      <c r="CR132" s="344"/>
      <c r="CS132" s="344"/>
      <c r="CT132" s="344"/>
      <c r="CU132" s="344"/>
      <c r="CV132" s="344"/>
      <c r="CW132" s="344"/>
      <c r="CX132" s="344"/>
      <c r="CY132" s="344"/>
      <c r="CZ132" s="344"/>
      <c r="DA132" s="344"/>
      <c r="DB132" s="344"/>
      <c r="DC132" s="344"/>
      <c r="DD132" s="344"/>
      <c r="DE132" s="344"/>
      <c r="DF132" s="344"/>
      <c r="DG132" s="344"/>
      <c r="DH132" s="344"/>
      <c r="DI132" s="344"/>
      <c r="DJ132" s="344"/>
      <c r="DK132" s="344"/>
      <c r="DL132" s="344"/>
      <c r="DM132" s="344"/>
      <c r="DN132" s="344"/>
      <c r="DO132" s="344"/>
      <c r="DP132" s="344"/>
      <c r="DQ132" s="344"/>
      <c r="DR132" s="344"/>
      <c r="DS132" s="344"/>
      <c r="DT132" s="344"/>
      <c r="DU132" s="344"/>
      <c r="DV132" s="344"/>
      <c r="DW132" s="344"/>
    </row>
    <row r="133" ht="15.0" customHeight="1">
      <c r="A133" s="372">
        <v>42688.0</v>
      </c>
      <c r="B133" s="384" t="s">
        <v>2125</v>
      </c>
      <c r="C133" s="384" t="s">
        <v>381</v>
      </c>
      <c r="D133" s="373">
        <v>160.0</v>
      </c>
      <c r="E133" s="374">
        <f>IFERROR(__xludf.DUMMYFUNCTION("if(and(D133&lt;&gt;0,D133&lt;&gt;""""),D133/GOOGLEFINANCE(C133,""price"")-1,"""")"),-0.14843791580179888)</f>
        <v>-0.1484379158</v>
      </c>
      <c r="F133" s="375">
        <f>IFERROR(__xludf.DUMMYFUNCTION("GOOGLEFINANCE(C133,""price"")"),187.89)</f>
        <v>187.89</v>
      </c>
      <c r="G133" s="374">
        <f t="shared" si="6"/>
        <v>0.6236460077</v>
      </c>
      <c r="H133" s="376"/>
      <c r="I133" s="368">
        <f>N133*($I$1+iferror(sqrt((O133*100)*(P133-1/$I$1)*100),-sqrt((O133*100)*-1*(P133-1/$I$1)*100))*(R133/4)^0.2)</f>
        <v>305.0668484</v>
      </c>
      <c r="J133" s="377">
        <v>7.98</v>
      </c>
      <c r="K133" s="377">
        <v>9.26</v>
      </c>
      <c r="L133" s="409">
        <v>43830.0</v>
      </c>
      <c r="M133" s="379">
        <f t="shared" si="7"/>
        <v>0.1798884285</v>
      </c>
      <c r="N133" s="380">
        <f t="shared" si="8"/>
        <v>9.029742811</v>
      </c>
      <c r="O133" s="370">
        <v>0.2</v>
      </c>
      <c r="P133" s="370">
        <v>0.25</v>
      </c>
      <c r="Q133" s="371">
        <f>I133/N133</f>
        <v>33.78466638</v>
      </c>
      <c r="R133" s="381">
        <v>4.0</v>
      </c>
      <c r="S133" s="378">
        <v>43679.0</v>
      </c>
      <c r="T133" s="387" t="s">
        <v>1240</v>
      </c>
      <c r="U133" s="382" t="s">
        <v>2126</v>
      </c>
      <c r="V133" s="358"/>
      <c r="W133" s="358"/>
      <c r="X133" s="358"/>
      <c r="Y133" s="358"/>
      <c r="Z133" s="358"/>
      <c r="AA133" s="358"/>
      <c r="AB133" s="358"/>
      <c r="AC133" s="358"/>
      <c r="AD133" s="358"/>
      <c r="AE133" s="358"/>
      <c r="AF133" s="358"/>
      <c r="AG133" s="358"/>
      <c r="AH133" s="358"/>
      <c r="AI133" s="358"/>
      <c r="AJ133" s="358"/>
      <c r="AK133" s="358"/>
      <c r="AL133" s="358"/>
      <c r="AM133" s="358"/>
      <c r="AN133" s="358"/>
      <c r="AO133" s="358"/>
      <c r="AP133" s="358"/>
      <c r="AQ133" s="358"/>
      <c r="AR133" s="358"/>
      <c r="AS133" s="358"/>
      <c r="AT133" s="358"/>
      <c r="AU133" s="358"/>
      <c r="AV133" s="358"/>
      <c r="AW133" s="358"/>
      <c r="AX133" s="358"/>
      <c r="AY133" s="358"/>
      <c r="AZ133" s="358"/>
      <c r="BA133" s="358"/>
      <c r="BB133" s="358"/>
      <c r="BC133" s="358"/>
      <c r="BD133" s="358"/>
      <c r="BE133" s="358"/>
      <c r="BF133" s="358"/>
      <c r="BG133" s="358"/>
      <c r="BH133" s="358"/>
      <c r="BI133" s="358"/>
      <c r="BJ133" s="358"/>
      <c r="BK133" s="358"/>
      <c r="BL133" s="358"/>
      <c r="BM133" s="358"/>
      <c r="BN133" s="358"/>
      <c r="BO133" s="358"/>
      <c r="BP133" s="358"/>
      <c r="BQ133" s="358"/>
      <c r="BR133" s="358"/>
      <c r="BS133" s="358"/>
      <c r="BT133" s="358"/>
      <c r="BU133" s="358"/>
      <c r="BV133" s="358"/>
      <c r="BW133" s="358"/>
      <c r="BX133" s="358"/>
      <c r="BY133" s="358"/>
      <c r="BZ133" s="358"/>
      <c r="CA133" s="358"/>
      <c r="CB133" s="358"/>
      <c r="CC133" s="358"/>
      <c r="CD133" s="358"/>
      <c r="CE133" s="358"/>
      <c r="CF133" s="358"/>
      <c r="CG133" s="358"/>
      <c r="CH133" s="358"/>
      <c r="CI133" s="358"/>
      <c r="CJ133" s="358"/>
      <c r="CK133" s="358"/>
      <c r="CL133" s="358"/>
      <c r="CM133" s="358"/>
      <c r="CN133" s="358"/>
      <c r="CO133" s="358"/>
      <c r="CP133" s="358"/>
      <c r="CQ133" s="358"/>
      <c r="CR133" s="358"/>
      <c r="CS133" s="358"/>
      <c r="CT133" s="358"/>
      <c r="CU133" s="358"/>
      <c r="CV133" s="358"/>
      <c r="CW133" s="358"/>
      <c r="CX133" s="358"/>
      <c r="CY133" s="358"/>
      <c r="CZ133" s="358"/>
      <c r="DA133" s="358"/>
      <c r="DB133" s="358"/>
      <c r="DC133" s="358"/>
      <c r="DD133" s="358"/>
      <c r="DE133" s="358"/>
      <c r="DF133" s="358"/>
      <c r="DG133" s="358"/>
      <c r="DH133" s="358"/>
      <c r="DI133" s="358"/>
      <c r="DJ133" s="358"/>
      <c r="DK133" s="358"/>
      <c r="DL133" s="358"/>
      <c r="DM133" s="358"/>
      <c r="DN133" s="358"/>
      <c r="DO133" s="358"/>
      <c r="DP133" s="358"/>
      <c r="DQ133" s="358"/>
      <c r="DR133" s="358"/>
      <c r="DS133" s="358"/>
      <c r="DT133" s="358"/>
      <c r="DU133" s="358"/>
      <c r="DV133" s="358"/>
      <c r="DW133" s="358"/>
    </row>
    <row r="134" ht="15.0" customHeight="1">
      <c r="A134" s="394">
        <v>40966.0</v>
      </c>
      <c r="B134" s="302" t="s">
        <v>2127</v>
      </c>
      <c r="C134" s="302" t="s">
        <v>2128</v>
      </c>
      <c r="D134" s="422"/>
      <c r="E134" s="396" t="str">
        <f>IFERROR(__xludf.DUMMYFUNCTION("if(and(D134&lt;&gt;0,D134&lt;&gt;""""),D134/GOOGLEFINANCE(C134,""price"")-1,"""")"),"")</f>
        <v/>
      </c>
      <c r="F134" s="397">
        <f>IFERROR(__xludf.DUMMYFUNCTION("GOOGLEFINANCE(C134,""price"")"),495.94)</f>
        <v>495.94</v>
      </c>
      <c r="G134" s="396" t="str">
        <f t="shared" si="6"/>
        <v/>
      </c>
      <c r="H134" s="398"/>
      <c r="I134" s="398"/>
      <c r="J134" s="403"/>
      <c r="K134" s="403"/>
      <c r="L134" s="410"/>
      <c r="M134" s="402">
        <f t="shared" si="7"/>
        <v>-119.9023034</v>
      </c>
      <c r="N134" s="403">
        <f t="shared" si="8"/>
        <v>0</v>
      </c>
      <c r="O134" s="410"/>
      <c r="P134" s="411"/>
      <c r="Q134" s="402"/>
      <c r="R134" s="412"/>
      <c r="S134" s="412"/>
      <c r="T134" s="412"/>
      <c r="U134" s="413"/>
      <c r="V134" s="414"/>
      <c r="W134" s="414"/>
      <c r="X134" s="414"/>
      <c r="Y134" s="414"/>
      <c r="Z134" s="414"/>
      <c r="AA134" s="414"/>
      <c r="AB134" s="414"/>
      <c r="AC134" s="414"/>
      <c r="AD134" s="414"/>
      <c r="AE134" s="414"/>
      <c r="AF134" s="414"/>
      <c r="AG134" s="414"/>
      <c r="AH134" s="414"/>
      <c r="AI134" s="414"/>
      <c r="AJ134" s="414"/>
      <c r="AK134" s="414"/>
      <c r="AL134" s="414"/>
      <c r="AM134" s="414"/>
      <c r="AN134" s="414"/>
      <c r="AO134" s="414"/>
      <c r="AP134" s="414"/>
      <c r="AQ134" s="414"/>
      <c r="AR134" s="414"/>
      <c r="AS134" s="414"/>
      <c r="AT134" s="414"/>
      <c r="AU134" s="414"/>
      <c r="AV134" s="414"/>
      <c r="AW134" s="414"/>
      <c r="AX134" s="414"/>
      <c r="AY134" s="414"/>
      <c r="AZ134" s="414"/>
      <c r="BA134" s="414"/>
      <c r="BB134" s="414"/>
      <c r="BC134" s="414"/>
      <c r="BD134" s="414"/>
      <c r="BE134" s="414"/>
      <c r="BF134" s="414"/>
      <c r="BG134" s="414"/>
      <c r="BH134" s="414"/>
      <c r="BI134" s="414"/>
      <c r="BJ134" s="414"/>
      <c r="BK134" s="414"/>
      <c r="BL134" s="414"/>
      <c r="BM134" s="414"/>
      <c r="BN134" s="414"/>
      <c r="BO134" s="414"/>
      <c r="BP134" s="414"/>
      <c r="BQ134" s="414"/>
      <c r="BR134" s="414"/>
      <c r="BS134" s="414"/>
      <c r="BT134" s="414"/>
      <c r="BU134" s="414"/>
      <c r="BV134" s="414"/>
      <c r="BW134" s="414"/>
      <c r="BX134" s="414"/>
      <c r="BY134" s="414"/>
      <c r="BZ134" s="414"/>
      <c r="CA134" s="414"/>
      <c r="CB134" s="414"/>
      <c r="CC134" s="414"/>
      <c r="CD134" s="414"/>
      <c r="CE134" s="414"/>
      <c r="CF134" s="414"/>
      <c r="CG134" s="414"/>
      <c r="CH134" s="414"/>
      <c r="CI134" s="414"/>
      <c r="CJ134" s="414"/>
      <c r="CK134" s="414"/>
      <c r="CL134" s="414"/>
      <c r="CM134" s="414"/>
      <c r="CN134" s="414"/>
      <c r="CO134" s="414"/>
      <c r="CP134" s="414"/>
      <c r="CQ134" s="414"/>
      <c r="CR134" s="414"/>
      <c r="CS134" s="414"/>
      <c r="CT134" s="414"/>
      <c r="CU134" s="414"/>
      <c r="CV134" s="414"/>
      <c r="CW134" s="414"/>
      <c r="CX134" s="414"/>
      <c r="CY134" s="414"/>
      <c r="CZ134" s="414"/>
      <c r="DA134" s="414"/>
      <c r="DB134" s="414"/>
      <c r="DC134" s="414"/>
      <c r="DD134" s="414"/>
      <c r="DE134" s="414"/>
      <c r="DF134" s="414"/>
      <c r="DG134" s="414"/>
      <c r="DH134" s="414"/>
      <c r="DI134" s="414"/>
      <c r="DJ134" s="414"/>
      <c r="DK134" s="414"/>
      <c r="DL134" s="414"/>
      <c r="DM134" s="414"/>
      <c r="DN134" s="414"/>
      <c r="DO134" s="414"/>
      <c r="DP134" s="414"/>
      <c r="DQ134" s="414"/>
      <c r="DR134" s="414"/>
      <c r="DS134" s="414"/>
      <c r="DT134" s="414"/>
      <c r="DU134" s="414"/>
      <c r="DV134" s="414"/>
      <c r="DW134" s="414"/>
    </row>
    <row r="135" ht="15.0" customHeight="1">
      <c r="A135" s="372">
        <v>43052.0</v>
      </c>
      <c r="B135" s="384" t="s">
        <v>2129</v>
      </c>
      <c r="C135" s="384" t="s">
        <v>2130</v>
      </c>
      <c r="D135" s="532"/>
      <c r="E135" s="374" t="str">
        <f>IFERROR(__xludf.DUMMYFUNCTION("if(and(D135&lt;&gt;0,D135&lt;&gt;""""),D135/GOOGLEFINANCE(C135,""price"")-1,"""")"),"")</f>
        <v/>
      </c>
      <c r="F135" s="375">
        <f>IFERROR(__xludf.DUMMYFUNCTION("GOOGLEFINANCE(C135,""price"")"),0.0)</f>
        <v>0</v>
      </c>
      <c r="G135" s="374" t="str">
        <f t="shared" si="6"/>
        <v>#DIV/0!</v>
      </c>
      <c r="H135" s="376"/>
      <c r="I135" s="376">
        <f>1.56*($I$1+2)
</f>
        <v>26.06117647</v>
      </c>
      <c r="J135" s="380"/>
      <c r="K135" s="380"/>
      <c r="L135" s="389"/>
      <c r="M135" s="379">
        <f t="shared" si="7"/>
        <v>-119.9023034</v>
      </c>
      <c r="N135" s="380">
        <f t="shared" si="8"/>
        <v>0</v>
      </c>
      <c r="O135" s="389"/>
      <c r="P135" s="415"/>
      <c r="Q135" s="379"/>
      <c r="R135" s="416"/>
      <c r="S135" s="416"/>
      <c r="T135" s="416"/>
      <c r="U135" s="417"/>
      <c r="V135" s="367"/>
      <c r="W135" s="367"/>
      <c r="X135" s="367"/>
      <c r="Y135" s="367"/>
      <c r="Z135" s="367"/>
      <c r="AA135" s="367"/>
      <c r="AB135" s="367"/>
      <c r="AC135" s="367"/>
      <c r="AD135" s="367"/>
      <c r="AE135" s="367"/>
      <c r="AF135" s="367"/>
      <c r="AG135" s="367"/>
      <c r="AH135" s="367"/>
      <c r="AI135" s="367"/>
      <c r="AJ135" s="367"/>
      <c r="AK135" s="367"/>
      <c r="AL135" s="367"/>
      <c r="AM135" s="367"/>
      <c r="AN135" s="367"/>
      <c r="AO135" s="367"/>
      <c r="AP135" s="367"/>
      <c r="AQ135" s="367"/>
      <c r="AR135" s="367"/>
      <c r="AS135" s="367"/>
      <c r="AT135" s="367"/>
      <c r="AU135" s="367"/>
      <c r="AV135" s="367"/>
      <c r="AW135" s="367"/>
      <c r="AX135" s="367"/>
      <c r="AY135" s="367"/>
      <c r="AZ135" s="367"/>
      <c r="BA135" s="367"/>
      <c r="BB135" s="367"/>
      <c r="BC135" s="367"/>
      <c r="BD135" s="367"/>
      <c r="BE135" s="367"/>
      <c r="BF135" s="367"/>
      <c r="BG135" s="367"/>
      <c r="BH135" s="367"/>
      <c r="BI135" s="367"/>
      <c r="BJ135" s="367"/>
      <c r="BK135" s="367"/>
      <c r="BL135" s="367"/>
      <c r="BM135" s="367"/>
      <c r="BN135" s="367"/>
      <c r="BO135" s="367"/>
      <c r="BP135" s="367"/>
      <c r="BQ135" s="367"/>
      <c r="BR135" s="367"/>
      <c r="BS135" s="367"/>
      <c r="BT135" s="367"/>
      <c r="BU135" s="367"/>
      <c r="BV135" s="367"/>
      <c r="BW135" s="367"/>
      <c r="BX135" s="367"/>
      <c r="BY135" s="367"/>
      <c r="BZ135" s="367"/>
      <c r="CA135" s="367"/>
      <c r="CB135" s="367"/>
      <c r="CC135" s="367"/>
      <c r="CD135" s="367"/>
      <c r="CE135" s="367"/>
      <c r="CF135" s="367"/>
      <c r="CG135" s="367"/>
      <c r="CH135" s="367"/>
      <c r="CI135" s="367"/>
      <c r="CJ135" s="367"/>
      <c r="CK135" s="367"/>
      <c r="CL135" s="367"/>
      <c r="CM135" s="367"/>
      <c r="CN135" s="367"/>
      <c r="CO135" s="367"/>
      <c r="CP135" s="367"/>
      <c r="CQ135" s="367"/>
      <c r="CR135" s="367"/>
      <c r="CS135" s="367"/>
      <c r="CT135" s="367"/>
      <c r="CU135" s="367"/>
      <c r="CV135" s="367"/>
      <c r="CW135" s="367"/>
      <c r="CX135" s="367"/>
      <c r="CY135" s="367"/>
      <c r="CZ135" s="367"/>
      <c r="DA135" s="367"/>
      <c r="DB135" s="367"/>
      <c r="DC135" s="367"/>
      <c r="DD135" s="367"/>
      <c r="DE135" s="367"/>
      <c r="DF135" s="367"/>
      <c r="DG135" s="367"/>
      <c r="DH135" s="367"/>
      <c r="DI135" s="367"/>
      <c r="DJ135" s="367"/>
      <c r="DK135" s="367"/>
      <c r="DL135" s="367"/>
      <c r="DM135" s="367"/>
      <c r="DN135" s="367"/>
      <c r="DO135" s="367"/>
      <c r="DP135" s="367"/>
      <c r="DQ135" s="367"/>
      <c r="DR135" s="367"/>
      <c r="DS135" s="367"/>
      <c r="DT135" s="367"/>
      <c r="DU135" s="367"/>
      <c r="DV135" s="367"/>
      <c r="DW135" s="367"/>
    </row>
    <row r="136" ht="15.0" customHeight="1">
      <c r="A136" s="383">
        <v>40560.0</v>
      </c>
      <c r="B136" s="320" t="s">
        <v>2131</v>
      </c>
      <c r="C136" s="320" t="s">
        <v>1330</v>
      </c>
      <c r="D136" s="532"/>
      <c r="E136" s="374" t="str">
        <f>IFERROR(__xludf.DUMMYFUNCTION("if(and(D136&lt;&gt;0,D136&lt;&gt;""""),D136/GOOGLEFINANCE(C136,""price"")-1,"""")"),"")</f>
        <v/>
      </c>
      <c r="F136" s="375">
        <f>IFERROR(__xludf.DUMMYFUNCTION("GOOGLEFINANCE(C136,""price"")"),254.07)</f>
        <v>254.07</v>
      </c>
      <c r="G136" s="374">
        <f t="shared" si="6"/>
        <v>-0.04439804134</v>
      </c>
      <c r="H136" s="376"/>
      <c r="I136" s="368">
        <f>(N136)*($I$1+O136*100)</f>
        <v>242.7897896</v>
      </c>
      <c r="J136" s="377">
        <v>9.55</v>
      </c>
      <c r="K136" s="377">
        <v>10.54</v>
      </c>
      <c r="L136" s="378">
        <v>43708.0</v>
      </c>
      <c r="M136" s="379">
        <f t="shared" si="7"/>
        <v>-0.154358151</v>
      </c>
      <c r="N136" s="380">
        <f t="shared" si="8"/>
        <v>10.69281457</v>
      </c>
      <c r="O136" s="370">
        <v>0.08</v>
      </c>
      <c r="P136" s="370"/>
      <c r="Q136" s="371"/>
      <c r="R136" s="378"/>
      <c r="S136" s="378">
        <v>43546.0</v>
      </c>
      <c r="T136" s="381" t="s">
        <v>1240</v>
      </c>
      <c r="U136" s="417" t="s">
        <v>2132</v>
      </c>
      <c r="V136" s="367"/>
      <c r="W136" s="367"/>
      <c r="X136" s="367"/>
      <c r="Y136" s="367"/>
      <c r="Z136" s="367"/>
      <c r="AA136" s="367"/>
      <c r="AB136" s="367"/>
      <c r="AC136" s="367"/>
      <c r="AD136" s="367"/>
      <c r="AE136" s="367"/>
      <c r="AF136" s="367"/>
      <c r="AG136" s="367"/>
      <c r="AH136" s="367"/>
      <c r="AI136" s="367"/>
      <c r="AJ136" s="367"/>
      <c r="AK136" s="367"/>
      <c r="AL136" s="367"/>
      <c r="AM136" s="367"/>
      <c r="AN136" s="367"/>
      <c r="AO136" s="367"/>
      <c r="AP136" s="367"/>
      <c r="AQ136" s="367"/>
      <c r="AR136" s="367"/>
      <c r="AS136" s="367"/>
      <c r="AT136" s="367"/>
      <c r="AU136" s="367"/>
      <c r="AV136" s="367"/>
      <c r="AW136" s="367"/>
      <c r="AX136" s="367"/>
      <c r="AY136" s="367"/>
      <c r="AZ136" s="367"/>
      <c r="BA136" s="367"/>
      <c r="BB136" s="367"/>
      <c r="BC136" s="367"/>
      <c r="BD136" s="367"/>
      <c r="BE136" s="367"/>
      <c r="BF136" s="367"/>
      <c r="BG136" s="367"/>
      <c r="BH136" s="367"/>
      <c r="BI136" s="367"/>
      <c r="BJ136" s="367"/>
      <c r="BK136" s="367"/>
      <c r="BL136" s="367"/>
      <c r="BM136" s="367"/>
      <c r="BN136" s="367"/>
      <c r="BO136" s="367"/>
      <c r="BP136" s="367"/>
      <c r="BQ136" s="367"/>
      <c r="BR136" s="367"/>
      <c r="BS136" s="367"/>
      <c r="BT136" s="367"/>
      <c r="BU136" s="367"/>
      <c r="BV136" s="367"/>
      <c r="BW136" s="367"/>
      <c r="BX136" s="367"/>
      <c r="BY136" s="367"/>
      <c r="BZ136" s="367"/>
      <c r="CA136" s="367"/>
      <c r="CB136" s="367"/>
      <c r="CC136" s="367"/>
      <c r="CD136" s="367"/>
      <c r="CE136" s="367"/>
      <c r="CF136" s="367"/>
      <c r="CG136" s="367"/>
      <c r="CH136" s="367"/>
      <c r="CI136" s="367"/>
      <c r="CJ136" s="367"/>
      <c r="CK136" s="367"/>
      <c r="CL136" s="367"/>
      <c r="CM136" s="367"/>
      <c r="CN136" s="367"/>
      <c r="CO136" s="367"/>
      <c r="CP136" s="367"/>
      <c r="CQ136" s="367"/>
      <c r="CR136" s="367"/>
      <c r="CS136" s="367"/>
      <c r="CT136" s="367"/>
      <c r="CU136" s="367"/>
      <c r="CV136" s="367"/>
      <c r="CW136" s="367"/>
      <c r="CX136" s="367"/>
      <c r="CY136" s="367"/>
      <c r="CZ136" s="367"/>
      <c r="DA136" s="367"/>
      <c r="DB136" s="367"/>
      <c r="DC136" s="367"/>
      <c r="DD136" s="367"/>
      <c r="DE136" s="367"/>
      <c r="DF136" s="367"/>
      <c r="DG136" s="367"/>
      <c r="DH136" s="367"/>
      <c r="DI136" s="367"/>
      <c r="DJ136" s="367"/>
      <c r="DK136" s="367"/>
      <c r="DL136" s="367"/>
      <c r="DM136" s="367"/>
      <c r="DN136" s="367"/>
      <c r="DO136" s="367"/>
      <c r="DP136" s="367"/>
      <c r="DQ136" s="367"/>
      <c r="DR136" s="367"/>
      <c r="DS136" s="367"/>
      <c r="DT136" s="367"/>
      <c r="DU136" s="367"/>
      <c r="DV136" s="367"/>
      <c r="DW136" s="367"/>
    </row>
    <row r="137" ht="15.0" customHeight="1">
      <c r="A137" s="394">
        <v>40485.0</v>
      </c>
      <c r="B137" s="302" t="s">
        <v>2133</v>
      </c>
      <c r="C137" s="302" t="s">
        <v>2134</v>
      </c>
      <c r="D137" s="422"/>
      <c r="E137" s="396" t="str">
        <f>IFERROR(__xludf.DUMMYFUNCTION("if(and(D137&lt;&gt;0,D137&lt;&gt;""""),D137/GOOGLEFINANCE(C137,""price"")-1,"""")"),"")</f>
        <v/>
      </c>
      <c r="F137" s="397">
        <f>IFERROR(__xludf.DUMMYFUNCTION("GOOGLEFINANCE(C137,""price"")"),143.55)</f>
        <v>143.55</v>
      </c>
      <c r="G137" s="396" t="str">
        <f t="shared" si="6"/>
        <v/>
      </c>
      <c r="H137" s="398">
        <v>100.0</v>
      </c>
      <c r="I137" s="398"/>
      <c r="J137" s="403"/>
      <c r="K137" s="403"/>
      <c r="L137" s="410"/>
      <c r="M137" s="402">
        <f t="shared" si="7"/>
        <v>-119.9023034</v>
      </c>
      <c r="N137" s="403">
        <f t="shared" si="8"/>
        <v>0</v>
      </c>
      <c r="O137" s="410"/>
      <c r="P137" s="411"/>
      <c r="Q137" s="402"/>
      <c r="R137" s="412"/>
      <c r="S137" s="412"/>
      <c r="T137" s="412"/>
      <c r="U137" s="413" t="s">
        <v>2135</v>
      </c>
      <c r="V137" s="414"/>
      <c r="W137" s="414"/>
      <c r="X137" s="414"/>
      <c r="Y137" s="414"/>
      <c r="Z137" s="414"/>
      <c r="AA137" s="414"/>
      <c r="AB137" s="414"/>
      <c r="AC137" s="414"/>
      <c r="AD137" s="414"/>
      <c r="AE137" s="414"/>
      <c r="AF137" s="414"/>
      <c r="AG137" s="414"/>
      <c r="AH137" s="414"/>
      <c r="AI137" s="414"/>
      <c r="AJ137" s="414"/>
      <c r="AK137" s="414"/>
      <c r="AL137" s="414"/>
      <c r="AM137" s="414"/>
      <c r="AN137" s="414"/>
      <c r="AO137" s="414"/>
      <c r="AP137" s="414"/>
      <c r="AQ137" s="414"/>
      <c r="AR137" s="414"/>
      <c r="AS137" s="414"/>
      <c r="AT137" s="414"/>
      <c r="AU137" s="414"/>
      <c r="AV137" s="414"/>
      <c r="AW137" s="414"/>
      <c r="AX137" s="414"/>
      <c r="AY137" s="414"/>
      <c r="AZ137" s="414"/>
      <c r="BA137" s="414"/>
      <c r="BB137" s="414"/>
      <c r="BC137" s="414"/>
      <c r="BD137" s="414"/>
      <c r="BE137" s="414"/>
      <c r="BF137" s="414"/>
      <c r="BG137" s="414"/>
      <c r="BH137" s="414"/>
      <c r="BI137" s="414"/>
      <c r="BJ137" s="414"/>
      <c r="BK137" s="414"/>
      <c r="BL137" s="414"/>
      <c r="BM137" s="414"/>
      <c r="BN137" s="414"/>
      <c r="BO137" s="414"/>
      <c r="BP137" s="414"/>
      <c r="BQ137" s="414"/>
      <c r="BR137" s="414"/>
      <c r="BS137" s="414"/>
      <c r="BT137" s="414"/>
      <c r="BU137" s="414"/>
      <c r="BV137" s="414"/>
      <c r="BW137" s="414"/>
      <c r="BX137" s="414"/>
      <c r="BY137" s="414"/>
      <c r="BZ137" s="414"/>
      <c r="CA137" s="414"/>
      <c r="CB137" s="414"/>
      <c r="CC137" s="414"/>
      <c r="CD137" s="414"/>
      <c r="CE137" s="414"/>
      <c r="CF137" s="414"/>
      <c r="CG137" s="414"/>
      <c r="CH137" s="414"/>
      <c r="CI137" s="414"/>
      <c r="CJ137" s="414"/>
      <c r="CK137" s="414"/>
      <c r="CL137" s="414"/>
      <c r="CM137" s="414"/>
      <c r="CN137" s="414"/>
      <c r="CO137" s="414"/>
      <c r="CP137" s="414"/>
      <c r="CQ137" s="414"/>
      <c r="CR137" s="414"/>
      <c r="CS137" s="414"/>
      <c r="CT137" s="414"/>
      <c r="CU137" s="414"/>
      <c r="CV137" s="414"/>
      <c r="CW137" s="414"/>
      <c r="CX137" s="414"/>
      <c r="CY137" s="414"/>
      <c r="CZ137" s="414"/>
      <c r="DA137" s="414"/>
      <c r="DB137" s="414"/>
      <c r="DC137" s="414"/>
      <c r="DD137" s="414"/>
      <c r="DE137" s="414"/>
      <c r="DF137" s="414"/>
      <c r="DG137" s="414"/>
      <c r="DH137" s="414"/>
      <c r="DI137" s="414"/>
      <c r="DJ137" s="414"/>
      <c r="DK137" s="414"/>
      <c r="DL137" s="414"/>
      <c r="DM137" s="414"/>
      <c r="DN137" s="414"/>
      <c r="DO137" s="414"/>
      <c r="DP137" s="414"/>
      <c r="DQ137" s="414"/>
      <c r="DR137" s="414"/>
      <c r="DS137" s="414"/>
      <c r="DT137" s="414"/>
      <c r="DU137" s="414"/>
      <c r="DV137" s="414"/>
      <c r="DW137" s="414"/>
    </row>
    <row r="138" ht="15.0" customHeight="1">
      <c r="A138" s="383">
        <v>41637.0</v>
      </c>
      <c r="B138" s="373" t="s">
        <v>2137</v>
      </c>
      <c r="C138" s="373" t="s">
        <v>2138</v>
      </c>
      <c r="D138" s="373"/>
      <c r="E138" s="374" t="str">
        <f>IFERROR(__xludf.DUMMYFUNCTION("if(and(D138&lt;&gt;0,D138&lt;&gt;""""),D138/GOOGLEFINANCE(C138,""price"")-1,"""")"),"")</f>
        <v/>
      </c>
      <c r="F138" s="375">
        <f>IFERROR(__xludf.DUMMYFUNCTION("GOOGLEFINANCE(C138,""price"")"),299.28)</f>
        <v>299.28</v>
      </c>
      <c r="G138" s="374">
        <f t="shared" si="6"/>
        <v>-0.4137213583</v>
      </c>
      <c r="H138" s="376">
        <f t="shared" ref="H138:H139" si="71">1.89*17.5*1.175</f>
        <v>38.863125</v>
      </c>
      <c r="I138" s="368">
        <f t="shared" ref="I138:I139" si="72">sum(CY138:DS138)</f>
        <v>175.4614719</v>
      </c>
      <c r="J138" s="377">
        <v>7.22</v>
      </c>
      <c r="K138" s="377">
        <v>8.62</v>
      </c>
      <c r="L138" s="409">
        <v>43830.0</v>
      </c>
      <c r="M138" s="379">
        <f t="shared" si="7"/>
        <v>0.1798884219</v>
      </c>
      <c r="N138" s="380">
        <f t="shared" si="8"/>
        <v>8.368156209</v>
      </c>
      <c r="O138" s="370">
        <v>0.05</v>
      </c>
      <c r="P138" s="370">
        <v>0.15</v>
      </c>
      <c r="Q138" s="371">
        <f t="shared" ref="Q138:Q140" si="73">I138/N138</f>
        <v>20.96775771</v>
      </c>
      <c r="R138" s="381">
        <v>8.0</v>
      </c>
      <c r="S138" s="378">
        <v>43713.0</v>
      </c>
      <c r="T138" s="381" t="s">
        <v>1223</v>
      </c>
      <c r="U138" s="382" t="s">
        <v>2140</v>
      </c>
      <c r="V138" s="429">
        <f t="shared" ref="V138:V139" si="74">O138</f>
        <v>0.05</v>
      </c>
      <c r="W138" s="430">
        <f>max(min(Valu!$C$15,$O138),$O138-max($O138-Valu!$C$15,0)/$R138*(W$3-1))</f>
        <v>0.0475</v>
      </c>
      <c r="X138" s="430">
        <f>max(min(Valu!$C$15,$O138),$O138-max($O138-Valu!$C$15,0)/$R138*(X$3-1))</f>
        <v>0.045</v>
      </c>
      <c r="Y138" s="430">
        <f>max(min(Valu!$C$15,$O138),$O138-max($O138-Valu!$C$15,0)/$R138*(Y$3-1))</f>
        <v>0.0425</v>
      </c>
      <c r="Z138" s="430">
        <f>max(min(Valu!$C$15,$O138),$O138-max($O138-Valu!$C$15,0)/$R138*(Z$3-1))</f>
        <v>0.04</v>
      </c>
      <c r="AA138" s="430">
        <f>max(min(Valu!$C$15,$O138),$O138-max($O138-Valu!$C$15,0)/$R138*(AA$3-1))</f>
        <v>0.0375</v>
      </c>
      <c r="AB138" s="430">
        <f>max(min(Valu!$C$15,$O138),$O138-max($O138-Valu!$C$15,0)/$R138*(AB$3-1))</f>
        <v>0.035</v>
      </c>
      <c r="AC138" s="430">
        <f>max(min(Valu!$C$15,$O138),$O138-max($O138-Valu!$C$15,0)/$R138*(AC$3-1))</f>
        <v>0.0325</v>
      </c>
      <c r="AD138" s="430">
        <f>max(min(Valu!$C$15,$O138),$O138-max($O138-Valu!$C$15,0)/$R138*(AD$3-1))</f>
        <v>0.03</v>
      </c>
      <c r="AE138" s="430">
        <f>max(min(Valu!$C$15,$O138),$O138-max($O138-Valu!$C$15,0)/$R138*(AE$3-1))</f>
        <v>0.03</v>
      </c>
      <c r="AF138" s="430">
        <f>max(min(Valu!$C$15,$O138),$O138-max($O138-Valu!$C$15,0)/$R138*(AF$3-1))</f>
        <v>0.03</v>
      </c>
      <c r="AG138" s="430">
        <f>max(min(Valu!$C$15,$O138),$O138-max($O138-Valu!$C$15,0)/$R138*(AG$3-1))</f>
        <v>0.03</v>
      </c>
      <c r="AH138" s="430">
        <f>max(min(Valu!$C$15,$O138),$O138-max($O138-Valu!$C$15,0)/$R138*(AH$3-1))</f>
        <v>0.03</v>
      </c>
      <c r="AI138" s="430">
        <f>max(min(Valu!$C$15,$O138),$O138-max($O138-Valu!$C$15,0)/$R138*(AI$3-1))</f>
        <v>0.03</v>
      </c>
      <c r="AJ138" s="430">
        <f>max(min(Valu!$C$15,$O138),$O138-max($O138-Valu!$C$15,0)/$R138*(AJ$3-1))</f>
        <v>0.03</v>
      </c>
      <c r="AK138" s="430">
        <f>max(min(Valu!$C$15,$O138),$O138-max($O138-Valu!$C$15,0)/$R138*(AK$3-1))</f>
        <v>0.03</v>
      </c>
      <c r="AL138" s="430">
        <f>max(min(Valu!$C$15,$O138),$O138-max($O138-Valu!$C$15,0)/$R138*(AL$3-1))</f>
        <v>0.03</v>
      </c>
      <c r="AM138" s="430">
        <f>max(min(Valu!$C$15,$O138),$O138-max($O138-Valu!$C$15,0)/$R138*(AM$3-1))</f>
        <v>0.03</v>
      </c>
      <c r="AN138" s="430">
        <f>max(min(Valu!$C$15,$O138),$O138-max($O138-Valu!$C$15,0)/$R138*(AN$3-1))</f>
        <v>0.03</v>
      </c>
      <c r="AO138" s="430">
        <f>max(min(Valu!$C$15,$O138),$O138-max($O138-Valu!$C$15,0)/$R138*(AO$3-1))</f>
        <v>0.03</v>
      </c>
      <c r="AP138" s="430">
        <f>max(min(Valu!$C$14,$P138),$P138-max($P138-Valu!$C$14,0)/$R138*(AP$3-1))</f>
        <v>0.15</v>
      </c>
      <c r="AQ138" s="430">
        <f>max(min(Valu!$C$14,$P138),$P138-max($P138-Valu!$C$14,0)/$R138*(AQ$3-1))</f>
        <v>0.14625</v>
      </c>
      <c r="AR138" s="430">
        <f>max(min(Valu!$C$14,$P138),$P138-max($P138-Valu!$C$14,0)/$R138*(AR$3-1))</f>
        <v>0.1425</v>
      </c>
      <c r="AS138" s="430">
        <f>max(min(Valu!$C$14,$P138),$P138-max($P138-Valu!$C$14,0)/$R138*(AS$3-1))</f>
        <v>0.13875</v>
      </c>
      <c r="AT138" s="430">
        <f>max(min(Valu!$C$14,$P138),$P138-max($P138-Valu!$C$14,0)/$R138*(AT$3-1))</f>
        <v>0.135</v>
      </c>
      <c r="AU138" s="430">
        <f>max(min(Valu!$C$14,$P138),$P138-max($P138-Valu!$C$14,0)/$R138*(AU$3-1))</f>
        <v>0.13125</v>
      </c>
      <c r="AV138" s="430">
        <f>max(min(Valu!$C$14,$P138),$P138-max($P138-Valu!$C$14,0)/$R138*(AV$3-1))</f>
        <v>0.1275</v>
      </c>
      <c r="AW138" s="430">
        <f>max(min(Valu!$C$14,$P138),$P138-max($P138-Valu!$C$14,0)/$R138*(AW$3-1))</f>
        <v>0.12375</v>
      </c>
      <c r="AX138" s="430">
        <f>max(min(Valu!$C$14,$P138),$P138-max($P138-Valu!$C$14,0)/$R138*(AX$3-1))</f>
        <v>0.12</v>
      </c>
      <c r="AY138" s="430">
        <f>max(min(Valu!$C$14,$P138),$P138-max($P138-Valu!$C$14,0)/$R138*(AY$3-1))</f>
        <v>0.12</v>
      </c>
      <c r="AZ138" s="430">
        <f>max(min(Valu!$C$14,$P138),$P138-max($P138-Valu!$C$14,0)/$R138*(AZ$3-1))</f>
        <v>0.12</v>
      </c>
      <c r="BA138" s="430">
        <f>max(min(Valu!$C$14,$P138),$P138-max($P138-Valu!$C$14,0)/$R138*(BA$3-1))</f>
        <v>0.12</v>
      </c>
      <c r="BB138" s="430">
        <f>max(min(Valu!$C$14,$P138),$P138-max($P138-Valu!$C$14,0)/$R138*(BB$3-1))</f>
        <v>0.12</v>
      </c>
      <c r="BC138" s="430">
        <f>max(min(Valu!$C$14,$P138),$P138-max($P138-Valu!$C$14,0)/$R138*(BC$3-1))</f>
        <v>0.12</v>
      </c>
      <c r="BD138" s="430">
        <f>max(min(Valu!$C$14,$P138),$P138-max($P138-Valu!$C$14,0)/$R138*(BD$3-1))</f>
        <v>0.12</v>
      </c>
      <c r="BE138" s="430">
        <f>max(min(Valu!$C$14,$P138),$P138-max($P138-Valu!$C$14,0)/$R138*(BE$3-1))</f>
        <v>0.12</v>
      </c>
      <c r="BF138" s="430">
        <f>max(min(Valu!$C$14,$P138),$P138-max($P138-Valu!$C$14,0)/$R138*(BF$3-1))</f>
        <v>0.12</v>
      </c>
      <c r="BG138" s="430">
        <f>max(min(Valu!$C$14,$P138),$P138-max($P138-Valu!$C$14,0)/$R138*(BG$3-1))</f>
        <v>0.12</v>
      </c>
      <c r="BH138" s="430">
        <f>max(min(Valu!$C$14,$P138),$P138-max($P138-Valu!$C$14,0)/$R138*(BH$3-1))</f>
        <v>0.12</v>
      </c>
      <c r="BI138" s="430">
        <f>max(min(Valu!$C$14,$P138),$P138-max($P138-Valu!$C$14,0)/$R138*(BI$3-1))</f>
        <v>0.12</v>
      </c>
      <c r="BJ138" s="431">
        <f t="shared" ref="BJ138:BJ139" si="75">N138</f>
        <v>8.368156209</v>
      </c>
      <c r="BK138" s="432">
        <f t="shared" ref="BK138:BK139" si="76">$BJ138*(1+V138)</f>
        <v>8.78656402</v>
      </c>
      <c r="BL138" s="432">
        <f t="shared" ref="BL138:CC138" si="69">BK138*(1+W138)</f>
        <v>9.203925811</v>
      </c>
      <c r="BM138" s="432">
        <f t="shared" si="69"/>
        <v>9.618102472</v>
      </c>
      <c r="BN138" s="432">
        <f t="shared" si="69"/>
        <v>10.02687183</v>
      </c>
      <c r="BO138" s="432">
        <f t="shared" si="69"/>
        <v>10.4279467</v>
      </c>
      <c r="BP138" s="432">
        <f t="shared" si="69"/>
        <v>10.8189947</v>
      </c>
      <c r="BQ138" s="432">
        <f t="shared" si="69"/>
        <v>11.19765952</v>
      </c>
      <c r="BR138" s="432">
        <f t="shared" si="69"/>
        <v>11.56158345</v>
      </c>
      <c r="BS138" s="432">
        <f t="shared" si="69"/>
        <v>11.90843095</v>
      </c>
      <c r="BT138" s="432">
        <f t="shared" si="69"/>
        <v>12.26568388</v>
      </c>
      <c r="BU138" s="432">
        <f t="shared" si="69"/>
        <v>12.6336544</v>
      </c>
      <c r="BV138" s="432">
        <f t="shared" si="69"/>
        <v>13.01266403</v>
      </c>
      <c r="BW138" s="432">
        <f t="shared" si="69"/>
        <v>13.40304395</v>
      </c>
      <c r="BX138" s="432">
        <f t="shared" si="69"/>
        <v>13.80513527</v>
      </c>
      <c r="BY138" s="432">
        <f t="shared" si="69"/>
        <v>14.21928933</v>
      </c>
      <c r="BZ138" s="432">
        <f t="shared" si="69"/>
        <v>14.64586801</v>
      </c>
      <c r="CA138" s="432">
        <f t="shared" si="69"/>
        <v>15.08524405</v>
      </c>
      <c r="CB138" s="432">
        <f t="shared" si="69"/>
        <v>15.53780137</v>
      </c>
      <c r="CC138" s="432">
        <f t="shared" si="69"/>
        <v>16.00393541</v>
      </c>
      <c r="CD138" s="432">
        <f t="shared" ref="CD138:CW138" si="70">BJ138*(1-V138/AP138)</f>
        <v>5.578770806</v>
      </c>
      <c r="CE138" s="432">
        <f t="shared" si="70"/>
        <v>5.932808184</v>
      </c>
      <c r="CF138" s="432">
        <f t="shared" si="70"/>
        <v>6.297422923</v>
      </c>
      <c r="CG138" s="432">
        <f t="shared" si="70"/>
        <v>6.67201703</v>
      </c>
      <c r="CH138" s="432">
        <f t="shared" si="70"/>
        <v>7.055946841</v>
      </c>
      <c r="CI138" s="432">
        <f t="shared" si="70"/>
        <v>7.448533357</v>
      </c>
      <c r="CJ138" s="432">
        <f t="shared" si="70"/>
        <v>7.849074587</v>
      </c>
      <c r="CK138" s="432">
        <f t="shared" si="70"/>
        <v>8.256860047</v>
      </c>
      <c r="CL138" s="432">
        <f t="shared" si="70"/>
        <v>8.671187588</v>
      </c>
      <c r="CM138" s="432">
        <f t="shared" si="70"/>
        <v>8.931323215</v>
      </c>
      <c r="CN138" s="432">
        <f t="shared" si="70"/>
        <v>9.199262912</v>
      </c>
      <c r="CO138" s="432">
        <f t="shared" si="70"/>
        <v>9.475240799</v>
      </c>
      <c r="CP138" s="432">
        <f t="shared" si="70"/>
        <v>9.759498023</v>
      </c>
      <c r="CQ138" s="432">
        <f t="shared" si="70"/>
        <v>10.05228296</v>
      </c>
      <c r="CR138" s="432">
        <f t="shared" si="70"/>
        <v>10.35385145</v>
      </c>
      <c r="CS138" s="432">
        <f t="shared" si="70"/>
        <v>10.664467</v>
      </c>
      <c r="CT138" s="432">
        <f t="shared" si="70"/>
        <v>10.98440101</v>
      </c>
      <c r="CU138" s="432">
        <f t="shared" si="70"/>
        <v>11.31393304</v>
      </c>
      <c r="CV138" s="432">
        <f t="shared" si="70"/>
        <v>11.65335103</v>
      </c>
      <c r="CW138" s="432">
        <f t="shared" si="70"/>
        <v>12.00295156</v>
      </c>
      <c r="CX138" s="432">
        <f>CW138*(1+min(Valu!$C$15,$O138))/(Valu!$C$21-min(Valu!$C$15,$O138))</f>
        <v>325.3431607</v>
      </c>
      <c r="CY138" s="432">
        <f>CD138/(1+Valu!$C$21)^CY$3</f>
        <v>5.223568171</v>
      </c>
      <c r="CZ138" s="432">
        <f>CE138/(1+Valu!$C$21)^CZ$3</f>
        <v>5.201370639</v>
      </c>
      <c r="DA138" s="432">
        <f>CF138/(1+Valu!$C$21)^DA$3</f>
        <v>5.169506701</v>
      </c>
      <c r="DB138" s="432">
        <f>CG138/(1+Valu!$C$21)^DB$3</f>
        <v>5.128284795</v>
      </c>
      <c r="DC138" s="432">
        <f>CH138/(1+Valu!$C$21)^DC$3</f>
        <v>5.078074134</v>
      </c>
      <c r="DD138" s="432">
        <f>CI138/(1+Valu!$C$21)^DD$3</f>
        <v>5.019301121</v>
      </c>
      <c r="DE138" s="432">
        <f>CJ138/(1+Valu!$C$21)^DE$3</f>
        <v>4.952445298</v>
      </c>
      <c r="DF138" s="432">
        <f>CK138/(1+Valu!$C$21)^DF$3</f>
        <v>4.878034886</v>
      </c>
      <c r="DG138" s="432">
        <f>CL138/(1+Valu!$C$21)^DG$3</f>
        <v>4.796642017</v>
      </c>
      <c r="DH138" s="432">
        <f>CM138/(1+Valu!$C$21)^DH$3</f>
        <v>4.625974979</v>
      </c>
      <c r="DI138" s="432">
        <f>CN138/(1+Valu!$C$21)^DI$3</f>
        <v>4.461380363</v>
      </c>
      <c r="DJ138" s="432">
        <f>CO138/(1+Valu!$C$21)^DJ$3</f>
        <v>4.302642111</v>
      </c>
      <c r="DK138" s="432">
        <f>CP138/(1+Valu!$C$21)^DK$3</f>
        <v>4.149551848</v>
      </c>
      <c r="DL138" s="432">
        <f>CQ138/(1+Valu!$C$21)^DL$3</f>
        <v>4.001908618</v>
      </c>
      <c r="DM138" s="432">
        <f>CR138/(1+Valu!$C$21)^DM$3</f>
        <v>3.859518611</v>
      </c>
      <c r="DN138" s="432">
        <f>CS138/(1+Valu!$C$21)^DN$3</f>
        <v>3.722194915</v>
      </c>
      <c r="DO138" s="432">
        <f>CT138/(1+Valu!$C$21)^DO$3</f>
        <v>3.589757268</v>
      </c>
      <c r="DP138" s="432">
        <f>CU138/(1+Valu!$C$21)^DP$3</f>
        <v>3.462031822</v>
      </c>
      <c r="DQ138" s="432">
        <f>CV138/(1+Valu!$C$21)^DQ$3</f>
        <v>3.338850915</v>
      </c>
      <c r="DR138" s="432">
        <f>CW138/(1+Valu!$C$21)^DR$3</f>
        <v>3.220052848</v>
      </c>
      <c r="DS138" s="432">
        <f>CX138/(1+Valu!$C$21)^DS$3</f>
        <v>87.28037984</v>
      </c>
      <c r="DT138" s="358"/>
      <c r="DU138" s="358"/>
      <c r="DV138" s="358"/>
      <c r="DW138" s="358"/>
    </row>
    <row r="139" ht="15.0" customHeight="1">
      <c r="A139" s="383">
        <v>41637.0</v>
      </c>
      <c r="B139" s="320" t="s">
        <v>2163</v>
      </c>
      <c r="C139" s="320" t="s">
        <v>1146</v>
      </c>
      <c r="D139" s="373">
        <v>104.0</v>
      </c>
      <c r="E139" s="374">
        <f>IFERROR(__xludf.DUMMYFUNCTION("if(and(D139&lt;&gt;0,D139&lt;&gt;""""),D139/GOOGLEFINANCE(C139,""price"")-1,"""")"),-0.19579338076090314)</f>
        <v>-0.1957933808</v>
      </c>
      <c r="F139" s="375">
        <f>IFERROR(__xludf.DUMMYFUNCTION("GOOGLEFINANCE(C139,""price"")"),129.32)</f>
        <v>129.32</v>
      </c>
      <c r="G139" s="374">
        <f t="shared" si="6"/>
        <v>-0.064868857</v>
      </c>
      <c r="H139" s="376">
        <f t="shared" si="71"/>
        <v>38.863125</v>
      </c>
      <c r="I139" s="368">
        <f t="shared" si="72"/>
        <v>120.9311594</v>
      </c>
      <c r="J139" s="377">
        <v>5.65</v>
      </c>
      <c r="K139" s="377">
        <v>6.54</v>
      </c>
      <c r="L139" s="409">
        <v>43830.0</v>
      </c>
      <c r="M139" s="379">
        <f t="shared" si="7"/>
        <v>0.1798884262</v>
      </c>
      <c r="N139" s="380">
        <f t="shared" si="8"/>
        <v>6.379899301</v>
      </c>
      <c r="O139" s="370">
        <v>0.05</v>
      </c>
      <c r="P139" s="370">
        <v>0.1</v>
      </c>
      <c r="Q139" s="371">
        <f t="shared" si="73"/>
        <v>18.95502636</v>
      </c>
      <c r="R139" s="381">
        <v>6.0</v>
      </c>
      <c r="S139" s="378">
        <v>43692.0</v>
      </c>
      <c r="T139" s="381" t="s">
        <v>1223</v>
      </c>
      <c r="U139" s="382" t="s">
        <v>2167</v>
      </c>
      <c r="V139" s="429">
        <f t="shared" si="74"/>
        <v>0.05</v>
      </c>
      <c r="W139" s="430">
        <f>max(min(Valu!$C$15,$O139),$O139-max($O139-Valu!$C$15,0)/$R139*(W$3-1))</f>
        <v>0.04666666667</v>
      </c>
      <c r="X139" s="430">
        <f>max(min(Valu!$C$15,$O139),$O139-max($O139-Valu!$C$15,0)/$R139*(X$3-1))</f>
        <v>0.04333333333</v>
      </c>
      <c r="Y139" s="430">
        <f>max(min(Valu!$C$15,$O139),$O139-max($O139-Valu!$C$15,0)/$R139*(Y$3-1))</f>
        <v>0.04</v>
      </c>
      <c r="Z139" s="430">
        <f>max(min(Valu!$C$15,$O139),$O139-max($O139-Valu!$C$15,0)/$R139*(Z$3-1))</f>
        <v>0.03666666667</v>
      </c>
      <c r="AA139" s="430">
        <f>max(min(Valu!$C$15,$O139),$O139-max($O139-Valu!$C$15,0)/$R139*(AA$3-1))</f>
        <v>0.03333333333</v>
      </c>
      <c r="AB139" s="430">
        <f>max(min(Valu!$C$15,$O139),$O139-max($O139-Valu!$C$15,0)/$R139*(AB$3-1))</f>
        <v>0.03</v>
      </c>
      <c r="AC139" s="430">
        <f>max(min(Valu!$C$15,$O139),$O139-max($O139-Valu!$C$15,0)/$R139*(AC$3-1))</f>
        <v>0.03</v>
      </c>
      <c r="AD139" s="430">
        <f>max(min(Valu!$C$15,$O139),$O139-max($O139-Valu!$C$15,0)/$R139*(AD$3-1))</f>
        <v>0.03</v>
      </c>
      <c r="AE139" s="430">
        <f>max(min(Valu!$C$15,$O139),$O139-max($O139-Valu!$C$15,0)/$R139*(AE$3-1))</f>
        <v>0.03</v>
      </c>
      <c r="AF139" s="430">
        <f>max(min(Valu!$C$15,$O139),$O139-max($O139-Valu!$C$15,0)/$R139*(AF$3-1))</f>
        <v>0.03</v>
      </c>
      <c r="AG139" s="430">
        <f>max(min(Valu!$C$15,$O139),$O139-max($O139-Valu!$C$15,0)/$R139*(AG$3-1))</f>
        <v>0.03</v>
      </c>
      <c r="AH139" s="430">
        <f>max(min(Valu!$C$15,$O139),$O139-max($O139-Valu!$C$15,0)/$R139*(AH$3-1))</f>
        <v>0.03</v>
      </c>
      <c r="AI139" s="430">
        <f>max(min(Valu!$C$15,$O139),$O139-max($O139-Valu!$C$15,0)/$R139*(AI$3-1))</f>
        <v>0.03</v>
      </c>
      <c r="AJ139" s="430">
        <f>max(min(Valu!$C$15,$O139),$O139-max($O139-Valu!$C$15,0)/$R139*(AJ$3-1))</f>
        <v>0.03</v>
      </c>
      <c r="AK139" s="430">
        <f>max(min(Valu!$C$15,$O139),$O139-max($O139-Valu!$C$15,0)/$R139*(AK$3-1))</f>
        <v>0.03</v>
      </c>
      <c r="AL139" s="430">
        <f>max(min(Valu!$C$15,$O139),$O139-max($O139-Valu!$C$15,0)/$R139*(AL$3-1))</f>
        <v>0.03</v>
      </c>
      <c r="AM139" s="430">
        <f>max(min(Valu!$C$15,$O139),$O139-max($O139-Valu!$C$15,0)/$R139*(AM$3-1))</f>
        <v>0.03</v>
      </c>
      <c r="AN139" s="430">
        <f>max(min(Valu!$C$15,$O139),$O139-max($O139-Valu!$C$15,0)/$R139*(AN$3-1))</f>
        <v>0.03</v>
      </c>
      <c r="AO139" s="430">
        <f>max(min(Valu!$C$15,$O139),$O139-max($O139-Valu!$C$15,0)/$R139*(AO$3-1))</f>
        <v>0.03</v>
      </c>
      <c r="AP139" s="430">
        <f>max(min(Valu!$C$14,$P139),$P139-max($P139-Valu!$C$14,0)/$R139*(AP$3-1))</f>
        <v>0.1</v>
      </c>
      <c r="AQ139" s="430">
        <f>max(min(Valu!$C$14,$P139),$P139-max($P139-Valu!$C$14,0)/$R139*(AQ$3-1))</f>
        <v>0.1</v>
      </c>
      <c r="AR139" s="430">
        <f>max(min(Valu!$C$14,$P139),$P139-max($P139-Valu!$C$14,0)/$R139*(AR$3-1))</f>
        <v>0.1</v>
      </c>
      <c r="AS139" s="430">
        <f>max(min(Valu!$C$14,$P139),$P139-max($P139-Valu!$C$14,0)/$R139*(AS$3-1))</f>
        <v>0.1</v>
      </c>
      <c r="AT139" s="430">
        <f>max(min(Valu!$C$14,$P139),$P139-max($P139-Valu!$C$14,0)/$R139*(AT$3-1))</f>
        <v>0.1</v>
      </c>
      <c r="AU139" s="430">
        <f>max(min(Valu!$C$14,$P139),$P139-max($P139-Valu!$C$14,0)/$R139*(AU$3-1))</f>
        <v>0.1</v>
      </c>
      <c r="AV139" s="430">
        <f>max(min(Valu!$C$14,$P139),$P139-max($P139-Valu!$C$14,0)/$R139*(AV$3-1))</f>
        <v>0.1</v>
      </c>
      <c r="AW139" s="430">
        <f>max(min(Valu!$C$14,$P139),$P139-max($P139-Valu!$C$14,0)/$R139*(AW$3-1))</f>
        <v>0.1</v>
      </c>
      <c r="AX139" s="430">
        <f>max(min(Valu!$C$14,$P139),$P139-max($P139-Valu!$C$14,0)/$R139*(AX$3-1))</f>
        <v>0.1</v>
      </c>
      <c r="AY139" s="430">
        <f>max(min(Valu!$C$14,$P139),$P139-max($P139-Valu!$C$14,0)/$R139*(AY$3-1))</f>
        <v>0.1</v>
      </c>
      <c r="AZ139" s="430">
        <f>max(min(Valu!$C$14,$P139),$P139-max($P139-Valu!$C$14,0)/$R139*(AZ$3-1))</f>
        <v>0.1</v>
      </c>
      <c r="BA139" s="430">
        <f>max(min(Valu!$C$14,$P139),$P139-max($P139-Valu!$C$14,0)/$R139*(BA$3-1))</f>
        <v>0.1</v>
      </c>
      <c r="BB139" s="430">
        <f>max(min(Valu!$C$14,$P139),$P139-max($P139-Valu!$C$14,0)/$R139*(BB$3-1))</f>
        <v>0.1</v>
      </c>
      <c r="BC139" s="430">
        <f>max(min(Valu!$C$14,$P139),$P139-max($P139-Valu!$C$14,0)/$R139*(BC$3-1))</f>
        <v>0.1</v>
      </c>
      <c r="BD139" s="430">
        <f>max(min(Valu!$C$14,$P139),$P139-max($P139-Valu!$C$14,0)/$R139*(BD$3-1))</f>
        <v>0.1</v>
      </c>
      <c r="BE139" s="430">
        <f>max(min(Valu!$C$14,$P139),$P139-max($P139-Valu!$C$14,0)/$R139*(BE$3-1))</f>
        <v>0.1</v>
      </c>
      <c r="BF139" s="430">
        <f>max(min(Valu!$C$14,$P139),$P139-max($P139-Valu!$C$14,0)/$R139*(BF$3-1))</f>
        <v>0.1</v>
      </c>
      <c r="BG139" s="430">
        <f>max(min(Valu!$C$14,$P139),$P139-max($P139-Valu!$C$14,0)/$R139*(BG$3-1))</f>
        <v>0.1</v>
      </c>
      <c r="BH139" s="430">
        <f>max(min(Valu!$C$14,$P139),$P139-max($P139-Valu!$C$14,0)/$R139*(BH$3-1))</f>
        <v>0.1</v>
      </c>
      <c r="BI139" s="430">
        <f>max(min(Valu!$C$14,$P139),$P139-max($P139-Valu!$C$14,0)/$R139*(BI$3-1))</f>
        <v>0.1</v>
      </c>
      <c r="BJ139" s="431">
        <f t="shared" si="75"/>
        <v>6.379899301</v>
      </c>
      <c r="BK139" s="432">
        <f t="shared" si="76"/>
        <v>6.698894266</v>
      </c>
      <c r="BL139" s="432">
        <f t="shared" ref="BL139:CC139" si="77">BK139*(1+W139)</f>
        <v>7.011509331</v>
      </c>
      <c r="BM139" s="432">
        <f t="shared" si="77"/>
        <v>7.315341402</v>
      </c>
      <c r="BN139" s="432">
        <f t="shared" si="77"/>
        <v>7.607955059</v>
      </c>
      <c r="BO139" s="432">
        <f t="shared" si="77"/>
        <v>7.886913411</v>
      </c>
      <c r="BP139" s="432">
        <f t="shared" si="77"/>
        <v>8.149810524</v>
      </c>
      <c r="BQ139" s="432">
        <f t="shared" si="77"/>
        <v>8.39430484</v>
      </c>
      <c r="BR139" s="432">
        <f t="shared" si="77"/>
        <v>8.646133985</v>
      </c>
      <c r="BS139" s="432">
        <f t="shared" si="77"/>
        <v>8.905518005</v>
      </c>
      <c r="BT139" s="432">
        <f t="shared" si="77"/>
        <v>9.172683545</v>
      </c>
      <c r="BU139" s="432">
        <f t="shared" si="77"/>
        <v>9.447864051</v>
      </c>
      <c r="BV139" s="432">
        <f t="shared" si="77"/>
        <v>9.731299973</v>
      </c>
      <c r="BW139" s="432">
        <f t="shared" si="77"/>
        <v>10.02323897</v>
      </c>
      <c r="BX139" s="432">
        <f t="shared" si="77"/>
        <v>10.32393614</v>
      </c>
      <c r="BY139" s="432">
        <f t="shared" si="77"/>
        <v>10.63365423</v>
      </c>
      <c r="BZ139" s="432">
        <f t="shared" si="77"/>
        <v>10.95266385</v>
      </c>
      <c r="CA139" s="432">
        <f t="shared" si="77"/>
        <v>11.28124377</v>
      </c>
      <c r="CB139" s="432">
        <f t="shared" si="77"/>
        <v>11.61968108</v>
      </c>
      <c r="CC139" s="432">
        <f t="shared" si="77"/>
        <v>11.96827151</v>
      </c>
      <c r="CD139" s="432">
        <f t="shared" ref="CD139:CW139" si="78">BJ139*(1-V139/AP139)</f>
        <v>3.18994965</v>
      </c>
      <c r="CE139" s="432">
        <f t="shared" si="78"/>
        <v>3.572743608</v>
      </c>
      <c r="CF139" s="432">
        <f t="shared" si="78"/>
        <v>3.973188621</v>
      </c>
      <c r="CG139" s="432">
        <f t="shared" si="78"/>
        <v>4.389204841</v>
      </c>
      <c r="CH139" s="432">
        <f t="shared" si="78"/>
        <v>4.818371537</v>
      </c>
      <c r="CI139" s="432">
        <f t="shared" si="78"/>
        <v>5.257942274</v>
      </c>
      <c r="CJ139" s="432">
        <f t="shared" si="78"/>
        <v>5.704867367</v>
      </c>
      <c r="CK139" s="432">
        <f t="shared" si="78"/>
        <v>5.876013388</v>
      </c>
      <c r="CL139" s="432">
        <f t="shared" si="78"/>
        <v>6.05229379</v>
      </c>
      <c r="CM139" s="432">
        <f t="shared" si="78"/>
        <v>6.233862603</v>
      </c>
      <c r="CN139" s="432">
        <f t="shared" si="78"/>
        <v>6.420878482</v>
      </c>
      <c r="CO139" s="432">
        <f t="shared" si="78"/>
        <v>6.613504836</v>
      </c>
      <c r="CP139" s="432">
        <f t="shared" si="78"/>
        <v>6.811909981</v>
      </c>
      <c r="CQ139" s="432">
        <f t="shared" si="78"/>
        <v>7.01626728</v>
      </c>
      <c r="CR139" s="432">
        <f t="shared" si="78"/>
        <v>7.226755299</v>
      </c>
      <c r="CS139" s="432">
        <f t="shared" si="78"/>
        <v>7.443557958</v>
      </c>
      <c r="CT139" s="432">
        <f t="shared" si="78"/>
        <v>7.666864697</v>
      </c>
      <c r="CU139" s="432">
        <f t="shared" si="78"/>
        <v>7.896870638</v>
      </c>
      <c r="CV139" s="432">
        <f t="shared" si="78"/>
        <v>8.133776757</v>
      </c>
      <c r="CW139" s="432">
        <f t="shared" si="78"/>
        <v>8.377790059</v>
      </c>
      <c r="CX139" s="432">
        <f>CW139*(1+min(Valu!$C$15,$O139))/(Valu!$C$21-min(Valu!$C$15,$O139))</f>
        <v>227.0822042</v>
      </c>
      <c r="CY139" s="432">
        <f>CD139/(1+Valu!$C$21)^CY$3</f>
        <v>2.986844242</v>
      </c>
      <c r="CZ139" s="432">
        <f>CE139/(1+Valu!$C$21)^CZ$3</f>
        <v>3.132271115</v>
      </c>
      <c r="DA139" s="432">
        <f>CF139/(1+Valu!$C$21)^DA$3</f>
        <v>3.261560396</v>
      </c>
      <c r="DB139" s="432">
        <f>CG139/(1+Valu!$C$21)^DB$3</f>
        <v>3.373656325</v>
      </c>
      <c r="DC139" s="432">
        <f>CH139/(1+Valu!$C$21)^DC$3</f>
        <v>3.467719984</v>
      </c>
      <c r="DD139" s="432">
        <f>CI139/(1+Valu!$C$21)^DD$3</f>
        <v>3.543139875</v>
      </c>
      <c r="DE139" s="432">
        <f>CJ139/(1+Valu!$C$21)^DE$3</f>
        <v>3.599538169</v>
      </c>
      <c r="DF139" s="432">
        <f>CK139/(1+Valu!$C$21)^DF$3</f>
        <v>3.471464713</v>
      </c>
      <c r="DG139" s="432">
        <f>CL139/(1+Valu!$C$21)^DG$3</f>
        <v>3.347948178</v>
      </c>
      <c r="DH139" s="432">
        <f>CM139/(1+Valu!$C$21)^DH$3</f>
        <v>3.228826427</v>
      </c>
      <c r="DI139" s="432">
        <f>CN139/(1+Valu!$C$21)^DI$3</f>
        <v>3.113943089</v>
      </c>
      <c r="DJ139" s="432">
        <f>CO139/(1+Valu!$C$21)^DJ$3</f>
        <v>3.003147362</v>
      </c>
      <c r="DK139" s="432">
        <f>CP139/(1+Valu!$C$21)^DK$3</f>
        <v>2.896293804</v>
      </c>
      <c r="DL139" s="432">
        <f>CQ139/(1+Valu!$C$21)^DL$3</f>
        <v>2.793242152</v>
      </c>
      <c r="DM139" s="432">
        <f>CR139/(1+Valu!$C$21)^DM$3</f>
        <v>2.693857131</v>
      </c>
      <c r="DN139" s="432">
        <f>CS139/(1+Valu!$C$21)^DN$3</f>
        <v>2.598008282</v>
      </c>
      <c r="DO139" s="432">
        <f>CT139/(1+Valu!$C$21)^DO$3</f>
        <v>2.505569785</v>
      </c>
      <c r="DP139" s="432">
        <f>CU139/(1+Valu!$C$21)^DP$3</f>
        <v>2.416420298</v>
      </c>
      <c r="DQ139" s="432">
        <f>CV139/(1+Valu!$C$21)^DQ$3</f>
        <v>2.330442797</v>
      </c>
      <c r="DR139" s="432">
        <f>CW139/(1+Valu!$C$21)^DR$3</f>
        <v>2.24752442</v>
      </c>
      <c r="DS139" s="432">
        <f>CX139/(1+Valu!$C$21)^DS$3</f>
        <v>60.91974087</v>
      </c>
      <c r="DT139" s="358"/>
      <c r="DU139" s="358"/>
      <c r="DV139" s="358"/>
      <c r="DW139" s="358"/>
    </row>
    <row r="140" ht="15.0" customHeight="1">
      <c r="A140" s="383">
        <v>40406.0</v>
      </c>
      <c r="B140" s="320" t="s">
        <v>2220</v>
      </c>
      <c r="C140" s="320" t="s">
        <v>1152</v>
      </c>
      <c r="D140" s="373">
        <v>65.0</v>
      </c>
      <c r="E140" s="374">
        <f>IFERROR(__xludf.DUMMYFUNCTION("if(and(D140&lt;&gt;0,D140&lt;&gt;""""),D140/GOOGLEFINANCE(C140,""price"")-1,"""")"),-0.3659155204370306)</f>
        <v>-0.3659155204</v>
      </c>
      <c r="F140" s="375">
        <f>IFERROR(__xludf.DUMMYFUNCTION("GOOGLEFINANCE(C140,""price"")"),102.51)</f>
        <v>102.51</v>
      </c>
      <c r="G140" s="374">
        <f t="shared" si="6"/>
        <v>-0.1913128945</v>
      </c>
      <c r="H140" s="376">
        <f>2.75*20*1.2</f>
        <v>66</v>
      </c>
      <c r="I140" s="368">
        <f>N140*($I$1+iferror(sqrt((O140*100)*(P140-1/$I$1)*100),-sqrt((O140*100)*-1*(P140-1/$I$1)*100))*(R140/4)^0.2)</f>
        <v>82.89851519</v>
      </c>
      <c r="J140" s="385">
        <v>3.46</v>
      </c>
      <c r="K140" s="385">
        <v>3.91</v>
      </c>
      <c r="L140" s="409">
        <v>43830.0</v>
      </c>
      <c r="M140" s="379">
        <f t="shared" si="7"/>
        <v>0.179888426</v>
      </c>
      <c r="N140" s="380">
        <f t="shared" si="8"/>
        <v>3.829050208</v>
      </c>
      <c r="O140" s="370">
        <v>0.05</v>
      </c>
      <c r="P140" s="370">
        <v>0.15</v>
      </c>
      <c r="Q140" s="371">
        <f t="shared" si="73"/>
        <v>21.64988984</v>
      </c>
      <c r="R140" s="381">
        <v>6.0</v>
      </c>
      <c r="S140" s="378">
        <v>43666.0</v>
      </c>
      <c r="T140" s="387" t="s">
        <v>1223</v>
      </c>
      <c r="U140" s="382" t="s">
        <v>2225</v>
      </c>
      <c r="V140" s="358"/>
      <c r="W140" s="358"/>
      <c r="X140" s="358"/>
      <c r="Y140" s="358"/>
      <c r="Z140" s="358"/>
      <c r="AA140" s="358"/>
      <c r="AB140" s="358"/>
      <c r="AC140" s="358"/>
      <c r="AD140" s="358"/>
      <c r="AE140" s="358"/>
      <c r="AF140" s="358"/>
      <c r="AG140" s="358"/>
      <c r="AH140" s="358"/>
      <c r="AI140" s="358"/>
      <c r="AJ140" s="358"/>
      <c r="AK140" s="358"/>
      <c r="AL140" s="358"/>
      <c r="AM140" s="358"/>
      <c r="AN140" s="358"/>
      <c r="AO140" s="358"/>
      <c r="AP140" s="358"/>
      <c r="AQ140" s="358"/>
      <c r="AR140" s="358"/>
      <c r="AS140" s="358"/>
      <c r="AT140" s="358"/>
      <c r="AU140" s="358"/>
      <c r="AV140" s="358"/>
      <c r="AW140" s="358"/>
      <c r="AX140" s="358"/>
      <c r="AY140" s="358"/>
      <c r="AZ140" s="358"/>
      <c r="BA140" s="358"/>
      <c r="BB140" s="358"/>
      <c r="BC140" s="358"/>
      <c r="BD140" s="358"/>
      <c r="BE140" s="358"/>
      <c r="BF140" s="358"/>
      <c r="BG140" s="358"/>
      <c r="BH140" s="358"/>
      <c r="BI140" s="358"/>
      <c r="BJ140" s="358"/>
      <c r="BK140" s="358"/>
      <c r="BL140" s="358"/>
      <c r="BM140" s="358"/>
      <c r="BN140" s="358"/>
      <c r="BO140" s="358"/>
      <c r="BP140" s="358"/>
      <c r="BQ140" s="358"/>
      <c r="BR140" s="358"/>
      <c r="BS140" s="358"/>
      <c r="BT140" s="358"/>
      <c r="BU140" s="358"/>
      <c r="BV140" s="358"/>
      <c r="BW140" s="358"/>
      <c r="BX140" s="358"/>
      <c r="BY140" s="358"/>
      <c r="BZ140" s="358"/>
      <c r="CA140" s="358"/>
      <c r="CB140" s="358"/>
      <c r="CC140" s="358"/>
      <c r="CD140" s="358"/>
      <c r="CE140" s="358"/>
      <c r="CF140" s="358"/>
      <c r="CG140" s="358"/>
      <c r="CH140" s="358"/>
      <c r="CI140" s="358"/>
      <c r="CJ140" s="358"/>
      <c r="CK140" s="358"/>
      <c r="CL140" s="358"/>
      <c r="CM140" s="358"/>
      <c r="CN140" s="358"/>
      <c r="CO140" s="358"/>
      <c r="CP140" s="358"/>
      <c r="CQ140" s="358"/>
      <c r="CR140" s="358"/>
      <c r="CS140" s="358"/>
      <c r="CT140" s="358"/>
      <c r="CU140" s="358"/>
      <c r="CV140" s="358"/>
      <c r="CW140" s="358"/>
      <c r="CX140" s="358"/>
      <c r="CY140" s="358"/>
      <c r="CZ140" s="358"/>
      <c r="DA140" s="358"/>
      <c r="DB140" s="358"/>
      <c r="DC140" s="358"/>
      <c r="DD140" s="358"/>
      <c r="DE140" s="358"/>
      <c r="DF140" s="358"/>
      <c r="DG140" s="358"/>
      <c r="DH140" s="358"/>
      <c r="DI140" s="358"/>
      <c r="DJ140" s="358"/>
      <c r="DK140" s="358"/>
      <c r="DL140" s="358"/>
      <c r="DM140" s="358"/>
      <c r="DN140" s="358"/>
      <c r="DO140" s="358"/>
      <c r="DP140" s="358"/>
      <c r="DQ140" s="358"/>
      <c r="DR140" s="358"/>
      <c r="DS140" s="358"/>
      <c r="DT140" s="358"/>
      <c r="DU140" s="358"/>
      <c r="DV140" s="358"/>
      <c r="DW140" s="358"/>
    </row>
    <row r="141" ht="15.0" customHeight="1">
      <c r="A141" s="383">
        <v>41422.0</v>
      </c>
      <c r="B141" s="320" t="s">
        <v>2228</v>
      </c>
      <c r="C141" s="320" t="s">
        <v>2229</v>
      </c>
      <c r="D141" s="532"/>
      <c r="E141" s="374" t="str">
        <f>IFERROR(__xludf.DUMMYFUNCTION("if(and(D141&lt;&gt;0,D141&lt;&gt;""""),D141/GOOGLEFINANCE(C141,""price"")-1,"""")"),"")</f>
        <v/>
      </c>
      <c r="F141" s="375">
        <f>IFERROR(__xludf.DUMMYFUNCTION("GOOGLEFINANCE(C141,""price"")"),29.05)</f>
        <v>29.05</v>
      </c>
      <c r="G141" s="374" t="str">
        <f t="shared" si="6"/>
        <v/>
      </c>
      <c r="H141" s="376">
        <v>35.0</v>
      </c>
      <c r="I141" s="376"/>
      <c r="J141" s="380"/>
      <c r="K141" s="380"/>
      <c r="L141" s="389"/>
      <c r="M141" s="379">
        <f t="shared" si="7"/>
        <v>-119.9023034</v>
      </c>
      <c r="N141" s="380">
        <f t="shared" si="8"/>
        <v>0</v>
      </c>
      <c r="O141" s="389"/>
      <c r="P141" s="415"/>
      <c r="Q141" s="379"/>
      <c r="R141" s="416"/>
      <c r="S141" s="416"/>
      <c r="T141" s="416"/>
      <c r="U141" s="417" t="s">
        <v>2230</v>
      </c>
      <c r="V141" s="367"/>
      <c r="W141" s="367"/>
      <c r="X141" s="367"/>
      <c r="Y141" s="367"/>
      <c r="Z141" s="367"/>
      <c r="AA141" s="367"/>
      <c r="AB141" s="367"/>
      <c r="AC141" s="367"/>
      <c r="AD141" s="367"/>
      <c r="AE141" s="367"/>
      <c r="AF141" s="367"/>
      <c r="AG141" s="367"/>
      <c r="AH141" s="367"/>
      <c r="AI141" s="367"/>
      <c r="AJ141" s="367"/>
      <c r="AK141" s="367"/>
      <c r="AL141" s="367"/>
      <c r="AM141" s="367"/>
      <c r="AN141" s="367"/>
      <c r="AO141" s="367"/>
      <c r="AP141" s="367"/>
      <c r="AQ141" s="367"/>
      <c r="AR141" s="367"/>
      <c r="AS141" s="367"/>
      <c r="AT141" s="367"/>
      <c r="AU141" s="367"/>
      <c r="AV141" s="367"/>
      <c r="AW141" s="367"/>
      <c r="AX141" s="367"/>
      <c r="AY141" s="367"/>
      <c r="AZ141" s="367"/>
      <c r="BA141" s="367"/>
      <c r="BB141" s="367"/>
      <c r="BC141" s="367"/>
      <c r="BD141" s="367"/>
      <c r="BE141" s="367"/>
      <c r="BF141" s="367"/>
      <c r="BG141" s="367"/>
      <c r="BH141" s="367"/>
      <c r="BI141" s="367"/>
      <c r="BJ141" s="367"/>
      <c r="BK141" s="367"/>
      <c r="BL141" s="367"/>
      <c r="BM141" s="367"/>
      <c r="BN141" s="367"/>
      <c r="BO141" s="367"/>
      <c r="BP141" s="367"/>
      <c r="BQ141" s="367"/>
      <c r="BR141" s="367"/>
      <c r="BS141" s="367"/>
      <c r="BT141" s="367"/>
      <c r="BU141" s="367"/>
      <c r="BV141" s="367"/>
      <c r="BW141" s="367"/>
      <c r="BX141" s="367"/>
      <c r="BY141" s="367"/>
      <c r="BZ141" s="367"/>
      <c r="CA141" s="367"/>
      <c r="CB141" s="367"/>
      <c r="CC141" s="367"/>
      <c r="CD141" s="367"/>
      <c r="CE141" s="367"/>
      <c r="CF141" s="367"/>
      <c r="CG141" s="367"/>
      <c r="CH141" s="367"/>
      <c r="CI141" s="367"/>
      <c r="CJ141" s="367"/>
      <c r="CK141" s="367"/>
      <c r="CL141" s="367"/>
      <c r="CM141" s="367"/>
      <c r="CN141" s="367"/>
      <c r="CO141" s="367"/>
      <c r="CP141" s="367"/>
      <c r="CQ141" s="367"/>
      <c r="CR141" s="367"/>
      <c r="CS141" s="367"/>
      <c r="CT141" s="367"/>
      <c r="CU141" s="367"/>
      <c r="CV141" s="367"/>
      <c r="CW141" s="367"/>
      <c r="CX141" s="367"/>
      <c r="CY141" s="367"/>
      <c r="CZ141" s="367"/>
      <c r="DA141" s="367"/>
      <c r="DB141" s="367"/>
      <c r="DC141" s="367"/>
      <c r="DD141" s="367"/>
      <c r="DE141" s="367"/>
      <c r="DF141" s="367"/>
      <c r="DG141" s="367"/>
      <c r="DH141" s="367"/>
      <c r="DI141" s="367"/>
      <c r="DJ141" s="367"/>
      <c r="DK141" s="367"/>
      <c r="DL141" s="367"/>
      <c r="DM141" s="367"/>
      <c r="DN141" s="367"/>
      <c r="DO141" s="367"/>
      <c r="DP141" s="367"/>
      <c r="DQ141" s="367"/>
      <c r="DR141" s="367"/>
      <c r="DS141" s="367"/>
      <c r="DT141" s="367"/>
      <c r="DU141" s="367"/>
      <c r="DV141" s="367"/>
      <c r="DW141" s="367"/>
    </row>
    <row r="142" ht="15.0" customHeight="1">
      <c r="A142" s="383">
        <v>43055.0</v>
      </c>
      <c r="B142" s="384" t="s">
        <v>2231</v>
      </c>
      <c r="C142" s="384" t="s">
        <v>1215</v>
      </c>
      <c r="D142" s="373">
        <v>45.0</v>
      </c>
      <c r="E142" s="374">
        <f>IFERROR(__xludf.DUMMYFUNCTION("if(and(D142&lt;&gt;0,D142&lt;&gt;""""),D142/GOOGLEFINANCE(C142,""price"")-1,"""")"),-0.1273996509598604)</f>
        <v>-0.127399651</v>
      </c>
      <c r="F142" s="375">
        <f>IFERROR(__xludf.DUMMYFUNCTION("GOOGLEFINANCE(C142,""price"")"),51.57)</f>
        <v>51.57</v>
      </c>
      <c r="G142" s="374">
        <f t="shared" si="6"/>
        <v>0.09967168189</v>
      </c>
      <c r="H142" s="376"/>
      <c r="I142" s="368">
        <f>sum(CY142:DS142)</f>
        <v>56.71006864</v>
      </c>
      <c r="J142" s="377">
        <v>2.72</v>
      </c>
      <c r="K142" s="377">
        <v>3.08</v>
      </c>
      <c r="L142" s="378">
        <v>43830.0</v>
      </c>
      <c r="M142" s="379">
        <f t="shared" si="7"/>
        <v>0.1798884252</v>
      </c>
      <c r="N142" s="380">
        <f t="shared" si="8"/>
        <v>3.015240167</v>
      </c>
      <c r="O142" s="370">
        <v>0.05</v>
      </c>
      <c r="P142" s="370">
        <v>0.1</v>
      </c>
      <c r="Q142" s="371">
        <f>I142/N142</f>
        <v>18.80781148</v>
      </c>
      <c r="R142" s="381">
        <v>4.0</v>
      </c>
      <c r="S142" s="378">
        <v>43714.0</v>
      </c>
      <c r="T142" s="387" t="s">
        <v>1223</v>
      </c>
      <c r="U142" s="382" t="s">
        <v>2232</v>
      </c>
      <c r="V142" s="429">
        <f>O142</f>
        <v>0.05</v>
      </c>
      <c r="W142" s="430">
        <f>max(min(Valu!$C$15,$O142),$O142-max($O142-Valu!$C$15,0)/$R142*(W$3-1))</f>
        <v>0.045</v>
      </c>
      <c r="X142" s="430">
        <f>max(min(Valu!$C$15,$O142),$O142-max($O142-Valu!$C$15,0)/$R142*(X$3-1))</f>
        <v>0.04</v>
      </c>
      <c r="Y142" s="430">
        <f>max(min(Valu!$C$15,$O142),$O142-max($O142-Valu!$C$15,0)/$R142*(Y$3-1))</f>
        <v>0.035</v>
      </c>
      <c r="Z142" s="430">
        <f>max(min(Valu!$C$15,$O142),$O142-max($O142-Valu!$C$15,0)/$R142*(Z$3-1))</f>
        <v>0.03</v>
      </c>
      <c r="AA142" s="430">
        <f>max(min(Valu!$C$15,$O142),$O142-max($O142-Valu!$C$15,0)/$R142*(AA$3-1))</f>
        <v>0.03</v>
      </c>
      <c r="AB142" s="430">
        <f>max(min(Valu!$C$15,$O142),$O142-max($O142-Valu!$C$15,0)/$R142*(AB$3-1))</f>
        <v>0.03</v>
      </c>
      <c r="AC142" s="430">
        <f>max(min(Valu!$C$15,$O142),$O142-max($O142-Valu!$C$15,0)/$R142*(AC$3-1))</f>
        <v>0.03</v>
      </c>
      <c r="AD142" s="430">
        <f>max(min(Valu!$C$15,$O142),$O142-max($O142-Valu!$C$15,0)/$R142*(AD$3-1))</f>
        <v>0.03</v>
      </c>
      <c r="AE142" s="430">
        <f>max(min(Valu!$C$15,$O142),$O142-max($O142-Valu!$C$15,0)/$R142*(AE$3-1))</f>
        <v>0.03</v>
      </c>
      <c r="AF142" s="430">
        <f>max(min(Valu!$C$15,$O142),$O142-max($O142-Valu!$C$15,0)/$R142*(AF$3-1))</f>
        <v>0.03</v>
      </c>
      <c r="AG142" s="430">
        <f>max(min(Valu!$C$15,$O142),$O142-max($O142-Valu!$C$15,0)/$R142*(AG$3-1))</f>
        <v>0.03</v>
      </c>
      <c r="AH142" s="430">
        <f>max(min(Valu!$C$15,$O142),$O142-max($O142-Valu!$C$15,0)/$R142*(AH$3-1))</f>
        <v>0.03</v>
      </c>
      <c r="AI142" s="430">
        <f>max(min(Valu!$C$15,$O142),$O142-max($O142-Valu!$C$15,0)/$R142*(AI$3-1))</f>
        <v>0.03</v>
      </c>
      <c r="AJ142" s="430">
        <f>max(min(Valu!$C$15,$O142),$O142-max($O142-Valu!$C$15,0)/$R142*(AJ$3-1))</f>
        <v>0.03</v>
      </c>
      <c r="AK142" s="430">
        <f>max(min(Valu!$C$15,$O142),$O142-max($O142-Valu!$C$15,0)/$R142*(AK$3-1))</f>
        <v>0.03</v>
      </c>
      <c r="AL142" s="430">
        <f>max(min(Valu!$C$15,$O142),$O142-max($O142-Valu!$C$15,0)/$R142*(AL$3-1))</f>
        <v>0.03</v>
      </c>
      <c r="AM142" s="430">
        <f>max(min(Valu!$C$15,$O142),$O142-max($O142-Valu!$C$15,0)/$R142*(AM$3-1))</f>
        <v>0.03</v>
      </c>
      <c r="AN142" s="430">
        <f>max(min(Valu!$C$15,$O142),$O142-max($O142-Valu!$C$15,0)/$R142*(AN$3-1))</f>
        <v>0.03</v>
      </c>
      <c r="AO142" s="430">
        <f>max(min(Valu!$C$15,$O142),$O142-max($O142-Valu!$C$15,0)/$R142*(AO$3-1))</f>
        <v>0.03</v>
      </c>
      <c r="AP142" s="430">
        <f>max(min(Valu!$C$14,$P142),$P142-max($P142-Valu!$C$14,0)/$R142*(AP$3-1))</f>
        <v>0.1</v>
      </c>
      <c r="AQ142" s="430">
        <f>max(min(Valu!$C$14,$P142),$P142-max($P142-Valu!$C$14,0)/$R142*(AQ$3-1))</f>
        <v>0.1</v>
      </c>
      <c r="AR142" s="430">
        <f>max(min(Valu!$C$14,$P142),$P142-max($P142-Valu!$C$14,0)/$R142*(AR$3-1))</f>
        <v>0.1</v>
      </c>
      <c r="AS142" s="430">
        <f>max(min(Valu!$C$14,$P142),$P142-max($P142-Valu!$C$14,0)/$R142*(AS$3-1))</f>
        <v>0.1</v>
      </c>
      <c r="AT142" s="430">
        <f>max(min(Valu!$C$14,$P142),$P142-max($P142-Valu!$C$14,0)/$R142*(AT$3-1))</f>
        <v>0.1</v>
      </c>
      <c r="AU142" s="430">
        <f>max(min(Valu!$C$14,$P142),$P142-max($P142-Valu!$C$14,0)/$R142*(AU$3-1))</f>
        <v>0.1</v>
      </c>
      <c r="AV142" s="430">
        <f>max(min(Valu!$C$14,$P142),$P142-max($P142-Valu!$C$14,0)/$R142*(AV$3-1))</f>
        <v>0.1</v>
      </c>
      <c r="AW142" s="430">
        <f>max(min(Valu!$C$14,$P142),$P142-max($P142-Valu!$C$14,0)/$R142*(AW$3-1))</f>
        <v>0.1</v>
      </c>
      <c r="AX142" s="430">
        <f>max(min(Valu!$C$14,$P142),$P142-max($P142-Valu!$C$14,0)/$R142*(AX$3-1))</f>
        <v>0.1</v>
      </c>
      <c r="AY142" s="430">
        <f>max(min(Valu!$C$14,$P142),$P142-max($P142-Valu!$C$14,0)/$R142*(AY$3-1))</f>
        <v>0.1</v>
      </c>
      <c r="AZ142" s="430">
        <f>max(min(Valu!$C$14,$P142),$P142-max($P142-Valu!$C$14,0)/$R142*(AZ$3-1))</f>
        <v>0.1</v>
      </c>
      <c r="BA142" s="430">
        <f>max(min(Valu!$C$14,$P142),$P142-max($P142-Valu!$C$14,0)/$R142*(BA$3-1))</f>
        <v>0.1</v>
      </c>
      <c r="BB142" s="430">
        <f>max(min(Valu!$C$14,$P142),$P142-max($P142-Valu!$C$14,0)/$R142*(BB$3-1))</f>
        <v>0.1</v>
      </c>
      <c r="BC142" s="430">
        <f>max(min(Valu!$C$14,$P142),$P142-max($P142-Valu!$C$14,0)/$R142*(BC$3-1))</f>
        <v>0.1</v>
      </c>
      <c r="BD142" s="430">
        <f>max(min(Valu!$C$14,$P142),$P142-max($P142-Valu!$C$14,0)/$R142*(BD$3-1))</f>
        <v>0.1</v>
      </c>
      <c r="BE142" s="430">
        <f>max(min(Valu!$C$14,$P142),$P142-max($P142-Valu!$C$14,0)/$R142*(BE$3-1))</f>
        <v>0.1</v>
      </c>
      <c r="BF142" s="430">
        <f>max(min(Valu!$C$14,$P142),$P142-max($P142-Valu!$C$14,0)/$R142*(BF$3-1))</f>
        <v>0.1</v>
      </c>
      <c r="BG142" s="430">
        <f>max(min(Valu!$C$14,$P142),$P142-max($P142-Valu!$C$14,0)/$R142*(BG$3-1))</f>
        <v>0.1</v>
      </c>
      <c r="BH142" s="430">
        <f>max(min(Valu!$C$14,$P142),$P142-max($P142-Valu!$C$14,0)/$R142*(BH$3-1))</f>
        <v>0.1</v>
      </c>
      <c r="BI142" s="430">
        <f>max(min(Valu!$C$14,$P142),$P142-max($P142-Valu!$C$14,0)/$R142*(BI$3-1))</f>
        <v>0.1</v>
      </c>
      <c r="BJ142" s="431">
        <f>N142</f>
        <v>3.015240167</v>
      </c>
      <c r="BK142" s="432">
        <f>$BJ142*(1+V142)</f>
        <v>3.166002175</v>
      </c>
      <c r="BL142" s="432">
        <f t="shared" ref="BL142:CC142" si="79">BK142*(1+W142)</f>
        <v>3.308472273</v>
      </c>
      <c r="BM142" s="432">
        <f t="shared" si="79"/>
        <v>3.440811164</v>
      </c>
      <c r="BN142" s="432">
        <f t="shared" si="79"/>
        <v>3.561239555</v>
      </c>
      <c r="BO142" s="432">
        <f t="shared" si="79"/>
        <v>3.668076741</v>
      </c>
      <c r="BP142" s="432">
        <f t="shared" si="79"/>
        <v>3.778119044</v>
      </c>
      <c r="BQ142" s="432">
        <f t="shared" si="79"/>
        <v>3.891462615</v>
      </c>
      <c r="BR142" s="432">
        <f t="shared" si="79"/>
        <v>4.008206493</v>
      </c>
      <c r="BS142" s="432">
        <f t="shared" si="79"/>
        <v>4.128452688</v>
      </c>
      <c r="BT142" s="432">
        <f t="shared" si="79"/>
        <v>4.252306269</v>
      </c>
      <c r="BU142" s="432">
        <f t="shared" si="79"/>
        <v>4.379875457</v>
      </c>
      <c r="BV142" s="432">
        <f t="shared" si="79"/>
        <v>4.511271721</v>
      </c>
      <c r="BW142" s="432">
        <f t="shared" si="79"/>
        <v>4.646609872</v>
      </c>
      <c r="BX142" s="432">
        <f t="shared" si="79"/>
        <v>4.786008169</v>
      </c>
      <c r="BY142" s="432">
        <f t="shared" si="79"/>
        <v>4.929588414</v>
      </c>
      <c r="BZ142" s="432">
        <f t="shared" si="79"/>
        <v>5.077476066</v>
      </c>
      <c r="CA142" s="432">
        <f t="shared" si="79"/>
        <v>5.229800348</v>
      </c>
      <c r="CB142" s="432">
        <f t="shared" si="79"/>
        <v>5.386694358</v>
      </c>
      <c r="CC142" s="432">
        <f t="shared" si="79"/>
        <v>5.548295189</v>
      </c>
      <c r="CD142" s="432">
        <f t="shared" ref="CD142:CW142" si="80">BJ142*(1-V142/AP142)</f>
        <v>1.507620083</v>
      </c>
      <c r="CE142" s="432">
        <f t="shared" si="80"/>
        <v>1.741301196</v>
      </c>
      <c r="CF142" s="432">
        <f t="shared" si="80"/>
        <v>1.985083364</v>
      </c>
      <c r="CG142" s="432">
        <f t="shared" si="80"/>
        <v>2.236527257</v>
      </c>
      <c r="CH142" s="432">
        <f t="shared" si="80"/>
        <v>2.492867688</v>
      </c>
      <c r="CI142" s="432">
        <f t="shared" si="80"/>
        <v>2.567653719</v>
      </c>
      <c r="CJ142" s="432">
        <f t="shared" si="80"/>
        <v>2.644683331</v>
      </c>
      <c r="CK142" s="432">
        <f t="shared" si="80"/>
        <v>2.724023831</v>
      </c>
      <c r="CL142" s="432">
        <f t="shared" si="80"/>
        <v>2.805744545</v>
      </c>
      <c r="CM142" s="432">
        <f t="shared" si="80"/>
        <v>2.889916882</v>
      </c>
      <c r="CN142" s="432">
        <f t="shared" si="80"/>
        <v>2.976614388</v>
      </c>
      <c r="CO142" s="432">
        <f t="shared" si="80"/>
        <v>3.06591282</v>
      </c>
      <c r="CP142" s="432">
        <f t="shared" si="80"/>
        <v>3.157890205</v>
      </c>
      <c r="CQ142" s="432">
        <f t="shared" si="80"/>
        <v>3.252626911</v>
      </c>
      <c r="CR142" s="432">
        <f t="shared" si="80"/>
        <v>3.350205718</v>
      </c>
      <c r="CS142" s="432">
        <f t="shared" si="80"/>
        <v>3.450711889</v>
      </c>
      <c r="CT142" s="432">
        <f t="shared" si="80"/>
        <v>3.554233246</v>
      </c>
      <c r="CU142" s="432">
        <f t="shared" si="80"/>
        <v>3.660860244</v>
      </c>
      <c r="CV142" s="432">
        <f t="shared" si="80"/>
        <v>3.770686051</v>
      </c>
      <c r="CW142" s="432">
        <f t="shared" si="80"/>
        <v>3.883806632</v>
      </c>
      <c r="CX142" s="432">
        <f>CW142*(1+min(Valu!$C$15,$O142))/(Valu!$C$21-min(Valu!$C$15,$O142))</f>
        <v>105.2716008</v>
      </c>
      <c r="CY142" s="432">
        <f>CD142/(1+Valu!$C$21)^CY$3</f>
        <v>1.411629292</v>
      </c>
      <c r="CZ142" s="432">
        <f>CE142/(1+Valu!$C$21)^CZ$3</f>
        <v>1.526621565</v>
      </c>
      <c r="DA142" s="432">
        <f>CF142/(1+Valu!$C$21)^DA$3</f>
        <v>1.629539873</v>
      </c>
      <c r="DB142" s="432">
        <f>CG142/(1+Valu!$C$21)^DB$3</f>
        <v>1.719052675</v>
      </c>
      <c r="DC142" s="432">
        <f>CH142/(1+Valu!$C$21)^DC$3</f>
        <v>1.794084793</v>
      </c>
      <c r="DD142" s="432">
        <f>CI142/(1+Valu!$C$21)^DD$3</f>
        <v>1.730250315</v>
      </c>
      <c r="DE142" s="432">
        <f>CJ142/(1+Valu!$C$21)^DE$3</f>
        <v>1.668687102</v>
      </c>
      <c r="DF142" s="432">
        <f>CK142/(1+Valu!$C$21)^DF$3</f>
        <v>1.60931434</v>
      </c>
      <c r="DG142" s="432">
        <f>CL142/(1+Valu!$C$21)^DG$3</f>
        <v>1.552054092</v>
      </c>
      <c r="DH142" s="432">
        <f>CM142/(1+Valu!$C$21)^DH$3</f>
        <v>1.496831193</v>
      </c>
      <c r="DI142" s="432">
        <f>CN142/(1+Valu!$C$21)^DI$3</f>
        <v>1.443573155</v>
      </c>
      <c r="DJ142" s="432">
        <f>CO142/(1+Valu!$C$21)^DJ$3</f>
        <v>1.392210065</v>
      </c>
      <c r="DK142" s="432">
        <f>CP142/(1+Valu!$C$21)^DK$3</f>
        <v>1.342674501</v>
      </c>
      <c r="DL142" s="432">
        <f>CQ142/(1+Valu!$C$21)^DL$3</f>
        <v>1.294901438</v>
      </c>
      <c r="DM142" s="432">
        <f>CR142/(1+Valu!$C$21)^DM$3</f>
        <v>1.248828166</v>
      </c>
      <c r="DN142" s="432">
        <f>CS142/(1+Valu!$C$21)^DN$3</f>
        <v>1.204394205</v>
      </c>
      <c r="DO142" s="432">
        <f>CT142/(1+Valu!$C$21)^DO$3</f>
        <v>1.161541227</v>
      </c>
      <c r="DP142" s="432">
        <f>CU142/(1+Valu!$C$21)^DP$3</f>
        <v>1.120212982</v>
      </c>
      <c r="DQ142" s="432">
        <f>CV142/(1+Valu!$C$21)^DQ$3</f>
        <v>1.080355216</v>
      </c>
      <c r="DR142" s="432">
        <f>CW142/(1+Valu!$C$21)^DR$3</f>
        <v>1.041915611</v>
      </c>
      <c r="DS142" s="432">
        <f>CX142/(1+Valu!$C$21)^DS$3</f>
        <v>28.24139683</v>
      </c>
      <c r="DT142" s="358"/>
      <c r="DU142" s="358"/>
      <c r="DV142" s="358"/>
      <c r="DW142" s="358"/>
    </row>
    <row r="143" ht="15.0" customHeight="1">
      <c r="A143" s="388">
        <v>43477.0</v>
      </c>
      <c r="B143" s="373" t="s">
        <v>2301</v>
      </c>
      <c r="C143" s="373" t="s">
        <v>2302</v>
      </c>
      <c r="D143" s="373"/>
      <c r="E143" s="374" t="str">
        <f>IFERROR(__xludf.DUMMYFUNCTION("if(and(D143&lt;&gt;0,D143&lt;&gt;""""),D143/GOOGLEFINANCE(C143,""price"")-1,"""")"),"")</f>
        <v/>
      </c>
      <c r="F143" s="375">
        <f>IFERROR(__xludf.DUMMYFUNCTION("GOOGLEFINANCE(C143,""price"")"),49.89)</f>
        <v>49.89</v>
      </c>
      <c r="G143" s="374">
        <f t="shared" si="6"/>
        <v>0.8810645938</v>
      </c>
      <c r="H143" s="376"/>
      <c r="I143" s="368">
        <f t="shared" ref="I143:I144" si="81">(N143)*($I$1+O143*100)</f>
        <v>93.84631258</v>
      </c>
      <c r="J143" s="377">
        <v>3.57</v>
      </c>
      <c r="K143" s="377">
        <v>4.01</v>
      </c>
      <c r="L143" s="378">
        <v>43585.0</v>
      </c>
      <c r="M143" s="379">
        <f t="shared" si="7"/>
        <v>-0.4913444548</v>
      </c>
      <c r="N143" s="380">
        <f t="shared" si="8"/>
        <v>4.22619156</v>
      </c>
      <c r="O143" s="370">
        <v>0.075</v>
      </c>
      <c r="P143" s="370"/>
      <c r="Q143" s="371"/>
      <c r="R143" s="378"/>
      <c r="S143" s="378">
        <v>43477.0</v>
      </c>
      <c r="T143" s="387" t="s">
        <v>1223</v>
      </c>
      <c r="U143" s="382" t="s">
        <v>2307</v>
      </c>
      <c r="V143" s="358"/>
      <c r="W143" s="358"/>
      <c r="X143" s="358"/>
      <c r="Y143" s="358"/>
      <c r="Z143" s="358"/>
      <c r="AA143" s="358"/>
      <c r="AB143" s="358"/>
      <c r="AC143" s="358"/>
      <c r="AD143" s="358"/>
      <c r="AE143" s="358"/>
      <c r="AF143" s="358"/>
      <c r="AG143" s="358"/>
      <c r="AH143" s="358"/>
      <c r="AI143" s="358"/>
      <c r="AJ143" s="358"/>
      <c r="AK143" s="358"/>
      <c r="AL143" s="358"/>
      <c r="AM143" s="358"/>
      <c r="AN143" s="358"/>
      <c r="AO143" s="358"/>
      <c r="AP143" s="358"/>
      <c r="AQ143" s="358"/>
      <c r="AR143" s="358"/>
      <c r="AS143" s="358"/>
      <c r="AT143" s="358"/>
      <c r="AU143" s="358"/>
      <c r="AV143" s="358"/>
      <c r="AW143" s="358"/>
      <c r="AX143" s="358"/>
      <c r="AY143" s="358"/>
      <c r="AZ143" s="358"/>
      <c r="BA143" s="358"/>
      <c r="BB143" s="358"/>
      <c r="BC143" s="358"/>
      <c r="BD143" s="358"/>
      <c r="BE143" s="358"/>
      <c r="BF143" s="358"/>
      <c r="BG143" s="358"/>
      <c r="BH143" s="358"/>
      <c r="BI143" s="358"/>
      <c r="BJ143" s="358"/>
      <c r="BK143" s="358"/>
      <c r="BL143" s="358"/>
      <c r="BM143" s="358"/>
      <c r="BN143" s="358"/>
      <c r="BO143" s="358"/>
      <c r="BP143" s="358"/>
      <c r="BQ143" s="358"/>
      <c r="BR143" s="358"/>
      <c r="BS143" s="358"/>
      <c r="BT143" s="358"/>
      <c r="BU143" s="358"/>
      <c r="BV143" s="358"/>
      <c r="BW143" s="358"/>
      <c r="BX143" s="358"/>
      <c r="BY143" s="358"/>
      <c r="BZ143" s="358"/>
      <c r="CA143" s="358"/>
      <c r="CB143" s="358"/>
      <c r="CC143" s="358"/>
      <c r="CD143" s="358"/>
      <c r="CE143" s="358"/>
      <c r="CF143" s="358"/>
      <c r="CG143" s="358"/>
      <c r="CH143" s="358"/>
      <c r="CI143" s="358"/>
      <c r="CJ143" s="358"/>
      <c r="CK143" s="358"/>
      <c r="CL143" s="358"/>
      <c r="CM143" s="358"/>
      <c r="CN143" s="358"/>
      <c r="CO143" s="358"/>
      <c r="CP143" s="358"/>
      <c r="CQ143" s="358"/>
      <c r="CR143" s="358"/>
      <c r="CS143" s="358"/>
      <c r="CT143" s="358"/>
      <c r="CU143" s="358"/>
      <c r="CV143" s="358"/>
      <c r="CW143" s="358"/>
      <c r="CX143" s="358"/>
      <c r="CY143" s="358"/>
      <c r="CZ143" s="358"/>
      <c r="DA143" s="358"/>
      <c r="DB143" s="358"/>
      <c r="DC143" s="358"/>
      <c r="DD143" s="358"/>
      <c r="DE143" s="358"/>
      <c r="DF143" s="358"/>
      <c r="DG143" s="358"/>
      <c r="DH143" s="358"/>
      <c r="DI143" s="358"/>
      <c r="DJ143" s="358"/>
      <c r="DK143" s="358"/>
      <c r="DL143" s="358"/>
      <c r="DM143" s="358"/>
      <c r="DN143" s="358"/>
      <c r="DO143" s="358"/>
      <c r="DP143" s="358"/>
      <c r="DQ143" s="358"/>
      <c r="DR143" s="358"/>
      <c r="DS143" s="358"/>
      <c r="DT143" s="358"/>
      <c r="DU143" s="358"/>
      <c r="DV143" s="358"/>
      <c r="DW143" s="358"/>
    </row>
    <row r="144" ht="15.0" customHeight="1">
      <c r="A144" s="383">
        <v>41603.0</v>
      </c>
      <c r="B144" s="320" t="s">
        <v>2309</v>
      </c>
      <c r="C144" s="320" t="s">
        <v>1483</v>
      </c>
      <c r="D144" s="384">
        <v>1.0</v>
      </c>
      <c r="E144" s="374">
        <f>IFERROR(__xludf.DUMMYFUNCTION("if(and(D144&lt;&gt;0,D144&lt;&gt;""""),D144/GOOGLEFINANCE(C144,""price"")-1,"""")"),-0.6453900709219857)</f>
        <v>-0.6453900709</v>
      </c>
      <c r="F144" s="375">
        <f>IFERROR(__xludf.DUMMYFUNCTION("GOOGLEFINANCE(C144,""price"")"),2.82)</f>
        <v>2.82</v>
      </c>
      <c r="G144" s="374">
        <f t="shared" si="6"/>
        <v>5.940323704</v>
      </c>
      <c r="H144" s="376"/>
      <c r="I144" s="368">
        <f t="shared" si="81"/>
        <v>19.57171285</v>
      </c>
      <c r="J144" s="385">
        <v>2.4</v>
      </c>
      <c r="K144" s="385">
        <v>2.0</v>
      </c>
      <c r="L144" s="409">
        <v>43465.0</v>
      </c>
      <c r="M144" s="379">
        <f t="shared" si="7"/>
        <v>-0.8201115781</v>
      </c>
      <c r="N144" s="380">
        <f t="shared" si="8"/>
        <v>1.671955369</v>
      </c>
      <c r="O144" s="390">
        <v>-0.03</v>
      </c>
      <c r="P144" s="390"/>
      <c r="Q144" s="391"/>
      <c r="R144" s="409"/>
      <c r="S144" s="409">
        <v>43288.0</v>
      </c>
      <c r="T144" s="387" t="s">
        <v>1223</v>
      </c>
      <c r="U144" s="417" t="s">
        <v>2315</v>
      </c>
      <c r="V144" s="367"/>
      <c r="W144" s="367"/>
      <c r="X144" s="367"/>
      <c r="Y144" s="367"/>
      <c r="Z144" s="367"/>
      <c r="AA144" s="367"/>
      <c r="AB144" s="367"/>
      <c r="AC144" s="367"/>
      <c r="AD144" s="367"/>
      <c r="AE144" s="367"/>
      <c r="AF144" s="367"/>
      <c r="AG144" s="367"/>
      <c r="AH144" s="367"/>
      <c r="AI144" s="367"/>
      <c r="AJ144" s="367"/>
      <c r="AK144" s="367"/>
      <c r="AL144" s="367"/>
      <c r="AM144" s="367"/>
      <c r="AN144" s="367"/>
      <c r="AO144" s="367"/>
      <c r="AP144" s="367"/>
      <c r="AQ144" s="367"/>
      <c r="AR144" s="367"/>
      <c r="AS144" s="367"/>
      <c r="AT144" s="367"/>
      <c r="AU144" s="367"/>
      <c r="AV144" s="367"/>
      <c r="AW144" s="367"/>
      <c r="AX144" s="367"/>
      <c r="AY144" s="367"/>
      <c r="AZ144" s="367"/>
      <c r="BA144" s="367"/>
      <c r="BB144" s="367"/>
      <c r="BC144" s="367"/>
      <c r="BD144" s="367"/>
      <c r="BE144" s="367"/>
      <c r="BF144" s="367"/>
      <c r="BG144" s="367"/>
      <c r="BH144" s="367"/>
      <c r="BI144" s="367"/>
      <c r="BJ144" s="367"/>
      <c r="BK144" s="367"/>
      <c r="BL144" s="367"/>
      <c r="BM144" s="367"/>
      <c r="BN144" s="367"/>
      <c r="BO144" s="367"/>
      <c r="BP144" s="367"/>
      <c r="BQ144" s="367"/>
      <c r="BR144" s="367"/>
      <c r="BS144" s="367"/>
      <c r="BT144" s="367"/>
      <c r="BU144" s="367"/>
      <c r="BV144" s="367"/>
      <c r="BW144" s="367"/>
      <c r="BX144" s="367"/>
      <c r="BY144" s="367"/>
      <c r="BZ144" s="367"/>
      <c r="CA144" s="367"/>
      <c r="CB144" s="367"/>
      <c r="CC144" s="367"/>
      <c r="CD144" s="367"/>
      <c r="CE144" s="367"/>
      <c r="CF144" s="367"/>
      <c r="CG144" s="367"/>
      <c r="CH144" s="367"/>
      <c r="CI144" s="367"/>
      <c r="CJ144" s="367"/>
      <c r="CK144" s="367"/>
      <c r="CL144" s="367"/>
      <c r="CM144" s="367"/>
      <c r="CN144" s="367"/>
      <c r="CO144" s="367"/>
      <c r="CP144" s="367"/>
      <c r="CQ144" s="367"/>
      <c r="CR144" s="367"/>
      <c r="CS144" s="367"/>
      <c r="CT144" s="367"/>
      <c r="CU144" s="367"/>
      <c r="CV144" s="367"/>
      <c r="CW144" s="367"/>
      <c r="CX144" s="367"/>
      <c r="CY144" s="367"/>
      <c r="CZ144" s="367"/>
      <c r="DA144" s="367"/>
      <c r="DB144" s="367"/>
      <c r="DC144" s="367"/>
      <c r="DD144" s="367"/>
      <c r="DE144" s="367"/>
      <c r="DF144" s="367"/>
      <c r="DG144" s="367"/>
      <c r="DH144" s="367"/>
      <c r="DI144" s="367"/>
      <c r="DJ144" s="367"/>
      <c r="DK144" s="367"/>
      <c r="DL144" s="367"/>
      <c r="DM144" s="367"/>
      <c r="DN144" s="367"/>
      <c r="DO144" s="367"/>
      <c r="DP144" s="367"/>
      <c r="DQ144" s="367"/>
      <c r="DR144" s="367"/>
      <c r="DS144" s="367"/>
      <c r="DT144" s="367"/>
      <c r="DU144" s="367"/>
      <c r="DV144" s="367"/>
      <c r="DW144" s="367"/>
    </row>
    <row r="145" ht="15.0" customHeight="1">
      <c r="A145" s="383">
        <v>41601.0</v>
      </c>
      <c r="B145" s="320" t="s">
        <v>2318</v>
      </c>
      <c r="C145" s="320" t="s">
        <v>1485</v>
      </c>
      <c r="D145" s="384">
        <v>5.0</v>
      </c>
      <c r="E145" s="374">
        <f>IFERROR(__xludf.DUMMYFUNCTION("if(and(D145&lt;&gt;0,D145&lt;&gt;""""),D145/GOOGLEFINANCE(C145,""price"")-1,"""")"),-0.5983935742971888)</f>
        <v>-0.5983935743</v>
      </c>
      <c r="F145" s="375">
        <f>IFERROR(__xludf.DUMMYFUNCTION("GOOGLEFINANCE(C145,""price"")"),12.45)</f>
        <v>12.45</v>
      </c>
      <c r="G145" s="374">
        <f t="shared" si="6"/>
        <v>1.008032129</v>
      </c>
      <c r="H145" s="376"/>
      <c r="I145" s="376">
        <v>25.0</v>
      </c>
      <c r="J145" s="380"/>
      <c r="K145" s="380"/>
      <c r="L145" s="409">
        <v>43465.0</v>
      </c>
      <c r="M145" s="379">
        <f t="shared" si="7"/>
        <v>-0.8201115781</v>
      </c>
      <c r="N145" s="380">
        <f t="shared" si="8"/>
        <v>0</v>
      </c>
      <c r="O145" s="390">
        <v>-0.03</v>
      </c>
      <c r="P145" s="390"/>
      <c r="Q145" s="391"/>
      <c r="R145" s="409"/>
      <c r="S145" s="409">
        <v>43288.0</v>
      </c>
      <c r="T145" s="387" t="s">
        <v>1223</v>
      </c>
      <c r="U145" s="417" t="s">
        <v>2323</v>
      </c>
      <c r="V145" s="367"/>
      <c r="W145" s="367"/>
      <c r="X145" s="367"/>
      <c r="Y145" s="367"/>
      <c r="Z145" s="367"/>
      <c r="AA145" s="367"/>
      <c r="AB145" s="367"/>
      <c r="AC145" s="367"/>
      <c r="AD145" s="367"/>
      <c r="AE145" s="367"/>
      <c r="AF145" s="367"/>
      <c r="AG145" s="367"/>
      <c r="AH145" s="367"/>
      <c r="AI145" s="367"/>
      <c r="AJ145" s="367"/>
      <c r="AK145" s="367"/>
      <c r="AL145" s="367"/>
      <c r="AM145" s="367"/>
      <c r="AN145" s="367"/>
      <c r="AO145" s="367"/>
      <c r="AP145" s="367"/>
      <c r="AQ145" s="367"/>
      <c r="AR145" s="367"/>
      <c r="AS145" s="367"/>
      <c r="AT145" s="367"/>
      <c r="AU145" s="367"/>
      <c r="AV145" s="367"/>
      <c r="AW145" s="367"/>
      <c r="AX145" s="367"/>
      <c r="AY145" s="367"/>
      <c r="AZ145" s="367"/>
      <c r="BA145" s="367"/>
      <c r="BB145" s="367"/>
      <c r="BC145" s="367"/>
      <c r="BD145" s="367"/>
      <c r="BE145" s="367"/>
      <c r="BF145" s="367"/>
      <c r="BG145" s="367"/>
      <c r="BH145" s="367"/>
      <c r="BI145" s="367"/>
      <c r="BJ145" s="367"/>
      <c r="BK145" s="367"/>
      <c r="BL145" s="367"/>
      <c r="BM145" s="367"/>
      <c r="BN145" s="367"/>
      <c r="BO145" s="367"/>
      <c r="BP145" s="367"/>
      <c r="BQ145" s="367"/>
      <c r="BR145" s="367"/>
      <c r="BS145" s="367"/>
      <c r="BT145" s="367"/>
      <c r="BU145" s="367"/>
      <c r="BV145" s="367"/>
      <c r="BW145" s="367"/>
      <c r="BX145" s="367"/>
      <c r="BY145" s="367"/>
      <c r="BZ145" s="367"/>
      <c r="CA145" s="367"/>
      <c r="CB145" s="367"/>
      <c r="CC145" s="367"/>
      <c r="CD145" s="367"/>
      <c r="CE145" s="367"/>
      <c r="CF145" s="367"/>
      <c r="CG145" s="367"/>
      <c r="CH145" s="367"/>
      <c r="CI145" s="367"/>
      <c r="CJ145" s="367"/>
      <c r="CK145" s="367"/>
      <c r="CL145" s="367"/>
      <c r="CM145" s="367"/>
      <c r="CN145" s="367"/>
      <c r="CO145" s="367"/>
      <c r="CP145" s="367"/>
      <c r="CQ145" s="367"/>
      <c r="CR145" s="367"/>
      <c r="CS145" s="367"/>
      <c r="CT145" s="367"/>
      <c r="CU145" s="367"/>
      <c r="CV145" s="367"/>
      <c r="CW145" s="367"/>
      <c r="CX145" s="367"/>
      <c r="CY145" s="367"/>
      <c r="CZ145" s="367"/>
      <c r="DA145" s="367"/>
      <c r="DB145" s="367"/>
      <c r="DC145" s="367"/>
      <c r="DD145" s="367"/>
      <c r="DE145" s="367"/>
      <c r="DF145" s="367"/>
      <c r="DG145" s="367"/>
      <c r="DH145" s="367"/>
      <c r="DI145" s="367"/>
      <c r="DJ145" s="367"/>
      <c r="DK145" s="367"/>
      <c r="DL145" s="367"/>
      <c r="DM145" s="367"/>
      <c r="DN145" s="367"/>
      <c r="DO145" s="367"/>
      <c r="DP145" s="367"/>
      <c r="DQ145" s="367"/>
      <c r="DR145" s="367"/>
      <c r="DS145" s="367"/>
      <c r="DT145" s="367"/>
      <c r="DU145" s="367"/>
      <c r="DV145" s="367"/>
      <c r="DW145" s="367"/>
    </row>
    <row r="146" ht="15.0" customHeight="1">
      <c r="A146" s="372">
        <v>42799.0</v>
      </c>
      <c r="B146" s="384" t="s">
        <v>2329</v>
      </c>
      <c r="C146" s="384" t="s">
        <v>2330</v>
      </c>
      <c r="D146" s="384">
        <v>30.5</v>
      </c>
      <c r="E146" s="374">
        <f>IFERROR(__xludf.DUMMYFUNCTION("if(and(D146&lt;&gt;0,D146&lt;&gt;""""),D146/GOOGLEFINANCE(C146,""price"")-1,"""")"),-0.3301120140566659)</f>
        <v>-0.3301120141</v>
      </c>
      <c r="F146" s="375">
        <f>IFERROR(__xludf.DUMMYFUNCTION("GOOGLEFINANCE(C146,""price"")"),45.53)</f>
        <v>45.53</v>
      </c>
      <c r="G146" s="374">
        <f t="shared" si="6"/>
        <v>0.05387527293</v>
      </c>
      <c r="H146" s="376"/>
      <c r="I146" s="376">
        <f>2.71*($I$1+3)</f>
        <v>47.98294118</v>
      </c>
      <c r="J146" s="380"/>
      <c r="K146" s="380"/>
      <c r="L146" s="389"/>
      <c r="M146" s="379">
        <f t="shared" si="7"/>
        <v>-119.9023034</v>
      </c>
      <c r="N146" s="380">
        <f t="shared" si="8"/>
        <v>0</v>
      </c>
      <c r="O146" s="389"/>
      <c r="P146" s="390"/>
      <c r="Q146" s="391"/>
      <c r="R146" s="387"/>
      <c r="S146" s="387"/>
      <c r="T146" s="387"/>
      <c r="U146" s="386" t="s">
        <v>2334</v>
      </c>
      <c r="V146" s="344"/>
      <c r="W146" s="344"/>
      <c r="X146" s="344"/>
      <c r="Y146" s="344"/>
      <c r="Z146" s="344"/>
      <c r="AA146" s="344"/>
      <c r="AB146" s="344"/>
      <c r="AC146" s="344"/>
      <c r="AD146" s="344"/>
      <c r="AE146" s="344"/>
      <c r="AF146" s="344"/>
      <c r="AG146" s="344"/>
      <c r="AH146" s="344"/>
      <c r="AI146" s="344"/>
      <c r="AJ146" s="344"/>
      <c r="AK146" s="344"/>
      <c r="AL146" s="344"/>
      <c r="AM146" s="344"/>
      <c r="AN146" s="344"/>
      <c r="AO146" s="344"/>
      <c r="AP146" s="344"/>
      <c r="AQ146" s="344"/>
      <c r="AR146" s="344"/>
      <c r="AS146" s="344"/>
      <c r="AT146" s="344"/>
      <c r="AU146" s="344"/>
      <c r="AV146" s="344"/>
      <c r="AW146" s="344"/>
      <c r="AX146" s="344"/>
      <c r="AY146" s="344"/>
      <c r="AZ146" s="344"/>
      <c r="BA146" s="344"/>
      <c r="BB146" s="344"/>
      <c r="BC146" s="344"/>
      <c r="BD146" s="344"/>
      <c r="BE146" s="344"/>
      <c r="BF146" s="344"/>
      <c r="BG146" s="344"/>
      <c r="BH146" s="344"/>
      <c r="BI146" s="344"/>
      <c r="BJ146" s="344"/>
      <c r="BK146" s="344"/>
      <c r="BL146" s="344"/>
      <c r="BM146" s="344"/>
      <c r="BN146" s="344"/>
      <c r="BO146" s="344"/>
      <c r="BP146" s="344"/>
      <c r="BQ146" s="344"/>
      <c r="BR146" s="344"/>
      <c r="BS146" s="344"/>
      <c r="BT146" s="344"/>
      <c r="BU146" s="344"/>
      <c r="BV146" s="344"/>
      <c r="BW146" s="344"/>
      <c r="BX146" s="344"/>
      <c r="BY146" s="344"/>
      <c r="BZ146" s="344"/>
      <c r="CA146" s="344"/>
      <c r="CB146" s="344"/>
      <c r="CC146" s="344"/>
      <c r="CD146" s="344"/>
      <c r="CE146" s="344"/>
      <c r="CF146" s="344"/>
      <c r="CG146" s="344"/>
      <c r="CH146" s="344"/>
      <c r="CI146" s="344"/>
      <c r="CJ146" s="344"/>
      <c r="CK146" s="344"/>
      <c r="CL146" s="344"/>
      <c r="CM146" s="344"/>
      <c r="CN146" s="344"/>
      <c r="CO146" s="344"/>
      <c r="CP146" s="344"/>
      <c r="CQ146" s="344"/>
      <c r="CR146" s="344"/>
      <c r="CS146" s="344"/>
      <c r="CT146" s="344"/>
      <c r="CU146" s="344"/>
      <c r="CV146" s="344"/>
      <c r="CW146" s="344"/>
      <c r="CX146" s="344"/>
      <c r="CY146" s="344"/>
      <c r="CZ146" s="344"/>
      <c r="DA146" s="344"/>
      <c r="DB146" s="344"/>
      <c r="DC146" s="344"/>
      <c r="DD146" s="344"/>
      <c r="DE146" s="344"/>
      <c r="DF146" s="344"/>
      <c r="DG146" s="344"/>
      <c r="DH146" s="344"/>
      <c r="DI146" s="344"/>
      <c r="DJ146" s="344"/>
      <c r="DK146" s="344"/>
      <c r="DL146" s="344"/>
      <c r="DM146" s="344"/>
      <c r="DN146" s="344"/>
      <c r="DO146" s="344"/>
      <c r="DP146" s="344"/>
      <c r="DQ146" s="344"/>
      <c r="DR146" s="344"/>
      <c r="DS146" s="344"/>
      <c r="DT146" s="344"/>
      <c r="DU146" s="344"/>
      <c r="DV146" s="344"/>
      <c r="DW146" s="344"/>
    </row>
    <row r="147" ht="15.0" customHeight="1">
      <c r="A147" s="383">
        <v>41603.0</v>
      </c>
      <c r="B147" s="320" t="s">
        <v>2337</v>
      </c>
      <c r="C147" s="320" t="s">
        <v>604</v>
      </c>
      <c r="D147" s="384">
        <v>1.0</v>
      </c>
      <c r="E147" s="374">
        <f>IFERROR(__xludf.DUMMYFUNCTION("if(and(D147&lt;&gt;0,D147&lt;&gt;""""),D147/GOOGLEFINANCE(C147,""price"")-1,"""")"),-0.6621621621621622)</f>
        <v>-0.6621621622</v>
      </c>
      <c r="F147" s="375">
        <f>IFERROR(__xludf.DUMMYFUNCTION("GOOGLEFINANCE(C147,""price"")"),2.96)</f>
        <v>2.96</v>
      </c>
      <c r="G147" s="374">
        <f t="shared" si="6"/>
        <v>6.112375533</v>
      </c>
      <c r="H147" s="376"/>
      <c r="I147" s="368">
        <f>sum(CY147:DS147)</f>
        <v>21.05263158</v>
      </c>
      <c r="J147" s="377">
        <v>2.0</v>
      </c>
      <c r="K147" s="377">
        <v>2.0</v>
      </c>
      <c r="L147" s="409">
        <v>43465.0</v>
      </c>
      <c r="M147" s="379">
        <f t="shared" si="7"/>
        <v>-0.8201115741</v>
      </c>
      <c r="N147" s="380">
        <f t="shared" si="8"/>
        <v>2</v>
      </c>
      <c r="O147" s="370">
        <v>0.03</v>
      </c>
      <c r="P147" s="370">
        <v>0.05</v>
      </c>
      <c r="Q147" s="371">
        <f>I147/N147</f>
        <v>10.52631579</v>
      </c>
      <c r="R147" s="381">
        <v>4.0</v>
      </c>
      <c r="S147" s="378">
        <v>43713.0</v>
      </c>
      <c r="T147" s="387" t="s">
        <v>1223</v>
      </c>
      <c r="U147" s="382" t="s">
        <v>2341</v>
      </c>
      <c r="V147" s="429">
        <f>O147</f>
        <v>0.03</v>
      </c>
      <c r="W147" s="430">
        <f>max(min(Valu!$C$15,$O147),$O147-max($O147-Valu!$C$15,0)/$R147*(W$3-1))</f>
        <v>0.03</v>
      </c>
      <c r="X147" s="430">
        <f>max(min(Valu!$C$15,$O147),$O147-max($O147-Valu!$C$15,0)/$R147*(X$3-1))</f>
        <v>0.03</v>
      </c>
      <c r="Y147" s="430">
        <f>max(min(Valu!$C$15,$O147),$O147-max($O147-Valu!$C$15,0)/$R147*(Y$3-1))</f>
        <v>0.03</v>
      </c>
      <c r="Z147" s="430">
        <f>max(min(Valu!$C$15,$O147),$O147-max($O147-Valu!$C$15,0)/$R147*(Z$3-1))</f>
        <v>0.03</v>
      </c>
      <c r="AA147" s="430">
        <f>max(min(Valu!$C$15,$O147),$O147-max($O147-Valu!$C$15,0)/$R147*(AA$3-1))</f>
        <v>0.03</v>
      </c>
      <c r="AB147" s="430">
        <f>max(min(Valu!$C$15,$O147),$O147-max($O147-Valu!$C$15,0)/$R147*(AB$3-1))</f>
        <v>0.03</v>
      </c>
      <c r="AC147" s="430">
        <f>max(min(Valu!$C$15,$O147),$O147-max($O147-Valu!$C$15,0)/$R147*(AC$3-1))</f>
        <v>0.03</v>
      </c>
      <c r="AD147" s="430">
        <f>max(min(Valu!$C$15,$O147),$O147-max($O147-Valu!$C$15,0)/$R147*(AD$3-1))</f>
        <v>0.03</v>
      </c>
      <c r="AE147" s="430">
        <f>max(min(Valu!$C$15,$O147),$O147-max($O147-Valu!$C$15,0)/$R147*(AE$3-1))</f>
        <v>0.03</v>
      </c>
      <c r="AF147" s="430">
        <f>max(min(Valu!$C$15,$O147),$O147-max($O147-Valu!$C$15,0)/$R147*(AF$3-1))</f>
        <v>0.03</v>
      </c>
      <c r="AG147" s="430">
        <f>max(min(Valu!$C$15,$O147),$O147-max($O147-Valu!$C$15,0)/$R147*(AG$3-1))</f>
        <v>0.03</v>
      </c>
      <c r="AH147" s="430">
        <f>max(min(Valu!$C$15,$O147),$O147-max($O147-Valu!$C$15,0)/$R147*(AH$3-1))</f>
        <v>0.03</v>
      </c>
      <c r="AI147" s="430">
        <f>max(min(Valu!$C$15,$O147),$O147-max($O147-Valu!$C$15,0)/$R147*(AI$3-1))</f>
        <v>0.03</v>
      </c>
      <c r="AJ147" s="430">
        <f>max(min(Valu!$C$15,$O147),$O147-max($O147-Valu!$C$15,0)/$R147*(AJ$3-1))</f>
        <v>0.03</v>
      </c>
      <c r="AK147" s="430">
        <f>max(min(Valu!$C$15,$O147),$O147-max($O147-Valu!$C$15,0)/$R147*(AK$3-1))</f>
        <v>0.03</v>
      </c>
      <c r="AL147" s="430">
        <f>max(min(Valu!$C$15,$O147),$O147-max($O147-Valu!$C$15,0)/$R147*(AL$3-1))</f>
        <v>0.03</v>
      </c>
      <c r="AM147" s="430">
        <f>max(min(Valu!$C$15,$O147),$O147-max($O147-Valu!$C$15,0)/$R147*(AM$3-1))</f>
        <v>0.03</v>
      </c>
      <c r="AN147" s="430">
        <f>max(min(Valu!$C$15,$O147),$O147-max($O147-Valu!$C$15,0)/$R147*(AN$3-1))</f>
        <v>0.03</v>
      </c>
      <c r="AO147" s="430">
        <f>max(min(Valu!$C$15,$O147),$O147-max($O147-Valu!$C$15,0)/$R147*(AO$3-1))</f>
        <v>0.03</v>
      </c>
      <c r="AP147" s="430">
        <f>max(min(Valu!$C$14,$P147),$P147-max($P147-Valu!$C$14,0)/$R147*(AP$3-1))</f>
        <v>0.05</v>
      </c>
      <c r="AQ147" s="430">
        <f>max(min(Valu!$C$14,$P147),$P147-max($P147-Valu!$C$14,0)/$R147*(AQ$3-1))</f>
        <v>0.05</v>
      </c>
      <c r="AR147" s="430">
        <f>max(min(Valu!$C$14,$P147),$P147-max($P147-Valu!$C$14,0)/$R147*(AR$3-1))</f>
        <v>0.05</v>
      </c>
      <c r="AS147" s="430">
        <f>max(min(Valu!$C$14,$P147),$P147-max($P147-Valu!$C$14,0)/$R147*(AS$3-1))</f>
        <v>0.05</v>
      </c>
      <c r="AT147" s="430">
        <f>max(min(Valu!$C$14,$P147),$P147-max($P147-Valu!$C$14,0)/$R147*(AT$3-1))</f>
        <v>0.05</v>
      </c>
      <c r="AU147" s="430">
        <f>max(min(Valu!$C$14,$P147),$P147-max($P147-Valu!$C$14,0)/$R147*(AU$3-1))</f>
        <v>0.05</v>
      </c>
      <c r="AV147" s="430">
        <f>max(min(Valu!$C$14,$P147),$P147-max($P147-Valu!$C$14,0)/$R147*(AV$3-1))</f>
        <v>0.05</v>
      </c>
      <c r="AW147" s="430">
        <f>max(min(Valu!$C$14,$P147),$P147-max($P147-Valu!$C$14,0)/$R147*(AW$3-1))</f>
        <v>0.05</v>
      </c>
      <c r="AX147" s="430">
        <f>max(min(Valu!$C$14,$P147),$P147-max($P147-Valu!$C$14,0)/$R147*(AX$3-1))</f>
        <v>0.05</v>
      </c>
      <c r="AY147" s="430">
        <f>max(min(Valu!$C$14,$P147),$P147-max($P147-Valu!$C$14,0)/$R147*(AY$3-1))</f>
        <v>0.05</v>
      </c>
      <c r="AZ147" s="430">
        <f>max(min(Valu!$C$14,$P147),$P147-max($P147-Valu!$C$14,0)/$R147*(AZ$3-1))</f>
        <v>0.05</v>
      </c>
      <c r="BA147" s="430">
        <f>max(min(Valu!$C$14,$P147),$P147-max($P147-Valu!$C$14,0)/$R147*(BA$3-1))</f>
        <v>0.05</v>
      </c>
      <c r="BB147" s="430">
        <f>max(min(Valu!$C$14,$P147),$P147-max($P147-Valu!$C$14,0)/$R147*(BB$3-1))</f>
        <v>0.05</v>
      </c>
      <c r="BC147" s="430">
        <f>max(min(Valu!$C$14,$P147),$P147-max($P147-Valu!$C$14,0)/$R147*(BC$3-1))</f>
        <v>0.05</v>
      </c>
      <c r="BD147" s="430">
        <f>max(min(Valu!$C$14,$P147),$P147-max($P147-Valu!$C$14,0)/$R147*(BD$3-1))</f>
        <v>0.05</v>
      </c>
      <c r="BE147" s="430">
        <f>max(min(Valu!$C$14,$P147),$P147-max($P147-Valu!$C$14,0)/$R147*(BE$3-1))</f>
        <v>0.05</v>
      </c>
      <c r="BF147" s="430">
        <f>max(min(Valu!$C$14,$P147),$P147-max($P147-Valu!$C$14,0)/$R147*(BF$3-1))</f>
        <v>0.05</v>
      </c>
      <c r="BG147" s="430">
        <f>max(min(Valu!$C$14,$P147),$P147-max($P147-Valu!$C$14,0)/$R147*(BG$3-1))</f>
        <v>0.05</v>
      </c>
      <c r="BH147" s="430">
        <f>max(min(Valu!$C$14,$P147),$P147-max($P147-Valu!$C$14,0)/$R147*(BH$3-1))</f>
        <v>0.05</v>
      </c>
      <c r="BI147" s="430">
        <f>max(min(Valu!$C$14,$P147),$P147-max($P147-Valu!$C$14,0)/$R147*(BI$3-1))</f>
        <v>0.05</v>
      </c>
      <c r="BJ147" s="431">
        <f>N147</f>
        <v>2</v>
      </c>
      <c r="BK147" s="432">
        <f>$BJ147*(1+V147)</f>
        <v>2.06</v>
      </c>
      <c r="BL147" s="432">
        <f t="shared" ref="BL147:CC147" si="82">BK147*(1+W147)</f>
        <v>2.1218</v>
      </c>
      <c r="BM147" s="432">
        <f t="shared" si="82"/>
        <v>2.185454</v>
      </c>
      <c r="BN147" s="432">
        <f t="shared" si="82"/>
        <v>2.25101762</v>
      </c>
      <c r="BO147" s="432">
        <f t="shared" si="82"/>
        <v>2.318548149</v>
      </c>
      <c r="BP147" s="432">
        <f t="shared" si="82"/>
        <v>2.388104593</v>
      </c>
      <c r="BQ147" s="432">
        <f t="shared" si="82"/>
        <v>2.459747731</v>
      </c>
      <c r="BR147" s="432">
        <f t="shared" si="82"/>
        <v>2.533540163</v>
      </c>
      <c r="BS147" s="432">
        <f t="shared" si="82"/>
        <v>2.609546368</v>
      </c>
      <c r="BT147" s="432">
        <f t="shared" si="82"/>
        <v>2.687832759</v>
      </c>
      <c r="BU147" s="432">
        <f t="shared" si="82"/>
        <v>2.768467741</v>
      </c>
      <c r="BV147" s="432">
        <f t="shared" si="82"/>
        <v>2.851521774</v>
      </c>
      <c r="BW147" s="432">
        <f t="shared" si="82"/>
        <v>2.937067427</v>
      </c>
      <c r="BX147" s="432">
        <f t="shared" si="82"/>
        <v>3.02517945</v>
      </c>
      <c r="BY147" s="432">
        <f t="shared" si="82"/>
        <v>3.115934833</v>
      </c>
      <c r="BZ147" s="432">
        <f t="shared" si="82"/>
        <v>3.209412878</v>
      </c>
      <c r="CA147" s="432">
        <f t="shared" si="82"/>
        <v>3.305695265</v>
      </c>
      <c r="CB147" s="432">
        <f t="shared" si="82"/>
        <v>3.404866122</v>
      </c>
      <c r="CC147" s="432">
        <f t="shared" si="82"/>
        <v>3.507012106</v>
      </c>
      <c r="CD147" s="432">
        <f t="shared" ref="CD147:CW147" si="83">BJ147*(1-V147/AP147)</f>
        <v>0.8</v>
      </c>
      <c r="CE147" s="432">
        <f t="shared" si="83"/>
        <v>0.824</v>
      </c>
      <c r="CF147" s="432">
        <f t="shared" si="83"/>
        <v>0.84872</v>
      </c>
      <c r="CG147" s="432">
        <f t="shared" si="83"/>
        <v>0.8741816</v>
      </c>
      <c r="CH147" s="432">
        <f t="shared" si="83"/>
        <v>0.900407048</v>
      </c>
      <c r="CI147" s="432">
        <f t="shared" si="83"/>
        <v>0.9274192594</v>
      </c>
      <c r="CJ147" s="432">
        <f t="shared" si="83"/>
        <v>0.9552418372</v>
      </c>
      <c r="CK147" s="432">
        <f t="shared" si="83"/>
        <v>0.9838990923</v>
      </c>
      <c r="CL147" s="432">
        <f t="shared" si="83"/>
        <v>1.013416065</v>
      </c>
      <c r="CM147" s="432">
        <f t="shared" si="83"/>
        <v>1.043818547</v>
      </c>
      <c r="CN147" s="432">
        <f t="shared" si="83"/>
        <v>1.075133103</v>
      </c>
      <c r="CO147" s="432">
        <f t="shared" si="83"/>
        <v>1.107387097</v>
      </c>
      <c r="CP147" s="432">
        <f t="shared" si="83"/>
        <v>1.140608709</v>
      </c>
      <c r="CQ147" s="432">
        <f t="shared" si="83"/>
        <v>1.174826971</v>
      </c>
      <c r="CR147" s="432">
        <f t="shared" si="83"/>
        <v>1.21007178</v>
      </c>
      <c r="CS147" s="432">
        <f t="shared" si="83"/>
        <v>1.246373933</v>
      </c>
      <c r="CT147" s="432">
        <f t="shared" si="83"/>
        <v>1.283765151</v>
      </c>
      <c r="CU147" s="432">
        <f t="shared" si="83"/>
        <v>1.322278106</v>
      </c>
      <c r="CV147" s="432">
        <f t="shared" si="83"/>
        <v>1.361946449</v>
      </c>
      <c r="CW147" s="432">
        <f t="shared" si="83"/>
        <v>1.402804842</v>
      </c>
      <c r="CX147" s="432">
        <f>CW147*(1+min(Valu!$C$15,$O147))/(Valu!$C$21-min(Valu!$C$15,$O147))</f>
        <v>38.02339441</v>
      </c>
      <c r="CY147" s="432">
        <f>CD147/(1+Valu!$C$21)^CY$3</f>
        <v>0.7490636704</v>
      </c>
      <c r="CZ147" s="432">
        <f>CE147/(1+Valu!$C$21)^CZ$3</f>
        <v>0.7224115923</v>
      </c>
      <c r="DA147" s="432">
        <f>CF147/(1+Valu!$C$21)^DA$3</f>
        <v>0.696707809</v>
      </c>
      <c r="DB147" s="432">
        <f>CG147/(1+Valu!$C$21)^DB$3</f>
        <v>0.6719185798</v>
      </c>
      <c r="DC147" s="432">
        <f>CH147/(1+Valu!$C$21)^DC$3</f>
        <v>0.6480113645</v>
      </c>
      <c r="DD147" s="432">
        <f>CI147/(1+Valu!$C$21)^DD$3</f>
        <v>0.6249547803</v>
      </c>
      <c r="DE147" s="432">
        <f>CJ147/(1+Valu!$C$21)^DE$3</f>
        <v>0.6027185616</v>
      </c>
      <c r="DF147" s="432">
        <f>CK147/(1+Valu!$C$21)^DF$3</f>
        <v>0.5812735191</v>
      </c>
      <c r="DG147" s="432">
        <f>CL147/(1+Valu!$C$21)^DG$3</f>
        <v>0.5605915025</v>
      </c>
      <c r="DH147" s="432">
        <f>CM147/(1+Valu!$C$21)^DH$3</f>
        <v>0.5406453629</v>
      </c>
      <c r="DI147" s="432">
        <f>CN147/(1+Valu!$C$21)^DI$3</f>
        <v>0.5214089174</v>
      </c>
      <c r="DJ147" s="432">
        <f>CO147/(1+Valu!$C$21)^DJ$3</f>
        <v>0.5028569147</v>
      </c>
      <c r="DK147" s="432">
        <f>CP147/(1+Valu!$C$21)^DK$3</f>
        <v>0.484965002</v>
      </c>
      <c r="DL147" s="432">
        <f>CQ147/(1+Valu!$C$21)^DL$3</f>
        <v>0.467709693</v>
      </c>
      <c r="DM147" s="432">
        <f>CR147/(1+Valu!$C$21)^DM$3</f>
        <v>0.4510683369</v>
      </c>
      <c r="DN147" s="432">
        <f>CS147/(1+Valu!$C$21)^DN$3</f>
        <v>0.4350190889</v>
      </c>
      <c r="DO147" s="432">
        <f>CT147/(1+Valu!$C$21)^DO$3</f>
        <v>0.4195408816</v>
      </c>
      <c r="DP147" s="432">
        <f>CU147/(1+Valu!$C$21)^DP$3</f>
        <v>0.4046133971</v>
      </c>
      <c r="DQ147" s="432">
        <f>CV147/(1+Valu!$C$21)^DQ$3</f>
        <v>0.3902170403</v>
      </c>
      <c r="DR147" s="432">
        <f>CW147/(1+Valu!$C$21)^DR$3</f>
        <v>0.3763329134</v>
      </c>
      <c r="DS147" s="432">
        <f>CX147/(1+Valu!$C$21)^DS$3</f>
        <v>10.20060265</v>
      </c>
      <c r="DT147" s="367"/>
      <c r="DU147" s="367"/>
      <c r="DV147" s="367"/>
      <c r="DW147" s="367"/>
    </row>
    <row r="148" ht="15.0" customHeight="1">
      <c r="A148" s="383">
        <v>41573.0</v>
      </c>
      <c r="B148" s="320" t="s">
        <v>2413</v>
      </c>
      <c r="C148" s="320" t="s">
        <v>1092</v>
      </c>
      <c r="D148" s="373">
        <v>8.0</v>
      </c>
      <c r="E148" s="374">
        <f>IFERROR(__xludf.DUMMYFUNCTION("if(and(D148&lt;&gt;0,D148&lt;&gt;""""),D148/GOOGLEFINANCE(C148,""price"")-1,"""")"),-0.3675889328063241)</f>
        <v>-0.3675889328</v>
      </c>
      <c r="F148" s="375">
        <f>IFERROR(__xludf.DUMMYFUNCTION("GOOGLEFINANCE(C148,""price"")"),12.65)</f>
        <v>12.65</v>
      </c>
      <c r="G148" s="374">
        <f t="shared" si="6"/>
        <v>0.976284585</v>
      </c>
      <c r="H148" s="376"/>
      <c r="I148" s="376">
        <v>25.0</v>
      </c>
      <c r="J148" s="380"/>
      <c r="K148" s="380"/>
      <c r="L148" s="409">
        <v>43465.0</v>
      </c>
      <c r="M148" s="379">
        <f t="shared" si="7"/>
        <v>-0.8201115726</v>
      </c>
      <c r="N148" s="380">
        <f t="shared" si="8"/>
        <v>0</v>
      </c>
      <c r="O148" s="390">
        <v>-0.03</v>
      </c>
      <c r="P148" s="370"/>
      <c r="Q148" s="371"/>
      <c r="R148" s="378"/>
      <c r="S148" s="378">
        <v>43619.0</v>
      </c>
      <c r="T148" s="387" t="s">
        <v>1223</v>
      </c>
      <c r="U148" s="382" t="s">
        <v>2422</v>
      </c>
      <c r="V148" s="358"/>
      <c r="W148" s="358"/>
      <c r="X148" s="358"/>
      <c r="Y148" s="358"/>
      <c r="Z148" s="358"/>
      <c r="AA148" s="358"/>
      <c r="AB148" s="358"/>
      <c r="AC148" s="358"/>
      <c r="AD148" s="358"/>
      <c r="AE148" s="358"/>
      <c r="AF148" s="358"/>
      <c r="AG148" s="358"/>
      <c r="AH148" s="358"/>
      <c r="AI148" s="358"/>
      <c r="AJ148" s="358"/>
      <c r="AK148" s="358"/>
      <c r="AL148" s="358"/>
      <c r="AM148" s="358"/>
      <c r="AN148" s="358"/>
      <c r="AO148" s="358"/>
      <c r="AP148" s="358"/>
      <c r="AQ148" s="358"/>
      <c r="AR148" s="358"/>
      <c r="AS148" s="358"/>
      <c r="AT148" s="358"/>
      <c r="AU148" s="358"/>
      <c r="AV148" s="358"/>
      <c r="AW148" s="358"/>
      <c r="AX148" s="358"/>
      <c r="AY148" s="358"/>
      <c r="AZ148" s="358"/>
      <c r="BA148" s="358"/>
      <c r="BB148" s="358"/>
      <c r="BC148" s="358"/>
      <c r="BD148" s="358"/>
      <c r="BE148" s="358"/>
      <c r="BF148" s="358"/>
      <c r="BG148" s="358"/>
      <c r="BH148" s="358"/>
      <c r="BI148" s="358"/>
      <c r="BJ148" s="358"/>
      <c r="BK148" s="358"/>
      <c r="BL148" s="358"/>
      <c r="BM148" s="358"/>
      <c r="BN148" s="358"/>
      <c r="BO148" s="358"/>
      <c r="BP148" s="358"/>
      <c r="BQ148" s="358"/>
      <c r="BR148" s="358"/>
      <c r="BS148" s="358"/>
      <c r="BT148" s="358"/>
      <c r="BU148" s="358"/>
      <c r="BV148" s="358"/>
      <c r="BW148" s="358"/>
      <c r="BX148" s="358"/>
      <c r="BY148" s="358"/>
      <c r="BZ148" s="358"/>
      <c r="CA148" s="358"/>
      <c r="CB148" s="358"/>
      <c r="CC148" s="358"/>
      <c r="CD148" s="358"/>
      <c r="CE148" s="358"/>
      <c r="CF148" s="358"/>
      <c r="CG148" s="358"/>
      <c r="CH148" s="358"/>
      <c r="CI148" s="358"/>
      <c r="CJ148" s="358"/>
      <c r="CK148" s="358"/>
      <c r="CL148" s="358"/>
      <c r="CM148" s="358"/>
      <c r="CN148" s="358"/>
      <c r="CO148" s="358"/>
      <c r="CP148" s="358"/>
      <c r="CQ148" s="358"/>
      <c r="CR148" s="358"/>
      <c r="CS148" s="358"/>
      <c r="CT148" s="358"/>
      <c r="CU148" s="358"/>
      <c r="CV148" s="358"/>
      <c r="CW148" s="358"/>
      <c r="CX148" s="358"/>
      <c r="CY148" s="358"/>
      <c r="CZ148" s="358"/>
      <c r="DA148" s="358"/>
      <c r="DB148" s="358"/>
      <c r="DC148" s="358"/>
      <c r="DD148" s="358"/>
      <c r="DE148" s="358"/>
      <c r="DF148" s="358"/>
      <c r="DG148" s="358"/>
      <c r="DH148" s="358"/>
      <c r="DI148" s="358"/>
      <c r="DJ148" s="358"/>
      <c r="DK148" s="358"/>
      <c r="DL148" s="358"/>
      <c r="DM148" s="358"/>
      <c r="DN148" s="358"/>
      <c r="DO148" s="358"/>
      <c r="DP148" s="358"/>
      <c r="DQ148" s="358"/>
      <c r="DR148" s="358"/>
      <c r="DS148" s="358"/>
      <c r="DT148" s="358"/>
      <c r="DU148" s="358"/>
      <c r="DV148" s="358"/>
      <c r="DW148" s="358"/>
    </row>
    <row r="149" ht="15.0" customHeight="1">
      <c r="A149" s="372">
        <v>42708.0</v>
      </c>
      <c r="B149" s="384" t="s">
        <v>2427</v>
      </c>
      <c r="C149" s="384" t="s">
        <v>2428</v>
      </c>
      <c r="D149" s="384">
        <v>21.0</v>
      </c>
      <c r="E149" s="374">
        <f>IFERROR(__xludf.DUMMYFUNCTION("if(and(D149&lt;&gt;0,D149&lt;&gt;""""),D149/GOOGLEFINANCE(C149,""price"")-1,"""")"),0.0432190760059612)</f>
        <v>0.04321907601</v>
      </c>
      <c r="F149" s="375">
        <f>IFERROR(__xludf.DUMMYFUNCTION("GOOGLEFINANCE(C149,""price"")"),20.13)</f>
        <v>20.13</v>
      </c>
      <c r="G149" s="374">
        <f t="shared" si="6"/>
        <v>0.8482802957</v>
      </c>
      <c r="H149" s="376"/>
      <c r="I149" s="368">
        <f>(N149)*($I$1+O149*100)</f>
        <v>37.20588235</v>
      </c>
      <c r="J149" s="385">
        <v>2.53</v>
      </c>
      <c r="K149" s="385">
        <v>2.53</v>
      </c>
      <c r="L149" s="409">
        <v>43281.0</v>
      </c>
      <c r="M149" s="379">
        <f t="shared" si="7"/>
        <v>-1.324221167</v>
      </c>
      <c r="N149" s="380">
        <f t="shared" si="8"/>
        <v>2.53</v>
      </c>
      <c r="O149" s="390">
        <v>0.0</v>
      </c>
      <c r="P149" s="390"/>
      <c r="Q149" s="391"/>
      <c r="R149" s="409"/>
      <c r="S149" s="409">
        <v>43295.0</v>
      </c>
      <c r="T149" s="387" t="s">
        <v>1223</v>
      </c>
      <c r="U149" s="386" t="s">
        <v>2429</v>
      </c>
      <c r="V149" s="344"/>
      <c r="W149" s="344"/>
      <c r="X149" s="344"/>
      <c r="Y149" s="344"/>
      <c r="Z149" s="344"/>
      <c r="AA149" s="344"/>
      <c r="AB149" s="344"/>
      <c r="AC149" s="344"/>
      <c r="AD149" s="344"/>
      <c r="AE149" s="344"/>
      <c r="AF149" s="344"/>
      <c r="AG149" s="344"/>
      <c r="AH149" s="344"/>
      <c r="AI149" s="344"/>
      <c r="AJ149" s="344"/>
      <c r="AK149" s="344"/>
      <c r="AL149" s="344"/>
      <c r="AM149" s="344"/>
      <c r="AN149" s="344"/>
      <c r="AO149" s="344"/>
      <c r="AP149" s="344"/>
      <c r="AQ149" s="344"/>
      <c r="AR149" s="344"/>
      <c r="AS149" s="344"/>
      <c r="AT149" s="344"/>
      <c r="AU149" s="344"/>
      <c r="AV149" s="344"/>
      <c r="AW149" s="344"/>
      <c r="AX149" s="344"/>
      <c r="AY149" s="344"/>
      <c r="AZ149" s="344"/>
      <c r="BA149" s="344"/>
      <c r="BB149" s="344"/>
      <c r="BC149" s="344"/>
      <c r="BD149" s="344"/>
      <c r="BE149" s="344"/>
      <c r="BF149" s="344"/>
      <c r="BG149" s="344"/>
      <c r="BH149" s="344"/>
      <c r="BI149" s="344"/>
      <c r="BJ149" s="344"/>
      <c r="BK149" s="344"/>
      <c r="BL149" s="344"/>
      <c r="BM149" s="344"/>
      <c r="BN149" s="344"/>
      <c r="BO149" s="344"/>
      <c r="BP149" s="344"/>
      <c r="BQ149" s="344"/>
      <c r="BR149" s="344"/>
      <c r="BS149" s="344"/>
      <c r="BT149" s="344"/>
      <c r="BU149" s="344"/>
      <c r="BV149" s="344"/>
      <c r="BW149" s="344"/>
      <c r="BX149" s="344"/>
      <c r="BY149" s="344"/>
      <c r="BZ149" s="344"/>
      <c r="CA149" s="344"/>
      <c r="CB149" s="344"/>
      <c r="CC149" s="344"/>
      <c r="CD149" s="344"/>
      <c r="CE149" s="344"/>
      <c r="CF149" s="344"/>
      <c r="CG149" s="344"/>
      <c r="CH149" s="344"/>
      <c r="CI149" s="344"/>
      <c r="CJ149" s="344"/>
      <c r="CK149" s="344"/>
      <c r="CL149" s="344"/>
      <c r="CM149" s="344"/>
      <c r="CN149" s="344"/>
      <c r="CO149" s="344"/>
      <c r="CP149" s="344"/>
      <c r="CQ149" s="344"/>
      <c r="CR149" s="344"/>
      <c r="CS149" s="344"/>
      <c r="CT149" s="344"/>
      <c r="CU149" s="344"/>
      <c r="CV149" s="344"/>
      <c r="CW149" s="344"/>
      <c r="CX149" s="344"/>
      <c r="CY149" s="344"/>
      <c r="CZ149" s="344"/>
      <c r="DA149" s="344"/>
      <c r="DB149" s="344"/>
      <c r="DC149" s="344"/>
      <c r="DD149" s="344"/>
      <c r="DE149" s="344"/>
      <c r="DF149" s="344"/>
      <c r="DG149" s="344"/>
      <c r="DH149" s="344"/>
      <c r="DI149" s="344"/>
      <c r="DJ149" s="344"/>
      <c r="DK149" s="344"/>
      <c r="DL149" s="344"/>
      <c r="DM149" s="344"/>
      <c r="DN149" s="344"/>
      <c r="DO149" s="344"/>
      <c r="DP149" s="344"/>
      <c r="DQ149" s="344"/>
      <c r="DR149" s="344"/>
      <c r="DS149" s="344"/>
      <c r="DT149" s="344"/>
      <c r="DU149" s="344"/>
      <c r="DV149" s="344"/>
      <c r="DW149" s="344"/>
    </row>
    <row r="150" ht="15.0" customHeight="1">
      <c r="A150" s="372">
        <v>42266.0</v>
      </c>
      <c r="B150" s="384" t="s">
        <v>2430</v>
      </c>
      <c r="C150" s="384" t="s">
        <v>2431</v>
      </c>
      <c r="D150" s="384"/>
      <c r="E150" s="374" t="str">
        <f>IFERROR(__xludf.DUMMYFUNCTION("if(and(D150&lt;&gt;0,D150&lt;&gt;""""),D150/GOOGLEFINANCE(C150,""price"")-1,"""")"),"")</f>
        <v/>
      </c>
      <c r="F150" s="375">
        <f>IFERROR(__xludf.DUMMYFUNCTION("GOOGLEFINANCE(C150,""price"")"),62.38)</f>
        <v>62.38</v>
      </c>
      <c r="G150" s="374">
        <f t="shared" si="6"/>
        <v>-0.7306829112</v>
      </c>
      <c r="H150" s="376"/>
      <c r="I150" s="376">
        <f>1.12*(15)</f>
        <v>16.8</v>
      </c>
      <c r="J150" s="380"/>
      <c r="K150" s="380"/>
      <c r="L150" s="389"/>
      <c r="M150" s="379">
        <f t="shared" si="7"/>
        <v>-119.9023034</v>
      </c>
      <c r="N150" s="380">
        <f t="shared" si="8"/>
        <v>0</v>
      </c>
      <c r="O150" s="389"/>
      <c r="P150" s="390"/>
      <c r="Q150" s="391"/>
      <c r="R150" s="387"/>
      <c r="S150" s="387"/>
      <c r="T150" s="387"/>
      <c r="U150" s="386" t="s">
        <v>2435</v>
      </c>
      <c r="V150" s="344"/>
      <c r="W150" s="344"/>
      <c r="X150" s="344"/>
      <c r="Y150" s="344"/>
      <c r="Z150" s="344"/>
      <c r="AA150" s="344"/>
      <c r="AB150" s="344"/>
      <c r="AC150" s="344"/>
      <c r="AD150" s="344"/>
      <c r="AE150" s="344"/>
      <c r="AF150" s="344"/>
      <c r="AG150" s="344"/>
      <c r="AH150" s="344"/>
      <c r="AI150" s="344"/>
      <c r="AJ150" s="344"/>
      <c r="AK150" s="344"/>
      <c r="AL150" s="344"/>
      <c r="AM150" s="344"/>
      <c r="AN150" s="344"/>
      <c r="AO150" s="344"/>
      <c r="AP150" s="344"/>
      <c r="AQ150" s="344"/>
      <c r="AR150" s="344"/>
      <c r="AS150" s="344"/>
      <c r="AT150" s="344"/>
      <c r="AU150" s="344"/>
      <c r="AV150" s="344"/>
      <c r="AW150" s="344"/>
      <c r="AX150" s="344"/>
      <c r="AY150" s="344"/>
      <c r="AZ150" s="344"/>
      <c r="BA150" s="344"/>
      <c r="BB150" s="344"/>
      <c r="BC150" s="344"/>
      <c r="BD150" s="344"/>
      <c r="BE150" s="344"/>
      <c r="BF150" s="344"/>
      <c r="BG150" s="344"/>
      <c r="BH150" s="344"/>
      <c r="BI150" s="344"/>
      <c r="BJ150" s="344"/>
      <c r="BK150" s="344"/>
      <c r="BL150" s="344"/>
      <c r="BM150" s="344"/>
      <c r="BN150" s="344"/>
      <c r="BO150" s="344"/>
      <c r="BP150" s="344"/>
      <c r="BQ150" s="344"/>
      <c r="BR150" s="344"/>
      <c r="BS150" s="344"/>
      <c r="BT150" s="344"/>
      <c r="BU150" s="344"/>
      <c r="BV150" s="344"/>
      <c r="BW150" s="344"/>
      <c r="BX150" s="344"/>
      <c r="BY150" s="344"/>
      <c r="BZ150" s="344"/>
      <c r="CA150" s="344"/>
      <c r="CB150" s="344"/>
      <c r="CC150" s="344"/>
      <c r="CD150" s="344"/>
      <c r="CE150" s="344"/>
      <c r="CF150" s="344"/>
      <c r="CG150" s="344"/>
      <c r="CH150" s="344"/>
      <c r="CI150" s="344"/>
      <c r="CJ150" s="344"/>
      <c r="CK150" s="344"/>
      <c r="CL150" s="344"/>
      <c r="CM150" s="344"/>
      <c r="CN150" s="344"/>
      <c r="CO150" s="344"/>
      <c r="CP150" s="344"/>
      <c r="CQ150" s="344"/>
      <c r="CR150" s="344"/>
      <c r="CS150" s="344"/>
      <c r="CT150" s="344"/>
      <c r="CU150" s="344"/>
      <c r="CV150" s="344"/>
      <c r="CW150" s="344"/>
      <c r="CX150" s="344"/>
      <c r="CY150" s="344"/>
      <c r="CZ150" s="344"/>
      <c r="DA150" s="344"/>
      <c r="DB150" s="344"/>
      <c r="DC150" s="344"/>
      <c r="DD150" s="344"/>
      <c r="DE150" s="344"/>
      <c r="DF150" s="344"/>
      <c r="DG150" s="344"/>
      <c r="DH150" s="344"/>
      <c r="DI150" s="344"/>
      <c r="DJ150" s="344"/>
      <c r="DK150" s="344"/>
      <c r="DL150" s="344"/>
      <c r="DM150" s="344"/>
      <c r="DN150" s="344"/>
      <c r="DO150" s="344"/>
      <c r="DP150" s="344"/>
      <c r="DQ150" s="344"/>
      <c r="DR150" s="344"/>
      <c r="DS150" s="344"/>
      <c r="DT150" s="344"/>
      <c r="DU150" s="344"/>
      <c r="DV150" s="344"/>
      <c r="DW150" s="344"/>
    </row>
    <row r="151" ht="15.0" customHeight="1">
      <c r="A151" s="372">
        <v>43299.0</v>
      </c>
      <c r="B151" s="384" t="s">
        <v>2440</v>
      </c>
      <c r="C151" s="384" t="s">
        <v>1194</v>
      </c>
      <c r="D151" s="373">
        <v>70.0</v>
      </c>
      <c r="E151" s="374">
        <f>IFERROR(__xludf.DUMMYFUNCTION("if(and(D151&lt;&gt;0,D151&lt;&gt;""""),D151/GOOGLEFINANCE(C151,""price"")-1,"""")"),0.023990637799883086)</f>
        <v>0.0239906378</v>
      </c>
      <c r="F151" s="375">
        <f>IFERROR(__xludf.DUMMYFUNCTION("GOOGLEFINANCE(C151,""price"")"),68.36)</f>
        <v>68.36</v>
      </c>
      <c r="G151" s="374">
        <f t="shared" si="6"/>
        <v>0.1380551378</v>
      </c>
      <c r="H151" s="376"/>
      <c r="I151" s="368">
        <f>sum(CY151:DS151)</f>
        <v>77.79744922</v>
      </c>
      <c r="J151" s="377">
        <v>3.52</v>
      </c>
      <c r="K151" s="377">
        <v>3.91</v>
      </c>
      <c r="L151" s="378">
        <v>43830.0</v>
      </c>
      <c r="M151" s="379">
        <f t="shared" si="7"/>
        <v>0.1798884253</v>
      </c>
      <c r="N151" s="380">
        <f t="shared" si="8"/>
        <v>3.839843514</v>
      </c>
      <c r="O151" s="370">
        <v>0.05</v>
      </c>
      <c r="P151" s="370">
        <v>0.12</v>
      </c>
      <c r="Q151" s="371">
        <f>I151/N151</f>
        <v>20.26057805</v>
      </c>
      <c r="R151" s="381">
        <v>4.0</v>
      </c>
      <c r="S151" s="378">
        <v>43676.0</v>
      </c>
      <c r="T151" s="387" t="s">
        <v>1223</v>
      </c>
      <c r="U151" s="382" t="s">
        <v>2444</v>
      </c>
      <c r="V151" s="429">
        <f>O151</f>
        <v>0.05</v>
      </c>
      <c r="W151" s="430">
        <f>max(min(Valu!$C$15,$O151),$O151-max($O151-Valu!$C$15,0)/$R151*(W$3-1))</f>
        <v>0.045</v>
      </c>
      <c r="X151" s="430">
        <f>max(min(Valu!$C$15,$O151),$O151-max($O151-Valu!$C$15,0)/$R151*(X$3-1))</f>
        <v>0.04</v>
      </c>
      <c r="Y151" s="430">
        <f>max(min(Valu!$C$15,$O151),$O151-max($O151-Valu!$C$15,0)/$R151*(Y$3-1))</f>
        <v>0.035</v>
      </c>
      <c r="Z151" s="430">
        <f>max(min(Valu!$C$15,$O151),$O151-max($O151-Valu!$C$15,0)/$R151*(Z$3-1))</f>
        <v>0.03</v>
      </c>
      <c r="AA151" s="430">
        <f>max(min(Valu!$C$15,$O151),$O151-max($O151-Valu!$C$15,0)/$R151*(AA$3-1))</f>
        <v>0.03</v>
      </c>
      <c r="AB151" s="430">
        <f>max(min(Valu!$C$15,$O151),$O151-max($O151-Valu!$C$15,0)/$R151*(AB$3-1))</f>
        <v>0.03</v>
      </c>
      <c r="AC151" s="430">
        <f>max(min(Valu!$C$15,$O151),$O151-max($O151-Valu!$C$15,0)/$R151*(AC$3-1))</f>
        <v>0.03</v>
      </c>
      <c r="AD151" s="430">
        <f>max(min(Valu!$C$15,$O151),$O151-max($O151-Valu!$C$15,0)/$R151*(AD$3-1))</f>
        <v>0.03</v>
      </c>
      <c r="AE151" s="430">
        <f>max(min(Valu!$C$15,$O151),$O151-max($O151-Valu!$C$15,0)/$R151*(AE$3-1))</f>
        <v>0.03</v>
      </c>
      <c r="AF151" s="430">
        <f>max(min(Valu!$C$15,$O151),$O151-max($O151-Valu!$C$15,0)/$R151*(AF$3-1))</f>
        <v>0.03</v>
      </c>
      <c r="AG151" s="430">
        <f>max(min(Valu!$C$15,$O151),$O151-max($O151-Valu!$C$15,0)/$R151*(AG$3-1))</f>
        <v>0.03</v>
      </c>
      <c r="AH151" s="430">
        <f>max(min(Valu!$C$15,$O151),$O151-max($O151-Valu!$C$15,0)/$R151*(AH$3-1))</f>
        <v>0.03</v>
      </c>
      <c r="AI151" s="430">
        <f>max(min(Valu!$C$15,$O151),$O151-max($O151-Valu!$C$15,0)/$R151*(AI$3-1))</f>
        <v>0.03</v>
      </c>
      <c r="AJ151" s="430">
        <f>max(min(Valu!$C$15,$O151),$O151-max($O151-Valu!$C$15,0)/$R151*(AJ$3-1))</f>
        <v>0.03</v>
      </c>
      <c r="AK151" s="430">
        <f>max(min(Valu!$C$15,$O151),$O151-max($O151-Valu!$C$15,0)/$R151*(AK$3-1))</f>
        <v>0.03</v>
      </c>
      <c r="AL151" s="430">
        <f>max(min(Valu!$C$15,$O151),$O151-max($O151-Valu!$C$15,0)/$R151*(AL$3-1))</f>
        <v>0.03</v>
      </c>
      <c r="AM151" s="430">
        <f>max(min(Valu!$C$15,$O151),$O151-max($O151-Valu!$C$15,0)/$R151*(AM$3-1))</f>
        <v>0.03</v>
      </c>
      <c r="AN151" s="430">
        <f>max(min(Valu!$C$15,$O151),$O151-max($O151-Valu!$C$15,0)/$R151*(AN$3-1))</f>
        <v>0.03</v>
      </c>
      <c r="AO151" s="430">
        <f>max(min(Valu!$C$15,$O151),$O151-max($O151-Valu!$C$15,0)/$R151*(AO$3-1))</f>
        <v>0.03</v>
      </c>
      <c r="AP151" s="430">
        <f>max(min(Valu!$C$14,$P151),$P151-max($P151-Valu!$C$14,0)/$R151*(AP$3-1))</f>
        <v>0.12</v>
      </c>
      <c r="AQ151" s="430">
        <f>max(min(Valu!$C$14,$P151),$P151-max($P151-Valu!$C$14,0)/$R151*(AQ$3-1))</f>
        <v>0.12</v>
      </c>
      <c r="AR151" s="430">
        <f>max(min(Valu!$C$14,$P151),$P151-max($P151-Valu!$C$14,0)/$R151*(AR$3-1))</f>
        <v>0.12</v>
      </c>
      <c r="AS151" s="430">
        <f>max(min(Valu!$C$14,$P151),$P151-max($P151-Valu!$C$14,0)/$R151*(AS$3-1))</f>
        <v>0.12</v>
      </c>
      <c r="AT151" s="430">
        <f>max(min(Valu!$C$14,$P151),$P151-max($P151-Valu!$C$14,0)/$R151*(AT$3-1))</f>
        <v>0.12</v>
      </c>
      <c r="AU151" s="430">
        <f>max(min(Valu!$C$14,$P151),$P151-max($P151-Valu!$C$14,0)/$R151*(AU$3-1))</f>
        <v>0.12</v>
      </c>
      <c r="AV151" s="430">
        <f>max(min(Valu!$C$14,$P151),$P151-max($P151-Valu!$C$14,0)/$R151*(AV$3-1))</f>
        <v>0.12</v>
      </c>
      <c r="AW151" s="430">
        <f>max(min(Valu!$C$14,$P151),$P151-max($P151-Valu!$C$14,0)/$R151*(AW$3-1))</f>
        <v>0.12</v>
      </c>
      <c r="AX151" s="430">
        <f>max(min(Valu!$C$14,$P151),$P151-max($P151-Valu!$C$14,0)/$R151*(AX$3-1))</f>
        <v>0.12</v>
      </c>
      <c r="AY151" s="430">
        <f>max(min(Valu!$C$14,$P151),$P151-max($P151-Valu!$C$14,0)/$R151*(AY$3-1))</f>
        <v>0.12</v>
      </c>
      <c r="AZ151" s="430">
        <f>max(min(Valu!$C$14,$P151),$P151-max($P151-Valu!$C$14,0)/$R151*(AZ$3-1))</f>
        <v>0.12</v>
      </c>
      <c r="BA151" s="430">
        <f>max(min(Valu!$C$14,$P151),$P151-max($P151-Valu!$C$14,0)/$R151*(BA$3-1))</f>
        <v>0.12</v>
      </c>
      <c r="BB151" s="430">
        <f>max(min(Valu!$C$14,$P151),$P151-max($P151-Valu!$C$14,0)/$R151*(BB$3-1))</f>
        <v>0.12</v>
      </c>
      <c r="BC151" s="430">
        <f>max(min(Valu!$C$14,$P151),$P151-max($P151-Valu!$C$14,0)/$R151*(BC$3-1))</f>
        <v>0.12</v>
      </c>
      <c r="BD151" s="430">
        <f>max(min(Valu!$C$14,$P151),$P151-max($P151-Valu!$C$14,0)/$R151*(BD$3-1))</f>
        <v>0.12</v>
      </c>
      <c r="BE151" s="430">
        <f>max(min(Valu!$C$14,$P151),$P151-max($P151-Valu!$C$14,0)/$R151*(BE$3-1))</f>
        <v>0.12</v>
      </c>
      <c r="BF151" s="430">
        <f>max(min(Valu!$C$14,$P151),$P151-max($P151-Valu!$C$14,0)/$R151*(BF$3-1))</f>
        <v>0.12</v>
      </c>
      <c r="BG151" s="430">
        <f>max(min(Valu!$C$14,$P151),$P151-max($P151-Valu!$C$14,0)/$R151*(BG$3-1))</f>
        <v>0.12</v>
      </c>
      <c r="BH151" s="430">
        <f>max(min(Valu!$C$14,$P151),$P151-max($P151-Valu!$C$14,0)/$R151*(BH$3-1))</f>
        <v>0.12</v>
      </c>
      <c r="BI151" s="430">
        <f>max(min(Valu!$C$14,$P151),$P151-max($P151-Valu!$C$14,0)/$R151*(BI$3-1))</f>
        <v>0.12</v>
      </c>
      <c r="BJ151" s="431">
        <f>N151</f>
        <v>3.839843514</v>
      </c>
      <c r="BK151" s="432">
        <f>$BJ151*(1+V151)</f>
        <v>4.03183569</v>
      </c>
      <c r="BL151" s="432">
        <f t="shared" ref="BL151:CC151" si="84">BK151*(1+W151)</f>
        <v>4.213268296</v>
      </c>
      <c r="BM151" s="432">
        <f t="shared" si="84"/>
        <v>4.381799028</v>
      </c>
      <c r="BN151" s="432">
        <f t="shared" si="84"/>
        <v>4.535161994</v>
      </c>
      <c r="BO151" s="432">
        <f t="shared" si="84"/>
        <v>4.671216853</v>
      </c>
      <c r="BP151" s="432">
        <f t="shared" si="84"/>
        <v>4.811353359</v>
      </c>
      <c r="BQ151" s="432">
        <f t="shared" si="84"/>
        <v>4.95569396</v>
      </c>
      <c r="BR151" s="432">
        <f t="shared" si="84"/>
        <v>5.104364779</v>
      </c>
      <c r="BS151" s="432">
        <f t="shared" si="84"/>
        <v>5.257495722</v>
      </c>
      <c r="BT151" s="432">
        <f t="shared" si="84"/>
        <v>5.415220594</v>
      </c>
      <c r="BU151" s="432">
        <f t="shared" si="84"/>
        <v>5.577677211</v>
      </c>
      <c r="BV151" s="432">
        <f t="shared" si="84"/>
        <v>5.745007528</v>
      </c>
      <c r="BW151" s="432">
        <f t="shared" si="84"/>
        <v>5.917357754</v>
      </c>
      <c r="BX151" s="432">
        <f t="shared" si="84"/>
        <v>6.094878486</v>
      </c>
      <c r="BY151" s="432">
        <f t="shared" si="84"/>
        <v>6.277724841</v>
      </c>
      <c r="BZ151" s="432">
        <f t="shared" si="84"/>
        <v>6.466056586</v>
      </c>
      <c r="CA151" s="432">
        <f t="shared" si="84"/>
        <v>6.660038284</v>
      </c>
      <c r="CB151" s="432">
        <f t="shared" si="84"/>
        <v>6.859839432</v>
      </c>
      <c r="CC151" s="432">
        <f t="shared" si="84"/>
        <v>7.065634615</v>
      </c>
      <c r="CD151" s="432">
        <f t="shared" ref="CD151:CW151" si="85">BJ151*(1-V151/AP151)</f>
        <v>2.239908717</v>
      </c>
      <c r="CE151" s="432">
        <f t="shared" si="85"/>
        <v>2.519897306</v>
      </c>
      <c r="CF151" s="432">
        <f t="shared" si="85"/>
        <v>2.808845531</v>
      </c>
      <c r="CG151" s="432">
        <f t="shared" si="85"/>
        <v>3.103774311</v>
      </c>
      <c r="CH151" s="432">
        <f t="shared" si="85"/>
        <v>3.401371495</v>
      </c>
      <c r="CI151" s="432">
        <f t="shared" si="85"/>
        <v>3.50341264</v>
      </c>
      <c r="CJ151" s="432">
        <f t="shared" si="85"/>
        <v>3.608515019</v>
      </c>
      <c r="CK151" s="432">
        <f t="shared" si="85"/>
        <v>3.71677047</v>
      </c>
      <c r="CL151" s="432">
        <f t="shared" si="85"/>
        <v>3.828273584</v>
      </c>
      <c r="CM151" s="432">
        <f t="shared" si="85"/>
        <v>3.943121792</v>
      </c>
      <c r="CN151" s="432">
        <f t="shared" si="85"/>
        <v>4.061415445</v>
      </c>
      <c r="CO151" s="432">
        <f t="shared" si="85"/>
        <v>4.183257909</v>
      </c>
      <c r="CP151" s="432">
        <f t="shared" si="85"/>
        <v>4.308755646</v>
      </c>
      <c r="CQ151" s="432">
        <f t="shared" si="85"/>
        <v>4.438018315</v>
      </c>
      <c r="CR151" s="432">
        <f t="shared" si="85"/>
        <v>4.571158865</v>
      </c>
      <c r="CS151" s="432">
        <f t="shared" si="85"/>
        <v>4.708293631</v>
      </c>
      <c r="CT151" s="432">
        <f t="shared" si="85"/>
        <v>4.84954244</v>
      </c>
      <c r="CU151" s="432">
        <f t="shared" si="85"/>
        <v>4.995028713</v>
      </c>
      <c r="CV151" s="432">
        <f t="shared" si="85"/>
        <v>5.144879574</v>
      </c>
      <c r="CW151" s="432">
        <f t="shared" si="85"/>
        <v>5.299225961</v>
      </c>
      <c r="CX151" s="432">
        <f>CW151*(1+min(Valu!$C$15,$O151))/(Valu!$C$21-min(Valu!$C$15,$O151))</f>
        <v>143.6369142</v>
      </c>
      <c r="CY151" s="432">
        <f>CD151/(1+Valu!$C$21)^CY$3</f>
        <v>2.097292806</v>
      </c>
      <c r="CZ151" s="432">
        <f>CE151/(1+Valu!$C$21)^CZ$3</f>
        <v>2.209226972</v>
      </c>
      <c r="DA151" s="432">
        <f>CF151/(1+Valu!$C$21)^DA$3</f>
        <v>2.305759986</v>
      </c>
      <c r="DB151" s="432">
        <f>CG151/(1+Valu!$C$21)^DB$3</f>
        <v>2.385641184</v>
      </c>
      <c r="DC151" s="432">
        <f>CH151/(1+Valu!$C$21)^DC$3</f>
        <v>2.44792329</v>
      </c>
      <c r="DD151" s="432">
        <f>CI151/(1+Valu!$C$21)^DD$3</f>
        <v>2.360824896</v>
      </c>
      <c r="DE151" s="432">
        <f>CJ151/(1+Valu!$C$21)^DE$3</f>
        <v>2.276825509</v>
      </c>
      <c r="DF151" s="432">
        <f>CK151/(1+Valu!$C$21)^DF$3</f>
        <v>2.195814863</v>
      </c>
      <c r="DG151" s="432">
        <f>CL151/(1+Valu!$C$21)^DG$3</f>
        <v>2.117686619</v>
      </c>
      <c r="DH151" s="432">
        <f>CM151/(1+Valu!$C$21)^DH$3</f>
        <v>2.042338219</v>
      </c>
      <c r="DI151" s="432">
        <f>CN151/(1+Valu!$C$21)^DI$3</f>
        <v>1.969670754</v>
      </c>
      <c r="DJ151" s="432">
        <f>CO151/(1+Valu!$C$21)^DJ$3</f>
        <v>1.899588836</v>
      </c>
      <c r="DK151" s="432">
        <f>CP151/(1+Valu!$C$21)^DK$3</f>
        <v>1.832000469</v>
      </c>
      <c r="DL151" s="432">
        <f>CQ151/(1+Valu!$C$21)^DL$3</f>
        <v>1.766816932</v>
      </c>
      <c r="DM151" s="432">
        <f>CR151/(1+Valu!$C$21)^DM$3</f>
        <v>1.703952659</v>
      </c>
      <c r="DN151" s="432">
        <f>CS151/(1+Valu!$C$21)^DN$3</f>
        <v>1.64332513</v>
      </c>
      <c r="DO151" s="432">
        <f>CT151/(1+Valu!$C$21)^DO$3</f>
        <v>1.58485476</v>
      </c>
      <c r="DP151" s="432">
        <f>CU151/(1+Valu!$C$21)^DP$3</f>
        <v>1.528464797</v>
      </c>
      <c r="DQ151" s="432">
        <f>CV151/(1+Valu!$C$21)^DQ$3</f>
        <v>1.474081218</v>
      </c>
      <c r="DR151" s="432">
        <f>CW151/(1+Valu!$C$21)^DR$3</f>
        <v>1.421632635</v>
      </c>
      <c r="DS151" s="432">
        <f>CX151/(1+Valu!$C$21)^DS$3</f>
        <v>38.53372668</v>
      </c>
      <c r="DT151" s="358"/>
      <c r="DU151" s="358"/>
      <c r="DV151" s="358"/>
      <c r="DW151" s="358"/>
    </row>
    <row r="152" ht="15.0" customHeight="1">
      <c r="A152" s="343">
        <v>42117.0</v>
      </c>
      <c r="B152" s="344" t="s">
        <v>2494</v>
      </c>
      <c r="C152" s="344" t="s">
        <v>2495</v>
      </c>
      <c r="D152" s="344">
        <v>25.0</v>
      </c>
      <c r="E152" s="345">
        <f>IFERROR(__xludf.DUMMYFUNCTION("if(and(D152&lt;&gt;0,D152&lt;&gt;""""),D152/GOOGLEFINANCE(C152,""price"")-1,"""")"),1.7777777777777777)</f>
        <v>1.777777778</v>
      </c>
      <c r="F152" s="364">
        <f>IFERROR(__xludf.DUMMYFUNCTION("GOOGLEFINANCE(C152,""price"")"),9.0)</f>
        <v>9</v>
      </c>
      <c r="G152" s="374">
        <f t="shared" si="6"/>
        <v>0.6980501547</v>
      </c>
      <c r="H152" s="347"/>
      <c r="I152" s="348">
        <f t="shared" ref="I152:I153" si="86">(N152)*($I$1+O152*100)</f>
        <v>15.28245139</v>
      </c>
      <c r="J152" s="369">
        <v>0.93</v>
      </c>
      <c r="K152" s="369">
        <v>0.99</v>
      </c>
      <c r="L152" s="360">
        <v>43465.0</v>
      </c>
      <c r="M152" s="351">
        <f t="shared" si="7"/>
        <v>-0.8201115781</v>
      </c>
      <c r="N152" s="349">
        <f t="shared" si="8"/>
        <v>1.039206695</v>
      </c>
      <c r="O152" s="361">
        <v>0.0</v>
      </c>
      <c r="P152" s="361"/>
      <c r="Q152" s="362"/>
      <c r="R152" s="360"/>
      <c r="S152" s="360">
        <v>43377.0</v>
      </c>
      <c r="T152" s="365"/>
      <c r="U152" s="356" t="s">
        <v>2496</v>
      </c>
      <c r="V152" s="344"/>
      <c r="W152" s="344"/>
      <c r="X152" s="344"/>
      <c r="Y152" s="344"/>
      <c r="Z152" s="344"/>
      <c r="AA152" s="344"/>
      <c r="AB152" s="344"/>
      <c r="AC152" s="344"/>
      <c r="AD152" s="344"/>
      <c r="AE152" s="344"/>
      <c r="AF152" s="344"/>
      <c r="AG152" s="344"/>
      <c r="AH152" s="344"/>
      <c r="AI152" s="344"/>
      <c r="AJ152" s="344"/>
      <c r="AK152" s="344"/>
      <c r="AL152" s="344"/>
      <c r="AM152" s="344"/>
      <c r="AN152" s="344"/>
      <c r="AO152" s="344"/>
      <c r="AP152" s="344"/>
      <c r="AQ152" s="344"/>
      <c r="AR152" s="344"/>
      <c r="AS152" s="344"/>
      <c r="AT152" s="344"/>
      <c r="AU152" s="344"/>
      <c r="AV152" s="344"/>
      <c r="AW152" s="344"/>
      <c r="AX152" s="344"/>
      <c r="AY152" s="344"/>
      <c r="AZ152" s="344"/>
      <c r="BA152" s="344"/>
      <c r="BB152" s="344"/>
      <c r="BC152" s="344"/>
      <c r="BD152" s="344"/>
      <c r="BE152" s="344"/>
      <c r="BF152" s="344"/>
      <c r="BG152" s="344"/>
      <c r="BH152" s="344"/>
      <c r="BI152" s="344"/>
      <c r="BJ152" s="344"/>
      <c r="BK152" s="344"/>
      <c r="BL152" s="344"/>
      <c r="BM152" s="344"/>
      <c r="BN152" s="344"/>
      <c r="BO152" s="344"/>
      <c r="BP152" s="344"/>
      <c r="BQ152" s="344"/>
      <c r="BR152" s="344"/>
      <c r="BS152" s="344"/>
      <c r="BT152" s="344"/>
      <c r="BU152" s="344"/>
      <c r="BV152" s="344"/>
      <c r="BW152" s="344"/>
      <c r="BX152" s="344"/>
      <c r="BY152" s="344"/>
      <c r="BZ152" s="344"/>
      <c r="CA152" s="344"/>
      <c r="CB152" s="344"/>
      <c r="CC152" s="344"/>
      <c r="CD152" s="344"/>
      <c r="CE152" s="344"/>
      <c r="CF152" s="344"/>
      <c r="CG152" s="344"/>
      <c r="CH152" s="344"/>
      <c r="CI152" s="344"/>
      <c r="CJ152" s="344"/>
      <c r="CK152" s="344"/>
      <c r="CL152" s="344"/>
      <c r="CM152" s="344"/>
      <c r="CN152" s="344"/>
      <c r="CO152" s="344"/>
      <c r="CP152" s="344"/>
      <c r="CQ152" s="344"/>
      <c r="CR152" s="344"/>
      <c r="CS152" s="344"/>
      <c r="CT152" s="344"/>
      <c r="CU152" s="344"/>
      <c r="CV152" s="344"/>
      <c r="CW152" s="344"/>
      <c r="CX152" s="344"/>
      <c r="CY152" s="344"/>
      <c r="CZ152" s="344"/>
      <c r="DA152" s="344"/>
      <c r="DB152" s="344"/>
      <c r="DC152" s="344"/>
      <c r="DD152" s="344"/>
      <c r="DE152" s="344"/>
      <c r="DF152" s="344"/>
      <c r="DG152" s="344"/>
      <c r="DH152" s="344"/>
      <c r="DI152" s="344"/>
      <c r="DJ152" s="344"/>
      <c r="DK152" s="344"/>
      <c r="DL152" s="344"/>
      <c r="DM152" s="344"/>
      <c r="DN152" s="344"/>
      <c r="DO152" s="344"/>
      <c r="DP152" s="344"/>
      <c r="DQ152" s="344"/>
      <c r="DR152" s="344"/>
      <c r="DS152" s="344"/>
      <c r="DT152" s="344"/>
      <c r="DU152" s="344"/>
      <c r="DV152" s="344"/>
      <c r="DW152" s="344"/>
    </row>
    <row r="153" ht="15.0" customHeight="1">
      <c r="A153" s="366">
        <v>41341.0</v>
      </c>
      <c r="B153" s="367" t="s">
        <v>2497</v>
      </c>
      <c r="C153" s="367" t="s">
        <v>1244</v>
      </c>
      <c r="D153" s="344">
        <v>70.0</v>
      </c>
      <c r="E153" s="345">
        <f>IFERROR(__xludf.DUMMYFUNCTION("if(and(D153&lt;&gt;0,D153&lt;&gt;""""),D153/GOOGLEFINANCE(C153,""price"")-1,"""")"),0.10549589387239422)</f>
        <v>0.1054958939</v>
      </c>
      <c r="F153" s="364">
        <f>IFERROR(__xludf.DUMMYFUNCTION("GOOGLEFINANCE(C153,""price"")"),63.32)</f>
        <v>63.32</v>
      </c>
      <c r="G153" s="345">
        <f t="shared" si="6"/>
        <v>0.0584562331</v>
      </c>
      <c r="H153" s="347">
        <f>(1.5*1.2)*20</f>
        <v>36</v>
      </c>
      <c r="I153" s="348">
        <f t="shared" si="86"/>
        <v>67.02144868</v>
      </c>
      <c r="J153" s="369">
        <v>6.61</v>
      </c>
      <c r="K153" s="369">
        <v>6.97</v>
      </c>
      <c r="L153" s="360">
        <v>43830.0</v>
      </c>
      <c r="M153" s="351">
        <f t="shared" si="7"/>
        <v>0.1798884249</v>
      </c>
      <c r="N153" s="349">
        <f t="shared" si="8"/>
        <v>6.905240167</v>
      </c>
      <c r="O153" s="361">
        <v>-0.05</v>
      </c>
      <c r="P153" s="361"/>
      <c r="Q153" s="362"/>
      <c r="R153" s="360"/>
      <c r="S153" s="360">
        <v>43502.0</v>
      </c>
      <c r="T153" s="355" t="s">
        <v>1223</v>
      </c>
      <c r="U153" s="356" t="s">
        <v>2498</v>
      </c>
      <c r="V153" s="344"/>
      <c r="W153" s="344"/>
      <c r="X153" s="344"/>
      <c r="Y153" s="344"/>
      <c r="Z153" s="344"/>
      <c r="AA153" s="344"/>
      <c r="AB153" s="344"/>
      <c r="AC153" s="344"/>
      <c r="AD153" s="344"/>
      <c r="AE153" s="344"/>
      <c r="AF153" s="344"/>
      <c r="AG153" s="344"/>
      <c r="AH153" s="344"/>
      <c r="AI153" s="344"/>
      <c r="AJ153" s="344"/>
      <c r="AK153" s="344"/>
      <c r="AL153" s="344"/>
      <c r="AM153" s="344"/>
      <c r="AN153" s="344"/>
      <c r="AO153" s="344"/>
      <c r="AP153" s="344"/>
      <c r="AQ153" s="344"/>
      <c r="AR153" s="344"/>
      <c r="AS153" s="344"/>
      <c r="AT153" s="344"/>
      <c r="AU153" s="344"/>
      <c r="AV153" s="344"/>
      <c r="AW153" s="344"/>
      <c r="AX153" s="344"/>
      <c r="AY153" s="344"/>
      <c r="AZ153" s="344"/>
      <c r="BA153" s="344"/>
      <c r="BB153" s="344"/>
      <c r="BC153" s="344"/>
      <c r="BD153" s="344"/>
      <c r="BE153" s="344"/>
      <c r="BF153" s="344"/>
      <c r="BG153" s="344"/>
      <c r="BH153" s="344"/>
      <c r="BI153" s="344"/>
      <c r="BJ153" s="344"/>
      <c r="BK153" s="344"/>
      <c r="BL153" s="344"/>
      <c r="BM153" s="344"/>
      <c r="BN153" s="344"/>
      <c r="BO153" s="344"/>
      <c r="BP153" s="344"/>
      <c r="BQ153" s="344"/>
      <c r="BR153" s="344"/>
      <c r="BS153" s="344"/>
      <c r="BT153" s="344"/>
      <c r="BU153" s="344"/>
      <c r="BV153" s="344"/>
      <c r="BW153" s="344"/>
      <c r="BX153" s="344"/>
      <c r="BY153" s="344"/>
      <c r="BZ153" s="344"/>
      <c r="CA153" s="344"/>
      <c r="CB153" s="344"/>
      <c r="CC153" s="344"/>
      <c r="CD153" s="344"/>
      <c r="CE153" s="344"/>
      <c r="CF153" s="344"/>
      <c r="CG153" s="344"/>
      <c r="CH153" s="344"/>
      <c r="CI153" s="344"/>
      <c r="CJ153" s="344"/>
      <c r="CK153" s="344"/>
      <c r="CL153" s="344"/>
      <c r="CM153" s="344"/>
      <c r="CN153" s="344"/>
      <c r="CO153" s="344"/>
      <c r="CP153" s="344"/>
      <c r="CQ153" s="344"/>
      <c r="CR153" s="344"/>
      <c r="CS153" s="344"/>
      <c r="CT153" s="344"/>
      <c r="CU153" s="344"/>
      <c r="CV153" s="344"/>
      <c r="CW153" s="344"/>
      <c r="CX153" s="344"/>
      <c r="CY153" s="344"/>
      <c r="CZ153" s="344"/>
      <c r="DA153" s="344"/>
      <c r="DB153" s="344"/>
      <c r="DC153" s="344"/>
      <c r="DD153" s="344"/>
      <c r="DE153" s="344"/>
      <c r="DF153" s="344"/>
      <c r="DG153" s="344"/>
      <c r="DH153" s="344"/>
      <c r="DI153" s="344"/>
      <c r="DJ153" s="344"/>
      <c r="DK153" s="344"/>
      <c r="DL153" s="344"/>
      <c r="DM153" s="344"/>
      <c r="DN153" s="344"/>
      <c r="DO153" s="344"/>
      <c r="DP153" s="344"/>
      <c r="DQ153" s="344"/>
      <c r="DR153" s="344"/>
      <c r="DS153" s="344"/>
      <c r="DT153" s="344"/>
      <c r="DU153" s="344"/>
      <c r="DV153" s="344"/>
      <c r="DW153" s="344"/>
    </row>
    <row r="154" ht="15.0" customHeight="1">
      <c r="A154" s="301">
        <v>40914.0</v>
      </c>
      <c r="B154" s="319" t="s">
        <v>2499</v>
      </c>
      <c r="C154" s="319" t="s">
        <v>2500</v>
      </c>
      <c r="D154" s="535"/>
      <c r="E154" s="536" t="str">
        <f>IFERROR(__xludf.DUMMYFUNCTION("if(and(D154&lt;&gt;0,D154&lt;&gt;""""),D154/GOOGLEFINANCE(C154,""price"")-1,"""")"),"")</f>
        <v/>
      </c>
      <c r="F154" s="322">
        <f>IFERROR(__xludf.DUMMYFUNCTION("GOOGLEFINANCE(C154,""price"")"),27.71)</f>
        <v>27.71</v>
      </c>
      <c r="G154" s="536" t="str">
        <f t="shared" si="6"/>
        <v/>
      </c>
      <c r="H154" s="325"/>
      <c r="I154" s="325"/>
      <c r="J154" s="313"/>
      <c r="K154" s="313"/>
      <c r="L154" s="314"/>
      <c r="M154" s="312">
        <f t="shared" si="7"/>
        <v>-119.9023034</v>
      </c>
      <c r="N154" s="313">
        <f t="shared" si="8"/>
        <v>0</v>
      </c>
      <c r="O154" s="314"/>
      <c r="P154" s="315"/>
      <c r="Q154" s="312"/>
      <c r="R154" s="316"/>
      <c r="S154" s="316"/>
      <c r="T154" s="316"/>
      <c r="U154" s="317" t="s">
        <v>2501</v>
      </c>
      <c r="V154" s="319"/>
      <c r="W154" s="319"/>
      <c r="X154" s="319"/>
      <c r="Y154" s="319"/>
      <c r="Z154" s="319"/>
      <c r="AA154" s="319"/>
      <c r="AB154" s="319"/>
      <c r="AC154" s="319"/>
      <c r="AD154" s="319"/>
      <c r="AE154" s="319"/>
      <c r="AF154" s="319"/>
      <c r="AG154" s="319"/>
      <c r="AH154" s="319"/>
      <c r="AI154" s="319"/>
      <c r="AJ154" s="319"/>
      <c r="AK154" s="319"/>
      <c r="AL154" s="319"/>
      <c r="AM154" s="319"/>
      <c r="AN154" s="319"/>
      <c r="AO154" s="319"/>
      <c r="AP154" s="319"/>
      <c r="AQ154" s="319"/>
      <c r="AR154" s="319"/>
      <c r="AS154" s="319"/>
      <c r="AT154" s="319"/>
      <c r="AU154" s="319"/>
      <c r="AV154" s="319"/>
      <c r="AW154" s="319"/>
      <c r="AX154" s="319"/>
      <c r="AY154" s="319"/>
      <c r="AZ154" s="319"/>
      <c r="BA154" s="319"/>
      <c r="BB154" s="319"/>
      <c r="BC154" s="319"/>
      <c r="BD154" s="319"/>
      <c r="BE154" s="319"/>
      <c r="BF154" s="319"/>
      <c r="BG154" s="319"/>
      <c r="BH154" s="319"/>
      <c r="BI154" s="319"/>
      <c r="BJ154" s="319"/>
      <c r="BK154" s="319"/>
      <c r="BL154" s="319"/>
      <c r="BM154" s="319"/>
      <c r="BN154" s="319"/>
      <c r="BO154" s="319"/>
      <c r="BP154" s="319"/>
      <c r="BQ154" s="319"/>
      <c r="BR154" s="319"/>
      <c r="BS154" s="319"/>
      <c r="BT154" s="319"/>
      <c r="BU154" s="319"/>
      <c r="BV154" s="319"/>
      <c r="BW154" s="319"/>
      <c r="BX154" s="319"/>
      <c r="BY154" s="319"/>
      <c r="BZ154" s="319"/>
      <c r="CA154" s="319"/>
      <c r="CB154" s="319"/>
      <c r="CC154" s="319"/>
      <c r="CD154" s="319"/>
      <c r="CE154" s="319"/>
      <c r="CF154" s="319"/>
      <c r="CG154" s="319"/>
      <c r="CH154" s="319"/>
      <c r="CI154" s="319"/>
      <c r="CJ154" s="319"/>
      <c r="CK154" s="319"/>
      <c r="CL154" s="319"/>
      <c r="CM154" s="319"/>
      <c r="CN154" s="319"/>
      <c r="CO154" s="319"/>
      <c r="CP154" s="319"/>
      <c r="CQ154" s="319"/>
      <c r="CR154" s="319"/>
      <c r="CS154" s="319"/>
      <c r="CT154" s="319"/>
      <c r="CU154" s="319"/>
      <c r="CV154" s="319"/>
      <c r="CW154" s="319"/>
      <c r="CX154" s="319"/>
      <c r="CY154" s="319"/>
      <c r="CZ154" s="319"/>
      <c r="DA154" s="319"/>
      <c r="DB154" s="319"/>
      <c r="DC154" s="319"/>
      <c r="DD154" s="319"/>
      <c r="DE154" s="319"/>
      <c r="DF154" s="319"/>
      <c r="DG154" s="319"/>
      <c r="DH154" s="319"/>
      <c r="DI154" s="319"/>
      <c r="DJ154" s="319"/>
      <c r="DK154" s="319"/>
      <c r="DL154" s="319"/>
      <c r="DM154" s="319"/>
      <c r="DN154" s="319"/>
      <c r="DO154" s="319"/>
      <c r="DP154" s="319"/>
      <c r="DQ154" s="319"/>
      <c r="DR154" s="319"/>
      <c r="DS154" s="319"/>
      <c r="DT154" s="319"/>
      <c r="DU154" s="319"/>
      <c r="DV154" s="319"/>
      <c r="DW154" s="319"/>
    </row>
    <row r="155" ht="15.0" customHeight="1">
      <c r="A155" s="366">
        <v>40472.0</v>
      </c>
      <c r="B155" s="367" t="s">
        <v>2396</v>
      </c>
      <c r="C155" s="344" t="s">
        <v>1035</v>
      </c>
      <c r="D155" s="358">
        <v>1100.0</v>
      </c>
      <c r="E155" s="345">
        <f>IFERROR(__xludf.DUMMYFUNCTION("if(and(D155&lt;&gt;0,D155&lt;&gt;""""),D155/GOOGLEFINANCE(C155,""price"")-1,"""")"),-0.12995333386063435)</f>
        <v>-0.1299533339</v>
      </c>
      <c r="F155" s="364">
        <f>IFERROR(__xludf.DUMMYFUNCTION("GOOGLEFINANCE(C155,""price"")"),1264.3)</f>
        <v>1264.3</v>
      </c>
      <c r="G155" s="345">
        <f t="shared" si="6"/>
        <v>0.1907025644</v>
      </c>
      <c r="H155" s="347">
        <f>(33.9*1.2)*20</f>
        <v>813.6</v>
      </c>
      <c r="I155" s="368">
        <f>sum(CY155:DS155)</f>
        <v>1505.405252</v>
      </c>
      <c r="J155" s="369">
        <v>52.25</v>
      </c>
      <c r="K155" s="369">
        <v>55.9</v>
      </c>
      <c r="L155" s="360">
        <v>43830.0</v>
      </c>
      <c r="M155" s="351">
        <f t="shared" si="7"/>
        <v>0.1798884287</v>
      </c>
      <c r="N155" s="349">
        <f t="shared" si="8"/>
        <v>55.24340724</v>
      </c>
      <c r="O155" s="361">
        <v>0.15</v>
      </c>
      <c r="P155" s="370">
        <v>0.15</v>
      </c>
      <c r="Q155" s="371">
        <f>I155/N155</f>
        <v>27.25040557</v>
      </c>
      <c r="R155" s="381">
        <v>8.0</v>
      </c>
      <c r="S155" s="360">
        <v>43720.0</v>
      </c>
      <c r="T155" s="365" t="s">
        <v>1240</v>
      </c>
      <c r="U155" s="363" t="s">
        <v>2487</v>
      </c>
      <c r="V155" s="429">
        <f>O155</f>
        <v>0.15</v>
      </c>
      <c r="W155" s="430">
        <f>max(min(Valu!$C$15,$O155),$O155-max($O155-Valu!$C$15,0)/$R155*(W$3-1))</f>
        <v>0.135</v>
      </c>
      <c r="X155" s="430">
        <f>max(min(Valu!$C$15,$O155),$O155-max($O155-Valu!$C$15,0)/$R155*(X$3-1))</f>
        <v>0.12</v>
      </c>
      <c r="Y155" s="430">
        <f>max(min(Valu!$C$15,$O155),$O155-max($O155-Valu!$C$15,0)/$R155*(Y$3-1))</f>
        <v>0.105</v>
      </c>
      <c r="Z155" s="430">
        <f>max(min(Valu!$C$15,$O155),$O155-max($O155-Valu!$C$15,0)/$R155*(Z$3-1))</f>
        <v>0.09</v>
      </c>
      <c r="AA155" s="430">
        <f>max(min(Valu!$C$15,$O155),$O155-max($O155-Valu!$C$15,0)/$R155*(AA$3-1))</f>
        <v>0.075</v>
      </c>
      <c r="AB155" s="430">
        <f>max(min(Valu!$C$15,$O155),$O155-max($O155-Valu!$C$15,0)/$R155*(AB$3-1))</f>
        <v>0.06</v>
      </c>
      <c r="AC155" s="430">
        <f>max(min(Valu!$C$15,$O155),$O155-max($O155-Valu!$C$15,0)/$R155*(AC$3-1))</f>
        <v>0.045</v>
      </c>
      <c r="AD155" s="430">
        <f>max(min(Valu!$C$15,$O155),$O155-max($O155-Valu!$C$15,0)/$R155*(AD$3-1))</f>
        <v>0.03</v>
      </c>
      <c r="AE155" s="430">
        <f>max(min(Valu!$C$15,$O155),$O155-max($O155-Valu!$C$15,0)/$R155*(AE$3-1))</f>
        <v>0.03</v>
      </c>
      <c r="AF155" s="430">
        <f>max(min(Valu!$C$15,$O155),$O155-max($O155-Valu!$C$15,0)/$R155*(AF$3-1))</f>
        <v>0.03</v>
      </c>
      <c r="AG155" s="430">
        <f>max(min(Valu!$C$15,$O155),$O155-max($O155-Valu!$C$15,0)/$R155*(AG$3-1))</f>
        <v>0.03</v>
      </c>
      <c r="AH155" s="430">
        <f>max(min(Valu!$C$15,$O155),$O155-max($O155-Valu!$C$15,0)/$R155*(AH$3-1))</f>
        <v>0.03</v>
      </c>
      <c r="AI155" s="430">
        <f>max(min(Valu!$C$15,$O155),$O155-max($O155-Valu!$C$15,0)/$R155*(AI$3-1))</f>
        <v>0.03</v>
      </c>
      <c r="AJ155" s="430">
        <f>max(min(Valu!$C$15,$O155),$O155-max($O155-Valu!$C$15,0)/$R155*(AJ$3-1))</f>
        <v>0.03</v>
      </c>
      <c r="AK155" s="430">
        <f>max(min(Valu!$C$15,$O155),$O155-max($O155-Valu!$C$15,0)/$R155*(AK$3-1))</f>
        <v>0.03</v>
      </c>
      <c r="AL155" s="430">
        <f>max(min(Valu!$C$15,$O155),$O155-max($O155-Valu!$C$15,0)/$R155*(AL$3-1))</f>
        <v>0.03</v>
      </c>
      <c r="AM155" s="430">
        <f>max(min(Valu!$C$15,$O155),$O155-max($O155-Valu!$C$15,0)/$R155*(AM$3-1))</f>
        <v>0.03</v>
      </c>
      <c r="AN155" s="430">
        <f>max(min(Valu!$C$15,$O155),$O155-max($O155-Valu!$C$15,0)/$R155*(AN$3-1))</f>
        <v>0.03</v>
      </c>
      <c r="AO155" s="430">
        <f>max(min(Valu!$C$15,$O155),$O155-max($O155-Valu!$C$15,0)/$R155*(AO$3-1))</f>
        <v>0.03</v>
      </c>
      <c r="AP155" s="430">
        <f>max(min(Valu!$C$14,$P155),$P155-max($P155-Valu!$C$14,0)/$R155*(AP$3-1))</f>
        <v>0.15</v>
      </c>
      <c r="AQ155" s="430">
        <f>max(min(Valu!$C$14,$P155),$P155-max($P155-Valu!$C$14,0)/$R155*(AQ$3-1))</f>
        <v>0.14625</v>
      </c>
      <c r="AR155" s="430">
        <f>max(min(Valu!$C$14,$P155),$P155-max($P155-Valu!$C$14,0)/$R155*(AR$3-1))</f>
        <v>0.1425</v>
      </c>
      <c r="AS155" s="430">
        <f>max(min(Valu!$C$14,$P155),$P155-max($P155-Valu!$C$14,0)/$R155*(AS$3-1))</f>
        <v>0.13875</v>
      </c>
      <c r="AT155" s="430">
        <f>max(min(Valu!$C$14,$P155),$P155-max($P155-Valu!$C$14,0)/$R155*(AT$3-1))</f>
        <v>0.135</v>
      </c>
      <c r="AU155" s="430">
        <f>max(min(Valu!$C$14,$P155),$P155-max($P155-Valu!$C$14,0)/$R155*(AU$3-1))</f>
        <v>0.13125</v>
      </c>
      <c r="AV155" s="430">
        <f>max(min(Valu!$C$14,$P155),$P155-max($P155-Valu!$C$14,0)/$R155*(AV$3-1))</f>
        <v>0.1275</v>
      </c>
      <c r="AW155" s="430">
        <f>max(min(Valu!$C$14,$P155),$P155-max($P155-Valu!$C$14,0)/$R155*(AW$3-1))</f>
        <v>0.12375</v>
      </c>
      <c r="AX155" s="430">
        <f>max(min(Valu!$C$14,$P155),$P155-max($P155-Valu!$C$14,0)/$R155*(AX$3-1))</f>
        <v>0.12</v>
      </c>
      <c r="AY155" s="430">
        <f>max(min(Valu!$C$14,$P155),$P155-max($P155-Valu!$C$14,0)/$R155*(AY$3-1))</f>
        <v>0.12</v>
      </c>
      <c r="AZ155" s="430">
        <f>max(min(Valu!$C$14,$P155),$P155-max($P155-Valu!$C$14,0)/$R155*(AZ$3-1))</f>
        <v>0.12</v>
      </c>
      <c r="BA155" s="430">
        <f>max(min(Valu!$C$14,$P155),$P155-max($P155-Valu!$C$14,0)/$R155*(BA$3-1))</f>
        <v>0.12</v>
      </c>
      <c r="BB155" s="430">
        <f>max(min(Valu!$C$14,$P155),$P155-max($P155-Valu!$C$14,0)/$R155*(BB$3-1))</f>
        <v>0.12</v>
      </c>
      <c r="BC155" s="430">
        <f>max(min(Valu!$C$14,$P155),$P155-max($P155-Valu!$C$14,0)/$R155*(BC$3-1))</f>
        <v>0.12</v>
      </c>
      <c r="BD155" s="430">
        <f>max(min(Valu!$C$14,$P155),$P155-max($P155-Valu!$C$14,0)/$R155*(BD$3-1))</f>
        <v>0.12</v>
      </c>
      <c r="BE155" s="430">
        <f>max(min(Valu!$C$14,$P155),$P155-max($P155-Valu!$C$14,0)/$R155*(BE$3-1))</f>
        <v>0.12</v>
      </c>
      <c r="BF155" s="430">
        <f>max(min(Valu!$C$14,$P155),$P155-max($P155-Valu!$C$14,0)/$R155*(BF$3-1))</f>
        <v>0.12</v>
      </c>
      <c r="BG155" s="430">
        <f>max(min(Valu!$C$14,$P155),$P155-max($P155-Valu!$C$14,0)/$R155*(BG$3-1))</f>
        <v>0.12</v>
      </c>
      <c r="BH155" s="430">
        <f>max(min(Valu!$C$14,$P155),$P155-max($P155-Valu!$C$14,0)/$R155*(BH$3-1))</f>
        <v>0.12</v>
      </c>
      <c r="BI155" s="430">
        <f>max(min(Valu!$C$14,$P155),$P155-max($P155-Valu!$C$14,0)/$R155*(BI$3-1))</f>
        <v>0.12</v>
      </c>
      <c r="BJ155" s="431">
        <f>N155</f>
        <v>55.24340724</v>
      </c>
      <c r="BK155" s="432">
        <f>$BJ155*(1+V155)</f>
        <v>63.52991832</v>
      </c>
      <c r="BL155" s="432">
        <f t="shared" ref="BL155:CC155" si="87">BK155*(1+W155)</f>
        <v>72.10645729</v>
      </c>
      <c r="BM155" s="432">
        <f t="shared" si="87"/>
        <v>80.75923217</v>
      </c>
      <c r="BN155" s="432">
        <f t="shared" si="87"/>
        <v>89.23895155</v>
      </c>
      <c r="BO155" s="432">
        <f t="shared" si="87"/>
        <v>97.27045719</v>
      </c>
      <c r="BP155" s="432">
        <f t="shared" si="87"/>
        <v>104.5657415</v>
      </c>
      <c r="BQ155" s="432">
        <f t="shared" si="87"/>
        <v>110.839686</v>
      </c>
      <c r="BR155" s="432">
        <f t="shared" si="87"/>
        <v>115.8274718</v>
      </c>
      <c r="BS155" s="432">
        <f t="shared" si="87"/>
        <v>119.302296</v>
      </c>
      <c r="BT155" s="432">
        <f t="shared" si="87"/>
        <v>122.8813649</v>
      </c>
      <c r="BU155" s="432">
        <f t="shared" si="87"/>
        <v>126.5678058</v>
      </c>
      <c r="BV155" s="432">
        <f t="shared" si="87"/>
        <v>130.36484</v>
      </c>
      <c r="BW155" s="432">
        <f t="shared" si="87"/>
        <v>134.2757852</v>
      </c>
      <c r="BX155" s="432">
        <f t="shared" si="87"/>
        <v>138.3040587</v>
      </c>
      <c r="BY155" s="432">
        <f t="shared" si="87"/>
        <v>142.4531805</v>
      </c>
      <c r="BZ155" s="432">
        <f t="shared" si="87"/>
        <v>146.7267759</v>
      </c>
      <c r="CA155" s="432">
        <f t="shared" si="87"/>
        <v>151.1285792</v>
      </c>
      <c r="CB155" s="432">
        <f t="shared" si="87"/>
        <v>155.6624366</v>
      </c>
      <c r="CC155" s="432">
        <f t="shared" si="87"/>
        <v>160.3323097</v>
      </c>
      <c r="CD155" s="432">
        <f t="shared" ref="CD155:CW155" si="88">BJ155*(1-V155/AP155)</f>
        <v>0</v>
      </c>
      <c r="CE155" s="432">
        <f t="shared" si="88"/>
        <v>4.886916794</v>
      </c>
      <c r="CF155" s="432">
        <f t="shared" si="88"/>
        <v>11.3852301</v>
      </c>
      <c r="CG155" s="432">
        <f t="shared" si="88"/>
        <v>19.64413755</v>
      </c>
      <c r="CH155" s="432">
        <f t="shared" si="88"/>
        <v>29.74631718</v>
      </c>
      <c r="CI155" s="432">
        <f t="shared" si="88"/>
        <v>41.68733879</v>
      </c>
      <c r="CJ155" s="432">
        <f t="shared" si="88"/>
        <v>55.35833372</v>
      </c>
      <c r="CK155" s="432">
        <f t="shared" si="88"/>
        <v>70.53434561</v>
      </c>
      <c r="CL155" s="432">
        <f t="shared" si="88"/>
        <v>86.87060387</v>
      </c>
      <c r="CM155" s="432">
        <f t="shared" si="88"/>
        <v>89.47672199</v>
      </c>
      <c r="CN155" s="432">
        <f t="shared" si="88"/>
        <v>92.16102365</v>
      </c>
      <c r="CO155" s="432">
        <f t="shared" si="88"/>
        <v>94.92585436</v>
      </c>
      <c r="CP155" s="432">
        <f t="shared" si="88"/>
        <v>97.77362999</v>
      </c>
      <c r="CQ155" s="432">
        <f t="shared" si="88"/>
        <v>100.7068389</v>
      </c>
      <c r="CR155" s="432">
        <f t="shared" si="88"/>
        <v>103.7280441</v>
      </c>
      <c r="CS155" s="432">
        <f t="shared" si="88"/>
        <v>106.8398854</v>
      </c>
      <c r="CT155" s="432">
        <f t="shared" si="88"/>
        <v>110.0450819</v>
      </c>
      <c r="CU155" s="432">
        <f t="shared" si="88"/>
        <v>113.3464344</v>
      </c>
      <c r="CV155" s="432">
        <f t="shared" si="88"/>
        <v>116.7468274</v>
      </c>
      <c r="CW155" s="432">
        <f t="shared" si="88"/>
        <v>120.2492323</v>
      </c>
      <c r="CX155" s="432">
        <f>CW155*(1+min(Valu!$C$15,$O155))/(Valu!$C$21-min(Valu!$C$15,$O155))</f>
        <v>3259.387085</v>
      </c>
      <c r="CY155" s="432">
        <f>CD155/(1+Valu!$C$21)^CY$3</f>
        <v>0</v>
      </c>
      <c r="CZ155" s="432">
        <f>CE155/(1+Valu!$C$21)^CZ$3</f>
        <v>4.284423959</v>
      </c>
      <c r="DA155" s="432">
        <f>CF155/(1+Valu!$C$21)^DA$3</f>
        <v>9.346049012</v>
      </c>
      <c r="DB155" s="432">
        <f>CG155/(1+Valu!$C$21)^DB$3</f>
        <v>15.09899203</v>
      </c>
      <c r="DC155" s="432">
        <f>CH155/(1+Valu!$C$21)^DC$3</f>
        <v>21.40804165</v>
      </c>
      <c r="DD155" s="432">
        <f>CI155/(1+Valu!$C$21)^DD$3</f>
        <v>28.09161163</v>
      </c>
      <c r="DE155" s="432">
        <f>CJ155/(1+Valu!$C$21)^DE$3</f>
        <v>34.92884626</v>
      </c>
      <c r="DF155" s="432">
        <f>CK155/(1+Valu!$C$21)^DF$3</f>
        <v>41.67068311</v>
      </c>
      <c r="DG155" s="432">
        <f>CL155/(1+Valu!$C$21)^DG$3</f>
        <v>48.05422375</v>
      </c>
      <c r="DH155" s="432">
        <f>CM155/(1+Valu!$C$21)^DH$3</f>
        <v>46.34442928</v>
      </c>
      <c r="DI155" s="432">
        <f>CN155/(1+Valu!$C$21)^DI$3</f>
        <v>44.69547018</v>
      </c>
      <c r="DJ155" s="432">
        <f>CO155/(1+Valu!$C$21)^DJ$3</f>
        <v>43.10518192</v>
      </c>
      <c r="DK155" s="432">
        <f>CP155/(1+Valu!$C$21)^DK$3</f>
        <v>41.57147694</v>
      </c>
      <c r="DL155" s="432">
        <f>CQ155/(1+Valu!$C$21)^DL$3</f>
        <v>40.092342</v>
      </c>
      <c r="DM155" s="432">
        <f>CR155/(1+Valu!$C$21)^DM$3</f>
        <v>38.66583545</v>
      </c>
      <c r="DN155" s="432">
        <f>CS155/(1+Valu!$C$21)^DN$3</f>
        <v>37.29008475</v>
      </c>
      <c r="DO155" s="432">
        <f>CT155/(1+Valu!$C$21)^DO$3</f>
        <v>35.96328398</v>
      </c>
      <c r="DP155" s="432">
        <f>CU155/(1+Valu!$C$21)^DP$3</f>
        <v>34.68369148</v>
      </c>
      <c r="DQ155" s="432">
        <f>CV155/(1+Valu!$C$21)^DQ$3</f>
        <v>33.44962755</v>
      </c>
      <c r="DR155" s="432">
        <f>CW155/(1+Valu!$C$21)^DR$3</f>
        <v>32.25947226</v>
      </c>
      <c r="DS155" s="432">
        <f>CX155/(1+Valu!$C$21)^DS$3</f>
        <v>874.401485</v>
      </c>
      <c r="DT155" s="358"/>
      <c r="DU155" s="358"/>
      <c r="DV155" s="358"/>
      <c r="DW155" s="358"/>
    </row>
    <row r="156" ht="15.0" customHeight="1">
      <c r="A156" s="366">
        <v>41834.0</v>
      </c>
      <c r="B156" s="367" t="s">
        <v>2573</v>
      </c>
      <c r="C156" s="367" t="s">
        <v>2157</v>
      </c>
      <c r="D156" s="344">
        <v>87.0</v>
      </c>
      <c r="E156" s="345">
        <f>IFERROR(__xludf.DUMMYFUNCTION("if(and(D156&lt;&gt;0,D156&lt;&gt;""""),D156/GOOGLEFINANCE(C156,""price"")-1,"""")"),-0.151302311969564)</f>
        <v>-0.151302312</v>
      </c>
      <c r="F156" s="364">
        <f>IFERROR(__xludf.DUMMYFUNCTION("GOOGLEFINANCE(C156,""price"")"),102.51)</f>
        <v>102.51</v>
      </c>
      <c r="G156" s="345">
        <f t="shared" si="6"/>
        <v>-0.1363826772</v>
      </c>
      <c r="H156" s="347"/>
      <c r="I156" s="347">
        <f>5*($I$1+3)</f>
        <v>88.52941176</v>
      </c>
      <c r="J156" s="349"/>
      <c r="K156" s="349"/>
      <c r="L156" s="350"/>
      <c r="M156" s="351">
        <f t="shared" si="7"/>
        <v>-119.9023034</v>
      </c>
      <c r="N156" s="349">
        <f t="shared" si="8"/>
        <v>0</v>
      </c>
      <c r="O156" s="350"/>
      <c r="P156" s="352"/>
      <c r="Q156" s="353"/>
      <c r="R156" s="365"/>
      <c r="S156" s="365"/>
      <c r="T156" s="365"/>
      <c r="U156" s="356" t="s">
        <v>2574</v>
      </c>
      <c r="V156" s="344"/>
      <c r="W156" s="344"/>
      <c r="X156" s="344"/>
      <c r="Y156" s="344"/>
      <c r="Z156" s="344"/>
      <c r="AA156" s="344"/>
      <c r="AB156" s="344"/>
      <c r="AC156" s="344"/>
      <c r="AD156" s="344"/>
      <c r="AE156" s="344"/>
      <c r="AF156" s="344"/>
      <c r="AG156" s="344"/>
      <c r="AH156" s="344"/>
      <c r="AI156" s="344"/>
      <c r="AJ156" s="344"/>
      <c r="AK156" s="344"/>
      <c r="AL156" s="344"/>
      <c r="AM156" s="344"/>
      <c r="AN156" s="344"/>
      <c r="AO156" s="344"/>
      <c r="AP156" s="344"/>
      <c r="AQ156" s="344"/>
      <c r="AR156" s="344"/>
      <c r="AS156" s="344"/>
      <c r="AT156" s="344"/>
      <c r="AU156" s="344"/>
      <c r="AV156" s="344"/>
      <c r="AW156" s="344"/>
      <c r="AX156" s="344"/>
      <c r="AY156" s="344"/>
      <c r="AZ156" s="344"/>
      <c r="BA156" s="344"/>
      <c r="BB156" s="344"/>
      <c r="BC156" s="344"/>
      <c r="BD156" s="344"/>
      <c r="BE156" s="344"/>
      <c r="BF156" s="344"/>
      <c r="BG156" s="344"/>
      <c r="BH156" s="344"/>
      <c r="BI156" s="344"/>
      <c r="BJ156" s="344"/>
      <c r="BK156" s="344"/>
      <c r="BL156" s="344"/>
      <c r="BM156" s="344"/>
      <c r="BN156" s="344"/>
      <c r="BO156" s="344"/>
      <c r="BP156" s="344"/>
      <c r="BQ156" s="344"/>
      <c r="BR156" s="344"/>
      <c r="BS156" s="344"/>
      <c r="BT156" s="344"/>
      <c r="BU156" s="344"/>
      <c r="BV156" s="344"/>
      <c r="BW156" s="344"/>
      <c r="BX156" s="344"/>
      <c r="BY156" s="344"/>
      <c r="BZ156" s="344"/>
      <c r="CA156" s="344"/>
      <c r="CB156" s="344"/>
      <c r="CC156" s="344"/>
      <c r="CD156" s="344"/>
      <c r="CE156" s="344"/>
      <c r="CF156" s="344"/>
      <c r="CG156" s="344"/>
      <c r="CH156" s="344"/>
      <c r="CI156" s="344"/>
      <c r="CJ156" s="344"/>
      <c r="CK156" s="344"/>
      <c r="CL156" s="344"/>
      <c r="CM156" s="344"/>
      <c r="CN156" s="344"/>
      <c r="CO156" s="344"/>
      <c r="CP156" s="344"/>
      <c r="CQ156" s="344"/>
      <c r="CR156" s="344"/>
      <c r="CS156" s="344"/>
      <c r="CT156" s="344"/>
      <c r="CU156" s="344"/>
      <c r="CV156" s="344"/>
      <c r="CW156" s="344"/>
      <c r="CX156" s="344"/>
      <c r="CY156" s="344"/>
      <c r="CZ156" s="344"/>
      <c r="DA156" s="344"/>
      <c r="DB156" s="344"/>
      <c r="DC156" s="344"/>
      <c r="DD156" s="344"/>
      <c r="DE156" s="344"/>
      <c r="DF156" s="344"/>
      <c r="DG156" s="344"/>
      <c r="DH156" s="344"/>
      <c r="DI156" s="344"/>
      <c r="DJ156" s="344"/>
      <c r="DK156" s="344"/>
      <c r="DL156" s="344"/>
      <c r="DM156" s="344"/>
      <c r="DN156" s="344"/>
      <c r="DO156" s="344"/>
      <c r="DP156" s="344"/>
      <c r="DQ156" s="344"/>
      <c r="DR156" s="344"/>
      <c r="DS156" s="344"/>
      <c r="DT156" s="344"/>
      <c r="DU156" s="344"/>
      <c r="DV156" s="344"/>
      <c r="DW156" s="344"/>
    </row>
    <row r="157" ht="15.0" customHeight="1">
      <c r="A157" s="383">
        <v>41568.0</v>
      </c>
      <c r="B157" s="320" t="s">
        <v>2575</v>
      </c>
      <c r="C157" s="320" t="s">
        <v>2576</v>
      </c>
      <c r="D157" s="532"/>
      <c r="E157" s="374" t="str">
        <f>IFERROR(__xludf.DUMMYFUNCTION("if(and(D157&lt;&gt;0,D157&lt;&gt;""""),D157/GOOGLEFINANCE(C157,""price"")-1,"""")"),"")</f>
        <v/>
      </c>
      <c r="F157" s="375">
        <f>IFERROR(__xludf.DUMMYFUNCTION("GOOGLEFINANCE(C157,""price"")"),161.34)</f>
        <v>161.34</v>
      </c>
      <c r="G157" s="374">
        <f t="shared" si="6"/>
        <v>-0.5568182647</v>
      </c>
      <c r="H157" s="376"/>
      <c r="I157" s="347">
        <f>3.22*($I$1+7.5)</f>
        <v>71.50294118</v>
      </c>
      <c r="J157" s="380"/>
      <c r="K157" s="380"/>
      <c r="L157" s="389"/>
      <c r="M157" s="379">
        <f t="shared" si="7"/>
        <v>-119.9023034</v>
      </c>
      <c r="N157" s="380">
        <f t="shared" si="8"/>
        <v>0</v>
      </c>
      <c r="O157" s="389"/>
      <c r="P157" s="415"/>
      <c r="Q157" s="379"/>
      <c r="R157" s="416"/>
      <c r="S157" s="416"/>
      <c r="T157" s="416"/>
      <c r="U157" s="417" t="s">
        <v>2577</v>
      </c>
      <c r="V157" s="367"/>
      <c r="W157" s="367"/>
      <c r="X157" s="367"/>
      <c r="Y157" s="367"/>
      <c r="Z157" s="367"/>
      <c r="AA157" s="367"/>
      <c r="AB157" s="367"/>
      <c r="AC157" s="367"/>
      <c r="AD157" s="367"/>
      <c r="AE157" s="367"/>
      <c r="AF157" s="367"/>
      <c r="AG157" s="367"/>
      <c r="AH157" s="367"/>
      <c r="AI157" s="367"/>
      <c r="AJ157" s="367"/>
      <c r="AK157" s="367"/>
      <c r="AL157" s="367"/>
      <c r="AM157" s="367"/>
      <c r="AN157" s="367"/>
      <c r="AO157" s="367"/>
      <c r="AP157" s="367"/>
      <c r="AQ157" s="367"/>
      <c r="AR157" s="367"/>
      <c r="AS157" s="367"/>
      <c r="AT157" s="367"/>
      <c r="AU157" s="367"/>
      <c r="AV157" s="367"/>
      <c r="AW157" s="367"/>
      <c r="AX157" s="367"/>
      <c r="AY157" s="367"/>
      <c r="AZ157" s="367"/>
      <c r="BA157" s="367"/>
      <c r="BB157" s="367"/>
      <c r="BC157" s="367"/>
      <c r="BD157" s="367"/>
      <c r="BE157" s="367"/>
      <c r="BF157" s="367"/>
      <c r="BG157" s="367"/>
      <c r="BH157" s="367"/>
      <c r="BI157" s="367"/>
      <c r="BJ157" s="367"/>
      <c r="BK157" s="367"/>
      <c r="BL157" s="367"/>
      <c r="BM157" s="367"/>
      <c r="BN157" s="367"/>
      <c r="BO157" s="367"/>
      <c r="BP157" s="367"/>
      <c r="BQ157" s="367"/>
      <c r="BR157" s="367"/>
      <c r="BS157" s="367"/>
      <c r="BT157" s="367"/>
      <c r="BU157" s="367"/>
      <c r="BV157" s="367"/>
      <c r="BW157" s="367"/>
      <c r="BX157" s="367"/>
      <c r="BY157" s="367"/>
      <c r="BZ157" s="367"/>
      <c r="CA157" s="367"/>
      <c r="CB157" s="367"/>
      <c r="CC157" s="367"/>
      <c r="CD157" s="367"/>
      <c r="CE157" s="367"/>
      <c r="CF157" s="367"/>
      <c r="CG157" s="367"/>
      <c r="CH157" s="367"/>
      <c r="CI157" s="367"/>
      <c r="CJ157" s="367"/>
      <c r="CK157" s="367"/>
      <c r="CL157" s="367"/>
      <c r="CM157" s="367"/>
      <c r="CN157" s="367"/>
      <c r="CO157" s="367"/>
      <c r="CP157" s="367"/>
      <c r="CQ157" s="367"/>
      <c r="CR157" s="367"/>
      <c r="CS157" s="367"/>
      <c r="CT157" s="367"/>
      <c r="CU157" s="367"/>
      <c r="CV157" s="367"/>
      <c r="CW157" s="367"/>
      <c r="CX157" s="367"/>
      <c r="CY157" s="367"/>
      <c r="CZ157" s="367"/>
      <c r="DA157" s="367"/>
      <c r="DB157" s="367"/>
      <c r="DC157" s="367"/>
      <c r="DD157" s="367"/>
      <c r="DE157" s="367"/>
      <c r="DF157" s="367"/>
      <c r="DG157" s="367"/>
      <c r="DH157" s="367"/>
      <c r="DI157" s="367"/>
      <c r="DJ157" s="367"/>
      <c r="DK157" s="367"/>
      <c r="DL157" s="367"/>
      <c r="DM157" s="367"/>
      <c r="DN157" s="367"/>
      <c r="DO157" s="367"/>
      <c r="DP157" s="367"/>
      <c r="DQ157" s="367"/>
      <c r="DR157" s="367"/>
      <c r="DS157" s="367"/>
      <c r="DT157" s="367"/>
      <c r="DU157" s="367"/>
      <c r="DV157" s="367"/>
      <c r="DW157" s="367"/>
    </row>
    <row r="158" ht="15.0" customHeight="1">
      <c r="A158" s="943">
        <v>41374.0</v>
      </c>
      <c r="B158" s="944" t="s">
        <v>2578</v>
      </c>
      <c r="C158" s="944" t="s">
        <v>1032</v>
      </c>
      <c r="D158" s="945"/>
      <c r="E158" s="946" t="str">
        <f>IFERROR(__xludf.DUMMYFUNCTION("if(and(D158&lt;&gt;0,D158&lt;&gt;""""),D158/GOOGLEFINANCE(C158,""price"")-1,"""")"),"")</f>
        <v/>
      </c>
      <c r="F158" s="947">
        <f>IFERROR(__xludf.DUMMYFUNCTION("GOOGLEFINANCE(C158,""price"")"),6.32)</f>
        <v>6.32</v>
      </c>
      <c r="G158" s="946" t="str">
        <f t="shared" si="6"/>
        <v/>
      </c>
      <c r="H158" s="948"/>
      <c r="I158" s="948"/>
      <c r="J158" s="949"/>
      <c r="K158" s="949"/>
      <c r="L158" s="950"/>
      <c r="M158" s="951">
        <f t="shared" si="7"/>
        <v>-119.9023034</v>
      </c>
      <c r="N158" s="949">
        <f t="shared" si="8"/>
        <v>0</v>
      </c>
      <c r="O158" s="950"/>
      <c r="P158" s="952"/>
      <c r="Q158" s="951"/>
      <c r="R158" s="953"/>
      <c r="S158" s="953"/>
      <c r="T158" s="953"/>
      <c r="U158" s="954" t="s">
        <v>2581</v>
      </c>
      <c r="V158" s="955"/>
      <c r="W158" s="955"/>
      <c r="X158" s="955"/>
      <c r="Y158" s="955"/>
      <c r="Z158" s="955"/>
      <c r="AA158" s="955"/>
      <c r="AB158" s="955"/>
      <c r="AC158" s="955"/>
      <c r="AD158" s="955"/>
      <c r="AE158" s="955"/>
      <c r="AF158" s="955"/>
      <c r="AG158" s="955"/>
      <c r="AH158" s="955"/>
      <c r="AI158" s="955"/>
      <c r="AJ158" s="955"/>
      <c r="AK158" s="955"/>
      <c r="AL158" s="955"/>
      <c r="AM158" s="955"/>
      <c r="AN158" s="955"/>
      <c r="AO158" s="955"/>
      <c r="AP158" s="955"/>
      <c r="AQ158" s="955"/>
      <c r="AR158" s="955"/>
      <c r="AS158" s="955"/>
      <c r="AT158" s="955"/>
      <c r="AU158" s="955"/>
      <c r="AV158" s="955"/>
      <c r="AW158" s="955"/>
      <c r="AX158" s="955"/>
      <c r="AY158" s="955"/>
      <c r="AZ158" s="955"/>
      <c r="BA158" s="955"/>
      <c r="BB158" s="955"/>
      <c r="BC158" s="955"/>
      <c r="BD158" s="955"/>
      <c r="BE158" s="955"/>
      <c r="BF158" s="955"/>
      <c r="BG158" s="955"/>
      <c r="BH158" s="955"/>
      <c r="BI158" s="955"/>
      <c r="BJ158" s="955"/>
      <c r="BK158" s="955"/>
      <c r="BL158" s="955"/>
      <c r="BM158" s="955"/>
      <c r="BN158" s="955"/>
      <c r="BO158" s="955"/>
      <c r="BP158" s="955"/>
      <c r="BQ158" s="955"/>
      <c r="BR158" s="955"/>
      <c r="BS158" s="955"/>
      <c r="BT158" s="955"/>
      <c r="BU158" s="955"/>
      <c r="BV158" s="955"/>
      <c r="BW158" s="955"/>
      <c r="BX158" s="955"/>
      <c r="BY158" s="955"/>
      <c r="BZ158" s="955"/>
      <c r="CA158" s="955"/>
      <c r="CB158" s="955"/>
      <c r="CC158" s="955"/>
      <c r="CD158" s="955"/>
      <c r="CE158" s="955"/>
      <c r="CF158" s="955"/>
      <c r="CG158" s="955"/>
      <c r="CH158" s="955"/>
      <c r="CI158" s="955"/>
      <c r="CJ158" s="955"/>
      <c r="CK158" s="955"/>
      <c r="CL158" s="955"/>
      <c r="CM158" s="955"/>
      <c r="CN158" s="955"/>
      <c r="CO158" s="955"/>
      <c r="CP158" s="955"/>
      <c r="CQ158" s="955"/>
      <c r="CR158" s="955"/>
      <c r="CS158" s="955"/>
      <c r="CT158" s="955"/>
      <c r="CU158" s="955"/>
      <c r="CV158" s="955"/>
      <c r="CW158" s="955"/>
      <c r="CX158" s="955"/>
      <c r="CY158" s="955"/>
      <c r="CZ158" s="955"/>
      <c r="DA158" s="955"/>
      <c r="DB158" s="955"/>
      <c r="DC158" s="955"/>
      <c r="DD158" s="955"/>
      <c r="DE158" s="955"/>
      <c r="DF158" s="955"/>
      <c r="DG158" s="955"/>
      <c r="DH158" s="955"/>
      <c r="DI158" s="955"/>
      <c r="DJ158" s="955"/>
      <c r="DK158" s="955"/>
      <c r="DL158" s="955"/>
      <c r="DM158" s="955"/>
      <c r="DN158" s="955"/>
      <c r="DO158" s="955"/>
      <c r="DP158" s="955"/>
      <c r="DQ158" s="955"/>
      <c r="DR158" s="955"/>
      <c r="DS158" s="955"/>
      <c r="DT158" s="955"/>
      <c r="DU158" s="955"/>
      <c r="DV158" s="955"/>
      <c r="DW158" s="955"/>
    </row>
    <row r="159" ht="15.0" customHeight="1">
      <c r="A159" s="372">
        <v>42151.0</v>
      </c>
      <c r="B159" s="384" t="s">
        <v>2582</v>
      </c>
      <c r="C159" s="384" t="s">
        <v>2583</v>
      </c>
      <c r="D159" s="384"/>
      <c r="E159" s="374" t="str">
        <f>IFERROR(__xludf.DUMMYFUNCTION("if(and(D159&lt;&gt;0,D159&lt;&gt;""""),D159/GOOGLEFINANCE(C159,""price"")-1,"""")"),"")</f>
        <v/>
      </c>
      <c r="F159" s="375">
        <f>IFERROR(__xludf.DUMMYFUNCTION("GOOGLEFINANCE(C159,""price"")"),66.98)</f>
        <v>66.98</v>
      </c>
      <c r="G159" s="374">
        <f t="shared" si="6"/>
        <v>0.576941317</v>
      </c>
      <c r="H159" s="376"/>
      <c r="I159" s="376">
        <f>5.36*($I$1+5)</f>
        <v>105.6235294</v>
      </c>
      <c r="J159" s="380"/>
      <c r="K159" s="380"/>
      <c r="L159" s="389"/>
      <c r="M159" s="379">
        <f t="shared" si="7"/>
        <v>-119.9023034</v>
      </c>
      <c r="N159" s="380">
        <f t="shared" si="8"/>
        <v>0</v>
      </c>
      <c r="O159" s="389"/>
      <c r="P159" s="390"/>
      <c r="Q159" s="391"/>
      <c r="R159" s="387"/>
      <c r="S159" s="387"/>
      <c r="T159" s="387"/>
      <c r="U159" s="386"/>
      <c r="V159" s="344"/>
      <c r="W159" s="344"/>
      <c r="X159" s="344"/>
      <c r="Y159" s="344"/>
      <c r="Z159" s="344"/>
      <c r="AA159" s="344"/>
      <c r="AB159" s="344"/>
      <c r="AC159" s="344"/>
      <c r="AD159" s="344"/>
      <c r="AE159" s="344"/>
      <c r="AF159" s="344"/>
      <c r="AG159" s="344"/>
      <c r="AH159" s="344"/>
      <c r="AI159" s="344"/>
      <c r="AJ159" s="344"/>
      <c r="AK159" s="344"/>
      <c r="AL159" s="344"/>
      <c r="AM159" s="344"/>
      <c r="AN159" s="344"/>
      <c r="AO159" s="344"/>
      <c r="AP159" s="344"/>
      <c r="AQ159" s="344"/>
      <c r="AR159" s="344"/>
      <c r="AS159" s="344"/>
      <c r="AT159" s="344"/>
      <c r="AU159" s="344"/>
      <c r="AV159" s="344"/>
      <c r="AW159" s="344"/>
      <c r="AX159" s="344"/>
      <c r="AY159" s="344"/>
      <c r="AZ159" s="344"/>
      <c r="BA159" s="344"/>
      <c r="BB159" s="344"/>
      <c r="BC159" s="344"/>
      <c r="BD159" s="344"/>
      <c r="BE159" s="344"/>
      <c r="BF159" s="344"/>
      <c r="BG159" s="344"/>
      <c r="BH159" s="344"/>
      <c r="BI159" s="344"/>
      <c r="BJ159" s="344"/>
      <c r="BK159" s="344"/>
      <c r="BL159" s="344"/>
      <c r="BM159" s="344"/>
      <c r="BN159" s="344"/>
      <c r="BO159" s="344"/>
      <c r="BP159" s="344"/>
      <c r="BQ159" s="344"/>
      <c r="BR159" s="344"/>
      <c r="BS159" s="344"/>
      <c r="BT159" s="344"/>
      <c r="BU159" s="344"/>
      <c r="BV159" s="344"/>
      <c r="BW159" s="344"/>
      <c r="BX159" s="344"/>
      <c r="BY159" s="344"/>
      <c r="BZ159" s="344"/>
      <c r="CA159" s="344"/>
      <c r="CB159" s="344"/>
      <c r="CC159" s="344"/>
      <c r="CD159" s="344"/>
      <c r="CE159" s="344"/>
      <c r="CF159" s="344"/>
      <c r="CG159" s="344"/>
      <c r="CH159" s="344"/>
      <c r="CI159" s="344"/>
      <c r="CJ159" s="344"/>
      <c r="CK159" s="344"/>
      <c r="CL159" s="344"/>
      <c r="CM159" s="344"/>
      <c r="CN159" s="344"/>
      <c r="CO159" s="344"/>
      <c r="CP159" s="344"/>
      <c r="CQ159" s="344"/>
      <c r="CR159" s="344"/>
      <c r="CS159" s="344"/>
      <c r="CT159" s="344"/>
      <c r="CU159" s="344"/>
      <c r="CV159" s="344"/>
      <c r="CW159" s="344"/>
      <c r="CX159" s="344"/>
      <c r="CY159" s="344"/>
      <c r="CZ159" s="344"/>
      <c r="DA159" s="344"/>
      <c r="DB159" s="344"/>
      <c r="DC159" s="344"/>
      <c r="DD159" s="344"/>
      <c r="DE159" s="344"/>
      <c r="DF159" s="344"/>
      <c r="DG159" s="344"/>
      <c r="DH159" s="344"/>
      <c r="DI159" s="344"/>
      <c r="DJ159" s="344"/>
      <c r="DK159" s="344"/>
      <c r="DL159" s="344"/>
      <c r="DM159" s="344"/>
      <c r="DN159" s="344"/>
      <c r="DO159" s="344"/>
      <c r="DP159" s="344"/>
      <c r="DQ159" s="344"/>
      <c r="DR159" s="344"/>
      <c r="DS159" s="344"/>
      <c r="DT159" s="344"/>
      <c r="DU159" s="344"/>
      <c r="DV159" s="344"/>
      <c r="DW159" s="344"/>
    </row>
    <row r="160" ht="15.0" customHeight="1">
      <c r="A160" s="646">
        <v>42187.0</v>
      </c>
      <c r="B160" s="395" t="s">
        <v>2584</v>
      </c>
      <c r="C160" s="395" t="s">
        <v>2585</v>
      </c>
      <c r="D160" s="395">
        <v>7.0</v>
      </c>
      <c r="E160" s="396">
        <f>IFERROR(__xludf.DUMMYFUNCTION("if(and(D160&lt;&gt;0,D160&lt;&gt;""""),D160/GOOGLEFINANCE(C160,""price"")-1,"""")"),-0.3383742911153119)</f>
        <v>-0.3383742911</v>
      </c>
      <c r="F160" s="397">
        <f>IFERROR(__xludf.DUMMYFUNCTION("GOOGLEFINANCE(C160,""price"")"),10.58)</f>
        <v>10.58</v>
      </c>
      <c r="G160" s="396">
        <f t="shared" si="6"/>
        <v>0.02475322467</v>
      </c>
      <c r="H160" s="398"/>
      <c r="I160" s="956">
        <f>1.5*352/(31.7+17)</f>
        <v>10.84188912</v>
      </c>
      <c r="J160" s="403"/>
      <c r="K160" s="403"/>
      <c r="L160" s="410"/>
      <c r="M160" s="402">
        <f t="shared" si="7"/>
        <v>-119.9023034</v>
      </c>
      <c r="N160" s="403">
        <f t="shared" si="8"/>
        <v>0</v>
      </c>
      <c r="O160" s="410"/>
      <c r="P160" s="423"/>
      <c r="Q160" s="424"/>
      <c r="R160" s="425"/>
      <c r="S160" s="425"/>
      <c r="T160" s="425"/>
      <c r="U160" s="426" t="s">
        <v>2586</v>
      </c>
      <c r="V160" s="427"/>
      <c r="W160" s="427"/>
      <c r="X160" s="427"/>
      <c r="Y160" s="427"/>
      <c r="Z160" s="427"/>
      <c r="AA160" s="427"/>
      <c r="AB160" s="427"/>
      <c r="AC160" s="427"/>
      <c r="AD160" s="427"/>
      <c r="AE160" s="427"/>
      <c r="AF160" s="427"/>
      <c r="AG160" s="427"/>
      <c r="AH160" s="427"/>
      <c r="AI160" s="427"/>
      <c r="AJ160" s="427"/>
      <c r="AK160" s="427"/>
      <c r="AL160" s="427"/>
      <c r="AM160" s="427"/>
      <c r="AN160" s="427"/>
      <c r="AO160" s="427"/>
      <c r="AP160" s="427"/>
      <c r="AQ160" s="427"/>
      <c r="AR160" s="427"/>
      <c r="AS160" s="427"/>
      <c r="AT160" s="427"/>
      <c r="AU160" s="427"/>
      <c r="AV160" s="427"/>
      <c r="AW160" s="427"/>
      <c r="AX160" s="427"/>
      <c r="AY160" s="427"/>
      <c r="AZ160" s="427"/>
      <c r="BA160" s="427"/>
      <c r="BB160" s="427"/>
      <c r="BC160" s="427"/>
      <c r="BD160" s="427"/>
      <c r="BE160" s="427"/>
      <c r="BF160" s="427"/>
      <c r="BG160" s="427"/>
      <c r="BH160" s="427"/>
      <c r="BI160" s="427"/>
      <c r="BJ160" s="427"/>
      <c r="BK160" s="427"/>
      <c r="BL160" s="427"/>
      <c r="BM160" s="427"/>
      <c r="BN160" s="427"/>
      <c r="BO160" s="427"/>
      <c r="BP160" s="427"/>
      <c r="BQ160" s="427"/>
      <c r="BR160" s="427"/>
      <c r="BS160" s="427"/>
      <c r="BT160" s="427"/>
      <c r="BU160" s="427"/>
      <c r="BV160" s="427"/>
      <c r="BW160" s="427"/>
      <c r="BX160" s="427"/>
      <c r="BY160" s="427"/>
      <c r="BZ160" s="427"/>
      <c r="CA160" s="427"/>
      <c r="CB160" s="427"/>
      <c r="CC160" s="427"/>
      <c r="CD160" s="427"/>
      <c r="CE160" s="427"/>
      <c r="CF160" s="427"/>
      <c r="CG160" s="427"/>
      <c r="CH160" s="427"/>
      <c r="CI160" s="427"/>
      <c r="CJ160" s="427"/>
      <c r="CK160" s="427"/>
      <c r="CL160" s="427"/>
      <c r="CM160" s="427"/>
      <c r="CN160" s="427"/>
      <c r="CO160" s="427"/>
      <c r="CP160" s="427"/>
      <c r="CQ160" s="427"/>
      <c r="CR160" s="427"/>
      <c r="CS160" s="427"/>
      <c r="CT160" s="427"/>
      <c r="CU160" s="427"/>
      <c r="CV160" s="427"/>
      <c r="CW160" s="427"/>
      <c r="CX160" s="427"/>
      <c r="CY160" s="427"/>
      <c r="CZ160" s="427"/>
      <c r="DA160" s="427"/>
      <c r="DB160" s="427"/>
      <c r="DC160" s="427"/>
      <c r="DD160" s="427"/>
      <c r="DE160" s="427"/>
      <c r="DF160" s="427"/>
      <c r="DG160" s="427"/>
      <c r="DH160" s="427"/>
      <c r="DI160" s="427"/>
      <c r="DJ160" s="427"/>
      <c r="DK160" s="427"/>
      <c r="DL160" s="427"/>
      <c r="DM160" s="427"/>
      <c r="DN160" s="427"/>
      <c r="DO160" s="427"/>
      <c r="DP160" s="427"/>
      <c r="DQ160" s="427"/>
      <c r="DR160" s="427"/>
      <c r="DS160" s="427"/>
      <c r="DT160" s="427"/>
      <c r="DU160" s="427"/>
      <c r="DV160" s="427"/>
      <c r="DW160" s="427"/>
    </row>
    <row r="161" ht="15.0" customHeight="1">
      <c r="A161" s="388">
        <v>43591.0</v>
      </c>
      <c r="B161" s="373" t="s">
        <v>2587</v>
      </c>
      <c r="C161" s="373" t="s">
        <v>2588</v>
      </c>
      <c r="D161" s="373">
        <v>60.0</v>
      </c>
      <c r="E161" s="374">
        <f>IFERROR(__xludf.DUMMYFUNCTION("if(and(D161&lt;&gt;0,D161&lt;&gt;""""),D161/GOOGLEFINANCE(C161,""price"")-1,"""")"),0.016604540833615733)</f>
        <v>0.01660454083</v>
      </c>
      <c r="F161" s="375">
        <f>IFERROR(__xludf.DUMMYFUNCTION("GOOGLEFINANCE(C161,""price"")"),59.02)</f>
        <v>59.02</v>
      </c>
      <c r="G161" s="374">
        <f t="shared" si="6"/>
        <v>0.369267405</v>
      </c>
      <c r="H161" s="376"/>
      <c r="I161" s="368">
        <f t="shared" ref="I161:I162" si="89">N161*($I$1+O161*100)</f>
        <v>80.81416224</v>
      </c>
      <c r="J161" s="385">
        <v>0.79</v>
      </c>
      <c r="K161" s="385">
        <v>1.48</v>
      </c>
      <c r="L161" s="378">
        <v>43591.0</v>
      </c>
      <c r="M161" s="379">
        <f t="shared" si="7"/>
        <v>-0.4749060986</v>
      </c>
      <c r="N161" s="380">
        <f t="shared" si="8"/>
        <v>1.807685208</v>
      </c>
      <c r="O161" s="370">
        <v>0.3</v>
      </c>
      <c r="P161" s="370"/>
      <c r="Q161" s="371"/>
      <c r="R161" s="378"/>
      <c r="S161" s="378">
        <v>43591.0</v>
      </c>
      <c r="T161" s="381" t="s">
        <v>1608</v>
      </c>
      <c r="U161" s="382" t="s">
        <v>2590</v>
      </c>
      <c r="V161" s="358"/>
      <c r="W161" s="358"/>
      <c r="X161" s="358"/>
      <c r="Y161" s="358"/>
      <c r="Z161" s="358"/>
      <c r="AA161" s="358"/>
      <c r="AB161" s="358"/>
      <c r="AC161" s="358"/>
      <c r="AD161" s="358"/>
      <c r="AE161" s="358"/>
      <c r="AF161" s="358"/>
      <c r="AG161" s="358"/>
      <c r="AH161" s="358"/>
      <c r="AI161" s="358"/>
      <c r="AJ161" s="358"/>
      <c r="AK161" s="358"/>
      <c r="AL161" s="358"/>
      <c r="AM161" s="358"/>
      <c r="AN161" s="358"/>
      <c r="AO161" s="358"/>
      <c r="AP161" s="358"/>
      <c r="AQ161" s="358"/>
      <c r="AR161" s="358"/>
      <c r="AS161" s="358"/>
      <c r="AT161" s="358"/>
      <c r="AU161" s="358"/>
      <c r="AV161" s="358"/>
      <c r="AW161" s="358"/>
      <c r="AX161" s="358"/>
      <c r="AY161" s="358"/>
      <c r="AZ161" s="358"/>
      <c r="BA161" s="358"/>
      <c r="BB161" s="358"/>
      <c r="BC161" s="358"/>
      <c r="BD161" s="358"/>
      <c r="BE161" s="358"/>
      <c r="BF161" s="358"/>
      <c r="BG161" s="358"/>
      <c r="BH161" s="358"/>
      <c r="BI161" s="358"/>
      <c r="BJ161" s="358"/>
      <c r="BK161" s="358"/>
      <c r="BL161" s="358"/>
      <c r="BM161" s="358"/>
      <c r="BN161" s="358"/>
      <c r="BO161" s="358"/>
      <c r="BP161" s="358"/>
      <c r="BQ161" s="358"/>
      <c r="BR161" s="358"/>
      <c r="BS161" s="358"/>
      <c r="BT161" s="358"/>
      <c r="BU161" s="358"/>
      <c r="BV161" s="358"/>
      <c r="BW161" s="358"/>
      <c r="BX161" s="358"/>
      <c r="BY161" s="358"/>
      <c r="BZ161" s="358"/>
      <c r="CA161" s="358"/>
      <c r="CB161" s="358"/>
      <c r="CC161" s="358"/>
      <c r="CD161" s="358"/>
      <c r="CE161" s="358"/>
      <c r="CF161" s="358"/>
      <c r="CG161" s="358"/>
      <c r="CH161" s="358"/>
      <c r="CI161" s="358"/>
      <c r="CJ161" s="358"/>
      <c r="CK161" s="358"/>
      <c r="CL161" s="358"/>
      <c r="CM161" s="358"/>
      <c r="CN161" s="358"/>
      <c r="CO161" s="358"/>
      <c r="CP161" s="358"/>
      <c r="CQ161" s="358"/>
      <c r="CR161" s="358"/>
      <c r="CS161" s="358"/>
      <c r="CT161" s="358"/>
      <c r="CU161" s="358"/>
      <c r="CV161" s="358"/>
      <c r="CW161" s="358"/>
      <c r="CX161" s="358"/>
      <c r="CY161" s="358"/>
      <c r="CZ161" s="358"/>
      <c r="DA161" s="358"/>
      <c r="DB161" s="358"/>
      <c r="DC161" s="358"/>
      <c r="DD161" s="358"/>
      <c r="DE161" s="358"/>
      <c r="DF161" s="358"/>
      <c r="DG161" s="358"/>
      <c r="DH161" s="358"/>
      <c r="DI161" s="358"/>
      <c r="DJ161" s="358"/>
      <c r="DK161" s="358"/>
      <c r="DL161" s="358"/>
      <c r="DM161" s="358"/>
      <c r="DN161" s="358"/>
      <c r="DO161" s="358"/>
      <c r="DP161" s="358"/>
      <c r="DQ161" s="358"/>
      <c r="DR161" s="358"/>
      <c r="DS161" s="358"/>
      <c r="DT161" s="358"/>
      <c r="DU161" s="358"/>
      <c r="DV161" s="358"/>
      <c r="DW161" s="358"/>
    </row>
    <row r="162" ht="15.0" customHeight="1">
      <c r="A162" s="372">
        <v>42771.0</v>
      </c>
      <c r="B162" s="384" t="s">
        <v>2591</v>
      </c>
      <c r="C162" s="384" t="s">
        <v>1642</v>
      </c>
      <c r="D162" s="384">
        <v>200.0</v>
      </c>
      <c r="E162" s="374">
        <f>IFERROR(__xludf.DUMMYFUNCTION("if(and(D162&lt;&gt;0,D162&lt;&gt;""""),D162/GOOGLEFINANCE(C162,""price"")-1,"""")"),-0.06642393689025805)</f>
        <v>-0.06642393689</v>
      </c>
      <c r="F162" s="375">
        <f>IFERROR(__xludf.DUMMYFUNCTION("GOOGLEFINANCE(C162,""price"")"),214.23)</f>
        <v>214.23</v>
      </c>
      <c r="G162" s="374">
        <f t="shared" si="6"/>
        <v>0.7654665719</v>
      </c>
      <c r="H162" s="376"/>
      <c r="I162" s="348">
        <f t="shared" si="89"/>
        <v>378.2159037</v>
      </c>
      <c r="J162" s="385">
        <v>24.39</v>
      </c>
      <c r="K162" s="385">
        <v>25.12</v>
      </c>
      <c r="L162" s="378">
        <v>43465.0</v>
      </c>
      <c r="M162" s="379">
        <f t="shared" si="7"/>
        <v>-0.8201115781</v>
      </c>
      <c r="N162" s="380">
        <f t="shared" si="8"/>
        <v>25.71868145</v>
      </c>
      <c r="O162" s="370">
        <v>0.0</v>
      </c>
      <c r="P162" s="370"/>
      <c r="Q162" s="371"/>
      <c r="R162" s="378"/>
      <c r="S162" s="378">
        <v>43309.0</v>
      </c>
      <c r="T162" s="381" t="s">
        <v>1223</v>
      </c>
      <c r="U162" s="386" t="s">
        <v>2592</v>
      </c>
      <c r="V162" s="344"/>
      <c r="W162" s="344"/>
      <c r="X162" s="344"/>
      <c r="Y162" s="344"/>
      <c r="Z162" s="344"/>
      <c r="AA162" s="344"/>
      <c r="AB162" s="344"/>
      <c r="AC162" s="344"/>
      <c r="AD162" s="344"/>
      <c r="AE162" s="344"/>
      <c r="AF162" s="344"/>
      <c r="AG162" s="344"/>
      <c r="AH162" s="344"/>
      <c r="AI162" s="344"/>
      <c r="AJ162" s="344"/>
      <c r="AK162" s="344"/>
      <c r="AL162" s="344"/>
      <c r="AM162" s="344"/>
      <c r="AN162" s="344"/>
      <c r="AO162" s="344"/>
      <c r="AP162" s="344"/>
      <c r="AQ162" s="344"/>
      <c r="AR162" s="344"/>
      <c r="AS162" s="344"/>
      <c r="AT162" s="344"/>
      <c r="AU162" s="344"/>
      <c r="AV162" s="344"/>
      <c r="AW162" s="344"/>
      <c r="AX162" s="344"/>
      <c r="AY162" s="344"/>
      <c r="AZ162" s="344"/>
      <c r="BA162" s="344"/>
      <c r="BB162" s="344"/>
      <c r="BC162" s="344"/>
      <c r="BD162" s="344"/>
      <c r="BE162" s="344"/>
      <c r="BF162" s="344"/>
      <c r="BG162" s="344"/>
      <c r="BH162" s="344"/>
      <c r="BI162" s="344"/>
      <c r="BJ162" s="344"/>
      <c r="BK162" s="344"/>
      <c r="BL162" s="344"/>
      <c r="BM162" s="344"/>
      <c r="BN162" s="344"/>
      <c r="BO162" s="344"/>
      <c r="BP162" s="344"/>
      <c r="BQ162" s="344"/>
      <c r="BR162" s="344"/>
      <c r="BS162" s="344"/>
      <c r="BT162" s="344"/>
      <c r="BU162" s="344"/>
      <c r="BV162" s="344"/>
      <c r="BW162" s="344"/>
      <c r="BX162" s="344"/>
      <c r="BY162" s="344"/>
      <c r="BZ162" s="344"/>
      <c r="CA162" s="344"/>
      <c r="CB162" s="344"/>
      <c r="CC162" s="344"/>
      <c r="CD162" s="344"/>
      <c r="CE162" s="344"/>
      <c r="CF162" s="344"/>
      <c r="CG162" s="344"/>
      <c r="CH162" s="344"/>
      <c r="CI162" s="344"/>
      <c r="CJ162" s="344"/>
      <c r="CK162" s="344"/>
      <c r="CL162" s="344"/>
      <c r="CM162" s="344"/>
      <c r="CN162" s="344"/>
      <c r="CO162" s="344"/>
      <c r="CP162" s="344"/>
      <c r="CQ162" s="344"/>
      <c r="CR162" s="344"/>
      <c r="CS162" s="344"/>
      <c r="CT162" s="344"/>
      <c r="CU162" s="344"/>
      <c r="CV162" s="344"/>
      <c r="CW162" s="344"/>
      <c r="CX162" s="344"/>
      <c r="CY162" s="344"/>
      <c r="CZ162" s="344"/>
      <c r="DA162" s="344"/>
      <c r="DB162" s="344"/>
      <c r="DC162" s="344"/>
      <c r="DD162" s="344"/>
      <c r="DE162" s="344"/>
      <c r="DF162" s="344"/>
      <c r="DG162" s="344"/>
      <c r="DH162" s="344"/>
      <c r="DI162" s="344"/>
      <c r="DJ162" s="344"/>
      <c r="DK162" s="344"/>
      <c r="DL162" s="344"/>
      <c r="DM162" s="344"/>
      <c r="DN162" s="344"/>
      <c r="DO162" s="344"/>
      <c r="DP162" s="344"/>
      <c r="DQ162" s="344"/>
      <c r="DR162" s="344"/>
      <c r="DS162" s="344"/>
      <c r="DT162" s="344"/>
      <c r="DU162" s="344"/>
      <c r="DV162" s="344"/>
      <c r="DW162" s="344"/>
    </row>
    <row r="163" ht="15.0" customHeight="1">
      <c r="A163" s="394">
        <v>40036.0</v>
      </c>
      <c r="B163" s="302" t="s">
        <v>2593</v>
      </c>
      <c r="C163" s="395" t="s">
        <v>2594</v>
      </c>
      <c r="D163" s="422"/>
      <c r="E163" s="957" t="str">
        <f>IFERROR(__xludf.DUMMYFUNCTION("if(and(D163&lt;&gt;0,D163&lt;&gt;""""),D163/GOOGLEFINANCE(C163,""price"")-1,"""")"),"")</f>
        <v/>
      </c>
      <c r="F163" s="958" t="str">
        <f>IFERROR(__xludf.DUMMYFUNCTION("GOOGLEFINANCE(C163,""price"")"),"#N/A")</f>
        <v>#N/A</v>
      </c>
      <c r="G163" s="957" t="str">
        <f t="shared" si="6"/>
        <v/>
      </c>
      <c r="H163" s="959"/>
      <c r="I163" s="960">
        <v>0.0</v>
      </c>
      <c r="J163" s="403"/>
      <c r="K163" s="403"/>
      <c r="L163" s="410"/>
      <c r="M163" s="402">
        <f t="shared" si="7"/>
        <v>-119.9023034</v>
      </c>
      <c r="N163" s="403">
        <f t="shared" si="8"/>
        <v>0</v>
      </c>
      <c r="O163" s="410"/>
      <c r="P163" s="423"/>
      <c r="Q163" s="424"/>
      <c r="R163" s="425"/>
      <c r="S163" s="425"/>
      <c r="T163" s="425"/>
      <c r="U163" s="426" t="s">
        <v>2595</v>
      </c>
      <c r="V163" s="427"/>
      <c r="W163" s="427"/>
      <c r="X163" s="427"/>
      <c r="Y163" s="427"/>
      <c r="Z163" s="427"/>
      <c r="AA163" s="427"/>
      <c r="AB163" s="427"/>
      <c r="AC163" s="427"/>
      <c r="AD163" s="427"/>
      <c r="AE163" s="427"/>
      <c r="AF163" s="427"/>
      <c r="AG163" s="427"/>
      <c r="AH163" s="427"/>
      <c r="AI163" s="427"/>
      <c r="AJ163" s="427"/>
      <c r="AK163" s="427"/>
      <c r="AL163" s="427"/>
      <c r="AM163" s="427"/>
      <c r="AN163" s="427"/>
      <c r="AO163" s="427"/>
      <c r="AP163" s="427"/>
      <c r="AQ163" s="427"/>
      <c r="AR163" s="427"/>
      <c r="AS163" s="427"/>
      <c r="AT163" s="427"/>
      <c r="AU163" s="427"/>
      <c r="AV163" s="427"/>
      <c r="AW163" s="427"/>
      <c r="AX163" s="427"/>
      <c r="AY163" s="427"/>
      <c r="AZ163" s="427"/>
      <c r="BA163" s="427"/>
      <c r="BB163" s="427"/>
      <c r="BC163" s="427"/>
      <c r="BD163" s="427"/>
      <c r="BE163" s="427"/>
      <c r="BF163" s="427"/>
      <c r="BG163" s="427"/>
      <c r="BH163" s="427"/>
      <c r="BI163" s="427"/>
      <c r="BJ163" s="427"/>
      <c r="BK163" s="427"/>
      <c r="BL163" s="427"/>
      <c r="BM163" s="427"/>
      <c r="BN163" s="427"/>
      <c r="BO163" s="427"/>
      <c r="BP163" s="427"/>
      <c r="BQ163" s="427"/>
      <c r="BR163" s="427"/>
      <c r="BS163" s="427"/>
      <c r="BT163" s="427"/>
      <c r="BU163" s="427"/>
      <c r="BV163" s="427"/>
      <c r="BW163" s="427"/>
      <c r="BX163" s="427"/>
      <c r="BY163" s="427"/>
      <c r="BZ163" s="427"/>
      <c r="CA163" s="427"/>
      <c r="CB163" s="427"/>
      <c r="CC163" s="427"/>
      <c r="CD163" s="427"/>
      <c r="CE163" s="427"/>
      <c r="CF163" s="427"/>
      <c r="CG163" s="427"/>
      <c r="CH163" s="427"/>
      <c r="CI163" s="427"/>
      <c r="CJ163" s="427"/>
      <c r="CK163" s="427"/>
      <c r="CL163" s="427"/>
      <c r="CM163" s="427"/>
      <c r="CN163" s="427"/>
      <c r="CO163" s="427"/>
      <c r="CP163" s="427"/>
      <c r="CQ163" s="427"/>
      <c r="CR163" s="427"/>
      <c r="CS163" s="427"/>
      <c r="CT163" s="427"/>
      <c r="CU163" s="427"/>
      <c r="CV163" s="427"/>
      <c r="CW163" s="427"/>
      <c r="CX163" s="427"/>
      <c r="CY163" s="427"/>
      <c r="CZ163" s="427"/>
      <c r="DA163" s="427"/>
      <c r="DB163" s="427"/>
      <c r="DC163" s="427"/>
      <c r="DD163" s="427"/>
      <c r="DE163" s="427"/>
      <c r="DF163" s="427"/>
      <c r="DG163" s="427"/>
      <c r="DH163" s="427"/>
      <c r="DI163" s="427"/>
      <c r="DJ163" s="427"/>
      <c r="DK163" s="427"/>
      <c r="DL163" s="427"/>
      <c r="DM163" s="427"/>
      <c r="DN163" s="427"/>
      <c r="DO163" s="427"/>
      <c r="DP163" s="427"/>
      <c r="DQ163" s="427"/>
      <c r="DR163" s="427"/>
      <c r="DS163" s="427"/>
      <c r="DT163" s="427"/>
      <c r="DU163" s="427"/>
      <c r="DV163" s="427"/>
      <c r="DW163" s="427"/>
    </row>
    <row r="164" ht="15.0" customHeight="1">
      <c r="A164" s="383">
        <v>41564.0</v>
      </c>
      <c r="B164" s="320" t="s">
        <v>2596</v>
      </c>
      <c r="C164" s="320" t="s">
        <v>2597</v>
      </c>
      <c r="D164" s="532"/>
      <c r="E164" s="374" t="str">
        <f>IFERROR(__xludf.DUMMYFUNCTION("if(and(D164&lt;&gt;0,D164&lt;&gt;""""),D164/GOOGLEFINANCE(C164,""price"")-1,"""")"),"")</f>
        <v/>
      </c>
      <c r="F164" s="375">
        <f>IFERROR(__xludf.DUMMYFUNCTION("GOOGLEFINANCE(C164,""price"")"),16.57)</f>
        <v>16.57</v>
      </c>
      <c r="G164" s="374" t="str">
        <f t="shared" si="6"/>
        <v/>
      </c>
      <c r="H164" s="376"/>
      <c r="I164" s="376"/>
      <c r="J164" s="380"/>
      <c r="K164" s="380"/>
      <c r="L164" s="389"/>
      <c r="M164" s="379">
        <f t="shared" si="7"/>
        <v>-119.9023034</v>
      </c>
      <c r="N164" s="380">
        <f t="shared" si="8"/>
        <v>0</v>
      </c>
      <c r="O164" s="389"/>
      <c r="P164" s="415"/>
      <c r="Q164" s="379"/>
      <c r="R164" s="416"/>
      <c r="S164" s="416"/>
      <c r="T164" s="416"/>
      <c r="U164" s="417" t="s">
        <v>2598</v>
      </c>
      <c r="V164" s="367"/>
      <c r="W164" s="367"/>
      <c r="X164" s="367"/>
      <c r="Y164" s="367"/>
      <c r="Z164" s="367"/>
      <c r="AA164" s="367"/>
      <c r="AB164" s="367"/>
      <c r="AC164" s="367"/>
      <c r="AD164" s="367"/>
      <c r="AE164" s="367"/>
      <c r="AF164" s="367"/>
      <c r="AG164" s="367"/>
      <c r="AH164" s="367"/>
      <c r="AI164" s="367"/>
      <c r="AJ164" s="367"/>
      <c r="AK164" s="367"/>
      <c r="AL164" s="367"/>
      <c r="AM164" s="367"/>
      <c r="AN164" s="367"/>
      <c r="AO164" s="367"/>
      <c r="AP164" s="367"/>
      <c r="AQ164" s="367"/>
      <c r="AR164" s="367"/>
      <c r="AS164" s="367"/>
      <c r="AT164" s="367"/>
      <c r="AU164" s="367"/>
      <c r="AV164" s="367"/>
      <c r="AW164" s="367"/>
      <c r="AX164" s="367"/>
      <c r="AY164" s="367"/>
      <c r="AZ164" s="367"/>
      <c r="BA164" s="367"/>
      <c r="BB164" s="367"/>
      <c r="BC164" s="367"/>
      <c r="BD164" s="367"/>
      <c r="BE164" s="367"/>
      <c r="BF164" s="367"/>
      <c r="BG164" s="367"/>
      <c r="BH164" s="367"/>
      <c r="BI164" s="367"/>
      <c r="BJ164" s="367"/>
      <c r="BK164" s="367"/>
      <c r="BL164" s="367"/>
      <c r="BM164" s="367"/>
      <c r="BN164" s="367"/>
      <c r="BO164" s="367"/>
      <c r="BP164" s="367"/>
      <c r="BQ164" s="367"/>
      <c r="BR164" s="367"/>
      <c r="BS164" s="367"/>
      <c r="BT164" s="367"/>
      <c r="BU164" s="367"/>
      <c r="BV164" s="367"/>
      <c r="BW164" s="367"/>
      <c r="BX164" s="367"/>
      <c r="BY164" s="367"/>
      <c r="BZ164" s="367"/>
      <c r="CA164" s="367"/>
      <c r="CB164" s="367"/>
      <c r="CC164" s="367"/>
      <c r="CD164" s="367"/>
      <c r="CE164" s="367"/>
      <c r="CF164" s="367"/>
      <c r="CG164" s="367"/>
      <c r="CH164" s="367"/>
      <c r="CI164" s="367"/>
      <c r="CJ164" s="367"/>
      <c r="CK164" s="367"/>
      <c r="CL164" s="367"/>
      <c r="CM164" s="367"/>
      <c r="CN164" s="367"/>
      <c r="CO164" s="367"/>
      <c r="CP164" s="367"/>
      <c r="CQ164" s="367"/>
      <c r="CR164" s="367"/>
      <c r="CS164" s="367"/>
      <c r="CT164" s="367"/>
      <c r="CU164" s="367"/>
      <c r="CV164" s="367"/>
      <c r="CW164" s="367"/>
      <c r="CX164" s="367"/>
      <c r="CY164" s="367"/>
      <c r="CZ164" s="367"/>
      <c r="DA164" s="367"/>
      <c r="DB164" s="367"/>
      <c r="DC164" s="367"/>
      <c r="DD164" s="367"/>
      <c r="DE164" s="367"/>
      <c r="DF164" s="367"/>
      <c r="DG164" s="367"/>
      <c r="DH164" s="367"/>
      <c r="DI164" s="367"/>
      <c r="DJ164" s="367"/>
      <c r="DK164" s="367"/>
      <c r="DL164" s="367"/>
      <c r="DM164" s="367"/>
      <c r="DN164" s="367"/>
      <c r="DO164" s="367"/>
      <c r="DP164" s="367"/>
      <c r="DQ164" s="367"/>
      <c r="DR164" s="367"/>
      <c r="DS164" s="367"/>
      <c r="DT164" s="367"/>
      <c r="DU164" s="367"/>
      <c r="DV164" s="367"/>
      <c r="DW164" s="367"/>
    </row>
    <row r="165" ht="15.0" customHeight="1">
      <c r="A165" s="394">
        <v>40168.0</v>
      </c>
      <c r="B165" s="302" t="s">
        <v>2599</v>
      </c>
      <c r="C165" s="302" t="s">
        <v>2600</v>
      </c>
      <c r="D165" s="422"/>
      <c r="E165" s="396" t="str">
        <f>IFERROR(__xludf.DUMMYFUNCTION("if(and(D165&lt;&gt;0,D165&lt;&gt;""""),D165/GOOGLEFINANCE(C165,""price"")-1,"""")"),"")</f>
        <v/>
      </c>
      <c r="F165" s="397">
        <f>IFERROR(__xludf.DUMMYFUNCTION("GOOGLEFINANCE(C165,""price"")"),111.08)</f>
        <v>111.08</v>
      </c>
      <c r="G165" s="396" t="str">
        <f t="shared" si="6"/>
        <v/>
      </c>
      <c r="H165" s="398">
        <v>25.0</v>
      </c>
      <c r="I165" s="398"/>
      <c r="J165" s="403"/>
      <c r="K165" s="403"/>
      <c r="L165" s="410"/>
      <c r="M165" s="402">
        <f t="shared" si="7"/>
        <v>-119.9023034</v>
      </c>
      <c r="N165" s="403">
        <f t="shared" si="8"/>
        <v>0</v>
      </c>
      <c r="O165" s="410"/>
      <c r="P165" s="411"/>
      <c r="Q165" s="402"/>
      <c r="R165" s="412"/>
      <c r="S165" s="412"/>
      <c r="T165" s="412"/>
      <c r="U165" s="413" t="s">
        <v>2601</v>
      </c>
      <c r="V165" s="414"/>
      <c r="W165" s="414"/>
      <c r="X165" s="414"/>
      <c r="Y165" s="414"/>
      <c r="Z165" s="414"/>
      <c r="AA165" s="414"/>
      <c r="AB165" s="414"/>
      <c r="AC165" s="414"/>
      <c r="AD165" s="414"/>
      <c r="AE165" s="414"/>
      <c r="AF165" s="414"/>
      <c r="AG165" s="414"/>
      <c r="AH165" s="414"/>
      <c r="AI165" s="414"/>
      <c r="AJ165" s="414"/>
      <c r="AK165" s="414"/>
      <c r="AL165" s="414"/>
      <c r="AM165" s="414"/>
      <c r="AN165" s="414"/>
      <c r="AO165" s="414"/>
      <c r="AP165" s="414"/>
      <c r="AQ165" s="414"/>
      <c r="AR165" s="414"/>
      <c r="AS165" s="414"/>
      <c r="AT165" s="414"/>
      <c r="AU165" s="414"/>
      <c r="AV165" s="414"/>
      <c r="AW165" s="414"/>
      <c r="AX165" s="414"/>
      <c r="AY165" s="414"/>
      <c r="AZ165" s="414"/>
      <c r="BA165" s="414"/>
      <c r="BB165" s="414"/>
      <c r="BC165" s="414"/>
      <c r="BD165" s="414"/>
      <c r="BE165" s="414"/>
      <c r="BF165" s="414"/>
      <c r="BG165" s="414"/>
      <c r="BH165" s="414"/>
      <c r="BI165" s="414"/>
      <c r="BJ165" s="414"/>
      <c r="BK165" s="414"/>
      <c r="BL165" s="414"/>
      <c r="BM165" s="414"/>
      <c r="BN165" s="414"/>
      <c r="BO165" s="414"/>
      <c r="BP165" s="414"/>
      <c r="BQ165" s="414"/>
      <c r="BR165" s="414"/>
      <c r="BS165" s="414"/>
      <c r="BT165" s="414"/>
      <c r="BU165" s="414"/>
      <c r="BV165" s="414"/>
      <c r="BW165" s="414"/>
      <c r="BX165" s="414"/>
      <c r="BY165" s="414"/>
      <c r="BZ165" s="414"/>
      <c r="CA165" s="414"/>
      <c r="CB165" s="414"/>
      <c r="CC165" s="414"/>
      <c r="CD165" s="414"/>
      <c r="CE165" s="414"/>
      <c r="CF165" s="414"/>
      <c r="CG165" s="414"/>
      <c r="CH165" s="414"/>
      <c r="CI165" s="414"/>
      <c r="CJ165" s="414"/>
      <c r="CK165" s="414"/>
      <c r="CL165" s="414"/>
      <c r="CM165" s="414"/>
      <c r="CN165" s="414"/>
      <c r="CO165" s="414"/>
      <c r="CP165" s="414"/>
      <c r="CQ165" s="414"/>
      <c r="CR165" s="414"/>
      <c r="CS165" s="414"/>
      <c r="CT165" s="414"/>
      <c r="CU165" s="414"/>
      <c r="CV165" s="414"/>
      <c r="CW165" s="414"/>
      <c r="CX165" s="414"/>
      <c r="CY165" s="414"/>
      <c r="CZ165" s="414"/>
      <c r="DA165" s="414"/>
      <c r="DB165" s="414"/>
      <c r="DC165" s="414"/>
      <c r="DD165" s="414"/>
      <c r="DE165" s="414"/>
      <c r="DF165" s="414"/>
      <c r="DG165" s="414"/>
      <c r="DH165" s="414"/>
      <c r="DI165" s="414"/>
      <c r="DJ165" s="414"/>
      <c r="DK165" s="414"/>
      <c r="DL165" s="414"/>
      <c r="DM165" s="414"/>
      <c r="DN165" s="414"/>
      <c r="DO165" s="414"/>
      <c r="DP165" s="414"/>
      <c r="DQ165" s="414"/>
      <c r="DR165" s="414"/>
      <c r="DS165" s="414"/>
      <c r="DT165" s="414"/>
      <c r="DU165" s="414"/>
      <c r="DV165" s="414"/>
      <c r="DW165" s="414"/>
    </row>
    <row r="166" ht="15.0" customHeight="1">
      <c r="A166" s="388">
        <v>43646.0</v>
      </c>
      <c r="B166" s="373" t="s">
        <v>2602</v>
      </c>
      <c r="C166" s="373" t="s">
        <v>2603</v>
      </c>
      <c r="D166" s="532"/>
      <c r="E166" s="374" t="str">
        <f>IFERROR(__xludf.DUMMYFUNCTION("if(and(D166&lt;&gt;0,D166&lt;&gt;""""),D166/GOOGLEFINANCE(C166,""price"")-1,"""")"),"")</f>
        <v/>
      </c>
      <c r="F166" s="375">
        <f>IFERROR(__xludf.DUMMYFUNCTION("GOOGLEFINANCE(C166,""price"")"),111.32)</f>
        <v>111.32</v>
      </c>
      <c r="G166" s="374">
        <f t="shared" si="6"/>
        <v>-0.7062642532</v>
      </c>
      <c r="H166" s="376"/>
      <c r="I166" s="368">
        <f>sum(CY166:DS166)</f>
        <v>32.69866334</v>
      </c>
      <c r="J166" s="377">
        <v>1.17</v>
      </c>
      <c r="K166" s="377">
        <v>1.55</v>
      </c>
      <c r="L166" s="378">
        <v>44042.0</v>
      </c>
      <c r="M166" s="379">
        <f t="shared" si="7"/>
        <v>0.7607103397</v>
      </c>
      <c r="N166" s="380">
        <f t="shared" si="8"/>
        <v>1.260930071</v>
      </c>
      <c r="O166" s="370">
        <v>0.16</v>
      </c>
      <c r="P166" s="361">
        <v>0.15</v>
      </c>
      <c r="Q166" s="371">
        <f>I166/N166</f>
        <v>25.93217823</v>
      </c>
      <c r="R166" s="355">
        <v>6.0</v>
      </c>
      <c r="S166" s="378">
        <v>43714.0</v>
      </c>
      <c r="T166" s="381" t="s">
        <v>1608</v>
      </c>
      <c r="U166" s="382" t="s">
        <v>2604</v>
      </c>
      <c r="V166" s="961">
        <f>O166</f>
        <v>0.16</v>
      </c>
      <c r="W166" s="962">
        <f>max(min(Valu!$C$15,$O166),$O166-max($O166-Valu!$C$15,0)/$R166*(W$3-1))</f>
        <v>0.1383333333</v>
      </c>
      <c r="X166" s="962">
        <f>max(min(Valu!$C$15,$O166),$O166-max($O166-Valu!$C$15,0)/$R166*(X$3-1))</f>
        <v>0.1166666667</v>
      </c>
      <c r="Y166" s="962">
        <f>max(min(Valu!$C$15,$O166),$O166-max($O166-Valu!$C$15,0)/$R166*(Y$3-1))</f>
        <v>0.095</v>
      </c>
      <c r="Z166" s="962">
        <f>max(min(Valu!$C$15,$O166),$O166-max($O166-Valu!$C$15,0)/$R166*(Z$3-1))</f>
        <v>0.07333333333</v>
      </c>
      <c r="AA166" s="962">
        <f>max(min(Valu!$C$15,$O166),$O166-max($O166-Valu!$C$15,0)/$R166*(AA$3-1))</f>
        <v>0.05166666667</v>
      </c>
      <c r="AB166" s="962">
        <f>max(min(Valu!$C$15,$O166),$O166-max($O166-Valu!$C$15,0)/$R166*(AB$3-1))</f>
        <v>0.03</v>
      </c>
      <c r="AC166" s="962">
        <f>max(min(Valu!$C$15,$O166),$O166-max($O166-Valu!$C$15,0)/$R166*(AC$3-1))</f>
        <v>0.03</v>
      </c>
      <c r="AD166" s="962">
        <f>max(min(Valu!$C$15,$O166),$O166-max($O166-Valu!$C$15,0)/$R166*(AD$3-1))</f>
        <v>0.03</v>
      </c>
      <c r="AE166" s="962">
        <f>max(min(Valu!$C$15,$O166),$O166-max($O166-Valu!$C$15,0)/$R166*(AE$3-1))</f>
        <v>0.03</v>
      </c>
      <c r="AF166" s="962">
        <f>max(min(Valu!$C$15,$O166),$O166-max($O166-Valu!$C$15,0)/$R166*(AF$3-1))</f>
        <v>0.03</v>
      </c>
      <c r="AG166" s="962">
        <f>max(min(Valu!$C$15,$O166),$O166-max($O166-Valu!$C$15,0)/$R166*(AG$3-1))</f>
        <v>0.03</v>
      </c>
      <c r="AH166" s="962">
        <f>max(min(Valu!$C$15,$O166),$O166-max($O166-Valu!$C$15,0)/$R166*(AH$3-1))</f>
        <v>0.03</v>
      </c>
      <c r="AI166" s="962">
        <f>max(min(Valu!$C$15,$O166),$O166-max($O166-Valu!$C$15,0)/$R166*(AI$3-1))</f>
        <v>0.03</v>
      </c>
      <c r="AJ166" s="962">
        <f>max(min(Valu!$C$15,$O166),$O166-max($O166-Valu!$C$15,0)/$R166*(AJ$3-1))</f>
        <v>0.03</v>
      </c>
      <c r="AK166" s="962">
        <f>max(min(Valu!$C$15,$O166),$O166-max($O166-Valu!$C$15,0)/$R166*(AK$3-1))</f>
        <v>0.03</v>
      </c>
      <c r="AL166" s="962">
        <f>max(min(Valu!$C$15,$O166),$O166-max($O166-Valu!$C$15,0)/$R166*(AL$3-1))</f>
        <v>0.03</v>
      </c>
      <c r="AM166" s="962">
        <f>max(min(Valu!$C$15,$O166),$O166-max($O166-Valu!$C$15,0)/$R166*(AM$3-1))</f>
        <v>0.03</v>
      </c>
      <c r="AN166" s="962">
        <f>max(min(Valu!$C$15,$O166),$O166-max($O166-Valu!$C$15,0)/$R166*(AN$3-1))</f>
        <v>0.03</v>
      </c>
      <c r="AO166" s="962">
        <f>max(min(Valu!$C$15,$O166),$O166-max($O166-Valu!$C$15,0)/$R166*(AO$3-1))</f>
        <v>0.03</v>
      </c>
      <c r="AP166" s="962">
        <f>max(min(Valu!$C$14,$P166),$P166-max($P166-Valu!$C$14,0)/$R166*(AP$3-1))</f>
        <v>0.15</v>
      </c>
      <c r="AQ166" s="962">
        <f>max(min(Valu!$C$14,$P166),$P166-max($P166-Valu!$C$14,0)/$R166*(AQ$3-1))</f>
        <v>0.145</v>
      </c>
      <c r="AR166" s="962">
        <f>max(min(Valu!$C$14,$P166),$P166-max($P166-Valu!$C$14,0)/$R166*(AR$3-1))</f>
        <v>0.14</v>
      </c>
      <c r="AS166" s="962">
        <f>max(min(Valu!$C$14,$P166),$P166-max($P166-Valu!$C$14,0)/$R166*(AS$3-1))</f>
        <v>0.135</v>
      </c>
      <c r="AT166" s="962">
        <f>max(min(Valu!$C$14,$P166),$P166-max($P166-Valu!$C$14,0)/$R166*(AT$3-1))</f>
        <v>0.13</v>
      </c>
      <c r="AU166" s="962">
        <f>max(min(Valu!$C$14,$P166),$P166-max($P166-Valu!$C$14,0)/$R166*(AU$3-1))</f>
        <v>0.125</v>
      </c>
      <c r="AV166" s="962">
        <f>max(min(Valu!$C$14,$P166),$P166-max($P166-Valu!$C$14,0)/$R166*(AV$3-1))</f>
        <v>0.12</v>
      </c>
      <c r="AW166" s="962">
        <f>max(min(Valu!$C$14,$P166),$P166-max($P166-Valu!$C$14,0)/$R166*(AW$3-1))</f>
        <v>0.12</v>
      </c>
      <c r="AX166" s="962">
        <f>max(min(Valu!$C$14,$P166),$P166-max($P166-Valu!$C$14,0)/$R166*(AX$3-1))</f>
        <v>0.12</v>
      </c>
      <c r="AY166" s="962">
        <f>max(min(Valu!$C$14,$P166),$P166-max($P166-Valu!$C$14,0)/$R166*(AY$3-1))</f>
        <v>0.12</v>
      </c>
      <c r="AZ166" s="962">
        <f>max(min(Valu!$C$14,$P166),$P166-max($P166-Valu!$C$14,0)/$R166*(AZ$3-1))</f>
        <v>0.12</v>
      </c>
      <c r="BA166" s="962">
        <f>max(min(Valu!$C$14,$P166),$P166-max($P166-Valu!$C$14,0)/$R166*(BA$3-1))</f>
        <v>0.12</v>
      </c>
      <c r="BB166" s="962">
        <f>max(min(Valu!$C$14,$P166),$P166-max($P166-Valu!$C$14,0)/$R166*(BB$3-1))</f>
        <v>0.12</v>
      </c>
      <c r="BC166" s="962">
        <f>max(min(Valu!$C$14,$P166),$P166-max($P166-Valu!$C$14,0)/$R166*(BC$3-1))</f>
        <v>0.12</v>
      </c>
      <c r="BD166" s="962">
        <f>max(min(Valu!$C$14,$P166),$P166-max($P166-Valu!$C$14,0)/$R166*(BD$3-1))</f>
        <v>0.12</v>
      </c>
      <c r="BE166" s="962">
        <f>max(min(Valu!$C$14,$P166),$P166-max($P166-Valu!$C$14,0)/$R166*(BE$3-1))</f>
        <v>0.12</v>
      </c>
      <c r="BF166" s="962">
        <f>max(min(Valu!$C$14,$P166),$P166-max($P166-Valu!$C$14,0)/$R166*(BF$3-1))</f>
        <v>0.12</v>
      </c>
      <c r="BG166" s="962">
        <f>max(min(Valu!$C$14,$P166),$P166-max($P166-Valu!$C$14,0)/$R166*(BG$3-1))</f>
        <v>0.12</v>
      </c>
      <c r="BH166" s="962">
        <f>max(min(Valu!$C$14,$P166),$P166-max($P166-Valu!$C$14,0)/$R166*(BH$3-1))</f>
        <v>0.12</v>
      </c>
      <c r="BI166" s="962">
        <f>max(min(Valu!$C$14,$P166),$P166-max($P166-Valu!$C$14,0)/$R166*(BI$3-1))</f>
        <v>0.12</v>
      </c>
      <c r="BJ166" s="965">
        <f>N166</f>
        <v>1.260930071</v>
      </c>
      <c r="BK166" s="966">
        <f>$BJ166*(1+V166)</f>
        <v>1.462678882</v>
      </c>
      <c r="BL166" s="966">
        <f t="shared" ref="BL166:CC166" si="90">BK166*(1+W166)</f>
        <v>1.665016128</v>
      </c>
      <c r="BM166" s="966">
        <f t="shared" si="90"/>
        <v>1.859268009</v>
      </c>
      <c r="BN166" s="966">
        <f t="shared" si="90"/>
        <v>2.03589847</v>
      </c>
      <c r="BO166" s="966">
        <f t="shared" si="90"/>
        <v>2.185197691</v>
      </c>
      <c r="BP166" s="966">
        <f t="shared" si="90"/>
        <v>2.298099572</v>
      </c>
      <c r="BQ166" s="966">
        <f t="shared" si="90"/>
        <v>2.367042559</v>
      </c>
      <c r="BR166" s="966">
        <f t="shared" si="90"/>
        <v>2.438053836</v>
      </c>
      <c r="BS166" s="966">
        <f t="shared" si="90"/>
        <v>2.511195451</v>
      </c>
      <c r="BT166" s="966">
        <f t="shared" si="90"/>
        <v>2.586531314</v>
      </c>
      <c r="BU166" s="966">
        <f t="shared" si="90"/>
        <v>2.664127254</v>
      </c>
      <c r="BV166" s="966">
        <f t="shared" si="90"/>
        <v>2.744051071</v>
      </c>
      <c r="BW166" s="966">
        <f t="shared" si="90"/>
        <v>2.826372604</v>
      </c>
      <c r="BX166" s="966">
        <f t="shared" si="90"/>
        <v>2.911163782</v>
      </c>
      <c r="BY166" s="966">
        <f t="shared" si="90"/>
        <v>2.998498695</v>
      </c>
      <c r="BZ166" s="966">
        <f t="shared" si="90"/>
        <v>3.088453656</v>
      </c>
      <c r="CA166" s="966">
        <f t="shared" si="90"/>
        <v>3.181107266</v>
      </c>
      <c r="CB166" s="966">
        <f t="shared" si="90"/>
        <v>3.276540484</v>
      </c>
      <c r="CC166" s="966">
        <f t="shared" si="90"/>
        <v>3.374836698</v>
      </c>
      <c r="CD166" s="966">
        <f t="shared" ref="CD166:CW166" si="91">BJ166*(1-V166/AP166)</f>
        <v>-0.08406200473</v>
      </c>
      <c r="CE166" s="966">
        <f t="shared" si="91"/>
        <v>0.06724960378</v>
      </c>
      <c r="CF166" s="966">
        <f t="shared" si="91"/>
        <v>0.2775026879</v>
      </c>
      <c r="CG166" s="966">
        <f t="shared" si="91"/>
        <v>0.5508942249</v>
      </c>
      <c r="CH166" s="966">
        <f t="shared" si="91"/>
        <v>0.8874429228</v>
      </c>
      <c r="CI166" s="966">
        <f t="shared" si="91"/>
        <v>1.281982645</v>
      </c>
      <c r="CJ166" s="966">
        <f t="shared" si="91"/>
        <v>1.723574679</v>
      </c>
      <c r="CK166" s="966">
        <f t="shared" si="91"/>
        <v>1.775281919</v>
      </c>
      <c r="CL166" s="966">
        <f t="shared" si="91"/>
        <v>1.828540377</v>
      </c>
      <c r="CM166" s="966">
        <f t="shared" si="91"/>
        <v>1.883396588</v>
      </c>
      <c r="CN166" s="966">
        <f t="shared" si="91"/>
        <v>1.939898486</v>
      </c>
      <c r="CO166" s="966">
        <f t="shared" si="91"/>
        <v>1.99809544</v>
      </c>
      <c r="CP166" s="966">
        <f t="shared" si="91"/>
        <v>2.058038304</v>
      </c>
      <c r="CQ166" s="966">
        <f t="shared" si="91"/>
        <v>2.119779453</v>
      </c>
      <c r="CR166" s="966">
        <f t="shared" si="91"/>
        <v>2.183372836</v>
      </c>
      <c r="CS166" s="966">
        <f t="shared" si="91"/>
        <v>2.248874021</v>
      </c>
      <c r="CT166" s="966">
        <f t="shared" si="91"/>
        <v>2.316340242</v>
      </c>
      <c r="CU166" s="966">
        <f t="shared" si="91"/>
        <v>2.385830449</v>
      </c>
      <c r="CV166" s="966">
        <f t="shared" si="91"/>
        <v>2.457405363</v>
      </c>
      <c r="CW166" s="966">
        <f t="shared" si="91"/>
        <v>2.531127524</v>
      </c>
      <c r="CX166" s="966">
        <f>CW166*(1+min(Valu!$C$15,$O166))/(Valu!$C$21-min(Valu!$C$15,$O166))</f>
        <v>68.60687761</v>
      </c>
      <c r="CY166" s="966">
        <f>CD166/(1+Valu!$C$21)^CY$3</f>
        <v>-0.07870974225</v>
      </c>
      <c r="CZ166" s="966">
        <f>CE166/(1+Valu!$C$21)^CZ$3</f>
        <v>0.05895860843</v>
      </c>
      <c r="DA166" s="966">
        <f>CF166/(1+Valu!$C$21)^DA$3</f>
        <v>0.2277998512</v>
      </c>
      <c r="DB166" s="966">
        <f>CG166/(1+Valu!$C$21)^DB$3</f>
        <v>0.4234315447</v>
      </c>
      <c r="DC166" s="966">
        <f>CH166/(1+Valu!$C$21)^DC$3</f>
        <v>0.6386812504</v>
      </c>
      <c r="DD166" s="966">
        <f>CI166/(1+Valu!$C$21)^DD$3</f>
        <v>0.8638824075</v>
      </c>
      <c r="DE166" s="966">
        <f>CJ166/(1+Valu!$C$21)^DE$3</f>
        <v>1.087505185</v>
      </c>
      <c r="DF166" s="966">
        <f>CK166/(1+Valu!$C$21)^DF$3</f>
        <v>1.048811181</v>
      </c>
      <c r="DG166" s="966">
        <f>CL166/(1+Valu!$C$21)^DG$3</f>
        <v>1.011493929</v>
      </c>
      <c r="DH166" s="966">
        <f>CM166/(1+Valu!$C$21)^DH$3</f>
        <v>0.9755044445</v>
      </c>
      <c r="DI166" s="966">
        <f>CN166/(1+Valu!$C$21)^DI$3</f>
        <v>0.9407954849</v>
      </c>
      <c r="DJ166" s="966">
        <f>CO166/(1+Valu!$C$21)^DJ$3</f>
        <v>0.9073214882</v>
      </c>
      <c r="DK166" s="966">
        <f>CP166/(1+Valu!$C$21)^DK$3</f>
        <v>0.8750385139</v>
      </c>
      <c r="DL166" s="966">
        <f>CQ166/(1+Valu!$C$21)^DL$3</f>
        <v>0.8439041848</v>
      </c>
      <c r="DM166" s="966">
        <f>CR166/(1+Valu!$C$21)^DM$3</f>
        <v>0.8138776314</v>
      </c>
      <c r="DN166" s="966">
        <f>CS166/(1+Valu!$C$21)^DN$3</f>
        <v>0.7849194385</v>
      </c>
      <c r="DO166" s="966">
        <f>CT166/(1+Valu!$C$21)^DO$3</f>
        <v>0.7569915933</v>
      </c>
      <c r="DP166" s="966">
        <f>CU166/(1+Valu!$C$21)^DP$3</f>
        <v>0.7300574355</v>
      </c>
      <c r="DQ166" s="966">
        <f>CV166/(1+Valu!$C$21)^DQ$3</f>
        <v>0.7040816091</v>
      </c>
      <c r="DR166" s="966">
        <f>CW166/(1+Valu!$C$21)^DR$3</f>
        <v>0.6790300163</v>
      </c>
      <c r="DS166" s="966">
        <f>CX166/(1+Valu!$C$21)^DS$3</f>
        <v>18.40528728</v>
      </c>
      <c r="DT166" s="358"/>
      <c r="DU166" s="358"/>
      <c r="DV166" s="358"/>
      <c r="DW166" s="358"/>
    </row>
    <row r="167" ht="15.0" customHeight="1">
      <c r="A167" s="383">
        <v>40604.0</v>
      </c>
      <c r="B167" s="320" t="s">
        <v>2778</v>
      </c>
      <c r="C167" s="320" t="s">
        <v>2779</v>
      </c>
      <c r="D167" s="532"/>
      <c r="E167" s="374" t="str">
        <f>IFERROR(__xludf.DUMMYFUNCTION("if(and(D167&lt;&gt;0,D167&lt;&gt;""""),D167/GOOGLEFINANCE(C167,""price"")-1,"""")"),"")</f>
        <v/>
      </c>
      <c r="F167" s="375">
        <f>IFERROR(__xludf.DUMMYFUNCTION("GOOGLEFINANCE(C167,""price"")"),317.34)</f>
        <v>317.34</v>
      </c>
      <c r="G167" s="374">
        <f t="shared" si="6"/>
        <v>-0.3481478855</v>
      </c>
      <c r="H167" s="376"/>
      <c r="I167" s="376">
        <f>(10.06*1.175)*17.5</f>
        <v>206.85875</v>
      </c>
      <c r="J167" s="380"/>
      <c r="K167" s="380"/>
      <c r="L167" s="389"/>
      <c r="M167" s="379">
        <f t="shared" si="7"/>
        <v>-119.9023034</v>
      </c>
      <c r="N167" s="380">
        <f t="shared" si="8"/>
        <v>0</v>
      </c>
      <c r="O167" s="389"/>
      <c r="P167" s="415"/>
      <c r="Q167" s="379"/>
      <c r="R167" s="416"/>
      <c r="S167" s="416"/>
      <c r="T167" s="416"/>
      <c r="U167" s="417" t="s">
        <v>2780</v>
      </c>
      <c r="V167" s="367"/>
      <c r="W167" s="367"/>
      <c r="X167" s="367"/>
      <c r="Y167" s="367"/>
      <c r="Z167" s="367"/>
      <c r="AA167" s="367"/>
      <c r="AB167" s="367"/>
      <c r="AC167" s="367"/>
      <c r="AD167" s="367"/>
      <c r="AE167" s="367"/>
      <c r="AF167" s="367"/>
      <c r="AG167" s="367"/>
      <c r="AH167" s="367"/>
      <c r="AI167" s="367"/>
      <c r="AJ167" s="367"/>
      <c r="AK167" s="367"/>
      <c r="AL167" s="367"/>
      <c r="AM167" s="367"/>
      <c r="AN167" s="367"/>
      <c r="AO167" s="367"/>
      <c r="AP167" s="367"/>
      <c r="AQ167" s="367"/>
      <c r="AR167" s="367"/>
      <c r="AS167" s="367"/>
      <c r="AT167" s="367"/>
      <c r="AU167" s="367"/>
      <c r="AV167" s="367"/>
      <c r="AW167" s="367"/>
      <c r="AX167" s="367"/>
      <c r="AY167" s="367"/>
      <c r="AZ167" s="367"/>
      <c r="BA167" s="367"/>
      <c r="BB167" s="367"/>
      <c r="BC167" s="367"/>
      <c r="BD167" s="367"/>
      <c r="BE167" s="367"/>
      <c r="BF167" s="367"/>
      <c r="BG167" s="367"/>
      <c r="BH167" s="367"/>
      <c r="BI167" s="367"/>
      <c r="BJ167" s="367"/>
      <c r="BK167" s="367"/>
      <c r="BL167" s="367"/>
      <c r="BM167" s="367"/>
      <c r="BN167" s="367"/>
      <c r="BO167" s="367"/>
      <c r="BP167" s="367"/>
      <c r="BQ167" s="367"/>
      <c r="BR167" s="367"/>
      <c r="BS167" s="367"/>
      <c r="BT167" s="367"/>
      <c r="BU167" s="367"/>
      <c r="BV167" s="367"/>
      <c r="BW167" s="367"/>
      <c r="BX167" s="367"/>
      <c r="BY167" s="367"/>
      <c r="BZ167" s="367"/>
      <c r="CA167" s="367"/>
      <c r="CB167" s="367"/>
      <c r="CC167" s="367"/>
      <c r="CD167" s="367"/>
      <c r="CE167" s="367"/>
      <c r="CF167" s="367"/>
      <c r="CG167" s="367"/>
      <c r="CH167" s="367"/>
      <c r="CI167" s="367"/>
      <c r="CJ167" s="367"/>
      <c r="CK167" s="367"/>
      <c r="CL167" s="367"/>
      <c r="CM167" s="367"/>
      <c r="CN167" s="367"/>
      <c r="CO167" s="367"/>
      <c r="CP167" s="367"/>
      <c r="CQ167" s="367"/>
      <c r="CR167" s="367"/>
      <c r="CS167" s="367"/>
      <c r="CT167" s="367"/>
      <c r="CU167" s="367"/>
      <c r="CV167" s="367"/>
      <c r="CW167" s="367"/>
      <c r="CX167" s="367"/>
      <c r="CY167" s="367"/>
      <c r="CZ167" s="367"/>
      <c r="DA167" s="367"/>
      <c r="DB167" s="367"/>
      <c r="DC167" s="367"/>
      <c r="DD167" s="367"/>
      <c r="DE167" s="367"/>
      <c r="DF167" s="367"/>
      <c r="DG167" s="367"/>
      <c r="DH167" s="367"/>
      <c r="DI167" s="367"/>
      <c r="DJ167" s="367"/>
      <c r="DK167" s="367"/>
      <c r="DL167" s="367"/>
      <c r="DM167" s="367"/>
      <c r="DN167" s="367"/>
      <c r="DO167" s="367"/>
      <c r="DP167" s="367"/>
      <c r="DQ167" s="367"/>
      <c r="DR167" s="367"/>
      <c r="DS167" s="367"/>
      <c r="DT167" s="367"/>
      <c r="DU167" s="367"/>
      <c r="DV167" s="367"/>
      <c r="DW167" s="367"/>
    </row>
    <row r="168" ht="15.0" customHeight="1">
      <c r="A168" s="343">
        <v>42870.0</v>
      </c>
      <c r="B168" s="344" t="s">
        <v>2782</v>
      </c>
      <c r="C168" s="344" t="s">
        <v>2783</v>
      </c>
      <c r="D168" s="344">
        <v>34.0</v>
      </c>
      <c r="E168" s="345">
        <f>IFERROR(__xludf.DUMMYFUNCTION("if(and(D168&lt;&gt;0,D168&lt;&gt;""""),D168/GOOGLEFINANCE(C168,""price"")-1,"""")"),0.22788010111953771)</f>
        <v>0.2278801011</v>
      </c>
      <c r="F168" s="364">
        <f>IFERROR(__xludf.DUMMYFUNCTION("GOOGLEFINANCE(C168,""price"")"),27.69)</f>
        <v>27.69</v>
      </c>
      <c r="G168" s="345">
        <f t="shared" si="6"/>
        <v>1.051643192</v>
      </c>
      <c r="H168" s="347"/>
      <c r="I168" s="348">
        <f>4.37*(15-2)</f>
        <v>56.81</v>
      </c>
      <c r="J168" s="349"/>
      <c r="K168" s="349"/>
      <c r="L168" s="350"/>
      <c r="M168" s="351">
        <f t="shared" si="7"/>
        <v>-119.9023034</v>
      </c>
      <c r="N168" s="349">
        <f t="shared" si="8"/>
        <v>0</v>
      </c>
      <c r="O168" s="350"/>
      <c r="P168" s="352"/>
      <c r="Q168" s="353"/>
      <c r="R168" s="365"/>
      <c r="S168" s="365"/>
      <c r="T168" s="365"/>
      <c r="U168" s="356" t="s">
        <v>2784</v>
      </c>
      <c r="V168" s="344"/>
      <c r="W168" s="344"/>
      <c r="X168" s="344"/>
      <c r="Y168" s="344"/>
      <c r="Z168" s="344"/>
      <c r="AA168" s="344"/>
      <c r="AB168" s="344"/>
      <c r="AC168" s="344"/>
      <c r="AD168" s="344"/>
      <c r="AE168" s="344"/>
      <c r="AF168" s="344"/>
      <c r="AG168" s="344"/>
      <c r="AH168" s="344"/>
      <c r="AI168" s="344"/>
      <c r="AJ168" s="344"/>
      <c r="AK168" s="344"/>
      <c r="AL168" s="344"/>
      <c r="AM168" s="344"/>
      <c r="AN168" s="344"/>
      <c r="AO168" s="344"/>
      <c r="AP168" s="344"/>
      <c r="AQ168" s="344"/>
      <c r="AR168" s="344"/>
      <c r="AS168" s="344"/>
      <c r="AT168" s="344"/>
      <c r="AU168" s="344"/>
      <c r="AV168" s="344"/>
      <c r="AW168" s="344"/>
      <c r="AX168" s="344"/>
      <c r="AY168" s="344"/>
      <c r="AZ168" s="344"/>
      <c r="BA168" s="344"/>
      <c r="BB168" s="344"/>
      <c r="BC168" s="344"/>
      <c r="BD168" s="344"/>
      <c r="BE168" s="344"/>
      <c r="BF168" s="344"/>
      <c r="BG168" s="344"/>
      <c r="BH168" s="344"/>
      <c r="BI168" s="344"/>
      <c r="BJ168" s="344"/>
      <c r="BK168" s="344"/>
      <c r="BL168" s="344"/>
      <c r="BM168" s="344"/>
      <c r="BN168" s="344"/>
      <c r="BO168" s="344"/>
      <c r="BP168" s="344"/>
      <c r="BQ168" s="344"/>
      <c r="BR168" s="344"/>
      <c r="BS168" s="344"/>
      <c r="BT168" s="344"/>
      <c r="BU168" s="344"/>
      <c r="BV168" s="344"/>
      <c r="BW168" s="344"/>
      <c r="BX168" s="344"/>
      <c r="BY168" s="344"/>
      <c r="BZ168" s="344"/>
      <c r="CA168" s="344"/>
      <c r="CB168" s="344"/>
      <c r="CC168" s="344"/>
      <c r="CD168" s="344"/>
      <c r="CE168" s="344"/>
      <c r="CF168" s="344"/>
      <c r="CG168" s="344"/>
      <c r="CH168" s="344"/>
      <c r="CI168" s="344"/>
      <c r="CJ168" s="344"/>
      <c r="CK168" s="344"/>
      <c r="CL168" s="344"/>
      <c r="CM168" s="344"/>
      <c r="CN168" s="344"/>
      <c r="CO168" s="344"/>
      <c r="CP168" s="344"/>
      <c r="CQ168" s="344"/>
      <c r="CR168" s="344"/>
      <c r="CS168" s="344"/>
      <c r="CT168" s="344"/>
      <c r="CU168" s="344"/>
      <c r="CV168" s="344"/>
      <c r="CW168" s="344"/>
      <c r="CX168" s="344"/>
      <c r="CY168" s="344"/>
      <c r="CZ168" s="344"/>
      <c r="DA168" s="344"/>
      <c r="DB168" s="344"/>
      <c r="DC168" s="344"/>
      <c r="DD168" s="344"/>
      <c r="DE168" s="344"/>
      <c r="DF168" s="344"/>
      <c r="DG168" s="344"/>
      <c r="DH168" s="344"/>
      <c r="DI168" s="344"/>
      <c r="DJ168" s="344"/>
      <c r="DK168" s="344"/>
      <c r="DL168" s="344"/>
      <c r="DM168" s="344"/>
      <c r="DN168" s="344"/>
      <c r="DO168" s="344"/>
      <c r="DP168" s="344"/>
      <c r="DQ168" s="344"/>
      <c r="DR168" s="344"/>
      <c r="DS168" s="344"/>
      <c r="DT168" s="344"/>
      <c r="DU168" s="344"/>
      <c r="DV168" s="344"/>
      <c r="DW168" s="344"/>
    </row>
    <row r="169" ht="15.0" customHeight="1">
      <c r="A169" s="494">
        <v>40632.0</v>
      </c>
      <c r="B169" s="414" t="s">
        <v>2785</v>
      </c>
      <c r="C169" s="414" t="s">
        <v>2786</v>
      </c>
      <c r="D169" s="495"/>
      <c r="E169" s="441" t="str">
        <f>IFERROR(__xludf.DUMMYFUNCTION("if(and(D169&lt;&gt;0,D169&lt;&gt;""""),D169/GOOGLEFINANCE(C169,""price"")-1,"""")"),"")</f>
        <v/>
      </c>
      <c r="F169" s="442">
        <f>IFERROR(__xludf.DUMMYFUNCTION("GOOGLEFINANCE(C169,""price"")"),20.48)</f>
        <v>20.48</v>
      </c>
      <c r="G169" s="441" t="str">
        <f t="shared" si="6"/>
        <v/>
      </c>
      <c r="H169" s="443"/>
      <c r="I169" s="398"/>
      <c r="J169" s="445"/>
      <c r="K169" s="445"/>
      <c r="L169" s="446"/>
      <c r="M169" s="447">
        <f t="shared" si="7"/>
        <v>-119.9023034</v>
      </c>
      <c r="N169" s="445">
        <f t="shared" si="8"/>
        <v>0</v>
      </c>
      <c r="O169" s="446"/>
      <c r="P169" s="448"/>
      <c r="Q169" s="447"/>
      <c r="R169" s="449"/>
      <c r="S169" s="449"/>
      <c r="T169" s="449"/>
      <c r="U169" s="450" t="s">
        <v>2787</v>
      </c>
      <c r="V169" s="414"/>
      <c r="W169" s="414"/>
      <c r="X169" s="414"/>
      <c r="Y169" s="414"/>
      <c r="Z169" s="414"/>
      <c r="AA169" s="414"/>
      <c r="AB169" s="414"/>
      <c r="AC169" s="414"/>
      <c r="AD169" s="414"/>
      <c r="AE169" s="414"/>
      <c r="AF169" s="414"/>
      <c r="AG169" s="414"/>
      <c r="AH169" s="414"/>
      <c r="AI169" s="414"/>
      <c r="AJ169" s="414"/>
      <c r="AK169" s="414"/>
      <c r="AL169" s="414"/>
      <c r="AM169" s="414"/>
      <c r="AN169" s="414"/>
      <c r="AO169" s="414"/>
      <c r="AP169" s="414"/>
      <c r="AQ169" s="414"/>
      <c r="AR169" s="414"/>
      <c r="AS169" s="414"/>
      <c r="AT169" s="414"/>
      <c r="AU169" s="414"/>
      <c r="AV169" s="414"/>
      <c r="AW169" s="414"/>
      <c r="AX169" s="414"/>
      <c r="AY169" s="414"/>
      <c r="AZ169" s="414"/>
      <c r="BA169" s="414"/>
      <c r="BB169" s="414"/>
      <c r="BC169" s="414"/>
      <c r="BD169" s="414"/>
      <c r="BE169" s="414"/>
      <c r="BF169" s="414"/>
      <c r="BG169" s="414"/>
      <c r="BH169" s="414"/>
      <c r="BI169" s="414"/>
      <c r="BJ169" s="414"/>
      <c r="BK169" s="414"/>
      <c r="BL169" s="414"/>
      <c r="BM169" s="414"/>
      <c r="BN169" s="414"/>
      <c r="BO169" s="414"/>
      <c r="BP169" s="414"/>
      <c r="BQ169" s="414"/>
      <c r="BR169" s="414"/>
      <c r="BS169" s="414"/>
      <c r="BT169" s="414"/>
      <c r="BU169" s="414"/>
      <c r="BV169" s="414"/>
      <c r="BW169" s="414"/>
      <c r="BX169" s="414"/>
      <c r="BY169" s="414"/>
      <c r="BZ169" s="414"/>
      <c r="CA169" s="414"/>
      <c r="CB169" s="414"/>
      <c r="CC169" s="414"/>
      <c r="CD169" s="414"/>
      <c r="CE169" s="414"/>
      <c r="CF169" s="414"/>
      <c r="CG169" s="414"/>
      <c r="CH169" s="414"/>
      <c r="CI169" s="414"/>
      <c r="CJ169" s="414"/>
      <c r="CK169" s="414"/>
      <c r="CL169" s="414"/>
      <c r="CM169" s="414"/>
      <c r="CN169" s="414"/>
      <c r="CO169" s="414"/>
      <c r="CP169" s="414"/>
      <c r="CQ169" s="414"/>
      <c r="CR169" s="414"/>
      <c r="CS169" s="414"/>
      <c r="CT169" s="414"/>
      <c r="CU169" s="414"/>
      <c r="CV169" s="414"/>
      <c r="CW169" s="414"/>
      <c r="CX169" s="414"/>
      <c r="CY169" s="414"/>
      <c r="CZ169" s="414"/>
      <c r="DA169" s="414"/>
      <c r="DB169" s="414"/>
      <c r="DC169" s="414"/>
      <c r="DD169" s="414"/>
      <c r="DE169" s="414"/>
      <c r="DF169" s="414"/>
      <c r="DG169" s="414"/>
      <c r="DH169" s="414"/>
      <c r="DI169" s="414"/>
      <c r="DJ169" s="414"/>
      <c r="DK169" s="414"/>
      <c r="DL169" s="414"/>
      <c r="DM169" s="414"/>
      <c r="DN169" s="414"/>
      <c r="DO169" s="414"/>
      <c r="DP169" s="414"/>
      <c r="DQ169" s="414"/>
      <c r="DR169" s="414"/>
      <c r="DS169" s="414"/>
      <c r="DT169" s="414"/>
      <c r="DU169" s="414"/>
      <c r="DV169" s="414"/>
      <c r="DW169" s="414"/>
    </row>
    <row r="170" ht="15.0" customHeight="1">
      <c r="A170" s="383">
        <v>41408.0</v>
      </c>
      <c r="B170" s="320" t="s">
        <v>2788</v>
      </c>
      <c r="C170" s="320" t="s">
        <v>1058</v>
      </c>
      <c r="D170" s="532"/>
      <c r="E170" s="374" t="str">
        <f>IFERROR(__xludf.DUMMYFUNCTION("if(and(D170&lt;&gt;0,D170&lt;&gt;""""),D170/GOOGLEFINANCE(C170,""price"")-1,"""")"),"")</f>
        <v/>
      </c>
      <c r="F170" s="375">
        <f>IFERROR(__xludf.DUMMYFUNCTION("GOOGLEFINANCE(C170,""price"")"),14.48)</f>
        <v>14.48</v>
      </c>
      <c r="G170" s="374">
        <f t="shared" si="6"/>
        <v>-0.239640884</v>
      </c>
      <c r="H170" s="376">
        <v>15.0</v>
      </c>
      <c r="I170" s="368">
        <f>7.34*0.1*15</f>
        <v>11.01</v>
      </c>
      <c r="J170" s="380"/>
      <c r="K170" s="380"/>
      <c r="L170" s="389"/>
      <c r="M170" s="379">
        <f t="shared" si="7"/>
        <v>-119.9023034</v>
      </c>
      <c r="N170" s="380">
        <f t="shared" si="8"/>
        <v>0</v>
      </c>
      <c r="O170" s="389"/>
      <c r="P170" s="415"/>
      <c r="Q170" s="379"/>
      <c r="R170" s="416"/>
      <c r="S170" s="416"/>
      <c r="T170" s="416"/>
      <c r="U170" s="417" t="s">
        <v>2790</v>
      </c>
      <c r="V170" s="367"/>
      <c r="W170" s="367"/>
      <c r="X170" s="367"/>
      <c r="Y170" s="367"/>
      <c r="Z170" s="367"/>
      <c r="AA170" s="367"/>
      <c r="AB170" s="367"/>
      <c r="AC170" s="367"/>
      <c r="AD170" s="367"/>
      <c r="AE170" s="367"/>
      <c r="AF170" s="367"/>
      <c r="AG170" s="367"/>
      <c r="AH170" s="367"/>
      <c r="AI170" s="367"/>
      <c r="AJ170" s="367"/>
      <c r="AK170" s="367"/>
      <c r="AL170" s="367"/>
      <c r="AM170" s="367"/>
      <c r="AN170" s="367"/>
      <c r="AO170" s="367"/>
      <c r="AP170" s="367"/>
      <c r="AQ170" s="367"/>
      <c r="AR170" s="367"/>
      <c r="AS170" s="367"/>
      <c r="AT170" s="367"/>
      <c r="AU170" s="367"/>
      <c r="AV170" s="367"/>
      <c r="AW170" s="367"/>
      <c r="AX170" s="367"/>
      <c r="AY170" s="367"/>
      <c r="AZ170" s="367"/>
      <c r="BA170" s="367"/>
      <c r="BB170" s="367"/>
      <c r="BC170" s="367"/>
      <c r="BD170" s="367"/>
      <c r="BE170" s="367"/>
      <c r="BF170" s="367"/>
      <c r="BG170" s="367"/>
      <c r="BH170" s="367"/>
      <c r="BI170" s="367"/>
      <c r="BJ170" s="367"/>
      <c r="BK170" s="367"/>
      <c r="BL170" s="367"/>
      <c r="BM170" s="367"/>
      <c r="BN170" s="367"/>
      <c r="BO170" s="367"/>
      <c r="BP170" s="367"/>
      <c r="BQ170" s="367"/>
      <c r="BR170" s="367"/>
      <c r="BS170" s="367"/>
      <c r="BT170" s="367"/>
      <c r="BU170" s="367"/>
      <c r="BV170" s="367"/>
      <c r="BW170" s="367"/>
      <c r="BX170" s="367"/>
      <c r="BY170" s="367"/>
      <c r="BZ170" s="367"/>
      <c r="CA170" s="367"/>
      <c r="CB170" s="367"/>
      <c r="CC170" s="367"/>
      <c r="CD170" s="367"/>
      <c r="CE170" s="367"/>
      <c r="CF170" s="367"/>
      <c r="CG170" s="367"/>
      <c r="CH170" s="367"/>
      <c r="CI170" s="367"/>
      <c r="CJ170" s="367"/>
      <c r="CK170" s="367"/>
      <c r="CL170" s="367"/>
      <c r="CM170" s="367"/>
      <c r="CN170" s="367"/>
      <c r="CO170" s="367"/>
      <c r="CP170" s="367"/>
      <c r="CQ170" s="367"/>
      <c r="CR170" s="367"/>
      <c r="CS170" s="367"/>
      <c r="CT170" s="367"/>
      <c r="CU170" s="367"/>
      <c r="CV170" s="367"/>
      <c r="CW170" s="367"/>
      <c r="CX170" s="367"/>
      <c r="CY170" s="367"/>
      <c r="CZ170" s="367"/>
      <c r="DA170" s="367"/>
      <c r="DB170" s="367"/>
      <c r="DC170" s="367"/>
      <c r="DD170" s="367"/>
      <c r="DE170" s="367"/>
      <c r="DF170" s="367"/>
      <c r="DG170" s="367"/>
      <c r="DH170" s="367"/>
      <c r="DI170" s="367"/>
      <c r="DJ170" s="367"/>
      <c r="DK170" s="367"/>
      <c r="DL170" s="367"/>
      <c r="DM170" s="367"/>
      <c r="DN170" s="367"/>
      <c r="DO170" s="367"/>
      <c r="DP170" s="367"/>
      <c r="DQ170" s="367"/>
      <c r="DR170" s="367"/>
      <c r="DS170" s="367"/>
      <c r="DT170" s="367"/>
      <c r="DU170" s="367"/>
      <c r="DV170" s="367"/>
      <c r="DW170" s="367"/>
    </row>
    <row r="171" ht="15.0" customHeight="1">
      <c r="A171" s="343">
        <v>42708.0</v>
      </c>
      <c r="B171" s="344" t="s">
        <v>2791</v>
      </c>
      <c r="C171" s="344" t="s">
        <v>1167</v>
      </c>
      <c r="D171" s="358">
        <v>110.0</v>
      </c>
      <c r="E171" s="345">
        <f>IFERROR(__xludf.DUMMYFUNCTION("if(and(D171&lt;&gt;0,D171&lt;&gt;""""),D171/GOOGLEFINANCE(C171,""price"")-1,"""")"),-0.1288508751088936)</f>
        <v>-0.1288508751</v>
      </c>
      <c r="F171" s="364">
        <f>IFERROR(__xludf.DUMMYFUNCTION("GOOGLEFINANCE(C171,""price"")"),126.27)</f>
        <v>126.27</v>
      </c>
      <c r="G171" s="345">
        <f t="shared" si="6"/>
        <v>0.3020781302</v>
      </c>
      <c r="H171" s="347"/>
      <c r="I171" s="368">
        <f t="shared" ref="I171:I173" si="94">sum(CY171:DS171)</f>
        <v>164.4134055</v>
      </c>
      <c r="J171" s="369">
        <v>10.36</v>
      </c>
      <c r="K171" s="369">
        <v>11.36</v>
      </c>
      <c r="L171" s="360">
        <v>43830.0</v>
      </c>
      <c r="M171" s="351">
        <f t="shared" si="7"/>
        <v>0.1798884257</v>
      </c>
      <c r="N171" s="349">
        <f t="shared" si="8"/>
        <v>11.18011157</v>
      </c>
      <c r="O171" s="361">
        <v>0.0</v>
      </c>
      <c r="P171" s="361">
        <v>0.12</v>
      </c>
      <c r="Q171" s="371">
        <f t="shared" ref="Q171:Q173" si="95">I171/N171</f>
        <v>14.70588235</v>
      </c>
      <c r="R171" s="355">
        <v>4.0</v>
      </c>
      <c r="S171" s="360">
        <v>43710.0</v>
      </c>
      <c r="T171" s="365" t="s">
        <v>1223</v>
      </c>
      <c r="U171" s="363" t="s">
        <v>2793</v>
      </c>
      <c r="V171" s="961">
        <f t="shared" ref="V171:V173" si="96">O171</f>
        <v>0</v>
      </c>
      <c r="W171" s="962">
        <f>max(min(Valu!$C$15,$O171),$O171-max($O171-Valu!$C$15,0)/$R171*(W$3-1))</f>
        <v>0</v>
      </c>
      <c r="X171" s="962">
        <f>max(min(Valu!$C$15,$O171),$O171-max($O171-Valu!$C$15,0)/$R171*(X$3-1))</f>
        <v>0</v>
      </c>
      <c r="Y171" s="962">
        <f>max(min(Valu!$C$15,$O171),$O171-max($O171-Valu!$C$15,0)/$R171*(Y$3-1))</f>
        <v>0</v>
      </c>
      <c r="Z171" s="962">
        <f>max(min(Valu!$C$15,$O171),$O171-max($O171-Valu!$C$15,0)/$R171*(Z$3-1))</f>
        <v>0</v>
      </c>
      <c r="AA171" s="962">
        <f>max(min(Valu!$C$15,$O171),$O171-max($O171-Valu!$C$15,0)/$R171*(AA$3-1))</f>
        <v>0</v>
      </c>
      <c r="AB171" s="962">
        <f>max(min(Valu!$C$15,$O171),$O171-max($O171-Valu!$C$15,0)/$R171*(AB$3-1))</f>
        <v>0</v>
      </c>
      <c r="AC171" s="962">
        <f>max(min(Valu!$C$15,$O171),$O171-max($O171-Valu!$C$15,0)/$R171*(AC$3-1))</f>
        <v>0</v>
      </c>
      <c r="AD171" s="962">
        <f>max(min(Valu!$C$15,$O171),$O171-max($O171-Valu!$C$15,0)/$R171*(AD$3-1))</f>
        <v>0</v>
      </c>
      <c r="AE171" s="962">
        <f>max(min(Valu!$C$15,$O171),$O171-max($O171-Valu!$C$15,0)/$R171*(AE$3-1))</f>
        <v>0</v>
      </c>
      <c r="AF171" s="962">
        <f>max(min(Valu!$C$15,$O171),$O171-max($O171-Valu!$C$15,0)/$R171*(AF$3-1))</f>
        <v>0</v>
      </c>
      <c r="AG171" s="962">
        <f>max(min(Valu!$C$15,$O171),$O171-max($O171-Valu!$C$15,0)/$R171*(AG$3-1))</f>
        <v>0</v>
      </c>
      <c r="AH171" s="962">
        <f>max(min(Valu!$C$15,$O171),$O171-max($O171-Valu!$C$15,0)/$R171*(AH$3-1))</f>
        <v>0</v>
      </c>
      <c r="AI171" s="962">
        <f>max(min(Valu!$C$15,$O171),$O171-max($O171-Valu!$C$15,0)/$R171*(AI$3-1))</f>
        <v>0</v>
      </c>
      <c r="AJ171" s="962">
        <f>max(min(Valu!$C$15,$O171),$O171-max($O171-Valu!$C$15,0)/$R171*(AJ$3-1))</f>
        <v>0</v>
      </c>
      <c r="AK171" s="962">
        <f>max(min(Valu!$C$15,$O171),$O171-max($O171-Valu!$C$15,0)/$R171*(AK$3-1))</f>
        <v>0</v>
      </c>
      <c r="AL171" s="962">
        <f>max(min(Valu!$C$15,$O171),$O171-max($O171-Valu!$C$15,0)/$R171*(AL$3-1))</f>
        <v>0</v>
      </c>
      <c r="AM171" s="962">
        <f>max(min(Valu!$C$15,$O171),$O171-max($O171-Valu!$C$15,0)/$R171*(AM$3-1))</f>
        <v>0</v>
      </c>
      <c r="AN171" s="962">
        <f>max(min(Valu!$C$15,$O171),$O171-max($O171-Valu!$C$15,0)/$R171*(AN$3-1))</f>
        <v>0</v>
      </c>
      <c r="AO171" s="962">
        <f>max(min(Valu!$C$15,$O171),$O171-max($O171-Valu!$C$15,0)/$R171*(AO$3-1))</f>
        <v>0</v>
      </c>
      <c r="AP171" s="962">
        <f>max(min(Valu!$C$14,$P171),$P171-max($P171-Valu!$C$14,0)/$R171*(AP$3-1))</f>
        <v>0.12</v>
      </c>
      <c r="AQ171" s="962">
        <f>max(min(Valu!$C$14,$P171),$P171-max($P171-Valu!$C$14,0)/$R171*(AQ$3-1))</f>
        <v>0.12</v>
      </c>
      <c r="AR171" s="962">
        <f>max(min(Valu!$C$14,$P171),$P171-max($P171-Valu!$C$14,0)/$R171*(AR$3-1))</f>
        <v>0.12</v>
      </c>
      <c r="AS171" s="962">
        <f>max(min(Valu!$C$14,$P171),$P171-max($P171-Valu!$C$14,0)/$R171*(AS$3-1))</f>
        <v>0.12</v>
      </c>
      <c r="AT171" s="962">
        <f>max(min(Valu!$C$14,$P171),$P171-max($P171-Valu!$C$14,0)/$R171*(AT$3-1))</f>
        <v>0.12</v>
      </c>
      <c r="AU171" s="962">
        <f>max(min(Valu!$C$14,$P171),$P171-max($P171-Valu!$C$14,0)/$R171*(AU$3-1))</f>
        <v>0.12</v>
      </c>
      <c r="AV171" s="962">
        <f>max(min(Valu!$C$14,$P171),$P171-max($P171-Valu!$C$14,0)/$R171*(AV$3-1))</f>
        <v>0.12</v>
      </c>
      <c r="AW171" s="962">
        <f>max(min(Valu!$C$14,$P171),$P171-max($P171-Valu!$C$14,0)/$R171*(AW$3-1))</f>
        <v>0.12</v>
      </c>
      <c r="AX171" s="962">
        <f>max(min(Valu!$C$14,$P171),$P171-max($P171-Valu!$C$14,0)/$R171*(AX$3-1))</f>
        <v>0.12</v>
      </c>
      <c r="AY171" s="962">
        <f>max(min(Valu!$C$14,$P171),$P171-max($P171-Valu!$C$14,0)/$R171*(AY$3-1))</f>
        <v>0.12</v>
      </c>
      <c r="AZ171" s="962">
        <f>max(min(Valu!$C$14,$P171),$P171-max($P171-Valu!$C$14,0)/$R171*(AZ$3-1))</f>
        <v>0.12</v>
      </c>
      <c r="BA171" s="962">
        <f>max(min(Valu!$C$14,$P171),$P171-max($P171-Valu!$C$14,0)/$R171*(BA$3-1))</f>
        <v>0.12</v>
      </c>
      <c r="BB171" s="962">
        <f>max(min(Valu!$C$14,$P171),$P171-max($P171-Valu!$C$14,0)/$R171*(BB$3-1))</f>
        <v>0.12</v>
      </c>
      <c r="BC171" s="962">
        <f>max(min(Valu!$C$14,$P171),$P171-max($P171-Valu!$C$14,0)/$R171*(BC$3-1))</f>
        <v>0.12</v>
      </c>
      <c r="BD171" s="962">
        <f>max(min(Valu!$C$14,$P171),$P171-max($P171-Valu!$C$14,0)/$R171*(BD$3-1))</f>
        <v>0.12</v>
      </c>
      <c r="BE171" s="962">
        <f>max(min(Valu!$C$14,$P171),$P171-max($P171-Valu!$C$14,0)/$R171*(BE$3-1))</f>
        <v>0.12</v>
      </c>
      <c r="BF171" s="962">
        <f>max(min(Valu!$C$14,$P171),$P171-max($P171-Valu!$C$14,0)/$R171*(BF$3-1))</f>
        <v>0.12</v>
      </c>
      <c r="BG171" s="962">
        <f>max(min(Valu!$C$14,$P171),$P171-max($P171-Valu!$C$14,0)/$R171*(BG$3-1))</f>
        <v>0.12</v>
      </c>
      <c r="BH171" s="962">
        <f>max(min(Valu!$C$14,$P171),$P171-max($P171-Valu!$C$14,0)/$R171*(BH$3-1))</f>
        <v>0.12</v>
      </c>
      <c r="BI171" s="962">
        <f>max(min(Valu!$C$14,$P171),$P171-max($P171-Valu!$C$14,0)/$R171*(BI$3-1))</f>
        <v>0.12</v>
      </c>
      <c r="BJ171" s="965">
        <f t="shared" ref="BJ171:BJ173" si="97">N171</f>
        <v>11.18011157</v>
      </c>
      <c r="BK171" s="966">
        <f t="shared" ref="BK171:BK173" si="98">$BJ171*(1+V171)</f>
        <v>11.18011157</v>
      </c>
      <c r="BL171" s="966">
        <f t="shared" ref="BL171:CC171" si="92">BK171*(1+W171)</f>
        <v>11.18011157</v>
      </c>
      <c r="BM171" s="966">
        <f t="shared" si="92"/>
        <v>11.18011157</v>
      </c>
      <c r="BN171" s="966">
        <f t="shared" si="92"/>
        <v>11.18011157</v>
      </c>
      <c r="BO171" s="966">
        <f t="shared" si="92"/>
        <v>11.18011157</v>
      </c>
      <c r="BP171" s="966">
        <f t="shared" si="92"/>
        <v>11.18011157</v>
      </c>
      <c r="BQ171" s="966">
        <f t="shared" si="92"/>
        <v>11.18011157</v>
      </c>
      <c r="BR171" s="966">
        <f t="shared" si="92"/>
        <v>11.18011157</v>
      </c>
      <c r="BS171" s="966">
        <f t="shared" si="92"/>
        <v>11.18011157</v>
      </c>
      <c r="BT171" s="966">
        <f t="shared" si="92"/>
        <v>11.18011157</v>
      </c>
      <c r="BU171" s="966">
        <f t="shared" si="92"/>
        <v>11.18011157</v>
      </c>
      <c r="BV171" s="966">
        <f t="shared" si="92"/>
        <v>11.18011157</v>
      </c>
      <c r="BW171" s="966">
        <f t="shared" si="92"/>
        <v>11.18011157</v>
      </c>
      <c r="BX171" s="966">
        <f t="shared" si="92"/>
        <v>11.18011157</v>
      </c>
      <c r="BY171" s="966">
        <f t="shared" si="92"/>
        <v>11.18011157</v>
      </c>
      <c r="BZ171" s="966">
        <f t="shared" si="92"/>
        <v>11.18011157</v>
      </c>
      <c r="CA171" s="966">
        <f t="shared" si="92"/>
        <v>11.18011157</v>
      </c>
      <c r="CB171" s="966">
        <f t="shared" si="92"/>
        <v>11.18011157</v>
      </c>
      <c r="CC171" s="966">
        <f t="shared" si="92"/>
        <v>11.18011157</v>
      </c>
      <c r="CD171" s="966">
        <f t="shared" ref="CD171:CW171" si="93">BJ171*(1-V171/AP171)</f>
        <v>11.18011157</v>
      </c>
      <c r="CE171" s="966">
        <f t="shared" si="93"/>
        <v>11.18011157</v>
      </c>
      <c r="CF171" s="966">
        <f t="shared" si="93"/>
        <v>11.18011157</v>
      </c>
      <c r="CG171" s="966">
        <f t="shared" si="93"/>
        <v>11.18011157</v>
      </c>
      <c r="CH171" s="966">
        <f t="shared" si="93"/>
        <v>11.18011157</v>
      </c>
      <c r="CI171" s="966">
        <f t="shared" si="93"/>
        <v>11.18011157</v>
      </c>
      <c r="CJ171" s="966">
        <f t="shared" si="93"/>
        <v>11.18011157</v>
      </c>
      <c r="CK171" s="966">
        <f t="shared" si="93"/>
        <v>11.18011157</v>
      </c>
      <c r="CL171" s="966">
        <f t="shared" si="93"/>
        <v>11.18011157</v>
      </c>
      <c r="CM171" s="966">
        <f t="shared" si="93"/>
        <v>11.18011157</v>
      </c>
      <c r="CN171" s="966">
        <f t="shared" si="93"/>
        <v>11.18011157</v>
      </c>
      <c r="CO171" s="966">
        <f t="shared" si="93"/>
        <v>11.18011157</v>
      </c>
      <c r="CP171" s="966">
        <f t="shared" si="93"/>
        <v>11.18011157</v>
      </c>
      <c r="CQ171" s="966">
        <f t="shared" si="93"/>
        <v>11.18011157</v>
      </c>
      <c r="CR171" s="966">
        <f t="shared" si="93"/>
        <v>11.18011157</v>
      </c>
      <c r="CS171" s="966">
        <f t="shared" si="93"/>
        <v>11.18011157</v>
      </c>
      <c r="CT171" s="966">
        <f t="shared" si="93"/>
        <v>11.18011157</v>
      </c>
      <c r="CU171" s="966">
        <f t="shared" si="93"/>
        <v>11.18011157</v>
      </c>
      <c r="CV171" s="966">
        <f t="shared" si="93"/>
        <v>11.18011157</v>
      </c>
      <c r="CW171" s="966">
        <f t="shared" si="93"/>
        <v>11.18011157</v>
      </c>
      <c r="CX171" s="966">
        <f>CW171*(1+min(Valu!$C$15,$O171))/(Valu!$C$21-min(Valu!$C$15,$O171))</f>
        <v>164.4134055</v>
      </c>
      <c r="CY171" s="966">
        <f>CD171/(1+Valu!$C$21)^CY$3</f>
        <v>10.46826926</v>
      </c>
      <c r="CZ171" s="966">
        <f>CE171/(1+Valu!$C$21)^CZ$3</f>
        <v>9.801750248</v>
      </c>
      <c r="DA171" s="966">
        <f>CF171/(1+Valu!$C$21)^DA$3</f>
        <v>9.177668771</v>
      </c>
      <c r="DB171" s="966">
        <f>CG171/(1+Valu!$C$21)^DB$3</f>
        <v>8.593322819</v>
      </c>
      <c r="DC171" s="966">
        <f>CH171/(1+Valu!$C$21)^DC$3</f>
        <v>8.046182415</v>
      </c>
      <c r="DD171" s="966">
        <f>CI171/(1+Valu!$C$21)^DD$3</f>
        <v>7.533878666</v>
      </c>
      <c r="DE171" s="966">
        <f>CJ171/(1+Valu!$C$21)^DE$3</f>
        <v>7.054193507</v>
      </c>
      <c r="DF171" s="966">
        <f>CK171/(1+Valu!$C$21)^DF$3</f>
        <v>6.605050101</v>
      </c>
      <c r="DG171" s="966">
        <f>CL171/(1+Valu!$C$21)^DG$3</f>
        <v>6.184503839</v>
      </c>
      <c r="DH171" s="966">
        <f>CM171/(1+Valu!$C$21)^DH$3</f>
        <v>5.790733932</v>
      </c>
      <c r="DI171" s="966">
        <f>CN171/(1+Valu!$C$21)^DI$3</f>
        <v>5.422035517</v>
      </c>
      <c r="DJ171" s="966">
        <f>CO171/(1+Valu!$C$21)^DJ$3</f>
        <v>5.076812282</v>
      </c>
      <c r="DK171" s="966">
        <f>CP171/(1+Valu!$C$21)^DK$3</f>
        <v>4.753569552</v>
      </c>
      <c r="DL171" s="966">
        <f>CQ171/(1+Valu!$C$21)^DL$3</f>
        <v>4.45090782</v>
      </c>
      <c r="DM171" s="966">
        <f>CR171/(1+Valu!$C$21)^DM$3</f>
        <v>4.167516686</v>
      </c>
      <c r="DN171" s="966">
        <f>CS171/(1+Valu!$C$21)^DN$3</f>
        <v>3.902169181</v>
      </c>
      <c r="DO171" s="966">
        <f>CT171/(1+Valu!$C$21)^DO$3</f>
        <v>3.653716462</v>
      </c>
      <c r="DP171" s="966">
        <f>CU171/(1+Valu!$C$21)^DP$3</f>
        <v>3.42108283</v>
      </c>
      <c r="DQ171" s="966">
        <f>CV171/(1+Valu!$C$21)^DQ$3</f>
        <v>3.203261076</v>
      </c>
      <c r="DR171" s="966">
        <f>CW171/(1+Valu!$C$21)^DR$3</f>
        <v>2.999308124</v>
      </c>
      <c r="DS171" s="966">
        <f>CX171/(1+Valu!$C$21)^DS$3</f>
        <v>44.10747241</v>
      </c>
      <c r="DT171" s="344"/>
      <c r="DU171" s="344"/>
      <c r="DV171" s="344"/>
      <c r="DW171" s="344"/>
    </row>
    <row r="172" ht="15.0" customHeight="1">
      <c r="A172" s="343">
        <v>42059.0</v>
      </c>
      <c r="B172" s="344" t="s">
        <v>2799</v>
      </c>
      <c r="C172" s="344" t="s">
        <v>1074</v>
      </c>
      <c r="D172" s="358">
        <v>194.0</v>
      </c>
      <c r="E172" s="345">
        <f>IFERROR(__xludf.DUMMYFUNCTION("if(and(D172&lt;&gt;0,D172&lt;&gt;""""),D172/GOOGLEFINANCE(C172,""price"")-1,"""")"),-0.17228432460107512)</f>
        <v>-0.1722843246</v>
      </c>
      <c r="F172" s="364">
        <f>IFERROR(__xludf.DUMMYFUNCTION("GOOGLEFINANCE(C172,""price"")"),234.38)</f>
        <v>234.38</v>
      </c>
      <c r="G172" s="345">
        <f t="shared" si="6"/>
        <v>0.08313942132</v>
      </c>
      <c r="H172" s="347"/>
      <c r="I172" s="368">
        <f t="shared" si="94"/>
        <v>253.8662176</v>
      </c>
      <c r="J172" s="369">
        <v>10.13</v>
      </c>
      <c r="K172" s="369">
        <v>10.96</v>
      </c>
      <c r="L172" s="360">
        <v>43861.0</v>
      </c>
      <c r="M172" s="351">
        <f t="shared" si="7"/>
        <v>0.2648199347</v>
      </c>
      <c r="N172" s="349">
        <f t="shared" si="8"/>
        <v>10.74019945</v>
      </c>
      <c r="O172" s="361">
        <v>0.1</v>
      </c>
      <c r="P172" s="361">
        <v>0.225</v>
      </c>
      <c r="Q172" s="371">
        <f t="shared" si="95"/>
        <v>23.63701146</v>
      </c>
      <c r="R172" s="355">
        <v>6.0</v>
      </c>
      <c r="S172" s="360">
        <v>43722.0</v>
      </c>
      <c r="T172" s="365" t="s">
        <v>1223</v>
      </c>
      <c r="U172" s="363" t="s">
        <v>2800</v>
      </c>
      <c r="V172" s="961">
        <f t="shared" si="96"/>
        <v>0.1</v>
      </c>
      <c r="W172" s="962">
        <f>max(min(Valu!$C$15,$O172),$O172-max($O172-Valu!$C$15,0)/$R172*(W$3-1))</f>
        <v>0.08833333333</v>
      </c>
      <c r="X172" s="962">
        <f>max(min(Valu!$C$15,$O172),$O172-max($O172-Valu!$C$15,0)/$R172*(X$3-1))</f>
        <v>0.07666666667</v>
      </c>
      <c r="Y172" s="962">
        <f>max(min(Valu!$C$15,$O172),$O172-max($O172-Valu!$C$15,0)/$R172*(Y$3-1))</f>
        <v>0.065</v>
      </c>
      <c r="Z172" s="962">
        <f>max(min(Valu!$C$15,$O172),$O172-max($O172-Valu!$C$15,0)/$R172*(Z$3-1))</f>
        <v>0.05333333333</v>
      </c>
      <c r="AA172" s="962">
        <f>max(min(Valu!$C$15,$O172),$O172-max($O172-Valu!$C$15,0)/$R172*(AA$3-1))</f>
        <v>0.04166666667</v>
      </c>
      <c r="AB172" s="962">
        <f>max(min(Valu!$C$15,$O172),$O172-max($O172-Valu!$C$15,0)/$R172*(AB$3-1))</f>
        <v>0.03</v>
      </c>
      <c r="AC172" s="962">
        <f>max(min(Valu!$C$15,$O172),$O172-max($O172-Valu!$C$15,0)/$R172*(AC$3-1))</f>
        <v>0.03</v>
      </c>
      <c r="AD172" s="962">
        <f>max(min(Valu!$C$15,$O172),$O172-max($O172-Valu!$C$15,0)/$R172*(AD$3-1))</f>
        <v>0.03</v>
      </c>
      <c r="AE172" s="962">
        <f>max(min(Valu!$C$15,$O172),$O172-max($O172-Valu!$C$15,0)/$R172*(AE$3-1))</f>
        <v>0.03</v>
      </c>
      <c r="AF172" s="962">
        <f>max(min(Valu!$C$15,$O172),$O172-max($O172-Valu!$C$15,0)/$R172*(AF$3-1))</f>
        <v>0.03</v>
      </c>
      <c r="AG172" s="962">
        <f>max(min(Valu!$C$15,$O172),$O172-max($O172-Valu!$C$15,0)/$R172*(AG$3-1))</f>
        <v>0.03</v>
      </c>
      <c r="AH172" s="962">
        <f>max(min(Valu!$C$15,$O172),$O172-max($O172-Valu!$C$15,0)/$R172*(AH$3-1))</f>
        <v>0.03</v>
      </c>
      <c r="AI172" s="962">
        <f>max(min(Valu!$C$15,$O172),$O172-max($O172-Valu!$C$15,0)/$R172*(AI$3-1))</f>
        <v>0.03</v>
      </c>
      <c r="AJ172" s="962">
        <f>max(min(Valu!$C$15,$O172),$O172-max($O172-Valu!$C$15,0)/$R172*(AJ$3-1))</f>
        <v>0.03</v>
      </c>
      <c r="AK172" s="962">
        <f>max(min(Valu!$C$15,$O172),$O172-max($O172-Valu!$C$15,0)/$R172*(AK$3-1))</f>
        <v>0.03</v>
      </c>
      <c r="AL172" s="962">
        <f>max(min(Valu!$C$15,$O172),$O172-max($O172-Valu!$C$15,0)/$R172*(AL$3-1))</f>
        <v>0.03</v>
      </c>
      <c r="AM172" s="962">
        <f>max(min(Valu!$C$15,$O172),$O172-max($O172-Valu!$C$15,0)/$R172*(AM$3-1))</f>
        <v>0.03</v>
      </c>
      <c r="AN172" s="962">
        <f>max(min(Valu!$C$15,$O172),$O172-max($O172-Valu!$C$15,0)/$R172*(AN$3-1))</f>
        <v>0.03</v>
      </c>
      <c r="AO172" s="962">
        <f>max(min(Valu!$C$15,$O172),$O172-max($O172-Valu!$C$15,0)/$R172*(AO$3-1))</f>
        <v>0.03</v>
      </c>
      <c r="AP172" s="962">
        <f>max(min(Valu!$C$14,$P172),$P172-max($P172-Valu!$C$14,0)/$R172*(AP$3-1))</f>
        <v>0.225</v>
      </c>
      <c r="AQ172" s="962">
        <f>max(min(Valu!$C$14,$P172),$P172-max($P172-Valu!$C$14,0)/$R172*(AQ$3-1))</f>
        <v>0.2075</v>
      </c>
      <c r="AR172" s="962">
        <f>max(min(Valu!$C$14,$P172),$P172-max($P172-Valu!$C$14,0)/$R172*(AR$3-1))</f>
        <v>0.19</v>
      </c>
      <c r="AS172" s="962">
        <f>max(min(Valu!$C$14,$P172),$P172-max($P172-Valu!$C$14,0)/$R172*(AS$3-1))</f>
        <v>0.1725</v>
      </c>
      <c r="AT172" s="962">
        <f>max(min(Valu!$C$14,$P172),$P172-max($P172-Valu!$C$14,0)/$R172*(AT$3-1))</f>
        <v>0.155</v>
      </c>
      <c r="AU172" s="962">
        <f>max(min(Valu!$C$14,$P172),$P172-max($P172-Valu!$C$14,0)/$R172*(AU$3-1))</f>
        <v>0.1375</v>
      </c>
      <c r="AV172" s="962">
        <f>max(min(Valu!$C$14,$P172),$P172-max($P172-Valu!$C$14,0)/$R172*(AV$3-1))</f>
        <v>0.12</v>
      </c>
      <c r="AW172" s="962">
        <f>max(min(Valu!$C$14,$P172),$P172-max($P172-Valu!$C$14,0)/$R172*(AW$3-1))</f>
        <v>0.12</v>
      </c>
      <c r="AX172" s="962">
        <f>max(min(Valu!$C$14,$P172),$P172-max($P172-Valu!$C$14,0)/$R172*(AX$3-1))</f>
        <v>0.12</v>
      </c>
      <c r="AY172" s="962">
        <f>max(min(Valu!$C$14,$P172),$P172-max($P172-Valu!$C$14,0)/$R172*(AY$3-1))</f>
        <v>0.12</v>
      </c>
      <c r="AZ172" s="962">
        <f>max(min(Valu!$C$14,$P172),$P172-max($P172-Valu!$C$14,0)/$R172*(AZ$3-1))</f>
        <v>0.12</v>
      </c>
      <c r="BA172" s="962">
        <f>max(min(Valu!$C$14,$P172),$P172-max($P172-Valu!$C$14,0)/$R172*(BA$3-1))</f>
        <v>0.12</v>
      </c>
      <c r="BB172" s="962">
        <f>max(min(Valu!$C$14,$P172),$P172-max($P172-Valu!$C$14,0)/$R172*(BB$3-1))</f>
        <v>0.12</v>
      </c>
      <c r="BC172" s="962">
        <f>max(min(Valu!$C$14,$P172),$P172-max($P172-Valu!$C$14,0)/$R172*(BC$3-1))</f>
        <v>0.12</v>
      </c>
      <c r="BD172" s="962">
        <f>max(min(Valu!$C$14,$P172),$P172-max($P172-Valu!$C$14,0)/$R172*(BD$3-1))</f>
        <v>0.12</v>
      </c>
      <c r="BE172" s="962">
        <f>max(min(Valu!$C$14,$P172),$P172-max($P172-Valu!$C$14,0)/$R172*(BE$3-1))</f>
        <v>0.12</v>
      </c>
      <c r="BF172" s="962">
        <f>max(min(Valu!$C$14,$P172),$P172-max($P172-Valu!$C$14,0)/$R172*(BF$3-1))</f>
        <v>0.12</v>
      </c>
      <c r="BG172" s="962">
        <f>max(min(Valu!$C$14,$P172),$P172-max($P172-Valu!$C$14,0)/$R172*(BG$3-1))</f>
        <v>0.12</v>
      </c>
      <c r="BH172" s="962">
        <f>max(min(Valu!$C$14,$P172),$P172-max($P172-Valu!$C$14,0)/$R172*(BH$3-1))</f>
        <v>0.12</v>
      </c>
      <c r="BI172" s="962">
        <f>max(min(Valu!$C$14,$P172),$P172-max($P172-Valu!$C$14,0)/$R172*(BI$3-1))</f>
        <v>0.12</v>
      </c>
      <c r="BJ172" s="965">
        <f t="shared" si="97"/>
        <v>10.74019945</v>
      </c>
      <c r="BK172" s="966">
        <f t="shared" si="98"/>
        <v>11.8142194</v>
      </c>
      <c r="BL172" s="966">
        <f t="shared" ref="BL172:CC172" si="99">BK172*(1+W172)</f>
        <v>12.85780878</v>
      </c>
      <c r="BM172" s="966">
        <f t="shared" si="99"/>
        <v>13.84357412</v>
      </c>
      <c r="BN172" s="966">
        <f t="shared" si="99"/>
        <v>14.74340644</v>
      </c>
      <c r="BO172" s="966">
        <f t="shared" si="99"/>
        <v>15.52972145</v>
      </c>
      <c r="BP172" s="966">
        <f t="shared" si="99"/>
        <v>16.17679317</v>
      </c>
      <c r="BQ172" s="966">
        <f t="shared" si="99"/>
        <v>16.66209697</v>
      </c>
      <c r="BR172" s="966">
        <f t="shared" si="99"/>
        <v>17.16195988</v>
      </c>
      <c r="BS172" s="966">
        <f t="shared" si="99"/>
        <v>17.67681868</v>
      </c>
      <c r="BT172" s="966">
        <f t="shared" si="99"/>
        <v>18.20712324</v>
      </c>
      <c r="BU172" s="966">
        <f t="shared" si="99"/>
        <v>18.75333693</v>
      </c>
      <c r="BV172" s="966">
        <f t="shared" si="99"/>
        <v>19.31593704</v>
      </c>
      <c r="BW172" s="966">
        <f t="shared" si="99"/>
        <v>19.89541515</v>
      </c>
      <c r="BX172" s="966">
        <f t="shared" si="99"/>
        <v>20.49227761</v>
      </c>
      <c r="BY172" s="966">
        <f t="shared" si="99"/>
        <v>21.10704593</v>
      </c>
      <c r="BZ172" s="966">
        <f t="shared" si="99"/>
        <v>21.74025731</v>
      </c>
      <c r="CA172" s="966">
        <f t="shared" si="99"/>
        <v>22.39246503</v>
      </c>
      <c r="CB172" s="966">
        <f t="shared" si="99"/>
        <v>23.06423898</v>
      </c>
      <c r="CC172" s="966">
        <f t="shared" si="99"/>
        <v>23.75616615</v>
      </c>
      <c r="CD172" s="966">
        <f t="shared" ref="CD172:CW172" si="100">BJ172*(1-V172/AP172)</f>
        <v>5.966777475</v>
      </c>
      <c r="CE172" s="966">
        <f t="shared" si="100"/>
        <v>6.784872989</v>
      </c>
      <c r="CF172" s="966">
        <f t="shared" si="100"/>
        <v>7.669570149</v>
      </c>
      <c r="CG172" s="966">
        <f t="shared" si="100"/>
        <v>8.627154886</v>
      </c>
      <c r="CH172" s="966">
        <f t="shared" si="100"/>
        <v>9.670406373</v>
      </c>
      <c r="CI172" s="966">
        <f t="shared" si="100"/>
        <v>10.82374525</v>
      </c>
      <c r="CJ172" s="966">
        <f t="shared" si="100"/>
        <v>12.13259488</v>
      </c>
      <c r="CK172" s="966">
        <f t="shared" si="100"/>
        <v>12.49657273</v>
      </c>
      <c r="CL172" s="966">
        <f t="shared" si="100"/>
        <v>12.87146991</v>
      </c>
      <c r="CM172" s="966">
        <f t="shared" si="100"/>
        <v>13.25761401</v>
      </c>
      <c r="CN172" s="966">
        <f t="shared" si="100"/>
        <v>13.65534243</v>
      </c>
      <c r="CO172" s="966">
        <f t="shared" si="100"/>
        <v>14.0650027</v>
      </c>
      <c r="CP172" s="966">
        <f t="shared" si="100"/>
        <v>14.48695278</v>
      </c>
      <c r="CQ172" s="966">
        <f t="shared" si="100"/>
        <v>14.92156136</v>
      </c>
      <c r="CR172" s="966">
        <f t="shared" si="100"/>
        <v>15.3692082</v>
      </c>
      <c r="CS172" s="966">
        <f t="shared" si="100"/>
        <v>15.83028445</v>
      </c>
      <c r="CT172" s="966">
        <f t="shared" si="100"/>
        <v>16.30519298</v>
      </c>
      <c r="CU172" s="966">
        <f t="shared" si="100"/>
        <v>16.79434877</v>
      </c>
      <c r="CV172" s="966">
        <f t="shared" si="100"/>
        <v>17.29817924</v>
      </c>
      <c r="CW172" s="966">
        <f t="shared" si="100"/>
        <v>17.81712461</v>
      </c>
      <c r="CX172" s="966">
        <f>CW172*(1+min(Valu!$C$15,$O172))/(Valu!$C$21-min(Valu!$C$15,$O172))</f>
        <v>482.9378514</v>
      </c>
      <c r="CY172" s="966">
        <f>CD172/(1+Valu!$C$21)^CY$3</f>
        <v>5.586870295</v>
      </c>
      <c r="CZ172" s="966">
        <f>CE172/(1+Valu!$C$21)^CZ$3</f>
        <v>5.948387013</v>
      </c>
      <c r="DA172" s="966">
        <f>CF172/(1+Valu!$C$21)^DA$3</f>
        <v>6.295891949</v>
      </c>
      <c r="DB172" s="966">
        <f>CG172/(1+Valu!$C$21)^DB$3</f>
        <v>6.631054302</v>
      </c>
      <c r="DC172" s="966">
        <f>CH172/(1+Valu!$C$21)^DC$3</f>
        <v>6.959667011</v>
      </c>
      <c r="DD172" s="966">
        <f>CI172/(1+Valu!$C$21)^DD$3</f>
        <v>7.293736104</v>
      </c>
      <c r="DE172" s="966">
        <f>CJ172/(1+Valu!$C$21)^DE$3</f>
        <v>7.655171549</v>
      </c>
      <c r="DF172" s="966">
        <f>CK172/(1+Valu!$C$21)^DF$3</f>
        <v>7.382796531</v>
      </c>
      <c r="DG172" s="966">
        <f>CL172/(1+Valu!$C$21)^DG$3</f>
        <v>7.120112759</v>
      </c>
      <c r="DH172" s="966">
        <f>CM172/(1+Valu!$C$21)^DH$3</f>
        <v>6.866775414</v>
      </c>
      <c r="DI172" s="966">
        <f>CN172/(1+Valu!$C$21)^DI$3</f>
        <v>6.622451944</v>
      </c>
      <c r="DJ172" s="966">
        <f>CO172/(1+Valu!$C$21)^DJ$3</f>
        <v>6.386821632</v>
      </c>
      <c r="DK172" s="966">
        <f>CP172/(1+Valu!$C$21)^DK$3</f>
        <v>6.159575169</v>
      </c>
      <c r="DL172" s="966">
        <f>CQ172/(1+Valu!$C$21)^DL$3</f>
        <v>5.940414255</v>
      </c>
      <c r="DM172" s="966">
        <f>CR172/(1+Valu!$C$21)^DM$3</f>
        <v>5.729051201</v>
      </c>
      <c r="DN172" s="966">
        <f>CS172/(1+Valu!$C$21)^DN$3</f>
        <v>5.525208555</v>
      </c>
      <c r="DO172" s="966">
        <f>CT172/(1+Valu!$C$21)^DO$3</f>
        <v>5.328618738</v>
      </c>
      <c r="DP172" s="966">
        <f>CU172/(1+Valu!$C$21)^DP$3</f>
        <v>5.139023689</v>
      </c>
      <c r="DQ172" s="966">
        <f>CV172/(1+Valu!$C$21)^DQ$3</f>
        <v>4.956174531</v>
      </c>
      <c r="DR172" s="966">
        <f>CW172/(1+Valu!$C$21)^DR$3</f>
        <v>4.779831243</v>
      </c>
      <c r="DS172" s="966">
        <f>CX172/(1+Valu!$C$21)^DS$3</f>
        <v>129.5585837</v>
      </c>
      <c r="DT172" s="358"/>
      <c r="DU172" s="358"/>
      <c r="DV172" s="358"/>
      <c r="DW172" s="358"/>
    </row>
    <row r="173" ht="15.0" customHeight="1">
      <c r="A173" s="372">
        <v>41992.0</v>
      </c>
      <c r="B173" s="384" t="s">
        <v>2806</v>
      </c>
      <c r="C173" s="384" t="s">
        <v>1134</v>
      </c>
      <c r="D173" s="418">
        <f>min(70,I173)</f>
        <v>70</v>
      </c>
      <c r="E173" s="374">
        <f>IFERROR(__xludf.DUMMYFUNCTION("if(and(D173&lt;&gt;0,D173&lt;&gt;""""),D173/GOOGLEFINANCE(C173,""price"")-1,"""")"),-0.4099797707349966)</f>
        <v>-0.4099797707</v>
      </c>
      <c r="F173" s="375">
        <f>IFERROR(__xludf.DUMMYFUNCTION("GOOGLEFINANCE(C173,""price"")"),118.64)</f>
        <v>118.64</v>
      </c>
      <c r="G173" s="374">
        <f t="shared" si="6"/>
        <v>-0.4058069355</v>
      </c>
      <c r="H173" s="376"/>
      <c r="I173" s="368">
        <f t="shared" si="94"/>
        <v>70.49506517</v>
      </c>
      <c r="J173" s="377">
        <v>2.35</v>
      </c>
      <c r="K173" s="377">
        <v>2.59</v>
      </c>
      <c r="L173" s="378">
        <v>43769.0</v>
      </c>
      <c r="M173" s="379">
        <f t="shared" si="7"/>
        <v>0.01276513889</v>
      </c>
      <c r="N173" s="380">
        <f t="shared" si="8"/>
        <v>2.586936367</v>
      </c>
      <c r="O173" s="361">
        <v>0.15</v>
      </c>
      <c r="P173" s="361">
        <v>0.15</v>
      </c>
      <c r="Q173" s="371">
        <f t="shared" si="95"/>
        <v>27.25040557</v>
      </c>
      <c r="R173" s="355">
        <v>8.0</v>
      </c>
      <c r="S173" s="378">
        <v>43762.0</v>
      </c>
      <c r="T173" s="381" t="s">
        <v>1223</v>
      </c>
      <c r="U173" s="382" t="s">
        <v>2807</v>
      </c>
      <c r="V173" s="961">
        <f t="shared" si="96"/>
        <v>0.15</v>
      </c>
      <c r="W173" s="962">
        <f>max(min(Valu!$C$15,$O173),$O173-max($O173-Valu!$C$15,0)/$R173*(W$3-1))</f>
        <v>0.135</v>
      </c>
      <c r="X173" s="962">
        <f>max(min(Valu!$C$15,$O173),$O173-max($O173-Valu!$C$15,0)/$R173*(X$3-1))</f>
        <v>0.12</v>
      </c>
      <c r="Y173" s="962">
        <f>max(min(Valu!$C$15,$O173),$O173-max($O173-Valu!$C$15,0)/$R173*(Y$3-1))</f>
        <v>0.105</v>
      </c>
      <c r="Z173" s="962">
        <f>max(min(Valu!$C$15,$O173),$O173-max($O173-Valu!$C$15,0)/$R173*(Z$3-1))</f>
        <v>0.09</v>
      </c>
      <c r="AA173" s="962">
        <f>max(min(Valu!$C$15,$O173),$O173-max($O173-Valu!$C$15,0)/$R173*(AA$3-1))</f>
        <v>0.075</v>
      </c>
      <c r="AB173" s="962">
        <f>max(min(Valu!$C$15,$O173),$O173-max($O173-Valu!$C$15,0)/$R173*(AB$3-1))</f>
        <v>0.06</v>
      </c>
      <c r="AC173" s="962">
        <f>max(min(Valu!$C$15,$O173),$O173-max($O173-Valu!$C$15,0)/$R173*(AC$3-1))</f>
        <v>0.045</v>
      </c>
      <c r="AD173" s="962">
        <f>max(min(Valu!$C$15,$O173),$O173-max($O173-Valu!$C$15,0)/$R173*(AD$3-1))</f>
        <v>0.03</v>
      </c>
      <c r="AE173" s="962">
        <f>max(min(Valu!$C$15,$O173),$O173-max($O173-Valu!$C$15,0)/$R173*(AE$3-1))</f>
        <v>0.03</v>
      </c>
      <c r="AF173" s="962">
        <f>max(min(Valu!$C$15,$O173),$O173-max($O173-Valu!$C$15,0)/$R173*(AF$3-1))</f>
        <v>0.03</v>
      </c>
      <c r="AG173" s="962">
        <f>max(min(Valu!$C$15,$O173),$O173-max($O173-Valu!$C$15,0)/$R173*(AG$3-1))</f>
        <v>0.03</v>
      </c>
      <c r="AH173" s="962">
        <f>max(min(Valu!$C$15,$O173),$O173-max($O173-Valu!$C$15,0)/$R173*(AH$3-1))</f>
        <v>0.03</v>
      </c>
      <c r="AI173" s="962">
        <f>max(min(Valu!$C$15,$O173),$O173-max($O173-Valu!$C$15,0)/$R173*(AI$3-1))</f>
        <v>0.03</v>
      </c>
      <c r="AJ173" s="962">
        <f>max(min(Valu!$C$15,$O173),$O173-max($O173-Valu!$C$15,0)/$R173*(AJ$3-1))</f>
        <v>0.03</v>
      </c>
      <c r="AK173" s="962">
        <f>max(min(Valu!$C$15,$O173),$O173-max($O173-Valu!$C$15,0)/$R173*(AK$3-1))</f>
        <v>0.03</v>
      </c>
      <c r="AL173" s="962">
        <f>max(min(Valu!$C$15,$O173),$O173-max($O173-Valu!$C$15,0)/$R173*(AL$3-1))</f>
        <v>0.03</v>
      </c>
      <c r="AM173" s="962">
        <f>max(min(Valu!$C$15,$O173),$O173-max($O173-Valu!$C$15,0)/$R173*(AM$3-1))</f>
        <v>0.03</v>
      </c>
      <c r="AN173" s="962">
        <f>max(min(Valu!$C$15,$O173),$O173-max($O173-Valu!$C$15,0)/$R173*(AN$3-1))</f>
        <v>0.03</v>
      </c>
      <c r="AO173" s="962">
        <f>max(min(Valu!$C$15,$O173),$O173-max($O173-Valu!$C$15,0)/$R173*(AO$3-1))</f>
        <v>0.03</v>
      </c>
      <c r="AP173" s="962">
        <f>max(min(Valu!$C$14,$P173),$P173-max($P173-Valu!$C$14,0)/$R173*(AP$3-1))</f>
        <v>0.15</v>
      </c>
      <c r="AQ173" s="962">
        <f>max(min(Valu!$C$14,$P173),$P173-max($P173-Valu!$C$14,0)/$R173*(AQ$3-1))</f>
        <v>0.14625</v>
      </c>
      <c r="AR173" s="962">
        <f>max(min(Valu!$C$14,$P173),$P173-max($P173-Valu!$C$14,0)/$R173*(AR$3-1))</f>
        <v>0.1425</v>
      </c>
      <c r="AS173" s="962">
        <f>max(min(Valu!$C$14,$P173),$P173-max($P173-Valu!$C$14,0)/$R173*(AS$3-1))</f>
        <v>0.13875</v>
      </c>
      <c r="AT173" s="962">
        <f>max(min(Valu!$C$14,$P173),$P173-max($P173-Valu!$C$14,0)/$R173*(AT$3-1))</f>
        <v>0.135</v>
      </c>
      <c r="AU173" s="962">
        <f>max(min(Valu!$C$14,$P173),$P173-max($P173-Valu!$C$14,0)/$R173*(AU$3-1))</f>
        <v>0.13125</v>
      </c>
      <c r="AV173" s="962">
        <f>max(min(Valu!$C$14,$P173),$P173-max($P173-Valu!$C$14,0)/$R173*(AV$3-1))</f>
        <v>0.1275</v>
      </c>
      <c r="AW173" s="962">
        <f>max(min(Valu!$C$14,$P173),$P173-max($P173-Valu!$C$14,0)/$R173*(AW$3-1))</f>
        <v>0.12375</v>
      </c>
      <c r="AX173" s="962">
        <f>max(min(Valu!$C$14,$P173),$P173-max($P173-Valu!$C$14,0)/$R173*(AX$3-1))</f>
        <v>0.12</v>
      </c>
      <c r="AY173" s="962">
        <f>max(min(Valu!$C$14,$P173),$P173-max($P173-Valu!$C$14,0)/$R173*(AY$3-1))</f>
        <v>0.12</v>
      </c>
      <c r="AZ173" s="962">
        <f>max(min(Valu!$C$14,$P173),$P173-max($P173-Valu!$C$14,0)/$R173*(AZ$3-1))</f>
        <v>0.12</v>
      </c>
      <c r="BA173" s="962">
        <f>max(min(Valu!$C$14,$P173),$P173-max($P173-Valu!$C$14,0)/$R173*(BA$3-1))</f>
        <v>0.12</v>
      </c>
      <c r="BB173" s="962">
        <f>max(min(Valu!$C$14,$P173),$P173-max($P173-Valu!$C$14,0)/$R173*(BB$3-1))</f>
        <v>0.12</v>
      </c>
      <c r="BC173" s="962">
        <f>max(min(Valu!$C$14,$P173),$P173-max($P173-Valu!$C$14,0)/$R173*(BC$3-1))</f>
        <v>0.12</v>
      </c>
      <c r="BD173" s="962">
        <f>max(min(Valu!$C$14,$P173),$P173-max($P173-Valu!$C$14,0)/$R173*(BD$3-1))</f>
        <v>0.12</v>
      </c>
      <c r="BE173" s="962">
        <f>max(min(Valu!$C$14,$P173),$P173-max($P173-Valu!$C$14,0)/$R173*(BE$3-1))</f>
        <v>0.12</v>
      </c>
      <c r="BF173" s="962">
        <f>max(min(Valu!$C$14,$P173),$P173-max($P173-Valu!$C$14,0)/$R173*(BF$3-1))</f>
        <v>0.12</v>
      </c>
      <c r="BG173" s="962">
        <f>max(min(Valu!$C$14,$P173),$P173-max($P173-Valu!$C$14,0)/$R173*(BG$3-1))</f>
        <v>0.12</v>
      </c>
      <c r="BH173" s="962">
        <f>max(min(Valu!$C$14,$P173),$P173-max($P173-Valu!$C$14,0)/$R173*(BH$3-1))</f>
        <v>0.12</v>
      </c>
      <c r="BI173" s="962">
        <f>max(min(Valu!$C$14,$P173),$P173-max($P173-Valu!$C$14,0)/$R173*(BI$3-1))</f>
        <v>0.12</v>
      </c>
      <c r="BJ173" s="965">
        <f t="shared" si="97"/>
        <v>2.586936367</v>
      </c>
      <c r="BK173" s="966">
        <f t="shared" si="98"/>
        <v>2.974976822</v>
      </c>
      <c r="BL173" s="966">
        <f t="shared" ref="BL173:CC173" si="101">BK173*(1+W173)</f>
        <v>3.376598693</v>
      </c>
      <c r="BM173" s="966">
        <f t="shared" si="101"/>
        <v>3.781790536</v>
      </c>
      <c r="BN173" s="966">
        <f t="shared" si="101"/>
        <v>4.178878542</v>
      </c>
      <c r="BO173" s="966">
        <f t="shared" si="101"/>
        <v>4.554977611</v>
      </c>
      <c r="BP173" s="966">
        <f t="shared" si="101"/>
        <v>4.896600932</v>
      </c>
      <c r="BQ173" s="966">
        <f t="shared" si="101"/>
        <v>5.190396987</v>
      </c>
      <c r="BR173" s="966">
        <f t="shared" si="101"/>
        <v>5.423964852</v>
      </c>
      <c r="BS173" s="966">
        <f t="shared" si="101"/>
        <v>5.586683797</v>
      </c>
      <c r="BT173" s="966">
        <f t="shared" si="101"/>
        <v>5.754284311</v>
      </c>
      <c r="BU173" s="966">
        <f t="shared" si="101"/>
        <v>5.926912841</v>
      </c>
      <c r="BV173" s="966">
        <f t="shared" si="101"/>
        <v>6.104720226</v>
      </c>
      <c r="BW173" s="966">
        <f t="shared" si="101"/>
        <v>6.287861833</v>
      </c>
      <c r="BX173" s="966">
        <f t="shared" si="101"/>
        <v>6.476497688</v>
      </c>
      <c r="BY173" s="966">
        <f t="shared" si="101"/>
        <v>6.670792618</v>
      </c>
      <c r="BZ173" s="966">
        <f t="shared" si="101"/>
        <v>6.870916397</v>
      </c>
      <c r="CA173" s="966">
        <f t="shared" si="101"/>
        <v>7.077043889</v>
      </c>
      <c r="CB173" s="966">
        <f t="shared" si="101"/>
        <v>7.289355205</v>
      </c>
      <c r="CC173" s="966">
        <f t="shared" si="101"/>
        <v>7.508035862</v>
      </c>
      <c r="CD173" s="966">
        <f t="shared" ref="CD173:CW173" si="102">BJ173*(1-V173/AP173)</f>
        <v>0</v>
      </c>
      <c r="CE173" s="966">
        <f t="shared" si="102"/>
        <v>0.2288443709</v>
      </c>
      <c r="CF173" s="966">
        <f t="shared" si="102"/>
        <v>0.533147162</v>
      </c>
      <c r="CG173" s="966">
        <f t="shared" si="102"/>
        <v>0.9198949952</v>
      </c>
      <c r="CH173" s="966">
        <f t="shared" si="102"/>
        <v>1.392959514</v>
      </c>
      <c r="CI173" s="966">
        <f t="shared" si="102"/>
        <v>1.952133262</v>
      </c>
      <c r="CJ173" s="966">
        <f t="shared" si="102"/>
        <v>2.59231814</v>
      </c>
      <c r="CK173" s="966">
        <f t="shared" si="102"/>
        <v>3.302979901</v>
      </c>
      <c r="CL173" s="966">
        <f t="shared" si="102"/>
        <v>4.067973639</v>
      </c>
      <c r="CM173" s="966">
        <f t="shared" si="102"/>
        <v>4.190012848</v>
      </c>
      <c r="CN173" s="966">
        <f t="shared" si="102"/>
        <v>4.315713234</v>
      </c>
      <c r="CO173" s="966">
        <f t="shared" si="102"/>
        <v>4.445184631</v>
      </c>
      <c r="CP173" s="966">
        <f t="shared" si="102"/>
        <v>4.578540169</v>
      </c>
      <c r="CQ173" s="966">
        <f t="shared" si="102"/>
        <v>4.715896375</v>
      </c>
      <c r="CR173" s="966">
        <f t="shared" si="102"/>
        <v>4.857373266</v>
      </c>
      <c r="CS173" s="966">
        <f t="shared" si="102"/>
        <v>5.003094464</v>
      </c>
      <c r="CT173" s="966">
        <f t="shared" si="102"/>
        <v>5.153187298</v>
      </c>
      <c r="CU173" s="966">
        <f t="shared" si="102"/>
        <v>5.307782917</v>
      </c>
      <c r="CV173" s="966">
        <f t="shared" si="102"/>
        <v>5.467016404</v>
      </c>
      <c r="CW173" s="966">
        <f t="shared" si="102"/>
        <v>5.631026896</v>
      </c>
      <c r="CX173" s="966">
        <f>CW173*(1+min(Valu!$C$15,$O173))/(Valu!$C$21-min(Valu!$C$15,$O173))</f>
        <v>152.6304659</v>
      </c>
      <c r="CY173" s="966">
        <f>CD173/(1+Valu!$C$21)^CY$3</f>
        <v>0</v>
      </c>
      <c r="CZ173" s="966">
        <f>CE173/(1+Valu!$C$21)^CZ$3</f>
        <v>0.2006308572</v>
      </c>
      <c r="DA173" s="966">
        <f>CF173/(1+Valu!$C$21)^DA$3</f>
        <v>0.4376564604</v>
      </c>
      <c r="DB173" s="966">
        <f>CG173/(1+Valu!$C$21)^DB$3</f>
        <v>0.7070550773</v>
      </c>
      <c r="DC173" s="966">
        <f>CH173/(1+Valu!$C$21)^DC$3</f>
        <v>1.002495035</v>
      </c>
      <c r="DD173" s="966">
        <f>CI173/(1+Valu!$C$21)^DD$3</f>
        <v>1.31547302</v>
      </c>
      <c r="DE173" s="966">
        <f>CJ173/(1+Valu!$C$21)^DE$3</f>
        <v>1.635646807</v>
      </c>
      <c r="DF173" s="966">
        <f>CK173/(1+Valu!$C$21)^DF$3</f>
        <v>1.95135331</v>
      </c>
      <c r="DG173" s="966">
        <f>CL173/(1+Valu!$C$21)^DG$3</f>
        <v>2.250281531</v>
      </c>
      <c r="DH173" s="966">
        <f>CM173/(1+Valu!$C$21)^DH$3</f>
        <v>2.170215334</v>
      </c>
      <c r="DI173" s="966">
        <f>CN173/(1+Valu!$C$21)^DI$3</f>
        <v>2.092997935</v>
      </c>
      <c r="DJ173" s="966">
        <f>CO173/(1+Valu!$C$21)^DJ$3</f>
        <v>2.018527971</v>
      </c>
      <c r="DK173" s="966">
        <f>CP173/(1+Valu!$C$21)^DK$3</f>
        <v>1.946707687</v>
      </c>
      <c r="DL173" s="966">
        <f>CQ173/(1+Valu!$C$21)^DL$3</f>
        <v>1.877442807</v>
      </c>
      <c r="DM173" s="966">
        <f>CR173/(1+Valu!$C$21)^DM$3</f>
        <v>1.810642407</v>
      </c>
      <c r="DN173" s="966">
        <f>CS173/(1+Valu!$C$21)^DN$3</f>
        <v>1.746218801</v>
      </c>
      <c r="DO173" s="966">
        <f>CT173/(1+Valu!$C$21)^DO$3</f>
        <v>1.68408742</v>
      </c>
      <c r="DP173" s="966">
        <f>CU173/(1+Valu!$C$21)^DP$3</f>
        <v>1.624166707</v>
      </c>
      <c r="DQ173" s="966">
        <f>CV173/(1+Valu!$C$21)^DQ$3</f>
        <v>1.566378004</v>
      </c>
      <c r="DR173" s="966">
        <f>CW173/(1+Valu!$C$21)^DR$3</f>
        <v>1.510645453</v>
      </c>
      <c r="DS173" s="966">
        <f>CX173/(1+Valu!$C$21)^DS$3</f>
        <v>40.94644255</v>
      </c>
      <c r="DT173" s="358"/>
      <c r="DU173" s="358"/>
      <c r="DV173" s="358"/>
      <c r="DW173" s="358"/>
    </row>
    <row r="174" ht="15.0" customHeight="1">
      <c r="A174" s="383">
        <v>40629.0</v>
      </c>
      <c r="B174" s="320" t="s">
        <v>2812</v>
      </c>
      <c r="C174" s="320" t="s">
        <v>364</v>
      </c>
      <c r="D174" s="384">
        <v>90.0</v>
      </c>
      <c r="E174" s="374">
        <f>IFERROR(__xludf.DUMMYFUNCTION("if(and(D174&lt;&gt;0,D174&lt;&gt;""""),D174/GOOGLEFINANCE(C174,""price"")-1,"""")"),-0.19369288657946604)</f>
        <v>-0.1936928866</v>
      </c>
      <c r="F174" s="375">
        <f>IFERROR(__xludf.DUMMYFUNCTION("GOOGLEFINANCE(C174,""price"")"),111.62)</f>
        <v>111.62</v>
      </c>
      <c r="G174" s="374">
        <f t="shared" si="6"/>
        <v>0.4513528042</v>
      </c>
      <c r="H174" s="376" t="s">
        <v>2813</v>
      </c>
      <c r="I174" s="368">
        <f>54*3</f>
        <v>162</v>
      </c>
      <c r="J174" s="380"/>
      <c r="K174" s="380"/>
      <c r="L174" s="389"/>
      <c r="M174" s="379">
        <f t="shared" si="7"/>
        <v>-119.9023034</v>
      </c>
      <c r="N174" s="380">
        <f t="shared" si="8"/>
        <v>0</v>
      </c>
      <c r="O174" s="389"/>
      <c r="P174" s="390"/>
      <c r="Q174" s="391"/>
      <c r="R174" s="387"/>
      <c r="S174" s="387"/>
      <c r="T174" s="387"/>
      <c r="U174" s="386" t="s">
        <v>2814</v>
      </c>
      <c r="V174" s="344"/>
      <c r="W174" s="344"/>
      <c r="X174" s="344"/>
      <c r="Y174" s="344"/>
      <c r="Z174" s="344"/>
      <c r="AA174" s="344"/>
      <c r="AB174" s="344"/>
      <c r="AC174" s="344"/>
      <c r="AD174" s="344"/>
      <c r="AE174" s="344"/>
      <c r="AF174" s="344"/>
      <c r="AG174" s="344"/>
      <c r="AH174" s="344"/>
      <c r="AI174" s="344"/>
      <c r="AJ174" s="344"/>
      <c r="AK174" s="344"/>
      <c r="AL174" s="344"/>
      <c r="AM174" s="344"/>
      <c r="AN174" s="344"/>
      <c r="AO174" s="344"/>
      <c r="AP174" s="344"/>
      <c r="AQ174" s="344"/>
      <c r="AR174" s="344"/>
      <c r="AS174" s="344"/>
      <c r="AT174" s="344"/>
      <c r="AU174" s="344"/>
      <c r="AV174" s="344"/>
      <c r="AW174" s="344"/>
      <c r="AX174" s="344"/>
      <c r="AY174" s="344"/>
      <c r="AZ174" s="344"/>
      <c r="BA174" s="344"/>
      <c r="BB174" s="344"/>
      <c r="BC174" s="344"/>
      <c r="BD174" s="344"/>
      <c r="BE174" s="344"/>
      <c r="BF174" s="344"/>
      <c r="BG174" s="344"/>
      <c r="BH174" s="344"/>
      <c r="BI174" s="344"/>
      <c r="BJ174" s="344"/>
      <c r="BK174" s="344"/>
      <c r="BL174" s="344"/>
      <c r="BM174" s="344"/>
      <c r="BN174" s="344"/>
      <c r="BO174" s="344"/>
      <c r="BP174" s="344"/>
      <c r="BQ174" s="344"/>
      <c r="BR174" s="344"/>
      <c r="BS174" s="344"/>
      <c r="BT174" s="344"/>
      <c r="BU174" s="344"/>
      <c r="BV174" s="344"/>
      <c r="BW174" s="344"/>
      <c r="BX174" s="344"/>
      <c r="BY174" s="344"/>
      <c r="BZ174" s="344"/>
      <c r="CA174" s="344"/>
      <c r="CB174" s="344"/>
      <c r="CC174" s="344"/>
      <c r="CD174" s="344"/>
      <c r="CE174" s="344"/>
      <c r="CF174" s="344"/>
      <c r="CG174" s="344"/>
      <c r="CH174" s="344"/>
      <c r="CI174" s="344"/>
      <c r="CJ174" s="344"/>
      <c r="CK174" s="344"/>
      <c r="CL174" s="344"/>
      <c r="CM174" s="344"/>
      <c r="CN174" s="344"/>
      <c r="CO174" s="344"/>
      <c r="CP174" s="344"/>
      <c r="CQ174" s="344"/>
      <c r="CR174" s="344"/>
      <c r="CS174" s="344"/>
      <c r="CT174" s="344"/>
      <c r="CU174" s="344"/>
      <c r="CV174" s="344"/>
      <c r="CW174" s="344"/>
      <c r="CX174" s="344"/>
      <c r="CY174" s="344"/>
      <c r="CZ174" s="344"/>
      <c r="DA174" s="344"/>
      <c r="DB174" s="344"/>
      <c r="DC174" s="344"/>
      <c r="DD174" s="344"/>
      <c r="DE174" s="344"/>
      <c r="DF174" s="344"/>
      <c r="DG174" s="344"/>
      <c r="DH174" s="344"/>
      <c r="DI174" s="344"/>
      <c r="DJ174" s="344"/>
      <c r="DK174" s="344"/>
      <c r="DL174" s="344"/>
      <c r="DM174" s="344"/>
      <c r="DN174" s="344"/>
      <c r="DO174" s="344"/>
      <c r="DP174" s="344"/>
      <c r="DQ174" s="344"/>
      <c r="DR174" s="344"/>
      <c r="DS174" s="344"/>
      <c r="DT174" s="344"/>
      <c r="DU174" s="344"/>
      <c r="DV174" s="344"/>
      <c r="DW174" s="344"/>
    </row>
    <row r="175" ht="15.0" customHeight="1">
      <c r="A175" s="394">
        <v>40564.0</v>
      </c>
      <c r="B175" s="302" t="s">
        <v>2815</v>
      </c>
      <c r="C175" s="302" t="s">
        <v>2816</v>
      </c>
      <c r="D175" s="422"/>
      <c r="E175" s="396" t="str">
        <f>IFERROR(__xludf.DUMMYFUNCTION("if(and(D175&lt;&gt;0,D175&lt;&gt;""""),D175/GOOGLEFINANCE(C175,""price"")-1,"""")"),"")</f>
        <v/>
      </c>
      <c r="F175" s="397">
        <f>IFERROR(__xludf.DUMMYFUNCTION("GOOGLEFINANCE(C175,""price"")"),31.52)</f>
        <v>31.52</v>
      </c>
      <c r="G175" s="396" t="str">
        <f t="shared" si="6"/>
        <v/>
      </c>
      <c r="H175" s="398"/>
      <c r="I175" s="398"/>
      <c r="J175" s="403"/>
      <c r="K175" s="403"/>
      <c r="L175" s="410"/>
      <c r="M175" s="402">
        <f t="shared" si="7"/>
        <v>-119.9023034</v>
      </c>
      <c r="N175" s="403">
        <f t="shared" si="8"/>
        <v>0</v>
      </c>
      <c r="O175" s="410"/>
      <c r="P175" s="411"/>
      <c r="Q175" s="402"/>
      <c r="R175" s="412"/>
      <c r="S175" s="412"/>
      <c r="T175" s="412"/>
      <c r="U175" s="413" t="s">
        <v>2817</v>
      </c>
      <c r="V175" s="414"/>
      <c r="W175" s="414"/>
      <c r="X175" s="414"/>
      <c r="Y175" s="414"/>
      <c r="Z175" s="414"/>
      <c r="AA175" s="414"/>
      <c r="AB175" s="414"/>
      <c r="AC175" s="414"/>
      <c r="AD175" s="414"/>
      <c r="AE175" s="414"/>
      <c r="AF175" s="414"/>
      <c r="AG175" s="414"/>
      <c r="AH175" s="414"/>
      <c r="AI175" s="414"/>
      <c r="AJ175" s="414"/>
      <c r="AK175" s="414"/>
      <c r="AL175" s="414"/>
      <c r="AM175" s="414"/>
      <c r="AN175" s="414"/>
      <c r="AO175" s="414"/>
      <c r="AP175" s="414"/>
      <c r="AQ175" s="414"/>
      <c r="AR175" s="414"/>
      <c r="AS175" s="414"/>
      <c r="AT175" s="414"/>
      <c r="AU175" s="414"/>
      <c r="AV175" s="414"/>
      <c r="AW175" s="414"/>
      <c r="AX175" s="414"/>
      <c r="AY175" s="414"/>
      <c r="AZ175" s="414"/>
      <c r="BA175" s="414"/>
      <c r="BB175" s="414"/>
      <c r="BC175" s="414"/>
      <c r="BD175" s="414"/>
      <c r="BE175" s="414"/>
      <c r="BF175" s="414"/>
      <c r="BG175" s="414"/>
      <c r="BH175" s="414"/>
      <c r="BI175" s="414"/>
      <c r="BJ175" s="414"/>
      <c r="BK175" s="414"/>
      <c r="BL175" s="414"/>
      <c r="BM175" s="414"/>
      <c r="BN175" s="414"/>
      <c r="BO175" s="414"/>
      <c r="BP175" s="414"/>
      <c r="BQ175" s="414"/>
      <c r="BR175" s="414"/>
      <c r="BS175" s="414"/>
      <c r="BT175" s="414"/>
      <c r="BU175" s="414"/>
      <c r="BV175" s="414"/>
      <c r="BW175" s="414"/>
      <c r="BX175" s="414"/>
      <c r="BY175" s="414"/>
      <c r="BZ175" s="414"/>
      <c r="CA175" s="414"/>
      <c r="CB175" s="414"/>
      <c r="CC175" s="414"/>
      <c r="CD175" s="414"/>
      <c r="CE175" s="414"/>
      <c r="CF175" s="414"/>
      <c r="CG175" s="414"/>
      <c r="CH175" s="414"/>
      <c r="CI175" s="414"/>
      <c r="CJ175" s="414"/>
      <c r="CK175" s="414"/>
      <c r="CL175" s="414"/>
      <c r="CM175" s="414"/>
      <c r="CN175" s="414"/>
      <c r="CO175" s="414"/>
      <c r="CP175" s="414"/>
      <c r="CQ175" s="414"/>
      <c r="CR175" s="414"/>
      <c r="CS175" s="414"/>
      <c r="CT175" s="414"/>
      <c r="CU175" s="414"/>
      <c r="CV175" s="414"/>
      <c r="CW175" s="414"/>
      <c r="CX175" s="414"/>
      <c r="CY175" s="414"/>
      <c r="CZ175" s="414"/>
      <c r="DA175" s="414"/>
      <c r="DB175" s="414"/>
      <c r="DC175" s="414"/>
      <c r="DD175" s="414"/>
      <c r="DE175" s="414"/>
      <c r="DF175" s="414"/>
      <c r="DG175" s="414"/>
      <c r="DH175" s="414"/>
      <c r="DI175" s="414"/>
      <c r="DJ175" s="414"/>
      <c r="DK175" s="414"/>
      <c r="DL175" s="414"/>
      <c r="DM175" s="414"/>
      <c r="DN175" s="414"/>
      <c r="DO175" s="414"/>
      <c r="DP175" s="414"/>
      <c r="DQ175" s="414"/>
      <c r="DR175" s="414"/>
      <c r="DS175" s="414"/>
      <c r="DT175" s="414"/>
      <c r="DU175" s="414"/>
      <c r="DV175" s="414"/>
      <c r="DW175" s="414"/>
    </row>
    <row r="176" ht="15.0" customHeight="1">
      <c r="A176" s="343">
        <v>43263.0</v>
      </c>
      <c r="B176" s="344" t="s">
        <v>2818</v>
      </c>
      <c r="C176" s="344" t="s">
        <v>2819</v>
      </c>
      <c r="D176" s="344">
        <v>26.0</v>
      </c>
      <c r="E176" s="345">
        <f>IFERROR(__xludf.DUMMYFUNCTION("if(and(D176&lt;&gt;0,D176&lt;&gt;""""),D176/GOOGLEFINANCE(C176,""price"")-1,"""")"),-0.88245399882454)</f>
        <v>-0.8824539988</v>
      </c>
      <c r="F176" s="364">
        <f>IFERROR(__xludf.DUMMYFUNCTION("GOOGLEFINANCE(C176,""price"")"),221.19)</f>
        <v>221.19</v>
      </c>
      <c r="G176" s="345">
        <f t="shared" si="6"/>
        <v>0.5237177769</v>
      </c>
      <c r="H176" s="347"/>
      <c r="I176" s="348">
        <f t="shared" ref="I176:I177" si="103">N176*($I$1+O176*100)</f>
        <v>337.0311351</v>
      </c>
      <c r="J176" s="359">
        <v>15.92</v>
      </c>
      <c r="K176" s="359">
        <v>16.57</v>
      </c>
      <c r="L176" s="354">
        <v>43465.0</v>
      </c>
      <c r="M176" s="351">
        <f t="shared" si="7"/>
        <v>-0.8201115781</v>
      </c>
      <c r="N176" s="349">
        <f t="shared" si="8"/>
        <v>17.10307253</v>
      </c>
      <c r="O176" s="352">
        <v>0.05</v>
      </c>
      <c r="P176" s="352"/>
      <c r="Q176" s="353"/>
      <c r="R176" s="354"/>
      <c r="S176" s="354">
        <v>43302.0</v>
      </c>
      <c r="T176" s="365" t="s">
        <v>1223</v>
      </c>
      <c r="U176" s="356" t="s">
        <v>2820</v>
      </c>
      <c r="V176" s="344"/>
      <c r="W176" s="344"/>
      <c r="X176" s="344"/>
      <c r="Y176" s="344"/>
      <c r="Z176" s="344"/>
      <c r="AA176" s="344"/>
      <c r="AB176" s="344"/>
      <c r="AC176" s="344"/>
      <c r="AD176" s="344"/>
      <c r="AE176" s="344"/>
      <c r="AF176" s="344"/>
      <c r="AG176" s="344"/>
      <c r="AH176" s="344"/>
      <c r="AI176" s="344"/>
      <c r="AJ176" s="344"/>
      <c r="AK176" s="344"/>
      <c r="AL176" s="344"/>
      <c r="AM176" s="344"/>
      <c r="AN176" s="344"/>
      <c r="AO176" s="344"/>
      <c r="AP176" s="344"/>
      <c r="AQ176" s="344"/>
      <c r="AR176" s="344"/>
      <c r="AS176" s="344"/>
      <c r="AT176" s="344"/>
      <c r="AU176" s="344"/>
      <c r="AV176" s="344"/>
      <c r="AW176" s="344"/>
      <c r="AX176" s="344"/>
      <c r="AY176" s="344"/>
      <c r="AZ176" s="344"/>
      <c r="BA176" s="344"/>
      <c r="BB176" s="344"/>
      <c r="BC176" s="344"/>
      <c r="BD176" s="344"/>
      <c r="BE176" s="344"/>
      <c r="BF176" s="344"/>
      <c r="BG176" s="344"/>
      <c r="BH176" s="344"/>
      <c r="BI176" s="344"/>
      <c r="BJ176" s="344"/>
      <c r="BK176" s="344"/>
      <c r="BL176" s="344"/>
      <c r="BM176" s="344"/>
      <c r="BN176" s="344"/>
      <c r="BO176" s="344"/>
      <c r="BP176" s="344"/>
      <c r="BQ176" s="344"/>
      <c r="BR176" s="344"/>
      <c r="BS176" s="344"/>
      <c r="BT176" s="344"/>
      <c r="BU176" s="344"/>
      <c r="BV176" s="344"/>
      <c r="BW176" s="344"/>
      <c r="BX176" s="344"/>
      <c r="BY176" s="344"/>
      <c r="BZ176" s="344"/>
      <c r="CA176" s="344"/>
      <c r="CB176" s="344"/>
      <c r="CC176" s="344"/>
      <c r="CD176" s="344"/>
      <c r="CE176" s="344"/>
      <c r="CF176" s="344"/>
      <c r="CG176" s="344"/>
      <c r="CH176" s="344"/>
      <c r="CI176" s="344"/>
      <c r="CJ176" s="344"/>
      <c r="CK176" s="344"/>
      <c r="CL176" s="344"/>
      <c r="CM176" s="344"/>
      <c r="CN176" s="344"/>
      <c r="CO176" s="344"/>
      <c r="CP176" s="344"/>
      <c r="CQ176" s="344"/>
      <c r="CR176" s="344"/>
      <c r="CS176" s="344"/>
      <c r="CT176" s="344"/>
      <c r="CU176" s="344"/>
      <c r="CV176" s="344"/>
      <c r="CW176" s="344"/>
      <c r="CX176" s="344"/>
      <c r="CY176" s="344"/>
      <c r="CZ176" s="344"/>
      <c r="DA176" s="344"/>
      <c r="DB176" s="344"/>
      <c r="DC176" s="344"/>
      <c r="DD176" s="344"/>
      <c r="DE176" s="344"/>
      <c r="DF176" s="344"/>
      <c r="DG176" s="344"/>
      <c r="DH176" s="344"/>
      <c r="DI176" s="344"/>
      <c r="DJ176" s="344"/>
      <c r="DK176" s="344"/>
      <c r="DL176" s="344"/>
      <c r="DM176" s="344"/>
      <c r="DN176" s="344"/>
      <c r="DO176" s="344"/>
      <c r="DP176" s="344"/>
      <c r="DQ176" s="344"/>
      <c r="DR176" s="344"/>
      <c r="DS176" s="344"/>
      <c r="DT176" s="344"/>
      <c r="DU176" s="344"/>
      <c r="DV176" s="344"/>
      <c r="DW176" s="344"/>
    </row>
    <row r="177" ht="15.0" customHeight="1">
      <c r="A177" s="372">
        <v>43215.0</v>
      </c>
      <c r="B177" s="384" t="s">
        <v>2821</v>
      </c>
      <c r="C177" s="384" t="s">
        <v>2822</v>
      </c>
      <c r="D177" s="384">
        <v>26.0</v>
      </c>
      <c r="E177" s="374">
        <f>IFERROR(__xludf.DUMMYFUNCTION("if(and(D177&lt;&gt;0,D177&lt;&gt;""""),D177/GOOGLEFINANCE(C177,""price"")-1,"""")"),-0.03596588802373002)</f>
        <v>-0.03596588802</v>
      </c>
      <c r="F177" s="375">
        <f>IFERROR(__xludf.DUMMYFUNCTION("GOOGLEFINANCE(C177,""price"")"),26.97)</f>
        <v>26.97</v>
      </c>
      <c r="G177" s="374">
        <f t="shared" si="6"/>
        <v>1.739508769</v>
      </c>
      <c r="H177" s="376"/>
      <c r="I177" s="368">
        <f t="shared" si="103"/>
        <v>73.8845515</v>
      </c>
      <c r="J177" s="377">
        <v>2.49</v>
      </c>
      <c r="K177" s="377">
        <v>2.95</v>
      </c>
      <c r="L177" s="378">
        <v>43465.0</v>
      </c>
      <c r="M177" s="379">
        <f t="shared" si="7"/>
        <v>-0.8201115781</v>
      </c>
      <c r="N177" s="380">
        <f t="shared" si="8"/>
        <v>3.327251326</v>
      </c>
      <c r="O177" s="370">
        <v>0.075</v>
      </c>
      <c r="P177" s="370"/>
      <c r="Q177" s="371"/>
      <c r="R177" s="378"/>
      <c r="S177" s="378">
        <v>43351.0</v>
      </c>
      <c r="T177" s="381" t="s">
        <v>1608</v>
      </c>
      <c r="U177" s="382" t="s">
        <v>2823</v>
      </c>
      <c r="V177" s="358"/>
      <c r="W177" s="358"/>
      <c r="X177" s="358"/>
      <c r="Y177" s="358"/>
      <c r="Z177" s="358"/>
      <c r="AA177" s="358"/>
      <c r="AB177" s="358"/>
      <c r="AC177" s="358"/>
      <c r="AD177" s="358"/>
      <c r="AE177" s="358"/>
      <c r="AF177" s="358"/>
      <c r="AG177" s="358"/>
      <c r="AH177" s="358"/>
      <c r="AI177" s="358"/>
      <c r="AJ177" s="358"/>
      <c r="AK177" s="358"/>
      <c r="AL177" s="358"/>
      <c r="AM177" s="358"/>
      <c r="AN177" s="358"/>
      <c r="AO177" s="358"/>
      <c r="AP177" s="358"/>
      <c r="AQ177" s="358"/>
      <c r="AR177" s="358"/>
      <c r="AS177" s="358"/>
      <c r="AT177" s="358"/>
      <c r="AU177" s="358"/>
      <c r="AV177" s="358"/>
      <c r="AW177" s="358"/>
      <c r="AX177" s="358"/>
      <c r="AY177" s="358"/>
      <c r="AZ177" s="358"/>
      <c r="BA177" s="358"/>
      <c r="BB177" s="358"/>
      <c r="BC177" s="358"/>
      <c r="BD177" s="358"/>
      <c r="BE177" s="358"/>
      <c r="BF177" s="358"/>
      <c r="BG177" s="358"/>
      <c r="BH177" s="358"/>
      <c r="BI177" s="358"/>
      <c r="BJ177" s="358"/>
      <c r="BK177" s="358"/>
      <c r="BL177" s="358"/>
      <c r="BM177" s="358"/>
      <c r="BN177" s="358"/>
      <c r="BO177" s="358"/>
      <c r="BP177" s="358"/>
      <c r="BQ177" s="358"/>
      <c r="BR177" s="358"/>
      <c r="BS177" s="358"/>
      <c r="BT177" s="358"/>
      <c r="BU177" s="358"/>
      <c r="BV177" s="358"/>
      <c r="BW177" s="358"/>
      <c r="BX177" s="358"/>
      <c r="BY177" s="358"/>
      <c r="BZ177" s="358"/>
      <c r="CA177" s="358"/>
      <c r="CB177" s="358"/>
      <c r="CC177" s="358"/>
      <c r="CD177" s="358"/>
      <c r="CE177" s="358"/>
      <c r="CF177" s="358"/>
      <c r="CG177" s="358"/>
      <c r="CH177" s="358"/>
      <c r="CI177" s="358"/>
      <c r="CJ177" s="358"/>
      <c r="CK177" s="358"/>
      <c r="CL177" s="358"/>
      <c r="CM177" s="358"/>
      <c r="CN177" s="358"/>
      <c r="CO177" s="358"/>
      <c r="CP177" s="358"/>
      <c r="CQ177" s="358"/>
      <c r="CR177" s="358"/>
      <c r="CS177" s="358"/>
      <c r="CT177" s="358"/>
      <c r="CU177" s="358"/>
      <c r="CV177" s="358"/>
      <c r="CW177" s="358"/>
      <c r="CX177" s="358"/>
      <c r="CY177" s="358"/>
      <c r="CZ177" s="358"/>
      <c r="DA177" s="358"/>
      <c r="DB177" s="358"/>
      <c r="DC177" s="358"/>
      <c r="DD177" s="358"/>
      <c r="DE177" s="358"/>
      <c r="DF177" s="358"/>
      <c r="DG177" s="358"/>
      <c r="DH177" s="358"/>
      <c r="DI177" s="358"/>
      <c r="DJ177" s="358"/>
      <c r="DK177" s="358"/>
      <c r="DL177" s="358"/>
      <c r="DM177" s="358"/>
      <c r="DN177" s="358"/>
      <c r="DO177" s="358"/>
      <c r="DP177" s="358"/>
      <c r="DQ177" s="358"/>
      <c r="DR177" s="358"/>
      <c r="DS177" s="358"/>
      <c r="DT177" s="358"/>
      <c r="DU177" s="358"/>
      <c r="DV177" s="358"/>
      <c r="DW177" s="358"/>
    </row>
    <row r="178" ht="15.0" customHeight="1">
      <c r="A178" s="366">
        <v>41283.0</v>
      </c>
      <c r="B178" s="367" t="s">
        <v>2824</v>
      </c>
      <c r="C178" s="367" t="s">
        <v>349</v>
      </c>
      <c r="D178" s="534"/>
      <c r="E178" s="345" t="str">
        <f>IFERROR(__xludf.DUMMYFUNCTION("if(and(D178&lt;&gt;0,D178&lt;&gt;""""),D178/GOOGLEFINANCE(C178,""price"")-1,"""")"),"")</f>
        <v/>
      </c>
      <c r="F178" s="364">
        <f>IFERROR(__xludf.DUMMYFUNCTION("GOOGLEFINANCE(C178,""price"")"),40.7)</f>
        <v>40.7</v>
      </c>
      <c r="G178" s="345" t="str">
        <f t="shared" si="6"/>
        <v/>
      </c>
      <c r="H178" s="347">
        <v>75.0</v>
      </c>
      <c r="I178" s="347"/>
      <c r="J178" s="349"/>
      <c r="K178" s="349"/>
      <c r="L178" s="350"/>
      <c r="M178" s="351">
        <f t="shared" si="7"/>
        <v>-119.9023034</v>
      </c>
      <c r="N178" s="349">
        <f t="shared" si="8"/>
        <v>0</v>
      </c>
      <c r="O178" s="350"/>
      <c r="P178" s="434"/>
      <c r="Q178" s="351"/>
      <c r="R178" s="435"/>
      <c r="S178" s="435"/>
      <c r="T178" s="435"/>
      <c r="U178" s="436" t="s">
        <v>2825</v>
      </c>
      <c r="V178" s="367"/>
      <c r="W178" s="367"/>
      <c r="X178" s="367"/>
      <c r="Y178" s="367"/>
      <c r="Z178" s="367"/>
      <c r="AA178" s="367"/>
      <c r="AB178" s="367"/>
      <c r="AC178" s="367"/>
      <c r="AD178" s="367"/>
      <c r="AE178" s="367"/>
      <c r="AF178" s="367"/>
      <c r="AG178" s="367"/>
      <c r="AH178" s="367"/>
      <c r="AI178" s="367"/>
      <c r="AJ178" s="367"/>
      <c r="AK178" s="367"/>
      <c r="AL178" s="367"/>
      <c r="AM178" s="367"/>
      <c r="AN178" s="367"/>
      <c r="AO178" s="367"/>
      <c r="AP178" s="367"/>
      <c r="AQ178" s="367"/>
      <c r="AR178" s="367"/>
      <c r="AS178" s="367"/>
      <c r="AT178" s="367"/>
      <c r="AU178" s="367"/>
      <c r="AV178" s="367"/>
      <c r="AW178" s="367"/>
      <c r="AX178" s="367"/>
      <c r="AY178" s="367"/>
      <c r="AZ178" s="367"/>
      <c r="BA178" s="367"/>
      <c r="BB178" s="367"/>
      <c r="BC178" s="367"/>
      <c r="BD178" s="367"/>
      <c r="BE178" s="367"/>
      <c r="BF178" s="367"/>
      <c r="BG178" s="367"/>
      <c r="BH178" s="367"/>
      <c r="BI178" s="367"/>
      <c r="BJ178" s="367"/>
      <c r="BK178" s="367"/>
      <c r="BL178" s="367"/>
      <c r="BM178" s="367"/>
      <c r="BN178" s="367"/>
      <c r="BO178" s="367"/>
      <c r="BP178" s="367"/>
      <c r="BQ178" s="367"/>
      <c r="BR178" s="367"/>
      <c r="BS178" s="367"/>
      <c r="BT178" s="367"/>
      <c r="BU178" s="367"/>
      <c r="BV178" s="367"/>
      <c r="BW178" s="367"/>
      <c r="BX178" s="367"/>
      <c r="BY178" s="367"/>
      <c r="BZ178" s="367"/>
      <c r="CA178" s="367"/>
      <c r="CB178" s="367"/>
      <c r="CC178" s="367"/>
      <c r="CD178" s="367"/>
      <c r="CE178" s="367"/>
      <c r="CF178" s="367"/>
      <c r="CG178" s="367"/>
      <c r="CH178" s="367"/>
      <c r="CI178" s="367"/>
      <c r="CJ178" s="367"/>
      <c r="CK178" s="367"/>
      <c r="CL178" s="367"/>
      <c r="CM178" s="367"/>
      <c r="CN178" s="367"/>
      <c r="CO178" s="367"/>
      <c r="CP178" s="367"/>
      <c r="CQ178" s="367"/>
      <c r="CR178" s="367"/>
      <c r="CS178" s="367"/>
      <c r="CT178" s="367"/>
      <c r="CU178" s="367"/>
      <c r="CV178" s="367"/>
      <c r="CW178" s="367"/>
      <c r="CX178" s="367"/>
      <c r="CY178" s="367"/>
      <c r="CZ178" s="367"/>
      <c r="DA178" s="367"/>
      <c r="DB178" s="367"/>
      <c r="DC178" s="367"/>
      <c r="DD178" s="367"/>
      <c r="DE178" s="367"/>
      <c r="DF178" s="367"/>
      <c r="DG178" s="367"/>
      <c r="DH178" s="367"/>
      <c r="DI178" s="367"/>
      <c r="DJ178" s="367"/>
      <c r="DK178" s="367"/>
      <c r="DL178" s="367"/>
      <c r="DM178" s="367"/>
      <c r="DN178" s="367"/>
      <c r="DO178" s="367"/>
      <c r="DP178" s="367"/>
      <c r="DQ178" s="367"/>
      <c r="DR178" s="367"/>
      <c r="DS178" s="367"/>
      <c r="DT178" s="367"/>
      <c r="DU178" s="367"/>
      <c r="DV178" s="367"/>
      <c r="DW178" s="367"/>
    </row>
    <row r="179" ht="15.0" customHeight="1">
      <c r="A179" s="456">
        <v>40432.0</v>
      </c>
      <c r="B179" s="457" t="s">
        <v>2827</v>
      </c>
      <c r="C179" s="457" t="s">
        <v>2828</v>
      </c>
      <c r="D179" s="458"/>
      <c r="E179" s="460" t="str">
        <f>IFERROR(__xludf.DUMMYFUNCTION("if(and(D179&lt;&gt;0,D179&lt;&gt;""""),D179/GOOGLEFINANCE(C179,""price"")-1,"""")"),"")</f>
        <v/>
      </c>
      <c r="F179" s="462">
        <f>IFERROR(__xludf.DUMMYFUNCTION("GOOGLEFINANCE(C179,""price"")"),171.63)</f>
        <v>171.63</v>
      </c>
      <c r="G179" s="460" t="str">
        <f t="shared" si="6"/>
        <v/>
      </c>
      <c r="H179" s="463">
        <v>40.0</v>
      </c>
      <c r="I179" s="463"/>
      <c r="J179" s="466"/>
      <c r="K179" s="466"/>
      <c r="L179" s="467"/>
      <c r="M179" s="469">
        <f t="shared" si="7"/>
        <v>-119.9023034</v>
      </c>
      <c r="N179" s="466">
        <f t="shared" si="8"/>
        <v>0</v>
      </c>
      <c r="O179" s="467"/>
      <c r="P179" s="471"/>
      <c r="Q179" s="469"/>
      <c r="R179" s="472"/>
      <c r="S179" s="472"/>
      <c r="T179" s="472"/>
      <c r="U179" s="473" t="s">
        <v>2829</v>
      </c>
      <c r="V179" s="319"/>
      <c r="W179" s="319"/>
      <c r="X179" s="319"/>
      <c r="Y179" s="319"/>
      <c r="Z179" s="319"/>
      <c r="AA179" s="319"/>
      <c r="AB179" s="319"/>
      <c r="AC179" s="319"/>
      <c r="AD179" s="319"/>
      <c r="AE179" s="319"/>
      <c r="AF179" s="319"/>
      <c r="AG179" s="319"/>
      <c r="AH179" s="319"/>
      <c r="AI179" s="319"/>
      <c r="AJ179" s="319"/>
      <c r="AK179" s="319"/>
      <c r="AL179" s="319"/>
      <c r="AM179" s="319"/>
      <c r="AN179" s="319"/>
      <c r="AO179" s="319"/>
      <c r="AP179" s="319"/>
      <c r="AQ179" s="319"/>
      <c r="AR179" s="319"/>
      <c r="AS179" s="319"/>
      <c r="AT179" s="319"/>
      <c r="AU179" s="319"/>
      <c r="AV179" s="319"/>
      <c r="AW179" s="319"/>
      <c r="AX179" s="319"/>
      <c r="AY179" s="319"/>
      <c r="AZ179" s="319"/>
      <c r="BA179" s="319"/>
      <c r="BB179" s="319"/>
      <c r="BC179" s="319"/>
      <c r="BD179" s="319"/>
      <c r="BE179" s="319"/>
      <c r="BF179" s="319"/>
      <c r="BG179" s="319"/>
      <c r="BH179" s="319"/>
      <c r="BI179" s="319"/>
      <c r="BJ179" s="319"/>
      <c r="BK179" s="319"/>
      <c r="BL179" s="319"/>
      <c r="BM179" s="319"/>
      <c r="BN179" s="319"/>
      <c r="BO179" s="319"/>
      <c r="BP179" s="319"/>
      <c r="BQ179" s="319"/>
      <c r="BR179" s="319"/>
      <c r="BS179" s="319"/>
      <c r="BT179" s="319"/>
      <c r="BU179" s="319"/>
      <c r="BV179" s="319"/>
      <c r="BW179" s="319"/>
      <c r="BX179" s="319"/>
      <c r="BY179" s="319"/>
      <c r="BZ179" s="319"/>
      <c r="CA179" s="319"/>
      <c r="CB179" s="319"/>
      <c r="CC179" s="319"/>
      <c r="CD179" s="319"/>
      <c r="CE179" s="319"/>
      <c r="CF179" s="319"/>
      <c r="CG179" s="319"/>
      <c r="CH179" s="319"/>
      <c r="CI179" s="319"/>
      <c r="CJ179" s="319"/>
      <c r="CK179" s="319"/>
      <c r="CL179" s="319"/>
      <c r="CM179" s="319"/>
      <c r="CN179" s="319"/>
      <c r="CO179" s="319"/>
      <c r="CP179" s="319"/>
      <c r="CQ179" s="319"/>
      <c r="CR179" s="319"/>
      <c r="CS179" s="319"/>
      <c r="CT179" s="319"/>
      <c r="CU179" s="319"/>
      <c r="CV179" s="319"/>
      <c r="CW179" s="319"/>
      <c r="CX179" s="319"/>
      <c r="CY179" s="319"/>
      <c r="CZ179" s="319"/>
      <c r="DA179" s="319"/>
      <c r="DB179" s="319"/>
      <c r="DC179" s="319"/>
      <c r="DD179" s="319"/>
      <c r="DE179" s="319"/>
      <c r="DF179" s="319"/>
      <c r="DG179" s="319"/>
      <c r="DH179" s="319"/>
      <c r="DI179" s="319"/>
      <c r="DJ179" s="319"/>
      <c r="DK179" s="319"/>
      <c r="DL179" s="319"/>
      <c r="DM179" s="319"/>
      <c r="DN179" s="319"/>
      <c r="DO179" s="319"/>
      <c r="DP179" s="319"/>
      <c r="DQ179" s="319"/>
      <c r="DR179" s="319"/>
      <c r="DS179" s="319"/>
      <c r="DT179" s="319"/>
      <c r="DU179" s="319"/>
      <c r="DV179" s="319"/>
      <c r="DW179" s="319"/>
    </row>
    <row r="180" ht="15.0" customHeight="1">
      <c r="A180" s="383">
        <v>41612.0</v>
      </c>
      <c r="B180" s="320" t="s">
        <v>2830</v>
      </c>
      <c r="C180" s="320" t="s">
        <v>1417</v>
      </c>
      <c r="D180" s="532"/>
      <c r="E180" s="374" t="str">
        <f>IFERROR(__xludf.DUMMYFUNCTION("if(and(D180&lt;&gt;0,D180&lt;&gt;""""),D180/GOOGLEFINANCE(C180,""price"")-1,"""")"),"")</f>
        <v/>
      </c>
      <c r="F180" s="375">
        <f>IFERROR(__xludf.DUMMYFUNCTION("GOOGLEFINANCE(C180,""price"")"),40.25)</f>
        <v>40.25</v>
      </c>
      <c r="G180" s="374" t="str">
        <f t="shared" si="6"/>
        <v/>
      </c>
      <c r="H180" s="376">
        <f>6.79*15</f>
        <v>101.85</v>
      </c>
      <c r="I180" s="376"/>
      <c r="J180" s="380"/>
      <c r="K180" s="380"/>
      <c r="L180" s="389"/>
      <c r="M180" s="379">
        <f t="shared" si="7"/>
        <v>-119.9023034</v>
      </c>
      <c r="N180" s="380">
        <f t="shared" si="8"/>
        <v>0</v>
      </c>
      <c r="O180" s="389"/>
      <c r="P180" s="415"/>
      <c r="Q180" s="379"/>
      <c r="R180" s="416"/>
      <c r="S180" s="416"/>
      <c r="T180" s="416"/>
      <c r="U180" s="417" t="s">
        <v>2831</v>
      </c>
      <c r="V180" s="367"/>
      <c r="W180" s="367"/>
      <c r="X180" s="367"/>
      <c r="Y180" s="367"/>
      <c r="Z180" s="367"/>
      <c r="AA180" s="367"/>
      <c r="AB180" s="367"/>
      <c r="AC180" s="367"/>
      <c r="AD180" s="367"/>
      <c r="AE180" s="367"/>
      <c r="AF180" s="367"/>
      <c r="AG180" s="367"/>
      <c r="AH180" s="367"/>
      <c r="AI180" s="367"/>
      <c r="AJ180" s="367"/>
      <c r="AK180" s="367"/>
      <c r="AL180" s="367"/>
      <c r="AM180" s="367"/>
      <c r="AN180" s="367"/>
      <c r="AO180" s="367"/>
      <c r="AP180" s="367"/>
      <c r="AQ180" s="367"/>
      <c r="AR180" s="367"/>
      <c r="AS180" s="367"/>
      <c r="AT180" s="367"/>
      <c r="AU180" s="367"/>
      <c r="AV180" s="367"/>
      <c r="AW180" s="367"/>
      <c r="AX180" s="367"/>
      <c r="AY180" s="367"/>
      <c r="AZ180" s="367"/>
      <c r="BA180" s="367"/>
      <c r="BB180" s="367"/>
      <c r="BC180" s="367"/>
      <c r="BD180" s="367"/>
      <c r="BE180" s="367"/>
      <c r="BF180" s="367"/>
      <c r="BG180" s="367"/>
      <c r="BH180" s="367"/>
      <c r="BI180" s="367"/>
      <c r="BJ180" s="367"/>
      <c r="BK180" s="367"/>
      <c r="BL180" s="367"/>
      <c r="BM180" s="367"/>
      <c r="BN180" s="367"/>
      <c r="BO180" s="367"/>
      <c r="BP180" s="367"/>
      <c r="BQ180" s="367"/>
      <c r="BR180" s="367"/>
      <c r="BS180" s="367"/>
      <c r="BT180" s="367"/>
      <c r="BU180" s="367"/>
      <c r="BV180" s="367"/>
      <c r="BW180" s="367"/>
      <c r="BX180" s="367"/>
      <c r="BY180" s="367"/>
      <c r="BZ180" s="367"/>
      <c r="CA180" s="367"/>
      <c r="CB180" s="367"/>
      <c r="CC180" s="367"/>
      <c r="CD180" s="367"/>
      <c r="CE180" s="367"/>
      <c r="CF180" s="367"/>
      <c r="CG180" s="367"/>
      <c r="CH180" s="367"/>
      <c r="CI180" s="367"/>
      <c r="CJ180" s="367"/>
      <c r="CK180" s="367"/>
      <c r="CL180" s="367"/>
      <c r="CM180" s="367"/>
      <c r="CN180" s="367"/>
      <c r="CO180" s="367"/>
      <c r="CP180" s="367"/>
      <c r="CQ180" s="367"/>
      <c r="CR180" s="367"/>
      <c r="CS180" s="367"/>
      <c r="CT180" s="367"/>
      <c r="CU180" s="367"/>
      <c r="CV180" s="367"/>
      <c r="CW180" s="367"/>
      <c r="CX180" s="367"/>
      <c r="CY180" s="367"/>
      <c r="CZ180" s="367"/>
      <c r="DA180" s="367"/>
      <c r="DB180" s="367"/>
      <c r="DC180" s="367"/>
      <c r="DD180" s="367"/>
      <c r="DE180" s="367"/>
      <c r="DF180" s="367"/>
      <c r="DG180" s="367"/>
      <c r="DH180" s="367"/>
      <c r="DI180" s="367"/>
      <c r="DJ180" s="367"/>
      <c r="DK180" s="367"/>
      <c r="DL180" s="367"/>
      <c r="DM180" s="367"/>
      <c r="DN180" s="367"/>
      <c r="DO180" s="367"/>
      <c r="DP180" s="367"/>
      <c r="DQ180" s="367"/>
      <c r="DR180" s="367"/>
      <c r="DS180" s="367"/>
      <c r="DT180" s="367"/>
      <c r="DU180" s="367"/>
      <c r="DV180" s="367"/>
      <c r="DW180" s="367"/>
    </row>
    <row r="181" ht="15.0" customHeight="1">
      <c r="A181" s="372">
        <v>42758.0</v>
      </c>
      <c r="B181" s="384" t="s">
        <v>2832</v>
      </c>
      <c r="C181" s="384" t="s">
        <v>2833</v>
      </c>
      <c r="D181" s="373">
        <v>59.0</v>
      </c>
      <c r="E181" s="374">
        <f>IFERROR(__xludf.DUMMYFUNCTION("if(and(D181&lt;&gt;0,D181&lt;&gt;""""),D181/GOOGLEFINANCE(C181,""price"")-1,"""")"),0.022530329289428108)</f>
        <v>0.02253032929</v>
      </c>
      <c r="F181" s="375">
        <f>IFERROR(__xludf.DUMMYFUNCTION("GOOGLEFINANCE(C181,""price"")"),57.7)</f>
        <v>57.7</v>
      </c>
      <c r="G181" s="374">
        <f t="shared" si="6"/>
        <v>0.1158114043</v>
      </c>
      <c r="H181" s="376"/>
      <c r="I181" s="368">
        <f>sum(CY181:DS181)</f>
        <v>64.38231803</v>
      </c>
      <c r="J181" s="377">
        <v>1.2</v>
      </c>
      <c r="K181" s="377">
        <v>1.48</v>
      </c>
      <c r="L181" s="378">
        <v>43861.0</v>
      </c>
      <c r="M181" s="379">
        <f t="shared" si="7"/>
        <v>0.2648199288</v>
      </c>
      <c r="N181" s="380">
        <f t="shared" si="8"/>
        <v>1.40585042</v>
      </c>
      <c r="O181" s="370">
        <v>0.4</v>
      </c>
      <c r="P181" s="370">
        <v>0.2</v>
      </c>
      <c r="Q181" s="371">
        <f>I181/N181</f>
        <v>45.79599445</v>
      </c>
      <c r="R181" s="381">
        <v>6.0</v>
      </c>
      <c r="S181" s="378">
        <v>43733.0</v>
      </c>
      <c r="T181" s="381" t="s">
        <v>1608</v>
      </c>
      <c r="U181" s="382" t="s">
        <v>2835</v>
      </c>
      <c r="V181" s="961">
        <f>O181</f>
        <v>0.4</v>
      </c>
      <c r="W181" s="962">
        <f>max(min(Valu!$C$15,$O181),$O181-max($O181-Valu!$C$15,0)/$R181*(W$3-1))</f>
        <v>0.3383333333</v>
      </c>
      <c r="X181" s="962">
        <f>max(min(Valu!$C$15,$O181),$O181-max($O181-Valu!$C$15,0)/$R181*(X$3-1))</f>
        <v>0.2766666667</v>
      </c>
      <c r="Y181" s="962">
        <f>max(min(Valu!$C$15,$O181),$O181-max($O181-Valu!$C$15,0)/$R181*(Y$3-1))</f>
        <v>0.215</v>
      </c>
      <c r="Z181" s="962">
        <f>max(min(Valu!$C$15,$O181),$O181-max($O181-Valu!$C$15,0)/$R181*(Z$3-1))</f>
        <v>0.1533333333</v>
      </c>
      <c r="AA181" s="962">
        <f>max(min(Valu!$C$15,$O181),$O181-max($O181-Valu!$C$15,0)/$R181*(AA$3-1))</f>
        <v>0.09166666667</v>
      </c>
      <c r="AB181" s="962">
        <f>max(min(Valu!$C$15,$O181),$O181-max($O181-Valu!$C$15,0)/$R181*(AB$3-1))</f>
        <v>0.03</v>
      </c>
      <c r="AC181" s="962">
        <f>max(min(Valu!$C$15,$O181),$O181-max($O181-Valu!$C$15,0)/$R181*(AC$3-1))</f>
        <v>0.03</v>
      </c>
      <c r="AD181" s="962">
        <f>max(min(Valu!$C$15,$O181),$O181-max($O181-Valu!$C$15,0)/$R181*(AD$3-1))</f>
        <v>0.03</v>
      </c>
      <c r="AE181" s="962">
        <f>max(min(Valu!$C$15,$O181),$O181-max($O181-Valu!$C$15,0)/$R181*(AE$3-1))</f>
        <v>0.03</v>
      </c>
      <c r="AF181" s="962">
        <f>max(min(Valu!$C$15,$O181),$O181-max($O181-Valu!$C$15,0)/$R181*(AF$3-1))</f>
        <v>0.03</v>
      </c>
      <c r="AG181" s="962">
        <f>max(min(Valu!$C$15,$O181),$O181-max($O181-Valu!$C$15,0)/$R181*(AG$3-1))</f>
        <v>0.03</v>
      </c>
      <c r="AH181" s="962">
        <f>max(min(Valu!$C$15,$O181),$O181-max($O181-Valu!$C$15,0)/$R181*(AH$3-1))</f>
        <v>0.03</v>
      </c>
      <c r="AI181" s="962">
        <f>max(min(Valu!$C$15,$O181),$O181-max($O181-Valu!$C$15,0)/$R181*(AI$3-1))</f>
        <v>0.03</v>
      </c>
      <c r="AJ181" s="962">
        <f>max(min(Valu!$C$15,$O181),$O181-max($O181-Valu!$C$15,0)/$R181*(AJ$3-1))</f>
        <v>0.03</v>
      </c>
      <c r="AK181" s="962">
        <f>max(min(Valu!$C$15,$O181),$O181-max($O181-Valu!$C$15,0)/$R181*(AK$3-1))</f>
        <v>0.03</v>
      </c>
      <c r="AL181" s="962">
        <f>max(min(Valu!$C$15,$O181),$O181-max($O181-Valu!$C$15,0)/$R181*(AL$3-1))</f>
        <v>0.03</v>
      </c>
      <c r="AM181" s="962">
        <f>max(min(Valu!$C$15,$O181),$O181-max($O181-Valu!$C$15,0)/$R181*(AM$3-1))</f>
        <v>0.03</v>
      </c>
      <c r="AN181" s="962">
        <f>max(min(Valu!$C$15,$O181),$O181-max($O181-Valu!$C$15,0)/$R181*(AN$3-1))</f>
        <v>0.03</v>
      </c>
      <c r="AO181" s="962">
        <f>max(min(Valu!$C$15,$O181),$O181-max($O181-Valu!$C$15,0)/$R181*(AO$3-1))</f>
        <v>0.03</v>
      </c>
      <c r="AP181" s="962">
        <f>max(min(Valu!$C$14,$P181),$P181-max($P181-Valu!$C$14,0)/$R181*(AP$3-1))</f>
        <v>0.2</v>
      </c>
      <c r="AQ181" s="962">
        <f>max(min(Valu!$C$14,$P181),$P181-max($P181-Valu!$C$14,0)/$R181*(AQ$3-1))</f>
        <v>0.1866666667</v>
      </c>
      <c r="AR181" s="962">
        <f>max(min(Valu!$C$14,$P181),$P181-max($P181-Valu!$C$14,0)/$R181*(AR$3-1))</f>
        <v>0.1733333333</v>
      </c>
      <c r="AS181" s="962">
        <f>max(min(Valu!$C$14,$P181),$P181-max($P181-Valu!$C$14,0)/$R181*(AS$3-1))</f>
        <v>0.16</v>
      </c>
      <c r="AT181" s="962">
        <f>max(min(Valu!$C$14,$P181),$P181-max($P181-Valu!$C$14,0)/$R181*(AT$3-1))</f>
        <v>0.1466666667</v>
      </c>
      <c r="AU181" s="962">
        <f>max(min(Valu!$C$14,$P181),$P181-max($P181-Valu!$C$14,0)/$R181*(AU$3-1))</f>
        <v>0.1333333333</v>
      </c>
      <c r="AV181" s="962">
        <f>max(min(Valu!$C$14,$P181),$P181-max($P181-Valu!$C$14,0)/$R181*(AV$3-1))</f>
        <v>0.12</v>
      </c>
      <c r="AW181" s="962">
        <f>max(min(Valu!$C$14,$P181),$P181-max($P181-Valu!$C$14,0)/$R181*(AW$3-1))</f>
        <v>0.12</v>
      </c>
      <c r="AX181" s="962">
        <f>max(min(Valu!$C$14,$P181),$P181-max($P181-Valu!$C$14,0)/$R181*(AX$3-1))</f>
        <v>0.12</v>
      </c>
      <c r="AY181" s="962">
        <f>max(min(Valu!$C$14,$P181),$P181-max($P181-Valu!$C$14,0)/$R181*(AY$3-1))</f>
        <v>0.12</v>
      </c>
      <c r="AZ181" s="962">
        <f>max(min(Valu!$C$14,$P181),$P181-max($P181-Valu!$C$14,0)/$R181*(AZ$3-1))</f>
        <v>0.12</v>
      </c>
      <c r="BA181" s="962">
        <f>max(min(Valu!$C$14,$P181),$P181-max($P181-Valu!$C$14,0)/$R181*(BA$3-1))</f>
        <v>0.12</v>
      </c>
      <c r="BB181" s="962">
        <f>max(min(Valu!$C$14,$P181),$P181-max($P181-Valu!$C$14,0)/$R181*(BB$3-1))</f>
        <v>0.12</v>
      </c>
      <c r="BC181" s="962">
        <f>max(min(Valu!$C$14,$P181),$P181-max($P181-Valu!$C$14,0)/$R181*(BC$3-1))</f>
        <v>0.12</v>
      </c>
      <c r="BD181" s="962">
        <f>max(min(Valu!$C$14,$P181),$P181-max($P181-Valu!$C$14,0)/$R181*(BD$3-1))</f>
        <v>0.12</v>
      </c>
      <c r="BE181" s="962">
        <f>max(min(Valu!$C$14,$P181),$P181-max($P181-Valu!$C$14,0)/$R181*(BE$3-1))</f>
        <v>0.12</v>
      </c>
      <c r="BF181" s="962">
        <f>max(min(Valu!$C$14,$P181),$P181-max($P181-Valu!$C$14,0)/$R181*(BF$3-1))</f>
        <v>0.12</v>
      </c>
      <c r="BG181" s="962">
        <f>max(min(Valu!$C$14,$P181),$P181-max($P181-Valu!$C$14,0)/$R181*(BG$3-1))</f>
        <v>0.12</v>
      </c>
      <c r="BH181" s="962">
        <f>max(min(Valu!$C$14,$P181),$P181-max($P181-Valu!$C$14,0)/$R181*(BH$3-1))</f>
        <v>0.12</v>
      </c>
      <c r="BI181" s="962">
        <f>max(min(Valu!$C$14,$P181),$P181-max($P181-Valu!$C$14,0)/$R181*(BI$3-1))</f>
        <v>0.12</v>
      </c>
      <c r="BJ181" s="965">
        <f>N181</f>
        <v>1.40585042</v>
      </c>
      <c r="BK181" s="966">
        <f>$BJ181*(1+V181)</f>
        <v>1.968190588</v>
      </c>
      <c r="BL181" s="966">
        <f t="shared" ref="BL181:CC181" si="104">BK181*(1+W181)</f>
        <v>2.63409507</v>
      </c>
      <c r="BM181" s="966">
        <f t="shared" si="104"/>
        <v>3.362861373</v>
      </c>
      <c r="BN181" s="966">
        <f t="shared" si="104"/>
        <v>4.085876568</v>
      </c>
      <c r="BO181" s="966">
        <f t="shared" si="104"/>
        <v>4.712377642</v>
      </c>
      <c r="BP181" s="966">
        <f t="shared" si="104"/>
        <v>5.144345592</v>
      </c>
      <c r="BQ181" s="966">
        <f t="shared" si="104"/>
        <v>5.29867596</v>
      </c>
      <c r="BR181" s="966">
        <f t="shared" si="104"/>
        <v>5.457636239</v>
      </c>
      <c r="BS181" s="966">
        <f t="shared" si="104"/>
        <v>5.621365326</v>
      </c>
      <c r="BT181" s="966">
        <f t="shared" si="104"/>
        <v>5.790006286</v>
      </c>
      <c r="BU181" s="966">
        <f t="shared" si="104"/>
        <v>5.963706474</v>
      </c>
      <c r="BV181" s="966">
        <f t="shared" si="104"/>
        <v>6.142617669</v>
      </c>
      <c r="BW181" s="966">
        <f t="shared" si="104"/>
        <v>6.326896199</v>
      </c>
      <c r="BX181" s="966">
        <f t="shared" si="104"/>
        <v>6.516703085</v>
      </c>
      <c r="BY181" s="966">
        <f t="shared" si="104"/>
        <v>6.712204177</v>
      </c>
      <c r="BZ181" s="966">
        <f t="shared" si="104"/>
        <v>6.913570303</v>
      </c>
      <c r="CA181" s="966">
        <f t="shared" si="104"/>
        <v>7.120977412</v>
      </c>
      <c r="CB181" s="966">
        <f t="shared" si="104"/>
        <v>7.334606734</v>
      </c>
      <c r="CC181" s="966">
        <f t="shared" si="104"/>
        <v>7.554644936</v>
      </c>
      <c r="CD181" s="966">
        <f t="shared" ref="CD181:CW181" si="105">BJ181*(1-V181/AP181)</f>
        <v>-1.40585042</v>
      </c>
      <c r="CE181" s="966">
        <f t="shared" si="105"/>
        <v>-1.599154853</v>
      </c>
      <c r="CF181" s="966">
        <f t="shared" si="105"/>
        <v>-1.570325907</v>
      </c>
      <c r="CG181" s="966">
        <f t="shared" si="105"/>
        <v>-1.155983597</v>
      </c>
      <c r="CH181" s="966">
        <f t="shared" si="105"/>
        <v>-0.1857216622</v>
      </c>
      <c r="CI181" s="966">
        <f t="shared" si="105"/>
        <v>1.472618013</v>
      </c>
      <c r="CJ181" s="966">
        <f t="shared" si="105"/>
        <v>3.858259194</v>
      </c>
      <c r="CK181" s="966">
        <f t="shared" si="105"/>
        <v>3.97400697</v>
      </c>
      <c r="CL181" s="966">
        <f t="shared" si="105"/>
        <v>4.093227179</v>
      </c>
      <c r="CM181" s="966">
        <f t="shared" si="105"/>
        <v>4.216023995</v>
      </c>
      <c r="CN181" s="966">
        <f t="shared" si="105"/>
        <v>4.342504714</v>
      </c>
      <c r="CO181" s="966">
        <f t="shared" si="105"/>
        <v>4.472779856</v>
      </c>
      <c r="CP181" s="966">
        <f t="shared" si="105"/>
        <v>4.606963252</v>
      </c>
      <c r="CQ181" s="966">
        <f t="shared" si="105"/>
        <v>4.745172149</v>
      </c>
      <c r="CR181" s="966">
        <f t="shared" si="105"/>
        <v>4.887527314</v>
      </c>
      <c r="CS181" s="966">
        <f t="shared" si="105"/>
        <v>5.034153133</v>
      </c>
      <c r="CT181" s="966">
        <f t="shared" si="105"/>
        <v>5.185177727</v>
      </c>
      <c r="CU181" s="966">
        <f t="shared" si="105"/>
        <v>5.340733059</v>
      </c>
      <c r="CV181" s="966">
        <f t="shared" si="105"/>
        <v>5.500955051</v>
      </c>
      <c r="CW181" s="966">
        <f t="shared" si="105"/>
        <v>5.665983702</v>
      </c>
      <c r="CX181" s="966">
        <f>CW181*(1+min(Valu!$C$15,$O181))/(Valu!$C$21-min(Valu!$C$15,$O181))</f>
        <v>153.5779793</v>
      </c>
      <c r="CY181" s="966">
        <f>CD181/(1+Valu!$C$21)^CY$3</f>
        <v>-1.316339345</v>
      </c>
      <c r="CZ181" s="966">
        <f>CE181/(1+Valu!$C$21)^CZ$3</f>
        <v>-1.402000004</v>
      </c>
      <c r="DA181" s="966">
        <f>CF181/(1+Valu!$C$21)^DA$3</f>
        <v>-1.289068624</v>
      </c>
      <c r="DB181" s="966">
        <f>CG181/(1+Valu!$C$21)^DB$3</f>
        <v>-0.8885188807</v>
      </c>
      <c r="DC181" s="966">
        <f>CH181/(1+Valu!$C$21)^DC$3</f>
        <v>-0.1336614901</v>
      </c>
      <c r="DD181" s="966">
        <f>CI181/(1+Valu!$C$21)^DD$3</f>
        <v>0.9923447864</v>
      </c>
      <c r="DE181" s="966">
        <f>CJ181/(1+Valu!$C$21)^DE$3</f>
        <v>2.434403877</v>
      </c>
      <c r="DF181" s="966">
        <f>CK181/(1+Valu!$C$21)^DF$3</f>
        <v>2.34778651</v>
      </c>
      <c r="DG181" s="966">
        <f>CL181/(1+Valu!$C$21)^DG$3</f>
        <v>2.264251035</v>
      </c>
      <c r="DH181" s="966">
        <f>CM181/(1+Valu!$C$21)^DH$3</f>
        <v>2.183687796</v>
      </c>
      <c r="DI181" s="966">
        <f>CN181/(1+Valu!$C$21)^DI$3</f>
        <v>2.105991039</v>
      </c>
      <c r="DJ181" s="966">
        <f>CO181/(1+Valu!$C$21)^DJ$3</f>
        <v>2.031058774</v>
      </c>
      <c r="DK181" s="966">
        <f>CP181/(1+Valu!$C$21)^DK$3</f>
        <v>1.958792638</v>
      </c>
      <c r="DL181" s="966">
        <f>CQ181/(1+Valu!$C$21)^DL$3</f>
        <v>1.889097769</v>
      </c>
      <c r="DM181" s="966">
        <f>CR181/(1+Valu!$C$21)^DM$3</f>
        <v>1.821882679</v>
      </c>
      <c r="DN181" s="966">
        <f>CS181/(1+Valu!$C$21)^DN$3</f>
        <v>1.757059138</v>
      </c>
      <c r="DO181" s="966">
        <f>CT181/(1+Valu!$C$21)^DO$3</f>
        <v>1.694542053</v>
      </c>
      <c r="DP181" s="966">
        <f>CU181/(1+Valu!$C$21)^DP$3</f>
        <v>1.634249358</v>
      </c>
      <c r="DQ181" s="966">
        <f>CV181/(1+Valu!$C$21)^DQ$3</f>
        <v>1.576101909</v>
      </c>
      <c r="DR181" s="966">
        <f>CW181/(1+Valu!$C$21)^DR$3</f>
        <v>1.520023377</v>
      </c>
      <c r="DS181" s="966">
        <f>CX181/(1+Valu!$C$21)^DS$3</f>
        <v>41.20063363</v>
      </c>
      <c r="DT181" s="358"/>
      <c r="DU181" s="358"/>
      <c r="DV181" s="358"/>
      <c r="DW181" s="358"/>
    </row>
    <row r="182" ht="15.0" customHeight="1">
      <c r="A182" s="372">
        <v>42489.0</v>
      </c>
      <c r="B182" s="384" t="s">
        <v>2843</v>
      </c>
      <c r="C182" s="384" t="s">
        <v>2844</v>
      </c>
      <c r="D182" s="532"/>
      <c r="E182" s="374" t="str">
        <f>IFERROR(__xludf.DUMMYFUNCTION("if(and(D182&lt;&gt;0,D182&lt;&gt;""""),D182/GOOGLEFINANCE(C182,""price"")-1,"""")"),"")</f>
        <v/>
      </c>
      <c r="F182" s="375">
        <f>IFERROR(__xludf.DUMMYFUNCTION("GOOGLEFINANCE(C182,""price"")"),40.57)</f>
        <v>40.57</v>
      </c>
      <c r="G182" s="374">
        <f t="shared" si="6"/>
        <v>-0.007380127304</v>
      </c>
      <c r="H182" s="376"/>
      <c r="I182" s="376">
        <f>1.63*($I$1+10)</f>
        <v>40.27058824</v>
      </c>
      <c r="J182" s="380"/>
      <c r="K182" s="380"/>
      <c r="L182" s="389"/>
      <c r="M182" s="379">
        <f t="shared" si="7"/>
        <v>-119.9023034</v>
      </c>
      <c r="N182" s="380">
        <f t="shared" si="8"/>
        <v>0</v>
      </c>
      <c r="O182" s="389"/>
      <c r="P182" s="415"/>
      <c r="Q182" s="379"/>
      <c r="R182" s="416"/>
      <c r="S182" s="416"/>
      <c r="T182" s="416"/>
      <c r="U182" s="417"/>
      <c r="V182" s="367"/>
      <c r="W182" s="367"/>
      <c r="X182" s="367"/>
      <c r="Y182" s="367"/>
      <c r="Z182" s="367"/>
      <c r="AA182" s="367"/>
      <c r="AB182" s="367"/>
      <c r="AC182" s="367"/>
      <c r="AD182" s="367"/>
      <c r="AE182" s="367"/>
      <c r="AF182" s="367"/>
      <c r="AG182" s="367"/>
      <c r="AH182" s="367"/>
      <c r="AI182" s="367"/>
      <c r="AJ182" s="367"/>
      <c r="AK182" s="367"/>
      <c r="AL182" s="367"/>
      <c r="AM182" s="367"/>
      <c r="AN182" s="367"/>
      <c r="AO182" s="367"/>
      <c r="AP182" s="367"/>
      <c r="AQ182" s="367"/>
      <c r="AR182" s="367"/>
      <c r="AS182" s="367"/>
      <c r="AT182" s="367"/>
      <c r="AU182" s="367"/>
      <c r="AV182" s="367"/>
      <c r="AW182" s="367"/>
      <c r="AX182" s="367"/>
      <c r="AY182" s="367"/>
      <c r="AZ182" s="367"/>
      <c r="BA182" s="367"/>
      <c r="BB182" s="367"/>
      <c r="BC182" s="367"/>
      <c r="BD182" s="367"/>
      <c r="BE182" s="367"/>
      <c r="BF182" s="367"/>
      <c r="BG182" s="367"/>
      <c r="BH182" s="367"/>
      <c r="BI182" s="367"/>
      <c r="BJ182" s="367"/>
      <c r="BK182" s="367"/>
      <c r="BL182" s="367"/>
      <c r="BM182" s="367"/>
      <c r="BN182" s="367"/>
      <c r="BO182" s="367"/>
      <c r="BP182" s="367"/>
      <c r="BQ182" s="367"/>
      <c r="BR182" s="367"/>
      <c r="BS182" s="367"/>
      <c r="BT182" s="367"/>
      <c r="BU182" s="367"/>
      <c r="BV182" s="367"/>
      <c r="BW182" s="367"/>
      <c r="BX182" s="367"/>
      <c r="BY182" s="367"/>
      <c r="BZ182" s="367"/>
      <c r="CA182" s="367"/>
      <c r="CB182" s="367"/>
      <c r="CC182" s="367"/>
      <c r="CD182" s="367"/>
      <c r="CE182" s="367"/>
      <c r="CF182" s="367"/>
      <c r="CG182" s="367"/>
      <c r="CH182" s="367"/>
      <c r="CI182" s="367"/>
      <c r="CJ182" s="367"/>
      <c r="CK182" s="367"/>
      <c r="CL182" s="367"/>
      <c r="CM182" s="367"/>
      <c r="CN182" s="367"/>
      <c r="CO182" s="367"/>
      <c r="CP182" s="367"/>
      <c r="CQ182" s="367"/>
      <c r="CR182" s="367"/>
      <c r="CS182" s="367"/>
      <c r="CT182" s="367"/>
      <c r="CU182" s="367"/>
      <c r="CV182" s="367"/>
      <c r="CW182" s="367"/>
      <c r="CX182" s="367"/>
      <c r="CY182" s="367"/>
      <c r="CZ182" s="367"/>
      <c r="DA182" s="367"/>
      <c r="DB182" s="367"/>
      <c r="DC182" s="367"/>
      <c r="DD182" s="367"/>
      <c r="DE182" s="367"/>
      <c r="DF182" s="367"/>
      <c r="DG182" s="367"/>
      <c r="DH182" s="367"/>
      <c r="DI182" s="367"/>
      <c r="DJ182" s="367"/>
      <c r="DK182" s="367"/>
      <c r="DL182" s="367"/>
      <c r="DM182" s="367"/>
      <c r="DN182" s="367"/>
      <c r="DO182" s="367"/>
      <c r="DP182" s="367"/>
      <c r="DQ182" s="367"/>
      <c r="DR182" s="367"/>
      <c r="DS182" s="367"/>
      <c r="DT182" s="367"/>
      <c r="DU182" s="367"/>
      <c r="DV182" s="367"/>
      <c r="DW182" s="367"/>
    </row>
    <row r="183" ht="15.0" customHeight="1">
      <c r="A183" s="388">
        <v>43615.0</v>
      </c>
      <c r="B183" s="373" t="s">
        <v>2846</v>
      </c>
      <c r="C183" s="373" t="s">
        <v>1304</v>
      </c>
      <c r="D183" s="532"/>
      <c r="E183" s="374" t="str">
        <f>IFERROR(__xludf.DUMMYFUNCTION("if(and(D183&lt;&gt;0,D183&lt;&gt;""""),D183/GOOGLEFINANCE(C183,""price"")-1,"""")"),"")</f>
        <v/>
      </c>
      <c r="F183" s="375">
        <f>IFERROR(__xludf.DUMMYFUNCTION("GOOGLEFINANCE(C183,""price"")"),143.31)</f>
        <v>143.31</v>
      </c>
      <c r="G183" s="374">
        <f t="shared" si="6"/>
        <v>-0.03254269581</v>
      </c>
      <c r="H183" s="376"/>
      <c r="I183" s="368">
        <f t="shared" ref="I183:I184" si="108">sum(CY183:DS183)</f>
        <v>138.6463063</v>
      </c>
      <c r="J183" s="377">
        <v>5.76</v>
      </c>
      <c r="K183" s="377">
        <v>6.13</v>
      </c>
      <c r="L183" s="378">
        <v>43830.0</v>
      </c>
      <c r="M183" s="379">
        <f t="shared" si="7"/>
        <v>0.1798884245</v>
      </c>
      <c r="N183" s="380">
        <f t="shared" si="8"/>
        <v>6.063441283</v>
      </c>
      <c r="O183" s="370">
        <v>0.075</v>
      </c>
      <c r="P183" s="370">
        <v>0.2</v>
      </c>
      <c r="Q183" s="371">
        <f t="shared" ref="Q183:Q184" si="109">I183/N183</f>
        <v>22.86594358</v>
      </c>
      <c r="R183" s="381">
        <v>8.0</v>
      </c>
      <c r="S183" s="378">
        <v>43680.0</v>
      </c>
      <c r="T183" s="381" t="s">
        <v>1223</v>
      </c>
      <c r="U183" s="382" t="s">
        <v>2847</v>
      </c>
      <c r="V183" s="961">
        <f t="shared" ref="V183:V184" si="110">O183</f>
        <v>0.075</v>
      </c>
      <c r="W183" s="962">
        <f>max(min(Valu!$C$15,$O183),$O183-max($O183-Valu!$C$15,0)/$R183*(W$3-1))</f>
        <v>0.069375</v>
      </c>
      <c r="X183" s="962">
        <f>max(min(Valu!$C$15,$O183),$O183-max($O183-Valu!$C$15,0)/$R183*(X$3-1))</f>
        <v>0.06375</v>
      </c>
      <c r="Y183" s="962">
        <f>max(min(Valu!$C$15,$O183),$O183-max($O183-Valu!$C$15,0)/$R183*(Y$3-1))</f>
        <v>0.058125</v>
      </c>
      <c r="Z183" s="962">
        <f>max(min(Valu!$C$15,$O183),$O183-max($O183-Valu!$C$15,0)/$R183*(Z$3-1))</f>
        <v>0.0525</v>
      </c>
      <c r="AA183" s="962">
        <f>max(min(Valu!$C$15,$O183),$O183-max($O183-Valu!$C$15,0)/$R183*(AA$3-1))</f>
        <v>0.046875</v>
      </c>
      <c r="AB183" s="962">
        <f>max(min(Valu!$C$15,$O183),$O183-max($O183-Valu!$C$15,0)/$R183*(AB$3-1))</f>
        <v>0.04125</v>
      </c>
      <c r="AC183" s="962">
        <f>max(min(Valu!$C$15,$O183),$O183-max($O183-Valu!$C$15,0)/$R183*(AC$3-1))</f>
        <v>0.035625</v>
      </c>
      <c r="AD183" s="962">
        <f>max(min(Valu!$C$15,$O183),$O183-max($O183-Valu!$C$15,0)/$R183*(AD$3-1))</f>
        <v>0.03</v>
      </c>
      <c r="AE183" s="962">
        <f>max(min(Valu!$C$15,$O183),$O183-max($O183-Valu!$C$15,0)/$R183*(AE$3-1))</f>
        <v>0.03</v>
      </c>
      <c r="AF183" s="962">
        <f>max(min(Valu!$C$15,$O183),$O183-max($O183-Valu!$C$15,0)/$R183*(AF$3-1))</f>
        <v>0.03</v>
      </c>
      <c r="AG183" s="962">
        <f>max(min(Valu!$C$15,$O183),$O183-max($O183-Valu!$C$15,0)/$R183*(AG$3-1))</f>
        <v>0.03</v>
      </c>
      <c r="AH183" s="962">
        <f>max(min(Valu!$C$15,$O183),$O183-max($O183-Valu!$C$15,0)/$R183*(AH$3-1))</f>
        <v>0.03</v>
      </c>
      <c r="AI183" s="962">
        <f>max(min(Valu!$C$15,$O183),$O183-max($O183-Valu!$C$15,0)/$R183*(AI$3-1))</f>
        <v>0.03</v>
      </c>
      <c r="AJ183" s="962">
        <f>max(min(Valu!$C$15,$O183),$O183-max($O183-Valu!$C$15,0)/$R183*(AJ$3-1))</f>
        <v>0.03</v>
      </c>
      <c r="AK183" s="962">
        <f>max(min(Valu!$C$15,$O183),$O183-max($O183-Valu!$C$15,0)/$R183*(AK$3-1))</f>
        <v>0.03</v>
      </c>
      <c r="AL183" s="962">
        <f>max(min(Valu!$C$15,$O183),$O183-max($O183-Valu!$C$15,0)/$R183*(AL$3-1))</f>
        <v>0.03</v>
      </c>
      <c r="AM183" s="962">
        <f>max(min(Valu!$C$15,$O183),$O183-max($O183-Valu!$C$15,0)/$R183*(AM$3-1))</f>
        <v>0.03</v>
      </c>
      <c r="AN183" s="962">
        <f>max(min(Valu!$C$15,$O183),$O183-max($O183-Valu!$C$15,0)/$R183*(AN$3-1))</f>
        <v>0.03</v>
      </c>
      <c r="AO183" s="962">
        <f>max(min(Valu!$C$15,$O183),$O183-max($O183-Valu!$C$15,0)/$R183*(AO$3-1))</f>
        <v>0.03</v>
      </c>
      <c r="AP183" s="962">
        <f>max(min(Valu!$C$14,$P183),$P183-max($P183-Valu!$C$14,0)/$R183*(AP$3-1))</f>
        <v>0.2</v>
      </c>
      <c r="AQ183" s="962">
        <f>max(min(Valu!$C$14,$P183),$P183-max($P183-Valu!$C$14,0)/$R183*(AQ$3-1))</f>
        <v>0.19</v>
      </c>
      <c r="AR183" s="962">
        <f>max(min(Valu!$C$14,$P183),$P183-max($P183-Valu!$C$14,0)/$R183*(AR$3-1))</f>
        <v>0.18</v>
      </c>
      <c r="AS183" s="962">
        <f>max(min(Valu!$C$14,$P183),$P183-max($P183-Valu!$C$14,0)/$R183*(AS$3-1))</f>
        <v>0.17</v>
      </c>
      <c r="AT183" s="962">
        <f>max(min(Valu!$C$14,$P183),$P183-max($P183-Valu!$C$14,0)/$R183*(AT$3-1))</f>
        <v>0.16</v>
      </c>
      <c r="AU183" s="962">
        <f>max(min(Valu!$C$14,$P183),$P183-max($P183-Valu!$C$14,0)/$R183*(AU$3-1))</f>
        <v>0.15</v>
      </c>
      <c r="AV183" s="962">
        <f>max(min(Valu!$C$14,$P183),$P183-max($P183-Valu!$C$14,0)/$R183*(AV$3-1))</f>
        <v>0.14</v>
      </c>
      <c r="AW183" s="962">
        <f>max(min(Valu!$C$14,$P183),$P183-max($P183-Valu!$C$14,0)/$R183*(AW$3-1))</f>
        <v>0.13</v>
      </c>
      <c r="AX183" s="962">
        <f>max(min(Valu!$C$14,$P183),$P183-max($P183-Valu!$C$14,0)/$R183*(AX$3-1))</f>
        <v>0.12</v>
      </c>
      <c r="AY183" s="962">
        <f>max(min(Valu!$C$14,$P183),$P183-max($P183-Valu!$C$14,0)/$R183*(AY$3-1))</f>
        <v>0.12</v>
      </c>
      <c r="AZ183" s="962">
        <f>max(min(Valu!$C$14,$P183),$P183-max($P183-Valu!$C$14,0)/$R183*(AZ$3-1))</f>
        <v>0.12</v>
      </c>
      <c r="BA183" s="962">
        <f>max(min(Valu!$C$14,$P183),$P183-max($P183-Valu!$C$14,0)/$R183*(BA$3-1))</f>
        <v>0.12</v>
      </c>
      <c r="BB183" s="962">
        <f>max(min(Valu!$C$14,$P183),$P183-max($P183-Valu!$C$14,0)/$R183*(BB$3-1))</f>
        <v>0.12</v>
      </c>
      <c r="BC183" s="962">
        <f>max(min(Valu!$C$14,$P183),$P183-max($P183-Valu!$C$14,0)/$R183*(BC$3-1))</f>
        <v>0.12</v>
      </c>
      <c r="BD183" s="962">
        <f>max(min(Valu!$C$14,$P183),$P183-max($P183-Valu!$C$14,0)/$R183*(BD$3-1))</f>
        <v>0.12</v>
      </c>
      <c r="BE183" s="962">
        <f>max(min(Valu!$C$14,$P183),$P183-max($P183-Valu!$C$14,0)/$R183*(BE$3-1))</f>
        <v>0.12</v>
      </c>
      <c r="BF183" s="962">
        <f>max(min(Valu!$C$14,$P183),$P183-max($P183-Valu!$C$14,0)/$R183*(BF$3-1))</f>
        <v>0.12</v>
      </c>
      <c r="BG183" s="962">
        <f>max(min(Valu!$C$14,$P183),$P183-max($P183-Valu!$C$14,0)/$R183*(BG$3-1))</f>
        <v>0.12</v>
      </c>
      <c r="BH183" s="962">
        <f>max(min(Valu!$C$14,$P183),$P183-max($P183-Valu!$C$14,0)/$R183*(BH$3-1))</f>
        <v>0.12</v>
      </c>
      <c r="BI183" s="962">
        <f>max(min(Valu!$C$14,$P183),$P183-max($P183-Valu!$C$14,0)/$R183*(BI$3-1))</f>
        <v>0.12</v>
      </c>
      <c r="BJ183" s="965">
        <f t="shared" ref="BJ183:BJ184" si="111">N183</f>
        <v>6.063441283</v>
      </c>
      <c r="BK183" s="966">
        <f t="shared" ref="BK183:BK184" si="112">$BJ183*(1+V183)</f>
        <v>6.518199379</v>
      </c>
      <c r="BL183" s="966">
        <f t="shared" ref="BL183:CC183" si="106">BK183*(1+W183)</f>
        <v>6.970399461</v>
      </c>
      <c r="BM183" s="966">
        <f t="shared" si="106"/>
        <v>7.414762427</v>
      </c>
      <c r="BN183" s="966">
        <f t="shared" si="106"/>
        <v>7.845745493</v>
      </c>
      <c r="BO183" s="966">
        <f t="shared" si="106"/>
        <v>8.257647131</v>
      </c>
      <c r="BP183" s="966">
        <f t="shared" si="106"/>
        <v>8.64472434</v>
      </c>
      <c r="BQ183" s="966">
        <f t="shared" si="106"/>
        <v>9.001319219</v>
      </c>
      <c r="BR183" s="966">
        <f t="shared" si="106"/>
        <v>9.321991217</v>
      </c>
      <c r="BS183" s="966">
        <f t="shared" si="106"/>
        <v>9.601650953</v>
      </c>
      <c r="BT183" s="966">
        <f t="shared" si="106"/>
        <v>9.889700482</v>
      </c>
      <c r="BU183" s="966">
        <f t="shared" si="106"/>
        <v>10.1863915</v>
      </c>
      <c r="BV183" s="966">
        <f t="shared" si="106"/>
        <v>10.49198324</v>
      </c>
      <c r="BW183" s="966">
        <f t="shared" si="106"/>
        <v>10.80674274</v>
      </c>
      <c r="BX183" s="966">
        <f t="shared" si="106"/>
        <v>11.13094502</v>
      </c>
      <c r="BY183" s="966">
        <f t="shared" si="106"/>
        <v>11.46487337</v>
      </c>
      <c r="BZ183" s="966">
        <f t="shared" si="106"/>
        <v>11.80881957</v>
      </c>
      <c r="CA183" s="966">
        <f t="shared" si="106"/>
        <v>12.16308416</v>
      </c>
      <c r="CB183" s="966">
        <f t="shared" si="106"/>
        <v>12.52797668</v>
      </c>
      <c r="CC183" s="966">
        <f t="shared" si="106"/>
        <v>12.90381598</v>
      </c>
      <c r="CD183" s="966">
        <f t="shared" ref="CD183:CW183" si="107">BJ183*(1-V183/AP183)</f>
        <v>3.789650802</v>
      </c>
      <c r="CE183" s="966">
        <f t="shared" si="107"/>
        <v>4.138198948</v>
      </c>
      <c r="CF183" s="966">
        <f t="shared" si="107"/>
        <v>4.501716319</v>
      </c>
      <c r="CG183" s="966">
        <f t="shared" si="107"/>
        <v>4.879567921</v>
      </c>
      <c r="CH183" s="966">
        <f t="shared" si="107"/>
        <v>5.271360253</v>
      </c>
      <c r="CI183" s="966">
        <f t="shared" si="107"/>
        <v>5.677132403</v>
      </c>
      <c r="CJ183" s="966">
        <f t="shared" si="107"/>
        <v>6.097618062</v>
      </c>
      <c r="CK183" s="966">
        <f t="shared" si="107"/>
        <v>6.534611549</v>
      </c>
      <c r="CL183" s="966">
        <f t="shared" si="107"/>
        <v>6.991493412</v>
      </c>
      <c r="CM183" s="966">
        <f t="shared" si="107"/>
        <v>7.201238215</v>
      </c>
      <c r="CN183" s="966">
        <f t="shared" si="107"/>
        <v>7.417275361</v>
      </c>
      <c r="CO183" s="966">
        <f t="shared" si="107"/>
        <v>7.639793622</v>
      </c>
      <c r="CP183" s="966">
        <f t="shared" si="107"/>
        <v>7.868987431</v>
      </c>
      <c r="CQ183" s="966">
        <f t="shared" si="107"/>
        <v>8.105057054</v>
      </c>
      <c r="CR183" s="966">
        <f t="shared" si="107"/>
        <v>8.348208765</v>
      </c>
      <c r="CS183" s="966">
        <f t="shared" si="107"/>
        <v>8.598655028</v>
      </c>
      <c r="CT183" s="966">
        <f t="shared" si="107"/>
        <v>8.856614679</v>
      </c>
      <c r="CU183" s="966">
        <f t="shared" si="107"/>
        <v>9.12231312</v>
      </c>
      <c r="CV183" s="966">
        <f t="shared" si="107"/>
        <v>9.395982513</v>
      </c>
      <c r="CW183" s="966">
        <f t="shared" si="107"/>
        <v>9.677861989</v>
      </c>
      <c r="CX183" s="966">
        <f>CW183*(1+min(Valu!$C$15,$O183))/(Valu!$C$21-min(Valu!$C$15,$O183))</f>
        <v>262.320996</v>
      </c>
      <c r="CY183" s="966">
        <f>CD183/(1+Valu!$C$21)^CY$3</f>
        <v>3.548362174</v>
      </c>
      <c r="CZ183" s="966">
        <f>CE183/(1+Valu!$C$21)^CZ$3</f>
        <v>3.628013217</v>
      </c>
      <c r="DA183" s="966">
        <f>CF183/(1+Valu!$C$21)^DA$3</f>
        <v>3.695424773</v>
      </c>
      <c r="DB183" s="966">
        <f>CG183/(1+Valu!$C$21)^DB$3</f>
        <v>3.750562066</v>
      </c>
      <c r="DC183" s="966">
        <f>CH183/(1+Valu!$C$21)^DC$3</f>
        <v>3.793730133</v>
      </c>
      <c r="DD183" s="966">
        <f>CI183/(1+Valu!$C$21)^DD$3</f>
        <v>3.82561716</v>
      </c>
      <c r="DE183" s="966">
        <f>CJ183/(1+Valu!$C$21)^DE$3</f>
        <v>3.847347806</v>
      </c>
      <c r="DF183" s="966">
        <f>CK183/(1+Valu!$C$21)^DF$3</f>
        <v>3.860555092</v>
      </c>
      <c r="DG183" s="966">
        <f>CL183/(1+Valu!$C$21)^DG$3</f>
        <v>3.867485361</v>
      </c>
      <c r="DH183" s="966">
        <f>CM183/(1+Valu!$C$21)^DH$3</f>
        <v>3.729878204</v>
      </c>
      <c r="DI183" s="966">
        <f>CN183/(1+Valu!$C$21)^DI$3</f>
        <v>3.597167182</v>
      </c>
      <c r="DJ183" s="966">
        <f>CO183/(1+Valu!$C$21)^DJ$3</f>
        <v>3.469178088</v>
      </c>
      <c r="DK183" s="966">
        <f>CP183/(1+Valu!$C$21)^DK$3</f>
        <v>3.345742912</v>
      </c>
      <c r="DL183" s="966">
        <f>CQ183/(1+Valu!$C$21)^DL$3</f>
        <v>3.226699625</v>
      </c>
      <c r="DM183" s="966">
        <f>CR183/(1+Valu!$C$21)^DM$3</f>
        <v>3.111891961</v>
      </c>
      <c r="DN183" s="966">
        <f>CS183/(1+Valu!$C$21)^DN$3</f>
        <v>3.001169213</v>
      </c>
      <c r="DO183" s="966">
        <f>CT183/(1+Valu!$C$21)^DO$3</f>
        <v>2.894386039</v>
      </c>
      <c r="DP183" s="966">
        <f>CU183/(1+Valu!$C$21)^DP$3</f>
        <v>2.791402266</v>
      </c>
      <c r="DQ183" s="966">
        <f>CV183/(1+Valu!$C$21)^DQ$3</f>
        <v>2.692082709</v>
      </c>
      <c r="DR183" s="966">
        <f>CW183/(1+Valu!$C$21)^DR$3</f>
        <v>2.596296995</v>
      </c>
      <c r="DS183" s="966">
        <f>CX183/(1+Valu!$C$21)^DS$3</f>
        <v>70.37331329</v>
      </c>
      <c r="DT183" s="358"/>
      <c r="DU183" s="358"/>
      <c r="DV183" s="358"/>
      <c r="DW183" s="358"/>
    </row>
    <row r="184" ht="15.0" customHeight="1">
      <c r="A184" s="388">
        <v>43760.0</v>
      </c>
      <c r="B184" s="373" t="s">
        <v>2857</v>
      </c>
      <c r="C184" s="373" t="s">
        <v>2858</v>
      </c>
      <c r="D184" s="373"/>
      <c r="E184" s="374" t="str">
        <f>IFERROR(__xludf.DUMMYFUNCTION("if(and(D184&lt;&gt;0,D184&lt;&gt;""""),D184/GOOGLEFINANCE(C184,""price"")-1,"""")"),"")</f>
        <v/>
      </c>
      <c r="F184" s="375">
        <f>IFERROR(__xludf.DUMMYFUNCTION("GOOGLEFINANCE(C184,""price"")"),288.09)</f>
        <v>288.09</v>
      </c>
      <c r="G184" s="374">
        <f t="shared" si="6"/>
        <v>0.3321135484</v>
      </c>
      <c r="H184" s="376">
        <f>3.67*20*1.1</f>
        <v>80.74</v>
      </c>
      <c r="I184" s="368">
        <f t="shared" si="108"/>
        <v>383.7685922</v>
      </c>
      <c r="J184" s="377">
        <v>17.63</v>
      </c>
      <c r="K184" s="377">
        <v>18.73</v>
      </c>
      <c r="L184" s="378">
        <v>43830.0</v>
      </c>
      <c r="M184" s="379">
        <f t="shared" si="7"/>
        <v>0.1798884219</v>
      </c>
      <c r="N184" s="380">
        <f t="shared" si="8"/>
        <v>18.53212274</v>
      </c>
      <c r="O184" s="370">
        <v>0.05</v>
      </c>
      <c r="P184" s="370">
        <v>0.15</v>
      </c>
      <c r="Q184" s="371">
        <f t="shared" si="109"/>
        <v>20.70829109</v>
      </c>
      <c r="R184" s="381">
        <v>6.0</v>
      </c>
      <c r="S184" s="378">
        <v>43760.0</v>
      </c>
      <c r="T184" s="381" t="s">
        <v>1240</v>
      </c>
      <c r="U184" s="382" t="s">
        <v>2860</v>
      </c>
      <c r="V184" s="961">
        <f t="shared" si="110"/>
        <v>0.05</v>
      </c>
      <c r="W184" s="962">
        <f>max(min(Valu!$C$15,$O184),$O184-max($O184-Valu!$C$15,0)/$R184*(W$3-1))</f>
        <v>0.04666666667</v>
      </c>
      <c r="X184" s="962">
        <f>max(min(Valu!$C$15,$O184),$O184-max($O184-Valu!$C$15,0)/$R184*(X$3-1))</f>
        <v>0.04333333333</v>
      </c>
      <c r="Y184" s="962">
        <f>max(min(Valu!$C$15,$O184),$O184-max($O184-Valu!$C$15,0)/$R184*(Y$3-1))</f>
        <v>0.04</v>
      </c>
      <c r="Z184" s="962">
        <f>max(min(Valu!$C$15,$O184),$O184-max($O184-Valu!$C$15,0)/$R184*(Z$3-1))</f>
        <v>0.03666666667</v>
      </c>
      <c r="AA184" s="962">
        <f>max(min(Valu!$C$15,$O184),$O184-max($O184-Valu!$C$15,0)/$R184*(AA$3-1))</f>
        <v>0.03333333333</v>
      </c>
      <c r="AB184" s="962">
        <f>max(min(Valu!$C$15,$O184),$O184-max($O184-Valu!$C$15,0)/$R184*(AB$3-1))</f>
        <v>0.03</v>
      </c>
      <c r="AC184" s="962">
        <f>max(min(Valu!$C$15,$O184),$O184-max($O184-Valu!$C$15,0)/$R184*(AC$3-1))</f>
        <v>0.03</v>
      </c>
      <c r="AD184" s="962">
        <f>max(min(Valu!$C$15,$O184),$O184-max($O184-Valu!$C$15,0)/$R184*(AD$3-1))</f>
        <v>0.03</v>
      </c>
      <c r="AE184" s="962">
        <f>max(min(Valu!$C$15,$O184),$O184-max($O184-Valu!$C$15,0)/$R184*(AE$3-1))</f>
        <v>0.03</v>
      </c>
      <c r="AF184" s="962">
        <f>max(min(Valu!$C$15,$O184),$O184-max($O184-Valu!$C$15,0)/$R184*(AF$3-1))</f>
        <v>0.03</v>
      </c>
      <c r="AG184" s="962">
        <f>max(min(Valu!$C$15,$O184),$O184-max($O184-Valu!$C$15,0)/$R184*(AG$3-1))</f>
        <v>0.03</v>
      </c>
      <c r="AH184" s="962">
        <f>max(min(Valu!$C$15,$O184),$O184-max($O184-Valu!$C$15,0)/$R184*(AH$3-1))</f>
        <v>0.03</v>
      </c>
      <c r="AI184" s="962">
        <f>max(min(Valu!$C$15,$O184),$O184-max($O184-Valu!$C$15,0)/$R184*(AI$3-1))</f>
        <v>0.03</v>
      </c>
      <c r="AJ184" s="962">
        <f>max(min(Valu!$C$15,$O184),$O184-max($O184-Valu!$C$15,0)/$R184*(AJ$3-1))</f>
        <v>0.03</v>
      </c>
      <c r="AK184" s="962">
        <f>max(min(Valu!$C$15,$O184),$O184-max($O184-Valu!$C$15,0)/$R184*(AK$3-1))</f>
        <v>0.03</v>
      </c>
      <c r="AL184" s="962">
        <f>max(min(Valu!$C$15,$O184),$O184-max($O184-Valu!$C$15,0)/$R184*(AL$3-1))</f>
        <v>0.03</v>
      </c>
      <c r="AM184" s="962">
        <f>max(min(Valu!$C$15,$O184),$O184-max($O184-Valu!$C$15,0)/$R184*(AM$3-1))</f>
        <v>0.03</v>
      </c>
      <c r="AN184" s="962">
        <f>max(min(Valu!$C$15,$O184),$O184-max($O184-Valu!$C$15,0)/$R184*(AN$3-1))</f>
        <v>0.03</v>
      </c>
      <c r="AO184" s="962">
        <f>max(min(Valu!$C$15,$O184),$O184-max($O184-Valu!$C$15,0)/$R184*(AO$3-1))</f>
        <v>0.03</v>
      </c>
      <c r="AP184" s="962">
        <f>max(min(Valu!$C$14,$P184),$P184-max($P184-Valu!$C$14,0)/$R184*(AP$3-1))</f>
        <v>0.15</v>
      </c>
      <c r="AQ184" s="962">
        <f>max(min(Valu!$C$14,$P184),$P184-max($P184-Valu!$C$14,0)/$R184*(AQ$3-1))</f>
        <v>0.145</v>
      </c>
      <c r="AR184" s="962">
        <f>max(min(Valu!$C$14,$P184),$P184-max($P184-Valu!$C$14,0)/$R184*(AR$3-1))</f>
        <v>0.14</v>
      </c>
      <c r="AS184" s="962">
        <f>max(min(Valu!$C$14,$P184),$P184-max($P184-Valu!$C$14,0)/$R184*(AS$3-1))</f>
        <v>0.135</v>
      </c>
      <c r="AT184" s="962">
        <f>max(min(Valu!$C$14,$P184),$P184-max($P184-Valu!$C$14,0)/$R184*(AT$3-1))</f>
        <v>0.13</v>
      </c>
      <c r="AU184" s="962">
        <f>max(min(Valu!$C$14,$P184),$P184-max($P184-Valu!$C$14,0)/$R184*(AU$3-1))</f>
        <v>0.125</v>
      </c>
      <c r="AV184" s="962">
        <f>max(min(Valu!$C$14,$P184),$P184-max($P184-Valu!$C$14,0)/$R184*(AV$3-1))</f>
        <v>0.12</v>
      </c>
      <c r="AW184" s="962">
        <f>max(min(Valu!$C$14,$P184),$P184-max($P184-Valu!$C$14,0)/$R184*(AW$3-1))</f>
        <v>0.12</v>
      </c>
      <c r="AX184" s="962">
        <f>max(min(Valu!$C$14,$P184),$P184-max($P184-Valu!$C$14,0)/$R184*(AX$3-1))</f>
        <v>0.12</v>
      </c>
      <c r="AY184" s="962">
        <f>max(min(Valu!$C$14,$P184),$P184-max($P184-Valu!$C$14,0)/$R184*(AY$3-1))</f>
        <v>0.12</v>
      </c>
      <c r="AZ184" s="962">
        <f>max(min(Valu!$C$14,$P184),$P184-max($P184-Valu!$C$14,0)/$R184*(AZ$3-1))</f>
        <v>0.12</v>
      </c>
      <c r="BA184" s="962">
        <f>max(min(Valu!$C$14,$P184),$P184-max($P184-Valu!$C$14,0)/$R184*(BA$3-1))</f>
        <v>0.12</v>
      </c>
      <c r="BB184" s="962">
        <f>max(min(Valu!$C$14,$P184),$P184-max($P184-Valu!$C$14,0)/$R184*(BB$3-1))</f>
        <v>0.12</v>
      </c>
      <c r="BC184" s="962">
        <f>max(min(Valu!$C$14,$P184),$P184-max($P184-Valu!$C$14,0)/$R184*(BC$3-1))</f>
        <v>0.12</v>
      </c>
      <c r="BD184" s="962">
        <f>max(min(Valu!$C$14,$P184),$P184-max($P184-Valu!$C$14,0)/$R184*(BD$3-1))</f>
        <v>0.12</v>
      </c>
      <c r="BE184" s="962">
        <f>max(min(Valu!$C$14,$P184),$P184-max($P184-Valu!$C$14,0)/$R184*(BE$3-1))</f>
        <v>0.12</v>
      </c>
      <c r="BF184" s="962">
        <f>max(min(Valu!$C$14,$P184),$P184-max($P184-Valu!$C$14,0)/$R184*(BF$3-1))</f>
        <v>0.12</v>
      </c>
      <c r="BG184" s="962">
        <f>max(min(Valu!$C$14,$P184),$P184-max($P184-Valu!$C$14,0)/$R184*(BG$3-1))</f>
        <v>0.12</v>
      </c>
      <c r="BH184" s="962">
        <f>max(min(Valu!$C$14,$P184),$P184-max($P184-Valu!$C$14,0)/$R184*(BH$3-1))</f>
        <v>0.12</v>
      </c>
      <c r="BI184" s="962">
        <f>max(min(Valu!$C$14,$P184),$P184-max($P184-Valu!$C$14,0)/$R184*(BI$3-1))</f>
        <v>0.12</v>
      </c>
      <c r="BJ184" s="965">
        <f t="shared" si="111"/>
        <v>18.53212274</v>
      </c>
      <c r="BK184" s="966">
        <f t="shared" si="112"/>
        <v>19.45872887</v>
      </c>
      <c r="BL184" s="966">
        <f t="shared" ref="BL184:CC184" si="113">BK184*(1+W184)</f>
        <v>20.36680289</v>
      </c>
      <c r="BM184" s="966">
        <f t="shared" si="113"/>
        <v>21.24936435</v>
      </c>
      <c r="BN184" s="966">
        <f t="shared" si="113"/>
        <v>22.09933892</v>
      </c>
      <c r="BO184" s="966">
        <f t="shared" si="113"/>
        <v>22.90964801</v>
      </c>
      <c r="BP184" s="966">
        <f t="shared" si="113"/>
        <v>23.67330295</v>
      </c>
      <c r="BQ184" s="966">
        <f t="shared" si="113"/>
        <v>24.38350203</v>
      </c>
      <c r="BR184" s="966">
        <f t="shared" si="113"/>
        <v>25.1150071</v>
      </c>
      <c r="BS184" s="966">
        <f t="shared" si="113"/>
        <v>25.86845731</v>
      </c>
      <c r="BT184" s="966">
        <f t="shared" si="113"/>
        <v>26.64451103</v>
      </c>
      <c r="BU184" s="966">
        <f t="shared" si="113"/>
        <v>27.44384636</v>
      </c>
      <c r="BV184" s="966">
        <f t="shared" si="113"/>
        <v>28.26716175</v>
      </c>
      <c r="BW184" s="966">
        <f t="shared" si="113"/>
        <v>29.1151766</v>
      </c>
      <c r="BX184" s="966">
        <f t="shared" si="113"/>
        <v>29.9886319</v>
      </c>
      <c r="BY184" s="966">
        <f t="shared" si="113"/>
        <v>30.88829086</v>
      </c>
      <c r="BZ184" s="966">
        <f t="shared" si="113"/>
        <v>31.81493958</v>
      </c>
      <c r="CA184" s="966">
        <f t="shared" si="113"/>
        <v>32.76938777</v>
      </c>
      <c r="CB184" s="966">
        <f t="shared" si="113"/>
        <v>33.7524694</v>
      </c>
      <c r="CC184" s="966">
        <f t="shared" si="113"/>
        <v>34.76504349</v>
      </c>
      <c r="CD184" s="966">
        <f t="shared" ref="CD184:CW184" si="114">BJ184*(1-V184/AP184)</f>
        <v>12.35474849</v>
      </c>
      <c r="CE184" s="966">
        <f t="shared" si="114"/>
        <v>13.19614947</v>
      </c>
      <c r="CF184" s="966">
        <f t="shared" si="114"/>
        <v>14.06279247</v>
      </c>
      <c r="CG184" s="966">
        <f t="shared" si="114"/>
        <v>14.95325639</v>
      </c>
      <c r="CH184" s="966">
        <f t="shared" si="114"/>
        <v>15.86619204</v>
      </c>
      <c r="CI184" s="966">
        <f t="shared" si="114"/>
        <v>16.80040854</v>
      </c>
      <c r="CJ184" s="966">
        <f t="shared" si="114"/>
        <v>17.75497721</v>
      </c>
      <c r="CK184" s="966">
        <f t="shared" si="114"/>
        <v>18.28762653</v>
      </c>
      <c r="CL184" s="966">
        <f t="shared" si="114"/>
        <v>18.83625532</v>
      </c>
      <c r="CM184" s="966">
        <f t="shared" si="114"/>
        <v>19.40134298</v>
      </c>
      <c r="CN184" s="966">
        <f t="shared" si="114"/>
        <v>19.98338327</v>
      </c>
      <c r="CO184" s="966">
        <f t="shared" si="114"/>
        <v>20.58288477</v>
      </c>
      <c r="CP184" s="966">
        <f t="shared" si="114"/>
        <v>21.20037131</v>
      </c>
      <c r="CQ184" s="966">
        <f t="shared" si="114"/>
        <v>21.83638245</v>
      </c>
      <c r="CR184" s="966">
        <f t="shared" si="114"/>
        <v>22.49147393</v>
      </c>
      <c r="CS184" s="966">
        <f t="shared" si="114"/>
        <v>23.16621814</v>
      </c>
      <c r="CT184" s="966">
        <f t="shared" si="114"/>
        <v>23.86120469</v>
      </c>
      <c r="CU184" s="966">
        <f t="shared" si="114"/>
        <v>24.57704083</v>
      </c>
      <c r="CV184" s="966">
        <f t="shared" si="114"/>
        <v>25.31435205</v>
      </c>
      <c r="CW184" s="966">
        <f t="shared" si="114"/>
        <v>26.07378261</v>
      </c>
      <c r="CX184" s="966">
        <f>CW184*(1+min(Valu!$C$15,$O184))/(Valu!$C$21-min(Valu!$C$15,$O184))</f>
        <v>706.7367393</v>
      </c>
      <c r="CY184" s="966">
        <f>CD184/(1+Valu!$C$21)^CY$3</f>
        <v>11.56811656</v>
      </c>
      <c r="CZ184" s="966">
        <f>CE184/(1+Valu!$C$21)^CZ$3</f>
        <v>11.56923707</v>
      </c>
      <c r="DA184" s="966">
        <f>CF184/(1+Valu!$C$21)^DA$3</f>
        <v>11.54403965</v>
      </c>
      <c r="DB184" s="966">
        <f>CG184/(1+Valu!$C$21)^DB$3</f>
        <v>11.49345948</v>
      </c>
      <c r="DC184" s="966">
        <f>CH184/(1+Valu!$C$21)^DC$3</f>
        <v>11.41869422</v>
      </c>
      <c r="DD184" s="966">
        <f>CI184/(1+Valu!$C$21)^DD$3</f>
        <v>11.32119645</v>
      </c>
      <c r="DE184" s="966">
        <f>CJ184/(1+Valu!$C$21)^DE$3</f>
        <v>11.20266503</v>
      </c>
      <c r="DF184" s="966">
        <f>CK184/(1+Valu!$C$21)^DF$3</f>
        <v>10.80406833</v>
      </c>
      <c r="DG184" s="966">
        <f>CL184/(1+Valu!$C$21)^DG$3</f>
        <v>10.41965392</v>
      </c>
      <c r="DH184" s="966">
        <f>CM184/(1+Valu!$C$21)^DH$3</f>
        <v>10.04891717</v>
      </c>
      <c r="DI184" s="966">
        <f>CN184/(1+Valu!$C$21)^DI$3</f>
        <v>9.691371425</v>
      </c>
      <c r="DJ184" s="966">
        <f>CO184/(1+Valu!$C$21)^DJ$3</f>
        <v>9.346547348</v>
      </c>
      <c r="DK184" s="966">
        <f>CP184/(1+Valu!$C$21)^DK$3</f>
        <v>9.013992293</v>
      </c>
      <c r="DL184" s="966">
        <f>CQ184/(1+Valu!$C$21)^DL$3</f>
        <v>8.693269721</v>
      </c>
      <c r="DM184" s="966">
        <f>CR184/(1+Valu!$C$21)^DM$3</f>
        <v>8.383958626</v>
      </c>
      <c r="DN184" s="966">
        <f>CS184/(1+Valu!$C$21)^DN$3</f>
        <v>8.085652982</v>
      </c>
      <c r="DO184" s="966">
        <f>CT184/(1+Valu!$C$21)^DO$3</f>
        <v>7.797961209</v>
      </c>
      <c r="DP184" s="966">
        <f>CU184/(1+Valu!$C$21)^DP$3</f>
        <v>7.52050566</v>
      </c>
      <c r="DQ184" s="966">
        <f>CV184/(1+Valu!$C$21)^DQ$3</f>
        <v>7.252922126</v>
      </c>
      <c r="DR184" s="966">
        <f>CW184/(1+Valu!$C$21)^DR$3</f>
        <v>6.994859353</v>
      </c>
      <c r="DS184" s="966">
        <f>CX184/(1+Valu!$C$21)^DS$3</f>
        <v>189.5975035</v>
      </c>
      <c r="DT184" s="358"/>
      <c r="DU184" s="358"/>
      <c r="DV184" s="358"/>
      <c r="DW184" s="358"/>
    </row>
    <row r="185" ht="15.0" customHeight="1">
      <c r="A185" s="383">
        <v>41218.0</v>
      </c>
      <c r="B185" s="320" t="s">
        <v>2865</v>
      </c>
      <c r="C185" s="320" t="s">
        <v>2866</v>
      </c>
      <c r="D185" s="532"/>
      <c r="E185" s="374" t="str">
        <f>IFERROR(__xludf.DUMMYFUNCTION("if(and(D185&lt;&gt;0,D185&lt;&gt;""""),D185/GOOGLEFINANCE(C185,""price"")-1,"""")"),"")</f>
        <v/>
      </c>
      <c r="F185" s="375">
        <f>IFERROR(__xludf.DUMMYFUNCTION("GOOGLEFINANCE(C185,""price"")"),51.55)</f>
        <v>51.55</v>
      </c>
      <c r="G185" s="374" t="str">
        <f t="shared" si="6"/>
        <v/>
      </c>
      <c r="H185" s="376"/>
      <c r="I185" s="376"/>
      <c r="J185" s="380"/>
      <c r="K185" s="380"/>
      <c r="L185" s="389"/>
      <c r="M185" s="379">
        <f t="shared" si="7"/>
        <v>-119.9023034</v>
      </c>
      <c r="N185" s="380">
        <f t="shared" si="8"/>
        <v>0</v>
      </c>
      <c r="O185" s="389"/>
      <c r="P185" s="415"/>
      <c r="Q185" s="379"/>
      <c r="R185" s="416"/>
      <c r="S185" s="416"/>
      <c r="T185" s="416"/>
      <c r="U185" s="417"/>
      <c r="V185" s="367"/>
      <c r="W185" s="367"/>
      <c r="X185" s="367"/>
      <c r="Y185" s="367"/>
      <c r="Z185" s="367"/>
      <c r="AA185" s="367"/>
      <c r="AB185" s="367"/>
      <c r="AC185" s="367"/>
      <c r="AD185" s="367"/>
      <c r="AE185" s="367"/>
      <c r="AF185" s="367"/>
      <c r="AG185" s="367"/>
      <c r="AH185" s="367"/>
      <c r="AI185" s="367"/>
      <c r="AJ185" s="367"/>
      <c r="AK185" s="367"/>
      <c r="AL185" s="367"/>
      <c r="AM185" s="367"/>
      <c r="AN185" s="367"/>
      <c r="AO185" s="367"/>
      <c r="AP185" s="367"/>
      <c r="AQ185" s="367"/>
      <c r="AR185" s="367"/>
      <c r="AS185" s="367"/>
      <c r="AT185" s="367"/>
      <c r="AU185" s="367"/>
      <c r="AV185" s="367"/>
      <c r="AW185" s="367"/>
      <c r="AX185" s="367"/>
      <c r="AY185" s="367"/>
      <c r="AZ185" s="367"/>
      <c r="BA185" s="367"/>
      <c r="BB185" s="367"/>
      <c r="BC185" s="367"/>
      <c r="BD185" s="367"/>
      <c r="BE185" s="367"/>
      <c r="BF185" s="367"/>
      <c r="BG185" s="367"/>
      <c r="BH185" s="367"/>
      <c r="BI185" s="367"/>
      <c r="BJ185" s="367"/>
      <c r="BK185" s="367"/>
      <c r="BL185" s="367"/>
      <c r="BM185" s="367"/>
      <c r="BN185" s="367"/>
      <c r="BO185" s="367"/>
      <c r="BP185" s="367"/>
      <c r="BQ185" s="367"/>
      <c r="BR185" s="367"/>
      <c r="BS185" s="367"/>
      <c r="BT185" s="367"/>
      <c r="BU185" s="367"/>
      <c r="BV185" s="367"/>
      <c r="BW185" s="367"/>
      <c r="BX185" s="367"/>
      <c r="BY185" s="367"/>
      <c r="BZ185" s="367"/>
      <c r="CA185" s="367"/>
      <c r="CB185" s="367"/>
      <c r="CC185" s="367"/>
      <c r="CD185" s="367"/>
      <c r="CE185" s="367"/>
      <c r="CF185" s="367"/>
      <c r="CG185" s="367"/>
      <c r="CH185" s="367"/>
      <c r="CI185" s="367"/>
      <c r="CJ185" s="367"/>
      <c r="CK185" s="367"/>
      <c r="CL185" s="367"/>
      <c r="CM185" s="367"/>
      <c r="CN185" s="367"/>
      <c r="CO185" s="367"/>
      <c r="CP185" s="367"/>
      <c r="CQ185" s="367"/>
      <c r="CR185" s="367"/>
      <c r="CS185" s="367"/>
      <c r="CT185" s="367"/>
      <c r="CU185" s="367"/>
      <c r="CV185" s="367"/>
      <c r="CW185" s="367"/>
      <c r="CX185" s="367"/>
      <c r="CY185" s="367"/>
      <c r="CZ185" s="367"/>
      <c r="DA185" s="367"/>
      <c r="DB185" s="367"/>
      <c r="DC185" s="367"/>
      <c r="DD185" s="367"/>
      <c r="DE185" s="367"/>
      <c r="DF185" s="367"/>
      <c r="DG185" s="367"/>
      <c r="DH185" s="367"/>
      <c r="DI185" s="367"/>
      <c r="DJ185" s="367"/>
      <c r="DK185" s="367"/>
      <c r="DL185" s="367"/>
      <c r="DM185" s="367"/>
      <c r="DN185" s="367"/>
      <c r="DO185" s="367"/>
      <c r="DP185" s="367"/>
      <c r="DQ185" s="367"/>
      <c r="DR185" s="367"/>
      <c r="DS185" s="367"/>
      <c r="DT185" s="367"/>
      <c r="DU185" s="367"/>
      <c r="DV185" s="367"/>
      <c r="DW185" s="367"/>
    </row>
    <row r="186" ht="15.0" customHeight="1">
      <c r="A186" s="383">
        <v>40370.0</v>
      </c>
      <c r="B186" s="320" t="s">
        <v>2867</v>
      </c>
      <c r="C186" s="320" t="s">
        <v>2868</v>
      </c>
      <c r="D186" s="532"/>
      <c r="E186" s="374" t="str">
        <f>IFERROR(__xludf.DUMMYFUNCTION("if(and(D186&lt;&gt;0,D186&lt;&gt;""""),D186/GOOGLEFINANCE(C186,""price"")-1,"""")"),"")</f>
        <v/>
      </c>
      <c r="F186" s="375">
        <f>IFERROR(__xludf.DUMMYFUNCTION("GOOGLEFINANCE(C186,""price"")"),135.44)</f>
        <v>135.44</v>
      </c>
      <c r="G186" s="374">
        <f t="shared" si="6"/>
        <v>-0.08889545186</v>
      </c>
      <c r="H186" s="376">
        <v>90.0</v>
      </c>
      <c r="I186" s="376">
        <f>12.34*10</f>
        <v>123.4</v>
      </c>
      <c r="J186" s="380"/>
      <c r="K186" s="380"/>
      <c r="L186" s="389"/>
      <c r="M186" s="379">
        <f t="shared" si="7"/>
        <v>-119.9023034</v>
      </c>
      <c r="N186" s="380">
        <f t="shared" si="8"/>
        <v>0</v>
      </c>
      <c r="O186" s="389"/>
      <c r="P186" s="415"/>
      <c r="Q186" s="379"/>
      <c r="R186" s="416"/>
      <c r="S186" s="416"/>
      <c r="T186" s="416"/>
      <c r="U186" s="417" t="s">
        <v>2869</v>
      </c>
      <c r="V186" s="367"/>
      <c r="W186" s="367"/>
      <c r="X186" s="367"/>
      <c r="Y186" s="367"/>
      <c r="Z186" s="367"/>
      <c r="AA186" s="367"/>
      <c r="AB186" s="367"/>
      <c r="AC186" s="367"/>
      <c r="AD186" s="367"/>
      <c r="AE186" s="367"/>
      <c r="AF186" s="367"/>
      <c r="AG186" s="367"/>
      <c r="AH186" s="367"/>
      <c r="AI186" s="367"/>
      <c r="AJ186" s="367"/>
      <c r="AK186" s="367"/>
      <c r="AL186" s="367"/>
      <c r="AM186" s="367"/>
      <c r="AN186" s="367"/>
      <c r="AO186" s="367"/>
      <c r="AP186" s="367"/>
      <c r="AQ186" s="367"/>
      <c r="AR186" s="367"/>
      <c r="AS186" s="367"/>
      <c r="AT186" s="367"/>
      <c r="AU186" s="367"/>
      <c r="AV186" s="367"/>
      <c r="AW186" s="367"/>
      <c r="AX186" s="367"/>
      <c r="AY186" s="367"/>
      <c r="AZ186" s="367"/>
      <c r="BA186" s="367"/>
      <c r="BB186" s="367"/>
      <c r="BC186" s="367"/>
      <c r="BD186" s="367"/>
      <c r="BE186" s="367"/>
      <c r="BF186" s="367"/>
      <c r="BG186" s="367"/>
      <c r="BH186" s="367"/>
      <c r="BI186" s="367"/>
      <c r="BJ186" s="367"/>
      <c r="BK186" s="367"/>
      <c r="BL186" s="367"/>
      <c r="BM186" s="367"/>
      <c r="BN186" s="367"/>
      <c r="BO186" s="367"/>
      <c r="BP186" s="367"/>
      <c r="BQ186" s="367"/>
      <c r="BR186" s="367"/>
      <c r="BS186" s="367"/>
      <c r="BT186" s="367"/>
      <c r="BU186" s="367"/>
      <c r="BV186" s="367"/>
      <c r="BW186" s="367"/>
      <c r="BX186" s="367"/>
      <c r="BY186" s="367"/>
      <c r="BZ186" s="367"/>
      <c r="CA186" s="367"/>
      <c r="CB186" s="367"/>
      <c r="CC186" s="367"/>
      <c r="CD186" s="367"/>
      <c r="CE186" s="367"/>
      <c r="CF186" s="367"/>
      <c r="CG186" s="367"/>
      <c r="CH186" s="367"/>
      <c r="CI186" s="367"/>
      <c r="CJ186" s="367"/>
      <c r="CK186" s="367"/>
      <c r="CL186" s="367"/>
      <c r="CM186" s="367"/>
      <c r="CN186" s="367"/>
      <c r="CO186" s="367"/>
      <c r="CP186" s="367"/>
      <c r="CQ186" s="367"/>
      <c r="CR186" s="367"/>
      <c r="CS186" s="367"/>
      <c r="CT186" s="367"/>
      <c r="CU186" s="367"/>
      <c r="CV186" s="367"/>
      <c r="CW186" s="367"/>
      <c r="CX186" s="367"/>
      <c r="CY186" s="367"/>
      <c r="CZ186" s="367"/>
      <c r="DA186" s="367"/>
      <c r="DB186" s="367"/>
      <c r="DC186" s="367"/>
      <c r="DD186" s="367"/>
      <c r="DE186" s="367"/>
      <c r="DF186" s="367"/>
      <c r="DG186" s="367"/>
      <c r="DH186" s="367"/>
      <c r="DI186" s="367"/>
      <c r="DJ186" s="367"/>
      <c r="DK186" s="367"/>
      <c r="DL186" s="367"/>
      <c r="DM186" s="367"/>
      <c r="DN186" s="367"/>
      <c r="DO186" s="367"/>
      <c r="DP186" s="367"/>
      <c r="DQ186" s="367"/>
      <c r="DR186" s="367"/>
      <c r="DS186" s="367"/>
      <c r="DT186" s="367"/>
      <c r="DU186" s="367"/>
      <c r="DV186" s="367"/>
      <c r="DW186" s="367"/>
    </row>
    <row r="187" ht="15.0" customHeight="1">
      <c r="A187" s="383">
        <v>41374.0</v>
      </c>
      <c r="B187" s="320" t="s">
        <v>2870</v>
      </c>
      <c r="C187" s="320" t="s">
        <v>1006</v>
      </c>
      <c r="D187" s="532"/>
      <c r="E187" s="374" t="str">
        <f>IFERROR(__xludf.DUMMYFUNCTION("if(and(D187&lt;&gt;0,D187&lt;&gt;""""),D187/GOOGLEFINANCE(C187,""price"")-1,"""")"),"")</f>
        <v/>
      </c>
      <c r="F187" s="375">
        <f>IFERROR(__xludf.DUMMYFUNCTION("GOOGLEFINANCE(C187,""price"")"),53.63)</f>
        <v>53.63</v>
      </c>
      <c r="G187" s="374">
        <f t="shared" si="6"/>
        <v>-0.4780906209</v>
      </c>
      <c r="H187" s="376"/>
      <c r="I187" s="376">
        <f>27.99</f>
        <v>27.99</v>
      </c>
      <c r="J187" s="380"/>
      <c r="K187" s="380"/>
      <c r="L187" s="389"/>
      <c r="M187" s="379">
        <f t="shared" si="7"/>
        <v>-119.9023034</v>
      </c>
      <c r="N187" s="380">
        <f t="shared" si="8"/>
        <v>0</v>
      </c>
      <c r="O187" s="389"/>
      <c r="P187" s="415"/>
      <c r="Q187" s="379"/>
      <c r="R187" s="416"/>
      <c r="S187" s="416"/>
      <c r="T187" s="416"/>
      <c r="U187" s="417" t="s">
        <v>2871</v>
      </c>
      <c r="V187" s="367"/>
      <c r="W187" s="367"/>
      <c r="X187" s="367"/>
      <c r="Y187" s="367"/>
      <c r="Z187" s="367"/>
      <c r="AA187" s="367"/>
      <c r="AB187" s="367"/>
      <c r="AC187" s="367"/>
      <c r="AD187" s="367"/>
      <c r="AE187" s="367"/>
      <c r="AF187" s="367"/>
      <c r="AG187" s="367"/>
      <c r="AH187" s="367"/>
      <c r="AI187" s="367"/>
      <c r="AJ187" s="367"/>
      <c r="AK187" s="367"/>
      <c r="AL187" s="367"/>
      <c r="AM187" s="367"/>
      <c r="AN187" s="367"/>
      <c r="AO187" s="367"/>
      <c r="AP187" s="367"/>
      <c r="AQ187" s="367"/>
      <c r="AR187" s="367"/>
      <c r="AS187" s="367"/>
      <c r="AT187" s="367"/>
      <c r="AU187" s="367"/>
      <c r="AV187" s="367"/>
      <c r="AW187" s="367"/>
      <c r="AX187" s="367"/>
      <c r="AY187" s="367"/>
      <c r="AZ187" s="367"/>
      <c r="BA187" s="367"/>
      <c r="BB187" s="367"/>
      <c r="BC187" s="367"/>
      <c r="BD187" s="367"/>
      <c r="BE187" s="367"/>
      <c r="BF187" s="367"/>
      <c r="BG187" s="367"/>
      <c r="BH187" s="367"/>
      <c r="BI187" s="367"/>
      <c r="BJ187" s="367"/>
      <c r="BK187" s="367"/>
      <c r="BL187" s="367"/>
      <c r="BM187" s="367"/>
      <c r="BN187" s="367"/>
      <c r="BO187" s="367"/>
      <c r="BP187" s="367"/>
      <c r="BQ187" s="367"/>
      <c r="BR187" s="367"/>
      <c r="BS187" s="367"/>
      <c r="BT187" s="367"/>
      <c r="BU187" s="367"/>
      <c r="BV187" s="367"/>
      <c r="BW187" s="367"/>
      <c r="BX187" s="367"/>
      <c r="BY187" s="367"/>
      <c r="BZ187" s="367"/>
      <c r="CA187" s="367"/>
      <c r="CB187" s="367"/>
      <c r="CC187" s="367"/>
      <c r="CD187" s="367"/>
      <c r="CE187" s="367"/>
      <c r="CF187" s="367"/>
      <c r="CG187" s="367"/>
      <c r="CH187" s="367"/>
      <c r="CI187" s="367"/>
      <c r="CJ187" s="367"/>
      <c r="CK187" s="367"/>
      <c r="CL187" s="367"/>
      <c r="CM187" s="367"/>
      <c r="CN187" s="367"/>
      <c r="CO187" s="367"/>
      <c r="CP187" s="367"/>
      <c r="CQ187" s="367"/>
      <c r="CR187" s="367"/>
      <c r="CS187" s="367"/>
      <c r="CT187" s="367"/>
      <c r="CU187" s="367"/>
      <c r="CV187" s="367"/>
      <c r="CW187" s="367"/>
      <c r="CX187" s="367"/>
      <c r="CY187" s="367"/>
      <c r="CZ187" s="367"/>
      <c r="DA187" s="367"/>
      <c r="DB187" s="367"/>
      <c r="DC187" s="367"/>
      <c r="DD187" s="367"/>
      <c r="DE187" s="367"/>
      <c r="DF187" s="367"/>
      <c r="DG187" s="367"/>
      <c r="DH187" s="367"/>
      <c r="DI187" s="367"/>
      <c r="DJ187" s="367"/>
      <c r="DK187" s="367"/>
      <c r="DL187" s="367"/>
      <c r="DM187" s="367"/>
      <c r="DN187" s="367"/>
      <c r="DO187" s="367"/>
      <c r="DP187" s="367"/>
      <c r="DQ187" s="367"/>
      <c r="DR187" s="367"/>
      <c r="DS187" s="367"/>
      <c r="DT187" s="367"/>
      <c r="DU187" s="367"/>
      <c r="DV187" s="367"/>
      <c r="DW187" s="367"/>
    </row>
    <row r="188" ht="15.0" customHeight="1">
      <c r="A188" s="388">
        <v>43314.0</v>
      </c>
      <c r="B188" s="373" t="s">
        <v>2872</v>
      </c>
      <c r="C188" s="373" t="s">
        <v>1175</v>
      </c>
      <c r="D188" s="532"/>
      <c r="E188" s="374" t="str">
        <f>IFERROR(__xludf.DUMMYFUNCTION("if(and(D188&lt;&gt;0,D188&lt;&gt;""""),D188/GOOGLEFINANCE(C188,""price"")-1,"""")"),"")</f>
        <v/>
      </c>
      <c r="F188" s="375">
        <f>IFERROR(__xludf.DUMMYFUNCTION("GOOGLEFINANCE(C188,""price"")"),148.91)</f>
        <v>148.91</v>
      </c>
      <c r="G188" s="374">
        <f t="shared" si="6"/>
        <v>0.2376479089</v>
      </c>
      <c r="H188" s="376">
        <f t="shared" ref="H188:H189" si="115">3.67*20*1.1</f>
        <v>80.74</v>
      </c>
      <c r="I188" s="368">
        <f>N188*($I$1+O188*100)</f>
        <v>184.2981501</v>
      </c>
      <c r="J188" s="377">
        <v>6.82</v>
      </c>
      <c r="K188" s="377">
        <v>7.6</v>
      </c>
      <c r="L188" s="378">
        <v>43830.0</v>
      </c>
      <c r="M188" s="379">
        <f t="shared" si="7"/>
        <v>0.1798884254</v>
      </c>
      <c r="N188" s="380">
        <f t="shared" si="8"/>
        <v>7.459687028</v>
      </c>
      <c r="O188" s="370">
        <v>0.1</v>
      </c>
      <c r="P188" s="370"/>
      <c r="Q188" s="371"/>
      <c r="R188" s="378"/>
      <c r="S188" s="378">
        <v>43536.0</v>
      </c>
      <c r="T188" s="381" t="s">
        <v>1223</v>
      </c>
      <c r="U188" s="382" t="s">
        <v>2874</v>
      </c>
      <c r="V188" s="358"/>
      <c r="W188" s="358"/>
      <c r="X188" s="358"/>
      <c r="Y188" s="358"/>
      <c r="Z188" s="358"/>
      <c r="AA188" s="358"/>
      <c r="AB188" s="358"/>
      <c r="AC188" s="358"/>
      <c r="AD188" s="358"/>
      <c r="AE188" s="358"/>
      <c r="AF188" s="358"/>
      <c r="AG188" s="358"/>
      <c r="AH188" s="358"/>
      <c r="AI188" s="358"/>
      <c r="AJ188" s="358"/>
      <c r="AK188" s="358"/>
      <c r="AL188" s="358"/>
      <c r="AM188" s="358"/>
      <c r="AN188" s="358"/>
      <c r="AO188" s="358"/>
      <c r="AP188" s="358"/>
      <c r="AQ188" s="358"/>
      <c r="AR188" s="358"/>
      <c r="AS188" s="358"/>
      <c r="AT188" s="358"/>
      <c r="AU188" s="358"/>
      <c r="AV188" s="358"/>
      <c r="AW188" s="358"/>
      <c r="AX188" s="358"/>
      <c r="AY188" s="358"/>
      <c r="AZ188" s="358"/>
      <c r="BA188" s="358"/>
      <c r="BB188" s="358"/>
      <c r="BC188" s="358"/>
      <c r="BD188" s="358"/>
      <c r="BE188" s="358"/>
      <c r="BF188" s="358"/>
      <c r="BG188" s="358"/>
      <c r="BH188" s="358"/>
      <c r="BI188" s="358"/>
      <c r="BJ188" s="358"/>
      <c r="BK188" s="358"/>
      <c r="BL188" s="358"/>
      <c r="BM188" s="358"/>
      <c r="BN188" s="358"/>
      <c r="BO188" s="358"/>
      <c r="BP188" s="358"/>
      <c r="BQ188" s="358"/>
      <c r="BR188" s="358"/>
      <c r="BS188" s="358"/>
      <c r="BT188" s="358"/>
      <c r="BU188" s="358"/>
      <c r="BV188" s="358"/>
      <c r="BW188" s="358"/>
      <c r="BX188" s="358"/>
      <c r="BY188" s="358"/>
      <c r="BZ188" s="358"/>
      <c r="CA188" s="358"/>
      <c r="CB188" s="358"/>
      <c r="CC188" s="358"/>
      <c r="CD188" s="358"/>
      <c r="CE188" s="358"/>
      <c r="CF188" s="358"/>
      <c r="CG188" s="358"/>
      <c r="CH188" s="358"/>
      <c r="CI188" s="358"/>
      <c r="CJ188" s="358"/>
      <c r="CK188" s="358"/>
      <c r="CL188" s="358"/>
      <c r="CM188" s="358"/>
      <c r="CN188" s="358"/>
      <c r="CO188" s="358"/>
      <c r="CP188" s="358"/>
      <c r="CQ188" s="358"/>
      <c r="CR188" s="358"/>
      <c r="CS188" s="358"/>
      <c r="CT188" s="358"/>
      <c r="CU188" s="358"/>
      <c r="CV188" s="358"/>
      <c r="CW188" s="358"/>
      <c r="CX188" s="358"/>
      <c r="CY188" s="358"/>
      <c r="CZ188" s="358"/>
      <c r="DA188" s="358"/>
      <c r="DB188" s="358"/>
      <c r="DC188" s="358"/>
      <c r="DD188" s="358"/>
      <c r="DE188" s="358"/>
      <c r="DF188" s="358"/>
      <c r="DG188" s="358"/>
      <c r="DH188" s="358"/>
      <c r="DI188" s="358"/>
      <c r="DJ188" s="358"/>
      <c r="DK188" s="358"/>
      <c r="DL188" s="358"/>
      <c r="DM188" s="358"/>
      <c r="DN188" s="358"/>
      <c r="DO188" s="358"/>
      <c r="DP188" s="358"/>
      <c r="DQ188" s="358"/>
      <c r="DR188" s="358"/>
      <c r="DS188" s="358"/>
      <c r="DT188" s="358"/>
      <c r="DU188" s="358"/>
      <c r="DV188" s="358"/>
      <c r="DW188" s="358"/>
    </row>
    <row r="189" ht="15.0" customHeight="1">
      <c r="A189" s="383">
        <v>41865.0</v>
      </c>
      <c r="B189" s="320" t="s">
        <v>2875</v>
      </c>
      <c r="C189" s="320" t="s">
        <v>2876</v>
      </c>
      <c r="D189" s="373">
        <v>200.0</v>
      </c>
      <c r="E189" s="374">
        <f>IFERROR(__xludf.DUMMYFUNCTION("if(and(D189&lt;&gt;0,D189&lt;&gt;""""),D189/GOOGLEFINANCE(C189,""price"")-1,"""")"),-0.2545379999254539)</f>
        <v>-0.2545379999</v>
      </c>
      <c r="F189" s="375">
        <f>IFERROR(__xludf.DUMMYFUNCTION("GOOGLEFINANCE(C189,""price"")"),268.29)</f>
        <v>268.29</v>
      </c>
      <c r="G189" s="374">
        <f t="shared" si="6"/>
        <v>-0.4111942519</v>
      </c>
      <c r="H189" s="376">
        <f t="shared" si="115"/>
        <v>80.74</v>
      </c>
      <c r="I189" s="368">
        <f>sum(CY189:DS189)</f>
        <v>157.9706941</v>
      </c>
      <c r="J189" s="377">
        <v>4.72</v>
      </c>
      <c r="K189" s="377">
        <v>5.48</v>
      </c>
      <c r="L189" s="378">
        <v>43830.0</v>
      </c>
      <c r="M189" s="379">
        <f t="shared" si="7"/>
        <v>0.1798884219</v>
      </c>
      <c r="N189" s="380">
        <f t="shared" si="8"/>
        <v>5.343284799</v>
      </c>
      <c r="O189" s="370">
        <v>0.15</v>
      </c>
      <c r="P189" s="370">
        <v>0.3</v>
      </c>
      <c r="Q189" s="371">
        <f>I189/N189</f>
        <v>29.56434105</v>
      </c>
      <c r="R189" s="381">
        <v>8.0</v>
      </c>
      <c r="S189" s="378">
        <v>43686.0</v>
      </c>
      <c r="T189" s="381" t="s">
        <v>1240</v>
      </c>
      <c r="U189" s="382" t="s">
        <v>2877</v>
      </c>
      <c r="V189" s="961">
        <f>O189</f>
        <v>0.15</v>
      </c>
      <c r="W189" s="962">
        <f>max(min(Valu!$C$15,$O189),$O189-max($O189-Valu!$C$15,0)/$R189*(W$3-1))</f>
        <v>0.135</v>
      </c>
      <c r="X189" s="962">
        <f>max(min(Valu!$C$15,$O189),$O189-max($O189-Valu!$C$15,0)/$R189*(X$3-1))</f>
        <v>0.12</v>
      </c>
      <c r="Y189" s="962">
        <f>max(min(Valu!$C$15,$O189),$O189-max($O189-Valu!$C$15,0)/$R189*(Y$3-1))</f>
        <v>0.105</v>
      </c>
      <c r="Z189" s="962">
        <f>max(min(Valu!$C$15,$O189),$O189-max($O189-Valu!$C$15,0)/$R189*(Z$3-1))</f>
        <v>0.09</v>
      </c>
      <c r="AA189" s="962">
        <f>max(min(Valu!$C$15,$O189),$O189-max($O189-Valu!$C$15,0)/$R189*(AA$3-1))</f>
        <v>0.075</v>
      </c>
      <c r="AB189" s="962">
        <f>max(min(Valu!$C$15,$O189),$O189-max($O189-Valu!$C$15,0)/$R189*(AB$3-1))</f>
        <v>0.06</v>
      </c>
      <c r="AC189" s="962">
        <f>max(min(Valu!$C$15,$O189),$O189-max($O189-Valu!$C$15,0)/$R189*(AC$3-1))</f>
        <v>0.045</v>
      </c>
      <c r="AD189" s="962">
        <f>max(min(Valu!$C$15,$O189),$O189-max($O189-Valu!$C$15,0)/$R189*(AD$3-1))</f>
        <v>0.03</v>
      </c>
      <c r="AE189" s="962">
        <f>max(min(Valu!$C$15,$O189),$O189-max($O189-Valu!$C$15,0)/$R189*(AE$3-1))</f>
        <v>0.03</v>
      </c>
      <c r="AF189" s="962">
        <f>max(min(Valu!$C$15,$O189),$O189-max($O189-Valu!$C$15,0)/$R189*(AF$3-1))</f>
        <v>0.03</v>
      </c>
      <c r="AG189" s="962">
        <f>max(min(Valu!$C$15,$O189),$O189-max($O189-Valu!$C$15,0)/$R189*(AG$3-1))</f>
        <v>0.03</v>
      </c>
      <c r="AH189" s="962">
        <f>max(min(Valu!$C$15,$O189),$O189-max($O189-Valu!$C$15,0)/$R189*(AH$3-1))</f>
        <v>0.03</v>
      </c>
      <c r="AI189" s="962">
        <f>max(min(Valu!$C$15,$O189),$O189-max($O189-Valu!$C$15,0)/$R189*(AI$3-1))</f>
        <v>0.03</v>
      </c>
      <c r="AJ189" s="962">
        <f>max(min(Valu!$C$15,$O189),$O189-max($O189-Valu!$C$15,0)/$R189*(AJ$3-1))</f>
        <v>0.03</v>
      </c>
      <c r="AK189" s="962">
        <f>max(min(Valu!$C$15,$O189),$O189-max($O189-Valu!$C$15,0)/$R189*(AK$3-1))</f>
        <v>0.03</v>
      </c>
      <c r="AL189" s="962">
        <f>max(min(Valu!$C$15,$O189),$O189-max($O189-Valu!$C$15,0)/$R189*(AL$3-1))</f>
        <v>0.03</v>
      </c>
      <c r="AM189" s="962">
        <f>max(min(Valu!$C$15,$O189),$O189-max($O189-Valu!$C$15,0)/$R189*(AM$3-1))</f>
        <v>0.03</v>
      </c>
      <c r="AN189" s="962">
        <f>max(min(Valu!$C$15,$O189),$O189-max($O189-Valu!$C$15,0)/$R189*(AN$3-1))</f>
        <v>0.03</v>
      </c>
      <c r="AO189" s="962">
        <f>max(min(Valu!$C$15,$O189),$O189-max($O189-Valu!$C$15,0)/$R189*(AO$3-1))</f>
        <v>0.03</v>
      </c>
      <c r="AP189" s="962">
        <f>max(min(Valu!$C$14,$P189),$P189-max($P189-Valu!$C$14,0)/$R189*(AP$3-1))</f>
        <v>0.3</v>
      </c>
      <c r="AQ189" s="962">
        <f>max(min(Valu!$C$14,$P189),$P189-max($P189-Valu!$C$14,0)/$R189*(AQ$3-1))</f>
        <v>0.2775</v>
      </c>
      <c r="AR189" s="962">
        <f>max(min(Valu!$C$14,$P189),$P189-max($P189-Valu!$C$14,0)/$R189*(AR$3-1))</f>
        <v>0.255</v>
      </c>
      <c r="AS189" s="962">
        <f>max(min(Valu!$C$14,$P189),$P189-max($P189-Valu!$C$14,0)/$R189*(AS$3-1))</f>
        <v>0.2325</v>
      </c>
      <c r="AT189" s="962">
        <f>max(min(Valu!$C$14,$P189),$P189-max($P189-Valu!$C$14,0)/$R189*(AT$3-1))</f>
        <v>0.21</v>
      </c>
      <c r="AU189" s="962">
        <f>max(min(Valu!$C$14,$P189),$P189-max($P189-Valu!$C$14,0)/$R189*(AU$3-1))</f>
        <v>0.1875</v>
      </c>
      <c r="AV189" s="962">
        <f>max(min(Valu!$C$14,$P189),$P189-max($P189-Valu!$C$14,0)/$R189*(AV$3-1))</f>
        <v>0.165</v>
      </c>
      <c r="AW189" s="962">
        <f>max(min(Valu!$C$14,$P189),$P189-max($P189-Valu!$C$14,0)/$R189*(AW$3-1))</f>
        <v>0.1425</v>
      </c>
      <c r="AX189" s="962">
        <f>max(min(Valu!$C$14,$P189),$P189-max($P189-Valu!$C$14,0)/$R189*(AX$3-1))</f>
        <v>0.12</v>
      </c>
      <c r="AY189" s="962">
        <f>max(min(Valu!$C$14,$P189),$P189-max($P189-Valu!$C$14,0)/$R189*(AY$3-1))</f>
        <v>0.12</v>
      </c>
      <c r="AZ189" s="962">
        <f>max(min(Valu!$C$14,$P189),$P189-max($P189-Valu!$C$14,0)/$R189*(AZ$3-1))</f>
        <v>0.12</v>
      </c>
      <c r="BA189" s="962">
        <f>max(min(Valu!$C$14,$P189),$P189-max($P189-Valu!$C$14,0)/$R189*(BA$3-1))</f>
        <v>0.12</v>
      </c>
      <c r="BB189" s="962">
        <f>max(min(Valu!$C$14,$P189),$P189-max($P189-Valu!$C$14,0)/$R189*(BB$3-1))</f>
        <v>0.12</v>
      </c>
      <c r="BC189" s="962">
        <f>max(min(Valu!$C$14,$P189),$P189-max($P189-Valu!$C$14,0)/$R189*(BC$3-1))</f>
        <v>0.12</v>
      </c>
      <c r="BD189" s="962">
        <f>max(min(Valu!$C$14,$P189),$P189-max($P189-Valu!$C$14,0)/$R189*(BD$3-1))</f>
        <v>0.12</v>
      </c>
      <c r="BE189" s="962">
        <f>max(min(Valu!$C$14,$P189),$P189-max($P189-Valu!$C$14,0)/$R189*(BE$3-1))</f>
        <v>0.12</v>
      </c>
      <c r="BF189" s="962">
        <f>max(min(Valu!$C$14,$P189),$P189-max($P189-Valu!$C$14,0)/$R189*(BF$3-1))</f>
        <v>0.12</v>
      </c>
      <c r="BG189" s="962">
        <f>max(min(Valu!$C$14,$P189),$P189-max($P189-Valu!$C$14,0)/$R189*(BG$3-1))</f>
        <v>0.12</v>
      </c>
      <c r="BH189" s="962">
        <f>max(min(Valu!$C$14,$P189),$P189-max($P189-Valu!$C$14,0)/$R189*(BH$3-1))</f>
        <v>0.12</v>
      </c>
      <c r="BI189" s="962">
        <f>max(min(Valu!$C$14,$P189),$P189-max($P189-Valu!$C$14,0)/$R189*(BI$3-1))</f>
        <v>0.12</v>
      </c>
      <c r="BJ189" s="965">
        <f>N189</f>
        <v>5.343284799</v>
      </c>
      <c r="BK189" s="966">
        <f>$BJ189*(1+V189)</f>
        <v>6.144777519</v>
      </c>
      <c r="BL189" s="966">
        <f t="shared" ref="BL189:CC189" si="116">BK189*(1+W189)</f>
        <v>6.974322484</v>
      </c>
      <c r="BM189" s="966">
        <f t="shared" si="116"/>
        <v>7.811241182</v>
      </c>
      <c r="BN189" s="966">
        <f t="shared" si="116"/>
        <v>8.631421507</v>
      </c>
      <c r="BO189" s="966">
        <f t="shared" si="116"/>
        <v>9.408249442</v>
      </c>
      <c r="BP189" s="966">
        <f t="shared" si="116"/>
        <v>10.11386815</v>
      </c>
      <c r="BQ189" s="966">
        <f t="shared" si="116"/>
        <v>10.72070024</v>
      </c>
      <c r="BR189" s="966">
        <f t="shared" si="116"/>
        <v>11.20313175</v>
      </c>
      <c r="BS189" s="966">
        <f t="shared" si="116"/>
        <v>11.5392257</v>
      </c>
      <c r="BT189" s="966">
        <f t="shared" si="116"/>
        <v>11.88540247</v>
      </c>
      <c r="BU189" s="966">
        <f t="shared" si="116"/>
        <v>12.24196455</v>
      </c>
      <c r="BV189" s="966">
        <f t="shared" si="116"/>
        <v>12.60922348</v>
      </c>
      <c r="BW189" s="966">
        <f t="shared" si="116"/>
        <v>12.98750019</v>
      </c>
      <c r="BX189" s="966">
        <f t="shared" si="116"/>
        <v>13.37712519</v>
      </c>
      <c r="BY189" s="966">
        <f t="shared" si="116"/>
        <v>13.77843895</v>
      </c>
      <c r="BZ189" s="966">
        <f t="shared" si="116"/>
        <v>14.19179212</v>
      </c>
      <c r="CA189" s="966">
        <f t="shared" si="116"/>
        <v>14.61754588</v>
      </c>
      <c r="CB189" s="966">
        <f t="shared" si="116"/>
        <v>15.05607226</v>
      </c>
      <c r="CC189" s="966">
        <f t="shared" si="116"/>
        <v>15.50775443</v>
      </c>
      <c r="CD189" s="966">
        <f t="shared" ref="CD189:CW189" si="117">BJ189*(1-V189/AP189)</f>
        <v>2.6716424</v>
      </c>
      <c r="CE189" s="966">
        <f t="shared" si="117"/>
        <v>3.155426294</v>
      </c>
      <c r="CF189" s="966">
        <f t="shared" si="117"/>
        <v>3.692288374</v>
      </c>
      <c r="CG189" s="966">
        <f t="shared" si="117"/>
        <v>4.283583874</v>
      </c>
      <c r="CH189" s="966">
        <f t="shared" si="117"/>
        <v>4.932240861</v>
      </c>
      <c r="CI189" s="966">
        <f t="shared" si="117"/>
        <v>5.644949665</v>
      </c>
      <c r="CJ189" s="966">
        <f t="shared" si="117"/>
        <v>6.436097914</v>
      </c>
      <c r="CK189" s="966">
        <f t="shared" si="117"/>
        <v>7.335215953</v>
      </c>
      <c r="CL189" s="966">
        <f t="shared" si="117"/>
        <v>8.402348813</v>
      </c>
      <c r="CM189" s="966">
        <f t="shared" si="117"/>
        <v>8.654419277</v>
      </c>
      <c r="CN189" s="966">
        <f t="shared" si="117"/>
        <v>8.914051855</v>
      </c>
      <c r="CO189" s="966">
        <f t="shared" si="117"/>
        <v>9.181473411</v>
      </c>
      <c r="CP189" s="966">
        <f t="shared" si="117"/>
        <v>9.456917613</v>
      </c>
      <c r="CQ189" s="966">
        <f t="shared" si="117"/>
        <v>9.740625142</v>
      </c>
      <c r="CR189" s="966">
        <f t="shared" si="117"/>
        <v>10.0328439</v>
      </c>
      <c r="CS189" s="966">
        <f t="shared" si="117"/>
        <v>10.33382921</v>
      </c>
      <c r="CT189" s="966">
        <f t="shared" si="117"/>
        <v>10.64384409</v>
      </c>
      <c r="CU189" s="966">
        <f t="shared" si="117"/>
        <v>10.96315941</v>
      </c>
      <c r="CV189" s="966">
        <f t="shared" si="117"/>
        <v>11.29205419</v>
      </c>
      <c r="CW189" s="966">
        <f t="shared" si="117"/>
        <v>11.63081582</v>
      </c>
      <c r="CX189" s="966">
        <f>CW189*(1+min(Valu!$C$15,$O189))/(Valu!$C$21-min(Valu!$C$15,$O189))</f>
        <v>315.2563235</v>
      </c>
      <c r="CY189" s="966">
        <f>CD189/(1+Valu!$C$21)^CY$3</f>
        <v>2.501537827</v>
      </c>
      <c r="CZ189" s="966">
        <f>CE189/(1+Valu!$C$21)^CZ$3</f>
        <v>2.76640356</v>
      </c>
      <c r="DA189" s="966">
        <f>CF189/(1+Valu!$C$21)^DA$3</f>
        <v>3.030971514</v>
      </c>
      <c r="DB189" s="966">
        <f>CG189/(1+Valu!$C$21)^DB$3</f>
        <v>3.292473318</v>
      </c>
      <c r="DC189" s="966">
        <f>CH189/(1+Valu!$C$21)^DC$3</f>
        <v>3.549670271</v>
      </c>
      <c r="DD189" s="966">
        <f>CI189/(1+Valu!$C$21)^DD$3</f>
        <v>3.803930361</v>
      </c>
      <c r="DE189" s="966">
        <f>CJ189/(1+Valu!$C$21)^DE$3</f>
        <v>4.060914761</v>
      </c>
      <c r="DF189" s="966">
        <f>CK189/(1+Valu!$C$21)^DF$3</f>
        <v>4.33354073</v>
      </c>
      <c r="DG189" s="966">
        <f>CL189/(1+Valu!$C$21)^DG$3</f>
        <v>4.647928435</v>
      </c>
      <c r="DH189" s="966">
        <f>CM189/(1+Valu!$C$21)^DH$3</f>
        <v>4.482552704</v>
      </c>
      <c r="DI189" s="966">
        <f>CN189/(1+Valu!$C$21)^DI$3</f>
        <v>4.323061129</v>
      </c>
      <c r="DJ189" s="966">
        <f>CO189/(1+Valu!$C$21)^DJ$3</f>
        <v>4.169244347</v>
      </c>
      <c r="DK189" s="966">
        <f>CP189/(1+Valu!$C$21)^DK$3</f>
        <v>4.020900447</v>
      </c>
      <c r="DL189" s="966">
        <f>CQ189/(1+Valu!$C$21)^DL$3</f>
        <v>3.877834701</v>
      </c>
      <c r="DM189" s="966">
        <f>CR189/(1+Valu!$C$21)^DM$3</f>
        <v>3.739859309</v>
      </c>
      <c r="DN189" s="966">
        <f>CS189/(1+Valu!$C$21)^DN$3</f>
        <v>3.606793153</v>
      </c>
      <c r="DO189" s="966">
        <f>CT189/(1+Valu!$C$21)^DO$3</f>
        <v>3.478461562</v>
      </c>
      <c r="DP189" s="966">
        <f>CU189/(1+Valu!$C$21)^DP$3</f>
        <v>3.354696076</v>
      </c>
      <c r="DQ189" s="966">
        <f>CV189/(1+Valu!$C$21)^DQ$3</f>
        <v>3.23533423</v>
      </c>
      <c r="DR189" s="966">
        <f>CW189/(1+Valu!$C$21)^DR$3</f>
        <v>3.120219342</v>
      </c>
      <c r="DS189" s="966">
        <f>CX189/(1+Valu!$C$21)^DS$3</f>
        <v>84.57436637</v>
      </c>
      <c r="DT189" s="358"/>
      <c r="DU189" s="358"/>
      <c r="DV189" s="358"/>
      <c r="DW189" s="358"/>
    </row>
    <row r="190" ht="15.0" customHeight="1">
      <c r="A190" s="456">
        <v>40080.0</v>
      </c>
      <c r="B190" s="457" t="s">
        <v>2878</v>
      </c>
      <c r="C190" s="457" t="s">
        <v>2879</v>
      </c>
      <c r="D190" s="458">
        <v>40079.0</v>
      </c>
      <c r="E190" s="460" t="str">
        <f>IFERROR(__xludf.DUMMYFUNCTION("if(and(D190&lt;&gt;0,D190&lt;&gt;""""),D190/GOOGLEFINANCE(C190,""price"")-1,"""")"),"#N/A")</f>
        <v>#N/A</v>
      </c>
      <c r="F190" s="462" t="str">
        <f>IFERROR(__xludf.DUMMYFUNCTION("GOOGLEFINANCE(C190,""price"")"),"#N/A")</f>
        <v>#N/A</v>
      </c>
      <c r="G190" s="460" t="str">
        <f t="shared" si="6"/>
        <v/>
      </c>
      <c r="H190" s="463"/>
      <c r="I190" s="463"/>
      <c r="J190" s="466"/>
      <c r="K190" s="466"/>
      <c r="L190" s="467"/>
      <c r="M190" s="469">
        <f t="shared" si="7"/>
        <v>-119.9023034</v>
      </c>
      <c r="N190" s="466">
        <f t="shared" si="8"/>
        <v>0</v>
      </c>
      <c r="O190" s="467"/>
      <c r="P190" s="471"/>
      <c r="Q190" s="469"/>
      <c r="R190" s="472"/>
      <c r="S190" s="472"/>
      <c r="T190" s="472"/>
      <c r="U190" s="473"/>
      <c r="V190" s="319"/>
      <c r="W190" s="319"/>
      <c r="X190" s="319"/>
      <c r="Y190" s="319"/>
      <c r="Z190" s="319"/>
      <c r="AA190" s="319"/>
      <c r="AB190" s="319"/>
      <c r="AC190" s="319"/>
      <c r="AD190" s="319"/>
      <c r="AE190" s="319"/>
      <c r="AF190" s="319"/>
      <c r="AG190" s="319"/>
      <c r="AH190" s="319"/>
      <c r="AI190" s="319"/>
      <c r="AJ190" s="319"/>
      <c r="AK190" s="319"/>
      <c r="AL190" s="319"/>
      <c r="AM190" s="319"/>
      <c r="AN190" s="319"/>
      <c r="AO190" s="319"/>
      <c r="AP190" s="319"/>
      <c r="AQ190" s="319"/>
      <c r="AR190" s="319"/>
      <c r="AS190" s="319"/>
      <c r="AT190" s="319"/>
      <c r="AU190" s="319"/>
      <c r="AV190" s="319"/>
      <c r="AW190" s="319"/>
      <c r="AX190" s="319"/>
      <c r="AY190" s="319"/>
      <c r="AZ190" s="319"/>
      <c r="BA190" s="319"/>
      <c r="BB190" s="319"/>
      <c r="BC190" s="319"/>
      <c r="BD190" s="319"/>
      <c r="BE190" s="319"/>
      <c r="BF190" s="319"/>
      <c r="BG190" s="319"/>
      <c r="BH190" s="319"/>
      <c r="BI190" s="319"/>
      <c r="BJ190" s="319"/>
      <c r="BK190" s="319"/>
      <c r="BL190" s="319"/>
      <c r="BM190" s="319"/>
      <c r="BN190" s="319"/>
      <c r="BO190" s="319"/>
      <c r="BP190" s="319"/>
      <c r="BQ190" s="319"/>
      <c r="BR190" s="319"/>
      <c r="BS190" s="319"/>
      <c r="BT190" s="319"/>
      <c r="BU190" s="319"/>
      <c r="BV190" s="319"/>
      <c r="BW190" s="319"/>
      <c r="BX190" s="319"/>
      <c r="BY190" s="319"/>
      <c r="BZ190" s="319"/>
      <c r="CA190" s="319"/>
      <c r="CB190" s="319"/>
      <c r="CC190" s="319"/>
      <c r="CD190" s="319"/>
      <c r="CE190" s="319"/>
      <c r="CF190" s="319"/>
      <c r="CG190" s="319"/>
      <c r="CH190" s="319"/>
      <c r="CI190" s="319"/>
      <c r="CJ190" s="319"/>
      <c r="CK190" s="319"/>
      <c r="CL190" s="319"/>
      <c r="CM190" s="319"/>
      <c r="CN190" s="319"/>
      <c r="CO190" s="319"/>
      <c r="CP190" s="319"/>
      <c r="CQ190" s="319"/>
      <c r="CR190" s="319"/>
      <c r="CS190" s="319"/>
      <c r="CT190" s="319"/>
      <c r="CU190" s="319"/>
      <c r="CV190" s="319"/>
      <c r="CW190" s="319"/>
      <c r="CX190" s="319"/>
      <c r="CY190" s="319"/>
      <c r="CZ190" s="319"/>
      <c r="DA190" s="319"/>
      <c r="DB190" s="319"/>
      <c r="DC190" s="319"/>
      <c r="DD190" s="319"/>
      <c r="DE190" s="319"/>
      <c r="DF190" s="319"/>
      <c r="DG190" s="319"/>
      <c r="DH190" s="319"/>
      <c r="DI190" s="319"/>
      <c r="DJ190" s="319"/>
      <c r="DK190" s="319"/>
      <c r="DL190" s="319"/>
      <c r="DM190" s="319"/>
      <c r="DN190" s="319"/>
      <c r="DO190" s="319"/>
      <c r="DP190" s="319"/>
      <c r="DQ190" s="319"/>
      <c r="DR190" s="319"/>
      <c r="DS190" s="319"/>
      <c r="DT190" s="319"/>
      <c r="DU190" s="319"/>
      <c r="DV190" s="319"/>
      <c r="DW190" s="319"/>
    </row>
    <row r="191" ht="15.0" customHeight="1">
      <c r="A191" s="456">
        <v>40914.0</v>
      </c>
      <c r="B191" s="457" t="s">
        <v>2880</v>
      </c>
      <c r="C191" s="457" t="s">
        <v>2881</v>
      </c>
      <c r="D191" s="458"/>
      <c r="E191" s="460" t="str">
        <f>IFERROR(__xludf.DUMMYFUNCTION("if(and(D191&lt;&gt;0,D191&lt;&gt;""""),D191/GOOGLEFINANCE(C191,""price"")-1,"""")"),"")</f>
        <v/>
      </c>
      <c r="F191" s="462">
        <f>IFERROR(__xludf.DUMMYFUNCTION("GOOGLEFINANCE(C191,""price"")"),9.2)</f>
        <v>9.2</v>
      </c>
      <c r="G191" s="460" t="str">
        <f t="shared" si="6"/>
        <v/>
      </c>
      <c r="H191" s="463"/>
      <c r="I191" s="463"/>
      <c r="J191" s="466"/>
      <c r="K191" s="466"/>
      <c r="L191" s="467"/>
      <c r="M191" s="469">
        <f t="shared" si="7"/>
        <v>-119.9023034</v>
      </c>
      <c r="N191" s="466">
        <f t="shared" si="8"/>
        <v>0</v>
      </c>
      <c r="O191" s="467"/>
      <c r="P191" s="471"/>
      <c r="Q191" s="469"/>
      <c r="R191" s="472"/>
      <c r="S191" s="472"/>
      <c r="T191" s="472"/>
      <c r="U191" s="473" t="s">
        <v>2882</v>
      </c>
      <c r="V191" s="319"/>
      <c r="W191" s="319"/>
      <c r="X191" s="319"/>
      <c r="Y191" s="319"/>
      <c r="Z191" s="319"/>
      <c r="AA191" s="319"/>
      <c r="AB191" s="319"/>
      <c r="AC191" s="319"/>
      <c r="AD191" s="319"/>
      <c r="AE191" s="319"/>
      <c r="AF191" s="319"/>
      <c r="AG191" s="319"/>
      <c r="AH191" s="319"/>
      <c r="AI191" s="319"/>
      <c r="AJ191" s="319"/>
      <c r="AK191" s="319"/>
      <c r="AL191" s="319"/>
      <c r="AM191" s="319"/>
      <c r="AN191" s="319"/>
      <c r="AO191" s="319"/>
      <c r="AP191" s="319"/>
      <c r="AQ191" s="319"/>
      <c r="AR191" s="319"/>
      <c r="AS191" s="319"/>
      <c r="AT191" s="319"/>
      <c r="AU191" s="319"/>
      <c r="AV191" s="319"/>
      <c r="AW191" s="319"/>
      <c r="AX191" s="319"/>
      <c r="AY191" s="319"/>
      <c r="AZ191" s="319"/>
      <c r="BA191" s="319"/>
      <c r="BB191" s="319"/>
      <c r="BC191" s="319"/>
      <c r="BD191" s="319"/>
      <c r="BE191" s="319"/>
      <c r="BF191" s="319"/>
      <c r="BG191" s="319"/>
      <c r="BH191" s="319"/>
      <c r="BI191" s="319"/>
      <c r="BJ191" s="319"/>
      <c r="BK191" s="319"/>
      <c r="BL191" s="319"/>
      <c r="BM191" s="319"/>
      <c r="BN191" s="319"/>
      <c r="BO191" s="319"/>
      <c r="BP191" s="319"/>
      <c r="BQ191" s="319"/>
      <c r="BR191" s="319"/>
      <c r="BS191" s="319"/>
      <c r="BT191" s="319"/>
      <c r="BU191" s="319"/>
      <c r="BV191" s="319"/>
      <c r="BW191" s="319"/>
      <c r="BX191" s="319"/>
      <c r="BY191" s="319"/>
      <c r="BZ191" s="319"/>
      <c r="CA191" s="319"/>
      <c r="CB191" s="319"/>
      <c r="CC191" s="319"/>
      <c r="CD191" s="319"/>
      <c r="CE191" s="319"/>
      <c r="CF191" s="319"/>
      <c r="CG191" s="319"/>
      <c r="CH191" s="319"/>
      <c r="CI191" s="319"/>
      <c r="CJ191" s="319"/>
      <c r="CK191" s="319"/>
      <c r="CL191" s="319"/>
      <c r="CM191" s="319"/>
      <c r="CN191" s="319"/>
      <c r="CO191" s="319"/>
      <c r="CP191" s="319"/>
      <c r="CQ191" s="319"/>
      <c r="CR191" s="319"/>
      <c r="CS191" s="319"/>
      <c r="CT191" s="319"/>
      <c r="CU191" s="319"/>
      <c r="CV191" s="319"/>
      <c r="CW191" s="319"/>
      <c r="CX191" s="319"/>
      <c r="CY191" s="319"/>
      <c r="CZ191" s="319"/>
      <c r="DA191" s="319"/>
      <c r="DB191" s="319"/>
      <c r="DC191" s="319"/>
      <c r="DD191" s="319"/>
      <c r="DE191" s="319"/>
      <c r="DF191" s="319"/>
      <c r="DG191" s="319"/>
      <c r="DH191" s="319"/>
      <c r="DI191" s="319"/>
      <c r="DJ191" s="319"/>
      <c r="DK191" s="319"/>
      <c r="DL191" s="319"/>
      <c r="DM191" s="319"/>
      <c r="DN191" s="319"/>
      <c r="DO191" s="319"/>
      <c r="DP191" s="319"/>
      <c r="DQ191" s="319"/>
      <c r="DR191" s="319"/>
      <c r="DS191" s="319"/>
      <c r="DT191" s="319"/>
      <c r="DU191" s="319"/>
      <c r="DV191" s="319"/>
      <c r="DW191" s="319"/>
    </row>
    <row r="192" ht="15.0" customHeight="1">
      <c r="A192" s="372">
        <v>42438.0</v>
      </c>
      <c r="B192" s="384" t="s">
        <v>2883</v>
      </c>
      <c r="C192" s="384" t="s">
        <v>2884</v>
      </c>
      <c r="D192" s="532"/>
      <c r="E192" s="374" t="str">
        <f>IFERROR(__xludf.DUMMYFUNCTION("if(and(D192&lt;&gt;0,D192&lt;&gt;""""),D192/GOOGLEFINANCE(C192,""price"")-1,"""")"),"")</f>
        <v/>
      </c>
      <c r="F192" s="375">
        <f>IFERROR(__xludf.DUMMYFUNCTION("GOOGLEFINANCE(C192,""price"")"),80.05)</f>
        <v>80.05</v>
      </c>
      <c r="G192" s="374">
        <f t="shared" si="6"/>
        <v>0.8153360032</v>
      </c>
      <c r="H192" s="633"/>
      <c r="I192" s="642">
        <f>6.4*($I$1+8)</f>
        <v>145.3176471</v>
      </c>
      <c r="J192" s="380"/>
      <c r="K192" s="380"/>
      <c r="L192" s="389"/>
      <c r="M192" s="379">
        <f t="shared" si="7"/>
        <v>-119.9023034</v>
      </c>
      <c r="N192" s="380">
        <f t="shared" si="8"/>
        <v>0</v>
      </c>
      <c r="O192" s="389"/>
      <c r="P192" s="415"/>
      <c r="Q192" s="379"/>
      <c r="R192" s="416"/>
      <c r="S192" s="416"/>
      <c r="T192" s="416"/>
      <c r="U192" s="417"/>
      <c r="V192" s="367"/>
      <c r="W192" s="367"/>
      <c r="X192" s="367"/>
      <c r="Y192" s="367"/>
      <c r="Z192" s="367"/>
      <c r="AA192" s="367"/>
      <c r="AB192" s="367"/>
      <c r="AC192" s="367"/>
      <c r="AD192" s="367"/>
      <c r="AE192" s="367"/>
      <c r="AF192" s="367"/>
      <c r="AG192" s="367"/>
      <c r="AH192" s="367"/>
      <c r="AI192" s="367"/>
      <c r="AJ192" s="367"/>
      <c r="AK192" s="367"/>
      <c r="AL192" s="367"/>
      <c r="AM192" s="367"/>
      <c r="AN192" s="367"/>
      <c r="AO192" s="367"/>
      <c r="AP192" s="367"/>
      <c r="AQ192" s="367"/>
      <c r="AR192" s="367"/>
      <c r="AS192" s="367"/>
      <c r="AT192" s="367"/>
      <c r="AU192" s="367"/>
      <c r="AV192" s="367"/>
      <c r="AW192" s="367"/>
      <c r="AX192" s="367"/>
      <c r="AY192" s="367"/>
      <c r="AZ192" s="367"/>
      <c r="BA192" s="367"/>
      <c r="BB192" s="367"/>
      <c r="BC192" s="367"/>
      <c r="BD192" s="367"/>
      <c r="BE192" s="367"/>
      <c r="BF192" s="367"/>
      <c r="BG192" s="367"/>
      <c r="BH192" s="367"/>
      <c r="BI192" s="367"/>
      <c r="BJ192" s="367"/>
      <c r="BK192" s="367"/>
      <c r="BL192" s="367"/>
      <c r="BM192" s="367"/>
      <c r="BN192" s="367"/>
      <c r="BO192" s="367"/>
      <c r="BP192" s="367"/>
      <c r="BQ192" s="367"/>
      <c r="BR192" s="367"/>
      <c r="BS192" s="367"/>
      <c r="BT192" s="367"/>
      <c r="BU192" s="367"/>
      <c r="BV192" s="367"/>
      <c r="BW192" s="367"/>
      <c r="BX192" s="367"/>
      <c r="BY192" s="367"/>
      <c r="BZ192" s="367"/>
      <c r="CA192" s="367"/>
      <c r="CB192" s="367"/>
      <c r="CC192" s="367"/>
      <c r="CD192" s="367"/>
      <c r="CE192" s="367"/>
      <c r="CF192" s="367"/>
      <c r="CG192" s="367"/>
      <c r="CH192" s="367"/>
      <c r="CI192" s="367"/>
      <c r="CJ192" s="367"/>
      <c r="CK192" s="367"/>
      <c r="CL192" s="367"/>
      <c r="CM192" s="367"/>
      <c r="CN192" s="367"/>
      <c r="CO192" s="367"/>
      <c r="CP192" s="367"/>
      <c r="CQ192" s="367"/>
      <c r="CR192" s="367"/>
      <c r="CS192" s="367"/>
      <c r="CT192" s="367"/>
      <c r="CU192" s="367"/>
      <c r="CV192" s="367"/>
      <c r="CW192" s="367"/>
      <c r="CX192" s="367"/>
      <c r="CY192" s="367"/>
      <c r="CZ192" s="367"/>
      <c r="DA192" s="367"/>
      <c r="DB192" s="367"/>
      <c r="DC192" s="367"/>
      <c r="DD192" s="367"/>
      <c r="DE192" s="367"/>
      <c r="DF192" s="367"/>
      <c r="DG192" s="367"/>
      <c r="DH192" s="367"/>
      <c r="DI192" s="367"/>
      <c r="DJ192" s="367"/>
      <c r="DK192" s="367"/>
      <c r="DL192" s="367"/>
      <c r="DM192" s="367"/>
      <c r="DN192" s="367"/>
      <c r="DO192" s="367"/>
      <c r="DP192" s="367"/>
      <c r="DQ192" s="367"/>
      <c r="DR192" s="367"/>
      <c r="DS192" s="367"/>
      <c r="DT192" s="367"/>
      <c r="DU192" s="367"/>
      <c r="DV192" s="367"/>
      <c r="DW192" s="367"/>
    </row>
    <row r="193" ht="15.0" customHeight="1">
      <c r="A193" s="383">
        <v>40592.0</v>
      </c>
      <c r="B193" s="320" t="s">
        <v>2885</v>
      </c>
      <c r="C193" s="320" t="s">
        <v>2886</v>
      </c>
      <c r="D193" s="373">
        <v>47.0</v>
      </c>
      <c r="E193" s="374">
        <f>IFERROR(__xludf.DUMMYFUNCTION("if(and(D193&lt;&gt;0,D193&lt;&gt;""""),D193/GOOGLEFINANCE(C193,""price"")-1,"""")"),-0.16755224938009217)</f>
        <v>-0.1675522494</v>
      </c>
      <c r="F193" s="375">
        <f>IFERROR(__xludf.DUMMYFUNCTION("GOOGLEFINANCE(C193,""price"")"),56.46)</f>
        <v>56.46</v>
      </c>
      <c r="G193" s="969">
        <f t="shared" si="6"/>
        <v>-0.00717800339</v>
      </c>
      <c r="H193" s="522"/>
      <c r="I193" s="970">
        <f t="shared" ref="I193:I195" si="118">N193*($I$1+O193*100)</f>
        <v>56.05472993</v>
      </c>
      <c r="J193" s="377">
        <v>4.33</v>
      </c>
      <c r="K193" s="377">
        <v>4.65</v>
      </c>
      <c r="L193" s="378">
        <v>43830.0</v>
      </c>
      <c r="M193" s="379">
        <f t="shared" si="7"/>
        <v>0.1798884219</v>
      </c>
      <c r="N193" s="380">
        <f t="shared" si="8"/>
        <v>4.592435705</v>
      </c>
      <c r="O193" s="370">
        <v>-0.025</v>
      </c>
      <c r="P193" s="370"/>
      <c r="Q193" s="371"/>
      <c r="R193" s="378"/>
      <c r="S193" s="378">
        <v>43594.0</v>
      </c>
      <c r="T193" s="381" t="s">
        <v>1240</v>
      </c>
      <c r="U193" s="382" t="s">
        <v>2888</v>
      </c>
      <c r="V193" s="358"/>
      <c r="W193" s="358"/>
      <c r="X193" s="358"/>
      <c r="Y193" s="358"/>
      <c r="Z193" s="358"/>
      <c r="AA193" s="358"/>
      <c r="AB193" s="358"/>
      <c r="AC193" s="358"/>
      <c r="AD193" s="358"/>
      <c r="AE193" s="358"/>
      <c r="AF193" s="358"/>
      <c r="AG193" s="358"/>
      <c r="AH193" s="358"/>
      <c r="AI193" s="358"/>
      <c r="AJ193" s="358"/>
      <c r="AK193" s="358"/>
      <c r="AL193" s="358"/>
      <c r="AM193" s="358"/>
      <c r="AN193" s="358"/>
      <c r="AO193" s="358"/>
      <c r="AP193" s="358"/>
      <c r="AQ193" s="358"/>
      <c r="AR193" s="358"/>
      <c r="AS193" s="358"/>
      <c r="AT193" s="358"/>
      <c r="AU193" s="358"/>
      <c r="AV193" s="358"/>
      <c r="AW193" s="358"/>
      <c r="AX193" s="358"/>
      <c r="AY193" s="358"/>
      <c r="AZ193" s="358"/>
      <c r="BA193" s="358"/>
      <c r="BB193" s="358"/>
      <c r="BC193" s="358"/>
      <c r="BD193" s="358"/>
      <c r="BE193" s="358"/>
      <c r="BF193" s="358"/>
      <c r="BG193" s="358"/>
      <c r="BH193" s="358"/>
      <c r="BI193" s="358"/>
      <c r="BJ193" s="358"/>
      <c r="BK193" s="358"/>
      <c r="BL193" s="358"/>
      <c r="BM193" s="358"/>
      <c r="BN193" s="358"/>
      <c r="BO193" s="358"/>
      <c r="BP193" s="358"/>
      <c r="BQ193" s="358"/>
      <c r="BR193" s="358"/>
      <c r="BS193" s="358"/>
      <c r="BT193" s="358"/>
      <c r="BU193" s="358"/>
      <c r="BV193" s="358"/>
      <c r="BW193" s="358"/>
      <c r="BX193" s="358"/>
      <c r="BY193" s="358"/>
      <c r="BZ193" s="358"/>
      <c r="CA193" s="358"/>
      <c r="CB193" s="358"/>
      <c r="CC193" s="358"/>
      <c r="CD193" s="358"/>
      <c r="CE193" s="358"/>
      <c r="CF193" s="358"/>
      <c r="CG193" s="358"/>
      <c r="CH193" s="358"/>
      <c r="CI193" s="358"/>
      <c r="CJ193" s="358"/>
      <c r="CK193" s="358"/>
      <c r="CL193" s="358"/>
      <c r="CM193" s="358"/>
      <c r="CN193" s="358"/>
      <c r="CO193" s="358"/>
      <c r="CP193" s="358"/>
      <c r="CQ193" s="358"/>
      <c r="CR193" s="358"/>
      <c r="CS193" s="358"/>
      <c r="CT193" s="358"/>
      <c r="CU193" s="358"/>
      <c r="CV193" s="358"/>
      <c r="CW193" s="358"/>
      <c r="CX193" s="358"/>
      <c r="CY193" s="358"/>
      <c r="CZ193" s="358"/>
      <c r="DA193" s="358"/>
      <c r="DB193" s="358"/>
      <c r="DC193" s="358"/>
      <c r="DD193" s="358"/>
      <c r="DE193" s="358"/>
      <c r="DF193" s="358"/>
      <c r="DG193" s="358"/>
      <c r="DH193" s="358"/>
      <c r="DI193" s="358"/>
      <c r="DJ193" s="358"/>
      <c r="DK193" s="358"/>
      <c r="DL193" s="358"/>
      <c r="DM193" s="358"/>
      <c r="DN193" s="358"/>
      <c r="DO193" s="358"/>
      <c r="DP193" s="358"/>
      <c r="DQ193" s="358"/>
      <c r="DR193" s="358"/>
      <c r="DS193" s="358"/>
      <c r="DT193" s="358"/>
      <c r="DU193" s="358"/>
      <c r="DV193" s="358"/>
      <c r="DW193" s="358"/>
    </row>
    <row r="194" ht="15.0" customHeight="1">
      <c r="A194" s="388">
        <v>43313.0</v>
      </c>
      <c r="B194" s="373" t="s">
        <v>2889</v>
      </c>
      <c r="C194" s="373" t="s">
        <v>2890</v>
      </c>
      <c r="D194" s="384"/>
      <c r="E194" s="374" t="str">
        <f>IFERROR(__xludf.DUMMYFUNCTION("if(and(D194&lt;&gt;0,D194&lt;&gt;""""),D194/GOOGLEFINANCE(C194,""price"")-1,"""")"),"")</f>
        <v/>
      </c>
      <c r="F194" s="375">
        <f>IFERROR(__xludf.DUMMYFUNCTION("GOOGLEFINANCE(C194,""price"")"),257.67)</f>
        <v>257.67</v>
      </c>
      <c r="G194" s="374">
        <f t="shared" si="6"/>
        <v>-0.2812745476</v>
      </c>
      <c r="H194" s="376"/>
      <c r="I194" s="368">
        <f t="shared" si="118"/>
        <v>185.1939873</v>
      </c>
      <c r="J194" s="377">
        <v>5.28</v>
      </c>
      <c r="K194" s="377">
        <v>6.05</v>
      </c>
      <c r="L194" s="378">
        <v>43677.0</v>
      </c>
      <c r="M194" s="379">
        <f t="shared" si="7"/>
        <v>-0.2392896603</v>
      </c>
      <c r="N194" s="380">
        <f t="shared" si="8"/>
        <v>6.234253038</v>
      </c>
      <c r="O194" s="370">
        <v>0.15</v>
      </c>
      <c r="P194" s="370"/>
      <c r="Q194" s="371"/>
      <c r="R194" s="378"/>
      <c r="S194" s="378">
        <v>43552.0</v>
      </c>
      <c r="T194" s="381" t="s">
        <v>1240</v>
      </c>
      <c r="U194" s="382" t="s">
        <v>2891</v>
      </c>
      <c r="V194" s="358"/>
      <c r="W194" s="358"/>
      <c r="X194" s="358"/>
      <c r="Y194" s="358"/>
      <c r="Z194" s="358"/>
      <c r="AA194" s="358"/>
      <c r="AB194" s="358"/>
      <c r="AC194" s="358"/>
      <c r="AD194" s="358"/>
      <c r="AE194" s="358"/>
      <c r="AF194" s="358"/>
      <c r="AG194" s="358"/>
      <c r="AH194" s="358"/>
      <c r="AI194" s="358"/>
      <c r="AJ194" s="358"/>
      <c r="AK194" s="358"/>
      <c r="AL194" s="358"/>
      <c r="AM194" s="358"/>
      <c r="AN194" s="358"/>
      <c r="AO194" s="358"/>
      <c r="AP194" s="358"/>
      <c r="AQ194" s="358"/>
      <c r="AR194" s="358"/>
      <c r="AS194" s="358"/>
      <c r="AT194" s="358"/>
      <c r="AU194" s="358"/>
      <c r="AV194" s="358"/>
      <c r="AW194" s="358"/>
      <c r="AX194" s="358"/>
      <c r="AY194" s="358"/>
      <c r="AZ194" s="358"/>
      <c r="BA194" s="358"/>
      <c r="BB194" s="358"/>
      <c r="BC194" s="358"/>
      <c r="BD194" s="358"/>
      <c r="BE194" s="358"/>
      <c r="BF194" s="358"/>
      <c r="BG194" s="358"/>
      <c r="BH194" s="358"/>
      <c r="BI194" s="358"/>
      <c r="BJ194" s="358"/>
      <c r="BK194" s="358"/>
      <c r="BL194" s="358"/>
      <c r="BM194" s="358"/>
      <c r="BN194" s="358"/>
      <c r="BO194" s="358"/>
      <c r="BP194" s="358"/>
      <c r="BQ194" s="358"/>
      <c r="BR194" s="358"/>
      <c r="BS194" s="358"/>
      <c r="BT194" s="358"/>
      <c r="BU194" s="358"/>
      <c r="BV194" s="358"/>
      <c r="BW194" s="358"/>
      <c r="BX194" s="358"/>
      <c r="BY194" s="358"/>
      <c r="BZ194" s="358"/>
      <c r="CA194" s="358"/>
      <c r="CB194" s="358"/>
      <c r="CC194" s="358"/>
      <c r="CD194" s="358"/>
      <c r="CE194" s="358"/>
      <c r="CF194" s="358"/>
      <c r="CG194" s="358"/>
      <c r="CH194" s="358"/>
      <c r="CI194" s="358"/>
      <c r="CJ194" s="358"/>
      <c r="CK194" s="358"/>
      <c r="CL194" s="358"/>
      <c r="CM194" s="358"/>
      <c r="CN194" s="358"/>
      <c r="CO194" s="358"/>
      <c r="CP194" s="358"/>
      <c r="CQ194" s="358"/>
      <c r="CR194" s="358"/>
      <c r="CS194" s="358"/>
      <c r="CT194" s="358"/>
      <c r="CU194" s="358"/>
      <c r="CV194" s="358"/>
      <c r="CW194" s="358"/>
      <c r="CX194" s="358"/>
      <c r="CY194" s="358"/>
      <c r="CZ194" s="358"/>
      <c r="DA194" s="358"/>
      <c r="DB194" s="358"/>
      <c r="DC194" s="358"/>
      <c r="DD194" s="358"/>
      <c r="DE194" s="358"/>
      <c r="DF194" s="358"/>
      <c r="DG194" s="358"/>
      <c r="DH194" s="358"/>
      <c r="DI194" s="358"/>
      <c r="DJ194" s="358"/>
      <c r="DK194" s="358"/>
      <c r="DL194" s="358"/>
      <c r="DM194" s="358"/>
      <c r="DN194" s="358"/>
      <c r="DO194" s="358"/>
      <c r="DP194" s="358"/>
      <c r="DQ194" s="358"/>
      <c r="DR194" s="358"/>
      <c r="DS194" s="358"/>
      <c r="DT194" s="358"/>
      <c r="DU194" s="358"/>
      <c r="DV194" s="358"/>
      <c r="DW194" s="358"/>
    </row>
    <row r="195" ht="15.0" customHeight="1">
      <c r="A195" s="372">
        <v>42637.0</v>
      </c>
      <c r="B195" s="384" t="s">
        <v>2892</v>
      </c>
      <c r="C195" s="384" t="s">
        <v>1377</v>
      </c>
      <c r="D195" s="384">
        <v>70.0</v>
      </c>
      <c r="E195" s="374">
        <f>IFERROR(__xludf.DUMMYFUNCTION("if(and(D195&lt;&gt;0,D195&lt;&gt;""""),D195/GOOGLEFINANCE(C195,""price"")-1,"""")"),-0.5254559012948274)</f>
        <v>-0.5254559013</v>
      </c>
      <c r="F195" s="375">
        <f>IFERROR(__xludf.DUMMYFUNCTION("GOOGLEFINANCE(C195,""price"")"),147.51)</f>
        <v>147.51</v>
      </c>
      <c r="G195" s="374">
        <f t="shared" si="6"/>
        <v>-0.08508364901</v>
      </c>
      <c r="H195" s="376"/>
      <c r="I195" s="368">
        <f t="shared" si="118"/>
        <v>134.9593109</v>
      </c>
      <c r="J195" s="377">
        <v>5.52</v>
      </c>
      <c r="K195" s="377">
        <v>6.25</v>
      </c>
      <c r="L195" s="409">
        <v>43465.0</v>
      </c>
      <c r="M195" s="379">
        <f t="shared" si="7"/>
        <v>-0.8201115759</v>
      </c>
      <c r="N195" s="380">
        <f t="shared" si="8"/>
        <v>6.84868145</v>
      </c>
      <c r="O195" s="390">
        <v>0.05</v>
      </c>
      <c r="P195" s="370"/>
      <c r="Q195" s="371"/>
      <c r="R195" s="378"/>
      <c r="S195" s="378">
        <v>43510.0</v>
      </c>
      <c r="T195" s="381" t="s">
        <v>1223</v>
      </c>
      <c r="U195" s="386" t="s">
        <v>2893</v>
      </c>
      <c r="V195" s="344"/>
      <c r="W195" s="344"/>
      <c r="X195" s="344"/>
      <c r="Y195" s="344"/>
      <c r="Z195" s="344"/>
      <c r="AA195" s="344"/>
      <c r="AB195" s="344"/>
      <c r="AC195" s="344"/>
      <c r="AD195" s="344"/>
      <c r="AE195" s="344"/>
      <c r="AF195" s="344"/>
      <c r="AG195" s="344"/>
      <c r="AH195" s="344"/>
      <c r="AI195" s="344"/>
      <c r="AJ195" s="344"/>
      <c r="AK195" s="344"/>
      <c r="AL195" s="344"/>
      <c r="AM195" s="344"/>
      <c r="AN195" s="344"/>
      <c r="AO195" s="344"/>
      <c r="AP195" s="344"/>
      <c r="AQ195" s="344"/>
      <c r="AR195" s="344"/>
      <c r="AS195" s="344"/>
      <c r="AT195" s="344"/>
      <c r="AU195" s="344"/>
      <c r="AV195" s="344"/>
      <c r="AW195" s="344"/>
      <c r="AX195" s="344"/>
      <c r="AY195" s="344"/>
      <c r="AZ195" s="344"/>
      <c r="BA195" s="344"/>
      <c r="BB195" s="344"/>
      <c r="BC195" s="344"/>
      <c r="BD195" s="344"/>
      <c r="BE195" s="344"/>
      <c r="BF195" s="344"/>
      <c r="BG195" s="344"/>
      <c r="BH195" s="344"/>
      <c r="BI195" s="344"/>
      <c r="BJ195" s="344"/>
      <c r="BK195" s="344"/>
      <c r="BL195" s="344"/>
      <c r="BM195" s="344"/>
      <c r="BN195" s="344"/>
      <c r="BO195" s="344"/>
      <c r="BP195" s="344"/>
      <c r="BQ195" s="344"/>
      <c r="BR195" s="344"/>
      <c r="BS195" s="344"/>
      <c r="BT195" s="344"/>
      <c r="BU195" s="344"/>
      <c r="BV195" s="344"/>
      <c r="BW195" s="344"/>
      <c r="BX195" s="344"/>
      <c r="BY195" s="344"/>
      <c r="BZ195" s="344"/>
      <c r="CA195" s="344"/>
      <c r="CB195" s="344"/>
      <c r="CC195" s="344"/>
      <c r="CD195" s="344"/>
      <c r="CE195" s="344"/>
      <c r="CF195" s="344"/>
      <c r="CG195" s="344"/>
      <c r="CH195" s="344"/>
      <c r="CI195" s="344"/>
      <c r="CJ195" s="344"/>
      <c r="CK195" s="344"/>
      <c r="CL195" s="344"/>
      <c r="CM195" s="344"/>
      <c r="CN195" s="344"/>
      <c r="CO195" s="344"/>
      <c r="CP195" s="344"/>
      <c r="CQ195" s="344"/>
      <c r="CR195" s="344"/>
      <c r="CS195" s="344"/>
      <c r="CT195" s="344"/>
      <c r="CU195" s="344"/>
      <c r="CV195" s="344"/>
      <c r="CW195" s="344"/>
      <c r="CX195" s="344"/>
      <c r="CY195" s="344"/>
      <c r="CZ195" s="344"/>
      <c r="DA195" s="344"/>
      <c r="DB195" s="344"/>
      <c r="DC195" s="344"/>
      <c r="DD195" s="344"/>
      <c r="DE195" s="344"/>
      <c r="DF195" s="344"/>
      <c r="DG195" s="344"/>
      <c r="DH195" s="344"/>
      <c r="DI195" s="344"/>
      <c r="DJ195" s="344"/>
      <c r="DK195" s="344"/>
      <c r="DL195" s="344"/>
      <c r="DM195" s="344"/>
      <c r="DN195" s="344"/>
      <c r="DO195" s="344"/>
      <c r="DP195" s="344"/>
      <c r="DQ195" s="344"/>
      <c r="DR195" s="344"/>
      <c r="DS195" s="344"/>
      <c r="DT195" s="344"/>
      <c r="DU195" s="344"/>
      <c r="DV195" s="344"/>
      <c r="DW195" s="344"/>
    </row>
    <row r="196" ht="15.0" customHeight="1">
      <c r="A196" s="383">
        <v>41612.0</v>
      </c>
      <c r="B196" s="320" t="s">
        <v>2894</v>
      </c>
      <c r="C196" s="320" t="s">
        <v>1418</v>
      </c>
      <c r="D196" s="532"/>
      <c r="E196" s="374" t="str">
        <f>IFERROR(__xludf.DUMMYFUNCTION("if(and(D196&lt;&gt;0,D196&lt;&gt;""""),D196/GOOGLEFINANCE(C196,""price"")-1,"""")"),"")</f>
        <v/>
      </c>
      <c r="F196" s="375">
        <f>IFERROR(__xludf.DUMMYFUNCTION("GOOGLEFINANCE(C196,""price"")"),12.49)</f>
        <v>12.49</v>
      </c>
      <c r="G196" s="374" t="str">
        <f t="shared" si="6"/>
        <v/>
      </c>
      <c r="H196" s="376">
        <f>0.97*1.75*17.5</f>
        <v>29.70625</v>
      </c>
      <c r="I196" s="376"/>
      <c r="J196" s="380"/>
      <c r="K196" s="380"/>
      <c r="L196" s="389"/>
      <c r="M196" s="379">
        <f t="shared" si="7"/>
        <v>-119.9023034</v>
      </c>
      <c r="N196" s="380">
        <f t="shared" si="8"/>
        <v>0</v>
      </c>
      <c r="O196" s="389"/>
      <c r="P196" s="415"/>
      <c r="Q196" s="379"/>
      <c r="R196" s="416"/>
      <c r="S196" s="416"/>
      <c r="T196" s="416"/>
      <c r="U196" s="417" t="s">
        <v>2895</v>
      </c>
      <c r="V196" s="367"/>
      <c r="W196" s="367"/>
      <c r="X196" s="367"/>
      <c r="Y196" s="367"/>
      <c r="Z196" s="367"/>
      <c r="AA196" s="367"/>
      <c r="AB196" s="367"/>
      <c r="AC196" s="367"/>
      <c r="AD196" s="367"/>
      <c r="AE196" s="367"/>
      <c r="AF196" s="367"/>
      <c r="AG196" s="367"/>
      <c r="AH196" s="367"/>
      <c r="AI196" s="367"/>
      <c r="AJ196" s="367"/>
      <c r="AK196" s="367"/>
      <c r="AL196" s="367"/>
      <c r="AM196" s="367"/>
      <c r="AN196" s="367"/>
      <c r="AO196" s="367"/>
      <c r="AP196" s="367"/>
      <c r="AQ196" s="367"/>
      <c r="AR196" s="367"/>
      <c r="AS196" s="367"/>
      <c r="AT196" s="367"/>
      <c r="AU196" s="367"/>
      <c r="AV196" s="367"/>
      <c r="AW196" s="367"/>
      <c r="AX196" s="367"/>
      <c r="AY196" s="367"/>
      <c r="AZ196" s="367"/>
      <c r="BA196" s="367"/>
      <c r="BB196" s="367"/>
      <c r="BC196" s="367"/>
      <c r="BD196" s="367"/>
      <c r="BE196" s="367"/>
      <c r="BF196" s="367"/>
      <c r="BG196" s="367"/>
      <c r="BH196" s="367"/>
      <c r="BI196" s="367"/>
      <c r="BJ196" s="367"/>
      <c r="BK196" s="367"/>
      <c r="BL196" s="367"/>
      <c r="BM196" s="367"/>
      <c r="BN196" s="367"/>
      <c r="BO196" s="367"/>
      <c r="BP196" s="367"/>
      <c r="BQ196" s="367"/>
      <c r="BR196" s="367"/>
      <c r="BS196" s="367"/>
      <c r="BT196" s="367"/>
      <c r="BU196" s="367"/>
      <c r="BV196" s="367"/>
      <c r="BW196" s="367"/>
      <c r="BX196" s="367"/>
      <c r="BY196" s="367"/>
      <c r="BZ196" s="367"/>
      <c r="CA196" s="367"/>
      <c r="CB196" s="367"/>
      <c r="CC196" s="367"/>
      <c r="CD196" s="367"/>
      <c r="CE196" s="367"/>
      <c r="CF196" s="367"/>
      <c r="CG196" s="367"/>
      <c r="CH196" s="367"/>
      <c r="CI196" s="367"/>
      <c r="CJ196" s="367"/>
      <c r="CK196" s="367"/>
      <c r="CL196" s="367"/>
      <c r="CM196" s="367"/>
      <c r="CN196" s="367"/>
      <c r="CO196" s="367"/>
      <c r="CP196" s="367"/>
      <c r="CQ196" s="367"/>
      <c r="CR196" s="367"/>
      <c r="CS196" s="367"/>
      <c r="CT196" s="367"/>
      <c r="CU196" s="367"/>
      <c r="CV196" s="367"/>
      <c r="CW196" s="367"/>
      <c r="CX196" s="367"/>
      <c r="CY196" s="367"/>
      <c r="CZ196" s="367"/>
      <c r="DA196" s="367"/>
      <c r="DB196" s="367"/>
      <c r="DC196" s="367"/>
      <c r="DD196" s="367"/>
      <c r="DE196" s="367"/>
      <c r="DF196" s="367"/>
      <c r="DG196" s="367"/>
      <c r="DH196" s="367"/>
      <c r="DI196" s="367"/>
      <c r="DJ196" s="367"/>
      <c r="DK196" s="367"/>
      <c r="DL196" s="367"/>
      <c r="DM196" s="367"/>
      <c r="DN196" s="367"/>
      <c r="DO196" s="367"/>
      <c r="DP196" s="367"/>
      <c r="DQ196" s="367"/>
      <c r="DR196" s="367"/>
      <c r="DS196" s="367"/>
      <c r="DT196" s="367"/>
      <c r="DU196" s="367"/>
      <c r="DV196" s="367"/>
      <c r="DW196" s="367"/>
    </row>
    <row r="197" ht="15.0" customHeight="1">
      <c r="A197" s="383">
        <v>40564.0</v>
      </c>
      <c r="B197" s="320" t="s">
        <v>2896</v>
      </c>
      <c r="C197" s="320" t="s">
        <v>840</v>
      </c>
      <c r="D197" s="384"/>
      <c r="E197" s="374" t="str">
        <f>IFERROR(__xludf.DUMMYFUNCTION("if(and(D197&lt;&gt;0,D197&lt;&gt;""""),D197/GOOGLEFINANCE(C197,""price"")-1,"""")"),"")</f>
        <v/>
      </c>
      <c r="F197" s="375">
        <f>IFERROR(__xludf.DUMMYFUNCTION("GOOGLEFINANCE(C197,""price"")"),549.27)</f>
        <v>549.27</v>
      </c>
      <c r="G197" s="374">
        <f t="shared" si="6"/>
        <v>-0.3974387313</v>
      </c>
      <c r="H197" s="376"/>
      <c r="I197" s="368">
        <f>N197*($I$1+O197*100)</f>
        <v>330.968828</v>
      </c>
      <c r="J197" s="385">
        <v>10.83</v>
      </c>
      <c r="K197" s="385">
        <v>12.24</v>
      </c>
      <c r="L197" s="409">
        <v>43465.0</v>
      </c>
      <c r="M197" s="379">
        <f t="shared" si="7"/>
        <v>-0.8201115781</v>
      </c>
      <c r="N197" s="380">
        <f t="shared" si="8"/>
        <v>13.39635733</v>
      </c>
      <c r="O197" s="370">
        <v>0.1</v>
      </c>
      <c r="P197" s="370"/>
      <c r="Q197" s="371"/>
      <c r="R197" s="378"/>
      <c r="S197" s="378">
        <v>43311.0</v>
      </c>
      <c r="T197" s="381" t="s">
        <v>1240</v>
      </c>
      <c r="U197" s="417" t="s">
        <v>2897</v>
      </c>
      <c r="V197" s="367"/>
      <c r="W197" s="367"/>
      <c r="X197" s="367"/>
      <c r="Y197" s="367"/>
      <c r="Z197" s="367"/>
      <c r="AA197" s="367"/>
      <c r="AB197" s="367"/>
      <c r="AC197" s="367"/>
      <c r="AD197" s="367"/>
      <c r="AE197" s="367"/>
      <c r="AF197" s="367"/>
      <c r="AG197" s="367"/>
      <c r="AH197" s="367"/>
      <c r="AI197" s="367"/>
      <c r="AJ197" s="367"/>
      <c r="AK197" s="367"/>
      <c r="AL197" s="367"/>
      <c r="AM197" s="367"/>
      <c r="AN197" s="367"/>
      <c r="AO197" s="367"/>
      <c r="AP197" s="367"/>
      <c r="AQ197" s="367"/>
      <c r="AR197" s="367"/>
      <c r="AS197" s="367"/>
      <c r="AT197" s="367"/>
      <c r="AU197" s="367"/>
      <c r="AV197" s="367"/>
      <c r="AW197" s="367"/>
      <c r="AX197" s="367"/>
      <c r="AY197" s="367"/>
      <c r="AZ197" s="367"/>
      <c r="BA197" s="367"/>
      <c r="BB197" s="367"/>
      <c r="BC197" s="367"/>
      <c r="BD197" s="367"/>
      <c r="BE197" s="367"/>
      <c r="BF197" s="367"/>
      <c r="BG197" s="367"/>
      <c r="BH197" s="367"/>
      <c r="BI197" s="367"/>
      <c r="BJ197" s="367"/>
      <c r="BK197" s="367"/>
      <c r="BL197" s="367"/>
      <c r="BM197" s="367"/>
      <c r="BN197" s="367"/>
      <c r="BO197" s="367"/>
      <c r="BP197" s="367"/>
      <c r="BQ197" s="367"/>
      <c r="BR197" s="367"/>
      <c r="BS197" s="367"/>
      <c r="BT197" s="367"/>
      <c r="BU197" s="367"/>
      <c r="BV197" s="367"/>
      <c r="BW197" s="367"/>
      <c r="BX197" s="367"/>
      <c r="BY197" s="367"/>
      <c r="BZ197" s="367"/>
      <c r="CA197" s="367"/>
      <c r="CB197" s="367"/>
      <c r="CC197" s="367"/>
      <c r="CD197" s="367"/>
      <c r="CE197" s="367"/>
      <c r="CF197" s="367"/>
      <c r="CG197" s="367"/>
      <c r="CH197" s="367"/>
      <c r="CI197" s="367"/>
      <c r="CJ197" s="367"/>
      <c r="CK197" s="367"/>
      <c r="CL197" s="367"/>
      <c r="CM197" s="367"/>
      <c r="CN197" s="367"/>
      <c r="CO197" s="367"/>
      <c r="CP197" s="367"/>
      <c r="CQ197" s="367"/>
      <c r="CR197" s="367"/>
      <c r="CS197" s="367"/>
      <c r="CT197" s="367"/>
      <c r="CU197" s="367"/>
      <c r="CV197" s="367"/>
      <c r="CW197" s="367"/>
      <c r="CX197" s="367"/>
      <c r="CY197" s="367"/>
      <c r="CZ197" s="367"/>
      <c r="DA197" s="367"/>
      <c r="DB197" s="367"/>
      <c r="DC197" s="367"/>
      <c r="DD197" s="367"/>
      <c r="DE197" s="367"/>
      <c r="DF197" s="367"/>
      <c r="DG197" s="367"/>
      <c r="DH197" s="367"/>
      <c r="DI197" s="367"/>
      <c r="DJ197" s="367"/>
      <c r="DK197" s="367"/>
      <c r="DL197" s="367"/>
      <c r="DM197" s="367"/>
      <c r="DN197" s="367"/>
      <c r="DO197" s="367"/>
      <c r="DP197" s="367"/>
      <c r="DQ197" s="367"/>
      <c r="DR197" s="367"/>
      <c r="DS197" s="367"/>
      <c r="DT197" s="367"/>
      <c r="DU197" s="367"/>
      <c r="DV197" s="367"/>
      <c r="DW197" s="367"/>
    </row>
    <row r="198" ht="15.0" customHeight="1">
      <c r="A198" s="372">
        <v>42799.0</v>
      </c>
      <c r="B198" s="384" t="s">
        <v>2898</v>
      </c>
      <c r="C198" s="384" t="s">
        <v>2899</v>
      </c>
      <c r="D198" s="532"/>
      <c r="E198" s="374" t="str">
        <f>IFERROR(__xludf.DUMMYFUNCTION("if(and(D198&lt;&gt;0,D198&lt;&gt;""""),D198/GOOGLEFINANCE(C198,""price"")-1,"""")"),"")</f>
        <v/>
      </c>
      <c r="F198" s="375">
        <f>IFERROR(__xludf.DUMMYFUNCTION("GOOGLEFINANCE(C198,""price"")"),61.04)</f>
        <v>61.04</v>
      </c>
      <c r="G198" s="374" t="str">
        <f t="shared" si="6"/>
        <v/>
      </c>
      <c r="H198" s="376"/>
      <c r="I198" s="376"/>
      <c r="J198" s="380"/>
      <c r="K198" s="380"/>
      <c r="L198" s="389"/>
      <c r="M198" s="379">
        <f t="shared" si="7"/>
        <v>-119.9023034</v>
      </c>
      <c r="N198" s="380">
        <f t="shared" si="8"/>
        <v>0</v>
      </c>
      <c r="O198" s="389"/>
      <c r="P198" s="390"/>
      <c r="Q198" s="391"/>
      <c r="R198" s="387"/>
      <c r="S198" s="387"/>
      <c r="T198" s="387"/>
      <c r="U198" s="386" t="s">
        <v>2900</v>
      </c>
      <c r="V198" s="344"/>
      <c r="W198" s="344"/>
      <c r="X198" s="344"/>
      <c r="Y198" s="344"/>
      <c r="Z198" s="344"/>
      <c r="AA198" s="344"/>
      <c r="AB198" s="344"/>
      <c r="AC198" s="344"/>
      <c r="AD198" s="344"/>
      <c r="AE198" s="344"/>
      <c r="AF198" s="344"/>
      <c r="AG198" s="344"/>
      <c r="AH198" s="344"/>
      <c r="AI198" s="344"/>
      <c r="AJ198" s="344"/>
      <c r="AK198" s="344"/>
      <c r="AL198" s="344"/>
      <c r="AM198" s="344"/>
      <c r="AN198" s="344"/>
      <c r="AO198" s="344"/>
      <c r="AP198" s="344"/>
      <c r="AQ198" s="344"/>
      <c r="AR198" s="344"/>
      <c r="AS198" s="344"/>
      <c r="AT198" s="344"/>
      <c r="AU198" s="344"/>
      <c r="AV198" s="344"/>
      <c r="AW198" s="344"/>
      <c r="AX198" s="344"/>
      <c r="AY198" s="344"/>
      <c r="AZ198" s="344"/>
      <c r="BA198" s="344"/>
      <c r="BB198" s="344"/>
      <c r="BC198" s="344"/>
      <c r="BD198" s="344"/>
      <c r="BE198" s="344"/>
      <c r="BF198" s="344"/>
      <c r="BG198" s="344"/>
      <c r="BH198" s="344"/>
      <c r="BI198" s="344"/>
      <c r="BJ198" s="344"/>
      <c r="BK198" s="344"/>
      <c r="BL198" s="344"/>
      <c r="BM198" s="344"/>
      <c r="BN198" s="344"/>
      <c r="BO198" s="344"/>
      <c r="BP198" s="344"/>
      <c r="BQ198" s="344"/>
      <c r="BR198" s="344"/>
      <c r="BS198" s="344"/>
      <c r="BT198" s="344"/>
      <c r="BU198" s="344"/>
      <c r="BV198" s="344"/>
      <c r="BW198" s="344"/>
      <c r="BX198" s="344"/>
      <c r="BY198" s="344"/>
      <c r="BZ198" s="344"/>
      <c r="CA198" s="344"/>
      <c r="CB198" s="344"/>
      <c r="CC198" s="344"/>
      <c r="CD198" s="344"/>
      <c r="CE198" s="344"/>
      <c r="CF198" s="344"/>
      <c r="CG198" s="344"/>
      <c r="CH198" s="344"/>
      <c r="CI198" s="344"/>
      <c r="CJ198" s="344"/>
      <c r="CK198" s="344"/>
      <c r="CL198" s="344"/>
      <c r="CM198" s="344"/>
      <c r="CN198" s="344"/>
      <c r="CO198" s="344"/>
      <c r="CP198" s="344"/>
      <c r="CQ198" s="344"/>
      <c r="CR198" s="344"/>
      <c r="CS198" s="344"/>
      <c r="CT198" s="344"/>
      <c r="CU198" s="344"/>
      <c r="CV198" s="344"/>
      <c r="CW198" s="344"/>
      <c r="CX198" s="344"/>
      <c r="CY198" s="344"/>
      <c r="CZ198" s="344"/>
      <c r="DA198" s="344"/>
      <c r="DB198" s="344"/>
      <c r="DC198" s="344"/>
      <c r="DD198" s="344"/>
      <c r="DE198" s="344"/>
      <c r="DF198" s="344"/>
      <c r="DG198" s="344"/>
      <c r="DH198" s="344"/>
      <c r="DI198" s="344"/>
      <c r="DJ198" s="344"/>
      <c r="DK198" s="344"/>
      <c r="DL198" s="344"/>
      <c r="DM198" s="344"/>
      <c r="DN198" s="344"/>
      <c r="DO198" s="344"/>
      <c r="DP198" s="344"/>
      <c r="DQ198" s="344"/>
      <c r="DR198" s="344"/>
      <c r="DS198" s="344"/>
      <c r="DT198" s="344"/>
      <c r="DU198" s="344"/>
      <c r="DV198" s="344"/>
      <c r="DW198" s="344"/>
    </row>
    <row r="199" ht="15.0" customHeight="1">
      <c r="A199" s="383">
        <v>40604.0</v>
      </c>
      <c r="B199" s="320" t="s">
        <v>2901</v>
      </c>
      <c r="C199" s="320" t="s">
        <v>2902</v>
      </c>
      <c r="D199" s="532"/>
      <c r="E199" s="374" t="str">
        <f>IFERROR(__xludf.DUMMYFUNCTION("if(and(D199&lt;&gt;0,D199&lt;&gt;""""),D199/GOOGLEFINANCE(C199,""price"")-1,"""")"),"")</f>
        <v/>
      </c>
      <c r="F199" s="375">
        <f>IFERROR(__xludf.DUMMYFUNCTION("GOOGLEFINANCE(C199,""price"")"),171.81)</f>
        <v>171.81</v>
      </c>
      <c r="G199" s="374">
        <f t="shared" si="6"/>
        <v>-0.36827275</v>
      </c>
      <c r="H199" s="376"/>
      <c r="I199" s="376">
        <f>6.13*($I$1+3)
</f>
        <v>108.5370588</v>
      </c>
      <c r="J199" s="380"/>
      <c r="K199" s="380"/>
      <c r="L199" s="389"/>
      <c r="M199" s="379">
        <f t="shared" si="7"/>
        <v>-119.9023034</v>
      </c>
      <c r="N199" s="380">
        <f t="shared" si="8"/>
        <v>0</v>
      </c>
      <c r="O199" s="389"/>
      <c r="P199" s="415"/>
      <c r="Q199" s="379"/>
      <c r="R199" s="416"/>
      <c r="S199" s="416"/>
      <c r="T199" s="416"/>
      <c r="U199" s="417" t="s">
        <v>2903</v>
      </c>
      <c r="V199" s="367"/>
      <c r="W199" s="367"/>
      <c r="X199" s="367"/>
      <c r="Y199" s="367"/>
      <c r="Z199" s="367"/>
      <c r="AA199" s="367"/>
      <c r="AB199" s="367"/>
      <c r="AC199" s="367"/>
      <c r="AD199" s="367"/>
      <c r="AE199" s="367"/>
      <c r="AF199" s="367"/>
      <c r="AG199" s="367"/>
      <c r="AH199" s="367"/>
      <c r="AI199" s="367"/>
      <c r="AJ199" s="367"/>
      <c r="AK199" s="367"/>
      <c r="AL199" s="367"/>
      <c r="AM199" s="367"/>
      <c r="AN199" s="367"/>
      <c r="AO199" s="367"/>
      <c r="AP199" s="367"/>
      <c r="AQ199" s="367"/>
      <c r="AR199" s="367"/>
      <c r="AS199" s="367"/>
      <c r="AT199" s="367"/>
      <c r="AU199" s="367"/>
      <c r="AV199" s="367"/>
      <c r="AW199" s="367"/>
      <c r="AX199" s="367"/>
      <c r="AY199" s="367"/>
      <c r="AZ199" s="367"/>
      <c r="BA199" s="367"/>
      <c r="BB199" s="367"/>
      <c r="BC199" s="367"/>
      <c r="BD199" s="367"/>
      <c r="BE199" s="367"/>
      <c r="BF199" s="367"/>
      <c r="BG199" s="367"/>
      <c r="BH199" s="367"/>
      <c r="BI199" s="367"/>
      <c r="BJ199" s="367"/>
      <c r="BK199" s="367"/>
      <c r="BL199" s="367"/>
      <c r="BM199" s="367"/>
      <c r="BN199" s="367"/>
      <c r="BO199" s="367"/>
      <c r="BP199" s="367"/>
      <c r="BQ199" s="367"/>
      <c r="BR199" s="367"/>
      <c r="BS199" s="367"/>
      <c r="BT199" s="367"/>
      <c r="BU199" s="367"/>
      <c r="BV199" s="367"/>
      <c r="BW199" s="367"/>
      <c r="BX199" s="367"/>
      <c r="BY199" s="367"/>
      <c r="BZ199" s="367"/>
      <c r="CA199" s="367"/>
      <c r="CB199" s="367"/>
      <c r="CC199" s="367"/>
      <c r="CD199" s="367"/>
      <c r="CE199" s="367"/>
      <c r="CF199" s="367"/>
      <c r="CG199" s="367"/>
      <c r="CH199" s="367"/>
      <c r="CI199" s="367"/>
      <c r="CJ199" s="367"/>
      <c r="CK199" s="367"/>
      <c r="CL199" s="367"/>
      <c r="CM199" s="367"/>
      <c r="CN199" s="367"/>
      <c r="CO199" s="367"/>
      <c r="CP199" s="367"/>
      <c r="CQ199" s="367"/>
      <c r="CR199" s="367"/>
      <c r="CS199" s="367"/>
      <c r="CT199" s="367"/>
      <c r="CU199" s="367"/>
      <c r="CV199" s="367"/>
      <c r="CW199" s="367"/>
      <c r="CX199" s="367"/>
      <c r="CY199" s="367"/>
      <c r="CZ199" s="367"/>
      <c r="DA199" s="367"/>
      <c r="DB199" s="367"/>
      <c r="DC199" s="367"/>
      <c r="DD199" s="367"/>
      <c r="DE199" s="367"/>
      <c r="DF199" s="367"/>
      <c r="DG199" s="367"/>
      <c r="DH199" s="367"/>
      <c r="DI199" s="367"/>
      <c r="DJ199" s="367"/>
      <c r="DK199" s="367"/>
      <c r="DL199" s="367"/>
      <c r="DM199" s="367"/>
      <c r="DN199" s="367"/>
      <c r="DO199" s="367"/>
      <c r="DP199" s="367"/>
      <c r="DQ199" s="367"/>
      <c r="DR199" s="367"/>
      <c r="DS199" s="367"/>
      <c r="DT199" s="367"/>
      <c r="DU199" s="367"/>
      <c r="DV199" s="367"/>
      <c r="DW199" s="367"/>
    </row>
    <row r="200" ht="15.0" customHeight="1">
      <c r="A200" s="388">
        <v>43351.0</v>
      </c>
      <c r="B200" s="373" t="s">
        <v>2904</v>
      </c>
      <c r="C200" s="373" t="s">
        <v>2905</v>
      </c>
      <c r="D200" s="384">
        <v>90.0</v>
      </c>
      <c r="E200" s="374">
        <f>IFERROR(__xludf.DUMMYFUNCTION("if(and(D200&lt;&gt;0,D200&lt;&gt;""""),D200/GOOGLEFINANCE(C200,""price"")-1,"""")"),-0.35497742420984735)</f>
        <v>-0.3549774242</v>
      </c>
      <c r="F200" s="375">
        <f>IFERROR(__xludf.DUMMYFUNCTION("GOOGLEFINANCE(C200,""price"")"),139.53)</f>
        <v>139.53</v>
      </c>
      <c r="G200" s="374">
        <f t="shared" si="6"/>
        <v>-0.180340922</v>
      </c>
      <c r="H200" s="376"/>
      <c r="I200" s="368">
        <f>N200*($I$1+O200*100)</f>
        <v>114.3670311</v>
      </c>
      <c r="J200" s="377">
        <v>4.02</v>
      </c>
      <c r="K200" s="377">
        <v>4.48</v>
      </c>
      <c r="L200" s="378">
        <v>43646.0</v>
      </c>
      <c r="M200" s="379">
        <f t="shared" si="7"/>
        <v>-0.3242211671</v>
      </c>
      <c r="N200" s="380">
        <f t="shared" si="8"/>
        <v>4.629141737</v>
      </c>
      <c r="O200" s="370">
        <v>0.1</v>
      </c>
      <c r="P200" s="370"/>
      <c r="Q200" s="371"/>
      <c r="R200" s="378"/>
      <c r="S200" s="378">
        <v>43351.0</v>
      </c>
      <c r="T200" s="381" t="s">
        <v>1223</v>
      </c>
      <c r="U200" s="382" t="s">
        <v>2907</v>
      </c>
      <c r="V200" s="358"/>
      <c r="W200" s="358"/>
      <c r="X200" s="358"/>
      <c r="Y200" s="358"/>
      <c r="Z200" s="358"/>
      <c r="AA200" s="358"/>
      <c r="AB200" s="358"/>
      <c r="AC200" s="358"/>
      <c r="AD200" s="358"/>
      <c r="AE200" s="358"/>
      <c r="AF200" s="358"/>
      <c r="AG200" s="358"/>
      <c r="AH200" s="358"/>
      <c r="AI200" s="358"/>
      <c r="AJ200" s="358"/>
      <c r="AK200" s="358"/>
      <c r="AL200" s="358"/>
      <c r="AM200" s="358"/>
      <c r="AN200" s="358"/>
      <c r="AO200" s="358"/>
      <c r="AP200" s="358"/>
      <c r="AQ200" s="358"/>
      <c r="AR200" s="358"/>
      <c r="AS200" s="358"/>
      <c r="AT200" s="358"/>
      <c r="AU200" s="358"/>
      <c r="AV200" s="358"/>
      <c r="AW200" s="358"/>
      <c r="AX200" s="358"/>
      <c r="AY200" s="358"/>
      <c r="AZ200" s="358"/>
      <c r="BA200" s="358"/>
      <c r="BB200" s="358"/>
      <c r="BC200" s="358"/>
      <c r="BD200" s="358"/>
      <c r="BE200" s="358"/>
      <c r="BF200" s="358"/>
      <c r="BG200" s="358"/>
      <c r="BH200" s="358"/>
      <c r="BI200" s="358"/>
      <c r="BJ200" s="358"/>
      <c r="BK200" s="358"/>
      <c r="BL200" s="358"/>
      <c r="BM200" s="358"/>
      <c r="BN200" s="358"/>
      <c r="BO200" s="358"/>
      <c r="BP200" s="358"/>
      <c r="BQ200" s="358"/>
      <c r="BR200" s="358"/>
      <c r="BS200" s="358"/>
      <c r="BT200" s="358"/>
      <c r="BU200" s="358"/>
      <c r="BV200" s="358"/>
      <c r="BW200" s="358"/>
      <c r="BX200" s="358"/>
      <c r="BY200" s="358"/>
      <c r="BZ200" s="358"/>
      <c r="CA200" s="358"/>
      <c r="CB200" s="358"/>
      <c r="CC200" s="358"/>
      <c r="CD200" s="358"/>
      <c r="CE200" s="358"/>
      <c r="CF200" s="358"/>
      <c r="CG200" s="358"/>
      <c r="CH200" s="358"/>
      <c r="CI200" s="358"/>
      <c r="CJ200" s="358"/>
      <c r="CK200" s="358"/>
      <c r="CL200" s="358"/>
      <c r="CM200" s="358"/>
      <c r="CN200" s="358"/>
      <c r="CO200" s="358"/>
      <c r="CP200" s="358"/>
      <c r="CQ200" s="358"/>
      <c r="CR200" s="358"/>
      <c r="CS200" s="358"/>
      <c r="CT200" s="358"/>
      <c r="CU200" s="358"/>
      <c r="CV200" s="358"/>
      <c r="CW200" s="358"/>
      <c r="CX200" s="358"/>
      <c r="CY200" s="358"/>
      <c r="CZ200" s="358"/>
      <c r="DA200" s="358"/>
      <c r="DB200" s="358"/>
      <c r="DC200" s="358"/>
      <c r="DD200" s="358"/>
      <c r="DE200" s="358"/>
      <c r="DF200" s="358"/>
      <c r="DG200" s="358"/>
      <c r="DH200" s="358"/>
      <c r="DI200" s="358"/>
      <c r="DJ200" s="358"/>
      <c r="DK200" s="358"/>
      <c r="DL200" s="358"/>
      <c r="DM200" s="358"/>
      <c r="DN200" s="358"/>
      <c r="DO200" s="358"/>
      <c r="DP200" s="358"/>
      <c r="DQ200" s="358"/>
      <c r="DR200" s="358"/>
      <c r="DS200" s="358"/>
      <c r="DT200" s="358"/>
      <c r="DU200" s="358"/>
      <c r="DV200" s="358"/>
      <c r="DW200" s="358"/>
    </row>
    <row r="201" ht="15.0" customHeight="1">
      <c r="A201" s="372">
        <v>42158.0</v>
      </c>
      <c r="B201" s="384" t="s">
        <v>2908</v>
      </c>
      <c r="C201" s="384" t="s">
        <v>2909</v>
      </c>
      <c r="D201" s="384">
        <v>90.0</v>
      </c>
      <c r="E201" s="374">
        <f>IFERROR(__xludf.DUMMYFUNCTION("if(and(D201&lt;&gt;0,D201&lt;&gt;""""),D201/GOOGLEFINANCE(C201,""price"")-1,"""")"),-0.2987923646279703)</f>
        <v>-0.2987923646</v>
      </c>
      <c r="F201" s="375">
        <f>IFERROR(__xludf.DUMMYFUNCTION("GOOGLEFINANCE(C201,""price"")"),128.35)</f>
        <v>128.35</v>
      </c>
      <c r="G201" s="374">
        <f t="shared" si="6"/>
        <v>-0.1554572745</v>
      </c>
      <c r="H201" s="376"/>
      <c r="I201" s="376">
        <f>6.3*($I$1+2.5)</f>
        <v>108.3970588</v>
      </c>
      <c r="J201" s="380"/>
      <c r="K201" s="380"/>
      <c r="L201" s="389"/>
      <c r="M201" s="379">
        <f t="shared" si="7"/>
        <v>-119.9023034</v>
      </c>
      <c r="N201" s="380">
        <f t="shared" si="8"/>
        <v>0</v>
      </c>
      <c r="O201" s="389"/>
      <c r="P201" s="390"/>
      <c r="Q201" s="391"/>
      <c r="R201" s="387"/>
      <c r="S201" s="387"/>
      <c r="T201" s="387"/>
      <c r="U201" s="386" t="s">
        <v>2910</v>
      </c>
      <c r="V201" s="344"/>
      <c r="W201" s="344"/>
      <c r="X201" s="344"/>
      <c r="Y201" s="344"/>
      <c r="Z201" s="344"/>
      <c r="AA201" s="344"/>
      <c r="AB201" s="344"/>
      <c r="AC201" s="344"/>
      <c r="AD201" s="344"/>
      <c r="AE201" s="344"/>
      <c r="AF201" s="344"/>
      <c r="AG201" s="344"/>
      <c r="AH201" s="344"/>
      <c r="AI201" s="344"/>
      <c r="AJ201" s="344"/>
      <c r="AK201" s="344"/>
      <c r="AL201" s="344"/>
      <c r="AM201" s="344"/>
      <c r="AN201" s="344"/>
      <c r="AO201" s="344"/>
      <c r="AP201" s="344"/>
      <c r="AQ201" s="344"/>
      <c r="AR201" s="344"/>
      <c r="AS201" s="344"/>
      <c r="AT201" s="344"/>
      <c r="AU201" s="344"/>
      <c r="AV201" s="344"/>
      <c r="AW201" s="344"/>
      <c r="AX201" s="344"/>
      <c r="AY201" s="344"/>
      <c r="AZ201" s="344"/>
      <c r="BA201" s="344"/>
      <c r="BB201" s="344"/>
      <c r="BC201" s="344"/>
      <c r="BD201" s="344"/>
      <c r="BE201" s="344"/>
      <c r="BF201" s="344"/>
      <c r="BG201" s="344"/>
      <c r="BH201" s="344"/>
      <c r="BI201" s="344"/>
      <c r="BJ201" s="344"/>
      <c r="BK201" s="344"/>
      <c r="BL201" s="344"/>
      <c r="BM201" s="344"/>
      <c r="BN201" s="344"/>
      <c r="BO201" s="344"/>
      <c r="BP201" s="344"/>
      <c r="BQ201" s="344"/>
      <c r="BR201" s="344"/>
      <c r="BS201" s="344"/>
      <c r="BT201" s="344"/>
      <c r="BU201" s="344"/>
      <c r="BV201" s="344"/>
      <c r="BW201" s="344"/>
      <c r="BX201" s="344"/>
      <c r="BY201" s="344"/>
      <c r="BZ201" s="344"/>
      <c r="CA201" s="344"/>
      <c r="CB201" s="344"/>
      <c r="CC201" s="344"/>
      <c r="CD201" s="344"/>
      <c r="CE201" s="344"/>
      <c r="CF201" s="344"/>
      <c r="CG201" s="344"/>
      <c r="CH201" s="344"/>
      <c r="CI201" s="344"/>
      <c r="CJ201" s="344"/>
      <c r="CK201" s="344"/>
      <c r="CL201" s="344"/>
      <c r="CM201" s="344"/>
      <c r="CN201" s="344"/>
      <c r="CO201" s="344"/>
      <c r="CP201" s="344"/>
      <c r="CQ201" s="344"/>
      <c r="CR201" s="344"/>
      <c r="CS201" s="344"/>
      <c r="CT201" s="344"/>
      <c r="CU201" s="344"/>
      <c r="CV201" s="344"/>
      <c r="CW201" s="344"/>
      <c r="CX201" s="344"/>
      <c r="CY201" s="344"/>
      <c r="CZ201" s="344"/>
      <c r="DA201" s="344"/>
      <c r="DB201" s="344"/>
      <c r="DC201" s="344"/>
      <c r="DD201" s="344"/>
      <c r="DE201" s="344"/>
      <c r="DF201" s="344"/>
      <c r="DG201" s="344"/>
      <c r="DH201" s="344"/>
      <c r="DI201" s="344"/>
      <c r="DJ201" s="344"/>
      <c r="DK201" s="344"/>
      <c r="DL201" s="344"/>
      <c r="DM201" s="344"/>
      <c r="DN201" s="344"/>
      <c r="DO201" s="344"/>
      <c r="DP201" s="344"/>
      <c r="DQ201" s="344"/>
      <c r="DR201" s="344"/>
      <c r="DS201" s="344"/>
      <c r="DT201" s="344"/>
      <c r="DU201" s="344"/>
      <c r="DV201" s="344"/>
      <c r="DW201" s="344"/>
    </row>
    <row r="202" ht="15.0" customHeight="1">
      <c r="A202" s="372">
        <v>42109.0</v>
      </c>
      <c r="B202" s="384" t="s">
        <v>2911</v>
      </c>
      <c r="C202" s="384" t="s">
        <v>1128</v>
      </c>
      <c r="D202" s="373">
        <v>105.0</v>
      </c>
      <c r="E202" s="374">
        <f>IFERROR(__xludf.DUMMYFUNCTION("if(and(D202&lt;&gt;0,D202&lt;&gt;""""),D202/GOOGLEFINANCE(C202,""price"")-1,"""")"),-0.16686503213520587)</f>
        <v>-0.1668650321</v>
      </c>
      <c r="F202" s="375">
        <f>IFERROR(__xludf.DUMMYFUNCTION("GOOGLEFINANCE(C202,""price"")"),126.03)</f>
        <v>126.03</v>
      </c>
      <c r="G202" s="374">
        <f t="shared" si="6"/>
        <v>0.2366353384</v>
      </c>
      <c r="H202" s="376"/>
      <c r="I202" s="368">
        <f>sum(CY202:DS202)</f>
        <v>155.8531517</v>
      </c>
      <c r="J202" s="377">
        <v>10.11</v>
      </c>
      <c r="K202" s="377">
        <v>10.42</v>
      </c>
      <c r="L202" s="378">
        <v>43830.0</v>
      </c>
      <c r="M202" s="379">
        <f t="shared" si="7"/>
        <v>0.1798884268</v>
      </c>
      <c r="N202" s="380">
        <f t="shared" si="8"/>
        <v>10.36423459</v>
      </c>
      <c r="O202" s="370">
        <v>0.03</v>
      </c>
      <c r="P202" s="370">
        <v>0.07</v>
      </c>
      <c r="Q202" s="371">
        <f>I202/N202</f>
        <v>15.03759398</v>
      </c>
      <c r="R202" s="381">
        <v>6.0</v>
      </c>
      <c r="S202" s="378">
        <v>43762.0</v>
      </c>
      <c r="T202" s="387" t="s">
        <v>1223</v>
      </c>
      <c r="U202" s="382" t="s">
        <v>2912</v>
      </c>
      <c r="V202" s="961">
        <f>O202</f>
        <v>0.03</v>
      </c>
      <c r="W202" s="962">
        <f>max(min(Valu!$C$15,$O202),$O202-max($O202-Valu!$C$15,0)/$R202*(W$3-1))</f>
        <v>0.03</v>
      </c>
      <c r="X202" s="962">
        <f>max(min(Valu!$C$15,$O202),$O202-max($O202-Valu!$C$15,0)/$R202*(X$3-1))</f>
        <v>0.03</v>
      </c>
      <c r="Y202" s="962">
        <f>max(min(Valu!$C$15,$O202),$O202-max($O202-Valu!$C$15,0)/$R202*(Y$3-1))</f>
        <v>0.03</v>
      </c>
      <c r="Z202" s="962">
        <f>max(min(Valu!$C$15,$O202),$O202-max($O202-Valu!$C$15,0)/$R202*(Z$3-1))</f>
        <v>0.03</v>
      </c>
      <c r="AA202" s="962">
        <f>max(min(Valu!$C$15,$O202),$O202-max($O202-Valu!$C$15,0)/$R202*(AA$3-1))</f>
        <v>0.03</v>
      </c>
      <c r="AB202" s="962">
        <f>max(min(Valu!$C$15,$O202),$O202-max($O202-Valu!$C$15,0)/$R202*(AB$3-1))</f>
        <v>0.03</v>
      </c>
      <c r="AC202" s="962">
        <f>max(min(Valu!$C$15,$O202),$O202-max($O202-Valu!$C$15,0)/$R202*(AC$3-1))</f>
        <v>0.03</v>
      </c>
      <c r="AD202" s="962">
        <f>max(min(Valu!$C$15,$O202),$O202-max($O202-Valu!$C$15,0)/$R202*(AD$3-1))</f>
        <v>0.03</v>
      </c>
      <c r="AE202" s="962">
        <f>max(min(Valu!$C$15,$O202),$O202-max($O202-Valu!$C$15,0)/$R202*(AE$3-1))</f>
        <v>0.03</v>
      </c>
      <c r="AF202" s="962">
        <f>max(min(Valu!$C$15,$O202),$O202-max($O202-Valu!$C$15,0)/$R202*(AF$3-1))</f>
        <v>0.03</v>
      </c>
      <c r="AG202" s="962">
        <f>max(min(Valu!$C$15,$O202),$O202-max($O202-Valu!$C$15,0)/$R202*(AG$3-1))</f>
        <v>0.03</v>
      </c>
      <c r="AH202" s="962">
        <f>max(min(Valu!$C$15,$O202),$O202-max($O202-Valu!$C$15,0)/$R202*(AH$3-1))</f>
        <v>0.03</v>
      </c>
      <c r="AI202" s="962">
        <f>max(min(Valu!$C$15,$O202),$O202-max($O202-Valu!$C$15,0)/$R202*(AI$3-1))</f>
        <v>0.03</v>
      </c>
      <c r="AJ202" s="962">
        <f>max(min(Valu!$C$15,$O202),$O202-max($O202-Valu!$C$15,0)/$R202*(AJ$3-1))</f>
        <v>0.03</v>
      </c>
      <c r="AK202" s="962">
        <f>max(min(Valu!$C$15,$O202),$O202-max($O202-Valu!$C$15,0)/$R202*(AK$3-1))</f>
        <v>0.03</v>
      </c>
      <c r="AL202" s="962">
        <f>max(min(Valu!$C$15,$O202),$O202-max($O202-Valu!$C$15,0)/$R202*(AL$3-1))</f>
        <v>0.03</v>
      </c>
      <c r="AM202" s="962">
        <f>max(min(Valu!$C$15,$O202),$O202-max($O202-Valu!$C$15,0)/$R202*(AM$3-1))</f>
        <v>0.03</v>
      </c>
      <c r="AN202" s="962">
        <f>max(min(Valu!$C$15,$O202),$O202-max($O202-Valu!$C$15,0)/$R202*(AN$3-1))</f>
        <v>0.03</v>
      </c>
      <c r="AO202" s="962">
        <f>max(min(Valu!$C$15,$O202),$O202-max($O202-Valu!$C$15,0)/$R202*(AO$3-1))</f>
        <v>0.03</v>
      </c>
      <c r="AP202" s="962">
        <f>max(min(Valu!$C$14,$P202),$P202-max($P202-Valu!$C$14,0)/$R202*(AP$3-1))</f>
        <v>0.07</v>
      </c>
      <c r="AQ202" s="962">
        <f>max(min(Valu!$C$14,$P202),$P202-max($P202-Valu!$C$14,0)/$R202*(AQ$3-1))</f>
        <v>0.07</v>
      </c>
      <c r="AR202" s="962">
        <f>max(min(Valu!$C$14,$P202),$P202-max($P202-Valu!$C$14,0)/$R202*(AR$3-1))</f>
        <v>0.07</v>
      </c>
      <c r="AS202" s="962">
        <f>max(min(Valu!$C$14,$P202),$P202-max($P202-Valu!$C$14,0)/$R202*(AS$3-1))</f>
        <v>0.07</v>
      </c>
      <c r="AT202" s="962">
        <f>max(min(Valu!$C$14,$P202),$P202-max($P202-Valu!$C$14,0)/$R202*(AT$3-1))</f>
        <v>0.07</v>
      </c>
      <c r="AU202" s="962">
        <f>max(min(Valu!$C$14,$P202),$P202-max($P202-Valu!$C$14,0)/$R202*(AU$3-1))</f>
        <v>0.07</v>
      </c>
      <c r="AV202" s="962">
        <f>max(min(Valu!$C$14,$P202),$P202-max($P202-Valu!$C$14,0)/$R202*(AV$3-1))</f>
        <v>0.07</v>
      </c>
      <c r="AW202" s="962">
        <f>max(min(Valu!$C$14,$P202),$P202-max($P202-Valu!$C$14,0)/$R202*(AW$3-1))</f>
        <v>0.07</v>
      </c>
      <c r="AX202" s="962">
        <f>max(min(Valu!$C$14,$P202),$P202-max($P202-Valu!$C$14,0)/$R202*(AX$3-1))</f>
        <v>0.07</v>
      </c>
      <c r="AY202" s="962">
        <f>max(min(Valu!$C$14,$P202),$P202-max($P202-Valu!$C$14,0)/$R202*(AY$3-1))</f>
        <v>0.07</v>
      </c>
      <c r="AZ202" s="962">
        <f>max(min(Valu!$C$14,$P202),$P202-max($P202-Valu!$C$14,0)/$R202*(AZ$3-1))</f>
        <v>0.07</v>
      </c>
      <c r="BA202" s="962">
        <f>max(min(Valu!$C$14,$P202),$P202-max($P202-Valu!$C$14,0)/$R202*(BA$3-1))</f>
        <v>0.07</v>
      </c>
      <c r="BB202" s="962">
        <f>max(min(Valu!$C$14,$P202),$P202-max($P202-Valu!$C$14,0)/$R202*(BB$3-1))</f>
        <v>0.07</v>
      </c>
      <c r="BC202" s="962">
        <f>max(min(Valu!$C$14,$P202),$P202-max($P202-Valu!$C$14,0)/$R202*(BC$3-1))</f>
        <v>0.07</v>
      </c>
      <c r="BD202" s="962">
        <f>max(min(Valu!$C$14,$P202),$P202-max($P202-Valu!$C$14,0)/$R202*(BD$3-1))</f>
        <v>0.07</v>
      </c>
      <c r="BE202" s="962">
        <f>max(min(Valu!$C$14,$P202),$P202-max($P202-Valu!$C$14,0)/$R202*(BE$3-1))</f>
        <v>0.07</v>
      </c>
      <c r="BF202" s="962">
        <f>max(min(Valu!$C$14,$P202),$P202-max($P202-Valu!$C$14,0)/$R202*(BF$3-1))</f>
        <v>0.07</v>
      </c>
      <c r="BG202" s="962">
        <f>max(min(Valu!$C$14,$P202),$P202-max($P202-Valu!$C$14,0)/$R202*(BG$3-1))</f>
        <v>0.07</v>
      </c>
      <c r="BH202" s="962">
        <f>max(min(Valu!$C$14,$P202),$P202-max($P202-Valu!$C$14,0)/$R202*(BH$3-1))</f>
        <v>0.07</v>
      </c>
      <c r="BI202" s="962">
        <f>max(min(Valu!$C$14,$P202),$P202-max($P202-Valu!$C$14,0)/$R202*(BI$3-1))</f>
        <v>0.07</v>
      </c>
      <c r="BJ202" s="965">
        <f>N202</f>
        <v>10.36423459</v>
      </c>
      <c r="BK202" s="966">
        <f>$BJ202*(1+V202)</f>
        <v>10.67516163</v>
      </c>
      <c r="BL202" s="966">
        <f t="shared" ref="BL202:CC202" si="119">BK202*(1+W202)</f>
        <v>10.99541647</v>
      </c>
      <c r="BM202" s="966">
        <f t="shared" si="119"/>
        <v>11.32527897</v>
      </c>
      <c r="BN202" s="966">
        <f t="shared" si="119"/>
        <v>11.66503734</v>
      </c>
      <c r="BO202" s="966">
        <f t="shared" si="119"/>
        <v>12.01498846</v>
      </c>
      <c r="BP202" s="966">
        <f t="shared" si="119"/>
        <v>12.37543811</v>
      </c>
      <c r="BQ202" s="966">
        <f t="shared" si="119"/>
        <v>12.74670125</v>
      </c>
      <c r="BR202" s="966">
        <f t="shared" si="119"/>
        <v>13.12910229</v>
      </c>
      <c r="BS202" s="966">
        <f t="shared" si="119"/>
        <v>13.52297536</v>
      </c>
      <c r="BT202" s="966">
        <f t="shared" si="119"/>
        <v>13.92866462</v>
      </c>
      <c r="BU202" s="966">
        <f t="shared" si="119"/>
        <v>14.34652456</v>
      </c>
      <c r="BV202" s="966">
        <f t="shared" si="119"/>
        <v>14.7769203</v>
      </c>
      <c r="BW202" s="966">
        <f t="shared" si="119"/>
        <v>15.22022791</v>
      </c>
      <c r="BX202" s="966">
        <f t="shared" si="119"/>
        <v>15.67683474</v>
      </c>
      <c r="BY202" s="966">
        <f t="shared" si="119"/>
        <v>16.14713979</v>
      </c>
      <c r="BZ202" s="966">
        <f t="shared" si="119"/>
        <v>16.63155398</v>
      </c>
      <c r="CA202" s="966">
        <f t="shared" si="119"/>
        <v>17.1305006</v>
      </c>
      <c r="CB202" s="966">
        <f t="shared" si="119"/>
        <v>17.64441562</v>
      </c>
      <c r="CC202" s="966">
        <f t="shared" si="119"/>
        <v>18.17374809</v>
      </c>
      <c r="CD202" s="966">
        <f t="shared" ref="CD202:CW202" si="120">BJ202*(1-V202/AP202)</f>
        <v>5.922419764</v>
      </c>
      <c r="CE202" s="966">
        <f t="shared" si="120"/>
        <v>6.100092357</v>
      </c>
      <c r="CF202" s="966">
        <f t="shared" si="120"/>
        <v>6.283095128</v>
      </c>
      <c r="CG202" s="966">
        <f t="shared" si="120"/>
        <v>6.471587982</v>
      </c>
      <c r="CH202" s="966">
        <f t="shared" si="120"/>
        <v>6.665735621</v>
      </c>
      <c r="CI202" s="966">
        <f t="shared" si="120"/>
        <v>6.86570769</v>
      </c>
      <c r="CJ202" s="966">
        <f t="shared" si="120"/>
        <v>7.071678921</v>
      </c>
      <c r="CK202" s="966">
        <f t="shared" si="120"/>
        <v>7.283829288</v>
      </c>
      <c r="CL202" s="966">
        <f t="shared" si="120"/>
        <v>7.502344167</v>
      </c>
      <c r="CM202" s="966">
        <f t="shared" si="120"/>
        <v>7.727414492</v>
      </c>
      <c r="CN202" s="966">
        <f t="shared" si="120"/>
        <v>7.959236927</v>
      </c>
      <c r="CO202" s="966">
        <f t="shared" si="120"/>
        <v>8.198014035</v>
      </c>
      <c r="CP202" s="966">
        <f t="shared" si="120"/>
        <v>8.443954456</v>
      </c>
      <c r="CQ202" s="966">
        <f t="shared" si="120"/>
        <v>8.697273089</v>
      </c>
      <c r="CR202" s="966">
        <f t="shared" si="120"/>
        <v>8.958191282</v>
      </c>
      <c r="CS202" s="966">
        <f t="shared" si="120"/>
        <v>9.22693702</v>
      </c>
      <c r="CT202" s="966">
        <f t="shared" si="120"/>
        <v>9.503745131</v>
      </c>
      <c r="CU202" s="966">
        <f t="shared" si="120"/>
        <v>9.788857485</v>
      </c>
      <c r="CV202" s="966">
        <f t="shared" si="120"/>
        <v>10.08252321</v>
      </c>
      <c r="CW202" s="966">
        <f t="shared" si="120"/>
        <v>10.38499891</v>
      </c>
      <c r="CX202" s="966">
        <f>CW202*(1+min(Valu!$C$15,$O202))/(Valu!$C$21-min(Valu!$C$15,$O202))</f>
        <v>281.4881282</v>
      </c>
      <c r="CY202" s="966">
        <f>CD202/(1+Valu!$C$21)^CY$3</f>
        <v>5.545336858</v>
      </c>
      <c r="CZ202" s="966">
        <f>CE202/(1+Valu!$C$21)^CZ$3</f>
        <v>5.348030865</v>
      </c>
      <c r="DA202" s="966">
        <f>CF202/(1+Valu!$C$21)^DA$3</f>
        <v>5.157745123</v>
      </c>
      <c r="DB202" s="966">
        <f>CG202/(1+Valu!$C$21)^DB$3</f>
        <v>4.974229847</v>
      </c>
      <c r="DC202" s="966">
        <f>CH202/(1+Valu!$C$21)^DC$3</f>
        <v>4.797244141</v>
      </c>
      <c r="DD202" s="966">
        <f>CI202/(1+Valu!$C$21)^DD$3</f>
        <v>4.626555679</v>
      </c>
      <c r="DE202" s="966">
        <f>CJ202/(1+Valu!$C$21)^DE$3</f>
        <v>4.461940402</v>
      </c>
      <c r="DF202" s="966">
        <f>CK202/(1+Valu!$C$21)^DF$3</f>
        <v>4.303182223</v>
      </c>
      <c r="DG202" s="966">
        <f>CL202/(1+Valu!$C$21)^DG$3</f>
        <v>4.150072743</v>
      </c>
      <c r="DH202" s="966">
        <f>CM202/(1+Valu!$C$21)^DH$3</f>
        <v>4.002410978</v>
      </c>
      <c r="DI202" s="966">
        <f>CN202/(1+Valu!$C$21)^DI$3</f>
        <v>3.860003097</v>
      </c>
      <c r="DJ202" s="966">
        <f>CO202/(1+Valu!$C$21)^DJ$3</f>
        <v>3.722662163</v>
      </c>
      <c r="DK202" s="966">
        <f>CP202/(1+Valu!$C$21)^DK$3</f>
        <v>3.590207891</v>
      </c>
      <c r="DL202" s="966">
        <f>CQ202/(1+Valu!$C$21)^DL$3</f>
        <v>3.462466412</v>
      </c>
      <c r="DM202" s="966">
        <f>CR202/(1+Valu!$C$21)^DM$3</f>
        <v>3.339270042</v>
      </c>
      <c r="DN202" s="966">
        <f>CS202/(1+Valu!$C$21)^DN$3</f>
        <v>3.220457063</v>
      </c>
      <c r="DO202" s="966">
        <f>CT202/(1+Valu!$C$21)^DO$3</f>
        <v>3.105871512</v>
      </c>
      <c r="DP202" s="966">
        <f>CU202/(1+Valu!$C$21)^DP$3</f>
        <v>2.995362975</v>
      </c>
      <c r="DQ202" s="966">
        <f>CV202/(1+Valu!$C$21)^DQ$3</f>
        <v>2.888786389</v>
      </c>
      <c r="DR202" s="966">
        <f>CW202/(1+Valu!$C$21)^DR$3</f>
        <v>2.786001855</v>
      </c>
      <c r="DS202" s="966">
        <f>CX202/(1+Valu!$C$21)^DS$3</f>
        <v>75.51531344</v>
      </c>
      <c r="DT202" s="358"/>
      <c r="DU202" s="358"/>
      <c r="DV202" s="358"/>
      <c r="DW202" s="358"/>
    </row>
    <row r="203" ht="15.0" customHeight="1">
      <c r="A203" s="394">
        <v>40628.0</v>
      </c>
      <c r="B203" s="302" t="s">
        <v>2915</v>
      </c>
      <c r="C203" s="302" t="s">
        <v>2916</v>
      </c>
      <c r="D203" s="302"/>
      <c r="E203" s="396" t="str">
        <f>IFERROR(__xludf.DUMMYFUNCTION("if(and(D203&lt;&gt;0,D203&lt;&gt;""""),D203/GOOGLEFINANCE(C203,""price"")-1,"""")"),"")</f>
        <v/>
      </c>
      <c r="F203" s="397">
        <f>IFERROR(__xludf.DUMMYFUNCTION("GOOGLEFINANCE(C203,""price"")"),44.6)</f>
        <v>44.6</v>
      </c>
      <c r="G203" s="396" t="str">
        <f t="shared" si="6"/>
        <v/>
      </c>
      <c r="H203" s="398"/>
      <c r="I203" s="398"/>
      <c r="J203" s="403"/>
      <c r="K203" s="403"/>
      <c r="L203" s="410"/>
      <c r="M203" s="402">
        <f t="shared" si="7"/>
        <v>-119.9023034</v>
      </c>
      <c r="N203" s="403">
        <f t="shared" si="8"/>
        <v>0</v>
      </c>
      <c r="O203" s="410"/>
      <c r="P203" s="411"/>
      <c r="Q203" s="402"/>
      <c r="R203" s="412"/>
      <c r="S203" s="412"/>
      <c r="T203" s="412"/>
      <c r="U203" s="413" t="s">
        <v>2917</v>
      </c>
      <c r="V203" s="414"/>
      <c r="W203" s="414"/>
      <c r="X203" s="414"/>
      <c r="Y203" s="414"/>
      <c r="Z203" s="414"/>
      <c r="AA203" s="414"/>
      <c r="AB203" s="414"/>
      <c r="AC203" s="414"/>
      <c r="AD203" s="414"/>
      <c r="AE203" s="414"/>
      <c r="AF203" s="414"/>
      <c r="AG203" s="414"/>
      <c r="AH203" s="414"/>
      <c r="AI203" s="414"/>
      <c r="AJ203" s="414"/>
      <c r="AK203" s="414"/>
      <c r="AL203" s="414"/>
      <c r="AM203" s="414"/>
      <c r="AN203" s="414"/>
      <c r="AO203" s="414"/>
      <c r="AP203" s="414"/>
      <c r="AQ203" s="414"/>
      <c r="AR203" s="414"/>
      <c r="AS203" s="414"/>
      <c r="AT203" s="414"/>
      <c r="AU203" s="414"/>
      <c r="AV203" s="414"/>
      <c r="AW203" s="414"/>
      <c r="AX203" s="414"/>
      <c r="AY203" s="414"/>
      <c r="AZ203" s="414"/>
      <c r="BA203" s="414"/>
      <c r="BB203" s="414"/>
      <c r="BC203" s="414"/>
      <c r="BD203" s="414"/>
      <c r="BE203" s="414"/>
      <c r="BF203" s="414"/>
      <c r="BG203" s="414"/>
      <c r="BH203" s="414"/>
      <c r="BI203" s="414"/>
      <c r="BJ203" s="414"/>
      <c r="BK203" s="414"/>
      <c r="BL203" s="414"/>
      <c r="BM203" s="414"/>
      <c r="BN203" s="414"/>
      <c r="BO203" s="414"/>
      <c r="BP203" s="414"/>
      <c r="BQ203" s="414"/>
      <c r="BR203" s="414"/>
      <c r="BS203" s="414"/>
      <c r="BT203" s="414"/>
      <c r="BU203" s="414"/>
      <c r="BV203" s="414"/>
      <c r="BW203" s="414"/>
      <c r="BX203" s="414"/>
      <c r="BY203" s="414"/>
      <c r="BZ203" s="414"/>
      <c r="CA203" s="414"/>
      <c r="CB203" s="414"/>
      <c r="CC203" s="414"/>
      <c r="CD203" s="414"/>
      <c r="CE203" s="414"/>
      <c r="CF203" s="414"/>
      <c r="CG203" s="414"/>
      <c r="CH203" s="414"/>
      <c r="CI203" s="414"/>
      <c r="CJ203" s="414"/>
      <c r="CK203" s="414"/>
      <c r="CL203" s="414"/>
      <c r="CM203" s="414"/>
      <c r="CN203" s="414"/>
      <c r="CO203" s="414"/>
      <c r="CP203" s="414"/>
      <c r="CQ203" s="414"/>
      <c r="CR203" s="414"/>
      <c r="CS203" s="414"/>
      <c r="CT203" s="414"/>
      <c r="CU203" s="414"/>
      <c r="CV203" s="414"/>
      <c r="CW203" s="414"/>
      <c r="CX203" s="414"/>
      <c r="CY203" s="414"/>
      <c r="CZ203" s="414"/>
      <c r="DA203" s="414"/>
      <c r="DB203" s="414"/>
      <c r="DC203" s="414"/>
      <c r="DD203" s="414"/>
      <c r="DE203" s="414"/>
      <c r="DF203" s="414"/>
      <c r="DG203" s="414"/>
      <c r="DH203" s="414"/>
      <c r="DI203" s="414"/>
      <c r="DJ203" s="414"/>
      <c r="DK203" s="414"/>
      <c r="DL203" s="414"/>
      <c r="DM203" s="414"/>
      <c r="DN203" s="414"/>
      <c r="DO203" s="414"/>
      <c r="DP203" s="414"/>
      <c r="DQ203" s="414"/>
      <c r="DR203" s="414"/>
      <c r="DS203" s="414"/>
      <c r="DT203" s="414"/>
      <c r="DU203" s="414"/>
      <c r="DV203" s="414"/>
      <c r="DW203" s="414"/>
    </row>
    <row r="204" ht="15.0" customHeight="1">
      <c r="A204" s="394">
        <v>40241.0</v>
      </c>
      <c r="B204" s="302" t="s">
        <v>2918</v>
      </c>
      <c r="C204" s="302" t="s">
        <v>2919</v>
      </c>
      <c r="D204" s="422"/>
      <c r="E204" s="396" t="str">
        <f>IFERROR(__xludf.DUMMYFUNCTION("if(and(D204&lt;&gt;0,D204&lt;&gt;""""),D204/GOOGLEFINANCE(C204,""price"")-1,"""")"),"")</f>
        <v/>
      </c>
      <c r="F204" s="397">
        <f>IFERROR(__xludf.DUMMYFUNCTION("GOOGLEFINANCE(C204,""price"")"),81.11)</f>
        <v>81.11</v>
      </c>
      <c r="G204" s="396" t="str">
        <f t="shared" si="6"/>
        <v/>
      </c>
      <c r="H204" s="398">
        <v>29.0</v>
      </c>
      <c r="I204" s="398"/>
      <c r="J204" s="403"/>
      <c r="K204" s="403"/>
      <c r="L204" s="410"/>
      <c r="M204" s="402">
        <f t="shared" si="7"/>
        <v>-119.9023034</v>
      </c>
      <c r="N204" s="403">
        <f t="shared" si="8"/>
        <v>0</v>
      </c>
      <c r="O204" s="410"/>
      <c r="P204" s="411"/>
      <c r="Q204" s="402"/>
      <c r="R204" s="412"/>
      <c r="S204" s="412"/>
      <c r="T204" s="412"/>
      <c r="U204" s="413" t="s">
        <v>2920</v>
      </c>
      <c r="V204" s="414"/>
      <c r="W204" s="414"/>
      <c r="X204" s="414"/>
      <c r="Y204" s="414"/>
      <c r="Z204" s="414"/>
      <c r="AA204" s="414"/>
      <c r="AB204" s="414"/>
      <c r="AC204" s="414"/>
      <c r="AD204" s="414"/>
      <c r="AE204" s="414"/>
      <c r="AF204" s="414"/>
      <c r="AG204" s="414"/>
      <c r="AH204" s="414"/>
      <c r="AI204" s="414"/>
      <c r="AJ204" s="414"/>
      <c r="AK204" s="414"/>
      <c r="AL204" s="414"/>
      <c r="AM204" s="414"/>
      <c r="AN204" s="414"/>
      <c r="AO204" s="414"/>
      <c r="AP204" s="414"/>
      <c r="AQ204" s="414"/>
      <c r="AR204" s="414"/>
      <c r="AS204" s="414"/>
      <c r="AT204" s="414"/>
      <c r="AU204" s="414"/>
      <c r="AV204" s="414"/>
      <c r="AW204" s="414"/>
      <c r="AX204" s="414"/>
      <c r="AY204" s="414"/>
      <c r="AZ204" s="414"/>
      <c r="BA204" s="414"/>
      <c r="BB204" s="414"/>
      <c r="BC204" s="414"/>
      <c r="BD204" s="414"/>
      <c r="BE204" s="414"/>
      <c r="BF204" s="414"/>
      <c r="BG204" s="414"/>
      <c r="BH204" s="414"/>
      <c r="BI204" s="414"/>
      <c r="BJ204" s="414"/>
      <c r="BK204" s="414"/>
      <c r="BL204" s="414"/>
      <c r="BM204" s="414"/>
      <c r="BN204" s="414"/>
      <c r="BO204" s="414"/>
      <c r="BP204" s="414"/>
      <c r="BQ204" s="414"/>
      <c r="BR204" s="414"/>
      <c r="BS204" s="414"/>
      <c r="BT204" s="414"/>
      <c r="BU204" s="414"/>
      <c r="BV204" s="414"/>
      <c r="BW204" s="414"/>
      <c r="BX204" s="414"/>
      <c r="BY204" s="414"/>
      <c r="BZ204" s="414"/>
      <c r="CA204" s="414"/>
      <c r="CB204" s="414"/>
      <c r="CC204" s="414"/>
      <c r="CD204" s="414"/>
      <c r="CE204" s="414"/>
      <c r="CF204" s="414"/>
      <c r="CG204" s="414"/>
      <c r="CH204" s="414"/>
      <c r="CI204" s="414"/>
      <c r="CJ204" s="414"/>
      <c r="CK204" s="414"/>
      <c r="CL204" s="414"/>
      <c r="CM204" s="414"/>
      <c r="CN204" s="414"/>
      <c r="CO204" s="414"/>
      <c r="CP204" s="414"/>
      <c r="CQ204" s="414"/>
      <c r="CR204" s="414"/>
      <c r="CS204" s="414"/>
      <c r="CT204" s="414"/>
      <c r="CU204" s="414"/>
      <c r="CV204" s="414"/>
      <c r="CW204" s="414"/>
      <c r="CX204" s="414"/>
      <c r="CY204" s="414"/>
      <c r="CZ204" s="414"/>
      <c r="DA204" s="414"/>
      <c r="DB204" s="414"/>
      <c r="DC204" s="414"/>
      <c r="DD204" s="414"/>
      <c r="DE204" s="414"/>
      <c r="DF204" s="414"/>
      <c r="DG204" s="414"/>
      <c r="DH204" s="414"/>
      <c r="DI204" s="414"/>
      <c r="DJ204" s="414"/>
      <c r="DK204" s="414"/>
      <c r="DL204" s="414"/>
      <c r="DM204" s="414"/>
      <c r="DN204" s="414"/>
      <c r="DO204" s="414"/>
      <c r="DP204" s="414"/>
      <c r="DQ204" s="414"/>
      <c r="DR204" s="414"/>
      <c r="DS204" s="414"/>
      <c r="DT204" s="414"/>
      <c r="DU204" s="414"/>
      <c r="DV204" s="414"/>
      <c r="DW204" s="414"/>
    </row>
    <row r="205" ht="15.0" customHeight="1">
      <c r="A205" s="372">
        <v>42025.0</v>
      </c>
      <c r="B205" s="384" t="s">
        <v>2921</v>
      </c>
      <c r="C205" s="384" t="s">
        <v>2792</v>
      </c>
      <c r="D205" s="373">
        <v>65.0</v>
      </c>
      <c r="E205" s="374">
        <f>IFERROR(__xludf.DUMMYFUNCTION("if(and(D205&lt;&gt;0,D205&lt;&gt;""""),D205/GOOGLEFINANCE(C205,""price"")-1,"""")"),-0.35821484992101105)</f>
        <v>-0.3582148499</v>
      </c>
      <c r="F205" s="375">
        <f>IFERROR(__xludf.DUMMYFUNCTION("GOOGLEFINANCE(C205,""price"")"),101.28)</f>
        <v>101.28</v>
      </c>
      <c r="G205" s="374">
        <f t="shared" si="6"/>
        <v>-0.008455392223</v>
      </c>
      <c r="H205" s="376"/>
      <c r="I205" s="368">
        <f t="shared" ref="I205:I206" si="121">N205*($I$1+O205*100)</f>
        <v>100.4236379</v>
      </c>
      <c r="J205" s="377">
        <v>3.66</v>
      </c>
      <c r="K205" s="377">
        <v>4.07</v>
      </c>
      <c r="L205" s="378">
        <v>43769.0</v>
      </c>
      <c r="M205" s="379">
        <f t="shared" si="7"/>
        <v>0.01276513423</v>
      </c>
      <c r="N205" s="380">
        <f t="shared" si="8"/>
        <v>4.064766295</v>
      </c>
      <c r="O205" s="370">
        <v>0.1</v>
      </c>
      <c r="P205" s="370"/>
      <c r="Q205" s="371"/>
      <c r="R205" s="378"/>
      <c r="S205" s="378">
        <v>43547.0</v>
      </c>
      <c r="T205" s="381" t="s">
        <v>1223</v>
      </c>
      <c r="U205" s="386" t="s">
        <v>2922</v>
      </c>
      <c r="V205" s="344"/>
      <c r="W205" s="344"/>
      <c r="X205" s="344"/>
      <c r="Y205" s="344"/>
      <c r="Z205" s="344"/>
      <c r="AA205" s="344"/>
      <c r="AB205" s="344"/>
      <c r="AC205" s="344"/>
      <c r="AD205" s="344"/>
      <c r="AE205" s="344"/>
      <c r="AF205" s="344"/>
      <c r="AG205" s="344"/>
      <c r="AH205" s="344"/>
      <c r="AI205" s="344"/>
      <c r="AJ205" s="344"/>
      <c r="AK205" s="344"/>
      <c r="AL205" s="344"/>
      <c r="AM205" s="344"/>
      <c r="AN205" s="344"/>
      <c r="AO205" s="344"/>
      <c r="AP205" s="344"/>
      <c r="AQ205" s="344"/>
      <c r="AR205" s="344"/>
      <c r="AS205" s="344"/>
      <c r="AT205" s="344"/>
      <c r="AU205" s="344"/>
      <c r="AV205" s="344"/>
      <c r="AW205" s="344"/>
      <c r="AX205" s="344"/>
      <c r="AY205" s="344"/>
      <c r="AZ205" s="344"/>
      <c r="BA205" s="344"/>
      <c r="BB205" s="344"/>
      <c r="BC205" s="344"/>
      <c r="BD205" s="344"/>
      <c r="BE205" s="344"/>
      <c r="BF205" s="344"/>
      <c r="BG205" s="344"/>
      <c r="BH205" s="344"/>
      <c r="BI205" s="344"/>
      <c r="BJ205" s="344"/>
      <c r="BK205" s="344"/>
      <c r="BL205" s="344"/>
      <c r="BM205" s="344"/>
      <c r="BN205" s="344"/>
      <c r="BO205" s="344"/>
      <c r="BP205" s="344"/>
      <c r="BQ205" s="344"/>
      <c r="BR205" s="344"/>
      <c r="BS205" s="344"/>
      <c r="BT205" s="344"/>
      <c r="BU205" s="344"/>
      <c r="BV205" s="344"/>
      <c r="BW205" s="344"/>
      <c r="BX205" s="344"/>
      <c r="BY205" s="344"/>
      <c r="BZ205" s="344"/>
      <c r="CA205" s="344"/>
      <c r="CB205" s="344"/>
      <c r="CC205" s="344"/>
      <c r="CD205" s="344"/>
      <c r="CE205" s="344"/>
      <c r="CF205" s="344"/>
      <c r="CG205" s="344"/>
      <c r="CH205" s="344"/>
      <c r="CI205" s="344"/>
      <c r="CJ205" s="344"/>
      <c r="CK205" s="344"/>
      <c r="CL205" s="344"/>
      <c r="CM205" s="344"/>
      <c r="CN205" s="344"/>
      <c r="CO205" s="344"/>
      <c r="CP205" s="344"/>
      <c r="CQ205" s="344"/>
      <c r="CR205" s="344"/>
      <c r="CS205" s="344"/>
      <c r="CT205" s="344"/>
      <c r="CU205" s="344"/>
      <c r="CV205" s="344"/>
      <c r="CW205" s="344"/>
      <c r="CX205" s="344"/>
      <c r="CY205" s="344"/>
      <c r="CZ205" s="344"/>
      <c r="DA205" s="344"/>
      <c r="DB205" s="344"/>
      <c r="DC205" s="344"/>
      <c r="DD205" s="344"/>
      <c r="DE205" s="344"/>
      <c r="DF205" s="344"/>
      <c r="DG205" s="344"/>
      <c r="DH205" s="344"/>
      <c r="DI205" s="344"/>
      <c r="DJ205" s="344"/>
      <c r="DK205" s="344"/>
      <c r="DL205" s="344"/>
      <c r="DM205" s="344"/>
      <c r="DN205" s="344"/>
      <c r="DO205" s="344"/>
      <c r="DP205" s="344"/>
      <c r="DQ205" s="344"/>
      <c r="DR205" s="344"/>
      <c r="DS205" s="344"/>
      <c r="DT205" s="344"/>
      <c r="DU205" s="344"/>
      <c r="DV205" s="344"/>
      <c r="DW205" s="344"/>
    </row>
    <row r="206" ht="15.0" customHeight="1">
      <c r="A206" s="372">
        <v>42513.0</v>
      </c>
      <c r="B206" s="384" t="s">
        <v>2923</v>
      </c>
      <c r="C206" s="384" t="s">
        <v>2924</v>
      </c>
      <c r="D206" s="384"/>
      <c r="E206" s="374" t="str">
        <f>IFERROR(__xludf.DUMMYFUNCTION("if(and(D206&lt;&gt;0,D206&lt;&gt;""""),D206/GOOGLEFINANCE(C206,""price"")-1,"""")"),"")</f>
        <v/>
      </c>
      <c r="F206" s="375">
        <f>IFERROR(__xludf.DUMMYFUNCTION("GOOGLEFINANCE(C206,""price"")"),28.38)</f>
        <v>28.38</v>
      </c>
      <c r="G206" s="374">
        <f t="shared" si="6"/>
        <v>0.9597537401</v>
      </c>
      <c r="H206" s="376"/>
      <c r="I206" s="368">
        <f t="shared" si="121"/>
        <v>55.61781114</v>
      </c>
      <c r="J206" s="377">
        <v>3.6</v>
      </c>
      <c r="K206" s="377">
        <v>3.7</v>
      </c>
      <c r="L206" s="378">
        <v>43465.0</v>
      </c>
      <c r="M206" s="379">
        <f t="shared" si="7"/>
        <v>-0.8201115781</v>
      </c>
      <c r="N206" s="380">
        <f t="shared" si="8"/>
        <v>3.782011158</v>
      </c>
      <c r="O206" s="370">
        <v>0.0</v>
      </c>
      <c r="P206" s="370"/>
      <c r="Q206" s="371"/>
      <c r="R206" s="378"/>
      <c r="S206" s="378">
        <v>43483.0</v>
      </c>
      <c r="T206" s="381" t="s">
        <v>1223</v>
      </c>
      <c r="U206" s="386" t="s">
        <v>2925</v>
      </c>
      <c r="V206" s="344"/>
      <c r="W206" s="344"/>
      <c r="X206" s="344"/>
      <c r="Y206" s="344"/>
      <c r="Z206" s="344"/>
      <c r="AA206" s="344"/>
      <c r="AB206" s="344"/>
      <c r="AC206" s="344"/>
      <c r="AD206" s="344"/>
      <c r="AE206" s="344"/>
      <c r="AF206" s="344"/>
      <c r="AG206" s="344"/>
      <c r="AH206" s="344"/>
      <c r="AI206" s="344"/>
      <c r="AJ206" s="344"/>
      <c r="AK206" s="344"/>
      <c r="AL206" s="344"/>
      <c r="AM206" s="344"/>
      <c r="AN206" s="344"/>
      <c r="AO206" s="344"/>
      <c r="AP206" s="344"/>
      <c r="AQ206" s="344"/>
      <c r="AR206" s="344"/>
      <c r="AS206" s="344"/>
      <c r="AT206" s="344"/>
      <c r="AU206" s="344"/>
      <c r="AV206" s="344"/>
      <c r="AW206" s="344"/>
      <c r="AX206" s="344"/>
      <c r="AY206" s="344"/>
      <c r="AZ206" s="344"/>
      <c r="BA206" s="344"/>
      <c r="BB206" s="344"/>
      <c r="BC206" s="344"/>
      <c r="BD206" s="344"/>
      <c r="BE206" s="344"/>
      <c r="BF206" s="344"/>
      <c r="BG206" s="344"/>
      <c r="BH206" s="344"/>
      <c r="BI206" s="344"/>
      <c r="BJ206" s="344"/>
      <c r="BK206" s="344"/>
      <c r="BL206" s="344"/>
      <c r="BM206" s="344"/>
      <c r="BN206" s="344"/>
      <c r="BO206" s="344"/>
      <c r="BP206" s="344"/>
      <c r="BQ206" s="344"/>
      <c r="BR206" s="344"/>
      <c r="BS206" s="344"/>
      <c r="BT206" s="344"/>
      <c r="BU206" s="344"/>
      <c r="BV206" s="344"/>
      <c r="BW206" s="344"/>
      <c r="BX206" s="344"/>
      <c r="BY206" s="344"/>
      <c r="BZ206" s="344"/>
      <c r="CA206" s="344"/>
      <c r="CB206" s="344"/>
      <c r="CC206" s="344"/>
      <c r="CD206" s="344"/>
      <c r="CE206" s="344"/>
      <c r="CF206" s="344"/>
      <c r="CG206" s="344"/>
      <c r="CH206" s="344"/>
      <c r="CI206" s="344"/>
      <c r="CJ206" s="344"/>
      <c r="CK206" s="344"/>
      <c r="CL206" s="344"/>
      <c r="CM206" s="344"/>
      <c r="CN206" s="344"/>
      <c r="CO206" s="344"/>
      <c r="CP206" s="344"/>
      <c r="CQ206" s="344"/>
      <c r="CR206" s="344"/>
      <c r="CS206" s="344"/>
      <c r="CT206" s="344"/>
      <c r="CU206" s="344"/>
      <c r="CV206" s="344"/>
      <c r="CW206" s="344"/>
      <c r="CX206" s="344"/>
      <c r="CY206" s="344"/>
      <c r="CZ206" s="344"/>
      <c r="DA206" s="344"/>
      <c r="DB206" s="344"/>
      <c r="DC206" s="344"/>
      <c r="DD206" s="344"/>
      <c r="DE206" s="344"/>
      <c r="DF206" s="344"/>
      <c r="DG206" s="344"/>
      <c r="DH206" s="344"/>
      <c r="DI206" s="344"/>
      <c r="DJ206" s="344"/>
      <c r="DK206" s="344"/>
      <c r="DL206" s="344"/>
      <c r="DM206" s="344"/>
      <c r="DN206" s="344"/>
      <c r="DO206" s="344"/>
      <c r="DP206" s="344"/>
      <c r="DQ206" s="344"/>
      <c r="DR206" s="344"/>
      <c r="DS206" s="344"/>
      <c r="DT206" s="344"/>
      <c r="DU206" s="344"/>
      <c r="DV206" s="344"/>
      <c r="DW206" s="344"/>
    </row>
    <row r="207" ht="15.0" customHeight="1">
      <c r="A207" s="456">
        <v>40432.0</v>
      </c>
      <c r="B207" s="457" t="s">
        <v>2926</v>
      </c>
      <c r="C207" s="457" t="s">
        <v>2927</v>
      </c>
      <c r="D207" s="458"/>
      <c r="E207" s="460" t="str">
        <f>IFERROR(__xludf.DUMMYFUNCTION("if(and(D207&lt;&gt;0,D207&lt;&gt;""""),D207/GOOGLEFINANCE(C207,""price"")-1,"""")"),"")</f>
        <v/>
      </c>
      <c r="F207" s="462">
        <f>IFERROR(__xludf.DUMMYFUNCTION("GOOGLEFINANCE(C207,""price"")"),94.77)</f>
        <v>94.77</v>
      </c>
      <c r="G207" s="460" t="str">
        <f t="shared" si="6"/>
        <v/>
      </c>
      <c r="H207" s="463">
        <v>20.0</v>
      </c>
      <c r="I207" s="463"/>
      <c r="J207" s="466"/>
      <c r="K207" s="466"/>
      <c r="L207" s="467"/>
      <c r="M207" s="469">
        <f t="shared" si="7"/>
        <v>-119.9023034</v>
      </c>
      <c r="N207" s="466">
        <f t="shared" si="8"/>
        <v>0</v>
      </c>
      <c r="O207" s="467"/>
      <c r="P207" s="471"/>
      <c r="Q207" s="469"/>
      <c r="R207" s="472"/>
      <c r="S207" s="472"/>
      <c r="T207" s="472"/>
      <c r="U207" s="473" t="s">
        <v>2928</v>
      </c>
      <c r="V207" s="319"/>
      <c r="W207" s="319"/>
      <c r="X207" s="319"/>
      <c r="Y207" s="319"/>
      <c r="Z207" s="319"/>
      <c r="AA207" s="319"/>
      <c r="AB207" s="319"/>
      <c r="AC207" s="319"/>
      <c r="AD207" s="319"/>
      <c r="AE207" s="319"/>
      <c r="AF207" s="319"/>
      <c r="AG207" s="319"/>
      <c r="AH207" s="319"/>
      <c r="AI207" s="319"/>
      <c r="AJ207" s="319"/>
      <c r="AK207" s="319"/>
      <c r="AL207" s="319"/>
      <c r="AM207" s="319"/>
      <c r="AN207" s="319"/>
      <c r="AO207" s="319"/>
      <c r="AP207" s="319"/>
      <c r="AQ207" s="319"/>
      <c r="AR207" s="319"/>
      <c r="AS207" s="319"/>
      <c r="AT207" s="319"/>
      <c r="AU207" s="319"/>
      <c r="AV207" s="319"/>
      <c r="AW207" s="319"/>
      <c r="AX207" s="319"/>
      <c r="AY207" s="319"/>
      <c r="AZ207" s="319"/>
      <c r="BA207" s="319"/>
      <c r="BB207" s="319"/>
      <c r="BC207" s="319"/>
      <c r="BD207" s="319"/>
      <c r="BE207" s="319"/>
      <c r="BF207" s="319"/>
      <c r="BG207" s="319"/>
      <c r="BH207" s="319"/>
      <c r="BI207" s="319"/>
      <c r="BJ207" s="319"/>
      <c r="BK207" s="319"/>
      <c r="BL207" s="319"/>
      <c r="BM207" s="319"/>
      <c r="BN207" s="319"/>
      <c r="BO207" s="319"/>
      <c r="BP207" s="319"/>
      <c r="BQ207" s="319"/>
      <c r="BR207" s="319"/>
      <c r="BS207" s="319"/>
      <c r="BT207" s="319"/>
      <c r="BU207" s="319"/>
      <c r="BV207" s="319"/>
      <c r="BW207" s="319"/>
      <c r="BX207" s="319"/>
      <c r="BY207" s="319"/>
      <c r="BZ207" s="319"/>
      <c r="CA207" s="319"/>
      <c r="CB207" s="319"/>
      <c r="CC207" s="319"/>
      <c r="CD207" s="319"/>
      <c r="CE207" s="319"/>
      <c r="CF207" s="319"/>
      <c r="CG207" s="319"/>
      <c r="CH207" s="319"/>
      <c r="CI207" s="319"/>
      <c r="CJ207" s="319"/>
      <c r="CK207" s="319"/>
      <c r="CL207" s="319"/>
      <c r="CM207" s="319"/>
      <c r="CN207" s="319"/>
      <c r="CO207" s="319"/>
      <c r="CP207" s="319"/>
      <c r="CQ207" s="319"/>
      <c r="CR207" s="319"/>
      <c r="CS207" s="319"/>
      <c r="CT207" s="319"/>
      <c r="CU207" s="319"/>
      <c r="CV207" s="319"/>
      <c r="CW207" s="319"/>
      <c r="CX207" s="319"/>
      <c r="CY207" s="319"/>
      <c r="CZ207" s="319"/>
      <c r="DA207" s="319"/>
      <c r="DB207" s="319"/>
      <c r="DC207" s="319"/>
      <c r="DD207" s="319"/>
      <c r="DE207" s="319"/>
      <c r="DF207" s="319"/>
      <c r="DG207" s="319"/>
      <c r="DH207" s="319"/>
      <c r="DI207" s="319"/>
      <c r="DJ207" s="319"/>
      <c r="DK207" s="319"/>
      <c r="DL207" s="319"/>
      <c r="DM207" s="319"/>
      <c r="DN207" s="319"/>
      <c r="DO207" s="319"/>
      <c r="DP207" s="319"/>
      <c r="DQ207" s="319"/>
      <c r="DR207" s="319"/>
      <c r="DS207" s="319"/>
      <c r="DT207" s="319"/>
      <c r="DU207" s="319"/>
      <c r="DV207" s="319"/>
      <c r="DW207" s="319"/>
    </row>
    <row r="208" ht="15.0" customHeight="1">
      <c r="A208" s="372">
        <v>42064.0</v>
      </c>
      <c r="B208" s="384" t="s">
        <v>2929</v>
      </c>
      <c r="C208" s="384" t="s">
        <v>2930</v>
      </c>
      <c r="D208" s="384"/>
      <c r="E208" s="374" t="str">
        <f>IFERROR(__xludf.DUMMYFUNCTION("if(and(D208&lt;&gt;0,D208&lt;&gt;""""),D208/GOOGLEFINANCE(C208,""price"")-1,"""")"),"")</f>
        <v/>
      </c>
      <c r="F208" s="375">
        <f>IFERROR(__xludf.DUMMYFUNCTION("GOOGLEFINANCE(C208,""price"")"),53.75)</f>
        <v>53.75</v>
      </c>
      <c r="G208" s="374">
        <f t="shared" si="6"/>
        <v>-0.2179917921</v>
      </c>
      <c r="H208" s="376"/>
      <c r="I208" s="368">
        <f>2.03*($I$1+6)</f>
        <v>42.03294118</v>
      </c>
      <c r="J208" s="380"/>
      <c r="K208" s="380"/>
      <c r="L208" s="389"/>
      <c r="M208" s="379">
        <f t="shared" si="7"/>
        <v>-119.9023034</v>
      </c>
      <c r="N208" s="380">
        <f t="shared" si="8"/>
        <v>0</v>
      </c>
      <c r="O208" s="389"/>
      <c r="P208" s="390"/>
      <c r="Q208" s="391"/>
      <c r="R208" s="387"/>
      <c r="S208" s="387"/>
      <c r="T208" s="387"/>
      <c r="U208" s="386"/>
      <c r="V208" s="344"/>
      <c r="W208" s="344"/>
      <c r="X208" s="344"/>
      <c r="Y208" s="344"/>
      <c r="Z208" s="344"/>
      <c r="AA208" s="344"/>
      <c r="AB208" s="344"/>
      <c r="AC208" s="344"/>
      <c r="AD208" s="344"/>
      <c r="AE208" s="344"/>
      <c r="AF208" s="344"/>
      <c r="AG208" s="344"/>
      <c r="AH208" s="344"/>
      <c r="AI208" s="344"/>
      <c r="AJ208" s="344"/>
      <c r="AK208" s="344"/>
      <c r="AL208" s="344"/>
      <c r="AM208" s="344"/>
      <c r="AN208" s="344"/>
      <c r="AO208" s="344"/>
      <c r="AP208" s="344"/>
      <c r="AQ208" s="344"/>
      <c r="AR208" s="344"/>
      <c r="AS208" s="344"/>
      <c r="AT208" s="344"/>
      <c r="AU208" s="344"/>
      <c r="AV208" s="344"/>
      <c r="AW208" s="344"/>
      <c r="AX208" s="344"/>
      <c r="AY208" s="344"/>
      <c r="AZ208" s="344"/>
      <c r="BA208" s="344"/>
      <c r="BB208" s="344"/>
      <c r="BC208" s="344"/>
      <c r="BD208" s="344"/>
      <c r="BE208" s="344"/>
      <c r="BF208" s="344"/>
      <c r="BG208" s="344"/>
      <c r="BH208" s="344"/>
      <c r="BI208" s="344"/>
      <c r="BJ208" s="344"/>
      <c r="BK208" s="344"/>
      <c r="BL208" s="344"/>
      <c r="BM208" s="344"/>
      <c r="BN208" s="344"/>
      <c r="BO208" s="344"/>
      <c r="BP208" s="344"/>
      <c r="BQ208" s="344"/>
      <c r="BR208" s="344"/>
      <c r="BS208" s="344"/>
      <c r="BT208" s="344"/>
      <c r="BU208" s="344"/>
      <c r="BV208" s="344"/>
      <c r="BW208" s="344"/>
      <c r="BX208" s="344"/>
      <c r="BY208" s="344"/>
      <c r="BZ208" s="344"/>
      <c r="CA208" s="344"/>
      <c r="CB208" s="344"/>
      <c r="CC208" s="344"/>
      <c r="CD208" s="344"/>
      <c r="CE208" s="344"/>
      <c r="CF208" s="344"/>
      <c r="CG208" s="344"/>
      <c r="CH208" s="344"/>
      <c r="CI208" s="344"/>
      <c r="CJ208" s="344"/>
      <c r="CK208" s="344"/>
      <c r="CL208" s="344"/>
      <c r="CM208" s="344"/>
      <c r="CN208" s="344"/>
      <c r="CO208" s="344"/>
      <c r="CP208" s="344"/>
      <c r="CQ208" s="344"/>
      <c r="CR208" s="344"/>
      <c r="CS208" s="344"/>
      <c r="CT208" s="344"/>
      <c r="CU208" s="344"/>
      <c r="CV208" s="344"/>
      <c r="CW208" s="344"/>
      <c r="CX208" s="344"/>
      <c r="CY208" s="344"/>
      <c r="CZ208" s="344"/>
      <c r="DA208" s="344"/>
      <c r="DB208" s="344"/>
      <c r="DC208" s="344"/>
      <c r="DD208" s="344"/>
      <c r="DE208" s="344"/>
      <c r="DF208" s="344"/>
      <c r="DG208" s="344"/>
      <c r="DH208" s="344"/>
      <c r="DI208" s="344"/>
      <c r="DJ208" s="344"/>
      <c r="DK208" s="344"/>
      <c r="DL208" s="344"/>
      <c r="DM208" s="344"/>
      <c r="DN208" s="344"/>
      <c r="DO208" s="344"/>
      <c r="DP208" s="344"/>
      <c r="DQ208" s="344"/>
      <c r="DR208" s="344"/>
      <c r="DS208" s="344"/>
      <c r="DT208" s="344"/>
      <c r="DU208" s="344"/>
      <c r="DV208" s="344"/>
      <c r="DW208" s="344"/>
    </row>
    <row r="209" ht="15.0" customHeight="1">
      <c r="A209" s="394">
        <v>41534.0</v>
      </c>
      <c r="B209" s="302" t="s">
        <v>2932</v>
      </c>
      <c r="C209" s="302" t="s">
        <v>2933</v>
      </c>
      <c r="D209" s="422"/>
      <c r="E209" s="396" t="str">
        <f>IFERROR(__xludf.DUMMYFUNCTION("if(and(D209&lt;&gt;0,D209&lt;&gt;""""),D209/GOOGLEFINANCE(C209,""price"")-1,"""")"),"")</f>
        <v/>
      </c>
      <c r="F209" s="397" t="str">
        <f>IFERROR(__xludf.DUMMYFUNCTION("GOOGLEFINANCE(C209,""price"")"),"#N/A")</f>
        <v>#N/A</v>
      </c>
      <c r="G209" s="396" t="str">
        <f t="shared" si="6"/>
        <v/>
      </c>
      <c r="H209" s="398">
        <f>2.24*20</f>
        <v>44.8</v>
      </c>
      <c r="I209" s="398"/>
      <c r="J209" s="403"/>
      <c r="K209" s="403"/>
      <c r="L209" s="410"/>
      <c r="M209" s="402">
        <f t="shared" si="7"/>
        <v>-119.9023034</v>
      </c>
      <c r="N209" s="403">
        <f t="shared" si="8"/>
        <v>0</v>
      </c>
      <c r="O209" s="410"/>
      <c r="P209" s="411"/>
      <c r="Q209" s="402"/>
      <c r="R209" s="412"/>
      <c r="S209" s="412"/>
      <c r="T209" s="412"/>
      <c r="U209" s="413" t="s">
        <v>2934</v>
      </c>
      <c r="V209" s="414"/>
      <c r="W209" s="414"/>
      <c r="X209" s="414"/>
      <c r="Y209" s="414"/>
      <c r="Z209" s="414"/>
      <c r="AA209" s="414"/>
      <c r="AB209" s="414"/>
      <c r="AC209" s="414"/>
      <c r="AD209" s="414"/>
      <c r="AE209" s="414"/>
      <c r="AF209" s="414"/>
      <c r="AG209" s="414"/>
      <c r="AH209" s="414"/>
      <c r="AI209" s="414"/>
      <c r="AJ209" s="414"/>
      <c r="AK209" s="414"/>
      <c r="AL209" s="414"/>
      <c r="AM209" s="414"/>
      <c r="AN209" s="414"/>
      <c r="AO209" s="414"/>
      <c r="AP209" s="414"/>
      <c r="AQ209" s="414"/>
      <c r="AR209" s="414"/>
      <c r="AS209" s="414"/>
      <c r="AT209" s="414"/>
      <c r="AU209" s="414"/>
      <c r="AV209" s="414"/>
      <c r="AW209" s="414"/>
      <c r="AX209" s="414"/>
      <c r="AY209" s="414"/>
      <c r="AZ209" s="414"/>
      <c r="BA209" s="414"/>
      <c r="BB209" s="414"/>
      <c r="BC209" s="414"/>
      <c r="BD209" s="414"/>
      <c r="BE209" s="414"/>
      <c r="BF209" s="414"/>
      <c r="BG209" s="414"/>
      <c r="BH209" s="414"/>
      <c r="BI209" s="414"/>
      <c r="BJ209" s="414"/>
      <c r="BK209" s="414"/>
      <c r="BL209" s="414"/>
      <c r="BM209" s="414"/>
      <c r="BN209" s="414"/>
      <c r="BO209" s="414"/>
      <c r="BP209" s="414"/>
      <c r="BQ209" s="414"/>
      <c r="BR209" s="414"/>
      <c r="BS209" s="414"/>
      <c r="BT209" s="414"/>
      <c r="BU209" s="414"/>
      <c r="BV209" s="414"/>
      <c r="BW209" s="414"/>
      <c r="BX209" s="414"/>
      <c r="BY209" s="414"/>
      <c r="BZ209" s="414"/>
      <c r="CA209" s="414"/>
      <c r="CB209" s="414"/>
      <c r="CC209" s="414"/>
      <c r="CD209" s="414"/>
      <c r="CE209" s="414"/>
      <c r="CF209" s="414"/>
      <c r="CG209" s="414"/>
      <c r="CH209" s="414"/>
      <c r="CI209" s="414"/>
      <c r="CJ209" s="414"/>
      <c r="CK209" s="414"/>
      <c r="CL209" s="414"/>
      <c r="CM209" s="414"/>
      <c r="CN209" s="414"/>
      <c r="CO209" s="414"/>
      <c r="CP209" s="414"/>
      <c r="CQ209" s="414"/>
      <c r="CR209" s="414"/>
      <c r="CS209" s="414"/>
      <c r="CT209" s="414"/>
      <c r="CU209" s="414"/>
      <c r="CV209" s="414"/>
      <c r="CW209" s="414"/>
      <c r="CX209" s="414"/>
      <c r="CY209" s="414"/>
      <c r="CZ209" s="414"/>
      <c r="DA209" s="414"/>
      <c r="DB209" s="414"/>
      <c r="DC209" s="414"/>
      <c r="DD209" s="414"/>
      <c r="DE209" s="414"/>
      <c r="DF209" s="414"/>
      <c r="DG209" s="414"/>
      <c r="DH209" s="414"/>
      <c r="DI209" s="414"/>
      <c r="DJ209" s="414"/>
      <c r="DK209" s="414"/>
      <c r="DL209" s="414"/>
      <c r="DM209" s="414"/>
      <c r="DN209" s="414"/>
      <c r="DO209" s="414"/>
      <c r="DP209" s="414"/>
      <c r="DQ209" s="414"/>
      <c r="DR209" s="414"/>
      <c r="DS209" s="414"/>
      <c r="DT209" s="414"/>
      <c r="DU209" s="414"/>
      <c r="DV209" s="414"/>
      <c r="DW209" s="414"/>
    </row>
    <row r="210" ht="15.0" customHeight="1">
      <c r="A210" s="372">
        <v>42249.0</v>
      </c>
      <c r="B210" s="384" t="s">
        <v>2935</v>
      </c>
      <c r="C210" s="384" t="s">
        <v>2936</v>
      </c>
      <c r="D210" s="384">
        <v>30.0</v>
      </c>
      <c r="E210" s="374">
        <f>IFERROR(__xludf.DUMMYFUNCTION("if(and(D210&lt;&gt;0,D210&lt;&gt;""""),D210/GOOGLEFINANCE(C210,""price"")-1,"""")"),0.18670886075949356)</f>
        <v>0.1867088608</v>
      </c>
      <c r="F210" s="375">
        <f>IFERROR(__xludf.DUMMYFUNCTION("GOOGLEFINANCE(C210,""price"")"),25.28)</f>
        <v>25.28</v>
      </c>
      <c r="G210" s="374">
        <f t="shared" si="6"/>
        <v>0.2285927029</v>
      </c>
      <c r="H210" s="376"/>
      <c r="I210" s="376">
        <f>(1.5)*($I$1+6)</f>
        <v>31.05882353</v>
      </c>
      <c r="J210" s="380"/>
      <c r="K210" s="380"/>
      <c r="L210" s="389"/>
      <c r="M210" s="379">
        <f t="shared" si="7"/>
        <v>-119.9023034</v>
      </c>
      <c r="N210" s="380">
        <f t="shared" si="8"/>
        <v>0</v>
      </c>
      <c r="O210" s="389"/>
      <c r="P210" s="390"/>
      <c r="Q210" s="391"/>
      <c r="R210" s="387"/>
      <c r="S210" s="387"/>
      <c r="T210" s="387"/>
      <c r="U210" s="386" t="s">
        <v>2937</v>
      </c>
      <c r="V210" s="344"/>
      <c r="W210" s="344"/>
      <c r="X210" s="344"/>
      <c r="Y210" s="344"/>
      <c r="Z210" s="344"/>
      <c r="AA210" s="344"/>
      <c r="AB210" s="344"/>
      <c r="AC210" s="344"/>
      <c r="AD210" s="344"/>
      <c r="AE210" s="344"/>
      <c r="AF210" s="344"/>
      <c r="AG210" s="344"/>
      <c r="AH210" s="344"/>
      <c r="AI210" s="344"/>
      <c r="AJ210" s="344"/>
      <c r="AK210" s="344"/>
      <c r="AL210" s="344"/>
      <c r="AM210" s="344"/>
      <c r="AN210" s="344"/>
      <c r="AO210" s="344"/>
      <c r="AP210" s="344"/>
      <c r="AQ210" s="344"/>
      <c r="AR210" s="344"/>
      <c r="AS210" s="344"/>
      <c r="AT210" s="344"/>
      <c r="AU210" s="344"/>
      <c r="AV210" s="344"/>
      <c r="AW210" s="344"/>
      <c r="AX210" s="344"/>
      <c r="AY210" s="344"/>
      <c r="AZ210" s="344"/>
      <c r="BA210" s="344"/>
      <c r="BB210" s="344"/>
      <c r="BC210" s="344"/>
      <c r="BD210" s="344"/>
      <c r="BE210" s="344"/>
      <c r="BF210" s="344"/>
      <c r="BG210" s="344"/>
      <c r="BH210" s="344"/>
      <c r="BI210" s="344"/>
      <c r="BJ210" s="344"/>
      <c r="BK210" s="344"/>
      <c r="BL210" s="344"/>
      <c r="BM210" s="344"/>
      <c r="BN210" s="344"/>
      <c r="BO210" s="344"/>
      <c r="BP210" s="344"/>
      <c r="BQ210" s="344"/>
      <c r="BR210" s="344"/>
      <c r="BS210" s="344"/>
      <c r="BT210" s="344"/>
      <c r="BU210" s="344"/>
      <c r="BV210" s="344"/>
      <c r="BW210" s="344"/>
      <c r="BX210" s="344"/>
      <c r="BY210" s="344"/>
      <c r="BZ210" s="344"/>
      <c r="CA210" s="344"/>
      <c r="CB210" s="344"/>
      <c r="CC210" s="344"/>
      <c r="CD210" s="344"/>
      <c r="CE210" s="344"/>
      <c r="CF210" s="344"/>
      <c r="CG210" s="344"/>
      <c r="CH210" s="344"/>
      <c r="CI210" s="344"/>
      <c r="CJ210" s="344"/>
      <c r="CK210" s="344"/>
      <c r="CL210" s="344"/>
      <c r="CM210" s="344"/>
      <c r="CN210" s="344"/>
      <c r="CO210" s="344"/>
      <c r="CP210" s="344"/>
      <c r="CQ210" s="344"/>
      <c r="CR210" s="344"/>
      <c r="CS210" s="344"/>
      <c r="CT210" s="344"/>
      <c r="CU210" s="344"/>
      <c r="CV210" s="344"/>
      <c r="CW210" s="344"/>
      <c r="CX210" s="344"/>
      <c r="CY210" s="344"/>
      <c r="CZ210" s="344"/>
      <c r="DA210" s="344"/>
      <c r="DB210" s="344"/>
      <c r="DC210" s="344"/>
      <c r="DD210" s="344"/>
      <c r="DE210" s="344"/>
      <c r="DF210" s="344"/>
      <c r="DG210" s="344"/>
      <c r="DH210" s="344"/>
      <c r="DI210" s="344"/>
      <c r="DJ210" s="344"/>
      <c r="DK210" s="344"/>
      <c r="DL210" s="344"/>
      <c r="DM210" s="344"/>
      <c r="DN210" s="344"/>
      <c r="DO210" s="344"/>
      <c r="DP210" s="344"/>
      <c r="DQ210" s="344"/>
      <c r="DR210" s="344"/>
      <c r="DS210" s="344"/>
      <c r="DT210" s="344"/>
      <c r="DU210" s="344"/>
      <c r="DV210" s="344"/>
      <c r="DW210" s="344"/>
    </row>
    <row r="211" ht="15.0" customHeight="1">
      <c r="A211" s="394">
        <v>41762.0</v>
      </c>
      <c r="B211" s="302" t="s">
        <v>2938</v>
      </c>
      <c r="C211" s="302" t="s">
        <v>2939</v>
      </c>
      <c r="D211" s="422"/>
      <c r="E211" s="396" t="str">
        <f>IFERROR(__xludf.DUMMYFUNCTION("if(and(D211&lt;&gt;0,D211&lt;&gt;""""),D211/GOOGLEFINANCE(C211,""price"")-1,"""")"),"")</f>
        <v/>
      </c>
      <c r="F211" s="397">
        <f>IFERROR(__xludf.DUMMYFUNCTION("GOOGLEFINANCE(C211,""price"")"),153.04)</f>
        <v>153.04</v>
      </c>
      <c r="G211" s="396" t="str">
        <f t="shared" si="6"/>
        <v/>
      </c>
      <c r="H211" s="398"/>
      <c r="I211" s="398"/>
      <c r="J211" s="403"/>
      <c r="K211" s="403"/>
      <c r="L211" s="410"/>
      <c r="M211" s="402">
        <f t="shared" si="7"/>
        <v>-119.9023034</v>
      </c>
      <c r="N211" s="403">
        <f t="shared" si="8"/>
        <v>0</v>
      </c>
      <c r="O211" s="410"/>
      <c r="P211" s="411"/>
      <c r="Q211" s="402"/>
      <c r="R211" s="412"/>
      <c r="S211" s="412"/>
      <c r="T211" s="412"/>
      <c r="U211" s="413" t="s">
        <v>2940</v>
      </c>
      <c r="V211" s="414"/>
      <c r="W211" s="414"/>
      <c r="X211" s="414"/>
      <c r="Y211" s="414"/>
      <c r="Z211" s="414"/>
      <c r="AA211" s="414"/>
      <c r="AB211" s="414"/>
      <c r="AC211" s="414"/>
      <c r="AD211" s="414"/>
      <c r="AE211" s="414"/>
      <c r="AF211" s="414"/>
      <c r="AG211" s="414"/>
      <c r="AH211" s="414"/>
      <c r="AI211" s="414"/>
      <c r="AJ211" s="414"/>
      <c r="AK211" s="414"/>
      <c r="AL211" s="414"/>
      <c r="AM211" s="414"/>
      <c r="AN211" s="414"/>
      <c r="AO211" s="414"/>
      <c r="AP211" s="414"/>
      <c r="AQ211" s="414"/>
      <c r="AR211" s="414"/>
      <c r="AS211" s="414"/>
      <c r="AT211" s="414"/>
      <c r="AU211" s="414"/>
      <c r="AV211" s="414"/>
      <c r="AW211" s="414"/>
      <c r="AX211" s="414"/>
      <c r="AY211" s="414"/>
      <c r="AZ211" s="414"/>
      <c r="BA211" s="414"/>
      <c r="BB211" s="414"/>
      <c r="BC211" s="414"/>
      <c r="BD211" s="414"/>
      <c r="BE211" s="414"/>
      <c r="BF211" s="414"/>
      <c r="BG211" s="414"/>
      <c r="BH211" s="414"/>
      <c r="BI211" s="414"/>
      <c r="BJ211" s="414"/>
      <c r="BK211" s="414"/>
      <c r="BL211" s="414"/>
      <c r="BM211" s="414"/>
      <c r="BN211" s="414"/>
      <c r="BO211" s="414"/>
      <c r="BP211" s="414"/>
      <c r="BQ211" s="414"/>
      <c r="BR211" s="414"/>
      <c r="BS211" s="414"/>
      <c r="BT211" s="414"/>
      <c r="BU211" s="414"/>
      <c r="BV211" s="414"/>
      <c r="BW211" s="414"/>
      <c r="BX211" s="414"/>
      <c r="BY211" s="414"/>
      <c r="BZ211" s="414"/>
      <c r="CA211" s="414"/>
      <c r="CB211" s="414"/>
      <c r="CC211" s="414"/>
      <c r="CD211" s="414"/>
      <c r="CE211" s="414"/>
      <c r="CF211" s="414"/>
      <c r="CG211" s="414"/>
      <c r="CH211" s="414"/>
      <c r="CI211" s="414"/>
      <c r="CJ211" s="414"/>
      <c r="CK211" s="414"/>
      <c r="CL211" s="414"/>
      <c r="CM211" s="414"/>
      <c r="CN211" s="414"/>
      <c r="CO211" s="414"/>
      <c r="CP211" s="414"/>
      <c r="CQ211" s="414"/>
      <c r="CR211" s="414"/>
      <c r="CS211" s="414"/>
      <c r="CT211" s="414"/>
      <c r="CU211" s="414"/>
      <c r="CV211" s="414"/>
      <c r="CW211" s="414"/>
      <c r="CX211" s="414"/>
      <c r="CY211" s="414"/>
      <c r="CZ211" s="414"/>
      <c r="DA211" s="414"/>
      <c r="DB211" s="414"/>
      <c r="DC211" s="414"/>
      <c r="DD211" s="414"/>
      <c r="DE211" s="414"/>
      <c r="DF211" s="414"/>
      <c r="DG211" s="414"/>
      <c r="DH211" s="414"/>
      <c r="DI211" s="414"/>
      <c r="DJ211" s="414"/>
      <c r="DK211" s="414"/>
      <c r="DL211" s="414"/>
      <c r="DM211" s="414"/>
      <c r="DN211" s="414"/>
      <c r="DO211" s="414"/>
      <c r="DP211" s="414"/>
      <c r="DQ211" s="414"/>
      <c r="DR211" s="414"/>
      <c r="DS211" s="414"/>
      <c r="DT211" s="414"/>
      <c r="DU211" s="414"/>
      <c r="DV211" s="414"/>
      <c r="DW211" s="414"/>
    </row>
    <row r="212" ht="15.0" customHeight="1">
      <c r="A212" s="383">
        <v>41517.0</v>
      </c>
      <c r="B212" s="320" t="s">
        <v>2941</v>
      </c>
      <c r="C212" s="320" t="s">
        <v>2098</v>
      </c>
      <c r="D212" s="384">
        <v>60.0</v>
      </c>
      <c r="E212" s="374" t="str">
        <f>IFERROR(__xludf.DUMMYFUNCTION("if(and(D212&lt;&gt;0,D212&lt;&gt;""""),D212/GOOGLEFINANCE(C212,""price"")-1,"""")"),"#N/A")</f>
        <v>#N/A</v>
      </c>
      <c r="F212" s="375" t="str">
        <f>IFERROR(__xludf.DUMMYFUNCTION("GOOGLEFINANCE(C212,""price"")"),"#N/A")</f>
        <v>#N/A</v>
      </c>
      <c r="G212" s="374" t="str">
        <f t="shared" si="6"/>
        <v>#N/A</v>
      </c>
      <c r="H212" s="376"/>
      <c r="I212" s="368">
        <f>N212*($I$1+O212*100)</f>
        <v>83.40515494</v>
      </c>
      <c r="J212" s="377">
        <v>4.27</v>
      </c>
      <c r="K212" s="377">
        <v>4.55</v>
      </c>
      <c r="L212" s="378">
        <v>43555.0</v>
      </c>
      <c r="M212" s="379">
        <f t="shared" si="7"/>
        <v>-0.5735362356</v>
      </c>
      <c r="N212" s="380">
        <f t="shared" si="8"/>
        <v>4.710590146</v>
      </c>
      <c r="O212" s="971">
        <v>0.03</v>
      </c>
      <c r="P212" s="370"/>
      <c r="Q212" s="371"/>
      <c r="R212" s="378"/>
      <c r="S212" s="378">
        <v>43413.0</v>
      </c>
      <c r="T212" s="381" t="s">
        <v>1223</v>
      </c>
      <c r="U212" s="386" t="s">
        <v>2943</v>
      </c>
      <c r="V212" s="344"/>
      <c r="W212" s="344"/>
      <c r="X212" s="344"/>
      <c r="Y212" s="344"/>
      <c r="Z212" s="344"/>
      <c r="AA212" s="344"/>
      <c r="AB212" s="344"/>
      <c r="AC212" s="344"/>
      <c r="AD212" s="344"/>
      <c r="AE212" s="344"/>
      <c r="AF212" s="344"/>
      <c r="AG212" s="344"/>
      <c r="AH212" s="344"/>
      <c r="AI212" s="344"/>
      <c r="AJ212" s="344"/>
      <c r="AK212" s="344"/>
      <c r="AL212" s="344"/>
      <c r="AM212" s="344"/>
      <c r="AN212" s="344"/>
      <c r="AO212" s="344"/>
      <c r="AP212" s="344"/>
      <c r="AQ212" s="344"/>
      <c r="AR212" s="344"/>
      <c r="AS212" s="344"/>
      <c r="AT212" s="344"/>
      <c r="AU212" s="344"/>
      <c r="AV212" s="344"/>
      <c r="AW212" s="344"/>
      <c r="AX212" s="344"/>
      <c r="AY212" s="344"/>
      <c r="AZ212" s="344"/>
      <c r="BA212" s="344"/>
      <c r="BB212" s="344"/>
      <c r="BC212" s="344"/>
      <c r="BD212" s="344"/>
      <c r="BE212" s="344"/>
      <c r="BF212" s="344"/>
      <c r="BG212" s="344"/>
      <c r="BH212" s="344"/>
      <c r="BI212" s="344"/>
      <c r="BJ212" s="344"/>
      <c r="BK212" s="344"/>
      <c r="BL212" s="344"/>
      <c r="BM212" s="344"/>
      <c r="BN212" s="344"/>
      <c r="BO212" s="344"/>
      <c r="BP212" s="344"/>
      <c r="BQ212" s="344"/>
      <c r="BR212" s="344"/>
      <c r="BS212" s="344"/>
      <c r="BT212" s="344"/>
      <c r="BU212" s="344"/>
      <c r="BV212" s="344"/>
      <c r="BW212" s="344"/>
      <c r="BX212" s="344"/>
      <c r="BY212" s="344"/>
      <c r="BZ212" s="344"/>
      <c r="CA212" s="344"/>
      <c r="CB212" s="344"/>
      <c r="CC212" s="344"/>
      <c r="CD212" s="344"/>
      <c r="CE212" s="344"/>
      <c r="CF212" s="344"/>
      <c r="CG212" s="344"/>
      <c r="CH212" s="344"/>
      <c r="CI212" s="344"/>
      <c r="CJ212" s="344"/>
      <c r="CK212" s="344"/>
      <c r="CL212" s="344"/>
      <c r="CM212" s="344"/>
      <c r="CN212" s="344"/>
      <c r="CO212" s="344"/>
      <c r="CP212" s="344"/>
      <c r="CQ212" s="344"/>
      <c r="CR212" s="344"/>
      <c r="CS212" s="344"/>
      <c r="CT212" s="344"/>
      <c r="CU212" s="344"/>
      <c r="CV212" s="344"/>
      <c r="CW212" s="344"/>
      <c r="CX212" s="344"/>
      <c r="CY212" s="344"/>
      <c r="CZ212" s="344"/>
      <c r="DA212" s="344"/>
      <c r="DB212" s="344"/>
      <c r="DC212" s="344"/>
      <c r="DD212" s="344"/>
      <c r="DE212" s="344"/>
      <c r="DF212" s="344"/>
      <c r="DG212" s="344"/>
      <c r="DH212" s="344"/>
      <c r="DI212" s="344"/>
      <c r="DJ212" s="344"/>
      <c r="DK212" s="344"/>
      <c r="DL212" s="344"/>
      <c r="DM212" s="344"/>
      <c r="DN212" s="344"/>
      <c r="DO212" s="344"/>
      <c r="DP212" s="344"/>
      <c r="DQ212" s="344"/>
      <c r="DR212" s="344"/>
      <c r="DS212" s="344"/>
      <c r="DT212" s="344"/>
      <c r="DU212" s="344"/>
      <c r="DV212" s="344"/>
      <c r="DW212" s="344"/>
    </row>
    <row r="213" ht="15.0" customHeight="1">
      <c r="A213" s="372">
        <v>42082.0</v>
      </c>
      <c r="B213" s="384" t="s">
        <v>2944</v>
      </c>
      <c r="C213" s="384" t="s">
        <v>2862</v>
      </c>
      <c r="D213" s="384">
        <v>65.0</v>
      </c>
      <c r="E213" s="374">
        <f>IFERROR(__xludf.DUMMYFUNCTION("if(and(D213&lt;&gt;0,D213&lt;&gt;""""),D213/GOOGLEFINANCE(C213,""price"")-1,"""")"),-0.5834134461321541)</f>
        <v>-0.5834134461</v>
      </c>
      <c r="F213" s="375">
        <f>IFERROR(__xludf.DUMMYFUNCTION("GOOGLEFINANCE(C213,""price"")"),156.03)</f>
        <v>156.03</v>
      </c>
      <c r="G213" s="374">
        <f t="shared" si="6"/>
        <v>-0.2674485676</v>
      </c>
      <c r="H213" s="376"/>
      <c r="I213" s="376">
        <f>7.62*(15)</f>
        <v>114.3</v>
      </c>
      <c r="J213" s="380"/>
      <c r="K213" s="380"/>
      <c r="L213" s="389"/>
      <c r="M213" s="379">
        <f t="shared" si="7"/>
        <v>-119.9023034</v>
      </c>
      <c r="N213" s="380">
        <f t="shared" si="8"/>
        <v>0</v>
      </c>
      <c r="O213" s="389"/>
      <c r="P213" s="390"/>
      <c r="Q213" s="391"/>
      <c r="R213" s="387"/>
      <c r="S213" s="387"/>
      <c r="T213" s="387"/>
      <c r="U213" s="386" t="s">
        <v>2945</v>
      </c>
      <c r="V213" s="344"/>
      <c r="W213" s="344"/>
      <c r="X213" s="344"/>
      <c r="Y213" s="344"/>
      <c r="Z213" s="344"/>
      <c r="AA213" s="344"/>
      <c r="AB213" s="344"/>
      <c r="AC213" s="344"/>
      <c r="AD213" s="344"/>
      <c r="AE213" s="344"/>
      <c r="AF213" s="344"/>
      <c r="AG213" s="344"/>
      <c r="AH213" s="344"/>
      <c r="AI213" s="344"/>
      <c r="AJ213" s="344"/>
      <c r="AK213" s="344"/>
      <c r="AL213" s="344"/>
      <c r="AM213" s="344"/>
      <c r="AN213" s="344"/>
      <c r="AO213" s="344"/>
      <c r="AP213" s="344"/>
      <c r="AQ213" s="344"/>
      <c r="AR213" s="344"/>
      <c r="AS213" s="344"/>
      <c r="AT213" s="344"/>
      <c r="AU213" s="344"/>
      <c r="AV213" s="344"/>
      <c r="AW213" s="344"/>
      <c r="AX213" s="344"/>
      <c r="AY213" s="344"/>
      <c r="AZ213" s="344"/>
      <c r="BA213" s="344"/>
      <c r="BB213" s="344"/>
      <c r="BC213" s="344"/>
      <c r="BD213" s="344"/>
      <c r="BE213" s="344"/>
      <c r="BF213" s="344"/>
      <c r="BG213" s="344"/>
      <c r="BH213" s="344"/>
      <c r="BI213" s="344"/>
      <c r="BJ213" s="344"/>
      <c r="BK213" s="344"/>
      <c r="BL213" s="344"/>
      <c r="BM213" s="344"/>
      <c r="BN213" s="344"/>
      <c r="BO213" s="344"/>
      <c r="BP213" s="344"/>
      <c r="BQ213" s="344"/>
      <c r="BR213" s="344"/>
      <c r="BS213" s="344"/>
      <c r="BT213" s="344"/>
      <c r="BU213" s="344"/>
      <c r="BV213" s="344"/>
      <c r="BW213" s="344"/>
      <c r="BX213" s="344"/>
      <c r="BY213" s="344"/>
      <c r="BZ213" s="344"/>
      <c r="CA213" s="344"/>
      <c r="CB213" s="344"/>
      <c r="CC213" s="344"/>
      <c r="CD213" s="344"/>
      <c r="CE213" s="344"/>
      <c r="CF213" s="344"/>
      <c r="CG213" s="344"/>
      <c r="CH213" s="344"/>
      <c r="CI213" s="344"/>
      <c r="CJ213" s="344"/>
      <c r="CK213" s="344"/>
      <c r="CL213" s="344"/>
      <c r="CM213" s="344"/>
      <c r="CN213" s="344"/>
      <c r="CO213" s="344"/>
      <c r="CP213" s="344"/>
      <c r="CQ213" s="344"/>
      <c r="CR213" s="344"/>
      <c r="CS213" s="344"/>
      <c r="CT213" s="344"/>
      <c r="CU213" s="344"/>
      <c r="CV213" s="344"/>
      <c r="CW213" s="344"/>
      <c r="CX213" s="344"/>
      <c r="CY213" s="344"/>
      <c r="CZ213" s="344"/>
      <c r="DA213" s="344"/>
      <c r="DB213" s="344"/>
      <c r="DC213" s="344"/>
      <c r="DD213" s="344"/>
      <c r="DE213" s="344"/>
      <c r="DF213" s="344"/>
      <c r="DG213" s="344"/>
      <c r="DH213" s="344"/>
      <c r="DI213" s="344"/>
      <c r="DJ213" s="344"/>
      <c r="DK213" s="344"/>
      <c r="DL213" s="344"/>
      <c r="DM213" s="344"/>
      <c r="DN213" s="344"/>
      <c r="DO213" s="344"/>
      <c r="DP213" s="344"/>
      <c r="DQ213" s="344"/>
      <c r="DR213" s="344"/>
      <c r="DS213" s="344"/>
      <c r="DT213" s="344"/>
      <c r="DU213" s="344"/>
      <c r="DV213" s="344"/>
      <c r="DW213" s="344"/>
    </row>
    <row r="214" ht="15.0" customHeight="1">
      <c r="A214" s="383">
        <v>42170.0</v>
      </c>
      <c r="B214" s="384" t="s">
        <v>2946</v>
      </c>
      <c r="C214" s="384" t="s">
        <v>1187</v>
      </c>
      <c r="D214" s="373">
        <v>65.0</v>
      </c>
      <c r="E214" s="374">
        <f>IFERROR(__xludf.DUMMYFUNCTION("if(and(D214&lt;&gt;0,D214&lt;&gt;""""),D214/GOOGLEFINANCE(C214,""price"")-1,"""")"),-0.33387989342078295)</f>
        <v>-0.3338798934</v>
      </c>
      <c r="F214" s="375">
        <f>IFERROR(__xludf.DUMMYFUNCTION("GOOGLEFINANCE(C214,""price"")"),97.58)</f>
        <v>97.58</v>
      </c>
      <c r="G214" s="374">
        <f t="shared" si="6"/>
        <v>0.1669540319</v>
      </c>
      <c r="H214" s="376"/>
      <c r="I214" s="368">
        <f>N214*($I$1+O214*100)</f>
        <v>113.8713744</v>
      </c>
      <c r="J214" s="377">
        <v>5.89</v>
      </c>
      <c r="K214" s="377">
        <v>6.55</v>
      </c>
      <c r="L214" s="378">
        <v>43830.0</v>
      </c>
      <c r="M214" s="379">
        <f t="shared" si="7"/>
        <v>0.1798884254</v>
      </c>
      <c r="N214" s="380">
        <f t="shared" si="8"/>
        <v>6.431273639</v>
      </c>
      <c r="O214" s="370">
        <v>0.03</v>
      </c>
      <c r="P214" s="370"/>
      <c r="Q214" s="371"/>
      <c r="R214" s="378"/>
      <c r="S214" s="378">
        <v>43592.0</v>
      </c>
      <c r="T214" s="387" t="s">
        <v>1223</v>
      </c>
      <c r="U214" s="382" t="s">
        <v>2947</v>
      </c>
      <c r="V214" s="358"/>
      <c r="W214" s="358"/>
      <c r="X214" s="358"/>
      <c r="Y214" s="358"/>
      <c r="Z214" s="358"/>
      <c r="AA214" s="358"/>
      <c r="AB214" s="358"/>
      <c r="AC214" s="358"/>
      <c r="AD214" s="358"/>
      <c r="AE214" s="358"/>
      <c r="AF214" s="358"/>
      <c r="AG214" s="358"/>
      <c r="AH214" s="358"/>
      <c r="AI214" s="358"/>
      <c r="AJ214" s="358"/>
      <c r="AK214" s="358"/>
      <c r="AL214" s="358"/>
      <c r="AM214" s="358"/>
      <c r="AN214" s="358"/>
      <c r="AO214" s="358"/>
      <c r="AP214" s="358"/>
      <c r="AQ214" s="358"/>
      <c r="AR214" s="358"/>
      <c r="AS214" s="358"/>
      <c r="AT214" s="358"/>
      <c r="AU214" s="358"/>
      <c r="AV214" s="358"/>
      <c r="AW214" s="358"/>
      <c r="AX214" s="358"/>
      <c r="AY214" s="358"/>
      <c r="AZ214" s="358"/>
      <c r="BA214" s="358"/>
      <c r="BB214" s="358"/>
      <c r="BC214" s="358"/>
      <c r="BD214" s="358"/>
      <c r="BE214" s="358"/>
      <c r="BF214" s="358"/>
      <c r="BG214" s="358"/>
      <c r="BH214" s="358"/>
      <c r="BI214" s="358"/>
      <c r="BJ214" s="358"/>
      <c r="BK214" s="358"/>
      <c r="BL214" s="358"/>
      <c r="BM214" s="358"/>
      <c r="BN214" s="358"/>
      <c r="BO214" s="358"/>
      <c r="BP214" s="358"/>
      <c r="BQ214" s="358"/>
      <c r="BR214" s="358"/>
      <c r="BS214" s="358"/>
      <c r="BT214" s="358"/>
      <c r="BU214" s="358"/>
      <c r="BV214" s="358"/>
      <c r="BW214" s="358"/>
      <c r="BX214" s="358"/>
      <c r="BY214" s="358"/>
      <c r="BZ214" s="358"/>
      <c r="CA214" s="358"/>
      <c r="CB214" s="358"/>
      <c r="CC214" s="358"/>
      <c r="CD214" s="358"/>
      <c r="CE214" s="358"/>
      <c r="CF214" s="358"/>
      <c r="CG214" s="358"/>
      <c r="CH214" s="358"/>
      <c r="CI214" s="358"/>
      <c r="CJ214" s="358"/>
      <c r="CK214" s="358"/>
      <c r="CL214" s="358"/>
      <c r="CM214" s="358"/>
      <c r="CN214" s="358"/>
      <c r="CO214" s="358"/>
      <c r="CP214" s="358"/>
      <c r="CQ214" s="358"/>
      <c r="CR214" s="358"/>
      <c r="CS214" s="358"/>
      <c r="CT214" s="358"/>
      <c r="CU214" s="358"/>
      <c r="CV214" s="358"/>
      <c r="CW214" s="358"/>
      <c r="CX214" s="358"/>
      <c r="CY214" s="358"/>
      <c r="CZ214" s="358"/>
      <c r="DA214" s="358"/>
      <c r="DB214" s="358"/>
      <c r="DC214" s="358"/>
      <c r="DD214" s="358"/>
      <c r="DE214" s="358"/>
      <c r="DF214" s="358"/>
      <c r="DG214" s="358"/>
      <c r="DH214" s="358"/>
      <c r="DI214" s="358"/>
      <c r="DJ214" s="358"/>
      <c r="DK214" s="358"/>
      <c r="DL214" s="358"/>
      <c r="DM214" s="358"/>
      <c r="DN214" s="358"/>
      <c r="DO214" s="358"/>
      <c r="DP214" s="358"/>
      <c r="DQ214" s="358"/>
      <c r="DR214" s="358"/>
      <c r="DS214" s="358"/>
      <c r="DT214" s="358"/>
      <c r="DU214" s="358"/>
      <c r="DV214" s="358"/>
      <c r="DW214" s="358"/>
    </row>
    <row r="215" ht="15.0" customHeight="1">
      <c r="A215" s="372">
        <v>42080.0</v>
      </c>
      <c r="B215" s="384" t="s">
        <v>2948</v>
      </c>
      <c r="C215" s="384" t="s">
        <v>2856</v>
      </c>
      <c r="D215" s="384">
        <v>99.0</v>
      </c>
      <c r="E215" s="374">
        <f>IFERROR(__xludf.DUMMYFUNCTION("if(and(D215&lt;&gt;0,D215&lt;&gt;""""),D215/GOOGLEFINANCE(C215,""price"")-1,"""")"),-0.20302688777974565)</f>
        <v>-0.2030268878</v>
      </c>
      <c r="F215" s="375">
        <f>IFERROR(__xludf.DUMMYFUNCTION("GOOGLEFINANCE(C215,""price"")"),124.22)</f>
        <v>124.22</v>
      </c>
      <c r="G215" s="374">
        <f t="shared" si="6"/>
        <v>0.02559974239</v>
      </c>
      <c r="H215" s="376"/>
      <c r="I215" s="376">
        <f>9.8*13</f>
        <v>127.4</v>
      </c>
      <c r="J215" s="380"/>
      <c r="K215" s="380"/>
      <c r="L215" s="389"/>
      <c r="M215" s="379">
        <f t="shared" si="7"/>
        <v>-119.9023034</v>
      </c>
      <c r="N215" s="380">
        <f t="shared" si="8"/>
        <v>0</v>
      </c>
      <c r="O215" s="389"/>
      <c r="P215" s="390"/>
      <c r="Q215" s="391"/>
      <c r="R215" s="387"/>
      <c r="S215" s="387"/>
      <c r="T215" s="387"/>
      <c r="U215" s="386" t="s">
        <v>2949</v>
      </c>
      <c r="V215" s="344"/>
      <c r="W215" s="344"/>
      <c r="X215" s="344"/>
      <c r="Y215" s="344"/>
      <c r="Z215" s="344"/>
      <c r="AA215" s="344"/>
      <c r="AB215" s="344"/>
      <c r="AC215" s="344"/>
      <c r="AD215" s="344"/>
      <c r="AE215" s="344"/>
      <c r="AF215" s="344"/>
      <c r="AG215" s="344"/>
      <c r="AH215" s="344"/>
      <c r="AI215" s="344"/>
      <c r="AJ215" s="344"/>
      <c r="AK215" s="344"/>
      <c r="AL215" s="344"/>
      <c r="AM215" s="344"/>
      <c r="AN215" s="344"/>
      <c r="AO215" s="344"/>
      <c r="AP215" s="344"/>
      <c r="AQ215" s="344"/>
      <c r="AR215" s="344"/>
      <c r="AS215" s="344"/>
      <c r="AT215" s="344"/>
      <c r="AU215" s="344"/>
      <c r="AV215" s="344"/>
      <c r="AW215" s="344"/>
      <c r="AX215" s="344"/>
      <c r="AY215" s="344"/>
      <c r="AZ215" s="344"/>
      <c r="BA215" s="344"/>
      <c r="BB215" s="344"/>
      <c r="BC215" s="344"/>
      <c r="BD215" s="344"/>
      <c r="BE215" s="344"/>
      <c r="BF215" s="344"/>
      <c r="BG215" s="344"/>
      <c r="BH215" s="344"/>
      <c r="BI215" s="344"/>
      <c r="BJ215" s="344"/>
      <c r="BK215" s="344"/>
      <c r="BL215" s="344"/>
      <c r="BM215" s="344"/>
      <c r="BN215" s="344"/>
      <c r="BO215" s="344"/>
      <c r="BP215" s="344"/>
      <c r="BQ215" s="344"/>
      <c r="BR215" s="344"/>
      <c r="BS215" s="344"/>
      <c r="BT215" s="344"/>
      <c r="BU215" s="344"/>
      <c r="BV215" s="344"/>
      <c r="BW215" s="344"/>
      <c r="BX215" s="344"/>
      <c r="BY215" s="344"/>
      <c r="BZ215" s="344"/>
      <c r="CA215" s="344"/>
      <c r="CB215" s="344"/>
      <c r="CC215" s="344"/>
      <c r="CD215" s="344"/>
      <c r="CE215" s="344"/>
      <c r="CF215" s="344"/>
      <c r="CG215" s="344"/>
      <c r="CH215" s="344"/>
      <c r="CI215" s="344"/>
      <c r="CJ215" s="344"/>
      <c r="CK215" s="344"/>
      <c r="CL215" s="344"/>
      <c r="CM215" s="344"/>
      <c r="CN215" s="344"/>
      <c r="CO215" s="344"/>
      <c r="CP215" s="344"/>
      <c r="CQ215" s="344"/>
      <c r="CR215" s="344"/>
      <c r="CS215" s="344"/>
      <c r="CT215" s="344"/>
      <c r="CU215" s="344"/>
      <c r="CV215" s="344"/>
      <c r="CW215" s="344"/>
      <c r="CX215" s="344"/>
      <c r="CY215" s="344"/>
      <c r="CZ215" s="344"/>
      <c r="DA215" s="344"/>
      <c r="DB215" s="344"/>
      <c r="DC215" s="344"/>
      <c r="DD215" s="344"/>
      <c r="DE215" s="344"/>
      <c r="DF215" s="344"/>
      <c r="DG215" s="344"/>
      <c r="DH215" s="344"/>
      <c r="DI215" s="344"/>
      <c r="DJ215" s="344"/>
      <c r="DK215" s="344"/>
      <c r="DL215" s="344"/>
      <c r="DM215" s="344"/>
      <c r="DN215" s="344"/>
      <c r="DO215" s="344"/>
      <c r="DP215" s="344"/>
      <c r="DQ215" s="344"/>
      <c r="DR215" s="344"/>
      <c r="DS215" s="344"/>
      <c r="DT215" s="344"/>
      <c r="DU215" s="344"/>
      <c r="DV215" s="344"/>
      <c r="DW215" s="344"/>
    </row>
    <row r="216" ht="15.0" customHeight="1">
      <c r="A216" s="383">
        <v>41490.0</v>
      </c>
      <c r="B216" s="320" t="s">
        <v>2950</v>
      </c>
      <c r="C216" s="320" t="s">
        <v>2951</v>
      </c>
      <c r="D216" s="532"/>
      <c r="E216" s="374" t="str">
        <f>IFERROR(__xludf.DUMMYFUNCTION("if(and(D216&lt;&gt;0,D216&lt;&gt;""""),D216/GOOGLEFINANCE(C216,""price"")-1,"""")"),"")</f>
        <v/>
      </c>
      <c r="F216" s="375">
        <f>IFERROR(__xludf.DUMMYFUNCTION("GOOGLEFINANCE(C216,""price"")"),91.88)</f>
        <v>91.88</v>
      </c>
      <c r="G216" s="374" t="str">
        <f t="shared" si="6"/>
        <v/>
      </c>
      <c r="H216" s="376">
        <f>3.18*(1.175*17.5)</f>
        <v>65.38875</v>
      </c>
      <c r="I216" s="376"/>
      <c r="J216" s="380"/>
      <c r="K216" s="380"/>
      <c r="L216" s="389"/>
      <c r="M216" s="379">
        <f t="shared" si="7"/>
        <v>-119.9023034</v>
      </c>
      <c r="N216" s="380">
        <f t="shared" si="8"/>
        <v>0</v>
      </c>
      <c r="O216" s="389"/>
      <c r="P216" s="415"/>
      <c r="Q216" s="379"/>
      <c r="R216" s="416"/>
      <c r="S216" s="416"/>
      <c r="T216" s="416"/>
      <c r="U216" s="417" t="s">
        <v>2952</v>
      </c>
      <c r="V216" s="367"/>
      <c r="W216" s="367"/>
      <c r="X216" s="367"/>
      <c r="Y216" s="367"/>
      <c r="Z216" s="367"/>
      <c r="AA216" s="367"/>
      <c r="AB216" s="367"/>
      <c r="AC216" s="367"/>
      <c r="AD216" s="367"/>
      <c r="AE216" s="367"/>
      <c r="AF216" s="367"/>
      <c r="AG216" s="367"/>
      <c r="AH216" s="367"/>
      <c r="AI216" s="367"/>
      <c r="AJ216" s="367"/>
      <c r="AK216" s="367"/>
      <c r="AL216" s="367"/>
      <c r="AM216" s="367"/>
      <c r="AN216" s="367"/>
      <c r="AO216" s="367"/>
      <c r="AP216" s="367"/>
      <c r="AQ216" s="367"/>
      <c r="AR216" s="367"/>
      <c r="AS216" s="367"/>
      <c r="AT216" s="367"/>
      <c r="AU216" s="367"/>
      <c r="AV216" s="367"/>
      <c r="AW216" s="367"/>
      <c r="AX216" s="367"/>
      <c r="AY216" s="367"/>
      <c r="AZ216" s="367"/>
      <c r="BA216" s="367"/>
      <c r="BB216" s="367"/>
      <c r="BC216" s="367"/>
      <c r="BD216" s="367"/>
      <c r="BE216" s="367"/>
      <c r="BF216" s="367"/>
      <c r="BG216" s="367"/>
      <c r="BH216" s="367"/>
      <c r="BI216" s="367"/>
      <c r="BJ216" s="367"/>
      <c r="BK216" s="367"/>
      <c r="BL216" s="367"/>
      <c r="BM216" s="367"/>
      <c r="BN216" s="367"/>
      <c r="BO216" s="367"/>
      <c r="BP216" s="367"/>
      <c r="BQ216" s="367"/>
      <c r="BR216" s="367"/>
      <c r="BS216" s="367"/>
      <c r="BT216" s="367"/>
      <c r="BU216" s="367"/>
      <c r="BV216" s="367"/>
      <c r="BW216" s="367"/>
      <c r="BX216" s="367"/>
      <c r="BY216" s="367"/>
      <c r="BZ216" s="367"/>
      <c r="CA216" s="367"/>
      <c r="CB216" s="367"/>
      <c r="CC216" s="367"/>
      <c r="CD216" s="367"/>
      <c r="CE216" s="367"/>
      <c r="CF216" s="367"/>
      <c r="CG216" s="367"/>
      <c r="CH216" s="367"/>
      <c r="CI216" s="367"/>
      <c r="CJ216" s="367"/>
      <c r="CK216" s="367"/>
      <c r="CL216" s="367"/>
      <c r="CM216" s="367"/>
      <c r="CN216" s="367"/>
      <c r="CO216" s="367"/>
      <c r="CP216" s="367"/>
      <c r="CQ216" s="367"/>
      <c r="CR216" s="367"/>
      <c r="CS216" s="367"/>
      <c r="CT216" s="367"/>
      <c r="CU216" s="367"/>
      <c r="CV216" s="367"/>
      <c r="CW216" s="367"/>
      <c r="CX216" s="367"/>
      <c r="CY216" s="367"/>
      <c r="CZ216" s="367"/>
      <c r="DA216" s="367"/>
      <c r="DB216" s="367"/>
      <c r="DC216" s="367"/>
      <c r="DD216" s="367"/>
      <c r="DE216" s="367"/>
      <c r="DF216" s="367"/>
      <c r="DG216" s="367"/>
      <c r="DH216" s="367"/>
      <c r="DI216" s="367"/>
      <c r="DJ216" s="367"/>
      <c r="DK216" s="367"/>
      <c r="DL216" s="367"/>
      <c r="DM216" s="367"/>
      <c r="DN216" s="367"/>
      <c r="DO216" s="367"/>
      <c r="DP216" s="367"/>
      <c r="DQ216" s="367"/>
      <c r="DR216" s="367"/>
      <c r="DS216" s="367"/>
      <c r="DT216" s="367"/>
      <c r="DU216" s="367"/>
      <c r="DV216" s="367"/>
      <c r="DW216" s="367"/>
    </row>
    <row r="217" ht="15.0" customHeight="1">
      <c r="A217" s="366">
        <v>40524.0</v>
      </c>
      <c r="B217" s="367" t="s">
        <v>2953</v>
      </c>
      <c r="C217" s="367" t="s">
        <v>2954</v>
      </c>
      <c r="D217" s="534"/>
      <c r="E217" s="345" t="str">
        <f>IFERROR(__xludf.DUMMYFUNCTION("if(and(D217&lt;&gt;0,D217&lt;&gt;""""),D217/GOOGLEFINANCE(C217,""price"")-1,"""")"),"")</f>
        <v/>
      </c>
      <c r="F217" s="364">
        <f>IFERROR(__xludf.DUMMYFUNCTION("GOOGLEFINANCE(C217,""price"")"),165.69)</f>
        <v>165.69</v>
      </c>
      <c r="G217" s="345" t="str">
        <f t="shared" si="6"/>
        <v/>
      </c>
      <c r="H217" s="347">
        <f>7.5*10</f>
        <v>75</v>
      </c>
      <c r="I217" s="347"/>
      <c r="J217" s="349"/>
      <c r="K217" s="349"/>
      <c r="L217" s="350"/>
      <c r="M217" s="351">
        <f t="shared" si="7"/>
        <v>-119.9023034</v>
      </c>
      <c r="N217" s="349">
        <f t="shared" si="8"/>
        <v>0</v>
      </c>
      <c r="O217" s="350"/>
      <c r="P217" s="434"/>
      <c r="Q217" s="351"/>
      <c r="R217" s="435"/>
      <c r="S217" s="435"/>
      <c r="T217" s="435"/>
      <c r="U217" s="436" t="s">
        <v>2955</v>
      </c>
      <c r="V217" s="367"/>
      <c r="W217" s="367"/>
      <c r="X217" s="367"/>
      <c r="Y217" s="367"/>
      <c r="Z217" s="367"/>
      <c r="AA217" s="367"/>
      <c r="AB217" s="367"/>
      <c r="AC217" s="367"/>
      <c r="AD217" s="367"/>
      <c r="AE217" s="367"/>
      <c r="AF217" s="367"/>
      <c r="AG217" s="367"/>
      <c r="AH217" s="367"/>
      <c r="AI217" s="367"/>
      <c r="AJ217" s="367"/>
      <c r="AK217" s="367"/>
      <c r="AL217" s="367"/>
      <c r="AM217" s="367"/>
      <c r="AN217" s="367"/>
      <c r="AO217" s="367"/>
      <c r="AP217" s="367"/>
      <c r="AQ217" s="367"/>
      <c r="AR217" s="367"/>
      <c r="AS217" s="367"/>
      <c r="AT217" s="367"/>
      <c r="AU217" s="367"/>
      <c r="AV217" s="367"/>
      <c r="AW217" s="367"/>
      <c r="AX217" s="367"/>
      <c r="AY217" s="367"/>
      <c r="AZ217" s="367"/>
      <c r="BA217" s="367"/>
      <c r="BB217" s="367"/>
      <c r="BC217" s="367"/>
      <c r="BD217" s="367"/>
      <c r="BE217" s="367"/>
      <c r="BF217" s="367"/>
      <c r="BG217" s="367"/>
      <c r="BH217" s="367"/>
      <c r="BI217" s="367"/>
      <c r="BJ217" s="367"/>
      <c r="BK217" s="367"/>
      <c r="BL217" s="367"/>
      <c r="BM217" s="367"/>
      <c r="BN217" s="367"/>
      <c r="BO217" s="367"/>
      <c r="BP217" s="367"/>
      <c r="BQ217" s="367"/>
      <c r="BR217" s="367"/>
      <c r="BS217" s="367"/>
      <c r="BT217" s="367"/>
      <c r="BU217" s="367"/>
      <c r="BV217" s="367"/>
      <c r="BW217" s="367"/>
      <c r="BX217" s="367"/>
      <c r="BY217" s="367"/>
      <c r="BZ217" s="367"/>
      <c r="CA217" s="367"/>
      <c r="CB217" s="367"/>
      <c r="CC217" s="367"/>
      <c r="CD217" s="367"/>
      <c r="CE217" s="367"/>
      <c r="CF217" s="367"/>
      <c r="CG217" s="367"/>
      <c r="CH217" s="367"/>
      <c r="CI217" s="367"/>
      <c r="CJ217" s="367"/>
      <c r="CK217" s="367"/>
      <c r="CL217" s="367"/>
      <c r="CM217" s="367"/>
      <c r="CN217" s="367"/>
      <c r="CO217" s="367"/>
      <c r="CP217" s="367"/>
      <c r="CQ217" s="367"/>
      <c r="CR217" s="367"/>
      <c r="CS217" s="367"/>
      <c r="CT217" s="367"/>
      <c r="CU217" s="367"/>
      <c r="CV217" s="367"/>
      <c r="CW217" s="367"/>
      <c r="CX217" s="367"/>
      <c r="CY217" s="367"/>
      <c r="CZ217" s="367"/>
      <c r="DA217" s="367"/>
      <c r="DB217" s="367"/>
      <c r="DC217" s="367"/>
      <c r="DD217" s="367"/>
      <c r="DE217" s="367"/>
      <c r="DF217" s="367"/>
      <c r="DG217" s="367"/>
      <c r="DH217" s="367"/>
      <c r="DI217" s="367"/>
      <c r="DJ217" s="367"/>
      <c r="DK217" s="367"/>
      <c r="DL217" s="367"/>
      <c r="DM217" s="367"/>
      <c r="DN217" s="367"/>
      <c r="DO217" s="367"/>
      <c r="DP217" s="367"/>
      <c r="DQ217" s="367"/>
      <c r="DR217" s="367"/>
      <c r="DS217" s="367"/>
      <c r="DT217" s="367"/>
      <c r="DU217" s="367"/>
      <c r="DV217" s="367"/>
      <c r="DW217" s="367"/>
    </row>
    <row r="218" ht="15.0" customHeight="1">
      <c r="A218" s="343">
        <v>42109.0</v>
      </c>
      <c r="B218" s="344" t="s">
        <v>2956</v>
      </c>
      <c r="C218" s="344" t="s">
        <v>1274</v>
      </c>
      <c r="D218" s="358">
        <v>165.0</v>
      </c>
      <c r="E218" s="345">
        <f>IFERROR(__xludf.DUMMYFUNCTION("if(and(D218&lt;&gt;0,D218&lt;&gt;""""),D218/GOOGLEFINANCE(C218,""price"")-1,"""")"),-0.321211123909824)</f>
        <v>-0.3212111239</v>
      </c>
      <c r="F218" s="364">
        <f>IFERROR(__xludf.DUMMYFUNCTION("GOOGLEFINANCE(C218,""price"")"),243.08)</f>
        <v>243.08</v>
      </c>
      <c r="G218" s="345">
        <f t="shared" si="6"/>
        <v>0.03037215752</v>
      </c>
      <c r="H218" s="347"/>
      <c r="I218" s="348">
        <f t="shared" ref="I218:I219" si="122">N218*($I$1+O218*100)</f>
        <v>250.4628641</v>
      </c>
      <c r="J218" s="369">
        <v>12.3</v>
      </c>
      <c r="K218" s="369">
        <v>12.8</v>
      </c>
      <c r="L218" s="360">
        <v>43830.0</v>
      </c>
      <c r="M218" s="351">
        <f t="shared" si="7"/>
        <v>0.1798884248</v>
      </c>
      <c r="N218" s="349">
        <f t="shared" si="8"/>
        <v>12.71005579</v>
      </c>
      <c r="O218" s="361">
        <v>0.05</v>
      </c>
      <c r="P218" s="361"/>
      <c r="Q218" s="362"/>
      <c r="R218" s="360"/>
      <c r="S218" s="360">
        <v>43597.0</v>
      </c>
      <c r="T218" s="355" t="s">
        <v>1223</v>
      </c>
      <c r="U218" s="363" t="s">
        <v>2958</v>
      </c>
      <c r="V218" s="358"/>
      <c r="W218" s="358"/>
      <c r="X218" s="358"/>
      <c r="Y218" s="358"/>
      <c r="Z218" s="358"/>
      <c r="AA218" s="358"/>
      <c r="AB218" s="358"/>
      <c r="AC218" s="358"/>
      <c r="AD218" s="358"/>
      <c r="AE218" s="358"/>
      <c r="AF218" s="358"/>
      <c r="AG218" s="358"/>
      <c r="AH218" s="358"/>
      <c r="AI218" s="358"/>
      <c r="AJ218" s="358"/>
      <c r="AK218" s="358"/>
      <c r="AL218" s="358"/>
      <c r="AM218" s="358"/>
      <c r="AN218" s="358"/>
      <c r="AO218" s="358"/>
      <c r="AP218" s="358"/>
      <c r="AQ218" s="358"/>
      <c r="AR218" s="358"/>
      <c r="AS218" s="358"/>
      <c r="AT218" s="358"/>
      <c r="AU218" s="358"/>
      <c r="AV218" s="358"/>
      <c r="AW218" s="358"/>
      <c r="AX218" s="358"/>
      <c r="AY218" s="358"/>
      <c r="AZ218" s="358"/>
      <c r="BA218" s="358"/>
      <c r="BB218" s="358"/>
      <c r="BC218" s="358"/>
      <c r="BD218" s="358"/>
      <c r="BE218" s="358"/>
      <c r="BF218" s="358"/>
      <c r="BG218" s="358"/>
      <c r="BH218" s="358"/>
      <c r="BI218" s="358"/>
      <c r="BJ218" s="358"/>
      <c r="BK218" s="358"/>
      <c r="BL218" s="358"/>
      <c r="BM218" s="358"/>
      <c r="BN218" s="358"/>
      <c r="BO218" s="358"/>
      <c r="BP218" s="358"/>
      <c r="BQ218" s="358"/>
      <c r="BR218" s="358"/>
      <c r="BS218" s="358"/>
      <c r="BT218" s="358"/>
      <c r="BU218" s="358"/>
      <c r="BV218" s="358"/>
      <c r="BW218" s="358"/>
      <c r="BX218" s="358"/>
      <c r="BY218" s="358"/>
      <c r="BZ218" s="358"/>
      <c r="CA218" s="358"/>
      <c r="CB218" s="358"/>
      <c r="CC218" s="358"/>
      <c r="CD218" s="358"/>
      <c r="CE218" s="358"/>
      <c r="CF218" s="358"/>
      <c r="CG218" s="358"/>
      <c r="CH218" s="358"/>
      <c r="CI218" s="358"/>
      <c r="CJ218" s="358"/>
      <c r="CK218" s="358"/>
      <c r="CL218" s="358"/>
      <c r="CM218" s="358"/>
      <c r="CN218" s="358"/>
      <c r="CO218" s="358"/>
      <c r="CP218" s="358"/>
      <c r="CQ218" s="358"/>
      <c r="CR218" s="358"/>
      <c r="CS218" s="358"/>
      <c r="CT218" s="358"/>
      <c r="CU218" s="358"/>
      <c r="CV218" s="358"/>
      <c r="CW218" s="358"/>
      <c r="CX218" s="358"/>
      <c r="CY218" s="358"/>
      <c r="CZ218" s="358"/>
      <c r="DA218" s="358"/>
      <c r="DB218" s="358"/>
      <c r="DC218" s="358"/>
      <c r="DD218" s="358"/>
      <c r="DE218" s="358"/>
      <c r="DF218" s="358"/>
      <c r="DG218" s="358"/>
      <c r="DH218" s="358"/>
      <c r="DI218" s="358"/>
      <c r="DJ218" s="358"/>
      <c r="DK218" s="358"/>
      <c r="DL218" s="358"/>
      <c r="DM218" s="358"/>
      <c r="DN218" s="358"/>
      <c r="DO218" s="358"/>
      <c r="DP218" s="358"/>
      <c r="DQ218" s="358"/>
      <c r="DR218" s="358"/>
      <c r="DS218" s="358"/>
      <c r="DT218" s="358"/>
      <c r="DU218" s="358"/>
      <c r="DV218" s="358"/>
      <c r="DW218" s="358"/>
    </row>
    <row r="219" ht="15.0" customHeight="1">
      <c r="A219" s="357">
        <v>43313.0</v>
      </c>
      <c r="B219" s="358" t="s">
        <v>2959</v>
      </c>
      <c r="C219" s="358" t="s">
        <v>2960</v>
      </c>
      <c r="D219" s="532"/>
      <c r="E219" s="374" t="str">
        <f>IFERROR(__xludf.DUMMYFUNCTION("if(and(D219&lt;&gt;0,D219&lt;&gt;""""),D219/GOOGLEFINANCE(C219,""price"")-1,"""")"),"")</f>
        <v/>
      </c>
      <c r="F219" s="375">
        <f>IFERROR(__xludf.DUMMYFUNCTION("GOOGLEFINANCE(C219,""price"")"),110.2)</f>
        <v>110.2</v>
      </c>
      <c r="G219" s="374">
        <f t="shared" si="6"/>
        <v>-0.03690369843</v>
      </c>
      <c r="H219" s="376"/>
      <c r="I219" s="368">
        <f t="shared" si="122"/>
        <v>106.1332124</v>
      </c>
      <c r="J219" s="359">
        <v>5.43</v>
      </c>
      <c r="K219" s="359">
        <v>5.74</v>
      </c>
      <c r="L219" s="360">
        <v>43465.0</v>
      </c>
      <c r="M219" s="351">
        <f t="shared" si="7"/>
        <v>-0.8201115781</v>
      </c>
      <c r="N219" s="349">
        <f t="shared" si="8"/>
        <v>5.994234589</v>
      </c>
      <c r="O219" s="361">
        <v>0.03</v>
      </c>
      <c r="P219" s="361"/>
      <c r="Q219" s="362"/>
      <c r="R219" s="360"/>
      <c r="S219" s="360">
        <v>43313.0</v>
      </c>
      <c r="T219" s="355" t="s">
        <v>1223</v>
      </c>
      <c r="U219" s="436"/>
      <c r="V219" s="367"/>
      <c r="W219" s="367"/>
      <c r="X219" s="367"/>
      <c r="Y219" s="367"/>
      <c r="Z219" s="367"/>
      <c r="AA219" s="367"/>
      <c r="AB219" s="367"/>
      <c r="AC219" s="367"/>
      <c r="AD219" s="367"/>
      <c r="AE219" s="367"/>
      <c r="AF219" s="367"/>
      <c r="AG219" s="367"/>
      <c r="AH219" s="367"/>
      <c r="AI219" s="367"/>
      <c r="AJ219" s="367"/>
      <c r="AK219" s="367"/>
      <c r="AL219" s="367"/>
      <c r="AM219" s="367"/>
      <c r="AN219" s="367"/>
      <c r="AO219" s="367"/>
      <c r="AP219" s="367"/>
      <c r="AQ219" s="367"/>
      <c r="AR219" s="367"/>
      <c r="AS219" s="367"/>
      <c r="AT219" s="367"/>
      <c r="AU219" s="367"/>
      <c r="AV219" s="367"/>
      <c r="AW219" s="367"/>
      <c r="AX219" s="367"/>
      <c r="AY219" s="367"/>
      <c r="AZ219" s="367"/>
      <c r="BA219" s="367"/>
      <c r="BB219" s="367"/>
      <c r="BC219" s="367"/>
      <c r="BD219" s="367"/>
      <c r="BE219" s="367"/>
      <c r="BF219" s="367"/>
      <c r="BG219" s="367"/>
      <c r="BH219" s="367"/>
      <c r="BI219" s="367"/>
      <c r="BJ219" s="367"/>
      <c r="BK219" s="367"/>
      <c r="BL219" s="367"/>
      <c r="BM219" s="367"/>
      <c r="BN219" s="367"/>
      <c r="BO219" s="367"/>
      <c r="BP219" s="367"/>
      <c r="BQ219" s="367"/>
      <c r="BR219" s="367"/>
      <c r="BS219" s="367"/>
      <c r="BT219" s="367"/>
      <c r="BU219" s="367"/>
      <c r="BV219" s="367"/>
      <c r="BW219" s="367"/>
      <c r="BX219" s="367"/>
      <c r="BY219" s="367"/>
      <c r="BZ219" s="367"/>
      <c r="CA219" s="367"/>
      <c r="CB219" s="367"/>
      <c r="CC219" s="367"/>
      <c r="CD219" s="367"/>
      <c r="CE219" s="367"/>
      <c r="CF219" s="367"/>
      <c r="CG219" s="367"/>
      <c r="CH219" s="367"/>
      <c r="CI219" s="367"/>
      <c r="CJ219" s="367"/>
      <c r="CK219" s="367"/>
      <c r="CL219" s="367"/>
      <c r="CM219" s="367"/>
      <c r="CN219" s="367"/>
      <c r="CO219" s="367"/>
      <c r="CP219" s="367"/>
      <c r="CQ219" s="367"/>
      <c r="CR219" s="367"/>
      <c r="CS219" s="367"/>
      <c r="CT219" s="367"/>
      <c r="CU219" s="367"/>
      <c r="CV219" s="367"/>
      <c r="CW219" s="367"/>
      <c r="CX219" s="367"/>
      <c r="CY219" s="367"/>
      <c r="CZ219" s="367"/>
      <c r="DA219" s="367"/>
      <c r="DB219" s="367"/>
      <c r="DC219" s="367"/>
      <c r="DD219" s="367"/>
      <c r="DE219" s="367"/>
      <c r="DF219" s="367"/>
      <c r="DG219" s="367"/>
      <c r="DH219" s="367"/>
      <c r="DI219" s="367"/>
      <c r="DJ219" s="367"/>
      <c r="DK219" s="367"/>
      <c r="DL219" s="367"/>
      <c r="DM219" s="367"/>
      <c r="DN219" s="367"/>
      <c r="DO219" s="367"/>
      <c r="DP219" s="367"/>
      <c r="DQ219" s="367"/>
      <c r="DR219" s="367"/>
      <c r="DS219" s="367"/>
      <c r="DT219" s="367"/>
      <c r="DU219" s="367"/>
      <c r="DV219" s="367"/>
      <c r="DW219" s="367"/>
    </row>
    <row r="220" ht="15.0" customHeight="1">
      <c r="A220" s="372">
        <v>42729.0</v>
      </c>
      <c r="B220" s="384" t="s">
        <v>2961</v>
      </c>
      <c r="C220" s="384" t="s">
        <v>2962</v>
      </c>
      <c r="D220" s="532"/>
      <c r="E220" s="374" t="str">
        <f>IFERROR(__xludf.DUMMYFUNCTION("if(and(D220&lt;&gt;0,D220&lt;&gt;""""),D220/GOOGLEFINANCE(C220,""price"")-1,"""")"),"")</f>
        <v/>
      </c>
      <c r="F220" s="375">
        <f>IFERROR(__xludf.DUMMYFUNCTION("GOOGLEFINANCE(C220,""price"")"),34.95)</f>
        <v>34.95</v>
      </c>
      <c r="G220" s="374">
        <f t="shared" si="6"/>
        <v>-0.6278717496</v>
      </c>
      <c r="H220" s="376"/>
      <c r="I220" s="376">
        <f>0.66*($I$1+5)</f>
        <v>13.00588235</v>
      </c>
      <c r="J220" s="380"/>
      <c r="K220" s="380"/>
      <c r="L220" s="389"/>
      <c r="M220" s="379">
        <f t="shared" si="7"/>
        <v>-119.9023034</v>
      </c>
      <c r="N220" s="380">
        <f t="shared" si="8"/>
        <v>0</v>
      </c>
      <c r="O220" s="389"/>
      <c r="P220" s="415"/>
      <c r="Q220" s="379"/>
      <c r="R220" s="416"/>
      <c r="S220" s="416"/>
      <c r="T220" s="416"/>
      <c r="U220" s="417"/>
      <c r="V220" s="367"/>
      <c r="W220" s="367"/>
      <c r="X220" s="367"/>
      <c r="Y220" s="367"/>
      <c r="Z220" s="367"/>
      <c r="AA220" s="367"/>
      <c r="AB220" s="367"/>
      <c r="AC220" s="367"/>
      <c r="AD220" s="367"/>
      <c r="AE220" s="367"/>
      <c r="AF220" s="367"/>
      <c r="AG220" s="367"/>
      <c r="AH220" s="367"/>
      <c r="AI220" s="367"/>
      <c r="AJ220" s="367"/>
      <c r="AK220" s="367"/>
      <c r="AL220" s="367"/>
      <c r="AM220" s="367"/>
      <c r="AN220" s="367"/>
      <c r="AO220" s="367"/>
      <c r="AP220" s="367"/>
      <c r="AQ220" s="367"/>
      <c r="AR220" s="367"/>
      <c r="AS220" s="367"/>
      <c r="AT220" s="367"/>
      <c r="AU220" s="367"/>
      <c r="AV220" s="367"/>
      <c r="AW220" s="367"/>
      <c r="AX220" s="367"/>
      <c r="AY220" s="367"/>
      <c r="AZ220" s="367"/>
      <c r="BA220" s="367"/>
      <c r="BB220" s="367"/>
      <c r="BC220" s="367"/>
      <c r="BD220" s="367"/>
      <c r="BE220" s="367"/>
      <c r="BF220" s="367"/>
      <c r="BG220" s="367"/>
      <c r="BH220" s="367"/>
      <c r="BI220" s="367"/>
      <c r="BJ220" s="367"/>
      <c r="BK220" s="367"/>
      <c r="BL220" s="367"/>
      <c r="BM220" s="367"/>
      <c r="BN220" s="367"/>
      <c r="BO220" s="367"/>
      <c r="BP220" s="367"/>
      <c r="BQ220" s="367"/>
      <c r="BR220" s="367"/>
      <c r="BS220" s="367"/>
      <c r="BT220" s="367"/>
      <c r="BU220" s="367"/>
      <c r="BV220" s="367"/>
      <c r="BW220" s="367"/>
      <c r="BX220" s="367"/>
      <c r="BY220" s="367"/>
      <c r="BZ220" s="367"/>
      <c r="CA220" s="367"/>
      <c r="CB220" s="367"/>
      <c r="CC220" s="367"/>
      <c r="CD220" s="367"/>
      <c r="CE220" s="367"/>
      <c r="CF220" s="367"/>
      <c r="CG220" s="367"/>
      <c r="CH220" s="367"/>
      <c r="CI220" s="367"/>
      <c r="CJ220" s="367"/>
      <c r="CK220" s="367"/>
      <c r="CL220" s="367"/>
      <c r="CM220" s="367"/>
      <c r="CN220" s="367"/>
      <c r="CO220" s="367"/>
      <c r="CP220" s="367"/>
      <c r="CQ220" s="367"/>
      <c r="CR220" s="367"/>
      <c r="CS220" s="367"/>
      <c r="CT220" s="367"/>
      <c r="CU220" s="367"/>
      <c r="CV220" s="367"/>
      <c r="CW220" s="367"/>
      <c r="CX220" s="367"/>
      <c r="CY220" s="367"/>
      <c r="CZ220" s="367"/>
      <c r="DA220" s="367"/>
      <c r="DB220" s="367"/>
      <c r="DC220" s="367"/>
      <c r="DD220" s="367"/>
      <c r="DE220" s="367"/>
      <c r="DF220" s="367"/>
      <c r="DG220" s="367"/>
      <c r="DH220" s="367"/>
      <c r="DI220" s="367"/>
      <c r="DJ220" s="367"/>
      <c r="DK220" s="367"/>
      <c r="DL220" s="367"/>
      <c r="DM220" s="367"/>
      <c r="DN220" s="367"/>
      <c r="DO220" s="367"/>
      <c r="DP220" s="367"/>
      <c r="DQ220" s="367"/>
      <c r="DR220" s="367"/>
      <c r="DS220" s="367"/>
      <c r="DT220" s="367"/>
      <c r="DU220" s="367"/>
      <c r="DV220" s="367"/>
      <c r="DW220" s="367"/>
    </row>
    <row r="221" ht="15.0" customHeight="1">
      <c r="A221" s="383">
        <v>41450.0</v>
      </c>
      <c r="B221" s="320" t="s">
        <v>2964</v>
      </c>
      <c r="C221" s="320" t="s">
        <v>2965</v>
      </c>
      <c r="D221" s="532"/>
      <c r="E221" s="374" t="str">
        <f>IFERROR(__xludf.DUMMYFUNCTION("if(and(D221&lt;&gt;0,D221&lt;&gt;""""),D221/GOOGLEFINANCE(C221,""price"")-1,"""")"),"")</f>
        <v/>
      </c>
      <c r="F221" s="375" t="str">
        <f>IFERROR(__xludf.DUMMYFUNCTION("GOOGLEFINANCE(C221,""price"")"),"#N/A")</f>
        <v>#N/A</v>
      </c>
      <c r="G221" s="374" t="str">
        <f t="shared" si="6"/>
        <v/>
      </c>
      <c r="H221" s="376"/>
      <c r="I221" s="376"/>
      <c r="J221" s="380"/>
      <c r="K221" s="380"/>
      <c r="L221" s="389"/>
      <c r="M221" s="379">
        <f t="shared" si="7"/>
        <v>-119.9023034</v>
      </c>
      <c r="N221" s="380">
        <f t="shared" si="8"/>
        <v>0</v>
      </c>
      <c r="O221" s="389"/>
      <c r="P221" s="415"/>
      <c r="Q221" s="379"/>
      <c r="R221" s="416"/>
      <c r="S221" s="416"/>
      <c r="T221" s="416"/>
      <c r="U221" s="417" t="s">
        <v>2968</v>
      </c>
      <c r="V221" s="367"/>
      <c r="W221" s="367"/>
      <c r="X221" s="367"/>
      <c r="Y221" s="367"/>
      <c r="Z221" s="367"/>
      <c r="AA221" s="367"/>
      <c r="AB221" s="367"/>
      <c r="AC221" s="367"/>
      <c r="AD221" s="367"/>
      <c r="AE221" s="367"/>
      <c r="AF221" s="367"/>
      <c r="AG221" s="367"/>
      <c r="AH221" s="367"/>
      <c r="AI221" s="367"/>
      <c r="AJ221" s="367"/>
      <c r="AK221" s="367"/>
      <c r="AL221" s="367"/>
      <c r="AM221" s="367"/>
      <c r="AN221" s="367"/>
      <c r="AO221" s="367"/>
      <c r="AP221" s="367"/>
      <c r="AQ221" s="367"/>
      <c r="AR221" s="367"/>
      <c r="AS221" s="367"/>
      <c r="AT221" s="367"/>
      <c r="AU221" s="367"/>
      <c r="AV221" s="367"/>
      <c r="AW221" s="367"/>
      <c r="AX221" s="367"/>
      <c r="AY221" s="367"/>
      <c r="AZ221" s="367"/>
      <c r="BA221" s="367"/>
      <c r="BB221" s="367"/>
      <c r="BC221" s="367"/>
      <c r="BD221" s="367"/>
      <c r="BE221" s="367"/>
      <c r="BF221" s="367"/>
      <c r="BG221" s="367"/>
      <c r="BH221" s="367"/>
      <c r="BI221" s="367"/>
      <c r="BJ221" s="367"/>
      <c r="BK221" s="367"/>
      <c r="BL221" s="367"/>
      <c r="BM221" s="367"/>
      <c r="BN221" s="367"/>
      <c r="BO221" s="367"/>
      <c r="BP221" s="367"/>
      <c r="BQ221" s="367"/>
      <c r="BR221" s="367"/>
      <c r="BS221" s="367"/>
      <c r="BT221" s="367"/>
      <c r="BU221" s="367"/>
      <c r="BV221" s="367"/>
      <c r="BW221" s="367"/>
      <c r="BX221" s="367"/>
      <c r="BY221" s="367"/>
      <c r="BZ221" s="367"/>
      <c r="CA221" s="367"/>
      <c r="CB221" s="367"/>
      <c r="CC221" s="367"/>
      <c r="CD221" s="367"/>
      <c r="CE221" s="367"/>
      <c r="CF221" s="367"/>
      <c r="CG221" s="367"/>
      <c r="CH221" s="367"/>
      <c r="CI221" s="367"/>
      <c r="CJ221" s="367"/>
      <c r="CK221" s="367"/>
      <c r="CL221" s="367"/>
      <c r="CM221" s="367"/>
      <c r="CN221" s="367"/>
      <c r="CO221" s="367"/>
      <c r="CP221" s="367"/>
      <c r="CQ221" s="367"/>
      <c r="CR221" s="367"/>
      <c r="CS221" s="367"/>
      <c r="CT221" s="367"/>
      <c r="CU221" s="367"/>
      <c r="CV221" s="367"/>
      <c r="CW221" s="367"/>
      <c r="CX221" s="367"/>
      <c r="CY221" s="367"/>
      <c r="CZ221" s="367"/>
      <c r="DA221" s="367"/>
      <c r="DB221" s="367"/>
      <c r="DC221" s="367"/>
      <c r="DD221" s="367"/>
      <c r="DE221" s="367"/>
      <c r="DF221" s="367"/>
      <c r="DG221" s="367"/>
      <c r="DH221" s="367"/>
      <c r="DI221" s="367"/>
      <c r="DJ221" s="367"/>
      <c r="DK221" s="367"/>
      <c r="DL221" s="367"/>
      <c r="DM221" s="367"/>
      <c r="DN221" s="367"/>
      <c r="DO221" s="367"/>
      <c r="DP221" s="367"/>
      <c r="DQ221" s="367"/>
      <c r="DR221" s="367"/>
      <c r="DS221" s="367"/>
      <c r="DT221" s="367"/>
      <c r="DU221" s="367"/>
      <c r="DV221" s="367"/>
      <c r="DW221" s="367"/>
    </row>
    <row r="222" ht="15.0" customHeight="1">
      <c r="A222" s="383">
        <v>40914.0</v>
      </c>
      <c r="B222" s="320" t="s">
        <v>2969</v>
      </c>
      <c r="C222" s="320" t="s">
        <v>2970</v>
      </c>
      <c r="D222" s="532"/>
      <c r="E222" s="374" t="str">
        <f>IFERROR(__xludf.DUMMYFUNCTION("if(and(D222&lt;&gt;0,D222&lt;&gt;""""),D222/GOOGLEFINANCE(C222,""price"")-1,"""")"),"")</f>
        <v/>
      </c>
      <c r="F222" s="375">
        <f>IFERROR(__xludf.DUMMYFUNCTION("GOOGLEFINANCE(C222,""price"")"),118.51)</f>
        <v>118.51</v>
      </c>
      <c r="G222" s="374" t="str">
        <f t="shared" si="6"/>
        <v/>
      </c>
      <c r="H222" s="376">
        <f>(2.4*1.25)*25</f>
        <v>75</v>
      </c>
      <c r="I222" s="376"/>
      <c r="J222" s="380"/>
      <c r="K222" s="380"/>
      <c r="L222" s="389"/>
      <c r="M222" s="379">
        <f t="shared" si="7"/>
        <v>-119.9023034</v>
      </c>
      <c r="N222" s="380">
        <f t="shared" si="8"/>
        <v>0</v>
      </c>
      <c r="O222" s="389"/>
      <c r="P222" s="415"/>
      <c r="Q222" s="379"/>
      <c r="R222" s="416"/>
      <c r="S222" s="416"/>
      <c r="T222" s="416"/>
      <c r="U222" s="417" t="s">
        <v>2972</v>
      </c>
      <c r="V222" s="367"/>
      <c r="W222" s="367"/>
      <c r="X222" s="367"/>
      <c r="Y222" s="367"/>
      <c r="Z222" s="367"/>
      <c r="AA222" s="367"/>
      <c r="AB222" s="367"/>
      <c r="AC222" s="367"/>
      <c r="AD222" s="367"/>
      <c r="AE222" s="367"/>
      <c r="AF222" s="367"/>
      <c r="AG222" s="367"/>
      <c r="AH222" s="367"/>
      <c r="AI222" s="367"/>
      <c r="AJ222" s="367"/>
      <c r="AK222" s="367"/>
      <c r="AL222" s="367"/>
      <c r="AM222" s="367"/>
      <c r="AN222" s="367"/>
      <c r="AO222" s="367"/>
      <c r="AP222" s="367"/>
      <c r="AQ222" s="367"/>
      <c r="AR222" s="367"/>
      <c r="AS222" s="367"/>
      <c r="AT222" s="367"/>
      <c r="AU222" s="367"/>
      <c r="AV222" s="367"/>
      <c r="AW222" s="367"/>
      <c r="AX222" s="367"/>
      <c r="AY222" s="367"/>
      <c r="AZ222" s="367"/>
      <c r="BA222" s="367"/>
      <c r="BB222" s="367"/>
      <c r="BC222" s="367"/>
      <c r="BD222" s="367"/>
      <c r="BE222" s="367"/>
      <c r="BF222" s="367"/>
      <c r="BG222" s="367"/>
      <c r="BH222" s="367"/>
      <c r="BI222" s="367"/>
      <c r="BJ222" s="367"/>
      <c r="BK222" s="367"/>
      <c r="BL222" s="367"/>
      <c r="BM222" s="367"/>
      <c r="BN222" s="367"/>
      <c r="BO222" s="367"/>
      <c r="BP222" s="367"/>
      <c r="BQ222" s="367"/>
      <c r="BR222" s="367"/>
      <c r="BS222" s="367"/>
      <c r="BT222" s="367"/>
      <c r="BU222" s="367"/>
      <c r="BV222" s="367"/>
      <c r="BW222" s="367"/>
      <c r="BX222" s="367"/>
      <c r="BY222" s="367"/>
      <c r="BZ222" s="367"/>
      <c r="CA222" s="367"/>
      <c r="CB222" s="367"/>
      <c r="CC222" s="367"/>
      <c r="CD222" s="367"/>
      <c r="CE222" s="367"/>
      <c r="CF222" s="367"/>
      <c r="CG222" s="367"/>
      <c r="CH222" s="367"/>
      <c r="CI222" s="367"/>
      <c r="CJ222" s="367"/>
      <c r="CK222" s="367"/>
      <c r="CL222" s="367"/>
      <c r="CM222" s="367"/>
      <c r="CN222" s="367"/>
      <c r="CO222" s="367"/>
      <c r="CP222" s="367"/>
      <c r="CQ222" s="367"/>
      <c r="CR222" s="367"/>
      <c r="CS222" s="367"/>
      <c r="CT222" s="367"/>
      <c r="CU222" s="367"/>
      <c r="CV222" s="367"/>
      <c r="CW222" s="367"/>
      <c r="CX222" s="367"/>
      <c r="CY222" s="367"/>
      <c r="CZ222" s="367"/>
      <c r="DA222" s="367"/>
      <c r="DB222" s="367"/>
      <c r="DC222" s="367"/>
      <c r="DD222" s="367"/>
      <c r="DE222" s="367"/>
      <c r="DF222" s="367"/>
      <c r="DG222" s="367"/>
      <c r="DH222" s="367"/>
      <c r="DI222" s="367"/>
      <c r="DJ222" s="367"/>
      <c r="DK222" s="367"/>
      <c r="DL222" s="367"/>
      <c r="DM222" s="367"/>
      <c r="DN222" s="367"/>
      <c r="DO222" s="367"/>
      <c r="DP222" s="367"/>
      <c r="DQ222" s="367"/>
      <c r="DR222" s="367"/>
      <c r="DS222" s="367"/>
      <c r="DT222" s="367"/>
      <c r="DU222" s="367"/>
      <c r="DV222" s="367"/>
      <c r="DW222" s="367"/>
    </row>
    <row r="223" ht="15.0" customHeight="1">
      <c r="A223" s="394">
        <v>40578.0</v>
      </c>
      <c r="B223" s="302" t="s">
        <v>2973</v>
      </c>
      <c r="C223" s="302" t="s">
        <v>2974</v>
      </c>
      <c r="D223" s="422"/>
      <c r="E223" s="396" t="str">
        <f>IFERROR(__xludf.DUMMYFUNCTION("if(and(D223&lt;&gt;0,D223&lt;&gt;""""),D223/GOOGLEFINANCE(C223,""price"")-1,"""")"),"")</f>
        <v/>
      </c>
      <c r="F223" s="397">
        <f>IFERROR(__xludf.DUMMYFUNCTION("GOOGLEFINANCE(C223,""price"")"),208.0)</f>
        <v>208</v>
      </c>
      <c r="G223" s="396" t="str">
        <f t="shared" si="6"/>
        <v/>
      </c>
      <c r="H223" s="398"/>
      <c r="I223" s="398"/>
      <c r="J223" s="403"/>
      <c r="K223" s="403"/>
      <c r="L223" s="410"/>
      <c r="M223" s="402">
        <f t="shared" si="7"/>
        <v>-119.9023034</v>
      </c>
      <c r="N223" s="403">
        <f t="shared" si="8"/>
        <v>0</v>
      </c>
      <c r="O223" s="410"/>
      <c r="P223" s="411"/>
      <c r="Q223" s="402"/>
      <c r="R223" s="412"/>
      <c r="S223" s="412"/>
      <c r="T223" s="412"/>
      <c r="U223" s="413" t="s">
        <v>2975</v>
      </c>
      <c r="V223" s="414"/>
      <c r="W223" s="414"/>
      <c r="X223" s="414"/>
      <c r="Y223" s="414"/>
      <c r="Z223" s="414"/>
      <c r="AA223" s="414"/>
      <c r="AB223" s="414"/>
      <c r="AC223" s="414"/>
      <c r="AD223" s="414"/>
      <c r="AE223" s="414"/>
      <c r="AF223" s="414"/>
      <c r="AG223" s="414"/>
      <c r="AH223" s="414"/>
      <c r="AI223" s="414"/>
      <c r="AJ223" s="414"/>
      <c r="AK223" s="414"/>
      <c r="AL223" s="414"/>
      <c r="AM223" s="414"/>
      <c r="AN223" s="414"/>
      <c r="AO223" s="414"/>
      <c r="AP223" s="414"/>
      <c r="AQ223" s="414"/>
      <c r="AR223" s="414"/>
      <c r="AS223" s="414"/>
      <c r="AT223" s="414"/>
      <c r="AU223" s="414"/>
      <c r="AV223" s="414"/>
      <c r="AW223" s="414"/>
      <c r="AX223" s="414"/>
      <c r="AY223" s="414"/>
      <c r="AZ223" s="414"/>
      <c r="BA223" s="414"/>
      <c r="BB223" s="414"/>
      <c r="BC223" s="414"/>
      <c r="BD223" s="414"/>
      <c r="BE223" s="414"/>
      <c r="BF223" s="414"/>
      <c r="BG223" s="414"/>
      <c r="BH223" s="414"/>
      <c r="BI223" s="414"/>
      <c r="BJ223" s="414"/>
      <c r="BK223" s="414"/>
      <c r="BL223" s="414"/>
      <c r="BM223" s="414"/>
      <c r="BN223" s="414"/>
      <c r="BO223" s="414"/>
      <c r="BP223" s="414"/>
      <c r="BQ223" s="414"/>
      <c r="BR223" s="414"/>
      <c r="BS223" s="414"/>
      <c r="BT223" s="414"/>
      <c r="BU223" s="414"/>
      <c r="BV223" s="414"/>
      <c r="BW223" s="414"/>
      <c r="BX223" s="414"/>
      <c r="BY223" s="414"/>
      <c r="BZ223" s="414"/>
      <c r="CA223" s="414"/>
      <c r="CB223" s="414"/>
      <c r="CC223" s="414"/>
      <c r="CD223" s="414"/>
      <c r="CE223" s="414"/>
      <c r="CF223" s="414"/>
      <c r="CG223" s="414"/>
      <c r="CH223" s="414"/>
      <c r="CI223" s="414"/>
      <c r="CJ223" s="414"/>
      <c r="CK223" s="414"/>
      <c r="CL223" s="414"/>
      <c r="CM223" s="414"/>
      <c r="CN223" s="414"/>
      <c r="CO223" s="414"/>
      <c r="CP223" s="414"/>
      <c r="CQ223" s="414"/>
      <c r="CR223" s="414"/>
      <c r="CS223" s="414"/>
      <c r="CT223" s="414"/>
      <c r="CU223" s="414"/>
      <c r="CV223" s="414"/>
      <c r="CW223" s="414"/>
      <c r="CX223" s="414"/>
      <c r="CY223" s="414"/>
      <c r="CZ223" s="414"/>
      <c r="DA223" s="414"/>
      <c r="DB223" s="414"/>
      <c r="DC223" s="414"/>
      <c r="DD223" s="414"/>
      <c r="DE223" s="414"/>
      <c r="DF223" s="414"/>
      <c r="DG223" s="414"/>
      <c r="DH223" s="414"/>
      <c r="DI223" s="414"/>
      <c r="DJ223" s="414"/>
      <c r="DK223" s="414"/>
      <c r="DL223" s="414"/>
      <c r="DM223" s="414"/>
      <c r="DN223" s="414"/>
      <c r="DO223" s="414"/>
      <c r="DP223" s="414"/>
      <c r="DQ223" s="414"/>
      <c r="DR223" s="414"/>
      <c r="DS223" s="414"/>
      <c r="DT223" s="414"/>
      <c r="DU223" s="414"/>
      <c r="DV223" s="414"/>
      <c r="DW223" s="414"/>
    </row>
    <row r="224" ht="15.0" customHeight="1">
      <c r="A224" s="383">
        <v>41674.0</v>
      </c>
      <c r="B224" s="320" t="s">
        <v>2976</v>
      </c>
      <c r="C224" s="320" t="s">
        <v>1164</v>
      </c>
      <c r="D224" s="373">
        <v>50.0</v>
      </c>
      <c r="E224" s="374">
        <f>IFERROR(__xludf.DUMMYFUNCTION("if(and(D224&lt;&gt;0,D224&lt;&gt;""""),D224/GOOGLEFINANCE(C224,""price"")-1,"""")"),-0.11878745153330983)</f>
        <v>-0.1187874515</v>
      </c>
      <c r="F224" s="375">
        <f>IFERROR(__xludf.DUMMYFUNCTION("GOOGLEFINANCE(C224,""price"")"),56.74)</f>
        <v>56.74</v>
      </c>
      <c r="G224" s="374">
        <f t="shared" si="6"/>
        <v>0.3837095544</v>
      </c>
      <c r="H224" s="376"/>
      <c r="I224" s="368">
        <f>sum(CY224:DS224)</f>
        <v>78.51168011</v>
      </c>
      <c r="J224" s="377">
        <v>4.25</v>
      </c>
      <c r="K224" s="377">
        <v>5.1</v>
      </c>
      <c r="L224" s="378">
        <v>43830.0</v>
      </c>
      <c r="M224" s="379">
        <f t="shared" si="7"/>
        <v>0.1798884258</v>
      </c>
      <c r="N224" s="380">
        <f t="shared" si="8"/>
        <v>4.947094838</v>
      </c>
      <c r="O224" s="370">
        <v>0.01</v>
      </c>
      <c r="P224" s="370">
        <v>0.15</v>
      </c>
      <c r="Q224" s="371">
        <f>I224/N224</f>
        <v>15.87025976</v>
      </c>
      <c r="R224" s="381">
        <v>8.0</v>
      </c>
      <c r="S224" s="378">
        <v>43762.0</v>
      </c>
      <c r="T224" s="387" t="s">
        <v>1223</v>
      </c>
      <c r="U224" s="382" t="s">
        <v>2977</v>
      </c>
      <c r="V224" s="961">
        <f>O224</f>
        <v>0.01</v>
      </c>
      <c r="W224" s="962">
        <f>max(min(Valu!$C$15,$O224),$O224-max($O224-Valu!$C$15,0)/$R224*(W$3-1))</f>
        <v>0.01</v>
      </c>
      <c r="X224" s="962">
        <f>max(min(Valu!$C$15,$O224),$O224-max($O224-Valu!$C$15,0)/$R224*(X$3-1))</f>
        <v>0.01</v>
      </c>
      <c r="Y224" s="962">
        <f>max(min(Valu!$C$15,$O224),$O224-max($O224-Valu!$C$15,0)/$R224*(Y$3-1))</f>
        <v>0.01</v>
      </c>
      <c r="Z224" s="962">
        <f>max(min(Valu!$C$15,$O224),$O224-max($O224-Valu!$C$15,0)/$R224*(Z$3-1))</f>
        <v>0.01</v>
      </c>
      <c r="AA224" s="962">
        <f>max(min(Valu!$C$15,$O224),$O224-max($O224-Valu!$C$15,0)/$R224*(AA$3-1))</f>
        <v>0.01</v>
      </c>
      <c r="AB224" s="962">
        <f>max(min(Valu!$C$15,$O224),$O224-max($O224-Valu!$C$15,0)/$R224*(AB$3-1))</f>
        <v>0.01</v>
      </c>
      <c r="AC224" s="962">
        <f>max(min(Valu!$C$15,$O224),$O224-max($O224-Valu!$C$15,0)/$R224*(AC$3-1))</f>
        <v>0.01</v>
      </c>
      <c r="AD224" s="962">
        <f>max(min(Valu!$C$15,$O224),$O224-max($O224-Valu!$C$15,0)/$R224*(AD$3-1))</f>
        <v>0.01</v>
      </c>
      <c r="AE224" s="962">
        <f>max(min(Valu!$C$15,$O224),$O224-max($O224-Valu!$C$15,0)/$R224*(AE$3-1))</f>
        <v>0.01</v>
      </c>
      <c r="AF224" s="962">
        <f>max(min(Valu!$C$15,$O224),$O224-max($O224-Valu!$C$15,0)/$R224*(AF$3-1))</f>
        <v>0.01</v>
      </c>
      <c r="AG224" s="962">
        <f>max(min(Valu!$C$15,$O224),$O224-max($O224-Valu!$C$15,0)/$R224*(AG$3-1))</f>
        <v>0.01</v>
      </c>
      <c r="AH224" s="962">
        <f>max(min(Valu!$C$15,$O224),$O224-max($O224-Valu!$C$15,0)/$R224*(AH$3-1))</f>
        <v>0.01</v>
      </c>
      <c r="AI224" s="962">
        <f>max(min(Valu!$C$15,$O224),$O224-max($O224-Valu!$C$15,0)/$R224*(AI$3-1))</f>
        <v>0.01</v>
      </c>
      <c r="AJ224" s="962">
        <f>max(min(Valu!$C$15,$O224),$O224-max($O224-Valu!$C$15,0)/$R224*(AJ$3-1))</f>
        <v>0.01</v>
      </c>
      <c r="AK224" s="962">
        <f>max(min(Valu!$C$15,$O224),$O224-max($O224-Valu!$C$15,0)/$R224*(AK$3-1))</f>
        <v>0.01</v>
      </c>
      <c r="AL224" s="962">
        <f>max(min(Valu!$C$15,$O224),$O224-max($O224-Valu!$C$15,0)/$R224*(AL$3-1))</f>
        <v>0.01</v>
      </c>
      <c r="AM224" s="962">
        <f>max(min(Valu!$C$15,$O224),$O224-max($O224-Valu!$C$15,0)/$R224*(AM$3-1))</f>
        <v>0.01</v>
      </c>
      <c r="AN224" s="962">
        <f>max(min(Valu!$C$15,$O224),$O224-max($O224-Valu!$C$15,0)/$R224*(AN$3-1))</f>
        <v>0.01</v>
      </c>
      <c r="AO224" s="962">
        <f>max(min(Valu!$C$15,$O224),$O224-max($O224-Valu!$C$15,0)/$R224*(AO$3-1))</f>
        <v>0.01</v>
      </c>
      <c r="AP224" s="962">
        <f>max(min(Valu!$C$14,$P224),$P224-max($P224-Valu!$C$14,0)/$R224*(AP$3-1))</f>
        <v>0.15</v>
      </c>
      <c r="AQ224" s="962">
        <f>max(min(Valu!$C$14,$P224),$P224-max($P224-Valu!$C$14,0)/$R224*(AQ$3-1))</f>
        <v>0.14625</v>
      </c>
      <c r="AR224" s="962">
        <f>max(min(Valu!$C$14,$P224),$P224-max($P224-Valu!$C$14,0)/$R224*(AR$3-1))</f>
        <v>0.1425</v>
      </c>
      <c r="AS224" s="962">
        <f>max(min(Valu!$C$14,$P224),$P224-max($P224-Valu!$C$14,0)/$R224*(AS$3-1))</f>
        <v>0.13875</v>
      </c>
      <c r="AT224" s="962">
        <f>max(min(Valu!$C$14,$P224),$P224-max($P224-Valu!$C$14,0)/$R224*(AT$3-1))</f>
        <v>0.135</v>
      </c>
      <c r="AU224" s="962">
        <f>max(min(Valu!$C$14,$P224),$P224-max($P224-Valu!$C$14,0)/$R224*(AU$3-1))</f>
        <v>0.13125</v>
      </c>
      <c r="AV224" s="962">
        <f>max(min(Valu!$C$14,$P224),$P224-max($P224-Valu!$C$14,0)/$R224*(AV$3-1))</f>
        <v>0.1275</v>
      </c>
      <c r="AW224" s="962">
        <f>max(min(Valu!$C$14,$P224),$P224-max($P224-Valu!$C$14,0)/$R224*(AW$3-1))</f>
        <v>0.12375</v>
      </c>
      <c r="AX224" s="962">
        <f>max(min(Valu!$C$14,$P224),$P224-max($P224-Valu!$C$14,0)/$R224*(AX$3-1))</f>
        <v>0.12</v>
      </c>
      <c r="AY224" s="962">
        <f>max(min(Valu!$C$14,$P224),$P224-max($P224-Valu!$C$14,0)/$R224*(AY$3-1))</f>
        <v>0.12</v>
      </c>
      <c r="AZ224" s="962">
        <f>max(min(Valu!$C$14,$P224),$P224-max($P224-Valu!$C$14,0)/$R224*(AZ$3-1))</f>
        <v>0.12</v>
      </c>
      <c r="BA224" s="962">
        <f>max(min(Valu!$C$14,$P224),$P224-max($P224-Valu!$C$14,0)/$R224*(BA$3-1))</f>
        <v>0.12</v>
      </c>
      <c r="BB224" s="962">
        <f>max(min(Valu!$C$14,$P224),$P224-max($P224-Valu!$C$14,0)/$R224*(BB$3-1))</f>
        <v>0.12</v>
      </c>
      <c r="BC224" s="962">
        <f>max(min(Valu!$C$14,$P224),$P224-max($P224-Valu!$C$14,0)/$R224*(BC$3-1))</f>
        <v>0.12</v>
      </c>
      <c r="BD224" s="962">
        <f>max(min(Valu!$C$14,$P224),$P224-max($P224-Valu!$C$14,0)/$R224*(BD$3-1))</f>
        <v>0.12</v>
      </c>
      <c r="BE224" s="962">
        <f>max(min(Valu!$C$14,$P224),$P224-max($P224-Valu!$C$14,0)/$R224*(BE$3-1))</f>
        <v>0.12</v>
      </c>
      <c r="BF224" s="962">
        <f>max(min(Valu!$C$14,$P224),$P224-max($P224-Valu!$C$14,0)/$R224*(BF$3-1))</f>
        <v>0.12</v>
      </c>
      <c r="BG224" s="962">
        <f>max(min(Valu!$C$14,$P224),$P224-max($P224-Valu!$C$14,0)/$R224*(BG$3-1))</f>
        <v>0.12</v>
      </c>
      <c r="BH224" s="962">
        <f>max(min(Valu!$C$14,$P224),$P224-max($P224-Valu!$C$14,0)/$R224*(BH$3-1))</f>
        <v>0.12</v>
      </c>
      <c r="BI224" s="962">
        <f>max(min(Valu!$C$14,$P224),$P224-max($P224-Valu!$C$14,0)/$R224*(BI$3-1))</f>
        <v>0.12</v>
      </c>
      <c r="BJ224" s="965">
        <f>N224</f>
        <v>4.947094838</v>
      </c>
      <c r="BK224" s="966">
        <f>$BJ224*(1+V224)</f>
        <v>4.996565786</v>
      </c>
      <c r="BL224" s="966">
        <f t="shared" ref="BL224:CC224" si="123">BK224*(1+W224)</f>
        <v>5.046531444</v>
      </c>
      <c r="BM224" s="966">
        <f t="shared" si="123"/>
        <v>5.096996759</v>
      </c>
      <c r="BN224" s="966">
        <f t="shared" si="123"/>
        <v>5.147966726</v>
      </c>
      <c r="BO224" s="966">
        <f t="shared" si="123"/>
        <v>5.199446394</v>
      </c>
      <c r="BP224" s="966">
        <f t="shared" si="123"/>
        <v>5.251440858</v>
      </c>
      <c r="BQ224" s="966">
        <f t="shared" si="123"/>
        <v>5.303955266</v>
      </c>
      <c r="BR224" s="966">
        <f t="shared" si="123"/>
        <v>5.356994819</v>
      </c>
      <c r="BS224" s="966">
        <f t="shared" si="123"/>
        <v>5.410564767</v>
      </c>
      <c r="BT224" s="966">
        <f t="shared" si="123"/>
        <v>5.464670415</v>
      </c>
      <c r="BU224" s="966">
        <f t="shared" si="123"/>
        <v>5.519317119</v>
      </c>
      <c r="BV224" s="966">
        <f t="shared" si="123"/>
        <v>5.57451029</v>
      </c>
      <c r="BW224" s="966">
        <f t="shared" si="123"/>
        <v>5.630255393</v>
      </c>
      <c r="BX224" s="966">
        <f t="shared" si="123"/>
        <v>5.686557947</v>
      </c>
      <c r="BY224" s="966">
        <f t="shared" si="123"/>
        <v>5.743423526</v>
      </c>
      <c r="BZ224" s="966">
        <f t="shared" si="123"/>
        <v>5.800857762</v>
      </c>
      <c r="CA224" s="966">
        <f t="shared" si="123"/>
        <v>5.858866339</v>
      </c>
      <c r="CB224" s="966">
        <f t="shared" si="123"/>
        <v>5.917455003</v>
      </c>
      <c r="CC224" s="966">
        <f t="shared" si="123"/>
        <v>5.976629553</v>
      </c>
      <c r="CD224" s="966">
        <f t="shared" ref="CD224:CW224" si="124">BJ224*(1-V224/AP224)</f>
        <v>4.617288516</v>
      </c>
      <c r="CE224" s="966">
        <f t="shared" si="124"/>
        <v>4.654920263</v>
      </c>
      <c r="CF224" s="966">
        <f t="shared" si="124"/>
        <v>4.692388887</v>
      </c>
      <c r="CG224" s="966">
        <f t="shared" si="124"/>
        <v>4.729645641</v>
      </c>
      <c r="CH224" s="966">
        <f t="shared" si="124"/>
        <v>4.766635858</v>
      </c>
      <c r="CI224" s="966">
        <f t="shared" si="124"/>
        <v>4.803298097</v>
      </c>
      <c r="CJ224" s="966">
        <f t="shared" si="124"/>
        <v>4.839563143</v>
      </c>
      <c r="CK224" s="966">
        <f t="shared" si="124"/>
        <v>4.87535282</v>
      </c>
      <c r="CL224" s="966">
        <f t="shared" si="124"/>
        <v>4.910578584</v>
      </c>
      <c r="CM224" s="966">
        <f t="shared" si="124"/>
        <v>4.95968437</v>
      </c>
      <c r="CN224" s="966">
        <f t="shared" si="124"/>
        <v>5.009281213</v>
      </c>
      <c r="CO224" s="966">
        <f t="shared" si="124"/>
        <v>5.059374026</v>
      </c>
      <c r="CP224" s="966">
        <f t="shared" si="124"/>
        <v>5.109967766</v>
      </c>
      <c r="CQ224" s="966">
        <f t="shared" si="124"/>
        <v>5.161067443</v>
      </c>
      <c r="CR224" s="966">
        <f t="shared" si="124"/>
        <v>5.212678118</v>
      </c>
      <c r="CS224" s="966">
        <f t="shared" si="124"/>
        <v>5.264804899</v>
      </c>
      <c r="CT224" s="966">
        <f t="shared" si="124"/>
        <v>5.317452948</v>
      </c>
      <c r="CU224" s="966">
        <f t="shared" si="124"/>
        <v>5.370627478</v>
      </c>
      <c r="CV224" s="966">
        <f t="shared" si="124"/>
        <v>5.424333752</v>
      </c>
      <c r="CW224" s="966">
        <f t="shared" si="124"/>
        <v>5.47857709</v>
      </c>
      <c r="CX224" s="966">
        <f>CW224*(1+min(Valu!$C$15,$O224))/(Valu!$C$21-min(Valu!$C$15,$O224))</f>
        <v>95.40280794</v>
      </c>
      <c r="CY224" s="966">
        <f>CD224/(1+Valu!$C$21)^CY$3</f>
        <v>4.323303854</v>
      </c>
      <c r="CZ224" s="966">
        <f>CE224/(1+Valu!$C$21)^CZ$3</f>
        <v>4.081029562</v>
      </c>
      <c r="DA224" s="966">
        <f>CF224/(1+Valu!$C$21)^DA$3</f>
        <v>3.851946437</v>
      </c>
      <c r="DB224" s="966">
        <f>CG224/(1+Valu!$C$21)^DB$3</f>
        <v>3.635327925</v>
      </c>
      <c r="DC224" s="966">
        <f>CH224/(1+Valu!$C$21)^DC$3</f>
        <v>3.430486482</v>
      </c>
      <c r="DD224" s="966">
        <f>CI224/(1+Valu!$C$21)^DD$3</f>
        <v>3.23677137</v>
      </c>
      <c r="DE224" s="966">
        <f>CJ224/(1+Valu!$C$21)^DE$3</f>
        <v>3.053566566</v>
      </c>
      <c r="DF224" s="966">
        <f>CK224/(1+Valu!$C$21)^DF$3</f>
        <v>2.880288754</v>
      </c>
      <c r="DG224" s="966">
        <f>CL224/(1+Valu!$C$21)^DG$3</f>
        <v>2.716385423</v>
      </c>
      <c r="DH224" s="966">
        <f>CM224/(1+Valu!$C$21)^DH$3</f>
        <v>2.568866364</v>
      </c>
      <c r="DI224" s="966">
        <f>CN224/(1+Valu!$C$21)^DI$3</f>
        <v>2.42935864</v>
      </c>
      <c r="DJ224" s="966">
        <f>CO224/(1+Valu!$C$21)^DJ$3</f>
        <v>2.297427179</v>
      </c>
      <c r="DK224" s="966">
        <f>CP224/(1+Valu!$C$21)^DK$3</f>
        <v>2.172660534</v>
      </c>
      <c r="DL224" s="966">
        <f>CQ224/(1+Valu!$C$21)^DL$3</f>
        <v>2.054669606</v>
      </c>
      <c r="DM224" s="966">
        <f>CR224/(1+Valu!$C$21)^DM$3</f>
        <v>1.943086425</v>
      </c>
      <c r="DN224" s="966">
        <f>CS224/(1+Valu!$C$21)^DN$3</f>
        <v>1.837563005</v>
      </c>
      <c r="DO224" s="966">
        <f>CT224/(1+Valu!$C$21)^DO$3</f>
        <v>1.737770258</v>
      </c>
      <c r="DP224" s="966">
        <f>CU224/(1+Valu!$C$21)^DP$3</f>
        <v>1.643396967</v>
      </c>
      <c r="DQ224" s="966">
        <f>CV224/(1+Valu!$C$21)^DQ$3</f>
        <v>1.554148817</v>
      </c>
      <c r="DR224" s="966">
        <f>CW224/(1+Valu!$C$21)^DR$3</f>
        <v>1.469747477</v>
      </c>
      <c r="DS224" s="966">
        <f>CX224/(1+Valu!$C$21)^DS$3</f>
        <v>25.59387847</v>
      </c>
      <c r="DT224" s="358"/>
      <c r="DU224" s="358"/>
      <c r="DV224" s="358"/>
      <c r="DW224" s="358"/>
    </row>
    <row r="225" ht="15.0" customHeight="1">
      <c r="A225" s="372">
        <v>42842.0</v>
      </c>
      <c r="B225" s="384" t="s">
        <v>2984</v>
      </c>
      <c r="C225" s="384" t="s">
        <v>2985</v>
      </c>
      <c r="D225" s="384"/>
      <c r="E225" s="374" t="str">
        <f>IFERROR(__xludf.DUMMYFUNCTION("if(and(D225&lt;&gt;0,D225&lt;&gt;""""),D225/GOOGLEFINANCE(C225,""price"")-1,"""")"),"")</f>
        <v/>
      </c>
      <c r="F225" s="375">
        <f>IFERROR(__xludf.DUMMYFUNCTION("GOOGLEFINANCE(C225,""price"")"),75.0)</f>
        <v>75</v>
      </c>
      <c r="G225" s="374">
        <f t="shared" si="6"/>
        <v>-0.3956862745</v>
      </c>
      <c r="H225" s="376"/>
      <c r="I225" s="376">
        <f>2.3*($I$1+5)</f>
        <v>45.32352941</v>
      </c>
      <c r="J225" s="380"/>
      <c r="K225" s="380"/>
      <c r="L225" s="389"/>
      <c r="M225" s="379">
        <f t="shared" si="7"/>
        <v>-119.9023034</v>
      </c>
      <c r="N225" s="380">
        <f t="shared" si="8"/>
        <v>0</v>
      </c>
      <c r="O225" s="389"/>
      <c r="P225" s="390"/>
      <c r="Q225" s="391"/>
      <c r="R225" s="387"/>
      <c r="S225" s="387"/>
      <c r="T225" s="387"/>
      <c r="U225" s="386" t="s">
        <v>2986</v>
      </c>
      <c r="V225" s="344"/>
      <c r="W225" s="344"/>
      <c r="X225" s="344"/>
      <c r="Y225" s="344"/>
      <c r="Z225" s="344"/>
      <c r="AA225" s="344"/>
      <c r="AB225" s="344"/>
      <c r="AC225" s="344"/>
      <c r="AD225" s="344"/>
      <c r="AE225" s="344"/>
      <c r="AF225" s="344"/>
      <c r="AG225" s="344"/>
      <c r="AH225" s="344"/>
      <c r="AI225" s="344"/>
      <c r="AJ225" s="344"/>
      <c r="AK225" s="344"/>
      <c r="AL225" s="344"/>
      <c r="AM225" s="344"/>
      <c r="AN225" s="344"/>
      <c r="AO225" s="344"/>
      <c r="AP225" s="344"/>
      <c r="AQ225" s="344"/>
      <c r="AR225" s="344"/>
      <c r="AS225" s="344"/>
      <c r="AT225" s="344"/>
      <c r="AU225" s="344"/>
      <c r="AV225" s="344"/>
      <c r="AW225" s="344"/>
      <c r="AX225" s="344"/>
      <c r="AY225" s="344"/>
      <c r="AZ225" s="344"/>
      <c r="BA225" s="344"/>
      <c r="BB225" s="344"/>
      <c r="BC225" s="344"/>
      <c r="BD225" s="344"/>
      <c r="BE225" s="344"/>
      <c r="BF225" s="344"/>
      <c r="BG225" s="344"/>
      <c r="BH225" s="344"/>
      <c r="BI225" s="344"/>
      <c r="BJ225" s="344"/>
      <c r="BK225" s="344"/>
      <c r="BL225" s="344"/>
      <c r="BM225" s="344"/>
      <c r="BN225" s="344"/>
      <c r="BO225" s="344"/>
      <c r="BP225" s="344"/>
      <c r="BQ225" s="344"/>
      <c r="BR225" s="344"/>
      <c r="BS225" s="344"/>
      <c r="BT225" s="344"/>
      <c r="BU225" s="344"/>
      <c r="BV225" s="344"/>
      <c r="BW225" s="344"/>
      <c r="BX225" s="344"/>
      <c r="BY225" s="344"/>
      <c r="BZ225" s="344"/>
      <c r="CA225" s="344"/>
      <c r="CB225" s="344"/>
      <c r="CC225" s="344"/>
      <c r="CD225" s="344"/>
      <c r="CE225" s="344"/>
      <c r="CF225" s="344"/>
      <c r="CG225" s="344"/>
      <c r="CH225" s="344"/>
      <c r="CI225" s="344"/>
      <c r="CJ225" s="344"/>
      <c r="CK225" s="344"/>
      <c r="CL225" s="344"/>
      <c r="CM225" s="344"/>
      <c r="CN225" s="344"/>
      <c r="CO225" s="344"/>
      <c r="CP225" s="344"/>
      <c r="CQ225" s="344"/>
      <c r="CR225" s="344"/>
      <c r="CS225" s="344"/>
      <c r="CT225" s="344"/>
      <c r="CU225" s="344"/>
      <c r="CV225" s="344"/>
      <c r="CW225" s="344"/>
      <c r="CX225" s="344"/>
      <c r="CY225" s="344"/>
      <c r="CZ225" s="344"/>
      <c r="DA225" s="344"/>
      <c r="DB225" s="344"/>
      <c r="DC225" s="344"/>
      <c r="DD225" s="344"/>
      <c r="DE225" s="344"/>
      <c r="DF225" s="344"/>
      <c r="DG225" s="344"/>
      <c r="DH225" s="344"/>
      <c r="DI225" s="344"/>
      <c r="DJ225" s="344"/>
      <c r="DK225" s="344"/>
      <c r="DL225" s="344"/>
      <c r="DM225" s="344"/>
      <c r="DN225" s="344"/>
      <c r="DO225" s="344"/>
      <c r="DP225" s="344"/>
      <c r="DQ225" s="344"/>
      <c r="DR225" s="344"/>
      <c r="DS225" s="344"/>
      <c r="DT225" s="344"/>
      <c r="DU225" s="344"/>
      <c r="DV225" s="344"/>
      <c r="DW225" s="344"/>
    </row>
    <row r="226" ht="15.0" customHeight="1">
      <c r="A226" s="372">
        <v>42337.0</v>
      </c>
      <c r="B226" s="384" t="s">
        <v>2987</v>
      </c>
      <c r="C226" s="384" t="s">
        <v>2988</v>
      </c>
      <c r="D226" s="384">
        <v>70.0</v>
      </c>
      <c r="E226" s="374">
        <f>IFERROR(__xludf.DUMMYFUNCTION("if(and(D226&lt;&gt;0,D226&lt;&gt;""""),D226/GOOGLEFINANCE(C226,""price"")-1,"""")"),-0.22932951667951118)</f>
        <v>-0.2293295167</v>
      </c>
      <c r="F226" s="375">
        <f>IFERROR(__xludf.DUMMYFUNCTION("GOOGLEFINANCE(C226,""price"")"),90.83)</f>
        <v>90.83</v>
      </c>
      <c r="G226" s="374">
        <f t="shared" si="6"/>
        <v>0.677859738</v>
      </c>
      <c r="H226" s="376"/>
      <c r="I226" s="376">
        <f>10.16*(10+5)</f>
        <v>152.4</v>
      </c>
      <c r="J226" s="380"/>
      <c r="K226" s="380"/>
      <c r="L226" s="389"/>
      <c r="M226" s="379">
        <f t="shared" si="7"/>
        <v>-119.9023034</v>
      </c>
      <c r="N226" s="380">
        <f t="shared" si="8"/>
        <v>0</v>
      </c>
      <c r="O226" s="389"/>
      <c r="P226" s="390"/>
      <c r="Q226" s="391"/>
      <c r="R226" s="387"/>
      <c r="S226" s="387"/>
      <c r="T226" s="387"/>
      <c r="U226" s="386" t="s">
        <v>2990</v>
      </c>
      <c r="V226" s="344"/>
      <c r="W226" s="344"/>
      <c r="X226" s="344"/>
      <c r="Y226" s="344"/>
      <c r="Z226" s="344"/>
      <c r="AA226" s="344"/>
      <c r="AB226" s="344"/>
      <c r="AC226" s="344"/>
      <c r="AD226" s="344"/>
      <c r="AE226" s="344"/>
      <c r="AF226" s="344"/>
      <c r="AG226" s="344"/>
      <c r="AH226" s="344"/>
      <c r="AI226" s="344"/>
      <c r="AJ226" s="344"/>
      <c r="AK226" s="344"/>
      <c r="AL226" s="344"/>
      <c r="AM226" s="344"/>
      <c r="AN226" s="344"/>
      <c r="AO226" s="344"/>
      <c r="AP226" s="344"/>
      <c r="AQ226" s="344"/>
      <c r="AR226" s="344"/>
      <c r="AS226" s="344"/>
      <c r="AT226" s="344"/>
      <c r="AU226" s="344"/>
      <c r="AV226" s="344"/>
      <c r="AW226" s="344"/>
      <c r="AX226" s="344"/>
      <c r="AY226" s="344"/>
      <c r="AZ226" s="344"/>
      <c r="BA226" s="344"/>
      <c r="BB226" s="344"/>
      <c r="BC226" s="344"/>
      <c r="BD226" s="344"/>
      <c r="BE226" s="344"/>
      <c r="BF226" s="344"/>
      <c r="BG226" s="344"/>
      <c r="BH226" s="344"/>
      <c r="BI226" s="344"/>
      <c r="BJ226" s="344"/>
      <c r="BK226" s="344"/>
      <c r="BL226" s="344"/>
      <c r="BM226" s="344"/>
      <c r="BN226" s="344"/>
      <c r="BO226" s="344"/>
      <c r="BP226" s="344"/>
      <c r="BQ226" s="344"/>
      <c r="BR226" s="344"/>
      <c r="BS226" s="344"/>
      <c r="BT226" s="344"/>
      <c r="BU226" s="344"/>
      <c r="BV226" s="344"/>
      <c r="BW226" s="344"/>
      <c r="BX226" s="344"/>
      <c r="BY226" s="344"/>
      <c r="BZ226" s="344"/>
      <c r="CA226" s="344"/>
      <c r="CB226" s="344"/>
      <c r="CC226" s="344"/>
      <c r="CD226" s="344"/>
      <c r="CE226" s="344"/>
      <c r="CF226" s="344"/>
      <c r="CG226" s="344"/>
      <c r="CH226" s="344"/>
      <c r="CI226" s="344"/>
      <c r="CJ226" s="344"/>
      <c r="CK226" s="344"/>
      <c r="CL226" s="344"/>
      <c r="CM226" s="344"/>
      <c r="CN226" s="344"/>
      <c r="CO226" s="344"/>
      <c r="CP226" s="344"/>
      <c r="CQ226" s="344"/>
      <c r="CR226" s="344"/>
      <c r="CS226" s="344"/>
      <c r="CT226" s="344"/>
      <c r="CU226" s="344"/>
      <c r="CV226" s="344"/>
      <c r="CW226" s="344"/>
      <c r="CX226" s="344"/>
      <c r="CY226" s="344"/>
      <c r="CZ226" s="344"/>
      <c r="DA226" s="344"/>
      <c r="DB226" s="344"/>
      <c r="DC226" s="344"/>
      <c r="DD226" s="344"/>
      <c r="DE226" s="344"/>
      <c r="DF226" s="344"/>
      <c r="DG226" s="344"/>
      <c r="DH226" s="344"/>
      <c r="DI226" s="344"/>
      <c r="DJ226" s="344"/>
      <c r="DK226" s="344"/>
      <c r="DL226" s="344"/>
      <c r="DM226" s="344"/>
      <c r="DN226" s="344"/>
      <c r="DO226" s="344"/>
      <c r="DP226" s="344"/>
      <c r="DQ226" s="344"/>
      <c r="DR226" s="344"/>
      <c r="DS226" s="344"/>
      <c r="DT226" s="344"/>
      <c r="DU226" s="344"/>
      <c r="DV226" s="344"/>
      <c r="DW226" s="344"/>
    </row>
    <row r="227" ht="15.0" customHeight="1">
      <c r="A227" s="372">
        <v>42127.0</v>
      </c>
      <c r="B227" s="384" t="s">
        <v>2991</v>
      </c>
      <c r="C227" s="384" t="s">
        <v>2992</v>
      </c>
      <c r="D227" s="532"/>
      <c r="E227" s="374" t="str">
        <f>IFERROR(__xludf.DUMMYFUNCTION("if(and(D227&lt;&gt;0,D227&lt;&gt;""""),D227/GOOGLEFINANCE(C227,""price"")-1,"""")"),"")</f>
        <v/>
      </c>
      <c r="F227" s="375">
        <f>IFERROR(__xludf.DUMMYFUNCTION("GOOGLEFINANCE(C227,""price"")"),15.58)</f>
        <v>15.58</v>
      </c>
      <c r="G227" s="374">
        <f t="shared" si="6"/>
        <v>1.991014121</v>
      </c>
      <c r="H227" s="376"/>
      <c r="I227" s="376">
        <f>4.66*(10)</f>
        <v>46.6</v>
      </c>
      <c r="J227" s="380"/>
      <c r="K227" s="380"/>
      <c r="L227" s="389"/>
      <c r="M227" s="379">
        <f t="shared" si="7"/>
        <v>-119.9023034</v>
      </c>
      <c r="N227" s="380">
        <f t="shared" si="8"/>
        <v>0</v>
      </c>
      <c r="O227" s="389"/>
      <c r="P227" s="415"/>
      <c r="Q227" s="379"/>
      <c r="R227" s="416"/>
      <c r="S227" s="416"/>
      <c r="T227" s="416"/>
      <c r="U227" s="417"/>
      <c r="V227" s="367"/>
      <c r="W227" s="367"/>
      <c r="X227" s="367"/>
      <c r="Y227" s="367"/>
      <c r="Z227" s="367"/>
      <c r="AA227" s="367"/>
      <c r="AB227" s="367"/>
      <c r="AC227" s="367"/>
      <c r="AD227" s="367"/>
      <c r="AE227" s="367"/>
      <c r="AF227" s="367"/>
      <c r="AG227" s="367"/>
      <c r="AH227" s="367"/>
      <c r="AI227" s="367"/>
      <c r="AJ227" s="367"/>
      <c r="AK227" s="367"/>
      <c r="AL227" s="367"/>
      <c r="AM227" s="367"/>
      <c r="AN227" s="367"/>
      <c r="AO227" s="367"/>
      <c r="AP227" s="367"/>
      <c r="AQ227" s="367"/>
      <c r="AR227" s="367"/>
      <c r="AS227" s="367"/>
      <c r="AT227" s="367"/>
      <c r="AU227" s="367"/>
      <c r="AV227" s="367"/>
      <c r="AW227" s="367"/>
      <c r="AX227" s="367"/>
      <c r="AY227" s="367"/>
      <c r="AZ227" s="367"/>
      <c r="BA227" s="367"/>
      <c r="BB227" s="367"/>
      <c r="BC227" s="367"/>
      <c r="BD227" s="367"/>
      <c r="BE227" s="367"/>
      <c r="BF227" s="367"/>
      <c r="BG227" s="367"/>
      <c r="BH227" s="367"/>
      <c r="BI227" s="367"/>
      <c r="BJ227" s="367"/>
      <c r="BK227" s="367"/>
      <c r="BL227" s="367"/>
      <c r="BM227" s="367"/>
      <c r="BN227" s="367"/>
      <c r="BO227" s="367"/>
      <c r="BP227" s="367"/>
      <c r="BQ227" s="367"/>
      <c r="BR227" s="367"/>
      <c r="BS227" s="367"/>
      <c r="BT227" s="367"/>
      <c r="BU227" s="367"/>
      <c r="BV227" s="367"/>
      <c r="BW227" s="367"/>
      <c r="BX227" s="367"/>
      <c r="BY227" s="367"/>
      <c r="BZ227" s="367"/>
      <c r="CA227" s="367"/>
      <c r="CB227" s="367"/>
      <c r="CC227" s="367"/>
      <c r="CD227" s="367"/>
      <c r="CE227" s="367"/>
      <c r="CF227" s="367"/>
      <c r="CG227" s="367"/>
      <c r="CH227" s="367"/>
      <c r="CI227" s="367"/>
      <c r="CJ227" s="367"/>
      <c r="CK227" s="367"/>
      <c r="CL227" s="367"/>
      <c r="CM227" s="367"/>
      <c r="CN227" s="367"/>
      <c r="CO227" s="367"/>
      <c r="CP227" s="367"/>
      <c r="CQ227" s="367"/>
      <c r="CR227" s="367"/>
      <c r="CS227" s="367"/>
      <c r="CT227" s="367"/>
      <c r="CU227" s="367"/>
      <c r="CV227" s="367"/>
      <c r="CW227" s="367"/>
      <c r="CX227" s="367"/>
      <c r="CY227" s="367"/>
      <c r="CZ227" s="367"/>
      <c r="DA227" s="367"/>
      <c r="DB227" s="367"/>
      <c r="DC227" s="367"/>
      <c r="DD227" s="367"/>
      <c r="DE227" s="367"/>
      <c r="DF227" s="367"/>
      <c r="DG227" s="367"/>
      <c r="DH227" s="367"/>
      <c r="DI227" s="367"/>
      <c r="DJ227" s="367"/>
      <c r="DK227" s="367"/>
      <c r="DL227" s="367"/>
      <c r="DM227" s="367"/>
      <c r="DN227" s="367"/>
      <c r="DO227" s="367"/>
      <c r="DP227" s="367"/>
      <c r="DQ227" s="367"/>
      <c r="DR227" s="367"/>
      <c r="DS227" s="367"/>
      <c r="DT227" s="367"/>
      <c r="DU227" s="367"/>
      <c r="DV227" s="367"/>
      <c r="DW227" s="367"/>
    </row>
    <row r="228" ht="15.0" customHeight="1">
      <c r="A228" s="383">
        <v>41035.0</v>
      </c>
      <c r="B228" s="320" t="s">
        <v>2993</v>
      </c>
      <c r="C228" s="320" t="s">
        <v>388</v>
      </c>
      <c r="D228" s="373">
        <v>220.0</v>
      </c>
      <c r="E228" s="374">
        <f>IFERROR(__xludf.DUMMYFUNCTION("if(and(D228&lt;&gt;0,D228&lt;&gt;""""),D228/GOOGLEFINANCE(C228,""price"")-1,"""")"),-0.1857581701765424)</f>
        <v>-0.1857581702</v>
      </c>
      <c r="F228" s="375">
        <f>IFERROR(__xludf.DUMMYFUNCTION("GOOGLEFINANCE(C228,""price"")"),270.19)</f>
        <v>270.19</v>
      </c>
      <c r="G228" s="374">
        <f t="shared" si="6"/>
        <v>-0.01817053738</v>
      </c>
      <c r="H228" s="376"/>
      <c r="I228" s="368">
        <f>sum(CY228:DS228)</f>
        <v>265.2805025</v>
      </c>
      <c r="J228" s="377">
        <v>7.62</v>
      </c>
      <c r="K228" s="377">
        <v>9.01</v>
      </c>
      <c r="L228" s="378">
        <v>43830.0</v>
      </c>
      <c r="M228" s="379">
        <f t="shared" si="7"/>
        <v>0.1798884273</v>
      </c>
      <c r="N228" s="380">
        <f t="shared" si="8"/>
        <v>8.759955086</v>
      </c>
      <c r="O228" s="370">
        <v>0.15</v>
      </c>
      <c r="P228" s="370">
        <v>0.4</v>
      </c>
      <c r="Q228" s="371">
        <f>I228/N228</f>
        <v>30.28331765</v>
      </c>
      <c r="R228" s="381">
        <v>8.0</v>
      </c>
      <c r="S228" s="378">
        <v>43684.0</v>
      </c>
      <c r="T228" s="381" t="s">
        <v>1223</v>
      </c>
      <c r="U228" s="382" t="s">
        <v>2994</v>
      </c>
      <c r="V228" s="961">
        <f>O228</f>
        <v>0.15</v>
      </c>
      <c r="W228" s="962">
        <f>max(min(Valu!$C$15,$O228),$O228-max($O228-Valu!$C$15,0)/$R228*(W$3-1))</f>
        <v>0.135</v>
      </c>
      <c r="X228" s="962">
        <f>max(min(Valu!$C$15,$O228),$O228-max($O228-Valu!$C$15,0)/$R228*(X$3-1))</f>
        <v>0.12</v>
      </c>
      <c r="Y228" s="962">
        <f>max(min(Valu!$C$15,$O228),$O228-max($O228-Valu!$C$15,0)/$R228*(Y$3-1))</f>
        <v>0.105</v>
      </c>
      <c r="Z228" s="962">
        <f>max(min(Valu!$C$15,$O228),$O228-max($O228-Valu!$C$15,0)/$R228*(Z$3-1))</f>
        <v>0.09</v>
      </c>
      <c r="AA228" s="962">
        <f>max(min(Valu!$C$15,$O228),$O228-max($O228-Valu!$C$15,0)/$R228*(AA$3-1))</f>
        <v>0.075</v>
      </c>
      <c r="AB228" s="962">
        <f>max(min(Valu!$C$15,$O228),$O228-max($O228-Valu!$C$15,0)/$R228*(AB$3-1))</f>
        <v>0.06</v>
      </c>
      <c r="AC228" s="962">
        <f>max(min(Valu!$C$15,$O228),$O228-max($O228-Valu!$C$15,0)/$R228*(AC$3-1))</f>
        <v>0.045</v>
      </c>
      <c r="AD228" s="962">
        <f>max(min(Valu!$C$15,$O228),$O228-max($O228-Valu!$C$15,0)/$R228*(AD$3-1))</f>
        <v>0.03</v>
      </c>
      <c r="AE228" s="962">
        <f>max(min(Valu!$C$15,$O228),$O228-max($O228-Valu!$C$15,0)/$R228*(AE$3-1))</f>
        <v>0.03</v>
      </c>
      <c r="AF228" s="962">
        <f>max(min(Valu!$C$15,$O228),$O228-max($O228-Valu!$C$15,0)/$R228*(AF$3-1))</f>
        <v>0.03</v>
      </c>
      <c r="AG228" s="962">
        <f>max(min(Valu!$C$15,$O228),$O228-max($O228-Valu!$C$15,0)/$R228*(AG$3-1))</f>
        <v>0.03</v>
      </c>
      <c r="AH228" s="962">
        <f>max(min(Valu!$C$15,$O228),$O228-max($O228-Valu!$C$15,0)/$R228*(AH$3-1))</f>
        <v>0.03</v>
      </c>
      <c r="AI228" s="962">
        <f>max(min(Valu!$C$15,$O228),$O228-max($O228-Valu!$C$15,0)/$R228*(AI$3-1))</f>
        <v>0.03</v>
      </c>
      <c r="AJ228" s="962">
        <f>max(min(Valu!$C$15,$O228),$O228-max($O228-Valu!$C$15,0)/$R228*(AJ$3-1))</f>
        <v>0.03</v>
      </c>
      <c r="AK228" s="962">
        <f>max(min(Valu!$C$15,$O228),$O228-max($O228-Valu!$C$15,0)/$R228*(AK$3-1))</f>
        <v>0.03</v>
      </c>
      <c r="AL228" s="962">
        <f>max(min(Valu!$C$15,$O228),$O228-max($O228-Valu!$C$15,0)/$R228*(AL$3-1))</f>
        <v>0.03</v>
      </c>
      <c r="AM228" s="962">
        <f>max(min(Valu!$C$15,$O228),$O228-max($O228-Valu!$C$15,0)/$R228*(AM$3-1))</f>
        <v>0.03</v>
      </c>
      <c r="AN228" s="962">
        <f>max(min(Valu!$C$15,$O228),$O228-max($O228-Valu!$C$15,0)/$R228*(AN$3-1))</f>
        <v>0.03</v>
      </c>
      <c r="AO228" s="962">
        <f>max(min(Valu!$C$15,$O228),$O228-max($O228-Valu!$C$15,0)/$R228*(AO$3-1))</f>
        <v>0.03</v>
      </c>
      <c r="AP228" s="962">
        <f>max(min(Valu!$C$14,$P228),$P228-max($P228-Valu!$C$14,0)/$R228*(AP$3-1))</f>
        <v>0.4</v>
      </c>
      <c r="AQ228" s="962">
        <f>max(min(Valu!$C$14,$P228),$P228-max($P228-Valu!$C$14,0)/$R228*(AQ$3-1))</f>
        <v>0.365</v>
      </c>
      <c r="AR228" s="962">
        <f>max(min(Valu!$C$14,$P228),$P228-max($P228-Valu!$C$14,0)/$R228*(AR$3-1))</f>
        <v>0.33</v>
      </c>
      <c r="AS228" s="962">
        <f>max(min(Valu!$C$14,$P228),$P228-max($P228-Valu!$C$14,0)/$R228*(AS$3-1))</f>
        <v>0.295</v>
      </c>
      <c r="AT228" s="962">
        <f>max(min(Valu!$C$14,$P228),$P228-max($P228-Valu!$C$14,0)/$R228*(AT$3-1))</f>
        <v>0.26</v>
      </c>
      <c r="AU228" s="962">
        <f>max(min(Valu!$C$14,$P228),$P228-max($P228-Valu!$C$14,0)/$R228*(AU$3-1))</f>
        <v>0.225</v>
      </c>
      <c r="AV228" s="962">
        <f>max(min(Valu!$C$14,$P228),$P228-max($P228-Valu!$C$14,0)/$R228*(AV$3-1))</f>
        <v>0.19</v>
      </c>
      <c r="AW228" s="962">
        <f>max(min(Valu!$C$14,$P228),$P228-max($P228-Valu!$C$14,0)/$R228*(AW$3-1))</f>
        <v>0.155</v>
      </c>
      <c r="AX228" s="962">
        <f>max(min(Valu!$C$14,$P228),$P228-max($P228-Valu!$C$14,0)/$R228*(AX$3-1))</f>
        <v>0.12</v>
      </c>
      <c r="AY228" s="962">
        <f>max(min(Valu!$C$14,$P228),$P228-max($P228-Valu!$C$14,0)/$R228*(AY$3-1))</f>
        <v>0.12</v>
      </c>
      <c r="AZ228" s="962">
        <f>max(min(Valu!$C$14,$P228),$P228-max($P228-Valu!$C$14,0)/$R228*(AZ$3-1))</f>
        <v>0.12</v>
      </c>
      <c r="BA228" s="962">
        <f>max(min(Valu!$C$14,$P228),$P228-max($P228-Valu!$C$14,0)/$R228*(BA$3-1))</f>
        <v>0.12</v>
      </c>
      <c r="BB228" s="962">
        <f>max(min(Valu!$C$14,$P228),$P228-max($P228-Valu!$C$14,0)/$R228*(BB$3-1))</f>
        <v>0.12</v>
      </c>
      <c r="BC228" s="962">
        <f>max(min(Valu!$C$14,$P228),$P228-max($P228-Valu!$C$14,0)/$R228*(BC$3-1))</f>
        <v>0.12</v>
      </c>
      <c r="BD228" s="962">
        <f>max(min(Valu!$C$14,$P228),$P228-max($P228-Valu!$C$14,0)/$R228*(BD$3-1))</f>
        <v>0.12</v>
      </c>
      <c r="BE228" s="962">
        <f>max(min(Valu!$C$14,$P228),$P228-max($P228-Valu!$C$14,0)/$R228*(BE$3-1))</f>
        <v>0.12</v>
      </c>
      <c r="BF228" s="962">
        <f>max(min(Valu!$C$14,$P228),$P228-max($P228-Valu!$C$14,0)/$R228*(BF$3-1))</f>
        <v>0.12</v>
      </c>
      <c r="BG228" s="962">
        <f>max(min(Valu!$C$14,$P228),$P228-max($P228-Valu!$C$14,0)/$R228*(BG$3-1))</f>
        <v>0.12</v>
      </c>
      <c r="BH228" s="962">
        <f>max(min(Valu!$C$14,$P228),$P228-max($P228-Valu!$C$14,0)/$R228*(BH$3-1))</f>
        <v>0.12</v>
      </c>
      <c r="BI228" s="962">
        <f>max(min(Valu!$C$14,$P228),$P228-max($P228-Valu!$C$14,0)/$R228*(BI$3-1))</f>
        <v>0.12</v>
      </c>
      <c r="BJ228" s="965">
        <f>N228</f>
        <v>8.759955086</v>
      </c>
      <c r="BK228" s="966">
        <f>$BJ228*(1+V228)</f>
        <v>10.07394835</v>
      </c>
      <c r="BL228" s="966">
        <f t="shared" ref="BL228:CC228" si="125">BK228*(1+W228)</f>
        <v>11.43393138</v>
      </c>
      <c r="BM228" s="966">
        <f t="shared" si="125"/>
        <v>12.80600314</v>
      </c>
      <c r="BN228" s="966">
        <f t="shared" si="125"/>
        <v>14.15063347</v>
      </c>
      <c r="BO228" s="966">
        <f t="shared" si="125"/>
        <v>15.42419048</v>
      </c>
      <c r="BP228" s="966">
        <f t="shared" si="125"/>
        <v>16.58100477</v>
      </c>
      <c r="BQ228" s="966">
        <f t="shared" si="125"/>
        <v>17.57586506</v>
      </c>
      <c r="BR228" s="966">
        <f t="shared" si="125"/>
        <v>18.36677898</v>
      </c>
      <c r="BS228" s="966">
        <f t="shared" si="125"/>
        <v>18.91778235</v>
      </c>
      <c r="BT228" s="966">
        <f t="shared" si="125"/>
        <v>19.48531582</v>
      </c>
      <c r="BU228" s="966">
        <f t="shared" si="125"/>
        <v>20.0698753</v>
      </c>
      <c r="BV228" s="966">
        <f t="shared" si="125"/>
        <v>20.67197156</v>
      </c>
      <c r="BW228" s="966">
        <f t="shared" si="125"/>
        <v>21.2921307</v>
      </c>
      <c r="BX228" s="966">
        <f t="shared" si="125"/>
        <v>21.93089462</v>
      </c>
      <c r="BY228" s="966">
        <f t="shared" si="125"/>
        <v>22.58882146</v>
      </c>
      <c r="BZ228" s="966">
        <f t="shared" si="125"/>
        <v>23.26648611</v>
      </c>
      <c r="CA228" s="966">
        <f t="shared" si="125"/>
        <v>23.96448069</v>
      </c>
      <c r="CB228" s="966">
        <f t="shared" si="125"/>
        <v>24.68341511</v>
      </c>
      <c r="CC228" s="966">
        <f t="shared" si="125"/>
        <v>25.42391756</v>
      </c>
      <c r="CD228" s="966">
        <f t="shared" ref="CD228:CW228" si="126">BJ228*(1-V228/AP228)</f>
        <v>5.474971929</v>
      </c>
      <c r="CE228" s="966">
        <f t="shared" si="126"/>
        <v>6.347967453</v>
      </c>
      <c r="CF228" s="966">
        <f t="shared" si="126"/>
        <v>7.276138148</v>
      </c>
      <c r="CG228" s="966">
        <f t="shared" si="126"/>
        <v>8.247934227</v>
      </c>
      <c r="CH228" s="966">
        <f t="shared" si="126"/>
        <v>9.25233727</v>
      </c>
      <c r="CI228" s="966">
        <f t="shared" si="126"/>
        <v>10.28279366</v>
      </c>
      <c r="CJ228" s="966">
        <f t="shared" si="126"/>
        <v>11.344898</v>
      </c>
      <c r="CK228" s="966">
        <f t="shared" si="126"/>
        <v>12.47319456</v>
      </c>
      <c r="CL228" s="966">
        <f t="shared" si="126"/>
        <v>13.77508424</v>
      </c>
      <c r="CM228" s="966">
        <f t="shared" si="126"/>
        <v>14.18833676</v>
      </c>
      <c r="CN228" s="966">
        <f t="shared" si="126"/>
        <v>14.61398687</v>
      </c>
      <c r="CO228" s="966">
        <f t="shared" si="126"/>
        <v>15.05240647</v>
      </c>
      <c r="CP228" s="966">
        <f t="shared" si="126"/>
        <v>15.50397867</v>
      </c>
      <c r="CQ228" s="966">
        <f t="shared" si="126"/>
        <v>15.96909803</v>
      </c>
      <c r="CR228" s="966">
        <f t="shared" si="126"/>
        <v>16.44817097</v>
      </c>
      <c r="CS228" s="966">
        <f t="shared" si="126"/>
        <v>16.9416161</v>
      </c>
      <c r="CT228" s="966">
        <f t="shared" si="126"/>
        <v>17.44986458</v>
      </c>
      <c r="CU228" s="966">
        <f t="shared" si="126"/>
        <v>17.97336052</v>
      </c>
      <c r="CV228" s="966">
        <f t="shared" si="126"/>
        <v>18.51256133</v>
      </c>
      <c r="CW228" s="966">
        <f t="shared" si="126"/>
        <v>19.06793817</v>
      </c>
      <c r="CX228" s="966">
        <f>CW228*(1+min(Valu!$C$15,$O228))/(Valu!$C$21-min(Valu!$C$15,$O228))</f>
        <v>516.8414821</v>
      </c>
      <c r="CY228" s="966">
        <f>CD228/(1+Valu!$C$21)^CY$3</f>
        <v>5.12637821</v>
      </c>
      <c r="CZ228" s="966">
        <f>CE228/(1+Valu!$C$21)^CZ$3</f>
        <v>5.565346208</v>
      </c>
      <c r="DA228" s="966">
        <f>CF228/(1+Valu!$C$21)^DA$3</f>
        <v>5.972926604</v>
      </c>
      <c r="DB228" s="966">
        <f>CG228/(1+Valu!$C$21)^DB$3</f>
        <v>6.339575498</v>
      </c>
      <c r="DC228" s="966">
        <f>CH228/(1+Valu!$C$21)^DC$3</f>
        <v>6.658788058</v>
      </c>
      <c r="DD228" s="966">
        <f>CI228/(1+Valu!$C$21)^DD$3</f>
        <v>6.929208106</v>
      </c>
      <c r="DE228" s="966">
        <f>CJ228/(1+Valu!$C$21)^DE$3</f>
        <v>7.158167008</v>
      </c>
      <c r="DF228" s="966">
        <f>CK228/(1+Valu!$C$21)^DF$3</f>
        <v>7.368985042</v>
      </c>
      <c r="DG228" s="966">
        <f>CL228/(1+Valu!$C$21)^DG$3</f>
        <v>7.61996522</v>
      </c>
      <c r="DH228" s="966">
        <f>CM228/(1+Valu!$C$21)^DH$3</f>
        <v>7.348842862</v>
      </c>
      <c r="DI228" s="966">
        <f>CN228/(1+Valu!$C$21)^DI$3</f>
        <v>7.08736718</v>
      </c>
      <c r="DJ228" s="966">
        <f>CO228/(1+Valu!$C$21)^DJ$3</f>
        <v>6.835194939</v>
      </c>
      <c r="DK228" s="966">
        <f>CP228/(1+Valu!$C$21)^DK$3</f>
        <v>6.59199512</v>
      </c>
      <c r="DL228" s="966">
        <f>CQ228/(1+Valu!$C$21)^DL$3</f>
        <v>6.357448477</v>
      </c>
      <c r="DM228" s="966">
        <f>CR228/(1+Valu!$C$21)^DM$3</f>
        <v>6.131247126</v>
      </c>
      <c r="DN228" s="966">
        <f>CS228/(1+Valu!$C$21)^DN$3</f>
        <v>5.913094139</v>
      </c>
      <c r="DO228" s="966">
        <f>CT228/(1+Valu!$C$21)^DO$3</f>
        <v>5.702703149</v>
      </c>
      <c r="DP228" s="966">
        <f>CU228/(1+Valu!$C$21)^DP$3</f>
        <v>5.499797981</v>
      </c>
      <c r="DQ228" s="966">
        <f>CV228/(1+Valu!$C$21)^DQ$3</f>
        <v>5.304112285</v>
      </c>
      <c r="DR228" s="966">
        <f>CW228/(1+Valu!$C$21)^DR$3</f>
        <v>5.115389188</v>
      </c>
      <c r="DS228" s="966">
        <f>CX228/(1+Valu!$C$21)^DS$3</f>
        <v>138.6539701</v>
      </c>
      <c r="DT228" s="358"/>
      <c r="DU228" s="358"/>
      <c r="DV228" s="358"/>
      <c r="DW228" s="358"/>
    </row>
    <row r="229" ht="15.0" customHeight="1">
      <c r="A229" s="372">
        <v>42315.0</v>
      </c>
      <c r="B229" s="384" t="s">
        <v>3004</v>
      </c>
      <c r="C229" s="384" t="s">
        <v>3005</v>
      </c>
      <c r="D229" s="532"/>
      <c r="E229" s="374" t="str">
        <f>IFERROR(__xludf.DUMMYFUNCTION("if(and(D229&lt;&gt;0,D229&lt;&gt;""""),D229/GOOGLEFINANCE(C229,""price"")-1,"""")"),"")</f>
        <v/>
      </c>
      <c r="F229" s="375">
        <f>IFERROR(__xludf.DUMMYFUNCTION("GOOGLEFINANCE(C229,""price"")"),76.84)</f>
        <v>76.84</v>
      </c>
      <c r="G229" s="374">
        <f t="shared" si="6"/>
        <v>-0.3389242735</v>
      </c>
      <c r="H229" s="376"/>
      <c r="I229" s="376">
        <f>(1.71)*($I$1+15)</f>
        <v>50.79705882</v>
      </c>
      <c r="J229" s="380"/>
      <c r="K229" s="380"/>
      <c r="L229" s="389"/>
      <c r="M229" s="379">
        <f t="shared" si="7"/>
        <v>-119.9023034</v>
      </c>
      <c r="N229" s="380">
        <f t="shared" si="8"/>
        <v>0</v>
      </c>
      <c r="O229" s="389"/>
      <c r="P229" s="390"/>
      <c r="Q229" s="391"/>
      <c r="R229" s="387"/>
      <c r="S229" s="387"/>
      <c r="T229" s="387"/>
      <c r="U229" s="386" t="s">
        <v>3007</v>
      </c>
      <c r="V229" s="344"/>
      <c r="W229" s="344"/>
      <c r="X229" s="344"/>
      <c r="Y229" s="344"/>
      <c r="Z229" s="344"/>
      <c r="AA229" s="344"/>
      <c r="AB229" s="344"/>
      <c r="AC229" s="344"/>
      <c r="AD229" s="344"/>
      <c r="AE229" s="344"/>
      <c r="AF229" s="344"/>
      <c r="AG229" s="344"/>
      <c r="AH229" s="344"/>
      <c r="AI229" s="344"/>
      <c r="AJ229" s="344"/>
      <c r="AK229" s="344"/>
      <c r="AL229" s="344"/>
      <c r="AM229" s="344"/>
      <c r="AN229" s="344"/>
      <c r="AO229" s="344"/>
      <c r="AP229" s="344"/>
      <c r="AQ229" s="344"/>
      <c r="AR229" s="344"/>
      <c r="AS229" s="344"/>
      <c r="AT229" s="344"/>
      <c r="AU229" s="344"/>
      <c r="AV229" s="344"/>
      <c r="AW229" s="344"/>
      <c r="AX229" s="344"/>
      <c r="AY229" s="344"/>
      <c r="AZ229" s="344"/>
      <c r="BA229" s="344"/>
      <c r="BB229" s="344"/>
      <c r="BC229" s="344"/>
      <c r="BD229" s="344"/>
      <c r="BE229" s="344"/>
      <c r="BF229" s="344"/>
      <c r="BG229" s="344"/>
      <c r="BH229" s="344"/>
      <c r="BI229" s="344"/>
      <c r="BJ229" s="344"/>
      <c r="BK229" s="344"/>
      <c r="BL229" s="344"/>
      <c r="BM229" s="344"/>
      <c r="BN229" s="344"/>
      <c r="BO229" s="344"/>
      <c r="BP229" s="344"/>
      <c r="BQ229" s="344"/>
      <c r="BR229" s="344"/>
      <c r="BS229" s="344"/>
      <c r="BT229" s="344"/>
      <c r="BU229" s="344"/>
      <c r="BV229" s="344"/>
      <c r="BW229" s="344"/>
      <c r="BX229" s="344"/>
      <c r="BY229" s="344"/>
      <c r="BZ229" s="344"/>
      <c r="CA229" s="344"/>
      <c r="CB229" s="344"/>
      <c r="CC229" s="344"/>
      <c r="CD229" s="344"/>
      <c r="CE229" s="344"/>
      <c r="CF229" s="344"/>
      <c r="CG229" s="344"/>
      <c r="CH229" s="344"/>
      <c r="CI229" s="344"/>
      <c r="CJ229" s="344"/>
      <c r="CK229" s="344"/>
      <c r="CL229" s="344"/>
      <c r="CM229" s="344"/>
      <c r="CN229" s="344"/>
      <c r="CO229" s="344"/>
      <c r="CP229" s="344"/>
      <c r="CQ229" s="344"/>
      <c r="CR229" s="344"/>
      <c r="CS229" s="344"/>
      <c r="CT229" s="344"/>
      <c r="CU229" s="344"/>
      <c r="CV229" s="344"/>
      <c r="CW229" s="344"/>
      <c r="CX229" s="344"/>
      <c r="CY229" s="344"/>
      <c r="CZ229" s="344"/>
      <c r="DA229" s="344"/>
      <c r="DB229" s="344"/>
      <c r="DC229" s="344"/>
      <c r="DD229" s="344"/>
      <c r="DE229" s="344"/>
      <c r="DF229" s="344"/>
      <c r="DG229" s="344"/>
      <c r="DH229" s="344"/>
      <c r="DI229" s="344"/>
      <c r="DJ229" s="344"/>
      <c r="DK229" s="344"/>
      <c r="DL229" s="344"/>
      <c r="DM229" s="344"/>
      <c r="DN229" s="344"/>
      <c r="DO229" s="344"/>
      <c r="DP229" s="344"/>
      <c r="DQ229" s="344"/>
      <c r="DR229" s="344"/>
      <c r="DS229" s="344"/>
      <c r="DT229" s="344"/>
      <c r="DU229" s="344"/>
      <c r="DV229" s="344"/>
      <c r="DW229" s="344"/>
    </row>
    <row r="230" ht="15.0" customHeight="1">
      <c r="A230" s="394">
        <v>40662.0</v>
      </c>
      <c r="B230" s="302" t="s">
        <v>3009</v>
      </c>
      <c r="C230" s="302" t="s">
        <v>3010</v>
      </c>
      <c r="D230" s="422"/>
      <c r="E230" s="396" t="str">
        <f>IFERROR(__xludf.DUMMYFUNCTION("if(and(D230&lt;&gt;0,D230&lt;&gt;""""),D230/GOOGLEFINANCE(C230,""price"")-1,"""")"),"")</f>
        <v/>
      </c>
      <c r="F230" s="397">
        <f>IFERROR(__xludf.DUMMYFUNCTION("GOOGLEFINANCE(C230,""price"")"),69.42)</f>
        <v>69.42</v>
      </c>
      <c r="G230" s="396" t="str">
        <f t="shared" si="6"/>
        <v/>
      </c>
      <c r="H230" s="398"/>
      <c r="I230" s="398"/>
      <c r="J230" s="403"/>
      <c r="K230" s="403"/>
      <c r="L230" s="410"/>
      <c r="M230" s="402">
        <f t="shared" si="7"/>
        <v>-119.9023034</v>
      </c>
      <c r="N230" s="403">
        <f t="shared" si="8"/>
        <v>0</v>
      </c>
      <c r="O230" s="410"/>
      <c r="P230" s="411"/>
      <c r="Q230" s="402"/>
      <c r="R230" s="412"/>
      <c r="S230" s="412"/>
      <c r="T230" s="412"/>
      <c r="U230" s="413" t="s">
        <v>3011</v>
      </c>
      <c r="V230" s="414"/>
      <c r="W230" s="414"/>
      <c r="X230" s="414"/>
      <c r="Y230" s="414"/>
      <c r="Z230" s="414"/>
      <c r="AA230" s="414"/>
      <c r="AB230" s="414"/>
      <c r="AC230" s="414"/>
      <c r="AD230" s="414"/>
      <c r="AE230" s="414"/>
      <c r="AF230" s="414"/>
      <c r="AG230" s="414"/>
      <c r="AH230" s="414"/>
      <c r="AI230" s="414"/>
      <c r="AJ230" s="414"/>
      <c r="AK230" s="414"/>
      <c r="AL230" s="414"/>
      <c r="AM230" s="414"/>
      <c r="AN230" s="414"/>
      <c r="AO230" s="414"/>
      <c r="AP230" s="414"/>
      <c r="AQ230" s="414"/>
      <c r="AR230" s="414"/>
      <c r="AS230" s="414"/>
      <c r="AT230" s="414"/>
      <c r="AU230" s="414"/>
      <c r="AV230" s="414"/>
      <c r="AW230" s="414"/>
      <c r="AX230" s="414"/>
      <c r="AY230" s="414"/>
      <c r="AZ230" s="414"/>
      <c r="BA230" s="414"/>
      <c r="BB230" s="414"/>
      <c r="BC230" s="414"/>
      <c r="BD230" s="414"/>
      <c r="BE230" s="414"/>
      <c r="BF230" s="414"/>
      <c r="BG230" s="414"/>
      <c r="BH230" s="414"/>
      <c r="BI230" s="414"/>
      <c r="BJ230" s="414"/>
      <c r="BK230" s="414"/>
      <c r="BL230" s="414"/>
      <c r="BM230" s="414"/>
      <c r="BN230" s="414"/>
      <c r="BO230" s="414"/>
      <c r="BP230" s="414"/>
      <c r="BQ230" s="414"/>
      <c r="BR230" s="414"/>
      <c r="BS230" s="414"/>
      <c r="BT230" s="414"/>
      <c r="BU230" s="414"/>
      <c r="BV230" s="414"/>
      <c r="BW230" s="414"/>
      <c r="BX230" s="414"/>
      <c r="BY230" s="414"/>
      <c r="BZ230" s="414"/>
      <c r="CA230" s="414"/>
      <c r="CB230" s="414"/>
      <c r="CC230" s="414"/>
      <c r="CD230" s="414"/>
      <c r="CE230" s="414"/>
      <c r="CF230" s="414"/>
      <c r="CG230" s="414"/>
      <c r="CH230" s="414"/>
      <c r="CI230" s="414"/>
      <c r="CJ230" s="414"/>
      <c r="CK230" s="414"/>
      <c r="CL230" s="414"/>
      <c r="CM230" s="414"/>
      <c r="CN230" s="414"/>
      <c r="CO230" s="414"/>
      <c r="CP230" s="414"/>
      <c r="CQ230" s="414"/>
      <c r="CR230" s="414"/>
      <c r="CS230" s="414"/>
      <c r="CT230" s="414"/>
      <c r="CU230" s="414"/>
      <c r="CV230" s="414"/>
      <c r="CW230" s="414"/>
      <c r="CX230" s="414"/>
      <c r="CY230" s="414"/>
      <c r="CZ230" s="414"/>
      <c r="DA230" s="414"/>
      <c r="DB230" s="414"/>
      <c r="DC230" s="414"/>
      <c r="DD230" s="414"/>
      <c r="DE230" s="414"/>
      <c r="DF230" s="414"/>
      <c r="DG230" s="414"/>
      <c r="DH230" s="414"/>
      <c r="DI230" s="414"/>
      <c r="DJ230" s="414"/>
      <c r="DK230" s="414"/>
      <c r="DL230" s="414"/>
      <c r="DM230" s="414"/>
      <c r="DN230" s="414"/>
      <c r="DO230" s="414"/>
      <c r="DP230" s="414"/>
      <c r="DQ230" s="414"/>
      <c r="DR230" s="414"/>
      <c r="DS230" s="414"/>
      <c r="DT230" s="414"/>
      <c r="DU230" s="414"/>
      <c r="DV230" s="414"/>
      <c r="DW230" s="414"/>
    </row>
    <row r="231" ht="15.0" customHeight="1">
      <c r="A231" s="372">
        <v>42514.0</v>
      </c>
      <c r="B231" s="384" t="s">
        <v>3012</v>
      </c>
      <c r="C231" s="384" t="s">
        <v>3013</v>
      </c>
      <c r="D231" s="532"/>
      <c r="E231" s="374" t="str">
        <f>IFERROR(__xludf.DUMMYFUNCTION("if(and(D231&lt;&gt;0,D231&lt;&gt;""""),D231/GOOGLEFINANCE(C231,""price"")-1,"""")"),"")</f>
        <v/>
      </c>
      <c r="F231" s="375">
        <f>IFERROR(__xludf.DUMMYFUNCTION("GOOGLEFINANCE(C231,""price"")"),143.74)</f>
        <v>143.74</v>
      </c>
      <c r="G231" s="374">
        <f t="shared" si="6"/>
        <v>-0.5138906949</v>
      </c>
      <c r="H231" s="376"/>
      <c r="I231" s="368">
        <f t="shared" ref="I231:I233" si="127">N231*($I$1+O231*100)</f>
        <v>69.87335151</v>
      </c>
      <c r="J231" s="377">
        <v>2.91</v>
      </c>
      <c r="K231" s="377">
        <v>3.04</v>
      </c>
      <c r="L231" s="378">
        <v>43465.0</v>
      </c>
      <c r="M231" s="379">
        <f t="shared" si="7"/>
        <v>-0.8201115781</v>
      </c>
      <c r="N231" s="380">
        <f t="shared" si="8"/>
        <v>3.146614505</v>
      </c>
      <c r="O231" s="370">
        <v>0.075</v>
      </c>
      <c r="P231" s="370"/>
      <c r="Q231" s="371"/>
      <c r="R231" s="378"/>
      <c r="S231" s="378">
        <v>43351.0</v>
      </c>
      <c r="T231" s="381" t="s">
        <v>1223</v>
      </c>
      <c r="U231" s="386" t="s">
        <v>3015</v>
      </c>
      <c r="V231" s="344"/>
      <c r="W231" s="344"/>
      <c r="X231" s="344"/>
      <c r="Y231" s="344"/>
      <c r="Z231" s="344"/>
      <c r="AA231" s="344"/>
      <c r="AB231" s="344"/>
      <c r="AC231" s="344"/>
      <c r="AD231" s="344"/>
      <c r="AE231" s="344"/>
      <c r="AF231" s="344"/>
      <c r="AG231" s="344"/>
      <c r="AH231" s="344"/>
      <c r="AI231" s="344"/>
      <c r="AJ231" s="344"/>
      <c r="AK231" s="344"/>
      <c r="AL231" s="344"/>
      <c r="AM231" s="344"/>
      <c r="AN231" s="344"/>
      <c r="AO231" s="344"/>
      <c r="AP231" s="344"/>
      <c r="AQ231" s="344"/>
      <c r="AR231" s="344"/>
      <c r="AS231" s="344"/>
      <c r="AT231" s="344"/>
      <c r="AU231" s="344"/>
      <c r="AV231" s="344"/>
      <c r="AW231" s="344"/>
      <c r="AX231" s="344"/>
      <c r="AY231" s="344"/>
      <c r="AZ231" s="344"/>
      <c r="BA231" s="344"/>
      <c r="BB231" s="344"/>
      <c r="BC231" s="344"/>
      <c r="BD231" s="344"/>
      <c r="BE231" s="344"/>
      <c r="BF231" s="344"/>
      <c r="BG231" s="344"/>
      <c r="BH231" s="344"/>
      <c r="BI231" s="344"/>
      <c r="BJ231" s="344"/>
      <c r="BK231" s="344"/>
      <c r="BL231" s="344"/>
      <c r="BM231" s="344"/>
      <c r="BN231" s="344"/>
      <c r="BO231" s="344"/>
      <c r="BP231" s="344"/>
      <c r="BQ231" s="344"/>
      <c r="BR231" s="344"/>
      <c r="BS231" s="344"/>
      <c r="BT231" s="344"/>
      <c r="BU231" s="344"/>
      <c r="BV231" s="344"/>
      <c r="BW231" s="344"/>
      <c r="BX231" s="344"/>
      <c r="BY231" s="344"/>
      <c r="BZ231" s="344"/>
      <c r="CA231" s="344"/>
      <c r="CB231" s="344"/>
      <c r="CC231" s="344"/>
      <c r="CD231" s="344"/>
      <c r="CE231" s="344"/>
      <c r="CF231" s="344"/>
      <c r="CG231" s="344"/>
      <c r="CH231" s="344"/>
      <c r="CI231" s="344"/>
      <c r="CJ231" s="344"/>
      <c r="CK231" s="344"/>
      <c r="CL231" s="344"/>
      <c r="CM231" s="344"/>
      <c r="CN231" s="344"/>
      <c r="CO231" s="344"/>
      <c r="CP231" s="344"/>
      <c r="CQ231" s="344"/>
      <c r="CR231" s="344"/>
      <c r="CS231" s="344"/>
      <c r="CT231" s="344"/>
      <c r="CU231" s="344"/>
      <c r="CV231" s="344"/>
      <c r="CW231" s="344"/>
      <c r="CX231" s="344"/>
      <c r="CY231" s="344"/>
      <c r="CZ231" s="344"/>
      <c r="DA231" s="344"/>
      <c r="DB231" s="344"/>
      <c r="DC231" s="344"/>
      <c r="DD231" s="344"/>
      <c r="DE231" s="344"/>
      <c r="DF231" s="344"/>
      <c r="DG231" s="344"/>
      <c r="DH231" s="344"/>
      <c r="DI231" s="344"/>
      <c r="DJ231" s="344"/>
      <c r="DK231" s="344"/>
      <c r="DL231" s="344"/>
      <c r="DM231" s="344"/>
      <c r="DN231" s="344"/>
      <c r="DO231" s="344"/>
      <c r="DP231" s="344"/>
      <c r="DQ231" s="344"/>
      <c r="DR231" s="344"/>
      <c r="DS231" s="344"/>
      <c r="DT231" s="344"/>
      <c r="DU231" s="344"/>
      <c r="DV231" s="344"/>
      <c r="DW231" s="344"/>
    </row>
    <row r="232" ht="15.0" customHeight="1">
      <c r="A232" s="394">
        <v>40530.0</v>
      </c>
      <c r="B232" s="302" t="s">
        <v>3016</v>
      </c>
      <c r="C232" s="302" t="s">
        <v>3017</v>
      </c>
      <c r="D232" s="422"/>
      <c r="E232" s="396" t="str">
        <f>IFERROR(__xludf.DUMMYFUNCTION("if(and(D232&lt;&gt;0,D232&lt;&gt;""""),D232/GOOGLEFINANCE(C232,""price"")-1,"""")"),"")</f>
        <v/>
      </c>
      <c r="F232" s="397">
        <f>IFERROR(__xludf.DUMMYFUNCTION("GOOGLEFINANCE(C232,""price"")"),194.61)</f>
        <v>194.61</v>
      </c>
      <c r="G232" s="396">
        <f t="shared" si="6"/>
        <v>-0.3450351986</v>
      </c>
      <c r="H232" s="398">
        <v>50.0</v>
      </c>
      <c r="I232" s="398">
        <f t="shared" si="127"/>
        <v>127.4627</v>
      </c>
      <c r="J232" s="972">
        <v>7.63</v>
      </c>
      <c r="K232" s="972">
        <v>8.2</v>
      </c>
      <c r="L232" s="401">
        <v>43465.0</v>
      </c>
      <c r="M232" s="402">
        <f t="shared" si="7"/>
        <v>-0.8201115781</v>
      </c>
      <c r="N232" s="403">
        <f t="shared" si="8"/>
        <v>8.6674636</v>
      </c>
      <c r="O232" s="404">
        <v>0.0</v>
      </c>
      <c r="P232" s="404"/>
      <c r="Q232" s="405"/>
      <c r="R232" s="401"/>
      <c r="S232" s="401">
        <v>43347.0</v>
      </c>
      <c r="T232" s="406" t="s">
        <v>1223</v>
      </c>
      <c r="U232" s="407" t="s">
        <v>3018</v>
      </c>
      <c r="V232" s="408"/>
      <c r="W232" s="408"/>
      <c r="X232" s="408"/>
      <c r="Y232" s="408"/>
      <c r="Z232" s="408"/>
      <c r="AA232" s="408"/>
      <c r="AB232" s="408"/>
      <c r="AC232" s="408"/>
      <c r="AD232" s="408"/>
      <c r="AE232" s="408"/>
      <c r="AF232" s="408"/>
      <c r="AG232" s="408"/>
      <c r="AH232" s="408"/>
      <c r="AI232" s="408"/>
      <c r="AJ232" s="408"/>
      <c r="AK232" s="408"/>
      <c r="AL232" s="408"/>
      <c r="AM232" s="408"/>
      <c r="AN232" s="408"/>
      <c r="AO232" s="408"/>
      <c r="AP232" s="408"/>
      <c r="AQ232" s="408"/>
      <c r="AR232" s="408"/>
      <c r="AS232" s="408"/>
      <c r="AT232" s="408"/>
      <c r="AU232" s="408"/>
      <c r="AV232" s="408"/>
      <c r="AW232" s="408"/>
      <c r="AX232" s="408"/>
      <c r="AY232" s="408"/>
      <c r="AZ232" s="408"/>
      <c r="BA232" s="408"/>
      <c r="BB232" s="408"/>
      <c r="BC232" s="408"/>
      <c r="BD232" s="408"/>
      <c r="BE232" s="408"/>
      <c r="BF232" s="408"/>
      <c r="BG232" s="408"/>
      <c r="BH232" s="408"/>
      <c r="BI232" s="408"/>
      <c r="BJ232" s="408"/>
      <c r="BK232" s="408"/>
      <c r="BL232" s="408"/>
      <c r="BM232" s="408"/>
      <c r="BN232" s="408"/>
      <c r="BO232" s="408"/>
      <c r="BP232" s="408"/>
      <c r="BQ232" s="408"/>
      <c r="BR232" s="408"/>
      <c r="BS232" s="408"/>
      <c r="BT232" s="408"/>
      <c r="BU232" s="408"/>
      <c r="BV232" s="408"/>
      <c r="BW232" s="408"/>
      <c r="BX232" s="408"/>
      <c r="BY232" s="408"/>
      <c r="BZ232" s="408"/>
      <c r="CA232" s="408"/>
      <c r="CB232" s="408"/>
      <c r="CC232" s="408"/>
      <c r="CD232" s="408"/>
      <c r="CE232" s="408"/>
      <c r="CF232" s="408"/>
      <c r="CG232" s="408"/>
      <c r="CH232" s="408"/>
      <c r="CI232" s="408"/>
      <c r="CJ232" s="408"/>
      <c r="CK232" s="408"/>
      <c r="CL232" s="408"/>
      <c r="CM232" s="408"/>
      <c r="CN232" s="408"/>
      <c r="CO232" s="408"/>
      <c r="CP232" s="408"/>
      <c r="CQ232" s="408"/>
      <c r="CR232" s="408"/>
      <c r="CS232" s="408"/>
      <c r="CT232" s="408"/>
      <c r="CU232" s="408"/>
      <c r="CV232" s="408"/>
      <c r="CW232" s="408"/>
      <c r="CX232" s="408"/>
      <c r="CY232" s="408"/>
      <c r="CZ232" s="408"/>
      <c r="DA232" s="408"/>
      <c r="DB232" s="408"/>
      <c r="DC232" s="408"/>
      <c r="DD232" s="408"/>
      <c r="DE232" s="408"/>
      <c r="DF232" s="408"/>
      <c r="DG232" s="408"/>
      <c r="DH232" s="408"/>
      <c r="DI232" s="408"/>
      <c r="DJ232" s="408"/>
      <c r="DK232" s="408"/>
      <c r="DL232" s="408"/>
      <c r="DM232" s="408"/>
      <c r="DN232" s="408"/>
      <c r="DO232" s="408"/>
      <c r="DP232" s="408"/>
      <c r="DQ232" s="408"/>
      <c r="DR232" s="408"/>
      <c r="DS232" s="408"/>
      <c r="DT232" s="408"/>
      <c r="DU232" s="408"/>
      <c r="DV232" s="408"/>
      <c r="DW232" s="408"/>
    </row>
    <row r="233" ht="15.0" customHeight="1">
      <c r="A233" s="372">
        <v>42708.0</v>
      </c>
      <c r="B233" s="384" t="s">
        <v>3019</v>
      </c>
      <c r="C233" s="384" t="s">
        <v>3020</v>
      </c>
      <c r="D233" s="384">
        <v>134.0</v>
      </c>
      <c r="E233" s="374">
        <f>IFERROR(__xludf.DUMMYFUNCTION("if(and(D233&lt;&gt;0,D233&lt;&gt;""""),D233/GOOGLEFINANCE(C233,""price"")-1,"""")"),-0.08194025760482326)</f>
        <v>-0.0819402576</v>
      </c>
      <c r="F233" s="375">
        <f>IFERROR(__xludf.DUMMYFUNCTION("GOOGLEFINANCE(C233,""price"")"),145.96)</f>
        <v>145.96</v>
      </c>
      <c r="G233" s="374">
        <f t="shared" si="6"/>
        <v>0.503736616</v>
      </c>
      <c r="H233" s="376"/>
      <c r="I233" s="368">
        <f t="shared" si="127"/>
        <v>219.4853965</v>
      </c>
      <c r="J233" s="377">
        <v>13.32</v>
      </c>
      <c r="K233" s="377">
        <v>14.34</v>
      </c>
      <c r="L233" s="409">
        <v>43555.0</v>
      </c>
      <c r="M233" s="379">
        <f t="shared" si="7"/>
        <v>-0.5735362357</v>
      </c>
      <c r="N233" s="380">
        <f t="shared" si="8"/>
        <v>14.92500696</v>
      </c>
      <c r="O233" s="370">
        <v>0.0</v>
      </c>
      <c r="P233" s="370"/>
      <c r="Q233" s="371"/>
      <c r="R233" s="378"/>
      <c r="S233" s="378">
        <v>43351.0</v>
      </c>
      <c r="T233" s="387" t="s">
        <v>1223</v>
      </c>
      <c r="U233" s="386" t="s">
        <v>3021</v>
      </c>
      <c r="V233" s="344"/>
      <c r="W233" s="344"/>
      <c r="X233" s="344"/>
      <c r="Y233" s="344"/>
      <c r="Z233" s="344"/>
      <c r="AA233" s="344"/>
      <c r="AB233" s="344"/>
      <c r="AC233" s="344"/>
      <c r="AD233" s="344"/>
      <c r="AE233" s="344"/>
      <c r="AF233" s="344"/>
      <c r="AG233" s="344"/>
      <c r="AH233" s="344"/>
      <c r="AI233" s="344"/>
      <c r="AJ233" s="344"/>
      <c r="AK233" s="344"/>
      <c r="AL233" s="344"/>
      <c r="AM233" s="344"/>
      <c r="AN233" s="344"/>
      <c r="AO233" s="344"/>
      <c r="AP233" s="344"/>
      <c r="AQ233" s="344"/>
      <c r="AR233" s="344"/>
      <c r="AS233" s="344"/>
      <c r="AT233" s="344"/>
      <c r="AU233" s="344"/>
      <c r="AV233" s="344"/>
      <c r="AW233" s="344"/>
      <c r="AX233" s="344"/>
      <c r="AY233" s="344"/>
      <c r="AZ233" s="344"/>
      <c r="BA233" s="344"/>
      <c r="BB233" s="344"/>
      <c r="BC233" s="344"/>
      <c r="BD233" s="344"/>
      <c r="BE233" s="344"/>
      <c r="BF233" s="344"/>
      <c r="BG233" s="344"/>
      <c r="BH233" s="344"/>
      <c r="BI233" s="344"/>
      <c r="BJ233" s="344"/>
      <c r="BK233" s="344"/>
      <c r="BL233" s="344"/>
      <c r="BM233" s="344"/>
      <c r="BN233" s="344"/>
      <c r="BO233" s="344"/>
      <c r="BP233" s="344"/>
      <c r="BQ233" s="344"/>
      <c r="BR233" s="344"/>
      <c r="BS233" s="344"/>
      <c r="BT233" s="344"/>
      <c r="BU233" s="344"/>
      <c r="BV233" s="344"/>
      <c r="BW233" s="344"/>
      <c r="BX233" s="344"/>
      <c r="BY233" s="344"/>
      <c r="BZ233" s="344"/>
      <c r="CA233" s="344"/>
      <c r="CB233" s="344"/>
      <c r="CC233" s="344"/>
      <c r="CD233" s="344"/>
      <c r="CE233" s="344"/>
      <c r="CF233" s="344"/>
      <c r="CG233" s="344"/>
      <c r="CH233" s="344"/>
      <c r="CI233" s="344"/>
      <c r="CJ233" s="344"/>
      <c r="CK233" s="344"/>
      <c r="CL233" s="344"/>
      <c r="CM233" s="344"/>
      <c r="CN233" s="344"/>
      <c r="CO233" s="344"/>
      <c r="CP233" s="344"/>
      <c r="CQ233" s="344"/>
      <c r="CR233" s="344"/>
      <c r="CS233" s="344"/>
      <c r="CT233" s="344"/>
      <c r="CU233" s="344"/>
      <c r="CV233" s="344"/>
      <c r="CW233" s="344"/>
      <c r="CX233" s="344"/>
      <c r="CY233" s="344"/>
      <c r="CZ233" s="344"/>
      <c r="DA233" s="344"/>
      <c r="DB233" s="344"/>
      <c r="DC233" s="344"/>
      <c r="DD233" s="344"/>
      <c r="DE233" s="344"/>
      <c r="DF233" s="344"/>
      <c r="DG233" s="344"/>
      <c r="DH233" s="344"/>
      <c r="DI233" s="344"/>
      <c r="DJ233" s="344"/>
      <c r="DK233" s="344"/>
      <c r="DL233" s="344"/>
      <c r="DM233" s="344"/>
      <c r="DN233" s="344"/>
      <c r="DO233" s="344"/>
      <c r="DP233" s="344"/>
      <c r="DQ233" s="344"/>
      <c r="DR233" s="344"/>
      <c r="DS233" s="344"/>
      <c r="DT233" s="344"/>
      <c r="DU233" s="344"/>
      <c r="DV233" s="344"/>
      <c r="DW233" s="344"/>
    </row>
    <row r="234" ht="15.0" customHeight="1">
      <c r="A234" s="372">
        <v>41938.0</v>
      </c>
      <c r="B234" s="384" t="s">
        <v>3023</v>
      </c>
      <c r="C234" s="384" t="s">
        <v>1123</v>
      </c>
      <c r="D234" s="384">
        <v>140.0</v>
      </c>
      <c r="E234" s="374">
        <f>IFERROR(__xludf.DUMMYFUNCTION("if(and(D234&lt;&gt;0,D234&lt;&gt;""""),D234/GOOGLEFINANCE(C234,""price"")-1,"""")"),-0.3518818573214203)</f>
        <v>-0.3518818573</v>
      </c>
      <c r="F234" s="375">
        <f>IFERROR(__xludf.DUMMYFUNCTION("GOOGLEFINANCE(C234,""price"")"),216.01)</f>
        <v>216.01</v>
      </c>
      <c r="G234" s="374">
        <f t="shared" si="6"/>
        <v>0.07003120872</v>
      </c>
      <c r="H234" s="376"/>
      <c r="I234" s="368">
        <f>N234*($I$1+iferror(sqrt((O234*100)*(P234-1/$I$1)*100),-sqrt((O234*100)*-1*(P234-1/$I$1)*100))*(R234/4)^0.2)</f>
        <v>231.1374414</v>
      </c>
      <c r="J234" s="377">
        <v>7.45</v>
      </c>
      <c r="K234" s="377">
        <v>7.85</v>
      </c>
      <c r="L234" s="409">
        <v>43465.0</v>
      </c>
      <c r="M234" s="379">
        <f t="shared" si="7"/>
        <v>-0.8201115732</v>
      </c>
      <c r="N234" s="380">
        <f t="shared" si="8"/>
        <v>8.178044629</v>
      </c>
      <c r="O234" s="370">
        <v>0.07</v>
      </c>
      <c r="P234" s="370">
        <v>0.25</v>
      </c>
      <c r="Q234" s="371">
        <f>I234/N234</f>
        <v>28.26316704</v>
      </c>
      <c r="R234" s="381">
        <v>10.0</v>
      </c>
      <c r="S234" s="378">
        <v>43651.0</v>
      </c>
      <c r="T234" s="387" t="s">
        <v>1223</v>
      </c>
      <c r="U234" s="382" t="s">
        <v>3025</v>
      </c>
      <c r="V234" s="358"/>
      <c r="W234" s="358"/>
      <c r="X234" s="358"/>
      <c r="Y234" s="358"/>
      <c r="Z234" s="358"/>
      <c r="AA234" s="358"/>
      <c r="AB234" s="358"/>
      <c r="AC234" s="358"/>
      <c r="AD234" s="358"/>
      <c r="AE234" s="358"/>
      <c r="AF234" s="358"/>
      <c r="AG234" s="358"/>
      <c r="AH234" s="358"/>
      <c r="AI234" s="358"/>
      <c r="AJ234" s="358"/>
      <c r="AK234" s="358"/>
      <c r="AL234" s="358"/>
      <c r="AM234" s="358"/>
      <c r="AN234" s="358"/>
      <c r="AO234" s="358"/>
      <c r="AP234" s="358"/>
      <c r="AQ234" s="358"/>
      <c r="AR234" s="358"/>
      <c r="AS234" s="358"/>
      <c r="AT234" s="358"/>
      <c r="AU234" s="358"/>
      <c r="AV234" s="358"/>
      <c r="AW234" s="358"/>
      <c r="AX234" s="358"/>
      <c r="AY234" s="358"/>
      <c r="AZ234" s="358"/>
      <c r="BA234" s="358"/>
      <c r="BB234" s="358"/>
      <c r="BC234" s="358"/>
      <c r="BD234" s="358"/>
      <c r="BE234" s="358"/>
      <c r="BF234" s="358"/>
      <c r="BG234" s="358"/>
      <c r="BH234" s="358"/>
      <c r="BI234" s="358"/>
      <c r="BJ234" s="358"/>
      <c r="BK234" s="358"/>
      <c r="BL234" s="358"/>
      <c r="BM234" s="358"/>
      <c r="BN234" s="358"/>
      <c r="BO234" s="358"/>
      <c r="BP234" s="358"/>
      <c r="BQ234" s="358"/>
      <c r="BR234" s="358"/>
      <c r="BS234" s="358"/>
      <c r="BT234" s="358"/>
      <c r="BU234" s="358"/>
      <c r="BV234" s="358"/>
      <c r="BW234" s="358"/>
      <c r="BX234" s="358"/>
      <c r="BY234" s="358"/>
      <c r="BZ234" s="358"/>
      <c r="CA234" s="358"/>
      <c r="CB234" s="358"/>
      <c r="CC234" s="358"/>
      <c r="CD234" s="358"/>
      <c r="CE234" s="358"/>
      <c r="CF234" s="358"/>
      <c r="CG234" s="358"/>
      <c r="CH234" s="358"/>
      <c r="CI234" s="358"/>
      <c r="CJ234" s="358"/>
      <c r="CK234" s="358"/>
      <c r="CL234" s="358"/>
      <c r="CM234" s="358"/>
      <c r="CN234" s="358"/>
      <c r="CO234" s="358"/>
      <c r="CP234" s="358"/>
      <c r="CQ234" s="358"/>
      <c r="CR234" s="358"/>
      <c r="CS234" s="358"/>
      <c r="CT234" s="358"/>
      <c r="CU234" s="358"/>
      <c r="CV234" s="358"/>
      <c r="CW234" s="358"/>
      <c r="CX234" s="358"/>
      <c r="CY234" s="358"/>
      <c r="CZ234" s="358"/>
      <c r="DA234" s="358"/>
      <c r="DB234" s="358"/>
      <c r="DC234" s="358"/>
      <c r="DD234" s="358"/>
      <c r="DE234" s="358"/>
      <c r="DF234" s="358"/>
      <c r="DG234" s="358"/>
      <c r="DH234" s="358"/>
      <c r="DI234" s="358"/>
      <c r="DJ234" s="358"/>
      <c r="DK234" s="358"/>
      <c r="DL234" s="358"/>
      <c r="DM234" s="358"/>
      <c r="DN234" s="358"/>
      <c r="DO234" s="358"/>
      <c r="DP234" s="358"/>
      <c r="DQ234" s="358"/>
      <c r="DR234" s="358"/>
      <c r="DS234" s="358"/>
      <c r="DT234" s="358"/>
      <c r="DU234" s="358"/>
      <c r="DV234" s="358"/>
      <c r="DW234" s="358"/>
    </row>
    <row r="235" ht="15.0" customHeight="1">
      <c r="A235" s="372">
        <v>42725.0</v>
      </c>
      <c r="B235" s="384" t="s">
        <v>3026</v>
      </c>
      <c r="C235" s="384" t="s">
        <v>3028</v>
      </c>
      <c r="D235" s="384">
        <v>40.0</v>
      </c>
      <c r="E235" s="374">
        <f>IFERROR(__xludf.DUMMYFUNCTION("if(and(D235&lt;&gt;0,D235&lt;&gt;""""),D235/GOOGLEFINANCE(C235,""price"")-1,"""")"),0.7551557700745941)</f>
        <v>0.7551557701</v>
      </c>
      <c r="F235" s="375">
        <f>IFERROR(__xludf.DUMMYFUNCTION("GOOGLEFINANCE(C235,""price"")"),22.79)</f>
        <v>22.79</v>
      </c>
      <c r="G235" s="374">
        <f t="shared" si="6"/>
        <v>2.018501637</v>
      </c>
      <c r="H235" s="376"/>
      <c r="I235" s="368">
        <f>N235*($I$1+O235*100)</f>
        <v>68.79165232</v>
      </c>
      <c r="J235" s="385">
        <v>4.15</v>
      </c>
      <c r="K235" s="385">
        <v>4.44</v>
      </c>
      <c r="L235" s="378">
        <v>43465.0</v>
      </c>
      <c r="M235" s="379">
        <f t="shared" si="7"/>
        <v>-0.8201115781</v>
      </c>
      <c r="N235" s="380">
        <f t="shared" si="8"/>
        <v>4.677832358</v>
      </c>
      <c r="O235" s="370">
        <v>0.0</v>
      </c>
      <c r="P235" s="370"/>
      <c r="Q235" s="371"/>
      <c r="R235" s="378"/>
      <c r="S235" s="378">
        <v>43307.0</v>
      </c>
      <c r="T235" s="381" t="s">
        <v>1223</v>
      </c>
      <c r="U235" s="386" t="s">
        <v>3029</v>
      </c>
      <c r="V235" s="344"/>
      <c r="W235" s="344"/>
      <c r="X235" s="344"/>
      <c r="Y235" s="344"/>
      <c r="Z235" s="344"/>
      <c r="AA235" s="344"/>
      <c r="AB235" s="344"/>
      <c r="AC235" s="344"/>
      <c r="AD235" s="344"/>
      <c r="AE235" s="344"/>
      <c r="AF235" s="344"/>
      <c r="AG235" s="344"/>
      <c r="AH235" s="344"/>
      <c r="AI235" s="344"/>
      <c r="AJ235" s="344"/>
      <c r="AK235" s="344"/>
      <c r="AL235" s="344"/>
      <c r="AM235" s="344"/>
      <c r="AN235" s="344"/>
      <c r="AO235" s="344"/>
      <c r="AP235" s="344"/>
      <c r="AQ235" s="344"/>
      <c r="AR235" s="344"/>
      <c r="AS235" s="344"/>
      <c r="AT235" s="344"/>
      <c r="AU235" s="344"/>
      <c r="AV235" s="344"/>
      <c r="AW235" s="344"/>
      <c r="AX235" s="344"/>
      <c r="AY235" s="344"/>
      <c r="AZ235" s="344"/>
      <c r="BA235" s="344"/>
      <c r="BB235" s="344"/>
      <c r="BC235" s="344"/>
      <c r="BD235" s="344"/>
      <c r="BE235" s="344"/>
      <c r="BF235" s="344"/>
      <c r="BG235" s="344"/>
      <c r="BH235" s="344"/>
      <c r="BI235" s="344"/>
      <c r="BJ235" s="344"/>
      <c r="BK235" s="344"/>
      <c r="BL235" s="344"/>
      <c r="BM235" s="344"/>
      <c r="BN235" s="344"/>
      <c r="BO235" s="344"/>
      <c r="BP235" s="344"/>
      <c r="BQ235" s="344"/>
      <c r="BR235" s="344"/>
      <c r="BS235" s="344"/>
      <c r="BT235" s="344"/>
      <c r="BU235" s="344"/>
      <c r="BV235" s="344"/>
      <c r="BW235" s="344"/>
      <c r="BX235" s="344"/>
      <c r="BY235" s="344"/>
      <c r="BZ235" s="344"/>
      <c r="CA235" s="344"/>
      <c r="CB235" s="344"/>
      <c r="CC235" s="344"/>
      <c r="CD235" s="344"/>
      <c r="CE235" s="344"/>
      <c r="CF235" s="344"/>
      <c r="CG235" s="344"/>
      <c r="CH235" s="344"/>
      <c r="CI235" s="344"/>
      <c r="CJ235" s="344"/>
      <c r="CK235" s="344"/>
      <c r="CL235" s="344"/>
      <c r="CM235" s="344"/>
      <c r="CN235" s="344"/>
      <c r="CO235" s="344"/>
      <c r="CP235" s="344"/>
      <c r="CQ235" s="344"/>
      <c r="CR235" s="344"/>
      <c r="CS235" s="344"/>
      <c r="CT235" s="344"/>
      <c r="CU235" s="344"/>
      <c r="CV235" s="344"/>
      <c r="CW235" s="344"/>
      <c r="CX235" s="344"/>
      <c r="CY235" s="344"/>
      <c r="CZ235" s="344"/>
      <c r="DA235" s="344"/>
      <c r="DB235" s="344"/>
      <c r="DC235" s="344"/>
      <c r="DD235" s="344"/>
      <c r="DE235" s="344"/>
      <c r="DF235" s="344"/>
      <c r="DG235" s="344"/>
      <c r="DH235" s="344"/>
      <c r="DI235" s="344"/>
      <c r="DJ235" s="344"/>
      <c r="DK235" s="344"/>
      <c r="DL235" s="344"/>
      <c r="DM235" s="344"/>
      <c r="DN235" s="344"/>
      <c r="DO235" s="344"/>
      <c r="DP235" s="344"/>
      <c r="DQ235" s="344"/>
      <c r="DR235" s="344"/>
      <c r="DS235" s="344"/>
      <c r="DT235" s="344"/>
      <c r="DU235" s="344"/>
      <c r="DV235" s="344"/>
      <c r="DW235" s="344"/>
    </row>
    <row r="236" ht="15.0" customHeight="1">
      <c r="A236" s="372">
        <v>42223.0</v>
      </c>
      <c r="B236" s="384" t="s">
        <v>3030</v>
      </c>
      <c r="C236" s="384" t="s">
        <v>3031</v>
      </c>
      <c r="D236" s="384">
        <v>39.0</v>
      </c>
      <c r="E236" s="374">
        <f>IFERROR(__xludf.DUMMYFUNCTION("if(and(D236&lt;&gt;0,D236&lt;&gt;""""),D236/GOOGLEFINANCE(C236,""price"")-1,"""")"),-0.2609437180216032)</f>
        <v>-0.260943718</v>
      </c>
      <c r="F236" s="375">
        <f>IFERROR(__xludf.DUMMYFUNCTION("GOOGLEFINANCE(C236,""price"")"),52.77)</f>
        <v>52.77</v>
      </c>
      <c r="G236" s="374">
        <f t="shared" si="6"/>
        <v>0.1362850996</v>
      </c>
      <c r="H236" s="376"/>
      <c r="I236" s="376">
        <f>3.7*($I$1+1.5)</f>
        <v>59.96176471</v>
      </c>
      <c r="J236" s="380"/>
      <c r="K236" s="380"/>
      <c r="L236" s="389"/>
      <c r="M236" s="379">
        <f t="shared" si="7"/>
        <v>-119.9023034</v>
      </c>
      <c r="N236" s="380">
        <f t="shared" si="8"/>
        <v>0</v>
      </c>
      <c r="O236" s="389"/>
      <c r="P236" s="390"/>
      <c r="Q236" s="391"/>
      <c r="R236" s="387"/>
      <c r="S236" s="387"/>
      <c r="T236" s="387"/>
      <c r="U236" s="386" t="s">
        <v>3032</v>
      </c>
      <c r="V236" s="344"/>
      <c r="W236" s="344"/>
      <c r="X236" s="344"/>
      <c r="Y236" s="344"/>
      <c r="Z236" s="344"/>
      <c r="AA236" s="344"/>
      <c r="AB236" s="344"/>
      <c r="AC236" s="344"/>
      <c r="AD236" s="344"/>
      <c r="AE236" s="344"/>
      <c r="AF236" s="344"/>
      <c r="AG236" s="344"/>
      <c r="AH236" s="344"/>
      <c r="AI236" s="344"/>
      <c r="AJ236" s="344"/>
      <c r="AK236" s="344"/>
      <c r="AL236" s="344"/>
      <c r="AM236" s="344"/>
      <c r="AN236" s="344"/>
      <c r="AO236" s="344"/>
      <c r="AP236" s="344"/>
      <c r="AQ236" s="344"/>
      <c r="AR236" s="344"/>
      <c r="AS236" s="344"/>
      <c r="AT236" s="344"/>
      <c r="AU236" s="344"/>
      <c r="AV236" s="344"/>
      <c r="AW236" s="344"/>
      <c r="AX236" s="344"/>
      <c r="AY236" s="344"/>
      <c r="AZ236" s="344"/>
      <c r="BA236" s="344"/>
      <c r="BB236" s="344"/>
      <c r="BC236" s="344"/>
      <c r="BD236" s="344"/>
      <c r="BE236" s="344"/>
      <c r="BF236" s="344"/>
      <c r="BG236" s="344"/>
      <c r="BH236" s="344"/>
      <c r="BI236" s="344"/>
      <c r="BJ236" s="344"/>
      <c r="BK236" s="344"/>
      <c r="BL236" s="344"/>
      <c r="BM236" s="344"/>
      <c r="BN236" s="344"/>
      <c r="BO236" s="344"/>
      <c r="BP236" s="344"/>
      <c r="BQ236" s="344"/>
      <c r="BR236" s="344"/>
      <c r="BS236" s="344"/>
      <c r="BT236" s="344"/>
      <c r="BU236" s="344"/>
      <c r="BV236" s="344"/>
      <c r="BW236" s="344"/>
      <c r="BX236" s="344"/>
      <c r="BY236" s="344"/>
      <c r="BZ236" s="344"/>
      <c r="CA236" s="344"/>
      <c r="CB236" s="344"/>
      <c r="CC236" s="344"/>
      <c r="CD236" s="344"/>
      <c r="CE236" s="344"/>
      <c r="CF236" s="344"/>
      <c r="CG236" s="344"/>
      <c r="CH236" s="344"/>
      <c r="CI236" s="344"/>
      <c r="CJ236" s="344"/>
      <c r="CK236" s="344"/>
      <c r="CL236" s="344"/>
      <c r="CM236" s="344"/>
      <c r="CN236" s="344"/>
      <c r="CO236" s="344"/>
      <c r="CP236" s="344"/>
      <c r="CQ236" s="344"/>
      <c r="CR236" s="344"/>
      <c r="CS236" s="344"/>
      <c r="CT236" s="344"/>
      <c r="CU236" s="344"/>
      <c r="CV236" s="344"/>
      <c r="CW236" s="344"/>
      <c r="CX236" s="344"/>
      <c r="CY236" s="344"/>
      <c r="CZ236" s="344"/>
      <c r="DA236" s="344"/>
      <c r="DB236" s="344"/>
      <c r="DC236" s="344"/>
      <c r="DD236" s="344"/>
      <c r="DE236" s="344"/>
      <c r="DF236" s="344"/>
      <c r="DG236" s="344"/>
      <c r="DH236" s="344"/>
      <c r="DI236" s="344"/>
      <c r="DJ236" s="344"/>
      <c r="DK236" s="344"/>
      <c r="DL236" s="344"/>
      <c r="DM236" s="344"/>
      <c r="DN236" s="344"/>
      <c r="DO236" s="344"/>
      <c r="DP236" s="344"/>
      <c r="DQ236" s="344"/>
      <c r="DR236" s="344"/>
      <c r="DS236" s="344"/>
      <c r="DT236" s="344"/>
      <c r="DU236" s="344"/>
      <c r="DV236" s="344"/>
      <c r="DW236" s="344"/>
    </row>
    <row r="237" ht="15.0" customHeight="1">
      <c r="A237" s="372">
        <v>42708.0</v>
      </c>
      <c r="B237" s="384" t="s">
        <v>3034</v>
      </c>
      <c r="C237" s="384" t="s">
        <v>1349</v>
      </c>
      <c r="D237" s="384"/>
      <c r="E237" s="374" t="str">
        <f>IFERROR(__xludf.DUMMYFUNCTION("if(and(D237&lt;&gt;0,D237&lt;&gt;""""),D237/GOOGLEFINANCE(C237,""price"")-1,"""")"),"")</f>
        <v/>
      </c>
      <c r="F237" s="375">
        <f>IFERROR(__xludf.DUMMYFUNCTION("GOOGLEFINANCE(C237,""price"")"),105.44)</f>
        <v>105.44</v>
      </c>
      <c r="G237" s="374">
        <f t="shared" si="6"/>
        <v>-0.0547705088</v>
      </c>
      <c r="H237" s="376"/>
      <c r="I237" s="368">
        <f>N237*($I$1+O237*100)</f>
        <v>99.66499755</v>
      </c>
      <c r="J237" s="385">
        <v>5.12</v>
      </c>
      <c r="K237" s="377">
        <v>5.46</v>
      </c>
      <c r="L237" s="378">
        <v>43583.0</v>
      </c>
      <c r="M237" s="379">
        <f t="shared" si="7"/>
        <v>-0.4968239045</v>
      </c>
      <c r="N237" s="380">
        <f t="shared" si="8"/>
        <v>5.628920128</v>
      </c>
      <c r="O237" s="370">
        <v>0.03</v>
      </c>
      <c r="P237" s="370"/>
      <c r="Q237" s="371"/>
      <c r="R237" s="378"/>
      <c r="S237" s="378">
        <v>43502.0</v>
      </c>
      <c r="T237" s="381" t="s">
        <v>1223</v>
      </c>
      <c r="U237" s="382" t="s">
        <v>3035</v>
      </c>
      <c r="V237" s="358"/>
      <c r="W237" s="358"/>
      <c r="X237" s="358"/>
      <c r="Y237" s="358"/>
      <c r="Z237" s="358"/>
      <c r="AA237" s="358"/>
      <c r="AB237" s="358"/>
      <c r="AC237" s="358"/>
      <c r="AD237" s="358"/>
      <c r="AE237" s="358"/>
      <c r="AF237" s="358"/>
      <c r="AG237" s="358"/>
      <c r="AH237" s="358"/>
      <c r="AI237" s="358"/>
      <c r="AJ237" s="358"/>
      <c r="AK237" s="358"/>
      <c r="AL237" s="358"/>
      <c r="AM237" s="358"/>
      <c r="AN237" s="358"/>
      <c r="AO237" s="358"/>
      <c r="AP237" s="358"/>
      <c r="AQ237" s="358"/>
      <c r="AR237" s="358"/>
      <c r="AS237" s="358"/>
      <c r="AT237" s="358"/>
      <c r="AU237" s="358"/>
      <c r="AV237" s="358"/>
      <c r="AW237" s="358"/>
      <c r="AX237" s="358"/>
      <c r="AY237" s="358"/>
      <c r="AZ237" s="358"/>
      <c r="BA237" s="358"/>
      <c r="BB237" s="358"/>
      <c r="BC237" s="358"/>
      <c r="BD237" s="358"/>
      <c r="BE237" s="358"/>
      <c r="BF237" s="358"/>
      <c r="BG237" s="358"/>
      <c r="BH237" s="358"/>
      <c r="BI237" s="358"/>
      <c r="BJ237" s="358"/>
      <c r="BK237" s="358"/>
      <c r="BL237" s="358"/>
      <c r="BM237" s="358"/>
      <c r="BN237" s="358"/>
      <c r="BO237" s="358"/>
      <c r="BP237" s="358"/>
      <c r="BQ237" s="358"/>
      <c r="BR237" s="358"/>
      <c r="BS237" s="358"/>
      <c r="BT237" s="358"/>
      <c r="BU237" s="358"/>
      <c r="BV237" s="358"/>
      <c r="BW237" s="358"/>
      <c r="BX237" s="358"/>
      <c r="BY237" s="358"/>
      <c r="BZ237" s="358"/>
      <c r="CA237" s="358"/>
      <c r="CB237" s="358"/>
      <c r="CC237" s="358"/>
      <c r="CD237" s="358"/>
      <c r="CE237" s="358"/>
      <c r="CF237" s="358"/>
      <c r="CG237" s="358"/>
      <c r="CH237" s="358"/>
      <c r="CI237" s="358"/>
      <c r="CJ237" s="358"/>
      <c r="CK237" s="358"/>
      <c r="CL237" s="358"/>
      <c r="CM237" s="358"/>
      <c r="CN237" s="358"/>
      <c r="CO237" s="358"/>
      <c r="CP237" s="358"/>
      <c r="CQ237" s="358"/>
      <c r="CR237" s="358"/>
      <c r="CS237" s="358"/>
      <c r="CT237" s="358"/>
      <c r="CU237" s="358"/>
      <c r="CV237" s="358"/>
      <c r="CW237" s="358"/>
      <c r="CX237" s="358"/>
      <c r="CY237" s="358"/>
      <c r="CZ237" s="358"/>
      <c r="DA237" s="358"/>
      <c r="DB237" s="358"/>
      <c r="DC237" s="358"/>
      <c r="DD237" s="358"/>
      <c r="DE237" s="358"/>
      <c r="DF237" s="358"/>
      <c r="DG237" s="358"/>
      <c r="DH237" s="358"/>
      <c r="DI237" s="358"/>
      <c r="DJ237" s="358"/>
      <c r="DK237" s="358"/>
      <c r="DL237" s="358"/>
      <c r="DM237" s="358"/>
      <c r="DN237" s="358"/>
      <c r="DO237" s="358"/>
      <c r="DP237" s="358"/>
      <c r="DQ237" s="358"/>
      <c r="DR237" s="358"/>
      <c r="DS237" s="358"/>
      <c r="DT237" s="358"/>
      <c r="DU237" s="358"/>
      <c r="DV237" s="358"/>
      <c r="DW237" s="358"/>
    </row>
    <row r="238" ht="15.0" customHeight="1">
      <c r="A238" s="383">
        <v>41896.0</v>
      </c>
      <c r="B238" s="320" t="s">
        <v>3037</v>
      </c>
      <c r="C238" s="320" t="s">
        <v>3038</v>
      </c>
      <c r="D238" s="532"/>
      <c r="E238" s="374" t="str">
        <f>IFERROR(__xludf.DUMMYFUNCTION("if(and(D238&lt;&gt;0,D238&lt;&gt;""""),D238/GOOGLEFINANCE(C238,""price"")-1,"""")"),"")</f>
        <v/>
      </c>
      <c r="F238" s="375">
        <f>IFERROR(__xludf.DUMMYFUNCTION("GOOGLEFINANCE(C238,""price"")"),10.84)</f>
        <v>10.84</v>
      </c>
      <c r="G238" s="374">
        <f t="shared" si="6"/>
        <v>0.9372693727</v>
      </c>
      <c r="H238" s="376"/>
      <c r="I238" s="376">
        <v>21.0</v>
      </c>
      <c r="J238" s="380"/>
      <c r="K238" s="380"/>
      <c r="L238" s="389"/>
      <c r="M238" s="379">
        <f t="shared" si="7"/>
        <v>-119.9023034</v>
      </c>
      <c r="N238" s="380">
        <f t="shared" si="8"/>
        <v>0</v>
      </c>
      <c r="O238" s="389"/>
      <c r="P238" s="415"/>
      <c r="Q238" s="379"/>
      <c r="R238" s="416"/>
      <c r="S238" s="416"/>
      <c r="T238" s="416"/>
      <c r="U238" s="417" t="s">
        <v>3039</v>
      </c>
      <c r="V238" s="367"/>
      <c r="W238" s="367"/>
      <c r="X238" s="367"/>
      <c r="Y238" s="367"/>
      <c r="Z238" s="367"/>
      <c r="AA238" s="367"/>
      <c r="AB238" s="367"/>
      <c r="AC238" s="367"/>
      <c r="AD238" s="367"/>
      <c r="AE238" s="367"/>
      <c r="AF238" s="367"/>
      <c r="AG238" s="367"/>
      <c r="AH238" s="367"/>
      <c r="AI238" s="367"/>
      <c r="AJ238" s="367"/>
      <c r="AK238" s="367"/>
      <c r="AL238" s="367"/>
      <c r="AM238" s="367"/>
      <c r="AN238" s="367"/>
      <c r="AO238" s="367"/>
      <c r="AP238" s="367"/>
      <c r="AQ238" s="367"/>
      <c r="AR238" s="367"/>
      <c r="AS238" s="367"/>
      <c r="AT238" s="367"/>
      <c r="AU238" s="367"/>
      <c r="AV238" s="367"/>
      <c r="AW238" s="367"/>
      <c r="AX238" s="367"/>
      <c r="AY238" s="367"/>
      <c r="AZ238" s="367"/>
      <c r="BA238" s="367"/>
      <c r="BB238" s="367"/>
      <c r="BC238" s="367"/>
      <c r="BD238" s="367"/>
      <c r="BE238" s="367"/>
      <c r="BF238" s="367"/>
      <c r="BG238" s="367"/>
      <c r="BH238" s="367"/>
      <c r="BI238" s="367"/>
      <c r="BJ238" s="367"/>
      <c r="BK238" s="367"/>
      <c r="BL238" s="367"/>
      <c r="BM238" s="367"/>
      <c r="BN238" s="367"/>
      <c r="BO238" s="367"/>
      <c r="BP238" s="367"/>
      <c r="BQ238" s="367"/>
      <c r="BR238" s="367"/>
      <c r="BS238" s="367"/>
      <c r="BT238" s="367"/>
      <c r="BU238" s="367"/>
      <c r="BV238" s="367"/>
      <c r="BW238" s="367"/>
      <c r="BX238" s="367"/>
      <c r="BY238" s="367"/>
      <c r="BZ238" s="367"/>
      <c r="CA238" s="367"/>
      <c r="CB238" s="367"/>
      <c r="CC238" s="367"/>
      <c r="CD238" s="367"/>
      <c r="CE238" s="367"/>
      <c r="CF238" s="367"/>
      <c r="CG238" s="367"/>
      <c r="CH238" s="367"/>
      <c r="CI238" s="367"/>
      <c r="CJ238" s="367"/>
      <c r="CK238" s="367"/>
      <c r="CL238" s="367"/>
      <c r="CM238" s="367"/>
      <c r="CN238" s="367"/>
      <c r="CO238" s="367"/>
      <c r="CP238" s="367"/>
      <c r="CQ238" s="367"/>
      <c r="CR238" s="367"/>
      <c r="CS238" s="367"/>
      <c r="CT238" s="367"/>
      <c r="CU238" s="367"/>
      <c r="CV238" s="367"/>
      <c r="CW238" s="367"/>
      <c r="CX238" s="367"/>
      <c r="CY238" s="367"/>
      <c r="CZ238" s="367"/>
      <c r="DA238" s="367"/>
      <c r="DB238" s="367"/>
      <c r="DC238" s="367"/>
      <c r="DD238" s="367"/>
      <c r="DE238" s="367"/>
      <c r="DF238" s="367"/>
      <c r="DG238" s="367"/>
      <c r="DH238" s="367"/>
      <c r="DI238" s="367"/>
      <c r="DJ238" s="367"/>
      <c r="DK238" s="367"/>
      <c r="DL238" s="367"/>
      <c r="DM238" s="367"/>
      <c r="DN238" s="367"/>
      <c r="DO238" s="367"/>
      <c r="DP238" s="367"/>
      <c r="DQ238" s="367"/>
      <c r="DR238" s="367"/>
      <c r="DS238" s="367"/>
      <c r="DT238" s="367"/>
      <c r="DU238" s="367"/>
      <c r="DV238" s="367"/>
      <c r="DW238" s="367"/>
    </row>
    <row r="239" ht="15.0" customHeight="1">
      <c r="A239" s="372">
        <v>42859.0</v>
      </c>
      <c r="B239" s="384" t="s">
        <v>3041</v>
      </c>
      <c r="C239" s="384" t="s">
        <v>1480</v>
      </c>
      <c r="D239" s="384">
        <v>95.0</v>
      </c>
      <c r="E239" s="374">
        <f>IFERROR(__xludf.DUMMYFUNCTION("if(and(D239&lt;&gt;0,D239&lt;&gt;""""),D239/GOOGLEFINANCE(C239,""price"")-1,"""")"),-0.40394026854059484)</f>
        <v>-0.4039402685</v>
      </c>
      <c r="F239" s="375">
        <f>IFERROR(__xludf.DUMMYFUNCTION("GOOGLEFINANCE(C239,""price"")"),159.38)</f>
        <v>159.38</v>
      </c>
      <c r="G239" s="374">
        <f t="shared" si="6"/>
        <v>-0.3063601006</v>
      </c>
      <c r="H239" s="368"/>
      <c r="I239" s="368">
        <f>N239*($I$1+O239*100)</f>
        <v>110.5523272</v>
      </c>
      <c r="J239" s="377">
        <v>5.23</v>
      </c>
      <c r="K239" s="377">
        <v>5.65</v>
      </c>
      <c r="L239" s="378">
        <v>43799.0</v>
      </c>
      <c r="M239" s="379">
        <f t="shared" si="7"/>
        <v>0.09495691663</v>
      </c>
      <c r="N239" s="380">
        <f t="shared" si="8"/>
        <v>5.610118095</v>
      </c>
      <c r="O239" s="370">
        <v>0.05</v>
      </c>
      <c r="P239" s="370"/>
      <c r="Q239" s="371"/>
      <c r="R239" s="378"/>
      <c r="S239" s="378">
        <v>43499.0</v>
      </c>
      <c r="T239" s="387" t="s">
        <v>1223</v>
      </c>
      <c r="U239" s="386" t="s">
        <v>3042</v>
      </c>
      <c r="V239" s="344"/>
      <c r="W239" s="344"/>
      <c r="X239" s="344"/>
      <c r="Y239" s="344"/>
      <c r="Z239" s="344"/>
      <c r="AA239" s="344"/>
      <c r="AB239" s="344"/>
      <c r="AC239" s="344"/>
      <c r="AD239" s="344"/>
      <c r="AE239" s="344"/>
      <c r="AF239" s="344"/>
      <c r="AG239" s="344"/>
      <c r="AH239" s="344"/>
      <c r="AI239" s="344"/>
      <c r="AJ239" s="344"/>
      <c r="AK239" s="344"/>
      <c r="AL239" s="344"/>
      <c r="AM239" s="344"/>
      <c r="AN239" s="344"/>
      <c r="AO239" s="344"/>
      <c r="AP239" s="344"/>
      <c r="AQ239" s="344"/>
      <c r="AR239" s="344"/>
      <c r="AS239" s="344"/>
      <c r="AT239" s="344"/>
      <c r="AU239" s="344"/>
      <c r="AV239" s="344"/>
      <c r="AW239" s="344"/>
      <c r="AX239" s="344"/>
      <c r="AY239" s="344"/>
      <c r="AZ239" s="344"/>
      <c r="BA239" s="344"/>
      <c r="BB239" s="344"/>
      <c r="BC239" s="344"/>
      <c r="BD239" s="344"/>
      <c r="BE239" s="344"/>
      <c r="BF239" s="344"/>
      <c r="BG239" s="344"/>
      <c r="BH239" s="344"/>
      <c r="BI239" s="344"/>
      <c r="BJ239" s="344"/>
      <c r="BK239" s="344"/>
      <c r="BL239" s="344"/>
      <c r="BM239" s="344"/>
      <c r="BN239" s="344"/>
      <c r="BO239" s="344"/>
      <c r="BP239" s="344"/>
      <c r="BQ239" s="344"/>
      <c r="BR239" s="344"/>
      <c r="BS239" s="344"/>
      <c r="BT239" s="344"/>
      <c r="BU239" s="344"/>
      <c r="BV239" s="344"/>
      <c r="BW239" s="344"/>
      <c r="BX239" s="344"/>
      <c r="BY239" s="344"/>
      <c r="BZ239" s="344"/>
      <c r="CA239" s="344"/>
      <c r="CB239" s="344"/>
      <c r="CC239" s="344"/>
      <c r="CD239" s="344"/>
      <c r="CE239" s="344"/>
      <c r="CF239" s="344"/>
      <c r="CG239" s="344"/>
      <c r="CH239" s="344"/>
      <c r="CI239" s="344"/>
      <c r="CJ239" s="344"/>
      <c r="CK239" s="344"/>
      <c r="CL239" s="344"/>
      <c r="CM239" s="344"/>
      <c r="CN239" s="344"/>
      <c r="CO239" s="344"/>
      <c r="CP239" s="344"/>
      <c r="CQ239" s="344"/>
      <c r="CR239" s="344"/>
      <c r="CS239" s="344"/>
      <c r="CT239" s="344"/>
      <c r="CU239" s="344"/>
      <c r="CV239" s="344"/>
      <c r="CW239" s="344"/>
      <c r="CX239" s="344"/>
      <c r="CY239" s="344"/>
      <c r="CZ239" s="344"/>
      <c r="DA239" s="344"/>
      <c r="DB239" s="344"/>
      <c r="DC239" s="344"/>
      <c r="DD239" s="344"/>
      <c r="DE239" s="344"/>
      <c r="DF239" s="344"/>
      <c r="DG239" s="344"/>
      <c r="DH239" s="344"/>
      <c r="DI239" s="344"/>
      <c r="DJ239" s="344"/>
      <c r="DK239" s="344"/>
      <c r="DL239" s="344"/>
      <c r="DM239" s="344"/>
      <c r="DN239" s="344"/>
      <c r="DO239" s="344"/>
      <c r="DP239" s="344"/>
      <c r="DQ239" s="344"/>
      <c r="DR239" s="344"/>
      <c r="DS239" s="344"/>
      <c r="DT239" s="344"/>
      <c r="DU239" s="344"/>
      <c r="DV239" s="344"/>
      <c r="DW239" s="344"/>
    </row>
    <row r="240" ht="15.0" customHeight="1">
      <c r="A240" s="383">
        <v>41331.0</v>
      </c>
      <c r="B240" s="320" t="s">
        <v>3043</v>
      </c>
      <c r="C240" s="320" t="s">
        <v>1049</v>
      </c>
      <c r="D240" s="373">
        <v>920.0</v>
      </c>
      <c r="E240" s="374">
        <f>IFERROR(__xludf.DUMMYFUNCTION("if(and(D240&lt;&gt;0,D240&lt;&gt;""""),D240/GOOGLEFINANCE(C240,""price"")-1,"""")"),-0.17174572593786286)</f>
        <v>-0.1717457259</v>
      </c>
      <c r="F240" s="375">
        <f>IFERROR(__xludf.DUMMYFUNCTION("GOOGLEFINANCE(C240,""price"")"),1110.77)</f>
        <v>1110.77</v>
      </c>
      <c r="G240" s="374">
        <f t="shared" si="6"/>
        <v>0.5333617926</v>
      </c>
      <c r="H240" s="368"/>
      <c r="I240" s="368">
        <f>sum(CY240:DS240)</f>
        <v>1703.212278</v>
      </c>
      <c r="J240" s="380">
        <f>752.12*(P240)</f>
        <v>82.7332</v>
      </c>
      <c r="K240" s="380">
        <f>J240*(1+O240)</f>
        <v>86.86986</v>
      </c>
      <c r="L240" s="378">
        <v>43830.0</v>
      </c>
      <c r="M240" s="379">
        <f t="shared" si="7"/>
        <v>0.1798884284</v>
      </c>
      <c r="N240" s="380">
        <f t="shared" si="8"/>
        <v>86.12572273</v>
      </c>
      <c r="O240" s="370">
        <v>0.05</v>
      </c>
      <c r="P240" s="370">
        <f>(1-0.94+0.05)</f>
        <v>0.11</v>
      </c>
      <c r="Q240" s="371">
        <f t="shared" ref="Q240:Q242" si="130">I240/N240</f>
        <v>19.77588372</v>
      </c>
      <c r="R240" s="381">
        <v>6.0</v>
      </c>
      <c r="S240" s="378">
        <v>43683.0</v>
      </c>
      <c r="T240" s="387" t="s">
        <v>1223</v>
      </c>
      <c r="U240" s="382" t="s">
        <v>3044</v>
      </c>
      <c r="V240" s="961">
        <f>O240</f>
        <v>0.05</v>
      </c>
      <c r="W240" s="962">
        <f>max(min(Valu!$C$15,$O240),$O240-max($O240-Valu!$C$15,0)/$R240*(W$3-1))</f>
        <v>0.04666666667</v>
      </c>
      <c r="X240" s="962">
        <f>max(min(Valu!$C$15,$O240),$O240-max($O240-Valu!$C$15,0)/$R240*(X$3-1))</f>
        <v>0.04333333333</v>
      </c>
      <c r="Y240" s="962">
        <f>max(min(Valu!$C$15,$O240),$O240-max($O240-Valu!$C$15,0)/$R240*(Y$3-1))</f>
        <v>0.04</v>
      </c>
      <c r="Z240" s="962">
        <f>max(min(Valu!$C$15,$O240),$O240-max($O240-Valu!$C$15,0)/$R240*(Z$3-1))</f>
        <v>0.03666666667</v>
      </c>
      <c r="AA240" s="962">
        <f>max(min(Valu!$C$15,$O240),$O240-max($O240-Valu!$C$15,0)/$R240*(AA$3-1))</f>
        <v>0.03333333333</v>
      </c>
      <c r="AB240" s="962">
        <f>max(min(Valu!$C$15,$O240),$O240-max($O240-Valu!$C$15,0)/$R240*(AB$3-1))</f>
        <v>0.03</v>
      </c>
      <c r="AC240" s="962">
        <f>max(min(Valu!$C$15,$O240),$O240-max($O240-Valu!$C$15,0)/$R240*(AC$3-1))</f>
        <v>0.03</v>
      </c>
      <c r="AD240" s="962">
        <f>max(min(Valu!$C$15,$O240),$O240-max($O240-Valu!$C$15,0)/$R240*(AD$3-1))</f>
        <v>0.03</v>
      </c>
      <c r="AE240" s="962">
        <f>max(min(Valu!$C$15,$O240),$O240-max($O240-Valu!$C$15,0)/$R240*(AE$3-1))</f>
        <v>0.03</v>
      </c>
      <c r="AF240" s="962">
        <f>max(min(Valu!$C$15,$O240),$O240-max($O240-Valu!$C$15,0)/$R240*(AF$3-1))</f>
        <v>0.03</v>
      </c>
      <c r="AG240" s="962">
        <f>max(min(Valu!$C$15,$O240),$O240-max($O240-Valu!$C$15,0)/$R240*(AG$3-1))</f>
        <v>0.03</v>
      </c>
      <c r="AH240" s="962">
        <f>max(min(Valu!$C$15,$O240),$O240-max($O240-Valu!$C$15,0)/$R240*(AH$3-1))</f>
        <v>0.03</v>
      </c>
      <c r="AI240" s="962">
        <f>max(min(Valu!$C$15,$O240),$O240-max($O240-Valu!$C$15,0)/$R240*(AI$3-1))</f>
        <v>0.03</v>
      </c>
      <c r="AJ240" s="962">
        <f>max(min(Valu!$C$15,$O240),$O240-max($O240-Valu!$C$15,0)/$R240*(AJ$3-1))</f>
        <v>0.03</v>
      </c>
      <c r="AK240" s="962">
        <f>max(min(Valu!$C$15,$O240),$O240-max($O240-Valu!$C$15,0)/$R240*(AK$3-1))</f>
        <v>0.03</v>
      </c>
      <c r="AL240" s="962">
        <f>max(min(Valu!$C$15,$O240),$O240-max($O240-Valu!$C$15,0)/$R240*(AL$3-1))</f>
        <v>0.03</v>
      </c>
      <c r="AM240" s="962">
        <f>max(min(Valu!$C$15,$O240),$O240-max($O240-Valu!$C$15,0)/$R240*(AM$3-1))</f>
        <v>0.03</v>
      </c>
      <c r="AN240" s="962">
        <f>max(min(Valu!$C$15,$O240),$O240-max($O240-Valu!$C$15,0)/$R240*(AN$3-1))</f>
        <v>0.03</v>
      </c>
      <c r="AO240" s="962">
        <f>max(min(Valu!$C$15,$O240),$O240-max($O240-Valu!$C$15,0)/$R240*(AO$3-1))</f>
        <v>0.03</v>
      </c>
      <c r="AP240" s="962">
        <f>max(min(Valu!$C$14,$P240),$P240-max($P240-Valu!$C$14,0)/$R240*(AP$3-1))</f>
        <v>0.11</v>
      </c>
      <c r="AQ240" s="962">
        <f>max(min(Valu!$C$14,$P240),$P240-max($P240-Valu!$C$14,0)/$R240*(AQ$3-1))</f>
        <v>0.11</v>
      </c>
      <c r="AR240" s="962">
        <f>max(min(Valu!$C$14,$P240),$P240-max($P240-Valu!$C$14,0)/$R240*(AR$3-1))</f>
        <v>0.11</v>
      </c>
      <c r="AS240" s="962">
        <f>max(min(Valu!$C$14,$P240),$P240-max($P240-Valu!$C$14,0)/$R240*(AS$3-1))</f>
        <v>0.11</v>
      </c>
      <c r="AT240" s="962">
        <f>max(min(Valu!$C$14,$P240),$P240-max($P240-Valu!$C$14,0)/$R240*(AT$3-1))</f>
        <v>0.11</v>
      </c>
      <c r="AU240" s="962">
        <f>max(min(Valu!$C$14,$P240),$P240-max($P240-Valu!$C$14,0)/$R240*(AU$3-1))</f>
        <v>0.11</v>
      </c>
      <c r="AV240" s="962">
        <f>max(min(Valu!$C$14,$P240),$P240-max($P240-Valu!$C$14,0)/$R240*(AV$3-1))</f>
        <v>0.11</v>
      </c>
      <c r="AW240" s="962">
        <f>max(min(Valu!$C$14,$P240),$P240-max($P240-Valu!$C$14,0)/$R240*(AW$3-1))</f>
        <v>0.11</v>
      </c>
      <c r="AX240" s="962">
        <f>max(min(Valu!$C$14,$P240),$P240-max($P240-Valu!$C$14,0)/$R240*(AX$3-1))</f>
        <v>0.11</v>
      </c>
      <c r="AY240" s="962">
        <f>max(min(Valu!$C$14,$P240),$P240-max($P240-Valu!$C$14,0)/$R240*(AY$3-1))</f>
        <v>0.11</v>
      </c>
      <c r="AZ240" s="962">
        <f>max(min(Valu!$C$14,$P240),$P240-max($P240-Valu!$C$14,0)/$R240*(AZ$3-1))</f>
        <v>0.11</v>
      </c>
      <c r="BA240" s="962">
        <f>max(min(Valu!$C$14,$P240),$P240-max($P240-Valu!$C$14,0)/$R240*(BA$3-1))</f>
        <v>0.11</v>
      </c>
      <c r="BB240" s="962">
        <f>max(min(Valu!$C$14,$P240),$P240-max($P240-Valu!$C$14,0)/$R240*(BB$3-1))</f>
        <v>0.11</v>
      </c>
      <c r="BC240" s="962">
        <f>max(min(Valu!$C$14,$P240),$P240-max($P240-Valu!$C$14,0)/$R240*(BC$3-1))</f>
        <v>0.11</v>
      </c>
      <c r="BD240" s="962">
        <f>max(min(Valu!$C$14,$P240),$P240-max($P240-Valu!$C$14,0)/$R240*(BD$3-1))</f>
        <v>0.11</v>
      </c>
      <c r="BE240" s="962">
        <f>max(min(Valu!$C$14,$P240),$P240-max($P240-Valu!$C$14,0)/$R240*(BE$3-1))</f>
        <v>0.11</v>
      </c>
      <c r="BF240" s="962">
        <f>max(min(Valu!$C$14,$P240),$P240-max($P240-Valu!$C$14,0)/$R240*(BF$3-1))</f>
        <v>0.11</v>
      </c>
      <c r="BG240" s="962">
        <f>max(min(Valu!$C$14,$P240),$P240-max($P240-Valu!$C$14,0)/$R240*(BG$3-1))</f>
        <v>0.11</v>
      </c>
      <c r="BH240" s="962">
        <f>max(min(Valu!$C$14,$P240),$P240-max($P240-Valu!$C$14,0)/$R240*(BH$3-1))</f>
        <v>0.11</v>
      </c>
      <c r="BI240" s="962">
        <f>max(min(Valu!$C$14,$P240),$P240-max($P240-Valu!$C$14,0)/$R240*(BI$3-1))</f>
        <v>0.11</v>
      </c>
      <c r="BJ240" s="965">
        <f>N240</f>
        <v>86.12572273</v>
      </c>
      <c r="BK240" s="966">
        <f>$BJ240*(1+V240)</f>
        <v>90.43200887</v>
      </c>
      <c r="BL240" s="966">
        <f t="shared" ref="BL240:CC240" si="128">BK240*(1+W240)</f>
        <v>94.65216928</v>
      </c>
      <c r="BM240" s="966">
        <f t="shared" si="128"/>
        <v>98.75376329</v>
      </c>
      <c r="BN240" s="966">
        <f t="shared" si="128"/>
        <v>102.7039138</v>
      </c>
      <c r="BO240" s="966">
        <f t="shared" si="128"/>
        <v>106.469724</v>
      </c>
      <c r="BP240" s="966">
        <f t="shared" si="128"/>
        <v>110.0187148</v>
      </c>
      <c r="BQ240" s="966">
        <f t="shared" si="128"/>
        <v>113.3192762</v>
      </c>
      <c r="BR240" s="966">
        <f t="shared" si="128"/>
        <v>116.7188545</v>
      </c>
      <c r="BS240" s="966">
        <f t="shared" si="128"/>
        <v>120.2204202</v>
      </c>
      <c r="BT240" s="966">
        <f t="shared" si="128"/>
        <v>123.8270328</v>
      </c>
      <c r="BU240" s="966">
        <f t="shared" si="128"/>
        <v>127.5418437</v>
      </c>
      <c r="BV240" s="966">
        <f t="shared" si="128"/>
        <v>131.3680991</v>
      </c>
      <c r="BW240" s="966">
        <f t="shared" si="128"/>
        <v>135.309142</v>
      </c>
      <c r="BX240" s="966">
        <f t="shared" si="128"/>
        <v>139.3684163</v>
      </c>
      <c r="BY240" s="966">
        <f t="shared" si="128"/>
        <v>143.5494688</v>
      </c>
      <c r="BZ240" s="966">
        <f t="shared" si="128"/>
        <v>147.8559528</v>
      </c>
      <c r="CA240" s="966">
        <f t="shared" si="128"/>
        <v>152.2916314</v>
      </c>
      <c r="CB240" s="966">
        <f t="shared" si="128"/>
        <v>156.8603804</v>
      </c>
      <c r="CC240" s="966">
        <f t="shared" si="128"/>
        <v>161.5661918</v>
      </c>
      <c r="CD240" s="966">
        <f t="shared" ref="CD240:CW240" si="129">BJ240*(1-V240/AP240)</f>
        <v>46.97766695</v>
      </c>
      <c r="CE240" s="966">
        <f t="shared" si="129"/>
        <v>52.0669142</v>
      </c>
      <c r="CF240" s="966">
        <f t="shared" si="129"/>
        <v>57.36495108</v>
      </c>
      <c r="CG240" s="966">
        <f t="shared" si="129"/>
        <v>62.84330391</v>
      </c>
      <c r="CH240" s="966">
        <f t="shared" si="129"/>
        <v>68.46927588</v>
      </c>
      <c r="CI240" s="966">
        <f t="shared" si="129"/>
        <v>74.20617127</v>
      </c>
      <c r="CJ240" s="966">
        <f t="shared" si="129"/>
        <v>80.01361076</v>
      </c>
      <c r="CK240" s="966">
        <f t="shared" si="129"/>
        <v>82.41401908</v>
      </c>
      <c r="CL240" s="966">
        <f t="shared" si="129"/>
        <v>84.88643965</v>
      </c>
      <c r="CM240" s="966">
        <f t="shared" si="129"/>
        <v>87.43303284</v>
      </c>
      <c r="CN240" s="966">
        <f t="shared" si="129"/>
        <v>90.05602383</v>
      </c>
      <c r="CO240" s="966">
        <f t="shared" si="129"/>
        <v>92.75770454</v>
      </c>
      <c r="CP240" s="966">
        <f t="shared" si="129"/>
        <v>95.54043568</v>
      </c>
      <c r="CQ240" s="966">
        <f t="shared" si="129"/>
        <v>98.40664875</v>
      </c>
      <c r="CR240" s="966">
        <f t="shared" si="129"/>
        <v>101.3588482</v>
      </c>
      <c r="CS240" s="966">
        <f t="shared" si="129"/>
        <v>104.3996137</v>
      </c>
      <c r="CT240" s="966">
        <f t="shared" si="129"/>
        <v>107.5316021</v>
      </c>
      <c r="CU240" s="966">
        <f t="shared" si="129"/>
        <v>110.7575501</v>
      </c>
      <c r="CV240" s="966">
        <f t="shared" si="129"/>
        <v>114.0802766</v>
      </c>
      <c r="CW240" s="966">
        <f t="shared" si="129"/>
        <v>117.5026849</v>
      </c>
      <c r="CX240" s="966">
        <f>CW240*(1+min(Valu!$C$15,$O240))/(Valu!$C$21-min(Valu!$C$15,$O240))</f>
        <v>3184.941197</v>
      </c>
      <c r="CY240" s="966">
        <f>CD240/(1+Valu!$C$21)^CY$3</f>
        <v>43.98657954</v>
      </c>
      <c r="CZ240" s="966">
        <f>CE240/(1+Valu!$C$21)^CZ$3</f>
        <v>45.64774562</v>
      </c>
      <c r="DA240" s="966">
        <f>CF240/(1+Valu!$C$21)^DA$3</f>
        <v>47.09045313</v>
      </c>
      <c r="DB240" s="966">
        <f>CG240/(1+Valu!$C$21)^DB$3</f>
        <v>48.30298821</v>
      </c>
      <c r="DC240" s="966">
        <f>CH240/(1+Valu!$C$21)^DC$3</f>
        <v>49.27645667</v>
      </c>
      <c r="DD240" s="966">
        <f>CI240/(1+Valu!$C$21)^DD$3</f>
        <v>50.00489368</v>
      </c>
      <c r="DE240" s="966">
        <f>CJ240/(1+Valu!$C$21)^DE$3</f>
        <v>50.48531848</v>
      </c>
      <c r="DF240" s="966">
        <f>CK240/(1+Valu!$C$21)^DF$3</f>
        <v>48.68902438</v>
      </c>
      <c r="DG240" s="966">
        <f>CL240/(1+Valu!$C$21)^DG$3</f>
        <v>46.95664336</v>
      </c>
      <c r="DH240" s="966">
        <f>CM240/(1+Valu!$C$21)^DH$3</f>
        <v>45.28590137</v>
      </c>
      <c r="DI240" s="966">
        <f>CN240/(1+Valu!$C$21)^DI$3</f>
        <v>43.67460525</v>
      </c>
      <c r="DJ240" s="966">
        <f>CO240/(1+Valu!$C$21)^DJ$3</f>
        <v>42.1206399</v>
      </c>
      <c r="DK240" s="966">
        <f>CP240/(1+Valu!$C$21)^DK$3</f>
        <v>40.62196545</v>
      </c>
      <c r="DL240" s="966">
        <f>CQ240/(1+Valu!$C$21)^DL$3</f>
        <v>39.17661461</v>
      </c>
      <c r="DM240" s="966">
        <f>CR240/(1+Valu!$C$21)^DM$3</f>
        <v>37.78269012</v>
      </c>
      <c r="DN240" s="966">
        <f>CS240/(1+Valu!$C$21)^DN$3</f>
        <v>36.4383622</v>
      </c>
      <c r="DO240" s="966">
        <f>CT240/(1+Valu!$C$21)^DO$3</f>
        <v>35.14186617</v>
      </c>
      <c r="DP240" s="966">
        <f>CU240/(1+Valu!$C$21)^DP$3</f>
        <v>33.89150014</v>
      </c>
      <c r="DQ240" s="966">
        <f>CV240/(1+Valu!$C$21)^DQ$3</f>
        <v>32.6856228</v>
      </c>
      <c r="DR240" s="966">
        <f>CW240/(1+Valu!$C$21)^DR$3</f>
        <v>31.5226512</v>
      </c>
      <c r="DS240" s="966">
        <f>CX240/(1+Valu!$C$21)^DS$3</f>
        <v>854.4297561</v>
      </c>
      <c r="DT240" s="358"/>
      <c r="DU240" s="358"/>
      <c r="DV240" s="358"/>
      <c r="DW240" s="358"/>
    </row>
    <row r="241" ht="15.0" customHeight="1">
      <c r="A241" s="383">
        <v>40859.0</v>
      </c>
      <c r="B241" s="320" t="s">
        <v>3047</v>
      </c>
      <c r="C241" s="320" t="s">
        <v>1521</v>
      </c>
      <c r="D241" s="973">
        <f>min(140,I241)</f>
        <v>140</v>
      </c>
      <c r="E241" s="374">
        <f>IFERROR(__xludf.DUMMYFUNCTION("if(and(D241&lt;&gt;0,D241&lt;&gt;""""),D241/GOOGLEFINANCE(C241,""price"")-1,"""")"),-0.5931060540006394)</f>
        <v>-0.593106054</v>
      </c>
      <c r="F241" s="375">
        <f>IFERROR(__xludf.DUMMYFUNCTION("GOOGLEFINANCE(C241,""price"")"),344.07)</f>
        <v>344.07</v>
      </c>
      <c r="G241" s="374">
        <f t="shared" si="6"/>
        <v>-0.4372818062</v>
      </c>
      <c r="H241" s="376"/>
      <c r="I241" s="368">
        <f>N241*($I$1+iferror(sqrt((O241*100)*(P241-1/$I$1)*100),-sqrt((O241*100)*-1*(P241-1/$I$1)*100))*(R241/4)^0.2)</f>
        <v>193.614449</v>
      </c>
      <c r="J241" s="377">
        <v>5.1</v>
      </c>
      <c r="K241" s="377">
        <v>5.9</v>
      </c>
      <c r="L241" s="378">
        <v>43830.0</v>
      </c>
      <c r="M241" s="379">
        <f t="shared" si="7"/>
        <v>0.1798884233</v>
      </c>
      <c r="N241" s="380">
        <f t="shared" si="8"/>
        <v>5.756089261</v>
      </c>
      <c r="O241" s="370">
        <v>0.12</v>
      </c>
      <c r="P241" s="370">
        <v>0.275</v>
      </c>
      <c r="Q241" s="371">
        <f t="shared" si="130"/>
        <v>33.636457</v>
      </c>
      <c r="R241" s="381">
        <v>10.0</v>
      </c>
      <c r="S241" s="378">
        <v>43659.0</v>
      </c>
      <c r="T241" s="381" t="s">
        <v>1240</v>
      </c>
      <c r="U241" s="382" t="s">
        <v>3050</v>
      </c>
      <c r="V241" s="358"/>
      <c r="W241" s="358"/>
      <c r="X241" s="358"/>
      <c r="Y241" s="358"/>
      <c r="Z241" s="358"/>
      <c r="AA241" s="358"/>
      <c r="AB241" s="358"/>
      <c r="AC241" s="358"/>
      <c r="AD241" s="358"/>
      <c r="AE241" s="358"/>
      <c r="AF241" s="358"/>
      <c r="AG241" s="358"/>
      <c r="AH241" s="358"/>
      <c r="AI241" s="358"/>
      <c r="AJ241" s="358"/>
      <c r="AK241" s="358"/>
      <c r="AL241" s="358"/>
      <c r="AM241" s="358"/>
      <c r="AN241" s="358"/>
      <c r="AO241" s="358"/>
      <c r="AP241" s="358"/>
      <c r="AQ241" s="358"/>
      <c r="AR241" s="358"/>
      <c r="AS241" s="358"/>
      <c r="AT241" s="358"/>
      <c r="AU241" s="358"/>
      <c r="AV241" s="358"/>
      <c r="AW241" s="358"/>
      <c r="AX241" s="358"/>
      <c r="AY241" s="358"/>
      <c r="AZ241" s="358"/>
      <c r="BA241" s="358"/>
      <c r="BB241" s="358"/>
      <c r="BC241" s="358"/>
      <c r="BD241" s="358"/>
      <c r="BE241" s="358"/>
      <c r="BF241" s="358"/>
      <c r="BG241" s="358"/>
      <c r="BH241" s="358"/>
      <c r="BI241" s="358"/>
      <c r="BJ241" s="358"/>
      <c r="BK241" s="358"/>
      <c r="BL241" s="358"/>
      <c r="BM241" s="358"/>
      <c r="BN241" s="358"/>
      <c r="BO241" s="358"/>
      <c r="BP241" s="358"/>
      <c r="BQ241" s="358"/>
      <c r="BR241" s="358"/>
      <c r="BS241" s="358"/>
      <c r="BT241" s="358"/>
      <c r="BU241" s="358"/>
      <c r="BV241" s="358"/>
      <c r="BW241" s="358"/>
      <c r="BX241" s="358"/>
      <c r="BY241" s="358"/>
      <c r="BZ241" s="358"/>
      <c r="CA241" s="358"/>
      <c r="CB241" s="358"/>
      <c r="CC241" s="358"/>
      <c r="CD241" s="358"/>
      <c r="CE241" s="358"/>
      <c r="CF241" s="358"/>
      <c r="CG241" s="358"/>
      <c r="CH241" s="358"/>
      <c r="CI241" s="358"/>
      <c r="CJ241" s="358"/>
      <c r="CK241" s="358"/>
      <c r="CL241" s="358"/>
      <c r="CM241" s="358"/>
      <c r="CN241" s="358"/>
      <c r="CO241" s="358"/>
      <c r="CP241" s="358"/>
      <c r="CQ241" s="358"/>
      <c r="CR241" s="358"/>
      <c r="CS241" s="358"/>
      <c r="CT241" s="358"/>
      <c r="CU241" s="358"/>
      <c r="CV241" s="358"/>
      <c r="CW241" s="358"/>
      <c r="CX241" s="358"/>
      <c r="CY241" s="358"/>
      <c r="CZ241" s="358"/>
      <c r="DA241" s="358"/>
      <c r="DB241" s="358"/>
      <c r="DC241" s="358"/>
      <c r="DD241" s="358"/>
      <c r="DE241" s="358"/>
      <c r="DF241" s="358"/>
      <c r="DG241" s="358"/>
      <c r="DH241" s="358"/>
      <c r="DI241" s="358"/>
      <c r="DJ241" s="358"/>
      <c r="DK241" s="358"/>
      <c r="DL241" s="358"/>
      <c r="DM241" s="358"/>
      <c r="DN241" s="358"/>
      <c r="DO241" s="358"/>
      <c r="DP241" s="358"/>
      <c r="DQ241" s="358"/>
      <c r="DR241" s="358"/>
      <c r="DS241" s="358"/>
      <c r="DT241" s="358"/>
      <c r="DU241" s="358"/>
      <c r="DV241" s="358"/>
      <c r="DW241" s="358"/>
    </row>
    <row r="242" ht="15.0" customHeight="1">
      <c r="A242" s="372">
        <v>42149.0</v>
      </c>
      <c r="B242" s="384" t="s">
        <v>3052</v>
      </c>
      <c r="C242" s="384" t="s">
        <v>1238</v>
      </c>
      <c r="D242" s="384">
        <v>75.0</v>
      </c>
      <c r="E242" s="374">
        <f>IFERROR(__xludf.DUMMYFUNCTION("if(and(D242&lt;&gt;0,D242&lt;&gt;""""),D242/GOOGLEFINANCE(C242,""price"")-1,"""")"),-0.23132110279799112)</f>
        <v>-0.2313211028</v>
      </c>
      <c r="F242" s="375">
        <f>IFERROR(__xludf.DUMMYFUNCTION("GOOGLEFINANCE(C242,""price"")"),97.57)</f>
        <v>97.57</v>
      </c>
      <c r="G242" s="374">
        <f t="shared" si="6"/>
        <v>0.06096790658</v>
      </c>
      <c r="H242" s="368"/>
      <c r="I242" s="368">
        <f>sum(CY242:DS242)</f>
        <v>103.5186386</v>
      </c>
      <c r="J242" s="377">
        <v>4.3</v>
      </c>
      <c r="K242" s="377">
        <v>4.65</v>
      </c>
      <c r="L242" s="378">
        <v>43465.0</v>
      </c>
      <c r="M242" s="379">
        <f t="shared" si="7"/>
        <v>-0.820111575</v>
      </c>
      <c r="N242" s="380">
        <f t="shared" si="8"/>
        <v>4.937039051</v>
      </c>
      <c r="O242" s="370">
        <v>0.05</v>
      </c>
      <c r="P242" s="370">
        <v>0.15</v>
      </c>
      <c r="Q242" s="371">
        <f t="shared" si="130"/>
        <v>20.96775771</v>
      </c>
      <c r="R242" s="381">
        <v>8.0</v>
      </c>
      <c r="S242" s="378">
        <v>43705.0</v>
      </c>
      <c r="T242" s="381" t="s">
        <v>1223</v>
      </c>
      <c r="U242" s="382" t="s">
        <v>3053</v>
      </c>
      <c r="V242" s="961">
        <f>O242</f>
        <v>0.05</v>
      </c>
      <c r="W242" s="962">
        <f>max(min(Valu!$C$15,$O242),$O242-max($O242-Valu!$C$15,0)/$R242*(W$3-1))</f>
        <v>0.0475</v>
      </c>
      <c r="X242" s="962">
        <f>max(min(Valu!$C$15,$O242),$O242-max($O242-Valu!$C$15,0)/$R242*(X$3-1))</f>
        <v>0.045</v>
      </c>
      <c r="Y242" s="962">
        <f>max(min(Valu!$C$15,$O242),$O242-max($O242-Valu!$C$15,0)/$R242*(Y$3-1))</f>
        <v>0.0425</v>
      </c>
      <c r="Z242" s="962">
        <f>max(min(Valu!$C$15,$O242),$O242-max($O242-Valu!$C$15,0)/$R242*(Z$3-1))</f>
        <v>0.04</v>
      </c>
      <c r="AA242" s="962">
        <f>max(min(Valu!$C$15,$O242),$O242-max($O242-Valu!$C$15,0)/$R242*(AA$3-1))</f>
        <v>0.0375</v>
      </c>
      <c r="AB242" s="962">
        <f>max(min(Valu!$C$15,$O242),$O242-max($O242-Valu!$C$15,0)/$R242*(AB$3-1))</f>
        <v>0.035</v>
      </c>
      <c r="AC242" s="962">
        <f>max(min(Valu!$C$15,$O242),$O242-max($O242-Valu!$C$15,0)/$R242*(AC$3-1))</f>
        <v>0.0325</v>
      </c>
      <c r="AD242" s="962">
        <f>max(min(Valu!$C$15,$O242),$O242-max($O242-Valu!$C$15,0)/$R242*(AD$3-1))</f>
        <v>0.03</v>
      </c>
      <c r="AE242" s="962">
        <f>max(min(Valu!$C$15,$O242),$O242-max($O242-Valu!$C$15,0)/$R242*(AE$3-1))</f>
        <v>0.03</v>
      </c>
      <c r="AF242" s="962">
        <f>max(min(Valu!$C$15,$O242),$O242-max($O242-Valu!$C$15,0)/$R242*(AF$3-1))</f>
        <v>0.03</v>
      </c>
      <c r="AG242" s="962">
        <f>max(min(Valu!$C$15,$O242),$O242-max($O242-Valu!$C$15,0)/$R242*(AG$3-1))</f>
        <v>0.03</v>
      </c>
      <c r="AH242" s="962">
        <f>max(min(Valu!$C$15,$O242),$O242-max($O242-Valu!$C$15,0)/$R242*(AH$3-1))</f>
        <v>0.03</v>
      </c>
      <c r="AI242" s="962">
        <f>max(min(Valu!$C$15,$O242),$O242-max($O242-Valu!$C$15,0)/$R242*(AI$3-1))</f>
        <v>0.03</v>
      </c>
      <c r="AJ242" s="962">
        <f>max(min(Valu!$C$15,$O242),$O242-max($O242-Valu!$C$15,0)/$R242*(AJ$3-1))</f>
        <v>0.03</v>
      </c>
      <c r="AK242" s="962">
        <f>max(min(Valu!$C$15,$O242),$O242-max($O242-Valu!$C$15,0)/$R242*(AK$3-1))</f>
        <v>0.03</v>
      </c>
      <c r="AL242" s="962">
        <f>max(min(Valu!$C$15,$O242),$O242-max($O242-Valu!$C$15,0)/$R242*(AL$3-1))</f>
        <v>0.03</v>
      </c>
      <c r="AM242" s="962">
        <f>max(min(Valu!$C$15,$O242),$O242-max($O242-Valu!$C$15,0)/$R242*(AM$3-1))</f>
        <v>0.03</v>
      </c>
      <c r="AN242" s="962">
        <f>max(min(Valu!$C$15,$O242),$O242-max($O242-Valu!$C$15,0)/$R242*(AN$3-1))</f>
        <v>0.03</v>
      </c>
      <c r="AO242" s="962">
        <f>max(min(Valu!$C$15,$O242),$O242-max($O242-Valu!$C$15,0)/$R242*(AO$3-1))</f>
        <v>0.03</v>
      </c>
      <c r="AP242" s="962">
        <f>max(min(Valu!$C$14,$P242),$P242-max($P242-Valu!$C$14,0)/$R242*(AP$3-1))</f>
        <v>0.15</v>
      </c>
      <c r="AQ242" s="962">
        <f>max(min(Valu!$C$14,$P242),$P242-max($P242-Valu!$C$14,0)/$R242*(AQ$3-1))</f>
        <v>0.14625</v>
      </c>
      <c r="AR242" s="962">
        <f>max(min(Valu!$C$14,$P242),$P242-max($P242-Valu!$C$14,0)/$R242*(AR$3-1))</f>
        <v>0.1425</v>
      </c>
      <c r="AS242" s="962">
        <f>max(min(Valu!$C$14,$P242),$P242-max($P242-Valu!$C$14,0)/$R242*(AS$3-1))</f>
        <v>0.13875</v>
      </c>
      <c r="AT242" s="962">
        <f>max(min(Valu!$C$14,$P242),$P242-max($P242-Valu!$C$14,0)/$R242*(AT$3-1))</f>
        <v>0.135</v>
      </c>
      <c r="AU242" s="962">
        <f>max(min(Valu!$C$14,$P242),$P242-max($P242-Valu!$C$14,0)/$R242*(AU$3-1))</f>
        <v>0.13125</v>
      </c>
      <c r="AV242" s="962">
        <f>max(min(Valu!$C$14,$P242),$P242-max($P242-Valu!$C$14,0)/$R242*(AV$3-1))</f>
        <v>0.1275</v>
      </c>
      <c r="AW242" s="962">
        <f>max(min(Valu!$C$14,$P242),$P242-max($P242-Valu!$C$14,0)/$R242*(AW$3-1))</f>
        <v>0.12375</v>
      </c>
      <c r="AX242" s="962">
        <f>max(min(Valu!$C$14,$P242),$P242-max($P242-Valu!$C$14,0)/$R242*(AX$3-1))</f>
        <v>0.12</v>
      </c>
      <c r="AY242" s="962">
        <f>max(min(Valu!$C$14,$P242),$P242-max($P242-Valu!$C$14,0)/$R242*(AY$3-1))</f>
        <v>0.12</v>
      </c>
      <c r="AZ242" s="962">
        <f>max(min(Valu!$C$14,$P242),$P242-max($P242-Valu!$C$14,0)/$R242*(AZ$3-1))</f>
        <v>0.12</v>
      </c>
      <c r="BA242" s="962">
        <f>max(min(Valu!$C$14,$P242),$P242-max($P242-Valu!$C$14,0)/$R242*(BA$3-1))</f>
        <v>0.12</v>
      </c>
      <c r="BB242" s="962">
        <f>max(min(Valu!$C$14,$P242),$P242-max($P242-Valu!$C$14,0)/$R242*(BB$3-1))</f>
        <v>0.12</v>
      </c>
      <c r="BC242" s="962">
        <f>max(min(Valu!$C$14,$P242),$P242-max($P242-Valu!$C$14,0)/$R242*(BC$3-1))</f>
        <v>0.12</v>
      </c>
      <c r="BD242" s="962">
        <f>max(min(Valu!$C$14,$P242),$P242-max($P242-Valu!$C$14,0)/$R242*(BD$3-1))</f>
        <v>0.12</v>
      </c>
      <c r="BE242" s="962">
        <f>max(min(Valu!$C$14,$P242),$P242-max($P242-Valu!$C$14,0)/$R242*(BE$3-1))</f>
        <v>0.12</v>
      </c>
      <c r="BF242" s="962">
        <f>max(min(Valu!$C$14,$P242),$P242-max($P242-Valu!$C$14,0)/$R242*(BF$3-1))</f>
        <v>0.12</v>
      </c>
      <c r="BG242" s="962">
        <f>max(min(Valu!$C$14,$P242),$P242-max($P242-Valu!$C$14,0)/$R242*(BG$3-1))</f>
        <v>0.12</v>
      </c>
      <c r="BH242" s="962">
        <f>max(min(Valu!$C$14,$P242),$P242-max($P242-Valu!$C$14,0)/$R242*(BH$3-1))</f>
        <v>0.12</v>
      </c>
      <c r="BI242" s="962">
        <f>max(min(Valu!$C$14,$P242),$P242-max($P242-Valu!$C$14,0)/$R242*(BI$3-1))</f>
        <v>0.12</v>
      </c>
      <c r="BJ242" s="965">
        <f>N242</f>
        <v>4.937039051</v>
      </c>
      <c r="BK242" s="966">
        <f>$BJ242*(1+V242)</f>
        <v>5.183891004</v>
      </c>
      <c r="BL242" s="966">
        <f t="shared" ref="BL242:CC242" si="131">BK242*(1+W242)</f>
        <v>5.430125826</v>
      </c>
      <c r="BM242" s="966">
        <f t="shared" si="131"/>
        <v>5.674481489</v>
      </c>
      <c r="BN242" s="966">
        <f t="shared" si="131"/>
        <v>5.915646952</v>
      </c>
      <c r="BO242" s="966">
        <f t="shared" si="131"/>
        <v>6.15227283</v>
      </c>
      <c r="BP242" s="966">
        <f t="shared" si="131"/>
        <v>6.382983061</v>
      </c>
      <c r="BQ242" s="966">
        <f t="shared" si="131"/>
        <v>6.606387468</v>
      </c>
      <c r="BR242" s="966">
        <f t="shared" si="131"/>
        <v>6.821095061</v>
      </c>
      <c r="BS242" s="966">
        <f t="shared" si="131"/>
        <v>7.025727913</v>
      </c>
      <c r="BT242" s="966">
        <f t="shared" si="131"/>
        <v>7.23649975</v>
      </c>
      <c r="BU242" s="966">
        <f t="shared" si="131"/>
        <v>7.453594743</v>
      </c>
      <c r="BV242" s="966">
        <f t="shared" si="131"/>
        <v>7.677202585</v>
      </c>
      <c r="BW242" s="966">
        <f t="shared" si="131"/>
        <v>7.907518663</v>
      </c>
      <c r="BX242" s="966">
        <f t="shared" si="131"/>
        <v>8.144744222</v>
      </c>
      <c r="BY242" s="966">
        <f t="shared" si="131"/>
        <v>8.389086549</v>
      </c>
      <c r="BZ242" s="966">
        <f t="shared" si="131"/>
        <v>8.640759146</v>
      </c>
      <c r="CA242" s="966">
        <f t="shared" si="131"/>
        <v>8.89998192</v>
      </c>
      <c r="CB242" s="966">
        <f t="shared" si="131"/>
        <v>9.166981378</v>
      </c>
      <c r="CC242" s="966">
        <f t="shared" si="131"/>
        <v>9.441990819</v>
      </c>
      <c r="CD242" s="966">
        <f t="shared" ref="CD242:CW242" si="132">BJ242*(1-V242/AP242)</f>
        <v>3.291359367</v>
      </c>
      <c r="CE242" s="966">
        <f t="shared" si="132"/>
        <v>3.500234097</v>
      </c>
      <c r="CF242" s="966">
        <f t="shared" si="132"/>
        <v>3.71534925</v>
      </c>
      <c r="CG242" s="966">
        <f t="shared" si="132"/>
        <v>3.936352024</v>
      </c>
      <c r="CH242" s="966">
        <f t="shared" si="132"/>
        <v>4.16286267</v>
      </c>
      <c r="CI242" s="966">
        <f t="shared" si="132"/>
        <v>4.394480593</v>
      </c>
      <c r="CJ242" s="966">
        <f t="shared" si="132"/>
        <v>4.630791633</v>
      </c>
      <c r="CK242" s="966">
        <f t="shared" si="132"/>
        <v>4.871376618</v>
      </c>
      <c r="CL242" s="966">
        <f t="shared" si="132"/>
        <v>5.115821296</v>
      </c>
      <c r="CM242" s="966">
        <f t="shared" si="132"/>
        <v>5.269295935</v>
      </c>
      <c r="CN242" s="966">
        <f t="shared" si="132"/>
        <v>5.427374813</v>
      </c>
      <c r="CO242" s="966">
        <f t="shared" si="132"/>
        <v>5.590196057</v>
      </c>
      <c r="CP242" s="966">
        <f t="shared" si="132"/>
        <v>5.757901939</v>
      </c>
      <c r="CQ242" s="966">
        <f t="shared" si="132"/>
        <v>5.930638997</v>
      </c>
      <c r="CR242" s="966">
        <f t="shared" si="132"/>
        <v>6.108558167</v>
      </c>
      <c r="CS242" s="966">
        <f t="shared" si="132"/>
        <v>6.291814912</v>
      </c>
      <c r="CT242" s="966">
        <f t="shared" si="132"/>
        <v>6.480569359</v>
      </c>
      <c r="CU242" s="966">
        <f t="shared" si="132"/>
        <v>6.67498644</v>
      </c>
      <c r="CV242" s="966">
        <f t="shared" si="132"/>
        <v>6.875236033</v>
      </c>
      <c r="CW242" s="966">
        <f t="shared" si="132"/>
        <v>7.081493114</v>
      </c>
      <c r="CX242" s="966">
        <f>CW242*(1+min(Valu!$C$15,$O242))/(Valu!$C$21-min(Valu!$C$15,$O242))</f>
        <v>191.9457344</v>
      </c>
      <c r="CY242" s="966">
        <f>CD242/(1+Valu!$C$21)^CY$3</f>
        <v>3.081797161</v>
      </c>
      <c r="CZ242" s="966">
        <f>CE242/(1+Valu!$C$21)^CZ$3</f>
        <v>3.068701076</v>
      </c>
      <c r="DA242" s="966">
        <f>CF242/(1+Valu!$C$21)^DA$3</f>
        <v>3.049902012</v>
      </c>
      <c r="DB242" s="966">
        <f>CG242/(1+Valu!$C$21)^DB$3</f>
        <v>3.02558194</v>
      </c>
      <c r="DC242" s="966">
        <f>CH242/(1+Valu!$C$21)^DC$3</f>
        <v>2.995958689</v>
      </c>
      <c r="DD242" s="966">
        <f>CI242/(1+Valu!$C$21)^DD$3</f>
        <v>2.961283827</v>
      </c>
      <c r="DE242" s="966">
        <f>CJ242/(1+Valu!$C$21)^DE$3</f>
        <v>2.921840274</v>
      </c>
      <c r="DF242" s="966">
        <f>CK242/(1+Valu!$C$21)^DF$3</f>
        <v>2.877939671</v>
      </c>
      <c r="DG242" s="966">
        <f>CL242/(1+Valu!$C$21)^DG$3</f>
        <v>2.829919562</v>
      </c>
      <c r="DH242" s="966">
        <f>CM242/(1+Valu!$C$21)^DH$3</f>
        <v>2.72922954</v>
      </c>
      <c r="DI242" s="966">
        <f>CN242/(1+Valu!$C$21)^DI$3</f>
        <v>2.632122122</v>
      </c>
      <c r="DJ242" s="966">
        <f>CO242/(1+Valu!$C$21)^DJ$3</f>
        <v>2.538469836</v>
      </c>
      <c r="DK242" s="966">
        <f>CP242/(1+Valu!$C$21)^DK$3</f>
        <v>2.448149749</v>
      </c>
      <c r="DL242" s="966">
        <f>CQ242/(1+Valu!$C$21)^DL$3</f>
        <v>2.361043297</v>
      </c>
      <c r="DM242" s="966">
        <f>CR242/(1+Valu!$C$21)^DM$3</f>
        <v>2.277036138</v>
      </c>
      <c r="DN242" s="966">
        <f>CS242/(1+Valu!$C$21)^DN$3</f>
        <v>2.196017999</v>
      </c>
      <c r="DO242" s="966">
        <f>CT242/(1+Valu!$C$21)^DO$3</f>
        <v>2.117882527</v>
      </c>
      <c r="DP242" s="966">
        <f>CU242/(1+Valu!$C$21)^DP$3</f>
        <v>2.042527156</v>
      </c>
      <c r="DQ242" s="966">
        <f>CV242/(1+Valu!$C$21)^DQ$3</f>
        <v>1.969852969</v>
      </c>
      <c r="DR242" s="966">
        <f>CW242/(1+Valu!$C$21)^DR$3</f>
        <v>1.899764567</v>
      </c>
      <c r="DS242" s="966">
        <f>CX242/(1+Valu!$C$21)^DS$3</f>
        <v>51.49361853</v>
      </c>
      <c r="DT242" s="358"/>
      <c r="DU242" s="358"/>
      <c r="DV242" s="358"/>
      <c r="DW242" s="358"/>
    </row>
    <row r="243" ht="15.0" customHeight="1">
      <c r="A243" s="372">
        <v>40168.0</v>
      </c>
      <c r="B243" s="384" t="s">
        <v>3055</v>
      </c>
      <c r="C243" s="384" t="s">
        <v>3056</v>
      </c>
      <c r="D243" s="373">
        <v>178.0</v>
      </c>
      <c r="E243" s="374">
        <f>IFERROR(__xludf.DUMMYFUNCTION("if(and(D243&lt;&gt;0,D243&lt;&gt;""""),D243/GOOGLEFINANCE(C243,""price"")-1,"""")"),0.07170811006081035)</f>
        <v>0.07170811006</v>
      </c>
      <c r="F243" s="375">
        <f>IFERROR(__xludf.DUMMYFUNCTION("GOOGLEFINANCE(C243,""price"")"),166.09)</f>
        <v>166.09</v>
      </c>
      <c r="G243" s="374">
        <f t="shared" si="6"/>
        <v>0.211204115</v>
      </c>
      <c r="H243" s="376"/>
      <c r="I243" s="368">
        <f>N243*($I$1+O243*100)</f>
        <v>201.1688915</v>
      </c>
      <c r="J243" s="377">
        <v>10.64</v>
      </c>
      <c r="K243" s="377">
        <v>11.52</v>
      </c>
      <c r="L243" s="378">
        <v>43830.0</v>
      </c>
      <c r="M243" s="379">
        <f t="shared" si="7"/>
        <v>0.1798884219</v>
      </c>
      <c r="N243" s="380">
        <f t="shared" si="8"/>
        <v>11.36169819</v>
      </c>
      <c r="O243" s="370">
        <v>0.03</v>
      </c>
      <c r="P243" s="370"/>
      <c r="Q243" s="371"/>
      <c r="R243" s="378"/>
      <c r="S243" s="378">
        <v>43533.0</v>
      </c>
      <c r="T243" s="381" t="s">
        <v>1223</v>
      </c>
      <c r="U243" s="382" t="s">
        <v>3057</v>
      </c>
      <c r="V243" s="358"/>
      <c r="W243" s="358"/>
      <c r="X243" s="358"/>
      <c r="Y243" s="358"/>
      <c r="Z243" s="358"/>
      <c r="AA243" s="358"/>
      <c r="AB243" s="358"/>
      <c r="AC243" s="358"/>
      <c r="AD243" s="358"/>
      <c r="AE243" s="358"/>
      <c r="AF243" s="358"/>
      <c r="AG243" s="358"/>
      <c r="AH243" s="358"/>
      <c r="AI243" s="358"/>
      <c r="AJ243" s="358"/>
      <c r="AK243" s="358"/>
      <c r="AL243" s="358"/>
      <c r="AM243" s="358"/>
      <c r="AN243" s="358"/>
      <c r="AO243" s="358"/>
      <c r="AP243" s="358"/>
      <c r="AQ243" s="358"/>
      <c r="AR243" s="358"/>
      <c r="AS243" s="358"/>
      <c r="AT243" s="358"/>
      <c r="AU243" s="358"/>
      <c r="AV243" s="358"/>
      <c r="AW243" s="358"/>
      <c r="AX243" s="358"/>
      <c r="AY243" s="358"/>
      <c r="AZ243" s="358"/>
      <c r="BA243" s="358"/>
      <c r="BB243" s="358"/>
      <c r="BC243" s="358"/>
      <c r="BD243" s="358"/>
      <c r="BE243" s="358"/>
      <c r="BF243" s="358"/>
      <c r="BG243" s="358"/>
      <c r="BH243" s="358"/>
      <c r="BI243" s="358"/>
      <c r="BJ243" s="358"/>
      <c r="BK243" s="358"/>
      <c r="BL243" s="358"/>
      <c r="BM243" s="358"/>
      <c r="BN243" s="358"/>
      <c r="BO243" s="358"/>
      <c r="BP243" s="358"/>
      <c r="BQ243" s="358"/>
      <c r="BR243" s="358"/>
      <c r="BS243" s="358"/>
      <c r="BT243" s="358"/>
      <c r="BU243" s="358"/>
      <c r="BV243" s="358"/>
      <c r="BW243" s="358"/>
      <c r="BX243" s="358"/>
      <c r="BY243" s="358"/>
      <c r="BZ243" s="358"/>
      <c r="CA243" s="358"/>
      <c r="CB243" s="358"/>
      <c r="CC243" s="358"/>
      <c r="CD243" s="358"/>
      <c r="CE243" s="358"/>
      <c r="CF243" s="358"/>
      <c r="CG243" s="358"/>
      <c r="CH243" s="358"/>
      <c r="CI243" s="358"/>
      <c r="CJ243" s="358"/>
      <c r="CK243" s="358"/>
      <c r="CL243" s="358"/>
      <c r="CM243" s="358"/>
      <c r="CN243" s="358"/>
      <c r="CO243" s="358"/>
      <c r="CP243" s="358"/>
      <c r="CQ243" s="358"/>
      <c r="CR243" s="358"/>
      <c r="CS243" s="358"/>
      <c r="CT243" s="358"/>
      <c r="CU243" s="358"/>
      <c r="CV243" s="358"/>
      <c r="CW243" s="358"/>
      <c r="CX243" s="358"/>
      <c r="CY243" s="358"/>
      <c r="CZ243" s="358"/>
      <c r="DA243" s="358"/>
      <c r="DB243" s="358"/>
      <c r="DC243" s="358"/>
      <c r="DD243" s="358"/>
      <c r="DE243" s="358"/>
      <c r="DF243" s="358"/>
      <c r="DG243" s="358"/>
      <c r="DH243" s="358"/>
      <c r="DI243" s="358"/>
      <c r="DJ243" s="358"/>
      <c r="DK243" s="358"/>
      <c r="DL243" s="358"/>
      <c r="DM243" s="358"/>
      <c r="DN243" s="358"/>
      <c r="DO243" s="358"/>
      <c r="DP243" s="358"/>
      <c r="DQ243" s="358"/>
      <c r="DR243" s="358"/>
      <c r="DS243" s="358"/>
      <c r="DT243" s="358"/>
      <c r="DU243" s="358"/>
      <c r="DV243" s="358"/>
      <c r="DW243" s="358"/>
    </row>
    <row r="244" ht="15.0" customHeight="1">
      <c r="A244" s="440">
        <v>42780.0</v>
      </c>
      <c r="B244" s="427" t="s">
        <v>3058</v>
      </c>
      <c r="C244" s="427" t="s">
        <v>3059</v>
      </c>
      <c r="D244" s="495"/>
      <c r="E244" s="441" t="str">
        <f>IFERROR(__xludf.DUMMYFUNCTION("if(and(D244&lt;&gt;0,D244&lt;&gt;""""),D244/GOOGLEFINANCE(C244,""price"")-1,"""")"),"")</f>
        <v/>
      </c>
      <c r="F244" s="442">
        <f>IFERROR(__xludf.DUMMYFUNCTION("GOOGLEFINANCE(C244,""price"")"),75.04)</f>
        <v>75.04</v>
      </c>
      <c r="G244" s="441">
        <f t="shared" si="6"/>
        <v>-0.04255769472</v>
      </c>
      <c r="H244" s="443"/>
      <c r="I244" s="956">
        <f>3.31*($I$1+7)</f>
        <v>71.84647059</v>
      </c>
      <c r="J244" s="445"/>
      <c r="K244" s="445"/>
      <c r="L244" s="446"/>
      <c r="M244" s="447">
        <f t="shared" si="7"/>
        <v>-119.9023034</v>
      </c>
      <c r="N244" s="445">
        <f t="shared" si="8"/>
        <v>0</v>
      </c>
      <c r="O244" s="446"/>
      <c r="P244" s="978"/>
      <c r="Q244" s="979"/>
      <c r="R244" s="980"/>
      <c r="S244" s="980"/>
      <c r="T244" s="980"/>
      <c r="U244" s="981" t="s">
        <v>3061</v>
      </c>
      <c r="V244" s="427"/>
      <c r="W244" s="427"/>
      <c r="X244" s="427"/>
      <c r="Y244" s="427"/>
      <c r="Z244" s="427"/>
      <c r="AA244" s="427"/>
      <c r="AB244" s="427"/>
      <c r="AC244" s="427"/>
      <c r="AD244" s="427"/>
      <c r="AE244" s="427"/>
      <c r="AF244" s="427"/>
      <c r="AG244" s="427"/>
      <c r="AH244" s="427"/>
      <c r="AI244" s="427"/>
      <c r="AJ244" s="427"/>
      <c r="AK244" s="427"/>
      <c r="AL244" s="427"/>
      <c r="AM244" s="427"/>
      <c r="AN244" s="427"/>
      <c r="AO244" s="427"/>
      <c r="AP244" s="427"/>
      <c r="AQ244" s="427"/>
      <c r="AR244" s="427"/>
      <c r="AS244" s="427"/>
      <c r="AT244" s="427"/>
      <c r="AU244" s="427"/>
      <c r="AV244" s="427"/>
      <c r="AW244" s="427"/>
      <c r="AX244" s="427"/>
      <c r="AY244" s="427"/>
      <c r="AZ244" s="427"/>
      <c r="BA244" s="427"/>
      <c r="BB244" s="427"/>
      <c r="BC244" s="427"/>
      <c r="BD244" s="427"/>
      <c r="BE244" s="427"/>
      <c r="BF244" s="427"/>
      <c r="BG244" s="427"/>
      <c r="BH244" s="427"/>
      <c r="BI244" s="427"/>
      <c r="BJ244" s="427"/>
      <c r="BK244" s="427"/>
      <c r="BL244" s="427"/>
      <c r="BM244" s="427"/>
      <c r="BN244" s="427"/>
      <c r="BO244" s="427"/>
      <c r="BP244" s="427"/>
      <c r="BQ244" s="427"/>
      <c r="BR244" s="427"/>
      <c r="BS244" s="427"/>
      <c r="BT244" s="427"/>
      <c r="BU244" s="427"/>
      <c r="BV244" s="427"/>
      <c r="BW244" s="427"/>
      <c r="BX244" s="427"/>
      <c r="BY244" s="427"/>
      <c r="BZ244" s="427"/>
      <c r="CA244" s="427"/>
      <c r="CB244" s="427"/>
      <c r="CC244" s="427"/>
      <c r="CD244" s="427"/>
      <c r="CE244" s="427"/>
      <c r="CF244" s="427"/>
      <c r="CG244" s="427"/>
      <c r="CH244" s="427"/>
      <c r="CI244" s="427"/>
      <c r="CJ244" s="427"/>
      <c r="CK244" s="427"/>
      <c r="CL244" s="427"/>
      <c r="CM244" s="427"/>
      <c r="CN244" s="427"/>
      <c r="CO244" s="427"/>
      <c r="CP244" s="427"/>
      <c r="CQ244" s="427"/>
      <c r="CR244" s="427"/>
      <c r="CS244" s="427"/>
      <c r="CT244" s="427"/>
      <c r="CU244" s="427"/>
      <c r="CV244" s="427"/>
      <c r="CW244" s="427"/>
      <c r="CX244" s="427"/>
      <c r="CY244" s="427"/>
      <c r="CZ244" s="427"/>
      <c r="DA244" s="427"/>
      <c r="DB244" s="427"/>
      <c r="DC244" s="427"/>
      <c r="DD244" s="427"/>
      <c r="DE244" s="427"/>
      <c r="DF244" s="427"/>
      <c r="DG244" s="427"/>
      <c r="DH244" s="427"/>
      <c r="DI244" s="427"/>
      <c r="DJ244" s="427"/>
      <c r="DK244" s="427"/>
      <c r="DL244" s="427"/>
      <c r="DM244" s="427"/>
      <c r="DN244" s="427"/>
      <c r="DO244" s="427"/>
      <c r="DP244" s="427"/>
      <c r="DQ244" s="427"/>
      <c r="DR244" s="427"/>
      <c r="DS244" s="427"/>
      <c r="DT244" s="427"/>
      <c r="DU244" s="427"/>
      <c r="DV244" s="427"/>
      <c r="DW244" s="427"/>
    </row>
    <row r="245" ht="15.0" customHeight="1">
      <c r="A245" s="494">
        <v>41091.0</v>
      </c>
      <c r="B245" s="414" t="s">
        <v>3062</v>
      </c>
      <c r="C245" s="414" t="s">
        <v>3063</v>
      </c>
      <c r="D245" s="414"/>
      <c r="E245" s="441" t="str">
        <f>IFERROR(__xludf.DUMMYFUNCTION("if(and(D245&lt;&gt;0,D245&lt;&gt;""""),D245/GOOGLEFINANCE(C245,""price"")-1,"""")"),"")</f>
        <v/>
      </c>
      <c r="F245" s="442">
        <f>IFERROR(__xludf.DUMMYFUNCTION("GOOGLEFINANCE(C245,""price"")"),56.35)</f>
        <v>56.35</v>
      </c>
      <c r="G245" s="441">
        <f t="shared" si="6"/>
        <v>0.02040816327</v>
      </c>
      <c r="H245" s="443"/>
      <c r="I245" s="443">
        <f>2.3*25</f>
        <v>57.5</v>
      </c>
      <c r="J245" s="445"/>
      <c r="K245" s="445"/>
      <c r="L245" s="446"/>
      <c r="M245" s="447">
        <f t="shared" si="7"/>
        <v>-119.9023034</v>
      </c>
      <c r="N245" s="445">
        <f t="shared" si="8"/>
        <v>0</v>
      </c>
      <c r="O245" s="446"/>
      <c r="P245" s="448"/>
      <c r="Q245" s="447"/>
      <c r="R245" s="449"/>
      <c r="S245" s="449"/>
      <c r="T245" s="449"/>
      <c r="U245" s="450" t="s">
        <v>3064</v>
      </c>
      <c r="V245" s="414"/>
      <c r="W245" s="414"/>
      <c r="X245" s="414"/>
      <c r="Y245" s="414"/>
      <c r="Z245" s="414"/>
      <c r="AA245" s="414"/>
      <c r="AB245" s="414"/>
      <c r="AC245" s="414"/>
      <c r="AD245" s="414"/>
      <c r="AE245" s="414"/>
      <c r="AF245" s="414"/>
      <c r="AG245" s="414"/>
      <c r="AH245" s="414"/>
      <c r="AI245" s="414"/>
      <c r="AJ245" s="414"/>
      <c r="AK245" s="414"/>
      <c r="AL245" s="414"/>
      <c r="AM245" s="414"/>
      <c r="AN245" s="414"/>
      <c r="AO245" s="414"/>
      <c r="AP245" s="414"/>
      <c r="AQ245" s="414"/>
      <c r="AR245" s="414"/>
      <c r="AS245" s="414"/>
      <c r="AT245" s="414"/>
      <c r="AU245" s="414"/>
      <c r="AV245" s="414"/>
      <c r="AW245" s="414"/>
      <c r="AX245" s="414"/>
      <c r="AY245" s="414"/>
      <c r="AZ245" s="414"/>
      <c r="BA245" s="414"/>
      <c r="BB245" s="414"/>
      <c r="BC245" s="414"/>
      <c r="BD245" s="414"/>
      <c r="BE245" s="414"/>
      <c r="BF245" s="414"/>
      <c r="BG245" s="414"/>
      <c r="BH245" s="414"/>
      <c r="BI245" s="414"/>
      <c r="BJ245" s="414"/>
      <c r="BK245" s="414"/>
      <c r="BL245" s="414"/>
      <c r="BM245" s="414"/>
      <c r="BN245" s="414"/>
      <c r="BO245" s="414"/>
      <c r="BP245" s="414"/>
      <c r="BQ245" s="414"/>
      <c r="BR245" s="414"/>
      <c r="BS245" s="414"/>
      <c r="BT245" s="414"/>
      <c r="BU245" s="414"/>
      <c r="BV245" s="414"/>
      <c r="BW245" s="414"/>
      <c r="BX245" s="414"/>
      <c r="BY245" s="414"/>
      <c r="BZ245" s="414"/>
      <c r="CA245" s="414"/>
      <c r="CB245" s="414"/>
      <c r="CC245" s="414"/>
      <c r="CD245" s="414"/>
      <c r="CE245" s="414"/>
      <c r="CF245" s="414"/>
      <c r="CG245" s="414"/>
      <c r="CH245" s="414"/>
      <c r="CI245" s="414"/>
      <c r="CJ245" s="414"/>
      <c r="CK245" s="414"/>
      <c r="CL245" s="414"/>
      <c r="CM245" s="414"/>
      <c r="CN245" s="414"/>
      <c r="CO245" s="414"/>
      <c r="CP245" s="414"/>
      <c r="CQ245" s="414"/>
      <c r="CR245" s="414"/>
      <c r="CS245" s="414"/>
      <c r="CT245" s="414"/>
      <c r="CU245" s="414"/>
      <c r="CV245" s="414"/>
      <c r="CW245" s="414"/>
      <c r="CX245" s="414"/>
      <c r="CY245" s="414"/>
      <c r="CZ245" s="414"/>
      <c r="DA245" s="414"/>
      <c r="DB245" s="414"/>
      <c r="DC245" s="414"/>
      <c r="DD245" s="414"/>
      <c r="DE245" s="414"/>
      <c r="DF245" s="414"/>
      <c r="DG245" s="414"/>
      <c r="DH245" s="414"/>
      <c r="DI245" s="414"/>
      <c r="DJ245" s="414"/>
      <c r="DK245" s="414"/>
      <c r="DL245" s="414"/>
      <c r="DM245" s="414"/>
      <c r="DN245" s="414"/>
      <c r="DO245" s="414"/>
      <c r="DP245" s="414"/>
      <c r="DQ245" s="414"/>
      <c r="DR245" s="414"/>
      <c r="DS245" s="414"/>
      <c r="DT245" s="414"/>
      <c r="DU245" s="414"/>
      <c r="DV245" s="414"/>
      <c r="DW245" s="414"/>
    </row>
    <row r="246" ht="15.0" customHeight="1">
      <c r="A246" s="372">
        <v>43302.0</v>
      </c>
      <c r="B246" s="384" t="s">
        <v>3065</v>
      </c>
      <c r="C246" s="384" t="s">
        <v>3066</v>
      </c>
      <c r="D246" s="320"/>
      <c r="E246" s="374" t="str">
        <f>IFERROR(__xludf.DUMMYFUNCTION("if(and(D246&lt;&gt;0,D246&lt;&gt;""""),D246/GOOGLEFINANCE(C246,""price"")-1,"""")"),"")</f>
        <v/>
      </c>
      <c r="F246" s="375">
        <f>IFERROR(__xludf.DUMMYFUNCTION("GOOGLEFINANCE(C246,""price"")"),146.22)</f>
        <v>146.22</v>
      </c>
      <c r="G246" s="374">
        <f t="shared" si="6"/>
        <v>-0.4500949859</v>
      </c>
      <c r="H246" s="376"/>
      <c r="I246" s="368">
        <f>N246*($I$1+O246*100)</f>
        <v>80.40711117</v>
      </c>
      <c r="J246" s="385">
        <v>3.74</v>
      </c>
      <c r="K246" s="380">
        <f>J246*1.05</f>
        <v>3.927</v>
      </c>
      <c r="L246" s="409">
        <v>43465.0</v>
      </c>
      <c r="M246" s="379">
        <f t="shared" si="7"/>
        <v>-0.8201115781</v>
      </c>
      <c r="N246" s="380">
        <f t="shared" si="8"/>
        <v>4.080360865</v>
      </c>
      <c r="O246" s="390">
        <v>0.05</v>
      </c>
      <c r="P246" s="390"/>
      <c r="Q246" s="391"/>
      <c r="R246" s="409"/>
      <c r="S246" s="409">
        <v>43302.0</v>
      </c>
      <c r="T246" s="387" t="s">
        <v>1223</v>
      </c>
      <c r="U246" s="417" t="s">
        <v>3067</v>
      </c>
      <c r="V246" s="367"/>
      <c r="W246" s="367"/>
      <c r="X246" s="367"/>
      <c r="Y246" s="367"/>
      <c r="Z246" s="367"/>
      <c r="AA246" s="367"/>
      <c r="AB246" s="367"/>
      <c r="AC246" s="367"/>
      <c r="AD246" s="367"/>
      <c r="AE246" s="367"/>
      <c r="AF246" s="367"/>
      <c r="AG246" s="367"/>
      <c r="AH246" s="367"/>
      <c r="AI246" s="367"/>
      <c r="AJ246" s="367"/>
      <c r="AK246" s="367"/>
      <c r="AL246" s="367"/>
      <c r="AM246" s="367"/>
      <c r="AN246" s="367"/>
      <c r="AO246" s="367"/>
      <c r="AP246" s="367"/>
      <c r="AQ246" s="367"/>
      <c r="AR246" s="367"/>
      <c r="AS246" s="367"/>
      <c r="AT246" s="367"/>
      <c r="AU246" s="367"/>
      <c r="AV246" s="367"/>
      <c r="AW246" s="367"/>
      <c r="AX246" s="367"/>
      <c r="AY246" s="367"/>
      <c r="AZ246" s="367"/>
      <c r="BA246" s="367"/>
      <c r="BB246" s="367"/>
      <c r="BC246" s="367"/>
      <c r="BD246" s="367"/>
      <c r="BE246" s="367"/>
      <c r="BF246" s="367"/>
      <c r="BG246" s="367"/>
      <c r="BH246" s="367"/>
      <c r="BI246" s="367"/>
      <c r="BJ246" s="367"/>
      <c r="BK246" s="367"/>
      <c r="BL246" s="367"/>
      <c r="BM246" s="367"/>
      <c r="BN246" s="367"/>
      <c r="BO246" s="367"/>
      <c r="BP246" s="367"/>
      <c r="BQ246" s="367"/>
      <c r="BR246" s="367"/>
      <c r="BS246" s="367"/>
      <c r="BT246" s="367"/>
      <c r="BU246" s="367"/>
      <c r="BV246" s="367"/>
      <c r="BW246" s="367"/>
      <c r="BX246" s="367"/>
      <c r="BY246" s="367"/>
      <c r="BZ246" s="367"/>
      <c r="CA246" s="367"/>
      <c r="CB246" s="367"/>
      <c r="CC246" s="367"/>
      <c r="CD246" s="367"/>
      <c r="CE246" s="367"/>
      <c r="CF246" s="367"/>
      <c r="CG246" s="367"/>
      <c r="CH246" s="367"/>
      <c r="CI246" s="367"/>
      <c r="CJ246" s="367"/>
      <c r="CK246" s="367"/>
      <c r="CL246" s="367"/>
      <c r="CM246" s="367"/>
      <c r="CN246" s="367"/>
      <c r="CO246" s="367"/>
      <c r="CP246" s="367"/>
      <c r="CQ246" s="367"/>
      <c r="CR246" s="367"/>
      <c r="CS246" s="367"/>
      <c r="CT246" s="367"/>
      <c r="CU246" s="367"/>
      <c r="CV246" s="367"/>
      <c r="CW246" s="367"/>
      <c r="CX246" s="367"/>
      <c r="CY246" s="367"/>
      <c r="CZ246" s="367"/>
      <c r="DA246" s="367"/>
      <c r="DB246" s="367"/>
      <c r="DC246" s="367"/>
      <c r="DD246" s="367"/>
      <c r="DE246" s="367"/>
      <c r="DF246" s="367"/>
      <c r="DG246" s="367"/>
      <c r="DH246" s="367"/>
      <c r="DI246" s="367"/>
      <c r="DJ246" s="367"/>
      <c r="DK246" s="367"/>
      <c r="DL246" s="367"/>
      <c r="DM246" s="367"/>
      <c r="DN246" s="367"/>
      <c r="DO246" s="367"/>
      <c r="DP246" s="367"/>
      <c r="DQ246" s="367"/>
      <c r="DR246" s="367"/>
      <c r="DS246" s="367"/>
      <c r="DT246" s="367"/>
      <c r="DU246" s="367"/>
      <c r="DV246" s="367"/>
      <c r="DW246" s="367"/>
    </row>
    <row r="247" ht="15.0" customHeight="1">
      <c r="A247" s="383">
        <v>41590.0</v>
      </c>
      <c r="B247" s="320" t="s">
        <v>3068</v>
      </c>
      <c r="C247" s="320" t="s">
        <v>3069</v>
      </c>
      <c r="D247" s="320"/>
      <c r="E247" s="374" t="str">
        <f>IFERROR(__xludf.DUMMYFUNCTION("if(and(D247&lt;&gt;0,D247&lt;&gt;""""),D247/GOOGLEFINANCE(C247,""price"")-1,"""")"),"")</f>
        <v/>
      </c>
      <c r="F247" s="375">
        <f>IFERROR(__xludf.DUMMYFUNCTION("GOOGLEFINANCE(C247,""price"")"),20.54)</f>
        <v>20.54</v>
      </c>
      <c r="G247" s="374">
        <f t="shared" si="6"/>
        <v>0.6309639727</v>
      </c>
      <c r="H247" s="376"/>
      <c r="I247" s="376">
        <f>2.68*12.5</f>
        <v>33.5</v>
      </c>
      <c r="J247" s="380"/>
      <c r="K247" s="380"/>
      <c r="L247" s="389"/>
      <c r="M247" s="379">
        <f t="shared" si="7"/>
        <v>-119.9023034</v>
      </c>
      <c r="N247" s="380">
        <f t="shared" si="8"/>
        <v>0</v>
      </c>
      <c r="O247" s="389"/>
      <c r="P247" s="415"/>
      <c r="Q247" s="379"/>
      <c r="R247" s="416"/>
      <c r="S247" s="416"/>
      <c r="T247" s="416"/>
      <c r="U247" s="417" t="s">
        <v>3067</v>
      </c>
      <c r="V247" s="367"/>
      <c r="W247" s="367"/>
      <c r="X247" s="367"/>
      <c r="Y247" s="367"/>
      <c r="Z247" s="367"/>
      <c r="AA247" s="367"/>
      <c r="AB247" s="367"/>
      <c r="AC247" s="367"/>
      <c r="AD247" s="367"/>
      <c r="AE247" s="367"/>
      <c r="AF247" s="367"/>
      <c r="AG247" s="367"/>
      <c r="AH247" s="367"/>
      <c r="AI247" s="367"/>
      <c r="AJ247" s="367"/>
      <c r="AK247" s="367"/>
      <c r="AL247" s="367"/>
      <c r="AM247" s="367"/>
      <c r="AN247" s="367"/>
      <c r="AO247" s="367"/>
      <c r="AP247" s="367"/>
      <c r="AQ247" s="367"/>
      <c r="AR247" s="367"/>
      <c r="AS247" s="367"/>
      <c r="AT247" s="367"/>
      <c r="AU247" s="367"/>
      <c r="AV247" s="367"/>
      <c r="AW247" s="367"/>
      <c r="AX247" s="367"/>
      <c r="AY247" s="367"/>
      <c r="AZ247" s="367"/>
      <c r="BA247" s="367"/>
      <c r="BB247" s="367"/>
      <c r="BC247" s="367"/>
      <c r="BD247" s="367"/>
      <c r="BE247" s="367"/>
      <c r="BF247" s="367"/>
      <c r="BG247" s="367"/>
      <c r="BH247" s="367"/>
      <c r="BI247" s="367"/>
      <c r="BJ247" s="367"/>
      <c r="BK247" s="367"/>
      <c r="BL247" s="367"/>
      <c r="BM247" s="367"/>
      <c r="BN247" s="367"/>
      <c r="BO247" s="367"/>
      <c r="BP247" s="367"/>
      <c r="BQ247" s="367"/>
      <c r="BR247" s="367"/>
      <c r="BS247" s="367"/>
      <c r="BT247" s="367"/>
      <c r="BU247" s="367"/>
      <c r="BV247" s="367"/>
      <c r="BW247" s="367"/>
      <c r="BX247" s="367"/>
      <c r="BY247" s="367"/>
      <c r="BZ247" s="367"/>
      <c r="CA247" s="367"/>
      <c r="CB247" s="367"/>
      <c r="CC247" s="367"/>
      <c r="CD247" s="367"/>
      <c r="CE247" s="367"/>
      <c r="CF247" s="367"/>
      <c r="CG247" s="367"/>
      <c r="CH247" s="367"/>
      <c r="CI247" s="367"/>
      <c r="CJ247" s="367"/>
      <c r="CK247" s="367"/>
      <c r="CL247" s="367"/>
      <c r="CM247" s="367"/>
      <c r="CN247" s="367"/>
      <c r="CO247" s="367"/>
      <c r="CP247" s="367"/>
      <c r="CQ247" s="367"/>
      <c r="CR247" s="367"/>
      <c r="CS247" s="367"/>
      <c r="CT247" s="367"/>
      <c r="CU247" s="367"/>
      <c r="CV247" s="367"/>
      <c r="CW247" s="367"/>
      <c r="CX247" s="367"/>
      <c r="CY247" s="367"/>
      <c r="CZ247" s="367"/>
      <c r="DA247" s="367"/>
      <c r="DB247" s="367"/>
      <c r="DC247" s="367"/>
      <c r="DD247" s="367"/>
      <c r="DE247" s="367"/>
      <c r="DF247" s="367"/>
      <c r="DG247" s="367"/>
      <c r="DH247" s="367"/>
      <c r="DI247" s="367"/>
      <c r="DJ247" s="367"/>
      <c r="DK247" s="367"/>
      <c r="DL247" s="367"/>
      <c r="DM247" s="367"/>
      <c r="DN247" s="367"/>
      <c r="DO247" s="367"/>
      <c r="DP247" s="367"/>
      <c r="DQ247" s="367"/>
      <c r="DR247" s="367"/>
      <c r="DS247" s="367"/>
      <c r="DT247" s="367"/>
      <c r="DU247" s="367"/>
      <c r="DV247" s="367"/>
      <c r="DW247" s="367"/>
    </row>
    <row r="248" ht="15.0" customHeight="1">
      <c r="A248" s="383">
        <v>41290.0</v>
      </c>
      <c r="B248" s="320" t="s">
        <v>3070</v>
      </c>
      <c r="C248" s="320" t="s">
        <v>870</v>
      </c>
      <c r="D248" s="384">
        <v>25.0</v>
      </c>
      <c r="E248" s="374">
        <f>IFERROR(__xludf.DUMMYFUNCTION("if(and(D248&lt;&gt;0,D248&lt;&gt;""""),D248/GOOGLEFINANCE(C248,""price"")-1,"""")"),-0.6324069989707396)</f>
        <v>-0.632406999</v>
      </c>
      <c r="F248" s="375">
        <f>IFERROR(__xludf.DUMMYFUNCTION("GOOGLEFINANCE(C248,""price"")"),68.01)</f>
        <v>68.01</v>
      </c>
      <c r="G248" s="374">
        <f t="shared" si="6"/>
        <v>0.02117335686</v>
      </c>
      <c r="H248" s="376">
        <v>50.0</v>
      </c>
      <c r="I248" s="376">
        <f>4.63*15</f>
        <v>69.45</v>
      </c>
      <c r="J248" s="380"/>
      <c r="K248" s="380"/>
      <c r="L248" s="389"/>
      <c r="M248" s="379">
        <f t="shared" si="7"/>
        <v>-119.9023034</v>
      </c>
      <c r="N248" s="380">
        <f t="shared" si="8"/>
        <v>0</v>
      </c>
      <c r="O248" s="389"/>
      <c r="P248" s="415"/>
      <c r="Q248" s="379"/>
      <c r="R248" s="416"/>
      <c r="S248" s="416"/>
      <c r="T248" s="416"/>
      <c r="U248" s="417" t="s">
        <v>3071</v>
      </c>
      <c r="V248" s="367"/>
      <c r="W248" s="367"/>
      <c r="X248" s="367"/>
      <c r="Y248" s="367"/>
      <c r="Z248" s="367"/>
      <c r="AA248" s="367"/>
      <c r="AB248" s="367"/>
      <c r="AC248" s="367"/>
      <c r="AD248" s="367"/>
      <c r="AE248" s="367"/>
      <c r="AF248" s="367"/>
      <c r="AG248" s="367"/>
      <c r="AH248" s="367"/>
      <c r="AI248" s="367"/>
      <c r="AJ248" s="367"/>
      <c r="AK248" s="367"/>
      <c r="AL248" s="367"/>
      <c r="AM248" s="367"/>
      <c r="AN248" s="367"/>
      <c r="AO248" s="367"/>
      <c r="AP248" s="367"/>
      <c r="AQ248" s="367"/>
      <c r="AR248" s="367"/>
      <c r="AS248" s="367"/>
      <c r="AT248" s="367"/>
      <c r="AU248" s="367"/>
      <c r="AV248" s="367"/>
      <c r="AW248" s="367"/>
      <c r="AX248" s="367"/>
      <c r="AY248" s="367"/>
      <c r="AZ248" s="367"/>
      <c r="BA248" s="367"/>
      <c r="BB248" s="367"/>
      <c r="BC248" s="367"/>
      <c r="BD248" s="367"/>
      <c r="BE248" s="367"/>
      <c r="BF248" s="367"/>
      <c r="BG248" s="367"/>
      <c r="BH248" s="367"/>
      <c r="BI248" s="367"/>
      <c r="BJ248" s="367"/>
      <c r="BK248" s="367"/>
      <c r="BL248" s="367"/>
      <c r="BM248" s="367"/>
      <c r="BN248" s="367"/>
      <c r="BO248" s="367"/>
      <c r="BP248" s="367"/>
      <c r="BQ248" s="367"/>
      <c r="BR248" s="367"/>
      <c r="BS248" s="367"/>
      <c r="BT248" s="367"/>
      <c r="BU248" s="367"/>
      <c r="BV248" s="367"/>
      <c r="BW248" s="367"/>
      <c r="BX248" s="367"/>
      <c r="BY248" s="367"/>
      <c r="BZ248" s="367"/>
      <c r="CA248" s="367"/>
      <c r="CB248" s="367"/>
      <c r="CC248" s="367"/>
      <c r="CD248" s="367"/>
      <c r="CE248" s="367"/>
      <c r="CF248" s="367"/>
      <c r="CG248" s="367"/>
      <c r="CH248" s="367"/>
      <c r="CI248" s="367"/>
      <c r="CJ248" s="367"/>
      <c r="CK248" s="367"/>
      <c r="CL248" s="367"/>
      <c r="CM248" s="367"/>
      <c r="CN248" s="367"/>
      <c r="CO248" s="367"/>
      <c r="CP248" s="367"/>
      <c r="CQ248" s="367"/>
      <c r="CR248" s="367"/>
      <c r="CS248" s="367"/>
      <c r="CT248" s="367"/>
      <c r="CU248" s="367"/>
      <c r="CV248" s="367"/>
      <c r="CW248" s="367"/>
      <c r="CX248" s="367"/>
      <c r="CY248" s="367"/>
      <c r="CZ248" s="367"/>
      <c r="DA248" s="367"/>
      <c r="DB248" s="367"/>
      <c r="DC248" s="367"/>
      <c r="DD248" s="367"/>
      <c r="DE248" s="367"/>
      <c r="DF248" s="367"/>
      <c r="DG248" s="367"/>
      <c r="DH248" s="367"/>
      <c r="DI248" s="367"/>
      <c r="DJ248" s="367"/>
      <c r="DK248" s="367"/>
      <c r="DL248" s="367"/>
      <c r="DM248" s="367"/>
      <c r="DN248" s="367"/>
      <c r="DO248" s="367"/>
      <c r="DP248" s="367"/>
      <c r="DQ248" s="367"/>
      <c r="DR248" s="367"/>
      <c r="DS248" s="367"/>
      <c r="DT248" s="367"/>
      <c r="DU248" s="367"/>
      <c r="DV248" s="367"/>
      <c r="DW248" s="367"/>
    </row>
    <row r="249" ht="15.0" customHeight="1">
      <c r="A249" s="388">
        <v>43552.0</v>
      </c>
      <c r="B249" s="373" t="s">
        <v>1439</v>
      </c>
      <c r="C249" s="373" t="s">
        <v>1439</v>
      </c>
      <c r="D249" s="373">
        <f>min(155,I249)</f>
        <v>155</v>
      </c>
      <c r="E249" s="374">
        <f>IFERROR(__xludf.DUMMYFUNCTION("if(and(D249&lt;&gt;0,D249&lt;&gt;""""),D249/GOOGLEFINANCE(C249,""price"")-1,"""")"),-0.30243024302430244)</f>
        <v>-0.302430243</v>
      </c>
      <c r="F249" s="375">
        <f>IFERROR(__xludf.DUMMYFUNCTION("GOOGLEFINANCE(C249,""price"")"),222.2)</f>
        <v>222.2</v>
      </c>
      <c r="G249" s="374">
        <f t="shared" si="6"/>
        <v>-0.2460475326</v>
      </c>
      <c r="H249" s="376"/>
      <c r="I249" s="376">
        <f>N249*($I$1+O249*100)</f>
        <v>167.5282383</v>
      </c>
      <c r="J249" s="377">
        <v>6.01</v>
      </c>
      <c r="K249" s="377">
        <v>6.95</v>
      </c>
      <c r="L249" s="378">
        <v>43830.0</v>
      </c>
      <c r="M249" s="379">
        <f t="shared" si="7"/>
        <v>0.1798884236</v>
      </c>
      <c r="N249" s="380">
        <f t="shared" si="8"/>
        <v>6.780904882</v>
      </c>
      <c r="O249" s="370">
        <v>0.1</v>
      </c>
      <c r="P249" s="370"/>
      <c r="Q249" s="371"/>
      <c r="R249" s="378"/>
      <c r="S249" s="378">
        <v>43552.0</v>
      </c>
      <c r="T249" s="387" t="s">
        <v>1240</v>
      </c>
      <c r="U249" s="382" t="s">
        <v>3072</v>
      </c>
      <c r="V249" s="358"/>
      <c r="W249" s="358"/>
      <c r="X249" s="358"/>
      <c r="Y249" s="358"/>
      <c r="Z249" s="358"/>
      <c r="AA249" s="358"/>
      <c r="AB249" s="358"/>
      <c r="AC249" s="358"/>
      <c r="AD249" s="358"/>
      <c r="AE249" s="358"/>
      <c r="AF249" s="358"/>
      <c r="AG249" s="358"/>
      <c r="AH249" s="358"/>
      <c r="AI249" s="358"/>
      <c r="AJ249" s="358"/>
      <c r="AK249" s="358"/>
      <c r="AL249" s="358"/>
      <c r="AM249" s="358"/>
      <c r="AN249" s="358"/>
      <c r="AO249" s="358"/>
      <c r="AP249" s="358"/>
      <c r="AQ249" s="358"/>
      <c r="AR249" s="358"/>
      <c r="AS249" s="358"/>
      <c r="AT249" s="358"/>
      <c r="AU249" s="358"/>
      <c r="AV249" s="358"/>
      <c r="AW249" s="358"/>
      <c r="AX249" s="358"/>
      <c r="AY249" s="358"/>
      <c r="AZ249" s="358"/>
      <c r="BA249" s="358"/>
      <c r="BB249" s="358"/>
      <c r="BC249" s="358"/>
      <c r="BD249" s="358"/>
      <c r="BE249" s="358"/>
      <c r="BF249" s="358"/>
      <c r="BG249" s="358"/>
      <c r="BH249" s="358"/>
      <c r="BI249" s="358"/>
      <c r="BJ249" s="358"/>
      <c r="BK249" s="358"/>
      <c r="BL249" s="358"/>
      <c r="BM249" s="358"/>
      <c r="BN249" s="358"/>
      <c r="BO249" s="358"/>
      <c r="BP249" s="358"/>
      <c r="BQ249" s="358"/>
      <c r="BR249" s="358"/>
      <c r="BS249" s="358"/>
      <c r="BT249" s="358"/>
      <c r="BU249" s="358"/>
      <c r="BV249" s="358"/>
      <c r="BW249" s="358"/>
      <c r="BX249" s="358"/>
      <c r="BY249" s="358"/>
      <c r="BZ249" s="358"/>
      <c r="CA249" s="358"/>
      <c r="CB249" s="358"/>
      <c r="CC249" s="358"/>
      <c r="CD249" s="358"/>
      <c r="CE249" s="358"/>
      <c r="CF249" s="358"/>
      <c r="CG249" s="358"/>
      <c r="CH249" s="358"/>
      <c r="CI249" s="358"/>
      <c r="CJ249" s="358"/>
      <c r="CK249" s="358"/>
      <c r="CL249" s="358"/>
      <c r="CM249" s="358"/>
      <c r="CN249" s="358"/>
      <c r="CO249" s="358"/>
      <c r="CP249" s="358"/>
      <c r="CQ249" s="358"/>
      <c r="CR249" s="358"/>
      <c r="CS249" s="358"/>
      <c r="CT249" s="358"/>
      <c r="CU249" s="358"/>
      <c r="CV249" s="358"/>
      <c r="CW249" s="358"/>
      <c r="CX249" s="358"/>
      <c r="CY249" s="358"/>
      <c r="CZ249" s="358"/>
      <c r="DA249" s="358"/>
      <c r="DB249" s="358"/>
      <c r="DC249" s="358"/>
      <c r="DD249" s="358"/>
      <c r="DE249" s="358"/>
      <c r="DF249" s="358"/>
      <c r="DG249" s="358"/>
      <c r="DH249" s="358"/>
      <c r="DI249" s="358"/>
      <c r="DJ249" s="358"/>
      <c r="DK249" s="358"/>
      <c r="DL249" s="358"/>
      <c r="DM249" s="358"/>
      <c r="DN249" s="358"/>
      <c r="DO249" s="358"/>
      <c r="DP249" s="358"/>
      <c r="DQ249" s="358"/>
      <c r="DR249" s="358"/>
      <c r="DS249" s="358"/>
      <c r="DT249" s="358"/>
      <c r="DU249" s="358"/>
      <c r="DV249" s="358"/>
      <c r="DW249" s="358"/>
    </row>
    <row r="250" ht="15.0" customHeight="1">
      <c r="A250" s="383">
        <v>40437.0</v>
      </c>
      <c r="B250" s="320" t="s">
        <v>3073</v>
      </c>
      <c r="C250" s="320" t="s">
        <v>1040</v>
      </c>
      <c r="D250" s="373">
        <v>111.0</v>
      </c>
      <c r="E250" s="374">
        <f>IFERROR(__xludf.DUMMYFUNCTION("if(and(D250&lt;&gt;0,D250&lt;&gt;""""),D250/GOOGLEFINANCE(C250,""price"")-1,"""")"),-0.21125559582178632)</f>
        <v>-0.2112555958</v>
      </c>
      <c r="F250" s="375">
        <f>IFERROR(__xludf.DUMMYFUNCTION("GOOGLEFINANCE(C250,""price"")"),140.73)</f>
        <v>140.73</v>
      </c>
      <c r="G250" s="374">
        <f t="shared" si="6"/>
        <v>0.09645148121</v>
      </c>
      <c r="H250" s="376"/>
      <c r="I250" s="368">
        <f>sum(CY250:DS250)</f>
        <v>154.303617</v>
      </c>
      <c r="J250" s="377">
        <v>5.23</v>
      </c>
      <c r="K250" s="377">
        <v>5.91</v>
      </c>
      <c r="L250" s="378">
        <v>44012.0</v>
      </c>
      <c r="M250" s="379">
        <f t="shared" si="7"/>
        <v>0.6785185655</v>
      </c>
      <c r="N250" s="380">
        <f t="shared" si="8"/>
        <v>5.448607375</v>
      </c>
      <c r="O250" s="370">
        <v>0.15</v>
      </c>
      <c r="P250" s="370">
        <v>0.2</v>
      </c>
      <c r="Q250" s="371">
        <f>I250/N250</f>
        <v>28.31982676</v>
      </c>
      <c r="R250" s="381">
        <v>8.0</v>
      </c>
      <c r="S250" s="378">
        <v>43745.0</v>
      </c>
      <c r="T250" s="387" t="s">
        <v>1240</v>
      </c>
      <c r="U250" s="382" t="s">
        <v>3074</v>
      </c>
      <c r="V250" s="961">
        <f>O250</f>
        <v>0.15</v>
      </c>
      <c r="W250" s="962">
        <f>max(min(Valu!$C$15,$O250),$O250-max($O250-Valu!$C$15,0)/$R250*(W$3-1))</f>
        <v>0.135</v>
      </c>
      <c r="X250" s="962">
        <f>max(min(Valu!$C$15,$O250),$O250-max($O250-Valu!$C$15,0)/$R250*(X$3-1))</f>
        <v>0.12</v>
      </c>
      <c r="Y250" s="962">
        <f>max(min(Valu!$C$15,$O250),$O250-max($O250-Valu!$C$15,0)/$R250*(Y$3-1))</f>
        <v>0.105</v>
      </c>
      <c r="Z250" s="962">
        <f>max(min(Valu!$C$15,$O250),$O250-max($O250-Valu!$C$15,0)/$R250*(Z$3-1))</f>
        <v>0.09</v>
      </c>
      <c r="AA250" s="962">
        <f>max(min(Valu!$C$15,$O250),$O250-max($O250-Valu!$C$15,0)/$R250*(AA$3-1))</f>
        <v>0.075</v>
      </c>
      <c r="AB250" s="962">
        <f>max(min(Valu!$C$15,$O250),$O250-max($O250-Valu!$C$15,0)/$R250*(AB$3-1))</f>
        <v>0.06</v>
      </c>
      <c r="AC250" s="962">
        <f>max(min(Valu!$C$15,$O250),$O250-max($O250-Valu!$C$15,0)/$R250*(AC$3-1))</f>
        <v>0.045</v>
      </c>
      <c r="AD250" s="962">
        <f>max(min(Valu!$C$15,$O250),$O250-max($O250-Valu!$C$15,0)/$R250*(AD$3-1))</f>
        <v>0.03</v>
      </c>
      <c r="AE250" s="962">
        <f>max(min(Valu!$C$15,$O250),$O250-max($O250-Valu!$C$15,0)/$R250*(AE$3-1))</f>
        <v>0.03</v>
      </c>
      <c r="AF250" s="962">
        <f>max(min(Valu!$C$15,$O250),$O250-max($O250-Valu!$C$15,0)/$R250*(AF$3-1))</f>
        <v>0.03</v>
      </c>
      <c r="AG250" s="962">
        <f>max(min(Valu!$C$15,$O250),$O250-max($O250-Valu!$C$15,0)/$R250*(AG$3-1))</f>
        <v>0.03</v>
      </c>
      <c r="AH250" s="962">
        <f>max(min(Valu!$C$15,$O250),$O250-max($O250-Valu!$C$15,0)/$R250*(AH$3-1))</f>
        <v>0.03</v>
      </c>
      <c r="AI250" s="962">
        <f>max(min(Valu!$C$15,$O250),$O250-max($O250-Valu!$C$15,0)/$R250*(AI$3-1))</f>
        <v>0.03</v>
      </c>
      <c r="AJ250" s="962">
        <f>max(min(Valu!$C$15,$O250),$O250-max($O250-Valu!$C$15,0)/$R250*(AJ$3-1))</f>
        <v>0.03</v>
      </c>
      <c r="AK250" s="962">
        <f>max(min(Valu!$C$15,$O250),$O250-max($O250-Valu!$C$15,0)/$R250*(AK$3-1))</f>
        <v>0.03</v>
      </c>
      <c r="AL250" s="962">
        <f>max(min(Valu!$C$15,$O250),$O250-max($O250-Valu!$C$15,0)/$R250*(AL$3-1))</f>
        <v>0.03</v>
      </c>
      <c r="AM250" s="962">
        <f>max(min(Valu!$C$15,$O250),$O250-max($O250-Valu!$C$15,0)/$R250*(AM$3-1))</f>
        <v>0.03</v>
      </c>
      <c r="AN250" s="962">
        <f>max(min(Valu!$C$15,$O250),$O250-max($O250-Valu!$C$15,0)/$R250*(AN$3-1))</f>
        <v>0.03</v>
      </c>
      <c r="AO250" s="962">
        <f>max(min(Valu!$C$15,$O250),$O250-max($O250-Valu!$C$15,0)/$R250*(AO$3-1))</f>
        <v>0.03</v>
      </c>
      <c r="AP250" s="962">
        <f>max(min(Valu!$C$14,$P250),$P250-max($P250-Valu!$C$14,0)/$R250*(AP$3-1))</f>
        <v>0.2</v>
      </c>
      <c r="AQ250" s="962">
        <f>max(min(Valu!$C$14,$P250),$P250-max($P250-Valu!$C$14,0)/$R250*(AQ$3-1))</f>
        <v>0.19</v>
      </c>
      <c r="AR250" s="962">
        <f>max(min(Valu!$C$14,$P250),$P250-max($P250-Valu!$C$14,0)/$R250*(AR$3-1))</f>
        <v>0.18</v>
      </c>
      <c r="AS250" s="962">
        <f>max(min(Valu!$C$14,$P250),$P250-max($P250-Valu!$C$14,0)/$R250*(AS$3-1))</f>
        <v>0.17</v>
      </c>
      <c r="AT250" s="962">
        <f>max(min(Valu!$C$14,$P250),$P250-max($P250-Valu!$C$14,0)/$R250*(AT$3-1))</f>
        <v>0.16</v>
      </c>
      <c r="AU250" s="962">
        <f>max(min(Valu!$C$14,$P250),$P250-max($P250-Valu!$C$14,0)/$R250*(AU$3-1))</f>
        <v>0.15</v>
      </c>
      <c r="AV250" s="962">
        <f>max(min(Valu!$C$14,$P250),$P250-max($P250-Valu!$C$14,0)/$R250*(AV$3-1))</f>
        <v>0.14</v>
      </c>
      <c r="AW250" s="962">
        <f>max(min(Valu!$C$14,$P250),$P250-max($P250-Valu!$C$14,0)/$R250*(AW$3-1))</f>
        <v>0.13</v>
      </c>
      <c r="AX250" s="962">
        <f>max(min(Valu!$C$14,$P250),$P250-max($P250-Valu!$C$14,0)/$R250*(AX$3-1))</f>
        <v>0.12</v>
      </c>
      <c r="AY250" s="962">
        <f>max(min(Valu!$C$14,$P250),$P250-max($P250-Valu!$C$14,0)/$R250*(AY$3-1))</f>
        <v>0.12</v>
      </c>
      <c r="AZ250" s="962">
        <f>max(min(Valu!$C$14,$P250),$P250-max($P250-Valu!$C$14,0)/$R250*(AZ$3-1))</f>
        <v>0.12</v>
      </c>
      <c r="BA250" s="962">
        <f>max(min(Valu!$C$14,$P250),$P250-max($P250-Valu!$C$14,0)/$R250*(BA$3-1))</f>
        <v>0.12</v>
      </c>
      <c r="BB250" s="962">
        <f>max(min(Valu!$C$14,$P250),$P250-max($P250-Valu!$C$14,0)/$R250*(BB$3-1))</f>
        <v>0.12</v>
      </c>
      <c r="BC250" s="962">
        <f>max(min(Valu!$C$14,$P250),$P250-max($P250-Valu!$C$14,0)/$R250*(BC$3-1))</f>
        <v>0.12</v>
      </c>
      <c r="BD250" s="962">
        <f>max(min(Valu!$C$14,$P250),$P250-max($P250-Valu!$C$14,0)/$R250*(BD$3-1))</f>
        <v>0.12</v>
      </c>
      <c r="BE250" s="962">
        <f>max(min(Valu!$C$14,$P250),$P250-max($P250-Valu!$C$14,0)/$R250*(BE$3-1))</f>
        <v>0.12</v>
      </c>
      <c r="BF250" s="962">
        <f>max(min(Valu!$C$14,$P250),$P250-max($P250-Valu!$C$14,0)/$R250*(BF$3-1))</f>
        <v>0.12</v>
      </c>
      <c r="BG250" s="962">
        <f>max(min(Valu!$C$14,$P250),$P250-max($P250-Valu!$C$14,0)/$R250*(BG$3-1))</f>
        <v>0.12</v>
      </c>
      <c r="BH250" s="962">
        <f>max(min(Valu!$C$14,$P250),$P250-max($P250-Valu!$C$14,0)/$R250*(BH$3-1))</f>
        <v>0.12</v>
      </c>
      <c r="BI250" s="962">
        <f>max(min(Valu!$C$14,$P250),$P250-max($P250-Valu!$C$14,0)/$R250*(BI$3-1))</f>
        <v>0.12</v>
      </c>
      <c r="BJ250" s="965">
        <f>N250</f>
        <v>5.448607375</v>
      </c>
      <c r="BK250" s="966">
        <f>$BJ250*(1+V250)</f>
        <v>6.265898482</v>
      </c>
      <c r="BL250" s="966">
        <f t="shared" ref="BL250:CC250" si="133">BK250*(1+W250)</f>
        <v>7.111794777</v>
      </c>
      <c r="BM250" s="966">
        <f t="shared" si="133"/>
        <v>7.96521015</v>
      </c>
      <c r="BN250" s="966">
        <f t="shared" si="133"/>
        <v>8.801557216</v>
      </c>
      <c r="BO250" s="966">
        <f t="shared" si="133"/>
        <v>9.593697365</v>
      </c>
      <c r="BP250" s="966">
        <f t="shared" si="133"/>
        <v>10.31322467</v>
      </c>
      <c r="BQ250" s="966">
        <f t="shared" si="133"/>
        <v>10.93201815</v>
      </c>
      <c r="BR250" s="966">
        <f t="shared" si="133"/>
        <v>11.42395896</v>
      </c>
      <c r="BS250" s="966">
        <f t="shared" si="133"/>
        <v>11.76667773</v>
      </c>
      <c r="BT250" s="966">
        <f t="shared" si="133"/>
        <v>12.11967807</v>
      </c>
      <c r="BU250" s="966">
        <f t="shared" si="133"/>
        <v>12.48326841</v>
      </c>
      <c r="BV250" s="966">
        <f t="shared" si="133"/>
        <v>12.85776646</v>
      </c>
      <c r="BW250" s="966">
        <f t="shared" si="133"/>
        <v>13.24349945</v>
      </c>
      <c r="BX250" s="966">
        <f t="shared" si="133"/>
        <v>13.64080444</v>
      </c>
      <c r="BY250" s="966">
        <f t="shared" si="133"/>
        <v>14.05002857</v>
      </c>
      <c r="BZ250" s="966">
        <f t="shared" si="133"/>
        <v>14.47152943</v>
      </c>
      <c r="CA250" s="966">
        <f t="shared" si="133"/>
        <v>14.90567531</v>
      </c>
      <c r="CB250" s="966">
        <f t="shared" si="133"/>
        <v>15.35284557</v>
      </c>
      <c r="CC250" s="966">
        <f t="shared" si="133"/>
        <v>15.81343094</v>
      </c>
      <c r="CD250" s="966">
        <f t="shared" ref="CD250:CW250" si="134">BJ250*(1-V250/AP250)</f>
        <v>1.362151844</v>
      </c>
      <c r="CE250" s="966">
        <f t="shared" si="134"/>
        <v>1.813812718</v>
      </c>
      <c r="CF250" s="966">
        <f t="shared" si="134"/>
        <v>2.370598259</v>
      </c>
      <c r="CG250" s="966">
        <f t="shared" si="134"/>
        <v>3.045521528</v>
      </c>
      <c r="CH250" s="966">
        <f t="shared" si="134"/>
        <v>3.850681282</v>
      </c>
      <c r="CI250" s="966">
        <f t="shared" si="134"/>
        <v>4.796848683</v>
      </c>
      <c r="CJ250" s="966">
        <f t="shared" si="134"/>
        <v>5.893271239</v>
      </c>
      <c r="CK250" s="966">
        <f t="shared" si="134"/>
        <v>7.14785802</v>
      </c>
      <c r="CL250" s="966">
        <f t="shared" si="134"/>
        <v>8.567969223</v>
      </c>
      <c r="CM250" s="966">
        <f t="shared" si="134"/>
        <v>8.8250083</v>
      </c>
      <c r="CN250" s="966">
        <f t="shared" si="134"/>
        <v>9.089758549</v>
      </c>
      <c r="CO250" s="966">
        <f t="shared" si="134"/>
        <v>9.362451305</v>
      </c>
      <c r="CP250" s="966">
        <f t="shared" si="134"/>
        <v>9.643324845</v>
      </c>
      <c r="CQ250" s="966">
        <f t="shared" si="134"/>
        <v>9.93262459</v>
      </c>
      <c r="CR250" s="966">
        <f t="shared" si="134"/>
        <v>10.23060333</v>
      </c>
      <c r="CS250" s="966">
        <f t="shared" si="134"/>
        <v>10.53752143</v>
      </c>
      <c r="CT250" s="966">
        <f t="shared" si="134"/>
        <v>10.85364707</v>
      </c>
      <c r="CU250" s="966">
        <f t="shared" si="134"/>
        <v>11.17925648</v>
      </c>
      <c r="CV250" s="966">
        <f t="shared" si="134"/>
        <v>11.51463418</v>
      </c>
      <c r="CW250" s="966">
        <f t="shared" si="134"/>
        <v>11.8600732</v>
      </c>
      <c r="CX250" s="966">
        <f>CW250*(1+min(Valu!$C$15,$O250))/(Valu!$C$21-min(Valu!$C$15,$O250))</f>
        <v>321.4704052</v>
      </c>
      <c r="CY250" s="966">
        <f>CD250/(1+Valu!$C$21)^CY$3</f>
        <v>1.275423075</v>
      </c>
      <c r="CZ250" s="966">
        <f>CE250/(1+Valu!$C$21)^CZ$3</f>
        <v>1.590193366</v>
      </c>
      <c r="DA250" s="966">
        <f>CF250/(1+Valu!$C$21)^DA$3</f>
        <v>1.946006126</v>
      </c>
      <c r="DB250" s="966">
        <f>CG250/(1+Valu!$C$21)^DB$3</f>
        <v>2.340866589</v>
      </c>
      <c r="DC250" s="966">
        <f>CH250/(1+Valu!$C$21)^DC$3</f>
        <v>2.771285761</v>
      </c>
      <c r="DD250" s="966">
        <f>CI250/(1+Valu!$C$21)^DD$3</f>
        <v>3.23242534</v>
      </c>
      <c r="DE250" s="966">
        <f>CJ250/(1+Valu!$C$21)^DE$3</f>
        <v>3.718413312</v>
      </c>
      <c r="DF250" s="966">
        <f>CK250/(1+Valu!$C$21)^DF$3</f>
        <v>4.222852341</v>
      </c>
      <c r="DG250" s="966">
        <f>CL250/(1+Valu!$C$21)^DG$3</f>
        <v>4.7395447</v>
      </c>
      <c r="DH250" s="966">
        <f>CM250/(1+Valu!$C$21)^DH$3</f>
        <v>4.570909214</v>
      </c>
      <c r="DI250" s="966">
        <f>CN250/(1+Valu!$C$21)^DI$3</f>
        <v>4.408273868</v>
      </c>
      <c r="DJ250" s="966">
        <f>CO250/(1+Valu!$C$21)^DJ$3</f>
        <v>4.251425172</v>
      </c>
      <c r="DK250" s="966">
        <f>CP250/(1+Valu!$C$21)^DK$3</f>
        <v>4.100157235</v>
      </c>
      <c r="DL250" s="966">
        <f>CQ250/(1+Valu!$C$21)^DL$3</f>
        <v>3.954271491</v>
      </c>
      <c r="DM250" s="966">
        <f>CR250/(1+Valu!$C$21)^DM$3</f>
        <v>3.813576438</v>
      </c>
      <c r="DN250" s="966">
        <f>CS250/(1+Valu!$C$21)^DN$3</f>
        <v>3.677887389</v>
      </c>
      <c r="DO250" s="966">
        <f>CT250/(1+Valu!$C$21)^DO$3</f>
        <v>3.547026227</v>
      </c>
      <c r="DP250" s="966">
        <f>CU250/(1+Valu!$C$21)^DP$3</f>
        <v>3.420821174</v>
      </c>
      <c r="DQ250" s="966">
        <f>CV250/(1+Valu!$C$21)^DQ$3</f>
        <v>3.299106563</v>
      </c>
      <c r="DR250" s="966">
        <f>CW250/(1+Valu!$C$21)^DR$3</f>
        <v>3.181722621</v>
      </c>
      <c r="DS250" s="966">
        <f>CX250/(1+Valu!$C$21)^DS$3</f>
        <v>86.24142895</v>
      </c>
      <c r="DT250" s="358"/>
      <c r="DU250" s="358"/>
      <c r="DV250" s="358"/>
      <c r="DW250" s="358"/>
    </row>
    <row r="251" ht="15.0" customHeight="1">
      <c r="A251" s="394">
        <v>41076.0</v>
      </c>
      <c r="B251" s="302" t="s">
        <v>3077</v>
      </c>
      <c r="C251" s="302" t="s">
        <v>3078</v>
      </c>
      <c r="D251" s="422"/>
      <c r="E251" s="396" t="str">
        <f>IFERROR(__xludf.DUMMYFUNCTION("if(and(D251&lt;&gt;0,D251&lt;&gt;""""),D251/GOOGLEFINANCE(C251,""price"")-1,"""")"),"")</f>
        <v/>
      </c>
      <c r="F251" s="397">
        <f>IFERROR(__xludf.DUMMYFUNCTION("GOOGLEFINANCE(C251,""price"")"),75.54)</f>
        <v>75.54</v>
      </c>
      <c r="G251" s="396">
        <f t="shared" si="6"/>
        <v>-0.09571088165</v>
      </c>
      <c r="H251" s="398"/>
      <c r="I251" s="398">
        <f>(3.96*1.15)*15</f>
        <v>68.31</v>
      </c>
      <c r="J251" s="403"/>
      <c r="K251" s="403"/>
      <c r="L251" s="410"/>
      <c r="M251" s="402">
        <f t="shared" si="7"/>
        <v>-119.9023034</v>
      </c>
      <c r="N251" s="403">
        <f t="shared" si="8"/>
        <v>0</v>
      </c>
      <c r="O251" s="410"/>
      <c r="P251" s="411"/>
      <c r="Q251" s="402"/>
      <c r="R251" s="412"/>
      <c r="S251" s="412"/>
      <c r="T251" s="412"/>
      <c r="U251" s="413" t="s">
        <v>3079</v>
      </c>
      <c r="V251" s="414"/>
      <c r="W251" s="414"/>
      <c r="X251" s="414"/>
      <c r="Y251" s="414"/>
      <c r="Z251" s="414"/>
      <c r="AA251" s="414"/>
      <c r="AB251" s="414"/>
      <c r="AC251" s="414"/>
      <c r="AD251" s="414"/>
      <c r="AE251" s="414"/>
      <c r="AF251" s="414"/>
      <c r="AG251" s="414"/>
      <c r="AH251" s="414"/>
      <c r="AI251" s="414"/>
      <c r="AJ251" s="414"/>
      <c r="AK251" s="414"/>
      <c r="AL251" s="414"/>
      <c r="AM251" s="414"/>
      <c r="AN251" s="414"/>
      <c r="AO251" s="414"/>
      <c r="AP251" s="414"/>
      <c r="AQ251" s="414"/>
      <c r="AR251" s="414"/>
      <c r="AS251" s="414"/>
      <c r="AT251" s="414"/>
      <c r="AU251" s="414"/>
      <c r="AV251" s="414"/>
      <c r="AW251" s="414"/>
      <c r="AX251" s="414"/>
      <c r="AY251" s="414"/>
      <c r="AZ251" s="414"/>
      <c r="BA251" s="414"/>
      <c r="BB251" s="414"/>
      <c r="BC251" s="414"/>
      <c r="BD251" s="414"/>
      <c r="BE251" s="414"/>
      <c r="BF251" s="414"/>
      <c r="BG251" s="414"/>
      <c r="BH251" s="414"/>
      <c r="BI251" s="414"/>
      <c r="BJ251" s="414"/>
      <c r="BK251" s="414"/>
      <c r="BL251" s="414"/>
      <c r="BM251" s="414"/>
      <c r="BN251" s="414"/>
      <c r="BO251" s="414"/>
      <c r="BP251" s="414"/>
      <c r="BQ251" s="414"/>
      <c r="BR251" s="414"/>
      <c r="BS251" s="414"/>
      <c r="BT251" s="414"/>
      <c r="BU251" s="414"/>
      <c r="BV251" s="414"/>
      <c r="BW251" s="414"/>
      <c r="BX251" s="414"/>
      <c r="BY251" s="414"/>
      <c r="BZ251" s="414"/>
      <c r="CA251" s="414"/>
      <c r="CB251" s="414"/>
      <c r="CC251" s="414"/>
      <c r="CD251" s="414"/>
      <c r="CE251" s="414"/>
      <c r="CF251" s="414"/>
      <c r="CG251" s="414"/>
      <c r="CH251" s="414"/>
      <c r="CI251" s="414"/>
      <c r="CJ251" s="414"/>
      <c r="CK251" s="414"/>
      <c r="CL251" s="414"/>
      <c r="CM251" s="414"/>
      <c r="CN251" s="414"/>
      <c r="CO251" s="414"/>
      <c r="CP251" s="414"/>
      <c r="CQ251" s="414"/>
      <c r="CR251" s="414"/>
      <c r="CS251" s="414"/>
      <c r="CT251" s="414"/>
      <c r="CU251" s="414"/>
      <c r="CV251" s="414"/>
      <c r="CW251" s="414"/>
      <c r="CX251" s="414"/>
      <c r="CY251" s="414"/>
      <c r="CZ251" s="414"/>
      <c r="DA251" s="414"/>
      <c r="DB251" s="414"/>
      <c r="DC251" s="414"/>
      <c r="DD251" s="414"/>
      <c r="DE251" s="414"/>
      <c r="DF251" s="414"/>
      <c r="DG251" s="414"/>
      <c r="DH251" s="414"/>
      <c r="DI251" s="414"/>
      <c r="DJ251" s="414"/>
      <c r="DK251" s="414"/>
      <c r="DL251" s="414"/>
      <c r="DM251" s="414"/>
      <c r="DN251" s="414"/>
      <c r="DO251" s="414"/>
      <c r="DP251" s="414"/>
      <c r="DQ251" s="414"/>
      <c r="DR251" s="414"/>
      <c r="DS251" s="414"/>
      <c r="DT251" s="414"/>
      <c r="DU251" s="414"/>
      <c r="DV251" s="414"/>
      <c r="DW251" s="414"/>
    </row>
    <row r="252" ht="15.0" customHeight="1">
      <c r="A252" s="383">
        <v>41536.0</v>
      </c>
      <c r="B252" s="320" t="s">
        <v>3080</v>
      </c>
      <c r="C252" s="320" t="s">
        <v>1222</v>
      </c>
      <c r="D252" s="532"/>
      <c r="E252" s="374" t="str">
        <f>IFERROR(__xludf.DUMMYFUNCTION("if(and(D252&lt;&gt;0,D252&lt;&gt;""""),D252/GOOGLEFINANCE(C252,""price"")-1,"""")"),"")</f>
        <v/>
      </c>
      <c r="F252" s="375">
        <f>IFERROR(__xludf.DUMMYFUNCTION("GOOGLEFINANCE(C252,""price"")"),156.58)</f>
        <v>156.58</v>
      </c>
      <c r="G252" s="374">
        <f t="shared" si="6"/>
        <v>-0.0420232469</v>
      </c>
      <c r="H252" s="376"/>
      <c r="I252" s="376">
        <f>2*75</f>
        <v>150</v>
      </c>
      <c r="J252" s="380"/>
      <c r="K252" s="380"/>
      <c r="L252" s="389"/>
      <c r="M252" s="379">
        <f t="shared" si="7"/>
        <v>-119.9023034</v>
      </c>
      <c r="N252" s="380">
        <f t="shared" si="8"/>
        <v>0</v>
      </c>
      <c r="O252" s="389"/>
      <c r="P252" s="415"/>
      <c r="Q252" s="379"/>
      <c r="R252" s="416"/>
      <c r="S252" s="416"/>
      <c r="T252" s="416"/>
      <c r="U252" s="417" t="s">
        <v>3081</v>
      </c>
      <c r="V252" s="367"/>
      <c r="W252" s="367"/>
      <c r="X252" s="367"/>
      <c r="Y252" s="367"/>
      <c r="Z252" s="367"/>
      <c r="AA252" s="367"/>
      <c r="AB252" s="367"/>
      <c r="AC252" s="367"/>
      <c r="AD252" s="367"/>
      <c r="AE252" s="367"/>
      <c r="AF252" s="367"/>
      <c r="AG252" s="367"/>
      <c r="AH252" s="367"/>
      <c r="AI252" s="367"/>
      <c r="AJ252" s="367"/>
      <c r="AK252" s="367"/>
      <c r="AL252" s="367"/>
      <c r="AM252" s="367"/>
      <c r="AN252" s="367"/>
      <c r="AO252" s="367"/>
      <c r="AP252" s="367"/>
      <c r="AQ252" s="367"/>
      <c r="AR252" s="367"/>
      <c r="AS252" s="367"/>
      <c r="AT252" s="367"/>
      <c r="AU252" s="367"/>
      <c r="AV252" s="367"/>
      <c r="AW252" s="367"/>
      <c r="AX252" s="367"/>
      <c r="AY252" s="367"/>
      <c r="AZ252" s="367"/>
      <c r="BA252" s="367"/>
      <c r="BB252" s="367"/>
      <c r="BC252" s="367"/>
      <c r="BD252" s="367"/>
      <c r="BE252" s="367"/>
      <c r="BF252" s="367"/>
      <c r="BG252" s="367"/>
      <c r="BH252" s="367"/>
      <c r="BI252" s="367"/>
      <c r="BJ252" s="367"/>
      <c r="BK252" s="367"/>
      <c r="BL252" s="367"/>
      <c r="BM252" s="367"/>
      <c r="BN252" s="367"/>
      <c r="BO252" s="367"/>
      <c r="BP252" s="367"/>
      <c r="BQ252" s="367"/>
      <c r="BR252" s="367"/>
      <c r="BS252" s="367"/>
      <c r="BT252" s="367"/>
      <c r="BU252" s="367"/>
      <c r="BV252" s="367"/>
      <c r="BW252" s="367"/>
      <c r="BX252" s="367"/>
      <c r="BY252" s="367"/>
      <c r="BZ252" s="367"/>
      <c r="CA252" s="367"/>
      <c r="CB252" s="367"/>
      <c r="CC252" s="367"/>
      <c r="CD252" s="367"/>
      <c r="CE252" s="367"/>
      <c r="CF252" s="367"/>
      <c r="CG252" s="367"/>
      <c r="CH252" s="367"/>
      <c r="CI252" s="367"/>
      <c r="CJ252" s="367"/>
      <c r="CK252" s="367"/>
      <c r="CL252" s="367"/>
      <c r="CM252" s="367"/>
      <c r="CN252" s="367"/>
      <c r="CO252" s="367"/>
      <c r="CP252" s="367"/>
      <c r="CQ252" s="367"/>
      <c r="CR252" s="367"/>
      <c r="CS252" s="367"/>
      <c r="CT252" s="367"/>
      <c r="CU252" s="367"/>
      <c r="CV252" s="367"/>
      <c r="CW252" s="367"/>
      <c r="CX252" s="367"/>
      <c r="CY252" s="367"/>
      <c r="CZ252" s="367"/>
      <c r="DA252" s="367"/>
      <c r="DB252" s="367"/>
      <c r="DC252" s="367"/>
      <c r="DD252" s="367"/>
      <c r="DE252" s="367"/>
      <c r="DF252" s="367"/>
      <c r="DG252" s="367"/>
      <c r="DH252" s="367"/>
      <c r="DI252" s="367"/>
      <c r="DJ252" s="367"/>
      <c r="DK252" s="367"/>
      <c r="DL252" s="367"/>
      <c r="DM252" s="367"/>
      <c r="DN252" s="367"/>
      <c r="DO252" s="367"/>
      <c r="DP252" s="367"/>
      <c r="DQ252" s="367"/>
      <c r="DR252" s="367"/>
      <c r="DS252" s="367"/>
      <c r="DT252" s="367"/>
      <c r="DU252" s="367"/>
      <c r="DV252" s="367"/>
      <c r="DW252" s="367"/>
    </row>
    <row r="253" ht="15.0" customHeight="1">
      <c r="A253" s="372">
        <v>42479.0</v>
      </c>
      <c r="B253" s="384" t="s">
        <v>3082</v>
      </c>
      <c r="C253" s="384" t="s">
        <v>1474</v>
      </c>
      <c r="D253" s="373">
        <v>600.0</v>
      </c>
      <c r="E253" s="374">
        <f>IFERROR(__xludf.DUMMYFUNCTION("if(and(D253&lt;&gt;0,D253&lt;&gt;""""),D253/GOOGLEFINANCE(C253,""price"")-1,"""")"),-0.14063507068276548)</f>
        <v>-0.1406350707</v>
      </c>
      <c r="F253" s="375">
        <f>IFERROR(__xludf.DUMMYFUNCTION("GOOGLEFINANCE(C253,""price"")"),698.19)</f>
        <v>698.19</v>
      </c>
      <c r="G253" s="374">
        <f t="shared" si="6"/>
        <v>-0.2997186844</v>
      </c>
      <c r="H253" s="376"/>
      <c r="I253" s="376">
        <f>19.79*($I$1+10)</f>
        <v>488.9294118</v>
      </c>
      <c r="J253" s="385">
        <v>22.67</v>
      </c>
      <c r="K253" s="385">
        <v>25.22</v>
      </c>
      <c r="L253" s="378">
        <v>43830.0</v>
      </c>
      <c r="M253" s="379">
        <f t="shared" si="7"/>
        <v>0.1798884235</v>
      </c>
      <c r="N253" s="380">
        <f t="shared" si="8"/>
        <v>24.76128452</v>
      </c>
      <c r="O253" s="370">
        <v>0.07</v>
      </c>
      <c r="P253" s="370"/>
      <c r="Q253" s="371"/>
      <c r="R253" s="378"/>
      <c r="S253" s="378">
        <v>43585.0</v>
      </c>
      <c r="T253" s="381" t="s">
        <v>1608</v>
      </c>
      <c r="U253" s="382" t="s">
        <v>3083</v>
      </c>
      <c r="V253" s="358"/>
      <c r="W253" s="358"/>
      <c r="X253" s="358"/>
      <c r="Y253" s="358"/>
      <c r="Z253" s="358"/>
      <c r="AA253" s="358"/>
      <c r="AB253" s="358"/>
      <c r="AC253" s="358"/>
      <c r="AD253" s="358"/>
      <c r="AE253" s="358"/>
      <c r="AF253" s="358"/>
      <c r="AG253" s="358"/>
      <c r="AH253" s="358"/>
      <c r="AI253" s="358"/>
      <c r="AJ253" s="358"/>
      <c r="AK253" s="358"/>
      <c r="AL253" s="358"/>
      <c r="AM253" s="358"/>
      <c r="AN253" s="358"/>
      <c r="AO253" s="358"/>
      <c r="AP253" s="358"/>
      <c r="AQ253" s="358"/>
      <c r="AR253" s="358"/>
      <c r="AS253" s="358"/>
      <c r="AT253" s="358"/>
      <c r="AU253" s="358"/>
      <c r="AV253" s="358"/>
      <c r="AW253" s="358"/>
      <c r="AX253" s="358"/>
      <c r="AY253" s="358"/>
      <c r="AZ253" s="358"/>
      <c r="BA253" s="358"/>
      <c r="BB253" s="358"/>
      <c r="BC253" s="358"/>
      <c r="BD253" s="358"/>
      <c r="BE253" s="358"/>
      <c r="BF253" s="358"/>
      <c r="BG253" s="358"/>
      <c r="BH253" s="358"/>
      <c r="BI253" s="358"/>
      <c r="BJ253" s="358"/>
      <c r="BK253" s="358"/>
      <c r="BL253" s="358"/>
      <c r="BM253" s="358"/>
      <c r="BN253" s="358"/>
      <c r="BO253" s="358"/>
      <c r="BP253" s="358"/>
      <c r="BQ253" s="358"/>
      <c r="BR253" s="358"/>
      <c r="BS253" s="358"/>
      <c r="BT253" s="358"/>
      <c r="BU253" s="358"/>
      <c r="BV253" s="358"/>
      <c r="BW253" s="358"/>
      <c r="BX253" s="358"/>
      <c r="BY253" s="358"/>
      <c r="BZ253" s="358"/>
      <c r="CA253" s="358"/>
      <c r="CB253" s="358"/>
      <c r="CC253" s="358"/>
      <c r="CD253" s="358"/>
      <c r="CE253" s="358"/>
      <c r="CF253" s="358"/>
      <c r="CG253" s="358"/>
      <c r="CH253" s="358"/>
      <c r="CI253" s="358"/>
      <c r="CJ253" s="358"/>
      <c r="CK253" s="358"/>
      <c r="CL253" s="358"/>
      <c r="CM253" s="358"/>
      <c r="CN253" s="358"/>
      <c r="CO253" s="358"/>
      <c r="CP253" s="358"/>
      <c r="CQ253" s="358"/>
      <c r="CR253" s="358"/>
      <c r="CS253" s="358"/>
      <c r="CT253" s="358"/>
      <c r="CU253" s="358"/>
      <c r="CV253" s="358"/>
      <c r="CW253" s="358"/>
      <c r="CX253" s="358"/>
      <c r="CY253" s="358"/>
      <c r="CZ253" s="358"/>
      <c r="DA253" s="358"/>
      <c r="DB253" s="358"/>
      <c r="DC253" s="358"/>
      <c r="DD253" s="358"/>
      <c r="DE253" s="358"/>
      <c r="DF253" s="358"/>
      <c r="DG253" s="358"/>
      <c r="DH253" s="358"/>
      <c r="DI253" s="358"/>
      <c r="DJ253" s="358"/>
      <c r="DK253" s="358"/>
      <c r="DL253" s="358"/>
      <c r="DM253" s="358"/>
      <c r="DN253" s="358"/>
      <c r="DO253" s="358"/>
      <c r="DP253" s="358"/>
      <c r="DQ253" s="358"/>
      <c r="DR253" s="358"/>
      <c r="DS253" s="358"/>
      <c r="DT253" s="358"/>
      <c r="DU253" s="358"/>
      <c r="DV253" s="358"/>
      <c r="DW253" s="358"/>
    </row>
    <row r="254" ht="15.0" customHeight="1">
      <c r="A254" s="383">
        <v>41694.0</v>
      </c>
      <c r="B254" s="320" t="s">
        <v>3084</v>
      </c>
      <c r="C254" s="320" t="s">
        <v>3085</v>
      </c>
      <c r="D254" s="532"/>
      <c r="E254" s="374" t="str">
        <f>IFERROR(__xludf.DUMMYFUNCTION("if(and(D254&lt;&gt;0,D254&lt;&gt;""""),D254/GOOGLEFINANCE(C254,""price"")-1,"""")"),"")</f>
        <v/>
      </c>
      <c r="F254" s="375">
        <f>IFERROR(__xludf.DUMMYFUNCTION("GOOGLEFINANCE(C254,""price"")"),56.2)</f>
        <v>56.2</v>
      </c>
      <c r="G254" s="374" t="str">
        <f t="shared" si="6"/>
        <v/>
      </c>
      <c r="H254" s="376"/>
      <c r="I254" s="376"/>
      <c r="J254" s="380"/>
      <c r="K254" s="380"/>
      <c r="L254" s="389"/>
      <c r="M254" s="379">
        <f t="shared" si="7"/>
        <v>-119.9023034</v>
      </c>
      <c r="N254" s="380">
        <f t="shared" si="8"/>
        <v>0</v>
      </c>
      <c r="O254" s="389"/>
      <c r="P254" s="415"/>
      <c r="Q254" s="379"/>
      <c r="R254" s="416"/>
      <c r="S254" s="416"/>
      <c r="T254" s="416"/>
      <c r="U254" s="417" t="s">
        <v>3086</v>
      </c>
      <c r="V254" s="367"/>
      <c r="W254" s="367"/>
      <c r="X254" s="367"/>
      <c r="Y254" s="367"/>
      <c r="Z254" s="367"/>
      <c r="AA254" s="367"/>
      <c r="AB254" s="367"/>
      <c r="AC254" s="367"/>
      <c r="AD254" s="367"/>
      <c r="AE254" s="367"/>
      <c r="AF254" s="367"/>
      <c r="AG254" s="367"/>
      <c r="AH254" s="367"/>
      <c r="AI254" s="367"/>
      <c r="AJ254" s="367"/>
      <c r="AK254" s="367"/>
      <c r="AL254" s="367"/>
      <c r="AM254" s="367"/>
      <c r="AN254" s="367"/>
      <c r="AO254" s="367"/>
      <c r="AP254" s="367"/>
      <c r="AQ254" s="367"/>
      <c r="AR254" s="367"/>
      <c r="AS254" s="367"/>
      <c r="AT254" s="367"/>
      <c r="AU254" s="367"/>
      <c r="AV254" s="367"/>
      <c r="AW254" s="367"/>
      <c r="AX254" s="367"/>
      <c r="AY254" s="367"/>
      <c r="AZ254" s="367"/>
      <c r="BA254" s="367"/>
      <c r="BB254" s="367"/>
      <c r="BC254" s="367"/>
      <c r="BD254" s="367"/>
      <c r="BE254" s="367"/>
      <c r="BF254" s="367"/>
      <c r="BG254" s="367"/>
      <c r="BH254" s="367"/>
      <c r="BI254" s="367"/>
      <c r="BJ254" s="367"/>
      <c r="BK254" s="367"/>
      <c r="BL254" s="367"/>
      <c r="BM254" s="367"/>
      <c r="BN254" s="367"/>
      <c r="BO254" s="367"/>
      <c r="BP254" s="367"/>
      <c r="BQ254" s="367"/>
      <c r="BR254" s="367"/>
      <c r="BS254" s="367"/>
      <c r="BT254" s="367"/>
      <c r="BU254" s="367"/>
      <c r="BV254" s="367"/>
      <c r="BW254" s="367"/>
      <c r="BX254" s="367"/>
      <c r="BY254" s="367"/>
      <c r="BZ254" s="367"/>
      <c r="CA254" s="367"/>
      <c r="CB254" s="367"/>
      <c r="CC254" s="367"/>
      <c r="CD254" s="367"/>
      <c r="CE254" s="367"/>
      <c r="CF254" s="367"/>
      <c r="CG254" s="367"/>
      <c r="CH254" s="367"/>
      <c r="CI254" s="367"/>
      <c r="CJ254" s="367"/>
      <c r="CK254" s="367"/>
      <c r="CL254" s="367"/>
      <c r="CM254" s="367"/>
      <c r="CN254" s="367"/>
      <c r="CO254" s="367"/>
      <c r="CP254" s="367"/>
      <c r="CQ254" s="367"/>
      <c r="CR254" s="367"/>
      <c r="CS254" s="367"/>
      <c r="CT254" s="367"/>
      <c r="CU254" s="367"/>
      <c r="CV254" s="367"/>
      <c r="CW254" s="367"/>
      <c r="CX254" s="367"/>
      <c r="CY254" s="367"/>
      <c r="CZ254" s="367"/>
      <c r="DA254" s="367"/>
      <c r="DB254" s="367"/>
      <c r="DC254" s="367"/>
      <c r="DD254" s="367"/>
      <c r="DE254" s="367"/>
      <c r="DF254" s="367"/>
      <c r="DG254" s="367"/>
      <c r="DH254" s="367"/>
      <c r="DI254" s="367"/>
      <c r="DJ254" s="367"/>
      <c r="DK254" s="367"/>
      <c r="DL254" s="367"/>
      <c r="DM254" s="367"/>
      <c r="DN254" s="367"/>
      <c r="DO254" s="367"/>
      <c r="DP254" s="367"/>
      <c r="DQ254" s="367"/>
      <c r="DR254" s="367"/>
      <c r="DS254" s="367"/>
      <c r="DT254" s="367"/>
      <c r="DU254" s="367"/>
      <c r="DV254" s="367"/>
      <c r="DW254" s="367"/>
    </row>
    <row r="255" ht="15.0" customHeight="1">
      <c r="A255" s="343">
        <v>42219.0</v>
      </c>
      <c r="B255" s="344" t="s">
        <v>3087</v>
      </c>
      <c r="C255" s="344" t="s">
        <v>3088</v>
      </c>
      <c r="D255" s="344">
        <v>11.5</v>
      </c>
      <c r="E255" s="345">
        <f>IFERROR(__xludf.DUMMYFUNCTION("if(and(D255&lt;&gt;0,D255&lt;&gt;""""),D255/GOOGLEFINANCE(C255,""price"")-1,"""")"),-0.7605663127212159)</f>
        <v>-0.7605663127</v>
      </c>
      <c r="F255" s="364">
        <f>IFERROR(__xludf.DUMMYFUNCTION("GOOGLEFINANCE(C255,""price"")"),48.03)</f>
        <v>48.03</v>
      </c>
      <c r="G255" s="345">
        <f t="shared" si="6"/>
        <v>-0.5835935873</v>
      </c>
      <c r="H255" s="347"/>
      <c r="I255" s="347">
        <f>2*(15-5)</f>
        <v>20</v>
      </c>
      <c r="J255" s="349"/>
      <c r="K255" s="349"/>
      <c r="L255" s="350"/>
      <c r="M255" s="351">
        <f t="shared" si="7"/>
        <v>-119.9023034</v>
      </c>
      <c r="N255" s="349">
        <f t="shared" si="8"/>
        <v>0</v>
      </c>
      <c r="O255" s="350"/>
      <c r="P255" s="352"/>
      <c r="Q255" s="353"/>
      <c r="R255" s="365"/>
      <c r="S255" s="365"/>
      <c r="T255" s="365"/>
      <c r="U255" s="356" t="s">
        <v>3089</v>
      </c>
      <c r="V255" s="344"/>
      <c r="W255" s="344"/>
      <c r="X255" s="344"/>
      <c r="Y255" s="344"/>
      <c r="Z255" s="344"/>
      <c r="AA255" s="344"/>
      <c r="AB255" s="344"/>
      <c r="AC255" s="344"/>
      <c r="AD255" s="344"/>
      <c r="AE255" s="344"/>
      <c r="AF255" s="344"/>
      <c r="AG255" s="344"/>
      <c r="AH255" s="344"/>
      <c r="AI255" s="344"/>
      <c r="AJ255" s="344"/>
      <c r="AK255" s="344"/>
      <c r="AL255" s="344"/>
      <c r="AM255" s="344"/>
      <c r="AN255" s="344"/>
      <c r="AO255" s="344"/>
      <c r="AP255" s="344"/>
      <c r="AQ255" s="344"/>
      <c r="AR255" s="344"/>
      <c r="AS255" s="344"/>
      <c r="AT255" s="344"/>
      <c r="AU255" s="344"/>
      <c r="AV255" s="344"/>
      <c r="AW255" s="344"/>
      <c r="AX255" s="344"/>
      <c r="AY255" s="344"/>
      <c r="AZ255" s="344"/>
      <c r="BA255" s="344"/>
      <c r="BB255" s="344"/>
      <c r="BC255" s="344"/>
      <c r="BD255" s="344"/>
      <c r="BE255" s="344"/>
      <c r="BF255" s="344"/>
      <c r="BG255" s="344"/>
      <c r="BH255" s="344"/>
      <c r="BI255" s="344"/>
      <c r="BJ255" s="344"/>
      <c r="BK255" s="344"/>
      <c r="BL255" s="344"/>
      <c r="BM255" s="344"/>
      <c r="BN255" s="344"/>
      <c r="BO255" s="344"/>
      <c r="BP255" s="344"/>
      <c r="BQ255" s="344"/>
      <c r="BR255" s="344"/>
      <c r="BS255" s="344"/>
      <c r="BT255" s="344"/>
      <c r="BU255" s="344"/>
      <c r="BV255" s="344"/>
      <c r="BW255" s="344"/>
      <c r="BX255" s="344"/>
      <c r="BY255" s="344"/>
      <c r="BZ255" s="344"/>
      <c r="CA255" s="344"/>
      <c r="CB255" s="344"/>
      <c r="CC255" s="344"/>
      <c r="CD255" s="344"/>
      <c r="CE255" s="344"/>
      <c r="CF255" s="344"/>
      <c r="CG255" s="344"/>
      <c r="CH255" s="344"/>
      <c r="CI255" s="344"/>
      <c r="CJ255" s="344"/>
      <c r="CK255" s="344"/>
      <c r="CL255" s="344"/>
      <c r="CM255" s="344"/>
      <c r="CN255" s="344"/>
      <c r="CO255" s="344"/>
      <c r="CP255" s="344"/>
      <c r="CQ255" s="344"/>
      <c r="CR255" s="344"/>
      <c r="CS255" s="344"/>
      <c r="CT255" s="344"/>
      <c r="CU255" s="344"/>
      <c r="CV255" s="344"/>
      <c r="CW255" s="344"/>
      <c r="CX255" s="344"/>
      <c r="CY255" s="344"/>
      <c r="CZ255" s="344"/>
      <c r="DA255" s="344"/>
      <c r="DB255" s="344"/>
      <c r="DC255" s="344"/>
      <c r="DD255" s="344"/>
      <c r="DE255" s="344"/>
      <c r="DF255" s="344"/>
      <c r="DG255" s="344"/>
      <c r="DH255" s="344"/>
      <c r="DI255" s="344"/>
      <c r="DJ255" s="344"/>
      <c r="DK255" s="344"/>
      <c r="DL255" s="344"/>
      <c r="DM255" s="344"/>
      <c r="DN255" s="344"/>
      <c r="DO255" s="344"/>
      <c r="DP255" s="344"/>
      <c r="DQ255" s="344"/>
      <c r="DR255" s="344"/>
      <c r="DS255" s="344"/>
      <c r="DT255" s="344"/>
      <c r="DU255" s="344"/>
      <c r="DV255" s="344"/>
      <c r="DW255" s="344"/>
    </row>
    <row r="256" ht="15.0" customHeight="1">
      <c r="A256" s="494">
        <v>41324.0</v>
      </c>
      <c r="B256" s="414" t="s">
        <v>3090</v>
      </c>
      <c r="C256" s="414" t="s">
        <v>903</v>
      </c>
      <c r="D256" s="414"/>
      <c r="E256" s="441" t="str">
        <f>IFERROR(__xludf.DUMMYFUNCTION("if(and(D256&lt;&gt;0,D256&lt;&gt;""""),D256/GOOGLEFINANCE(C256,""price"")-1,"""")"),"")</f>
        <v/>
      </c>
      <c r="F256" s="442">
        <f>IFERROR(__xludf.DUMMYFUNCTION("GOOGLEFINANCE(C256,""price"")"),19.81)</f>
        <v>19.81</v>
      </c>
      <c r="G256" s="441">
        <f t="shared" si="6"/>
        <v>0.6809692075</v>
      </c>
      <c r="H256" s="443"/>
      <c r="I256" s="956">
        <f>3.33*10</f>
        <v>33.3</v>
      </c>
      <c r="J256" s="445"/>
      <c r="K256" s="445"/>
      <c r="L256" s="446"/>
      <c r="M256" s="447">
        <f t="shared" si="7"/>
        <v>-119.9023034</v>
      </c>
      <c r="N256" s="445">
        <f t="shared" si="8"/>
        <v>0</v>
      </c>
      <c r="O256" s="446"/>
      <c r="P256" s="448"/>
      <c r="Q256" s="447"/>
      <c r="R256" s="449"/>
      <c r="S256" s="449"/>
      <c r="T256" s="449"/>
      <c r="U256" s="450" t="s">
        <v>3091</v>
      </c>
      <c r="V256" s="414"/>
      <c r="W256" s="414"/>
      <c r="X256" s="414"/>
      <c r="Y256" s="414"/>
      <c r="Z256" s="414"/>
      <c r="AA256" s="414"/>
      <c r="AB256" s="414"/>
      <c r="AC256" s="414"/>
      <c r="AD256" s="414"/>
      <c r="AE256" s="414"/>
      <c r="AF256" s="414"/>
      <c r="AG256" s="414"/>
      <c r="AH256" s="414"/>
      <c r="AI256" s="414"/>
      <c r="AJ256" s="414"/>
      <c r="AK256" s="414"/>
      <c r="AL256" s="414"/>
      <c r="AM256" s="414"/>
      <c r="AN256" s="414"/>
      <c r="AO256" s="414"/>
      <c r="AP256" s="414"/>
      <c r="AQ256" s="414"/>
      <c r="AR256" s="414"/>
      <c r="AS256" s="414"/>
      <c r="AT256" s="414"/>
      <c r="AU256" s="414"/>
      <c r="AV256" s="414"/>
      <c r="AW256" s="414"/>
      <c r="AX256" s="414"/>
      <c r="AY256" s="414"/>
      <c r="AZ256" s="414"/>
      <c r="BA256" s="414"/>
      <c r="BB256" s="414"/>
      <c r="BC256" s="414"/>
      <c r="BD256" s="414"/>
      <c r="BE256" s="414"/>
      <c r="BF256" s="414"/>
      <c r="BG256" s="414"/>
      <c r="BH256" s="414"/>
      <c r="BI256" s="414"/>
      <c r="BJ256" s="414"/>
      <c r="BK256" s="414"/>
      <c r="BL256" s="414"/>
      <c r="BM256" s="414"/>
      <c r="BN256" s="414"/>
      <c r="BO256" s="414"/>
      <c r="BP256" s="414"/>
      <c r="BQ256" s="414"/>
      <c r="BR256" s="414"/>
      <c r="BS256" s="414"/>
      <c r="BT256" s="414"/>
      <c r="BU256" s="414"/>
      <c r="BV256" s="414"/>
      <c r="BW256" s="414"/>
      <c r="BX256" s="414"/>
      <c r="BY256" s="414"/>
      <c r="BZ256" s="414"/>
      <c r="CA256" s="414"/>
      <c r="CB256" s="414"/>
      <c r="CC256" s="414"/>
      <c r="CD256" s="414"/>
      <c r="CE256" s="414"/>
      <c r="CF256" s="414"/>
      <c r="CG256" s="414"/>
      <c r="CH256" s="414"/>
      <c r="CI256" s="414"/>
      <c r="CJ256" s="414"/>
      <c r="CK256" s="414"/>
      <c r="CL256" s="414"/>
      <c r="CM256" s="414"/>
      <c r="CN256" s="414"/>
      <c r="CO256" s="414"/>
      <c r="CP256" s="414"/>
      <c r="CQ256" s="414"/>
      <c r="CR256" s="414"/>
      <c r="CS256" s="414"/>
      <c r="CT256" s="414"/>
      <c r="CU256" s="414"/>
      <c r="CV256" s="414"/>
      <c r="CW256" s="414"/>
      <c r="CX256" s="414"/>
      <c r="CY256" s="414"/>
      <c r="CZ256" s="414"/>
      <c r="DA256" s="414"/>
      <c r="DB256" s="414"/>
      <c r="DC256" s="414"/>
      <c r="DD256" s="414"/>
      <c r="DE256" s="414"/>
      <c r="DF256" s="414"/>
      <c r="DG256" s="414"/>
      <c r="DH256" s="414"/>
      <c r="DI256" s="414"/>
      <c r="DJ256" s="414"/>
      <c r="DK256" s="414"/>
      <c r="DL256" s="414"/>
      <c r="DM256" s="414"/>
      <c r="DN256" s="414"/>
      <c r="DO256" s="414"/>
      <c r="DP256" s="414"/>
      <c r="DQ256" s="414"/>
      <c r="DR256" s="414"/>
      <c r="DS256" s="414"/>
      <c r="DT256" s="414"/>
      <c r="DU256" s="414"/>
      <c r="DV256" s="414"/>
      <c r="DW256" s="414"/>
    </row>
    <row r="257" ht="15.0" customHeight="1">
      <c r="A257" s="366">
        <v>41532.0</v>
      </c>
      <c r="B257" s="367" t="s">
        <v>3092</v>
      </c>
      <c r="C257" s="367" t="s">
        <v>1493</v>
      </c>
      <c r="D257" s="534"/>
      <c r="E257" s="345" t="str">
        <f>IFERROR(__xludf.DUMMYFUNCTION("if(and(D257&lt;&gt;0,D257&lt;&gt;""""),D257/GOOGLEFINANCE(C257,""price"")-1,"""")"),"")</f>
        <v/>
      </c>
      <c r="F257" s="364">
        <f>IFERROR(__xludf.DUMMYFUNCTION("GOOGLEFINANCE(C257,""price"")"),92.39)</f>
        <v>92.39</v>
      </c>
      <c r="G257" s="345">
        <f t="shared" si="6"/>
        <v>-0.3595897824</v>
      </c>
      <c r="H257" s="347"/>
      <c r="I257" s="347">
        <f>3.43*15*1.15</f>
        <v>59.1675</v>
      </c>
      <c r="J257" s="349"/>
      <c r="K257" s="349"/>
      <c r="L257" s="350"/>
      <c r="M257" s="351">
        <f t="shared" si="7"/>
        <v>-119.9023034</v>
      </c>
      <c r="N257" s="349">
        <f t="shared" si="8"/>
        <v>0</v>
      </c>
      <c r="O257" s="350"/>
      <c r="P257" s="434"/>
      <c r="Q257" s="351"/>
      <c r="R257" s="435"/>
      <c r="S257" s="435"/>
      <c r="T257" s="435"/>
      <c r="U257" s="436"/>
      <c r="V257" s="367"/>
      <c r="W257" s="367"/>
      <c r="X257" s="367"/>
      <c r="Y257" s="367"/>
      <c r="Z257" s="367"/>
      <c r="AA257" s="367"/>
      <c r="AB257" s="367"/>
      <c r="AC257" s="367"/>
      <c r="AD257" s="367"/>
      <c r="AE257" s="367"/>
      <c r="AF257" s="367"/>
      <c r="AG257" s="367"/>
      <c r="AH257" s="367"/>
      <c r="AI257" s="367"/>
      <c r="AJ257" s="367"/>
      <c r="AK257" s="367"/>
      <c r="AL257" s="367"/>
      <c r="AM257" s="367"/>
      <c r="AN257" s="367"/>
      <c r="AO257" s="367"/>
      <c r="AP257" s="367"/>
      <c r="AQ257" s="367"/>
      <c r="AR257" s="367"/>
      <c r="AS257" s="367"/>
      <c r="AT257" s="367"/>
      <c r="AU257" s="367"/>
      <c r="AV257" s="367"/>
      <c r="AW257" s="367"/>
      <c r="AX257" s="367"/>
      <c r="AY257" s="367"/>
      <c r="AZ257" s="367"/>
      <c r="BA257" s="367"/>
      <c r="BB257" s="367"/>
      <c r="BC257" s="367"/>
      <c r="BD257" s="367"/>
      <c r="BE257" s="367"/>
      <c r="BF257" s="367"/>
      <c r="BG257" s="367"/>
      <c r="BH257" s="367"/>
      <c r="BI257" s="367"/>
      <c r="BJ257" s="367"/>
      <c r="BK257" s="367"/>
      <c r="BL257" s="367"/>
      <c r="BM257" s="367"/>
      <c r="BN257" s="367"/>
      <c r="BO257" s="367"/>
      <c r="BP257" s="367"/>
      <c r="BQ257" s="367"/>
      <c r="BR257" s="367"/>
      <c r="BS257" s="367"/>
      <c r="BT257" s="367"/>
      <c r="BU257" s="367"/>
      <c r="BV257" s="367"/>
      <c r="BW257" s="367"/>
      <c r="BX257" s="367"/>
      <c r="BY257" s="367"/>
      <c r="BZ257" s="367"/>
      <c r="CA257" s="367"/>
      <c r="CB257" s="367"/>
      <c r="CC257" s="367"/>
      <c r="CD257" s="367"/>
      <c r="CE257" s="367"/>
      <c r="CF257" s="367"/>
      <c r="CG257" s="367"/>
      <c r="CH257" s="367"/>
      <c r="CI257" s="367"/>
      <c r="CJ257" s="367"/>
      <c r="CK257" s="367"/>
      <c r="CL257" s="367"/>
      <c r="CM257" s="367"/>
      <c r="CN257" s="367"/>
      <c r="CO257" s="367"/>
      <c r="CP257" s="367"/>
      <c r="CQ257" s="367"/>
      <c r="CR257" s="367"/>
      <c r="CS257" s="367"/>
      <c r="CT257" s="367"/>
      <c r="CU257" s="367"/>
      <c r="CV257" s="367"/>
      <c r="CW257" s="367"/>
      <c r="CX257" s="367"/>
      <c r="CY257" s="367"/>
      <c r="CZ257" s="367"/>
      <c r="DA257" s="367"/>
      <c r="DB257" s="367"/>
      <c r="DC257" s="367"/>
      <c r="DD257" s="367"/>
      <c r="DE257" s="367"/>
      <c r="DF257" s="367"/>
      <c r="DG257" s="367"/>
      <c r="DH257" s="367"/>
      <c r="DI257" s="367"/>
      <c r="DJ257" s="367"/>
      <c r="DK257" s="367"/>
      <c r="DL257" s="367"/>
      <c r="DM257" s="367"/>
      <c r="DN257" s="367"/>
      <c r="DO257" s="367"/>
      <c r="DP257" s="367"/>
      <c r="DQ257" s="367"/>
      <c r="DR257" s="367"/>
      <c r="DS257" s="367"/>
      <c r="DT257" s="367"/>
      <c r="DU257" s="367"/>
      <c r="DV257" s="367"/>
      <c r="DW257" s="367"/>
    </row>
    <row r="258" ht="15.0" customHeight="1">
      <c r="A258" s="343">
        <v>41955.0</v>
      </c>
      <c r="B258" s="344" t="s">
        <v>3093</v>
      </c>
      <c r="C258" s="344" t="s">
        <v>2342</v>
      </c>
      <c r="D258" s="344">
        <f>1.6*15</f>
        <v>24</v>
      </c>
      <c r="E258" s="345">
        <f>IFERROR(__xludf.DUMMYFUNCTION("if(and(D258&lt;&gt;0,D258&lt;&gt;""""),D258/GOOGLEFINANCE(C258,""price"")-1,"""")"),0.28342245989304815)</f>
        <v>0.2834224599</v>
      </c>
      <c r="F258" s="364">
        <f>IFERROR(__xludf.DUMMYFUNCTION("GOOGLEFINANCE(C258,""price"")"),18.7)</f>
        <v>18.7</v>
      </c>
      <c r="G258" s="345">
        <f t="shared" si="6"/>
        <v>1.181818182</v>
      </c>
      <c r="H258" s="347"/>
      <c r="I258" s="376">
        <f>AVERAGE(5.76*(15-5),1.6*15)</f>
        <v>40.8</v>
      </c>
      <c r="J258" s="349"/>
      <c r="K258" s="349"/>
      <c r="L258" s="350"/>
      <c r="M258" s="351">
        <f t="shared" si="7"/>
        <v>-119.9023034</v>
      </c>
      <c r="N258" s="349">
        <f t="shared" si="8"/>
        <v>0</v>
      </c>
      <c r="O258" s="350"/>
      <c r="P258" s="352"/>
      <c r="Q258" s="353"/>
      <c r="R258" s="365"/>
      <c r="S258" s="365"/>
      <c r="T258" s="365"/>
      <c r="U258" s="356" t="s">
        <v>3094</v>
      </c>
      <c r="V258" s="344"/>
      <c r="W258" s="344"/>
      <c r="X258" s="344"/>
      <c r="Y258" s="344"/>
      <c r="Z258" s="344"/>
      <c r="AA258" s="344"/>
      <c r="AB258" s="344"/>
      <c r="AC258" s="344"/>
      <c r="AD258" s="344"/>
      <c r="AE258" s="344"/>
      <c r="AF258" s="344"/>
      <c r="AG258" s="344"/>
      <c r="AH258" s="344"/>
      <c r="AI258" s="344"/>
      <c r="AJ258" s="344"/>
      <c r="AK258" s="344"/>
      <c r="AL258" s="344"/>
      <c r="AM258" s="344"/>
      <c r="AN258" s="344"/>
      <c r="AO258" s="344"/>
      <c r="AP258" s="344"/>
      <c r="AQ258" s="344"/>
      <c r="AR258" s="344"/>
      <c r="AS258" s="344"/>
      <c r="AT258" s="344"/>
      <c r="AU258" s="344"/>
      <c r="AV258" s="344"/>
      <c r="AW258" s="344"/>
      <c r="AX258" s="344"/>
      <c r="AY258" s="344"/>
      <c r="AZ258" s="344"/>
      <c r="BA258" s="344"/>
      <c r="BB258" s="344"/>
      <c r="BC258" s="344"/>
      <c r="BD258" s="344"/>
      <c r="BE258" s="344"/>
      <c r="BF258" s="344"/>
      <c r="BG258" s="344"/>
      <c r="BH258" s="344"/>
      <c r="BI258" s="344"/>
      <c r="BJ258" s="344"/>
      <c r="BK258" s="344"/>
      <c r="BL258" s="344"/>
      <c r="BM258" s="344"/>
      <c r="BN258" s="344"/>
      <c r="BO258" s="344"/>
      <c r="BP258" s="344"/>
      <c r="BQ258" s="344"/>
      <c r="BR258" s="344"/>
      <c r="BS258" s="344"/>
      <c r="BT258" s="344"/>
      <c r="BU258" s="344"/>
      <c r="BV258" s="344"/>
      <c r="BW258" s="344"/>
      <c r="BX258" s="344"/>
      <c r="BY258" s="344"/>
      <c r="BZ258" s="344"/>
      <c r="CA258" s="344"/>
      <c r="CB258" s="344"/>
      <c r="CC258" s="344"/>
      <c r="CD258" s="344"/>
      <c r="CE258" s="344"/>
      <c r="CF258" s="344"/>
      <c r="CG258" s="344"/>
      <c r="CH258" s="344"/>
      <c r="CI258" s="344"/>
      <c r="CJ258" s="344"/>
      <c r="CK258" s="344"/>
      <c r="CL258" s="344"/>
      <c r="CM258" s="344"/>
      <c r="CN258" s="344"/>
      <c r="CO258" s="344"/>
      <c r="CP258" s="344"/>
      <c r="CQ258" s="344"/>
      <c r="CR258" s="344"/>
      <c r="CS258" s="344"/>
      <c r="CT258" s="344"/>
      <c r="CU258" s="344"/>
      <c r="CV258" s="344"/>
      <c r="CW258" s="344"/>
      <c r="CX258" s="344"/>
      <c r="CY258" s="344"/>
      <c r="CZ258" s="344"/>
      <c r="DA258" s="344"/>
      <c r="DB258" s="344"/>
      <c r="DC258" s="344"/>
      <c r="DD258" s="344"/>
      <c r="DE258" s="344"/>
      <c r="DF258" s="344"/>
      <c r="DG258" s="344"/>
      <c r="DH258" s="344"/>
      <c r="DI258" s="344"/>
      <c r="DJ258" s="344"/>
      <c r="DK258" s="344"/>
      <c r="DL258" s="344"/>
      <c r="DM258" s="344"/>
      <c r="DN258" s="344"/>
      <c r="DO258" s="344"/>
      <c r="DP258" s="344"/>
      <c r="DQ258" s="344"/>
      <c r="DR258" s="344"/>
      <c r="DS258" s="344"/>
      <c r="DT258" s="344"/>
      <c r="DU258" s="344"/>
      <c r="DV258" s="344"/>
      <c r="DW258" s="344"/>
    </row>
    <row r="259" ht="15.0" customHeight="1">
      <c r="A259" s="366">
        <v>41281.0</v>
      </c>
      <c r="B259" s="367" t="s">
        <v>3096</v>
      </c>
      <c r="C259" s="367" t="s">
        <v>857</v>
      </c>
      <c r="D259" s="534"/>
      <c r="E259" s="345" t="str">
        <f>IFERROR(__xludf.DUMMYFUNCTION("if(and(D259&lt;&gt;0,D259&lt;&gt;""""),D259/GOOGLEFINANCE(C259,""price"")-1,"""")"),"")</f>
        <v/>
      </c>
      <c r="F259" s="364">
        <f>IFERROR(__xludf.DUMMYFUNCTION("GOOGLEFINANCE(C259,""price"")"),9.56)</f>
        <v>9.56</v>
      </c>
      <c r="G259" s="345">
        <f t="shared" si="6"/>
        <v>-0.4769874477</v>
      </c>
      <c r="H259" s="347"/>
      <c r="I259" s="368">
        <v>5.0</v>
      </c>
      <c r="J259" s="349"/>
      <c r="K259" s="349"/>
      <c r="L259" s="350"/>
      <c r="M259" s="351">
        <f t="shared" si="7"/>
        <v>-119.9023034</v>
      </c>
      <c r="N259" s="349">
        <f t="shared" si="8"/>
        <v>0</v>
      </c>
      <c r="O259" s="350"/>
      <c r="P259" s="434"/>
      <c r="Q259" s="351"/>
      <c r="R259" s="435"/>
      <c r="S259" s="435"/>
      <c r="T259" s="435"/>
      <c r="U259" s="436" t="s">
        <v>3097</v>
      </c>
      <c r="V259" s="367"/>
      <c r="W259" s="367"/>
      <c r="X259" s="367"/>
      <c r="Y259" s="367"/>
      <c r="Z259" s="367"/>
      <c r="AA259" s="367"/>
      <c r="AB259" s="367"/>
      <c r="AC259" s="367"/>
      <c r="AD259" s="367"/>
      <c r="AE259" s="367"/>
      <c r="AF259" s="367"/>
      <c r="AG259" s="367"/>
      <c r="AH259" s="367"/>
      <c r="AI259" s="367"/>
      <c r="AJ259" s="367"/>
      <c r="AK259" s="367"/>
      <c r="AL259" s="367"/>
      <c r="AM259" s="367"/>
      <c r="AN259" s="367"/>
      <c r="AO259" s="367"/>
      <c r="AP259" s="367"/>
      <c r="AQ259" s="367"/>
      <c r="AR259" s="367"/>
      <c r="AS259" s="367"/>
      <c r="AT259" s="367"/>
      <c r="AU259" s="367"/>
      <c r="AV259" s="367"/>
      <c r="AW259" s="367"/>
      <c r="AX259" s="367"/>
      <c r="AY259" s="367"/>
      <c r="AZ259" s="367"/>
      <c r="BA259" s="367"/>
      <c r="BB259" s="367"/>
      <c r="BC259" s="367"/>
      <c r="BD259" s="367"/>
      <c r="BE259" s="367"/>
      <c r="BF259" s="367"/>
      <c r="BG259" s="367"/>
      <c r="BH259" s="367"/>
      <c r="BI259" s="367"/>
      <c r="BJ259" s="367"/>
      <c r="BK259" s="367"/>
      <c r="BL259" s="367"/>
      <c r="BM259" s="367"/>
      <c r="BN259" s="367"/>
      <c r="BO259" s="367"/>
      <c r="BP259" s="367"/>
      <c r="BQ259" s="367"/>
      <c r="BR259" s="367"/>
      <c r="BS259" s="367"/>
      <c r="BT259" s="367"/>
      <c r="BU259" s="367"/>
      <c r="BV259" s="367"/>
      <c r="BW259" s="367"/>
      <c r="BX259" s="367"/>
      <c r="BY259" s="367"/>
      <c r="BZ259" s="367"/>
      <c r="CA259" s="367"/>
      <c r="CB259" s="367"/>
      <c r="CC259" s="367"/>
      <c r="CD259" s="367"/>
      <c r="CE259" s="367"/>
      <c r="CF259" s="367"/>
      <c r="CG259" s="367"/>
      <c r="CH259" s="367"/>
      <c r="CI259" s="367"/>
      <c r="CJ259" s="367"/>
      <c r="CK259" s="367"/>
      <c r="CL259" s="367"/>
      <c r="CM259" s="367"/>
      <c r="CN259" s="367"/>
      <c r="CO259" s="367"/>
      <c r="CP259" s="367"/>
      <c r="CQ259" s="367"/>
      <c r="CR259" s="367"/>
      <c r="CS259" s="367"/>
      <c r="CT259" s="367"/>
      <c r="CU259" s="367"/>
      <c r="CV259" s="367"/>
      <c r="CW259" s="367"/>
      <c r="CX259" s="367"/>
      <c r="CY259" s="367"/>
      <c r="CZ259" s="367"/>
      <c r="DA259" s="367"/>
      <c r="DB259" s="367"/>
      <c r="DC259" s="367"/>
      <c r="DD259" s="367"/>
      <c r="DE259" s="367"/>
      <c r="DF259" s="367"/>
      <c r="DG259" s="367"/>
      <c r="DH259" s="367"/>
      <c r="DI259" s="367"/>
      <c r="DJ259" s="367"/>
      <c r="DK259" s="367"/>
      <c r="DL259" s="367"/>
      <c r="DM259" s="367"/>
      <c r="DN259" s="367"/>
      <c r="DO259" s="367"/>
      <c r="DP259" s="367"/>
      <c r="DQ259" s="367"/>
      <c r="DR259" s="367"/>
      <c r="DS259" s="367"/>
      <c r="DT259" s="367"/>
      <c r="DU259" s="367"/>
      <c r="DV259" s="367"/>
      <c r="DW259" s="367"/>
    </row>
    <row r="260" ht="15.0" customHeight="1">
      <c r="A260" s="383">
        <v>40168.0</v>
      </c>
      <c r="B260" s="320" t="s">
        <v>3098</v>
      </c>
      <c r="C260" s="320" t="s">
        <v>356</v>
      </c>
      <c r="D260" s="384">
        <v>350.0</v>
      </c>
      <c r="E260" s="374">
        <f>IFERROR(__xludf.DUMMYFUNCTION("if(and(D260&lt;&gt;0,D260&lt;&gt;""""),D260/GOOGLEFINANCE(C260,""price"")-1,"""")"),-0.2572313830351648)</f>
        <v>-0.257231383</v>
      </c>
      <c r="F260" s="375">
        <f>IFERROR(__xludf.DUMMYFUNCTION("GOOGLEFINANCE(C260,""price"")"),471.21)</f>
        <v>471.21</v>
      </c>
      <c r="G260" s="374">
        <f t="shared" si="6"/>
        <v>-0.1029400219</v>
      </c>
      <c r="H260" s="376"/>
      <c r="I260" s="376">
        <f>N260*($I$1+O260*100)</f>
        <v>422.7036323</v>
      </c>
      <c r="J260" s="380">
        <f>20.34</f>
        <v>20.34</v>
      </c>
      <c r="K260" s="380">
        <f>J260*1.03</f>
        <v>20.9502</v>
      </c>
      <c r="L260" s="378">
        <v>43465.0</v>
      </c>
      <c r="M260" s="379">
        <f t="shared" si="7"/>
        <v>-0.8201115781</v>
      </c>
      <c r="N260" s="380">
        <f t="shared" si="8"/>
        <v>21.45063208</v>
      </c>
      <c r="O260" s="370">
        <v>0.05</v>
      </c>
      <c r="P260" s="361"/>
      <c r="Q260" s="362"/>
      <c r="R260" s="360"/>
      <c r="S260" s="360">
        <v>43519.0</v>
      </c>
      <c r="T260" s="381" t="s">
        <v>1223</v>
      </c>
      <c r="U260" s="417" t="s">
        <v>3099</v>
      </c>
      <c r="V260" s="367"/>
      <c r="W260" s="367"/>
      <c r="X260" s="367"/>
      <c r="Y260" s="367"/>
      <c r="Z260" s="367"/>
      <c r="AA260" s="367"/>
      <c r="AB260" s="367"/>
      <c r="AC260" s="367"/>
      <c r="AD260" s="367"/>
      <c r="AE260" s="367"/>
      <c r="AF260" s="367"/>
      <c r="AG260" s="367"/>
      <c r="AH260" s="367"/>
      <c r="AI260" s="367"/>
      <c r="AJ260" s="367"/>
      <c r="AK260" s="367"/>
      <c r="AL260" s="367"/>
      <c r="AM260" s="367"/>
      <c r="AN260" s="367"/>
      <c r="AO260" s="367"/>
      <c r="AP260" s="367"/>
      <c r="AQ260" s="367"/>
      <c r="AR260" s="367"/>
      <c r="AS260" s="367"/>
      <c r="AT260" s="367"/>
      <c r="AU260" s="367"/>
      <c r="AV260" s="367"/>
      <c r="AW260" s="367"/>
      <c r="AX260" s="367"/>
      <c r="AY260" s="367"/>
      <c r="AZ260" s="367"/>
      <c r="BA260" s="367"/>
      <c r="BB260" s="367"/>
      <c r="BC260" s="367"/>
      <c r="BD260" s="367"/>
      <c r="BE260" s="367"/>
      <c r="BF260" s="367"/>
      <c r="BG260" s="367"/>
      <c r="BH260" s="367"/>
      <c r="BI260" s="367"/>
      <c r="BJ260" s="367"/>
      <c r="BK260" s="367"/>
      <c r="BL260" s="367"/>
      <c r="BM260" s="367"/>
      <c r="BN260" s="367"/>
      <c r="BO260" s="367"/>
      <c r="BP260" s="367"/>
      <c r="BQ260" s="367"/>
      <c r="BR260" s="367"/>
      <c r="BS260" s="367"/>
      <c r="BT260" s="367"/>
      <c r="BU260" s="367"/>
      <c r="BV260" s="367"/>
      <c r="BW260" s="367"/>
      <c r="BX260" s="367"/>
      <c r="BY260" s="367"/>
      <c r="BZ260" s="367"/>
      <c r="CA260" s="367"/>
      <c r="CB260" s="367"/>
      <c r="CC260" s="367"/>
      <c r="CD260" s="367"/>
      <c r="CE260" s="367"/>
      <c r="CF260" s="367"/>
      <c r="CG260" s="367"/>
      <c r="CH260" s="367"/>
      <c r="CI260" s="367"/>
      <c r="CJ260" s="367"/>
      <c r="CK260" s="367"/>
      <c r="CL260" s="367"/>
      <c r="CM260" s="367"/>
      <c r="CN260" s="367"/>
      <c r="CO260" s="367"/>
      <c r="CP260" s="367"/>
      <c r="CQ260" s="367"/>
      <c r="CR260" s="367"/>
      <c r="CS260" s="367"/>
      <c r="CT260" s="367"/>
      <c r="CU260" s="367"/>
      <c r="CV260" s="367"/>
      <c r="CW260" s="367"/>
      <c r="CX260" s="367"/>
      <c r="CY260" s="367"/>
      <c r="CZ260" s="367"/>
      <c r="DA260" s="367"/>
      <c r="DB260" s="367"/>
      <c r="DC260" s="367"/>
      <c r="DD260" s="367"/>
      <c r="DE260" s="367"/>
      <c r="DF260" s="367"/>
      <c r="DG260" s="367"/>
      <c r="DH260" s="367"/>
      <c r="DI260" s="367"/>
      <c r="DJ260" s="367"/>
      <c r="DK260" s="367"/>
      <c r="DL260" s="367"/>
      <c r="DM260" s="367"/>
      <c r="DN260" s="367"/>
      <c r="DO260" s="367"/>
      <c r="DP260" s="367"/>
      <c r="DQ260" s="367"/>
      <c r="DR260" s="367"/>
      <c r="DS260" s="367"/>
      <c r="DT260" s="367"/>
      <c r="DU260" s="367"/>
      <c r="DV260" s="367"/>
      <c r="DW260" s="367"/>
    </row>
    <row r="261" ht="15.0" customHeight="1">
      <c r="A261" s="383">
        <v>40443.0</v>
      </c>
      <c r="B261" s="320" t="s">
        <v>1957</v>
      </c>
      <c r="C261" s="320" t="s">
        <v>1154</v>
      </c>
      <c r="D261" s="373">
        <v>100.0</v>
      </c>
      <c r="E261" s="374">
        <f>IFERROR(__xludf.DUMMYFUNCTION("if(and(D261&lt;&gt;0,D261&lt;&gt;""""),D261/GOOGLEFINANCE(C261,""price"")-1,"""")"),-0.6387544252582906)</f>
        <v>-0.6387544253</v>
      </c>
      <c r="F261" s="375">
        <f>IFERROR(__xludf.DUMMYFUNCTION("GOOGLEFINANCE(C261,""price"")"),276.82)</f>
        <v>276.82</v>
      </c>
      <c r="G261" s="374">
        <f t="shared" si="6"/>
        <v>-0.3099254035</v>
      </c>
      <c r="H261" s="376"/>
      <c r="I261" s="368">
        <f t="shared" ref="I261:I262" si="137">sum(CY261:DS261)</f>
        <v>191.0264498</v>
      </c>
      <c r="J261" s="377">
        <v>3.29</v>
      </c>
      <c r="K261" s="377">
        <v>5.63</v>
      </c>
      <c r="L261" s="378">
        <v>43830.0</v>
      </c>
      <c r="M261" s="379">
        <f t="shared" si="7"/>
        <v>0.179888426</v>
      </c>
      <c r="N261" s="380">
        <f t="shared" si="8"/>
        <v>5.209061083</v>
      </c>
      <c r="O261" s="370">
        <v>0.3</v>
      </c>
      <c r="P261" s="370">
        <v>0.2</v>
      </c>
      <c r="Q261" s="371">
        <f t="shared" ref="Q261:Q262" si="138">I261/N261</f>
        <v>36.67195427</v>
      </c>
      <c r="R261" s="381">
        <v>6.0</v>
      </c>
      <c r="S261" s="378">
        <v>43676.0</v>
      </c>
      <c r="T261" s="387" t="s">
        <v>1240</v>
      </c>
      <c r="U261" s="382" t="s">
        <v>3100</v>
      </c>
      <c r="V261" s="429">
        <f t="shared" ref="V261:V262" si="139">O261</f>
        <v>0.3</v>
      </c>
      <c r="W261" s="430">
        <f>max(min(Valu!$C$15,$O261),$O261-max($O261-Valu!$C$15,0)/$R261*(W$3-1))</f>
        <v>0.255</v>
      </c>
      <c r="X261" s="430">
        <f>max(min(Valu!$C$15,$O261),$O261-max($O261-Valu!$C$15,0)/$R261*(X$3-1))</f>
        <v>0.21</v>
      </c>
      <c r="Y261" s="430">
        <f>max(min(Valu!$C$15,$O261),$O261-max($O261-Valu!$C$15,0)/$R261*(Y$3-1))</f>
        <v>0.165</v>
      </c>
      <c r="Z261" s="430">
        <f>max(min(Valu!$C$15,$O261),$O261-max($O261-Valu!$C$15,0)/$R261*(Z$3-1))</f>
        <v>0.12</v>
      </c>
      <c r="AA261" s="430">
        <f>max(min(Valu!$C$15,$O261),$O261-max($O261-Valu!$C$15,0)/$R261*(AA$3-1))</f>
        <v>0.075</v>
      </c>
      <c r="AB261" s="430">
        <f>max(min(Valu!$C$15,$O261),$O261-max($O261-Valu!$C$15,0)/$R261*(AB$3-1))</f>
        <v>0.03</v>
      </c>
      <c r="AC261" s="430">
        <f>max(min(Valu!$C$15,$O261),$O261-max($O261-Valu!$C$15,0)/$R261*(AC$3-1))</f>
        <v>0.03</v>
      </c>
      <c r="AD261" s="430">
        <f>max(min(Valu!$C$15,$O261),$O261-max($O261-Valu!$C$15,0)/$R261*(AD$3-1))</f>
        <v>0.03</v>
      </c>
      <c r="AE261" s="430">
        <f>max(min(Valu!$C$15,$O261),$O261-max($O261-Valu!$C$15,0)/$R261*(AE$3-1))</f>
        <v>0.03</v>
      </c>
      <c r="AF261" s="430">
        <f>max(min(Valu!$C$15,$O261),$O261-max($O261-Valu!$C$15,0)/$R261*(AF$3-1))</f>
        <v>0.03</v>
      </c>
      <c r="AG261" s="430">
        <f>max(min(Valu!$C$15,$O261),$O261-max($O261-Valu!$C$15,0)/$R261*(AG$3-1))</f>
        <v>0.03</v>
      </c>
      <c r="AH261" s="430">
        <f>max(min(Valu!$C$15,$O261),$O261-max($O261-Valu!$C$15,0)/$R261*(AH$3-1))</f>
        <v>0.03</v>
      </c>
      <c r="AI261" s="430">
        <f>max(min(Valu!$C$15,$O261),$O261-max($O261-Valu!$C$15,0)/$R261*(AI$3-1))</f>
        <v>0.03</v>
      </c>
      <c r="AJ261" s="430">
        <f>max(min(Valu!$C$15,$O261),$O261-max($O261-Valu!$C$15,0)/$R261*(AJ$3-1))</f>
        <v>0.03</v>
      </c>
      <c r="AK261" s="430">
        <f>max(min(Valu!$C$15,$O261),$O261-max($O261-Valu!$C$15,0)/$R261*(AK$3-1))</f>
        <v>0.03</v>
      </c>
      <c r="AL261" s="430">
        <f>max(min(Valu!$C$15,$O261),$O261-max($O261-Valu!$C$15,0)/$R261*(AL$3-1))</f>
        <v>0.03</v>
      </c>
      <c r="AM261" s="430">
        <f>max(min(Valu!$C$15,$O261),$O261-max($O261-Valu!$C$15,0)/$R261*(AM$3-1))</f>
        <v>0.03</v>
      </c>
      <c r="AN261" s="430">
        <f>max(min(Valu!$C$15,$O261),$O261-max($O261-Valu!$C$15,0)/$R261*(AN$3-1))</f>
        <v>0.03</v>
      </c>
      <c r="AO261" s="430">
        <f>max(min(Valu!$C$15,$O261),$O261-max($O261-Valu!$C$15,0)/$R261*(AO$3-1))</f>
        <v>0.03</v>
      </c>
      <c r="AP261" s="430">
        <f>max(min(Valu!$C$14,$P261),$P261-max($P261-Valu!$C$14,0)/$R261*(AP$3-1))</f>
        <v>0.2</v>
      </c>
      <c r="AQ261" s="430">
        <f>max(min(Valu!$C$14,$P261),$P261-max($P261-Valu!$C$14,0)/$R261*(AQ$3-1))</f>
        <v>0.1866666667</v>
      </c>
      <c r="AR261" s="430">
        <f>max(min(Valu!$C$14,$P261),$P261-max($P261-Valu!$C$14,0)/$R261*(AR$3-1))</f>
        <v>0.1733333333</v>
      </c>
      <c r="AS261" s="430">
        <f>max(min(Valu!$C$14,$P261),$P261-max($P261-Valu!$C$14,0)/$R261*(AS$3-1))</f>
        <v>0.16</v>
      </c>
      <c r="AT261" s="430">
        <f>max(min(Valu!$C$14,$P261),$P261-max($P261-Valu!$C$14,0)/$R261*(AT$3-1))</f>
        <v>0.1466666667</v>
      </c>
      <c r="AU261" s="430">
        <f>max(min(Valu!$C$14,$P261),$P261-max($P261-Valu!$C$14,0)/$R261*(AU$3-1))</f>
        <v>0.1333333333</v>
      </c>
      <c r="AV261" s="430">
        <f>max(min(Valu!$C$14,$P261),$P261-max($P261-Valu!$C$14,0)/$R261*(AV$3-1))</f>
        <v>0.12</v>
      </c>
      <c r="AW261" s="430">
        <f>max(min(Valu!$C$14,$P261),$P261-max($P261-Valu!$C$14,0)/$R261*(AW$3-1))</f>
        <v>0.12</v>
      </c>
      <c r="AX261" s="430">
        <f>max(min(Valu!$C$14,$P261),$P261-max($P261-Valu!$C$14,0)/$R261*(AX$3-1))</f>
        <v>0.12</v>
      </c>
      <c r="AY261" s="430">
        <f>max(min(Valu!$C$14,$P261),$P261-max($P261-Valu!$C$14,0)/$R261*(AY$3-1))</f>
        <v>0.12</v>
      </c>
      <c r="AZ261" s="430">
        <f>max(min(Valu!$C$14,$P261),$P261-max($P261-Valu!$C$14,0)/$R261*(AZ$3-1))</f>
        <v>0.12</v>
      </c>
      <c r="BA261" s="430">
        <f>max(min(Valu!$C$14,$P261),$P261-max($P261-Valu!$C$14,0)/$R261*(BA$3-1))</f>
        <v>0.12</v>
      </c>
      <c r="BB261" s="430">
        <f>max(min(Valu!$C$14,$P261),$P261-max($P261-Valu!$C$14,0)/$R261*(BB$3-1))</f>
        <v>0.12</v>
      </c>
      <c r="BC261" s="430">
        <f>max(min(Valu!$C$14,$P261),$P261-max($P261-Valu!$C$14,0)/$R261*(BC$3-1))</f>
        <v>0.12</v>
      </c>
      <c r="BD261" s="430">
        <f>max(min(Valu!$C$14,$P261),$P261-max($P261-Valu!$C$14,0)/$R261*(BD$3-1))</f>
        <v>0.12</v>
      </c>
      <c r="BE261" s="430">
        <f>max(min(Valu!$C$14,$P261),$P261-max($P261-Valu!$C$14,0)/$R261*(BE$3-1))</f>
        <v>0.12</v>
      </c>
      <c r="BF261" s="430">
        <f>max(min(Valu!$C$14,$P261),$P261-max($P261-Valu!$C$14,0)/$R261*(BF$3-1))</f>
        <v>0.12</v>
      </c>
      <c r="BG261" s="430">
        <f>max(min(Valu!$C$14,$P261),$P261-max($P261-Valu!$C$14,0)/$R261*(BG$3-1))</f>
        <v>0.12</v>
      </c>
      <c r="BH261" s="430">
        <f>max(min(Valu!$C$14,$P261),$P261-max($P261-Valu!$C$14,0)/$R261*(BH$3-1))</f>
        <v>0.12</v>
      </c>
      <c r="BI261" s="430">
        <f>max(min(Valu!$C$14,$P261),$P261-max($P261-Valu!$C$14,0)/$R261*(BI$3-1))</f>
        <v>0.12</v>
      </c>
      <c r="BJ261" s="431">
        <f t="shared" ref="BJ261:BJ262" si="140">N261</f>
        <v>5.209061083</v>
      </c>
      <c r="BK261" s="432">
        <f t="shared" ref="BK261:BK262" si="141">$BJ261*(1+V261)</f>
        <v>6.771779408</v>
      </c>
      <c r="BL261" s="432">
        <f t="shared" ref="BL261:CC261" si="135">BK261*(1+W261)</f>
        <v>8.498583157</v>
      </c>
      <c r="BM261" s="432">
        <f t="shared" si="135"/>
        <v>10.28328562</v>
      </c>
      <c r="BN261" s="432">
        <f t="shared" si="135"/>
        <v>11.98002775</v>
      </c>
      <c r="BO261" s="432">
        <f t="shared" si="135"/>
        <v>13.41763108</v>
      </c>
      <c r="BP261" s="432">
        <f t="shared" si="135"/>
        <v>14.42395341</v>
      </c>
      <c r="BQ261" s="432">
        <f t="shared" si="135"/>
        <v>14.85667201</v>
      </c>
      <c r="BR261" s="432">
        <f t="shared" si="135"/>
        <v>15.30237217</v>
      </c>
      <c r="BS261" s="432">
        <f t="shared" si="135"/>
        <v>15.76144334</v>
      </c>
      <c r="BT261" s="432">
        <f t="shared" si="135"/>
        <v>16.23428664</v>
      </c>
      <c r="BU261" s="432">
        <f t="shared" si="135"/>
        <v>16.72131523</v>
      </c>
      <c r="BV261" s="432">
        <f t="shared" si="135"/>
        <v>17.22295469</v>
      </c>
      <c r="BW261" s="432">
        <f t="shared" si="135"/>
        <v>17.73964333</v>
      </c>
      <c r="BX261" s="432">
        <f t="shared" si="135"/>
        <v>18.27183263</v>
      </c>
      <c r="BY261" s="432">
        <f t="shared" si="135"/>
        <v>18.81998761</v>
      </c>
      <c r="BZ261" s="432">
        <f t="shared" si="135"/>
        <v>19.38458724</v>
      </c>
      <c r="CA261" s="432">
        <f t="shared" si="135"/>
        <v>19.96612486</v>
      </c>
      <c r="CB261" s="432">
        <f t="shared" si="135"/>
        <v>20.5651086</v>
      </c>
      <c r="CC261" s="432">
        <f t="shared" si="135"/>
        <v>21.18206186</v>
      </c>
      <c r="CD261" s="432">
        <f t="shared" ref="CD261:CW261" si="136">BJ261*(1-V261/AP261)</f>
        <v>-2.604530542</v>
      </c>
      <c r="CE261" s="432">
        <f t="shared" si="136"/>
        <v>-2.478954962</v>
      </c>
      <c r="CF261" s="432">
        <f t="shared" si="136"/>
        <v>-1.797777206</v>
      </c>
      <c r="CG261" s="432">
        <f t="shared" si="136"/>
        <v>-0.3213526756</v>
      </c>
      <c r="CH261" s="432">
        <f t="shared" si="136"/>
        <v>2.178186863</v>
      </c>
      <c r="CI261" s="432">
        <f t="shared" si="136"/>
        <v>5.870213596</v>
      </c>
      <c r="CJ261" s="432">
        <f t="shared" si="136"/>
        <v>10.81796506</v>
      </c>
      <c r="CK261" s="432">
        <f t="shared" si="136"/>
        <v>11.14250401</v>
      </c>
      <c r="CL261" s="432">
        <f t="shared" si="136"/>
        <v>11.47677913</v>
      </c>
      <c r="CM261" s="432">
        <f t="shared" si="136"/>
        <v>11.8210825</v>
      </c>
      <c r="CN261" s="432">
        <f t="shared" si="136"/>
        <v>12.17571498</v>
      </c>
      <c r="CO261" s="432">
        <f t="shared" si="136"/>
        <v>12.54098643</v>
      </c>
      <c r="CP261" s="432">
        <f t="shared" si="136"/>
        <v>12.91721602</v>
      </c>
      <c r="CQ261" s="432">
        <f t="shared" si="136"/>
        <v>13.3047325</v>
      </c>
      <c r="CR261" s="432">
        <f t="shared" si="136"/>
        <v>13.70387447</v>
      </c>
      <c r="CS261" s="432">
        <f t="shared" si="136"/>
        <v>14.11499071</v>
      </c>
      <c r="CT261" s="432">
        <f t="shared" si="136"/>
        <v>14.53844043</v>
      </c>
      <c r="CU261" s="432">
        <f t="shared" si="136"/>
        <v>14.97459364</v>
      </c>
      <c r="CV261" s="432">
        <f t="shared" si="136"/>
        <v>15.42383145</v>
      </c>
      <c r="CW261" s="432">
        <f t="shared" si="136"/>
        <v>15.8865464</v>
      </c>
      <c r="CX261" s="432">
        <f>CW261*(1+min(Valu!$C$15,$O261))/(Valu!$C$21-min(Valu!$C$15,$O261))</f>
        <v>430.6090207</v>
      </c>
      <c r="CY261" s="432">
        <f>CD261/(1+Valu!$C$21)^CY$3</f>
        <v>-2.438699009</v>
      </c>
      <c r="CZ261" s="432">
        <f>CE261/(1+Valu!$C$21)^CZ$3</f>
        <v>-2.173332283</v>
      </c>
      <c r="DA261" s="432">
        <f>CF261/(1+Valu!$C$21)^DA$3</f>
        <v>-1.475781669</v>
      </c>
      <c r="DB261" s="432">
        <f>CG261/(1+Valu!$C$21)^DB$3</f>
        <v>-0.2469999751</v>
      </c>
      <c r="DC261" s="432">
        <f>CH261/(1+Valu!$C$21)^DC$3</f>
        <v>1.567613053</v>
      </c>
      <c r="DD261" s="432">
        <f>CI261/(1+Valu!$C$21)^DD$3</f>
        <v>3.955727694</v>
      </c>
      <c r="DE261" s="432">
        <f>CJ261/(1+Valu!$C$21)^DE$3</f>
        <v>6.825693854</v>
      </c>
      <c r="DF261" s="432">
        <f>CK261/(1+Valu!$C$21)^DF$3</f>
        <v>6.582832088</v>
      </c>
      <c r="DG261" s="432">
        <f>CL261/(1+Valu!$C$21)^DG$3</f>
        <v>6.34861147</v>
      </c>
      <c r="DH261" s="432">
        <f>CM261/(1+Valu!$C$21)^DH$3</f>
        <v>6.122724545</v>
      </c>
      <c r="DI261" s="432">
        <f>CN261/(1+Valu!$C$21)^DI$3</f>
        <v>5.904874796</v>
      </c>
      <c r="DJ261" s="432">
        <f>CO261/(1+Valu!$C$21)^DJ$3</f>
        <v>5.694776254</v>
      </c>
      <c r="DK261" s="432">
        <f>CP261/(1+Valu!$C$21)^DK$3</f>
        <v>5.492153129</v>
      </c>
      <c r="DL261" s="432">
        <f>CQ261/(1+Valu!$C$21)^DL$3</f>
        <v>5.296739441</v>
      </c>
      <c r="DM261" s="432">
        <f>CR261/(1+Valu!$C$21)^DM$3</f>
        <v>5.108278674</v>
      </c>
      <c r="DN261" s="432">
        <f>CS261/(1+Valu!$C$21)^DN$3</f>
        <v>4.926523441</v>
      </c>
      <c r="DO261" s="432">
        <f>CT261/(1+Valu!$C$21)^DO$3</f>
        <v>4.751235153</v>
      </c>
      <c r="DP261" s="432">
        <f>CU261/(1+Valu!$C$21)^DP$3</f>
        <v>4.582183715</v>
      </c>
      <c r="DQ261" s="432">
        <f>CV261/(1+Valu!$C$21)^DQ$3</f>
        <v>4.419147216</v>
      </c>
      <c r="DR261" s="432">
        <f>CW261/(1+Valu!$C$21)^DR$3</f>
        <v>4.261911641</v>
      </c>
      <c r="DS261" s="432">
        <f>CX261/(1+Valu!$C$21)^DS$3</f>
        <v>115.5202366</v>
      </c>
      <c r="DT261" s="344"/>
      <c r="DU261" s="344"/>
      <c r="DV261" s="344"/>
      <c r="DW261" s="344"/>
    </row>
    <row r="262" ht="15.0" customHeight="1">
      <c r="A262" s="383">
        <v>40375.0</v>
      </c>
      <c r="B262" s="320" t="s">
        <v>3106</v>
      </c>
      <c r="C262" s="320" t="s">
        <v>1416</v>
      </c>
      <c r="D262" s="384">
        <v>43.0</v>
      </c>
      <c r="E262" s="374">
        <f>IFERROR(__xludf.DUMMYFUNCTION("if(and(D262&lt;&gt;0,D262&lt;&gt;""""),D262/GOOGLEFINANCE(C262,""price"")-1,"""")"),-0.5270567531896173)</f>
        <v>-0.5270567532</v>
      </c>
      <c r="F262" s="375">
        <f>IFERROR(__xludf.DUMMYFUNCTION("GOOGLEFINANCE(C262,""price"")"),90.92)</f>
        <v>90.92</v>
      </c>
      <c r="G262" s="374">
        <f t="shared" si="6"/>
        <v>-0.2277681591</v>
      </c>
      <c r="H262" s="376">
        <v>45.0</v>
      </c>
      <c r="I262" s="368">
        <f t="shared" si="137"/>
        <v>70.21131898</v>
      </c>
      <c r="J262" s="377">
        <v>2.98</v>
      </c>
      <c r="K262" s="377">
        <v>3.44</v>
      </c>
      <c r="L262" s="378">
        <v>43982.0</v>
      </c>
      <c r="M262" s="379">
        <f t="shared" si="7"/>
        <v>0.5963267799</v>
      </c>
      <c r="N262" s="380">
        <f t="shared" si="8"/>
        <v>3.165689681</v>
      </c>
      <c r="O262" s="370">
        <v>0.075</v>
      </c>
      <c r="P262" s="370">
        <v>0.2</v>
      </c>
      <c r="Q262" s="371">
        <f t="shared" si="138"/>
        <v>22.17883812</v>
      </c>
      <c r="R262" s="381">
        <v>6.0</v>
      </c>
      <c r="S262" s="378">
        <v>43734.0</v>
      </c>
      <c r="T262" s="381" t="s">
        <v>1223</v>
      </c>
      <c r="U262" s="386" t="s">
        <v>3107</v>
      </c>
      <c r="V262" s="429">
        <f t="shared" si="139"/>
        <v>0.075</v>
      </c>
      <c r="W262" s="430">
        <f>max(min(Valu!$C$15,$O262),$O262-max($O262-Valu!$C$15,0)/$R262*(W$3-1))</f>
        <v>0.0675</v>
      </c>
      <c r="X262" s="430">
        <f>max(min(Valu!$C$15,$O262),$O262-max($O262-Valu!$C$15,0)/$R262*(X$3-1))</f>
        <v>0.06</v>
      </c>
      <c r="Y262" s="430">
        <f>max(min(Valu!$C$15,$O262),$O262-max($O262-Valu!$C$15,0)/$R262*(Y$3-1))</f>
        <v>0.0525</v>
      </c>
      <c r="Z262" s="430">
        <f>max(min(Valu!$C$15,$O262),$O262-max($O262-Valu!$C$15,0)/$R262*(Z$3-1))</f>
        <v>0.045</v>
      </c>
      <c r="AA262" s="430">
        <f>max(min(Valu!$C$15,$O262),$O262-max($O262-Valu!$C$15,0)/$R262*(AA$3-1))</f>
        <v>0.0375</v>
      </c>
      <c r="AB262" s="430">
        <f>max(min(Valu!$C$15,$O262),$O262-max($O262-Valu!$C$15,0)/$R262*(AB$3-1))</f>
        <v>0.03</v>
      </c>
      <c r="AC262" s="430">
        <f>max(min(Valu!$C$15,$O262),$O262-max($O262-Valu!$C$15,0)/$R262*(AC$3-1))</f>
        <v>0.03</v>
      </c>
      <c r="AD262" s="430">
        <f>max(min(Valu!$C$15,$O262),$O262-max($O262-Valu!$C$15,0)/$R262*(AD$3-1))</f>
        <v>0.03</v>
      </c>
      <c r="AE262" s="430">
        <f>max(min(Valu!$C$15,$O262),$O262-max($O262-Valu!$C$15,0)/$R262*(AE$3-1))</f>
        <v>0.03</v>
      </c>
      <c r="AF262" s="430">
        <f>max(min(Valu!$C$15,$O262),$O262-max($O262-Valu!$C$15,0)/$R262*(AF$3-1))</f>
        <v>0.03</v>
      </c>
      <c r="AG262" s="430">
        <f>max(min(Valu!$C$15,$O262),$O262-max($O262-Valu!$C$15,0)/$R262*(AG$3-1))</f>
        <v>0.03</v>
      </c>
      <c r="AH262" s="430">
        <f>max(min(Valu!$C$15,$O262),$O262-max($O262-Valu!$C$15,0)/$R262*(AH$3-1))</f>
        <v>0.03</v>
      </c>
      <c r="AI262" s="430">
        <f>max(min(Valu!$C$15,$O262),$O262-max($O262-Valu!$C$15,0)/$R262*(AI$3-1))</f>
        <v>0.03</v>
      </c>
      <c r="AJ262" s="430">
        <f>max(min(Valu!$C$15,$O262),$O262-max($O262-Valu!$C$15,0)/$R262*(AJ$3-1))</f>
        <v>0.03</v>
      </c>
      <c r="AK262" s="430">
        <f>max(min(Valu!$C$15,$O262),$O262-max($O262-Valu!$C$15,0)/$R262*(AK$3-1))</f>
        <v>0.03</v>
      </c>
      <c r="AL262" s="430">
        <f>max(min(Valu!$C$15,$O262),$O262-max($O262-Valu!$C$15,0)/$R262*(AL$3-1))</f>
        <v>0.03</v>
      </c>
      <c r="AM262" s="430">
        <f>max(min(Valu!$C$15,$O262),$O262-max($O262-Valu!$C$15,0)/$R262*(AM$3-1))</f>
        <v>0.03</v>
      </c>
      <c r="AN262" s="430">
        <f>max(min(Valu!$C$15,$O262),$O262-max($O262-Valu!$C$15,0)/$R262*(AN$3-1))</f>
        <v>0.03</v>
      </c>
      <c r="AO262" s="430">
        <f>max(min(Valu!$C$15,$O262),$O262-max($O262-Valu!$C$15,0)/$R262*(AO$3-1))</f>
        <v>0.03</v>
      </c>
      <c r="AP262" s="430">
        <f>max(min(Valu!$C$14,$P262),$P262-max($P262-Valu!$C$14,0)/$R262*(AP$3-1))</f>
        <v>0.2</v>
      </c>
      <c r="AQ262" s="430">
        <f>max(min(Valu!$C$14,$P262),$P262-max($P262-Valu!$C$14,0)/$R262*(AQ$3-1))</f>
        <v>0.1866666667</v>
      </c>
      <c r="AR262" s="430">
        <f>max(min(Valu!$C$14,$P262),$P262-max($P262-Valu!$C$14,0)/$R262*(AR$3-1))</f>
        <v>0.1733333333</v>
      </c>
      <c r="AS262" s="430">
        <f>max(min(Valu!$C$14,$P262),$P262-max($P262-Valu!$C$14,0)/$R262*(AS$3-1))</f>
        <v>0.16</v>
      </c>
      <c r="AT262" s="430">
        <f>max(min(Valu!$C$14,$P262),$P262-max($P262-Valu!$C$14,0)/$R262*(AT$3-1))</f>
        <v>0.1466666667</v>
      </c>
      <c r="AU262" s="430">
        <f>max(min(Valu!$C$14,$P262),$P262-max($P262-Valu!$C$14,0)/$R262*(AU$3-1))</f>
        <v>0.1333333333</v>
      </c>
      <c r="AV262" s="430">
        <f>max(min(Valu!$C$14,$P262),$P262-max($P262-Valu!$C$14,0)/$R262*(AV$3-1))</f>
        <v>0.12</v>
      </c>
      <c r="AW262" s="430">
        <f>max(min(Valu!$C$14,$P262),$P262-max($P262-Valu!$C$14,0)/$R262*(AW$3-1))</f>
        <v>0.12</v>
      </c>
      <c r="AX262" s="430">
        <f>max(min(Valu!$C$14,$P262),$P262-max($P262-Valu!$C$14,0)/$R262*(AX$3-1))</f>
        <v>0.12</v>
      </c>
      <c r="AY262" s="430">
        <f>max(min(Valu!$C$14,$P262),$P262-max($P262-Valu!$C$14,0)/$R262*(AY$3-1))</f>
        <v>0.12</v>
      </c>
      <c r="AZ262" s="430">
        <f>max(min(Valu!$C$14,$P262),$P262-max($P262-Valu!$C$14,0)/$R262*(AZ$3-1))</f>
        <v>0.12</v>
      </c>
      <c r="BA262" s="430">
        <f>max(min(Valu!$C$14,$P262),$P262-max($P262-Valu!$C$14,0)/$R262*(BA$3-1))</f>
        <v>0.12</v>
      </c>
      <c r="BB262" s="430">
        <f>max(min(Valu!$C$14,$P262),$P262-max($P262-Valu!$C$14,0)/$R262*(BB$3-1))</f>
        <v>0.12</v>
      </c>
      <c r="BC262" s="430">
        <f>max(min(Valu!$C$14,$P262),$P262-max($P262-Valu!$C$14,0)/$R262*(BC$3-1))</f>
        <v>0.12</v>
      </c>
      <c r="BD262" s="430">
        <f>max(min(Valu!$C$14,$P262),$P262-max($P262-Valu!$C$14,0)/$R262*(BD$3-1))</f>
        <v>0.12</v>
      </c>
      <c r="BE262" s="430">
        <f>max(min(Valu!$C$14,$P262),$P262-max($P262-Valu!$C$14,0)/$R262*(BE$3-1))</f>
        <v>0.12</v>
      </c>
      <c r="BF262" s="430">
        <f>max(min(Valu!$C$14,$P262),$P262-max($P262-Valu!$C$14,0)/$R262*(BF$3-1))</f>
        <v>0.12</v>
      </c>
      <c r="BG262" s="430">
        <f>max(min(Valu!$C$14,$P262),$P262-max($P262-Valu!$C$14,0)/$R262*(BG$3-1))</f>
        <v>0.12</v>
      </c>
      <c r="BH262" s="430">
        <f>max(min(Valu!$C$14,$P262),$P262-max($P262-Valu!$C$14,0)/$R262*(BH$3-1))</f>
        <v>0.12</v>
      </c>
      <c r="BI262" s="430">
        <f>max(min(Valu!$C$14,$P262),$P262-max($P262-Valu!$C$14,0)/$R262*(BI$3-1))</f>
        <v>0.12</v>
      </c>
      <c r="BJ262" s="431">
        <f t="shared" si="140"/>
        <v>3.165689681</v>
      </c>
      <c r="BK262" s="432">
        <f t="shared" si="141"/>
        <v>3.403116407</v>
      </c>
      <c r="BL262" s="432">
        <f t="shared" ref="BL262:CC262" si="142">BK262*(1+W262)</f>
        <v>3.632826765</v>
      </c>
      <c r="BM262" s="432">
        <f t="shared" si="142"/>
        <v>3.850796371</v>
      </c>
      <c r="BN262" s="432">
        <f t="shared" si="142"/>
        <v>4.05296318</v>
      </c>
      <c r="BO262" s="432">
        <f t="shared" si="142"/>
        <v>4.235346523</v>
      </c>
      <c r="BP262" s="432">
        <f t="shared" si="142"/>
        <v>4.394172018</v>
      </c>
      <c r="BQ262" s="432">
        <f t="shared" si="142"/>
        <v>4.525997178</v>
      </c>
      <c r="BR262" s="432">
        <f t="shared" si="142"/>
        <v>4.661777094</v>
      </c>
      <c r="BS262" s="432">
        <f t="shared" si="142"/>
        <v>4.801630407</v>
      </c>
      <c r="BT262" s="432">
        <f t="shared" si="142"/>
        <v>4.945679319</v>
      </c>
      <c r="BU262" s="432">
        <f t="shared" si="142"/>
        <v>5.094049698</v>
      </c>
      <c r="BV262" s="432">
        <f t="shared" si="142"/>
        <v>5.246871189</v>
      </c>
      <c r="BW262" s="432">
        <f t="shared" si="142"/>
        <v>5.404277325</v>
      </c>
      <c r="BX262" s="432">
        <f t="shared" si="142"/>
        <v>5.566405645</v>
      </c>
      <c r="BY262" s="432">
        <f t="shared" si="142"/>
        <v>5.733397814</v>
      </c>
      <c r="BZ262" s="432">
        <f t="shared" si="142"/>
        <v>5.905399749</v>
      </c>
      <c r="CA262" s="432">
        <f t="shared" si="142"/>
        <v>6.082561741</v>
      </c>
      <c r="CB262" s="432">
        <f t="shared" si="142"/>
        <v>6.265038593</v>
      </c>
      <c r="CC262" s="432">
        <f t="shared" si="142"/>
        <v>6.452989751</v>
      </c>
      <c r="CD262" s="432">
        <f t="shared" ref="CD262:CW262" si="143">BJ262*(1-V262/AP262)</f>
        <v>1.978556051</v>
      </c>
      <c r="CE262" s="432">
        <f t="shared" si="143"/>
        <v>2.172525206</v>
      </c>
      <c r="CF262" s="432">
        <f t="shared" si="143"/>
        <v>2.375309808</v>
      </c>
      <c r="CG262" s="432">
        <f t="shared" si="143"/>
        <v>2.587253812</v>
      </c>
      <c r="CH262" s="432">
        <f t="shared" si="143"/>
        <v>2.809440386</v>
      </c>
      <c r="CI262" s="432">
        <f t="shared" si="143"/>
        <v>3.044155314</v>
      </c>
      <c r="CJ262" s="432">
        <f t="shared" si="143"/>
        <v>3.295629013</v>
      </c>
      <c r="CK262" s="432">
        <f t="shared" si="143"/>
        <v>3.394497884</v>
      </c>
      <c r="CL262" s="432">
        <f t="shared" si="143"/>
        <v>3.49633282</v>
      </c>
      <c r="CM262" s="432">
        <f t="shared" si="143"/>
        <v>3.601222805</v>
      </c>
      <c r="CN262" s="432">
        <f t="shared" si="143"/>
        <v>3.709259489</v>
      </c>
      <c r="CO262" s="432">
        <f t="shared" si="143"/>
        <v>3.820537274</v>
      </c>
      <c r="CP262" s="432">
        <f t="shared" si="143"/>
        <v>3.935153392</v>
      </c>
      <c r="CQ262" s="432">
        <f t="shared" si="143"/>
        <v>4.053207994</v>
      </c>
      <c r="CR262" s="432">
        <f t="shared" si="143"/>
        <v>4.174804234</v>
      </c>
      <c r="CS262" s="432">
        <f t="shared" si="143"/>
        <v>4.300048361</v>
      </c>
      <c r="CT262" s="432">
        <f t="shared" si="143"/>
        <v>4.429049811</v>
      </c>
      <c r="CU262" s="432">
        <f t="shared" si="143"/>
        <v>4.561921306</v>
      </c>
      <c r="CV262" s="432">
        <f t="shared" si="143"/>
        <v>4.698778945</v>
      </c>
      <c r="CW262" s="432">
        <f t="shared" si="143"/>
        <v>4.839742313</v>
      </c>
      <c r="CX262" s="432">
        <f>CW262*(1+min(Valu!$C$15,$O262))/(Valu!$C$21-min(Valu!$C$15,$O262))</f>
        <v>131.182489</v>
      </c>
      <c r="CY262" s="432">
        <f>CD262/(1+Valu!$C$21)^CY$3</f>
        <v>1.852580572</v>
      </c>
      <c r="CZ262" s="432">
        <f>CE262/(1+Valu!$C$21)^CZ$3</f>
        <v>1.904681303</v>
      </c>
      <c r="DA262" s="432">
        <f>CF262/(1+Valu!$C$21)^DA$3</f>
        <v>1.9498738</v>
      </c>
      <c r="DB262" s="432">
        <f>CG262/(1+Valu!$C$21)^DB$3</f>
        <v>1.988630173</v>
      </c>
      <c r="DC262" s="432">
        <f>CH262/(1+Valu!$C$21)^DC$3</f>
        <v>2.021918089</v>
      </c>
      <c r="DD262" s="432">
        <f>CI262/(1+Valu!$C$21)^DD$3</f>
        <v>2.051347754</v>
      </c>
      <c r="DE262" s="432">
        <f>CJ262/(1+Valu!$C$21)^DE$3</f>
        <v>2.079407225</v>
      </c>
      <c r="DF262" s="432">
        <f>CK262/(1+Valu!$C$21)^DF$3</f>
        <v>2.005420826</v>
      </c>
      <c r="DG262" s="432">
        <f>CL262/(1+Valu!$C$21)^DG$3</f>
        <v>1.934066902</v>
      </c>
      <c r="DH262" s="432">
        <f>CM262/(1+Valu!$C$21)^DH$3</f>
        <v>1.865251787</v>
      </c>
      <c r="DI262" s="432">
        <f>CN262/(1+Valu!$C$21)^DI$3</f>
        <v>1.79888515</v>
      </c>
      <c r="DJ262" s="432">
        <f>CO262/(1+Valu!$C$21)^DJ$3</f>
        <v>1.734879874</v>
      </c>
      <c r="DK262" s="432">
        <f>CP262/(1+Valu!$C$21)^DK$3</f>
        <v>1.673151938</v>
      </c>
      <c r="DL262" s="432">
        <f>CQ262/(1+Valu!$C$21)^DL$3</f>
        <v>1.613620315</v>
      </c>
      <c r="DM262" s="432">
        <f>CR262/(1+Valu!$C$21)^DM$3</f>
        <v>1.556206858</v>
      </c>
      <c r="DN262" s="432">
        <f>CS262/(1+Valu!$C$21)^DN$3</f>
        <v>1.500836202</v>
      </c>
      <c r="DO262" s="432">
        <f>CT262/(1+Valu!$C$21)^DO$3</f>
        <v>1.447435663</v>
      </c>
      <c r="DP262" s="432">
        <f>CU262/(1+Valu!$C$21)^DP$3</f>
        <v>1.395935143</v>
      </c>
      <c r="DQ262" s="432">
        <f>CV262/(1+Valu!$C$21)^DQ$3</f>
        <v>1.346267039</v>
      </c>
      <c r="DR262" s="432">
        <f>CW262/(1+Valu!$C$21)^DR$3</f>
        <v>1.298366152</v>
      </c>
      <c r="DS262" s="432">
        <f>CX262/(1+Valu!$C$21)^DS$3</f>
        <v>35.19255621</v>
      </c>
      <c r="DT262" s="344"/>
      <c r="DU262" s="344"/>
      <c r="DV262" s="344"/>
      <c r="DW262" s="344"/>
    </row>
    <row r="263" ht="15.0" customHeight="1">
      <c r="A263" s="372">
        <v>42683.0</v>
      </c>
      <c r="B263" s="384" t="s">
        <v>3114</v>
      </c>
      <c r="C263" s="384" t="s">
        <v>3115</v>
      </c>
      <c r="D263" s="384">
        <v>290.0</v>
      </c>
      <c r="E263" s="374">
        <f>IFERROR(__xludf.DUMMYFUNCTION("if(and(D263&lt;&gt;0,D263&lt;&gt;""""),D263/GOOGLEFINANCE(C263,""price"")-1,"""")"),-0.1594202898550725)</f>
        <v>-0.1594202899</v>
      </c>
      <c r="F263" s="375">
        <f>IFERROR(__xludf.DUMMYFUNCTION("GOOGLEFINANCE(C263,""price"")"),345.0)</f>
        <v>345</v>
      </c>
      <c r="G263" s="374">
        <f t="shared" si="6"/>
        <v>-0.1400010166</v>
      </c>
      <c r="H263" s="376"/>
      <c r="I263" s="376">
        <f>N263*($I$1+O263*100)</f>
        <v>296.6996493</v>
      </c>
      <c r="J263" s="377">
        <v>19.2</v>
      </c>
      <c r="K263" s="377">
        <v>18.71</v>
      </c>
      <c r="L263" s="378">
        <v>43465.0</v>
      </c>
      <c r="M263" s="379">
        <f t="shared" si="7"/>
        <v>-0.8201115781</v>
      </c>
      <c r="N263" s="380">
        <f t="shared" si="8"/>
        <v>18.30814533</v>
      </c>
      <c r="O263" s="370">
        <v>0.015</v>
      </c>
      <c r="P263" s="370"/>
      <c r="Q263" s="371"/>
      <c r="R263" s="378"/>
      <c r="S263" s="378">
        <v>43472.0</v>
      </c>
      <c r="T263" s="381" t="s">
        <v>1223</v>
      </c>
      <c r="U263" s="386" t="s">
        <v>3116</v>
      </c>
      <c r="V263" s="344"/>
      <c r="W263" s="344"/>
      <c r="X263" s="344"/>
      <c r="Y263" s="344"/>
      <c r="Z263" s="344"/>
      <c r="AA263" s="344"/>
      <c r="AB263" s="344"/>
      <c r="AC263" s="344"/>
      <c r="AD263" s="344"/>
      <c r="AE263" s="344"/>
      <c r="AF263" s="344"/>
      <c r="AG263" s="344"/>
      <c r="AH263" s="344"/>
      <c r="AI263" s="344"/>
      <c r="AJ263" s="344"/>
      <c r="AK263" s="344"/>
      <c r="AL263" s="344"/>
      <c r="AM263" s="344"/>
      <c r="AN263" s="344"/>
      <c r="AO263" s="344"/>
      <c r="AP263" s="344"/>
      <c r="AQ263" s="344"/>
      <c r="AR263" s="344"/>
      <c r="AS263" s="344"/>
      <c r="AT263" s="344"/>
      <c r="AU263" s="344"/>
      <c r="AV263" s="344"/>
      <c r="AW263" s="344"/>
      <c r="AX263" s="344"/>
      <c r="AY263" s="344"/>
      <c r="AZ263" s="344"/>
      <c r="BA263" s="344"/>
      <c r="BB263" s="344"/>
      <c r="BC263" s="344"/>
      <c r="BD263" s="344"/>
      <c r="BE263" s="344"/>
      <c r="BF263" s="344"/>
      <c r="BG263" s="344"/>
      <c r="BH263" s="344"/>
      <c r="BI263" s="344"/>
      <c r="BJ263" s="344"/>
      <c r="BK263" s="344"/>
      <c r="BL263" s="344"/>
      <c r="BM263" s="344"/>
      <c r="BN263" s="344"/>
      <c r="BO263" s="344"/>
      <c r="BP263" s="344"/>
      <c r="BQ263" s="344"/>
      <c r="BR263" s="344"/>
      <c r="BS263" s="344"/>
      <c r="BT263" s="344"/>
      <c r="BU263" s="344"/>
      <c r="BV263" s="344"/>
      <c r="BW263" s="344"/>
      <c r="BX263" s="344"/>
      <c r="BY263" s="344"/>
      <c r="BZ263" s="344"/>
      <c r="CA263" s="344"/>
      <c r="CB263" s="344"/>
      <c r="CC263" s="344"/>
      <c r="CD263" s="344"/>
      <c r="CE263" s="344"/>
      <c r="CF263" s="344"/>
      <c r="CG263" s="344"/>
      <c r="CH263" s="344"/>
      <c r="CI263" s="344"/>
      <c r="CJ263" s="344"/>
      <c r="CK263" s="344"/>
      <c r="CL263" s="344"/>
      <c r="CM263" s="344"/>
      <c r="CN263" s="344"/>
      <c r="CO263" s="344"/>
      <c r="CP263" s="344"/>
      <c r="CQ263" s="344"/>
      <c r="CR263" s="344"/>
      <c r="CS263" s="344"/>
      <c r="CT263" s="344"/>
      <c r="CU263" s="344"/>
      <c r="CV263" s="344"/>
      <c r="CW263" s="344"/>
      <c r="CX263" s="344"/>
      <c r="CY263" s="344"/>
      <c r="CZ263" s="344"/>
      <c r="DA263" s="344"/>
      <c r="DB263" s="344"/>
      <c r="DC263" s="344"/>
      <c r="DD263" s="344"/>
      <c r="DE263" s="344"/>
      <c r="DF263" s="344"/>
      <c r="DG263" s="344"/>
      <c r="DH263" s="344"/>
      <c r="DI263" s="344"/>
      <c r="DJ263" s="344"/>
      <c r="DK263" s="344"/>
      <c r="DL263" s="344"/>
      <c r="DM263" s="344"/>
      <c r="DN263" s="344"/>
      <c r="DO263" s="344"/>
      <c r="DP263" s="344"/>
      <c r="DQ263" s="344"/>
      <c r="DR263" s="344"/>
      <c r="DS263" s="344"/>
      <c r="DT263" s="344"/>
      <c r="DU263" s="344"/>
      <c r="DV263" s="344"/>
      <c r="DW263" s="344"/>
    </row>
    <row r="264" ht="15.0" customHeight="1">
      <c r="A264" s="383">
        <v>40036.0</v>
      </c>
      <c r="B264" s="320" t="s">
        <v>3117</v>
      </c>
      <c r="C264" s="320" t="s">
        <v>387</v>
      </c>
      <c r="D264" s="532"/>
      <c r="E264" s="374" t="str">
        <f>IFERROR(__xludf.DUMMYFUNCTION("if(and(D264&lt;&gt;0,D264&lt;&gt;""""),D264/GOOGLEFINANCE(C264,""price"")-1,"""")"),"")</f>
        <v/>
      </c>
      <c r="F264" s="375">
        <f>IFERROR(__xludf.DUMMYFUNCTION("GOOGLEFINANCE(C264,""price"")"),20.85)</f>
        <v>20.85</v>
      </c>
      <c r="G264" s="374">
        <f t="shared" si="6"/>
        <v>0.9088729017</v>
      </c>
      <c r="H264" s="376">
        <v>33.0</v>
      </c>
      <c r="I264" s="376">
        <f>min((5.45*1.15)*10,3.98*10)       </f>
        <v>39.8</v>
      </c>
      <c r="J264" s="380"/>
      <c r="K264" s="380"/>
      <c r="L264" s="389"/>
      <c r="M264" s="379">
        <f t="shared" si="7"/>
        <v>-119.9023034</v>
      </c>
      <c r="N264" s="380">
        <f t="shared" si="8"/>
        <v>0</v>
      </c>
      <c r="O264" s="389"/>
      <c r="P264" s="415"/>
      <c r="Q264" s="379"/>
      <c r="R264" s="416"/>
      <c r="S264" s="416"/>
      <c r="T264" s="416"/>
      <c r="U264" s="417" t="s">
        <v>3118</v>
      </c>
      <c r="V264" s="367"/>
      <c r="W264" s="367"/>
      <c r="X264" s="367"/>
      <c r="Y264" s="367"/>
      <c r="Z264" s="367"/>
      <c r="AA264" s="367"/>
      <c r="AB264" s="367"/>
      <c r="AC264" s="367"/>
      <c r="AD264" s="367"/>
      <c r="AE264" s="367"/>
      <c r="AF264" s="367"/>
      <c r="AG264" s="367"/>
      <c r="AH264" s="367"/>
      <c r="AI264" s="367"/>
      <c r="AJ264" s="367"/>
      <c r="AK264" s="367"/>
      <c r="AL264" s="367"/>
      <c r="AM264" s="367"/>
      <c r="AN264" s="367"/>
      <c r="AO264" s="367"/>
      <c r="AP264" s="367"/>
      <c r="AQ264" s="367"/>
      <c r="AR264" s="367"/>
      <c r="AS264" s="367"/>
      <c r="AT264" s="367"/>
      <c r="AU264" s="367"/>
      <c r="AV264" s="367"/>
      <c r="AW264" s="367"/>
      <c r="AX264" s="367"/>
      <c r="AY264" s="367"/>
      <c r="AZ264" s="367"/>
      <c r="BA264" s="367"/>
      <c r="BB264" s="367"/>
      <c r="BC264" s="367"/>
      <c r="BD264" s="367"/>
      <c r="BE264" s="367"/>
      <c r="BF264" s="367"/>
      <c r="BG264" s="367"/>
      <c r="BH264" s="367"/>
      <c r="BI264" s="367"/>
      <c r="BJ264" s="367"/>
      <c r="BK264" s="367"/>
      <c r="BL264" s="367"/>
      <c r="BM264" s="367"/>
      <c r="BN264" s="367"/>
      <c r="BO264" s="367"/>
      <c r="BP264" s="367"/>
      <c r="BQ264" s="367"/>
      <c r="BR264" s="367"/>
      <c r="BS264" s="367"/>
      <c r="BT264" s="367"/>
      <c r="BU264" s="367"/>
      <c r="BV264" s="367"/>
      <c r="BW264" s="367"/>
      <c r="BX264" s="367"/>
      <c r="BY264" s="367"/>
      <c r="BZ264" s="367"/>
      <c r="CA264" s="367"/>
      <c r="CB264" s="367"/>
      <c r="CC264" s="367"/>
      <c r="CD264" s="367"/>
      <c r="CE264" s="367"/>
      <c r="CF264" s="367"/>
      <c r="CG264" s="367"/>
      <c r="CH264" s="367"/>
      <c r="CI264" s="367"/>
      <c r="CJ264" s="367"/>
      <c r="CK264" s="367"/>
      <c r="CL264" s="367"/>
      <c r="CM264" s="367"/>
      <c r="CN264" s="367"/>
      <c r="CO264" s="367"/>
      <c r="CP264" s="367"/>
      <c r="CQ264" s="367"/>
      <c r="CR264" s="367"/>
      <c r="CS264" s="367"/>
      <c r="CT264" s="367"/>
      <c r="CU264" s="367"/>
      <c r="CV264" s="367"/>
      <c r="CW264" s="367"/>
      <c r="CX264" s="367"/>
      <c r="CY264" s="367"/>
      <c r="CZ264" s="367"/>
      <c r="DA264" s="367"/>
      <c r="DB264" s="367"/>
      <c r="DC264" s="367"/>
      <c r="DD264" s="367"/>
      <c r="DE264" s="367"/>
      <c r="DF264" s="367"/>
      <c r="DG264" s="367"/>
      <c r="DH264" s="367"/>
      <c r="DI264" s="367"/>
      <c r="DJ264" s="367"/>
      <c r="DK264" s="367"/>
      <c r="DL264" s="367"/>
      <c r="DM264" s="367"/>
      <c r="DN264" s="367"/>
      <c r="DO264" s="367"/>
      <c r="DP264" s="367"/>
      <c r="DQ264" s="367"/>
      <c r="DR264" s="367"/>
      <c r="DS264" s="367"/>
      <c r="DT264" s="367"/>
      <c r="DU264" s="367"/>
      <c r="DV264" s="367"/>
      <c r="DW264" s="367"/>
    </row>
    <row r="265" ht="15.0" customHeight="1">
      <c r="A265" s="383">
        <v>41672.0</v>
      </c>
      <c r="B265" s="320" t="s">
        <v>3119</v>
      </c>
      <c r="C265" s="373" t="s">
        <v>3120</v>
      </c>
      <c r="D265" s="532"/>
      <c r="E265" s="374" t="str">
        <f>IFERROR(__xludf.DUMMYFUNCTION("if(and(D265&lt;&gt;0,D265&lt;&gt;""""),D265/GOOGLEFINANCE(C265,""price"")-1,"""")"),"")</f>
        <v/>
      </c>
      <c r="F265" s="375">
        <f>IFERROR(__xludf.DUMMYFUNCTION("GOOGLEFINANCE(C265,""price"")"),56.21)</f>
        <v>56.21</v>
      </c>
      <c r="G265" s="374">
        <f t="shared" si="6"/>
        <v>-0.02660192346</v>
      </c>
      <c r="H265" s="376"/>
      <c r="I265" s="376">
        <f>N265*($I$1+O265*100)</f>
        <v>54.71470588</v>
      </c>
      <c r="J265" s="377">
        <v>3.18</v>
      </c>
      <c r="K265" s="385">
        <v>3.18</v>
      </c>
      <c r="L265" s="378">
        <v>43465.0</v>
      </c>
      <c r="M265" s="379">
        <f t="shared" si="7"/>
        <v>-0.8201115781</v>
      </c>
      <c r="N265" s="380">
        <f t="shared" si="8"/>
        <v>3.18</v>
      </c>
      <c r="O265" s="370">
        <v>0.025</v>
      </c>
      <c r="P265" s="370"/>
      <c r="Q265" s="371"/>
      <c r="R265" s="378"/>
      <c r="S265" s="378">
        <v>43471.0</v>
      </c>
      <c r="T265" s="381" t="s">
        <v>1608</v>
      </c>
      <c r="U265" s="417" t="s">
        <v>3121</v>
      </c>
      <c r="V265" s="367"/>
      <c r="W265" s="367"/>
      <c r="X265" s="367"/>
      <c r="Y265" s="367"/>
      <c r="Z265" s="367"/>
      <c r="AA265" s="367"/>
      <c r="AB265" s="367"/>
      <c r="AC265" s="367"/>
      <c r="AD265" s="367"/>
      <c r="AE265" s="367"/>
      <c r="AF265" s="367"/>
      <c r="AG265" s="367"/>
      <c r="AH265" s="367"/>
      <c r="AI265" s="367"/>
      <c r="AJ265" s="367"/>
      <c r="AK265" s="367"/>
      <c r="AL265" s="367"/>
      <c r="AM265" s="367"/>
      <c r="AN265" s="367"/>
      <c r="AO265" s="367"/>
      <c r="AP265" s="367"/>
      <c r="AQ265" s="367"/>
      <c r="AR265" s="367"/>
      <c r="AS265" s="367"/>
      <c r="AT265" s="367"/>
      <c r="AU265" s="367"/>
      <c r="AV265" s="367"/>
      <c r="AW265" s="367"/>
      <c r="AX265" s="367"/>
      <c r="AY265" s="367"/>
      <c r="AZ265" s="367"/>
      <c r="BA265" s="367"/>
      <c r="BB265" s="367"/>
      <c r="BC265" s="367"/>
      <c r="BD265" s="367"/>
      <c r="BE265" s="367"/>
      <c r="BF265" s="367"/>
      <c r="BG265" s="367"/>
      <c r="BH265" s="367"/>
      <c r="BI265" s="367"/>
      <c r="BJ265" s="367"/>
      <c r="BK265" s="367"/>
      <c r="BL265" s="367"/>
      <c r="BM265" s="367"/>
      <c r="BN265" s="367"/>
      <c r="BO265" s="367"/>
      <c r="BP265" s="367"/>
      <c r="BQ265" s="367"/>
      <c r="BR265" s="367"/>
      <c r="BS265" s="367"/>
      <c r="BT265" s="367"/>
      <c r="BU265" s="367"/>
      <c r="BV265" s="367"/>
      <c r="BW265" s="367"/>
      <c r="BX265" s="367"/>
      <c r="BY265" s="367"/>
      <c r="BZ265" s="367"/>
      <c r="CA265" s="367"/>
      <c r="CB265" s="367"/>
      <c r="CC265" s="367"/>
      <c r="CD265" s="367"/>
      <c r="CE265" s="367"/>
      <c r="CF265" s="367"/>
      <c r="CG265" s="367"/>
      <c r="CH265" s="367"/>
      <c r="CI265" s="367"/>
      <c r="CJ265" s="367"/>
      <c r="CK265" s="367"/>
      <c r="CL265" s="367"/>
      <c r="CM265" s="367"/>
      <c r="CN265" s="367"/>
      <c r="CO265" s="367"/>
      <c r="CP265" s="367"/>
      <c r="CQ265" s="367"/>
      <c r="CR265" s="367"/>
      <c r="CS265" s="367"/>
      <c r="CT265" s="367"/>
      <c r="CU265" s="367"/>
      <c r="CV265" s="367"/>
      <c r="CW265" s="367"/>
      <c r="CX265" s="367"/>
      <c r="CY265" s="367"/>
      <c r="CZ265" s="367"/>
      <c r="DA265" s="367"/>
      <c r="DB265" s="367"/>
      <c r="DC265" s="367"/>
      <c r="DD265" s="367"/>
      <c r="DE265" s="367"/>
      <c r="DF265" s="367"/>
      <c r="DG265" s="367"/>
      <c r="DH265" s="367"/>
      <c r="DI265" s="367"/>
      <c r="DJ265" s="367"/>
      <c r="DK265" s="367"/>
      <c r="DL265" s="367"/>
      <c r="DM265" s="367"/>
      <c r="DN265" s="367"/>
      <c r="DO265" s="367"/>
      <c r="DP265" s="367"/>
      <c r="DQ265" s="367"/>
      <c r="DR265" s="367"/>
      <c r="DS265" s="367"/>
      <c r="DT265" s="367"/>
      <c r="DU265" s="367"/>
      <c r="DV265" s="367"/>
      <c r="DW265" s="367"/>
    </row>
    <row r="266" ht="15.0" customHeight="1">
      <c r="A266" s="394">
        <v>41454.0</v>
      </c>
      <c r="B266" s="302" t="s">
        <v>3122</v>
      </c>
      <c r="C266" s="302" t="s">
        <v>1100</v>
      </c>
      <c r="D266" s="422"/>
      <c r="E266" s="396" t="str">
        <f>IFERROR(__xludf.DUMMYFUNCTION("if(and(D266&lt;&gt;0,D266&lt;&gt;""""),D266/GOOGLEFINANCE(C266,""price"")-1,"""")"),"")</f>
        <v/>
      </c>
      <c r="F266" s="397">
        <f>IFERROR(__xludf.DUMMYFUNCTION("GOOGLEFINANCE(C266,""price"")"),15.68)</f>
        <v>15.68</v>
      </c>
      <c r="G266" s="396">
        <f t="shared" si="6"/>
        <v>-0.6173469388</v>
      </c>
      <c r="H266" s="398"/>
      <c r="I266" s="399">
        <v>6.0</v>
      </c>
      <c r="J266" s="403"/>
      <c r="K266" s="403"/>
      <c r="L266" s="410"/>
      <c r="M266" s="402">
        <f t="shared" si="7"/>
        <v>-119.9023034</v>
      </c>
      <c r="N266" s="403">
        <f t="shared" si="8"/>
        <v>0</v>
      </c>
      <c r="O266" s="410"/>
      <c r="P266" s="411"/>
      <c r="Q266" s="402"/>
      <c r="R266" s="412"/>
      <c r="S266" s="412"/>
      <c r="T266" s="412"/>
      <c r="U266" s="413" t="s">
        <v>3123</v>
      </c>
      <c r="V266" s="414"/>
      <c r="W266" s="414"/>
      <c r="X266" s="414"/>
      <c r="Y266" s="414"/>
      <c r="Z266" s="414"/>
      <c r="AA266" s="414"/>
      <c r="AB266" s="414"/>
      <c r="AC266" s="414"/>
      <c r="AD266" s="414"/>
      <c r="AE266" s="414"/>
      <c r="AF266" s="414"/>
      <c r="AG266" s="414"/>
      <c r="AH266" s="414"/>
      <c r="AI266" s="414"/>
      <c r="AJ266" s="414"/>
      <c r="AK266" s="414"/>
      <c r="AL266" s="414"/>
      <c r="AM266" s="414"/>
      <c r="AN266" s="414"/>
      <c r="AO266" s="414"/>
      <c r="AP266" s="414"/>
      <c r="AQ266" s="414"/>
      <c r="AR266" s="414"/>
      <c r="AS266" s="414"/>
      <c r="AT266" s="414"/>
      <c r="AU266" s="414"/>
      <c r="AV266" s="414"/>
      <c r="AW266" s="414"/>
      <c r="AX266" s="414"/>
      <c r="AY266" s="414"/>
      <c r="AZ266" s="414"/>
      <c r="BA266" s="414"/>
      <c r="BB266" s="414"/>
      <c r="BC266" s="414"/>
      <c r="BD266" s="414"/>
      <c r="BE266" s="414"/>
      <c r="BF266" s="414"/>
      <c r="BG266" s="414"/>
      <c r="BH266" s="414"/>
      <c r="BI266" s="414"/>
      <c r="BJ266" s="414"/>
      <c r="BK266" s="414"/>
      <c r="BL266" s="414"/>
      <c r="BM266" s="414"/>
      <c r="BN266" s="414"/>
      <c r="BO266" s="414"/>
      <c r="BP266" s="414"/>
      <c r="BQ266" s="414"/>
      <c r="BR266" s="414"/>
      <c r="BS266" s="414"/>
      <c r="BT266" s="414"/>
      <c r="BU266" s="414"/>
      <c r="BV266" s="414"/>
      <c r="BW266" s="414"/>
      <c r="BX266" s="414"/>
      <c r="BY266" s="414"/>
      <c r="BZ266" s="414"/>
      <c r="CA266" s="414"/>
      <c r="CB266" s="414"/>
      <c r="CC266" s="414"/>
      <c r="CD266" s="414"/>
      <c r="CE266" s="414"/>
      <c r="CF266" s="414"/>
      <c r="CG266" s="414"/>
      <c r="CH266" s="414"/>
      <c r="CI266" s="414"/>
      <c r="CJ266" s="414"/>
      <c r="CK266" s="414"/>
      <c r="CL266" s="414"/>
      <c r="CM266" s="414"/>
      <c r="CN266" s="414"/>
      <c r="CO266" s="414"/>
      <c r="CP266" s="414"/>
      <c r="CQ266" s="414"/>
      <c r="CR266" s="414"/>
      <c r="CS266" s="414"/>
      <c r="CT266" s="414"/>
      <c r="CU266" s="414"/>
      <c r="CV266" s="414"/>
      <c r="CW266" s="414"/>
      <c r="CX266" s="414"/>
      <c r="CY266" s="414"/>
      <c r="CZ266" s="414"/>
      <c r="DA266" s="414"/>
      <c r="DB266" s="414"/>
      <c r="DC266" s="414"/>
      <c r="DD266" s="414"/>
      <c r="DE266" s="414"/>
      <c r="DF266" s="414"/>
      <c r="DG266" s="414"/>
      <c r="DH266" s="414"/>
      <c r="DI266" s="414"/>
      <c r="DJ266" s="414"/>
      <c r="DK266" s="414"/>
      <c r="DL266" s="414"/>
      <c r="DM266" s="414"/>
      <c r="DN266" s="414"/>
      <c r="DO266" s="414"/>
      <c r="DP266" s="414"/>
      <c r="DQ266" s="414"/>
      <c r="DR266" s="414"/>
      <c r="DS266" s="414"/>
      <c r="DT266" s="414"/>
      <c r="DU266" s="414"/>
      <c r="DV266" s="414"/>
      <c r="DW266" s="414"/>
    </row>
    <row r="267" ht="15.0" customHeight="1">
      <c r="A267" s="394">
        <v>40496.0</v>
      </c>
      <c r="B267" s="302" t="s">
        <v>3124</v>
      </c>
      <c r="C267" s="302" t="s">
        <v>362</v>
      </c>
      <c r="D267" s="422"/>
      <c r="E267" s="396" t="str">
        <f>IFERROR(__xludf.DUMMYFUNCTION("if(and(D267&lt;&gt;0,D267&lt;&gt;""""),D267/GOOGLEFINANCE(C267,""price"")-1,"""")"),"")</f>
        <v/>
      </c>
      <c r="F267" s="397">
        <f>IFERROR(__xludf.DUMMYFUNCTION("GOOGLEFINANCE(C267,""price"")"),281.16)</f>
        <v>281.16</v>
      </c>
      <c r="G267" s="396" t="str">
        <f t="shared" si="6"/>
        <v/>
      </c>
      <c r="H267" s="398"/>
      <c r="I267" s="398"/>
      <c r="J267" s="403"/>
      <c r="K267" s="403"/>
      <c r="L267" s="410"/>
      <c r="M267" s="402">
        <f t="shared" si="7"/>
        <v>-119.9023034</v>
      </c>
      <c r="N267" s="403">
        <f t="shared" si="8"/>
        <v>0</v>
      </c>
      <c r="O267" s="410"/>
      <c r="P267" s="411"/>
      <c r="Q267" s="402"/>
      <c r="R267" s="412"/>
      <c r="S267" s="412"/>
      <c r="T267" s="412"/>
      <c r="U267" s="413" t="s">
        <v>3125</v>
      </c>
      <c r="V267" s="414"/>
      <c r="W267" s="414"/>
      <c r="X267" s="414"/>
      <c r="Y267" s="414"/>
      <c r="Z267" s="414"/>
      <c r="AA267" s="414"/>
      <c r="AB267" s="414"/>
      <c r="AC267" s="414"/>
      <c r="AD267" s="414"/>
      <c r="AE267" s="414"/>
      <c r="AF267" s="414"/>
      <c r="AG267" s="414"/>
      <c r="AH267" s="414"/>
      <c r="AI267" s="414"/>
      <c r="AJ267" s="414"/>
      <c r="AK267" s="414"/>
      <c r="AL267" s="414"/>
      <c r="AM267" s="414"/>
      <c r="AN267" s="414"/>
      <c r="AO267" s="414"/>
      <c r="AP267" s="414"/>
      <c r="AQ267" s="414"/>
      <c r="AR267" s="414"/>
      <c r="AS267" s="414"/>
      <c r="AT267" s="414"/>
      <c r="AU267" s="414"/>
      <c r="AV267" s="414"/>
      <c r="AW267" s="414"/>
      <c r="AX267" s="414"/>
      <c r="AY267" s="414"/>
      <c r="AZ267" s="414"/>
      <c r="BA267" s="414"/>
      <c r="BB267" s="414"/>
      <c r="BC267" s="414"/>
      <c r="BD267" s="414"/>
      <c r="BE267" s="414"/>
      <c r="BF267" s="414"/>
      <c r="BG267" s="414"/>
      <c r="BH267" s="414"/>
      <c r="BI267" s="414"/>
      <c r="BJ267" s="414"/>
      <c r="BK267" s="414"/>
      <c r="BL267" s="414"/>
      <c r="BM267" s="414"/>
      <c r="BN267" s="414"/>
      <c r="BO267" s="414"/>
      <c r="BP267" s="414"/>
      <c r="BQ267" s="414"/>
      <c r="BR267" s="414"/>
      <c r="BS267" s="414"/>
      <c r="BT267" s="414"/>
      <c r="BU267" s="414"/>
      <c r="BV267" s="414"/>
      <c r="BW267" s="414"/>
      <c r="BX267" s="414"/>
      <c r="BY267" s="414"/>
      <c r="BZ267" s="414"/>
      <c r="CA267" s="414"/>
      <c r="CB267" s="414"/>
      <c r="CC267" s="414"/>
      <c r="CD267" s="414"/>
      <c r="CE267" s="414"/>
      <c r="CF267" s="414"/>
      <c r="CG267" s="414"/>
      <c r="CH267" s="414"/>
      <c r="CI267" s="414"/>
      <c r="CJ267" s="414"/>
      <c r="CK267" s="414"/>
      <c r="CL267" s="414"/>
      <c r="CM267" s="414"/>
      <c r="CN267" s="414"/>
      <c r="CO267" s="414"/>
      <c r="CP267" s="414"/>
      <c r="CQ267" s="414"/>
      <c r="CR267" s="414"/>
      <c r="CS267" s="414"/>
      <c r="CT267" s="414"/>
      <c r="CU267" s="414"/>
      <c r="CV267" s="414"/>
      <c r="CW267" s="414"/>
      <c r="CX267" s="414"/>
      <c r="CY267" s="414"/>
      <c r="CZ267" s="414"/>
      <c r="DA267" s="414"/>
      <c r="DB267" s="414"/>
      <c r="DC267" s="414"/>
      <c r="DD267" s="414"/>
      <c r="DE267" s="414"/>
      <c r="DF267" s="414"/>
      <c r="DG267" s="414"/>
      <c r="DH267" s="414"/>
      <c r="DI267" s="414"/>
      <c r="DJ267" s="414"/>
      <c r="DK267" s="414"/>
      <c r="DL267" s="414"/>
      <c r="DM267" s="414"/>
      <c r="DN267" s="414"/>
      <c r="DO267" s="414"/>
      <c r="DP267" s="414"/>
      <c r="DQ267" s="414"/>
      <c r="DR267" s="414"/>
      <c r="DS267" s="414"/>
      <c r="DT267" s="414"/>
      <c r="DU267" s="414"/>
      <c r="DV267" s="414"/>
      <c r="DW267" s="414"/>
    </row>
    <row r="268" ht="15.0" customHeight="1">
      <c r="A268" s="372">
        <v>43041.0</v>
      </c>
      <c r="B268" s="384" t="s">
        <v>3126</v>
      </c>
      <c r="C268" s="384" t="s">
        <v>1414</v>
      </c>
      <c r="D268" s="384">
        <v>100.0</v>
      </c>
      <c r="E268" s="374">
        <f>IFERROR(__xludf.DUMMYFUNCTION("if(and(D268&lt;&gt;0,D268&lt;&gt;""""),D268/GOOGLEFINANCE(C268,""price"")-1,"""")"),-0.5110980737264105)</f>
        <v>-0.5110980737</v>
      </c>
      <c r="F268" s="375">
        <f>IFERROR(__xludf.DUMMYFUNCTION("GOOGLEFINANCE(C268,""price"")"),204.54)</f>
        <v>204.54</v>
      </c>
      <c r="G268" s="374">
        <f t="shared" si="6"/>
        <v>-0.2267349293</v>
      </c>
      <c r="H268" s="376"/>
      <c r="I268" s="376">
        <f t="shared" ref="I268:I269" si="144">N268*($I$1+O268*100)</f>
        <v>158.1636376</v>
      </c>
      <c r="J268" s="377">
        <v>5.13</v>
      </c>
      <c r="K268" s="377">
        <v>6.86</v>
      </c>
      <c r="L268" s="378">
        <v>43861.0</v>
      </c>
      <c r="M268" s="379">
        <f t="shared" si="7"/>
        <v>0.2648199306</v>
      </c>
      <c r="N268" s="380">
        <f t="shared" si="8"/>
        <v>6.40186152</v>
      </c>
      <c r="O268" s="370">
        <v>0.1</v>
      </c>
      <c r="P268" s="370"/>
      <c r="Q268" s="371"/>
      <c r="R268" s="378"/>
      <c r="S268" s="378">
        <v>43423.0</v>
      </c>
      <c r="T268" s="387" t="s">
        <v>1240</v>
      </c>
      <c r="U268" s="382" t="s">
        <v>3127</v>
      </c>
      <c r="V268" s="358"/>
      <c r="W268" s="358"/>
      <c r="X268" s="358"/>
      <c r="Y268" s="358"/>
      <c r="Z268" s="358"/>
      <c r="AA268" s="358"/>
      <c r="AB268" s="358"/>
      <c r="AC268" s="358"/>
      <c r="AD268" s="358"/>
      <c r="AE268" s="358"/>
      <c r="AF268" s="358"/>
      <c r="AG268" s="358"/>
      <c r="AH268" s="358"/>
      <c r="AI268" s="358"/>
      <c r="AJ268" s="358"/>
      <c r="AK268" s="358"/>
      <c r="AL268" s="358"/>
      <c r="AM268" s="358"/>
      <c r="AN268" s="358"/>
      <c r="AO268" s="358"/>
      <c r="AP268" s="358"/>
      <c r="AQ268" s="358"/>
      <c r="AR268" s="358"/>
      <c r="AS268" s="358"/>
      <c r="AT268" s="358"/>
      <c r="AU268" s="358"/>
      <c r="AV268" s="358"/>
      <c r="AW268" s="358"/>
      <c r="AX268" s="358"/>
      <c r="AY268" s="358"/>
      <c r="AZ268" s="358"/>
      <c r="BA268" s="358"/>
      <c r="BB268" s="358"/>
      <c r="BC268" s="358"/>
      <c r="BD268" s="358"/>
      <c r="BE268" s="358"/>
      <c r="BF268" s="358"/>
      <c r="BG268" s="358"/>
      <c r="BH268" s="358"/>
      <c r="BI268" s="358"/>
      <c r="BJ268" s="358"/>
      <c r="BK268" s="358"/>
      <c r="BL268" s="358"/>
      <c r="BM268" s="358"/>
      <c r="BN268" s="358"/>
      <c r="BO268" s="358"/>
      <c r="BP268" s="358"/>
      <c r="BQ268" s="358"/>
      <c r="BR268" s="358"/>
      <c r="BS268" s="358"/>
      <c r="BT268" s="358"/>
      <c r="BU268" s="358"/>
      <c r="BV268" s="358"/>
      <c r="BW268" s="358"/>
      <c r="BX268" s="358"/>
      <c r="BY268" s="358"/>
      <c r="BZ268" s="358"/>
      <c r="CA268" s="358"/>
      <c r="CB268" s="358"/>
      <c r="CC268" s="358"/>
      <c r="CD268" s="358"/>
      <c r="CE268" s="358"/>
      <c r="CF268" s="358"/>
      <c r="CG268" s="358"/>
      <c r="CH268" s="358"/>
      <c r="CI268" s="358"/>
      <c r="CJ268" s="358"/>
      <c r="CK268" s="358"/>
      <c r="CL268" s="358"/>
      <c r="CM268" s="358"/>
      <c r="CN268" s="358"/>
      <c r="CO268" s="358"/>
      <c r="CP268" s="358"/>
      <c r="CQ268" s="358"/>
      <c r="CR268" s="358"/>
      <c r="CS268" s="358"/>
      <c r="CT268" s="358"/>
      <c r="CU268" s="358"/>
      <c r="CV268" s="358"/>
      <c r="CW268" s="358"/>
      <c r="CX268" s="358"/>
      <c r="CY268" s="358"/>
      <c r="CZ268" s="358"/>
      <c r="DA268" s="358"/>
      <c r="DB268" s="358"/>
      <c r="DC268" s="358"/>
      <c r="DD268" s="358"/>
      <c r="DE268" s="358"/>
      <c r="DF268" s="358"/>
      <c r="DG268" s="358"/>
      <c r="DH268" s="358"/>
      <c r="DI268" s="358"/>
      <c r="DJ268" s="358"/>
      <c r="DK268" s="358"/>
      <c r="DL268" s="358"/>
      <c r="DM268" s="358"/>
      <c r="DN268" s="358"/>
      <c r="DO268" s="358"/>
      <c r="DP268" s="358"/>
      <c r="DQ268" s="358"/>
      <c r="DR268" s="358"/>
      <c r="DS268" s="358"/>
      <c r="DT268" s="358"/>
      <c r="DU268" s="358"/>
      <c r="DV268" s="358"/>
      <c r="DW268" s="358"/>
    </row>
    <row r="269" ht="15.0" customHeight="1">
      <c r="A269" s="372">
        <v>42646.0</v>
      </c>
      <c r="B269" s="384" t="s">
        <v>3128</v>
      </c>
      <c r="C269" s="384" t="s">
        <v>1368</v>
      </c>
      <c r="D269" s="384"/>
      <c r="E269" s="374" t="str">
        <f>IFERROR(__xludf.DUMMYFUNCTION("if(and(D269&lt;&gt;0,D269&lt;&gt;""""),D269/GOOGLEFINANCE(C269,""price"")-1,"""")"),"")</f>
        <v/>
      </c>
      <c r="F269" s="375">
        <f>IFERROR(__xludf.DUMMYFUNCTION("GOOGLEFINANCE(C269,""price"")"),54.19)</f>
        <v>54.19</v>
      </c>
      <c r="G269" s="374">
        <f t="shared" si="6"/>
        <v>-0.08434034173</v>
      </c>
      <c r="H269" s="376"/>
      <c r="I269" s="376">
        <f t="shared" si="144"/>
        <v>49.61959688</v>
      </c>
      <c r="J269" s="377">
        <v>2.54</v>
      </c>
      <c r="K269" s="377">
        <v>2.86</v>
      </c>
      <c r="L269" s="378">
        <v>43830.0</v>
      </c>
      <c r="M269" s="379">
        <f t="shared" si="7"/>
        <v>0.1798884241</v>
      </c>
      <c r="N269" s="380">
        <f t="shared" si="8"/>
        <v>2.802435704</v>
      </c>
      <c r="O269" s="390">
        <v>0.03</v>
      </c>
      <c r="P269" s="370"/>
      <c r="Q269" s="371"/>
      <c r="R269" s="378"/>
      <c r="S269" s="378">
        <v>43501.0</v>
      </c>
      <c r="T269" s="387" t="s">
        <v>1223</v>
      </c>
      <c r="U269" s="386" t="s">
        <v>3129</v>
      </c>
      <c r="V269" s="344"/>
      <c r="W269" s="344"/>
      <c r="X269" s="344"/>
      <c r="Y269" s="344"/>
      <c r="Z269" s="344"/>
      <c r="AA269" s="344"/>
      <c r="AB269" s="344"/>
      <c r="AC269" s="344"/>
      <c r="AD269" s="344"/>
      <c r="AE269" s="344"/>
      <c r="AF269" s="344"/>
      <c r="AG269" s="344"/>
      <c r="AH269" s="344"/>
      <c r="AI269" s="344"/>
      <c r="AJ269" s="344"/>
      <c r="AK269" s="344"/>
      <c r="AL269" s="344"/>
      <c r="AM269" s="344"/>
      <c r="AN269" s="344"/>
      <c r="AO269" s="344"/>
      <c r="AP269" s="344"/>
      <c r="AQ269" s="344"/>
      <c r="AR269" s="344"/>
      <c r="AS269" s="344"/>
      <c r="AT269" s="344"/>
      <c r="AU269" s="344"/>
      <c r="AV269" s="344"/>
      <c r="AW269" s="344"/>
      <c r="AX269" s="344"/>
      <c r="AY269" s="344"/>
      <c r="AZ269" s="344"/>
      <c r="BA269" s="344"/>
      <c r="BB269" s="344"/>
      <c r="BC269" s="344"/>
      <c r="BD269" s="344"/>
      <c r="BE269" s="344"/>
      <c r="BF269" s="344"/>
      <c r="BG269" s="344"/>
      <c r="BH269" s="344"/>
      <c r="BI269" s="344"/>
      <c r="BJ269" s="344"/>
      <c r="BK269" s="344"/>
      <c r="BL269" s="344"/>
      <c r="BM269" s="344"/>
      <c r="BN269" s="344"/>
      <c r="BO269" s="344"/>
      <c r="BP269" s="344"/>
      <c r="BQ269" s="344"/>
      <c r="BR269" s="344"/>
      <c r="BS269" s="344"/>
      <c r="BT269" s="344"/>
      <c r="BU269" s="344"/>
      <c r="BV269" s="344"/>
      <c r="BW269" s="344"/>
      <c r="BX269" s="344"/>
      <c r="BY269" s="344"/>
      <c r="BZ269" s="344"/>
      <c r="CA269" s="344"/>
      <c r="CB269" s="344"/>
      <c r="CC269" s="344"/>
      <c r="CD269" s="344"/>
      <c r="CE269" s="344"/>
      <c r="CF269" s="344"/>
      <c r="CG269" s="344"/>
      <c r="CH269" s="344"/>
      <c r="CI269" s="344"/>
      <c r="CJ269" s="344"/>
      <c r="CK269" s="344"/>
      <c r="CL269" s="344"/>
      <c r="CM269" s="344"/>
      <c r="CN269" s="344"/>
      <c r="CO269" s="344"/>
      <c r="CP269" s="344"/>
      <c r="CQ269" s="344"/>
      <c r="CR269" s="344"/>
      <c r="CS269" s="344"/>
      <c r="CT269" s="344"/>
      <c r="CU269" s="344"/>
      <c r="CV269" s="344"/>
      <c r="CW269" s="344"/>
      <c r="CX269" s="344"/>
      <c r="CY269" s="344"/>
      <c r="CZ269" s="344"/>
      <c r="DA269" s="344"/>
      <c r="DB269" s="344"/>
      <c r="DC269" s="344"/>
      <c r="DD269" s="344"/>
      <c r="DE269" s="344"/>
      <c r="DF269" s="344"/>
      <c r="DG269" s="344"/>
      <c r="DH269" s="344"/>
      <c r="DI269" s="344"/>
      <c r="DJ269" s="344"/>
      <c r="DK269" s="344"/>
      <c r="DL269" s="344"/>
      <c r="DM269" s="344"/>
      <c r="DN269" s="344"/>
      <c r="DO269" s="344"/>
      <c r="DP269" s="344"/>
      <c r="DQ269" s="344"/>
      <c r="DR269" s="344"/>
      <c r="DS269" s="344"/>
      <c r="DT269" s="344"/>
      <c r="DU269" s="344"/>
      <c r="DV269" s="344"/>
      <c r="DW269" s="344"/>
    </row>
    <row r="270" ht="15.0" customHeight="1">
      <c r="A270" s="372">
        <v>42215.0</v>
      </c>
      <c r="B270" s="384" t="s">
        <v>1088</v>
      </c>
      <c r="C270" s="384" t="s">
        <v>1088</v>
      </c>
      <c r="D270" s="373">
        <v>2700.0</v>
      </c>
      <c r="E270" s="374">
        <f>IFERROR(__xludf.DUMMYFUNCTION("if(and(D270&lt;&gt;0,D270&lt;&gt;""""),D270/GOOGLEFINANCE(C270,""price"")-1,"""")"),-0.27570250150895315)</f>
        <v>-0.2757025015</v>
      </c>
      <c r="F270" s="375">
        <f>IFERROR(__xludf.DUMMYFUNCTION("GOOGLEFINANCE(C270,""price"")"),3727.75)</f>
        <v>3727.75</v>
      </c>
      <c r="G270" s="374">
        <f t="shared" si="6"/>
        <v>0.2921059684</v>
      </c>
      <c r="H270" s="376"/>
      <c r="I270" s="368">
        <f>sum(CY270:DS270)</f>
        <v>4816.648024</v>
      </c>
      <c r="J270" s="377">
        <v>198.36</v>
      </c>
      <c r="K270" s="377">
        <v>210.81</v>
      </c>
      <c r="L270" s="378">
        <v>43830.0</v>
      </c>
      <c r="M270" s="379">
        <f t="shared" si="7"/>
        <v>0.1798884275</v>
      </c>
      <c r="N270" s="380">
        <f t="shared" si="8"/>
        <v>208.5703891</v>
      </c>
      <c r="O270" s="370">
        <v>0.12</v>
      </c>
      <c r="P270" s="370">
        <v>0.2</v>
      </c>
      <c r="Q270" s="371">
        <f>I270/N270</f>
        <v>23.09363302</v>
      </c>
      <c r="R270" s="381">
        <v>4.0</v>
      </c>
      <c r="S270" s="378">
        <v>43669.0</v>
      </c>
      <c r="T270" s="387" t="s">
        <v>1223</v>
      </c>
      <c r="U270" s="382" t="s">
        <v>3130</v>
      </c>
      <c r="V270" s="429">
        <f>O270</f>
        <v>0.12</v>
      </c>
      <c r="W270" s="430">
        <f>max(min(Valu!$C$15,$O270),$O270-max($O270-Valu!$C$15,0)/$R270*(W$3-1))</f>
        <v>0.0975</v>
      </c>
      <c r="X270" s="430">
        <f>max(min(Valu!$C$15,$O270),$O270-max($O270-Valu!$C$15,0)/$R270*(X$3-1))</f>
        <v>0.075</v>
      </c>
      <c r="Y270" s="430">
        <f>max(min(Valu!$C$15,$O270),$O270-max($O270-Valu!$C$15,0)/$R270*(Y$3-1))</f>
        <v>0.0525</v>
      </c>
      <c r="Z270" s="430">
        <f>max(min(Valu!$C$15,$O270),$O270-max($O270-Valu!$C$15,0)/$R270*(Z$3-1))</f>
        <v>0.03</v>
      </c>
      <c r="AA270" s="430">
        <f>max(min(Valu!$C$15,$O270),$O270-max($O270-Valu!$C$15,0)/$R270*(AA$3-1))</f>
        <v>0.03</v>
      </c>
      <c r="AB270" s="430">
        <f>max(min(Valu!$C$15,$O270),$O270-max($O270-Valu!$C$15,0)/$R270*(AB$3-1))</f>
        <v>0.03</v>
      </c>
      <c r="AC270" s="430">
        <f>max(min(Valu!$C$15,$O270),$O270-max($O270-Valu!$C$15,0)/$R270*(AC$3-1))</f>
        <v>0.03</v>
      </c>
      <c r="AD270" s="430">
        <f>max(min(Valu!$C$15,$O270),$O270-max($O270-Valu!$C$15,0)/$R270*(AD$3-1))</f>
        <v>0.03</v>
      </c>
      <c r="AE270" s="430">
        <f>max(min(Valu!$C$15,$O270),$O270-max($O270-Valu!$C$15,0)/$R270*(AE$3-1))</f>
        <v>0.03</v>
      </c>
      <c r="AF270" s="430">
        <f>max(min(Valu!$C$15,$O270),$O270-max($O270-Valu!$C$15,0)/$R270*(AF$3-1))</f>
        <v>0.03</v>
      </c>
      <c r="AG270" s="430">
        <f>max(min(Valu!$C$15,$O270),$O270-max($O270-Valu!$C$15,0)/$R270*(AG$3-1))</f>
        <v>0.03</v>
      </c>
      <c r="AH270" s="430">
        <f>max(min(Valu!$C$15,$O270),$O270-max($O270-Valu!$C$15,0)/$R270*(AH$3-1))</f>
        <v>0.03</v>
      </c>
      <c r="AI270" s="430">
        <f>max(min(Valu!$C$15,$O270),$O270-max($O270-Valu!$C$15,0)/$R270*(AI$3-1))</f>
        <v>0.03</v>
      </c>
      <c r="AJ270" s="430">
        <f>max(min(Valu!$C$15,$O270),$O270-max($O270-Valu!$C$15,0)/$R270*(AJ$3-1))</f>
        <v>0.03</v>
      </c>
      <c r="AK270" s="430">
        <f>max(min(Valu!$C$15,$O270),$O270-max($O270-Valu!$C$15,0)/$R270*(AK$3-1))</f>
        <v>0.03</v>
      </c>
      <c r="AL270" s="430">
        <f>max(min(Valu!$C$15,$O270),$O270-max($O270-Valu!$C$15,0)/$R270*(AL$3-1))</f>
        <v>0.03</v>
      </c>
      <c r="AM270" s="430">
        <f>max(min(Valu!$C$15,$O270),$O270-max($O270-Valu!$C$15,0)/$R270*(AM$3-1))</f>
        <v>0.03</v>
      </c>
      <c r="AN270" s="430">
        <f>max(min(Valu!$C$15,$O270),$O270-max($O270-Valu!$C$15,0)/$R270*(AN$3-1))</f>
        <v>0.03</v>
      </c>
      <c r="AO270" s="430">
        <f>max(min(Valu!$C$15,$O270),$O270-max($O270-Valu!$C$15,0)/$R270*(AO$3-1))</f>
        <v>0.03</v>
      </c>
      <c r="AP270" s="430">
        <f>max(min(Valu!$C$14,$P270),$P270-max($P270-Valu!$C$14,0)/$R270*(AP$3-1))</f>
        <v>0.2</v>
      </c>
      <c r="AQ270" s="430">
        <f>max(min(Valu!$C$14,$P270),$P270-max($P270-Valu!$C$14,0)/$R270*(AQ$3-1))</f>
        <v>0.18</v>
      </c>
      <c r="AR270" s="430">
        <f>max(min(Valu!$C$14,$P270),$P270-max($P270-Valu!$C$14,0)/$R270*(AR$3-1))</f>
        <v>0.16</v>
      </c>
      <c r="AS270" s="430">
        <f>max(min(Valu!$C$14,$P270),$P270-max($P270-Valu!$C$14,0)/$R270*(AS$3-1))</f>
        <v>0.14</v>
      </c>
      <c r="AT270" s="430">
        <f>max(min(Valu!$C$14,$P270),$P270-max($P270-Valu!$C$14,0)/$R270*(AT$3-1))</f>
        <v>0.12</v>
      </c>
      <c r="AU270" s="430">
        <f>max(min(Valu!$C$14,$P270),$P270-max($P270-Valu!$C$14,0)/$R270*(AU$3-1))</f>
        <v>0.12</v>
      </c>
      <c r="AV270" s="430">
        <f>max(min(Valu!$C$14,$P270),$P270-max($P270-Valu!$C$14,0)/$R270*(AV$3-1))</f>
        <v>0.12</v>
      </c>
      <c r="AW270" s="430">
        <f>max(min(Valu!$C$14,$P270),$P270-max($P270-Valu!$C$14,0)/$R270*(AW$3-1))</f>
        <v>0.12</v>
      </c>
      <c r="AX270" s="430">
        <f>max(min(Valu!$C$14,$P270),$P270-max($P270-Valu!$C$14,0)/$R270*(AX$3-1))</f>
        <v>0.12</v>
      </c>
      <c r="AY270" s="430">
        <f>max(min(Valu!$C$14,$P270),$P270-max($P270-Valu!$C$14,0)/$R270*(AY$3-1))</f>
        <v>0.12</v>
      </c>
      <c r="AZ270" s="430">
        <f>max(min(Valu!$C$14,$P270),$P270-max($P270-Valu!$C$14,0)/$R270*(AZ$3-1))</f>
        <v>0.12</v>
      </c>
      <c r="BA270" s="430">
        <f>max(min(Valu!$C$14,$P270),$P270-max($P270-Valu!$C$14,0)/$R270*(BA$3-1))</f>
        <v>0.12</v>
      </c>
      <c r="BB270" s="430">
        <f>max(min(Valu!$C$14,$P270),$P270-max($P270-Valu!$C$14,0)/$R270*(BB$3-1))</f>
        <v>0.12</v>
      </c>
      <c r="BC270" s="430">
        <f>max(min(Valu!$C$14,$P270),$P270-max($P270-Valu!$C$14,0)/$R270*(BC$3-1))</f>
        <v>0.12</v>
      </c>
      <c r="BD270" s="430">
        <f>max(min(Valu!$C$14,$P270),$P270-max($P270-Valu!$C$14,0)/$R270*(BD$3-1))</f>
        <v>0.12</v>
      </c>
      <c r="BE270" s="430">
        <f>max(min(Valu!$C$14,$P270),$P270-max($P270-Valu!$C$14,0)/$R270*(BE$3-1))</f>
        <v>0.12</v>
      </c>
      <c r="BF270" s="430">
        <f>max(min(Valu!$C$14,$P270),$P270-max($P270-Valu!$C$14,0)/$R270*(BF$3-1))</f>
        <v>0.12</v>
      </c>
      <c r="BG270" s="430">
        <f>max(min(Valu!$C$14,$P270),$P270-max($P270-Valu!$C$14,0)/$R270*(BG$3-1))</f>
        <v>0.12</v>
      </c>
      <c r="BH270" s="430">
        <f>max(min(Valu!$C$14,$P270),$P270-max($P270-Valu!$C$14,0)/$R270*(BH$3-1))</f>
        <v>0.12</v>
      </c>
      <c r="BI270" s="430">
        <f>max(min(Valu!$C$14,$P270),$P270-max($P270-Valu!$C$14,0)/$R270*(BI$3-1))</f>
        <v>0.12</v>
      </c>
      <c r="BJ270" s="431">
        <f>N270</f>
        <v>208.5703891</v>
      </c>
      <c r="BK270" s="432">
        <f>$BJ270*(1+V270)</f>
        <v>233.5988358</v>
      </c>
      <c r="BL270" s="432">
        <f t="shared" ref="BL270:CC270" si="145">BK270*(1+W270)</f>
        <v>256.3747223</v>
      </c>
      <c r="BM270" s="432">
        <f t="shared" si="145"/>
        <v>275.6028264</v>
      </c>
      <c r="BN270" s="432">
        <f t="shared" si="145"/>
        <v>290.0719748</v>
      </c>
      <c r="BO270" s="432">
        <f t="shared" si="145"/>
        <v>298.7741341</v>
      </c>
      <c r="BP270" s="432">
        <f t="shared" si="145"/>
        <v>307.7373581</v>
      </c>
      <c r="BQ270" s="432">
        <f t="shared" si="145"/>
        <v>316.9694788</v>
      </c>
      <c r="BR270" s="432">
        <f t="shared" si="145"/>
        <v>326.4785632</v>
      </c>
      <c r="BS270" s="432">
        <f t="shared" si="145"/>
        <v>336.2729201</v>
      </c>
      <c r="BT270" s="432">
        <f t="shared" si="145"/>
        <v>346.3611077</v>
      </c>
      <c r="BU270" s="432">
        <f t="shared" si="145"/>
        <v>356.7519409</v>
      </c>
      <c r="BV270" s="432">
        <f t="shared" si="145"/>
        <v>367.4544991</v>
      </c>
      <c r="BW270" s="432">
        <f t="shared" si="145"/>
        <v>378.4781341</v>
      </c>
      <c r="BX270" s="432">
        <f t="shared" si="145"/>
        <v>389.8324781</v>
      </c>
      <c r="BY270" s="432">
        <f t="shared" si="145"/>
        <v>401.5274525</v>
      </c>
      <c r="BZ270" s="432">
        <f t="shared" si="145"/>
        <v>413.5732761</v>
      </c>
      <c r="CA270" s="432">
        <f t="shared" si="145"/>
        <v>425.9804743</v>
      </c>
      <c r="CB270" s="432">
        <f t="shared" si="145"/>
        <v>438.7598886</v>
      </c>
      <c r="CC270" s="432">
        <f t="shared" si="145"/>
        <v>451.9226852</v>
      </c>
      <c r="CD270" s="432">
        <f t="shared" ref="CD270:CW270" si="146">BJ270*(1-V270/AP270)</f>
        <v>83.42815563</v>
      </c>
      <c r="CE270" s="432">
        <f t="shared" si="146"/>
        <v>107.0661331</v>
      </c>
      <c r="CF270" s="432">
        <f t="shared" si="146"/>
        <v>136.1990712</v>
      </c>
      <c r="CG270" s="432">
        <f t="shared" si="146"/>
        <v>172.2517665</v>
      </c>
      <c r="CH270" s="432">
        <f t="shared" si="146"/>
        <v>217.5539811</v>
      </c>
      <c r="CI270" s="432">
        <f t="shared" si="146"/>
        <v>224.0806005</v>
      </c>
      <c r="CJ270" s="432">
        <f t="shared" si="146"/>
        <v>230.8030186</v>
      </c>
      <c r="CK270" s="432">
        <f t="shared" si="146"/>
        <v>237.7271091</v>
      </c>
      <c r="CL270" s="432">
        <f t="shared" si="146"/>
        <v>244.8589224</v>
      </c>
      <c r="CM270" s="432">
        <f t="shared" si="146"/>
        <v>252.2046901</v>
      </c>
      <c r="CN270" s="432">
        <f t="shared" si="146"/>
        <v>259.7708308</v>
      </c>
      <c r="CO270" s="432">
        <f t="shared" si="146"/>
        <v>267.5639557</v>
      </c>
      <c r="CP270" s="432">
        <f t="shared" si="146"/>
        <v>275.5908744</v>
      </c>
      <c r="CQ270" s="432">
        <f t="shared" si="146"/>
        <v>283.8586006</v>
      </c>
      <c r="CR270" s="432">
        <f t="shared" si="146"/>
        <v>292.3743586</v>
      </c>
      <c r="CS270" s="432">
        <f t="shared" si="146"/>
        <v>301.1455894</v>
      </c>
      <c r="CT270" s="432">
        <f t="shared" si="146"/>
        <v>310.179957</v>
      </c>
      <c r="CU270" s="432">
        <f t="shared" si="146"/>
        <v>319.4853558</v>
      </c>
      <c r="CV270" s="432">
        <f t="shared" si="146"/>
        <v>329.0699164</v>
      </c>
      <c r="CW270" s="432">
        <f t="shared" si="146"/>
        <v>338.9420139</v>
      </c>
      <c r="CX270" s="432">
        <f>CW270*(1+min(Valu!$C$15,$O270))/(Valu!$C$21-min(Valu!$C$15,$O270))</f>
        <v>9187.112483</v>
      </c>
      <c r="CY270" s="432">
        <f>CD270/(1+Valu!$C$21)^CY$3</f>
        <v>78.11625059</v>
      </c>
      <c r="CZ270" s="432">
        <f>CE270/(1+Valu!$C$21)^CZ$3</f>
        <v>93.86628114</v>
      </c>
      <c r="DA270" s="432">
        <f>CF270/(1+Valu!$C$21)^DA$3</f>
        <v>111.8047842</v>
      </c>
      <c r="DB270" s="432">
        <f>CG270/(1+Valu!$C$21)^DB$3</f>
        <v>132.3971613</v>
      </c>
      <c r="DC270" s="432">
        <f>CH270/(1+Valu!$C$21)^DC$3</f>
        <v>156.5708003</v>
      </c>
      <c r="DD270" s="432">
        <f>CI270/(1+Valu!$C$21)^DD$3</f>
        <v>150.9999292</v>
      </c>
      <c r="DE270" s="432">
        <f>CJ270/(1+Valu!$C$21)^DE$3</f>
        <v>145.6272725</v>
      </c>
      <c r="DF270" s="432">
        <f>CK270/(1+Valu!$C$21)^DF$3</f>
        <v>140.4457778</v>
      </c>
      <c r="DG270" s="432">
        <f>CL270/(1+Valu!$C$21)^DG$3</f>
        <v>135.4486434</v>
      </c>
      <c r="DH270" s="432">
        <f>CM270/(1+Valu!$C$21)^DH$3</f>
        <v>130.6293096</v>
      </c>
      <c r="DI270" s="432">
        <f>CN270/(1+Valu!$C$21)^DI$3</f>
        <v>125.9814503</v>
      </c>
      <c r="DJ270" s="432">
        <f>CO270/(1+Valu!$C$21)^DJ$3</f>
        <v>121.4989642</v>
      </c>
      <c r="DK270" s="432">
        <f>CP270/(1+Valu!$C$21)^DK$3</f>
        <v>117.1759674</v>
      </c>
      <c r="DL270" s="432">
        <f>CQ270/(1+Valu!$C$21)^DL$3</f>
        <v>113.006785</v>
      </c>
      <c r="DM270" s="432">
        <f>CR270/(1+Valu!$C$21)^DM$3</f>
        <v>108.9859444</v>
      </c>
      <c r="DN270" s="432">
        <f>CS270/(1+Valu!$C$21)^DN$3</f>
        <v>105.1081673</v>
      </c>
      <c r="DO270" s="432">
        <f>CT270/(1+Valu!$C$21)^DO$3</f>
        <v>101.3683636</v>
      </c>
      <c r="DP270" s="432">
        <f>CU270/(1+Valu!$C$21)^DP$3</f>
        <v>97.76162408</v>
      </c>
      <c r="DQ270" s="432">
        <f>CV270/(1+Valu!$C$21)^DQ$3</f>
        <v>94.28321423</v>
      </c>
      <c r="DR270" s="432">
        <f>CW270/(1+Valu!$C$21)^DR$3</f>
        <v>90.92856803</v>
      </c>
      <c r="DS270" s="432">
        <f>CX270/(1+Valu!$C$21)^DS$3</f>
        <v>2464.642765</v>
      </c>
      <c r="DT270" s="358"/>
      <c r="DU270" s="358"/>
      <c r="DV270" s="358"/>
      <c r="DW270" s="358"/>
    </row>
    <row r="271" ht="15.0" customHeight="1">
      <c r="A271" s="383">
        <v>41597.0</v>
      </c>
      <c r="B271" s="320" t="s">
        <v>3138</v>
      </c>
      <c r="C271" s="320" t="s">
        <v>1371</v>
      </c>
      <c r="D271" s="532"/>
      <c r="E271" s="374" t="str">
        <f>IFERROR(__xludf.DUMMYFUNCTION("if(and(D271&lt;&gt;0,D271&lt;&gt;""""),D271/GOOGLEFINANCE(C271,""price"")-1,"""")"),"")</f>
        <v/>
      </c>
      <c r="F271" s="375">
        <f>IFERROR(__xludf.DUMMYFUNCTION("GOOGLEFINANCE(C271,""price"")"),1.77)</f>
        <v>1.77</v>
      </c>
      <c r="G271" s="374" t="str">
        <f t="shared" si="6"/>
        <v/>
      </c>
      <c r="H271" s="376"/>
      <c r="I271" s="376"/>
      <c r="J271" s="380"/>
      <c r="K271" s="380"/>
      <c r="L271" s="389"/>
      <c r="M271" s="379">
        <f t="shared" si="7"/>
        <v>-119.9023034</v>
      </c>
      <c r="N271" s="380">
        <f t="shared" si="8"/>
        <v>0</v>
      </c>
      <c r="O271" s="389">
        <v>3.0</v>
      </c>
      <c r="P271" s="415"/>
      <c r="Q271" s="379"/>
      <c r="R271" s="416"/>
      <c r="S271" s="416"/>
      <c r="T271" s="416"/>
      <c r="U271" s="417" t="s">
        <v>3139</v>
      </c>
      <c r="V271" s="367"/>
      <c r="W271" s="367"/>
      <c r="X271" s="367"/>
      <c r="Y271" s="367"/>
      <c r="Z271" s="367"/>
      <c r="AA271" s="367"/>
      <c r="AB271" s="367"/>
      <c r="AC271" s="367"/>
      <c r="AD271" s="367"/>
      <c r="AE271" s="367"/>
      <c r="AF271" s="367"/>
      <c r="AG271" s="367"/>
      <c r="AH271" s="367"/>
      <c r="AI271" s="367"/>
      <c r="AJ271" s="367"/>
      <c r="AK271" s="367"/>
      <c r="AL271" s="367"/>
      <c r="AM271" s="367"/>
      <c r="AN271" s="367"/>
      <c r="AO271" s="367"/>
      <c r="AP271" s="367"/>
      <c r="AQ271" s="367"/>
      <c r="AR271" s="367"/>
      <c r="AS271" s="367"/>
      <c r="AT271" s="367"/>
      <c r="AU271" s="367"/>
      <c r="AV271" s="367"/>
      <c r="AW271" s="367"/>
      <c r="AX271" s="367"/>
      <c r="AY271" s="367"/>
      <c r="AZ271" s="367"/>
      <c r="BA271" s="367"/>
      <c r="BB271" s="367"/>
      <c r="BC271" s="367"/>
      <c r="BD271" s="367"/>
      <c r="BE271" s="367"/>
      <c r="BF271" s="367"/>
      <c r="BG271" s="367"/>
      <c r="BH271" s="367"/>
      <c r="BI271" s="367"/>
      <c r="BJ271" s="367"/>
      <c r="BK271" s="367"/>
      <c r="BL271" s="367"/>
      <c r="BM271" s="367"/>
      <c r="BN271" s="367"/>
      <c r="BO271" s="367"/>
      <c r="BP271" s="367"/>
      <c r="BQ271" s="367"/>
      <c r="BR271" s="367"/>
      <c r="BS271" s="367"/>
      <c r="BT271" s="367"/>
      <c r="BU271" s="367"/>
      <c r="BV271" s="367"/>
      <c r="BW271" s="367"/>
      <c r="BX271" s="367"/>
      <c r="BY271" s="367"/>
      <c r="BZ271" s="367"/>
      <c r="CA271" s="367"/>
      <c r="CB271" s="367"/>
      <c r="CC271" s="367"/>
      <c r="CD271" s="367"/>
      <c r="CE271" s="367"/>
      <c r="CF271" s="367"/>
      <c r="CG271" s="367"/>
      <c r="CH271" s="367"/>
      <c r="CI271" s="367"/>
      <c r="CJ271" s="367"/>
      <c r="CK271" s="367"/>
      <c r="CL271" s="367"/>
      <c r="CM271" s="367"/>
      <c r="CN271" s="367"/>
      <c r="CO271" s="367"/>
      <c r="CP271" s="367"/>
      <c r="CQ271" s="367"/>
      <c r="CR271" s="367"/>
      <c r="CS271" s="367"/>
      <c r="CT271" s="367"/>
      <c r="CU271" s="367"/>
      <c r="CV271" s="367"/>
      <c r="CW271" s="367"/>
      <c r="CX271" s="367"/>
      <c r="CY271" s="367"/>
      <c r="CZ271" s="367"/>
      <c r="DA271" s="367"/>
      <c r="DB271" s="367"/>
      <c r="DC271" s="367"/>
      <c r="DD271" s="367"/>
      <c r="DE271" s="367"/>
      <c r="DF271" s="367"/>
      <c r="DG271" s="367"/>
      <c r="DH271" s="367"/>
      <c r="DI271" s="367"/>
      <c r="DJ271" s="367"/>
      <c r="DK271" s="367"/>
      <c r="DL271" s="367"/>
      <c r="DM271" s="367"/>
      <c r="DN271" s="367"/>
      <c r="DO271" s="367"/>
      <c r="DP271" s="367"/>
      <c r="DQ271" s="367"/>
      <c r="DR271" s="367"/>
      <c r="DS271" s="367"/>
      <c r="DT271" s="367"/>
      <c r="DU271" s="367"/>
      <c r="DV271" s="367"/>
      <c r="DW271" s="367"/>
    </row>
    <row r="272" ht="15.0" customHeight="1">
      <c r="A272" s="372">
        <v>42479.0</v>
      </c>
      <c r="B272" s="384" t="s">
        <v>3140</v>
      </c>
      <c r="C272" s="384" t="s">
        <v>3141</v>
      </c>
      <c r="D272" s="532"/>
      <c r="E272" s="374" t="str">
        <f>IFERROR(__xludf.DUMMYFUNCTION("if(and(D272&lt;&gt;0,D272&lt;&gt;""""),D272/GOOGLEFINANCE(C272,""price"")-1,"""")"),"")</f>
        <v/>
      </c>
      <c r="F272" s="375">
        <f>IFERROR(__xludf.DUMMYFUNCTION("GOOGLEFINANCE(C272,""price"")"),65.37)</f>
        <v>65.37</v>
      </c>
      <c r="G272" s="374">
        <f t="shared" si="6"/>
        <v>-0.6220608482</v>
      </c>
      <c r="H272" s="376"/>
      <c r="I272" s="368">
        <f>1*($I$1+10)</f>
        <v>24.70588235</v>
      </c>
      <c r="J272" s="380"/>
      <c r="K272" s="380"/>
      <c r="L272" s="389"/>
      <c r="M272" s="379">
        <f t="shared" si="7"/>
        <v>-119.9023034</v>
      </c>
      <c r="N272" s="380">
        <f t="shared" si="8"/>
        <v>0</v>
      </c>
      <c r="O272" s="389"/>
      <c r="P272" s="390"/>
      <c r="Q272" s="391"/>
      <c r="R272" s="387"/>
      <c r="S272" s="387"/>
      <c r="T272" s="387"/>
      <c r="U272" s="386" t="s">
        <v>3142</v>
      </c>
      <c r="V272" s="344"/>
      <c r="W272" s="344"/>
      <c r="X272" s="344"/>
      <c r="Y272" s="344"/>
      <c r="Z272" s="344"/>
      <c r="AA272" s="344"/>
      <c r="AB272" s="344"/>
      <c r="AC272" s="344"/>
      <c r="AD272" s="344"/>
      <c r="AE272" s="344"/>
      <c r="AF272" s="344"/>
      <c r="AG272" s="344"/>
      <c r="AH272" s="344"/>
      <c r="AI272" s="344"/>
      <c r="AJ272" s="344"/>
      <c r="AK272" s="344"/>
      <c r="AL272" s="344"/>
      <c r="AM272" s="344"/>
      <c r="AN272" s="344"/>
      <c r="AO272" s="344"/>
      <c r="AP272" s="344"/>
      <c r="AQ272" s="344"/>
      <c r="AR272" s="344"/>
      <c r="AS272" s="344"/>
      <c r="AT272" s="344"/>
      <c r="AU272" s="344"/>
      <c r="AV272" s="344"/>
      <c r="AW272" s="344"/>
      <c r="AX272" s="344"/>
      <c r="AY272" s="344"/>
      <c r="AZ272" s="344"/>
      <c r="BA272" s="344"/>
      <c r="BB272" s="344"/>
      <c r="BC272" s="344"/>
      <c r="BD272" s="344"/>
      <c r="BE272" s="344"/>
      <c r="BF272" s="344"/>
      <c r="BG272" s="344"/>
      <c r="BH272" s="344"/>
      <c r="BI272" s="344"/>
      <c r="BJ272" s="344"/>
      <c r="BK272" s="344"/>
      <c r="BL272" s="344"/>
      <c r="BM272" s="344"/>
      <c r="BN272" s="344"/>
      <c r="BO272" s="344"/>
      <c r="BP272" s="344"/>
      <c r="BQ272" s="344"/>
      <c r="BR272" s="344"/>
      <c r="BS272" s="344"/>
      <c r="BT272" s="344"/>
      <c r="BU272" s="344"/>
      <c r="BV272" s="344"/>
      <c r="BW272" s="344"/>
      <c r="BX272" s="344"/>
      <c r="BY272" s="344"/>
      <c r="BZ272" s="344"/>
      <c r="CA272" s="344"/>
      <c r="CB272" s="344"/>
      <c r="CC272" s="344"/>
      <c r="CD272" s="344"/>
      <c r="CE272" s="344"/>
      <c r="CF272" s="344"/>
      <c r="CG272" s="344"/>
      <c r="CH272" s="344"/>
      <c r="CI272" s="344"/>
      <c r="CJ272" s="344"/>
      <c r="CK272" s="344"/>
      <c r="CL272" s="344"/>
      <c r="CM272" s="344"/>
      <c r="CN272" s="344"/>
      <c r="CO272" s="344"/>
      <c r="CP272" s="344"/>
      <c r="CQ272" s="344"/>
      <c r="CR272" s="344"/>
      <c r="CS272" s="344"/>
      <c r="CT272" s="344"/>
      <c r="CU272" s="344"/>
      <c r="CV272" s="344"/>
      <c r="CW272" s="344"/>
      <c r="CX272" s="344"/>
      <c r="CY272" s="344"/>
      <c r="CZ272" s="344"/>
      <c r="DA272" s="344"/>
      <c r="DB272" s="344"/>
      <c r="DC272" s="344"/>
      <c r="DD272" s="344"/>
      <c r="DE272" s="344"/>
      <c r="DF272" s="344"/>
      <c r="DG272" s="344"/>
      <c r="DH272" s="344"/>
      <c r="DI272" s="344"/>
      <c r="DJ272" s="344"/>
      <c r="DK272" s="344"/>
      <c r="DL272" s="344"/>
      <c r="DM272" s="344"/>
      <c r="DN272" s="344"/>
      <c r="DO272" s="344"/>
      <c r="DP272" s="344"/>
      <c r="DQ272" s="344"/>
      <c r="DR272" s="344"/>
      <c r="DS272" s="344"/>
      <c r="DT272" s="344"/>
      <c r="DU272" s="344"/>
      <c r="DV272" s="344"/>
      <c r="DW272" s="344"/>
    </row>
    <row r="273" ht="15.0" customHeight="1">
      <c r="A273" s="394">
        <v>40168.0</v>
      </c>
      <c r="B273" s="302" t="s">
        <v>3143</v>
      </c>
      <c r="C273" s="302" t="s">
        <v>3144</v>
      </c>
      <c r="D273" s="422"/>
      <c r="E273" s="396" t="str">
        <f>IFERROR(__xludf.DUMMYFUNCTION("if(and(D273&lt;&gt;0,D273&lt;&gt;""""),D273/GOOGLEFINANCE(C273,""price"")-1,"""")"),"")</f>
        <v/>
      </c>
      <c r="F273" s="397">
        <f>IFERROR(__xludf.DUMMYFUNCTION("GOOGLEFINANCE(C273,""price"")"),76.82)</f>
        <v>76.82</v>
      </c>
      <c r="G273" s="396" t="str">
        <f t="shared" si="6"/>
        <v/>
      </c>
      <c r="H273" s="398">
        <v>25.0</v>
      </c>
      <c r="I273" s="398"/>
      <c r="J273" s="403"/>
      <c r="K273" s="403"/>
      <c r="L273" s="410"/>
      <c r="M273" s="402">
        <f t="shared" si="7"/>
        <v>-119.9023034</v>
      </c>
      <c r="N273" s="403">
        <f t="shared" si="8"/>
        <v>0</v>
      </c>
      <c r="O273" s="410"/>
      <c r="P273" s="411"/>
      <c r="Q273" s="402"/>
      <c r="R273" s="412"/>
      <c r="S273" s="412"/>
      <c r="T273" s="412"/>
      <c r="U273" s="413"/>
      <c r="V273" s="414"/>
      <c r="W273" s="414"/>
      <c r="X273" s="414"/>
      <c r="Y273" s="414"/>
      <c r="Z273" s="414"/>
      <c r="AA273" s="414"/>
      <c r="AB273" s="414"/>
      <c r="AC273" s="414"/>
      <c r="AD273" s="414"/>
      <c r="AE273" s="414"/>
      <c r="AF273" s="414"/>
      <c r="AG273" s="414"/>
      <c r="AH273" s="414"/>
      <c r="AI273" s="414"/>
      <c r="AJ273" s="414"/>
      <c r="AK273" s="414"/>
      <c r="AL273" s="414"/>
      <c r="AM273" s="414"/>
      <c r="AN273" s="414"/>
      <c r="AO273" s="414"/>
      <c r="AP273" s="414"/>
      <c r="AQ273" s="414"/>
      <c r="AR273" s="414"/>
      <c r="AS273" s="414"/>
      <c r="AT273" s="414"/>
      <c r="AU273" s="414"/>
      <c r="AV273" s="414"/>
      <c r="AW273" s="414"/>
      <c r="AX273" s="414"/>
      <c r="AY273" s="414"/>
      <c r="AZ273" s="414"/>
      <c r="BA273" s="414"/>
      <c r="BB273" s="414"/>
      <c r="BC273" s="414"/>
      <c r="BD273" s="414"/>
      <c r="BE273" s="414"/>
      <c r="BF273" s="414"/>
      <c r="BG273" s="414"/>
      <c r="BH273" s="414"/>
      <c r="BI273" s="414"/>
      <c r="BJ273" s="414"/>
      <c r="BK273" s="414"/>
      <c r="BL273" s="414"/>
      <c r="BM273" s="414"/>
      <c r="BN273" s="414"/>
      <c r="BO273" s="414"/>
      <c r="BP273" s="414"/>
      <c r="BQ273" s="414"/>
      <c r="BR273" s="414"/>
      <c r="BS273" s="414"/>
      <c r="BT273" s="414"/>
      <c r="BU273" s="414"/>
      <c r="BV273" s="414"/>
      <c r="BW273" s="414"/>
      <c r="BX273" s="414"/>
      <c r="BY273" s="414"/>
      <c r="BZ273" s="414"/>
      <c r="CA273" s="414"/>
      <c r="CB273" s="414"/>
      <c r="CC273" s="414"/>
      <c r="CD273" s="414"/>
      <c r="CE273" s="414"/>
      <c r="CF273" s="414"/>
      <c r="CG273" s="414"/>
      <c r="CH273" s="414"/>
      <c r="CI273" s="414"/>
      <c r="CJ273" s="414"/>
      <c r="CK273" s="414"/>
      <c r="CL273" s="414"/>
      <c r="CM273" s="414"/>
      <c r="CN273" s="414"/>
      <c r="CO273" s="414"/>
      <c r="CP273" s="414"/>
      <c r="CQ273" s="414"/>
      <c r="CR273" s="414"/>
      <c r="CS273" s="414"/>
      <c r="CT273" s="414"/>
      <c r="CU273" s="414"/>
      <c r="CV273" s="414"/>
      <c r="CW273" s="414"/>
      <c r="CX273" s="414"/>
      <c r="CY273" s="414"/>
      <c r="CZ273" s="414"/>
      <c r="DA273" s="414"/>
      <c r="DB273" s="414"/>
      <c r="DC273" s="414"/>
      <c r="DD273" s="414"/>
      <c r="DE273" s="414"/>
      <c r="DF273" s="414"/>
      <c r="DG273" s="414"/>
      <c r="DH273" s="414"/>
      <c r="DI273" s="414"/>
      <c r="DJ273" s="414"/>
      <c r="DK273" s="414"/>
      <c r="DL273" s="414"/>
      <c r="DM273" s="414"/>
      <c r="DN273" s="414"/>
      <c r="DO273" s="414"/>
      <c r="DP273" s="414"/>
      <c r="DQ273" s="414"/>
      <c r="DR273" s="414"/>
      <c r="DS273" s="414"/>
      <c r="DT273" s="414"/>
      <c r="DU273" s="414"/>
      <c r="DV273" s="414"/>
      <c r="DW273" s="414"/>
    </row>
    <row r="274" ht="15.0" customHeight="1">
      <c r="A274" s="394">
        <v>40362.0</v>
      </c>
      <c r="B274" s="302" t="s">
        <v>3146</v>
      </c>
      <c r="C274" s="302" t="s">
        <v>3147</v>
      </c>
      <c r="D274" s="422"/>
      <c r="E274" s="396" t="str">
        <f>IFERROR(__xludf.DUMMYFUNCTION("if(and(D274&lt;&gt;0,D274&lt;&gt;""""),D274/GOOGLEFINANCE(C274,""price"")-1,"""")"),"")</f>
        <v/>
      </c>
      <c r="F274" s="397">
        <f>IFERROR(__xludf.DUMMYFUNCTION("GOOGLEFINANCE(C274,""price"")"),54.17)</f>
        <v>54.17</v>
      </c>
      <c r="G274" s="396" t="str">
        <f t="shared" si="6"/>
        <v/>
      </c>
      <c r="H274" s="398">
        <v>15.0</v>
      </c>
      <c r="I274" s="398"/>
      <c r="J274" s="403"/>
      <c r="K274" s="403"/>
      <c r="L274" s="410"/>
      <c r="M274" s="402">
        <f t="shared" si="7"/>
        <v>-119.9023034</v>
      </c>
      <c r="N274" s="403">
        <f t="shared" si="8"/>
        <v>0</v>
      </c>
      <c r="O274" s="410"/>
      <c r="P274" s="411"/>
      <c r="Q274" s="402"/>
      <c r="R274" s="412"/>
      <c r="S274" s="412"/>
      <c r="T274" s="412"/>
      <c r="U274" s="413" t="s">
        <v>3148</v>
      </c>
      <c r="V274" s="414"/>
      <c r="W274" s="414"/>
      <c r="X274" s="414"/>
      <c r="Y274" s="414"/>
      <c r="Z274" s="414"/>
      <c r="AA274" s="414"/>
      <c r="AB274" s="414"/>
      <c r="AC274" s="414"/>
      <c r="AD274" s="414"/>
      <c r="AE274" s="414"/>
      <c r="AF274" s="414"/>
      <c r="AG274" s="414"/>
      <c r="AH274" s="414"/>
      <c r="AI274" s="414"/>
      <c r="AJ274" s="414"/>
      <c r="AK274" s="414"/>
      <c r="AL274" s="414"/>
      <c r="AM274" s="414"/>
      <c r="AN274" s="414"/>
      <c r="AO274" s="414"/>
      <c r="AP274" s="414"/>
      <c r="AQ274" s="414"/>
      <c r="AR274" s="414"/>
      <c r="AS274" s="414"/>
      <c r="AT274" s="414"/>
      <c r="AU274" s="414"/>
      <c r="AV274" s="414"/>
      <c r="AW274" s="414"/>
      <c r="AX274" s="414"/>
      <c r="AY274" s="414"/>
      <c r="AZ274" s="414"/>
      <c r="BA274" s="414"/>
      <c r="BB274" s="414"/>
      <c r="BC274" s="414"/>
      <c r="BD274" s="414"/>
      <c r="BE274" s="414"/>
      <c r="BF274" s="414"/>
      <c r="BG274" s="414"/>
      <c r="BH274" s="414"/>
      <c r="BI274" s="414"/>
      <c r="BJ274" s="414"/>
      <c r="BK274" s="414"/>
      <c r="BL274" s="414"/>
      <c r="BM274" s="414"/>
      <c r="BN274" s="414"/>
      <c r="BO274" s="414"/>
      <c r="BP274" s="414"/>
      <c r="BQ274" s="414"/>
      <c r="BR274" s="414"/>
      <c r="BS274" s="414"/>
      <c r="BT274" s="414"/>
      <c r="BU274" s="414"/>
      <c r="BV274" s="414"/>
      <c r="BW274" s="414"/>
      <c r="BX274" s="414"/>
      <c r="BY274" s="414"/>
      <c r="BZ274" s="414"/>
      <c r="CA274" s="414"/>
      <c r="CB274" s="414"/>
      <c r="CC274" s="414"/>
      <c r="CD274" s="414"/>
      <c r="CE274" s="414"/>
      <c r="CF274" s="414"/>
      <c r="CG274" s="414"/>
      <c r="CH274" s="414"/>
      <c r="CI274" s="414"/>
      <c r="CJ274" s="414"/>
      <c r="CK274" s="414"/>
      <c r="CL274" s="414"/>
      <c r="CM274" s="414"/>
      <c r="CN274" s="414"/>
      <c r="CO274" s="414"/>
      <c r="CP274" s="414"/>
      <c r="CQ274" s="414"/>
      <c r="CR274" s="414"/>
      <c r="CS274" s="414"/>
      <c r="CT274" s="414"/>
      <c r="CU274" s="414"/>
      <c r="CV274" s="414"/>
      <c r="CW274" s="414"/>
      <c r="CX274" s="414"/>
      <c r="CY274" s="414"/>
      <c r="CZ274" s="414"/>
      <c r="DA274" s="414"/>
      <c r="DB274" s="414"/>
      <c r="DC274" s="414"/>
      <c r="DD274" s="414"/>
      <c r="DE274" s="414"/>
      <c r="DF274" s="414"/>
      <c r="DG274" s="414"/>
      <c r="DH274" s="414"/>
      <c r="DI274" s="414"/>
      <c r="DJ274" s="414"/>
      <c r="DK274" s="414"/>
      <c r="DL274" s="414"/>
      <c r="DM274" s="414"/>
      <c r="DN274" s="414"/>
      <c r="DO274" s="414"/>
      <c r="DP274" s="414"/>
      <c r="DQ274" s="414"/>
      <c r="DR274" s="414"/>
      <c r="DS274" s="414"/>
      <c r="DT274" s="414"/>
      <c r="DU274" s="414"/>
      <c r="DV274" s="414"/>
      <c r="DW274" s="414"/>
    </row>
    <row r="275" ht="15.0" customHeight="1">
      <c r="A275" s="372">
        <v>42222.0</v>
      </c>
      <c r="B275" s="384" t="s">
        <v>3150</v>
      </c>
      <c r="C275" s="384" t="s">
        <v>1056</v>
      </c>
      <c r="D275" s="373">
        <v>340.0</v>
      </c>
      <c r="E275" s="374">
        <f>IFERROR(__xludf.DUMMYFUNCTION("if(and(D275&lt;&gt;0,D275&lt;&gt;""""),D275/GOOGLEFINANCE(C275,""price"")-1,"""")"),-0.2247001413782096)</f>
        <v>-0.2247001414</v>
      </c>
      <c r="F275" s="375">
        <f>IFERROR(__xludf.DUMMYFUNCTION("GOOGLEFINANCE(C275,""price"")"),438.54)</f>
        <v>438.54</v>
      </c>
      <c r="G275" s="374">
        <f t="shared" si="6"/>
        <v>0.3880474824</v>
      </c>
      <c r="H275" s="376"/>
      <c r="I275" s="368">
        <f>N275*($I$1+iferror(sqrt((O275*100)*(P275-1/$I$1)*100),-sqrt((O275*100)*-1*(P275-1/$I$1)*100))*(R275/4)^0.2)</f>
        <v>608.7143429</v>
      </c>
      <c r="J275" s="377">
        <v>17.74</v>
      </c>
      <c r="K275" s="377">
        <v>19.88</v>
      </c>
      <c r="L275" s="378">
        <v>43830.0</v>
      </c>
      <c r="M275" s="379">
        <f t="shared" si="7"/>
        <v>0.1798884282</v>
      </c>
      <c r="N275" s="380">
        <f t="shared" si="8"/>
        <v>19.49503876</v>
      </c>
      <c r="O275" s="370">
        <v>0.1</v>
      </c>
      <c r="P275" s="370">
        <v>0.3</v>
      </c>
      <c r="Q275" s="371">
        <f>I275/N275</f>
        <v>31.22406425</v>
      </c>
      <c r="R275" s="381">
        <v>6.0</v>
      </c>
      <c r="S275" s="378">
        <v>43656.0</v>
      </c>
      <c r="T275" s="387" t="s">
        <v>1223</v>
      </c>
      <c r="U275" s="382" t="s">
        <v>3152</v>
      </c>
      <c r="V275" s="358"/>
      <c r="W275" s="358"/>
      <c r="X275" s="358"/>
      <c r="Y275" s="358"/>
      <c r="Z275" s="358"/>
      <c r="AA275" s="358"/>
      <c r="AB275" s="358"/>
      <c r="AC275" s="358"/>
      <c r="AD275" s="358"/>
      <c r="AE275" s="358"/>
      <c r="AF275" s="358"/>
      <c r="AG275" s="358"/>
      <c r="AH275" s="358"/>
      <c r="AI275" s="358"/>
      <c r="AJ275" s="358"/>
      <c r="AK275" s="358"/>
      <c r="AL275" s="358"/>
      <c r="AM275" s="358"/>
      <c r="AN275" s="358"/>
      <c r="AO275" s="358"/>
      <c r="AP275" s="358"/>
      <c r="AQ275" s="358"/>
      <c r="AR275" s="358"/>
      <c r="AS275" s="358"/>
      <c r="AT275" s="358"/>
      <c r="AU275" s="358"/>
      <c r="AV275" s="358"/>
      <c r="AW275" s="358"/>
      <c r="AX275" s="358"/>
      <c r="AY275" s="358"/>
      <c r="AZ275" s="358"/>
      <c r="BA275" s="358"/>
      <c r="BB275" s="358"/>
      <c r="BC275" s="358"/>
      <c r="BD275" s="358"/>
      <c r="BE275" s="358"/>
      <c r="BF275" s="358"/>
      <c r="BG275" s="358"/>
      <c r="BH275" s="358"/>
      <c r="BI275" s="358"/>
      <c r="BJ275" s="358"/>
      <c r="BK275" s="358"/>
      <c r="BL275" s="358"/>
      <c r="BM275" s="358"/>
      <c r="BN275" s="358"/>
      <c r="BO275" s="358"/>
      <c r="BP275" s="358"/>
      <c r="BQ275" s="358"/>
      <c r="BR275" s="358"/>
      <c r="BS275" s="358"/>
      <c r="BT275" s="358"/>
      <c r="BU275" s="358"/>
      <c r="BV275" s="358"/>
      <c r="BW275" s="358"/>
      <c r="BX275" s="358"/>
      <c r="BY275" s="358"/>
      <c r="BZ275" s="358"/>
      <c r="CA275" s="358"/>
      <c r="CB275" s="358"/>
      <c r="CC275" s="358"/>
      <c r="CD275" s="358"/>
      <c r="CE275" s="358"/>
      <c r="CF275" s="358"/>
      <c r="CG275" s="358"/>
      <c r="CH275" s="358"/>
      <c r="CI275" s="358"/>
      <c r="CJ275" s="358"/>
      <c r="CK275" s="358"/>
      <c r="CL275" s="358"/>
      <c r="CM275" s="358"/>
      <c r="CN275" s="358"/>
      <c r="CO275" s="358"/>
      <c r="CP275" s="358"/>
      <c r="CQ275" s="358"/>
      <c r="CR275" s="358"/>
      <c r="CS275" s="358"/>
      <c r="CT275" s="358"/>
      <c r="CU275" s="358"/>
      <c r="CV275" s="358"/>
      <c r="CW275" s="358"/>
      <c r="CX275" s="358"/>
      <c r="CY275" s="358"/>
      <c r="CZ275" s="358"/>
      <c r="DA275" s="358"/>
      <c r="DB275" s="358"/>
      <c r="DC275" s="358"/>
      <c r="DD275" s="358"/>
      <c r="DE275" s="358"/>
      <c r="DF275" s="358"/>
      <c r="DG275" s="358"/>
      <c r="DH275" s="358"/>
      <c r="DI275" s="358"/>
      <c r="DJ275" s="358"/>
      <c r="DK275" s="358"/>
      <c r="DL275" s="358"/>
      <c r="DM275" s="358"/>
      <c r="DN275" s="358"/>
      <c r="DO275" s="358"/>
      <c r="DP275" s="358"/>
      <c r="DQ275" s="358"/>
      <c r="DR275" s="358"/>
      <c r="DS275" s="358"/>
      <c r="DT275" s="358"/>
      <c r="DU275" s="358"/>
      <c r="DV275" s="358"/>
      <c r="DW275" s="358"/>
    </row>
    <row r="276" ht="15.0" customHeight="1">
      <c r="A276" s="372">
        <v>42078.0</v>
      </c>
      <c r="B276" s="384" t="s">
        <v>3153</v>
      </c>
      <c r="C276" s="384" t="s">
        <v>2853</v>
      </c>
      <c r="D276" s="384">
        <v>15.0</v>
      </c>
      <c r="E276" s="374" t="str">
        <f>IFERROR(__xludf.DUMMYFUNCTION("if(and(D276&lt;&gt;0,D276&lt;&gt;""""),D276/GOOGLEFINANCE(C276,""price"")-1,"""")"),"#N/A")</f>
        <v>#N/A</v>
      </c>
      <c r="F276" s="375" t="str">
        <f>IFERROR(__xludf.DUMMYFUNCTION("GOOGLEFINANCE(C276,""price"")"),"#N/A")</f>
        <v>#N/A</v>
      </c>
      <c r="G276" s="374" t="str">
        <f t="shared" si="6"/>
        <v>#N/A</v>
      </c>
      <c r="H276" s="376"/>
      <c r="I276" s="376">
        <f>1*(15)</f>
        <v>15</v>
      </c>
      <c r="J276" s="380"/>
      <c r="K276" s="380"/>
      <c r="L276" s="389"/>
      <c r="M276" s="379">
        <f t="shared" si="7"/>
        <v>-119.9023034</v>
      </c>
      <c r="N276" s="380">
        <f t="shared" si="8"/>
        <v>0</v>
      </c>
      <c r="O276" s="389"/>
      <c r="P276" s="390"/>
      <c r="Q276" s="391"/>
      <c r="R276" s="387"/>
      <c r="S276" s="387"/>
      <c r="T276" s="387"/>
      <c r="U276" s="386" t="s">
        <v>3154</v>
      </c>
      <c r="V276" s="344"/>
      <c r="W276" s="344"/>
      <c r="X276" s="344"/>
      <c r="Y276" s="344"/>
      <c r="Z276" s="344"/>
      <c r="AA276" s="344"/>
      <c r="AB276" s="344"/>
      <c r="AC276" s="344"/>
      <c r="AD276" s="344"/>
      <c r="AE276" s="344"/>
      <c r="AF276" s="344"/>
      <c r="AG276" s="344"/>
      <c r="AH276" s="344"/>
      <c r="AI276" s="344"/>
      <c r="AJ276" s="344"/>
      <c r="AK276" s="344"/>
      <c r="AL276" s="344"/>
      <c r="AM276" s="344"/>
      <c r="AN276" s="344"/>
      <c r="AO276" s="344"/>
      <c r="AP276" s="344"/>
      <c r="AQ276" s="344"/>
      <c r="AR276" s="344"/>
      <c r="AS276" s="344"/>
      <c r="AT276" s="344"/>
      <c r="AU276" s="344"/>
      <c r="AV276" s="344"/>
      <c r="AW276" s="344"/>
      <c r="AX276" s="344"/>
      <c r="AY276" s="344"/>
      <c r="AZ276" s="344"/>
      <c r="BA276" s="344"/>
      <c r="BB276" s="344"/>
      <c r="BC276" s="344"/>
      <c r="BD276" s="344"/>
      <c r="BE276" s="344"/>
      <c r="BF276" s="344"/>
      <c r="BG276" s="344"/>
      <c r="BH276" s="344"/>
      <c r="BI276" s="344"/>
      <c r="BJ276" s="344"/>
      <c r="BK276" s="344"/>
      <c r="BL276" s="344"/>
      <c r="BM276" s="344"/>
      <c r="BN276" s="344"/>
      <c r="BO276" s="344"/>
      <c r="BP276" s="344"/>
      <c r="BQ276" s="344"/>
      <c r="BR276" s="344"/>
      <c r="BS276" s="344"/>
      <c r="BT276" s="344"/>
      <c r="BU276" s="344"/>
      <c r="BV276" s="344"/>
      <c r="BW276" s="344"/>
      <c r="BX276" s="344"/>
      <c r="BY276" s="344"/>
      <c r="BZ276" s="344"/>
      <c r="CA276" s="344"/>
      <c r="CB276" s="344"/>
      <c r="CC276" s="344"/>
      <c r="CD276" s="344"/>
      <c r="CE276" s="344"/>
      <c r="CF276" s="344"/>
      <c r="CG276" s="344"/>
      <c r="CH276" s="344"/>
      <c r="CI276" s="344"/>
      <c r="CJ276" s="344"/>
      <c r="CK276" s="344"/>
      <c r="CL276" s="344"/>
      <c r="CM276" s="344"/>
      <c r="CN276" s="344"/>
      <c r="CO276" s="344"/>
      <c r="CP276" s="344"/>
      <c r="CQ276" s="344"/>
      <c r="CR276" s="344"/>
      <c r="CS276" s="344"/>
      <c r="CT276" s="344"/>
      <c r="CU276" s="344"/>
      <c r="CV276" s="344"/>
      <c r="CW276" s="344"/>
      <c r="CX276" s="344"/>
      <c r="CY276" s="344"/>
      <c r="CZ276" s="344"/>
      <c r="DA276" s="344"/>
      <c r="DB276" s="344"/>
      <c r="DC276" s="344"/>
      <c r="DD276" s="344"/>
      <c r="DE276" s="344"/>
      <c r="DF276" s="344"/>
      <c r="DG276" s="344"/>
      <c r="DH276" s="344"/>
      <c r="DI276" s="344"/>
      <c r="DJ276" s="344"/>
      <c r="DK276" s="344"/>
      <c r="DL276" s="344"/>
      <c r="DM276" s="344"/>
      <c r="DN276" s="344"/>
      <c r="DO276" s="344"/>
      <c r="DP276" s="344"/>
      <c r="DQ276" s="344"/>
      <c r="DR276" s="344"/>
      <c r="DS276" s="344"/>
      <c r="DT276" s="344"/>
      <c r="DU276" s="344"/>
      <c r="DV276" s="344"/>
      <c r="DW276" s="344"/>
    </row>
    <row r="277" ht="15.0" customHeight="1">
      <c r="A277" s="388">
        <v>43307.0</v>
      </c>
      <c r="B277" s="373" t="s">
        <v>3155</v>
      </c>
      <c r="C277" s="373" t="s">
        <v>1431</v>
      </c>
      <c r="D277" s="373">
        <v>40.0</v>
      </c>
      <c r="E277" s="374">
        <f>IFERROR(__xludf.DUMMYFUNCTION("if(and(D277&lt;&gt;0,D277&lt;&gt;""""),D277/GOOGLEFINANCE(C277,""price"")-1,"""")"),-0.14070891514500528)</f>
        <v>-0.1407089151</v>
      </c>
      <c r="F277" s="375">
        <f>IFERROR(__xludf.DUMMYFUNCTION("GOOGLEFINANCE(C277,""price"")"),46.55)</f>
        <v>46.55</v>
      </c>
      <c r="G277" s="374">
        <f t="shared" si="6"/>
        <v>-0.2392746572</v>
      </c>
      <c r="H277" s="376"/>
      <c r="I277" s="376">
        <f>N277*($I$1+O277*100)</f>
        <v>35.41176471</v>
      </c>
      <c r="J277" s="377">
        <v>2.0</v>
      </c>
      <c r="K277" s="377">
        <v>2.0</v>
      </c>
      <c r="L277" s="378">
        <v>43830.0</v>
      </c>
      <c r="M277" s="379">
        <f t="shared" si="7"/>
        <v>0.1798884236</v>
      </c>
      <c r="N277" s="380">
        <f t="shared" si="8"/>
        <v>2</v>
      </c>
      <c r="O277" s="370">
        <v>0.03</v>
      </c>
      <c r="P277" s="370">
        <v>0.1</v>
      </c>
      <c r="Q277" s="371">
        <f>I277/N277</f>
        <v>17.70588235</v>
      </c>
      <c r="R277" s="381">
        <v>6.0</v>
      </c>
      <c r="S277" s="378">
        <v>43713.0</v>
      </c>
      <c r="T277" s="381" t="s">
        <v>1223</v>
      </c>
      <c r="U277" s="382" t="s">
        <v>3156</v>
      </c>
      <c r="V277" s="429">
        <f>O277</f>
        <v>0.03</v>
      </c>
      <c r="W277" s="430">
        <f>max(min(Valu!$C$15,$O277),$O277-max($O277-Valu!$C$15,0)/$R277*(W$3-1))</f>
        <v>0.03</v>
      </c>
      <c r="X277" s="430">
        <f>max(min(Valu!$C$15,$O277),$O277-max($O277-Valu!$C$15,0)/$R277*(X$3-1))</f>
        <v>0.03</v>
      </c>
      <c r="Y277" s="430">
        <f>max(min(Valu!$C$15,$O277),$O277-max($O277-Valu!$C$15,0)/$R277*(Y$3-1))</f>
        <v>0.03</v>
      </c>
      <c r="Z277" s="430">
        <f>max(min(Valu!$C$15,$O277),$O277-max($O277-Valu!$C$15,0)/$R277*(Z$3-1))</f>
        <v>0.03</v>
      </c>
      <c r="AA277" s="430">
        <f>max(min(Valu!$C$15,$O277),$O277-max($O277-Valu!$C$15,0)/$R277*(AA$3-1))</f>
        <v>0.03</v>
      </c>
      <c r="AB277" s="430">
        <f>max(min(Valu!$C$15,$O277),$O277-max($O277-Valu!$C$15,0)/$R277*(AB$3-1))</f>
        <v>0.03</v>
      </c>
      <c r="AC277" s="430">
        <f>max(min(Valu!$C$15,$O277),$O277-max($O277-Valu!$C$15,0)/$R277*(AC$3-1))</f>
        <v>0.03</v>
      </c>
      <c r="AD277" s="430">
        <f>max(min(Valu!$C$15,$O277),$O277-max($O277-Valu!$C$15,0)/$R277*(AD$3-1))</f>
        <v>0.03</v>
      </c>
      <c r="AE277" s="430">
        <f>max(min(Valu!$C$15,$O277),$O277-max($O277-Valu!$C$15,0)/$R277*(AE$3-1))</f>
        <v>0.03</v>
      </c>
      <c r="AF277" s="430">
        <f>max(min(Valu!$C$15,$O277),$O277-max($O277-Valu!$C$15,0)/$R277*(AF$3-1))</f>
        <v>0.03</v>
      </c>
      <c r="AG277" s="430">
        <f>max(min(Valu!$C$15,$O277),$O277-max($O277-Valu!$C$15,0)/$R277*(AG$3-1))</f>
        <v>0.03</v>
      </c>
      <c r="AH277" s="430">
        <f>max(min(Valu!$C$15,$O277),$O277-max($O277-Valu!$C$15,0)/$R277*(AH$3-1))</f>
        <v>0.03</v>
      </c>
      <c r="AI277" s="430">
        <f>max(min(Valu!$C$15,$O277),$O277-max($O277-Valu!$C$15,0)/$R277*(AI$3-1))</f>
        <v>0.03</v>
      </c>
      <c r="AJ277" s="430">
        <f>max(min(Valu!$C$15,$O277),$O277-max($O277-Valu!$C$15,0)/$R277*(AJ$3-1))</f>
        <v>0.03</v>
      </c>
      <c r="AK277" s="430">
        <f>max(min(Valu!$C$15,$O277),$O277-max($O277-Valu!$C$15,0)/$R277*(AK$3-1))</f>
        <v>0.03</v>
      </c>
      <c r="AL277" s="430">
        <f>max(min(Valu!$C$15,$O277),$O277-max($O277-Valu!$C$15,0)/$R277*(AL$3-1))</f>
        <v>0.03</v>
      </c>
      <c r="AM277" s="430">
        <f>max(min(Valu!$C$15,$O277),$O277-max($O277-Valu!$C$15,0)/$R277*(AM$3-1))</f>
        <v>0.03</v>
      </c>
      <c r="AN277" s="430">
        <f>max(min(Valu!$C$15,$O277),$O277-max($O277-Valu!$C$15,0)/$R277*(AN$3-1))</f>
        <v>0.03</v>
      </c>
      <c r="AO277" s="430">
        <f>max(min(Valu!$C$15,$O277),$O277-max($O277-Valu!$C$15,0)/$R277*(AO$3-1))</f>
        <v>0.03</v>
      </c>
      <c r="AP277" s="430">
        <f>max(min(Valu!$C$14,$P277),$P277-max($P277-Valu!$C$14,0)/$R277*(AP$3-1))</f>
        <v>0.1</v>
      </c>
      <c r="AQ277" s="430">
        <f>max(min(Valu!$C$14,$P277),$P277-max($P277-Valu!$C$14,0)/$R277*(AQ$3-1))</f>
        <v>0.1</v>
      </c>
      <c r="AR277" s="430">
        <f>max(min(Valu!$C$14,$P277),$P277-max($P277-Valu!$C$14,0)/$R277*(AR$3-1))</f>
        <v>0.1</v>
      </c>
      <c r="AS277" s="430">
        <f>max(min(Valu!$C$14,$P277),$P277-max($P277-Valu!$C$14,0)/$R277*(AS$3-1))</f>
        <v>0.1</v>
      </c>
      <c r="AT277" s="430">
        <f>max(min(Valu!$C$14,$P277),$P277-max($P277-Valu!$C$14,0)/$R277*(AT$3-1))</f>
        <v>0.1</v>
      </c>
      <c r="AU277" s="430">
        <f>max(min(Valu!$C$14,$P277),$P277-max($P277-Valu!$C$14,0)/$R277*(AU$3-1))</f>
        <v>0.1</v>
      </c>
      <c r="AV277" s="430">
        <f>max(min(Valu!$C$14,$P277),$P277-max($P277-Valu!$C$14,0)/$R277*(AV$3-1))</f>
        <v>0.1</v>
      </c>
      <c r="AW277" s="430">
        <f>max(min(Valu!$C$14,$P277),$P277-max($P277-Valu!$C$14,0)/$R277*(AW$3-1))</f>
        <v>0.1</v>
      </c>
      <c r="AX277" s="430">
        <f>max(min(Valu!$C$14,$P277),$P277-max($P277-Valu!$C$14,0)/$R277*(AX$3-1))</f>
        <v>0.1</v>
      </c>
      <c r="AY277" s="430">
        <f>max(min(Valu!$C$14,$P277),$P277-max($P277-Valu!$C$14,0)/$R277*(AY$3-1))</f>
        <v>0.1</v>
      </c>
      <c r="AZ277" s="430">
        <f>max(min(Valu!$C$14,$P277),$P277-max($P277-Valu!$C$14,0)/$R277*(AZ$3-1))</f>
        <v>0.1</v>
      </c>
      <c r="BA277" s="430">
        <f>max(min(Valu!$C$14,$P277),$P277-max($P277-Valu!$C$14,0)/$R277*(BA$3-1))</f>
        <v>0.1</v>
      </c>
      <c r="BB277" s="430">
        <f>max(min(Valu!$C$14,$P277),$P277-max($P277-Valu!$C$14,0)/$R277*(BB$3-1))</f>
        <v>0.1</v>
      </c>
      <c r="BC277" s="430">
        <f>max(min(Valu!$C$14,$P277),$P277-max($P277-Valu!$C$14,0)/$R277*(BC$3-1))</f>
        <v>0.1</v>
      </c>
      <c r="BD277" s="430">
        <f>max(min(Valu!$C$14,$P277),$P277-max($P277-Valu!$C$14,0)/$R277*(BD$3-1))</f>
        <v>0.1</v>
      </c>
      <c r="BE277" s="430">
        <f>max(min(Valu!$C$14,$P277),$P277-max($P277-Valu!$C$14,0)/$R277*(BE$3-1))</f>
        <v>0.1</v>
      </c>
      <c r="BF277" s="430">
        <f>max(min(Valu!$C$14,$P277),$P277-max($P277-Valu!$C$14,0)/$R277*(BF$3-1))</f>
        <v>0.1</v>
      </c>
      <c r="BG277" s="430">
        <f>max(min(Valu!$C$14,$P277),$P277-max($P277-Valu!$C$14,0)/$R277*(BG$3-1))</f>
        <v>0.1</v>
      </c>
      <c r="BH277" s="430">
        <f>max(min(Valu!$C$14,$P277),$P277-max($P277-Valu!$C$14,0)/$R277*(BH$3-1))</f>
        <v>0.1</v>
      </c>
      <c r="BI277" s="430">
        <f>max(min(Valu!$C$14,$P277),$P277-max($P277-Valu!$C$14,0)/$R277*(BI$3-1))</f>
        <v>0.1</v>
      </c>
      <c r="BJ277" s="431">
        <f>N277</f>
        <v>2</v>
      </c>
      <c r="BK277" s="432">
        <f>$BJ277*(1+V277)</f>
        <v>2.06</v>
      </c>
      <c r="BL277" s="432">
        <f t="shared" ref="BL277:CC277" si="147">BK277*(1+W277)</f>
        <v>2.1218</v>
      </c>
      <c r="BM277" s="432">
        <f t="shared" si="147"/>
        <v>2.185454</v>
      </c>
      <c r="BN277" s="432">
        <f t="shared" si="147"/>
        <v>2.25101762</v>
      </c>
      <c r="BO277" s="432">
        <f t="shared" si="147"/>
        <v>2.318548149</v>
      </c>
      <c r="BP277" s="432">
        <f t="shared" si="147"/>
        <v>2.388104593</v>
      </c>
      <c r="BQ277" s="432">
        <f t="shared" si="147"/>
        <v>2.459747731</v>
      </c>
      <c r="BR277" s="432">
        <f t="shared" si="147"/>
        <v>2.533540163</v>
      </c>
      <c r="BS277" s="432">
        <f t="shared" si="147"/>
        <v>2.609546368</v>
      </c>
      <c r="BT277" s="432">
        <f t="shared" si="147"/>
        <v>2.687832759</v>
      </c>
      <c r="BU277" s="432">
        <f t="shared" si="147"/>
        <v>2.768467741</v>
      </c>
      <c r="BV277" s="432">
        <f t="shared" si="147"/>
        <v>2.851521774</v>
      </c>
      <c r="BW277" s="432">
        <f t="shared" si="147"/>
        <v>2.937067427</v>
      </c>
      <c r="BX277" s="432">
        <f t="shared" si="147"/>
        <v>3.02517945</v>
      </c>
      <c r="BY277" s="432">
        <f t="shared" si="147"/>
        <v>3.115934833</v>
      </c>
      <c r="BZ277" s="432">
        <f t="shared" si="147"/>
        <v>3.209412878</v>
      </c>
      <c r="CA277" s="432">
        <f t="shared" si="147"/>
        <v>3.305695265</v>
      </c>
      <c r="CB277" s="432">
        <f t="shared" si="147"/>
        <v>3.404866122</v>
      </c>
      <c r="CC277" s="432">
        <f t="shared" si="147"/>
        <v>3.507012106</v>
      </c>
      <c r="CD277" s="432">
        <f t="shared" ref="CD277:CW277" si="148">BJ277*(1-V277/AP277)</f>
        <v>1.4</v>
      </c>
      <c r="CE277" s="432">
        <f t="shared" si="148"/>
        <v>1.442</v>
      </c>
      <c r="CF277" s="432">
        <f t="shared" si="148"/>
        <v>1.48526</v>
      </c>
      <c r="CG277" s="432">
        <f t="shared" si="148"/>
        <v>1.5298178</v>
      </c>
      <c r="CH277" s="432">
        <f t="shared" si="148"/>
        <v>1.575712334</v>
      </c>
      <c r="CI277" s="432">
        <f t="shared" si="148"/>
        <v>1.622983704</v>
      </c>
      <c r="CJ277" s="432">
        <f t="shared" si="148"/>
        <v>1.671673215</v>
      </c>
      <c r="CK277" s="432">
        <f t="shared" si="148"/>
        <v>1.721823412</v>
      </c>
      <c r="CL277" s="432">
        <f t="shared" si="148"/>
        <v>1.773478114</v>
      </c>
      <c r="CM277" s="432">
        <f t="shared" si="148"/>
        <v>1.826682457</v>
      </c>
      <c r="CN277" s="432">
        <f t="shared" si="148"/>
        <v>1.881482931</v>
      </c>
      <c r="CO277" s="432">
        <f t="shared" si="148"/>
        <v>1.937927419</v>
      </c>
      <c r="CP277" s="432">
        <f t="shared" si="148"/>
        <v>1.996065242</v>
      </c>
      <c r="CQ277" s="432">
        <f t="shared" si="148"/>
        <v>2.055947199</v>
      </c>
      <c r="CR277" s="432">
        <f t="shared" si="148"/>
        <v>2.117625615</v>
      </c>
      <c r="CS277" s="432">
        <f t="shared" si="148"/>
        <v>2.181154383</v>
      </c>
      <c r="CT277" s="432">
        <f t="shared" si="148"/>
        <v>2.246589015</v>
      </c>
      <c r="CU277" s="432">
        <f t="shared" si="148"/>
        <v>2.313986685</v>
      </c>
      <c r="CV277" s="432">
        <f t="shared" si="148"/>
        <v>2.383406286</v>
      </c>
      <c r="CW277" s="432">
        <f t="shared" si="148"/>
        <v>2.454908474</v>
      </c>
      <c r="CX277" s="432">
        <f>CW277*(1+min(Valu!$C$15,$O277))/(Valu!$C$21-min(Valu!$C$15,$O277))</f>
        <v>66.54094022</v>
      </c>
      <c r="CY277" s="432">
        <f>CD277/(1+Valu!$C$21)^CY$3</f>
        <v>1.310861423</v>
      </c>
      <c r="CZ277" s="432">
        <f>CE277/(1+Valu!$C$21)^CZ$3</f>
        <v>1.264220286</v>
      </c>
      <c r="DA277" s="432">
        <f>CF277/(1+Valu!$C$21)^DA$3</f>
        <v>1.219238666</v>
      </c>
      <c r="DB277" s="432">
        <f>CG277/(1+Valu!$C$21)^DB$3</f>
        <v>1.175857515</v>
      </c>
      <c r="DC277" s="432">
        <f>CH277/(1+Valu!$C$21)^DC$3</f>
        <v>1.134019888</v>
      </c>
      <c r="DD277" s="432">
        <f>CI277/(1+Valu!$C$21)^DD$3</f>
        <v>1.093670866</v>
      </c>
      <c r="DE277" s="432">
        <f>CJ277/(1+Valu!$C$21)^DE$3</f>
        <v>1.054757483</v>
      </c>
      <c r="DF277" s="432">
        <f>CK277/(1+Valu!$C$21)^DF$3</f>
        <v>1.017228658</v>
      </c>
      <c r="DG277" s="432">
        <f>CL277/(1+Valu!$C$21)^DG$3</f>
        <v>0.9810351294</v>
      </c>
      <c r="DH277" s="432">
        <f>CM277/(1+Valu!$C$21)^DH$3</f>
        <v>0.9461293851</v>
      </c>
      <c r="DI277" s="432">
        <f>CN277/(1+Valu!$C$21)^DI$3</f>
        <v>0.9124656055</v>
      </c>
      <c r="DJ277" s="432">
        <f>CO277/(1+Valu!$C$21)^DJ$3</f>
        <v>0.8799996008</v>
      </c>
      <c r="DK277" s="432">
        <f>CP277/(1+Valu!$C$21)^DK$3</f>
        <v>0.8486887536</v>
      </c>
      <c r="DL277" s="432">
        <f>CQ277/(1+Valu!$C$21)^DL$3</f>
        <v>0.8184919627</v>
      </c>
      <c r="DM277" s="432">
        <f>CR277/(1+Valu!$C$21)^DM$3</f>
        <v>0.7893695895</v>
      </c>
      <c r="DN277" s="432">
        <f>CS277/(1+Valu!$C$21)^DN$3</f>
        <v>0.7612834056</v>
      </c>
      <c r="DO277" s="432">
        <f>CT277/(1+Valu!$C$21)^DO$3</f>
        <v>0.7341965429</v>
      </c>
      <c r="DP277" s="432">
        <f>CU277/(1+Valu!$C$21)^DP$3</f>
        <v>0.7080734449</v>
      </c>
      <c r="DQ277" s="432">
        <f>CV277/(1+Valu!$C$21)^DQ$3</f>
        <v>0.6828798204</v>
      </c>
      <c r="DR277" s="432">
        <f>CW277/(1+Valu!$C$21)^DR$3</f>
        <v>0.6585825984</v>
      </c>
      <c r="DS277" s="432">
        <f>CX277/(1+Valu!$C$21)^DS$3</f>
        <v>17.85105464</v>
      </c>
      <c r="DT277" s="358"/>
      <c r="DU277" s="358"/>
      <c r="DV277" s="358"/>
      <c r="DW277" s="358"/>
    </row>
    <row r="278" ht="15.0" customHeight="1">
      <c r="A278" s="372">
        <v>42136.0</v>
      </c>
      <c r="B278" s="384" t="s">
        <v>3163</v>
      </c>
      <c r="C278" s="384" t="s">
        <v>3164</v>
      </c>
      <c r="D278" s="384">
        <v>29.0</v>
      </c>
      <c r="E278" s="374">
        <f>IFERROR(__xludf.DUMMYFUNCTION("if(and(D278&lt;&gt;0,D278&lt;&gt;""""),D278/GOOGLEFINANCE(C278,""price"")-1,"""")"),-0.8616874135546335)</f>
        <v>-0.8616874136</v>
      </c>
      <c r="F278" s="375">
        <f>IFERROR(__xludf.DUMMYFUNCTION("GOOGLEFINANCE(C278,""price"")"),209.67)</f>
        <v>209.67</v>
      </c>
      <c r="G278" s="374">
        <f t="shared" si="6"/>
        <v>-0.900824545</v>
      </c>
      <c r="H278" s="376"/>
      <c r="I278" s="368">
        <f>max(0,0.7*($I$1+15))</f>
        <v>20.79411765</v>
      </c>
      <c r="J278" s="380"/>
      <c r="K278" s="380"/>
      <c r="L278" s="389"/>
      <c r="M278" s="379">
        <f t="shared" si="7"/>
        <v>-119.9023034</v>
      </c>
      <c r="N278" s="380">
        <f t="shared" si="8"/>
        <v>0</v>
      </c>
      <c r="O278" s="389"/>
      <c r="P278" s="390"/>
      <c r="Q278" s="391"/>
      <c r="R278" s="387"/>
      <c r="S278" s="387"/>
      <c r="T278" s="381" t="s">
        <v>1223</v>
      </c>
      <c r="U278" s="386" t="s">
        <v>3165</v>
      </c>
      <c r="V278" s="344"/>
      <c r="W278" s="344"/>
      <c r="X278" s="344"/>
      <c r="Y278" s="344"/>
      <c r="Z278" s="344"/>
      <c r="AA278" s="344"/>
      <c r="AB278" s="344"/>
      <c r="AC278" s="344"/>
      <c r="AD278" s="344"/>
      <c r="AE278" s="344"/>
      <c r="AF278" s="344"/>
      <c r="AG278" s="344"/>
      <c r="AH278" s="344"/>
      <c r="AI278" s="344"/>
      <c r="AJ278" s="344"/>
      <c r="AK278" s="344"/>
      <c r="AL278" s="344"/>
      <c r="AM278" s="344"/>
      <c r="AN278" s="344"/>
      <c r="AO278" s="344"/>
      <c r="AP278" s="344"/>
      <c r="AQ278" s="344"/>
      <c r="AR278" s="344"/>
      <c r="AS278" s="344"/>
      <c r="AT278" s="344"/>
      <c r="AU278" s="344"/>
      <c r="AV278" s="344"/>
      <c r="AW278" s="344"/>
      <c r="AX278" s="344"/>
      <c r="AY278" s="344"/>
      <c r="AZ278" s="344"/>
      <c r="BA278" s="344"/>
      <c r="BB278" s="344"/>
      <c r="BC278" s="344"/>
      <c r="BD278" s="344"/>
      <c r="BE278" s="344"/>
      <c r="BF278" s="344"/>
      <c r="BG278" s="344"/>
      <c r="BH278" s="344"/>
      <c r="BI278" s="344"/>
      <c r="BJ278" s="344"/>
      <c r="BK278" s="344"/>
      <c r="BL278" s="344"/>
      <c r="BM278" s="344"/>
      <c r="BN278" s="344"/>
      <c r="BO278" s="344"/>
      <c r="BP278" s="344"/>
      <c r="BQ278" s="344"/>
      <c r="BR278" s="344"/>
      <c r="BS278" s="344"/>
      <c r="BT278" s="344"/>
      <c r="BU278" s="344"/>
      <c r="BV278" s="344"/>
      <c r="BW278" s="344"/>
      <c r="BX278" s="344"/>
      <c r="BY278" s="344"/>
      <c r="BZ278" s="344"/>
      <c r="CA278" s="344"/>
      <c r="CB278" s="344"/>
      <c r="CC278" s="344"/>
      <c r="CD278" s="344"/>
      <c r="CE278" s="344"/>
      <c r="CF278" s="344"/>
      <c r="CG278" s="344"/>
      <c r="CH278" s="344"/>
      <c r="CI278" s="344"/>
      <c r="CJ278" s="344"/>
      <c r="CK278" s="344"/>
      <c r="CL278" s="344"/>
      <c r="CM278" s="344"/>
      <c r="CN278" s="344"/>
      <c r="CO278" s="344"/>
      <c r="CP278" s="344"/>
      <c r="CQ278" s="344"/>
      <c r="CR278" s="344"/>
      <c r="CS278" s="344"/>
      <c r="CT278" s="344"/>
      <c r="CU278" s="344"/>
      <c r="CV278" s="344"/>
      <c r="CW278" s="344"/>
      <c r="CX278" s="344"/>
      <c r="CY278" s="344"/>
      <c r="CZ278" s="344"/>
      <c r="DA278" s="344"/>
      <c r="DB278" s="344"/>
      <c r="DC278" s="344"/>
      <c r="DD278" s="344"/>
      <c r="DE278" s="344"/>
      <c r="DF278" s="344"/>
      <c r="DG278" s="344"/>
      <c r="DH278" s="344"/>
      <c r="DI278" s="344"/>
      <c r="DJ278" s="344"/>
      <c r="DK278" s="344"/>
      <c r="DL278" s="344"/>
      <c r="DM278" s="344"/>
      <c r="DN278" s="344"/>
      <c r="DO278" s="344"/>
      <c r="DP278" s="344"/>
      <c r="DQ278" s="344"/>
      <c r="DR278" s="344"/>
      <c r="DS278" s="344"/>
      <c r="DT278" s="344"/>
      <c r="DU278" s="344"/>
      <c r="DV278" s="344"/>
      <c r="DW278" s="344"/>
    </row>
    <row r="279" ht="15.0" customHeight="1">
      <c r="A279" s="388">
        <v>43530.0</v>
      </c>
      <c r="B279" s="373" t="s">
        <v>3166</v>
      </c>
      <c r="C279" s="373" t="s">
        <v>1273</v>
      </c>
      <c r="D279" s="989">
        <f>min(70,I279)</f>
        <v>70</v>
      </c>
      <c r="E279" s="374">
        <f>IFERROR(__xludf.DUMMYFUNCTION("if(and(D279&lt;&gt;0,D279&lt;&gt;""""),D279/GOOGLEFINANCE(C279,""price"")-1,"""")"),-0.17189163610552471)</f>
        <v>-0.1718916361</v>
      </c>
      <c r="F279" s="375">
        <f>IFERROR(__xludf.DUMMYFUNCTION("GOOGLEFINANCE(C279,""price"")"),84.53)</f>
        <v>84.53</v>
      </c>
      <c r="G279" s="374">
        <f t="shared" si="6"/>
        <v>0.03591716244</v>
      </c>
      <c r="H279" s="376"/>
      <c r="I279" s="368">
        <f>sum(CY279:DS279)</f>
        <v>87.56607774</v>
      </c>
      <c r="J279" s="377">
        <v>3.09</v>
      </c>
      <c r="K279" s="377">
        <v>3.34</v>
      </c>
      <c r="L279" s="378">
        <v>43982.0</v>
      </c>
      <c r="M279" s="379">
        <f t="shared" si="7"/>
        <v>0.596326781</v>
      </c>
      <c r="N279" s="380">
        <f t="shared" si="8"/>
        <v>3.190918305</v>
      </c>
      <c r="O279" s="370">
        <v>0.15</v>
      </c>
      <c r="P279" s="370">
        <v>0.35</v>
      </c>
      <c r="Q279" s="371">
        <f>I279/N279</f>
        <v>27.44228131</v>
      </c>
      <c r="R279" s="381">
        <v>6.0</v>
      </c>
      <c r="S279" s="378">
        <v>43656.0</v>
      </c>
      <c r="T279" s="381" t="s">
        <v>1223</v>
      </c>
      <c r="U279" s="382" t="s">
        <v>3168</v>
      </c>
      <c r="V279" s="429">
        <f>O279</f>
        <v>0.15</v>
      </c>
      <c r="W279" s="430">
        <f>max(min(Valu!$C$15,$O279),$O279-max($O279-Valu!$C$15,0)/$R279*(W$3-1))</f>
        <v>0.13</v>
      </c>
      <c r="X279" s="430">
        <f>max(min(Valu!$C$15,$O279),$O279-max($O279-Valu!$C$15,0)/$R279*(X$3-1))</f>
        <v>0.11</v>
      </c>
      <c r="Y279" s="430">
        <f>max(min(Valu!$C$15,$O279),$O279-max($O279-Valu!$C$15,0)/$R279*(Y$3-1))</f>
        <v>0.09</v>
      </c>
      <c r="Z279" s="430">
        <f>max(min(Valu!$C$15,$O279),$O279-max($O279-Valu!$C$15,0)/$R279*(Z$3-1))</f>
        <v>0.07</v>
      </c>
      <c r="AA279" s="430">
        <f>max(min(Valu!$C$15,$O279),$O279-max($O279-Valu!$C$15,0)/$R279*(AA$3-1))</f>
        <v>0.05</v>
      </c>
      <c r="AB279" s="430">
        <f>max(min(Valu!$C$15,$O279),$O279-max($O279-Valu!$C$15,0)/$R279*(AB$3-1))</f>
        <v>0.03</v>
      </c>
      <c r="AC279" s="430">
        <f>max(min(Valu!$C$15,$O279),$O279-max($O279-Valu!$C$15,0)/$R279*(AC$3-1))</f>
        <v>0.03</v>
      </c>
      <c r="AD279" s="430">
        <f>max(min(Valu!$C$15,$O279),$O279-max($O279-Valu!$C$15,0)/$R279*(AD$3-1))</f>
        <v>0.03</v>
      </c>
      <c r="AE279" s="430">
        <f>max(min(Valu!$C$15,$O279),$O279-max($O279-Valu!$C$15,0)/$R279*(AE$3-1))</f>
        <v>0.03</v>
      </c>
      <c r="AF279" s="430">
        <f>max(min(Valu!$C$15,$O279),$O279-max($O279-Valu!$C$15,0)/$R279*(AF$3-1))</f>
        <v>0.03</v>
      </c>
      <c r="AG279" s="430">
        <f>max(min(Valu!$C$15,$O279),$O279-max($O279-Valu!$C$15,0)/$R279*(AG$3-1))</f>
        <v>0.03</v>
      </c>
      <c r="AH279" s="430">
        <f>max(min(Valu!$C$15,$O279),$O279-max($O279-Valu!$C$15,0)/$R279*(AH$3-1))</f>
        <v>0.03</v>
      </c>
      <c r="AI279" s="430">
        <f>max(min(Valu!$C$15,$O279),$O279-max($O279-Valu!$C$15,0)/$R279*(AI$3-1))</f>
        <v>0.03</v>
      </c>
      <c r="AJ279" s="430">
        <f>max(min(Valu!$C$15,$O279),$O279-max($O279-Valu!$C$15,0)/$R279*(AJ$3-1))</f>
        <v>0.03</v>
      </c>
      <c r="AK279" s="430">
        <f>max(min(Valu!$C$15,$O279),$O279-max($O279-Valu!$C$15,0)/$R279*(AK$3-1))</f>
        <v>0.03</v>
      </c>
      <c r="AL279" s="430">
        <f>max(min(Valu!$C$15,$O279),$O279-max($O279-Valu!$C$15,0)/$R279*(AL$3-1))</f>
        <v>0.03</v>
      </c>
      <c r="AM279" s="430">
        <f>max(min(Valu!$C$15,$O279),$O279-max($O279-Valu!$C$15,0)/$R279*(AM$3-1))</f>
        <v>0.03</v>
      </c>
      <c r="AN279" s="430">
        <f>max(min(Valu!$C$15,$O279),$O279-max($O279-Valu!$C$15,0)/$R279*(AN$3-1))</f>
        <v>0.03</v>
      </c>
      <c r="AO279" s="430">
        <f>max(min(Valu!$C$15,$O279),$O279-max($O279-Valu!$C$15,0)/$R279*(AO$3-1))</f>
        <v>0.03</v>
      </c>
      <c r="AP279" s="430">
        <f>max(min(Valu!$C$14,$P279),$P279-max($P279-Valu!$C$14,0)/$R279*(AP$3-1))</f>
        <v>0.35</v>
      </c>
      <c r="AQ279" s="430">
        <f>max(min(Valu!$C$14,$P279),$P279-max($P279-Valu!$C$14,0)/$R279*(AQ$3-1))</f>
        <v>0.3116666667</v>
      </c>
      <c r="AR279" s="430">
        <f>max(min(Valu!$C$14,$P279),$P279-max($P279-Valu!$C$14,0)/$R279*(AR$3-1))</f>
        <v>0.2733333333</v>
      </c>
      <c r="AS279" s="430">
        <f>max(min(Valu!$C$14,$P279),$P279-max($P279-Valu!$C$14,0)/$R279*(AS$3-1))</f>
        <v>0.235</v>
      </c>
      <c r="AT279" s="430">
        <f>max(min(Valu!$C$14,$P279),$P279-max($P279-Valu!$C$14,0)/$R279*(AT$3-1))</f>
        <v>0.1966666667</v>
      </c>
      <c r="AU279" s="430">
        <f>max(min(Valu!$C$14,$P279),$P279-max($P279-Valu!$C$14,0)/$R279*(AU$3-1))</f>
        <v>0.1583333333</v>
      </c>
      <c r="AV279" s="430">
        <f>max(min(Valu!$C$14,$P279),$P279-max($P279-Valu!$C$14,0)/$R279*(AV$3-1))</f>
        <v>0.12</v>
      </c>
      <c r="AW279" s="430">
        <f>max(min(Valu!$C$14,$P279),$P279-max($P279-Valu!$C$14,0)/$R279*(AW$3-1))</f>
        <v>0.12</v>
      </c>
      <c r="AX279" s="430">
        <f>max(min(Valu!$C$14,$P279),$P279-max($P279-Valu!$C$14,0)/$R279*(AX$3-1))</f>
        <v>0.12</v>
      </c>
      <c r="AY279" s="430">
        <f>max(min(Valu!$C$14,$P279),$P279-max($P279-Valu!$C$14,0)/$R279*(AY$3-1))</f>
        <v>0.12</v>
      </c>
      <c r="AZ279" s="430">
        <f>max(min(Valu!$C$14,$P279),$P279-max($P279-Valu!$C$14,0)/$R279*(AZ$3-1))</f>
        <v>0.12</v>
      </c>
      <c r="BA279" s="430">
        <f>max(min(Valu!$C$14,$P279),$P279-max($P279-Valu!$C$14,0)/$R279*(BA$3-1))</f>
        <v>0.12</v>
      </c>
      <c r="BB279" s="430">
        <f>max(min(Valu!$C$14,$P279),$P279-max($P279-Valu!$C$14,0)/$R279*(BB$3-1))</f>
        <v>0.12</v>
      </c>
      <c r="BC279" s="430">
        <f>max(min(Valu!$C$14,$P279),$P279-max($P279-Valu!$C$14,0)/$R279*(BC$3-1))</f>
        <v>0.12</v>
      </c>
      <c r="BD279" s="430">
        <f>max(min(Valu!$C$14,$P279),$P279-max($P279-Valu!$C$14,0)/$R279*(BD$3-1))</f>
        <v>0.12</v>
      </c>
      <c r="BE279" s="430">
        <f>max(min(Valu!$C$14,$P279),$P279-max($P279-Valu!$C$14,0)/$R279*(BE$3-1))</f>
        <v>0.12</v>
      </c>
      <c r="BF279" s="430">
        <f>max(min(Valu!$C$14,$P279),$P279-max($P279-Valu!$C$14,0)/$R279*(BF$3-1))</f>
        <v>0.12</v>
      </c>
      <c r="BG279" s="430">
        <f>max(min(Valu!$C$14,$P279),$P279-max($P279-Valu!$C$14,0)/$R279*(BG$3-1))</f>
        <v>0.12</v>
      </c>
      <c r="BH279" s="430">
        <f>max(min(Valu!$C$14,$P279),$P279-max($P279-Valu!$C$14,0)/$R279*(BH$3-1))</f>
        <v>0.12</v>
      </c>
      <c r="BI279" s="430">
        <f>max(min(Valu!$C$14,$P279),$P279-max($P279-Valu!$C$14,0)/$R279*(BI$3-1))</f>
        <v>0.12</v>
      </c>
      <c r="BJ279" s="431">
        <f>N279</f>
        <v>3.190918305</v>
      </c>
      <c r="BK279" s="432">
        <f>$BJ279*(1+V279)</f>
        <v>3.66955605</v>
      </c>
      <c r="BL279" s="432">
        <f t="shared" ref="BL279:CC279" si="149">BK279*(1+W279)</f>
        <v>4.146598337</v>
      </c>
      <c r="BM279" s="432">
        <f t="shared" si="149"/>
        <v>4.602724154</v>
      </c>
      <c r="BN279" s="432">
        <f t="shared" si="149"/>
        <v>5.016969328</v>
      </c>
      <c r="BO279" s="432">
        <f t="shared" si="149"/>
        <v>5.368157181</v>
      </c>
      <c r="BP279" s="432">
        <f t="shared" si="149"/>
        <v>5.63656504</v>
      </c>
      <c r="BQ279" s="432">
        <f t="shared" si="149"/>
        <v>5.805661991</v>
      </c>
      <c r="BR279" s="432">
        <f t="shared" si="149"/>
        <v>5.979831851</v>
      </c>
      <c r="BS279" s="432">
        <f t="shared" si="149"/>
        <v>6.159226806</v>
      </c>
      <c r="BT279" s="432">
        <f t="shared" si="149"/>
        <v>6.344003611</v>
      </c>
      <c r="BU279" s="432">
        <f t="shared" si="149"/>
        <v>6.534323719</v>
      </c>
      <c r="BV279" s="432">
        <f t="shared" si="149"/>
        <v>6.730353431</v>
      </c>
      <c r="BW279" s="432">
        <f t="shared" si="149"/>
        <v>6.932264033</v>
      </c>
      <c r="BX279" s="432">
        <f t="shared" si="149"/>
        <v>7.140231954</v>
      </c>
      <c r="BY279" s="432">
        <f t="shared" si="149"/>
        <v>7.354438913</v>
      </c>
      <c r="BZ279" s="432">
        <f t="shared" si="149"/>
        <v>7.57507208</v>
      </c>
      <c r="CA279" s="432">
        <f t="shared" si="149"/>
        <v>7.802324243</v>
      </c>
      <c r="CB279" s="432">
        <f t="shared" si="149"/>
        <v>8.03639397</v>
      </c>
      <c r="CC279" s="432">
        <f t="shared" si="149"/>
        <v>8.277485789</v>
      </c>
      <c r="CD279" s="432">
        <f t="shared" ref="CD279:CW279" si="150">BJ279*(1-V279/AP279)</f>
        <v>1.823381888</v>
      </c>
      <c r="CE279" s="432">
        <f t="shared" si="150"/>
        <v>2.138939088</v>
      </c>
      <c r="CF279" s="432">
        <f t="shared" si="150"/>
        <v>2.477845348</v>
      </c>
      <c r="CG279" s="432">
        <f t="shared" si="150"/>
        <v>2.839978733</v>
      </c>
      <c r="CH279" s="432">
        <f t="shared" si="150"/>
        <v>3.231268381</v>
      </c>
      <c r="CI279" s="432">
        <f t="shared" si="150"/>
        <v>3.67294965</v>
      </c>
      <c r="CJ279" s="432">
        <f t="shared" si="150"/>
        <v>4.22742378</v>
      </c>
      <c r="CK279" s="432">
        <f t="shared" si="150"/>
        <v>4.354246493</v>
      </c>
      <c r="CL279" s="432">
        <f t="shared" si="150"/>
        <v>4.484873888</v>
      </c>
      <c r="CM279" s="432">
        <f t="shared" si="150"/>
        <v>4.619420105</v>
      </c>
      <c r="CN279" s="432">
        <f t="shared" si="150"/>
        <v>4.758002708</v>
      </c>
      <c r="CO279" s="432">
        <f t="shared" si="150"/>
        <v>4.900742789</v>
      </c>
      <c r="CP279" s="432">
        <f t="shared" si="150"/>
        <v>5.047765073</v>
      </c>
      <c r="CQ279" s="432">
        <f t="shared" si="150"/>
        <v>5.199198025</v>
      </c>
      <c r="CR279" s="432">
        <f t="shared" si="150"/>
        <v>5.355173966</v>
      </c>
      <c r="CS279" s="432">
        <f t="shared" si="150"/>
        <v>5.515829185</v>
      </c>
      <c r="CT279" s="432">
        <f t="shared" si="150"/>
        <v>5.68130406</v>
      </c>
      <c r="CU279" s="432">
        <f t="shared" si="150"/>
        <v>5.851743182</v>
      </c>
      <c r="CV279" s="432">
        <f t="shared" si="150"/>
        <v>6.027295478</v>
      </c>
      <c r="CW279" s="432">
        <f t="shared" si="150"/>
        <v>6.208114342</v>
      </c>
      <c r="CX279" s="432">
        <f>CW279*(1+min(Valu!$C$15,$O279))/(Valu!$C$21-min(Valu!$C$15,$O279))</f>
        <v>168.272573</v>
      </c>
      <c r="CY279" s="432">
        <f>CD279/(1+Valu!$C$21)^CY$3</f>
        <v>1.707286412</v>
      </c>
      <c r="CZ279" s="432">
        <f>CE279/(1+Valu!$C$21)^CZ$3</f>
        <v>1.875235913</v>
      </c>
      <c r="DA279" s="432">
        <f>CF279/(1+Valu!$C$21)^DA$3</f>
        <v>2.034044447</v>
      </c>
      <c r="DB279" s="432">
        <f>CG279/(1+Valu!$C$21)^DB$3</f>
        <v>2.182881083</v>
      </c>
      <c r="DC279" s="432">
        <f>CH279/(1+Valu!$C$21)^DC$3</f>
        <v>2.325502268</v>
      </c>
      <c r="DD279" s="432">
        <f>CI279/(1+Valu!$C$21)^DD$3</f>
        <v>2.475069844</v>
      </c>
      <c r="DE279" s="432">
        <f>CJ279/(1+Valu!$C$21)^DE$3</f>
        <v>2.667331644</v>
      </c>
      <c r="DF279" s="432">
        <f>CK279/(1+Valu!$C$21)^DF$3</f>
        <v>2.572426585</v>
      </c>
      <c r="DG279" s="432">
        <f>CL279/(1+Valu!$C$21)^DG$3</f>
        <v>2.480898298</v>
      </c>
      <c r="DH279" s="432">
        <f>CM279/(1+Valu!$C$21)^DH$3</f>
        <v>2.392626636</v>
      </c>
      <c r="DI279" s="432">
        <f>CN279/(1+Valu!$C$21)^DI$3</f>
        <v>2.307495726</v>
      </c>
      <c r="DJ279" s="432">
        <f>CO279/(1+Valu!$C$21)^DJ$3</f>
        <v>2.225393818</v>
      </c>
      <c r="DK279" s="432">
        <f>CP279/(1+Valu!$C$21)^DK$3</f>
        <v>2.146213139</v>
      </c>
      <c r="DL279" s="432">
        <f>CQ279/(1+Valu!$C$21)^DL$3</f>
        <v>2.06984975</v>
      </c>
      <c r="DM279" s="432">
        <f>CR279/(1+Valu!$C$21)^DM$3</f>
        <v>1.996203411</v>
      </c>
      <c r="DN279" s="432">
        <f>CS279/(1+Valu!$C$21)^DN$3</f>
        <v>1.925177447</v>
      </c>
      <c r="DO279" s="432">
        <f>CT279/(1+Valu!$C$21)^DO$3</f>
        <v>1.856678624</v>
      </c>
      <c r="DP279" s="432">
        <f>CU279/(1+Valu!$C$21)^DP$3</f>
        <v>1.790617025</v>
      </c>
      <c r="DQ279" s="432">
        <f>CV279/(1+Valu!$C$21)^DQ$3</f>
        <v>1.726905932</v>
      </c>
      <c r="DR279" s="432">
        <f>CW279/(1+Valu!$C$21)^DR$3</f>
        <v>1.665461714</v>
      </c>
      <c r="DS279" s="432">
        <f>CX279/(1+Valu!$C$21)^DS$3</f>
        <v>45.14277803</v>
      </c>
      <c r="DT279" s="358"/>
      <c r="DU279" s="358"/>
      <c r="DV279" s="358"/>
      <c r="DW279" s="358"/>
    </row>
    <row r="280" ht="15.0" customHeight="1">
      <c r="A280" s="372">
        <v>43262.0</v>
      </c>
      <c r="B280" s="384" t="s">
        <v>3173</v>
      </c>
      <c r="C280" s="384" t="s">
        <v>3174</v>
      </c>
      <c r="D280" s="384"/>
      <c r="E280" s="374" t="str">
        <f>IFERROR(__xludf.DUMMYFUNCTION("if(and(D280&lt;&gt;0,D280&lt;&gt;""""),D280/GOOGLEFINANCE(C280,""price"")-1,"""")"),"")</f>
        <v/>
      </c>
      <c r="F280" s="375">
        <f>IFERROR(__xludf.DUMMYFUNCTION("GOOGLEFINANCE(C280,""price"")"),157.71)</f>
        <v>157.71</v>
      </c>
      <c r="G280" s="374">
        <f t="shared" si="6"/>
        <v>-0.7054347704</v>
      </c>
      <c r="H280" s="376"/>
      <c r="I280" s="376">
        <f>(0.27*0.5+0.5*0.54)*($I$1+100)</f>
        <v>46.45588235</v>
      </c>
      <c r="J280" s="380"/>
      <c r="K280" s="380"/>
      <c r="L280" s="389"/>
      <c r="M280" s="379">
        <f t="shared" si="7"/>
        <v>-119.9023034</v>
      </c>
      <c r="N280" s="380">
        <f t="shared" si="8"/>
        <v>0</v>
      </c>
      <c r="O280" s="389"/>
      <c r="P280" s="390"/>
      <c r="Q280" s="391"/>
      <c r="R280" s="387"/>
      <c r="S280" s="387"/>
      <c r="T280" s="387"/>
      <c r="U280" s="386" t="s">
        <v>3176</v>
      </c>
      <c r="V280" s="344"/>
      <c r="W280" s="344"/>
      <c r="X280" s="344"/>
      <c r="Y280" s="344"/>
      <c r="Z280" s="344"/>
      <c r="AA280" s="344"/>
      <c r="AB280" s="344"/>
      <c r="AC280" s="344"/>
      <c r="AD280" s="344"/>
      <c r="AE280" s="344"/>
      <c r="AF280" s="344"/>
      <c r="AG280" s="344"/>
      <c r="AH280" s="344"/>
      <c r="AI280" s="344"/>
      <c r="AJ280" s="344"/>
      <c r="AK280" s="344"/>
      <c r="AL280" s="344"/>
      <c r="AM280" s="344"/>
      <c r="AN280" s="344"/>
      <c r="AO280" s="344"/>
      <c r="AP280" s="344"/>
      <c r="AQ280" s="344"/>
      <c r="AR280" s="344"/>
      <c r="AS280" s="344"/>
      <c r="AT280" s="344"/>
      <c r="AU280" s="344"/>
      <c r="AV280" s="344"/>
      <c r="AW280" s="344"/>
      <c r="AX280" s="344"/>
      <c r="AY280" s="344"/>
      <c r="AZ280" s="344"/>
      <c r="BA280" s="344"/>
      <c r="BB280" s="344"/>
      <c r="BC280" s="344"/>
      <c r="BD280" s="344"/>
      <c r="BE280" s="344"/>
      <c r="BF280" s="344"/>
      <c r="BG280" s="344"/>
      <c r="BH280" s="344"/>
      <c r="BI280" s="344"/>
      <c r="BJ280" s="344"/>
      <c r="BK280" s="344"/>
      <c r="BL280" s="344"/>
      <c r="BM280" s="344"/>
      <c r="BN280" s="344"/>
      <c r="BO280" s="344"/>
      <c r="BP280" s="344"/>
      <c r="BQ280" s="344"/>
      <c r="BR280" s="344"/>
      <c r="BS280" s="344"/>
      <c r="BT280" s="344"/>
      <c r="BU280" s="344"/>
      <c r="BV280" s="344"/>
      <c r="BW280" s="344"/>
      <c r="BX280" s="344"/>
      <c r="BY280" s="344"/>
      <c r="BZ280" s="344"/>
      <c r="CA280" s="344"/>
      <c r="CB280" s="344"/>
      <c r="CC280" s="344"/>
      <c r="CD280" s="344"/>
      <c r="CE280" s="344"/>
      <c r="CF280" s="344"/>
      <c r="CG280" s="344"/>
      <c r="CH280" s="344"/>
      <c r="CI280" s="344"/>
      <c r="CJ280" s="344"/>
      <c r="CK280" s="344"/>
      <c r="CL280" s="344"/>
      <c r="CM280" s="344"/>
      <c r="CN280" s="344"/>
      <c r="CO280" s="344"/>
      <c r="CP280" s="344"/>
      <c r="CQ280" s="344"/>
      <c r="CR280" s="344"/>
      <c r="CS280" s="344"/>
      <c r="CT280" s="344"/>
      <c r="CU280" s="344"/>
      <c r="CV280" s="344"/>
      <c r="CW280" s="344"/>
      <c r="CX280" s="344"/>
      <c r="CY280" s="344"/>
      <c r="CZ280" s="344"/>
      <c r="DA280" s="344"/>
      <c r="DB280" s="344"/>
      <c r="DC280" s="344"/>
      <c r="DD280" s="344"/>
      <c r="DE280" s="344"/>
      <c r="DF280" s="344"/>
      <c r="DG280" s="344"/>
      <c r="DH280" s="344"/>
      <c r="DI280" s="344"/>
      <c r="DJ280" s="344"/>
      <c r="DK280" s="344"/>
      <c r="DL280" s="344"/>
      <c r="DM280" s="344"/>
      <c r="DN280" s="344"/>
      <c r="DO280" s="344"/>
      <c r="DP280" s="344"/>
      <c r="DQ280" s="344"/>
      <c r="DR280" s="344"/>
      <c r="DS280" s="344"/>
      <c r="DT280" s="344"/>
      <c r="DU280" s="344"/>
      <c r="DV280" s="344"/>
      <c r="DW280" s="344"/>
    </row>
    <row r="281" ht="15.0" customHeight="1">
      <c r="A281" s="394">
        <v>40400.0</v>
      </c>
      <c r="B281" s="302" t="s">
        <v>3177</v>
      </c>
      <c r="C281" s="302" t="s">
        <v>3178</v>
      </c>
      <c r="D281" s="422"/>
      <c r="E281" s="396" t="str">
        <f>IFERROR(__xludf.DUMMYFUNCTION("if(and(D281&lt;&gt;0,D281&lt;&gt;""""),D281/GOOGLEFINANCE(C281,""price"")-1,"""")"),"")</f>
        <v/>
      </c>
      <c r="F281" s="397">
        <f>IFERROR(__xludf.DUMMYFUNCTION("GOOGLEFINANCE(C281,""price"")"),25.81)</f>
        <v>25.81</v>
      </c>
      <c r="G281" s="396" t="str">
        <f t="shared" si="6"/>
        <v/>
      </c>
      <c r="H281" s="398">
        <v>16.0</v>
      </c>
      <c r="I281" s="398"/>
      <c r="J281" s="403"/>
      <c r="K281" s="403"/>
      <c r="L281" s="410"/>
      <c r="M281" s="402">
        <f t="shared" si="7"/>
        <v>-119.9023034</v>
      </c>
      <c r="N281" s="403">
        <f t="shared" si="8"/>
        <v>0</v>
      </c>
      <c r="O281" s="410"/>
      <c r="P281" s="411"/>
      <c r="Q281" s="402"/>
      <c r="R281" s="412"/>
      <c r="S281" s="412"/>
      <c r="T281" s="412"/>
      <c r="U281" s="413"/>
      <c r="V281" s="414"/>
      <c r="W281" s="414"/>
      <c r="X281" s="414"/>
      <c r="Y281" s="414"/>
      <c r="Z281" s="414"/>
      <c r="AA281" s="414"/>
      <c r="AB281" s="414"/>
      <c r="AC281" s="414"/>
      <c r="AD281" s="414"/>
      <c r="AE281" s="414"/>
      <c r="AF281" s="414"/>
      <c r="AG281" s="414"/>
      <c r="AH281" s="414"/>
      <c r="AI281" s="414"/>
      <c r="AJ281" s="414"/>
      <c r="AK281" s="414"/>
      <c r="AL281" s="414"/>
      <c r="AM281" s="414"/>
      <c r="AN281" s="414"/>
      <c r="AO281" s="414"/>
      <c r="AP281" s="414"/>
      <c r="AQ281" s="414"/>
      <c r="AR281" s="414"/>
      <c r="AS281" s="414"/>
      <c r="AT281" s="414"/>
      <c r="AU281" s="414"/>
      <c r="AV281" s="414"/>
      <c r="AW281" s="414"/>
      <c r="AX281" s="414"/>
      <c r="AY281" s="414"/>
      <c r="AZ281" s="414"/>
      <c r="BA281" s="414"/>
      <c r="BB281" s="414"/>
      <c r="BC281" s="414"/>
      <c r="BD281" s="414"/>
      <c r="BE281" s="414"/>
      <c r="BF281" s="414"/>
      <c r="BG281" s="414"/>
      <c r="BH281" s="414"/>
      <c r="BI281" s="414"/>
      <c r="BJ281" s="414"/>
      <c r="BK281" s="414"/>
      <c r="BL281" s="414"/>
      <c r="BM281" s="414"/>
      <c r="BN281" s="414"/>
      <c r="BO281" s="414"/>
      <c r="BP281" s="414"/>
      <c r="BQ281" s="414"/>
      <c r="BR281" s="414"/>
      <c r="BS281" s="414"/>
      <c r="BT281" s="414"/>
      <c r="BU281" s="414"/>
      <c r="BV281" s="414"/>
      <c r="BW281" s="414"/>
      <c r="BX281" s="414"/>
      <c r="BY281" s="414"/>
      <c r="BZ281" s="414"/>
      <c r="CA281" s="414"/>
      <c r="CB281" s="414"/>
      <c r="CC281" s="414"/>
      <c r="CD281" s="414"/>
      <c r="CE281" s="414"/>
      <c r="CF281" s="414"/>
      <c r="CG281" s="414"/>
      <c r="CH281" s="414"/>
      <c r="CI281" s="414"/>
      <c r="CJ281" s="414"/>
      <c r="CK281" s="414"/>
      <c r="CL281" s="414"/>
      <c r="CM281" s="414"/>
      <c r="CN281" s="414"/>
      <c r="CO281" s="414"/>
      <c r="CP281" s="414"/>
      <c r="CQ281" s="414"/>
      <c r="CR281" s="414"/>
      <c r="CS281" s="414"/>
      <c r="CT281" s="414"/>
      <c r="CU281" s="414"/>
      <c r="CV281" s="414"/>
      <c r="CW281" s="414"/>
      <c r="CX281" s="414"/>
      <c r="CY281" s="414"/>
      <c r="CZ281" s="414"/>
      <c r="DA281" s="414"/>
      <c r="DB281" s="414"/>
      <c r="DC281" s="414"/>
      <c r="DD281" s="414"/>
      <c r="DE281" s="414"/>
      <c r="DF281" s="414"/>
      <c r="DG281" s="414"/>
      <c r="DH281" s="414"/>
      <c r="DI281" s="414"/>
      <c r="DJ281" s="414"/>
      <c r="DK281" s="414"/>
      <c r="DL281" s="414"/>
      <c r="DM281" s="414"/>
      <c r="DN281" s="414"/>
      <c r="DO281" s="414"/>
      <c r="DP281" s="414"/>
      <c r="DQ281" s="414"/>
      <c r="DR281" s="414"/>
      <c r="DS281" s="414"/>
      <c r="DT281" s="414"/>
      <c r="DU281" s="414"/>
      <c r="DV281" s="414"/>
      <c r="DW281" s="414"/>
    </row>
    <row r="282" ht="15.0" customHeight="1">
      <c r="A282" s="372">
        <v>42222.0</v>
      </c>
      <c r="B282" s="384" t="s">
        <v>3179</v>
      </c>
      <c r="C282" s="384" t="s">
        <v>3104</v>
      </c>
      <c r="D282" s="384">
        <v>43.0</v>
      </c>
      <c r="E282" s="374" t="str">
        <f>IFERROR(__xludf.DUMMYFUNCTION("if(and(D282&lt;&gt;0,D282&lt;&gt;""""),D282/GOOGLEFINANCE(C282,""price"")-1,"""")"),"#N/A")</f>
        <v>#N/A</v>
      </c>
      <c r="F282" s="375" t="str">
        <f>IFERROR(__xludf.DUMMYFUNCTION("GOOGLEFINANCE(C282,""price"")"),"#N/A")</f>
        <v>#N/A</v>
      </c>
      <c r="G282" s="374" t="str">
        <f t="shared" si="6"/>
        <v>#N/A</v>
      </c>
      <c r="H282" s="376"/>
      <c r="I282" s="376">
        <f>2.06*($I$1+4)</f>
        <v>38.53411765</v>
      </c>
      <c r="J282" s="380"/>
      <c r="K282" s="380"/>
      <c r="L282" s="389"/>
      <c r="M282" s="379">
        <f t="shared" si="7"/>
        <v>-119.9023034</v>
      </c>
      <c r="N282" s="380">
        <f t="shared" si="8"/>
        <v>0</v>
      </c>
      <c r="O282" s="389"/>
      <c r="P282" s="390"/>
      <c r="Q282" s="391"/>
      <c r="R282" s="387"/>
      <c r="S282" s="387"/>
      <c r="T282" s="387"/>
      <c r="U282" s="386" t="s">
        <v>3180</v>
      </c>
      <c r="V282" s="344"/>
      <c r="W282" s="344"/>
      <c r="X282" s="344"/>
      <c r="Y282" s="344"/>
      <c r="Z282" s="344"/>
      <c r="AA282" s="344"/>
      <c r="AB282" s="344"/>
      <c r="AC282" s="344"/>
      <c r="AD282" s="344"/>
      <c r="AE282" s="344"/>
      <c r="AF282" s="344"/>
      <c r="AG282" s="344"/>
      <c r="AH282" s="344"/>
      <c r="AI282" s="344"/>
      <c r="AJ282" s="344"/>
      <c r="AK282" s="344"/>
      <c r="AL282" s="344"/>
      <c r="AM282" s="344"/>
      <c r="AN282" s="344"/>
      <c r="AO282" s="344"/>
      <c r="AP282" s="344"/>
      <c r="AQ282" s="344"/>
      <c r="AR282" s="344"/>
      <c r="AS282" s="344"/>
      <c r="AT282" s="344"/>
      <c r="AU282" s="344"/>
      <c r="AV282" s="344"/>
      <c r="AW282" s="344"/>
      <c r="AX282" s="344"/>
      <c r="AY282" s="344"/>
      <c r="AZ282" s="344"/>
      <c r="BA282" s="344"/>
      <c r="BB282" s="344"/>
      <c r="BC282" s="344"/>
      <c r="BD282" s="344"/>
      <c r="BE282" s="344"/>
      <c r="BF282" s="344"/>
      <c r="BG282" s="344"/>
      <c r="BH282" s="344"/>
      <c r="BI282" s="344"/>
      <c r="BJ282" s="344"/>
      <c r="BK282" s="344"/>
      <c r="BL282" s="344"/>
      <c r="BM282" s="344"/>
      <c r="BN282" s="344"/>
      <c r="BO282" s="344"/>
      <c r="BP282" s="344"/>
      <c r="BQ282" s="344"/>
      <c r="BR282" s="344"/>
      <c r="BS282" s="344"/>
      <c r="BT282" s="344"/>
      <c r="BU282" s="344"/>
      <c r="BV282" s="344"/>
      <c r="BW282" s="344"/>
      <c r="BX282" s="344"/>
      <c r="BY282" s="344"/>
      <c r="BZ282" s="344"/>
      <c r="CA282" s="344"/>
      <c r="CB282" s="344"/>
      <c r="CC282" s="344"/>
      <c r="CD282" s="344"/>
      <c r="CE282" s="344"/>
      <c r="CF282" s="344"/>
      <c r="CG282" s="344"/>
      <c r="CH282" s="344"/>
      <c r="CI282" s="344"/>
      <c r="CJ282" s="344"/>
      <c r="CK282" s="344"/>
      <c r="CL282" s="344"/>
      <c r="CM282" s="344"/>
      <c r="CN282" s="344"/>
      <c r="CO282" s="344"/>
      <c r="CP282" s="344"/>
      <c r="CQ282" s="344"/>
      <c r="CR282" s="344"/>
      <c r="CS282" s="344"/>
      <c r="CT282" s="344"/>
      <c r="CU282" s="344"/>
      <c r="CV282" s="344"/>
      <c r="CW282" s="344"/>
      <c r="CX282" s="344"/>
      <c r="CY282" s="344"/>
      <c r="CZ282" s="344"/>
      <c r="DA282" s="344"/>
      <c r="DB282" s="344"/>
      <c r="DC282" s="344"/>
      <c r="DD282" s="344"/>
      <c r="DE282" s="344"/>
      <c r="DF282" s="344"/>
      <c r="DG282" s="344"/>
      <c r="DH282" s="344"/>
      <c r="DI282" s="344"/>
      <c r="DJ282" s="344"/>
      <c r="DK282" s="344"/>
      <c r="DL282" s="344"/>
      <c r="DM282" s="344"/>
      <c r="DN282" s="344"/>
      <c r="DO282" s="344"/>
      <c r="DP282" s="344"/>
      <c r="DQ282" s="344"/>
      <c r="DR282" s="344"/>
      <c r="DS282" s="344"/>
      <c r="DT282" s="344"/>
      <c r="DU282" s="344"/>
      <c r="DV282" s="344"/>
      <c r="DW282" s="344"/>
    </row>
    <row r="283" ht="15.0" customHeight="1">
      <c r="A283" s="388">
        <v>43389.0</v>
      </c>
      <c r="B283" s="373" t="s">
        <v>3182</v>
      </c>
      <c r="C283" s="373" t="s">
        <v>1119</v>
      </c>
      <c r="D283" s="373">
        <v>65.0</v>
      </c>
      <c r="E283" s="374">
        <f>IFERROR(__xludf.DUMMYFUNCTION("if(and(D283&lt;&gt;0,D283&lt;&gt;""""),D283/GOOGLEFINANCE(C283,""price"")-1,"""")"),-0.06204906204906202)</f>
        <v>-0.06204906205</v>
      </c>
      <c r="F283" s="375">
        <f>IFERROR(__xludf.DUMMYFUNCTION("GOOGLEFINANCE(C283,""price"")"),69.3)</f>
        <v>69.3</v>
      </c>
      <c r="G283" s="374">
        <f t="shared" si="6"/>
        <v>0.6382223654</v>
      </c>
      <c r="H283" s="376"/>
      <c r="I283" s="368">
        <f>sum(CY283:DS283)</f>
        <v>113.5288099</v>
      </c>
      <c r="J283" s="377">
        <v>5.07</v>
      </c>
      <c r="K283" s="377">
        <v>5.49</v>
      </c>
      <c r="L283" s="378">
        <v>43830.0</v>
      </c>
      <c r="M283" s="379">
        <f t="shared" si="7"/>
        <v>0.1798884269</v>
      </c>
      <c r="N283" s="380">
        <f t="shared" si="8"/>
        <v>5.414446861</v>
      </c>
      <c r="O283" s="370">
        <v>0.05</v>
      </c>
      <c r="P283" s="370">
        <v>0.15</v>
      </c>
      <c r="Q283" s="371">
        <f>I283/N283</f>
        <v>20.96775771</v>
      </c>
      <c r="R283" s="381">
        <v>8.0</v>
      </c>
      <c r="S283" s="378">
        <v>43677.0</v>
      </c>
      <c r="T283" s="381" t="s">
        <v>1223</v>
      </c>
      <c r="U283" s="382" t="s">
        <v>3183</v>
      </c>
      <c r="V283" s="429">
        <f>O283</f>
        <v>0.05</v>
      </c>
      <c r="W283" s="430">
        <f>max(min(Valu!$C$15,$O283),$O283-max($O283-Valu!$C$15,0)/$R283*(W$3-1))</f>
        <v>0.0475</v>
      </c>
      <c r="X283" s="430">
        <f>max(min(Valu!$C$15,$O283),$O283-max($O283-Valu!$C$15,0)/$R283*(X$3-1))</f>
        <v>0.045</v>
      </c>
      <c r="Y283" s="430">
        <f>max(min(Valu!$C$15,$O283),$O283-max($O283-Valu!$C$15,0)/$R283*(Y$3-1))</f>
        <v>0.0425</v>
      </c>
      <c r="Z283" s="430">
        <f>max(min(Valu!$C$15,$O283),$O283-max($O283-Valu!$C$15,0)/$R283*(Z$3-1))</f>
        <v>0.04</v>
      </c>
      <c r="AA283" s="430">
        <f>max(min(Valu!$C$15,$O283),$O283-max($O283-Valu!$C$15,0)/$R283*(AA$3-1))</f>
        <v>0.0375</v>
      </c>
      <c r="AB283" s="430">
        <f>max(min(Valu!$C$15,$O283),$O283-max($O283-Valu!$C$15,0)/$R283*(AB$3-1))</f>
        <v>0.035</v>
      </c>
      <c r="AC283" s="430">
        <f>max(min(Valu!$C$15,$O283),$O283-max($O283-Valu!$C$15,0)/$R283*(AC$3-1))</f>
        <v>0.0325</v>
      </c>
      <c r="AD283" s="430">
        <f>max(min(Valu!$C$15,$O283),$O283-max($O283-Valu!$C$15,0)/$R283*(AD$3-1))</f>
        <v>0.03</v>
      </c>
      <c r="AE283" s="430">
        <f>max(min(Valu!$C$15,$O283),$O283-max($O283-Valu!$C$15,0)/$R283*(AE$3-1))</f>
        <v>0.03</v>
      </c>
      <c r="AF283" s="430">
        <f>max(min(Valu!$C$15,$O283),$O283-max($O283-Valu!$C$15,0)/$R283*(AF$3-1))</f>
        <v>0.03</v>
      </c>
      <c r="AG283" s="430">
        <f>max(min(Valu!$C$15,$O283),$O283-max($O283-Valu!$C$15,0)/$R283*(AG$3-1))</f>
        <v>0.03</v>
      </c>
      <c r="AH283" s="430">
        <f>max(min(Valu!$C$15,$O283),$O283-max($O283-Valu!$C$15,0)/$R283*(AH$3-1))</f>
        <v>0.03</v>
      </c>
      <c r="AI283" s="430">
        <f>max(min(Valu!$C$15,$O283),$O283-max($O283-Valu!$C$15,0)/$R283*(AI$3-1))</f>
        <v>0.03</v>
      </c>
      <c r="AJ283" s="430">
        <f>max(min(Valu!$C$15,$O283),$O283-max($O283-Valu!$C$15,0)/$R283*(AJ$3-1))</f>
        <v>0.03</v>
      </c>
      <c r="AK283" s="430">
        <f>max(min(Valu!$C$15,$O283),$O283-max($O283-Valu!$C$15,0)/$R283*(AK$3-1))</f>
        <v>0.03</v>
      </c>
      <c r="AL283" s="430">
        <f>max(min(Valu!$C$15,$O283),$O283-max($O283-Valu!$C$15,0)/$R283*(AL$3-1))</f>
        <v>0.03</v>
      </c>
      <c r="AM283" s="430">
        <f>max(min(Valu!$C$15,$O283),$O283-max($O283-Valu!$C$15,0)/$R283*(AM$3-1))</f>
        <v>0.03</v>
      </c>
      <c r="AN283" s="430">
        <f>max(min(Valu!$C$15,$O283),$O283-max($O283-Valu!$C$15,0)/$R283*(AN$3-1))</f>
        <v>0.03</v>
      </c>
      <c r="AO283" s="430">
        <f>max(min(Valu!$C$15,$O283),$O283-max($O283-Valu!$C$15,0)/$R283*(AO$3-1))</f>
        <v>0.03</v>
      </c>
      <c r="AP283" s="430">
        <f>max(min(Valu!$C$14,$P283),$P283-max($P283-Valu!$C$14,0)/$R283*(AP$3-1))</f>
        <v>0.15</v>
      </c>
      <c r="AQ283" s="430">
        <f>max(min(Valu!$C$14,$P283),$P283-max($P283-Valu!$C$14,0)/$R283*(AQ$3-1))</f>
        <v>0.14625</v>
      </c>
      <c r="AR283" s="430">
        <f>max(min(Valu!$C$14,$P283),$P283-max($P283-Valu!$C$14,0)/$R283*(AR$3-1))</f>
        <v>0.1425</v>
      </c>
      <c r="AS283" s="430">
        <f>max(min(Valu!$C$14,$P283),$P283-max($P283-Valu!$C$14,0)/$R283*(AS$3-1))</f>
        <v>0.13875</v>
      </c>
      <c r="AT283" s="430">
        <f>max(min(Valu!$C$14,$P283),$P283-max($P283-Valu!$C$14,0)/$R283*(AT$3-1))</f>
        <v>0.135</v>
      </c>
      <c r="AU283" s="430">
        <f>max(min(Valu!$C$14,$P283),$P283-max($P283-Valu!$C$14,0)/$R283*(AU$3-1))</f>
        <v>0.13125</v>
      </c>
      <c r="AV283" s="430">
        <f>max(min(Valu!$C$14,$P283),$P283-max($P283-Valu!$C$14,0)/$R283*(AV$3-1))</f>
        <v>0.1275</v>
      </c>
      <c r="AW283" s="430">
        <f>max(min(Valu!$C$14,$P283),$P283-max($P283-Valu!$C$14,0)/$R283*(AW$3-1))</f>
        <v>0.12375</v>
      </c>
      <c r="AX283" s="430">
        <f>max(min(Valu!$C$14,$P283),$P283-max($P283-Valu!$C$14,0)/$R283*(AX$3-1))</f>
        <v>0.12</v>
      </c>
      <c r="AY283" s="430">
        <f>max(min(Valu!$C$14,$P283),$P283-max($P283-Valu!$C$14,0)/$R283*(AY$3-1))</f>
        <v>0.12</v>
      </c>
      <c r="AZ283" s="430">
        <f>max(min(Valu!$C$14,$P283),$P283-max($P283-Valu!$C$14,0)/$R283*(AZ$3-1))</f>
        <v>0.12</v>
      </c>
      <c r="BA283" s="430">
        <f>max(min(Valu!$C$14,$P283),$P283-max($P283-Valu!$C$14,0)/$R283*(BA$3-1))</f>
        <v>0.12</v>
      </c>
      <c r="BB283" s="430">
        <f>max(min(Valu!$C$14,$P283),$P283-max($P283-Valu!$C$14,0)/$R283*(BB$3-1))</f>
        <v>0.12</v>
      </c>
      <c r="BC283" s="430">
        <f>max(min(Valu!$C$14,$P283),$P283-max($P283-Valu!$C$14,0)/$R283*(BC$3-1))</f>
        <v>0.12</v>
      </c>
      <c r="BD283" s="430">
        <f>max(min(Valu!$C$14,$P283),$P283-max($P283-Valu!$C$14,0)/$R283*(BD$3-1))</f>
        <v>0.12</v>
      </c>
      <c r="BE283" s="430">
        <f>max(min(Valu!$C$14,$P283),$P283-max($P283-Valu!$C$14,0)/$R283*(BE$3-1))</f>
        <v>0.12</v>
      </c>
      <c r="BF283" s="430">
        <f>max(min(Valu!$C$14,$P283),$P283-max($P283-Valu!$C$14,0)/$R283*(BF$3-1))</f>
        <v>0.12</v>
      </c>
      <c r="BG283" s="430">
        <f>max(min(Valu!$C$14,$P283),$P283-max($P283-Valu!$C$14,0)/$R283*(BG$3-1))</f>
        <v>0.12</v>
      </c>
      <c r="BH283" s="430">
        <f>max(min(Valu!$C$14,$P283),$P283-max($P283-Valu!$C$14,0)/$R283*(BH$3-1))</f>
        <v>0.12</v>
      </c>
      <c r="BI283" s="430">
        <f>max(min(Valu!$C$14,$P283),$P283-max($P283-Valu!$C$14,0)/$R283*(BI$3-1))</f>
        <v>0.12</v>
      </c>
      <c r="BJ283" s="431">
        <f>N283</f>
        <v>5.414446861</v>
      </c>
      <c r="BK283" s="432">
        <f>$BJ283*(1+V283)</f>
        <v>5.685169204</v>
      </c>
      <c r="BL283" s="432">
        <f t="shared" ref="BL283:CC283" si="151">BK283*(1+W283)</f>
        <v>5.955214741</v>
      </c>
      <c r="BM283" s="432">
        <f t="shared" si="151"/>
        <v>6.223199404</v>
      </c>
      <c r="BN283" s="432">
        <f t="shared" si="151"/>
        <v>6.487685379</v>
      </c>
      <c r="BO283" s="432">
        <f t="shared" si="151"/>
        <v>6.747192794</v>
      </c>
      <c r="BP283" s="432">
        <f t="shared" si="151"/>
        <v>7.000212524</v>
      </c>
      <c r="BQ283" s="432">
        <f t="shared" si="151"/>
        <v>7.245219962</v>
      </c>
      <c r="BR283" s="432">
        <f t="shared" si="151"/>
        <v>7.480689611</v>
      </c>
      <c r="BS283" s="432">
        <f t="shared" si="151"/>
        <v>7.705110299</v>
      </c>
      <c r="BT283" s="432">
        <f t="shared" si="151"/>
        <v>7.936263608</v>
      </c>
      <c r="BU283" s="432">
        <f t="shared" si="151"/>
        <v>8.174351517</v>
      </c>
      <c r="BV283" s="432">
        <f t="shared" si="151"/>
        <v>8.419582062</v>
      </c>
      <c r="BW283" s="432">
        <f t="shared" si="151"/>
        <v>8.672169524</v>
      </c>
      <c r="BX283" s="432">
        <f t="shared" si="151"/>
        <v>8.93233461</v>
      </c>
      <c r="BY283" s="432">
        <f t="shared" si="151"/>
        <v>9.200304648</v>
      </c>
      <c r="BZ283" s="432">
        <f t="shared" si="151"/>
        <v>9.476313787</v>
      </c>
      <c r="CA283" s="432">
        <f t="shared" si="151"/>
        <v>9.760603201</v>
      </c>
      <c r="CB283" s="432">
        <f t="shared" si="151"/>
        <v>10.0534213</v>
      </c>
      <c r="CC283" s="432">
        <f t="shared" si="151"/>
        <v>10.35502394</v>
      </c>
      <c r="CD283" s="432">
        <f t="shared" ref="CD283:CW283" si="152">BJ283*(1-V283/AP283)</f>
        <v>3.60963124</v>
      </c>
      <c r="CE283" s="432">
        <f t="shared" si="152"/>
        <v>3.838703992</v>
      </c>
      <c r="CF283" s="432">
        <f t="shared" si="152"/>
        <v>4.074620612</v>
      </c>
      <c r="CG283" s="432">
        <f t="shared" si="152"/>
        <v>4.316994181</v>
      </c>
      <c r="CH283" s="432">
        <f t="shared" si="152"/>
        <v>4.56540823</v>
      </c>
      <c r="CI283" s="432">
        <f t="shared" si="152"/>
        <v>4.819423424</v>
      </c>
      <c r="CJ283" s="432">
        <f t="shared" si="152"/>
        <v>5.078585557</v>
      </c>
      <c r="CK283" s="432">
        <f t="shared" si="152"/>
        <v>5.342434922</v>
      </c>
      <c r="CL283" s="432">
        <f t="shared" si="152"/>
        <v>5.610517208</v>
      </c>
      <c r="CM283" s="432">
        <f t="shared" si="152"/>
        <v>5.778832724</v>
      </c>
      <c r="CN283" s="432">
        <f t="shared" si="152"/>
        <v>5.952197706</v>
      </c>
      <c r="CO283" s="432">
        <f t="shared" si="152"/>
        <v>6.130763637</v>
      </c>
      <c r="CP283" s="432">
        <f t="shared" si="152"/>
        <v>6.314686547</v>
      </c>
      <c r="CQ283" s="432">
        <f t="shared" si="152"/>
        <v>6.504127143</v>
      </c>
      <c r="CR283" s="432">
        <f t="shared" si="152"/>
        <v>6.699250957</v>
      </c>
      <c r="CS283" s="432">
        <f t="shared" si="152"/>
        <v>6.900228486</v>
      </c>
      <c r="CT283" s="432">
        <f t="shared" si="152"/>
        <v>7.107235341</v>
      </c>
      <c r="CU283" s="432">
        <f t="shared" si="152"/>
        <v>7.320452401</v>
      </c>
      <c r="CV283" s="432">
        <f t="shared" si="152"/>
        <v>7.540065973</v>
      </c>
      <c r="CW283" s="432">
        <f t="shared" si="152"/>
        <v>7.766267952</v>
      </c>
      <c r="CX283" s="432">
        <f>CW283*(1+min(Valu!$C$15,$O283))/(Valu!$C$21-min(Valu!$C$15,$O283))</f>
        <v>210.5067366</v>
      </c>
      <c r="CY283" s="432">
        <f>CD283/(1+Valu!$C$21)^CY$3</f>
        <v>3.379804532</v>
      </c>
      <c r="CZ283" s="432">
        <f>CE283/(1+Valu!$C$21)^CZ$3</f>
        <v>3.365442067</v>
      </c>
      <c r="DA283" s="432">
        <f>CF283/(1+Valu!$C$21)^DA$3</f>
        <v>3.344825148</v>
      </c>
      <c r="DB283" s="432">
        <f>CG283/(1+Valu!$C$21)^DB$3</f>
        <v>3.318153344</v>
      </c>
      <c r="DC283" s="432">
        <f>CH283/(1+Valu!$C$21)^DC$3</f>
        <v>3.285665547</v>
      </c>
      <c r="DD283" s="432">
        <f>CI283/(1+Valu!$C$21)^DD$3</f>
        <v>3.247637653</v>
      </c>
      <c r="DE283" s="432">
        <f>CJ283/(1+Valu!$C$21)^DE$3</f>
        <v>3.20437994</v>
      </c>
      <c r="DF283" s="432">
        <f>CK283/(1+Valu!$C$21)^DF$3</f>
        <v>3.156234183</v>
      </c>
      <c r="DG283" s="432">
        <f>CL283/(1+Valu!$C$21)^DG$3</f>
        <v>3.103570567</v>
      </c>
      <c r="DH283" s="432">
        <f>CM283/(1+Valu!$C$21)^DH$3</f>
        <v>2.993143899</v>
      </c>
      <c r="DI283" s="432">
        <f>CN283/(1+Valu!$C$21)^DI$3</f>
        <v>2.886646269</v>
      </c>
      <c r="DJ283" s="432">
        <f>CO283/(1+Valu!$C$21)^DJ$3</f>
        <v>2.783937881</v>
      </c>
      <c r="DK283" s="432">
        <f>CP283/(1+Valu!$C$21)^DK$3</f>
        <v>2.684883912</v>
      </c>
      <c r="DL283" s="432">
        <f>CQ283/(1+Valu!$C$21)^DL$3</f>
        <v>2.589354335</v>
      </c>
      <c r="DM283" s="432">
        <f>CR283/(1+Valu!$C$21)^DM$3</f>
        <v>2.49722375</v>
      </c>
      <c r="DN283" s="432">
        <f>CS283/(1+Valu!$C$21)^DN$3</f>
        <v>2.408371219</v>
      </c>
      <c r="DO283" s="432">
        <f>CT283/(1+Valu!$C$21)^DO$3</f>
        <v>2.322680108</v>
      </c>
      <c r="DP283" s="432">
        <f>CU283/(1+Valu!$C$21)^DP$3</f>
        <v>2.240037932</v>
      </c>
      <c r="DQ283" s="432">
        <f>CV283/(1+Valu!$C$21)^DQ$3</f>
        <v>2.160336208</v>
      </c>
      <c r="DR283" s="432">
        <f>CW283/(1+Valu!$C$21)^DR$3</f>
        <v>2.083470313</v>
      </c>
      <c r="DS283" s="432">
        <f>CX283/(1+Valu!$C$21)^DS$3</f>
        <v>56.47301112</v>
      </c>
      <c r="DT283" s="358"/>
      <c r="DU283" s="358"/>
      <c r="DV283" s="358"/>
      <c r="DW283" s="358"/>
    </row>
    <row r="284" ht="15.0" customHeight="1">
      <c r="A284" s="383">
        <v>41519.0</v>
      </c>
      <c r="B284" s="320" t="s">
        <v>3190</v>
      </c>
      <c r="C284" s="320" t="s">
        <v>3191</v>
      </c>
      <c r="D284" s="532"/>
      <c r="E284" s="374" t="str">
        <f>IFERROR(__xludf.DUMMYFUNCTION("if(and(D284&lt;&gt;0,D284&lt;&gt;""""),D284/GOOGLEFINANCE(C284,""price"")-1,"""")"),"")</f>
        <v/>
      </c>
      <c r="F284" s="375">
        <f>IFERROR(__xludf.DUMMYFUNCTION("GOOGLEFINANCE(C284,""price"")"),190.7)</f>
        <v>190.7</v>
      </c>
      <c r="G284" s="374">
        <f t="shared" si="6"/>
        <v>-0.5018353435</v>
      </c>
      <c r="H284" s="376"/>
      <c r="I284" s="376">
        <v>95.0</v>
      </c>
      <c r="J284" s="380"/>
      <c r="K284" s="380"/>
      <c r="L284" s="389"/>
      <c r="M284" s="379">
        <f t="shared" si="7"/>
        <v>-119.9023034</v>
      </c>
      <c r="N284" s="380">
        <f t="shared" si="8"/>
        <v>0</v>
      </c>
      <c r="O284" s="389"/>
      <c r="P284" s="415"/>
      <c r="Q284" s="379"/>
      <c r="R284" s="416"/>
      <c r="S284" s="416"/>
      <c r="T284" s="416"/>
      <c r="U284" s="417" t="s">
        <v>3192</v>
      </c>
      <c r="V284" s="367"/>
      <c r="W284" s="367"/>
      <c r="X284" s="367"/>
      <c r="Y284" s="367"/>
      <c r="Z284" s="367"/>
      <c r="AA284" s="367"/>
      <c r="AB284" s="367"/>
      <c r="AC284" s="367"/>
      <c r="AD284" s="367"/>
      <c r="AE284" s="367"/>
      <c r="AF284" s="367"/>
      <c r="AG284" s="367"/>
      <c r="AH284" s="367"/>
      <c r="AI284" s="367"/>
      <c r="AJ284" s="367"/>
      <c r="AK284" s="367"/>
      <c r="AL284" s="367"/>
      <c r="AM284" s="367"/>
      <c r="AN284" s="367"/>
      <c r="AO284" s="367"/>
      <c r="AP284" s="367"/>
      <c r="AQ284" s="367"/>
      <c r="AR284" s="367"/>
      <c r="AS284" s="367"/>
      <c r="AT284" s="367"/>
      <c r="AU284" s="367"/>
      <c r="AV284" s="367"/>
      <c r="AW284" s="367"/>
      <c r="AX284" s="367"/>
      <c r="AY284" s="367"/>
      <c r="AZ284" s="367"/>
      <c r="BA284" s="367"/>
      <c r="BB284" s="367"/>
      <c r="BC284" s="367"/>
      <c r="BD284" s="367"/>
      <c r="BE284" s="367"/>
      <c r="BF284" s="367"/>
      <c r="BG284" s="367"/>
      <c r="BH284" s="367"/>
      <c r="BI284" s="367"/>
      <c r="BJ284" s="367"/>
      <c r="BK284" s="367"/>
      <c r="BL284" s="367"/>
      <c r="BM284" s="367"/>
      <c r="BN284" s="367"/>
      <c r="BO284" s="367"/>
      <c r="BP284" s="367"/>
      <c r="BQ284" s="367"/>
      <c r="BR284" s="367"/>
      <c r="BS284" s="367"/>
      <c r="BT284" s="367"/>
      <c r="BU284" s="367"/>
      <c r="BV284" s="367"/>
      <c r="BW284" s="367"/>
      <c r="BX284" s="367"/>
      <c r="BY284" s="367"/>
      <c r="BZ284" s="367"/>
      <c r="CA284" s="367"/>
      <c r="CB284" s="367"/>
      <c r="CC284" s="367"/>
      <c r="CD284" s="367"/>
      <c r="CE284" s="367"/>
      <c r="CF284" s="367"/>
      <c r="CG284" s="367"/>
      <c r="CH284" s="367"/>
      <c r="CI284" s="367"/>
      <c r="CJ284" s="367"/>
      <c r="CK284" s="367"/>
      <c r="CL284" s="367"/>
      <c r="CM284" s="367"/>
      <c r="CN284" s="367"/>
      <c r="CO284" s="367"/>
      <c r="CP284" s="367"/>
      <c r="CQ284" s="367"/>
      <c r="CR284" s="367"/>
      <c r="CS284" s="367"/>
      <c r="CT284" s="367"/>
      <c r="CU284" s="367"/>
      <c r="CV284" s="367"/>
      <c r="CW284" s="367"/>
      <c r="CX284" s="367"/>
      <c r="CY284" s="367"/>
      <c r="CZ284" s="367"/>
      <c r="DA284" s="367"/>
      <c r="DB284" s="367"/>
      <c r="DC284" s="367"/>
      <c r="DD284" s="367"/>
      <c r="DE284" s="367"/>
      <c r="DF284" s="367"/>
      <c r="DG284" s="367"/>
      <c r="DH284" s="367"/>
      <c r="DI284" s="367"/>
      <c r="DJ284" s="367"/>
      <c r="DK284" s="367"/>
      <c r="DL284" s="367"/>
      <c r="DM284" s="367"/>
      <c r="DN284" s="367"/>
      <c r="DO284" s="367"/>
      <c r="DP284" s="367"/>
      <c r="DQ284" s="367"/>
      <c r="DR284" s="367"/>
      <c r="DS284" s="367"/>
      <c r="DT284" s="367"/>
      <c r="DU284" s="367"/>
      <c r="DV284" s="367"/>
      <c r="DW284" s="367"/>
    </row>
    <row r="285" ht="15.0" customHeight="1">
      <c r="A285" s="394">
        <v>41554.0</v>
      </c>
      <c r="B285" s="302" t="s">
        <v>3194</v>
      </c>
      <c r="C285" s="302" t="s">
        <v>1256</v>
      </c>
      <c r="D285" s="422"/>
      <c r="E285" s="396" t="str">
        <f>IFERROR(__xludf.DUMMYFUNCTION("if(and(D285&lt;&gt;0,D285&lt;&gt;""""),D285/GOOGLEFINANCE(C285,""price"")-1,"""")"),"")</f>
        <v/>
      </c>
      <c r="F285" s="397" t="str">
        <f>IFERROR(__xludf.DUMMYFUNCTION("GOOGLEFINANCE(C285,""price"")"),"#N/A")</f>
        <v>#N/A</v>
      </c>
      <c r="G285" s="396" t="str">
        <f t="shared" si="6"/>
        <v/>
      </c>
      <c r="H285" s="398"/>
      <c r="I285" s="398"/>
      <c r="J285" s="403"/>
      <c r="K285" s="403"/>
      <c r="L285" s="410"/>
      <c r="M285" s="402">
        <f t="shared" si="7"/>
        <v>-119.9023034</v>
      </c>
      <c r="N285" s="403">
        <f t="shared" si="8"/>
        <v>0</v>
      </c>
      <c r="O285" s="410"/>
      <c r="P285" s="411"/>
      <c r="Q285" s="402"/>
      <c r="R285" s="412"/>
      <c r="S285" s="412"/>
      <c r="T285" s="412"/>
      <c r="U285" s="413" t="s">
        <v>3195</v>
      </c>
      <c r="V285" s="414"/>
      <c r="W285" s="414"/>
      <c r="X285" s="414"/>
      <c r="Y285" s="414"/>
      <c r="Z285" s="414"/>
      <c r="AA285" s="414"/>
      <c r="AB285" s="414"/>
      <c r="AC285" s="414"/>
      <c r="AD285" s="414"/>
      <c r="AE285" s="414"/>
      <c r="AF285" s="414"/>
      <c r="AG285" s="414"/>
      <c r="AH285" s="414"/>
      <c r="AI285" s="414"/>
      <c r="AJ285" s="414"/>
      <c r="AK285" s="414"/>
      <c r="AL285" s="414"/>
      <c r="AM285" s="414"/>
      <c r="AN285" s="414"/>
      <c r="AO285" s="414"/>
      <c r="AP285" s="414"/>
      <c r="AQ285" s="414"/>
      <c r="AR285" s="414"/>
      <c r="AS285" s="414"/>
      <c r="AT285" s="414"/>
      <c r="AU285" s="414"/>
      <c r="AV285" s="414"/>
      <c r="AW285" s="414"/>
      <c r="AX285" s="414"/>
      <c r="AY285" s="414"/>
      <c r="AZ285" s="414"/>
      <c r="BA285" s="414"/>
      <c r="BB285" s="414"/>
      <c r="BC285" s="414"/>
      <c r="BD285" s="414"/>
      <c r="BE285" s="414"/>
      <c r="BF285" s="414"/>
      <c r="BG285" s="414"/>
      <c r="BH285" s="414"/>
      <c r="BI285" s="414"/>
      <c r="BJ285" s="414"/>
      <c r="BK285" s="414"/>
      <c r="BL285" s="414"/>
      <c r="BM285" s="414"/>
      <c r="BN285" s="414"/>
      <c r="BO285" s="414"/>
      <c r="BP285" s="414"/>
      <c r="BQ285" s="414"/>
      <c r="BR285" s="414"/>
      <c r="BS285" s="414"/>
      <c r="BT285" s="414"/>
      <c r="BU285" s="414"/>
      <c r="BV285" s="414"/>
      <c r="BW285" s="414"/>
      <c r="BX285" s="414"/>
      <c r="BY285" s="414"/>
      <c r="BZ285" s="414"/>
      <c r="CA285" s="414"/>
      <c r="CB285" s="414"/>
      <c r="CC285" s="414"/>
      <c r="CD285" s="414"/>
      <c r="CE285" s="414"/>
      <c r="CF285" s="414"/>
      <c r="CG285" s="414"/>
      <c r="CH285" s="414"/>
      <c r="CI285" s="414"/>
      <c r="CJ285" s="414"/>
      <c r="CK285" s="414"/>
      <c r="CL285" s="414"/>
      <c r="CM285" s="414"/>
      <c r="CN285" s="414"/>
      <c r="CO285" s="414"/>
      <c r="CP285" s="414"/>
      <c r="CQ285" s="414"/>
      <c r="CR285" s="414"/>
      <c r="CS285" s="414"/>
      <c r="CT285" s="414"/>
      <c r="CU285" s="414"/>
      <c r="CV285" s="414"/>
      <c r="CW285" s="414"/>
      <c r="CX285" s="414"/>
      <c r="CY285" s="414"/>
      <c r="CZ285" s="414"/>
      <c r="DA285" s="414"/>
      <c r="DB285" s="414"/>
      <c r="DC285" s="414"/>
      <c r="DD285" s="414"/>
      <c r="DE285" s="414"/>
      <c r="DF285" s="414"/>
      <c r="DG285" s="414"/>
      <c r="DH285" s="414"/>
      <c r="DI285" s="414"/>
      <c r="DJ285" s="414"/>
      <c r="DK285" s="414"/>
      <c r="DL285" s="414"/>
      <c r="DM285" s="414"/>
      <c r="DN285" s="414"/>
      <c r="DO285" s="414"/>
      <c r="DP285" s="414"/>
      <c r="DQ285" s="414"/>
      <c r="DR285" s="414"/>
      <c r="DS285" s="414"/>
      <c r="DT285" s="414"/>
      <c r="DU285" s="414"/>
      <c r="DV285" s="414"/>
      <c r="DW285" s="414"/>
    </row>
    <row r="286" ht="15.0" customHeight="1">
      <c r="A286" s="383">
        <v>41076.0</v>
      </c>
      <c r="B286" s="320" t="s">
        <v>3196</v>
      </c>
      <c r="C286" s="320" t="s">
        <v>3198</v>
      </c>
      <c r="D286" s="384">
        <v>75.0</v>
      </c>
      <c r="E286" s="374">
        <f>IFERROR(__xludf.DUMMYFUNCTION("if(and(D286&lt;&gt;0,D286&lt;&gt;""""),D286/GOOGLEFINANCE(C286,""price"")-1,"""")"),-0.26013613495116905)</f>
        <v>-0.260136135</v>
      </c>
      <c r="F286" s="375">
        <f>IFERROR(__xludf.DUMMYFUNCTION("GOOGLEFINANCE(C286,""price"")"),101.37)</f>
        <v>101.37</v>
      </c>
      <c r="G286" s="374">
        <f t="shared" si="6"/>
        <v>-0.03376100366</v>
      </c>
      <c r="H286" s="376"/>
      <c r="I286" s="376">
        <f>(5.38)*($I$1+3.5)</f>
        <v>97.94764706</v>
      </c>
      <c r="J286" s="380"/>
      <c r="K286" s="380"/>
      <c r="L286" s="389"/>
      <c r="M286" s="379">
        <f t="shared" si="7"/>
        <v>-119.9023034</v>
      </c>
      <c r="N286" s="380">
        <f t="shared" si="8"/>
        <v>0</v>
      </c>
      <c r="O286" s="389"/>
      <c r="P286" s="415"/>
      <c r="Q286" s="379"/>
      <c r="R286" s="416"/>
      <c r="S286" s="416"/>
      <c r="T286" s="416"/>
      <c r="U286" s="417" t="s">
        <v>3199</v>
      </c>
      <c r="V286" s="367"/>
      <c r="W286" s="367"/>
      <c r="X286" s="367"/>
      <c r="Y286" s="367"/>
      <c r="Z286" s="367"/>
      <c r="AA286" s="367"/>
      <c r="AB286" s="367"/>
      <c r="AC286" s="367"/>
      <c r="AD286" s="367"/>
      <c r="AE286" s="367"/>
      <c r="AF286" s="367"/>
      <c r="AG286" s="367"/>
      <c r="AH286" s="367"/>
      <c r="AI286" s="367"/>
      <c r="AJ286" s="367"/>
      <c r="AK286" s="367"/>
      <c r="AL286" s="367"/>
      <c r="AM286" s="367"/>
      <c r="AN286" s="367"/>
      <c r="AO286" s="367"/>
      <c r="AP286" s="367"/>
      <c r="AQ286" s="367"/>
      <c r="AR286" s="367"/>
      <c r="AS286" s="367"/>
      <c r="AT286" s="367"/>
      <c r="AU286" s="367"/>
      <c r="AV286" s="367"/>
      <c r="AW286" s="367"/>
      <c r="AX286" s="367"/>
      <c r="AY286" s="367"/>
      <c r="AZ286" s="367"/>
      <c r="BA286" s="367"/>
      <c r="BB286" s="367"/>
      <c r="BC286" s="367"/>
      <c r="BD286" s="367"/>
      <c r="BE286" s="367"/>
      <c r="BF286" s="367"/>
      <c r="BG286" s="367"/>
      <c r="BH286" s="367"/>
      <c r="BI286" s="367"/>
      <c r="BJ286" s="367"/>
      <c r="BK286" s="367"/>
      <c r="BL286" s="367"/>
      <c r="BM286" s="367"/>
      <c r="BN286" s="367"/>
      <c r="BO286" s="367"/>
      <c r="BP286" s="367"/>
      <c r="BQ286" s="367"/>
      <c r="BR286" s="367"/>
      <c r="BS286" s="367"/>
      <c r="BT286" s="367"/>
      <c r="BU286" s="367"/>
      <c r="BV286" s="367"/>
      <c r="BW286" s="367"/>
      <c r="BX286" s="367"/>
      <c r="BY286" s="367"/>
      <c r="BZ286" s="367"/>
      <c r="CA286" s="367"/>
      <c r="CB286" s="367"/>
      <c r="CC286" s="367"/>
      <c r="CD286" s="367"/>
      <c r="CE286" s="367"/>
      <c r="CF286" s="367"/>
      <c r="CG286" s="367"/>
      <c r="CH286" s="367"/>
      <c r="CI286" s="367"/>
      <c r="CJ286" s="367"/>
      <c r="CK286" s="367"/>
      <c r="CL286" s="367"/>
      <c r="CM286" s="367"/>
      <c r="CN286" s="367"/>
      <c r="CO286" s="367"/>
      <c r="CP286" s="367"/>
      <c r="CQ286" s="367"/>
      <c r="CR286" s="367"/>
      <c r="CS286" s="367"/>
      <c r="CT286" s="367"/>
      <c r="CU286" s="367"/>
      <c r="CV286" s="367"/>
      <c r="CW286" s="367"/>
      <c r="CX286" s="367"/>
      <c r="CY286" s="367"/>
      <c r="CZ286" s="367"/>
      <c r="DA286" s="367"/>
      <c r="DB286" s="367"/>
      <c r="DC286" s="367"/>
      <c r="DD286" s="367"/>
      <c r="DE286" s="367"/>
      <c r="DF286" s="367"/>
      <c r="DG286" s="367"/>
      <c r="DH286" s="367"/>
      <c r="DI286" s="367"/>
      <c r="DJ286" s="367"/>
      <c r="DK286" s="367"/>
      <c r="DL286" s="367"/>
      <c r="DM286" s="367"/>
      <c r="DN286" s="367"/>
      <c r="DO286" s="367"/>
      <c r="DP286" s="367"/>
      <c r="DQ286" s="367"/>
      <c r="DR286" s="367"/>
      <c r="DS286" s="367"/>
      <c r="DT286" s="367"/>
      <c r="DU286" s="367"/>
      <c r="DV286" s="367"/>
      <c r="DW286" s="367"/>
    </row>
    <row r="287" ht="15.0" customHeight="1">
      <c r="A287" s="383">
        <v>41763.0</v>
      </c>
      <c r="B287" s="320" t="s">
        <v>3200</v>
      </c>
      <c r="C287" s="320" t="s">
        <v>1766</v>
      </c>
      <c r="D287" s="384">
        <v>62.0</v>
      </c>
      <c r="E287" s="374">
        <f>IFERROR(__xludf.DUMMYFUNCTION("if(and(D287&lt;&gt;0,D287&lt;&gt;""""),D287/GOOGLEFINANCE(C287,""price"")-1,"""")"),-0.4410889750292978)</f>
        <v>-0.441088975</v>
      </c>
      <c r="F287" s="375">
        <f>IFERROR(__xludf.DUMMYFUNCTION("GOOGLEFINANCE(C287,""price"")"),110.93)</f>
        <v>110.93</v>
      </c>
      <c r="G287" s="374">
        <f t="shared" si="6"/>
        <v>-0.3708194357</v>
      </c>
      <c r="H287" s="376"/>
      <c r="I287" s="376">
        <f>5.17*(15-1.5)</f>
        <v>69.795</v>
      </c>
      <c r="J287" s="380"/>
      <c r="K287" s="380"/>
      <c r="L287" s="389"/>
      <c r="M287" s="379">
        <f t="shared" si="7"/>
        <v>-119.9023034</v>
      </c>
      <c r="N287" s="380">
        <f t="shared" si="8"/>
        <v>0</v>
      </c>
      <c r="O287" s="389"/>
      <c r="P287" s="390"/>
      <c r="Q287" s="391"/>
      <c r="R287" s="387"/>
      <c r="S287" s="387"/>
      <c r="T287" s="387"/>
      <c r="U287" s="386" t="s">
        <v>3201</v>
      </c>
      <c r="V287" s="344"/>
      <c r="W287" s="344"/>
      <c r="X287" s="344"/>
      <c r="Y287" s="344"/>
      <c r="Z287" s="344"/>
      <c r="AA287" s="344"/>
      <c r="AB287" s="344"/>
      <c r="AC287" s="344"/>
      <c r="AD287" s="344"/>
      <c r="AE287" s="344"/>
      <c r="AF287" s="344"/>
      <c r="AG287" s="344"/>
      <c r="AH287" s="344"/>
      <c r="AI287" s="344"/>
      <c r="AJ287" s="344"/>
      <c r="AK287" s="344"/>
      <c r="AL287" s="344"/>
      <c r="AM287" s="344"/>
      <c r="AN287" s="344"/>
      <c r="AO287" s="344"/>
      <c r="AP287" s="344"/>
      <c r="AQ287" s="344"/>
      <c r="AR287" s="344"/>
      <c r="AS287" s="344"/>
      <c r="AT287" s="344"/>
      <c r="AU287" s="344"/>
      <c r="AV287" s="344"/>
      <c r="AW287" s="344"/>
      <c r="AX287" s="344"/>
      <c r="AY287" s="344"/>
      <c r="AZ287" s="344"/>
      <c r="BA287" s="344"/>
      <c r="BB287" s="344"/>
      <c r="BC287" s="344"/>
      <c r="BD287" s="344"/>
      <c r="BE287" s="344"/>
      <c r="BF287" s="344"/>
      <c r="BG287" s="344"/>
      <c r="BH287" s="344"/>
      <c r="BI287" s="344"/>
      <c r="BJ287" s="344"/>
      <c r="BK287" s="344"/>
      <c r="BL287" s="344"/>
      <c r="BM287" s="344"/>
      <c r="BN287" s="344"/>
      <c r="BO287" s="344"/>
      <c r="BP287" s="344"/>
      <c r="BQ287" s="344"/>
      <c r="BR287" s="344"/>
      <c r="BS287" s="344"/>
      <c r="BT287" s="344"/>
      <c r="BU287" s="344"/>
      <c r="BV287" s="344"/>
      <c r="BW287" s="344"/>
      <c r="BX287" s="344"/>
      <c r="BY287" s="344"/>
      <c r="BZ287" s="344"/>
      <c r="CA287" s="344"/>
      <c r="CB287" s="344"/>
      <c r="CC287" s="344"/>
      <c r="CD287" s="344"/>
      <c r="CE287" s="344"/>
      <c r="CF287" s="344"/>
      <c r="CG287" s="344"/>
      <c r="CH287" s="344"/>
      <c r="CI287" s="344"/>
      <c r="CJ287" s="344"/>
      <c r="CK287" s="344"/>
      <c r="CL287" s="344"/>
      <c r="CM287" s="344"/>
      <c r="CN287" s="344"/>
      <c r="CO287" s="344"/>
      <c r="CP287" s="344"/>
      <c r="CQ287" s="344"/>
      <c r="CR287" s="344"/>
      <c r="CS287" s="344"/>
      <c r="CT287" s="344"/>
      <c r="CU287" s="344"/>
      <c r="CV287" s="344"/>
      <c r="CW287" s="344"/>
      <c r="CX287" s="344"/>
      <c r="CY287" s="344"/>
      <c r="CZ287" s="344"/>
      <c r="DA287" s="344"/>
      <c r="DB287" s="344"/>
      <c r="DC287" s="344"/>
      <c r="DD287" s="344"/>
      <c r="DE287" s="344"/>
      <c r="DF287" s="344"/>
      <c r="DG287" s="344"/>
      <c r="DH287" s="344"/>
      <c r="DI287" s="344"/>
      <c r="DJ287" s="344"/>
      <c r="DK287" s="344"/>
      <c r="DL287" s="344"/>
      <c r="DM287" s="344"/>
      <c r="DN287" s="344"/>
      <c r="DO287" s="344"/>
      <c r="DP287" s="344"/>
      <c r="DQ287" s="344"/>
      <c r="DR287" s="344"/>
      <c r="DS287" s="344"/>
      <c r="DT287" s="344"/>
      <c r="DU287" s="344"/>
      <c r="DV287" s="344"/>
      <c r="DW287" s="344"/>
    </row>
    <row r="288" ht="15.0" customHeight="1">
      <c r="A288" s="646">
        <v>42127.0</v>
      </c>
      <c r="B288" s="395" t="s">
        <v>3202</v>
      </c>
      <c r="C288" s="395" t="s">
        <v>3203</v>
      </c>
      <c r="D288" s="422"/>
      <c r="E288" s="396" t="str">
        <f>IFERROR(__xludf.DUMMYFUNCTION("if(and(D288&lt;&gt;0,D288&lt;&gt;""""),D288/GOOGLEFINANCE(C288,""price"")-1,"""")"),"")</f>
        <v/>
      </c>
      <c r="F288" s="397">
        <f>IFERROR(__xludf.DUMMYFUNCTION("GOOGLEFINANCE(C288,""price"")"),146.67)</f>
        <v>146.67</v>
      </c>
      <c r="G288" s="396">
        <f t="shared" si="6"/>
        <v>-0.2483125384</v>
      </c>
      <c r="H288" s="398"/>
      <c r="I288" s="398">
        <f>7.35*(15)</f>
        <v>110.25</v>
      </c>
      <c r="J288" s="403"/>
      <c r="K288" s="403"/>
      <c r="L288" s="410"/>
      <c r="M288" s="402">
        <f t="shared" si="7"/>
        <v>-119.9023034</v>
      </c>
      <c r="N288" s="403">
        <f t="shared" si="8"/>
        <v>0</v>
      </c>
      <c r="O288" s="410"/>
      <c r="P288" s="423"/>
      <c r="Q288" s="424"/>
      <c r="R288" s="425"/>
      <c r="S288" s="425"/>
      <c r="T288" s="425"/>
      <c r="U288" s="426" t="s">
        <v>3204</v>
      </c>
      <c r="V288" s="427"/>
      <c r="W288" s="427"/>
      <c r="X288" s="427"/>
      <c r="Y288" s="427"/>
      <c r="Z288" s="427"/>
      <c r="AA288" s="427"/>
      <c r="AB288" s="427"/>
      <c r="AC288" s="427"/>
      <c r="AD288" s="427"/>
      <c r="AE288" s="427"/>
      <c r="AF288" s="427"/>
      <c r="AG288" s="427"/>
      <c r="AH288" s="427"/>
      <c r="AI288" s="427"/>
      <c r="AJ288" s="427"/>
      <c r="AK288" s="427"/>
      <c r="AL288" s="427"/>
      <c r="AM288" s="427"/>
      <c r="AN288" s="427"/>
      <c r="AO288" s="427"/>
      <c r="AP288" s="427"/>
      <c r="AQ288" s="427"/>
      <c r="AR288" s="427"/>
      <c r="AS288" s="427"/>
      <c r="AT288" s="427"/>
      <c r="AU288" s="427"/>
      <c r="AV288" s="427"/>
      <c r="AW288" s="427"/>
      <c r="AX288" s="427"/>
      <c r="AY288" s="427"/>
      <c r="AZ288" s="427"/>
      <c r="BA288" s="427"/>
      <c r="BB288" s="427"/>
      <c r="BC288" s="427"/>
      <c r="BD288" s="427"/>
      <c r="BE288" s="427"/>
      <c r="BF288" s="427"/>
      <c r="BG288" s="427"/>
      <c r="BH288" s="427"/>
      <c r="BI288" s="427"/>
      <c r="BJ288" s="427"/>
      <c r="BK288" s="427"/>
      <c r="BL288" s="427"/>
      <c r="BM288" s="427"/>
      <c r="BN288" s="427"/>
      <c r="BO288" s="427"/>
      <c r="BP288" s="427"/>
      <c r="BQ288" s="427"/>
      <c r="BR288" s="427"/>
      <c r="BS288" s="427"/>
      <c r="BT288" s="427"/>
      <c r="BU288" s="427"/>
      <c r="BV288" s="427"/>
      <c r="BW288" s="427"/>
      <c r="BX288" s="427"/>
      <c r="BY288" s="427"/>
      <c r="BZ288" s="427"/>
      <c r="CA288" s="427"/>
      <c r="CB288" s="427"/>
      <c r="CC288" s="427"/>
      <c r="CD288" s="427"/>
      <c r="CE288" s="427"/>
      <c r="CF288" s="427"/>
      <c r="CG288" s="427"/>
      <c r="CH288" s="427"/>
      <c r="CI288" s="427"/>
      <c r="CJ288" s="427"/>
      <c r="CK288" s="427"/>
      <c r="CL288" s="427"/>
      <c r="CM288" s="427"/>
      <c r="CN288" s="427"/>
      <c r="CO288" s="427"/>
      <c r="CP288" s="427"/>
      <c r="CQ288" s="427"/>
      <c r="CR288" s="427"/>
      <c r="CS288" s="427"/>
      <c r="CT288" s="427"/>
      <c r="CU288" s="427"/>
      <c r="CV288" s="427"/>
      <c r="CW288" s="427"/>
      <c r="CX288" s="427"/>
      <c r="CY288" s="427"/>
      <c r="CZ288" s="427"/>
      <c r="DA288" s="427"/>
      <c r="DB288" s="427"/>
      <c r="DC288" s="427"/>
      <c r="DD288" s="427"/>
      <c r="DE288" s="427"/>
      <c r="DF288" s="427"/>
      <c r="DG288" s="427"/>
      <c r="DH288" s="427"/>
      <c r="DI288" s="427"/>
      <c r="DJ288" s="427"/>
      <c r="DK288" s="427"/>
      <c r="DL288" s="427"/>
      <c r="DM288" s="427"/>
      <c r="DN288" s="427"/>
      <c r="DO288" s="427"/>
      <c r="DP288" s="427"/>
      <c r="DQ288" s="427"/>
      <c r="DR288" s="427"/>
      <c r="DS288" s="427"/>
      <c r="DT288" s="427"/>
      <c r="DU288" s="427"/>
      <c r="DV288" s="427"/>
      <c r="DW288" s="427"/>
    </row>
    <row r="289" ht="15.0" customHeight="1">
      <c r="A289" s="372">
        <v>42785.0</v>
      </c>
      <c r="B289" s="384" t="s">
        <v>3205</v>
      </c>
      <c r="C289" s="384" t="s">
        <v>3206</v>
      </c>
      <c r="D289" s="373">
        <v>140.0</v>
      </c>
      <c r="E289" s="374">
        <f>IFERROR(__xludf.DUMMYFUNCTION("if(and(D289&lt;&gt;0,D289&lt;&gt;""""),D289/GOOGLEFINANCE(C289,""price"")-1,"""")"),-0.3003847883663985)</f>
        <v>-0.3003847884</v>
      </c>
      <c r="F289" s="375">
        <f>IFERROR(__xludf.DUMMYFUNCTION("GOOGLEFINANCE(C289,""price"")"),200.11)</f>
        <v>200.11</v>
      </c>
      <c r="G289" s="374">
        <f t="shared" si="6"/>
        <v>-0.1767007396</v>
      </c>
      <c r="H289" s="376"/>
      <c r="I289" s="376">
        <f>N289*($I$1+O289*100)</f>
        <v>164.750415</v>
      </c>
      <c r="J289" s="377">
        <v>5.54</v>
      </c>
      <c r="K289" s="377">
        <v>6.16</v>
      </c>
      <c r="L289" s="378">
        <v>43465.0</v>
      </c>
      <c r="M289" s="379">
        <f t="shared" si="7"/>
        <v>-0.8201115786</v>
      </c>
      <c r="N289" s="380">
        <f t="shared" si="8"/>
        <v>6.668469179</v>
      </c>
      <c r="O289" s="370">
        <v>0.1</v>
      </c>
      <c r="P289" s="370"/>
      <c r="Q289" s="371"/>
      <c r="R289" s="378"/>
      <c r="S289" s="378">
        <v>43349.0</v>
      </c>
      <c r="T289" s="381" t="s">
        <v>1223</v>
      </c>
      <c r="U289" s="382" t="s">
        <v>3208</v>
      </c>
      <c r="V289" s="358"/>
      <c r="W289" s="358"/>
      <c r="X289" s="358"/>
      <c r="Y289" s="358"/>
      <c r="Z289" s="358"/>
      <c r="AA289" s="358"/>
      <c r="AB289" s="358"/>
      <c r="AC289" s="358"/>
      <c r="AD289" s="358"/>
      <c r="AE289" s="358"/>
      <c r="AF289" s="358"/>
      <c r="AG289" s="358"/>
      <c r="AH289" s="358"/>
      <c r="AI289" s="358"/>
      <c r="AJ289" s="358"/>
      <c r="AK289" s="358"/>
      <c r="AL289" s="358"/>
      <c r="AM289" s="358"/>
      <c r="AN289" s="358"/>
      <c r="AO289" s="358"/>
      <c r="AP289" s="358"/>
      <c r="AQ289" s="358"/>
      <c r="AR289" s="358"/>
      <c r="AS289" s="358"/>
      <c r="AT289" s="358"/>
      <c r="AU289" s="358"/>
      <c r="AV289" s="358"/>
      <c r="AW289" s="358"/>
      <c r="AX289" s="358"/>
      <c r="AY289" s="358"/>
      <c r="AZ289" s="358"/>
      <c r="BA289" s="358"/>
      <c r="BB289" s="358"/>
      <c r="BC289" s="358"/>
      <c r="BD289" s="358"/>
      <c r="BE289" s="358"/>
      <c r="BF289" s="358"/>
      <c r="BG289" s="358"/>
      <c r="BH289" s="358"/>
      <c r="BI289" s="358"/>
      <c r="BJ289" s="358"/>
      <c r="BK289" s="358"/>
      <c r="BL289" s="358"/>
      <c r="BM289" s="358"/>
      <c r="BN289" s="358"/>
      <c r="BO289" s="358"/>
      <c r="BP289" s="358"/>
      <c r="BQ289" s="358"/>
      <c r="BR289" s="358"/>
      <c r="BS289" s="358"/>
      <c r="BT289" s="358"/>
      <c r="BU289" s="358"/>
      <c r="BV289" s="358"/>
      <c r="BW289" s="358"/>
      <c r="BX289" s="358"/>
      <c r="BY289" s="358"/>
      <c r="BZ289" s="358"/>
      <c r="CA289" s="358"/>
      <c r="CB289" s="358"/>
      <c r="CC289" s="358"/>
      <c r="CD289" s="358"/>
      <c r="CE289" s="358"/>
      <c r="CF289" s="358"/>
      <c r="CG289" s="358"/>
      <c r="CH289" s="358"/>
      <c r="CI289" s="358"/>
      <c r="CJ289" s="358"/>
      <c r="CK289" s="358"/>
      <c r="CL289" s="358"/>
      <c r="CM289" s="358"/>
      <c r="CN289" s="358"/>
      <c r="CO289" s="358"/>
      <c r="CP289" s="358"/>
      <c r="CQ289" s="358"/>
      <c r="CR289" s="358"/>
      <c r="CS289" s="358"/>
      <c r="CT289" s="358"/>
      <c r="CU289" s="358"/>
      <c r="CV289" s="358"/>
      <c r="CW289" s="358"/>
      <c r="CX289" s="358"/>
      <c r="CY289" s="358"/>
      <c r="CZ289" s="358"/>
      <c r="DA289" s="358"/>
      <c r="DB289" s="358"/>
      <c r="DC289" s="358"/>
      <c r="DD289" s="358"/>
      <c r="DE289" s="358"/>
      <c r="DF289" s="358"/>
      <c r="DG289" s="358"/>
      <c r="DH289" s="358"/>
      <c r="DI289" s="358"/>
      <c r="DJ289" s="358"/>
      <c r="DK289" s="358"/>
      <c r="DL289" s="358"/>
      <c r="DM289" s="358"/>
      <c r="DN289" s="358"/>
      <c r="DO289" s="358"/>
      <c r="DP289" s="358"/>
      <c r="DQ289" s="358"/>
      <c r="DR289" s="358"/>
      <c r="DS289" s="358"/>
      <c r="DT289" s="358"/>
      <c r="DU289" s="358"/>
      <c r="DV289" s="358"/>
      <c r="DW289" s="358"/>
    </row>
    <row r="290" ht="15.0" customHeight="1">
      <c r="A290" s="394">
        <v>40168.0</v>
      </c>
      <c r="B290" s="302" t="s">
        <v>3209</v>
      </c>
      <c r="C290" s="302" t="s">
        <v>3210</v>
      </c>
      <c r="D290" s="422"/>
      <c r="E290" s="396" t="str">
        <f>IFERROR(__xludf.DUMMYFUNCTION("if(and(D290&lt;&gt;0,D290&lt;&gt;""""),D290/GOOGLEFINANCE(C290,""price"")-1,"""")"),"")</f>
        <v/>
      </c>
      <c r="F290" s="397">
        <f>IFERROR(__xludf.DUMMYFUNCTION("GOOGLEFINANCE(C290,""price"")"),0.05)</f>
        <v>0.05</v>
      </c>
      <c r="G290" s="396" t="str">
        <f t="shared" si="6"/>
        <v/>
      </c>
      <c r="H290" s="398">
        <v>70.0</v>
      </c>
      <c r="I290" s="398"/>
      <c r="J290" s="403"/>
      <c r="K290" s="403"/>
      <c r="L290" s="410"/>
      <c r="M290" s="402">
        <f t="shared" si="7"/>
        <v>-119.9023034</v>
      </c>
      <c r="N290" s="403">
        <f t="shared" si="8"/>
        <v>0</v>
      </c>
      <c r="O290" s="410"/>
      <c r="P290" s="411"/>
      <c r="Q290" s="402"/>
      <c r="R290" s="412"/>
      <c r="S290" s="412"/>
      <c r="T290" s="412"/>
      <c r="U290" s="413" t="s">
        <v>3211</v>
      </c>
      <c r="V290" s="414"/>
      <c r="W290" s="414"/>
      <c r="X290" s="414"/>
      <c r="Y290" s="414"/>
      <c r="Z290" s="414"/>
      <c r="AA290" s="414"/>
      <c r="AB290" s="414"/>
      <c r="AC290" s="414"/>
      <c r="AD290" s="414"/>
      <c r="AE290" s="414"/>
      <c r="AF290" s="414"/>
      <c r="AG290" s="414"/>
      <c r="AH290" s="414"/>
      <c r="AI290" s="414"/>
      <c r="AJ290" s="414"/>
      <c r="AK290" s="414"/>
      <c r="AL290" s="414"/>
      <c r="AM290" s="414"/>
      <c r="AN290" s="414"/>
      <c r="AO290" s="414"/>
      <c r="AP290" s="414"/>
      <c r="AQ290" s="414"/>
      <c r="AR290" s="414"/>
      <c r="AS290" s="414"/>
      <c r="AT290" s="414"/>
      <c r="AU290" s="414"/>
      <c r="AV290" s="414"/>
      <c r="AW290" s="414"/>
      <c r="AX290" s="414"/>
      <c r="AY290" s="414"/>
      <c r="AZ290" s="414"/>
      <c r="BA290" s="414"/>
      <c r="BB290" s="414"/>
      <c r="BC290" s="414"/>
      <c r="BD290" s="414"/>
      <c r="BE290" s="414"/>
      <c r="BF290" s="414"/>
      <c r="BG290" s="414"/>
      <c r="BH290" s="414"/>
      <c r="BI290" s="414"/>
      <c r="BJ290" s="414"/>
      <c r="BK290" s="414"/>
      <c r="BL290" s="414"/>
      <c r="BM290" s="414"/>
      <c r="BN290" s="414"/>
      <c r="BO290" s="414"/>
      <c r="BP290" s="414"/>
      <c r="BQ290" s="414"/>
      <c r="BR290" s="414"/>
      <c r="BS290" s="414"/>
      <c r="BT290" s="414"/>
      <c r="BU290" s="414"/>
      <c r="BV290" s="414"/>
      <c r="BW290" s="414"/>
      <c r="BX290" s="414"/>
      <c r="BY290" s="414"/>
      <c r="BZ290" s="414"/>
      <c r="CA290" s="414"/>
      <c r="CB290" s="414"/>
      <c r="CC290" s="414"/>
      <c r="CD290" s="414"/>
      <c r="CE290" s="414"/>
      <c r="CF290" s="414"/>
      <c r="CG290" s="414"/>
      <c r="CH290" s="414"/>
      <c r="CI290" s="414"/>
      <c r="CJ290" s="414"/>
      <c r="CK290" s="414"/>
      <c r="CL290" s="414"/>
      <c r="CM290" s="414"/>
      <c r="CN290" s="414"/>
      <c r="CO290" s="414"/>
      <c r="CP290" s="414"/>
      <c r="CQ290" s="414"/>
      <c r="CR290" s="414"/>
      <c r="CS290" s="414"/>
      <c r="CT290" s="414"/>
      <c r="CU290" s="414"/>
      <c r="CV290" s="414"/>
      <c r="CW290" s="414"/>
      <c r="CX290" s="414"/>
      <c r="CY290" s="414"/>
      <c r="CZ290" s="414"/>
      <c r="DA290" s="414"/>
      <c r="DB290" s="414"/>
      <c r="DC290" s="414"/>
      <c r="DD290" s="414"/>
      <c r="DE290" s="414"/>
      <c r="DF290" s="414"/>
      <c r="DG290" s="414"/>
      <c r="DH290" s="414"/>
      <c r="DI290" s="414"/>
      <c r="DJ290" s="414"/>
      <c r="DK290" s="414"/>
      <c r="DL290" s="414"/>
      <c r="DM290" s="414"/>
      <c r="DN290" s="414"/>
      <c r="DO290" s="414"/>
      <c r="DP290" s="414"/>
      <c r="DQ290" s="414"/>
      <c r="DR290" s="414"/>
      <c r="DS290" s="414"/>
      <c r="DT290" s="414"/>
      <c r="DU290" s="414"/>
      <c r="DV290" s="414"/>
      <c r="DW290" s="414"/>
    </row>
    <row r="291" ht="15.0" customHeight="1">
      <c r="A291" s="383">
        <v>41423.0</v>
      </c>
      <c r="B291" s="320" t="s">
        <v>3213</v>
      </c>
      <c r="C291" s="320" t="s">
        <v>1076</v>
      </c>
      <c r="D291" s="532"/>
      <c r="E291" s="374" t="str">
        <f>IFERROR(__xludf.DUMMYFUNCTION("if(and(D291&lt;&gt;0,D291&lt;&gt;""""),D291/GOOGLEFINANCE(C291,""price"")-1,"""")"),"")</f>
        <v/>
      </c>
      <c r="F291" s="375">
        <f>IFERROR(__xludf.DUMMYFUNCTION("GOOGLEFINANCE(C291,""price"")"),39.32)</f>
        <v>39.32</v>
      </c>
      <c r="G291" s="374">
        <f t="shared" si="6"/>
        <v>0.1871439471</v>
      </c>
      <c r="H291" s="376"/>
      <c r="I291" s="376">
        <f>40.59*1.15</f>
        <v>46.6785</v>
      </c>
      <c r="J291" s="380"/>
      <c r="K291" s="380"/>
      <c r="L291" s="389"/>
      <c r="M291" s="379">
        <f t="shared" si="7"/>
        <v>-119.9023034</v>
      </c>
      <c r="N291" s="380">
        <f t="shared" si="8"/>
        <v>0</v>
      </c>
      <c r="O291" s="389"/>
      <c r="P291" s="415"/>
      <c r="Q291" s="379"/>
      <c r="R291" s="416"/>
      <c r="S291" s="416"/>
      <c r="T291" s="416"/>
      <c r="U291" s="417" t="s">
        <v>3214</v>
      </c>
      <c r="V291" s="367"/>
      <c r="W291" s="367"/>
      <c r="X291" s="367"/>
      <c r="Y291" s="367"/>
      <c r="Z291" s="367"/>
      <c r="AA291" s="367"/>
      <c r="AB291" s="367"/>
      <c r="AC291" s="367"/>
      <c r="AD291" s="367"/>
      <c r="AE291" s="367"/>
      <c r="AF291" s="367"/>
      <c r="AG291" s="367"/>
      <c r="AH291" s="367"/>
      <c r="AI291" s="367"/>
      <c r="AJ291" s="367"/>
      <c r="AK291" s="367"/>
      <c r="AL291" s="367"/>
      <c r="AM291" s="367"/>
      <c r="AN291" s="367"/>
      <c r="AO291" s="367"/>
      <c r="AP291" s="367"/>
      <c r="AQ291" s="367"/>
      <c r="AR291" s="367"/>
      <c r="AS291" s="367"/>
      <c r="AT291" s="367"/>
      <c r="AU291" s="367"/>
      <c r="AV291" s="367"/>
      <c r="AW291" s="367"/>
      <c r="AX291" s="367"/>
      <c r="AY291" s="367"/>
      <c r="AZ291" s="367"/>
      <c r="BA291" s="367"/>
      <c r="BB291" s="367"/>
      <c r="BC291" s="367"/>
      <c r="BD291" s="367"/>
      <c r="BE291" s="367"/>
      <c r="BF291" s="367"/>
      <c r="BG291" s="367"/>
      <c r="BH291" s="367"/>
      <c r="BI291" s="367"/>
      <c r="BJ291" s="367"/>
      <c r="BK291" s="367"/>
      <c r="BL291" s="367"/>
      <c r="BM291" s="367"/>
      <c r="BN291" s="367"/>
      <c r="BO291" s="367"/>
      <c r="BP291" s="367"/>
      <c r="BQ291" s="367"/>
      <c r="BR291" s="367"/>
      <c r="BS291" s="367"/>
      <c r="BT291" s="367"/>
      <c r="BU291" s="367"/>
      <c r="BV291" s="367"/>
      <c r="BW291" s="367"/>
      <c r="BX291" s="367"/>
      <c r="BY291" s="367"/>
      <c r="BZ291" s="367"/>
      <c r="CA291" s="367"/>
      <c r="CB291" s="367"/>
      <c r="CC291" s="367"/>
      <c r="CD291" s="367"/>
      <c r="CE291" s="367"/>
      <c r="CF291" s="367"/>
      <c r="CG291" s="367"/>
      <c r="CH291" s="367"/>
      <c r="CI291" s="367"/>
      <c r="CJ291" s="367"/>
      <c r="CK291" s="367"/>
      <c r="CL291" s="367"/>
      <c r="CM291" s="367"/>
      <c r="CN291" s="367"/>
      <c r="CO291" s="367"/>
      <c r="CP291" s="367"/>
      <c r="CQ291" s="367"/>
      <c r="CR291" s="367"/>
      <c r="CS291" s="367"/>
      <c r="CT291" s="367"/>
      <c r="CU291" s="367"/>
      <c r="CV291" s="367"/>
      <c r="CW291" s="367"/>
      <c r="CX291" s="367"/>
      <c r="CY291" s="367"/>
      <c r="CZ291" s="367"/>
      <c r="DA291" s="367"/>
      <c r="DB291" s="367"/>
      <c r="DC291" s="367"/>
      <c r="DD291" s="367"/>
      <c r="DE291" s="367"/>
      <c r="DF291" s="367"/>
      <c r="DG291" s="367"/>
      <c r="DH291" s="367"/>
      <c r="DI291" s="367"/>
      <c r="DJ291" s="367"/>
      <c r="DK291" s="367"/>
      <c r="DL291" s="367"/>
      <c r="DM291" s="367"/>
      <c r="DN291" s="367"/>
      <c r="DO291" s="367"/>
      <c r="DP291" s="367"/>
      <c r="DQ291" s="367"/>
      <c r="DR291" s="367"/>
      <c r="DS291" s="367"/>
      <c r="DT291" s="367"/>
      <c r="DU291" s="367"/>
      <c r="DV291" s="367"/>
      <c r="DW291" s="367"/>
    </row>
    <row r="292" ht="15.0" customHeight="1">
      <c r="A292" s="388">
        <v>43332.0</v>
      </c>
      <c r="B292" s="373" t="s">
        <v>3215</v>
      </c>
      <c r="C292" s="373" t="s">
        <v>3216</v>
      </c>
      <c r="D292" s="532"/>
      <c r="E292" s="374" t="str">
        <f>IFERROR(__xludf.DUMMYFUNCTION("if(and(D292&lt;&gt;0,D292&lt;&gt;""""),D292/GOOGLEFINANCE(C292,""price"")-1,"""")"),"")</f>
        <v/>
      </c>
      <c r="F292" s="375">
        <f>IFERROR(__xludf.DUMMYFUNCTION("GOOGLEFINANCE(C292,""price"")"),96.16)</f>
        <v>96.16</v>
      </c>
      <c r="G292" s="374">
        <f t="shared" si="6"/>
        <v>0.1637845746</v>
      </c>
      <c r="H292" s="376"/>
      <c r="I292" s="376">
        <f>N292*($I$1+O292*100)</f>
        <v>111.9095247</v>
      </c>
      <c r="J292" s="385">
        <v>2.93</v>
      </c>
      <c r="K292" s="385">
        <v>3.39</v>
      </c>
      <c r="L292" s="378">
        <v>43465.0</v>
      </c>
      <c r="M292" s="379">
        <f t="shared" si="7"/>
        <v>-0.8201115786</v>
      </c>
      <c r="N292" s="380">
        <f t="shared" si="8"/>
        <v>3.767251326</v>
      </c>
      <c r="O292" s="370">
        <v>0.15</v>
      </c>
      <c r="P292" s="370"/>
      <c r="Q292" s="371"/>
      <c r="R292" s="378"/>
      <c r="S292" s="378">
        <v>43332.0</v>
      </c>
      <c r="T292" s="381" t="s">
        <v>1608</v>
      </c>
      <c r="U292" s="382" t="s">
        <v>3218</v>
      </c>
      <c r="V292" s="358"/>
      <c r="W292" s="358"/>
      <c r="X292" s="358"/>
      <c r="Y292" s="358"/>
      <c r="Z292" s="358"/>
      <c r="AA292" s="358"/>
      <c r="AB292" s="358"/>
      <c r="AC292" s="358"/>
      <c r="AD292" s="358"/>
      <c r="AE292" s="358"/>
      <c r="AF292" s="358"/>
      <c r="AG292" s="358"/>
      <c r="AH292" s="358"/>
      <c r="AI292" s="358"/>
      <c r="AJ292" s="358"/>
      <c r="AK292" s="358"/>
      <c r="AL292" s="358"/>
      <c r="AM292" s="358"/>
      <c r="AN292" s="358"/>
      <c r="AO292" s="358"/>
      <c r="AP292" s="358"/>
      <c r="AQ292" s="358"/>
      <c r="AR292" s="358"/>
      <c r="AS292" s="358"/>
      <c r="AT292" s="358"/>
      <c r="AU292" s="358"/>
      <c r="AV292" s="358"/>
      <c r="AW292" s="358"/>
      <c r="AX292" s="358"/>
      <c r="AY292" s="358"/>
      <c r="AZ292" s="358"/>
      <c r="BA292" s="358"/>
      <c r="BB292" s="358"/>
      <c r="BC292" s="358"/>
      <c r="BD292" s="358"/>
      <c r="BE292" s="358"/>
      <c r="BF292" s="358"/>
      <c r="BG292" s="358"/>
      <c r="BH292" s="358"/>
      <c r="BI292" s="358"/>
      <c r="BJ292" s="358"/>
      <c r="BK292" s="358"/>
      <c r="BL292" s="358"/>
      <c r="BM292" s="358"/>
      <c r="BN292" s="358"/>
      <c r="BO292" s="358"/>
      <c r="BP292" s="358"/>
      <c r="BQ292" s="358"/>
      <c r="BR292" s="358"/>
      <c r="BS292" s="358"/>
      <c r="BT292" s="358"/>
      <c r="BU292" s="358"/>
      <c r="BV292" s="358"/>
      <c r="BW292" s="358"/>
      <c r="BX292" s="358"/>
      <c r="BY292" s="358"/>
      <c r="BZ292" s="358"/>
      <c r="CA292" s="358"/>
      <c r="CB292" s="358"/>
      <c r="CC292" s="358"/>
      <c r="CD292" s="358"/>
      <c r="CE292" s="358"/>
      <c r="CF292" s="358"/>
      <c r="CG292" s="358"/>
      <c r="CH292" s="358"/>
      <c r="CI292" s="358"/>
      <c r="CJ292" s="358"/>
      <c r="CK292" s="358"/>
      <c r="CL292" s="358"/>
      <c r="CM292" s="358"/>
      <c r="CN292" s="358"/>
      <c r="CO292" s="358"/>
      <c r="CP292" s="358"/>
      <c r="CQ292" s="358"/>
      <c r="CR292" s="358"/>
      <c r="CS292" s="358"/>
      <c r="CT292" s="358"/>
      <c r="CU292" s="358"/>
      <c r="CV292" s="358"/>
      <c r="CW292" s="358"/>
      <c r="CX292" s="358"/>
      <c r="CY292" s="358"/>
      <c r="CZ292" s="358"/>
      <c r="DA292" s="358"/>
      <c r="DB292" s="358"/>
      <c r="DC292" s="358"/>
      <c r="DD292" s="358"/>
      <c r="DE292" s="358"/>
      <c r="DF292" s="358"/>
      <c r="DG292" s="358"/>
      <c r="DH292" s="358"/>
      <c r="DI292" s="358"/>
      <c r="DJ292" s="358"/>
      <c r="DK292" s="358"/>
      <c r="DL292" s="358"/>
      <c r="DM292" s="358"/>
      <c r="DN292" s="358"/>
      <c r="DO292" s="358"/>
      <c r="DP292" s="358"/>
      <c r="DQ292" s="358"/>
      <c r="DR292" s="358"/>
      <c r="DS292" s="358"/>
      <c r="DT292" s="358"/>
      <c r="DU292" s="358"/>
      <c r="DV292" s="358"/>
      <c r="DW292" s="358"/>
    </row>
    <row r="293" ht="15.0" customHeight="1">
      <c r="A293" s="372">
        <v>42081.0</v>
      </c>
      <c r="B293" s="384" t="s">
        <v>3219</v>
      </c>
      <c r="C293" s="384" t="s">
        <v>2861</v>
      </c>
      <c r="D293" s="384">
        <v>184.0</v>
      </c>
      <c r="E293" s="374">
        <f>IFERROR(__xludf.DUMMYFUNCTION("if(and(D293&lt;&gt;0,D293&lt;&gt;""""),D293/GOOGLEFINANCE(C293,""price"")-1,"""")"),-0.2136752136752137)</f>
        <v>-0.2136752137</v>
      </c>
      <c r="F293" s="375">
        <f>IFERROR(__xludf.DUMMYFUNCTION("GOOGLEFINANCE(C293,""price"")"),234.0)</f>
        <v>234</v>
      </c>
      <c r="G293" s="374">
        <f t="shared" si="6"/>
        <v>0.151271996</v>
      </c>
      <c r="H293" s="376"/>
      <c r="I293" s="376">
        <f>10.48*($I$1+11)</f>
        <v>269.3976471</v>
      </c>
      <c r="J293" s="380"/>
      <c r="K293" s="380"/>
      <c r="L293" s="389"/>
      <c r="M293" s="379">
        <f t="shared" si="7"/>
        <v>-119.9023034</v>
      </c>
      <c r="N293" s="380">
        <f t="shared" si="8"/>
        <v>0</v>
      </c>
      <c r="O293" s="389"/>
      <c r="P293" s="390"/>
      <c r="Q293" s="391"/>
      <c r="R293" s="387"/>
      <c r="S293" s="387"/>
      <c r="T293" s="387"/>
      <c r="U293" s="386" t="s">
        <v>3220</v>
      </c>
      <c r="V293" s="344"/>
      <c r="W293" s="344"/>
      <c r="X293" s="344"/>
      <c r="Y293" s="344"/>
      <c r="Z293" s="344"/>
      <c r="AA293" s="344"/>
      <c r="AB293" s="344"/>
      <c r="AC293" s="344"/>
      <c r="AD293" s="344"/>
      <c r="AE293" s="344"/>
      <c r="AF293" s="344"/>
      <c r="AG293" s="344"/>
      <c r="AH293" s="344"/>
      <c r="AI293" s="344"/>
      <c r="AJ293" s="344"/>
      <c r="AK293" s="344"/>
      <c r="AL293" s="344"/>
      <c r="AM293" s="344"/>
      <c r="AN293" s="344"/>
      <c r="AO293" s="344"/>
      <c r="AP293" s="344"/>
      <c r="AQ293" s="344"/>
      <c r="AR293" s="344"/>
      <c r="AS293" s="344"/>
      <c r="AT293" s="344"/>
      <c r="AU293" s="344"/>
      <c r="AV293" s="344"/>
      <c r="AW293" s="344"/>
      <c r="AX293" s="344"/>
      <c r="AY293" s="344"/>
      <c r="AZ293" s="344"/>
      <c r="BA293" s="344"/>
      <c r="BB293" s="344"/>
      <c r="BC293" s="344"/>
      <c r="BD293" s="344"/>
      <c r="BE293" s="344"/>
      <c r="BF293" s="344"/>
      <c r="BG293" s="344"/>
      <c r="BH293" s="344"/>
      <c r="BI293" s="344"/>
      <c r="BJ293" s="344"/>
      <c r="BK293" s="344"/>
      <c r="BL293" s="344"/>
      <c r="BM293" s="344"/>
      <c r="BN293" s="344"/>
      <c r="BO293" s="344"/>
      <c r="BP293" s="344"/>
      <c r="BQ293" s="344"/>
      <c r="BR293" s="344"/>
      <c r="BS293" s="344"/>
      <c r="BT293" s="344"/>
      <c r="BU293" s="344"/>
      <c r="BV293" s="344"/>
      <c r="BW293" s="344"/>
      <c r="BX293" s="344"/>
      <c r="BY293" s="344"/>
      <c r="BZ293" s="344"/>
      <c r="CA293" s="344"/>
      <c r="CB293" s="344"/>
      <c r="CC293" s="344"/>
      <c r="CD293" s="344"/>
      <c r="CE293" s="344"/>
      <c r="CF293" s="344"/>
      <c r="CG293" s="344"/>
      <c r="CH293" s="344"/>
      <c r="CI293" s="344"/>
      <c r="CJ293" s="344"/>
      <c r="CK293" s="344"/>
      <c r="CL293" s="344"/>
      <c r="CM293" s="344"/>
      <c r="CN293" s="344"/>
      <c r="CO293" s="344"/>
      <c r="CP293" s="344"/>
      <c r="CQ293" s="344"/>
      <c r="CR293" s="344"/>
      <c r="CS293" s="344"/>
      <c r="CT293" s="344"/>
      <c r="CU293" s="344"/>
      <c r="CV293" s="344"/>
      <c r="CW293" s="344"/>
      <c r="CX293" s="344"/>
      <c r="CY293" s="344"/>
      <c r="CZ293" s="344"/>
      <c r="DA293" s="344"/>
      <c r="DB293" s="344"/>
      <c r="DC293" s="344"/>
      <c r="DD293" s="344"/>
      <c r="DE293" s="344"/>
      <c r="DF293" s="344"/>
      <c r="DG293" s="344"/>
      <c r="DH293" s="344"/>
      <c r="DI293" s="344"/>
      <c r="DJ293" s="344"/>
      <c r="DK293" s="344"/>
      <c r="DL293" s="344"/>
      <c r="DM293" s="344"/>
      <c r="DN293" s="344"/>
      <c r="DO293" s="344"/>
      <c r="DP293" s="344"/>
      <c r="DQ293" s="344"/>
      <c r="DR293" s="344"/>
      <c r="DS293" s="344"/>
      <c r="DT293" s="344"/>
      <c r="DU293" s="344"/>
      <c r="DV293" s="344"/>
      <c r="DW293" s="344"/>
    </row>
    <row r="294" ht="15.0" customHeight="1">
      <c r="A294" s="383">
        <v>41121.0</v>
      </c>
      <c r="B294" s="320" t="s">
        <v>3222</v>
      </c>
      <c r="C294" s="320" t="s">
        <v>605</v>
      </c>
      <c r="D294" s="373">
        <v>75.0</v>
      </c>
      <c r="E294" s="374">
        <f>IFERROR(__xludf.DUMMYFUNCTION("if(and(D294&lt;&gt;0,D294&lt;&gt;""""),D294/GOOGLEFINANCE(C294,""price"")-1,"""")"),-0.3445201887781857)</f>
        <v>-0.3445201888</v>
      </c>
      <c r="F294" s="375">
        <f>IFERROR(__xludf.DUMMYFUNCTION("GOOGLEFINANCE(C294,""price"")"),114.42)</f>
        <v>114.42</v>
      </c>
      <c r="G294" s="374">
        <f t="shared" si="6"/>
        <v>0.4426891319</v>
      </c>
      <c r="H294" s="376"/>
      <c r="I294" s="368">
        <f t="shared" ref="I294:I295" si="155">sum(CY294:DS294)</f>
        <v>165.0724905</v>
      </c>
      <c r="J294" s="377">
        <v>7.79</v>
      </c>
      <c r="K294" s="377">
        <v>10.44</v>
      </c>
      <c r="L294" s="378">
        <v>43830.0</v>
      </c>
      <c r="M294" s="379">
        <f t="shared" si="7"/>
        <v>0.1798884276</v>
      </c>
      <c r="N294" s="380">
        <f t="shared" si="8"/>
        <v>9.963295667</v>
      </c>
      <c r="O294" s="370">
        <v>0.015</v>
      </c>
      <c r="P294" s="370">
        <v>0.15</v>
      </c>
      <c r="Q294" s="371">
        <f t="shared" ref="Q294:Q295" si="156">I294/N294</f>
        <v>16.56806101</v>
      </c>
      <c r="R294" s="381">
        <v>4.0</v>
      </c>
      <c r="S294" s="378">
        <v>43669.0</v>
      </c>
      <c r="T294" s="381" t="s">
        <v>1223</v>
      </c>
      <c r="U294" s="382" t="s">
        <v>3223</v>
      </c>
      <c r="V294" s="429">
        <f t="shared" ref="V294:V295" si="157">O294</f>
        <v>0.015</v>
      </c>
      <c r="W294" s="430">
        <f>max(min(Valu!$C$15,$O294),$O294-max($O294-Valu!$C$15,0)/$R294*(W$3-1))</f>
        <v>0.015</v>
      </c>
      <c r="X294" s="430">
        <f>max(min(Valu!$C$15,$O294),$O294-max($O294-Valu!$C$15,0)/$R294*(X$3-1))</f>
        <v>0.015</v>
      </c>
      <c r="Y294" s="430">
        <f>max(min(Valu!$C$15,$O294),$O294-max($O294-Valu!$C$15,0)/$R294*(Y$3-1))</f>
        <v>0.015</v>
      </c>
      <c r="Z294" s="430">
        <f>max(min(Valu!$C$15,$O294),$O294-max($O294-Valu!$C$15,0)/$R294*(Z$3-1))</f>
        <v>0.015</v>
      </c>
      <c r="AA294" s="430">
        <f>max(min(Valu!$C$15,$O294),$O294-max($O294-Valu!$C$15,0)/$R294*(AA$3-1))</f>
        <v>0.015</v>
      </c>
      <c r="AB294" s="430">
        <f>max(min(Valu!$C$15,$O294),$O294-max($O294-Valu!$C$15,0)/$R294*(AB$3-1))</f>
        <v>0.015</v>
      </c>
      <c r="AC294" s="430">
        <f>max(min(Valu!$C$15,$O294),$O294-max($O294-Valu!$C$15,0)/$R294*(AC$3-1))</f>
        <v>0.015</v>
      </c>
      <c r="AD294" s="430">
        <f>max(min(Valu!$C$15,$O294),$O294-max($O294-Valu!$C$15,0)/$R294*(AD$3-1))</f>
        <v>0.015</v>
      </c>
      <c r="AE294" s="430">
        <f>max(min(Valu!$C$15,$O294),$O294-max($O294-Valu!$C$15,0)/$R294*(AE$3-1))</f>
        <v>0.015</v>
      </c>
      <c r="AF294" s="430">
        <f>max(min(Valu!$C$15,$O294),$O294-max($O294-Valu!$C$15,0)/$R294*(AF$3-1))</f>
        <v>0.015</v>
      </c>
      <c r="AG294" s="430">
        <f>max(min(Valu!$C$15,$O294),$O294-max($O294-Valu!$C$15,0)/$R294*(AG$3-1))</f>
        <v>0.015</v>
      </c>
      <c r="AH294" s="430">
        <f>max(min(Valu!$C$15,$O294),$O294-max($O294-Valu!$C$15,0)/$R294*(AH$3-1))</f>
        <v>0.015</v>
      </c>
      <c r="AI294" s="430">
        <f>max(min(Valu!$C$15,$O294),$O294-max($O294-Valu!$C$15,0)/$R294*(AI$3-1))</f>
        <v>0.015</v>
      </c>
      <c r="AJ294" s="430">
        <f>max(min(Valu!$C$15,$O294),$O294-max($O294-Valu!$C$15,0)/$R294*(AJ$3-1))</f>
        <v>0.015</v>
      </c>
      <c r="AK294" s="430">
        <f>max(min(Valu!$C$15,$O294),$O294-max($O294-Valu!$C$15,0)/$R294*(AK$3-1))</f>
        <v>0.015</v>
      </c>
      <c r="AL294" s="430">
        <f>max(min(Valu!$C$15,$O294),$O294-max($O294-Valu!$C$15,0)/$R294*(AL$3-1))</f>
        <v>0.015</v>
      </c>
      <c r="AM294" s="430">
        <f>max(min(Valu!$C$15,$O294),$O294-max($O294-Valu!$C$15,0)/$R294*(AM$3-1))</f>
        <v>0.015</v>
      </c>
      <c r="AN294" s="430">
        <f>max(min(Valu!$C$15,$O294),$O294-max($O294-Valu!$C$15,0)/$R294*(AN$3-1))</f>
        <v>0.015</v>
      </c>
      <c r="AO294" s="430">
        <f>max(min(Valu!$C$15,$O294),$O294-max($O294-Valu!$C$15,0)/$R294*(AO$3-1))</f>
        <v>0.015</v>
      </c>
      <c r="AP294" s="430">
        <f>max(min(Valu!$C$14,$P294),$P294-max($P294-Valu!$C$14,0)/$R294*(AP$3-1))</f>
        <v>0.15</v>
      </c>
      <c r="AQ294" s="430">
        <f>max(min(Valu!$C$14,$P294),$P294-max($P294-Valu!$C$14,0)/$R294*(AQ$3-1))</f>
        <v>0.1425</v>
      </c>
      <c r="AR294" s="430">
        <f>max(min(Valu!$C$14,$P294),$P294-max($P294-Valu!$C$14,0)/$R294*(AR$3-1))</f>
        <v>0.135</v>
      </c>
      <c r="AS294" s="430">
        <f>max(min(Valu!$C$14,$P294),$P294-max($P294-Valu!$C$14,0)/$R294*(AS$3-1))</f>
        <v>0.1275</v>
      </c>
      <c r="AT294" s="430">
        <f>max(min(Valu!$C$14,$P294),$P294-max($P294-Valu!$C$14,0)/$R294*(AT$3-1))</f>
        <v>0.12</v>
      </c>
      <c r="AU294" s="430">
        <f>max(min(Valu!$C$14,$P294),$P294-max($P294-Valu!$C$14,0)/$R294*(AU$3-1))</f>
        <v>0.12</v>
      </c>
      <c r="AV294" s="430">
        <f>max(min(Valu!$C$14,$P294),$P294-max($P294-Valu!$C$14,0)/$R294*(AV$3-1))</f>
        <v>0.12</v>
      </c>
      <c r="AW294" s="430">
        <f>max(min(Valu!$C$14,$P294),$P294-max($P294-Valu!$C$14,0)/$R294*(AW$3-1))</f>
        <v>0.12</v>
      </c>
      <c r="AX294" s="430">
        <f>max(min(Valu!$C$14,$P294),$P294-max($P294-Valu!$C$14,0)/$R294*(AX$3-1))</f>
        <v>0.12</v>
      </c>
      <c r="AY294" s="430">
        <f>max(min(Valu!$C$14,$P294),$P294-max($P294-Valu!$C$14,0)/$R294*(AY$3-1))</f>
        <v>0.12</v>
      </c>
      <c r="AZ294" s="430">
        <f>max(min(Valu!$C$14,$P294),$P294-max($P294-Valu!$C$14,0)/$R294*(AZ$3-1))</f>
        <v>0.12</v>
      </c>
      <c r="BA294" s="430">
        <f>max(min(Valu!$C$14,$P294),$P294-max($P294-Valu!$C$14,0)/$R294*(BA$3-1))</f>
        <v>0.12</v>
      </c>
      <c r="BB294" s="430">
        <f>max(min(Valu!$C$14,$P294),$P294-max($P294-Valu!$C$14,0)/$R294*(BB$3-1))</f>
        <v>0.12</v>
      </c>
      <c r="BC294" s="430">
        <f>max(min(Valu!$C$14,$P294),$P294-max($P294-Valu!$C$14,0)/$R294*(BC$3-1))</f>
        <v>0.12</v>
      </c>
      <c r="BD294" s="430">
        <f>max(min(Valu!$C$14,$P294),$P294-max($P294-Valu!$C$14,0)/$R294*(BD$3-1))</f>
        <v>0.12</v>
      </c>
      <c r="BE294" s="430">
        <f>max(min(Valu!$C$14,$P294),$P294-max($P294-Valu!$C$14,0)/$R294*(BE$3-1))</f>
        <v>0.12</v>
      </c>
      <c r="BF294" s="430">
        <f>max(min(Valu!$C$14,$P294),$P294-max($P294-Valu!$C$14,0)/$R294*(BF$3-1))</f>
        <v>0.12</v>
      </c>
      <c r="BG294" s="430">
        <f>max(min(Valu!$C$14,$P294),$P294-max($P294-Valu!$C$14,0)/$R294*(BG$3-1))</f>
        <v>0.12</v>
      </c>
      <c r="BH294" s="430">
        <f>max(min(Valu!$C$14,$P294),$P294-max($P294-Valu!$C$14,0)/$R294*(BH$3-1))</f>
        <v>0.12</v>
      </c>
      <c r="BI294" s="430">
        <f>max(min(Valu!$C$14,$P294),$P294-max($P294-Valu!$C$14,0)/$R294*(BI$3-1))</f>
        <v>0.12</v>
      </c>
      <c r="BJ294" s="431">
        <f t="shared" ref="BJ294:BJ295" si="158">N294</f>
        <v>9.963295667</v>
      </c>
      <c r="BK294" s="432">
        <f t="shared" ref="BK294:BK295" si="159">$BJ294*(1+V294)</f>
        <v>10.1127451</v>
      </c>
      <c r="BL294" s="432">
        <f t="shared" ref="BL294:CC294" si="153">BK294*(1+W294)</f>
        <v>10.26443628</v>
      </c>
      <c r="BM294" s="432">
        <f t="shared" si="153"/>
        <v>10.41840282</v>
      </c>
      <c r="BN294" s="432">
        <f t="shared" si="153"/>
        <v>10.57467886</v>
      </c>
      <c r="BO294" s="432">
        <f t="shared" si="153"/>
        <v>10.73329905</v>
      </c>
      <c r="BP294" s="432">
        <f t="shared" si="153"/>
        <v>10.89429853</v>
      </c>
      <c r="BQ294" s="432">
        <f t="shared" si="153"/>
        <v>11.05771301</v>
      </c>
      <c r="BR294" s="432">
        <f t="shared" si="153"/>
        <v>11.22357871</v>
      </c>
      <c r="BS294" s="432">
        <f t="shared" si="153"/>
        <v>11.39193239</v>
      </c>
      <c r="BT294" s="432">
        <f t="shared" si="153"/>
        <v>11.56281137</v>
      </c>
      <c r="BU294" s="432">
        <f t="shared" si="153"/>
        <v>11.73625354</v>
      </c>
      <c r="BV294" s="432">
        <f t="shared" si="153"/>
        <v>11.91229735</v>
      </c>
      <c r="BW294" s="432">
        <f t="shared" si="153"/>
        <v>12.09098181</v>
      </c>
      <c r="BX294" s="432">
        <f t="shared" si="153"/>
        <v>12.27234653</v>
      </c>
      <c r="BY294" s="432">
        <f t="shared" si="153"/>
        <v>12.45643173</v>
      </c>
      <c r="BZ294" s="432">
        <f t="shared" si="153"/>
        <v>12.64327821</v>
      </c>
      <c r="CA294" s="432">
        <f t="shared" si="153"/>
        <v>12.83292738</v>
      </c>
      <c r="CB294" s="432">
        <f t="shared" si="153"/>
        <v>13.02542129</v>
      </c>
      <c r="CC294" s="432">
        <f t="shared" si="153"/>
        <v>13.22080261</v>
      </c>
      <c r="CD294" s="432">
        <f t="shared" ref="CD294:CW294" si="154">BJ294*(1-V294/AP294)</f>
        <v>8.9669661</v>
      </c>
      <c r="CE294" s="432">
        <f t="shared" si="154"/>
        <v>9.048245617</v>
      </c>
      <c r="CF294" s="432">
        <f t="shared" si="154"/>
        <v>9.123943359</v>
      </c>
      <c r="CG294" s="432">
        <f t="shared" si="154"/>
        <v>9.192708373</v>
      </c>
      <c r="CH294" s="432">
        <f t="shared" si="154"/>
        <v>9.252844007</v>
      </c>
      <c r="CI294" s="432">
        <f t="shared" si="154"/>
        <v>9.391636667</v>
      </c>
      <c r="CJ294" s="432">
        <f t="shared" si="154"/>
        <v>9.532511217</v>
      </c>
      <c r="CK294" s="432">
        <f t="shared" si="154"/>
        <v>9.675498885</v>
      </c>
      <c r="CL294" s="432">
        <f t="shared" si="154"/>
        <v>9.820631368</v>
      </c>
      <c r="CM294" s="432">
        <f t="shared" si="154"/>
        <v>9.967940839</v>
      </c>
      <c r="CN294" s="432">
        <f t="shared" si="154"/>
        <v>10.11745995</v>
      </c>
      <c r="CO294" s="432">
        <f t="shared" si="154"/>
        <v>10.26922185</v>
      </c>
      <c r="CP294" s="432">
        <f t="shared" si="154"/>
        <v>10.42326018</v>
      </c>
      <c r="CQ294" s="432">
        <f t="shared" si="154"/>
        <v>10.57960908</v>
      </c>
      <c r="CR294" s="432">
        <f t="shared" si="154"/>
        <v>10.73830322</v>
      </c>
      <c r="CS294" s="432">
        <f t="shared" si="154"/>
        <v>10.89937777</v>
      </c>
      <c r="CT294" s="432">
        <f t="shared" si="154"/>
        <v>11.06286843</v>
      </c>
      <c r="CU294" s="432">
        <f t="shared" si="154"/>
        <v>11.22881146</v>
      </c>
      <c r="CV294" s="432">
        <f t="shared" si="154"/>
        <v>11.39724363</v>
      </c>
      <c r="CW294" s="432">
        <f t="shared" si="154"/>
        <v>11.56820229</v>
      </c>
      <c r="CX294" s="432">
        <f>CW294*(1+min(Valu!$C$15,$O294))/(Valu!$C$21-min(Valu!$C$15,$O294))</f>
        <v>221.5419872</v>
      </c>
      <c r="CY294" s="432">
        <f>CD294/(1+Valu!$C$21)^CY$3</f>
        <v>8.396035674</v>
      </c>
      <c r="CZ294" s="432">
        <f>CE294/(1+Valu!$C$21)^CZ$3</f>
        <v>7.932715441</v>
      </c>
      <c r="DA294" s="432">
        <f>CF294/(1+Valu!$C$21)^DA$3</f>
        <v>7.489775882</v>
      </c>
      <c r="DB294" s="432">
        <f>CG294/(1+Valu!$C$21)^DB$3</f>
        <v>7.065753334</v>
      </c>
      <c r="DC294" s="432">
        <f>CH294/(1+Valu!$C$21)^DC$3</f>
        <v>6.65915275</v>
      </c>
      <c r="DD294" s="432">
        <f>CI294/(1+Valu!$C$21)^DD$3</f>
        <v>6.328689177</v>
      </c>
      <c r="DE294" s="432">
        <f>CJ294/(1+Valu!$C$21)^DE$3</f>
        <v>6.014625014</v>
      </c>
      <c r="DF294" s="432">
        <f>CK294/(1+Valu!$C$21)^DF$3</f>
        <v>5.716146432</v>
      </c>
      <c r="DG294" s="432">
        <f>CL294/(1+Valu!$C$21)^DG$3</f>
        <v>5.432479989</v>
      </c>
      <c r="DH294" s="432">
        <f>CM294/(1+Valu!$C$21)^DH$3</f>
        <v>5.162890626</v>
      </c>
      <c r="DI294" s="432">
        <f>CN294/(1+Valu!$C$21)^DI$3</f>
        <v>4.906679762</v>
      </c>
      <c r="DJ294" s="432">
        <f>CO294/(1+Valu!$C$21)^DJ$3</f>
        <v>4.663183482</v>
      </c>
      <c r="DK294" s="432">
        <f>CP294/(1+Valu!$C$21)^DK$3</f>
        <v>4.431770818</v>
      </c>
      <c r="DL294" s="432">
        <f>CQ294/(1+Valu!$C$21)^DL$3</f>
        <v>4.211842117</v>
      </c>
      <c r="DM294" s="432">
        <f>CR294/(1+Valu!$C$21)^DM$3</f>
        <v>4.00282748</v>
      </c>
      <c r="DN294" s="432">
        <f>CS294/(1+Valu!$C$21)^DN$3</f>
        <v>3.804185292</v>
      </c>
      <c r="DO294" s="432">
        <f>CT294/(1+Valu!$C$21)^DO$3</f>
        <v>3.615400816</v>
      </c>
      <c r="DP294" s="432">
        <f>CU294/(1+Valu!$C$21)^DP$3</f>
        <v>3.435984858</v>
      </c>
      <c r="DQ294" s="432">
        <f>CV294/(1+Valu!$C$21)^DQ$3</f>
        <v>3.265472501</v>
      </c>
      <c r="DR294" s="432">
        <f>CW294/(1+Valu!$C$21)^DR$3</f>
        <v>3.103421899</v>
      </c>
      <c r="DS294" s="432">
        <f>CX294/(1+Valu!$C$21)^DS$3</f>
        <v>59.43345712</v>
      </c>
      <c r="DT294" s="358"/>
      <c r="DU294" s="358"/>
      <c r="DV294" s="358"/>
      <c r="DW294" s="358"/>
    </row>
    <row r="295" ht="15.0" customHeight="1">
      <c r="A295" s="372">
        <v>43081.0</v>
      </c>
      <c r="B295" s="384" t="s">
        <v>3232</v>
      </c>
      <c r="C295" s="384" t="s">
        <v>3233</v>
      </c>
      <c r="D295" s="384"/>
      <c r="E295" s="374" t="str">
        <f>IFERROR(__xludf.DUMMYFUNCTION("if(and(D295&lt;&gt;0,D295&lt;&gt;""""),D295/GOOGLEFINANCE(C295,""price"")-1,"""")"),"")</f>
        <v/>
      </c>
      <c r="F295" s="375">
        <f>IFERROR(__xludf.DUMMYFUNCTION("GOOGLEFINANCE(C295,""price"")"),107.19)</f>
        <v>107.19</v>
      </c>
      <c r="G295" s="374">
        <f t="shared" si="6"/>
        <v>-0.3136498754</v>
      </c>
      <c r="H295" s="376"/>
      <c r="I295" s="368">
        <f t="shared" si="155"/>
        <v>73.56986986</v>
      </c>
      <c r="J295" s="377">
        <v>3.05</v>
      </c>
      <c r="K295" s="377">
        <v>3.5</v>
      </c>
      <c r="L295" s="378">
        <v>43830.0</v>
      </c>
      <c r="M295" s="379">
        <f t="shared" si="7"/>
        <v>0.1798884214</v>
      </c>
      <c r="N295" s="380">
        <f t="shared" si="8"/>
        <v>3.41905021</v>
      </c>
      <c r="O295" s="370">
        <v>0.1</v>
      </c>
      <c r="P295" s="370">
        <v>0.11</v>
      </c>
      <c r="Q295" s="371">
        <f t="shared" si="156"/>
        <v>21.51763365</v>
      </c>
      <c r="R295" s="381">
        <v>6.0</v>
      </c>
      <c r="S295" s="378">
        <v>43762.0</v>
      </c>
      <c r="T295" s="381" t="s">
        <v>1240</v>
      </c>
      <c r="U295" s="382" t="s">
        <v>3235</v>
      </c>
      <c r="V295" s="429">
        <f t="shared" si="157"/>
        <v>0.1</v>
      </c>
      <c r="W295" s="430">
        <f>max(min(Valu!$C$15,$O295),$O295-max($O295-Valu!$C$15,0)/$R295*(W$3-1))</f>
        <v>0.08833333333</v>
      </c>
      <c r="X295" s="430">
        <f>max(min(Valu!$C$15,$O295),$O295-max($O295-Valu!$C$15,0)/$R295*(X$3-1))</f>
        <v>0.07666666667</v>
      </c>
      <c r="Y295" s="430">
        <f>max(min(Valu!$C$15,$O295),$O295-max($O295-Valu!$C$15,0)/$R295*(Y$3-1))</f>
        <v>0.065</v>
      </c>
      <c r="Z295" s="430">
        <f>max(min(Valu!$C$15,$O295),$O295-max($O295-Valu!$C$15,0)/$R295*(Z$3-1))</f>
        <v>0.05333333333</v>
      </c>
      <c r="AA295" s="430">
        <f>max(min(Valu!$C$15,$O295),$O295-max($O295-Valu!$C$15,0)/$R295*(AA$3-1))</f>
        <v>0.04166666667</v>
      </c>
      <c r="AB295" s="430">
        <f>max(min(Valu!$C$15,$O295),$O295-max($O295-Valu!$C$15,0)/$R295*(AB$3-1))</f>
        <v>0.03</v>
      </c>
      <c r="AC295" s="430">
        <f>max(min(Valu!$C$15,$O295),$O295-max($O295-Valu!$C$15,0)/$R295*(AC$3-1))</f>
        <v>0.03</v>
      </c>
      <c r="AD295" s="430">
        <f>max(min(Valu!$C$15,$O295),$O295-max($O295-Valu!$C$15,0)/$R295*(AD$3-1))</f>
        <v>0.03</v>
      </c>
      <c r="AE295" s="430">
        <f>max(min(Valu!$C$15,$O295),$O295-max($O295-Valu!$C$15,0)/$R295*(AE$3-1))</f>
        <v>0.03</v>
      </c>
      <c r="AF295" s="430">
        <f>max(min(Valu!$C$15,$O295),$O295-max($O295-Valu!$C$15,0)/$R295*(AF$3-1))</f>
        <v>0.03</v>
      </c>
      <c r="AG295" s="430">
        <f>max(min(Valu!$C$15,$O295),$O295-max($O295-Valu!$C$15,0)/$R295*(AG$3-1))</f>
        <v>0.03</v>
      </c>
      <c r="AH295" s="430">
        <f>max(min(Valu!$C$15,$O295),$O295-max($O295-Valu!$C$15,0)/$R295*(AH$3-1))</f>
        <v>0.03</v>
      </c>
      <c r="AI295" s="430">
        <f>max(min(Valu!$C$15,$O295),$O295-max($O295-Valu!$C$15,0)/$R295*(AI$3-1))</f>
        <v>0.03</v>
      </c>
      <c r="AJ295" s="430">
        <f>max(min(Valu!$C$15,$O295),$O295-max($O295-Valu!$C$15,0)/$R295*(AJ$3-1))</f>
        <v>0.03</v>
      </c>
      <c r="AK295" s="430">
        <f>max(min(Valu!$C$15,$O295),$O295-max($O295-Valu!$C$15,0)/$R295*(AK$3-1))</f>
        <v>0.03</v>
      </c>
      <c r="AL295" s="430">
        <f>max(min(Valu!$C$15,$O295),$O295-max($O295-Valu!$C$15,0)/$R295*(AL$3-1))</f>
        <v>0.03</v>
      </c>
      <c r="AM295" s="430">
        <f>max(min(Valu!$C$15,$O295),$O295-max($O295-Valu!$C$15,0)/$R295*(AM$3-1))</f>
        <v>0.03</v>
      </c>
      <c r="AN295" s="430">
        <f>max(min(Valu!$C$15,$O295),$O295-max($O295-Valu!$C$15,0)/$R295*(AN$3-1))</f>
        <v>0.03</v>
      </c>
      <c r="AO295" s="430">
        <f>max(min(Valu!$C$15,$O295),$O295-max($O295-Valu!$C$15,0)/$R295*(AO$3-1))</f>
        <v>0.03</v>
      </c>
      <c r="AP295" s="430">
        <f>max(min(Valu!$C$14,$P295),$P295-max($P295-Valu!$C$14,0)/$R295*(AP$3-1))</f>
        <v>0.11</v>
      </c>
      <c r="AQ295" s="430">
        <f>max(min(Valu!$C$14,$P295),$P295-max($P295-Valu!$C$14,0)/$R295*(AQ$3-1))</f>
        <v>0.11</v>
      </c>
      <c r="AR295" s="430">
        <f>max(min(Valu!$C$14,$P295),$P295-max($P295-Valu!$C$14,0)/$R295*(AR$3-1))</f>
        <v>0.11</v>
      </c>
      <c r="AS295" s="430">
        <f>max(min(Valu!$C$14,$P295),$P295-max($P295-Valu!$C$14,0)/$R295*(AS$3-1))</f>
        <v>0.11</v>
      </c>
      <c r="AT295" s="430">
        <f>max(min(Valu!$C$14,$P295),$P295-max($P295-Valu!$C$14,0)/$R295*(AT$3-1))</f>
        <v>0.11</v>
      </c>
      <c r="AU295" s="430">
        <f>max(min(Valu!$C$14,$P295),$P295-max($P295-Valu!$C$14,0)/$R295*(AU$3-1))</f>
        <v>0.11</v>
      </c>
      <c r="AV295" s="430">
        <f>max(min(Valu!$C$14,$P295),$P295-max($P295-Valu!$C$14,0)/$R295*(AV$3-1))</f>
        <v>0.11</v>
      </c>
      <c r="AW295" s="430">
        <f>max(min(Valu!$C$14,$P295),$P295-max($P295-Valu!$C$14,0)/$R295*(AW$3-1))</f>
        <v>0.11</v>
      </c>
      <c r="AX295" s="430">
        <f>max(min(Valu!$C$14,$P295),$P295-max($P295-Valu!$C$14,0)/$R295*(AX$3-1))</f>
        <v>0.11</v>
      </c>
      <c r="AY295" s="430">
        <f>max(min(Valu!$C$14,$P295),$P295-max($P295-Valu!$C$14,0)/$R295*(AY$3-1))</f>
        <v>0.11</v>
      </c>
      <c r="AZ295" s="430">
        <f>max(min(Valu!$C$14,$P295),$P295-max($P295-Valu!$C$14,0)/$R295*(AZ$3-1))</f>
        <v>0.11</v>
      </c>
      <c r="BA295" s="430">
        <f>max(min(Valu!$C$14,$P295),$P295-max($P295-Valu!$C$14,0)/$R295*(BA$3-1))</f>
        <v>0.11</v>
      </c>
      <c r="BB295" s="430">
        <f>max(min(Valu!$C$14,$P295),$P295-max($P295-Valu!$C$14,0)/$R295*(BB$3-1))</f>
        <v>0.11</v>
      </c>
      <c r="BC295" s="430">
        <f>max(min(Valu!$C$14,$P295),$P295-max($P295-Valu!$C$14,0)/$R295*(BC$3-1))</f>
        <v>0.11</v>
      </c>
      <c r="BD295" s="430">
        <f>max(min(Valu!$C$14,$P295),$P295-max($P295-Valu!$C$14,0)/$R295*(BD$3-1))</f>
        <v>0.11</v>
      </c>
      <c r="BE295" s="430">
        <f>max(min(Valu!$C$14,$P295),$P295-max($P295-Valu!$C$14,0)/$R295*(BE$3-1))</f>
        <v>0.11</v>
      </c>
      <c r="BF295" s="430">
        <f>max(min(Valu!$C$14,$P295),$P295-max($P295-Valu!$C$14,0)/$R295*(BF$3-1))</f>
        <v>0.11</v>
      </c>
      <c r="BG295" s="430">
        <f>max(min(Valu!$C$14,$P295),$P295-max($P295-Valu!$C$14,0)/$R295*(BG$3-1))</f>
        <v>0.11</v>
      </c>
      <c r="BH295" s="430">
        <f>max(min(Valu!$C$14,$P295),$P295-max($P295-Valu!$C$14,0)/$R295*(BH$3-1))</f>
        <v>0.11</v>
      </c>
      <c r="BI295" s="430">
        <f>max(min(Valu!$C$14,$P295),$P295-max($P295-Valu!$C$14,0)/$R295*(BI$3-1))</f>
        <v>0.11</v>
      </c>
      <c r="BJ295" s="431">
        <f t="shared" si="158"/>
        <v>3.41905021</v>
      </c>
      <c r="BK295" s="432">
        <f t="shared" si="159"/>
        <v>3.760955231</v>
      </c>
      <c r="BL295" s="432">
        <f t="shared" ref="BL295:CC295" si="160">BK295*(1+W295)</f>
        <v>4.093172944</v>
      </c>
      <c r="BM295" s="432">
        <f t="shared" si="160"/>
        <v>4.406982869</v>
      </c>
      <c r="BN295" s="432">
        <f t="shared" si="160"/>
        <v>4.693436756</v>
      </c>
      <c r="BO295" s="432">
        <f t="shared" si="160"/>
        <v>4.943753383</v>
      </c>
      <c r="BP295" s="432">
        <f t="shared" si="160"/>
        <v>5.149743107</v>
      </c>
      <c r="BQ295" s="432">
        <f t="shared" si="160"/>
        <v>5.3042354</v>
      </c>
      <c r="BR295" s="432">
        <f t="shared" si="160"/>
        <v>5.463362462</v>
      </c>
      <c r="BS295" s="432">
        <f t="shared" si="160"/>
        <v>5.627263336</v>
      </c>
      <c r="BT295" s="432">
        <f t="shared" si="160"/>
        <v>5.796081236</v>
      </c>
      <c r="BU295" s="432">
        <f t="shared" si="160"/>
        <v>5.969963673</v>
      </c>
      <c r="BV295" s="432">
        <f t="shared" si="160"/>
        <v>6.149062583</v>
      </c>
      <c r="BW295" s="432">
        <f t="shared" si="160"/>
        <v>6.333534461</v>
      </c>
      <c r="BX295" s="432">
        <f t="shared" si="160"/>
        <v>6.523540495</v>
      </c>
      <c r="BY295" s="432">
        <f t="shared" si="160"/>
        <v>6.71924671</v>
      </c>
      <c r="BZ295" s="432">
        <f t="shared" si="160"/>
        <v>6.920824111</v>
      </c>
      <c r="CA295" s="432">
        <f t="shared" si="160"/>
        <v>7.128448834</v>
      </c>
      <c r="CB295" s="432">
        <f t="shared" si="160"/>
        <v>7.342302299</v>
      </c>
      <c r="CC295" s="432">
        <f t="shared" si="160"/>
        <v>7.562571368</v>
      </c>
      <c r="CD295" s="432">
        <f t="shared" ref="CD295:CW295" si="161">BJ295*(1-V295/AP295)</f>
        <v>0.3108227464</v>
      </c>
      <c r="CE295" s="432">
        <f t="shared" si="161"/>
        <v>0.7407942123</v>
      </c>
      <c r="CF295" s="432">
        <f t="shared" si="161"/>
        <v>1.240355437</v>
      </c>
      <c r="CG295" s="432">
        <f t="shared" si="161"/>
        <v>1.802856628</v>
      </c>
      <c r="CH295" s="432">
        <f t="shared" si="161"/>
        <v>2.417831056</v>
      </c>
      <c r="CI295" s="432">
        <f t="shared" si="161"/>
        <v>3.071119526</v>
      </c>
      <c r="CJ295" s="432">
        <f t="shared" si="161"/>
        <v>3.745267714</v>
      </c>
      <c r="CK295" s="432">
        <f t="shared" si="161"/>
        <v>3.857625746</v>
      </c>
      <c r="CL295" s="432">
        <f t="shared" si="161"/>
        <v>3.973354518</v>
      </c>
      <c r="CM295" s="432">
        <f t="shared" si="161"/>
        <v>4.092555153</v>
      </c>
      <c r="CN295" s="432">
        <f t="shared" si="161"/>
        <v>4.215331808</v>
      </c>
      <c r="CO295" s="432">
        <f t="shared" si="161"/>
        <v>4.341791762</v>
      </c>
      <c r="CP295" s="432">
        <f t="shared" si="161"/>
        <v>4.472045515</v>
      </c>
      <c r="CQ295" s="432">
        <f t="shared" si="161"/>
        <v>4.606206881</v>
      </c>
      <c r="CR295" s="432">
        <f t="shared" si="161"/>
        <v>4.744393087</v>
      </c>
      <c r="CS295" s="432">
        <f t="shared" si="161"/>
        <v>4.88672488</v>
      </c>
      <c r="CT295" s="432">
        <f t="shared" si="161"/>
        <v>5.033326626</v>
      </c>
      <c r="CU295" s="432">
        <f t="shared" si="161"/>
        <v>5.184326425</v>
      </c>
      <c r="CV295" s="432">
        <f t="shared" si="161"/>
        <v>5.339856218</v>
      </c>
      <c r="CW295" s="432">
        <f t="shared" si="161"/>
        <v>5.500051904</v>
      </c>
      <c r="CX295" s="432">
        <f>CW295*(1+min(Valu!$C$15,$O295))/(Valu!$C$21-min(Valu!$C$15,$O295))</f>
        <v>149.0803542</v>
      </c>
      <c r="CY295" s="432">
        <f>CD295/(1+Valu!$C$21)^CY$3</f>
        <v>0.2910325341</v>
      </c>
      <c r="CZ295" s="432">
        <f>CE295/(1+Valu!$C$21)^CZ$3</f>
        <v>0.6494639884</v>
      </c>
      <c r="DA295" s="432">
        <f>CF295/(1+Valu!$C$21)^DA$3</f>
        <v>1.018198368</v>
      </c>
      <c r="DB295" s="432">
        <f>CG295/(1+Valu!$C$21)^DB$3</f>
        <v>1.385722218</v>
      </c>
      <c r="DC295" s="432">
        <f>CH295/(1+Valu!$C$21)^DC$3</f>
        <v>1.740081894</v>
      </c>
      <c r="DD295" s="432">
        <f>CI295/(1+Valu!$C$21)^DD$3</f>
        <v>2.069517976</v>
      </c>
      <c r="DE295" s="432">
        <f>CJ295/(1+Valu!$C$21)^DE$3</f>
        <v>2.36311087</v>
      </c>
      <c r="DF295" s="432">
        <f>CK295/(1+Valu!$C$21)^DF$3</f>
        <v>2.279030146</v>
      </c>
      <c r="DG295" s="432">
        <f>CL295/(1+Valu!$C$21)^DG$3</f>
        <v>2.197941059</v>
      </c>
      <c r="DH295" s="432">
        <f>CM295/(1+Valu!$C$21)^DH$3</f>
        <v>2.119737163</v>
      </c>
      <c r="DI295" s="432">
        <f>CN295/(1+Valu!$C$21)^DI$3</f>
        <v>2.044315804</v>
      </c>
      <c r="DJ295" s="432">
        <f>CO295/(1+Valu!$C$21)^DJ$3</f>
        <v>1.971577976</v>
      </c>
      <c r="DK295" s="432">
        <f>CP295/(1+Valu!$C$21)^DK$3</f>
        <v>1.901428197</v>
      </c>
      <c r="DL295" s="432">
        <f>CQ295/(1+Valu!$C$21)^DL$3</f>
        <v>1.833774385</v>
      </c>
      <c r="DM295" s="432">
        <f>CR295/(1+Valu!$C$21)^DM$3</f>
        <v>1.768527731</v>
      </c>
      <c r="DN295" s="432">
        <f>CS295/(1+Valu!$C$21)^DN$3</f>
        <v>1.705602587</v>
      </c>
      <c r="DO295" s="432">
        <f>CT295/(1+Valu!$C$21)^DO$3</f>
        <v>1.644916353</v>
      </c>
      <c r="DP295" s="432">
        <f>CU295/(1+Valu!$C$21)^DP$3</f>
        <v>1.586389366</v>
      </c>
      <c r="DQ295" s="432">
        <f>CV295/(1+Valu!$C$21)^DQ$3</f>
        <v>1.529944801</v>
      </c>
      <c r="DR295" s="432">
        <f>CW295/(1+Valu!$C$21)^DR$3</f>
        <v>1.475508563</v>
      </c>
      <c r="DS295" s="432">
        <f>CX295/(1+Valu!$C$21)^DS$3</f>
        <v>39.99404788</v>
      </c>
      <c r="DT295" s="344"/>
      <c r="DU295" s="344"/>
      <c r="DV295" s="344"/>
      <c r="DW295" s="344"/>
    </row>
    <row r="296" ht="15.0" customHeight="1">
      <c r="A296" s="372">
        <v>42708.0</v>
      </c>
      <c r="B296" s="384" t="s">
        <v>3239</v>
      </c>
      <c r="C296" s="384" t="s">
        <v>3240</v>
      </c>
      <c r="D296" s="384">
        <v>60.0</v>
      </c>
      <c r="E296" s="374">
        <f>IFERROR(__xludf.DUMMYFUNCTION("if(and(D296&lt;&gt;0,D296&lt;&gt;""""),D296/GOOGLEFINANCE(C296,""price"")-1,"""")"),0.04493207941483801)</f>
        <v>0.04493207941</v>
      </c>
      <c r="F296" s="375">
        <f>IFERROR(__xludf.DUMMYFUNCTION("GOOGLEFINANCE(C296,""price"")"),57.42)</f>
        <v>57.42</v>
      </c>
      <c r="G296" s="374">
        <f t="shared" si="6"/>
        <v>0.007424652202</v>
      </c>
      <c r="H296" s="376"/>
      <c r="I296" s="376">
        <f>(2.51*0.75+0.25*2.89)*($I$1+7.5)</f>
        <v>57.84632353</v>
      </c>
      <c r="J296" s="380"/>
      <c r="K296" s="380"/>
      <c r="L296" s="389"/>
      <c r="M296" s="379">
        <f t="shared" si="7"/>
        <v>-119.9023034</v>
      </c>
      <c r="N296" s="380">
        <f t="shared" si="8"/>
        <v>0</v>
      </c>
      <c r="O296" s="389">
        <v>4.0</v>
      </c>
      <c r="P296" s="390"/>
      <c r="Q296" s="391"/>
      <c r="R296" s="387"/>
      <c r="S296" s="387"/>
      <c r="T296" s="387"/>
      <c r="U296" s="386"/>
      <c r="V296" s="344"/>
      <c r="W296" s="344"/>
      <c r="X296" s="344"/>
      <c r="Y296" s="344"/>
      <c r="Z296" s="344"/>
      <c r="AA296" s="344"/>
      <c r="AB296" s="344"/>
      <c r="AC296" s="344"/>
      <c r="AD296" s="344"/>
      <c r="AE296" s="344"/>
      <c r="AF296" s="344"/>
      <c r="AG296" s="344"/>
      <c r="AH296" s="344"/>
      <c r="AI296" s="344"/>
      <c r="AJ296" s="344"/>
      <c r="AK296" s="344"/>
      <c r="AL296" s="344"/>
      <c r="AM296" s="344"/>
      <c r="AN296" s="344"/>
      <c r="AO296" s="344"/>
      <c r="AP296" s="344"/>
      <c r="AQ296" s="344"/>
      <c r="AR296" s="344"/>
      <c r="AS296" s="344"/>
      <c r="AT296" s="344"/>
      <c r="AU296" s="344"/>
      <c r="AV296" s="344"/>
      <c r="AW296" s="344"/>
      <c r="AX296" s="344"/>
      <c r="AY296" s="344"/>
      <c r="AZ296" s="344"/>
      <c r="BA296" s="344"/>
      <c r="BB296" s="344"/>
      <c r="BC296" s="344"/>
      <c r="BD296" s="344"/>
      <c r="BE296" s="344"/>
      <c r="BF296" s="344"/>
      <c r="BG296" s="344"/>
      <c r="BH296" s="344"/>
      <c r="BI296" s="344"/>
      <c r="BJ296" s="344"/>
      <c r="BK296" s="344"/>
      <c r="BL296" s="344"/>
      <c r="BM296" s="344"/>
      <c r="BN296" s="344"/>
      <c r="BO296" s="344"/>
      <c r="BP296" s="344"/>
      <c r="BQ296" s="344"/>
      <c r="BR296" s="344"/>
      <c r="BS296" s="344"/>
      <c r="BT296" s="344"/>
      <c r="BU296" s="344"/>
      <c r="BV296" s="344"/>
      <c r="BW296" s="344"/>
      <c r="BX296" s="344"/>
      <c r="BY296" s="344"/>
      <c r="BZ296" s="344"/>
      <c r="CA296" s="344"/>
      <c r="CB296" s="344"/>
      <c r="CC296" s="344"/>
      <c r="CD296" s="344"/>
      <c r="CE296" s="344"/>
      <c r="CF296" s="344"/>
      <c r="CG296" s="344"/>
      <c r="CH296" s="344"/>
      <c r="CI296" s="344"/>
      <c r="CJ296" s="344"/>
      <c r="CK296" s="344"/>
      <c r="CL296" s="344"/>
      <c r="CM296" s="344"/>
      <c r="CN296" s="344"/>
      <c r="CO296" s="344"/>
      <c r="CP296" s="344"/>
      <c r="CQ296" s="344"/>
      <c r="CR296" s="344"/>
      <c r="CS296" s="344"/>
      <c r="CT296" s="344"/>
      <c r="CU296" s="344"/>
      <c r="CV296" s="344"/>
      <c r="CW296" s="344"/>
      <c r="CX296" s="344"/>
      <c r="CY296" s="344"/>
      <c r="CZ296" s="344"/>
      <c r="DA296" s="344"/>
      <c r="DB296" s="344"/>
      <c r="DC296" s="344"/>
      <c r="DD296" s="344"/>
      <c r="DE296" s="344"/>
      <c r="DF296" s="344"/>
      <c r="DG296" s="344"/>
      <c r="DH296" s="344"/>
      <c r="DI296" s="344"/>
      <c r="DJ296" s="344"/>
      <c r="DK296" s="344"/>
      <c r="DL296" s="344"/>
      <c r="DM296" s="344"/>
      <c r="DN296" s="344"/>
      <c r="DO296" s="344"/>
      <c r="DP296" s="344"/>
      <c r="DQ296" s="344"/>
      <c r="DR296" s="344"/>
      <c r="DS296" s="344"/>
      <c r="DT296" s="344"/>
      <c r="DU296" s="344"/>
      <c r="DV296" s="344"/>
      <c r="DW296" s="344"/>
    </row>
    <row r="297" ht="15.0" customHeight="1">
      <c r="A297" s="372">
        <v>42059.0</v>
      </c>
      <c r="B297" s="384" t="s">
        <v>3241</v>
      </c>
      <c r="C297" s="384" t="s">
        <v>1221</v>
      </c>
      <c r="D297" s="373">
        <v>50.0</v>
      </c>
      <c r="E297" s="374">
        <f>IFERROR(__xludf.DUMMYFUNCTION("if(and(D297&lt;&gt;0,D297&lt;&gt;""""),D297/GOOGLEFINANCE(C297,""price"")-1,"""")"),-0.26953981008035066)</f>
        <v>-0.2695398101</v>
      </c>
      <c r="F297" s="375">
        <f>IFERROR(__xludf.DUMMYFUNCTION("GOOGLEFINANCE(C297,""price"")"),68.45)</f>
        <v>68.45</v>
      </c>
      <c r="G297" s="374">
        <f t="shared" si="6"/>
        <v>0.07439843403</v>
      </c>
      <c r="H297" s="376"/>
      <c r="I297" s="376">
        <f>N297*($I$1+O297*100)</f>
        <v>73.54257281</v>
      </c>
      <c r="J297" s="377">
        <v>3.55</v>
      </c>
      <c r="K297" s="377">
        <v>3.65</v>
      </c>
      <c r="L297" s="409">
        <v>43465.0</v>
      </c>
      <c r="M297" s="379">
        <f t="shared" si="7"/>
        <v>-0.8201115749</v>
      </c>
      <c r="N297" s="380">
        <f t="shared" si="8"/>
        <v>3.732011157</v>
      </c>
      <c r="O297" s="370">
        <v>0.05</v>
      </c>
      <c r="P297" s="370"/>
      <c r="Q297" s="371"/>
      <c r="R297" s="378"/>
      <c r="S297" s="378">
        <v>43502.0</v>
      </c>
      <c r="T297" s="381" t="s">
        <v>1223</v>
      </c>
      <c r="U297" s="382" t="s">
        <v>3242</v>
      </c>
      <c r="V297" s="358"/>
      <c r="W297" s="358"/>
      <c r="X297" s="358"/>
      <c r="Y297" s="358"/>
      <c r="Z297" s="358"/>
      <c r="AA297" s="358"/>
      <c r="AB297" s="358"/>
      <c r="AC297" s="358"/>
      <c r="AD297" s="358"/>
      <c r="AE297" s="358"/>
      <c r="AF297" s="358"/>
      <c r="AG297" s="358"/>
      <c r="AH297" s="358"/>
      <c r="AI297" s="358"/>
      <c r="AJ297" s="358"/>
      <c r="AK297" s="358"/>
      <c r="AL297" s="358"/>
      <c r="AM297" s="358"/>
      <c r="AN297" s="358"/>
      <c r="AO297" s="358"/>
      <c r="AP297" s="358"/>
      <c r="AQ297" s="358"/>
      <c r="AR297" s="358"/>
      <c r="AS297" s="358"/>
      <c r="AT297" s="358"/>
      <c r="AU297" s="358"/>
      <c r="AV297" s="358"/>
      <c r="AW297" s="358"/>
      <c r="AX297" s="358"/>
      <c r="AY297" s="358"/>
      <c r="AZ297" s="358"/>
      <c r="BA297" s="358"/>
      <c r="BB297" s="358"/>
      <c r="BC297" s="358"/>
      <c r="BD297" s="358"/>
      <c r="BE297" s="358"/>
      <c r="BF297" s="358"/>
      <c r="BG297" s="358"/>
      <c r="BH297" s="358"/>
      <c r="BI297" s="358"/>
      <c r="BJ297" s="358"/>
      <c r="BK297" s="358"/>
      <c r="BL297" s="358"/>
      <c r="BM297" s="358"/>
      <c r="BN297" s="358"/>
      <c r="BO297" s="358"/>
      <c r="BP297" s="358"/>
      <c r="BQ297" s="358"/>
      <c r="BR297" s="358"/>
      <c r="BS297" s="358"/>
      <c r="BT297" s="358"/>
      <c r="BU297" s="358"/>
      <c r="BV297" s="358"/>
      <c r="BW297" s="358"/>
      <c r="BX297" s="358"/>
      <c r="BY297" s="358"/>
      <c r="BZ297" s="358"/>
      <c r="CA297" s="358"/>
      <c r="CB297" s="358"/>
      <c r="CC297" s="358"/>
      <c r="CD297" s="358"/>
      <c r="CE297" s="358"/>
      <c r="CF297" s="358"/>
      <c r="CG297" s="358"/>
      <c r="CH297" s="358"/>
      <c r="CI297" s="358"/>
      <c r="CJ297" s="358"/>
      <c r="CK297" s="358"/>
      <c r="CL297" s="358"/>
      <c r="CM297" s="358"/>
      <c r="CN297" s="358"/>
      <c r="CO297" s="358"/>
      <c r="CP297" s="358"/>
      <c r="CQ297" s="358"/>
      <c r="CR297" s="358"/>
      <c r="CS297" s="358"/>
      <c r="CT297" s="358"/>
      <c r="CU297" s="358"/>
      <c r="CV297" s="358"/>
      <c r="CW297" s="358"/>
      <c r="CX297" s="358"/>
      <c r="CY297" s="358"/>
      <c r="CZ297" s="358"/>
      <c r="DA297" s="358"/>
      <c r="DB297" s="358"/>
      <c r="DC297" s="358"/>
      <c r="DD297" s="358"/>
      <c r="DE297" s="358"/>
      <c r="DF297" s="358"/>
      <c r="DG297" s="358"/>
      <c r="DH297" s="358"/>
      <c r="DI297" s="358"/>
      <c r="DJ297" s="358"/>
      <c r="DK297" s="358"/>
      <c r="DL297" s="358"/>
      <c r="DM297" s="358"/>
      <c r="DN297" s="358"/>
      <c r="DO297" s="358"/>
      <c r="DP297" s="358"/>
      <c r="DQ297" s="358"/>
      <c r="DR297" s="358"/>
      <c r="DS297" s="358"/>
      <c r="DT297" s="358"/>
      <c r="DU297" s="358"/>
      <c r="DV297" s="358"/>
      <c r="DW297" s="358"/>
    </row>
    <row r="298" ht="15.0" customHeight="1">
      <c r="A298" s="943">
        <v>41597.0</v>
      </c>
      <c r="B298" s="944" t="s">
        <v>3243</v>
      </c>
      <c r="C298" s="944" t="s">
        <v>1369</v>
      </c>
      <c r="D298" s="945"/>
      <c r="E298" s="946" t="str">
        <f>IFERROR(__xludf.DUMMYFUNCTION("if(and(D298&lt;&gt;0,D298&lt;&gt;""""),D298/GOOGLEFINANCE(C298,""price"")-1,"""")"),"")</f>
        <v/>
      </c>
      <c r="F298" s="947">
        <f>IFERROR(__xludf.DUMMYFUNCTION("GOOGLEFINANCE(C298,""price"")"),25.0)</f>
        <v>25</v>
      </c>
      <c r="G298" s="946" t="str">
        <f t="shared" si="6"/>
        <v/>
      </c>
      <c r="H298" s="948"/>
      <c r="I298" s="948"/>
      <c r="J298" s="949"/>
      <c r="K298" s="949"/>
      <c r="L298" s="950"/>
      <c r="M298" s="951">
        <f t="shared" si="7"/>
        <v>-119.9023034</v>
      </c>
      <c r="N298" s="949">
        <f t="shared" si="8"/>
        <v>0</v>
      </c>
      <c r="O298" s="950">
        <v>4.0</v>
      </c>
      <c r="P298" s="952"/>
      <c r="Q298" s="951"/>
      <c r="R298" s="953"/>
      <c r="S298" s="953"/>
      <c r="T298" s="953"/>
      <c r="U298" s="954" t="s">
        <v>3244</v>
      </c>
      <c r="V298" s="955"/>
      <c r="W298" s="955"/>
      <c r="X298" s="955"/>
      <c r="Y298" s="955"/>
      <c r="Z298" s="955"/>
      <c r="AA298" s="955"/>
      <c r="AB298" s="955"/>
      <c r="AC298" s="955"/>
      <c r="AD298" s="955"/>
      <c r="AE298" s="955"/>
      <c r="AF298" s="955"/>
      <c r="AG298" s="955"/>
      <c r="AH298" s="955"/>
      <c r="AI298" s="955"/>
      <c r="AJ298" s="955"/>
      <c r="AK298" s="955"/>
      <c r="AL298" s="955"/>
      <c r="AM298" s="955"/>
      <c r="AN298" s="955"/>
      <c r="AO298" s="955"/>
      <c r="AP298" s="955"/>
      <c r="AQ298" s="955"/>
      <c r="AR298" s="955"/>
      <c r="AS298" s="955"/>
      <c r="AT298" s="955"/>
      <c r="AU298" s="955"/>
      <c r="AV298" s="955"/>
      <c r="AW298" s="955"/>
      <c r="AX298" s="955"/>
      <c r="AY298" s="955"/>
      <c r="AZ298" s="955"/>
      <c r="BA298" s="955"/>
      <c r="BB298" s="955"/>
      <c r="BC298" s="955"/>
      <c r="BD298" s="955"/>
      <c r="BE298" s="955"/>
      <c r="BF298" s="955"/>
      <c r="BG298" s="955"/>
      <c r="BH298" s="955"/>
      <c r="BI298" s="955"/>
      <c r="BJ298" s="955"/>
      <c r="BK298" s="955"/>
      <c r="BL298" s="955"/>
      <c r="BM298" s="955"/>
      <c r="BN298" s="955"/>
      <c r="BO298" s="955"/>
      <c r="BP298" s="955"/>
      <c r="BQ298" s="955"/>
      <c r="BR298" s="955"/>
      <c r="BS298" s="955"/>
      <c r="BT298" s="955"/>
      <c r="BU298" s="955"/>
      <c r="BV298" s="955"/>
      <c r="BW298" s="955"/>
      <c r="BX298" s="955"/>
      <c r="BY298" s="955"/>
      <c r="BZ298" s="955"/>
      <c r="CA298" s="955"/>
      <c r="CB298" s="955"/>
      <c r="CC298" s="955"/>
      <c r="CD298" s="955"/>
      <c r="CE298" s="955"/>
      <c r="CF298" s="955"/>
      <c r="CG298" s="955"/>
      <c r="CH298" s="955"/>
      <c r="CI298" s="955"/>
      <c r="CJ298" s="955"/>
      <c r="CK298" s="955"/>
      <c r="CL298" s="955"/>
      <c r="CM298" s="955"/>
      <c r="CN298" s="955"/>
      <c r="CO298" s="955"/>
      <c r="CP298" s="955"/>
      <c r="CQ298" s="955"/>
      <c r="CR298" s="955"/>
      <c r="CS298" s="955"/>
      <c r="CT298" s="955"/>
      <c r="CU298" s="955"/>
      <c r="CV298" s="955"/>
      <c r="CW298" s="955"/>
      <c r="CX298" s="955"/>
      <c r="CY298" s="955"/>
      <c r="CZ298" s="955"/>
      <c r="DA298" s="955"/>
      <c r="DB298" s="955"/>
      <c r="DC298" s="955"/>
      <c r="DD298" s="955"/>
      <c r="DE298" s="955"/>
      <c r="DF298" s="955"/>
      <c r="DG298" s="955"/>
      <c r="DH298" s="955"/>
      <c r="DI298" s="955"/>
      <c r="DJ298" s="955"/>
      <c r="DK298" s="955"/>
      <c r="DL298" s="955"/>
      <c r="DM298" s="955"/>
      <c r="DN298" s="955"/>
      <c r="DO298" s="955"/>
      <c r="DP298" s="955"/>
      <c r="DQ298" s="955"/>
      <c r="DR298" s="955"/>
      <c r="DS298" s="955"/>
      <c r="DT298" s="955"/>
      <c r="DU298" s="955"/>
      <c r="DV298" s="955"/>
      <c r="DW298" s="955"/>
    </row>
    <row r="299" ht="15.0" customHeight="1">
      <c r="A299" s="372">
        <v>41942.0</v>
      </c>
      <c r="B299" s="384" t="s">
        <v>3245</v>
      </c>
      <c r="C299" s="384" t="s">
        <v>3246</v>
      </c>
      <c r="D299" s="532"/>
      <c r="E299" s="374" t="str">
        <f>IFERROR(__xludf.DUMMYFUNCTION("if(and(D299&lt;&gt;0,D299&lt;&gt;""""),D299/GOOGLEFINANCE(C299,""price"")-1,"""")"),"")</f>
        <v/>
      </c>
      <c r="F299" s="375">
        <f>IFERROR(__xludf.DUMMYFUNCTION("GOOGLEFINANCE(C299,""price"")"),248.59)</f>
        <v>248.59</v>
      </c>
      <c r="G299" s="374">
        <f t="shared" si="6"/>
        <v>-0.2226235971</v>
      </c>
      <c r="H299" s="376"/>
      <c r="I299" s="368">
        <f>161.04*1.2</f>
        <v>193.248</v>
      </c>
      <c r="J299" s="380"/>
      <c r="K299" s="380"/>
      <c r="L299" s="389"/>
      <c r="M299" s="379">
        <f t="shared" si="7"/>
        <v>-119.9023034</v>
      </c>
      <c r="N299" s="380">
        <f t="shared" si="8"/>
        <v>0</v>
      </c>
      <c r="O299" s="389"/>
      <c r="P299" s="390"/>
      <c r="Q299" s="391"/>
      <c r="R299" s="387"/>
      <c r="S299" s="387"/>
      <c r="T299" s="387"/>
      <c r="U299" s="386" t="s">
        <v>3247</v>
      </c>
      <c r="V299" s="344"/>
      <c r="W299" s="344"/>
      <c r="X299" s="344"/>
      <c r="Y299" s="344"/>
      <c r="Z299" s="344"/>
      <c r="AA299" s="344"/>
      <c r="AB299" s="344"/>
      <c r="AC299" s="344"/>
      <c r="AD299" s="344"/>
      <c r="AE299" s="344"/>
      <c r="AF299" s="344"/>
      <c r="AG299" s="344"/>
      <c r="AH299" s="344"/>
      <c r="AI299" s="344"/>
      <c r="AJ299" s="344"/>
      <c r="AK299" s="344"/>
      <c r="AL299" s="344"/>
      <c r="AM299" s="344"/>
      <c r="AN299" s="344"/>
      <c r="AO299" s="344"/>
      <c r="AP299" s="344"/>
      <c r="AQ299" s="344"/>
      <c r="AR299" s="344"/>
      <c r="AS299" s="344"/>
      <c r="AT299" s="344"/>
      <c r="AU299" s="344"/>
      <c r="AV299" s="344"/>
      <c r="AW299" s="344"/>
      <c r="AX299" s="344"/>
      <c r="AY299" s="344"/>
      <c r="AZ299" s="344"/>
      <c r="BA299" s="344"/>
      <c r="BB299" s="344"/>
      <c r="BC299" s="344"/>
      <c r="BD299" s="344"/>
      <c r="BE299" s="344"/>
      <c r="BF299" s="344"/>
      <c r="BG299" s="344"/>
      <c r="BH299" s="344"/>
      <c r="BI299" s="344"/>
      <c r="BJ299" s="344"/>
      <c r="BK299" s="344"/>
      <c r="BL299" s="344"/>
      <c r="BM299" s="344"/>
      <c r="BN299" s="344"/>
      <c r="BO299" s="344"/>
      <c r="BP299" s="344"/>
      <c r="BQ299" s="344"/>
      <c r="BR299" s="344"/>
      <c r="BS299" s="344"/>
      <c r="BT299" s="344"/>
      <c r="BU299" s="344"/>
      <c r="BV299" s="344"/>
      <c r="BW299" s="344"/>
      <c r="BX299" s="344"/>
      <c r="BY299" s="344"/>
      <c r="BZ299" s="344"/>
      <c r="CA299" s="344"/>
      <c r="CB299" s="344"/>
      <c r="CC299" s="344"/>
      <c r="CD299" s="344"/>
      <c r="CE299" s="344"/>
      <c r="CF299" s="344"/>
      <c r="CG299" s="344"/>
      <c r="CH299" s="344"/>
      <c r="CI299" s="344"/>
      <c r="CJ299" s="344"/>
      <c r="CK299" s="344"/>
      <c r="CL299" s="344"/>
      <c r="CM299" s="344"/>
      <c r="CN299" s="344"/>
      <c r="CO299" s="344"/>
      <c r="CP299" s="344"/>
      <c r="CQ299" s="344"/>
      <c r="CR299" s="344"/>
      <c r="CS299" s="344"/>
      <c r="CT299" s="344"/>
      <c r="CU299" s="344"/>
      <c r="CV299" s="344"/>
      <c r="CW299" s="344"/>
      <c r="CX299" s="344"/>
      <c r="CY299" s="344"/>
      <c r="CZ299" s="344"/>
      <c r="DA299" s="344"/>
      <c r="DB299" s="344"/>
      <c r="DC299" s="344"/>
      <c r="DD299" s="344"/>
      <c r="DE299" s="344"/>
      <c r="DF299" s="344"/>
      <c r="DG299" s="344"/>
      <c r="DH299" s="344"/>
      <c r="DI299" s="344"/>
      <c r="DJ299" s="344"/>
      <c r="DK299" s="344"/>
      <c r="DL299" s="344"/>
      <c r="DM299" s="344"/>
      <c r="DN299" s="344"/>
      <c r="DO299" s="344"/>
      <c r="DP299" s="344"/>
      <c r="DQ299" s="344"/>
      <c r="DR299" s="344"/>
      <c r="DS299" s="344"/>
      <c r="DT299" s="344"/>
      <c r="DU299" s="344"/>
      <c r="DV299" s="344"/>
      <c r="DW299" s="344"/>
    </row>
    <row r="300" ht="15.0" customHeight="1">
      <c r="A300" s="388">
        <v>43337.0</v>
      </c>
      <c r="B300" s="373" t="s">
        <v>3248</v>
      </c>
      <c r="C300" s="373" t="s">
        <v>3249</v>
      </c>
      <c r="D300" s="373">
        <v>15.0</v>
      </c>
      <c r="E300" s="374">
        <f>IFERROR(__xludf.DUMMYFUNCTION("if(and(D300&lt;&gt;0,D300&lt;&gt;""""),D300/GOOGLEFINANCE(C300,""price"")-1,"""")"),-0.07407407407407407)</f>
        <v>-0.07407407407</v>
      </c>
      <c r="F300" s="375">
        <f>IFERROR(__xludf.DUMMYFUNCTION("GOOGLEFINANCE(C300,""price"")"),16.2)</f>
        <v>16.2</v>
      </c>
      <c r="G300" s="374">
        <f t="shared" si="6"/>
        <v>0.1929351162</v>
      </c>
      <c r="H300" s="376"/>
      <c r="I300" s="376">
        <f>N300*($I$1+O300*100)</f>
        <v>19.32554888</v>
      </c>
      <c r="J300" s="377">
        <f>average(1.13)</f>
        <v>1.13</v>
      </c>
      <c r="K300" s="377">
        <f>average(2.18)</f>
        <v>2.18</v>
      </c>
      <c r="L300" s="378">
        <v>43830.0</v>
      </c>
      <c r="M300" s="379">
        <f t="shared" si="7"/>
        <v>0.1798884214</v>
      </c>
      <c r="N300" s="380">
        <f t="shared" si="8"/>
        <v>1.991117158</v>
      </c>
      <c r="O300" s="370">
        <v>-0.05</v>
      </c>
      <c r="P300" s="370"/>
      <c r="Q300" s="371"/>
      <c r="R300" s="378"/>
      <c r="S300" s="378">
        <v>43591.0</v>
      </c>
      <c r="T300" s="381" t="s">
        <v>1609</v>
      </c>
      <c r="U300" s="382" t="s">
        <v>3250</v>
      </c>
      <c r="V300" s="358"/>
      <c r="W300" s="358"/>
      <c r="X300" s="358"/>
      <c r="Y300" s="358"/>
      <c r="Z300" s="358"/>
      <c r="AA300" s="358"/>
      <c r="AB300" s="358"/>
      <c r="AC300" s="358"/>
      <c r="AD300" s="358"/>
      <c r="AE300" s="358"/>
      <c r="AF300" s="358"/>
      <c r="AG300" s="358"/>
      <c r="AH300" s="358"/>
      <c r="AI300" s="358"/>
      <c r="AJ300" s="358"/>
      <c r="AK300" s="358"/>
      <c r="AL300" s="358"/>
      <c r="AM300" s="358"/>
      <c r="AN300" s="358"/>
      <c r="AO300" s="358"/>
      <c r="AP300" s="358"/>
      <c r="AQ300" s="358"/>
      <c r="AR300" s="358"/>
      <c r="AS300" s="358"/>
      <c r="AT300" s="358"/>
      <c r="AU300" s="358"/>
      <c r="AV300" s="358"/>
      <c r="AW300" s="358"/>
      <c r="AX300" s="358"/>
      <c r="AY300" s="358"/>
      <c r="AZ300" s="358"/>
      <c r="BA300" s="358"/>
      <c r="BB300" s="358"/>
      <c r="BC300" s="358"/>
      <c r="BD300" s="358"/>
      <c r="BE300" s="358"/>
      <c r="BF300" s="358"/>
      <c r="BG300" s="358"/>
      <c r="BH300" s="358"/>
      <c r="BI300" s="358"/>
      <c r="BJ300" s="358"/>
      <c r="BK300" s="358"/>
      <c r="BL300" s="358"/>
      <c r="BM300" s="358"/>
      <c r="BN300" s="358"/>
      <c r="BO300" s="358"/>
      <c r="BP300" s="358"/>
      <c r="BQ300" s="358"/>
      <c r="BR300" s="358"/>
      <c r="BS300" s="358"/>
      <c r="BT300" s="358"/>
      <c r="BU300" s="358"/>
      <c r="BV300" s="358"/>
      <c r="BW300" s="358"/>
      <c r="BX300" s="358"/>
      <c r="BY300" s="358"/>
      <c r="BZ300" s="358"/>
      <c r="CA300" s="358"/>
      <c r="CB300" s="358"/>
      <c r="CC300" s="358"/>
      <c r="CD300" s="358"/>
      <c r="CE300" s="358"/>
      <c r="CF300" s="358"/>
      <c r="CG300" s="358"/>
      <c r="CH300" s="358"/>
      <c r="CI300" s="358"/>
      <c r="CJ300" s="358"/>
      <c r="CK300" s="358"/>
      <c r="CL300" s="358"/>
      <c r="CM300" s="358"/>
      <c r="CN300" s="358"/>
      <c r="CO300" s="358"/>
      <c r="CP300" s="358"/>
      <c r="CQ300" s="358"/>
      <c r="CR300" s="358"/>
      <c r="CS300" s="358"/>
      <c r="CT300" s="358"/>
      <c r="CU300" s="358"/>
      <c r="CV300" s="358"/>
      <c r="CW300" s="358"/>
      <c r="CX300" s="358"/>
      <c r="CY300" s="358"/>
      <c r="CZ300" s="358"/>
      <c r="DA300" s="358"/>
      <c r="DB300" s="358"/>
      <c r="DC300" s="358"/>
      <c r="DD300" s="358"/>
      <c r="DE300" s="358"/>
      <c r="DF300" s="358"/>
      <c r="DG300" s="358"/>
      <c r="DH300" s="358"/>
      <c r="DI300" s="358"/>
      <c r="DJ300" s="358"/>
      <c r="DK300" s="358"/>
      <c r="DL300" s="358"/>
      <c r="DM300" s="358"/>
      <c r="DN300" s="358"/>
      <c r="DO300" s="358"/>
      <c r="DP300" s="358"/>
      <c r="DQ300" s="358"/>
      <c r="DR300" s="358"/>
      <c r="DS300" s="358"/>
      <c r="DT300" s="358"/>
      <c r="DU300" s="358"/>
      <c r="DV300" s="358"/>
      <c r="DW300" s="358"/>
    </row>
    <row r="301" ht="15.0" customHeight="1">
      <c r="A301" s="383">
        <v>41411.0</v>
      </c>
      <c r="B301" s="320" t="s">
        <v>3251</v>
      </c>
      <c r="C301" s="320" t="s">
        <v>1063</v>
      </c>
      <c r="D301" s="532"/>
      <c r="E301" s="374" t="str">
        <f>IFERROR(__xludf.DUMMYFUNCTION("if(and(D301&lt;&gt;0,D301&lt;&gt;""""),D301/GOOGLEFINANCE(C301,""price"")-1,"""")"),"")</f>
        <v/>
      </c>
      <c r="F301" s="375">
        <f>IFERROR(__xludf.DUMMYFUNCTION("GOOGLEFINANCE(C301,""price"")"),12.14)</f>
        <v>12.14</v>
      </c>
      <c r="G301" s="374" t="str">
        <f t="shared" si="6"/>
        <v/>
      </c>
      <c r="H301" s="376">
        <v>40.0</v>
      </c>
      <c r="I301" s="376"/>
      <c r="J301" s="380"/>
      <c r="K301" s="380"/>
      <c r="L301" s="389"/>
      <c r="M301" s="379">
        <f t="shared" si="7"/>
        <v>-119.9023034</v>
      </c>
      <c r="N301" s="380">
        <f t="shared" si="8"/>
        <v>0</v>
      </c>
      <c r="O301" s="389"/>
      <c r="P301" s="415"/>
      <c r="Q301" s="379"/>
      <c r="R301" s="416"/>
      <c r="S301" s="416"/>
      <c r="T301" s="416"/>
      <c r="U301" s="417" t="s">
        <v>3252</v>
      </c>
      <c r="V301" s="367"/>
      <c r="W301" s="367"/>
      <c r="X301" s="367"/>
      <c r="Y301" s="367"/>
      <c r="Z301" s="367"/>
      <c r="AA301" s="367"/>
      <c r="AB301" s="367"/>
      <c r="AC301" s="367"/>
      <c r="AD301" s="367"/>
      <c r="AE301" s="367"/>
      <c r="AF301" s="367"/>
      <c r="AG301" s="367"/>
      <c r="AH301" s="367"/>
      <c r="AI301" s="367"/>
      <c r="AJ301" s="367"/>
      <c r="AK301" s="367"/>
      <c r="AL301" s="367"/>
      <c r="AM301" s="367"/>
      <c r="AN301" s="367"/>
      <c r="AO301" s="367"/>
      <c r="AP301" s="367"/>
      <c r="AQ301" s="367"/>
      <c r="AR301" s="367"/>
      <c r="AS301" s="367"/>
      <c r="AT301" s="367"/>
      <c r="AU301" s="367"/>
      <c r="AV301" s="367"/>
      <c r="AW301" s="367"/>
      <c r="AX301" s="367"/>
      <c r="AY301" s="367"/>
      <c r="AZ301" s="367"/>
      <c r="BA301" s="367"/>
      <c r="BB301" s="367"/>
      <c r="BC301" s="367"/>
      <c r="BD301" s="367"/>
      <c r="BE301" s="367"/>
      <c r="BF301" s="367"/>
      <c r="BG301" s="367"/>
      <c r="BH301" s="367"/>
      <c r="BI301" s="367"/>
      <c r="BJ301" s="367"/>
      <c r="BK301" s="367"/>
      <c r="BL301" s="367"/>
      <c r="BM301" s="367"/>
      <c r="BN301" s="367"/>
      <c r="BO301" s="367"/>
      <c r="BP301" s="367"/>
      <c r="BQ301" s="367"/>
      <c r="BR301" s="367"/>
      <c r="BS301" s="367"/>
      <c r="BT301" s="367"/>
      <c r="BU301" s="367"/>
      <c r="BV301" s="367"/>
      <c r="BW301" s="367"/>
      <c r="BX301" s="367"/>
      <c r="BY301" s="367"/>
      <c r="BZ301" s="367"/>
      <c r="CA301" s="367"/>
      <c r="CB301" s="367"/>
      <c r="CC301" s="367"/>
      <c r="CD301" s="367"/>
      <c r="CE301" s="367"/>
      <c r="CF301" s="367"/>
      <c r="CG301" s="367"/>
      <c r="CH301" s="367"/>
      <c r="CI301" s="367"/>
      <c r="CJ301" s="367"/>
      <c r="CK301" s="367"/>
      <c r="CL301" s="367"/>
      <c r="CM301" s="367"/>
      <c r="CN301" s="367"/>
      <c r="CO301" s="367"/>
      <c r="CP301" s="367"/>
      <c r="CQ301" s="367"/>
      <c r="CR301" s="367"/>
      <c r="CS301" s="367"/>
      <c r="CT301" s="367"/>
      <c r="CU301" s="367"/>
      <c r="CV301" s="367"/>
      <c r="CW301" s="367"/>
      <c r="CX301" s="367"/>
      <c r="CY301" s="367"/>
      <c r="CZ301" s="367"/>
      <c r="DA301" s="367"/>
      <c r="DB301" s="367"/>
      <c r="DC301" s="367"/>
      <c r="DD301" s="367"/>
      <c r="DE301" s="367"/>
      <c r="DF301" s="367"/>
      <c r="DG301" s="367"/>
      <c r="DH301" s="367"/>
      <c r="DI301" s="367"/>
      <c r="DJ301" s="367"/>
      <c r="DK301" s="367"/>
      <c r="DL301" s="367"/>
      <c r="DM301" s="367"/>
      <c r="DN301" s="367"/>
      <c r="DO301" s="367"/>
      <c r="DP301" s="367"/>
      <c r="DQ301" s="367"/>
      <c r="DR301" s="367"/>
      <c r="DS301" s="367"/>
      <c r="DT301" s="367"/>
      <c r="DU301" s="367"/>
      <c r="DV301" s="367"/>
      <c r="DW301" s="367"/>
    </row>
    <row r="302" ht="15.0" customHeight="1">
      <c r="A302" s="394">
        <v>41211.0</v>
      </c>
      <c r="B302" s="302" t="s">
        <v>3254</v>
      </c>
      <c r="C302" s="302" t="s">
        <v>3255</v>
      </c>
      <c r="D302" s="422"/>
      <c r="E302" s="396" t="str">
        <f>IFERROR(__xludf.DUMMYFUNCTION("if(and(D302&lt;&gt;0,D302&lt;&gt;""""),D302/GOOGLEFINANCE(C302,""price"")-1,"""")"),"")</f>
        <v/>
      </c>
      <c r="F302" s="397" t="str">
        <f>IFERROR(__xludf.DUMMYFUNCTION("GOOGLEFINANCE(C302,""price"")"),"#N/A")</f>
        <v>#N/A</v>
      </c>
      <c r="G302" s="396" t="str">
        <f t="shared" si="6"/>
        <v/>
      </c>
      <c r="H302" s="398"/>
      <c r="I302" s="398"/>
      <c r="J302" s="403"/>
      <c r="K302" s="403"/>
      <c r="L302" s="410"/>
      <c r="M302" s="402">
        <f t="shared" si="7"/>
        <v>-119.9023034</v>
      </c>
      <c r="N302" s="403">
        <f t="shared" si="8"/>
        <v>0</v>
      </c>
      <c r="O302" s="410"/>
      <c r="P302" s="411"/>
      <c r="Q302" s="402"/>
      <c r="R302" s="412"/>
      <c r="S302" s="412"/>
      <c r="T302" s="412"/>
      <c r="U302" s="413" t="s">
        <v>3256</v>
      </c>
      <c r="V302" s="414"/>
      <c r="W302" s="414"/>
      <c r="X302" s="414"/>
      <c r="Y302" s="414"/>
      <c r="Z302" s="414"/>
      <c r="AA302" s="414"/>
      <c r="AB302" s="414"/>
      <c r="AC302" s="414"/>
      <c r="AD302" s="414"/>
      <c r="AE302" s="414"/>
      <c r="AF302" s="414"/>
      <c r="AG302" s="414"/>
      <c r="AH302" s="414"/>
      <c r="AI302" s="414"/>
      <c r="AJ302" s="414"/>
      <c r="AK302" s="414"/>
      <c r="AL302" s="414"/>
      <c r="AM302" s="414"/>
      <c r="AN302" s="414"/>
      <c r="AO302" s="414"/>
      <c r="AP302" s="414"/>
      <c r="AQ302" s="414"/>
      <c r="AR302" s="414"/>
      <c r="AS302" s="414"/>
      <c r="AT302" s="414"/>
      <c r="AU302" s="414"/>
      <c r="AV302" s="414"/>
      <c r="AW302" s="414"/>
      <c r="AX302" s="414"/>
      <c r="AY302" s="414"/>
      <c r="AZ302" s="414"/>
      <c r="BA302" s="414"/>
      <c r="BB302" s="414"/>
      <c r="BC302" s="414"/>
      <c r="BD302" s="414"/>
      <c r="BE302" s="414"/>
      <c r="BF302" s="414"/>
      <c r="BG302" s="414"/>
      <c r="BH302" s="414"/>
      <c r="BI302" s="414"/>
      <c r="BJ302" s="414"/>
      <c r="BK302" s="414"/>
      <c r="BL302" s="414"/>
      <c r="BM302" s="414"/>
      <c r="BN302" s="414"/>
      <c r="BO302" s="414"/>
      <c r="BP302" s="414"/>
      <c r="BQ302" s="414"/>
      <c r="BR302" s="414"/>
      <c r="BS302" s="414"/>
      <c r="BT302" s="414"/>
      <c r="BU302" s="414"/>
      <c r="BV302" s="414"/>
      <c r="BW302" s="414"/>
      <c r="BX302" s="414"/>
      <c r="BY302" s="414"/>
      <c r="BZ302" s="414"/>
      <c r="CA302" s="414"/>
      <c r="CB302" s="414"/>
      <c r="CC302" s="414"/>
      <c r="CD302" s="414"/>
      <c r="CE302" s="414"/>
      <c r="CF302" s="414"/>
      <c r="CG302" s="414"/>
      <c r="CH302" s="414"/>
      <c r="CI302" s="414"/>
      <c r="CJ302" s="414"/>
      <c r="CK302" s="414"/>
      <c r="CL302" s="414"/>
      <c r="CM302" s="414"/>
      <c r="CN302" s="414"/>
      <c r="CO302" s="414"/>
      <c r="CP302" s="414"/>
      <c r="CQ302" s="414"/>
      <c r="CR302" s="414"/>
      <c r="CS302" s="414"/>
      <c r="CT302" s="414"/>
      <c r="CU302" s="414"/>
      <c r="CV302" s="414"/>
      <c r="CW302" s="414"/>
      <c r="CX302" s="414"/>
      <c r="CY302" s="414"/>
      <c r="CZ302" s="414"/>
      <c r="DA302" s="414"/>
      <c r="DB302" s="414"/>
      <c r="DC302" s="414"/>
      <c r="DD302" s="414"/>
      <c r="DE302" s="414"/>
      <c r="DF302" s="414"/>
      <c r="DG302" s="414"/>
      <c r="DH302" s="414"/>
      <c r="DI302" s="414"/>
      <c r="DJ302" s="414"/>
      <c r="DK302" s="414"/>
      <c r="DL302" s="414"/>
      <c r="DM302" s="414"/>
      <c r="DN302" s="414"/>
      <c r="DO302" s="414"/>
      <c r="DP302" s="414"/>
      <c r="DQ302" s="414"/>
      <c r="DR302" s="414"/>
      <c r="DS302" s="414"/>
      <c r="DT302" s="414"/>
      <c r="DU302" s="414"/>
      <c r="DV302" s="414"/>
      <c r="DW302" s="414"/>
    </row>
    <row r="303" ht="15.0" customHeight="1">
      <c r="A303" s="343">
        <v>42164.0</v>
      </c>
      <c r="B303" s="344" t="s">
        <v>3257</v>
      </c>
      <c r="C303" s="344" t="s">
        <v>3257</v>
      </c>
      <c r="D303" s="534"/>
      <c r="E303" s="345" t="str">
        <f>IFERROR(__xludf.DUMMYFUNCTION("if(and(D303&lt;&gt;0,D303&lt;&gt;""""),D303/GOOGLEFINANCE(C303,""price"")-1,"""")"),"")</f>
        <v/>
      </c>
      <c r="F303" s="364">
        <f>IFERROR(__xludf.DUMMYFUNCTION("GOOGLEFINANCE(C303,""price"")"),96.14)</f>
        <v>96.14</v>
      </c>
      <c r="G303" s="345">
        <f t="shared" si="6"/>
        <v>-0.2358386667</v>
      </c>
      <c r="H303" s="347"/>
      <c r="I303" s="347">
        <f>2.29*($I$1+1)+2.5*15</f>
        <v>73.46647059</v>
      </c>
      <c r="J303" s="349"/>
      <c r="K303" s="349"/>
      <c r="L303" s="350"/>
      <c r="M303" s="351">
        <f t="shared" si="7"/>
        <v>-119.9023034</v>
      </c>
      <c r="N303" s="349">
        <f t="shared" si="8"/>
        <v>0</v>
      </c>
      <c r="O303" s="350"/>
      <c r="P303" s="352"/>
      <c r="Q303" s="353"/>
      <c r="R303" s="365"/>
      <c r="S303" s="365"/>
      <c r="T303" s="365"/>
      <c r="U303" s="356" t="s">
        <v>3258</v>
      </c>
      <c r="V303" s="344"/>
      <c r="W303" s="344"/>
      <c r="X303" s="344"/>
      <c r="Y303" s="344"/>
      <c r="Z303" s="344"/>
      <c r="AA303" s="344"/>
      <c r="AB303" s="344"/>
      <c r="AC303" s="344"/>
      <c r="AD303" s="344"/>
      <c r="AE303" s="344"/>
      <c r="AF303" s="344"/>
      <c r="AG303" s="344"/>
      <c r="AH303" s="344"/>
      <c r="AI303" s="344"/>
      <c r="AJ303" s="344"/>
      <c r="AK303" s="344"/>
      <c r="AL303" s="344"/>
      <c r="AM303" s="344"/>
      <c r="AN303" s="344"/>
      <c r="AO303" s="344"/>
      <c r="AP303" s="344"/>
      <c r="AQ303" s="344"/>
      <c r="AR303" s="344"/>
      <c r="AS303" s="344"/>
      <c r="AT303" s="344"/>
      <c r="AU303" s="344"/>
      <c r="AV303" s="344"/>
      <c r="AW303" s="344"/>
      <c r="AX303" s="344"/>
      <c r="AY303" s="344"/>
      <c r="AZ303" s="344"/>
      <c r="BA303" s="344"/>
      <c r="BB303" s="344"/>
      <c r="BC303" s="344"/>
      <c r="BD303" s="344"/>
      <c r="BE303" s="344"/>
      <c r="BF303" s="344"/>
      <c r="BG303" s="344"/>
      <c r="BH303" s="344"/>
      <c r="BI303" s="344"/>
      <c r="BJ303" s="344"/>
      <c r="BK303" s="344"/>
      <c r="BL303" s="344"/>
      <c r="BM303" s="344"/>
      <c r="BN303" s="344"/>
      <c r="BO303" s="344"/>
      <c r="BP303" s="344"/>
      <c r="BQ303" s="344"/>
      <c r="BR303" s="344"/>
      <c r="BS303" s="344"/>
      <c r="BT303" s="344"/>
      <c r="BU303" s="344"/>
      <c r="BV303" s="344"/>
      <c r="BW303" s="344"/>
      <c r="BX303" s="344"/>
      <c r="BY303" s="344"/>
      <c r="BZ303" s="344"/>
      <c r="CA303" s="344"/>
      <c r="CB303" s="344"/>
      <c r="CC303" s="344"/>
      <c r="CD303" s="344"/>
      <c r="CE303" s="344"/>
      <c r="CF303" s="344"/>
      <c r="CG303" s="344"/>
      <c r="CH303" s="344"/>
      <c r="CI303" s="344"/>
      <c r="CJ303" s="344"/>
      <c r="CK303" s="344"/>
      <c r="CL303" s="344"/>
      <c r="CM303" s="344"/>
      <c r="CN303" s="344"/>
      <c r="CO303" s="344"/>
      <c r="CP303" s="344"/>
      <c r="CQ303" s="344"/>
      <c r="CR303" s="344"/>
      <c r="CS303" s="344"/>
      <c r="CT303" s="344"/>
      <c r="CU303" s="344"/>
      <c r="CV303" s="344"/>
      <c r="CW303" s="344"/>
      <c r="CX303" s="344"/>
      <c r="CY303" s="344"/>
      <c r="CZ303" s="344"/>
      <c r="DA303" s="344"/>
      <c r="DB303" s="344"/>
      <c r="DC303" s="344"/>
      <c r="DD303" s="344"/>
      <c r="DE303" s="344"/>
      <c r="DF303" s="344"/>
      <c r="DG303" s="344"/>
      <c r="DH303" s="344"/>
      <c r="DI303" s="344"/>
      <c r="DJ303" s="344"/>
      <c r="DK303" s="344"/>
      <c r="DL303" s="344"/>
      <c r="DM303" s="344"/>
      <c r="DN303" s="344"/>
      <c r="DO303" s="344"/>
      <c r="DP303" s="344"/>
      <c r="DQ303" s="344"/>
      <c r="DR303" s="344"/>
      <c r="DS303" s="344"/>
      <c r="DT303" s="344"/>
      <c r="DU303" s="344"/>
      <c r="DV303" s="344"/>
      <c r="DW303" s="344"/>
    </row>
    <row r="304" ht="15.0" customHeight="1">
      <c r="A304" s="357">
        <v>43384.0</v>
      </c>
      <c r="B304" s="358" t="s">
        <v>3259</v>
      </c>
      <c r="C304" s="358" t="s">
        <v>3260</v>
      </c>
      <c r="D304" s="358">
        <v>4.5</v>
      </c>
      <c r="E304" s="345">
        <f>IFERROR(__xludf.DUMMYFUNCTION("if(and(D304&lt;&gt;0,D304&lt;&gt;""""),D304/GOOGLEFINANCE(C304,""price"")-1,"""")"),0.34730538922155696)</f>
        <v>0.3473053892</v>
      </c>
      <c r="F304" s="364">
        <f>IFERROR(__xludf.DUMMYFUNCTION("GOOGLEFINANCE(C304,""price"")"),3.34)</f>
        <v>3.34</v>
      </c>
      <c r="G304" s="345">
        <f t="shared" si="6"/>
        <v>1.61649191</v>
      </c>
      <c r="H304" s="347"/>
      <c r="I304" s="347">
        <f t="shared" ref="I304:I306" si="162">N304*($I$1+O304*100)</f>
        <v>8.73908298</v>
      </c>
      <c r="J304" s="359">
        <f>29/12*0.05</f>
        <v>0.1208333333</v>
      </c>
      <c r="K304" s="369">
        <f>J304*1.25</f>
        <v>0.1510416667</v>
      </c>
      <c r="L304" s="360">
        <v>43465.0</v>
      </c>
      <c r="M304" s="351">
        <f t="shared" si="7"/>
        <v>-0.8201115786</v>
      </c>
      <c r="N304" s="349">
        <f t="shared" si="8"/>
        <v>0.1758158706</v>
      </c>
      <c r="O304" s="361">
        <v>0.35</v>
      </c>
      <c r="P304" s="361"/>
      <c r="Q304" s="362"/>
      <c r="R304" s="360"/>
      <c r="S304" s="360">
        <v>43411.0</v>
      </c>
      <c r="T304" s="365" t="s">
        <v>1223</v>
      </c>
      <c r="U304" s="363" t="s">
        <v>3261</v>
      </c>
      <c r="V304" s="358"/>
      <c r="W304" s="358"/>
      <c r="X304" s="358"/>
      <c r="Y304" s="358"/>
      <c r="Z304" s="358"/>
      <c r="AA304" s="358"/>
      <c r="AB304" s="358"/>
      <c r="AC304" s="358"/>
      <c r="AD304" s="358"/>
      <c r="AE304" s="358"/>
      <c r="AF304" s="358"/>
      <c r="AG304" s="358"/>
      <c r="AH304" s="358"/>
      <c r="AI304" s="358"/>
      <c r="AJ304" s="358"/>
      <c r="AK304" s="358"/>
      <c r="AL304" s="358"/>
      <c r="AM304" s="358"/>
      <c r="AN304" s="358"/>
      <c r="AO304" s="358"/>
      <c r="AP304" s="358"/>
      <c r="AQ304" s="358"/>
      <c r="AR304" s="358"/>
      <c r="AS304" s="358"/>
      <c r="AT304" s="358"/>
      <c r="AU304" s="358"/>
      <c r="AV304" s="358"/>
      <c r="AW304" s="358"/>
      <c r="AX304" s="358"/>
      <c r="AY304" s="358"/>
      <c r="AZ304" s="358"/>
      <c r="BA304" s="358"/>
      <c r="BB304" s="358"/>
      <c r="BC304" s="358"/>
      <c r="BD304" s="358"/>
      <c r="BE304" s="358"/>
      <c r="BF304" s="358"/>
      <c r="BG304" s="358"/>
      <c r="BH304" s="358"/>
      <c r="BI304" s="358"/>
      <c r="BJ304" s="358"/>
      <c r="BK304" s="358"/>
      <c r="BL304" s="358"/>
      <c r="BM304" s="358"/>
      <c r="BN304" s="358"/>
      <c r="BO304" s="358"/>
      <c r="BP304" s="358"/>
      <c r="BQ304" s="358"/>
      <c r="BR304" s="358"/>
      <c r="BS304" s="358"/>
      <c r="BT304" s="358"/>
      <c r="BU304" s="358"/>
      <c r="BV304" s="358"/>
      <c r="BW304" s="358"/>
      <c r="BX304" s="358"/>
      <c r="BY304" s="358"/>
      <c r="BZ304" s="358"/>
      <c r="CA304" s="358"/>
      <c r="CB304" s="358"/>
      <c r="CC304" s="358"/>
      <c r="CD304" s="358"/>
      <c r="CE304" s="358"/>
      <c r="CF304" s="358"/>
      <c r="CG304" s="358"/>
      <c r="CH304" s="358"/>
      <c r="CI304" s="358"/>
      <c r="CJ304" s="358"/>
      <c r="CK304" s="358"/>
      <c r="CL304" s="358"/>
      <c r="CM304" s="358"/>
      <c r="CN304" s="358"/>
      <c r="CO304" s="358"/>
      <c r="CP304" s="358"/>
      <c r="CQ304" s="358"/>
      <c r="CR304" s="358"/>
      <c r="CS304" s="358"/>
      <c r="CT304" s="358"/>
      <c r="CU304" s="358"/>
      <c r="CV304" s="358"/>
      <c r="CW304" s="358"/>
      <c r="CX304" s="358"/>
      <c r="CY304" s="358"/>
      <c r="CZ304" s="358"/>
      <c r="DA304" s="358"/>
      <c r="DB304" s="358"/>
      <c r="DC304" s="358"/>
      <c r="DD304" s="358"/>
      <c r="DE304" s="358"/>
      <c r="DF304" s="358"/>
      <c r="DG304" s="358"/>
      <c r="DH304" s="358"/>
      <c r="DI304" s="358"/>
      <c r="DJ304" s="358"/>
      <c r="DK304" s="358"/>
      <c r="DL304" s="358"/>
      <c r="DM304" s="358"/>
      <c r="DN304" s="358"/>
      <c r="DO304" s="358"/>
      <c r="DP304" s="358"/>
      <c r="DQ304" s="358"/>
      <c r="DR304" s="358"/>
      <c r="DS304" s="358"/>
      <c r="DT304" s="358"/>
      <c r="DU304" s="358"/>
      <c r="DV304" s="358"/>
      <c r="DW304" s="358"/>
    </row>
    <row r="305" ht="15.0" customHeight="1">
      <c r="A305" s="366">
        <v>41076.0</v>
      </c>
      <c r="B305" s="367" t="s">
        <v>3262</v>
      </c>
      <c r="C305" s="367" t="s">
        <v>423</v>
      </c>
      <c r="D305" s="358">
        <v>80.0</v>
      </c>
      <c r="E305" s="345">
        <f>IFERROR(__xludf.DUMMYFUNCTION("if(and(D305&lt;&gt;0,D305&lt;&gt;""""),D305/GOOGLEFINANCE(C305,""price"")-1,"""")"),-0.4454457230001386)</f>
        <v>-0.445445723</v>
      </c>
      <c r="F305" s="364">
        <f>IFERROR(__xludf.DUMMYFUNCTION("GOOGLEFINANCE(C305,""price"")"),144.26)</f>
        <v>144.26</v>
      </c>
      <c r="G305" s="345">
        <f t="shared" si="6"/>
        <v>-0.3661071839</v>
      </c>
      <c r="H305" s="347"/>
      <c r="I305" s="347">
        <f t="shared" si="162"/>
        <v>91.44537766</v>
      </c>
      <c r="J305" s="369">
        <v>3.67</v>
      </c>
      <c r="K305" s="369">
        <v>4.08</v>
      </c>
      <c r="L305" s="360">
        <v>43646.0</v>
      </c>
      <c r="M305" s="351">
        <f t="shared" si="7"/>
        <v>-0.3242211657</v>
      </c>
      <c r="N305" s="349">
        <f t="shared" si="8"/>
        <v>4.212930678</v>
      </c>
      <c r="O305" s="361">
        <v>0.07</v>
      </c>
      <c r="P305" s="361"/>
      <c r="Q305" s="362"/>
      <c r="R305" s="360"/>
      <c r="S305" s="360">
        <v>43412.0</v>
      </c>
      <c r="T305" s="365" t="s">
        <v>1223</v>
      </c>
      <c r="U305" s="363" t="s">
        <v>3263</v>
      </c>
      <c r="V305" s="358"/>
      <c r="W305" s="358"/>
      <c r="X305" s="358"/>
      <c r="Y305" s="358"/>
      <c r="Z305" s="358"/>
      <c r="AA305" s="358"/>
      <c r="AB305" s="358"/>
      <c r="AC305" s="358"/>
      <c r="AD305" s="358"/>
      <c r="AE305" s="358"/>
      <c r="AF305" s="358"/>
      <c r="AG305" s="358"/>
      <c r="AH305" s="358"/>
      <c r="AI305" s="358"/>
      <c r="AJ305" s="358"/>
      <c r="AK305" s="358"/>
      <c r="AL305" s="358"/>
      <c r="AM305" s="358"/>
      <c r="AN305" s="358"/>
      <c r="AO305" s="358"/>
      <c r="AP305" s="358"/>
      <c r="AQ305" s="358"/>
      <c r="AR305" s="358"/>
      <c r="AS305" s="358"/>
      <c r="AT305" s="358"/>
      <c r="AU305" s="358"/>
      <c r="AV305" s="358"/>
      <c r="AW305" s="358"/>
      <c r="AX305" s="358"/>
      <c r="AY305" s="358"/>
      <c r="AZ305" s="358"/>
      <c r="BA305" s="358"/>
      <c r="BB305" s="358"/>
      <c r="BC305" s="358"/>
      <c r="BD305" s="358"/>
      <c r="BE305" s="358"/>
      <c r="BF305" s="358"/>
      <c r="BG305" s="358"/>
      <c r="BH305" s="358"/>
      <c r="BI305" s="358"/>
      <c r="BJ305" s="358"/>
      <c r="BK305" s="358"/>
      <c r="BL305" s="358"/>
      <c r="BM305" s="358"/>
      <c r="BN305" s="358"/>
      <c r="BO305" s="358"/>
      <c r="BP305" s="358"/>
      <c r="BQ305" s="358"/>
      <c r="BR305" s="358"/>
      <c r="BS305" s="358"/>
      <c r="BT305" s="358"/>
      <c r="BU305" s="358"/>
      <c r="BV305" s="358"/>
      <c r="BW305" s="358"/>
      <c r="BX305" s="358"/>
      <c r="BY305" s="358"/>
      <c r="BZ305" s="358"/>
      <c r="CA305" s="358"/>
      <c r="CB305" s="358"/>
      <c r="CC305" s="358"/>
      <c r="CD305" s="358"/>
      <c r="CE305" s="358"/>
      <c r="CF305" s="358"/>
      <c r="CG305" s="358"/>
      <c r="CH305" s="358"/>
      <c r="CI305" s="358"/>
      <c r="CJ305" s="358"/>
      <c r="CK305" s="358"/>
      <c r="CL305" s="358"/>
      <c r="CM305" s="358"/>
      <c r="CN305" s="358"/>
      <c r="CO305" s="358"/>
      <c r="CP305" s="358"/>
      <c r="CQ305" s="358"/>
      <c r="CR305" s="358"/>
      <c r="CS305" s="358"/>
      <c r="CT305" s="358"/>
      <c r="CU305" s="358"/>
      <c r="CV305" s="358"/>
      <c r="CW305" s="358"/>
      <c r="CX305" s="358"/>
      <c r="CY305" s="358"/>
      <c r="CZ305" s="358"/>
      <c r="DA305" s="358"/>
      <c r="DB305" s="358"/>
      <c r="DC305" s="358"/>
      <c r="DD305" s="358"/>
      <c r="DE305" s="358"/>
      <c r="DF305" s="358"/>
      <c r="DG305" s="358"/>
      <c r="DH305" s="358"/>
      <c r="DI305" s="358"/>
      <c r="DJ305" s="358"/>
      <c r="DK305" s="358"/>
      <c r="DL305" s="358"/>
      <c r="DM305" s="358"/>
      <c r="DN305" s="358"/>
      <c r="DO305" s="358"/>
      <c r="DP305" s="358"/>
      <c r="DQ305" s="358"/>
      <c r="DR305" s="358"/>
      <c r="DS305" s="358"/>
      <c r="DT305" s="358"/>
      <c r="DU305" s="358"/>
      <c r="DV305" s="358"/>
      <c r="DW305" s="358"/>
    </row>
    <row r="306" ht="15.0" customHeight="1">
      <c r="A306" s="343">
        <v>42418.0</v>
      </c>
      <c r="B306" s="344" t="s">
        <v>3264</v>
      </c>
      <c r="C306" s="344" t="s">
        <v>1338</v>
      </c>
      <c r="D306" s="358">
        <v>115.0</v>
      </c>
      <c r="E306" s="345">
        <f>IFERROR(__xludf.DUMMYFUNCTION("if(and(D306&lt;&gt;0,D306&lt;&gt;""""),D306/GOOGLEFINANCE(C306,""price"")-1,"""")"),-0.3740474635314609)</f>
        <v>-0.3740474635</v>
      </c>
      <c r="F306" s="364">
        <f>IFERROR(__xludf.DUMMYFUNCTION("GOOGLEFINANCE(C306,""price"")"),183.72)</f>
        <v>183.72</v>
      </c>
      <c r="G306" s="345">
        <f t="shared" si="6"/>
        <v>-0.05280375527</v>
      </c>
      <c r="H306" s="347"/>
      <c r="I306" s="347">
        <f t="shared" si="162"/>
        <v>174.0188941</v>
      </c>
      <c r="J306" s="369">
        <v>10.45</v>
      </c>
      <c r="K306" s="369">
        <v>11.21</v>
      </c>
      <c r="L306" s="360">
        <v>43465.0</v>
      </c>
      <c r="M306" s="351">
        <f t="shared" si="7"/>
        <v>-0.8201115757</v>
      </c>
      <c r="N306" s="349">
        <f t="shared" si="8"/>
        <v>11.8332848</v>
      </c>
      <c r="O306" s="361">
        <v>0.0</v>
      </c>
      <c r="P306" s="361"/>
      <c r="Q306" s="362"/>
      <c r="R306" s="360"/>
      <c r="S306" s="360">
        <v>43421.0</v>
      </c>
      <c r="T306" s="355" t="s">
        <v>1223</v>
      </c>
      <c r="U306" s="363" t="s">
        <v>3265</v>
      </c>
      <c r="V306" s="358"/>
      <c r="W306" s="358"/>
      <c r="X306" s="358"/>
      <c r="Y306" s="358"/>
      <c r="Z306" s="358"/>
      <c r="AA306" s="358"/>
      <c r="AB306" s="358"/>
      <c r="AC306" s="358"/>
      <c r="AD306" s="358"/>
      <c r="AE306" s="358"/>
      <c r="AF306" s="358"/>
      <c r="AG306" s="358"/>
      <c r="AH306" s="358"/>
      <c r="AI306" s="358"/>
      <c r="AJ306" s="358"/>
      <c r="AK306" s="358"/>
      <c r="AL306" s="358"/>
      <c r="AM306" s="358"/>
      <c r="AN306" s="358"/>
      <c r="AO306" s="358"/>
      <c r="AP306" s="358"/>
      <c r="AQ306" s="358"/>
      <c r="AR306" s="358"/>
      <c r="AS306" s="358"/>
      <c r="AT306" s="358"/>
      <c r="AU306" s="358"/>
      <c r="AV306" s="358"/>
      <c r="AW306" s="358"/>
      <c r="AX306" s="358"/>
      <c r="AY306" s="358"/>
      <c r="AZ306" s="358"/>
      <c r="BA306" s="358"/>
      <c r="BB306" s="358"/>
      <c r="BC306" s="358"/>
      <c r="BD306" s="358"/>
      <c r="BE306" s="358"/>
      <c r="BF306" s="358"/>
      <c r="BG306" s="358"/>
      <c r="BH306" s="358"/>
      <c r="BI306" s="358"/>
      <c r="BJ306" s="358"/>
      <c r="BK306" s="358"/>
      <c r="BL306" s="358"/>
      <c r="BM306" s="358"/>
      <c r="BN306" s="358"/>
      <c r="BO306" s="358"/>
      <c r="BP306" s="358"/>
      <c r="BQ306" s="358"/>
      <c r="BR306" s="358"/>
      <c r="BS306" s="358"/>
      <c r="BT306" s="358"/>
      <c r="BU306" s="358"/>
      <c r="BV306" s="358"/>
      <c r="BW306" s="358"/>
      <c r="BX306" s="358"/>
      <c r="BY306" s="358"/>
      <c r="BZ306" s="358"/>
      <c r="CA306" s="358"/>
      <c r="CB306" s="358"/>
      <c r="CC306" s="358"/>
      <c r="CD306" s="358"/>
      <c r="CE306" s="358"/>
      <c r="CF306" s="358"/>
      <c r="CG306" s="358"/>
      <c r="CH306" s="358"/>
      <c r="CI306" s="358"/>
      <c r="CJ306" s="358"/>
      <c r="CK306" s="358"/>
      <c r="CL306" s="358"/>
      <c r="CM306" s="358"/>
      <c r="CN306" s="358"/>
      <c r="CO306" s="358"/>
      <c r="CP306" s="358"/>
      <c r="CQ306" s="358"/>
      <c r="CR306" s="358"/>
      <c r="CS306" s="358"/>
      <c r="CT306" s="358"/>
      <c r="CU306" s="358"/>
      <c r="CV306" s="358"/>
      <c r="CW306" s="358"/>
      <c r="CX306" s="358"/>
      <c r="CY306" s="358"/>
      <c r="CZ306" s="358"/>
      <c r="DA306" s="358"/>
      <c r="DB306" s="358"/>
      <c r="DC306" s="358"/>
      <c r="DD306" s="358"/>
      <c r="DE306" s="358"/>
      <c r="DF306" s="358"/>
      <c r="DG306" s="358"/>
      <c r="DH306" s="358"/>
      <c r="DI306" s="358"/>
      <c r="DJ306" s="358"/>
      <c r="DK306" s="358"/>
      <c r="DL306" s="358"/>
      <c r="DM306" s="358"/>
      <c r="DN306" s="358"/>
      <c r="DO306" s="358"/>
      <c r="DP306" s="358"/>
      <c r="DQ306" s="358"/>
      <c r="DR306" s="358"/>
      <c r="DS306" s="358"/>
      <c r="DT306" s="358"/>
      <c r="DU306" s="358"/>
      <c r="DV306" s="358"/>
      <c r="DW306" s="358"/>
    </row>
    <row r="307" ht="15.0" customHeight="1">
      <c r="A307" s="394">
        <v>41512.0</v>
      </c>
      <c r="B307" s="302" t="s">
        <v>3266</v>
      </c>
      <c r="C307" s="302" t="s">
        <v>3267</v>
      </c>
      <c r="D307" s="422"/>
      <c r="E307" s="396" t="str">
        <f>IFERROR(__xludf.DUMMYFUNCTION("if(and(D307&lt;&gt;0,D307&lt;&gt;""""),D307/GOOGLEFINANCE(C307,""price"")-1,"""")"),"")</f>
        <v/>
      </c>
      <c r="F307" s="397">
        <f>IFERROR(__xludf.DUMMYFUNCTION("GOOGLEFINANCE(C307,""price"")"),160.05)</f>
        <v>160.05</v>
      </c>
      <c r="G307" s="396">
        <f t="shared" si="6"/>
        <v>-0.6251171509</v>
      </c>
      <c r="H307" s="398"/>
      <c r="I307" s="398">
        <v>60.0</v>
      </c>
      <c r="J307" s="403"/>
      <c r="K307" s="403"/>
      <c r="L307" s="410"/>
      <c r="M307" s="402">
        <f t="shared" si="7"/>
        <v>-119.9023034</v>
      </c>
      <c r="N307" s="403">
        <f t="shared" si="8"/>
        <v>0</v>
      </c>
      <c r="O307" s="410"/>
      <c r="P307" s="411"/>
      <c r="Q307" s="402"/>
      <c r="R307" s="412"/>
      <c r="S307" s="412"/>
      <c r="T307" s="412"/>
      <c r="U307" s="413"/>
      <c r="V307" s="414"/>
      <c r="W307" s="414"/>
      <c r="X307" s="414"/>
      <c r="Y307" s="414"/>
      <c r="Z307" s="414"/>
      <c r="AA307" s="414"/>
      <c r="AB307" s="414"/>
      <c r="AC307" s="414"/>
      <c r="AD307" s="414"/>
      <c r="AE307" s="414"/>
      <c r="AF307" s="414"/>
      <c r="AG307" s="414"/>
      <c r="AH307" s="414"/>
      <c r="AI307" s="414"/>
      <c r="AJ307" s="414"/>
      <c r="AK307" s="414"/>
      <c r="AL307" s="414"/>
      <c r="AM307" s="414"/>
      <c r="AN307" s="414"/>
      <c r="AO307" s="414"/>
      <c r="AP307" s="414"/>
      <c r="AQ307" s="414"/>
      <c r="AR307" s="414"/>
      <c r="AS307" s="414"/>
      <c r="AT307" s="414"/>
      <c r="AU307" s="414"/>
      <c r="AV307" s="414"/>
      <c r="AW307" s="414"/>
      <c r="AX307" s="414"/>
      <c r="AY307" s="414"/>
      <c r="AZ307" s="414"/>
      <c r="BA307" s="414"/>
      <c r="BB307" s="414"/>
      <c r="BC307" s="414"/>
      <c r="BD307" s="414"/>
      <c r="BE307" s="414"/>
      <c r="BF307" s="414"/>
      <c r="BG307" s="414"/>
      <c r="BH307" s="414"/>
      <c r="BI307" s="414"/>
      <c r="BJ307" s="414"/>
      <c r="BK307" s="414"/>
      <c r="BL307" s="414"/>
      <c r="BM307" s="414"/>
      <c r="BN307" s="414"/>
      <c r="BO307" s="414"/>
      <c r="BP307" s="414"/>
      <c r="BQ307" s="414"/>
      <c r="BR307" s="414"/>
      <c r="BS307" s="414"/>
      <c r="BT307" s="414"/>
      <c r="BU307" s="414"/>
      <c r="BV307" s="414"/>
      <c r="BW307" s="414"/>
      <c r="BX307" s="414"/>
      <c r="BY307" s="414"/>
      <c r="BZ307" s="414"/>
      <c r="CA307" s="414"/>
      <c r="CB307" s="414"/>
      <c r="CC307" s="414"/>
      <c r="CD307" s="414"/>
      <c r="CE307" s="414"/>
      <c r="CF307" s="414"/>
      <c r="CG307" s="414"/>
      <c r="CH307" s="414"/>
      <c r="CI307" s="414"/>
      <c r="CJ307" s="414"/>
      <c r="CK307" s="414"/>
      <c r="CL307" s="414"/>
      <c r="CM307" s="414"/>
      <c r="CN307" s="414"/>
      <c r="CO307" s="414"/>
      <c r="CP307" s="414"/>
      <c r="CQ307" s="414"/>
      <c r="CR307" s="414"/>
      <c r="CS307" s="414"/>
      <c r="CT307" s="414"/>
      <c r="CU307" s="414"/>
      <c r="CV307" s="414"/>
      <c r="CW307" s="414"/>
      <c r="CX307" s="414"/>
      <c r="CY307" s="414"/>
      <c r="CZ307" s="414"/>
      <c r="DA307" s="414"/>
      <c r="DB307" s="414"/>
      <c r="DC307" s="414"/>
      <c r="DD307" s="414"/>
      <c r="DE307" s="414"/>
      <c r="DF307" s="414"/>
      <c r="DG307" s="414"/>
      <c r="DH307" s="414"/>
      <c r="DI307" s="414"/>
      <c r="DJ307" s="414"/>
      <c r="DK307" s="414"/>
      <c r="DL307" s="414"/>
      <c r="DM307" s="414"/>
      <c r="DN307" s="414"/>
      <c r="DO307" s="414"/>
      <c r="DP307" s="414"/>
      <c r="DQ307" s="414"/>
      <c r="DR307" s="414"/>
      <c r="DS307" s="414"/>
      <c r="DT307" s="414"/>
      <c r="DU307" s="414"/>
      <c r="DV307" s="414"/>
      <c r="DW307" s="414"/>
    </row>
    <row r="308" ht="15.0" customHeight="1">
      <c r="A308" s="388">
        <v>43357.0</v>
      </c>
      <c r="B308" s="373" t="s">
        <v>3268</v>
      </c>
      <c r="C308" s="373" t="s">
        <v>1363</v>
      </c>
      <c r="D308" s="373">
        <v>265.0</v>
      </c>
      <c r="E308" s="374">
        <f>IFERROR(__xludf.DUMMYFUNCTION("if(and(D308&lt;&gt;0,D308&lt;&gt;""""),D308/GOOGLEFINANCE(C308,""price"")-1,"""")"),-0.20770173707656892)</f>
        <v>-0.2077017371</v>
      </c>
      <c r="F308" s="375">
        <f>IFERROR(__xludf.DUMMYFUNCTION("GOOGLEFINANCE(C308,""price"")"),334.47)</f>
        <v>334.47</v>
      </c>
      <c r="G308" s="374">
        <f t="shared" si="6"/>
        <v>-0.07782678443</v>
      </c>
      <c r="H308" s="376">
        <f t="shared" ref="H308:H309" si="163">3*25</f>
        <v>75</v>
      </c>
      <c r="I308" s="376">
        <f t="shared" ref="I308:I309" si="164">N308*($I$1+O308*100)</f>
        <v>308.4392754</v>
      </c>
      <c r="J308" s="377">
        <v>11.72</v>
      </c>
      <c r="K308" s="377">
        <v>12.14</v>
      </c>
      <c r="L308" s="378">
        <v>43465.0</v>
      </c>
      <c r="M308" s="379">
        <f t="shared" si="7"/>
        <v>-0.8201115759</v>
      </c>
      <c r="N308" s="380">
        <f t="shared" si="8"/>
        <v>12.48444686</v>
      </c>
      <c r="O308" s="370">
        <v>0.1</v>
      </c>
      <c r="P308" s="370"/>
      <c r="Q308" s="371"/>
      <c r="R308" s="378"/>
      <c r="S308" s="378">
        <v>43413.0</v>
      </c>
      <c r="T308" s="387" t="s">
        <v>1223</v>
      </c>
      <c r="U308" s="382" t="s">
        <v>3269</v>
      </c>
      <c r="V308" s="358"/>
      <c r="W308" s="358"/>
      <c r="X308" s="358"/>
      <c r="Y308" s="358"/>
      <c r="Z308" s="358"/>
      <c r="AA308" s="358"/>
      <c r="AB308" s="358"/>
      <c r="AC308" s="358"/>
      <c r="AD308" s="358"/>
      <c r="AE308" s="358"/>
      <c r="AF308" s="358"/>
      <c r="AG308" s="358"/>
      <c r="AH308" s="358"/>
      <c r="AI308" s="358"/>
      <c r="AJ308" s="358"/>
      <c r="AK308" s="358"/>
      <c r="AL308" s="358"/>
      <c r="AM308" s="358"/>
      <c r="AN308" s="358"/>
      <c r="AO308" s="358"/>
      <c r="AP308" s="358"/>
      <c r="AQ308" s="358"/>
      <c r="AR308" s="358"/>
      <c r="AS308" s="358"/>
      <c r="AT308" s="358"/>
      <c r="AU308" s="358"/>
      <c r="AV308" s="358"/>
      <c r="AW308" s="358"/>
      <c r="AX308" s="358"/>
      <c r="AY308" s="358"/>
      <c r="AZ308" s="358"/>
      <c r="BA308" s="358"/>
      <c r="BB308" s="358"/>
      <c r="BC308" s="358"/>
      <c r="BD308" s="358"/>
      <c r="BE308" s="358"/>
      <c r="BF308" s="358"/>
      <c r="BG308" s="358"/>
      <c r="BH308" s="358"/>
      <c r="BI308" s="358"/>
      <c r="BJ308" s="358"/>
      <c r="BK308" s="358"/>
      <c r="BL308" s="358"/>
      <c r="BM308" s="358"/>
      <c r="BN308" s="358"/>
      <c r="BO308" s="358"/>
      <c r="BP308" s="358"/>
      <c r="BQ308" s="358"/>
      <c r="BR308" s="358"/>
      <c r="BS308" s="358"/>
      <c r="BT308" s="358"/>
      <c r="BU308" s="358"/>
      <c r="BV308" s="358"/>
      <c r="BW308" s="358"/>
      <c r="BX308" s="358"/>
      <c r="BY308" s="358"/>
      <c r="BZ308" s="358"/>
      <c r="CA308" s="358"/>
      <c r="CB308" s="358"/>
      <c r="CC308" s="358"/>
      <c r="CD308" s="358"/>
      <c r="CE308" s="358"/>
      <c r="CF308" s="358"/>
      <c r="CG308" s="358"/>
      <c r="CH308" s="358"/>
      <c r="CI308" s="358"/>
      <c r="CJ308" s="358"/>
      <c r="CK308" s="358"/>
      <c r="CL308" s="358"/>
      <c r="CM308" s="358"/>
      <c r="CN308" s="358"/>
      <c r="CO308" s="358"/>
      <c r="CP308" s="358"/>
      <c r="CQ308" s="358"/>
      <c r="CR308" s="358"/>
      <c r="CS308" s="358"/>
      <c r="CT308" s="358"/>
      <c r="CU308" s="358"/>
      <c r="CV308" s="358"/>
      <c r="CW308" s="358"/>
      <c r="CX308" s="358"/>
      <c r="CY308" s="358"/>
      <c r="CZ308" s="358"/>
      <c r="DA308" s="358"/>
      <c r="DB308" s="358"/>
      <c r="DC308" s="358"/>
      <c r="DD308" s="358"/>
      <c r="DE308" s="358"/>
      <c r="DF308" s="358"/>
      <c r="DG308" s="358"/>
      <c r="DH308" s="358"/>
      <c r="DI308" s="358"/>
      <c r="DJ308" s="358"/>
      <c r="DK308" s="358"/>
      <c r="DL308" s="358"/>
      <c r="DM308" s="358"/>
      <c r="DN308" s="358"/>
      <c r="DO308" s="358"/>
      <c r="DP308" s="358"/>
      <c r="DQ308" s="358"/>
      <c r="DR308" s="358"/>
      <c r="DS308" s="358"/>
      <c r="DT308" s="358"/>
      <c r="DU308" s="358"/>
      <c r="DV308" s="358"/>
      <c r="DW308" s="358"/>
    </row>
    <row r="309" ht="15.0" customHeight="1">
      <c r="A309" s="383">
        <v>40496.0</v>
      </c>
      <c r="B309" s="320" t="s">
        <v>3270</v>
      </c>
      <c r="C309" s="320" t="s">
        <v>1286</v>
      </c>
      <c r="D309" s="373">
        <v>75.0</v>
      </c>
      <c r="E309" s="374">
        <f>IFERROR(__xludf.DUMMYFUNCTION("if(and(D309&lt;&gt;0,D309&lt;&gt;""""),D309/GOOGLEFINANCE(C309,""price"")-1,"""")"),-0.32243201734574034)</f>
        <v>-0.3224320173</v>
      </c>
      <c r="F309" s="375">
        <f>IFERROR(__xludf.DUMMYFUNCTION("GOOGLEFINANCE(C309,""price"")"),110.69)</f>
        <v>110.69</v>
      </c>
      <c r="G309" s="374">
        <f t="shared" si="6"/>
        <v>0.01626631963</v>
      </c>
      <c r="H309" s="376">
        <f t="shared" si="163"/>
        <v>75</v>
      </c>
      <c r="I309" s="376">
        <f t="shared" si="164"/>
        <v>112.4905189</v>
      </c>
      <c r="J309" s="377">
        <v>4.19</v>
      </c>
      <c r="K309" s="377">
        <v>4.51</v>
      </c>
      <c r="L309" s="409">
        <v>43496.0</v>
      </c>
      <c r="M309" s="379">
        <f t="shared" si="7"/>
        <v>-0.7351800685</v>
      </c>
      <c r="N309" s="380">
        <f t="shared" si="8"/>
        <v>4.745257622</v>
      </c>
      <c r="O309" s="370">
        <v>0.09</v>
      </c>
      <c r="P309" s="370"/>
      <c r="Q309" s="371"/>
      <c r="R309" s="378"/>
      <c r="S309" s="378">
        <v>43477.0</v>
      </c>
      <c r="T309" s="387" t="s">
        <v>1223</v>
      </c>
      <c r="U309" s="382" t="s">
        <v>3271</v>
      </c>
      <c r="V309" s="358"/>
      <c r="W309" s="358"/>
      <c r="X309" s="358"/>
      <c r="Y309" s="358"/>
      <c r="Z309" s="358"/>
      <c r="AA309" s="358"/>
      <c r="AB309" s="358"/>
      <c r="AC309" s="358"/>
      <c r="AD309" s="358"/>
      <c r="AE309" s="358"/>
      <c r="AF309" s="358"/>
      <c r="AG309" s="358"/>
      <c r="AH309" s="358"/>
      <c r="AI309" s="358"/>
      <c r="AJ309" s="358"/>
      <c r="AK309" s="358"/>
      <c r="AL309" s="358"/>
      <c r="AM309" s="358"/>
      <c r="AN309" s="358"/>
      <c r="AO309" s="358"/>
      <c r="AP309" s="358"/>
      <c r="AQ309" s="358"/>
      <c r="AR309" s="358"/>
      <c r="AS309" s="358"/>
      <c r="AT309" s="358"/>
      <c r="AU309" s="358"/>
      <c r="AV309" s="358"/>
      <c r="AW309" s="358"/>
      <c r="AX309" s="358"/>
      <c r="AY309" s="358"/>
      <c r="AZ309" s="358"/>
      <c r="BA309" s="358"/>
      <c r="BB309" s="358"/>
      <c r="BC309" s="358"/>
      <c r="BD309" s="358"/>
      <c r="BE309" s="358"/>
      <c r="BF309" s="358"/>
      <c r="BG309" s="358"/>
      <c r="BH309" s="358"/>
      <c r="BI309" s="358"/>
      <c r="BJ309" s="358"/>
      <c r="BK309" s="358"/>
      <c r="BL309" s="358"/>
      <c r="BM309" s="358"/>
      <c r="BN309" s="358"/>
      <c r="BO309" s="358"/>
      <c r="BP309" s="358"/>
      <c r="BQ309" s="358"/>
      <c r="BR309" s="358"/>
      <c r="BS309" s="358"/>
      <c r="BT309" s="358"/>
      <c r="BU309" s="358"/>
      <c r="BV309" s="358"/>
      <c r="BW309" s="358"/>
      <c r="BX309" s="358"/>
      <c r="BY309" s="358"/>
      <c r="BZ309" s="358"/>
      <c r="CA309" s="358"/>
      <c r="CB309" s="358"/>
      <c r="CC309" s="358"/>
      <c r="CD309" s="358"/>
      <c r="CE309" s="358"/>
      <c r="CF309" s="358"/>
      <c r="CG309" s="358"/>
      <c r="CH309" s="358"/>
      <c r="CI309" s="358"/>
      <c r="CJ309" s="358"/>
      <c r="CK309" s="358"/>
      <c r="CL309" s="358"/>
      <c r="CM309" s="358"/>
      <c r="CN309" s="358"/>
      <c r="CO309" s="358"/>
      <c r="CP309" s="358"/>
      <c r="CQ309" s="358"/>
      <c r="CR309" s="358"/>
      <c r="CS309" s="358"/>
      <c r="CT309" s="358"/>
      <c r="CU309" s="358"/>
      <c r="CV309" s="358"/>
      <c r="CW309" s="358"/>
      <c r="CX309" s="358"/>
      <c r="CY309" s="358"/>
      <c r="CZ309" s="358"/>
      <c r="DA309" s="358"/>
      <c r="DB309" s="358"/>
      <c r="DC309" s="358"/>
      <c r="DD309" s="358"/>
      <c r="DE309" s="358"/>
      <c r="DF309" s="358"/>
      <c r="DG309" s="358"/>
      <c r="DH309" s="358"/>
      <c r="DI309" s="358"/>
      <c r="DJ309" s="358"/>
      <c r="DK309" s="358"/>
      <c r="DL309" s="358"/>
      <c r="DM309" s="358"/>
      <c r="DN309" s="358"/>
      <c r="DO309" s="358"/>
      <c r="DP309" s="358"/>
      <c r="DQ309" s="358"/>
      <c r="DR309" s="358"/>
      <c r="DS309" s="358"/>
      <c r="DT309" s="358"/>
      <c r="DU309" s="358"/>
      <c r="DV309" s="358"/>
      <c r="DW309" s="358"/>
    </row>
    <row r="310" ht="15.0" customHeight="1">
      <c r="A310" s="372">
        <v>42727.0</v>
      </c>
      <c r="B310" s="384" t="s">
        <v>3273</v>
      </c>
      <c r="C310" s="384" t="s">
        <v>3274</v>
      </c>
      <c r="D310" s="532"/>
      <c r="E310" s="374" t="str">
        <f>IFERROR(__xludf.DUMMYFUNCTION("if(and(D310&lt;&gt;0,D310&lt;&gt;""""),D310/GOOGLEFINANCE(C310,""price"")-1,"""")"),"")</f>
        <v/>
      </c>
      <c r="F310" s="375">
        <f>IFERROR(__xludf.DUMMYFUNCTION("GOOGLEFINANCE(C310,""price"")"),71.05)</f>
        <v>71.05</v>
      </c>
      <c r="G310" s="374">
        <f t="shared" si="6"/>
        <v>-0.1140621766</v>
      </c>
      <c r="H310" s="376"/>
      <c r="I310" s="376">
        <f>3.04*($I$1+6)</f>
        <v>62.94588235</v>
      </c>
      <c r="J310" s="380"/>
      <c r="K310" s="380"/>
      <c r="L310" s="389"/>
      <c r="M310" s="379">
        <f t="shared" si="7"/>
        <v>-119.9023034</v>
      </c>
      <c r="N310" s="380">
        <f t="shared" si="8"/>
        <v>0</v>
      </c>
      <c r="O310" s="389"/>
      <c r="P310" s="390"/>
      <c r="Q310" s="391"/>
      <c r="R310" s="387"/>
      <c r="S310" s="387"/>
      <c r="T310" s="387"/>
      <c r="U310" s="386" t="s">
        <v>3275</v>
      </c>
      <c r="V310" s="344"/>
      <c r="W310" s="344"/>
      <c r="X310" s="344"/>
      <c r="Y310" s="344"/>
      <c r="Z310" s="344"/>
      <c r="AA310" s="344"/>
      <c r="AB310" s="344"/>
      <c r="AC310" s="344"/>
      <c r="AD310" s="344"/>
      <c r="AE310" s="344"/>
      <c r="AF310" s="344"/>
      <c r="AG310" s="344"/>
      <c r="AH310" s="344"/>
      <c r="AI310" s="344"/>
      <c r="AJ310" s="344"/>
      <c r="AK310" s="344"/>
      <c r="AL310" s="344"/>
      <c r="AM310" s="344"/>
      <c r="AN310" s="344"/>
      <c r="AO310" s="344"/>
      <c r="AP310" s="344"/>
      <c r="AQ310" s="344"/>
      <c r="AR310" s="344"/>
      <c r="AS310" s="344"/>
      <c r="AT310" s="344"/>
      <c r="AU310" s="344"/>
      <c r="AV310" s="344"/>
      <c r="AW310" s="344"/>
      <c r="AX310" s="344"/>
      <c r="AY310" s="344"/>
      <c r="AZ310" s="344"/>
      <c r="BA310" s="344"/>
      <c r="BB310" s="344"/>
      <c r="BC310" s="344"/>
      <c r="BD310" s="344"/>
      <c r="BE310" s="344"/>
      <c r="BF310" s="344"/>
      <c r="BG310" s="344"/>
      <c r="BH310" s="344"/>
      <c r="BI310" s="344"/>
      <c r="BJ310" s="344"/>
      <c r="BK310" s="344"/>
      <c r="BL310" s="344"/>
      <c r="BM310" s="344"/>
      <c r="BN310" s="344"/>
      <c r="BO310" s="344"/>
      <c r="BP310" s="344"/>
      <c r="BQ310" s="344"/>
      <c r="BR310" s="344"/>
      <c r="BS310" s="344"/>
      <c r="BT310" s="344"/>
      <c r="BU310" s="344"/>
      <c r="BV310" s="344"/>
      <c r="BW310" s="344"/>
      <c r="BX310" s="344"/>
      <c r="BY310" s="344"/>
      <c r="BZ310" s="344"/>
      <c r="CA310" s="344"/>
      <c r="CB310" s="344"/>
      <c r="CC310" s="344"/>
      <c r="CD310" s="344"/>
      <c r="CE310" s="344"/>
      <c r="CF310" s="344"/>
      <c r="CG310" s="344"/>
      <c r="CH310" s="344"/>
      <c r="CI310" s="344"/>
      <c r="CJ310" s="344"/>
      <c r="CK310" s="344"/>
      <c r="CL310" s="344"/>
      <c r="CM310" s="344"/>
      <c r="CN310" s="344"/>
      <c r="CO310" s="344"/>
      <c r="CP310" s="344"/>
      <c r="CQ310" s="344"/>
      <c r="CR310" s="344"/>
      <c r="CS310" s="344"/>
      <c r="CT310" s="344"/>
      <c r="CU310" s="344"/>
      <c r="CV310" s="344"/>
      <c r="CW310" s="344"/>
      <c r="CX310" s="344"/>
      <c r="CY310" s="344"/>
      <c r="CZ310" s="344"/>
      <c r="DA310" s="344"/>
      <c r="DB310" s="344"/>
      <c r="DC310" s="344"/>
      <c r="DD310" s="344"/>
      <c r="DE310" s="344"/>
      <c r="DF310" s="344"/>
      <c r="DG310" s="344"/>
      <c r="DH310" s="344"/>
      <c r="DI310" s="344"/>
      <c r="DJ310" s="344"/>
      <c r="DK310" s="344"/>
      <c r="DL310" s="344"/>
      <c r="DM310" s="344"/>
      <c r="DN310" s="344"/>
      <c r="DO310" s="344"/>
      <c r="DP310" s="344"/>
      <c r="DQ310" s="344"/>
      <c r="DR310" s="344"/>
      <c r="DS310" s="344"/>
      <c r="DT310" s="344"/>
      <c r="DU310" s="344"/>
      <c r="DV310" s="344"/>
      <c r="DW310" s="344"/>
    </row>
    <row r="311" ht="15.0" customHeight="1">
      <c r="A311" s="383">
        <v>40455.0</v>
      </c>
      <c r="B311" s="320" t="s">
        <v>3276</v>
      </c>
      <c r="C311" s="320" t="s">
        <v>3277</v>
      </c>
      <c r="D311" s="532"/>
      <c r="E311" s="374" t="str">
        <f>IFERROR(__xludf.DUMMYFUNCTION("if(and(D311&lt;&gt;0,D311&lt;&gt;""""),D311/GOOGLEFINANCE(C311,""price"")-1,"""")"),"")</f>
        <v/>
      </c>
      <c r="F311" s="375">
        <f>IFERROR(__xludf.DUMMYFUNCTION("GOOGLEFINANCE(C311,""price"")"),375.56)</f>
        <v>375.56</v>
      </c>
      <c r="G311" s="374">
        <f t="shared" si="6"/>
        <v>-0.39294575</v>
      </c>
      <c r="H311" s="376">
        <v>66.0</v>
      </c>
      <c r="I311" s="376">
        <f>(8.38)*($I$1+12.5)</f>
        <v>227.9852941</v>
      </c>
      <c r="J311" s="380"/>
      <c r="K311" s="380"/>
      <c r="L311" s="389"/>
      <c r="M311" s="379">
        <f t="shared" si="7"/>
        <v>-119.9023034</v>
      </c>
      <c r="N311" s="380">
        <f t="shared" si="8"/>
        <v>0</v>
      </c>
      <c r="O311" s="389"/>
      <c r="P311" s="415"/>
      <c r="Q311" s="379"/>
      <c r="R311" s="416"/>
      <c r="S311" s="416"/>
      <c r="T311" s="416"/>
      <c r="U311" s="417" t="s">
        <v>3278</v>
      </c>
      <c r="V311" s="367"/>
      <c r="W311" s="367"/>
      <c r="X311" s="367"/>
      <c r="Y311" s="367"/>
      <c r="Z311" s="367"/>
      <c r="AA311" s="367"/>
      <c r="AB311" s="367"/>
      <c r="AC311" s="367"/>
      <c r="AD311" s="367"/>
      <c r="AE311" s="367"/>
      <c r="AF311" s="367"/>
      <c r="AG311" s="367"/>
      <c r="AH311" s="367"/>
      <c r="AI311" s="367"/>
      <c r="AJ311" s="367"/>
      <c r="AK311" s="367"/>
      <c r="AL311" s="367"/>
      <c r="AM311" s="367"/>
      <c r="AN311" s="367"/>
      <c r="AO311" s="367"/>
      <c r="AP311" s="367"/>
      <c r="AQ311" s="367"/>
      <c r="AR311" s="367"/>
      <c r="AS311" s="367"/>
      <c r="AT311" s="367"/>
      <c r="AU311" s="367"/>
      <c r="AV311" s="367"/>
      <c r="AW311" s="367"/>
      <c r="AX311" s="367"/>
      <c r="AY311" s="367"/>
      <c r="AZ311" s="367"/>
      <c r="BA311" s="367"/>
      <c r="BB311" s="367"/>
      <c r="BC311" s="367"/>
      <c r="BD311" s="367"/>
      <c r="BE311" s="367"/>
      <c r="BF311" s="367"/>
      <c r="BG311" s="367"/>
      <c r="BH311" s="367"/>
      <c r="BI311" s="367"/>
      <c r="BJ311" s="367"/>
      <c r="BK311" s="367"/>
      <c r="BL311" s="367"/>
      <c r="BM311" s="367"/>
      <c r="BN311" s="367"/>
      <c r="BO311" s="367"/>
      <c r="BP311" s="367"/>
      <c r="BQ311" s="367"/>
      <c r="BR311" s="367"/>
      <c r="BS311" s="367"/>
      <c r="BT311" s="367"/>
      <c r="BU311" s="367"/>
      <c r="BV311" s="367"/>
      <c r="BW311" s="367"/>
      <c r="BX311" s="367"/>
      <c r="BY311" s="367"/>
      <c r="BZ311" s="367"/>
      <c r="CA311" s="367"/>
      <c r="CB311" s="367"/>
      <c r="CC311" s="367"/>
      <c r="CD311" s="367"/>
      <c r="CE311" s="367"/>
      <c r="CF311" s="367"/>
      <c r="CG311" s="367"/>
      <c r="CH311" s="367"/>
      <c r="CI311" s="367"/>
      <c r="CJ311" s="367"/>
      <c r="CK311" s="367"/>
      <c r="CL311" s="367"/>
      <c r="CM311" s="367"/>
      <c r="CN311" s="367"/>
      <c r="CO311" s="367"/>
      <c r="CP311" s="367"/>
      <c r="CQ311" s="367"/>
      <c r="CR311" s="367"/>
      <c r="CS311" s="367"/>
      <c r="CT311" s="367"/>
      <c r="CU311" s="367"/>
      <c r="CV311" s="367"/>
      <c r="CW311" s="367"/>
      <c r="CX311" s="367"/>
      <c r="CY311" s="367"/>
      <c r="CZ311" s="367"/>
      <c r="DA311" s="367"/>
      <c r="DB311" s="367"/>
      <c r="DC311" s="367"/>
      <c r="DD311" s="367"/>
      <c r="DE311" s="367"/>
      <c r="DF311" s="367"/>
      <c r="DG311" s="367"/>
      <c r="DH311" s="367"/>
      <c r="DI311" s="367"/>
      <c r="DJ311" s="367"/>
      <c r="DK311" s="367"/>
      <c r="DL311" s="367"/>
      <c r="DM311" s="367"/>
      <c r="DN311" s="367"/>
      <c r="DO311" s="367"/>
      <c r="DP311" s="367"/>
      <c r="DQ311" s="367"/>
      <c r="DR311" s="367"/>
      <c r="DS311" s="367"/>
      <c r="DT311" s="367"/>
      <c r="DU311" s="367"/>
      <c r="DV311" s="367"/>
      <c r="DW311" s="367"/>
    </row>
    <row r="312" ht="15.0" customHeight="1">
      <c r="A312" s="372">
        <v>42247.0</v>
      </c>
      <c r="B312" s="384" t="s">
        <v>3279</v>
      </c>
      <c r="C312" s="384" t="s">
        <v>3132</v>
      </c>
      <c r="D312" s="384">
        <v>125.0</v>
      </c>
      <c r="E312" s="374">
        <f>IFERROR(__xludf.DUMMYFUNCTION("if(and(D312&lt;&gt;0,D312&lt;&gt;""""),D312/GOOGLEFINANCE(C312,""price"")-1,"""")"),0.028214197581640343)</f>
        <v>0.02821419758</v>
      </c>
      <c r="F312" s="375">
        <f>IFERROR(__xludf.DUMMYFUNCTION("GOOGLEFINANCE(C312,""price"")"),121.57)</f>
        <v>121.57</v>
      </c>
      <c r="G312" s="374">
        <f t="shared" si="6"/>
        <v>0.9194138913</v>
      </c>
      <c r="H312" s="376"/>
      <c r="I312" s="376">
        <f>(N312*($I$1+O312*100))</f>
        <v>233.3431468</v>
      </c>
      <c r="J312" s="377">
        <v>9.12</v>
      </c>
      <c r="K312" s="377">
        <v>11.35</v>
      </c>
      <c r="L312" s="409">
        <v>43465.0</v>
      </c>
      <c r="M312" s="379">
        <f t="shared" si="7"/>
        <v>-0.8201115786</v>
      </c>
      <c r="N312" s="380">
        <f t="shared" si="8"/>
        <v>13.17884882</v>
      </c>
      <c r="O312" s="370">
        <v>0.03</v>
      </c>
      <c r="P312" s="361"/>
      <c r="Q312" s="362"/>
      <c r="R312" s="360"/>
      <c r="S312" s="360">
        <v>43377.0</v>
      </c>
      <c r="T312" s="365" t="s">
        <v>1223</v>
      </c>
      <c r="U312" s="386" t="s">
        <v>3281</v>
      </c>
      <c r="V312" s="344"/>
      <c r="W312" s="344"/>
      <c r="X312" s="344"/>
      <c r="Y312" s="344"/>
      <c r="Z312" s="344"/>
      <c r="AA312" s="344"/>
      <c r="AB312" s="344"/>
      <c r="AC312" s="344"/>
      <c r="AD312" s="344"/>
      <c r="AE312" s="344"/>
      <c r="AF312" s="344"/>
      <c r="AG312" s="344"/>
      <c r="AH312" s="344"/>
      <c r="AI312" s="344"/>
      <c r="AJ312" s="344"/>
      <c r="AK312" s="344"/>
      <c r="AL312" s="344"/>
      <c r="AM312" s="344"/>
      <c r="AN312" s="344"/>
      <c r="AO312" s="344"/>
      <c r="AP312" s="344"/>
      <c r="AQ312" s="344"/>
      <c r="AR312" s="344"/>
      <c r="AS312" s="344"/>
      <c r="AT312" s="344"/>
      <c r="AU312" s="344"/>
      <c r="AV312" s="344"/>
      <c r="AW312" s="344"/>
      <c r="AX312" s="344"/>
      <c r="AY312" s="344"/>
      <c r="AZ312" s="344"/>
      <c r="BA312" s="344"/>
      <c r="BB312" s="344"/>
      <c r="BC312" s="344"/>
      <c r="BD312" s="344"/>
      <c r="BE312" s="344"/>
      <c r="BF312" s="344"/>
      <c r="BG312" s="344"/>
      <c r="BH312" s="344"/>
      <c r="BI312" s="344"/>
      <c r="BJ312" s="344"/>
      <c r="BK312" s="344"/>
      <c r="BL312" s="344"/>
      <c r="BM312" s="344"/>
      <c r="BN312" s="344"/>
      <c r="BO312" s="344"/>
      <c r="BP312" s="344"/>
      <c r="BQ312" s="344"/>
      <c r="BR312" s="344"/>
      <c r="BS312" s="344"/>
      <c r="BT312" s="344"/>
      <c r="BU312" s="344"/>
      <c r="BV312" s="344"/>
      <c r="BW312" s="344"/>
      <c r="BX312" s="344"/>
      <c r="BY312" s="344"/>
      <c r="BZ312" s="344"/>
      <c r="CA312" s="344"/>
      <c r="CB312" s="344"/>
      <c r="CC312" s="344"/>
      <c r="CD312" s="344"/>
      <c r="CE312" s="344"/>
      <c r="CF312" s="344"/>
      <c r="CG312" s="344"/>
      <c r="CH312" s="344"/>
      <c r="CI312" s="344"/>
      <c r="CJ312" s="344"/>
      <c r="CK312" s="344"/>
      <c r="CL312" s="344"/>
      <c r="CM312" s="344"/>
      <c r="CN312" s="344"/>
      <c r="CO312" s="344"/>
      <c r="CP312" s="344"/>
      <c r="CQ312" s="344"/>
      <c r="CR312" s="344"/>
      <c r="CS312" s="344"/>
      <c r="CT312" s="344"/>
      <c r="CU312" s="344"/>
      <c r="CV312" s="344"/>
      <c r="CW312" s="344"/>
      <c r="CX312" s="344"/>
      <c r="CY312" s="344"/>
      <c r="CZ312" s="344"/>
      <c r="DA312" s="344"/>
      <c r="DB312" s="344"/>
      <c r="DC312" s="344"/>
      <c r="DD312" s="344"/>
      <c r="DE312" s="344"/>
      <c r="DF312" s="344"/>
      <c r="DG312" s="344"/>
      <c r="DH312" s="344"/>
      <c r="DI312" s="344"/>
      <c r="DJ312" s="344"/>
      <c r="DK312" s="344"/>
      <c r="DL312" s="344"/>
      <c r="DM312" s="344"/>
      <c r="DN312" s="344"/>
      <c r="DO312" s="344"/>
      <c r="DP312" s="344"/>
      <c r="DQ312" s="344"/>
      <c r="DR312" s="344"/>
      <c r="DS312" s="344"/>
      <c r="DT312" s="344"/>
      <c r="DU312" s="344"/>
      <c r="DV312" s="344"/>
      <c r="DW312" s="344"/>
    </row>
    <row r="313" ht="15.0" customHeight="1">
      <c r="A313" s="383">
        <v>40508.0</v>
      </c>
      <c r="B313" s="320" t="s">
        <v>3282</v>
      </c>
      <c r="C313" s="320" t="s">
        <v>1131</v>
      </c>
      <c r="D313" s="373">
        <v>70.0</v>
      </c>
      <c r="E313" s="374">
        <f>IFERROR(__xludf.DUMMYFUNCTION("if(and(D313&lt;&gt;0,D313&lt;&gt;""""),D313/GOOGLEFINANCE(C313,""price"")-1,"""")"),-0.1604701367234348)</f>
        <v>-0.1604701367</v>
      </c>
      <c r="F313" s="375">
        <f>IFERROR(__xludf.DUMMYFUNCTION("GOOGLEFINANCE(C313,""price"")"),83.38)</f>
        <v>83.38</v>
      </c>
      <c r="G313" s="374">
        <f t="shared" si="6"/>
        <v>-0.07408997022</v>
      </c>
      <c r="H313" s="376">
        <v>60.0</v>
      </c>
      <c r="I313" s="368">
        <f>sum(CY313:DS313)</f>
        <v>77.20237828</v>
      </c>
      <c r="J313" s="377">
        <v>2.65</v>
      </c>
      <c r="K313" s="377">
        <v>3.02</v>
      </c>
      <c r="L313" s="378">
        <v>43738.0</v>
      </c>
      <c r="M313" s="379">
        <f t="shared" si="7"/>
        <v>-0.07216636787</v>
      </c>
      <c r="N313" s="380">
        <f t="shared" si="8"/>
        <v>3.046701556</v>
      </c>
      <c r="O313" s="370">
        <v>0.1</v>
      </c>
      <c r="P313" s="370">
        <v>0.3</v>
      </c>
      <c r="Q313" s="371">
        <f>I313/N313</f>
        <v>25.33965893</v>
      </c>
      <c r="R313" s="381">
        <v>8.0</v>
      </c>
      <c r="S313" s="378">
        <v>43679.0</v>
      </c>
      <c r="T313" s="381" t="s">
        <v>1223</v>
      </c>
      <c r="U313" s="382" t="s">
        <v>3283</v>
      </c>
      <c r="V313" s="429">
        <f>O313</f>
        <v>0.1</v>
      </c>
      <c r="W313" s="430">
        <f>max(min(Valu!$C$15,$O313),$O313-max($O313-Valu!$C$15,0)/$R313*(W$3-1))</f>
        <v>0.09125</v>
      </c>
      <c r="X313" s="430">
        <f>max(min(Valu!$C$15,$O313),$O313-max($O313-Valu!$C$15,0)/$R313*(X$3-1))</f>
        <v>0.0825</v>
      </c>
      <c r="Y313" s="430">
        <f>max(min(Valu!$C$15,$O313),$O313-max($O313-Valu!$C$15,0)/$R313*(Y$3-1))</f>
        <v>0.07375</v>
      </c>
      <c r="Z313" s="430">
        <f>max(min(Valu!$C$15,$O313),$O313-max($O313-Valu!$C$15,0)/$R313*(Z$3-1))</f>
        <v>0.065</v>
      </c>
      <c r="AA313" s="430">
        <f>max(min(Valu!$C$15,$O313),$O313-max($O313-Valu!$C$15,0)/$R313*(AA$3-1))</f>
        <v>0.05625</v>
      </c>
      <c r="AB313" s="430">
        <f>max(min(Valu!$C$15,$O313),$O313-max($O313-Valu!$C$15,0)/$R313*(AB$3-1))</f>
        <v>0.0475</v>
      </c>
      <c r="AC313" s="430">
        <f>max(min(Valu!$C$15,$O313),$O313-max($O313-Valu!$C$15,0)/$R313*(AC$3-1))</f>
        <v>0.03875</v>
      </c>
      <c r="AD313" s="430">
        <f>max(min(Valu!$C$15,$O313),$O313-max($O313-Valu!$C$15,0)/$R313*(AD$3-1))</f>
        <v>0.03</v>
      </c>
      <c r="AE313" s="430">
        <f>max(min(Valu!$C$15,$O313),$O313-max($O313-Valu!$C$15,0)/$R313*(AE$3-1))</f>
        <v>0.03</v>
      </c>
      <c r="AF313" s="430">
        <f>max(min(Valu!$C$15,$O313),$O313-max($O313-Valu!$C$15,0)/$R313*(AF$3-1))</f>
        <v>0.03</v>
      </c>
      <c r="AG313" s="430">
        <f>max(min(Valu!$C$15,$O313),$O313-max($O313-Valu!$C$15,0)/$R313*(AG$3-1))</f>
        <v>0.03</v>
      </c>
      <c r="AH313" s="430">
        <f>max(min(Valu!$C$15,$O313),$O313-max($O313-Valu!$C$15,0)/$R313*(AH$3-1))</f>
        <v>0.03</v>
      </c>
      <c r="AI313" s="430">
        <f>max(min(Valu!$C$15,$O313),$O313-max($O313-Valu!$C$15,0)/$R313*(AI$3-1))</f>
        <v>0.03</v>
      </c>
      <c r="AJ313" s="430">
        <f>max(min(Valu!$C$15,$O313),$O313-max($O313-Valu!$C$15,0)/$R313*(AJ$3-1))</f>
        <v>0.03</v>
      </c>
      <c r="AK313" s="430">
        <f>max(min(Valu!$C$15,$O313),$O313-max($O313-Valu!$C$15,0)/$R313*(AK$3-1))</f>
        <v>0.03</v>
      </c>
      <c r="AL313" s="430">
        <f>max(min(Valu!$C$15,$O313),$O313-max($O313-Valu!$C$15,0)/$R313*(AL$3-1))</f>
        <v>0.03</v>
      </c>
      <c r="AM313" s="430">
        <f>max(min(Valu!$C$15,$O313),$O313-max($O313-Valu!$C$15,0)/$R313*(AM$3-1))</f>
        <v>0.03</v>
      </c>
      <c r="AN313" s="430">
        <f>max(min(Valu!$C$15,$O313),$O313-max($O313-Valu!$C$15,0)/$R313*(AN$3-1))</f>
        <v>0.03</v>
      </c>
      <c r="AO313" s="430">
        <f>max(min(Valu!$C$15,$O313),$O313-max($O313-Valu!$C$15,0)/$R313*(AO$3-1))</f>
        <v>0.03</v>
      </c>
      <c r="AP313" s="430">
        <f>max(min(Valu!$C$14,$P313),$P313-max($P313-Valu!$C$14,0)/$R313*(AP$3-1))</f>
        <v>0.3</v>
      </c>
      <c r="AQ313" s="430">
        <f>max(min(Valu!$C$14,$P313),$P313-max($P313-Valu!$C$14,0)/$R313*(AQ$3-1))</f>
        <v>0.2775</v>
      </c>
      <c r="AR313" s="430">
        <f>max(min(Valu!$C$14,$P313),$P313-max($P313-Valu!$C$14,0)/$R313*(AR$3-1))</f>
        <v>0.255</v>
      </c>
      <c r="AS313" s="430">
        <f>max(min(Valu!$C$14,$P313),$P313-max($P313-Valu!$C$14,0)/$R313*(AS$3-1))</f>
        <v>0.2325</v>
      </c>
      <c r="AT313" s="430">
        <f>max(min(Valu!$C$14,$P313),$P313-max($P313-Valu!$C$14,0)/$R313*(AT$3-1))</f>
        <v>0.21</v>
      </c>
      <c r="AU313" s="430">
        <f>max(min(Valu!$C$14,$P313),$P313-max($P313-Valu!$C$14,0)/$R313*(AU$3-1))</f>
        <v>0.1875</v>
      </c>
      <c r="AV313" s="430">
        <f>max(min(Valu!$C$14,$P313),$P313-max($P313-Valu!$C$14,0)/$R313*(AV$3-1))</f>
        <v>0.165</v>
      </c>
      <c r="AW313" s="430">
        <f>max(min(Valu!$C$14,$P313),$P313-max($P313-Valu!$C$14,0)/$R313*(AW$3-1))</f>
        <v>0.1425</v>
      </c>
      <c r="AX313" s="430">
        <f>max(min(Valu!$C$14,$P313),$P313-max($P313-Valu!$C$14,0)/$R313*(AX$3-1))</f>
        <v>0.12</v>
      </c>
      <c r="AY313" s="430">
        <f>max(min(Valu!$C$14,$P313),$P313-max($P313-Valu!$C$14,0)/$R313*(AY$3-1))</f>
        <v>0.12</v>
      </c>
      <c r="AZ313" s="430">
        <f>max(min(Valu!$C$14,$P313),$P313-max($P313-Valu!$C$14,0)/$R313*(AZ$3-1))</f>
        <v>0.12</v>
      </c>
      <c r="BA313" s="430">
        <f>max(min(Valu!$C$14,$P313),$P313-max($P313-Valu!$C$14,0)/$R313*(BA$3-1))</f>
        <v>0.12</v>
      </c>
      <c r="BB313" s="430">
        <f>max(min(Valu!$C$14,$P313),$P313-max($P313-Valu!$C$14,0)/$R313*(BB$3-1))</f>
        <v>0.12</v>
      </c>
      <c r="BC313" s="430">
        <f>max(min(Valu!$C$14,$P313),$P313-max($P313-Valu!$C$14,0)/$R313*(BC$3-1))</f>
        <v>0.12</v>
      </c>
      <c r="BD313" s="430">
        <f>max(min(Valu!$C$14,$P313),$P313-max($P313-Valu!$C$14,0)/$R313*(BD$3-1))</f>
        <v>0.12</v>
      </c>
      <c r="BE313" s="430">
        <f>max(min(Valu!$C$14,$P313),$P313-max($P313-Valu!$C$14,0)/$R313*(BE$3-1))</f>
        <v>0.12</v>
      </c>
      <c r="BF313" s="430">
        <f>max(min(Valu!$C$14,$P313),$P313-max($P313-Valu!$C$14,0)/$R313*(BF$3-1))</f>
        <v>0.12</v>
      </c>
      <c r="BG313" s="430">
        <f>max(min(Valu!$C$14,$P313),$P313-max($P313-Valu!$C$14,0)/$R313*(BG$3-1))</f>
        <v>0.12</v>
      </c>
      <c r="BH313" s="430">
        <f>max(min(Valu!$C$14,$P313),$P313-max($P313-Valu!$C$14,0)/$R313*(BH$3-1))</f>
        <v>0.12</v>
      </c>
      <c r="BI313" s="430">
        <f>max(min(Valu!$C$14,$P313),$P313-max($P313-Valu!$C$14,0)/$R313*(BI$3-1))</f>
        <v>0.12</v>
      </c>
      <c r="BJ313" s="431">
        <f>N313</f>
        <v>3.046701556</v>
      </c>
      <c r="BK313" s="432">
        <f>$BJ313*(1+V313)</f>
        <v>3.351371712</v>
      </c>
      <c r="BL313" s="432">
        <f t="shared" ref="BL313:CC313" si="165">BK313*(1+W313)</f>
        <v>3.65718438</v>
      </c>
      <c r="BM313" s="432">
        <f t="shared" si="165"/>
        <v>3.958902092</v>
      </c>
      <c r="BN313" s="432">
        <f t="shared" si="165"/>
        <v>4.250871121</v>
      </c>
      <c r="BO313" s="432">
        <f t="shared" si="165"/>
        <v>4.527177744</v>
      </c>
      <c r="BP313" s="432">
        <f t="shared" si="165"/>
        <v>4.781831492</v>
      </c>
      <c r="BQ313" s="432">
        <f t="shared" si="165"/>
        <v>5.008968488</v>
      </c>
      <c r="BR313" s="432">
        <f t="shared" si="165"/>
        <v>5.203066017</v>
      </c>
      <c r="BS313" s="432">
        <f t="shared" si="165"/>
        <v>5.359157997</v>
      </c>
      <c r="BT313" s="432">
        <f t="shared" si="165"/>
        <v>5.519932737</v>
      </c>
      <c r="BU313" s="432">
        <f t="shared" si="165"/>
        <v>5.685530719</v>
      </c>
      <c r="BV313" s="432">
        <f t="shared" si="165"/>
        <v>5.856096641</v>
      </c>
      <c r="BW313" s="432">
        <f t="shared" si="165"/>
        <v>6.03177954</v>
      </c>
      <c r="BX313" s="432">
        <f t="shared" si="165"/>
        <v>6.212732926</v>
      </c>
      <c r="BY313" s="432">
        <f t="shared" si="165"/>
        <v>6.399114914</v>
      </c>
      <c r="BZ313" s="432">
        <f t="shared" si="165"/>
        <v>6.591088362</v>
      </c>
      <c r="CA313" s="432">
        <f t="shared" si="165"/>
        <v>6.788821012</v>
      </c>
      <c r="CB313" s="432">
        <f t="shared" si="165"/>
        <v>6.992485643</v>
      </c>
      <c r="CC313" s="432">
        <f t="shared" si="165"/>
        <v>7.202260212</v>
      </c>
      <c r="CD313" s="432">
        <f t="shared" ref="CD313:CW313" si="166">BJ313*(1-V313/AP313)</f>
        <v>2.031134371</v>
      </c>
      <c r="CE313" s="432">
        <f t="shared" si="166"/>
        <v>2.249344077</v>
      </c>
      <c r="CF313" s="432">
        <f t="shared" si="166"/>
        <v>2.473977669</v>
      </c>
      <c r="CG313" s="432">
        <f t="shared" si="166"/>
        <v>2.703121321</v>
      </c>
      <c r="CH313" s="432">
        <f t="shared" si="166"/>
        <v>2.935125298</v>
      </c>
      <c r="CI313" s="432">
        <f t="shared" si="166"/>
        <v>3.169024421</v>
      </c>
      <c r="CJ313" s="432">
        <f t="shared" si="166"/>
        <v>3.405243638</v>
      </c>
      <c r="CK313" s="432">
        <f t="shared" si="166"/>
        <v>3.646880566</v>
      </c>
      <c r="CL313" s="432">
        <f t="shared" si="166"/>
        <v>3.902299513</v>
      </c>
      <c r="CM313" s="432">
        <f t="shared" si="166"/>
        <v>4.019368498</v>
      </c>
      <c r="CN313" s="432">
        <f t="shared" si="166"/>
        <v>4.139949553</v>
      </c>
      <c r="CO313" s="432">
        <f t="shared" si="166"/>
        <v>4.26414804</v>
      </c>
      <c r="CP313" s="432">
        <f t="shared" si="166"/>
        <v>4.392072481</v>
      </c>
      <c r="CQ313" s="432">
        <f t="shared" si="166"/>
        <v>4.523834655</v>
      </c>
      <c r="CR313" s="432">
        <f t="shared" si="166"/>
        <v>4.659549695</v>
      </c>
      <c r="CS313" s="432">
        <f t="shared" si="166"/>
        <v>4.799336186</v>
      </c>
      <c r="CT313" s="432">
        <f t="shared" si="166"/>
        <v>4.943316271</v>
      </c>
      <c r="CU313" s="432">
        <f t="shared" si="166"/>
        <v>5.091615759</v>
      </c>
      <c r="CV313" s="432">
        <f t="shared" si="166"/>
        <v>5.244364232</v>
      </c>
      <c r="CW313" s="432">
        <f t="shared" si="166"/>
        <v>5.401695159</v>
      </c>
      <c r="CX313" s="432">
        <f>CW313*(1+min(Valu!$C$15,$O313))/(Valu!$C$21-min(Valu!$C$15,$O313))</f>
        <v>146.4143688</v>
      </c>
      <c r="CY313" s="432">
        <f>CD313/(1+Valu!$C$21)^CY$3</f>
        <v>1.901811209</v>
      </c>
      <c r="CZ313" s="432">
        <f>CE313/(1+Valu!$C$21)^CZ$3</f>
        <v>1.972029413</v>
      </c>
      <c r="DA313" s="432">
        <f>CF313/(1+Valu!$C$21)^DA$3</f>
        <v>2.030869499</v>
      </c>
      <c r="DB313" s="432">
        <f>CG313/(1+Valu!$C$21)^DB$3</f>
        <v>2.077688937</v>
      </c>
      <c r="DC313" s="432">
        <f>CH313/(1+Valu!$C$21)^DC$3</f>
        <v>2.112371903</v>
      </c>
      <c r="DD313" s="432">
        <f>CI313/(1+Valu!$C$21)^DD$3</f>
        <v>2.135492595</v>
      </c>
      <c r="DE313" s="432">
        <f>CJ313/(1+Valu!$C$21)^DE$3</f>
        <v>2.148569574</v>
      </c>
      <c r="DF313" s="432">
        <f>CK313/(1+Valu!$C$21)^DF$3</f>
        <v>2.154524907</v>
      </c>
      <c r="DG313" s="432">
        <f>CL313/(1+Valu!$C$21)^DG$3</f>
        <v>2.158635552</v>
      </c>
      <c r="DH313" s="432">
        <f>CM313/(1+Valu!$C$21)^DH$3</f>
        <v>2.081830167</v>
      </c>
      <c r="DI313" s="432">
        <f>CN313/(1+Valu!$C$21)^DI$3</f>
        <v>2.007757558</v>
      </c>
      <c r="DJ313" s="432">
        <f>CO313/(1+Valu!$C$21)^DJ$3</f>
        <v>1.936320491</v>
      </c>
      <c r="DK313" s="432">
        <f>CP313/(1+Valu!$C$21)^DK$3</f>
        <v>1.867425193</v>
      </c>
      <c r="DL313" s="432">
        <f>CQ313/(1+Valu!$C$21)^DL$3</f>
        <v>1.800981226</v>
      </c>
      <c r="DM313" s="432">
        <f>CR313/(1+Valu!$C$21)^DM$3</f>
        <v>1.736901369</v>
      </c>
      <c r="DN313" s="432">
        <f>CS313/(1+Valu!$C$21)^DN$3</f>
        <v>1.675101508</v>
      </c>
      <c r="DO313" s="432">
        <f>CT313/(1+Valu!$C$21)^DO$3</f>
        <v>1.615500518</v>
      </c>
      <c r="DP313" s="432">
        <f>CU313/(1+Valu!$C$21)^DP$3</f>
        <v>1.558020162</v>
      </c>
      <c r="DQ313" s="432">
        <f>CV313/(1+Valu!$C$21)^DQ$3</f>
        <v>1.502584988</v>
      </c>
      <c r="DR313" s="432">
        <f>CW313/(1+Valu!$C$21)^DR$3</f>
        <v>1.449122226</v>
      </c>
      <c r="DS313" s="432">
        <f>CX313/(1+Valu!$C$21)^DS$3</f>
        <v>39.27883929</v>
      </c>
      <c r="DT313" s="358"/>
      <c r="DU313" s="358"/>
      <c r="DV313" s="358"/>
      <c r="DW313" s="358"/>
    </row>
    <row r="314" ht="15.0" customHeight="1">
      <c r="A314" s="383">
        <v>41597.0</v>
      </c>
      <c r="B314" s="320" t="s">
        <v>3286</v>
      </c>
      <c r="C314" s="320" t="s">
        <v>1370</v>
      </c>
      <c r="D314" s="384">
        <v>37.5</v>
      </c>
      <c r="E314" s="374">
        <f>IFERROR(__xludf.DUMMYFUNCTION("if(and(D314&lt;&gt;0,D314&lt;&gt;""""),D314/GOOGLEFINANCE(C314,""price"")-1,"""")"),-0.613919489344178)</f>
        <v>-0.6139194893</v>
      </c>
      <c r="F314" s="375">
        <f>IFERROR(__xludf.DUMMYFUNCTION("GOOGLEFINANCE(C314,""price"")"),97.13)</f>
        <v>97.13</v>
      </c>
      <c r="G314" s="374">
        <f t="shared" si="6"/>
        <v>-0.4994579732</v>
      </c>
      <c r="H314" s="376"/>
      <c r="I314" s="376">
        <f>3*($I$1+1.5)</f>
        <v>48.61764706</v>
      </c>
      <c r="J314" s="380"/>
      <c r="K314" s="380"/>
      <c r="L314" s="389"/>
      <c r="M314" s="379">
        <f t="shared" si="7"/>
        <v>-119.9023034</v>
      </c>
      <c r="N314" s="380">
        <f t="shared" si="8"/>
        <v>0</v>
      </c>
      <c r="O314" s="389"/>
      <c r="P314" s="415"/>
      <c r="Q314" s="379"/>
      <c r="R314" s="416"/>
      <c r="S314" s="416"/>
      <c r="T314" s="416"/>
      <c r="U314" s="417" t="s">
        <v>3287</v>
      </c>
      <c r="V314" s="367"/>
      <c r="W314" s="367"/>
      <c r="X314" s="367"/>
      <c r="Y314" s="367"/>
      <c r="Z314" s="367"/>
      <c r="AA314" s="367"/>
      <c r="AB314" s="367"/>
      <c r="AC314" s="367"/>
      <c r="AD314" s="367"/>
      <c r="AE314" s="367"/>
      <c r="AF314" s="367"/>
      <c r="AG314" s="367"/>
      <c r="AH314" s="367"/>
      <c r="AI314" s="367"/>
      <c r="AJ314" s="367"/>
      <c r="AK314" s="367"/>
      <c r="AL314" s="367"/>
      <c r="AM314" s="367"/>
      <c r="AN314" s="367"/>
      <c r="AO314" s="367"/>
      <c r="AP314" s="367"/>
      <c r="AQ314" s="367"/>
      <c r="AR314" s="367"/>
      <c r="AS314" s="367"/>
      <c r="AT314" s="367"/>
      <c r="AU314" s="367"/>
      <c r="AV314" s="367"/>
      <c r="AW314" s="367"/>
      <c r="AX314" s="367"/>
      <c r="AY314" s="367"/>
      <c r="AZ314" s="367"/>
      <c r="BA314" s="367"/>
      <c r="BB314" s="367"/>
      <c r="BC314" s="367"/>
      <c r="BD314" s="367"/>
      <c r="BE314" s="367"/>
      <c r="BF314" s="367"/>
      <c r="BG314" s="367"/>
      <c r="BH314" s="367"/>
      <c r="BI314" s="367"/>
      <c r="BJ314" s="367"/>
      <c r="BK314" s="367"/>
      <c r="BL314" s="367"/>
      <c r="BM314" s="367"/>
      <c r="BN314" s="367"/>
      <c r="BO314" s="367"/>
      <c r="BP314" s="367"/>
      <c r="BQ314" s="367"/>
      <c r="BR314" s="367"/>
      <c r="BS314" s="367"/>
      <c r="BT314" s="367"/>
      <c r="BU314" s="367"/>
      <c r="BV314" s="367"/>
      <c r="BW314" s="367"/>
      <c r="BX314" s="367"/>
      <c r="BY314" s="367"/>
      <c r="BZ314" s="367"/>
      <c r="CA314" s="367"/>
      <c r="CB314" s="367"/>
      <c r="CC314" s="367"/>
      <c r="CD314" s="367"/>
      <c r="CE314" s="367"/>
      <c r="CF314" s="367"/>
      <c r="CG314" s="367"/>
      <c r="CH314" s="367"/>
      <c r="CI314" s="367"/>
      <c r="CJ314" s="367"/>
      <c r="CK314" s="367"/>
      <c r="CL314" s="367"/>
      <c r="CM314" s="367"/>
      <c r="CN314" s="367"/>
      <c r="CO314" s="367"/>
      <c r="CP314" s="367"/>
      <c r="CQ314" s="367"/>
      <c r="CR314" s="367"/>
      <c r="CS314" s="367"/>
      <c r="CT314" s="367"/>
      <c r="CU314" s="367"/>
      <c r="CV314" s="367"/>
      <c r="CW314" s="367"/>
      <c r="CX314" s="367"/>
      <c r="CY314" s="367"/>
      <c r="CZ314" s="367"/>
      <c r="DA314" s="367"/>
      <c r="DB314" s="367"/>
      <c r="DC314" s="367"/>
      <c r="DD314" s="367"/>
      <c r="DE314" s="367"/>
      <c r="DF314" s="367"/>
      <c r="DG314" s="367"/>
      <c r="DH314" s="367"/>
      <c r="DI314" s="367"/>
      <c r="DJ314" s="367"/>
      <c r="DK314" s="367"/>
      <c r="DL314" s="367"/>
      <c r="DM314" s="367"/>
      <c r="DN314" s="367"/>
      <c r="DO314" s="367"/>
      <c r="DP314" s="367"/>
      <c r="DQ314" s="367"/>
      <c r="DR314" s="367"/>
      <c r="DS314" s="367"/>
      <c r="DT314" s="367"/>
      <c r="DU314" s="367"/>
      <c r="DV314" s="367"/>
      <c r="DW314" s="367"/>
    </row>
    <row r="315" ht="15.0" customHeight="1">
      <c r="A315" s="383">
        <v>41278.0</v>
      </c>
      <c r="B315" s="320" t="s">
        <v>3288</v>
      </c>
      <c r="C315" s="320" t="s">
        <v>3289</v>
      </c>
      <c r="D315" s="532"/>
      <c r="E315" s="374" t="str">
        <f>IFERROR(__xludf.DUMMYFUNCTION("if(and(D315&lt;&gt;0,D315&lt;&gt;""""),D315/GOOGLEFINANCE(C315,""price"")-1,"""")"),"")</f>
        <v/>
      </c>
      <c r="F315" s="375" t="str">
        <f>IFERROR(__xludf.DUMMYFUNCTION("GOOGLEFINANCE(C315,""price"")"),"#N/A")</f>
        <v>#N/A</v>
      </c>
      <c r="G315" s="374" t="str">
        <f t="shared" si="6"/>
        <v/>
      </c>
      <c r="H315" s="376">
        <v>11.0</v>
      </c>
      <c r="I315" s="376"/>
      <c r="J315" s="380"/>
      <c r="K315" s="380"/>
      <c r="L315" s="389"/>
      <c r="M315" s="379">
        <f t="shared" si="7"/>
        <v>-119.9023034</v>
      </c>
      <c r="N315" s="380">
        <f t="shared" si="8"/>
        <v>0</v>
      </c>
      <c r="O315" s="389"/>
      <c r="P315" s="415"/>
      <c r="Q315" s="379"/>
      <c r="R315" s="416"/>
      <c r="S315" s="416"/>
      <c r="T315" s="416"/>
      <c r="U315" s="417" t="s">
        <v>3290</v>
      </c>
      <c r="V315" s="367"/>
      <c r="W315" s="367"/>
      <c r="X315" s="367"/>
      <c r="Y315" s="367"/>
      <c r="Z315" s="367"/>
      <c r="AA315" s="367"/>
      <c r="AB315" s="367"/>
      <c r="AC315" s="367"/>
      <c r="AD315" s="367"/>
      <c r="AE315" s="367"/>
      <c r="AF315" s="367"/>
      <c r="AG315" s="367"/>
      <c r="AH315" s="367"/>
      <c r="AI315" s="367"/>
      <c r="AJ315" s="367"/>
      <c r="AK315" s="367"/>
      <c r="AL315" s="367"/>
      <c r="AM315" s="367"/>
      <c r="AN315" s="367"/>
      <c r="AO315" s="367"/>
      <c r="AP315" s="367"/>
      <c r="AQ315" s="367"/>
      <c r="AR315" s="367"/>
      <c r="AS315" s="367"/>
      <c r="AT315" s="367"/>
      <c r="AU315" s="367"/>
      <c r="AV315" s="367"/>
      <c r="AW315" s="367"/>
      <c r="AX315" s="367"/>
      <c r="AY315" s="367"/>
      <c r="AZ315" s="367"/>
      <c r="BA315" s="367"/>
      <c r="BB315" s="367"/>
      <c r="BC315" s="367"/>
      <c r="BD315" s="367"/>
      <c r="BE315" s="367"/>
      <c r="BF315" s="367"/>
      <c r="BG315" s="367"/>
      <c r="BH315" s="367"/>
      <c r="BI315" s="367"/>
      <c r="BJ315" s="367"/>
      <c r="BK315" s="367"/>
      <c r="BL315" s="367"/>
      <c r="BM315" s="367"/>
      <c r="BN315" s="367"/>
      <c r="BO315" s="367"/>
      <c r="BP315" s="367"/>
      <c r="BQ315" s="367"/>
      <c r="BR315" s="367"/>
      <c r="BS315" s="367"/>
      <c r="BT315" s="367"/>
      <c r="BU315" s="367"/>
      <c r="BV315" s="367"/>
      <c r="BW315" s="367"/>
      <c r="BX315" s="367"/>
      <c r="BY315" s="367"/>
      <c r="BZ315" s="367"/>
      <c r="CA315" s="367"/>
      <c r="CB315" s="367"/>
      <c r="CC315" s="367"/>
      <c r="CD315" s="367"/>
      <c r="CE315" s="367"/>
      <c r="CF315" s="367"/>
      <c r="CG315" s="367"/>
      <c r="CH315" s="367"/>
      <c r="CI315" s="367"/>
      <c r="CJ315" s="367"/>
      <c r="CK315" s="367"/>
      <c r="CL315" s="367"/>
      <c r="CM315" s="367"/>
      <c r="CN315" s="367"/>
      <c r="CO315" s="367"/>
      <c r="CP315" s="367"/>
      <c r="CQ315" s="367"/>
      <c r="CR315" s="367"/>
      <c r="CS315" s="367"/>
      <c r="CT315" s="367"/>
      <c r="CU315" s="367"/>
      <c r="CV315" s="367"/>
      <c r="CW315" s="367"/>
      <c r="CX315" s="367"/>
      <c r="CY315" s="367"/>
      <c r="CZ315" s="367"/>
      <c r="DA315" s="367"/>
      <c r="DB315" s="367"/>
      <c r="DC315" s="367"/>
      <c r="DD315" s="367"/>
      <c r="DE315" s="367"/>
      <c r="DF315" s="367"/>
      <c r="DG315" s="367"/>
      <c r="DH315" s="367"/>
      <c r="DI315" s="367"/>
      <c r="DJ315" s="367"/>
      <c r="DK315" s="367"/>
      <c r="DL315" s="367"/>
      <c r="DM315" s="367"/>
      <c r="DN315" s="367"/>
      <c r="DO315" s="367"/>
      <c r="DP315" s="367"/>
      <c r="DQ315" s="367"/>
      <c r="DR315" s="367"/>
      <c r="DS315" s="367"/>
      <c r="DT315" s="367"/>
      <c r="DU315" s="367"/>
      <c r="DV315" s="367"/>
      <c r="DW315" s="367"/>
    </row>
    <row r="316" ht="15.0" customHeight="1">
      <c r="A316" s="372">
        <v>42113.0</v>
      </c>
      <c r="B316" s="384" t="s">
        <v>3291</v>
      </c>
      <c r="C316" s="384" t="s">
        <v>3292</v>
      </c>
      <c r="D316" s="384">
        <v>3000.0</v>
      </c>
      <c r="E316" s="374">
        <f>IFERROR(__xludf.DUMMYFUNCTION("if(and(D316&lt;&gt;0,D316&lt;&gt;""""),D316/GOOGLEFINANCE(C316,""price"")-1,"""")"),-0.27884615384615385)</f>
        <v>-0.2788461538</v>
      </c>
      <c r="F316" s="375">
        <f>IFERROR(__xludf.DUMMYFUNCTION("GOOGLEFINANCE(C316,""price"")"),4160.0)</f>
        <v>4160</v>
      </c>
      <c r="G316" s="374">
        <f t="shared" si="6"/>
        <v>-0.2549038462</v>
      </c>
      <c r="H316" s="376"/>
      <c r="I316" s="376">
        <f>309.96*10</f>
        <v>3099.6</v>
      </c>
      <c r="J316" s="380"/>
      <c r="K316" s="380"/>
      <c r="L316" s="389"/>
      <c r="M316" s="379">
        <f t="shared" si="7"/>
        <v>-119.9023034</v>
      </c>
      <c r="N316" s="380">
        <f t="shared" si="8"/>
        <v>0</v>
      </c>
      <c r="O316" s="389"/>
      <c r="P316" s="390"/>
      <c r="Q316" s="391"/>
      <c r="R316" s="387"/>
      <c r="S316" s="387"/>
      <c r="T316" s="387"/>
      <c r="U316" s="386" t="s">
        <v>3293</v>
      </c>
      <c r="V316" s="344"/>
      <c r="W316" s="344"/>
      <c r="X316" s="344"/>
      <c r="Y316" s="344"/>
      <c r="Z316" s="344"/>
      <c r="AA316" s="344"/>
      <c r="AB316" s="344"/>
      <c r="AC316" s="344"/>
      <c r="AD316" s="344"/>
      <c r="AE316" s="344"/>
      <c r="AF316" s="344"/>
      <c r="AG316" s="344"/>
      <c r="AH316" s="344"/>
      <c r="AI316" s="344"/>
      <c r="AJ316" s="344"/>
      <c r="AK316" s="344"/>
      <c r="AL316" s="344"/>
      <c r="AM316" s="344"/>
      <c r="AN316" s="344"/>
      <c r="AO316" s="344"/>
      <c r="AP316" s="344"/>
      <c r="AQ316" s="344"/>
      <c r="AR316" s="344"/>
      <c r="AS316" s="344"/>
      <c r="AT316" s="344"/>
      <c r="AU316" s="344"/>
      <c r="AV316" s="344"/>
      <c r="AW316" s="344"/>
      <c r="AX316" s="344"/>
      <c r="AY316" s="344"/>
      <c r="AZ316" s="344"/>
      <c r="BA316" s="344"/>
      <c r="BB316" s="344"/>
      <c r="BC316" s="344"/>
      <c r="BD316" s="344"/>
      <c r="BE316" s="344"/>
      <c r="BF316" s="344"/>
      <c r="BG316" s="344"/>
      <c r="BH316" s="344"/>
      <c r="BI316" s="344"/>
      <c r="BJ316" s="344"/>
      <c r="BK316" s="344"/>
      <c r="BL316" s="344"/>
      <c r="BM316" s="344"/>
      <c r="BN316" s="344"/>
      <c r="BO316" s="344"/>
      <c r="BP316" s="344"/>
      <c r="BQ316" s="344"/>
      <c r="BR316" s="344"/>
      <c r="BS316" s="344"/>
      <c r="BT316" s="344"/>
      <c r="BU316" s="344"/>
      <c r="BV316" s="344"/>
      <c r="BW316" s="344"/>
      <c r="BX316" s="344"/>
      <c r="BY316" s="344"/>
      <c r="BZ316" s="344"/>
      <c r="CA316" s="344"/>
      <c r="CB316" s="344"/>
      <c r="CC316" s="344"/>
      <c r="CD316" s="344"/>
      <c r="CE316" s="344"/>
      <c r="CF316" s="344"/>
      <c r="CG316" s="344"/>
      <c r="CH316" s="344"/>
      <c r="CI316" s="344"/>
      <c r="CJ316" s="344"/>
      <c r="CK316" s="344"/>
      <c r="CL316" s="344"/>
      <c r="CM316" s="344"/>
      <c r="CN316" s="344"/>
      <c r="CO316" s="344"/>
      <c r="CP316" s="344"/>
      <c r="CQ316" s="344"/>
      <c r="CR316" s="344"/>
      <c r="CS316" s="344"/>
      <c r="CT316" s="344"/>
      <c r="CU316" s="344"/>
      <c r="CV316" s="344"/>
      <c r="CW316" s="344"/>
      <c r="CX316" s="344"/>
      <c r="CY316" s="344"/>
      <c r="CZ316" s="344"/>
      <c r="DA316" s="344"/>
      <c r="DB316" s="344"/>
      <c r="DC316" s="344"/>
      <c r="DD316" s="344"/>
      <c r="DE316" s="344"/>
      <c r="DF316" s="344"/>
      <c r="DG316" s="344"/>
      <c r="DH316" s="344"/>
      <c r="DI316" s="344"/>
      <c r="DJ316" s="344"/>
      <c r="DK316" s="344"/>
      <c r="DL316" s="344"/>
      <c r="DM316" s="344"/>
      <c r="DN316" s="344"/>
      <c r="DO316" s="344"/>
      <c r="DP316" s="344"/>
      <c r="DQ316" s="344"/>
      <c r="DR316" s="344"/>
      <c r="DS316" s="344"/>
      <c r="DT316" s="344"/>
      <c r="DU316" s="344"/>
      <c r="DV316" s="344"/>
      <c r="DW316" s="344"/>
    </row>
    <row r="317" ht="15.0" customHeight="1">
      <c r="A317" s="343">
        <v>42118.0</v>
      </c>
      <c r="B317" s="344" t="s">
        <v>3294</v>
      </c>
      <c r="C317" s="344" t="s">
        <v>3136</v>
      </c>
      <c r="D317" s="344">
        <v>35.0</v>
      </c>
      <c r="E317" s="345">
        <f>IFERROR(__xludf.DUMMYFUNCTION("if(and(D317&lt;&gt;0,D317&lt;&gt;""""),D317/GOOGLEFINANCE(C317,""price"")-1,"""")"),0.004880849842090251)</f>
        <v>0.004880849842</v>
      </c>
      <c r="F317" s="364">
        <f>IFERROR(__xludf.DUMMYFUNCTION("GOOGLEFINANCE(C317,""price"")"),34.83)</f>
        <v>34.83</v>
      </c>
      <c r="G317" s="345">
        <f t="shared" si="6"/>
        <v>1.172270349</v>
      </c>
      <c r="H317" s="347"/>
      <c r="I317" s="347">
        <f>(N317*($I$1+O317*100))</f>
        <v>75.66017625</v>
      </c>
      <c r="J317" s="359">
        <v>2.48</v>
      </c>
      <c r="K317" s="359">
        <v>2.8</v>
      </c>
      <c r="L317" s="354">
        <v>43465.0</v>
      </c>
      <c r="M317" s="351">
        <f t="shared" si="7"/>
        <v>-0.8201115786</v>
      </c>
      <c r="N317" s="349">
        <f t="shared" si="8"/>
        <v>3.062435705</v>
      </c>
      <c r="O317" s="352">
        <v>0.1</v>
      </c>
      <c r="P317" s="352"/>
      <c r="Q317" s="353"/>
      <c r="R317" s="354"/>
      <c r="S317" s="354">
        <v>43267.0</v>
      </c>
      <c r="T317" s="365" t="s">
        <v>1223</v>
      </c>
      <c r="U317" s="356" t="s">
        <v>3295</v>
      </c>
      <c r="V317" s="344"/>
      <c r="W317" s="344"/>
      <c r="X317" s="344"/>
      <c r="Y317" s="344"/>
      <c r="Z317" s="344"/>
      <c r="AA317" s="344"/>
      <c r="AB317" s="344"/>
      <c r="AC317" s="344"/>
      <c r="AD317" s="344"/>
      <c r="AE317" s="344"/>
      <c r="AF317" s="344"/>
      <c r="AG317" s="344"/>
      <c r="AH317" s="344"/>
      <c r="AI317" s="344"/>
      <c r="AJ317" s="344"/>
      <c r="AK317" s="344"/>
      <c r="AL317" s="344"/>
      <c r="AM317" s="344"/>
      <c r="AN317" s="344"/>
      <c r="AO317" s="344"/>
      <c r="AP317" s="344"/>
      <c r="AQ317" s="344"/>
      <c r="AR317" s="344"/>
      <c r="AS317" s="344"/>
      <c r="AT317" s="344"/>
      <c r="AU317" s="344"/>
      <c r="AV317" s="344"/>
      <c r="AW317" s="344"/>
      <c r="AX317" s="344"/>
      <c r="AY317" s="344"/>
      <c r="AZ317" s="344"/>
      <c r="BA317" s="344"/>
      <c r="BB317" s="344"/>
      <c r="BC317" s="344"/>
      <c r="BD317" s="344"/>
      <c r="BE317" s="344"/>
      <c r="BF317" s="344"/>
      <c r="BG317" s="344"/>
      <c r="BH317" s="344"/>
      <c r="BI317" s="344"/>
      <c r="BJ317" s="344"/>
      <c r="BK317" s="344"/>
      <c r="BL317" s="344"/>
      <c r="BM317" s="344"/>
      <c r="BN317" s="344"/>
      <c r="BO317" s="344"/>
      <c r="BP317" s="344"/>
      <c r="BQ317" s="344"/>
      <c r="BR317" s="344"/>
      <c r="BS317" s="344"/>
      <c r="BT317" s="344"/>
      <c r="BU317" s="344"/>
      <c r="BV317" s="344"/>
      <c r="BW317" s="344"/>
      <c r="BX317" s="344"/>
      <c r="BY317" s="344"/>
      <c r="BZ317" s="344"/>
      <c r="CA317" s="344"/>
      <c r="CB317" s="344"/>
      <c r="CC317" s="344"/>
      <c r="CD317" s="344"/>
      <c r="CE317" s="344"/>
      <c r="CF317" s="344"/>
      <c r="CG317" s="344"/>
      <c r="CH317" s="344"/>
      <c r="CI317" s="344"/>
      <c r="CJ317" s="344"/>
      <c r="CK317" s="344"/>
      <c r="CL317" s="344"/>
      <c r="CM317" s="344"/>
      <c r="CN317" s="344"/>
      <c r="CO317" s="344"/>
      <c r="CP317" s="344"/>
      <c r="CQ317" s="344"/>
      <c r="CR317" s="344"/>
      <c r="CS317" s="344"/>
      <c r="CT317" s="344"/>
      <c r="CU317" s="344"/>
      <c r="CV317" s="344"/>
      <c r="CW317" s="344"/>
      <c r="CX317" s="344"/>
      <c r="CY317" s="344"/>
      <c r="CZ317" s="344"/>
      <c r="DA317" s="344"/>
      <c r="DB317" s="344"/>
      <c r="DC317" s="344"/>
      <c r="DD317" s="344"/>
      <c r="DE317" s="344"/>
      <c r="DF317" s="344"/>
      <c r="DG317" s="344"/>
      <c r="DH317" s="344"/>
      <c r="DI317" s="344"/>
      <c r="DJ317" s="344"/>
      <c r="DK317" s="344"/>
      <c r="DL317" s="344"/>
      <c r="DM317" s="344"/>
      <c r="DN317" s="344"/>
      <c r="DO317" s="344"/>
      <c r="DP317" s="344"/>
      <c r="DQ317" s="344"/>
      <c r="DR317" s="344"/>
      <c r="DS317" s="344"/>
      <c r="DT317" s="344"/>
      <c r="DU317" s="344"/>
      <c r="DV317" s="344"/>
      <c r="DW317" s="344"/>
    </row>
    <row r="318" ht="15.0" customHeight="1">
      <c r="A318" s="357">
        <v>43676.0</v>
      </c>
      <c r="B318" s="358" t="s">
        <v>3296</v>
      </c>
      <c r="C318" s="358" t="s">
        <v>3297</v>
      </c>
      <c r="D318" s="358"/>
      <c r="E318" s="345" t="str">
        <f>IFERROR(__xludf.DUMMYFUNCTION("if(and(D318&lt;&gt;0,D318&lt;&gt;""""),D318/GOOGLEFINANCE(C318,""price"")-1,"""")"),"")</f>
        <v/>
      </c>
      <c r="F318" s="364">
        <f>IFERROR(__xludf.DUMMYFUNCTION("GOOGLEFINANCE(C318,""price"")"),317.45)</f>
        <v>317.45</v>
      </c>
      <c r="G318" s="345">
        <f t="shared" si="6"/>
        <v>-0.46008487</v>
      </c>
      <c r="H318" s="347"/>
      <c r="I318" s="347">
        <f t="shared" ref="I318:I319" si="169">sum(CY318:DS318)</f>
        <v>171.396058</v>
      </c>
      <c r="J318" s="369">
        <f>1296/109*0.1</f>
        <v>1.188990826</v>
      </c>
      <c r="K318" s="369">
        <f>J318*(1+O318)</f>
        <v>1.902385321</v>
      </c>
      <c r="L318" s="360">
        <v>43830.0</v>
      </c>
      <c r="M318" s="351">
        <f t="shared" si="7"/>
        <v>0.1798884214</v>
      </c>
      <c r="N318" s="349">
        <f t="shared" si="8"/>
        <v>1.774053912</v>
      </c>
      <c r="O318" s="361">
        <v>0.6</v>
      </c>
      <c r="P318" s="361">
        <v>0.15</v>
      </c>
      <c r="Q318" s="371">
        <f t="shared" ref="Q318:Q319" si="170">I318/N318</f>
        <v>96.61265473</v>
      </c>
      <c r="R318" s="355">
        <v>8.0</v>
      </c>
      <c r="S318" s="360">
        <v>43711.0</v>
      </c>
      <c r="T318" s="355" t="s">
        <v>1223</v>
      </c>
      <c r="U318" s="363" t="s">
        <v>3298</v>
      </c>
      <c r="V318" s="429">
        <f t="shared" ref="V318:V319" si="171">O318</f>
        <v>0.6</v>
      </c>
      <c r="W318" s="430">
        <f>max(min(Valu!$C$15,$O318),$O318-max($O318-Valu!$C$15,0)/$R318*(W$3-1))</f>
        <v>0.52875</v>
      </c>
      <c r="X318" s="430">
        <f>max(min(Valu!$C$15,$O318),$O318-max($O318-Valu!$C$15,0)/$R318*(X$3-1))</f>
        <v>0.4575</v>
      </c>
      <c r="Y318" s="430">
        <f>max(min(Valu!$C$15,$O318),$O318-max($O318-Valu!$C$15,0)/$R318*(Y$3-1))</f>
        <v>0.38625</v>
      </c>
      <c r="Z318" s="430">
        <f>max(min(Valu!$C$15,$O318),$O318-max($O318-Valu!$C$15,0)/$R318*(Z$3-1))</f>
        <v>0.315</v>
      </c>
      <c r="AA318" s="430">
        <f>max(min(Valu!$C$15,$O318),$O318-max($O318-Valu!$C$15,0)/$R318*(AA$3-1))</f>
        <v>0.24375</v>
      </c>
      <c r="AB318" s="430">
        <f>max(min(Valu!$C$15,$O318),$O318-max($O318-Valu!$C$15,0)/$R318*(AB$3-1))</f>
        <v>0.1725</v>
      </c>
      <c r="AC318" s="430">
        <f>max(min(Valu!$C$15,$O318),$O318-max($O318-Valu!$C$15,0)/$R318*(AC$3-1))</f>
        <v>0.10125</v>
      </c>
      <c r="AD318" s="430">
        <f>max(min(Valu!$C$15,$O318),$O318-max($O318-Valu!$C$15,0)/$R318*(AD$3-1))</f>
        <v>0.03</v>
      </c>
      <c r="AE318" s="430">
        <f>max(min(Valu!$C$15,$O318),$O318-max($O318-Valu!$C$15,0)/$R318*(AE$3-1))</f>
        <v>0.03</v>
      </c>
      <c r="AF318" s="430">
        <f>max(min(Valu!$C$15,$O318),$O318-max($O318-Valu!$C$15,0)/$R318*(AF$3-1))</f>
        <v>0.03</v>
      </c>
      <c r="AG318" s="430">
        <f>max(min(Valu!$C$15,$O318),$O318-max($O318-Valu!$C$15,0)/$R318*(AG$3-1))</f>
        <v>0.03</v>
      </c>
      <c r="AH318" s="430">
        <f>max(min(Valu!$C$15,$O318),$O318-max($O318-Valu!$C$15,0)/$R318*(AH$3-1))</f>
        <v>0.03</v>
      </c>
      <c r="AI318" s="430">
        <f>max(min(Valu!$C$15,$O318),$O318-max($O318-Valu!$C$15,0)/$R318*(AI$3-1))</f>
        <v>0.03</v>
      </c>
      <c r="AJ318" s="430">
        <f>max(min(Valu!$C$15,$O318),$O318-max($O318-Valu!$C$15,0)/$R318*(AJ$3-1))</f>
        <v>0.03</v>
      </c>
      <c r="AK318" s="430">
        <f>max(min(Valu!$C$15,$O318),$O318-max($O318-Valu!$C$15,0)/$R318*(AK$3-1))</f>
        <v>0.03</v>
      </c>
      <c r="AL318" s="430">
        <f>max(min(Valu!$C$15,$O318),$O318-max($O318-Valu!$C$15,0)/$R318*(AL$3-1))</f>
        <v>0.03</v>
      </c>
      <c r="AM318" s="430">
        <f>max(min(Valu!$C$15,$O318),$O318-max($O318-Valu!$C$15,0)/$R318*(AM$3-1))</f>
        <v>0.03</v>
      </c>
      <c r="AN318" s="430">
        <f>max(min(Valu!$C$15,$O318),$O318-max($O318-Valu!$C$15,0)/$R318*(AN$3-1))</f>
        <v>0.03</v>
      </c>
      <c r="AO318" s="430">
        <f>max(min(Valu!$C$15,$O318),$O318-max($O318-Valu!$C$15,0)/$R318*(AO$3-1))</f>
        <v>0.03</v>
      </c>
      <c r="AP318" s="430">
        <f>max(min(Valu!$C$14,$P318),$P318-max($P318-Valu!$C$14,0)/$R318*(AP$3-1))</f>
        <v>0.15</v>
      </c>
      <c r="AQ318" s="430">
        <f>max(min(Valu!$C$14,$P318),$P318-max($P318-Valu!$C$14,0)/$R318*(AQ$3-1))</f>
        <v>0.14625</v>
      </c>
      <c r="AR318" s="430">
        <f>max(min(Valu!$C$14,$P318),$P318-max($P318-Valu!$C$14,0)/$R318*(AR$3-1))</f>
        <v>0.1425</v>
      </c>
      <c r="AS318" s="430">
        <f>max(min(Valu!$C$14,$P318),$P318-max($P318-Valu!$C$14,0)/$R318*(AS$3-1))</f>
        <v>0.13875</v>
      </c>
      <c r="AT318" s="430">
        <f>max(min(Valu!$C$14,$P318),$P318-max($P318-Valu!$C$14,0)/$R318*(AT$3-1))</f>
        <v>0.135</v>
      </c>
      <c r="AU318" s="430">
        <f>max(min(Valu!$C$14,$P318),$P318-max($P318-Valu!$C$14,0)/$R318*(AU$3-1))</f>
        <v>0.13125</v>
      </c>
      <c r="AV318" s="430">
        <f>max(min(Valu!$C$14,$P318),$P318-max($P318-Valu!$C$14,0)/$R318*(AV$3-1))</f>
        <v>0.1275</v>
      </c>
      <c r="AW318" s="430">
        <f>max(min(Valu!$C$14,$P318),$P318-max($P318-Valu!$C$14,0)/$R318*(AW$3-1))</f>
        <v>0.12375</v>
      </c>
      <c r="AX318" s="430">
        <f>max(min(Valu!$C$14,$P318),$P318-max($P318-Valu!$C$14,0)/$R318*(AX$3-1))</f>
        <v>0.12</v>
      </c>
      <c r="AY318" s="430">
        <f>max(min(Valu!$C$14,$P318),$P318-max($P318-Valu!$C$14,0)/$R318*(AY$3-1))</f>
        <v>0.12</v>
      </c>
      <c r="AZ318" s="430">
        <f>max(min(Valu!$C$14,$P318),$P318-max($P318-Valu!$C$14,0)/$R318*(AZ$3-1))</f>
        <v>0.12</v>
      </c>
      <c r="BA318" s="430">
        <f>max(min(Valu!$C$14,$P318),$P318-max($P318-Valu!$C$14,0)/$R318*(BA$3-1))</f>
        <v>0.12</v>
      </c>
      <c r="BB318" s="430">
        <f>max(min(Valu!$C$14,$P318),$P318-max($P318-Valu!$C$14,0)/$R318*(BB$3-1))</f>
        <v>0.12</v>
      </c>
      <c r="BC318" s="430">
        <f>max(min(Valu!$C$14,$P318),$P318-max($P318-Valu!$C$14,0)/$R318*(BC$3-1))</f>
        <v>0.12</v>
      </c>
      <c r="BD318" s="430">
        <f>max(min(Valu!$C$14,$P318),$P318-max($P318-Valu!$C$14,0)/$R318*(BD$3-1))</f>
        <v>0.12</v>
      </c>
      <c r="BE318" s="430">
        <f>max(min(Valu!$C$14,$P318),$P318-max($P318-Valu!$C$14,0)/$R318*(BE$3-1))</f>
        <v>0.12</v>
      </c>
      <c r="BF318" s="430">
        <f>max(min(Valu!$C$14,$P318),$P318-max($P318-Valu!$C$14,0)/$R318*(BF$3-1))</f>
        <v>0.12</v>
      </c>
      <c r="BG318" s="430">
        <f>max(min(Valu!$C$14,$P318),$P318-max($P318-Valu!$C$14,0)/$R318*(BG$3-1))</f>
        <v>0.12</v>
      </c>
      <c r="BH318" s="430">
        <f>max(min(Valu!$C$14,$P318),$P318-max($P318-Valu!$C$14,0)/$R318*(BH$3-1))</f>
        <v>0.12</v>
      </c>
      <c r="BI318" s="430">
        <f>max(min(Valu!$C$14,$P318),$P318-max($P318-Valu!$C$14,0)/$R318*(BI$3-1))</f>
        <v>0.12</v>
      </c>
      <c r="BJ318" s="431">
        <f t="shared" ref="BJ318:BJ319" si="172">N318</f>
        <v>1.774053912</v>
      </c>
      <c r="BK318" s="432">
        <f t="shared" ref="BK318:BK319" si="173">$BJ318*(1+V318)</f>
        <v>2.838486258</v>
      </c>
      <c r="BL318" s="432">
        <f t="shared" ref="BL318:CC318" si="167">BK318*(1+W318)</f>
        <v>4.339335868</v>
      </c>
      <c r="BM318" s="432">
        <f t="shared" si="167"/>
        <v>6.324582027</v>
      </c>
      <c r="BN318" s="432">
        <f t="shared" si="167"/>
        <v>8.767451835</v>
      </c>
      <c r="BO318" s="432">
        <f t="shared" si="167"/>
        <v>11.52919916</v>
      </c>
      <c r="BP318" s="432">
        <f t="shared" si="167"/>
        <v>14.33944146</v>
      </c>
      <c r="BQ318" s="432">
        <f t="shared" si="167"/>
        <v>16.81299511</v>
      </c>
      <c r="BR318" s="432">
        <f t="shared" si="167"/>
        <v>18.51531087</v>
      </c>
      <c r="BS318" s="432">
        <f t="shared" si="167"/>
        <v>19.07077019</v>
      </c>
      <c r="BT318" s="432">
        <f t="shared" si="167"/>
        <v>19.6428933</v>
      </c>
      <c r="BU318" s="432">
        <f t="shared" si="167"/>
        <v>20.2321801</v>
      </c>
      <c r="BV318" s="432">
        <f t="shared" si="167"/>
        <v>20.8391455</v>
      </c>
      <c r="BW318" s="432">
        <f t="shared" si="167"/>
        <v>21.46431986</v>
      </c>
      <c r="BX318" s="432">
        <f t="shared" si="167"/>
        <v>22.10824946</v>
      </c>
      <c r="BY318" s="432">
        <f t="shared" si="167"/>
        <v>22.77149694</v>
      </c>
      <c r="BZ318" s="432">
        <f t="shared" si="167"/>
        <v>23.45464185</v>
      </c>
      <c r="CA318" s="432">
        <f t="shared" si="167"/>
        <v>24.15828111</v>
      </c>
      <c r="CB318" s="432">
        <f t="shared" si="167"/>
        <v>24.88302954</v>
      </c>
      <c r="CC318" s="432">
        <f t="shared" si="167"/>
        <v>25.62952043</v>
      </c>
      <c r="CD318" s="432">
        <f t="shared" ref="CD318:CW318" si="168">BJ318*(1-V318/AP318)</f>
        <v>-5.322161735</v>
      </c>
      <c r="CE318" s="432">
        <f t="shared" si="168"/>
        <v>-7.423733291</v>
      </c>
      <c r="CF318" s="432">
        <f t="shared" si="168"/>
        <v>-9.592216128</v>
      </c>
      <c r="CG318" s="432">
        <f t="shared" si="168"/>
        <v>-11.28168686</v>
      </c>
      <c r="CH318" s="432">
        <f t="shared" si="168"/>
        <v>-11.68993578</v>
      </c>
      <c r="CI318" s="432">
        <f t="shared" si="168"/>
        <v>-9.882170711</v>
      </c>
      <c r="CJ318" s="432">
        <f t="shared" si="168"/>
        <v>-5.060979338</v>
      </c>
      <c r="CK318" s="432">
        <f t="shared" si="168"/>
        <v>3.056908202</v>
      </c>
      <c r="CL318" s="432">
        <f t="shared" si="168"/>
        <v>13.88648315</v>
      </c>
      <c r="CM318" s="432">
        <f t="shared" si="168"/>
        <v>14.30307764</v>
      </c>
      <c r="CN318" s="432">
        <f t="shared" si="168"/>
        <v>14.73216997</v>
      </c>
      <c r="CO318" s="432">
        <f t="shared" si="168"/>
        <v>15.17413507</v>
      </c>
      <c r="CP318" s="432">
        <f t="shared" si="168"/>
        <v>15.62935912</v>
      </c>
      <c r="CQ318" s="432">
        <f t="shared" si="168"/>
        <v>16.0982399</v>
      </c>
      <c r="CR318" s="432">
        <f t="shared" si="168"/>
        <v>16.58118709</v>
      </c>
      <c r="CS318" s="432">
        <f t="shared" si="168"/>
        <v>17.07862271</v>
      </c>
      <c r="CT318" s="432">
        <f t="shared" si="168"/>
        <v>17.59098139</v>
      </c>
      <c r="CU318" s="432">
        <f t="shared" si="168"/>
        <v>18.11871083</v>
      </c>
      <c r="CV318" s="432">
        <f t="shared" si="168"/>
        <v>18.66227216</v>
      </c>
      <c r="CW318" s="432">
        <f t="shared" si="168"/>
        <v>19.22214032</v>
      </c>
      <c r="CX318" s="432">
        <f>CW318*(1+min(Valu!$C$15,$O318))/(Valu!$C$21-min(Valu!$C$15,$O318))</f>
        <v>521.0211718</v>
      </c>
      <c r="CY318" s="432">
        <f>CD318/(1+Valu!$C$21)^CY$3</f>
        <v>-4.983297504</v>
      </c>
      <c r="CZ318" s="432">
        <f>CE318/(1+Valu!$C$21)^CZ$3</f>
        <v>-6.508484208</v>
      </c>
      <c r="DA318" s="432">
        <f>CF318/(1+Valu!$C$21)^DA$3</f>
        <v>-7.874177446</v>
      </c>
      <c r="DB318" s="432">
        <f>CG318/(1+Valu!$C$21)^DB$3</f>
        <v>-8.671396209</v>
      </c>
      <c r="DC318" s="432">
        <f>CH318/(1+Valu!$C$21)^DC$3</f>
        <v>-8.413096335</v>
      </c>
      <c r="DD318" s="432">
        <f>CI318/(1+Valu!$C$21)^DD$3</f>
        <v>-6.659242584</v>
      </c>
      <c r="DE318" s="432">
        <f>CJ318/(1+Valu!$C$21)^DE$3</f>
        <v>-3.193271136</v>
      </c>
      <c r="DF318" s="432">
        <f>CK318/(1+Valu!$C$21)^DF$3</f>
        <v>1.805977668</v>
      </c>
      <c r="DG318" s="432">
        <f>CL318/(1+Valu!$C$21)^DG$3</f>
        <v>7.681587771</v>
      </c>
      <c r="DH318" s="432">
        <f>CM318/(1+Valu!$C$21)^DH$3</f>
        <v>7.408272851</v>
      </c>
      <c r="DI318" s="432">
        <f>CN318/(1+Valu!$C$21)^DI$3</f>
        <v>7.144682618</v>
      </c>
      <c r="DJ318" s="432">
        <f>CO318/(1+Valu!$C$21)^DJ$3</f>
        <v>6.890471064</v>
      </c>
      <c r="DK318" s="432">
        <f>CP318/(1+Valu!$C$21)^DK$3</f>
        <v>6.645304491</v>
      </c>
      <c r="DL318" s="432">
        <f>CQ318/(1+Valu!$C$21)^DL$3</f>
        <v>6.408861073</v>
      </c>
      <c r="DM318" s="432">
        <f>CR318/(1+Valu!$C$21)^DM$3</f>
        <v>6.180830435</v>
      </c>
      <c r="DN318" s="432">
        <f>CS318/(1+Valu!$C$21)^DN$3</f>
        <v>5.960913247</v>
      </c>
      <c r="DO318" s="432">
        <f>CT318/(1+Valu!$C$21)^DO$3</f>
        <v>5.748820829</v>
      </c>
      <c r="DP318" s="432">
        <f>CU318/(1+Valu!$C$21)^DP$3</f>
        <v>5.544274769</v>
      </c>
      <c r="DQ318" s="432">
        <f>CV318/(1+Valu!$C$21)^DQ$3</f>
        <v>5.347006566</v>
      </c>
      <c r="DR318" s="432">
        <f>CW318/(1+Valu!$C$21)^DR$3</f>
        <v>5.156757268</v>
      </c>
      <c r="DS318" s="432">
        <f>CX318/(1+Valu!$C$21)^DS$3</f>
        <v>139.7752628</v>
      </c>
      <c r="DT318" s="344"/>
      <c r="DU318" s="344"/>
      <c r="DV318" s="344"/>
      <c r="DW318" s="344"/>
    </row>
    <row r="319" ht="15.0" customHeight="1">
      <c r="A319" s="343">
        <v>42428.0</v>
      </c>
      <c r="B319" s="344" t="s">
        <v>3304</v>
      </c>
      <c r="C319" s="344" t="s">
        <v>1109</v>
      </c>
      <c r="D319" s="358">
        <v>390.0</v>
      </c>
      <c r="E319" s="345">
        <f>IFERROR(__xludf.DUMMYFUNCTION("if(and(D319&lt;&gt;0,D319&lt;&gt;""""),D319/GOOGLEFINANCE(C319,""price"")-1,"""")"),-0.3216565494929817)</f>
        <v>-0.3216565495</v>
      </c>
      <c r="F319" s="364">
        <f>IFERROR(__xludf.DUMMYFUNCTION("GOOGLEFINANCE(C319,""price"")"),574.93)</f>
        <v>574.93</v>
      </c>
      <c r="G319" s="345">
        <f t="shared" si="6"/>
        <v>-0.07484015638</v>
      </c>
      <c r="H319" s="347"/>
      <c r="I319" s="347">
        <f t="shared" si="169"/>
        <v>531.9021489</v>
      </c>
      <c r="J319" s="369">
        <v>21.04</v>
      </c>
      <c r="K319" s="369">
        <v>24.15</v>
      </c>
      <c r="L319" s="360">
        <v>43830.0</v>
      </c>
      <c r="M319" s="351">
        <f t="shared" si="7"/>
        <v>0.1798884271</v>
      </c>
      <c r="N319" s="349">
        <f t="shared" si="8"/>
        <v>23.59054699</v>
      </c>
      <c r="O319" s="361">
        <v>0.07</v>
      </c>
      <c r="P319" s="361">
        <v>0.2</v>
      </c>
      <c r="Q319" s="371">
        <f t="shared" si="170"/>
        <v>22.54725798</v>
      </c>
      <c r="R319" s="355">
        <v>8.0</v>
      </c>
      <c r="S319" s="360">
        <v>43696.0</v>
      </c>
      <c r="T319" s="355" t="s">
        <v>1223</v>
      </c>
      <c r="U319" s="356" t="s">
        <v>3305</v>
      </c>
      <c r="V319" s="429">
        <f t="shared" si="171"/>
        <v>0.07</v>
      </c>
      <c r="W319" s="430">
        <f>max(min(Valu!$C$15,$O319),$O319-max($O319-Valu!$C$15,0)/$R319*(W$3-1))</f>
        <v>0.065</v>
      </c>
      <c r="X319" s="430">
        <f>max(min(Valu!$C$15,$O319),$O319-max($O319-Valu!$C$15,0)/$R319*(X$3-1))</f>
        <v>0.06</v>
      </c>
      <c r="Y319" s="430">
        <f>max(min(Valu!$C$15,$O319),$O319-max($O319-Valu!$C$15,0)/$R319*(Y$3-1))</f>
        <v>0.055</v>
      </c>
      <c r="Z319" s="430">
        <f>max(min(Valu!$C$15,$O319),$O319-max($O319-Valu!$C$15,0)/$R319*(Z$3-1))</f>
        <v>0.05</v>
      </c>
      <c r="AA319" s="430">
        <f>max(min(Valu!$C$15,$O319),$O319-max($O319-Valu!$C$15,0)/$R319*(AA$3-1))</f>
        <v>0.045</v>
      </c>
      <c r="AB319" s="430">
        <f>max(min(Valu!$C$15,$O319),$O319-max($O319-Valu!$C$15,0)/$R319*(AB$3-1))</f>
        <v>0.04</v>
      </c>
      <c r="AC319" s="430">
        <f>max(min(Valu!$C$15,$O319),$O319-max($O319-Valu!$C$15,0)/$R319*(AC$3-1))</f>
        <v>0.035</v>
      </c>
      <c r="AD319" s="430">
        <f>max(min(Valu!$C$15,$O319),$O319-max($O319-Valu!$C$15,0)/$R319*(AD$3-1))</f>
        <v>0.03</v>
      </c>
      <c r="AE319" s="430">
        <f>max(min(Valu!$C$15,$O319),$O319-max($O319-Valu!$C$15,0)/$R319*(AE$3-1))</f>
        <v>0.03</v>
      </c>
      <c r="AF319" s="430">
        <f>max(min(Valu!$C$15,$O319),$O319-max($O319-Valu!$C$15,0)/$R319*(AF$3-1))</f>
        <v>0.03</v>
      </c>
      <c r="AG319" s="430">
        <f>max(min(Valu!$C$15,$O319),$O319-max($O319-Valu!$C$15,0)/$R319*(AG$3-1))</f>
        <v>0.03</v>
      </c>
      <c r="AH319" s="430">
        <f>max(min(Valu!$C$15,$O319),$O319-max($O319-Valu!$C$15,0)/$R319*(AH$3-1))</f>
        <v>0.03</v>
      </c>
      <c r="AI319" s="430">
        <f>max(min(Valu!$C$15,$O319),$O319-max($O319-Valu!$C$15,0)/$R319*(AI$3-1))</f>
        <v>0.03</v>
      </c>
      <c r="AJ319" s="430">
        <f>max(min(Valu!$C$15,$O319),$O319-max($O319-Valu!$C$15,0)/$R319*(AJ$3-1))</f>
        <v>0.03</v>
      </c>
      <c r="AK319" s="430">
        <f>max(min(Valu!$C$15,$O319),$O319-max($O319-Valu!$C$15,0)/$R319*(AK$3-1))</f>
        <v>0.03</v>
      </c>
      <c r="AL319" s="430">
        <f>max(min(Valu!$C$15,$O319),$O319-max($O319-Valu!$C$15,0)/$R319*(AL$3-1))</f>
        <v>0.03</v>
      </c>
      <c r="AM319" s="430">
        <f>max(min(Valu!$C$15,$O319),$O319-max($O319-Valu!$C$15,0)/$R319*(AM$3-1))</f>
        <v>0.03</v>
      </c>
      <c r="AN319" s="430">
        <f>max(min(Valu!$C$15,$O319),$O319-max($O319-Valu!$C$15,0)/$R319*(AN$3-1))</f>
        <v>0.03</v>
      </c>
      <c r="AO319" s="430">
        <f>max(min(Valu!$C$15,$O319),$O319-max($O319-Valu!$C$15,0)/$R319*(AO$3-1))</f>
        <v>0.03</v>
      </c>
      <c r="AP319" s="430">
        <f>max(min(Valu!$C$14,$P319),$P319-max($P319-Valu!$C$14,0)/$R319*(AP$3-1))</f>
        <v>0.2</v>
      </c>
      <c r="AQ319" s="430">
        <f>max(min(Valu!$C$14,$P319),$P319-max($P319-Valu!$C$14,0)/$R319*(AQ$3-1))</f>
        <v>0.19</v>
      </c>
      <c r="AR319" s="430">
        <f>max(min(Valu!$C$14,$P319),$P319-max($P319-Valu!$C$14,0)/$R319*(AR$3-1))</f>
        <v>0.18</v>
      </c>
      <c r="AS319" s="430">
        <f>max(min(Valu!$C$14,$P319),$P319-max($P319-Valu!$C$14,0)/$R319*(AS$3-1))</f>
        <v>0.17</v>
      </c>
      <c r="AT319" s="430">
        <f>max(min(Valu!$C$14,$P319),$P319-max($P319-Valu!$C$14,0)/$R319*(AT$3-1))</f>
        <v>0.16</v>
      </c>
      <c r="AU319" s="430">
        <f>max(min(Valu!$C$14,$P319),$P319-max($P319-Valu!$C$14,0)/$R319*(AU$3-1))</f>
        <v>0.15</v>
      </c>
      <c r="AV319" s="430">
        <f>max(min(Valu!$C$14,$P319),$P319-max($P319-Valu!$C$14,0)/$R319*(AV$3-1))</f>
        <v>0.14</v>
      </c>
      <c r="AW319" s="430">
        <f>max(min(Valu!$C$14,$P319),$P319-max($P319-Valu!$C$14,0)/$R319*(AW$3-1))</f>
        <v>0.13</v>
      </c>
      <c r="AX319" s="430">
        <f>max(min(Valu!$C$14,$P319),$P319-max($P319-Valu!$C$14,0)/$R319*(AX$3-1))</f>
        <v>0.12</v>
      </c>
      <c r="AY319" s="430">
        <f>max(min(Valu!$C$14,$P319),$P319-max($P319-Valu!$C$14,0)/$R319*(AY$3-1))</f>
        <v>0.12</v>
      </c>
      <c r="AZ319" s="430">
        <f>max(min(Valu!$C$14,$P319),$P319-max($P319-Valu!$C$14,0)/$R319*(AZ$3-1))</f>
        <v>0.12</v>
      </c>
      <c r="BA319" s="430">
        <f>max(min(Valu!$C$14,$P319),$P319-max($P319-Valu!$C$14,0)/$R319*(BA$3-1))</f>
        <v>0.12</v>
      </c>
      <c r="BB319" s="430">
        <f>max(min(Valu!$C$14,$P319),$P319-max($P319-Valu!$C$14,0)/$R319*(BB$3-1))</f>
        <v>0.12</v>
      </c>
      <c r="BC319" s="430">
        <f>max(min(Valu!$C$14,$P319),$P319-max($P319-Valu!$C$14,0)/$R319*(BC$3-1))</f>
        <v>0.12</v>
      </c>
      <c r="BD319" s="430">
        <f>max(min(Valu!$C$14,$P319),$P319-max($P319-Valu!$C$14,0)/$R319*(BD$3-1))</f>
        <v>0.12</v>
      </c>
      <c r="BE319" s="430">
        <f>max(min(Valu!$C$14,$P319),$P319-max($P319-Valu!$C$14,0)/$R319*(BE$3-1))</f>
        <v>0.12</v>
      </c>
      <c r="BF319" s="430">
        <f>max(min(Valu!$C$14,$P319),$P319-max($P319-Valu!$C$14,0)/$R319*(BF$3-1))</f>
        <v>0.12</v>
      </c>
      <c r="BG319" s="430">
        <f>max(min(Valu!$C$14,$P319),$P319-max($P319-Valu!$C$14,0)/$R319*(BG$3-1))</f>
        <v>0.12</v>
      </c>
      <c r="BH319" s="430">
        <f>max(min(Valu!$C$14,$P319),$P319-max($P319-Valu!$C$14,0)/$R319*(BH$3-1))</f>
        <v>0.12</v>
      </c>
      <c r="BI319" s="430">
        <f>max(min(Valu!$C$14,$P319),$P319-max($P319-Valu!$C$14,0)/$R319*(BI$3-1))</f>
        <v>0.12</v>
      </c>
      <c r="BJ319" s="431">
        <f t="shared" si="172"/>
        <v>23.59054699</v>
      </c>
      <c r="BK319" s="432">
        <f t="shared" si="173"/>
        <v>25.24188528</v>
      </c>
      <c r="BL319" s="432">
        <f t="shared" ref="BL319:CC319" si="174">BK319*(1+W319)</f>
        <v>26.88260782</v>
      </c>
      <c r="BM319" s="432">
        <f t="shared" si="174"/>
        <v>28.49556429</v>
      </c>
      <c r="BN319" s="432">
        <f t="shared" si="174"/>
        <v>30.06282033</v>
      </c>
      <c r="BO319" s="432">
        <f t="shared" si="174"/>
        <v>31.56596135</v>
      </c>
      <c r="BP319" s="432">
        <f t="shared" si="174"/>
        <v>32.98642961</v>
      </c>
      <c r="BQ319" s="432">
        <f t="shared" si="174"/>
        <v>34.30588679</v>
      </c>
      <c r="BR319" s="432">
        <f t="shared" si="174"/>
        <v>35.50659283</v>
      </c>
      <c r="BS319" s="432">
        <f t="shared" si="174"/>
        <v>36.57179061</v>
      </c>
      <c r="BT319" s="432">
        <f t="shared" si="174"/>
        <v>37.66894433</v>
      </c>
      <c r="BU319" s="432">
        <f t="shared" si="174"/>
        <v>38.79901266</v>
      </c>
      <c r="BV319" s="432">
        <f t="shared" si="174"/>
        <v>39.96298304</v>
      </c>
      <c r="BW319" s="432">
        <f t="shared" si="174"/>
        <v>41.16187253</v>
      </c>
      <c r="BX319" s="432">
        <f t="shared" si="174"/>
        <v>42.39672871</v>
      </c>
      <c r="BY319" s="432">
        <f t="shared" si="174"/>
        <v>43.66863057</v>
      </c>
      <c r="BZ319" s="432">
        <f t="shared" si="174"/>
        <v>44.97868949</v>
      </c>
      <c r="CA319" s="432">
        <f t="shared" si="174"/>
        <v>46.32805017</v>
      </c>
      <c r="CB319" s="432">
        <f t="shared" si="174"/>
        <v>47.71789168</v>
      </c>
      <c r="CC319" s="432">
        <f t="shared" si="174"/>
        <v>49.14942843</v>
      </c>
      <c r="CD319" s="432">
        <f t="shared" ref="CD319:CW319" si="175">BJ319*(1-V319/AP319)</f>
        <v>15.33385554</v>
      </c>
      <c r="CE319" s="432">
        <f t="shared" si="175"/>
        <v>16.60650347</v>
      </c>
      <c r="CF319" s="432">
        <f t="shared" si="175"/>
        <v>17.92173855</v>
      </c>
      <c r="CG319" s="432">
        <f t="shared" si="175"/>
        <v>19.27641114</v>
      </c>
      <c r="CH319" s="432">
        <f t="shared" si="175"/>
        <v>20.66818898</v>
      </c>
      <c r="CI319" s="432">
        <f t="shared" si="175"/>
        <v>22.09617294</v>
      </c>
      <c r="CJ319" s="432">
        <f t="shared" si="175"/>
        <v>23.56173543</v>
      </c>
      <c r="CK319" s="432">
        <f t="shared" si="175"/>
        <v>25.0696865</v>
      </c>
      <c r="CL319" s="432">
        <f t="shared" si="175"/>
        <v>26.62994462</v>
      </c>
      <c r="CM319" s="432">
        <f t="shared" si="175"/>
        <v>27.42884296</v>
      </c>
      <c r="CN319" s="432">
        <f t="shared" si="175"/>
        <v>28.25170825</v>
      </c>
      <c r="CO319" s="432">
        <f t="shared" si="175"/>
        <v>29.0992595</v>
      </c>
      <c r="CP319" s="432">
        <f t="shared" si="175"/>
        <v>29.97223728</v>
      </c>
      <c r="CQ319" s="432">
        <f t="shared" si="175"/>
        <v>30.8714044</v>
      </c>
      <c r="CR319" s="432">
        <f t="shared" si="175"/>
        <v>31.79754653</v>
      </c>
      <c r="CS319" s="432">
        <f t="shared" si="175"/>
        <v>32.75147293</v>
      </c>
      <c r="CT319" s="432">
        <f t="shared" si="175"/>
        <v>33.73401712</v>
      </c>
      <c r="CU319" s="432">
        <f t="shared" si="175"/>
        <v>34.74603763</v>
      </c>
      <c r="CV319" s="432">
        <f t="shared" si="175"/>
        <v>35.78841876</v>
      </c>
      <c r="CW319" s="432">
        <f t="shared" si="175"/>
        <v>36.86207132</v>
      </c>
      <c r="CX319" s="432">
        <f>CW319*(1+min(Valu!$C$15,$O319))/(Valu!$C$21-min(Valu!$C$15,$O319))</f>
        <v>999.1561437</v>
      </c>
      <c r="CY319" s="432">
        <f>CD319/(1+Valu!$C$21)^CY$3</f>
        <v>14.35754264</v>
      </c>
      <c r="CZ319" s="432">
        <f>CE319/(1+Valu!$C$21)^CZ$3</f>
        <v>14.5591391</v>
      </c>
      <c r="DA319" s="432">
        <f>CF319/(1+Valu!$C$21)^DA$3</f>
        <v>14.71181921</v>
      </c>
      <c r="DB319" s="432">
        <f>CG319/(1+Valu!$C$21)^DB$3</f>
        <v>14.816348</v>
      </c>
      <c r="DC319" s="432">
        <f>CH319/(1+Valu!$C$21)^DC$3</f>
        <v>14.87462961</v>
      </c>
      <c r="DD319" s="432">
        <f>CI319/(1+Valu!$C$21)^DD$3</f>
        <v>14.88982331</v>
      </c>
      <c r="DE319" s="432">
        <f>CJ319/(1+Valu!$C$21)^DE$3</f>
        <v>14.86649216</v>
      </c>
      <c r="DF319" s="432">
        <f>CK319/(1+Valu!$C$21)^DF$3</f>
        <v>14.81081242</v>
      </c>
      <c r="DG319" s="432">
        <f>CL319/(1+Valu!$C$21)^DG$3</f>
        <v>14.73089009</v>
      </c>
      <c r="DH319" s="432">
        <f>CM319/(1+Valu!$C$21)^DH$3</f>
        <v>14.20675729</v>
      </c>
      <c r="DI319" s="432">
        <f>CN319/(1+Valu!$C$21)^DI$3</f>
        <v>13.70127342</v>
      </c>
      <c r="DJ319" s="432">
        <f>CO319/(1+Valu!$C$21)^DJ$3</f>
        <v>13.21377493</v>
      </c>
      <c r="DK319" s="432">
        <f>CP319/(1+Valu!$C$21)^DK$3</f>
        <v>12.74362189</v>
      </c>
      <c r="DL319" s="432">
        <f>CQ319/(1+Valu!$C$21)^DL$3</f>
        <v>12.29019714</v>
      </c>
      <c r="DM319" s="432">
        <f>CR319/(1+Valu!$C$21)^DM$3</f>
        <v>11.85290548</v>
      </c>
      <c r="DN319" s="432">
        <f>CS319/(1+Valu!$C$21)^DN$3</f>
        <v>11.43117289</v>
      </c>
      <c r="DO319" s="432">
        <f>CT319/(1+Valu!$C$21)^DO$3</f>
        <v>11.02444576</v>
      </c>
      <c r="DP319" s="432">
        <f>CU319/(1+Valu!$C$21)^DP$3</f>
        <v>10.6321902</v>
      </c>
      <c r="DQ319" s="432">
        <f>CV319/(1+Valu!$C$21)^DQ$3</f>
        <v>10.2538913</v>
      </c>
      <c r="DR319" s="432">
        <f>CW319/(1+Valu!$C$21)^DR$3</f>
        <v>9.88905247</v>
      </c>
      <c r="DS319" s="432">
        <f>CX319/(1+Valu!$C$21)^DS$3</f>
        <v>268.0453696</v>
      </c>
      <c r="DT319" s="344"/>
      <c r="DU319" s="344"/>
      <c r="DV319" s="344"/>
      <c r="DW319" s="344"/>
    </row>
    <row r="320" ht="15.0" customHeight="1">
      <c r="A320" s="494">
        <v>40168.0</v>
      </c>
      <c r="B320" s="414" t="s">
        <v>3310</v>
      </c>
      <c r="C320" s="414" t="s">
        <v>3311</v>
      </c>
      <c r="D320" s="495"/>
      <c r="E320" s="441" t="str">
        <f>IFERROR(__xludf.DUMMYFUNCTION("if(and(D320&lt;&gt;0,D320&lt;&gt;""""),D320/GOOGLEFINANCE(C320,""price"")-1,"""")"),"")</f>
        <v/>
      </c>
      <c r="F320" s="442">
        <f>IFERROR(__xludf.DUMMYFUNCTION("GOOGLEFINANCE(C320,""price"")"),30.87)</f>
        <v>30.87</v>
      </c>
      <c r="G320" s="441" t="str">
        <f t="shared" si="6"/>
        <v/>
      </c>
      <c r="H320" s="443">
        <v>47.0</v>
      </c>
      <c r="I320" s="398"/>
      <c r="J320" s="445"/>
      <c r="K320" s="445"/>
      <c r="L320" s="446"/>
      <c r="M320" s="447">
        <f t="shared" si="7"/>
        <v>-119.9023034</v>
      </c>
      <c r="N320" s="445">
        <f t="shared" si="8"/>
        <v>0</v>
      </c>
      <c r="O320" s="446"/>
      <c r="P320" s="448"/>
      <c r="Q320" s="447"/>
      <c r="R320" s="449"/>
      <c r="S320" s="449"/>
      <c r="T320" s="449"/>
      <c r="U320" s="450" t="s">
        <v>3312</v>
      </c>
      <c r="V320" s="414"/>
      <c r="W320" s="414"/>
      <c r="X320" s="414"/>
      <c r="Y320" s="414"/>
      <c r="Z320" s="414"/>
      <c r="AA320" s="414"/>
      <c r="AB320" s="414"/>
      <c r="AC320" s="414"/>
      <c r="AD320" s="414"/>
      <c r="AE320" s="414"/>
      <c r="AF320" s="414"/>
      <c r="AG320" s="414"/>
      <c r="AH320" s="414"/>
      <c r="AI320" s="414"/>
      <c r="AJ320" s="414"/>
      <c r="AK320" s="414"/>
      <c r="AL320" s="414"/>
      <c r="AM320" s="414"/>
      <c r="AN320" s="414"/>
      <c r="AO320" s="414"/>
      <c r="AP320" s="414"/>
      <c r="AQ320" s="414"/>
      <c r="AR320" s="414"/>
      <c r="AS320" s="414"/>
      <c r="AT320" s="414"/>
      <c r="AU320" s="414"/>
      <c r="AV320" s="414"/>
      <c r="AW320" s="414"/>
      <c r="AX320" s="414"/>
      <c r="AY320" s="414"/>
      <c r="AZ320" s="414"/>
      <c r="BA320" s="414"/>
      <c r="BB320" s="414"/>
      <c r="BC320" s="414"/>
      <c r="BD320" s="414"/>
      <c r="BE320" s="414"/>
      <c r="BF320" s="414"/>
      <c r="BG320" s="414"/>
      <c r="BH320" s="414"/>
      <c r="BI320" s="414"/>
      <c r="BJ320" s="414"/>
      <c r="BK320" s="414"/>
      <c r="BL320" s="414"/>
      <c r="BM320" s="414"/>
      <c r="BN320" s="414"/>
      <c r="BO320" s="414"/>
      <c r="BP320" s="414"/>
      <c r="BQ320" s="414"/>
      <c r="BR320" s="414"/>
      <c r="BS320" s="414"/>
      <c r="BT320" s="414"/>
      <c r="BU320" s="414"/>
      <c r="BV320" s="414"/>
      <c r="BW320" s="414"/>
      <c r="BX320" s="414"/>
      <c r="BY320" s="414"/>
      <c r="BZ320" s="414"/>
      <c r="CA320" s="414"/>
      <c r="CB320" s="414"/>
      <c r="CC320" s="414"/>
      <c r="CD320" s="414"/>
      <c r="CE320" s="414"/>
      <c r="CF320" s="414"/>
      <c r="CG320" s="414"/>
      <c r="CH320" s="414"/>
      <c r="CI320" s="414"/>
      <c r="CJ320" s="414"/>
      <c r="CK320" s="414"/>
      <c r="CL320" s="414"/>
      <c r="CM320" s="414"/>
      <c r="CN320" s="414"/>
      <c r="CO320" s="414"/>
      <c r="CP320" s="414"/>
      <c r="CQ320" s="414"/>
      <c r="CR320" s="414"/>
      <c r="CS320" s="414"/>
      <c r="CT320" s="414"/>
      <c r="CU320" s="414"/>
      <c r="CV320" s="414"/>
      <c r="CW320" s="414"/>
      <c r="CX320" s="414"/>
      <c r="CY320" s="414"/>
      <c r="CZ320" s="414"/>
      <c r="DA320" s="414"/>
      <c r="DB320" s="414"/>
      <c r="DC320" s="414"/>
      <c r="DD320" s="414"/>
      <c r="DE320" s="414"/>
      <c r="DF320" s="414"/>
      <c r="DG320" s="414"/>
      <c r="DH320" s="414"/>
      <c r="DI320" s="414"/>
      <c r="DJ320" s="414"/>
      <c r="DK320" s="414"/>
      <c r="DL320" s="414"/>
      <c r="DM320" s="414"/>
      <c r="DN320" s="414"/>
      <c r="DO320" s="414"/>
      <c r="DP320" s="414"/>
      <c r="DQ320" s="414"/>
      <c r="DR320" s="414"/>
      <c r="DS320" s="414"/>
      <c r="DT320" s="414"/>
      <c r="DU320" s="414"/>
      <c r="DV320" s="414"/>
      <c r="DW320" s="414"/>
    </row>
    <row r="321" ht="15.0" customHeight="1">
      <c r="A321" s="343">
        <v>42941.0</v>
      </c>
      <c r="B321" s="344" t="s">
        <v>3313</v>
      </c>
      <c r="C321" s="344" t="s">
        <v>3314</v>
      </c>
      <c r="D321" s="344"/>
      <c r="E321" s="345" t="str">
        <f>IFERROR(__xludf.DUMMYFUNCTION("if(and(D321&lt;&gt;0,D321&lt;&gt;""""),D321/GOOGLEFINANCE(C321,""price"")-1,"""")"),"")</f>
        <v/>
      </c>
      <c r="F321" s="364">
        <f>IFERROR(__xludf.DUMMYFUNCTION("GOOGLEFINANCE(C321,""price"")"),33.38)</f>
        <v>33.38</v>
      </c>
      <c r="G321" s="345">
        <f t="shared" si="6"/>
        <v>-0.3624912829</v>
      </c>
      <c r="H321" s="347"/>
      <c r="I321" s="376">
        <f t="shared" ref="I321:I322" si="176">(N321*($I$1+O321*100))</f>
        <v>21.28004098</v>
      </c>
      <c r="J321" s="359">
        <v>0.44</v>
      </c>
      <c r="K321" s="359">
        <v>0.59</v>
      </c>
      <c r="L321" s="360">
        <v>43708.0</v>
      </c>
      <c r="M321" s="351">
        <f t="shared" si="7"/>
        <v>-0.154358154</v>
      </c>
      <c r="N321" s="349">
        <f t="shared" si="8"/>
        <v>0.6131537231</v>
      </c>
      <c r="O321" s="361">
        <v>0.2</v>
      </c>
      <c r="P321" s="361"/>
      <c r="Q321" s="362"/>
      <c r="R321" s="360"/>
      <c r="S321" s="360">
        <v>43606.0</v>
      </c>
      <c r="T321" s="355" t="s">
        <v>1608</v>
      </c>
      <c r="U321" s="363" t="s">
        <v>3315</v>
      </c>
      <c r="V321" s="358"/>
      <c r="W321" s="358"/>
      <c r="X321" s="358"/>
      <c r="Y321" s="358"/>
      <c r="Z321" s="358"/>
      <c r="AA321" s="358"/>
      <c r="AB321" s="358"/>
      <c r="AC321" s="358"/>
      <c r="AD321" s="358"/>
      <c r="AE321" s="358"/>
      <c r="AF321" s="358"/>
      <c r="AG321" s="358"/>
      <c r="AH321" s="358"/>
      <c r="AI321" s="358"/>
      <c r="AJ321" s="358"/>
      <c r="AK321" s="358"/>
      <c r="AL321" s="358"/>
      <c r="AM321" s="358"/>
      <c r="AN321" s="358"/>
      <c r="AO321" s="358"/>
      <c r="AP321" s="358"/>
      <c r="AQ321" s="358"/>
      <c r="AR321" s="358"/>
      <c r="AS321" s="358"/>
      <c r="AT321" s="358"/>
      <c r="AU321" s="358"/>
      <c r="AV321" s="358"/>
      <c r="AW321" s="358"/>
      <c r="AX321" s="358"/>
      <c r="AY321" s="358"/>
      <c r="AZ321" s="358"/>
      <c r="BA321" s="358"/>
      <c r="BB321" s="358"/>
      <c r="BC321" s="358"/>
      <c r="BD321" s="358"/>
      <c r="BE321" s="358"/>
      <c r="BF321" s="358"/>
      <c r="BG321" s="358"/>
      <c r="BH321" s="358"/>
      <c r="BI321" s="358"/>
      <c r="BJ321" s="358"/>
      <c r="BK321" s="358"/>
      <c r="BL321" s="358"/>
      <c r="BM321" s="358"/>
      <c r="BN321" s="358"/>
      <c r="BO321" s="358"/>
      <c r="BP321" s="358"/>
      <c r="BQ321" s="358"/>
      <c r="BR321" s="358"/>
      <c r="BS321" s="358"/>
      <c r="BT321" s="358"/>
      <c r="BU321" s="358"/>
      <c r="BV321" s="358"/>
      <c r="BW321" s="358"/>
      <c r="BX321" s="358"/>
      <c r="BY321" s="358"/>
      <c r="BZ321" s="358"/>
      <c r="CA321" s="358"/>
      <c r="CB321" s="358"/>
      <c r="CC321" s="358"/>
      <c r="CD321" s="358"/>
      <c r="CE321" s="358"/>
      <c r="CF321" s="358"/>
      <c r="CG321" s="358"/>
      <c r="CH321" s="358"/>
      <c r="CI321" s="358"/>
      <c r="CJ321" s="358"/>
      <c r="CK321" s="358"/>
      <c r="CL321" s="358"/>
      <c r="CM321" s="358"/>
      <c r="CN321" s="358"/>
      <c r="CO321" s="358"/>
      <c r="CP321" s="358"/>
      <c r="CQ321" s="358"/>
      <c r="CR321" s="358"/>
      <c r="CS321" s="358"/>
      <c r="CT321" s="358"/>
      <c r="CU321" s="358"/>
      <c r="CV321" s="358"/>
      <c r="CW321" s="358"/>
      <c r="CX321" s="358"/>
      <c r="CY321" s="358"/>
      <c r="CZ321" s="358"/>
      <c r="DA321" s="358"/>
      <c r="DB321" s="358"/>
      <c r="DC321" s="358"/>
      <c r="DD321" s="358"/>
      <c r="DE321" s="358"/>
      <c r="DF321" s="358"/>
      <c r="DG321" s="358"/>
      <c r="DH321" s="358"/>
      <c r="DI321" s="358"/>
      <c r="DJ321" s="358"/>
      <c r="DK321" s="358"/>
      <c r="DL321" s="358"/>
      <c r="DM321" s="358"/>
      <c r="DN321" s="358"/>
      <c r="DO321" s="358"/>
      <c r="DP321" s="358"/>
      <c r="DQ321" s="358"/>
      <c r="DR321" s="358"/>
      <c r="DS321" s="358"/>
      <c r="DT321" s="358"/>
      <c r="DU321" s="358"/>
      <c r="DV321" s="358"/>
      <c r="DW321" s="358"/>
    </row>
    <row r="322" ht="15.0" customHeight="1">
      <c r="A322" s="366">
        <v>41844.0</v>
      </c>
      <c r="B322" s="367" t="s">
        <v>3316</v>
      </c>
      <c r="C322" s="367" t="s">
        <v>1162</v>
      </c>
      <c r="D322" s="358">
        <v>145.0</v>
      </c>
      <c r="E322" s="345">
        <f>IFERROR(__xludf.DUMMYFUNCTION("if(and(D322&lt;&gt;0,D322&lt;&gt;""""),D322/GOOGLEFINANCE(C322,""price"")-1,"""")"),-0.12986077772443583)</f>
        <v>-0.1298607777</v>
      </c>
      <c r="F322" s="364">
        <f>IFERROR(__xludf.DUMMYFUNCTION("GOOGLEFINANCE(C322,""price"")"),166.64)</f>
        <v>166.64</v>
      </c>
      <c r="G322" s="345">
        <f t="shared" si="6"/>
        <v>0.4076185123</v>
      </c>
      <c r="H322" s="347"/>
      <c r="I322" s="347">
        <f t="shared" si="176"/>
        <v>234.5655489</v>
      </c>
      <c r="J322" s="369">
        <v>11.81</v>
      </c>
      <c r="K322" s="369">
        <v>12.6</v>
      </c>
      <c r="L322" s="354">
        <v>43465.0</v>
      </c>
      <c r="M322" s="351">
        <f t="shared" si="7"/>
        <v>-0.8201115742</v>
      </c>
      <c r="N322" s="349">
        <f t="shared" si="8"/>
        <v>13.24788814</v>
      </c>
      <c r="O322" s="361">
        <v>0.03</v>
      </c>
      <c r="P322" s="361"/>
      <c r="Q322" s="362"/>
      <c r="R322" s="360"/>
      <c r="S322" s="360">
        <v>43399.0</v>
      </c>
      <c r="T322" s="365" t="s">
        <v>1223</v>
      </c>
      <c r="U322" s="363" t="s">
        <v>3317</v>
      </c>
      <c r="V322" s="358"/>
      <c r="W322" s="358"/>
      <c r="X322" s="358"/>
      <c r="Y322" s="358"/>
      <c r="Z322" s="358"/>
      <c r="AA322" s="358"/>
      <c r="AB322" s="358"/>
      <c r="AC322" s="358"/>
      <c r="AD322" s="358"/>
      <c r="AE322" s="358"/>
      <c r="AF322" s="358"/>
      <c r="AG322" s="358"/>
      <c r="AH322" s="358"/>
      <c r="AI322" s="358"/>
      <c r="AJ322" s="358"/>
      <c r="AK322" s="358"/>
      <c r="AL322" s="358"/>
      <c r="AM322" s="358"/>
      <c r="AN322" s="358"/>
      <c r="AO322" s="358"/>
      <c r="AP322" s="358"/>
      <c r="AQ322" s="358"/>
      <c r="AR322" s="358"/>
      <c r="AS322" s="358"/>
      <c r="AT322" s="358"/>
      <c r="AU322" s="358"/>
      <c r="AV322" s="358"/>
      <c r="AW322" s="358"/>
      <c r="AX322" s="358"/>
      <c r="AY322" s="358"/>
      <c r="AZ322" s="358"/>
      <c r="BA322" s="358"/>
      <c r="BB322" s="358"/>
      <c r="BC322" s="358"/>
      <c r="BD322" s="358"/>
      <c r="BE322" s="358"/>
      <c r="BF322" s="358"/>
      <c r="BG322" s="358"/>
      <c r="BH322" s="358"/>
      <c r="BI322" s="358"/>
      <c r="BJ322" s="358"/>
      <c r="BK322" s="358"/>
      <c r="BL322" s="358"/>
      <c r="BM322" s="358"/>
      <c r="BN322" s="358"/>
      <c r="BO322" s="358"/>
      <c r="BP322" s="358"/>
      <c r="BQ322" s="358"/>
      <c r="BR322" s="358"/>
      <c r="BS322" s="358"/>
      <c r="BT322" s="358"/>
      <c r="BU322" s="358"/>
      <c r="BV322" s="358"/>
      <c r="BW322" s="358"/>
      <c r="BX322" s="358"/>
      <c r="BY322" s="358"/>
      <c r="BZ322" s="358"/>
      <c r="CA322" s="358"/>
      <c r="CB322" s="358"/>
      <c r="CC322" s="358"/>
      <c r="CD322" s="358"/>
      <c r="CE322" s="358"/>
      <c r="CF322" s="358"/>
      <c r="CG322" s="358"/>
      <c r="CH322" s="358"/>
      <c r="CI322" s="358"/>
      <c r="CJ322" s="358"/>
      <c r="CK322" s="358"/>
      <c r="CL322" s="358"/>
      <c r="CM322" s="358"/>
      <c r="CN322" s="358"/>
      <c r="CO322" s="358"/>
      <c r="CP322" s="358"/>
      <c r="CQ322" s="358"/>
      <c r="CR322" s="358"/>
      <c r="CS322" s="358"/>
      <c r="CT322" s="358"/>
      <c r="CU322" s="358"/>
      <c r="CV322" s="358"/>
      <c r="CW322" s="358"/>
      <c r="CX322" s="358"/>
      <c r="CY322" s="358"/>
      <c r="CZ322" s="358"/>
      <c r="DA322" s="358"/>
      <c r="DB322" s="358"/>
      <c r="DC322" s="358"/>
      <c r="DD322" s="358"/>
      <c r="DE322" s="358"/>
      <c r="DF322" s="358"/>
      <c r="DG322" s="358"/>
      <c r="DH322" s="358"/>
      <c r="DI322" s="358"/>
      <c r="DJ322" s="358"/>
      <c r="DK322" s="358"/>
      <c r="DL322" s="358"/>
      <c r="DM322" s="358"/>
      <c r="DN322" s="358"/>
      <c r="DO322" s="358"/>
      <c r="DP322" s="358"/>
      <c r="DQ322" s="358"/>
      <c r="DR322" s="358"/>
      <c r="DS322" s="358"/>
      <c r="DT322" s="358"/>
      <c r="DU322" s="358"/>
      <c r="DV322" s="358"/>
      <c r="DW322" s="358"/>
    </row>
    <row r="323" ht="15.0" customHeight="1">
      <c r="A323" s="383">
        <v>41481.0</v>
      </c>
      <c r="B323" s="320" t="s">
        <v>3318</v>
      </c>
      <c r="C323" s="320" t="s">
        <v>1138</v>
      </c>
      <c r="D323" s="532"/>
      <c r="E323" s="374" t="str">
        <f>IFERROR(__xludf.DUMMYFUNCTION("if(and(D323&lt;&gt;0,D323&lt;&gt;""""),D323/GOOGLEFINANCE(C323,""price"")-1,"""")"),"")</f>
        <v/>
      </c>
      <c r="F323" s="375">
        <f>IFERROR(__xludf.DUMMYFUNCTION("GOOGLEFINANCE(C323,""price"")"),34.18)</f>
        <v>34.18</v>
      </c>
      <c r="G323" s="374">
        <f t="shared" si="6"/>
        <v>-0.3677589233</v>
      </c>
      <c r="H323" s="376"/>
      <c r="I323" s="368">
        <v>21.61</v>
      </c>
      <c r="J323" s="380"/>
      <c r="K323" s="380"/>
      <c r="L323" s="389"/>
      <c r="M323" s="379">
        <f t="shared" si="7"/>
        <v>-119.9023034</v>
      </c>
      <c r="N323" s="380">
        <f t="shared" si="8"/>
        <v>0</v>
      </c>
      <c r="O323" s="389"/>
      <c r="P323" s="415"/>
      <c r="Q323" s="379"/>
      <c r="R323" s="416"/>
      <c r="S323" s="416"/>
      <c r="T323" s="416"/>
      <c r="U323" s="417" t="s">
        <v>3319</v>
      </c>
      <c r="V323" s="367"/>
      <c r="W323" s="367"/>
      <c r="X323" s="367"/>
      <c r="Y323" s="367"/>
      <c r="Z323" s="367"/>
      <c r="AA323" s="367"/>
      <c r="AB323" s="367"/>
      <c r="AC323" s="367"/>
      <c r="AD323" s="367"/>
      <c r="AE323" s="367"/>
      <c r="AF323" s="367"/>
      <c r="AG323" s="367"/>
      <c r="AH323" s="367"/>
      <c r="AI323" s="367"/>
      <c r="AJ323" s="367"/>
      <c r="AK323" s="367"/>
      <c r="AL323" s="367"/>
      <c r="AM323" s="367"/>
      <c r="AN323" s="367"/>
      <c r="AO323" s="367"/>
      <c r="AP323" s="367"/>
      <c r="AQ323" s="367"/>
      <c r="AR323" s="367"/>
      <c r="AS323" s="367"/>
      <c r="AT323" s="367"/>
      <c r="AU323" s="367"/>
      <c r="AV323" s="367"/>
      <c r="AW323" s="367"/>
      <c r="AX323" s="367"/>
      <c r="AY323" s="367"/>
      <c r="AZ323" s="367"/>
      <c r="BA323" s="367"/>
      <c r="BB323" s="367"/>
      <c r="BC323" s="367"/>
      <c r="BD323" s="367"/>
      <c r="BE323" s="367"/>
      <c r="BF323" s="367"/>
      <c r="BG323" s="367"/>
      <c r="BH323" s="367"/>
      <c r="BI323" s="367"/>
      <c r="BJ323" s="367"/>
      <c r="BK323" s="367"/>
      <c r="BL323" s="367"/>
      <c r="BM323" s="367"/>
      <c r="BN323" s="367"/>
      <c r="BO323" s="367"/>
      <c r="BP323" s="367"/>
      <c r="BQ323" s="367"/>
      <c r="BR323" s="367"/>
      <c r="BS323" s="367"/>
      <c r="BT323" s="367"/>
      <c r="BU323" s="367"/>
      <c r="BV323" s="367"/>
      <c r="BW323" s="367"/>
      <c r="BX323" s="367"/>
      <c r="BY323" s="367"/>
      <c r="BZ323" s="367"/>
      <c r="CA323" s="367"/>
      <c r="CB323" s="367"/>
      <c r="CC323" s="367"/>
      <c r="CD323" s="367"/>
      <c r="CE323" s="367"/>
      <c r="CF323" s="367"/>
      <c r="CG323" s="367"/>
      <c r="CH323" s="367"/>
      <c r="CI323" s="367"/>
      <c r="CJ323" s="367"/>
      <c r="CK323" s="367"/>
      <c r="CL323" s="367"/>
      <c r="CM323" s="367"/>
      <c r="CN323" s="367"/>
      <c r="CO323" s="367"/>
      <c r="CP323" s="367"/>
      <c r="CQ323" s="367"/>
      <c r="CR323" s="367"/>
      <c r="CS323" s="367"/>
      <c r="CT323" s="367"/>
      <c r="CU323" s="367"/>
      <c r="CV323" s="367"/>
      <c r="CW323" s="367"/>
      <c r="CX323" s="367"/>
      <c r="CY323" s="367"/>
      <c r="CZ323" s="367"/>
      <c r="DA323" s="367"/>
      <c r="DB323" s="367"/>
      <c r="DC323" s="367"/>
      <c r="DD323" s="367"/>
      <c r="DE323" s="367"/>
      <c r="DF323" s="367"/>
      <c r="DG323" s="367"/>
      <c r="DH323" s="367"/>
      <c r="DI323" s="367"/>
      <c r="DJ323" s="367"/>
      <c r="DK323" s="367"/>
      <c r="DL323" s="367"/>
      <c r="DM323" s="367"/>
      <c r="DN323" s="367"/>
      <c r="DO323" s="367"/>
      <c r="DP323" s="367"/>
      <c r="DQ323" s="367"/>
      <c r="DR323" s="367"/>
      <c r="DS323" s="367"/>
      <c r="DT323" s="367"/>
      <c r="DU323" s="367"/>
      <c r="DV323" s="367"/>
      <c r="DW323" s="367"/>
    </row>
    <row r="324" ht="15.0" customHeight="1">
      <c r="A324" s="372">
        <v>42632.0</v>
      </c>
      <c r="B324" s="384" t="s">
        <v>3320</v>
      </c>
      <c r="C324" s="384" t="s">
        <v>3321</v>
      </c>
      <c r="D324" s="532"/>
      <c r="E324" s="374" t="str">
        <f>IFERROR(__xludf.DUMMYFUNCTION("if(and(D324&lt;&gt;0,D324&lt;&gt;""""),D324/GOOGLEFINANCE(C324,""price"")-1,"""")"),"")</f>
        <v/>
      </c>
      <c r="F324" s="375">
        <f>IFERROR(__xludf.DUMMYFUNCTION("GOOGLEFINANCE(C324,""price"")"),50.56)</f>
        <v>50.56</v>
      </c>
      <c r="G324" s="374">
        <f t="shared" si="6"/>
        <v>0.8035793233</v>
      </c>
      <c r="H324" s="376"/>
      <c r="I324" s="368">
        <f>(4.35*0.75+0.25*5.46)*($I$1+5)</f>
        <v>91.18897059</v>
      </c>
      <c r="J324" s="380"/>
      <c r="K324" s="380"/>
      <c r="L324" s="389"/>
      <c r="M324" s="379">
        <f t="shared" si="7"/>
        <v>-119.9023034</v>
      </c>
      <c r="N324" s="380">
        <f t="shared" si="8"/>
        <v>0</v>
      </c>
      <c r="O324" s="389"/>
      <c r="P324" s="390"/>
      <c r="Q324" s="391"/>
      <c r="R324" s="387"/>
      <c r="S324" s="387"/>
      <c r="T324" s="387"/>
      <c r="U324" s="386" t="s">
        <v>3323</v>
      </c>
      <c r="V324" s="344"/>
      <c r="W324" s="344"/>
      <c r="X324" s="344"/>
      <c r="Y324" s="344"/>
      <c r="Z324" s="344"/>
      <c r="AA324" s="344"/>
      <c r="AB324" s="344"/>
      <c r="AC324" s="344"/>
      <c r="AD324" s="344"/>
      <c r="AE324" s="344"/>
      <c r="AF324" s="344"/>
      <c r="AG324" s="344"/>
      <c r="AH324" s="344"/>
      <c r="AI324" s="344"/>
      <c r="AJ324" s="344"/>
      <c r="AK324" s="344"/>
      <c r="AL324" s="344"/>
      <c r="AM324" s="344"/>
      <c r="AN324" s="344"/>
      <c r="AO324" s="344"/>
      <c r="AP324" s="344"/>
      <c r="AQ324" s="344"/>
      <c r="AR324" s="344"/>
      <c r="AS324" s="344"/>
      <c r="AT324" s="344"/>
      <c r="AU324" s="344"/>
      <c r="AV324" s="344"/>
      <c r="AW324" s="344"/>
      <c r="AX324" s="344"/>
      <c r="AY324" s="344"/>
      <c r="AZ324" s="344"/>
      <c r="BA324" s="344"/>
      <c r="BB324" s="344"/>
      <c r="BC324" s="344"/>
      <c r="BD324" s="344"/>
      <c r="BE324" s="344"/>
      <c r="BF324" s="344"/>
      <c r="BG324" s="344"/>
      <c r="BH324" s="344"/>
      <c r="BI324" s="344"/>
      <c r="BJ324" s="344"/>
      <c r="BK324" s="344"/>
      <c r="BL324" s="344"/>
      <c r="BM324" s="344"/>
      <c r="BN324" s="344"/>
      <c r="BO324" s="344"/>
      <c r="BP324" s="344"/>
      <c r="BQ324" s="344"/>
      <c r="BR324" s="344"/>
      <c r="BS324" s="344"/>
      <c r="BT324" s="344"/>
      <c r="BU324" s="344"/>
      <c r="BV324" s="344"/>
      <c r="BW324" s="344"/>
      <c r="BX324" s="344"/>
      <c r="BY324" s="344"/>
      <c r="BZ324" s="344"/>
      <c r="CA324" s="344"/>
      <c r="CB324" s="344"/>
      <c r="CC324" s="344"/>
      <c r="CD324" s="344"/>
      <c r="CE324" s="344"/>
      <c r="CF324" s="344"/>
      <c r="CG324" s="344"/>
      <c r="CH324" s="344"/>
      <c r="CI324" s="344"/>
      <c r="CJ324" s="344"/>
      <c r="CK324" s="344"/>
      <c r="CL324" s="344"/>
      <c r="CM324" s="344"/>
      <c r="CN324" s="344"/>
      <c r="CO324" s="344"/>
      <c r="CP324" s="344"/>
      <c r="CQ324" s="344"/>
      <c r="CR324" s="344"/>
      <c r="CS324" s="344"/>
      <c r="CT324" s="344"/>
      <c r="CU324" s="344"/>
      <c r="CV324" s="344"/>
      <c r="CW324" s="344"/>
      <c r="CX324" s="344"/>
      <c r="CY324" s="344"/>
      <c r="CZ324" s="344"/>
      <c r="DA324" s="344"/>
      <c r="DB324" s="344"/>
      <c r="DC324" s="344"/>
      <c r="DD324" s="344"/>
      <c r="DE324" s="344"/>
      <c r="DF324" s="344"/>
      <c r="DG324" s="344"/>
      <c r="DH324" s="344"/>
      <c r="DI324" s="344"/>
      <c r="DJ324" s="344"/>
      <c r="DK324" s="344"/>
      <c r="DL324" s="344"/>
      <c r="DM324" s="344"/>
      <c r="DN324" s="344"/>
      <c r="DO324" s="344"/>
      <c r="DP324" s="344"/>
      <c r="DQ324" s="344"/>
      <c r="DR324" s="344"/>
      <c r="DS324" s="344"/>
      <c r="DT324" s="344"/>
      <c r="DU324" s="344"/>
      <c r="DV324" s="344"/>
      <c r="DW324" s="344"/>
    </row>
    <row r="325" ht="15.0" customHeight="1">
      <c r="A325" s="372">
        <v>42022.0</v>
      </c>
      <c r="B325" s="384" t="s">
        <v>3324</v>
      </c>
      <c r="C325" s="384" t="s">
        <v>3325</v>
      </c>
      <c r="D325" s="532"/>
      <c r="E325" s="374" t="str">
        <f>IFERROR(__xludf.DUMMYFUNCTION("if(and(D325&lt;&gt;0,D325&lt;&gt;""""),D325/GOOGLEFINANCE(C325,""price"")-1,"""")"),"")</f>
        <v/>
      </c>
      <c r="F325" s="375">
        <f>IFERROR(__xludf.DUMMYFUNCTION("GOOGLEFINANCE(C325,""price"")"),155.56)</f>
        <v>155.56</v>
      </c>
      <c r="G325" s="374">
        <f t="shared" si="6"/>
        <v>-0.4081014702</v>
      </c>
      <c r="H325" s="376"/>
      <c r="I325" s="376">
        <f>4.45*1.05*($I$1+5)</f>
        <v>92.07573529</v>
      </c>
      <c r="J325" s="380"/>
      <c r="K325" s="380"/>
      <c r="L325" s="389"/>
      <c r="M325" s="379">
        <f t="shared" si="7"/>
        <v>-119.9023034</v>
      </c>
      <c r="N325" s="380">
        <f t="shared" si="8"/>
        <v>0</v>
      </c>
      <c r="O325" s="389"/>
      <c r="P325" s="415"/>
      <c r="Q325" s="379"/>
      <c r="R325" s="416"/>
      <c r="S325" s="416"/>
      <c r="T325" s="416"/>
      <c r="U325" s="417"/>
      <c r="V325" s="367"/>
      <c r="W325" s="367"/>
      <c r="X325" s="367"/>
      <c r="Y325" s="367"/>
      <c r="Z325" s="367"/>
      <c r="AA325" s="367"/>
      <c r="AB325" s="367"/>
      <c r="AC325" s="367"/>
      <c r="AD325" s="367"/>
      <c r="AE325" s="367"/>
      <c r="AF325" s="367"/>
      <c r="AG325" s="367"/>
      <c r="AH325" s="367"/>
      <c r="AI325" s="367"/>
      <c r="AJ325" s="367"/>
      <c r="AK325" s="367"/>
      <c r="AL325" s="367"/>
      <c r="AM325" s="367"/>
      <c r="AN325" s="367"/>
      <c r="AO325" s="367"/>
      <c r="AP325" s="367"/>
      <c r="AQ325" s="367"/>
      <c r="AR325" s="367"/>
      <c r="AS325" s="367"/>
      <c r="AT325" s="367"/>
      <c r="AU325" s="367"/>
      <c r="AV325" s="367"/>
      <c r="AW325" s="367"/>
      <c r="AX325" s="367"/>
      <c r="AY325" s="367"/>
      <c r="AZ325" s="367"/>
      <c r="BA325" s="367"/>
      <c r="BB325" s="367"/>
      <c r="BC325" s="367"/>
      <c r="BD325" s="367"/>
      <c r="BE325" s="367"/>
      <c r="BF325" s="367"/>
      <c r="BG325" s="367"/>
      <c r="BH325" s="367"/>
      <c r="BI325" s="367"/>
      <c r="BJ325" s="367"/>
      <c r="BK325" s="367"/>
      <c r="BL325" s="367"/>
      <c r="BM325" s="367"/>
      <c r="BN325" s="367"/>
      <c r="BO325" s="367"/>
      <c r="BP325" s="367"/>
      <c r="BQ325" s="367"/>
      <c r="BR325" s="367"/>
      <c r="BS325" s="367"/>
      <c r="BT325" s="367"/>
      <c r="BU325" s="367"/>
      <c r="BV325" s="367"/>
      <c r="BW325" s="367"/>
      <c r="BX325" s="367"/>
      <c r="BY325" s="367"/>
      <c r="BZ325" s="367"/>
      <c r="CA325" s="367"/>
      <c r="CB325" s="367"/>
      <c r="CC325" s="367"/>
      <c r="CD325" s="367"/>
      <c r="CE325" s="367"/>
      <c r="CF325" s="367"/>
      <c r="CG325" s="367"/>
      <c r="CH325" s="367"/>
      <c r="CI325" s="367"/>
      <c r="CJ325" s="367"/>
      <c r="CK325" s="367"/>
      <c r="CL325" s="367"/>
      <c r="CM325" s="367"/>
      <c r="CN325" s="367"/>
      <c r="CO325" s="367"/>
      <c r="CP325" s="367"/>
      <c r="CQ325" s="367"/>
      <c r="CR325" s="367"/>
      <c r="CS325" s="367"/>
      <c r="CT325" s="367"/>
      <c r="CU325" s="367"/>
      <c r="CV325" s="367"/>
      <c r="CW325" s="367"/>
      <c r="CX325" s="367"/>
      <c r="CY325" s="367"/>
      <c r="CZ325" s="367"/>
      <c r="DA325" s="367"/>
      <c r="DB325" s="367"/>
      <c r="DC325" s="367"/>
      <c r="DD325" s="367"/>
      <c r="DE325" s="367"/>
      <c r="DF325" s="367"/>
      <c r="DG325" s="367"/>
      <c r="DH325" s="367"/>
      <c r="DI325" s="367"/>
      <c r="DJ325" s="367"/>
      <c r="DK325" s="367"/>
      <c r="DL325" s="367"/>
      <c r="DM325" s="367"/>
      <c r="DN325" s="367"/>
      <c r="DO325" s="367"/>
      <c r="DP325" s="367"/>
      <c r="DQ325" s="367"/>
      <c r="DR325" s="367"/>
      <c r="DS325" s="367"/>
      <c r="DT325" s="367"/>
      <c r="DU325" s="367"/>
      <c r="DV325" s="367"/>
      <c r="DW325" s="367"/>
    </row>
    <row r="326">
      <c r="A326" s="343">
        <v>42514.0</v>
      </c>
      <c r="B326" s="344" t="s">
        <v>3326</v>
      </c>
      <c r="C326" s="344" t="s">
        <v>1137</v>
      </c>
      <c r="D326" s="344">
        <v>160.0</v>
      </c>
      <c r="E326" s="345">
        <f>IFERROR(__xludf.DUMMYFUNCTION("if(and(D326&lt;&gt;0,D326&lt;&gt;""""),D326/GOOGLEFINANCE(C326,""price"")-1,"""")"),-0.3581257271231998)</f>
        <v>-0.3581257271</v>
      </c>
      <c r="F326" s="364">
        <f>IFERROR(__xludf.DUMMYFUNCTION("GOOGLEFINANCE(C326,""price"")"),249.27)</f>
        <v>249.27</v>
      </c>
      <c r="G326" s="345">
        <f t="shared" si="6"/>
        <v>-0.105600829</v>
      </c>
      <c r="H326" s="347"/>
      <c r="I326" s="347">
        <f t="shared" ref="I326:I327" si="179">sum(CY326:DS326)</f>
        <v>222.9468814</v>
      </c>
      <c r="J326" s="369">
        <v>9.2</v>
      </c>
      <c r="K326" s="369">
        <v>10.11</v>
      </c>
      <c r="L326" s="360">
        <v>43830.0</v>
      </c>
      <c r="M326" s="351">
        <f t="shared" si="7"/>
        <v>0.1798884264</v>
      </c>
      <c r="N326" s="349">
        <f t="shared" si="8"/>
        <v>9.946301532</v>
      </c>
      <c r="O326" s="361">
        <v>0.06</v>
      </c>
      <c r="P326" s="361">
        <v>0.3</v>
      </c>
      <c r="Q326" s="371">
        <f t="shared" ref="Q326:Q327" si="180">I326/N326</f>
        <v>22.41505354</v>
      </c>
      <c r="R326" s="355">
        <v>8.0</v>
      </c>
      <c r="S326" s="360">
        <v>43747.0</v>
      </c>
      <c r="T326" s="355" t="s">
        <v>1223</v>
      </c>
      <c r="U326" s="356" t="s">
        <v>3327</v>
      </c>
      <c r="V326" s="429">
        <f t="shared" ref="V326:V327" si="181">O326</f>
        <v>0.06</v>
      </c>
      <c r="W326" s="430">
        <f>max(min(Valu!$C$15,$O326),$O326-max($O326-Valu!$C$15,0)/$R326*(W$3-1))</f>
        <v>0.05625</v>
      </c>
      <c r="X326" s="430">
        <f>max(min(Valu!$C$15,$O326),$O326-max($O326-Valu!$C$15,0)/$R326*(X$3-1))</f>
        <v>0.0525</v>
      </c>
      <c r="Y326" s="430">
        <f>max(min(Valu!$C$15,$O326),$O326-max($O326-Valu!$C$15,0)/$R326*(Y$3-1))</f>
        <v>0.04875</v>
      </c>
      <c r="Z326" s="430">
        <f>max(min(Valu!$C$15,$O326),$O326-max($O326-Valu!$C$15,0)/$R326*(Z$3-1))</f>
        <v>0.045</v>
      </c>
      <c r="AA326" s="430">
        <f>max(min(Valu!$C$15,$O326),$O326-max($O326-Valu!$C$15,0)/$R326*(AA$3-1))</f>
        <v>0.04125</v>
      </c>
      <c r="AB326" s="430">
        <f>max(min(Valu!$C$15,$O326),$O326-max($O326-Valu!$C$15,0)/$R326*(AB$3-1))</f>
        <v>0.0375</v>
      </c>
      <c r="AC326" s="430">
        <f>max(min(Valu!$C$15,$O326),$O326-max($O326-Valu!$C$15,0)/$R326*(AC$3-1))</f>
        <v>0.03375</v>
      </c>
      <c r="AD326" s="430">
        <f>max(min(Valu!$C$15,$O326),$O326-max($O326-Valu!$C$15,0)/$R326*(AD$3-1))</f>
        <v>0.03</v>
      </c>
      <c r="AE326" s="430">
        <f>max(min(Valu!$C$15,$O326),$O326-max($O326-Valu!$C$15,0)/$R326*(AE$3-1))</f>
        <v>0.03</v>
      </c>
      <c r="AF326" s="430">
        <f>max(min(Valu!$C$15,$O326),$O326-max($O326-Valu!$C$15,0)/$R326*(AF$3-1))</f>
        <v>0.03</v>
      </c>
      <c r="AG326" s="430">
        <f>max(min(Valu!$C$15,$O326),$O326-max($O326-Valu!$C$15,0)/$R326*(AG$3-1))</f>
        <v>0.03</v>
      </c>
      <c r="AH326" s="430">
        <f>max(min(Valu!$C$15,$O326),$O326-max($O326-Valu!$C$15,0)/$R326*(AH$3-1))</f>
        <v>0.03</v>
      </c>
      <c r="AI326" s="430">
        <f>max(min(Valu!$C$15,$O326),$O326-max($O326-Valu!$C$15,0)/$R326*(AI$3-1))</f>
        <v>0.03</v>
      </c>
      <c r="AJ326" s="430">
        <f>max(min(Valu!$C$15,$O326),$O326-max($O326-Valu!$C$15,0)/$R326*(AJ$3-1))</f>
        <v>0.03</v>
      </c>
      <c r="AK326" s="430">
        <f>max(min(Valu!$C$15,$O326),$O326-max($O326-Valu!$C$15,0)/$R326*(AK$3-1))</f>
        <v>0.03</v>
      </c>
      <c r="AL326" s="430">
        <f>max(min(Valu!$C$15,$O326),$O326-max($O326-Valu!$C$15,0)/$R326*(AL$3-1))</f>
        <v>0.03</v>
      </c>
      <c r="AM326" s="430">
        <f>max(min(Valu!$C$15,$O326),$O326-max($O326-Valu!$C$15,0)/$R326*(AM$3-1))</f>
        <v>0.03</v>
      </c>
      <c r="AN326" s="430">
        <f>max(min(Valu!$C$15,$O326),$O326-max($O326-Valu!$C$15,0)/$R326*(AN$3-1))</f>
        <v>0.03</v>
      </c>
      <c r="AO326" s="430">
        <f>max(min(Valu!$C$15,$O326),$O326-max($O326-Valu!$C$15,0)/$R326*(AO$3-1))</f>
        <v>0.03</v>
      </c>
      <c r="AP326" s="430">
        <f>max(min(Valu!$C$14,$P326),$P326-max($P326-Valu!$C$14,0)/$R326*(AP$3-1))</f>
        <v>0.3</v>
      </c>
      <c r="AQ326" s="430">
        <f>max(min(Valu!$C$14,$P326),$P326-max($P326-Valu!$C$14,0)/$R326*(AQ$3-1))</f>
        <v>0.2775</v>
      </c>
      <c r="AR326" s="430">
        <f>max(min(Valu!$C$14,$P326),$P326-max($P326-Valu!$C$14,0)/$R326*(AR$3-1))</f>
        <v>0.255</v>
      </c>
      <c r="AS326" s="430">
        <f>max(min(Valu!$C$14,$P326),$P326-max($P326-Valu!$C$14,0)/$R326*(AS$3-1))</f>
        <v>0.2325</v>
      </c>
      <c r="AT326" s="430">
        <f>max(min(Valu!$C$14,$P326),$P326-max($P326-Valu!$C$14,0)/$R326*(AT$3-1))</f>
        <v>0.21</v>
      </c>
      <c r="AU326" s="430">
        <f>max(min(Valu!$C$14,$P326),$P326-max($P326-Valu!$C$14,0)/$R326*(AU$3-1))</f>
        <v>0.1875</v>
      </c>
      <c r="AV326" s="430">
        <f>max(min(Valu!$C$14,$P326),$P326-max($P326-Valu!$C$14,0)/$R326*(AV$3-1))</f>
        <v>0.165</v>
      </c>
      <c r="AW326" s="430">
        <f>max(min(Valu!$C$14,$P326),$P326-max($P326-Valu!$C$14,0)/$R326*(AW$3-1))</f>
        <v>0.1425</v>
      </c>
      <c r="AX326" s="430">
        <f>max(min(Valu!$C$14,$P326),$P326-max($P326-Valu!$C$14,0)/$R326*(AX$3-1))</f>
        <v>0.12</v>
      </c>
      <c r="AY326" s="430">
        <f>max(min(Valu!$C$14,$P326),$P326-max($P326-Valu!$C$14,0)/$R326*(AY$3-1))</f>
        <v>0.12</v>
      </c>
      <c r="AZ326" s="430">
        <f>max(min(Valu!$C$14,$P326),$P326-max($P326-Valu!$C$14,0)/$R326*(AZ$3-1))</f>
        <v>0.12</v>
      </c>
      <c r="BA326" s="430">
        <f>max(min(Valu!$C$14,$P326),$P326-max($P326-Valu!$C$14,0)/$R326*(BA$3-1))</f>
        <v>0.12</v>
      </c>
      <c r="BB326" s="430">
        <f>max(min(Valu!$C$14,$P326),$P326-max($P326-Valu!$C$14,0)/$R326*(BB$3-1))</f>
        <v>0.12</v>
      </c>
      <c r="BC326" s="430">
        <f>max(min(Valu!$C$14,$P326),$P326-max($P326-Valu!$C$14,0)/$R326*(BC$3-1))</f>
        <v>0.12</v>
      </c>
      <c r="BD326" s="430">
        <f>max(min(Valu!$C$14,$P326),$P326-max($P326-Valu!$C$14,0)/$R326*(BD$3-1))</f>
        <v>0.12</v>
      </c>
      <c r="BE326" s="430">
        <f>max(min(Valu!$C$14,$P326),$P326-max($P326-Valu!$C$14,0)/$R326*(BE$3-1))</f>
        <v>0.12</v>
      </c>
      <c r="BF326" s="430">
        <f>max(min(Valu!$C$14,$P326),$P326-max($P326-Valu!$C$14,0)/$R326*(BF$3-1))</f>
        <v>0.12</v>
      </c>
      <c r="BG326" s="430">
        <f>max(min(Valu!$C$14,$P326),$P326-max($P326-Valu!$C$14,0)/$R326*(BG$3-1))</f>
        <v>0.12</v>
      </c>
      <c r="BH326" s="430">
        <f>max(min(Valu!$C$14,$P326),$P326-max($P326-Valu!$C$14,0)/$R326*(BH$3-1))</f>
        <v>0.12</v>
      </c>
      <c r="BI326" s="430">
        <f>max(min(Valu!$C$14,$P326),$P326-max($P326-Valu!$C$14,0)/$R326*(BI$3-1))</f>
        <v>0.12</v>
      </c>
      <c r="BJ326" s="431">
        <f t="shared" ref="BJ326:BJ327" si="182">N326</f>
        <v>9.946301532</v>
      </c>
      <c r="BK326" s="432">
        <f t="shared" ref="BK326:BK327" si="183">$BJ326*(1+V326)</f>
        <v>10.54307962</v>
      </c>
      <c r="BL326" s="432">
        <f t="shared" ref="BL326:CC326" si="177">BK326*(1+W326)</f>
        <v>11.13612785</v>
      </c>
      <c r="BM326" s="432">
        <f t="shared" si="177"/>
        <v>11.72077456</v>
      </c>
      <c r="BN326" s="432">
        <f t="shared" si="177"/>
        <v>12.29216233</v>
      </c>
      <c r="BO326" s="432">
        <f t="shared" si="177"/>
        <v>12.84530963</v>
      </c>
      <c r="BP326" s="432">
        <f t="shared" si="177"/>
        <v>13.37517865</v>
      </c>
      <c r="BQ326" s="432">
        <f t="shared" si="177"/>
        <v>13.87674785</v>
      </c>
      <c r="BR326" s="432">
        <f t="shared" si="177"/>
        <v>14.34508809</v>
      </c>
      <c r="BS326" s="432">
        <f t="shared" si="177"/>
        <v>14.77544073</v>
      </c>
      <c r="BT326" s="432">
        <f t="shared" si="177"/>
        <v>15.21870396</v>
      </c>
      <c r="BU326" s="432">
        <f t="shared" si="177"/>
        <v>15.67526507</v>
      </c>
      <c r="BV326" s="432">
        <f t="shared" si="177"/>
        <v>16.14552303</v>
      </c>
      <c r="BW326" s="432">
        <f t="shared" si="177"/>
        <v>16.62988872</v>
      </c>
      <c r="BX326" s="432">
        <f t="shared" si="177"/>
        <v>17.12878538</v>
      </c>
      <c r="BY326" s="432">
        <f t="shared" si="177"/>
        <v>17.64264894</v>
      </c>
      <c r="BZ326" s="432">
        <f t="shared" si="177"/>
        <v>18.17192841</v>
      </c>
      <c r="CA326" s="432">
        <f t="shared" si="177"/>
        <v>18.71708626</v>
      </c>
      <c r="CB326" s="432">
        <f t="shared" si="177"/>
        <v>19.27859885</v>
      </c>
      <c r="CC326" s="432">
        <f t="shared" si="177"/>
        <v>19.85695681</v>
      </c>
      <c r="CD326" s="432">
        <f t="shared" ref="CD326:CW326" si="178">BJ326*(1-V326/AP326)</f>
        <v>7.957041226</v>
      </c>
      <c r="CE326" s="432">
        <f t="shared" si="178"/>
        <v>8.405968889</v>
      </c>
      <c r="CF326" s="432">
        <f t="shared" si="178"/>
        <v>8.843395648</v>
      </c>
      <c r="CG326" s="432">
        <f t="shared" si="178"/>
        <v>9.263192801</v>
      </c>
      <c r="CH326" s="432">
        <f t="shared" si="178"/>
        <v>9.658127541</v>
      </c>
      <c r="CI326" s="432">
        <f t="shared" si="178"/>
        <v>10.01934151</v>
      </c>
      <c r="CJ326" s="432">
        <f t="shared" si="178"/>
        <v>10.33536532</v>
      </c>
      <c r="CK326" s="432">
        <f t="shared" si="178"/>
        <v>10.59014968</v>
      </c>
      <c r="CL326" s="432">
        <f t="shared" si="178"/>
        <v>10.75881607</v>
      </c>
      <c r="CM326" s="432">
        <f t="shared" si="178"/>
        <v>11.08158055</v>
      </c>
      <c r="CN326" s="432">
        <f t="shared" si="178"/>
        <v>11.41402797</v>
      </c>
      <c r="CO326" s="432">
        <f t="shared" si="178"/>
        <v>11.75644881</v>
      </c>
      <c r="CP326" s="432">
        <f t="shared" si="178"/>
        <v>12.10914227</v>
      </c>
      <c r="CQ326" s="432">
        <f t="shared" si="178"/>
        <v>12.47241654</v>
      </c>
      <c r="CR326" s="432">
        <f t="shared" si="178"/>
        <v>12.84658903</v>
      </c>
      <c r="CS326" s="432">
        <f t="shared" si="178"/>
        <v>13.23198671</v>
      </c>
      <c r="CT326" s="432">
        <f t="shared" si="178"/>
        <v>13.62894631</v>
      </c>
      <c r="CU326" s="432">
        <f t="shared" si="178"/>
        <v>14.0378147</v>
      </c>
      <c r="CV326" s="432">
        <f t="shared" si="178"/>
        <v>14.45894914</v>
      </c>
      <c r="CW326" s="432">
        <f t="shared" si="178"/>
        <v>14.89271761</v>
      </c>
      <c r="CX326" s="432">
        <f>CW326*(1+min(Valu!$C$15,$O326))/(Valu!$C$21-min(Valu!$C$15,$O326))</f>
        <v>403.67103</v>
      </c>
      <c r="CY326" s="432">
        <f>CD326/(1+Valu!$C$21)^CY$3</f>
        <v>7.450413133</v>
      </c>
      <c r="CZ326" s="432">
        <f>CE326/(1+Valu!$C$21)^CZ$3</f>
        <v>7.369623022</v>
      </c>
      <c r="DA326" s="432">
        <f>CF326/(1+Valu!$C$21)^DA$3</f>
        <v>7.259476395</v>
      </c>
      <c r="DB326" s="432">
        <f>CG326/(1+Valu!$C$21)^DB$3</f>
        <v>7.119929488</v>
      </c>
      <c r="DC326" s="432">
        <f>CH326/(1+Valu!$C$21)^DC$3</f>
        <v>6.950830094</v>
      </c>
      <c r="DD326" s="432">
        <f>CI326/(1+Valu!$C$21)^DD$3</f>
        <v>6.751677097</v>
      </c>
      <c r="DE326" s="432">
        <f>CJ326/(1+Valu!$C$21)^DE$3</f>
        <v>6.521193144</v>
      </c>
      <c r="DF326" s="432">
        <f>CK326/(1+Valu!$C$21)^DF$3</f>
        <v>6.256509044</v>
      </c>
      <c r="DG326" s="432">
        <f>CL326/(1+Valu!$C$21)^DG$3</f>
        <v>5.951455747</v>
      </c>
      <c r="DH326" s="432">
        <f>CM326/(1+Valu!$C$21)^DH$3</f>
        <v>5.739699831</v>
      </c>
      <c r="DI326" s="432">
        <f>CN326/(1+Valu!$C$21)^DI$3</f>
        <v>5.535478302</v>
      </c>
      <c r="DJ326" s="432">
        <f>CO326/(1+Valu!$C$21)^DJ$3</f>
        <v>5.338523081</v>
      </c>
      <c r="DK326" s="432">
        <f>CP326/(1+Valu!$C$21)^DK$3</f>
        <v>5.148575631</v>
      </c>
      <c r="DL326" s="432">
        <f>CQ326/(1+Valu!$C$21)^DL$3</f>
        <v>4.96538661</v>
      </c>
      <c r="DM326" s="432">
        <f>CR326/(1+Valu!$C$21)^DM$3</f>
        <v>4.788715551</v>
      </c>
      <c r="DN326" s="432">
        <f>CS326/(1+Valu!$C$21)^DN$3</f>
        <v>4.618330541</v>
      </c>
      <c r="DO326" s="432">
        <f>CT326/(1+Valu!$C$21)^DO$3</f>
        <v>4.454007918</v>
      </c>
      <c r="DP326" s="432">
        <f>CU326/(1+Valu!$C$21)^DP$3</f>
        <v>4.295531981</v>
      </c>
      <c r="DQ326" s="432">
        <f>CV326/(1+Valu!$C$21)^DQ$3</f>
        <v>4.142694701</v>
      </c>
      <c r="DR326" s="432">
        <f>CW326/(1+Valu!$C$21)^DR$3</f>
        <v>3.995295451</v>
      </c>
      <c r="DS326" s="432">
        <f>CX326/(1+Valu!$C$21)^DS$3</f>
        <v>108.2935346</v>
      </c>
      <c r="DT326" s="344"/>
      <c r="DU326" s="344"/>
      <c r="DV326" s="344"/>
      <c r="DW326" s="344"/>
    </row>
    <row r="327">
      <c r="A327" s="357">
        <v>43755.0</v>
      </c>
      <c r="B327" s="358" t="s">
        <v>3332</v>
      </c>
      <c r="C327" s="358" t="s">
        <v>3333</v>
      </c>
      <c r="D327" s="344">
        <v>160.0</v>
      </c>
      <c r="E327" s="345">
        <f>IFERROR(__xludf.DUMMYFUNCTION("if(and(D327&lt;&gt;0,D327&lt;&gt;""""),D327/GOOGLEFINANCE(C327,""price"")-1,"""")"),1.5441246621084432)</f>
        <v>1.544124662</v>
      </c>
      <c r="F327" s="364">
        <f>IFERROR(__xludf.DUMMYFUNCTION("GOOGLEFINANCE(C327,""price"")"),62.89)</f>
        <v>62.89</v>
      </c>
      <c r="G327" s="345">
        <f t="shared" si="6"/>
        <v>-0.01812686467</v>
      </c>
      <c r="H327" s="347"/>
      <c r="I327" s="347">
        <f t="shared" si="179"/>
        <v>61.75000148</v>
      </c>
      <c r="J327" s="369">
        <v>0.77</v>
      </c>
      <c r="K327" s="369">
        <v>1.11</v>
      </c>
      <c r="L327" s="360">
        <v>43830.0</v>
      </c>
      <c r="M327" s="351">
        <f t="shared" si="7"/>
        <v>0.1798884214</v>
      </c>
      <c r="N327" s="349">
        <f t="shared" si="8"/>
        <v>1.048837937</v>
      </c>
      <c r="O327" s="361">
        <v>0.4</v>
      </c>
      <c r="P327" s="361">
        <v>0.2</v>
      </c>
      <c r="Q327" s="371">
        <f t="shared" si="180"/>
        <v>58.87468342</v>
      </c>
      <c r="R327" s="355">
        <v>8.0</v>
      </c>
      <c r="S327" s="360">
        <v>43755.0</v>
      </c>
      <c r="T327" s="355" t="s">
        <v>1223</v>
      </c>
      <c r="U327" s="363" t="s">
        <v>3334</v>
      </c>
      <c r="V327" s="429">
        <f t="shared" si="181"/>
        <v>0.4</v>
      </c>
      <c r="W327" s="430">
        <f>max(min(Valu!$C$15,$O327),$O327-max($O327-Valu!$C$15,0)/$R327*(W$3-1))</f>
        <v>0.35375</v>
      </c>
      <c r="X327" s="430">
        <f>max(min(Valu!$C$15,$O327),$O327-max($O327-Valu!$C$15,0)/$R327*(X$3-1))</f>
        <v>0.3075</v>
      </c>
      <c r="Y327" s="430">
        <f>max(min(Valu!$C$15,$O327),$O327-max($O327-Valu!$C$15,0)/$R327*(Y$3-1))</f>
        <v>0.26125</v>
      </c>
      <c r="Z327" s="430">
        <f>max(min(Valu!$C$15,$O327),$O327-max($O327-Valu!$C$15,0)/$R327*(Z$3-1))</f>
        <v>0.215</v>
      </c>
      <c r="AA327" s="430">
        <f>max(min(Valu!$C$15,$O327),$O327-max($O327-Valu!$C$15,0)/$R327*(AA$3-1))</f>
        <v>0.16875</v>
      </c>
      <c r="AB327" s="430">
        <f>max(min(Valu!$C$15,$O327),$O327-max($O327-Valu!$C$15,0)/$R327*(AB$3-1))</f>
        <v>0.1225</v>
      </c>
      <c r="AC327" s="430">
        <f>max(min(Valu!$C$15,$O327),$O327-max($O327-Valu!$C$15,0)/$R327*(AC$3-1))</f>
        <v>0.07625</v>
      </c>
      <c r="AD327" s="430">
        <f>max(min(Valu!$C$15,$O327),$O327-max($O327-Valu!$C$15,0)/$R327*(AD$3-1))</f>
        <v>0.03</v>
      </c>
      <c r="AE327" s="430">
        <f>max(min(Valu!$C$15,$O327),$O327-max($O327-Valu!$C$15,0)/$R327*(AE$3-1))</f>
        <v>0.03</v>
      </c>
      <c r="AF327" s="430">
        <f>max(min(Valu!$C$15,$O327),$O327-max($O327-Valu!$C$15,0)/$R327*(AF$3-1))</f>
        <v>0.03</v>
      </c>
      <c r="AG327" s="430">
        <f>max(min(Valu!$C$15,$O327),$O327-max($O327-Valu!$C$15,0)/$R327*(AG$3-1))</f>
        <v>0.03</v>
      </c>
      <c r="AH327" s="430">
        <f>max(min(Valu!$C$15,$O327),$O327-max($O327-Valu!$C$15,0)/$R327*(AH$3-1))</f>
        <v>0.03</v>
      </c>
      <c r="AI327" s="430">
        <f>max(min(Valu!$C$15,$O327),$O327-max($O327-Valu!$C$15,0)/$R327*(AI$3-1))</f>
        <v>0.03</v>
      </c>
      <c r="AJ327" s="430">
        <f>max(min(Valu!$C$15,$O327),$O327-max($O327-Valu!$C$15,0)/$R327*(AJ$3-1))</f>
        <v>0.03</v>
      </c>
      <c r="AK327" s="430">
        <f>max(min(Valu!$C$15,$O327),$O327-max($O327-Valu!$C$15,0)/$R327*(AK$3-1))</f>
        <v>0.03</v>
      </c>
      <c r="AL327" s="430">
        <f>max(min(Valu!$C$15,$O327),$O327-max($O327-Valu!$C$15,0)/$R327*(AL$3-1))</f>
        <v>0.03</v>
      </c>
      <c r="AM327" s="430">
        <f>max(min(Valu!$C$15,$O327),$O327-max($O327-Valu!$C$15,0)/$R327*(AM$3-1))</f>
        <v>0.03</v>
      </c>
      <c r="AN327" s="430">
        <f>max(min(Valu!$C$15,$O327),$O327-max($O327-Valu!$C$15,0)/$R327*(AN$3-1))</f>
        <v>0.03</v>
      </c>
      <c r="AO327" s="430">
        <f>max(min(Valu!$C$15,$O327),$O327-max($O327-Valu!$C$15,0)/$R327*(AO$3-1))</f>
        <v>0.03</v>
      </c>
      <c r="AP327" s="430">
        <f>max(min(Valu!$C$14,$P327),$P327-max($P327-Valu!$C$14,0)/$R327*(AP$3-1))</f>
        <v>0.2</v>
      </c>
      <c r="AQ327" s="430">
        <f>max(min(Valu!$C$14,$P327),$P327-max($P327-Valu!$C$14,0)/$R327*(AQ$3-1))</f>
        <v>0.19</v>
      </c>
      <c r="AR327" s="430">
        <f>max(min(Valu!$C$14,$P327),$P327-max($P327-Valu!$C$14,0)/$R327*(AR$3-1))</f>
        <v>0.18</v>
      </c>
      <c r="AS327" s="430">
        <f>max(min(Valu!$C$14,$P327),$P327-max($P327-Valu!$C$14,0)/$R327*(AS$3-1))</f>
        <v>0.17</v>
      </c>
      <c r="AT327" s="430">
        <f>max(min(Valu!$C$14,$P327),$P327-max($P327-Valu!$C$14,0)/$R327*(AT$3-1))</f>
        <v>0.16</v>
      </c>
      <c r="AU327" s="430">
        <f>max(min(Valu!$C$14,$P327),$P327-max($P327-Valu!$C$14,0)/$R327*(AU$3-1))</f>
        <v>0.15</v>
      </c>
      <c r="AV327" s="430">
        <f>max(min(Valu!$C$14,$P327),$P327-max($P327-Valu!$C$14,0)/$R327*(AV$3-1))</f>
        <v>0.14</v>
      </c>
      <c r="AW327" s="430">
        <f>max(min(Valu!$C$14,$P327),$P327-max($P327-Valu!$C$14,0)/$R327*(AW$3-1))</f>
        <v>0.13</v>
      </c>
      <c r="AX327" s="430">
        <f>max(min(Valu!$C$14,$P327),$P327-max($P327-Valu!$C$14,0)/$R327*(AX$3-1))</f>
        <v>0.12</v>
      </c>
      <c r="AY327" s="430">
        <f>max(min(Valu!$C$14,$P327),$P327-max($P327-Valu!$C$14,0)/$R327*(AY$3-1))</f>
        <v>0.12</v>
      </c>
      <c r="AZ327" s="430">
        <f>max(min(Valu!$C$14,$P327),$P327-max($P327-Valu!$C$14,0)/$R327*(AZ$3-1))</f>
        <v>0.12</v>
      </c>
      <c r="BA327" s="430">
        <f>max(min(Valu!$C$14,$P327),$P327-max($P327-Valu!$C$14,0)/$R327*(BA$3-1))</f>
        <v>0.12</v>
      </c>
      <c r="BB327" s="430">
        <f>max(min(Valu!$C$14,$P327),$P327-max($P327-Valu!$C$14,0)/$R327*(BB$3-1))</f>
        <v>0.12</v>
      </c>
      <c r="BC327" s="430">
        <f>max(min(Valu!$C$14,$P327),$P327-max($P327-Valu!$C$14,0)/$R327*(BC$3-1))</f>
        <v>0.12</v>
      </c>
      <c r="BD327" s="430">
        <f>max(min(Valu!$C$14,$P327),$P327-max($P327-Valu!$C$14,0)/$R327*(BD$3-1))</f>
        <v>0.12</v>
      </c>
      <c r="BE327" s="430">
        <f>max(min(Valu!$C$14,$P327),$P327-max($P327-Valu!$C$14,0)/$R327*(BE$3-1))</f>
        <v>0.12</v>
      </c>
      <c r="BF327" s="430">
        <f>max(min(Valu!$C$14,$P327),$P327-max($P327-Valu!$C$14,0)/$R327*(BF$3-1))</f>
        <v>0.12</v>
      </c>
      <c r="BG327" s="430">
        <f>max(min(Valu!$C$14,$P327),$P327-max($P327-Valu!$C$14,0)/$R327*(BG$3-1))</f>
        <v>0.12</v>
      </c>
      <c r="BH327" s="430">
        <f>max(min(Valu!$C$14,$P327),$P327-max($P327-Valu!$C$14,0)/$R327*(BH$3-1))</f>
        <v>0.12</v>
      </c>
      <c r="BI327" s="430">
        <f>max(min(Valu!$C$14,$P327),$P327-max($P327-Valu!$C$14,0)/$R327*(BI$3-1))</f>
        <v>0.12</v>
      </c>
      <c r="BJ327" s="431">
        <f t="shared" si="182"/>
        <v>1.048837937</v>
      </c>
      <c r="BK327" s="432">
        <f t="shared" si="183"/>
        <v>1.468373111</v>
      </c>
      <c r="BL327" s="432">
        <f t="shared" ref="BL327:CC327" si="184">BK327*(1+W327)</f>
        <v>1.9878101</v>
      </c>
      <c r="BM327" s="432">
        <f t="shared" si="184"/>
        <v>2.599061705</v>
      </c>
      <c r="BN327" s="432">
        <f t="shared" si="184"/>
        <v>3.278066576</v>
      </c>
      <c r="BO327" s="432">
        <f t="shared" si="184"/>
        <v>3.98285089</v>
      </c>
      <c r="BP327" s="432">
        <f t="shared" si="184"/>
        <v>4.654956977</v>
      </c>
      <c r="BQ327" s="432">
        <f t="shared" si="184"/>
        <v>5.225189207</v>
      </c>
      <c r="BR327" s="432">
        <f t="shared" si="184"/>
        <v>5.623609884</v>
      </c>
      <c r="BS327" s="432">
        <f t="shared" si="184"/>
        <v>5.79231818</v>
      </c>
      <c r="BT327" s="432">
        <f t="shared" si="184"/>
        <v>5.966087726</v>
      </c>
      <c r="BU327" s="432">
        <f t="shared" si="184"/>
        <v>6.145070358</v>
      </c>
      <c r="BV327" s="432">
        <f t="shared" si="184"/>
        <v>6.329422468</v>
      </c>
      <c r="BW327" s="432">
        <f t="shared" si="184"/>
        <v>6.519305142</v>
      </c>
      <c r="BX327" s="432">
        <f t="shared" si="184"/>
        <v>6.714884297</v>
      </c>
      <c r="BY327" s="432">
        <f t="shared" si="184"/>
        <v>6.916330825</v>
      </c>
      <c r="BZ327" s="432">
        <f t="shared" si="184"/>
        <v>7.12382075</v>
      </c>
      <c r="CA327" s="432">
        <f t="shared" si="184"/>
        <v>7.337535373</v>
      </c>
      <c r="CB327" s="432">
        <f t="shared" si="184"/>
        <v>7.557661434</v>
      </c>
      <c r="CC327" s="432">
        <f t="shared" si="184"/>
        <v>7.784391277</v>
      </c>
      <c r="CD327" s="432">
        <f t="shared" ref="CD327:CW327" si="185">BJ327*(1-V327/AP327)</f>
        <v>-1.048837937</v>
      </c>
      <c r="CE327" s="432">
        <f t="shared" si="185"/>
        <v>-1.265505774</v>
      </c>
      <c r="CF327" s="432">
        <f t="shared" si="185"/>
        <v>-1.408032154</v>
      </c>
      <c r="CG327" s="432">
        <f t="shared" si="185"/>
        <v>-1.395084592</v>
      </c>
      <c r="CH327" s="432">
        <f t="shared" si="185"/>
        <v>-1.126835385</v>
      </c>
      <c r="CI327" s="432">
        <f t="shared" si="185"/>
        <v>-0.4978563612</v>
      </c>
      <c r="CJ327" s="432">
        <f t="shared" si="185"/>
        <v>0.5818696221</v>
      </c>
      <c r="CK327" s="432">
        <f t="shared" si="185"/>
        <v>2.160414768</v>
      </c>
      <c r="CL327" s="432">
        <f t="shared" si="185"/>
        <v>4.217707413</v>
      </c>
      <c r="CM327" s="432">
        <f t="shared" si="185"/>
        <v>4.344238635</v>
      </c>
      <c r="CN327" s="432">
        <f t="shared" si="185"/>
        <v>4.474565794</v>
      </c>
      <c r="CO327" s="432">
        <f t="shared" si="185"/>
        <v>4.608802768</v>
      </c>
      <c r="CP327" s="432">
        <f t="shared" si="185"/>
        <v>4.747066851</v>
      </c>
      <c r="CQ327" s="432">
        <f t="shared" si="185"/>
        <v>4.889478857</v>
      </c>
      <c r="CR327" s="432">
        <f t="shared" si="185"/>
        <v>5.036163222</v>
      </c>
      <c r="CS327" s="432">
        <f t="shared" si="185"/>
        <v>5.187248119</v>
      </c>
      <c r="CT327" s="432">
        <f t="shared" si="185"/>
        <v>5.342865563</v>
      </c>
      <c r="CU327" s="432">
        <f t="shared" si="185"/>
        <v>5.50315153</v>
      </c>
      <c r="CV327" s="432">
        <f t="shared" si="185"/>
        <v>5.668246075</v>
      </c>
      <c r="CW327" s="432">
        <f t="shared" si="185"/>
        <v>5.838293458</v>
      </c>
      <c r="CX327" s="432">
        <f>CW327*(1+min(Valu!$C$15,$O327))/(Valu!$C$21-min(Valu!$C$15,$O327))</f>
        <v>158.2484806</v>
      </c>
      <c r="CY327" s="432">
        <f>CD327/(1+Valu!$C$21)^CY$3</f>
        <v>-0.9820579932</v>
      </c>
      <c r="CZ327" s="432">
        <f>CE327/(1+Valu!$C$21)^CZ$3</f>
        <v>-1.109485487</v>
      </c>
      <c r="DA327" s="432">
        <f>CF327/(1+Valu!$C$21)^DA$3</f>
        <v>-1.155842913</v>
      </c>
      <c r="DB327" s="432">
        <f>CG327/(1+Valu!$C$21)^DB$3</f>
        <v>-1.072298087</v>
      </c>
      <c r="DC327" s="432">
        <f>CH327/(1+Valu!$C$21)^DC$3</f>
        <v>-0.8109689248</v>
      </c>
      <c r="DD327" s="432">
        <f>CI327/(1+Valu!$C$21)^DD$3</f>
        <v>-0.3354876553</v>
      </c>
      <c r="DE327" s="432">
        <f>CJ327/(1+Valu!$C$21)^DE$3</f>
        <v>0.3671359524</v>
      </c>
      <c r="DF327" s="432">
        <f>CK327/(1+Valu!$C$21)^DF$3</f>
        <v>1.276342162</v>
      </c>
      <c r="DG327" s="432">
        <f>CL327/(1+Valu!$C$21)^DG$3</f>
        <v>2.333109783</v>
      </c>
      <c r="DH327" s="432">
        <f>CM327/(1+Valu!$C$21)^DH$3</f>
        <v>2.250096514</v>
      </c>
      <c r="DI327" s="432">
        <f>CN327/(1+Valu!$C$21)^DI$3</f>
        <v>2.1700369</v>
      </c>
      <c r="DJ327" s="432">
        <f>CO327/(1+Valu!$C$21)^DJ$3</f>
        <v>2.092825849</v>
      </c>
      <c r="DK327" s="432">
        <f>CP327/(1+Valu!$C$21)^DK$3</f>
        <v>2.018362008</v>
      </c>
      <c r="DL327" s="432">
        <f>CQ327/(1+Valu!$C$21)^DL$3</f>
        <v>1.946547629</v>
      </c>
      <c r="DM327" s="432">
        <f>CR327/(1+Valu!$C$21)^DM$3</f>
        <v>1.877288444</v>
      </c>
      <c r="DN327" s="432">
        <f>CS327/(1+Valu!$C$21)^DN$3</f>
        <v>1.810493537</v>
      </c>
      <c r="DO327" s="432">
        <f>CT327/(1+Valu!$C$21)^DO$3</f>
        <v>1.746075228</v>
      </c>
      <c r="DP327" s="432">
        <f>CU327/(1+Valu!$C$21)^DP$3</f>
        <v>1.683948955</v>
      </c>
      <c r="DQ327" s="432">
        <f>CV327/(1+Valu!$C$21)^DQ$3</f>
        <v>1.624033169</v>
      </c>
      <c r="DR327" s="432">
        <f>CW327/(1+Valu!$C$21)^DR$3</f>
        <v>1.566249217</v>
      </c>
      <c r="DS327" s="432">
        <f>CX327/(1+Valu!$C$21)^DS$3</f>
        <v>42.45359719</v>
      </c>
      <c r="DT327" s="344"/>
      <c r="DU327" s="344"/>
      <c r="DV327" s="344"/>
      <c r="DW327" s="344"/>
    </row>
    <row r="328" ht="15.0" customHeight="1">
      <c r="A328" s="456">
        <v>41564.0</v>
      </c>
      <c r="B328" s="457" t="s">
        <v>3339</v>
      </c>
      <c r="C328" s="457" t="s">
        <v>3340</v>
      </c>
      <c r="D328" s="458"/>
      <c r="E328" s="460" t="str">
        <f>IFERROR(__xludf.DUMMYFUNCTION("if(and(D328&lt;&gt;0,D328&lt;&gt;""""),D328/GOOGLEFINANCE(C328,""price"")-1,"""")"),"")</f>
        <v/>
      </c>
      <c r="F328" s="462">
        <f>IFERROR(__xludf.DUMMYFUNCTION("GOOGLEFINANCE(C328,""price"")"),11.31)</f>
        <v>11.31</v>
      </c>
      <c r="G328" s="460" t="str">
        <f t="shared" si="6"/>
        <v/>
      </c>
      <c r="H328" s="463"/>
      <c r="I328" s="463"/>
      <c r="J328" s="466"/>
      <c r="K328" s="466"/>
      <c r="L328" s="467"/>
      <c r="M328" s="469">
        <f t="shared" si="7"/>
        <v>-119.9023034</v>
      </c>
      <c r="N328" s="466">
        <f t="shared" si="8"/>
        <v>0</v>
      </c>
      <c r="O328" s="467"/>
      <c r="P328" s="471"/>
      <c r="Q328" s="469"/>
      <c r="R328" s="472"/>
      <c r="S328" s="472"/>
      <c r="T328" s="472"/>
      <c r="U328" s="473" t="s">
        <v>3341</v>
      </c>
      <c r="V328" s="319"/>
      <c r="W328" s="319"/>
      <c r="X328" s="319"/>
      <c r="Y328" s="319"/>
      <c r="Z328" s="319"/>
      <c r="AA328" s="319"/>
      <c r="AB328" s="319"/>
      <c r="AC328" s="319"/>
      <c r="AD328" s="319"/>
      <c r="AE328" s="319"/>
      <c r="AF328" s="319"/>
      <c r="AG328" s="319"/>
      <c r="AH328" s="319"/>
      <c r="AI328" s="319"/>
      <c r="AJ328" s="319"/>
      <c r="AK328" s="319"/>
      <c r="AL328" s="319"/>
      <c r="AM328" s="319"/>
      <c r="AN328" s="319"/>
      <c r="AO328" s="319"/>
      <c r="AP328" s="319"/>
      <c r="AQ328" s="319"/>
      <c r="AR328" s="319"/>
      <c r="AS328" s="319"/>
      <c r="AT328" s="319"/>
      <c r="AU328" s="319"/>
      <c r="AV328" s="319"/>
      <c r="AW328" s="319"/>
      <c r="AX328" s="319"/>
      <c r="AY328" s="319"/>
      <c r="AZ328" s="319"/>
      <c r="BA328" s="319"/>
      <c r="BB328" s="319"/>
      <c r="BC328" s="319"/>
      <c r="BD328" s="319"/>
      <c r="BE328" s="319"/>
      <c r="BF328" s="319"/>
      <c r="BG328" s="319"/>
      <c r="BH328" s="319"/>
      <c r="BI328" s="319"/>
      <c r="BJ328" s="319"/>
      <c r="BK328" s="319"/>
      <c r="BL328" s="319"/>
      <c r="BM328" s="319"/>
      <c r="BN328" s="319"/>
      <c r="BO328" s="319"/>
      <c r="BP328" s="319"/>
      <c r="BQ328" s="319"/>
      <c r="BR328" s="319"/>
      <c r="BS328" s="319"/>
      <c r="BT328" s="319"/>
      <c r="BU328" s="319"/>
      <c r="BV328" s="319"/>
      <c r="BW328" s="319"/>
      <c r="BX328" s="319"/>
      <c r="BY328" s="319"/>
      <c r="BZ328" s="319"/>
      <c r="CA328" s="319"/>
      <c r="CB328" s="319"/>
      <c r="CC328" s="319"/>
      <c r="CD328" s="319"/>
      <c r="CE328" s="319"/>
      <c r="CF328" s="319"/>
      <c r="CG328" s="319"/>
      <c r="CH328" s="319"/>
      <c r="CI328" s="319"/>
      <c r="CJ328" s="319"/>
      <c r="CK328" s="319"/>
      <c r="CL328" s="319"/>
      <c r="CM328" s="319"/>
      <c r="CN328" s="319"/>
      <c r="CO328" s="319"/>
      <c r="CP328" s="319"/>
      <c r="CQ328" s="319"/>
      <c r="CR328" s="319"/>
      <c r="CS328" s="319"/>
      <c r="CT328" s="319"/>
      <c r="CU328" s="319"/>
      <c r="CV328" s="319"/>
      <c r="CW328" s="319"/>
      <c r="CX328" s="319"/>
      <c r="CY328" s="319"/>
      <c r="CZ328" s="319"/>
      <c r="DA328" s="319"/>
      <c r="DB328" s="319"/>
      <c r="DC328" s="319"/>
      <c r="DD328" s="319"/>
      <c r="DE328" s="319"/>
      <c r="DF328" s="319"/>
      <c r="DG328" s="319"/>
      <c r="DH328" s="319"/>
      <c r="DI328" s="319"/>
      <c r="DJ328" s="319"/>
      <c r="DK328" s="319"/>
      <c r="DL328" s="319"/>
      <c r="DM328" s="319"/>
      <c r="DN328" s="319"/>
      <c r="DO328" s="319"/>
      <c r="DP328" s="319"/>
      <c r="DQ328" s="319"/>
      <c r="DR328" s="319"/>
      <c r="DS328" s="319"/>
      <c r="DT328" s="319"/>
      <c r="DU328" s="319"/>
      <c r="DV328" s="319"/>
      <c r="DW328" s="319"/>
    </row>
    <row r="329" ht="15.0" customHeight="1">
      <c r="A329" s="646">
        <v>41957.0</v>
      </c>
      <c r="B329" s="996" t="s">
        <v>3342</v>
      </c>
      <c r="C329" s="395" t="s">
        <v>2377</v>
      </c>
      <c r="D329" s="395">
        <v>95.0</v>
      </c>
      <c r="E329" s="396">
        <f>IFERROR(__xludf.DUMMYFUNCTION("if(and(D329&lt;&gt;0,D329&lt;&gt;""""),D329/GOOGLEFINANCE(C329,""price"")-1,"""")"),0.03249646777524173)</f>
        <v>0.03249646778</v>
      </c>
      <c r="F329" s="397">
        <f>IFERROR(__xludf.DUMMYFUNCTION("GOOGLEFINANCE(C329,""price"")"),92.01)</f>
        <v>92.01</v>
      </c>
      <c r="G329" s="396">
        <f t="shared" si="6"/>
        <v>-0.1392239974</v>
      </c>
      <c r="H329" s="398"/>
      <c r="I329" s="398">
        <f>5.28*(15)</f>
        <v>79.2</v>
      </c>
      <c r="J329" s="403"/>
      <c r="K329" s="403"/>
      <c r="L329" s="410"/>
      <c r="M329" s="402">
        <f t="shared" si="7"/>
        <v>-119.9023034</v>
      </c>
      <c r="N329" s="403">
        <f t="shared" si="8"/>
        <v>0</v>
      </c>
      <c r="O329" s="410"/>
      <c r="P329" s="423"/>
      <c r="Q329" s="424"/>
      <c r="R329" s="425"/>
      <c r="S329" s="425"/>
      <c r="T329" s="425"/>
      <c r="U329" s="426" t="s">
        <v>3343</v>
      </c>
      <c r="V329" s="427"/>
      <c r="W329" s="427"/>
      <c r="X329" s="427"/>
      <c r="Y329" s="427"/>
      <c r="Z329" s="427"/>
      <c r="AA329" s="427"/>
      <c r="AB329" s="427"/>
      <c r="AC329" s="427"/>
      <c r="AD329" s="427"/>
      <c r="AE329" s="427"/>
      <c r="AF329" s="427"/>
      <c r="AG329" s="427"/>
      <c r="AH329" s="427"/>
      <c r="AI329" s="427"/>
      <c r="AJ329" s="427"/>
      <c r="AK329" s="427"/>
      <c r="AL329" s="427"/>
      <c r="AM329" s="427"/>
      <c r="AN329" s="427"/>
      <c r="AO329" s="427"/>
      <c r="AP329" s="427"/>
      <c r="AQ329" s="427"/>
      <c r="AR329" s="427"/>
      <c r="AS329" s="427"/>
      <c r="AT329" s="427"/>
      <c r="AU329" s="427"/>
      <c r="AV329" s="427"/>
      <c r="AW329" s="427"/>
      <c r="AX329" s="427"/>
      <c r="AY329" s="427"/>
      <c r="AZ329" s="427"/>
      <c r="BA329" s="427"/>
      <c r="BB329" s="427"/>
      <c r="BC329" s="427"/>
      <c r="BD329" s="427"/>
      <c r="BE329" s="427"/>
      <c r="BF329" s="427"/>
      <c r="BG329" s="427"/>
      <c r="BH329" s="427"/>
      <c r="BI329" s="427"/>
      <c r="BJ329" s="427"/>
      <c r="BK329" s="427"/>
      <c r="BL329" s="427"/>
      <c r="BM329" s="427"/>
      <c r="BN329" s="427"/>
      <c r="BO329" s="427"/>
      <c r="BP329" s="427"/>
      <c r="BQ329" s="427"/>
      <c r="BR329" s="427"/>
      <c r="BS329" s="427"/>
      <c r="BT329" s="427"/>
      <c r="BU329" s="427"/>
      <c r="BV329" s="427"/>
      <c r="BW329" s="427"/>
      <c r="BX329" s="427"/>
      <c r="BY329" s="427"/>
      <c r="BZ329" s="427"/>
      <c r="CA329" s="427"/>
      <c r="CB329" s="427"/>
      <c r="CC329" s="427"/>
      <c r="CD329" s="427"/>
      <c r="CE329" s="427"/>
      <c r="CF329" s="427"/>
      <c r="CG329" s="427"/>
      <c r="CH329" s="427"/>
      <c r="CI329" s="427"/>
      <c r="CJ329" s="427"/>
      <c r="CK329" s="427"/>
      <c r="CL329" s="427"/>
      <c r="CM329" s="427"/>
      <c r="CN329" s="427"/>
      <c r="CO329" s="427"/>
      <c r="CP329" s="427"/>
      <c r="CQ329" s="427"/>
      <c r="CR329" s="427"/>
      <c r="CS329" s="427"/>
      <c r="CT329" s="427"/>
      <c r="CU329" s="427"/>
      <c r="CV329" s="427"/>
      <c r="CW329" s="427"/>
      <c r="CX329" s="427"/>
      <c r="CY329" s="427"/>
      <c r="CZ329" s="427"/>
      <c r="DA329" s="427"/>
      <c r="DB329" s="427"/>
      <c r="DC329" s="427"/>
      <c r="DD329" s="427"/>
      <c r="DE329" s="427"/>
      <c r="DF329" s="427"/>
      <c r="DG329" s="427"/>
      <c r="DH329" s="427"/>
      <c r="DI329" s="427"/>
      <c r="DJ329" s="427"/>
      <c r="DK329" s="427"/>
      <c r="DL329" s="427"/>
      <c r="DM329" s="427"/>
      <c r="DN329" s="427"/>
      <c r="DO329" s="427"/>
      <c r="DP329" s="427"/>
      <c r="DQ329" s="427"/>
      <c r="DR329" s="427"/>
      <c r="DS329" s="427"/>
      <c r="DT329" s="427"/>
      <c r="DU329" s="427"/>
      <c r="DV329" s="427"/>
      <c r="DW329" s="427"/>
    </row>
    <row r="330" ht="15.0" customHeight="1">
      <c r="A330" s="372">
        <v>42220.0</v>
      </c>
      <c r="B330" s="439" t="s">
        <v>3344</v>
      </c>
      <c r="C330" s="384" t="s">
        <v>1173</v>
      </c>
      <c r="D330" s="373">
        <v>140.0</v>
      </c>
      <c r="E330" s="374">
        <f>IFERROR(__xludf.DUMMYFUNCTION("if(and(D330&lt;&gt;0,D330&lt;&gt;""""),D330/GOOGLEFINANCE(C330,""price"")-1,"""")"),-0.28513071895424835)</f>
        <v>-0.285130719</v>
      </c>
      <c r="F330" s="375">
        <f>IFERROR(__xludf.DUMMYFUNCTION("GOOGLEFINANCE(C330,""price"")"),195.84)</f>
        <v>195.84</v>
      </c>
      <c r="G330" s="374">
        <f t="shared" si="6"/>
        <v>0.2425418653</v>
      </c>
      <c r="H330" s="376"/>
      <c r="I330" s="376">
        <f>(N330*($I$1+O330*100))</f>
        <v>243.3393989</v>
      </c>
      <c r="J330" s="377">
        <v>9.44</v>
      </c>
      <c r="K330" s="377">
        <v>10.21</v>
      </c>
      <c r="L330" s="378">
        <v>43524.0</v>
      </c>
      <c r="M330" s="379">
        <f t="shared" si="7"/>
        <v>-0.6584677389</v>
      </c>
      <c r="N330" s="380">
        <f t="shared" si="8"/>
        <v>10.71702016</v>
      </c>
      <c r="O330" s="370">
        <v>0.08</v>
      </c>
      <c r="P330" s="370"/>
      <c r="Q330" s="371"/>
      <c r="R330" s="378"/>
      <c r="S330" s="378">
        <v>43476.0</v>
      </c>
      <c r="T330" s="381" t="s">
        <v>1223</v>
      </c>
      <c r="U330" s="386" t="s">
        <v>3346</v>
      </c>
      <c r="V330" s="344"/>
      <c r="W330" s="344"/>
      <c r="X330" s="344"/>
      <c r="Y330" s="344"/>
      <c r="Z330" s="344"/>
      <c r="AA330" s="344"/>
      <c r="AB330" s="344"/>
      <c r="AC330" s="344"/>
      <c r="AD330" s="344"/>
      <c r="AE330" s="344"/>
      <c r="AF330" s="344"/>
      <c r="AG330" s="344"/>
      <c r="AH330" s="344"/>
      <c r="AI330" s="344"/>
      <c r="AJ330" s="344"/>
      <c r="AK330" s="344"/>
      <c r="AL330" s="344"/>
      <c r="AM330" s="344"/>
      <c r="AN330" s="344"/>
      <c r="AO330" s="344"/>
      <c r="AP330" s="344"/>
      <c r="AQ330" s="344"/>
      <c r="AR330" s="344"/>
      <c r="AS330" s="344"/>
      <c r="AT330" s="344"/>
      <c r="AU330" s="344"/>
      <c r="AV330" s="344"/>
      <c r="AW330" s="344"/>
      <c r="AX330" s="344"/>
      <c r="AY330" s="344"/>
      <c r="AZ330" s="344"/>
      <c r="BA330" s="344"/>
      <c r="BB330" s="344"/>
      <c r="BC330" s="344"/>
      <c r="BD330" s="344"/>
      <c r="BE330" s="344"/>
      <c r="BF330" s="344"/>
      <c r="BG330" s="344"/>
      <c r="BH330" s="344"/>
      <c r="BI330" s="344"/>
      <c r="BJ330" s="344"/>
      <c r="BK330" s="344"/>
      <c r="BL330" s="344"/>
      <c r="BM330" s="344"/>
      <c r="BN330" s="344"/>
      <c r="BO330" s="344"/>
      <c r="BP330" s="344"/>
      <c r="BQ330" s="344"/>
      <c r="BR330" s="344"/>
      <c r="BS330" s="344"/>
      <c r="BT330" s="344"/>
      <c r="BU330" s="344"/>
      <c r="BV330" s="344"/>
      <c r="BW330" s="344"/>
      <c r="BX330" s="344"/>
      <c r="BY330" s="344"/>
      <c r="BZ330" s="344"/>
      <c r="CA330" s="344"/>
      <c r="CB330" s="344"/>
      <c r="CC330" s="344"/>
      <c r="CD330" s="344"/>
      <c r="CE330" s="344"/>
      <c r="CF330" s="344"/>
      <c r="CG330" s="344"/>
      <c r="CH330" s="344"/>
      <c r="CI330" s="344"/>
      <c r="CJ330" s="344"/>
      <c r="CK330" s="344"/>
      <c r="CL330" s="344"/>
      <c r="CM330" s="344"/>
      <c r="CN330" s="344"/>
      <c r="CO330" s="344"/>
      <c r="CP330" s="344"/>
      <c r="CQ330" s="344"/>
      <c r="CR330" s="344"/>
      <c r="CS330" s="344"/>
      <c r="CT330" s="344"/>
      <c r="CU330" s="344"/>
      <c r="CV330" s="344"/>
      <c r="CW330" s="344"/>
      <c r="CX330" s="344"/>
      <c r="CY330" s="344"/>
      <c r="CZ330" s="344"/>
      <c r="DA330" s="344"/>
      <c r="DB330" s="344"/>
      <c r="DC330" s="344"/>
      <c r="DD330" s="344"/>
      <c r="DE330" s="344"/>
      <c r="DF330" s="344"/>
      <c r="DG330" s="344"/>
      <c r="DH330" s="344"/>
      <c r="DI330" s="344"/>
      <c r="DJ330" s="344"/>
      <c r="DK330" s="344"/>
      <c r="DL330" s="344"/>
      <c r="DM330" s="344"/>
      <c r="DN330" s="344"/>
      <c r="DO330" s="344"/>
      <c r="DP330" s="344"/>
      <c r="DQ330" s="344"/>
      <c r="DR330" s="344"/>
      <c r="DS330" s="344"/>
      <c r="DT330" s="344"/>
      <c r="DU330" s="344"/>
      <c r="DV330" s="344"/>
      <c r="DW330" s="344"/>
    </row>
    <row r="331" ht="15.0" customHeight="1">
      <c r="A331" s="494">
        <v>40599.0</v>
      </c>
      <c r="B331" s="414" t="s">
        <v>3347</v>
      </c>
      <c r="C331" s="414" t="s">
        <v>3348</v>
      </c>
      <c r="D331" s="495"/>
      <c r="E331" s="441" t="str">
        <f>IFERROR(__xludf.DUMMYFUNCTION("if(and(D331&lt;&gt;0,D331&lt;&gt;""""),D331/GOOGLEFINANCE(C331,""price"")-1,"""")"),"")</f>
        <v/>
      </c>
      <c r="F331" s="442">
        <f>IFERROR(__xludf.DUMMYFUNCTION("GOOGLEFINANCE(C331,""price"")"),90.06)</f>
        <v>90.06</v>
      </c>
      <c r="G331" s="441" t="str">
        <f t="shared" si="6"/>
        <v/>
      </c>
      <c r="H331" s="443"/>
      <c r="I331" s="443"/>
      <c r="J331" s="445"/>
      <c r="K331" s="445"/>
      <c r="L331" s="446"/>
      <c r="M331" s="447">
        <f t="shared" si="7"/>
        <v>-119.9023034</v>
      </c>
      <c r="N331" s="445">
        <f t="shared" si="8"/>
        <v>0</v>
      </c>
      <c r="O331" s="446"/>
      <c r="P331" s="448"/>
      <c r="Q331" s="447"/>
      <c r="R331" s="449"/>
      <c r="S331" s="449"/>
      <c r="T331" s="449"/>
      <c r="U331" s="450" t="s">
        <v>3349</v>
      </c>
      <c r="V331" s="414"/>
      <c r="W331" s="414"/>
      <c r="X331" s="414"/>
      <c r="Y331" s="414"/>
      <c r="Z331" s="414"/>
      <c r="AA331" s="414"/>
      <c r="AB331" s="414"/>
      <c r="AC331" s="414"/>
      <c r="AD331" s="414"/>
      <c r="AE331" s="414"/>
      <c r="AF331" s="414"/>
      <c r="AG331" s="414"/>
      <c r="AH331" s="414"/>
      <c r="AI331" s="414"/>
      <c r="AJ331" s="414"/>
      <c r="AK331" s="414"/>
      <c r="AL331" s="414"/>
      <c r="AM331" s="414"/>
      <c r="AN331" s="414"/>
      <c r="AO331" s="414"/>
      <c r="AP331" s="414"/>
      <c r="AQ331" s="414"/>
      <c r="AR331" s="414"/>
      <c r="AS331" s="414"/>
      <c r="AT331" s="414"/>
      <c r="AU331" s="414"/>
      <c r="AV331" s="414"/>
      <c r="AW331" s="414"/>
      <c r="AX331" s="414"/>
      <c r="AY331" s="414"/>
      <c r="AZ331" s="414"/>
      <c r="BA331" s="414"/>
      <c r="BB331" s="414"/>
      <c r="BC331" s="414"/>
      <c r="BD331" s="414"/>
      <c r="BE331" s="414"/>
      <c r="BF331" s="414"/>
      <c r="BG331" s="414"/>
      <c r="BH331" s="414"/>
      <c r="BI331" s="414"/>
      <c r="BJ331" s="414"/>
      <c r="BK331" s="414"/>
      <c r="BL331" s="414"/>
      <c r="BM331" s="414"/>
      <c r="BN331" s="414"/>
      <c r="BO331" s="414"/>
      <c r="BP331" s="414"/>
      <c r="BQ331" s="414"/>
      <c r="BR331" s="414"/>
      <c r="BS331" s="414"/>
      <c r="BT331" s="414"/>
      <c r="BU331" s="414"/>
      <c r="BV331" s="414"/>
      <c r="BW331" s="414"/>
      <c r="BX331" s="414"/>
      <c r="BY331" s="414"/>
      <c r="BZ331" s="414"/>
      <c r="CA331" s="414"/>
      <c r="CB331" s="414"/>
      <c r="CC331" s="414"/>
      <c r="CD331" s="414"/>
      <c r="CE331" s="414"/>
      <c r="CF331" s="414"/>
      <c r="CG331" s="414"/>
      <c r="CH331" s="414"/>
      <c r="CI331" s="414"/>
      <c r="CJ331" s="414"/>
      <c r="CK331" s="414"/>
      <c r="CL331" s="414"/>
      <c r="CM331" s="414"/>
      <c r="CN331" s="414"/>
      <c r="CO331" s="414"/>
      <c r="CP331" s="414"/>
      <c r="CQ331" s="414"/>
      <c r="CR331" s="414"/>
      <c r="CS331" s="414"/>
      <c r="CT331" s="414"/>
      <c r="CU331" s="414"/>
      <c r="CV331" s="414"/>
      <c r="CW331" s="414"/>
      <c r="CX331" s="414"/>
      <c r="CY331" s="414"/>
      <c r="CZ331" s="414"/>
      <c r="DA331" s="414"/>
      <c r="DB331" s="414"/>
      <c r="DC331" s="414"/>
      <c r="DD331" s="414"/>
      <c r="DE331" s="414"/>
      <c r="DF331" s="414"/>
      <c r="DG331" s="414"/>
      <c r="DH331" s="414"/>
      <c r="DI331" s="414"/>
      <c r="DJ331" s="414"/>
      <c r="DK331" s="414"/>
      <c r="DL331" s="414"/>
      <c r="DM331" s="414"/>
      <c r="DN331" s="414"/>
      <c r="DO331" s="414"/>
      <c r="DP331" s="414"/>
      <c r="DQ331" s="414"/>
      <c r="DR331" s="414"/>
      <c r="DS331" s="414"/>
      <c r="DT331" s="414"/>
      <c r="DU331" s="414"/>
      <c r="DV331" s="414"/>
      <c r="DW331" s="414"/>
    </row>
    <row r="332" ht="15.0" customHeight="1">
      <c r="A332" s="383">
        <v>41892.0</v>
      </c>
      <c r="B332" s="320" t="s">
        <v>3350</v>
      </c>
      <c r="C332" s="320" t="s">
        <v>2142</v>
      </c>
      <c r="D332" s="384">
        <v>32.5</v>
      </c>
      <c r="E332" s="374">
        <f>IFERROR(__xludf.DUMMYFUNCTION("if(and(D332&lt;&gt;0,D332&lt;&gt;""""),D332/GOOGLEFINANCE(C332,""price"")-1,"""")"),-0.07905922357608386)</f>
        <v>-0.07905922358</v>
      </c>
      <c r="F332" s="375">
        <f>IFERROR(__xludf.DUMMYFUNCTION("GOOGLEFINANCE(C332,""price"")"),35.29)</f>
        <v>35.29</v>
      </c>
      <c r="G332" s="374">
        <f t="shared" si="6"/>
        <v>0.1688863701</v>
      </c>
      <c r="H332" s="376"/>
      <c r="I332" s="376">
        <f>2.75*(15)</f>
        <v>41.25</v>
      </c>
      <c r="J332" s="380"/>
      <c r="K332" s="380"/>
      <c r="L332" s="389"/>
      <c r="M332" s="379">
        <f t="shared" si="7"/>
        <v>-119.9023034</v>
      </c>
      <c r="N332" s="380">
        <f t="shared" si="8"/>
        <v>0</v>
      </c>
      <c r="O332" s="389"/>
      <c r="P332" s="390"/>
      <c r="Q332" s="391"/>
      <c r="R332" s="387"/>
      <c r="S332" s="387"/>
      <c r="T332" s="387"/>
      <c r="U332" s="386" t="s">
        <v>3351</v>
      </c>
      <c r="V332" s="344"/>
      <c r="W332" s="344"/>
      <c r="X332" s="344"/>
      <c r="Y332" s="344"/>
      <c r="Z332" s="344"/>
      <c r="AA332" s="344"/>
      <c r="AB332" s="344"/>
      <c r="AC332" s="344"/>
      <c r="AD332" s="344"/>
      <c r="AE332" s="344"/>
      <c r="AF332" s="344"/>
      <c r="AG332" s="344"/>
      <c r="AH332" s="344"/>
      <c r="AI332" s="344"/>
      <c r="AJ332" s="344"/>
      <c r="AK332" s="344"/>
      <c r="AL332" s="344"/>
      <c r="AM332" s="344"/>
      <c r="AN332" s="344"/>
      <c r="AO332" s="344"/>
      <c r="AP332" s="344"/>
      <c r="AQ332" s="344"/>
      <c r="AR332" s="344"/>
      <c r="AS332" s="344"/>
      <c r="AT332" s="344"/>
      <c r="AU332" s="344"/>
      <c r="AV332" s="344"/>
      <c r="AW332" s="344"/>
      <c r="AX332" s="344"/>
      <c r="AY332" s="344"/>
      <c r="AZ332" s="344"/>
      <c r="BA332" s="344"/>
      <c r="BB332" s="344"/>
      <c r="BC332" s="344"/>
      <c r="BD332" s="344"/>
      <c r="BE332" s="344"/>
      <c r="BF332" s="344"/>
      <c r="BG332" s="344"/>
      <c r="BH332" s="344"/>
      <c r="BI332" s="344"/>
      <c r="BJ332" s="344"/>
      <c r="BK332" s="344"/>
      <c r="BL332" s="344"/>
      <c r="BM332" s="344"/>
      <c r="BN332" s="344"/>
      <c r="BO332" s="344"/>
      <c r="BP332" s="344"/>
      <c r="BQ332" s="344"/>
      <c r="BR332" s="344"/>
      <c r="BS332" s="344"/>
      <c r="BT332" s="344"/>
      <c r="BU332" s="344"/>
      <c r="BV332" s="344"/>
      <c r="BW332" s="344"/>
      <c r="BX332" s="344"/>
      <c r="BY332" s="344"/>
      <c r="BZ332" s="344"/>
      <c r="CA332" s="344"/>
      <c r="CB332" s="344"/>
      <c r="CC332" s="344"/>
      <c r="CD332" s="344"/>
      <c r="CE332" s="344"/>
      <c r="CF332" s="344"/>
      <c r="CG332" s="344"/>
      <c r="CH332" s="344"/>
      <c r="CI332" s="344"/>
      <c r="CJ332" s="344"/>
      <c r="CK332" s="344"/>
      <c r="CL332" s="344"/>
      <c r="CM332" s="344"/>
      <c r="CN332" s="344"/>
      <c r="CO332" s="344"/>
      <c r="CP332" s="344"/>
      <c r="CQ332" s="344"/>
      <c r="CR332" s="344"/>
      <c r="CS332" s="344"/>
      <c r="CT332" s="344"/>
      <c r="CU332" s="344"/>
      <c r="CV332" s="344"/>
      <c r="CW332" s="344"/>
      <c r="CX332" s="344"/>
      <c r="CY332" s="344"/>
      <c r="CZ332" s="344"/>
      <c r="DA332" s="344"/>
      <c r="DB332" s="344"/>
      <c r="DC332" s="344"/>
      <c r="DD332" s="344"/>
      <c r="DE332" s="344"/>
      <c r="DF332" s="344"/>
      <c r="DG332" s="344"/>
      <c r="DH332" s="344"/>
      <c r="DI332" s="344"/>
      <c r="DJ332" s="344"/>
      <c r="DK332" s="344"/>
      <c r="DL332" s="344"/>
      <c r="DM332" s="344"/>
      <c r="DN332" s="344"/>
      <c r="DO332" s="344"/>
      <c r="DP332" s="344"/>
      <c r="DQ332" s="344"/>
      <c r="DR332" s="344"/>
      <c r="DS332" s="344"/>
      <c r="DT332" s="344"/>
      <c r="DU332" s="344"/>
      <c r="DV332" s="344"/>
      <c r="DW332" s="344"/>
    </row>
    <row r="333" ht="15.0" customHeight="1">
      <c r="A333" s="383">
        <v>41076.0</v>
      </c>
      <c r="B333" s="320" t="s">
        <v>3352</v>
      </c>
      <c r="C333" s="320" t="s">
        <v>3353</v>
      </c>
      <c r="D333" s="532"/>
      <c r="E333" s="374" t="str">
        <f>IFERROR(__xludf.DUMMYFUNCTION("if(and(D333&lt;&gt;0,D333&lt;&gt;""""),D333/GOOGLEFINANCE(C333,""price"")-1,"""")"),"")</f>
        <v/>
      </c>
      <c r="F333" s="375">
        <f>IFERROR(__xludf.DUMMYFUNCTION("GOOGLEFINANCE(C333,""price"")"),211.62)</f>
        <v>211.62</v>
      </c>
      <c r="G333" s="374" t="str">
        <f t="shared" si="6"/>
        <v/>
      </c>
      <c r="H333" s="376"/>
      <c r="I333" s="376"/>
      <c r="J333" s="380"/>
      <c r="K333" s="380"/>
      <c r="L333" s="389"/>
      <c r="M333" s="379">
        <f t="shared" si="7"/>
        <v>-119.9023034</v>
      </c>
      <c r="N333" s="380">
        <f t="shared" si="8"/>
        <v>0</v>
      </c>
      <c r="O333" s="389"/>
      <c r="P333" s="415"/>
      <c r="Q333" s="379"/>
      <c r="R333" s="416"/>
      <c r="S333" s="416"/>
      <c r="T333" s="416"/>
      <c r="U333" s="417" t="s">
        <v>3354</v>
      </c>
      <c r="V333" s="367"/>
      <c r="W333" s="367"/>
      <c r="X333" s="367"/>
      <c r="Y333" s="367"/>
      <c r="Z333" s="367"/>
      <c r="AA333" s="367"/>
      <c r="AB333" s="367"/>
      <c r="AC333" s="367"/>
      <c r="AD333" s="367"/>
      <c r="AE333" s="367"/>
      <c r="AF333" s="367"/>
      <c r="AG333" s="367"/>
      <c r="AH333" s="367"/>
      <c r="AI333" s="367"/>
      <c r="AJ333" s="367"/>
      <c r="AK333" s="367"/>
      <c r="AL333" s="367"/>
      <c r="AM333" s="367"/>
      <c r="AN333" s="367"/>
      <c r="AO333" s="367"/>
      <c r="AP333" s="367"/>
      <c r="AQ333" s="367"/>
      <c r="AR333" s="367"/>
      <c r="AS333" s="367"/>
      <c r="AT333" s="367"/>
      <c r="AU333" s="367"/>
      <c r="AV333" s="367"/>
      <c r="AW333" s="367"/>
      <c r="AX333" s="367"/>
      <c r="AY333" s="367"/>
      <c r="AZ333" s="367"/>
      <c r="BA333" s="367"/>
      <c r="BB333" s="367"/>
      <c r="BC333" s="367"/>
      <c r="BD333" s="367"/>
      <c r="BE333" s="367"/>
      <c r="BF333" s="367"/>
      <c r="BG333" s="367"/>
      <c r="BH333" s="367"/>
      <c r="BI333" s="367"/>
      <c r="BJ333" s="367"/>
      <c r="BK333" s="367"/>
      <c r="BL333" s="367"/>
      <c r="BM333" s="367"/>
      <c r="BN333" s="367"/>
      <c r="BO333" s="367"/>
      <c r="BP333" s="367"/>
      <c r="BQ333" s="367"/>
      <c r="BR333" s="367"/>
      <c r="BS333" s="367"/>
      <c r="BT333" s="367"/>
      <c r="BU333" s="367"/>
      <c r="BV333" s="367"/>
      <c r="BW333" s="367"/>
      <c r="BX333" s="367"/>
      <c r="BY333" s="367"/>
      <c r="BZ333" s="367"/>
      <c r="CA333" s="367"/>
      <c r="CB333" s="367"/>
      <c r="CC333" s="367"/>
      <c r="CD333" s="367"/>
      <c r="CE333" s="367"/>
      <c r="CF333" s="367"/>
      <c r="CG333" s="367"/>
      <c r="CH333" s="367"/>
      <c r="CI333" s="367"/>
      <c r="CJ333" s="367"/>
      <c r="CK333" s="367"/>
      <c r="CL333" s="367"/>
      <c r="CM333" s="367"/>
      <c r="CN333" s="367"/>
      <c r="CO333" s="367"/>
      <c r="CP333" s="367"/>
      <c r="CQ333" s="367"/>
      <c r="CR333" s="367"/>
      <c r="CS333" s="367"/>
      <c r="CT333" s="367"/>
      <c r="CU333" s="367"/>
      <c r="CV333" s="367"/>
      <c r="CW333" s="367"/>
      <c r="CX333" s="367"/>
      <c r="CY333" s="367"/>
      <c r="CZ333" s="367"/>
      <c r="DA333" s="367"/>
      <c r="DB333" s="367"/>
      <c r="DC333" s="367"/>
      <c r="DD333" s="367"/>
      <c r="DE333" s="367"/>
      <c r="DF333" s="367"/>
      <c r="DG333" s="367"/>
      <c r="DH333" s="367"/>
      <c r="DI333" s="367"/>
      <c r="DJ333" s="367"/>
      <c r="DK333" s="367"/>
      <c r="DL333" s="367"/>
      <c r="DM333" s="367"/>
      <c r="DN333" s="367"/>
      <c r="DO333" s="367"/>
      <c r="DP333" s="367"/>
      <c r="DQ333" s="367"/>
      <c r="DR333" s="367"/>
      <c r="DS333" s="367"/>
      <c r="DT333" s="367"/>
      <c r="DU333" s="367"/>
      <c r="DV333" s="367"/>
      <c r="DW333" s="367"/>
    </row>
    <row r="334" ht="15.0" customHeight="1">
      <c r="A334" s="394">
        <v>40936.0</v>
      </c>
      <c r="B334" s="302" t="s">
        <v>3355</v>
      </c>
      <c r="C334" s="302" t="s">
        <v>3356</v>
      </c>
      <c r="D334" s="422"/>
      <c r="E334" s="396" t="str">
        <f>IFERROR(__xludf.DUMMYFUNCTION("if(and(D334&lt;&gt;0,D334&lt;&gt;""""),D334/GOOGLEFINANCE(C334,""price"")-1,"""")"),"")</f>
        <v/>
      </c>
      <c r="F334" s="397">
        <f>IFERROR(__xludf.DUMMYFUNCTION("GOOGLEFINANCE(C334,""price"")"),41.9)</f>
        <v>41.9</v>
      </c>
      <c r="G334" s="396" t="str">
        <f t="shared" si="6"/>
        <v/>
      </c>
      <c r="H334" s="398"/>
      <c r="I334" s="398"/>
      <c r="J334" s="403"/>
      <c r="K334" s="403"/>
      <c r="L334" s="410"/>
      <c r="M334" s="402">
        <f t="shared" si="7"/>
        <v>-119.9023034</v>
      </c>
      <c r="N334" s="403">
        <f t="shared" si="8"/>
        <v>0</v>
      </c>
      <c r="O334" s="410"/>
      <c r="P334" s="411"/>
      <c r="Q334" s="402"/>
      <c r="R334" s="412"/>
      <c r="S334" s="412"/>
      <c r="T334" s="412"/>
      <c r="U334" s="413"/>
      <c r="V334" s="414"/>
      <c r="W334" s="414"/>
      <c r="X334" s="414"/>
      <c r="Y334" s="414"/>
      <c r="Z334" s="414"/>
      <c r="AA334" s="414"/>
      <c r="AB334" s="414"/>
      <c r="AC334" s="414"/>
      <c r="AD334" s="414"/>
      <c r="AE334" s="414"/>
      <c r="AF334" s="414"/>
      <c r="AG334" s="414"/>
      <c r="AH334" s="414"/>
      <c r="AI334" s="414"/>
      <c r="AJ334" s="414"/>
      <c r="AK334" s="414"/>
      <c r="AL334" s="414"/>
      <c r="AM334" s="414"/>
      <c r="AN334" s="414"/>
      <c r="AO334" s="414"/>
      <c r="AP334" s="414"/>
      <c r="AQ334" s="414"/>
      <c r="AR334" s="414"/>
      <c r="AS334" s="414"/>
      <c r="AT334" s="414"/>
      <c r="AU334" s="414"/>
      <c r="AV334" s="414"/>
      <c r="AW334" s="414"/>
      <c r="AX334" s="414"/>
      <c r="AY334" s="414"/>
      <c r="AZ334" s="414"/>
      <c r="BA334" s="414"/>
      <c r="BB334" s="414"/>
      <c r="BC334" s="414"/>
      <c r="BD334" s="414"/>
      <c r="BE334" s="414"/>
      <c r="BF334" s="414"/>
      <c r="BG334" s="414"/>
      <c r="BH334" s="414"/>
      <c r="BI334" s="414"/>
      <c r="BJ334" s="414"/>
      <c r="BK334" s="414"/>
      <c r="BL334" s="414"/>
      <c r="BM334" s="414"/>
      <c r="BN334" s="414"/>
      <c r="BO334" s="414"/>
      <c r="BP334" s="414"/>
      <c r="BQ334" s="414"/>
      <c r="BR334" s="414"/>
      <c r="BS334" s="414"/>
      <c r="BT334" s="414"/>
      <c r="BU334" s="414"/>
      <c r="BV334" s="414"/>
      <c r="BW334" s="414"/>
      <c r="BX334" s="414"/>
      <c r="BY334" s="414"/>
      <c r="BZ334" s="414"/>
      <c r="CA334" s="414"/>
      <c r="CB334" s="414"/>
      <c r="CC334" s="414"/>
      <c r="CD334" s="414"/>
      <c r="CE334" s="414"/>
      <c r="CF334" s="414"/>
      <c r="CG334" s="414"/>
      <c r="CH334" s="414"/>
      <c r="CI334" s="414"/>
      <c r="CJ334" s="414"/>
      <c r="CK334" s="414"/>
      <c r="CL334" s="414"/>
      <c r="CM334" s="414"/>
      <c r="CN334" s="414"/>
      <c r="CO334" s="414"/>
      <c r="CP334" s="414"/>
      <c r="CQ334" s="414"/>
      <c r="CR334" s="414"/>
      <c r="CS334" s="414"/>
      <c r="CT334" s="414"/>
      <c r="CU334" s="414"/>
      <c r="CV334" s="414"/>
      <c r="CW334" s="414"/>
      <c r="CX334" s="414"/>
      <c r="CY334" s="414"/>
      <c r="CZ334" s="414"/>
      <c r="DA334" s="414"/>
      <c r="DB334" s="414"/>
      <c r="DC334" s="414"/>
      <c r="DD334" s="414"/>
      <c r="DE334" s="414"/>
      <c r="DF334" s="414"/>
      <c r="DG334" s="414"/>
      <c r="DH334" s="414"/>
      <c r="DI334" s="414"/>
      <c r="DJ334" s="414"/>
      <c r="DK334" s="414"/>
      <c r="DL334" s="414"/>
      <c r="DM334" s="414"/>
      <c r="DN334" s="414"/>
      <c r="DO334" s="414"/>
      <c r="DP334" s="414"/>
      <c r="DQ334" s="414"/>
      <c r="DR334" s="414"/>
      <c r="DS334" s="414"/>
      <c r="DT334" s="414"/>
      <c r="DU334" s="414"/>
      <c r="DV334" s="414"/>
      <c r="DW334" s="414"/>
    </row>
    <row r="335" ht="15.0" customHeight="1">
      <c r="A335" s="456">
        <v>40168.0</v>
      </c>
      <c r="B335" s="457" t="s">
        <v>3358</v>
      </c>
      <c r="C335" s="457" t="s">
        <v>3359</v>
      </c>
      <c r="D335" s="458"/>
      <c r="E335" s="460" t="str">
        <f>IFERROR(__xludf.DUMMYFUNCTION("if(and(D335&lt;&gt;0,D335&lt;&gt;""""),D335/GOOGLEFINANCE(C335,""price"")-1,"""")"),"")</f>
        <v/>
      </c>
      <c r="F335" s="462">
        <f>IFERROR(__xludf.DUMMYFUNCTION("GOOGLEFINANCE(C335,""price"")"),280.6)</f>
        <v>280.6</v>
      </c>
      <c r="G335" s="460" t="str">
        <f t="shared" si="6"/>
        <v/>
      </c>
      <c r="H335" s="463">
        <v>20.0</v>
      </c>
      <c r="I335" s="463"/>
      <c r="J335" s="466"/>
      <c r="K335" s="466"/>
      <c r="L335" s="467"/>
      <c r="M335" s="469">
        <f t="shared" si="7"/>
        <v>-119.9023034</v>
      </c>
      <c r="N335" s="466">
        <f t="shared" si="8"/>
        <v>0</v>
      </c>
      <c r="O335" s="467"/>
      <c r="P335" s="471"/>
      <c r="Q335" s="469"/>
      <c r="R335" s="472"/>
      <c r="S335" s="472"/>
      <c r="T335" s="472"/>
      <c r="U335" s="473" t="s">
        <v>3360</v>
      </c>
      <c r="V335" s="319"/>
      <c r="W335" s="319"/>
      <c r="X335" s="319"/>
      <c r="Y335" s="319"/>
      <c r="Z335" s="319"/>
      <c r="AA335" s="319"/>
      <c r="AB335" s="319"/>
      <c r="AC335" s="319"/>
      <c r="AD335" s="319"/>
      <c r="AE335" s="319"/>
      <c r="AF335" s="319"/>
      <c r="AG335" s="319"/>
      <c r="AH335" s="319"/>
      <c r="AI335" s="319"/>
      <c r="AJ335" s="319"/>
      <c r="AK335" s="319"/>
      <c r="AL335" s="319"/>
      <c r="AM335" s="319"/>
      <c r="AN335" s="319"/>
      <c r="AO335" s="319"/>
      <c r="AP335" s="319"/>
      <c r="AQ335" s="319"/>
      <c r="AR335" s="319"/>
      <c r="AS335" s="319"/>
      <c r="AT335" s="319"/>
      <c r="AU335" s="319"/>
      <c r="AV335" s="319"/>
      <c r="AW335" s="319"/>
      <c r="AX335" s="319"/>
      <c r="AY335" s="319"/>
      <c r="AZ335" s="319"/>
      <c r="BA335" s="319"/>
      <c r="BB335" s="319"/>
      <c r="BC335" s="319"/>
      <c r="BD335" s="319"/>
      <c r="BE335" s="319"/>
      <c r="BF335" s="319"/>
      <c r="BG335" s="319"/>
      <c r="BH335" s="319"/>
      <c r="BI335" s="319"/>
      <c r="BJ335" s="319"/>
      <c r="BK335" s="319"/>
      <c r="BL335" s="319"/>
      <c r="BM335" s="319"/>
      <c r="BN335" s="319"/>
      <c r="BO335" s="319"/>
      <c r="BP335" s="319"/>
      <c r="BQ335" s="319"/>
      <c r="BR335" s="319"/>
      <c r="BS335" s="319"/>
      <c r="BT335" s="319"/>
      <c r="BU335" s="319"/>
      <c r="BV335" s="319"/>
      <c r="BW335" s="319"/>
      <c r="BX335" s="319"/>
      <c r="BY335" s="319"/>
      <c r="BZ335" s="319"/>
      <c r="CA335" s="319"/>
      <c r="CB335" s="319"/>
      <c r="CC335" s="319"/>
      <c r="CD335" s="319"/>
      <c r="CE335" s="319"/>
      <c r="CF335" s="319"/>
      <c r="CG335" s="319"/>
      <c r="CH335" s="319"/>
      <c r="CI335" s="319"/>
      <c r="CJ335" s="319"/>
      <c r="CK335" s="319"/>
      <c r="CL335" s="319"/>
      <c r="CM335" s="319"/>
      <c r="CN335" s="319"/>
      <c r="CO335" s="319"/>
      <c r="CP335" s="319"/>
      <c r="CQ335" s="319"/>
      <c r="CR335" s="319"/>
      <c r="CS335" s="319"/>
      <c r="CT335" s="319"/>
      <c r="CU335" s="319"/>
      <c r="CV335" s="319"/>
      <c r="CW335" s="319"/>
      <c r="CX335" s="319"/>
      <c r="CY335" s="319"/>
      <c r="CZ335" s="319"/>
      <c r="DA335" s="319"/>
      <c r="DB335" s="319"/>
      <c r="DC335" s="319"/>
      <c r="DD335" s="319"/>
      <c r="DE335" s="319"/>
      <c r="DF335" s="319"/>
      <c r="DG335" s="319"/>
      <c r="DH335" s="319"/>
      <c r="DI335" s="319"/>
      <c r="DJ335" s="319"/>
      <c r="DK335" s="319"/>
      <c r="DL335" s="319"/>
      <c r="DM335" s="319"/>
      <c r="DN335" s="319"/>
      <c r="DO335" s="319"/>
      <c r="DP335" s="319"/>
      <c r="DQ335" s="319"/>
      <c r="DR335" s="319"/>
      <c r="DS335" s="319"/>
      <c r="DT335" s="319"/>
      <c r="DU335" s="319"/>
      <c r="DV335" s="319"/>
      <c r="DW335" s="319"/>
    </row>
    <row r="336" ht="15.0" customHeight="1">
      <c r="A336" s="372">
        <v>43071.0</v>
      </c>
      <c r="B336" s="384" t="s">
        <v>3361</v>
      </c>
      <c r="C336" s="997" t="s">
        <v>1114</v>
      </c>
      <c r="D336" s="373">
        <v>37.0</v>
      </c>
      <c r="E336" s="374">
        <f>IFERROR(__xludf.DUMMYFUNCTION("if(and(D336&lt;&gt;0,D336&lt;&gt;""""),D336/GOOGLEFINANCE(C336,""price"")-1,"""")"),-0.08911866075824715)</f>
        <v>-0.08911866076</v>
      </c>
      <c r="F336" s="375">
        <f>IFERROR(__xludf.DUMMYFUNCTION("GOOGLEFINANCE(C336,""price"")"),40.62)</f>
        <v>40.62</v>
      </c>
      <c r="G336" s="374">
        <f t="shared" si="6"/>
        <v>0.1660781672</v>
      </c>
      <c r="H336" s="376"/>
      <c r="I336" s="368">
        <f>sum(CY336:DS336)</f>
        <v>47.36609515</v>
      </c>
      <c r="J336" s="377">
        <f>average(1.45,1.28)</f>
        <v>1.365</v>
      </c>
      <c r="K336" s="377">
        <f>average(1.85,1.63)</f>
        <v>1.74</v>
      </c>
      <c r="L336" s="378">
        <v>43830.0</v>
      </c>
      <c r="M336" s="379">
        <f t="shared" si="7"/>
        <v>0.179888427</v>
      </c>
      <c r="N336" s="380">
        <f t="shared" si="8"/>
        <v>1.67254184</v>
      </c>
      <c r="O336" s="370">
        <v>0.15</v>
      </c>
      <c r="P336" s="370">
        <v>0.2</v>
      </c>
      <c r="Q336" s="371">
        <f>I336/N336</f>
        <v>28.31982676</v>
      </c>
      <c r="R336" s="381">
        <v>8.0</v>
      </c>
      <c r="S336" s="378">
        <v>43650.0</v>
      </c>
      <c r="T336" s="387" t="s">
        <v>1240</v>
      </c>
      <c r="U336" s="382" t="s">
        <v>3362</v>
      </c>
      <c r="V336" s="429">
        <f>O336</f>
        <v>0.15</v>
      </c>
      <c r="W336" s="430">
        <f>max(min(Valu!$C$15,$O336),$O336-max($O336-Valu!$C$15,0)/$R336*(W$3-1))</f>
        <v>0.135</v>
      </c>
      <c r="X336" s="430">
        <f>max(min(Valu!$C$15,$O336),$O336-max($O336-Valu!$C$15,0)/$R336*(X$3-1))</f>
        <v>0.12</v>
      </c>
      <c r="Y336" s="430">
        <f>max(min(Valu!$C$15,$O336),$O336-max($O336-Valu!$C$15,0)/$R336*(Y$3-1))</f>
        <v>0.105</v>
      </c>
      <c r="Z336" s="430">
        <f>max(min(Valu!$C$15,$O336),$O336-max($O336-Valu!$C$15,0)/$R336*(Z$3-1))</f>
        <v>0.09</v>
      </c>
      <c r="AA336" s="430">
        <f>max(min(Valu!$C$15,$O336),$O336-max($O336-Valu!$C$15,0)/$R336*(AA$3-1))</f>
        <v>0.075</v>
      </c>
      <c r="AB336" s="430">
        <f>max(min(Valu!$C$15,$O336),$O336-max($O336-Valu!$C$15,0)/$R336*(AB$3-1))</f>
        <v>0.06</v>
      </c>
      <c r="AC336" s="430">
        <f>max(min(Valu!$C$15,$O336),$O336-max($O336-Valu!$C$15,0)/$R336*(AC$3-1))</f>
        <v>0.045</v>
      </c>
      <c r="AD336" s="430">
        <f>max(min(Valu!$C$15,$O336),$O336-max($O336-Valu!$C$15,0)/$R336*(AD$3-1))</f>
        <v>0.03</v>
      </c>
      <c r="AE336" s="430">
        <f>max(min(Valu!$C$15,$O336),$O336-max($O336-Valu!$C$15,0)/$R336*(AE$3-1))</f>
        <v>0.03</v>
      </c>
      <c r="AF336" s="430">
        <f>max(min(Valu!$C$15,$O336),$O336-max($O336-Valu!$C$15,0)/$R336*(AF$3-1))</f>
        <v>0.03</v>
      </c>
      <c r="AG336" s="430">
        <f>max(min(Valu!$C$15,$O336),$O336-max($O336-Valu!$C$15,0)/$R336*(AG$3-1))</f>
        <v>0.03</v>
      </c>
      <c r="AH336" s="430">
        <f>max(min(Valu!$C$15,$O336),$O336-max($O336-Valu!$C$15,0)/$R336*(AH$3-1))</f>
        <v>0.03</v>
      </c>
      <c r="AI336" s="430">
        <f>max(min(Valu!$C$15,$O336),$O336-max($O336-Valu!$C$15,0)/$R336*(AI$3-1))</f>
        <v>0.03</v>
      </c>
      <c r="AJ336" s="430">
        <f>max(min(Valu!$C$15,$O336),$O336-max($O336-Valu!$C$15,0)/$R336*(AJ$3-1))</f>
        <v>0.03</v>
      </c>
      <c r="AK336" s="430">
        <f>max(min(Valu!$C$15,$O336),$O336-max($O336-Valu!$C$15,0)/$R336*(AK$3-1))</f>
        <v>0.03</v>
      </c>
      <c r="AL336" s="430">
        <f>max(min(Valu!$C$15,$O336),$O336-max($O336-Valu!$C$15,0)/$R336*(AL$3-1))</f>
        <v>0.03</v>
      </c>
      <c r="AM336" s="430">
        <f>max(min(Valu!$C$15,$O336),$O336-max($O336-Valu!$C$15,0)/$R336*(AM$3-1))</f>
        <v>0.03</v>
      </c>
      <c r="AN336" s="430">
        <f>max(min(Valu!$C$15,$O336),$O336-max($O336-Valu!$C$15,0)/$R336*(AN$3-1))</f>
        <v>0.03</v>
      </c>
      <c r="AO336" s="430">
        <f>max(min(Valu!$C$15,$O336),$O336-max($O336-Valu!$C$15,0)/$R336*(AO$3-1))</f>
        <v>0.03</v>
      </c>
      <c r="AP336" s="430">
        <f>max(min(Valu!$C$14,$P336),$P336-max($P336-Valu!$C$14,0)/$R336*(AP$3-1))</f>
        <v>0.2</v>
      </c>
      <c r="AQ336" s="430">
        <f>max(min(Valu!$C$14,$P336),$P336-max($P336-Valu!$C$14,0)/$R336*(AQ$3-1))</f>
        <v>0.19</v>
      </c>
      <c r="AR336" s="430">
        <f>max(min(Valu!$C$14,$P336),$P336-max($P336-Valu!$C$14,0)/$R336*(AR$3-1))</f>
        <v>0.18</v>
      </c>
      <c r="AS336" s="430">
        <f>max(min(Valu!$C$14,$P336),$P336-max($P336-Valu!$C$14,0)/$R336*(AS$3-1))</f>
        <v>0.17</v>
      </c>
      <c r="AT336" s="430">
        <f>max(min(Valu!$C$14,$P336),$P336-max($P336-Valu!$C$14,0)/$R336*(AT$3-1))</f>
        <v>0.16</v>
      </c>
      <c r="AU336" s="430">
        <f>max(min(Valu!$C$14,$P336),$P336-max($P336-Valu!$C$14,0)/$R336*(AU$3-1))</f>
        <v>0.15</v>
      </c>
      <c r="AV336" s="430">
        <f>max(min(Valu!$C$14,$P336),$P336-max($P336-Valu!$C$14,0)/$R336*(AV$3-1))</f>
        <v>0.14</v>
      </c>
      <c r="AW336" s="430">
        <f>max(min(Valu!$C$14,$P336),$P336-max($P336-Valu!$C$14,0)/$R336*(AW$3-1))</f>
        <v>0.13</v>
      </c>
      <c r="AX336" s="430">
        <f>max(min(Valu!$C$14,$P336),$P336-max($P336-Valu!$C$14,0)/$R336*(AX$3-1))</f>
        <v>0.12</v>
      </c>
      <c r="AY336" s="430">
        <f>max(min(Valu!$C$14,$P336),$P336-max($P336-Valu!$C$14,0)/$R336*(AY$3-1))</f>
        <v>0.12</v>
      </c>
      <c r="AZ336" s="430">
        <f>max(min(Valu!$C$14,$P336),$P336-max($P336-Valu!$C$14,0)/$R336*(AZ$3-1))</f>
        <v>0.12</v>
      </c>
      <c r="BA336" s="430">
        <f>max(min(Valu!$C$14,$P336),$P336-max($P336-Valu!$C$14,0)/$R336*(BA$3-1))</f>
        <v>0.12</v>
      </c>
      <c r="BB336" s="430">
        <f>max(min(Valu!$C$14,$P336),$P336-max($P336-Valu!$C$14,0)/$R336*(BB$3-1))</f>
        <v>0.12</v>
      </c>
      <c r="BC336" s="430">
        <f>max(min(Valu!$C$14,$P336),$P336-max($P336-Valu!$C$14,0)/$R336*(BC$3-1))</f>
        <v>0.12</v>
      </c>
      <c r="BD336" s="430">
        <f>max(min(Valu!$C$14,$P336),$P336-max($P336-Valu!$C$14,0)/$R336*(BD$3-1))</f>
        <v>0.12</v>
      </c>
      <c r="BE336" s="430">
        <f>max(min(Valu!$C$14,$P336),$P336-max($P336-Valu!$C$14,0)/$R336*(BE$3-1))</f>
        <v>0.12</v>
      </c>
      <c r="BF336" s="430">
        <f>max(min(Valu!$C$14,$P336),$P336-max($P336-Valu!$C$14,0)/$R336*(BF$3-1))</f>
        <v>0.12</v>
      </c>
      <c r="BG336" s="430">
        <f>max(min(Valu!$C$14,$P336),$P336-max($P336-Valu!$C$14,0)/$R336*(BG$3-1))</f>
        <v>0.12</v>
      </c>
      <c r="BH336" s="430">
        <f>max(min(Valu!$C$14,$P336),$P336-max($P336-Valu!$C$14,0)/$R336*(BH$3-1))</f>
        <v>0.12</v>
      </c>
      <c r="BI336" s="430">
        <f>max(min(Valu!$C$14,$P336),$P336-max($P336-Valu!$C$14,0)/$R336*(BI$3-1))</f>
        <v>0.12</v>
      </c>
      <c r="BJ336" s="431">
        <f>N336</f>
        <v>1.67254184</v>
      </c>
      <c r="BK336" s="432">
        <f>$BJ336*(1+V336)</f>
        <v>1.923423116</v>
      </c>
      <c r="BL336" s="432">
        <f t="shared" ref="BL336:CC336" si="186">BK336*(1+W336)</f>
        <v>2.183085237</v>
      </c>
      <c r="BM336" s="432">
        <f t="shared" si="186"/>
        <v>2.445055465</v>
      </c>
      <c r="BN336" s="432">
        <f t="shared" si="186"/>
        <v>2.701786289</v>
      </c>
      <c r="BO336" s="432">
        <f t="shared" si="186"/>
        <v>2.944947055</v>
      </c>
      <c r="BP336" s="432">
        <f t="shared" si="186"/>
        <v>3.165818084</v>
      </c>
      <c r="BQ336" s="432">
        <f t="shared" si="186"/>
        <v>3.355767169</v>
      </c>
      <c r="BR336" s="432">
        <f t="shared" si="186"/>
        <v>3.506776691</v>
      </c>
      <c r="BS336" s="432">
        <f t="shared" si="186"/>
        <v>3.611979992</v>
      </c>
      <c r="BT336" s="432">
        <f t="shared" si="186"/>
        <v>3.720339392</v>
      </c>
      <c r="BU336" s="432">
        <f t="shared" si="186"/>
        <v>3.831949574</v>
      </c>
      <c r="BV336" s="432">
        <f t="shared" si="186"/>
        <v>3.946908061</v>
      </c>
      <c r="BW336" s="432">
        <f t="shared" si="186"/>
        <v>4.065315303</v>
      </c>
      <c r="BX336" s="432">
        <f t="shared" si="186"/>
        <v>4.187274762</v>
      </c>
      <c r="BY336" s="432">
        <f t="shared" si="186"/>
        <v>4.312893005</v>
      </c>
      <c r="BZ336" s="432">
        <f t="shared" si="186"/>
        <v>4.442279795</v>
      </c>
      <c r="CA336" s="432">
        <f t="shared" si="186"/>
        <v>4.575548189</v>
      </c>
      <c r="CB336" s="432">
        <f t="shared" si="186"/>
        <v>4.712814634</v>
      </c>
      <c r="CC336" s="432">
        <f t="shared" si="186"/>
        <v>4.854199073</v>
      </c>
      <c r="CD336" s="432">
        <f t="shared" ref="CD336:CW336" si="187">BJ336*(1-V336/AP336)</f>
        <v>0.41813546</v>
      </c>
      <c r="CE336" s="432">
        <f t="shared" si="187"/>
        <v>0.5567803756</v>
      </c>
      <c r="CF336" s="432">
        <f t="shared" si="187"/>
        <v>0.7276950788</v>
      </c>
      <c r="CG336" s="432">
        <f t="shared" si="187"/>
        <v>0.9348741483</v>
      </c>
      <c r="CH336" s="432">
        <f t="shared" si="187"/>
        <v>1.182031501</v>
      </c>
      <c r="CI336" s="432">
        <f t="shared" si="187"/>
        <v>1.472473527</v>
      </c>
      <c r="CJ336" s="432">
        <f t="shared" si="187"/>
        <v>1.809038905</v>
      </c>
      <c r="CK336" s="432">
        <f t="shared" si="187"/>
        <v>2.194155457</v>
      </c>
      <c r="CL336" s="432">
        <f t="shared" si="187"/>
        <v>2.630082519</v>
      </c>
      <c r="CM336" s="432">
        <f t="shared" si="187"/>
        <v>2.708984994</v>
      </c>
      <c r="CN336" s="432">
        <f t="shared" si="187"/>
        <v>2.790254544</v>
      </c>
      <c r="CO336" s="432">
        <f t="shared" si="187"/>
        <v>2.87396218</v>
      </c>
      <c r="CP336" s="432">
        <f t="shared" si="187"/>
        <v>2.960181046</v>
      </c>
      <c r="CQ336" s="432">
        <f t="shared" si="187"/>
        <v>3.048986477</v>
      </c>
      <c r="CR336" s="432">
        <f t="shared" si="187"/>
        <v>3.140456071</v>
      </c>
      <c r="CS336" s="432">
        <f t="shared" si="187"/>
        <v>3.234669753</v>
      </c>
      <c r="CT336" s="432">
        <f t="shared" si="187"/>
        <v>3.331709846</v>
      </c>
      <c r="CU336" s="432">
        <f t="shared" si="187"/>
        <v>3.431661141</v>
      </c>
      <c r="CV336" s="432">
        <f t="shared" si="187"/>
        <v>3.534610976</v>
      </c>
      <c r="CW336" s="432">
        <f t="shared" si="187"/>
        <v>3.640649305</v>
      </c>
      <c r="CX336" s="432">
        <f>CW336*(1+min(Valu!$C$15,$O336))/(Valu!$C$21-min(Valu!$C$15,$O336))</f>
        <v>98.68075748</v>
      </c>
      <c r="CY336" s="432">
        <f>CD336/(1+Valu!$C$21)^CY$3</f>
        <v>0.391512603</v>
      </c>
      <c r="CZ336" s="432">
        <f>CE336/(1+Valu!$C$21)^CZ$3</f>
        <v>0.4881366477</v>
      </c>
      <c r="DA336" s="432">
        <f>CF336/(1+Valu!$C$21)^DA$3</f>
        <v>0.5973593694</v>
      </c>
      <c r="DB336" s="432">
        <f>CG336/(1+Valu!$C$21)^DB$3</f>
        <v>0.7185684417</v>
      </c>
      <c r="DC336" s="432">
        <f>CH336/(1+Valu!$C$21)^DC$3</f>
        <v>0.8506928591</v>
      </c>
      <c r="DD336" s="432">
        <f>CI336/(1+Valu!$C$21)^DD$3</f>
        <v>0.9922474226</v>
      </c>
      <c r="DE336" s="432">
        <f>CJ336/(1+Valu!$C$21)^DE$3</f>
        <v>1.141429619</v>
      </c>
      <c r="DF336" s="432">
        <f>CK336/(1+Valu!$C$21)^DF$3</f>
        <v>1.296275679</v>
      </c>
      <c r="DG336" s="432">
        <f>CL336/(1+Valu!$C$21)^DG$3</f>
        <v>1.454883104</v>
      </c>
      <c r="DH336" s="432">
        <f>CM336/(1+Valu!$C$21)^DH$3</f>
        <v>1.403117601</v>
      </c>
      <c r="DI336" s="432">
        <f>CN336/(1+Valu!$C$21)^DI$3</f>
        <v>1.353193941</v>
      </c>
      <c r="DJ336" s="432">
        <f>CO336/(1+Valu!$C$21)^DJ$3</f>
        <v>1.305046591</v>
      </c>
      <c r="DK336" s="432">
        <f>CP336/(1+Valu!$C$21)^DK$3</f>
        <v>1.258612349</v>
      </c>
      <c r="DL336" s="432">
        <f>CQ336/(1+Valu!$C$21)^DL$3</f>
        <v>1.213830261</v>
      </c>
      <c r="DM336" s="432">
        <f>CR336/(1+Valu!$C$21)^DM$3</f>
        <v>1.170641544</v>
      </c>
      <c r="DN336" s="432">
        <f>CS336/(1+Valu!$C$21)^DN$3</f>
        <v>1.128989504</v>
      </c>
      <c r="DO336" s="432">
        <f>CT336/(1+Valu!$C$21)^DO$3</f>
        <v>1.088819466</v>
      </c>
      <c r="DP336" s="432">
        <f>CU336/(1+Valu!$C$21)^DP$3</f>
        <v>1.050078698</v>
      </c>
      <c r="DQ336" s="432">
        <f>CV336/(1+Valu!$C$21)^DQ$3</f>
        <v>1.012716348</v>
      </c>
      <c r="DR336" s="432">
        <f>CW336/(1+Valu!$C$21)^DR$3</f>
        <v>0.9766833689</v>
      </c>
      <c r="DS336" s="432">
        <f>CX336/(1+Valu!$C$21)^DS$3</f>
        <v>26.47325974</v>
      </c>
      <c r="DT336" s="358"/>
      <c r="DU336" s="358"/>
      <c r="DV336" s="358"/>
      <c r="DW336" s="358"/>
    </row>
    <row r="337" ht="15.0" customHeight="1">
      <c r="A337" s="372">
        <v>42783.0</v>
      </c>
      <c r="B337" s="384" t="s">
        <v>2394</v>
      </c>
      <c r="C337" s="384" t="s">
        <v>2395</v>
      </c>
      <c r="D337" s="418">
        <f>min(35,I337)</f>
        <v>21.34293741</v>
      </c>
      <c r="E337" s="374">
        <f>IFERROR(__xludf.DUMMYFUNCTION("if(and(D337&lt;&gt;0,D337&lt;&gt;""""),D337/GOOGLEFINANCE(C337,""price"")-1,"""")"),-0.524444353589507)</f>
        <v>-0.5244443536</v>
      </c>
      <c r="F337" s="375">
        <f>IFERROR(__xludf.DUMMYFUNCTION("GOOGLEFINANCE(C337,""price"")"),44.88)</f>
        <v>44.88</v>
      </c>
      <c r="G337" s="374">
        <f t="shared" si="6"/>
        <v>-0.5244443536</v>
      </c>
      <c r="H337" s="376"/>
      <c r="I337" s="376">
        <f t="shared" ref="I337:I338" si="188">N337*($I$1+O337*100)</f>
        <v>21.34293741</v>
      </c>
      <c r="J337" s="385">
        <v>0.35</v>
      </c>
      <c r="K337" s="385">
        <v>0.42</v>
      </c>
      <c r="L337" s="409">
        <v>43465.0</v>
      </c>
      <c r="M337" s="379">
        <f t="shared" si="7"/>
        <v>-0.8201115787</v>
      </c>
      <c r="N337" s="380">
        <f t="shared" si="8"/>
        <v>0.4774078105</v>
      </c>
      <c r="O337" s="390">
        <v>0.3</v>
      </c>
      <c r="P337" s="370"/>
      <c r="Q337" s="371"/>
      <c r="R337" s="378"/>
      <c r="S337" s="378">
        <v>43516.0</v>
      </c>
      <c r="T337" s="387" t="s">
        <v>1608</v>
      </c>
      <c r="U337" s="386" t="s">
        <v>3365</v>
      </c>
      <c r="V337" s="344"/>
      <c r="W337" s="344"/>
      <c r="X337" s="344"/>
      <c r="Y337" s="344"/>
      <c r="Z337" s="344"/>
      <c r="AA337" s="344"/>
      <c r="AB337" s="344"/>
      <c r="AC337" s="344"/>
      <c r="AD337" s="344"/>
      <c r="AE337" s="344"/>
      <c r="AF337" s="344"/>
      <c r="AG337" s="344"/>
      <c r="AH337" s="344"/>
      <c r="AI337" s="344"/>
      <c r="AJ337" s="344"/>
      <c r="AK337" s="344"/>
      <c r="AL337" s="344"/>
      <c r="AM337" s="344"/>
      <c r="AN337" s="344"/>
      <c r="AO337" s="344"/>
      <c r="AP337" s="344"/>
      <c r="AQ337" s="344"/>
      <c r="AR337" s="344"/>
      <c r="AS337" s="344"/>
      <c r="AT337" s="344"/>
      <c r="AU337" s="344"/>
      <c r="AV337" s="344"/>
      <c r="AW337" s="344"/>
      <c r="AX337" s="344"/>
      <c r="AY337" s="344"/>
      <c r="AZ337" s="344"/>
      <c r="BA337" s="344"/>
      <c r="BB337" s="344"/>
      <c r="BC337" s="344"/>
      <c r="BD337" s="344"/>
      <c r="BE337" s="344"/>
      <c r="BF337" s="344"/>
      <c r="BG337" s="344"/>
      <c r="BH337" s="344"/>
      <c r="BI337" s="344"/>
      <c r="BJ337" s="344"/>
      <c r="BK337" s="344"/>
      <c r="BL337" s="344"/>
      <c r="BM337" s="344"/>
      <c r="BN337" s="344"/>
      <c r="BO337" s="344"/>
      <c r="BP337" s="344"/>
      <c r="BQ337" s="344"/>
      <c r="BR337" s="344"/>
      <c r="BS337" s="344"/>
      <c r="BT337" s="344"/>
      <c r="BU337" s="344"/>
      <c r="BV337" s="344"/>
      <c r="BW337" s="344"/>
      <c r="BX337" s="344"/>
      <c r="BY337" s="344"/>
      <c r="BZ337" s="344"/>
      <c r="CA337" s="344"/>
      <c r="CB337" s="344"/>
      <c r="CC337" s="344"/>
      <c r="CD337" s="344"/>
      <c r="CE337" s="344"/>
      <c r="CF337" s="344"/>
      <c r="CG337" s="344"/>
      <c r="CH337" s="344"/>
      <c r="CI337" s="344"/>
      <c r="CJ337" s="344"/>
      <c r="CK337" s="344"/>
      <c r="CL337" s="344"/>
      <c r="CM337" s="344"/>
      <c r="CN337" s="344"/>
      <c r="CO337" s="344"/>
      <c r="CP337" s="344"/>
      <c r="CQ337" s="344"/>
      <c r="CR337" s="344"/>
      <c r="CS337" s="344"/>
      <c r="CT337" s="344"/>
      <c r="CU337" s="344"/>
      <c r="CV337" s="344"/>
      <c r="CW337" s="344"/>
      <c r="CX337" s="344"/>
      <c r="CY337" s="344"/>
      <c r="CZ337" s="344"/>
      <c r="DA337" s="344"/>
      <c r="DB337" s="344"/>
      <c r="DC337" s="344"/>
      <c r="DD337" s="344"/>
      <c r="DE337" s="344"/>
      <c r="DF337" s="344"/>
      <c r="DG337" s="344"/>
      <c r="DH337" s="344"/>
      <c r="DI337" s="344"/>
      <c r="DJ337" s="344"/>
      <c r="DK337" s="344"/>
      <c r="DL337" s="344"/>
      <c r="DM337" s="344"/>
      <c r="DN337" s="344"/>
      <c r="DO337" s="344"/>
      <c r="DP337" s="344"/>
      <c r="DQ337" s="344"/>
      <c r="DR337" s="344"/>
      <c r="DS337" s="344"/>
      <c r="DT337" s="344"/>
      <c r="DU337" s="344"/>
      <c r="DV337" s="344"/>
      <c r="DW337" s="344"/>
    </row>
    <row r="338" ht="15.0" customHeight="1">
      <c r="A338" s="383">
        <v>41260.0</v>
      </c>
      <c r="B338" s="320" t="s">
        <v>3366</v>
      </c>
      <c r="C338" s="320" t="s">
        <v>1366</v>
      </c>
      <c r="D338" s="532"/>
      <c r="E338" s="374" t="str">
        <f>IFERROR(__xludf.DUMMYFUNCTION("if(and(D338&lt;&gt;0,D338&lt;&gt;""""),D338/GOOGLEFINANCE(C338,""price"")-1,"""")"),"")</f>
        <v/>
      </c>
      <c r="F338" s="375">
        <f>IFERROR(__xludf.DUMMYFUNCTION("GOOGLEFINANCE(C338,""price"")"),523.45)</f>
        <v>523.45</v>
      </c>
      <c r="G338" s="374">
        <f t="shared" si="6"/>
        <v>-0.08026801713</v>
      </c>
      <c r="H338" s="376"/>
      <c r="I338" s="376">
        <f t="shared" si="188"/>
        <v>481.4337064</v>
      </c>
      <c r="J338" s="385">
        <v>16.12</v>
      </c>
      <c r="K338" s="385">
        <v>19.26</v>
      </c>
      <c r="L338" s="378">
        <v>43738.0</v>
      </c>
      <c r="M338" s="379">
        <f t="shared" si="7"/>
        <v>-0.07216637043</v>
      </c>
      <c r="N338" s="380">
        <f t="shared" si="8"/>
        <v>19.4866024</v>
      </c>
      <c r="O338" s="361">
        <v>0.1</v>
      </c>
      <c r="P338" s="361"/>
      <c r="Q338" s="362"/>
      <c r="R338" s="360"/>
      <c r="S338" s="378">
        <v>43621.0</v>
      </c>
      <c r="T338" s="381" t="s">
        <v>1223</v>
      </c>
      <c r="U338" s="417" t="s">
        <v>3367</v>
      </c>
      <c r="V338" s="367"/>
      <c r="W338" s="367"/>
      <c r="X338" s="367"/>
      <c r="Y338" s="367"/>
      <c r="Z338" s="367"/>
      <c r="AA338" s="367"/>
      <c r="AB338" s="367"/>
      <c r="AC338" s="367"/>
      <c r="AD338" s="367"/>
      <c r="AE338" s="367"/>
      <c r="AF338" s="367"/>
      <c r="AG338" s="367"/>
      <c r="AH338" s="367"/>
      <c r="AI338" s="367"/>
      <c r="AJ338" s="367"/>
      <c r="AK338" s="367"/>
      <c r="AL338" s="367"/>
      <c r="AM338" s="367"/>
      <c r="AN338" s="367"/>
      <c r="AO338" s="367"/>
      <c r="AP338" s="367"/>
      <c r="AQ338" s="367"/>
      <c r="AR338" s="367"/>
      <c r="AS338" s="367"/>
      <c r="AT338" s="367"/>
      <c r="AU338" s="367"/>
      <c r="AV338" s="367"/>
      <c r="AW338" s="367"/>
      <c r="AX338" s="367"/>
      <c r="AY338" s="367"/>
      <c r="AZ338" s="367"/>
      <c r="BA338" s="367"/>
      <c r="BB338" s="367"/>
      <c r="BC338" s="367"/>
      <c r="BD338" s="367"/>
      <c r="BE338" s="367"/>
      <c r="BF338" s="367"/>
      <c r="BG338" s="367"/>
      <c r="BH338" s="367"/>
      <c r="BI338" s="367"/>
      <c r="BJ338" s="367"/>
      <c r="BK338" s="367"/>
      <c r="BL338" s="367"/>
      <c r="BM338" s="367"/>
      <c r="BN338" s="367"/>
      <c r="BO338" s="367"/>
      <c r="BP338" s="367"/>
      <c r="BQ338" s="367"/>
      <c r="BR338" s="367"/>
      <c r="BS338" s="367"/>
      <c r="BT338" s="367"/>
      <c r="BU338" s="367"/>
      <c r="BV338" s="367"/>
      <c r="BW338" s="367"/>
      <c r="BX338" s="367"/>
      <c r="BY338" s="367"/>
      <c r="BZ338" s="367"/>
      <c r="CA338" s="367"/>
      <c r="CB338" s="367"/>
      <c r="CC338" s="367"/>
      <c r="CD338" s="367"/>
      <c r="CE338" s="367"/>
      <c r="CF338" s="367"/>
      <c r="CG338" s="367"/>
      <c r="CH338" s="367"/>
      <c r="CI338" s="367"/>
      <c r="CJ338" s="367"/>
      <c r="CK338" s="367"/>
      <c r="CL338" s="367"/>
      <c r="CM338" s="367"/>
      <c r="CN338" s="367"/>
      <c r="CO338" s="367"/>
      <c r="CP338" s="367"/>
      <c r="CQ338" s="367"/>
      <c r="CR338" s="367"/>
      <c r="CS338" s="367"/>
      <c r="CT338" s="367"/>
      <c r="CU338" s="367"/>
      <c r="CV338" s="367"/>
      <c r="CW338" s="367"/>
      <c r="CX338" s="367"/>
      <c r="CY338" s="367"/>
      <c r="CZ338" s="367"/>
      <c r="DA338" s="367"/>
      <c r="DB338" s="367"/>
      <c r="DC338" s="367"/>
      <c r="DD338" s="367"/>
      <c r="DE338" s="367"/>
      <c r="DF338" s="367"/>
      <c r="DG338" s="367"/>
      <c r="DH338" s="367"/>
      <c r="DI338" s="367"/>
      <c r="DJ338" s="367"/>
      <c r="DK338" s="367"/>
      <c r="DL338" s="367"/>
      <c r="DM338" s="367"/>
      <c r="DN338" s="367"/>
      <c r="DO338" s="367"/>
      <c r="DP338" s="367"/>
      <c r="DQ338" s="367"/>
      <c r="DR338" s="367"/>
      <c r="DS338" s="367"/>
      <c r="DT338" s="367"/>
      <c r="DU338" s="367"/>
      <c r="DV338" s="367"/>
      <c r="DW338" s="367"/>
    </row>
    <row r="339" ht="15.0" customHeight="1">
      <c r="A339" s="343">
        <v>43062.0</v>
      </c>
      <c r="B339" s="344" t="s">
        <v>3368</v>
      </c>
      <c r="C339" s="344" t="s">
        <v>1079</v>
      </c>
      <c r="D339" s="418">
        <f>min(110,I339)</f>
        <v>110</v>
      </c>
      <c r="E339" s="345">
        <f>IFERROR(__xludf.DUMMYFUNCTION("if(and(D339&lt;&gt;0,D339&lt;&gt;""""),D339/GOOGLEFINANCE(C339,""price"")-1,"""")"),-0.03356176418907042)</f>
        <v>-0.03356176419</v>
      </c>
      <c r="F339" s="364">
        <f>IFERROR(__xludf.DUMMYFUNCTION("GOOGLEFINANCE(C339,""price"")"),113.82)</f>
        <v>113.82</v>
      </c>
      <c r="G339" s="345">
        <f t="shared" si="6"/>
        <v>0.5201021115</v>
      </c>
      <c r="H339" s="347"/>
      <c r="I339" s="368">
        <f>sum(CY339:DS339)</f>
        <v>173.0180223</v>
      </c>
      <c r="J339" s="369">
        <v>1.02</v>
      </c>
      <c r="K339" s="369">
        <v>1.3</v>
      </c>
      <c r="L339" s="360">
        <v>44012.0</v>
      </c>
      <c r="M339" s="351">
        <f t="shared" si="7"/>
        <v>0.6785185648</v>
      </c>
      <c r="N339" s="349">
        <f t="shared" si="8"/>
        <v>1.110014802</v>
      </c>
      <c r="O339" s="361">
        <f>40%*1.5</f>
        <v>0.6</v>
      </c>
      <c r="P339" s="370">
        <v>0.2</v>
      </c>
      <c r="Q339" s="371">
        <f>I339/N339</f>
        <v>155.8700137</v>
      </c>
      <c r="R339" s="355">
        <v>10.0</v>
      </c>
      <c r="S339" s="360">
        <v>43676.0</v>
      </c>
      <c r="T339" s="365" t="s">
        <v>1608</v>
      </c>
      <c r="U339" s="363" t="s">
        <v>3369</v>
      </c>
      <c r="V339" s="429">
        <f>O339</f>
        <v>0.6</v>
      </c>
      <c r="W339" s="430">
        <f>max(min(Valu!$C$15,$O339),$O339-max($O339-Valu!$C$15,0)/$R339*(W$3-1))</f>
        <v>0.543</v>
      </c>
      <c r="X339" s="430">
        <f>max(min(Valu!$C$15,$O339),$O339-max($O339-Valu!$C$15,0)/$R339*(X$3-1))</f>
        <v>0.486</v>
      </c>
      <c r="Y339" s="430">
        <f>max(min(Valu!$C$15,$O339),$O339-max($O339-Valu!$C$15,0)/$R339*(Y$3-1))</f>
        <v>0.429</v>
      </c>
      <c r="Z339" s="430">
        <f>max(min(Valu!$C$15,$O339),$O339-max($O339-Valu!$C$15,0)/$R339*(Z$3-1))</f>
        <v>0.372</v>
      </c>
      <c r="AA339" s="430">
        <f>max(min(Valu!$C$15,$O339),$O339-max($O339-Valu!$C$15,0)/$R339*(AA$3-1))</f>
        <v>0.315</v>
      </c>
      <c r="AB339" s="430">
        <f>max(min(Valu!$C$15,$O339),$O339-max($O339-Valu!$C$15,0)/$R339*(AB$3-1))</f>
        <v>0.258</v>
      </c>
      <c r="AC339" s="430">
        <f>max(min(Valu!$C$15,$O339),$O339-max($O339-Valu!$C$15,0)/$R339*(AC$3-1))</f>
        <v>0.201</v>
      </c>
      <c r="AD339" s="430">
        <f>max(min(Valu!$C$15,$O339),$O339-max($O339-Valu!$C$15,0)/$R339*(AD$3-1))</f>
        <v>0.144</v>
      </c>
      <c r="AE339" s="430">
        <f>max(min(Valu!$C$15,$O339),$O339-max($O339-Valu!$C$15,0)/$R339*(AE$3-1))</f>
        <v>0.087</v>
      </c>
      <c r="AF339" s="430">
        <f>max(min(Valu!$C$15,$O339),$O339-max($O339-Valu!$C$15,0)/$R339*(AF$3-1))</f>
        <v>0.03</v>
      </c>
      <c r="AG339" s="430">
        <f>max(min(Valu!$C$15,$O339),$O339-max($O339-Valu!$C$15,0)/$R339*(AG$3-1))</f>
        <v>0.03</v>
      </c>
      <c r="AH339" s="430">
        <f>max(min(Valu!$C$15,$O339),$O339-max($O339-Valu!$C$15,0)/$R339*(AH$3-1))</f>
        <v>0.03</v>
      </c>
      <c r="AI339" s="430">
        <f>max(min(Valu!$C$15,$O339),$O339-max($O339-Valu!$C$15,0)/$R339*(AI$3-1))</f>
        <v>0.03</v>
      </c>
      <c r="AJ339" s="430">
        <f>max(min(Valu!$C$15,$O339),$O339-max($O339-Valu!$C$15,0)/$R339*(AJ$3-1))</f>
        <v>0.03</v>
      </c>
      <c r="AK339" s="430">
        <f>max(min(Valu!$C$15,$O339),$O339-max($O339-Valu!$C$15,0)/$R339*(AK$3-1))</f>
        <v>0.03</v>
      </c>
      <c r="AL339" s="430">
        <f>max(min(Valu!$C$15,$O339),$O339-max($O339-Valu!$C$15,0)/$R339*(AL$3-1))</f>
        <v>0.03</v>
      </c>
      <c r="AM339" s="430">
        <f>max(min(Valu!$C$15,$O339),$O339-max($O339-Valu!$C$15,0)/$R339*(AM$3-1))</f>
        <v>0.03</v>
      </c>
      <c r="AN339" s="430">
        <f>max(min(Valu!$C$15,$O339),$O339-max($O339-Valu!$C$15,0)/$R339*(AN$3-1))</f>
        <v>0.03</v>
      </c>
      <c r="AO339" s="430">
        <f>max(min(Valu!$C$15,$O339),$O339-max($O339-Valu!$C$15,0)/$R339*(AO$3-1))</f>
        <v>0.03</v>
      </c>
      <c r="AP339" s="430">
        <f>max(min(Valu!$C$14,$P339),$P339-max($P339-Valu!$C$14,0)/$R339*(AP$3-1))</f>
        <v>0.2</v>
      </c>
      <c r="AQ339" s="430">
        <f>max(min(Valu!$C$14,$P339),$P339-max($P339-Valu!$C$14,0)/$R339*(AQ$3-1))</f>
        <v>0.192</v>
      </c>
      <c r="AR339" s="430">
        <f>max(min(Valu!$C$14,$P339),$P339-max($P339-Valu!$C$14,0)/$R339*(AR$3-1))</f>
        <v>0.184</v>
      </c>
      <c r="AS339" s="430">
        <f>max(min(Valu!$C$14,$P339),$P339-max($P339-Valu!$C$14,0)/$R339*(AS$3-1))</f>
        <v>0.176</v>
      </c>
      <c r="AT339" s="430">
        <f>max(min(Valu!$C$14,$P339),$P339-max($P339-Valu!$C$14,0)/$R339*(AT$3-1))</f>
        <v>0.168</v>
      </c>
      <c r="AU339" s="430">
        <f>max(min(Valu!$C$14,$P339),$P339-max($P339-Valu!$C$14,0)/$R339*(AU$3-1))</f>
        <v>0.16</v>
      </c>
      <c r="AV339" s="430">
        <f>max(min(Valu!$C$14,$P339),$P339-max($P339-Valu!$C$14,0)/$R339*(AV$3-1))</f>
        <v>0.152</v>
      </c>
      <c r="AW339" s="430">
        <f>max(min(Valu!$C$14,$P339),$P339-max($P339-Valu!$C$14,0)/$R339*(AW$3-1))</f>
        <v>0.144</v>
      </c>
      <c r="AX339" s="430">
        <f>max(min(Valu!$C$14,$P339),$P339-max($P339-Valu!$C$14,0)/$R339*(AX$3-1))</f>
        <v>0.136</v>
      </c>
      <c r="AY339" s="430">
        <f>max(min(Valu!$C$14,$P339),$P339-max($P339-Valu!$C$14,0)/$R339*(AY$3-1))</f>
        <v>0.128</v>
      </c>
      <c r="AZ339" s="430">
        <f>max(min(Valu!$C$14,$P339),$P339-max($P339-Valu!$C$14,0)/$R339*(AZ$3-1))</f>
        <v>0.12</v>
      </c>
      <c r="BA339" s="430">
        <f>max(min(Valu!$C$14,$P339),$P339-max($P339-Valu!$C$14,0)/$R339*(BA$3-1))</f>
        <v>0.12</v>
      </c>
      <c r="BB339" s="430">
        <f>max(min(Valu!$C$14,$P339),$P339-max($P339-Valu!$C$14,0)/$R339*(BB$3-1))</f>
        <v>0.12</v>
      </c>
      <c r="BC339" s="430">
        <f>max(min(Valu!$C$14,$P339),$P339-max($P339-Valu!$C$14,0)/$R339*(BC$3-1))</f>
        <v>0.12</v>
      </c>
      <c r="BD339" s="430">
        <f>max(min(Valu!$C$14,$P339),$P339-max($P339-Valu!$C$14,0)/$R339*(BD$3-1))</f>
        <v>0.12</v>
      </c>
      <c r="BE339" s="430">
        <f>max(min(Valu!$C$14,$P339),$P339-max($P339-Valu!$C$14,0)/$R339*(BE$3-1))</f>
        <v>0.12</v>
      </c>
      <c r="BF339" s="430">
        <f>max(min(Valu!$C$14,$P339),$P339-max($P339-Valu!$C$14,0)/$R339*(BF$3-1))</f>
        <v>0.12</v>
      </c>
      <c r="BG339" s="430">
        <f>max(min(Valu!$C$14,$P339),$P339-max($P339-Valu!$C$14,0)/$R339*(BG$3-1))</f>
        <v>0.12</v>
      </c>
      <c r="BH339" s="430">
        <f>max(min(Valu!$C$14,$P339),$P339-max($P339-Valu!$C$14,0)/$R339*(BH$3-1))</f>
        <v>0.12</v>
      </c>
      <c r="BI339" s="430">
        <f>max(min(Valu!$C$14,$P339),$P339-max($P339-Valu!$C$14,0)/$R339*(BI$3-1))</f>
        <v>0.12</v>
      </c>
      <c r="BJ339" s="431">
        <f>N339</f>
        <v>1.110014802</v>
      </c>
      <c r="BK339" s="432">
        <f>$BJ339*(1+V339)</f>
        <v>1.776023683</v>
      </c>
      <c r="BL339" s="432">
        <f t="shared" ref="BL339:CC339" si="189">BK339*(1+W339)</f>
        <v>2.740404543</v>
      </c>
      <c r="BM339" s="432">
        <f t="shared" si="189"/>
        <v>4.072241151</v>
      </c>
      <c r="BN339" s="432">
        <f t="shared" si="189"/>
        <v>5.819232604</v>
      </c>
      <c r="BO339" s="432">
        <f t="shared" si="189"/>
        <v>7.983987133</v>
      </c>
      <c r="BP339" s="432">
        <f t="shared" si="189"/>
        <v>10.49894308</v>
      </c>
      <c r="BQ339" s="432">
        <f t="shared" si="189"/>
        <v>13.20767039</v>
      </c>
      <c r="BR339" s="432">
        <f t="shared" si="189"/>
        <v>15.86241214</v>
      </c>
      <c r="BS339" s="432">
        <f t="shared" si="189"/>
        <v>18.14659949</v>
      </c>
      <c r="BT339" s="432">
        <f t="shared" si="189"/>
        <v>19.72535365</v>
      </c>
      <c r="BU339" s="432">
        <f t="shared" si="189"/>
        <v>20.31711426</v>
      </c>
      <c r="BV339" s="432">
        <f t="shared" si="189"/>
        <v>20.92662769</v>
      </c>
      <c r="BW339" s="432">
        <f t="shared" si="189"/>
        <v>21.55442652</v>
      </c>
      <c r="BX339" s="432">
        <f t="shared" si="189"/>
        <v>22.20105931</v>
      </c>
      <c r="BY339" s="432">
        <f t="shared" si="189"/>
        <v>22.86709109</v>
      </c>
      <c r="BZ339" s="432">
        <f t="shared" si="189"/>
        <v>23.55310382</v>
      </c>
      <c r="CA339" s="432">
        <f t="shared" si="189"/>
        <v>24.25969694</v>
      </c>
      <c r="CB339" s="432">
        <f t="shared" si="189"/>
        <v>24.98748785</v>
      </c>
      <c r="CC339" s="432">
        <f t="shared" si="189"/>
        <v>25.73711248</v>
      </c>
      <c r="CD339" s="432">
        <f t="shared" ref="CD339:CW339" si="190">BJ339*(1-V339/AP339)</f>
        <v>-2.220029604</v>
      </c>
      <c r="CE339" s="432">
        <f t="shared" si="190"/>
        <v>-3.246793295</v>
      </c>
      <c r="CF339" s="432">
        <f t="shared" si="190"/>
        <v>-4.497837891</v>
      </c>
      <c r="CG339" s="432">
        <f t="shared" si="190"/>
        <v>-5.853846654</v>
      </c>
      <c r="CH339" s="432">
        <f t="shared" si="190"/>
        <v>-7.066211019</v>
      </c>
      <c r="CI339" s="432">
        <f t="shared" si="190"/>
        <v>-7.734487535</v>
      </c>
      <c r="CJ339" s="432">
        <f t="shared" si="190"/>
        <v>-7.321631358</v>
      </c>
      <c r="CK339" s="432">
        <f t="shared" si="190"/>
        <v>-5.228036198</v>
      </c>
      <c r="CL339" s="432">
        <f t="shared" si="190"/>
        <v>-0.9330830673</v>
      </c>
      <c r="CM339" s="432">
        <f t="shared" si="190"/>
        <v>5.81258265</v>
      </c>
      <c r="CN339" s="432">
        <f t="shared" si="190"/>
        <v>14.79401524</v>
      </c>
      <c r="CO339" s="432">
        <f t="shared" si="190"/>
        <v>15.23783569</v>
      </c>
      <c r="CP339" s="432">
        <f t="shared" si="190"/>
        <v>15.69497076</v>
      </c>
      <c r="CQ339" s="432">
        <f t="shared" si="190"/>
        <v>16.16581989</v>
      </c>
      <c r="CR339" s="432">
        <f t="shared" si="190"/>
        <v>16.65079448</v>
      </c>
      <c r="CS339" s="432">
        <f t="shared" si="190"/>
        <v>17.15031832</v>
      </c>
      <c r="CT339" s="432">
        <f t="shared" si="190"/>
        <v>17.66482787</v>
      </c>
      <c r="CU339" s="432">
        <f t="shared" si="190"/>
        <v>18.1947727</v>
      </c>
      <c r="CV339" s="432">
        <f t="shared" si="190"/>
        <v>18.74061589</v>
      </c>
      <c r="CW339" s="432">
        <f t="shared" si="190"/>
        <v>19.30283436</v>
      </c>
      <c r="CX339" s="432">
        <f>CW339*(1+min(Valu!$C$15,$O339))/(Valu!$C$21-min(Valu!$C$15,$O339))</f>
        <v>523.2084051</v>
      </c>
      <c r="CY339" s="432">
        <f>CD339/(1+Valu!$C$21)^CY$3</f>
        <v>-2.078679404</v>
      </c>
      <c r="CZ339" s="432">
        <f>CE339/(1+Valu!$C$21)^CZ$3</f>
        <v>-2.846506207</v>
      </c>
      <c r="DA339" s="432">
        <f>CF339/(1+Valu!$C$21)^DA$3</f>
        <v>-3.692241001</v>
      </c>
      <c r="DB339" s="432">
        <f>CG339/(1+Valu!$C$21)^DB$3</f>
        <v>-4.49941789</v>
      </c>
      <c r="DC339" s="432">
        <f>CH339/(1+Valu!$C$21)^DC$3</f>
        <v>-5.085461131</v>
      </c>
      <c r="DD339" s="432">
        <f>CI339/(1+Valu!$C$21)^DD$3</f>
        <v>-5.211995448</v>
      </c>
      <c r="DE339" s="432">
        <f>CJ339/(1+Valu!$C$21)^DE$3</f>
        <v>-4.619650175</v>
      </c>
      <c r="DF339" s="432">
        <f>CK339/(1+Valu!$C$21)^DF$3</f>
        <v>-3.088649052</v>
      </c>
      <c r="DG339" s="432">
        <f>CL339/(1+Valu!$C$21)^DG$3</f>
        <v>-0.5161536872</v>
      </c>
      <c r="DH339" s="432">
        <f>CM339/(1+Valu!$C$21)^DH$3</f>
        <v>3.010624658</v>
      </c>
      <c r="DI339" s="432">
        <f>CN339/(1+Valu!$C$21)^DI$3</f>
        <v>7.174675809</v>
      </c>
      <c r="DJ339" s="432">
        <f>CO339/(1+Valu!$C$21)^DJ$3</f>
        <v>6.919397081</v>
      </c>
      <c r="DK339" s="432">
        <f>CP339/(1+Valu!$C$21)^DK$3</f>
        <v>6.673201305</v>
      </c>
      <c r="DL339" s="432">
        <f>CQ339/(1+Valu!$C$21)^DL$3</f>
        <v>6.435765304</v>
      </c>
      <c r="DM339" s="432">
        <f>CR339/(1+Valu!$C$21)^DM$3</f>
        <v>6.206777399</v>
      </c>
      <c r="DN339" s="432">
        <f>CS339/(1+Valu!$C$21)^DN$3</f>
        <v>5.985937005</v>
      </c>
      <c r="DO339" s="432">
        <f>CT339/(1+Valu!$C$21)^DO$3</f>
        <v>5.772954228</v>
      </c>
      <c r="DP339" s="432">
        <f>CU339/(1+Valu!$C$21)^DP$3</f>
        <v>5.567549489</v>
      </c>
      <c r="DQ339" s="432">
        <f>CV339/(1+Valu!$C$21)^DQ$3</f>
        <v>5.369453159</v>
      </c>
      <c r="DR339" s="432">
        <f>CW339/(1+Valu!$C$21)^DR$3</f>
        <v>5.1784052</v>
      </c>
      <c r="DS339" s="432">
        <f>CX339/(1+Valu!$C$21)^DS$3</f>
        <v>140.3620357</v>
      </c>
      <c r="DT339" s="358"/>
      <c r="DU339" s="358"/>
      <c r="DV339" s="358"/>
      <c r="DW339" s="358"/>
    </row>
    <row r="340" ht="15.0" customHeight="1">
      <c r="A340" s="383">
        <v>41417.0</v>
      </c>
      <c r="B340" s="320" t="s">
        <v>3378</v>
      </c>
      <c r="C340" s="320" t="s">
        <v>1073</v>
      </c>
      <c r="D340" s="532"/>
      <c r="E340" s="374" t="str">
        <f>IFERROR(__xludf.DUMMYFUNCTION("if(and(D340&lt;&gt;0,D340&lt;&gt;""""),D340/GOOGLEFINANCE(C340,""price"")-1,"""")"),"")</f>
        <v/>
      </c>
      <c r="F340" s="375">
        <f>IFERROR(__xludf.DUMMYFUNCTION("GOOGLEFINANCE(C340,""price"")"),1184.0)</f>
        <v>1184</v>
      </c>
      <c r="G340" s="374">
        <f t="shared" si="6"/>
        <v>-0.9605549483</v>
      </c>
      <c r="H340" s="376"/>
      <c r="I340" s="376">
        <f>2.37*($I$1+5)</f>
        <v>46.70294118</v>
      </c>
      <c r="J340" s="380"/>
      <c r="K340" s="380"/>
      <c r="L340" s="389"/>
      <c r="M340" s="379">
        <f t="shared" si="7"/>
        <v>-119.9023034</v>
      </c>
      <c r="N340" s="380">
        <f t="shared" si="8"/>
        <v>0</v>
      </c>
      <c r="O340" s="389"/>
      <c r="P340" s="415"/>
      <c r="Q340" s="379"/>
      <c r="R340" s="416"/>
      <c r="S340" s="416"/>
      <c r="T340" s="416"/>
      <c r="U340" s="417" t="s">
        <v>3379</v>
      </c>
      <c r="V340" s="367"/>
      <c r="W340" s="367"/>
      <c r="X340" s="367"/>
      <c r="Y340" s="367"/>
      <c r="Z340" s="367"/>
      <c r="AA340" s="367"/>
      <c r="AB340" s="367"/>
      <c r="AC340" s="367"/>
      <c r="AD340" s="367"/>
      <c r="AE340" s="367"/>
      <c r="AF340" s="367"/>
      <c r="AG340" s="367"/>
      <c r="AH340" s="367"/>
      <c r="AI340" s="367"/>
      <c r="AJ340" s="367"/>
      <c r="AK340" s="367"/>
      <c r="AL340" s="367"/>
      <c r="AM340" s="367"/>
      <c r="AN340" s="367"/>
      <c r="AO340" s="367"/>
      <c r="AP340" s="367"/>
      <c r="AQ340" s="367"/>
      <c r="AR340" s="367"/>
      <c r="AS340" s="367"/>
      <c r="AT340" s="367"/>
      <c r="AU340" s="367"/>
      <c r="AV340" s="367"/>
      <c r="AW340" s="367"/>
      <c r="AX340" s="367"/>
      <c r="AY340" s="367"/>
      <c r="AZ340" s="367"/>
      <c r="BA340" s="367"/>
      <c r="BB340" s="367"/>
      <c r="BC340" s="367"/>
      <c r="BD340" s="367"/>
      <c r="BE340" s="367"/>
      <c r="BF340" s="367"/>
      <c r="BG340" s="367"/>
      <c r="BH340" s="367"/>
      <c r="BI340" s="367"/>
      <c r="BJ340" s="367"/>
      <c r="BK340" s="367"/>
      <c r="BL340" s="367"/>
      <c r="BM340" s="367"/>
      <c r="BN340" s="367"/>
      <c r="BO340" s="367"/>
      <c r="BP340" s="367"/>
      <c r="BQ340" s="367"/>
      <c r="BR340" s="367"/>
      <c r="BS340" s="367"/>
      <c r="BT340" s="367"/>
      <c r="BU340" s="367"/>
      <c r="BV340" s="367"/>
      <c r="BW340" s="367"/>
      <c r="BX340" s="367"/>
      <c r="BY340" s="367"/>
      <c r="BZ340" s="367"/>
      <c r="CA340" s="367"/>
      <c r="CB340" s="367"/>
      <c r="CC340" s="367"/>
      <c r="CD340" s="367"/>
      <c r="CE340" s="367"/>
      <c r="CF340" s="367"/>
      <c r="CG340" s="367"/>
      <c r="CH340" s="367"/>
      <c r="CI340" s="367"/>
      <c r="CJ340" s="367"/>
      <c r="CK340" s="367"/>
      <c r="CL340" s="367"/>
      <c r="CM340" s="367"/>
      <c r="CN340" s="367"/>
      <c r="CO340" s="367"/>
      <c r="CP340" s="367"/>
      <c r="CQ340" s="367"/>
      <c r="CR340" s="367"/>
      <c r="CS340" s="367"/>
      <c r="CT340" s="367"/>
      <c r="CU340" s="367"/>
      <c r="CV340" s="367"/>
      <c r="CW340" s="367"/>
      <c r="CX340" s="367"/>
      <c r="CY340" s="367"/>
      <c r="CZ340" s="367"/>
      <c r="DA340" s="367"/>
      <c r="DB340" s="367"/>
      <c r="DC340" s="367"/>
      <c r="DD340" s="367"/>
      <c r="DE340" s="367"/>
      <c r="DF340" s="367"/>
      <c r="DG340" s="367"/>
      <c r="DH340" s="367"/>
      <c r="DI340" s="367"/>
      <c r="DJ340" s="367"/>
      <c r="DK340" s="367"/>
      <c r="DL340" s="367"/>
      <c r="DM340" s="367"/>
      <c r="DN340" s="367"/>
      <c r="DO340" s="367"/>
      <c r="DP340" s="367"/>
      <c r="DQ340" s="367"/>
      <c r="DR340" s="367"/>
      <c r="DS340" s="367"/>
      <c r="DT340" s="367"/>
      <c r="DU340" s="367"/>
      <c r="DV340" s="367"/>
      <c r="DW340" s="367"/>
    </row>
    <row r="341" ht="15.0" customHeight="1">
      <c r="A341" s="366">
        <v>40168.0</v>
      </c>
      <c r="B341" s="367" t="s">
        <v>3381</v>
      </c>
      <c r="C341" s="367" t="s">
        <v>418</v>
      </c>
      <c r="D341" s="358">
        <v>37.0</v>
      </c>
      <c r="E341" s="345">
        <f>IFERROR(__xludf.DUMMYFUNCTION("if(and(D341&lt;&gt;0,D341&lt;&gt;""""),D341/GOOGLEFINANCE(C341,""price"")-1,"""")"),-0.37394247038917094)</f>
        <v>-0.3739424704</v>
      </c>
      <c r="F341" s="364">
        <f>IFERROR(__xludf.DUMMYFUNCTION("GOOGLEFINANCE(C341,""price"")"),59.1)</f>
        <v>59.1</v>
      </c>
      <c r="G341" s="345">
        <f t="shared" si="6"/>
        <v>0.02533285354</v>
      </c>
      <c r="H341" s="347">
        <v>26.0</v>
      </c>
      <c r="I341" s="347">
        <f t="shared" ref="I341:I343" si="191">N341*($I$1+O341*100)</f>
        <v>60.59717164</v>
      </c>
      <c r="J341" s="359">
        <v>2.63</v>
      </c>
      <c r="K341" s="359">
        <v>2.85</v>
      </c>
      <c r="L341" s="360">
        <v>43861.0</v>
      </c>
      <c r="M341" s="351">
        <f t="shared" si="7"/>
        <v>0.2648199316</v>
      </c>
      <c r="N341" s="349">
        <f t="shared" si="8"/>
        <v>2.791739615</v>
      </c>
      <c r="O341" s="361">
        <v>0.07</v>
      </c>
      <c r="P341" s="361"/>
      <c r="Q341" s="362"/>
      <c r="R341" s="360"/>
      <c r="S341" s="360">
        <v>43650.0</v>
      </c>
      <c r="T341" s="355" t="s">
        <v>1223</v>
      </c>
      <c r="U341" s="363" t="s">
        <v>3383</v>
      </c>
      <c r="V341" s="358"/>
      <c r="W341" s="358"/>
      <c r="X341" s="358"/>
      <c r="Y341" s="358"/>
      <c r="Z341" s="358"/>
      <c r="AA341" s="358"/>
      <c r="AB341" s="358"/>
      <c r="AC341" s="358"/>
      <c r="AD341" s="358"/>
      <c r="AE341" s="358"/>
      <c r="AF341" s="358"/>
      <c r="AG341" s="358"/>
      <c r="AH341" s="358"/>
      <c r="AI341" s="358"/>
      <c r="AJ341" s="358"/>
      <c r="AK341" s="358"/>
      <c r="AL341" s="358"/>
      <c r="AM341" s="358"/>
      <c r="AN341" s="358"/>
      <c r="AO341" s="358"/>
      <c r="AP341" s="358"/>
      <c r="AQ341" s="358"/>
      <c r="AR341" s="358"/>
      <c r="AS341" s="358"/>
      <c r="AT341" s="358"/>
      <c r="AU341" s="358"/>
      <c r="AV341" s="358"/>
      <c r="AW341" s="358"/>
      <c r="AX341" s="358"/>
      <c r="AY341" s="358"/>
      <c r="AZ341" s="358"/>
      <c r="BA341" s="358"/>
      <c r="BB341" s="358"/>
      <c r="BC341" s="358"/>
      <c r="BD341" s="358"/>
      <c r="BE341" s="358"/>
      <c r="BF341" s="358"/>
      <c r="BG341" s="358"/>
      <c r="BH341" s="358"/>
      <c r="BI341" s="358"/>
      <c r="BJ341" s="358"/>
      <c r="BK341" s="358"/>
      <c r="BL341" s="358"/>
      <c r="BM341" s="358"/>
      <c r="BN341" s="358"/>
      <c r="BO341" s="358"/>
      <c r="BP341" s="358"/>
      <c r="BQ341" s="358"/>
      <c r="BR341" s="358"/>
      <c r="BS341" s="358"/>
      <c r="BT341" s="358"/>
      <c r="BU341" s="358"/>
      <c r="BV341" s="358"/>
      <c r="BW341" s="358"/>
      <c r="BX341" s="358"/>
      <c r="BY341" s="358"/>
      <c r="BZ341" s="358"/>
      <c r="CA341" s="358"/>
      <c r="CB341" s="358"/>
      <c r="CC341" s="358"/>
      <c r="CD341" s="358"/>
      <c r="CE341" s="358"/>
      <c r="CF341" s="358"/>
      <c r="CG341" s="358"/>
      <c r="CH341" s="358"/>
      <c r="CI341" s="358"/>
      <c r="CJ341" s="358"/>
      <c r="CK341" s="358"/>
      <c r="CL341" s="358"/>
      <c r="CM341" s="358"/>
      <c r="CN341" s="358"/>
      <c r="CO341" s="358"/>
      <c r="CP341" s="358"/>
      <c r="CQ341" s="358"/>
      <c r="CR341" s="358"/>
      <c r="CS341" s="358"/>
      <c r="CT341" s="358"/>
      <c r="CU341" s="358"/>
      <c r="CV341" s="358"/>
      <c r="CW341" s="358"/>
      <c r="CX341" s="358"/>
      <c r="CY341" s="358"/>
      <c r="CZ341" s="358"/>
      <c r="DA341" s="358"/>
      <c r="DB341" s="358"/>
      <c r="DC341" s="358"/>
      <c r="DD341" s="358"/>
      <c r="DE341" s="358"/>
      <c r="DF341" s="358"/>
      <c r="DG341" s="358"/>
      <c r="DH341" s="358"/>
      <c r="DI341" s="358"/>
      <c r="DJ341" s="358"/>
      <c r="DK341" s="358"/>
      <c r="DL341" s="358"/>
      <c r="DM341" s="358"/>
      <c r="DN341" s="358"/>
      <c r="DO341" s="358"/>
      <c r="DP341" s="358"/>
      <c r="DQ341" s="358"/>
      <c r="DR341" s="358"/>
      <c r="DS341" s="358"/>
      <c r="DT341" s="358"/>
      <c r="DU341" s="358"/>
      <c r="DV341" s="358"/>
      <c r="DW341" s="358"/>
    </row>
    <row r="342" ht="15.0" customHeight="1">
      <c r="A342" s="388">
        <v>43486.0</v>
      </c>
      <c r="B342" s="373" t="s">
        <v>3384</v>
      </c>
      <c r="C342" s="373" t="s">
        <v>3385</v>
      </c>
      <c r="D342" s="373">
        <v>12.0</v>
      </c>
      <c r="E342" s="374">
        <f>IFERROR(__xludf.DUMMYFUNCTION("if(and(D342&lt;&gt;0,D342&lt;&gt;""""),D342/GOOGLEFINANCE(C342,""price"")-1,"""")"),-0.14468995010691377)</f>
        <v>-0.1446899501</v>
      </c>
      <c r="F342" s="375">
        <f>IFERROR(__xludf.DUMMYFUNCTION("GOOGLEFINANCE(C342,""price"")"),14.03)</f>
        <v>14.03</v>
      </c>
      <c r="G342" s="374">
        <f t="shared" si="6"/>
        <v>0.4607109806</v>
      </c>
      <c r="H342" s="376"/>
      <c r="I342" s="376">
        <f t="shared" si="191"/>
        <v>20.49377506</v>
      </c>
      <c r="J342" s="377">
        <v>0.36</v>
      </c>
      <c r="K342" s="377">
        <v>0.48</v>
      </c>
      <c r="L342" s="378">
        <v>43830.0</v>
      </c>
      <c r="M342" s="379">
        <f t="shared" si="7"/>
        <v>0.1798884213</v>
      </c>
      <c r="N342" s="380">
        <f t="shared" si="8"/>
        <v>0.4584133894</v>
      </c>
      <c r="O342" s="370">
        <v>0.3</v>
      </c>
      <c r="P342" s="370"/>
      <c r="Q342" s="371"/>
      <c r="R342" s="378"/>
      <c r="S342" s="378">
        <v>43608.0</v>
      </c>
      <c r="T342" s="381" t="s">
        <v>1608</v>
      </c>
      <c r="U342" s="382" t="s">
        <v>3387</v>
      </c>
      <c r="V342" s="358"/>
      <c r="W342" s="358"/>
      <c r="X342" s="358"/>
      <c r="Y342" s="358"/>
      <c r="Z342" s="358"/>
      <c r="AA342" s="358"/>
      <c r="AB342" s="358"/>
      <c r="AC342" s="358"/>
      <c r="AD342" s="358"/>
      <c r="AE342" s="358"/>
      <c r="AF342" s="358"/>
      <c r="AG342" s="358"/>
      <c r="AH342" s="358"/>
      <c r="AI342" s="358"/>
      <c r="AJ342" s="358"/>
      <c r="AK342" s="358"/>
      <c r="AL342" s="358"/>
      <c r="AM342" s="358"/>
      <c r="AN342" s="358"/>
      <c r="AO342" s="358"/>
      <c r="AP342" s="358"/>
      <c r="AQ342" s="358"/>
      <c r="AR342" s="358"/>
      <c r="AS342" s="358"/>
      <c r="AT342" s="358"/>
      <c r="AU342" s="358"/>
      <c r="AV342" s="358"/>
      <c r="AW342" s="358"/>
      <c r="AX342" s="358"/>
      <c r="AY342" s="358"/>
      <c r="AZ342" s="358"/>
      <c r="BA342" s="358"/>
      <c r="BB342" s="358"/>
      <c r="BC342" s="358"/>
      <c r="BD342" s="358"/>
      <c r="BE342" s="358"/>
      <c r="BF342" s="358"/>
      <c r="BG342" s="358"/>
      <c r="BH342" s="358"/>
      <c r="BI342" s="358"/>
      <c r="BJ342" s="358"/>
      <c r="BK342" s="358"/>
      <c r="BL342" s="358"/>
      <c r="BM342" s="358"/>
      <c r="BN342" s="358"/>
      <c r="BO342" s="358"/>
      <c r="BP342" s="358"/>
      <c r="BQ342" s="358"/>
      <c r="BR342" s="358"/>
      <c r="BS342" s="358"/>
      <c r="BT342" s="358"/>
      <c r="BU342" s="358"/>
      <c r="BV342" s="358"/>
      <c r="BW342" s="358"/>
      <c r="BX342" s="358"/>
      <c r="BY342" s="358"/>
      <c r="BZ342" s="358"/>
      <c r="CA342" s="358"/>
      <c r="CB342" s="358"/>
      <c r="CC342" s="358"/>
      <c r="CD342" s="358"/>
      <c r="CE342" s="358"/>
      <c r="CF342" s="358"/>
      <c r="CG342" s="358"/>
      <c r="CH342" s="358"/>
      <c r="CI342" s="358"/>
      <c r="CJ342" s="358"/>
      <c r="CK342" s="358"/>
      <c r="CL342" s="358"/>
      <c r="CM342" s="358"/>
      <c r="CN342" s="358"/>
      <c r="CO342" s="358"/>
      <c r="CP342" s="358"/>
      <c r="CQ342" s="358"/>
      <c r="CR342" s="358"/>
      <c r="CS342" s="358"/>
      <c r="CT342" s="358"/>
      <c r="CU342" s="358"/>
      <c r="CV342" s="358"/>
      <c r="CW342" s="358"/>
      <c r="CX342" s="358"/>
      <c r="CY342" s="358"/>
      <c r="CZ342" s="358"/>
      <c r="DA342" s="358"/>
      <c r="DB342" s="358"/>
      <c r="DC342" s="358"/>
      <c r="DD342" s="358"/>
      <c r="DE342" s="358"/>
      <c r="DF342" s="358"/>
      <c r="DG342" s="358"/>
      <c r="DH342" s="358"/>
      <c r="DI342" s="358"/>
      <c r="DJ342" s="358"/>
      <c r="DK342" s="358"/>
      <c r="DL342" s="358"/>
      <c r="DM342" s="358"/>
      <c r="DN342" s="358"/>
      <c r="DO342" s="358"/>
      <c r="DP342" s="358"/>
      <c r="DQ342" s="358"/>
      <c r="DR342" s="358"/>
      <c r="DS342" s="358"/>
      <c r="DT342" s="358"/>
      <c r="DU342" s="358"/>
      <c r="DV342" s="358"/>
      <c r="DW342" s="358"/>
    </row>
    <row r="343" ht="15.0" customHeight="1">
      <c r="A343" s="372">
        <v>42353.0</v>
      </c>
      <c r="B343" s="384" t="s">
        <v>3388</v>
      </c>
      <c r="C343" s="384" t="s">
        <v>1358</v>
      </c>
      <c r="D343" s="384">
        <v>125.0</v>
      </c>
      <c r="E343" s="374">
        <f>IFERROR(__xludf.DUMMYFUNCTION("if(and(D343&lt;&gt;0,D343&lt;&gt;""""),D343/GOOGLEFINANCE(C343,""price"")-1,"""")"),-0.5786706215450992)</f>
        <v>-0.5786706215</v>
      </c>
      <c r="F343" s="375">
        <f>IFERROR(__xludf.DUMMYFUNCTION("GOOGLEFINANCE(C343,""price"")"),296.68)</f>
        <v>296.68</v>
      </c>
      <c r="G343" s="374">
        <f t="shared" si="6"/>
        <v>-0.07520413452</v>
      </c>
      <c r="H343" s="376"/>
      <c r="I343" s="376">
        <f t="shared" si="191"/>
        <v>274.3684374</v>
      </c>
      <c r="J343" s="377">
        <v>12.16</v>
      </c>
      <c r="K343" s="377">
        <v>13.49</v>
      </c>
      <c r="L343" s="378">
        <v>43830.0</v>
      </c>
      <c r="M343" s="379">
        <f t="shared" si="7"/>
        <v>0.1798884242</v>
      </c>
      <c r="N343" s="380">
        <f t="shared" si="8"/>
        <v>13.2507484</v>
      </c>
      <c r="O343" s="370">
        <v>0.06</v>
      </c>
      <c r="P343" s="370"/>
      <c r="Q343" s="371"/>
      <c r="R343" s="378"/>
      <c r="S343" s="378">
        <v>43502.0</v>
      </c>
      <c r="T343" s="381" t="s">
        <v>1223</v>
      </c>
      <c r="U343" s="382" t="s">
        <v>3390</v>
      </c>
      <c r="V343" s="358"/>
      <c r="W343" s="358"/>
      <c r="X343" s="358"/>
      <c r="Y343" s="358"/>
      <c r="Z343" s="358"/>
      <c r="AA343" s="358"/>
      <c r="AB343" s="358"/>
      <c r="AC343" s="358"/>
      <c r="AD343" s="358"/>
      <c r="AE343" s="358"/>
      <c r="AF343" s="358"/>
      <c r="AG343" s="358"/>
      <c r="AH343" s="358"/>
      <c r="AI343" s="358"/>
      <c r="AJ343" s="358"/>
      <c r="AK343" s="358"/>
      <c r="AL343" s="358"/>
      <c r="AM343" s="358"/>
      <c r="AN343" s="358"/>
      <c r="AO343" s="358"/>
      <c r="AP343" s="358"/>
      <c r="AQ343" s="358"/>
      <c r="AR343" s="358"/>
      <c r="AS343" s="358"/>
      <c r="AT343" s="358"/>
      <c r="AU343" s="358"/>
      <c r="AV343" s="358"/>
      <c r="AW343" s="358"/>
      <c r="AX343" s="358"/>
      <c r="AY343" s="358"/>
      <c r="AZ343" s="358"/>
      <c r="BA343" s="358"/>
      <c r="BB343" s="358"/>
      <c r="BC343" s="358"/>
      <c r="BD343" s="358"/>
      <c r="BE343" s="358"/>
      <c r="BF343" s="358"/>
      <c r="BG343" s="358"/>
      <c r="BH343" s="358"/>
      <c r="BI343" s="358"/>
      <c r="BJ343" s="358"/>
      <c r="BK343" s="358"/>
      <c r="BL343" s="358"/>
      <c r="BM343" s="358"/>
      <c r="BN343" s="358"/>
      <c r="BO343" s="358"/>
      <c r="BP343" s="358"/>
      <c r="BQ343" s="358"/>
      <c r="BR343" s="358"/>
      <c r="BS343" s="358"/>
      <c r="BT343" s="358"/>
      <c r="BU343" s="358"/>
      <c r="BV343" s="358"/>
      <c r="BW343" s="358"/>
      <c r="BX343" s="358"/>
      <c r="BY343" s="358"/>
      <c r="BZ343" s="358"/>
      <c r="CA343" s="358"/>
      <c r="CB343" s="358"/>
      <c r="CC343" s="358"/>
      <c r="CD343" s="358"/>
      <c r="CE343" s="358"/>
      <c r="CF343" s="358"/>
      <c r="CG343" s="358"/>
      <c r="CH343" s="358"/>
      <c r="CI343" s="358"/>
      <c r="CJ343" s="358"/>
      <c r="CK343" s="358"/>
      <c r="CL343" s="358"/>
      <c r="CM343" s="358"/>
      <c r="CN343" s="358"/>
      <c r="CO343" s="358"/>
      <c r="CP343" s="358"/>
      <c r="CQ343" s="358"/>
      <c r="CR343" s="358"/>
      <c r="CS343" s="358"/>
      <c r="CT343" s="358"/>
      <c r="CU343" s="358"/>
      <c r="CV343" s="358"/>
      <c r="CW343" s="358"/>
      <c r="CX343" s="358"/>
      <c r="CY343" s="358"/>
      <c r="CZ343" s="358"/>
      <c r="DA343" s="358"/>
      <c r="DB343" s="358"/>
      <c r="DC343" s="358"/>
      <c r="DD343" s="358"/>
      <c r="DE343" s="358"/>
      <c r="DF343" s="358"/>
      <c r="DG343" s="358"/>
      <c r="DH343" s="358"/>
      <c r="DI343" s="358"/>
      <c r="DJ343" s="358"/>
      <c r="DK343" s="358"/>
      <c r="DL343" s="358"/>
      <c r="DM343" s="358"/>
      <c r="DN343" s="358"/>
      <c r="DO343" s="358"/>
      <c r="DP343" s="358"/>
      <c r="DQ343" s="358"/>
      <c r="DR343" s="358"/>
      <c r="DS343" s="358"/>
      <c r="DT343" s="358"/>
      <c r="DU343" s="358"/>
      <c r="DV343" s="358"/>
      <c r="DW343" s="358"/>
    </row>
    <row r="344" ht="15.0" customHeight="1">
      <c r="A344" s="456">
        <v>40036.0</v>
      </c>
      <c r="B344" s="457" t="s">
        <v>3392</v>
      </c>
      <c r="C344" s="457" t="s">
        <v>3393</v>
      </c>
      <c r="D344" s="458"/>
      <c r="E344" s="460" t="str">
        <f>IFERROR(__xludf.DUMMYFUNCTION("if(and(D344&lt;&gt;0,D344&lt;&gt;""""),D344/GOOGLEFINANCE(C344,""price"")-1,"""")"),"")</f>
        <v/>
      </c>
      <c r="F344" s="462">
        <f>IFERROR(__xludf.DUMMYFUNCTION("GOOGLEFINANCE(C344,""price"")"),0.04)</f>
        <v>0.04</v>
      </c>
      <c r="G344" s="460" t="str">
        <f t="shared" si="6"/>
        <v/>
      </c>
      <c r="H344" s="463"/>
      <c r="I344" s="463"/>
      <c r="J344" s="466"/>
      <c r="K344" s="466"/>
      <c r="L344" s="467"/>
      <c r="M344" s="469">
        <f t="shared" si="7"/>
        <v>-119.9023034</v>
      </c>
      <c r="N344" s="466">
        <f t="shared" si="8"/>
        <v>0</v>
      </c>
      <c r="O344" s="467"/>
      <c r="P344" s="471"/>
      <c r="Q344" s="469"/>
      <c r="R344" s="472"/>
      <c r="S344" s="472"/>
      <c r="T344" s="472"/>
      <c r="U344" s="473" t="s">
        <v>3394</v>
      </c>
      <c r="V344" s="319"/>
      <c r="W344" s="319"/>
      <c r="X344" s="319"/>
      <c r="Y344" s="319"/>
      <c r="Z344" s="319"/>
      <c r="AA344" s="319"/>
      <c r="AB344" s="319"/>
      <c r="AC344" s="319"/>
      <c r="AD344" s="319"/>
      <c r="AE344" s="319"/>
      <c r="AF344" s="319"/>
      <c r="AG344" s="319"/>
      <c r="AH344" s="319"/>
      <c r="AI344" s="319"/>
      <c r="AJ344" s="319"/>
      <c r="AK344" s="319"/>
      <c r="AL344" s="319"/>
      <c r="AM344" s="319"/>
      <c r="AN344" s="319"/>
      <c r="AO344" s="319"/>
      <c r="AP344" s="319"/>
      <c r="AQ344" s="319"/>
      <c r="AR344" s="319"/>
      <c r="AS344" s="319"/>
      <c r="AT344" s="319"/>
      <c r="AU344" s="319"/>
      <c r="AV344" s="319"/>
      <c r="AW344" s="319"/>
      <c r="AX344" s="319"/>
      <c r="AY344" s="319"/>
      <c r="AZ344" s="319"/>
      <c r="BA344" s="319"/>
      <c r="BB344" s="319"/>
      <c r="BC344" s="319"/>
      <c r="BD344" s="319"/>
      <c r="BE344" s="319"/>
      <c r="BF344" s="319"/>
      <c r="BG344" s="319"/>
      <c r="BH344" s="319"/>
      <c r="BI344" s="319"/>
      <c r="BJ344" s="319"/>
      <c r="BK344" s="319"/>
      <c r="BL344" s="319"/>
      <c r="BM344" s="319"/>
      <c r="BN344" s="319"/>
      <c r="BO344" s="319"/>
      <c r="BP344" s="319"/>
      <c r="BQ344" s="319"/>
      <c r="BR344" s="319"/>
      <c r="BS344" s="319"/>
      <c r="BT344" s="319"/>
      <c r="BU344" s="319"/>
      <c r="BV344" s="319"/>
      <c r="BW344" s="319"/>
      <c r="BX344" s="319"/>
      <c r="BY344" s="319"/>
      <c r="BZ344" s="319"/>
      <c r="CA344" s="319"/>
      <c r="CB344" s="319"/>
      <c r="CC344" s="319"/>
      <c r="CD344" s="319"/>
      <c r="CE344" s="319"/>
      <c r="CF344" s="319"/>
      <c r="CG344" s="319"/>
      <c r="CH344" s="319"/>
      <c r="CI344" s="319"/>
      <c r="CJ344" s="319"/>
      <c r="CK344" s="319"/>
      <c r="CL344" s="319"/>
      <c r="CM344" s="319"/>
      <c r="CN344" s="319"/>
      <c r="CO344" s="319"/>
      <c r="CP344" s="319"/>
      <c r="CQ344" s="319"/>
      <c r="CR344" s="319"/>
      <c r="CS344" s="319"/>
      <c r="CT344" s="319"/>
      <c r="CU344" s="319"/>
      <c r="CV344" s="319"/>
      <c r="CW344" s="319"/>
      <c r="CX344" s="319"/>
      <c r="CY344" s="319"/>
      <c r="CZ344" s="319"/>
      <c r="DA344" s="319"/>
      <c r="DB344" s="319"/>
      <c r="DC344" s="319"/>
      <c r="DD344" s="319"/>
      <c r="DE344" s="319"/>
      <c r="DF344" s="319"/>
      <c r="DG344" s="319"/>
      <c r="DH344" s="319"/>
      <c r="DI344" s="319"/>
      <c r="DJ344" s="319"/>
      <c r="DK344" s="319"/>
      <c r="DL344" s="319"/>
      <c r="DM344" s="319"/>
      <c r="DN344" s="319"/>
      <c r="DO344" s="319"/>
      <c r="DP344" s="319"/>
      <c r="DQ344" s="319"/>
      <c r="DR344" s="319"/>
      <c r="DS344" s="319"/>
      <c r="DT344" s="319"/>
      <c r="DU344" s="319"/>
      <c r="DV344" s="319"/>
      <c r="DW344" s="319"/>
    </row>
    <row r="345" ht="15.0" customHeight="1">
      <c r="A345" s="383">
        <v>40922.0</v>
      </c>
      <c r="B345" s="320" t="s">
        <v>3395</v>
      </c>
      <c r="C345" s="320" t="s">
        <v>602</v>
      </c>
      <c r="D345" s="532"/>
      <c r="E345" s="374" t="str">
        <f>IFERROR(__xludf.DUMMYFUNCTION("if(and(D345&lt;&gt;0,D345&lt;&gt;""""),D345/GOOGLEFINANCE(C345,""price"")-1,"""")"),"")</f>
        <v/>
      </c>
      <c r="F345" s="375">
        <f>IFERROR(__xludf.DUMMYFUNCTION("GOOGLEFINANCE(C345,""price"")"),40.32)</f>
        <v>40.32</v>
      </c>
      <c r="G345" s="374">
        <f t="shared" si="6"/>
        <v>0.1238219246</v>
      </c>
      <c r="H345" s="376">
        <v>35.0</v>
      </c>
      <c r="I345" s="376">
        <f>(1.45*1.25)*25</f>
        <v>45.3125</v>
      </c>
      <c r="J345" s="380"/>
      <c r="K345" s="380"/>
      <c r="L345" s="389"/>
      <c r="M345" s="379">
        <f t="shared" si="7"/>
        <v>-119.9023034</v>
      </c>
      <c r="N345" s="380">
        <f t="shared" si="8"/>
        <v>0</v>
      </c>
      <c r="O345" s="389"/>
      <c r="P345" s="415"/>
      <c r="Q345" s="379"/>
      <c r="R345" s="416"/>
      <c r="S345" s="416"/>
      <c r="T345" s="416"/>
      <c r="U345" s="417" t="s">
        <v>3397</v>
      </c>
      <c r="V345" s="367"/>
      <c r="W345" s="367"/>
      <c r="X345" s="367"/>
      <c r="Y345" s="367"/>
      <c r="Z345" s="367"/>
      <c r="AA345" s="367"/>
      <c r="AB345" s="367"/>
      <c r="AC345" s="367"/>
      <c r="AD345" s="367"/>
      <c r="AE345" s="367"/>
      <c r="AF345" s="367"/>
      <c r="AG345" s="367"/>
      <c r="AH345" s="367"/>
      <c r="AI345" s="367"/>
      <c r="AJ345" s="367"/>
      <c r="AK345" s="367"/>
      <c r="AL345" s="367"/>
      <c r="AM345" s="367"/>
      <c r="AN345" s="367"/>
      <c r="AO345" s="367"/>
      <c r="AP345" s="367"/>
      <c r="AQ345" s="367"/>
      <c r="AR345" s="367"/>
      <c r="AS345" s="367"/>
      <c r="AT345" s="367"/>
      <c r="AU345" s="367"/>
      <c r="AV345" s="367"/>
      <c r="AW345" s="367"/>
      <c r="AX345" s="367"/>
      <c r="AY345" s="367"/>
      <c r="AZ345" s="367"/>
      <c r="BA345" s="367"/>
      <c r="BB345" s="367"/>
      <c r="BC345" s="367"/>
      <c r="BD345" s="367"/>
      <c r="BE345" s="367"/>
      <c r="BF345" s="367"/>
      <c r="BG345" s="367"/>
      <c r="BH345" s="367"/>
      <c r="BI345" s="367"/>
      <c r="BJ345" s="367"/>
      <c r="BK345" s="367"/>
      <c r="BL345" s="367"/>
      <c r="BM345" s="367"/>
      <c r="BN345" s="367"/>
      <c r="BO345" s="367"/>
      <c r="BP345" s="367"/>
      <c r="BQ345" s="367"/>
      <c r="BR345" s="367"/>
      <c r="BS345" s="367"/>
      <c r="BT345" s="367"/>
      <c r="BU345" s="367"/>
      <c r="BV345" s="367"/>
      <c r="BW345" s="367"/>
      <c r="BX345" s="367"/>
      <c r="BY345" s="367"/>
      <c r="BZ345" s="367"/>
      <c r="CA345" s="367"/>
      <c r="CB345" s="367"/>
      <c r="CC345" s="367"/>
      <c r="CD345" s="367"/>
      <c r="CE345" s="367"/>
      <c r="CF345" s="367"/>
      <c r="CG345" s="367"/>
      <c r="CH345" s="367"/>
      <c r="CI345" s="367"/>
      <c r="CJ345" s="367"/>
      <c r="CK345" s="367"/>
      <c r="CL345" s="367"/>
      <c r="CM345" s="367"/>
      <c r="CN345" s="367"/>
      <c r="CO345" s="367"/>
      <c r="CP345" s="367"/>
      <c r="CQ345" s="367"/>
      <c r="CR345" s="367"/>
      <c r="CS345" s="367"/>
      <c r="CT345" s="367"/>
      <c r="CU345" s="367"/>
      <c r="CV345" s="367"/>
      <c r="CW345" s="367"/>
      <c r="CX345" s="367"/>
      <c r="CY345" s="367"/>
      <c r="CZ345" s="367"/>
      <c r="DA345" s="367"/>
      <c r="DB345" s="367"/>
      <c r="DC345" s="367"/>
      <c r="DD345" s="367"/>
      <c r="DE345" s="367"/>
      <c r="DF345" s="367"/>
      <c r="DG345" s="367"/>
      <c r="DH345" s="367"/>
      <c r="DI345" s="367"/>
      <c r="DJ345" s="367"/>
      <c r="DK345" s="367"/>
      <c r="DL345" s="367"/>
      <c r="DM345" s="367"/>
      <c r="DN345" s="367"/>
      <c r="DO345" s="367"/>
      <c r="DP345" s="367"/>
      <c r="DQ345" s="367"/>
      <c r="DR345" s="367"/>
      <c r="DS345" s="367"/>
      <c r="DT345" s="367"/>
      <c r="DU345" s="367"/>
      <c r="DV345" s="367"/>
      <c r="DW345" s="367"/>
    </row>
    <row r="346" ht="15.0" customHeight="1">
      <c r="A346" s="394">
        <v>41892.0</v>
      </c>
      <c r="B346" s="302" t="s">
        <v>3398</v>
      </c>
      <c r="C346" s="302" t="s">
        <v>3399</v>
      </c>
      <c r="D346" s="422"/>
      <c r="E346" s="396" t="str">
        <f>IFERROR(__xludf.DUMMYFUNCTION("if(and(D346&lt;&gt;0,D346&lt;&gt;""""),D346/GOOGLEFINANCE(C346,""price"")-1,"""")"),"")</f>
        <v/>
      </c>
      <c r="F346" s="397">
        <f>IFERROR(__xludf.DUMMYFUNCTION("GOOGLEFINANCE(C346,""price"")"),3.33)</f>
        <v>3.33</v>
      </c>
      <c r="G346" s="396" t="str">
        <f t="shared" si="6"/>
        <v/>
      </c>
      <c r="H346" s="398"/>
      <c r="I346" s="398"/>
      <c r="J346" s="403"/>
      <c r="K346" s="403"/>
      <c r="L346" s="410"/>
      <c r="M346" s="402">
        <f t="shared" si="7"/>
        <v>-119.9023034</v>
      </c>
      <c r="N346" s="403">
        <f t="shared" si="8"/>
        <v>0</v>
      </c>
      <c r="O346" s="410"/>
      <c r="P346" s="411"/>
      <c r="Q346" s="402"/>
      <c r="R346" s="412"/>
      <c r="S346" s="412"/>
      <c r="T346" s="412"/>
      <c r="U346" s="413" t="s">
        <v>3400</v>
      </c>
      <c r="V346" s="414"/>
      <c r="W346" s="414"/>
      <c r="X346" s="414"/>
      <c r="Y346" s="414"/>
      <c r="Z346" s="414"/>
      <c r="AA346" s="414"/>
      <c r="AB346" s="414"/>
      <c r="AC346" s="414"/>
      <c r="AD346" s="414"/>
      <c r="AE346" s="414"/>
      <c r="AF346" s="414"/>
      <c r="AG346" s="414"/>
      <c r="AH346" s="414"/>
      <c r="AI346" s="414"/>
      <c r="AJ346" s="414"/>
      <c r="AK346" s="414"/>
      <c r="AL346" s="414"/>
      <c r="AM346" s="414"/>
      <c r="AN346" s="414"/>
      <c r="AO346" s="414"/>
      <c r="AP346" s="414"/>
      <c r="AQ346" s="414"/>
      <c r="AR346" s="414"/>
      <c r="AS346" s="414"/>
      <c r="AT346" s="414"/>
      <c r="AU346" s="414"/>
      <c r="AV346" s="414"/>
      <c r="AW346" s="414"/>
      <c r="AX346" s="414"/>
      <c r="AY346" s="414"/>
      <c r="AZ346" s="414"/>
      <c r="BA346" s="414"/>
      <c r="BB346" s="414"/>
      <c r="BC346" s="414"/>
      <c r="BD346" s="414"/>
      <c r="BE346" s="414"/>
      <c r="BF346" s="414"/>
      <c r="BG346" s="414"/>
      <c r="BH346" s="414"/>
      <c r="BI346" s="414"/>
      <c r="BJ346" s="414"/>
      <c r="BK346" s="414"/>
      <c r="BL346" s="414"/>
      <c r="BM346" s="414"/>
      <c r="BN346" s="414"/>
      <c r="BO346" s="414"/>
      <c r="BP346" s="414"/>
      <c r="BQ346" s="414"/>
      <c r="BR346" s="414"/>
      <c r="BS346" s="414"/>
      <c r="BT346" s="414"/>
      <c r="BU346" s="414"/>
      <c r="BV346" s="414"/>
      <c r="BW346" s="414"/>
      <c r="BX346" s="414"/>
      <c r="BY346" s="414"/>
      <c r="BZ346" s="414"/>
      <c r="CA346" s="414"/>
      <c r="CB346" s="414"/>
      <c r="CC346" s="414"/>
      <c r="CD346" s="414"/>
      <c r="CE346" s="414"/>
      <c r="CF346" s="414"/>
      <c r="CG346" s="414"/>
      <c r="CH346" s="414"/>
      <c r="CI346" s="414"/>
      <c r="CJ346" s="414"/>
      <c r="CK346" s="414"/>
      <c r="CL346" s="414"/>
      <c r="CM346" s="414"/>
      <c r="CN346" s="414"/>
      <c r="CO346" s="414"/>
      <c r="CP346" s="414"/>
      <c r="CQ346" s="414"/>
      <c r="CR346" s="414"/>
      <c r="CS346" s="414"/>
      <c r="CT346" s="414"/>
      <c r="CU346" s="414"/>
      <c r="CV346" s="414"/>
      <c r="CW346" s="414"/>
      <c r="CX346" s="414"/>
      <c r="CY346" s="414"/>
      <c r="CZ346" s="414"/>
      <c r="DA346" s="414"/>
      <c r="DB346" s="414"/>
      <c r="DC346" s="414"/>
      <c r="DD346" s="414"/>
      <c r="DE346" s="414"/>
      <c r="DF346" s="414"/>
      <c r="DG346" s="414"/>
      <c r="DH346" s="414"/>
      <c r="DI346" s="414"/>
      <c r="DJ346" s="414"/>
      <c r="DK346" s="414"/>
      <c r="DL346" s="414"/>
      <c r="DM346" s="414"/>
      <c r="DN346" s="414"/>
      <c r="DO346" s="414"/>
      <c r="DP346" s="414"/>
      <c r="DQ346" s="414"/>
      <c r="DR346" s="414"/>
      <c r="DS346" s="414"/>
      <c r="DT346" s="414"/>
      <c r="DU346" s="414"/>
      <c r="DV346" s="414"/>
      <c r="DW346" s="414"/>
    </row>
    <row r="347" ht="15.0" customHeight="1">
      <c r="A347" s="394">
        <v>41070.0</v>
      </c>
      <c r="B347" s="302" t="s">
        <v>3401</v>
      </c>
      <c r="C347" s="302" t="s">
        <v>3402</v>
      </c>
      <c r="D347" s="422"/>
      <c r="E347" s="396" t="str">
        <f>IFERROR(__xludf.DUMMYFUNCTION("if(and(D347&lt;&gt;0,D347&lt;&gt;""""),D347/GOOGLEFINANCE(C347,""price"")-1,"""")"),"")</f>
        <v/>
      </c>
      <c r="F347" s="397">
        <f>IFERROR(__xludf.DUMMYFUNCTION("GOOGLEFINANCE(C347,""price"")"),96.46)</f>
        <v>96.46</v>
      </c>
      <c r="G347" s="396" t="str">
        <f t="shared" si="6"/>
        <v/>
      </c>
      <c r="H347" s="398"/>
      <c r="I347" s="398"/>
      <c r="J347" s="403"/>
      <c r="K347" s="403"/>
      <c r="L347" s="410"/>
      <c r="M347" s="402">
        <f t="shared" si="7"/>
        <v>-119.9023034</v>
      </c>
      <c r="N347" s="403">
        <f t="shared" si="8"/>
        <v>0</v>
      </c>
      <c r="O347" s="410"/>
      <c r="P347" s="411"/>
      <c r="Q347" s="402"/>
      <c r="R347" s="412"/>
      <c r="S347" s="412"/>
      <c r="T347" s="412"/>
      <c r="U347" s="413" t="s">
        <v>3403</v>
      </c>
      <c r="V347" s="414"/>
      <c r="W347" s="414"/>
      <c r="X347" s="414"/>
      <c r="Y347" s="414"/>
      <c r="Z347" s="414"/>
      <c r="AA347" s="414"/>
      <c r="AB347" s="414"/>
      <c r="AC347" s="414"/>
      <c r="AD347" s="414"/>
      <c r="AE347" s="414"/>
      <c r="AF347" s="414"/>
      <c r="AG347" s="414"/>
      <c r="AH347" s="414"/>
      <c r="AI347" s="414"/>
      <c r="AJ347" s="414"/>
      <c r="AK347" s="414"/>
      <c r="AL347" s="414"/>
      <c r="AM347" s="414"/>
      <c r="AN347" s="414"/>
      <c r="AO347" s="414"/>
      <c r="AP347" s="414"/>
      <c r="AQ347" s="414"/>
      <c r="AR347" s="414"/>
      <c r="AS347" s="414"/>
      <c r="AT347" s="414"/>
      <c r="AU347" s="414"/>
      <c r="AV347" s="414"/>
      <c r="AW347" s="414"/>
      <c r="AX347" s="414"/>
      <c r="AY347" s="414"/>
      <c r="AZ347" s="414"/>
      <c r="BA347" s="414"/>
      <c r="BB347" s="414"/>
      <c r="BC347" s="414"/>
      <c r="BD347" s="414"/>
      <c r="BE347" s="414"/>
      <c r="BF347" s="414"/>
      <c r="BG347" s="414"/>
      <c r="BH347" s="414"/>
      <c r="BI347" s="414"/>
      <c r="BJ347" s="414"/>
      <c r="BK347" s="414"/>
      <c r="BL347" s="414"/>
      <c r="BM347" s="414"/>
      <c r="BN347" s="414"/>
      <c r="BO347" s="414"/>
      <c r="BP347" s="414"/>
      <c r="BQ347" s="414"/>
      <c r="BR347" s="414"/>
      <c r="BS347" s="414"/>
      <c r="BT347" s="414"/>
      <c r="BU347" s="414"/>
      <c r="BV347" s="414"/>
      <c r="BW347" s="414"/>
      <c r="BX347" s="414"/>
      <c r="BY347" s="414"/>
      <c r="BZ347" s="414"/>
      <c r="CA347" s="414"/>
      <c r="CB347" s="414"/>
      <c r="CC347" s="414"/>
      <c r="CD347" s="414"/>
      <c r="CE347" s="414"/>
      <c r="CF347" s="414"/>
      <c r="CG347" s="414"/>
      <c r="CH347" s="414"/>
      <c r="CI347" s="414"/>
      <c r="CJ347" s="414"/>
      <c r="CK347" s="414"/>
      <c r="CL347" s="414"/>
      <c r="CM347" s="414"/>
      <c r="CN347" s="414"/>
      <c r="CO347" s="414"/>
      <c r="CP347" s="414"/>
      <c r="CQ347" s="414"/>
      <c r="CR347" s="414"/>
      <c r="CS347" s="414"/>
      <c r="CT347" s="414"/>
      <c r="CU347" s="414"/>
      <c r="CV347" s="414"/>
      <c r="CW347" s="414"/>
      <c r="CX347" s="414"/>
      <c r="CY347" s="414"/>
      <c r="CZ347" s="414"/>
      <c r="DA347" s="414"/>
      <c r="DB347" s="414"/>
      <c r="DC347" s="414"/>
      <c r="DD347" s="414"/>
      <c r="DE347" s="414"/>
      <c r="DF347" s="414"/>
      <c r="DG347" s="414"/>
      <c r="DH347" s="414"/>
      <c r="DI347" s="414"/>
      <c r="DJ347" s="414"/>
      <c r="DK347" s="414"/>
      <c r="DL347" s="414"/>
      <c r="DM347" s="414"/>
      <c r="DN347" s="414"/>
      <c r="DO347" s="414"/>
      <c r="DP347" s="414"/>
      <c r="DQ347" s="414"/>
      <c r="DR347" s="414"/>
      <c r="DS347" s="414"/>
      <c r="DT347" s="414"/>
      <c r="DU347" s="414"/>
      <c r="DV347" s="414"/>
      <c r="DW347" s="414"/>
    </row>
    <row r="348" ht="15.0" customHeight="1">
      <c r="A348" s="372">
        <v>42337.0</v>
      </c>
      <c r="B348" s="384" t="s">
        <v>3405</v>
      </c>
      <c r="C348" s="384" t="s">
        <v>3406</v>
      </c>
      <c r="D348" s="384"/>
      <c r="E348" s="374" t="str">
        <f>IFERROR(__xludf.DUMMYFUNCTION("if(and(D348&lt;&gt;0,D348&lt;&gt;""""),D348/GOOGLEFINANCE(C348,""price"")-1,"""")"),"")</f>
        <v/>
      </c>
      <c r="F348" s="375" t="str">
        <f>IFERROR(__xludf.DUMMYFUNCTION("GOOGLEFINANCE(C348,""price"")"),"#N/A")</f>
        <v>#N/A</v>
      </c>
      <c r="G348" s="374" t="str">
        <f t="shared" si="6"/>
        <v/>
      </c>
      <c r="H348" s="376"/>
      <c r="I348" s="368"/>
      <c r="J348" s="380"/>
      <c r="K348" s="380"/>
      <c r="L348" s="389"/>
      <c r="M348" s="379">
        <f t="shared" si="7"/>
        <v>-119.9023034</v>
      </c>
      <c r="N348" s="380">
        <f t="shared" si="8"/>
        <v>0</v>
      </c>
      <c r="O348" s="389"/>
      <c r="P348" s="390"/>
      <c r="Q348" s="391"/>
      <c r="R348" s="387"/>
      <c r="S348" s="387"/>
      <c r="T348" s="387"/>
      <c r="U348" s="386"/>
      <c r="V348" s="344"/>
      <c r="W348" s="344"/>
      <c r="X348" s="344"/>
      <c r="Y348" s="344"/>
      <c r="Z348" s="344"/>
      <c r="AA348" s="344"/>
      <c r="AB348" s="344"/>
      <c r="AC348" s="344"/>
      <c r="AD348" s="344"/>
      <c r="AE348" s="344"/>
      <c r="AF348" s="344"/>
      <c r="AG348" s="344"/>
      <c r="AH348" s="344"/>
      <c r="AI348" s="344"/>
      <c r="AJ348" s="344"/>
      <c r="AK348" s="344"/>
      <c r="AL348" s="344"/>
      <c r="AM348" s="344"/>
      <c r="AN348" s="344"/>
      <c r="AO348" s="344"/>
      <c r="AP348" s="344"/>
      <c r="AQ348" s="344"/>
      <c r="AR348" s="344"/>
      <c r="AS348" s="344"/>
      <c r="AT348" s="344"/>
      <c r="AU348" s="344"/>
      <c r="AV348" s="344"/>
      <c r="AW348" s="344"/>
      <c r="AX348" s="344"/>
      <c r="AY348" s="344"/>
      <c r="AZ348" s="344"/>
      <c r="BA348" s="344"/>
      <c r="BB348" s="344"/>
      <c r="BC348" s="344"/>
      <c r="BD348" s="344"/>
      <c r="BE348" s="344"/>
      <c r="BF348" s="344"/>
      <c r="BG348" s="344"/>
      <c r="BH348" s="344"/>
      <c r="BI348" s="344"/>
      <c r="BJ348" s="344"/>
      <c r="BK348" s="344"/>
      <c r="BL348" s="344"/>
      <c r="BM348" s="344"/>
      <c r="BN348" s="344"/>
      <c r="BO348" s="344"/>
      <c r="BP348" s="344"/>
      <c r="BQ348" s="344"/>
      <c r="BR348" s="344"/>
      <c r="BS348" s="344"/>
      <c r="BT348" s="344"/>
      <c r="BU348" s="344"/>
      <c r="BV348" s="344"/>
      <c r="BW348" s="344"/>
      <c r="BX348" s="344"/>
      <c r="BY348" s="344"/>
      <c r="BZ348" s="344"/>
      <c r="CA348" s="344"/>
      <c r="CB348" s="344"/>
      <c r="CC348" s="344"/>
      <c r="CD348" s="344"/>
      <c r="CE348" s="344"/>
      <c r="CF348" s="344"/>
      <c r="CG348" s="344"/>
      <c r="CH348" s="344"/>
      <c r="CI348" s="344"/>
      <c r="CJ348" s="344"/>
      <c r="CK348" s="344"/>
      <c r="CL348" s="344"/>
      <c r="CM348" s="344"/>
      <c r="CN348" s="344"/>
      <c r="CO348" s="344"/>
      <c r="CP348" s="344"/>
      <c r="CQ348" s="344"/>
      <c r="CR348" s="344"/>
      <c r="CS348" s="344"/>
      <c r="CT348" s="344"/>
      <c r="CU348" s="344"/>
      <c r="CV348" s="344"/>
      <c r="CW348" s="344"/>
      <c r="CX348" s="344"/>
      <c r="CY348" s="344"/>
      <c r="CZ348" s="344"/>
      <c r="DA348" s="344"/>
      <c r="DB348" s="344"/>
      <c r="DC348" s="344"/>
      <c r="DD348" s="344"/>
      <c r="DE348" s="344"/>
      <c r="DF348" s="344"/>
      <c r="DG348" s="344"/>
      <c r="DH348" s="344"/>
      <c r="DI348" s="344"/>
      <c r="DJ348" s="344"/>
      <c r="DK348" s="344"/>
      <c r="DL348" s="344"/>
      <c r="DM348" s="344"/>
      <c r="DN348" s="344"/>
      <c r="DO348" s="344"/>
      <c r="DP348" s="344"/>
      <c r="DQ348" s="344"/>
      <c r="DR348" s="344"/>
      <c r="DS348" s="344"/>
      <c r="DT348" s="344"/>
      <c r="DU348" s="344"/>
      <c r="DV348" s="344"/>
      <c r="DW348" s="344"/>
    </row>
    <row r="349" ht="15.0" customHeight="1">
      <c r="A349" s="372">
        <v>42240.0</v>
      </c>
      <c r="B349" s="384" t="s">
        <v>3407</v>
      </c>
      <c r="C349" s="384" t="s">
        <v>1319</v>
      </c>
      <c r="D349" s="384"/>
      <c r="E349" s="374" t="str">
        <f>IFERROR(__xludf.DUMMYFUNCTION("if(and(D349&lt;&gt;0,D349&lt;&gt;""""),D349/GOOGLEFINANCE(C349,""price"")-1,"""")"),"")</f>
        <v/>
      </c>
      <c r="F349" s="375">
        <f>IFERROR(__xludf.DUMMYFUNCTION("GOOGLEFINANCE(C349,""price"")"),73.65)</f>
        <v>73.65</v>
      </c>
      <c r="G349" s="374">
        <f t="shared" si="6"/>
        <v>-0.04329946937</v>
      </c>
      <c r="H349" s="376"/>
      <c r="I349" s="376">
        <f t="shared" ref="I349:I350" si="192">N349*($I$1+O349*100)</f>
        <v>70.46099408</v>
      </c>
      <c r="J349" s="377">
        <v>2.95</v>
      </c>
      <c r="K349" s="377">
        <v>3.25</v>
      </c>
      <c r="L349" s="378">
        <v>43769.0</v>
      </c>
      <c r="M349" s="379">
        <f t="shared" si="7"/>
        <v>0.01276513667</v>
      </c>
      <c r="N349" s="380">
        <f t="shared" si="8"/>
        <v>3.246170459</v>
      </c>
      <c r="O349" s="370">
        <v>0.07</v>
      </c>
      <c r="P349" s="370"/>
      <c r="Q349" s="371"/>
      <c r="R349" s="378"/>
      <c r="S349" s="378">
        <v>43502.0</v>
      </c>
      <c r="T349" s="381" t="s">
        <v>1223</v>
      </c>
      <c r="U349" s="386" t="s">
        <v>3408</v>
      </c>
      <c r="V349" s="344"/>
      <c r="W349" s="344"/>
      <c r="X349" s="344"/>
      <c r="Y349" s="344"/>
      <c r="Z349" s="344"/>
      <c r="AA349" s="344"/>
      <c r="AB349" s="344"/>
      <c r="AC349" s="344"/>
      <c r="AD349" s="344"/>
      <c r="AE349" s="344"/>
      <c r="AF349" s="344"/>
      <c r="AG349" s="344"/>
      <c r="AH349" s="344"/>
      <c r="AI349" s="344"/>
      <c r="AJ349" s="344"/>
      <c r="AK349" s="344"/>
      <c r="AL349" s="344"/>
      <c r="AM349" s="344"/>
      <c r="AN349" s="344"/>
      <c r="AO349" s="344"/>
      <c r="AP349" s="344"/>
      <c r="AQ349" s="344"/>
      <c r="AR349" s="344"/>
      <c r="AS349" s="344"/>
      <c r="AT349" s="344"/>
      <c r="AU349" s="344"/>
      <c r="AV349" s="344"/>
      <c r="AW349" s="344"/>
      <c r="AX349" s="344"/>
      <c r="AY349" s="344"/>
      <c r="AZ349" s="344"/>
      <c r="BA349" s="344"/>
      <c r="BB349" s="344"/>
      <c r="BC349" s="344"/>
      <c r="BD349" s="344"/>
      <c r="BE349" s="344"/>
      <c r="BF349" s="344"/>
      <c r="BG349" s="344"/>
      <c r="BH349" s="344"/>
      <c r="BI349" s="344"/>
      <c r="BJ349" s="344"/>
      <c r="BK349" s="344"/>
      <c r="BL349" s="344"/>
      <c r="BM349" s="344"/>
      <c r="BN349" s="344"/>
      <c r="BO349" s="344"/>
      <c r="BP349" s="344"/>
      <c r="BQ349" s="344"/>
      <c r="BR349" s="344"/>
      <c r="BS349" s="344"/>
      <c r="BT349" s="344"/>
      <c r="BU349" s="344"/>
      <c r="BV349" s="344"/>
      <c r="BW349" s="344"/>
      <c r="BX349" s="344"/>
      <c r="BY349" s="344"/>
      <c r="BZ349" s="344"/>
      <c r="CA349" s="344"/>
      <c r="CB349" s="344"/>
      <c r="CC349" s="344"/>
      <c r="CD349" s="344"/>
      <c r="CE349" s="344"/>
      <c r="CF349" s="344"/>
      <c r="CG349" s="344"/>
      <c r="CH349" s="344"/>
      <c r="CI349" s="344"/>
      <c r="CJ349" s="344"/>
      <c r="CK349" s="344"/>
      <c r="CL349" s="344"/>
      <c r="CM349" s="344"/>
      <c r="CN349" s="344"/>
      <c r="CO349" s="344"/>
      <c r="CP349" s="344"/>
      <c r="CQ349" s="344"/>
      <c r="CR349" s="344"/>
      <c r="CS349" s="344"/>
      <c r="CT349" s="344"/>
      <c r="CU349" s="344"/>
      <c r="CV349" s="344"/>
      <c r="CW349" s="344"/>
      <c r="CX349" s="344"/>
      <c r="CY349" s="344"/>
      <c r="CZ349" s="344"/>
      <c r="DA349" s="344"/>
      <c r="DB349" s="344"/>
      <c r="DC349" s="344"/>
      <c r="DD349" s="344"/>
      <c r="DE349" s="344"/>
      <c r="DF349" s="344"/>
      <c r="DG349" s="344"/>
      <c r="DH349" s="344"/>
      <c r="DI349" s="344"/>
      <c r="DJ349" s="344"/>
      <c r="DK349" s="344"/>
      <c r="DL349" s="344"/>
      <c r="DM349" s="344"/>
      <c r="DN349" s="344"/>
      <c r="DO349" s="344"/>
      <c r="DP349" s="344"/>
      <c r="DQ349" s="344"/>
      <c r="DR349" s="344"/>
      <c r="DS349" s="344"/>
      <c r="DT349" s="344"/>
      <c r="DU349" s="344"/>
      <c r="DV349" s="344"/>
      <c r="DW349" s="344"/>
    </row>
    <row r="350" ht="15.0" customHeight="1">
      <c r="A350" s="388">
        <v>43347.0</v>
      </c>
      <c r="B350" s="373" t="s">
        <v>3409</v>
      </c>
      <c r="C350" s="373" t="s">
        <v>1506</v>
      </c>
      <c r="D350" s="373">
        <v>80.0</v>
      </c>
      <c r="E350" s="374">
        <f>IFERROR(__xludf.DUMMYFUNCTION("if(and(D350&lt;&gt;0,D350&lt;&gt;""""),D350/GOOGLEFINANCE(C350,""price"")-1,"""")"),-0.6051722436087257)</f>
        <v>-0.6051722436</v>
      </c>
      <c r="F350" s="375">
        <f>IFERROR(__xludf.DUMMYFUNCTION("GOOGLEFINANCE(C350,""price"")"),202.62)</f>
        <v>202.62</v>
      </c>
      <c r="G350" s="374">
        <f t="shared" si="6"/>
        <v>-0.3386148792</v>
      </c>
      <c r="H350" s="376"/>
      <c r="I350" s="376">
        <f t="shared" si="192"/>
        <v>134.0098532</v>
      </c>
      <c r="J350" s="385">
        <v>1.62</v>
      </c>
      <c r="K350" s="385">
        <v>2.17</v>
      </c>
      <c r="L350" s="378">
        <v>43830.0</v>
      </c>
      <c r="M350" s="379">
        <f t="shared" si="7"/>
        <v>0.1798884234</v>
      </c>
      <c r="N350" s="380">
        <f t="shared" si="8"/>
        <v>2.071061367</v>
      </c>
      <c r="O350" s="370">
        <v>0.5</v>
      </c>
      <c r="P350" s="370"/>
      <c r="Q350" s="371"/>
      <c r="R350" s="378"/>
      <c r="S350" s="378">
        <v>43571.0</v>
      </c>
      <c r="T350" s="381" t="s">
        <v>1223</v>
      </c>
      <c r="U350" s="382" t="s">
        <v>3411</v>
      </c>
      <c r="V350" s="358"/>
      <c r="W350" s="358"/>
      <c r="X350" s="358"/>
      <c r="Y350" s="358"/>
      <c r="Z350" s="358"/>
      <c r="AA350" s="358"/>
      <c r="AB350" s="358"/>
      <c r="AC350" s="358"/>
      <c r="AD350" s="358"/>
      <c r="AE350" s="358"/>
      <c r="AF350" s="358"/>
      <c r="AG350" s="358"/>
      <c r="AH350" s="358"/>
      <c r="AI350" s="358"/>
      <c r="AJ350" s="358"/>
      <c r="AK350" s="358"/>
      <c r="AL350" s="358"/>
      <c r="AM350" s="358"/>
      <c r="AN350" s="358"/>
      <c r="AO350" s="358"/>
      <c r="AP350" s="358"/>
      <c r="AQ350" s="358"/>
      <c r="AR350" s="358"/>
      <c r="AS350" s="358"/>
      <c r="AT350" s="358"/>
      <c r="AU350" s="358"/>
      <c r="AV350" s="358"/>
      <c r="AW350" s="358"/>
      <c r="AX350" s="358"/>
      <c r="AY350" s="358"/>
      <c r="AZ350" s="358"/>
      <c r="BA350" s="358"/>
      <c r="BB350" s="358"/>
      <c r="BC350" s="358"/>
      <c r="BD350" s="358"/>
      <c r="BE350" s="358"/>
      <c r="BF350" s="358"/>
      <c r="BG350" s="358"/>
      <c r="BH350" s="358"/>
      <c r="BI350" s="358"/>
      <c r="BJ350" s="358"/>
      <c r="BK350" s="358"/>
      <c r="BL350" s="358"/>
      <c r="BM350" s="358"/>
      <c r="BN350" s="358"/>
      <c r="BO350" s="358"/>
      <c r="BP350" s="358"/>
      <c r="BQ350" s="358"/>
      <c r="BR350" s="358"/>
      <c r="BS350" s="358"/>
      <c r="BT350" s="358"/>
      <c r="BU350" s="358"/>
      <c r="BV350" s="358"/>
      <c r="BW350" s="358"/>
      <c r="BX350" s="358"/>
      <c r="BY350" s="358"/>
      <c r="BZ350" s="358"/>
      <c r="CA350" s="358"/>
      <c r="CB350" s="358"/>
      <c r="CC350" s="358"/>
      <c r="CD350" s="358"/>
      <c r="CE350" s="358"/>
      <c r="CF350" s="358"/>
      <c r="CG350" s="358"/>
      <c r="CH350" s="358"/>
      <c r="CI350" s="358"/>
      <c r="CJ350" s="358"/>
      <c r="CK350" s="358"/>
      <c r="CL350" s="358"/>
      <c r="CM350" s="358"/>
      <c r="CN350" s="358"/>
      <c r="CO350" s="358"/>
      <c r="CP350" s="358"/>
      <c r="CQ350" s="358"/>
      <c r="CR350" s="358"/>
      <c r="CS350" s="358"/>
      <c r="CT350" s="358"/>
      <c r="CU350" s="358"/>
      <c r="CV350" s="358"/>
      <c r="CW350" s="358"/>
      <c r="CX350" s="358"/>
      <c r="CY350" s="358"/>
      <c r="CZ350" s="358"/>
      <c r="DA350" s="358"/>
      <c r="DB350" s="358"/>
      <c r="DC350" s="358"/>
      <c r="DD350" s="358"/>
      <c r="DE350" s="358"/>
      <c r="DF350" s="358"/>
      <c r="DG350" s="358"/>
      <c r="DH350" s="358"/>
      <c r="DI350" s="358"/>
      <c r="DJ350" s="358"/>
      <c r="DK350" s="358"/>
      <c r="DL350" s="358"/>
      <c r="DM350" s="358"/>
      <c r="DN350" s="358"/>
      <c r="DO350" s="358"/>
      <c r="DP350" s="358"/>
      <c r="DQ350" s="358"/>
      <c r="DR350" s="358"/>
      <c r="DS350" s="358"/>
      <c r="DT350" s="358"/>
      <c r="DU350" s="358"/>
      <c r="DV350" s="358"/>
      <c r="DW350" s="358"/>
    </row>
    <row r="351" ht="15.0" customHeight="1">
      <c r="A351" s="394">
        <v>40646.0</v>
      </c>
      <c r="B351" s="302" t="s">
        <v>3413</v>
      </c>
      <c r="C351" s="302" t="s">
        <v>3414</v>
      </c>
      <c r="D351" s="422"/>
      <c r="E351" s="396" t="str">
        <f>IFERROR(__xludf.DUMMYFUNCTION("if(and(D351&lt;&gt;0,D351&lt;&gt;""""),D351/GOOGLEFINANCE(C351,""price"")-1,"""")"),"")</f>
        <v/>
      </c>
      <c r="F351" s="397">
        <f>IFERROR(__xludf.DUMMYFUNCTION("GOOGLEFINANCE(C351,""price"")"),16.3)</f>
        <v>16.3</v>
      </c>
      <c r="G351" s="396" t="str">
        <f t="shared" si="6"/>
        <v/>
      </c>
      <c r="H351" s="398"/>
      <c r="I351" s="398"/>
      <c r="J351" s="403"/>
      <c r="K351" s="403"/>
      <c r="L351" s="410"/>
      <c r="M351" s="402">
        <f t="shared" si="7"/>
        <v>-119.9023034</v>
      </c>
      <c r="N351" s="403">
        <f t="shared" si="8"/>
        <v>0</v>
      </c>
      <c r="O351" s="410"/>
      <c r="P351" s="411"/>
      <c r="Q351" s="402"/>
      <c r="R351" s="412"/>
      <c r="S351" s="412"/>
      <c r="T351" s="412"/>
      <c r="U351" s="413"/>
      <c r="V351" s="414"/>
      <c r="W351" s="414"/>
      <c r="X351" s="414"/>
      <c r="Y351" s="414"/>
      <c r="Z351" s="414"/>
      <c r="AA351" s="414"/>
      <c r="AB351" s="414"/>
      <c r="AC351" s="414"/>
      <c r="AD351" s="414"/>
      <c r="AE351" s="414"/>
      <c r="AF351" s="414"/>
      <c r="AG351" s="414"/>
      <c r="AH351" s="414"/>
      <c r="AI351" s="414"/>
      <c r="AJ351" s="414"/>
      <c r="AK351" s="414"/>
      <c r="AL351" s="414"/>
      <c r="AM351" s="414"/>
      <c r="AN351" s="414"/>
      <c r="AO351" s="414"/>
      <c r="AP351" s="414"/>
      <c r="AQ351" s="414"/>
      <c r="AR351" s="414"/>
      <c r="AS351" s="414"/>
      <c r="AT351" s="414"/>
      <c r="AU351" s="414"/>
      <c r="AV351" s="414"/>
      <c r="AW351" s="414"/>
      <c r="AX351" s="414"/>
      <c r="AY351" s="414"/>
      <c r="AZ351" s="414"/>
      <c r="BA351" s="414"/>
      <c r="BB351" s="414"/>
      <c r="BC351" s="414"/>
      <c r="BD351" s="414"/>
      <c r="BE351" s="414"/>
      <c r="BF351" s="414"/>
      <c r="BG351" s="414"/>
      <c r="BH351" s="414"/>
      <c r="BI351" s="414"/>
      <c r="BJ351" s="414"/>
      <c r="BK351" s="414"/>
      <c r="BL351" s="414"/>
      <c r="BM351" s="414"/>
      <c r="BN351" s="414"/>
      <c r="BO351" s="414"/>
      <c r="BP351" s="414"/>
      <c r="BQ351" s="414"/>
      <c r="BR351" s="414"/>
      <c r="BS351" s="414"/>
      <c r="BT351" s="414"/>
      <c r="BU351" s="414"/>
      <c r="BV351" s="414"/>
      <c r="BW351" s="414"/>
      <c r="BX351" s="414"/>
      <c r="BY351" s="414"/>
      <c r="BZ351" s="414"/>
      <c r="CA351" s="414"/>
      <c r="CB351" s="414"/>
      <c r="CC351" s="414"/>
      <c r="CD351" s="414"/>
      <c r="CE351" s="414"/>
      <c r="CF351" s="414"/>
      <c r="CG351" s="414"/>
      <c r="CH351" s="414"/>
      <c r="CI351" s="414"/>
      <c r="CJ351" s="414"/>
      <c r="CK351" s="414"/>
      <c r="CL351" s="414"/>
      <c r="CM351" s="414"/>
      <c r="CN351" s="414"/>
      <c r="CO351" s="414"/>
      <c r="CP351" s="414"/>
      <c r="CQ351" s="414"/>
      <c r="CR351" s="414"/>
      <c r="CS351" s="414"/>
      <c r="CT351" s="414"/>
      <c r="CU351" s="414"/>
      <c r="CV351" s="414"/>
      <c r="CW351" s="414"/>
      <c r="CX351" s="414"/>
      <c r="CY351" s="414"/>
      <c r="CZ351" s="414"/>
      <c r="DA351" s="414"/>
      <c r="DB351" s="414"/>
      <c r="DC351" s="414"/>
      <c r="DD351" s="414"/>
      <c r="DE351" s="414"/>
      <c r="DF351" s="414"/>
      <c r="DG351" s="414"/>
      <c r="DH351" s="414"/>
      <c r="DI351" s="414"/>
      <c r="DJ351" s="414"/>
      <c r="DK351" s="414"/>
      <c r="DL351" s="414"/>
      <c r="DM351" s="414"/>
      <c r="DN351" s="414"/>
      <c r="DO351" s="414"/>
      <c r="DP351" s="414"/>
      <c r="DQ351" s="414"/>
      <c r="DR351" s="414"/>
      <c r="DS351" s="414"/>
      <c r="DT351" s="414"/>
      <c r="DU351" s="414"/>
      <c r="DV351" s="414"/>
      <c r="DW351" s="414"/>
    </row>
    <row r="352" ht="15.0" customHeight="1">
      <c r="A352" s="372">
        <v>42715.0</v>
      </c>
      <c r="B352" s="384" t="s">
        <v>3416</v>
      </c>
      <c r="C352" s="384" t="s">
        <v>3417</v>
      </c>
      <c r="D352" s="384">
        <v>10.0</v>
      </c>
      <c r="E352" s="374">
        <f>IFERROR(__xludf.DUMMYFUNCTION("if(and(D352&lt;&gt;0,D352&lt;&gt;""""),D352/GOOGLEFINANCE(C352,""price"")-1,"""")"),-0.21996879875195008)</f>
        <v>-0.2199687988</v>
      </c>
      <c r="F352" s="375">
        <f>IFERROR(__xludf.DUMMYFUNCTION("GOOGLEFINANCE(C352,""price"")"),12.82)</f>
        <v>12.82</v>
      </c>
      <c r="G352" s="374">
        <f t="shared" si="6"/>
        <v>0.6443947307</v>
      </c>
      <c r="H352" s="376"/>
      <c r="I352" s="376">
        <f>N352*($I$1+O352*100)</f>
        <v>21.08114045</v>
      </c>
      <c r="J352" s="385">
        <v>0.68</v>
      </c>
      <c r="K352" s="385">
        <v>0.84</v>
      </c>
      <c r="L352" s="409">
        <v>43465.0</v>
      </c>
      <c r="M352" s="379">
        <f t="shared" si="7"/>
        <v>-0.8201115787</v>
      </c>
      <c r="N352" s="380">
        <f t="shared" si="8"/>
        <v>0.9712178526</v>
      </c>
      <c r="O352" s="390">
        <v>0.07</v>
      </c>
      <c r="P352" s="390"/>
      <c r="Q352" s="391"/>
      <c r="R352" s="409"/>
      <c r="S352" s="409">
        <v>43302.0</v>
      </c>
      <c r="T352" s="387" t="s">
        <v>1223</v>
      </c>
      <c r="U352" s="386" t="s">
        <v>3418</v>
      </c>
      <c r="V352" s="344"/>
      <c r="W352" s="344"/>
      <c r="X352" s="344"/>
      <c r="Y352" s="344"/>
      <c r="Z352" s="344"/>
      <c r="AA352" s="344"/>
      <c r="AB352" s="344"/>
      <c r="AC352" s="344"/>
      <c r="AD352" s="344"/>
      <c r="AE352" s="344"/>
      <c r="AF352" s="344"/>
      <c r="AG352" s="344"/>
      <c r="AH352" s="344"/>
      <c r="AI352" s="344"/>
      <c r="AJ352" s="344"/>
      <c r="AK352" s="344"/>
      <c r="AL352" s="344"/>
      <c r="AM352" s="344"/>
      <c r="AN352" s="344"/>
      <c r="AO352" s="344"/>
      <c r="AP352" s="344"/>
      <c r="AQ352" s="344"/>
      <c r="AR352" s="344"/>
      <c r="AS352" s="344"/>
      <c r="AT352" s="344"/>
      <c r="AU352" s="344"/>
      <c r="AV352" s="344"/>
      <c r="AW352" s="344"/>
      <c r="AX352" s="344"/>
      <c r="AY352" s="344"/>
      <c r="AZ352" s="344"/>
      <c r="BA352" s="344"/>
      <c r="BB352" s="344"/>
      <c r="BC352" s="344"/>
      <c r="BD352" s="344"/>
      <c r="BE352" s="344"/>
      <c r="BF352" s="344"/>
      <c r="BG352" s="344"/>
      <c r="BH352" s="344"/>
      <c r="BI352" s="344"/>
      <c r="BJ352" s="344"/>
      <c r="BK352" s="344"/>
      <c r="BL352" s="344"/>
      <c r="BM352" s="344"/>
      <c r="BN352" s="344"/>
      <c r="BO352" s="344"/>
      <c r="BP352" s="344"/>
      <c r="BQ352" s="344"/>
      <c r="BR352" s="344"/>
      <c r="BS352" s="344"/>
      <c r="BT352" s="344"/>
      <c r="BU352" s="344"/>
      <c r="BV352" s="344"/>
      <c r="BW352" s="344"/>
      <c r="BX352" s="344"/>
      <c r="BY352" s="344"/>
      <c r="BZ352" s="344"/>
      <c r="CA352" s="344"/>
      <c r="CB352" s="344"/>
      <c r="CC352" s="344"/>
      <c r="CD352" s="344"/>
      <c r="CE352" s="344"/>
      <c r="CF352" s="344"/>
      <c r="CG352" s="344"/>
      <c r="CH352" s="344"/>
      <c r="CI352" s="344"/>
      <c r="CJ352" s="344"/>
      <c r="CK352" s="344"/>
      <c r="CL352" s="344"/>
      <c r="CM352" s="344"/>
      <c r="CN352" s="344"/>
      <c r="CO352" s="344"/>
      <c r="CP352" s="344"/>
      <c r="CQ352" s="344"/>
      <c r="CR352" s="344"/>
      <c r="CS352" s="344"/>
      <c r="CT352" s="344"/>
      <c r="CU352" s="344"/>
      <c r="CV352" s="344"/>
      <c r="CW352" s="344"/>
      <c r="CX352" s="344"/>
      <c r="CY352" s="344"/>
      <c r="CZ352" s="344"/>
      <c r="DA352" s="344"/>
      <c r="DB352" s="344"/>
      <c r="DC352" s="344"/>
      <c r="DD352" s="344"/>
      <c r="DE352" s="344"/>
      <c r="DF352" s="344"/>
      <c r="DG352" s="344"/>
      <c r="DH352" s="344"/>
      <c r="DI352" s="344"/>
      <c r="DJ352" s="344"/>
      <c r="DK352" s="344"/>
      <c r="DL352" s="344"/>
      <c r="DM352" s="344"/>
      <c r="DN352" s="344"/>
      <c r="DO352" s="344"/>
      <c r="DP352" s="344"/>
      <c r="DQ352" s="344"/>
      <c r="DR352" s="344"/>
      <c r="DS352" s="344"/>
      <c r="DT352" s="344"/>
      <c r="DU352" s="344"/>
      <c r="DV352" s="344"/>
      <c r="DW352" s="344"/>
    </row>
    <row r="353" ht="15.0" customHeight="1">
      <c r="A353" s="383">
        <v>41235.0</v>
      </c>
      <c r="B353" s="320" t="s">
        <v>3420</v>
      </c>
      <c r="C353" s="320" t="s">
        <v>858</v>
      </c>
      <c r="D353" s="532"/>
      <c r="E353" s="374" t="str">
        <f>IFERROR(__xludf.DUMMYFUNCTION("if(and(D353&lt;&gt;0,D353&lt;&gt;""""),D353/GOOGLEFINANCE(C353,""price"")-1,"""")"),"")</f>
        <v/>
      </c>
      <c r="F353" s="375">
        <f>IFERROR(__xludf.DUMMYFUNCTION("GOOGLEFINANCE(C353,""price"")"),13.63)</f>
        <v>13.63</v>
      </c>
      <c r="G353" s="374" t="str">
        <f t="shared" si="6"/>
        <v/>
      </c>
      <c r="H353" s="376"/>
      <c r="I353" s="376"/>
      <c r="J353" s="380"/>
      <c r="K353" s="380"/>
      <c r="L353" s="389"/>
      <c r="M353" s="379">
        <f t="shared" si="7"/>
        <v>-119.9023034</v>
      </c>
      <c r="N353" s="380">
        <f t="shared" si="8"/>
        <v>0</v>
      </c>
      <c r="O353" s="389"/>
      <c r="P353" s="415"/>
      <c r="Q353" s="379"/>
      <c r="R353" s="416"/>
      <c r="S353" s="416"/>
      <c r="T353" s="416"/>
      <c r="U353" s="417" t="s">
        <v>3422</v>
      </c>
      <c r="V353" s="367"/>
      <c r="W353" s="367"/>
      <c r="X353" s="367"/>
      <c r="Y353" s="367"/>
      <c r="Z353" s="367"/>
      <c r="AA353" s="367"/>
      <c r="AB353" s="367"/>
      <c r="AC353" s="367"/>
      <c r="AD353" s="367"/>
      <c r="AE353" s="367"/>
      <c r="AF353" s="367"/>
      <c r="AG353" s="367"/>
      <c r="AH353" s="367"/>
      <c r="AI353" s="367"/>
      <c r="AJ353" s="367"/>
      <c r="AK353" s="367"/>
      <c r="AL353" s="367"/>
      <c r="AM353" s="367"/>
      <c r="AN353" s="367"/>
      <c r="AO353" s="367"/>
      <c r="AP353" s="367"/>
      <c r="AQ353" s="367"/>
      <c r="AR353" s="367"/>
      <c r="AS353" s="367"/>
      <c r="AT353" s="367"/>
      <c r="AU353" s="367"/>
      <c r="AV353" s="367"/>
      <c r="AW353" s="367"/>
      <c r="AX353" s="367"/>
      <c r="AY353" s="367"/>
      <c r="AZ353" s="367"/>
      <c r="BA353" s="367"/>
      <c r="BB353" s="367"/>
      <c r="BC353" s="367"/>
      <c r="BD353" s="367"/>
      <c r="BE353" s="367"/>
      <c r="BF353" s="367"/>
      <c r="BG353" s="367"/>
      <c r="BH353" s="367"/>
      <c r="BI353" s="367"/>
      <c r="BJ353" s="367"/>
      <c r="BK353" s="367"/>
      <c r="BL353" s="367"/>
      <c r="BM353" s="367"/>
      <c r="BN353" s="367"/>
      <c r="BO353" s="367"/>
      <c r="BP353" s="367"/>
      <c r="BQ353" s="367"/>
      <c r="BR353" s="367"/>
      <c r="BS353" s="367"/>
      <c r="BT353" s="367"/>
      <c r="BU353" s="367"/>
      <c r="BV353" s="367"/>
      <c r="BW353" s="367"/>
      <c r="BX353" s="367"/>
      <c r="BY353" s="367"/>
      <c r="BZ353" s="367"/>
      <c r="CA353" s="367"/>
      <c r="CB353" s="367"/>
      <c r="CC353" s="367"/>
      <c r="CD353" s="367"/>
      <c r="CE353" s="367"/>
      <c r="CF353" s="367"/>
      <c r="CG353" s="367"/>
      <c r="CH353" s="367"/>
      <c r="CI353" s="367"/>
      <c r="CJ353" s="367"/>
      <c r="CK353" s="367"/>
      <c r="CL353" s="367"/>
      <c r="CM353" s="367"/>
      <c r="CN353" s="367"/>
      <c r="CO353" s="367"/>
      <c r="CP353" s="367"/>
      <c r="CQ353" s="367"/>
      <c r="CR353" s="367"/>
      <c r="CS353" s="367"/>
      <c r="CT353" s="367"/>
      <c r="CU353" s="367"/>
      <c r="CV353" s="367"/>
      <c r="CW353" s="367"/>
      <c r="CX353" s="367"/>
      <c r="CY353" s="367"/>
      <c r="CZ353" s="367"/>
      <c r="DA353" s="367"/>
      <c r="DB353" s="367"/>
      <c r="DC353" s="367"/>
      <c r="DD353" s="367"/>
      <c r="DE353" s="367"/>
      <c r="DF353" s="367"/>
      <c r="DG353" s="367"/>
      <c r="DH353" s="367"/>
      <c r="DI353" s="367"/>
      <c r="DJ353" s="367"/>
      <c r="DK353" s="367"/>
      <c r="DL353" s="367"/>
      <c r="DM353" s="367"/>
      <c r="DN353" s="367"/>
      <c r="DO353" s="367"/>
      <c r="DP353" s="367"/>
      <c r="DQ353" s="367"/>
      <c r="DR353" s="367"/>
      <c r="DS353" s="367"/>
      <c r="DT353" s="367"/>
      <c r="DU353" s="367"/>
      <c r="DV353" s="367"/>
      <c r="DW353" s="367"/>
    </row>
    <row r="354" ht="15.0" customHeight="1">
      <c r="A354" s="372">
        <v>42230.0</v>
      </c>
      <c r="B354" s="384" t="s">
        <v>3423</v>
      </c>
      <c r="C354" s="384" t="s">
        <v>3424</v>
      </c>
      <c r="D354" s="384"/>
      <c r="E354" s="374" t="str">
        <f>IFERROR(__xludf.DUMMYFUNCTION("if(and(D354&lt;&gt;0,D354&lt;&gt;""""),D354/GOOGLEFINANCE(C354,""price"")-1,"""")"),"")</f>
        <v/>
      </c>
      <c r="F354" s="375">
        <f>IFERROR(__xludf.DUMMYFUNCTION("GOOGLEFINANCE(C354,""price"")"),19.06)</f>
        <v>19.06</v>
      </c>
      <c r="G354" s="374">
        <f t="shared" si="6"/>
        <v>-0.5607887382</v>
      </c>
      <c r="H354" s="376"/>
      <c r="I354" s="368">
        <f>(N354)*($I$1+O354*100)</f>
        <v>8.371366649</v>
      </c>
      <c r="J354" s="377">
        <v>0.17</v>
      </c>
      <c r="K354" s="377">
        <v>0.31</v>
      </c>
      <c r="L354" s="378">
        <v>43465.0</v>
      </c>
      <c r="M354" s="379">
        <f t="shared" si="7"/>
        <v>-0.8201115787</v>
      </c>
      <c r="N354" s="380">
        <f t="shared" si="8"/>
        <v>0.424815621</v>
      </c>
      <c r="O354" s="370">
        <v>0.05</v>
      </c>
      <c r="P354" s="370"/>
      <c r="Q354" s="371"/>
      <c r="R354" s="378"/>
      <c r="S354" s="378">
        <v>43377.0</v>
      </c>
      <c r="T354" s="387"/>
      <c r="U354" s="386"/>
      <c r="V354" s="344"/>
      <c r="W354" s="344"/>
      <c r="X354" s="344"/>
      <c r="Y354" s="344"/>
      <c r="Z354" s="344"/>
      <c r="AA354" s="344"/>
      <c r="AB354" s="344"/>
      <c r="AC354" s="344"/>
      <c r="AD354" s="344"/>
      <c r="AE354" s="344"/>
      <c r="AF354" s="344"/>
      <c r="AG354" s="344"/>
      <c r="AH354" s="344"/>
      <c r="AI354" s="344"/>
      <c r="AJ354" s="344"/>
      <c r="AK354" s="344"/>
      <c r="AL354" s="344"/>
      <c r="AM354" s="344"/>
      <c r="AN354" s="344"/>
      <c r="AO354" s="344"/>
      <c r="AP354" s="344"/>
      <c r="AQ354" s="344"/>
      <c r="AR354" s="344"/>
      <c r="AS354" s="344"/>
      <c r="AT354" s="344"/>
      <c r="AU354" s="344"/>
      <c r="AV354" s="344"/>
      <c r="AW354" s="344"/>
      <c r="AX354" s="344"/>
      <c r="AY354" s="344"/>
      <c r="AZ354" s="344"/>
      <c r="BA354" s="344"/>
      <c r="BB354" s="344"/>
      <c r="BC354" s="344"/>
      <c r="BD354" s="344"/>
      <c r="BE354" s="344"/>
      <c r="BF354" s="344"/>
      <c r="BG354" s="344"/>
      <c r="BH354" s="344"/>
      <c r="BI354" s="344"/>
      <c r="BJ354" s="344"/>
      <c r="BK354" s="344"/>
      <c r="BL354" s="344"/>
      <c r="BM354" s="344"/>
      <c r="BN354" s="344"/>
      <c r="BO354" s="344"/>
      <c r="BP354" s="344"/>
      <c r="BQ354" s="344"/>
      <c r="BR354" s="344"/>
      <c r="BS354" s="344"/>
      <c r="BT354" s="344"/>
      <c r="BU354" s="344"/>
      <c r="BV354" s="344"/>
      <c r="BW354" s="344"/>
      <c r="BX354" s="344"/>
      <c r="BY354" s="344"/>
      <c r="BZ354" s="344"/>
      <c r="CA354" s="344"/>
      <c r="CB354" s="344"/>
      <c r="CC354" s="344"/>
      <c r="CD354" s="344"/>
      <c r="CE354" s="344"/>
      <c r="CF354" s="344"/>
      <c r="CG354" s="344"/>
      <c r="CH354" s="344"/>
      <c r="CI354" s="344"/>
      <c r="CJ354" s="344"/>
      <c r="CK354" s="344"/>
      <c r="CL354" s="344"/>
      <c r="CM354" s="344"/>
      <c r="CN354" s="344"/>
      <c r="CO354" s="344"/>
      <c r="CP354" s="344"/>
      <c r="CQ354" s="344"/>
      <c r="CR354" s="344"/>
      <c r="CS354" s="344"/>
      <c r="CT354" s="344"/>
      <c r="CU354" s="344"/>
      <c r="CV354" s="344"/>
      <c r="CW354" s="344"/>
      <c r="CX354" s="344"/>
      <c r="CY354" s="344"/>
      <c r="CZ354" s="344"/>
      <c r="DA354" s="344"/>
      <c r="DB354" s="344"/>
      <c r="DC354" s="344"/>
      <c r="DD354" s="344"/>
      <c r="DE354" s="344"/>
      <c r="DF354" s="344"/>
      <c r="DG354" s="344"/>
      <c r="DH354" s="344"/>
      <c r="DI354" s="344"/>
      <c r="DJ354" s="344"/>
      <c r="DK354" s="344"/>
      <c r="DL354" s="344"/>
      <c r="DM354" s="344"/>
      <c r="DN354" s="344"/>
      <c r="DO354" s="344"/>
      <c r="DP354" s="344"/>
      <c r="DQ354" s="344"/>
      <c r="DR354" s="344"/>
      <c r="DS354" s="344"/>
      <c r="DT354" s="344"/>
      <c r="DU354" s="344"/>
      <c r="DV354" s="344"/>
      <c r="DW354" s="344"/>
    </row>
    <row r="355" ht="15.0" customHeight="1">
      <c r="A355" s="372">
        <v>42022.0</v>
      </c>
      <c r="B355" s="384" t="s">
        <v>3426</v>
      </c>
      <c r="C355" s="384" t="s">
        <v>3427</v>
      </c>
      <c r="D355" s="384"/>
      <c r="E355" s="374" t="str">
        <f>IFERROR(__xludf.DUMMYFUNCTION("if(and(D355&lt;&gt;0,D355&lt;&gt;""""),D355/GOOGLEFINANCE(C355,""price"")-1,"""")"),"")</f>
        <v/>
      </c>
      <c r="F355" s="375">
        <f>IFERROR(__xludf.DUMMYFUNCTION("GOOGLEFINANCE(C355,""price"")"),23.63)</f>
        <v>23.63</v>
      </c>
      <c r="G355" s="374">
        <f t="shared" si="6"/>
        <v>-0.3588658485</v>
      </c>
      <c r="H355" s="376"/>
      <c r="I355" s="376">
        <f>1.01*15</f>
        <v>15.15</v>
      </c>
      <c r="J355" s="380"/>
      <c r="K355" s="380"/>
      <c r="L355" s="389"/>
      <c r="M355" s="379">
        <f t="shared" si="7"/>
        <v>-119.9023034</v>
      </c>
      <c r="N355" s="380">
        <f t="shared" si="8"/>
        <v>0</v>
      </c>
      <c r="O355" s="389"/>
      <c r="P355" s="352"/>
      <c r="Q355" s="353"/>
      <c r="R355" s="365"/>
      <c r="S355" s="365"/>
      <c r="T355" s="365"/>
      <c r="U355" s="386" t="s">
        <v>3429</v>
      </c>
      <c r="V355" s="344"/>
      <c r="W355" s="344"/>
      <c r="X355" s="344"/>
      <c r="Y355" s="344"/>
      <c r="Z355" s="344"/>
      <c r="AA355" s="344"/>
      <c r="AB355" s="344"/>
      <c r="AC355" s="344"/>
      <c r="AD355" s="344"/>
      <c r="AE355" s="344"/>
      <c r="AF355" s="344"/>
      <c r="AG355" s="344"/>
      <c r="AH355" s="344"/>
      <c r="AI355" s="344"/>
      <c r="AJ355" s="344"/>
      <c r="AK355" s="344"/>
      <c r="AL355" s="344"/>
      <c r="AM355" s="344"/>
      <c r="AN355" s="344"/>
      <c r="AO355" s="344"/>
      <c r="AP355" s="344"/>
      <c r="AQ355" s="344"/>
      <c r="AR355" s="344"/>
      <c r="AS355" s="344"/>
      <c r="AT355" s="344"/>
      <c r="AU355" s="344"/>
      <c r="AV355" s="344"/>
      <c r="AW355" s="344"/>
      <c r="AX355" s="344"/>
      <c r="AY355" s="344"/>
      <c r="AZ355" s="344"/>
      <c r="BA355" s="344"/>
      <c r="BB355" s="344"/>
      <c r="BC355" s="344"/>
      <c r="BD355" s="344"/>
      <c r="BE355" s="344"/>
      <c r="BF355" s="344"/>
      <c r="BG355" s="344"/>
      <c r="BH355" s="344"/>
      <c r="BI355" s="344"/>
      <c r="BJ355" s="344"/>
      <c r="BK355" s="344"/>
      <c r="BL355" s="344"/>
      <c r="BM355" s="344"/>
      <c r="BN355" s="344"/>
      <c r="BO355" s="344"/>
      <c r="BP355" s="344"/>
      <c r="BQ355" s="344"/>
      <c r="BR355" s="344"/>
      <c r="BS355" s="344"/>
      <c r="BT355" s="344"/>
      <c r="BU355" s="344"/>
      <c r="BV355" s="344"/>
      <c r="BW355" s="344"/>
      <c r="BX355" s="344"/>
      <c r="BY355" s="344"/>
      <c r="BZ355" s="344"/>
      <c r="CA355" s="344"/>
      <c r="CB355" s="344"/>
      <c r="CC355" s="344"/>
      <c r="CD355" s="344"/>
      <c r="CE355" s="344"/>
      <c r="CF355" s="344"/>
      <c r="CG355" s="344"/>
      <c r="CH355" s="344"/>
      <c r="CI355" s="344"/>
      <c r="CJ355" s="344"/>
      <c r="CK355" s="344"/>
      <c r="CL355" s="344"/>
      <c r="CM355" s="344"/>
      <c r="CN355" s="344"/>
      <c r="CO355" s="344"/>
      <c r="CP355" s="344"/>
      <c r="CQ355" s="344"/>
      <c r="CR355" s="344"/>
      <c r="CS355" s="344"/>
      <c r="CT355" s="344"/>
      <c r="CU355" s="344"/>
      <c r="CV355" s="344"/>
      <c r="CW355" s="344"/>
      <c r="CX355" s="344"/>
      <c r="CY355" s="344"/>
      <c r="CZ355" s="344"/>
      <c r="DA355" s="344"/>
      <c r="DB355" s="344"/>
      <c r="DC355" s="344"/>
      <c r="DD355" s="344"/>
      <c r="DE355" s="344"/>
      <c r="DF355" s="344"/>
      <c r="DG355" s="344"/>
      <c r="DH355" s="344"/>
      <c r="DI355" s="344"/>
      <c r="DJ355" s="344"/>
      <c r="DK355" s="344"/>
      <c r="DL355" s="344"/>
      <c r="DM355" s="344"/>
      <c r="DN355" s="344"/>
      <c r="DO355" s="344"/>
      <c r="DP355" s="344"/>
      <c r="DQ355" s="344"/>
      <c r="DR355" s="344"/>
      <c r="DS355" s="344"/>
      <c r="DT355" s="344"/>
      <c r="DU355" s="344"/>
      <c r="DV355" s="344"/>
      <c r="DW355" s="344"/>
    </row>
    <row r="356" ht="15.0" customHeight="1">
      <c r="A356" s="383">
        <v>41528.0</v>
      </c>
      <c r="B356" s="320" t="s">
        <v>3431</v>
      </c>
      <c r="C356" s="320" t="s">
        <v>1185</v>
      </c>
      <c r="D356" s="384">
        <v>345.0</v>
      </c>
      <c r="E356" s="374">
        <f>IFERROR(__xludf.DUMMYFUNCTION("if(and(D356&lt;&gt;0,D356&lt;&gt;""""),D356/GOOGLEFINANCE(C356,""price"")-1,"""")"),-0.16188902924885817)</f>
        <v>-0.1618890292</v>
      </c>
      <c r="F356" s="375">
        <f>IFERROR(__xludf.DUMMYFUNCTION("GOOGLEFINANCE(C356,""price"")"),411.64)</f>
        <v>411.64</v>
      </c>
      <c r="G356" s="374">
        <f t="shared" si="6"/>
        <v>0.039518397</v>
      </c>
      <c r="H356" s="376"/>
      <c r="I356" s="376">
        <f>max(19.27*($I$1+7.5))</f>
        <v>427.9073529</v>
      </c>
      <c r="J356" s="380"/>
      <c r="K356" s="380"/>
      <c r="L356" s="389"/>
      <c r="M356" s="379">
        <f t="shared" si="7"/>
        <v>-119.9023034</v>
      </c>
      <c r="N356" s="380">
        <f t="shared" si="8"/>
        <v>0</v>
      </c>
      <c r="O356" s="389"/>
      <c r="P356" s="390"/>
      <c r="Q356" s="391"/>
      <c r="R356" s="387"/>
      <c r="S356" s="387"/>
      <c r="T356" s="387"/>
      <c r="U356" s="386" t="s">
        <v>3433</v>
      </c>
      <c r="V356" s="344"/>
      <c r="W356" s="344"/>
      <c r="X356" s="344"/>
      <c r="Y356" s="344"/>
      <c r="Z356" s="344"/>
      <c r="AA356" s="344"/>
      <c r="AB356" s="344"/>
      <c r="AC356" s="344"/>
      <c r="AD356" s="344"/>
      <c r="AE356" s="344"/>
      <c r="AF356" s="344"/>
      <c r="AG356" s="344"/>
      <c r="AH356" s="344"/>
      <c r="AI356" s="344"/>
      <c r="AJ356" s="344"/>
      <c r="AK356" s="344"/>
      <c r="AL356" s="344"/>
      <c r="AM356" s="344"/>
      <c r="AN356" s="344"/>
      <c r="AO356" s="344"/>
      <c r="AP356" s="344"/>
      <c r="AQ356" s="344"/>
      <c r="AR356" s="344"/>
      <c r="AS356" s="344"/>
      <c r="AT356" s="344"/>
      <c r="AU356" s="344"/>
      <c r="AV356" s="344"/>
      <c r="AW356" s="344"/>
      <c r="AX356" s="344"/>
      <c r="AY356" s="344"/>
      <c r="AZ356" s="344"/>
      <c r="BA356" s="344"/>
      <c r="BB356" s="344"/>
      <c r="BC356" s="344"/>
      <c r="BD356" s="344"/>
      <c r="BE356" s="344"/>
      <c r="BF356" s="344"/>
      <c r="BG356" s="344"/>
      <c r="BH356" s="344"/>
      <c r="BI356" s="344"/>
      <c r="BJ356" s="344"/>
      <c r="BK356" s="344"/>
      <c r="BL356" s="344"/>
      <c r="BM356" s="344"/>
      <c r="BN356" s="344"/>
      <c r="BO356" s="344"/>
      <c r="BP356" s="344"/>
      <c r="BQ356" s="344"/>
      <c r="BR356" s="344"/>
      <c r="BS356" s="344"/>
      <c r="BT356" s="344"/>
      <c r="BU356" s="344"/>
      <c r="BV356" s="344"/>
      <c r="BW356" s="344"/>
      <c r="BX356" s="344"/>
      <c r="BY356" s="344"/>
      <c r="BZ356" s="344"/>
      <c r="CA356" s="344"/>
      <c r="CB356" s="344"/>
      <c r="CC356" s="344"/>
      <c r="CD356" s="344"/>
      <c r="CE356" s="344"/>
      <c r="CF356" s="344"/>
      <c r="CG356" s="344"/>
      <c r="CH356" s="344"/>
      <c r="CI356" s="344"/>
      <c r="CJ356" s="344"/>
      <c r="CK356" s="344"/>
      <c r="CL356" s="344"/>
      <c r="CM356" s="344"/>
      <c r="CN356" s="344"/>
      <c r="CO356" s="344"/>
      <c r="CP356" s="344"/>
      <c r="CQ356" s="344"/>
      <c r="CR356" s="344"/>
      <c r="CS356" s="344"/>
      <c r="CT356" s="344"/>
      <c r="CU356" s="344"/>
      <c r="CV356" s="344"/>
      <c r="CW356" s="344"/>
      <c r="CX356" s="344"/>
      <c r="CY356" s="344"/>
      <c r="CZ356" s="344"/>
      <c r="DA356" s="344"/>
      <c r="DB356" s="344"/>
      <c r="DC356" s="344"/>
      <c r="DD356" s="344"/>
      <c r="DE356" s="344"/>
      <c r="DF356" s="344"/>
      <c r="DG356" s="344"/>
      <c r="DH356" s="344"/>
      <c r="DI356" s="344"/>
      <c r="DJ356" s="344"/>
      <c r="DK356" s="344"/>
      <c r="DL356" s="344"/>
      <c r="DM356" s="344"/>
      <c r="DN356" s="344"/>
      <c r="DO356" s="344"/>
      <c r="DP356" s="344"/>
      <c r="DQ356" s="344"/>
      <c r="DR356" s="344"/>
      <c r="DS356" s="344"/>
      <c r="DT356" s="344"/>
      <c r="DU356" s="344"/>
      <c r="DV356" s="344"/>
      <c r="DW356" s="344"/>
    </row>
    <row r="357" ht="15.0" customHeight="1">
      <c r="A357" s="646">
        <v>42027.0</v>
      </c>
      <c r="B357" s="395" t="s">
        <v>3434</v>
      </c>
      <c r="C357" s="395" t="s">
        <v>3435</v>
      </c>
      <c r="D357" s="422"/>
      <c r="E357" s="396" t="str">
        <f>IFERROR(__xludf.DUMMYFUNCTION("if(and(D357&lt;&gt;0,D357&lt;&gt;""""),D357/GOOGLEFINANCE(C357,""price"")-1,"""")"),"")</f>
        <v/>
      </c>
      <c r="F357" s="397">
        <f>IFERROR(__xludf.DUMMYFUNCTION("GOOGLEFINANCE(C357,""price"")"),12.16)</f>
        <v>12.16</v>
      </c>
      <c r="G357" s="396">
        <f t="shared" si="6"/>
        <v>-0.2467105263</v>
      </c>
      <c r="H357" s="398"/>
      <c r="I357" s="399">
        <v>9.16</v>
      </c>
      <c r="J357" s="403"/>
      <c r="K357" s="403"/>
      <c r="L357" s="410"/>
      <c r="M357" s="402">
        <f t="shared" si="7"/>
        <v>-119.9023034</v>
      </c>
      <c r="N357" s="403">
        <f t="shared" si="8"/>
        <v>0</v>
      </c>
      <c r="O357" s="410"/>
      <c r="P357" s="411"/>
      <c r="Q357" s="402"/>
      <c r="R357" s="412"/>
      <c r="S357" s="412"/>
      <c r="T357" s="412"/>
      <c r="U357" s="413"/>
      <c r="V357" s="414"/>
      <c r="W357" s="414"/>
      <c r="X357" s="414"/>
      <c r="Y357" s="414"/>
      <c r="Z357" s="414"/>
      <c r="AA357" s="414"/>
      <c r="AB357" s="414"/>
      <c r="AC357" s="414"/>
      <c r="AD357" s="414"/>
      <c r="AE357" s="414"/>
      <c r="AF357" s="414"/>
      <c r="AG357" s="414"/>
      <c r="AH357" s="414"/>
      <c r="AI357" s="414"/>
      <c r="AJ357" s="414"/>
      <c r="AK357" s="414"/>
      <c r="AL357" s="414"/>
      <c r="AM357" s="414"/>
      <c r="AN357" s="414"/>
      <c r="AO357" s="414"/>
      <c r="AP357" s="414"/>
      <c r="AQ357" s="414"/>
      <c r="AR357" s="414"/>
      <c r="AS357" s="414"/>
      <c r="AT357" s="414"/>
      <c r="AU357" s="414"/>
      <c r="AV357" s="414"/>
      <c r="AW357" s="414"/>
      <c r="AX357" s="414"/>
      <c r="AY357" s="414"/>
      <c r="AZ357" s="414"/>
      <c r="BA357" s="414"/>
      <c r="BB357" s="414"/>
      <c r="BC357" s="414"/>
      <c r="BD357" s="414"/>
      <c r="BE357" s="414"/>
      <c r="BF357" s="414"/>
      <c r="BG357" s="414"/>
      <c r="BH357" s="414"/>
      <c r="BI357" s="414"/>
      <c r="BJ357" s="414"/>
      <c r="BK357" s="414"/>
      <c r="BL357" s="414"/>
      <c r="BM357" s="414"/>
      <c r="BN357" s="414"/>
      <c r="BO357" s="414"/>
      <c r="BP357" s="414"/>
      <c r="BQ357" s="414"/>
      <c r="BR357" s="414"/>
      <c r="BS357" s="414"/>
      <c r="BT357" s="414"/>
      <c r="BU357" s="414"/>
      <c r="BV357" s="414"/>
      <c r="BW357" s="414"/>
      <c r="BX357" s="414"/>
      <c r="BY357" s="414"/>
      <c r="BZ357" s="414"/>
      <c r="CA357" s="414"/>
      <c r="CB357" s="414"/>
      <c r="CC357" s="414"/>
      <c r="CD357" s="414"/>
      <c r="CE357" s="414"/>
      <c r="CF357" s="414"/>
      <c r="CG357" s="414"/>
      <c r="CH357" s="414"/>
      <c r="CI357" s="414"/>
      <c r="CJ357" s="414"/>
      <c r="CK357" s="414"/>
      <c r="CL357" s="414"/>
      <c r="CM357" s="414"/>
      <c r="CN357" s="414"/>
      <c r="CO357" s="414"/>
      <c r="CP357" s="414"/>
      <c r="CQ357" s="414"/>
      <c r="CR357" s="414"/>
      <c r="CS357" s="414"/>
      <c r="CT357" s="414"/>
      <c r="CU357" s="414"/>
      <c r="CV357" s="414"/>
      <c r="CW357" s="414"/>
      <c r="CX357" s="414"/>
      <c r="CY357" s="414"/>
      <c r="CZ357" s="414"/>
      <c r="DA357" s="414"/>
      <c r="DB357" s="414"/>
      <c r="DC357" s="414"/>
      <c r="DD357" s="414"/>
      <c r="DE357" s="414"/>
      <c r="DF357" s="414"/>
      <c r="DG357" s="414"/>
      <c r="DH357" s="414"/>
      <c r="DI357" s="414"/>
      <c r="DJ357" s="414"/>
      <c r="DK357" s="414"/>
      <c r="DL357" s="414"/>
      <c r="DM357" s="414"/>
      <c r="DN357" s="414"/>
      <c r="DO357" s="414"/>
      <c r="DP357" s="414"/>
      <c r="DQ357" s="414"/>
      <c r="DR357" s="414"/>
      <c r="DS357" s="414"/>
      <c r="DT357" s="414"/>
      <c r="DU357" s="414"/>
      <c r="DV357" s="414"/>
      <c r="DW357" s="414"/>
    </row>
    <row r="358" ht="15.0" customHeight="1">
      <c r="A358" s="383">
        <v>41900.0</v>
      </c>
      <c r="B358" s="320" t="s">
        <v>2488</v>
      </c>
      <c r="C358" s="320" t="s">
        <v>1070</v>
      </c>
      <c r="D358" s="373">
        <v>230.0</v>
      </c>
      <c r="E358" s="374">
        <f>IFERROR(__xludf.DUMMYFUNCTION("if(and(D358&lt;&gt;0,D358&lt;&gt;""""),D358/GOOGLEFINANCE(C358,""price"")-1,"""")"),-0.04524699045246994)</f>
        <v>-0.04524699045</v>
      </c>
      <c r="F358" s="375">
        <f>IFERROR(__xludf.DUMMYFUNCTION("GOOGLEFINANCE(C358,""price"")"),240.9)</f>
        <v>240.9</v>
      </c>
      <c r="G358" s="374">
        <f t="shared" si="6"/>
        <v>0.3653479489</v>
      </c>
      <c r="H358" s="376"/>
      <c r="I358" s="368">
        <f>sum(CY358:DS358)</f>
        <v>328.9123209</v>
      </c>
      <c r="J358" s="377">
        <v>11.98</v>
      </c>
      <c r="K358" s="377">
        <v>13.56</v>
      </c>
      <c r="L358" s="378">
        <v>43861.0</v>
      </c>
      <c r="M358" s="379">
        <f t="shared" si="7"/>
        <v>0.2648199348</v>
      </c>
      <c r="N358" s="380">
        <f t="shared" si="8"/>
        <v>13.1415845</v>
      </c>
      <c r="O358" s="370">
        <v>0.125</v>
      </c>
      <c r="P358" s="370">
        <v>0.225</v>
      </c>
      <c r="Q358" s="371">
        <f>I358/N358</f>
        <v>25.02836099</v>
      </c>
      <c r="R358" s="381">
        <v>6.0</v>
      </c>
      <c r="S358" s="378">
        <v>43732.0</v>
      </c>
      <c r="T358" s="381" t="s">
        <v>1240</v>
      </c>
      <c r="U358" s="382" t="s">
        <v>3438</v>
      </c>
      <c r="V358" s="429">
        <f>O358</f>
        <v>0.125</v>
      </c>
      <c r="W358" s="430">
        <f>max(min(Valu!$C$15,$O358),$O358-max($O358-Valu!$C$15,0)/$R358*(W$3-1))</f>
        <v>0.1091666667</v>
      </c>
      <c r="X358" s="430">
        <f>max(min(Valu!$C$15,$O358),$O358-max($O358-Valu!$C$15,0)/$R358*(X$3-1))</f>
        <v>0.09333333333</v>
      </c>
      <c r="Y358" s="430">
        <f>max(min(Valu!$C$15,$O358),$O358-max($O358-Valu!$C$15,0)/$R358*(Y$3-1))</f>
        <v>0.0775</v>
      </c>
      <c r="Z358" s="430">
        <f>max(min(Valu!$C$15,$O358),$O358-max($O358-Valu!$C$15,0)/$R358*(Z$3-1))</f>
        <v>0.06166666667</v>
      </c>
      <c r="AA358" s="430">
        <f>max(min(Valu!$C$15,$O358),$O358-max($O358-Valu!$C$15,0)/$R358*(AA$3-1))</f>
        <v>0.04583333333</v>
      </c>
      <c r="AB358" s="430">
        <f>max(min(Valu!$C$15,$O358),$O358-max($O358-Valu!$C$15,0)/$R358*(AB$3-1))</f>
        <v>0.03</v>
      </c>
      <c r="AC358" s="430">
        <f>max(min(Valu!$C$15,$O358),$O358-max($O358-Valu!$C$15,0)/$R358*(AC$3-1))</f>
        <v>0.03</v>
      </c>
      <c r="AD358" s="430">
        <f>max(min(Valu!$C$15,$O358),$O358-max($O358-Valu!$C$15,0)/$R358*(AD$3-1))</f>
        <v>0.03</v>
      </c>
      <c r="AE358" s="430">
        <f>max(min(Valu!$C$15,$O358),$O358-max($O358-Valu!$C$15,0)/$R358*(AE$3-1))</f>
        <v>0.03</v>
      </c>
      <c r="AF358" s="430">
        <f>max(min(Valu!$C$15,$O358),$O358-max($O358-Valu!$C$15,0)/$R358*(AF$3-1))</f>
        <v>0.03</v>
      </c>
      <c r="AG358" s="430">
        <f>max(min(Valu!$C$15,$O358),$O358-max($O358-Valu!$C$15,0)/$R358*(AG$3-1))</f>
        <v>0.03</v>
      </c>
      <c r="AH358" s="430">
        <f>max(min(Valu!$C$15,$O358),$O358-max($O358-Valu!$C$15,0)/$R358*(AH$3-1))</f>
        <v>0.03</v>
      </c>
      <c r="AI358" s="430">
        <f>max(min(Valu!$C$15,$O358),$O358-max($O358-Valu!$C$15,0)/$R358*(AI$3-1))</f>
        <v>0.03</v>
      </c>
      <c r="AJ358" s="430">
        <f>max(min(Valu!$C$15,$O358),$O358-max($O358-Valu!$C$15,0)/$R358*(AJ$3-1))</f>
        <v>0.03</v>
      </c>
      <c r="AK358" s="430">
        <f>max(min(Valu!$C$15,$O358),$O358-max($O358-Valu!$C$15,0)/$R358*(AK$3-1))</f>
        <v>0.03</v>
      </c>
      <c r="AL358" s="430">
        <f>max(min(Valu!$C$15,$O358),$O358-max($O358-Valu!$C$15,0)/$R358*(AL$3-1))</f>
        <v>0.03</v>
      </c>
      <c r="AM358" s="430">
        <f>max(min(Valu!$C$15,$O358),$O358-max($O358-Valu!$C$15,0)/$R358*(AM$3-1))</f>
        <v>0.03</v>
      </c>
      <c r="AN358" s="430">
        <f>max(min(Valu!$C$15,$O358),$O358-max($O358-Valu!$C$15,0)/$R358*(AN$3-1))</f>
        <v>0.03</v>
      </c>
      <c r="AO358" s="430">
        <f>max(min(Valu!$C$15,$O358),$O358-max($O358-Valu!$C$15,0)/$R358*(AO$3-1))</f>
        <v>0.03</v>
      </c>
      <c r="AP358" s="430">
        <f>max(min(Valu!$C$14,$P358),$P358-max($P358-Valu!$C$14,0)/$R358*(AP$3-1))</f>
        <v>0.225</v>
      </c>
      <c r="AQ358" s="430">
        <f>max(min(Valu!$C$14,$P358),$P358-max($P358-Valu!$C$14,0)/$R358*(AQ$3-1))</f>
        <v>0.2075</v>
      </c>
      <c r="AR358" s="430">
        <f>max(min(Valu!$C$14,$P358),$P358-max($P358-Valu!$C$14,0)/$R358*(AR$3-1))</f>
        <v>0.19</v>
      </c>
      <c r="AS358" s="430">
        <f>max(min(Valu!$C$14,$P358),$P358-max($P358-Valu!$C$14,0)/$R358*(AS$3-1))</f>
        <v>0.1725</v>
      </c>
      <c r="AT358" s="430">
        <f>max(min(Valu!$C$14,$P358),$P358-max($P358-Valu!$C$14,0)/$R358*(AT$3-1))</f>
        <v>0.155</v>
      </c>
      <c r="AU358" s="430">
        <f>max(min(Valu!$C$14,$P358),$P358-max($P358-Valu!$C$14,0)/$R358*(AU$3-1))</f>
        <v>0.1375</v>
      </c>
      <c r="AV358" s="430">
        <f>max(min(Valu!$C$14,$P358),$P358-max($P358-Valu!$C$14,0)/$R358*(AV$3-1))</f>
        <v>0.12</v>
      </c>
      <c r="AW358" s="430">
        <f>max(min(Valu!$C$14,$P358),$P358-max($P358-Valu!$C$14,0)/$R358*(AW$3-1))</f>
        <v>0.12</v>
      </c>
      <c r="AX358" s="430">
        <f>max(min(Valu!$C$14,$P358),$P358-max($P358-Valu!$C$14,0)/$R358*(AX$3-1))</f>
        <v>0.12</v>
      </c>
      <c r="AY358" s="430">
        <f>max(min(Valu!$C$14,$P358),$P358-max($P358-Valu!$C$14,0)/$R358*(AY$3-1))</f>
        <v>0.12</v>
      </c>
      <c r="AZ358" s="430">
        <f>max(min(Valu!$C$14,$P358),$P358-max($P358-Valu!$C$14,0)/$R358*(AZ$3-1))</f>
        <v>0.12</v>
      </c>
      <c r="BA358" s="430">
        <f>max(min(Valu!$C$14,$P358),$P358-max($P358-Valu!$C$14,0)/$R358*(BA$3-1))</f>
        <v>0.12</v>
      </c>
      <c r="BB358" s="430">
        <f>max(min(Valu!$C$14,$P358),$P358-max($P358-Valu!$C$14,0)/$R358*(BB$3-1))</f>
        <v>0.12</v>
      </c>
      <c r="BC358" s="430">
        <f>max(min(Valu!$C$14,$P358),$P358-max($P358-Valu!$C$14,0)/$R358*(BC$3-1))</f>
        <v>0.12</v>
      </c>
      <c r="BD358" s="430">
        <f>max(min(Valu!$C$14,$P358),$P358-max($P358-Valu!$C$14,0)/$R358*(BD$3-1))</f>
        <v>0.12</v>
      </c>
      <c r="BE358" s="430">
        <f>max(min(Valu!$C$14,$P358),$P358-max($P358-Valu!$C$14,0)/$R358*(BE$3-1))</f>
        <v>0.12</v>
      </c>
      <c r="BF358" s="430">
        <f>max(min(Valu!$C$14,$P358),$P358-max($P358-Valu!$C$14,0)/$R358*(BF$3-1))</f>
        <v>0.12</v>
      </c>
      <c r="BG358" s="430">
        <f>max(min(Valu!$C$14,$P358),$P358-max($P358-Valu!$C$14,0)/$R358*(BG$3-1))</f>
        <v>0.12</v>
      </c>
      <c r="BH358" s="430">
        <f>max(min(Valu!$C$14,$P358),$P358-max($P358-Valu!$C$14,0)/$R358*(BH$3-1))</f>
        <v>0.12</v>
      </c>
      <c r="BI358" s="430">
        <f>max(min(Valu!$C$14,$P358),$P358-max($P358-Valu!$C$14,0)/$R358*(BI$3-1))</f>
        <v>0.12</v>
      </c>
      <c r="BJ358" s="431">
        <f>N358</f>
        <v>13.1415845</v>
      </c>
      <c r="BK358" s="432">
        <f>$BJ358*(1+V358)</f>
        <v>14.78428257</v>
      </c>
      <c r="BL358" s="432">
        <f t="shared" ref="BL358:CC358" si="193">BK358*(1+W358)</f>
        <v>16.39823341</v>
      </c>
      <c r="BM358" s="432">
        <f t="shared" si="193"/>
        <v>17.9287352</v>
      </c>
      <c r="BN358" s="432">
        <f t="shared" si="193"/>
        <v>19.31821218</v>
      </c>
      <c r="BO358" s="432">
        <f t="shared" si="193"/>
        <v>20.50950193</v>
      </c>
      <c r="BP358" s="432">
        <f t="shared" si="193"/>
        <v>21.44952076</v>
      </c>
      <c r="BQ358" s="432">
        <f t="shared" si="193"/>
        <v>22.09300639</v>
      </c>
      <c r="BR358" s="432">
        <f t="shared" si="193"/>
        <v>22.75579658</v>
      </c>
      <c r="BS358" s="432">
        <f t="shared" si="193"/>
        <v>23.43847048</v>
      </c>
      <c r="BT358" s="432">
        <f t="shared" si="193"/>
        <v>24.14162459</v>
      </c>
      <c r="BU358" s="432">
        <f t="shared" si="193"/>
        <v>24.86587333</v>
      </c>
      <c r="BV358" s="432">
        <f t="shared" si="193"/>
        <v>25.61184953</v>
      </c>
      <c r="BW358" s="432">
        <f t="shared" si="193"/>
        <v>26.38020501</v>
      </c>
      <c r="BX358" s="432">
        <f t="shared" si="193"/>
        <v>27.17161116</v>
      </c>
      <c r="BY358" s="432">
        <f t="shared" si="193"/>
        <v>27.9867595</v>
      </c>
      <c r="BZ358" s="432">
        <f t="shared" si="193"/>
        <v>28.82636228</v>
      </c>
      <c r="CA358" s="432">
        <f t="shared" si="193"/>
        <v>29.69115315</v>
      </c>
      <c r="CB358" s="432">
        <f t="shared" si="193"/>
        <v>30.58188775</v>
      </c>
      <c r="CC358" s="432">
        <f t="shared" si="193"/>
        <v>31.49934438</v>
      </c>
      <c r="CD358" s="432">
        <f t="shared" ref="CD358:CW358" si="194">BJ358*(1-V358/AP358)</f>
        <v>5.840704224</v>
      </c>
      <c r="CE358" s="432">
        <f t="shared" si="194"/>
        <v>7.006206196</v>
      </c>
      <c r="CF358" s="432">
        <f t="shared" si="194"/>
        <v>8.342960859</v>
      </c>
      <c r="CG358" s="432">
        <f t="shared" si="194"/>
        <v>9.873796196</v>
      </c>
      <c r="CH358" s="432">
        <f t="shared" si="194"/>
        <v>11.63247185</v>
      </c>
      <c r="CI358" s="432">
        <f t="shared" si="194"/>
        <v>13.67300128</v>
      </c>
      <c r="CJ358" s="432">
        <f t="shared" si="194"/>
        <v>16.08714057</v>
      </c>
      <c r="CK358" s="432">
        <f t="shared" si="194"/>
        <v>16.56975479</v>
      </c>
      <c r="CL358" s="432">
        <f t="shared" si="194"/>
        <v>17.06684743</v>
      </c>
      <c r="CM358" s="432">
        <f t="shared" si="194"/>
        <v>17.57885286</v>
      </c>
      <c r="CN358" s="432">
        <f t="shared" si="194"/>
        <v>18.10621844</v>
      </c>
      <c r="CO358" s="432">
        <f t="shared" si="194"/>
        <v>18.649405</v>
      </c>
      <c r="CP358" s="432">
        <f t="shared" si="194"/>
        <v>19.20888715</v>
      </c>
      <c r="CQ358" s="432">
        <f t="shared" si="194"/>
        <v>19.78515376</v>
      </c>
      <c r="CR358" s="432">
        <f t="shared" si="194"/>
        <v>20.37870837</v>
      </c>
      <c r="CS358" s="432">
        <f t="shared" si="194"/>
        <v>20.99006962</v>
      </c>
      <c r="CT358" s="432">
        <f t="shared" si="194"/>
        <v>21.61977171</v>
      </c>
      <c r="CU358" s="432">
        <f t="shared" si="194"/>
        <v>22.26836487</v>
      </c>
      <c r="CV358" s="432">
        <f t="shared" si="194"/>
        <v>22.93641581</v>
      </c>
      <c r="CW358" s="432">
        <f t="shared" si="194"/>
        <v>23.62450829</v>
      </c>
      <c r="CX358" s="432">
        <f>CW358*(1+min(Valu!$C$15,$O358))/(Valu!$C$21-min(Valu!$C$15,$O358))</f>
        <v>640.348514</v>
      </c>
      <c r="CY358" s="432">
        <f>CD358/(1+Valu!$C$21)^CY$3</f>
        <v>5.468824179</v>
      </c>
      <c r="CZ358" s="432">
        <f>CE358/(1+Valu!$C$21)^CZ$3</f>
        <v>6.142432735</v>
      </c>
      <c r="DA358" s="432">
        <f>CF358/(1+Valu!$C$21)^DA$3</f>
        <v>6.848673274</v>
      </c>
      <c r="DB358" s="432">
        <f>CG358/(1+Valu!$C$21)^DB$3</f>
        <v>7.589255045</v>
      </c>
      <c r="DC358" s="432">
        <f>CH358/(1+Valu!$C$21)^DC$3</f>
        <v>8.371740282</v>
      </c>
      <c r="DD358" s="432">
        <f>CI358/(1+Valu!$C$21)^DD$3</f>
        <v>9.21374818</v>
      </c>
      <c r="DE358" s="432">
        <f>CJ358/(1+Valu!$C$21)^DE$3</f>
        <v>10.15032827</v>
      </c>
      <c r="DF358" s="432">
        <f>CK358/(1+Valu!$C$21)^DF$3</f>
        <v>9.789174269</v>
      </c>
      <c r="DG358" s="432">
        <f>CL358/(1+Valu!$C$21)^DG$3</f>
        <v>9.440870315</v>
      </c>
      <c r="DH358" s="432">
        <f>CM358/(1+Valu!$C$21)^DH$3</f>
        <v>9.104959199</v>
      </c>
      <c r="DI358" s="432">
        <f>CN358/(1+Valu!$C$21)^DI$3</f>
        <v>8.780999977</v>
      </c>
      <c r="DJ358" s="432">
        <f>CO358/(1+Valu!$C$21)^DJ$3</f>
        <v>8.468567393</v>
      </c>
      <c r="DK358" s="432">
        <f>CP358/(1+Valu!$C$21)^DK$3</f>
        <v>8.167251325</v>
      </c>
      <c r="DL358" s="432">
        <f>CQ358/(1+Valu!$C$21)^DL$3</f>
        <v>7.876656241</v>
      </c>
      <c r="DM358" s="432">
        <f>CR358/(1+Valu!$C$21)^DM$3</f>
        <v>7.596400681</v>
      </c>
      <c r="DN358" s="432">
        <f>CS358/(1+Valu!$C$21)^DN$3</f>
        <v>7.326116762</v>
      </c>
      <c r="DO358" s="432">
        <f>CT358/(1+Valu!$C$21)^DO$3</f>
        <v>7.065449686</v>
      </c>
      <c r="DP358" s="432">
        <f>CU358/(1+Valu!$C$21)^DP$3</f>
        <v>6.814057282</v>
      </c>
      <c r="DQ358" s="432">
        <f>CV358/(1+Valu!$C$21)^DQ$3</f>
        <v>6.571609551</v>
      </c>
      <c r="DR358" s="432">
        <f>CW358/(1+Valu!$C$21)^DR$3</f>
        <v>6.337788237</v>
      </c>
      <c r="DS358" s="432">
        <f>CX358/(1+Valu!$C$21)^DS$3</f>
        <v>171.787418</v>
      </c>
      <c r="DT358" s="358"/>
      <c r="DU358" s="358"/>
      <c r="DV358" s="358"/>
      <c r="DW358" s="358"/>
    </row>
    <row r="359" ht="15.0" customHeight="1">
      <c r="A359" s="394">
        <v>40370.0</v>
      </c>
      <c r="B359" s="302" t="s">
        <v>3457</v>
      </c>
      <c r="C359" s="302" t="s">
        <v>3458</v>
      </c>
      <c r="D359" s="422"/>
      <c r="E359" s="396" t="str">
        <f>IFERROR(__xludf.DUMMYFUNCTION("if(and(D359&lt;&gt;0,D359&lt;&gt;""""),D359/GOOGLEFINANCE(C359,""price"")-1,"""")"),"")</f>
        <v/>
      </c>
      <c r="F359" s="397">
        <f>IFERROR(__xludf.DUMMYFUNCTION("GOOGLEFINANCE(C359,""price"")"),58.64)</f>
        <v>58.64</v>
      </c>
      <c r="G359" s="396" t="str">
        <f t="shared" si="6"/>
        <v/>
      </c>
      <c r="H359" s="398">
        <v>24.0</v>
      </c>
      <c r="I359" s="398"/>
      <c r="J359" s="403"/>
      <c r="K359" s="403"/>
      <c r="L359" s="410"/>
      <c r="M359" s="402">
        <f t="shared" si="7"/>
        <v>-119.9023034</v>
      </c>
      <c r="N359" s="403">
        <f t="shared" si="8"/>
        <v>0</v>
      </c>
      <c r="O359" s="410"/>
      <c r="P359" s="411"/>
      <c r="Q359" s="402"/>
      <c r="R359" s="412"/>
      <c r="S359" s="406">
        <v>0.0</v>
      </c>
      <c r="T359" s="412"/>
      <c r="U359" s="413" t="s">
        <v>3460</v>
      </c>
      <c r="V359" s="414"/>
      <c r="W359" s="414"/>
      <c r="X359" s="414"/>
      <c r="Y359" s="414"/>
      <c r="Z359" s="414"/>
      <c r="AA359" s="414"/>
      <c r="AB359" s="414"/>
      <c r="AC359" s="414"/>
      <c r="AD359" s="414"/>
      <c r="AE359" s="414"/>
      <c r="AF359" s="414"/>
      <c r="AG359" s="414"/>
      <c r="AH359" s="414"/>
      <c r="AI359" s="414"/>
      <c r="AJ359" s="414"/>
      <c r="AK359" s="414"/>
      <c r="AL359" s="414"/>
      <c r="AM359" s="414"/>
      <c r="AN359" s="414"/>
      <c r="AO359" s="414"/>
      <c r="AP359" s="414"/>
      <c r="AQ359" s="414"/>
      <c r="AR359" s="414"/>
      <c r="AS359" s="414"/>
      <c r="AT359" s="414"/>
      <c r="AU359" s="414"/>
      <c r="AV359" s="414"/>
      <c r="AW359" s="414"/>
      <c r="AX359" s="414"/>
      <c r="AY359" s="414"/>
      <c r="AZ359" s="414"/>
      <c r="BA359" s="414"/>
      <c r="BB359" s="414"/>
      <c r="BC359" s="414"/>
      <c r="BD359" s="414"/>
      <c r="BE359" s="414"/>
      <c r="BF359" s="414"/>
      <c r="BG359" s="414"/>
      <c r="BH359" s="414"/>
      <c r="BI359" s="414"/>
      <c r="BJ359" s="414"/>
      <c r="BK359" s="414"/>
      <c r="BL359" s="414"/>
      <c r="BM359" s="414"/>
      <c r="BN359" s="414"/>
      <c r="BO359" s="414"/>
      <c r="BP359" s="414"/>
      <c r="BQ359" s="414"/>
      <c r="BR359" s="414"/>
      <c r="BS359" s="414"/>
      <c r="BT359" s="414"/>
      <c r="BU359" s="414"/>
      <c r="BV359" s="414"/>
      <c r="BW359" s="414"/>
      <c r="BX359" s="414"/>
      <c r="BY359" s="414"/>
      <c r="BZ359" s="414"/>
      <c r="CA359" s="414"/>
      <c r="CB359" s="414"/>
      <c r="CC359" s="414"/>
      <c r="CD359" s="414"/>
      <c r="CE359" s="414"/>
      <c r="CF359" s="414"/>
      <c r="CG359" s="414"/>
      <c r="CH359" s="414"/>
      <c r="CI359" s="414"/>
      <c r="CJ359" s="414"/>
      <c r="CK359" s="414"/>
      <c r="CL359" s="414"/>
      <c r="CM359" s="414"/>
      <c r="CN359" s="414"/>
      <c r="CO359" s="414"/>
      <c r="CP359" s="414"/>
      <c r="CQ359" s="414"/>
      <c r="CR359" s="414"/>
      <c r="CS359" s="414"/>
      <c r="CT359" s="414"/>
      <c r="CU359" s="414"/>
      <c r="CV359" s="414"/>
      <c r="CW359" s="414"/>
      <c r="CX359" s="414"/>
      <c r="CY359" s="414"/>
      <c r="CZ359" s="414"/>
      <c r="DA359" s="414"/>
      <c r="DB359" s="414"/>
      <c r="DC359" s="414"/>
      <c r="DD359" s="414"/>
      <c r="DE359" s="414"/>
      <c r="DF359" s="414"/>
      <c r="DG359" s="414"/>
      <c r="DH359" s="414"/>
      <c r="DI359" s="414"/>
      <c r="DJ359" s="414"/>
      <c r="DK359" s="414"/>
      <c r="DL359" s="414"/>
      <c r="DM359" s="414"/>
      <c r="DN359" s="414"/>
      <c r="DO359" s="414"/>
      <c r="DP359" s="414"/>
      <c r="DQ359" s="414"/>
      <c r="DR359" s="414"/>
      <c r="DS359" s="414"/>
      <c r="DT359" s="414"/>
      <c r="DU359" s="414"/>
      <c r="DV359" s="414"/>
      <c r="DW359" s="414"/>
    </row>
    <row r="360" ht="15.0" customHeight="1">
      <c r="A360" s="383">
        <v>41510.0</v>
      </c>
      <c r="B360" s="320" t="s">
        <v>3461</v>
      </c>
      <c r="C360" s="320" t="s">
        <v>1067</v>
      </c>
      <c r="D360" s="373">
        <v>200.0</v>
      </c>
      <c r="E360" s="374">
        <f>IFERROR(__xludf.DUMMYFUNCTION("if(and(D360&lt;&gt;0,D360&lt;&gt;""""),D360/GOOGLEFINANCE(C360,""price"")-1,"""")"),-0.18337348413702992)</f>
        <v>-0.1833734841</v>
      </c>
      <c r="F360" s="375">
        <f>IFERROR(__xludf.DUMMYFUNCTION("GOOGLEFINANCE(C360,""price"")"),244.91)</f>
        <v>244.91</v>
      </c>
      <c r="G360" s="374">
        <f t="shared" si="6"/>
        <v>0.507150589</v>
      </c>
      <c r="H360" s="376"/>
      <c r="I360" s="368">
        <f>sum(CY360:DS360)</f>
        <v>369.1162507</v>
      </c>
      <c r="J360" s="377">
        <v>14.83</v>
      </c>
      <c r="K360" s="377">
        <v>16.65</v>
      </c>
      <c r="L360" s="378">
        <v>43830.0</v>
      </c>
      <c r="M360" s="379">
        <f t="shared" si="7"/>
        <v>0.1798884281</v>
      </c>
      <c r="N360" s="380">
        <f t="shared" si="8"/>
        <v>16.32260306</v>
      </c>
      <c r="O360" s="370">
        <v>0.1</v>
      </c>
      <c r="P360" s="370">
        <v>0.13</v>
      </c>
      <c r="Q360" s="371">
        <f>I360/N360</f>
        <v>22.61381039</v>
      </c>
      <c r="R360" s="355">
        <v>6.0</v>
      </c>
      <c r="S360" s="378">
        <v>43695.0</v>
      </c>
      <c r="T360" s="381" t="s">
        <v>1223</v>
      </c>
      <c r="U360" s="382" t="s">
        <v>3464</v>
      </c>
      <c r="V360" s="429">
        <f>O360</f>
        <v>0.1</v>
      </c>
      <c r="W360" s="430">
        <f>max(min(Valu!$C$15,$O360),$O360-max($O360-Valu!$C$15,0)/$R360*(W$3-1))</f>
        <v>0.08833333333</v>
      </c>
      <c r="X360" s="430">
        <f>max(min(Valu!$C$15,$O360),$O360-max($O360-Valu!$C$15,0)/$R360*(X$3-1))</f>
        <v>0.07666666667</v>
      </c>
      <c r="Y360" s="430">
        <f>max(min(Valu!$C$15,$O360),$O360-max($O360-Valu!$C$15,0)/$R360*(Y$3-1))</f>
        <v>0.065</v>
      </c>
      <c r="Z360" s="430">
        <f>max(min(Valu!$C$15,$O360),$O360-max($O360-Valu!$C$15,0)/$R360*(Z$3-1))</f>
        <v>0.05333333333</v>
      </c>
      <c r="AA360" s="430">
        <f>max(min(Valu!$C$15,$O360),$O360-max($O360-Valu!$C$15,0)/$R360*(AA$3-1))</f>
        <v>0.04166666667</v>
      </c>
      <c r="AB360" s="430">
        <f>max(min(Valu!$C$15,$O360),$O360-max($O360-Valu!$C$15,0)/$R360*(AB$3-1))</f>
        <v>0.03</v>
      </c>
      <c r="AC360" s="430">
        <f>max(min(Valu!$C$15,$O360),$O360-max($O360-Valu!$C$15,0)/$R360*(AC$3-1))</f>
        <v>0.03</v>
      </c>
      <c r="AD360" s="430">
        <f>max(min(Valu!$C$15,$O360),$O360-max($O360-Valu!$C$15,0)/$R360*(AD$3-1))</f>
        <v>0.03</v>
      </c>
      <c r="AE360" s="430">
        <f>max(min(Valu!$C$15,$O360),$O360-max($O360-Valu!$C$15,0)/$R360*(AE$3-1))</f>
        <v>0.03</v>
      </c>
      <c r="AF360" s="430">
        <f>max(min(Valu!$C$15,$O360),$O360-max($O360-Valu!$C$15,0)/$R360*(AF$3-1))</f>
        <v>0.03</v>
      </c>
      <c r="AG360" s="430">
        <f>max(min(Valu!$C$15,$O360),$O360-max($O360-Valu!$C$15,0)/$R360*(AG$3-1))</f>
        <v>0.03</v>
      </c>
      <c r="AH360" s="430">
        <f>max(min(Valu!$C$15,$O360),$O360-max($O360-Valu!$C$15,0)/$R360*(AH$3-1))</f>
        <v>0.03</v>
      </c>
      <c r="AI360" s="430">
        <f>max(min(Valu!$C$15,$O360),$O360-max($O360-Valu!$C$15,0)/$R360*(AI$3-1))</f>
        <v>0.03</v>
      </c>
      <c r="AJ360" s="430">
        <f>max(min(Valu!$C$15,$O360),$O360-max($O360-Valu!$C$15,0)/$R360*(AJ$3-1))</f>
        <v>0.03</v>
      </c>
      <c r="AK360" s="430">
        <f>max(min(Valu!$C$15,$O360),$O360-max($O360-Valu!$C$15,0)/$R360*(AK$3-1))</f>
        <v>0.03</v>
      </c>
      <c r="AL360" s="430">
        <f>max(min(Valu!$C$15,$O360),$O360-max($O360-Valu!$C$15,0)/$R360*(AL$3-1))</f>
        <v>0.03</v>
      </c>
      <c r="AM360" s="430">
        <f>max(min(Valu!$C$15,$O360),$O360-max($O360-Valu!$C$15,0)/$R360*(AM$3-1))</f>
        <v>0.03</v>
      </c>
      <c r="AN360" s="430">
        <f>max(min(Valu!$C$15,$O360),$O360-max($O360-Valu!$C$15,0)/$R360*(AN$3-1))</f>
        <v>0.03</v>
      </c>
      <c r="AO360" s="430">
        <f>max(min(Valu!$C$15,$O360),$O360-max($O360-Valu!$C$15,0)/$R360*(AO$3-1))</f>
        <v>0.03</v>
      </c>
      <c r="AP360" s="430">
        <f>max(min(Valu!$C$14,$P360),$P360-max($P360-Valu!$C$14,0)/$R360*(AP$3-1))</f>
        <v>0.13</v>
      </c>
      <c r="AQ360" s="430">
        <f>max(min(Valu!$C$14,$P360),$P360-max($P360-Valu!$C$14,0)/$R360*(AQ$3-1))</f>
        <v>0.1283333333</v>
      </c>
      <c r="AR360" s="430">
        <f>max(min(Valu!$C$14,$P360),$P360-max($P360-Valu!$C$14,0)/$R360*(AR$3-1))</f>
        <v>0.1266666667</v>
      </c>
      <c r="AS360" s="430">
        <f>max(min(Valu!$C$14,$P360),$P360-max($P360-Valu!$C$14,0)/$R360*(AS$3-1))</f>
        <v>0.125</v>
      </c>
      <c r="AT360" s="430">
        <f>max(min(Valu!$C$14,$P360),$P360-max($P360-Valu!$C$14,0)/$R360*(AT$3-1))</f>
        <v>0.1233333333</v>
      </c>
      <c r="AU360" s="430">
        <f>max(min(Valu!$C$14,$P360),$P360-max($P360-Valu!$C$14,0)/$R360*(AU$3-1))</f>
        <v>0.1216666667</v>
      </c>
      <c r="AV360" s="430">
        <f>max(min(Valu!$C$14,$P360),$P360-max($P360-Valu!$C$14,0)/$R360*(AV$3-1))</f>
        <v>0.12</v>
      </c>
      <c r="AW360" s="430">
        <f>max(min(Valu!$C$14,$P360),$P360-max($P360-Valu!$C$14,0)/$R360*(AW$3-1))</f>
        <v>0.12</v>
      </c>
      <c r="AX360" s="430">
        <f>max(min(Valu!$C$14,$P360),$P360-max($P360-Valu!$C$14,0)/$R360*(AX$3-1))</f>
        <v>0.12</v>
      </c>
      <c r="AY360" s="430">
        <f>max(min(Valu!$C$14,$P360),$P360-max($P360-Valu!$C$14,0)/$R360*(AY$3-1))</f>
        <v>0.12</v>
      </c>
      <c r="AZ360" s="430">
        <f>max(min(Valu!$C$14,$P360),$P360-max($P360-Valu!$C$14,0)/$R360*(AZ$3-1))</f>
        <v>0.12</v>
      </c>
      <c r="BA360" s="430">
        <f>max(min(Valu!$C$14,$P360),$P360-max($P360-Valu!$C$14,0)/$R360*(BA$3-1))</f>
        <v>0.12</v>
      </c>
      <c r="BB360" s="430">
        <f>max(min(Valu!$C$14,$P360),$P360-max($P360-Valu!$C$14,0)/$R360*(BB$3-1))</f>
        <v>0.12</v>
      </c>
      <c r="BC360" s="430">
        <f>max(min(Valu!$C$14,$P360),$P360-max($P360-Valu!$C$14,0)/$R360*(BC$3-1))</f>
        <v>0.12</v>
      </c>
      <c r="BD360" s="430">
        <f>max(min(Valu!$C$14,$P360),$P360-max($P360-Valu!$C$14,0)/$R360*(BD$3-1))</f>
        <v>0.12</v>
      </c>
      <c r="BE360" s="430">
        <f>max(min(Valu!$C$14,$P360),$P360-max($P360-Valu!$C$14,0)/$R360*(BE$3-1))</f>
        <v>0.12</v>
      </c>
      <c r="BF360" s="430">
        <f>max(min(Valu!$C$14,$P360),$P360-max($P360-Valu!$C$14,0)/$R360*(BF$3-1))</f>
        <v>0.12</v>
      </c>
      <c r="BG360" s="430">
        <f>max(min(Valu!$C$14,$P360),$P360-max($P360-Valu!$C$14,0)/$R360*(BG$3-1))</f>
        <v>0.12</v>
      </c>
      <c r="BH360" s="430">
        <f>max(min(Valu!$C$14,$P360),$P360-max($P360-Valu!$C$14,0)/$R360*(BH$3-1))</f>
        <v>0.12</v>
      </c>
      <c r="BI360" s="430">
        <f>max(min(Valu!$C$14,$P360),$P360-max($P360-Valu!$C$14,0)/$R360*(BI$3-1))</f>
        <v>0.12</v>
      </c>
      <c r="BJ360" s="431">
        <f>N360</f>
        <v>16.32260306</v>
      </c>
      <c r="BK360" s="432">
        <f>$BJ360*(1+V360)</f>
        <v>17.95486337</v>
      </c>
      <c r="BL360" s="432">
        <f t="shared" ref="BL360:CC360" si="195">BK360*(1+W360)</f>
        <v>19.5408763</v>
      </c>
      <c r="BM360" s="432">
        <f t="shared" si="195"/>
        <v>21.03901015</v>
      </c>
      <c r="BN360" s="432">
        <f t="shared" si="195"/>
        <v>22.40654581</v>
      </c>
      <c r="BO360" s="432">
        <f t="shared" si="195"/>
        <v>23.60156158</v>
      </c>
      <c r="BP360" s="432">
        <f t="shared" si="195"/>
        <v>24.58495998</v>
      </c>
      <c r="BQ360" s="432">
        <f t="shared" si="195"/>
        <v>25.32250878</v>
      </c>
      <c r="BR360" s="432">
        <f t="shared" si="195"/>
        <v>26.08218405</v>
      </c>
      <c r="BS360" s="432">
        <f t="shared" si="195"/>
        <v>26.86464957</v>
      </c>
      <c r="BT360" s="432">
        <f t="shared" si="195"/>
        <v>27.67058905</v>
      </c>
      <c r="BU360" s="432">
        <f t="shared" si="195"/>
        <v>28.50070673</v>
      </c>
      <c r="BV360" s="432">
        <f t="shared" si="195"/>
        <v>29.35572793</v>
      </c>
      <c r="BW360" s="432">
        <f t="shared" si="195"/>
        <v>30.23639976</v>
      </c>
      <c r="BX360" s="432">
        <f t="shared" si="195"/>
        <v>31.14349176</v>
      </c>
      <c r="BY360" s="432">
        <f t="shared" si="195"/>
        <v>32.07779651</v>
      </c>
      <c r="BZ360" s="432">
        <f t="shared" si="195"/>
        <v>33.04013041</v>
      </c>
      <c r="CA360" s="432">
        <f t="shared" si="195"/>
        <v>34.03133432</v>
      </c>
      <c r="CB360" s="432">
        <f t="shared" si="195"/>
        <v>35.05227435</v>
      </c>
      <c r="CC360" s="432">
        <f t="shared" si="195"/>
        <v>36.10384258</v>
      </c>
      <c r="CD360" s="432">
        <f t="shared" ref="CD360:CW360" si="196">BJ360*(1-V360/AP360)</f>
        <v>3.766754553</v>
      </c>
      <c r="CE360" s="432">
        <f t="shared" si="196"/>
        <v>5.596321049</v>
      </c>
      <c r="CF360" s="432">
        <f t="shared" si="196"/>
        <v>7.713503802</v>
      </c>
      <c r="CG360" s="432">
        <f t="shared" si="196"/>
        <v>10.09872487</v>
      </c>
      <c r="CH360" s="432">
        <f t="shared" si="196"/>
        <v>12.7172287</v>
      </c>
      <c r="CI360" s="432">
        <f t="shared" si="196"/>
        <v>15.51883501</v>
      </c>
      <c r="CJ360" s="432">
        <f t="shared" si="196"/>
        <v>18.43871999</v>
      </c>
      <c r="CK360" s="432">
        <f t="shared" si="196"/>
        <v>18.99188159</v>
      </c>
      <c r="CL360" s="432">
        <f t="shared" si="196"/>
        <v>19.56163803</v>
      </c>
      <c r="CM360" s="432">
        <f t="shared" si="196"/>
        <v>20.14848718</v>
      </c>
      <c r="CN360" s="432">
        <f t="shared" si="196"/>
        <v>20.75294179</v>
      </c>
      <c r="CO360" s="432">
        <f t="shared" si="196"/>
        <v>21.37553004</v>
      </c>
      <c r="CP360" s="432">
        <f t="shared" si="196"/>
        <v>22.01679595</v>
      </c>
      <c r="CQ360" s="432">
        <f t="shared" si="196"/>
        <v>22.67729982</v>
      </c>
      <c r="CR360" s="432">
        <f t="shared" si="196"/>
        <v>23.35761882</v>
      </c>
      <c r="CS360" s="432">
        <f t="shared" si="196"/>
        <v>24.05834738</v>
      </c>
      <c r="CT360" s="432">
        <f t="shared" si="196"/>
        <v>24.7800978</v>
      </c>
      <c r="CU360" s="432">
        <f t="shared" si="196"/>
        <v>25.52350074</v>
      </c>
      <c r="CV360" s="432">
        <f t="shared" si="196"/>
        <v>26.28920576</v>
      </c>
      <c r="CW360" s="432">
        <f t="shared" si="196"/>
        <v>27.07788193</v>
      </c>
      <c r="CX360" s="432">
        <f>CW360*(1+min(Valu!$C$15,$O360))/(Valu!$C$21-min(Valu!$C$15,$O360))</f>
        <v>733.9531156</v>
      </c>
      <c r="CY360" s="432">
        <f>CD360/(1+Valu!$C$21)^CY$3</f>
        <v>3.526923738</v>
      </c>
      <c r="CZ360" s="432">
        <f>CE360/(1+Valu!$C$21)^CZ$3</f>
        <v>4.906367961</v>
      </c>
      <c r="DA360" s="432">
        <f>CF360/(1+Valu!$C$21)^DA$3</f>
        <v>6.331956751</v>
      </c>
      <c r="DB360" s="432">
        <f>CG360/(1+Valu!$C$21)^DB$3</f>
        <v>7.76214104</v>
      </c>
      <c r="DC360" s="432">
        <f>CH360/(1+Valu!$C$21)^DC$3</f>
        <v>9.152425829</v>
      </c>
      <c r="DD360" s="432">
        <f>CI360/(1+Valu!$C$21)^DD$3</f>
        <v>10.45758973</v>
      </c>
      <c r="DE360" s="432">
        <f>CJ360/(1+Valu!$C$21)^DE$3</f>
        <v>11.63407878</v>
      </c>
      <c r="DF360" s="432">
        <f>CK360/(1+Valu!$C$21)^DF$3</f>
        <v>11.22013216</v>
      </c>
      <c r="DG360" s="432">
        <f>CL360/(1+Valu!$C$21)^DG$3</f>
        <v>10.82091397</v>
      </c>
      <c r="DH360" s="432">
        <f>CM360/(1+Valu!$C$21)^DH$3</f>
        <v>10.43590018</v>
      </c>
      <c r="DI360" s="432">
        <f>CN360/(1+Valu!$C$21)^DI$3</f>
        <v>10.06458538</v>
      </c>
      <c r="DJ360" s="432">
        <f>CO360/(1+Valu!$C$21)^DJ$3</f>
        <v>9.706482152</v>
      </c>
      <c r="DK360" s="432">
        <f>CP360/(1+Valu!$C$21)^DK$3</f>
        <v>9.361120428</v>
      </c>
      <c r="DL360" s="432">
        <f>CQ360/(1+Valu!$C$21)^DL$3</f>
        <v>9.028046854</v>
      </c>
      <c r="DM360" s="432">
        <f>CR360/(1+Valu!$C$21)^DM$3</f>
        <v>8.706824214</v>
      </c>
      <c r="DN360" s="432">
        <f>CS360/(1+Valu!$C$21)^DN$3</f>
        <v>8.397030843</v>
      </c>
      <c r="DO360" s="432">
        <f>CT360/(1+Valu!$C$21)^DO$3</f>
        <v>8.098260082</v>
      </c>
      <c r="DP360" s="432">
        <f>CU360/(1+Valu!$C$21)^DP$3</f>
        <v>7.810119742</v>
      </c>
      <c r="DQ360" s="432">
        <f>CV360/(1+Valu!$C$21)^DQ$3</f>
        <v>7.532231587</v>
      </c>
      <c r="DR360" s="432">
        <f>CW360/(1+Valu!$C$21)^DR$3</f>
        <v>7.264230837</v>
      </c>
      <c r="DS360" s="432">
        <f>CX360/(1+Valu!$C$21)^DS$3</f>
        <v>196.8988885</v>
      </c>
      <c r="DT360" s="358"/>
      <c r="DU360" s="358"/>
      <c r="DV360" s="358"/>
      <c r="DW360" s="358"/>
    </row>
    <row r="361" ht="15.0" customHeight="1">
      <c r="A361" s="394">
        <v>41792.0</v>
      </c>
      <c r="B361" s="302" t="s">
        <v>3479</v>
      </c>
      <c r="C361" s="302" t="s">
        <v>1822</v>
      </c>
      <c r="D361" s="422"/>
      <c r="E361" s="396" t="str">
        <f>IFERROR(__xludf.DUMMYFUNCTION("if(and(D361&lt;&gt;0,D361&lt;&gt;""""),D361/GOOGLEFINANCE(C361,""price"")-1,"""")"),"")</f>
        <v/>
      </c>
      <c r="F361" s="397" t="str">
        <f>IFERROR(__xludf.DUMMYFUNCTION("GOOGLEFINANCE(C361,""price"")"),"#N/A")</f>
        <v>#N/A</v>
      </c>
      <c r="G361" s="396" t="str">
        <f t="shared" si="6"/>
        <v/>
      </c>
      <c r="H361" s="398">
        <v>0.5</v>
      </c>
      <c r="I361" s="398"/>
      <c r="J361" s="403"/>
      <c r="K361" s="403"/>
      <c r="L361" s="410"/>
      <c r="M361" s="402">
        <f t="shared" si="7"/>
        <v>-119.9023034</v>
      </c>
      <c r="N361" s="403">
        <f t="shared" si="8"/>
        <v>0</v>
      </c>
      <c r="O361" s="410"/>
      <c r="P361" s="411"/>
      <c r="Q361" s="402"/>
      <c r="R361" s="412"/>
      <c r="S361" s="412"/>
      <c r="T361" s="412"/>
      <c r="U361" s="413" t="s">
        <v>3482</v>
      </c>
      <c r="V361" s="414"/>
      <c r="W361" s="414"/>
      <c r="X361" s="414"/>
      <c r="Y361" s="414"/>
      <c r="Z361" s="414"/>
      <c r="AA361" s="414"/>
      <c r="AB361" s="414"/>
      <c r="AC361" s="414"/>
      <c r="AD361" s="414"/>
      <c r="AE361" s="414"/>
      <c r="AF361" s="414"/>
      <c r="AG361" s="414"/>
      <c r="AH361" s="414"/>
      <c r="AI361" s="414"/>
      <c r="AJ361" s="414"/>
      <c r="AK361" s="414"/>
      <c r="AL361" s="414"/>
      <c r="AM361" s="414"/>
      <c r="AN361" s="414"/>
      <c r="AO361" s="414"/>
      <c r="AP361" s="414"/>
      <c r="AQ361" s="414"/>
      <c r="AR361" s="414"/>
      <c r="AS361" s="414"/>
      <c r="AT361" s="414"/>
      <c r="AU361" s="414"/>
      <c r="AV361" s="414"/>
      <c r="AW361" s="414"/>
      <c r="AX361" s="414"/>
      <c r="AY361" s="414"/>
      <c r="AZ361" s="414"/>
      <c r="BA361" s="414"/>
      <c r="BB361" s="414"/>
      <c r="BC361" s="414"/>
      <c r="BD361" s="414"/>
      <c r="BE361" s="414"/>
      <c r="BF361" s="414"/>
      <c r="BG361" s="414"/>
      <c r="BH361" s="414"/>
      <c r="BI361" s="414"/>
      <c r="BJ361" s="414"/>
      <c r="BK361" s="414"/>
      <c r="BL361" s="414"/>
      <c r="BM361" s="414"/>
      <c r="BN361" s="414"/>
      <c r="BO361" s="414"/>
      <c r="BP361" s="414"/>
      <c r="BQ361" s="414"/>
      <c r="BR361" s="414"/>
      <c r="BS361" s="414"/>
      <c r="BT361" s="414"/>
      <c r="BU361" s="414"/>
      <c r="BV361" s="414"/>
      <c r="BW361" s="414"/>
      <c r="BX361" s="414"/>
      <c r="BY361" s="414"/>
      <c r="BZ361" s="414"/>
      <c r="CA361" s="414"/>
      <c r="CB361" s="414"/>
      <c r="CC361" s="414"/>
      <c r="CD361" s="414"/>
      <c r="CE361" s="414"/>
      <c r="CF361" s="414"/>
      <c r="CG361" s="414"/>
      <c r="CH361" s="414"/>
      <c r="CI361" s="414"/>
      <c r="CJ361" s="414"/>
      <c r="CK361" s="414"/>
      <c r="CL361" s="414"/>
      <c r="CM361" s="414"/>
      <c r="CN361" s="414"/>
      <c r="CO361" s="414"/>
      <c r="CP361" s="414"/>
      <c r="CQ361" s="414"/>
      <c r="CR361" s="414"/>
      <c r="CS361" s="414"/>
      <c r="CT361" s="414"/>
      <c r="CU361" s="414"/>
      <c r="CV361" s="414"/>
      <c r="CW361" s="414"/>
      <c r="CX361" s="414"/>
      <c r="CY361" s="414"/>
      <c r="CZ361" s="414"/>
      <c r="DA361" s="414"/>
      <c r="DB361" s="414"/>
      <c r="DC361" s="414"/>
      <c r="DD361" s="414"/>
      <c r="DE361" s="414"/>
      <c r="DF361" s="414"/>
      <c r="DG361" s="414"/>
      <c r="DH361" s="414"/>
      <c r="DI361" s="414"/>
      <c r="DJ361" s="414"/>
      <c r="DK361" s="414"/>
      <c r="DL361" s="414"/>
      <c r="DM361" s="414"/>
      <c r="DN361" s="414"/>
      <c r="DO361" s="414"/>
      <c r="DP361" s="414"/>
      <c r="DQ361" s="414"/>
      <c r="DR361" s="414"/>
      <c r="DS361" s="414"/>
      <c r="DT361" s="414"/>
      <c r="DU361" s="414"/>
      <c r="DV361" s="414"/>
      <c r="DW361" s="414"/>
    </row>
    <row r="362" ht="15.0" customHeight="1">
      <c r="A362" s="383">
        <v>40516.0</v>
      </c>
      <c r="B362" s="320" t="s">
        <v>3483</v>
      </c>
      <c r="C362" s="320" t="s">
        <v>1182</v>
      </c>
      <c r="D362" s="373">
        <v>137.5</v>
      </c>
      <c r="E362" s="374">
        <f>IFERROR(__xludf.DUMMYFUNCTION("if(and(D362&lt;&gt;0,D362&lt;&gt;""""),D362/GOOGLEFINANCE(C362,""price"")-1,"""")"),-0.20211222654209948)</f>
        <v>-0.2021122265</v>
      </c>
      <c r="F362" s="375">
        <f>IFERROR(__xludf.DUMMYFUNCTION("GOOGLEFINANCE(C362,""price"")"),172.33)</f>
        <v>172.33</v>
      </c>
      <c r="G362" s="374">
        <f t="shared" si="6"/>
        <v>0.1815703827</v>
      </c>
      <c r="H362" s="376">
        <v>70.0</v>
      </c>
      <c r="I362" s="376">
        <f>N362*($I$1+O362*100)</f>
        <v>203.6200241</v>
      </c>
      <c r="J362" s="377">
        <v>7.85</v>
      </c>
      <c r="K362" s="377">
        <v>8.94</v>
      </c>
      <c r="L362" s="378">
        <v>43465.0</v>
      </c>
      <c r="M362" s="379">
        <f t="shared" si="7"/>
        <v>-0.8201115746</v>
      </c>
      <c r="N362" s="380">
        <f t="shared" si="8"/>
        <v>9.833921616</v>
      </c>
      <c r="O362" s="370">
        <v>0.06</v>
      </c>
      <c r="P362" s="370"/>
      <c r="Q362" s="371"/>
      <c r="R362" s="378"/>
      <c r="S362" s="378">
        <v>43475.0</v>
      </c>
      <c r="T362" s="381" t="s">
        <v>1223</v>
      </c>
      <c r="U362" s="386" t="s">
        <v>3485</v>
      </c>
      <c r="V362" s="344"/>
      <c r="W362" s="344"/>
      <c r="X362" s="344"/>
      <c r="Y362" s="344"/>
      <c r="Z362" s="344"/>
      <c r="AA362" s="344"/>
      <c r="AB362" s="344"/>
      <c r="AC362" s="344"/>
      <c r="AD362" s="344"/>
      <c r="AE362" s="344"/>
      <c r="AF362" s="344"/>
      <c r="AG362" s="344"/>
      <c r="AH362" s="344"/>
      <c r="AI362" s="344"/>
      <c r="AJ362" s="344"/>
      <c r="AK362" s="344"/>
      <c r="AL362" s="344"/>
      <c r="AM362" s="344"/>
      <c r="AN362" s="344"/>
      <c r="AO362" s="344"/>
      <c r="AP362" s="344"/>
      <c r="AQ362" s="344"/>
      <c r="AR362" s="344"/>
      <c r="AS362" s="344"/>
      <c r="AT362" s="344"/>
      <c r="AU362" s="344"/>
      <c r="AV362" s="344"/>
      <c r="AW362" s="344"/>
      <c r="AX362" s="344"/>
      <c r="AY362" s="344"/>
      <c r="AZ362" s="344"/>
      <c r="BA362" s="344"/>
      <c r="BB362" s="344"/>
      <c r="BC362" s="344"/>
      <c r="BD362" s="344"/>
      <c r="BE362" s="344"/>
      <c r="BF362" s="344"/>
      <c r="BG362" s="344"/>
      <c r="BH362" s="344"/>
      <c r="BI362" s="344"/>
      <c r="BJ362" s="344"/>
      <c r="BK362" s="344"/>
      <c r="BL362" s="344"/>
      <c r="BM362" s="344"/>
      <c r="BN362" s="344"/>
      <c r="BO362" s="344"/>
      <c r="BP362" s="344"/>
      <c r="BQ362" s="344"/>
      <c r="BR362" s="344"/>
      <c r="BS362" s="344"/>
      <c r="BT362" s="344"/>
      <c r="BU362" s="344"/>
      <c r="BV362" s="344"/>
      <c r="BW362" s="344"/>
      <c r="BX362" s="344"/>
      <c r="BY362" s="344"/>
      <c r="BZ362" s="344"/>
      <c r="CA362" s="344"/>
      <c r="CB362" s="344"/>
      <c r="CC362" s="344"/>
      <c r="CD362" s="344"/>
      <c r="CE362" s="344"/>
      <c r="CF362" s="344"/>
      <c r="CG362" s="344"/>
      <c r="CH362" s="344"/>
      <c r="CI362" s="344"/>
      <c r="CJ362" s="344"/>
      <c r="CK362" s="344"/>
      <c r="CL362" s="344"/>
      <c r="CM362" s="344"/>
      <c r="CN362" s="344"/>
      <c r="CO362" s="344"/>
      <c r="CP362" s="344"/>
      <c r="CQ362" s="344"/>
      <c r="CR362" s="344"/>
      <c r="CS362" s="344"/>
      <c r="CT362" s="344"/>
      <c r="CU362" s="344"/>
      <c r="CV362" s="344"/>
      <c r="CW362" s="344"/>
      <c r="CX362" s="344"/>
      <c r="CY362" s="344"/>
      <c r="CZ362" s="344"/>
      <c r="DA362" s="344"/>
      <c r="DB362" s="344"/>
      <c r="DC362" s="344"/>
      <c r="DD362" s="344"/>
      <c r="DE362" s="344"/>
      <c r="DF362" s="344"/>
      <c r="DG362" s="344"/>
      <c r="DH362" s="344"/>
      <c r="DI362" s="344"/>
      <c r="DJ362" s="344"/>
      <c r="DK362" s="344"/>
      <c r="DL362" s="344"/>
      <c r="DM362" s="344"/>
      <c r="DN362" s="344"/>
      <c r="DO362" s="344"/>
      <c r="DP362" s="344"/>
      <c r="DQ362" s="344"/>
      <c r="DR362" s="344"/>
      <c r="DS362" s="344"/>
      <c r="DT362" s="344"/>
      <c r="DU362" s="344"/>
      <c r="DV362" s="344"/>
      <c r="DW362" s="344"/>
    </row>
    <row r="363" ht="15.0" customHeight="1">
      <c r="A363" s="394">
        <v>41038.0</v>
      </c>
      <c r="B363" s="302" t="s">
        <v>3486</v>
      </c>
      <c r="C363" s="302" t="s">
        <v>3487</v>
      </c>
      <c r="D363" s="422"/>
      <c r="E363" s="396" t="str">
        <f>IFERROR(__xludf.DUMMYFUNCTION("if(and(D363&lt;&gt;0,D363&lt;&gt;""""),D363/GOOGLEFINANCE(C363,""price"")-1,"""")"),"")</f>
        <v/>
      </c>
      <c r="F363" s="397">
        <f>IFERROR(__xludf.DUMMYFUNCTION("GOOGLEFINANCE(C363,""price"")"),1.65)</f>
        <v>1.65</v>
      </c>
      <c r="G363" s="396" t="str">
        <f t="shared" si="6"/>
        <v/>
      </c>
      <c r="H363" s="398"/>
      <c r="I363" s="398"/>
      <c r="J363" s="403"/>
      <c r="K363" s="403"/>
      <c r="L363" s="410"/>
      <c r="M363" s="402">
        <f t="shared" si="7"/>
        <v>-119.9023034</v>
      </c>
      <c r="N363" s="403">
        <f t="shared" si="8"/>
        <v>0</v>
      </c>
      <c r="O363" s="410"/>
      <c r="P363" s="411"/>
      <c r="Q363" s="402"/>
      <c r="R363" s="412"/>
      <c r="S363" s="412"/>
      <c r="T363" s="412"/>
      <c r="U363" s="413" t="s">
        <v>3488</v>
      </c>
      <c r="V363" s="414"/>
      <c r="W363" s="414"/>
      <c r="X363" s="414"/>
      <c r="Y363" s="414"/>
      <c r="Z363" s="414"/>
      <c r="AA363" s="414"/>
      <c r="AB363" s="414"/>
      <c r="AC363" s="414"/>
      <c r="AD363" s="414"/>
      <c r="AE363" s="414"/>
      <c r="AF363" s="414"/>
      <c r="AG363" s="414"/>
      <c r="AH363" s="414"/>
      <c r="AI363" s="414"/>
      <c r="AJ363" s="414"/>
      <c r="AK363" s="414"/>
      <c r="AL363" s="414"/>
      <c r="AM363" s="414"/>
      <c r="AN363" s="414"/>
      <c r="AO363" s="414"/>
      <c r="AP363" s="414"/>
      <c r="AQ363" s="414"/>
      <c r="AR363" s="414"/>
      <c r="AS363" s="414"/>
      <c r="AT363" s="414"/>
      <c r="AU363" s="414"/>
      <c r="AV363" s="414"/>
      <c r="AW363" s="414"/>
      <c r="AX363" s="414"/>
      <c r="AY363" s="414"/>
      <c r="AZ363" s="414"/>
      <c r="BA363" s="414"/>
      <c r="BB363" s="414"/>
      <c r="BC363" s="414"/>
      <c r="BD363" s="414"/>
      <c r="BE363" s="414"/>
      <c r="BF363" s="414"/>
      <c r="BG363" s="414"/>
      <c r="BH363" s="414"/>
      <c r="BI363" s="414"/>
      <c r="BJ363" s="414"/>
      <c r="BK363" s="414"/>
      <c r="BL363" s="414"/>
      <c r="BM363" s="414"/>
      <c r="BN363" s="414"/>
      <c r="BO363" s="414"/>
      <c r="BP363" s="414"/>
      <c r="BQ363" s="414"/>
      <c r="BR363" s="414"/>
      <c r="BS363" s="414"/>
      <c r="BT363" s="414"/>
      <c r="BU363" s="414"/>
      <c r="BV363" s="414"/>
      <c r="BW363" s="414"/>
      <c r="BX363" s="414"/>
      <c r="BY363" s="414"/>
      <c r="BZ363" s="414"/>
      <c r="CA363" s="414"/>
      <c r="CB363" s="414"/>
      <c r="CC363" s="414"/>
      <c r="CD363" s="414"/>
      <c r="CE363" s="414"/>
      <c r="CF363" s="414"/>
      <c r="CG363" s="414"/>
      <c r="CH363" s="414"/>
      <c r="CI363" s="414"/>
      <c r="CJ363" s="414"/>
      <c r="CK363" s="414"/>
      <c r="CL363" s="414"/>
      <c r="CM363" s="414"/>
      <c r="CN363" s="414"/>
      <c r="CO363" s="414"/>
      <c r="CP363" s="414"/>
      <c r="CQ363" s="414"/>
      <c r="CR363" s="414"/>
      <c r="CS363" s="414"/>
      <c r="CT363" s="414"/>
      <c r="CU363" s="414"/>
      <c r="CV363" s="414"/>
      <c r="CW363" s="414"/>
      <c r="CX363" s="414"/>
      <c r="CY363" s="414"/>
      <c r="CZ363" s="414"/>
      <c r="DA363" s="414"/>
      <c r="DB363" s="414"/>
      <c r="DC363" s="414"/>
      <c r="DD363" s="414"/>
      <c r="DE363" s="414"/>
      <c r="DF363" s="414"/>
      <c r="DG363" s="414"/>
      <c r="DH363" s="414"/>
      <c r="DI363" s="414"/>
      <c r="DJ363" s="414"/>
      <c r="DK363" s="414"/>
      <c r="DL363" s="414"/>
      <c r="DM363" s="414"/>
      <c r="DN363" s="414"/>
      <c r="DO363" s="414"/>
      <c r="DP363" s="414"/>
      <c r="DQ363" s="414"/>
      <c r="DR363" s="414"/>
      <c r="DS363" s="414"/>
      <c r="DT363" s="414"/>
      <c r="DU363" s="414"/>
      <c r="DV363" s="414"/>
      <c r="DW363" s="414"/>
    </row>
    <row r="364" ht="15.0" customHeight="1">
      <c r="A364" s="383">
        <v>41035.0</v>
      </c>
      <c r="B364" s="320" t="s">
        <v>3490</v>
      </c>
      <c r="C364" s="320" t="s">
        <v>1106</v>
      </c>
      <c r="D364" s="373">
        <v>150.0</v>
      </c>
      <c r="E364" s="374">
        <f>IFERROR(__xludf.DUMMYFUNCTION("if(and(D364&lt;&gt;0,D364&lt;&gt;""""),D364/GOOGLEFINANCE(C364,""price"")-1,"""")"),-0.15659263424233905)</f>
        <v>-0.1565926342</v>
      </c>
      <c r="F364" s="375">
        <f>IFERROR(__xludf.DUMMYFUNCTION("GOOGLEFINANCE(C364,""price"")"),177.85)</f>
        <v>177.85</v>
      </c>
      <c r="G364" s="374">
        <f t="shared" si="6"/>
        <v>0.006689519652</v>
      </c>
      <c r="H364" s="376"/>
      <c r="I364" s="368">
        <f>sum(CY364:DS364)</f>
        <v>179.0397311</v>
      </c>
      <c r="J364" s="377">
        <v>5.4</v>
      </c>
      <c r="K364" s="377">
        <v>6.26</v>
      </c>
      <c r="L364" s="378">
        <v>43738.0</v>
      </c>
      <c r="M364" s="379">
        <f t="shared" si="7"/>
        <v>-0.07216636736</v>
      </c>
      <c r="N364" s="380">
        <f t="shared" si="8"/>
        <v>6.322063076</v>
      </c>
      <c r="O364" s="370">
        <v>0.15</v>
      </c>
      <c r="P364" s="370">
        <v>0.2</v>
      </c>
      <c r="Q364" s="371">
        <f>I364/N364</f>
        <v>28.31982676</v>
      </c>
      <c r="R364" s="381">
        <v>8.0</v>
      </c>
      <c r="S364" s="378">
        <v>43684.0</v>
      </c>
      <c r="T364" s="387" t="s">
        <v>1223</v>
      </c>
      <c r="U364" s="382" t="s">
        <v>3491</v>
      </c>
      <c r="V364" s="429">
        <f>O364</f>
        <v>0.15</v>
      </c>
      <c r="W364" s="430">
        <f>max(min(Valu!$C$15,$O364),$O364-max($O364-Valu!$C$15,0)/$R364*(W$3-1))</f>
        <v>0.135</v>
      </c>
      <c r="X364" s="430">
        <f>max(min(Valu!$C$15,$O364),$O364-max($O364-Valu!$C$15,0)/$R364*(X$3-1))</f>
        <v>0.12</v>
      </c>
      <c r="Y364" s="430">
        <f>max(min(Valu!$C$15,$O364),$O364-max($O364-Valu!$C$15,0)/$R364*(Y$3-1))</f>
        <v>0.105</v>
      </c>
      <c r="Z364" s="430">
        <f>max(min(Valu!$C$15,$O364),$O364-max($O364-Valu!$C$15,0)/$R364*(Z$3-1))</f>
        <v>0.09</v>
      </c>
      <c r="AA364" s="430">
        <f>max(min(Valu!$C$15,$O364),$O364-max($O364-Valu!$C$15,0)/$R364*(AA$3-1))</f>
        <v>0.075</v>
      </c>
      <c r="AB364" s="430">
        <f>max(min(Valu!$C$15,$O364),$O364-max($O364-Valu!$C$15,0)/$R364*(AB$3-1))</f>
        <v>0.06</v>
      </c>
      <c r="AC364" s="430">
        <f>max(min(Valu!$C$15,$O364),$O364-max($O364-Valu!$C$15,0)/$R364*(AC$3-1))</f>
        <v>0.045</v>
      </c>
      <c r="AD364" s="430">
        <f>max(min(Valu!$C$15,$O364),$O364-max($O364-Valu!$C$15,0)/$R364*(AD$3-1))</f>
        <v>0.03</v>
      </c>
      <c r="AE364" s="430">
        <f>max(min(Valu!$C$15,$O364),$O364-max($O364-Valu!$C$15,0)/$R364*(AE$3-1))</f>
        <v>0.03</v>
      </c>
      <c r="AF364" s="430">
        <f>max(min(Valu!$C$15,$O364),$O364-max($O364-Valu!$C$15,0)/$R364*(AF$3-1))</f>
        <v>0.03</v>
      </c>
      <c r="AG364" s="430">
        <f>max(min(Valu!$C$15,$O364),$O364-max($O364-Valu!$C$15,0)/$R364*(AG$3-1))</f>
        <v>0.03</v>
      </c>
      <c r="AH364" s="430">
        <f>max(min(Valu!$C$15,$O364),$O364-max($O364-Valu!$C$15,0)/$R364*(AH$3-1))</f>
        <v>0.03</v>
      </c>
      <c r="AI364" s="430">
        <f>max(min(Valu!$C$15,$O364),$O364-max($O364-Valu!$C$15,0)/$R364*(AI$3-1))</f>
        <v>0.03</v>
      </c>
      <c r="AJ364" s="430">
        <f>max(min(Valu!$C$15,$O364),$O364-max($O364-Valu!$C$15,0)/$R364*(AJ$3-1))</f>
        <v>0.03</v>
      </c>
      <c r="AK364" s="430">
        <f>max(min(Valu!$C$15,$O364),$O364-max($O364-Valu!$C$15,0)/$R364*(AK$3-1))</f>
        <v>0.03</v>
      </c>
      <c r="AL364" s="430">
        <f>max(min(Valu!$C$15,$O364),$O364-max($O364-Valu!$C$15,0)/$R364*(AL$3-1))</f>
        <v>0.03</v>
      </c>
      <c r="AM364" s="430">
        <f>max(min(Valu!$C$15,$O364),$O364-max($O364-Valu!$C$15,0)/$R364*(AM$3-1))</f>
        <v>0.03</v>
      </c>
      <c r="AN364" s="430">
        <f>max(min(Valu!$C$15,$O364),$O364-max($O364-Valu!$C$15,0)/$R364*(AN$3-1))</f>
        <v>0.03</v>
      </c>
      <c r="AO364" s="430">
        <f>max(min(Valu!$C$15,$O364),$O364-max($O364-Valu!$C$15,0)/$R364*(AO$3-1))</f>
        <v>0.03</v>
      </c>
      <c r="AP364" s="430">
        <f>max(min(Valu!$C$14,$P364),$P364-max($P364-Valu!$C$14,0)/$R364*(AP$3-1))</f>
        <v>0.2</v>
      </c>
      <c r="AQ364" s="430">
        <f>max(min(Valu!$C$14,$P364),$P364-max($P364-Valu!$C$14,0)/$R364*(AQ$3-1))</f>
        <v>0.19</v>
      </c>
      <c r="AR364" s="430">
        <f>max(min(Valu!$C$14,$P364),$P364-max($P364-Valu!$C$14,0)/$R364*(AR$3-1))</f>
        <v>0.18</v>
      </c>
      <c r="AS364" s="430">
        <f>max(min(Valu!$C$14,$P364),$P364-max($P364-Valu!$C$14,0)/$R364*(AS$3-1))</f>
        <v>0.17</v>
      </c>
      <c r="AT364" s="430">
        <f>max(min(Valu!$C$14,$P364),$P364-max($P364-Valu!$C$14,0)/$R364*(AT$3-1))</f>
        <v>0.16</v>
      </c>
      <c r="AU364" s="430">
        <f>max(min(Valu!$C$14,$P364),$P364-max($P364-Valu!$C$14,0)/$R364*(AU$3-1))</f>
        <v>0.15</v>
      </c>
      <c r="AV364" s="430">
        <f>max(min(Valu!$C$14,$P364),$P364-max($P364-Valu!$C$14,0)/$R364*(AV$3-1))</f>
        <v>0.14</v>
      </c>
      <c r="AW364" s="430">
        <f>max(min(Valu!$C$14,$P364),$P364-max($P364-Valu!$C$14,0)/$R364*(AW$3-1))</f>
        <v>0.13</v>
      </c>
      <c r="AX364" s="430">
        <f>max(min(Valu!$C$14,$P364),$P364-max($P364-Valu!$C$14,0)/$R364*(AX$3-1))</f>
        <v>0.12</v>
      </c>
      <c r="AY364" s="430">
        <f>max(min(Valu!$C$14,$P364),$P364-max($P364-Valu!$C$14,0)/$R364*(AY$3-1))</f>
        <v>0.12</v>
      </c>
      <c r="AZ364" s="430">
        <f>max(min(Valu!$C$14,$P364),$P364-max($P364-Valu!$C$14,0)/$R364*(AZ$3-1))</f>
        <v>0.12</v>
      </c>
      <c r="BA364" s="430">
        <f>max(min(Valu!$C$14,$P364),$P364-max($P364-Valu!$C$14,0)/$R364*(BA$3-1))</f>
        <v>0.12</v>
      </c>
      <c r="BB364" s="430">
        <f>max(min(Valu!$C$14,$P364),$P364-max($P364-Valu!$C$14,0)/$R364*(BB$3-1))</f>
        <v>0.12</v>
      </c>
      <c r="BC364" s="430">
        <f>max(min(Valu!$C$14,$P364),$P364-max($P364-Valu!$C$14,0)/$R364*(BC$3-1))</f>
        <v>0.12</v>
      </c>
      <c r="BD364" s="430">
        <f>max(min(Valu!$C$14,$P364),$P364-max($P364-Valu!$C$14,0)/$R364*(BD$3-1))</f>
        <v>0.12</v>
      </c>
      <c r="BE364" s="430">
        <f>max(min(Valu!$C$14,$P364),$P364-max($P364-Valu!$C$14,0)/$R364*(BE$3-1))</f>
        <v>0.12</v>
      </c>
      <c r="BF364" s="430">
        <f>max(min(Valu!$C$14,$P364),$P364-max($P364-Valu!$C$14,0)/$R364*(BF$3-1))</f>
        <v>0.12</v>
      </c>
      <c r="BG364" s="430">
        <f>max(min(Valu!$C$14,$P364),$P364-max($P364-Valu!$C$14,0)/$R364*(BG$3-1))</f>
        <v>0.12</v>
      </c>
      <c r="BH364" s="430">
        <f>max(min(Valu!$C$14,$P364),$P364-max($P364-Valu!$C$14,0)/$R364*(BH$3-1))</f>
        <v>0.12</v>
      </c>
      <c r="BI364" s="430">
        <f>max(min(Valu!$C$14,$P364),$P364-max($P364-Valu!$C$14,0)/$R364*(BI$3-1))</f>
        <v>0.12</v>
      </c>
      <c r="BJ364" s="431">
        <f>N364</f>
        <v>6.322063076</v>
      </c>
      <c r="BK364" s="432">
        <f>$BJ364*(1+V364)</f>
        <v>7.270372537</v>
      </c>
      <c r="BL364" s="432">
        <f t="shared" ref="BL364:CC364" si="197">BK364*(1+W364)</f>
        <v>8.25187283</v>
      </c>
      <c r="BM364" s="432">
        <f t="shared" si="197"/>
        <v>9.242097569</v>
      </c>
      <c r="BN364" s="432">
        <f t="shared" si="197"/>
        <v>10.21251781</v>
      </c>
      <c r="BO364" s="432">
        <f t="shared" si="197"/>
        <v>11.13164442</v>
      </c>
      <c r="BP364" s="432">
        <f t="shared" si="197"/>
        <v>11.96651775</v>
      </c>
      <c r="BQ364" s="432">
        <f t="shared" si="197"/>
        <v>12.68450881</v>
      </c>
      <c r="BR364" s="432">
        <f t="shared" si="197"/>
        <v>13.25531171</v>
      </c>
      <c r="BS364" s="432">
        <f t="shared" si="197"/>
        <v>13.65297106</v>
      </c>
      <c r="BT364" s="432">
        <f t="shared" si="197"/>
        <v>14.06256019</v>
      </c>
      <c r="BU364" s="432">
        <f t="shared" si="197"/>
        <v>14.484437</v>
      </c>
      <c r="BV364" s="432">
        <f t="shared" si="197"/>
        <v>14.91897011</v>
      </c>
      <c r="BW364" s="432">
        <f t="shared" si="197"/>
        <v>15.36653921</v>
      </c>
      <c r="BX364" s="432">
        <f t="shared" si="197"/>
        <v>15.82753539</v>
      </c>
      <c r="BY364" s="432">
        <f t="shared" si="197"/>
        <v>16.30236145</v>
      </c>
      <c r="BZ364" s="432">
        <f t="shared" si="197"/>
        <v>16.79143229</v>
      </c>
      <c r="CA364" s="432">
        <f t="shared" si="197"/>
        <v>17.29517526</v>
      </c>
      <c r="CB364" s="432">
        <f t="shared" si="197"/>
        <v>17.81403052</v>
      </c>
      <c r="CC364" s="432">
        <f t="shared" si="197"/>
        <v>18.34845144</v>
      </c>
      <c r="CD364" s="432">
        <f t="shared" ref="CD364:CW364" si="198">BJ364*(1-V364/AP364)</f>
        <v>1.580515769</v>
      </c>
      <c r="CE364" s="432">
        <f t="shared" si="198"/>
        <v>2.104581524</v>
      </c>
      <c r="CF364" s="432">
        <f t="shared" si="198"/>
        <v>2.750624277</v>
      </c>
      <c r="CG364" s="432">
        <f t="shared" si="198"/>
        <v>3.533743188</v>
      </c>
      <c r="CH364" s="432">
        <f t="shared" si="198"/>
        <v>4.467976544</v>
      </c>
      <c r="CI364" s="432">
        <f t="shared" si="198"/>
        <v>5.565822209</v>
      </c>
      <c r="CJ364" s="432">
        <f t="shared" si="198"/>
        <v>6.838010142</v>
      </c>
      <c r="CK364" s="432">
        <f t="shared" si="198"/>
        <v>8.293717301</v>
      </c>
      <c r="CL364" s="432">
        <f t="shared" si="198"/>
        <v>9.941483783</v>
      </c>
      <c r="CM364" s="432">
        <f t="shared" si="198"/>
        <v>10.2397283</v>
      </c>
      <c r="CN364" s="432">
        <f t="shared" si="198"/>
        <v>10.54692015</v>
      </c>
      <c r="CO364" s="432">
        <f t="shared" si="198"/>
        <v>10.86332775</v>
      </c>
      <c r="CP364" s="432">
        <f t="shared" si="198"/>
        <v>11.18922758</v>
      </c>
      <c r="CQ364" s="432">
        <f t="shared" si="198"/>
        <v>11.52490441</v>
      </c>
      <c r="CR364" s="432">
        <f t="shared" si="198"/>
        <v>11.87065154</v>
      </c>
      <c r="CS364" s="432">
        <f t="shared" si="198"/>
        <v>12.22677109</v>
      </c>
      <c r="CT364" s="432">
        <f t="shared" si="198"/>
        <v>12.59357422</v>
      </c>
      <c r="CU364" s="432">
        <f t="shared" si="198"/>
        <v>12.97138145</v>
      </c>
      <c r="CV364" s="432">
        <f t="shared" si="198"/>
        <v>13.36052289</v>
      </c>
      <c r="CW364" s="432">
        <f t="shared" si="198"/>
        <v>13.76133858</v>
      </c>
      <c r="CX364" s="432">
        <f>CW364*(1+min(Valu!$C$15,$O364))/(Valu!$C$21-min(Valu!$C$15,$O364))</f>
        <v>373.0047035</v>
      </c>
      <c r="CY364" s="432">
        <f>CD364/(1+Valu!$C$21)^CY$3</f>
        <v>1.479883679</v>
      </c>
      <c r="CZ364" s="432">
        <f>CE364/(1+Valu!$C$21)^CZ$3</f>
        <v>1.845114187</v>
      </c>
      <c r="DA364" s="432">
        <f>CF364/(1+Valu!$C$21)^DA$3</f>
        <v>2.2579666</v>
      </c>
      <c r="DB364" s="432">
        <f>CG364/(1+Valu!$C$21)^DB$3</f>
        <v>2.71612638</v>
      </c>
      <c r="DC364" s="432">
        <f>CH364/(1+Valu!$C$21)^DC$3</f>
        <v>3.215545217</v>
      </c>
      <c r="DD364" s="432">
        <f>CI364/(1+Valu!$C$21)^DD$3</f>
        <v>3.750609188</v>
      </c>
      <c r="DE364" s="432">
        <f>CJ364/(1+Valu!$C$21)^DE$3</f>
        <v>4.314504952</v>
      </c>
      <c r="DF364" s="432">
        <f>CK364/(1+Valu!$C$21)^DF$3</f>
        <v>4.899809624</v>
      </c>
      <c r="DG364" s="432">
        <f>CL364/(1+Valu!$C$21)^DG$3</f>
        <v>5.499331936</v>
      </c>
      <c r="DH364" s="432">
        <f>CM364/(1+Valu!$C$21)^DH$3</f>
        <v>5.303662822</v>
      </c>
      <c r="DI364" s="432">
        <f>CN364/(1+Valu!$C$21)^DI$3</f>
        <v>5.114955718</v>
      </c>
      <c r="DJ364" s="432">
        <f>CO364/(1+Valu!$C$21)^DJ$3</f>
        <v>4.932962911</v>
      </c>
      <c r="DK364" s="432">
        <f>CP364/(1+Valu!$C$21)^DK$3</f>
        <v>4.757445504</v>
      </c>
      <c r="DL364" s="432">
        <f>CQ364/(1+Valu!$C$21)^DL$3</f>
        <v>4.588173099</v>
      </c>
      <c r="DM364" s="432">
        <f>CR364/(1+Valu!$C$21)^DM$3</f>
        <v>4.424923494</v>
      </c>
      <c r="DN364" s="432">
        <f>CS364/(1+Valu!$C$21)^DN$3</f>
        <v>4.267482396</v>
      </c>
      <c r="DO364" s="432">
        <f>CT364/(1+Valu!$C$21)^DO$3</f>
        <v>4.115643135</v>
      </c>
      <c r="DP364" s="432">
        <f>CU364/(1+Valu!$C$21)^DP$3</f>
        <v>3.969206394</v>
      </c>
      <c r="DQ364" s="432">
        <f>CV364/(1+Valu!$C$21)^DQ$3</f>
        <v>3.827979949</v>
      </c>
      <c r="DR364" s="432">
        <f>CW364/(1+Valu!$C$21)^DR$3</f>
        <v>3.691778415</v>
      </c>
      <c r="DS364" s="432">
        <f>CX364/(1+Valu!$C$21)^DS$3</f>
        <v>100.0666255</v>
      </c>
      <c r="DT364" s="367"/>
      <c r="DU364" s="367"/>
      <c r="DV364" s="367"/>
      <c r="DW364" s="367"/>
    </row>
    <row r="365" ht="15.0" customHeight="1">
      <c r="A365" s="383">
        <v>40168.0</v>
      </c>
      <c r="B365" s="320" t="s">
        <v>3503</v>
      </c>
      <c r="C365" s="320" t="s">
        <v>3504</v>
      </c>
      <c r="D365" s="532"/>
      <c r="E365" s="374" t="str">
        <f>IFERROR(__xludf.DUMMYFUNCTION("if(and(D365&lt;&gt;0,D365&lt;&gt;""""),D365/GOOGLEFINANCE(C365,""price"")-1,"""")"),"")</f>
        <v/>
      </c>
      <c r="F365" s="375">
        <f>IFERROR(__xludf.DUMMYFUNCTION("GOOGLEFINANCE(C365,""price"")"),120.3)</f>
        <v>120.3</v>
      </c>
      <c r="G365" s="374">
        <f t="shared" si="6"/>
        <v>-0.4880922693</v>
      </c>
      <c r="H365" s="376">
        <v>35.0</v>
      </c>
      <c r="I365" s="376">
        <f>(3.57*1.15)*15</f>
        <v>61.5825</v>
      </c>
      <c r="J365" s="380"/>
      <c r="K365" s="380"/>
      <c r="L365" s="389"/>
      <c r="M365" s="379">
        <f t="shared" si="7"/>
        <v>-119.9023034</v>
      </c>
      <c r="N365" s="380">
        <f t="shared" si="8"/>
        <v>0</v>
      </c>
      <c r="O365" s="389"/>
      <c r="P365" s="415"/>
      <c r="Q365" s="379"/>
      <c r="R365" s="416"/>
      <c r="S365" s="416"/>
      <c r="T365" s="416"/>
      <c r="U365" s="417" t="s">
        <v>3505</v>
      </c>
      <c r="V365" s="367"/>
      <c r="W365" s="367"/>
      <c r="X365" s="367"/>
      <c r="Y365" s="367"/>
      <c r="Z365" s="367"/>
      <c r="AA365" s="367"/>
      <c r="AB365" s="367"/>
      <c r="AC365" s="367"/>
      <c r="AD365" s="367"/>
      <c r="AE365" s="367"/>
      <c r="AF365" s="367"/>
      <c r="AG365" s="367"/>
      <c r="AH365" s="367"/>
      <c r="AI365" s="367"/>
      <c r="AJ365" s="367"/>
      <c r="AK365" s="367"/>
      <c r="AL365" s="367"/>
      <c r="AM365" s="367"/>
      <c r="AN365" s="367"/>
      <c r="AO365" s="367"/>
      <c r="AP365" s="367"/>
      <c r="AQ365" s="367"/>
      <c r="AR365" s="367"/>
      <c r="AS365" s="367"/>
      <c r="AT365" s="367"/>
      <c r="AU365" s="367"/>
      <c r="AV365" s="367"/>
      <c r="AW365" s="367"/>
      <c r="AX365" s="367"/>
      <c r="AY365" s="367"/>
      <c r="AZ365" s="367"/>
      <c r="BA365" s="367"/>
      <c r="BB365" s="367"/>
      <c r="BC365" s="367"/>
      <c r="BD365" s="367"/>
      <c r="BE365" s="367"/>
      <c r="BF365" s="367"/>
      <c r="BG365" s="367"/>
      <c r="BH365" s="367"/>
      <c r="BI365" s="367"/>
      <c r="BJ365" s="367"/>
      <c r="BK365" s="367"/>
      <c r="BL365" s="367"/>
      <c r="BM365" s="367"/>
      <c r="BN365" s="367"/>
      <c r="BO365" s="367"/>
      <c r="BP365" s="367"/>
      <c r="BQ365" s="367"/>
      <c r="BR365" s="367"/>
      <c r="BS365" s="367"/>
      <c r="BT365" s="367"/>
      <c r="BU365" s="367"/>
      <c r="BV365" s="367"/>
      <c r="BW365" s="367"/>
      <c r="BX365" s="367"/>
      <c r="BY365" s="367"/>
      <c r="BZ365" s="367"/>
      <c r="CA365" s="367"/>
      <c r="CB365" s="367"/>
      <c r="CC365" s="367"/>
      <c r="CD365" s="367"/>
      <c r="CE365" s="367"/>
      <c r="CF365" s="367"/>
      <c r="CG365" s="367"/>
      <c r="CH365" s="367"/>
      <c r="CI365" s="367"/>
      <c r="CJ365" s="367"/>
      <c r="CK365" s="367"/>
      <c r="CL365" s="367"/>
      <c r="CM365" s="367"/>
      <c r="CN365" s="367"/>
      <c r="CO365" s="367"/>
      <c r="CP365" s="367"/>
      <c r="CQ365" s="367"/>
      <c r="CR365" s="367"/>
      <c r="CS365" s="367"/>
      <c r="CT365" s="367"/>
      <c r="CU365" s="367"/>
      <c r="CV365" s="367"/>
      <c r="CW365" s="367"/>
      <c r="CX365" s="367"/>
      <c r="CY365" s="367"/>
      <c r="CZ365" s="367"/>
      <c r="DA365" s="367"/>
      <c r="DB365" s="367"/>
      <c r="DC365" s="367"/>
      <c r="DD365" s="367"/>
      <c r="DE365" s="367"/>
      <c r="DF365" s="367"/>
      <c r="DG365" s="367"/>
      <c r="DH365" s="367"/>
      <c r="DI365" s="367"/>
      <c r="DJ365" s="367"/>
      <c r="DK365" s="367"/>
      <c r="DL365" s="367"/>
      <c r="DM365" s="367"/>
      <c r="DN365" s="367"/>
      <c r="DO365" s="367"/>
      <c r="DP365" s="367"/>
      <c r="DQ365" s="367"/>
      <c r="DR365" s="367"/>
      <c r="DS365" s="367"/>
      <c r="DT365" s="367"/>
      <c r="DU365" s="367"/>
      <c r="DV365" s="367"/>
      <c r="DW365" s="367"/>
    </row>
    <row r="366" ht="15.0" customHeight="1">
      <c r="A366" s="388">
        <v>43650.0</v>
      </c>
      <c r="B366" s="373" t="s">
        <v>3506</v>
      </c>
      <c r="C366" s="373" t="s">
        <v>3507</v>
      </c>
      <c r="D366" s="532"/>
      <c r="E366" s="374" t="str">
        <f>IFERROR(__xludf.DUMMYFUNCTION("if(and(D366&lt;&gt;0,D366&lt;&gt;""""),D366/GOOGLEFINANCE(C366,""price"")-1,"""")"),"")</f>
        <v/>
      </c>
      <c r="F366" s="375">
        <f>IFERROR(__xludf.DUMMYFUNCTION("GOOGLEFINANCE(C366,""price"")"),146.77)</f>
        <v>146.77</v>
      </c>
      <c r="G366" s="374">
        <f t="shared" si="6"/>
        <v>-0.2006210426</v>
      </c>
      <c r="H366" s="376">
        <v>35.0</v>
      </c>
      <c r="I366" s="376">
        <f>N366*($I$1+O366*100)</f>
        <v>117.3248496</v>
      </c>
      <c r="J366" s="385">
        <v>1.6</v>
      </c>
      <c r="K366" s="385">
        <v>1.89</v>
      </c>
      <c r="L366" s="378">
        <v>43861.0</v>
      </c>
      <c r="M366" s="379">
        <f t="shared" si="7"/>
        <v>0.2648199282</v>
      </c>
      <c r="N366" s="380">
        <f t="shared" si="8"/>
        <v>1.813202221</v>
      </c>
      <c r="O366" s="370">
        <v>0.5</v>
      </c>
      <c r="P366" s="370"/>
      <c r="Q366" s="371"/>
      <c r="R366" s="378"/>
      <c r="S366" s="378">
        <v>43650.0</v>
      </c>
      <c r="T366" s="381" t="s">
        <v>1240</v>
      </c>
      <c r="U366" s="382" t="s">
        <v>3508</v>
      </c>
      <c r="V366" s="358"/>
      <c r="W366" s="358"/>
      <c r="X366" s="358"/>
      <c r="Y366" s="358"/>
      <c r="Z366" s="358"/>
      <c r="AA366" s="358"/>
      <c r="AB366" s="358"/>
      <c r="AC366" s="358"/>
      <c r="AD366" s="358"/>
      <c r="AE366" s="358"/>
      <c r="AF366" s="358"/>
      <c r="AG366" s="358"/>
      <c r="AH366" s="358"/>
      <c r="AI366" s="358"/>
      <c r="AJ366" s="358"/>
      <c r="AK366" s="358"/>
      <c r="AL366" s="358"/>
      <c r="AM366" s="358"/>
      <c r="AN366" s="358"/>
      <c r="AO366" s="358"/>
      <c r="AP366" s="358"/>
      <c r="AQ366" s="358"/>
      <c r="AR366" s="358"/>
      <c r="AS366" s="358"/>
      <c r="AT366" s="358"/>
      <c r="AU366" s="358"/>
      <c r="AV366" s="358"/>
      <c r="AW366" s="358"/>
      <c r="AX366" s="358"/>
      <c r="AY366" s="358"/>
      <c r="AZ366" s="358"/>
      <c r="BA366" s="358"/>
      <c r="BB366" s="358"/>
      <c r="BC366" s="358"/>
      <c r="BD366" s="358"/>
      <c r="BE366" s="358"/>
      <c r="BF366" s="358"/>
      <c r="BG366" s="358"/>
      <c r="BH366" s="358"/>
      <c r="BI366" s="358"/>
      <c r="BJ366" s="358"/>
      <c r="BK366" s="358"/>
      <c r="BL366" s="358"/>
      <c r="BM366" s="358"/>
      <c r="BN366" s="358"/>
      <c r="BO366" s="358"/>
      <c r="BP366" s="358"/>
      <c r="BQ366" s="358"/>
      <c r="BR366" s="358"/>
      <c r="BS366" s="358"/>
      <c r="BT366" s="358"/>
      <c r="BU366" s="358"/>
      <c r="BV366" s="358"/>
      <c r="BW366" s="358"/>
      <c r="BX366" s="358"/>
      <c r="BY366" s="358"/>
      <c r="BZ366" s="358"/>
      <c r="CA366" s="358"/>
      <c r="CB366" s="358"/>
      <c r="CC366" s="358"/>
      <c r="CD366" s="358"/>
      <c r="CE366" s="358"/>
      <c r="CF366" s="358"/>
      <c r="CG366" s="358"/>
      <c r="CH366" s="358"/>
      <c r="CI366" s="358"/>
      <c r="CJ366" s="358"/>
      <c r="CK366" s="358"/>
      <c r="CL366" s="358"/>
      <c r="CM366" s="358"/>
      <c r="CN366" s="358"/>
      <c r="CO366" s="358"/>
      <c r="CP366" s="358"/>
      <c r="CQ366" s="358"/>
      <c r="CR366" s="358"/>
      <c r="CS366" s="358"/>
      <c r="CT366" s="358"/>
      <c r="CU366" s="358"/>
      <c r="CV366" s="358"/>
      <c r="CW366" s="358"/>
      <c r="CX366" s="358"/>
      <c r="CY366" s="358"/>
      <c r="CZ366" s="358"/>
      <c r="DA366" s="358"/>
      <c r="DB366" s="358"/>
      <c r="DC366" s="358"/>
      <c r="DD366" s="358"/>
      <c r="DE366" s="358"/>
      <c r="DF366" s="358"/>
      <c r="DG366" s="358"/>
      <c r="DH366" s="358"/>
      <c r="DI366" s="358"/>
      <c r="DJ366" s="358"/>
      <c r="DK366" s="358"/>
      <c r="DL366" s="358"/>
      <c r="DM366" s="358"/>
      <c r="DN366" s="358"/>
      <c r="DO366" s="358"/>
      <c r="DP366" s="358"/>
      <c r="DQ366" s="358"/>
      <c r="DR366" s="358"/>
      <c r="DS366" s="358"/>
      <c r="DT366" s="358"/>
      <c r="DU366" s="358"/>
      <c r="DV366" s="358"/>
      <c r="DW366" s="358"/>
    </row>
    <row r="367" ht="15.0" customHeight="1">
      <c r="A367" s="343">
        <v>42220.0</v>
      </c>
      <c r="B367" s="344" t="s">
        <v>3509</v>
      </c>
      <c r="C367" s="344" t="s">
        <v>3510</v>
      </c>
      <c r="D367" s="344">
        <v>70.0</v>
      </c>
      <c r="E367" s="345">
        <f>IFERROR(__xludf.DUMMYFUNCTION("if(and(D367&lt;&gt;0,D367&lt;&gt;""""),D367/GOOGLEFINANCE(C367,""price"")-1,"""")"),-0.16815210932857994)</f>
        <v>-0.1681521093</v>
      </c>
      <c r="F367" s="364">
        <f>IFERROR(__xludf.DUMMYFUNCTION("GOOGLEFINANCE(C367,""price"")"),84.15)</f>
        <v>84.15</v>
      </c>
      <c r="G367" s="345">
        <f t="shared" si="6"/>
        <v>0.08629548076</v>
      </c>
      <c r="H367" s="347"/>
      <c r="I367" s="347">
        <f>3.7*($I$1+10)</f>
        <v>91.41176471</v>
      </c>
      <c r="J367" s="349"/>
      <c r="K367" s="349"/>
      <c r="L367" s="350"/>
      <c r="M367" s="351">
        <f t="shared" si="7"/>
        <v>-119.9023034</v>
      </c>
      <c r="N367" s="349">
        <f t="shared" si="8"/>
        <v>0</v>
      </c>
      <c r="O367" s="350"/>
      <c r="P367" s="352"/>
      <c r="Q367" s="353"/>
      <c r="R367" s="365"/>
      <c r="S367" s="365"/>
      <c r="T367" s="365"/>
      <c r="U367" s="356" t="s">
        <v>3511</v>
      </c>
      <c r="V367" s="344"/>
      <c r="W367" s="344"/>
      <c r="X367" s="344"/>
      <c r="Y367" s="344"/>
      <c r="Z367" s="344"/>
      <c r="AA367" s="344"/>
      <c r="AB367" s="344"/>
      <c r="AC367" s="344"/>
      <c r="AD367" s="344"/>
      <c r="AE367" s="344"/>
      <c r="AF367" s="344"/>
      <c r="AG367" s="344"/>
      <c r="AH367" s="344"/>
      <c r="AI367" s="344"/>
      <c r="AJ367" s="344"/>
      <c r="AK367" s="344"/>
      <c r="AL367" s="344"/>
      <c r="AM367" s="344"/>
      <c r="AN367" s="344"/>
      <c r="AO367" s="344"/>
      <c r="AP367" s="344"/>
      <c r="AQ367" s="344"/>
      <c r="AR367" s="344"/>
      <c r="AS367" s="344"/>
      <c r="AT367" s="344"/>
      <c r="AU367" s="344"/>
      <c r="AV367" s="344"/>
      <c r="AW367" s="344"/>
      <c r="AX367" s="344"/>
      <c r="AY367" s="344"/>
      <c r="AZ367" s="344"/>
      <c r="BA367" s="344"/>
      <c r="BB367" s="344"/>
      <c r="BC367" s="344"/>
      <c r="BD367" s="344"/>
      <c r="BE367" s="344"/>
      <c r="BF367" s="344"/>
      <c r="BG367" s="344"/>
      <c r="BH367" s="344"/>
      <c r="BI367" s="344"/>
      <c r="BJ367" s="344"/>
      <c r="BK367" s="344"/>
      <c r="BL367" s="344"/>
      <c r="BM367" s="344"/>
      <c r="BN367" s="344"/>
      <c r="BO367" s="344"/>
      <c r="BP367" s="344"/>
      <c r="BQ367" s="344"/>
      <c r="BR367" s="344"/>
      <c r="BS367" s="344"/>
      <c r="BT367" s="344"/>
      <c r="BU367" s="344"/>
      <c r="BV367" s="344"/>
      <c r="BW367" s="344"/>
      <c r="BX367" s="344"/>
      <c r="BY367" s="344"/>
      <c r="BZ367" s="344"/>
      <c r="CA367" s="344"/>
      <c r="CB367" s="344"/>
      <c r="CC367" s="344"/>
      <c r="CD367" s="344"/>
      <c r="CE367" s="344"/>
      <c r="CF367" s="344"/>
      <c r="CG367" s="344"/>
      <c r="CH367" s="344"/>
      <c r="CI367" s="344"/>
      <c r="CJ367" s="344"/>
      <c r="CK367" s="344"/>
      <c r="CL367" s="344"/>
      <c r="CM367" s="344"/>
      <c r="CN367" s="344"/>
      <c r="CO367" s="344"/>
      <c r="CP367" s="344"/>
      <c r="CQ367" s="344"/>
      <c r="CR367" s="344"/>
      <c r="CS367" s="344"/>
      <c r="CT367" s="344"/>
      <c r="CU367" s="344"/>
      <c r="CV367" s="344"/>
      <c r="CW367" s="344"/>
      <c r="CX367" s="344"/>
      <c r="CY367" s="344"/>
      <c r="CZ367" s="344"/>
      <c r="DA367" s="344"/>
      <c r="DB367" s="344"/>
      <c r="DC367" s="344"/>
      <c r="DD367" s="344"/>
      <c r="DE367" s="344"/>
      <c r="DF367" s="344"/>
      <c r="DG367" s="344"/>
      <c r="DH367" s="344"/>
      <c r="DI367" s="344"/>
      <c r="DJ367" s="344"/>
      <c r="DK367" s="344"/>
      <c r="DL367" s="344"/>
      <c r="DM367" s="344"/>
      <c r="DN367" s="344"/>
      <c r="DO367" s="344"/>
      <c r="DP367" s="344"/>
      <c r="DQ367" s="344"/>
      <c r="DR367" s="344"/>
      <c r="DS367" s="344"/>
      <c r="DT367" s="344"/>
      <c r="DU367" s="344"/>
      <c r="DV367" s="344"/>
      <c r="DW367" s="344"/>
    </row>
    <row r="368" ht="15.0" customHeight="1">
      <c r="A368" s="301">
        <v>40179.0</v>
      </c>
      <c r="B368" s="319" t="s">
        <v>3512</v>
      </c>
      <c r="C368" s="319" t="s">
        <v>3513</v>
      </c>
      <c r="D368" s="458"/>
      <c r="E368" s="460" t="str">
        <f>IFERROR(__xludf.DUMMYFUNCTION("if(and(D368&lt;&gt;0,D368&lt;&gt;""""),D368/GOOGLEFINANCE(C368,""price"")-1,"""")"),"")</f>
        <v/>
      </c>
      <c r="F368" s="322">
        <f>IFERROR(__xludf.DUMMYFUNCTION("GOOGLEFINANCE(C368,""price"")"),136.21)</f>
        <v>136.21</v>
      </c>
      <c r="G368" s="536" t="str">
        <f t="shared" si="6"/>
        <v/>
      </c>
      <c r="H368" s="325">
        <v>60.0</v>
      </c>
      <c r="I368" s="325"/>
      <c r="J368" s="313"/>
      <c r="K368" s="313"/>
      <c r="L368" s="314"/>
      <c r="M368" s="312">
        <f t="shared" si="7"/>
        <v>-119.9023034</v>
      </c>
      <c r="N368" s="313">
        <f t="shared" si="8"/>
        <v>0</v>
      </c>
      <c r="O368" s="314"/>
      <c r="P368" s="315"/>
      <c r="Q368" s="312"/>
      <c r="R368" s="316"/>
      <c r="S368" s="316"/>
      <c r="T368" s="316"/>
      <c r="U368" s="317" t="s">
        <v>3514</v>
      </c>
      <c r="V368" s="319"/>
      <c r="W368" s="319"/>
      <c r="X368" s="319"/>
      <c r="Y368" s="319"/>
      <c r="Z368" s="319"/>
      <c r="AA368" s="319"/>
      <c r="AB368" s="319"/>
      <c r="AC368" s="319"/>
      <c r="AD368" s="319"/>
      <c r="AE368" s="319"/>
      <c r="AF368" s="319"/>
      <c r="AG368" s="319"/>
      <c r="AH368" s="319"/>
      <c r="AI368" s="319"/>
      <c r="AJ368" s="319"/>
      <c r="AK368" s="319"/>
      <c r="AL368" s="319"/>
      <c r="AM368" s="319"/>
      <c r="AN368" s="319"/>
      <c r="AO368" s="319"/>
      <c r="AP368" s="319"/>
      <c r="AQ368" s="319"/>
      <c r="AR368" s="319"/>
      <c r="AS368" s="319"/>
      <c r="AT368" s="319"/>
      <c r="AU368" s="319"/>
      <c r="AV368" s="319"/>
      <c r="AW368" s="319"/>
      <c r="AX368" s="319"/>
      <c r="AY368" s="319"/>
      <c r="AZ368" s="319"/>
      <c r="BA368" s="319"/>
      <c r="BB368" s="319"/>
      <c r="BC368" s="319"/>
      <c r="BD368" s="319"/>
      <c r="BE368" s="319"/>
      <c r="BF368" s="319"/>
      <c r="BG368" s="319"/>
      <c r="BH368" s="319"/>
      <c r="BI368" s="319"/>
      <c r="BJ368" s="319"/>
      <c r="BK368" s="319"/>
      <c r="BL368" s="319"/>
      <c r="BM368" s="319"/>
      <c r="BN368" s="319"/>
      <c r="BO368" s="319"/>
      <c r="BP368" s="319"/>
      <c r="BQ368" s="319"/>
      <c r="BR368" s="319"/>
      <c r="BS368" s="319"/>
      <c r="BT368" s="319"/>
      <c r="BU368" s="319"/>
      <c r="BV368" s="319"/>
      <c r="BW368" s="319"/>
      <c r="BX368" s="319"/>
      <c r="BY368" s="319"/>
      <c r="BZ368" s="319"/>
      <c r="CA368" s="319"/>
      <c r="CB368" s="319"/>
      <c r="CC368" s="319"/>
      <c r="CD368" s="319"/>
      <c r="CE368" s="319"/>
      <c r="CF368" s="319"/>
      <c r="CG368" s="319"/>
      <c r="CH368" s="319"/>
      <c r="CI368" s="319"/>
      <c r="CJ368" s="319"/>
      <c r="CK368" s="319"/>
      <c r="CL368" s="319"/>
      <c r="CM368" s="319"/>
      <c r="CN368" s="319"/>
      <c r="CO368" s="319"/>
      <c r="CP368" s="319"/>
      <c r="CQ368" s="319"/>
      <c r="CR368" s="319"/>
      <c r="CS368" s="319"/>
      <c r="CT368" s="319"/>
      <c r="CU368" s="319"/>
      <c r="CV368" s="319"/>
      <c r="CW368" s="319"/>
      <c r="CX368" s="319"/>
      <c r="CY368" s="319"/>
      <c r="CZ368" s="319"/>
      <c r="DA368" s="319"/>
      <c r="DB368" s="319"/>
      <c r="DC368" s="319"/>
      <c r="DD368" s="319"/>
      <c r="DE368" s="319"/>
      <c r="DF368" s="319"/>
      <c r="DG368" s="319"/>
      <c r="DH368" s="319"/>
      <c r="DI368" s="319"/>
      <c r="DJ368" s="319"/>
      <c r="DK368" s="319"/>
      <c r="DL368" s="319"/>
      <c r="DM368" s="319"/>
      <c r="DN368" s="319"/>
      <c r="DO368" s="319"/>
      <c r="DP368" s="319"/>
      <c r="DQ368" s="319"/>
      <c r="DR368" s="319"/>
      <c r="DS368" s="319"/>
      <c r="DT368" s="319"/>
      <c r="DU368" s="319"/>
      <c r="DV368" s="319"/>
      <c r="DW368" s="319"/>
    </row>
    <row r="369" ht="15.0" customHeight="1">
      <c r="A369" s="366">
        <v>41409.0</v>
      </c>
      <c r="B369" s="367" t="s">
        <v>3515</v>
      </c>
      <c r="C369" s="367" t="s">
        <v>1060</v>
      </c>
      <c r="D369" s="344">
        <v>25.0</v>
      </c>
      <c r="E369" s="374">
        <f>IFERROR(__xludf.DUMMYFUNCTION("if(and(D369&lt;&gt;0,D369&lt;&gt;""""),D369/GOOGLEFINANCE(C369,""price"")-1,"""")"),-0.5369512872754214)</f>
        <v>-0.5369512873</v>
      </c>
      <c r="F369" s="364">
        <f>IFERROR(__xludf.DUMMYFUNCTION("GOOGLEFINANCE(C369,""price"")"),53.99)</f>
        <v>53.99</v>
      </c>
      <c r="G369" s="374">
        <f t="shared" si="6"/>
        <v>-0.3517318022</v>
      </c>
      <c r="H369" s="347"/>
      <c r="I369" s="376">
        <f>MIN(70*0.5,(6.6*0.1*$I$1+7.6)/0.2236)</f>
        <v>35</v>
      </c>
      <c r="J369" s="349"/>
      <c r="K369" s="349"/>
      <c r="L369" s="350"/>
      <c r="M369" s="351">
        <f t="shared" si="7"/>
        <v>-119.9023034</v>
      </c>
      <c r="N369" s="349">
        <f t="shared" si="8"/>
        <v>0</v>
      </c>
      <c r="O369" s="350"/>
      <c r="P369" s="352"/>
      <c r="Q369" s="353"/>
      <c r="R369" s="365"/>
      <c r="S369" s="387"/>
      <c r="T369" s="365"/>
      <c r="U369" s="356" t="s">
        <v>3516</v>
      </c>
      <c r="V369" s="344"/>
      <c r="W369" s="344"/>
      <c r="X369" s="344"/>
      <c r="Y369" s="344"/>
      <c r="Z369" s="344"/>
      <c r="AA369" s="344"/>
      <c r="AB369" s="344"/>
      <c r="AC369" s="344"/>
      <c r="AD369" s="344"/>
      <c r="AE369" s="344"/>
      <c r="AF369" s="344"/>
      <c r="AG369" s="344"/>
      <c r="AH369" s="344"/>
      <c r="AI369" s="344"/>
      <c r="AJ369" s="344"/>
      <c r="AK369" s="344"/>
      <c r="AL369" s="344"/>
      <c r="AM369" s="344"/>
      <c r="AN369" s="344"/>
      <c r="AO369" s="344"/>
      <c r="AP369" s="344"/>
      <c r="AQ369" s="344"/>
      <c r="AR369" s="344"/>
      <c r="AS369" s="344"/>
      <c r="AT369" s="344"/>
      <c r="AU369" s="344"/>
      <c r="AV369" s="344"/>
      <c r="AW369" s="344"/>
      <c r="AX369" s="344"/>
      <c r="AY369" s="344"/>
      <c r="AZ369" s="344"/>
      <c r="BA369" s="344"/>
      <c r="BB369" s="344"/>
      <c r="BC369" s="344"/>
      <c r="BD369" s="344"/>
      <c r="BE369" s="344"/>
      <c r="BF369" s="344"/>
      <c r="BG369" s="344"/>
      <c r="BH369" s="344"/>
      <c r="BI369" s="344"/>
      <c r="BJ369" s="344"/>
      <c r="BK369" s="344"/>
      <c r="BL369" s="344"/>
      <c r="BM369" s="344"/>
      <c r="BN369" s="344"/>
      <c r="BO369" s="344"/>
      <c r="BP369" s="344"/>
      <c r="BQ369" s="344"/>
      <c r="BR369" s="344"/>
      <c r="BS369" s="344"/>
      <c r="BT369" s="344"/>
      <c r="BU369" s="344"/>
      <c r="BV369" s="344"/>
      <c r="BW369" s="344"/>
      <c r="BX369" s="344"/>
      <c r="BY369" s="344"/>
      <c r="BZ369" s="344"/>
      <c r="CA369" s="344"/>
      <c r="CB369" s="344"/>
      <c r="CC369" s="344"/>
      <c r="CD369" s="344"/>
      <c r="CE369" s="344"/>
      <c r="CF369" s="344"/>
      <c r="CG369" s="344"/>
      <c r="CH369" s="344"/>
      <c r="CI369" s="344"/>
      <c r="CJ369" s="344"/>
      <c r="CK369" s="344"/>
      <c r="CL369" s="344"/>
      <c r="CM369" s="344"/>
      <c r="CN369" s="344"/>
      <c r="CO369" s="344"/>
      <c r="CP369" s="344"/>
      <c r="CQ369" s="344"/>
      <c r="CR369" s="344"/>
      <c r="CS369" s="344"/>
      <c r="CT369" s="344"/>
      <c r="CU369" s="344"/>
      <c r="CV369" s="344"/>
      <c r="CW369" s="344"/>
      <c r="CX369" s="344"/>
      <c r="CY369" s="344"/>
      <c r="CZ369" s="344"/>
      <c r="DA369" s="344"/>
      <c r="DB369" s="344"/>
      <c r="DC369" s="344"/>
      <c r="DD369" s="344"/>
      <c r="DE369" s="344"/>
      <c r="DF369" s="344"/>
      <c r="DG369" s="344"/>
      <c r="DH369" s="344"/>
      <c r="DI369" s="344"/>
      <c r="DJ369" s="344"/>
      <c r="DK369" s="344"/>
      <c r="DL369" s="344"/>
      <c r="DM369" s="344"/>
      <c r="DN369" s="344"/>
      <c r="DO369" s="344"/>
      <c r="DP369" s="344"/>
      <c r="DQ369" s="344"/>
      <c r="DR369" s="344"/>
      <c r="DS369" s="344"/>
      <c r="DT369" s="344"/>
      <c r="DU369" s="344"/>
      <c r="DV369" s="344"/>
      <c r="DW369" s="344"/>
    </row>
    <row r="370" ht="15.0" customHeight="1">
      <c r="A370" s="494">
        <v>40179.0</v>
      </c>
      <c r="B370" s="414" t="s">
        <v>3517</v>
      </c>
      <c r="C370" s="414" t="s">
        <v>3518</v>
      </c>
      <c r="D370" s="495"/>
      <c r="E370" s="396" t="str">
        <f>IFERROR(__xludf.DUMMYFUNCTION("if(and(D370&lt;&gt;0,D370&lt;&gt;""""),D370/GOOGLEFINANCE(C370,""price"")-1,"""")"),"")</f>
        <v/>
      </c>
      <c r="F370" s="442">
        <f>IFERROR(__xludf.DUMMYFUNCTION("GOOGLEFINANCE(C370,""price"")"),0.03)</f>
        <v>0.03</v>
      </c>
      <c r="G370" s="396" t="str">
        <f t="shared" si="6"/>
        <v/>
      </c>
      <c r="H370" s="443">
        <v>20.0</v>
      </c>
      <c r="I370" s="398"/>
      <c r="J370" s="445"/>
      <c r="K370" s="445"/>
      <c r="L370" s="446"/>
      <c r="M370" s="447">
        <f t="shared" si="7"/>
        <v>-119.9023034</v>
      </c>
      <c r="N370" s="445">
        <f t="shared" si="8"/>
        <v>0</v>
      </c>
      <c r="O370" s="446"/>
      <c r="P370" s="448"/>
      <c r="Q370" s="447"/>
      <c r="R370" s="449"/>
      <c r="S370" s="449"/>
      <c r="T370" s="449"/>
      <c r="U370" s="450" t="s">
        <v>3519</v>
      </c>
      <c r="V370" s="414"/>
      <c r="W370" s="414"/>
      <c r="X370" s="414"/>
      <c r="Y370" s="414"/>
      <c r="Z370" s="414"/>
      <c r="AA370" s="414"/>
      <c r="AB370" s="414"/>
      <c r="AC370" s="414"/>
      <c r="AD370" s="414"/>
      <c r="AE370" s="414"/>
      <c r="AF370" s="414"/>
      <c r="AG370" s="414"/>
      <c r="AH370" s="414"/>
      <c r="AI370" s="414"/>
      <c r="AJ370" s="414"/>
      <c r="AK370" s="414"/>
      <c r="AL370" s="414"/>
      <c r="AM370" s="414"/>
      <c r="AN370" s="414"/>
      <c r="AO370" s="414"/>
      <c r="AP370" s="414"/>
      <c r="AQ370" s="414"/>
      <c r="AR370" s="414"/>
      <c r="AS370" s="414"/>
      <c r="AT370" s="414"/>
      <c r="AU370" s="414"/>
      <c r="AV370" s="414"/>
      <c r="AW370" s="414"/>
      <c r="AX370" s="414"/>
      <c r="AY370" s="414"/>
      <c r="AZ370" s="414"/>
      <c r="BA370" s="414"/>
      <c r="BB370" s="414"/>
      <c r="BC370" s="414"/>
      <c r="BD370" s="414"/>
      <c r="BE370" s="414"/>
      <c r="BF370" s="414"/>
      <c r="BG370" s="414"/>
      <c r="BH370" s="414"/>
      <c r="BI370" s="414"/>
      <c r="BJ370" s="414"/>
      <c r="BK370" s="414"/>
      <c r="BL370" s="414"/>
      <c r="BM370" s="414"/>
      <c r="BN370" s="414"/>
      <c r="BO370" s="414"/>
      <c r="BP370" s="414"/>
      <c r="BQ370" s="414"/>
      <c r="BR370" s="414"/>
      <c r="BS370" s="414"/>
      <c r="BT370" s="414"/>
      <c r="BU370" s="414"/>
      <c r="BV370" s="414"/>
      <c r="BW370" s="414"/>
      <c r="BX370" s="414"/>
      <c r="BY370" s="414"/>
      <c r="BZ370" s="414"/>
      <c r="CA370" s="414"/>
      <c r="CB370" s="414"/>
      <c r="CC370" s="414"/>
      <c r="CD370" s="414"/>
      <c r="CE370" s="414"/>
      <c r="CF370" s="414"/>
      <c r="CG370" s="414"/>
      <c r="CH370" s="414"/>
      <c r="CI370" s="414"/>
      <c r="CJ370" s="414"/>
      <c r="CK370" s="414"/>
      <c r="CL370" s="414"/>
      <c r="CM370" s="414"/>
      <c r="CN370" s="414"/>
      <c r="CO370" s="414"/>
      <c r="CP370" s="414"/>
      <c r="CQ370" s="414"/>
      <c r="CR370" s="414"/>
      <c r="CS370" s="414"/>
      <c r="CT370" s="414"/>
      <c r="CU370" s="414"/>
      <c r="CV370" s="414"/>
      <c r="CW370" s="414"/>
      <c r="CX370" s="414"/>
      <c r="CY370" s="414"/>
      <c r="CZ370" s="414"/>
      <c r="DA370" s="414"/>
      <c r="DB370" s="414"/>
      <c r="DC370" s="414"/>
      <c r="DD370" s="414"/>
      <c r="DE370" s="414"/>
      <c r="DF370" s="414"/>
      <c r="DG370" s="414"/>
      <c r="DH370" s="414"/>
      <c r="DI370" s="414"/>
      <c r="DJ370" s="414"/>
      <c r="DK370" s="414"/>
      <c r="DL370" s="414"/>
      <c r="DM370" s="414"/>
      <c r="DN370" s="414"/>
      <c r="DO370" s="414"/>
      <c r="DP370" s="414"/>
      <c r="DQ370" s="414"/>
      <c r="DR370" s="414"/>
      <c r="DS370" s="414"/>
      <c r="DT370" s="414"/>
      <c r="DU370" s="414"/>
      <c r="DV370" s="414"/>
      <c r="DW370" s="414"/>
    </row>
    <row r="371" ht="15.0" customHeight="1">
      <c r="A371" s="372">
        <v>42788.0</v>
      </c>
      <c r="B371" s="384" t="s">
        <v>3521</v>
      </c>
      <c r="C371" s="384" t="s">
        <v>1141</v>
      </c>
      <c r="D371" s="384">
        <v>85.0</v>
      </c>
      <c r="E371" s="374">
        <f>IFERROR(__xludf.DUMMYFUNCTION("if(and(D371&lt;&gt;0,D371&lt;&gt;""""),D371/GOOGLEFINANCE(C371,""price"")-1,"""")"),-0.4292237442922374)</f>
        <v>-0.4292237443</v>
      </c>
      <c r="F371" s="375">
        <f>IFERROR(__xludf.DUMMYFUNCTION("GOOGLEFINANCE(C371,""price"")"),148.92)</f>
        <v>148.92</v>
      </c>
      <c r="G371" s="374">
        <f t="shared" si="6"/>
        <v>-0.2660606277</v>
      </c>
      <c r="H371" s="376"/>
      <c r="I371" s="376">
        <f t="shared" ref="I371:I372" si="199">N371*($I$1+O371*100)</f>
        <v>109.2982513</v>
      </c>
      <c r="J371" s="377">
        <v>4.42</v>
      </c>
      <c r="K371" s="377">
        <v>4.9</v>
      </c>
      <c r="L371" s="378">
        <v>43830.0</v>
      </c>
      <c r="M371" s="379">
        <f t="shared" si="7"/>
        <v>0.1798884263</v>
      </c>
      <c r="N371" s="380">
        <f t="shared" si="8"/>
        <v>4.813653555</v>
      </c>
      <c r="O371" s="370">
        <v>0.08</v>
      </c>
      <c r="P371" s="370"/>
      <c r="Q371" s="371"/>
      <c r="R371" s="378"/>
      <c r="S371" s="378">
        <v>43596.0</v>
      </c>
      <c r="T371" s="387" t="s">
        <v>1223</v>
      </c>
      <c r="U371" s="382" t="s">
        <v>3522</v>
      </c>
      <c r="V371" s="358"/>
      <c r="W371" s="358"/>
      <c r="X371" s="358"/>
      <c r="Y371" s="358"/>
      <c r="Z371" s="358"/>
      <c r="AA371" s="358"/>
      <c r="AB371" s="358"/>
      <c r="AC371" s="358"/>
      <c r="AD371" s="358"/>
      <c r="AE371" s="358"/>
      <c r="AF371" s="358"/>
      <c r="AG371" s="358"/>
      <c r="AH371" s="358"/>
      <c r="AI371" s="358"/>
      <c r="AJ371" s="358"/>
      <c r="AK371" s="358"/>
      <c r="AL371" s="358"/>
      <c r="AM371" s="358"/>
      <c r="AN371" s="358"/>
      <c r="AO371" s="358"/>
      <c r="AP371" s="358"/>
      <c r="AQ371" s="358"/>
      <c r="AR371" s="358"/>
      <c r="AS371" s="358"/>
      <c r="AT371" s="358"/>
      <c r="AU371" s="358"/>
      <c r="AV371" s="358"/>
      <c r="AW371" s="358"/>
      <c r="AX371" s="358"/>
      <c r="AY371" s="358"/>
      <c r="AZ371" s="358"/>
      <c r="BA371" s="358"/>
      <c r="BB371" s="358"/>
      <c r="BC371" s="358"/>
      <c r="BD371" s="358"/>
      <c r="BE371" s="358"/>
      <c r="BF371" s="358"/>
      <c r="BG371" s="358"/>
      <c r="BH371" s="358"/>
      <c r="BI371" s="358"/>
      <c r="BJ371" s="358"/>
      <c r="BK371" s="358"/>
      <c r="BL371" s="358"/>
      <c r="BM371" s="358"/>
      <c r="BN371" s="358"/>
      <c r="BO371" s="358"/>
      <c r="BP371" s="358"/>
      <c r="BQ371" s="358"/>
      <c r="BR371" s="358"/>
      <c r="BS371" s="358"/>
      <c r="BT371" s="358"/>
      <c r="BU371" s="358"/>
      <c r="BV371" s="358"/>
      <c r="BW371" s="358"/>
      <c r="BX371" s="358"/>
      <c r="BY371" s="358"/>
      <c r="BZ371" s="358"/>
      <c r="CA371" s="358"/>
      <c r="CB371" s="358"/>
      <c r="CC371" s="358"/>
      <c r="CD371" s="358"/>
      <c r="CE371" s="358"/>
      <c r="CF371" s="358"/>
      <c r="CG371" s="358"/>
      <c r="CH371" s="358"/>
      <c r="CI371" s="358"/>
      <c r="CJ371" s="358"/>
      <c r="CK371" s="358"/>
      <c r="CL371" s="358"/>
      <c r="CM371" s="358"/>
      <c r="CN371" s="358"/>
      <c r="CO371" s="358"/>
      <c r="CP371" s="358"/>
      <c r="CQ371" s="358"/>
      <c r="CR371" s="358"/>
      <c r="CS371" s="358"/>
      <c r="CT371" s="358"/>
      <c r="CU371" s="358"/>
      <c r="CV371" s="358"/>
      <c r="CW371" s="358"/>
      <c r="CX371" s="358"/>
      <c r="CY371" s="358"/>
      <c r="CZ371" s="358"/>
      <c r="DA371" s="358"/>
      <c r="DB371" s="358"/>
      <c r="DC371" s="358"/>
      <c r="DD371" s="358"/>
      <c r="DE371" s="358"/>
      <c r="DF371" s="358"/>
      <c r="DG371" s="358"/>
      <c r="DH371" s="358"/>
      <c r="DI371" s="358"/>
      <c r="DJ371" s="358"/>
      <c r="DK371" s="358"/>
      <c r="DL371" s="358"/>
      <c r="DM371" s="358"/>
      <c r="DN371" s="358"/>
      <c r="DO371" s="358"/>
      <c r="DP371" s="358"/>
      <c r="DQ371" s="358"/>
      <c r="DR371" s="358"/>
      <c r="DS371" s="358"/>
      <c r="DT371" s="358"/>
      <c r="DU371" s="358"/>
      <c r="DV371" s="358"/>
      <c r="DW371" s="358"/>
    </row>
    <row r="372" ht="15.0" customHeight="1">
      <c r="A372" s="372">
        <v>42941.0</v>
      </c>
      <c r="B372" s="384" t="s">
        <v>3523</v>
      </c>
      <c r="C372" s="384" t="s">
        <v>1462</v>
      </c>
      <c r="D372" s="373">
        <v>140.0</v>
      </c>
      <c r="E372" s="374">
        <f>IFERROR(__xludf.DUMMYFUNCTION("if(and(D372&lt;&gt;0,D372&lt;&gt;""""),D372/GOOGLEFINANCE(C372,""price"")-1,"""")"),-0.26377787126630203)</f>
        <v>-0.2637778713</v>
      </c>
      <c r="F372" s="375">
        <f>IFERROR(__xludf.DUMMYFUNCTION("GOOGLEFINANCE(C372,""price"")"),190.16)</f>
        <v>190.16</v>
      </c>
      <c r="G372" s="374">
        <f t="shared" si="6"/>
        <v>-0.2621414033</v>
      </c>
      <c r="H372" s="376"/>
      <c r="I372" s="376">
        <f t="shared" si="199"/>
        <v>140.3111908</v>
      </c>
      <c r="J372" s="377">
        <v>4.66</v>
      </c>
      <c r="K372" s="377">
        <v>5.22</v>
      </c>
      <c r="L372" s="378">
        <v>43465.0</v>
      </c>
      <c r="M372" s="379">
        <f t="shared" si="7"/>
        <v>-0.8201115765</v>
      </c>
      <c r="N372" s="380">
        <f t="shared" si="8"/>
        <v>5.679262483</v>
      </c>
      <c r="O372" s="370">
        <v>0.1</v>
      </c>
      <c r="P372" s="370"/>
      <c r="Q372" s="371"/>
      <c r="R372" s="378"/>
      <c r="S372" s="378">
        <v>43582.0</v>
      </c>
      <c r="T372" s="381" t="s">
        <v>1240</v>
      </c>
      <c r="U372" s="382" t="s">
        <v>3524</v>
      </c>
      <c r="V372" s="358"/>
      <c r="W372" s="358"/>
      <c r="X372" s="358"/>
      <c r="Y372" s="358"/>
      <c r="Z372" s="358"/>
      <c r="AA372" s="358"/>
      <c r="AB372" s="358"/>
      <c r="AC372" s="358"/>
      <c r="AD372" s="358"/>
      <c r="AE372" s="358"/>
      <c r="AF372" s="358"/>
      <c r="AG372" s="358"/>
      <c r="AH372" s="358"/>
      <c r="AI372" s="358"/>
      <c r="AJ372" s="358"/>
      <c r="AK372" s="358"/>
      <c r="AL372" s="358"/>
      <c r="AM372" s="358"/>
      <c r="AN372" s="358"/>
      <c r="AO372" s="358"/>
      <c r="AP372" s="358"/>
      <c r="AQ372" s="358"/>
      <c r="AR372" s="358"/>
      <c r="AS372" s="358"/>
      <c r="AT372" s="358"/>
      <c r="AU372" s="358"/>
      <c r="AV372" s="358"/>
      <c r="AW372" s="358"/>
      <c r="AX372" s="358"/>
      <c r="AY372" s="358"/>
      <c r="AZ372" s="358"/>
      <c r="BA372" s="358"/>
      <c r="BB372" s="358"/>
      <c r="BC372" s="358"/>
      <c r="BD372" s="358"/>
      <c r="BE372" s="358"/>
      <c r="BF372" s="358"/>
      <c r="BG372" s="358"/>
      <c r="BH372" s="358"/>
      <c r="BI372" s="358"/>
      <c r="BJ372" s="358"/>
      <c r="BK372" s="358"/>
      <c r="BL372" s="358"/>
      <c r="BM372" s="358"/>
      <c r="BN372" s="358"/>
      <c r="BO372" s="358"/>
      <c r="BP372" s="358"/>
      <c r="BQ372" s="358"/>
      <c r="BR372" s="358"/>
      <c r="BS372" s="358"/>
      <c r="BT372" s="358"/>
      <c r="BU372" s="358"/>
      <c r="BV372" s="358"/>
      <c r="BW372" s="358"/>
      <c r="BX372" s="358"/>
      <c r="BY372" s="358"/>
      <c r="BZ372" s="358"/>
      <c r="CA372" s="358"/>
      <c r="CB372" s="358"/>
      <c r="CC372" s="358"/>
      <c r="CD372" s="358"/>
      <c r="CE372" s="358"/>
      <c r="CF372" s="358"/>
      <c r="CG372" s="358"/>
      <c r="CH372" s="358"/>
      <c r="CI372" s="358"/>
      <c r="CJ372" s="358"/>
      <c r="CK372" s="358"/>
      <c r="CL372" s="358"/>
      <c r="CM372" s="358"/>
      <c r="CN372" s="358"/>
      <c r="CO372" s="358"/>
      <c r="CP372" s="358"/>
      <c r="CQ372" s="358"/>
      <c r="CR372" s="358"/>
      <c r="CS372" s="358"/>
      <c r="CT372" s="358"/>
      <c r="CU372" s="358"/>
      <c r="CV372" s="358"/>
      <c r="CW372" s="358"/>
      <c r="CX372" s="358"/>
      <c r="CY372" s="358"/>
      <c r="CZ372" s="358"/>
      <c r="DA372" s="358"/>
      <c r="DB372" s="358"/>
      <c r="DC372" s="358"/>
      <c r="DD372" s="358"/>
      <c r="DE372" s="358"/>
      <c r="DF372" s="358"/>
      <c r="DG372" s="358"/>
      <c r="DH372" s="358"/>
      <c r="DI372" s="358"/>
      <c r="DJ372" s="358"/>
      <c r="DK372" s="358"/>
      <c r="DL372" s="358"/>
      <c r="DM372" s="358"/>
      <c r="DN372" s="358"/>
      <c r="DO372" s="358"/>
      <c r="DP372" s="358"/>
      <c r="DQ372" s="358"/>
      <c r="DR372" s="358"/>
      <c r="DS372" s="358"/>
      <c r="DT372" s="358"/>
      <c r="DU372" s="358"/>
      <c r="DV372" s="358"/>
      <c r="DW372" s="358"/>
    </row>
    <row r="373" ht="15.0" customHeight="1">
      <c r="A373" s="372">
        <v>41997.0</v>
      </c>
      <c r="B373" s="384" t="s">
        <v>3526</v>
      </c>
      <c r="C373" s="384" t="s">
        <v>2539</v>
      </c>
      <c r="D373" s="384">
        <v>43.5</v>
      </c>
      <c r="E373" s="374">
        <f>IFERROR(__xludf.DUMMYFUNCTION("if(and(D373&lt;&gt;0,D373&lt;&gt;""""),D373/GOOGLEFINANCE(C373,""price"")-1,"""")"),2.0590717299578056)</f>
        <v>2.05907173</v>
      </c>
      <c r="F373" s="375">
        <f>IFERROR(__xludf.DUMMYFUNCTION("GOOGLEFINANCE(C373,""price"")"),14.22)</f>
        <v>14.22</v>
      </c>
      <c r="G373" s="374">
        <f t="shared" si="6"/>
        <v>1.461322082</v>
      </c>
      <c r="H373" s="376"/>
      <c r="I373" s="368">
        <v>35.0</v>
      </c>
      <c r="J373" s="380"/>
      <c r="K373" s="380"/>
      <c r="L373" s="389"/>
      <c r="M373" s="379">
        <f t="shared" si="7"/>
        <v>-119.9023034</v>
      </c>
      <c r="N373" s="380">
        <f t="shared" si="8"/>
        <v>0</v>
      </c>
      <c r="O373" s="389"/>
      <c r="P373" s="390"/>
      <c r="Q373" s="391"/>
      <c r="R373" s="387"/>
      <c r="S373" s="387"/>
      <c r="T373" s="387"/>
      <c r="U373" s="386" t="s">
        <v>3528</v>
      </c>
      <c r="V373" s="344"/>
      <c r="W373" s="344"/>
      <c r="X373" s="344"/>
      <c r="Y373" s="344"/>
      <c r="Z373" s="344"/>
      <c r="AA373" s="344"/>
      <c r="AB373" s="344"/>
      <c r="AC373" s="344"/>
      <c r="AD373" s="344"/>
      <c r="AE373" s="344"/>
      <c r="AF373" s="344"/>
      <c r="AG373" s="344"/>
      <c r="AH373" s="344"/>
      <c r="AI373" s="344"/>
      <c r="AJ373" s="344"/>
      <c r="AK373" s="344"/>
      <c r="AL373" s="344"/>
      <c r="AM373" s="344"/>
      <c r="AN373" s="344"/>
      <c r="AO373" s="344"/>
      <c r="AP373" s="344"/>
      <c r="AQ373" s="344"/>
      <c r="AR373" s="344"/>
      <c r="AS373" s="344"/>
      <c r="AT373" s="344"/>
      <c r="AU373" s="344"/>
      <c r="AV373" s="344"/>
      <c r="AW373" s="344"/>
      <c r="AX373" s="344"/>
      <c r="AY373" s="344"/>
      <c r="AZ373" s="344"/>
      <c r="BA373" s="344"/>
      <c r="BB373" s="344"/>
      <c r="BC373" s="344"/>
      <c r="BD373" s="344"/>
      <c r="BE373" s="344"/>
      <c r="BF373" s="344"/>
      <c r="BG373" s="344"/>
      <c r="BH373" s="344"/>
      <c r="BI373" s="344"/>
      <c r="BJ373" s="344"/>
      <c r="BK373" s="344"/>
      <c r="BL373" s="344"/>
      <c r="BM373" s="344"/>
      <c r="BN373" s="344"/>
      <c r="BO373" s="344"/>
      <c r="BP373" s="344"/>
      <c r="BQ373" s="344"/>
      <c r="BR373" s="344"/>
      <c r="BS373" s="344"/>
      <c r="BT373" s="344"/>
      <c r="BU373" s="344"/>
      <c r="BV373" s="344"/>
      <c r="BW373" s="344"/>
      <c r="BX373" s="344"/>
      <c r="BY373" s="344"/>
      <c r="BZ373" s="344"/>
      <c r="CA373" s="344"/>
      <c r="CB373" s="344"/>
      <c r="CC373" s="344"/>
      <c r="CD373" s="344"/>
      <c r="CE373" s="344"/>
      <c r="CF373" s="344"/>
      <c r="CG373" s="344"/>
      <c r="CH373" s="344"/>
      <c r="CI373" s="344"/>
      <c r="CJ373" s="344"/>
      <c r="CK373" s="344"/>
      <c r="CL373" s="344"/>
      <c r="CM373" s="344"/>
      <c r="CN373" s="344"/>
      <c r="CO373" s="344"/>
      <c r="CP373" s="344"/>
      <c r="CQ373" s="344"/>
      <c r="CR373" s="344"/>
      <c r="CS373" s="344"/>
      <c r="CT373" s="344"/>
      <c r="CU373" s="344"/>
      <c r="CV373" s="344"/>
      <c r="CW373" s="344"/>
      <c r="CX373" s="344"/>
      <c r="CY373" s="344"/>
      <c r="CZ373" s="344"/>
      <c r="DA373" s="344"/>
      <c r="DB373" s="344"/>
      <c r="DC373" s="344"/>
      <c r="DD373" s="344"/>
      <c r="DE373" s="344"/>
      <c r="DF373" s="344"/>
      <c r="DG373" s="344"/>
      <c r="DH373" s="344"/>
      <c r="DI373" s="344"/>
      <c r="DJ373" s="344"/>
      <c r="DK373" s="344"/>
      <c r="DL373" s="344"/>
      <c r="DM373" s="344"/>
      <c r="DN373" s="344"/>
      <c r="DO373" s="344"/>
      <c r="DP373" s="344"/>
      <c r="DQ373" s="344"/>
      <c r="DR373" s="344"/>
      <c r="DS373" s="344"/>
      <c r="DT373" s="344"/>
      <c r="DU373" s="344"/>
      <c r="DV373" s="344"/>
      <c r="DW373" s="344"/>
    </row>
    <row r="374" ht="15.0" customHeight="1">
      <c r="A374" s="372">
        <v>43039.0</v>
      </c>
      <c r="B374" s="384" t="s">
        <v>3530</v>
      </c>
      <c r="C374" s="384" t="s">
        <v>3531</v>
      </c>
      <c r="D374" s="384">
        <v>30.0</v>
      </c>
      <c r="E374" s="374" t="str">
        <f>IFERROR(__xludf.DUMMYFUNCTION("if(and(D374&lt;&gt;0,D374&lt;&gt;""""),D374/GOOGLEFINANCE(C374,""price"")-1,"""")"),"#N/A")</f>
        <v>#N/A</v>
      </c>
      <c r="F374" s="375" t="str">
        <f>IFERROR(__xludf.DUMMYFUNCTION("GOOGLEFINANCE(C374,""price"")"),"#N/A")</f>
        <v>#N/A</v>
      </c>
      <c r="G374" s="374" t="str">
        <f t="shared" si="6"/>
        <v>#N/A</v>
      </c>
      <c r="H374" s="376"/>
      <c r="I374" s="376">
        <f>N374*($I$1+O374*100)</f>
        <v>54.4898179</v>
      </c>
      <c r="J374" s="385">
        <v>2.33</v>
      </c>
      <c r="K374" s="385">
        <v>2.54</v>
      </c>
      <c r="L374" s="409">
        <v>43373.0</v>
      </c>
      <c r="M374" s="379">
        <f t="shared" si="7"/>
        <v>-1.072166373</v>
      </c>
      <c r="N374" s="380">
        <f t="shared" si="8"/>
        <v>2.765154938</v>
      </c>
      <c r="O374" s="390">
        <v>0.05</v>
      </c>
      <c r="P374" s="390"/>
      <c r="Q374" s="391"/>
      <c r="R374" s="409"/>
      <c r="S374" s="409">
        <v>43267.0</v>
      </c>
      <c r="T374" s="387" t="s">
        <v>1223</v>
      </c>
      <c r="U374" s="386" t="s">
        <v>3532</v>
      </c>
      <c r="V374" s="344"/>
      <c r="W374" s="344"/>
      <c r="X374" s="344"/>
      <c r="Y374" s="344"/>
      <c r="Z374" s="344"/>
      <c r="AA374" s="344"/>
      <c r="AB374" s="344"/>
      <c r="AC374" s="344"/>
      <c r="AD374" s="344"/>
      <c r="AE374" s="344"/>
      <c r="AF374" s="344"/>
      <c r="AG374" s="344"/>
      <c r="AH374" s="344"/>
      <c r="AI374" s="344"/>
      <c r="AJ374" s="344"/>
      <c r="AK374" s="344"/>
      <c r="AL374" s="344"/>
      <c r="AM374" s="344"/>
      <c r="AN374" s="344"/>
      <c r="AO374" s="344"/>
      <c r="AP374" s="344"/>
      <c r="AQ374" s="344"/>
      <c r="AR374" s="344"/>
      <c r="AS374" s="344"/>
      <c r="AT374" s="344"/>
      <c r="AU374" s="344"/>
      <c r="AV374" s="344"/>
      <c r="AW374" s="344"/>
      <c r="AX374" s="344"/>
      <c r="AY374" s="344"/>
      <c r="AZ374" s="344"/>
      <c r="BA374" s="344"/>
      <c r="BB374" s="344"/>
      <c r="BC374" s="344"/>
      <c r="BD374" s="344"/>
      <c r="BE374" s="344"/>
      <c r="BF374" s="344"/>
      <c r="BG374" s="344"/>
      <c r="BH374" s="344"/>
      <c r="BI374" s="344"/>
      <c r="BJ374" s="344"/>
      <c r="BK374" s="344"/>
      <c r="BL374" s="344"/>
      <c r="BM374" s="344"/>
      <c r="BN374" s="344"/>
      <c r="BO374" s="344"/>
      <c r="BP374" s="344"/>
      <c r="BQ374" s="344"/>
      <c r="BR374" s="344"/>
      <c r="BS374" s="344"/>
      <c r="BT374" s="344"/>
      <c r="BU374" s="344"/>
      <c r="BV374" s="344"/>
      <c r="BW374" s="344"/>
      <c r="BX374" s="344"/>
      <c r="BY374" s="344"/>
      <c r="BZ374" s="344"/>
      <c r="CA374" s="344"/>
      <c r="CB374" s="344"/>
      <c r="CC374" s="344"/>
      <c r="CD374" s="344"/>
      <c r="CE374" s="344"/>
      <c r="CF374" s="344"/>
      <c r="CG374" s="344"/>
      <c r="CH374" s="344"/>
      <c r="CI374" s="344"/>
      <c r="CJ374" s="344"/>
      <c r="CK374" s="344"/>
      <c r="CL374" s="344"/>
      <c r="CM374" s="344"/>
      <c r="CN374" s="344"/>
      <c r="CO374" s="344"/>
      <c r="CP374" s="344"/>
      <c r="CQ374" s="344"/>
      <c r="CR374" s="344"/>
      <c r="CS374" s="344"/>
      <c r="CT374" s="344"/>
      <c r="CU374" s="344"/>
      <c r="CV374" s="344"/>
      <c r="CW374" s="344"/>
      <c r="CX374" s="344"/>
      <c r="CY374" s="344"/>
      <c r="CZ374" s="344"/>
      <c r="DA374" s="344"/>
      <c r="DB374" s="344"/>
      <c r="DC374" s="344"/>
      <c r="DD374" s="344"/>
      <c r="DE374" s="344"/>
      <c r="DF374" s="344"/>
      <c r="DG374" s="344"/>
      <c r="DH374" s="344"/>
      <c r="DI374" s="344"/>
      <c r="DJ374" s="344"/>
      <c r="DK374" s="344"/>
      <c r="DL374" s="344"/>
      <c r="DM374" s="344"/>
      <c r="DN374" s="344"/>
      <c r="DO374" s="344"/>
      <c r="DP374" s="344"/>
      <c r="DQ374" s="344"/>
      <c r="DR374" s="344"/>
      <c r="DS374" s="344"/>
      <c r="DT374" s="344"/>
      <c r="DU374" s="344"/>
      <c r="DV374" s="344"/>
      <c r="DW374" s="344"/>
    </row>
    <row r="375" ht="15.0" customHeight="1">
      <c r="A375" s="372">
        <v>42652.0</v>
      </c>
      <c r="B375" s="384" t="s">
        <v>3533</v>
      </c>
      <c r="C375" s="384" t="s">
        <v>3380</v>
      </c>
      <c r="D375" s="384">
        <v>20.0</v>
      </c>
      <c r="E375" s="374">
        <f>IFERROR(__xludf.DUMMYFUNCTION("if(and(D375&lt;&gt;0,D375&lt;&gt;""""),D375/GOOGLEFINANCE(C375,""price"")-1,"""")"),-0.06759906759906753)</f>
        <v>-0.0675990676</v>
      </c>
      <c r="F375" s="375">
        <f>IFERROR(__xludf.DUMMYFUNCTION("GOOGLEFINANCE(C375,""price"")"),21.45)</f>
        <v>21.45</v>
      </c>
      <c r="G375" s="374">
        <f t="shared" si="6"/>
        <v>0.3711435623</v>
      </c>
      <c r="H375" s="376"/>
      <c r="I375" s="376">
        <f>(1.35*0.25+0.75*1.54)*($I$1+5)</f>
        <v>29.41102941</v>
      </c>
      <c r="J375" s="380"/>
      <c r="K375" s="380"/>
      <c r="L375" s="389"/>
      <c r="M375" s="379">
        <f t="shared" si="7"/>
        <v>-119.9023034</v>
      </c>
      <c r="N375" s="380">
        <f t="shared" si="8"/>
        <v>0</v>
      </c>
      <c r="O375" s="389"/>
      <c r="P375" s="390"/>
      <c r="Q375" s="391"/>
      <c r="R375" s="387"/>
      <c r="S375" s="387"/>
      <c r="T375" s="387"/>
      <c r="U375" s="386" t="s">
        <v>3535</v>
      </c>
      <c r="V375" s="344"/>
      <c r="W375" s="344"/>
      <c r="X375" s="344"/>
      <c r="Y375" s="344"/>
      <c r="Z375" s="344"/>
      <c r="AA375" s="344"/>
      <c r="AB375" s="344"/>
      <c r="AC375" s="344"/>
      <c r="AD375" s="344"/>
      <c r="AE375" s="344"/>
      <c r="AF375" s="344"/>
      <c r="AG375" s="344"/>
      <c r="AH375" s="344"/>
      <c r="AI375" s="344"/>
      <c r="AJ375" s="344"/>
      <c r="AK375" s="344"/>
      <c r="AL375" s="344"/>
      <c r="AM375" s="344"/>
      <c r="AN375" s="344"/>
      <c r="AO375" s="344"/>
      <c r="AP375" s="344"/>
      <c r="AQ375" s="344"/>
      <c r="AR375" s="344"/>
      <c r="AS375" s="344"/>
      <c r="AT375" s="344"/>
      <c r="AU375" s="344"/>
      <c r="AV375" s="344"/>
      <c r="AW375" s="344"/>
      <c r="AX375" s="344"/>
      <c r="AY375" s="344"/>
      <c r="AZ375" s="344"/>
      <c r="BA375" s="344"/>
      <c r="BB375" s="344"/>
      <c r="BC375" s="344"/>
      <c r="BD375" s="344"/>
      <c r="BE375" s="344"/>
      <c r="BF375" s="344"/>
      <c r="BG375" s="344"/>
      <c r="BH375" s="344"/>
      <c r="BI375" s="344"/>
      <c r="BJ375" s="344"/>
      <c r="BK375" s="344"/>
      <c r="BL375" s="344"/>
      <c r="BM375" s="344"/>
      <c r="BN375" s="344"/>
      <c r="BO375" s="344"/>
      <c r="BP375" s="344"/>
      <c r="BQ375" s="344"/>
      <c r="BR375" s="344"/>
      <c r="BS375" s="344"/>
      <c r="BT375" s="344"/>
      <c r="BU375" s="344"/>
      <c r="BV375" s="344"/>
      <c r="BW375" s="344"/>
      <c r="BX375" s="344"/>
      <c r="BY375" s="344"/>
      <c r="BZ375" s="344"/>
      <c r="CA375" s="344"/>
      <c r="CB375" s="344"/>
      <c r="CC375" s="344"/>
      <c r="CD375" s="344"/>
      <c r="CE375" s="344"/>
      <c r="CF375" s="344"/>
      <c r="CG375" s="344"/>
      <c r="CH375" s="344"/>
      <c r="CI375" s="344"/>
      <c r="CJ375" s="344"/>
      <c r="CK375" s="344"/>
      <c r="CL375" s="344"/>
      <c r="CM375" s="344"/>
      <c r="CN375" s="344"/>
      <c r="CO375" s="344"/>
      <c r="CP375" s="344"/>
      <c r="CQ375" s="344"/>
      <c r="CR375" s="344"/>
      <c r="CS375" s="344"/>
      <c r="CT375" s="344"/>
      <c r="CU375" s="344"/>
      <c r="CV375" s="344"/>
      <c r="CW375" s="344"/>
      <c r="CX375" s="344"/>
      <c r="CY375" s="344"/>
      <c r="CZ375" s="344"/>
      <c r="DA375" s="344"/>
      <c r="DB375" s="344"/>
      <c r="DC375" s="344"/>
      <c r="DD375" s="344"/>
      <c r="DE375" s="344"/>
      <c r="DF375" s="344"/>
      <c r="DG375" s="344"/>
      <c r="DH375" s="344"/>
      <c r="DI375" s="344"/>
      <c r="DJ375" s="344"/>
      <c r="DK375" s="344"/>
      <c r="DL375" s="344"/>
      <c r="DM375" s="344"/>
      <c r="DN375" s="344"/>
      <c r="DO375" s="344"/>
      <c r="DP375" s="344"/>
      <c r="DQ375" s="344"/>
      <c r="DR375" s="344"/>
      <c r="DS375" s="344"/>
      <c r="DT375" s="344"/>
      <c r="DU375" s="344"/>
      <c r="DV375" s="344"/>
      <c r="DW375" s="344"/>
    </row>
    <row r="376" ht="15.0" customHeight="1">
      <c r="A376" s="372">
        <v>42206.0</v>
      </c>
      <c r="B376" s="384" t="s">
        <v>3536</v>
      </c>
      <c r="C376" s="384" t="s">
        <v>3537</v>
      </c>
      <c r="D376" s="384">
        <v>65.0</v>
      </c>
      <c r="E376" s="374">
        <f>IFERROR(__xludf.DUMMYFUNCTION("if(and(D376&lt;&gt;0,D376&lt;&gt;""""),D376/GOOGLEFINANCE(C376,""price"")-1,"""")"),-0.07801418439716312)</f>
        <v>-0.0780141844</v>
      </c>
      <c r="F376" s="375">
        <f>IFERROR(__xludf.DUMMYFUNCTION("GOOGLEFINANCE(C376,""price"")"),70.5)</f>
        <v>70.5</v>
      </c>
      <c r="G376" s="374">
        <f t="shared" si="6"/>
        <v>0.5244055069</v>
      </c>
      <c r="H376" s="376"/>
      <c r="I376" s="376">
        <f>4.35*($I$1+10)</f>
        <v>107.4705882</v>
      </c>
      <c r="J376" s="380"/>
      <c r="K376" s="380"/>
      <c r="L376" s="389"/>
      <c r="M376" s="379">
        <f t="shared" si="7"/>
        <v>-119.9023034</v>
      </c>
      <c r="N376" s="380">
        <f t="shared" si="8"/>
        <v>0</v>
      </c>
      <c r="O376" s="389"/>
      <c r="P376" s="390"/>
      <c r="Q376" s="391"/>
      <c r="R376" s="387"/>
      <c r="S376" s="387"/>
      <c r="T376" s="387"/>
      <c r="U376" s="386" t="s">
        <v>3538</v>
      </c>
      <c r="V376" s="344"/>
      <c r="W376" s="344"/>
      <c r="X376" s="344"/>
      <c r="Y376" s="344"/>
      <c r="Z376" s="344"/>
      <c r="AA376" s="344"/>
      <c r="AB376" s="344"/>
      <c r="AC376" s="344"/>
      <c r="AD376" s="344"/>
      <c r="AE376" s="344"/>
      <c r="AF376" s="344"/>
      <c r="AG376" s="344"/>
      <c r="AH376" s="344"/>
      <c r="AI376" s="344"/>
      <c r="AJ376" s="344"/>
      <c r="AK376" s="344"/>
      <c r="AL376" s="344"/>
      <c r="AM376" s="344"/>
      <c r="AN376" s="344"/>
      <c r="AO376" s="344"/>
      <c r="AP376" s="344"/>
      <c r="AQ376" s="344"/>
      <c r="AR376" s="344"/>
      <c r="AS376" s="344"/>
      <c r="AT376" s="344"/>
      <c r="AU376" s="344"/>
      <c r="AV376" s="344"/>
      <c r="AW376" s="344"/>
      <c r="AX376" s="344"/>
      <c r="AY376" s="344"/>
      <c r="AZ376" s="344"/>
      <c r="BA376" s="344"/>
      <c r="BB376" s="344"/>
      <c r="BC376" s="344"/>
      <c r="BD376" s="344"/>
      <c r="BE376" s="344"/>
      <c r="BF376" s="344"/>
      <c r="BG376" s="344"/>
      <c r="BH376" s="344"/>
      <c r="BI376" s="344"/>
      <c r="BJ376" s="344"/>
      <c r="BK376" s="344"/>
      <c r="BL376" s="344"/>
      <c r="BM376" s="344"/>
      <c r="BN376" s="344"/>
      <c r="BO376" s="344"/>
      <c r="BP376" s="344"/>
      <c r="BQ376" s="344"/>
      <c r="BR376" s="344"/>
      <c r="BS376" s="344"/>
      <c r="BT376" s="344"/>
      <c r="BU376" s="344"/>
      <c r="BV376" s="344"/>
      <c r="BW376" s="344"/>
      <c r="BX376" s="344"/>
      <c r="BY376" s="344"/>
      <c r="BZ376" s="344"/>
      <c r="CA376" s="344"/>
      <c r="CB376" s="344"/>
      <c r="CC376" s="344"/>
      <c r="CD376" s="344"/>
      <c r="CE376" s="344"/>
      <c r="CF376" s="344"/>
      <c r="CG376" s="344"/>
      <c r="CH376" s="344"/>
      <c r="CI376" s="344"/>
      <c r="CJ376" s="344"/>
      <c r="CK376" s="344"/>
      <c r="CL376" s="344"/>
      <c r="CM376" s="344"/>
      <c r="CN376" s="344"/>
      <c r="CO376" s="344"/>
      <c r="CP376" s="344"/>
      <c r="CQ376" s="344"/>
      <c r="CR376" s="344"/>
      <c r="CS376" s="344"/>
      <c r="CT376" s="344"/>
      <c r="CU376" s="344"/>
      <c r="CV376" s="344"/>
      <c r="CW376" s="344"/>
      <c r="CX376" s="344"/>
      <c r="CY376" s="344"/>
      <c r="CZ376" s="344"/>
      <c r="DA376" s="344"/>
      <c r="DB376" s="344"/>
      <c r="DC376" s="344"/>
      <c r="DD376" s="344"/>
      <c r="DE376" s="344"/>
      <c r="DF376" s="344"/>
      <c r="DG376" s="344"/>
      <c r="DH376" s="344"/>
      <c r="DI376" s="344"/>
      <c r="DJ376" s="344"/>
      <c r="DK376" s="344"/>
      <c r="DL376" s="344"/>
      <c r="DM376" s="344"/>
      <c r="DN376" s="344"/>
      <c r="DO376" s="344"/>
      <c r="DP376" s="344"/>
      <c r="DQ376" s="344"/>
      <c r="DR376" s="344"/>
      <c r="DS376" s="344"/>
      <c r="DT376" s="344"/>
      <c r="DU376" s="344"/>
      <c r="DV376" s="344"/>
      <c r="DW376" s="344"/>
    </row>
    <row r="377" ht="15.0" customHeight="1">
      <c r="A377" s="394">
        <v>40168.0</v>
      </c>
      <c r="B377" s="302" t="s">
        <v>3539</v>
      </c>
      <c r="C377" s="302" t="s">
        <v>3540</v>
      </c>
      <c r="D377" s="422"/>
      <c r="E377" s="396" t="str">
        <f>IFERROR(__xludf.DUMMYFUNCTION("if(and(D377&lt;&gt;0,D377&lt;&gt;""""),D377/GOOGLEFINANCE(C377,""price"")-1,"""")"),"")</f>
        <v/>
      </c>
      <c r="F377" s="397">
        <f>IFERROR(__xludf.DUMMYFUNCTION("GOOGLEFINANCE(C377,""price"")"),218.11)</f>
        <v>218.11</v>
      </c>
      <c r="G377" s="396" t="str">
        <f t="shared" si="6"/>
        <v/>
      </c>
      <c r="H377" s="398">
        <v>35.0</v>
      </c>
      <c r="I377" s="398"/>
      <c r="J377" s="403"/>
      <c r="K377" s="403"/>
      <c r="L377" s="410"/>
      <c r="M377" s="402">
        <f t="shared" si="7"/>
        <v>-119.9023034</v>
      </c>
      <c r="N377" s="403">
        <f t="shared" si="8"/>
        <v>0</v>
      </c>
      <c r="O377" s="410"/>
      <c r="P377" s="411"/>
      <c r="Q377" s="402"/>
      <c r="R377" s="412"/>
      <c r="S377" s="412"/>
      <c r="T377" s="412"/>
      <c r="U377" s="413" t="s">
        <v>3541</v>
      </c>
      <c r="V377" s="414"/>
      <c r="W377" s="414"/>
      <c r="X377" s="414"/>
      <c r="Y377" s="414"/>
      <c r="Z377" s="414"/>
      <c r="AA377" s="414"/>
      <c r="AB377" s="414"/>
      <c r="AC377" s="414"/>
      <c r="AD377" s="414"/>
      <c r="AE377" s="414"/>
      <c r="AF377" s="414"/>
      <c r="AG377" s="414"/>
      <c r="AH377" s="414"/>
      <c r="AI377" s="414"/>
      <c r="AJ377" s="414"/>
      <c r="AK377" s="414"/>
      <c r="AL377" s="414"/>
      <c r="AM377" s="414"/>
      <c r="AN377" s="414"/>
      <c r="AO377" s="414"/>
      <c r="AP377" s="414"/>
      <c r="AQ377" s="414"/>
      <c r="AR377" s="414"/>
      <c r="AS377" s="414"/>
      <c r="AT377" s="414"/>
      <c r="AU377" s="414"/>
      <c r="AV377" s="414"/>
      <c r="AW377" s="414"/>
      <c r="AX377" s="414"/>
      <c r="AY377" s="414"/>
      <c r="AZ377" s="414"/>
      <c r="BA377" s="414"/>
      <c r="BB377" s="414"/>
      <c r="BC377" s="414"/>
      <c r="BD377" s="414"/>
      <c r="BE377" s="414"/>
      <c r="BF377" s="414"/>
      <c r="BG377" s="414"/>
      <c r="BH377" s="414"/>
      <c r="BI377" s="414"/>
      <c r="BJ377" s="414"/>
      <c r="BK377" s="414"/>
      <c r="BL377" s="414"/>
      <c r="BM377" s="414"/>
      <c r="BN377" s="414"/>
      <c r="BO377" s="414"/>
      <c r="BP377" s="414"/>
      <c r="BQ377" s="414"/>
      <c r="BR377" s="414"/>
      <c r="BS377" s="414"/>
      <c r="BT377" s="414"/>
      <c r="BU377" s="414"/>
      <c r="BV377" s="414"/>
      <c r="BW377" s="414"/>
      <c r="BX377" s="414"/>
      <c r="BY377" s="414"/>
      <c r="BZ377" s="414"/>
      <c r="CA377" s="414"/>
      <c r="CB377" s="414"/>
      <c r="CC377" s="414"/>
      <c r="CD377" s="414"/>
      <c r="CE377" s="414"/>
      <c r="CF377" s="414"/>
      <c r="CG377" s="414"/>
      <c r="CH377" s="414"/>
      <c r="CI377" s="414"/>
      <c r="CJ377" s="414"/>
      <c r="CK377" s="414"/>
      <c r="CL377" s="414"/>
      <c r="CM377" s="414"/>
      <c r="CN377" s="414"/>
      <c r="CO377" s="414"/>
      <c r="CP377" s="414"/>
      <c r="CQ377" s="414"/>
      <c r="CR377" s="414"/>
      <c r="CS377" s="414"/>
      <c r="CT377" s="414"/>
      <c r="CU377" s="414"/>
      <c r="CV377" s="414"/>
      <c r="CW377" s="414"/>
      <c r="CX377" s="414"/>
      <c r="CY377" s="414"/>
      <c r="CZ377" s="414"/>
      <c r="DA377" s="414"/>
      <c r="DB377" s="414"/>
      <c r="DC377" s="414"/>
      <c r="DD377" s="414"/>
      <c r="DE377" s="414"/>
      <c r="DF377" s="414"/>
      <c r="DG377" s="414"/>
      <c r="DH377" s="414"/>
      <c r="DI377" s="414"/>
      <c r="DJ377" s="414"/>
      <c r="DK377" s="414"/>
      <c r="DL377" s="414"/>
      <c r="DM377" s="414"/>
      <c r="DN377" s="414"/>
      <c r="DO377" s="414"/>
      <c r="DP377" s="414"/>
      <c r="DQ377" s="414"/>
      <c r="DR377" s="414"/>
      <c r="DS377" s="414"/>
      <c r="DT377" s="414"/>
      <c r="DU377" s="414"/>
      <c r="DV377" s="414"/>
      <c r="DW377" s="414"/>
    </row>
    <row r="378" ht="15.0" customHeight="1">
      <c r="A378" s="372">
        <v>42128.0</v>
      </c>
      <c r="B378" s="384" t="s">
        <v>3543</v>
      </c>
      <c r="C378" s="384" t="s">
        <v>2966</v>
      </c>
      <c r="D378" s="384">
        <v>60.0</v>
      </c>
      <c r="E378" s="374">
        <f>IFERROR(__xludf.DUMMYFUNCTION("if(and(D378&lt;&gt;0,D378&lt;&gt;""""),D378/GOOGLEFINANCE(C378,""price"")-1,"""")"),0.0826416456153014)</f>
        <v>0.08264164562</v>
      </c>
      <c r="F378" s="375">
        <f>IFERROR(__xludf.DUMMYFUNCTION("GOOGLEFINANCE(C378,""price"")"),55.42)</f>
        <v>55.42</v>
      </c>
      <c r="G378" s="374">
        <f t="shared" si="6"/>
        <v>0.8440627638</v>
      </c>
      <c r="H378" s="376"/>
      <c r="I378" s="376">
        <f>N378*($I$1+O378*100)</f>
        <v>102.1979584</v>
      </c>
      <c r="J378" s="385">
        <v>5.98</v>
      </c>
      <c r="K378" s="385">
        <v>6.43</v>
      </c>
      <c r="L378" s="409">
        <v>43343.0</v>
      </c>
      <c r="M378" s="379">
        <f t="shared" si="7"/>
        <v>-1.154358154</v>
      </c>
      <c r="N378" s="380">
        <f t="shared" si="8"/>
        <v>6.949461169</v>
      </c>
      <c r="O378" s="390">
        <v>0.0</v>
      </c>
      <c r="P378" s="390"/>
      <c r="Q378" s="391"/>
      <c r="R378" s="409"/>
      <c r="S378" s="409">
        <v>43284.0</v>
      </c>
      <c r="T378" s="387"/>
      <c r="U378" s="386" t="s">
        <v>3546</v>
      </c>
      <c r="V378" s="344"/>
      <c r="W378" s="344"/>
      <c r="X378" s="344"/>
      <c r="Y378" s="344"/>
      <c r="Z378" s="344"/>
      <c r="AA378" s="344"/>
      <c r="AB378" s="344"/>
      <c r="AC378" s="344"/>
      <c r="AD378" s="344"/>
      <c r="AE378" s="344"/>
      <c r="AF378" s="344"/>
      <c r="AG378" s="344"/>
      <c r="AH378" s="344"/>
      <c r="AI378" s="344"/>
      <c r="AJ378" s="344"/>
      <c r="AK378" s="344"/>
      <c r="AL378" s="344"/>
      <c r="AM378" s="344"/>
      <c r="AN378" s="344"/>
      <c r="AO378" s="344"/>
      <c r="AP378" s="344"/>
      <c r="AQ378" s="344"/>
      <c r="AR378" s="344"/>
      <c r="AS378" s="344"/>
      <c r="AT378" s="344"/>
      <c r="AU378" s="344"/>
      <c r="AV378" s="344"/>
      <c r="AW378" s="344"/>
      <c r="AX378" s="344"/>
      <c r="AY378" s="344"/>
      <c r="AZ378" s="344"/>
      <c r="BA378" s="344"/>
      <c r="BB378" s="344"/>
      <c r="BC378" s="344"/>
      <c r="BD378" s="344"/>
      <c r="BE378" s="344"/>
      <c r="BF378" s="344"/>
      <c r="BG378" s="344"/>
      <c r="BH378" s="344"/>
      <c r="BI378" s="344"/>
      <c r="BJ378" s="344"/>
      <c r="BK378" s="344"/>
      <c r="BL378" s="344"/>
      <c r="BM378" s="344"/>
      <c r="BN378" s="344"/>
      <c r="BO378" s="344"/>
      <c r="BP378" s="344"/>
      <c r="BQ378" s="344"/>
      <c r="BR378" s="344"/>
      <c r="BS378" s="344"/>
      <c r="BT378" s="344"/>
      <c r="BU378" s="344"/>
      <c r="BV378" s="344"/>
      <c r="BW378" s="344"/>
      <c r="BX378" s="344"/>
      <c r="BY378" s="344"/>
      <c r="BZ378" s="344"/>
      <c r="CA378" s="344"/>
      <c r="CB378" s="344"/>
      <c r="CC378" s="344"/>
      <c r="CD378" s="344"/>
      <c r="CE378" s="344"/>
      <c r="CF378" s="344"/>
      <c r="CG378" s="344"/>
      <c r="CH378" s="344"/>
      <c r="CI378" s="344"/>
      <c r="CJ378" s="344"/>
      <c r="CK378" s="344"/>
      <c r="CL378" s="344"/>
      <c r="CM378" s="344"/>
      <c r="CN378" s="344"/>
      <c r="CO378" s="344"/>
      <c r="CP378" s="344"/>
      <c r="CQ378" s="344"/>
      <c r="CR378" s="344"/>
      <c r="CS378" s="344"/>
      <c r="CT378" s="344"/>
      <c r="CU378" s="344"/>
      <c r="CV378" s="344"/>
      <c r="CW378" s="344"/>
      <c r="CX378" s="344"/>
      <c r="CY378" s="344"/>
      <c r="CZ378" s="344"/>
      <c r="DA378" s="344"/>
      <c r="DB378" s="344"/>
      <c r="DC378" s="344"/>
      <c r="DD378" s="344"/>
      <c r="DE378" s="344"/>
      <c r="DF378" s="344"/>
      <c r="DG378" s="344"/>
      <c r="DH378" s="344"/>
      <c r="DI378" s="344"/>
      <c r="DJ378" s="344"/>
      <c r="DK378" s="344"/>
      <c r="DL378" s="344"/>
      <c r="DM378" s="344"/>
      <c r="DN378" s="344"/>
      <c r="DO378" s="344"/>
      <c r="DP378" s="344"/>
      <c r="DQ378" s="344"/>
      <c r="DR378" s="344"/>
      <c r="DS378" s="344"/>
      <c r="DT378" s="344"/>
      <c r="DU378" s="344"/>
      <c r="DV378" s="344"/>
      <c r="DW378" s="344"/>
    </row>
    <row r="379" ht="15.0" customHeight="1">
      <c r="A379" s="388">
        <v>43623.0</v>
      </c>
      <c r="B379" s="373" t="s">
        <v>3547</v>
      </c>
      <c r="C379" s="373" t="s">
        <v>2185</v>
      </c>
      <c r="D379" s="384"/>
      <c r="E379" s="374" t="str">
        <f>IFERROR(__xludf.DUMMYFUNCTION("if(and(D379&lt;&gt;0,D379&lt;&gt;""""),D379/GOOGLEFINANCE(C379,""price"")-1,"""")"),"")</f>
        <v/>
      </c>
      <c r="F379" s="375">
        <f>IFERROR(__xludf.DUMMYFUNCTION("GOOGLEFINANCE(C379,""price"")"),160.75)</f>
        <v>160.75</v>
      </c>
      <c r="G379" s="374">
        <f t="shared" si="6"/>
        <v>-0.4022780565</v>
      </c>
      <c r="H379" s="376"/>
      <c r="I379" s="368">
        <f>sum(CY379:DS379)</f>
        <v>96.08380242</v>
      </c>
      <c r="J379" s="377">
        <v>1.69</v>
      </c>
      <c r="K379" s="377">
        <v>2.24</v>
      </c>
      <c r="L379" s="378">
        <v>43708.0</v>
      </c>
      <c r="M379" s="379">
        <f t="shared" si="7"/>
        <v>-0.154358154</v>
      </c>
      <c r="N379" s="380">
        <f t="shared" si="8"/>
        <v>2.324896985</v>
      </c>
      <c r="O379" s="370">
        <v>0.3</v>
      </c>
      <c r="P379" s="370">
        <v>0.15</v>
      </c>
      <c r="Q379" s="371">
        <f>I379/N379</f>
        <v>41.32819779</v>
      </c>
      <c r="R379" s="381">
        <v>8.0</v>
      </c>
      <c r="S379" s="378">
        <v>43676.0</v>
      </c>
      <c r="T379" s="381" t="s">
        <v>1240</v>
      </c>
      <c r="U379" s="382" t="s">
        <v>3549</v>
      </c>
      <c r="V379" s="429">
        <f>O379</f>
        <v>0.3</v>
      </c>
      <c r="W379" s="430">
        <f>max(min(Valu!$C$15,$O379),$O379-max($O379-Valu!$C$15,0)/$R379*(W$3-1))</f>
        <v>0.26625</v>
      </c>
      <c r="X379" s="430">
        <f>max(min(Valu!$C$15,$O379),$O379-max($O379-Valu!$C$15,0)/$R379*(X$3-1))</f>
        <v>0.2325</v>
      </c>
      <c r="Y379" s="430">
        <f>max(min(Valu!$C$15,$O379),$O379-max($O379-Valu!$C$15,0)/$R379*(Y$3-1))</f>
        <v>0.19875</v>
      </c>
      <c r="Z379" s="430">
        <f>max(min(Valu!$C$15,$O379),$O379-max($O379-Valu!$C$15,0)/$R379*(Z$3-1))</f>
        <v>0.165</v>
      </c>
      <c r="AA379" s="430">
        <f>max(min(Valu!$C$15,$O379),$O379-max($O379-Valu!$C$15,0)/$R379*(AA$3-1))</f>
        <v>0.13125</v>
      </c>
      <c r="AB379" s="430">
        <f>max(min(Valu!$C$15,$O379),$O379-max($O379-Valu!$C$15,0)/$R379*(AB$3-1))</f>
        <v>0.0975</v>
      </c>
      <c r="AC379" s="430">
        <f>max(min(Valu!$C$15,$O379),$O379-max($O379-Valu!$C$15,0)/$R379*(AC$3-1))</f>
        <v>0.06375</v>
      </c>
      <c r="AD379" s="430">
        <f>max(min(Valu!$C$15,$O379),$O379-max($O379-Valu!$C$15,0)/$R379*(AD$3-1))</f>
        <v>0.03</v>
      </c>
      <c r="AE379" s="430">
        <f>max(min(Valu!$C$15,$O379),$O379-max($O379-Valu!$C$15,0)/$R379*(AE$3-1))</f>
        <v>0.03</v>
      </c>
      <c r="AF379" s="430">
        <f>max(min(Valu!$C$15,$O379),$O379-max($O379-Valu!$C$15,0)/$R379*(AF$3-1))</f>
        <v>0.03</v>
      </c>
      <c r="AG379" s="430">
        <f>max(min(Valu!$C$15,$O379),$O379-max($O379-Valu!$C$15,0)/$R379*(AG$3-1))</f>
        <v>0.03</v>
      </c>
      <c r="AH379" s="430">
        <f>max(min(Valu!$C$15,$O379),$O379-max($O379-Valu!$C$15,0)/$R379*(AH$3-1))</f>
        <v>0.03</v>
      </c>
      <c r="AI379" s="430">
        <f>max(min(Valu!$C$15,$O379),$O379-max($O379-Valu!$C$15,0)/$R379*(AI$3-1))</f>
        <v>0.03</v>
      </c>
      <c r="AJ379" s="430">
        <f>max(min(Valu!$C$15,$O379),$O379-max($O379-Valu!$C$15,0)/$R379*(AJ$3-1))</f>
        <v>0.03</v>
      </c>
      <c r="AK379" s="430">
        <f>max(min(Valu!$C$15,$O379),$O379-max($O379-Valu!$C$15,0)/$R379*(AK$3-1))</f>
        <v>0.03</v>
      </c>
      <c r="AL379" s="430">
        <f>max(min(Valu!$C$15,$O379),$O379-max($O379-Valu!$C$15,0)/$R379*(AL$3-1))</f>
        <v>0.03</v>
      </c>
      <c r="AM379" s="430">
        <f>max(min(Valu!$C$15,$O379),$O379-max($O379-Valu!$C$15,0)/$R379*(AM$3-1))</f>
        <v>0.03</v>
      </c>
      <c r="AN379" s="430">
        <f>max(min(Valu!$C$15,$O379),$O379-max($O379-Valu!$C$15,0)/$R379*(AN$3-1))</f>
        <v>0.03</v>
      </c>
      <c r="AO379" s="430">
        <f>max(min(Valu!$C$15,$O379),$O379-max($O379-Valu!$C$15,0)/$R379*(AO$3-1))</f>
        <v>0.03</v>
      </c>
      <c r="AP379" s="430">
        <f>max(min(Valu!$C$14,$P379),$P379-max($P379-Valu!$C$14,0)/$R379*(AP$3-1))</f>
        <v>0.15</v>
      </c>
      <c r="AQ379" s="430">
        <f>max(min(Valu!$C$14,$P379),$P379-max($P379-Valu!$C$14,0)/$R379*(AQ$3-1))</f>
        <v>0.14625</v>
      </c>
      <c r="AR379" s="430">
        <f>max(min(Valu!$C$14,$P379),$P379-max($P379-Valu!$C$14,0)/$R379*(AR$3-1))</f>
        <v>0.1425</v>
      </c>
      <c r="AS379" s="430">
        <f>max(min(Valu!$C$14,$P379),$P379-max($P379-Valu!$C$14,0)/$R379*(AS$3-1))</f>
        <v>0.13875</v>
      </c>
      <c r="AT379" s="430">
        <f>max(min(Valu!$C$14,$P379),$P379-max($P379-Valu!$C$14,0)/$R379*(AT$3-1))</f>
        <v>0.135</v>
      </c>
      <c r="AU379" s="430">
        <f>max(min(Valu!$C$14,$P379),$P379-max($P379-Valu!$C$14,0)/$R379*(AU$3-1))</f>
        <v>0.13125</v>
      </c>
      <c r="AV379" s="430">
        <f>max(min(Valu!$C$14,$P379),$P379-max($P379-Valu!$C$14,0)/$R379*(AV$3-1))</f>
        <v>0.1275</v>
      </c>
      <c r="AW379" s="430">
        <f>max(min(Valu!$C$14,$P379),$P379-max($P379-Valu!$C$14,0)/$R379*(AW$3-1))</f>
        <v>0.12375</v>
      </c>
      <c r="AX379" s="430">
        <f>max(min(Valu!$C$14,$P379),$P379-max($P379-Valu!$C$14,0)/$R379*(AX$3-1))</f>
        <v>0.12</v>
      </c>
      <c r="AY379" s="430">
        <f>max(min(Valu!$C$14,$P379),$P379-max($P379-Valu!$C$14,0)/$R379*(AY$3-1))</f>
        <v>0.12</v>
      </c>
      <c r="AZ379" s="430">
        <f>max(min(Valu!$C$14,$P379),$P379-max($P379-Valu!$C$14,0)/$R379*(AZ$3-1))</f>
        <v>0.12</v>
      </c>
      <c r="BA379" s="430">
        <f>max(min(Valu!$C$14,$P379),$P379-max($P379-Valu!$C$14,0)/$R379*(BA$3-1))</f>
        <v>0.12</v>
      </c>
      <c r="BB379" s="430">
        <f>max(min(Valu!$C$14,$P379),$P379-max($P379-Valu!$C$14,0)/$R379*(BB$3-1))</f>
        <v>0.12</v>
      </c>
      <c r="BC379" s="430">
        <f>max(min(Valu!$C$14,$P379),$P379-max($P379-Valu!$C$14,0)/$R379*(BC$3-1))</f>
        <v>0.12</v>
      </c>
      <c r="BD379" s="430">
        <f>max(min(Valu!$C$14,$P379),$P379-max($P379-Valu!$C$14,0)/$R379*(BD$3-1))</f>
        <v>0.12</v>
      </c>
      <c r="BE379" s="430">
        <f>max(min(Valu!$C$14,$P379),$P379-max($P379-Valu!$C$14,0)/$R379*(BE$3-1))</f>
        <v>0.12</v>
      </c>
      <c r="BF379" s="430">
        <f>max(min(Valu!$C$14,$P379),$P379-max($P379-Valu!$C$14,0)/$R379*(BF$3-1))</f>
        <v>0.12</v>
      </c>
      <c r="BG379" s="430">
        <f>max(min(Valu!$C$14,$P379),$P379-max($P379-Valu!$C$14,0)/$R379*(BG$3-1))</f>
        <v>0.12</v>
      </c>
      <c r="BH379" s="430">
        <f>max(min(Valu!$C$14,$P379),$P379-max($P379-Valu!$C$14,0)/$R379*(BH$3-1))</f>
        <v>0.12</v>
      </c>
      <c r="BI379" s="430">
        <f>max(min(Valu!$C$14,$P379),$P379-max($P379-Valu!$C$14,0)/$R379*(BI$3-1))</f>
        <v>0.12</v>
      </c>
      <c r="BJ379" s="431">
        <f>N379</f>
        <v>2.324896985</v>
      </c>
      <c r="BK379" s="432">
        <f>$BJ379*(1+V379)</f>
        <v>3.02236608</v>
      </c>
      <c r="BL379" s="432">
        <f t="shared" ref="BL379:CC379" si="200">BK379*(1+W379)</f>
        <v>3.827071049</v>
      </c>
      <c r="BM379" s="432">
        <f t="shared" si="200"/>
        <v>4.716865068</v>
      </c>
      <c r="BN379" s="432">
        <f t="shared" si="200"/>
        <v>5.654342</v>
      </c>
      <c r="BO379" s="432">
        <f t="shared" si="200"/>
        <v>6.58730843</v>
      </c>
      <c r="BP379" s="432">
        <f t="shared" si="200"/>
        <v>7.451892662</v>
      </c>
      <c r="BQ379" s="432">
        <f t="shared" si="200"/>
        <v>8.178452196</v>
      </c>
      <c r="BR379" s="432">
        <f t="shared" si="200"/>
        <v>8.699828524</v>
      </c>
      <c r="BS379" s="432">
        <f t="shared" si="200"/>
        <v>8.960823379</v>
      </c>
      <c r="BT379" s="432">
        <f t="shared" si="200"/>
        <v>9.229648081</v>
      </c>
      <c r="BU379" s="432">
        <f t="shared" si="200"/>
        <v>9.506537523</v>
      </c>
      <c r="BV379" s="432">
        <f t="shared" si="200"/>
        <v>9.791733649</v>
      </c>
      <c r="BW379" s="432">
        <f t="shared" si="200"/>
        <v>10.08548566</v>
      </c>
      <c r="BX379" s="432">
        <f t="shared" si="200"/>
        <v>10.38805023</v>
      </c>
      <c r="BY379" s="432">
        <f t="shared" si="200"/>
        <v>10.69969173</v>
      </c>
      <c r="BZ379" s="432">
        <f t="shared" si="200"/>
        <v>11.02068249</v>
      </c>
      <c r="CA379" s="432">
        <f t="shared" si="200"/>
        <v>11.35130296</v>
      </c>
      <c r="CB379" s="432">
        <f t="shared" si="200"/>
        <v>11.69184205</v>
      </c>
      <c r="CC379" s="432">
        <f t="shared" si="200"/>
        <v>12.04259731</v>
      </c>
      <c r="CD379" s="432">
        <f t="shared" ref="CD379:CW379" si="201">BJ379*(1-V379/AP379)</f>
        <v>-2.324896985</v>
      </c>
      <c r="CE379" s="432">
        <f t="shared" si="201"/>
        <v>-2.479890117</v>
      </c>
      <c r="CF379" s="432">
        <f t="shared" si="201"/>
        <v>-2.417097505</v>
      </c>
      <c r="CG379" s="432">
        <f t="shared" si="201"/>
        <v>-2.039725435</v>
      </c>
      <c r="CH379" s="432">
        <f t="shared" si="201"/>
        <v>-1.256520444</v>
      </c>
      <c r="CI379" s="432">
        <f t="shared" si="201"/>
        <v>0</v>
      </c>
      <c r="CJ379" s="432">
        <f t="shared" si="201"/>
        <v>1.753386509</v>
      </c>
      <c r="CK379" s="432">
        <f t="shared" si="201"/>
        <v>3.965310156</v>
      </c>
      <c r="CL379" s="432">
        <f t="shared" si="201"/>
        <v>6.524871393</v>
      </c>
      <c r="CM379" s="432">
        <f t="shared" si="201"/>
        <v>6.720617534</v>
      </c>
      <c r="CN379" s="432">
        <f t="shared" si="201"/>
        <v>6.922236061</v>
      </c>
      <c r="CO379" s="432">
        <f t="shared" si="201"/>
        <v>7.129903142</v>
      </c>
      <c r="CP379" s="432">
        <f t="shared" si="201"/>
        <v>7.343800237</v>
      </c>
      <c r="CQ379" s="432">
        <f t="shared" si="201"/>
        <v>7.564114244</v>
      </c>
      <c r="CR379" s="432">
        <f t="shared" si="201"/>
        <v>7.791037671</v>
      </c>
      <c r="CS379" s="432">
        <f t="shared" si="201"/>
        <v>8.024768801</v>
      </c>
      <c r="CT379" s="432">
        <f t="shared" si="201"/>
        <v>8.265511865</v>
      </c>
      <c r="CU379" s="432">
        <f t="shared" si="201"/>
        <v>8.513477221</v>
      </c>
      <c r="CV379" s="432">
        <f t="shared" si="201"/>
        <v>8.768881538</v>
      </c>
      <c r="CW379" s="432">
        <f t="shared" si="201"/>
        <v>9.031947984</v>
      </c>
      <c r="CX379" s="432">
        <f>CW379*(1+min(Valu!$C$15,$O379))/(Valu!$C$21-min(Valu!$C$15,$O379))</f>
        <v>244.8133269</v>
      </c>
      <c r="CY379" s="432">
        <f>CD379/(1+Valu!$C$21)^CY$3</f>
        <v>-2.176869836</v>
      </c>
      <c r="CZ379" s="432">
        <f>CE379/(1+Valu!$C$21)^CZ$3</f>
        <v>-2.174152146</v>
      </c>
      <c r="DA379" s="432">
        <f>CF379/(1+Valu!$C$21)^DA$3</f>
        <v>-1.984177004</v>
      </c>
      <c r="DB379" s="432">
        <f>CG379/(1+Valu!$C$21)^DB$3</f>
        <v>-1.567785707</v>
      </c>
      <c r="DC379" s="432">
        <f>CH379/(1+Valu!$C$21)^DC$3</f>
        <v>-0.9043015928</v>
      </c>
      <c r="DD379" s="432">
        <f>CI379/(1+Valu!$C$21)^DD$3</f>
        <v>0</v>
      </c>
      <c r="DE379" s="432">
        <f>CJ379/(1+Valu!$C$21)^DE$3</f>
        <v>1.106315232</v>
      </c>
      <c r="DF379" s="432">
        <f>CK379/(1+Valu!$C$21)^DF$3</f>
        <v>2.342648557</v>
      </c>
      <c r="DG379" s="432">
        <f>CL379/(1+Valu!$C$21)^DG$3</f>
        <v>3.609363995</v>
      </c>
      <c r="DH379" s="432">
        <f>CM379/(1+Valu!$C$21)^DH$3</f>
        <v>3.480940932</v>
      </c>
      <c r="DI379" s="432">
        <f>CN379/(1+Valu!$C$21)^DI$3</f>
        <v>3.357087228</v>
      </c>
      <c r="DJ379" s="432">
        <f>CO379/(1+Valu!$C$21)^DJ$3</f>
        <v>3.237640304</v>
      </c>
      <c r="DK379" s="432">
        <f>CP379/(1+Valu!$C$21)^DK$3</f>
        <v>3.122443365</v>
      </c>
      <c r="DL379" s="432">
        <f>CQ379/(1+Valu!$C$21)^DL$3</f>
        <v>3.011345193</v>
      </c>
      <c r="DM379" s="432">
        <f>CR379/(1+Valu!$C$21)^DM$3</f>
        <v>2.904199952</v>
      </c>
      <c r="DN379" s="432">
        <f>CS379/(1+Valu!$C$21)^DN$3</f>
        <v>2.800866995</v>
      </c>
      <c r="DO379" s="432">
        <f>CT379/(1+Valu!$C$21)^DO$3</f>
        <v>2.701210678</v>
      </c>
      <c r="DP379" s="432">
        <f>CU379/(1+Valu!$C$21)^DP$3</f>
        <v>2.605100186</v>
      </c>
      <c r="DQ379" s="432">
        <f>CV379/(1+Valu!$C$21)^DQ$3</f>
        <v>2.512409355</v>
      </c>
      <c r="DR379" s="432">
        <f>CW379/(1+Valu!$C$21)^DR$3</f>
        <v>2.423016513</v>
      </c>
      <c r="DS379" s="432">
        <f>CX379/(1+Valu!$C$21)^DS$3</f>
        <v>65.67650022</v>
      </c>
      <c r="DT379" s="358"/>
      <c r="DU379" s="358"/>
      <c r="DV379" s="358"/>
      <c r="DW379" s="358"/>
    </row>
    <row r="380" ht="15.0" customHeight="1">
      <c r="A380" s="394">
        <v>41295.0</v>
      </c>
      <c r="B380" s="302" t="s">
        <v>3576</v>
      </c>
      <c r="C380" s="302" t="s">
        <v>3577</v>
      </c>
      <c r="D380" s="422"/>
      <c r="E380" s="396" t="str">
        <f>IFERROR(__xludf.DUMMYFUNCTION("if(and(D380&lt;&gt;0,D380&lt;&gt;""""),D380/GOOGLEFINANCE(C380,""price"")-1,"""")"),"")</f>
        <v/>
      </c>
      <c r="F380" s="397">
        <f>IFERROR(__xludf.DUMMYFUNCTION("GOOGLEFINANCE(C380,""price"")"),182.22)</f>
        <v>182.22</v>
      </c>
      <c r="G380" s="396" t="str">
        <f t="shared" si="6"/>
        <v/>
      </c>
      <c r="H380" s="398">
        <v>40.0</v>
      </c>
      <c r="I380" s="398"/>
      <c r="J380" s="403"/>
      <c r="K380" s="403"/>
      <c r="L380" s="410"/>
      <c r="M380" s="402">
        <f t="shared" si="7"/>
        <v>-119.9023034</v>
      </c>
      <c r="N380" s="403">
        <f t="shared" si="8"/>
        <v>0</v>
      </c>
      <c r="O380" s="410"/>
      <c r="P380" s="411"/>
      <c r="Q380" s="402"/>
      <c r="R380" s="412"/>
      <c r="S380" s="412"/>
      <c r="T380" s="412"/>
      <c r="U380" s="413" t="s">
        <v>3578</v>
      </c>
      <c r="V380" s="414"/>
      <c r="W380" s="414"/>
      <c r="X380" s="414"/>
      <c r="Y380" s="414"/>
      <c r="Z380" s="414"/>
      <c r="AA380" s="414"/>
      <c r="AB380" s="414"/>
      <c r="AC380" s="414"/>
      <c r="AD380" s="414"/>
      <c r="AE380" s="414"/>
      <c r="AF380" s="414"/>
      <c r="AG380" s="414"/>
      <c r="AH380" s="414"/>
      <c r="AI380" s="414"/>
      <c r="AJ380" s="414"/>
      <c r="AK380" s="414"/>
      <c r="AL380" s="414"/>
      <c r="AM380" s="414"/>
      <c r="AN380" s="414"/>
      <c r="AO380" s="414"/>
      <c r="AP380" s="414"/>
      <c r="AQ380" s="414"/>
      <c r="AR380" s="414"/>
      <c r="AS380" s="414"/>
      <c r="AT380" s="414"/>
      <c r="AU380" s="414"/>
      <c r="AV380" s="414"/>
      <c r="AW380" s="414"/>
      <c r="AX380" s="414"/>
      <c r="AY380" s="414"/>
      <c r="AZ380" s="414"/>
      <c r="BA380" s="414"/>
      <c r="BB380" s="414"/>
      <c r="BC380" s="414"/>
      <c r="BD380" s="414"/>
      <c r="BE380" s="414"/>
      <c r="BF380" s="414"/>
      <c r="BG380" s="414"/>
      <c r="BH380" s="414"/>
      <c r="BI380" s="414"/>
      <c r="BJ380" s="414"/>
      <c r="BK380" s="414"/>
      <c r="BL380" s="414"/>
      <c r="BM380" s="414"/>
      <c r="BN380" s="414"/>
      <c r="BO380" s="414"/>
      <c r="BP380" s="414"/>
      <c r="BQ380" s="414"/>
      <c r="BR380" s="414"/>
      <c r="BS380" s="414"/>
      <c r="BT380" s="414"/>
      <c r="BU380" s="414"/>
      <c r="BV380" s="414"/>
      <c r="BW380" s="414"/>
      <c r="BX380" s="414"/>
      <c r="BY380" s="414"/>
      <c r="BZ380" s="414"/>
      <c r="CA380" s="414"/>
      <c r="CB380" s="414"/>
      <c r="CC380" s="414"/>
      <c r="CD380" s="414"/>
      <c r="CE380" s="414"/>
      <c r="CF380" s="414"/>
      <c r="CG380" s="414"/>
      <c r="CH380" s="414"/>
      <c r="CI380" s="414"/>
      <c r="CJ380" s="414"/>
      <c r="CK380" s="414"/>
      <c r="CL380" s="414"/>
      <c r="CM380" s="414"/>
      <c r="CN380" s="414"/>
      <c r="CO380" s="414"/>
      <c r="CP380" s="414"/>
      <c r="CQ380" s="414"/>
      <c r="CR380" s="414"/>
      <c r="CS380" s="414"/>
      <c r="CT380" s="414"/>
      <c r="CU380" s="414"/>
      <c r="CV380" s="414"/>
      <c r="CW380" s="414"/>
      <c r="CX380" s="414"/>
      <c r="CY380" s="414"/>
      <c r="CZ380" s="414"/>
      <c r="DA380" s="414"/>
      <c r="DB380" s="414"/>
      <c r="DC380" s="414"/>
      <c r="DD380" s="414"/>
      <c r="DE380" s="414"/>
      <c r="DF380" s="414"/>
      <c r="DG380" s="414"/>
      <c r="DH380" s="414"/>
      <c r="DI380" s="414"/>
      <c r="DJ380" s="414"/>
      <c r="DK380" s="414"/>
      <c r="DL380" s="414"/>
      <c r="DM380" s="414"/>
      <c r="DN380" s="414"/>
      <c r="DO380" s="414"/>
      <c r="DP380" s="414"/>
      <c r="DQ380" s="414"/>
      <c r="DR380" s="414"/>
      <c r="DS380" s="414"/>
      <c r="DT380" s="414"/>
      <c r="DU380" s="414"/>
      <c r="DV380" s="414"/>
      <c r="DW380" s="414"/>
    </row>
    <row r="381" ht="15.0" customHeight="1">
      <c r="A381" s="372">
        <v>42711.0</v>
      </c>
      <c r="B381" s="384" t="s">
        <v>3579</v>
      </c>
      <c r="C381" s="384" t="s">
        <v>3580</v>
      </c>
      <c r="D381" s="384"/>
      <c r="E381" s="374" t="str">
        <f>IFERROR(__xludf.DUMMYFUNCTION("if(and(D381&lt;&gt;0,D381&lt;&gt;""""),D381/GOOGLEFINANCE(C381,""price"")-1,"""")"),"")</f>
        <v/>
      </c>
      <c r="F381" s="375">
        <f>IFERROR(__xludf.DUMMYFUNCTION("GOOGLEFINANCE(C381,""price"")"),21.33)</f>
        <v>21.33</v>
      </c>
      <c r="G381" s="374">
        <f t="shared" si="6"/>
        <v>-0.4787788533</v>
      </c>
      <c r="H381" s="376"/>
      <c r="I381" s="376">
        <f>0.45*($I$1+10)</f>
        <v>11.11764706</v>
      </c>
      <c r="J381" s="380"/>
      <c r="K381" s="380"/>
      <c r="L381" s="389"/>
      <c r="M381" s="379">
        <f t="shared" si="7"/>
        <v>-119.9023034</v>
      </c>
      <c r="N381" s="380">
        <f t="shared" si="8"/>
        <v>0</v>
      </c>
      <c r="O381" s="389"/>
      <c r="P381" s="415"/>
      <c r="Q381" s="379"/>
      <c r="R381" s="416"/>
      <c r="S381" s="416"/>
      <c r="T381" s="416"/>
      <c r="U381" s="417" t="s">
        <v>3581</v>
      </c>
      <c r="V381" s="367"/>
      <c r="W381" s="367"/>
      <c r="X381" s="367"/>
      <c r="Y381" s="367"/>
      <c r="Z381" s="367"/>
      <c r="AA381" s="367"/>
      <c r="AB381" s="367"/>
      <c r="AC381" s="367"/>
      <c r="AD381" s="367"/>
      <c r="AE381" s="367"/>
      <c r="AF381" s="367"/>
      <c r="AG381" s="367"/>
      <c r="AH381" s="367"/>
      <c r="AI381" s="367"/>
      <c r="AJ381" s="367"/>
      <c r="AK381" s="367"/>
      <c r="AL381" s="367"/>
      <c r="AM381" s="367"/>
      <c r="AN381" s="367"/>
      <c r="AO381" s="367"/>
      <c r="AP381" s="367"/>
      <c r="AQ381" s="367"/>
      <c r="AR381" s="367"/>
      <c r="AS381" s="367"/>
      <c r="AT381" s="367"/>
      <c r="AU381" s="367"/>
      <c r="AV381" s="367"/>
      <c r="AW381" s="367"/>
      <c r="AX381" s="367"/>
      <c r="AY381" s="367"/>
      <c r="AZ381" s="367"/>
      <c r="BA381" s="367"/>
      <c r="BB381" s="367"/>
      <c r="BC381" s="367"/>
      <c r="BD381" s="367"/>
      <c r="BE381" s="367"/>
      <c r="BF381" s="367"/>
      <c r="BG381" s="367"/>
      <c r="BH381" s="367"/>
      <c r="BI381" s="367"/>
      <c r="BJ381" s="367"/>
      <c r="BK381" s="367"/>
      <c r="BL381" s="367"/>
      <c r="BM381" s="367"/>
      <c r="BN381" s="367"/>
      <c r="BO381" s="367"/>
      <c r="BP381" s="367"/>
      <c r="BQ381" s="367"/>
      <c r="BR381" s="367"/>
      <c r="BS381" s="367"/>
      <c r="BT381" s="367"/>
      <c r="BU381" s="367"/>
      <c r="BV381" s="367"/>
      <c r="BW381" s="367"/>
      <c r="BX381" s="367"/>
      <c r="BY381" s="367"/>
      <c r="BZ381" s="367"/>
      <c r="CA381" s="367"/>
      <c r="CB381" s="367"/>
      <c r="CC381" s="367"/>
      <c r="CD381" s="367"/>
      <c r="CE381" s="367"/>
      <c r="CF381" s="367"/>
      <c r="CG381" s="367"/>
      <c r="CH381" s="367"/>
      <c r="CI381" s="367"/>
      <c r="CJ381" s="367"/>
      <c r="CK381" s="367"/>
      <c r="CL381" s="367"/>
      <c r="CM381" s="367"/>
      <c r="CN381" s="367"/>
      <c r="CO381" s="367"/>
      <c r="CP381" s="367"/>
      <c r="CQ381" s="367"/>
      <c r="CR381" s="367"/>
      <c r="CS381" s="367"/>
      <c r="CT381" s="367"/>
      <c r="CU381" s="367"/>
      <c r="CV381" s="367"/>
      <c r="CW381" s="367"/>
      <c r="CX381" s="367"/>
      <c r="CY381" s="367"/>
      <c r="CZ381" s="367"/>
      <c r="DA381" s="367"/>
      <c r="DB381" s="367"/>
      <c r="DC381" s="367"/>
      <c r="DD381" s="367"/>
      <c r="DE381" s="367"/>
      <c r="DF381" s="367"/>
      <c r="DG381" s="367"/>
      <c r="DH381" s="367"/>
      <c r="DI381" s="367"/>
      <c r="DJ381" s="367"/>
      <c r="DK381" s="367"/>
      <c r="DL381" s="367"/>
      <c r="DM381" s="367"/>
      <c r="DN381" s="367"/>
      <c r="DO381" s="367"/>
      <c r="DP381" s="367"/>
      <c r="DQ381" s="367"/>
      <c r="DR381" s="367"/>
      <c r="DS381" s="367"/>
      <c r="DT381" s="367"/>
      <c r="DU381" s="367"/>
      <c r="DV381" s="367"/>
      <c r="DW381" s="367"/>
    </row>
    <row r="382" ht="15.0" customHeight="1">
      <c r="A382" s="394">
        <v>40168.0</v>
      </c>
      <c r="B382" s="302" t="s">
        <v>3584</v>
      </c>
      <c r="C382" s="302" t="s">
        <v>3585</v>
      </c>
      <c r="D382" s="422"/>
      <c r="E382" s="396" t="str">
        <f>IFERROR(__xludf.DUMMYFUNCTION("if(and(D382&lt;&gt;0,D382&lt;&gt;""""),D382/GOOGLEFINANCE(C382,""price"")-1,"""")"),"")</f>
        <v/>
      </c>
      <c r="F382" s="397">
        <f>IFERROR(__xludf.DUMMYFUNCTION("GOOGLEFINANCE(C382,""price"")"),203.55)</f>
        <v>203.55</v>
      </c>
      <c r="G382" s="396">
        <f t="shared" si="6"/>
        <v>-0.7084745763</v>
      </c>
      <c r="H382" s="398">
        <v>20.0</v>
      </c>
      <c r="I382" s="398">
        <f>(3.44*1.15)*15</f>
        <v>59.34</v>
      </c>
      <c r="J382" s="403"/>
      <c r="K382" s="403"/>
      <c r="L382" s="410"/>
      <c r="M382" s="402">
        <f t="shared" si="7"/>
        <v>-119.9023034</v>
      </c>
      <c r="N382" s="403">
        <f t="shared" si="8"/>
        <v>0</v>
      </c>
      <c r="O382" s="410"/>
      <c r="P382" s="411"/>
      <c r="Q382" s="402"/>
      <c r="R382" s="412"/>
      <c r="S382" s="412"/>
      <c r="T382" s="412"/>
      <c r="U382" s="413" t="s">
        <v>3587</v>
      </c>
      <c r="V382" s="414"/>
      <c r="W382" s="414"/>
      <c r="X382" s="414"/>
      <c r="Y382" s="414"/>
      <c r="Z382" s="414"/>
      <c r="AA382" s="414"/>
      <c r="AB382" s="414"/>
      <c r="AC382" s="414"/>
      <c r="AD382" s="414"/>
      <c r="AE382" s="414"/>
      <c r="AF382" s="414"/>
      <c r="AG382" s="414"/>
      <c r="AH382" s="414"/>
      <c r="AI382" s="414"/>
      <c r="AJ382" s="414"/>
      <c r="AK382" s="414"/>
      <c r="AL382" s="414"/>
      <c r="AM382" s="414"/>
      <c r="AN382" s="414"/>
      <c r="AO382" s="414"/>
      <c r="AP382" s="414"/>
      <c r="AQ382" s="414"/>
      <c r="AR382" s="414"/>
      <c r="AS382" s="414"/>
      <c r="AT382" s="414"/>
      <c r="AU382" s="414"/>
      <c r="AV382" s="414"/>
      <c r="AW382" s="414"/>
      <c r="AX382" s="414"/>
      <c r="AY382" s="414"/>
      <c r="AZ382" s="414"/>
      <c r="BA382" s="414"/>
      <c r="BB382" s="414"/>
      <c r="BC382" s="414"/>
      <c r="BD382" s="414"/>
      <c r="BE382" s="414"/>
      <c r="BF382" s="414"/>
      <c r="BG382" s="414"/>
      <c r="BH382" s="414"/>
      <c r="BI382" s="414"/>
      <c r="BJ382" s="414"/>
      <c r="BK382" s="414"/>
      <c r="BL382" s="414"/>
      <c r="BM382" s="414"/>
      <c r="BN382" s="414"/>
      <c r="BO382" s="414"/>
      <c r="BP382" s="414"/>
      <c r="BQ382" s="414"/>
      <c r="BR382" s="414"/>
      <c r="BS382" s="414"/>
      <c r="BT382" s="414"/>
      <c r="BU382" s="414"/>
      <c r="BV382" s="414"/>
      <c r="BW382" s="414"/>
      <c r="BX382" s="414"/>
      <c r="BY382" s="414"/>
      <c r="BZ382" s="414"/>
      <c r="CA382" s="414"/>
      <c r="CB382" s="414"/>
      <c r="CC382" s="414"/>
      <c r="CD382" s="414"/>
      <c r="CE382" s="414"/>
      <c r="CF382" s="414"/>
      <c r="CG382" s="414"/>
      <c r="CH382" s="414"/>
      <c r="CI382" s="414"/>
      <c r="CJ382" s="414"/>
      <c r="CK382" s="414"/>
      <c r="CL382" s="414"/>
      <c r="CM382" s="414"/>
      <c r="CN382" s="414"/>
      <c r="CO382" s="414"/>
      <c r="CP382" s="414"/>
      <c r="CQ382" s="414"/>
      <c r="CR382" s="414"/>
      <c r="CS382" s="414"/>
      <c r="CT382" s="414"/>
      <c r="CU382" s="414"/>
      <c r="CV382" s="414"/>
      <c r="CW382" s="414"/>
      <c r="CX382" s="414"/>
      <c r="CY382" s="414"/>
      <c r="CZ382" s="414"/>
      <c r="DA382" s="414"/>
      <c r="DB382" s="414"/>
      <c r="DC382" s="414"/>
      <c r="DD382" s="414"/>
      <c r="DE382" s="414"/>
      <c r="DF382" s="414"/>
      <c r="DG382" s="414"/>
      <c r="DH382" s="414"/>
      <c r="DI382" s="414"/>
      <c r="DJ382" s="414"/>
      <c r="DK382" s="414"/>
      <c r="DL382" s="414"/>
      <c r="DM382" s="414"/>
      <c r="DN382" s="414"/>
      <c r="DO382" s="414"/>
      <c r="DP382" s="414"/>
      <c r="DQ382" s="414"/>
      <c r="DR382" s="414"/>
      <c r="DS382" s="414"/>
      <c r="DT382" s="414"/>
      <c r="DU382" s="414"/>
      <c r="DV382" s="414"/>
      <c r="DW382" s="414"/>
    </row>
    <row r="383" ht="15.0" customHeight="1">
      <c r="A383" s="383">
        <v>40983.0</v>
      </c>
      <c r="B383" s="320" t="s">
        <v>3589</v>
      </c>
      <c r="C383" s="320" t="s">
        <v>352</v>
      </c>
      <c r="D383" s="384">
        <v>50.0</v>
      </c>
      <c r="E383" s="374">
        <f>IFERROR(__xludf.DUMMYFUNCTION("if(and(D383&lt;&gt;0,D383&lt;&gt;""""),D383/GOOGLEFINANCE(C383,""price"")-1,"""")"),-0.03044405662206706)</f>
        <v>-0.03044405662</v>
      </c>
      <c r="F383" s="375">
        <f>IFERROR(__xludf.DUMMYFUNCTION("GOOGLEFINANCE(C383,""price"")"),51.57)</f>
        <v>51.57</v>
      </c>
      <c r="G383" s="374">
        <f t="shared" si="6"/>
        <v>1.012809476</v>
      </c>
      <c r="H383" s="376"/>
      <c r="I383" s="376">
        <f>N383*($I$1+O383*100)</f>
        <v>103.8005847</v>
      </c>
      <c r="J383" s="377">
        <v>4.37</v>
      </c>
      <c r="K383" s="377">
        <v>5.19</v>
      </c>
      <c r="L383" s="409">
        <v>43465.0</v>
      </c>
      <c r="M383" s="379">
        <f t="shared" si="7"/>
        <v>-0.8201115787</v>
      </c>
      <c r="N383" s="380">
        <f t="shared" si="8"/>
        <v>5.862491495</v>
      </c>
      <c r="O383" s="390">
        <v>0.03</v>
      </c>
      <c r="P383" s="370"/>
      <c r="Q383" s="371"/>
      <c r="R383" s="378"/>
      <c r="S383" s="378">
        <v>43354.0</v>
      </c>
      <c r="T383" s="381" t="s">
        <v>1223</v>
      </c>
      <c r="U383" s="386" t="s">
        <v>3590</v>
      </c>
      <c r="V383" s="344"/>
      <c r="W383" s="344"/>
      <c r="X383" s="344"/>
      <c r="Y383" s="344"/>
      <c r="Z383" s="344"/>
      <c r="AA383" s="344"/>
      <c r="AB383" s="344"/>
      <c r="AC383" s="344"/>
      <c r="AD383" s="344"/>
      <c r="AE383" s="344"/>
      <c r="AF383" s="344"/>
      <c r="AG383" s="344"/>
      <c r="AH383" s="344"/>
      <c r="AI383" s="344"/>
      <c r="AJ383" s="344"/>
      <c r="AK383" s="344"/>
      <c r="AL383" s="344"/>
      <c r="AM383" s="344"/>
      <c r="AN383" s="344"/>
      <c r="AO383" s="344"/>
      <c r="AP383" s="344"/>
      <c r="AQ383" s="344"/>
      <c r="AR383" s="344"/>
      <c r="AS383" s="344"/>
      <c r="AT383" s="344"/>
      <c r="AU383" s="344"/>
      <c r="AV383" s="344"/>
      <c r="AW383" s="344"/>
      <c r="AX383" s="344"/>
      <c r="AY383" s="344"/>
      <c r="AZ383" s="344"/>
      <c r="BA383" s="344"/>
      <c r="BB383" s="344"/>
      <c r="BC383" s="344"/>
      <c r="BD383" s="344"/>
      <c r="BE383" s="344"/>
      <c r="BF383" s="344"/>
      <c r="BG383" s="344"/>
      <c r="BH383" s="344"/>
      <c r="BI383" s="344"/>
      <c r="BJ383" s="344"/>
      <c r="BK383" s="344"/>
      <c r="BL383" s="344"/>
      <c r="BM383" s="344"/>
      <c r="BN383" s="344"/>
      <c r="BO383" s="344"/>
      <c r="BP383" s="344"/>
      <c r="BQ383" s="344"/>
      <c r="BR383" s="344"/>
      <c r="BS383" s="344"/>
      <c r="BT383" s="344"/>
      <c r="BU383" s="344"/>
      <c r="BV383" s="344"/>
      <c r="BW383" s="344"/>
      <c r="BX383" s="344"/>
      <c r="BY383" s="344"/>
      <c r="BZ383" s="344"/>
      <c r="CA383" s="344"/>
      <c r="CB383" s="344"/>
      <c r="CC383" s="344"/>
      <c r="CD383" s="344"/>
      <c r="CE383" s="344"/>
      <c r="CF383" s="344"/>
      <c r="CG383" s="344"/>
      <c r="CH383" s="344"/>
      <c r="CI383" s="344"/>
      <c r="CJ383" s="344"/>
      <c r="CK383" s="344"/>
      <c r="CL383" s="344"/>
      <c r="CM383" s="344"/>
      <c r="CN383" s="344"/>
      <c r="CO383" s="344"/>
      <c r="CP383" s="344"/>
      <c r="CQ383" s="344"/>
      <c r="CR383" s="344"/>
      <c r="CS383" s="344"/>
      <c r="CT383" s="344"/>
      <c r="CU383" s="344"/>
      <c r="CV383" s="344"/>
      <c r="CW383" s="344"/>
      <c r="CX383" s="344"/>
      <c r="CY383" s="344"/>
      <c r="CZ383" s="344"/>
      <c r="DA383" s="344"/>
      <c r="DB383" s="344"/>
      <c r="DC383" s="344"/>
      <c r="DD383" s="344"/>
      <c r="DE383" s="344"/>
      <c r="DF383" s="344"/>
      <c r="DG383" s="344"/>
      <c r="DH383" s="344"/>
      <c r="DI383" s="344"/>
      <c r="DJ383" s="344"/>
      <c r="DK383" s="344"/>
      <c r="DL383" s="344"/>
      <c r="DM383" s="344"/>
      <c r="DN383" s="344"/>
      <c r="DO383" s="344"/>
      <c r="DP383" s="344"/>
      <c r="DQ383" s="344"/>
      <c r="DR383" s="344"/>
      <c r="DS383" s="344"/>
      <c r="DT383" s="344"/>
      <c r="DU383" s="344"/>
      <c r="DV383" s="344"/>
      <c r="DW383" s="344"/>
    </row>
    <row r="384" ht="15.0" customHeight="1">
      <c r="A384" s="372">
        <v>42304.0</v>
      </c>
      <c r="B384" s="384" t="s">
        <v>3592</v>
      </c>
      <c r="C384" s="384" t="s">
        <v>3593</v>
      </c>
      <c r="D384" s="384">
        <v>80.0</v>
      </c>
      <c r="E384" s="374">
        <f>IFERROR(__xludf.DUMMYFUNCTION("if(and(D384&lt;&gt;0,D384&lt;&gt;""""),D384/GOOGLEFINANCE(C384,""price"")-1,"""")"),-0.5616438356164384)</f>
        <v>-0.5616438356</v>
      </c>
      <c r="F384" s="375">
        <f>IFERROR(__xludf.DUMMYFUNCTION("GOOGLEFINANCE(C384,""price"")"),182.5)</f>
        <v>182.5</v>
      </c>
      <c r="G384" s="374">
        <f t="shared" si="6"/>
        <v>-0.4548912168</v>
      </c>
      <c r="H384" s="376"/>
      <c r="I384" s="368">
        <f>4.48*($I$1+7.5)</f>
        <v>99.48235294</v>
      </c>
      <c r="J384" s="380"/>
      <c r="K384" s="380"/>
      <c r="L384" s="389"/>
      <c r="M384" s="379">
        <f t="shared" si="7"/>
        <v>-119.9023034</v>
      </c>
      <c r="N384" s="380">
        <f t="shared" si="8"/>
        <v>0</v>
      </c>
      <c r="O384" s="389"/>
      <c r="P384" s="415"/>
      <c r="Q384" s="379"/>
      <c r="R384" s="416"/>
      <c r="S384" s="416"/>
      <c r="T384" s="416"/>
      <c r="U384" s="417"/>
      <c r="V384" s="367"/>
      <c r="W384" s="367"/>
      <c r="X384" s="367"/>
      <c r="Y384" s="367"/>
      <c r="Z384" s="367"/>
      <c r="AA384" s="367"/>
      <c r="AB384" s="367"/>
      <c r="AC384" s="367"/>
      <c r="AD384" s="367"/>
      <c r="AE384" s="367"/>
      <c r="AF384" s="367"/>
      <c r="AG384" s="367"/>
      <c r="AH384" s="367"/>
      <c r="AI384" s="367"/>
      <c r="AJ384" s="367"/>
      <c r="AK384" s="367"/>
      <c r="AL384" s="367"/>
      <c r="AM384" s="367"/>
      <c r="AN384" s="367"/>
      <c r="AO384" s="367"/>
      <c r="AP384" s="367"/>
      <c r="AQ384" s="367"/>
      <c r="AR384" s="367"/>
      <c r="AS384" s="367"/>
      <c r="AT384" s="367"/>
      <c r="AU384" s="367"/>
      <c r="AV384" s="367"/>
      <c r="AW384" s="367"/>
      <c r="AX384" s="367"/>
      <c r="AY384" s="367"/>
      <c r="AZ384" s="367"/>
      <c r="BA384" s="367"/>
      <c r="BB384" s="367"/>
      <c r="BC384" s="367"/>
      <c r="BD384" s="367"/>
      <c r="BE384" s="367"/>
      <c r="BF384" s="367"/>
      <c r="BG384" s="367"/>
      <c r="BH384" s="367"/>
      <c r="BI384" s="367"/>
      <c r="BJ384" s="367"/>
      <c r="BK384" s="367"/>
      <c r="BL384" s="367"/>
      <c r="BM384" s="367"/>
      <c r="BN384" s="367"/>
      <c r="BO384" s="367"/>
      <c r="BP384" s="367"/>
      <c r="BQ384" s="367"/>
      <c r="BR384" s="367"/>
      <c r="BS384" s="367"/>
      <c r="BT384" s="367"/>
      <c r="BU384" s="367"/>
      <c r="BV384" s="367"/>
      <c r="BW384" s="367"/>
      <c r="BX384" s="367"/>
      <c r="BY384" s="367"/>
      <c r="BZ384" s="367"/>
      <c r="CA384" s="367"/>
      <c r="CB384" s="367"/>
      <c r="CC384" s="367"/>
      <c r="CD384" s="367"/>
      <c r="CE384" s="367"/>
      <c r="CF384" s="367"/>
      <c r="CG384" s="367"/>
      <c r="CH384" s="367"/>
      <c r="CI384" s="367"/>
      <c r="CJ384" s="367"/>
      <c r="CK384" s="367"/>
      <c r="CL384" s="367"/>
      <c r="CM384" s="367"/>
      <c r="CN384" s="367"/>
      <c r="CO384" s="367"/>
      <c r="CP384" s="367"/>
      <c r="CQ384" s="367"/>
      <c r="CR384" s="367"/>
      <c r="CS384" s="367"/>
      <c r="CT384" s="367"/>
      <c r="CU384" s="367"/>
      <c r="CV384" s="367"/>
      <c r="CW384" s="367"/>
      <c r="CX384" s="367"/>
      <c r="CY384" s="367"/>
      <c r="CZ384" s="367"/>
      <c r="DA384" s="367"/>
      <c r="DB384" s="367"/>
      <c r="DC384" s="367"/>
      <c r="DD384" s="367"/>
      <c r="DE384" s="367"/>
      <c r="DF384" s="367"/>
      <c r="DG384" s="367"/>
      <c r="DH384" s="367"/>
      <c r="DI384" s="367"/>
      <c r="DJ384" s="367"/>
      <c r="DK384" s="367"/>
      <c r="DL384" s="367"/>
      <c r="DM384" s="367"/>
      <c r="DN384" s="367"/>
      <c r="DO384" s="367"/>
      <c r="DP384" s="367"/>
      <c r="DQ384" s="367"/>
      <c r="DR384" s="367"/>
      <c r="DS384" s="367"/>
      <c r="DT384" s="367"/>
      <c r="DU384" s="367"/>
      <c r="DV384" s="367"/>
      <c r="DW384" s="367"/>
    </row>
    <row r="385" ht="15.0" customHeight="1">
      <c r="A385" s="456">
        <v>41262.0</v>
      </c>
      <c r="B385" s="457" t="s">
        <v>3595</v>
      </c>
      <c r="C385" s="457" t="s">
        <v>841</v>
      </c>
      <c r="D385" s="458"/>
      <c r="E385" s="460" t="str">
        <f>IFERROR(__xludf.DUMMYFUNCTION("if(and(D385&lt;&gt;0,D385&lt;&gt;""""),D385/GOOGLEFINANCE(C385,""price"")-1,"""")"),"")</f>
        <v/>
      </c>
      <c r="F385" s="462">
        <f>IFERROR(__xludf.DUMMYFUNCTION("GOOGLEFINANCE(C385,""price"")"),9.84)</f>
        <v>9.84</v>
      </c>
      <c r="G385" s="460" t="str">
        <f t="shared" si="6"/>
        <v/>
      </c>
      <c r="H385" s="463"/>
      <c r="I385" s="463"/>
      <c r="J385" s="466"/>
      <c r="K385" s="466"/>
      <c r="L385" s="467"/>
      <c r="M385" s="469">
        <f t="shared" si="7"/>
        <v>-119.9023034</v>
      </c>
      <c r="N385" s="466">
        <f t="shared" si="8"/>
        <v>0</v>
      </c>
      <c r="O385" s="467"/>
      <c r="P385" s="471"/>
      <c r="Q385" s="469"/>
      <c r="R385" s="472"/>
      <c r="S385" s="472"/>
      <c r="T385" s="472"/>
      <c r="U385" s="473" t="s">
        <v>3596</v>
      </c>
      <c r="V385" s="319"/>
      <c r="W385" s="319"/>
      <c r="X385" s="319"/>
      <c r="Y385" s="319"/>
      <c r="Z385" s="319"/>
      <c r="AA385" s="319"/>
      <c r="AB385" s="319"/>
      <c r="AC385" s="319"/>
      <c r="AD385" s="319"/>
      <c r="AE385" s="319"/>
      <c r="AF385" s="319"/>
      <c r="AG385" s="319"/>
      <c r="AH385" s="319"/>
      <c r="AI385" s="319"/>
      <c r="AJ385" s="319"/>
      <c r="AK385" s="319"/>
      <c r="AL385" s="319"/>
      <c r="AM385" s="319"/>
      <c r="AN385" s="319"/>
      <c r="AO385" s="319"/>
      <c r="AP385" s="319"/>
      <c r="AQ385" s="319"/>
      <c r="AR385" s="319"/>
      <c r="AS385" s="319"/>
      <c r="AT385" s="319"/>
      <c r="AU385" s="319"/>
      <c r="AV385" s="319"/>
      <c r="AW385" s="319"/>
      <c r="AX385" s="319"/>
      <c r="AY385" s="319"/>
      <c r="AZ385" s="319"/>
      <c r="BA385" s="319"/>
      <c r="BB385" s="319"/>
      <c r="BC385" s="319"/>
      <c r="BD385" s="319"/>
      <c r="BE385" s="319"/>
      <c r="BF385" s="319"/>
      <c r="BG385" s="319"/>
      <c r="BH385" s="319"/>
      <c r="BI385" s="319"/>
      <c r="BJ385" s="319"/>
      <c r="BK385" s="319"/>
      <c r="BL385" s="319"/>
      <c r="BM385" s="319"/>
      <c r="BN385" s="319"/>
      <c r="BO385" s="319"/>
      <c r="BP385" s="319"/>
      <c r="BQ385" s="319"/>
      <c r="BR385" s="319"/>
      <c r="BS385" s="319"/>
      <c r="BT385" s="319"/>
      <c r="BU385" s="319"/>
      <c r="BV385" s="319"/>
      <c r="BW385" s="319"/>
      <c r="BX385" s="319"/>
      <c r="BY385" s="319"/>
      <c r="BZ385" s="319"/>
      <c r="CA385" s="319"/>
      <c r="CB385" s="319"/>
      <c r="CC385" s="319"/>
      <c r="CD385" s="319"/>
      <c r="CE385" s="319"/>
      <c r="CF385" s="319"/>
      <c r="CG385" s="319"/>
      <c r="CH385" s="319"/>
      <c r="CI385" s="319"/>
      <c r="CJ385" s="319"/>
      <c r="CK385" s="319"/>
      <c r="CL385" s="319"/>
      <c r="CM385" s="319"/>
      <c r="CN385" s="319"/>
      <c r="CO385" s="319"/>
      <c r="CP385" s="319"/>
      <c r="CQ385" s="319"/>
      <c r="CR385" s="319"/>
      <c r="CS385" s="319"/>
      <c r="CT385" s="319"/>
      <c r="CU385" s="319"/>
      <c r="CV385" s="319"/>
      <c r="CW385" s="319"/>
      <c r="CX385" s="319"/>
      <c r="CY385" s="319"/>
      <c r="CZ385" s="319"/>
      <c r="DA385" s="319"/>
      <c r="DB385" s="319"/>
      <c r="DC385" s="319"/>
      <c r="DD385" s="319"/>
      <c r="DE385" s="319"/>
      <c r="DF385" s="319"/>
      <c r="DG385" s="319"/>
      <c r="DH385" s="319"/>
      <c r="DI385" s="319"/>
      <c r="DJ385" s="319"/>
      <c r="DK385" s="319"/>
      <c r="DL385" s="319"/>
      <c r="DM385" s="319"/>
      <c r="DN385" s="319"/>
      <c r="DO385" s="319"/>
      <c r="DP385" s="319"/>
      <c r="DQ385" s="319"/>
      <c r="DR385" s="319"/>
      <c r="DS385" s="319"/>
      <c r="DT385" s="319"/>
      <c r="DU385" s="319"/>
      <c r="DV385" s="319"/>
      <c r="DW385" s="319"/>
    </row>
    <row r="386" ht="15.0" customHeight="1">
      <c r="A386" s="440">
        <v>42058.0</v>
      </c>
      <c r="B386" s="427" t="s">
        <v>3598</v>
      </c>
      <c r="C386" s="427" t="s">
        <v>2837</v>
      </c>
      <c r="D386" s="427">
        <v>24.0</v>
      </c>
      <c r="E386" s="441">
        <f>IFERROR(__xludf.DUMMYFUNCTION("if(and(D386&lt;&gt;0,D386&lt;&gt;""""),D386/GOOGLEFINANCE(C386,""price"")-1,"""")"),-0.3359158826784726)</f>
        <v>-0.3359158827</v>
      </c>
      <c r="F386" s="442">
        <f>IFERROR(__xludf.DUMMYFUNCTION("GOOGLEFINANCE(C386,""price"")"),36.14)</f>
        <v>36.14</v>
      </c>
      <c r="G386" s="441">
        <f t="shared" si="6"/>
        <v>-0.3082457111</v>
      </c>
      <c r="H386" s="443"/>
      <c r="I386" s="956">
        <v>25.0</v>
      </c>
      <c r="J386" s="445"/>
      <c r="K386" s="445"/>
      <c r="L386" s="446"/>
      <c r="M386" s="447">
        <f t="shared" si="7"/>
        <v>-119.9023034</v>
      </c>
      <c r="N386" s="445">
        <f t="shared" si="8"/>
        <v>0</v>
      </c>
      <c r="O386" s="446"/>
      <c r="P386" s="978"/>
      <c r="Q386" s="979"/>
      <c r="R386" s="980"/>
      <c r="S386" s="980"/>
      <c r="T386" s="980"/>
      <c r="U386" s="981" t="s">
        <v>3599</v>
      </c>
      <c r="V386" s="427"/>
      <c r="W386" s="427"/>
      <c r="X386" s="427"/>
      <c r="Y386" s="427"/>
      <c r="Z386" s="427"/>
      <c r="AA386" s="427"/>
      <c r="AB386" s="427"/>
      <c r="AC386" s="427"/>
      <c r="AD386" s="427"/>
      <c r="AE386" s="427"/>
      <c r="AF386" s="427"/>
      <c r="AG386" s="427"/>
      <c r="AH386" s="427"/>
      <c r="AI386" s="427"/>
      <c r="AJ386" s="427"/>
      <c r="AK386" s="427"/>
      <c r="AL386" s="427"/>
      <c r="AM386" s="427"/>
      <c r="AN386" s="427"/>
      <c r="AO386" s="427"/>
      <c r="AP386" s="427"/>
      <c r="AQ386" s="427"/>
      <c r="AR386" s="427"/>
      <c r="AS386" s="427"/>
      <c r="AT386" s="427"/>
      <c r="AU386" s="427"/>
      <c r="AV386" s="427"/>
      <c r="AW386" s="427"/>
      <c r="AX386" s="427"/>
      <c r="AY386" s="427"/>
      <c r="AZ386" s="427"/>
      <c r="BA386" s="427"/>
      <c r="BB386" s="427"/>
      <c r="BC386" s="427"/>
      <c r="BD386" s="427"/>
      <c r="BE386" s="427"/>
      <c r="BF386" s="427"/>
      <c r="BG386" s="427"/>
      <c r="BH386" s="427"/>
      <c r="BI386" s="427"/>
      <c r="BJ386" s="427"/>
      <c r="BK386" s="427"/>
      <c r="BL386" s="427"/>
      <c r="BM386" s="427"/>
      <c r="BN386" s="427"/>
      <c r="BO386" s="427"/>
      <c r="BP386" s="427"/>
      <c r="BQ386" s="427"/>
      <c r="BR386" s="427"/>
      <c r="BS386" s="427"/>
      <c r="BT386" s="427"/>
      <c r="BU386" s="427"/>
      <c r="BV386" s="427"/>
      <c r="BW386" s="427"/>
      <c r="BX386" s="427"/>
      <c r="BY386" s="427"/>
      <c r="BZ386" s="427"/>
      <c r="CA386" s="427"/>
      <c r="CB386" s="427"/>
      <c r="CC386" s="427"/>
      <c r="CD386" s="427"/>
      <c r="CE386" s="427"/>
      <c r="CF386" s="427"/>
      <c r="CG386" s="427"/>
      <c r="CH386" s="427"/>
      <c r="CI386" s="427"/>
      <c r="CJ386" s="427"/>
      <c r="CK386" s="427"/>
      <c r="CL386" s="427"/>
      <c r="CM386" s="427"/>
      <c r="CN386" s="427"/>
      <c r="CO386" s="427"/>
      <c r="CP386" s="427"/>
      <c r="CQ386" s="427"/>
      <c r="CR386" s="427"/>
      <c r="CS386" s="427"/>
      <c r="CT386" s="427"/>
      <c r="CU386" s="427"/>
      <c r="CV386" s="427"/>
      <c r="CW386" s="427"/>
      <c r="CX386" s="427"/>
      <c r="CY386" s="427"/>
      <c r="CZ386" s="427"/>
      <c r="DA386" s="427"/>
      <c r="DB386" s="427"/>
      <c r="DC386" s="427"/>
      <c r="DD386" s="427"/>
      <c r="DE386" s="427"/>
      <c r="DF386" s="427"/>
      <c r="DG386" s="427"/>
      <c r="DH386" s="427"/>
      <c r="DI386" s="427"/>
      <c r="DJ386" s="427"/>
      <c r="DK386" s="427"/>
      <c r="DL386" s="427"/>
      <c r="DM386" s="427"/>
      <c r="DN386" s="427"/>
      <c r="DO386" s="427"/>
      <c r="DP386" s="427"/>
      <c r="DQ386" s="427"/>
      <c r="DR386" s="427"/>
      <c r="DS386" s="427"/>
      <c r="DT386" s="427"/>
      <c r="DU386" s="427"/>
      <c r="DV386" s="427"/>
      <c r="DW386" s="427"/>
    </row>
    <row r="387" ht="15.0" customHeight="1">
      <c r="A387" s="394">
        <v>40263.0</v>
      </c>
      <c r="B387" s="302" t="s">
        <v>3601</v>
      </c>
      <c r="C387" s="302" t="s">
        <v>3602</v>
      </c>
      <c r="D387" s="422"/>
      <c r="E387" s="396" t="str">
        <f>IFERROR(__xludf.DUMMYFUNCTION("if(and(D387&lt;&gt;0,D387&lt;&gt;""""),D387/GOOGLEFINANCE(C387,""price"")-1,"""")"),"")</f>
        <v/>
      </c>
      <c r="F387" s="397" t="str">
        <f>IFERROR(__xludf.DUMMYFUNCTION("GOOGLEFINANCE(C387,""price"")"),"#N/A")</f>
        <v>#N/A</v>
      </c>
      <c r="G387" s="396" t="str">
        <f t="shared" si="6"/>
        <v/>
      </c>
      <c r="H387" s="398">
        <v>30.0</v>
      </c>
      <c r="I387" s="398"/>
      <c r="J387" s="403"/>
      <c r="K387" s="403"/>
      <c r="L387" s="410"/>
      <c r="M387" s="402">
        <f t="shared" si="7"/>
        <v>-119.9023034</v>
      </c>
      <c r="N387" s="403">
        <f t="shared" si="8"/>
        <v>0</v>
      </c>
      <c r="O387" s="410"/>
      <c r="P387" s="411"/>
      <c r="Q387" s="402"/>
      <c r="R387" s="412"/>
      <c r="S387" s="412"/>
      <c r="T387" s="412"/>
      <c r="U387" s="413" t="s">
        <v>3603</v>
      </c>
      <c r="V387" s="414"/>
      <c r="W387" s="414"/>
      <c r="X387" s="414"/>
      <c r="Y387" s="414"/>
      <c r="Z387" s="414"/>
      <c r="AA387" s="414"/>
      <c r="AB387" s="414"/>
      <c r="AC387" s="414"/>
      <c r="AD387" s="414"/>
      <c r="AE387" s="414"/>
      <c r="AF387" s="414"/>
      <c r="AG387" s="414"/>
      <c r="AH387" s="414"/>
      <c r="AI387" s="414"/>
      <c r="AJ387" s="414"/>
      <c r="AK387" s="414"/>
      <c r="AL387" s="414"/>
      <c r="AM387" s="414"/>
      <c r="AN387" s="414"/>
      <c r="AO387" s="414"/>
      <c r="AP387" s="414"/>
      <c r="AQ387" s="414"/>
      <c r="AR387" s="414"/>
      <c r="AS387" s="414"/>
      <c r="AT387" s="414"/>
      <c r="AU387" s="414"/>
      <c r="AV387" s="414"/>
      <c r="AW387" s="414"/>
      <c r="AX387" s="414"/>
      <c r="AY387" s="414"/>
      <c r="AZ387" s="414"/>
      <c r="BA387" s="414"/>
      <c r="BB387" s="414"/>
      <c r="BC387" s="414"/>
      <c r="BD387" s="414"/>
      <c r="BE387" s="414"/>
      <c r="BF387" s="414"/>
      <c r="BG387" s="414"/>
      <c r="BH387" s="414"/>
      <c r="BI387" s="414"/>
      <c r="BJ387" s="414"/>
      <c r="BK387" s="414"/>
      <c r="BL387" s="414"/>
      <c r="BM387" s="414"/>
      <c r="BN387" s="414"/>
      <c r="BO387" s="414"/>
      <c r="BP387" s="414"/>
      <c r="BQ387" s="414"/>
      <c r="BR387" s="414"/>
      <c r="BS387" s="414"/>
      <c r="BT387" s="414"/>
      <c r="BU387" s="414"/>
      <c r="BV387" s="414"/>
      <c r="BW387" s="414"/>
      <c r="BX387" s="414"/>
      <c r="BY387" s="414"/>
      <c r="BZ387" s="414"/>
      <c r="CA387" s="414"/>
      <c r="CB387" s="414"/>
      <c r="CC387" s="414"/>
      <c r="CD387" s="414"/>
      <c r="CE387" s="414"/>
      <c r="CF387" s="414"/>
      <c r="CG387" s="414"/>
      <c r="CH387" s="414"/>
      <c r="CI387" s="414"/>
      <c r="CJ387" s="414"/>
      <c r="CK387" s="414"/>
      <c r="CL387" s="414"/>
      <c r="CM387" s="414"/>
      <c r="CN387" s="414"/>
      <c r="CO387" s="414"/>
      <c r="CP387" s="414"/>
      <c r="CQ387" s="414"/>
      <c r="CR387" s="414"/>
      <c r="CS387" s="414"/>
      <c r="CT387" s="414"/>
      <c r="CU387" s="414"/>
      <c r="CV387" s="414"/>
      <c r="CW387" s="414"/>
      <c r="CX387" s="414"/>
      <c r="CY387" s="414"/>
      <c r="CZ387" s="414"/>
      <c r="DA387" s="414"/>
      <c r="DB387" s="414"/>
      <c r="DC387" s="414"/>
      <c r="DD387" s="414"/>
      <c r="DE387" s="414"/>
      <c r="DF387" s="414"/>
      <c r="DG387" s="414"/>
      <c r="DH387" s="414"/>
      <c r="DI387" s="414"/>
      <c r="DJ387" s="414"/>
      <c r="DK387" s="414"/>
      <c r="DL387" s="414"/>
      <c r="DM387" s="414"/>
      <c r="DN387" s="414"/>
      <c r="DO387" s="414"/>
      <c r="DP387" s="414"/>
      <c r="DQ387" s="414"/>
      <c r="DR387" s="414"/>
      <c r="DS387" s="414"/>
      <c r="DT387" s="414"/>
      <c r="DU387" s="414"/>
      <c r="DV387" s="414"/>
      <c r="DW387" s="414"/>
    </row>
    <row r="388" ht="15.0" customHeight="1">
      <c r="A388" s="343">
        <v>42146.0</v>
      </c>
      <c r="B388" s="344" t="s">
        <v>3605</v>
      </c>
      <c r="C388" s="344" t="s">
        <v>2983</v>
      </c>
      <c r="D388" s="344">
        <v>50.0</v>
      </c>
      <c r="E388" s="345">
        <f>IFERROR(__xludf.DUMMYFUNCTION("if(and(D388&lt;&gt;0,D388&lt;&gt;""""),D388/GOOGLEFINANCE(C388,""price"")-1,"""")"),-0.6451132088863651)</f>
        <v>-0.6451132089</v>
      </c>
      <c r="F388" s="364">
        <f>IFERROR(__xludf.DUMMYFUNCTION("GOOGLEFINANCE(C388,""price"")"),140.89)</f>
        <v>140.89</v>
      </c>
      <c r="G388" s="345">
        <f t="shared" si="6"/>
        <v>-0.4497960445</v>
      </c>
      <c r="H388" s="347"/>
      <c r="I388" s="348">
        <f>2.18*($I$1+9)*1.5</f>
        <v>77.51823529</v>
      </c>
      <c r="J388" s="349"/>
      <c r="K388" s="349"/>
      <c r="L388" s="350"/>
      <c r="M388" s="351">
        <f t="shared" si="7"/>
        <v>-119.9023034</v>
      </c>
      <c r="N388" s="349">
        <f t="shared" si="8"/>
        <v>0</v>
      </c>
      <c r="O388" s="350"/>
      <c r="P388" s="352"/>
      <c r="Q388" s="353"/>
      <c r="R388" s="365"/>
      <c r="S388" s="365"/>
      <c r="T388" s="365"/>
      <c r="U388" s="356" t="s">
        <v>3606</v>
      </c>
      <c r="V388" s="344"/>
      <c r="W388" s="344"/>
      <c r="X388" s="344"/>
      <c r="Y388" s="344"/>
      <c r="Z388" s="344"/>
      <c r="AA388" s="344"/>
      <c r="AB388" s="344"/>
      <c r="AC388" s="344"/>
      <c r="AD388" s="344"/>
      <c r="AE388" s="344"/>
      <c r="AF388" s="344"/>
      <c r="AG388" s="344"/>
      <c r="AH388" s="344"/>
      <c r="AI388" s="344"/>
      <c r="AJ388" s="344"/>
      <c r="AK388" s="344"/>
      <c r="AL388" s="344"/>
      <c r="AM388" s="344"/>
      <c r="AN388" s="344"/>
      <c r="AO388" s="344"/>
      <c r="AP388" s="344"/>
      <c r="AQ388" s="344"/>
      <c r="AR388" s="344"/>
      <c r="AS388" s="344"/>
      <c r="AT388" s="344"/>
      <c r="AU388" s="344"/>
      <c r="AV388" s="344"/>
      <c r="AW388" s="344"/>
      <c r="AX388" s="344"/>
      <c r="AY388" s="344"/>
      <c r="AZ388" s="344"/>
      <c r="BA388" s="344"/>
      <c r="BB388" s="344"/>
      <c r="BC388" s="344"/>
      <c r="BD388" s="344"/>
      <c r="BE388" s="344"/>
      <c r="BF388" s="344"/>
      <c r="BG388" s="344"/>
      <c r="BH388" s="344"/>
      <c r="BI388" s="344"/>
      <c r="BJ388" s="344"/>
      <c r="BK388" s="344"/>
      <c r="BL388" s="344"/>
      <c r="BM388" s="344"/>
      <c r="BN388" s="344"/>
      <c r="BO388" s="344"/>
      <c r="BP388" s="344"/>
      <c r="BQ388" s="344"/>
      <c r="BR388" s="344"/>
      <c r="BS388" s="344"/>
      <c r="BT388" s="344"/>
      <c r="BU388" s="344"/>
      <c r="BV388" s="344"/>
      <c r="BW388" s="344"/>
      <c r="BX388" s="344"/>
      <c r="BY388" s="344"/>
      <c r="BZ388" s="344"/>
      <c r="CA388" s="344"/>
      <c r="CB388" s="344"/>
      <c r="CC388" s="344"/>
      <c r="CD388" s="344"/>
      <c r="CE388" s="344"/>
      <c r="CF388" s="344"/>
      <c r="CG388" s="344"/>
      <c r="CH388" s="344"/>
      <c r="CI388" s="344"/>
      <c r="CJ388" s="344"/>
      <c r="CK388" s="344"/>
      <c r="CL388" s="344"/>
      <c r="CM388" s="344"/>
      <c r="CN388" s="344"/>
      <c r="CO388" s="344"/>
      <c r="CP388" s="344"/>
      <c r="CQ388" s="344"/>
      <c r="CR388" s="344"/>
      <c r="CS388" s="344"/>
      <c r="CT388" s="344"/>
      <c r="CU388" s="344"/>
      <c r="CV388" s="344"/>
      <c r="CW388" s="344"/>
      <c r="CX388" s="344"/>
      <c r="CY388" s="344"/>
      <c r="CZ388" s="344"/>
      <c r="DA388" s="344"/>
      <c r="DB388" s="344"/>
      <c r="DC388" s="344"/>
      <c r="DD388" s="344"/>
      <c r="DE388" s="344"/>
      <c r="DF388" s="344"/>
      <c r="DG388" s="344"/>
      <c r="DH388" s="344"/>
      <c r="DI388" s="344"/>
      <c r="DJ388" s="344"/>
      <c r="DK388" s="344"/>
      <c r="DL388" s="344"/>
      <c r="DM388" s="344"/>
      <c r="DN388" s="344"/>
      <c r="DO388" s="344"/>
      <c r="DP388" s="344"/>
      <c r="DQ388" s="344"/>
      <c r="DR388" s="344"/>
      <c r="DS388" s="344"/>
      <c r="DT388" s="344"/>
      <c r="DU388" s="344"/>
      <c r="DV388" s="344"/>
      <c r="DW388" s="344"/>
    </row>
    <row r="389" ht="15.0" customHeight="1">
      <c r="A389" s="394">
        <v>40859.0</v>
      </c>
      <c r="B389" s="302" t="s">
        <v>3608</v>
      </c>
      <c r="C389" s="302" t="s">
        <v>3609</v>
      </c>
      <c r="D389" s="422"/>
      <c r="E389" s="396" t="str">
        <f>IFERROR(__xludf.DUMMYFUNCTION("if(and(D389&lt;&gt;0,D389&lt;&gt;""""),D389/GOOGLEFINANCE(C389,""price"")-1,"""")"),"")</f>
        <v/>
      </c>
      <c r="F389" s="397">
        <f>IFERROR(__xludf.DUMMYFUNCTION("GOOGLEFINANCE(C389,""price"")"),92.26)</f>
        <v>92.26</v>
      </c>
      <c r="G389" s="396" t="str">
        <f t="shared" si="6"/>
        <v/>
      </c>
      <c r="H389" s="398"/>
      <c r="I389" s="398"/>
      <c r="J389" s="403"/>
      <c r="K389" s="403"/>
      <c r="L389" s="410"/>
      <c r="M389" s="402">
        <f t="shared" si="7"/>
        <v>-119.9023034</v>
      </c>
      <c r="N389" s="403">
        <f t="shared" si="8"/>
        <v>0</v>
      </c>
      <c r="O389" s="410"/>
      <c r="P389" s="411"/>
      <c r="Q389" s="402"/>
      <c r="R389" s="412"/>
      <c r="S389" s="412"/>
      <c r="T389" s="412"/>
      <c r="U389" s="413" t="s">
        <v>3610</v>
      </c>
      <c r="V389" s="414"/>
      <c r="W389" s="414"/>
      <c r="X389" s="414"/>
      <c r="Y389" s="414"/>
      <c r="Z389" s="414"/>
      <c r="AA389" s="414"/>
      <c r="AB389" s="414"/>
      <c r="AC389" s="414"/>
      <c r="AD389" s="414"/>
      <c r="AE389" s="414"/>
      <c r="AF389" s="414"/>
      <c r="AG389" s="414"/>
      <c r="AH389" s="414"/>
      <c r="AI389" s="414"/>
      <c r="AJ389" s="414"/>
      <c r="AK389" s="414"/>
      <c r="AL389" s="414"/>
      <c r="AM389" s="414"/>
      <c r="AN389" s="414"/>
      <c r="AO389" s="414"/>
      <c r="AP389" s="414"/>
      <c r="AQ389" s="414"/>
      <c r="AR389" s="414"/>
      <c r="AS389" s="414"/>
      <c r="AT389" s="414"/>
      <c r="AU389" s="414"/>
      <c r="AV389" s="414"/>
      <c r="AW389" s="414"/>
      <c r="AX389" s="414"/>
      <c r="AY389" s="414"/>
      <c r="AZ389" s="414"/>
      <c r="BA389" s="414"/>
      <c r="BB389" s="414"/>
      <c r="BC389" s="414"/>
      <c r="BD389" s="414"/>
      <c r="BE389" s="414"/>
      <c r="BF389" s="414"/>
      <c r="BG389" s="414"/>
      <c r="BH389" s="414"/>
      <c r="BI389" s="414"/>
      <c r="BJ389" s="414"/>
      <c r="BK389" s="414"/>
      <c r="BL389" s="414"/>
      <c r="BM389" s="414"/>
      <c r="BN389" s="414"/>
      <c r="BO389" s="414"/>
      <c r="BP389" s="414"/>
      <c r="BQ389" s="414"/>
      <c r="BR389" s="414"/>
      <c r="BS389" s="414"/>
      <c r="BT389" s="414"/>
      <c r="BU389" s="414"/>
      <c r="BV389" s="414"/>
      <c r="BW389" s="414"/>
      <c r="BX389" s="414"/>
      <c r="BY389" s="414"/>
      <c r="BZ389" s="414"/>
      <c r="CA389" s="414"/>
      <c r="CB389" s="414"/>
      <c r="CC389" s="414"/>
      <c r="CD389" s="414"/>
      <c r="CE389" s="414"/>
      <c r="CF389" s="414"/>
      <c r="CG389" s="414"/>
      <c r="CH389" s="414"/>
      <c r="CI389" s="414"/>
      <c r="CJ389" s="414"/>
      <c r="CK389" s="414"/>
      <c r="CL389" s="414"/>
      <c r="CM389" s="414"/>
      <c r="CN389" s="414"/>
      <c r="CO389" s="414"/>
      <c r="CP389" s="414"/>
      <c r="CQ389" s="414"/>
      <c r="CR389" s="414"/>
      <c r="CS389" s="414"/>
      <c r="CT389" s="414"/>
      <c r="CU389" s="414"/>
      <c r="CV389" s="414"/>
      <c r="CW389" s="414"/>
      <c r="CX389" s="414"/>
      <c r="CY389" s="414"/>
      <c r="CZ389" s="414"/>
      <c r="DA389" s="414"/>
      <c r="DB389" s="414"/>
      <c r="DC389" s="414"/>
      <c r="DD389" s="414"/>
      <c r="DE389" s="414"/>
      <c r="DF389" s="414"/>
      <c r="DG389" s="414"/>
      <c r="DH389" s="414"/>
      <c r="DI389" s="414"/>
      <c r="DJ389" s="414"/>
      <c r="DK389" s="414"/>
      <c r="DL389" s="414"/>
      <c r="DM389" s="414"/>
      <c r="DN389" s="414"/>
      <c r="DO389" s="414"/>
      <c r="DP389" s="414"/>
      <c r="DQ389" s="414"/>
      <c r="DR389" s="414"/>
      <c r="DS389" s="414"/>
      <c r="DT389" s="414"/>
      <c r="DU389" s="414"/>
      <c r="DV389" s="414"/>
      <c r="DW389" s="414"/>
    </row>
    <row r="390" ht="15.0" customHeight="1">
      <c r="A390" s="394">
        <v>40848.0</v>
      </c>
      <c r="B390" s="302" t="s">
        <v>3611</v>
      </c>
      <c r="C390" s="302" t="s">
        <v>360</v>
      </c>
      <c r="D390" s="422"/>
      <c r="E390" s="396" t="str">
        <f>IFERROR(__xludf.DUMMYFUNCTION("if(and(D390&lt;&gt;0,D390&lt;&gt;""""),D390/GOOGLEFINANCE(C390,""price"")-1,"""")"),"")</f>
        <v/>
      </c>
      <c r="F390" s="397">
        <f>IFERROR(__xludf.DUMMYFUNCTION("GOOGLEFINANCE(C390,""price"")"),83.3)</f>
        <v>83.3</v>
      </c>
      <c r="G390" s="396">
        <f t="shared" si="6"/>
        <v>-0.6893757503</v>
      </c>
      <c r="H390" s="398"/>
      <c r="I390" s="398">
        <f>(1.5*1.15)*15</f>
        <v>25.875</v>
      </c>
      <c r="J390" s="403"/>
      <c r="K390" s="403"/>
      <c r="L390" s="410"/>
      <c r="M390" s="402">
        <f t="shared" si="7"/>
        <v>-119.9023034</v>
      </c>
      <c r="N390" s="403">
        <f t="shared" si="8"/>
        <v>0</v>
      </c>
      <c r="O390" s="410"/>
      <c r="P390" s="411"/>
      <c r="Q390" s="402"/>
      <c r="R390" s="412"/>
      <c r="S390" s="412"/>
      <c r="T390" s="412"/>
      <c r="U390" s="413" t="s">
        <v>3613</v>
      </c>
      <c r="V390" s="414"/>
      <c r="W390" s="414"/>
      <c r="X390" s="414"/>
      <c r="Y390" s="414"/>
      <c r="Z390" s="414"/>
      <c r="AA390" s="414"/>
      <c r="AB390" s="414"/>
      <c r="AC390" s="414"/>
      <c r="AD390" s="414"/>
      <c r="AE390" s="414"/>
      <c r="AF390" s="414"/>
      <c r="AG390" s="414"/>
      <c r="AH390" s="414"/>
      <c r="AI390" s="414"/>
      <c r="AJ390" s="414"/>
      <c r="AK390" s="414"/>
      <c r="AL390" s="414"/>
      <c r="AM390" s="414"/>
      <c r="AN390" s="414"/>
      <c r="AO390" s="414"/>
      <c r="AP390" s="414"/>
      <c r="AQ390" s="414"/>
      <c r="AR390" s="414"/>
      <c r="AS390" s="414"/>
      <c r="AT390" s="414"/>
      <c r="AU390" s="414"/>
      <c r="AV390" s="414"/>
      <c r="AW390" s="414"/>
      <c r="AX390" s="414"/>
      <c r="AY390" s="414"/>
      <c r="AZ390" s="414"/>
      <c r="BA390" s="414"/>
      <c r="BB390" s="414"/>
      <c r="BC390" s="414"/>
      <c r="BD390" s="414"/>
      <c r="BE390" s="414"/>
      <c r="BF390" s="414"/>
      <c r="BG390" s="414"/>
      <c r="BH390" s="414"/>
      <c r="BI390" s="414"/>
      <c r="BJ390" s="414"/>
      <c r="BK390" s="414"/>
      <c r="BL390" s="414"/>
      <c r="BM390" s="414"/>
      <c r="BN390" s="414"/>
      <c r="BO390" s="414"/>
      <c r="BP390" s="414"/>
      <c r="BQ390" s="414"/>
      <c r="BR390" s="414"/>
      <c r="BS390" s="414"/>
      <c r="BT390" s="414"/>
      <c r="BU390" s="414"/>
      <c r="BV390" s="414"/>
      <c r="BW390" s="414"/>
      <c r="BX390" s="414"/>
      <c r="BY390" s="414"/>
      <c r="BZ390" s="414"/>
      <c r="CA390" s="414"/>
      <c r="CB390" s="414"/>
      <c r="CC390" s="414"/>
      <c r="CD390" s="414"/>
      <c r="CE390" s="414"/>
      <c r="CF390" s="414"/>
      <c r="CG390" s="414"/>
      <c r="CH390" s="414"/>
      <c r="CI390" s="414"/>
      <c r="CJ390" s="414"/>
      <c r="CK390" s="414"/>
      <c r="CL390" s="414"/>
      <c r="CM390" s="414"/>
      <c r="CN390" s="414"/>
      <c r="CO390" s="414"/>
      <c r="CP390" s="414"/>
      <c r="CQ390" s="414"/>
      <c r="CR390" s="414"/>
      <c r="CS390" s="414"/>
      <c r="CT390" s="414"/>
      <c r="CU390" s="414"/>
      <c r="CV390" s="414"/>
      <c r="CW390" s="414"/>
      <c r="CX390" s="414"/>
      <c r="CY390" s="414"/>
      <c r="CZ390" s="414"/>
      <c r="DA390" s="414"/>
      <c r="DB390" s="414"/>
      <c r="DC390" s="414"/>
      <c r="DD390" s="414"/>
      <c r="DE390" s="414"/>
      <c r="DF390" s="414"/>
      <c r="DG390" s="414"/>
      <c r="DH390" s="414"/>
      <c r="DI390" s="414"/>
      <c r="DJ390" s="414"/>
      <c r="DK390" s="414"/>
      <c r="DL390" s="414"/>
      <c r="DM390" s="414"/>
      <c r="DN390" s="414"/>
      <c r="DO390" s="414"/>
      <c r="DP390" s="414"/>
      <c r="DQ390" s="414"/>
      <c r="DR390" s="414"/>
      <c r="DS390" s="414"/>
      <c r="DT390" s="414"/>
      <c r="DU390" s="414"/>
      <c r="DV390" s="414"/>
      <c r="DW390" s="414"/>
    </row>
    <row r="391" ht="15.0" customHeight="1">
      <c r="A391" s="394">
        <v>41069.0</v>
      </c>
      <c r="B391" s="302" t="s">
        <v>3615</v>
      </c>
      <c r="C391" s="302" t="s">
        <v>3616</v>
      </c>
      <c r="D391" s="422"/>
      <c r="E391" s="396" t="str">
        <f>IFERROR(__xludf.DUMMYFUNCTION("if(and(D391&lt;&gt;0,D391&lt;&gt;""""),D391/GOOGLEFINANCE(C391,""price"")-1,"""")"),"")</f>
        <v/>
      </c>
      <c r="F391" s="397">
        <f>IFERROR(__xludf.DUMMYFUNCTION("GOOGLEFINANCE(C391,""price"")"),34.69)</f>
        <v>34.69</v>
      </c>
      <c r="G391" s="396" t="str">
        <f t="shared" si="6"/>
        <v/>
      </c>
      <c r="H391" s="398"/>
      <c r="I391" s="398"/>
      <c r="J391" s="403"/>
      <c r="K391" s="403"/>
      <c r="L391" s="410"/>
      <c r="M391" s="402">
        <f t="shared" si="7"/>
        <v>-119.9023034</v>
      </c>
      <c r="N391" s="403">
        <f t="shared" si="8"/>
        <v>0</v>
      </c>
      <c r="O391" s="410"/>
      <c r="P391" s="411"/>
      <c r="Q391" s="402"/>
      <c r="R391" s="412"/>
      <c r="S391" s="412"/>
      <c r="T391" s="412"/>
      <c r="U391" s="413" t="s">
        <v>3617</v>
      </c>
      <c r="V391" s="414"/>
      <c r="W391" s="414"/>
      <c r="X391" s="414"/>
      <c r="Y391" s="414"/>
      <c r="Z391" s="414"/>
      <c r="AA391" s="414"/>
      <c r="AB391" s="414"/>
      <c r="AC391" s="414"/>
      <c r="AD391" s="414"/>
      <c r="AE391" s="414"/>
      <c r="AF391" s="414"/>
      <c r="AG391" s="414"/>
      <c r="AH391" s="414"/>
      <c r="AI391" s="414"/>
      <c r="AJ391" s="414"/>
      <c r="AK391" s="414"/>
      <c r="AL391" s="414"/>
      <c r="AM391" s="414"/>
      <c r="AN391" s="414"/>
      <c r="AO391" s="414"/>
      <c r="AP391" s="414"/>
      <c r="AQ391" s="414"/>
      <c r="AR391" s="414"/>
      <c r="AS391" s="414"/>
      <c r="AT391" s="414"/>
      <c r="AU391" s="414"/>
      <c r="AV391" s="414"/>
      <c r="AW391" s="414"/>
      <c r="AX391" s="414"/>
      <c r="AY391" s="414"/>
      <c r="AZ391" s="414"/>
      <c r="BA391" s="414"/>
      <c r="BB391" s="414"/>
      <c r="BC391" s="414"/>
      <c r="BD391" s="414"/>
      <c r="BE391" s="414"/>
      <c r="BF391" s="414"/>
      <c r="BG391" s="414"/>
      <c r="BH391" s="414"/>
      <c r="BI391" s="414"/>
      <c r="BJ391" s="414"/>
      <c r="BK391" s="414"/>
      <c r="BL391" s="414"/>
      <c r="BM391" s="414"/>
      <c r="BN391" s="414"/>
      <c r="BO391" s="414"/>
      <c r="BP391" s="414"/>
      <c r="BQ391" s="414"/>
      <c r="BR391" s="414"/>
      <c r="BS391" s="414"/>
      <c r="BT391" s="414"/>
      <c r="BU391" s="414"/>
      <c r="BV391" s="414"/>
      <c r="BW391" s="414"/>
      <c r="BX391" s="414"/>
      <c r="BY391" s="414"/>
      <c r="BZ391" s="414"/>
      <c r="CA391" s="414"/>
      <c r="CB391" s="414"/>
      <c r="CC391" s="414"/>
      <c r="CD391" s="414"/>
      <c r="CE391" s="414"/>
      <c r="CF391" s="414"/>
      <c r="CG391" s="414"/>
      <c r="CH391" s="414"/>
      <c r="CI391" s="414"/>
      <c r="CJ391" s="414"/>
      <c r="CK391" s="414"/>
      <c r="CL391" s="414"/>
      <c r="CM391" s="414"/>
      <c r="CN391" s="414"/>
      <c r="CO391" s="414"/>
      <c r="CP391" s="414"/>
      <c r="CQ391" s="414"/>
      <c r="CR391" s="414"/>
      <c r="CS391" s="414"/>
      <c r="CT391" s="414"/>
      <c r="CU391" s="414"/>
      <c r="CV391" s="414"/>
      <c r="CW391" s="414"/>
      <c r="CX391" s="414"/>
      <c r="CY391" s="414"/>
      <c r="CZ391" s="414"/>
      <c r="DA391" s="414"/>
      <c r="DB391" s="414"/>
      <c r="DC391" s="414"/>
      <c r="DD391" s="414"/>
      <c r="DE391" s="414"/>
      <c r="DF391" s="414"/>
      <c r="DG391" s="414"/>
      <c r="DH391" s="414"/>
      <c r="DI391" s="414"/>
      <c r="DJ391" s="414"/>
      <c r="DK391" s="414"/>
      <c r="DL391" s="414"/>
      <c r="DM391" s="414"/>
      <c r="DN391" s="414"/>
      <c r="DO391" s="414"/>
      <c r="DP391" s="414"/>
      <c r="DQ391" s="414"/>
      <c r="DR391" s="414"/>
      <c r="DS391" s="414"/>
      <c r="DT391" s="414"/>
      <c r="DU391" s="414"/>
      <c r="DV391" s="414"/>
      <c r="DW391" s="414"/>
    </row>
    <row r="392" ht="15.0" customHeight="1">
      <c r="A392" s="1005">
        <v>43751.0</v>
      </c>
      <c r="B392" s="1006" t="s">
        <v>3619</v>
      </c>
      <c r="C392" s="1006" t="s">
        <v>3619</v>
      </c>
      <c r="D392" s="395"/>
      <c r="E392" s="396" t="str">
        <f>IFERROR(__xludf.DUMMYFUNCTION("if(and(D392&lt;&gt;0,D392&lt;&gt;""""),D392/GOOGLEFINANCE(C392,""price"")-1,"""")"),"")</f>
        <v/>
      </c>
      <c r="F392" s="397">
        <f>IFERROR(__xludf.DUMMYFUNCTION("GOOGLEFINANCE(C392,""price"")"),9.47)</f>
        <v>9.47</v>
      </c>
      <c r="G392" s="396">
        <f t="shared" si="6"/>
        <v>0.03662276943</v>
      </c>
      <c r="H392" s="398"/>
      <c r="I392" s="399">
        <f>sum(CY392:DS392)</f>
        <v>9.816817626</v>
      </c>
      <c r="J392" s="400">
        <v>0.4</v>
      </c>
      <c r="K392" s="400">
        <f>558199*0.017*0.03/392</f>
        <v>0.7262282908</v>
      </c>
      <c r="L392" s="401">
        <v>43830.0</v>
      </c>
      <c r="M392" s="402">
        <f t="shared" si="7"/>
        <v>0.1798884213</v>
      </c>
      <c r="N392" s="403">
        <f t="shared" si="8"/>
        <v>0.6675435986</v>
      </c>
      <c r="O392" s="404">
        <v>0.0</v>
      </c>
      <c r="P392" s="404">
        <v>0.07</v>
      </c>
      <c r="Q392" s="405">
        <f>I392/N392</f>
        <v>14.70588235</v>
      </c>
      <c r="R392" s="406">
        <v>4.0</v>
      </c>
      <c r="S392" s="401">
        <v>43751.0</v>
      </c>
      <c r="T392" s="406" t="s">
        <v>1223</v>
      </c>
      <c r="U392" s="407" t="s">
        <v>3623</v>
      </c>
      <c r="V392" s="1007">
        <f>O392</f>
        <v>0</v>
      </c>
      <c r="W392" s="1008">
        <f>max(min(Valu!$C$15,$O392),$O392-max($O392-Valu!$C$15,0)/$R392*(W$3-1))</f>
        <v>0</v>
      </c>
      <c r="X392" s="1008">
        <f>max(min(Valu!$C$15,$O392),$O392-max($O392-Valu!$C$15,0)/$R392*(X$3-1))</f>
        <v>0</v>
      </c>
      <c r="Y392" s="1008">
        <f>max(min(Valu!$C$15,$O392),$O392-max($O392-Valu!$C$15,0)/$R392*(Y$3-1))</f>
        <v>0</v>
      </c>
      <c r="Z392" s="1008">
        <f>max(min(Valu!$C$15,$O392),$O392-max($O392-Valu!$C$15,0)/$R392*(Z$3-1))</f>
        <v>0</v>
      </c>
      <c r="AA392" s="1008">
        <f>max(min(Valu!$C$15,$O392),$O392-max($O392-Valu!$C$15,0)/$R392*(AA$3-1))</f>
        <v>0</v>
      </c>
      <c r="AB392" s="1008">
        <f>max(min(Valu!$C$15,$O392),$O392-max($O392-Valu!$C$15,0)/$R392*(AB$3-1))</f>
        <v>0</v>
      </c>
      <c r="AC392" s="1008">
        <f>max(min(Valu!$C$15,$O392),$O392-max($O392-Valu!$C$15,0)/$R392*(AC$3-1))</f>
        <v>0</v>
      </c>
      <c r="AD392" s="1008">
        <f>max(min(Valu!$C$15,$O392),$O392-max($O392-Valu!$C$15,0)/$R392*(AD$3-1))</f>
        <v>0</v>
      </c>
      <c r="AE392" s="1008">
        <f>max(min(Valu!$C$15,$O392),$O392-max($O392-Valu!$C$15,0)/$R392*(AE$3-1))</f>
        <v>0</v>
      </c>
      <c r="AF392" s="1008">
        <f>max(min(Valu!$C$15,$O392),$O392-max($O392-Valu!$C$15,0)/$R392*(AF$3-1))</f>
        <v>0</v>
      </c>
      <c r="AG392" s="1008">
        <f>max(min(Valu!$C$15,$O392),$O392-max($O392-Valu!$C$15,0)/$R392*(AG$3-1))</f>
        <v>0</v>
      </c>
      <c r="AH392" s="1008">
        <f>max(min(Valu!$C$15,$O392),$O392-max($O392-Valu!$C$15,0)/$R392*(AH$3-1))</f>
        <v>0</v>
      </c>
      <c r="AI392" s="1008">
        <f>max(min(Valu!$C$15,$O392),$O392-max($O392-Valu!$C$15,0)/$R392*(AI$3-1))</f>
        <v>0</v>
      </c>
      <c r="AJ392" s="1008">
        <f>max(min(Valu!$C$15,$O392),$O392-max($O392-Valu!$C$15,0)/$R392*(AJ$3-1))</f>
        <v>0</v>
      </c>
      <c r="AK392" s="1008">
        <f>max(min(Valu!$C$15,$O392),$O392-max($O392-Valu!$C$15,0)/$R392*(AK$3-1))</f>
        <v>0</v>
      </c>
      <c r="AL392" s="1008">
        <f>max(min(Valu!$C$15,$O392),$O392-max($O392-Valu!$C$15,0)/$R392*(AL$3-1))</f>
        <v>0</v>
      </c>
      <c r="AM392" s="1008">
        <f>max(min(Valu!$C$15,$O392),$O392-max($O392-Valu!$C$15,0)/$R392*(AM$3-1))</f>
        <v>0</v>
      </c>
      <c r="AN392" s="1008">
        <f>max(min(Valu!$C$15,$O392),$O392-max($O392-Valu!$C$15,0)/$R392*(AN$3-1))</f>
        <v>0</v>
      </c>
      <c r="AO392" s="1008">
        <f>max(min(Valu!$C$15,$O392),$O392-max($O392-Valu!$C$15,0)/$R392*(AO$3-1))</f>
        <v>0</v>
      </c>
      <c r="AP392" s="1008">
        <f>max(min(Valu!$C$14,$P392),$P392-max($P392-Valu!$C$14,0)/$R392*(AP$3-1))</f>
        <v>0.07</v>
      </c>
      <c r="AQ392" s="1008">
        <f>max(min(Valu!$C$14,$P392),$P392-max($P392-Valu!$C$14,0)/$R392*(AQ$3-1))</f>
        <v>0.07</v>
      </c>
      <c r="AR392" s="1008">
        <f>max(min(Valu!$C$14,$P392),$P392-max($P392-Valu!$C$14,0)/$R392*(AR$3-1))</f>
        <v>0.07</v>
      </c>
      <c r="AS392" s="1008">
        <f>max(min(Valu!$C$14,$P392),$P392-max($P392-Valu!$C$14,0)/$R392*(AS$3-1))</f>
        <v>0.07</v>
      </c>
      <c r="AT392" s="1008">
        <f>max(min(Valu!$C$14,$P392),$P392-max($P392-Valu!$C$14,0)/$R392*(AT$3-1))</f>
        <v>0.07</v>
      </c>
      <c r="AU392" s="1008">
        <f>max(min(Valu!$C$14,$P392),$P392-max($P392-Valu!$C$14,0)/$R392*(AU$3-1))</f>
        <v>0.07</v>
      </c>
      <c r="AV392" s="1008">
        <f>max(min(Valu!$C$14,$P392),$P392-max($P392-Valu!$C$14,0)/$R392*(AV$3-1))</f>
        <v>0.07</v>
      </c>
      <c r="AW392" s="1008">
        <f>max(min(Valu!$C$14,$P392),$P392-max($P392-Valu!$C$14,0)/$R392*(AW$3-1))</f>
        <v>0.07</v>
      </c>
      <c r="AX392" s="1008">
        <f>max(min(Valu!$C$14,$P392),$P392-max($P392-Valu!$C$14,0)/$R392*(AX$3-1))</f>
        <v>0.07</v>
      </c>
      <c r="AY392" s="1008">
        <f>max(min(Valu!$C$14,$P392),$P392-max($P392-Valu!$C$14,0)/$R392*(AY$3-1))</f>
        <v>0.07</v>
      </c>
      <c r="AZ392" s="1008">
        <f>max(min(Valu!$C$14,$P392),$P392-max($P392-Valu!$C$14,0)/$R392*(AZ$3-1))</f>
        <v>0.07</v>
      </c>
      <c r="BA392" s="1008">
        <f>max(min(Valu!$C$14,$P392),$P392-max($P392-Valu!$C$14,0)/$R392*(BA$3-1))</f>
        <v>0.07</v>
      </c>
      <c r="BB392" s="1008">
        <f>max(min(Valu!$C$14,$P392),$P392-max($P392-Valu!$C$14,0)/$R392*(BB$3-1))</f>
        <v>0.07</v>
      </c>
      <c r="BC392" s="1008">
        <f>max(min(Valu!$C$14,$P392),$P392-max($P392-Valu!$C$14,0)/$R392*(BC$3-1))</f>
        <v>0.07</v>
      </c>
      <c r="BD392" s="1008">
        <f>max(min(Valu!$C$14,$P392),$P392-max($P392-Valu!$C$14,0)/$R392*(BD$3-1))</f>
        <v>0.07</v>
      </c>
      <c r="BE392" s="1008">
        <f>max(min(Valu!$C$14,$P392),$P392-max($P392-Valu!$C$14,0)/$R392*(BE$3-1))</f>
        <v>0.07</v>
      </c>
      <c r="BF392" s="1008">
        <f>max(min(Valu!$C$14,$P392),$P392-max($P392-Valu!$C$14,0)/$R392*(BF$3-1))</f>
        <v>0.07</v>
      </c>
      <c r="BG392" s="1008">
        <f>max(min(Valu!$C$14,$P392),$P392-max($P392-Valu!$C$14,0)/$R392*(BG$3-1))</f>
        <v>0.07</v>
      </c>
      <c r="BH392" s="1008">
        <f>max(min(Valu!$C$14,$P392),$P392-max($P392-Valu!$C$14,0)/$R392*(BH$3-1))</f>
        <v>0.07</v>
      </c>
      <c r="BI392" s="1008">
        <f>max(min(Valu!$C$14,$P392),$P392-max($P392-Valu!$C$14,0)/$R392*(BI$3-1))</f>
        <v>0.07</v>
      </c>
      <c r="BJ392" s="1009">
        <f>N392</f>
        <v>0.6675435986</v>
      </c>
      <c r="BK392" s="1010">
        <f>$BJ392*(1+V392)</f>
        <v>0.6675435986</v>
      </c>
      <c r="BL392" s="1010">
        <f t="shared" ref="BL392:CC392" si="202">BK392*(1+W392)</f>
        <v>0.6675435986</v>
      </c>
      <c r="BM392" s="1010">
        <f t="shared" si="202"/>
        <v>0.6675435986</v>
      </c>
      <c r="BN392" s="1010">
        <f t="shared" si="202"/>
        <v>0.6675435986</v>
      </c>
      <c r="BO392" s="1010">
        <f t="shared" si="202"/>
        <v>0.6675435986</v>
      </c>
      <c r="BP392" s="1010">
        <f t="shared" si="202"/>
        <v>0.6675435986</v>
      </c>
      <c r="BQ392" s="1010">
        <f t="shared" si="202"/>
        <v>0.6675435986</v>
      </c>
      <c r="BR392" s="1010">
        <f t="shared" si="202"/>
        <v>0.6675435986</v>
      </c>
      <c r="BS392" s="1010">
        <f t="shared" si="202"/>
        <v>0.6675435986</v>
      </c>
      <c r="BT392" s="1010">
        <f t="shared" si="202"/>
        <v>0.6675435986</v>
      </c>
      <c r="BU392" s="1010">
        <f t="shared" si="202"/>
        <v>0.6675435986</v>
      </c>
      <c r="BV392" s="1010">
        <f t="shared" si="202"/>
        <v>0.6675435986</v>
      </c>
      <c r="BW392" s="1010">
        <f t="shared" si="202"/>
        <v>0.6675435986</v>
      </c>
      <c r="BX392" s="1010">
        <f t="shared" si="202"/>
        <v>0.6675435986</v>
      </c>
      <c r="BY392" s="1010">
        <f t="shared" si="202"/>
        <v>0.6675435986</v>
      </c>
      <c r="BZ392" s="1010">
        <f t="shared" si="202"/>
        <v>0.6675435986</v>
      </c>
      <c r="CA392" s="1010">
        <f t="shared" si="202"/>
        <v>0.6675435986</v>
      </c>
      <c r="CB392" s="1010">
        <f t="shared" si="202"/>
        <v>0.6675435986</v>
      </c>
      <c r="CC392" s="1010">
        <f t="shared" si="202"/>
        <v>0.6675435986</v>
      </c>
      <c r="CD392" s="1010">
        <f t="shared" ref="CD392:CW392" si="203">BJ392*(1-V392/AP392)</f>
        <v>0.6675435986</v>
      </c>
      <c r="CE392" s="1010">
        <f t="shared" si="203"/>
        <v>0.6675435986</v>
      </c>
      <c r="CF392" s="1010">
        <f t="shared" si="203"/>
        <v>0.6675435986</v>
      </c>
      <c r="CG392" s="1010">
        <f t="shared" si="203"/>
        <v>0.6675435986</v>
      </c>
      <c r="CH392" s="1010">
        <f t="shared" si="203"/>
        <v>0.6675435986</v>
      </c>
      <c r="CI392" s="1010">
        <f t="shared" si="203"/>
        <v>0.6675435986</v>
      </c>
      <c r="CJ392" s="1010">
        <f t="shared" si="203"/>
        <v>0.6675435986</v>
      </c>
      <c r="CK392" s="1010">
        <f t="shared" si="203"/>
        <v>0.6675435986</v>
      </c>
      <c r="CL392" s="1010">
        <f t="shared" si="203"/>
        <v>0.6675435986</v>
      </c>
      <c r="CM392" s="1010">
        <f t="shared" si="203"/>
        <v>0.6675435986</v>
      </c>
      <c r="CN392" s="1010">
        <f t="shared" si="203"/>
        <v>0.6675435986</v>
      </c>
      <c r="CO392" s="1010">
        <f t="shared" si="203"/>
        <v>0.6675435986</v>
      </c>
      <c r="CP392" s="1010">
        <f t="shared" si="203"/>
        <v>0.6675435986</v>
      </c>
      <c r="CQ392" s="1010">
        <f t="shared" si="203"/>
        <v>0.6675435986</v>
      </c>
      <c r="CR392" s="1010">
        <f t="shared" si="203"/>
        <v>0.6675435986</v>
      </c>
      <c r="CS392" s="1010">
        <f t="shared" si="203"/>
        <v>0.6675435986</v>
      </c>
      <c r="CT392" s="1010">
        <f t="shared" si="203"/>
        <v>0.6675435986</v>
      </c>
      <c r="CU392" s="1010">
        <f t="shared" si="203"/>
        <v>0.6675435986</v>
      </c>
      <c r="CV392" s="1010">
        <f t="shared" si="203"/>
        <v>0.6675435986</v>
      </c>
      <c r="CW392" s="1010">
        <f t="shared" si="203"/>
        <v>0.6675435986</v>
      </c>
      <c r="CX392" s="1010">
        <f>CW392*(1+min(Valu!$C$15,$O392))/(Valu!$C$21-min(Valu!$C$15,$O392))</f>
        <v>9.816817626</v>
      </c>
      <c r="CY392" s="1010">
        <f>CD392/(1+Valu!$C$21)^CY$3</f>
        <v>0.6250408227</v>
      </c>
      <c r="CZ392" s="1010">
        <f>CE392/(1+Valu!$C$21)^CZ$3</f>
        <v>0.585244216</v>
      </c>
      <c r="DA392" s="1010">
        <f>CF392/(1+Valu!$C$21)^DA$3</f>
        <v>0.5479814756</v>
      </c>
      <c r="DB392" s="1010">
        <f>CG392/(1+Valu!$C$21)^DB$3</f>
        <v>0.5130912693</v>
      </c>
      <c r="DC392" s="1010">
        <f>CH392/(1+Valu!$C$21)^DC$3</f>
        <v>0.4804225368</v>
      </c>
      <c r="DD392" s="1010">
        <f>CI392/(1+Valu!$C$21)^DD$3</f>
        <v>0.449833836</v>
      </c>
      <c r="DE392" s="1010">
        <f>CJ392/(1+Valu!$C$21)^DE$3</f>
        <v>0.4211927303</v>
      </c>
      <c r="DF392" s="1010">
        <f>CK392/(1+Valu!$C$21)^DF$3</f>
        <v>0.3943752156</v>
      </c>
      <c r="DG392" s="1010">
        <f>CL392/(1+Valu!$C$21)^DG$3</f>
        <v>0.3692651832</v>
      </c>
      <c r="DH392" s="1010">
        <f>CM392/(1+Valu!$C$21)^DH$3</f>
        <v>0.3457539168</v>
      </c>
      <c r="DI392" s="1010">
        <f>CN392/(1+Valu!$C$21)^DI$3</f>
        <v>0.3237396225</v>
      </c>
      <c r="DJ392" s="1010">
        <f>CO392/(1+Valu!$C$21)^DJ$3</f>
        <v>0.3031269874</v>
      </c>
      <c r="DK392" s="1010">
        <f>CP392/(1+Valu!$C$21)^DK$3</f>
        <v>0.2838267672</v>
      </c>
      <c r="DL392" s="1010">
        <f>CQ392/(1+Valu!$C$21)^DL$3</f>
        <v>0.2657554</v>
      </c>
      <c r="DM392" s="1010">
        <f>CR392/(1+Valu!$C$21)^DM$3</f>
        <v>0.2488346442</v>
      </c>
      <c r="DN392" s="1010">
        <f>CS392/(1+Valu!$C$21)^DN$3</f>
        <v>0.2329912399</v>
      </c>
      <c r="DO392" s="1010">
        <f>CT392/(1+Valu!$C$21)^DO$3</f>
        <v>0.2181565916</v>
      </c>
      <c r="DP392" s="1010">
        <f>CU392/(1+Valu!$C$21)^DP$3</f>
        <v>0.2042664716</v>
      </c>
      <c r="DQ392" s="1010">
        <f>CV392/(1+Valu!$C$21)^DQ$3</f>
        <v>0.1912607412</v>
      </c>
      <c r="DR392" s="1010">
        <f>CW392/(1+Valu!$C$21)^DR$3</f>
        <v>0.179083091</v>
      </c>
      <c r="DS392" s="1010">
        <f>CX392/(1+Valu!$C$21)^DS$3</f>
        <v>2.633574868</v>
      </c>
      <c r="DT392" s="408"/>
      <c r="DU392" s="408"/>
      <c r="DV392" s="408"/>
      <c r="DW392" s="408"/>
    </row>
    <row r="393" ht="15.0" customHeight="1">
      <c r="A393" s="383">
        <v>40530.0</v>
      </c>
      <c r="B393" s="320" t="s">
        <v>3637</v>
      </c>
      <c r="C393" s="320" t="s">
        <v>1452</v>
      </c>
      <c r="D393" s="384">
        <v>80.0</v>
      </c>
      <c r="E393" s="374">
        <f>IFERROR(__xludf.DUMMYFUNCTION("if(and(D393&lt;&gt;0,D393&lt;&gt;""""),D393/GOOGLEFINANCE(C393,""price"")-1,"""")"),-0.26672777268560954)</f>
        <v>-0.2667277727</v>
      </c>
      <c r="F393" s="375">
        <f>IFERROR(__xludf.DUMMYFUNCTION("GOOGLEFINANCE(C393,""price"")"),109.1)</f>
        <v>109.1</v>
      </c>
      <c r="G393" s="374">
        <f t="shared" si="6"/>
        <v>-0.2496146553</v>
      </c>
      <c r="H393" s="376"/>
      <c r="I393" s="376">
        <f t="shared" ref="I393:I395" si="204">N393*($I$1+O393*100)</f>
        <v>81.86704111</v>
      </c>
      <c r="J393" s="377">
        <v>3.81</v>
      </c>
      <c r="K393" s="377">
        <v>4.23</v>
      </c>
      <c r="L393" s="378">
        <v>43830.0</v>
      </c>
      <c r="M393" s="379">
        <f t="shared" si="7"/>
        <v>0.1798884235</v>
      </c>
      <c r="N393" s="380">
        <f t="shared" si="8"/>
        <v>4.154446862</v>
      </c>
      <c r="O393" s="370">
        <v>0.05</v>
      </c>
      <c r="P393" s="370"/>
      <c r="Q393" s="371"/>
      <c r="R393" s="378"/>
      <c r="S393" s="378">
        <v>43557.0</v>
      </c>
      <c r="T393" s="381" t="s">
        <v>1223</v>
      </c>
      <c r="U393" s="382" t="s">
        <v>3638</v>
      </c>
      <c r="V393" s="358"/>
      <c r="W393" s="358"/>
      <c r="X393" s="358"/>
      <c r="Y393" s="358"/>
      <c r="Z393" s="358"/>
      <c r="AA393" s="358"/>
      <c r="AB393" s="358"/>
      <c r="AC393" s="358"/>
      <c r="AD393" s="358"/>
      <c r="AE393" s="358"/>
      <c r="AF393" s="358"/>
      <c r="AG393" s="358"/>
      <c r="AH393" s="358"/>
      <c r="AI393" s="358"/>
      <c r="AJ393" s="358"/>
      <c r="AK393" s="358"/>
      <c r="AL393" s="358"/>
      <c r="AM393" s="358"/>
      <c r="AN393" s="358"/>
      <c r="AO393" s="358"/>
      <c r="AP393" s="358"/>
      <c r="AQ393" s="358"/>
      <c r="AR393" s="358"/>
      <c r="AS393" s="358"/>
      <c r="AT393" s="358"/>
      <c r="AU393" s="358"/>
      <c r="AV393" s="358"/>
      <c r="AW393" s="358"/>
      <c r="AX393" s="358"/>
      <c r="AY393" s="358"/>
      <c r="AZ393" s="358"/>
      <c r="BA393" s="358"/>
      <c r="BB393" s="358"/>
      <c r="BC393" s="358"/>
      <c r="BD393" s="358"/>
      <c r="BE393" s="358"/>
      <c r="BF393" s="358"/>
      <c r="BG393" s="358"/>
      <c r="BH393" s="358"/>
      <c r="BI393" s="358"/>
      <c r="BJ393" s="358"/>
      <c r="BK393" s="358"/>
      <c r="BL393" s="358"/>
      <c r="BM393" s="358"/>
      <c r="BN393" s="358"/>
      <c r="BO393" s="358"/>
      <c r="BP393" s="358"/>
      <c r="BQ393" s="358"/>
      <c r="BR393" s="358"/>
      <c r="BS393" s="358"/>
      <c r="BT393" s="358"/>
      <c r="BU393" s="358"/>
      <c r="BV393" s="358"/>
      <c r="BW393" s="358"/>
      <c r="BX393" s="358"/>
      <c r="BY393" s="358"/>
      <c r="BZ393" s="358"/>
      <c r="CA393" s="358"/>
      <c r="CB393" s="358"/>
      <c r="CC393" s="358"/>
      <c r="CD393" s="358"/>
      <c r="CE393" s="358"/>
      <c r="CF393" s="358"/>
      <c r="CG393" s="358"/>
      <c r="CH393" s="358"/>
      <c r="CI393" s="358"/>
      <c r="CJ393" s="358"/>
      <c r="CK393" s="358"/>
      <c r="CL393" s="358"/>
      <c r="CM393" s="358"/>
      <c r="CN393" s="358"/>
      <c r="CO393" s="358"/>
      <c r="CP393" s="358"/>
      <c r="CQ393" s="358"/>
      <c r="CR393" s="358"/>
      <c r="CS393" s="358"/>
      <c r="CT393" s="358"/>
      <c r="CU393" s="358"/>
      <c r="CV393" s="358"/>
      <c r="CW393" s="358"/>
      <c r="CX393" s="358"/>
      <c r="CY393" s="358"/>
      <c r="CZ393" s="358"/>
      <c r="DA393" s="358"/>
      <c r="DB393" s="358"/>
      <c r="DC393" s="358"/>
      <c r="DD393" s="358"/>
      <c r="DE393" s="358"/>
      <c r="DF393" s="358"/>
      <c r="DG393" s="358"/>
      <c r="DH393" s="358"/>
      <c r="DI393" s="358"/>
      <c r="DJ393" s="358"/>
      <c r="DK393" s="358"/>
      <c r="DL393" s="358"/>
      <c r="DM393" s="358"/>
      <c r="DN393" s="358"/>
      <c r="DO393" s="358"/>
      <c r="DP393" s="358"/>
      <c r="DQ393" s="358"/>
      <c r="DR393" s="358"/>
      <c r="DS393" s="358"/>
      <c r="DT393" s="358"/>
      <c r="DU393" s="358"/>
      <c r="DV393" s="358"/>
      <c r="DW393" s="358"/>
    </row>
    <row r="394" ht="15.0" customHeight="1">
      <c r="A394" s="388">
        <v>43593.0</v>
      </c>
      <c r="B394" s="373" t="s">
        <v>3639</v>
      </c>
      <c r="C394" s="373" t="s">
        <v>3640</v>
      </c>
      <c r="D394" s="384"/>
      <c r="E394" s="374" t="str">
        <f>IFERROR(__xludf.DUMMYFUNCTION("if(and(D394&lt;&gt;0,D394&lt;&gt;""""),D394/GOOGLEFINANCE(C394,""price"")-1,"""")"),"")</f>
        <v/>
      </c>
      <c r="F394" s="375">
        <f>IFERROR(__xludf.DUMMYFUNCTION("GOOGLEFINANCE(C394,""price"")"),63.45)</f>
        <v>63.45</v>
      </c>
      <c r="G394" s="374">
        <f t="shared" si="6"/>
        <v>-0.2710848462</v>
      </c>
      <c r="H394" s="376"/>
      <c r="I394" s="376">
        <f t="shared" si="204"/>
        <v>46.24966651</v>
      </c>
      <c r="J394" s="377">
        <v>0.19</v>
      </c>
      <c r="K394" s="377">
        <v>0.48</v>
      </c>
      <c r="L394" s="378">
        <v>43861.0</v>
      </c>
      <c r="M394" s="379">
        <f t="shared" si="7"/>
        <v>0.2648199281</v>
      </c>
      <c r="N394" s="380">
        <f t="shared" si="8"/>
        <v>0.4032022208</v>
      </c>
      <c r="O394" s="370">
        <v>1.0</v>
      </c>
      <c r="P394" s="370"/>
      <c r="Q394" s="371"/>
      <c r="R394" s="378"/>
      <c r="S394" s="378">
        <v>43593.0</v>
      </c>
      <c r="T394" s="381" t="s">
        <v>1608</v>
      </c>
      <c r="U394" s="382" t="s">
        <v>3642</v>
      </c>
      <c r="V394" s="358"/>
      <c r="W394" s="358"/>
      <c r="X394" s="358"/>
      <c r="Y394" s="358"/>
      <c r="Z394" s="358"/>
      <c r="AA394" s="358"/>
      <c r="AB394" s="358"/>
      <c r="AC394" s="358"/>
      <c r="AD394" s="358"/>
      <c r="AE394" s="358"/>
      <c r="AF394" s="358"/>
      <c r="AG394" s="358"/>
      <c r="AH394" s="358"/>
      <c r="AI394" s="358"/>
      <c r="AJ394" s="358"/>
      <c r="AK394" s="358"/>
      <c r="AL394" s="358"/>
      <c r="AM394" s="358"/>
      <c r="AN394" s="358"/>
      <c r="AO394" s="358"/>
      <c r="AP394" s="358"/>
      <c r="AQ394" s="358"/>
      <c r="AR394" s="358"/>
      <c r="AS394" s="358"/>
      <c r="AT394" s="358"/>
      <c r="AU394" s="358"/>
      <c r="AV394" s="358"/>
      <c r="AW394" s="358"/>
      <c r="AX394" s="358"/>
      <c r="AY394" s="358"/>
      <c r="AZ394" s="358"/>
      <c r="BA394" s="358"/>
      <c r="BB394" s="358"/>
      <c r="BC394" s="358"/>
      <c r="BD394" s="358"/>
      <c r="BE394" s="358"/>
      <c r="BF394" s="358"/>
      <c r="BG394" s="358"/>
      <c r="BH394" s="358"/>
      <c r="BI394" s="358"/>
      <c r="BJ394" s="358"/>
      <c r="BK394" s="358"/>
      <c r="BL394" s="358"/>
      <c r="BM394" s="358"/>
      <c r="BN394" s="358"/>
      <c r="BO394" s="358"/>
      <c r="BP394" s="358"/>
      <c r="BQ394" s="358"/>
      <c r="BR394" s="358"/>
      <c r="BS394" s="358"/>
      <c r="BT394" s="358"/>
      <c r="BU394" s="358"/>
      <c r="BV394" s="358"/>
      <c r="BW394" s="358"/>
      <c r="BX394" s="358"/>
      <c r="BY394" s="358"/>
      <c r="BZ394" s="358"/>
      <c r="CA394" s="358"/>
      <c r="CB394" s="358"/>
      <c r="CC394" s="358"/>
      <c r="CD394" s="358"/>
      <c r="CE394" s="358"/>
      <c r="CF394" s="358"/>
      <c r="CG394" s="358"/>
      <c r="CH394" s="358"/>
      <c r="CI394" s="358"/>
      <c r="CJ394" s="358"/>
      <c r="CK394" s="358"/>
      <c r="CL394" s="358"/>
      <c r="CM394" s="358"/>
      <c r="CN394" s="358"/>
      <c r="CO394" s="358"/>
      <c r="CP394" s="358"/>
      <c r="CQ394" s="358"/>
      <c r="CR394" s="358"/>
      <c r="CS394" s="358"/>
      <c r="CT394" s="358"/>
      <c r="CU394" s="358"/>
      <c r="CV394" s="358"/>
      <c r="CW394" s="358"/>
      <c r="CX394" s="358"/>
      <c r="CY394" s="358"/>
      <c r="CZ394" s="358"/>
      <c r="DA394" s="358"/>
      <c r="DB394" s="358"/>
      <c r="DC394" s="358"/>
      <c r="DD394" s="358"/>
      <c r="DE394" s="358"/>
      <c r="DF394" s="358"/>
      <c r="DG394" s="358"/>
      <c r="DH394" s="358"/>
      <c r="DI394" s="358"/>
      <c r="DJ394" s="358"/>
      <c r="DK394" s="358"/>
      <c r="DL394" s="358"/>
      <c r="DM394" s="358"/>
      <c r="DN394" s="358"/>
      <c r="DO394" s="358"/>
      <c r="DP394" s="358"/>
      <c r="DQ394" s="358"/>
      <c r="DR394" s="358"/>
      <c r="DS394" s="358"/>
      <c r="DT394" s="358"/>
      <c r="DU394" s="358"/>
      <c r="DV394" s="358"/>
      <c r="DW394" s="358"/>
    </row>
    <row r="395" ht="15.0" customHeight="1">
      <c r="A395" s="383">
        <v>41328.0</v>
      </c>
      <c r="B395" s="320" t="s">
        <v>3644</v>
      </c>
      <c r="C395" s="320" t="s">
        <v>1495</v>
      </c>
      <c r="D395" s="373">
        <v>60.0</v>
      </c>
      <c r="E395" s="374">
        <f>IFERROR(__xludf.DUMMYFUNCTION("if(and(D395&lt;&gt;0,D395&lt;&gt;""""),D395/GOOGLEFINANCE(C395,""price"")-1,"""")"),-0.5175297523319395)</f>
        <v>-0.5175297523</v>
      </c>
      <c r="F395" s="375">
        <f>IFERROR(__xludf.DUMMYFUNCTION("GOOGLEFINANCE(C395,""price"")"),124.36)</f>
        <v>124.36</v>
      </c>
      <c r="G395" s="374">
        <f t="shared" si="6"/>
        <v>-0.3177442468</v>
      </c>
      <c r="H395" s="376"/>
      <c r="I395" s="376">
        <f t="shared" si="204"/>
        <v>84.84532546</v>
      </c>
      <c r="J395" s="385">
        <v>3.46</v>
      </c>
      <c r="K395" s="385">
        <v>3.9</v>
      </c>
      <c r="L395" s="378">
        <v>43830.0</v>
      </c>
      <c r="M395" s="379">
        <f t="shared" si="7"/>
        <v>0.1798884234</v>
      </c>
      <c r="N395" s="380">
        <f t="shared" si="8"/>
        <v>3.820849094</v>
      </c>
      <c r="O395" s="390">
        <v>0.075</v>
      </c>
      <c r="P395" s="370"/>
      <c r="Q395" s="371"/>
      <c r="R395" s="378"/>
      <c r="S395" s="378">
        <v>43582.0</v>
      </c>
      <c r="T395" s="387" t="s">
        <v>1223</v>
      </c>
      <c r="U395" s="386" t="s">
        <v>3646</v>
      </c>
      <c r="V395" s="344"/>
      <c r="W395" s="344"/>
      <c r="X395" s="344"/>
      <c r="Y395" s="344"/>
      <c r="Z395" s="344"/>
      <c r="AA395" s="344"/>
      <c r="AB395" s="344"/>
      <c r="AC395" s="344"/>
      <c r="AD395" s="344"/>
      <c r="AE395" s="344"/>
      <c r="AF395" s="344"/>
      <c r="AG395" s="344"/>
      <c r="AH395" s="344"/>
      <c r="AI395" s="344"/>
      <c r="AJ395" s="344"/>
      <c r="AK395" s="344"/>
      <c r="AL395" s="344"/>
      <c r="AM395" s="344"/>
      <c r="AN395" s="344"/>
      <c r="AO395" s="344"/>
      <c r="AP395" s="344"/>
      <c r="AQ395" s="344"/>
      <c r="AR395" s="344"/>
      <c r="AS395" s="344"/>
      <c r="AT395" s="344"/>
      <c r="AU395" s="344"/>
      <c r="AV395" s="344"/>
      <c r="AW395" s="344"/>
      <c r="AX395" s="344"/>
      <c r="AY395" s="344"/>
      <c r="AZ395" s="344"/>
      <c r="BA395" s="344"/>
      <c r="BB395" s="344"/>
      <c r="BC395" s="344"/>
      <c r="BD395" s="344"/>
      <c r="BE395" s="344"/>
      <c r="BF395" s="344"/>
      <c r="BG395" s="344"/>
      <c r="BH395" s="344"/>
      <c r="BI395" s="344"/>
      <c r="BJ395" s="344"/>
      <c r="BK395" s="344"/>
      <c r="BL395" s="344"/>
      <c r="BM395" s="344"/>
      <c r="BN395" s="344"/>
      <c r="BO395" s="344"/>
      <c r="BP395" s="344"/>
      <c r="BQ395" s="344"/>
      <c r="BR395" s="344"/>
      <c r="BS395" s="344"/>
      <c r="BT395" s="344"/>
      <c r="BU395" s="344"/>
      <c r="BV395" s="344"/>
      <c r="BW395" s="344"/>
      <c r="BX395" s="344"/>
      <c r="BY395" s="344"/>
      <c r="BZ395" s="344"/>
      <c r="CA395" s="344"/>
      <c r="CB395" s="344"/>
      <c r="CC395" s="344"/>
      <c r="CD395" s="344"/>
      <c r="CE395" s="344"/>
      <c r="CF395" s="344"/>
      <c r="CG395" s="344"/>
      <c r="CH395" s="344"/>
      <c r="CI395" s="344"/>
      <c r="CJ395" s="344"/>
      <c r="CK395" s="344"/>
      <c r="CL395" s="344"/>
      <c r="CM395" s="344"/>
      <c r="CN395" s="344"/>
      <c r="CO395" s="344"/>
      <c r="CP395" s="344"/>
      <c r="CQ395" s="344"/>
      <c r="CR395" s="344"/>
      <c r="CS395" s="344"/>
      <c r="CT395" s="344"/>
      <c r="CU395" s="344"/>
      <c r="CV395" s="344"/>
      <c r="CW395" s="344"/>
      <c r="CX395" s="344"/>
      <c r="CY395" s="344"/>
      <c r="CZ395" s="344"/>
      <c r="DA395" s="344"/>
      <c r="DB395" s="344"/>
      <c r="DC395" s="344"/>
      <c r="DD395" s="344"/>
      <c r="DE395" s="344"/>
      <c r="DF395" s="344"/>
      <c r="DG395" s="344"/>
      <c r="DH395" s="344"/>
      <c r="DI395" s="344"/>
      <c r="DJ395" s="344"/>
      <c r="DK395" s="344"/>
      <c r="DL395" s="344"/>
      <c r="DM395" s="344"/>
      <c r="DN395" s="344"/>
      <c r="DO395" s="344"/>
      <c r="DP395" s="344"/>
      <c r="DQ395" s="344"/>
      <c r="DR395" s="344"/>
      <c r="DS395" s="344"/>
      <c r="DT395" s="344"/>
      <c r="DU395" s="344"/>
      <c r="DV395" s="344"/>
      <c r="DW395" s="344"/>
    </row>
    <row r="396" ht="15.0" customHeight="1">
      <c r="A396" s="1011"/>
      <c r="B396" s="1011"/>
      <c r="C396" s="1011"/>
      <c r="D396" s="1011"/>
      <c r="E396" s="1011"/>
      <c r="F396" s="1012"/>
      <c r="G396" s="1011"/>
      <c r="H396" s="1011"/>
      <c r="I396" s="1011"/>
      <c r="J396" s="1013"/>
      <c r="K396" s="1013"/>
      <c r="L396" s="1014"/>
      <c r="M396" s="1015"/>
      <c r="N396" s="1013"/>
      <c r="O396" s="1014"/>
      <c r="P396" s="1016"/>
      <c r="Q396" s="1015"/>
      <c r="R396" s="1014"/>
      <c r="S396" s="1014"/>
      <c r="T396" s="1011"/>
      <c r="U396" s="1017"/>
      <c r="V396" s="1018"/>
      <c r="W396" s="1018"/>
      <c r="X396" s="1018"/>
      <c r="Y396" s="1018"/>
      <c r="Z396" s="1018"/>
      <c r="AA396" s="1018"/>
      <c r="AB396" s="1018"/>
      <c r="AC396" s="1018"/>
      <c r="AD396" s="1018"/>
      <c r="AE396" s="1018"/>
      <c r="AF396" s="1018"/>
      <c r="AG396" s="1018"/>
      <c r="AH396" s="1018"/>
      <c r="AI396" s="1018"/>
      <c r="AJ396" s="1018"/>
      <c r="AK396" s="1018"/>
      <c r="AL396" s="1018"/>
      <c r="AM396" s="1018"/>
      <c r="AN396" s="1018"/>
      <c r="AO396" s="1018"/>
      <c r="AP396" s="1018"/>
      <c r="AQ396" s="1018"/>
      <c r="AR396" s="1018"/>
      <c r="AS396" s="1018"/>
      <c r="AT396" s="1018"/>
      <c r="AU396" s="1018"/>
      <c r="AV396" s="1018"/>
      <c r="AW396" s="1018"/>
      <c r="AX396" s="1018"/>
      <c r="AY396" s="1018"/>
      <c r="AZ396" s="1018"/>
      <c r="BA396" s="1018"/>
      <c r="BB396" s="1018"/>
      <c r="BC396" s="1018"/>
      <c r="BD396" s="1018"/>
      <c r="BE396" s="1018"/>
      <c r="BF396" s="1018"/>
      <c r="BG396" s="1018"/>
      <c r="BH396" s="1018"/>
      <c r="BI396" s="1018"/>
      <c r="BJ396" s="1018"/>
      <c r="BK396" s="1018"/>
      <c r="BL396" s="1018"/>
      <c r="BM396" s="1018"/>
      <c r="BN396" s="1018"/>
      <c r="BO396" s="1018"/>
      <c r="BP396" s="1018"/>
      <c r="BQ396" s="1018"/>
      <c r="BR396" s="1018"/>
      <c r="BS396" s="1018"/>
      <c r="BT396" s="1018"/>
      <c r="BU396" s="1018"/>
      <c r="BV396" s="1018"/>
      <c r="BW396" s="1018"/>
      <c r="BX396" s="1018"/>
      <c r="BY396" s="1018"/>
      <c r="BZ396" s="1018"/>
      <c r="CA396" s="1018"/>
      <c r="CB396" s="1018"/>
      <c r="CC396" s="1018"/>
      <c r="CD396" s="1018"/>
      <c r="CE396" s="1018"/>
      <c r="CF396" s="1018"/>
      <c r="CG396" s="1018"/>
      <c r="CH396" s="1018"/>
      <c r="CI396" s="1018"/>
      <c r="CJ396" s="1018"/>
      <c r="CK396" s="1018"/>
      <c r="CL396" s="1018"/>
      <c r="CM396" s="1018"/>
      <c r="CN396" s="1018"/>
      <c r="CO396" s="1018"/>
      <c r="CP396" s="1018"/>
      <c r="CQ396" s="1018"/>
      <c r="CR396" s="1018"/>
      <c r="CS396" s="1018"/>
      <c r="CT396" s="1018"/>
      <c r="CU396" s="1018"/>
      <c r="CV396" s="1018"/>
      <c r="CW396" s="1018"/>
      <c r="CX396" s="1018"/>
      <c r="CY396" s="1018"/>
      <c r="CZ396" s="1018"/>
      <c r="DA396" s="1018"/>
      <c r="DB396" s="1018"/>
      <c r="DC396" s="1018"/>
      <c r="DD396" s="1018"/>
      <c r="DE396" s="1018"/>
      <c r="DF396" s="1018"/>
      <c r="DG396" s="1018"/>
      <c r="DH396" s="1018"/>
      <c r="DI396" s="1018"/>
      <c r="DJ396" s="1018"/>
      <c r="DK396" s="1018"/>
      <c r="DL396" s="1018"/>
      <c r="DM396" s="1018"/>
      <c r="DN396" s="1018"/>
      <c r="DO396" s="1018"/>
      <c r="DP396" s="1018"/>
      <c r="DQ396" s="1018"/>
      <c r="DR396" s="1018"/>
      <c r="DS396" s="1018"/>
      <c r="DT396" s="1018"/>
      <c r="DU396" s="1018"/>
      <c r="DV396" s="1018"/>
      <c r="DW396" s="1018"/>
    </row>
    <row r="397" ht="15.0" customHeight="1">
      <c r="A397" s="1011"/>
      <c r="B397" s="1011"/>
      <c r="C397" s="1011"/>
      <c r="D397" s="1011"/>
      <c r="E397" s="1011"/>
      <c r="F397" s="1012"/>
      <c r="G397" s="1011"/>
      <c r="H397" s="1011"/>
      <c r="I397" s="1011"/>
      <c r="J397" s="1013"/>
      <c r="K397" s="1013"/>
      <c r="L397" s="1014"/>
      <c r="M397" s="1015"/>
      <c r="N397" s="1013"/>
      <c r="O397" s="1014"/>
      <c r="P397" s="1016"/>
      <c r="Q397" s="1015"/>
      <c r="R397" s="1014"/>
      <c r="S397" s="1014"/>
      <c r="T397" s="1011"/>
      <c r="U397" s="1017"/>
      <c r="V397" s="1018"/>
      <c r="W397" s="1018"/>
      <c r="X397" s="1018"/>
      <c r="Y397" s="1018"/>
      <c r="Z397" s="1018"/>
      <c r="AA397" s="1018"/>
      <c r="AB397" s="1018"/>
      <c r="AC397" s="1018"/>
      <c r="AD397" s="1018"/>
      <c r="AE397" s="1018"/>
      <c r="AF397" s="1018"/>
      <c r="AG397" s="1018"/>
      <c r="AH397" s="1018"/>
      <c r="AI397" s="1018"/>
      <c r="AJ397" s="1018"/>
      <c r="AK397" s="1018"/>
      <c r="AL397" s="1018"/>
      <c r="AM397" s="1018"/>
      <c r="AN397" s="1018"/>
      <c r="AO397" s="1018"/>
      <c r="AP397" s="1018"/>
      <c r="AQ397" s="1018"/>
      <c r="AR397" s="1018"/>
      <c r="AS397" s="1018"/>
      <c r="AT397" s="1018"/>
      <c r="AU397" s="1018"/>
      <c r="AV397" s="1018"/>
      <c r="AW397" s="1018"/>
      <c r="AX397" s="1018"/>
      <c r="AY397" s="1018"/>
      <c r="AZ397" s="1018"/>
      <c r="BA397" s="1018"/>
      <c r="BB397" s="1018"/>
      <c r="BC397" s="1018"/>
      <c r="BD397" s="1018"/>
      <c r="BE397" s="1018"/>
      <c r="BF397" s="1018"/>
      <c r="BG397" s="1018"/>
      <c r="BH397" s="1018"/>
      <c r="BI397" s="1018"/>
      <c r="BJ397" s="1018"/>
      <c r="BK397" s="1018"/>
      <c r="BL397" s="1018"/>
      <c r="BM397" s="1018"/>
      <c r="BN397" s="1018"/>
      <c r="BO397" s="1018"/>
      <c r="BP397" s="1018"/>
      <c r="BQ397" s="1018"/>
      <c r="BR397" s="1018"/>
      <c r="BS397" s="1018"/>
      <c r="BT397" s="1018"/>
      <c r="BU397" s="1018"/>
      <c r="BV397" s="1018"/>
      <c r="BW397" s="1018"/>
      <c r="BX397" s="1018"/>
      <c r="BY397" s="1018"/>
      <c r="BZ397" s="1018"/>
      <c r="CA397" s="1018"/>
      <c r="CB397" s="1018"/>
      <c r="CC397" s="1018"/>
      <c r="CD397" s="1018"/>
      <c r="CE397" s="1018"/>
      <c r="CF397" s="1018"/>
      <c r="CG397" s="1018"/>
      <c r="CH397" s="1018"/>
      <c r="CI397" s="1018"/>
      <c r="CJ397" s="1018"/>
      <c r="CK397" s="1018"/>
      <c r="CL397" s="1018"/>
      <c r="CM397" s="1018"/>
      <c r="CN397" s="1018"/>
      <c r="CO397" s="1018"/>
      <c r="CP397" s="1018"/>
      <c r="CQ397" s="1018"/>
      <c r="CR397" s="1018"/>
      <c r="CS397" s="1018"/>
      <c r="CT397" s="1018"/>
      <c r="CU397" s="1018"/>
      <c r="CV397" s="1018"/>
      <c r="CW397" s="1018"/>
      <c r="CX397" s="1018"/>
      <c r="CY397" s="1018"/>
      <c r="CZ397" s="1018"/>
      <c r="DA397" s="1018"/>
      <c r="DB397" s="1018"/>
      <c r="DC397" s="1018"/>
      <c r="DD397" s="1018"/>
      <c r="DE397" s="1018"/>
      <c r="DF397" s="1018"/>
      <c r="DG397" s="1018"/>
      <c r="DH397" s="1018"/>
      <c r="DI397" s="1018"/>
      <c r="DJ397" s="1018"/>
      <c r="DK397" s="1018"/>
      <c r="DL397" s="1018"/>
      <c r="DM397" s="1018"/>
      <c r="DN397" s="1018"/>
      <c r="DO397" s="1018"/>
      <c r="DP397" s="1018"/>
      <c r="DQ397" s="1018"/>
      <c r="DR397" s="1018"/>
      <c r="DS397" s="1018"/>
      <c r="DT397" s="1018"/>
      <c r="DU397" s="1018"/>
      <c r="DV397" s="1018"/>
      <c r="DW397" s="1018"/>
    </row>
    <row r="398" ht="15.0" customHeight="1">
      <c r="A398" s="1011"/>
      <c r="B398" s="1011"/>
      <c r="C398" s="1011"/>
      <c r="D398" s="1011"/>
      <c r="E398" s="1011"/>
      <c r="F398" s="1012"/>
      <c r="G398" s="1011"/>
      <c r="H398" s="1011"/>
      <c r="I398" s="1011"/>
      <c r="J398" s="1013"/>
      <c r="K398" s="1013"/>
      <c r="L398" s="1014"/>
      <c r="M398" s="1015"/>
      <c r="N398" s="1013"/>
      <c r="O398" s="1014"/>
      <c r="P398" s="1016"/>
      <c r="Q398" s="1015"/>
      <c r="R398" s="1014"/>
      <c r="S398" s="1014"/>
      <c r="T398" s="1011"/>
      <c r="U398" s="1017"/>
      <c r="V398" s="1018"/>
      <c r="W398" s="1018"/>
      <c r="X398" s="1018"/>
      <c r="Y398" s="1018"/>
      <c r="Z398" s="1018"/>
      <c r="AA398" s="1018"/>
      <c r="AB398" s="1018"/>
      <c r="AC398" s="1018"/>
      <c r="AD398" s="1018"/>
      <c r="AE398" s="1018"/>
      <c r="AF398" s="1018"/>
      <c r="AG398" s="1018"/>
      <c r="AH398" s="1018"/>
      <c r="AI398" s="1018"/>
      <c r="AJ398" s="1018"/>
      <c r="AK398" s="1018"/>
      <c r="AL398" s="1018"/>
      <c r="AM398" s="1018"/>
      <c r="AN398" s="1018"/>
      <c r="AO398" s="1018"/>
      <c r="AP398" s="1018"/>
      <c r="AQ398" s="1018"/>
      <c r="AR398" s="1018"/>
      <c r="AS398" s="1018"/>
      <c r="AT398" s="1018"/>
      <c r="AU398" s="1018"/>
      <c r="AV398" s="1018"/>
      <c r="AW398" s="1018"/>
      <c r="AX398" s="1018"/>
      <c r="AY398" s="1018"/>
      <c r="AZ398" s="1018"/>
      <c r="BA398" s="1018"/>
      <c r="BB398" s="1018"/>
      <c r="BC398" s="1018"/>
      <c r="BD398" s="1018"/>
      <c r="BE398" s="1018"/>
      <c r="BF398" s="1018"/>
      <c r="BG398" s="1018"/>
      <c r="BH398" s="1018"/>
      <c r="BI398" s="1018"/>
      <c r="BJ398" s="1018"/>
      <c r="BK398" s="1018"/>
      <c r="BL398" s="1018"/>
      <c r="BM398" s="1018"/>
      <c r="BN398" s="1018"/>
      <c r="BO398" s="1018"/>
      <c r="BP398" s="1018"/>
      <c r="BQ398" s="1018"/>
      <c r="BR398" s="1018"/>
      <c r="BS398" s="1018"/>
      <c r="BT398" s="1018"/>
      <c r="BU398" s="1018"/>
      <c r="BV398" s="1018"/>
      <c r="BW398" s="1018"/>
      <c r="BX398" s="1018"/>
      <c r="BY398" s="1018"/>
      <c r="BZ398" s="1018"/>
      <c r="CA398" s="1018"/>
      <c r="CB398" s="1018"/>
      <c r="CC398" s="1018"/>
      <c r="CD398" s="1018"/>
      <c r="CE398" s="1018"/>
      <c r="CF398" s="1018"/>
      <c r="CG398" s="1018"/>
      <c r="CH398" s="1018"/>
      <c r="CI398" s="1018"/>
      <c r="CJ398" s="1018"/>
      <c r="CK398" s="1018"/>
      <c r="CL398" s="1018"/>
      <c r="CM398" s="1018"/>
      <c r="CN398" s="1018"/>
      <c r="CO398" s="1018"/>
      <c r="CP398" s="1018"/>
      <c r="CQ398" s="1018"/>
      <c r="CR398" s="1018"/>
      <c r="CS398" s="1018"/>
      <c r="CT398" s="1018"/>
      <c r="CU398" s="1018"/>
      <c r="CV398" s="1018"/>
      <c r="CW398" s="1018"/>
      <c r="CX398" s="1018"/>
      <c r="CY398" s="1018"/>
      <c r="CZ398" s="1018"/>
      <c r="DA398" s="1018"/>
      <c r="DB398" s="1018"/>
      <c r="DC398" s="1018"/>
      <c r="DD398" s="1018"/>
      <c r="DE398" s="1018"/>
      <c r="DF398" s="1018"/>
      <c r="DG398" s="1018"/>
      <c r="DH398" s="1018"/>
      <c r="DI398" s="1018"/>
      <c r="DJ398" s="1018"/>
      <c r="DK398" s="1018"/>
      <c r="DL398" s="1018"/>
      <c r="DM398" s="1018"/>
      <c r="DN398" s="1018"/>
      <c r="DO398" s="1018"/>
      <c r="DP398" s="1018"/>
      <c r="DQ398" s="1018"/>
      <c r="DR398" s="1018"/>
      <c r="DS398" s="1018"/>
      <c r="DT398" s="1018"/>
      <c r="DU398" s="1018"/>
      <c r="DV398" s="1018"/>
      <c r="DW398" s="1018"/>
    </row>
    <row r="399" ht="15.0" customHeight="1">
      <c r="A399" s="301"/>
      <c r="B399" s="303"/>
      <c r="C399" s="303"/>
      <c r="D399" s="303"/>
      <c r="E399" s="321"/>
      <c r="F399" s="322"/>
      <c r="G399" s="324"/>
      <c r="H399" s="325"/>
      <c r="I399" s="325"/>
      <c r="J399" s="313"/>
      <c r="K399" s="313"/>
      <c r="L399" s="314"/>
      <c r="M399" s="312"/>
      <c r="N399" s="313"/>
      <c r="O399" s="314"/>
      <c r="P399" s="315"/>
      <c r="Q399" s="312"/>
      <c r="R399" s="316"/>
      <c r="S399" s="316"/>
      <c r="T399" s="319"/>
      <c r="U399" s="317"/>
      <c r="V399" s="319"/>
      <c r="W399" s="319"/>
      <c r="X399" s="319"/>
      <c r="Y399" s="319"/>
      <c r="Z399" s="319"/>
      <c r="AA399" s="319"/>
      <c r="AB399" s="319"/>
      <c r="AC399" s="319"/>
      <c r="AD399" s="319"/>
      <c r="AE399" s="319"/>
      <c r="AF399" s="319"/>
      <c r="AG399" s="319"/>
      <c r="AH399" s="319"/>
      <c r="AI399" s="319"/>
      <c r="AJ399" s="319"/>
      <c r="AK399" s="319"/>
      <c r="AL399" s="319"/>
      <c r="AM399" s="319"/>
      <c r="AN399" s="319"/>
      <c r="AO399" s="319"/>
      <c r="AP399" s="319"/>
      <c r="AQ399" s="319"/>
      <c r="AR399" s="319"/>
      <c r="AS399" s="319"/>
      <c r="AT399" s="319"/>
      <c r="AU399" s="319"/>
      <c r="AV399" s="319"/>
      <c r="AW399" s="319"/>
      <c r="AX399" s="319"/>
      <c r="AY399" s="319"/>
      <c r="AZ399" s="319"/>
      <c r="BA399" s="319"/>
      <c r="BB399" s="319"/>
      <c r="BC399" s="319"/>
      <c r="BD399" s="319"/>
      <c r="BE399" s="319"/>
      <c r="BF399" s="319"/>
      <c r="BG399" s="319"/>
      <c r="BH399" s="319"/>
      <c r="BI399" s="319"/>
      <c r="BJ399" s="319"/>
      <c r="BK399" s="319"/>
      <c r="BL399" s="319"/>
      <c r="BM399" s="319"/>
      <c r="BN399" s="319"/>
      <c r="BO399" s="319"/>
      <c r="BP399" s="319"/>
      <c r="BQ399" s="319"/>
      <c r="BR399" s="319"/>
      <c r="BS399" s="319"/>
      <c r="BT399" s="319"/>
      <c r="BU399" s="319"/>
      <c r="BV399" s="319"/>
      <c r="BW399" s="319"/>
      <c r="BX399" s="319"/>
      <c r="BY399" s="319"/>
      <c r="BZ399" s="319"/>
      <c r="CA399" s="319"/>
      <c r="CB399" s="319"/>
      <c r="CC399" s="319"/>
      <c r="CD399" s="319"/>
      <c r="CE399" s="319"/>
      <c r="CF399" s="319"/>
      <c r="CG399" s="319"/>
      <c r="CH399" s="319"/>
      <c r="CI399" s="319"/>
      <c r="CJ399" s="319"/>
      <c r="CK399" s="319"/>
      <c r="CL399" s="319"/>
      <c r="CM399" s="319"/>
      <c r="CN399" s="319"/>
      <c r="CO399" s="319"/>
      <c r="CP399" s="319"/>
      <c r="CQ399" s="319"/>
      <c r="CR399" s="319"/>
      <c r="CS399" s="319"/>
      <c r="CT399" s="319"/>
      <c r="CU399" s="319"/>
      <c r="CV399" s="319"/>
      <c r="CW399" s="319"/>
      <c r="CX399" s="319"/>
      <c r="CY399" s="319"/>
      <c r="CZ399" s="319"/>
      <c r="DA399" s="319"/>
      <c r="DB399" s="319"/>
      <c r="DC399" s="319"/>
      <c r="DD399" s="319"/>
      <c r="DE399" s="319"/>
      <c r="DF399" s="319"/>
      <c r="DG399" s="319"/>
      <c r="DH399" s="319"/>
      <c r="DI399" s="319"/>
      <c r="DJ399" s="319"/>
      <c r="DK399" s="319"/>
      <c r="DL399" s="319"/>
      <c r="DM399" s="319"/>
      <c r="DN399" s="319"/>
      <c r="DO399" s="319"/>
      <c r="DP399" s="319"/>
      <c r="DQ399" s="319"/>
      <c r="DR399" s="319"/>
      <c r="DS399" s="319"/>
      <c r="DT399" s="319"/>
      <c r="DU399" s="319"/>
      <c r="DV399" s="319"/>
      <c r="DW399" s="319"/>
    </row>
    <row r="400" ht="15.0" customHeight="1">
      <c r="A400" s="301"/>
      <c r="B400" s="303"/>
      <c r="C400" s="303"/>
      <c r="D400" s="303"/>
      <c r="E400" s="321"/>
      <c r="F400" s="322"/>
      <c r="G400" s="324"/>
      <c r="H400" s="325"/>
      <c r="I400" s="325"/>
      <c r="J400" s="313"/>
      <c r="K400" s="313"/>
      <c r="L400" s="314"/>
      <c r="M400" s="312"/>
      <c r="N400" s="313"/>
      <c r="O400" s="314"/>
      <c r="P400" s="315"/>
      <c r="Q400" s="312"/>
      <c r="R400" s="316"/>
      <c r="S400" s="316"/>
      <c r="T400" s="319"/>
      <c r="U400" s="317"/>
      <c r="V400" s="319"/>
      <c r="W400" s="319"/>
      <c r="X400" s="319"/>
      <c r="Y400" s="319"/>
      <c r="Z400" s="319"/>
      <c r="AA400" s="319"/>
      <c r="AB400" s="319"/>
      <c r="AC400" s="319"/>
      <c r="AD400" s="319"/>
      <c r="AE400" s="319"/>
      <c r="AF400" s="319"/>
      <c r="AG400" s="319"/>
      <c r="AH400" s="319"/>
      <c r="AI400" s="319"/>
      <c r="AJ400" s="319"/>
      <c r="AK400" s="319"/>
      <c r="AL400" s="319"/>
      <c r="AM400" s="319"/>
      <c r="AN400" s="319"/>
      <c r="AO400" s="319"/>
      <c r="AP400" s="319"/>
      <c r="AQ400" s="319"/>
      <c r="AR400" s="319"/>
      <c r="AS400" s="319"/>
      <c r="AT400" s="319"/>
      <c r="AU400" s="319"/>
      <c r="AV400" s="319"/>
      <c r="AW400" s="319"/>
      <c r="AX400" s="319"/>
      <c r="AY400" s="319"/>
      <c r="AZ400" s="319"/>
      <c r="BA400" s="319"/>
      <c r="BB400" s="319"/>
      <c r="BC400" s="319"/>
      <c r="BD400" s="319"/>
      <c r="BE400" s="319"/>
      <c r="BF400" s="319"/>
      <c r="BG400" s="319"/>
      <c r="BH400" s="319"/>
      <c r="BI400" s="319"/>
      <c r="BJ400" s="319"/>
      <c r="BK400" s="319"/>
      <c r="BL400" s="319"/>
      <c r="BM400" s="319"/>
      <c r="BN400" s="319"/>
      <c r="BO400" s="319"/>
      <c r="BP400" s="319"/>
      <c r="BQ400" s="319"/>
      <c r="BR400" s="319"/>
      <c r="BS400" s="319"/>
      <c r="BT400" s="319"/>
      <c r="BU400" s="319"/>
      <c r="BV400" s="319"/>
      <c r="BW400" s="319"/>
      <c r="BX400" s="319"/>
      <c r="BY400" s="319"/>
      <c r="BZ400" s="319"/>
      <c r="CA400" s="319"/>
      <c r="CB400" s="319"/>
      <c r="CC400" s="319"/>
      <c r="CD400" s="319"/>
      <c r="CE400" s="319"/>
      <c r="CF400" s="319"/>
      <c r="CG400" s="319"/>
      <c r="CH400" s="319"/>
      <c r="CI400" s="319"/>
      <c r="CJ400" s="319"/>
      <c r="CK400" s="319"/>
      <c r="CL400" s="319"/>
      <c r="CM400" s="319"/>
      <c r="CN400" s="319"/>
      <c r="CO400" s="319"/>
      <c r="CP400" s="319"/>
      <c r="CQ400" s="319"/>
      <c r="CR400" s="319"/>
      <c r="CS400" s="319"/>
      <c r="CT400" s="319"/>
      <c r="CU400" s="319"/>
      <c r="CV400" s="319"/>
      <c r="CW400" s="319"/>
      <c r="CX400" s="319"/>
      <c r="CY400" s="319"/>
      <c r="CZ400" s="319"/>
      <c r="DA400" s="319"/>
      <c r="DB400" s="319"/>
      <c r="DC400" s="319"/>
      <c r="DD400" s="319"/>
      <c r="DE400" s="319"/>
      <c r="DF400" s="319"/>
      <c r="DG400" s="319"/>
      <c r="DH400" s="319"/>
      <c r="DI400" s="319"/>
      <c r="DJ400" s="319"/>
      <c r="DK400" s="319"/>
      <c r="DL400" s="319"/>
      <c r="DM400" s="319"/>
      <c r="DN400" s="319"/>
      <c r="DO400" s="319"/>
      <c r="DP400" s="319"/>
      <c r="DQ400" s="319"/>
      <c r="DR400" s="319"/>
      <c r="DS400" s="319"/>
      <c r="DT400" s="319"/>
      <c r="DU400" s="319"/>
      <c r="DV400" s="319"/>
      <c r="DW400" s="319"/>
    </row>
    <row r="401" ht="15.0" customHeight="1">
      <c r="A401" s="301"/>
      <c r="B401" s="303"/>
      <c r="C401" s="303"/>
      <c r="D401" s="303"/>
      <c r="E401" s="321"/>
      <c r="F401" s="322"/>
      <c r="G401" s="324"/>
      <c r="H401" s="325"/>
      <c r="I401" s="325"/>
      <c r="J401" s="313"/>
      <c r="K401" s="313"/>
      <c r="L401" s="314"/>
      <c r="M401" s="312"/>
      <c r="N401" s="313"/>
      <c r="O401" s="314"/>
      <c r="P401" s="315"/>
      <c r="Q401" s="312"/>
      <c r="R401" s="316"/>
      <c r="S401" s="316"/>
      <c r="T401" s="319"/>
      <c r="U401" s="317"/>
      <c r="V401" s="319"/>
      <c r="W401" s="319"/>
      <c r="X401" s="319"/>
      <c r="Y401" s="319"/>
      <c r="Z401" s="319"/>
      <c r="AA401" s="319"/>
      <c r="AB401" s="319"/>
      <c r="AC401" s="319"/>
      <c r="AD401" s="319"/>
      <c r="AE401" s="319"/>
      <c r="AF401" s="319"/>
      <c r="AG401" s="319"/>
      <c r="AH401" s="319"/>
      <c r="AI401" s="319"/>
      <c r="AJ401" s="319"/>
      <c r="AK401" s="319"/>
      <c r="AL401" s="319"/>
      <c r="AM401" s="319"/>
      <c r="AN401" s="319"/>
      <c r="AO401" s="319"/>
      <c r="AP401" s="319"/>
      <c r="AQ401" s="319"/>
      <c r="AR401" s="319"/>
      <c r="AS401" s="319"/>
      <c r="AT401" s="319"/>
      <c r="AU401" s="319"/>
      <c r="AV401" s="319"/>
      <c r="AW401" s="319"/>
      <c r="AX401" s="319"/>
      <c r="AY401" s="319"/>
      <c r="AZ401" s="319"/>
      <c r="BA401" s="319"/>
      <c r="BB401" s="319"/>
      <c r="BC401" s="319"/>
      <c r="BD401" s="319"/>
      <c r="BE401" s="319"/>
      <c r="BF401" s="319"/>
      <c r="BG401" s="319"/>
      <c r="BH401" s="319"/>
      <c r="BI401" s="319"/>
      <c r="BJ401" s="319"/>
      <c r="BK401" s="319"/>
      <c r="BL401" s="319"/>
      <c r="BM401" s="319"/>
      <c r="BN401" s="319"/>
      <c r="BO401" s="319"/>
      <c r="BP401" s="319"/>
      <c r="BQ401" s="319"/>
      <c r="BR401" s="319"/>
      <c r="BS401" s="319"/>
      <c r="BT401" s="319"/>
      <c r="BU401" s="319"/>
      <c r="BV401" s="319"/>
      <c r="BW401" s="319"/>
      <c r="BX401" s="319"/>
      <c r="BY401" s="319"/>
      <c r="BZ401" s="319"/>
      <c r="CA401" s="319"/>
      <c r="CB401" s="319"/>
      <c r="CC401" s="319"/>
      <c r="CD401" s="319"/>
      <c r="CE401" s="319"/>
      <c r="CF401" s="319"/>
      <c r="CG401" s="319"/>
      <c r="CH401" s="319"/>
      <c r="CI401" s="319"/>
      <c r="CJ401" s="319"/>
      <c r="CK401" s="319"/>
      <c r="CL401" s="319"/>
      <c r="CM401" s="319"/>
      <c r="CN401" s="319"/>
      <c r="CO401" s="319"/>
      <c r="CP401" s="319"/>
      <c r="CQ401" s="319"/>
      <c r="CR401" s="319"/>
      <c r="CS401" s="319"/>
      <c r="CT401" s="319"/>
      <c r="CU401" s="319"/>
      <c r="CV401" s="319"/>
      <c r="CW401" s="319"/>
      <c r="CX401" s="319"/>
      <c r="CY401" s="319"/>
      <c r="CZ401" s="319"/>
      <c r="DA401" s="319"/>
      <c r="DB401" s="319"/>
      <c r="DC401" s="319"/>
      <c r="DD401" s="319"/>
      <c r="DE401" s="319"/>
      <c r="DF401" s="319"/>
      <c r="DG401" s="319"/>
      <c r="DH401" s="319"/>
      <c r="DI401" s="319"/>
      <c r="DJ401" s="319"/>
      <c r="DK401" s="319"/>
      <c r="DL401" s="319"/>
      <c r="DM401" s="319"/>
      <c r="DN401" s="319"/>
      <c r="DO401" s="319"/>
      <c r="DP401" s="319"/>
      <c r="DQ401" s="319"/>
      <c r="DR401" s="319"/>
      <c r="DS401" s="319"/>
      <c r="DT401" s="319"/>
      <c r="DU401" s="319"/>
      <c r="DV401" s="319"/>
      <c r="DW401" s="319"/>
    </row>
    <row r="402" ht="15.0" customHeight="1">
      <c r="A402" s="301"/>
      <c r="B402" s="303"/>
      <c r="C402" s="303"/>
      <c r="D402" s="303"/>
      <c r="E402" s="321"/>
      <c r="F402" s="322"/>
      <c r="G402" s="324"/>
      <c r="H402" s="325"/>
      <c r="I402" s="325"/>
      <c r="J402" s="313"/>
      <c r="K402" s="313"/>
      <c r="L402" s="314"/>
      <c r="M402" s="312"/>
      <c r="N402" s="313"/>
      <c r="O402" s="314"/>
      <c r="P402" s="315"/>
      <c r="Q402" s="312"/>
      <c r="R402" s="316"/>
      <c r="S402" s="316"/>
      <c r="T402" s="319"/>
      <c r="U402" s="317"/>
      <c r="V402" s="319"/>
      <c r="W402" s="319"/>
      <c r="X402" s="319"/>
      <c r="Y402" s="319"/>
      <c r="Z402" s="319"/>
      <c r="AA402" s="319"/>
      <c r="AB402" s="319"/>
      <c r="AC402" s="319"/>
      <c r="AD402" s="319"/>
      <c r="AE402" s="319"/>
      <c r="AF402" s="319"/>
      <c r="AG402" s="319"/>
      <c r="AH402" s="319"/>
      <c r="AI402" s="319"/>
      <c r="AJ402" s="319"/>
      <c r="AK402" s="319"/>
      <c r="AL402" s="319"/>
      <c r="AM402" s="319"/>
      <c r="AN402" s="319"/>
      <c r="AO402" s="319"/>
      <c r="AP402" s="319"/>
      <c r="AQ402" s="319"/>
      <c r="AR402" s="319"/>
      <c r="AS402" s="319"/>
      <c r="AT402" s="319"/>
      <c r="AU402" s="319"/>
      <c r="AV402" s="319"/>
      <c r="AW402" s="319"/>
      <c r="AX402" s="319"/>
      <c r="AY402" s="319"/>
      <c r="AZ402" s="319"/>
      <c r="BA402" s="319"/>
      <c r="BB402" s="319"/>
      <c r="BC402" s="319"/>
      <c r="BD402" s="319"/>
      <c r="BE402" s="319"/>
      <c r="BF402" s="319"/>
      <c r="BG402" s="319"/>
      <c r="BH402" s="319"/>
      <c r="BI402" s="319"/>
      <c r="BJ402" s="319"/>
      <c r="BK402" s="319"/>
      <c r="BL402" s="319"/>
      <c r="BM402" s="319"/>
      <c r="BN402" s="319"/>
      <c r="BO402" s="319"/>
      <c r="BP402" s="319"/>
      <c r="BQ402" s="319"/>
      <c r="BR402" s="319"/>
      <c r="BS402" s="319"/>
      <c r="BT402" s="319"/>
      <c r="BU402" s="319"/>
      <c r="BV402" s="319"/>
      <c r="BW402" s="319"/>
      <c r="BX402" s="319"/>
      <c r="BY402" s="319"/>
      <c r="BZ402" s="319"/>
      <c r="CA402" s="319"/>
      <c r="CB402" s="319"/>
      <c r="CC402" s="319"/>
      <c r="CD402" s="319"/>
      <c r="CE402" s="319"/>
      <c r="CF402" s="319"/>
      <c r="CG402" s="319"/>
      <c r="CH402" s="319"/>
      <c r="CI402" s="319"/>
      <c r="CJ402" s="319"/>
      <c r="CK402" s="319"/>
      <c r="CL402" s="319"/>
      <c r="CM402" s="319"/>
      <c r="CN402" s="319"/>
      <c r="CO402" s="319"/>
      <c r="CP402" s="319"/>
      <c r="CQ402" s="319"/>
      <c r="CR402" s="319"/>
      <c r="CS402" s="319"/>
      <c r="CT402" s="319"/>
      <c r="CU402" s="319"/>
      <c r="CV402" s="319"/>
      <c r="CW402" s="319"/>
      <c r="CX402" s="319"/>
      <c r="CY402" s="319"/>
      <c r="CZ402" s="319"/>
      <c r="DA402" s="319"/>
      <c r="DB402" s="319"/>
      <c r="DC402" s="319"/>
      <c r="DD402" s="319"/>
      <c r="DE402" s="319"/>
      <c r="DF402" s="319"/>
      <c r="DG402" s="319"/>
      <c r="DH402" s="319"/>
      <c r="DI402" s="319"/>
      <c r="DJ402" s="319"/>
      <c r="DK402" s="319"/>
      <c r="DL402" s="319"/>
      <c r="DM402" s="319"/>
      <c r="DN402" s="319"/>
      <c r="DO402" s="319"/>
      <c r="DP402" s="319"/>
      <c r="DQ402" s="319"/>
      <c r="DR402" s="319"/>
      <c r="DS402" s="319"/>
      <c r="DT402" s="319"/>
      <c r="DU402" s="319"/>
      <c r="DV402" s="319"/>
      <c r="DW402" s="319"/>
    </row>
    <row r="403" ht="15.0" customHeight="1">
      <c r="A403" s="301"/>
      <c r="B403" s="303"/>
      <c r="C403" s="303"/>
      <c r="D403" s="303"/>
      <c r="E403" s="321"/>
      <c r="F403" s="322"/>
      <c r="G403" s="324"/>
      <c r="H403" s="325"/>
      <c r="I403" s="325"/>
      <c r="J403" s="313"/>
      <c r="K403" s="313"/>
      <c r="L403" s="314"/>
      <c r="M403" s="312"/>
      <c r="N403" s="313"/>
      <c r="O403" s="314"/>
      <c r="P403" s="315"/>
      <c r="Q403" s="312"/>
      <c r="R403" s="316"/>
      <c r="S403" s="316"/>
      <c r="T403" s="319"/>
      <c r="U403" s="317"/>
      <c r="V403" s="319"/>
      <c r="W403" s="319"/>
      <c r="X403" s="319"/>
      <c r="Y403" s="319"/>
      <c r="Z403" s="319"/>
      <c r="AA403" s="319"/>
      <c r="AB403" s="319"/>
      <c r="AC403" s="319"/>
      <c r="AD403" s="319"/>
      <c r="AE403" s="319"/>
      <c r="AF403" s="319"/>
      <c r="AG403" s="319"/>
      <c r="AH403" s="319"/>
      <c r="AI403" s="319"/>
      <c r="AJ403" s="319"/>
      <c r="AK403" s="319"/>
      <c r="AL403" s="319"/>
      <c r="AM403" s="319"/>
      <c r="AN403" s="319"/>
      <c r="AO403" s="319"/>
      <c r="AP403" s="319"/>
      <c r="AQ403" s="319"/>
      <c r="AR403" s="319"/>
      <c r="AS403" s="319"/>
      <c r="AT403" s="319"/>
      <c r="AU403" s="319"/>
      <c r="AV403" s="319"/>
      <c r="AW403" s="319"/>
      <c r="AX403" s="319"/>
      <c r="AY403" s="319"/>
      <c r="AZ403" s="319"/>
      <c r="BA403" s="319"/>
      <c r="BB403" s="319"/>
      <c r="BC403" s="319"/>
      <c r="BD403" s="319"/>
      <c r="BE403" s="319"/>
      <c r="BF403" s="319"/>
      <c r="BG403" s="319"/>
      <c r="BH403" s="319"/>
      <c r="BI403" s="319"/>
      <c r="BJ403" s="319"/>
      <c r="BK403" s="319"/>
      <c r="BL403" s="319"/>
      <c r="BM403" s="319"/>
      <c r="BN403" s="319"/>
      <c r="BO403" s="319"/>
      <c r="BP403" s="319"/>
      <c r="BQ403" s="319"/>
      <c r="BR403" s="319"/>
      <c r="BS403" s="319"/>
      <c r="BT403" s="319"/>
      <c r="BU403" s="319"/>
      <c r="BV403" s="319"/>
      <c r="BW403" s="319"/>
      <c r="BX403" s="319"/>
      <c r="BY403" s="319"/>
      <c r="BZ403" s="319"/>
      <c r="CA403" s="319"/>
      <c r="CB403" s="319"/>
      <c r="CC403" s="319"/>
      <c r="CD403" s="319"/>
      <c r="CE403" s="319"/>
      <c r="CF403" s="319"/>
      <c r="CG403" s="319"/>
      <c r="CH403" s="319"/>
      <c r="CI403" s="319"/>
      <c r="CJ403" s="319"/>
      <c r="CK403" s="319"/>
      <c r="CL403" s="319"/>
      <c r="CM403" s="319"/>
      <c r="CN403" s="319"/>
      <c r="CO403" s="319"/>
      <c r="CP403" s="319"/>
      <c r="CQ403" s="319"/>
      <c r="CR403" s="319"/>
      <c r="CS403" s="319"/>
      <c r="CT403" s="319"/>
      <c r="CU403" s="319"/>
      <c r="CV403" s="319"/>
      <c r="CW403" s="319"/>
      <c r="CX403" s="319"/>
      <c r="CY403" s="319"/>
      <c r="CZ403" s="319"/>
      <c r="DA403" s="319"/>
      <c r="DB403" s="319"/>
      <c r="DC403" s="319"/>
      <c r="DD403" s="319"/>
      <c r="DE403" s="319"/>
      <c r="DF403" s="319"/>
      <c r="DG403" s="319"/>
      <c r="DH403" s="319"/>
      <c r="DI403" s="319"/>
      <c r="DJ403" s="319"/>
      <c r="DK403" s="319"/>
      <c r="DL403" s="319"/>
      <c r="DM403" s="319"/>
      <c r="DN403" s="319"/>
      <c r="DO403" s="319"/>
      <c r="DP403" s="319"/>
      <c r="DQ403" s="319"/>
      <c r="DR403" s="319"/>
      <c r="DS403" s="319"/>
      <c r="DT403" s="319"/>
      <c r="DU403" s="319"/>
      <c r="DV403" s="319"/>
      <c r="DW403" s="319"/>
    </row>
    <row r="404" ht="15.0" customHeight="1">
      <c r="A404" s="301" t="s">
        <v>2503</v>
      </c>
      <c r="B404" s="303"/>
      <c r="C404" s="303"/>
      <c r="D404" s="319"/>
      <c r="E404" s="536"/>
      <c r="F404" s="322"/>
      <c r="G404" s="536"/>
      <c r="H404" s="319"/>
      <c r="I404" s="319"/>
      <c r="J404" s="313"/>
      <c r="K404" s="313"/>
      <c r="L404" s="314"/>
      <c r="M404" s="312"/>
      <c r="N404" s="313"/>
      <c r="O404" s="314"/>
      <c r="P404" s="315"/>
      <c r="Q404" s="312"/>
      <c r="R404" s="316"/>
      <c r="S404" s="316"/>
      <c r="T404" s="319"/>
      <c r="U404" s="317"/>
      <c r="V404" s="319"/>
      <c r="W404" s="319"/>
      <c r="X404" s="319"/>
      <c r="Y404" s="319"/>
      <c r="Z404" s="319"/>
      <c r="AA404" s="319"/>
      <c r="AB404" s="319"/>
      <c r="AC404" s="319"/>
      <c r="AD404" s="319"/>
      <c r="AE404" s="319"/>
      <c r="AF404" s="319"/>
      <c r="AG404" s="319"/>
      <c r="AH404" s="319"/>
      <c r="AI404" s="319"/>
      <c r="AJ404" s="319"/>
      <c r="AK404" s="319"/>
      <c r="AL404" s="319"/>
      <c r="AM404" s="319"/>
      <c r="AN404" s="319"/>
      <c r="AO404" s="319"/>
      <c r="AP404" s="319"/>
      <c r="AQ404" s="319"/>
      <c r="AR404" s="319"/>
      <c r="AS404" s="319"/>
      <c r="AT404" s="319"/>
      <c r="AU404" s="319"/>
      <c r="AV404" s="319"/>
      <c r="AW404" s="319"/>
      <c r="AX404" s="319"/>
      <c r="AY404" s="319"/>
      <c r="AZ404" s="319"/>
      <c r="BA404" s="319"/>
      <c r="BB404" s="319"/>
      <c r="BC404" s="319"/>
      <c r="BD404" s="319"/>
      <c r="BE404" s="319"/>
      <c r="BF404" s="319"/>
      <c r="BG404" s="319"/>
      <c r="BH404" s="319"/>
      <c r="BI404" s="319"/>
      <c r="BJ404" s="319"/>
      <c r="BK404" s="319"/>
      <c r="BL404" s="319"/>
      <c r="BM404" s="319"/>
      <c r="BN404" s="319"/>
      <c r="BO404" s="319"/>
      <c r="BP404" s="319"/>
      <c r="BQ404" s="319"/>
      <c r="BR404" s="319"/>
      <c r="BS404" s="319"/>
      <c r="BT404" s="319"/>
      <c r="BU404" s="319"/>
      <c r="BV404" s="319"/>
      <c r="BW404" s="319"/>
      <c r="BX404" s="319"/>
      <c r="BY404" s="319"/>
      <c r="BZ404" s="319"/>
      <c r="CA404" s="319"/>
      <c r="CB404" s="319"/>
      <c r="CC404" s="319"/>
      <c r="CD404" s="319"/>
      <c r="CE404" s="319"/>
      <c r="CF404" s="319"/>
      <c r="CG404" s="319"/>
      <c r="CH404" s="319"/>
      <c r="CI404" s="319"/>
      <c r="CJ404" s="319"/>
      <c r="CK404" s="319"/>
      <c r="CL404" s="319"/>
      <c r="CM404" s="319"/>
      <c r="CN404" s="319"/>
      <c r="CO404" s="319"/>
      <c r="CP404" s="319"/>
      <c r="CQ404" s="319"/>
      <c r="CR404" s="319"/>
      <c r="CS404" s="319"/>
      <c r="CT404" s="319"/>
      <c r="CU404" s="319"/>
      <c r="CV404" s="319"/>
      <c r="CW404" s="319"/>
      <c r="CX404" s="319"/>
      <c r="CY404" s="319"/>
      <c r="CZ404" s="319"/>
      <c r="DA404" s="319"/>
      <c r="DB404" s="319"/>
      <c r="DC404" s="319"/>
      <c r="DD404" s="319"/>
      <c r="DE404" s="319"/>
      <c r="DF404" s="319"/>
      <c r="DG404" s="319"/>
      <c r="DH404" s="319"/>
      <c r="DI404" s="319"/>
      <c r="DJ404" s="319"/>
      <c r="DK404" s="319"/>
      <c r="DL404" s="319"/>
      <c r="DM404" s="319"/>
      <c r="DN404" s="319"/>
      <c r="DO404" s="319"/>
      <c r="DP404" s="319"/>
      <c r="DQ404" s="319"/>
      <c r="DR404" s="319"/>
      <c r="DS404" s="319"/>
      <c r="DT404" s="319"/>
      <c r="DU404" s="319"/>
      <c r="DV404" s="319"/>
      <c r="DW404" s="319"/>
    </row>
    <row r="405" ht="15.0" customHeight="1">
      <c r="A405" s="301"/>
      <c r="B405" s="303"/>
      <c r="C405" s="303"/>
      <c r="D405" s="319"/>
      <c r="E405" s="536"/>
      <c r="F405" s="322"/>
      <c r="G405" s="536"/>
      <c r="H405" s="319"/>
      <c r="I405" s="319"/>
      <c r="J405" s="313"/>
      <c r="K405" s="313"/>
      <c r="L405" s="314"/>
      <c r="M405" s="312"/>
      <c r="N405" s="313"/>
      <c r="O405" s="314"/>
      <c r="P405" s="315"/>
      <c r="Q405" s="312"/>
      <c r="R405" s="316"/>
      <c r="S405" s="316"/>
      <c r="T405" s="319"/>
      <c r="U405" s="317"/>
      <c r="V405" s="319"/>
      <c r="W405" s="319"/>
      <c r="X405" s="319"/>
      <c r="Y405" s="319"/>
      <c r="Z405" s="319"/>
      <c r="AA405" s="319"/>
      <c r="AB405" s="319"/>
      <c r="AC405" s="319"/>
      <c r="AD405" s="319"/>
      <c r="AE405" s="319"/>
      <c r="AF405" s="319"/>
      <c r="AG405" s="319"/>
      <c r="AH405" s="319"/>
      <c r="AI405" s="319"/>
      <c r="AJ405" s="319"/>
      <c r="AK405" s="319"/>
      <c r="AL405" s="319"/>
      <c r="AM405" s="319"/>
      <c r="AN405" s="319"/>
      <c r="AO405" s="319"/>
      <c r="AP405" s="319"/>
      <c r="AQ405" s="319"/>
      <c r="AR405" s="319"/>
      <c r="AS405" s="319"/>
      <c r="AT405" s="319"/>
      <c r="AU405" s="319"/>
      <c r="AV405" s="319"/>
      <c r="AW405" s="319"/>
      <c r="AX405" s="319"/>
      <c r="AY405" s="319"/>
      <c r="AZ405" s="319"/>
      <c r="BA405" s="319"/>
      <c r="BB405" s="319"/>
      <c r="BC405" s="319"/>
      <c r="BD405" s="319"/>
      <c r="BE405" s="319"/>
      <c r="BF405" s="319"/>
      <c r="BG405" s="319"/>
      <c r="BH405" s="319"/>
      <c r="BI405" s="319"/>
      <c r="BJ405" s="319"/>
      <c r="BK405" s="319"/>
      <c r="BL405" s="319"/>
      <c r="BM405" s="319"/>
      <c r="BN405" s="319"/>
      <c r="BO405" s="319"/>
      <c r="BP405" s="319"/>
      <c r="BQ405" s="319"/>
      <c r="BR405" s="319"/>
      <c r="BS405" s="319"/>
      <c r="BT405" s="319"/>
      <c r="BU405" s="319"/>
      <c r="BV405" s="319"/>
      <c r="BW405" s="319"/>
      <c r="BX405" s="319"/>
      <c r="BY405" s="319"/>
      <c r="BZ405" s="319"/>
      <c r="CA405" s="319"/>
      <c r="CB405" s="319"/>
      <c r="CC405" s="319"/>
      <c r="CD405" s="319"/>
      <c r="CE405" s="319"/>
      <c r="CF405" s="319"/>
      <c r="CG405" s="319"/>
      <c r="CH405" s="319"/>
      <c r="CI405" s="319"/>
      <c r="CJ405" s="319"/>
      <c r="CK405" s="319"/>
      <c r="CL405" s="319"/>
      <c r="CM405" s="319"/>
      <c r="CN405" s="319"/>
      <c r="CO405" s="319"/>
      <c r="CP405" s="319"/>
      <c r="CQ405" s="319"/>
      <c r="CR405" s="319"/>
      <c r="CS405" s="319"/>
      <c r="CT405" s="319"/>
      <c r="CU405" s="319"/>
      <c r="CV405" s="319"/>
      <c r="CW405" s="319"/>
      <c r="CX405" s="319"/>
      <c r="CY405" s="319"/>
      <c r="CZ405" s="319"/>
      <c r="DA405" s="319"/>
      <c r="DB405" s="319"/>
      <c r="DC405" s="319"/>
      <c r="DD405" s="319"/>
      <c r="DE405" s="319"/>
      <c r="DF405" s="319"/>
      <c r="DG405" s="319"/>
      <c r="DH405" s="319"/>
      <c r="DI405" s="319"/>
      <c r="DJ405" s="319"/>
      <c r="DK405" s="319"/>
      <c r="DL405" s="319"/>
      <c r="DM405" s="319"/>
      <c r="DN405" s="319"/>
      <c r="DO405" s="319"/>
      <c r="DP405" s="319"/>
      <c r="DQ405" s="319"/>
      <c r="DR405" s="319"/>
      <c r="DS405" s="319"/>
      <c r="DT405" s="319"/>
      <c r="DU405" s="319"/>
      <c r="DV405" s="319"/>
      <c r="DW405" s="319"/>
    </row>
    <row r="406" ht="15.0" customHeight="1">
      <c r="A406" s="301"/>
      <c r="B406" s="303"/>
      <c r="C406" s="303"/>
      <c r="D406" s="319"/>
      <c r="E406" s="536"/>
      <c r="F406" s="322"/>
      <c r="G406" s="536"/>
      <c r="H406" s="319"/>
      <c r="I406" s="319"/>
      <c r="J406" s="313"/>
      <c r="K406" s="313"/>
      <c r="L406" s="314"/>
      <c r="M406" s="312"/>
      <c r="N406" s="313"/>
      <c r="O406" s="314"/>
      <c r="P406" s="315"/>
      <c r="Q406" s="312"/>
      <c r="R406" s="316"/>
      <c r="S406" s="316"/>
      <c r="T406" s="319"/>
      <c r="U406" s="317"/>
      <c r="V406" s="319"/>
      <c r="W406" s="319"/>
      <c r="X406" s="319"/>
      <c r="Y406" s="319"/>
      <c r="Z406" s="319"/>
      <c r="AA406" s="319"/>
      <c r="AB406" s="319"/>
      <c r="AC406" s="319"/>
      <c r="AD406" s="319"/>
      <c r="AE406" s="319"/>
      <c r="AF406" s="319"/>
      <c r="AG406" s="319"/>
      <c r="AH406" s="319"/>
      <c r="AI406" s="319"/>
      <c r="AJ406" s="319"/>
      <c r="AK406" s="319"/>
      <c r="AL406" s="319"/>
      <c r="AM406" s="319"/>
      <c r="AN406" s="319"/>
      <c r="AO406" s="319"/>
      <c r="AP406" s="319"/>
      <c r="AQ406" s="319"/>
      <c r="AR406" s="319"/>
      <c r="AS406" s="319"/>
      <c r="AT406" s="319"/>
      <c r="AU406" s="319"/>
      <c r="AV406" s="319"/>
      <c r="AW406" s="319"/>
      <c r="AX406" s="319"/>
      <c r="AY406" s="319"/>
      <c r="AZ406" s="319"/>
      <c r="BA406" s="319"/>
      <c r="BB406" s="319"/>
      <c r="BC406" s="319"/>
      <c r="BD406" s="319"/>
      <c r="BE406" s="319"/>
      <c r="BF406" s="319"/>
      <c r="BG406" s="319"/>
      <c r="BH406" s="319"/>
      <c r="BI406" s="319"/>
      <c r="BJ406" s="319"/>
      <c r="BK406" s="319"/>
      <c r="BL406" s="319"/>
      <c r="BM406" s="319"/>
      <c r="BN406" s="319"/>
      <c r="BO406" s="319"/>
      <c r="BP406" s="319"/>
      <c r="BQ406" s="319"/>
      <c r="BR406" s="319"/>
      <c r="BS406" s="319"/>
      <c r="BT406" s="319"/>
      <c r="BU406" s="319"/>
      <c r="BV406" s="319"/>
      <c r="BW406" s="319"/>
      <c r="BX406" s="319"/>
      <c r="BY406" s="319"/>
      <c r="BZ406" s="319"/>
      <c r="CA406" s="319"/>
      <c r="CB406" s="319"/>
      <c r="CC406" s="319"/>
      <c r="CD406" s="319"/>
      <c r="CE406" s="319"/>
      <c r="CF406" s="319"/>
      <c r="CG406" s="319"/>
      <c r="CH406" s="319"/>
      <c r="CI406" s="319"/>
      <c r="CJ406" s="319"/>
      <c r="CK406" s="319"/>
      <c r="CL406" s="319"/>
      <c r="CM406" s="319"/>
      <c r="CN406" s="319"/>
      <c r="CO406" s="319"/>
      <c r="CP406" s="319"/>
      <c r="CQ406" s="319"/>
      <c r="CR406" s="319"/>
      <c r="CS406" s="319"/>
      <c r="CT406" s="319"/>
      <c r="CU406" s="319"/>
      <c r="CV406" s="319"/>
      <c r="CW406" s="319"/>
      <c r="CX406" s="319"/>
      <c r="CY406" s="319"/>
      <c r="CZ406" s="319"/>
      <c r="DA406" s="319"/>
      <c r="DB406" s="319"/>
      <c r="DC406" s="319"/>
      <c r="DD406" s="319"/>
      <c r="DE406" s="319"/>
      <c r="DF406" s="319"/>
      <c r="DG406" s="319"/>
      <c r="DH406" s="319"/>
      <c r="DI406" s="319"/>
      <c r="DJ406" s="319"/>
      <c r="DK406" s="319"/>
      <c r="DL406" s="319"/>
      <c r="DM406" s="319"/>
      <c r="DN406" s="319"/>
      <c r="DO406" s="319"/>
      <c r="DP406" s="319"/>
      <c r="DQ406" s="319"/>
      <c r="DR406" s="319"/>
      <c r="DS406" s="319"/>
      <c r="DT406" s="319"/>
      <c r="DU406" s="319"/>
      <c r="DV406" s="319"/>
      <c r="DW406" s="319"/>
    </row>
    <row r="407" ht="15.0" customHeight="1">
      <c r="A407" s="301"/>
      <c r="B407" s="303"/>
      <c r="C407" s="303"/>
      <c r="D407" s="303"/>
      <c r="E407" s="321"/>
      <c r="F407" s="322"/>
      <c r="G407" s="324"/>
      <c r="H407" s="325"/>
      <c r="I407" s="325"/>
      <c r="J407" s="313"/>
      <c r="K407" s="313"/>
      <c r="L407" s="314"/>
      <c r="M407" s="312"/>
      <c r="N407" s="313"/>
      <c r="O407" s="314"/>
      <c r="P407" s="315"/>
      <c r="Q407" s="312"/>
      <c r="R407" s="316"/>
      <c r="S407" s="316"/>
      <c r="T407" s="319"/>
      <c r="U407" s="317"/>
      <c r="V407" s="319"/>
      <c r="W407" s="319"/>
      <c r="X407" s="319"/>
      <c r="Y407" s="319"/>
      <c r="Z407" s="319"/>
      <c r="AA407" s="319"/>
      <c r="AB407" s="319"/>
      <c r="AC407" s="319"/>
      <c r="AD407" s="319"/>
      <c r="AE407" s="319"/>
      <c r="AF407" s="319"/>
      <c r="AG407" s="319"/>
      <c r="AH407" s="319"/>
      <c r="AI407" s="319"/>
      <c r="AJ407" s="319"/>
      <c r="AK407" s="319"/>
      <c r="AL407" s="319"/>
      <c r="AM407" s="319"/>
      <c r="AN407" s="319"/>
      <c r="AO407" s="319"/>
      <c r="AP407" s="319"/>
      <c r="AQ407" s="319"/>
      <c r="AR407" s="319"/>
      <c r="AS407" s="319"/>
      <c r="AT407" s="319"/>
      <c r="AU407" s="319"/>
      <c r="AV407" s="319"/>
      <c r="AW407" s="319"/>
      <c r="AX407" s="319"/>
      <c r="AY407" s="319"/>
      <c r="AZ407" s="319"/>
      <c r="BA407" s="319"/>
      <c r="BB407" s="319"/>
      <c r="BC407" s="319"/>
      <c r="BD407" s="319"/>
      <c r="BE407" s="319"/>
      <c r="BF407" s="319"/>
      <c r="BG407" s="319"/>
      <c r="BH407" s="319"/>
      <c r="BI407" s="319"/>
      <c r="BJ407" s="319"/>
      <c r="BK407" s="319"/>
      <c r="BL407" s="319"/>
      <c r="BM407" s="319"/>
      <c r="BN407" s="319"/>
      <c r="BO407" s="319"/>
      <c r="BP407" s="319"/>
      <c r="BQ407" s="319"/>
      <c r="BR407" s="319"/>
      <c r="BS407" s="319"/>
      <c r="BT407" s="319"/>
      <c r="BU407" s="319"/>
      <c r="BV407" s="319"/>
      <c r="BW407" s="319"/>
      <c r="BX407" s="319"/>
      <c r="BY407" s="319"/>
      <c r="BZ407" s="319"/>
      <c r="CA407" s="319"/>
      <c r="CB407" s="319"/>
      <c r="CC407" s="319"/>
      <c r="CD407" s="319"/>
      <c r="CE407" s="319"/>
      <c r="CF407" s="319"/>
      <c r="CG407" s="319"/>
      <c r="CH407" s="319"/>
      <c r="CI407" s="319"/>
      <c r="CJ407" s="319"/>
      <c r="CK407" s="319"/>
      <c r="CL407" s="319"/>
      <c r="CM407" s="319"/>
      <c r="CN407" s="319"/>
      <c r="CO407" s="319"/>
      <c r="CP407" s="319"/>
      <c r="CQ407" s="319"/>
      <c r="CR407" s="319"/>
      <c r="CS407" s="319"/>
      <c r="CT407" s="319"/>
      <c r="CU407" s="319"/>
      <c r="CV407" s="319"/>
      <c r="CW407" s="319"/>
      <c r="CX407" s="319"/>
      <c r="CY407" s="319"/>
      <c r="CZ407" s="319"/>
      <c r="DA407" s="319"/>
      <c r="DB407" s="319"/>
      <c r="DC407" s="319"/>
      <c r="DD407" s="319"/>
      <c r="DE407" s="319"/>
      <c r="DF407" s="319"/>
      <c r="DG407" s="319"/>
      <c r="DH407" s="319"/>
      <c r="DI407" s="319"/>
      <c r="DJ407" s="319"/>
      <c r="DK407" s="319"/>
      <c r="DL407" s="319"/>
      <c r="DM407" s="319"/>
      <c r="DN407" s="319"/>
      <c r="DO407" s="319"/>
      <c r="DP407" s="319"/>
      <c r="DQ407" s="319"/>
      <c r="DR407" s="319"/>
      <c r="DS407" s="319"/>
      <c r="DT407" s="319"/>
      <c r="DU407" s="319"/>
      <c r="DV407" s="319"/>
      <c r="DW407" s="319"/>
    </row>
    <row r="408" ht="15.0" customHeight="1">
      <c r="A408" s="301"/>
      <c r="B408" s="303"/>
      <c r="C408" s="303" t="s">
        <v>2504</v>
      </c>
      <c r="D408" s="319"/>
      <c r="E408" s="536"/>
      <c r="F408" s="322"/>
      <c r="G408" s="536"/>
      <c r="H408" s="319"/>
      <c r="I408" s="319"/>
      <c r="J408" s="313"/>
      <c r="K408" s="313"/>
      <c r="L408" s="314"/>
      <c r="M408" s="312"/>
      <c r="N408" s="313"/>
      <c r="O408" s="314"/>
      <c r="P408" s="315"/>
      <c r="Q408" s="312"/>
      <c r="R408" s="316"/>
      <c r="S408" s="316"/>
      <c r="T408" s="319"/>
      <c r="U408" s="317"/>
      <c r="V408" s="319"/>
      <c r="W408" s="319"/>
      <c r="X408" s="319"/>
      <c r="Y408" s="319"/>
      <c r="Z408" s="319"/>
      <c r="AA408" s="319"/>
      <c r="AB408" s="319"/>
      <c r="AC408" s="319"/>
      <c r="AD408" s="319"/>
      <c r="AE408" s="319"/>
      <c r="AF408" s="319"/>
      <c r="AG408" s="319"/>
      <c r="AH408" s="319"/>
      <c r="AI408" s="319"/>
      <c r="AJ408" s="319"/>
      <c r="AK408" s="319"/>
      <c r="AL408" s="319"/>
      <c r="AM408" s="319"/>
      <c r="AN408" s="319"/>
      <c r="AO408" s="319"/>
      <c r="AP408" s="319"/>
      <c r="AQ408" s="319"/>
      <c r="AR408" s="319"/>
      <c r="AS408" s="319"/>
      <c r="AT408" s="319"/>
      <c r="AU408" s="319"/>
      <c r="AV408" s="319"/>
      <c r="AW408" s="319"/>
      <c r="AX408" s="319"/>
      <c r="AY408" s="319"/>
      <c r="AZ408" s="319"/>
      <c r="BA408" s="319"/>
      <c r="BB408" s="319"/>
      <c r="BC408" s="319"/>
      <c r="BD408" s="319"/>
      <c r="BE408" s="319"/>
      <c r="BF408" s="319"/>
      <c r="BG408" s="319"/>
      <c r="BH408" s="319"/>
      <c r="BI408" s="319"/>
      <c r="BJ408" s="319"/>
      <c r="BK408" s="319"/>
      <c r="BL408" s="319"/>
      <c r="BM408" s="319"/>
      <c r="BN408" s="319"/>
      <c r="BO408" s="319"/>
      <c r="BP408" s="319"/>
      <c r="BQ408" s="319"/>
      <c r="BR408" s="319"/>
      <c r="BS408" s="319"/>
      <c r="BT408" s="319"/>
      <c r="BU408" s="319"/>
      <c r="BV408" s="319"/>
      <c r="BW408" s="319"/>
      <c r="BX408" s="319"/>
      <c r="BY408" s="319"/>
      <c r="BZ408" s="319"/>
      <c r="CA408" s="319"/>
      <c r="CB408" s="319"/>
      <c r="CC408" s="319"/>
      <c r="CD408" s="319"/>
      <c r="CE408" s="319"/>
      <c r="CF408" s="319"/>
      <c r="CG408" s="319"/>
      <c r="CH408" s="319"/>
      <c r="CI408" s="319"/>
      <c r="CJ408" s="319"/>
      <c r="CK408" s="319"/>
      <c r="CL408" s="319"/>
      <c r="CM408" s="319"/>
      <c r="CN408" s="319"/>
      <c r="CO408" s="319"/>
      <c r="CP408" s="319"/>
      <c r="CQ408" s="319"/>
      <c r="CR408" s="319"/>
      <c r="CS408" s="319"/>
      <c r="CT408" s="319"/>
      <c r="CU408" s="319"/>
      <c r="CV408" s="319"/>
      <c r="CW408" s="319"/>
      <c r="CX408" s="319"/>
      <c r="CY408" s="319"/>
      <c r="CZ408" s="319"/>
      <c r="DA408" s="319"/>
      <c r="DB408" s="319"/>
      <c r="DC408" s="319"/>
      <c r="DD408" s="319"/>
      <c r="DE408" s="319"/>
      <c r="DF408" s="319"/>
      <c r="DG408" s="319"/>
      <c r="DH408" s="319"/>
      <c r="DI408" s="319"/>
      <c r="DJ408" s="319"/>
      <c r="DK408" s="319"/>
      <c r="DL408" s="319"/>
      <c r="DM408" s="319"/>
      <c r="DN408" s="319"/>
      <c r="DO408" s="319"/>
      <c r="DP408" s="319"/>
      <c r="DQ408" s="319"/>
      <c r="DR408" s="319"/>
      <c r="DS408" s="319"/>
      <c r="DT408" s="319"/>
      <c r="DU408" s="319"/>
      <c r="DV408" s="319"/>
      <c r="DW408" s="319"/>
    </row>
    <row r="409" ht="15.0" customHeight="1">
      <c r="A409" s="301"/>
      <c r="B409" s="303"/>
      <c r="C409" s="303" t="s">
        <v>2505</v>
      </c>
      <c r="D409" s="319"/>
      <c r="E409" s="536"/>
      <c r="F409" s="322"/>
      <c r="G409" s="536"/>
      <c r="H409" s="319"/>
      <c r="I409" s="319"/>
      <c r="J409" s="313"/>
      <c r="K409" s="313"/>
      <c r="L409" s="314"/>
      <c r="M409" s="312"/>
      <c r="N409" s="313"/>
      <c r="O409" s="314"/>
      <c r="P409" s="315"/>
      <c r="Q409" s="312"/>
      <c r="R409" s="316"/>
      <c r="S409" s="316"/>
      <c r="T409" s="319"/>
      <c r="U409" s="317"/>
      <c r="V409" s="319"/>
      <c r="W409" s="319"/>
      <c r="X409" s="319"/>
      <c r="Y409" s="319"/>
      <c r="Z409" s="319"/>
      <c r="AA409" s="319"/>
      <c r="AB409" s="319"/>
      <c r="AC409" s="319"/>
      <c r="AD409" s="319"/>
      <c r="AE409" s="319"/>
      <c r="AF409" s="319"/>
      <c r="AG409" s="319"/>
      <c r="AH409" s="319"/>
      <c r="AI409" s="319"/>
      <c r="AJ409" s="319"/>
      <c r="AK409" s="319"/>
      <c r="AL409" s="319"/>
      <c r="AM409" s="319"/>
      <c r="AN409" s="319"/>
      <c r="AO409" s="319"/>
      <c r="AP409" s="319"/>
      <c r="AQ409" s="319"/>
      <c r="AR409" s="319"/>
      <c r="AS409" s="319"/>
      <c r="AT409" s="319"/>
      <c r="AU409" s="319"/>
      <c r="AV409" s="319"/>
      <c r="AW409" s="319"/>
      <c r="AX409" s="319"/>
      <c r="AY409" s="319"/>
      <c r="AZ409" s="319"/>
      <c r="BA409" s="319"/>
      <c r="BB409" s="319"/>
      <c r="BC409" s="319"/>
      <c r="BD409" s="319"/>
      <c r="BE409" s="319"/>
      <c r="BF409" s="319"/>
      <c r="BG409" s="319"/>
      <c r="BH409" s="319"/>
      <c r="BI409" s="319"/>
      <c r="BJ409" s="319"/>
      <c r="BK409" s="319"/>
      <c r="BL409" s="319"/>
      <c r="BM409" s="319"/>
      <c r="BN409" s="319"/>
      <c r="BO409" s="319"/>
      <c r="BP409" s="319"/>
      <c r="BQ409" s="319"/>
      <c r="BR409" s="319"/>
      <c r="BS409" s="319"/>
      <c r="BT409" s="319"/>
      <c r="BU409" s="319"/>
      <c r="BV409" s="319"/>
      <c r="BW409" s="319"/>
      <c r="BX409" s="319"/>
      <c r="BY409" s="319"/>
      <c r="BZ409" s="319"/>
      <c r="CA409" s="319"/>
      <c r="CB409" s="319"/>
      <c r="CC409" s="319"/>
      <c r="CD409" s="319"/>
      <c r="CE409" s="319"/>
      <c r="CF409" s="319"/>
      <c r="CG409" s="319"/>
      <c r="CH409" s="319"/>
      <c r="CI409" s="319"/>
      <c r="CJ409" s="319"/>
      <c r="CK409" s="319"/>
      <c r="CL409" s="319"/>
      <c r="CM409" s="319"/>
      <c r="CN409" s="319"/>
      <c r="CO409" s="319"/>
      <c r="CP409" s="319"/>
      <c r="CQ409" s="319"/>
      <c r="CR409" s="319"/>
      <c r="CS409" s="319"/>
      <c r="CT409" s="319"/>
      <c r="CU409" s="319"/>
      <c r="CV409" s="319"/>
      <c r="CW409" s="319"/>
      <c r="CX409" s="319"/>
      <c r="CY409" s="319"/>
      <c r="CZ409" s="319"/>
      <c r="DA409" s="319"/>
      <c r="DB409" s="319"/>
      <c r="DC409" s="319"/>
      <c r="DD409" s="319"/>
      <c r="DE409" s="319"/>
      <c r="DF409" s="319"/>
      <c r="DG409" s="319"/>
      <c r="DH409" s="319"/>
      <c r="DI409" s="319"/>
      <c r="DJ409" s="319"/>
      <c r="DK409" s="319"/>
      <c r="DL409" s="319"/>
      <c r="DM409" s="319"/>
      <c r="DN409" s="319"/>
      <c r="DO409" s="319"/>
      <c r="DP409" s="319"/>
      <c r="DQ409" s="319"/>
      <c r="DR409" s="319"/>
      <c r="DS409" s="319"/>
      <c r="DT409" s="319"/>
      <c r="DU409" s="319"/>
      <c r="DV409" s="319"/>
      <c r="DW409" s="319"/>
    </row>
    <row r="410" ht="15.0" customHeight="1">
      <c r="A410" s="301"/>
      <c r="B410" s="303"/>
      <c r="C410" s="303"/>
      <c r="D410" s="303"/>
      <c r="E410" s="321"/>
      <c r="F410" s="322"/>
      <c r="G410" s="324"/>
      <c r="H410" s="325"/>
      <c r="I410" s="325"/>
      <c r="J410" s="313"/>
      <c r="K410" s="313"/>
      <c r="L410" s="314"/>
      <c r="M410" s="312"/>
      <c r="N410" s="313"/>
      <c r="O410" s="314"/>
      <c r="P410" s="315"/>
      <c r="Q410" s="312"/>
      <c r="R410" s="316"/>
      <c r="S410" s="316"/>
      <c r="T410" s="319"/>
      <c r="U410" s="317"/>
      <c r="V410" s="319"/>
      <c r="W410" s="319"/>
      <c r="X410" s="319"/>
      <c r="Y410" s="319"/>
      <c r="Z410" s="319"/>
      <c r="AA410" s="319"/>
      <c r="AB410" s="319"/>
      <c r="AC410" s="319"/>
      <c r="AD410" s="319"/>
      <c r="AE410" s="319"/>
      <c r="AF410" s="319"/>
      <c r="AG410" s="319"/>
      <c r="AH410" s="319"/>
      <c r="AI410" s="319"/>
      <c r="AJ410" s="319"/>
      <c r="AK410" s="319"/>
      <c r="AL410" s="319"/>
      <c r="AM410" s="319"/>
      <c r="AN410" s="319"/>
      <c r="AO410" s="319"/>
      <c r="AP410" s="319"/>
      <c r="AQ410" s="319"/>
      <c r="AR410" s="319"/>
      <c r="AS410" s="319"/>
      <c r="AT410" s="319"/>
      <c r="AU410" s="319"/>
      <c r="AV410" s="319"/>
      <c r="AW410" s="319"/>
      <c r="AX410" s="319"/>
      <c r="AY410" s="319"/>
      <c r="AZ410" s="319"/>
      <c r="BA410" s="319"/>
      <c r="BB410" s="319"/>
      <c r="BC410" s="319"/>
      <c r="BD410" s="319"/>
      <c r="BE410" s="319"/>
      <c r="BF410" s="319"/>
      <c r="BG410" s="319"/>
      <c r="BH410" s="319"/>
      <c r="BI410" s="319"/>
      <c r="BJ410" s="319"/>
      <c r="BK410" s="319"/>
      <c r="BL410" s="319"/>
      <c r="BM410" s="319"/>
      <c r="BN410" s="319"/>
      <c r="BO410" s="319"/>
      <c r="BP410" s="319"/>
      <c r="BQ410" s="319"/>
      <c r="BR410" s="319"/>
      <c r="BS410" s="319"/>
      <c r="BT410" s="319"/>
      <c r="BU410" s="319"/>
      <c r="BV410" s="319"/>
      <c r="BW410" s="319"/>
      <c r="BX410" s="319"/>
      <c r="BY410" s="319"/>
      <c r="BZ410" s="319"/>
      <c r="CA410" s="319"/>
      <c r="CB410" s="319"/>
      <c r="CC410" s="319"/>
      <c r="CD410" s="319"/>
      <c r="CE410" s="319"/>
      <c r="CF410" s="319"/>
      <c r="CG410" s="319"/>
      <c r="CH410" s="319"/>
      <c r="CI410" s="319"/>
      <c r="CJ410" s="319"/>
      <c r="CK410" s="319"/>
      <c r="CL410" s="319"/>
      <c r="CM410" s="319"/>
      <c r="CN410" s="319"/>
      <c r="CO410" s="319"/>
      <c r="CP410" s="319"/>
      <c r="CQ410" s="319"/>
      <c r="CR410" s="319"/>
      <c r="CS410" s="319"/>
      <c r="CT410" s="319"/>
      <c r="CU410" s="319"/>
      <c r="CV410" s="319"/>
      <c r="CW410" s="319"/>
      <c r="CX410" s="319"/>
      <c r="CY410" s="319"/>
      <c r="CZ410" s="319"/>
      <c r="DA410" s="319"/>
      <c r="DB410" s="319"/>
      <c r="DC410" s="319"/>
      <c r="DD410" s="319"/>
      <c r="DE410" s="319"/>
      <c r="DF410" s="319"/>
      <c r="DG410" s="319"/>
      <c r="DH410" s="319"/>
      <c r="DI410" s="319"/>
      <c r="DJ410" s="319"/>
      <c r="DK410" s="319"/>
      <c r="DL410" s="319"/>
      <c r="DM410" s="319"/>
      <c r="DN410" s="319"/>
      <c r="DO410" s="319"/>
      <c r="DP410" s="319"/>
      <c r="DQ410" s="319"/>
      <c r="DR410" s="319"/>
      <c r="DS410" s="319"/>
      <c r="DT410" s="319"/>
      <c r="DU410" s="319"/>
      <c r="DV410" s="319"/>
      <c r="DW410" s="319"/>
    </row>
    <row r="411" ht="15.0" customHeight="1">
      <c r="A411" s="301"/>
      <c r="B411" s="303"/>
      <c r="C411" s="303" t="s">
        <v>2506</v>
      </c>
      <c r="D411" s="319"/>
      <c r="E411" s="536"/>
      <c r="F411" s="322"/>
      <c r="G411" s="536"/>
      <c r="H411" s="319"/>
      <c r="I411" s="319"/>
      <c r="J411" s="313"/>
      <c r="K411" s="313"/>
      <c r="L411" s="314"/>
      <c r="M411" s="312"/>
      <c r="N411" s="313"/>
      <c r="O411" s="314"/>
      <c r="P411" s="315"/>
      <c r="Q411" s="312"/>
      <c r="R411" s="316"/>
      <c r="S411" s="316"/>
      <c r="T411" s="319"/>
      <c r="U411" s="317"/>
      <c r="V411" s="319"/>
      <c r="W411" s="319"/>
      <c r="X411" s="319"/>
      <c r="Y411" s="319"/>
      <c r="Z411" s="319"/>
      <c r="AA411" s="319"/>
      <c r="AB411" s="319"/>
      <c r="AC411" s="319"/>
      <c r="AD411" s="319"/>
      <c r="AE411" s="319"/>
      <c r="AF411" s="319"/>
      <c r="AG411" s="319"/>
      <c r="AH411" s="319"/>
      <c r="AI411" s="319"/>
      <c r="AJ411" s="319"/>
      <c r="AK411" s="319"/>
      <c r="AL411" s="319"/>
      <c r="AM411" s="319"/>
      <c r="AN411" s="319"/>
      <c r="AO411" s="319"/>
      <c r="AP411" s="319"/>
      <c r="AQ411" s="319"/>
      <c r="AR411" s="319"/>
      <c r="AS411" s="319"/>
      <c r="AT411" s="319"/>
      <c r="AU411" s="319"/>
      <c r="AV411" s="319"/>
      <c r="AW411" s="319"/>
      <c r="AX411" s="319"/>
      <c r="AY411" s="319"/>
      <c r="AZ411" s="319"/>
      <c r="BA411" s="319"/>
      <c r="BB411" s="319"/>
      <c r="BC411" s="319"/>
      <c r="BD411" s="319"/>
      <c r="BE411" s="319"/>
      <c r="BF411" s="319"/>
      <c r="BG411" s="319"/>
      <c r="BH411" s="319"/>
      <c r="BI411" s="319"/>
      <c r="BJ411" s="319"/>
      <c r="BK411" s="319"/>
      <c r="BL411" s="319"/>
      <c r="BM411" s="319"/>
      <c r="BN411" s="319"/>
      <c r="BO411" s="319"/>
      <c r="BP411" s="319"/>
      <c r="BQ411" s="319"/>
      <c r="BR411" s="319"/>
      <c r="BS411" s="319"/>
      <c r="BT411" s="319"/>
      <c r="BU411" s="319"/>
      <c r="BV411" s="319"/>
      <c r="BW411" s="319"/>
      <c r="BX411" s="319"/>
      <c r="BY411" s="319"/>
      <c r="BZ411" s="319"/>
      <c r="CA411" s="319"/>
      <c r="CB411" s="319"/>
      <c r="CC411" s="319"/>
      <c r="CD411" s="319"/>
      <c r="CE411" s="319"/>
      <c r="CF411" s="319"/>
      <c r="CG411" s="319"/>
      <c r="CH411" s="319"/>
      <c r="CI411" s="319"/>
      <c r="CJ411" s="319"/>
      <c r="CK411" s="319"/>
      <c r="CL411" s="319"/>
      <c r="CM411" s="319"/>
      <c r="CN411" s="319"/>
      <c r="CO411" s="319"/>
      <c r="CP411" s="319"/>
      <c r="CQ411" s="319"/>
      <c r="CR411" s="319"/>
      <c r="CS411" s="319"/>
      <c r="CT411" s="319"/>
      <c r="CU411" s="319"/>
      <c r="CV411" s="319"/>
      <c r="CW411" s="319"/>
      <c r="CX411" s="319"/>
      <c r="CY411" s="319"/>
      <c r="CZ411" s="319"/>
      <c r="DA411" s="319"/>
      <c r="DB411" s="319"/>
      <c r="DC411" s="319"/>
      <c r="DD411" s="319"/>
      <c r="DE411" s="319"/>
      <c r="DF411" s="319"/>
      <c r="DG411" s="319"/>
      <c r="DH411" s="319"/>
      <c r="DI411" s="319"/>
      <c r="DJ411" s="319"/>
      <c r="DK411" s="319"/>
      <c r="DL411" s="319"/>
      <c r="DM411" s="319"/>
      <c r="DN411" s="319"/>
      <c r="DO411" s="319"/>
      <c r="DP411" s="319"/>
      <c r="DQ411" s="319"/>
      <c r="DR411" s="319"/>
      <c r="DS411" s="319"/>
      <c r="DT411" s="319"/>
      <c r="DU411" s="319"/>
      <c r="DV411" s="319"/>
      <c r="DW411" s="319"/>
    </row>
    <row r="412" ht="15.0" customHeight="1">
      <c r="A412" s="301"/>
      <c r="B412" s="303"/>
      <c r="C412" s="303" t="s">
        <v>2507</v>
      </c>
      <c r="D412" s="319"/>
      <c r="E412" s="536"/>
      <c r="F412" s="322"/>
      <c r="G412" s="536"/>
      <c r="H412" s="319"/>
      <c r="I412" s="319"/>
      <c r="J412" s="313"/>
      <c r="K412" s="313"/>
      <c r="L412" s="314"/>
      <c r="M412" s="312"/>
      <c r="N412" s="313"/>
      <c r="O412" s="314"/>
      <c r="P412" s="315"/>
      <c r="Q412" s="312"/>
      <c r="R412" s="316"/>
      <c r="S412" s="316"/>
      <c r="T412" s="319"/>
      <c r="U412" s="317"/>
      <c r="V412" s="319"/>
      <c r="W412" s="319"/>
      <c r="X412" s="319"/>
      <c r="Y412" s="319"/>
      <c r="Z412" s="319"/>
      <c r="AA412" s="319"/>
      <c r="AB412" s="319"/>
      <c r="AC412" s="319"/>
      <c r="AD412" s="319"/>
      <c r="AE412" s="319"/>
      <c r="AF412" s="319"/>
      <c r="AG412" s="319"/>
      <c r="AH412" s="319"/>
      <c r="AI412" s="319"/>
      <c r="AJ412" s="319"/>
      <c r="AK412" s="319"/>
      <c r="AL412" s="319"/>
      <c r="AM412" s="319"/>
      <c r="AN412" s="319"/>
      <c r="AO412" s="319"/>
      <c r="AP412" s="319"/>
      <c r="AQ412" s="319"/>
      <c r="AR412" s="319"/>
      <c r="AS412" s="319"/>
      <c r="AT412" s="319"/>
      <c r="AU412" s="319"/>
      <c r="AV412" s="319"/>
      <c r="AW412" s="319"/>
      <c r="AX412" s="319"/>
      <c r="AY412" s="319"/>
      <c r="AZ412" s="319"/>
      <c r="BA412" s="319"/>
      <c r="BB412" s="319"/>
      <c r="BC412" s="319"/>
      <c r="BD412" s="319"/>
      <c r="BE412" s="319"/>
      <c r="BF412" s="319"/>
      <c r="BG412" s="319"/>
      <c r="BH412" s="319"/>
      <c r="BI412" s="319"/>
      <c r="BJ412" s="319"/>
      <c r="BK412" s="319"/>
      <c r="BL412" s="319"/>
      <c r="BM412" s="319"/>
      <c r="BN412" s="319"/>
      <c r="BO412" s="319"/>
      <c r="BP412" s="319"/>
      <c r="BQ412" s="319"/>
      <c r="BR412" s="319"/>
      <c r="BS412" s="319"/>
      <c r="BT412" s="319"/>
      <c r="BU412" s="319"/>
      <c r="BV412" s="319"/>
      <c r="BW412" s="319"/>
      <c r="BX412" s="319"/>
      <c r="BY412" s="319"/>
      <c r="BZ412" s="319"/>
      <c r="CA412" s="319"/>
      <c r="CB412" s="319"/>
      <c r="CC412" s="319"/>
      <c r="CD412" s="319"/>
      <c r="CE412" s="319"/>
      <c r="CF412" s="319"/>
      <c r="CG412" s="319"/>
      <c r="CH412" s="319"/>
      <c r="CI412" s="319"/>
      <c r="CJ412" s="319"/>
      <c r="CK412" s="319"/>
      <c r="CL412" s="319"/>
      <c r="CM412" s="319"/>
      <c r="CN412" s="319"/>
      <c r="CO412" s="319"/>
      <c r="CP412" s="319"/>
      <c r="CQ412" s="319"/>
      <c r="CR412" s="319"/>
      <c r="CS412" s="319"/>
      <c r="CT412" s="319"/>
      <c r="CU412" s="319"/>
      <c r="CV412" s="319"/>
      <c r="CW412" s="319"/>
      <c r="CX412" s="319"/>
      <c r="CY412" s="319"/>
      <c r="CZ412" s="319"/>
      <c r="DA412" s="319"/>
      <c r="DB412" s="319"/>
      <c r="DC412" s="319"/>
      <c r="DD412" s="319"/>
      <c r="DE412" s="319"/>
      <c r="DF412" s="319"/>
      <c r="DG412" s="319"/>
      <c r="DH412" s="319"/>
      <c r="DI412" s="319"/>
      <c r="DJ412" s="319"/>
      <c r="DK412" s="319"/>
      <c r="DL412" s="319"/>
      <c r="DM412" s="319"/>
      <c r="DN412" s="319"/>
      <c r="DO412" s="319"/>
      <c r="DP412" s="319"/>
      <c r="DQ412" s="319"/>
      <c r="DR412" s="319"/>
      <c r="DS412" s="319"/>
      <c r="DT412" s="319"/>
      <c r="DU412" s="319"/>
      <c r="DV412" s="319"/>
      <c r="DW412" s="319"/>
    </row>
    <row r="413" ht="15.0" customHeight="1">
      <c r="A413" s="301"/>
      <c r="B413" s="303"/>
      <c r="C413" s="303" t="s">
        <v>2508</v>
      </c>
      <c r="D413" s="319"/>
      <c r="E413" s="536"/>
      <c r="F413" s="322"/>
      <c r="G413" s="536"/>
      <c r="H413" s="319"/>
      <c r="I413" s="319"/>
      <c r="J413" s="313"/>
      <c r="K413" s="313"/>
      <c r="L413" s="314"/>
      <c r="M413" s="312"/>
      <c r="N413" s="313"/>
      <c r="O413" s="314"/>
      <c r="P413" s="315"/>
      <c r="Q413" s="312"/>
      <c r="R413" s="316"/>
      <c r="S413" s="316"/>
      <c r="T413" s="319"/>
      <c r="U413" s="317"/>
      <c r="V413" s="319"/>
      <c r="W413" s="319"/>
      <c r="X413" s="319"/>
      <c r="Y413" s="319"/>
      <c r="Z413" s="319"/>
      <c r="AA413" s="319"/>
      <c r="AB413" s="319"/>
      <c r="AC413" s="319"/>
      <c r="AD413" s="319"/>
      <c r="AE413" s="319"/>
      <c r="AF413" s="319"/>
      <c r="AG413" s="319"/>
      <c r="AH413" s="319"/>
      <c r="AI413" s="319"/>
      <c r="AJ413" s="319"/>
      <c r="AK413" s="319"/>
      <c r="AL413" s="319"/>
      <c r="AM413" s="319"/>
      <c r="AN413" s="319"/>
      <c r="AO413" s="319"/>
      <c r="AP413" s="319"/>
      <c r="AQ413" s="319"/>
      <c r="AR413" s="319"/>
      <c r="AS413" s="319"/>
      <c r="AT413" s="319"/>
      <c r="AU413" s="319"/>
      <c r="AV413" s="319"/>
      <c r="AW413" s="319"/>
      <c r="AX413" s="319"/>
      <c r="AY413" s="319"/>
      <c r="AZ413" s="319"/>
      <c r="BA413" s="319"/>
      <c r="BB413" s="319"/>
      <c r="BC413" s="319"/>
      <c r="BD413" s="319"/>
      <c r="BE413" s="319"/>
      <c r="BF413" s="319"/>
      <c r="BG413" s="319"/>
      <c r="BH413" s="319"/>
      <c r="BI413" s="319"/>
      <c r="BJ413" s="319"/>
      <c r="BK413" s="319"/>
      <c r="BL413" s="319"/>
      <c r="BM413" s="319"/>
      <c r="BN413" s="319"/>
      <c r="BO413" s="319"/>
      <c r="BP413" s="319"/>
      <c r="BQ413" s="319"/>
      <c r="BR413" s="319"/>
      <c r="BS413" s="319"/>
      <c r="BT413" s="319"/>
      <c r="BU413" s="319"/>
      <c r="BV413" s="319"/>
      <c r="BW413" s="319"/>
      <c r="BX413" s="319"/>
      <c r="BY413" s="319"/>
      <c r="BZ413" s="319"/>
      <c r="CA413" s="319"/>
      <c r="CB413" s="319"/>
      <c r="CC413" s="319"/>
      <c r="CD413" s="319"/>
      <c r="CE413" s="319"/>
      <c r="CF413" s="319"/>
      <c r="CG413" s="319"/>
      <c r="CH413" s="319"/>
      <c r="CI413" s="319"/>
      <c r="CJ413" s="319"/>
      <c r="CK413" s="319"/>
      <c r="CL413" s="319"/>
      <c r="CM413" s="319"/>
      <c r="CN413" s="319"/>
      <c r="CO413" s="319"/>
      <c r="CP413" s="319"/>
      <c r="CQ413" s="319"/>
      <c r="CR413" s="319"/>
      <c r="CS413" s="319"/>
      <c r="CT413" s="319"/>
      <c r="CU413" s="319"/>
      <c r="CV413" s="319"/>
      <c r="CW413" s="319"/>
      <c r="CX413" s="319"/>
      <c r="CY413" s="319"/>
      <c r="CZ413" s="319"/>
      <c r="DA413" s="319"/>
      <c r="DB413" s="319"/>
      <c r="DC413" s="319"/>
      <c r="DD413" s="319"/>
      <c r="DE413" s="319"/>
      <c r="DF413" s="319"/>
      <c r="DG413" s="319"/>
      <c r="DH413" s="319"/>
      <c r="DI413" s="319"/>
      <c r="DJ413" s="319"/>
      <c r="DK413" s="319"/>
      <c r="DL413" s="319"/>
      <c r="DM413" s="319"/>
      <c r="DN413" s="319"/>
      <c r="DO413" s="319"/>
      <c r="DP413" s="319"/>
      <c r="DQ413" s="319"/>
      <c r="DR413" s="319"/>
      <c r="DS413" s="319"/>
      <c r="DT413" s="319"/>
      <c r="DU413" s="319"/>
      <c r="DV413" s="319"/>
      <c r="DW413" s="319"/>
    </row>
    <row r="414" ht="15.0" customHeight="1">
      <c r="A414" s="301"/>
      <c r="B414" s="303"/>
      <c r="C414" s="303"/>
      <c r="D414" s="303"/>
      <c r="E414" s="321"/>
      <c r="F414" s="322"/>
      <c r="G414" s="324"/>
      <c r="H414" s="325"/>
      <c r="I414" s="325"/>
      <c r="J414" s="313"/>
      <c r="K414" s="313"/>
      <c r="L414" s="314"/>
      <c r="M414" s="312"/>
      <c r="N414" s="313"/>
      <c r="O414" s="314"/>
      <c r="P414" s="315"/>
      <c r="Q414" s="312"/>
      <c r="R414" s="316"/>
      <c r="S414" s="316"/>
      <c r="T414" s="319"/>
      <c r="U414" s="317"/>
      <c r="V414" s="319"/>
      <c r="W414" s="319"/>
      <c r="X414" s="319"/>
      <c r="Y414" s="319"/>
      <c r="Z414" s="319"/>
      <c r="AA414" s="319"/>
      <c r="AB414" s="319"/>
      <c r="AC414" s="319"/>
      <c r="AD414" s="319"/>
      <c r="AE414" s="319"/>
      <c r="AF414" s="319"/>
      <c r="AG414" s="319"/>
      <c r="AH414" s="319"/>
      <c r="AI414" s="319"/>
      <c r="AJ414" s="319"/>
      <c r="AK414" s="319"/>
      <c r="AL414" s="319"/>
      <c r="AM414" s="319"/>
      <c r="AN414" s="319"/>
      <c r="AO414" s="319"/>
      <c r="AP414" s="319"/>
      <c r="AQ414" s="319"/>
      <c r="AR414" s="319"/>
      <c r="AS414" s="319"/>
      <c r="AT414" s="319"/>
      <c r="AU414" s="319"/>
      <c r="AV414" s="319"/>
      <c r="AW414" s="319"/>
      <c r="AX414" s="319"/>
      <c r="AY414" s="319"/>
      <c r="AZ414" s="319"/>
      <c r="BA414" s="319"/>
      <c r="BB414" s="319"/>
      <c r="BC414" s="319"/>
      <c r="BD414" s="319"/>
      <c r="BE414" s="319"/>
      <c r="BF414" s="319"/>
      <c r="BG414" s="319"/>
      <c r="BH414" s="319"/>
      <c r="BI414" s="319"/>
      <c r="BJ414" s="319"/>
      <c r="BK414" s="319"/>
      <c r="BL414" s="319"/>
      <c r="BM414" s="319"/>
      <c r="BN414" s="319"/>
      <c r="BO414" s="319"/>
      <c r="BP414" s="319"/>
      <c r="BQ414" s="319"/>
      <c r="BR414" s="319"/>
      <c r="BS414" s="319"/>
      <c r="BT414" s="319"/>
      <c r="BU414" s="319"/>
      <c r="BV414" s="319"/>
      <c r="BW414" s="319"/>
      <c r="BX414" s="319"/>
      <c r="BY414" s="319"/>
      <c r="BZ414" s="319"/>
      <c r="CA414" s="319"/>
      <c r="CB414" s="319"/>
      <c r="CC414" s="319"/>
      <c r="CD414" s="319"/>
      <c r="CE414" s="319"/>
      <c r="CF414" s="319"/>
      <c r="CG414" s="319"/>
      <c r="CH414" s="319"/>
      <c r="CI414" s="319"/>
      <c r="CJ414" s="319"/>
      <c r="CK414" s="319"/>
      <c r="CL414" s="319"/>
      <c r="CM414" s="319"/>
      <c r="CN414" s="319"/>
      <c r="CO414" s="319"/>
      <c r="CP414" s="319"/>
      <c r="CQ414" s="319"/>
      <c r="CR414" s="319"/>
      <c r="CS414" s="319"/>
      <c r="CT414" s="319"/>
      <c r="CU414" s="319"/>
      <c r="CV414" s="319"/>
      <c r="CW414" s="319"/>
      <c r="CX414" s="319"/>
      <c r="CY414" s="319"/>
      <c r="CZ414" s="319"/>
      <c r="DA414" s="319"/>
      <c r="DB414" s="319"/>
      <c r="DC414" s="319"/>
      <c r="DD414" s="319"/>
      <c r="DE414" s="319"/>
      <c r="DF414" s="319"/>
      <c r="DG414" s="319"/>
      <c r="DH414" s="319"/>
      <c r="DI414" s="319"/>
      <c r="DJ414" s="319"/>
      <c r="DK414" s="319"/>
      <c r="DL414" s="319"/>
      <c r="DM414" s="319"/>
      <c r="DN414" s="319"/>
      <c r="DO414" s="319"/>
      <c r="DP414" s="319"/>
      <c r="DQ414" s="319"/>
      <c r="DR414" s="319"/>
      <c r="DS414" s="319"/>
      <c r="DT414" s="319"/>
      <c r="DU414" s="319"/>
      <c r="DV414" s="319"/>
      <c r="DW414" s="319"/>
    </row>
    <row r="415" ht="15.0" customHeight="1">
      <c r="A415" s="301"/>
      <c r="B415" s="303"/>
      <c r="C415" s="303" t="s">
        <v>2509</v>
      </c>
      <c r="D415" s="319"/>
      <c r="E415" s="536"/>
      <c r="F415" s="322"/>
      <c r="G415" s="536"/>
      <c r="H415" s="319"/>
      <c r="I415" s="319"/>
      <c r="J415" s="313"/>
      <c r="K415" s="313"/>
      <c r="L415" s="314"/>
      <c r="M415" s="312"/>
      <c r="N415" s="313"/>
      <c r="O415" s="314"/>
      <c r="P415" s="315"/>
      <c r="Q415" s="312"/>
      <c r="R415" s="316"/>
      <c r="S415" s="316"/>
      <c r="T415" s="319"/>
      <c r="U415" s="317"/>
      <c r="V415" s="319"/>
      <c r="W415" s="319"/>
      <c r="X415" s="319"/>
      <c r="Y415" s="319"/>
      <c r="Z415" s="319"/>
      <c r="AA415" s="319"/>
      <c r="AB415" s="319"/>
      <c r="AC415" s="319"/>
      <c r="AD415" s="319"/>
      <c r="AE415" s="319"/>
      <c r="AF415" s="319"/>
      <c r="AG415" s="319"/>
      <c r="AH415" s="319"/>
      <c r="AI415" s="319"/>
      <c r="AJ415" s="319"/>
      <c r="AK415" s="319"/>
      <c r="AL415" s="319"/>
      <c r="AM415" s="319"/>
      <c r="AN415" s="319"/>
      <c r="AO415" s="319"/>
      <c r="AP415" s="319"/>
      <c r="AQ415" s="319"/>
      <c r="AR415" s="319"/>
      <c r="AS415" s="319"/>
      <c r="AT415" s="319"/>
      <c r="AU415" s="319"/>
      <c r="AV415" s="319"/>
      <c r="AW415" s="319"/>
      <c r="AX415" s="319"/>
      <c r="AY415" s="319"/>
      <c r="AZ415" s="319"/>
      <c r="BA415" s="319"/>
      <c r="BB415" s="319"/>
      <c r="BC415" s="319"/>
      <c r="BD415" s="319"/>
      <c r="BE415" s="319"/>
      <c r="BF415" s="319"/>
      <c r="BG415" s="319"/>
      <c r="BH415" s="319"/>
      <c r="BI415" s="319"/>
      <c r="BJ415" s="319"/>
      <c r="BK415" s="319"/>
      <c r="BL415" s="319"/>
      <c r="BM415" s="319"/>
      <c r="BN415" s="319"/>
      <c r="BO415" s="319"/>
      <c r="BP415" s="319"/>
      <c r="BQ415" s="319"/>
      <c r="BR415" s="319"/>
      <c r="BS415" s="319"/>
      <c r="BT415" s="319"/>
      <c r="BU415" s="319"/>
      <c r="BV415" s="319"/>
      <c r="BW415" s="319"/>
      <c r="BX415" s="319"/>
      <c r="BY415" s="319"/>
      <c r="BZ415" s="319"/>
      <c r="CA415" s="319"/>
      <c r="CB415" s="319"/>
      <c r="CC415" s="319"/>
      <c r="CD415" s="319"/>
      <c r="CE415" s="319"/>
      <c r="CF415" s="319"/>
      <c r="CG415" s="319"/>
      <c r="CH415" s="319"/>
      <c r="CI415" s="319"/>
      <c r="CJ415" s="319"/>
      <c r="CK415" s="319"/>
      <c r="CL415" s="319"/>
      <c r="CM415" s="319"/>
      <c r="CN415" s="319"/>
      <c r="CO415" s="319"/>
      <c r="CP415" s="319"/>
      <c r="CQ415" s="319"/>
      <c r="CR415" s="319"/>
      <c r="CS415" s="319"/>
      <c r="CT415" s="319"/>
      <c r="CU415" s="319"/>
      <c r="CV415" s="319"/>
      <c r="CW415" s="319"/>
      <c r="CX415" s="319"/>
      <c r="CY415" s="319"/>
      <c r="CZ415" s="319"/>
      <c r="DA415" s="319"/>
      <c r="DB415" s="319"/>
      <c r="DC415" s="319"/>
      <c r="DD415" s="319"/>
      <c r="DE415" s="319"/>
      <c r="DF415" s="319"/>
      <c r="DG415" s="319"/>
      <c r="DH415" s="319"/>
      <c r="DI415" s="319"/>
      <c r="DJ415" s="319"/>
      <c r="DK415" s="319"/>
      <c r="DL415" s="319"/>
      <c r="DM415" s="319"/>
      <c r="DN415" s="319"/>
      <c r="DO415" s="319"/>
      <c r="DP415" s="319"/>
      <c r="DQ415" s="319"/>
      <c r="DR415" s="319"/>
      <c r="DS415" s="319"/>
      <c r="DT415" s="319"/>
      <c r="DU415" s="319"/>
      <c r="DV415" s="319"/>
      <c r="DW415" s="319"/>
    </row>
    <row r="416" ht="15.0" customHeight="1">
      <c r="A416" s="301"/>
      <c r="B416" s="303"/>
      <c r="C416" s="303" t="s">
        <v>2510</v>
      </c>
      <c r="D416" s="319"/>
      <c r="E416" s="536"/>
      <c r="F416" s="322"/>
      <c r="G416" s="536"/>
      <c r="H416" s="319"/>
      <c r="I416" s="319"/>
      <c r="J416" s="313"/>
      <c r="K416" s="313"/>
      <c r="L416" s="314"/>
      <c r="M416" s="312"/>
      <c r="N416" s="313"/>
      <c r="O416" s="314"/>
      <c r="P416" s="315"/>
      <c r="Q416" s="312"/>
      <c r="R416" s="316"/>
      <c r="S416" s="316"/>
      <c r="T416" s="319"/>
      <c r="U416" s="317"/>
      <c r="V416" s="319"/>
      <c r="W416" s="319"/>
      <c r="X416" s="319"/>
      <c r="Y416" s="319"/>
      <c r="Z416" s="319"/>
      <c r="AA416" s="319"/>
      <c r="AB416" s="319"/>
      <c r="AC416" s="319"/>
      <c r="AD416" s="319"/>
      <c r="AE416" s="319"/>
      <c r="AF416" s="319"/>
      <c r="AG416" s="319"/>
      <c r="AH416" s="319"/>
      <c r="AI416" s="319"/>
      <c r="AJ416" s="319"/>
      <c r="AK416" s="319"/>
      <c r="AL416" s="319"/>
      <c r="AM416" s="319"/>
      <c r="AN416" s="319"/>
      <c r="AO416" s="319"/>
      <c r="AP416" s="319"/>
      <c r="AQ416" s="319"/>
      <c r="AR416" s="319"/>
      <c r="AS416" s="319"/>
      <c r="AT416" s="319"/>
      <c r="AU416" s="319"/>
      <c r="AV416" s="319"/>
      <c r="AW416" s="319"/>
      <c r="AX416" s="319"/>
      <c r="AY416" s="319"/>
      <c r="AZ416" s="319"/>
      <c r="BA416" s="319"/>
      <c r="BB416" s="319"/>
      <c r="BC416" s="319"/>
      <c r="BD416" s="319"/>
      <c r="BE416" s="319"/>
      <c r="BF416" s="319"/>
      <c r="BG416" s="319"/>
      <c r="BH416" s="319"/>
      <c r="BI416" s="319"/>
      <c r="BJ416" s="319"/>
      <c r="BK416" s="319"/>
      <c r="BL416" s="319"/>
      <c r="BM416" s="319"/>
      <c r="BN416" s="319"/>
      <c r="BO416" s="319"/>
      <c r="BP416" s="319"/>
      <c r="BQ416" s="319"/>
      <c r="BR416" s="319"/>
      <c r="BS416" s="319"/>
      <c r="BT416" s="319"/>
      <c r="BU416" s="319"/>
      <c r="BV416" s="319"/>
      <c r="BW416" s="319"/>
      <c r="BX416" s="319"/>
      <c r="BY416" s="319"/>
      <c r="BZ416" s="319"/>
      <c r="CA416" s="319"/>
      <c r="CB416" s="319"/>
      <c r="CC416" s="319"/>
      <c r="CD416" s="319"/>
      <c r="CE416" s="319"/>
      <c r="CF416" s="319"/>
      <c r="CG416" s="319"/>
      <c r="CH416" s="319"/>
      <c r="CI416" s="319"/>
      <c r="CJ416" s="319"/>
      <c r="CK416" s="319"/>
      <c r="CL416" s="319"/>
      <c r="CM416" s="319"/>
      <c r="CN416" s="319"/>
      <c r="CO416" s="319"/>
      <c r="CP416" s="319"/>
      <c r="CQ416" s="319"/>
      <c r="CR416" s="319"/>
      <c r="CS416" s="319"/>
      <c r="CT416" s="319"/>
      <c r="CU416" s="319"/>
      <c r="CV416" s="319"/>
      <c r="CW416" s="319"/>
      <c r="CX416" s="319"/>
      <c r="CY416" s="319"/>
      <c r="CZ416" s="319"/>
      <c r="DA416" s="319"/>
      <c r="DB416" s="319"/>
      <c r="DC416" s="319"/>
      <c r="DD416" s="319"/>
      <c r="DE416" s="319"/>
      <c r="DF416" s="319"/>
      <c r="DG416" s="319"/>
      <c r="DH416" s="319"/>
      <c r="DI416" s="319"/>
      <c r="DJ416" s="319"/>
      <c r="DK416" s="319"/>
      <c r="DL416" s="319"/>
      <c r="DM416" s="319"/>
      <c r="DN416" s="319"/>
      <c r="DO416" s="319"/>
      <c r="DP416" s="319"/>
      <c r="DQ416" s="319"/>
      <c r="DR416" s="319"/>
      <c r="DS416" s="319"/>
      <c r="DT416" s="319"/>
      <c r="DU416" s="319"/>
      <c r="DV416" s="319"/>
      <c r="DW416" s="319"/>
    </row>
    <row r="417" ht="15.0" customHeight="1">
      <c r="A417" s="319"/>
      <c r="B417" s="319"/>
      <c r="C417" s="303" t="s">
        <v>903</v>
      </c>
      <c r="D417" s="319"/>
      <c r="E417" s="536"/>
      <c r="F417" s="322"/>
      <c r="G417" s="536"/>
      <c r="H417" s="319"/>
      <c r="I417" s="319"/>
      <c r="J417" s="313"/>
      <c r="K417" s="313"/>
      <c r="L417" s="314"/>
      <c r="M417" s="312"/>
      <c r="N417" s="313"/>
      <c r="O417" s="314"/>
      <c r="P417" s="315"/>
      <c r="Q417" s="312"/>
      <c r="R417" s="316"/>
      <c r="S417" s="316"/>
      <c r="T417" s="319"/>
      <c r="U417" s="317"/>
      <c r="V417" s="319"/>
      <c r="W417" s="319"/>
      <c r="X417" s="319"/>
      <c r="Y417" s="319"/>
      <c r="Z417" s="319"/>
      <c r="AA417" s="319"/>
      <c r="AB417" s="319"/>
      <c r="AC417" s="319"/>
      <c r="AD417" s="319"/>
      <c r="AE417" s="319"/>
      <c r="AF417" s="319"/>
      <c r="AG417" s="319"/>
      <c r="AH417" s="319"/>
      <c r="AI417" s="319"/>
      <c r="AJ417" s="319"/>
      <c r="AK417" s="319"/>
      <c r="AL417" s="319"/>
      <c r="AM417" s="319"/>
      <c r="AN417" s="319"/>
      <c r="AO417" s="319"/>
      <c r="AP417" s="319"/>
      <c r="AQ417" s="319"/>
      <c r="AR417" s="319"/>
      <c r="AS417" s="319"/>
      <c r="AT417" s="319"/>
      <c r="AU417" s="319"/>
      <c r="AV417" s="319"/>
      <c r="AW417" s="319"/>
      <c r="AX417" s="319"/>
      <c r="AY417" s="319"/>
      <c r="AZ417" s="319"/>
      <c r="BA417" s="319"/>
      <c r="BB417" s="319"/>
      <c r="BC417" s="319"/>
      <c r="BD417" s="319"/>
      <c r="BE417" s="319"/>
      <c r="BF417" s="319"/>
      <c r="BG417" s="319"/>
      <c r="BH417" s="319"/>
      <c r="BI417" s="319"/>
      <c r="BJ417" s="319"/>
      <c r="BK417" s="319"/>
      <c r="BL417" s="319"/>
      <c r="BM417" s="319"/>
      <c r="BN417" s="319"/>
      <c r="BO417" s="319"/>
      <c r="BP417" s="319"/>
      <c r="BQ417" s="319"/>
      <c r="BR417" s="319"/>
      <c r="BS417" s="319"/>
      <c r="BT417" s="319"/>
      <c r="BU417" s="319"/>
      <c r="BV417" s="319"/>
      <c r="BW417" s="319"/>
      <c r="BX417" s="319"/>
      <c r="BY417" s="319"/>
      <c r="BZ417" s="319"/>
      <c r="CA417" s="319"/>
      <c r="CB417" s="319"/>
      <c r="CC417" s="319"/>
      <c r="CD417" s="319"/>
      <c r="CE417" s="319"/>
      <c r="CF417" s="319"/>
      <c r="CG417" s="319"/>
      <c r="CH417" s="319"/>
      <c r="CI417" s="319"/>
      <c r="CJ417" s="319"/>
      <c r="CK417" s="319"/>
      <c r="CL417" s="319"/>
      <c r="CM417" s="319"/>
      <c r="CN417" s="319"/>
      <c r="CO417" s="319"/>
      <c r="CP417" s="319"/>
      <c r="CQ417" s="319"/>
      <c r="CR417" s="319"/>
      <c r="CS417" s="319"/>
      <c r="CT417" s="319"/>
      <c r="CU417" s="319"/>
      <c r="CV417" s="319"/>
      <c r="CW417" s="319"/>
      <c r="CX417" s="319"/>
      <c r="CY417" s="319"/>
      <c r="CZ417" s="319"/>
      <c r="DA417" s="319"/>
      <c r="DB417" s="319"/>
      <c r="DC417" s="319"/>
      <c r="DD417" s="319"/>
      <c r="DE417" s="319"/>
      <c r="DF417" s="319"/>
      <c r="DG417" s="319"/>
      <c r="DH417" s="319"/>
      <c r="DI417" s="319"/>
      <c r="DJ417" s="319"/>
      <c r="DK417" s="319"/>
      <c r="DL417" s="319"/>
      <c r="DM417" s="319"/>
      <c r="DN417" s="319"/>
      <c r="DO417" s="319"/>
      <c r="DP417" s="319"/>
      <c r="DQ417" s="319"/>
      <c r="DR417" s="319"/>
      <c r="DS417" s="319"/>
      <c r="DT417" s="319"/>
      <c r="DU417" s="319"/>
      <c r="DV417" s="319"/>
      <c r="DW417" s="319"/>
    </row>
    <row r="418" ht="15.0" customHeight="1">
      <c r="A418" s="319"/>
      <c r="B418" s="319"/>
      <c r="C418" s="303" t="s">
        <v>2511</v>
      </c>
      <c r="D418" s="319"/>
      <c r="E418" s="536"/>
      <c r="F418" s="322"/>
      <c r="G418" s="536"/>
      <c r="H418" s="319"/>
      <c r="I418" s="319"/>
      <c r="J418" s="313"/>
      <c r="K418" s="313"/>
      <c r="L418" s="314"/>
      <c r="M418" s="312"/>
      <c r="N418" s="313"/>
      <c r="O418" s="314"/>
      <c r="P418" s="315"/>
      <c r="Q418" s="312"/>
      <c r="R418" s="316"/>
      <c r="S418" s="316"/>
      <c r="T418" s="319"/>
      <c r="U418" s="317"/>
      <c r="V418" s="319"/>
      <c r="W418" s="319"/>
      <c r="X418" s="319"/>
      <c r="Y418" s="319"/>
      <c r="Z418" s="319"/>
      <c r="AA418" s="319"/>
      <c r="AB418" s="319"/>
      <c r="AC418" s="319"/>
      <c r="AD418" s="319"/>
      <c r="AE418" s="319"/>
      <c r="AF418" s="319"/>
      <c r="AG418" s="319"/>
      <c r="AH418" s="319"/>
      <c r="AI418" s="319"/>
      <c r="AJ418" s="319"/>
      <c r="AK418" s="319"/>
      <c r="AL418" s="319"/>
      <c r="AM418" s="319"/>
      <c r="AN418" s="319"/>
      <c r="AO418" s="319"/>
      <c r="AP418" s="319"/>
      <c r="AQ418" s="319"/>
      <c r="AR418" s="319"/>
      <c r="AS418" s="319"/>
      <c r="AT418" s="319"/>
      <c r="AU418" s="319"/>
      <c r="AV418" s="319"/>
      <c r="AW418" s="319"/>
      <c r="AX418" s="319"/>
      <c r="AY418" s="319"/>
      <c r="AZ418" s="319"/>
      <c r="BA418" s="319"/>
      <c r="BB418" s="319"/>
      <c r="BC418" s="319"/>
      <c r="BD418" s="319"/>
      <c r="BE418" s="319"/>
      <c r="BF418" s="319"/>
      <c r="BG418" s="319"/>
      <c r="BH418" s="319"/>
      <c r="BI418" s="319"/>
      <c r="BJ418" s="319"/>
      <c r="BK418" s="319"/>
      <c r="BL418" s="319"/>
      <c r="BM418" s="319"/>
      <c r="BN418" s="319"/>
      <c r="BO418" s="319"/>
      <c r="BP418" s="319"/>
      <c r="BQ418" s="319"/>
      <c r="BR418" s="319"/>
      <c r="BS418" s="319"/>
      <c r="BT418" s="319"/>
      <c r="BU418" s="319"/>
      <c r="BV418" s="319"/>
      <c r="BW418" s="319"/>
      <c r="BX418" s="319"/>
      <c r="BY418" s="319"/>
      <c r="BZ418" s="319"/>
      <c r="CA418" s="319"/>
      <c r="CB418" s="319"/>
      <c r="CC418" s="319"/>
      <c r="CD418" s="319"/>
      <c r="CE418" s="319"/>
      <c r="CF418" s="319"/>
      <c r="CG418" s="319"/>
      <c r="CH418" s="319"/>
      <c r="CI418" s="319"/>
      <c r="CJ418" s="319"/>
      <c r="CK418" s="319"/>
      <c r="CL418" s="319"/>
      <c r="CM418" s="319"/>
      <c r="CN418" s="319"/>
      <c r="CO418" s="319"/>
      <c r="CP418" s="319"/>
      <c r="CQ418" s="319"/>
      <c r="CR418" s="319"/>
      <c r="CS418" s="319"/>
      <c r="CT418" s="319"/>
      <c r="CU418" s="319"/>
      <c r="CV418" s="319"/>
      <c r="CW418" s="319"/>
      <c r="CX418" s="319"/>
      <c r="CY418" s="319"/>
      <c r="CZ418" s="319"/>
      <c r="DA418" s="319"/>
      <c r="DB418" s="319"/>
      <c r="DC418" s="319"/>
      <c r="DD418" s="319"/>
      <c r="DE418" s="319"/>
      <c r="DF418" s="319"/>
      <c r="DG418" s="319"/>
      <c r="DH418" s="319"/>
      <c r="DI418" s="319"/>
      <c r="DJ418" s="319"/>
      <c r="DK418" s="319"/>
      <c r="DL418" s="319"/>
      <c r="DM418" s="319"/>
      <c r="DN418" s="319"/>
      <c r="DO418" s="319"/>
      <c r="DP418" s="319"/>
      <c r="DQ418" s="319"/>
      <c r="DR418" s="319"/>
      <c r="DS418" s="319"/>
      <c r="DT418" s="319"/>
      <c r="DU418" s="319"/>
      <c r="DV418" s="319"/>
      <c r="DW418" s="319"/>
    </row>
    <row r="419" ht="15.0" customHeight="1">
      <c r="A419" s="319"/>
      <c r="B419" s="319"/>
      <c r="C419" s="303" t="s">
        <v>387</v>
      </c>
      <c r="D419" s="319"/>
      <c r="E419" s="536"/>
      <c r="F419" s="322"/>
      <c r="G419" s="536"/>
      <c r="H419" s="319"/>
      <c r="I419" s="319"/>
      <c r="J419" s="313"/>
      <c r="K419" s="313"/>
      <c r="L419" s="314"/>
      <c r="M419" s="312"/>
      <c r="N419" s="313"/>
      <c r="O419" s="314"/>
      <c r="P419" s="315"/>
      <c r="Q419" s="312"/>
      <c r="R419" s="316"/>
      <c r="S419" s="316"/>
      <c r="T419" s="319"/>
      <c r="U419" s="317"/>
      <c r="V419" s="319"/>
      <c r="W419" s="319"/>
      <c r="X419" s="319"/>
      <c r="Y419" s="319"/>
      <c r="Z419" s="319"/>
      <c r="AA419" s="319"/>
      <c r="AB419" s="319"/>
      <c r="AC419" s="319"/>
      <c r="AD419" s="319"/>
      <c r="AE419" s="319"/>
      <c r="AF419" s="319"/>
      <c r="AG419" s="319"/>
      <c r="AH419" s="319"/>
      <c r="AI419" s="319"/>
      <c r="AJ419" s="319"/>
      <c r="AK419" s="319"/>
      <c r="AL419" s="319"/>
      <c r="AM419" s="319"/>
      <c r="AN419" s="319"/>
      <c r="AO419" s="319"/>
      <c r="AP419" s="319"/>
      <c r="AQ419" s="319"/>
      <c r="AR419" s="319"/>
      <c r="AS419" s="319"/>
      <c r="AT419" s="319"/>
      <c r="AU419" s="319"/>
      <c r="AV419" s="319"/>
      <c r="AW419" s="319"/>
      <c r="AX419" s="319"/>
      <c r="AY419" s="319"/>
      <c r="AZ419" s="319"/>
      <c r="BA419" s="319"/>
      <c r="BB419" s="319"/>
      <c r="BC419" s="319"/>
      <c r="BD419" s="319"/>
      <c r="BE419" s="319"/>
      <c r="BF419" s="319"/>
      <c r="BG419" s="319"/>
      <c r="BH419" s="319"/>
      <c r="BI419" s="319"/>
      <c r="BJ419" s="319"/>
      <c r="BK419" s="319"/>
      <c r="BL419" s="319"/>
      <c r="BM419" s="319"/>
      <c r="BN419" s="319"/>
      <c r="BO419" s="319"/>
      <c r="BP419" s="319"/>
      <c r="BQ419" s="319"/>
      <c r="BR419" s="319"/>
      <c r="BS419" s="319"/>
      <c r="BT419" s="319"/>
      <c r="BU419" s="319"/>
      <c r="BV419" s="319"/>
      <c r="BW419" s="319"/>
      <c r="BX419" s="319"/>
      <c r="BY419" s="319"/>
      <c r="BZ419" s="319"/>
      <c r="CA419" s="319"/>
      <c r="CB419" s="319"/>
      <c r="CC419" s="319"/>
      <c r="CD419" s="319"/>
      <c r="CE419" s="319"/>
      <c r="CF419" s="319"/>
      <c r="CG419" s="319"/>
      <c r="CH419" s="319"/>
      <c r="CI419" s="319"/>
      <c r="CJ419" s="319"/>
      <c r="CK419" s="319"/>
      <c r="CL419" s="319"/>
      <c r="CM419" s="319"/>
      <c r="CN419" s="319"/>
      <c r="CO419" s="319"/>
      <c r="CP419" s="319"/>
      <c r="CQ419" s="319"/>
      <c r="CR419" s="319"/>
      <c r="CS419" s="319"/>
      <c r="CT419" s="319"/>
      <c r="CU419" s="319"/>
      <c r="CV419" s="319"/>
      <c r="CW419" s="319"/>
      <c r="CX419" s="319"/>
      <c r="CY419" s="319"/>
      <c r="CZ419" s="319"/>
      <c r="DA419" s="319"/>
      <c r="DB419" s="319"/>
      <c r="DC419" s="319"/>
      <c r="DD419" s="319"/>
      <c r="DE419" s="319"/>
      <c r="DF419" s="319"/>
      <c r="DG419" s="319"/>
      <c r="DH419" s="319"/>
      <c r="DI419" s="319"/>
      <c r="DJ419" s="319"/>
      <c r="DK419" s="319"/>
      <c r="DL419" s="319"/>
      <c r="DM419" s="319"/>
      <c r="DN419" s="319"/>
      <c r="DO419" s="319"/>
      <c r="DP419" s="319"/>
      <c r="DQ419" s="319"/>
      <c r="DR419" s="319"/>
      <c r="DS419" s="319"/>
      <c r="DT419" s="319"/>
      <c r="DU419" s="319"/>
      <c r="DV419" s="319"/>
      <c r="DW419" s="319"/>
    </row>
    <row r="420" ht="15.0" customHeight="1">
      <c r="A420" s="301"/>
      <c r="B420" s="303"/>
      <c r="C420" s="303"/>
      <c r="D420" s="303"/>
      <c r="E420" s="321"/>
      <c r="F420" s="322"/>
      <c r="G420" s="324"/>
      <c r="H420" s="325"/>
      <c r="I420" s="325"/>
      <c r="J420" s="313"/>
      <c r="K420" s="313"/>
      <c r="L420" s="314"/>
      <c r="M420" s="312"/>
      <c r="N420" s="313"/>
      <c r="O420" s="314"/>
      <c r="P420" s="315"/>
      <c r="Q420" s="312"/>
      <c r="R420" s="316"/>
      <c r="S420" s="316"/>
      <c r="T420" s="319"/>
      <c r="U420" s="317"/>
      <c r="V420" s="319"/>
      <c r="W420" s="319"/>
      <c r="X420" s="319"/>
      <c r="Y420" s="319"/>
      <c r="Z420" s="319"/>
      <c r="AA420" s="319"/>
      <c r="AB420" s="319"/>
      <c r="AC420" s="319"/>
      <c r="AD420" s="319"/>
      <c r="AE420" s="319"/>
      <c r="AF420" s="319"/>
      <c r="AG420" s="319"/>
      <c r="AH420" s="319"/>
      <c r="AI420" s="319"/>
      <c r="AJ420" s="319"/>
      <c r="AK420" s="319"/>
      <c r="AL420" s="319"/>
      <c r="AM420" s="319"/>
      <c r="AN420" s="319"/>
      <c r="AO420" s="319"/>
      <c r="AP420" s="319"/>
      <c r="AQ420" s="319"/>
      <c r="AR420" s="319"/>
      <c r="AS420" s="319"/>
      <c r="AT420" s="319"/>
      <c r="AU420" s="319"/>
      <c r="AV420" s="319"/>
      <c r="AW420" s="319"/>
      <c r="AX420" s="319"/>
      <c r="AY420" s="319"/>
      <c r="AZ420" s="319"/>
      <c r="BA420" s="319"/>
      <c r="BB420" s="319"/>
      <c r="BC420" s="319"/>
      <c r="BD420" s="319"/>
      <c r="BE420" s="319"/>
      <c r="BF420" s="319"/>
      <c r="BG420" s="319"/>
      <c r="BH420" s="319"/>
      <c r="BI420" s="319"/>
      <c r="BJ420" s="319"/>
      <c r="BK420" s="319"/>
      <c r="BL420" s="319"/>
      <c r="BM420" s="319"/>
      <c r="BN420" s="319"/>
      <c r="BO420" s="319"/>
      <c r="BP420" s="319"/>
      <c r="BQ420" s="319"/>
      <c r="BR420" s="319"/>
      <c r="BS420" s="319"/>
      <c r="BT420" s="319"/>
      <c r="BU420" s="319"/>
      <c r="BV420" s="319"/>
      <c r="BW420" s="319"/>
      <c r="BX420" s="319"/>
      <c r="BY420" s="319"/>
      <c r="BZ420" s="319"/>
      <c r="CA420" s="319"/>
      <c r="CB420" s="319"/>
      <c r="CC420" s="319"/>
      <c r="CD420" s="319"/>
      <c r="CE420" s="319"/>
      <c r="CF420" s="319"/>
      <c r="CG420" s="319"/>
      <c r="CH420" s="319"/>
      <c r="CI420" s="319"/>
      <c r="CJ420" s="319"/>
      <c r="CK420" s="319"/>
      <c r="CL420" s="319"/>
      <c r="CM420" s="319"/>
      <c r="CN420" s="319"/>
      <c r="CO420" s="319"/>
      <c r="CP420" s="319"/>
      <c r="CQ420" s="319"/>
      <c r="CR420" s="319"/>
      <c r="CS420" s="319"/>
      <c r="CT420" s="319"/>
      <c r="CU420" s="319"/>
      <c r="CV420" s="319"/>
      <c r="CW420" s="319"/>
      <c r="CX420" s="319"/>
      <c r="CY420" s="319"/>
      <c r="CZ420" s="319"/>
      <c r="DA420" s="319"/>
      <c r="DB420" s="319"/>
      <c r="DC420" s="319"/>
      <c r="DD420" s="319"/>
      <c r="DE420" s="319"/>
      <c r="DF420" s="319"/>
      <c r="DG420" s="319"/>
      <c r="DH420" s="319"/>
      <c r="DI420" s="319"/>
      <c r="DJ420" s="319"/>
      <c r="DK420" s="319"/>
      <c r="DL420" s="319"/>
      <c r="DM420" s="319"/>
      <c r="DN420" s="319"/>
      <c r="DO420" s="319"/>
      <c r="DP420" s="319"/>
      <c r="DQ420" s="319"/>
      <c r="DR420" s="319"/>
      <c r="DS420" s="319"/>
      <c r="DT420" s="319"/>
      <c r="DU420" s="319"/>
      <c r="DV420" s="319"/>
      <c r="DW420" s="319"/>
    </row>
    <row r="421" ht="15.0" customHeight="1">
      <c r="A421" s="319"/>
      <c r="B421" s="319"/>
      <c r="C421" s="1019" t="s">
        <v>2513</v>
      </c>
      <c r="D421" s="319"/>
      <c r="E421" s="536"/>
      <c r="F421" s="322"/>
      <c r="G421" s="536"/>
      <c r="H421" s="319"/>
      <c r="I421" s="319"/>
      <c r="J421" s="313"/>
      <c r="K421" s="313"/>
      <c r="L421" s="314"/>
      <c r="M421" s="312"/>
      <c r="N421" s="313"/>
      <c r="O421" s="314"/>
      <c r="P421" s="315"/>
      <c r="Q421" s="312"/>
      <c r="R421" s="316"/>
      <c r="S421" s="316"/>
      <c r="T421" s="319"/>
      <c r="U421" s="317"/>
      <c r="V421" s="319"/>
      <c r="W421" s="319"/>
      <c r="X421" s="319"/>
      <c r="Y421" s="319"/>
      <c r="Z421" s="319"/>
      <c r="AA421" s="319"/>
      <c r="AB421" s="319"/>
      <c r="AC421" s="319"/>
      <c r="AD421" s="319"/>
      <c r="AE421" s="319"/>
      <c r="AF421" s="319"/>
      <c r="AG421" s="319"/>
      <c r="AH421" s="319"/>
      <c r="AI421" s="319"/>
      <c r="AJ421" s="319"/>
      <c r="AK421" s="319"/>
      <c r="AL421" s="319"/>
      <c r="AM421" s="319"/>
      <c r="AN421" s="319"/>
      <c r="AO421" s="319"/>
      <c r="AP421" s="319"/>
      <c r="AQ421" s="319"/>
      <c r="AR421" s="319"/>
      <c r="AS421" s="319"/>
      <c r="AT421" s="319"/>
      <c r="AU421" s="319"/>
      <c r="AV421" s="319"/>
      <c r="AW421" s="319"/>
      <c r="AX421" s="319"/>
      <c r="AY421" s="319"/>
      <c r="AZ421" s="319"/>
      <c r="BA421" s="319"/>
      <c r="BB421" s="319"/>
      <c r="BC421" s="319"/>
      <c r="BD421" s="319"/>
      <c r="BE421" s="319"/>
      <c r="BF421" s="319"/>
      <c r="BG421" s="319"/>
      <c r="BH421" s="319"/>
      <c r="BI421" s="319"/>
      <c r="BJ421" s="319"/>
      <c r="BK421" s="319"/>
      <c r="BL421" s="319"/>
      <c r="BM421" s="319"/>
      <c r="BN421" s="319"/>
      <c r="BO421" s="319"/>
      <c r="BP421" s="319"/>
      <c r="BQ421" s="319"/>
      <c r="BR421" s="319"/>
      <c r="BS421" s="319"/>
      <c r="BT421" s="319"/>
      <c r="BU421" s="319"/>
      <c r="BV421" s="319"/>
      <c r="BW421" s="319"/>
      <c r="BX421" s="319"/>
      <c r="BY421" s="319"/>
      <c r="BZ421" s="319"/>
      <c r="CA421" s="319"/>
      <c r="CB421" s="319"/>
      <c r="CC421" s="319"/>
      <c r="CD421" s="319"/>
      <c r="CE421" s="319"/>
      <c r="CF421" s="319"/>
      <c r="CG421" s="319"/>
      <c r="CH421" s="319"/>
      <c r="CI421" s="319"/>
      <c r="CJ421" s="319"/>
      <c r="CK421" s="319"/>
      <c r="CL421" s="319"/>
      <c r="CM421" s="319"/>
      <c r="CN421" s="319"/>
      <c r="CO421" s="319"/>
      <c r="CP421" s="319"/>
      <c r="CQ421" s="319"/>
      <c r="CR421" s="319"/>
      <c r="CS421" s="319"/>
      <c r="CT421" s="319"/>
      <c r="CU421" s="319"/>
      <c r="CV421" s="319"/>
      <c r="CW421" s="319"/>
      <c r="CX421" s="319"/>
      <c r="CY421" s="319"/>
      <c r="CZ421" s="319"/>
      <c r="DA421" s="319"/>
      <c r="DB421" s="319"/>
      <c r="DC421" s="319"/>
      <c r="DD421" s="319"/>
      <c r="DE421" s="319"/>
      <c r="DF421" s="319"/>
      <c r="DG421" s="319"/>
      <c r="DH421" s="319"/>
      <c r="DI421" s="319"/>
      <c r="DJ421" s="319"/>
      <c r="DK421" s="319"/>
      <c r="DL421" s="319"/>
      <c r="DM421" s="319"/>
      <c r="DN421" s="319"/>
      <c r="DO421" s="319"/>
      <c r="DP421" s="319"/>
      <c r="DQ421" s="319"/>
      <c r="DR421" s="319"/>
      <c r="DS421" s="319"/>
      <c r="DT421" s="319"/>
      <c r="DU421" s="319"/>
      <c r="DV421" s="319"/>
      <c r="DW421" s="319"/>
    </row>
    <row r="422" ht="15.0" customHeight="1">
      <c r="A422" s="319"/>
      <c r="B422" s="319"/>
      <c r="C422" s="1019" t="s">
        <v>2514</v>
      </c>
      <c r="D422" s="319"/>
      <c r="E422" s="536"/>
      <c r="F422" s="322"/>
      <c r="G422" s="536"/>
      <c r="H422" s="319"/>
      <c r="I422" s="319"/>
      <c r="J422" s="313"/>
      <c r="K422" s="313"/>
      <c r="L422" s="314"/>
      <c r="M422" s="312"/>
      <c r="N422" s="313"/>
      <c r="O422" s="314"/>
      <c r="P422" s="315"/>
      <c r="Q422" s="312"/>
      <c r="R422" s="316"/>
      <c r="S422" s="316"/>
      <c r="T422" s="319"/>
      <c r="U422" s="317"/>
      <c r="V422" s="319"/>
      <c r="W422" s="319"/>
      <c r="X422" s="319"/>
      <c r="Y422" s="319"/>
      <c r="Z422" s="319"/>
      <c r="AA422" s="319"/>
      <c r="AB422" s="319"/>
      <c r="AC422" s="319"/>
      <c r="AD422" s="319"/>
      <c r="AE422" s="319"/>
      <c r="AF422" s="319"/>
      <c r="AG422" s="319"/>
      <c r="AH422" s="319"/>
      <c r="AI422" s="319"/>
      <c r="AJ422" s="319"/>
      <c r="AK422" s="319"/>
      <c r="AL422" s="319"/>
      <c r="AM422" s="319"/>
      <c r="AN422" s="319"/>
      <c r="AO422" s="319"/>
      <c r="AP422" s="319"/>
      <c r="AQ422" s="319"/>
      <c r="AR422" s="319"/>
      <c r="AS422" s="319"/>
      <c r="AT422" s="319"/>
      <c r="AU422" s="319"/>
      <c r="AV422" s="319"/>
      <c r="AW422" s="319"/>
      <c r="AX422" s="319"/>
      <c r="AY422" s="319"/>
      <c r="AZ422" s="319"/>
      <c r="BA422" s="319"/>
      <c r="BB422" s="319"/>
      <c r="BC422" s="319"/>
      <c r="BD422" s="319"/>
      <c r="BE422" s="319"/>
      <c r="BF422" s="319"/>
      <c r="BG422" s="319"/>
      <c r="BH422" s="319"/>
      <c r="BI422" s="319"/>
      <c r="BJ422" s="319"/>
      <c r="BK422" s="319"/>
      <c r="BL422" s="319"/>
      <c r="BM422" s="319"/>
      <c r="BN422" s="319"/>
      <c r="BO422" s="319"/>
      <c r="BP422" s="319"/>
      <c r="BQ422" s="319"/>
      <c r="BR422" s="319"/>
      <c r="BS422" s="319"/>
      <c r="BT422" s="319"/>
      <c r="BU422" s="319"/>
      <c r="BV422" s="319"/>
      <c r="BW422" s="319"/>
      <c r="BX422" s="319"/>
      <c r="BY422" s="319"/>
      <c r="BZ422" s="319"/>
      <c r="CA422" s="319"/>
      <c r="CB422" s="319"/>
      <c r="CC422" s="319"/>
      <c r="CD422" s="319"/>
      <c r="CE422" s="319"/>
      <c r="CF422" s="319"/>
      <c r="CG422" s="319"/>
      <c r="CH422" s="319"/>
      <c r="CI422" s="319"/>
      <c r="CJ422" s="319"/>
      <c r="CK422" s="319"/>
      <c r="CL422" s="319"/>
      <c r="CM422" s="319"/>
      <c r="CN422" s="319"/>
      <c r="CO422" s="319"/>
      <c r="CP422" s="319"/>
      <c r="CQ422" s="319"/>
      <c r="CR422" s="319"/>
      <c r="CS422" s="319"/>
      <c r="CT422" s="319"/>
      <c r="CU422" s="319"/>
      <c r="CV422" s="319"/>
      <c r="CW422" s="319"/>
      <c r="CX422" s="319"/>
      <c r="CY422" s="319"/>
      <c r="CZ422" s="319"/>
      <c r="DA422" s="319"/>
      <c r="DB422" s="319"/>
      <c r="DC422" s="319"/>
      <c r="DD422" s="319"/>
      <c r="DE422" s="319"/>
      <c r="DF422" s="319"/>
      <c r="DG422" s="319"/>
      <c r="DH422" s="319"/>
      <c r="DI422" s="319"/>
      <c r="DJ422" s="319"/>
      <c r="DK422" s="319"/>
      <c r="DL422" s="319"/>
      <c r="DM422" s="319"/>
      <c r="DN422" s="319"/>
      <c r="DO422" s="319"/>
      <c r="DP422" s="319"/>
      <c r="DQ422" s="319"/>
      <c r="DR422" s="319"/>
      <c r="DS422" s="319"/>
      <c r="DT422" s="319"/>
      <c r="DU422" s="319"/>
      <c r="DV422" s="319"/>
      <c r="DW422" s="319"/>
    </row>
    <row r="423" ht="15.0" customHeight="1">
      <c r="A423" s="319"/>
      <c r="B423" s="319"/>
      <c r="C423" s="1019" t="s">
        <v>2515</v>
      </c>
      <c r="D423" s="319"/>
      <c r="E423" s="536"/>
      <c r="F423" s="322"/>
      <c r="G423" s="536"/>
      <c r="H423" s="319"/>
      <c r="I423" s="319"/>
      <c r="J423" s="313"/>
      <c r="K423" s="313"/>
      <c r="L423" s="314"/>
      <c r="M423" s="312"/>
      <c r="N423" s="313"/>
      <c r="O423" s="314"/>
      <c r="P423" s="315"/>
      <c r="Q423" s="312"/>
      <c r="R423" s="316"/>
      <c r="S423" s="316"/>
      <c r="T423" s="319"/>
      <c r="U423" s="317"/>
      <c r="V423" s="319"/>
      <c r="W423" s="319"/>
      <c r="X423" s="319"/>
      <c r="Y423" s="319"/>
      <c r="Z423" s="319"/>
      <c r="AA423" s="319"/>
      <c r="AB423" s="319"/>
      <c r="AC423" s="319"/>
      <c r="AD423" s="319"/>
      <c r="AE423" s="319"/>
      <c r="AF423" s="319"/>
      <c r="AG423" s="319"/>
      <c r="AH423" s="319"/>
      <c r="AI423" s="319"/>
      <c r="AJ423" s="319"/>
      <c r="AK423" s="319"/>
      <c r="AL423" s="319"/>
      <c r="AM423" s="319"/>
      <c r="AN423" s="319"/>
      <c r="AO423" s="319"/>
      <c r="AP423" s="319"/>
      <c r="AQ423" s="319"/>
      <c r="AR423" s="319"/>
      <c r="AS423" s="319"/>
      <c r="AT423" s="319"/>
      <c r="AU423" s="319"/>
      <c r="AV423" s="319"/>
      <c r="AW423" s="319"/>
      <c r="AX423" s="319"/>
      <c r="AY423" s="319"/>
      <c r="AZ423" s="319"/>
      <c r="BA423" s="319"/>
      <c r="BB423" s="319"/>
      <c r="BC423" s="319"/>
      <c r="BD423" s="319"/>
      <c r="BE423" s="319"/>
      <c r="BF423" s="319"/>
      <c r="BG423" s="319"/>
      <c r="BH423" s="319"/>
      <c r="BI423" s="319"/>
      <c r="BJ423" s="319"/>
      <c r="BK423" s="319"/>
      <c r="BL423" s="319"/>
      <c r="BM423" s="319"/>
      <c r="BN423" s="319"/>
      <c r="BO423" s="319"/>
      <c r="BP423" s="319"/>
      <c r="BQ423" s="319"/>
      <c r="BR423" s="319"/>
      <c r="BS423" s="319"/>
      <c r="BT423" s="319"/>
      <c r="BU423" s="319"/>
      <c r="BV423" s="319"/>
      <c r="BW423" s="319"/>
      <c r="BX423" s="319"/>
      <c r="BY423" s="319"/>
      <c r="BZ423" s="319"/>
      <c r="CA423" s="319"/>
      <c r="CB423" s="319"/>
      <c r="CC423" s="319"/>
      <c r="CD423" s="319"/>
      <c r="CE423" s="319"/>
      <c r="CF423" s="319"/>
      <c r="CG423" s="319"/>
      <c r="CH423" s="319"/>
      <c r="CI423" s="319"/>
      <c r="CJ423" s="319"/>
      <c r="CK423" s="319"/>
      <c r="CL423" s="319"/>
      <c r="CM423" s="319"/>
      <c r="CN423" s="319"/>
      <c r="CO423" s="319"/>
      <c r="CP423" s="319"/>
      <c r="CQ423" s="319"/>
      <c r="CR423" s="319"/>
      <c r="CS423" s="319"/>
      <c r="CT423" s="319"/>
      <c r="CU423" s="319"/>
      <c r="CV423" s="319"/>
      <c r="CW423" s="319"/>
      <c r="CX423" s="319"/>
      <c r="CY423" s="319"/>
      <c r="CZ423" s="319"/>
      <c r="DA423" s="319"/>
      <c r="DB423" s="319"/>
      <c r="DC423" s="319"/>
      <c r="DD423" s="319"/>
      <c r="DE423" s="319"/>
      <c r="DF423" s="319"/>
      <c r="DG423" s="319"/>
      <c r="DH423" s="319"/>
      <c r="DI423" s="319"/>
      <c r="DJ423" s="319"/>
      <c r="DK423" s="319"/>
      <c r="DL423" s="319"/>
      <c r="DM423" s="319"/>
      <c r="DN423" s="319"/>
      <c r="DO423" s="319"/>
      <c r="DP423" s="319"/>
      <c r="DQ423" s="319"/>
      <c r="DR423" s="319"/>
      <c r="DS423" s="319"/>
      <c r="DT423" s="319"/>
      <c r="DU423" s="319"/>
      <c r="DV423" s="319"/>
      <c r="DW423" s="319"/>
    </row>
    <row r="424" ht="15.0" customHeight="1">
      <c r="A424" s="319"/>
      <c r="B424" s="319"/>
      <c r="C424" s="1019" t="s">
        <v>2516</v>
      </c>
      <c r="D424" s="319"/>
      <c r="E424" s="536"/>
      <c r="F424" s="322"/>
      <c r="G424" s="536"/>
      <c r="H424" s="319"/>
      <c r="I424" s="319"/>
      <c r="J424" s="313"/>
      <c r="K424" s="313"/>
      <c r="L424" s="314"/>
      <c r="M424" s="312"/>
      <c r="N424" s="313"/>
      <c r="O424" s="314"/>
      <c r="P424" s="315"/>
      <c r="Q424" s="312"/>
      <c r="R424" s="316"/>
      <c r="S424" s="316"/>
      <c r="T424" s="319"/>
      <c r="U424" s="317"/>
      <c r="V424" s="319"/>
      <c r="W424" s="319"/>
      <c r="X424" s="319"/>
      <c r="Y424" s="319"/>
      <c r="Z424" s="319"/>
      <c r="AA424" s="319"/>
      <c r="AB424" s="319"/>
      <c r="AC424" s="319"/>
      <c r="AD424" s="319"/>
      <c r="AE424" s="319"/>
      <c r="AF424" s="319"/>
      <c r="AG424" s="319"/>
      <c r="AH424" s="319"/>
      <c r="AI424" s="319"/>
      <c r="AJ424" s="319"/>
      <c r="AK424" s="319"/>
      <c r="AL424" s="319"/>
      <c r="AM424" s="319"/>
      <c r="AN424" s="319"/>
      <c r="AO424" s="319"/>
      <c r="AP424" s="319"/>
      <c r="AQ424" s="319"/>
      <c r="AR424" s="319"/>
      <c r="AS424" s="319"/>
      <c r="AT424" s="319"/>
      <c r="AU424" s="319"/>
      <c r="AV424" s="319"/>
      <c r="AW424" s="319"/>
      <c r="AX424" s="319"/>
      <c r="AY424" s="319"/>
      <c r="AZ424" s="319"/>
      <c r="BA424" s="319"/>
      <c r="BB424" s="319"/>
      <c r="BC424" s="319"/>
      <c r="BD424" s="319"/>
      <c r="BE424" s="319"/>
      <c r="BF424" s="319"/>
      <c r="BG424" s="319"/>
      <c r="BH424" s="319"/>
      <c r="BI424" s="319"/>
      <c r="BJ424" s="319"/>
      <c r="BK424" s="319"/>
      <c r="BL424" s="319"/>
      <c r="BM424" s="319"/>
      <c r="BN424" s="319"/>
      <c r="BO424" s="319"/>
      <c r="BP424" s="319"/>
      <c r="BQ424" s="319"/>
      <c r="BR424" s="319"/>
      <c r="BS424" s="319"/>
      <c r="BT424" s="319"/>
      <c r="BU424" s="319"/>
      <c r="BV424" s="319"/>
      <c r="BW424" s="319"/>
      <c r="BX424" s="319"/>
      <c r="BY424" s="319"/>
      <c r="BZ424" s="319"/>
      <c r="CA424" s="319"/>
      <c r="CB424" s="319"/>
      <c r="CC424" s="319"/>
      <c r="CD424" s="319"/>
      <c r="CE424" s="319"/>
      <c r="CF424" s="319"/>
      <c r="CG424" s="319"/>
      <c r="CH424" s="319"/>
      <c r="CI424" s="319"/>
      <c r="CJ424" s="319"/>
      <c r="CK424" s="319"/>
      <c r="CL424" s="319"/>
      <c r="CM424" s="319"/>
      <c r="CN424" s="319"/>
      <c r="CO424" s="319"/>
      <c r="CP424" s="319"/>
      <c r="CQ424" s="319"/>
      <c r="CR424" s="319"/>
      <c r="CS424" s="319"/>
      <c r="CT424" s="319"/>
      <c r="CU424" s="319"/>
      <c r="CV424" s="319"/>
      <c r="CW424" s="319"/>
      <c r="CX424" s="319"/>
      <c r="CY424" s="319"/>
      <c r="CZ424" s="319"/>
      <c r="DA424" s="319"/>
      <c r="DB424" s="319"/>
      <c r="DC424" s="319"/>
      <c r="DD424" s="319"/>
      <c r="DE424" s="319"/>
      <c r="DF424" s="319"/>
      <c r="DG424" s="319"/>
      <c r="DH424" s="319"/>
      <c r="DI424" s="319"/>
      <c r="DJ424" s="319"/>
      <c r="DK424" s="319"/>
      <c r="DL424" s="319"/>
      <c r="DM424" s="319"/>
      <c r="DN424" s="319"/>
      <c r="DO424" s="319"/>
      <c r="DP424" s="319"/>
      <c r="DQ424" s="319"/>
      <c r="DR424" s="319"/>
      <c r="DS424" s="319"/>
      <c r="DT424" s="319"/>
      <c r="DU424" s="319"/>
      <c r="DV424" s="319"/>
      <c r="DW424" s="319"/>
    </row>
    <row r="425" ht="15.0" customHeight="1">
      <c r="A425" s="319"/>
      <c r="B425" s="319"/>
      <c r="C425" s="1019" t="s">
        <v>2517</v>
      </c>
      <c r="D425" s="319"/>
      <c r="E425" s="536"/>
      <c r="F425" s="322"/>
      <c r="G425" s="536"/>
      <c r="H425" s="319"/>
      <c r="I425" s="319"/>
      <c r="J425" s="313"/>
      <c r="K425" s="313"/>
      <c r="L425" s="314"/>
      <c r="M425" s="312"/>
      <c r="N425" s="313"/>
      <c r="O425" s="314"/>
      <c r="P425" s="315"/>
      <c r="Q425" s="312"/>
      <c r="R425" s="316"/>
      <c r="S425" s="316"/>
      <c r="T425" s="319"/>
      <c r="U425" s="317"/>
      <c r="V425" s="319"/>
      <c r="W425" s="319"/>
      <c r="X425" s="319"/>
      <c r="Y425" s="319"/>
      <c r="Z425" s="319"/>
      <c r="AA425" s="319"/>
      <c r="AB425" s="319"/>
      <c r="AC425" s="319"/>
      <c r="AD425" s="319"/>
      <c r="AE425" s="319"/>
      <c r="AF425" s="319"/>
      <c r="AG425" s="319"/>
      <c r="AH425" s="319"/>
      <c r="AI425" s="319"/>
      <c r="AJ425" s="319"/>
      <c r="AK425" s="319"/>
      <c r="AL425" s="319"/>
      <c r="AM425" s="319"/>
      <c r="AN425" s="319"/>
      <c r="AO425" s="319"/>
      <c r="AP425" s="319"/>
      <c r="AQ425" s="319"/>
      <c r="AR425" s="319"/>
      <c r="AS425" s="319"/>
      <c r="AT425" s="319"/>
      <c r="AU425" s="319"/>
      <c r="AV425" s="319"/>
      <c r="AW425" s="319"/>
      <c r="AX425" s="319"/>
      <c r="AY425" s="319"/>
      <c r="AZ425" s="319"/>
      <c r="BA425" s="319"/>
      <c r="BB425" s="319"/>
      <c r="BC425" s="319"/>
      <c r="BD425" s="319"/>
      <c r="BE425" s="319"/>
      <c r="BF425" s="319"/>
      <c r="BG425" s="319"/>
      <c r="BH425" s="319"/>
      <c r="BI425" s="319"/>
      <c r="BJ425" s="319"/>
      <c r="BK425" s="319"/>
      <c r="BL425" s="319"/>
      <c r="BM425" s="319"/>
      <c r="BN425" s="319"/>
      <c r="BO425" s="319"/>
      <c r="BP425" s="319"/>
      <c r="BQ425" s="319"/>
      <c r="BR425" s="319"/>
      <c r="BS425" s="319"/>
      <c r="BT425" s="319"/>
      <c r="BU425" s="319"/>
      <c r="BV425" s="319"/>
      <c r="BW425" s="319"/>
      <c r="BX425" s="319"/>
      <c r="BY425" s="319"/>
      <c r="BZ425" s="319"/>
      <c r="CA425" s="319"/>
      <c r="CB425" s="319"/>
      <c r="CC425" s="319"/>
      <c r="CD425" s="319"/>
      <c r="CE425" s="319"/>
      <c r="CF425" s="319"/>
      <c r="CG425" s="319"/>
      <c r="CH425" s="319"/>
      <c r="CI425" s="319"/>
      <c r="CJ425" s="319"/>
      <c r="CK425" s="319"/>
      <c r="CL425" s="319"/>
      <c r="CM425" s="319"/>
      <c r="CN425" s="319"/>
      <c r="CO425" s="319"/>
      <c r="CP425" s="319"/>
      <c r="CQ425" s="319"/>
      <c r="CR425" s="319"/>
      <c r="CS425" s="319"/>
      <c r="CT425" s="319"/>
      <c r="CU425" s="319"/>
      <c r="CV425" s="319"/>
      <c r="CW425" s="319"/>
      <c r="CX425" s="319"/>
      <c r="CY425" s="319"/>
      <c r="CZ425" s="319"/>
      <c r="DA425" s="319"/>
      <c r="DB425" s="319"/>
      <c r="DC425" s="319"/>
      <c r="DD425" s="319"/>
      <c r="DE425" s="319"/>
      <c r="DF425" s="319"/>
      <c r="DG425" s="319"/>
      <c r="DH425" s="319"/>
      <c r="DI425" s="319"/>
      <c r="DJ425" s="319"/>
      <c r="DK425" s="319"/>
      <c r="DL425" s="319"/>
      <c r="DM425" s="319"/>
      <c r="DN425" s="319"/>
      <c r="DO425" s="319"/>
      <c r="DP425" s="319"/>
      <c r="DQ425" s="319"/>
      <c r="DR425" s="319"/>
      <c r="DS425" s="319"/>
      <c r="DT425" s="319"/>
      <c r="DU425" s="319"/>
      <c r="DV425" s="319"/>
      <c r="DW425" s="319"/>
    </row>
    <row r="426" ht="15.0" customHeight="1">
      <c r="A426" s="319"/>
      <c r="B426" s="319"/>
      <c r="C426" s="1019" t="s">
        <v>2518</v>
      </c>
      <c r="D426" s="319"/>
      <c r="E426" s="536"/>
      <c r="F426" s="322"/>
      <c r="G426" s="536"/>
      <c r="H426" s="319"/>
      <c r="I426" s="319"/>
      <c r="J426" s="313"/>
      <c r="K426" s="313"/>
      <c r="L426" s="314"/>
      <c r="M426" s="312"/>
      <c r="N426" s="313"/>
      <c r="O426" s="314"/>
      <c r="P426" s="315"/>
      <c r="Q426" s="312"/>
      <c r="R426" s="316"/>
      <c r="S426" s="316"/>
      <c r="T426" s="319"/>
      <c r="U426" s="317"/>
      <c r="V426" s="319"/>
      <c r="W426" s="319"/>
      <c r="X426" s="319"/>
      <c r="Y426" s="319"/>
      <c r="Z426" s="319"/>
      <c r="AA426" s="319"/>
      <c r="AB426" s="319"/>
      <c r="AC426" s="319"/>
      <c r="AD426" s="319"/>
      <c r="AE426" s="319"/>
      <c r="AF426" s="319"/>
      <c r="AG426" s="319"/>
      <c r="AH426" s="319"/>
      <c r="AI426" s="319"/>
      <c r="AJ426" s="319"/>
      <c r="AK426" s="319"/>
      <c r="AL426" s="319"/>
      <c r="AM426" s="319"/>
      <c r="AN426" s="319"/>
      <c r="AO426" s="319"/>
      <c r="AP426" s="319"/>
      <c r="AQ426" s="319"/>
      <c r="AR426" s="319"/>
      <c r="AS426" s="319"/>
      <c r="AT426" s="319"/>
      <c r="AU426" s="319"/>
      <c r="AV426" s="319"/>
      <c r="AW426" s="319"/>
      <c r="AX426" s="319"/>
      <c r="AY426" s="319"/>
      <c r="AZ426" s="319"/>
      <c r="BA426" s="319"/>
      <c r="BB426" s="319"/>
      <c r="BC426" s="319"/>
      <c r="BD426" s="319"/>
      <c r="BE426" s="319"/>
      <c r="BF426" s="319"/>
      <c r="BG426" s="319"/>
      <c r="BH426" s="319"/>
      <c r="BI426" s="319"/>
      <c r="BJ426" s="319"/>
      <c r="BK426" s="319"/>
      <c r="BL426" s="319"/>
      <c r="BM426" s="319"/>
      <c r="BN426" s="319"/>
      <c r="BO426" s="319"/>
      <c r="BP426" s="319"/>
      <c r="BQ426" s="319"/>
      <c r="BR426" s="319"/>
      <c r="BS426" s="319"/>
      <c r="BT426" s="319"/>
      <c r="BU426" s="319"/>
      <c r="BV426" s="319"/>
      <c r="BW426" s="319"/>
      <c r="BX426" s="319"/>
      <c r="BY426" s="319"/>
      <c r="BZ426" s="319"/>
      <c r="CA426" s="319"/>
      <c r="CB426" s="319"/>
      <c r="CC426" s="319"/>
      <c r="CD426" s="319"/>
      <c r="CE426" s="319"/>
      <c r="CF426" s="319"/>
      <c r="CG426" s="319"/>
      <c r="CH426" s="319"/>
      <c r="CI426" s="319"/>
      <c r="CJ426" s="319"/>
      <c r="CK426" s="319"/>
      <c r="CL426" s="319"/>
      <c r="CM426" s="319"/>
      <c r="CN426" s="319"/>
      <c r="CO426" s="319"/>
      <c r="CP426" s="319"/>
      <c r="CQ426" s="319"/>
      <c r="CR426" s="319"/>
      <c r="CS426" s="319"/>
      <c r="CT426" s="319"/>
      <c r="CU426" s="319"/>
      <c r="CV426" s="319"/>
      <c r="CW426" s="319"/>
      <c r="CX426" s="319"/>
      <c r="CY426" s="319"/>
      <c r="CZ426" s="319"/>
      <c r="DA426" s="319"/>
      <c r="DB426" s="319"/>
      <c r="DC426" s="319"/>
      <c r="DD426" s="319"/>
      <c r="DE426" s="319"/>
      <c r="DF426" s="319"/>
      <c r="DG426" s="319"/>
      <c r="DH426" s="319"/>
      <c r="DI426" s="319"/>
      <c r="DJ426" s="319"/>
      <c r="DK426" s="319"/>
      <c r="DL426" s="319"/>
      <c r="DM426" s="319"/>
      <c r="DN426" s="319"/>
      <c r="DO426" s="319"/>
      <c r="DP426" s="319"/>
      <c r="DQ426" s="319"/>
      <c r="DR426" s="319"/>
      <c r="DS426" s="319"/>
      <c r="DT426" s="319"/>
      <c r="DU426" s="319"/>
      <c r="DV426" s="319"/>
      <c r="DW426" s="319"/>
    </row>
    <row r="427" ht="15.0" customHeight="1">
      <c r="A427" s="319"/>
      <c r="B427" s="319"/>
      <c r="C427" s="1019" t="s">
        <v>2519</v>
      </c>
      <c r="D427" s="319"/>
      <c r="E427" s="536"/>
      <c r="F427" s="322"/>
      <c r="G427" s="536"/>
      <c r="H427" s="319"/>
      <c r="I427" s="319"/>
      <c r="J427" s="313"/>
      <c r="K427" s="313"/>
      <c r="L427" s="314"/>
      <c r="M427" s="312"/>
      <c r="N427" s="313"/>
      <c r="O427" s="314"/>
      <c r="P427" s="315"/>
      <c r="Q427" s="312"/>
      <c r="R427" s="316"/>
      <c r="S427" s="316"/>
      <c r="T427" s="319"/>
      <c r="U427" s="317"/>
      <c r="V427" s="319"/>
      <c r="W427" s="319"/>
      <c r="X427" s="319"/>
      <c r="Y427" s="319"/>
      <c r="Z427" s="319"/>
      <c r="AA427" s="319"/>
      <c r="AB427" s="319"/>
      <c r="AC427" s="319"/>
      <c r="AD427" s="319"/>
      <c r="AE427" s="319"/>
      <c r="AF427" s="319"/>
      <c r="AG427" s="319"/>
      <c r="AH427" s="319"/>
      <c r="AI427" s="319"/>
      <c r="AJ427" s="319"/>
      <c r="AK427" s="319"/>
      <c r="AL427" s="319"/>
      <c r="AM427" s="319"/>
      <c r="AN427" s="319"/>
      <c r="AO427" s="319"/>
      <c r="AP427" s="319"/>
      <c r="AQ427" s="319"/>
      <c r="AR427" s="319"/>
      <c r="AS427" s="319"/>
      <c r="AT427" s="319"/>
      <c r="AU427" s="319"/>
      <c r="AV427" s="319"/>
      <c r="AW427" s="319"/>
      <c r="AX427" s="319"/>
      <c r="AY427" s="319"/>
      <c r="AZ427" s="319"/>
      <c r="BA427" s="319"/>
      <c r="BB427" s="319"/>
      <c r="BC427" s="319"/>
      <c r="BD427" s="319"/>
      <c r="BE427" s="319"/>
      <c r="BF427" s="319"/>
      <c r="BG427" s="319"/>
      <c r="BH427" s="319"/>
      <c r="BI427" s="319"/>
      <c r="BJ427" s="319"/>
      <c r="BK427" s="319"/>
      <c r="BL427" s="319"/>
      <c r="BM427" s="319"/>
      <c r="BN427" s="319"/>
      <c r="BO427" s="319"/>
      <c r="BP427" s="319"/>
      <c r="BQ427" s="319"/>
      <c r="BR427" s="319"/>
      <c r="BS427" s="319"/>
      <c r="BT427" s="319"/>
      <c r="BU427" s="319"/>
      <c r="BV427" s="319"/>
      <c r="BW427" s="319"/>
      <c r="BX427" s="319"/>
      <c r="BY427" s="319"/>
      <c r="BZ427" s="319"/>
      <c r="CA427" s="319"/>
      <c r="CB427" s="319"/>
      <c r="CC427" s="319"/>
      <c r="CD427" s="319"/>
      <c r="CE427" s="319"/>
      <c r="CF427" s="319"/>
      <c r="CG427" s="319"/>
      <c r="CH427" s="319"/>
      <c r="CI427" s="319"/>
      <c r="CJ427" s="319"/>
      <c r="CK427" s="319"/>
      <c r="CL427" s="319"/>
      <c r="CM427" s="319"/>
      <c r="CN427" s="319"/>
      <c r="CO427" s="319"/>
      <c r="CP427" s="319"/>
      <c r="CQ427" s="319"/>
      <c r="CR427" s="319"/>
      <c r="CS427" s="319"/>
      <c r="CT427" s="319"/>
      <c r="CU427" s="319"/>
      <c r="CV427" s="319"/>
      <c r="CW427" s="319"/>
      <c r="CX427" s="319"/>
      <c r="CY427" s="319"/>
      <c r="CZ427" s="319"/>
      <c r="DA427" s="319"/>
      <c r="DB427" s="319"/>
      <c r="DC427" s="319"/>
      <c r="DD427" s="319"/>
      <c r="DE427" s="319"/>
      <c r="DF427" s="319"/>
      <c r="DG427" s="319"/>
      <c r="DH427" s="319"/>
      <c r="DI427" s="319"/>
      <c r="DJ427" s="319"/>
      <c r="DK427" s="319"/>
      <c r="DL427" s="319"/>
      <c r="DM427" s="319"/>
      <c r="DN427" s="319"/>
      <c r="DO427" s="319"/>
      <c r="DP427" s="319"/>
      <c r="DQ427" s="319"/>
      <c r="DR427" s="319"/>
      <c r="DS427" s="319"/>
      <c r="DT427" s="319"/>
      <c r="DU427" s="319"/>
      <c r="DV427" s="319"/>
      <c r="DW427" s="319"/>
    </row>
    <row r="428" ht="15.0" customHeight="1">
      <c r="A428" s="319"/>
      <c r="B428" s="319"/>
      <c r="C428" s="1019" t="s">
        <v>2520</v>
      </c>
      <c r="D428" s="319"/>
      <c r="E428" s="536"/>
      <c r="F428" s="322"/>
      <c r="G428" s="536"/>
      <c r="H428" s="319"/>
      <c r="I428" s="319"/>
      <c r="J428" s="313"/>
      <c r="K428" s="313"/>
      <c r="L428" s="314"/>
      <c r="M428" s="312"/>
      <c r="N428" s="313"/>
      <c r="O428" s="314"/>
      <c r="P428" s="315"/>
      <c r="Q428" s="312"/>
      <c r="R428" s="316"/>
      <c r="S428" s="316"/>
      <c r="T428" s="319"/>
      <c r="U428" s="317"/>
      <c r="V428" s="319"/>
      <c r="W428" s="319"/>
      <c r="X428" s="319"/>
      <c r="Y428" s="319"/>
      <c r="Z428" s="319"/>
      <c r="AA428" s="319"/>
      <c r="AB428" s="319"/>
      <c r="AC428" s="319"/>
      <c r="AD428" s="319"/>
      <c r="AE428" s="319"/>
      <c r="AF428" s="319"/>
      <c r="AG428" s="319"/>
      <c r="AH428" s="319"/>
      <c r="AI428" s="319"/>
      <c r="AJ428" s="319"/>
      <c r="AK428" s="319"/>
      <c r="AL428" s="319"/>
      <c r="AM428" s="319"/>
      <c r="AN428" s="319"/>
      <c r="AO428" s="319"/>
      <c r="AP428" s="319"/>
      <c r="AQ428" s="319"/>
      <c r="AR428" s="319"/>
      <c r="AS428" s="319"/>
      <c r="AT428" s="319"/>
      <c r="AU428" s="319"/>
      <c r="AV428" s="319"/>
      <c r="AW428" s="319"/>
      <c r="AX428" s="319"/>
      <c r="AY428" s="319"/>
      <c r="AZ428" s="319"/>
      <c r="BA428" s="319"/>
      <c r="BB428" s="319"/>
      <c r="BC428" s="319"/>
      <c r="BD428" s="319"/>
      <c r="BE428" s="319"/>
      <c r="BF428" s="319"/>
      <c r="BG428" s="319"/>
      <c r="BH428" s="319"/>
      <c r="BI428" s="319"/>
      <c r="BJ428" s="319"/>
      <c r="BK428" s="319"/>
      <c r="BL428" s="319"/>
      <c r="BM428" s="319"/>
      <c r="BN428" s="319"/>
      <c r="BO428" s="319"/>
      <c r="BP428" s="319"/>
      <c r="BQ428" s="319"/>
      <c r="BR428" s="319"/>
      <c r="BS428" s="319"/>
      <c r="BT428" s="319"/>
      <c r="BU428" s="319"/>
      <c r="BV428" s="319"/>
      <c r="BW428" s="319"/>
      <c r="BX428" s="319"/>
      <c r="BY428" s="319"/>
      <c r="BZ428" s="319"/>
      <c r="CA428" s="319"/>
      <c r="CB428" s="319"/>
      <c r="CC428" s="319"/>
      <c r="CD428" s="319"/>
      <c r="CE428" s="319"/>
      <c r="CF428" s="319"/>
      <c r="CG428" s="319"/>
      <c r="CH428" s="319"/>
      <c r="CI428" s="319"/>
      <c r="CJ428" s="319"/>
      <c r="CK428" s="319"/>
      <c r="CL428" s="319"/>
      <c r="CM428" s="319"/>
      <c r="CN428" s="319"/>
      <c r="CO428" s="319"/>
      <c r="CP428" s="319"/>
      <c r="CQ428" s="319"/>
      <c r="CR428" s="319"/>
      <c r="CS428" s="319"/>
      <c r="CT428" s="319"/>
      <c r="CU428" s="319"/>
      <c r="CV428" s="319"/>
      <c r="CW428" s="319"/>
      <c r="CX428" s="319"/>
      <c r="CY428" s="319"/>
      <c r="CZ428" s="319"/>
      <c r="DA428" s="319"/>
      <c r="DB428" s="319"/>
      <c r="DC428" s="319"/>
      <c r="DD428" s="319"/>
      <c r="DE428" s="319"/>
      <c r="DF428" s="319"/>
      <c r="DG428" s="319"/>
      <c r="DH428" s="319"/>
      <c r="DI428" s="319"/>
      <c r="DJ428" s="319"/>
      <c r="DK428" s="319"/>
      <c r="DL428" s="319"/>
      <c r="DM428" s="319"/>
      <c r="DN428" s="319"/>
      <c r="DO428" s="319"/>
      <c r="DP428" s="319"/>
      <c r="DQ428" s="319"/>
      <c r="DR428" s="319"/>
      <c r="DS428" s="319"/>
      <c r="DT428" s="319"/>
      <c r="DU428" s="319"/>
      <c r="DV428" s="319"/>
      <c r="DW428" s="319"/>
    </row>
    <row r="429" ht="15.0" customHeight="1">
      <c r="A429" s="319"/>
      <c r="B429" s="319"/>
      <c r="C429" s="1019" t="s">
        <v>2521</v>
      </c>
      <c r="D429" s="319"/>
      <c r="E429" s="536"/>
      <c r="F429" s="322"/>
      <c r="G429" s="536"/>
      <c r="H429" s="319"/>
      <c r="I429" s="319"/>
      <c r="J429" s="313"/>
      <c r="K429" s="313"/>
      <c r="L429" s="314"/>
      <c r="M429" s="312"/>
      <c r="N429" s="313"/>
      <c r="O429" s="314"/>
      <c r="P429" s="315"/>
      <c r="Q429" s="312"/>
      <c r="R429" s="316"/>
      <c r="S429" s="316"/>
      <c r="T429" s="319"/>
      <c r="U429" s="317"/>
      <c r="V429" s="319"/>
      <c r="W429" s="319"/>
      <c r="X429" s="319"/>
      <c r="Y429" s="319"/>
      <c r="Z429" s="319"/>
      <c r="AA429" s="319"/>
      <c r="AB429" s="319"/>
      <c r="AC429" s="319"/>
      <c r="AD429" s="319"/>
      <c r="AE429" s="319"/>
      <c r="AF429" s="319"/>
      <c r="AG429" s="319"/>
      <c r="AH429" s="319"/>
      <c r="AI429" s="319"/>
      <c r="AJ429" s="319"/>
      <c r="AK429" s="319"/>
      <c r="AL429" s="319"/>
      <c r="AM429" s="319"/>
      <c r="AN429" s="319"/>
      <c r="AO429" s="319"/>
      <c r="AP429" s="319"/>
      <c r="AQ429" s="319"/>
      <c r="AR429" s="319"/>
      <c r="AS429" s="319"/>
      <c r="AT429" s="319"/>
      <c r="AU429" s="319"/>
      <c r="AV429" s="319"/>
      <c r="AW429" s="319"/>
      <c r="AX429" s="319"/>
      <c r="AY429" s="319"/>
      <c r="AZ429" s="319"/>
      <c r="BA429" s="319"/>
      <c r="BB429" s="319"/>
      <c r="BC429" s="319"/>
      <c r="BD429" s="319"/>
      <c r="BE429" s="319"/>
      <c r="BF429" s="319"/>
      <c r="BG429" s="319"/>
      <c r="BH429" s="319"/>
      <c r="BI429" s="319"/>
      <c r="BJ429" s="319"/>
      <c r="BK429" s="319"/>
      <c r="BL429" s="319"/>
      <c r="BM429" s="319"/>
      <c r="BN429" s="319"/>
      <c r="BO429" s="319"/>
      <c r="BP429" s="319"/>
      <c r="BQ429" s="319"/>
      <c r="BR429" s="319"/>
      <c r="BS429" s="319"/>
      <c r="BT429" s="319"/>
      <c r="BU429" s="319"/>
      <c r="BV429" s="319"/>
      <c r="BW429" s="319"/>
      <c r="BX429" s="319"/>
      <c r="BY429" s="319"/>
      <c r="BZ429" s="319"/>
      <c r="CA429" s="319"/>
      <c r="CB429" s="319"/>
      <c r="CC429" s="319"/>
      <c r="CD429" s="319"/>
      <c r="CE429" s="319"/>
      <c r="CF429" s="319"/>
      <c r="CG429" s="319"/>
      <c r="CH429" s="319"/>
      <c r="CI429" s="319"/>
      <c r="CJ429" s="319"/>
      <c r="CK429" s="319"/>
      <c r="CL429" s="319"/>
      <c r="CM429" s="319"/>
      <c r="CN429" s="319"/>
      <c r="CO429" s="319"/>
      <c r="CP429" s="319"/>
      <c r="CQ429" s="319"/>
      <c r="CR429" s="319"/>
      <c r="CS429" s="319"/>
      <c r="CT429" s="319"/>
      <c r="CU429" s="319"/>
      <c r="CV429" s="319"/>
      <c r="CW429" s="319"/>
      <c r="CX429" s="319"/>
      <c r="CY429" s="319"/>
      <c r="CZ429" s="319"/>
      <c r="DA429" s="319"/>
      <c r="DB429" s="319"/>
      <c r="DC429" s="319"/>
      <c r="DD429" s="319"/>
      <c r="DE429" s="319"/>
      <c r="DF429" s="319"/>
      <c r="DG429" s="319"/>
      <c r="DH429" s="319"/>
      <c r="DI429" s="319"/>
      <c r="DJ429" s="319"/>
      <c r="DK429" s="319"/>
      <c r="DL429" s="319"/>
      <c r="DM429" s="319"/>
      <c r="DN429" s="319"/>
      <c r="DO429" s="319"/>
      <c r="DP429" s="319"/>
      <c r="DQ429" s="319"/>
      <c r="DR429" s="319"/>
      <c r="DS429" s="319"/>
      <c r="DT429" s="319"/>
      <c r="DU429" s="319"/>
      <c r="DV429" s="319"/>
      <c r="DW429" s="319"/>
    </row>
    <row r="430" ht="15.0" customHeight="1">
      <c r="A430" s="319"/>
      <c r="B430" s="319"/>
      <c r="C430" s="1019" t="s">
        <v>2522</v>
      </c>
      <c r="D430" s="319"/>
      <c r="E430" s="536"/>
      <c r="F430" s="322"/>
      <c r="G430" s="536"/>
      <c r="H430" s="319"/>
      <c r="I430" s="319"/>
      <c r="J430" s="313"/>
      <c r="K430" s="313"/>
      <c r="L430" s="314"/>
      <c r="M430" s="312"/>
      <c r="N430" s="313"/>
      <c r="O430" s="314"/>
      <c r="P430" s="315"/>
      <c r="Q430" s="312"/>
      <c r="R430" s="316"/>
      <c r="S430" s="316"/>
      <c r="T430" s="319"/>
      <c r="U430" s="317"/>
      <c r="V430" s="319"/>
      <c r="W430" s="319"/>
      <c r="X430" s="319"/>
      <c r="Y430" s="319"/>
      <c r="Z430" s="319"/>
      <c r="AA430" s="319"/>
      <c r="AB430" s="319"/>
      <c r="AC430" s="319"/>
      <c r="AD430" s="319"/>
      <c r="AE430" s="319"/>
      <c r="AF430" s="319"/>
      <c r="AG430" s="319"/>
      <c r="AH430" s="319"/>
      <c r="AI430" s="319"/>
      <c r="AJ430" s="319"/>
      <c r="AK430" s="319"/>
      <c r="AL430" s="319"/>
      <c r="AM430" s="319"/>
      <c r="AN430" s="319"/>
      <c r="AO430" s="319"/>
      <c r="AP430" s="319"/>
      <c r="AQ430" s="319"/>
      <c r="AR430" s="319"/>
      <c r="AS430" s="319"/>
      <c r="AT430" s="319"/>
      <c r="AU430" s="319"/>
      <c r="AV430" s="319"/>
      <c r="AW430" s="319"/>
      <c r="AX430" s="319"/>
      <c r="AY430" s="319"/>
      <c r="AZ430" s="319"/>
      <c r="BA430" s="319"/>
      <c r="BB430" s="319"/>
      <c r="BC430" s="319"/>
      <c r="BD430" s="319"/>
      <c r="BE430" s="319"/>
      <c r="BF430" s="319"/>
      <c r="BG430" s="319"/>
      <c r="BH430" s="319"/>
      <c r="BI430" s="319"/>
      <c r="BJ430" s="319"/>
      <c r="BK430" s="319"/>
      <c r="BL430" s="319"/>
      <c r="BM430" s="319"/>
      <c r="BN430" s="319"/>
      <c r="BO430" s="319"/>
      <c r="BP430" s="319"/>
      <c r="BQ430" s="319"/>
      <c r="BR430" s="319"/>
      <c r="BS430" s="319"/>
      <c r="BT430" s="319"/>
      <c r="BU430" s="319"/>
      <c r="BV430" s="319"/>
      <c r="BW430" s="319"/>
      <c r="BX430" s="319"/>
      <c r="BY430" s="319"/>
      <c r="BZ430" s="319"/>
      <c r="CA430" s="319"/>
      <c r="CB430" s="319"/>
      <c r="CC430" s="319"/>
      <c r="CD430" s="319"/>
      <c r="CE430" s="319"/>
      <c r="CF430" s="319"/>
      <c r="CG430" s="319"/>
      <c r="CH430" s="319"/>
      <c r="CI430" s="319"/>
      <c r="CJ430" s="319"/>
      <c r="CK430" s="319"/>
      <c r="CL430" s="319"/>
      <c r="CM430" s="319"/>
      <c r="CN430" s="319"/>
      <c r="CO430" s="319"/>
      <c r="CP430" s="319"/>
      <c r="CQ430" s="319"/>
      <c r="CR430" s="319"/>
      <c r="CS430" s="319"/>
      <c r="CT430" s="319"/>
      <c r="CU430" s="319"/>
      <c r="CV430" s="319"/>
      <c r="CW430" s="319"/>
      <c r="CX430" s="319"/>
      <c r="CY430" s="319"/>
      <c r="CZ430" s="319"/>
      <c r="DA430" s="319"/>
      <c r="DB430" s="319"/>
      <c r="DC430" s="319"/>
      <c r="DD430" s="319"/>
      <c r="DE430" s="319"/>
      <c r="DF430" s="319"/>
      <c r="DG430" s="319"/>
      <c r="DH430" s="319"/>
      <c r="DI430" s="319"/>
      <c r="DJ430" s="319"/>
      <c r="DK430" s="319"/>
      <c r="DL430" s="319"/>
      <c r="DM430" s="319"/>
      <c r="DN430" s="319"/>
      <c r="DO430" s="319"/>
      <c r="DP430" s="319"/>
      <c r="DQ430" s="319"/>
      <c r="DR430" s="319"/>
      <c r="DS430" s="319"/>
      <c r="DT430" s="319"/>
      <c r="DU430" s="319"/>
      <c r="DV430" s="319"/>
      <c r="DW430" s="319"/>
    </row>
  </sheetData>
  <autoFilter ref="$A$3:$U$402">
    <sortState ref="A3:U402">
      <sortCondition ref="C3:C402"/>
      <sortCondition descending="1" ref="G3:G402"/>
      <sortCondition ref="E3:E402"/>
      <sortCondition descending="1" ref="I3:I402"/>
      <sortCondition ref="B3:B402"/>
    </sortState>
  </autoFilter>
  <hyperlinks>
    <hyperlink r:id="rId1" ref="B55"/>
    <hyperlink r:id="rId2" ref="B329"/>
  </hyperlinks>
  <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7.29" defaultRowHeight="15.75"/>
  <cols>
    <col customWidth="1" min="1" max="1" width="10.71"/>
    <col customWidth="1" min="2" max="2" width="33.43"/>
    <col customWidth="1" min="3" max="3" width="7.86"/>
    <col customWidth="1" min="4" max="4" width="9.0"/>
    <col customWidth="1" min="5" max="5" width="11.14"/>
    <col customWidth="1" min="6" max="6" width="13.57"/>
    <col customWidth="1" min="7" max="7" width="8.71"/>
    <col customWidth="1" hidden="1" min="8" max="8" width="9.14"/>
    <col customWidth="1" min="9" max="9" width="9.14"/>
    <col customWidth="1" min="10" max="11" width="8.71"/>
    <col customWidth="1" min="12" max="12" width="10.57"/>
    <col customWidth="1" min="13" max="13" width="16.86"/>
    <col customWidth="1" min="14" max="15" width="13.14"/>
    <col customWidth="1" min="16" max="19" width="14.57"/>
    <col customWidth="1" min="20" max="20" width="12.0"/>
    <col customWidth="1" min="21" max="21" width="98.0"/>
    <col customWidth="1" min="22" max="22" width="8.71"/>
    <col customWidth="1" min="23" max="128" width="9.14"/>
  </cols>
  <sheetData>
    <row r="1" ht="15.0" customHeight="1">
      <c r="A1" s="549"/>
      <c r="B1" s="550"/>
      <c r="C1" s="551"/>
      <c r="D1" s="550"/>
      <c r="E1" s="552"/>
      <c r="F1" s="553"/>
      <c r="G1" s="554" t="s">
        <v>1192</v>
      </c>
      <c r="H1" s="555"/>
      <c r="I1" s="556">
        <f>Buys!I1</f>
        <v>14.70588235</v>
      </c>
      <c r="U1" s="557"/>
      <c r="V1" s="318" t="s">
        <v>1196</v>
      </c>
      <c r="W1" s="319"/>
      <c r="X1" s="319"/>
      <c r="Y1" s="319"/>
      <c r="Z1" s="319"/>
      <c r="AA1" s="319"/>
      <c r="AB1" s="319"/>
      <c r="AC1" s="319"/>
      <c r="AD1" s="319"/>
      <c r="AE1" s="319"/>
      <c r="AF1" s="319"/>
      <c r="AG1" s="319"/>
      <c r="AH1" s="319"/>
      <c r="AI1" s="319"/>
      <c r="AJ1" s="319"/>
      <c r="AK1" s="319"/>
      <c r="AL1" s="319"/>
      <c r="AM1" s="319"/>
      <c r="AN1" s="319"/>
      <c r="AO1" s="319"/>
      <c r="AP1" s="319"/>
      <c r="AQ1" s="319"/>
      <c r="AR1" s="319"/>
      <c r="AS1" s="319"/>
      <c r="AT1" s="319"/>
      <c r="AU1" s="319"/>
      <c r="AV1" s="319"/>
      <c r="AW1" s="319"/>
      <c r="AX1" s="319"/>
      <c r="AY1" s="319"/>
      <c r="AZ1" s="319"/>
      <c r="BA1" s="319"/>
      <c r="BB1" s="319"/>
      <c r="BC1" s="319"/>
      <c r="BD1" s="319"/>
      <c r="BE1" s="319"/>
      <c r="BF1" s="319"/>
      <c r="BG1" s="319"/>
      <c r="BH1" s="319"/>
      <c r="BI1" s="319"/>
      <c r="BJ1" s="319"/>
      <c r="BK1" s="319"/>
      <c r="BL1" s="319"/>
      <c r="BM1" s="319"/>
      <c r="BN1" s="319"/>
      <c r="BO1" s="319"/>
      <c r="BP1" s="319"/>
      <c r="BQ1" s="319"/>
      <c r="BR1" s="319"/>
      <c r="BS1" s="319"/>
      <c r="BT1" s="319"/>
      <c r="BU1" s="319"/>
      <c r="BV1" s="319"/>
      <c r="BW1" s="319"/>
      <c r="BX1" s="319"/>
      <c r="BY1" s="319"/>
      <c r="BZ1" s="319"/>
      <c r="CA1" s="319"/>
      <c r="CB1" s="319"/>
      <c r="CC1" s="319"/>
      <c r="CD1" s="319"/>
      <c r="CE1" s="319"/>
      <c r="CF1" s="319"/>
      <c r="CG1" s="319"/>
      <c r="CH1" s="319"/>
      <c r="CI1" s="319"/>
      <c r="CJ1" s="319"/>
      <c r="CK1" s="319"/>
      <c r="CL1" s="319"/>
      <c r="CM1" s="319"/>
      <c r="CN1" s="319"/>
      <c r="CO1" s="319"/>
      <c r="CP1" s="319"/>
      <c r="CQ1" s="319"/>
      <c r="CR1" s="319"/>
      <c r="CS1" s="319"/>
      <c r="CT1" s="319"/>
      <c r="CU1" s="319"/>
      <c r="CV1" s="319"/>
      <c r="CW1" s="319"/>
      <c r="CX1" s="319"/>
      <c r="CY1" s="319"/>
      <c r="CZ1" s="319"/>
      <c r="DA1" s="319"/>
      <c r="DB1" s="319"/>
      <c r="DC1" s="319"/>
      <c r="DD1" s="319"/>
      <c r="DE1" s="319"/>
      <c r="DF1" s="319"/>
      <c r="DG1" s="319"/>
      <c r="DH1" s="319"/>
      <c r="DI1" s="319"/>
      <c r="DJ1" s="319"/>
      <c r="DK1" s="319"/>
      <c r="DL1" s="319"/>
      <c r="DM1" s="319"/>
      <c r="DN1" s="319"/>
      <c r="DO1" s="319"/>
      <c r="DP1" s="319"/>
      <c r="DQ1" s="319"/>
      <c r="DR1" s="319"/>
      <c r="DS1" s="319"/>
      <c r="DV1" s="319"/>
      <c r="DW1" s="319"/>
      <c r="DX1" s="319"/>
    </row>
    <row r="2" ht="15.0" customHeight="1">
      <c r="A2" s="549"/>
      <c r="B2" s="558" t="s">
        <v>1773</v>
      </c>
      <c r="C2" s="551"/>
      <c r="D2" s="550"/>
      <c r="E2" s="552"/>
      <c r="F2" s="553"/>
      <c r="G2" s="114"/>
      <c r="H2" s="559"/>
      <c r="I2" s="560"/>
      <c r="U2" s="557"/>
      <c r="V2" s="318" t="s">
        <v>1202</v>
      </c>
      <c r="W2" s="318" t="s">
        <v>1202</v>
      </c>
      <c r="X2" s="318" t="s">
        <v>1202</v>
      </c>
      <c r="Y2" s="318" t="s">
        <v>1202</v>
      </c>
      <c r="Z2" s="318" t="s">
        <v>1202</v>
      </c>
      <c r="AA2" s="318" t="s">
        <v>1202</v>
      </c>
      <c r="AB2" s="318" t="s">
        <v>1202</v>
      </c>
      <c r="AC2" s="318" t="s">
        <v>1202</v>
      </c>
      <c r="AD2" s="318" t="s">
        <v>1202</v>
      </c>
      <c r="AE2" s="318" t="s">
        <v>1202</v>
      </c>
      <c r="AF2" s="318" t="s">
        <v>1202</v>
      </c>
      <c r="AG2" s="318" t="s">
        <v>1202</v>
      </c>
      <c r="AH2" s="318" t="s">
        <v>1202</v>
      </c>
      <c r="AI2" s="318" t="s">
        <v>1202</v>
      </c>
      <c r="AJ2" s="318" t="s">
        <v>1202</v>
      </c>
      <c r="AK2" s="318" t="s">
        <v>1202</v>
      </c>
      <c r="AL2" s="318" t="s">
        <v>1202</v>
      </c>
      <c r="AM2" s="318" t="s">
        <v>1202</v>
      </c>
      <c r="AN2" s="318" t="s">
        <v>1202</v>
      </c>
      <c r="AO2" s="318" t="s">
        <v>1202</v>
      </c>
      <c r="AP2" s="318" t="s">
        <v>1203</v>
      </c>
      <c r="AQ2" s="318" t="s">
        <v>1203</v>
      </c>
      <c r="AR2" s="318" t="s">
        <v>1203</v>
      </c>
      <c r="AS2" s="318" t="s">
        <v>1203</v>
      </c>
      <c r="AT2" s="318" t="s">
        <v>1203</v>
      </c>
      <c r="AU2" s="318" t="s">
        <v>1203</v>
      </c>
      <c r="AV2" s="318" t="s">
        <v>1203</v>
      </c>
      <c r="AW2" s="318" t="s">
        <v>1203</v>
      </c>
      <c r="AX2" s="318" t="s">
        <v>1203</v>
      </c>
      <c r="AY2" s="318" t="s">
        <v>1203</v>
      </c>
      <c r="AZ2" s="318" t="s">
        <v>1203</v>
      </c>
      <c r="BA2" s="318" t="s">
        <v>1203</v>
      </c>
      <c r="BB2" s="318" t="s">
        <v>1203</v>
      </c>
      <c r="BC2" s="318" t="s">
        <v>1203</v>
      </c>
      <c r="BD2" s="318" t="s">
        <v>1203</v>
      </c>
      <c r="BE2" s="318" t="s">
        <v>1203</v>
      </c>
      <c r="BF2" s="318" t="s">
        <v>1203</v>
      </c>
      <c r="BG2" s="318" t="s">
        <v>1203</v>
      </c>
      <c r="BH2" s="318" t="s">
        <v>1203</v>
      </c>
      <c r="BI2" s="318" t="s">
        <v>1203</v>
      </c>
      <c r="BJ2" s="318" t="s">
        <v>1204</v>
      </c>
      <c r="BK2" s="318" t="s">
        <v>1204</v>
      </c>
      <c r="BL2" s="318" t="s">
        <v>1204</v>
      </c>
      <c r="BM2" s="318" t="s">
        <v>1204</v>
      </c>
      <c r="BN2" s="318" t="s">
        <v>1204</v>
      </c>
      <c r="BO2" s="318" t="s">
        <v>1204</v>
      </c>
      <c r="BP2" s="318" t="s">
        <v>1204</v>
      </c>
      <c r="BQ2" s="318" t="s">
        <v>1204</v>
      </c>
      <c r="BR2" s="318" t="s">
        <v>1204</v>
      </c>
      <c r="BS2" s="318" t="s">
        <v>1204</v>
      </c>
      <c r="BT2" s="318" t="s">
        <v>1204</v>
      </c>
      <c r="BU2" s="318" t="s">
        <v>1204</v>
      </c>
      <c r="BV2" s="318" t="s">
        <v>1204</v>
      </c>
      <c r="BW2" s="318" t="s">
        <v>1204</v>
      </c>
      <c r="BX2" s="318" t="s">
        <v>1204</v>
      </c>
      <c r="BY2" s="318" t="s">
        <v>1204</v>
      </c>
      <c r="BZ2" s="318" t="s">
        <v>1204</v>
      </c>
      <c r="CA2" s="318" t="s">
        <v>1204</v>
      </c>
      <c r="CB2" s="318" t="s">
        <v>1204</v>
      </c>
      <c r="CC2" s="318" t="s">
        <v>1204</v>
      </c>
      <c r="CD2" s="318" t="s">
        <v>1205</v>
      </c>
      <c r="CE2" s="318" t="s">
        <v>1205</v>
      </c>
      <c r="CF2" s="318" t="s">
        <v>1205</v>
      </c>
      <c r="CG2" s="318" t="s">
        <v>1205</v>
      </c>
      <c r="CH2" s="318" t="s">
        <v>1205</v>
      </c>
      <c r="CI2" s="318" t="s">
        <v>1205</v>
      </c>
      <c r="CJ2" s="318" t="s">
        <v>1205</v>
      </c>
      <c r="CK2" s="318" t="s">
        <v>1205</v>
      </c>
      <c r="CL2" s="318" t="s">
        <v>1205</v>
      </c>
      <c r="CM2" s="318" t="s">
        <v>1205</v>
      </c>
      <c r="CN2" s="318" t="s">
        <v>1205</v>
      </c>
      <c r="CO2" s="318" t="s">
        <v>1205</v>
      </c>
      <c r="CP2" s="318" t="s">
        <v>1205</v>
      </c>
      <c r="CQ2" s="318" t="s">
        <v>1205</v>
      </c>
      <c r="CR2" s="318" t="s">
        <v>1205</v>
      </c>
      <c r="CS2" s="318" t="s">
        <v>1205</v>
      </c>
      <c r="CT2" s="318" t="s">
        <v>1205</v>
      </c>
      <c r="CU2" s="318" t="s">
        <v>1205</v>
      </c>
      <c r="CV2" s="318" t="s">
        <v>1205</v>
      </c>
      <c r="CW2" s="318" t="s">
        <v>1205</v>
      </c>
      <c r="CX2" s="318" t="s">
        <v>1206</v>
      </c>
      <c r="CY2" s="318" t="s">
        <v>1207</v>
      </c>
      <c r="CZ2" s="318" t="s">
        <v>1207</v>
      </c>
      <c r="DA2" s="318" t="s">
        <v>1207</v>
      </c>
      <c r="DB2" s="318" t="s">
        <v>1207</v>
      </c>
      <c r="DC2" s="318" t="s">
        <v>1207</v>
      </c>
      <c r="DD2" s="318" t="s">
        <v>1207</v>
      </c>
      <c r="DE2" s="318" t="s">
        <v>1207</v>
      </c>
      <c r="DF2" s="318" t="s">
        <v>1207</v>
      </c>
      <c r="DG2" s="318" t="s">
        <v>1207</v>
      </c>
      <c r="DH2" s="318" t="s">
        <v>1207</v>
      </c>
      <c r="DI2" s="318" t="s">
        <v>1207</v>
      </c>
      <c r="DJ2" s="318" t="s">
        <v>1207</v>
      </c>
      <c r="DK2" s="318" t="s">
        <v>1207</v>
      </c>
      <c r="DL2" s="318" t="s">
        <v>1207</v>
      </c>
      <c r="DM2" s="318" t="s">
        <v>1207</v>
      </c>
      <c r="DN2" s="318" t="s">
        <v>1207</v>
      </c>
      <c r="DO2" s="318" t="s">
        <v>1207</v>
      </c>
      <c r="DP2" s="318" t="s">
        <v>1207</v>
      </c>
      <c r="DQ2" s="318" t="s">
        <v>1207</v>
      </c>
      <c r="DR2" s="318" t="s">
        <v>1207</v>
      </c>
      <c r="DS2" s="318" t="s">
        <v>1207</v>
      </c>
      <c r="DV2" s="318"/>
      <c r="DW2" s="318"/>
      <c r="DX2" s="318"/>
    </row>
    <row r="3" ht="15.0" customHeight="1">
      <c r="A3" s="561"/>
      <c r="B3" s="562" t="s">
        <v>318</v>
      </c>
      <c r="C3" s="563" t="s">
        <v>319</v>
      </c>
      <c r="D3" s="564" t="s">
        <v>320</v>
      </c>
      <c r="E3" s="565" t="s">
        <v>321</v>
      </c>
      <c r="F3" s="566" t="s">
        <v>309</v>
      </c>
      <c r="G3" s="567" t="s">
        <v>323</v>
      </c>
      <c r="H3" s="568" t="s">
        <v>324</v>
      </c>
      <c r="I3" s="569" t="s">
        <v>325</v>
      </c>
      <c r="J3" s="570" t="s">
        <v>326</v>
      </c>
      <c r="K3" s="570" t="s">
        <v>327</v>
      </c>
      <c r="L3" s="570" t="s">
        <v>328</v>
      </c>
      <c r="M3" s="570" t="s">
        <v>329</v>
      </c>
      <c r="N3" s="570" t="s">
        <v>330</v>
      </c>
      <c r="O3" s="570" t="s">
        <v>331</v>
      </c>
      <c r="P3" s="562" t="s">
        <v>332</v>
      </c>
      <c r="Q3" s="266" t="s">
        <v>1026</v>
      </c>
      <c r="R3" s="571" t="s">
        <v>334</v>
      </c>
      <c r="S3" s="550" t="s">
        <v>335</v>
      </c>
      <c r="T3" s="572" t="s">
        <v>336</v>
      </c>
      <c r="U3" s="562" t="s">
        <v>314</v>
      </c>
      <c r="V3" s="573">
        <v>1.0</v>
      </c>
      <c r="W3" s="342">
        <f t="shared" ref="W3:AO3" si="1">V3+1</f>
        <v>2</v>
      </c>
      <c r="X3" s="342">
        <f t="shared" si="1"/>
        <v>3</v>
      </c>
      <c r="Y3" s="342">
        <f t="shared" si="1"/>
        <v>4</v>
      </c>
      <c r="Z3" s="342">
        <f t="shared" si="1"/>
        <v>5</v>
      </c>
      <c r="AA3" s="342">
        <f t="shared" si="1"/>
        <v>6</v>
      </c>
      <c r="AB3" s="342">
        <f t="shared" si="1"/>
        <v>7</v>
      </c>
      <c r="AC3" s="342">
        <f t="shared" si="1"/>
        <v>8</v>
      </c>
      <c r="AD3" s="342">
        <f t="shared" si="1"/>
        <v>9</v>
      </c>
      <c r="AE3" s="342">
        <f t="shared" si="1"/>
        <v>10</v>
      </c>
      <c r="AF3" s="342">
        <f t="shared" si="1"/>
        <v>11</v>
      </c>
      <c r="AG3" s="342">
        <f t="shared" si="1"/>
        <v>12</v>
      </c>
      <c r="AH3" s="342">
        <f t="shared" si="1"/>
        <v>13</v>
      </c>
      <c r="AI3" s="342">
        <f t="shared" si="1"/>
        <v>14</v>
      </c>
      <c r="AJ3" s="342">
        <f t="shared" si="1"/>
        <v>15</v>
      </c>
      <c r="AK3" s="342">
        <f t="shared" si="1"/>
        <v>16</v>
      </c>
      <c r="AL3" s="342">
        <f t="shared" si="1"/>
        <v>17</v>
      </c>
      <c r="AM3" s="342">
        <f t="shared" si="1"/>
        <v>18</v>
      </c>
      <c r="AN3" s="342">
        <f t="shared" si="1"/>
        <v>19</v>
      </c>
      <c r="AO3" s="342">
        <f t="shared" si="1"/>
        <v>20</v>
      </c>
      <c r="AP3" s="342">
        <v>1.0</v>
      </c>
      <c r="AQ3" s="342">
        <f t="shared" ref="AQ3:BI3" si="2">AP3+1</f>
        <v>2</v>
      </c>
      <c r="AR3" s="342">
        <f t="shared" si="2"/>
        <v>3</v>
      </c>
      <c r="AS3" s="342">
        <f t="shared" si="2"/>
        <v>4</v>
      </c>
      <c r="AT3" s="342">
        <f t="shared" si="2"/>
        <v>5</v>
      </c>
      <c r="AU3" s="342">
        <f t="shared" si="2"/>
        <v>6</v>
      </c>
      <c r="AV3" s="342">
        <f t="shared" si="2"/>
        <v>7</v>
      </c>
      <c r="AW3" s="342">
        <f t="shared" si="2"/>
        <v>8</v>
      </c>
      <c r="AX3" s="342">
        <f t="shared" si="2"/>
        <v>9</v>
      </c>
      <c r="AY3" s="342">
        <f t="shared" si="2"/>
        <v>10</v>
      </c>
      <c r="AZ3" s="342">
        <f t="shared" si="2"/>
        <v>11</v>
      </c>
      <c r="BA3" s="342">
        <f t="shared" si="2"/>
        <v>12</v>
      </c>
      <c r="BB3" s="342">
        <f t="shared" si="2"/>
        <v>13</v>
      </c>
      <c r="BC3" s="342">
        <f t="shared" si="2"/>
        <v>14</v>
      </c>
      <c r="BD3" s="342">
        <f t="shared" si="2"/>
        <v>15</v>
      </c>
      <c r="BE3" s="342">
        <f t="shared" si="2"/>
        <v>16</v>
      </c>
      <c r="BF3" s="342">
        <f t="shared" si="2"/>
        <v>17</v>
      </c>
      <c r="BG3" s="342">
        <f t="shared" si="2"/>
        <v>18</v>
      </c>
      <c r="BH3" s="342">
        <f t="shared" si="2"/>
        <v>19</v>
      </c>
      <c r="BI3" s="342">
        <f t="shared" si="2"/>
        <v>20</v>
      </c>
      <c r="BJ3" s="342">
        <v>1.0</v>
      </c>
      <c r="BK3" s="342">
        <f t="shared" ref="BK3:CC3" si="3">BJ3+1</f>
        <v>2</v>
      </c>
      <c r="BL3" s="342">
        <f t="shared" si="3"/>
        <v>3</v>
      </c>
      <c r="BM3" s="342">
        <f t="shared" si="3"/>
        <v>4</v>
      </c>
      <c r="BN3" s="342">
        <f t="shared" si="3"/>
        <v>5</v>
      </c>
      <c r="BO3" s="342">
        <f t="shared" si="3"/>
        <v>6</v>
      </c>
      <c r="BP3" s="342">
        <f t="shared" si="3"/>
        <v>7</v>
      </c>
      <c r="BQ3" s="342">
        <f t="shared" si="3"/>
        <v>8</v>
      </c>
      <c r="BR3" s="342">
        <f t="shared" si="3"/>
        <v>9</v>
      </c>
      <c r="BS3" s="342">
        <f t="shared" si="3"/>
        <v>10</v>
      </c>
      <c r="BT3" s="342">
        <f t="shared" si="3"/>
        <v>11</v>
      </c>
      <c r="BU3" s="342">
        <f t="shared" si="3"/>
        <v>12</v>
      </c>
      <c r="BV3" s="342">
        <f t="shared" si="3"/>
        <v>13</v>
      </c>
      <c r="BW3" s="342">
        <f t="shared" si="3"/>
        <v>14</v>
      </c>
      <c r="BX3" s="342">
        <f t="shared" si="3"/>
        <v>15</v>
      </c>
      <c r="BY3" s="342">
        <f t="shared" si="3"/>
        <v>16</v>
      </c>
      <c r="BZ3" s="342">
        <f t="shared" si="3"/>
        <v>17</v>
      </c>
      <c r="CA3" s="342">
        <f t="shared" si="3"/>
        <v>18</v>
      </c>
      <c r="CB3" s="342">
        <f t="shared" si="3"/>
        <v>19</v>
      </c>
      <c r="CC3" s="342">
        <f t="shared" si="3"/>
        <v>20</v>
      </c>
      <c r="CD3" s="342">
        <v>1.0</v>
      </c>
      <c r="CE3" s="342">
        <f t="shared" ref="CE3:CW3" si="4">CD3+1</f>
        <v>2</v>
      </c>
      <c r="CF3" s="342">
        <f t="shared" si="4"/>
        <v>3</v>
      </c>
      <c r="CG3" s="342">
        <f t="shared" si="4"/>
        <v>4</v>
      </c>
      <c r="CH3" s="342">
        <f t="shared" si="4"/>
        <v>5</v>
      </c>
      <c r="CI3" s="342">
        <f t="shared" si="4"/>
        <v>6</v>
      </c>
      <c r="CJ3" s="342">
        <f t="shared" si="4"/>
        <v>7</v>
      </c>
      <c r="CK3" s="342">
        <f t="shared" si="4"/>
        <v>8</v>
      </c>
      <c r="CL3" s="342">
        <f t="shared" si="4"/>
        <v>9</v>
      </c>
      <c r="CM3" s="342">
        <f t="shared" si="4"/>
        <v>10</v>
      </c>
      <c r="CN3" s="342">
        <f t="shared" si="4"/>
        <v>11</v>
      </c>
      <c r="CO3" s="342">
        <f t="shared" si="4"/>
        <v>12</v>
      </c>
      <c r="CP3" s="342">
        <f t="shared" si="4"/>
        <v>13</v>
      </c>
      <c r="CQ3" s="342">
        <f t="shared" si="4"/>
        <v>14</v>
      </c>
      <c r="CR3" s="342">
        <f t="shared" si="4"/>
        <v>15</v>
      </c>
      <c r="CS3" s="342">
        <f t="shared" si="4"/>
        <v>16</v>
      </c>
      <c r="CT3" s="342">
        <f t="shared" si="4"/>
        <v>17</v>
      </c>
      <c r="CU3" s="342">
        <f t="shared" si="4"/>
        <v>18</v>
      </c>
      <c r="CV3" s="342">
        <f t="shared" si="4"/>
        <v>19</v>
      </c>
      <c r="CW3" s="342">
        <f t="shared" si="4"/>
        <v>20</v>
      </c>
      <c r="CX3" s="342">
        <f>20</f>
        <v>20</v>
      </c>
      <c r="CY3" s="342">
        <v>1.0</v>
      </c>
      <c r="CZ3" s="342">
        <f t="shared" ref="CZ3:DR3" si="5">CY3+1</f>
        <v>2</v>
      </c>
      <c r="DA3" s="342">
        <f t="shared" si="5"/>
        <v>3</v>
      </c>
      <c r="DB3" s="342">
        <f t="shared" si="5"/>
        <v>4</v>
      </c>
      <c r="DC3" s="342">
        <f t="shared" si="5"/>
        <v>5</v>
      </c>
      <c r="DD3" s="342">
        <f t="shared" si="5"/>
        <v>6</v>
      </c>
      <c r="DE3" s="342">
        <f t="shared" si="5"/>
        <v>7</v>
      </c>
      <c r="DF3" s="342">
        <f t="shared" si="5"/>
        <v>8</v>
      </c>
      <c r="DG3" s="342">
        <f t="shared" si="5"/>
        <v>9</v>
      </c>
      <c r="DH3" s="342">
        <f t="shared" si="5"/>
        <v>10</v>
      </c>
      <c r="DI3" s="342">
        <f t="shared" si="5"/>
        <v>11</v>
      </c>
      <c r="DJ3" s="342">
        <f t="shared" si="5"/>
        <v>12</v>
      </c>
      <c r="DK3" s="342">
        <f t="shared" si="5"/>
        <v>13</v>
      </c>
      <c r="DL3" s="342">
        <f t="shared" si="5"/>
        <v>14</v>
      </c>
      <c r="DM3" s="342">
        <f t="shared" si="5"/>
        <v>15</v>
      </c>
      <c r="DN3" s="342">
        <f t="shared" si="5"/>
        <v>16</v>
      </c>
      <c r="DO3" s="342">
        <f t="shared" si="5"/>
        <v>17</v>
      </c>
      <c r="DP3" s="342">
        <f t="shared" si="5"/>
        <v>18</v>
      </c>
      <c r="DQ3" s="342">
        <f t="shared" si="5"/>
        <v>19</v>
      </c>
      <c r="DR3" s="342">
        <f t="shared" si="5"/>
        <v>20</v>
      </c>
      <c r="DS3" s="342">
        <f>20</f>
        <v>20</v>
      </c>
      <c r="DV3" s="342"/>
      <c r="DW3" s="342"/>
      <c r="DX3" s="342"/>
    </row>
    <row r="4" ht="15.0" customHeight="1">
      <c r="A4" s="574">
        <v>41284.0</v>
      </c>
      <c r="B4" s="575" t="s">
        <v>1237</v>
      </c>
      <c r="C4" s="576" t="s">
        <v>346</v>
      </c>
      <c r="D4" s="575"/>
      <c r="E4" s="577" t="str">
        <f>IFERROR(__xludf.DUMMYFUNCTION("if(and(D4&lt;&gt;0,D4&lt;&gt;""""),D4/GOOGLEFINANCE(C4,""price"")-1,"""")"),"")</f>
        <v/>
      </c>
      <c r="F4" s="578">
        <f>IFERROR(__xludf.DUMMYFUNCTION("GOOGLEFINANCE(C4,""price"")"),246.58)</f>
        <v>246.58</v>
      </c>
      <c r="G4" s="577">
        <f>IFERROR(__xludf.DUMMYFUNCTION("if(and(I4&lt;&gt;0,I4&lt;&gt;""""),I4/GOOGLEFINANCE(C4,""price"")-1,"""")"),-0.39167815719036425)</f>
        <v>-0.3916781572</v>
      </c>
      <c r="H4" s="579"/>
      <c r="I4" s="580">
        <v>150.0</v>
      </c>
      <c r="J4" s="575"/>
      <c r="K4" s="575"/>
      <c r="L4" s="575"/>
      <c r="M4" s="575"/>
      <c r="N4" s="575"/>
      <c r="O4" s="575"/>
      <c r="P4" s="575"/>
      <c r="Q4" s="575"/>
      <c r="R4" s="575"/>
      <c r="S4" s="575"/>
      <c r="T4" s="575"/>
      <c r="U4" s="581" t="s">
        <v>1779</v>
      </c>
      <c r="V4" s="582"/>
      <c r="W4" s="583"/>
      <c r="X4" s="584"/>
      <c r="Y4" s="584"/>
      <c r="Z4" s="584"/>
      <c r="AA4" s="584"/>
      <c r="AB4" s="584"/>
      <c r="AC4" s="584"/>
      <c r="AD4" s="584"/>
      <c r="AE4" s="584"/>
      <c r="AF4" s="584"/>
      <c r="AG4" s="584"/>
      <c r="AH4" s="584"/>
      <c r="AI4" s="584"/>
      <c r="AJ4" s="584"/>
      <c r="AK4" s="584"/>
      <c r="AL4" s="584"/>
      <c r="AM4" s="584"/>
      <c r="AN4" s="584"/>
      <c r="AO4" s="584"/>
      <c r="AP4" s="584"/>
      <c r="AQ4" s="584"/>
      <c r="AR4" s="584"/>
      <c r="AS4" s="584"/>
      <c r="AT4" s="584"/>
      <c r="AU4" s="584"/>
      <c r="AV4" s="584"/>
      <c r="AW4" s="584"/>
      <c r="AX4" s="584"/>
      <c r="AY4" s="584"/>
      <c r="AZ4" s="584"/>
      <c r="BA4" s="584"/>
      <c r="BB4" s="584"/>
      <c r="BC4" s="584"/>
      <c r="BD4" s="584"/>
      <c r="BE4" s="584"/>
      <c r="BF4" s="584"/>
      <c r="BG4" s="584"/>
      <c r="BH4" s="584"/>
      <c r="BI4" s="584"/>
      <c r="BJ4" s="584"/>
      <c r="BK4" s="584"/>
      <c r="BL4" s="584"/>
      <c r="BM4" s="584"/>
      <c r="BN4" s="584"/>
      <c r="BO4" s="584"/>
      <c r="BP4" s="584"/>
      <c r="BQ4" s="584"/>
      <c r="BR4" s="584"/>
      <c r="BS4" s="584"/>
      <c r="BT4" s="584"/>
      <c r="BU4" s="584"/>
      <c r="BV4" s="584"/>
      <c r="BW4" s="584"/>
      <c r="BX4" s="584"/>
      <c r="BY4" s="584"/>
      <c r="BZ4" s="584"/>
      <c r="CA4" s="584"/>
      <c r="CB4" s="584"/>
      <c r="CC4" s="584"/>
      <c r="CD4" s="584"/>
      <c r="CE4" s="584"/>
      <c r="CF4" s="584"/>
      <c r="CG4" s="584"/>
      <c r="CH4" s="584"/>
      <c r="CI4" s="584"/>
      <c r="CJ4" s="584"/>
      <c r="CK4" s="584"/>
      <c r="CL4" s="584"/>
      <c r="CM4" s="584"/>
      <c r="CN4" s="584"/>
      <c r="CO4" s="584"/>
      <c r="CP4" s="584"/>
      <c r="CQ4" s="584"/>
      <c r="CR4" s="584"/>
      <c r="CS4" s="584"/>
      <c r="CT4" s="584"/>
      <c r="CU4" s="584"/>
      <c r="CV4" s="584"/>
      <c r="CW4" s="584"/>
      <c r="CX4" s="584"/>
      <c r="CY4" s="584"/>
      <c r="CZ4" s="584"/>
      <c r="DA4" s="584"/>
      <c r="DB4" s="584"/>
      <c r="DC4" s="584"/>
      <c r="DD4" s="584"/>
      <c r="DE4" s="584"/>
      <c r="DF4" s="584"/>
      <c r="DG4" s="584"/>
      <c r="DH4" s="584"/>
      <c r="DI4" s="584"/>
      <c r="DJ4" s="584"/>
      <c r="DK4" s="584"/>
      <c r="DL4" s="584"/>
      <c r="DM4" s="584"/>
      <c r="DN4" s="584"/>
      <c r="DO4" s="584"/>
      <c r="DP4" s="584"/>
      <c r="DQ4" s="584"/>
      <c r="DR4" s="584"/>
      <c r="DS4" s="584"/>
      <c r="DT4" s="584"/>
      <c r="DU4" s="584"/>
      <c r="DV4" s="584"/>
      <c r="DW4" s="584"/>
      <c r="DX4" s="584"/>
    </row>
    <row r="5" ht="15.0" customHeight="1">
      <c r="A5" s="585">
        <v>41481.0</v>
      </c>
      <c r="B5" s="586" t="s">
        <v>1780</v>
      </c>
      <c r="C5" s="587" t="s">
        <v>1781</v>
      </c>
      <c r="D5" s="588">
        <v>11.0</v>
      </c>
      <c r="E5" s="589">
        <f>IFERROR(__xludf.DUMMYFUNCTION("if(and(D5&lt;&gt;0,D5&lt;&gt;""""),D5/GOOGLEFINANCE(C5,""price"")-1,"""")"),-0.5104583889630618)</f>
        <v>-0.510458389</v>
      </c>
      <c r="F5" s="590">
        <f>IFERROR(__xludf.DUMMYFUNCTION("GOOGLEFINANCE(C5,""price"")"),22.47)</f>
        <v>22.47</v>
      </c>
      <c r="G5" s="589">
        <f>IFERROR(__xludf.DUMMYFUNCTION("if(and(I5&lt;&gt;0,I5&lt;&gt;""""),I5/GOOGLEFINANCE(C5,""price"")-1,"""")"),-0.7774810858923008)</f>
        <v>-0.7774810859</v>
      </c>
      <c r="H5" s="591"/>
      <c r="I5" s="592">
        <v>5.0</v>
      </c>
      <c r="J5" s="586"/>
      <c r="K5" s="586"/>
      <c r="L5" s="586"/>
      <c r="M5" s="586"/>
      <c r="N5" s="586"/>
      <c r="O5" s="586"/>
      <c r="P5" s="588"/>
      <c r="Q5" s="588"/>
      <c r="R5" s="588"/>
      <c r="S5" s="588"/>
      <c r="T5" s="588"/>
      <c r="U5" s="593" t="s">
        <v>1782</v>
      </c>
      <c r="V5" s="594"/>
      <c r="W5" s="595"/>
      <c r="X5" s="596"/>
      <c r="Y5" s="596"/>
      <c r="Z5" s="596"/>
      <c r="AA5" s="596"/>
      <c r="AB5" s="596"/>
      <c r="AC5" s="596"/>
      <c r="AD5" s="596"/>
      <c r="AE5" s="596"/>
      <c r="AF5" s="596"/>
      <c r="AG5" s="596"/>
      <c r="AH5" s="596"/>
      <c r="AI5" s="596"/>
      <c r="AJ5" s="596"/>
      <c r="AK5" s="596"/>
      <c r="AL5" s="596"/>
      <c r="AM5" s="596"/>
      <c r="AN5" s="596"/>
      <c r="AO5" s="596"/>
      <c r="AP5" s="596"/>
      <c r="AQ5" s="596"/>
      <c r="AR5" s="596"/>
      <c r="AS5" s="596"/>
      <c r="AT5" s="596"/>
      <c r="AU5" s="596"/>
      <c r="AV5" s="596"/>
      <c r="AW5" s="596"/>
      <c r="AX5" s="596"/>
      <c r="AY5" s="596"/>
      <c r="AZ5" s="596"/>
      <c r="BA5" s="596"/>
      <c r="BB5" s="596"/>
      <c r="BC5" s="596"/>
      <c r="BD5" s="596"/>
      <c r="BE5" s="596"/>
      <c r="BF5" s="596"/>
      <c r="BG5" s="596"/>
      <c r="BH5" s="596"/>
      <c r="BI5" s="596"/>
      <c r="BJ5" s="596"/>
      <c r="BK5" s="596"/>
      <c r="BL5" s="596"/>
      <c r="BM5" s="596"/>
      <c r="BN5" s="596"/>
      <c r="BO5" s="596"/>
      <c r="BP5" s="596"/>
      <c r="BQ5" s="596"/>
      <c r="BR5" s="596"/>
      <c r="BS5" s="596"/>
      <c r="BT5" s="596"/>
      <c r="BU5" s="596"/>
      <c r="BV5" s="596"/>
      <c r="BW5" s="596"/>
      <c r="BX5" s="596"/>
      <c r="BY5" s="596"/>
      <c r="BZ5" s="596"/>
      <c r="CA5" s="596"/>
      <c r="CB5" s="596"/>
      <c r="CC5" s="596"/>
      <c r="CD5" s="596"/>
      <c r="CE5" s="596"/>
      <c r="CF5" s="596"/>
      <c r="CG5" s="596"/>
      <c r="CH5" s="596"/>
      <c r="CI5" s="596"/>
      <c r="CJ5" s="596"/>
      <c r="CK5" s="596"/>
      <c r="CL5" s="596"/>
      <c r="CM5" s="596"/>
      <c r="CN5" s="596"/>
      <c r="CO5" s="596"/>
      <c r="CP5" s="596"/>
      <c r="CQ5" s="596"/>
      <c r="CR5" s="596"/>
      <c r="CS5" s="596"/>
      <c r="CT5" s="596"/>
      <c r="CU5" s="596"/>
      <c r="CV5" s="596"/>
      <c r="CW5" s="596"/>
      <c r="CX5" s="596"/>
      <c r="CY5" s="596"/>
      <c r="CZ5" s="596"/>
      <c r="DA5" s="596"/>
      <c r="DB5" s="596"/>
      <c r="DC5" s="596"/>
      <c r="DD5" s="596"/>
      <c r="DE5" s="596"/>
      <c r="DF5" s="596"/>
      <c r="DG5" s="596"/>
      <c r="DH5" s="596"/>
      <c r="DI5" s="596"/>
      <c r="DJ5" s="596"/>
      <c r="DK5" s="596"/>
      <c r="DL5" s="596"/>
      <c r="DM5" s="596"/>
      <c r="DN5" s="596"/>
      <c r="DO5" s="596"/>
      <c r="DP5" s="596"/>
      <c r="DQ5" s="596"/>
      <c r="DR5" s="596"/>
      <c r="DS5" s="596"/>
      <c r="DT5" s="596"/>
      <c r="DU5" s="596"/>
      <c r="DV5" s="596"/>
      <c r="DW5" s="596"/>
      <c r="DX5" s="596"/>
    </row>
    <row r="6" ht="15.0" customHeight="1">
      <c r="A6" s="597">
        <v>43747.0</v>
      </c>
      <c r="B6" s="598" t="s">
        <v>1787</v>
      </c>
      <c r="C6" s="599" t="s">
        <v>1527</v>
      </c>
      <c r="D6" s="598">
        <v>90.0</v>
      </c>
      <c r="E6" s="589">
        <f>IFERROR(__xludf.DUMMYFUNCTION("if(and(D6&lt;&gt;0,D6&lt;&gt;""""),D6/GOOGLEFINANCE(C6,""price"")-1,"""")"),0.07681263460157939)</f>
        <v>0.0768126346</v>
      </c>
      <c r="F6" s="590">
        <f>IFERROR(__xludf.DUMMYFUNCTION("GOOGLEFINANCE(C6,""price"")"),83.58)</f>
        <v>83.58</v>
      </c>
      <c r="G6" s="589">
        <f>IFERROR(__xludf.DUMMYFUNCTION("if(and(I6&lt;&gt;0,I6&lt;&gt;""""),I6/GOOGLEFINANCE(C6,""price"")-1,"""")"),-0.9401770758554678)</f>
        <v>-0.9401770759</v>
      </c>
      <c r="H6" s="591"/>
      <c r="I6" s="592">
        <v>5.0</v>
      </c>
      <c r="J6" s="586"/>
      <c r="K6" s="586"/>
      <c r="L6" s="586"/>
      <c r="M6" s="586"/>
      <c r="N6" s="586"/>
      <c r="O6" s="586"/>
      <c r="P6" s="588"/>
      <c r="Q6" s="588"/>
      <c r="R6" s="588"/>
      <c r="S6" s="600">
        <v>43747.0</v>
      </c>
      <c r="T6" s="588"/>
      <c r="U6" s="601" t="s">
        <v>1793</v>
      </c>
      <c r="V6" s="594"/>
      <c r="W6" s="595"/>
      <c r="X6" s="596"/>
      <c r="Y6" s="596"/>
      <c r="Z6" s="596"/>
      <c r="AA6" s="596"/>
      <c r="AB6" s="596"/>
      <c r="AC6" s="596"/>
      <c r="AD6" s="596"/>
      <c r="AE6" s="596"/>
      <c r="AF6" s="596"/>
      <c r="AG6" s="596"/>
      <c r="AH6" s="596"/>
      <c r="AI6" s="596"/>
      <c r="AJ6" s="596"/>
      <c r="AK6" s="596"/>
      <c r="AL6" s="596"/>
      <c r="AM6" s="596"/>
      <c r="AN6" s="596"/>
      <c r="AO6" s="596"/>
      <c r="AP6" s="596"/>
      <c r="AQ6" s="596"/>
      <c r="AR6" s="596"/>
      <c r="AS6" s="596"/>
      <c r="AT6" s="596"/>
      <c r="AU6" s="596"/>
      <c r="AV6" s="596"/>
      <c r="AW6" s="596"/>
      <c r="AX6" s="596"/>
      <c r="AY6" s="596"/>
      <c r="AZ6" s="596"/>
      <c r="BA6" s="596"/>
      <c r="BB6" s="596"/>
      <c r="BC6" s="596"/>
      <c r="BD6" s="596"/>
      <c r="BE6" s="596"/>
      <c r="BF6" s="596"/>
      <c r="BG6" s="596"/>
      <c r="BH6" s="596"/>
      <c r="BI6" s="596"/>
      <c r="BJ6" s="596"/>
      <c r="BK6" s="596"/>
      <c r="BL6" s="596"/>
      <c r="BM6" s="596"/>
      <c r="BN6" s="596"/>
      <c r="BO6" s="596"/>
      <c r="BP6" s="596"/>
      <c r="BQ6" s="596"/>
      <c r="BR6" s="596"/>
      <c r="BS6" s="596"/>
      <c r="BT6" s="596"/>
      <c r="BU6" s="596"/>
      <c r="BV6" s="596"/>
      <c r="BW6" s="596"/>
      <c r="BX6" s="596"/>
      <c r="BY6" s="596"/>
      <c r="BZ6" s="596"/>
      <c r="CA6" s="596"/>
      <c r="CB6" s="596"/>
      <c r="CC6" s="596"/>
      <c r="CD6" s="596"/>
      <c r="CE6" s="596"/>
      <c r="CF6" s="596"/>
      <c r="CG6" s="596"/>
      <c r="CH6" s="596"/>
      <c r="CI6" s="596"/>
      <c r="CJ6" s="596"/>
      <c r="CK6" s="596"/>
      <c r="CL6" s="596"/>
      <c r="CM6" s="596"/>
      <c r="CN6" s="596"/>
      <c r="CO6" s="596"/>
      <c r="CP6" s="596"/>
      <c r="CQ6" s="596"/>
      <c r="CR6" s="596"/>
      <c r="CS6" s="596"/>
      <c r="CT6" s="596"/>
      <c r="CU6" s="596"/>
      <c r="CV6" s="596"/>
      <c r="CW6" s="596"/>
      <c r="CX6" s="596"/>
      <c r="CY6" s="596"/>
      <c r="CZ6" s="596"/>
      <c r="DA6" s="596"/>
      <c r="DB6" s="596"/>
      <c r="DC6" s="596"/>
      <c r="DD6" s="596"/>
      <c r="DE6" s="596"/>
      <c r="DF6" s="596"/>
      <c r="DG6" s="596"/>
      <c r="DH6" s="596"/>
      <c r="DI6" s="596"/>
      <c r="DJ6" s="596"/>
      <c r="DK6" s="596"/>
      <c r="DL6" s="596"/>
      <c r="DM6" s="596"/>
      <c r="DN6" s="596"/>
      <c r="DO6" s="596"/>
      <c r="DP6" s="596"/>
      <c r="DQ6" s="596"/>
      <c r="DR6" s="596"/>
      <c r="DS6" s="596"/>
      <c r="DT6" s="596"/>
      <c r="DU6" s="596"/>
      <c r="DV6" s="596"/>
      <c r="DW6" s="596"/>
      <c r="DX6" s="596"/>
    </row>
    <row r="7" ht="15.0" customHeight="1">
      <c r="A7" s="574">
        <v>41049.0</v>
      </c>
      <c r="B7" s="575" t="s">
        <v>1797</v>
      </c>
      <c r="C7" s="576" t="s">
        <v>1798</v>
      </c>
      <c r="D7" s="575"/>
      <c r="E7" s="577" t="str">
        <f>IFERROR(__xludf.DUMMYFUNCTION("if(and(D7&lt;&gt;0,D7&lt;&gt;""""),D7/GOOGLEFINANCE(C7,""price"")-1,"""")"),"")</f>
        <v/>
      </c>
      <c r="F7" s="578">
        <f>IFERROR(__xludf.DUMMYFUNCTION("GOOGLEFINANCE(C7,""price"")"),58.77)</f>
        <v>58.77</v>
      </c>
      <c r="G7" s="577" t="str">
        <f>IFERROR(__xludf.DUMMYFUNCTION("if(and(I7&lt;&gt;0,I7&lt;&gt;""""),I7/GOOGLEFINANCE(C7,""price"")-1,"""")"),"")</f>
        <v/>
      </c>
      <c r="H7" s="579"/>
      <c r="I7" s="580"/>
      <c r="J7" s="575"/>
      <c r="K7" s="575"/>
      <c r="L7" s="575"/>
      <c r="M7" s="575"/>
      <c r="N7" s="575"/>
      <c r="O7" s="575"/>
      <c r="P7" s="575"/>
      <c r="Q7" s="575"/>
      <c r="R7" s="575"/>
      <c r="S7" s="575"/>
      <c r="T7" s="575"/>
      <c r="U7" s="581"/>
      <c r="V7" s="582"/>
      <c r="W7" s="583"/>
      <c r="X7" s="584"/>
      <c r="Y7" s="584"/>
      <c r="Z7" s="584"/>
      <c r="AA7" s="584"/>
      <c r="AB7" s="584"/>
      <c r="AC7" s="584"/>
      <c r="AD7" s="584"/>
      <c r="AE7" s="584"/>
      <c r="AF7" s="584"/>
      <c r="AG7" s="584"/>
      <c r="AH7" s="584"/>
      <c r="AI7" s="584"/>
      <c r="AJ7" s="584"/>
      <c r="AK7" s="584"/>
      <c r="AL7" s="584"/>
      <c r="AM7" s="584"/>
      <c r="AN7" s="584"/>
      <c r="AO7" s="584"/>
      <c r="AP7" s="584"/>
      <c r="AQ7" s="584"/>
      <c r="AR7" s="584"/>
      <c r="AS7" s="584"/>
      <c r="AT7" s="584"/>
      <c r="AU7" s="584"/>
      <c r="AV7" s="584"/>
      <c r="AW7" s="584"/>
      <c r="AX7" s="584"/>
      <c r="AY7" s="584"/>
      <c r="AZ7" s="584"/>
      <c r="BA7" s="584"/>
      <c r="BB7" s="584"/>
      <c r="BC7" s="584"/>
      <c r="BD7" s="584"/>
      <c r="BE7" s="584"/>
      <c r="BF7" s="584"/>
      <c r="BG7" s="584"/>
      <c r="BH7" s="584"/>
      <c r="BI7" s="584"/>
      <c r="BJ7" s="584"/>
      <c r="BK7" s="584"/>
      <c r="BL7" s="584"/>
      <c r="BM7" s="584"/>
      <c r="BN7" s="584"/>
      <c r="BO7" s="584"/>
      <c r="BP7" s="584"/>
      <c r="BQ7" s="584"/>
      <c r="BR7" s="584"/>
      <c r="BS7" s="584"/>
      <c r="BT7" s="584"/>
      <c r="BU7" s="584"/>
      <c r="BV7" s="584"/>
      <c r="BW7" s="584"/>
      <c r="BX7" s="584"/>
      <c r="BY7" s="584"/>
      <c r="BZ7" s="584"/>
      <c r="CA7" s="584"/>
      <c r="CB7" s="584"/>
      <c r="CC7" s="584"/>
      <c r="CD7" s="584"/>
      <c r="CE7" s="584"/>
      <c r="CF7" s="584"/>
      <c r="CG7" s="584"/>
      <c r="CH7" s="584"/>
      <c r="CI7" s="584"/>
      <c r="CJ7" s="584"/>
      <c r="CK7" s="584"/>
      <c r="CL7" s="584"/>
      <c r="CM7" s="584"/>
      <c r="CN7" s="584"/>
      <c r="CO7" s="584"/>
      <c r="CP7" s="584"/>
      <c r="CQ7" s="584"/>
      <c r="CR7" s="584"/>
      <c r="CS7" s="584"/>
      <c r="CT7" s="584"/>
      <c r="CU7" s="584"/>
      <c r="CV7" s="584"/>
      <c r="CW7" s="584"/>
      <c r="CX7" s="584"/>
      <c r="CY7" s="584"/>
      <c r="CZ7" s="584"/>
      <c r="DA7" s="584"/>
      <c r="DB7" s="584"/>
      <c r="DC7" s="584"/>
      <c r="DD7" s="584"/>
      <c r="DE7" s="584"/>
      <c r="DF7" s="584"/>
      <c r="DG7" s="584"/>
      <c r="DH7" s="584"/>
      <c r="DI7" s="584"/>
      <c r="DJ7" s="584"/>
      <c r="DK7" s="584"/>
      <c r="DL7" s="584"/>
      <c r="DM7" s="584"/>
      <c r="DN7" s="584"/>
      <c r="DO7" s="584"/>
      <c r="DP7" s="584"/>
      <c r="DQ7" s="584"/>
      <c r="DR7" s="584"/>
      <c r="DS7" s="584"/>
      <c r="DT7" s="584"/>
      <c r="DU7" s="584"/>
      <c r="DV7" s="584"/>
      <c r="DW7" s="584"/>
      <c r="DX7" s="584"/>
    </row>
    <row r="8" ht="15.0" customHeight="1">
      <c r="A8" s="574">
        <v>41517.0</v>
      </c>
      <c r="B8" s="575" t="s">
        <v>1803</v>
      </c>
      <c r="C8" s="576" t="s">
        <v>1804</v>
      </c>
      <c r="D8" s="575"/>
      <c r="E8" s="577" t="str">
        <f>IFERROR(__xludf.DUMMYFUNCTION("if(and(D8&lt;&gt;0,D8&lt;&gt;""""),D8/GOOGLEFINANCE(C8,""price"")-1,"""")"),"")</f>
        <v/>
      </c>
      <c r="F8" s="578">
        <f>IFERROR(__xludf.DUMMYFUNCTION("GOOGLEFINANCE(C8,""price"")"),26.25)</f>
        <v>26.25</v>
      </c>
      <c r="G8" s="577" t="str">
        <f>IFERROR(__xludf.DUMMYFUNCTION("if(and(I8&lt;&gt;0,I8&lt;&gt;""""),I8/GOOGLEFINANCE(C8,""price"")-1,"""")"),"")</f>
        <v/>
      </c>
      <c r="H8" s="579"/>
      <c r="I8" s="580"/>
      <c r="J8" s="575"/>
      <c r="K8" s="575"/>
      <c r="L8" s="575"/>
      <c r="M8" s="575"/>
      <c r="N8" s="575"/>
      <c r="O8" s="575"/>
      <c r="P8" s="575"/>
      <c r="Q8" s="575"/>
      <c r="R8" s="575"/>
      <c r="S8" s="575"/>
      <c r="T8" s="575"/>
      <c r="U8" s="581" t="s">
        <v>1807</v>
      </c>
      <c r="V8" s="582"/>
      <c r="W8" s="583"/>
      <c r="X8" s="584"/>
      <c r="Y8" s="584"/>
      <c r="Z8" s="584"/>
      <c r="AA8" s="584"/>
      <c r="AB8" s="584"/>
      <c r="AC8" s="584"/>
      <c r="AD8" s="584"/>
      <c r="AE8" s="584"/>
      <c r="AF8" s="584"/>
      <c r="AG8" s="584"/>
      <c r="AH8" s="584"/>
      <c r="AI8" s="584"/>
      <c r="AJ8" s="584"/>
      <c r="AK8" s="584"/>
      <c r="AL8" s="584"/>
      <c r="AM8" s="584"/>
      <c r="AN8" s="584"/>
      <c r="AO8" s="584"/>
      <c r="AP8" s="584"/>
      <c r="AQ8" s="584"/>
      <c r="AR8" s="584"/>
      <c r="AS8" s="584"/>
      <c r="AT8" s="584"/>
      <c r="AU8" s="584"/>
      <c r="AV8" s="584"/>
      <c r="AW8" s="584"/>
      <c r="AX8" s="584"/>
      <c r="AY8" s="584"/>
      <c r="AZ8" s="584"/>
      <c r="BA8" s="584"/>
      <c r="BB8" s="584"/>
      <c r="BC8" s="584"/>
      <c r="BD8" s="584"/>
      <c r="BE8" s="584"/>
      <c r="BF8" s="584"/>
      <c r="BG8" s="584"/>
      <c r="BH8" s="584"/>
      <c r="BI8" s="584"/>
      <c r="BJ8" s="584"/>
      <c r="BK8" s="584"/>
      <c r="BL8" s="584"/>
      <c r="BM8" s="584"/>
      <c r="BN8" s="584"/>
      <c r="BO8" s="584"/>
      <c r="BP8" s="584"/>
      <c r="BQ8" s="584"/>
      <c r="BR8" s="584"/>
      <c r="BS8" s="584"/>
      <c r="BT8" s="584"/>
      <c r="BU8" s="584"/>
      <c r="BV8" s="584"/>
      <c r="BW8" s="584"/>
      <c r="BX8" s="584"/>
      <c r="BY8" s="584"/>
      <c r="BZ8" s="584"/>
      <c r="CA8" s="584"/>
      <c r="CB8" s="584"/>
      <c r="CC8" s="584"/>
      <c r="CD8" s="584"/>
      <c r="CE8" s="584"/>
      <c r="CF8" s="584"/>
      <c r="CG8" s="584"/>
      <c r="CH8" s="584"/>
      <c r="CI8" s="584"/>
      <c r="CJ8" s="584"/>
      <c r="CK8" s="584"/>
      <c r="CL8" s="584"/>
      <c r="CM8" s="584"/>
      <c r="CN8" s="584"/>
      <c r="CO8" s="584"/>
      <c r="CP8" s="584"/>
      <c r="CQ8" s="584"/>
      <c r="CR8" s="584"/>
      <c r="CS8" s="584"/>
      <c r="CT8" s="584"/>
      <c r="CU8" s="584"/>
      <c r="CV8" s="584"/>
      <c r="CW8" s="584"/>
      <c r="CX8" s="584"/>
      <c r="CY8" s="584"/>
      <c r="CZ8" s="584"/>
      <c r="DA8" s="584"/>
      <c r="DB8" s="584"/>
      <c r="DC8" s="584"/>
      <c r="DD8" s="584"/>
      <c r="DE8" s="584"/>
      <c r="DF8" s="584"/>
      <c r="DG8" s="584"/>
      <c r="DH8" s="584"/>
      <c r="DI8" s="584"/>
      <c r="DJ8" s="584"/>
      <c r="DK8" s="584"/>
      <c r="DL8" s="584"/>
      <c r="DM8" s="584"/>
      <c r="DN8" s="584"/>
      <c r="DO8" s="584"/>
      <c r="DP8" s="584"/>
      <c r="DQ8" s="584"/>
      <c r="DR8" s="584"/>
      <c r="DS8" s="584"/>
      <c r="DT8" s="584"/>
      <c r="DU8" s="584"/>
      <c r="DV8" s="584"/>
      <c r="DW8" s="584"/>
      <c r="DX8" s="584"/>
    </row>
    <row r="9" ht="15.0" customHeight="1">
      <c r="A9" s="585">
        <v>41074.0</v>
      </c>
      <c r="B9" s="586" t="s">
        <v>1810</v>
      </c>
      <c r="C9" s="587" t="s">
        <v>441</v>
      </c>
      <c r="D9" s="586"/>
      <c r="E9" s="589" t="str">
        <f>IFERROR(__xludf.DUMMYFUNCTION("if(and(D9&lt;&gt;0,D9&lt;&gt;""""),D9/GOOGLEFINANCE(C9,""price"")-1,"""")"),"")</f>
        <v/>
      </c>
      <c r="F9" s="590">
        <f>IFERROR(__xludf.DUMMYFUNCTION("GOOGLEFINANCE(C9,""price"")"),0.22)</f>
        <v>0.22</v>
      </c>
      <c r="G9" s="589">
        <f>IFERROR(__xludf.DUMMYFUNCTION("if(and(I9&lt;&gt;0,I9&lt;&gt;""""),I9/GOOGLEFINANCE(C9,""price"")-1,"""")"),1.272727272727273)</f>
        <v>1.272727273</v>
      </c>
      <c r="H9" s="591"/>
      <c r="I9" s="602">
        <v>0.5</v>
      </c>
      <c r="J9" s="586"/>
      <c r="K9" s="586"/>
      <c r="L9" s="586"/>
      <c r="M9" s="586"/>
      <c r="N9" s="586"/>
      <c r="O9" s="586"/>
      <c r="P9" s="586"/>
      <c r="Q9" s="586"/>
      <c r="R9" s="586"/>
      <c r="S9" s="586"/>
      <c r="T9" s="586"/>
      <c r="U9" s="603" t="s">
        <v>1814</v>
      </c>
      <c r="V9" s="604"/>
      <c r="W9" s="605"/>
      <c r="X9" s="606"/>
      <c r="Y9" s="606"/>
      <c r="Z9" s="606"/>
      <c r="AA9" s="606"/>
      <c r="AB9" s="606"/>
      <c r="AC9" s="606"/>
      <c r="AD9" s="606"/>
      <c r="AE9" s="606"/>
      <c r="AF9" s="606"/>
      <c r="AG9" s="606"/>
      <c r="AH9" s="606"/>
      <c r="AI9" s="606"/>
      <c r="AJ9" s="606"/>
      <c r="AK9" s="606"/>
      <c r="AL9" s="606"/>
      <c r="AM9" s="606"/>
      <c r="AN9" s="606"/>
      <c r="AO9" s="606"/>
      <c r="AP9" s="606"/>
      <c r="AQ9" s="606"/>
      <c r="AR9" s="606"/>
      <c r="AS9" s="606"/>
      <c r="AT9" s="606"/>
      <c r="AU9" s="606"/>
      <c r="AV9" s="606"/>
      <c r="AW9" s="606"/>
      <c r="AX9" s="606"/>
      <c r="AY9" s="606"/>
      <c r="AZ9" s="606"/>
      <c r="BA9" s="606"/>
      <c r="BB9" s="606"/>
      <c r="BC9" s="606"/>
      <c r="BD9" s="606"/>
      <c r="BE9" s="606"/>
      <c r="BF9" s="606"/>
      <c r="BG9" s="606"/>
      <c r="BH9" s="606"/>
      <c r="BI9" s="606"/>
      <c r="BJ9" s="606"/>
      <c r="BK9" s="606"/>
      <c r="BL9" s="606"/>
      <c r="BM9" s="606"/>
      <c r="BN9" s="606"/>
      <c r="BO9" s="606"/>
      <c r="BP9" s="606"/>
      <c r="BQ9" s="606"/>
      <c r="BR9" s="606"/>
      <c r="BS9" s="606"/>
      <c r="BT9" s="606"/>
      <c r="BU9" s="606"/>
      <c r="BV9" s="606"/>
      <c r="BW9" s="606"/>
      <c r="BX9" s="606"/>
      <c r="BY9" s="606"/>
      <c r="BZ9" s="606"/>
      <c r="CA9" s="606"/>
      <c r="CB9" s="606"/>
      <c r="CC9" s="606"/>
      <c r="CD9" s="606"/>
      <c r="CE9" s="606"/>
      <c r="CF9" s="606"/>
      <c r="CG9" s="606"/>
      <c r="CH9" s="606"/>
      <c r="CI9" s="606"/>
      <c r="CJ9" s="606"/>
      <c r="CK9" s="606"/>
      <c r="CL9" s="606"/>
      <c r="CM9" s="606"/>
      <c r="CN9" s="606"/>
      <c r="CO9" s="606"/>
      <c r="CP9" s="606"/>
      <c r="CQ9" s="606"/>
      <c r="CR9" s="606"/>
      <c r="CS9" s="606"/>
      <c r="CT9" s="606"/>
      <c r="CU9" s="606"/>
      <c r="CV9" s="606"/>
      <c r="CW9" s="606"/>
      <c r="CX9" s="606"/>
      <c r="CY9" s="606"/>
      <c r="CZ9" s="606"/>
      <c r="DA9" s="606"/>
      <c r="DB9" s="606"/>
      <c r="DC9" s="606"/>
      <c r="DD9" s="606"/>
      <c r="DE9" s="606"/>
      <c r="DF9" s="606"/>
      <c r="DG9" s="606"/>
      <c r="DH9" s="606"/>
      <c r="DI9" s="606"/>
      <c r="DJ9" s="606"/>
      <c r="DK9" s="606"/>
      <c r="DL9" s="606"/>
      <c r="DM9" s="606"/>
      <c r="DN9" s="606"/>
      <c r="DO9" s="606"/>
      <c r="DP9" s="606"/>
      <c r="DQ9" s="606"/>
      <c r="DR9" s="606"/>
      <c r="DS9" s="606"/>
      <c r="DT9" s="606"/>
      <c r="DU9" s="606"/>
      <c r="DV9" s="606"/>
      <c r="DW9" s="606"/>
      <c r="DX9" s="606"/>
    </row>
    <row r="10" ht="15.0" customHeight="1">
      <c r="A10" s="607">
        <v>42386.0</v>
      </c>
      <c r="B10" s="608" t="s">
        <v>1815</v>
      </c>
      <c r="C10" s="609" t="s">
        <v>1816</v>
      </c>
      <c r="D10" s="608">
        <v>45.0</v>
      </c>
      <c r="E10" s="577">
        <f>IFERROR(__xludf.DUMMYFUNCTION("if(and(D10&lt;&gt;0,D10&lt;&gt;""""),D10/GOOGLEFINANCE(C10,""price"")-1,"""")"),1.0389669234254644)</f>
        <v>1.038966923</v>
      </c>
      <c r="F10" s="578">
        <f>IFERROR(__xludf.DUMMYFUNCTION("GOOGLEFINANCE(C10,""price"")"),22.07)</f>
        <v>22.07</v>
      </c>
      <c r="G10" s="577">
        <f>IFERROR(__xludf.DUMMYFUNCTION("if(and(I10&lt;&gt;0,I10&lt;&gt;""""),I10/GOOGLEFINANCE(C10,""price"")-1,"""")"),-0.7734481196193929)</f>
        <v>-0.7734481196</v>
      </c>
      <c r="H10" s="579"/>
      <c r="I10" s="610">
        <v>5.0</v>
      </c>
      <c r="J10" s="575"/>
      <c r="K10" s="575"/>
      <c r="L10" s="575"/>
      <c r="M10" s="575"/>
      <c r="N10" s="575"/>
      <c r="O10" s="575"/>
      <c r="P10" s="575"/>
      <c r="Q10" s="575"/>
      <c r="R10" s="575"/>
      <c r="S10" s="575"/>
      <c r="T10" s="575"/>
      <c r="U10" s="581"/>
      <c r="V10" s="582"/>
      <c r="W10" s="583"/>
      <c r="X10" s="584"/>
      <c r="Y10" s="584"/>
      <c r="Z10" s="584"/>
      <c r="AA10" s="584"/>
      <c r="AB10" s="584"/>
      <c r="AC10" s="584"/>
      <c r="AD10" s="584"/>
      <c r="AE10" s="584"/>
      <c r="AF10" s="584"/>
      <c r="AG10" s="584"/>
      <c r="AH10" s="584"/>
      <c r="AI10" s="584"/>
      <c r="AJ10" s="584"/>
      <c r="AK10" s="584"/>
      <c r="AL10" s="584"/>
      <c r="AM10" s="584"/>
      <c r="AN10" s="584"/>
      <c r="AO10" s="584"/>
      <c r="AP10" s="584"/>
      <c r="AQ10" s="584"/>
      <c r="AR10" s="584"/>
      <c r="AS10" s="584"/>
      <c r="AT10" s="584"/>
      <c r="AU10" s="584"/>
      <c r="AV10" s="584"/>
      <c r="AW10" s="584"/>
      <c r="AX10" s="584"/>
      <c r="AY10" s="584"/>
      <c r="AZ10" s="584"/>
      <c r="BA10" s="584"/>
      <c r="BB10" s="584"/>
      <c r="BC10" s="584"/>
      <c r="BD10" s="584"/>
      <c r="BE10" s="584"/>
      <c r="BF10" s="584"/>
      <c r="BG10" s="584"/>
      <c r="BH10" s="584"/>
      <c r="BI10" s="584"/>
      <c r="BJ10" s="584"/>
      <c r="BK10" s="584"/>
      <c r="BL10" s="584"/>
      <c r="BM10" s="584"/>
      <c r="BN10" s="584"/>
      <c r="BO10" s="584"/>
      <c r="BP10" s="584"/>
      <c r="BQ10" s="584"/>
      <c r="BR10" s="584"/>
      <c r="BS10" s="584"/>
      <c r="BT10" s="584"/>
      <c r="BU10" s="584"/>
      <c r="BV10" s="584"/>
      <c r="BW10" s="584"/>
      <c r="BX10" s="584"/>
      <c r="BY10" s="584"/>
      <c r="BZ10" s="584"/>
      <c r="CA10" s="584"/>
      <c r="CB10" s="584"/>
      <c r="CC10" s="584"/>
      <c r="CD10" s="584"/>
      <c r="CE10" s="584"/>
      <c r="CF10" s="584"/>
      <c r="CG10" s="584"/>
      <c r="CH10" s="584"/>
      <c r="CI10" s="584"/>
      <c r="CJ10" s="584"/>
      <c r="CK10" s="584"/>
      <c r="CL10" s="584"/>
      <c r="CM10" s="584"/>
      <c r="CN10" s="584"/>
      <c r="CO10" s="584"/>
      <c r="CP10" s="584"/>
      <c r="CQ10" s="584"/>
      <c r="CR10" s="584"/>
      <c r="CS10" s="584"/>
      <c r="CT10" s="584"/>
      <c r="CU10" s="584"/>
      <c r="CV10" s="584"/>
      <c r="CW10" s="584"/>
      <c r="CX10" s="584"/>
      <c r="CY10" s="584"/>
      <c r="CZ10" s="584"/>
      <c r="DA10" s="584"/>
      <c r="DB10" s="584"/>
      <c r="DC10" s="584"/>
      <c r="DD10" s="584"/>
      <c r="DE10" s="584"/>
      <c r="DF10" s="584"/>
      <c r="DG10" s="584"/>
      <c r="DH10" s="584"/>
      <c r="DI10" s="584"/>
      <c r="DJ10" s="584"/>
      <c r="DK10" s="584"/>
      <c r="DL10" s="584"/>
      <c r="DM10" s="584"/>
      <c r="DN10" s="584"/>
      <c r="DO10" s="584"/>
      <c r="DP10" s="584"/>
      <c r="DQ10" s="584"/>
      <c r="DR10" s="584"/>
      <c r="DS10" s="584"/>
      <c r="DT10" s="584"/>
      <c r="DU10" s="584"/>
      <c r="DV10" s="584"/>
      <c r="DW10" s="584"/>
      <c r="DX10" s="584"/>
    </row>
    <row r="11" ht="15.0" customHeight="1">
      <c r="A11" s="611">
        <v>42313.0</v>
      </c>
      <c r="B11" s="588" t="s">
        <v>1820</v>
      </c>
      <c r="C11" s="612" t="s">
        <v>1821</v>
      </c>
      <c r="D11" s="588">
        <v>30.0</v>
      </c>
      <c r="E11" s="589">
        <f>IFERROR(__xludf.DUMMYFUNCTION("if(and(D11&lt;&gt;0,D11&lt;&gt;""""),D11/GOOGLEFINANCE(C11,""price"")-1,"""")"),10.07011070110701)</f>
        <v>10.0701107</v>
      </c>
      <c r="F11" s="590">
        <f>IFERROR(__xludf.DUMMYFUNCTION("GOOGLEFINANCE(C11,""price"")"),2.71)</f>
        <v>2.71</v>
      </c>
      <c r="G11" s="589">
        <f>IFERROR(__xludf.DUMMYFUNCTION("if(and(I11&lt;&gt;0,I11&lt;&gt;""""),I11/GOOGLEFINANCE(C11,""price"")-1,"""")"),0.845018450184502)</f>
        <v>0.8450184502</v>
      </c>
      <c r="H11" s="591"/>
      <c r="I11" s="592">
        <v>5.0</v>
      </c>
      <c r="J11" s="586"/>
      <c r="K11" s="586"/>
      <c r="L11" s="586"/>
      <c r="M11" s="586"/>
      <c r="N11" s="586"/>
      <c r="O11" s="586"/>
      <c r="P11" s="586"/>
      <c r="Q11" s="586"/>
      <c r="R11" s="586"/>
      <c r="S11" s="586"/>
      <c r="T11" s="586"/>
      <c r="U11" s="603"/>
      <c r="V11" s="604"/>
      <c r="W11" s="605"/>
      <c r="X11" s="606"/>
      <c r="Y11" s="606"/>
      <c r="Z11" s="606"/>
      <c r="AA11" s="606"/>
      <c r="AB11" s="606"/>
      <c r="AC11" s="606"/>
      <c r="AD11" s="606"/>
      <c r="AE11" s="606"/>
      <c r="AF11" s="606"/>
      <c r="AG11" s="606"/>
      <c r="AH11" s="606"/>
      <c r="AI11" s="606"/>
      <c r="AJ11" s="606"/>
      <c r="AK11" s="606"/>
      <c r="AL11" s="606"/>
      <c r="AM11" s="606"/>
      <c r="AN11" s="606"/>
      <c r="AO11" s="606"/>
      <c r="AP11" s="606"/>
      <c r="AQ11" s="606"/>
      <c r="AR11" s="606"/>
      <c r="AS11" s="606"/>
      <c r="AT11" s="606"/>
      <c r="AU11" s="606"/>
      <c r="AV11" s="606"/>
      <c r="AW11" s="606"/>
      <c r="AX11" s="606"/>
      <c r="AY11" s="606"/>
      <c r="AZ11" s="606"/>
      <c r="BA11" s="606"/>
      <c r="BB11" s="606"/>
      <c r="BC11" s="606"/>
      <c r="BD11" s="606"/>
      <c r="BE11" s="606"/>
      <c r="BF11" s="606"/>
      <c r="BG11" s="606"/>
      <c r="BH11" s="606"/>
      <c r="BI11" s="606"/>
      <c r="BJ11" s="606"/>
      <c r="BK11" s="606"/>
      <c r="BL11" s="606"/>
      <c r="BM11" s="606"/>
      <c r="BN11" s="606"/>
      <c r="BO11" s="606"/>
      <c r="BP11" s="606"/>
      <c r="BQ11" s="606"/>
      <c r="BR11" s="606"/>
      <c r="BS11" s="606"/>
      <c r="BT11" s="606"/>
      <c r="BU11" s="606"/>
      <c r="BV11" s="606"/>
      <c r="BW11" s="606"/>
      <c r="BX11" s="606"/>
      <c r="BY11" s="606"/>
      <c r="BZ11" s="606"/>
      <c r="CA11" s="606"/>
      <c r="CB11" s="606"/>
      <c r="CC11" s="606"/>
      <c r="CD11" s="606"/>
      <c r="CE11" s="606"/>
      <c r="CF11" s="606"/>
      <c r="CG11" s="606"/>
      <c r="CH11" s="606"/>
      <c r="CI11" s="606"/>
      <c r="CJ11" s="606"/>
      <c r="CK11" s="606"/>
      <c r="CL11" s="606"/>
      <c r="CM11" s="606"/>
      <c r="CN11" s="606"/>
      <c r="CO11" s="606"/>
      <c r="CP11" s="606"/>
      <c r="CQ11" s="606"/>
      <c r="CR11" s="606"/>
      <c r="CS11" s="606"/>
      <c r="CT11" s="606"/>
      <c r="CU11" s="606"/>
      <c r="CV11" s="606"/>
      <c r="CW11" s="606"/>
      <c r="CX11" s="606"/>
      <c r="CY11" s="606"/>
      <c r="CZ11" s="606"/>
      <c r="DA11" s="606"/>
      <c r="DB11" s="606"/>
      <c r="DC11" s="606"/>
      <c r="DD11" s="606"/>
      <c r="DE11" s="606"/>
      <c r="DF11" s="606"/>
      <c r="DG11" s="606"/>
      <c r="DH11" s="606"/>
      <c r="DI11" s="606"/>
      <c r="DJ11" s="606"/>
      <c r="DK11" s="606"/>
      <c r="DL11" s="606"/>
      <c r="DM11" s="606"/>
      <c r="DN11" s="606"/>
      <c r="DO11" s="606"/>
      <c r="DP11" s="606"/>
      <c r="DQ11" s="606"/>
      <c r="DR11" s="606"/>
      <c r="DS11" s="606"/>
      <c r="DT11" s="606"/>
      <c r="DU11" s="606"/>
      <c r="DV11" s="606"/>
      <c r="DW11" s="606"/>
      <c r="DX11" s="606"/>
    </row>
    <row r="12" ht="15.0" customHeight="1">
      <c r="A12" s="607">
        <v>42401.0</v>
      </c>
      <c r="B12" s="608" t="s">
        <v>1823</v>
      </c>
      <c r="C12" s="609" t="s">
        <v>1823</v>
      </c>
      <c r="D12" s="608">
        <v>30.0</v>
      </c>
      <c r="E12" s="577">
        <f>IFERROR(__xludf.DUMMYFUNCTION("if(and(D12&lt;&gt;0,D12&lt;&gt;""""),D12/GOOGLEFINANCE(C12,""price"")-1,"""")"),-0.39049167005282404)</f>
        <v>-0.3904916701</v>
      </c>
      <c r="F12" s="578">
        <f>IFERROR(__xludf.DUMMYFUNCTION("GOOGLEFINANCE(C12,""price"")"),49.22)</f>
        <v>49.22</v>
      </c>
      <c r="G12" s="577">
        <f>IFERROR(__xludf.DUMMYFUNCTION("if(and(I12&lt;&gt;0,I12&lt;&gt;""""),I12/GOOGLEFINANCE(C12,""price"")-1,"""")"),-0.8984152783421373)</f>
        <v>-0.8984152783</v>
      </c>
      <c r="H12" s="579"/>
      <c r="I12" s="610">
        <v>5.0</v>
      </c>
      <c r="J12" s="579"/>
      <c r="K12" s="579"/>
      <c r="L12" s="579"/>
      <c r="M12" s="579"/>
      <c r="N12" s="579"/>
      <c r="O12" s="575"/>
      <c r="P12" s="608"/>
      <c r="Q12" s="608"/>
      <c r="R12" s="608"/>
      <c r="S12" s="608"/>
      <c r="T12" s="608"/>
      <c r="U12" s="613" t="s">
        <v>1825</v>
      </c>
      <c r="V12" s="614"/>
      <c r="W12" s="615"/>
      <c r="X12" s="616"/>
      <c r="Y12" s="616"/>
      <c r="Z12" s="616"/>
      <c r="AA12" s="616"/>
      <c r="AB12" s="616"/>
      <c r="AC12" s="616"/>
      <c r="AD12" s="616"/>
      <c r="AE12" s="616"/>
      <c r="AF12" s="616"/>
      <c r="AG12" s="616"/>
      <c r="AH12" s="616"/>
      <c r="AI12" s="616"/>
      <c r="AJ12" s="616"/>
      <c r="AK12" s="616"/>
      <c r="AL12" s="616"/>
      <c r="AM12" s="616"/>
      <c r="AN12" s="616"/>
      <c r="AO12" s="616"/>
      <c r="AP12" s="616"/>
      <c r="AQ12" s="616"/>
      <c r="AR12" s="616"/>
      <c r="AS12" s="616"/>
      <c r="AT12" s="616"/>
      <c r="AU12" s="616"/>
      <c r="AV12" s="616"/>
      <c r="AW12" s="616"/>
      <c r="AX12" s="616"/>
      <c r="AY12" s="616"/>
      <c r="AZ12" s="616"/>
      <c r="BA12" s="616"/>
      <c r="BB12" s="616"/>
      <c r="BC12" s="616"/>
      <c r="BD12" s="616"/>
      <c r="BE12" s="616"/>
      <c r="BF12" s="616"/>
      <c r="BG12" s="616"/>
      <c r="BH12" s="616"/>
      <c r="BI12" s="616"/>
      <c r="BJ12" s="616"/>
      <c r="BK12" s="616"/>
      <c r="BL12" s="616"/>
      <c r="BM12" s="616"/>
      <c r="BN12" s="616"/>
      <c r="BO12" s="616"/>
      <c r="BP12" s="616"/>
      <c r="BQ12" s="616"/>
      <c r="BR12" s="616"/>
      <c r="BS12" s="616"/>
      <c r="BT12" s="616"/>
      <c r="BU12" s="616"/>
      <c r="BV12" s="616"/>
      <c r="BW12" s="616"/>
      <c r="BX12" s="616"/>
      <c r="BY12" s="616"/>
      <c r="BZ12" s="616"/>
      <c r="CA12" s="616"/>
      <c r="CB12" s="616"/>
      <c r="CC12" s="616"/>
      <c r="CD12" s="616"/>
      <c r="CE12" s="616"/>
      <c r="CF12" s="616"/>
      <c r="CG12" s="616"/>
      <c r="CH12" s="616"/>
      <c r="CI12" s="616"/>
      <c r="CJ12" s="616"/>
      <c r="CK12" s="616"/>
      <c r="CL12" s="616"/>
      <c r="CM12" s="616"/>
      <c r="CN12" s="616"/>
      <c r="CO12" s="616"/>
      <c r="CP12" s="616"/>
      <c r="CQ12" s="616"/>
      <c r="CR12" s="616"/>
      <c r="CS12" s="616"/>
      <c r="CT12" s="616"/>
      <c r="CU12" s="616"/>
      <c r="CV12" s="616"/>
      <c r="CW12" s="616"/>
      <c r="CX12" s="616"/>
      <c r="CY12" s="616"/>
      <c r="CZ12" s="616"/>
      <c r="DA12" s="616"/>
      <c r="DB12" s="616"/>
      <c r="DC12" s="616"/>
      <c r="DD12" s="616"/>
      <c r="DE12" s="616"/>
      <c r="DF12" s="616"/>
      <c r="DG12" s="616"/>
      <c r="DH12" s="616"/>
      <c r="DI12" s="616"/>
      <c r="DJ12" s="616"/>
      <c r="DK12" s="616"/>
      <c r="DL12" s="616"/>
      <c r="DM12" s="616"/>
      <c r="DN12" s="616"/>
      <c r="DO12" s="616"/>
      <c r="DP12" s="616"/>
      <c r="DQ12" s="616"/>
      <c r="DR12" s="616"/>
      <c r="DS12" s="616"/>
      <c r="DT12" s="616"/>
      <c r="DU12" s="616"/>
      <c r="DV12" s="616"/>
      <c r="DW12" s="616"/>
      <c r="DX12" s="616"/>
    </row>
    <row r="13" ht="15.0" customHeight="1">
      <c r="A13" s="585">
        <v>41014.0</v>
      </c>
      <c r="B13" s="586" t="s">
        <v>1827</v>
      </c>
      <c r="C13" s="587" t="s">
        <v>1537</v>
      </c>
      <c r="D13" s="598">
        <v>25.0</v>
      </c>
      <c r="E13" s="589">
        <f>IFERROR(__xludf.DUMMYFUNCTION("if(and(D13&lt;&gt;0,D13&lt;&gt;""""),D13/GOOGLEFINANCE(C13,""price"")-1,"""")"),0.5862944162436547)</f>
        <v>0.5862944162</v>
      </c>
      <c r="F13" s="590">
        <f>IFERROR(__xludf.DUMMYFUNCTION("GOOGLEFINANCE(C13,""price"")"),15.76)</f>
        <v>15.76</v>
      </c>
      <c r="G13" s="589">
        <f>IFERROR(__xludf.DUMMYFUNCTION("if(and(I13&lt;&gt;0,I13&lt;&gt;""""),I13/GOOGLEFINANCE(C13,""price"")-1,"""")"),-0.8120007524045321)</f>
        <v>-0.8120007524</v>
      </c>
      <c r="H13" s="591"/>
      <c r="I13" s="592">
        <f>sum(CY13:DS13)</f>
        <v>2.962868142</v>
      </c>
      <c r="J13" s="617">
        <v>1.12</v>
      </c>
      <c r="K13" s="617">
        <v>0.0</v>
      </c>
      <c r="L13" s="618">
        <v>43830.0</v>
      </c>
      <c r="M13" s="619">
        <f>(L13-now())/365</f>
        <v>0.1798884229</v>
      </c>
      <c r="N13" s="620">
        <f>J13*M13+(1-M13)*K13</f>
        <v>0.2014750337</v>
      </c>
      <c r="O13" s="621">
        <v>0.0</v>
      </c>
      <c r="P13" s="621">
        <v>0.04</v>
      </c>
      <c r="Q13" s="622">
        <f>I13/N13</f>
        <v>14.70588235</v>
      </c>
      <c r="R13" s="623">
        <v>20.0</v>
      </c>
      <c r="S13" s="624">
        <v>43758.0</v>
      </c>
      <c r="T13" s="623" t="s">
        <v>1223</v>
      </c>
      <c r="U13" s="601" t="s">
        <v>1830</v>
      </c>
      <c r="V13" s="625">
        <f>O13</f>
        <v>0</v>
      </c>
      <c r="W13" s="392">
        <f>max(min(Valu!$C$15,$O13),$O13-max($O13-Valu!$C$15,0)/$R13*(W$3-1))</f>
        <v>0</v>
      </c>
      <c r="X13" s="392">
        <f>max(min(Valu!$C$15,$O13),$O13-max($O13-Valu!$C$15,0)/$R13*(X$3-1))</f>
        <v>0</v>
      </c>
      <c r="Y13" s="392">
        <f>max(min(Valu!$C$15,$O13),$O13-max($O13-Valu!$C$15,0)/$R13*(Y$3-1))</f>
        <v>0</v>
      </c>
      <c r="Z13" s="392">
        <f>max(min(Valu!$C$15,$O13),$O13-max($O13-Valu!$C$15,0)/$R13*(Z$3-1))</f>
        <v>0</v>
      </c>
      <c r="AA13" s="392">
        <f>max(min(Valu!$C$15,$O13),$O13-max($O13-Valu!$C$15,0)/$R13*(AA$3-1))</f>
        <v>0</v>
      </c>
      <c r="AB13" s="392">
        <f>max(min(Valu!$C$15,$O13),$O13-max($O13-Valu!$C$15,0)/$R13*(AB$3-1))</f>
        <v>0</v>
      </c>
      <c r="AC13" s="392">
        <f>max(min(Valu!$C$15,$O13),$O13-max($O13-Valu!$C$15,0)/$R13*(AC$3-1))</f>
        <v>0</v>
      </c>
      <c r="AD13" s="392">
        <f>max(min(Valu!$C$15,$O13),$O13-max($O13-Valu!$C$15,0)/$R13*(AD$3-1))</f>
        <v>0</v>
      </c>
      <c r="AE13" s="392">
        <f>max(min(Valu!$C$15,$O13),$O13-max($O13-Valu!$C$15,0)/$R13*(AE$3-1))</f>
        <v>0</v>
      </c>
      <c r="AF13" s="392">
        <f>max(min(Valu!$C$15,$O13),$O13-max($O13-Valu!$C$15,0)/$R13*(AF$3-1))</f>
        <v>0</v>
      </c>
      <c r="AG13" s="392">
        <f>max(min(Valu!$C$15,$O13),$O13-max($O13-Valu!$C$15,0)/$R13*(AG$3-1))</f>
        <v>0</v>
      </c>
      <c r="AH13" s="392">
        <f>max(min(Valu!$C$15,$O13),$O13-max($O13-Valu!$C$15,0)/$R13*(AH$3-1))</f>
        <v>0</v>
      </c>
      <c r="AI13" s="392">
        <f>max(min(Valu!$C$15,$O13),$O13-max($O13-Valu!$C$15,0)/$R13*(AI$3-1))</f>
        <v>0</v>
      </c>
      <c r="AJ13" s="392">
        <f>max(min(Valu!$C$15,$O13),$O13-max($O13-Valu!$C$15,0)/$R13*(AJ$3-1))</f>
        <v>0</v>
      </c>
      <c r="AK13" s="392">
        <f>max(min(Valu!$C$15,$O13),$O13-max($O13-Valu!$C$15,0)/$R13*(AK$3-1))</f>
        <v>0</v>
      </c>
      <c r="AL13" s="392">
        <f>max(min(Valu!$C$15,$O13),$O13-max($O13-Valu!$C$15,0)/$R13*(AL$3-1))</f>
        <v>0</v>
      </c>
      <c r="AM13" s="392">
        <f>max(min(Valu!$C$15,$O13),$O13-max($O13-Valu!$C$15,0)/$R13*(AM$3-1))</f>
        <v>0</v>
      </c>
      <c r="AN13" s="392">
        <f>max(min(Valu!$C$15,$O13),$O13-max($O13-Valu!$C$15,0)/$R13*(AN$3-1))</f>
        <v>0</v>
      </c>
      <c r="AO13" s="392">
        <f>max(min(Valu!$C$15,$O13),$O13-max($O13-Valu!$C$15,0)/$R13*(AO$3-1))</f>
        <v>0</v>
      </c>
      <c r="AP13" s="392">
        <f>max(min(Valu!$C$14,$P13),$P13-max($P13-Valu!$C$14,0)/$R13*(AP$3-1))</f>
        <v>0.04</v>
      </c>
      <c r="AQ13" s="392">
        <f>max(min(Valu!$C$14,$P13),$P13-max($P13-Valu!$C$14,0)/$R13*(AQ$3-1))</f>
        <v>0.04</v>
      </c>
      <c r="AR13" s="392">
        <f>max(min(Valu!$C$14,$P13),$P13-max($P13-Valu!$C$14,0)/$R13*(AR$3-1))</f>
        <v>0.04</v>
      </c>
      <c r="AS13" s="392">
        <f>max(min(Valu!$C$14,$P13),$P13-max($P13-Valu!$C$14,0)/$R13*(AS$3-1))</f>
        <v>0.04</v>
      </c>
      <c r="AT13" s="392">
        <f>max(min(Valu!$C$14,$P13),$P13-max($P13-Valu!$C$14,0)/$R13*(AT$3-1))</f>
        <v>0.04</v>
      </c>
      <c r="AU13" s="392">
        <f>max(min(Valu!$C$14,$P13),$P13-max($P13-Valu!$C$14,0)/$R13*(AU$3-1))</f>
        <v>0.04</v>
      </c>
      <c r="AV13" s="392">
        <f>max(min(Valu!$C$14,$P13),$P13-max($P13-Valu!$C$14,0)/$R13*(AV$3-1))</f>
        <v>0.04</v>
      </c>
      <c r="AW13" s="392">
        <f>max(min(Valu!$C$14,$P13),$P13-max($P13-Valu!$C$14,0)/$R13*(AW$3-1))</f>
        <v>0.04</v>
      </c>
      <c r="AX13" s="392">
        <f>max(min(Valu!$C$14,$P13),$P13-max($P13-Valu!$C$14,0)/$R13*(AX$3-1))</f>
        <v>0.04</v>
      </c>
      <c r="AY13" s="392">
        <f>max(min(Valu!$C$14,$P13),$P13-max($P13-Valu!$C$14,0)/$R13*(AY$3-1))</f>
        <v>0.04</v>
      </c>
      <c r="AZ13" s="392">
        <f>max(min(Valu!$C$14,$P13),$P13-max($P13-Valu!$C$14,0)/$R13*(AZ$3-1))</f>
        <v>0.04</v>
      </c>
      <c r="BA13" s="392">
        <f>max(min(Valu!$C$14,$P13),$P13-max($P13-Valu!$C$14,0)/$R13*(BA$3-1))</f>
        <v>0.04</v>
      </c>
      <c r="BB13" s="392">
        <f>max(min(Valu!$C$14,$P13),$P13-max($P13-Valu!$C$14,0)/$R13*(BB$3-1))</f>
        <v>0.04</v>
      </c>
      <c r="BC13" s="392">
        <f>max(min(Valu!$C$14,$P13),$P13-max($P13-Valu!$C$14,0)/$R13*(BC$3-1))</f>
        <v>0.04</v>
      </c>
      <c r="BD13" s="392">
        <f>max(min(Valu!$C$14,$P13),$P13-max($P13-Valu!$C$14,0)/$R13*(BD$3-1))</f>
        <v>0.04</v>
      </c>
      <c r="BE13" s="392">
        <f>max(min(Valu!$C$14,$P13),$P13-max($P13-Valu!$C$14,0)/$R13*(BE$3-1))</f>
        <v>0.04</v>
      </c>
      <c r="BF13" s="392">
        <f>max(min(Valu!$C$14,$P13),$P13-max($P13-Valu!$C$14,0)/$R13*(BF$3-1))</f>
        <v>0.04</v>
      </c>
      <c r="BG13" s="392">
        <f>max(min(Valu!$C$14,$P13),$P13-max($P13-Valu!$C$14,0)/$R13*(BG$3-1))</f>
        <v>0.04</v>
      </c>
      <c r="BH13" s="392">
        <f>max(min(Valu!$C$14,$P13),$P13-max($P13-Valu!$C$14,0)/$R13*(BH$3-1))</f>
        <v>0.04</v>
      </c>
      <c r="BI13" s="392">
        <f>max(min(Valu!$C$14,$P13),$P13-max($P13-Valu!$C$14,0)/$R13*(BI$3-1))</f>
        <v>0.04</v>
      </c>
      <c r="BJ13" s="393">
        <f>N13</f>
        <v>0.2014750337</v>
      </c>
      <c r="BK13" s="369">
        <f>$BJ13*(1+V13)</f>
        <v>0.2014750337</v>
      </c>
      <c r="BL13" s="369">
        <f t="shared" ref="BL13:CC13" si="6">BK13*(1+W13)</f>
        <v>0.2014750337</v>
      </c>
      <c r="BM13" s="369">
        <f t="shared" si="6"/>
        <v>0.2014750337</v>
      </c>
      <c r="BN13" s="369">
        <f t="shared" si="6"/>
        <v>0.2014750337</v>
      </c>
      <c r="BO13" s="369">
        <f t="shared" si="6"/>
        <v>0.2014750337</v>
      </c>
      <c r="BP13" s="369">
        <f t="shared" si="6"/>
        <v>0.2014750337</v>
      </c>
      <c r="BQ13" s="369">
        <f t="shared" si="6"/>
        <v>0.2014750337</v>
      </c>
      <c r="BR13" s="369">
        <f t="shared" si="6"/>
        <v>0.2014750337</v>
      </c>
      <c r="BS13" s="369">
        <f t="shared" si="6"/>
        <v>0.2014750337</v>
      </c>
      <c r="BT13" s="369">
        <f t="shared" si="6"/>
        <v>0.2014750337</v>
      </c>
      <c r="BU13" s="369">
        <f t="shared" si="6"/>
        <v>0.2014750337</v>
      </c>
      <c r="BV13" s="369">
        <f t="shared" si="6"/>
        <v>0.2014750337</v>
      </c>
      <c r="BW13" s="369">
        <f t="shared" si="6"/>
        <v>0.2014750337</v>
      </c>
      <c r="BX13" s="369">
        <f t="shared" si="6"/>
        <v>0.2014750337</v>
      </c>
      <c r="BY13" s="369">
        <f t="shared" si="6"/>
        <v>0.2014750337</v>
      </c>
      <c r="BZ13" s="369">
        <f t="shared" si="6"/>
        <v>0.2014750337</v>
      </c>
      <c r="CA13" s="369">
        <f t="shared" si="6"/>
        <v>0.2014750337</v>
      </c>
      <c r="CB13" s="369">
        <f t="shared" si="6"/>
        <v>0.2014750337</v>
      </c>
      <c r="CC13" s="369">
        <f t="shared" si="6"/>
        <v>0.2014750337</v>
      </c>
      <c r="CD13" s="369">
        <f t="shared" ref="CD13:CW13" si="7">BJ13*(1-V13/AP13)</f>
        <v>0.2014750337</v>
      </c>
      <c r="CE13" s="369">
        <f t="shared" si="7"/>
        <v>0.2014750337</v>
      </c>
      <c r="CF13" s="369">
        <f t="shared" si="7"/>
        <v>0.2014750337</v>
      </c>
      <c r="CG13" s="369">
        <f t="shared" si="7"/>
        <v>0.2014750337</v>
      </c>
      <c r="CH13" s="369">
        <f t="shared" si="7"/>
        <v>0.2014750337</v>
      </c>
      <c r="CI13" s="369">
        <f t="shared" si="7"/>
        <v>0.2014750337</v>
      </c>
      <c r="CJ13" s="369">
        <f t="shared" si="7"/>
        <v>0.2014750337</v>
      </c>
      <c r="CK13" s="369">
        <f t="shared" si="7"/>
        <v>0.2014750337</v>
      </c>
      <c r="CL13" s="369">
        <f t="shared" si="7"/>
        <v>0.2014750337</v>
      </c>
      <c r="CM13" s="369">
        <f t="shared" si="7"/>
        <v>0.2014750337</v>
      </c>
      <c r="CN13" s="369">
        <f t="shared" si="7"/>
        <v>0.2014750337</v>
      </c>
      <c r="CO13" s="369">
        <f t="shared" si="7"/>
        <v>0.2014750337</v>
      </c>
      <c r="CP13" s="369">
        <f t="shared" si="7"/>
        <v>0.2014750337</v>
      </c>
      <c r="CQ13" s="369">
        <f t="shared" si="7"/>
        <v>0.2014750337</v>
      </c>
      <c r="CR13" s="369">
        <f t="shared" si="7"/>
        <v>0.2014750337</v>
      </c>
      <c r="CS13" s="369">
        <f t="shared" si="7"/>
        <v>0.2014750337</v>
      </c>
      <c r="CT13" s="369">
        <f t="shared" si="7"/>
        <v>0.2014750337</v>
      </c>
      <c r="CU13" s="369">
        <f t="shared" si="7"/>
        <v>0.2014750337</v>
      </c>
      <c r="CV13" s="369">
        <f t="shared" si="7"/>
        <v>0.2014750337</v>
      </c>
      <c r="CW13" s="369">
        <f t="shared" si="7"/>
        <v>0.2014750337</v>
      </c>
      <c r="CX13" s="369">
        <f>CW13*(1+min(Valu!$C$15,$O13))/(Valu!$C$21-min(Valu!$C$15,$O13))</f>
        <v>2.962868142</v>
      </c>
      <c r="CY13" s="369">
        <f>CD13/(1+Valu!$C$21)^CY$3</f>
        <v>0.1886470353</v>
      </c>
      <c r="CZ13" s="369">
        <f>CE13/(1+Valu!$C$21)^CZ$3</f>
        <v>0.1766358008</v>
      </c>
      <c r="DA13" s="369">
        <f>CF13/(1+Valu!$C$21)^DA$3</f>
        <v>0.1653893266</v>
      </c>
      <c r="DB13" s="369">
        <f>CG13/(1+Valu!$C$21)^DB$3</f>
        <v>0.15485892</v>
      </c>
      <c r="DC13" s="369">
        <f>CH13/(1+Valu!$C$21)^DC$3</f>
        <v>0.1449989888</v>
      </c>
      <c r="DD13" s="369">
        <f>CI13/(1+Valu!$C$21)^DD$3</f>
        <v>0.1357668434</v>
      </c>
      <c r="DE13" s="369">
        <f>CJ13/(1+Valu!$C$21)^DE$3</f>
        <v>0.1271225126</v>
      </c>
      <c r="DF13" s="369">
        <f>CK13/(1+Valu!$C$21)^DF$3</f>
        <v>0.1190285698</v>
      </c>
      <c r="DG13" s="369">
        <f>CL13/(1+Valu!$C$21)^DG$3</f>
        <v>0.1114499718</v>
      </c>
      <c r="DH13" s="369">
        <f>CM13/(1+Valu!$C$21)^DH$3</f>
        <v>0.1043539061</v>
      </c>
      <c r="DI13" s="369">
        <f>CN13/(1+Valu!$C$21)^DI$3</f>
        <v>0.09770964995</v>
      </c>
      <c r="DJ13" s="369">
        <f>CO13/(1+Valu!$C$21)^DJ$3</f>
        <v>0.09148843628</v>
      </c>
      <c r="DK13" s="369">
        <f>CP13/(1+Valu!$C$21)^DK$3</f>
        <v>0.08566332985</v>
      </c>
      <c r="DL13" s="369">
        <f>CQ13/(1+Valu!$C$21)^DL$3</f>
        <v>0.08020911035</v>
      </c>
      <c r="DM13" s="369">
        <f>CR13/(1+Valu!$C$21)^DM$3</f>
        <v>0.07510216325</v>
      </c>
      <c r="DN13" s="369">
        <f>CS13/(1+Valu!$C$21)^DN$3</f>
        <v>0.07032037757</v>
      </c>
      <c r="DO13" s="369">
        <f>CT13/(1+Valu!$C$21)^DO$3</f>
        <v>0.06584305016</v>
      </c>
      <c r="DP13" s="369">
        <f>CU13/(1+Valu!$C$21)^DP$3</f>
        <v>0.06165079603</v>
      </c>
      <c r="DQ13" s="369">
        <f>CV13/(1+Valu!$C$21)^DQ$3</f>
        <v>0.05772546445</v>
      </c>
      <c r="DR13" s="369">
        <f>CW13/(1+Valu!$C$21)^DR$3</f>
        <v>0.05405006034</v>
      </c>
      <c r="DS13" s="369">
        <f>CX13/(1+Valu!$C$21)^DS$3</f>
        <v>0.7948538286</v>
      </c>
      <c r="DT13" s="626"/>
      <c r="DU13" s="626"/>
      <c r="DV13" s="626"/>
      <c r="DW13" s="626"/>
      <c r="DX13" s="626"/>
    </row>
    <row r="14" ht="15.0" customHeight="1">
      <c r="A14" s="611">
        <v>42167.0</v>
      </c>
      <c r="B14" s="588" t="s">
        <v>1838</v>
      </c>
      <c r="C14" s="612" t="s">
        <v>1839</v>
      </c>
      <c r="D14" s="588">
        <v>6.0</v>
      </c>
      <c r="E14" s="589">
        <f>IFERROR(__xludf.DUMMYFUNCTION("if(and(D14&lt;&gt;0,D14&lt;&gt;""""),D14/GOOGLEFINANCE(C14,""price"")-1,"""")"),2.846153846153846)</f>
        <v>2.846153846</v>
      </c>
      <c r="F14" s="590">
        <f>IFERROR(__xludf.DUMMYFUNCTION("GOOGLEFINANCE(C14,""price"")"),1.56)</f>
        <v>1.56</v>
      </c>
      <c r="G14" s="589">
        <f>IFERROR(__xludf.DUMMYFUNCTION("if(and(I14&lt;&gt;0,I14&lt;&gt;""""),I14/GOOGLEFINANCE(C14,""price"")-1,"""")"),-0.6794871794871795)</f>
        <v>-0.6794871795</v>
      </c>
      <c r="H14" s="591"/>
      <c r="I14" s="592">
        <v>0.5</v>
      </c>
      <c r="J14" s="591"/>
      <c r="K14" s="591"/>
      <c r="L14" s="591"/>
      <c r="M14" s="591"/>
      <c r="N14" s="591"/>
      <c r="O14" s="586"/>
      <c r="P14" s="588"/>
      <c r="Q14" s="588"/>
      <c r="R14" s="588"/>
      <c r="S14" s="588"/>
      <c r="T14" s="588"/>
      <c r="U14" s="593" t="s">
        <v>1840</v>
      </c>
      <c r="V14" s="594"/>
      <c r="W14" s="595"/>
      <c r="X14" s="596"/>
      <c r="Y14" s="596"/>
      <c r="Z14" s="596"/>
      <c r="AA14" s="596"/>
      <c r="AB14" s="596"/>
      <c r="AC14" s="596"/>
      <c r="AD14" s="596"/>
      <c r="AE14" s="596"/>
      <c r="AF14" s="596"/>
      <c r="AG14" s="596"/>
      <c r="AH14" s="596"/>
      <c r="AI14" s="596"/>
      <c r="AJ14" s="596"/>
      <c r="AK14" s="596"/>
      <c r="AL14" s="596"/>
      <c r="AM14" s="596"/>
      <c r="AN14" s="596"/>
      <c r="AO14" s="596"/>
      <c r="AP14" s="596"/>
      <c r="AQ14" s="596"/>
      <c r="AR14" s="596"/>
      <c r="AS14" s="596"/>
      <c r="AT14" s="596"/>
      <c r="AU14" s="596"/>
      <c r="AV14" s="596"/>
      <c r="AW14" s="596"/>
      <c r="AX14" s="596"/>
      <c r="AY14" s="596"/>
      <c r="AZ14" s="596"/>
      <c r="BA14" s="596"/>
      <c r="BB14" s="596"/>
      <c r="BC14" s="596"/>
      <c r="BD14" s="596"/>
      <c r="BE14" s="596"/>
      <c r="BF14" s="596"/>
      <c r="BG14" s="596"/>
      <c r="BH14" s="596"/>
      <c r="BI14" s="596"/>
      <c r="BJ14" s="596"/>
      <c r="BK14" s="596"/>
      <c r="BL14" s="596"/>
      <c r="BM14" s="596"/>
      <c r="BN14" s="596"/>
      <c r="BO14" s="596"/>
      <c r="BP14" s="596"/>
      <c r="BQ14" s="596"/>
      <c r="BR14" s="596"/>
      <c r="BS14" s="596"/>
      <c r="BT14" s="596"/>
      <c r="BU14" s="596"/>
      <c r="BV14" s="596"/>
      <c r="BW14" s="596"/>
      <c r="BX14" s="596"/>
      <c r="BY14" s="596"/>
      <c r="BZ14" s="596"/>
      <c r="CA14" s="596"/>
      <c r="CB14" s="596"/>
      <c r="CC14" s="596"/>
      <c r="CD14" s="596"/>
      <c r="CE14" s="596"/>
      <c r="CF14" s="596"/>
      <c r="CG14" s="596"/>
      <c r="CH14" s="596"/>
      <c r="CI14" s="596"/>
      <c r="CJ14" s="596"/>
      <c r="CK14" s="596"/>
      <c r="CL14" s="596"/>
      <c r="CM14" s="596"/>
      <c r="CN14" s="596"/>
      <c r="CO14" s="596"/>
      <c r="CP14" s="596"/>
      <c r="CQ14" s="596"/>
      <c r="CR14" s="596"/>
      <c r="CS14" s="596"/>
      <c r="CT14" s="596"/>
      <c r="CU14" s="596"/>
      <c r="CV14" s="596"/>
      <c r="CW14" s="596"/>
      <c r="CX14" s="596"/>
      <c r="CY14" s="596"/>
      <c r="CZ14" s="596"/>
      <c r="DA14" s="596"/>
      <c r="DB14" s="596"/>
      <c r="DC14" s="596"/>
      <c r="DD14" s="596"/>
      <c r="DE14" s="596"/>
      <c r="DF14" s="596"/>
      <c r="DG14" s="596"/>
      <c r="DH14" s="596"/>
      <c r="DI14" s="596"/>
      <c r="DJ14" s="596"/>
      <c r="DK14" s="596"/>
      <c r="DL14" s="596"/>
      <c r="DM14" s="596"/>
      <c r="DN14" s="596"/>
      <c r="DO14" s="596"/>
      <c r="DP14" s="596"/>
      <c r="DQ14" s="596"/>
      <c r="DR14" s="596"/>
      <c r="DS14" s="596"/>
      <c r="DT14" s="596"/>
      <c r="DU14" s="596"/>
      <c r="DV14" s="596"/>
      <c r="DW14" s="596"/>
      <c r="DX14" s="596"/>
    </row>
    <row r="15" ht="15.0" customHeight="1">
      <c r="A15" s="585">
        <v>41007.0</v>
      </c>
      <c r="B15" s="586" t="s">
        <v>1841</v>
      </c>
      <c r="C15" s="587" t="s">
        <v>369</v>
      </c>
      <c r="D15" s="588">
        <v>4.25</v>
      </c>
      <c r="E15" s="589">
        <f>IFERROR(__xludf.DUMMYFUNCTION("if(and(D15&lt;&gt;0,D15&lt;&gt;""""),D15/GOOGLEFINANCE(C15,""price"")-1,"""")"),-0.4055944055944056)</f>
        <v>-0.4055944056</v>
      </c>
      <c r="F15" s="590">
        <f>IFERROR(__xludf.DUMMYFUNCTION("GOOGLEFINANCE(C15,""price"")"),7.15)</f>
        <v>7.15</v>
      </c>
      <c r="G15" s="589">
        <f>IFERROR(__xludf.DUMMYFUNCTION("if(and(I15&lt;&gt;0,I15&lt;&gt;""""),I15/GOOGLEFINANCE(C15,""price"")-1,"""")"),-0.8601398601398602)</f>
        <v>-0.8601398601</v>
      </c>
      <c r="H15" s="591"/>
      <c r="I15" s="592">
        <v>1.0</v>
      </c>
      <c r="J15" s="591"/>
      <c r="K15" s="591"/>
      <c r="L15" s="591"/>
      <c r="M15" s="591"/>
      <c r="N15" s="591"/>
      <c r="O15" s="586"/>
      <c r="P15" s="588"/>
      <c r="Q15" s="588"/>
      <c r="R15" s="588"/>
      <c r="S15" s="588"/>
      <c r="T15" s="588"/>
      <c r="U15" s="593" t="s">
        <v>1825</v>
      </c>
      <c r="V15" s="594"/>
      <c r="W15" s="595"/>
      <c r="X15" s="596"/>
      <c r="Y15" s="596"/>
      <c r="Z15" s="596"/>
      <c r="AA15" s="596"/>
      <c r="AB15" s="596"/>
      <c r="AC15" s="596"/>
      <c r="AD15" s="596"/>
      <c r="AE15" s="596"/>
      <c r="AF15" s="596"/>
      <c r="AG15" s="596"/>
      <c r="AH15" s="596"/>
      <c r="AI15" s="596"/>
      <c r="AJ15" s="596"/>
      <c r="AK15" s="596"/>
      <c r="AL15" s="596"/>
      <c r="AM15" s="596"/>
      <c r="AN15" s="596"/>
      <c r="AO15" s="596"/>
      <c r="AP15" s="596"/>
      <c r="AQ15" s="596"/>
      <c r="AR15" s="596"/>
      <c r="AS15" s="596"/>
      <c r="AT15" s="596"/>
      <c r="AU15" s="596"/>
      <c r="AV15" s="596"/>
      <c r="AW15" s="596"/>
      <c r="AX15" s="596"/>
      <c r="AY15" s="596"/>
      <c r="AZ15" s="596"/>
      <c r="BA15" s="596"/>
      <c r="BB15" s="596"/>
      <c r="BC15" s="596"/>
      <c r="BD15" s="596"/>
      <c r="BE15" s="596"/>
      <c r="BF15" s="596"/>
      <c r="BG15" s="596"/>
      <c r="BH15" s="596"/>
      <c r="BI15" s="596"/>
      <c r="BJ15" s="596"/>
      <c r="BK15" s="596"/>
      <c r="BL15" s="596"/>
      <c r="BM15" s="596"/>
      <c r="BN15" s="596"/>
      <c r="BO15" s="596"/>
      <c r="BP15" s="596"/>
      <c r="BQ15" s="596"/>
      <c r="BR15" s="596"/>
      <c r="BS15" s="596"/>
      <c r="BT15" s="596"/>
      <c r="BU15" s="596"/>
      <c r="BV15" s="596"/>
      <c r="BW15" s="596"/>
      <c r="BX15" s="596"/>
      <c r="BY15" s="596"/>
      <c r="BZ15" s="596"/>
      <c r="CA15" s="596"/>
      <c r="CB15" s="596"/>
      <c r="CC15" s="596"/>
      <c r="CD15" s="596"/>
      <c r="CE15" s="596"/>
      <c r="CF15" s="596"/>
      <c r="CG15" s="596"/>
      <c r="CH15" s="596"/>
      <c r="CI15" s="596"/>
      <c r="CJ15" s="596"/>
      <c r="CK15" s="596"/>
      <c r="CL15" s="596"/>
      <c r="CM15" s="596"/>
      <c r="CN15" s="596"/>
      <c r="CO15" s="596"/>
      <c r="CP15" s="596"/>
      <c r="CQ15" s="596"/>
      <c r="CR15" s="596"/>
      <c r="CS15" s="596"/>
      <c r="CT15" s="596"/>
      <c r="CU15" s="596"/>
      <c r="CV15" s="596"/>
      <c r="CW15" s="596"/>
      <c r="CX15" s="596"/>
      <c r="CY15" s="596"/>
      <c r="CZ15" s="596"/>
      <c r="DA15" s="596"/>
      <c r="DB15" s="596"/>
      <c r="DC15" s="596"/>
      <c r="DD15" s="596"/>
      <c r="DE15" s="596"/>
      <c r="DF15" s="596"/>
      <c r="DG15" s="596"/>
      <c r="DH15" s="596"/>
      <c r="DI15" s="596"/>
      <c r="DJ15" s="596"/>
      <c r="DK15" s="596"/>
      <c r="DL15" s="596"/>
      <c r="DM15" s="596"/>
      <c r="DN15" s="596"/>
      <c r="DO15" s="596"/>
      <c r="DP15" s="596"/>
      <c r="DQ15" s="596"/>
      <c r="DR15" s="596"/>
      <c r="DS15" s="596"/>
      <c r="DT15" s="596"/>
      <c r="DU15" s="596"/>
      <c r="DV15" s="596"/>
      <c r="DW15" s="596"/>
      <c r="DX15" s="596"/>
    </row>
    <row r="16" ht="15.0" customHeight="1">
      <c r="A16" s="611">
        <v>41975.0</v>
      </c>
      <c r="B16" s="588" t="s">
        <v>1843</v>
      </c>
      <c r="C16" s="612" t="s">
        <v>1844</v>
      </c>
      <c r="D16" s="588">
        <v>28.0</v>
      </c>
      <c r="E16" s="589">
        <f>IFERROR(__xludf.DUMMYFUNCTION("if(and(D16&lt;&gt;0,D16&lt;&gt;""""),D16/GOOGLEFINANCE(C16,""price"")-1,"""")"),-0.0430622009569378)</f>
        <v>-0.04306220096</v>
      </c>
      <c r="F16" s="590">
        <f>IFERROR(__xludf.DUMMYFUNCTION("GOOGLEFINANCE(C16,""price"")"),29.26)</f>
        <v>29.26</v>
      </c>
      <c r="G16" s="589">
        <f>IFERROR(__xludf.DUMMYFUNCTION("if(and(I16&lt;&gt;0,I16&lt;&gt;""""),I16/GOOGLEFINANCE(C16,""price"")-1,"""")"),-0.9658236500341764)</f>
        <v>-0.96582365</v>
      </c>
      <c r="H16" s="591"/>
      <c r="I16" s="592">
        <v>1.0</v>
      </c>
      <c r="J16" s="591"/>
      <c r="K16" s="591"/>
      <c r="L16" s="591"/>
      <c r="M16" s="591"/>
      <c r="N16" s="591"/>
      <c r="O16" s="586"/>
      <c r="P16" s="588"/>
      <c r="Q16" s="588"/>
      <c r="R16" s="588"/>
      <c r="S16" s="588"/>
      <c r="T16" s="588"/>
      <c r="U16" s="593" t="s">
        <v>1845</v>
      </c>
      <c r="V16" s="594"/>
      <c r="W16" s="595"/>
      <c r="X16" s="596"/>
      <c r="Y16" s="596"/>
      <c r="Z16" s="596"/>
      <c r="AA16" s="596"/>
      <c r="AB16" s="596"/>
      <c r="AC16" s="596"/>
      <c r="AD16" s="596"/>
      <c r="AE16" s="596"/>
      <c r="AF16" s="596"/>
      <c r="AG16" s="596"/>
      <c r="AH16" s="596"/>
      <c r="AI16" s="596"/>
      <c r="AJ16" s="596"/>
      <c r="AK16" s="596"/>
      <c r="AL16" s="596"/>
      <c r="AM16" s="596"/>
      <c r="AN16" s="596"/>
      <c r="AO16" s="596"/>
      <c r="AP16" s="596"/>
      <c r="AQ16" s="596"/>
      <c r="AR16" s="596"/>
      <c r="AS16" s="596"/>
      <c r="AT16" s="596"/>
      <c r="AU16" s="596"/>
      <c r="AV16" s="596"/>
      <c r="AW16" s="596"/>
      <c r="AX16" s="596"/>
      <c r="AY16" s="596"/>
      <c r="AZ16" s="596"/>
      <c r="BA16" s="596"/>
      <c r="BB16" s="596"/>
      <c r="BC16" s="596"/>
      <c r="BD16" s="596"/>
      <c r="BE16" s="596"/>
      <c r="BF16" s="596"/>
      <c r="BG16" s="596"/>
      <c r="BH16" s="596"/>
      <c r="BI16" s="596"/>
      <c r="BJ16" s="596"/>
      <c r="BK16" s="596"/>
      <c r="BL16" s="596"/>
      <c r="BM16" s="596"/>
      <c r="BN16" s="596"/>
      <c r="BO16" s="596"/>
      <c r="BP16" s="596"/>
      <c r="BQ16" s="596"/>
      <c r="BR16" s="596"/>
      <c r="BS16" s="596"/>
      <c r="BT16" s="596"/>
      <c r="BU16" s="596"/>
      <c r="BV16" s="596"/>
      <c r="BW16" s="596"/>
      <c r="BX16" s="596"/>
      <c r="BY16" s="596"/>
      <c r="BZ16" s="596"/>
      <c r="CA16" s="596"/>
      <c r="CB16" s="596"/>
      <c r="CC16" s="596"/>
      <c r="CD16" s="596"/>
      <c r="CE16" s="596"/>
      <c r="CF16" s="596"/>
      <c r="CG16" s="596"/>
      <c r="CH16" s="596"/>
      <c r="CI16" s="596"/>
      <c r="CJ16" s="596"/>
      <c r="CK16" s="596"/>
      <c r="CL16" s="596"/>
      <c r="CM16" s="596"/>
      <c r="CN16" s="596"/>
      <c r="CO16" s="596"/>
      <c r="CP16" s="596"/>
      <c r="CQ16" s="596"/>
      <c r="CR16" s="596"/>
      <c r="CS16" s="596"/>
      <c r="CT16" s="596"/>
      <c r="CU16" s="596"/>
      <c r="CV16" s="596"/>
      <c r="CW16" s="596"/>
      <c r="CX16" s="596"/>
      <c r="CY16" s="596"/>
      <c r="CZ16" s="596"/>
      <c r="DA16" s="596"/>
      <c r="DB16" s="596"/>
      <c r="DC16" s="596"/>
      <c r="DD16" s="596"/>
      <c r="DE16" s="596"/>
      <c r="DF16" s="596"/>
      <c r="DG16" s="596"/>
      <c r="DH16" s="596"/>
      <c r="DI16" s="596"/>
      <c r="DJ16" s="596"/>
      <c r="DK16" s="596"/>
      <c r="DL16" s="596"/>
      <c r="DM16" s="596"/>
      <c r="DN16" s="596"/>
      <c r="DO16" s="596"/>
      <c r="DP16" s="596"/>
      <c r="DQ16" s="596"/>
      <c r="DR16" s="596"/>
      <c r="DS16" s="596"/>
      <c r="DT16" s="596"/>
      <c r="DU16" s="596"/>
      <c r="DV16" s="596"/>
      <c r="DW16" s="596"/>
      <c r="DX16" s="596"/>
    </row>
    <row r="17" ht="15.0" customHeight="1">
      <c r="A17" s="611">
        <v>42167.0</v>
      </c>
      <c r="B17" s="588" t="s">
        <v>1846</v>
      </c>
      <c r="C17" s="612" t="s">
        <v>1633</v>
      </c>
      <c r="D17" s="588">
        <v>14.0</v>
      </c>
      <c r="E17" s="589">
        <f>IFERROR(__xludf.DUMMYFUNCTION("if(and(D17&lt;&gt;0,D17&lt;&gt;""""),D17/GOOGLEFINANCE(C17,""price"")-1,"""")"),0.8252933507170797)</f>
        <v>0.8252933507</v>
      </c>
      <c r="F17" s="590">
        <f>IFERROR(__xludf.DUMMYFUNCTION("GOOGLEFINANCE(C17,""price"")"),7.67)</f>
        <v>7.67</v>
      </c>
      <c r="G17" s="589">
        <f>IFERROR(__xludf.DUMMYFUNCTION("if(and(I17&lt;&gt;0,I17&lt;&gt;""""),I17/GOOGLEFINANCE(C17,""price"")-1,"""")"),-0.8696219035202086)</f>
        <v>-0.8696219035</v>
      </c>
      <c r="H17" s="591"/>
      <c r="I17" s="592">
        <v>1.0</v>
      </c>
      <c r="J17" s="591"/>
      <c r="K17" s="591"/>
      <c r="L17" s="591"/>
      <c r="M17" s="591"/>
      <c r="N17" s="591"/>
      <c r="O17" s="586"/>
      <c r="P17" s="588"/>
      <c r="Q17" s="588"/>
      <c r="R17" s="588"/>
      <c r="S17" s="588"/>
      <c r="T17" s="588"/>
      <c r="U17" s="593" t="s">
        <v>1847</v>
      </c>
      <c r="V17" s="594"/>
      <c r="W17" s="595"/>
      <c r="X17" s="596"/>
      <c r="Y17" s="596"/>
      <c r="Z17" s="596"/>
      <c r="AA17" s="596"/>
      <c r="AB17" s="596"/>
      <c r="AC17" s="596"/>
      <c r="AD17" s="596"/>
      <c r="AE17" s="596"/>
      <c r="AF17" s="596"/>
      <c r="AG17" s="596"/>
      <c r="AH17" s="596"/>
      <c r="AI17" s="596"/>
      <c r="AJ17" s="596"/>
      <c r="AK17" s="596"/>
      <c r="AL17" s="596"/>
      <c r="AM17" s="596"/>
      <c r="AN17" s="596"/>
      <c r="AO17" s="596"/>
      <c r="AP17" s="596"/>
      <c r="AQ17" s="596"/>
      <c r="AR17" s="596"/>
      <c r="AS17" s="596"/>
      <c r="AT17" s="596"/>
      <c r="AU17" s="596"/>
      <c r="AV17" s="596"/>
      <c r="AW17" s="596"/>
      <c r="AX17" s="596"/>
      <c r="AY17" s="596"/>
      <c r="AZ17" s="596"/>
      <c r="BA17" s="596"/>
      <c r="BB17" s="596"/>
      <c r="BC17" s="596"/>
      <c r="BD17" s="596"/>
      <c r="BE17" s="596"/>
      <c r="BF17" s="596"/>
      <c r="BG17" s="596"/>
      <c r="BH17" s="596"/>
      <c r="BI17" s="596"/>
      <c r="BJ17" s="596"/>
      <c r="BK17" s="596"/>
      <c r="BL17" s="596"/>
      <c r="BM17" s="596"/>
      <c r="BN17" s="596"/>
      <c r="BO17" s="596"/>
      <c r="BP17" s="596"/>
      <c r="BQ17" s="596"/>
      <c r="BR17" s="596"/>
      <c r="BS17" s="596"/>
      <c r="BT17" s="596"/>
      <c r="BU17" s="596"/>
      <c r="BV17" s="596"/>
      <c r="BW17" s="596"/>
      <c r="BX17" s="596"/>
      <c r="BY17" s="596"/>
      <c r="BZ17" s="596"/>
      <c r="CA17" s="596"/>
      <c r="CB17" s="596"/>
      <c r="CC17" s="596"/>
      <c r="CD17" s="596"/>
      <c r="CE17" s="596"/>
      <c r="CF17" s="596"/>
      <c r="CG17" s="596"/>
      <c r="CH17" s="596"/>
      <c r="CI17" s="596"/>
      <c r="CJ17" s="596"/>
      <c r="CK17" s="596"/>
      <c r="CL17" s="596"/>
      <c r="CM17" s="596"/>
      <c r="CN17" s="596"/>
      <c r="CO17" s="596"/>
      <c r="CP17" s="596"/>
      <c r="CQ17" s="596"/>
      <c r="CR17" s="596"/>
      <c r="CS17" s="596"/>
      <c r="CT17" s="596"/>
      <c r="CU17" s="596"/>
      <c r="CV17" s="596"/>
      <c r="CW17" s="596"/>
      <c r="CX17" s="596"/>
      <c r="CY17" s="596"/>
      <c r="CZ17" s="596"/>
      <c r="DA17" s="596"/>
      <c r="DB17" s="596"/>
      <c r="DC17" s="596"/>
      <c r="DD17" s="596"/>
      <c r="DE17" s="596"/>
      <c r="DF17" s="596"/>
      <c r="DG17" s="596"/>
      <c r="DH17" s="596"/>
      <c r="DI17" s="596"/>
      <c r="DJ17" s="596"/>
      <c r="DK17" s="596"/>
      <c r="DL17" s="596"/>
      <c r="DM17" s="596"/>
      <c r="DN17" s="596"/>
      <c r="DO17" s="596"/>
      <c r="DP17" s="596"/>
      <c r="DQ17" s="596"/>
      <c r="DR17" s="596"/>
      <c r="DS17" s="596"/>
      <c r="DT17" s="596"/>
      <c r="DU17" s="596"/>
      <c r="DV17" s="596"/>
      <c r="DW17" s="596"/>
      <c r="DX17" s="596"/>
    </row>
    <row r="18" ht="15.0" customHeight="1">
      <c r="A18" s="574">
        <v>41792.0</v>
      </c>
      <c r="B18" s="575" t="s">
        <v>1848</v>
      </c>
      <c r="C18" s="576" t="s">
        <v>1828</v>
      </c>
      <c r="D18" s="627"/>
      <c r="E18" s="577" t="str">
        <f>IFERROR(__xludf.DUMMYFUNCTION("if(and(D18&lt;&gt;0,D18&lt;&gt;""""),D18/GOOGLEFINANCE(C18,""price"")-1,"""")"),"")</f>
        <v/>
      </c>
      <c r="F18" s="578">
        <f>IFERROR(__xludf.DUMMYFUNCTION("GOOGLEFINANCE(C18,""price"")"),133.9)</f>
        <v>133.9</v>
      </c>
      <c r="G18" s="577">
        <f>IFERROR(__xludf.DUMMYFUNCTION("if(and(I18&lt;&gt;0,I18&lt;&gt;""""),I18/GOOGLEFINANCE(C18,""price"")-1,"""")"),-0.9551904406273338)</f>
        <v>-0.9551904406</v>
      </c>
      <c r="H18" s="579"/>
      <c r="I18" s="580">
        <v>6.0</v>
      </c>
      <c r="J18" s="579"/>
      <c r="K18" s="579"/>
      <c r="L18" s="579"/>
      <c r="M18" s="579"/>
      <c r="N18" s="579"/>
      <c r="O18" s="575"/>
      <c r="P18" s="575"/>
      <c r="Q18" s="575"/>
      <c r="R18" s="575"/>
      <c r="S18" s="575"/>
      <c r="T18" s="575"/>
      <c r="U18" s="581" t="s">
        <v>1849</v>
      </c>
      <c r="V18" s="582"/>
      <c r="W18" s="583"/>
      <c r="X18" s="584"/>
      <c r="Y18" s="584"/>
      <c r="Z18" s="584"/>
      <c r="AA18" s="584"/>
      <c r="AB18" s="584"/>
      <c r="AC18" s="584"/>
      <c r="AD18" s="584"/>
      <c r="AE18" s="584"/>
      <c r="AF18" s="584"/>
      <c r="AG18" s="584"/>
      <c r="AH18" s="584"/>
      <c r="AI18" s="584"/>
      <c r="AJ18" s="584"/>
      <c r="AK18" s="584"/>
      <c r="AL18" s="584"/>
      <c r="AM18" s="584"/>
      <c r="AN18" s="584"/>
      <c r="AO18" s="584"/>
      <c r="AP18" s="584"/>
      <c r="AQ18" s="584"/>
      <c r="AR18" s="584"/>
      <c r="AS18" s="584"/>
      <c r="AT18" s="584"/>
      <c r="AU18" s="584"/>
      <c r="AV18" s="584"/>
      <c r="AW18" s="584"/>
      <c r="AX18" s="584"/>
      <c r="AY18" s="584"/>
      <c r="AZ18" s="584"/>
      <c r="BA18" s="584"/>
      <c r="BB18" s="584"/>
      <c r="BC18" s="584"/>
      <c r="BD18" s="584"/>
      <c r="BE18" s="584"/>
      <c r="BF18" s="584"/>
      <c r="BG18" s="584"/>
      <c r="BH18" s="584"/>
      <c r="BI18" s="584"/>
      <c r="BJ18" s="584"/>
      <c r="BK18" s="584"/>
      <c r="BL18" s="584"/>
      <c r="BM18" s="584"/>
      <c r="BN18" s="584"/>
      <c r="BO18" s="584"/>
      <c r="BP18" s="584"/>
      <c r="BQ18" s="584"/>
      <c r="BR18" s="584"/>
      <c r="BS18" s="584"/>
      <c r="BT18" s="584"/>
      <c r="BU18" s="584"/>
      <c r="BV18" s="584"/>
      <c r="BW18" s="584"/>
      <c r="BX18" s="584"/>
      <c r="BY18" s="584"/>
      <c r="BZ18" s="584"/>
      <c r="CA18" s="584"/>
      <c r="CB18" s="584"/>
      <c r="CC18" s="584"/>
      <c r="CD18" s="584"/>
      <c r="CE18" s="584"/>
      <c r="CF18" s="584"/>
      <c r="CG18" s="584"/>
      <c r="CH18" s="584"/>
      <c r="CI18" s="584"/>
      <c r="CJ18" s="584"/>
      <c r="CK18" s="584"/>
      <c r="CL18" s="584"/>
      <c r="CM18" s="584"/>
      <c r="CN18" s="584"/>
      <c r="CO18" s="584"/>
      <c r="CP18" s="584"/>
      <c r="CQ18" s="584"/>
      <c r="CR18" s="584"/>
      <c r="CS18" s="584"/>
      <c r="CT18" s="584"/>
      <c r="CU18" s="584"/>
      <c r="CV18" s="584"/>
      <c r="CW18" s="584"/>
      <c r="CX18" s="584"/>
      <c r="CY18" s="584"/>
      <c r="CZ18" s="584"/>
      <c r="DA18" s="584"/>
      <c r="DB18" s="584"/>
      <c r="DC18" s="584"/>
      <c r="DD18" s="584"/>
      <c r="DE18" s="584"/>
      <c r="DF18" s="584"/>
      <c r="DG18" s="584"/>
      <c r="DH18" s="584"/>
      <c r="DI18" s="584"/>
      <c r="DJ18" s="584"/>
      <c r="DK18" s="584"/>
      <c r="DL18" s="584"/>
      <c r="DM18" s="584"/>
      <c r="DN18" s="584"/>
      <c r="DO18" s="584"/>
      <c r="DP18" s="584"/>
      <c r="DQ18" s="584"/>
      <c r="DR18" s="584"/>
      <c r="DS18" s="584"/>
      <c r="DT18" s="584"/>
      <c r="DU18" s="584"/>
      <c r="DV18" s="584"/>
      <c r="DW18" s="584"/>
      <c r="DX18" s="584"/>
    </row>
    <row r="19" ht="15.0" customHeight="1">
      <c r="A19" s="574">
        <v>40778.0</v>
      </c>
      <c r="B19" s="575" t="s">
        <v>1851</v>
      </c>
      <c r="C19" s="576" t="s">
        <v>409</v>
      </c>
      <c r="D19" s="575"/>
      <c r="E19" s="577" t="str">
        <f>IFERROR(__xludf.DUMMYFUNCTION("if(and(D19&lt;&gt;0,D19&lt;&gt;""""),D19/GOOGLEFINANCE(C19,""price"")-1,"""")"),"")</f>
        <v/>
      </c>
      <c r="F19" s="578">
        <f>IFERROR(__xludf.DUMMYFUNCTION("GOOGLEFINANCE(C19,""price"")"),150.49)</f>
        <v>150.49</v>
      </c>
      <c r="G19" s="577">
        <f>IFERROR(__xludf.DUMMYFUNCTION("if(and(I19&lt;&gt;0,I19&lt;&gt;""""),I19/GOOGLEFINANCE(C19,""price"")-1,"""")"),-0.7062228299834576)</f>
        <v>-0.70622283</v>
      </c>
      <c r="H19" s="579"/>
      <c r="I19" s="580">
        <f>6/19*140</f>
        <v>44.21052632</v>
      </c>
      <c r="J19" s="575"/>
      <c r="K19" s="575"/>
      <c r="L19" s="575"/>
      <c r="M19" s="575"/>
      <c r="N19" s="575"/>
      <c r="O19" s="575"/>
      <c r="P19" s="575"/>
      <c r="Q19" s="575"/>
      <c r="R19" s="575"/>
      <c r="S19" s="575"/>
      <c r="T19" s="575"/>
      <c r="U19" s="581" t="s">
        <v>1852</v>
      </c>
      <c r="V19" s="582"/>
      <c r="W19" s="583"/>
      <c r="X19" s="584"/>
      <c r="Y19" s="584"/>
      <c r="Z19" s="584"/>
      <c r="AA19" s="584"/>
      <c r="AB19" s="584"/>
      <c r="AC19" s="584"/>
      <c r="AD19" s="584"/>
      <c r="AE19" s="584"/>
      <c r="AF19" s="584"/>
      <c r="AG19" s="584"/>
      <c r="AH19" s="584"/>
      <c r="AI19" s="584"/>
      <c r="AJ19" s="584"/>
      <c r="AK19" s="584"/>
      <c r="AL19" s="584"/>
      <c r="AM19" s="584"/>
      <c r="AN19" s="584"/>
      <c r="AO19" s="584"/>
      <c r="AP19" s="584"/>
      <c r="AQ19" s="584"/>
      <c r="AR19" s="584"/>
      <c r="AS19" s="584"/>
      <c r="AT19" s="584"/>
      <c r="AU19" s="584"/>
      <c r="AV19" s="584"/>
      <c r="AW19" s="584"/>
      <c r="AX19" s="584"/>
      <c r="AY19" s="584"/>
      <c r="AZ19" s="584"/>
      <c r="BA19" s="584"/>
      <c r="BB19" s="584"/>
      <c r="BC19" s="584"/>
      <c r="BD19" s="584"/>
      <c r="BE19" s="584"/>
      <c r="BF19" s="584"/>
      <c r="BG19" s="584"/>
      <c r="BH19" s="584"/>
      <c r="BI19" s="584"/>
      <c r="BJ19" s="584"/>
      <c r="BK19" s="584"/>
      <c r="BL19" s="584"/>
      <c r="BM19" s="584"/>
      <c r="BN19" s="584"/>
      <c r="BO19" s="584"/>
      <c r="BP19" s="584"/>
      <c r="BQ19" s="584"/>
      <c r="BR19" s="584"/>
      <c r="BS19" s="584"/>
      <c r="BT19" s="584"/>
      <c r="BU19" s="584"/>
      <c r="BV19" s="584"/>
      <c r="BW19" s="584"/>
      <c r="BX19" s="584"/>
      <c r="BY19" s="584"/>
      <c r="BZ19" s="584"/>
      <c r="CA19" s="584"/>
      <c r="CB19" s="584"/>
      <c r="CC19" s="584"/>
      <c r="CD19" s="584"/>
      <c r="CE19" s="584"/>
      <c r="CF19" s="584"/>
      <c r="CG19" s="584"/>
      <c r="CH19" s="584"/>
      <c r="CI19" s="584"/>
      <c r="CJ19" s="584"/>
      <c r="CK19" s="584"/>
      <c r="CL19" s="584"/>
      <c r="CM19" s="584"/>
      <c r="CN19" s="584"/>
      <c r="CO19" s="584"/>
      <c r="CP19" s="584"/>
      <c r="CQ19" s="584"/>
      <c r="CR19" s="584"/>
      <c r="CS19" s="584"/>
      <c r="CT19" s="584"/>
      <c r="CU19" s="584"/>
      <c r="CV19" s="584"/>
      <c r="CW19" s="584"/>
      <c r="CX19" s="584"/>
      <c r="CY19" s="584"/>
      <c r="CZ19" s="584"/>
      <c r="DA19" s="584"/>
      <c r="DB19" s="584"/>
      <c r="DC19" s="584"/>
      <c r="DD19" s="584"/>
      <c r="DE19" s="584"/>
      <c r="DF19" s="584"/>
      <c r="DG19" s="584"/>
      <c r="DH19" s="584"/>
      <c r="DI19" s="584"/>
      <c r="DJ19" s="584"/>
      <c r="DK19" s="584"/>
      <c r="DL19" s="584"/>
      <c r="DM19" s="584"/>
      <c r="DN19" s="584"/>
      <c r="DO19" s="584"/>
      <c r="DP19" s="584"/>
      <c r="DQ19" s="584"/>
      <c r="DR19" s="584"/>
      <c r="DS19" s="584"/>
      <c r="DT19" s="584"/>
      <c r="DU19" s="584"/>
      <c r="DV19" s="584"/>
      <c r="DW19" s="584"/>
      <c r="DX19" s="584"/>
    </row>
    <row r="20" ht="15.0" customHeight="1">
      <c r="A20" s="597">
        <v>43747.0</v>
      </c>
      <c r="B20" s="598" t="s">
        <v>1853</v>
      </c>
      <c r="C20" s="599" t="s">
        <v>1530</v>
      </c>
      <c r="D20" s="598">
        <v>40.0</v>
      </c>
      <c r="E20" s="589">
        <f>IFERROR(__xludf.DUMMYFUNCTION("if(and(D20&lt;&gt;0,D20&lt;&gt;""""),D20/GOOGLEFINANCE(C20,""price"")-1,"""")"),0.6135538523598225)</f>
        <v>0.6135538524</v>
      </c>
      <c r="F20" s="590">
        <f>IFERROR(__xludf.DUMMYFUNCTION("GOOGLEFINANCE(C20,""price"")"),24.79)</f>
        <v>24.79</v>
      </c>
      <c r="G20" s="589">
        <f>IFERROR(__xludf.DUMMYFUNCTION("if(and(I20&lt;&gt;0,I20&lt;&gt;""""),I20/GOOGLEFINANCE(C20,""price"")-1,"""")"),-0.8740785307464058)</f>
        <v>-0.8740785307</v>
      </c>
      <c r="H20" s="591"/>
      <c r="I20" s="592">
        <f>sum(CY20:DS20)</f>
        <v>3.121593223</v>
      </c>
      <c r="J20" s="628">
        <f>3.54*1/3</f>
        <v>1.18</v>
      </c>
      <c r="K20" s="628">
        <v>0.0</v>
      </c>
      <c r="L20" s="600">
        <v>43830.0</v>
      </c>
      <c r="M20" s="619">
        <f>(L20-now())/365</f>
        <v>0.179888423</v>
      </c>
      <c r="N20" s="620">
        <f>J20*M20+(1-M20)*K20</f>
        <v>0.2122683392</v>
      </c>
      <c r="O20" s="621">
        <v>0.0</v>
      </c>
      <c r="P20" s="621">
        <v>0.04</v>
      </c>
      <c r="Q20" s="622">
        <f>I20/N20</f>
        <v>14.70588235</v>
      </c>
      <c r="R20" s="623">
        <v>20.0</v>
      </c>
      <c r="S20" s="624">
        <v>43759.0</v>
      </c>
      <c r="T20" s="623" t="s">
        <v>1609</v>
      </c>
      <c r="U20" s="601" t="s">
        <v>1859</v>
      </c>
      <c r="V20" s="625">
        <f>O20</f>
        <v>0</v>
      </c>
      <c r="W20" s="392">
        <f>max(min(Valu!$C$15,$O20),$O20-max($O20-Valu!$C$15,0)/$R20*(W$3-1))</f>
        <v>0</v>
      </c>
      <c r="X20" s="392">
        <f>max(min(Valu!$C$15,$O20),$O20-max($O20-Valu!$C$15,0)/$R20*(X$3-1))</f>
        <v>0</v>
      </c>
      <c r="Y20" s="392">
        <f>max(min(Valu!$C$15,$O20),$O20-max($O20-Valu!$C$15,0)/$R20*(Y$3-1))</f>
        <v>0</v>
      </c>
      <c r="Z20" s="392">
        <f>max(min(Valu!$C$15,$O20),$O20-max($O20-Valu!$C$15,0)/$R20*(Z$3-1))</f>
        <v>0</v>
      </c>
      <c r="AA20" s="392">
        <f>max(min(Valu!$C$15,$O20),$O20-max($O20-Valu!$C$15,0)/$R20*(AA$3-1))</f>
        <v>0</v>
      </c>
      <c r="AB20" s="392">
        <f>max(min(Valu!$C$15,$O20),$O20-max($O20-Valu!$C$15,0)/$R20*(AB$3-1))</f>
        <v>0</v>
      </c>
      <c r="AC20" s="392">
        <f>max(min(Valu!$C$15,$O20),$O20-max($O20-Valu!$C$15,0)/$R20*(AC$3-1))</f>
        <v>0</v>
      </c>
      <c r="AD20" s="392">
        <f>max(min(Valu!$C$15,$O20),$O20-max($O20-Valu!$C$15,0)/$R20*(AD$3-1))</f>
        <v>0</v>
      </c>
      <c r="AE20" s="392">
        <f>max(min(Valu!$C$15,$O20),$O20-max($O20-Valu!$C$15,0)/$R20*(AE$3-1))</f>
        <v>0</v>
      </c>
      <c r="AF20" s="392">
        <f>max(min(Valu!$C$15,$O20),$O20-max($O20-Valu!$C$15,0)/$R20*(AF$3-1))</f>
        <v>0</v>
      </c>
      <c r="AG20" s="392">
        <f>max(min(Valu!$C$15,$O20),$O20-max($O20-Valu!$C$15,0)/$R20*(AG$3-1))</f>
        <v>0</v>
      </c>
      <c r="AH20" s="392">
        <f>max(min(Valu!$C$15,$O20),$O20-max($O20-Valu!$C$15,0)/$R20*(AH$3-1))</f>
        <v>0</v>
      </c>
      <c r="AI20" s="392">
        <f>max(min(Valu!$C$15,$O20),$O20-max($O20-Valu!$C$15,0)/$R20*(AI$3-1))</f>
        <v>0</v>
      </c>
      <c r="AJ20" s="392">
        <f>max(min(Valu!$C$15,$O20),$O20-max($O20-Valu!$C$15,0)/$R20*(AJ$3-1))</f>
        <v>0</v>
      </c>
      <c r="AK20" s="392">
        <f>max(min(Valu!$C$15,$O20),$O20-max($O20-Valu!$C$15,0)/$R20*(AK$3-1))</f>
        <v>0</v>
      </c>
      <c r="AL20" s="392">
        <f>max(min(Valu!$C$15,$O20),$O20-max($O20-Valu!$C$15,0)/$R20*(AL$3-1))</f>
        <v>0</v>
      </c>
      <c r="AM20" s="392">
        <f>max(min(Valu!$C$15,$O20),$O20-max($O20-Valu!$C$15,0)/$R20*(AM$3-1))</f>
        <v>0</v>
      </c>
      <c r="AN20" s="392">
        <f>max(min(Valu!$C$15,$O20),$O20-max($O20-Valu!$C$15,0)/$R20*(AN$3-1))</f>
        <v>0</v>
      </c>
      <c r="AO20" s="392">
        <f>max(min(Valu!$C$15,$O20),$O20-max($O20-Valu!$C$15,0)/$R20*(AO$3-1))</f>
        <v>0</v>
      </c>
      <c r="AP20" s="392">
        <f>max(min(Valu!$C$14,$P20),$P20-max($P20-Valu!$C$14,0)/$R20*(AP$3-1))</f>
        <v>0.04</v>
      </c>
      <c r="AQ20" s="392">
        <f>max(min(Valu!$C$14,$P20),$P20-max($P20-Valu!$C$14,0)/$R20*(AQ$3-1))</f>
        <v>0.04</v>
      </c>
      <c r="AR20" s="392">
        <f>max(min(Valu!$C$14,$P20),$P20-max($P20-Valu!$C$14,0)/$R20*(AR$3-1))</f>
        <v>0.04</v>
      </c>
      <c r="AS20" s="392">
        <f>max(min(Valu!$C$14,$P20),$P20-max($P20-Valu!$C$14,0)/$R20*(AS$3-1))</f>
        <v>0.04</v>
      </c>
      <c r="AT20" s="392">
        <f>max(min(Valu!$C$14,$P20),$P20-max($P20-Valu!$C$14,0)/$R20*(AT$3-1))</f>
        <v>0.04</v>
      </c>
      <c r="AU20" s="392">
        <f>max(min(Valu!$C$14,$P20),$P20-max($P20-Valu!$C$14,0)/$R20*(AU$3-1))</f>
        <v>0.04</v>
      </c>
      <c r="AV20" s="392">
        <f>max(min(Valu!$C$14,$P20),$P20-max($P20-Valu!$C$14,0)/$R20*(AV$3-1))</f>
        <v>0.04</v>
      </c>
      <c r="AW20" s="392">
        <f>max(min(Valu!$C$14,$P20),$P20-max($P20-Valu!$C$14,0)/$R20*(AW$3-1))</f>
        <v>0.04</v>
      </c>
      <c r="AX20" s="392">
        <f>max(min(Valu!$C$14,$P20),$P20-max($P20-Valu!$C$14,0)/$R20*(AX$3-1))</f>
        <v>0.04</v>
      </c>
      <c r="AY20" s="392">
        <f>max(min(Valu!$C$14,$P20),$P20-max($P20-Valu!$C$14,0)/$R20*(AY$3-1))</f>
        <v>0.04</v>
      </c>
      <c r="AZ20" s="392">
        <f>max(min(Valu!$C$14,$P20),$P20-max($P20-Valu!$C$14,0)/$R20*(AZ$3-1))</f>
        <v>0.04</v>
      </c>
      <c r="BA20" s="392">
        <f>max(min(Valu!$C$14,$P20),$P20-max($P20-Valu!$C$14,0)/$R20*(BA$3-1))</f>
        <v>0.04</v>
      </c>
      <c r="BB20" s="392">
        <f>max(min(Valu!$C$14,$P20),$P20-max($P20-Valu!$C$14,0)/$R20*(BB$3-1))</f>
        <v>0.04</v>
      </c>
      <c r="BC20" s="392">
        <f>max(min(Valu!$C$14,$P20),$P20-max($P20-Valu!$C$14,0)/$R20*(BC$3-1))</f>
        <v>0.04</v>
      </c>
      <c r="BD20" s="392">
        <f>max(min(Valu!$C$14,$P20),$P20-max($P20-Valu!$C$14,0)/$R20*(BD$3-1))</f>
        <v>0.04</v>
      </c>
      <c r="BE20" s="392">
        <f>max(min(Valu!$C$14,$P20),$P20-max($P20-Valu!$C$14,0)/$R20*(BE$3-1))</f>
        <v>0.04</v>
      </c>
      <c r="BF20" s="392">
        <f>max(min(Valu!$C$14,$P20),$P20-max($P20-Valu!$C$14,0)/$R20*(BF$3-1))</f>
        <v>0.04</v>
      </c>
      <c r="BG20" s="392">
        <f>max(min(Valu!$C$14,$P20),$P20-max($P20-Valu!$C$14,0)/$R20*(BG$3-1))</f>
        <v>0.04</v>
      </c>
      <c r="BH20" s="392">
        <f>max(min(Valu!$C$14,$P20),$P20-max($P20-Valu!$C$14,0)/$R20*(BH$3-1))</f>
        <v>0.04</v>
      </c>
      <c r="BI20" s="392">
        <f>max(min(Valu!$C$14,$P20),$P20-max($P20-Valu!$C$14,0)/$R20*(BI$3-1))</f>
        <v>0.04</v>
      </c>
      <c r="BJ20" s="393">
        <f>N20</f>
        <v>0.2122683392</v>
      </c>
      <c r="BK20" s="369">
        <f>$BJ20*(1+V20)</f>
        <v>0.2122683392</v>
      </c>
      <c r="BL20" s="369">
        <f t="shared" ref="BL20:CC20" si="8">BK20*(1+W20)</f>
        <v>0.2122683392</v>
      </c>
      <c r="BM20" s="369">
        <f t="shared" si="8"/>
        <v>0.2122683392</v>
      </c>
      <c r="BN20" s="369">
        <f t="shared" si="8"/>
        <v>0.2122683392</v>
      </c>
      <c r="BO20" s="369">
        <f t="shared" si="8"/>
        <v>0.2122683392</v>
      </c>
      <c r="BP20" s="369">
        <f t="shared" si="8"/>
        <v>0.2122683392</v>
      </c>
      <c r="BQ20" s="369">
        <f t="shared" si="8"/>
        <v>0.2122683392</v>
      </c>
      <c r="BR20" s="369">
        <f t="shared" si="8"/>
        <v>0.2122683392</v>
      </c>
      <c r="BS20" s="369">
        <f t="shared" si="8"/>
        <v>0.2122683392</v>
      </c>
      <c r="BT20" s="369">
        <f t="shared" si="8"/>
        <v>0.2122683392</v>
      </c>
      <c r="BU20" s="369">
        <f t="shared" si="8"/>
        <v>0.2122683392</v>
      </c>
      <c r="BV20" s="369">
        <f t="shared" si="8"/>
        <v>0.2122683392</v>
      </c>
      <c r="BW20" s="369">
        <f t="shared" si="8"/>
        <v>0.2122683392</v>
      </c>
      <c r="BX20" s="369">
        <f t="shared" si="8"/>
        <v>0.2122683392</v>
      </c>
      <c r="BY20" s="369">
        <f t="shared" si="8"/>
        <v>0.2122683392</v>
      </c>
      <c r="BZ20" s="369">
        <f t="shared" si="8"/>
        <v>0.2122683392</v>
      </c>
      <c r="CA20" s="369">
        <f t="shared" si="8"/>
        <v>0.2122683392</v>
      </c>
      <c r="CB20" s="369">
        <f t="shared" si="8"/>
        <v>0.2122683392</v>
      </c>
      <c r="CC20" s="369">
        <f t="shared" si="8"/>
        <v>0.2122683392</v>
      </c>
      <c r="CD20" s="369">
        <f t="shared" ref="CD20:CW20" si="9">BJ20*(1-V20/AP20)</f>
        <v>0.2122683392</v>
      </c>
      <c r="CE20" s="369">
        <f t="shared" si="9"/>
        <v>0.2122683392</v>
      </c>
      <c r="CF20" s="369">
        <f t="shared" si="9"/>
        <v>0.2122683392</v>
      </c>
      <c r="CG20" s="369">
        <f t="shared" si="9"/>
        <v>0.2122683392</v>
      </c>
      <c r="CH20" s="369">
        <f t="shared" si="9"/>
        <v>0.2122683392</v>
      </c>
      <c r="CI20" s="369">
        <f t="shared" si="9"/>
        <v>0.2122683392</v>
      </c>
      <c r="CJ20" s="369">
        <f t="shared" si="9"/>
        <v>0.2122683392</v>
      </c>
      <c r="CK20" s="369">
        <f t="shared" si="9"/>
        <v>0.2122683392</v>
      </c>
      <c r="CL20" s="369">
        <f t="shared" si="9"/>
        <v>0.2122683392</v>
      </c>
      <c r="CM20" s="369">
        <f t="shared" si="9"/>
        <v>0.2122683392</v>
      </c>
      <c r="CN20" s="369">
        <f t="shared" si="9"/>
        <v>0.2122683392</v>
      </c>
      <c r="CO20" s="369">
        <f t="shared" si="9"/>
        <v>0.2122683392</v>
      </c>
      <c r="CP20" s="369">
        <f t="shared" si="9"/>
        <v>0.2122683392</v>
      </c>
      <c r="CQ20" s="369">
        <f t="shared" si="9"/>
        <v>0.2122683392</v>
      </c>
      <c r="CR20" s="369">
        <f t="shared" si="9"/>
        <v>0.2122683392</v>
      </c>
      <c r="CS20" s="369">
        <f t="shared" si="9"/>
        <v>0.2122683392</v>
      </c>
      <c r="CT20" s="369">
        <f t="shared" si="9"/>
        <v>0.2122683392</v>
      </c>
      <c r="CU20" s="369">
        <f t="shared" si="9"/>
        <v>0.2122683392</v>
      </c>
      <c r="CV20" s="369">
        <f t="shared" si="9"/>
        <v>0.2122683392</v>
      </c>
      <c r="CW20" s="369">
        <f t="shared" si="9"/>
        <v>0.2122683392</v>
      </c>
      <c r="CX20" s="369">
        <f>CW20*(1+min(Valu!$C$15,$O20))/(Valu!$C$21-min(Valu!$C$15,$O20))</f>
        <v>3.121593223</v>
      </c>
      <c r="CY20" s="369">
        <f>CD20/(1+Valu!$C$21)^CY$3</f>
        <v>0.1987531265</v>
      </c>
      <c r="CZ20" s="369">
        <f>CE20/(1+Valu!$C$21)^CZ$3</f>
        <v>0.1860984331</v>
      </c>
      <c r="DA20" s="369">
        <f>CF20/(1+Valu!$C$21)^DA$3</f>
        <v>0.1742494692</v>
      </c>
      <c r="DB20" s="369">
        <f>CG20/(1+Valu!$C$21)^DB$3</f>
        <v>0.1631549337</v>
      </c>
      <c r="DC20" s="369">
        <f>CH20/(1+Valu!$C$21)^DC$3</f>
        <v>0.1527667919</v>
      </c>
      <c r="DD20" s="369">
        <f>CI20/(1+Valu!$C$21)^DD$3</f>
        <v>0.1430400673</v>
      </c>
      <c r="DE20" s="369">
        <f>CJ20/(1+Valu!$C$21)^DE$3</f>
        <v>0.1339326473</v>
      </c>
      <c r="DF20" s="369">
        <f>CK20/(1+Valu!$C$21)^DF$3</f>
        <v>0.1254051004</v>
      </c>
      <c r="DG20" s="369">
        <f>CL20/(1+Valu!$C$21)^DG$3</f>
        <v>0.117420506</v>
      </c>
      <c r="DH20" s="369">
        <f>CM20/(1+Valu!$C$21)^DH$3</f>
        <v>0.109944294</v>
      </c>
      <c r="DI20" s="369">
        <f>CN20/(1+Valu!$C$21)^DI$3</f>
        <v>0.1029440955</v>
      </c>
      <c r="DJ20" s="369">
        <f>CO20/(1+Valu!$C$21)^DJ$3</f>
        <v>0.09638960256</v>
      </c>
      <c r="DK20" s="369">
        <f>CP20/(1+Valu!$C$21)^DK$3</f>
        <v>0.09025243685</v>
      </c>
      <c r="DL20" s="369">
        <f>CQ20/(1+Valu!$C$21)^DL$3</f>
        <v>0.08450602702</v>
      </c>
      <c r="DM20" s="369">
        <f>CR20/(1+Valu!$C$21)^DM$3</f>
        <v>0.07912549346</v>
      </c>
      <c r="DN20" s="369">
        <f>CS20/(1+Valu!$C$21)^DN$3</f>
        <v>0.07408754069</v>
      </c>
      <c r="DO20" s="369">
        <f>CT20/(1+Valu!$C$21)^DO$3</f>
        <v>0.06937035646</v>
      </c>
      <c r="DP20" s="369">
        <f>CU20/(1+Valu!$C$21)^DP$3</f>
        <v>0.06495351728</v>
      </c>
      <c r="DQ20" s="369">
        <f>CV20/(1+Valu!$C$21)^DQ$3</f>
        <v>0.06081790008</v>
      </c>
      <c r="DR20" s="369">
        <f>CW20/(1+Valu!$C$21)^DR$3</f>
        <v>0.05694559932</v>
      </c>
      <c r="DS20" s="369">
        <f>CX20/(1+Valu!$C$21)^DS$3</f>
        <v>0.8374352841</v>
      </c>
      <c r="DT20" s="584"/>
      <c r="DU20" s="584"/>
      <c r="DV20" s="584"/>
      <c r="DW20" s="584"/>
      <c r="DX20" s="584"/>
    </row>
    <row r="21" ht="15.0" customHeight="1">
      <c r="A21" s="574">
        <v>41729.0</v>
      </c>
      <c r="B21" s="575" t="s">
        <v>1874</v>
      </c>
      <c r="C21" s="576" t="s">
        <v>1725</v>
      </c>
      <c r="D21" s="575"/>
      <c r="E21" s="577" t="str">
        <f>IFERROR(__xludf.DUMMYFUNCTION("if(and(D21&lt;&gt;0,D21&lt;&gt;""""),D21/GOOGLEFINANCE(C21,""price"")-1,"""")"),"")</f>
        <v/>
      </c>
      <c r="F21" s="578">
        <f>IFERROR(__xludf.DUMMYFUNCTION("GOOGLEFINANCE(C21,""price"")"),1.65)</f>
        <v>1.65</v>
      </c>
      <c r="G21" s="577">
        <f>IFERROR(__xludf.DUMMYFUNCTION("if(and(I21&lt;&gt;0,I21&lt;&gt;""""),I21/GOOGLEFINANCE(C21,""price"")-1,"""")"),2.0303030303030303)</f>
        <v>2.03030303</v>
      </c>
      <c r="H21" s="579"/>
      <c r="I21" s="610">
        <v>5.0</v>
      </c>
      <c r="J21" s="575"/>
      <c r="K21" s="575"/>
      <c r="L21" s="575"/>
      <c r="M21" s="575"/>
      <c r="N21" s="575"/>
      <c r="O21" s="575"/>
      <c r="P21" s="575"/>
      <c r="Q21" s="575"/>
      <c r="R21" s="575"/>
      <c r="S21" s="575"/>
      <c r="T21" s="575"/>
      <c r="U21" s="581" t="s">
        <v>1875</v>
      </c>
      <c r="V21" s="582"/>
      <c r="W21" s="583"/>
      <c r="X21" s="584"/>
      <c r="Y21" s="584"/>
      <c r="Z21" s="584"/>
      <c r="AA21" s="584"/>
      <c r="AB21" s="584"/>
      <c r="AC21" s="584"/>
      <c r="AD21" s="584"/>
      <c r="AE21" s="584"/>
      <c r="AF21" s="584"/>
      <c r="AG21" s="584"/>
      <c r="AH21" s="584"/>
      <c r="AI21" s="584"/>
      <c r="AJ21" s="584"/>
      <c r="AK21" s="584"/>
      <c r="AL21" s="584"/>
      <c r="AM21" s="584"/>
      <c r="AN21" s="584"/>
      <c r="AO21" s="584"/>
      <c r="AP21" s="584"/>
      <c r="AQ21" s="584"/>
      <c r="AR21" s="584"/>
      <c r="AS21" s="584"/>
      <c r="AT21" s="584"/>
      <c r="AU21" s="584"/>
      <c r="AV21" s="584"/>
      <c r="AW21" s="584"/>
      <c r="AX21" s="584"/>
      <c r="AY21" s="584"/>
      <c r="AZ21" s="584"/>
      <c r="BA21" s="584"/>
      <c r="BB21" s="584"/>
      <c r="BC21" s="584"/>
      <c r="BD21" s="584"/>
      <c r="BE21" s="584"/>
      <c r="BF21" s="584"/>
      <c r="BG21" s="584"/>
      <c r="BH21" s="584"/>
      <c r="BI21" s="584"/>
      <c r="BJ21" s="584"/>
      <c r="BK21" s="584"/>
      <c r="BL21" s="584"/>
      <c r="BM21" s="584"/>
      <c r="BN21" s="584"/>
      <c r="BO21" s="584"/>
      <c r="BP21" s="584"/>
      <c r="BQ21" s="584"/>
      <c r="BR21" s="584"/>
      <c r="BS21" s="584"/>
      <c r="BT21" s="584"/>
      <c r="BU21" s="584"/>
      <c r="BV21" s="584"/>
      <c r="BW21" s="584"/>
      <c r="BX21" s="584"/>
      <c r="BY21" s="584"/>
      <c r="BZ21" s="584"/>
      <c r="CA21" s="584"/>
      <c r="CB21" s="584"/>
      <c r="CC21" s="584"/>
      <c r="CD21" s="584"/>
      <c r="CE21" s="584"/>
      <c r="CF21" s="584"/>
      <c r="CG21" s="584"/>
      <c r="CH21" s="584"/>
      <c r="CI21" s="584"/>
      <c r="CJ21" s="584"/>
      <c r="CK21" s="584"/>
      <c r="CL21" s="584"/>
      <c r="CM21" s="584"/>
      <c r="CN21" s="584"/>
      <c r="CO21" s="584"/>
      <c r="CP21" s="584"/>
      <c r="CQ21" s="584"/>
      <c r="CR21" s="584"/>
      <c r="CS21" s="584"/>
      <c r="CT21" s="584"/>
      <c r="CU21" s="584"/>
      <c r="CV21" s="584"/>
      <c r="CW21" s="584"/>
      <c r="CX21" s="584"/>
      <c r="CY21" s="584"/>
      <c r="CZ21" s="584"/>
      <c r="DA21" s="584"/>
      <c r="DB21" s="584"/>
      <c r="DC21" s="584"/>
      <c r="DD21" s="584"/>
      <c r="DE21" s="584"/>
      <c r="DF21" s="584"/>
      <c r="DG21" s="584"/>
      <c r="DH21" s="584"/>
      <c r="DI21" s="584"/>
      <c r="DJ21" s="584"/>
      <c r="DK21" s="584"/>
      <c r="DL21" s="584"/>
      <c r="DM21" s="584"/>
      <c r="DN21" s="584"/>
      <c r="DO21" s="584"/>
      <c r="DP21" s="584"/>
      <c r="DQ21" s="584"/>
      <c r="DR21" s="584"/>
      <c r="DS21" s="584"/>
      <c r="DT21" s="584"/>
      <c r="DU21" s="584"/>
      <c r="DV21" s="584"/>
      <c r="DW21" s="584"/>
      <c r="DX21" s="584"/>
    </row>
    <row r="22" ht="15.0" customHeight="1">
      <c r="A22" s="574">
        <v>41118.0</v>
      </c>
      <c r="B22" s="575" t="s">
        <v>1878</v>
      </c>
      <c r="C22" s="576" t="s">
        <v>617</v>
      </c>
      <c r="D22" s="575"/>
      <c r="E22" s="577" t="str">
        <f>IFERROR(__xludf.DUMMYFUNCTION("if(and(D22&lt;&gt;0,D22&lt;&gt;""""),D22/GOOGLEFINANCE(C22,""price"")-1,"""")"),"")</f>
        <v/>
      </c>
      <c r="F22" s="578">
        <f>IFERROR(__xludf.DUMMYFUNCTION("GOOGLEFINANCE(C22,""price"")"),0.37)</f>
        <v>0.37</v>
      </c>
      <c r="G22" s="577" t="str">
        <f>IFERROR(__xludf.DUMMYFUNCTION("if(and(I22&lt;&gt;0,I22&lt;&gt;""""),I22/GOOGLEFINANCE(C22,""price"")-1,"""")"),"")</f>
        <v/>
      </c>
      <c r="H22" s="579"/>
      <c r="I22" s="580"/>
      <c r="J22" s="575"/>
      <c r="K22" s="575"/>
      <c r="L22" s="575"/>
      <c r="M22" s="575"/>
      <c r="N22" s="575"/>
      <c r="O22" s="575"/>
      <c r="P22" s="575"/>
      <c r="Q22" s="575"/>
      <c r="R22" s="575"/>
      <c r="S22" s="575"/>
      <c r="T22" s="575"/>
      <c r="U22" s="581" t="s">
        <v>1879</v>
      </c>
      <c r="V22" s="582"/>
      <c r="W22" s="583"/>
      <c r="X22" s="584"/>
      <c r="Y22" s="584"/>
      <c r="Z22" s="584"/>
      <c r="AA22" s="584"/>
      <c r="AB22" s="584"/>
      <c r="AC22" s="584"/>
      <c r="AD22" s="584"/>
      <c r="AE22" s="584"/>
      <c r="AF22" s="584"/>
      <c r="AG22" s="584"/>
      <c r="AH22" s="584"/>
      <c r="AI22" s="584"/>
      <c r="AJ22" s="584"/>
      <c r="AK22" s="584"/>
      <c r="AL22" s="584"/>
      <c r="AM22" s="584"/>
      <c r="AN22" s="584"/>
      <c r="AO22" s="584"/>
      <c r="AP22" s="584"/>
      <c r="AQ22" s="584"/>
      <c r="AR22" s="584"/>
      <c r="AS22" s="584"/>
      <c r="AT22" s="584"/>
      <c r="AU22" s="584"/>
      <c r="AV22" s="584"/>
      <c r="AW22" s="584"/>
      <c r="AX22" s="584"/>
      <c r="AY22" s="584"/>
      <c r="AZ22" s="584"/>
      <c r="BA22" s="584"/>
      <c r="BB22" s="584"/>
      <c r="BC22" s="584"/>
      <c r="BD22" s="584"/>
      <c r="BE22" s="584"/>
      <c r="BF22" s="584"/>
      <c r="BG22" s="584"/>
      <c r="BH22" s="584"/>
      <c r="BI22" s="584"/>
      <c r="BJ22" s="584"/>
      <c r="BK22" s="584"/>
      <c r="BL22" s="584"/>
      <c r="BM22" s="584"/>
      <c r="BN22" s="584"/>
      <c r="BO22" s="584"/>
      <c r="BP22" s="584"/>
      <c r="BQ22" s="584"/>
      <c r="BR22" s="584"/>
      <c r="BS22" s="584"/>
      <c r="BT22" s="584"/>
      <c r="BU22" s="584"/>
      <c r="BV22" s="584"/>
      <c r="BW22" s="584"/>
      <c r="BX22" s="584"/>
      <c r="BY22" s="584"/>
      <c r="BZ22" s="584"/>
      <c r="CA22" s="584"/>
      <c r="CB22" s="584"/>
      <c r="CC22" s="584"/>
      <c r="CD22" s="584"/>
      <c r="CE22" s="584"/>
      <c r="CF22" s="584"/>
      <c r="CG22" s="584"/>
      <c r="CH22" s="584"/>
      <c r="CI22" s="584"/>
      <c r="CJ22" s="584"/>
      <c r="CK22" s="584"/>
      <c r="CL22" s="584"/>
      <c r="CM22" s="584"/>
      <c r="CN22" s="584"/>
      <c r="CO22" s="584"/>
      <c r="CP22" s="584"/>
      <c r="CQ22" s="584"/>
      <c r="CR22" s="584"/>
      <c r="CS22" s="584"/>
      <c r="CT22" s="584"/>
      <c r="CU22" s="584"/>
      <c r="CV22" s="584"/>
      <c r="CW22" s="584"/>
      <c r="CX22" s="584"/>
      <c r="CY22" s="584"/>
      <c r="CZ22" s="584"/>
      <c r="DA22" s="584"/>
      <c r="DB22" s="584"/>
      <c r="DC22" s="584"/>
      <c r="DD22" s="584"/>
      <c r="DE22" s="584"/>
      <c r="DF22" s="584"/>
      <c r="DG22" s="584"/>
      <c r="DH22" s="584"/>
      <c r="DI22" s="584"/>
      <c r="DJ22" s="584"/>
      <c r="DK22" s="584"/>
      <c r="DL22" s="584"/>
      <c r="DM22" s="584"/>
      <c r="DN22" s="584"/>
      <c r="DO22" s="584"/>
      <c r="DP22" s="584"/>
      <c r="DQ22" s="584"/>
      <c r="DR22" s="584"/>
      <c r="DS22" s="584"/>
      <c r="DT22" s="584"/>
      <c r="DU22" s="584"/>
      <c r="DV22" s="584"/>
      <c r="DW22" s="584"/>
      <c r="DX22" s="584"/>
    </row>
    <row r="23" ht="15.0" customHeight="1">
      <c r="A23" s="607">
        <v>42408.0</v>
      </c>
      <c r="B23" s="608" t="s">
        <v>1881</v>
      </c>
      <c r="C23" s="609" t="s">
        <v>1882</v>
      </c>
      <c r="D23" s="608">
        <v>7.5</v>
      </c>
      <c r="E23" s="577">
        <f>IFERROR(__xludf.DUMMYFUNCTION("if(and(D23&lt;&gt;0,D23&lt;&gt;""""),D23/GOOGLEFINANCE(C23,""price"")-1,"""")"),0.7605633802816902)</f>
        <v>0.7605633803</v>
      </c>
      <c r="F23" s="578">
        <f>IFERROR(__xludf.DUMMYFUNCTION("GOOGLEFINANCE(C23,""price"")"),4.26)</f>
        <v>4.26</v>
      </c>
      <c r="G23" s="577">
        <f>IFERROR(__xludf.DUMMYFUNCTION("if(and(I23&lt;&gt;0,I23&lt;&gt;""""),I23/GOOGLEFINANCE(C23,""price"")-1,"""")"),-0.8826291079812206)</f>
        <v>-0.882629108</v>
      </c>
      <c r="H23" s="579"/>
      <c r="I23" s="610">
        <v>0.5</v>
      </c>
      <c r="J23" s="575"/>
      <c r="K23" s="575"/>
      <c r="L23" s="575"/>
      <c r="M23" s="575"/>
      <c r="N23" s="575"/>
      <c r="O23" s="575"/>
      <c r="P23" s="575"/>
      <c r="Q23" s="575"/>
      <c r="R23" s="575"/>
      <c r="S23" s="575"/>
      <c r="T23" s="575"/>
      <c r="U23" s="581" t="s">
        <v>1884</v>
      </c>
      <c r="V23" s="582"/>
      <c r="W23" s="583"/>
      <c r="X23" s="584"/>
      <c r="Y23" s="584"/>
      <c r="Z23" s="584"/>
      <c r="AA23" s="584"/>
      <c r="AB23" s="584"/>
      <c r="AC23" s="584"/>
      <c r="AD23" s="584"/>
      <c r="AE23" s="584"/>
      <c r="AF23" s="584"/>
      <c r="AG23" s="584"/>
      <c r="AH23" s="584"/>
      <c r="AI23" s="584"/>
      <c r="AJ23" s="584"/>
      <c r="AK23" s="584"/>
      <c r="AL23" s="584"/>
      <c r="AM23" s="584"/>
      <c r="AN23" s="584"/>
      <c r="AO23" s="584"/>
      <c r="AP23" s="584"/>
      <c r="AQ23" s="584"/>
      <c r="AR23" s="584"/>
      <c r="AS23" s="584"/>
      <c r="AT23" s="584"/>
      <c r="AU23" s="584"/>
      <c r="AV23" s="584"/>
      <c r="AW23" s="584"/>
      <c r="AX23" s="584"/>
      <c r="AY23" s="584"/>
      <c r="AZ23" s="584"/>
      <c r="BA23" s="584"/>
      <c r="BB23" s="584"/>
      <c r="BC23" s="584"/>
      <c r="BD23" s="584"/>
      <c r="BE23" s="584"/>
      <c r="BF23" s="584"/>
      <c r="BG23" s="584"/>
      <c r="BH23" s="584"/>
      <c r="BI23" s="584"/>
      <c r="BJ23" s="584"/>
      <c r="BK23" s="584"/>
      <c r="BL23" s="584"/>
      <c r="BM23" s="584"/>
      <c r="BN23" s="584"/>
      <c r="BO23" s="584"/>
      <c r="BP23" s="584"/>
      <c r="BQ23" s="584"/>
      <c r="BR23" s="584"/>
      <c r="BS23" s="584"/>
      <c r="BT23" s="584"/>
      <c r="BU23" s="584"/>
      <c r="BV23" s="584"/>
      <c r="BW23" s="584"/>
      <c r="BX23" s="584"/>
      <c r="BY23" s="584"/>
      <c r="BZ23" s="584"/>
      <c r="CA23" s="584"/>
      <c r="CB23" s="584"/>
      <c r="CC23" s="584"/>
      <c r="CD23" s="584"/>
      <c r="CE23" s="584"/>
      <c r="CF23" s="584"/>
      <c r="CG23" s="584"/>
      <c r="CH23" s="584"/>
      <c r="CI23" s="584"/>
      <c r="CJ23" s="584"/>
      <c r="CK23" s="584"/>
      <c r="CL23" s="584"/>
      <c r="CM23" s="584"/>
      <c r="CN23" s="584"/>
      <c r="CO23" s="584"/>
      <c r="CP23" s="584"/>
      <c r="CQ23" s="584"/>
      <c r="CR23" s="584"/>
      <c r="CS23" s="584"/>
      <c r="CT23" s="584"/>
      <c r="CU23" s="584"/>
      <c r="CV23" s="584"/>
      <c r="CW23" s="584"/>
      <c r="CX23" s="584"/>
      <c r="CY23" s="584"/>
      <c r="CZ23" s="584"/>
      <c r="DA23" s="584"/>
      <c r="DB23" s="584"/>
      <c r="DC23" s="584"/>
      <c r="DD23" s="584"/>
      <c r="DE23" s="584"/>
      <c r="DF23" s="584"/>
      <c r="DG23" s="584"/>
      <c r="DH23" s="584"/>
      <c r="DI23" s="584"/>
      <c r="DJ23" s="584"/>
      <c r="DK23" s="584"/>
      <c r="DL23" s="584"/>
      <c r="DM23" s="584"/>
      <c r="DN23" s="584"/>
      <c r="DO23" s="584"/>
      <c r="DP23" s="584"/>
      <c r="DQ23" s="584"/>
      <c r="DR23" s="584"/>
      <c r="DS23" s="584"/>
      <c r="DT23" s="584"/>
      <c r="DU23" s="584"/>
      <c r="DV23" s="584"/>
      <c r="DW23" s="584"/>
      <c r="DX23" s="584"/>
    </row>
    <row r="24" ht="15.0" customHeight="1">
      <c r="A24" s="574">
        <v>41107.0</v>
      </c>
      <c r="B24" s="575" t="s">
        <v>1885</v>
      </c>
      <c r="C24" s="576" t="s">
        <v>511</v>
      </c>
      <c r="D24" s="575"/>
      <c r="E24" s="577" t="str">
        <f>IFERROR(__xludf.DUMMYFUNCTION("if(and(D24&lt;&gt;0,D24&lt;&gt;""""),D24/GOOGLEFINANCE(C24,""price"")-1,"""")"),"")</f>
        <v/>
      </c>
      <c r="F24" s="578">
        <f>IFERROR(__xludf.DUMMYFUNCTION("GOOGLEFINANCE(C24,""price"")"),120.9)</f>
        <v>120.9</v>
      </c>
      <c r="G24" s="577" t="str">
        <f>IFERROR(__xludf.DUMMYFUNCTION("if(and(I24&lt;&gt;0,I24&lt;&gt;""""),I24/GOOGLEFINANCE(C24,""price"")-1,"""")"),"")</f>
        <v/>
      </c>
      <c r="H24" s="579"/>
      <c r="I24" s="580"/>
      <c r="J24" s="575"/>
      <c r="K24" s="575"/>
      <c r="L24" s="575"/>
      <c r="M24" s="575"/>
      <c r="N24" s="575"/>
      <c r="O24" s="575"/>
      <c r="P24" s="575"/>
      <c r="Q24" s="575"/>
      <c r="R24" s="575"/>
      <c r="S24" s="575"/>
      <c r="T24" s="575"/>
      <c r="U24" s="581" t="s">
        <v>1884</v>
      </c>
      <c r="V24" s="582"/>
      <c r="W24" s="583"/>
      <c r="X24" s="584"/>
      <c r="Y24" s="584"/>
      <c r="Z24" s="584"/>
      <c r="AA24" s="584"/>
      <c r="AB24" s="584"/>
      <c r="AC24" s="584"/>
      <c r="AD24" s="584"/>
      <c r="AE24" s="584"/>
      <c r="AF24" s="584"/>
      <c r="AG24" s="584"/>
      <c r="AH24" s="584"/>
      <c r="AI24" s="584"/>
      <c r="AJ24" s="584"/>
      <c r="AK24" s="584"/>
      <c r="AL24" s="584"/>
      <c r="AM24" s="584"/>
      <c r="AN24" s="584"/>
      <c r="AO24" s="584"/>
      <c r="AP24" s="584"/>
      <c r="AQ24" s="584"/>
      <c r="AR24" s="584"/>
      <c r="AS24" s="584"/>
      <c r="AT24" s="584"/>
      <c r="AU24" s="584"/>
      <c r="AV24" s="584"/>
      <c r="AW24" s="584"/>
      <c r="AX24" s="584"/>
      <c r="AY24" s="584"/>
      <c r="AZ24" s="584"/>
      <c r="BA24" s="584"/>
      <c r="BB24" s="584"/>
      <c r="BC24" s="584"/>
      <c r="BD24" s="584"/>
      <c r="BE24" s="584"/>
      <c r="BF24" s="584"/>
      <c r="BG24" s="584"/>
      <c r="BH24" s="584"/>
      <c r="BI24" s="584"/>
      <c r="BJ24" s="584"/>
      <c r="BK24" s="584"/>
      <c r="BL24" s="584"/>
      <c r="BM24" s="584"/>
      <c r="BN24" s="584"/>
      <c r="BO24" s="584"/>
      <c r="BP24" s="584"/>
      <c r="BQ24" s="584"/>
      <c r="BR24" s="584"/>
      <c r="BS24" s="584"/>
      <c r="BT24" s="584"/>
      <c r="BU24" s="584"/>
      <c r="BV24" s="584"/>
      <c r="BW24" s="584"/>
      <c r="BX24" s="584"/>
      <c r="BY24" s="584"/>
      <c r="BZ24" s="584"/>
      <c r="CA24" s="584"/>
      <c r="CB24" s="584"/>
      <c r="CC24" s="584"/>
      <c r="CD24" s="584"/>
      <c r="CE24" s="584"/>
      <c r="CF24" s="584"/>
      <c r="CG24" s="584"/>
      <c r="CH24" s="584"/>
      <c r="CI24" s="584"/>
      <c r="CJ24" s="584"/>
      <c r="CK24" s="584"/>
      <c r="CL24" s="584"/>
      <c r="CM24" s="584"/>
      <c r="CN24" s="584"/>
      <c r="CO24" s="584"/>
      <c r="CP24" s="584"/>
      <c r="CQ24" s="584"/>
      <c r="CR24" s="584"/>
      <c r="CS24" s="584"/>
      <c r="CT24" s="584"/>
      <c r="CU24" s="584"/>
      <c r="CV24" s="584"/>
      <c r="CW24" s="584"/>
      <c r="CX24" s="584"/>
      <c r="CY24" s="584"/>
      <c r="CZ24" s="584"/>
      <c r="DA24" s="584"/>
      <c r="DB24" s="584"/>
      <c r="DC24" s="584"/>
      <c r="DD24" s="584"/>
      <c r="DE24" s="584"/>
      <c r="DF24" s="584"/>
      <c r="DG24" s="584"/>
      <c r="DH24" s="584"/>
      <c r="DI24" s="584"/>
      <c r="DJ24" s="584"/>
      <c r="DK24" s="584"/>
      <c r="DL24" s="584"/>
      <c r="DM24" s="584"/>
      <c r="DN24" s="584"/>
      <c r="DO24" s="584"/>
      <c r="DP24" s="584"/>
      <c r="DQ24" s="584"/>
      <c r="DR24" s="584"/>
      <c r="DS24" s="584"/>
      <c r="DT24" s="584"/>
      <c r="DU24" s="584"/>
      <c r="DV24" s="584"/>
      <c r="DW24" s="584"/>
      <c r="DX24" s="584"/>
    </row>
    <row r="25" ht="15.0" customHeight="1">
      <c r="A25" s="585">
        <v>41131.0</v>
      </c>
      <c r="B25" s="586" t="s">
        <v>1886</v>
      </c>
      <c r="C25" s="587" t="s">
        <v>1887</v>
      </c>
      <c r="D25" s="586"/>
      <c r="E25" s="589" t="str">
        <f>IFERROR(__xludf.DUMMYFUNCTION("if(and(D25&lt;&gt;0,D25&lt;&gt;""""),D25/GOOGLEFINANCE(C25,""price"")-1,"""")"),"")</f>
        <v/>
      </c>
      <c r="F25" s="590">
        <f>IFERROR(__xludf.DUMMYFUNCTION("GOOGLEFINANCE(C25,""price"")"),10.7)</f>
        <v>10.7</v>
      </c>
      <c r="G25" s="589" t="str">
        <f>IFERROR(__xludf.DUMMYFUNCTION("if(and(I25&lt;&gt;0,I25&lt;&gt;""""),I25/GOOGLEFINANCE(C25,""price"")-1,"""")"),"")</f>
        <v/>
      </c>
      <c r="H25" s="591"/>
      <c r="I25" s="602"/>
      <c r="J25" s="586"/>
      <c r="K25" s="586"/>
      <c r="L25" s="586"/>
      <c r="M25" s="586"/>
      <c r="N25" s="586"/>
      <c r="O25" s="586"/>
      <c r="P25" s="586"/>
      <c r="Q25" s="586"/>
      <c r="R25" s="586"/>
      <c r="S25" s="586"/>
      <c r="T25" s="586"/>
      <c r="U25" s="603" t="s">
        <v>1888</v>
      </c>
      <c r="V25" s="604"/>
      <c r="W25" s="605"/>
      <c r="X25" s="606"/>
      <c r="Y25" s="606"/>
      <c r="Z25" s="606"/>
      <c r="AA25" s="606"/>
      <c r="AB25" s="606"/>
      <c r="AC25" s="606"/>
      <c r="AD25" s="606"/>
      <c r="AE25" s="606"/>
      <c r="AF25" s="606"/>
      <c r="AG25" s="606"/>
      <c r="AH25" s="606"/>
      <c r="AI25" s="606"/>
      <c r="AJ25" s="606"/>
      <c r="AK25" s="606"/>
      <c r="AL25" s="606"/>
      <c r="AM25" s="606"/>
      <c r="AN25" s="606"/>
      <c r="AO25" s="606"/>
      <c r="AP25" s="606"/>
      <c r="AQ25" s="606"/>
      <c r="AR25" s="606"/>
      <c r="AS25" s="606"/>
      <c r="AT25" s="606"/>
      <c r="AU25" s="606"/>
      <c r="AV25" s="606"/>
      <c r="AW25" s="606"/>
      <c r="AX25" s="606"/>
      <c r="AY25" s="606"/>
      <c r="AZ25" s="606"/>
      <c r="BA25" s="606"/>
      <c r="BB25" s="606"/>
      <c r="BC25" s="606"/>
      <c r="BD25" s="606"/>
      <c r="BE25" s="606"/>
      <c r="BF25" s="606"/>
      <c r="BG25" s="606"/>
      <c r="BH25" s="606"/>
      <c r="BI25" s="606"/>
      <c r="BJ25" s="606"/>
      <c r="BK25" s="606"/>
      <c r="BL25" s="606"/>
      <c r="BM25" s="606"/>
      <c r="BN25" s="606"/>
      <c r="BO25" s="606"/>
      <c r="BP25" s="606"/>
      <c r="BQ25" s="606"/>
      <c r="BR25" s="606"/>
      <c r="BS25" s="606"/>
      <c r="BT25" s="606"/>
      <c r="BU25" s="606"/>
      <c r="BV25" s="606"/>
      <c r="BW25" s="606"/>
      <c r="BX25" s="606"/>
      <c r="BY25" s="606"/>
      <c r="BZ25" s="606"/>
      <c r="CA25" s="606"/>
      <c r="CB25" s="606"/>
      <c r="CC25" s="606"/>
      <c r="CD25" s="606"/>
      <c r="CE25" s="606"/>
      <c r="CF25" s="606"/>
      <c r="CG25" s="606"/>
      <c r="CH25" s="606"/>
      <c r="CI25" s="606"/>
      <c r="CJ25" s="606"/>
      <c r="CK25" s="606"/>
      <c r="CL25" s="606"/>
      <c r="CM25" s="606"/>
      <c r="CN25" s="606"/>
      <c r="CO25" s="606"/>
      <c r="CP25" s="606"/>
      <c r="CQ25" s="606"/>
      <c r="CR25" s="606"/>
      <c r="CS25" s="606"/>
      <c r="CT25" s="606"/>
      <c r="CU25" s="606"/>
      <c r="CV25" s="606"/>
      <c r="CW25" s="606"/>
      <c r="CX25" s="606"/>
      <c r="CY25" s="606"/>
      <c r="CZ25" s="606"/>
      <c r="DA25" s="606"/>
      <c r="DB25" s="606"/>
      <c r="DC25" s="606"/>
      <c r="DD25" s="606"/>
      <c r="DE25" s="606"/>
      <c r="DF25" s="606"/>
      <c r="DG25" s="606"/>
      <c r="DH25" s="606"/>
      <c r="DI25" s="606"/>
      <c r="DJ25" s="606"/>
      <c r="DK25" s="606"/>
      <c r="DL25" s="606"/>
      <c r="DM25" s="606"/>
      <c r="DN25" s="606"/>
      <c r="DO25" s="606"/>
      <c r="DP25" s="606"/>
      <c r="DQ25" s="606"/>
      <c r="DR25" s="606"/>
      <c r="DS25" s="606"/>
      <c r="DT25" s="606"/>
      <c r="DU25" s="606"/>
      <c r="DV25" s="606"/>
      <c r="DW25" s="606"/>
      <c r="DX25" s="606"/>
    </row>
    <row r="26" ht="15.0" customHeight="1">
      <c r="A26" s="611">
        <v>42249.0</v>
      </c>
      <c r="B26" s="588" t="s">
        <v>1889</v>
      </c>
      <c r="C26" s="612" t="s">
        <v>1890</v>
      </c>
      <c r="D26" s="588">
        <v>9.25</v>
      </c>
      <c r="E26" s="589" t="str">
        <f>IFERROR(__xludf.DUMMYFUNCTION("if(and(D26&lt;&gt;0,D26&lt;&gt;""""),D26/GOOGLEFINANCE(C26,""price"")-1,"""")"),"#N/A")</f>
        <v>#N/A</v>
      </c>
      <c r="F26" s="590" t="str">
        <f>IFERROR(__xludf.DUMMYFUNCTION("GOOGLEFINANCE(C26,""price"")"),"#N/A")</f>
        <v>#N/A</v>
      </c>
      <c r="G26" s="589" t="str">
        <f>IFERROR(__xludf.DUMMYFUNCTION("if(and(I26&lt;&gt;0,I26&lt;&gt;""""),I26/GOOGLEFINANCE(C26,""price"")-1,"""")"),"#N/A")</f>
        <v>#N/A</v>
      </c>
      <c r="H26" s="591"/>
      <c r="I26" s="592">
        <v>1.0</v>
      </c>
      <c r="J26" s="586"/>
      <c r="K26" s="586"/>
      <c r="L26" s="586"/>
      <c r="M26" s="586"/>
      <c r="N26" s="586"/>
      <c r="O26" s="586"/>
      <c r="P26" s="586"/>
      <c r="Q26" s="586"/>
      <c r="R26" s="586"/>
      <c r="S26" s="586"/>
      <c r="T26" s="586"/>
      <c r="U26" s="603" t="s">
        <v>1891</v>
      </c>
      <c r="V26" s="604"/>
      <c r="W26" s="605"/>
      <c r="X26" s="606"/>
      <c r="Y26" s="606"/>
      <c r="Z26" s="606"/>
      <c r="AA26" s="606"/>
      <c r="AB26" s="606"/>
      <c r="AC26" s="606"/>
      <c r="AD26" s="606"/>
      <c r="AE26" s="606"/>
      <c r="AF26" s="606"/>
      <c r="AG26" s="606"/>
      <c r="AH26" s="606"/>
      <c r="AI26" s="606"/>
      <c r="AJ26" s="606"/>
      <c r="AK26" s="606"/>
      <c r="AL26" s="606"/>
      <c r="AM26" s="606"/>
      <c r="AN26" s="606"/>
      <c r="AO26" s="606"/>
      <c r="AP26" s="606"/>
      <c r="AQ26" s="606"/>
      <c r="AR26" s="606"/>
      <c r="AS26" s="606"/>
      <c r="AT26" s="606"/>
      <c r="AU26" s="606"/>
      <c r="AV26" s="606"/>
      <c r="AW26" s="606"/>
      <c r="AX26" s="606"/>
      <c r="AY26" s="606"/>
      <c r="AZ26" s="606"/>
      <c r="BA26" s="606"/>
      <c r="BB26" s="606"/>
      <c r="BC26" s="606"/>
      <c r="BD26" s="606"/>
      <c r="BE26" s="606"/>
      <c r="BF26" s="606"/>
      <c r="BG26" s="606"/>
      <c r="BH26" s="606"/>
      <c r="BI26" s="606"/>
      <c r="BJ26" s="606"/>
      <c r="BK26" s="606"/>
      <c r="BL26" s="606"/>
      <c r="BM26" s="606"/>
      <c r="BN26" s="606"/>
      <c r="BO26" s="606"/>
      <c r="BP26" s="606"/>
      <c r="BQ26" s="606"/>
      <c r="BR26" s="606"/>
      <c r="BS26" s="606"/>
      <c r="BT26" s="606"/>
      <c r="BU26" s="606"/>
      <c r="BV26" s="606"/>
      <c r="BW26" s="606"/>
      <c r="BX26" s="606"/>
      <c r="BY26" s="606"/>
      <c r="BZ26" s="606"/>
      <c r="CA26" s="606"/>
      <c r="CB26" s="606"/>
      <c r="CC26" s="606"/>
      <c r="CD26" s="606"/>
      <c r="CE26" s="606"/>
      <c r="CF26" s="606"/>
      <c r="CG26" s="606"/>
      <c r="CH26" s="606"/>
      <c r="CI26" s="606"/>
      <c r="CJ26" s="606"/>
      <c r="CK26" s="606"/>
      <c r="CL26" s="606"/>
      <c r="CM26" s="606"/>
      <c r="CN26" s="606"/>
      <c r="CO26" s="606"/>
      <c r="CP26" s="606"/>
      <c r="CQ26" s="606"/>
      <c r="CR26" s="606"/>
      <c r="CS26" s="606"/>
      <c r="CT26" s="606"/>
      <c r="CU26" s="606"/>
      <c r="CV26" s="606"/>
      <c r="CW26" s="606"/>
      <c r="CX26" s="606"/>
      <c r="CY26" s="606"/>
      <c r="CZ26" s="606"/>
      <c r="DA26" s="606"/>
      <c r="DB26" s="606"/>
      <c r="DC26" s="606"/>
      <c r="DD26" s="606"/>
      <c r="DE26" s="606"/>
      <c r="DF26" s="606"/>
      <c r="DG26" s="606"/>
      <c r="DH26" s="606"/>
      <c r="DI26" s="606"/>
      <c r="DJ26" s="606"/>
      <c r="DK26" s="606"/>
      <c r="DL26" s="606"/>
      <c r="DM26" s="606"/>
      <c r="DN26" s="606"/>
      <c r="DO26" s="606"/>
      <c r="DP26" s="606"/>
      <c r="DQ26" s="606"/>
      <c r="DR26" s="606"/>
      <c r="DS26" s="606"/>
      <c r="DT26" s="606"/>
      <c r="DU26" s="606"/>
      <c r="DV26" s="606"/>
      <c r="DW26" s="606"/>
      <c r="DX26" s="606"/>
    </row>
    <row r="27" ht="15.0" customHeight="1">
      <c r="A27" s="611">
        <v>42242.0</v>
      </c>
      <c r="B27" s="588" t="s">
        <v>1892</v>
      </c>
      <c r="C27" s="612" t="s">
        <v>1893</v>
      </c>
      <c r="D27" s="588">
        <v>11.0</v>
      </c>
      <c r="E27" s="589">
        <f>IFERROR(__xludf.DUMMYFUNCTION("if(and(D27&lt;&gt;0,D27&lt;&gt;""""),D27/GOOGLEFINANCE(C27,""price"")-1,"""")"),0.08481262327416172)</f>
        <v>0.08481262327</v>
      </c>
      <c r="F27" s="590">
        <f>IFERROR(__xludf.DUMMYFUNCTION("GOOGLEFINANCE(C27,""price"")"),10.14)</f>
        <v>10.14</v>
      </c>
      <c r="G27" s="589">
        <f>IFERROR(__xludf.DUMMYFUNCTION("if(and(I27&lt;&gt;0,I27&lt;&gt;""""),I27/GOOGLEFINANCE(C27,""price"")-1,"""")"),-0.9506903353057199)</f>
        <v>-0.9506903353</v>
      </c>
      <c r="H27" s="591"/>
      <c r="I27" s="592">
        <v>0.5</v>
      </c>
      <c r="J27" s="586"/>
      <c r="K27" s="586"/>
      <c r="L27" s="586"/>
      <c r="M27" s="586"/>
      <c r="N27" s="586"/>
      <c r="O27" s="586"/>
      <c r="P27" s="588"/>
      <c r="Q27" s="588"/>
      <c r="R27" s="588"/>
      <c r="S27" s="588"/>
      <c r="T27" s="588"/>
      <c r="U27" s="593" t="s">
        <v>1894</v>
      </c>
      <c r="V27" s="594"/>
      <c r="W27" s="595"/>
      <c r="X27" s="596"/>
      <c r="Y27" s="596"/>
      <c r="Z27" s="596"/>
      <c r="AA27" s="596"/>
      <c r="AB27" s="596"/>
      <c r="AC27" s="596"/>
      <c r="AD27" s="596"/>
      <c r="AE27" s="596"/>
      <c r="AF27" s="596"/>
      <c r="AG27" s="596"/>
      <c r="AH27" s="596"/>
      <c r="AI27" s="596"/>
      <c r="AJ27" s="596"/>
      <c r="AK27" s="596"/>
      <c r="AL27" s="596"/>
      <c r="AM27" s="596"/>
      <c r="AN27" s="596"/>
      <c r="AO27" s="596"/>
      <c r="AP27" s="596"/>
      <c r="AQ27" s="596"/>
      <c r="AR27" s="596"/>
      <c r="AS27" s="596"/>
      <c r="AT27" s="596"/>
      <c r="AU27" s="596"/>
      <c r="AV27" s="596"/>
      <c r="AW27" s="596"/>
      <c r="AX27" s="596"/>
      <c r="AY27" s="596"/>
      <c r="AZ27" s="596"/>
      <c r="BA27" s="596"/>
      <c r="BB27" s="596"/>
      <c r="BC27" s="596"/>
      <c r="BD27" s="596"/>
      <c r="BE27" s="596"/>
      <c r="BF27" s="596"/>
      <c r="BG27" s="596"/>
      <c r="BH27" s="596"/>
      <c r="BI27" s="596"/>
      <c r="BJ27" s="596"/>
      <c r="BK27" s="596"/>
      <c r="BL27" s="596"/>
      <c r="BM27" s="596"/>
      <c r="BN27" s="596"/>
      <c r="BO27" s="596"/>
      <c r="BP27" s="596"/>
      <c r="BQ27" s="596"/>
      <c r="BR27" s="596"/>
      <c r="BS27" s="596"/>
      <c r="BT27" s="596"/>
      <c r="BU27" s="596"/>
      <c r="BV27" s="596"/>
      <c r="BW27" s="596"/>
      <c r="BX27" s="596"/>
      <c r="BY27" s="596"/>
      <c r="BZ27" s="596"/>
      <c r="CA27" s="596"/>
      <c r="CB27" s="596"/>
      <c r="CC27" s="596"/>
      <c r="CD27" s="596"/>
      <c r="CE27" s="596"/>
      <c r="CF27" s="596"/>
      <c r="CG27" s="596"/>
      <c r="CH27" s="596"/>
      <c r="CI27" s="596"/>
      <c r="CJ27" s="596"/>
      <c r="CK27" s="596"/>
      <c r="CL27" s="596"/>
      <c r="CM27" s="596"/>
      <c r="CN27" s="596"/>
      <c r="CO27" s="596"/>
      <c r="CP27" s="596"/>
      <c r="CQ27" s="596"/>
      <c r="CR27" s="596"/>
      <c r="CS27" s="596"/>
      <c r="CT27" s="596"/>
      <c r="CU27" s="596"/>
      <c r="CV27" s="596"/>
      <c r="CW27" s="596"/>
      <c r="CX27" s="596"/>
      <c r="CY27" s="596"/>
      <c r="CZ27" s="596"/>
      <c r="DA27" s="596"/>
      <c r="DB27" s="596"/>
      <c r="DC27" s="596"/>
      <c r="DD27" s="596"/>
      <c r="DE27" s="596"/>
      <c r="DF27" s="596"/>
      <c r="DG27" s="596"/>
      <c r="DH27" s="596"/>
      <c r="DI27" s="596"/>
      <c r="DJ27" s="596"/>
      <c r="DK27" s="596"/>
      <c r="DL27" s="596"/>
      <c r="DM27" s="596"/>
      <c r="DN27" s="596"/>
      <c r="DO27" s="596"/>
      <c r="DP27" s="596"/>
      <c r="DQ27" s="596"/>
      <c r="DR27" s="596"/>
      <c r="DS27" s="596"/>
      <c r="DT27" s="596"/>
      <c r="DU27" s="596"/>
      <c r="DV27" s="596"/>
      <c r="DW27" s="596"/>
      <c r="DX27" s="596"/>
    </row>
    <row r="28" ht="15.0" customHeight="1">
      <c r="A28" s="574">
        <v>41126.0</v>
      </c>
      <c r="B28" s="575" t="s">
        <v>1895</v>
      </c>
      <c r="C28" s="576" t="s">
        <v>630</v>
      </c>
      <c r="D28" s="575"/>
      <c r="E28" s="577" t="str">
        <f>IFERROR(__xludf.DUMMYFUNCTION("if(and(D28&lt;&gt;0,D28&lt;&gt;""""),D28/GOOGLEFINANCE(C28,""price"")-1,"""")"),"")</f>
        <v/>
      </c>
      <c r="F28" s="578">
        <f>IFERROR(__xludf.DUMMYFUNCTION("GOOGLEFINANCE(C28,""price"")"),0.06)</f>
        <v>0.06</v>
      </c>
      <c r="G28" s="577">
        <f>IFERROR(__xludf.DUMMYFUNCTION("if(and(I28&lt;&gt;0,I28&lt;&gt;""""),I28/GOOGLEFINANCE(C28,""price"")-1,"""")"),24.0)</f>
        <v>24</v>
      </c>
      <c r="H28" s="579"/>
      <c r="I28" s="580">
        <v>1.5</v>
      </c>
      <c r="J28" s="575"/>
      <c r="K28" s="575"/>
      <c r="L28" s="575"/>
      <c r="M28" s="575"/>
      <c r="N28" s="575"/>
      <c r="O28" s="575"/>
      <c r="P28" s="575"/>
      <c r="Q28" s="575"/>
      <c r="R28" s="575"/>
      <c r="S28" s="575"/>
      <c r="T28" s="575"/>
      <c r="U28" s="581" t="s">
        <v>1897</v>
      </c>
      <c r="V28" s="582"/>
      <c r="W28" s="583"/>
      <c r="X28" s="584"/>
      <c r="Y28" s="584"/>
      <c r="Z28" s="584"/>
      <c r="AA28" s="584"/>
      <c r="AB28" s="584"/>
      <c r="AC28" s="584"/>
      <c r="AD28" s="584"/>
      <c r="AE28" s="584"/>
      <c r="AF28" s="584"/>
      <c r="AG28" s="584"/>
      <c r="AH28" s="584"/>
      <c r="AI28" s="584"/>
      <c r="AJ28" s="584"/>
      <c r="AK28" s="584"/>
      <c r="AL28" s="584"/>
      <c r="AM28" s="584"/>
      <c r="AN28" s="584"/>
      <c r="AO28" s="584"/>
      <c r="AP28" s="584"/>
      <c r="AQ28" s="584"/>
      <c r="AR28" s="584"/>
      <c r="AS28" s="584"/>
      <c r="AT28" s="584"/>
      <c r="AU28" s="584"/>
      <c r="AV28" s="584"/>
      <c r="AW28" s="584"/>
      <c r="AX28" s="584"/>
      <c r="AY28" s="584"/>
      <c r="AZ28" s="584"/>
      <c r="BA28" s="584"/>
      <c r="BB28" s="584"/>
      <c r="BC28" s="584"/>
      <c r="BD28" s="584"/>
      <c r="BE28" s="584"/>
      <c r="BF28" s="584"/>
      <c r="BG28" s="584"/>
      <c r="BH28" s="584"/>
      <c r="BI28" s="584"/>
      <c r="BJ28" s="584"/>
      <c r="BK28" s="584"/>
      <c r="BL28" s="584"/>
      <c r="BM28" s="584"/>
      <c r="BN28" s="584"/>
      <c r="BO28" s="584"/>
      <c r="BP28" s="584"/>
      <c r="BQ28" s="584"/>
      <c r="BR28" s="584"/>
      <c r="BS28" s="584"/>
      <c r="BT28" s="584"/>
      <c r="BU28" s="584"/>
      <c r="BV28" s="584"/>
      <c r="BW28" s="584"/>
      <c r="BX28" s="584"/>
      <c r="BY28" s="584"/>
      <c r="BZ28" s="584"/>
      <c r="CA28" s="584"/>
      <c r="CB28" s="584"/>
      <c r="CC28" s="584"/>
      <c r="CD28" s="584"/>
      <c r="CE28" s="584"/>
      <c r="CF28" s="584"/>
      <c r="CG28" s="584"/>
      <c r="CH28" s="584"/>
      <c r="CI28" s="584"/>
      <c r="CJ28" s="584"/>
      <c r="CK28" s="584"/>
      <c r="CL28" s="584"/>
      <c r="CM28" s="584"/>
      <c r="CN28" s="584"/>
      <c r="CO28" s="584"/>
      <c r="CP28" s="584"/>
      <c r="CQ28" s="584"/>
      <c r="CR28" s="584"/>
      <c r="CS28" s="584"/>
      <c r="CT28" s="584"/>
      <c r="CU28" s="584"/>
      <c r="CV28" s="584"/>
      <c r="CW28" s="584"/>
      <c r="CX28" s="584"/>
      <c r="CY28" s="584"/>
      <c r="CZ28" s="584"/>
      <c r="DA28" s="584"/>
      <c r="DB28" s="584"/>
      <c r="DC28" s="584"/>
      <c r="DD28" s="584"/>
      <c r="DE28" s="584"/>
      <c r="DF28" s="584"/>
      <c r="DG28" s="584"/>
      <c r="DH28" s="584"/>
      <c r="DI28" s="584"/>
      <c r="DJ28" s="584"/>
      <c r="DK28" s="584"/>
      <c r="DL28" s="584"/>
      <c r="DM28" s="584"/>
      <c r="DN28" s="584"/>
      <c r="DO28" s="584"/>
      <c r="DP28" s="584"/>
      <c r="DQ28" s="584"/>
      <c r="DR28" s="584"/>
      <c r="DS28" s="584"/>
      <c r="DT28" s="584"/>
      <c r="DU28" s="584"/>
      <c r="DV28" s="584"/>
      <c r="DW28" s="584"/>
      <c r="DX28" s="584"/>
    </row>
    <row r="29" ht="15.0" customHeight="1">
      <c r="A29" s="585">
        <v>40835.0</v>
      </c>
      <c r="B29" s="586" t="s">
        <v>1898</v>
      </c>
      <c r="C29" s="587" t="s">
        <v>454</v>
      </c>
      <c r="D29" s="586"/>
      <c r="E29" s="589" t="str">
        <f>IFERROR(__xludf.DUMMYFUNCTION("if(and(D29&lt;&gt;0,D29&lt;&gt;""""),D29/GOOGLEFINANCE(C29,""price"")-1,"""")"),"")</f>
        <v/>
      </c>
      <c r="F29" s="590">
        <f>IFERROR(__xludf.DUMMYFUNCTION("GOOGLEFINANCE(C29,""price"")"),52.66)</f>
        <v>52.66</v>
      </c>
      <c r="G29" s="589">
        <f>IFERROR(__xludf.DUMMYFUNCTION("if(and(I29&lt;&gt;0,I29&lt;&gt;""""),I29/GOOGLEFINANCE(C29,""price"")-1,"""")"),-0.810102544625902)</f>
        <v>-0.8101025446</v>
      </c>
      <c r="H29" s="591"/>
      <c r="I29" s="602">
        <v>10.0</v>
      </c>
      <c r="J29" s="586"/>
      <c r="K29" s="586"/>
      <c r="L29" s="586"/>
      <c r="M29" s="586"/>
      <c r="N29" s="586"/>
      <c r="O29" s="586"/>
      <c r="P29" s="586"/>
      <c r="Q29" s="586"/>
      <c r="R29" s="586"/>
      <c r="S29" s="586"/>
      <c r="T29" s="586"/>
      <c r="U29" s="603" t="s">
        <v>1900</v>
      </c>
      <c r="V29" s="604"/>
      <c r="W29" s="605"/>
      <c r="X29" s="606"/>
      <c r="Y29" s="606"/>
      <c r="Z29" s="606"/>
      <c r="AA29" s="606"/>
      <c r="AB29" s="606"/>
      <c r="AC29" s="606"/>
      <c r="AD29" s="606"/>
      <c r="AE29" s="606"/>
      <c r="AF29" s="606"/>
      <c r="AG29" s="606"/>
      <c r="AH29" s="606"/>
      <c r="AI29" s="606"/>
      <c r="AJ29" s="606"/>
      <c r="AK29" s="606"/>
      <c r="AL29" s="606"/>
      <c r="AM29" s="606"/>
      <c r="AN29" s="606"/>
      <c r="AO29" s="606"/>
      <c r="AP29" s="606"/>
      <c r="AQ29" s="606"/>
      <c r="AR29" s="606"/>
      <c r="AS29" s="606"/>
      <c r="AT29" s="606"/>
      <c r="AU29" s="606"/>
      <c r="AV29" s="606"/>
      <c r="AW29" s="606"/>
      <c r="AX29" s="606"/>
      <c r="AY29" s="606"/>
      <c r="AZ29" s="606"/>
      <c r="BA29" s="606"/>
      <c r="BB29" s="606"/>
      <c r="BC29" s="606"/>
      <c r="BD29" s="606"/>
      <c r="BE29" s="606"/>
      <c r="BF29" s="606"/>
      <c r="BG29" s="606"/>
      <c r="BH29" s="606"/>
      <c r="BI29" s="606"/>
      <c r="BJ29" s="606"/>
      <c r="BK29" s="606"/>
      <c r="BL29" s="606"/>
      <c r="BM29" s="606"/>
      <c r="BN29" s="606"/>
      <c r="BO29" s="606"/>
      <c r="BP29" s="606"/>
      <c r="BQ29" s="606"/>
      <c r="BR29" s="606"/>
      <c r="BS29" s="606"/>
      <c r="BT29" s="606"/>
      <c r="BU29" s="606"/>
      <c r="BV29" s="606"/>
      <c r="BW29" s="606"/>
      <c r="BX29" s="606"/>
      <c r="BY29" s="606"/>
      <c r="BZ29" s="606"/>
      <c r="CA29" s="606"/>
      <c r="CB29" s="606"/>
      <c r="CC29" s="606"/>
      <c r="CD29" s="606"/>
      <c r="CE29" s="606"/>
      <c r="CF29" s="606"/>
      <c r="CG29" s="606"/>
      <c r="CH29" s="606"/>
      <c r="CI29" s="606"/>
      <c r="CJ29" s="606"/>
      <c r="CK29" s="606"/>
      <c r="CL29" s="606"/>
      <c r="CM29" s="606"/>
      <c r="CN29" s="606"/>
      <c r="CO29" s="606"/>
      <c r="CP29" s="606"/>
      <c r="CQ29" s="606"/>
      <c r="CR29" s="606"/>
      <c r="CS29" s="606"/>
      <c r="CT29" s="606"/>
      <c r="CU29" s="606"/>
      <c r="CV29" s="606"/>
      <c r="CW29" s="606"/>
      <c r="CX29" s="606"/>
      <c r="CY29" s="606"/>
      <c r="CZ29" s="606"/>
      <c r="DA29" s="606"/>
      <c r="DB29" s="606"/>
      <c r="DC29" s="606"/>
      <c r="DD29" s="606"/>
      <c r="DE29" s="606"/>
      <c r="DF29" s="606"/>
      <c r="DG29" s="606"/>
      <c r="DH29" s="606"/>
      <c r="DI29" s="606"/>
      <c r="DJ29" s="606"/>
      <c r="DK29" s="606"/>
      <c r="DL29" s="606"/>
      <c r="DM29" s="606"/>
      <c r="DN29" s="606"/>
      <c r="DO29" s="606"/>
      <c r="DP29" s="606"/>
      <c r="DQ29" s="606"/>
      <c r="DR29" s="606"/>
      <c r="DS29" s="606"/>
      <c r="DT29" s="606"/>
      <c r="DU29" s="606"/>
      <c r="DV29" s="606"/>
      <c r="DW29" s="606"/>
      <c r="DX29" s="606"/>
    </row>
    <row r="30" ht="15.0" customHeight="1">
      <c r="A30" s="611">
        <v>42317.0</v>
      </c>
      <c r="B30" s="588" t="s">
        <v>1901</v>
      </c>
      <c r="C30" s="612" t="s">
        <v>1902</v>
      </c>
      <c r="D30" s="588">
        <v>10.0</v>
      </c>
      <c r="E30" s="589">
        <f>IFERROR(__xludf.DUMMYFUNCTION("if(and(D30&lt;&gt;0,D30&lt;&gt;""""),D30/GOOGLEFINANCE(C30,""price"")-1,"""")"),3.694835680751174)</f>
        <v>3.694835681</v>
      </c>
      <c r="F30" s="590">
        <f>IFERROR(__xludf.DUMMYFUNCTION("GOOGLEFINANCE(C30,""price"")"),2.13)</f>
        <v>2.13</v>
      </c>
      <c r="G30" s="589">
        <f>IFERROR(__xludf.DUMMYFUNCTION("if(and(I30&lt;&gt;0,I30&lt;&gt;""""),I30/GOOGLEFINANCE(C30,""price"")-1,"""")"),-0.5305164319248826)</f>
        <v>-0.5305164319</v>
      </c>
      <c r="H30" s="591"/>
      <c r="I30" s="592">
        <v>1.0</v>
      </c>
      <c r="J30" s="586"/>
      <c r="K30" s="586"/>
      <c r="L30" s="586"/>
      <c r="M30" s="586"/>
      <c r="N30" s="586"/>
      <c r="O30" s="586"/>
      <c r="P30" s="588"/>
      <c r="Q30" s="588"/>
      <c r="R30" s="588"/>
      <c r="S30" s="588"/>
      <c r="T30" s="588"/>
      <c r="U30" s="593" t="s">
        <v>1903</v>
      </c>
      <c r="V30" s="594"/>
      <c r="W30" s="595"/>
      <c r="X30" s="596"/>
      <c r="Y30" s="596"/>
      <c r="Z30" s="596"/>
      <c r="AA30" s="596"/>
      <c r="AB30" s="596"/>
      <c r="AC30" s="596"/>
      <c r="AD30" s="596"/>
      <c r="AE30" s="596"/>
      <c r="AF30" s="596"/>
      <c r="AG30" s="596"/>
      <c r="AH30" s="596"/>
      <c r="AI30" s="596"/>
      <c r="AJ30" s="596"/>
      <c r="AK30" s="596"/>
      <c r="AL30" s="596"/>
      <c r="AM30" s="596"/>
      <c r="AN30" s="596"/>
      <c r="AO30" s="596"/>
      <c r="AP30" s="596"/>
      <c r="AQ30" s="596"/>
      <c r="AR30" s="596"/>
      <c r="AS30" s="596"/>
      <c r="AT30" s="596"/>
      <c r="AU30" s="596"/>
      <c r="AV30" s="596"/>
      <c r="AW30" s="596"/>
      <c r="AX30" s="596"/>
      <c r="AY30" s="596"/>
      <c r="AZ30" s="596"/>
      <c r="BA30" s="596"/>
      <c r="BB30" s="596"/>
      <c r="BC30" s="596"/>
      <c r="BD30" s="596"/>
      <c r="BE30" s="596"/>
      <c r="BF30" s="596"/>
      <c r="BG30" s="596"/>
      <c r="BH30" s="596"/>
      <c r="BI30" s="596"/>
      <c r="BJ30" s="596"/>
      <c r="BK30" s="596"/>
      <c r="BL30" s="596"/>
      <c r="BM30" s="596"/>
      <c r="BN30" s="596"/>
      <c r="BO30" s="596"/>
      <c r="BP30" s="596"/>
      <c r="BQ30" s="596"/>
      <c r="BR30" s="596"/>
      <c r="BS30" s="596"/>
      <c r="BT30" s="596"/>
      <c r="BU30" s="596"/>
      <c r="BV30" s="596"/>
      <c r="BW30" s="596"/>
      <c r="BX30" s="596"/>
      <c r="BY30" s="596"/>
      <c r="BZ30" s="596"/>
      <c r="CA30" s="596"/>
      <c r="CB30" s="596"/>
      <c r="CC30" s="596"/>
      <c r="CD30" s="596"/>
      <c r="CE30" s="596"/>
      <c r="CF30" s="596"/>
      <c r="CG30" s="596"/>
      <c r="CH30" s="596"/>
      <c r="CI30" s="596"/>
      <c r="CJ30" s="596"/>
      <c r="CK30" s="596"/>
      <c r="CL30" s="596"/>
      <c r="CM30" s="596"/>
      <c r="CN30" s="596"/>
      <c r="CO30" s="596"/>
      <c r="CP30" s="596"/>
      <c r="CQ30" s="596"/>
      <c r="CR30" s="596"/>
      <c r="CS30" s="596"/>
      <c r="CT30" s="596"/>
      <c r="CU30" s="596"/>
      <c r="CV30" s="596"/>
      <c r="CW30" s="596"/>
      <c r="CX30" s="596"/>
      <c r="CY30" s="596"/>
      <c r="CZ30" s="596"/>
      <c r="DA30" s="596"/>
      <c r="DB30" s="596"/>
      <c r="DC30" s="596"/>
      <c r="DD30" s="596"/>
      <c r="DE30" s="596"/>
      <c r="DF30" s="596"/>
      <c r="DG30" s="596"/>
      <c r="DH30" s="596"/>
      <c r="DI30" s="596"/>
      <c r="DJ30" s="596"/>
      <c r="DK30" s="596"/>
      <c r="DL30" s="596"/>
      <c r="DM30" s="596"/>
      <c r="DN30" s="596"/>
      <c r="DO30" s="596"/>
      <c r="DP30" s="596"/>
      <c r="DQ30" s="596"/>
      <c r="DR30" s="596"/>
      <c r="DS30" s="596"/>
      <c r="DT30" s="596"/>
      <c r="DU30" s="596"/>
      <c r="DV30" s="596"/>
      <c r="DW30" s="596"/>
      <c r="DX30" s="596"/>
    </row>
    <row r="31" ht="15.0" customHeight="1">
      <c r="A31" s="611">
        <v>42269.0</v>
      </c>
      <c r="B31" s="588" t="s">
        <v>1904</v>
      </c>
      <c r="C31" s="612" t="s">
        <v>1905</v>
      </c>
      <c r="D31" s="588">
        <v>27.0</v>
      </c>
      <c r="E31" s="589">
        <f>IFERROR(__xludf.DUMMYFUNCTION("if(and(D31&lt;&gt;0,D31&lt;&gt;""""),D31/GOOGLEFINANCE(C31,""price"")-1,"""")"),0.7589576547231272)</f>
        <v>0.7589576547</v>
      </c>
      <c r="F31" s="590">
        <f>IFERROR(__xludf.DUMMYFUNCTION("GOOGLEFINANCE(C31,""price"")"),15.35)</f>
        <v>15.35</v>
      </c>
      <c r="G31" s="589">
        <f>IFERROR(__xludf.DUMMYFUNCTION("if(and(I31&lt;&gt;0,I31&lt;&gt;""""),I31/GOOGLEFINANCE(C31,""price"")-1,"""")"),-0.8045602605863192)</f>
        <v>-0.8045602606</v>
      </c>
      <c r="H31" s="591"/>
      <c r="I31" s="592">
        <v>3.0</v>
      </c>
      <c r="J31" s="586"/>
      <c r="K31" s="586"/>
      <c r="L31" s="586"/>
      <c r="M31" s="586"/>
      <c r="N31" s="586"/>
      <c r="O31" s="586"/>
      <c r="P31" s="588"/>
      <c r="Q31" s="588"/>
      <c r="R31" s="588"/>
      <c r="S31" s="588"/>
      <c r="T31" s="588"/>
      <c r="U31" s="593" t="s">
        <v>1907</v>
      </c>
      <c r="V31" s="594"/>
      <c r="W31" s="595"/>
      <c r="X31" s="596"/>
      <c r="Y31" s="596"/>
      <c r="Z31" s="596"/>
      <c r="AA31" s="596"/>
      <c r="AB31" s="596"/>
      <c r="AC31" s="596"/>
      <c r="AD31" s="596"/>
      <c r="AE31" s="596"/>
      <c r="AF31" s="596"/>
      <c r="AG31" s="596"/>
      <c r="AH31" s="596"/>
      <c r="AI31" s="596"/>
      <c r="AJ31" s="596"/>
      <c r="AK31" s="596"/>
      <c r="AL31" s="596"/>
      <c r="AM31" s="596"/>
      <c r="AN31" s="596"/>
      <c r="AO31" s="596"/>
      <c r="AP31" s="596"/>
      <c r="AQ31" s="596"/>
      <c r="AR31" s="596"/>
      <c r="AS31" s="596"/>
      <c r="AT31" s="596"/>
      <c r="AU31" s="596"/>
      <c r="AV31" s="596"/>
      <c r="AW31" s="596"/>
      <c r="AX31" s="596"/>
      <c r="AY31" s="596"/>
      <c r="AZ31" s="596"/>
      <c r="BA31" s="596"/>
      <c r="BB31" s="596"/>
      <c r="BC31" s="596"/>
      <c r="BD31" s="596"/>
      <c r="BE31" s="596"/>
      <c r="BF31" s="596"/>
      <c r="BG31" s="596"/>
      <c r="BH31" s="596"/>
      <c r="BI31" s="596"/>
      <c r="BJ31" s="596"/>
      <c r="BK31" s="596"/>
      <c r="BL31" s="596"/>
      <c r="BM31" s="596"/>
      <c r="BN31" s="596"/>
      <c r="BO31" s="596"/>
      <c r="BP31" s="596"/>
      <c r="BQ31" s="596"/>
      <c r="BR31" s="596"/>
      <c r="BS31" s="596"/>
      <c r="BT31" s="596"/>
      <c r="BU31" s="596"/>
      <c r="BV31" s="596"/>
      <c r="BW31" s="596"/>
      <c r="BX31" s="596"/>
      <c r="BY31" s="596"/>
      <c r="BZ31" s="596"/>
      <c r="CA31" s="596"/>
      <c r="CB31" s="596"/>
      <c r="CC31" s="596"/>
      <c r="CD31" s="596"/>
      <c r="CE31" s="596"/>
      <c r="CF31" s="596"/>
      <c r="CG31" s="596"/>
      <c r="CH31" s="596"/>
      <c r="CI31" s="596"/>
      <c r="CJ31" s="596"/>
      <c r="CK31" s="596"/>
      <c r="CL31" s="596"/>
      <c r="CM31" s="596"/>
      <c r="CN31" s="596"/>
      <c r="CO31" s="596"/>
      <c r="CP31" s="596"/>
      <c r="CQ31" s="596"/>
      <c r="CR31" s="596"/>
      <c r="CS31" s="596"/>
      <c r="CT31" s="596"/>
      <c r="CU31" s="596"/>
      <c r="CV31" s="596"/>
      <c r="CW31" s="596"/>
      <c r="CX31" s="596"/>
      <c r="CY31" s="596"/>
      <c r="CZ31" s="596"/>
      <c r="DA31" s="596"/>
      <c r="DB31" s="596"/>
      <c r="DC31" s="596"/>
      <c r="DD31" s="596"/>
      <c r="DE31" s="596"/>
      <c r="DF31" s="596"/>
      <c r="DG31" s="596"/>
      <c r="DH31" s="596"/>
      <c r="DI31" s="596"/>
      <c r="DJ31" s="596"/>
      <c r="DK31" s="596"/>
      <c r="DL31" s="596"/>
      <c r="DM31" s="596"/>
      <c r="DN31" s="596"/>
      <c r="DO31" s="596"/>
      <c r="DP31" s="596"/>
      <c r="DQ31" s="596"/>
      <c r="DR31" s="596"/>
      <c r="DS31" s="596"/>
      <c r="DT31" s="596"/>
      <c r="DU31" s="596"/>
      <c r="DV31" s="596"/>
      <c r="DW31" s="596"/>
      <c r="DX31" s="596"/>
    </row>
    <row r="32" ht="15.0" customHeight="1">
      <c r="A32" s="585">
        <v>40833.0</v>
      </c>
      <c r="B32" s="586" t="s">
        <v>1910</v>
      </c>
      <c r="C32" s="587" t="s">
        <v>371</v>
      </c>
      <c r="D32" s="586"/>
      <c r="E32" s="589" t="str">
        <f>IFERROR(__xludf.DUMMYFUNCTION("if(and(D32&lt;&gt;0,D32&lt;&gt;""""),D32/GOOGLEFINANCE(C32,""price"")-1,"""")"),"")</f>
        <v/>
      </c>
      <c r="F32" s="590" t="str">
        <f>IFERROR(__xludf.DUMMYFUNCTION("GOOGLEFINANCE(C32,""price"")"),"#N/A")</f>
        <v>#N/A</v>
      </c>
      <c r="G32" s="589" t="str">
        <f>IFERROR(__xludf.DUMMYFUNCTION("if(and(I32&lt;&gt;0,I32&lt;&gt;""""),I32/GOOGLEFINANCE(C32,""price"")-1,"""")"),"")</f>
        <v/>
      </c>
      <c r="H32" s="591"/>
      <c r="I32" s="602"/>
      <c r="J32" s="586"/>
      <c r="K32" s="586"/>
      <c r="L32" s="586"/>
      <c r="M32" s="586"/>
      <c r="N32" s="586"/>
      <c r="O32" s="586"/>
      <c r="P32" s="586"/>
      <c r="Q32" s="586"/>
      <c r="R32" s="586"/>
      <c r="S32" s="586"/>
      <c r="T32" s="586"/>
      <c r="U32" s="603" t="s">
        <v>1911</v>
      </c>
      <c r="V32" s="604"/>
      <c r="W32" s="605"/>
      <c r="X32" s="606"/>
      <c r="Y32" s="606"/>
      <c r="Z32" s="606"/>
      <c r="AA32" s="606"/>
      <c r="AB32" s="606"/>
      <c r="AC32" s="606"/>
      <c r="AD32" s="606"/>
      <c r="AE32" s="606"/>
      <c r="AF32" s="606"/>
      <c r="AG32" s="606"/>
      <c r="AH32" s="606"/>
      <c r="AI32" s="606"/>
      <c r="AJ32" s="606"/>
      <c r="AK32" s="606"/>
      <c r="AL32" s="606"/>
      <c r="AM32" s="606"/>
      <c r="AN32" s="606"/>
      <c r="AO32" s="606"/>
      <c r="AP32" s="606"/>
      <c r="AQ32" s="606"/>
      <c r="AR32" s="606"/>
      <c r="AS32" s="606"/>
      <c r="AT32" s="606"/>
      <c r="AU32" s="606"/>
      <c r="AV32" s="606"/>
      <c r="AW32" s="606"/>
      <c r="AX32" s="606"/>
      <c r="AY32" s="606"/>
      <c r="AZ32" s="606"/>
      <c r="BA32" s="606"/>
      <c r="BB32" s="606"/>
      <c r="BC32" s="606"/>
      <c r="BD32" s="606"/>
      <c r="BE32" s="606"/>
      <c r="BF32" s="606"/>
      <c r="BG32" s="606"/>
      <c r="BH32" s="606"/>
      <c r="BI32" s="606"/>
      <c r="BJ32" s="606"/>
      <c r="BK32" s="606"/>
      <c r="BL32" s="606"/>
      <c r="BM32" s="606"/>
      <c r="BN32" s="606"/>
      <c r="BO32" s="606"/>
      <c r="BP32" s="606"/>
      <c r="BQ32" s="606"/>
      <c r="BR32" s="606"/>
      <c r="BS32" s="606"/>
      <c r="BT32" s="606"/>
      <c r="BU32" s="606"/>
      <c r="BV32" s="606"/>
      <c r="BW32" s="606"/>
      <c r="BX32" s="606"/>
      <c r="BY32" s="606"/>
      <c r="BZ32" s="606"/>
      <c r="CA32" s="606"/>
      <c r="CB32" s="606"/>
      <c r="CC32" s="606"/>
      <c r="CD32" s="606"/>
      <c r="CE32" s="606"/>
      <c r="CF32" s="606"/>
      <c r="CG32" s="606"/>
      <c r="CH32" s="606"/>
      <c r="CI32" s="606"/>
      <c r="CJ32" s="606"/>
      <c r="CK32" s="606"/>
      <c r="CL32" s="606"/>
      <c r="CM32" s="606"/>
      <c r="CN32" s="606"/>
      <c r="CO32" s="606"/>
      <c r="CP32" s="606"/>
      <c r="CQ32" s="606"/>
      <c r="CR32" s="606"/>
      <c r="CS32" s="606"/>
      <c r="CT32" s="606"/>
      <c r="CU32" s="606"/>
      <c r="CV32" s="606"/>
      <c r="CW32" s="606"/>
      <c r="CX32" s="606"/>
      <c r="CY32" s="606"/>
      <c r="CZ32" s="606"/>
      <c r="DA32" s="606"/>
      <c r="DB32" s="606"/>
      <c r="DC32" s="606"/>
      <c r="DD32" s="606"/>
      <c r="DE32" s="606"/>
      <c r="DF32" s="606"/>
      <c r="DG32" s="606"/>
      <c r="DH32" s="606"/>
      <c r="DI32" s="606"/>
      <c r="DJ32" s="606"/>
      <c r="DK32" s="606"/>
      <c r="DL32" s="606"/>
      <c r="DM32" s="606"/>
      <c r="DN32" s="606"/>
      <c r="DO32" s="606"/>
      <c r="DP32" s="606"/>
      <c r="DQ32" s="606"/>
      <c r="DR32" s="606"/>
      <c r="DS32" s="606"/>
      <c r="DT32" s="606"/>
      <c r="DU32" s="606"/>
      <c r="DV32" s="606"/>
      <c r="DW32" s="606"/>
      <c r="DX32" s="606"/>
    </row>
    <row r="33" ht="15.0" customHeight="1">
      <c r="A33" s="549">
        <v>40834.0</v>
      </c>
      <c r="B33" s="647" t="s">
        <v>1913</v>
      </c>
      <c r="C33" s="551" t="s">
        <v>1915</v>
      </c>
      <c r="D33" s="647"/>
      <c r="E33" s="648" t="str">
        <f>IFERROR(__xludf.DUMMYFUNCTION("if(and(D33&lt;&gt;0,D33&lt;&gt;""""),D33/GOOGLEFINANCE(C33,""price"")-1,"""")"),"")</f>
        <v/>
      </c>
      <c r="F33" s="553">
        <f>IFERROR(__xludf.DUMMYFUNCTION("GOOGLEFINANCE(C33,""price"")"),6.35)</f>
        <v>6.35</v>
      </c>
      <c r="G33" s="648" t="str">
        <f>IFERROR(__xludf.DUMMYFUNCTION("if(and(I33&lt;&gt;0,I33&lt;&gt;""""),I33/GOOGLEFINANCE(C33,""price"")-1,"""")"),"")</f>
        <v/>
      </c>
      <c r="H33" s="559"/>
      <c r="I33" s="560"/>
      <c r="J33" s="647"/>
      <c r="K33" s="647"/>
      <c r="L33" s="647"/>
      <c r="M33" s="647"/>
      <c r="N33" s="647"/>
      <c r="O33" s="647"/>
      <c r="P33" s="647"/>
      <c r="Q33" s="647"/>
      <c r="R33" s="647"/>
      <c r="S33" s="647"/>
      <c r="T33" s="647"/>
      <c r="U33" s="649" t="s">
        <v>1916</v>
      </c>
      <c r="V33" s="650"/>
      <c r="W33" s="649"/>
      <c r="X33" s="649"/>
      <c r="Y33" s="649"/>
      <c r="Z33" s="649"/>
      <c r="AA33" s="649"/>
      <c r="AB33" s="649"/>
      <c r="AC33" s="649"/>
      <c r="AD33" s="649"/>
      <c r="AE33" s="649"/>
      <c r="AF33" s="649"/>
      <c r="AG33" s="649"/>
      <c r="AH33" s="649"/>
      <c r="AI33" s="649"/>
      <c r="AJ33" s="649"/>
      <c r="AK33" s="649"/>
      <c r="AL33" s="649"/>
      <c r="AM33" s="649"/>
      <c r="AN33" s="649"/>
      <c r="AO33" s="649"/>
      <c r="AP33" s="649"/>
      <c r="AQ33" s="649"/>
      <c r="AR33" s="649"/>
      <c r="AS33" s="649"/>
      <c r="AT33" s="649"/>
      <c r="AU33" s="649"/>
      <c r="AV33" s="649"/>
      <c r="AW33" s="649"/>
      <c r="AX33" s="649"/>
      <c r="AY33" s="649"/>
      <c r="AZ33" s="649"/>
      <c r="BA33" s="649"/>
      <c r="BB33" s="649"/>
      <c r="BC33" s="649"/>
      <c r="BD33" s="649"/>
      <c r="BE33" s="649"/>
      <c r="BF33" s="649"/>
      <c r="BG33" s="649"/>
      <c r="BH33" s="649"/>
      <c r="BI33" s="649"/>
      <c r="BJ33" s="649"/>
      <c r="BK33" s="649"/>
      <c r="BL33" s="649"/>
      <c r="BM33" s="649"/>
      <c r="BN33" s="649"/>
      <c r="BO33" s="649"/>
      <c r="BP33" s="649"/>
      <c r="BQ33" s="649"/>
      <c r="BR33" s="649"/>
      <c r="BS33" s="649"/>
      <c r="BT33" s="649"/>
      <c r="BU33" s="649"/>
      <c r="BV33" s="649"/>
      <c r="BW33" s="649"/>
      <c r="BX33" s="649"/>
      <c r="BY33" s="649"/>
      <c r="BZ33" s="649"/>
      <c r="CA33" s="649"/>
      <c r="CB33" s="649"/>
      <c r="CC33" s="649"/>
      <c r="CD33" s="649"/>
      <c r="CE33" s="649"/>
      <c r="CF33" s="649"/>
      <c r="CG33" s="649"/>
      <c r="CH33" s="649"/>
      <c r="CI33" s="649"/>
      <c r="CJ33" s="649"/>
      <c r="CK33" s="649"/>
      <c r="CL33" s="649"/>
      <c r="CM33" s="649"/>
      <c r="CN33" s="649"/>
      <c r="CO33" s="649"/>
      <c r="CP33" s="649"/>
      <c r="CQ33" s="649"/>
      <c r="CR33" s="649"/>
      <c r="CS33" s="649"/>
      <c r="CT33" s="649"/>
      <c r="CU33" s="649"/>
      <c r="CV33" s="649"/>
      <c r="CW33" s="649"/>
      <c r="CX33" s="649"/>
      <c r="CY33" s="649"/>
      <c r="CZ33" s="649"/>
      <c r="DA33" s="649"/>
      <c r="DB33" s="649"/>
      <c r="DC33" s="649"/>
      <c r="DD33" s="649"/>
      <c r="DE33" s="649"/>
      <c r="DF33" s="649"/>
      <c r="DG33" s="649"/>
      <c r="DH33" s="649"/>
      <c r="DI33" s="649"/>
      <c r="DJ33" s="649"/>
      <c r="DK33" s="649"/>
      <c r="DL33" s="649"/>
      <c r="DM33" s="649"/>
      <c r="DN33" s="649"/>
      <c r="DO33" s="649"/>
      <c r="DP33" s="649"/>
      <c r="DQ33" s="649"/>
      <c r="DR33" s="649"/>
      <c r="DS33" s="649"/>
      <c r="DT33" s="649"/>
      <c r="DU33" s="649"/>
      <c r="DV33" s="649"/>
      <c r="DW33" s="649"/>
      <c r="DX33" s="649"/>
    </row>
    <row r="34" ht="15.0" customHeight="1">
      <c r="A34" s="574">
        <v>40875.0</v>
      </c>
      <c r="B34" s="575" t="s">
        <v>1918</v>
      </c>
      <c r="C34" s="576" t="s">
        <v>399</v>
      </c>
      <c r="D34" s="575"/>
      <c r="E34" s="577" t="str">
        <f>IFERROR(__xludf.DUMMYFUNCTION("if(and(D34&lt;&gt;0,D34&lt;&gt;""""),D34/GOOGLEFINANCE(C34,""price"")-1,"""")"),"")</f>
        <v/>
      </c>
      <c r="F34" s="578">
        <f>IFERROR(__xludf.DUMMYFUNCTION("GOOGLEFINANCE(C34,""price"")"),3.05)</f>
        <v>3.05</v>
      </c>
      <c r="G34" s="577" t="str">
        <f>IFERROR(__xludf.DUMMYFUNCTION("if(and(I34&lt;&gt;0,I34&lt;&gt;""""),I34/GOOGLEFINANCE(C34,""price"")-1,"""")"),"")</f>
        <v/>
      </c>
      <c r="H34" s="579"/>
      <c r="I34" s="580"/>
      <c r="J34" s="575"/>
      <c r="K34" s="575"/>
      <c r="L34" s="575"/>
      <c r="M34" s="575"/>
      <c r="N34" s="575"/>
      <c r="O34" s="575"/>
      <c r="P34" s="575"/>
      <c r="Q34" s="575"/>
      <c r="R34" s="575"/>
      <c r="S34" s="575"/>
      <c r="T34" s="575"/>
      <c r="U34" s="581" t="s">
        <v>1921</v>
      </c>
      <c r="V34" s="582"/>
      <c r="W34" s="583"/>
      <c r="X34" s="584"/>
      <c r="Y34" s="584"/>
      <c r="Z34" s="584"/>
      <c r="AA34" s="584"/>
      <c r="AB34" s="584"/>
      <c r="AC34" s="584"/>
      <c r="AD34" s="584"/>
      <c r="AE34" s="584"/>
      <c r="AF34" s="584"/>
      <c r="AG34" s="584"/>
      <c r="AH34" s="584"/>
      <c r="AI34" s="584"/>
      <c r="AJ34" s="584"/>
      <c r="AK34" s="584"/>
      <c r="AL34" s="584"/>
      <c r="AM34" s="584"/>
      <c r="AN34" s="584"/>
      <c r="AO34" s="584"/>
      <c r="AP34" s="584"/>
      <c r="AQ34" s="584"/>
      <c r="AR34" s="584"/>
      <c r="AS34" s="584"/>
      <c r="AT34" s="584"/>
      <c r="AU34" s="584"/>
      <c r="AV34" s="584"/>
      <c r="AW34" s="584"/>
      <c r="AX34" s="584"/>
      <c r="AY34" s="584"/>
      <c r="AZ34" s="584"/>
      <c r="BA34" s="584"/>
      <c r="BB34" s="584"/>
      <c r="BC34" s="584"/>
      <c r="BD34" s="584"/>
      <c r="BE34" s="584"/>
      <c r="BF34" s="584"/>
      <c r="BG34" s="584"/>
      <c r="BH34" s="584"/>
      <c r="BI34" s="584"/>
      <c r="BJ34" s="584"/>
      <c r="BK34" s="584"/>
      <c r="BL34" s="584"/>
      <c r="BM34" s="584"/>
      <c r="BN34" s="584"/>
      <c r="BO34" s="584"/>
      <c r="BP34" s="584"/>
      <c r="BQ34" s="584"/>
      <c r="BR34" s="584"/>
      <c r="BS34" s="584"/>
      <c r="BT34" s="584"/>
      <c r="BU34" s="584"/>
      <c r="BV34" s="584"/>
      <c r="BW34" s="584"/>
      <c r="BX34" s="584"/>
      <c r="BY34" s="584"/>
      <c r="BZ34" s="584"/>
      <c r="CA34" s="584"/>
      <c r="CB34" s="584"/>
      <c r="CC34" s="584"/>
      <c r="CD34" s="584"/>
      <c r="CE34" s="584"/>
      <c r="CF34" s="584"/>
      <c r="CG34" s="584"/>
      <c r="CH34" s="584"/>
      <c r="CI34" s="584"/>
      <c r="CJ34" s="584"/>
      <c r="CK34" s="584"/>
      <c r="CL34" s="584"/>
      <c r="CM34" s="584"/>
      <c r="CN34" s="584"/>
      <c r="CO34" s="584"/>
      <c r="CP34" s="584"/>
      <c r="CQ34" s="584"/>
      <c r="CR34" s="584"/>
      <c r="CS34" s="584"/>
      <c r="CT34" s="584"/>
      <c r="CU34" s="584"/>
      <c r="CV34" s="584"/>
      <c r="CW34" s="584"/>
      <c r="CX34" s="584"/>
      <c r="CY34" s="584"/>
      <c r="CZ34" s="584"/>
      <c r="DA34" s="584"/>
      <c r="DB34" s="584"/>
      <c r="DC34" s="584"/>
      <c r="DD34" s="584"/>
      <c r="DE34" s="584"/>
      <c r="DF34" s="584"/>
      <c r="DG34" s="584"/>
      <c r="DH34" s="584"/>
      <c r="DI34" s="584"/>
      <c r="DJ34" s="584"/>
      <c r="DK34" s="584"/>
      <c r="DL34" s="584"/>
      <c r="DM34" s="584"/>
      <c r="DN34" s="584"/>
      <c r="DO34" s="584"/>
      <c r="DP34" s="584"/>
      <c r="DQ34" s="584"/>
      <c r="DR34" s="584"/>
      <c r="DS34" s="584"/>
      <c r="DT34" s="584"/>
      <c r="DU34" s="584"/>
      <c r="DV34" s="584"/>
      <c r="DW34" s="584"/>
      <c r="DX34" s="584"/>
    </row>
    <row r="35" ht="15.0" customHeight="1">
      <c r="A35" s="585">
        <v>41030.0</v>
      </c>
      <c r="B35" s="586" t="s">
        <v>1923</v>
      </c>
      <c r="C35" s="587" t="s">
        <v>349</v>
      </c>
      <c r="D35" s="586"/>
      <c r="E35" s="589" t="str">
        <f>IFERROR(__xludf.DUMMYFUNCTION("if(and(D35&lt;&gt;0,D35&lt;&gt;""""),D35/GOOGLEFINANCE(C35,""price"")-1,"""")"),"")</f>
        <v/>
      </c>
      <c r="F35" s="590">
        <f>IFERROR(__xludf.DUMMYFUNCTION("GOOGLEFINANCE(C35,""price"")"),40.7)</f>
        <v>40.7</v>
      </c>
      <c r="G35" s="589" t="str">
        <f>IFERROR(__xludf.DUMMYFUNCTION("if(and(I35&lt;&gt;0,I35&lt;&gt;""""),I35/GOOGLEFINANCE(C35,""price"")-1,"""")"),"")</f>
        <v/>
      </c>
      <c r="H35" s="591"/>
      <c r="I35" s="602"/>
      <c r="J35" s="586"/>
      <c r="K35" s="586"/>
      <c r="L35" s="586"/>
      <c r="M35" s="586"/>
      <c r="N35" s="586"/>
      <c r="O35" s="586"/>
      <c r="P35" s="586"/>
      <c r="Q35" s="586"/>
      <c r="R35" s="586"/>
      <c r="S35" s="586"/>
      <c r="T35" s="586"/>
      <c r="U35" s="603" t="s">
        <v>1925</v>
      </c>
      <c r="V35" s="604"/>
      <c r="W35" s="605"/>
      <c r="X35" s="606"/>
      <c r="Y35" s="606"/>
      <c r="Z35" s="606"/>
      <c r="AA35" s="606"/>
      <c r="AB35" s="606"/>
      <c r="AC35" s="606"/>
      <c r="AD35" s="606"/>
      <c r="AE35" s="606"/>
      <c r="AF35" s="606"/>
      <c r="AG35" s="606"/>
      <c r="AH35" s="606"/>
      <c r="AI35" s="606"/>
      <c r="AJ35" s="606"/>
      <c r="AK35" s="606"/>
      <c r="AL35" s="606"/>
      <c r="AM35" s="606"/>
      <c r="AN35" s="606"/>
      <c r="AO35" s="606"/>
      <c r="AP35" s="606"/>
      <c r="AQ35" s="606"/>
      <c r="AR35" s="606"/>
      <c r="AS35" s="606"/>
      <c r="AT35" s="606"/>
      <c r="AU35" s="606"/>
      <c r="AV35" s="606"/>
      <c r="AW35" s="606"/>
      <c r="AX35" s="606"/>
      <c r="AY35" s="606"/>
      <c r="AZ35" s="606"/>
      <c r="BA35" s="606"/>
      <c r="BB35" s="606"/>
      <c r="BC35" s="606"/>
      <c r="BD35" s="606"/>
      <c r="BE35" s="606"/>
      <c r="BF35" s="606"/>
      <c r="BG35" s="606"/>
      <c r="BH35" s="606"/>
      <c r="BI35" s="606"/>
      <c r="BJ35" s="606"/>
      <c r="BK35" s="606"/>
      <c r="BL35" s="606"/>
      <c r="BM35" s="606"/>
      <c r="BN35" s="606"/>
      <c r="BO35" s="606"/>
      <c r="BP35" s="606"/>
      <c r="BQ35" s="606"/>
      <c r="BR35" s="606"/>
      <c r="BS35" s="606"/>
      <c r="BT35" s="606"/>
      <c r="BU35" s="606"/>
      <c r="BV35" s="606"/>
      <c r="BW35" s="606"/>
      <c r="BX35" s="606"/>
      <c r="BY35" s="606"/>
      <c r="BZ35" s="606"/>
      <c r="CA35" s="606"/>
      <c r="CB35" s="606"/>
      <c r="CC35" s="606"/>
      <c r="CD35" s="606"/>
      <c r="CE35" s="606"/>
      <c r="CF35" s="606"/>
      <c r="CG35" s="606"/>
      <c r="CH35" s="606"/>
      <c r="CI35" s="606"/>
      <c r="CJ35" s="606"/>
      <c r="CK35" s="606"/>
      <c r="CL35" s="606"/>
      <c r="CM35" s="606"/>
      <c r="CN35" s="606"/>
      <c r="CO35" s="606"/>
      <c r="CP35" s="606"/>
      <c r="CQ35" s="606"/>
      <c r="CR35" s="606"/>
      <c r="CS35" s="606"/>
      <c r="CT35" s="606"/>
      <c r="CU35" s="606"/>
      <c r="CV35" s="606"/>
      <c r="CW35" s="606"/>
      <c r="CX35" s="606"/>
      <c r="CY35" s="606"/>
      <c r="CZ35" s="606"/>
      <c r="DA35" s="606"/>
      <c r="DB35" s="606"/>
      <c r="DC35" s="606"/>
      <c r="DD35" s="606"/>
      <c r="DE35" s="606"/>
      <c r="DF35" s="606"/>
      <c r="DG35" s="606"/>
      <c r="DH35" s="606"/>
      <c r="DI35" s="606"/>
      <c r="DJ35" s="606"/>
      <c r="DK35" s="606"/>
      <c r="DL35" s="606"/>
      <c r="DM35" s="606"/>
      <c r="DN35" s="606"/>
      <c r="DO35" s="606"/>
      <c r="DP35" s="606"/>
      <c r="DQ35" s="606"/>
      <c r="DR35" s="606"/>
      <c r="DS35" s="606"/>
      <c r="DT35" s="606"/>
      <c r="DU35" s="606"/>
      <c r="DV35" s="606"/>
      <c r="DW35" s="606"/>
      <c r="DX35" s="606"/>
    </row>
    <row r="36" ht="15.0" customHeight="1">
      <c r="A36" s="549">
        <v>40831.0</v>
      </c>
      <c r="B36" s="647" t="s">
        <v>1926</v>
      </c>
      <c r="C36" s="551" t="s">
        <v>1927</v>
      </c>
      <c r="D36" s="647"/>
      <c r="E36" s="648" t="str">
        <f>IFERROR(__xludf.DUMMYFUNCTION("if(and(D36&lt;&gt;0,D36&lt;&gt;""""),D36/GOOGLEFINANCE(C36,""price"")-1,"""")"),"")</f>
        <v/>
      </c>
      <c r="F36" s="553">
        <f>IFERROR(__xludf.DUMMYFUNCTION("GOOGLEFINANCE(C36,""price"")"),19.12)</f>
        <v>19.12</v>
      </c>
      <c r="G36" s="648" t="str">
        <f>IFERROR(__xludf.DUMMYFUNCTION("if(and(I36&lt;&gt;0,I36&lt;&gt;""""),I36/GOOGLEFINANCE(C36,""price"")-1,"""")"),"")</f>
        <v/>
      </c>
      <c r="H36" s="559"/>
      <c r="I36" s="560"/>
      <c r="J36" s="647"/>
      <c r="K36" s="647"/>
      <c r="L36" s="647"/>
      <c r="M36" s="647"/>
      <c r="N36" s="647"/>
      <c r="O36" s="647"/>
      <c r="P36" s="647"/>
      <c r="Q36" s="647"/>
      <c r="R36" s="647"/>
      <c r="S36" s="647"/>
      <c r="T36" s="647"/>
      <c r="U36" s="649"/>
      <c r="V36" s="650"/>
      <c r="W36" s="649"/>
      <c r="X36" s="649"/>
      <c r="Y36" s="649"/>
      <c r="Z36" s="649"/>
      <c r="AA36" s="649"/>
      <c r="AB36" s="649"/>
      <c r="AC36" s="649"/>
      <c r="AD36" s="649"/>
      <c r="AE36" s="649"/>
      <c r="AF36" s="649"/>
      <c r="AG36" s="649"/>
      <c r="AH36" s="649"/>
      <c r="AI36" s="649"/>
      <c r="AJ36" s="649"/>
      <c r="AK36" s="649"/>
      <c r="AL36" s="649"/>
      <c r="AM36" s="649"/>
      <c r="AN36" s="649"/>
      <c r="AO36" s="649"/>
      <c r="AP36" s="649"/>
      <c r="AQ36" s="649"/>
      <c r="AR36" s="649"/>
      <c r="AS36" s="649"/>
      <c r="AT36" s="649"/>
      <c r="AU36" s="649"/>
      <c r="AV36" s="649"/>
      <c r="AW36" s="649"/>
      <c r="AX36" s="649"/>
      <c r="AY36" s="649"/>
      <c r="AZ36" s="649"/>
      <c r="BA36" s="649"/>
      <c r="BB36" s="649"/>
      <c r="BC36" s="649"/>
      <c r="BD36" s="649"/>
      <c r="BE36" s="649"/>
      <c r="BF36" s="649"/>
      <c r="BG36" s="649"/>
      <c r="BH36" s="649"/>
      <c r="BI36" s="649"/>
      <c r="BJ36" s="649"/>
      <c r="BK36" s="649"/>
      <c r="BL36" s="649"/>
      <c r="BM36" s="649"/>
      <c r="BN36" s="649"/>
      <c r="BO36" s="649"/>
      <c r="BP36" s="649"/>
      <c r="BQ36" s="649"/>
      <c r="BR36" s="649"/>
      <c r="BS36" s="649"/>
      <c r="BT36" s="649"/>
      <c r="BU36" s="649"/>
      <c r="BV36" s="649"/>
      <c r="BW36" s="649"/>
      <c r="BX36" s="649"/>
      <c r="BY36" s="649"/>
      <c r="BZ36" s="649"/>
      <c r="CA36" s="649"/>
      <c r="CB36" s="649"/>
      <c r="CC36" s="649"/>
      <c r="CD36" s="649"/>
      <c r="CE36" s="649"/>
      <c r="CF36" s="649"/>
      <c r="CG36" s="649"/>
      <c r="CH36" s="649"/>
      <c r="CI36" s="649"/>
      <c r="CJ36" s="649"/>
      <c r="CK36" s="649"/>
      <c r="CL36" s="649"/>
      <c r="CM36" s="649"/>
      <c r="CN36" s="649"/>
      <c r="CO36" s="649"/>
      <c r="CP36" s="649"/>
      <c r="CQ36" s="649"/>
      <c r="CR36" s="649"/>
      <c r="CS36" s="649"/>
      <c r="CT36" s="649"/>
      <c r="CU36" s="649"/>
      <c r="CV36" s="649"/>
      <c r="CW36" s="649"/>
      <c r="CX36" s="649"/>
      <c r="CY36" s="649"/>
      <c r="CZ36" s="649"/>
      <c r="DA36" s="649"/>
      <c r="DB36" s="649"/>
      <c r="DC36" s="649"/>
      <c r="DD36" s="649"/>
      <c r="DE36" s="649"/>
      <c r="DF36" s="649"/>
      <c r="DG36" s="649"/>
      <c r="DH36" s="649"/>
      <c r="DI36" s="649"/>
      <c r="DJ36" s="649"/>
      <c r="DK36" s="649"/>
      <c r="DL36" s="649"/>
      <c r="DM36" s="649"/>
      <c r="DN36" s="649"/>
      <c r="DO36" s="649"/>
      <c r="DP36" s="649"/>
      <c r="DQ36" s="649"/>
      <c r="DR36" s="649"/>
      <c r="DS36" s="649"/>
      <c r="DT36" s="649"/>
      <c r="DU36" s="649"/>
      <c r="DV36" s="649"/>
      <c r="DW36" s="649"/>
      <c r="DX36" s="649"/>
    </row>
    <row r="37" ht="15.0" customHeight="1">
      <c r="A37" s="585">
        <v>40773.0</v>
      </c>
      <c r="B37" s="586" t="s">
        <v>1930</v>
      </c>
      <c r="C37" s="587" t="s">
        <v>789</v>
      </c>
      <c r="D37" s="586"/>
      <c r="E37" s="589" t="str">
        <f>IFERROR(__xludf.DUMMYFUNCTION("if(and(D37&lt;&gt;0,D37&lt;&gt;""""),D37/GOOGLEFINANCE(C37,""price"")-1,"""")"),"")</f>
        <v/>
      </c>
      <c r="F37" s="590">
        <f>IFERROR(__xludf.DUMMYFUNCTION("GOOGLEFINANCE(C37,""price"")"),17.33)</f>
        <v>17.33</v>
      </c>
      <c r="G37" s="589" t="str">
        <f>IFERROR(__xludf.DUMMYFUNCTION("if(and(I37&lt;&gt;0,I37&lt;&gt;""""),I37/GOOGLEFINANCE(C37,""price"")-1,"""")"),"")</f>
        <v/>
      </c>
      <c r="H37" s="591"/>
      <c r="I37" s="602"/>
      <c r="J37" s="586"/>
      <c r="K37" s="586"/>
      <c r="L37" s="586"/>
      <c r="M37" s="586"/>
      <c r="N37" s="586"/>
      <c r="O37" s="586"/>
      <c r="P37" s="586"/>
      <c r="Q37" s="586"/>
      <c r="R37" s="586"/>
      <c r="S37" s="586"/>
      <c r="T37" s="586"/>
      <c r="U37" s="603" t="s">
        <v>1931</v>
      </c>
      <c r="V37" s="604"/>
      <c r="W37" s="605"/>
      <c r="X37" s="606"/>
      <c r="Y37" s="606"/>
      <c r="Z37" s="606"/>
      <c r="AA37" s="606"/>
      <c r="AB37" s="606"/>
      <c r="AC37" s="606"/>
      <c r="AD37" s="606"/>
      <c r="AE37" s="606"/>
      <c r="AF37" s="606"/>
      <c r="AG37" s="606"/>
      <c r="AH37" s="606"/>
      <c r="AI37" s="606"/>
      <c r="AJ37" s="606"/>
      <c r="AK37" s="606"/>
      <c r="AL37" s="606"/>
      <c r="AM37" s="606"/>
      <c r="AN37" s="606"/>
      <c r="AO37" s="606"/>
      <c r="AP37" s="606"/>
      <c r="AQ37" s="606"/>
      <c r="AR37" s="606"/>
      <c r="AS37" s="606"/>
      <c r="AT37" s="606"/>
      <c r="AU37" s="606"/>
      <c r="AV37" s="606"/>
      <c r="AW37" s="606"/>
      <c r="AX37" s="606"/>
      <c r="AY37" s="606"/>
      <c r="AZ37" s="606"/>
      <c r="BA37" s="606"/>
      <c r="BB37" s="606"/>
      <c r="BC37" s="606"/>
      <c r="BD37" s="606"/>
      <c r="BE37" s="606"/>
      <c r="BF37" s="606"/>
      <c r="BG37" s="606"/>
      <c r="BH37" s="606"/>
      <c r="BI37" s="606"/>
      <c r="BJ37" s="606"/>
      <c r="BK37" s="606"/>
      <c r="BL37" s="606"/>
      <c r="BM37" s="606"/>
      <c r="BN37" s="606"/>
      <c r="BO37" s="606"/>
      <c r="BP37" s="606"/>
      <c r="BQ37" s="606"/>
      <c r="BR37" s="606"/>
      <c r="BS37" s="606"/>
      <c r="BT37" s="606"/>
      <c r="BU37" s="606"/>
      <c r="BV37" s="606"/>
      <c r="BW37" s="606"/>
      <c r="BX37" s="606"/>
      <c r="BY37" s="606"/>
      <c r="BZ37" s="606"/>
      <c r="CA37" s="606"/>
      <c r="CB37" s="606"/>
      <c r="CC37" s="606"/>
      <c r="CD37" s="606"/>
      <c r="CE37" s="606"/>
      <c r="CF37" s="606"/>
      <c r="CG37" s="606"/>
      <c r="CH37" s="606"/>
      <c r="CI37" s="606"/>
      <c r="CJ37" s="606"/>
      <c r="CK37" s="606"/>
      <c r="CL37" s="606"/>
      <c r="CM37" s="606"/>
      <c r="CN37" s="606"/>
      <c r="CO37" s="606"/>
      <c r="CP37" s="606"/>
      <c r="CQ37" s="606"/>
      <c r="CR37" s="606"/>
      <c r="CS37" s="606"/>
      <c r="CT37" s="606"/>
      <c r="CU37" s="606"/>
      <c r="CV37" s="606"/>
      <c r="CW37" s="606"/>
      <c r="CX37" s="606"/>
      <c r="CY37" s="606"/>
      <c r="CZ37" s="606"/>
      <c r="DA37" s="606"/>
      <c r="DB37" s="606"/>
      <c r="DC37" s="606"/>
      <c r="DD37" s="606"/>
      <c r="DE37" s="606"/>
      <c r="DF37" s="606"/>
      <c r="DG37" s="606"/>
      <c r="DH37" s="606"/>
      <c r="DI37" s="606"/>
      <c r="DJ37" s="606"/>
      <c r="DK37" s="606"/>
      <c r="DL37" s="606"/>
      <c r="DM37" s="606"/>
      <c r="DN37" s="606"/>
      <c r="DO37" s="606"/>
      <c r="DP37" s="606"/>
      <c r="DQ37" s="606"/>
      <c r="DR37" s="606"/>
      <c r="DS37" s="606"/>
      <c r="DT37" s="606"/>
      <c r="DU37" s="606"/>
      <c r="DV37" s="606"/>
      <c r="DW37" s="606"/>
      <c r="DX37" s="606"/>
    </row>
    <row r="38" ht="15.0" customHeight="1">
      <c r="A38" s="574">
        <v>41262.0</v>
      </c>
      <c r="B38" s="575" t="s">
        <v>1932</v>
      </c>
      <c r="C38" s="576" t="s">
        <v>840</v>
      </c>
      <c r="D38" s="575"/>
      <c r="E38" s="577" t="str">
        <f>IFERROR(__xludf.DUMMYFUNCTION("if(and(D38&lt;&gt;0,D38&lt;&gt;""""),D38/GOOGLEFINANCE(C38,""price"")-1,"""")"),"")</f>
        <v/>
      </c>
      <c r="F38" s="578">
        <f>IFERROR(__xludf.DUMMYFUNCTION("GOOGLEFINANCE(C38,""price"")"),549.27)</f>
        <v>549.27</v>
      </c>
      <c r="G38" s="577" t="str">
        <f>IFERROR(__xludf.DUMMYFUNCTION("if(and(I38&lt;&gt;0,I38&lt;&gt;""""),I38/GOOGLEFINANCE(C38,""price"")-1,"""")"),"")</f>
        <v/>
      </c>
      <c r="H38" s="579"/>
      <c r="I38" s="580"/>
      <c r="J38" s="575"/>
      <c r="K38" s="575"/>
      <c r="L38" s="575"/>
      <c r="M38" s="575"/>
      <c r="N38" s="575"/>
      <c r="O38" s="575"/>
      <c r="P38" s="575"/>
      <c r="Q38" s="575"/>
      <c r="R38" s="575"/>
      <c r="S38" s="575"/>
      <c r="T38" s="575"/>
      <c r="U38" s="581" t="s">
        <v>1933</v>
      </c>
      <c r="V38" s="582"/>
      <c r="W38" s="583"/>
      <c r="X38" s="584"/>
      <c r="Y38" s="584"/>
      <c r="Z38" s="584"/>
      <c r="AA38" s="584"/>
      <c r="AB38" s="584"/>
      <c r="AC38" s="584"/>
      <c r="AD38" s="584"/>
      <c r="AE38" s="584"/>
      <c r="AF38" s="584"/>
      <c r="AG38" s="584"/>
      <c r="AH38" s="584"/>
      <c r="AI38" s="584"/>
      <c r="AJ38" s="584"/>
      <c r="AK38" s="584"/>
      <c r="AL38" s="584"/>
      <c r="AM38" s="584"/>
      <c r="AN38" s="584"/>
      <c r="AO38" s="584"/>
      <c r="AP38" s="584"/>
      <c r="AQ38" s="584"/>
      <c r="AR38" s="584"/>
      <c r="AS38" s="584"/>
      <c r="AT38" s="584"/>
      <c r="AU38" s="584"/>
      <c r="AV38" s="584"/>
      <c r="AW38" s="584"/>
      <c r="AX38" s="584"/>
      <c r="AY38" s="584"/>
      <c r="AZ38" s="584"/>
      <c r="BA38" s="584"/>
      <c r="BB38" s="584"/>
      <c r="BC38" s="584"/>
      <c r="BD38" s="584"/>
      <c r="BE38" s="584"/>
      <c r="BF38" s="584"/>
      <c r="BG38" s="584"/>
      <c r="BH38" s="584"/>
      <c r="BI38" s="584"/>
      <c r="BJ38" s="584"/>
      <c r="BK38" s="584"/>
      <c r="BL38" s="584"/>
      <c r="BM38" s="584"/>
      <c r="BN38" s="584"/>
      <c r="BO38" s="584"/>
      <c r="BP38" s="584"/>
      <c r="BQ38" s="584"/>
      <c r="BR38" s="584"/>
      <c r="BS38" s="584"/>
      <c r="BT38" s="584"/>
      <c r="BU38" s="584"/>
      <c r="BV38" s="584"/>
      <c r="BW38" s="584"/>
      <c r="BX38" s="584"/>
      <c r="BY38" s="584"/>
      <c r="BZ38" s="584"/>
      <c r="CA38" s="584"/>
      <c r="CB38" s="584"/>
      <c r="CC38" s="584"/>
      <c r="CD38" s="584"/>
      <c r="CE38" s="584"/>
      <c r="CF38" s="584"/>
      <c r="CG38" s="584"/>
      <c r="CH38" s="584"/>
      <c r="CI38" s="584"/>
      <c r="CJ38" s="584"/>
      <c r="CK38" s="584"/>
      <c r="CL38" s="584"/>
      <c r="CM38" s="584"/>
      <c r="CN38" s="584"/>
      <c r="CO38" s="584"/>
      <c r="CP38" s="584"/>
      <c r="CQ38" s="584"/>
      <c r="CR38" s="584"/>
      <c r="CS38" s="584"/>
      <c r="CT38" s="584"/>
      <c r="CU38" s="584"/>
      <c r="CV38" s="584"/>
      <c r="CW38" s="584"/>
      <c r="CX38" s="584"/>
      <c r="CY38" s="584"/>
      <c r="CZ38" s="584"/>
      <c r="DA38" s="584"/>
      <c r="DB38" s="584"/>
      <c r="DC38" s="584"/>
      <c r="DD38" s="584"/>
      <c r="DE38" s="584"/>
      <c r="DF38" s="584"/>
      <c r="DG38" s="584"/>
      <c r="DH38" s="584"/>
      <c r="DI38" s="584"/>
      <c r="DJ38" s="584"/>
      <c r="DK38" s="584"/>
      <c r="DL38" s="584"/>
      <c r="DM38" s="584"/>
      <c r="DN38" s="584"/>
      <c r="DO38" s="584"/>
      <c r="DP38" s="584"/>
      <c r="DQ38" s="584"/>
      <c r="DR38" s="584"/>
      <c r="DS38" s="584"/>
      <c r="DT38" s="584"/>
      <c r="DU38" s="584"/>
      <c r="DV38" s="584"/>
      <c r="DW38" s="584"/>
      <c r="DX38" s="584"/>
    </row>
    <row r="39" ht="15.0" customHeight="1">
      <c r="A39" s="574">
        <v>41034.0</v>
      </c>
      <c r="B39" s="575" t="s">
        <v>1934</v>
      </c>
      <c r="C39" s="576" t="s">
        <v>348</v>
      </c>
      <c r="D39" s="575"/>
      <c r="E39" s="577" t="str">
        <f>IFERROR(__xludf.DUMMYFUNCTION("if(and(D39&lt;&gt;0,D39&lt;&gt;""""),D39/GOOGLEFINANCE(C39,""price"")-1,"""")"),"")</f>
        <v/>
      </c>
      <c r="F39" s="578">
        <f>IFERROR(__xludf.DUMMYFUNCTION("GOOGLEFINANCE(C39,""price"")"),4.82)</f>
        <v>4.82</v>
      </c>
      <c r="G39" s="577" t="str">
        <f>IFERROR(__xludf.DUMMYFUNCTION("if(and(I39&lt;&gt;0,I39&lt;&gt;""""),I39/GOOGLEFINANCE(C39,""price"")-1,"""")"),"")</f>
        <v/>
      </c>
      <c r="H39" s="579"/>
      <c r="I39" s="580"/>
      <c r="J39" s="575"/>
      <c r="K39" s="575"/>
      <c r="L39" s="575"/>
      <c r="M39" s="575"/>
      <c r="N39" s="575"/>
      <c r="O39" s="575"/>
      <c r="P39" s="575"/>
      <c r="Q39" s="575"/>
      <c r="R39" s="575"/>
      <c r="S39" s="575"/>
      <c r="T39" s="575"/>
      <c r="U39" s="581" t="s">
        <v>1936</v>
      </c>
      <c r="V39" s="582"/>
      <c r="W39" s="583"/>
      <c r="X39" s="584"/>
      <c r="Y39" s="584"/>
      <c r="Z39" s="584"/>
      <c r="AA39" s="584"/>
      <c r="AB39" s="584"/>
      <c r="AC39" s="584"/>
      <c r="AD39" s="584"/>
      <c r="AE39" s="584"/>
      <c r="AF39" s="584"/>
      <c r="AG39" s="584"/>
      <c r="AH39" s="584"/>
      <c r="AI39" s="584"/>
      <c r="AJ39" s="584"/>
      <c r="AK39" s="584"/>
      <c r="AL39" s="584"/>
      <c r="AM39" s="584"/>
      <c r="AN39" s="584"/>
      <c r="AO39" s="584"/>
      <c r="AP39" s="584"/>
      <c r="AQ39" s="584"/>
      <c r="AR39" s="584"/>
      <c r="AS39" s="584"/>
      <c r="AT39" s="584"/>
      <c r="AU39" s="584"/>
      <c r="AV39" s="584"/>
      <c r="AW39" s="584"/>
      <c r="AX39" s="584"/>
      <c r="AY39" s="584"/>
      <c r="AZ39" s="584"/>
      <c r="BA39" s="584"/>
      <c r="BB39" s="584"/>
      <c r="BC39" s="584"/>
      <c r="BD39" s="584"/>
      <c r="BE39" s="584"/>
      <c r="BF39" s="584"/>
      <c r="BG39" s="584"/>
      <c r="BH39" s="584"/>
      <c r="BI39" s="584"/>
      <c r="BJ39" s="584"/>
      <c r="BK39" s="584"/>
      <c r="BL39" s="584"/>
      <c r="BM39" s="584"/>
      <c r="BN39" s="584"/>
      <c r="BO39" s="584"/>
      <c r="BP39" s="584"/>
      <c r="BQ39" s="584"/>
      <c r="BR39" s="584"/>
      <c r="BS39" s="584"/>
      <c r="BT39" s="584"/>
      <c r="BU39" s="584"/>
      <c r="BV39" s="584"/>
      <c r="BW39" s="584"/>
      <c r="BX39" s="584"/>
      <c r="BY39" s="584"/>
      <c r="BZ39" s="584"/>
      <c r="CA39" s="584"/>
      <c r="CB39" s="584"/>
      <c r="CC39" s="584"/>
      <c r="CD39" s="584"/>
      <c r="CE39" s="584"/>
      <c r="CF39" s="584"/>
      <c r="CG39" s="584"/>
      <c r="CH39" s="584"/>
      <c r="CI39" s="584"/>
      <c r="CJ39" s="584"/>
      <c r="CK39" s="584"/>
      <c r="CL39" s="584"/>
      <c r="CM39" s="584"/>
      <c r="CN39" s="584"/>
      <c r="CO39" s="584"/>
      <c r="CP39" s="584"/>
      <c r="CQ39" s="584"/>
      <c r="CR39" s="584"/>
      <c r="CS39" s="584"/>
      <c r="CT39" s="584"/>
      <c r="CU39" s="584"/>
      <c r="CV39" s="584"/>
      <c r="CW39" s="584"/>
      <c r="CX39" s="584"/>
      <c r="CY39" s="584"/>
      <c r="CZ39" s="584"/>
      <c r="DA39" s="584"/>
      <c r="DB39" s="584"/>
      <c r="DC39" s="584"/>
      <c r="DD39" s="584"/>
      <c r="DE39" s="584"/>
      <c r="DF39" s="584"/>
      <c r="DG39" s="584"/>
      <c r="DH39" s="584"/>
      <c r="DI39" s="584"/>
      <c r="DJ39" s="584"/>
      <c r="DK39" s="584"/>
      <c r="DL39" s="584"/>
      <c r="DM39" s="584"/>
      <c r="DN39" s="584"/>
      <c r="DO39" s="584"/>
      <c r="DP39" s="584"/>
      <c r="DQ39" s="584"/>
      <c r="DR39" s="584"/>
      <c r="DS39" s="584"/>
      <c r="DT39" s="584"/>
      <c r="DU39" s="584"/>
      <c r="DV39" s="584"/>
      <c r="DW39" s="584"/>
      <c r="DX39" s="584"/>
    </row>
    <row r="40" ht="15.0" customHeight="1">
      <c r="A40" s="611">
        <v>42343.0</v>
      </c>
      <c r="B40" s="588" t="s">
        <v>1937</v>
      </c>
      <c r="C40" s="612" t="s">
        <v>1938</v>
      </c>
      <c r="D40" s="588">
        <v>20.5</v>
      </c>
      <c r="E40" s="589">
        <f>IFERROR(__xludf.DUMMYFUNCTION("if(and(D40&lt;&gt;0,D40&lt;&gt;""""),D40/GOOGLEFINANCE(C40,""price"")-1,"""")"),0.003917727717923425)</f>
        <v>0.003917727718</v>
      </c>
      <c r="F40" s="590">
        <f>IFERROR(__xludf.DUMMYFUNCTION("GOOGLEFINANCE(C40,""price"")"),20.42)</f>
        <v>20.42</v>
      </c>
      <c r="G40" s="589">
        <f>IFERROR(__xludf.DUMMYFUNCTION("if(and(I40&lt;&gt;0,I40&lt;&gt;""""),I40/GOOGLEFINANCE(C40,""price"")-1,"""")"),-0.9020568070519099)</f>
        <v>-0.9020568071</v>
      </c>
      <c r="H40" s="591"/>
      <c r="I40" s="592">
        <v>2.0</v>
      </c>
      <c r="J40" s="586"/>
      <c r="K40" s="586"/>
      <c r="L40" s="586"/>
      <c r="M40" s="586"/>
      <c r="N40" s="586"/>
      <c r="O40" s="586"/>
      <c r="P40" s="586"/>
      <c r="Q40" s="586"/>
      <c r="R40" s="586"/>
      <c r="S40" s="586"/>
      <c r="T40" s="586"/>
      <c r="U40" s="603"/>
      <c r="V40" s="604"/>
      <c r="W40" s="605"/>
      <c r="X40" s="606"/>
      <c r="Y40" s="606"/>
      <c r="Z40" s="606"/>
      <c r="AA40" s="606"/>
      <c r="AB40" s="606"/>
      <c r="AC40" s="606"/>
      <c r="AD40" s="606"/>
      <c r="AE40" s="606"/>
      <c r="AF40" s="606"/>
      <c r="AG40" s="606"/>
      <c r="AH40" s="606"/>
      <c r="AI40" s="606"/>
      <c r="AJ40" s="606"/>
      <c r="AK40" s="606"/>
      <c r="AL40" s="606"/>
      <c r="AM40" s="606"/>
      <c r="AN40" s="606"/>
      <c r="AO40" s="606"/>
      <c r="AP40" s="606"/>
      <c r="AQ40" s="606"/>
      <c r="AR40" s="606"/>
      <c r="AS40" s="606"/>
      <c r="AT40" s="606"/>
      <c r="AU40" s="606"/>
      <c r="AV40" s="606"/>
      <c r="AW40" s="606"/>
      <c r="AX40" s="606"/>
      <c r="AY40" s="606"/>
      <c r="AZ40" s="606"/>
      <c r="BA40" s="606"/>
      <c r="BB40" s="606"/>
      <c r="BC40" s="606"/>
      <c r="BD40" s="606"/>
      <c r="BE40" s="606"/>
      <c r="BF40" s="606"/>
      <c r="BG40" s="606"/>
      <c r="BH40" s="606"/>
      <c r="BI40" s="606"/>
      <c r="BJ40" s="606"/>
      <c r="BK40" s="606"/>
      <c r="BL40" s="606"/>
      <c r="BM40" s="606"/>
      <c r="BN40" s="606"/>
      <c r="BO40" s="606"/>
      <c r="BP40" s="606"/>
      <c r="BQ40" s="606"/>
      <c r="BR40" s="606"/>
      <c r="BS40" s="606"/>
      <c r="BT40" s="606"/>
      <c r="BU40" s="606"/>
      <c r="BV40" s="606"/>
      <c r="BW40" s="606"/>
      <c r="BX40" s="606"/>
      <c r="BY40" s="606"/>
      <c r="BZ40" s="606"/>
      <c r="CA40" s="606"/>
      <c r="CB40" s="606"/>
      <c r="CC40" s="606"/>
      <c r="CD40" s="606"/>
      <c r="CE40" s="606"/>
      <c r="CF40" s="606"/>
      <c r="CG40" s="606"/>
      <c r="CH40" s="606"/>
      <c r="CI40" s="606"/>
      <c r="CJ40" s="606"/>
      <c r="CK40" s="606"/>
      <c r="CL40" s="606"/>
      <c r="CM40" s="606"/>
      <c r="CN40" s="606"/>
      <c r="CO40" s="606"/>
      <c r="CP40" s="606"/>
      <c r="CQ40" s="606"/>
      <c r="CR40" s="606"/>
      <c r="CS40" s="606"/>
      <c r="CT40" s="606"/>
      <c r="CU40" s="606"/>
      <c r="CV40" s="606"/>
      <c r="CW40" s="606"/>
      <c r="CX40" s="606"/>
      <c r="CY40" s="606"/>
      <c r="CZ40" s="606"/>
      <c r="DA40" s="606"/>
      <c r="DB40" s="606"/>
      <c r="DC40" s="606"/>
      <c r="DD40" s="606"/>
      <c r="DE40" s="606"/>
      <c r="DF40" s="606"/>
      <c r="DG40" s="606"/>
      <c r="DH40" s="606"/>
      <c r="DI40" s="606"/>
      <c r="DJ40" s="606"/>
      <c r="DK40" s="606"/>
      <c r="DL40" s="606"/>
      <c r="DM40" s="606"/>
      <c r="DN40" s="606"/>
      <c r="DO40" s="606"/>
      <c r="DP40" s="606"/>
      <c r="DQ40" s="606"/>
      <c r="DR40" s="606"/>
      <c r="DS40" s="606"/>
      <c r="DT40" s="606"/>
      <c r="DU40" s="606"/>
      <c r="DV40" s="606"/>
      <c r="DW40" s="606"/>
      <c r="DX40" s="606"/>
    </row>
    <row r="41" ht="15.0" customHeight="1">
      <c r="A41" s="549">
        <v>40825.0</v>
      </c>
      <c r="B41" s="550" t="s">
        <v>1939</v>
      </c>
      <c r="C41" s="551" t="s">
        <v>1940</v>
      </c>
      <c r="D41" s="550"/>
      <c r="E41" s="552" t="str">
        <f>IFERROR(__xludf.DUMMYFUNCTION("if(and(D41&lt;&gt;0,D41&lt;&gt;""""),D41/GOOGLEFINANCE(C41,""price"")-1,"""")"),"")</f>
        <v/>
      </c>
      <c r="F41" s="553">
        <f>IFERROR(__xludf.DUMMYFUNCTION("GOOGLEFINANCE(C41,""price"")"),12.52)</f>
        <v>12.52</v>
      </c>
      <c r="G41" s="552" t="str">
        <f>IFERROR(__xludf.DUMMYFUNCTION("if(and(I41&lt;&gt;0,I41&lt;&gt;""""),I41/GOOGLEFINANCE(C41,""price"")-1,"""")"),"")</f>
        <v/>
      </c>
      <c r="H41" s="559"/>
      <c r="I41" s="560"/>
      <c r="J41" s="550"/>
      <c r="K41" s="550"/>
      <c r="L41" s="550"/>
      <c r="M41" s="550"/>
      <c r="N41" s="550"/>
      <c r="O41" s="550"/>
      <c r="P41" s="550"/>
      <c r="Q41" s="550"/>
      <c r="R41" s="550"/>
      <c r="S41" s="550"/>
      <c r="T41" s="550"/>
      <c r="U41" s="562"/>
      <c r="V41" s="651"/>
      <c r="W41" s="562"/>
      <c r="X41" s="562"/>
      <c r="Y41" s="562"/>
      <c r="Z41" s="562"/>
      <c r="AA41" s="562"/>
      <c r="AB41" s="562"/>
      <c r="AC41" s="562"/>
      <c r="AD41" s="562"/>
      <c r="AE41" s="562"/>
      <c r="AF41" s="562"/>
      <c r="AG41" s="562"/>
      <c r="AH41" s="562"/>
      <c r="AI41" s="562"/>
      <c r="AJ41" s="562"/>
      <c r="AK41" s="562"/>
      <c r="AL41" s="562"/>
      <c r="AM41" s="562"/>
      <c r="AN41" s="562"/>
      <c r="AO41" s="562"/>
      <c r="AP41" s="562"/>
      <c r="AQ41" s="562"/>
      <c r="AR41" s="562"/>
      <c r="AS41" s="562"/>
      <c r="AT41" s="562"/>
      <c r="AU41" s="562"/>
      <c r="AV41" s="562"/>
      <c r="AW41" s="562"/>
      <c r="AX41" s="562"/>
      <c r="AY41" s="562"/>
      <c r="AZ41" s="562"/>
      <c r="BA41" s="562"/>
      <c r="BB41" s="562"/>
      <c r="BC41" s="562"/>
      <c r="BD41" s="562"/>
      <c r="BE41" s="562"/>
      <c r="BF41" s="562"/>
      <c r="BG41" s="562"/>
      <c r="BH41" s="562"/>
      <c r="BI41" s="562"/>
      <c r="BJ41" s="562"/>
      <c r="BK41" s="562"/>
      <c r="BL41" s="562"/>
      <c r="BM41" s="562"/>
      <c r="BN41" s="562"/>
      <c r="BO41" s="562"/>
      <c r="BP41" s="562"/>
      <c r="BQ41" s="562"/>
      <c r="BR41" s="562"/>
      <c r="BS41" s="562"/>
      <c r="BT41" s="562"/>
      <c r="BU41" s="562"/>
      <c r="BV41" s="562"/>
      <c r="BW41" s="562"/>
      <c r="BX41" s="562"/>
      <c r="BY41" s="562"/>
      <c r="BZ41" s="562"/>
      <c r="CA41" s="562"/>
      <c r="CB41" s="562"/>
      <c r="CC41" s="562"/>
      <c r="CD41" s="562"/>
      <c r="CE41" s="562"/>
      <c r="CF41" s="562"/>
      <c r="CG41" s="562"/>
      <c r="CH41" s="562"/>
      <c r="CI41" s="562"/>
      <c r="CJ41" s="562"/>
      <c r="CK41" s="562"/>
      <c r="CL41" s="562"/>
      <c r="CM41" s="562"/>
      <c r="CN41" s="562"/>
      <c r="CO41" s="562"/>
      <c r="CP41" s="562"/>
      <c r="CQ41" s="562"/>
      <c r="CR41" s="562"/>
      <c r="CS41" s="562"/>
      <c r="CT41" s="562"/>
      <c r="CU41" s="562"/>
      <c r="CV41" s="562"/>
      <c r="CW41" s="562"/>
      <c r="CX41" s="562"/>
      <c r="CY41" s="562"/>
      <c r="CZ41" s="562"/>
      <c r="DA41" s="562"/>
      <c r="DB41" s="562"/>
      <c r="DC41" s="562"/>
      <c r="DD41" s="562"/>
      <c r="DE41" s="562"/>
      <c r="DF41" s="562"/>
      <c r="DG41" s="562"/>
      <c r="DH41" s="562"/>
      <c r="DI41" s="562"/>
      <c r="DJ41" s="562"/>
      <c r="DK41" s="562"/>
      <c r="DL41" s="562"/>
      <c r="DM41" s="562"/>
      <c r="DN41" s="562"/>
      <c r="DO41" s="562"/>
      <c r="DP41" s="562"/>
      <c r="DQ41" s="562"/>
      <c r="DR41" s="562"/>
      <c r="DS41" s="562"/>
      <c r="DT41" s="562"/>
      <c r="DU41" s="562"/>
      <c r="DV41" s="562"/>
      <c r="DW41" s="562"/>
      <c r="DX41" s="562"/>
    </row>
    <row r="42" ht="15.0" customHeight="1">
      <c r="A42" s="652">
        <v>42068.0</v>
      </c>
      <c r="B42" s="653" t="s">
        <v>1943</v>
      </c>
      <c r="C42" s="654" t="s">
        <v>1944</v>
      </c>
      <c r="D42" s="588">
        <v>45.0</v>
      </c>
      <c r="E42" s="589">
        <f>IFERROR(__xludf.DUMMYFUNCTION("if(and(D42&lt;&gt;0,D42&lt;&gt;""""),D42/GOOGLEFINANCE(C42,""price"")-1,"""")"),3.6923879040667362)</f>
        <v>3.692387904</v>
      </c>
      <c r="F42" s="590">
        <f>IFERROR(__xludf.DUMMYFUNCTION("GOOGLEFINANCE(C42,""price"")"),9.59)</f>
        <v>9.59</v>
      </c>
      <c r="G42" s="589">
        <f>IFERROR(__xludf.DUMMYFUNCTION("if(and(I42&lt;&gt;0,I42&lt;&gt;""""),I42/GOOGLEFINANCE(C42,""price"")-1,"""")"),0.04275286757038588)</f>
        <v>0.04275286757</v>
      </c>
      <c r="H42" s="591"/>
      <c r="I42" s="655">
        <v>10.0</v>
      </c>
      <c r="J42" s="656"/>
      <c r="K42" s="656"/>
      <c r="L42" s="656"/>
      <c r="M42" s="656"/>
      <c r="N42" s="656"/>
      <c r="O42" s="656"/>
      <c r="P42" s="653"/>
      <c r="Q42" s="653"/>
      <c r="R42" s="653"/>
      <c r="S42" s="653"/>
      <c r="T42" s="653"/>
      <c r="U42" s="657" t="s">
        <v>1945</v>
      </c>
      <c r="V42" s="594"/>
      <c r="W42" s="657"/>
      <c r="X42" s="657"/>
      <c r="Y42" s="657"/>
      <c r="Z42" s="657"/>
      <c r="AA42" s="657"/>
      <c r="AB42" s="657"/>
      <c r="AC42" s="657"/>
      <c r="AD42" s="657"/>
      <c r="AE42" s="657"/>
      <c r="AF42" s="657"/>
      <c r="AG42" s="657"/>
      <c r="AH42" s="657"/>
      <c r="AI42" s="657"/>
      <c r="AJ42" s="657"/>
      <c r="AK42" s="657"/>
      <c r="AL42" s="657"/>
      <c r="AM42" s="657"/>
      <c r="AN42" s="657"/>
      <c r="AO42" s="657"/>
      <c r="AP42" s="657"/>
      <c r="AQ42" s="657"/>
      <c r="AR42" s="657"/>
      <c r="AS42" s="657"/>
      <c r="AT42" s="657"/>
      <c r="AU42" s="657"/>
      <c r="AV42" s="657"/>
      <c r="AW42" s="657"/>
      <c r="AX42" s="657"/>
      <c r="AY42" s="657"/>
      <c r="AZ42" s="657"/>
      <c r="BA42" s="657"/>
      <c r="BB42" s="657"/>
      <c r="BC42" s="657"/>
      <c r="BD42" s="657"/>
      <c r="BE42" s="657"/>
      <c r="BF42" s="657"/>
      <c r="BG42" s="657"/>
      <c r="BH42" s="657"/>
      <c r="BI42" s="657"/>
      <c r="BJ42" s="657"/>
      <c r="BK42" s="657"/>
      <c r="BL42" s="657"/>
      <c r="BM42" s="657"/>
      <c r="BN42" s="657"/>
      <c r="BO42" s="657"/>
      <c r="BP42" s="657"/>
      <c r="BQ42" s="657"/>
      <c r="BR42" s="657"/>
      <c r="BS42" s="657"/>
      <c r="BT42" s="657"/>
      <c r="BU42" s="657"/>
      <c r="BV42" s="657"/>
      <c r="BW42" s="657"/>
      <c r="BX42" s="657"/>
      <c r="BY42" s="657"/>
      <c r="BZ42" s="657"/>
      <c r="CA42" s="657"/>
      <c r="CB42" s="657"/>
      <c r="CC42" s="657"/>
      <c r="CD42" s="657"/>
      <c r="CE42" s="657"/>
      <c r="CF42" s="657"/>
      <c r="CG42" s="657"/>
      <c r="CH42" s="657"/>
      <c r="CI42" s="657"/>
      <c r="CJ42" s="657"/>
      <c r="CK42" s="657"/>
      <c r="CL42" s="657"/>
      <c r="CM42" s="657"/>
      <c r="CN42" s="657"/>
      <c r="CO42" s="657"/>
      <c r="CP42" s="657"/>
      <c r="CQ42" s="657"/>
      <c r="CR42" s="657"/>
      <c r="CS42" s="657"/>
      <c r="CT42" s="657"/>
      <c r="CU42" s="657"/>
      <c r="CV42" s="657"/>
      <c r="CW42" s="657"/>
      <c r="CX42" s="657"/>
      <c r="CY42" s="657"/>
      <c r="CZ42" s="657"/>
      <c r="DA42" s="657"/>
      <c r="DB42" s="657"/>
      <c r="DC42" s="657"/>
      <c r="DD42" s="657"/>
      <c r="DE42" s="657"/>
      <c r="DF42" s="657"/>
      <c r="DG42" s="657"/>
      <c r="DH42" s="657"/>
      <c r="DI42" s="657"/>
      <c r="DJ42" s="657"/>
      <c r="DK42" s="657"/>
      <c r="DL42" s="657"/>
      <c r="DM42" s="657"/>
      <c r="DN42" s="657"/>
      <c r="DO42" s="657"/>
      <c r="DP42" s="657"/>
      <c r="DQ42" s="657"/>
      <c r="DR42" s="657"/>
      <c r="DS42" s="657"/>
      <c r="DT42" s="657"/>
      <c r="DU42" s="657"/>
      <c r="DV42" s="657"/>
      <c r="DW42" s="657"/>
      <c r="DX42" s="657"/>
    </row>
    <row r="43" ht="15.0" customHeight="1">
      <c r="A43" s="652">
        <v>42194.0</v>
      </c>
      <c r="B43" s="653" t="s">
        <v>1946</v>
      </c>
      <c r="C43" s="654" t="s">
        <v>1947</v>
      </c>
      <c r="D43" s="588">
        <v>45.0</v>
      </c>
      <c r="E43" s="589">
        <f>IFERROR(__xludf.DUMMYFUNCTION("if(and(D43&lt;&gt;0,D43&lt;&gt;""""),D43/GOOGLEFINANCE(C43,""price"")-1,"""")"),-0.3001555209953344)</f>
        <v>-0.300155521</v>
      </c>
      <c r="F43" s="590">
        <f>IFERROR(__xludf.DUMMYFUNCTION("GOOGLEFINANCE(C43,""price"")"),64.3)</f>
        <v>64.3</v>
      </c>
      <c r="G43" s="589">
        <f>IFERROR(__xludf.DUMMYFUNCTION("if(and(I43&lt;&gt;0,I43&lt;&gt;""""),I43/GOOGLEFINANCE(C43,""price"")-1,"""")"),-0.9844479004665629)</f>
        <v>-0.9844479005</v>
      </c>
      <c r="H43" s="591"/>
      <c r="I43" s="592">
        <v>1.0</v>
      </c>
      <c r="J43" s="586"/>
      <c r="K43" s="656"/>
      <c r="L43" s="656"/>
      <c r="M43" s="656"/>
      <c r="N43" s="656"/>
      <c r="O43" s="656"/>
      <c r="P43" s="653"/>
      <c r="Q43" s="653"/>
      <c r="R43" s="653"/>
      <c r="S43" s="653"/>
      <c r="T43" s="653"/>
      <c r="U43" s="657" t="s">
        <v>1948</v>
      </c>
      <c r="V43" s="594"/>
      <c r="W43" s="657"/>
      <c r="X43" s="657"/>
      <c r="Y43" s="657"/>
      <c r="Z43" s="657"/>
      <c r="AA43" s="657"/>
      <c r="AB43" s="657"/>
      <c r="AC43" s="657"/>
      <c r="AD43" s="657"/>
      <c r="AE43" s="657"/>
      <c r="AF43" s="657"/>
      <c r="AG43" s="657"/>
      <c r="AH43" s="657"/>
      <c r="AI43" s="657"/>
      <c r="AJ43" s="657"/>
      <c r="AK43" s="657"/>
      <c r="AL43" s="657"/>
      <c r="AM43" s="657"/>
      <c r="AN43" s="657"/>
      <c r="AO43" s="657"/>
      <c r="AP43" s="657"/>
      <c r="AQ43" s="657"/>
      <c r="AR43" s="657"/>
      <c r="AS43" s="657"/>
      <c r="AT43" s="657"/>
      <c r="AU43" s="657"/>
      <c r="AV43" s="657"/>
      <c r="AW43" s="657"/>
      <c r="AX43" s="657"/>
      <c r="AY43" s="657"/>
      <c r="AZ43" s="657"/>
      <c r="BA43" s="657"/>
      <c r="BB43" s="657"/>
      <c r="BC43" s="657"/>
      <c r="BD43" s="657"/>
      <c r="BE43" s="657"/>
      <c r="BF43" s="657"/>
      <c r="BG43" s="657"/>
      <c r="BH43" s="657"/>
      <c r="BI43" s="657"/>
      <c r="BJ43" s="657"/>
      <c r="BK43" s="657"/>
      <c r="BL43" s="657"/>
      <c r="BM43" s="657"/>
      <c r="BN43" s="657"/>
      <c r="BO43" s="657"/>
      <c r="BP43" s="657"/>
      <c r="BQ43" s="657"/>
      <c r="BR43" s="657"/>
      <c r="BS43" s="657"/>
      <c r="BT43" s="657"/>
      <c r="BU43" s="657"/>
      <c r="BV43" s="657"/>
      <c r="BW43" s="657"/>
      <c r="BX43" s="657"/>
      <c r="BY43" s="657"/>
      <c r="BZ43" s="657"/>
      <c r="CA43" s="657"/>
      <c r="CB43" s="657"/>
      <c r="CC43" s="657"/>
      <c r="CD43" s="657"/>
      <c r="CE43" s="657"/>
      <c r="CF43" s="657"/>
      <c r="CG43" s="657"/>
      <c r="CH43" s="657"/>
      <c r="CI43" s="657"/>
      <c r="CJ43" s="657"/>
      <c r="CK43" s="657"/>
      <c r="CL43" s="657"/>
      <c r="CM43" s="657"/>
      <c r="CN43" s="657"/>
      <c r="CO43" s="657"/>
      <c r="CP43" s="657"/>
      <c r="CQ43" s="657"/>
      <c r="CR43" s="657"/>
      <c r="CS43" s="657"/>
      <c r="CT43" s="657"/>
      <c r="CU43" s="657"/>
      <c r="CV43" s="657"/>
      <c r="CW43" s="657"/>
      <c r="CX43" s="657"/>
      <c r="CY43" s="657"/>
      <c r="CZ43" s="657"/>
      <c r="DA43" s="657"/>
      <c r="DB43" s="657"/>
      <c r="DC43" s="657"/>
      <c r="DD43" s="657"/>
      <c r="DE43" s="657"/>
      <c r="DF43" s="657"/>
      <c r="DG43" s="657"/>
      <c r="DH43" s="657"/>
      <c r="DI43" s="657"/>
      <c r="DJ43" s="657"/>
      <c r="DK43" s="657"/>
      <c r="DL43" s="657"/>
      <c r="DM43" s="657"/>
      <c r="DN43" s="657"/>
      <c r="DO43" s="657"/>
      <c r="DP43" s="657"/>
      <c r="DQ43" s="657"/>
      <c r="DR43" s="657"/>
      <c r="DS43" s="657"/>
      <c r="DT43" s="657"/>
      <c r="DU43" s="657"/>
      <c r="DV43" s="657"/>
      <c r="DW43" s="657"/>
      <c r="DX43" s="657"/>
    </row>
    <row r="44" ht="15.0" customHeight="1">
      <c r="A44" s="585">
        <v>41058.0</v>
      </c>
      <c r="B44" s="586" t="s">
        <v>1949</v>
      </c>
      <c r="C44" s="587" t="s">
        <v>350</v>
      </c>
      <c r="D44" s="586"/>
      <c r="E44" s="589" t="str">
        <f>IFERROR(__xludf.DUMMYFUNCTION("if(and(D44&lt;&gt;0,D44&lt;&gt;""""),D44/GOOGLEFINANCE(C44,""price"")-1,"""")"),"")</f>
        <v/>
      </c>
      <c r="F44" s="590">
        <f>IFERROR(__xludf.DUMMYFUNCTION("GOOGLEFINANCE(C44,""price"")"),268.33)</f>
        <v>268.33</v>
      </c>
      <c r="G44" s="589" t="str">
        <f>IFERROR(__xludf.DUMMYFUNCTION("if(and(I44&lt;&gt;0,I44&lt;&gt;""""),I44/GOOGLEFINANCE(C44,""price"")-1,"""")"),"")</f>
        <v/>
      </c>
      <c r="H44" s="591"/>
      <c r="I44" s="602"/>
      <c r="J44" s="586"/>
      <c r="K44" s="586"/>
      <c r="L44" s="586"/>
      <c r="M44" s="586"/>
      <c r="N44" s="586"/>
      <c r="O44" s="586"/>
      <c r="P44" s="586"/>
      <c r="Q44" s="586"/>
      <c r="R44" s="586"/>
      <c r="S44" s="586"/>
      <c r="T44" s="586"/>
      <c r="U44" s="603" t="s">
        <v>1951</v>
      </c>
      <c r="V44" s="604"/>
      <c r="W44" s="605"/>
      <c r="X44" s="606"/>
      <c r="Y44" s="606"/>
      <c r="Z44" s="606"/>
      <c r="AA44" s="606"/>
      <c r="AB44" s="606"/>
      <c r="AC44" s="606"/>
      <c r="AD44" s="606"/>
      <c r="AE44" s="606"/>
      <c r="AF44" s="606"/>
      <c r="AG44" s="606"/>
      <c r="AH44" s="606"/>
      <c r="AI44" s="606"/>
      <c r="AJ44" s="606"/>
      <c r="AK44" s="606"/>
      <c r="AL44" s="606"/>
      <c r="AM44" s="606"/>
      <c r="AN44" s="606"/>
      <c r="AO44" s="606"/>
      <c r="AP44" s="606"/>
      <c r="AQ44" s="606"/>
      <c r="AR44" s="606"/>
      <c r="AS44" s="606"/>
      <c r="AT44" s="606"/>
      <c r="AU44" s="606"/>
      <c r="AV44" s="606"/>
      <c r="AW44" s="606"/>
      <c r="AX44" s="606"/>
      <c r="AY44" s="606"/>
      <c r="AZ44" s="606"/>
      <c r="BA44" s="606"/>
      <c r="BB44" s="606"/>
      <c r="BC44" s="606"/>
      <c r="BD44" s="606"/>
      <c r="BE44" s="606"/>
      <c r="BF44" s="606"/>
      <c r="BG44" s="606"/>
      <c r="BH44" s="606"/>
      <c r="BI44" s="606"/>
      <c r="BJ44" s="606"/>
      <c r="BK44" s="606"/>
      <c r="BL44" s="606"/>
      <c r="BM44" s="606"/>
      <c r="BN44" s="606"/>
      <c r="BO44" s="606"/>
      <c r="BP44" s="606"/>
      <c r="BQ44" s="606"/>
      <c r="BR44" s="606"/>
      <c r="BS44" s="606"/>
      <c r="BT44" s="606"/>
      <c r="BU44" s="606"/>
      <c r="BV44" s="606"/>
      <c r="BW44" s="606"/>
      <c r="BX44" s="606"/>
      <c r="BY44" s="606"/>
      <c r="BZ44" s="606"/>
      <c r="CA44" s="606"/>
      <c r="CB44" s="606"/>
      <c r="CC44" s="606"/>
      <c r="CD44" s="606"/>
      <c r="CE44" s="606"/>
      <c r="CF44" s="606"/>
      <c r="CG44" s="606"/>
      <c r="CH44" s="606"/>
      <c r="CI44" s="606"/>
      <c r="CJ44" s="606"/>
      <c r="CK44" s="606"/>
      <c r="CL44" s="606"/>
      <c r="CM44" s="606"/>
      <c r="CN44" s="606"/>
      <c r="CO44" s="606"/>
      <c r="CP44" s="606"/>
      <c r="CQ44" s="606"/>
      <c r="CR44" s="606"/>
      <c r="CS44" s="606"/>
      <c r="CT44" s="606"/>
      <c r="CU44" s="606"/>
      <c r="CV44" s="606"/>
      <c r="CW44" s="606"/>
      <c r="CX44" s="606"/>
      <c r="CY44" s="606"/>
      <c r="CZ44" s="606"/>
      <c r="DA44" s="606"/>
      <c r="DB44" s="606"/>
      <c r="DC44" s="606"/>
      <c r="DD44" s="606"/>
      <c r="DE44" s="606"/>
      <c r="DF44" s="606"/>
      <c r="DG44" s="606"/>
      <c r="DH44" s="606"/>
      <c r="DI44" s="606"/>
      <c r="DJ44" s="606"/>
      <c r="DK44" s="606"/>
      <c r="DL44" s="606"/>
      <c r="DM44" s="606"/>
      <c r="DN44" s="606"/>
      <c r="DO44" s="606"/>
      <c r="DP44" s="606"/>
      <c r="DQ44" s="606"/>
      <c r="DR44" s="606"/>
      <c r="DS44" s="606"/>
      <c r="DT44" s="606"/>
      <c r="DU44" s="606"/>
      <c r="DV44" s="606"/>
      <c r="DW44" s="606"/>
      <c r="DX44" s="606"/>
    </row>
    <row r="45" ht="15.0" customHeight="1">
      <c r="A45" s="611">
        <v>42176.0</v>
      </c>
      <c r="B45" s="588" t="s">
        <v>1952</v>
      </c>
      <c r="C45" s="599" t="s">
        <v>1953</v>
      </c>
      <c r="D45" s="588">
        <v>17.0</v>
      </c>
      <c r="E45" s="589">
        <f>IFERROR(__xludf.DUMMYFUNCTION("if(and(D45&lt;&gt;0,D45&lt;&gt;""""),D45/GOOGLEFINANCE(C45,""price"")-1,"""")"),-0.24242424242424243)</f>
        <v>-0.2424242424</v>
      </c>
      <c r="F45" s="590">
        <f>IFERROR(__xludf.DUMMYFUNCTION("GOOGLEFINANCE(C45,""price"")"),22.44)</f>
        <v>22.44</v>
      </c>
      <c r="G45" s="589">
        <f>IFERROR(__xludf.DUMMYFUNCTION("if(and(I45&lt;&gt;0,I45&lt;&gt;""""),I45/GOOGLEFINANCE(C45,""price"")-1,"""")"),-0.910873440285205)</f>
        <v>-0.9108734403</v>
      </c>
      <c r="H45" s="591"/>
      <c r="I45" s="592">
        <v>2.0</v>
      </c>
      <c r="J45" s="586"/>
      <c r="K45" s="586"/>
      <c r="L45" s="586"/>
      <c r="M45" s="586"/>
      <c r="N45" s="586"/>
      <c r="O45" s="586"/>
      <c r="P45" s="588"/>
      <c r="Q45" s="588"/>
      <c r="R45" s="588"/>
      <c r="S45" s="588"/>
      <c r="T45" s="588"/>
      <c r="U45" s="593" t="s">
        <v>1954</v>
      </c>
      <c r="V45" s="594"/>
      <c r="W45" s="595"/>
      <c r="X45" s="596"/>
      <c r="Y45" s="596"/>
      <c r="Z45" s="596"/>
      <c r="AA45" s="596"/>
      <c r="AB45" s="596"/>
      <c r="AC45" s="596"/>
      <c r="AD45" s="596"/>
      <c r="AE45" s="596"/>
      <c r="AF45" s="596"/>
      <c r="AG45" s="596"/>
      <c r="AH45" s="596"/>
      <c r="AI45" s="596"/>
      <c r="AJ45" s="596"/>
      <c r="AK45" s="596"/>
      <c r="AL45" s="596"/>
      <c r="AM45" s="596"/>
      <c r="AN45" s="596"/>
      <c r="AO45" s="596"/>
      <c r="AP45" s="596"/>
      <c r="AQ45" s="596"/>
      <c r="AR45" s="596"/>
      <c r="AS45" s="596"/>
      <c r="AT45" s="596"/>
      <c r="AU45" s="596"/>
      <c r="AV45" s="596"/>
      <c r="AW45" s="596"/>
      <c r="AX45" s="596"/>
      <c r="AY45" s="596"/>
      <c r="AZ45" s="596"/>
      <c r="BA45" s="596"/>
      <c r="BB45" s="596"/>
      <c r="BC45" s="596"/>
      <c r="BD45" s="596"/>
      <c r="BE45" s="596"/>
      <c r="BF45" s="596"/>
      <c r="BG45" s="596"/>
      <c r="BH45" s="596"/>
      <c r="BI45" s="596"/>
      <c r="BJ45" s="596"/>
      <c r="BK45" s="596"/>
      <c r="BL45" s="596"/>
      <c r="BM45" s="596"/>
      <c r="BN45" s="596"/>
      <c r="BO45" s="596"/>
      <c r="BP45" s="596"/>
      <c r="BQ45" s="596"/>
      <c r="BR45" s="596"/>
      <c r="BS45" s="596"/>
      <c r="BT45" s="596"/>
      <c r="BU45" s="596"/>
      <c r="BV45" s="596"/>
      <c r="BW45" s="596"/>
      <c r="BX45" s="596"/>
      <c r="BY45" s="596"/>
      <c r="BZ45" s="596"/>
      <c r="CA45" s="596"/>
      <c r="CB45" s="596"/>
      <c r="CC45" s="596"/>
      <c r="CD45" s="596"/>
      <c r="CE45" s="596"/>
      <c r="CF45" s="596"/>
      <c r="CG45" s="596"/>
      <c r="CH45" s="596"/>
      <c r="CI45" s="596"/>
      <c r="CJ45" s="596"/>
      <c r="CK45" s="596"/>
      <c r="CL45" s="596"/>
      <c r="CM45" s="596"/>
      <c r="CN45" s="596"/>
      <c r="CO45" s="596"/>
      <c r="CP45" s="596"/>
      <c r="CQ45" s="596"/>
      <c r="CR45" s="596"/>
      <c r="CS45" s="596"/>
      <c r="CT45" s="596"/>
      <c r="CU45" s="596"/>
      <c r="CV45" s="596"/>
      <c r="CW45" s="596"/>
      <c r="CX45" s="596"/>
      <c r="CY45" s="596"/>
      <c r="CZ45" s="596"/>
      <c r="DA45" s="596"/>
      <c r="DB45" s="596"/>
      <c r="DC45" s="596"/>
      <c r="DD45" s="596"/>
      <c r="DE45" s="596"/>
      <c r="DF45" s="596"/>
      <c r="DG45" s="596"/>
      <c r="DH45" s="596"/>
      <c r="DI45" s="596"/>
      <c r="DJ45" s="596"/>
      <c r="DK45" s="596"/>
      <c r="DL45" s="596"/>
      <c r="DM45" s="596"/>
      <c r="DN45" s="596"/>
      <c r="DO45" s="596"/>
      <c r="DP45" s="596"/>
      <c r="DQ45" s="596"/>
      <c r="DR45" s="596"/>
      <c r="DS45" s="596"/>
      <c r="DT45" s="596"/>
      <c r="DU45" s="596"/>
      <c r="DV45" s="596"/>
      <c r="DW45" s="596"/>
      <c r="DX45" s="596"/>
    </row>
    <row r="46" ht="15.0" customHeight="1">
      <c r="A46" s="549">
        <v>40797.0</v>
      </c>
      <c r="B46" s="647" t="s">
        <v>1955</v>
      </c>
      <c r="C46" s="551" t="s">
        <v>1956</v>
      </c>
      <c r="D46" s="647"/>
      <c r="E46" s="648" t="str">
        <f>IFERROR(__xludf.DUMMYFUNCTION("if(and(D46&lt;&gt;0,D46&lt;&gt;""""),D46/GOOGLEFINANCE(C46,""price"")-1,"""")"),"")</f>
        <v/>
      </c>
      <c r="F46" s="553" t="str">
        <f>IFERROR(__xludf.DUMMYFUNCTION("GOOGLEFINANCE(C46,""price"")"),"#N/A")</f>
        <v>#N/A</v>
      </c>
      <c r="G46" s="648" t="str">
        <f>IFERROR(__xludf.DUMMYFUNCTION("if(and(I46&lt;&gt;0,I46&lt;&gt;""""),I46/GOOGLEFINANCE(C46,""price"")-1,"""")"),"")</f>
        <v/>
      </c>
      <c r="H46" s="559"/>
      <c r="I46" s="560"/>
      <c r="J46" s="647"/>
      <c r="K46" s="647"/>
      <c r="L46" s="647"/>
      <c r="M46" s="647"/>
      <c r="N46" s="647"/>
      <c r="O46" s="647"/>
      <c r="P46" s="647"/>
      <c r="Q46" s="647"/>
      <c r="R46" s="647"/>
      <c r="S46" s="647"/>
      <c r="T46" s="647"/>
      <c r="U46" s="649"/>
      <c r="V46" s="650"/>
      <c r="W46" s="649"/>
      <c r="X46" s="649"/>
      <c r="Y46" s="649"/>
      <c r="Z46" s="649"/>
      <c r="AA46" s="649"/>
      <c r="AB46" s="649"/>
      <c r="AC46" s="649"/>
      <c r="AD46" s="649"/>
      <c r="AE46" s="649"/>
      <c r="AF46" s="649"/>
      <c r="AG46" s="649"/>
      <c r="AH46" s="649"/>
      <c r="AI46" s="649"/>
      <c r="AJ46" s="649"/>
      <c r="AK46" s="649"/>
      <c r="AL46" s="649"/>
      <c r="AM46" s="649"/>
      <c r="AN46" s="649"/>
      <c r="AO46" s="649"/>
      <c r="AP46" s="649"/>
      <c r="AQ46" s="649"/>
      <c r="AR46" s="649"/>
      <c r="AS46" s="649"/>
      <c r="AT46" s="649"/>
      <c r="AU46" s="649"/>
      <c r="AV46" s="649"/>
      <c r="AW46" s="649"/>
      <c r="AX46" s="649"/>
      <c r="AY46" s="649"/>
      <c r="AZ46" s="649"/>
      <c r="BA46" s="649"/>
      <c r="BB46" s="649"/>
      <c r="BC46" s="649"/>
      <c r="BD46" s="649"/>
      <c r="BE46" s="649"/>
      <c r="BF46" s="649"/>
      <c r="BG46" s="649"/>
      <c r="BH46" s="649"/>
      <c r="BI46" s="649"/>
      <c r="BJ46" s="649"/>
      <c r="BK46" s="649"/>
      <c r="BL46" s="649"/>
      <c r="BM46" s="649"/>
      <c r="BN46" s="649"/>
      <c r="BO46" s="649"/>
      <c r="BP46" s="649"/>
      <c r="BQ46" s="649"/>
      <c r="BR46" s="649"/>
      <c r="BS46" s="649"/>
      <c r="BT46" s="649"/>
      <c r="BU46" s="649"/>
      <c r="BV46" s="649"/>
      <c r="BW46" s="649"/>
      <c r="BX46" s="649"/>
      <c r="BY46" s="649"/>
      <c r="BZ46" s="649"/>
      <c r="CA46" s="649"/>
      <c r="CB46" s="649"/>
      <c r="CC46" s="649"/>
      <c r="CD46" s="649"/>
      <c r="CE46" s="649"/>
      <c r="CF46" s="649"/>
      <c r="CG46" s="649"/>
      <c r="CH46" s="649"/>
      <c r="CI46" s="649"/>
      <c r="CJ46" s="649"/>
      <c r="CK46" s="649"/>
      <c r="CL46" s="649"/>
      <c r="CM46" s="649"/>
      <c r="CN46" s="649"/>
      <c r="CO46" s="649"/>
      <c r="CP46" s="649"/>
      <c r="CQ46" s="649"/>
      <c r="CR46" s="649"/>
      <c r="CS46" s="649"/>
      <c r="CT46" s="649"/>
      <c r="CU46" s="649"/>
      <c r="CV46" s="649"/>
      <c r="CW46" s="649"/>
      <c r="CX46" s="649"/>
      <c r="CY46" s="649"/>
      <c r="CZ46" s="649"/>
      <c r="DA46" s="649"/>
      <c r="DB46" s="649"/>
      <c r="DC46" s="649"/>
      <c r="DD46" s="649"/>
      <c r="DE46" s="649"/>
      <c r="DF46" s="649"/>
      <c r="DG46" s="649"/>
      <c r="DH46" s="649"/>
      <c r="DI46" s="649"/>
      <c r="DJ46" s="649"/>
      <c r="DK46" s="649"/>
      <c r="DL46" s="649"/>
      <c r="DM46" s="649"/>
      <c r="DN46" s="649"/>
      <c r="DO46" s="649"/>
      <c r="DP46" s="649"/>
      <c r="DQ46" s="649"/>
      <c r="DR46" s="649"/>
      <c r="DS46" s="649"/>
      <c r="DT46" s="649"/>
      <c r="DU46" s="649"/>
      <c r="DV46" s="649"/>
      <c r="DW46" s="649"/>
      <c r="DX46" s="649"/>
    </row>
    <row r="47" ht="15.0" customHeight="1">
      <c r="A47" s="574">
        <v>40806.0</v>
      </c>
      <c r="B47" s="575" t="s">
        <v>1957</v>
      </c>
      <c r="C47" s="576" t="s">
        <v>1154</v>
      </c>
      <c r="D47" s="575"/>
      <c r="E47" s="577" t="str">
        <f>IFERROR(__xludf.DUMMYFUNCTION("if(and(D47&lt;&gt;0,D47&lt;&gt;""""),D47/GOOGLEFINANCE(C47,""price"")-1,"""")"),"")</f>
        <v/>
      </c>
      <c r="F47" s="578">
        <f>IFERROR(__xludf.DUMMYFUNCTION("GOOGLEFINANCE(C47,""price"")"),276.82)</f>
        <v>276.82</v>
      </c>
      <c r="G47" s="577" t="str">
        <f>IFERROR(__xludf.DUMMYFUNCTION("if(and(I47&lt;&gt;0,I47&lt;&gt;""""),I47/GOOGLEFINANCE(C47,""price"")-1,"""")"),"")</f>
        <v/>
      </c>
      <c r="H47" s="579"/>
      <c r="I47" s="580"/>
      <c r="J47" s="575"/>
      <c r="K47" s="575"/>
      <c r="L47" s="575"/>
      <c r="M47" s="575"/>
      <c r="N47" s="575"/>
      <c r="O47" s="575"/>
      <c r="P47" s="575"/>
      <c r="Q47" s="575"/>
      <c r="R47" s="575"/>
      <c r="S47" s="575"/>
      <c r="T47" s="575"/>
      <c r="U47" s="581" t="s">
        <v>1958</v>
      </c>
      <c r="V47" s="582"/>
      <c r="W47" s="583"/>
      <c r="X47" s="584"/>
      <c r="Y47" s="584"/>
      <c r="Z47" s="584"/>
      <c r="AA47" s="584"/>
      <c r="AB47" s="584"/>
      <c r="AC47" s="584"/>
      <c r="AD47" s="584"/>
      <c r="AE47" s="584"/>
      <c r="AF47" s="584"/>
      <c r="AG47" s="584"/>
      <c r="AH47" s="584"/>
      <c r="AI47" s="584"/>
      <c r="AJ47" s="584"/>
      <c r="AK47" s="584"/>
      <c r="AL47" s="584"/>
      <c r="AM47" s="584"/>
      <c r="AN47" s="584"/>
      <c r="AO47" s="584"/>
      <c r="AP47" s="584"/>
      <c r="AQ47" s="584"/>
      <c r="AR47" s="584"/>
      <c r="AS47" s="584"/>
      <c r="AT47" s="584"/>
      <c r="AU47" s="584"/>
      <c r="AV47" s="584"/>
      <c r="AW47" s="584"/>
      <c r="AX47" s="584"/>
      <c r="AY47" s="584"/>
      <c r="AZ47" s="584"/>
      <c r="BA47" s="584"/>
      <c r="BB47" s="584"/>
      <c r="BC47" s="584"/>
      <c r="BD47" s="584"/>
      <c r="BE47" s="584"/>
      <c r="BF47" s="584"/>
      <c r="BG47" s="584"/>
      <c r="BH47" s="584"/>
      <c r="BI47" s="584"/>
      <c r="BJ47" s="584"/>
      <c r="BK47" s="584"/>
      <c r="BL47" s="584"/>
      <c r="BM47" s="584"/>
      <c r="BN47" s="584"/>
      <c r="BO47" s="584"/>
      <c r="BP47" s="584"/>
      <c r="BQ47" s="584"/>
      <c r="BR47" s="584"/>
      <c r="BS47" s="584"/>
      <c r="BT47" s="584"/>
      <c r="BU47" s="584"/>
      <c r="BV47" s="584"/>
      <c r="BW47" s="584"/>
      <c r="BX47" s="584"/>
      <c r="BY47" s="584"/>
      <c r="BZ47" s="584"/>
      <c r="CA47" s="584"/>
      <c r="CB47" s="584"/>
      <c r="CC47" s="584"/>
      <c r="CD47" s="584"/>
      <c r="CE47" s="584"/>
      <c r="CF47" s="584"/>
      <c r="CG47" s="584"/>
      <c r="CH47" s="584"/>
      <c r="CI47" s="584"/>
      <c r="CJ47" s="584"/>
      <c r="CK47" s="584"/>
      <c r="CL47" s="584"/>
      <c r="CM47" s="584"/>
      <c r="CN47" s="584"/>
      <c r="CO47" s="584"/>
      <c r="CP47" s="584"/>
      <c r="CQ47" s="584"/>
      <c r="CR47" s="584"/>
      <c r="CS47" s="584"/>
      <c r="CT47" s="584"/>
      <c r="CU47" s="584"/>
      <c r="CV47" s="584"/>
      <c r="CW47" s="584"/>
      <c r="CX47" s="584"/>
      <c r="CY47" s="584"/>
      <c r="CZ47" s="584"/>
      <c r="DA47" s="584"/>
      <c r="DB47" s="584"/>
      <c r="DC47" s="584"/>
      <c r="DD47" s="584"/>
      <c r="DE47" s="584"/>
      <c r="DF47" s="584"/>
      <c r="DG47" s="584"/>
      <c r="DH47" s="584"/>
      <c r="DI47" s="584"/>
      <c r="DJ47" s="584"/>
      <c r="DK47" s="584"/>
      <c r="DL47" s="584"/>
      <c r="DM47" s="584"/>
      <c r="DN47" s="584"/>
      <c r="DO47" s="584"/>
      <c r="DP47" s="584"/>
      <c r="DQ47" s="584"/>
      <c r="DR47" s="584"/>
      <c r="DS47" s="584"/>
      <c r="DT47" s="584"/>
      <c r="DU47" s="584"/>
      <c r="DV47" s="584"/>
      <c r="DW47" s="584"/>
      <c r="DX47" s="584"/>
    </row>
    <row r="48" ht="15.0" customHeight="1">
      <c r="A48" s="574">
        <v>41034.0</v>
      </c>
      <c r="B48" s="575" t="s">
        <v>1959</v>
      </c>
      <c r="C48" s="576" t="s">
        <v>1960</v>
      </c>
      <c r="D48" s="575"/>
      <c r="E48" s="577" t="str">
        <f>IFERROR(__xludf.DUMMYFUNCTION("if(and(D48&lt;&gt;0,D48&lt;&gt;""""),D48/GOOGLEFINANCE(C48,""price"")-1,"""")"),"")</f>
        <v/>
      </c>
      <c r="F48" s="578">
        <f>IFERROR(__xludf.DUMMYFUNCTION("GOOGLEFINANCE(C48,""price"")"),6.77)</f>
        <v>6.77</v>
      </c>
      <c r="G48" s="577" t="str">
        <f>IFERROR(__xludf.DUMMYFUNCTION("if(and(I48&lt;&gt;0,I48&lt;&gt;""""),I48/GOOGLEFINANCE(C48,""price"")-1,"""")"),"")</f>
        <v/>
      </c>
      <c r="H48" s="579"/>
      <c r="I48" s="580"/>
      <c r="J48" s="575"/>
      <c r="K48" s="575"/>
      <c r="L48" s="575"/>
      <c r="M48" s="575"/>
      <c r="N48" s="575"/>
      <c r="O48" s="575"/>
      <c r="P48" s="575"/>
      <c r="Q48" s="575"/>
      <c r="R48" s="575"/>
      <c r="S48" s="575"/>
      <c r="T48" s="575"/>
      <c r="U48" s="581" t="s">
        <v>1962</v>
      </c>
      <c r="V48" s="582"/>
      <c r="W48" s="583"/>
      <c r="X48" s="584"/>
      <c r="Y48" s="584"/>
      <c r="Z48" s="584"/>
      <c r="AA48" s="584"/>
      <c r="AB48" s="584"/>
      <c r="AC48" s="584"/>
      <c r="AD48" s="584"/>
      <c r="AE48" s="584"/>
      <c r="AF48" s="584"/>
      <c r="AG48" s="584"/>
      <c r="AH48" s="584"/>
      <c r="AI48" s="584"/>
      <c r="AJ48" s="584"/>
      <c r="AK48" s="584"/>
      <c r="AL48" s="584"/>
      <c r="AM48" s="584"/>
      <c r="AN48" s="584"/>
      <c r="AO48" s="584"/>
      <c r="AP48" s="584"/>
      <c r="AQ48" s="584"/>
      <c r="AR48" s="584"/>
      <c r="AS48" s="584"/>
      <c r="AT48" s="584"/>
      <c r="AU48" s="584"/>
      <c r="AV48" s="584"/>
      <c r="AW48" s="584"/>
      <c r="AX48" s="584"/>
      <c r="AY48" s="584"/>
      <c r="AZ48" s="584"/>
      <c r="BA48" s="584"/>
      <c r="BB48" s="584"/>
      <c r="BC48" s="584"/>
      <c r="BD48" s="584"/>
      <c r="BE48" s="584"/>
      <c r="BF48" s="584"/>
      <c r="BG48" s="584"/>
      <c r="BH48" s="584"/>
      <c r="BI48" s="584"/>
      <c r="BJ48" s="584"/>
      <c r="BK48" s="584"/>
      <c r="BL48" s="584"/>
      <c r="BM48" s="584"/>
      <c r="BN48" s="584"/>
      <c r="BO48" s="584"/>
      <c r="BP48" s="584"/>
      <c r="BQ48" s="584"/>
      <c r="BR48" s="584"/>
      <c r="BS48" s="584"/>
      <c r="BT48" s="584"/>
      <c r="BU48" s="584"/>
      <c r="BV48" s="584"/>
      <c r="BW48" s="584"/>
      <c r="BX48" s="584"/>
      <c r="BY48" s="584"/>
      <c r="BZ48" s="584"/>
      <c r="CA48" s="584"/>
      <c r="CB48" s="584"/>
      <c r="CC48" s="584"/>
      <c r="CD48" s="584"/>
      <c r="CE48" s="584"/>
      <c r="CF48" s="584"/>
      <c r="CG48" s="584"/>
      <c r="CH48" s="584"/>
      <c r="CI48" s="584"/>
      <c r="CJ48" s="584"/>
      <c r="CK48" s="584"/>
      <c r="CL48" s="584"/>
      <c r="CM48" s="584"/>
      <c r="CN48" s="584"/>
      <c r="CO48" s="584"/>
      <c r="CP48" s="584"/>
      <c r="CQ48" s="584"/>
      <c r="CR48" s="584"/>
      <c r="CS48" s="584"/>
      <c r="CT48" s="584"/>
      <c r="CU48" s="584"/>
      <c r="CV48" s="584"/>
      <c r="CW48" s="584"/>
      <c r="CX48" s="584"/>
      <c r="CY48" s="584"/>
      <c r="CZ48" s="584"/>
      <c r="DA48" s="584"/>
      <c r="DB48" s="584"/>
      <c r="DC48" s="584"/>
      <c r="DD48" s="584"/>
      <c r="DE48" s="584"/>
      <c r="DF48" s="584"/>
      <c r="DG48" s="584"/>
      <c r="DH48" s="584"/>
      <c r="DI48" s="584"/>
      <c r="DJ48" s="584"/>
      <c r="DK48" s="584"/>
      <c r="DL48" s="584"/>
      <c r="DM48" s="584"/>
      <c r="DN48" s="584"/>
      <c r="DO48" s="584"/>
      <c r="DP48" s="584"/>
      <c r="DQ48" s="584"/>
      <c r="DR48" s="584"/>
      <c r="DS48" s="584"/>
      <c r="DT48" s="584"/>
      <c r="DU48" s="584"/>
      <c r="DV48" s="584"/>
      <c r="DW48" s="584"/>
      <c r="DX48" s="584"/>
    </row>
    <row r="49" ht="15.0" customHeight="1">
      <c r="A49" s="611">
        <v>41975.0</v>
      </c>
      <c r="B49" s="588" t="s">
        <v>1963</v>
      </c>
      <c r="C49" s="612" t="s">
        <v>1964</v>
      </c>
      <c r="D49" s="586"/>
      <c r="E49" s="589" t="str">
        <f>IFERROR(__xludf.DUMMYFUNCTION("if(and(D49&lt;&gt;0,D49&lt;&gt;""""),D49/GOOGLEFINANCE(C49,""price"")-1,"""")"),"")</f>
        <v/>
      </c>
      <c r="F49" s="590">
        <f>IFERROR(__xludf.DUMMYFUNCTION("GOOGLEFINANCE(C49,""price"")"),1.99)</f>
        <v>1.99</v>
      </c>
      <c r="G49" s="589">
        <f>IFERROR(__xludf.DUMMYFUNCTION("if(and(I49&lt;&gt;0,I49&lt;&gt;""""),I49/GOOGLEFINANCE(C49,""price"")-1,"""")"),-0.4974874371859297)</f>
        <v>-0.4974874372</v>
      </c>
      <c r="H49" s="658" t="s">
        <v>1965</v>
      </c>
      <c r="I49" s="592">
        <v>1.0</v>
      </c>
      <c r="J49" s="586"/>
      <c r="K49" s="586"/>
      <c r="L49" s="586"/>
      <c r="M49" s="586"/>
      <c r="N49" s="586"/>
      <c r="O49" s="586"/>
      <c r="P49" s="588"/>
      <c r="Q49" s="588"/>
      <c r="R49" s="588"/>
      <c r="S49" s="588"/>
      <c r="T49" s="588"/>
      <c r="U49" s="593" t="s">
        <v>1966</v>
      </c>
      <c r="V49" s="594"/>
      <c r="W49" s="595"/>
      <c r="X49" s="596"/>
      <c r="Y49" s="596"/>
      <c r="Z49" s="596"/>
      <c r="AA49" s="596"/>
      <c r="AB49" s="596"/>
      <c r="AC49" s="596"/>
      <c r="AD49" s="596"/>
      <c r="AE49" s="596"/>
      <c r="AF49" s="596"/>
      <c r="AG49" s="596"/>
      <c r="AH49" s="596"/>
      <c r="AI49" s="596"/>
      <c r="AJ49" s="596"/>
      <c r="AK49" s="596"/>
      <c r="AL49" s="596"/>
      <c r="AM49" s="596"/>
      <c r="AN49" s="596"/>
      <c r="AO49" s="596"/>
      <c r="AP49" s="596"/>
      <c r="AQ49" s="596"/>
      <c r="AR49" s="596"/>
      <c r="AS49" s="596"/>
      <c r="AT49" s="596"/>
      <c r="AU49" s="596"/>
      <c r="AV49" s="596"/>
      <c r="AW49" s="596"/>
      <c r="AX49" s="596"/>
      <c r="AY49" s="596"/>
      <c r="AZ49" s="596"/>
      <c r="BA49" s="596"/>
      <c r="BB49" s="596"/>
      <c r="BC49" s="596"/>
      <c r="BD49" s="596"/>
      <c r="BE49" s="596"/>
      <c r="BF49" s="596"/>
      <c r="BG49" s="596"/>
      <c r="BH49" s="596"/>
      <c r="BI49" s="596"/>
      <c r="BJ49" s="596"/>
      <c r="BK49" s="596"/>
      <c r="BL49" s="596"/>
      <c r="BM49" s="596"/>
      <c r="BN49" s="596"/>
      <c r="BO49" s="596"/>
      <c r="BP49" s="596"/>
      <c r="BQ49" s="596"/>
      <c r="BR49" s="596"/>
      <c r="BS49" s="596"/>
      <c r="BT49" s="596"/>
      <c r="BU49" s="596"/>
      <c r="BV49" s="596"/>
      <c r="BW49" s="596"/>
      <c r="BX49" s="596"/>
      <c r="BY49" s="596"/>
      <c r="BZ49" s="596"/>
      <c r="CA49" s="596"/>
      <c r="CB49" s="596"/>
      <c r="CC49" s="596"/>
      <c r="CD49" s="596"/>
      <c r="CE49" s="596"/>
      <c r="CF49" s="596"/>
      <c r="CG49" s="596"/>
      <c r="CH49" s="596"/>
      <c r="CI49" s="596"/>
      <c r="CJ49" s="596"/>
      <c r="CK49" s="596"/>
      <c r="CL49" s="596"/>
      <c r="CM49" s="596"/>
      <c r="CN49" s="596"/>
      <c r="CO49" s="596"/>
      <c r="CP49" s="596"/>
      <c r="CQ49" s="596"/>
      <c r="CR49" s="596"/>
      <c r="CS49" s="596"/>
      <c r="CT49" s="596"/>
      <c r="CU49" s="596"/>
      <c r="CV49" s="596"/>
      <c r="CW49" s="596"/>
      <c r="CX49" s="596"/>
      <c r="CY49" s="596"/>
      <c r="CZ49" s="596"/>
      <c r="DA49" s="596"/>
      <c r="DB49" s="596"/>
      <c r="DC49" s="596"/>
      <c r="DD49" s="596"/>
      <c r="DE49" s="596"/>
      <c r="DF49" s="596"/>
      <c r="DG49" s="596"/>
      <c r="DH49" s="596"/>
      <c r="DI49" s="596"/>
      <c r="DJ49" s="596"/>
      <c r="DK49" s="596"/>
      <c r="DL49" s="596"/>
      <c r="DM49" s="596"/>
      <c r="DN49" s="596"/>
      <c r="DO49" s="596"/>
      <c r="DP49" s="596"/>
      <c r="DQ49" s="596"/>
      <c r="DR49" s="596"/>
      <c r="DS49" s="596"/>
      <c r="DT49" s="596"/>
      <c r="DU49" s="596"/>
      <c r="DV49" s="596"/>
      <c r="DW49" s="596"/>
      <c r="DX49" s="596"/>
    </row>
    <row r="50" ht="15.0" customHeight="1">
      <c r="A50" s="574">
        <v>41195.0</v>
      </c>
      <c r="B50" s="575" t="s">
        <v>1968</v>
      </c>
      <c r="C50" s="576" t="s">
        <v>755</v>
      </c>
      <c r="D50" s="575"/>
      <c r="E50" s="577" t="str">
        <f>IFERROR(__xludf.DUMMYFUNCTION("if(and(D50&lt;&gt;0,D50&lt;&gt;""""),D50/GOOGLEFINANCE(C50,""price"")-1,"""")"),"")</f>
        <v/>
      </c>
      <c r="F50" s="578">
        <f>IFERROR(__xludf.DUMMYFUNCTION("GOOGLEFINANCE(C50,""price"")"),241.22)</f>
        <v>241.22</v>
      </c>
      <c r="G50" s="577" t="str">
        <f>IFERROR(__xludf.DUMMYFUNCTION("if(and(I50&lt;&gt;0,I50&lt;&gt;""""),I50/GOOGLEFINANCE(C50,""price"")-1,"""")"),"")</f>
        <v/>
      </c>
      <c r="H50" s="579"/>
      <c r="I50" s="580"/>
      <c r="J50" s="575"/>
      <c r="K50" s="575"/>
      <c r="L50" s="575"/>
      <c r="M50" s="575"/>
      <c r="N50" s="575"/>
      <c r="O50" s="575"/>
      <c r="P50" s="575"/>
      <c r="Q50" s="575"/>
      <c r="R50" s="575"/>
      <c r="S50" s="575"/>
      <c r="T50" s="575"/>
      <c r="U50" s="581" t="s">
        <v>1969</v>
      </c>
      <c r="V50" s="582"/>
      <c r="W50" s="583"/>
      <c r="X50" s="584"/>
      <c r="Y50" s="584"/>
      <c r="Z50" s="584"/>
      <c r="AA50" s="584"/>
      <c r="AB50" s="584"/>
      <c r="AC50" s="584"/>
      <c r="AD50" s="584"/>
      <c r="AE50" s="584"/>
      <c r="AF50" s="584"/>
      <c r="AG50" s="584"/>
      <c r="AH50" s="584"/>
      <c r="AI50" s="584"/>
      <c r="AJ50" s="584"/>
      <c r="AK50" s="584"/>
      <c r="AL50" s="584"/>
      <c r="AM50" s="584"/>
      <c r="AN50" s="584"/>
      <c r="AO50" s="584"/>
      <c r="AP50" s="584"/>
      <c r="AQ50" s="584"/>
      <c r="AR50" s="584"/>
      <c r="AS50" s="584"/>
      <c r="AT50" s="584"/>
      <c r="AU50" s="584"/>
      <c r="AV50" s="584"/>
      <c r="AW50" s="584"/>
      <c r="AX50" s="584"/>
      <c r="AY50" s="584"/>
      <c r="AZ50" s="584"/>
      <c r="BA50" s="584"/>
      <c r="BB50" s="584"/>
      <c r="BC50" s="584"/>
      <c r="BD50" s="584"/>
      <c r="BE50" s="584"/>
      <c r="BF50" s="584"/>
      <c r="BG50" s="584"/>
      <c r="BH50" s="584"/>
      <c r="BI50" s="584"/>
      <c r="BJ50" s="584"/>
      <c r="BK50" s="584"/>
      <c r="BL50" s="584"/>
      <c r="BM50" s="584"/>
      <c r="BN50" s="584"/>
      <c r="BO50" s="584"/>
      <c r="BP50" s="584"/>
      <c r="BQ50" s="584"/>
      <c r="BR50" s="584"/>
      <c r="BS50" s="584"/>
      <c r="BT50" s="584"/>
      <c r="BU50" s="584"/>
      <c r="BV50" s="584"/>
      <c r="BW50" s="584"/>
      <c r="BX50" s="584"/>
      <c r="BY50" s="584"/>
      <c r="BZ50" s="584"/>
      <c r="CA50" s="584"/>
      <c r="CB50" s="584"/>
      <c r="CC50" s="584"/>
      <c r="CD50" s="584"/>
      <c r="CE50" s="584"/>
      <c r="CF50" s="584"/>
      <c r="CG50" s="584"/>
      <c r="CH50" s="584"/>
      <c r="CI50" s="584"/>
      <c r="CJ50" s="584"/>
      <c r="CK50" s="584"/>
      <c r="CL50" s="584"/>
      <c r="CM50" s="584"/>
      <c r="CN50" s="584"/>
      <c r="CO50" s="584"/>
      <c r="CP50" s="584"/>
      <c r="CQ50" s="584"/>
      <c r="CR50" s="584"/>
      <c r="CS50" s="584"/>
      <c r="CT50" s="584"/>
      <c r="CU50" s="584"/>
      <c r="CV50" s="584"/>
      <c r="CW50" s="584"/>
      <c r="CX50" s="584"/>
      <c r="CY50" s="584"/>
      <c r="CZ50" s="584"/>
      <c r="DA50" s="584"/>
      <c r="DB50" s="584"/>
      <c r="DC50" s="584"/>
      <c r="DD50" s="584"/>
      <c r="DE50" s="584"/>
      <c r="DF50" s="584"/>
      <c r="DG50" s="584"/>
      <c r="DH50" s="584"/>
      <c r="DI50" s="584"/>
      <c r="DJ50" s="584"/>
      <c r="DK50" s="584"/>
      <c r="DL50" s="584"/>
      <c r="DM50" s="584"/>
      <c r="DN50" s="584"/>
      <c r="DO50" s="584"/>
      <c r="DP50" s="584"/>
      <c r="DQ50" s="584"/>
      <c r="DR50" s="584"/>
      <c r="DS50" s="584"/>
      <c r="DT50" s="584"/>
      <c r="DU50" s="584"/>
      <c r="DV50" s="584"/>
      <c r="DW50" s="584"/>
      <c r="DX50" s="584"/>
    </row>
    <row r="51" ht="15.0" customHeight="1">
      <c r="A51" s="574">
        <v>41128.0</v>
      </c>
      <c r="B51" s="575" t="s">
        <v>1970</v>
      </c>
      <c r="C51" s="576" t="s">
        <v>619</v>
      </c>
      <c r="D51" s="575"/>
      <c r="E51" s="577" t="str">
        <f>IFERROR(__xludf.DUMMYFUNCTION("if(and(D51&lt;&gt;0,D51&lt;&gt;""""),D51/GOOGLEFINANCE(C51,""price"")-1,"""")"),"")</f>
        <v/>
      </c>
      <c r="F51" s="578">
        <f>IFERROR(__xludf.DUMMYFUNCTION("GOOGLEFINANCE(C51,""price"")"),44.53)</f>
        <v>44.53</v>
      </c>
      <c r="G51" s="577">
        <f>IFERROR(__xludf.DUMMYFUNCTION("if(and(I51&lt;&gt;0,I51&lt;&gt;""""),I51/GOOGLEFINANCE(C51,""price"")-1,"""")"),-0.6631484392544352)</f>
        <v>-0.6631484393</v>
      </c>
      <c r="H51" s="579"/>
      <c r="I51" s="580">
        <v>15.0</v>
      </c>
      <c r="J51" s="575"/>
      <c r="K51" s="575"/>
      <c r="L51" s="575"/>
      <c r="M51" s="575"/>
      <c r="N51" s="575"/>
      <c r="O51" s="575"/>
      <c r="P51" s="575"/>
      <c r="Q51" s="575"/>
      <c r="R51" s="575"/>
      <c r="S51" s="575"/>
      <c r="T51" s="575"/>
      <c r="U51" s="581" t="s">
        <v>1972</v>
      </c>
      <c r="V51" s="582"/>
      <c r="W51" s="583"/>
      <c r="X51" s="584"/>
      <c r="Y51" s="584"/>
      <c r="Z51" s="584"/>
      <c r="AA51" s="584"/>
      <c r="AB51" s="584"/>
      <c r="AC51" s="584"/>
      <c r="AD51" s="584"/>
      <c r="AE51" s="584"/>
      <c r="AF51" s="584"/>
      <c r="AG51" s="584"/>
      <c r="AH51" s="584"/>
      <c r="AI51" s="584"/>
      <c r="AJ51" s="584"/>
      <c r="AK51" s="584"/>
      <c r="AL51" s="584"/>
      <c r="AM51" s="584"/>
      <c r="AN51" s="584"/>
      <c r="AO51" s="584"/>
      <c r="AP51" s="584"/>
      <c r="AQ51" s="584"/>
      <c r="AR51" s="584"/>
      <c r="AS51" s="584"/>
      <c r="AT51" s="584"/>
      <c r="AU51" s="584"/>
      <c r="AV51" s="584"/>
      <c r="AW51" s="584"/>
      <c r="AX51" s="584"/>
      <c r="AY51" s="584"/>
      <c r="AZ51" s="584"/>
      <c r="BA51" s="584"/>
      <c r="BB51" s="584"/>
      <c r="BC51" s="584"/>
      <c r="BD51" s="584"/>
      <c r="BE51" s="584"/>
      <c r="BF51" s="584"/>
      <c r="BG51" s="584"/>
      <c r="BH51" s="584"/>
      <c r="BI51" s="584"/>
      <c r="BJ51" s="584"/>
      <c r="BK51" s="584"/>
      <c r="BL51" s="584"/>
      <c r="BM51" s="584"/>
      <c r="BN51" s="584"/>
      <c r="BO51" s="584"/>
      <c r="BP51" s="584"/>
      <c r="BQ51" s="584"/>
      <c r="BR51" s="584"/>
      <c r="BS51" s="584"/>
      <c r="BT51" s="584"/>
      <c r="BU51" s="584"/>
      <c r="BV51" s="584"/>
      <c r="BW51" s="584"/>
      <c r="BX51" s="584"/>
      <c r="BY51" s="584"/>
      <c r="BZ51" s="584"/>
      <c r="CA51" s="584"/>
      <c r="CB51" s="584"/>
      <c r="CC51" s="584"/>
      <c r="CD51" s="584"/>
      <c r="CE51" s="584"/>
      <c r="CF51" s="584"/>
      <c r="CG51" s="584"/>
      <c r="CH51" s="584"/>
      <c r="CI51" s="584"/>
      <c r="CJ51" s="584"/>
      <c r="CK51" s="584"/>
      <c r="CL51" s="584"/>
      <c r="CM51" s="584"/>
      <c r="CN51" s="584"/>
      <c r="CO51" s="584"/>
      <c r="CP51" s="584"/>
      <c r="CQ51" s="584"/>
      <c r="CR51" s="584"/>
      <c r="CS51" s="584"/>
      <c r="CT51" s="584"/>
      <c r="CU51" s="584"/>
      <c r="CV51" s="584"/>
      <c r="CW51" s="584"/>
      <c r="CX51" s="584"/>
      <c r="CY51" s="584"/>
      <c r="CZ51" s="584"/>
      <c r="DA51" s="584"/>
      <c r="DB51" s="584"/>
      <c r="DC51" s="584"/>
      <c r="DD51" s="584"/>
      <c r="DE51" s="584"/>
      <c r="DF51" s="584"/>
      <c r="DG51" s="584"/>
      <c r="DH51" s="584"/>
      <c r="DI51" s="584"/>
      <c r="DJ51" s="584"/>
      <c r="DK51" s="584"/>
      <c r="DL51" s="584"/>
      <c r="DM51" s="584"/>
      <c r="DN51" s="584"/>
      <c r="DO51" s="584"/>
      <c r="DP51" s="584"/>
      <c r="DQ51" s="584"/>
      <c r="DR51" s="584"/>
      <c r="DS51" s="584"/>
      <c r="DT51" s="584"/>
      <c r="DU51" s="584"/>
      <c r="DV51" s="584"/>
      <c r="DW51" s="584"/>
      <c r="DX51" s="584"/>
    </row>
    <row r="52" ht="15.0" customHeight="1">
      <c r="A52" s="574">
        <v>40891.0</v>
      </c>
      <c r="B52" s="575" t="s">
        <v>1973</v>
      </c>
      <c r="C52" s="576" t="s">
        <v>978</v>
      </c>
      <c r="D52" s="575"/>
      <c r="E52" s="577" t="str">
        <f>IFERROR(__xludf.DUMMYFUNCTION("if(and(D52&lt;&gt;0,D52&lt;&gt;""""),D52/GOOGLEFINANCE(C52,""price"")-1,"""")"),"")</f>
        <v/>
      </c>
      <c r="F52" s="578" t="str">
        <f>IFERROR(__xludf.DUMMYFUNCTION("GOOGLEFINANCE(C52,""price"")"),"#N/A")</f>
        <v>#N/A</v>
      </c>
      <c r="G52" s="577" t="str">
        <f>IFERROR(__xludf.DUMMYFUNCTION("if(and(I52&lt;&gt;0,I52&lt;&gt;""""),I52/GOOGLEFINANCE(C52,""price"")-1,"""")"),"")</f>
        <v/>
      </c>
      <c r="H52" s="579"/>
      <c r="I52" s="580"/>
      <c r="J52" s="575"/>
      <c r="K52" s="575"/>
      <c r="L52" s="575"/>
      <c r="M52" s="575"/>
      <c r="N52" s="575"/>
      <c r="O52" s="575"/>
      <c r="P52" s="575"/>
      <c r="Q52" s="575"/>
      <c r="R52" s="575"/>
      <c r="S52" s="575"/>
      <c r="T52" s="575"/>
      <c r="U52" s="581" t="s">
        <v>1975</v>
      </c>
      <c r="V52" s="582"/>
      <c r="W52" s="583"/>
      <c r="X52" s="584"/>
      <c r="Y52" s="584"/>
      <c r="Z52" s="584"/>
      <c r="AA52" s="584"/>
      <c r="AB52" s="584"/>
      <c r="AC52" s="584"/>
      <c r="AD52" s="584"/>
      <c r="AE52" s="584"/>
      <c r="AF52" s="584"/>
      <c r="AG52" s="584"/>
      <c r="AH52" s="584"/>
      <c r="AI52" s="584"/>
      <c r="AJ52" s="584"/>
      <c r="AK52" s="584"/>
      <c r="AL52" s="584"/>
      <c r="AM52" s="584"/>
      <c r="AN52" s="584"/>
      <c r="AO52" s="584"/>
      <c r="AP52" s="584"/>
      <c r="AQ52" s="584"/>
      <c r="AR52" s="584"/>
      <c r="AS52" s="584"/>
      <c r="AT52" s="584"/>
      <c r="AU52" s="584"/>
      <c r="AV52" s="584"/>
      <c r="AW52" s="584"/>
      <c r="AX52" s="584"/>
      <c r="AY52" s="584"/>
      <c r="AZ52" s="584"/>
      <c r="BA52" s="584"/>
      <c r="BB52" s="584"/>
      <c r="BC52" s="584"/>
      <c r="BD52" s="584"/>
      <c r="BE52" s="584"/>
      <c r="BF52" s="584"/>
      <c r="BG52" s="584"/>
      <c r="BH52" s="584"/>
      <c r="BI52" s="584"/>
      <c r="BJ52" s="584"/>
      <c r="BK52" s="584"/>
      <c r="BL52" s="584"/>
      <c r="BM52" s="584"/>
      <c r="BN52" s="584"/>
      <c r="BO52" s="584"/>
      <c r="BP52" s="584"/>
      <c r="BQ52" s="584"/>
      <c r="BR52" s="584"/>
      <c r="BS52" s="584"/>
      <c r="BT52" s="584"/>
      <c r="BU52" s="584"/>
      <c r="BV52" s="584"/>
      <c r="BW52" s="584"/>
      <c r="BX52" s="584"/>
      <c r="BY52" s="584"/>
      <c r="BZ52" s="584"/>
      <c r="CA52" s="584"/>
      <c r="CB52" s="584"/>
      <c r="CC52" s="584"/>
      <c r="CD52" s="584"/>
      <c r="CE52" s="584"/>
      <c r="CF52" s="584"/>
      <c r="CG52" s="584"/>
      <c r="CH52" s="584"/>
      <c r="CI52" s="584"/>
      <c r="CJ52" s="584"/>
      <c r="CK52" s="584"/>
      <c r="CL52" s="584"/>
      <c r="CM52" s="584"/>
      <c r="CN52" s="584"/>
      <c r="CO52" s="584"/>
      <c r="CP52" s="584"/>
      <c r="CQ52" s="584"/>
      <c r="CR52" s="584"/>
      <c r="CS52" s="584"/>
      <c r="CT52" s="584"/>
      <c r="CU52" s="584"/>
      <c r="CV52" s="584"/>
      <c r="CW52" s="584"/>
      <c r="CX52" s="584"/>
      <c r="CY52" s="584"/>
      <c r="CZ52" s="584"/>
      <c r="DA52" s="584"/>
      <c r="DB52" s="584"/>
      <c r="DC52" s="584"/>
      <c r="DD52" s="584"/>
      <c r="DE52" s="584"/>
      <c r="DF52" s="584"/>
      <c r="DG52" s="584"/>
      <c r="DH52" s="584"/>
      <c r="DI52" s="584"/>
      <c r="DJ52" s="584"/>
      <c r="DK52" s="584"/>
      <c r="DL52" s="584"/>
      <c r="DM52" s="584"/>
      <c r="DN52" s="584"/>
      <c r="DO52" s="584"/>
      <c r="DP52" s="584"/>
      <c r="DQ52" s="584"/>
      <c r="DR52" s="584"/>
      <c r="DS52" s="584"/>
      <c r="DT52" s="584"/>
      <c r="DU52" s="584"/>
      <c r="DV52" s="584"/>
      <c r="DW52" s="584"/>
      <c r="DX52" s="584"/>
    </row>
    <row r="53" ht="15.0" customHeight="1">
      <c r="A53" s="585">
        <v>41218.0</v>
      </c>
      <c r="B53" s="586" t="s">
        <v>1976</v>
      </c>
      <c r="C53" s="587" t="s">
        <v>757</v>
      </c>
      <c r="D53" s="586"/>
      <c r="E53" s="589" t="str">
        <f>IFERROR(__xludf.DUMMYFUNCTION("if(and(D53&lt;&gt;0,D53&lt;&gt;""""),D53/GOOGLEFINANCE(C53,""price"")-1,"""")"),"")</f>
        <v/>
      </c>
      <c r="F53" s="590">
        <f>IFERROR(__xludf.DUMMYFUNCTION("GOOGLEFINANCE(C53,""price"")"),224.65)</f>
        <v>224.65</v>
      </c>
      <c r="G53" s="589">
        <f>IFERROR(__xludf.DUMMYFUNCTION("if(and(I53&lt;&gt;0,I53&lt;&gt;""""),I53/GOOGLEFINANCE(C53,""price"")-1,"""")"),-0.8083399837438963)</f>
        <v>-0.8083399837</v>
      </c>
      <c r="H53" s="591"/>
      <c r="I53" s="602">
        <f>(384.85*7.5)/3620*54</f>
        <v>43.05642265</v>
      </c>
      <c r="J53" s="586"/>
      <c r="K53" s="586"/>
      <c r="L53" s="586"/>
      <c r="M53" s="586"/>
      <c r="N53" s="586"/>
      <c r="O53" s="586"/>
      <c r="P53" s="586"/>
      <c r="Q53" s="586"/>
      <c r="R53" s="586"/>
      <c r="S53" s="586"/>
      <c r="T53" s="586"/>
      <c r="U53" s="603" t="s">
        <v>1978</v>
      </c>
      <c r="V53" s="604"/>
      <c r="W53" s="605"/>
      <c r="X53" s="606"/>
      <c r="Y53" s="606"/>
      <c r="Z53" s="606"/>
      <c r="AA53" s="606"/>
      <c r="AB53" s="606"/>
      <c r="AC53" s="606"/>
      <c r="AD53" s="606"/>
      <c r="AE53" s="606"/>
      <c r="AF53" s="606"/>
      <c r="AG53" s="606"/>
      <c r="AH53" s="606"/>
      <c r="AI53" s="606"/>
      <c r="AJ53" s="606"/>
      <c r="AK53" s="606"/>
      <c r="AL53" s="606"/>
      <c r="AM53" s="606"/>
      <c r="AN53" s="606"/>
      <c r="AO53" s="606"/>
      <c r="AP53" s="606"/>
      <c r="AQ53" s="606"/>
      <c r="AR53" s="606"/>
      <c r="AS53" s="606"/>
      <c r="AT53" s="606"/>
      <c r="AU53" s="606"/>
      <c r="AV53" s="606"/>
      <c r="AW53" s="606"/>
      <c r="AX53" s="606"/>
      <c r="AY53" s="606"/>
      <c r="AZ53" s="606"/>
      <c r="BA53" s="606"/>
      <c r="BB53" s="606"/>
      <c r="BC53" s="606"/>
      <c r="BD53" s="606"/>
      <c r="BE53" s="606"/>
      <c r="BF53" s="606"/>
      <c r="BG53" s="606"/>
      <c r="BH53" s="606"/>
      <c r="BI53" s="606"/>
      <c r="BJ53" s="606"/>
      <c r="BK53" s="606"/>
      <c r="BL53" s="606"/>
      <c r="BM53" s="606"/>
      <c r="BN53" s="606"/>
      <c r="BO53" s="606"/>
      <c r="BP53" s="606"/>
      <c r="BQ53" s="606"/>
      <c r="BR53" s="606"/>
      <c r="BS53" s="606"/>
      <c r="BT53" s="606"/>
      <c r="BU53" s="606"/>
      <c r="BV53" s="606"/>
      <c r="BW53" s="606"/>
      <c r="BX53" s="606"/>
      <c r="BY53" s="606"/>
      <c r="BZ53" s="606"/>
      <c r="CA53" s="606"/>
      <c r="CB53" s="606"/>
      <c r="CC53" s="606"/>
      <c r="CD53" s="606"/>
      <c r="CE53" s="606"/>
      <c r="CF53" s="606"/>
      <c r="CG53" s="606"/>
      <c r="CH53" s="606"/>
      <c r="CI53" s="606"/>
      <c r="CJ53" s="606"/>
      <c r="CK53" s="606"/>
      <c r="CL53" s="606"/>
      <c r="CM53" s="606"/>
      <c r="CN53" s="606"/>
      <c r="CO53" s="606"/>
      <c r="CP53" s="606"/>
      <c r="CQ53" s="606"/>
      <c r="CR53" s="606"/>
      <c r="CS53" s="606"/>
      <c r="CT53" s="606"/>
      <c r="CU53" s="606"/>
      <c r="CV53" s="606"/>
      <c r="CW53" s="606"/>
      <c r="CX53" s="606"/>
      <c r="CY53" s="606"/>
      <c r="CZ53" s="606"/>
      <c r="DA53" s="606"/>
      <c r="DB53" s="606"/>
      <c r="DC53" s="606"/>
      <c r="DD53" s="606"/>
      <c r="DE53" s="606"/>
      <c r="DF53" s="606"/>
      <c r="DG53" s="606"/>
      <c r="DH53" s="606"/>
      <c r="DI53" s="606"/>
      <c r="DJ53" s="606"/>
      <c r="DK53" s="606"/>
      <c r="DL53" s="606"/>
      <c r="DM53" s="606"/>
      <c r="DN53" s="606"/>
      <c r="DO53" s="606"/>
      <c r="DP53" s="606"/>
      <c r="DQ53" s="606"/>
      <c r="DR53" s="606"/>
      <c r="DS53" s="606"/>
      <c r="DT53" s="606"/>
      <c r="DU53" s="606"/>
      <c r="DV53" s="606"/>
      <c r="DW53" s="606"/>
      <c r="DX53" s="606"/>
    </row>
    <row r="54" ht="15.0" customHeight="1">
      <c r="A54" s="585">
        <v>41233.0</v>
      </c>
      <c r="B54" s="586" t="s">
        <v>1979</v>
      </c>
      <c r="C54" s="587" t="s">
        <v>790</v>
      </c>
      <c r="D54" s="588">
        <v>6.5</v>
      </c>
      <c r="E54" s="589">
        <f>IFERROR(__xludf.DUMMYFUNCTION("if(and(D54&lt;&gt;0,D54&lt;&gt;""""),D54/GOOGLEFINANCE(C54,""price"")-1,"""")"),-0.5899053627760252)</f>
        <v>-0.5899053628</v>
      </c>
      <c r="F54" s="590">
        <f>IFERROR(__xludf.DUMMYFUNCTION("GOOGLEFINANCE(C54,""price"")"),15.85)</f>
        <v>15.85</v>
      </c>
      <c r="G54" s="589">
        <f>IFERROR(__xludf.DUMMYFUNCTION("if(and(I54&lt;&gt;0,I54&lt;&gt;""""),I54/GOOGLEFINANCE(C54,""price"")-1,"""")"),-0.9684542586750788)</f>
        <v>-0.9684542587</v>
      </c>
      <c r="H54" s="591"/>
      <c r="I54" s="592">
        <v>0.5</v>
      </c>
      <c r="J54" s="586"/>
      <c r="K54" s="586"/>
      <c r="L54" s="586"/>
      <c r="M54" s="586"/>
      <c r="N54" s="586"/>
      <c r="O54" s="586"/>
      <c r="P54" s="588"/>
      <c r="Q54" s="588"/>
      <c r="R54" s="588"/>
      <c r="S54" s="588"/>
      <c r="T54" s="588"/>
      <c r="U54" s="593" t="s">
        <v>1983</v>
      </c>
      <c r="V54" s="594"/>
      <c r="W54" s="595"/>
      <c r="X54" s="596"/>
      <c r="Y54" s="596"/>
      <c r="Z54" s="596"/>
      <c r="AA54" s="596"/>
      <c r="AB54" s="596"/>
      <c r="AC54" s="596"/>
      <c r="AD54" s="596"/>
      <c r="AE54" s="596"/>
      <c r="AF54" s="596"/>
      <c r="AG54" s="596"/>
      <c r="AH54" s="596"/>
      <c r="AI54" s="596"/>
      <c r="AJ54" s="596"/>
      <c r="AK54" s="596"/>
      <c r="AL54" s="596"/>
      <c r="AM54" s="596"/>
      <c r="AN54" s="596"/>
      <c r="AO54" s="596"/>
      <c r="AP54" s="596"/>
      <c r="AQ54" s="596"/>
      <c r="AR54" s="596"/>
      <c r="AS54" s="596"/>
      <c r="AT54" s="596"/>
      <c r="AU54" s="596"/>
      <c r="AV54" s="596"/>
      <c r="AW54" s="596"/>
      <c r="AX54" s="596"/>
      <c r="AY54" s="596"/>
      <c r="AZ54" s="596"/>
      <c r="BA54" s="596"/>
      <c r="BB54" s="596"/>
      <c r="BC54" s="596"/>
      <c r="BD54" s="596"/>
      <c r="BE54" s="596"/>
      <c r="BF54" s="596"/>
      <c r="BG54" s="596"/>
      <c r="BH54" s="596"/>
      <c r="BI54" s="596"/>
      <c r="BJ54" s="596"/>
      <c r="BK54" s="596"/>
      <c r="BL54" s="596"/>
      <c r="BM54" s="596"/>
      <c r="BN54" s="596"/>
      <c r="BO54" s="596"/>
      <c r="BP54" s="596"/>
      <c r="BQ54" s="596"/>
      <c r="BR54" s="596"/>
      <c r="BS54" s="596"/>
      <c r="BT54" s="596"/>
      <c r="BU54" s="596"/>
      <c r="BV54" s="596"/>
      <c r="BW54" s="596"/>
      <c r="BX54" s="596"/>
      <c r="BY54" s="596"/>
      <c r="BZ54" s="596"/>
      <c r="CA54" s="596"/>
      <c r="CB54" s="596"/>
      <c r="CC54" s="596"/>
      <c r="CD54" s="596"/>
      <c r="CE54" s="596"/>
      <c r="CF54" s="596"/>
      <c r="CG54" s="596"/>
      <c r="CH54" s="596"/>
      <c r="CI54" s="596"/>
      <c r="CJ54" s="596"/>
      <c r="CK54" s="596"/>
      <c r="CL54" s="596"/>
      <c r="CM54" s="596"/>
      <c r="CN54" s="596"/>
      <c r="CO54" s="596"/>
      <c r="CP54" s="596"/>
      <c r="CQ54" s="596"/>
      <c r="CR54" s="596"/>
      <c r="CS54" s="596"/>
      <c r="CT54" s="596"/>
      <c r="CU54" s="596"/>
      <c r="CV54" s="596"/>
      <c r="CW54" s="596"/>
      <c r="CX54" s="596"/>
      <c r="CY54" s="596"/>
      <c r="CZ54" s="596"/>
      <c r="DA54" s="596"/>
      <c r="DB54" s="596"/>
      <c r="DC54" s="596"/>
      <c r="DD54" s="596"/>
      <c r="DE54" s="596"/>
      <c r="DF54" s="596"/>
      <c r="DG54" s="596"/>
      <c r="DH54" s="596"/>
      <c r="DI54" s="596"/>
      <c r="DJ54" s="596"/>
      <c r="DK54" s="596"/>
      <c r="DL54" s="596"/>
      <c r="DM54" s="596"/>
      <c r="DN54" s="596"/>
      <c r="DO54" s="596"/>
      <c r="DP54" s="596"/>
      <c r="DQ54" s="596"/>
      <c r="DR54" s="596"/>
      <c r="DS54" s="596"/>
      <c r="DT54" s="596"/>
      <c r="DU54" s="596"/>
      <c r="DV54" s="596"/>
      <c r="DW54" s="596"/>
      <c r="DX54" s="596"/>
    </row>
    <row r="55" ht="15.0" customHeight="1">
      <c r="A55" s="549">
        <v>40109.0</v>
      </c>
      <c r="B55" s="647" t="s">
        <v>1984</v>
      </c>
      <c r="C55" s="551" t="s">
        <v>1985</v>
      </c>
      <c r="D55" s="647"/>
      <c r="E55" s="648" t="str">
        <f>IFERROR(__xludf.DUMMYFUNCTION("if(and(D55&lt;&gt;0,D55&lt;&gt;""""),D55/GOOGLEFINANCE(C55,""price"")-1,"""")"),"")</f>
        <v/>
      </c>
      <c r="F55" s="553">
        <f>IFERROR(__xludf.DUMMYFUNCTION("GOOGLEFINANCE(C55,""price"")"),6.96)</f>
        <v>6.96</v>
      </c>
      <c r="G55" s="648">
        <f>IFERROR(__xludf.DUMMYFUNCTION("if(and(I55&lt;&gt;0,I55&lt;&gt;""""),I55/GOOGLEFINANCE(C55,""price"")-1,"""")"),-0.8563218390804598)</f>
        <v>-0.8563218391</v>
      </c>
      <c r="H55" s="559">
        <v>5.0</v>
      </c>
      <c r="I55" s="560">
        <v>1.0</v>
      </c>
      <c r="J55" s="647"/>
      <c r="K55" s="647"/>
      <c r="L55" s="647"/>
      <c r="M55" s="647"/>
      <c r="N55" s="647"/>
      <c r="O55" s="647"/>
      <c r="P55" s="647"/>
      <c r="Q55" s="647"/>
      <c r="R55" s="647"/>
      <c r="S55" s="647"/>
      <c r="T55" s="647"/>
      <c r="U55" s="649" t="s">
        <v>1988</v>
      </c>
      <c r="V55" s="650"/>
      <c r="W55" s="649"/>
      <c r="X55" s="649"/>
      <c r="Y55" s="649"/>
      <c r="Z55" s="649"/>
      <c r="AA55" s="649"/>
      <c r="AB55" s="649"/>
      <c r="AC55" s="649"/>
      <c r="AD55" s="649"/>
      <c r="AE55" s="649"/>
      <c r="AF55" s="649"/>
      <c r="AG55" s="649"/>
      <c r="AH55" s="649"/>
      <c r="AI55" s="649"/>
      <c r="AJ55" s="649"/>
      <c r="AK55" s="649"/>
      <c r="AL55" s="649"/>
      <c r="AM55" s="649"/>
      <c r="AN55" s="649"/>
      <c r="AO55" s="649"/>
      <c r="AP55" s="649"/>
      <c r="AQ55" s="649"/>
      <c r="AR55" s="649"/>
      <c r="AS55" s="649"/>
      <c r="AT55" s="649"/>
      <c r="AU55" s="649"/>
      <c r="AV55" s="649"/>
      <c r="AW55" s="649"/>
      <c r="AX55" s="649"/>
      <c r="AY55" s="649"/>
      <c r="AZ55" s="649"/>
      <c r="BA55" s="649"/>
      <c r="BB55" s="649"/>
      <c r="BC55" s="649"/>
      <c r="BD55" s="649"/>
      <c r="BE55" s="649"/>
      <c r="BF55" s="649"/>
      <c r="BG55" s="649"/>
      <c r="BH55" s="649"/>
      <c r="BI55" s="649"/>
      <c r="BJ55" s="649"/>
      <c r="BK55" s="649"/>
      <c r="BL55" s="649"/>
      <c r="BM55" s="649"/>
      <c r="BN55" s="649"/>
      <c r="BO55" s="649"/>
      <c r="BP55" s="649"/>
      <c r="BQ55" s="649"/>
      <c r="BR55" s="649"/>
      <c r="BS55" s="649"/>
      <c r="BT55" s="649"/>
      <c r="BU55" s="649"/>
      <c r="BV55" s="649"/>
      <c r="BW55" s="649"/>
      <c r="BX55" s="649"/>
      <c r="BY55" s="649"/>
      <c r="BZ55" s="649"/>
      <c r="CA55" s="649"/>
      <c r="CB55" s="649"/>
      <c r="CC55" s="649"/>
      <c r="CD55" s="649"/>
      <c r="CE55" s="649"/>
      <c r="CF55" s="649"/>
      <c r="CG55" s="649"/>
      <c r="CH55" s="649"/>
      <c r="CI55" s="649"/>
      <c r="CJ55" s="649"/>
      <c r="CK55" s="649"/>
      <c r="CL55" s="649"/>
      <c r="CM55" s="649"/>
      <c r="CN55" s="649"/>
      <c r="CO55" s="649"/>
      <c r="CP55" s="649"/>
      <c r="CQ55" s="649"/>
      <c r="CR55" s="649"/>
      <c r="CS55" s="649"/>
      <c r="CT55" s="649"/>
      <c r="CU55" s="649"/>
      <c r="CV55" s="649"/>
      <c r="CW55" s="649"/>
      <c r="CX55" s="649"/>
      <c r="CY55" s="649"/>
      <c r="CZ55" s="649"/>
      <c r="DA55" s="649"/>
      <c r="DB55" s="649"/>
      <c r="DC55" s="649"/>
      <c r="DD55" s="649"/>
      <c r="DE55" s="649"/>
      <c r="DF55" s="649"/>
      <c r="DG55" s="649"/>
      <c r="DH55" s="649"/>
      <c r="DI55" s="649"/>
      <c r="DJ55" s="649"/>
      <c r="DK55" s="649"/>
      <c r="DL55" s="649"/>
      <c r="DM55" s="649"/>
      <c r="DN55" s="649"/>
      <c r="DO55" s="649"/>
      <c r="DP55" s="649"/>
      <c r="DQ55" s="649"/>
      <c r="DR55" s="649"/>
      <c r="DS55" s="649"/>
      <c r="DT55" s="649"/>
      <c r="DU55" s="649"/>
      <c r="DV55" s="649"/>
      <c r="DW55" s="649"/>
      <c r="DX55" s="649"/>
    </row>
    <row r="56" ht="15.0" customHeight="1">
      <c r="A56" s="585">
        <v>41755.0</v>
      </c>
      <c r="B56" s="586" t="s">
        <v>1990</v>
      </c>
      <c r="C56" s="587" t="s">
        <v>1763</v>
      </c>
      <c r="D56" s="586"/>
      <c r="E56" s="589" t="str">
        <f>IFERROR(__xludf.DUMMYFUNCTION("if(and(D56&lt;&gt;0,D56&lt;&gt;""""),D56/GOOGLEFINANCE(C56,""price"")-1,"""")"),"")</f>
        <v/>
      </c>
      <c r="F56" s="590">
        <f>IFERROR(__xludf.DUMMYFUNCTION("GOOGLEFINANCE(C56,""price"")"),2.98)</f>
        <v>2.98</v>
      </c>
      <c r="G56" s="589" t="str">
        <f>IFERROR(__xludf.DUMMYFUNCTION("if(and(I56&lt;&gt;0,I56&lt;&gt;""""),I56/GOOGLEFINANCE(C56,""price"")-1,"""")"),"")</f>
        <v/>
      </c>
      <c r="H56" s="591"/>
      <c r="I56" s="602"/>
      <c r="J56" s="586"/>
      <c r="K56" s="586"/>
      <c r="L56" s="586"/>
      <c r="M56" s="586"/>
      <c r="N56" s="586"/>
      <c r="O56" s="586"/>
      <c r="P56" s="586"/>
      <c r="Q56" s="586"/>
      <c r="R56" s="586"/>
      <c r="S56" s="586"/>
      <c r="T56" s="586"/>
      <c r="U56" s="603" t="s">
        <v>1992</v>
      </c>
      <c r="V56" s="604"/>
      <c r="W56" s="605"/>
      <c r="X56" s="606"/>
      <c r="Y56" s="606"/>
      <c r="Z56" s="606"/>
      <c r="AA56" s="606"/>
      <c r="AB56" s="606"/>
      <c r="AC56" s="606"/>
      <c r="AD56" s="606"/>
      <c r="AE56" s="606"/>
      <c r="AF56" s="606"/>
      <c r="AG56" s="606"/>
      <c r="AH56" s="606"/>
      <c r="AI56" s="606"/>
      <c r="AJ56" s="606"/>
      <c r="AK56" s="606"/>
      <c r="AL56" s="606"/>
      <c r="AM56" s="606"/>
      <c r="AN56" s="606"/>
      <c r="AO56" s="606"/>
      <c r="AP56" s="606"/>
      <c r="AQ56" s="606"/>
      <c r="AR56" s="606"/>
      <c r="AS56" s="606"/>
      <c r="AT56" s="606"/>
      <c r="AU56" s="606"/>
      <c r="AV56" s="606"/>
      <c r="AW56" s="606"/>
      <c r="AX56" s="606"/>
      <c r="AY56" s="606"/>
      <c r="AZ56" s="606"/>
      <c r="BA56" s="606"/>
      <c r="BB56" s="606"/>
      <c r="BC56" s="606"/>
      <c r="BD56" s="606"/>
      <c r="BE56" s="606"/>
      <c r="BF56" s="606"/>
      <c r="BG56" s="606"/>
      <c r="BH56" s="606"/>
      <c r="BI56" s="606"/>
      <c r="BJ56" s="606"/>
      <c r="BK56" s="606"/>
      <c r="BL56" s="606"/>
      <c r="BM56" s="606"/>
      <c r="BN56" s="606"/>
      <c r="BO56" s="606"/>
      <c r="BP56" s="606"/>
      <c r="BQ56" s="606"/>
      <c r="BR56" s="606"/>
      <c r="BS56" s="606"/>
      <c r="BT56" s="606"/>
      <c r="BU56" s="606"/>
      <c r="BV56" s="606"/>
      <c r="BW56" s="606"/>
      <c r="BX56" s="606"/>
      <c r="BY56" s="606"/>
      <c r="BZ56" s="606"/>
      <c r="CA56" s="606"/>
      <c r="CB56" s="606"/>
      <c r="CC56" s="606"/>
      <c r="CD56" s="606"/>
      <c r="CE56" s="606"/>
      <c r="CF56" s="606"/>
      <c r="CG56" s="606"/>
      <c r="CH56" s="606"/>
      <c r="CI56" s="606"/>
      <c r="CJ56" s="606"/>
      <c r="CK56" s="606"/>
      <c r="CL56" s="606"/>
      <c r="CM56" s="606"/>
      <c r="CN56" s="606"/>
      <c r="CO56" s="606"/>
      <c r="CP56" s="606"/>
      <c r="CQ56" s="606"/>
      <c r="CR56" s="606"/>
      <c r="CS56" s="606"/>
      <c r="CT56" s="606"/>
      <c r="CU56" s="606"/>
      <c r="CV56" s="606"/>
      <c r="CW56" s="606"/>
      <c r="CX56" s="606"/>
      <c r="CY56" s="606"/>
      <c r="CZ56" s="606"/>
      <c r="DA56" s="606"/>
      <c r="DB56" s="606"/>
      <c r="DC56" s="606"/>
      <c r="DD56" s="606"/>
      <c r="DE56" s="606"/>
      <c r="DF56" s="606"/>
      <c r="DG56" s="606"/>
      <c r="DH56" s="606"/>
      <c r="DI56" s="606"/>
      <c r="DJ56" s="606"/>
      <c r="DK56" s="606"/>
      <c r="DL56" s="606"/>
      <c r="DM56" s="606"/>
      <c r="DN56" s="606"/>
      <c r="DO56" s="606"/>
      <c r="DP56" s="606"/>
      <c r="DQ56" s="606"/>
      <c r="DR56" s="606"/>
      <c r="DS56" s="606"/>
      <c r="DT56" s="606"/>
      <c r="DU56" s="606"/>
      <c r="DV56" s="606"/>
      <c r="DW56" s="606"/>
      <c r="DX56" s="606"/>
    </row>
    <row r="57" ht="15.0" customHeight="1">
      <c r="A57" s="585">
        <v>41177.0</v>
      </c>
      <c r="B57" s="586" t="s">
        <v>1993</v>
      </c>
      <c r="C57" s="587" t="s">
        <v>682</v>
      </c>
      <c r="D57" s="586"/>
      <c r="E57" s="589" t="str">
        <f>IFERROR(__xludf.DUMMYFUNCTION("if(and(D57&lt;&gt;0,D57&lt;&gt;""""),D57/GOOGLEFINANCE(C57,""price"")-1,"""")"),"")</f>
        <v/>
      </c>
      <c r="F57" s="590" t="str">
        <f>IFERROR(__xludf.DUMMYFUNCTION("GOOGLEFINANCE(C57,""price"")"),"#N/A")</f>
        <v>#N/A</v>
      </c>
      <c r="G57" s="589" t="str">
        <f>IFERROR(__xludf.DUMMYFUNCTION("if(and(I57&lt;&gt;0,I57&lt;&gt;""""),I57/GOOGLEFINANCE(C57,""price"")-1,"""")"),"#N/A")</f>
        <v>#N/A</v>
      </c>
      <c r="H57" s="591"/>
      <c r="I57" s="602">
        <v>9.0</v>
      </c>
      <c r="J57" s="586"/>
      <c r="K57" s="586"/>
      <c r="L57" s="586"/>
      <c r="M57" s="586"/>
      <c r="N57" s="586"/>
      <c r="O57" s="586"/>
      <c r="P57" s="586"/>
      <c r="Q57" s="586"/>
      <c r="R57" s="586"/>
      <c r="S57" s="586"/>
      <c r="T57" s="586"/>
      <c r="U57" s="603" t="s">
        <v>1996</v>
      </c>
      <c r="V57" s="604"/>
      <c r="W57" s="605"/>
      <c r="X57" s="606"/>
      <c r="Y57" s="606"/>
      <c r="Z57" s="606"/>
      <c r="AA57" s="606"/>
      <c r="AB57" s="606"/>
      <c r="AC57" s="606"/>
      <c r="AD57" s="606"/>
      <c r="AE57" s="606"/>
      <c r="AF57" s="606"/>
      <c r="AG57" s="606"/>
      <c r="AH57" s="606"/>
      <c r="AI57" s="606"/>
      <c r="AJ57" s="606"/>
      <c r="AK57" s="606"/>
      <c r="AL57" s="606"/>
      <c r="AM57" s="606"/>
      <c r="AN57" s="606"/>
      <c r="AO57" s="606"/>
      <c r="AP57" s="606"/>
      <c r="AQ57" s="606"/>
      <c r="AR57" s="606"/>
      <c r="AS57" s="606"/>
      <c r="AT57" s="606"/>
      <c r="AU57" s="606"/>
      <c r="AV57" s="606"/>
      <c r="AW57" s="606"/>
      <c r="AX57" s="606"/>
      <c r="AY57" s="606"/>
      <c r="AZ57" s="606"/>
      <c r="BA57" s="606"/>
      <c r="BB57" s="606"/>
      <c r="BC57" s="606"/>
      <c r="BD57" s="606"/>
      <c r="BE57" s="606"/>
      <c r="BF57" s="606"/>
      <c r="BG57" s="606"/>
      <c r="BH57" s="606"/>
      <c r="BI57" s="606"/>
      <c r="BJ57" s="606"/>
      <c r="BK57" s="606"/>
      <c r="BL57" s="606"/>
      <c r="BM57" s="606"/>
      <c r="BN57" s="606"/>
      <c r="BO57" s="606"/>
      <c r="BP57" s="606"/>
      <c r="BQ57" s="606"/>
      <c r="BR57" s="606"/>
      <c r="BS57" s="606"/>
      <c r="BT57" s="606"/>
      <c r="BU57" s="606"/>
      <c r="BV57" s="606"/>
      <c r="BW57" s="606"/>
      <c r="BX57" s="606"/>
      <c r="BY57" s="606"/>
      <c r="BZ57" s="606"/>
      <c r="CA57" s="606"/>
      <c r="CB57" s="606"/>
      <c r="CC57" s="606"/>
      <c r="CD57" s="606"/>
      <c r="CE57" s="606"/>
      <c r="CF57" s="606"/>
      <c r="CG57" s="606"/>
      <c r="CH57" s="606"/>
      <c r="CI57" s="606"/>
      <c r="CJ57" s="606"/>
      <c r="CK57" s="606"/>
      <c r="CL57" s="606"/>
      <c r="CM57" s="606"/>
      <c r="CN57" s="606"/>
      <c r="CO57" s="606"/>
      <c r="CP57" s="606"/>
      <c r="CQ57" s="606"/>
      <c r="CR57" s="606"/>
      <c r="CS57" s="606"/>
      <c r="CT57" s="606"/>
      <c r="CU57" s="606"/>
      <c r="CV57" s="606"/>
      <c r="CW57" s="606"/>
      <c r="CX57" s="606"/>
      <c r="CY57" s="606"/>
      <c r="CZ57" s="606"/>
      <c r="DA57" s="606"/>
      <c r="DB57" s="606"/>
      <c r="DC57" s="606"/>
      <c r="DD57" s="606"/>
      <c r="DE57" s="606"/>
      <c r="DF57" s="606"/>
      <c r="DG57" s="606"/>
      <c r="DH57" s="606"/>
      <c r="DI57" s="606"/>
      <c r="DJ57" s="606"/>
      <c r="DK57" s="606"/>
      <c r="DL57" s="606"/>
      <c r="DM57" s="606"/>
      <c r="DN57" s="606"/>
      <c r="DO57" s="606"/>
      <c r="DP57" s="606"/>
      <c r="DQ57" s="606"/>
      <c r="DR57" s="606"/>
      <c r="DS57" s="606"/>
      <c r="DT57" s="606"/>
      <c r="DU57" s="606"/>
      <c r="DV57" s="606"/>
      <c r="DW57" s="606"/>
      <c r="DX57" s="606"/>
    </row>
    <row r="58" ht="15.0" customHeight="1">
      <c r="A58" s="585">
        <v>40886.0</v>
      </c>
      <c r="B58" s="586" t="s">
        <v>1998</v>
      </c>
      <c r="C58" s="587" t="s">
        <v>386</v>
      </c>
      <c r="D58" s="586"/>
      <c r="E58" s="589" t="str">
        <f>IFERROR(__xludf.DUMMYFUNCTION("if(and(D58&lt;&gt;0,D58&lt;&gt;""""),D58/GOOGLEFINANCE(C58,""price"")-1,"""")"),"")</f>
        <v/>
      </c>
      <c r="F58" s="590" t="str">
        <f>IFERROR(__xludf.DUMMYFUNCTION("GOOGLEFINANCE(C58,""price"")"),"#N/A")</f>
        <v>#N/A</v>
      </c>
      <c r="G58" s="589" t="str">
        <f>IFERROR(__xludf.DUMMYFUNCTION("if(and(I58&lt;&gt;0,I58&lt;&gt;""""),I58/GOOGLEFINANCE(C58,""price"")-1,"""")"),"")</f>
        <v/>
      </c>
      <c r="H58" s="591"/>
      <c r="I58" s="602"/>
      <c r="J58" s="586"/>
      <c r="K58" s="586"/>
      <c r="L58" s="586"/>
      <c r="M58" s="586"/>
      <c r="N58" s="586"/>
      <c r="O58" s="586"/>
      <c r="P58" s="586"/>
      <c r="Q58" s="586"/>
      <c r="R58" s="586"/>
      <c r="S58" s="586"/>
      <c r="T58" s="586"/>
      <c r="U58" s="603" t="s">
        <v>2001</v>
      </c>
      <c r="V58" s="604"/>
      <c r="W58" s="605"/>
      <c r="X58" s="606"/>
      <c r="Y58" s="606"/>
      <c r="Z58" s="606"/>
      <c r="AA58" s="606"/>
      <c r="AB58" s="606"/>
      <c r="AC58" s="606"/>
      <c r="AD58" s="606"/>
      <c r="AE58" s="606"/>
      <c r="AF58" s="606"/>
      <c r="AG58" s="606"/>
      <c r="AH58" s="606"/>
      <c r="AI58" s="606"/>
      <c r="AJ58" s="606"/>
      <c r="AK58" s="606"/>
      <c r="AL58" s="606"/>
      <c r="AM58" s="606"/>
      <c r="AN58" s="606"/>
      <c r="AO58" s="606"/>
      <c r="AP58" s="606"/>
      <c r="AQ58" s="606"/>
      <c r="AR58" s="606"/>
      <c r="AS58" s="606"/>
      <c r="AT58" s="606"/>
      <c r="AU58" s="606"/>
      <c r="AV58" s="606"/>
      <c r="AW58" s="606"/>
      <c r="AX58" s="606"/>
      <c r="AY58" s="606"/>
      <c r="AZ58" s="606"/>
      <c r="BA58" s="606"/>
      <c r="BB58" s="606"/>
      <c r="BC58" s="606"/>
      <c r="BD58" s="606"/>
      <c r="BE58" s="606"/>
      <c r="BF58" s="606"/>
      <c r="BG58" s="606"/>
      <c r="BH58" s="606"/>
      <c r="BI58" s="606"/>
      <c r="BJ58" s="606"/>
      <c r="BK58" s="606"/>
      <c r="BL58" s="606"/>
      <c r="BM58" s="606"/>
      <c r="BN58" s="606"/>
      <c r="BO58" s="606"/>
      <c r="BP58" s="606"/>
      <c r="BQ58" s="606"/>
      <c r="BR58" s="606"/>
      <c r="BS58" s="606"/>
      <c r="BT58" s="606"/>
      <c r="BU58" s="606"/>
      <c r="BV58" s="606"/>
      <c r="BW58" s="606"/>
      <c r="BX58" s="606"/>
      <c r="BY58" s="606"/>
      <c r="BZ58" s="606"/>
      <c r="CA58" s="606"/>
      <c r="CB58" s="606"/>
      <c r="CC58" s="606"/>
      <c r="CD58" s="606"/>
      <c r="CE58" s="606"/>
      <c r="CF58" s="606"/>
      <c r="CG58" s="606"/>
      <c r="CH58" s="606"/>
      <c r="CI58" s="606"/>
      <c r="CJ58" s="606"/>
      <c r="CK58" s="606"/>
      <c r="CL58" s="606"/>
      <c r="CM58" s="606"/>
      <c r="CN58" s="606"/>
      <c r="CO58" s="606"/>
      <c r="CP58" s="606"/>
      <c r="CQ58" s="606"/>
      <c r="CR58" s="606"/>
      <c r="CS58" s="606"/>
      <c r="CT58" s="606"/>
      <c r="CU58" s="606"/>
      <c r="CV58" s="606"/>
      <c r="CW58" s="606"/>
      <c r="CX58" s="606"/>
      <c r="CY58" s="606"/>
      <c r="CZ58" s="606"/>
      <c r="DA58" s="606"/>
      <c r="DB58" s="606"/>
      <c r="DC58" s="606"/>
      <c r="DD58" s="606"/>
      <c r="DE58" s="606"/>
      <c r="DF58" s="606"/>
      <c r="DG58" s="606"/>
      <c r="DH58" s="606"/>
      <c r="DI58" s="606"/>
      <c r="DJ58" s="606"/>
      <c r="DK58" s="606"/>
      <c r="DL58" s="606"/>
      <c r="DM58" s="606"/>
      <c r="DN58" s="606"/>
      <c r="DO58" s="606"/>
      <c r="DP58" s="606"/>
      <c r="DQ58" s="606"/>
      <c r="DR58" s="606"/>
      <c r="DS58" s="606"/>
      <c r="DT58" s="606"/>
      <c r="DU58" s="606"/>
      <c r="DV58" s="606"/>
      <c r="DW58" s="606"/>
      <c r="DX58" s="606"/>
    </row>
    <row r="59" ht="15.0" customHeight="1">
      <c r="A59" s="585">
        <v>40777.0</v>
      </c>
      <c r="B59" s="586" t="s">
        <v>2003</v>
      </c>
      <c r="C59" s="587" t="s">
        <v>545</v>
      </c>
      <c r="D59" s="586"/>
      <c r="E59" s="589" t="str">
        <f>IFERROR(__xludf.DUMMYFUNCTION("if(and(D59&lt;&gt;0,D59&lt;&gt;""""),D59/GOOGLEFINANCE(C59,""price"")-1,"""")"),"")</f>
        <v/>
      </c>
      <c r="F59" s="590">
        <f>IFERROR(__xludf.DUMMYFUNCTION("GOOGLEFINANCE(C59,""price"")"),5.8)</f>
        <v>5.8</v>
      </c>
      <c r="G59" s="589">
        <f>IFERROR(__xludf.DUMMYFUNCTION("if(and(I59&lt;&gt;0,I59&lt;&gt;""""),I59/GOOGLEFINANCE(C59,""price"")-1,"""")"),-0.31034482758620685)</f>
        <v>-0.3103448276</v>
      </c>
      <c r="H59" s="591"/>
      <c r="I59" s="602">
        <v>4.0</v>
      </c>
      <c r="J59" s="586"/>
      <c r="K59" s="586"/>
      <c r="L59" s="586"/>
      <c r="M59" s="586"/>
      <c r="N59" s="586"/>
      <c r="O59" s="586"/>
      <c r="P59" s="586"/>
      <c r="Q59" s="586"/>
      <c r="R59" s="586"/>
      <c r="S59" s="586"/>
      <c r="T59" s="586"/>
      <c r="U59" s="603" t="s">
        <v>2006</v>
      </c>
      <c r="V59" s="604"/>
      <c r="W59" s="605"/>
      <c r="X59" s="606"/>
      <c r="Y59" s="606"/>
      <c r="Z59" s="606"/>
      <c r="AA59" s="606"/>
      <c r="AB59" s="606"/>
      <c r="AC59" s="606"/>
      <c r="AD59" s="606"/>
      <c r="AE59" s="606"/>
      <c r="AF59" s="606"/>
      <c r="AG59" s="606"/>
      <c r="AH59" s="606"/>
      <c r="AI59" s="606"/>
      <c r="AJ59" s="606"/>
      <c r="AK59" s="606"/>
      <c r="AL59" s="606"/>
      <c r="AM59" s="606"/>
      <c r="AN59" s="606"/>
      <c r="AO59" s="606"/>
      <c r="AP59" s="606"/>
      <c r="AQ59" s="606"/>
      <c r="AR59" s="606"/>
      <c r="AS59" s="606"/>
      <c r="AT59" s="606"/>
      <c r="AU59" s="606"/>
      <c r="AV59" s="606"/>
      <c r="AW59" s="606"/>
      <c r="AX59" s="606"/>
      <c r="AY59" s="606"/>
      <c r="AZ59" s="606"/>
      <c r="BA59" s="606"/>
      <c r="BB59" s="606"/>
      <c r="BC59" s="606"/>
      <c r="BD59" s="606"/>
      <c r="BE59" s="606"/>
      <c r="BF59" s="606"/>
      <c r="BG59" s="606"/>
      <c r="BH59" s="606"/>
      <c r="BI59" s="606"/>
      <c r="BJ59" s="606"/>
      <c r="BK59" s="606"/>
      <c r="BL59" s="606"/>
      <c r="BM59" s="606"/>
      <c r="BN59" s="606"/>
      <c r="BO59" s="606"/>
      <c r="BP59" s="606"/>
      <c r="BQ59" s="606"/>
      <c r="BR59" s="606"/>
      <c r="BS59" s="606"/>
      <c r="BT59" s="606"/>
      <c r="BU59" s="606"/>
      <c r="BV59" s="606"/>
      <c r="BW59" s="606"/>
      <c r="BX59" s="606"/>
      <c r="BY59" s="606"/>
      <c r="BZ59" s="606"/>
      <c r="CA59" s="606"/>
      <c r="CB59" s="606"/>
      <c r="CC59" s="606"/>
      <c r="CD59" s="606"/>
      <c r="CE59" s="606"/>
      <c r="CF59" s="606"/>
      <c r="CG59" s="606"/>
      <c r="CH59" s="606"/>
      <c r="CI59" s="606"/>
      <c r="CJ59" s="606"/>
      <c r="CK59" s="606"/>
      <c r="CL59" s="606"/>
      <c r="CM59" s="606"/>
      <c r="CN59" s="606"/>
      <c r="CO59" s="606"/>
      <c r="CP59" s="606"/>
      <c r="CQ59" s="606"/>
      <c r="CR59" s="606"/>
      <c r="CS59" s="606"/>
      <c r="CT59" s="606"/>
      <c r="CU59" s="606"/>
      <c r="CV59" s="606"/>
      <c r="CW59" s="606"/>
      <c r="CX59" s="606"/>
      <c r="CY59" s="606"/>
      <c r="CZ59" s="606"/>
      <c r="DA59" s="606"/>
      <c r="DB59" s="606"/>
      <c r="DC59" s="606"/>
      <c r="DD59" s="606"/>
      <c r="DE59" s="606"/>
      <c r="DF59" s="606"/>
      <c r="DG59" s="606"/>
      <c r="DH59" s="606"/>
      <c r="DI59" s="606"/>
      <c r="DJ59" s="606"/>
      <c r="DK59" s="606"/>
      <c r="DL59" s="606"/>
      <c r="DM59" s="606"/>
      <c r="DN59" s="606"/>
      <c r="DO59" s="606"/>
      <c r="DP59" s="606"/>
      <c r="DQ59" s="606"/>
      <c r="DR59" s="606"/>
      <c r="DS59" s="606"/>
      <c r="DT59" s="606"/>
      <c r="DU59" s="606"/>
      <c r="DV59" s="606"/>
      <c r="DW59" s="606"/>
      <c r="DX59" s="606"/>
    </row>
    <row r="60" ht="15.0" customHeight="1">
      <c r="A60" s="611">
        <v>42399.0</v>
      </c>
      <c r="B60" s="588" t="s">
        <v>2008</v>
      </c>
      <c r="C60" s="612" t="s">
        <v>2009</v>
      </c>
      <c r="D60" s="588">
        <v>16.0</v>
      </c>
      <c r="E60" s="589">
        <f>IFERROR(__xludf.DUMMYFUNCTION("if(and(D60&lt;&gt;0,D60&lt;&gt;""""),D60/GOOGLEFINANCE(C60,""price"")-1,"""")"),13.953271028037383)</f>
        <v>13.95327103</v>
      </c>
      <c r="F60" s="590">
        <f>IFERROR(__xludf.DUMMYFUNCTION("GOOGLEFINANCE(C60,""price"")"),1.07)</f>
        <v>1.07</v>
      </c>
      <c r="G60" s="589">
        <f>IFERROR(__xludf.DUMMYFUNCTION("if(and(I60&lt;&gt;0,I60&lt;&gt;""""),I60/GOOGLEFINANCE(C60,""price"")-1,"""")"),-0.5327102803738317)</f>
        <v>-0.5327102804</v>
      </c>
      <c r="H60" s="591"/>
      <c r="I60" s="592">
        <v>0.5</v>
      </c>
      <c r="J60" s="586"/>
      <c r="K60" s="586"/>
      <c r="L60" s="586"/>
      <c r="M60" s="586"/>
      <c r="N60" s="586"/>
      <c r="O60" s="586"/>
      <c r="P60" s="588"/>
      <c r="Q60" s="588"/>
      <c r="R60" s="588"/>
      <c r="S60" s="588"/>
      <c r="T60" s="588"/>
      <c r="U60" s="593" t="s">
        <v>2011</v>
      </c>
      <c r="V60" s="594"/>
      <c r="W60" s="595"/>
      <c r="X60" s="596"/>
      <c r="Y60" s="596"/>
      <c r="Z60" s="596"/>
      <c r="AA60" s="596"/>
      <c r="AB60" s="596"/>
      <c r="AC60" s="596"/>
      <c r="AD60" s="596"/>
      <c r="AE60" s="596"/>
      <c r="AF60" s="596"/>
      <c r="AG60" s="596"/>
      <c r="AH60" s="596"/>
      <c r="AI60" s="596"/>
      <c r="AJ60" s="596"/>
      <c r="AK60" s="596"/>
      <c r="AL60" s="596"/>
      <c r="AM60" s="596"/>
      <c r="AN60" s="596"/>
      <c r="AO60" s="596"/>
      <c r="AP60" s="596"/>
      <c r="AQ60" s="596"/>
      <c r="AR60" s="596"/>
      <c r="AS60" s="596"/>
      <c r="AT60" s="596"/>
      <c r="AU60" s="596"/>
      <c r="AV60" s="596"/>
      <c r="AW60" s="596"/>
      <c r="AX60" s="596"/>
      <c r="AY60" s="596"/>
      <c r="AZ60" s="596"/>
      <c r="BA60" s="596"/>
      <c r="BB60" s="596"/>
      <c r="BC60" s="596"/>
      <c r="BD60" s="596"/>
      <c r="BE60" s="596"/>
      <c r="BF60" s="596"/>
      <c r="BG60" s="596"/>
      <c r="BH60" s="596"/>
      <c r="BI60" s="596"/>
      <c r="BJ60" s="596"/>
      <c r="BK60" s="596"/>
      <c r="BL60" s="596"/>
      <c r="BM60" s="596"/>
      <c r="BN60" s="596"/>
      <c r="BO60" s="596"/>
      <c r="BP60" s="596"/>
      <c r="BQ60" s="596"/>
      <c r="BR60" s="596"/>
      <c r="BS60" s="596"/>
      <c r="BT60" s="596"/>
      <c r="BU60" s="596"/>
      <c r="BV60" s="596"/>
      <c r="BW60" s="596"/>
      <c r="BX60" s="596"/>
      <c r="BY60" s="596"/>
      <c r="BZ60" s="596"/>
      <c r="CA60" s="596"/>
      <c r="CB60" s="596"/>
      <c r="CC60" s="596"/>
      <c r="CD60" s="596"/>
      <c r="CE60" s="596"/>
      <c r="CF60" s="596"/>
      <c r="CG60" s="596"/>
      <c r="CH60" s="596"/>
      <c r="CI60" s="596"/>
      <c r="CJ60" s="596"/>
      <c r="CK60" s="596"/>
      <c r="CL60" s="596"/>
      <c r="CM60" s="596"/>
      <c r="CN60" s="596"/>
      <c r="CO60" s="596"/>
      <c r="CP60" s="596"/>
      <c r="CQ60" s="596"/>
      <c r="CR60" s="596"/>
      <c r="CS60" s="596"/>
      <c r="CT60" s="596"/>
      <c r="CU60" s="596"/>
      <c r="CV60" s="596"/>
      <c r="CW60" s="596"/>
      <c r="CX60" s="596"/>
      <c r="CY60" s="596"/>
      <c r="CZ60" s="596"/>
      <c r="DA60" s="596"/>
      <c r="DB60" s="596"/>
      <c r="DC60" s="596"/>
      <c r="DD60" s="596"/>
      <c r="DE60" s="596"/>
      <c r="DF60" s="596"/>
      <c r="DG60" s="596"/>
      <c r="DH60" s="596"/>
      <c r="DI60" s="596"/>
      <c r="DJ60" s="596"/>
      <c r="DK60" s="596"/>
      <c r="DL60" s="596"/>
      <c r="DM60" s="596"/>
      <c r="DN60" s="596"/>
      <c r="DO60" s="596"/>
      <c r="DP60" s="596"/>
      <c r="DQ60" s="596"/>
      <c r="DR60" s="596"/>
      <c r="DS60" s="596"/>
      <c r="DT60" s="596"/>
      <c r="DU60" s="596"/>
      <c r="DV60" s="596"/>
      <c r="DW60" s="596"/>
      <c r="DX60" s="596"/>
    </row>
    <row r="61" ht="15.0" customHeight="1">
      <c r="A61" s="574">
        <v>40786.0</v>
      </c>
      <c r="B61" s="575" t="s">
        <v>2015</v>
      </c>
      <c r="C61" s="576" t="s">
        <v>2016</v>
      </c>
      <c r="D61" s="575"/>
      <c r="E61" s="577" t="str">
        <f>IFERROR(__xludf.DUMMYFUNCTION("if(and(D61&lt;&gt;0,D61&lt;&gt;""""),D61/GOOGLEFINANCE(C61,""price"")-1,"""")"),"")</f>
        <v/>
      </c>
      <c r="F61" s="578">
        <f>IFERROR(__xludf.DUMMYFUNCTION("GOOGLEFINANCE(C61,""price"")"),0.75)</f>
        <v>0.75</v>
      </c>
      <c r="G61" s="577" t="str">
        <f>IFERROR(__xludf.DUMMYFUNCTION("if(and(I61&lt;&gt;0,I61&lt;&gt;""""),I61/GOOGLEFINANCE(C61,""price"")-1,"""")"),"")</f>
        <v/>
      </c>
      <c r="H61" s="579" t="s">
        <v>2017</v>
      </c>
      <c r="I61" s="580"/>
      <c r="J61" s="575"/>
      <c r="K61" s="575"/>
      <c r="L61" s="575"/>
      <c r="M61" s="575"/>
      <c r="N61" s="575"/>
      <c r="O61" s="575"/>
      <c r="P61" s="575"/>
      <c r="Q61" s="575"/>
      <c r="R61" s="575"/>
      <c r="S61" s="575"/>
      <c r="T61" s="575"/>
      <c r="U61" s="581"/>
      <c r="V61" s="582"/>
      <c r="W61" s="583"/>
      <c r="X61" s="584"/>
      <c r="Y61" s="584"/>
      <c r="Z61" s="584"/>
      <c r="AA61" s="584"/>
      <c r="AB61" s="584"/>
      <c r="AC61" s="584"/>
      <c r="AD61" s="584"/>
      <c r="AE61" s="584"/>
      <c r="AF61" s="584"/>
      <c r="AG61" s="584"/>
      <c r="AH61" s="584"/>
      <c r="AI61" s="584"/>
      <c r="AJ61" s="584"/>
      <c r="AK61" s="584"/>
      <c r="AL61" s="584"/>
      <c r="AM61" s="584"/>
      <c r="AN61" s="584"/>
      <c r="AO61" s="584"/>
      <c r="AP61" s="584"/>
      <c r="AQ61" s="584"/>
      <c r="AR61" s="584"/>
      <c r="AS61" s="584"/>
      <c r="AT61" s="584"/>
      <c r="AU61" s="584"/>
      <c r="AV61" s="584"/>
      <c r="AW61" s="584"/>
      <c r="AX61" s="584"/>
      <c r="AY61" s="584"/>
      <c r="AZ61" s="584"/>
      <c r="BA61" s="584"/>
      <c r="BB61" s="584"/>
      <c r="BC61" s="584"/>
      <c r="BD61" s="584"/>
      <c r="BE61" s="584"/>
      <c r="BF61" s="584"/>
      <c r="BG61" s="584"/>
      <c r="BH61" s="584"/>
      <c r="BI61" s="584"/>
      <c r="BJ61" s="584"/>
      <c r="BK61" s="584"/>
      <c r="BL61" s="584"/>
      <c r="BM61" s="584"/>
      <c r="BN61" s="584"/>
      <c r="BO61" s="584"/>
      <c r="BP61" s="584"/>
      <c r="BQ61" s="584"/>
      <c r="BR61" s="584"/>
      <c r="BS61" s="584"/>
      <c r="BT61" s="584"/>
      <c r="BU61" s="584"/>
      <c r="BV61" s="584"/>
      <c r="BW61" s="584"/>
      <c r="BX61" s="584"/>
      <c r="BY61" s="584"/>
      <c r="BZ61" s="584"/>
      <c r="CA61" s="584"/>
      <c r="CB61" s="584"/>
      <c r="CC61" s="584"/>
      <c r="CD61" s="584"/>
      <c r="CE61" s="584"/>
      <c r="CF61" s="584"/>
      <c r="CG61" s="584"/>
      <c r="CH61" s="584"/>
      <c r="CI61" s="584"/>
      <c r="CJ61" s="584"/>
      <c r="CK61" s="584"/>
      <c r="CL61" s="584"/>
      <c r="CM61" s="584"/>
      <c r="CN61" s="584"/>
      <c r="CO61" s="584"/>
      <c r="CP61" s="584"/>
      <c r="CQ61" s="584"/>
      <c r="CR61" s="584"/>
      <c r="CS61" s="584"/>
      <c r="CT61" s="584"/>
      <c r="CU61" s="584"/>
      <c r="CV61" s="584"/>
      <c r="CW61" s="584"/>
      <c r="CX61" s="584"/>
      <c r="CY61" s="584"/>
      <c r="CZ61" s="584"/>
      <c r="DA61" s="584"/>
      <c r="DB61" s="584"/>
      <c r="DC61" s="584"/>
      <c r="DD61" s="584"/>
      <c r="DE61" s="584"/>
      <c r="DF61" s="584"/>
      <c r="DG61" s="584"/>
      <c r="DH61" s="584"/>
      <c r="DI61" s="584"/>
      <c r="DJ61" s="584"/>
      <c r="DK61" s="584"/>
      <c r="DL61" s="584"/>
      <c r="DM61" s="584"/>
      <c r="DN61" s="584"/>
      <c r="DO61" s="584"/>
      <c r="DP61" s="584"/>
      <c r="DQ61" s="584"/>
      <c r="DR61" s="584"/>
      <c r="DS61" s="584"/>
      <c r="DT61" s="584"/>
      <c r="DU61" s="584"/>
      <c r="DV61" s="584"/>
      <c r="DW61" s="584"/>
      <c r="DX61" s="584"/>
    </row>
    <row r="62" ht="15.0" customHeight="1">
      <c r="A62" s="659">
        <v>40241.0</v>
      </c>
      <c r="B62" s="660" t="s">
        <v>2019</v>
      </c>
      <c r="C62" s="661" t="s">
        <v>2022</v>
      </c>
      <c r="D62" s="660"/>
      <c r="E62" s="662" t="str">
        <f>IFERROR(__xludf.DUMMYFUNCTION("if(and(D62&lt;&gt;0,D62&lt;&gt;""""),D62/GOOGLEFINANCE(C62,""price"")-1,"""")"),"")</f>
        <v/>
      </c>
      <c r="F62" s="663">
        <f>IFERROR(__xludf.DUMMYFUNCTION("GOOGLEFINANCE(C62,""price"")"),4.81)</f>
        <v>4.81</v>
      </c>
      <c r="G62" s="662" t="str">
        <f>IFERROR(__xludf.DUMMYFUNCTION("if(and(I62&lt;&gt;0,I62&lt;&gt;""""),I62/GOOGLEFINANCE(C62,""price"")-1,"""")"),"")</f>
        <v/>
      </c>
      <c r="H62" s="664"/>
      <c r="I62" s="665"/>
      <c r="J62" s="660"/>
      <c r="K62" s="660"/>
      <c r="L62" s="660"/>
      <c r="M62" s="660"/>
      <c r="N62" s="660"/>
      <c r="O62" s="660"/>
      <c r="P62" s="660"/>
      <c r="Q62" s="660"/>
      <c r="R62" s="660"/>
      <c r="S62" s="660"/>
      <c r="T62" s="660"/>
      <c r="U62" s="666"/>
      <c r="V62" s="651"/>
      <c r="W62" s="667"/>
      <c r="X62" s="668"/>
      <c r="Y62" s="668"/>
      <c r="Z62" s="668"/>
      <c r="AA62" s="668"/>
      <c r="AB62" s="668"/>
      <c r="AC62" s="668"/>
      <c r="AD62" s="668"/>
      <c r="AE62" s="668"/>
      <c r="AF62" s="668"/>
      <c r="AG62" s="668"/>
      <c r="AH62" s="668"/>
      <c r="AI62" s="668"/>
      <c r="AJ62" s="668"/>
      <c r="AK62" s="668"/>
      <c r="AL62" s="668"/>
      <c r="AM62" s="668"/>
      <c r="AN62" s="668"/>
      <c r="AO62" s="668"/>
      <c r="AP62" s="668"/>
      <c r="AQ62" s="668"/>
      <c r="AR62" s="668"/>
      <c r="AS62" s="668"/>
      <c r="AT62" s="668"/>
      <c r="AU62" s="668"/>
      <c r="AV62" s="668"/>
      <c r="AW62" s="668"/>
      <c r="AX62" s="668"/>
      <c r="AY62" s="668"/>
      <c r="AZ62" s="668"/>
      <c r="BA62" s="668"/>
      <c r="BB62" s="668"/>
      <c r="BC62" s="668"/>
      <c r="BD62" s="668"/>
      <c r="BE62" s="668"/>
      <c r="BF62" s="668"/>
      <c r="BG62" s="668"/>
      <c r="BH62" s="668"/>
      <c r="BI62" s="668"/>
      <c r="BJ62" s="668"/>
      <c r="BK62" s="668"/>
      <c r="BL62" s="668"/>
      <c r="BM62" s="668"/>
      <c r="BN62" s="668"/>
      <c r="BO62" s="668"/>
      <c r="BP62" s="668"/>
      <c r="BQ62" s="668"/>
      <c r="BR62" s="668"/>
      <c r="BS62" s="668"/>
      <c r="BT62" s="668"/>
      <c r="BU62" s="668"/>
      <c r="BV62" s="668"/>
      <c r="BW62" s="668"/>
      <c r="BX62" s="668"/>
      <c r="BY62" s="668"/>
      <c r="BZ62" s="668"/>
      <c r="CA62" s="668"/>
      <c r="CB62" s="668"/>
      <c r="CC62" s="668"/>
      <c r="CD62" s="668"/>
      <c r="CE62" s="668"/>
      <c r="CF62" s="668"/>
      <c r="CG62" s="668"/>
      <c r="CH62" s="668"/>
      <c r="CI62" s="668"/>
      <c r="CJ62" s="668"/>
      <c r="CK62" s="668"/>
      <c r="CL62" s="668"/>
      <c r="CM62" s="668"/>
      <c r="CN62" s="668"/>
      <c r="CO62" s="668"/>
      <c r="CP62" s="668"/>
      <c r="CQ62" s="668"/>
      <c r="CR62" s="668"/>
      <c r="CS62" s="668"/>
      <c r="CT62" s="668"/>
      <c r="CU62" s="668"/>
      <c r="CV62" s="668"/>
      <c r="CW62" s="668"/>
      <c r="CX62" s="668"/>
      <c r="CY62" s="668"/>
      <c r="CZ62" s="668"/>
      <c r="DA62" s="668"/>
      <c r="DB62" s="668"/>
      <c r="DC62" s="668"/>
      <c r="DD62" s="668"/>
      <c r="DE62" s="668"/>
      <c r="DF62" s="668"/>
      <c r="DG62" s="668"/>
      <c r="DH62" s="668"/>
      <c r="DI62" s="668"/>
      <c r="DJ62" s="668"/>
      <c r="DK62" s="668"/>
      <c r="DL62" s="668"/>
      <c r="DM62" s="668"/>
      <c r="DN62" s="668"/>
      <c r="DO62" s="668"/>
      <c r="DP62" s="668"/>
      <c r="DQ62" s="668"/>
      <c r="DR62" s="668"/>
      <c r="DS62" s="668"/>
      <c r="DT62" s="668"/>
      <c r="DU62" s="668"/>
      <c r="DV62" s="668"/>
      <c r="DW62" s="668"/>
      <c r="DX62" s="668"/>
    </row>
    <row r="63" ht="15.0" customHeight="1">
      <c r="A63" s="669">
        <v>42313.0</v>
      </c>
      <c r="B63" s="670" t="s">
        <v>2028</v>
      </c>
      <c r="C63" s="671" t="s">
        <v>2029</v>
      </c>
      <c r="D63" s="672"/>
      <c r="E63" s="673" t="str">
        <f>IFERROR(__xludf.DUMMYFUNCTION("if(and(D63&lt;&gt;0,D63&lt;&gt;""""),D63/GOOGLEFINANCE(C63,""price"")-1,"""")"),"")</f>
        <v/>
      </c>
      <c r="F63" s="674" t="str">
        <f>IFERROR(__xludf.DUMMYFUNCTION("GOOGLEFINANCE(C63,""price"")"),"#N/A")</f>
        <v>#N/A</v>
      </c>
      <c r="G63" s="673" t="str">
        <f>IFERROR(__xludf.DUMMYFUNCTION("if(and(I63&lt;&gt;0,I63&lt;&gt;""""),I63/GOOGLEFINANCE(C63,""price"")-1,"""")"),"#N/A")</f>
        <v>#N/A</v>
      </c>
      <c r="H63" s="675"/>
      <c r="I63" s="676">
        <v>1.0</v>
      </c>
      <c r="J63" s="672"/>
      <c r="K63" s="672"/>
      <c r="L63" s="672"/>
      <c r="M63" s="672"/>
      <c r="N63" s="672"/>
      <c r="O63" s="672"/>
      <c r="P63" s="670"/>
      <c r="Q63" s="670"/>
      <c r="R63" s="670"/>
      <c r="S63" s="670"/>
      <c r="T63" s="670"/>
      <c r="U63" s="677" t="s">
        <v>2032</v>
      </c>
      <c r="V63" s="614"/>
      <c r="W63" s="677"/>
      <c r="X63" s="677"/>
      <c r="Y63" s="677"/>
      <c r="Z63" s="677"/>
      <c r="AA63" s="677"/>
      <c r="AB63" s="677"/>
      <c r="AC63" s="677"/>
      <c r="AD63" s="677"/>
      <c r="AE63" s="677"/>
      <c r="AF63" s="677"/>
      <c r="AG63" s="677"/>
      <c r="AH63" s="677"/>
      <c r="AI63" s="677"/>
      <c r="AJ63" s="677"/>
      <c r="AK63" s="677"/>
      <c r="AL63" s="677"/>
      <c r="AM63" s="677"/>
      <c r="AN63" s="677"/>
      <c r="AO63" s="677"/>
      <c r="AP63" s="677"/>
      <c r="AQ63" s="677"/>
      <c r="AR63" s="677"/>
      <c r="AS63" s="677"/>
      <c r="AT63" s="677"/>
      <c r="AU63" s="677"/>
      <c r="AV63" s="677"/>
      <c r="AW63" s="677"/>
      <c r="AX63" s="677"/>
      <c r="AY63" s="677"/>
      <c r="AZ63" s="677"/>
      <c r="BA63" s="677"/>
      <c r="BB63" s="677"/>
      <c r="BC63" s="677"/>
      <c r="BD63" s="677"/>
      <c r="BE63" s="677"/>
      <c r="BF63" s="677"/>
      <c r="BG63" s="677"/>
      <c r="BH63" s="677"/>
      <c r="BI63" s="677"/>
      <c r="BJ63" s="677"/>
      <c r="BK63" s="677"/>
      <c r="BL63" s="677"/>
      <c r="BM63" s="677"/>
      <c r="BN63" s="677"/>
      <c r="BO63" s="677"/>
      <c r="BP63" s="677"/>
      <c r="BQ63" s="677"/>
      <c r="BR63" s="677"/>
      <c r="BS63" s="677"/>
      <c r="BT63" s="677"/>
      <c r="BU63" s="677"/>
      <c r="BV63" s="677"/>
      <c r="BW63" s="677"/>
      <c r="BX63" s="677"/>
      <c r="BY63" s="677"/>
      <c r="BZ63" s="677"/>
      <c r="CA63" s="677"/>
      <c r="CB63" s="677"/>
      <c r="CC63" s="677"/>
      <c r="CD63" s="677"/>
      <c r="CE63" s="677"/>
      <c r="CF63" s="677"/>
      <c r="CG63" s="677"/>
      <c r="CH63" s="677"/>
      <c r="CI63" s="677"/>
      <c r="CJ63" s="677"/>
      <c r="CK63" s="677"/>
      <c r="CL63" s="677"/>
      <c r="CM63" s="677"/>
      <c r="CN63" s="677"/>
      <c r="CO63" s="677"/>
      <c r="CP63" s="677"/>
      <c r="CQ63" s="677"/>
      <c r="CR63" s="677"/>
      <c r="CS63" s="677"/>
      <c r="CT63" s="677"/>
      <c r="CU63" s="677"/>
      <c r="CV63" s="677"/>
      <c r="CW63" s="677"/>
      <c r="CX63" s="677"/>
      <c r="CY63" s="677"/>
      <c r="CZ63" s="677"/>
      <c r="DA63" s="677"/>
      <c r="DB63" s="677"/>
      <c r="DC63" s="677"/>
      <c r="DD63" s="677"/>
      <c r="DE63" s="677"/>
      <c r="DF63" s="677"/>
      <c r="DG63" s="677"/>
      <c r="DH63" s="677"/>
      <c r="DI63" s="677"/>
      <c r="DJ63" s="677"/>
      <c r="DK63" s="677"/>
      <c r="DL63" s="677"/>
      <c r="DM63" s="677"/>
      <c r="DN63" s="677"/>
      <c r="DO63" s="677"/>
      <c r="DP63" s="677"/>
      <c r="DQ63" s="677"/>
      <c r="DR63" s="677"/>
      <c r="DS63" s="677"/>
      <c r="DT63" s="677"/>
      <c r="DU63" s="677"/>
      <c r="DV63" s="677"/>
      <c r="DW63" s="677"/>
      <c r="DX63" s="677"/>
    </row>
    <row r="64" ht="15.0" customHeight="1">
      <c r="A64" s="611">
        <v>42408.0</v>
      </c>
      <c r="B64" s="588" t="s">
        <v>2034</v>
      </c>
      <c r="C64" s="612" t="s">
        <v>2035</v>
      </c>
      <c r="D64" s="588">
        <v>11.25</v>
      </c>
      <c r="E64" s="589">
        <f>IFERROR(__xludf.DUMMYFUNCTION("if(and(D64&lt;&gt;0,D64&lt;&gt;""""),D64/GOOGLEFINANCE(C64,""price"")-1,"""")"),1.3936170212765955)</f>
        <v>1.393617021</v>
      </c>
      <c r="F64" s="590">
        <f>IFERROR(__xludf.DUMMYFUNCTION("GOOGLEFINANCE(C64,""price"")"),4.7)</f>
        <v>4.7</v>
      </c>
      <c r="G64" s="589">
        <f>IFERROR(__xludf.DUMMYFUNCTION("if(and(I64&lt;&gt;0,I64&lt;&gt;""""),I64/GOOGLEFINANCE(C64,""price"")-1,"""")"),-0.7872340425531915)</f>
        <v>-0.7872340426</v>
      </c>
      <c r="H64" s="591"/>
      <c r="I64" s="592">
        <v>1.0</v>
      </c>
      <c r="J64" s="586"/>
      <c r="K64" s="586"/>
      <c r="L64" s="586"/>
      <c r="M64" s="586"/>
      <c r="N64" s="586"/>
      <c r="O64" s="586"/>
      <c r="P64" s="586"/>
      <c r="Q64" s="586"/>
      <c r="R64" s="586"/>
      <c r="S64" s="586"/>
      <c r="T64" s="586"/>
      <c r="U64" s="603" t="s">
        <v>2036</v>
      </c>
      <c r="V64" s="604"/>
      <c r="W64" s="605"/>
      <c r="X64" s="606"/>
      <c r="Y64" s="606"/>
      <c r="Z64" s="606"/>
      <c r="AA64" s="606"/>
      <c r="AB64" s="606"/>
      <c r="AC64" s="606"/>
      <c r="AD64" s="606"/>
      <c r="AE64" s="606"/>
      <c r="AF64" s="606"/>
      <c r="AG64" s="606"/>
      <c r="AH64" s="606"/>
      <c r="AI64" s="606"/>
      <c r="AJ64" s="606"/>
      <c r="AK64" s="606"/>
      <c r="AL64" s="606"/>
      <c r="AM64" s="606"/>
      <c r="AN64" s="606"/>
      <c r="AO64" s="606"/>
      <c r="AP64" s="606"/>
      <c r="AQ64" s="606"/>
      <c r="AR64" s="606"/>
      <c r="AS64" s="606"/>
      <c r="AT64" s="606"/>
      <c r="AU64" s="606"/>
      <c r="AV64" s="606"/>
      <c r="AW64" s="606"/>
      <c r="AX64" s="606"/>
      <c r="AY64" s="606"/>
      <c r="AZ64" s="606"/>
      <c r="BA64" s="606"/>
      <c r="BB64" s="606"/>
      <c r="BC64" s="606"/>
      <c r="BD64" s="606"/>
      <c r="BE64" s="606"/>
      <c r="BF64" s="606"/>
      <c r="BG64" s="606"/>
      <c r="BH64" s="606"/>
      <c r="BI64" s="606"/>
      <c r="BJ64" s="606"/>
      <c r="BK64" s="606"/>
      <c r="BL64" s="606"/>
      <c r="BM64" s="606"/>
      <c r="BN64" s="606"/>
      <c r="BO64" s="606"/>
      <c r="BP64" s="606"/>
      <c r="BQ64" s="606"/>
      <c r="BR64" s="606"/>
      <c r="BS64" s="606"/>
      <c r="BT64" s="606"/>
      <c r="BU64" s="606"/>
      <c r="BV64" s="606"/>
      <c r="BW64" s="606"/>
      <c r="BX64" s="606"/>
      <c r="BY64" s="606"/>
      <c r="BZ64" s="606"/>
      <c r="CA64" s="606"/>
      <c r="CB64" s="606"/>
      <c r="CC64" s="606"/>
      <c r="CD64" s="606"/>
      <c r="CE64" s="606"/>
      <c r="CF64" s="606"/>
      <c r="CG64" s="606"/>
      <c r="CH64" s="606"/>
      <c r="CI64" s="606"/>
      <c r="CJ64" s="606"/>
      <c r="CK64" s="606"/>
      <c r="CL64" s="606"/>
      <c r="CM64" s="606"/>
      <c r="CN64" s="606"/>
      <c r="CO64" s="606"/>
      <c r="CP64" s="606"/>
      <c r="CQ64" s="606"/>
      <c r="CR64" s="606"/>
      <c r="CS64" s="606"/>
      <c r="CT64" s="606"/>
      <c r="CU64" s="606"/>
      <c r="CV64" s="606"/>
      <c r="CW64" s="606"/>
      <c r="CX64" s="606"/>
      <c r="CY64" s="606"/>
      <c r="CZ64" s="606"/>
      <c r="DA64" s="606"/>
      <c r="DB64" s="606"/>
      <c r="DC64" s="606"/>
      <c r="DD64" s="606"/>
      <c r="DE64" s="606"/>
      <c r="DF64" s="606"/>
      <c r="DG64" s="606"/>
      <c r="DH64" s="606"/>
      <c r="DI64" s="606"/>
      <c r="DJ64" s="606"/>
      <c r="DK64" s="606"/>
      <c r="DL64" s="606"/>
      <c r="DM64" s="606"/>
      <c r="DN64" s="606"/>
      <c r="DO64" s="606"/>
      <c r="DP64" s="606"/>
      <c r="DQ64" s="606"/>
      <c r="DR64" s="606"/>
      <c r="DS64" s="606"/>
      <c r="DT64" s="606"/>
      <c r="DU64" s="606"/>
      <c r="DV64" s="606"/>
      <c r="DW64" s="606"/>
      <c r="DX64" s="606"/>
    </row>
    <row r="65" ht="15.0" customHeight="1">
      <c r="A65" s="574">
        <v>40850.0</v>
      </c>
      <c r="B65" s="575" t="s">
        <v>2038</v>
      </c>
      <c r="C65" s="576" t="s">
        <v>2039</v>
      </c>
      <c r="D65" s="575"/>
      <c r="E65" s="577" t="str">
        <f>IFERROR(__xludf.DUMMYFUNCTION("if(and(D65&lt;&gt;0,D65&lt;&gt;""""),D65/GOOGLEFINANCE(C65,""price"")-1,"""")"),"")</f>
        <v/>
      </c>
      <c r="F65" s="578" t="str">
        <f>IFERROR(__xludf.DUMMYFUNCTION("GOOGLEFINANCE(C65,""price"")"),"#N/A")</f>
        <v>#N/A</v>
      </c>
      <c r="G65" s="577" t="str">
        <f>IFERROR(__xludf.DUMMYFUNCTION("if(and(I65&lt;&gt;0,I65&lt;&gt;""""),I65/GOOGLEFINANCE(C65,""price"")-1,"""")"),"#N/A")</f>
        <v>#N/A</v>
      </c>
      <c r="H65" s="579"/>
      <c r="I65" s="580">
        <v>10.0</v>
      </c>
      <c r="J65" s="575"/>
      <c r="K65" s="575"/>
      <c r="L65" s="575"/>
      <c r="M65" s="575"/>
      <c r="N65" s="575"/>
      <c r="O65" s="575"/>
      <c r="P65" s="575"/>
      <c r="Q65" s="575"/>
      <c r="R65" s="575"/>
      <c r="S65" s="575"/>
      <c r="T65" s="575"/>
      <c r="U65" s="581" t="s">
        <v>2041</v>
      </c>
      <c r="V65" s="582"/>
      <c r="W65" s="583"/>
      <c r="X65" s="584"/>
      <c r="Y65" s="584"/>
      <c r="Z65" s="584"/>
      <c r="AA65" s="584"/>
      <c r="AB65" s="584"/>
      <c r="AC65" s="584"/>
      <c r="AD65" s="584"/>
      <c r="AE65" s="584"/>
      <c r="AF65" s="584"/>
      <c r="AG65" s="584"/>
      <c r="AH65" s="584"/>
      <c r="AI65" s="584"/>
      <c r="AJ65" s="584"/>
      <c r="AK65" s="584"/>
      <c r="AL65" s="584"/>
      <c r="AM65" s="584"/>
      <c r="AN65" s="584"/>
      <c r="AO65" s="584"/>
      <c r="AP65" s="584"/>
      <c r="AQ65" s="584"/>
      <c r="AR65" s="584"/>
      <c r="AS65" s="584"/>
      <c r="AT65" s="584"/>
      <c r="AU65" s="584"/>
      <c r="AV65" s="584"/>
      <c r="AW65" s="584"/>
      <c r="AX65" s="584"/>
      <c r="AY65" s="584"/>
      <c r="AZ65" s="584"/>
      <c r="BA65" s="584"/>
      <c r="BB65" s="584"/>
      <c r="BC65" s="584"/>
      <c r="BD65" s="584"/>
      <c r="BE65" s="584"/>
      <c r="BF65" s="584"/>
      <c r="BG65" s="584"/>
      <c r="BH65" s="584"/>
      <c r="BI65" s="584"/>
      <c r="BJ65" s="584"/>
      <c r="BK65" s="584"/>
      <c r="BL65" s="584"/>
      <c r="BM65" s="584"/>
      <c r="BN65" s="584"/>
      <c r="BO65" s="584"/>
      <c r="BP65" s="584"/>
      <c r="BQ65" s="584"/>
      <c r="BR65" s="584"/>
      <c r="BS65" s="584"/>
      <c r="BT65" s="584"/>
      <c r="BU65" s="584"/>
      <c r="BV65" s="584"/>
      <c r="BW65" s="584"/>
      <c r="BX65" s="584"/>
      <c r="BY65" s="584"/>
      <c r="BZ65" s="584"/>
      <c r="CA65" s="584"/>
      <c r="CB65" s="584"/>
      <c r="CC65" s="584"/>
      <c r="CD65" s="584"/>
      <c r="CE65" s="584"/>
      <c r="CF65" s="584"/>
      <c r="CG65" s="584"/>
      <c r="CH65" s="584"/>
      <c r="CI65" s="584"/>
      <c r="CJ65" s="584"/>
      <c r="CK65" s="584"/>
      <c r="CL65" s="584"/>
      <c r="CM65" s="584"/>
      <c r="CN65" s="584"/>
      <c r="CO65" s="584"/>
      <c r="CP65" s="584"/>
      <c r="CQ65" s="584"/>
      <c r="CR65" s="584"/>
      <c r="CS65" s="584"/>
      <c r="CT65" s="584"/>
      <c r="CU65" s="584"/>
      <c r="CV65" s="584"/>
      <c r="CW65" s="584"/>
      <c r="CX65" s="584"/>
      <c r="CY65" s="584"/>
      <c r="CZ65" s="584"/>
      <c r="DA65" s="584"/>
      <c r="DB65" s="584"/>
      <c r="DC65" s="584"/>
      <c r="DD65" s="584"/>
      <c r="DE65" s="584"/>
      <c r="DF65" s="584"/>
      <c r="DG65" s="584"/>
      <c r="DH65" s="584"/>
      <c r="DI65" s="584"/>
      <c r="DJ65" s="584"/>
      <c r="DK65" s="584"/>
      <c r="DL65" s="584"/>
      <c r="DM65" s="584"/>
      <c r="DN65" s="584"/>
      <c r="DO65" s="584"/>
      <c r="DP65" s="584"/>
      <c r="DQ65" s="584"/>
      <c r="DR65" s="584"/>
      <c r="DS65" s="584"/>
      <c r="DT65" s="584"/>
      <c r="DU65" s="584"/>
      <c r="DV65" s="584"/>
      <c r="DW65" s="584"/>
      <c r="DX65" s="584"/>
    </row>
    <row r="66" ht="15.0" customHeight="1">
      <c r="A66" s="607">
        <v>42401.0</v>
      </c>
      <c r="B66" s="608" t="s">
        <v>2042</v>
      </c>
      <c r="C66" s="609" t="s">
        <v>2043</v>
      </c>
      <c r="D66" s="608">
        <v>31.0</v>
      </c>
      <c r="E66" s="577">
        <f>IFERROR(__xludf.DUMMYFUNCTION("if(and(D66&lt;&gt;0,D66&lt;&gt;""""),D66/GOOGLEFINANCE(C66,""price"")-1,"""")"),-0.41019786910197875)</f>
        <v>-0.4101978691</v>
      </c>
      <c r="F66" s="578">
        <f>IFERROR(__xludf.DUMMYFUNCTION("GOOGLEFINANCE(C66,""price"")"),52.56)</f>
        <v>52.56</v>
      </c>
      <c r="G66" s="577">
        <f>IFERROR(__xludf.DUMMYFUNCTION("if(and(I66&lt;&gt;0,I66&lt;&gt;""""),I66/GOOGLEFINANCE(C66,""price"")-1,"""")"),-0.9048706240487062)</f>
        <v>-0.904870624</v>
      </c>
      <c r="H66" s="579"/>
      <c r="I66" s="610">
        <v>5.0</v>
      </c>
      <c r="J66" s="575"/>
      <c r="K66" s="575"/>
      <c r="L66" s="575"/>
      <c r="M66" s="575"/>
      <c r="N66" s="575"/>
      <c r="O66" s="575"/>
      <c r="P66" s="575"/>
      <c r="Q66" s="575"/>
      <c r="R66" s="575"/>
      <c r="S66" s="575"/>
      <c r="T66" s="575"/>
      <c r="U66" s="581" t="s">
        <v>2036</v>
      </c>
      <c r="V66" s="582"/>
      <c r="W66" s="583"/>
      <c r="X66" s="584"/>
      <c r="Y66" s="584"/>
      <c r="Z66" s="584"/>
      <c r="AA66" s="584"/>
      <c r="AB66" s="584"/>
      <c r="AC66" s="584"/>
      <c r="AD66" s="584"/>
      <c r="AE66" s="584"/>
      <c r="AF66" s="584"/>
      <c r="AG66" s="584"/>
      <c r="AH66" s="584"/>
      <c r="AI66" s="584"/>
      <c r="AJ66" s="584"/>
      <c r="AK66" s="584"/>
      <c r="AL66" s="584"/>
      <c r="AM66" s="584"/>
      <c r="AN66" s="584"/>
      <c r="AO66" s="584"/>
      <c r="AP66" s="584"/>
      <c r="AQ66" s="584"/>
      <c r="AR66" s="584"/>
      <c r="AS66" s="584"/>
      <c r="AT66" s="584"/>
      <c r="AU66" s="584"/>
      <c r="AV66" s="584"/>
      <c r="AW66" s="584"/>
      <c r="AX66" s="584"/>
      <c r="AY66" s="584"/>
      <c r="AZ66" s="584"/>
      <c r="BA66" s="584"/>
      <c r="BB66" s="584"/>
      <c r="BC66" s="584"/>
      <c r="BD66" s="584"/>
      <c r="BE66" s="584"/>
      <c r="BF66" s="584"/>
      <c r="BG66" s="584"/>
      <c r="BH66" s="584"/>
      <c r="BI66" s="584"/>
      <c r="BJ66" s="584"/>
      <c r="BK66" s="584"/>
      <c r="BL66" s="584"/>
      <c r="BM66" s="584"/>
      <c r="BN66" s="584"/>
      <c r="BO66" s="584"/>
      <c r="BP66" s="584"/>
      <c r="BQ66" s="584"/>
      <c r="BR66" s="584"/>
      <c r="BS66" s="584"/>
      <c r="BT66" s="584"/>
      <c r="BU66" s="584"/>
      <c r="BV66" s="584"/>
      <c r="BW66" s="584"/>
      <c r="BX66" s="584"/>
      <c r="BY66" s="584"/>
      <c r="BZ66" s="584"/>
      <c r="CA66" s="584"/>
      <c r="CB66" s="584"/>
      <c r="CC66" s="584"/>
      <c r="CD66" s="584"/>
      <c r="CE66" s="584"/>
      <c r="CF66" s="584"/>
      <c r="CG66" s="584"/>
      <c r="CH66" s="584"/>
      <c r="CI66" s="584"/>
      <c r="CJ66" s="584"/>
      <c r="CK66" s="584"/>
      <c r="CL66" s="584"/>
      <c r="CM66" s="584"/>
      <c r="CN66" s="584"/>
      <c r="CO66" s="584"/>
      <c r="CP66" s="584"/>
      <c r="CQ66" s="584"/>
      <c r="CR66" s="584"/>
      <c r="CS66" s="584"/>
      <c r="CT66" s="584"/>
      <c r="CU66" s="584"/>
      <c r="CV66" s="584"/>
      <c r="CW66" s="584"/>
      <c r="CX66" s="584"/>
      <c r="CY66" s="584"/>
      <c r="CZ66" s="584"/>
      <c r="DA66" s="584"/>
      <c r="DB66" s="584"/>
      <c r="DC66" s="584"/>
      <c r="DD66" s="584"/>
      <c r="DE66" s="584"/>
      <c r="DF66" s="584"/>
      <c r="DG66" s="584"/>
      <c r="DH66" s="584"/>
      <c r="DI66" s="584"/>
      <c r="DJ66" s="584"/>
      <c r="DK66" s="584"/>
      <c r="DL66" s="584"/>
      <c r="DM66" s="584"/>
      <c r="DN66" s="584"/>
      <c r="DO66" s="584"/>
      <c r="DP66" s="584"/>
      <c r="DQ66" s="584"/>
      <c r="DR66" s="584"/>
      <c r="DS66" s="584"/>
      <c r="DT66" s="584"/>
      <c r="DU66" s="584"/>
      <c r="DV66" s="584"/>
      <c r="DW66" s="584"/>
      <c r="DX66" s="584"/>
    </row>
    <row r="67" ht="15.0" customHeight="1">
      <c r="A67" s="574">
        <v>41009.0</v>
      </c>
      <c r="B67" s="575" t="s">
        <v>2045</v>
      </c>
      <c r="C67" s="576" t="s">
        <v>614</v>
      </c>
      <c r="D67" s="575"/>
      <c r="E67" s="577" t="str">
        <f>IFERROR(__xludf.DUMMYFUNCTION("if(and(D67&lt;&gt;0,D67&lt;&gt;""""),D67/GOOGLEFINANCE(C67,""price"")-1,"""")"),"")</f>
        <v/>
      </c>
      <c r="F67" s="578">
        <f>IFERROR(__xludf.DUMMYFUNCTION("GOOGLEFINANCE(C67,""price"")"),4.37)</f>
        <v>4.37</v>
      </c>
      <c r="G67" s="577" t="str">
        <f>IFERROR(__xludf.DUMMYFUNCTION("if(and(I67&lt;&gt;0,I67&lt;&gt;""""),I67/GOOGLEFINANCE(C67,""price"")-1,"""")"),"")</f>
        <v/>
      </c>
      <c r="H67" s="579"/>
      <c r="I67" s="580"/>
      <c r="J67" s="575"/>
      <c r="K67" s="575"/>
      <c r="L67" s="575"/>
      <c r="M67" s="575"/>
      <c r="N67" s="575"/>
      <c r="O67" s="575"/>
      <c r="P67" s="575"/>
      <c r="Q67" s="575"/>
      <c r="R67" s="575"/>
      <c r="S67" s="575"/>
      <c r="T67" s="575"/>
      <c r="U67" s="581" t="s">
        <v>2036</v>
      </c>
      <c r="V67" s="582"/>
      <c r="W67" s="583"/>
      <c r="X67" s="584"/>
      <c r="Y67" s="584"/>
      <c r="Z67" s="584"/>
      <c r="AA67" s="584"/>
      <c r="AB67" s="584"/>
      <c r="AC67" s="584"/>
      <c r="AD67" s="584"/>
      <c r="AE67" s="584"/>
      <c r="AF67" s="584"/>
      <c r="AG67" s="584"/>
      <c r="AH67" s="584"/>
      <c r="AI67" s="584"/>
      <c r="AJ67" s="584"/>
      <c r="AK67" s="584"/>
      <c r="AL67" s="584"/>
      <c r="AM67" s="584"/>
      <c r="AN67" s="584"/>
      <c r="AO67" s="584"/>
      <c r="AP67" s="584"/>
      <c r="AQ67" s="584"/>
      <c r="AR67" s="584"/>
      <c r="AS67" s="584"/>
      <c r="AT67" s="584"/>
      <c r="AU67" s="584"/>
      <c r="AV67" s="584"/>
      <c r="AW67" s="584"/>
      <c r="AX67" s="584"/>
      <c r="AY67" s="584"/>
      <c r="AZ67" s="584"/>
      <c r="BA67" s="584"/>
      <c r="BB67" s="584"/>
      <c r="BC67" s="584"/>
      <c r="BD67" s="584"/>
      <c r="BE67" s="584"/>
      <c r="BF67" s="584"/>
      <c r="BG67" s="584"/>
      <c r="BH67" s="584"/>
      <c r="BI67" s="584"/>
      <c r="BJ67" s="584"/>
      <c r="BK67" s="584"/>
      <c r="BL67" s="584"/>
      <c r="BM67" s="584"/>
      <c r="BN67" s="584"/>
      <c r="BO67" s="584"/>
      <c r="BP67" s="584"/>
      <c r="BQ67" s="584"/>
      <c r="BR67" s="584"/>
      <c r="BS67" s="584"/>
      <c r="BT67" s="584"/>
      <c r="BU67" s="584"/>
      <c r="BV67" s="584"/>
      <c r="BW67" s="584"/>
      <c r="BX67" s="584"/>
      <c r="BY67" s="584"/>
      <c r="BZ67" s="584"/>
      <c r="CA67" s="584"/>
      <c r="CB67" s="584"/>
      <c r="CC67" s="584"/>
      <c r="CD67" s="584"/>
      <c r="CE67" s="584"/>
      <c r="CF67" s="584"/>
      <c r="CG67" s="584"/>
      <c r="CH67" s="584"/>
      <c r="CI67" s="584"/>
      <c r="CJ67" s="584"/>
      <c r="CK67" s="584"/>
      <c r="CL67" s="584"/>
      <c r="CM67" s="584"/>
      <c r="CN67" s="584"/>
      <c r="CO67" s="584"/>
      <c r="CP67" s="584"/>
      <c r="CQ67" s="584"/>
      <c r="CR67" s="584"/>
      <c r="CS67" s="584"/>
      <c r="CT67" s="584"/>
      <c r="CU67" s="584"/>
      <c r="CV67" s="584"/>
      <c r="CW67" s="584"/>
      <c r="CX67" s="584"/>
      <c r="CY67" s="584"/>
      <c r="CZ67" s="584"/>
      <c r="DA67" s="584"/>
      <c r="DB67" s="584"/>
      <c r="DC67" s="584"/>
      <c r="DD67" s="584"/>
      <c r="DE67" s="584"/>
      <c r="DF67" s="584"/>
      <c r="DG67" s="584"/>
      <c r="DH67" s="584"/>
      <c r="DI67" s="584"/>
      <c r="DJ67" s="584"/>
      <c r="DK67" s="584"/>
      <c r="DL67" s="584"/>
      <c r="DM67" s="584"/>
      <c r="DN67" s="584"/>
      <c r="DO67" s="584"/>
      <c r="DP67" s="584"/>
      <c r="DQ67" s="584"/>
      <c r="DR67" s="584"/>
      <c r="DS67" s="584"/>
      <c r="DT67" s="584"/>
      <c r="DU67" s="584"/>
      <c r="DV67" s="584"/>
      <c r="DW67" s="584"/>
      <c r="DX67" s="584"/>
    </row>
    <row r="68" ht="15.0" customHeight="1">
      <c r="A68" s="607">
        <v>41979.0</v>
      </c>
      <c r="B68" s="608" t="s">
        <v>2047</v>
      </c>
      <c r="C68" s="609" t="s">
        <v>2048</v>
      </c>
      <c r="D68" s="608">
        <v>7.5</v>
      </c>
      <c r="E68" s="577">
        <f>IFERROR(__xludf.DUMMYFUNCTION("if(and(D68&lt;&gt;0,D68&lt;&gt;""""),D68/GOOGLEFINANCE(C68,""price"")-1,"""")"),2.90625)</f>
        <v>2.90625</v>
      </c>
      <c r="F68" s="578">
        <f>IFERROR(__xludf.DUMMYFUNCTION("GOOGLEFINANCE(C68,""price"")"),1.92)</f>
        <v>1.92</v>
      </c>
      <c r="G68" s="577">
        <f>IFERROR(__xludf.DUMMYFUNCTION("if(and(I68&lt;&gt;0,I68&lt;&gt;""""),I68/GOOGLEFINANCE(C68,""price"")-1,"""")"),-0.47916666666666663)</f>
        <v>-0.4791666667</v>
      </c>
      <c r="H68" s="579"/>
      <c r="I68" s="610">
        <v>1.0</v>
      </c>
      <c r="J68" s="575"/>
      <c r="K68" s="575"/>
      <c r="L68" s="575"/>
      <c r="M68" s="575"/>
      <c r="N68" s="575"/>
      <c r="O68" s="575"/>
      <c r="P68" s="608"/>
      <c r="Q68" s="608"/>
      <c r="R68" s="608"/>
      <c r="S68" s="608"/>
      <c r="T68" s="608"/>
      <c r="U68" s="613" t="s">
        <v>2049</v>
      </c>
      <c r="V68" s="614"/>
      <c r="W68" s="615"/>
      <c r="X68" s="616"/>
      <c r="Y68" s="616"/>
      <c r="Z68" s="616"/>
      <c r="AA68" s="616"/>
      <c r="AB68" s="616"/>
      <c r="AC68" s="616"/>
      <c r="AD68" s="616"/>
      <c r="AE68" s="616"/>
      <c r="AF68" s="616"/>
      <c r="AG68" s="616"/>
      <c r="AH68" s="616"/>
      <c r="AI68" s="616"/>
      <c r="AJ68" s="616"/>
      <c r="AK68" s="616"/>
      <c r="AL68" s="616"/>
      <c r="AM68" s="616"/>
      <c r="AN68" s="616"/>
      <c r="AO68" s="616"/>
      <c r="AP68" s="616"/>
      <c r="AQ68" s="616"/>
      <c r="AR68" s="616"/>
      <c r="AS68" s="616"/>
      <c r="AT68" s="616"/>
      <c r="AU68" s="616"/>
      <c r="AV68" s="616"/>
      <c r="AW68" s="616"/>
      <c r="AX68" s="616"/>
      <c r="AY68" s="616"/>
      <c r="AZ68" s="616"/>
      <c r="BA68" s="616"/>
      <c r="BB68" s="616"/>
      <c r="BC68" s="616"/>
      <c r="BD68" s="616"/>
      <c r="BE68" s="616"/>
      <c r="BF68" s="616"/>
      <c r="BG68" s="616"/>
      <c r="BH68" s="616"/>
      <c r="BI68" s="616"/>
      <c r="BJ68" s="616"/>
      <c r="BK68" s="616"/>
      <c r="BL68" s="616"/>
      <c r="BM68" s="616"/>
      <c r="BN68" s="616"/>
      <c r="BO68" s="616"/>
      <c r="BP68" s="616"/>
      <c r="BQ68" s="616"/>
      <c r="BR68" s="616"/>
      <c r="BS68" s="616"/>
      <c r="BT68" s="616"/>
      <c r="BU68" s="616"/>
      <c r="BV68" s="616"/>
      <c r="BW68" s="616"/>
      <c r="BX68" s="616"/>
      <c r="BY68" s="616"/>
      <c r="BZ68" s="616"/>
      <c r="CA68" s="616"/>
      <c r="CB68" s="616"/>
      <c r="CC68" s="616"/>
      <c r="CD68" s="616"/>
      <c r="CE68" s="616"/>
      <c r="CF68" s="616"/>
      <c r="CG68" s="616"/>
      <c r="CH68" s="616"/>
      <c r="CI68" s="616"/>
      <c r="CJ68" s="616"/>
      <c r="CK68" s="616"/>
      <c r="CL68" s="616"/>
      <c r="CM68" s="616"/>
      <c r="CN68" s="616"/>
      <c r="CO68" s="616"/>
      <c r="CP68" s="616"/>
      <c r="CQ68" s="616"/>
      <c r="CR68" s="616"/>
      <c r="CS68" s="616"/>
      <c r="CT68" s="616"/>
      <c r="CU68" s="616"/>
      <c r="CV68" s="616"/>
      <c r="CW68" s="616"/>
      <c r="CX68" s="616"/>
      <c r="CY68" s="616"/>
      <c r="CZ68" s="616"/>
      <c r="DA68" s="616"/>
      <c r="DB68" s="616"/>
      <c r="DC68" s="616"/>
      <c r="DD68" s="616"/>
      <c r="DE68" s="616"/>
      <c r="DF68" s="616"/>
      <c r="DG68" s="616"/>
      <c r="DH68" s="616"/>
      <c r="DI68" s="616"/>
      <c r="DJ68" s="616"/>
      <c r="DK68" s="616"/>
      <c r="DL68" s="616"/>
      <c r="DM68" s="616"/>
      <c r="DN68" s="616"/>
      <c r="DO68" s="616"/>
      <c r="DP68" s="616"/>
      <c r="DQ68" s="616"/>
      <c r="DR68" s="616"/>
      <c r="DS68" s="616"/>
      <c r="DT68" s="616"/>
      <c r="DU68" s="616"/>
      <c r="DV68" s="616"/>
      <c r="DW68" s="616"/>
      <c r="DX68" s="616"/>
    </row>
    <row r="69" ht="15.0" customHeight="1">
      <c r="A69" s="585">
        <v>40109.0</v>
      </c>
      <c r="B69" s="586" t="s">
        <v>2050</v>
      </c>
      <c r="C69" s="587" t="s">
        <v>2051</v>
      </c>
      <c r="D69" s="586"/>
      <c r="E69" s="589" t="str">
        <f>IFERROR(__xludf.DUMMYFUNCTION("if(and(D69&lt;&gt;0,D69&lt;&gt;""""),D69/GOOGLEFINANCE(C69,""price"")-1,"""")"),"")</f>
        <v/>
      </c>
      <c r="F69" s="590">
        <f>IFERROR(__xludf.DUMMYFUNCTION("GOOGLEFINANCE(C69,""price"")"),5.84)</f>
        <v>5.84</v>
      </c>
      <c r="G69" s="589" t="str">
        <f>IFERROR(__xludf.DUMMYFUNCTION("if(and(I69&lt;&gt;0,I69&lt;&gt;""""),I69/GOOGLEFINANCE(C69,""price"")-1,"""")"),"")</f>
        <v/>
      </c>
      <c r="H69" s="591"/>
      <c r="I69" s="602"/>
      <c r="J69" s="586"/>
      <c r="K69" s="586"/>
      <c r="L69" s="586"/>
      <c r="M69" s="586"/>
      <c r="N69" s="586"/>
      <c r="O69" s="586"/>
      <c r="P69" s="586"/>
      <c r="Q69" s="586"/>
      <c r="R69" s="586"/>
      <c r="S69" s="586"/>
      <c r="T69" s="586"/>
      <c r="U69" s="603" t="s">
        <v>2052</v>
      </c>
      <c r="V69" s="604"/>
      <c r="W69" s="605"/>
      <c r="X69" s="606"/>
      <c r="Y69" s="606"/>
      <c r="Z69" s="606"/>
      <c r="AA69" s="606"/>
      <c r="AB69" s="606"/>
      <c r="AC69" s="606"/>
      <c r="AD69" s="606"/>
      <c r="AE69" s="606"/>
      <c r="AF69" s="606"/>
      <c r="AG69" s="606"/>
      <c r="AH69" s="606"/>
      <c r="AI69" s="606"/>
      <c r="AJ69" s="606"/>
      <c r="AK69" s="606"/>
      <c r="AL69" s="606"/>
      <c r="AM69" s="606"/>
      <c r="AN69" s="606"/>
      <c r="AO69" s="606"/>
      <c r="AP69" s="606"/>
      <c r="AQ69" s="606"/>
      <c r="AR69" s="606"/>
      <c r="AS69" s="606"/>
      <c r="AT69" s="606"/>
      <c r="AU69" s="606"/>
      <c r="AV69" s="606"/>
      <c r="AW69" s="606"/>
      <c r="AX69" s="606"/>
      <c r="AY69" s="606"/>
      <c r="AZ69" s="606"/>
      <c r="BA69" s="606"/>
      <c r="BB69" s="606"/>
      <c r="BC69" s="606"/>
      <c r="BD69" s="606"/>
      <c r="BE69" s="606"/>
      <c r="BF69" s="606"/>
      <c r="BG69" s="606"/>
      <c r="BH69" s="606"/>
      <c r="BI69" s="606"/>
      <c r="BJ69" s="606"/>
      <c r="BK69" s="606"/>
      <c r="BL69" s="606"/>
      <c r="BM69" s="606"/>
      <c r="BN69" s="606"/>
      <c r="BO69" s="606"/>
      <c r="BP69" s="606"/>
      <c r="BQ69" s="606"/>
      <c r="BR69" s="606"/>
      <c r="BS69" s="606"/>
      <c r="BT69" s="606"/>
      <c r="BU69" s="606"/>
      <c r="BV69" s="606"/>
      <c r="BW69" s="606"/>
      <c r="BX69" s="606"/>
      <c r="BY69" s="606"/>
      <c r="BZ69" s="606"/>
      <c r="CA69" s="606"/>
      <c r="CB69" s="606"/>
      <c r="CC69" s="606"/>
      <c r="CD69" s="606"/>
      <c r="CE69" s="606"/>
      <c r="CF69" s="606"/>
      <c r="CG69" s="606"/>
      <c r="CH69" s="606"/>
      <c r="CI69" s="606"/>
      <c r="CJ69" s="606"/>
      <c r="CK69" s="606"/>
      <c r="CL69" s="606"/>
      <c r="CM69" s="606"/>
      <c r="CN69" s="606"/>
      <c r="CO69" s="606"/>
      <c r="CP69" s="606"/>
      <c r="CQ69" s="606"/>
      <c r="CR69" s="606"/>
      <c r="CS69" s="606"/>
      <c r="CT69" s="606"/>
      <c r="CU69" s="606"/>
      <c r="CV69" s="606"/>
      <c r="CW69" s="606"/>
      <c r="CX69" s="606"/>
      <c r="CY69" s="606"/>
      <c r="CZ69" s="606"/>
      <c r="DA69" s="606"/>
      <c r="DB69" s="606"/>
      <c r="DC69" s="606"/>
      <c r="DD69" s="606"/>
      <c r="DE69" s="606"/>
      <c r="DF69" s="606"/>
      <c r="DG69" s="606"/>
      <c r="DH69" s="606"/>
      <c r="DI69" s="606"/>
      <c r="DJ69" s="606"/>
      <c r="DK69" s="606"/>
      <c r="DL69" s="606"/>
      <c r="DM69" s="606"/>
      <c r="DN69" s="606"/>
      <c r="DO69" s="606"/>
      <c r="DP69" s="606"/>
      <c r="DQ69" s="606"/>
      <c r="DR69" s="606"/>
      <c r="DS69" s="606"/>
      <c r="DT69" s="606"/>
      <c r="DU69" s="606"/>
      <c r="DV69" s="606"/>
      <c r="DW69" s="606"/>
      <c r="DX69" s="606"/>
    </row>
    <row r="70" ht="15.0" customHeight="1">
      <c r="A70" s="574">
        <v>40875.0</v>
      </c>
      <c r="B70" s="575" t="s">
        <v>2053</v>
      </c>
      <c r="C70" s="576" t="s">
        <v>2054</v>
      </c>
      <c r="D70" s="575"/>
      <c r="E70" s="577" t="str">
        <f>IFERROR(__xludf.DUMMYFUNCTION("if(and(D70&lt;&gt;0,D70&lt;&gt;""""),D70/GOOGLEFINANCE(C70,""price"")-1,"""")"),"")</f>
        <v/>
      </c>
      <c r="F70" s="578">
        <f>IFERROR(__xludf.DUMMYFUNCTION("GOOGLEFINANCE(C70,""price"")"),40.55)</f>
        <v>40.55</v>
      </c>
      <c r="G70" s="577" t="str">
        <f>IFERROR(__xludf.DUMMYFUNCTION("if(and(I70&lt;&gt;0,I70&lt;&gt;""""),I70/GOOGLEFINANCE(C70,""price"")-1,"""")"),"")</f>
        <v/>
      </c>
      <c r="H70" s="579"/>
      <c r="I70" s="580"/>
      <c r="J70" s="575"/>
      <c r="K70" s="575"/>
      <c r="L70" s="575"/>
      <c r="M70" s="575"/>
      <c r="N70" s="575"/>
      <c r="O70" s="575"/>
      <c r="P70" s="575"/>
      <c r="Q70" s="575"/>
      <c r="R70" s="575"/>
      <c r="S70" s="575"/>
      <c r="T70" s="575"/>
      <c r="U70" s="581"/>
      <c r="V70" s="582"/>
      <c r="W70" s="583"/>
      <c r="X70" s="584"/>
      <c r="Y70" s="584"/>
      <c r="Z70" s="584"/>
      <c r="AA70" s="584"/>
      <c r="AB70" s="584"/>
      <c r="AC70" s="584"/>
      <c r="AD70" s="584"/>
      <c r="AE70" s="584"/>
      <c r="AF70" s="584"/>
      <c r="AG70" s="584"/>
      <c r="AH70" s="584"/>
      <c r="AI70" s="584"/>
      <c r="AJ70" s="584"/>
      <c r="AK70" s="584"/>
      <c r="AL70" s="584"/>
      <c r="AM70" s="584"/>
      <c r="AN70" s="584"/>
      <c r="AO70" s="584"/>
      <c r="AP70" s="584"/>
      <c r="AQ70" s="584"/>
      <c r="AR70" s="584"/>
      <c r="AS70" s="584"/>
      <c r="AT70" s="584"/>
      <c r="AU70" s="584"/>
      <c r="AV70" s="584"/>
      <c r="AW70" s="584"/>
      <c r="AX70" s="584"/>
      <c r="AY70" s="584"/>
      <c r="AZ70" s="584"/>
      <c r="BA70" s="584"/>
      <c r="BB70" s="584"/>
      <c r="BC70" s="584"/>
      <c r="BD70" s="584"/>
      <c r="BE70" s="584"/>
      <c r="BF70" s="584"/>
      <c r="BG70" s="584"/>
      <c r="BH70" s="584"/>
      <c r="BI70" s="584"/>
      <c r="BJ70" s="584"/>
      <c r="BK70" s="584"/>
      <c r="BL70" s="584"/>
      <c r="BM70" s="584"/>
      <c r="BN70" s="584"/>
      <c r="BO70" s="584"/>
      <c r="BP70" s="584"/>
      <c r="BQ70" s="584"/>
      <c r="BR70" s="584"/>
      <c r="BS70" s="584"/>
      <c r="BT70" s="584"/>
      <c r="BU70" s="584"/>
      <c r="BV70" s="584"/>
      <c r="BW70" s="584"/>
      <c r="BX70" s="584"/>
      <c r="BY70" s="584"/>
      <c r="BZ70" s="584"/>
      <c r="CA70" s="584"/>
      <c r="CB70" s="584"/>
      <c r="CC70" s="584"/>
      <c r="CD70" s="584"/>
      <c r="CE70" s="584"/>
      <c r="CF70" s="584"/>
      <c r="CG70" s="584"/>
      <c r="CH70" s="584"/>
      <c r="CI70" s="584"/>
      <c r="CJ70" s="584"/>
      <c r="CK70" s="584"/>
      <c r="CL70" s="584"/>
      <c r="CM70" s="584"/>
      <c r="CN70" s="584"/>
      <c r="CO70" s="584"/>
      <c r="CP70" s="584"/>
      <c r="CQ70" s="584"/>
      <c r="CR70" s="584"/>
      <c r="CS70" s="584"/>
      <c r="CT70" s="584"/>
      <c r="CU70" s="584"/>
      <c r="CV70" s="584"/>
      <c r="CW70" s="584"/>
      <c r="CX70" s="584"/>
      <c r="CY70" s="584"/>
      <c r="CZ70" s="584"/>
      <c r="DA70" s="584"/>
      <c r="DB70" s="584"/>
      <c r="DC70" s="584"/>
      <c r="DD70" s="584"/>
      <c r="DE70" s="584"/>
      <c r="DF70" s="584"/>
      <c r="DG70" s="584"/>
      <c r="DH70" s="584"/>
      <c r="DI70" s="584"/>
      <c r="DJ70" s="584"/>
      <c r="DK70" s="584"/>
      <c r="DL70" s="584"/>
      <c r="DM70" s="584"/>
      <c r="DN70" s="584"/>
      <c r="DO70" s="584"/>
      <c r="DP70" s="584"/>
      <c r="DQ70" s="584"/>
      <c r="DR70" s="584"/>
      <c r="DS70" s="584"/>
      <c r="DT70" s="584"/>
      <c r="DU70" s="584"/>
      <c r="DV70" s="584"/>
      <c r="DW70" s="584"/>
      <c r="DX70" s="584"/>
    </row>
    <row r="71" ht="15.0" customHeight="1">
      <c r="A71" s="607">
        <v>42032.0</v>
      </c>
      <c r="B71" s="608" t="s">
        <v>2055</v>
      </c>
      <c r="C71" s="609" t="s">
        <v>2056</v>
      </c>
      <c r="D71" s="575"/>
      <c r="E71" s="577" t="str">
        <f>IFERROR(__xludf.DUMMYFUNCTION("if(and(D71&lt;&gt;0,D71&lt;&gt;""""),D71/GOOGLEFINANCE(C71,""price"")-1,"""")"),"")</f>
        <v/>
      </c>
      <c r="F71" s="578">
        <f>IFERROR(__xludf.DUMMYFUNCTION("GOOGLEFINANCE(C71,""price"")"),7.72)</f>
        <v>7.72</v>
      </c>
      <c r="G71" s="577">
        <f>IFERROR(__xludf.DUMMYFUNCTION("if(and(I71&lt;&gt;0,I71&lt;&gt;""""),I71/GOOGLEFINANCE(C71,""price"")-1,"""")"),0.2953367875647668)</f>
        <v>0.2953367876</v>
      </c>
      <c r="H71" s="579"/>
      <c r="I71" s="610">
        <v>10.0</v>
      </c>
      <c r="J71" s="575"/>
      <c r="K71" s="575"/>
      <c r="L71" s="575"/>
      <c r="M71" s="575"/>
      <c r="N71" s="575"/>
      <c r="O71" s="575"/>
      <c r="P71" s="575"/>
      <c r="Q71" s="575"/>
      <c r="R71" s="575"/>
      <c r="S71" s="575"/>
      <c r="T71" s="575"/>
      <c r="U71" s="581"/>
      <c r="V71" s="582"/>
      <c r="W71" s="583"/>
      <c r="X71" s="584"/>
      <c r="Y71" s="584"/>
      <c r="Z71" s="584"/>
      <c r="AA71" s="584"/>
      <c r="AB71" s="584"/>
      <c r="AC71" s="584"/>
      <c r="AD71" s="584"/>
      <c r="AE71" s="584"/>
      <c r="AF71" s="584"/>
      <c r="AG71" s="584"/>
      <c r="AH71" s="584"/>
      <c r="AI71" s="584"/>
      <c r="AJ71" s="584"/>
      <c r="AK71" s="584"/>
      <c r="AL71" s="584"/>
      <c r="AM71" s="584"/>
      <c r="AN71" s="584"/>
      <c r="AO71" s="584"/>
      <c r="AP71" s="584"/>
      <c r="AQ71" s="584"/>
      <c r="AR71" s="584"/>
      <c r="AS71" s="584"/>
      <c r="AT71" s="584"/>
      <c r="AU71" s="584"/>
      <c r="AV71" s="584"/>
      <c r="AW71" s="584"/>
      <c r="AX71" s="584"/>
      <c r="AY71" s="584"/>
      <c r="AZ71" s="584"/>
      <c r="BA71" s="584"/>
      <c r="BB71" s="584"/>
      <c r="BC71" s="584"/>
      <c r="BD71" s="584"/>
      <c r="BE71" s="584"/>
      <c r="BF71" s="584"/>
      <c r="BG71" s="584"/>
      <c r="BH71" s="584"/>
      <c r="BI71" s="584"/>
      <c r="BJ71" s="584"/>
      <c r="BK71" s="584"/>
      <c r="BL71" s="584"/>
      <c r="BM71" s="584"/>
      <c r="BN71" s="584"/>
      <c r="BO71" s="584"/>
      <c r="BP71" s="584"/>
      <c r="BQ71" s="584"/>
      <c r="BR71" s="584"/>
      <c r="BS71" s="584"/>
      <c r="BT71" s="584"/>
      <c r="BU71" s="584"/>
      <c r="BV71" s="584"/>
      <c r="BW71" s="584"/>
      <c r="BX71" s="584"/>
      <c r="BY71" s="584"/>
      <c r="BZ71" s="584"/>
      <c r="CA71" s="584"/>
      <c r="CB71" s="584"/>
      <c r="CC71" s="584"/>
      <c r="CD71" s="584"/>
      <c r="CE71" s="584"/>
      <c r="CF71" s="584"/>
      <c r="CG71" s="584"/>
      <c r="CH71" s="584"/>
      <c r="CI71" s="584"/>
      <c r="CJ71" s="584"/>
      <c r="CK71" s="584"/>
      <c r="CL71" s="584"/>
      <c r="CM71" s="584"/>
      <c r="CN71" s="584"/>
      <c r="CO71" s="584"/>
      <c r="CP71" s="584"/>
      <c r="CQ71" s="584"/>
      <c r="CR71" s="584"/>
      <c r="CS71" s="584"/>
      <c r="CT71" s="584"/>
      <c r="CU71" s="584"/>
      <c r="CV71" s="584"/>
      <c r="CW71" s="584"/>
      <c r="CX71" s="584"/>
      <c r="CY71" s="584"/>
      <c r="CZ71" s="584"/>
      <c r="DA71" s="584"/>
      <c r="DB71" s="584"/>
      <c r="DC71" s="584"/>
      <c r="DD71" s="584"/>
      <c r="DE71" s="584"/>
      <c r="DF71" s="584"/>
      <c r="DG71" s="584"/>
      <c r="DH71" s="584"/>
      <c r="DI71" s="584"/>
      <c r="DJ71" s="584"/>
      <c r="DK71" s="584"/>
      <c r="DL71" s="584"/>
      <c r="DM71" s="584"/>
      <c r="DN71" s="584"/>
      <c r="DO71" s="584"/>
      <c r="DP71" s="584"/>
      <c r="DQ71" s="584"/>
      <c r="DR71" s="584"/>
      <c r="DS71" s="584"/>
      <c r="DT71" s="584"/>
      <c r="DU71" s="584"/>
      <c r="DV71" s="584"/>
      <c r="DW71" s="584"/>
      <c r="DX71" s="584"/>
    </row>
    <row r="72" ht="15.0" customHeight="1">
      <c r="A72" s="574">
        <v>40804.0</v>
      </c>
      <c r="B72" s="575" t="s">
        <v>2058</v>
      </c>
      <c r="C72" s="576" t="s">
        <v>2059</v>
      </c>
      <c r="D72" s="575"/>
      <c r="E72" s="577" t="str">
        <f>IFERROR(__xludf.DUMMYFUNCTION("if(and(D72&lt;&gt;0,D72&lt;&gt;""""),D72/GOOGLEFINANCE(C72,""price"")-1,"""")"),"")</f>
        <v/>
      </c>
      <c r="F72" s="578">
        <f>IFERROR(__xludf.DUMMYFUNCTION("GOOGLEFINANCE(C72,""price"")"),8.66)</f>
        <v>8.66</v>
      </c>
      <c r="G72" s="577" t="str">
        <f>IFERROR(__xludf.DUMMYFUNCTION("if(and(I72&lt;&gt;0,I72&lt;&gt;""""),I72/GOOGLEFINANCE(C72,""price"")-1,"""")"),"")</f>
        <v/>
      </c>
      <c r="H72" s="579"/>
      <c r="I72" s="580"/>
      <c r="J72" s="575"/>
      <c r="K72" s="575"/>
      <c r="L72" s="575"/>
      <c r="M72" s="575"/>
      <c r="N72" s="575"/>
      <c r="O72" s="575"/>
      <c r="P72" s="575"/>
      <c r="Q72" s="575"/>
      <c r="R72" s="575"/>
      <c r="S72" s="575"/>
      <c r="T72" s="575"/>
      <c r="U72" s="581" t="s">
        <v>2061</v>
      </c>
      <c r="V72" s="582"/>
      <c r="W72" s="583"/>
      <c r="X72" s="584"/>
      <c r="Y72" s="584"/>
      <c r="Z72" s="584"/>
      <c r="AA72" s="584"/>
      <c r="AB72" s="584"/>
      <c r="AC72" s="584"/>
      <c r="AD72" s="584"/>
      <c r="AE72" s="584"/>
      <c r="AF72" s="584"/>
      <c r="AG72" s="584"/>
      <c r="AH72" s="584"/>
      <c r="AI72" s="584"/>
      <c r="AJ72" s="584"/>
      <c r="AK72" s="584"/>
      <c r="AL72" s="584"/>
      <c r="AM72" s="584"/>
      <c r="AN72" s="584"/>
      <c r="AO72" s="584"/>
      <c r="AP72" s="584"/>
      <c r="AQ72" s="584"/>
      <c r="AR72" s="584"/>
      <c r="AS72" s="584"/>
      <c r="AT72" s="584"/>
      <c r="AU72" s="584"/>
      <c r="AV72" s="584"/>
      <c r="AW72" s="584"/>
      <c r="AX72" s="584"/>
      <c r="AY72" s="584"/>
      <c r="AZ72" s="584"/>
      <c r="BA72" s="584"/>
      <c r="BB72" s="584"/>
      <c r="BC72" s="584"/>
      <c r="BD72" s="584"/>
      <c r="BE72" s="584"/>
      <c r="BF72" s="584"/>
      <c r="BG72" s="584"/>
      <c r="BH72" s="584"/>
      <c r="BI72" s="584"/>
      <c r="BJ72" s="584"/>
      <c r="BK72" s="584"/>
      <c r="BL72" s="584"/>
      <c r="BM72" s="584"/>
      <c r="BN72" s="584"/>
      <c r="BO72" s="584"/>
      <c r="BP72" s="584"/>
      <c r="BQ72" s="584"/>
      <c r="BR72" s="584"/>
      <c r="BS72" s="584"/>
      <c r="BT72" s="584"/>
      <c r="BU72" s="584"/>
      <c r="BV72" s="584"/>
      <c r="BW72" s="584"/>
      <c r="BX72" s="584"/>
      <c r="BY72" s="584"/>
      <c r="BZ72" s="584"/>
      <c r="CA72" s="584"/>
      <c r="CB72" s="584"/>
      <c r="CC72" s="584"/>
      <c r="CD72" s="584"/>
      <c r="CE72" s="584"/>
      <c r="CF72" s="584"/>
      <c r="CG72" s="584"/>
      <c r="CH72" s="584"/>
      <c r="CI72" s="584"/>
      <c r="CJ72" s="584"/>
      <c r="CK72" s="584"/>
      <c r="CL72" s="584"/>
      <c r="CM72" s="584"/>
      <c r="CN72" s="584"/>
      <c r="CO72" s="584"/>
      <c r="CP72" s="584"/>
      <c r="CQ72" s="584"/>
      <c r="CR72" s="584"/>
      <c r="CS72" s="584"/>
      <c r="CT72" s="584"/>
      <c r="CU72" s="584"/>
      <c r="CV72" s="584"/>
      <c r="CW72" s="584"/>
      <c r="CX72" s="584"/>
      <c r="CY72" s="584"/>
      <c r="CZ72" s="584"/>
      <c r="DA72" s="584"/>
      <c r="DB72" s="584"/>
      <c r="DC72" s="584"/>
      <c r="DD72" s="584"/>
      <c r="DE72" s="584"/>
      <c r="DF72" s="584"/>
      <c r="DG72" s="584"/>
      <c r="DH72" s="584"/>
      <c r="DI72" s="584"/>
      <c r="DJ72" s="584"/>
      <c r="DK72" s="584"/>
      <c r="DL72" s="584"/>
      <c r="DM72" s="584"/>
      <c r="DN72" s="584"/>
      <c r="DO72" s="584"/>
      <c r="DP72" s="584"/>
      <c r="DQ72" s="584"/>
      <c r="DR72" s="584"/>
      <c r="DS72" s="584"/>
      <c r="DT72" s="584"/>
      <c r="DU72" s="584"/>
      <c r="DV72" s="584"/>
      <c r="DW72" s="584"/>
      <c r="DX72" s="584"/>
    </row>
    <row r="73" ht="15.0" customHeight="1">
      <c r="A73" s="574">
        <v>41032.0</v>
      </c>
      <c r="B73" s="575" t="s">
        <v>2062</v>
      </c>
      <c r="C73" s="576" t="s">
        <v>2063</v>
      </c>
      <c r="D73" s="575"/>
      <c r="E73" s="577" t="str">
        <f>IFERROR(__xludf.DUMMYFUNCTION("if(and(D73&lt;&gt;0,D73&lt;&gt;""""),D73/GOOGLEFINANCE(C73,""price"")-1,"""")"),"")</f>
        <v/>
      </c>
      <c r="F73" s="578">
        <f>IFERROR(__xludf.DUMMYFUNCTION("GOOGLEFINANCE(C73,""price"")"),0.19)</f>
        <v>0.19</v>
      </c>
      <c r="G73" s="577" t="str">
        <f>IFERROR(__xludf.DUMMYFUNCTION("if(and(I73&lt;&gt;0,I73&lt;&gt;""""),I73/GOOGLEFINANCE(C73,""price"")-1,"""")"),"")</f>
        <v/>
      </c>
      <c r="H73" s="579"/>
      <c r="I73" s="580"/>
      <c r="J73" s="575"/>
      <c r="K73" s="575"/>
      <c r="L73" s="575"/>
      <c r="M73" s="575"/>
      <c r="N73" s="575"/>
      <c r="O73" s="575"/>
      <c r="P73" s="575"/>
      <c r="Q73" s="575"/>
      <c r="R73" s="575"/>
      <c r="S73" s="575"/>
      <c r="T73" s="575"/>
      <c r="U73" s="581" t="s">
        <v>2065</v>
      </c>
      <c r="V73" s="582"/>
      <c r="W73" s="583"/>
      <c r="X73" s="584"/>
      <c r="Y73" s="584"/>
      <c r="Z73" s="584"/>
      <c r="AA73" s="584"/>
      <c r="AB73" s="584"/>
      <c r="AC73" s="584"/>
      <c r="AD73" s="584"/>
      <c r="AE73" s="584"/>
      <c r="AF73" s="584"/>
      <c r="AG73" s="584"/>
      <c r="AH73" s="584"/>
      <c r="AI73" s="584"/>
      <c r="AJ73" s="584"/>
      <c r="AK73" s="584"/>
      <c r="AL73" s="584"/>
      <c r="AM73" s="584"/>
      <c r="AN73" s="584"/>
      <c r="AO73" s="584"/>
      <c r="AP73" s="584"/>
      <c r="AQ73" s="584"/>
      <c r="AR73" s="584"/>
      <c r="AS73" s="584"/>
      <c r="AT73" s="584"/>
      <c r="AU73" s="584"/>
      <c r="AV73" s="584"/>
      <c r="AW73" s="584"/>
      <c r="AX73" s="584"/>
      <c r="AY73" s="584"/>
      <c r="AZ73" s="584"/>
      <c r="BA73" s="584"/>
      <c r="BB73" s="584"/>
      <c r="BC73" s="584"/>
      <c r="BD73" s="584"/>
      <c r="BE73" s="584"/>
      <c r="BF73" s="584"/>
      <c r="BG73" s="584"/>
      <c r="BH73" s="584"/>
      <c r="BI73" s="584"/>
      <c r="BJ73" s="584"/>
      <c r="BK73" s="584"/>
      <c r="BL73" s="584"/>
      <c r="BM73" s="584"/>
      <c r="BN73" s="584"/>
      <c r="BO73" s="584"/>
      <c r="BP73" s="584"/>
      <c r="BQ73" s="584"/>
      <c r="BR73" s="584"/>
      <c r="BS73" s="584"/>
      <c r="BT73" s="584"/>
      <c r="BU73" s="584"/>
      <c r="BV73" s="584"/>
      <c r="BW73" s="584"/>
      <c r="BX73" s="584"/>
      <c r="BY73" s="584"/>
      <c r="BZ73" s="584"/>
      <c r="CA73" s="584"/>
      <c r="CB73" s="584"/>
      <c r="CC73" s="584"/>
      <c r="CD73" s="584"/>
      <c r="CE73" s="584"/>
      <c r="CF73" s="584"/>
      <c r="CG73" s="584"/>
      <c r="CH73" s="584"/>
      <c r="CI73" s="584"/>
      <c r="CJ73" s="584"/>
      <c r="CK73" s="584"/>
      <c r="CL73" s="584"/>
      <c r="CM73" s="584"/>
      <c r="CN73" s="584"/>
      <c r="CO73" s="584"/>
      <c r="CP73" s="584"/>
      <c r="CQ73" s="584"/>
      <c r="CR73" s="584"/>
      <c r="CS73" s="584"/>
      <c r="CT73" s="584"/>
      <c r="CU73" s="584"/>
      <c r="CV73" s="584"/>
      <c r="CW73" s="584"/>
      <c r="CX73" s="584"/>
      <c r="CY73" s="584"/>
      <c r="CZ73" s="584"/>
      <c r="DA73" s="584"/>
      <c r="DB73" s="584"/>
      <c r="DC73" s="584"/>
      <c r="DD73" s="584"/>
      <c r="DE73" s="584"/>
      <c r="DF73" s="584"/>
      <c r="DG73" s="584"/>
      <c r="DH73" s="584"/>
      <c r="DI73" s="584"/>
      <c r="DJ73" s="584"/>
      <c r="DK73" s="584"/>
      <c r="DL73" s="584"/>
      <c r="DM73" s="584"/>
      <c r="DN73" s="584"/>
      <c r="DO73" s="584"/>
      <c r="DP73" s="584"/>
      <c r="DQ73" s="584"/>
      <c r="DR73" s="584"/>
      <c r="DS73" s="584"/>
      <c r="DT73" s="584"/>
      <c r="DU73" s="584"/>
      <c r="DV73" s="584"/>
      <c r="DW73" s="584"/>
      <c r="DX73" s="584"/>
    </row>
    <row r="74" ht="15.0" customHeight="1">
      <c r="A74" s="585">
        <v>41107.0</v>
      </c>
      <c r="B74" s="586" t="s">
        <v>2066</v>
      </c>
      <c r="C74" s="587" t="s">
        <v>691</v>
      </c>
      <c r="D74" s="586"/>
      <c r="E74" s="589" t="str">
        <f>IFERROR(__xludf.DUMMYFUNCTION("if(and(D74&lt;&gt;0,D74&lt;&gt;""""),D74/GOOGLEFINANCE(C74,""price"")-1,"""")"),"")</f>
        <v/>
      </c>
      <c r="F74" s="590">
        <f>IFERROR(__xludf.DUMMYFUNCTION("GOOGLEFINANCE(C74,""price"")"),119.58)</f>
        <v>119.58</v>
      </c>
      <c r="G74" s="589" t="str">
        <f>IFERROR(__xludf.DUMMYFUNCTION("if(and(I74&lt;&gt;0,I74&lt;&gt;""""),I74/GOOGLEFINANCE(C74,""price"")-1,"""")"),"")</f>
        <v/>
      </c>
      <c r="H74" s="591"/>
      <c r="I74" s="602"/>
      <c r="J74" s="586"/>
      <c r="K74" s="586"/>
      <c r="L74" s="586"/>
      <c r="M74" s="586"/>
      <c r="N74" s="586"/>
      <c r="O74" s="586"/>
      <c r="P74" s="586"/>
      <c r="Q74" s="586"/>
      <c r="R74" s="586"/>
      <c r="S74" s="586"/>
      <c r="T74" s="586"/>
      <c r="U74" s="603" t="s">
        <v>2067</v>
      </c>
      <c r="V74" s="604"/>
      <c r="W74" s="605"/>
      <c r="X74" s="606"/>
      <c r="Y74" s="606"/>
      <c r="Z74" s="606"/>
      <c r="AA74" s="606"/>
      <c r="AB74" s="606"/>
      <c r="AC74" s="606"/>
      <c r="AD74" s="606"/>
      <c r="AE74" s="606"/>
      <c r="AF74" s="606"/>
      <c r="AG74" s="606"/>
      <c r="AH74" s="606"/>
      <c r="AI74" s="606"/>
      <c r="AJ74" s="606"/>
      <c r="AK74" s="606"/>
      <c r="AL74" s="606"/>
      <c r="AM74" s="606"/>
      <c r="AN74" s="606"/>
      <c r="AO74" s="606"/>
      <c r="AP74" s="606"/>
      <c r="AQ74" s="606"/>
      <c r="AR74" s="606"/>
      <c r="AS74" s="606"/>
      <c r="AT74" s="606"/>
      <c r="AU74" s="606"/>
      <c r="AV74" s="606"/>
      <c r="AW74" s="606"/>
      <c r="AX74" s="606"/>
      <c r="AY74" s="606"/>
      <c r="AZ74" s="606"/>
      <c r="BA74" s="606"/>
      <c r="BB74" s="606"/>
      <c r="BC74" s="606"/>
      <c r="BD74" s="606"/>
      <c r="BE74" s="606"/>
      <c r="BF74" s="606"/>
      <c r="BG74" s="606"/>
      <c r="BH74" s="606"/>
      <c r="BI74" s="606"/>
      <c r="BJ74" s="606"/>
      <c r="BK74" s="606"/>
      <c r="BL74" s="606"/>
      <c r="BM74" s="606"/>
      <c r="BN74" s="606"/>
      <c r="BO74" s="606"/>
      <c r="BP74" s="606"/>
      <c r="BQ74" s="606"/>
      <c r="BR74" s="606"/>
      <c r="BS74" s="606"/>
      <c r="BT74" s="606"/>
      <c r="BU74" s="606"/>
      <c r="BV74" s="606"/>
      <c r="BW74" s="606"/>
      <c r="BX74" s="606"/>
      <c r="BY74" s="606"/>
      <c r="BZ74" s="606"/>
      <c r="CA74" s="606"/>
      <c r="CB74" s="606"/>
      <c r="CC74" s="606"/>
      <c r="CD74" s="606"/>
      <c r="CE74" s="606"/>
      <c r="CF74" s="606"/>
      <c r="CG74" s="606"/>
      <c r="CH74" s="606"/>
      <c r="CI74" s="606"/>
      <c r="CJ74" s="606"/>
      <c r="CK74" s="606"/>
      <c r="CL74" s="606"/>
      <c r="CM74" s="606"/>
      <c r="CN74" s="606"/>
      <c r="CO74" s="606"/>
      <c r="CP74" s="606"/>
      <c r="CQ74" s="606"/>
      <c r="CR74" s="606"/>
      <c r="CS74" s="606"/>
      <c r="CT74" s="606"/>
      <c r="CU74" s="606"/>
      <c r="CV74" s="606"/>
      <c r="CW74" s="606"/>
      <c r="CX74" s="606"/>
      <c r="CY74" s="606"/>
      <c r="CZ74" s="606"/>
      <c r="DA74" s="606"/>
      <c r="DB74" s="606"/>
      <c r="DC74" s="606"/>
      <c r="DD74" s="606"/>
      <c r="DE74" s="606"/>
      <c r="DF74" s="606"/>
      <c r="DG74" s="606"/>
      <c r="DH74" s="606"/>
      <c r="DI74" s="606"/>
      <c r="DJ74" s="606"/>
      <c r="DK74" s="606"/>
      <c r="DL74" s="606"/>
      <c r="DM74" s="606"/>
      <c r="DN74" s="606"/>
      <c r="DO74" s="606"/>
      <c r="DP74" s="606"/>
      <c r="DQ74" s="606"/>
      <c r="DR74" s="606"/>
      <c r="DS74" s="606"/>
      <c r="DT74" s="606"/>
      <c r="DU74" s="606"/>
      <c r="DV74" s="606"/>
      <c r="DW74" s="606"/>
      <c r="DX74" s="606"/>
    </row>
    <row r="75" ht="15.0" customHeight="1">
      <c r="A75" s="574">
        <v>40831.0</v>
      </c>
      <c r="B75" s="575" t="s">
        <v>2068</v>
      </c>
      <c r="C75" s="576" t="s">
        <v>2069</v>
      </c>
      <c r="D75" s="575"/>
      <c r="E75" s="577" t="str">
        <f>IFERROR(__xludf.DUMMYFUNCTION("if(and(D75&lt;&gt;0,D75&lt;&gt;""""),D75/GOOGLEFINANCE(C75,""price"")-1,"""")"),"")</f>
        <v/>
      </c>
      <c r="F75" s="578">
        <f>IFERROR(__xludf.DUMMYFUNCTION("GOOGLEFINANCE(C75,""price"")"),109.5)</f>
        <v>109.5</v>
      </c>
      <c r="G75" s="577" t="str">
        <f>IFERROR(__xludf.DUMMYFUNCTION("if(and(I75&lt;&gt;0,I75&lt;&gt;""""),I75/GOOGLEFINANCE(C75,""price"")-1,"""")"),"")</f>
        <v/>
      </c>
      <c r="H75" s="579"/>
      <c r="I75" s="580"/>
      <c r="J75" s="575"/>
      <c r="K75" s="575"/>
      <c r="L75" s="575"/>
      <c r="M75" s="575"/>
      <c r="N75" s="575"/>
      <c r="O75" s="575"/>
      <c r="P75" s="575"/>
      <c r="Q75" s="575"/>
      <c r="R75" s="575"/>
      <c r="S75" s="575"/>
      <c r="T75" s="575"/>
      <c r="U75" s="581" t="s">
        <v>2070</v>
      </c>
      <c r="V75" s="582"/>
      <c r="W75" s="583"/>
      <c r="X75" s="584"/>
      <c r="Y75" s="584"/>
      <c r="Z75" s="584"/>
      <c r="AA75" s="584"/>
      <c r="AB75" s="584"/>
      <c r="AC75" s="584"/>
      <c r="AD75" s="584"/>
      <c r="AE75" s="584"/>
      <c r="AF75" s="584"/>
      <c r="AG75" s="584"/>
      <c r="AH75" s="584"/>
      <c r="AI75" s="584"/>
      <c r="AJ75" s="584"/>
      <c r="AK75" s="584"/>
      <c r="AL75" s="584"/>
      <c r="AM75" s="584"/>
      <c r="AN75" s="584"/>
      <c r="AO75" s="584"/>
      <c r="AP75" s="584"/>
      <c r="AQ75" s="584"/>
      <c r="AR75" s="584"/>
      <c r="AS75" s="584"/>
      <c r="AT75" s="584"/>
      <c r="AU75" s="584"/>
      <c r="AV75" s="584"/>
      <c r="AW75" s="584"/>
      <c r="AX75" s="584"/>
      <c r="AY75" s="584"/>
      <c r="AZ75" s="584"/>
      <c r="BA75" s="584"/>
      <c r="BB75" s="584"/>
      <c r="BC75" s="584"/>
      <c r="BD75" s="584"/>
      <c r="BE75" s="584"/>
      <c r="BF75" s="584"/>
      <c r="BG75" s="584"/>
      <c r="BH75" s="584"/>
      <c r="BI75" s="584"/>
      <c r="BJ75" s="584"/>
      <c r="BK75" s="584"/>
      <c r="BL75" s="584"/>
      <c r="BM75" s="584"/>
      <c r="BN75" s="584"/>
      <c r="BO75" s="584"/>
      <c r="BP75" s="584"/>
      <c r="BQ75" s="584"/>
      <c r="BR75" s="584"/>
      <c r="BS75" s="584"/>
      <c r="BT75" s="584"/>
      <c r="BU75" s="584"/>
      <c r="BV75" s="584"/>
      <c r="BW75" s="584"/>
      <c r="BX75" s="584"/>
      <c r="BY75" s="584"/>
      <c r="BZ75" s="584"/>
      <c r="CA75" s="584"/>
      <c r="CB75" s="584"/>
      <c r="CC75" s="584"/>
      <c r="CD75" s="584"/>
      <c r="CE75" s="584"/>
      <c r="CF75" s="584"/>
      <c r="CG75" s="584"/>
      <c r="CH75" s="584"/>
      <c r="CI75" s="584"/>
      <c r="CJ75" s="584"/>
      <c r="CK75" s="584"/>
      <c r="CL75" s="584"/>
      <c r="CM75" s="584"/>
      <c r="CN75" s="584"/>
      <c r="CO75" s="584"/>
      <c r="CP75" s="584"/>
      <c r="CQ75" s="584"/>
      <c r="CR75" s="584"/>
      <c r="CS75" s="584"/>
      <c r="CT75" s="584"/>
      <c r="CU75" s="584"/>
      <c r="CV75" s="584"/>
      <c r="CW75" s="584"/>
      <c r="CX75" s="584"/>
      <c r="CY75" s="584"/>
      <c r="CZ75" s="584"/>
      <c r="DA75" s="584"/>
      <c r="DB75" s="584"/>
      <c r="DC75" s="584"/>
      <c r="DD75" s="584"/>
      <c r="DE75" s="584"/>
      <c r="DF75" s="584"/>
      <c r="DG75" s="584"/>
      <c r="DH75" s="584"/>
      <c r="DI75" s="584"/>
      <c r="DJ75" s="584"/>
      <c r="DK75" s="584"/>
      <c r="DL75" s="584"/>
      <c r="DM75" s="584"/>
      <c r="DN75" s="584"/>
      <c r="DO75" s="584"/>
      <c r="DP75" s="584"/>
      <c r="DQ75" s="584"/>
      <c r="DR75" s="584"/>
      <c r="DS75" s="584"/>
      <c r="DT75" s="584"/>
      <c r="DU75" s="584"/>
      <c r="DV75" s="584"/>
      <c r="DW75" s="584"/>
      <c r="DX75" s="584"/>
    </row>
    <row r="76" ht="15.0" customHeight="1">
      <c r="A76" s="585">
        <v>41118.0</v>
      </c>
      <c r="B76" s="586" t="s">
        <v>2071</v>
      </c>
      <c r="C76" s="587" t="s">
        <v>2072</v>
      </c>
      <c r="D76" s="586"/>
      <c r="E76" s="589" t="str">
        <f>IFERROR(__xludf.DUMMYFUNCTION("if(and(D76&lt;&gt;0,D76&lt;&gt;""""),D76/GOOGLEFINANCE(C76,""price"")-1,"""")"),"")</f>
        <v/>
      </c>
      <c r="F76" s="590">
        <f>IFERROR(__xludf.DUMMYFUNCTION("GOOGLEFINANCE(C76,""price"")"),131.22)</f>
        <v>131.22</v>
      </c>
      <c r="G76" s="589" t="str">
        <f>IFERROR(__xludf.DUMMYFUNCTION("if(and(I76&lt;&gt;0,I76&lt;&gt;""""),I76/GOOGLEFINANCE(C76,""price"")-1,"""")"),"")</f>
        <v/>
      </c>
      <c r="H76" s="591">
        <v>90.0</v>
      </c>
      <c r="I76" s="602"/>
      <c r="J76" s="586"/>
      <c r="K76" s="586"/>
      <c r="L76" s="586"/>
      <c r="M76" s="586"/>
      <c r="N76" s="586"/>
      <c r="O76" s="586"/>
      <c r="P76" s="586"/>
      <c r="Q76" s="586"/>
      <c r="R76" s="586"/>
      <c r="S76" s="586"/>
      <c r="T76" s="586"/>
      <c r="U76" s="603" t="s">
        <v>2074</v>
      </c>
      <c r="V76" s="604"/>
      <c r="W76" s="605"/>
      <c r="X76" s="606"/>
      <c r="Y76" s="606"/>
      <c r="Z76" s="606"/>
      <c r="AA76" s="606"/>
      <c r="AB76" s="606"/>
      <c r="AC76" s="606"/>
      <c r="AD76" s="606"/>
      <c r="AE76" s="606"/>
      <c r="AF76" s="606"/>
      <c r="AG76" s="606"/>
      <c r="AH76" s="606"/>
      <c r="AI76" s="606"/>
      <c r="AJ76" s="606"/>
      <c r="AK76" s="606"/>
      <c r="AL76" s="606"/>
      <c r="AM76" s="606"/>
      <c r="AN76" s="606"/>
      <c r="AO76" s="606"/>
      <c r="AP76" s="606"/>
      <c r="AQ76" s="606"/>
      <c r="AR76" s="606"/>
      <c r="AS76" s="606"/>
      <c r="AT76" s="606"/>
      <c r="AU76" s="606"/>
      <c r="AV76" s="606"/>
      <c r="AW76" s="606"/>
      <c r="AX76" s="606"/>
      <c r="AY76" s="606"/>
      <c r="AZ76" s="606"/>
      <c r="BA76" s="606"/>
      <c r="BB76" s="606"/>
      <c r="BC76" s="606"/>
      <c r="BD76" s="606"/>
      <c r="BE76" s="606"/>
      <c r="BF76" s="606"/>
      <c r="BG76" s="606"/>
      <c r="BH76" s="606"/>
      <c r="BI76" s="606"/>
      <c r="BJ76" s="606"/>
      <c r="BK76" s="606"/>
      <c r="BL76" s="606"/>
      <c r="BM76" s="606"/>
      <c r="BN76" s="606"/>
      <c r="BO76" s="606"/>
      <c r="BP76" s="606"/>
      <c r="BQ76" s="606"/>
      <c r="BR76" s="606"/>
      <c r="BS76" s="606"/>
      <c r="BT76" s="606"/>
      <c r="BU76" s="606"/>
      <c r="BV76" s="606"/>
      <c r="BW76" s="606"/>
      <c r="BX76" s="606"/>
      <c r="BY76" s="606"/>
      <c r="BZ76" s="606"/>
      <c r="CA76" s="606"/>
      <c r="CB76" s="606"/>
      <c r="CC76" s="606"/>
      <c r="CD76" s="606"/>
      <c r="CE76" s="606"/>
      <c r="CF76" s="606"/>
      <c r="CG76" s="606"/>
      <c r="CH76" s="606"/>
      <c r="CI76" s="606"/>
      <c r="CJ76" s="606"/>
      <c r="CK76" s="606"/>
      <c r="CL76" s="606"/>
      <c r="CM76" s="606"/>
      <c r="CN76" s="606"/>
      <c r="CO76" s="606"/>
      <c r="CP76" s="606"/>
      <c r="CQ76" s="606"/>
      <c r="CR76" s="606"/>
      <c r="CS76" s="606"/>
      <c r="CT76" s="606"/>
      <c r="CU76" s="606"/>
      <c r="CV76" s="606"/>
      <c r="CW76" s="606"/>
      <c r="CX76" s="606"/>
      <c r="CY76" s="606"/>
      <c r="CZ76" s="606"/>
      <c r="DA76" s="606"/>
      <c r="DB76" s="606"/>
      <c r="DC76" s="606"/>
      <c r="DD76" s="606"/>
      <c r="DE76" s="606"/>
      <c r="DF76" s="606"/>
      <c r="DG76" s="606"/>
      <c r="DH76" s="606"/>
      <c r="DI76" s="606"/>
      <c r="DJ76" s="606"/>
      <c r="DK76" s="606"/>
      <c r="DL76" s="606"/>
      <c r="DM76" s="606"/>
      <c r="DN76" s="606"/>
      <c r="DO76" s="606"/>
      <c r="DP76" s="606"/>
      <c r="DQ76" s="606"/>
      <c r="DR76" s="606"/>
      <c r="DS76" s="606"/>
      <c r="DT76" s="606"/>
      <c r="DU76" s="606"/>
      <c r="DV76" s="606"/>
      <c r="DW76" s="606"/>
      <c r="DX76" s="606"/>
    </row>
    <row r="77" ht="15.0" customHeight="1">
      <c r="A77" s="607">
        <v>42318.0</v>
      </c>
      <c r="B77" s="608" t="s">
        <v>2075</v>
      </c>
      <c r="C77" s="609" t="s">
        <v>2076</v>
      </c>
      <c r="D77" s="608">
        <v>3.5</v>
      </c>
      <c r="E77" s="577" t="str">
        <f>IFERROR(__xludf.DUMMYFUNCTION("if(and(D77&lt;&gt;0,D77&lt;&gt;""""),D77/GOOGLEFINANCE(C77,""price"")-1,"""")"),"#N/A")</f>
        <v>#N/A</v>
      </c>
      <c r="F77" s="578" t="str">
        <f>IFERROR(__xludf.DUMMYFUNCTION("GOOGLEFINANCE(C77,""price"")"),"#N/A")</f>
        <v>#N/A</v>
      </c>
      <c r="G77" s="577" t="str">
        <f>IFERROR(__xludf.DUMMYFUNCTION("if(and(I77&lt;&gt;0,I77&lt;&gt;""""),I77/GOOGLEFINANCE(C77,""price"")-1,"""")"),"#N/A")</f>
        <v>#N/A</v>
      </c>
      <c r="H77" s="678"/>
      <c r="I77" s="610">
        <v>1.0</v>
      </c>
      <c r="J77" s="575"/>
      <c r="K77" s="575"/>
      <c r="L77" s="575"/>
      <c r="M77" s="575"/>
      <c r="N77" s="575"/>
      <c r="O77" s="575"/>
      <c r="P77" s="608"/>
      <c r="Q77" s="608"/>
      <c r="R77" s="608"/>
      <c r="S77" s="608"/>
      <c r="T77" s="608"/>
      <c r="U77" s="613" t="s">
        <v>2081</v>
      </c>
      <c r="V77" s="614"/>
      <c r="W77" s="615"/>
      <c r="X77" s="616"/>
      <c r="Y77" s="616"/>
      <c r="Z77" s="616"/>
      <c r="AA77" s="616"/>
      <c r="AB77" s="616"/>
      <c r="AC77" s="616"/>
      <c r="AD77" s="616"/>
      <c r="AE77" s="616"/>
      <c r="AF77" s="616"/>
      <c r="AG77" s="616"/>
      <c r="AH77" s="616"/>
      <c r="AI77" s="616"/>
      <c r="AJ77" s="616"/>
      <c r="AK77" s="616"/>
      <c r="AL77" s="616"/>
      <c r="AM77" s="616"/>
      <c r="AN77" s="616"/>
      <c r="AO77" s="616"/>
      <c r="AP77" s="616"/>
      <c r="AQ77" s="616"/>
      <c r="AR77" s="616"/>
      <c r="AS77" s="616"/>
      <c r="AT77" s="616"/>
      <c r="AU77" s="616"/>
      <c r="AV77" s="616"/>
      <c r="AW77" s="616"/>
      <c r="AX77" s="616"/>
      <c r="AY77" s="616"/>
      <c r="AZ77" s="616"/>
      <c r="BA77" s="616"/>
      <c r="BB77" s="616"/>
      <c r="BC77" s="616"/>
      <c r="BD77" s="616"/>
      <c r="BE77" s="616"/>
      <c r="BF77" s="616"/>
      <c r="BG77" s="616"/>
      <c r="BH77" s="616"/>
      <c r="BI77" s="616"/>
      <c r="BJ77" s="616"/>
      <c r="BK77" s="616"/>
      <c r="BL77" s="616"/>
      <c r="BM77" s="616"/>
      <c r="BN77" s="616"/>
      <c r="BO77" s="616"/>
      <c r="BP77" s="616"/>
      <c r="BQ77" s="616"/>
      <c r="BR77" s="616"/>
      <c r="BS77" s="616"/>
      <c r="BT77" s="616"/>
      <c r="BU77" s="616"/>
      <c r="BV77" s="616"/>
      <c r="BW77" s="616"/>
      <c r="BX77" s="616"/>
      <c r="BY77" s="616"/>
      <c r="BZ77" s="616"/>
      <c r="CA77" s="616"/>
      <c r="CB77" s="616"/>
      <c r="CC77" s="616"/>
      <c r="CD77" s="616"/>
      <c r="CE77" s="616"/>
      <c r="CF77" s="616"/>
      <c r="CG77" s="616"/>
      <c r="CH77" s="616"/>
      <c r="CI77" s="616"/>
      <c r="CJ77" s="616"/>
      <c r="CK77" s="616"/>
      <c r="CL77" s="616"/>
      <c r="CM77" s="616"/>
      <c r="CN77" s="616"/>
      <c r="CO77" s="616"/>
      <c r="CP77" s="616"/>
      <c r="CQ77" s="616"/>
      <c r="CR77" s="616"/>
      <c r="CS77" s="616"/>
      <c r="CT77" s="616"/>
      <c r="CU77" s="616"/>
      <c r="CV77" s="616"/>
      <c r="CW77" s="616"/>
      <c r="CX77" s="616"/>
      <c r="CY77" s="616"/>
      <c r="CZ77" s="616"/>
      <c r="DA77" s="616"/>
      <c r="DB77" s="616"/>
      <c r="DC77" s="616"/>
      <c r="DD77" s="616"/>
      <c r="DE77" s="616"/>
      <c r="DF77" s="616"/>
      <c r="DG77" s="616"/>
      <c r="DH77" s="616"/>
      <c r="DI77" s="616"/>
      <c r="DJ77" s="616"/>
      <c r="DK77" s="616"/>
      <c r="DL77" s="616"/>
      <c r="DM77" s="616"/>
      <c r="DN77" s="616"/>
      <c r="DO77" s="616"/>
      <c r="DP77" s="616"/>
      <c r="DQ77" s="616"/>
      <c r="DR77" s="616"/>
      <c r="DS77" s="616"/>
      <c r="DT77" s="616"/>
      <c r="DU77" s="616"/>
      <c r="DV77" s="616"/>
      <c r="DW77" s="616"/>
      <c r="DX77" s="616"/>
    </row>
    <row r="78" ht="15.0" customHeight="1">
      <c r="A78" s="611">
        <v>42326.0</v>
      </c>
      <c r="B78" s="588" t="s">
        <v>2083</v>
      </c>
      <c r="C78" s="612" t="s">
        <v>2084</v>
      </c>
      <c r="D78" s="588">
        <v>10.0</v>
      </c>
      <c r="E78" s="589">
        <f>IFERROR(__xludf.DUMMYFUNCTION("if(and(D78&lt;&gt;0,D78&lt;&gt;""""),D78/GOOGLEFINANCE(C78,""price"")-1,"""")"),3.716981132075471)</f>
        <v>3.716981132</v>
      </c>
      <c r="F78" s="590">
        <f>IFERROR(__xludf.DUMMYFUNCTION("GOOGLEFINANCE(C78,""price"")"),2.12)</f>
        <v>2.12</v>
      </c>
      <c r="G78" s="589">
        <f>IFERROR(__xludf.DUMMYFUNCTION("if(and(I78&lt;&gt;0,I78&lt;&gt;""""),I78/GOOGLEFINANCE(C78,""price"")-1,"""")"),-0.05660377358490576)</f>
        <v>-0.05660377358</v>
      </c>
      <c r="H78" s="658"/>
      <c r="I78" s="592">
        <v>2.0</v>
      </c>
      <c r="J78" s="586"/>
      <c r="K78" s="586"/>
      <c r="L78" s="586"/>
      <c r="M78" s="586"/>
      <c r="N78" s="586"/>
      <c r="O78" s="586"/>
      <c r="P78" s="588"/>
      <c r="Q78" s="588"/>
      <c r="R78" s="588"/>
      <c r="S78" s="588"/>
      <c r="T78" s="588"/>
      <c r="U78" s="593" t="s">
        <v>2087</v>
      </c>
      <c r="V78" s="594"/>
      <c r="W78" s="595"/>
      <c r="X78" s="596"/>
      <c r="Y78" s="596"/>
      <c r="Z78" s="596"/>
      <c r="AA78" s="596"/>
      <c r="AB78" s="596"/>
      <c r="AC78" s="596"/>
      <c r="AD78" s="596"/>
      <c r="AE78" s="596"/>
      <c r="AF78" s="596"/>
      <c r="AG78" s="596"/>
      <c r="AH78" s="596"/>
      <c r="AI78" s="596"/>
      <c r="AJ78" s="596"/>
      <c r="AK78" s="596"/>
      <c r="AL78" s="596"/>
      <c r="AM78" s="596"/>
      <c r="AN78" s="596"/>
      <c r="AO78" s="596"/>
      <c r="AP78" s="596"/>
      <c r="AQ78" s="596"/>
      <c r="AR78" s="596"/>
      <c r="AS78" s="596"/>
      <c r="AT78" s="596"/>
      <c r="AU78" s="596"/>
      <c r="AV78" s="596"/>
      <c r="AW78" s="596"/>
      <c r="AX78" s="596"/>
      <c r="AY78" s="596"/>
      <c r="AZ78" s="596"/>
      <c r="BA78" s="596"/>
      <c r="BB78" s="596"/>
      <c r="BC78" s="596"/>
      <c r="BD78" s="596"/>
      <c r="BE78" s="596"/>
      <c r="BF78" s="596"/>
      <c r="BG78" s="596"/>
      <c r="BH78" s="596"/>
      <c r="BI78" s="596"/>
      <c r="BJ78" s="596"/>
      <c r="BK78" s="596"/>
      <c r="BL78" s="596"/>
      <c r="BM78" s="596"/>
      <c r="BN78" s="596"/>
      <c r="BO78" s="596"/>
      <c r="BP78" s="596"/>
      <c r="BQ78" s="596"/>
      <c r="BR78" s="596"/>
      <c r="BS78" s="596"/>
      <c r="BT78" s="596"/>
      <c r="BU78" s="596"/>
      <c r="BV78" s="596"/>
      <c r="BW78" s="596"/>
      <c r="BX78" s="596"/>
      <c r="BY78" s="596"/>
      <c r="BZ78" s="596"/>
      <c r="CA78" s="596"/>
      <c r="CB78" s="596"/>
      <c r="CC78" s="596"/>
      <c r="CD78" s="596"/>
      <c r="CE78" s="596"/>
      <c r="CF78" s="596"/>
      <c r="CG78" s="596"/>
      <c r="CH78" s="596"/>
      <c r="CI78" s="596"/>
      <c r="CJ78" s="596"/>
      <c r="CK78" s="596"/>
      <c r="CL78" s="596"/>
      <c r="CM78" s="596"/>
      <c r="CN78" s="596"/>
      <c r="CO78" s="596"/>
      <c r="CP78" s="596"/>
      <c r="CQ78" s="596"/>
      <c r="CR78" s="596"/>
      <c r="CS78" s="596"/>
      <c r="CT78" s="596"/>
      <c r="CU78" s="596"/>
      <c r="CV78" s="596"/>
      <c r="CW78" s="596"/>
      <c r="CX78" s="596"/>
      <c r="CY78" s="596"/>
      <c r="CZ78" s="596"/>
      <c r="DA78" s="596"/>
      <c r="DB78" s="596"/>
      <c r="DC78" s="596"/>
      <c r="DD78" s="596"/>
      <c r="DE78" s="596"/>
      <c r="DF78" s="596"/>
      <c r="DG78" s="596"/>
      <c r="DH78" s="596"/>
      <c r="DI78" s="596"/>
      <c r="DJ78" s="596"/>
      <c r="DK78" s="596"/>
      <c r="DL78" s="596"/>
      <c r="DM78" s="596"/>
      <c r="DN78" s="596"/>
      <c r="DO78" s="596"/>
      <c r="DP78" s="596"/>
      <c r="DQ78" s="596"/>
      <c r="DR78" s="596"/>
      <c r="DS78" s="596"/>
      <c r="DT78" s="596"/>
      <c r="DU78" s="596"/>
      <c r="DV78" s="596"/>
      <c r="DW78" s="596"/>
      <c r="DX78" s="596"/>
    </row>
    <row r="79" ht="15.0" customHeight="1">
      <c r="A79" s="611">
        <v>42173.0</v>
      </c>
      <c r="B79" s="588" t="s">
        <v>2089</v>
      </c>
      <c r="C79" s="612" t="s">
        <v>2090</v>
      </c>
      <c r="D79" s="588">
        <v>10.0</v>
      </c>
      <c r="E79" s="589" t="str">
        <f>IFERROR(__xludf.DUMMYFUNCTION("if(and(D79&lt;&gt;0,D79&lt;&gt;""""),D79/GOOGLEFINANCE(C79,""price"")-1,"""")"),"#N/A")</f>
        <v>#N/A</v>
      </c>
      <c r="F79" s="590" t="str">
        <f>IFERROR(__xludf.DUMMYFUNCTION("GOOGLEFINANCE(C79,""price"")"),"#N/A")</f>
        <v>#N/A</v>
      </c>
      <c r="G79" s="589" t="str">
        <f>IFERROR(__xludf.DUMMYFUNCTION("if(and(I79&lt;&gt;0,I79&lt;&gt;""""),I79/GOOGLEFINANCE(C79,""price"")-1,"""")"),"#N/A")</f>
        <v>#N/A</v>
      </c>
      <c r="H79" s="658"/>
      <c r="I79" s="592">
        <v>0.5</v>
      </c>
      <c r="J79" s="586"/>
      <c r="K79" s="586"/>
      <c r="L79" s="586"/>
      <c r="M79" s="586"/>
      <c r="N79" s="586"/>
      <c r="O79" s="586"/>
      <c r="P79" s="588"/>
      <c r="Q79" s="588"/>
      <c r="R79" s="588"/>
      <c r="S79" s="588"/>
      <c r="T79" s="588"/>
      <c r="U79" s="593" t="s">
        <v>2091</v>
      </c>
      <c r="V79" s="594"/>
      <c r="W79" s="595"/>
      <c r="X79" s="596"/>
      <c r="Y79" s="596"/>
      <c r="Z79" s="596"/>
      <c r="AA79" s="596"/>
      <c r="AB79" s="596"/>
      <c r="AC79" s="596"/>
      <c r="AD79" s="596"/>
      <c r="AE79" s="596"/>
      <c r="AF79" s="596"/>
      <c r="AG79" s="596"/>
      <c r="AH79" s="596"/>
      <c r="AI79" s="596"/>
      <c r="AJ79" s="596"/>
      <c r="AK79" s="596"/>
      <c r="AL79" s="596"/>
      <c r="AM79" s="596"/>
      <c r="AN79" s="596"/>
      <c r="AO79" s="596"/>
      <c r="AP79" s="596"/>
      <c r="AQ79" s="596"/>
      <c r="AR79" s="596"/>
      <c r="AS79" s="596"/>
      <c r="AT79" s="596"/>
      <c r="AU79" s="596"/>
      <c r="AV79" s="596"/>
      <c r="AW79" s="596"/>
      <c r="AX79" s="596"/>
      <c r="AY79" s="596"/>
      <c r="AZ79" s="596"/>
      <c r="BA79" s="596"/>
      <c r="BB79" s="596"/>
      <c r="BC79" s="596"/>
      <c r="BD79" s="596"/>
      <c r="BE79" s="596"/>
      <c r="BF79" s="596"/>
      <c r="BG79" s="596"/>
      <c r="BH79" s="596"/>
      <c r="BI79" s="596"/>
      <c r="BJ79" s="596"/>
      <c r="BK79" s="596"/>
      <c r="BL79" s="596"/>
      <c r="BM79" s="596"/>
      <c r="BN79" s="596"/>
      <c r="BO79" s="596"/>
      <c r="BP79" s="596"/>
      <c r="BQ79" s="596"/>
      <c r="BR79" s="596"/>
      <c r="BS79" s="596"/>
      <c r="BT79" s="596"/>
      <c r="BU79" s="596"/>
      <c r="BV79" s="596"/>
      <c r="BW79" s="596"/>
      <c r="BX79" s="596"/>
      <c r="BY79" s="596"/>
      <c r="BZ79" s="596"/>
      <c r="CA79" s="596"/>
      <c r="CB79" s="596"/>
      <c r="CC79" s="596"/>
      <c r="CD79" s="596"/>
      <c r="CE79" s="596"/>
      <c r="CF79" s="596"/>
      <c r="CG79" s="596"/>
      <c r="CH79" s="596"/>
      <c r="CI79" s="596"/>
      <c r="CJ79" s="596"/>
      <c r="CK79" s="596"/>
      <c r="CL79" s="596"/>
      <c r="CM79" s="596"/>
      <c r="CN79" s="596"/>
      <c r="CO79" s="596"/>
      <c r="CP79" s="596"/>
      <c r="CQ79" s="596"/>
      <c r="CR79" s="596"/>
      <c r="CS79" s="596"/>
      <c r="CT79" s="596"/>
      <c r="CU79" s="596"/>
      <c r="CV79" s="596"/>
      <c r="CW79" s="596"/>
      <c r="CX79" s="596"/>
      <c r="CY79" s="596"/>
      <c r="CZ79" s="596"/>
      <c r="DA79" s="596"/>
      <c r="DB79" s="596"/>
      <c r="DC79" s="596"/>
      <c r="DD79" s="596"/>
      <c r="DE79" s="596"/>
      <c r="DF79" s="596"/>
      <c r="DG79" s="596"/>
      <c r="DH79" s="596"/>
      <c r="DI79" s="596"/>
      <c r="DJ79" s="596"/>
      <c r="DK79" s="596"/>
      <c r="DL79" s="596"/>
      <c r="DM79" s="596"/>
      <c r="DN79" s="596"/>
      <c r="DO79" s="596"/>
      <c r="DP79" s="596"/>
      <c r="DQ79" s="596"/>
      <c r="DR79" s="596"/>
      <c r="DS79" s="596"/>
      <c r="DT79" s="596"/>
      <c r="DU79" s="596"/>
      <c r="DV79" s="596"/>
      <c r="DW79" s="596"/>
      <c r="DX79" s="596"/>
    </row>
    <row r="80" ht="15.0" customHeight="1">
      <c r="A80" s="574">
        <v>41979.0</v>
      </c>
      <c r="B80" s="608" t="s">
        <v>2094</v>
      </c>
      <c r="C80" s="609" t="s">
        <v>2095</v>
      </c>
      <c r="D80" s="575"/>
      <c r="E80" s="577" t="str">
        <f>IFERROR(__xludf.DUMMYFUNCTION("if(and(D80&lt;&gt;0,D80&lt;&gt;""""),D80/GOOGLEFINANCE(C80,""price"")-1,"""")"),"")</f>
        <v/>
      </c>
      <c r="F80" s="578">
        <f>IFERROR(__xludf.DUMMYFUNCTION("GOOGLEFINANCE(C80,""price"")"),0.11)</f>
        <v>0.11</v>
      </c>
      <c r="G80" s="577" t="str">
        <f>IFERROR(__xludf.DUMMYFUNCTION("if(and(I80&lt;&gt;0,I80&lt;&gt;""""),I80/GOOGLEFINANCE(C80,""price"")-1,"""")"),"")</f>
        <v/>
      </c>
      <c r="H80" s="579"/>
      <c r="I80" s="610"/>
      <c r="J80" s="575"/>
      <c r="K80" s="575"/>
      <c r="L80" s="575"/>
      <c r="M80" s="575"/>
      <c r="N80" s="575"/>
      <c r="O80" s="575"/>
      <c r="P80" s="608"/>
      <c r="Q80" s="608"/>
      <c r="R80" s="608"/>
      <c r="S80" s="608"/>
      <c r="T80" s="608"/>
      <c r="U80" s="613" t="s">
        <v>2097</v>
      </c>
      <c r="V80" s="614"/>
      <c r="W80" s="615"/>
      <c r="X80" s="616"/>
      <c r="Y80" s="616"/>
      <c r="Z80" s="616"/>
      <c r="AA80" s="616"/>
      <c r="AB80" s="616"/>
      <c r="AC80" s="616"/>
      <c r="AD80" s="616"/>
      <c r="AE80" s="616"/>
      <c r="AF80" s="616"/>
      <c r="AG80" s="616"/>
      <c r="AH80" s="616"/>
      <c r="AI80" s="616"/>
      <c r="AJ80" s="616"/>
      <c r="AK80" s="616"/>
      <c r="AL80" s="616"/>
      <c r="AM80" s="616"/>
      <c r="AN80" s="616"/>
      <c r="AO80" s="616"/>
      <c r="AP80" s="616"/>
      <c r="AQ80" s="616"/>
      <c r="AR80" s="616"/>
      <c r="AS80" s="616"/>
      <c r="AT80" s="616"/>
      <c r="AU80" s="616"/>
      <c r="AV80" s="616"/>
      <c r="AW80" s="616"/>
      <c r="AX80" s="616"/>
      <c r="AY80" s="616"/>
      <c r="AZ80" s="616"/>
      <c r="BA80" s="616"/>
      <c r="BB80" s="616"/>
      <c r="BC80" s="616"/>
      <c r="BD80" s="616"/>
      <c r="BE80" s="616"/>
      <c r="BF80" s="616"/>
      <c r="BG80" s="616"/>
      <c r="BH80" s="616"/>
      <c r="BI80" s="616"/>
      <c r="BJ80" s="616"/>
      <c r="BK80" s="616"/>
      <c r="BL80" s="616"/>
      <c r="BM80" s="616"/>
      <c r="BN80" s="616"/>
      <c r="BO80" s="616"/>
      <c r="BP80" s="616"/>
      <c r="BQ80" s="616"/>
      <c r="BR80" s="616"/>
      <c r="BS80" s="616"/>
      <c r="BT80" s="616"/>
      <c r="BU80" s="616"/>
      <c r="BV80" s="616"/>
      <c r="BW80" s="616"/>
      <c r="BX80" s="616"/>
      <c r="BY80" s="616"/>
      <c r="BZ80" s="616"/>
      <c r="CA80" s="616"/>
      <c r="CB80" s="616"/>
      <c r="CC80" s="616"/>
      <c r="CD80" s="616"/>
      <c r="CE80" s="616"/>
      <c r="CF80" s="616"/>
      <c r="CG80" s="616"/>
      <c r="CH80" s="616"/>
      <c r="CI80" s="616"/>
      <c r="CJ80" s="616"/>
      <c r="CK80" s="616"/>
      <c r="CL80" s="616"/>
      <c r="CM80" s="616"/>
      <c r="CN80" s="616"/>
      <c r="CO80" s="616"/>
      <c r="CP80" s="616"/>
      <c r="CQ80" s="616"/>
      <c r="CR80" s="616"/>
      <c r="CS80" s="616"/>
      <c r="CT80" s="616"/>
      <c r="CU80" s="616"/>
      <c r="CV80" s="616"/>
      <c r="CW80" s="616"/>
      <c r="CX80" s="616"/>
      <c r="CY80" s="616"/>
      <c r="CZ80" s="616"/>
      <c r="DA80" s="616"/>
      <c r="DB80" s="616"/>
      <c r="DC80" s="616"/>
      <c r="DD80" s="616"/>
      <c r="DE80" s="616"/>
      <c r="DF80" s="616"/>
      <c r="DG80" s="616"/>
      <c r="DH80" s="616"/>
      <c r="DI80" s="616"/>
      <c r="DJ80" s="616"/>
      <c r="DK80" s="616"/>
      <c r="DL80" s="616"/>
      <c r="DM80" s="616"/>
      <c r="DN80" s="616"/>
      <c r="DO80" s="616"/>
      <c r="DP80" s="616"/>
      <c r="DQ80" s="616"/>
      <c r="DR80" s="616"/>
      <c r="DS80" s="616"/>
      <c r="DT80" s="616"/>
      <c r="DU80" s="616"/>
      <c r="DV80" s="616"/>
      <c r="DW80" s="616"/>
      <c r="DX80" s="616"/>
    </row>
    <row r="81" ht="15.0" customHeight="1">
      <c r="A81" s="574">
        <v>40806.0</v>
      </c>
      <c r="B81" s="575" t="s">
        <v>2100</v>
      </c>
      <c r="C81" s="576" t="s">
        <v>2101</v>
      </c>
      <c r="D81" s="575"/>
      <c r="E81" s="577" t="str">
        <f>IFERROR(__xludf.DUMMYFUNCTION("if(and(D81&lt;&gt;0,D81&lt;&gt;""""),D81/GOOGLEFINANCE(C81,""price"")-1,"""")"),"")</f>
        <v/>
      </c>
      <c r="F81" s="578">
        <f>IFERROR(__xludf.DUMMYFUNCTION("GOOGLEFINANCE(C81,""price"")"),15.0)</f>
        <v>15</v>
      </c>
      <c r="G81" s="577" t="str">
        <f>IFERROR(__xludf.DUMMYFUNCTION("if(and(I81&lt;&gt;0,I81&lt;&gt;""""),I81/GOOGLEFINANCE(C81,""price"")-1,"""")"),"")</f>
        <v/>
      </c>
      <c r="H81" s="579"/>
      <c r="I81" s="580"/>
      <c r="J81" s="575"/>
      <c r="K81" s="575"/>
      <c r="L81" s="575"/>
      <c r="M81" s="575"/>
      <c r="N81" s="575"/>
      <c r="O81" s="575"/>
      <c r="P81" s="575"/>
      <c r="Q81" s="575"/>
      <c r="R81" s="575"/>
      <c r="S81" s="575"/>
      <c r="T81" s="575"/>
      <c r="U81" s="581"/>
      <c r="V81" s="582"/>
      <c r="W81" s="583"/>
      <c r="X81" s="584"/>
      <c r="Y81" s="584"/>
      <c r="Z81" s="584"/>
      <c r="AA81" s="584"/>
      <c r="AB81" s="584"/>
      <c r="AC81" s="584"/>
      <c r="AD81" s="584"/>
      <c r="AE81" s="584"/>
      <c r="AF81" s="584"/>
      <c r="AG81" s="584"/>
      <c r="AH81" s="584"/>
      <c r="AI81" s="584"/>
      <c r="AJ81" s="584"/>
      <c r="AK81" s="584"/>
      <c r="AL81" s="584"/>
      <c r="AM81" s="584"/>
      <c r="AN81" s="584"/>
      <c r="AO81" s="584"/>
      <c r="AP81" s="584"/>
      <c r="AQ81" s="584"/>
      <c r="AR81" s="584"/>
      <c r="AS81" s="584"/>
      <c r="AT81" s="584"/>
      <c r="AU81" s="584"/>
      <c r="AV81" s="584"/>
      <c r="AW81" s="584"/>
      <c r="AX81" s="584"/>
      <c r="AY81" s="584"/>
      <c r="AZ81" s="584"/>
      <c r="BA81" s="584"/>
      <c r="BB81" s="584"/>
      <c r="BC81" s="584"/>
      <c r="BD81" s="584"/>
      <c r="BE81" s="584"/>
      <c r="BF81" s="584"/>
      <c r="BG81" s="584"/>
      <c r="BH81" s="584"/>
      <c r="BI81" s="584"/>
      <c r="BJ81" s="584"/>
      <c r="BK81" s="584"/>
      <c r="BL81" s="584"/>
      <c r="BM81" s="584"/>
      <c r="BN81" s="584"/>
      <c r="BO81" s="584"/>
      <c r="BP81" s="584"/>
      <c r="BQ81" s="584"/>
      <c r="BR81" s="584"/>
      <c r="BS81" s="584"/>
      <c r="BT81" s="584"/>
      <c r="BU81" s="584"/>
      <c r="BV81" s="584"/>
      <c r="BW81" s="584"/>
      <c r="BX81" s="584"/>
      <c r="BY81" s="584"/>
      <c r="BZ81" s="584"/>
      <c r="CA81" s="584"/>
      <c r="CB81" s="584"/>
      <c r="CC81" s="584"/>
      <c r="CD81" s="584"/>
      <c r="CE81" s="584"/>
      <c r="CF81" s="584"/>
      <c r="CG81" s="584"/>
      <c r="CH81" s="584"/>
      <c r="CI81" s="584"/>
      <c r="CJ81" s="584"/>
      <c r="CK81" s="584"/>
      <c r="CL81" s="584"/>
      <c r="CM81" s="584"/>
      <c r="CN81" s="584"/>
      <c r="CO81" s="584"/>
      <c r="CP81" s="584"/>
      <c r="CQ81" s="584"/>
      <c r="CR81" s="584"/>
      <c r="CS81" s="584"/>
      <c r="CT81" s="584"/>
      <c r="CU81" s="584"/>
      <c r="CV81" s="584"/>
      <c r="CW81" s="584"/>
      <c r="CX81" s="584"/>
      <c r="CY81" s="584"/>
      <c r="CZ81" s="584"/>
      <c r="DA81" s="584"/>
      <c r="DB81" s="584"/>
      <c r="DC81" s="584"/>
      <c r="DD81" s="584"/>
      <c r="DE81" s="584"/>
      <c r="DF81" s="584"/>
      <c r="DG81" s="584"/>
      <c r="DH81" s="584"/>
      <c r="DI81" s="584"/>
      <c r="DJ81" s="584"/>
      <c r="DK81" s="584"/>
      <c r="DL81" s="584"/>
      <c r="DM81" s="584"/>
      <c r="DN81" s="584"/>
      <c r="DO81" s="584"/>
      <c r="DP81" s="584"/>
      <c r="DQ81" s="584"/>
      <c r="DR81" s="584"/>
      <c r="DS81" s="584"/>
      <c r="DT81" s="584"/>
      <c r="DU81" s="584"/>
      <c r="DV81" s="584"/>
      <c r="DW81" s="584"/>
      <c r="DX81" s="584"/>
    </row>
    <row r="82" ht="15.0" customHeight="1">
      <c r="A82" s="652">
        <v>43234.0</v>
      </c>
      <c r="B82" s="653" t="s">
        <v>2104</v>
      </c>
      <c r="C82" s="654" t="s">
        <v>1525</v>
      </c>
      <c r="D82" s="679">
        <v>280.0</v>
      </c>
      <c r="E82" s="680">
        <f>IFERROR(__xludf.DUMMYFUNCTION("if(and(D82&lt;&gt;0,D82&lt;&gt;""""),D82/GOOGLEFINANCE(C82,""price"")-1,"""")"),-0.14667966964312928)</f>
        <v>-0.1466796696</v>
      </c>
      <c r="F82" s="681">
        <f>IFERROR(__xludf.DUMMYFUNCTION("GOOGLEFINANCE(C82,""price"")"),328.13)</f>
        <v>328.13</v>
      </c>
      <c r="G82" s="680">
        <f>IFERROR(__xludf.DUMMYFUNCTION("if(and(I82&lt;&gt;0,I82&lt;&gt;""""),I82/GOOGLEFINANCE(C82,""price"")-1,"""")"),-0.7355787666703804)</f>
        <v>-0.7355787667</v>
      </c>
      <c r="H82" s="682"/>
      <c r="I82" s="592">
        <f>sum(CY82:DS82)</f>
        <v>86.76453929</v>
      </c>
      <c r="J82" s="617">
        <f>24941/173*0.05</f>
        <v>7.208381503</v>
      </c>
      <c r="K82" s="617">
        <f>J82*(1+O82)</f>
        <v>9.010476879</v>
      </c>
      <c r="L82" s="618">
        <v>43830.0</v>
      </c>
      <c r="M82" s="619">
        <f>(L82-now())/365</f>
        <v>0.1798884231</v>
      </c>
      <c r="N82" s="620">
        <f>J82*M82+(1-M82)*K82</f>
        <v>8.686300783</v>
      </c>
      <c r="O82" s="621">
        <v>0.25</v>
      </c>
      <c r="P82" s="621">
        <v>0.06</v>
      </c>
      <c r="Q82" s="622">
        <f>I82/N82</f>
        <v>9.988663927</v>
      </c>
      <c r="R82" s="623">
        <v>6.0</v>
      </c>
      <c r="S82" s="624">
        <v>43750.0</v>
      </c>
      <c r="T82" s="623" t="s">
        <v>1609</v>
      </c>
      <c r="U82" s="685" t="s">
        <v>2109</v>
      </c>
      <c r="V82" s="625">
        <f>O82</f>
        <v>0.25</v>
      </c>
      <c r="W82" s="392">
        <f>max(min(Valu!$C$15,$O82),$O82-max($O82-Valu!$C$15,0)/$R82*(W$3-1))</f>
        <v>0.2133333333</v>
      </c>
      <c r="X82" s="392">
        <f>max(min(Valu!$C$15,$O82),$O82-max($O82-Valu!$C$15,0)/$R82*(X$3-1))</f>
        <v>0.1766666667</v>
      </c>
      <c r="Y82" s="392">
        <f>max(min(Valu!$C$15,$O82),$O82-max($O82-Valu!$C$15,0)/$R82*(Y$3-1))</f>
        <v>0.14</v>
      </c>
      <c r="Z82" s="392">
        <f>max(min(Valu!$C$15,$O82),$O82-max($O82-Valu!$C$15,0)/$R82*(Z$3-1))</f>
        <v>0.1033333333</v>
      </c>
      <c r="AA82" s="392">
        <f>max(min(Valu!$C$15,$O82),$O82-max($O82-Valu!$C$15,0)/$R82*(AA$3-1))</f>
        <v>0.06666666667</v>
      </c>
      <c r="AB82" s="392">
        <f>max(min(Valu!$C$15,$O82),$O82-max($O82-Valu!$C$15,0)/$R82*(AB$3-1))</f>
        <v>0.03</v>
      </c>
      <c r="AC82" s="392">
        <f>max(min(Valu!$C$15,$O82),$O82-max($O82-Valu!$C$15,0)/$R82*(AC$3-1))</f>
        <v>0.03</v>
      </c>
      <c r="AD82" s="392">
        <f>max(min(Valu!$C$15,$O82),$O82-max($O82-Valu!$C$15,0)/$R82*(AD$3-1))</f>
        <v>0.03</v>
      </c>
      <c r="AE82" s="392">
        <f>max(min(Valu!$C$15,$O82),$O82-max($O82-Valu!$C$15,0)/$R82*(AE$3-1))</f>
        <v>0.03</v>
      </c>
      <c r="AF82" s="392">
        <f>max(min(Valu!$C$15,$O82),$O82-max($O82-Valu!$C$15,0)/$R82*(AF$3-1))</f>
        <v>0.03</v>
      </c>
      <c r="AG82" s="392">
        <f>max(min(Valu!$C$15,$O82),$O82-max($O82-Valu!$C$15,0)/$R82*(AG$3-1))</f>
        <v>0.03</v>
      </c>
      <c r="AH82" s="392">
        <f>max(min(Valu!$C$15,$O82),$O82-max($O82-Valu!$C$15,0)/$R82*(AH$3-1))</f>
        <v>0.03</v>
      </c>
      <c r="AI82" s="392">
        <f>max(min(Valu!$C$15,$O82),$O82-max($O82-Valu!$C$15,0)/$R82*(AI$3-1))</f>
        <v>0.03</v>
      </c>
      <c r="AJ82" s="392">
        <f>max(min(Valu!$C$15,$O82),$O82-max($O82-Valu!$C$15,0)/$R82*(AJ$3-1))</f>
        <v>0.03</v>
      </c>
      <c r="AK82" s="392">
        <f>max(min(Valu!$C$15,$O82),$O82-max($O82-Valu!$C$15,0)/$R82*(AK$3-1))</f>
        <v>0.03</v>
      </c>
      <c r="AL82" s="392">
        <f>max(min(Valu!$C$15,$O82),$O82-max($O82-Valu!$C$15,0)/$R82*(AL$3-1))</f>
        <v>0.03</v>
      </c>
      <c r="AM82" s="392">
        <f>max(min(Valu!$C$15,$O82),$O82-max($O82-Valu!$C$15,0)/$R82*(AM$3-1))</f>
        <v>0.03</v>
      </c>
      <c r="AN82" s="392">
        <f>max(min(Valu!$C$15,$O82),$O82-max($O82-Valu!$C$15,0)/$R82*(AN$3-1))</f>
        <v>0.03</v>
      </c>
      <c r="AO82" s="392">
        <f>max(min(Valu!$C$15,$O82),$O82-max($O82-Valu!$C$15,0)/$R82*(AO$3-1))</f>
        <v>0.03</v>
      </c>
      <c r="AP82" s="392">
        <f>max(min(Valu!$C$14,$P82),$P82-max($P82-Valu!$C$14,0)/$R82*(AP$3-1))</f>
        <v>0.06</v>
      </c>
      <c r="AQ82" s="392">
        <f>max(min(Valu!$C$14,$P82),$P82-max($P82-Valu!$C$14,0)/$R82*(AQ$3-1))</f>
        <v>0.06</v>
      </c>
      <c r="AR82" s="392">
        <f>max(min(Valu!$C$14,$P82),$P82-max($P82-Valu!$C$14,0)/$R82*(AR$3-1))</f>
        <v>0.06</v>
      </c>
      <c r="AS82" s="392">
        <f>max(min(Valu!$C$14,$P82),$P82-max($P82-Valu!$C$14,0)/$R82*(AS$3-1))</f>
        <v>0.06</v>
      </c>
      <c r="AT82" s="392">
        <f>max(min(Valu!$C$14,$P82),$P82-max($P82-Valu!$C$14,0)/$R82*(AT$3-1))</f>
        <v>0.06</v>
      </c>
      <c r="AU82" s="392">
        <f>max(min(Valu!$C$14,$P82),$P82-max($P82-Valu!$C$14,0)/$R82*(AU$3-1))</f>
        <v>0.06</v>
      </c>
      <c r="AV82" s="392">
        <f>max(min(Valu!$C$14,$P82),$P82-max($P82-Valu!$C$14,0)/$R82*(AV$3-1))</f>
        <v>0.06</v>
      </c>
      <c r="AW82" s="392">
        <f>max(min(Valu!$C$14,$P82),$P82-max($P82-Valu!$C$14,0)/$R82*(AW$3-1))</f>
        <v>0.06</v>
      </c>
      <c r="AX82" s="392">
        <f>max(min(Valu!$C$14,$P82),$P82-max($P82-Valu!$C$14,0)/$R82*(AX$3-1))</f>
        <v>0.06</v>
      </c>
      <c r="AY82" s="392">
        <f>max(min(Valu!$C$14,$P82),$P82-max($P82-Valu!$C$14,0)/$R82*(AY$3-1))</f>
        <v>0.06</v>
      </c>
      <c r="AZ82" s="392">
        <f>max(min(Valu!$C$14,$P82),$P82-max($P82-Valu!$C$14,0)/$R82*(AZ$3-1))</f>
        <v>0.06</v>
      </c>
      <c r="BA82" s="392">
        <f>max(min(Valu!$C$14,$P82),$P82-max($P82-Valu!$C$14,0)/$R82*(BA$3-1))</f>
        <v>0.06</v>
      </c>
      <c r="BB82" s="392">
        <f>max(min(Valu!$C$14,$P82),$P82-max($P82-Valu!$C$14,0)/$R82*(BB$3-1))</f>
        <v>0.06</v>
      </c>
      <c r="BC82" s="392">
        <f>max(min(Valu!$C$14,$P82),$P82-max($P82-Valu!$C$14,0)/$R82*(BC$3-1))</f>
        <v>0.06</v>
      </c>
      <c r="BD82" s="392">
        <f>max(min(Valu!$C$14,$P82),$P82-max($P82-Valu!$C$14,0)/$R82*(BD$3-1))</f>
        <v>0.06</v>
      </c>
      <c r="BE82" s="392">
        <f>max(min(Valu!$C$14,$P82),$P82-max($P82-Valu!$C$14,0)/$R82*(BE$3-1))</f>
        <v>0.06</v>
      </c>
      <c r="BF82" s="392">
        <f>max(min(Valu!$C$14,$P82),$P82-max($P82-Valu!$C$14,0)/$R82*(BF$3-1))</f>
        <v>0.06</v>
      </c>
      <c r="BG82" s="392">
        <f>max(min(Valu!$C$14,$P82),$P82-max($P82-Valu!$C$14,0)/$R82*(BG$3-1))</f>
        <v>0.06</v>
      </c>
      <c r="BH82" s="392">
        <f>max(min(Valu!$C$14,$P82),$P82-max($P82-Valu!$C$14,0)/$R82*(BH$3-1))</f>
        <v>0.06</v>
      </c>
      <c r="BI82" s="392">
        <f>max(min(Valu!$C$14,$P82),$P82-max($P82-Valu!$C$14,0)/$R82*(BI$3-1))</f>
        <v>0.06</v>
      </c>
      <c r="BJ82" s="393">
        <f>N82</f>
        <v>8.686300783</v>
      </c>
      <c r="BK82" s="369">
        <f>$BJ82*(1+V82)</f>
        <v>10.85787598</v>
      </c>
      <c r="BL82" s="369">
        <f t="shared" ref="BL82:CC82" si="10">BK82*(1+W82)</f>
        <v>13.17422285</v>
      </c>
      <c r="BM82" s="369">
        <f t="shared" si="10"/>
        <v>15.50166889</v>
      </c>
      <c r="BN82" s="369">
        <f t="shared" si="10"/>
        <v>17.67190254</v>
      </c>
      <c r="BO82" s="369">
        <f t="shared" si="10"/>
        <v>19.49799913</v>
      </c>
      <c r="BP82" s="369">
        <f t="shared" si="10"/>
        <v>20.79786574</v>
      </c>
      <c r="BQ82" s="369">
        <f t="shared" si="10"/>
        <v>21.42180171</v>
      </c>
      <c r="BR82" s="369">
        <f t="shared" si="10"/>
        <v>22.06445576</v>
      </c>
      <c r="BS82" s="369">
        <f t="shared" si="10"/>
        <v>22.72638944</v>
      </c>
      <c r="BT82" s="369">
        <f t="shared" si="10"/>
        <v>23.40818112</v>
      </c>
      <c r="BU82" s="369">
        <f t="shared" si="10"/>
        <v>24.11042655</v>
      </c>
      <c r="BV82" s="369">
        <f t="shared" si="10"/>
        <v>24.83373935</v>
      </c>
      <c r="BW82" s="369">
        <f t="shared" si="10"/>
        <v>25.57875153</v>
      </c>
      <c r="BX82" s="369">
        <f t="shared" si="10"/>
        <v>26.34611408</v>
      </c>
      <c r="BY82" s="369">
        <f t="shared" si="10"/>
        <v>27.1364975</v>
      </c>
      <c r="BZ82" s="369">
        <f t="shared" si="10"/>
        <v>27.95059243</v>
      </c>
      <c r="CA82" s="369">
        <f t="shared" si="10"/>
        <v>28.7891102</v>
      </c>
      <c r="CB82" s="369">
        <f t="shared" si="10"/>
        <v>29.6527835</v>
      </c>
      <c r="CC82" s="369">
        <f t="shared" si="10"/>
        <v>30.54236701</v>
      </c>
      <c r="CD82" s="369">
        <f t="shared" ref="CD82:CW82" si="11">BJ82*(1-V82/AP82)</f>
        <v>-27.50661915</v>
      </c>
      <c r="CE82" s="369">
        <f t="shared" si="11"/>
        <v>-27.74790528</v>
      </c>
      <c r="CF82" s="369">
        <f t="shared" si="11"/>
        <v>-25.61654444</v>
      </c>
      <c r="CG82" s="369">
        <f t="shared" si="11"/>
        <v>-20.66889186</v>
      </c>
      <c r="CH82" s="369">
        <f t="shared" si="11"/>
        <v>-12.76304072</v>
      </c>
      <c r="CI82" s="369">
        <f t="shared" si="11"/>
        <v>-2.166444348</v>
      </c>
      <c r="CJ82" s="369">
        <f t="shared" si="11"/>
        <v>10.39893287</v>
      </c>
      <c r="CK82" s="369">
        <f t="shared" si="11"/>
        <v>10.71090086</v>
      </c>
      <c r="CL82" s="369">
        <f t="shared" si="11"/>
        <v>11.03222788</v>
      </c>
      <c r="CM82" s="369">
        <f t="shared" si="11"/>
        <v>11.36319472</v>
      </c>
      <c r="CN82" s="369">
        <f t="shared" si="11"/>
        <v>11.70409056</v>
      </c>
      <c r="CO82" s="369">
        <f t="shared" si="11"/>
        <v>12.05521328</v>
      </c>
      <c r="CP82" s="369">
        <f t="shared" si="11"/>
        <v>12.41686968</v>
      </c>
      <c r="CQ82" s="369">
        <f t="shared" si="11"/>
        <v>12.78937577</v>
      </c>
      <c r="CR82" s="369">
        <f t="shared" si="11"/>
        <v>13.17305704</v>
      </c>
      <c r="CS82" s="369">
        <f t="shared" si="11"/>
        <v>13.56824875</v>
      </c>
      <c r="CT82" s="369">
        <f t="shared" si="11"/>
        <v>13.97529621</v>
      </c>
      <c r="CU82" s="369">
        <f t="shared" si="11"/>
        <v>14.3945551</v>
      </c>
      <c r="CV82" s="369">
        <f t="shared" si="11"/>
        <v>14.82639175</v>
      </c>
      <c r="CW82" s="369">
        <f t="shared" si="11"/>
        <v>15.2711835</v>
      </c>
      <c r="CX82" s="369">
        <f>CW82*(1+min(Valu!$C$15,$O82))/(Valu!$C$21-min(Valu!$C$15,$O82))</f>
        <v>413.9294476</v>
      </c>
      <c r="CY82" s="369">
        <f>CD82/(1+Valu!$C$21)^CY$3</f>
        <v>-25.75526137</v>
      </c>
      <c r="CZ82" s="369">
        <f>CE82/(1+Valu!$C$21)^CZ$3</f>
        <v>-24.32695198</v>
      </c>
      <c r="DA82" s="369">
        <f>CF82/(1+Valu!$C$21)^DA$3</f>
        <v>-21.02842698</v>
      </c>
      <c r="DB82" s="369">
        <f>CG82/(1+Valu!$C$21)^DB$3</f>
        <v>-15.88664468</v>
      </c>
      <c r="DC82" s="369">
        <f>CH82/(1+Valu!$C$21)^DC$3</f>
        <v>-9.18539615</v>
      </c>
      <c r="DD82" s="369">
        <f>CI82/(1+Valu!$C$21)^DD$3</f>
        <v>-1.459889621</v>
      </c>
      <c r="DE82" s="369">
        <f>CJ82/(1+Valu!$C$21)^DE$3</f>
        <v>6.56130167</v>
      </c>
      <c r="DF82" s="369">
        <f>CK82/(1+Valu!$C$21)^DF$3</f>
        <v>6.327847116</v>
      </c>
      <c r="DG82" s="369">
        <f>CL82/(1+Valu!$C$21)^DG$3</f>
        <v>6.102698997</v>
      </c>
      <c r="DH82" s="369">
        <f>CM82/(1+Valu!$C$21)^DH$3</f>
        <v>5.885561767</v>
      </c>
      <c r="DI82" s="369">
        <f>CN82/(1+Valu!$C$21)^DI$3</f>
        <v>5.676150394</v>
      </c>
      <c r="DJ82" s="369">
        <f>CO82/(1+Valu!$C$21)^DJ$3</f>
        <v>5.474189986</v>
      </c>
      <c r="DK82" s="369">
        <f>CP82/(1+Valu!$C$21)^DK$3</f>
        <v>5.279415436</v>
      </c>
      <c r="DL82" s="369">
        <f>CQ82/(1+Valu!$C$21)^DL$3</f>
        <v>5.091571067</v>
      </c>
      <c r="DM82" s="369">
        <f>CR82/(1+Valu!$C$21)^DM$3</f>
        <v>4.910410298</v>
      </c>
      <c r="DN82" s="369">
        <f>CS82/(1+Valu!$C$21)^DN$3</f>
        <v>4.735695325</v>
      </c>
      <c r="DO82" s="369">
        <f>CT82/(1+Valu!$C$21)^DO$3</f>
        <v>4.567196802</v>
      </c>
      <c r="DP82" s="369">
        <f>CU82/(1+Valu!$C$21)^DP$3</f>
        <v>4.404693545</v>
      </c>
      <c r="DQ82" s="369">
        <f>CV82/(1+Valu!$C$21)^DQ$3</f>
        <v>4.24797224</v>
      </c>
      <c r="DR82" s="369">
        <f>CW82/(1+Valu!$C$21)^DR$3</f>
        <v>4.09682716</v>
      </c>
      <c r="DS82" s="369">
        <f>CX82/(1+Valu!$C$21)^DS$3</f>
        <v>111.0455783</v>
      </c>
      <c r="DT82" s="685"/>
      <c r="DU82" s="685"/>
      <c r="DV82" s="685"/>
      <c r="DW82" s="685"/>
      <c r="DX82" s="685"/>
    </row>
    <row r="83" ht="15.0" customHeight="1">
      <c r="A83" s="659">
        <v>40109.0</v>
      </c>
      <c r="B83" s="660" t="s">
        <v>2143</v>
      </c>
      <c r="C83" s="661" t="s">
        <v>2144</v>
      </c>
      <c r="D83" s="660"/>
      <c r="E83" s="662" t="str">
        <f>IFERROR(__xludf.DUMMYFUNCTION("if(and(D83&lt;&gt;0,D83&lt;&gt;""""),D83/GOOGLEFINANCE(C83,""price"")-1,"""")"),"")</f>
        <v/>
      </c>
      <c r="F83" s="663" t="str">
        <f>IFERROR(__xludf.DUMMYFUNCTION("GOOGLEFINANCE(C83,""price"")"),"#N/A")</f>
        <v>#N/A</v>
      </c>
      <c r="G83" s="662" t="str">
        <f>IFERROR(__xludf.DUMMYFUNCTION("if(and(I83&lt;&gt;0,I83&lt;&gt;""""),I83/GOOGLEFINANCE(C83,""price"")-1,"""")"),"#N/A")</f>
        <v>#N/A</v>
      </c>
      <c r="H83" s="664">
        <v>40.0</v>
      </c>
      <c r="I83" s="665">
        <v>2.0</v>
      </c>
      <c r="J83" s="660"/>
      <c r="K83" s="660"/>
      <c r="L83" s="660"/>
      <c r="M83" s="660"/>
      <c r="N83" s="660"/>
      <c r="O83" s="660"/>
      <c r="P83" s="660"/>
      <c r="Q83" s="660"/>
      <c r="R83" s="660"/>
      <c r="S83" s="660"/>
      <c r="T83" s="660"/>
      <c r="U83" s="666"/>
      <c r="V83" s="651"/>
      <c r="W83" s="667"/>
      <c r="X83" s="668"/>
      <c r="Y83" s="668"/>
      <c r="Z83" s="668"/>
      <c r="AA83" s="668"/>
      <c r="AB83" s="668"/>
      <c r="AC83" s="668"/>
      <c r="AD83" s="668"/>
      <c r="AE83" s="668"/>
      <c r="AF83" s="668"/>
      <c r="AG83" s="668"/>
      <c r="AH83" s="668"/>
      <c r="AI83" s="668"/>
      <c r="AJ83" s="668"/>
      <c r="AK83" s="668"/>
      <c r="AL83" s="668"/>
      <c r="AM83" s="668"/>
      <c r="AN83" s="668"/>
      <c r="AO83" s="668"/>
      <c r="AP83" s="668"/>
      <c r="AQ83" s="668"/>
      <c r="AR83" s="668"/>
      <c r="AS83" s="668"/>
      <c r="AT83" s="668"/>
      <c r="AU83" s="668"/>
      <c r="AV83" s="668"/>
      <c r="AW83" s="668"/>
      <c r="AX83" s="668"/>
      <c r="AY83" s="668"/>
      <c r="AZ83" s="668"/>
      <c r="BA83" s="668"/>
      <c r="BB83" s="668"/>
      <c r="BC83" s="668"/>
      <c r="BD83" s="668"/>
      <c r="BE83" s="668"/>
      <c r="BF83" s="668"/>
      <c r="BG83" s="668"/>
      <c r="BH83" s="668"/>
      <c r="BI83" s="668"/>
      <c r="BJ83" s="668"/>
      <c r="BK83" s="668"/>
      <c r="BL83" s="668"/>
      <c r="BM83" s="668"/>
      <c r="BN83" s="668"/>
      <c r="BO83" s="668"/>
      <c r="BP83" s="668"/>
      <c r="BQ83" s="668"/>
      <c r="BR83" s="668"/>
      <c r="BS83" s="668"/>
      <c r="BT83" s="668"/>
      <c r="BU83" s="668"/>
      <c r="BV83" s="668"/>
      <c r="BW83" s="668"/>
      <c r="BX83" s="668"/>
      <c r="BY83" s="668"/>
      <c r="BZ83" s="668"/>
      <c r="CA83" s="668"/>
      <c r="CB83" s="668"/>
      <c r="CC83" s="668"/>
      <c r="CD83" s="668"/>
      <c r="CE83" s="668"/>
      <c r="CF83" s="668"/>
      <c r="CG83" s="668"/>
      <c r="CH83" s="668"/>
      <c r="CI83" s="668"/>
      <c r="CJ83" s="668"/>
      <c r="CK83" s="668"/>
      <c r="CL83" s="668"/>
      <c r="CM83" s="668"/>
      <c r="CN83" s="668"/>
      <c r="CO83" s="668"/>
      <c r="CP83" s="668"/>
      <c r="CQ83" s="668"/>
      <c r="CR83" s="668"/>
      <c r="CS83" s="668"/>
      <c r="CT83" s="668"/>
      <c r="CU83" s="668"/>
      <c r="CV83" s="668"/>
      <c r="CW83" s="668"/>
      <c r="CX83" s="668"/>
      <c r="CY83" s="668"/>
      <c r="CZ83" s="668"/>
      <c r="DA83" s="668"/>
      <c r="DB83" s="668"/>
      <c r="DC83" s="668"/>
      <c r="DD83" s="668"/>
      <c r="DE83" s="668"/>
      <c r="DF83" s="668"/>
      <c r="DG83" s="668"/>
      <c r="DH83" s="668"/>
      <c r="DI83" s="668"/>
      <c r="DJ83" s="668"/>
      <c r="DK83" s="668"/>
      <c r="DL83" s="668"/>
      <c r="DM83" s="668"/>
      <c r="DN83" s="668"/>
      <c r="DO83" s="668"/>
      <c r="DP83" s="668"/>
      <c r="DQ83" s="668"/>
      <c r="DR83" s="668"/>
      <c r="DS83" s="668"/>
      <c r="DT83" s="668"/>
      <c r="DU83" s="668"/>
      <c r="DV83" s="668"/>
      <c r="DW83" s="668"/>
      <c r="DX83" s="668"/>
    </row>
    <row r="84" ht="15.0" customHeight="1">
      <c r="A84" s="691">
        <v>40241.0</v>
      </c>
      <c r="B84" s="672" t="s">
        <v>2146</v>
      </c>
      <c r="C84" s="692" t="s">
        <v>2147</v>
      </c>
      <c r="D84" s="672"/>
      <c r="E84" s="673" t="str">
        <f>IFERROR(__xludf.DUMMYFUNCTION("if(and(D84&lt;&gt;0,D84&lt;&gt;""""),D84/GOOGLEFINANCE(C84,""price"")-1,"""")"),"")</f>
        <v/>
      </c>
      <c r="F84" s="674">
        <f>IFERROR(__xludf.DUMMYFUNCTION("GOOGLEFINANCE(C84,""price"")"),9.9)</f>
        <v>9.9</v>
      </c>
      <c r="G84" s="673" t="str">
        <f>IFERROR(__xludf.DUMMYFUNCTION("if(and(I84&lt;&gt;0,I84&lt;&gt;""""),I84/GOOGLEFINANCE(C84,""price"")-1,"""")"),"")</f>
        <v/>
      </c>
      <c r="H84" s="675"/>
      <c r="I84" s="693"/>
      <c r="J84" s="672"/>
      <c r="K84" s="672"/>
      <c r="L84" s="672"/>
      <c r="M84" s="672"/>
      <c r="N84" s="672"/>
      <c r="O84" s="672"/>
      <c r="P84" s="672"/>
      <c r="Q84" s="672"/>
      <c r="R84" s="672"/>
      <c r="S84" s="672"/>
      <c r="T84" s="672"/>
      <c r="U84" s="694" t="s">
        <v>2148</v>
      </c>
      <c r="V84" s="582"/>
      <c r="W84" s="694"/>
      <c r="X84" s="694"/>
      <c r="Y84" s="694"/>
      <c r="Z84" s="694"/>
      <c r="AA84" s="694"/>
      <c r="AB84" s="694"/>
      <c r="AC84" s="694"/>
      <c r="AD84" s="694"/>
      <c r="AE84" s="694"/>
      <c r="AF84" s="694"/>
      <c r="AG84" s="694"/>
      <c r="AH84" s="694"/>
      <c r="AI84" s="694"/>
      <c r="AJ84" s="694"/>
      <c r="AK84" s="694"/>
      <c r="AL84" s="694"/>
      <c r="AM84" s="694"/>
      <c r="AN84" s="694"/>
      <c r="AO84" s="694"/>
      <c r="AP84" s="694"/>
      <c r="AQ84" s="694"/>
      <c r="AR84" s="694"/>
      <c r="AS84" s="694"/>
      <c r="AT84" s="694"/>
      <c r="AU84" s="694"/>
      <c r="AV84" s="694"/>
      <c r="AW84" s="694"/>
      <c r="AX84" s="694"/>
      <c r="AY84" s="694"/>
      <c r="AZ84" s="694"/>
      <c r="BA84" s="694"/>
      <c r="BB84" s="694"/>
      <c r="BC84" s="694"/>
      <c r="BD84" s="694"/>
      <c r="BE84" s="694"/>
      <c r="BF84" s="694"/>
      <c r="BG84" s="694"/>
      <c r="BH84" s="694"/>
      <c r="BI84" s="694"/>
      <c r="BJ84" s="694"/>
      <c r="BK84" s="694"/>
      <c r="BL84" s="694"/>
      <c r="BM84" s="694"/>
      <c r="BN84" s="694"/>
      <c r="BO84" s="694"/>
      <c r="BP84" s="694"/>
      <c r="BQ84" s="694"/>
      <c r="BR84" s="694"/>
      <c r="BS84" s="694"/>
      <c r="BT84" s="694"/>
      <c r="BU84" s="694"/>
      <c r="BV84" s="694"/>
      <c r="BW84" s="694"/>
      <c r="BX84" s="694"/>
      <c r="BY84" s="694"/>
      <c r="BZ84" s="694"/>
      <c r="CA84" s="694"/>
      <c r="CB84" s="694"/>
      <c r="CC84" s="694"/>
      <c r="CD84" s="694"/>
      <c r="CE84" s="694"/>
      <c r="CF84" s="694"/>
      <c r="CG84" s="694"/>
      <c r="CH84" s="694"/>
      <c r="CI84" s="694"/>
      <c r="CJ84" s="694"/>
      <c r="CK84" s="694"/>
      <c r="CL84" s="694"/>
      <c r="CM84" s="694"/>
      <c r="CN84" s="694"/>
      <c r="CO84" s="694"/>
      <c r="CP84" s="694"/>
      <c r="CQ84" s="694"/>
      <c r="CR84" s="694"/>
      <c r="CS84" s="694"/>
      <c r="CT84" s="694"/>
      <c r="CU84" s="694"/>
      <c r="CV84" s="694"/>
      <c r="CW84" s="694"/>
      <c r="CX84" s="694"/>
      <c r="CY84" s="694"/>
      <c r="CZ84" s="694"/>
      <c r="DA84" s="694"/>
      <c r="DB84" s="694"/>
      <c r="DC84" s="694"/>
      <c r="DD84" s="694"/>
      <c r="DE84" s="694"/>
      <c r="DF84" s="694"/>
      <c r="DG84" s="694"/>
      <c r="DH84" s="694"/>
      <c r="DI84" s="694"/>
      <c r="DJ84" s="694"/>
      <c r="DK84" s="694"/>
      <c r="DL84" s="694"/>
      <c r="DM84" s="694"/>
      <c r="DN84" s="694"/>
      <c r="DO84" s="694"/>
      <c r="DP84" s="694"/>
      <c r="DQ84" s="694"/>
      <c r="DR84" s="694"/>
      <c r="DS84" s="694"/>
      <c r="DT84" s="694"/>
      <c r="DU84" s="694"/>
      <c r="DV84" s="694"/>
      <c r="DW84" s="694"/>
      <c r="DX84" s="694"/>
    </row>
    <row r="85" ht="15.0" customHeight="1">
      <c r="A85" s="597">
        <v>43691.0</v>
      </c>
      <c r="B85" s="598" t="s">
        <v>2149</v>
      </c>
      <c r="C85" s="599" t="s">
        <v>1524</v>
      </c>
      <c r="D85" s="598">
        <v>45.0</v>
      </c>
      <c r="E85" s="589">
        <f>IFERROR(__xludf.DUMMYFUNCTION("if(and(D85&lt;&gt;0,D85&lt;&gt;""""),D85/GOOGLEFINANCE(C85,""price"")-1,"""")"),0.3757260776520941)</f>
        <v>0.3757260777</v>
      </c>
      <c r="F85" s="590">
        <f>IFERROR(__xludf.DUMMYFUNCTION("GOOGLEFINANCE(C85,""price"")"),32.71)</f>
        <v>32.71</v>
      </c>
      <c r="G85" s="589">
        <f>IFERROR(__xludf.DUMMYFUNCTION("if(and(I85&lt;&gt;0,I85&lt;&gt;""""),I85/GOOGLEFINANCE(C85,""price"")-1,"""")"),-0.6760602020970494)</f>
        <v>-0.6760602021</v>
      </c>
      <c r="H85" s="591"/>
      <c r="I85" s="592">
        <f>sum(CY85:DS85)</f>
        <v>10.59607079</v>
      </c>
      <c r="J85" s="617">
        <v>1.0</v>
      </c>
      <c r="K85" s="617">
        <f>J85*(1+O85)</f>
        <v>1.2</v>
      </c>
      <c r="L85" s="618">
        <v>43830.0</v>
      </c>
      <c r="M85" s="619">
        <f>(L85-now())/365</f>
        <v>0.1798884232</v>
      </c>
      <c r="N85" s="620">
        <f>J85*M85+(1-M85)*K85</f>
        <v>1.164022315</v>
      </c>
      <c r="O85" s="621">
        <v>0.2</v>
      </c>
      <c r="P85" s="621">
        <v>0.06</v>
      </c>
      <c r="Q85" s="622">
        <f>I85/N85</f>
        <v>9.102979084</v>
      </c>
      <c r="R85" s="623">
        <v>10.0</v>
      </c>
      <c r="S85" s="624">
        <v>43710.0</v>
      </c>
      <c r="T85" s="623" t="s">
        <v>1609</v>
      </c>
      <c r="U85" s="601" t="s">
        <v>2151</v>
      </c>
      <c r="V85" s="625">
        <f>O85</f>
        <v>0.2</v>
      </c>
      <c r="W85" s="392">
        <f>max(min(Valu!$C$15,$O85),$O85-max($O85-Valu!$C$15,0)/$R85*(W$3-1))</f>
        <v>0.183</v>
      </c>
      <c r="X85" s="392">
        <f>max(min(Valu!$C$15,$O85),$O85-max($O85-Valu!$C$15,0)/$R85*(X$3-1))</f>
        <v>0.166</v>
      </c>
      <c r="Y85" s="392">
        <f>max(min(Valu!$C$15,$O85),$O85-max($O85-Valu!$C$15,0)/$R85*(Y$3-1))</f>
        <v>0.149</v>
      </c>
      <c r="Z85" s="392">
        <f>max(min(Valu!$C$15,$O85),$O85-max($O85-Valu!$C$15,0)/$R85*(Z$3-1))</f>
        <v>0.132</v>
      </c>
      <c r="AA85" s="392">
        <f>max(min(Valu!$C$15,$O85),$O85-max($O85-Valu!$C$15,0)/$R85*(AA$3-1))</f>
        <v>0.115</v>
      </c>
      <c r="AB85" s="392">
        <f>max(min(Valu!$C$15,$O85),$O85-max($O85-Valu!$C$15,0)/$R85*(AB$3-1))</f>
        <v>0.098</v>
      </c>
      <c r="AC85" s="392">
        <f>max(min(Valu!$C$15,$O85),$O85-max($O85-Valu!$C$15,0)/$R85*(AC$3-1))</f>
        <v>0.081</v>
      </c>
      <c r="AD85" s="392">
        <f>max(min(Valu!$C$15,$O85),$O85-max($O85-Valu!$C$15,0)/$R85*(AD$3-1))</f>
        <v>0.064</v>
      </c>
      <c r="AE85" s="392">
        <f>max(min(Valu!$C$15,$O85),$O85-max($O85-Valu!$C$15,0)/$R85*(AE$3-1))</f>
        <v>0.047</v>
      </c>
      <c r="AF85" s="392">
        <f>max(min(Valu!$C$15,$O85),$O85-max($O85-Valu!$C$15,0)/$R85*(AF$3-1))</f>
        <v>0.03</v>
      </c>
      <c r="AG85" s="392">
        <f>max(min(Valu!$C$15,$O85),$O85-max($O85-Valu!$C$15,0)/$R85*(AG$3-1))</f>
        <v>0.03</v>
      </c>
      <c r="AH85" s="392">
        <f>max(min(Valu!$C$15,$O85),$O85-max($O85-Valu!$C$15,0)/$R85*(AH$3-1))</f>
        <v>0.03</v>
      </c>
      <c r="AI85" s="392">
        <f>max(min(Valu!$C$15,$O85),$O85-max($O85-Valu!$C$15,0)/$R85*(AI$3-1))</f>
        <v>0.03</v>
      </c>
      <c r="AJ85" s="392">
        <f>max(min(Valu!$C$15,$O85),$O85-max($O85-Valu!$C$15,0)/$R85*(AJ$3-1))</f>
        <v>0.03</v>
      </c>
      <c r="AK85" s="392">
        <f>max(min(Valu!$C$15,$O85),$O85-max($O85-Valu!$C$15,0)/$R85*(AK$3-1))</f>
        <v>0.03</v>
      </c>
      <c r="AL85" s="392">
        <f>max(min(Valu!$C$15,$O85),$O85-max($O85-Valu!$C$15,0)/$R85*(AL$3-1))</f>
        <v>0.03</v>
      </c>
      <c r="AM85" s="392">
        <f>max(min(Valu!$C$15,$O85),$O85-max($O85-Valu!$C$15,0)/$R85*(AM$3-1))</f>
        <v>0.03</v>
      </c>
      <c r="AN85" s="392">
        <f>max(min(Valu!$C$15,$O85),$O85-max($O85-Valu!$C$15,0)/$R85*(AN$3-1))</f>
        <v>0.03</v>
      </c>
      <c r="AO85" s="392">
        <f>max(min(Valu!$C$15,$O85),$O85-max($O85-Valu!$C$15,0)/$R85*(AO$3-1))</f>
        <v>0.03</v>
      </c>
      <c r="AP85" s="392">
        <f>max(min(Valu!$C$14,$P85),$P85-max($P85-Valu!$C$14,0)/$R85*(AP$3-1))</f>
        <v>0.06</v>
      </c>
      <c r="AQ85" s="392">
        <f>max(min(Valu!$C$14,$P85),$P85-max($P85-Valu!$C$14,0)/$R85*(AQ$3-1))</f>
        <v>0.06</v>
      </c>
      <c r="AR85" s="392">
        <f>max(min(Valu!$C$14,$P85),$P85-max($P85-Valu!$C$14,0)/$R85*(AR$3-1))</f>
        <v>0.06</v>
      </c>
      <c r="AS85" s="392">
        <f>max(min(Valu!$C$14,$P85),$P85-max($P85-Valu!$C$14,0)/$R85*(AS$3-1))</f>
        <v>0.06</v>
      </c>
      <c r="AT85" s="392">
        <f>max(min(Valu!$C$14,$P85),$P85-max($P85-Valu!$C$14,0)/$R85*(AT$3-1))</f>
        <v>0.06</v>
      </c>
      <c r="AU85" s="392">
        <f>max(min(Valu!$C$14,$P85),$P85-max($P85-Valu!$C$14,0)/$R85*(AU$3-1))</f>
        <v>0.06</v>
      </c>
      <c r="AV85" s="392">
        <f>max(min(Valu!$C$14,$P85),$P85-max($P85-Valu!$C$14,0)/$R85*(AV$3-1))</f>
        <v>0.06</v>
      </c>
      <c r="AW85" s="392">
        <f>max(min(Valu!$C$14,$P85),$P85-max($P85-Valu!$C$14,0)/$R85*(AW$3-1))</f>
        <v>0.06</v>
      </c>
      <c r="AX85" s="392">
        <f>max(min(Valu!$C$14,$P85),$P85-max($P85-Valu!$C$14,0)/$R85*(AX$3-1))</f>
        <v>0.06</v>
      </c>
      <c r="AY85" s="392">
        <f>max(min(Valu!$C$14,$P85),$P85-max($P85-Valu!$C$14,0)/$R85*(AY$3-1))</f>
        <v>0.06</v>
      </c>
      <c r="AZ85" s="392">
        <f>max(min(Valu!$C$14,$P85),$P85-max($P85-Valu!$C$14,0)/$R85*(AZ$3-1))</f>
        <v>0.06</v>
      </c>
      <c r="BA85" s="392">
        <f>max(min(Valu!$C$14,$P85),$P85-max($P85-Valu!$C$14,0)/$R85*(BA$3-1))</f>
        <v>0.06</v>
      </c>
      <c r="BB85" s="392">
        <f>max(min(Valu!$C$14,$P85),$P85-max($P85-Valu!$C$14,0)/$R85*(BB$3-1))</f>
        <v>0.06</v>
      </c>
      <c r="BC85" s="392">
        <f>max(min(Valu!$C$14,$P85),$P85-max($P85-Valu!$C$14,0)/$R85*(BC$3-1))</f>
        <v>0.06</v>
      </c>
      <c r="BD85" s="392">
        <f>max(min(Valu!$C$14,$P85),$P85-max($P85-Valu!$C$14,0)/$R85*(BD$3-1))</f>
        <v>0.06</v>
      </c>
      <c r="BE85" s="392">
        <f>max(min(Valu!$C$14,$P85),$P85-max($P85-Valu!$C$14,0)/$R85*(BE$3-1))</f>
        <v>0.06</v>
      </c>
      <c r="BF85" s="392">
        <f>max(min(Valu!$C$14,$P85),$P85-max($P85-Valu!$C$14,0)/$R85*(BF$3-1))</f>
        <v>0.06</v>
      </c>
      <c r="BG85" s="392">
        <f>max(min(Valu!$C$14,$P85),$P85-max($P85-Valu!$C$14,0)/$R85*(BG$3-1))</f>
        <v>0.06</v>
      </c>
      <c r="BH85" s="392">
        <f>max(min(Valu!$C$14,$P85),$P85-max($P85-Valu!$C$14,0)/$R85*(BH$3-1))</f>
        <v>0.06</v>
      </c>
      <c r="BI85" s="392">
        <f>max(min(Valu!$C$14,$P85),$P85-max($P85-Valu!$C$14,0)/$R85*(BI$3-1))</f>
        <v>0.06</v>
      </c>
      <c r="BJ85" s="393">
        <f>N85</f>
        <v>1.164022315</v>
      </c>
      <c r="BK85" s="369">
        <f>$BJ85*(1+V85)</f>
        <v>1.396826778</v>
      </c>
      <c r="BL85" s="369">
        <f t="shared" ref="BL85:CC85" si="12">BK85*(1+W85)</f>
        <v>1.652446079</v>
      </c>
      <c r="BM85" s="369">
        <f t="shared" si="12"/>
        <v>1.926752128</v>
      </c>
      <c r="BN85" s="369">
        <f t="shared" si="12"/>
        <v>2.213838195</v>
      </c>
      <c r="BO85" s="369">
        <f t="shared" si="12"/>
        <v>2.506064837</v>
      </c>
      <c r="BP85" s="369">
        <f t="shared" si="12"/>
        <v>2.794262293</v>
      </c>
      <c r="BQ85" s="369">
        <f t="shared" si="12"/>
        <v>3.068099998</v>
      </c>
      <c r="BR85" s="369">
        <f t="shared" si="12"/>
        <v>3.316616098</v>
      </c>
      <c r="BS85" s="369">
        <f t="shared" si="12"/>
        <v>3.528879528</v>
      </c>
      <c r="BT85" s="369">
        <f t="shared" si="12"/>
        <v>3.694736866</v>
      </c>
      <c r="BU85" s="369">
        <f t="shared" si="12"/>
        <v>3.805578972</v>
      </c>
      <c r="BV85" s="369">
        <f t="shared" si="12"/>
        <v>3.919746341</v>
      </c>
      <c r="BW85" s="369">
        <f t="shared" si="12"/>
        <v>4.037338731</v>
      </c>
      <c r="BX85" s="369">
        <f t="shared" si="12"/>
        <v>4.158458893</v>
      </c>
      <c r="BY85" s="369">
        <f t="shared" si="12"/>
        <v>4.28321266</v>
      </c>
      <c r="BZ85" s="369">
        <f t="shared" si="12"/>
        <v>4.411709039</v>
      </c>
      <c r="CA85" s="369">
        <f t="shared" si="12"/>
        <v>4.544060311</v>
      </c>
      <c r="CB85" s="369">
        <f t="shared" si="12"/>
        <v>4.68038212</v>
      </c>
      <c r="CC85" s="369">
        <f t="shared" si="12"/>
        <v>4.820793584</v>
      </c>
      <c r="CD85" s="369">
        <f t="shared" ref="CD85:CW85" si="13">BJ85*(1-V85/AP85)</f>
        <v>-2.716052069</v>
      </c>
      <c r="CE85" s="369">
        <f t="shared" si="13"/>
        <v>-2.863494896</v>
      </c>
      <c r="CF85" s="369">
        <f t="shared" si="13"/>
        <v>-2.919321406</v>
      </c>
      <c r="CG85" s="369">
        <f t="shared" si="13"/>
        <v>-2.858015656</v>
      </c>
      <c r="CH85" s="369">
        <f t="shared" si="13"/>
        <v>-2.656605834</v>
      </c>
      <c r="CI85" s="369">
        <f t="shared" si="13"/>
        <v>-2.2972261</v>
      </c>
      <c r="CJ85" s="369">
        <f t="shared" si="13"/>
        <v>-1.769699452</v>
      </c>
      <c r="CK85" s="369">
        <f t="shared" si="13"/>
        <v>-1.073834999</v>
      </c>
      <c r="CL85" s="369">
        <f t="shared" si="13"/>
        <v>-0.2211077398</v>
      </c>
      <c r="CM85" s="369">
        <f t="shared" si="13"/>
        <v>0.7645905644</v>
      </c>
      <c r="CN85" s="369">
        <f t="shared" si="13"/>
        <v>1.847368433</v>
      </c>
      <c r="CO85" s="369">
        <f t="shared" si="13"/>
        <v>1.902789486</v>
      </c>
      <c r="CP85" s="369">
        <f t="shared" si="13"/>
        <v>1.95987317</v>
      </c>
      <c r="CQ85" s="369">
        <f t="shared" si="13"/>
        <v>2.018669365</v>
      </c>
      <c r="CR85" s="369">
        <f t="shared" si="13"/>
        <v>2.079229446</v>
      </c>
      <c r="CS85" s="369">
        <f t="shared" si="13"/>
        <v>2.14160633</v>
      </c>
      <c r="CT85" s="369">
        <f t="shared" si="13"/>
        <v>2.20585452</v>
      </c>
      <c r="CU85" s="369">
        <f t="shared" si="13"/>
        <v>2.272030155</v>
      </c>
      <c r="CV85" s="369">
        <f t="shared" si="13"/>
        <v>2.34019106</v>
      </c>
      <c r="CW85" s="369">
        <f t="shared" si="13"/>
        <v>2.410396792</v>
      </c>
      <c r="CX85" s="369">
        <f>CW85*(1+min(Valu!$C$15,$O85))/(Valu!$C$21-min(Valu!$C$15,$O85))</f>
        <v>65.33443936</v>
      </c>
      <c r="CY85" s="369">
        <f>CD85/(1+Valu!$C$21)^CY$3</f>
        <v>-2.543119915</v>
      </c>
      <c r="CZ85" s="369">
        <f>CE85/(1+Valu!$C$21)^CZ$3</f>
        <v>-2.510463479</v>
      </c>
      <c r="DA85" s="369">
        <f>CF85/(1+Valu!$C$21)^DA$3</f>
        <v>-2.396448794</v>
      </c>
      <c r="DB85" s="369">
        <f>CG85/(1+Valu!$C$21)^DB$3</f>
        <v>-2.196744728</v>
      </c>
      <c r="DC85" s="369">
        <f>CH85/(1+Valu!$C$21)^DC$3</f>
        <v>-1.911925029</v>
      </c>
      <c r="DD85" s="369">
        <f>CI85/(1+Valu!$C$21)^DD$3</f>
        <v>-1.548018783</v>
      </c>
      <c r="DE85" s="369">
        <f>CJ85/(1+Valu!$C$21)^DE$3</f>
        <v>-1.116608032</v>
      </c>
      <c r="DF85" s="369">
        <f>CK85/(1+Valu!$C$21)^DF$3</f>
        <v>-0.6344063673</v>
      </c>
      <c r="DG85" s="369">
        <f>CL85/(1+Valu!$C$21)^DG$3</f>
        <v>-0.1223101985</v>
      </c>
      <c r="DH85" s="369">
        <f>CM85/(1+Valu!$C$21)^DH$3</f>
        <v>0.3960193506</v>
      </c>
      <c r="DI85" s="369">
        <f>CN85/(1+Valu!$C$21)^DI$3</f>
        <v>0.8959210459</v>
      </c>
      <c r="DJ85" s="369">
        <f>CO85/(1+Valu!$C$21)^DJ$3</f>
        <v>0.8640437054</v>
      </c>
      <c r="DK85" s="369">
        <f>CP85/(1+Valu!$C$21)^DK$3</f>
        <v>0.8333005773</v>
      </c>
      <c r="DL85" s="369">
        <f>CQ85/(1+Valu!$C$21)^DL$3</f>
        <v>0.8036513058</v>
      </c>
      <c r="DM85" s="369">
        <f>CR85/(1+Valu!$C$21)^DM$3</f>
        <v>0.7750569709</v>
      </c>
      <c r="DN85" s="369">
        <f>CS85/(1+Valu!$C$21)^DN$3</f>
        <v>0.7474800375</v>
      </c>
      <c r="DO85" s="369">
        <f>CT85/(1+Valu!$C$21)^DO$3</f>
        <v>0.7208843058</v>
      </c>
      <c r="DP85" s="369">
        <f>CU85/(1+Valu!$C$21)^DP$3</f>
        <v>0.6952348643</v>
      </c>
      <c r="DQ85" s="369">
        <f>CV85/(1+Valu!$C$21)^DQ$3</f>
        <v>0.6704980432</v>
      </c>
      <c r="DR85" s="369">
        <f>CW85/(1+Valu!$C$21)^DR$3</f>
        <v>0.6466413713</v>
      </c>
      <c r="DS85" s="369">
        <f>CX85/(1+Valu!$C$21)^DS$3</f>
        <v>17.52738454</v>
      </c>
      <c r="DT85" s="626"/>
      <c r="DU85" s="626"/>
      <c r="DV85" s="626"/>
      <c r="DW85" s="626"/>
      <c r="DX85" s="626"/>
    </row>
    <row r="86" ht="15.0" customHeight="1">
      <c r="A86" s="574">
        <v>41066.0</v>
      </c>
      <c r="B86" s="575" t="s">
        <v>2164</v>
      </c>
      <c r="C86" s="576" t="s">
        <v>2165</v>
      </c>
      <c r="D86" s="575"/>
      <c r="E86" s="577" t="str">
        <f>IFERROR(__xludf.DUMMYFUNCTION("if(and(D86&lt;&gt;0,D86&lt;&gt;""""),D86/GOOGLEFINANCE(C86,""price"")-1,"""")"),"")</f>
        <v/>
      </c>
      <c r="F86" s="578" t="str">
        <f>IFERROR(__xludf.DUMMYFUNCTION("GOOGLEFINANCE(C86,""price"")"),"#N/A")</f>
        <v>#N/A</v>
      </c>
      <c r="G86" s="577" t="str">
        <f>IFERROR(__xludf.DUMMYFUNCTION("if(and(I86&lt;&gt;0,I86&lt;&gt;""""),I86/GOOGLEFINANCE(C86,""price"")-1,"""")"),"")</f>
        <v/>
      </c>
      <c r="H86" s="579"/>
      <c r="I86" s="580"/>
      <c r="J86" s="575"/>
      <c r="K86" s="575"/>
      <c r="L86" s="575"/>
      <c r="M86" s="575"/>
      <c r="N86" s="575"/>
      <c r="O86" s="575"/>
      <c r="P86" s="575"/>
      <c r="Q86" s="575"/>
      <c r="R86" s="575"/>
      <c r="S86" s="575"/>
      <c r="T86" s="575"/>
      <c r="U86" s="581" t="s">
        <v>2166</v>
      </c>
      <c r="V86" s="582"/>
      <c r="W86" s="583"/>
      <c r="X86" s="584"/>
      <c r="Y86" s="584"/>
      <c r="Z86" s="584"/>
      <c r="AA86" s="584"/>
      <c r="AB86" s="584"/>
      <c r="AC86" s="584"/>
      <c r="AD86" s="584"/>
      <c r="AE86" s="584"/>
      <c r="AF86" s="584"/>
      <c r="AG86" s="584"/>
      <c r="AH86" s="584"/>
      <c r="AI86" s="584"/>
      <c r="AJ86" s="584"/>
      <c r="AK86" s="584"/>
      <c r="AL86" s="584"/>
      <c r="AM86" s="584"/>
      <c r="AN86" s="584"/>
      <c r="AO86" s="584"/>
      <c r="AP86" s="584"/>
      <c r="AQ86" s="584"/>
      <c r="AR86" s="584"/>
      <c r="AS86" s="584"/>
      <c r="AT86" s="584"/>
      <c r="AU86" s="584"/>
      <c r="AV86" s="584"/>
      <c r="AW86" s="584"/>
      <c r="AX86" s="584"/>
      <c r="AY86" s="584"/>
      <c r="AZ86" s="584"/>
      <c r="BA86" s="584"/>
      <c r="BB86" s="584"/>
      <c r="BC86" s="584"/>
      <c r="BD86" s="584"/>
      <c r="BE86" s="584"/>
      <c r="BF86" s="584"/>
      <c r="BG86" s="584"/>
      <c r="BH86" s="584"/>
      <c r="BI86" s="584"/>
      <c r="BJ86" s="584"/>
      <c r="BK86" s="584"/>
      <c r="BL86" s="584"/>
      <c r="BM86" s="584"/>
      <c r="BN86" s="584"/>
      <c r="BO86" s="584"/>
      <c r="BP86" s="584"/>
      <c r="BQ86" s="584"/>
      <c r="BR86" s="584"/>
      <c r="BS86" s="584"/>
      <c r="BT86" s="584"/>
      <c r="BU86" s="584"/>
      <c r="BV86" s="584"/>
      <c r="BW86" s="584"/>
      <c r="BX86" s="584"/>
      <c r="BY86" s="584"/>
      <c r="BZ86" s="584"/>
      <c r="CA86" s="584"/>
      <c r="CB86" s="584"/>
      <c r="CC86" s="584"/>
      <c r="CD86" s="584"/>
      <c r="CE86" s="584"/>
      <c r="CF86" s="584"/>
      <c r="CG86" s="584"/>
      <c r="CH86" s="584"/>
      <c r="CI86" s="584"/>
      <c r="CJ86" s="584"/>
      <c r="CK86" s="584"/>
      <c r="CL86" s="584"/>
      <c r="CM86" s="584"/>
      <c r="CN86" s="584"/>
      <c r="CO86" s="584"/>
      <c r="CP86" s="584"/>
      <c r="CQ86" s="584"/>
      <c r="CR86" s="584"/>
      <c r="CS86" s="584"/>
      <c r="CT86" s="584"/>
      <c r="CU86" s="584"/>
      <c r="CV86" s="584"/>
      <c r="CW86" s="584"/>
      <c r="CX86" s="584"/>
      <c r="CY86" s="584"/>
      <c r="CZ86" s="584"/>
      <c r="DA86" s="584"/>
      <c r="DB86" s="584"/>
      <c r="DC86" s="584"/>
      <c r="DD86" s="584"/>
      <c r="DE86" s="584"/>
      <c r="DF86" s="584"/>
      <c r="DG86" s="584"/>
      <c r="DH86" s="584"/>
      <c r="DI86" s="584"/>
      <c r="DJ86" s="584"/>
      <c r="DK86" s="584"/>
      <c r="DL86" s="584"/>
      <c r="DM86" s="584"/>
      <c r="DN86" s="584"/>
      <c r="DO86" s="584"/>
      <c r="DP86" s="584"/>
      <c r="DQ86" s="584"/>
      <c r="DR86" s="584"/>
      <c r="DS86" s="584"/>
      <c r="DT86" s="584"/>
      <c r="DU86" s="584"/>
      <c r="DV86" s="584"/>
      <c r="DW86" s="584"/>
      <c r="DX86" s="584"/>
    </row>
    <row r="87" ht="15.0" customHeight="1">
      <c r="A87" s="574">
        <v>41263.0</v>
      </c>
      <c r="B87" s="575" t="s">
        <v>2168</v>
      </c>
      <c r="C87" s="576" t="s">
        <v>844</v>
      </c>
      <c r="D87" s="575"/>
      <c r="E87" s="577" t="str">
        <f>IFERROR(__xludf.DUMMYFUNCTION("if(and(D87&lt;&gt;0,D87&lt;&gt;""""),D87/GOOGLEFINANCE(C87,""price"")-1,"""")"),"")</f>
        <v/>
      </c>
      <c r="F87" s="578">
        <f>IFERROR(__xludf.DUMMYFUNCTION("GOOGLEFINANCE(C87,""price"")"),73.24)</f>
        <v>73.24</v>
      </c>
      <c r="G87" s="577">
        <f>IFERROR(__xludf.DUMMYFUNCTION("if(and(I87&lt;&gt;0,I87&lt;&gt;""""),I87/GOOGLEFINANCE(C87,""price"")-1,"""")"),-0.795193883123976)</f>
        <v>-0.7951938831</v>
      </c>
      <c r="H87" s="579"/>
      <c r="I87" s="580">
        <v>15.0</v>
      </c>
      <c r="J87" s="575"/>
      <c r="K87" s="575"/>
      <c r="L87" s="575"/>
      <c r="M87" s="575"/>
      <c r="N87" s="575"/>
      <c r="O87" s="575"/>
      <c r="P87" s="575"/>
      <c r="Q87" s="575"/>
      <c r="R87" s="575"/>
      <c r="S87" s="575"/>
      <c r="T87" s="575"/>
      <c r="U87" s="581" t="s">
        <v>2169</v>
      </c>
      <c r="V87" s="582"/>
      <c r="W87" s="583"/>
      <c r="X87" s="584"/>
      <c r="Y87" s="584"/>
      <c r="Z87" s="584"/>
      <c r="AA87" s="584"/>
      <c r="AB87" s="584"/>
      <c r="AC87" s="584"/>
      <c r="AD87" s="584"/>
      <c r="AE87" s="584"/>
      <c r="AF87" s="584"/>
      <c r="AG87" s="584"/>
      <c r="AH87" s="584"/>
      <c r="AI87" s="584"/>
      <c r="AJ87" s="584"/>
      <c r="AK87" s="584"/>
      <c r="AL87" s="584"/>
      <c r="AM87" s="584"/>
      <c r="AN87" s="584"/>
      <c r="AO87" s="584"/>
      <c r="AP87" s="584"/>
      <c r="AQ87" s="584"/>
      <c r="AR87" s="584"/>
      <c r="AS87" s="584"/>
      <c r="AT87" s="584"/>
      <c r="AU87" s="584"/>
      <c r="AV87" s="584"/>
      <c r="AW87" s="584"/>
      <c r="AX87" s="584"/>
      <c r="AY87" s="584"/>
      <c r="AZ87" s="584"/>
      <c r="BA87" s="584"/>
      <c r="BB87" s="584"/>
      <c r="BC87" s="584"/>
      <c r="BD87" s="584"/>
      <c r="BE87" s="584"/>
      <c r="BF87" s="584"/>
      <c r="BG87" s="584"/>
      <c r="BH87" s="584"/>
      <c r="BI87" s="584"/>
      <c r="BJ87" s="584"/>
      <c r="BK87" s="584"/>
      <c r="BL87" s="584"/>
      <c r="BM87" s="584"/>
      <c r="BN87" s="584"/>
      <c r="BO87" s="584"/>
      <c r="BP87" s="584"/>
      <c r="BQ87" s="584"/>
      <c r="BR87" s="584"/>
      <c r="BS87" s="584"/>
      <c r="BT87" s="584"/>
      <c r="BU87" s="584"/>
      <c r="BV87" s="584"/>
      <c r="BW87" s="584"/>
      <c r="BX87" s="584"/>
      <c r="BY87" s="584"/>
      <c r="BZ87" s="584"/>
      <c r="CA87" s="584"/>
      <c r="CB87" s="584"/>
      <c r="CC87" s="584"/>
      <c r="CD87" s="584"/>
      <c r="CE87" s="584"/>
      <c r="CF87" s="584"/>
      <c r="CG87" s="584"/>
      <c r="CH87" s="584"/>
      <c r="CI87" s="584"/>
      <c r="CJ87" s="584"/>
      <c r="CK87" s="584"/>
      <c r="CL87" s="584"/>
      <c r="CM87" s="584"/>
      <c r="CN87" s="584"/>
      <c r="CO87" s="584"/>
      <c r="CP87" s="584"/>
      <c r="CQ87" s="584"/>
      <c r="CR87" s="584"/>
      <c r="CS87" s="584"/>
      <c r="CT87" s="584"/>
      <c r="CU87" s="584"/>
      <c r="CV87" s="584"/>
      <c r="CW87" s="584"/>
      <c r="CX87" s="584"/>
      <c r="CY87" s="584"/>
      <c r="CZ87" s="584"/>
      <c r="DA87" s="584"/>
      <c r="DB87" s="584"/>
      <c r="DC87" s="584"/>
      <c r="DD87" s="584"/>
      <c r="DE87" s="584"/>
      <c r="DF87" s="584"/>
      <c r="DG87" s="584"/>
      <c r="DH87" s="584"/>
      <c r="DI87" s="584"/>
      <c r="DJ87" s="584"/>
      <c r="DK87" s="584"/>
      <c r="DL87" s="584"/>
      <c r="DM87" s="584"/>
      <c r="DN87" s="584"/>
      <c r="DO87" s="584"/>
      <c r="DP87" s="584"/>
      <c r="DQ87" s="584"/>
      <c r="DR87" s="584"/>
      <c r="DS87" s="584"/>
      <c r="DT87" s="584"/>
      <c r="DU87" s="584"/>
      <c r="DV87" s="584"/>
      <c r="DW87" s="584"/>
      <c r="DX87" s="584"/>
    </row>
    <row r="88" ht="15.0" customHeight="1">
      <c r="A88" s="585">
        <v>41136.0</v>
      </c>
      <c r="B88" s="586" t="s">
        <v>2170</v>
      </c>
      <c r="C88" s="587" t="s">
        <v>784</v>
      </c>
      <c r="D88" s="588">
        <v>6.0</v>
      </c>
      <c r="E88" s="589">
        <f>IFERROR(__xludf.DUMMYFUNCTION("if(and(D88&lt;&gt;0,D88&lt;&gt;""""),D88/GOOGLEFINANCE(C88,""price"")-1,"""")"),-0.5016611295681063)</f>
        <v>-0.5016611296</v>
      </c>
      <c r="F88" s="590">
        <f>IFERROR(__xludf.DUMMYFUNCTION("GOOGLEFINANCE(C88,""price"")"),12.04)</f>
        <v>12.04</v>
      </c>
      <c r="G88" s="589">
        <f>IFERROR(__xludf.DUMMYFUNCTION("if(and(I88&lt;&gt;0,I88&lt;&gt;""""),I88/GOOGLEFINANCE(C88,""price"")-1,"""")"),-0.9584717607973422)</f>
        <v>-0.9584717608</v>
      </c>
      <c r="H88" s="591"/>
      <c r="I88" s="592">
        <v>0.5</v>
      </c>
      <c r="J88" s="586"/>
      <c r="K88" s="586"/>
      <c r="L88" s="586"/>
      <c r="M88" s="586"/>
      <c r="N88" s="586"/>
      <c r="O88" s="586"/>
      <c r="P88" s="588"/>
      <c r="Q88" s="588"/>
      <c r="R88" s="588"/>
      <c r="S88" s="588"/>
      <c r="T88" s="588"/>
      <c r="U88" s="593" t="s">
        <v>2171</v>
      </c>
      <c r="V88" s="594"/>
      <c r="W88" s="595"/>
      <c r="X88" s="596"/>
      <c r="Y88" s="596"/>
      <c r="Z88" s="596"/>
      <c r="AA88" s="596"/>
      <c r="AB88" s="596"/>
      <c r="AC88" s="596"/>
      <c r="AD88" s="596"/>
      <c r="AE88" s="596"/>
      <c r="AF88" s="596"/>
      <c r="AG88" s="596"/>
      <c r="AH88" s="596"/>
      <c r="AI88" s="596"/>
      <c r="AJ88" s="596"/>
      <c r="AK88" s="596"/>
      <c r="AL88" s="596"/>
      <c r="AM88" s="596"/>
      <c r="AN88" s="596"/>
      <c r="AO88" s="596"/>
      <c r="AP88" s="596"/>
      <c r="AQ88" s="596"/>
      <c r="AR88" s="596"/>
      <c r="AS88" s="596"/>
      <c r="AT88" s="596"/>
      <c r="AU88" s="596"/>
      <c r="AV88" s="596"/>
      <c r="AW88" s="596"/>
      <c r="AX88" s="596"/>
      <c r="AY88" s="596"/>
      <c r="AZ88" s="596"/>
      <c r="BA88" s="596"/>
      <c r="BB88" s="596"/>
      <c r="BC88" s="596"/>
      <c r="BD88" s="596"/>
      <c r="BE88" s="596"/>
      <c r="BF88" s="596"/>
      <c r="BG88" s="596"/>
      <c r="BH88" s="596"/>
      <c r="BI88" s="596"/>
      <c r="BJ88" s="596"/>
      <c r="BK88" s="596"/>
      <c r="BL88" s="596"/>
      <c r="BM88" s="596"/>
      <c r="BN88" s="596"/>
      <c r="BO88" s="596"/>
      <c r="BP88" s="596"/>
      <c r="BQ88" s="596"/>
      <c r="BR88" s="596"/>
      <c r="BS88" s="596"/>
      <c r="BT88" s="596"/>
      <c r="BU88" s="596"/>
      <c r="BV88" s="596"/>
      <c r="BW88" s="596"/>
      <c r="BX88" s="596"/>
      <c r="BY88" s="596"/>
      <c r="BZ88" s="596"/>
      <c r="CA88" s="596"/>
      <c r="CB88" s="596"/>
      <c r="CC88" s="596"/>
      <c r="CD88" s="596"/>
      <c r="CE88" s="596"/>
      <c r="CF88" s="596"/>
      <c r="CG88" s="596"/>
      <c r="CH88" s="596"/>
      <c r="CI88" s="596"/>
      <c r="CJ88" s="596"/>
      <c r="CK88" s="596"/>
      <c r="CL88" s="596"/>
      <c r="CM88" s="596"/>
      <c r="CN88" s="596"/>
      <c r="CO88" s="596"/>
      <c r="CP88" s="596"/>
      <c r="CQ88" s="596"/>
      <c r="CR88" s="596"/>
      <c r="CS88" s="596"/>
      <c r="CT88" s="596"/>
      <c r="CU88" s="596"/>
      <c r="CV88" s="596"/>
      <c r="CW88" s="596"/>
      <c r="CX88" s="596"/>
      <c r="CY88" s="596"/>
      <c r="CZ88" s="596"/>
      <c r="DA88" s="596"/>
      <c r="DB88" s="596"/>
      <c r="DC88" s="596"/>
      <c r="DD88" s="596"/>
      <c r="DE88" s="596"/>
      <c r="DF88" s="596"/>
      <c r="DG88" s="596"/>
      <c r="DH88" s="596"/>
      <c r="DI88" s="596"/>
      <c r="DJ88" s="596"/>
      <c r="DK88" s="596"/>
      <c r="DL88" s="596"/>
      <c r="DM88" s="596"/>
      <c r="DN88" s="596"/>
      <c r="DO88" s="596"/>
      <c r="DP88" s="596"/>
      <c r="DQ88" s="596"/>
      <c r="DR88" s="596"/>
      <c r="DS88" s="596"/>
      <c r="DT88" s="596"/>
      <c r="DU88" s="596"/>
      <c r="DV88" s="596"/>
      <c r="DW88" s="596"/>
      <c r="DX88" s="596"/>
    </row>
    <row r="89" ht="15.0" customHeight="1">
      <c r="A89" s="574">
        <v>41755.0</v>
      </c>
      <c r="B89" s="575" t="s">
        <v>2173</v>
      </c>
      <c r="C89" s="576" t="s">
        <v>1756</v>
      </c>
      <c r="D89" s="575"/>
      <c r="E89" s="577" t="str">
        <f>IFERROR(__xludf.DUMMYFUNCTION("if(and(D89&lt;&gt;0,D89&lt;&gt;""""),D89/GOOGLEFINANCE(C89,""price"")-1,"""")"),"")</f>
        <v/>
      </c>
      <c r="F89" s="578">
        <f>IFERROR(__xludf.DUMMYFUNCTION("GOOGLEFINANCE(C89,""price"")"),2.0)</f>
        <v>2</v>
      </c>
      <c r="G89" s="577">
        <f>IFERROR(__xludf.DUMMYFUNCTION("if(and(I89&lt;&gt;0,I89&lt;&gt;""""),I89/GOOGLEFINANCE(C89,""price"")-1,"""")"),2.5)</f>
        <v>2.5</v>
      </c>
      <c r="H89" s="579"/>
      <c r="I89" s="580">
        <v>7.0</v>
      </c>
      <c r="J89" s="575"/>
      <c r="K89" s="575"/>
      <c r="L89" s="575"/>
      <c r="M89" s="575"/>
      <c r="N89" s="575"/>
      <c r="O89" s="575"/>
      <c r="P89" s="575"/>
      <c r="Q89" s="575"/>
      <c r="R89" s="575"/>
      <c r="S89" s="575"/>
      <c r="T89" s="575"/>
      <c r="U89" s="581" t="s">
        <v>2175</v>
      </c>
      <c r="V89" s="582"/>
      <c r="W89" s="583"/>
      <c r="X89" s="584"/>
      <c r="Y89" s="584"/>
      <c r="Z89" s="584"/>
      <c r="AA89" s="584"/>
      <c r="AB89" s="584"/>
      <c r="AC89" s="584"/>
      <c r="AD89" s="584"/>
      <c r="AE89" s="584"/>
      <c r="AF89" s="584"/>
      <c r="AG89" s="584"/>
      <c r="AH89" s="584"/>
      <c r="AI89" s="584"/>
      <c r="AJ89" s="584"/>
      <c r="AK89" s="584"/>
      <c r="AL89" s="584"/>
      <c r="AM89" s="584"/>
      <c r="AN89" s="584"/>
      <c r="AO89" s="584"/>
      <c r="AP89" s="584"/>
      <c r="AQ89" s="584"/>
      <c r="AR89" s="584"/>
      <c r="AS89" s="584"/>
      <c r="AT89" s="584"/>
      <c r="AU89" s="584"/>
      <c r="AV89" s="584"/>
      <c r="AW89" s="584"/>
      <c r="AX89" s="584"/>
      <c r="AY89" s="584"/>
      <c r="AZ89" s="584"/>
      <c r="BA89" s="584"/>
      <c r="BB89" s="584"/>
      <c r="BC89" s="584"/>
      <c r="BD89" s="584"/>
      <c r="BE89" s="584"/>
      <c r="BF89" s="584"/>
      <c r="BG89" s="584"/>
      <c r="BH89" s="584"/>
      <c r="BI89" s="584"/>
      <c r="BJ89" s="584"/>
      <c r="BK89" s="584"/>
      <c r="BL89" s="584"/>
      <c r="BM89" s="584"/>
      <c r="BN89" s="584"/>
      <c r="BO89" s="584"/>
      <c r="BP89" s="584"/>
      <c r="BQ89" s="584"/>
      <c r="BR89" s="584"/>
      <c r="BS89" s="584"/>
      <c r="BT89" s="584"/>
      <c r="BU89" s="584"/>
      <c r="BV89" s="584"/>
      <c r="BW89" s="584"/>
      <c r="BX89" s="584"/>
      <c r="BY89" s="584"/>
      <c r="BZ89" s="584"/>
      <c r="CA89" s="584"/>
      <c r="CB89" s="584"/>
      <c r="CC89" s="584"/>
      <c r="CD89" s="584"/>
      <c r="CE89" s="584"/>
      <c r="CF89" s="584"/>
      <c r="CG89" s="584"/>
      <c r="CH89" s="584"/>
      <c r="CI89" s="584"/>
      <c r="CJ89" s="584"/>
      <c r="CK89" s="584"/>
      <c r="CL89" s="584"/>
      <c r="CM89" s="584"/>
      <c r="CN89" s="584"/>
      <c r="CO89" s="584"/>
      <c r="CP89" s="584"/>
      <c r="CQ89" s="584"/>
      <c r="CR89" s="584"/>
      <c r="CS89" s="584"/>
      <c r="CT89" s="584"/>
      <c r="CU89" s="584"/>
      <c r="CV89" s="584"/>
      <c r="CW89" s="584"/>
      <c r="CX89" s="584"/>
      <c r="CY89" s="584"/>
      <c r="CZ89" s="584"/>
      <c r="DA89" s="584"/>
      <c r="DB89" s="584"/>
      <c r="DC89" s="584"/>
      <c r="DD89" s="584"/>
      <c r="DE89" s="584"/>
      <c r="DF89" s="584"/>
      <c r="DG89" s="584"/>
      <c r="DH89" s="584"/>
      <c r="DI89" s="584"/>
      <c r="DJ89" s="584"/>
      <c r="DK89" s="584"/>
      <c r="DL89" s="584"/>
      <c r="DM89" s="584"/>
      <c r="DN89" s="584"/>
      <c r="DO89" s="584"/>
      <c r="DP89" s="584"/>
      <c r="DQ89" s="584"/>
      <c r="DR89" s="584"/>
      <c r="DS89" s="584"/>
      <c r="DT89" s="584"/>
      <c r="DU89" s="584"/>
      <c r="DV89" s="584"/>
      <c r="DW89" s="584"/>
      <c r="DX89" s="584"/>
    </row>
    <row r="90" ht="15.0" customHeight="1">
      <c r="A90" s="585">
        <v>41705.0</v>
      </c>
      <c r="B90" s="586" t="s">
        <v>2176</v>
      </c>
      <c r="C90" s="587" t="s">
        <v>2177</v>
      </c>
      <c r="D90" s="695" t="str">
        <f>Buys!D377</f>
        <v/>
      </c>
      <c r="E90" s="589" t="str">
        <f>IFERROR(__xludf.DUMMYFUNCTION("if(and(D90&lt;&gt;0,D90&lt;&gt;""""),D90/GOOGLEFINANCE(C90,""price"")-1,"""")"),"")</f>
        <v/>
      </c>
      <c r="F90" s="590">
        <f>IFERROR(__xludf.DUMMYFUNCTION("GOOGLEFINANCE(C90,""price"")"),0.14)</f>
        <v>0.14</v>
      </c>
      <c r="G90" s="589" t="str">
        <f>IFERROR(__xludf.DUMMYFUNCTION("if(and(I90&lt;&gt;0,I90&lt;&gt;""""),I90/GOOGLEFINANCE(C90,""price"")-1,"""")"),"")</f>
        <v/>
      </c>
      <c r="H90" s="591"/>
      <c r="I90" s="602" t="str">
        <f>Buys!I377</f>
        <v/>
      </c>
      <c r="J90" s="586"/>
      <c r="K90" s="586"/>
      <c r="L90" s="586"/>
      <c r="M90" s="586"/>
      <c r="N90" s="586"/>
      <c r="O90" s="586"/>
      <c r="P90" s="588"/>
      <c r="Q90" s="588"/>
      <c r="R90" s="588"/>
      <c r="S90" s="588"/>
      <c r="T90" s="588"/>
      <c r="U90" s="593" t="s">
        <v>2178</v>
      </c>
      <c r="V90" s="594"/>
      <c r="W90" s="595"/>
      <c r="X90" s="596"/>
      <c r="Y90" s="596"/>
      <c r="Z90" s="596"/>
      <c r="AA90" s="596"/>
      <c r="AB90" s="596"/>
      <c r="AC90" s="596"/>
      <c r="AD90" s="596"/>
      <c r="AE90" s="596"/>
      <c r="AF90" s="596"/>
      <c r="AG90" s="596"/>
      <c r="AH90" s="596"/>
      <c r="AI90" s="596"/>
      <c r="AJ90" s="596"/>
      <c r="AK90" s="596"/>
      <c r="AL90" s="596"/>
      <c r="AM90" s="596"/>
      <c r="AN90" s="596"/>
      <c r="AO90" s="596"/>
      <c r="AP90" s="596"/>
      <c r="AQ90" s="596"/>
      <c r="AR90" s="596"/>
      <c r="AS90" s="596"/>
      <c r="AT90" s="596"/>
      <c r="AU90" s="596"/>
      <c r="AV90" s="596"/>
      <c r="AW90" s="596"/>
      <c r="AX90" s="596"/>
      <c r="AY90" s="596"/>
      <c r="AZ90" s="596"/>
      <c r="BA90" s="596"/>
      <c r="BB90" s="596"/>
      <c r="BC90" s="596"/>
      <c r="BD90" s="596"/>
      <c r="BE90" s="596"/>
      <c r="BF90" s="596"/>
      <c r="BG90" s="596"/>
      <c r="BH90" s="596"/>
      <c r="BI90" s="596"/>
      <c r="BJ90" s="596"/>
      <c r="BK90" s="596"/>
      <c r="BL90" s="596"/>
      <c r="BM90" s="596"/>
      <c r="BN90" s="596"/>
      <c r="BO90" s="596"/>
      <c r="BP90" s="596"/>
      <c r="BQ90" s="596"/>
      <c r="BR90" s="596"/>
      <c r="BS90" s="596"/>
      <c r="BT90" s="596"/>
      <c r="BU90" s="596"/>
      <c r="BV90" s="596"/>
      <c r="BW90" s="596"/>
      <c r="BX90" s="596"/>
      <c r="BY90" s="596"/>
      <c r="BZ90" s="596"/>
      <c r="CA90" s="596"/>
      <c r="CB90" s="596"/>
      <c r="CC90" s="596"/>
      <c r="CD90" s="596"/>
      <c r="CE90" s="596"/>
      <c r="CF90" s="596"/>
      <c r="CG90" s="596"/>
      <c r="CH90" s="596"/>
      <c r="CI90" s="596"/>
      <c r="CJ90" s="596"/>
      <c r="CK90" s="596"/>
      <c r="CL90" s="596"/>
      <c r="CM90" s="596"/>
      <c r="CN90" s="596"/>
      <c r="CO90" s="596"/>
      <c r="CP90" s="596"/>
      <c r="CQ90" s="596"/>
      <c r="CR90" s="596"/>
      <c r="CS90" s="596"/>
      <c r="CT90" s="596"/>
      <c r="CU90" s="596"/>
      <c r="CV90" s="596"/>
      <c r="CW90" s="596"/>
      <c r="CX90" s="596"/>
      <c r="CY90" s="596"/>
      <c r="CZ90" s="596"/>
      <c r="DA90" s="596"/>
      <c r="DB90" s="596"/>
      <c r="DC90" s="596"/>
      <c r="DD90" s="596"/>
      <c r="DE90" s="596"/>
      <c r="DF90" s="596"/>
      <c r="DG90" s="596"/>
      <c r="DH90" s="596"/>
      <c r="DI90" s="596"/>
      <c r="DJ90" s="596"/>
      <c r="DK90" s="596"/>
      <c r="DL90" s="596"/>
      <c r="DM90" s="596"/>
      <c r="DN90" s="596"/>
      <c r="DO90" s="596"/>
      <c r="DP90" s="596"/>
      <c r="DQ90" s="596"/>
      <c r="DR90" s="596"/>
      <c r="DS90" s="596"/>
      <c r="DT90" s="596"/>
      <c r="DU90" s="596"/>
      <c r="DV90" s="596"/>
      <c r="DW90" s="596"/>
      <c r="DX90" s="596"/>
    </row>
    <row r="91" ht="15.0" customHeight="1">
      <c r="A91" s="659">
        <v>41109.0</v>
      </c>
      <c r="B91" s="696" t="s">
        <v>2179</v>
      </c>
      <c r="C91" s="661" t="s">
        <v>2180</v>
      </c>
      <c r="D91" s="696"/>
      <c r="E91" s="697" t="str">
        <f>IFERROR(__xludf.DUMMYFUNCTION("if(and(D91&lt;&gt;0,D91&lt;&gt;""""),D91/GOOGLEFINANCE(C91,""price"")-1,"""")"),"")</f>
        <v/>
      </c>
      <c r="F91" s="663">
        <f>IFERROR(__xludf.DUMMYFUNCTION("GOOGLEFINANCE(C91,""price"")"),3.85)</f>
        <v>3.85</v>
      </c>
      <c r="G91" s="697" t="str">
        <f>IFERROR(__xludf.DUMMYFUNCTION("if(and(I91&lt;&gt;0,I91&lt;&gt;""""),I91/GOOGLEFINANCE(C91,""price"")-1,"""")"),"")</f>
        <v/>
      </c>
      <c r="H91" s="664"/>
      <c r="I91" s="665"/>
      <c r="J91" s="696"/>
      <c r="K91" s="696"/>
      <c r="L91" s="696"/>
      <c r="M91" s="696"/>
      <c r="N91" s="696"/>
      <c r="O91" s="696"/>
      <c r="P91" s="696"/>
      <c r="Q91" s="696"/>
      <c r="R91" s="696"/>
      <c r="S91" s="696"/>
      <c r="T91" s="696"/>
      <c r="U91" s="698" t="s">
        <v>2183</v>
      </c>
      <c r="V91" s="650"/>
      <c r="W91" s="699"/>
      <c r="X91" s="700"/>
      <c r="Y91" s="700"/>
      <c r="Z91" s="700"/>
      <c r="AA91" s="700"/>
      <c r="AB91" s="700"/>
      <c r="AC91" s="700"/>
      <c r="AD91" s="700"/>
      <c r="AE91" s="700"/>
      <c r="AF91" s="700"/>
      <c r="AG91" s="700"/>
      <c r="AH91" s="700"/>
      <c r="AI91" s="700"/>
      <c r="AJ91" s="700"/>
      <c r="AK91" s="700"/>
      <c r="AL91" s="700"/>
      <c r="AM91" s="700"/>
      <c r="AN91" s="700"/>
      <c r="AO91" s="700"/>
      <c r="AP91" s="700"/>
      <c r="AQ91" s="700"/>
      <c r="AR91" s="700"/>
      <c r="AS91" s="700"/>
      <c r="AT91" s="700"/>
      <c r="AU91" s="700"/>
      <c r="AV91" s="700"/>
      <c r="AW91" s="700"/>
      <c r="AX91" s="700"/>
      <c r="AY91" s="700"/>
      <c r="AZ91" s="700"/>
      <c r="BA91" s="700"/>
      <c r="BB91" s="700"/>
      <c r="BC91" s="700"/>
      <c r="BD91" s="700"/>
      <c r="BE91" s="700"/>
      <c r="BF91" s="700"/>
      <c r="BG91" s="700"/>
      <c r="BH91" s="700"/>
      <c r="BI91" s="700"/>
      <c r="BJ91" s="700"/>
      <c r="BK91" s="700"/>
      <c r="BL91" s="700"/>
      <c r="BM91" s="700"/>
      <c r="BN91" s="700"/>
      <c r="BO91" s="700"/>
      <c r="BP91" s="700"/>
      <c r="BQ91" s="700"/>
      <c r="BR91" s="700"/>
      <c r="BS91" s="700"/>
      <c r="BT91" s="700"/>
      <c r="BU91" s="700"/>
      <c r="BV91" s="700"/>
      <c r="BW91" s="700"/>
      <c r="BX91" s="700"/>
      <c r="BY91" s="700"/>
      <c r="BZ91" s="700"/>
      <c r="CA91" s="700"/>
      <c r="CB91" s="700"/>
      <c r="CC91" s="700"/>
      <c r="CD91" s="700"/>
      <c r="CE91" s="700"/>
      <c r="CF91" s="700"/>
      <c r="CG91" s="700"/>
      <c r="CH91" s="700"/>
      <c r="CI91" s="700"/>
      <c r="CJ91" s="700"/>
      <c r="CK91" s="700"/>
      <c r="CL91" s="700"/>
      <c r="CM91" s="700"/>
      <c r="CN91" s="700"/>
      <c r="CO91" s="700"/>
      <c r="CP91" s="700"/>
      <c r="CQ91" s="700"/>
      <c r="CR91" s="700"/>
      <c r="CS91" s="700"/>
      <c r="CT91" s="700"/>
      <c r="CU91" s="700"/>
      <c r="CV91" s="700"/>
      <c r="CW91" s="700"/>
      <c r="CX91" s="700"/>
      <c r="CY91" s="700"/>
      <c r="CZ91" s="700"/>
      <c r="DA91" s="700"/>
      <c r="DB91" s="700"/>
      <c r="DC91" s="700"/>
      <c r="DD91" s="700"/>
      <c r="DE91" s="700"/>
      <c r="DF91" s="700"/>
      <c r="DG91" s="700"/>
      <c r="DH91" s="700"/>
      <c r="DI91" s="700"/>
      <c r="DJ91" s="700"/>
      <c r="DK91" s="700"/>
      <c r="DL91" s="700"/>
      <c r="DM91" s="700"/>
      <c r="DN91" s="700"/>
      <c r="DO91" s="700"/>
      <c r="DP91" s="700"/>
      <c r="DQ91" s="700"/>
      <c r="DR91" s="700"/>
      <c r="DS91" s="700"/>
      <c r="DT91" s="700"/>
      <c r="DU91" s="700"/>
      <c r="DV91" s="700"/>
      <c r="DW91" s="700"/>
      <c r="DX91" s="700"/>
    </row>
    <row r="92" ht="15.0" customHeight="1">
      <c r="A92" s="574">
        <v>41218.0</v>
      </c>
      <c r="B92" s="575" t="s">
        <v>2184</v>
      </c>
      <c r="C92" s="576" t="s">
        <v>2185</v>
      </c>
      <c r="D92" s="575"/>
      <c r="E92" s="577" t="str">
        <f>IFERROR(__xludf.DUMMYFUNCTION("if(and(D92&lt;&gt;0,D92&lt;&gt;""""),D92/GOOGLEFINANCE(C92,""price"")-1,"""")"),"")</f>
        <v/>
      </c>
      <c r="F92" s="578">
        <f>IFERROR(__xludf.DUMMYFUNCTION("GOOGLEFINANCE(C92,""price"")"),160.75)</f>
        <v>160.75</v>
      </c>
      <c r="G92" s="577" t="str">
        <f>IFERROR(__xludf.DUMMYFUNCTION("if(and(I92&lt;&gt;0,I92&lt;&gt;""""),I92/GOOGLEFINANCE(C92,""price"")-1,"""")"),"")</f>
        <v/>
      </c>
      <c r="H92" s="579"/>
      <c r="I92" s="580"/>
      <c r="J92" s="575"/>
      <c r="K92" s="575"/>
      <c r="L92" s="575"/>
      <c r="M92" s="575"/>
      <c r="N92" s="575"/>
      <c r="O92" s="575"/>
      <c r="P92" s="575"/>
      <c r="Q92" s="575"/>
      <c r="R92" s="575"/>
      <c r="S92" s="575"/>
      <c r="T92" s="575"/>
      <c r="U92" s="581" t="s">
        <v>2186</v>
      </c>
      <c r="V92" s="582"/>
      <c r="W92" s="583"/>
      <c r="X92" s="584"/>
      <c r="Y92" s="584"/>
      <c r="Z92" s="584"/>
      <c r="AA92" s="584"/>
      <c r="AB92" s="584"/>
      <c r="AC92" s="584"/>
      <c r="AD92" s="584"/>
      <c r="AE92" s="584"/>
      <c r="AF92" s="584"/>
      <c r="AG92" s="584"/>
      <c r="AH92" s="584"/>
      <c r="AI92" s="584"/>
      <c r="AJ92" s="584"/>
      <c r="AK92" s="584"/>
      <c r="AL92" s="584"/>
      <c r="AM92" s="584"/>
      <c r="AN92" s="584"/>
      <c r="AO92" s="584"/>
      <c r="AP92" s="584"/>
      <c r="AQ92" s="584"/>
      <c r="AR92" s="584"/>
      <c r="AS92" s="584"/>
      <c r="AT92" s="584"/>
      <c r="AU92" s="584"/>
      <c r="AV92" s="584"/>
      <c r="AW92" s="584"/>
      <c r="AX92" s="584"/>
      <c r="AY92" s="584"/>
      <c r="AZ92" s="584"/>
      <c r="BA92" s="584"/>
      <c r="BB92" s="584"/>
      <c r="BC92" s="584"/>
      <c r="BD92" s="584"/>
      <c r="BE92" s="584"/>
      <c r="BF92" s="584"/>
      <c r="BG92" s="584"/>
      <c r="BH92" s="584"/>
      <c r="BI92" s="584"/>
      <c r="BJ92" s="584"/>
      <c r="BK92" s="584"/>
      <c r="BL92" s="584"/>
      <c r="BM92" s="584"/>
      <c r="BN92" s="584"/>
      <c r="BO92" s="584"/>
      <c r="BP92" s="584"/>
      <c r="BQ92" s="584"/>
      <c r="BR92" s="584"/>
      <c r="BS92" s="584"/>
      <c r="BT92" s="584"/>
      <c r="BU92" s="584"/>
      <c r="BV92" s="584"/>
      <c r="BW92" s="584"/>
      <c r="BX92" s="584"/>
      <c r="BY92" s="584"/>
      <c r="BZ92" s="584"/>
      <c r="CA92" s="584"/>
      <c r="CB92" s="584"/>
      <c r="CC92" s="584"/>
      <c r="CD92" s="584"/>
      <c r="CE92" s="584"/>
      <c r="CF92" s="584"/>
      <c r="CG92" s="584"/>
      <c r="CH92" s="584"/>
      <c r="CI92" s="584"/>
      <c r="CJ92" s="584"/>
      <c r="CK92" s="584"/>
      <c r="CL92" s="584"/>
      <c r="CM92" s="584"/>
      <c r="CN92" s="584"/>
      <c r="CO92" s="584"/>
      <c r="CP92" s="584"/>
      <c r="CQ92" s="584"/>
      <c r="CR92" s="584"/>
      <c r="CS92" s="584"/>
      <c r="CT92" s="584"/>
      <c r="CU92" s="584"/>
      <c r="CV92" s="584"/>
      <c r="CW92" s="584"/>
      <c r="CX92" s="584"/>
      <c r="CY92" s="584"/>
      <c r="CZ92" s="584"/>
      <c r="DA92" s="584"/>
      <c r="DB92" s="584"/>
      <c r="DC92" s="584"/>
      <c r="DD92" s="584"/>
      <c r="DE92" s="584"/>
      <c r="DF92" s="584"/>
      <c r="DG92" s="584"/>
      <c r="DH92" s="584"/>
      <c r="DI92" s="584"/>
      <c r="DJ92" s="584"/>
      <c r="DK92" s="584"/>
      <c r="DL92" s="584"/>
      <c r="DM92" s="584"/>
      <c r="DN92" s="584"/>
      <c r="DO92" s="584"/>
      <c r="DP92" s="584"/>
      <c r="DQ92" s="584"/>
      <c r="DR92" s="584"/>
      <c r="DS92" s="584"/>
      <c r="DT92" s="584"/>
      <c r="DU92" s="584"/>
      <c r="DV92" s="584"/>
      <c r="DW92" s="584"/>
      <c r="DX92" s="584"/>
    </row>
    <row r="93" ht="15.0" customHeight="1">
      <c r="A93" s="701">
        <v>43712.0</v>
      </c>
      <c r="B93" s="679" t="s">
        <v>2187</v>
      </c>
      <c r="C93" s="702" t="s">
        <v>2188</v>
      </c>
      <c r="D93" s="653">
        <v>15.0</v>
      </c>
      <c r="E93" s="680" t="str">
        <f>IFERROR(__xludf.DUMMYFUNCTION("if(and(D93&lt;&gt;0,D93&lt;&gt;""""),D93/GOOGLEFINANCE(C93,""price"")-1,"""")"),"#N/A")</f>
        <v>#N/A</v>
      </c>
      <c r="F93" s="681" t="str">
        <f>IFERROR(__xludf.DUMMYFUNCTION("GOOGLEFINANCE(C93,""price"")"),"#N/A")</f>
        <v>#N/A</v>
      </c>
      <c r="G93" s="680" t="str">
        <f>IFERROR(__xludf.DUMMYFUNCTION("if(and(I93&lt;&gt;0,I93&lt;&gt;""""),I93/GOOGLEFINANCE(C93,""price"")-1,"""")"),"#N/A")</f>
        <v>#N/A</v>
      </c>
      <c r="H93" s="682"/>
      <c r="I93" s="655">
        <v>1.0</v>
      </c>
      <c r="J93" s="656"/>
      <c r="K93" s="656"/>
      <c r="L93" s="656"/>
      <c r="M93" s="656"/>
      <c r="N93" s="656"/>
      <c r="O93" s="656"/>
      <c r="P93" s="653"/>
      <c r="Q93" s="653"/>
      <c r="R93" s="653"/>
      <c r="S93" s="653"/>
      <c r="T93" s="653"/>
      <c r="U93" s="685" t="s">
        <v>2189</v>
      </c>
      <c r="V93" s="594"/>
      <c r="W93" s="657"/>
      <c r="X93" s="657"/>
      <c r="Y93" s="657"/>
      <c r="Z93" s="657"/>
      <c r="AA93" s="657"/>
      <c r="AB93" s="657"/>
      <c r="AC93" s="657"/>
      <c r="AD93" s="657"/>
      <c r="AE93" s="657"/>
      <c r="AF93" s="657"/>
      <c r="AG93" s="657"/>
      <c r="AH93" s="657"/>
      <c r="AI93" s="657"/>
      <c r="AJ93" s="657"/>
      <c r="AK93" s="657"/>
      <c r="AL93" s="657"/>
      <c r="AM93" s="657"/>
      <c r="AN93" s="657"/>
      <c r="AO93" s="657"/>
      <c r="AP93" s="657"/>
      <c r="AQ93" s="657"/>
      <c r="AR93" s="657"/>
      <c r="AS93" s="657"/>
      <c r="AT93" s="657"/>
      <c r="AU93" s="657"/>
      <c r="AV93" s="657"/>
      <c r="AW93" s="657"/>
      <c r="AX93" s="657"/>
      <c r="AY93" s="657"/>
      <c r="AZ93" s="657"/>
      <c r="BA93" s="657"/>
      <c r="BB93" s="657"/>
      <c r="BC93" s="657"/>
      <c r="BD93" s="657"/>
      <c r="BE93" s="657"/>
      <c r="BF93" s="657"/>
      <c r="BG93" s="657"/>
      <c r="BH93" s="657"/>
      <c r="BI93" s="657"/>
      <c r="BJ93" s="657"/>
      <c r="BK93" s="657"/>
      <c r="BL93" s="657"/>
      <c r="BM93" s="657"/>
      <c r="BN93" s="657"/>
      <c r="BO93" s="657"/>
      <c r="BP93" s="657"/>
      <c r="BQ93" s="657"/>
      <c r="BR93" s="657"/>
      <c r="BS93" s="657"/>
      <c r="BT93" s="657"/>
      <c r="BU93" s="657"/>
      <c r="BV93" s="657"/>
      <c r="BW93" s="657"/>
      <c r="BX93" s="657"/>
      <c r="BY93" s="657"/>
      <c r="BZ93" s="657"/>
      <c r="CA93" s="657"/>
      <c r="CB93" s="657"/>
      <c r="CC93" s="657"/>
      <c r="CD93" s="657"/>
      <c r="CE93" s="657"/>
      <c r="CF93" s="657"/>
      <c r="CG93" s="657"/>
      <c r="CH93" s="657"/>
      <c r="CI93" s="657"/>
      <c r="CJ93" s="657"/>
      <c r="CK93" s="657"/>
      <c r="CL93" s="657"/>
      <c r="CM93" s="657"/>
      <c r="CN93" s="657"/>
      <c r="CO93" s="657"/>
      <c r="CP93" s="657"/>
      <c r="CQ93" s="657"/>
      <c r="CR93" s="657"/>
      <c r="CS93" s="657"/>
      <c r="CT93" s="657"/>
      <c r="CU93" s="657"/>
      <c r="CV93" s="657"/>
      <c r="CW93" s="657"/>
      <c r="CX93" s="657"/>
      <c r="CY93" s="657"/>
      <c r="CZ93" s="657"/>
      <c r="DA93" s="657"/>
      <c r="DB93" s="657"/>
      <c r="DC93" s="657"/>
      <c r="DD93" s="657"/>
      <c r="DE93" s="657"/>
      <c r="DF93" s="657"/>
      <c r="DG93" s="657"/>
      <c r="DH93" s="657"/>
      <c r="DI93" s="657"/>
      <c r="DJ93" s="657"/>
      <c r="DK93" s="657"/>
      <c r="DL93" s="657"/>
      <c r="DM93" s="657"/>
      <c r="DN93" s="657"/>
      <c r="DO93" s="657"/>
      <c r="DP93" s="657"/>
      <c r="DQ93" s="657"/>
      <c r="DR93" s="657"/>
      <c r="DS93" s="657"/>
      <c r="DT93" s="657"/>
      <c r="DU93" s="657"/>
      <c r="DV93" s="657"/>
      <c r="DW93" s="657"/>
      <c r="DX93" s="657"/>
    </row>
    <row r="94" ht="15.0" customHeight="1">
      <c r="A94" s="652">
        <v>41979.0</v>
      </c>
      <c r="B94" s="653" t="s">
        <v>2191</v>
      </c>
      <c r="C94" s="654" t="s">
        <v>2192</v>
      </c>
      <c r="D94" s="653">
        <v>15.0</v>
      </c>
      <c r="E94" s="680">
        <f>IFERROR(__xludf.DUMMYFUNCTION("if(and(D94&lt;&gt;0,D94&lt;&gt;""""),D94/GOOGLEFINANCE(C94,""price"")-1,"""")"),-0.7496662216288384)</f>
        <v>-0.7496662216</v>
      </c>
      <c r="F94" s="681">
        <f>IFERROR(__xludf.DUMMYFUNCTION("GOOGLEFINANCE(C94,""price"")"),59.92)</f>
        <v>59.92</v>
      </c>
      <c r="G94" s="680">
        <f>IFERROR(__xludf.DUMMYFUNCTION("if(and(I94&lt;&gt;0,I94&lt;&gt;""""),I94/GOOGLEFINANCE(C94,""price"")-1,"""")"),-0.9833110814419226)</f>
        <v>-0.9833110814</v>
      </c>
      <c r="H94" s="682"/>
      <c r="I94" s="655">
        <v>1.0</v>
      </c>
      <c r="J94" s="656"/>
      <c r="K94" s="656"/>
      <c r="L94" s="656"/>
      <c r="M94" s="656"/>
      <c r="N94" s="656"/>
      <c r="O94" s="656"/>
      <c r="P94" s="653"/>
      <c r="Q94" s="653"/>
      <c r="R94" s="653"/>
      <c r="S94" s="653"/>
      <c r="T94" s="653"/>
      <c r="U94" s="657" t="s">
        <v>2193</v>
      </c>
      <c r="V94" s="594"/>
      <c r="W94" s="657"/>
      <c r="X94" s="657"/>
      <c r="Y94" s="657"/>
      <c r="Z94" s="657"/>
      <c r="AA94" s="657"/>
      <c r="AB94" s="657"/>
      <c r="AC94" s="657"/>
      <c r="AD94" s="657"/>
      <c r="AE94" s="657"/>
      <c r="AF94" s="657"/>
      <c r="AG94" s="657"/>
      <c r="AH94" s="657"/>
      <c r="AI94" s="657"/>
      <c r="AJ94" s="657"/>
      <c r="AK94" s="657"/>
      <c r="AL94" s="657"/>
      <c r="AM94" s="657"/>
      <c r="AN94" s="657"/>
      <c r="AO94" s="657"/>
      <c r="AP94" s="657"/>
      <c r="AQ94" s="657"/>
      <c r="AR94" s="657"/>
      <c r="AS94" s="657"/>
      <c r="AT94" s="657"/>
      <c r="AU94" s="657"/>
      <c r="AV94" s="657"/>
      <c r="AW94" s="657"/>
      <c r="AX94" s="657"/>
      <c r="AY94" s="657"/>
      <c r="AZ94" s="657"/>
      <c r="BA94" s="657"/>
      <c r="BB94" s="657"/>
      <c r="BC94" s="657"/>
      <c r="BD94" s="657"/>
      <c r="BE94" s="657"/>
      <c r="BF94" s="657"/>
      <c r="BG94" s="657"/>
      <c r="BH94" s="657"/>
      <c r="BI94" s="657"/>
      <c r="BJ94" s="657"/>
      <c r="BK94" s="657"/>
      <c r="BL94" s="657"/>
      <c r="BM94" s="657"/>
      <c r="BN94" s="657"/>
      <c r="BO94" s="657"/>
      <c r="BP94" s="657"/>
      <c r="BQ94" s="657"/>
      <c r="BR94" s="657"/>
      <c r="BS94" s="657"/>
      <c r="BT94" s="657"/>
      <c r="BU94" s="657"/>
      <c r="BV94" s="657"/>
      <c r="BW94" s="657"/>
      <c r="BX94" s="657"/>
      <c r="BY94" s="657"/>
      <c r="BZ94" s="657"/>
      <c r="CA94" s="657"/>
      <c r="CB94" s="657"/>
      <c r="CC94" s="657"/>
      <c r="CD94" s="657"/>
      <c r="CE94" s="657"/>
      <c r="CF94" s="657"/>
      <c r="CG94" s="657"/>
      <c r="CH94" s="657"/>
      <c r="CI94" s="657"/>
      <c r="CJ94" s="657"/>
      <c r="CK94" s="657"/>
      <c r="CL94" s="657"/>
      <c r="CM94" s="657"/>
      <c r="CN94" s="657"/>
      <c r="CO94" s="657"/>
      <c r="CP94" s="657"/>
      <c r="CQ94" s="657"/>
      <c r="CR94" s="657"/>
      <c r="CS94" s="657"/>
      <c r="CT94" s="657"/>
      <c r="CU94" s="657"/>
      <c r="CV94" s="657"/>
      <c r="CW94" s="657"/>
      <c r="CX94" s="657"/>
      <c r="CY94" s="657"/>
      <c r="CZ94" s="657"/>
      <c r="DA94" s="657"/>
      <c r="DB94" s="657"/>
      <c r="DC94" s="657"/>
      <c r="DD94" s="657"/>
      <c r="DE94" s="657"/>
      <c r="DF94" s="657"/>
      <c r="DG94" s="657"/>
      <c r="DH94" s="657"/>
      <c r="DI94" s="657"/>
      <c r="DJ94" s="657"/>
      <c r="DK94" s="657"/>
      <c r="DL94" s="657"/>
      <c r="DM94" s="657"/>
      <c r="DN94" s="657"/>
      <c r="DO94" s="657"/>
      <c r="DP94" s="657"/>
      <c r="DQ94" s="657"/>
      <c r="DR94" s="657"/>
      <c r="DS94" s="657"/>
      <c r="DT94" s="657"/>
      <c r="DU94" s="657"/>
      <c r="DV94" s="657"/>
      <c r="DW94" s="657"/>
      <c r="DX94" s="657"/>
    </row>
    <row r="95" ht="15.0" customHeight="1">
      <c r="A95" s="652">
        <v>42167.0</v>
      </c>
      <c r="B95" s="653" t="s">
        <v>2194</v>
      </c>
      <c r="C95" s="654" t="s">
        <v>2195</v>
      </c>
      <c r="D95" s="588">
        <v>7.0</v>
      </c>
      <c r="E95" s="589">
        <f>IFERROR(__xludf.DUMMYFUNCTION("if(and(D95&lt;&gt;0,D95&lt;&gt;""""),D95/GOOGLEFINANCE(C95,""price"")-1,"""")"),28.166666666666668)</f>
        <v>28.16666667</v>
      </c>
      <c r="F95" s="590">
        <f>IFERROR(__xludf.DUMMYFUNCTION("GOOGLEFINANCE(C95,""price"")"),0.24)</f>
        <v>0.24</v>
      </c>
      <c r="G95" s="589">
        <f>IFERROR(__xludf.DUMMYFUNCTION("if(and(I95&lt;&gt;0,I95&lt;&gt;""""),I95/GOOGLEFINANCE(C95,""price"")-1,"""")"),3.166666666666667)</f>
        <v>3.166666667</v>
      </c>
      <c r="H95" s="591"/>
      <c r="I95" s="592">
        <v>1.0</v>
      </c>
      <c r="J95" s="656"/>
      <c r="K95" s="656"/>
      <c r="L95" s="656"/>
      <c r="M95" s="656"/>
      <c r="N95" s="656"/>
      <c r="O95" s="656"/>
      <c r="P95" s="653"/>
      <c r="Q95" s="653"/>
      <c r="R95" s="653"/>
      <c r="S95" s="653"/>
      <c r="T95" s="653"/>
      <c r="U95" s="657" t="s">
        <v>2196</v>
      </c>
      <c r="V95" s="594"/>
      <c r="W95" s="657"/>
      <c r="X95" s="657"/>
      <c r="Y95" s="657"/>
      <c r="Z95" s="657"/>
      <c r="AA95" s="657"/>
      <c r="AB95" s="657"/>
      <c r="AC95" s="657"/>
      <c r="AD95" s="657"/>
      <c r="AE95" s="657"/>
      <c r="AF95" s="657"/>
      <c r="AG95" s="657"/>
      <c r="AH95" s="657"/>
      <c r="AI95" s="657"/>
      <c r="AJ95" s="657"/>
      <c r="AK95" s="657"/>
      <c r="AL95" s="657"/>
      <c r="AM95" s="657"/>
      <c r="AN95" s="657"/>
      <c r="AO95" s="657"/>
      <c r="AP95" s="657"/>
      <c r="AQ95" s="657"/>
      <c r="AR95" s="657"/>
      <c r="AS95" s="657"/>
      <c r="AT95" s="657"/>
      <c r="AU95" s="657"/>
      <c r="AV95" s="657"/>
      <c r="AW95" s="657"/>
      <c r="AX95" s="657"/>
      <c r="AY95" s="657"/>
      <c r="AZ95" s="657"/>
      <c r="BA95" s="657"/>
      <c r="BB95" s="657"/>
      <c r="BC95" s="657"/>
      <c r="BD95" s="657"/>
      <c r="BE95" s="657"/>
      <c r="BF95" s="657"/>
      <c r="BG95" s="657"/>
      <c r="BH95" s="657"/>
      <c r="BI95" s="657"/>
      <c r="BJ95" s="657"/>
      <c r="BK95" s="657"/>
      <c r="BL95" s="657"/>
      <c r="BM95" s="657"/>
      <c r="BN95" s="657"/>
      <c r="BO95" s="657"/>
      <c r="BP95" s="657"/>
      <c r="BQ95" s="657"/>
      <c r="BR95" s="657"/>
      <c r="BS95" s="657"/>
      <c r="BT95" s="657"/>
      <c r="BU95" s="657"/>
      <c r="BV95" s="657"/>
      <c r="BW95" s="657"/>
      <c r="BX95" s="657"/>
      <c r="BY95" s="657"/>
      <c r="BZ95" s="657"/>
      <c r="CA95" s="657"/>
      <c r="CB95" s="657"/>
      <c r="CC95" s="657"/>
      <c r="CD95" s="657"/>
      <c r="CE95" s="657"/>
      <c r="CF95" s="657"/>
      <c r="CG95" s="657"/>
      <c r="CH95" s="657"/>
      <c r="CI95" s="657"/>
      <c r="CJ95" s="657"/>
      <c r="CK95" s="657"/>
      <c r="CL95" s="657"/>
      <c r="CM95" s="657"/>
      <c r="CN95" s="657"/>
      <c r="CO95" s="657"/>
      <c r="CP95" s="657"/>
      <c r="CQ95" s="657"/>
      <c r="CR95" s="657"/>
      <c r="CS95" s="657"/>
      <c r="CT95" s="657"/>
      <c r="CU95" s="657"/>
      <c r="CV95" s="657"/>
      <c r="CW95" s="657"/>
      <c r="CX95" s="657"/>
      <c r="CY95" s="657"/>
      <c r="CZ95" s="657"/>
      <c r="DA95" s="657"/>
      <c r="DB95" s="657"/>
      <c r="DC95" s="657"/>
      <c r="DD95" s="657"/>
      <c r="DE95" s="657"/>
      <c r="DF95" s="657"/>
      <c r="DG95" s="657"/>
      <c r="DH95" s="657"/>
      <c r="DI95" s="657"/>
      <c r="DJ95" s="657"/>
      <c r="DK95" s="657"/>
      <c r="DL95" s="657"/>
      <c r="DM95" s="657"/>
      <c r="DN95" s="657"/>
      <c r="DO95" s="657"/>
      <c r="DP95" s="657"/>
      <c r="DQ95" s="657"/>
      <c r="DR95" s="657"/>
      <c r="DS95" s="657"/>
      <c r="DT95" s="657"/>
      <c r="DU95" s="657"/>
      <c r="DV95" s="657"/>
      <c r="DW95" s="657"/>
      <c r="DX95" s="657"/>
    </row>
    <row r="96" ht="15.0" customHeight="1">
      <c r="A96" s="585">
        <v>41051.0</v>
      </c>
      <c r="B96" s="586" t="s">
        <v>2197</v>
      </c>
      <c r="C96" s="587" t="s">
        <v>355</v>
      </c>
      <c r="D96" s="586"/>
      <c r="E96" s="589" t="str">
        <f>IFERROR(__xludf.DUMMYFUNCTION("if(and(D96&lt;&gt;0,D96&lt;&gt;""""),D96/GOOGLEFINANCE(C96,""price"")-1,"""")"),"")</f>
        <v/>
      </c>
      <c r="F96" s="590">
        <f>IFERROR(__xludf.DUMMYFUNCTION("GOOGLEFINANCE(C96,""price"")"),7.47)</f>
        <v>7.47</v>
      </c>
      <c r="G96" s="589">
        <f>IFERROR(__xludf.DUMMYFUNCTION("if(and(I96&lt;&gt;0,I96&lt;&gt;""""),I96/GOOGLEFINANCE(C96,""price"")-1,"""")"),-0.9330655957161982)</f>
        <v>-0.9330655957</v>
      </c>
      <c r="H96" s="591"/>
      <c r="I96" s="592">
        <v>0.5</v>
      </c>
      <c r="J96" s="586"/>
      <c r="K96" s="586"/>
      <c r="L96" s="586"/>
      <c r="M96" s="586"/>
      <c r="N96" s="586"/>
      <c r="O96" s="586"/>
      <c r="P96" s="586"/>
      <c r="Q96" s="586"/>
      <c r="R96" s="586"/>
      <c r="S96" s="586"/>
      <c r="T96" s="586"/>
      <c r="U96" s="603" t="s">
        <v>2198</v>
      </c>
      <c r="V96" s="604"/>
      <c r="W96" s="605"/>
      <c r="X96" s="606"/>
      <c r="Y96" s="606"/>
      <c r="Z96" s="606"/>
      <c r="AA96" s="606"/>
      <c r="AB96" s="606"/>
      <c r="AC96" s="606"/>
      <c r="AD96" s="606"/>
      <c r="AE96" s="606"/>
      <c r="AF96" s="606"/>
      <c r="AG96" s="606"/>
      <c r="AH96" s="606"/>
      <c r="AI96" s="606"/>
      <c r="AJ96" s="606"/>
      <c r="AK96" s="606"/>
      <c r="AL96" s="606"/>
      <c r="AM96" s="606"/>
      <c r="AN96" s="606"/>
      <c r="AO96" s="606"/>
      <c r="AP96" s="606"/>
      <c r="AQ96" s="606"/>
      <c r="AR96" s="606"/>
      <c r="AS96" s="606"/>
      <c r="AT96" s="606"/>
      <c r="AU96" s="606"/>
      <c r="AV96" s="606"/>
      <c r="AW96" s="606"/>
      <c r="AX96" s="606"/>
      <c r="AY96" s="606"/>
      <c r="AZ96" s="606"/>
      <c r="BA96" s="606"/>
      <c r="BB96" s="606"/>
      <c r="BC96" s="606"/>
      <c r="BD96" s="606"/>
      <c r="BE96" s="606"/>
      <c r="BF96" s="606"/>
      <c r="BG96" s="606"/>
      <c r="BH96" s="606"/>
      <c r="BI96" s="606"/>
      <c r="BJ96" s="606"/>
      <c r="BK96" s="606"/>
      <c r="BL96" s="606"/>
      <c r="BM96" s="606"/>
      <c r="BN96" s="606"/>
      <c r="BO96" s="606"/>
      <c r="BP96" s="606"/>
      <c r="BQ96" s="606"/>
      <c r="BR96" s="606"/>
      <c r="BS96" s="606"/>
      <c r="BT96" s="606"/>
      <c r="BU96" s="606"/>
      <c r="BV96" s="606"/>
      <c r="BW96" s="606"/>
      <c r="BX96" s="606"/>
      <c r="BY96" s="606"/>
      <c r="BZ96" s="606"/>
      <c r="CA96" s="606"/>
      <c r="CB96" s="606"/>
      <c r="CC96" s="606"/>
      <c r="CD96" s="606"/>
      <c r="CE96" s="606"/>
      <c r="CF96" s="606"/>
      <c r="CG96" s="606"/>
      <c r="CH96" s="606"/>
      <c r="CI96" s="606"/>
      <c r="CJ96" s="606"/>
      <c r="CK96" s="606"/>
      <c r="CL96" s="606"/>
      <c r="CM96" s="606"/>
      <c r="CN96" s="606"/>
      <c r="CO96" s="606"/>
      <c r="CP96" s="606"/>
      <c r="CQ96" s="606"/>
      <c r="CR96" s="606"/>
      <c r="CS96" s="606"/>
      <c r="CT96" s="606"/>
      <c r="CU96" s="606"/>
      <c r="CV96" s="606"/>
      <c r="CW96" s="606"/>
      <c r="CX96" s="606"/>
      <c r="CY96" s="606"/>
      <c r="CZ96" s="606"/>
      <c r="DA96" s="606"/>
      <c r="DB96" s="606"/>
      <c r="DC96" s="606"/>
      <c r="DD96" s="606"/>
      <c r="DE96" s="606"/>
      <c r="DF96" s="606"/>
      <c r="DG96" s="606"/>
      <c r="DH96" s="606"/>
      <c r="DI96" s="606"/>
      <c r="DJ96" s="606"/>
      <c r="DK96" s="606"/>
      <c r="DL96" s="606"/>
      <c r="DM96" s="606"/>
      <c r="DN96" s="606"/>
      <c r="DO96" s="606"/>
      <c r="DP96" s="606"/>
      <c r="DQ96" s="606"/>
      <c r="DR96" s="606"/>
      <c r="DS96" s="606"/>
      <c r="DT96" s="606"/>
      <c r="DU96" s="606"/>
      <c r="DV96" s="606"/>
      <c r="DW96" s="606"/>
      <c r="DX96" s="606"/>
    </row>
    <row r="97" ht="15.0" customHeight="1">
      <c r="A97" s="607">
        <v>42384.0</v>
      </c>
      <c r="B97" s="608" t="s">
        <v>2200</v>
      </c>
      <c r="C97" s="609" t="s">
        <v>2201</v>
      </c>
      <c r="D97" s="608">
        <v>20.0</v>
      </c>
      <c r="E97" s="577">
        <f>IFERROR(__xludf.DUMMYFUNCTION("if(and(D97&lt;&gt;0,D97&lt;&gt;""""),D97/GOOGLEFINANCE(C97,""price"")-1,"""")"),-0.13941480206540446)</f>
        <v>-0.1394148021</v>
      </c>
      <c r="F97" s="578">
        <f>IFERROR(__xludf.DUMMYFUNCTION("GOOGLEFINANCE(C97,""price"")"),23.24)</f>
        <v>23.24</v>
      </c>
      <c r="G97" s="577">
        <f>IFERROR(__xludf.DUMMYFUNCTION("if(and(I97&lt;&gt;0,I97&lt;&gt;""""),I97/GOOGLEFINANCE(C97,""price"")-1,"""")"),-0.9139414802065404)</f>
        <v>-0.9139414802</v>
      </c>
      <c r="H97" s="579"/>
      <c r="I97" s="610">
        <v>2.0</v>
      </c>
      <c r="J97" s="575"/>
      <c r="K97" s="575"/>
      <c r="L97" s="575"/>
      <c r="M97" s="575"/>
      <c r="N97" s="575"/>
      <c r="O97" s="575"/>
      <c r="P97" s="575"/>
      <c r="Q97" s="575"/>
      <c r="R97" s="575"/>
      <c r="S97" s="575"/>
      <c r="T97" s="575"/>
      <c r="U97" s="581" t="s">
        <v>2202</v>
      </c>
      <c r="V97" s="582"/>
      <c r="W97" s="583"/>
      <c r="X97" s="584"/>
      <c r="Y97" s="584"/>
      <c r="Z97" s="584"/>
      <c r="AA97" s="584"/>
      <c r="AB97" s="584"/>
      <c r="AC97" s="584"/>
      <c r="AD97" s="584"/>
      <c r="AE97" s="584"/>
      <c r="AF97" s="584"/>
      <c r="AG97" s="584"/>
      <c r="AH97" s="584"/>
      <c r="AI97" s="584"/>
      <c r="AJ97" s="584"/>
      <c r="AK97" s="584"/>
      <c r="AL97" s="584"/>
      <c r="AM97" s="584"/>
      <c r="AN97" s="584"/>
      <c r="AO97" s="584"/>
      <c r="AP97" s="584"/>
      <c r="AQ97" s="584"/>
      <c r="AR97" s="584"/>
      <c r="AS97" s="584"/>
      <c r="AT97" s="584"/>
      <c r="AU97" s="584"/>
      <c r="AV97" s="584"/>
      <c r="AW97" s="584"/>
      <c r="AX97" s="584"/>
      <c r="AY97" s="584"/>
      <c r="AZ97" s="584"/>
      <c r="BA97" s="584"/>
      <c r="BB97" s="584"/>
      <c r="BC97" s="584"/>
      <c r="BD97" s="584"/>
      <c r="BE97" s="584"/>
      <c r="BF97" s="584"/>
      <c r="BG97" s="584"/>
      <c r="BH97" s="584"/>
      <c r="BI97" s="584"/>
      <c r="BJ97" s="584"/>
      <c r="BK97" s="584"/>
      <c r="BL97" s="584"/>
      <c r="BM97" s="584"/>
      <c r="BN97" s="584"/>
      <c r="BO97" s="584"/>
      <c r="BP97" s="584"/>
      <c r="BQ97" s="584"/>
      <c r="BR97" s="584"/>
      <c r="BS97" s="584"/>
      <c r="BT97" s="584"/>
      <c r="BU97" s="584"/>
      <c r="BV97" s="584"/>
      <c r="BW97" s="584"/>
      <c r="BX97" s="584"/>
      <c r="BY97" s="584"/>
      <c r="BZ97" s="584"/>
      <c r="CA97" s="584"/>
      <c r="CB97" s="584"/>
      <c r="CC97" s="584"/>
      <c r="CD97" s="584"/>
      <c r="CE97" s="584"/>
      <c r="CF97" s="584"/>
      <c r="CG97" s="584"/>
      <c r="CH97" s="584"/>
      <c r="CI97" s="584"/>
      <c r="CJ97" s="584"/>
      <c r="CK97" s="584"/>
      <c r="CL97" s="584"/>
      <c r="CM97" s="584"/>
      <c r="CN97" s="584"/>
      <c r="CO97" s="584"/>
      <c r="CP97" s="584"/>
      <c r="CQ97" s="584"/>
      <c r="CR97" s="584"/>
      <c r="CS97" s="584"/>
      <c r="CT97" s="584"/>
      <c r="CU97" s="584"/>
      <c r="CV97" s="584"/>
      <c r="CW97" s="584"/>
      <c r="CX97" s="584"/>
      <c r="CY97" s="584"/>
      <c r="CZ97" s="584"/>
      <c r="DA97" s="584"/>
      <c r="DB97" s="584"/>
      <c r="DC97" s="584"/>
      <c r="DD97" s="584"/>
      <c r="DE97" s="584"/>
      <c r="DF97" s="584"/>
      <c r="DG97" s="584"/>
      <c r="DH97" s="584"/>
      <c r="DI97" s="584"/>
      <c r="DJ97" s="584"/>
      <c r="DK97" s="584"/>
      <c r="DL97" s="584"/>
      <c r="DM97" s="584"/>
      <c r="DN97" s="584"/>
      <c r="DO97" s="584"/>
      <c r="DP97" s="584"/>
      <c r="DQ97" s="584"/>
      <c r="DR97" s="584"/>
      <c r="DS97" s="584"/>
      <c r="DT97" s="584"/>
      <c r="DU97" s="584"/>
      <c r="DV97" s="584"/>
      <c r="DW97" s="584"/>
      <c r="DX97" s="584"/>
    </row>
    <row r="98" ht="15.0" customHeight="1">
      <c r="A98" s="585">
        <v>41082.0</v>
      </c>
      <c r="B98" s="586" t="s">
        <v>2203</v>
      </c>
      <c r="C98" s="587" t="s">
        <v>2204</v>
      </c>
      <c r="D98" s="588"/>
      <c r="E98" s="589" t="str">
        <f>IFERROR(__xludf.DUMMYFUNCTION("if(and(D98&lt;&gt;0,D98&lt;&gt;""""),D98/GOOGLEFINANCE(C98,""price"")-1,"""")"),"")</f>
        <v/>
      </c>
      <c r="F98" s="590">
        <f>IFERROR(__xludf.DUMMYFUNCTION("GOOGLEFINANCE(C98,""price"")"),2.66)</f>
        <v>2.66</v>
      </c>
      <c r="G98" s="589" t="str">
        <f>IFERROR(__xludf.DUMMYFUNCTION("if(and(I98&lt;&gt;0,I98&lt;&gt;""""),I98/GOOGLEFINANCE(C98,""price"")-1,"""")"),"")</f>
        <v/>
      </c>
      <c r="H98" s="591"/>
      <c r="I98" s="602"/>
      <c r="J98" s="586"/>
      <c r="K98" s="586"/>
      <c r="L98" s="586"/>
      <c r="M98" s="586"/>
      <c r="N98" s="586"/>
      <c r="O98" s="586"/>
      <c r="P98" s="586"/>
      <c r="Q98" s="586"/>
      <c r="R98" s="586"/>
      <c r="S98" s="586"/>
      <c r="T98" s="586"/>
      <c r="U98" s="603" t="s">
        <v>2202</v>
      </c>
      <c r="V98" s="604"/>
      <c r="W98" s="605"/>
      <c r="X98" s="606"/>
      <c r="Y98" s="606"/>
      <c r="Z98" s="606"/>
      <c r="AA98" s="606"/>
      <c r="AB98" s="606"/>
      <c r="AC98" s="606"/>
      <c r="AD98" s="606"/>
      <c r="AE98" s="606"/>
      <c r="AF98" s="606"/>
      <c r="AG98" s="606"/>
      <c r="AH98" s="606"/>
      <c r="AI98" s="606"/>
      <c r="AJ98" s="606"/>
      <c r="AK98" s="606"/>
      <c r="AL98" s="606"/>
      <c r="AM98" s="606"/>
      <c r="AN98" s="606"/>
      <c r="AO98" s="606"/>
      <c r="AP98" s="606"/>
      <c r="AQ98" s="606"/>
      <c r="AR98" s="606"/>
      <c r="AS98" s="606"/>
      <c r="AT98" s="606"/>
      <c r="AU98" s="606"/>
      <c r="AV98" s="606"/>
      <c r="AW98" s="606"/>
      <c r="AX98" s="606"/>
      <c r="AY98" s="606"/>
      <c r="AZ98" s="606"/>
      <c r="BA98" s="606"/>
      <c r="BB98" s="606"/>
      <c r="BC98" s="606"/>
      <c r="BD98" s="606"/>
      <c r="BE98" s="606"/>
      <c r="BF98" s="606"/>
      <c r="BG98" s="606"/>
      <c r="BH98" s="606"/>
      <c r="BI98" s="606"/>
      <c r="BJ98" s="606"/>
      <c r="BK98" s="606"/>
      <c r="BL98" s="606"/>
      <c r="BM98" s="606"/>
      <c r="BN98" s="606"/>
      <c r="BO98" s="606"/>
      <c r="BP98" s="606"/>
      <c r="BQ98" s="606"/>
      <c r="BR98" s="606"/>
      <c r="BS98" s="606"/>
      <c r="BT98" s="606"/>
      <c r="BU98" s="606"/>
      <c r="BV98" s="606"/>
      <c r="BW98" s="606"/>
      <c r="BX98" s="606"/>
      <c r="BY98" s="606"/>
      <c r="BZ98" s="606"/>
      <c r="CA98" s="606"/>
      <c r="CB98" s="606"/>
      <c r="CC98" s="606"/>
      <c r="CD98" s="606"/>
      <c r="CE98" s="606"/>
      <c r="CF98" s="606"/>
      <c r="CG98" s="606"/>
      <c r="CH98" s="606"/>
      <c r="CI98" s="606"/>
      <c r="CJ98" s="606"/>
      <c r="CK98" s="606"/>
      <c r="CL98" s="606"/>
      <c r="CM98" s="606"/>
      <c r="CN98" s="606"/>
      <c r="CO98" s="606"/>
      <c r="CP98" s="606"/>
      <c r="CQ98" s="606"/>
      <c r="CR98" s="606"/>
      <c r="CS98" s="606"/>
      <c r="CT98" s="606"/>
      <c r="CU98" s="606"/>
      <c r="CV98" s="606"/>
      <c r="CW98" s="606"/>
      <c r="CX98" s="606"/>
      <c r="CY98" s="606"/>
      <c r="CZ98" s="606"/>
      <c r="DA98" s="606"/>
      <c r="DB98" s="606"/>
      <c r="DC98" s="606"/>
      <c r="DD98" s="606"/>
      <c r="DE98" s="606"/>
      <c r="DF98" s="606"/>
      <c r="DG98" s="606"/>
      <c r="DH98" s="606"/>
      <c r="DI98" s="606"/>
      <c r="DJ98" s="606"/>
      <c r="DK98" s="606"/>
      <c r="DL98" s="606"/>
      <c r="DM98" s="606"/>
      <c r="DN98" s="606"/>
      <c r="DO98" s="606"/>
      <c r="DP98" s="606"/>
      <c r="DQ98" s="606"/>
      <c r="DR98" s="606"/>
      <c r="DS98" s="606"/>
      <c r="DT98" s="606"/>
      <c r="DU98" s="606"/>
      <c r="DV98" s="606"/>
      <c r="DW98" s="606"/>
      <c r="DX98" s="606"/>
    </row>
    <row r="99" ht="15.0" customHeight="1">
      <c r="A99" s="585">
        <v>41221.0</v>
      </c>
      <c r="B99" s="586" t="s">
        <v>2206</v>
      </c>
      <c r="C99" s="587" t="s">
        <v>2207</v>
      </c>
      <c r="D99" s="586"/>
      <c r="E99" s="589" t="str">
        <f>IFERROR(__xludf.DUMMYFUNCTION("if(and(D99&lt;&gt;0,D99&lt;&gt;""""),D99/GOOGLEFINANCE(C99,""price"")-1,"""")"),"")</f>
        <v/>
      </c>
      <c r="F99" s="590">
        <f>IFERROR(__xludf.DUMMYFUNCTION("GOOGLEFINANCE(C99,""price"")"),124.94)</f>
        <v>124.94</v>
      </c>
      <c r="G99" s="589" t="str">
        <f>IFERROR(__xludf.DUMMYFUNCTION("if(and(I99&lt;&gt;0,I99&lt;&gt;""""),I99/GOOGLEFINANCE(C99,""price"")-1,"""")"),"")</f>
        <v/>
      </c>
      <c r="H99" s="591"/>
      <c r="I99" s="602"/>
      <c r="J99" s="586"/>
      <c r="K99" s="586"/>
      <c r="L99" s="586"/>
      <c r="M99" s="586"/>
      <c r="N99" s="586"/>
      <c r="O99" s="586"/>
      <c r="P99" s="586"/>
      <c r="Q99" s="586"/>
      <c r="R99" s="586"/>
      <c r="S99" s="586"/>
      <c r="T99" s="586"/>
      <c r="U99" s="603" t="s">
        <v>2208</v>
      </c>
      <c r="V99" s="604"/>
      <c r="W99" s="605"/>
      <c r="X99" s="606"/>
      <c r="Y99" s="606"/>
      <c r="Z99" s="606"/>
      <c r="AA99" s="606"/>
      <c r="AB99" s="606"/>
      <c r="AC99" s="606"/>
      <c r="AD99" s="606"/>
      <c r="AE99" s="606"/>
      <c r="AF99" s="606"/>
      <c r="AG99" s="606"/>
      <c r="AH99" s="606"/>
      <c r="AI99" s="606"/>
      <c r="AJ99" s="606"/>
      <c r="AK99" s="606"/>
      <c r="AL99" s="606"/>
      <c r="AM99" s="606"/>
      <c r="AN99" s="606"/>
      <c r="AO99" s="606"/>
      <c r="AP99" s="606"/>
      <c r="AQ99" s="606"/>
      <c r="AR99" s="606"/>
      <c r="AS99" s="606"/>
      <c r="AT99" s="606"/>
      <c r="AU99" s="606"/>
      <c r="AV99" s="606"/>
      <c r="AW99" s="606"/>
      <c r="AX99" s="606"/>
      <c r="AY99" s="606"/>
      <c r="AZ99" s="606"/>
      <c r="BA99" s="606"/>
      <c r="BB99" s="606"/>
      <c r="BC99" s="606"/>
      <c r="BD99" s="606"/>
      <c r="BE99" s="606"/>
      <c r="BF99" s="606"/>
      <c r="BG99" s="606"/>
      <c r="BH99" s="606"/>
      <c r="BI99" s="606"/>
      <c r="BJ99" s="606"/>
      <c r="BK99" s="606"/>
      <c r="BL99" s="606"/>
      <c r="BM99" s="606"/>
      <c r="BN99" s="606"/>
      <c r="BO99" s="606"/>
      <c r="BP99" s="606"/>
      <c r="BQ99" s="606"/>
      <c r="BR99" s="606"/>
      <c r="BS99" s="606"/>
      <c r="BT99" s="606"/>
      <c r="BU99" s="606"/>
      <c r="BV99" s="606"/>
      <c r="BW99" s="606"/>
      <c r="BX99" s="606"/>
      <c r="BY99" s="606"/>
      <c r="BZ99" s="606"/>
      <c r="CA99" s="606"/>
      <c r="CB99" s="606"/>
      <c r="CC99" s="606"/>
      <c r="CD99" s="606"/>
      <c r="CE99" s="606"/>
      <c r="CF99" s="606"/>
      <c r="CG99" s="606"/>
      <c r="CH99" s="606"/>
      <c r="CI99" s="606"/>
      <c r="CJ99" s="606"/>
      <c r="CK99" s="606"/>
      <c r="CL99" s="606"/>
      <c r="CM99" s="606"/>
      <c r="CN99" s="606"/>
      <c r="CO99" s="606"/>
      <c r="CP99" s="606"/>
      <c r="CQ99" s="606"/>
      <c r="CR99" s="606"/>
      <c r="CS99" s="606"/>
      <c r="CT99" s="606"/>
      <c r="CU99" s="606"/>
      <c r="CV99" s="606"/>
      <c r="CW99" s="606"/>
      <c r="CX99" s="606"/>
      <c r="CY99" s="606"/>
      <c r="CZ99" s="606"/>
      <c r="DA99" s="606"/>
      <c r="DB99" s="606"/>
      <c r="DC99" s="606"/>
      <c r="DD99" s="606"/>
      <c r="DE99" s="606"/>
      <c r="DF99" s="606"/>
      <c r="DG99" s="606"/>
      <c r="DH99" s="606"/>
      <c r="DI99" s="606"/>
      <c r="DJ99" s="606"/>
      <c r="DK99" s="606"/>
      <c r="DL99" s="606"/>
      <c r="DM99" s="606"/>
      <c r="DN99" s="606"/>
      <c r="DO99" s="606"/>
      <c r="DP99" s="606"/>
      <c r="DQ99" s="606"/>
      <c r="DR99" s="606"/>
      <c r="DS99" s="606"/>
      <c r="DT99" s="606"/>
      <c r="DU99" s="606"/>
      <c r="DV99" s="606"/>
      <c r="DW99" s="606"/>
      <c r="DX99" s="606"/>
    </row>
    <row r="100" ht="15.0" customHeight="1">
      <c r="A100" s="585">
        <v>41221.0</v>
      </c>
      <c r="B100" s="588" t="s">
        <v>2209</v>
      </c>
      <c r="C100" s="612" t="s">
        <v>2210</v>
      </c>
      <c r="D100" s="588">
        <v>100.0</v>
      </c>
      <c r="E100" s="589">
        <f>IFERROR(__xludf.DUMMYFUNCTION("if(and(D100&lt;&gt;0,D100&lt;&gt;""""),D100/GOOGLEFINANCE(C100,""price"")-1,"""")"),-0.17252792718245757)</f>
        <v>-0.1725279272</v>
      </c>
      <c r="F100" s="590">
        <f>IFERROR(__xludf.DUMMYFUNCTION("GOOGLEFINANCE(C100,""price"")"),120.85)</f>
        <v>120.85</v>
      </c>
      <c r="G100" s="589">
        <f>IFERROR(__xludf.DUMMYFUNCTION("if(and(I100&lt;&gt;0,I100&lt;&gt;""""),I100/GOOGLEFINANCE(C100,""price"")-1,"""")"),-0.9917252792718245)</f>
        <v>-0.9917252793</v>
      </c>
      <c r="H100" s="591"/>
      <c r="I100" s="592">
        <v>1.0</v>
      </c>
      <c r="J100" s="586"/>
      <c r="K100" s="586"/>
      <c r="L100" s="586"/>
      <c r="M100" s="586"/>
      <c r="N100" s="586"/>
      <c r="O100" s="586"/>
      <c r="P100" s="586"/>
      <c r="Q100" s="586"/>
      <c r="R100" s="586"/>
      <c r="S100" s="586"/>
      <c r="T100" s="586"/>
      <c r="U100" s="603"/>
      <c r="V100" s="604"/>
      <c r="W100" s="605"/>
      <c r="X100" s="606"/>
      <c r="Y100" s="606"/>
      <c r="Z100" s="606"/>
      <c r="AA100" s="606"/>
      <c r="AB100" s="606"/>
      <c r="AC100" s="606"/>
      <c r="AD100" s="606"/>
      <c r="AE100" s="606"/>
      <c r="AF100" s="606"/>
      <c r="AG100" s="606"/>
      <c r="AH100" s="606"/>
      <c r="AI100" s="606"/>
      <c r="AJ100" s="606"/>
      <c r="AK100" s="606"/>
      <c r="AL100" s="606"/>
      <c r="AM100" s="606"/>
      <c r="AN100" s="606"/>
      <c r="AO100" s="606"/>
      <c r="AP100" s="606"/>
      <c r="AQ100" s="606"/>
      <c r="AR100" s="606"/>
      <c r="AS100" s="606"/>
      <c r="AT100" s="606"/>
      <c r="AU100" s="606"/>
      <c r="AV100" s="606"/>
      <c r="AW100" s="606"/>
      <c r="AX100" s="606"/>
      <c r="AY100" s="606"/>
      <c r="AZ100" s="606"/>
      <c r="BA100" s="606"/>
      <c r="BB100" s="606"/>
      <c r="BC100" s="606"/>
      <c r="BD100" s="606"/>
      <c r="BE100" s="606"/>
      <c r="BF100" s="606"/>
      <c r="BG100" s="606"/>
      <c r="BH100" s="606"/>
      <c r="BI100" s="606"/>
      <c r="BJ100" s="606"/>
      <c r="BK100" s="606"/>
      <c r="BL100" s="606"/>
      <c r="BM100" s="606"/>
      <c r="BN100" s="606"/>
      <c r="BO100" s="606"/>
      <c r="BP100" s="606"/>
      <c r="BQ100" s="606"/>
      <c r="BR100" s="606"/>
      <c r="BS100" s="606"/>
      <c r="BT100" s="606"/>
      <c r="BU100" s="606"/>
      <c r="BV100" s="606"/>
      <c r="BW100" s="606"/>
      <c r="BX100" s="606"/>
      <c r="BY100" s="606"/>
      <c r="BZ100" s="606"/>
      <c r="CA100" s="606"/>
      <c r="CB100" s="606"/>
      <c r="CC100" s="606"/>
      <c r="CD100" s="606"/>
      <c r="CE100" s="606"/>
      <c r="CF100" s="606"/>
      <c r="CG100" s="606"/>
      <c r="CH100" s="606"/>
      <c r="CI100" s="606"/>
      <c r="CJ100" s="606"/>
      <c r="CK100" s="606"/>
      <c r="CL100" s="606"/>
      <c r="CM100" s="606"/>
      <c r="CN100" s="606"/>
      <c r="CO100" s="606"/>
      <c r="CP100" s="606"/>
      <c r="CQ100" s="606"/>
      <c r="CR100" s="606"/>
      <c r="CS100" s="606"/>
      <c r="CT100" s="606"/>
      <c r="CU100" s="606"/>
      <c r="CV100" s="606"/>
      <c r="CW100" s="606"/>
      <c r="CX100" s="606"/>
      <c r="CY100" s="606"/>
      <c r="CZ100" s="606"/>
      <c r="DA100" s="606"/>
      <c r="DB100" s="606"/>
      <c r="DC100" s="606"/>
      <c r="DD100" s="606"/>
      <c r="DE100" s="606"/>
      <c r="DF100" s="606"/>
      <c r="DG100" s="606"/>
      <c r="DH100" s="606"/>
      <c r="DI100" s="606"/>
      <c r="DJ100" s="606"/>
      <c r="DK100" s="606"/>
      <c r="DL100" s="606"/>
      <c r="DM100" s="606"/>
      <c r="DN100" s="606"/>
      <c r="DO100" s="606"/>
      <c r="DP100" s="606"/>
      <c r="DQ100" s="606"/>
      <c r="DR100" s="606"/>
      <c r="DS100" s="606"/>
      <c r="DT100" s="606"/>
      <c r="DU100" s="606"/>
      <c r="DV100" s="606"/>
      <c r="DW100" s="606"/>
      <c r="DX100" s="606"/>
    </row>
    <row r="101" ht="15.0" customHeight="1">
      <c r="A101" s="574">
        <v>40906.0</v>
      </c>
      <c r="B101" s="575" t="s">
        <v>2211</v>
      </c>
      <c r="C101" s="576" t="s">
        <v>2212</v>
      </c>
      <c r="D101" s="575"/>
      <c r="E101" s="577" t="str">
        <f>IFERROR(__xludf.DUMMYFUNCTION("if(and(D101&lt;&gt;0,D101&lt;&gt;""""),D101/GOOGLEFINANCE(C101,""price"")-1,"""")"),"")</f>
        <v/>
      </c>
      <c r="F101" s="578" t="str">
        <f>IFERROR(__xludf.DUMMYFUNCTION("GOOGLEFINANCE(C101,""price"")"),"#N/A")</f>
        <v>#N/A</v>
      </c>
      <c r="G101" s="577" t="str">
        <f>IFERROR(__xludf.DUMMYFUNCTION("if(and(I101&lt;&gt;0,I101&lt;&gt;""""),I101/GOOGLEFINANCE(C101,""price"")-1,"""")"),"")</f>
        <v/>
      </c>
      <c r="H101" s="579"/>
      <c r="I101" s="580"/>
      <c r="J101" s="575"/>
      <c r="K101" s="575"/>
      <c r="L101" s="575"/>
      <c r="M101" s="575"/>
      <c r="N101" s="575"/>
      <c r="O101" s="575"/>
      <c r="P101" s="575"/>
      <c r="Q101" s="575"/>
      <c r="R101" s="575"/>
      <c r="S101" s="575"/>
      <c r="T101" s="575"/>
      <c r="U101" s="581" t="s">
        <v>2213</v>
      </c>
      <c r="V101" s="582"/>
      <c r="W101" s="583"/>
      <c r="X101" s="584"/>
      <c r="Y101" s="584"/>
      <c r="Z101" s="584"/>
      <c r="AA101" s="584"/>
      <c r="AB101" s="584"/>
      <c r="AC101" s="584"/>
      <c r="AD101" s="584"/>
      <c r="AE101" s="584"/>
      <c r="AF101" s="584"/>
      <c r="AG101" s="584"/>
      <c r="AH101" s="584"/>
      <c r="AI101" s="584"/>
      <c r="AJ101" s="584"/>
      <c r="AK101" s="584"/>
      <c r="AL101" s="584"/>
      <c r="AM101" s="584"/>
      <c r="AN101" s="584"/>
      <c r="AO101" s="584"/>
      <c r="AP101" s="584"/>
      <c r="AQ101" s="584"/>
      <c r="AR101" s="584"/>
      <c r="AS101" s="584"/>
      <c r="AT101" s="584"/>
      <c r="AU101" s="584"/>
      <c r="AV101" s="584"/>
      <c r="AW101" s="584"/>
      <c r="AX101" s="584"/>
      <c r="AY101" s="584"/>
      <c r="AZ101" s="584"/>
      <c r="BA101" s="584"/>
      <c r="BB101" s="584"/>
      <c r="BC101" s="584"/>
      <c r="BD101" s="584"/>
      <c r="BE101" s="584"/>
      <c r="BF101" s="584"/>
      <c r="BG101" s="584"/>
      <c r="BH101" s="584"/>
      <c r="BI101" s="584"/>
      <c r="BJ101" s="584"/>
      <c r="BK101" s="584"/>
      <c r="BL101" s="584"/>
      <c r="BM101" s="584"/>
      <c r="BN101" s="584"/>
      <c r="BO101" s="584"/>
      <c r="BP101" s="584"/>
      <c r="BQ101" s="584"/>
      <c r="BR101" s="584"/>
      <c r="BS101" s="584"/>
      <c r="BT101" s="584"/>
      <c r="BU101" s="584"/>
      <c r="BV101" s="584"/>
      <c r="BW101" s="584"/>
      <c r="BX101" s="584"/>
      <c r="BY101" s="584"/>
      <c r="BZ101" s="584"/>
      <c r="CA101" s="584"/>
      <c r="CB101" s="584"/>
      <c r="CC101" s="584"/>
      <c r="CD101" s="584"/>
      <c r="CE101" s="584"/>
      <c r="CF101" s="584"/>
      <c r="CG101" s="584"/>
      <c r="CH101" s="584"/>
      <c r="CI101" s="584"/>
      <c r="CJ101" s="584"/>
      <c r="CK101" s="584"/>
      <c r="CL101" s="584"/>
      <c r="CM101" s="584"/>
      <c r="CN101" s="584"/>
      <c r="CO101" s="584"/>
      <c r="CP101" s="584"/>
      <c r="CQ101" s="584"/>
      <c r="CR101" s="584"/>
      <c r="CS101" s="584"/>
      <c r="CT101" s="584"/>
      <c r="CU101" s="584"/>
      <c r="CV101" s="584"/>
      <c r="CW101" s="584"/>
      <c r="CX101" s="584"/>
      <c r="CY101" s="584"/>
      <c r="CZ101" s="584"/>
      <c r="DA101" s="584"/>
      <c r="DB101" s="584"/>
      <c r="DC101" s="584"/>
      <c r="DD101" s="584"/>
      <c r="DE101" s="584"/>
      <c r="DF101" s="584"/>
      <c r="DG101" s="584"/>
      <c r="DH101" s="584"/>
      <c r="DI101" s="584"/>
      <c r="DJ101" s="584"/>
      <c r="DK101" s="584"/>
      <c r="DL101" s="584"/>
      <c r="DM101" s="584"/>
      <c r="DN101" s="584"/>
      <c r="DO101" s="584"/>
      <c r="DP101" s="584"/>
      <c r="DQ101" s="584"/>
      <c r="DR101" s="584"/>
      <c r="DS101" s="584"/>
      <c r="DT101" s="584"/>
      <c r="DU101" s="584"/>
      <c r="DV101" s="584"/>
      <c r="DW101" s="584"/>
      <c r="DX101" s="584"/>
    </row>
    <row r="102" ht="15.0" customHeight="1">
      <c r="A102" s="659">
        <v>40775.0</v>
      </c>
      <c r="B102" s="696" t="s">
        <v>2214</v>
      </c>
      <c r="C102" s="661" t="s">
        <v>2215</v>
      </c>
      <c r="D102" s="696"/>
      <c r="E102" s="697" t="str">
        <f>IFERROR(__xludf.DUMMYFUNCTION("if(and(D102&lt;&gt;0,D102&lt;&gt;""""),D102/GOOGLEFINANCE(C102,""price"")-1,"""")"),"")</f>
        <v/>
      </c>
      <c r="F102" s="663" t="str">
        <f>IFERROR(__xludf.DUMMYFUNCTION("GOOGLEFINANCE(C102,""price"")"),"#N/A")</f>
        <v>#N/A</v>
      </c>
      <c r="G102" s="697" t="str">
        <f>IFERROR(__xludf.DUMMYFUNCTION("if(and(I102&lt;&gt;0,I102&lt;&gt;""""),I102/GOOGLEFINANCE(C102,""price"")-1,"""")"),"")</f>
        <v/>
      </c>
      <c r="H102" s="664"/>
      <c r="I102" s="665"/>
      <c r="J102" s="696"/>
      <c r="K102" s="696"/>
      <c r="L102" s="696"/>
      <c r="M102" s="696"/>
      <c r="N102" s="696"/>
      <c r="O102" s="696"/>
      <c r="P102" s="696"/>
      <c r="Q102" s="696"/>
      <c r="R102" s="696"/>
      <c r="S102" s="696"/>
      <c r="T102" s="696"/>
      <c r="U102" s="698" t="s">
        <v>2216</v>
      </c>
      <c r="V102" s="650"/>
      <c r="W102" s="699"/>
      <c r="X102" s="700"/>
      <c r="Y102" s="700"/>
      <c r="Z102" s="700"/>
      <c r="AA102" s="700"/>
      <c r="AB102" s="700"/>
      <c r="AC102" s="700"/>
      <c r="AD102" s="700"/>
      <c r="AE102" s="700"/>
      <c r="AF102" s="700"/>
      <c r="AG102" s="700"/>
      <c r="AH102" s="700"/>
      <c r="AI102" s="700"/>
      <c r="AJ102" s="700"/>
      <c r="AK102" s="700"/>
      <c r="AL102" s="700"/>
      <c r="AM102" s="700"/>
      <c r="AN102" s="700"/>
      <c r="AO102" s="700"/>
      <c r="AP102" s="700"/>
      <c r="AQ102" s="700"/>
      <c r="AR102" s="700"/>
      <c r="AS102" s="700"/>
      <c r="AT102" s="700"/>
      <c r="AU102" s="700"/>
      <c r="AV102" s="700"/>
      <c r="AW102" s="700"/>
      <c r="AX102" s="700"/>
      <c r="AY102" s="700"/>
      <c r="AZ102" s="700"/>
      <c r="BA102" s="700"/>
      <c r="BB102" s="700"/>
      <c r="BC102" s="700"/>
      <c r="BD102" s="700"/>
      <c r="BE102" s="700"/>
      <c r="BF102" s="700"/>
      <c r="BG102" s="700"/>
      <c r="BH102" s="700"/>
      <c r="BI102" s="700"/>
      <c r="BJ102" s="700"/>
      <c r="BK102" s="700"/>
      <c r="BL102" s="700"/>
      <c r="BM102" s="700"/>
      <c r="BN102" s="700"/>
      <c r="BO102" s="700"/>
      <c r="BP102" s="700"/>
      <c r="BQ102" s="700"/>
      <c r="BR102" s="700"/>
      <c r="BS102" s="700"/>
      <c r="BT102" s="700"/>
      <c r="BU102" s="700"/>
      <c r="BV102" s="700"/>
      <c r="BW102" s="700"/>
      <c r="BX102" s="700"/>
      <c r="BY102" s="700"/>
      <c r="BZ102" s="700"/>
      <c r="CA102" s="700"/>
      <c r="CB102" s="700"/>
      <c r="CC102" s="700"/>
      <c r="CD102" s="700"/>
      <c r="CE102" s="700"/>
      <c r="CF102" s="700"/>
      <c r="CG102" s="700"/>
      <c r="CH102" s="700"/>
      <c r="CI102" s="700"/>
      <c r="CJ102" s="700"/>
      <c r="CK102" s="700"/>
      <c r="CL102" s="700"/>
      <c r="CM102" s="700"/>
      <c r="CN102" s="700"/>
      <c r="CO102" s="700"/>
      <c r="CP102" s="700"/>
      <c r="CQ102" s="700"/>
      <c r="CR102" s="700"/>
      <c r="CS102" s="700"/>
      <c r="CT102" s="700"/>
      <c r="CU102" s="700"/>
      <c r="CV102" s="700"/>
      <c r="CW102" s="700"/>
      <c r="CX102" s="700"/>
      <c r="CY102" s="700"/>
      <c r="CZ102" s="700"/>
      <c r="DA102" s="700"/>
      <c r="DB102" s="700"/>
      <c r="DC102" s="700"/>
      <c r="DD102" s="700"/>
      <c r="DE102" s="700"/>
      <c r="DF102" s="700"/>
      <c r="DG102" s="700"/>
      <c r="DH102" s="700"/>
      <c r="DI102" s="700"/>
      <c r="DJ102" s="700"/>
      <c r="DK102" s="700"/>
      <c r="DL102" s="700"/>
      <c r="DM102" s="700"/>
      <c r="DN102" s="700"/>
      <c r="DO102" s="700"/>
      <c r="DP102" s="700"/>
      <c r="DQ102" s="700"/>
      <c r="DR102" s="700"/>
      <c r="DS102" s="700"/>
      <c r="DT102" s="700"/>
      <c r="DU102" s="700"/>
      <c r="DV102" s="700"/>
      <c r="DW102" s="700"/>
      <c r="DX102" s="700"/>
    </row>
    <row r="103" ht="15.0" customHeight="1">
      <c r="A103" s="703">
        <v>40896.0</v>
      </c>
      <c r="B103" s="656" t="s">
        <v>2217</v>
      </c>
      <c r="C103" s="704" t="s">
        <v>680</v>
      </c>
      <c r="D103" s="656"/>
      <c r="E103" s="680" t="str">
        <f>IFERROR(__xludf.DUMMYFUNCTION("if(and(D103&lt;&gt;0,D103&lt;&gt;""""),D103/GOOGLEFINANCE(C103,""price"")-1,"""")"),"")</f>
        <v/>
      </c>
      <c r="F103" s="681">
        <f>IFERROR(__xludf.DUMMYFUNCTION("GOOGLEFINANCE(C103,""price"")"),34.37)</f>
        <v>34.37</v>
      </c>
      <c r="G103" s="680" t="str">
        <f>IFERROR(__xludf.DUMMYFUNCTION("if(and(I103&lt;&gt;0,I103&lt;&gt;""""),I103/GOOGLEFINANCE(C103,""price"")-1,"""")"),"")</f>
        <v/>
      </c>
      <c r="H103" s="682"/>
      <c r="I103" s="705"/>
      <c r="J103" s="656"/>
      <c r="K103" s="656"/>
      <c r="L103" s="656"/>
      <c r="M103" s="656"/>
      <c r="N103" s="656"/>
      <c r="O103" s="656"/>
      <c r="P103" s="656"/>
      <c r="Q103" s="656"/>
      <c r="R103" s="656"/>
      <c r="S103" s="656"/>
      <c r="T103" s="656"/>
      <c r="U103" s="706" t="s">
        <v>2219</v>
      </c>
      <c r="V103" s="604"/>
      <c r="W103" s="706"/>
      <c r="X103" s="706"/>
      <c r="Y103" s="706"/>
      <c r="Z103" s="706"/>
      <c r="AA103" s="706"/>
      <c r="AB103" s="706"/>
      <c r="AC103" s="706"/>
      <c r="AD103" s="706"/>
      <c r="AE103" s="706"/>
      <c r="AF103" s="706"/>
      <c r="AG103" s="706"/>
      <c r="AH103" s="706"/>
      <c r="AI103" s="706"/>
      <c r="AJ103" s="706"/>
      <c r="AK103" s="706"/>
      <c r="AL103" s="706"/>
      <c r="AM103" s="706"/>
      <c r="AN103" s="706"/>
      <c r="AO103" s="706"/>
      <c r="AP103" s="706"/>
      <c r="AQ103" s="706"/>
      <c r="AR103" s="706"/>
      <c r="AS103" s="706"/>
      <c r="AT103" s="706"/>
      <c r="AU103" s="706"/>
      <c r="AV103" s="706"/>
      <c r="AW103" s="706"/>
      <c r="AX103" s="706"/>
      <c r="AY103" s="706"/>
      <c r="AZ103" s="706"/>
      <c r="BA103" s="706"/>
      <c r="BB103" s="706"/>
      <c r="BC103" s="706"/>
      <c r="BD103" s="706"/>
      <c r="BE103" s="706"/>
      <c r="BF103" s="706"/>
      <c r="BG103" s="706"/>
      <c r="BH103" s="706"/>
      <c r="BI103" s="706"/>
      <c r="BJ103" s="706"/>
      <c r="BK103" s="706"/>
      <c r="BL103" s="706"/>
      <c r="BM103" s="706"/>
      <c r="BN103" s="706"/>
      <c r="BO103" s="706"/>
      <c r="BP103" s="706"/>
      <c r="BQ103" s="706"/>
      <c r="BR103" s="706"/>
      <c r="BS103" s="706"/>
      <c r="BT103" s="706"/>
      <c r="BU103" s="706"/>
      <c r="BV103" s="706"/>
      <c r="BW103" s="706"/>
      <c r="BX103" s="706"/>
      <c r="BY103" s="706"/>
      <c r="BZ103" s="706"/>
      <c r="CA103" s="706"/>
      <c r="CB103" s="706"/>
      <c r="CC103" s="706"/>
      <c r="CD103" s="706"/>
      <c r="CE103" s="706"/>
      <c r="CF103" s="706"/>
      <c r="CG103" s="706"/>
      <c r="CH103" s="706"/>
      <c r="CI103" s="706"/>
      <c r="CJ103" s="706"/>
      <c r="CK103" s="706"/>
      <c r="CL103" s="706"/>
      <c r="CM103" s="706"/>
      <c r="CN103" s="706"/>
      <c r="CO103" s="706"/>
      <c r="CP103" s="706"/>
      <c r="CQ103" s="706"/>
      <c r="CR103" s="706"/>
      <c r="CS103" s="706"/>
      <c r="CT103" s="706"/>
      <c r="CU103" s="706"/>
      <c r="CV103" s="706"/>
      <c r="CW103" s="706"/>
      <c r="CX103" s="706"/>
      <c r="CY103" s="706"/>
      <c r="CZ103" s="706"/>
      <c r="DA103" s="706"/>
      <c r="DB103" s="706"/>
      <c r="DC103" s="706"/>
      <c r="DD103" s="706"/>
      <c r="DE103" s="706"/>
      <c r="DF103" s="706"/>
      <c r="DG103" s="706"/>
      <c r="DH103" s="706"/>
      <c r="DI103" s="706"/>
      <c r="DJ103" s="706"/>
      <c r="DK103" s="706"/>
      <c r="DL103" s="706"/>
      <c r="DM103" s="706"/>
      <c r="DN103" s="706"/>
      <c r="DO103" s="706"/>
      <c r="DP103" s="706"/>
      <c r="DQ103" s="706"/>
      <c r="DR103" s="706"/>
      <c r="DS103" s="706"/>
      <c r="DT103" s="706"/>
      <c r="DU103" s="706"/>
      <c r="DV103" s="706"/>
      <c r="DW103" s="706"/>
      <c r="DX103" s="706"/>
    </row>
    <row r="104" ht="15.0" customHeight="1">
      <c r="A104" s="585">
        <v>40879.0</v>
      </c>
      <c r="B104" s="586" t="s">
        <v>2221</v>
      </c>
      <c r="C104" s="587" t="s">
        <v>385</v>
      </c>
      <c r="D104" s="586"/>
      <c r="E104" s="589" t="str">
        <f>IFERROR(__xludf.DUMMYFUNCTION("if(and(D104&lt;&gt;0,D104&lt;&gt;""""),D104/GOOGLEFINANCE(C104,""price"")-1,"""")"),"")</f>
        <v/>
      </c>
      <c r="F104" s="590">
        <f>IFERROR(__xludf.DUMMYFUNCTION("GOOGLEFINANCE(C104,""price"")"),6.16)</f>
        <v>6.16</v>
      </c>
      <c r="G104" s="589" t="str">
        <f>IFERROR(__xludf.DUMMYFUNCTION("if(and(I104&lt;&gt;0,I104&lt;&gt;""""),I104/GOOGLEFINANCE(C104,""price"")-1,"""")"),"")</f>
        <v/>
      </c>
      <c r="H104" s="591"/>
      <c r="I104" s="602"/>
      <c r="J104" s="586"/>
      <c r="K104" s="586"/>
      <c r="L104" s="586"/>
      <c r="M104" s="586"/>
      <c r="N104" s="586"/>
      <c r="O104" s="586"/>
      <c r="P104" s="586"/>
      <c r="Q104" s="586"/>
      <c r="R104" s="586"/>
      <c r="S104" s="586"/>
      <c r="T104" s="586"/>
      <c r="U104" s="603" t="s">
        <v>2222</v>
      </c>
      <c r="V104" s="604"/>
      <c r="W104" s="605" t="s">
        <v>2223</v>
      </c>
      <c r="X104" s="606"/>
      <c r="Y104" s="606"/>
      <c r="Z104" s="606"/>
      <c r="AA104" s="606"/>
      <c r="AB104" s="606"/>
      <c r="AC104" s="606"/>
      <c r="AD104" s="606"/>
      <c r="AE104" s="606"/>
      <c r="AF104" s="606"/>
      <c r="AG104" s="606"/>
      <c r="AH104" s="606"/>
      <c r="AI104" s="606"/>
      <c r="AJ104" s="606"/>
      <c r="AK104" s="606"/>
      <c r="AL104" s="606"/>
      <c r="AM104" s="606"/>
      <c r="AN104" s="606"/>
      <c r="AO104" s="606"/>
      <c r="AP104" s="606"/>
      <c r="AQ104" s="606"/>
      <c r="AR104" s="606"/>
      <c r="AS104" s="606"/>
      <c r="AT104" s="606"/>
      <c r="AU104" s="606"/>
      <c r="AV104" s="606"/>
      <c r="AW104" s="606"/>
      <c r="AX104" s="606"/>
      <c r="AY104" s="606"/>
      <c r="AZ104" s="606"/>
      <c r="BA104" s="606"/>
      <c r="BB104" s="606"/>
      <c r="BC104" s="606"/>
      <c r="BD104" s="606"/>
      <c r="BE104" s="606"/>
      <c r="BF104" s="606"/>
      <c r="BG104" s="606"/>
      <c r="BH104" s="606"/>
      <c r="BI104" s="606"/>
      <c r="BJ104" s="606"/>
      <c r="BK104" s="606"/>
      <c r="BL104" s="606"/>
      <c r="BM104" s="606"/>
      <c r="BN104" s="606"/>
      <c r="BO104" s="606"/>
      <c r="BP104" s="606"/>
      <c r="BQ104" s="606"/>
      <c r="BR104" s="606"/>
      <c r="BS104" s="606"/>
      <c r="BT104" s="606"/>
      <c r="BU104" s="606"/>
      <c r="BV104" s="606"/>
      <c r="BW104" s="606"/>
      <c r="BX104" s="606"/>
      <c r="BY104" s="606"/>
      <c r="BZ104" s="606"/>
      <c r="CA104" s="606"/>
      <c r="CB104" s="606"/>
      <c r="CC104" s="606"/>
      <c r="CD104" s="606"/>
      <c r="CE104" s="606"/>
      <c r="CF104" s="606"/>
      <c r="CG104" s="606"/>
      <c r="CH104" s="606"/>
      <c r="CI104" s="606"/>
      <c r="CJ104" s="606"/>
      <c r="CK104" s="606"/>
      <c r="CL104" s="606"/>
      <c r="CM104" s="606"/>
      <c r="CN104" s="606"/>
      <c r="CO104" s="606"/>
      <c r="CP104" s="606"/>
      <c r="CQ104" s="606"/>
      <c r="CR104" s="606"/>
      <c r="CS104" s="606"/>
      <c r="CT104" s="606"/>
      <c r="CU104" s="606"/>
      <c r="CV104" s="606"/>
      <c r="CW104" s="606"/>
      <c r="CX104" s="606"/>
      <c r="CY104" s="606"/>
      <c r="CZ104" s="606"/>
      <c r="DA104" s="606"/>
      <c r="DB104" s="606"/>
      <c r="DC104" s="606"/>
      <c r="DD104" s="606"/>
      <c r="DE104" s="606"/>
      <c r="DF104" s="606"/>
      <c r="DG104" s="606"/>
      <c r="DH104" s="606"/>
      <c r="DI104" s="606"/>
      <c r="DJ104" s="606"/>
      <c r="DK104" s="606"/>
      <c r="DL104" s="606"/>
      <c r="DM104" s="606"/>
      <c r="DN104" s="606"/>
      <c r="DO104" s="606"/>
      <c r="DP104" s="606"/>
      <c r="DQ104" s="606"/>
      <c r="DR104" s="606"/>
      <c r="DS104" s="606"/>
      <c r="DT104" s="606"/>
      <c r="DU104" s="606"/>
      <c r="DV104" s="606"/>
      <c r="DW104" s="606"/>
      <c r="DX104" s="606"/>
    </row>
    <row r="105" ht="15.0" customHeight="1">
      <c r="A105" s="549"/>
      <c r="B105" s="647"/>
      <c r="C105" s="551"/>
      <c r="D105" s="647"/>
      <c r="E105" s="648"/>
      <c r="F105" s="553"/>
      <c r="G105" s="648"/>
      <c r="H105" s="559"/>
      <c r="I105" s="560"/>
      <c r="J105" s="647"/>
      <c r="K105" s="647"/>
      <c r="L105" s="647"/>
      <c r="M105" s="647"/>
      <c r="N105" s="647"/>
      <c r="O105" s="647"/>
      <c r="P105" s="647"/>
      <c r="Q105" s="647"/>
      <c r="R105" s="647"/>
      <c r="S105" s="647"/>
      <c r="T105" s="647"/>
      <c r="U105" s="649"/>
      <c r="V105" s="650"/>
      <c r="W105" s="649"/>
      <c r="X105" s="649"/>
      <c r="Y105" s="649"/>
      <c r="Z105" s="649"/>
      <c r="AA105" s="649"/>
      <c r="AB105" s="649"/>
      <c r="AC105" s="649"/>
      <c r="AD105" s="649"/>
      <c r="AE105" s="649"/>
      <c r="AF105" s="649"/>
      <c r="AG105" s="649"/>
      <c r="AH105" s="649"/>
      <c r="AI105" s="649"/>
      <c r="AJ105" s="649"/>
      <c r="AK105" s="649"/>
      <c r="AL105" s="649"/>
      <c r="AM105" s="649"/>
      <c r="AN105" s="649"/>
      <c r="AO105" s="649"/>
      <c r="AP105" s="649"/>
      <c r="AQ105" s="649"/>
      <c r="AR105" s="649"/>
      <c r="AS105" s="649"/>
      <c r="AT105" s="649"/>
      <c r="AU105" s="649"/>
      <c r="AV105" s="649"/>
      <c r="AW105" s="649"/>
      <c r="AX105" s="649"/>
      <c r="AY105" s="649"/>
      <c r="AZ105" s="649"/>
      <c r="BA105" s="649"/>
      <c r="BB105" s="649"/>
      <c r="BC105" s="649"/>
      <c r="BD105" s="649"/>
      <c r="BE105" s="649"/>
      <c r="BF105" s="649"/>
      <c r="BG105" s="649"/>
      <c r="BH105" s="649"/>
      <c r="BI105" s="649"/>
      <c r="BJ105" s="649"/>
      <c r="BK105" s="649"/>
      <c r="BL105" s="649"/>
      <c r="BM105" s="649"/>
      <c r="BN105" s="649"/>
      <c r="BO105" s="649"/>
      <c r="BP105" s="649"/>
      <c r="BQ105" s="649"/>
      <c r="BR105" s="649"/>
      <c r="BS105" s="649"/>
      <c r="BT105" s="649"/>
      <c r="BU105" s="649"/>
      <c r="BV105" s="649"/>
      <c r="BW105" s="649"/>
      <c r="BX105" s="649"/>
      <c r="BY105" s="649"/>
      <c r="BZ105" s="649"/>
      <c r="CA105" s="649"/>
      <c r="CB105" s="649"/>
      <c r="CC105" s="649"/>
      <c r="CD105" s="649"/>
      <c r="CE105" s="649"/>
      <c r="CF105" s="649"/>
      <c r="CG105" s="649"/>
      <c r="CH105" s="649"/>
      <c r="CI105" s="649"/>
      <c r="CJ105" s="649"/>
      <c r="CK105" s="649"/>
      <c r="CL105" s="649"/>
      <c r="CM105" s="649"/>
      <c r="CN105" s="649"/>
      <c r="CO105" s="649"/>
      <c r="CP105" s="649"/>
      <c r="CQ105" s="649"/>
      <c r="CR105" s="649"/>
      <c r="CS105" s="649"/>
      <c r="CT105" s="649"/>
      <c r="CU105" s="649"/>
      <c r="CV105" s="649"/>
      <c r="CW105" s="649"/>
      <c r="CX105" s="649"/>
      <c r="CY105" s="649"/>
      <c r="CZ105" s="649"/>
      <c r="DA105" s="649"/>
      <c r="DB105" s="649"/>
      <c r="DC105" s="649"/>
      <c r="DD105" s="649"/>
      <c r="DE105" s="649"/>
      <c r="DF105" s="649"/>
      <c r="DG105" s="649"/>
      <c r="DH105" s="649"/>
      <c r="DI105" s="649"/>
      <c r="DJ105" s="649"/>
      <c r="DK105" s="649"/>
      <c r="DL105" s="649"/>
      <c r="DM105" s="649"/>
      <c r="DN105" s="649"/>
      <c r="DO105" s="649"/>
      <c r="DP105" s="649"/>
      <c r="DQ105" s="649"/>
      <c r="DR105" s="649"/>
      <c r="DS105" s="649"/>
      <c r="DT105" s="649"/>
      <c r="DU105" s="649"/>
      <c r="DV105" s="649"/>
      <c r="DW105" s="649"/>
      <c r="DX105" s="649"/>
    </row>
    <row r="106" ht="15.0" customHeight="1">
      <c r="A106" s="574">
        <v>41005.0</v>
      </c>
      <c r="B106" s="575" t="s">
        <v>2224</v>
      </c>
      <c r="C106" s="576"/>
      <c r="D106" s="575"/>
      <c r="E106" s="577"/>
      <c r="F106" s="578"/>
      <c r="G106" s="577"/>
      <c r="H106" s="579"/>
      <c r="I106" s="580"/>
      <c r="J106" s="575"/>
      <c r="K106" s="575"/>
      <c r="L106" s="575"/>
      <c r="M106" s="575"/>
      <c r="N106" s="575"/>
      <c r="O106" s="575"/>
      <c r="P106" s="575"/>
      <c r="Q106" s="575"/>
      <c r="R106" s="575"/>
      <c r="S106" s="575"/>
      <c r="T106" s="575"/>
      <c r="U106" s="581" t="s">
        <v>2226</v>
      </c>
      <c r="V106" s="582"/>
      <c r="W106" s="583"/>
      <c r="X106" s="584"/>
      <c r="Y106" s="584"/>
      <c r="Z106" s="584"/>
      <c r="AA106" s="584"/>
      <c r="AB106" s="584"/>
      <c r="AC106" s="584"/>
      <c r="AD106" s="584"/>
      <c r="AE106" s="584"/>
      <c r="AF106" s="584"/>
      <c r="AG106" s="584"/>
      <c r="AH106" s="584"/>
      <c r="AI106" s="584"/>
      <c r="AJ106" s="584"/>
      <c r="AK106" s="584"/>
      <c r="AL106" s="584"/>
      <c r="AM106" s="584"/>
      <c r="AN106" s="584"/>
      <c r="AO106" s="584"/>
      <c r="AP106" s="584"/>
      <c r="AQ106" s="584"/>
      <c r="AR106" s="584"/>
      <c r="AS106" s="584"/>
      <c r="AT106" s="584"/>
      <c r="AU106" s="584"/>
      <c r="AV106" s="584"/>
      <c r="AW106" s="584"/>
      <c r="AX106" s="584"/>
      <c r="AY106" s="584"/>
      <c r="AZ106" s="584"/>
      <c r="BA106" s="584"/>
      <c r="BB106" s="584"/>
      <c r="BC106" s="584"/>
      <c r="BD106" s="584"/>
      <c r="BE106" s="584"/>
      <c r="BF106" s="584"/>
      <c r="BG106" s="584"/>
      <c r="BH106" s="584"/>
      <c r="BI106" s="584"/>
      <c r="BJ106" s="584"/>
      <c r="BK106" s="584"/>
      <c r="BL106" s="584"/>
      <c r="BM106" s="584"/>
      <c r="BN106" s="584"/>
      <c r="BO106" s="584"/>
      <c r="BP106" s="584"/>
      <c r="BQ106" s="584"/>
      <c r="BR106" s="584"/>
      <c r="BS106" s="584"/>
      <c r="BT106" s="584"/>
      <c r="BU106" s="584"/>
      <c r="BV106" s="584"/>
      <c r="BW106" s="584"/>
      <c r="BX106" s="584"/>
      <c r="BY106" s="584"/>
      <c r="BZ106" s="584"/>
      <c r="CA106" s="584"/>
      <c r="CB106" s="584"/>
      <c r="CC106" s="584"/>
      <c r="CD106" s="584"/>
      <c r="CE106" s="584"/>
      <c r="CF106" s="584"/>
      <c r="CG106" s="584"/>
      <c r="CH106" s="584"/>
      <c r="CI106" s="584"/>
      <c r="CJ106" s="584"/>
      <c r="CK106" s="584"/>
      <c r="CL106" s="584"/>
      <c r="CM106" s="584"/>
      <c r="CN106" s="584"/>
      <c r="CO106" s="584"/>
      <c r="CP106" s="584"/>
      <c r="CQ106" s="584"/>
      <c r="CR106" s="584"/>
      <c r="CS106" s="584"/>
      <c r="CT106" s="584"/>
      <c r="CU106" s="584"/>
      <c r="CV106" s="584"/>
      <c r="CW106" s="584"/>
      <c r="CX106" s="584"/>
      <c r="CY106" s="584"/>
      <c r="CZ106" s="584"/>
      <c r="DA106" s="584"/>
      <c r="DB106" s="584"/>
      <c r="DC106" s="584"/>
      <c r="DD106" s="584"/>
      <c r="DE106" s="584"/>
      <c r="DF106" s="584"/>
      <c r="DG106" s="584"/>
      <c r="DH106" s="584"/>
      <c r="DI106" s="584"/>
      <c r="DJ106" s="584"/>
      <c r="DK106" s="584"/>
      <c r="DL106" s="584"/>
      <c r="DM106" s="584"/>
      <c r="DN106" s="584"/>
      <c r="DO106" s="584"/>
      <c r="DP106" s="584"/>
      <c r="DQ106" s="584"/>
      <c r="DR106" s="584"/>
      <c r="DS106" s="584"/>
      <c r="DT106" s="584"/>
      <c r="DU106" s="584"/>
      <c r="DV106" s="584"/>
      <c r="DW106" s="584"/>
      <c r="DX106" s="584"/>
    </row>
    <row r="107" ht="15.0" customHeight="1">
      <c r="A107" s="549"/>
      <c r="B107" s="550"/>
      <c r="C107" s="551"/>
      <c r="D107" s="550"/>
      <c r="E107" s="552"/>
      <c r="F107" s="553"/>
      <c r="G107" s="114"/>
      <c r="H107" s="559"/>
      <c r="I107" s="560"/>
      <c r="U107" s="557"/>
      <c r="W107" s="647"/>
      <c r="X107" s="647"/>
      <c r="Y107" s="647"/>
      <c r="Z107" s="647"/>
      <c r="AA107" s="647"/>
      <c r="AB107" s="647"/>
      <c r="AC107" s="647"/>
      <c r="AD107" s="647"/>
      <c r="AE107" s="647"/>
      <c r="AF107" s="647"/>
      <c r="AG107" s="647"/>
      <c r="AH107" s="647"/>
      <c r="AI107" s="647"/>
      <c r="AJ107" s="647"/>
      <c r="AK107" s="647"/>
      <c r="AL107" s="647"/>
      <c r="AM107" s="647"/>
      <c r="AN107" s="647"/>
      <c r="AO107" s="647"/>
      <c r="AP107" s="647"/>
      <c r="AQ107" s="647"/>
      <c r="AR107" s="647"/>
      <c r="AS107" s="647"/>
      <c r="AT107" s="647"/>
      <c r="AU107" s="647"/>
      <c r="AV107" s="647"/>
      <c r="AW107" s="647"/>
      <c r="AX107" s="647"/>
      <c r="AY107" s="647"/>
      <c r="AZ107" s="647"/>
      <c r="BA107" s="647"/>
      <c r="BB107" s="647"/>
      <c r="BC107" s="647"/>
      <c r="BD107" s="647"/>
      <c r="BE107" s="647"/>
      <c r="BF107" s="647"/>
      <c r="BG107" s="647"/>
      <c r="BH107" s="647"/>
      <c r="BI107" s="647"/>
      <c r="BJ107" s="647"/>
      <c r="BK107" s="647"/>
      <c r="BL107" s="647"/>
      <c r="BM107" s="647"/>
      <c r="BN107" s="647"/>
      <c r="BO107" s="647"/>
      <c r="BP107" s="647"/>
      <c r="BQ107" s="647"/>
      <c r="BR107" s="647"/>
      <c r="BS107" s="647"/>
      <c r="BT107" s="647"/>
      <c r="BU107" s="647"/>
      <c r="BV107" s="647"/>
      <c r="BW107" s="647"/>
      <c r="BX107" s="647"/>
      <c r="BY107" s="647"/>
      <c r="BZ107" s="647"/>
      <c r="CA107" s="647"/>
      <c r="CB107" s="647"/>
      <c r="CC107" s="647"/>
      <c r="CD107" s="647"/>
      <c r="CE107" s="647"/>
      <c r="CF107" s="647"/>
      <c r="CG107" s="647"/>
      <c r="CH107" s="647"/>
      <c r="CI107" s="647"/>
      <c r="CJ107" s="647"/>
      <c r="CK107" s="647"/>
      <c r="CL107" s="647"/>
      <c r="CM107" s="647"/>
      <c r="CN107" s="647"/>
      <c r="CO107" s="647"/>
      <c r="CP107" s="647"/>
      <c r="CQ107" s="647"/>
      <c r="CR107" s="647"/>
      <c r="CS107" s="647"/>
      <c r="CT107" s="647"/>
      <c r="CU107" s="647"/>
      <c r="CV107" s="647"/>
      <c r="CW107" s="647"/>
      <c r="CX107" s="647"/>
      <c r="CY107" s="647"/>
      <c r="CZ107" s="647"/>
      <c r="DA107" s="647"/>
      <c r="DB107" s="647"/>
      <c r="DC107" s="647"/>
      <c r="DD107" s="647"/>
      <c r="DE107" s="647"/>
      <c r="DF107" s="647"/>
      <c r="DG107" s="647"/>
      <c r="DH107" s="647"/>
      <c r="DI107" s="647"/>
      <c r="DJ107" s="647"/>
      <c r="DK107" s="647"/>
      <c r="DL107" s="647"/>
      <c r="DM107" s="647"/>
      <c r="DN107" s="647"/>
      <c r="DO107" s="647"/>
      <c r="DP107" s="647"/>
      <c r="DQ107" s="647"/>
      <c r="DR107" s="647"/>
      <c r="DS107" s="647"/>
      <c r="DT107" s="647"/>
      <c r="DU107" s="647"/>
      <c r="DV107" s="647"/>
      <c r="DW107" s="647"/>
      <c r="DX107" s="647"/>
    </row>
    <row r="108" ht="15.0" customHeight="1">
      <c r="A108" s="549"/>
      <c r="B108" s="647"/>
      <c r="C108" s="551"/>
      <c r="D108" s="707"/>
      <c r="E108" s="648"/>
      <c r="F108" s="553"/>
      <c r="G108" s="648"/>
      <c r="H108" s="559"/>
      <c r="I108" s="560"/>
      <c r="J108" s="559"/>
      <c r="K108" s="559"/>
      <c r="L108" s="559"/>
      <c r="M108" s="559"/>
      <c r="N108" s="559"/>
      <c r="O108" s="647"/>
      <c r="P108" s="647"/>
      <c r="Q108" s="647"/>
      <c r="R108" s="647"/>
      <c r="S108" s="647"/>
      <c r="T108" s="647"/>
      <c r="U108" s="649"/>
      <c r="V108" s="647"/>
      <c r="W108" s="647"/>
      <c r="X108" s="647"/>
      <c r="Y108" s="647"/>
      <c r="Z108" s="647"/>
      <c r="AA108" s="647"/>
      <c r="AB108" s="647"/>
      <c r="AC108" s="647"/>
      <c r="AD108" s="647"/>
      <c r="AE108" s="647"/>
      <c r="AF108" s="647"/>
      <c r="AG108" s="647"/>
      <c r="AH108" s="647"/>
      <c r="AI108" s="647"/>
      <c r="AJ108" s="647"/>
      <c r="AK108" s="647"/>
      <c r="AL108" s="647"/>
      <c r="AM108" s="647"/>
      <c r="AN108" s="647"/>
      <c r="AO108" s="647"/>
      <c r="AP108" s="647"/>
      <c r="AQ108" s="647"/>
      <c r="AR108" s="647"/>
      <c r="AS108" s="647"/>
      <c r="AT108" s="647"/>
      <c r="AU108" s="647"/>
      <c r="AV108" s="647"/>
      <c r="AW108" s="647"/>
      <c r="AX108" s="647"/>
      <c r="AY108" s="647"/>
      <c r="AZ108" s="647"/>
      <c r="BA108" s="647"/>
      <c r="BB108" s="647"/>
      <c r="BC108" s="647"/>
      <c r="BD108" s="647"/>
      <c r="BE108" s="647"/>
      <c r="BF108" s="647"/>
      <c r="BG108" s="647"/>
      <c r="BH108" s="647"/>
      <c r="BI108" s="647"/>
      <c r="BJ108" s="647"/>
      <c r="BK108" s="647"/>
      <c r="BL108" s="647"/>
      <c r="BM108" s="647"/>
      <c r="BN108" s="647"/>
      <c r="BO108" s="647"/>
      <c r="BP108" s="647"/>
      <c r="BQ108" s="647"/>
      <c r="BR108" s="647"/>
      <c r="BS108" s="647"/>
      <c r="BT108" s="647"/>
      <c r="BU108" s="647"/>
      <c r="BV108" s="647"/>
      <c r="BW108" s="647"/>
      <c r="BX108" s="647"/>
      <c r="BY108" s="647"/>
      <c r="BZ108" s="647"/>
      <c r="CA108" s="647"/>
      <c r="CB108" s="647"/>
      <c r="CC108" s="647"/>
      <c r="CD108" s="647"/>
      <c r="CE108" s="647"/>
      <c r="CF108" s="647"/>
      <c r="CG108" s="647"/>
      <c r="CH108" s="647"/>
      <c r="CI108" s="647"/>
      <c r="CJ108" s="647"/>
      <c r="CK108" s="647"/>
      <c r="CL108" s="647"/>
      <c r="CM108" s="647"/>
      <c r="CN108" s="647"/>
      <c r="CO108" s="647"/>
      <c r="CP108" s="647"/>
      <c r="CQ108" s="647"/>
      <c r="CR108" s="647"/>
      <c r="CS108" s="647"/>
      <c r="CT108" s="647"/>
      <c r="CU108" s="647"/>
      <c r="CV108" s="647"/>
      <c r="CW108" s="647"/>
      <c r="CX108" s="647"/>
      <c r="CY108" s="647"/>
      <c r="CZ108" s="647"/>
      <c r="DA108" s="647"/>
      <c r="DB108" s="647"/>
      <c r="DC108" s="647"/>
      <c r="DD108" s="647"/>
      <c r="DE108" s="647"/>
      <c r="DF108" s="647"/>
      <c r="DG108" s="647"/>
      <c r="DH108" s="647"/>
      <c r="DI108" s="647"/>
      <c r="DJ108" s="647"/>
      <c r="DK108" s="647"/>
      <c r="DL108" s="647"/>
      <c r="DM108" s="647"/>
      <c r="DN108" s="647"/>
      <c r="DO108" s="647"/>
      <c r="DP108" s="647"/>
      <c r="DQ108" s="647"/>
      <c r="DR108" s="647"/>
      <c r="DS108" s="647"/>
      <c r="DT108" s="647"/>
      <c r="DU108" s="647"/>
      <c r="DV108" s="647"/>
      <c r="DW108" s="647"/>
      <c r="DX108" s="647"/>
    </row>
  </sheetData>
  <autoFilter ref="$A$3:$V$106">
    <sortState ref="A3:V106">
      <sortCondition ref="C3:C106"/>
      <sortCondition ref="G3:G106"/>
    </sortState>
  </autoFilter>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3.0" topLeftCell="B4" activePane="bottomRight" state="frozen"/>
      <selection activeCell="B1" sqref="B1" pane="topRight"/>
      <selection activeCell="A4" sqref="A4" pane="bottomLeft"/>
      <selection activeCell="B4" sqref="B4" pane="bottomRight"/>
    </sheetView>
  </sheetViews>
  <sheetFormatPr customHeight="1" defaultColWidth="17.29" defaultRowHeight="15.75"/>
  <cols>
    <col customWidth="1" min="1" max="1" width="10.71"/>
    <col customWidth="1" min="2" max="2" width="36.0"/>
    <col customWidth="1" min="3" max="3" width="7.0"/>
    <col customWidth="1" min="4" max="6" width="9.29"/>
    <col customWidth="1" min="7" max="7" width="8.71"/>
    <col customWidth="1" min="8" max="8" width="9.14"/>
    <col customWidth="1" min="9" max="20" width="8.71"/>
    <col customWidth="1" min="21" max="21" width="82.43"/>
  </cols>
  <sheetData>
    <row r="1" ht="15.0" customHeight="1">
      <c r="A1" s="711"/>
      <c r="B1" s="550"/>
      <c r="D1" s="572"/>
      <c r="E1" s="572"/>
      <c r="F1" s="711"/>
      <c r="G1" s="712"/>
      <c r="H1" s="559"/>
      <c r="U1" s="713"/>
    </row>
    <row r="2" ht="15.0" customHeight="1">
      <c r="A2" s="549"/>
      <c r="B2" s="558" t="s">
        <v>2235</v>
      </c>
      <c r="D2" s="550"/>
      <c r="E2" s="550"/>
      <c r="F2" s="549"/>
      <c r="G2" s="114"/>
      <c r="H2" s="559"/>
      <c r="U2" s="647"/>
    </row>
    <row r="3" ht="15.0" customHeight="1">
      <c r="A3" s="714" t="s">
        <v>3</v>
      </c>
      <c r="B3" s="562" t="s">
        <v>318</v>
      </c>
      <c r="C3" s="562" t="s">
        <v>319</v>
      </c>
      <c r="D3" s="564" t="s">
        <v>320</v>
      </c>
      <c r="E3" s="564" t="s">
        <v>321</v>
      </c>
      <c r="F3" s="714" t="s">
        <v>322</v>
      </c>
      <c r="G3" s="565" t="s">
        <v>323</v>
      </c>
      <c r="H3" s="568" t="s">
        <v>324</v>
      </c>
      <c r="I3" s="562" t="s">
        <v>325</v>
      </c>
      <c r="J3" s="715" t="s">
        <v>2236</v>
      </c>
      <c r="K3" s="715" t="s">
        <v>327</v>
      </c>
      <c r="L3" s="715" t="s">
        <v>328</v>
      </c>
      <c r="M3" s="715" t="s">
        <v>329</v>
      </c>
      <c r="N3" s="715" t="s">
        <v>330</v>
      </c>
      <c r="O3" s="715" t="s">
        <v>331</v>
      </c>
      <c r="P3" s="715" t="s">
        <v>332</v>
      </c>
      <c r="Q3" s="266" t="s">
        <v>1026</v>
      </c>
      <c r="R3" s="571" t="s">
        <v>334</v>
      </c>
      <c r="S3" s="715" t="s">
        <v>335</v>
      </c>
      <c r="T3" s="715" t="s">
        <v>336</v>
      </c>
      <c r="U3" s="715" t="s">
        <v>1213</v>
      </c>
    </row>
    <row r="4" ht="15.0" customHeight="1">
      <c r="A4" s="585">
        <v>41407.0</v>
      </c>
      <c r="B4" s="586" t="s">
        <v>2237</v>
      </c>
      <c r="C4" s="586"/>
      <c r="D4" s="586"/>
      <c r="E4" s="586" t="str">
        <f>IFERROR(__xludf.DUMMYFUNCTION("if(and(D4&lt;&gt;0,D4&lt;&gt;""""),D4/GOOGLEFINANCE(C4,""price"")-1,"""")"),"")</f>
        <v/>
      </c>
      <c r="F4" s="585"/>
      <c r="G4" s="589" t="str">
        <f>IFERROR(__xludf.DUMMYFUNCTION("I4/GOOGLEFINANCE(C4,""price"")-1"),"#N/A")</f>
        <v>#N/A</v>
      </c>
      <c r="H4" s="591"/>
      <c r="I4" s="586"/>
      <c r="J4" s="586"/>
      <c r="K4" s="586"/>
      <c r="L4" s="586"/>
      <c r="M4" s="586"/>
      <c r="N4" s="586">
        <f>SUM(O4:T4)</f>
        <v>0</v>
      </c>
      <c r="O4" s="586"/>
      <c r="P4" s="586"/>
      <c r="Q4" s="586"/>
      <c r="R4" s="586"/>
      <c r="S4" s="586"/>
      <c r="T4" s="586"/>
      <c r="U4" s="586" t="s">
        <v>2238</v>
      </c>
    </row>
    <row r="5" ht="15.0" customHeight="1">
      <c r="A5" s="611">
        <v>41956.0</v>
      </c>
      <c r="B5" s="588" t="s">
        <v>2239</v>
      </c>
      <c r="C5" s="588" t="s">
        <v>2240</v>
      </c>
      <c r="D5" s="586"/>
      <c r="E5" s="586" t="str">
        <f>IFERROR(__xludf.DUMMYFUNCTION("if(and(D5&lt;&gt;0,D5&lt;&gt;""""),D5/GOOGLEFINANCE(C5,""price"")-1,"""")"),"")</f>
        <v/>
      </c>
      <c r="F5" s="585"/>
      <c r="G5" s="589">
        <f>IFERROR(__xludf.DUMMYFUNCTION("I5/GOOGLEFINANCE(C5,""price"")-1"),-0.544211485870556)</f>
        <v>-0.5442114859</v>
      </c>
      <c r="H5" s="591"/>
      <c r="I5" s="588">
        <v>10.0</v>
      </c>
      <c r="J5" s="586"/>
      <c r="K5" s="586"/>
      <c r="L5" s="586"/>
      <c r="M5" s="586"/>
      <c r="N5" s="586"/>
      <c r="O5" s="586"/>
      <c r="P5" s="586"/>
      <c r="Q5" s="586"/>
      <c r="R5" s="586"/>
      <c r="S5" s="586"/>
      <c r="T5" s="586"/>
      <c r="U5" s="586"/>
    </row>
    <row r="6" ht="15.0" customHeight="1">
      <c r="A6" s="574">
        <v>40506.0</v>
      </c>
      <c r="B6" s="575" t="s">
        <v>2241</v>
      </c>
      <c r="C6" s="575" t="s">
        <v>2242</v>
      </c>
      <c r="D6" s="575"/>
      <c r="E6" s="575" t="str">
        <f>IFERROR(__xludf.DUMMYFUNCTION("if(and(D6&lt;&gt;0,D6&lt;&gt;""""),D6/GOOGLEFINANCE(C6,""price"")-1,"""")"),"")</f>
        <v/>
      </c>
      <c r="F6" s="574"/>
      <c r="G6" s="577" t="str">
        <f>IFERROR(__xludf.DUMMYFUNCTION("I6/GOOGLEFINANCE(C6,""price"")-1"),"#N/A")</f>
        <v>#N/A</v>
      </c>
      <c r="H6" s="579"/>
      <c r="I6" s="575"/>
      <c r="J6" s="575"/>
      <c r="K6" s="575"/>
      <c r="L6" s="575"/>
      <c r="M6" s="575"/>
      <c r="N6" s="575">
        <f t="shared" ref="N6:N24" si="1">SUM(O6:T6)</f>
        <v>0</v>
      </c>
      <c r="O6" s="575"/>
      <c r="P6" s="575"/>
      <c r="Q6" s="575"/>
      <c r="R6" s="575"/>
      <c r="S6" s="575"/>
      <c r="T6" s="575"/>
      <c r="U6" s="575"/>
    </row>
    <row r="7" ht="15.0" customHeight="1">
      <c r="A7" s="585">
        <v>41323.0</v>
      </c>
      <c r="B7" s="586" t="s">
        <v>2243</v>
      </c>
      <c r="C7" s="586" t="s">
        <v>902</v>
      </c>
      <c r="D7" s="586"/>
      <c r="E7" s="586" t="str">
        <f>IFERROR(__xludf.DUMMYFUNCTION("if(and(D7&lt;&gt;0,D7&lt;&gt;""""),D7/GOOGLEFINANCE(C7,""price"")-1,"""")"),"")</f>
        <v/>
      </c>
      <c r="F7" s="585"/>
      <c r="G7" s="589" t="str">
        <f>IFERROR(__xludf.DUMMYFUNCTION("I7/GOOGLEFINANCE(C7,""price"")-1"),"#VALUE!")</f>
        <v>#VALUE!</v>
      </c>
      <c r="H7" s="591"/>
      <c r="I7" s="586" t="s">
        <v>2245</v>
      </c>
      <c r="J7" s="586"/>
      <c r="K7" s="586"/>
      <c r="L7" s="586"/>
      <c r="M7" s="586"/>
      <c r="N7" s="586">
        <f t="shared" si="1"/>
        <v>0</v>
      </c>
      <c r="O7" s="586"/>
      <c r="P7" s="586"/>
      <c r="Q7" s="586"/>
      <c r="R7" s="586"/>
      <c r="S7" s="586"/>
      <c r="T7" s="586"/>
      <c r="U7" s="586" t="s">
        <v>2246</v>
      </c>
    </row>
    <row r="8" ht="15.0" customHeight="1">
      <c r="A8" s="585">
        <v>40515.0</v>
      </c>
      <c r="B8" s="586" t="s">
        <v>2247</v>
      </c>
      <c r="C8" s="586" t="s">
        <v>2248</v>
      </c>
      <c r="D8" s="586"/>
      <c r="E8" s="586" t="str">
        <f>IFERROR(__xludf.DUMMYFUNCTION("if(and(D8&lt;&gt;0,D8&lt;&gt;""""),D8/GOOGLEFINANCE(C8,""price"")-1,"""")"),"")</f>
        <v/>
      </c>
      <c r="F8" s="585"/>
      <c r="G8" s="589">
        <f>IFERROR(__xludf.DUMMYFUNCTION("I8/GOOGLEFINANCE(C8,""price"")-1"),-1.0)</f>
        <v>-1</v>
      </c>
      <c r="H8" s="591"/>
      <c r="I8" s="586"/>
      <c r="J8" s="586"/>
      <c r="K8" s="586"/>
      <c r="L8" s="586"/>
      <c r="M8" s="586"/>
      <c r="N8" s="586">
        <f t="shared" si="1"/>
        <v>0</v>
      </c>
      <c r="O8" s="586"/>
      <c r="P8" s="586"/>
      <c r="Q8" s="586"/>
      <c r="R8" s="586"/>
      <c r="S8" s="586"/>
      <c r="T8" s="586"/>
      <c r="U8" s="586"/>
    </row>
    <row r="9" ht="15.0" customHeight="1">
      <c r="A9" s="585">
        <v>41057.0</v>
      </c>
      <c r="B9" s="586" t="s">
        <v>2247</v>
      </c>
      <c r="C9" s="586" t="s">
        <v>2250</v>
      </c>
      <c r="D9" s="586"/>
      <c r="E9" s="586" t="str">
        <f>IFERROR(__xludf.DUMMYFUNCTION("if(and(D9&lt;&gt;0,D9&lt;&gt;""""),D9/GOOGLEFINANCE(C9,""price"")-1,"""")"),"")</f>
        <v/>
      </c>
      <c r="F9" s="585"/>
      <c r="G9" s="589" t="str">
        <f>IFERROR(__xludf.DUMMYFUNCTION("I9/GOOGLEFINANCE(C9,""price"")-1"),"#N/A")</f>
        <v>#N/A</v>
      </c>
      <c r="H9" s="591"/>
      <c r="I9" s="586"/>
      <c r="J9" s="586"/>
      <c r="K9" s="586"/>
      <c r="L9" s="586"/>
      <c r="M9" s="586"/>
      <c r="N9" s="586">
        <f t="shared" si="1"/>
        <v>0</v>
      </c>
      <c r="O9" s="586"/>
      <c r="P9" s="586"/>
      <c r="Q9" s="586"/>
      <c r="R9" s="586"/>
      <c r="S9" s="586"/>
      <c r="T9" s="586"/>
      <c r="U9" s="586"/>
    </row>
    <row r="10" ht="15.0" customHeight="1">
      <c r="A10" s="716">
        <v>42677.0</v>
      </c>
      <c r="B10" s="717" t="s">
        <v>2251</v>
      </c>
      <c r="C10" s="717" t="s">
        <v>2252</v>
      </c>
      <c r="D10" s="718">
        <v>260.0</v>
      </c>
      <c r="E10" s="589">
        <f>IFERROR(__xludf.DUMMYFUNCTION("if(and(D10&lt;&gt;0,D10&lt;&gt;""""),D10/GOOGLEFINANCE(C10,""price"")-1,"""")"),1.462354389620229)</f>
        <v>1.46235439</v>
      </c>
      <c r="F10" s="719"/>
      <c r="G10" s="720">
        <f>IFERROR(__xludf.DUMMYFUNCTION("I10/GOOGLEFINANCE(C10,""price"")-1"),0.4205890709347475)</f>
        <v>0.4205890709</v>
      </c>
      <c r="H10" s="721"/>
      <c r="I10" s="718">
        <v>150.0</v>
      </c>
      <c r="J10" s="722"/>
      <c r="K10" s="722"/>
      <c r="L10" s="722"/>
      <c r="M10" s="722"/>
      <c r="N10" s="722">
        <f t="shared" si="1"/>
        <v>0</v>
      </c>
      <c r="O10" s="723"/>
      <c r="P10" s="723"/>
      <c r="Q10" s="723"/>
      <c r="R10" s="723"/>
      <c r="S10" s="723"/>
      <c r="T10" s="723"/>
      <c r="U10" s="723"/>
    </row>
    <row r="11" ht="15.0" customHeight="1">
      <c r="A11" s="585">
        <v>41057.0</v>
      </c>
      <c r="B11" s="586" t="s">
        <v>2247</v>
      </c>
      <c r="C11" s="586" t="s">
        <v>2253</v>
      </c>
      <c r="D11" s="586"/>
      <c r="E11" s="586" t="str">
        <f>IFERROR(__xludf.DUMMYFUNCTION("if(and(D11&lt;&gt;0,D11&lt;&gt;""""),D11/GOOGLEFINANCE(C11,""price"")-1,"""")"),"")</f>
        <v/>
      </c>
      <c r="F11" s="585"/>
      <c r="G11" s="589" t="str">
        <f>IFERROR(__xludf.DUMMYFUNCTION("I11/GOOGLEFINANCE(C11,""price"")-1"),"#N/A")</f>
        <v>#N/A</v>
      </c>
      <c r="H11" s="591"/>
      <c r="I11" s="586"/>
      <c r="J11" s="586"/>
      <c r="K11" s="586"/>
      <c r="L11" s="586"/>
      <c r="M11" s="586"/>
      <c r="N11" s="586">
        <f t="shared" si="1"/>
        <v>0</v>
      </c>
      <c r="O11" s="586"/>
      <c r="P11" s="586"/>
      <c r="Q11" s="586"/>
      <c r="R11" s="586"/>
      <c r="S11" s="586"/>
      <c r="T11" s="586"/>
      <c r="U11" s="586"/>
    </row>
    <row r="12" ht="15.0" customHeight="1">
      <c r="A12" s="585">
        <v>40936.0</v>
      </c>
      <c r="B12" s="586" t="s">
        <v>2254</v>
      </c>
      <c r="C12" s="586" t="s">
        <v>2255</v>
      </c>
      <c r="D12" s="586"/>
      <c r="E12" s="586" t="str">
        <f>IFERROR(__xludf.DUMMYFUNCTION("if(and(D12&lt;&gt;0,D12&lt;&gt;""""),D12/GOOGLEFINANCE(C12,""price"")-1,"""")"),"")</f>
        <v/>
      </c>
      <c r="F12" s="585"/>
      <c r="G12" s="589">
        <f>IFERROR(__xludf.DUMMYFUNCTION("I12/GOOGLEFINANCE(C12,""price"")-1"),-1.0)</f>
        <v>-1</v>
      </c>
      <c r="H12" s="591"/>
      <c r="I12" s="586"/>
      <c r="J12" s="586"/>
      <c r="K12" s="586"/>
      <c r="L12" s="586"/>
      <c r="M12" s="586"/>
      <c r="N12" s="586">
        <f t="shared" si="1"/>
        <v>0</v>
      </c>
      <c r="O12" s="586"/>
      <c r="P12" s="586"/>
      <c r="Q12" s="586"/>
      <c r="R12" s="586"/>
      <c r="S12" s="586"/>
      <c r="T12" s="586"/>
      <c r="U12" s="586" t="s">
        <v>2256</v>
      </c>
    </row>
    <row r="13" ht="15.0" customHeight="1">
      <c r="A13" s="574">
        <v>41057.0</v>
      </c>
      <c r="B13" s="575" t="s">
        <v>2257</v>
      </c>
      <c r="C13" s="575" t="s">
        <v>656</v>
      </c>
      <c r="D13" s="575"/>
      <c r="E13" s="575" t="str">
        <f>IFERROR(__xludf.DUMMYFUNCTION("if(and(D13&lt;&gt;0,D13&lt;&gt;""""),D13/GOOGLEFINANCE(C13,""price"")-1,"""")"),"")</f>
        <v/>
      </c>
      <c r="F13" s="574"/>
      <c r="G13" s="577">
        <f>IFERROR(__xludf.DUMMYFUNCTION("I13/GOOGLEFINANCE(C13,""price"")-1"),-1.0)</f>
        <v>-1</v>
      </c>
      <c r="H13" s="579"/>
      <c r="I13" s="575"/>
      <c r="J13" s="575"/>
      <c r="K13" s="575"/>
      <c r="L13" s="575"/>
      <c r="M13" s="575"/>
      <c r="N13" s="575">
        <f t="shared" si="1"/>
        <v>0</v>
      </c>
      <c r="O13" s="575"/>
      <c r="P13" s="575"/>
      <c r="Q13" s="575"/>
      <c r="R13" s="575"/>
      <c r="S13" s="575"/>
      <c r="T13" s="575"/>
      <c r="U13" s="575"/>
    </row>
    <row r="14" ht="15.0" customHeight="1">
      <c r="A14" s="585">
        <v>41034.0</v>
      </c>
      <c r="B14" s="586" t="s">
        <v>2258</v>
      </c>
      <c r="C14" s="586" t="s">
        <v>1044</v>
      </c>
      <c r="D14" s="586"/>
      <c r="E14" s="586" t="str">
        <f>IFERROR(__xludf.DUMMYFUNCTION("if(and(D14&lt;&gt;0,D14&lt;&gt;""""),D14/GOOGLEFINANCE(C14,""price"")-1,"""")"),"")</f>
        <v/>
      </c>
      <c r="F14" s="585"/>
      <c r="G14" s="589">
        <f>IFERROR(__xludf.DUMMYFUNCTION("I14/GOOGLEFINANCE(C14,""price"")-1"),-0.7116077865897621)</f>
        <v>-0.7116077866</v>
      </c>
      <c r="H14" s="591"/>
      <c r="I14" s="586">
        <v>8.0</v>
      </c>
      <c r="J14" s="586"/>
      <c r="K14" s="586"/>
      <c r="L14" s="586"/>
      <c r="M14" s="586"/>
      <c r="N14" s="586">
        <f t="shared" si="1"/>
        <v>-17</v>
      </c>
      <c r="O14" s="586">
        <v>-3.0</v>
      </c>
      <c r="P14" s="586">
        <v>-3.0</v>
      </c>
      <c r="Q14" s="586">
        <v>-4.0</v>
      </c>
      <c r="R14" s="586"/>
      <c r="S14" s="586">
        <v>-3.0</v>
      </c>
      <c r="T14" s="586">
        <v>-4.0</v>
      </c>
      <c r="U14" s="586" t="s">
        <v>2259</v>
      </c>
    </row>
    <row r="15" ht="15.0" customHeight="1">
      <c r="A15" s="574">
        <v>41034.0</v>
      </c>
      <c r="B15" s="575" t="s">
        <v>2261</v>
      </c>
      <c r="C15" s="575" t="s">
        <v>536</v>
      </c>
      <c r="D15" s="575"/>
      <c r="E15" s="575" t="str">
        <f>IFERROR(__xludf.DUMMYFUNCTION("if(and(D15&lt;&gt;0,D15&lt;&gt;""""),D15/GOOGLEFINANCE(C15,""price"")-1,"""")"),"")</f>
        <v/>
      </c>
      <c r="F15" s="574"/>
      <c r="G15" s="577">
        <f>IFERROR(__xludf.DUMMYFUNCTION("I15/GOOGLEFINANCE(C15,""price"")-1"),-0.7378080755112743)</f>
        <v>-0.7378080755</v>
      </c>
      <c r="H15" s="579"/>
      <c r="I15" s="608">
        <v>10.0</v>
      </c>
      <c r="J15" s="575"/>
      <c r="K15" s="575"/>
      <c r="L15" s="575"/>
      <c r="M15" s="575"/>
      <c r="N15" s="575">
        <f t="shared" si="1"/>
        <v>0</v>
      </c>
      <c r="O15" s="575"/>
      <c r="P15" s="575"/>
      <c r="Q15" s="575"/>
      <c r="R15" s="575"/>
      <c r="S15" s="575"/>
      <c r="T15" s="575"/>
      <c r="U15" s="575" t="s">
        <v>2262</v>
      </c>
    </row>
    <row r="16" ht="15.0" customHeight="1">
      <c r="A16" s="585">
        <v>40788.0</v>
      </c>
      <c r="B16" s="586" t="s">
        <v>2263</v>
      </c>
      <c r="C16" s="586" t="s">
        <v>351</v>
      </c>
      <c r="D16" s="586"/>
      <c r="E16" s="586" t="str">
        <f>IFERROR(__xludf.DUMMYFUNCTION("if(and(D16&lt;&gt;0,D16&lt;&gt;""""),D16/GOOGLEFINANCE(C16,""price"")-1,"""")"),"")</f>
        <v/>
      </c>
      <c r="F16" s="585"/>
      <c r="G16" s="589">
        <f>IFERROR(__xludf.DUMMYFUNCTION("I16/GOOGLEFINANCE(C16,""price"")-1"),-1.0)</f>
        <v>-1</v>
      </c>
      <c r="H16" s="591"/>
      <c r="I16" s="586"/>
      <c r="J16" s="586"/>
      <c r="K16" s="586"/>
      <c r="L16" s="586"/>
      <c r="M16" s="586"/>
      <c r="N16" s="586">
        <f t="shared" si="1"/>
        <v>0</v>
      </c>
      <c r="O16" s="586"/>
      <c r="P16" s="586"/>
      <c r="Q16" s="586"/>
      <c r="R16" s="586"/>
      <c r="S16" s="586"/>
      <c r="T16" s="586"/>
      <c r="U16" s="586" t="s">
        <v>2264</v>
      </c>
    </row>
    <row r="17" ht="15.0" customHeight="1">
      <c r="A17" s="574">
        <v>41160.0</v>
      </c>
      <c r="B17" s="575" t="s">
        <v>2265</v>
      </c>
      <c r="C17" s="575" t="s">
        <v>2266</v>
      </c>
      <c r="D17" s="575"/>
      <c r="E17" s="575" t="str">
        <f>IFERROR(__xludf.DUMMYFUNCTION("if(and(D17&lt;&gt;0,D17&lt;&gt;""""),D17/GOOGLEFINANCE(C17,""price"")-1,"""")"),"")</f>
        <v/>
      </c>
      <c r="F17" s="574"/>
      <c r="G17" s="577" t="str">
        <f>IFERROR(__xludf.DUMMYFUNCTION("I17/GOOGLEFINANCE(C17,""price"")-1"),"#N/A")</f>
        <v>#N/A</v>
      </c>
      <c r="H17" s="579"/>
      <c r="I17" s="575"/>
      <c r="J17" s="575"/>
      <c r="K17" s="575"/>
      <c r="L17" s="575"/>
      <c r="M17" s="575"/>
      <c r="N17" s="575">
        <f t="shared" si="1"/>
        <v>0</v>
      </c>
      <c r="O17" s="575"/>
      <c r="P17" s="575"/>
      <c r="Q17" s="575"/>
      <c r="R17" s="575"/>
      <c r="S17" s="575"/>
      <c r="T17" s="575"/>
      <c r="U17" s="575"/>
    </row>
    <row r="18" ht="15.0" customHeight="1">
      <c r="A18" s="574">
        <v>40516.0</v>
      </c>
      <c r="B18" s="575" t="s">
        <v>2268</v>
      </c>
      <c r="C18" s="575" t="s">
        <v>2269</v>
      </c>
      <c r="D18" s="575"/>
      <c r="E18" s="575" t="str">
        <f>IFERROR(__xludf.DUMMYFUNCTION("if(and(D18&lt;&gt;0,D18&lt;&gt;""""),D18/GOOGLEFINANCE(C18,""price"")-1,"""")"),"")</f>
        <v/>
      </c>
      <c r="F18" s="574"/>
      <c r="G18" s="577">
        <f>IFERROR(__xludf.DUMMYFUNCTION("I18/GOOGLEFINANCE(C18,""price"")-1"),-1.0)</f>
        <v>-1</v>
      </c>
      <c r="H18" s="579"/>
      <c r="I18" s="575"/>
      <c r="J18" s="575"/>
      <c r="K18" s="575"/>
      <c r="L18" s="575"/>
      <c r="M18" s="575"/>
      <c r="N18" s="575">
        <f t="shared" si="1"/>
        <v>0</v>
      </c>
      <c r="O18" s="575"/>
      <c r="P18" s="575"/>
      <c r="Q18" s="575"/>
      <c r="R18" s="575"/>
      <c r="S18" s="575"/>
      <c r="T18" s="575"/>
      <c r="U18" s="575"/>
    </row>
    <row r="19" ht="15.0" customHeight="1">
      <c r="A19" s="585">
        <v>41098.0</v>
      </c>
      <c r="B19" s="588" t="s">
        <v>2270</v>
      </c>
      <c r="C19" s="588" t="s">
        <v>2271</v>
      </c>
      <c r="D19" s="586"/>
      <c r="E19" s="586" t="str">
        <f>IFERROR(__xludf.DUMMYFUNCTION("if(and(D19&lt;&gt;0,D19&lt;&gt;""""),D19/GOOGLEFINANCE(C19,""price"")-1,"""")"),"")</f>
        <v/>
      </c>
      <c r="F19" s="585"/>
      <c r="G19" s="589">
        <f>IFERROR(__xludf.DUMMYFUNCTION("I19/GOOGLEFINANCE(C19,""price"")-1"),-0.4152901622569799)</f>
        <v>-0.4152901623</v>
      </c>
      <c r="H19" s="591"/>
      <c r="I19" s="588">
        <v>40.0</v>
      </c>
      <c r="J19" s="586"/>
      <c r="K19" s="586"/>
      <c r="L19" s="586"/>
      <c r="M19" s="586"/>
      <c r="N19" s="586">
        <f t="shared" si="1"/>
        <v>0</v>
      </c>
      <c r="O19" s="586"/>
      <c r="P19" s="586"/>
      <c r="Q19" s="586"/>
      <c r="R19" s="586"/>
      <c r="S19" s="586"/>
      <c r="T19" s="586"/>
      <c r="U19" s="588" t="s">
        <v>2272</v>
      </c>
    </row>
    <row r="20" ht="15.0" customHeight="1">
      <c r="A20" s="585">
        <v>40876.0</v>
      </c>
      <c r="B20" s="586" t="s">
        <v>2273</v>
      </c>
      <c r="C20" s="586" t="s">
        <v>2274</v>
      </c>
      <c r="D20" s="586"/>
      <c r="E20" s="586" t="str">
        <f>IFERROR(__xludf.DUMMYFUNCTION("if(and(D20&lt;&gt;0,D20&lt;&gt;""""),D20/GOOGLEFINANCE(C20,""price"")-1,"""")"),"")</f>
        <v/>
      </c>
      <c r="F20" s="585"/>
      <c r="G20" s="589" t="str">
        <f>IFERROR(__xludf.DUMMYFUNCTION("I20/GOOGLEFINANCE(C20,""price"")-1"),"#N/A")</f>
        <v>#N/A</v>
      </c>
      <c r="H20" s="591"/>
      <c r="I20" s="586"/>
      <c r="J20" s="586"/>
      <c r="K20" s="586"/>
      <c r="L20" s="586"/>
      <c r="M20" s="586"/>
      <c r="N20" s="586">
        <f t="shared" si="1"/>
        <v>0</v>
      </c>
      <c r="O20" s="586"/>
      <c r="P20" s="586"/>
      <c r="Q20" s="586"/>
      <c r="R20" s="586"/>
      <c r="S20" s="586"/>
      <c r="T20" s="586"/>
      <c r="U20" s="586"/>
    </row>
    <row r="21" ht="15.0" customHeight="1">
      <c r="A21" s="585">
        <v>41057.0</v>
      </c>
      <c r="B21" s="586" t="s">
        <v>2275</v>
      </c>
      <c r="C21" s="586" t="s">
        <v>2276</v>
      </c>
      <c r="D21" s="586"/>
      <c r="E21" s="586" t="str">
        <f>IFERROR(__xludf.DUMMYFUNCTION("if(and(D21&lt;&gt;0,D21&lt;&gt;""""),D21/GOOGLEFINANCE(C21,""price"")-1,"""")"),"")</f>
        <v/>
      </c>
      <c r="F21" s="585"/>
      <c r="G21" s="589" t="str">
        <f>IFERROR(__xludf.DUMMYFUNCTION("I21/GOOGLEFINANCE(C21,""price"")-1"),"#N/A")</f>
        <v>#N/A</v>
      </c>
      <c r="H21" s="591"/>
      <c r="I21" s="586"/>
      <c r="J21" s="586"/>
      <c r="K21" s="586"/>
      <c r="L21" s="586"/>
      <c r="M21" s="586"/>
      <c r="N21" s="586">
        <f t="shared" si="1"/>
        <v>0</v>
      </c>
      <c r="O21" s="586"/>
      <c r="P21" s="586"/>
      <c r="Q21" s="586"/>
      <c r="R21" s="586"/>
      <c r="S21" s="586"/>
      <c r="T21" s="586"/>
      <c r="U21" s="586"/>
    </row>
    <row r="22" ht="15.0" customHeight="1">
      <c r="A22" s="585">
        <v>40482.0</v>
      </c>
      <c r="B22" s="586" t="s">
        <v>2277</v>
      </c>
      <c r="C22" s="586" t="s">
        <v>426</v>
      </c>
      <c r="D22" s="586"/>
      <c r="E22" s="586" t="str">
        <f>IFERROR(__xludf.DUMMYFUNCTION("if(and(D22&lt;&gt;0,D22&lt;&gt;""""),D22/GOOGLEFINANCE(C22,""price"")-1,"""")"),"")</f>
        <v/>
      </c>
      <c r="F22" s="585"/>
      <c r="G22" s="589">
        <f>IFERROR(__xludf.DUMMYFUNCTION("I22/GOOGLEFINANCE(C22,""price"")-1"),0.006512729425695696)</f>
        <v>0.006512729426</v>
      </c>
      <c r="H22" s="591"/>
      <c r="I22" s="586">
        <v>17.0</v>
      </c>
      <c r="J22" s="586"/>
      <c r="K22" s="586"/>
      <c r="L22" s="586"/>
      <c r="M22" s="586"/>
      <c r="N22" s="586">
        <f t="shared" si="1"/>
        <v>0</v>
      </c>
      <c r="O22" s="586"/>
      <c r="P22" s="586"/>
      <c r="Q22" s="586"/>
      <c r="R22" s="586"/>
      <c r="S22" s="586"/>
      <c r="T22" s="586"/>
      <c r="U22" s="586" t="s">
        <v>2278</v>
      </c>
    </row>
    <row r="23" ht="15.0" customHeight="1">
      <c r="A23" s="574">
        <v>40896.0</v>
      </c>
      <c r="B23" s="575" t="s">
        <v>2279</v>
      </c>
      <c r="C23" s="575" t="s">
        <v>2280</v>
      </c>
      <c r="D23" s="575"/>
      <c r="E23" s="575" t="str">
        <f>IFERROR(__xludf.DUMMYFUNCTION("if(and(D23&lt;&gt;0,D23&lt;&gt;""""),D23/GOOGLEFINANCE(C23,""price"")-1,"""")"),"")</f>
        <v/>
      </c>
      <c r="F23" s="574"/>
      <c r="G23" s="577">
        <f>IFERROR(__xludf.DUMMYFUNCTION("I23/GOOGLEFINANCE(C23,""price"")-1"),-1.0)</f>
        <v>-1</v>
      </c>
      <c r="H23" s="579"/>
      <c r="I23" s="575"/>
      <c r="J23" s="575"/>
      <c r="K23" s="575"/>
      <c r="L23" s="575"/>
      <c r="M23" s="575"/>
      <c r="N23" s="575">
        <f t="shared" si="1"/>
        <v>0</v>
      </c>
      <c r="O23" s="575"/>
      <c r="P23" s="575"/>
      <c r="Q23" s="575"/>
      <c r="R23" s="575"/>
      <c r="S23" s="575"/>
      <c r="T23" s="575"/>
      <c r="U23" s="575" t="s">
        <v>2281</v>
      </c>
    </row>
    <row r="24" ht="15.0" customHeight="1">
      <c r="A24" s="574">
        <v>41074.0</v>
      </c>
      <c r="B24" s="575" t="s">
        <v>2282</v>
      </c>
      <c r="C24" s="575" t="s">
        <v>2283</v>
      </c>
      <c r="D24" s="575"/>
      <c r="E24" s="575" t="str">
        <f>IFERROR(__xludf.DUMMYFUNCTION("if(and(D24&lt;&gt;0,D24&lt;&gt;""""),D24/GOOGLEFINANCE(C24,""price"")-1,"""")"),"")</f>
        <v/>
      </c>
      <c r="F24" s="574"/>
      <c r="G24" s="577">
        <f>IFERROR(__xludf.DUMMYFUNCTION("I24/GOOGLEFINANCE(C24,""price"")-1"),-1.0)</f>
        <v>-1</v>
      </c>
      <c r="H24" s="579"/>
      <c r="I24" s="575"/>
      <c r="J24" s="575"/>
      <c r="K24" s="575"/>
      <c r="L24" s="575"/>
      <c r="M24" s="575"/>
      <c r="N24" s="575">
        <f t="shared" si="1"/>
        <v>0</v>
      </c>
      <c r="O24" s="575"/>
      <c r="P24" s="575"/>
      <c r="Q24" s="575"/>
      <c r="R24" s="575"/>
      <c r="S24" s="575"/>
      <c r="T24" s="575"/>
      <c r="U24" s="575" t="s">
        <v>2285</v>
      </c>
    </row>
    <row r="25" ht="15.0" customHeight="1">
      <c r="A25" s="611">
        <v>41945.0</v>
      </c>
      <c r="B25" s="588" t="s">
        <v>2286</v>
      </c>
      <c r="C25" s="588" t="s">
        <v>2287</v>
      </c>
      <c r="D25" s="586"/>
      <c r="E25" s="586" t="str">
        <f>IFERROR(__xludf.DUMMYFUNCTION("if(and(D25&lt;&gt;0,D25&lt;&gt;""""),D25/GOOGLEFINANCE(C25,""price"")-1,"""")"),"")</f>
        <v/>
      </c>
      <c r="F25" s="585"/>
      <c r="G25" s="589"/>
      <c r="H25" s="591"/>
      <c r="I25" s="586"/>
      <c r="J25" s="588"/>
      <c r="K25" s="588"/>
      <c r="L25" s="588"/>
      <c r="M25" s="588"/>
      <c r="N25" s="588">
        <v>0.0</v>
      </c>
      <c r="O25" s="586"/>
      <c r="P25" s="586"/>
      <c r="Q25" s="586"/>
      <c r="R25" s="586"/>
      <c r="S25" s="586"/>
      <c r="T25" s="586"/>
      <c r="U25" s="588" t="s">
        <v>2288</v>
      </c>
    </row>
    <row r="26" ht="15.0" customHeight="1">
      <c r="A26" s="585">
        <v>40596.0</v>
      </c>
      <c r="B26" s="586" t="s">
        <v>2289</v>
      </c>
      <c r="C26" s="586" t="s">
        <v>2290</v>
      </c>
      <c r="D26" s="586"/>
      <c r="E26" s="586" t="str">
        <f>IFERROR(__xludf.DUMMYFUNCTION("if(and(D26&lt;&gt;0,D26&lt;&gt;""""),D26/GOOGLEFINANCE(C26,""price"")-1,"""")"),"")</f>
        <v/>
      </c>
      <c r="F26" s="585"/>
      <c r="G26" s="589">
        <f>IFERROR(__xludf.DUMMYFUNCTION("I26/GOOGLEFINANCE(C26,""price"")-1"),-1.0)</f>
        <v>-1</v>
      </c>
      <c r="H26" s="591"/>
      <c r="I26" s="586"/>
      <c r="J26" s="586"/>
      <c r="K26" s="586"/>
      <c r="L26" s="586"/>
      <c r="M26" s="586"/>
      <c r="N26" s="586">
        <f>SUM(O26:T26)</f>
        <v>0</v>
      </c>
      <c r="O26" s="586"/>
      <c r="P26" s="586"/>
      <c r="Q26" s="586"/>
      <c r="R26" s="586"/>
      <c r="S26" s="586"/>
      <c r="T26" s="586"/>
      <c r="U26" s="586"/>
    </row>
    <row r="27" ht="15.0" customHeight="1">
      <c r="A27" s="652">
        <v>41988.0</v>
      </c>
      <c r="B27" s="653" t="s">
        <v>2291</v>
      </c>
      <c r="C27" s="653" t="s">
        <v>2292</v>
      </c>
      <c r="D27" s="656"/>
      <c r="E27" s="656" t="str">
        <f>IFERROR(__xludf.DUMMYFUNCTION("if(and(D27&lt;&gt;0,D27&lt;&gt;""""),D27/GOOGLEFINANCE(C27,""price"")-1,"""")"),"")</f>
        <v/>
      </c>
      <c r="F27" s="703"/>
      <c r="G27" s="680"/>
      <c r="H27" s="682"/>
      <c r="I27" s="724"/>
      <c r="J27" s="656"/>
      <c r="K27" s="656"/>
      <c r="L27" s="656"/>
      <c r="M27" s="656"/>
      <c r="N27" s="656"/>
      <c r="O27" s="656"/>
      <c r="P27" s="656"/>
      <c r="Q27" s="656"/>
      <c r="R27" s="656"/>
      <c r="S27" s="656"/>
      <c r="T27" s="656"/>
      <c r="U27" s="724"/>
    </row>
    <row r="28" ht="15.0" customHeight="1">
      <c r="A28" s="652">
        <v>41962.0</v>
      </c>
      <c r="B28" s="653" t="s">
        <v>2293</v>
      </c>
      <c r="C28" s="653" t="s">
        <v>2294</v>
      </c>
      <c r="D28" s="656"/>
      <c r="E28" s="656" t="str">
        <f>IFERROR(__xludf.DUMMYFUNCTION("if(and(D28&lt;&gt;0,D28&lt;&gt;""""),D28/GOOGLEFINANCE(C28,""price"")-1,"""")"),"")</f>
        <v/>
      </c>
      <c r="F28" s="703"/>
      <c r="G28" s="680"/>
      <c r="H28" s="682"/>
      <c r="I28" s="724">
        <v>40.0</v>
      </c>
      <c r="J28" s="656"/>
      <c r="K28" s="656"/>
      <c r="L28" s="656"/>
      <c r="M28" s="656"/>
      <c r="N28" s="656"/>
      <c r="O28" s="656"/>
      <c r="P28" s="656"/>
      <c r="Q28" s="656"/>
      <c r="R28" s="656"/>
      <c r="S28" s="656"/>
      <c r="T28" s="656"/>
      <c r="U28" s="724" t="s">
        <v>2295</v>
      </c>
    </row>
    <row r="29" ht="15.0" customHeight="1">
      <c r="A29" s="725"/>
      <c r="B29" s="726"/>
      <c r="C29" s="726"/>
      <c r="D29" s="726"/>
      <c r="E29" s="726"/>
      <c r="F29" s="725"/>
      <c r="G29" s="727"/>
      <c r="H29" s="728"/>
      <c r="I29" s="726"/>
      <c r="J29" s="726"/>
      <c r="K29" s="726"/>
      <c r="L29" s="726"/>
      <c r="M29" s="726"/>
      <c r="N29" s="726"/>
      <c r="O29" s="726"/>
      <c r="P29" s="726"/>
      <c r="Q29" s="726"/>
      <c r="R29" s="726"/>
      <c r="S29" s="726"/>
      <c r="T29" s="726"/>
      <c r="U29" s="726"/>
    </row>
    <row r="30" ht="15.0" customHeight="1">
      <c r="A30" s="725"/>
      <c r="B30" s="726"/>
      <c r="C30" s="726"/>
      <c r="D30" s="726"/>
      <c r="E30" s="726"/>
      <c r="F30" s="725"/>
      <c r="G30" s="727"/>
      <c r="H30" s="728"/>
      <c r="I30" s="726"/>
      <c r="J30" s="726"/>
      <c r="K30" s="726"/>
      <c r="L30" s="726"/>
      <c r="M30" s="726"/>
      <c r="N30" s="726"/>
      <c r="O30" s="726"/>
      <c r="P30" s="726"/>
      <c r="Q30" s="726"/>
      <c r="R30" s="726"/>
      <c r="S30" s="726"/>
      <c r="T30" s="726"/>
      <c r="U30" s="726"/>
    </row>
    <row r="31" ht="15.0" customHeight="1">
      <c r="A31" s="725"/>
      <c r="B31" s="726"/>
      <c r="C31" s="726"/>
      <c r="D31" s="726"/>
      <c r="E31" s="726"/>
      <c r="F31" s="725"/>
      <c r="G31" s="727"/>
      <c r="H31" s="728"/>
      <c r="I31" s="726"/>
      <c r="J31" s="726"/>
      <c r="K31" s="726"/>
      <c r="L31" s="726"/>
      <c r="M31" s="726"/>
      <c r="N31" s="726"/>
      <c r="O31" s="726"/>
      <c r="P31" s="726"/>
      <c r="Q31" s="726"/>
      <c r="R31" s="726"/>
      <c r="S31" s="726"/>
      <c r="T31" s="726"/>
      <c r="U31" s="726"/>
    </row>
    <row r="32" ht="15.0" customHeight="1">
      <c r="A32" s="725"/>
      <c r="B32" s="726"/>
      <c r="C32" s="726"/>
      <c r="D32" s="726"/>
      <c r="E32" s="726"/>
      <c r="F32" s="725"/>
      <c r="G32" s="727"/>
      <c r="H32" s="728"/>
      <c r="I32" s="726"/>
      <c r="J32" s="726"/>
      <c r="K32" s="726"/>
      <c r="L32" s="726"/>
      <c r="M32" s="726"/>
      <c r="N32" s="726"/>
      <c r="O32" s="726"/>
      <c r="P32" s="726"/>
      <c r="Q32" s="726"/>
      <c r="R32" s="726"/>
      <c r="S32" s="726"/>
      <c r="T32" s="726"/>
      <c r="U32" s="726"/>
    </row>
    <row r="33" ht="15.0" customHeight="1">
      <c r="A33" s="725"/>
      <c r="B33" s="726"/>
      <c r="C33" s="726"/>
      <c r="D33" s="726"/>
      <c r="E33" s="726"/>
      <c r="F33" s="725"/>
      <c r="G33" s="727"/>
      <c r="H33" s="728"/>
      <c r="I33" s="726"/>
      <c r="J33" s="726"/>
      <c r="K33" s="726"/>
      <c r="L33" s="726"/>
      <c r="M33" s="726"/>
      <c r="N33" s="726"/>
      <c r="O33" s="726"/>
      <c r="P33" s="726"/>
      <c r="Q33" s="726"/>
      <c r="R33" s="726"/>
      <c r="S33" s="726"/>
      <c r="T33" s="726"/>
      <c r="U33" s="726"/>
    </row>
    <row r="34" ht="15.0" customHeight="1">
      <c r="A34" s="725"/>
      <c r="B34" s="726"/>
      <c r="C34" s="726"/>
      <c r="D34" s="726"/>
      <c r="E34" s="726"/>
      <c r="F34" s="725"/>
      <c r="G34" s="727"/>
      <c r="H34" s="728"/>
      <c r="I34" s="726"/>
      <c r="J34" s="726"/>
      <c r="K34" s="726"/>
      <c r="L34" s="726"/>
      <c r="M34" s="726"/>
      <c r="N34" s="726"/>
      <c r="O34" s="726"/>
      <c r="P34" s="726"/>
      <c r="Q34" s="726"/>
      <c r="R34" s="726"/>
      <c r="S34" s="726"/>
      <c r="T34" s="726"/>
      <c r="U34" s="726"/>
    </row>
    <row r="35" ht="15.0" customHeight="1">
      <c r="A35" s="725"/>
      <c r="B35" s="726"/>
      <c r="C35" s="726"/>
      <c r="D35" s="726"/>
      <c r="E35" s="726"/>
      <c r="F35" s="725"/>
      <c r="G35" s="727"/>
      <c r="H35" s="728"/>
      <c r="I35" s="726"/>
      <c r="J35" s="726"/>
      <c r="K35" s="726"/>
      <c r="L35" s="726"/>
      <c r="M35" s="726"/>
      <c r="N35" s="726"/>
      <c r="O35" s="726"/>
      <c r="P35" s="726"/>
      <c r="Q35" s="726"/>
      <c r="R35" s="726"/>
      <c r="S35" s="726"/>
      <c r="T35" s="726"/>
      <c r="U35" s="726"/>
    </row>
    <row r="36" ht="15.0" customHeight="1">
      <c r="A36" s="725"/>
      <c r="B36" s="726"/>
      <c r="C36" s="726"/>
      <c r="D36" s="726"/>
      <c r="E36" s="726"/>
      <c r="F36" s="725"/>
      <c r="G36" s="727"/>
      <c r="H36" s="728"/>
      <c r="I36" s="726"/>
      <c r="J36" s="726"/>
      <c r="K36" s="726"/>
      <c r="L36" s="726"/>
      <c r="M36" s="726"/>
      <c r="N36" s="726"/>
      <c r="O36" s="726"/>
      <c r="P36" s="726"/>
      <c r="Q36" s="726"/>
      <c r="R36" s="726"/>
      <c r="S36" s="726"/>
      <c r="T36" s="726"/>
      <c r="U36" s="726"/>
    </row>
    <row r="37" ht="15.0" customHeight="1">
      <c r="A37" s="725"/>
      <c r="B37" s="726"/>
      <c r="C37" s="726"/>
      <c r="D37" s="726"/>
      <c r="E37" s="726"/>
      <c r="F37" s="725"/>
      <c r="G37" s="727"/>
      <c r="H37" s="728"/>
      <c r="I37" s="726"/>
      <c r="J37" s="726"/>
      <c r="K37" s="726"/>
      <c r="L37" s="726"/>
      <c r="M37" s="726"/>
      <c r="N37" s="726"/>
      <c r="O37" s="726"/>
      <c r="P37" s="726"/>
      <c r="Q37" s="726"/>
      <c r="R37" s="726"/>
      <c r="S37" s="726"/>
      <c r="T37" s="726"/>
      <c r="U37" s="726"/>
    </row>
  </sheetData>
  <autoFilter ref="$A$3:$U$28"/>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3.0" topLeftCell="B4" activePane="bottomRight" state="frozen"/>
      <selection activeCell="B1" sqref="B1" pane="topRight"/>
      <selection activeCell="A4" sqref="A4" pane="bottomLeft"/>
      <selection activeCell="B4" sqref="B4" pane="bottomRight"/>
    </sheetView>
  </sheetViews>
  <sheetFormatPr customHeight="1" defaultColWidth="17.29" defaultRowHeight="15.75"/>
  <cols>
    <col customWidth="1" min="1" max="1" width="10.86"/>
    <col customWidth="1" min="2" max="2" width="39.29"/>
    <col customWidth="1" min="3" max="3" width="6.43"/>
    <col customWidth="1" min="4" max="4" width="10.43"/>
    <col customWidth="1" min="5" max="5" width="12.29"/>
    <col customWidth="1" min="6" max="6" width="13.71"/>
    <col customWidth="1" min="7" max="7" width="13.0"/>
    <col customWidth="1" min="8" max="11" width="9.14"/>
    <col customWidth="1" min="12" max="12" width="10.57"/>
    <col customWidth="1" min="13" max="14" width="9.14"/>
    <col customWidth="1" min="15" max="15" width="11.43"/>
    <col customWidth="1" min="16" max="19" width="10.43"/>
    <col customWidth="1" min="20" max="20" width="17.14"/>
    <col customWidth="1" min="21" max="21" width="78.57"/>
    <col customWidth="1" min="22" max="22" width="21.14"/>
    <col customWidth="1" min="23" max="23" width="19.29"/>
  </cols>
  <sheetData>
    <row r="1" ht="15.0" customHeight="1">
      <c r="A1" s="549"/>
      <c r="B1" s="575"/>
      <c r="C1" s="550" t="s">
        <v>1190</v>
      </c>
      <c r="D1" s="550"/>
      <c r="E1" s="550"/>
      <c r="F1" s="549"/>
      <c r="G1" s="114"/>
      <c r="H1" s="559"/>
      <c r="I1" s="559"/>
      <c r="J1" s="729" t="s">
        <v>2298</v>
      </c>
      <c r="K1" s="730"/>
      <c r="L1" s="730"/>
      <c r="M1" s="730"/>
      <c r="N1" s="730"/>
      <c r="O1" s="730"/>
      <c r="P1" s="647"/>
      <c r="Q1" s="647"/>
      <c r="R1" s="647"/>
      <c r="S1" s="647"/>
      <c r="T1" s="647"/>
      <c r="U1" s="731"/>
      <c r="V1" s="647"/>
      <c r="W1" s="647"/>
    </row>
    <row r="2" ht="15.0" customHeight="1">
      <c r="A2" s="549"/>
      <c r="B2" s="586"/>
      <c r="C2" s="550" t="s">
        <v>1198</v>
      </c>
      <c r="D2" s="550"/>
      <c r="E2" s="550"/>
      <c r="F2" s="549"/>
      <c r="G2" s="114"/>
      <c r="H2" s="559"/>
      <c r="I2" s="732" t="s">
        <v>2299</v>
      </c>
      <c r="J2" s="730"/>
      <c r="K2" s="730"/>
      <c r="L2" s="730"/>
      <c r="M2" s="730"/>
      <c r="N2" s="730"/>
      <c r="O2" s="730"/>
      <c r="P2" s="647"/>
      <c r="Q2" s="647"/>
      <c r="R2" s="647"/>
      <c r="S2" s="647"/>
      <c r="T2" s="647"/>
      <c r="U2" s="731"/>
      <c r="V2" s="647"/>
      <c r="W2" s="647"/>
    </row>
    <row r="3" ht="15.0" customHeight="1">
      <c r="A3" s="561"/>
      <c r="B3" s="562" t="s">
        <v>318</v>
      </c>
      <c r="C3" s="562" t="s">
        <v>319</v>
      </c>
      <c r="D3" s="715" t="s">
        <v>320</v>
      </c>
      <c r="E3" s="715" t="s">
        <v>321</v>
      </c>
      <c r="F3" s="714" t="s">
        <v>322</v>
      </c>
      <c r="G3" s="733" t="s">
        <v>323</v>
      </c>
      <c r="H3" s="568" t="s">
        <v>324</v>
      </c>
      <c r="I3" s="568" t="s">
        <v>325</v>
      </c>
      <c r="J3" s="570" t="s">
        <v>326</v>
      </c>
      <c r="K3" s="570" t="s">
        <v>327</v>
      </c>
      <c r="L3" s="570" t="s">
        <v>328</v>
      </c>
      <c r="M3" s="570" t="s">
        <v>329</v>
      </c>
      <c r="N3" s="570" t="s">
        <v>330</v>
      </c>
      <c r="O3" s="570" t="s">
        <v>331</v>
      </c>
      <c r="P3" s="715" t="s">
        <v>332</v>
      </c>
      <c r="Q3" s="715" t="s">
        <v>333</v>
      </c>
      <c r="R3" s="571" t="s">
        <v>334</v>
      </c>
      <c r="S3" s="715" t="s">
        <v>335</v>
      </c>
      <c r="T3" s="715" t="s">
        <v>336</v>
      </c>
      <c r="U3" s="734" t="s">
        <v>314</v>
      </c>
      <c r="V3" s="735" t="s">
        <v>306</v>
      </c>
      <c r="W3" s="735" t="s">
        <v>2300</v>
      </c>
    </row>
    <row r="4" ht="15.0" customHeight="1">
      <c r="A4" s="736">
        <v>41076.0</v>
      </c>
      <c r="B4" s="737" t="s">
        <v>2303</v>
      </c>
      <c r="C4" s="737" t="s">
        <v>2304</v>
      </c>
      <c r="D4" s="738"/>
      <c r="E4" s="738"/>
      <c r="F4" s="736"/>
      <c r="G4" s="739">
        <v>0.511041589988958</v>
      </c>
      <c r="H4" s="740"/>
      <c r="I4" s="740">
        <v>41.05499999999999</v>
      </c>
      <c r="J4" s="741">
        <v>0.0</v>
      </c>
      <c r="K4" s="741"/>
      <c r="L4" s="741"/>
      <c r="M4" s="741"/>
      <c r="N4" s="741"/>
      <c r="O4" s="741"/>
      <c r="P4" s="742"/>
      <c r="Q4" s="742"/>
      <c r="R4" s="742"/>
      <c r="S4" s="742"/>
      <c r="T4" s="742"/>
      <c r="U4" s="743" t="s">
        <v>2308</v>
      </c>
      <c r="V4" s="744"/>
      <c r="W4" s="744"/>
    </row>
    <row r="5" ht="15.0" customHeight="1">
      <c r="A5" s="736">
        <v>41261.0</v>
      </c>
      <c r="B5" s="737" t="s">
        <v>2310</v>
      </c>
      <c r="C5" s="737" t="s">
        <v>1093</v>
      </c>
      <c r="D5" s="738"/>
      <c r="E5" s="738"/>
      <c r="F5" s="736"/>
      <c r="G5" s="739">
        <v>31.653061224489797</v>
      </c>
      <c r="H5" s="740"/>
      <c r="I5" s="740">
        <v>80.0</v>
      </c>
      <c r="J5" s="741">
        <v>0.0</v>
      </c>
      <c r="K5" s="741"/>
      <c r="L5" s="741"/>
      <c r="M5" s="741"/>
      <c r="N5" s="741"/>
      <c r="O5" s="741"/>
      <c r="P5" s="742"/>
      <c r="Q5" s="742"/>
      <c r="R5" s="742"/>
      <c r="S5" s="742"/>
      <c r="T5" s="742"/>
      <c r="U5" s="743" t="s">
        <v>2312</v>
      </c>
      <c r="V5" s="744"/>
      <c r="W5" s="744"/>
    </row>
    <row r="6" ht="15.0" customHeight="1">
      <c r="A6" s="659">
        <v>41284.0</v>
      </c>
      <c r="B6" s="696" t="s">
        <v>2313</v>
      </c>
      <c r="C6" s="696" t="s">
        <v>861</v>
      </c>
      <c r="D6" s="696"/>
      <c r="E6" s="696"/>
      <c r="F6" s="659"/>
      <c r="G6" s="697" t="e">
        <v>#N/A</v>
      </c>
      <c r="H6" s="664"/>
      <c r="I6" s="664">
        <v>20.0</v>
      </c>
      <c r="J6" s="745">
        <v>0.0</v>
      </c>
      <c r="K6" s="745"/>
      <c r="L6" s="745"/>
      <c r="M6" s="745"/>
      <c r="N6" s="745"/>
      <c r="O6" s="745"/>
      <c r="P6" s="746"/>
      <c r="Q6" s="746"/>
      <c r="R6" s="746"/>
      <c r="S6" s="746"/>
      <c r="T6" s="746"/>
      <c r="U6" s="747" t="s">
        <v>2314</v>
      </c>
      <c r="V6" s="748"/>
      <c r="W6" s="748"/>
    </row>
    <row r="7" ht="15.0" customHeight="1">
      <c r="A7" s="659">
        <v>41011.0</v>
      </c>
      <c r="B7" s="696" t="s">
        <v>2316</v>
      </c>
      <c r="C7" s="696" t="s">
        <v>868</v>
      </c>
      <c r="D7" s="696"/>
      <c r="E7" s="696"/>
      <c r="F7" s="659"/>
      <c r="G7" s="697">
        <v>-1.0</v>
      </c>
      <c r="H7" s="664"/>
      <c r="I7" s="664"/>
      <c r="J7" s="745">
        <v>0.0</v>
      </c>
      <c r="K7" s="745"/>
      <c r="L7" s="745"/>
      <c r="M7" s="745"/>
      <c r="N7" s="745"/>
      <c r="O7" s="745"/>
      <c r="P7" s="696"/>
      <c r="Q7" s="696"/>
      <c r="R7" s="696"/>
      <c r="S7" s="696"/>
      <c r="T7" s="696"/>
      <c r="U7" s="749" t="s">
        <v>2317</v>
      </c>
      <c r="V7" s="647"/>
      <c r="W7" s="647"/>
    </row>
    <row r="8" ht="15.0" customHeight="1">
      <c r="A8" s="736">
        <v>41362.0</v>
      </c>
      <c r="B8" s="737" t="s">
        <v>967</v>
      </c>
      <c r="C8" s="737" t="s">
        <v>967</v>
      </c>
      <c r="D8" s="737"/>
      <c r="E8" s="737"/>
      <c r="F8" s="736"/>
      <c r="G8" s="739">
        <v>-1.0</v>
      </c>
      <c r="H8" s="740"/>
      <c r="I8" s="740"/>
      <c r="J8" s="741">
        <v>0.0</v>
      </c>
      <c r="K8" s="741"/>
      <c r="L8" s="741"/>
      <c r="M8" s="741"/>
      <c r="N8" s="741"/>
      <c r="O8" s="741"/>
      <c r="P8" s="737"/>
      <c r="Q8" s="737"/>
      <c r="R8" s="737"/>
      <c r="S8" s="737"/>
      <c r="T8" s="737"/>
      <c r="U8" s="750" t="s">
        <v>2319</v>
      </c>
      <c r="V8" s="726"/>
      <c r="W8" s="726"/>
    </row>
    <row r="9" ht="15.0" customHeight="1">
      <c r="A9" s="725">
        <v>40168.0</v>
      </c>
      <c r="B9" s="726" t="s">
        <v>2320</v>
      </c>
      <c r="C9" s="726" t="s">
        <v>2321</v>
      </c>
      <c r="D9" s="751"/>
      <c r="E9" s="751"/>
      <c r="F9" s="725"/>
      <c r="G9" s="727" t="e">
        <v>#N/A</v>
      </c>
      <c r="H9" s="728">
        <v>35.0</v>
      </c>
      <c r="I9" s="728">
        <v>42.75</v>
      </c>
      <c r="J9" s="752">
        <v>0.0</v>
      </c>
      <c r="K9" s="752"/>
      <c r="L9" s="752"/>
      <c r="M9" s="752"/>
      <c r="N9" s="752"/>
      <c r="O9" s="752"/>
      <c r="P9" s="744"/>
      <c r="Q9" s="744"/>
      <c r="R9" s="744"/>
      <c r="S9" s="744"/>
      <c r="T9" s="744"/>
      <c r="U9" s="753" t="s">
        <v>2324</v>
      </c>
      <c r="V9" s="744"/>
      <c r="W9" s="744"/>
    </row>
    <row r="10" ht="15.0" customHeight="1">
      <c r="A10" s="736">
        <v>40777.0</v>
      </c>
      <c r="B10" s="737" t="s">
        <v>1429</v>
      </c>
      <c r="C10" s="737" t="s">
        <v>890</v>
      </c>
      <c r="D10" s="737"/>
      <c r="E10" s="737">
        <v>-1.0</v>
      </c>
      <c r="F10" s="736"/>
      <c r="G10" s="739">
        <v>-1.0</v>
      </c>
      <c r="H10" s="740"/>
      <c r="I10" s="740"/>
      <c r="J10" s="741">
        <v>0.0</v>
      </c>
      <c r="K10" s="741"/>
      <c r="L10" s="741"/>
      <c r="M10" s="741"/>
      <c r="N10" s="741"/>
      <c r="O10" s="741"/>
      <c r="P10" s="737"/>
      <c r="Q10" s="737"/>
      <c r="R10" s="737"/>
      <c r="S10" s="737"/>
      <c r="T10" s="737"/>
      <c r="U10" s="750" t="s">
        <v>2325</v>
      </c>
      <c r="V10" s="726"/>
      <c r="W10" s="726"/>
    </row>
    <row r="11" ht="15.0" customHeight="1">
      <c r="A11" s="736">
        <v>40432.0</v>
      </c>
      <c r="B11" s="737" t="s">
        <v>2326</v>
      </c>
      <c r="C11" s="737" t="s">
        <v>1082</v>
      </c>
      <c r="D11" s="738"/>
      <c r="E11" s="738">
        <v>-1.0</v>
      </c>
      <c r="F11" s="736"/>
      <c r="G11" s="739">
        <v>-1.0</v>
      </c>
      <c r="H11" s="740"/>
      <c r="I11" s="740"/>
      <c r="J11" s="741">
        <v>0.0</v>
      </c>
      <c r="K11" s="741"/>
      <c r="L11" s="741"/>
      <c r="M11" s="741"/>
      <c r="N11" s="741"/>
      <c r="O11" s="741"/>
      <c r="P11" s="737"/>
      <c r="Q11" s="737"/>
      <c r="R11" s="737"/>
      <c r="S11" s="737"/>
      <c r="T11" s="737"/>
      <c r="U11" s="750" t="s">
        <v>2327</v>
      </c>
      <c r="V11" s="726"/>
      <c r="W11" s="726"/>
    </row>
    <row r="12" ht="15.0" customHeight="1">
      <c r="A12" s="725">
        <v>41233.0</v>
      </c>
      <c r="B12" s="726" t="s">
        <v>2328</v>
      </c>
      <c r="C12" s="726" t="s">
        <v>786</v>
      </c>
      <c r="D12" s="726"/>
      <c r="E12" s="726" t="e">
        <v>#N/A</v>
      </c>
      <c r="F12" s="725"/>
      <c r="G12" s="727" t="e">
        <v>#N/A</v>
      </c>
      <c r="H12" s="728"/>
      <c r="I12" s="728">
        <v>10.0</v>
      </c>
      <c r="J12" s="752">
        <v>0.0</v>
      </c>
      <c r="K12" s="752"/>
      <c r="L12" s="752"/>
      <c r="M12" s="752"/>
      <c r="N12" s="752"/>
      <c r="O12" s="752"/>
      <c r="P12" s="726"/>
      <c r="Q12" s="726"/>
      <c r="R12" s="726"/>
      <c r="S12" s="726"/>
      <c r="T12" s="726"/>
      <c r="U12" s="754" t="s">
        <v>2331</v>
      </c>
      <c r="V12" s="726"/>
      <c r="W12" s="726"/>
    </row>
    <row r="13" ht="15.0" customHeight="1">
      <c r="A13" s="755">
        <v>41175.0</v>
      </c>
      <c r="B13" s="756" t="s">
        <v>2332</v>
      </c>
      <c r="C13" s="756" t="s">
        <v>734</v>
      </c>
      <c r="D13" s="757"/>
      <c r="E13" s="758" t="s">
        <v>2333</v>
      </c>
      <c r="F13" s="759"/>
      <c r="G13" s="758" t="s">
        <v>2333</v>
      </c>
      <c r="H13" s="760">
        <v>30.0</v>
      </c>
      <c r="I13" s="761"/>
      <c r="J13" s="762">
        <v>0.0</v>
      </c>
      <c r="K13" s="763"/>
      <c r="L13" s="763"/>
      <c r="M13" s="763"/>
      <c r="N13" s="763"/>
      <c r="O13" s="763"/>
      <c r="P13" s="756"/>
      <c r="Q13" s="756"/>
      <c r="R13" s="756"/>
      <c r="S13" s="756"/>
      <c r="T13" s="756"/>
      <c r="U13" s="764" t="s">
        <v>2335</v>
      </c>
      <c r="V13" s="726"/>
      <c r="W13" s="726"/>
    </row>
    <row r="14" ht="15.0" customHeight="1">
      <c r="A14" s="574">
        <v>40432.0</v>
      </c>
      <c r="B14" s="575" t="s">
        <v>2336</v>
      </c>
      <c r="C14" s="575" t="s">
        <v>1893</v>
      </c>
      <c r="D14" s="627"/>
      <c r="E14" s="577" t="s">
        <v>2333</v>
      </c>
      <c r="F14" s="574"/>
      <c r="G14" s="577" t="s">
        <v>2333</v>
      </c>
      <c r="H14" s="579">
        <v>65.0</v>
      </c>
      <c r="I14" s="579"/>
      <c r="J14" s="765">
        <v>0.0</v>
      </c>
      <c r="K14" s="765"/>
      <c r="L14" s="765"/>
      <c r="M14" s="765"/>
      <c r="N14" s="765"/>
      <c r="O14" s="765"/>
      <c r="P14" s="575"/>
      <c r="Q14" s="575"/>
      <c r="R14" s="575"/>
      <c r="S14" s="575"/>
      <c r="T14" s="575"/>
      <c r="U14" s="766" t="s">
        <v>2338</v>
      </c>
      <c r="V14" s="726"/>
      <c r="W14" s="726"/>
    </row>
    <row r="15" ht="15.0" customHeight="1">
      <c r="A15" s="585">
        <v>41063.0</v>
      </c>
      <c r="B15" s="586" t="s">
        <v>2340</v>
      </c>
      <c r="C15" s="586" t="s">
        <v>2084</v>
      </c>
      <c r="D15" s="695"/>
      <c r="E15" s="589" t="s">
        <v>2333</v>
      </c>
      <c r="F15" s="585"/>
      <c r="G15" s="589" t="s">
        <v>2333</v>
      </c>
      <c r="H15" s="591"/>
      <c r="I15" s="591"/>
      <c r="J15" s="767">
        <v>0.0</v>
      </c>
      <c r="K15" s="767"/>
      <c r="L15" s="767"/>
      <c r="M15" s="767"/>
      <c r="N15" s="767"/>
      <c r="O15" s="767"/>
      <c r="P15" s="586"/>
      <c r="Q15" s="586"/>
      <c r="R15" s="586"/>
      <c r="S15" s="586"/>
      <c r="T15" s="586"/>
      <c r="U15" s="768"/>
      <c r="V15" s="726"/>
      <c r="W15" s="726"/>
    </row>
    <row r="16" ht="15.0" customHeight="1">
      <c r="A16" s="659">
        <v>40581.0</v>
      </c>
      <c r="B16" s="696" t="s">
        <v>2343</v>
      </c>
      <c r="C16" s="696" t="s">
        <v>1823</v>
      </c>
      <c r="D16" s="769"/>
      <c r="E16" s="697" t="s">
        <v>2333</v>
      </c>
      <c r="F16" s="659"/>
      <c r="G16" s="697" t="s">
        <v>2333</v>
      </c>
      <c r="H16" s="664"/>
      <c r="I16" s="664"/>
      <c r="J16" s="745">
        <v>0.0</v>
      </c>
      <c r="K16" s="745"/>
      <c r="L16" s="745"/>
      <c r="M16" s="745"/>
      <c r="N16" s="745"/>
      <c r="O16" s="745"/>
      <c r="P16" s="696"/>
      <c r="Q16" s="696"/>
      <c r="R16" s="696"/>
      <c r="S16" s="696"/>
      <c r="T16" s="696"/>
      <c r="U16" s="749" t="s">
        <v>2345</v>
      </c>
      <c r="V16" s="726"/>
      <c r="W16" s="726"/>
    </row>
    <row r="17" ht="15.0" customHeight="1">
      <c r="A17" s="574">
        <v>41536.0</v>
      </c>
      <c r="B17" s="575" t="s">
        <v>2346</v>
      </c>
      <c r="C17" s="575" t="s">
        <v>2347</v>
      </c>
      <c r="D17" s="575"/>
      <c r="E17" s="673" t="s">
        <v>2333</v>
      </c>
      <c r="F17" s="691"/>
      <c r="G17" s="673">
        <v>-0.3932991246604286</v>
      </c>
      <c r="H17" s="675"/>
      <c r="I17" s="675">
        <v>40.2</v>
      </c>
      <c r="J17" s="765">
        <v>0.0</v>
      </c>
      <c r="K17" s="765"/>
      <c r="L17" s="765"/>
      <c r="M17" s="765"/>
      <c r="N17" s="765"/>
      <c r="O17" s="765"/>
      <c r="P17" s="575"/>
      <c r="Q17" s="575"/>
      <c r="R17" s="575"/>
      <c r="S17" s="575"/>
      <c r="T17" s="575"/>
      <c r="U17" s="766" t="s">
        <v>2348</v>
      </c>
      <c r="V17" s="726"/>
      <c r="W17" s="726"/>
    </row>
    <row r="18" ht="15.0" customHeight="1">
      <c r="A18" s="574">
        <v>41410.0</v>
      </c>
      <c r="B18" s="575" t="s">
        <v>2349</v>
      </c>
      <c r="C18" s="575" t="s">
        <v>1072</v>
      </c>
      <c r="D18" s="575"/>
      <c r="E18" s="673" t="s">
        <v>2333</v>
      </c>
      <c r="F18" s="691"/>
      <c r="G18" s="673" t="s">
        <v>2333</v>
      </c>
      <c r="H18" s="675"/>
      <c r="I18" s="770"/>
      <c r="J18" s="765">
        <v>4.0</v>
      </c>
      <c r="K18" s="765"/>
      <c r="L18" s="765"/>
      <c r="M18" s="765"/>
      <c r="N18" s="765"/>
      <c r="O18" s="765">
        <v>4.0</v>
      </c>
      <c r="P18" s="575"/>
      <c r="Q18" s="575"/>
      <c r="R18" s="575"/>
      <c r="S18" s="575"/>
      <c r="T18" s="575"/>
      <c r="U18" s="766" t="s">
        <v>2350</v>
      </c>
      <c r="V18" s="726"/>
      <c r="W18" s="726"/>
    </row>
    <row r="19" ht="15.0" customHeight="1">
      <c r="A19" s="611">
        <v>42165.0</v>
      </c>
      <c r="B19" s="588" t="s">
        <v>2351</v>
      </c>
      <c r="C19" s="588" t="s">
        <v>2352</v>
      </c>
      <c r="D19" s="588"/>
      <c r="E19" s="589" t="s">
        <v>2333</v>
      </c>
      <c r="F19" s="585"/>
      <c r="G19" s="589">
        <v>2.0960159362549797</v>
      </c>
      <c r="H19" s="591"/>
      <c r="I19" s="658">
        <v>77.71</v>
      </c>
      <c r="J19" s="767"/>
      <c r="K19" s="767"/>
      <c r="L19" s="767"/>
      <c r="M19" s="767"/>
      <c r="N19" s="767"/>
      <c r="O19" s="767"/>
      <c r="P19" s="588"/>
      <c r="Q19" s="588"/>
      <c r="R19" s="588"/>
      <c r="S19" s="588"/>
      <c r="T19" s="588"/>
      <c r="U19" s="771" t="s">
        <v>2353</v>
      </c>
      <c r="V19" s="726"/>
      <c r="W19" s="726"/>
    </row>
    <row r="20" ht="15.0" customHeight="1">
      <c r="A20" s="574">
        <v>41177.0</v>
      </c>
      <c r="B20" s="575" t="s">
        <v>2354</v>
      </c>
      <c r="C20" s="575" t="s">
        <v>681</v>
      </c>
      <c r="D20" s="627"/>
      <c r="E20" s="577" t="s">
        <v>2333</v>
      </c>
      <c r="F20" s="574"/>
      <c r="G20" s="577">
        <v>-0.9838449111470113</v>
      </c>
      <c r="H20" s="579"/>
      <c r="I20" s="579">
        <v>20.0</v>
      </c>
      <c r="J20" s="765">
        <v>0.0</v>
      </c>
      <c r="K20" s="765"/>
      <c r="L20" s="765"/>
      <c r="M20" s="765"/>
      <c r="N20" s="765"/>
      <c r="O20" s="765"/>
      <c r="P20" s="575"/>
      <c r="Q20" s="575"/>
      <c r="R20" s="575"/>
      <c r="S20" s="575"/>
      <c r="T20" s="575"/>
      <c r="U20" s="766" t="s">
        <v>2355</v>
      </c>
      <c r="V20" s="726"/>
      <c r="W20" s="726"/>
    </row>
    <row r="21" ht="15.0" customHeight="1">
      <c r="A21" s="703">
        <v>41076.0</v>
      </c>
      <c r="B21" s="656" t="s">
        <v>2356</v>
      </c>
      <c r="C21" s="656" t="s">
        <v>1220</v>
      </c>
      <c r="D21" s="772"/>
      <c r="E21" s="680" t="s">
        <v>2333</v>
      </c>
      <c r="F21" s="703"/>
      <c r="G21" s="680" t="e">
        <v>#N/A</v>
      </c>
      <c r="H21" s="682"/>
      <c r="I21" s="682">
        <v>81.8064</v>
      </c>
      <c r="J21" s="773">
        <v>0.0</v>
      </c>
      <c r="K21" s="773"/>
      <c r="L21" s="773"/>
      <c r="M21" s="773"/>
      <c r="N21" s="773"/>
      <c r="O21" s="773"/>
      <c r="P21" s="656"/>
      <c r="Q21" s="656"/>
      <c r="R21" s="656"/>
      <c r="S21" s="656"/>
      <c r="T21" s="656"/>
      <c r="U21" s="774" t="s">
        <v>2359</v>
      </c>
      <c r="V21" s="726"/>
      <c r="W21" s="726"/>
    </row>
    <row r="22" ht="15.0" customHeight="1">
      <c r="A22" s="611">
        <v>42119.0</v>
      </c>
      <c r="B22" s="588" t="s">
        <v>2360</v>
      </c>
      <c r="C22" s="588" t="s">
        <v>2361</v>
      </c>
      <c r="D22" s="588"/>
      <c r="E22" s="589" t="s">
        <v>2333</v>
      </c>
      <c r="F22" s="585"/>
      <c r="G22" s="589">
        <v>13.309505106048704</v>
      </c>
      <c r="H22" s="591"/>
      <c r="I22" s="658">
        <v>182.16</v>
      </c>
      <c r="J22" s="767"/>
      <c r="K22" s="767"/>
      <c r="L22" s="767"/>
      <c r="M22" s="767"/>
      <c r="N22" s="767"/>
      <c r="O22" s="767"/>
      <c r="P22" s="588"/>
      <c r="Q22" s="588"/>
      <c r="R22" s="588"/>
      <c r="S22" s="588"/>
      <c r="T22" s="588"/>
      <c r="U22" s="771" t="s">
        <v>2362</v>
      </c>
      <c r="V22" s="726"/>
      <c r="W22" s="726"/>
    </row>
    <row r="23" ht="15.0" customHeight="1">
      <c r="A23" s="549">
        <v>41424.0</v>
      </c>
      <c r="B23" s="647" t="s">
        <v>2363</v>
      </c>
      <c r="C23" s="647" t="s">
        <v>1077</v>
      </c>
      <c r="D23" s="707"/>
      <c r="E23" s="648" t="s">
        <v>2333</v>
      </c>
      <c r="F23" s="549"/>
      <c r="G23" s="648">
        <v>-0.7448979591836735</v>
      </c>
      <c r="H23" s="559"/>
      <c r="I23" s="732">
        <v>5.0</v>
      </c>
      <c r="J23" s="730">
        <v>0.0</v>
      </c>
      <c r="K23" s="730"/>
      <c r="L23" s="730"/>
      <c r="M23" s="730"/>
      <c r="N23" s="730"/>
      <c r="O23" s="730"/>
      <c r="P23" s="647"/>
      <c r="Q23" s="647"/>
      <c r="R23" s="647"/>
      <c r="S23" s="647"/>
      <c r="T23" s="647"/>
      <c r="U23" s="731" t="s">
        <v>2364</v>
      </c>
      <c r="V23" s="726"/>
      <c r="W23" s="726"/>
    </row>
    <row r="24" ht="15.0" customHeight="1">
      <c r="A24" s="574">
        <v>41212.0</v>
      </c>
      <c r="B24" s="575" t="s">
        <v>2365</v>
      </c>
      <c r="C24" s="575" t="s">
        <v>751</v>
      </c>
      <c r="D24" s="575"/>
      <c r="E24" s="577" t="s">
        <v>2333</v>
      </c>
      <c r="F24" s="574"/>
      <c r="G24" s="577" t="e">
        <v>#N/A</v>
      </c>
      <c r="H24" s="579"/>
      <c r="I24" s="579">
        <v>38.4</v>
      </c>
      <c r="J24" s="765">
        <v>0.0</v>
      </c>
      <c r="K24" s="765"/>
      <c r="L24" s="765"/>
      <c r="M24" s="765"/>
      <c r="N24" s="765"/>
      <c r="O24" s="765"/>
      <c r="P24" s="608"/>
      <c r="Q24" s="608"/>
      <c r="R24" s="608"/>
      <c r="S24" s="608"/>
      <c r="T24" s="608"/>
      <c r="U24" s="775" t="s">
        <v>2366</v>
      </c>
      <c r="V24" s="726"/>
      <c r="W24" s="726"/>
    </row>
    <row r="25" ht="15.0" customHeight="1">
      <c r="A25" s="574">
        <v>41543.0</v>
      </c>
      <c r="B25" s="575" t="s">
        <v>2367</v>
      </c>
      <c r="C25" s="575" t="s">
        <v>2368</v>
      </c>
      <c r="D25" s="575"/>
      <c r="E25" s="577" t="s">
        <v>2333</v>
      </c>
      <c r="F25" s="574"/>
      <c r="G25" s="577" t="s">
        <v>2333</v>
      </c>
      <c r="H25" s="579"/>
      <c r="I25" s="579"/>
      <c r="J25" s="765">
        <v>0.0</v>
      </c>
      <c r="K25" s="765"/>
      <c r="L25" s="765"/>
      <c r="M25" s="765"/>
      <c r="N25" s="765"/>
      <c r="O25" s="765"/>
      <c r="P25" s="575"/>
      <c r="Q25" s="575"/>
      <c r="R25" s="575"/>
      <c r="S25" s="575"/>
      <c r="T25" s="575"/>
      <c r="U25" s="766" t="s">
        <v>2369</v>
      </c>
      <c r="V25" s="726"/>
      <c r="W25" s="726"/>
    </row>
    <row r="26" ht="15.0" customHeight="1">
      <c r="A26" s="659">
        <v>40432.0</v>
      </c>
      <c r="B26" s="696" t="s">
        <v>2370</v>
      </c>
      <c r="C26" s="696" t="s">
        <v>2371</v>
      </c>
      <c r="D26" s="696"/>
      <c r="E26" s="697" t="s">
        <v>2333</v>
      </c>
      <c r="F26" s="659"/>
      <c r="G26" s="697" t="s">
        <v>2333</v>
      </c>
      <c r="H26" s="664">
        <v>23.0</v>
      </c>
      <c r="I26" s="664"/>
      <c r="J26" s="745">
        <v>0.0</v>
      </c>
      <c r="K26" s="745"/>
      <c r="L26" s="745"/>
      <c r="M26" s="745"/>
      <c r="N26" s="745"/>
      <c r="O26" s="745"/>
      <c r="P26" s="696"/>
      <c r="Q26" s="696"/>
      <c r="R26" s="696"/>
      <c r="S26" s="696"/>
      <c r="T26" s="696"/>
      <c r="U26" s="749" t="s">
        <v>2372</v>
      </c>
      <c r="V26" s="726"/>
      <c r="W26" s="726"/>
    </row>
    <row r="27" ht="15.0" customHeight="1">
      <c r="A27" s="574">
        <v>41385.0</v>
      </c>
      <c r="B27" s="575" t="s">
        <v>2373</v>
      </c>
      <c r="C27" s="575" t="s">
        <v>2374</v>
      </c>
      <c r="D27" s="575"/>
      <c r="E27" s="577" t="s">
        <v>2333</v>
      </c>
      <c r="F27" s="574"/>
      <c r="G27" s="577" t="s">
        <v>2333</v>
      </c>
      <c r="H27" s="579"/>
      <c r="I27" s="579"/>
      <c r="J27" s="765">
        <v>0.0</v>
      </c>
      <c r="K27" s="765"/>
      <c r="L27" s="765"/>
      <c r="M27" s="765"/>
      <c r="N27" s="765"/>
      <c r="O27" s="765"/>
      <c r="P27" s="575"/>
      <c r="Q27" s="575"/>
      <c r="R27" s="575"/>
      <c r="S27" s="575"/>
      <c r="T27" s="575"/>
      <c r="U27" s="766" t="s">
        <v>2375</v>
      </c>
      <c r="V27" s="726"/>
      <c r="W27" s="726"/>
    </row>
    <row r="28" ht="15.0" customHeight="1">
      <c r="A28" s="611">
        <v>42045.0</v>
      </c>
      <c r="B28" s="588" t="s">
        <v>2376</v>
      </c>
      <c r="C28" s="588" t="s">
        <v>2212</v>
      </c>
      <c r="D28" s="588">
        <v>39.0</v>
      </c>
      <c r="E28" s="589" t="e">
        <v>#N/A</v>
      </c>
      <c r="F28" s="585"/>
      <c r="G28" s="589" t="e">
        <v>#N/A</v>
      </c>
      <c r="H28" s="591"/>
      <c r="I28" s="658">
        <v>43.0</v>
      </c>
      <c r="J28" s="767"/>
      <c r="K28" s="767"/>
      <c r="L28" s="767"/>
      <c r="M28" s="767"/>
      <c r="N28" s="767"/>
      <c r="O28" s="767"/>
      <c r="P28" s="586"/>
      <c r="Q28" s="586"/>
      <c r="R28" s="586"/>
      <c r="S28" s="586"/>
      <c r="T28" s="586"/>
      <c r="U28" s="768"/>
      <c r="V28" s="726"/>
      <c r="W28" s="726"/>
    </row>
    <row r="29" ht="15.0" customHeight="1">
      <c r="A29" s="585">
        <v>41331.0</v>
      </c>
      <c r="B29" s="586" t="s">
        <v>2378</v>
      </c>
      <c r="C29" s="586" t="s">
        <v>2379</v>
      </c>
      <c r="D29" s="695"/>
      <c r="E29" s="589" t="s">
        <v>2333</v>
      </c>
      <c r="F29" s="585"/>
      <c r="G29" s="589" t="e">
        <v>#N/A</v>
      </c>
      <c r="H29" s="591"/>
      <c r="I29" s="591">
        <v>33.25</v>
      </c>
      <c r="J29" s="767">
        <v>0.0</v>
      </c>
      <c r="K29" s="767"/>
      <c r="L29" s="767"/>
      <c r="M29" s="767"/>
      <c r="N29" s="767"/>
      <c r="O29" s="767"/>
      <c r="P29" s="586"/>
      <c r="Q29" s="586"/>
      <c r="R29" s="586"/>
      <c r="S29" s="586"/>
      <c r="T29" s="586"/>
      <c r="U29" s="768" t="s">
        <v>2380</v>
      </c>
      <c r="V29" s="726"/>
      <c r="W29" s="726"/>
    </row>
    <row r="30" ht="15.0" customHeight="1">
      <c r="A30" s="659">
        <v>40406.0</v>
      </c>
      <c r="B30" s="776" t="s">
        <v>2381</v>
      </c>
      <c r="C30" s="696" t="s">
        <v>2382</v>
      </c>
      <c r="D30" s="769"/>
      <c r="E30" s="697" t="s">
        <v>2333</v>
      </c>
      <c r="F30" s="659"/>
      <c r="G30" s="697" t="s">
        <v>2333</v>
      </c>
      <c r="H30" s="664">
        <v>50.0</v>
      </c>
      <c r="I30" s="664"/>
      <c r="J30" s="777"/>
      <c r="K30" s="777"/>
      <c r="L30" s="778"/>
      <c r="M30" s="779">
        <v>-118.69451981950786</v>
      </c>
      <c r="N30" s="777">
        <v>0.0</v>
      </c>
      <c r="O30" s="780">
        <v>0.0</v>
      </c>
      <c r="P30" s="781"/>
      <c r="Q30" s="781"/>
      <c r="R30" s="781"/>
      <c r="S30" s="781"/>
      <c r="T30" s="781"/>
      <c r="U30" s="749"/>
      <c r="V30" s="781"/>
      <c r="W30" s="696"/>
    </row>
    <row r="31" ht="15.0" customHeight="1">
      <c r="A31" s="611">
        <v>42040.0</v>
      </c>
      <c r="B31" s="588" t="s">
        <v>2384</v>
      </c>
      <c r="C31" s="588" t="s">
        <v>2385</v>
      </c>
      <c r="D31" s="588">
        <v>45.0</v>
      </c>
      <c r="E31" s="589">
        <v>899.0</v>
      </c>
      <c r="F31" s="585"/>
      <c r="G31" s="589">
        <v>1619.0</v>
      </c>
      <c r="H31" s="591"/>
      <c r="I31" s="591">
        <v>81.0</v>
      </c>
      <c r="J31" s="782"/>
      <c r="K31" s="782"/>
      <c r="L31" s="783"/>
      <c r="M31" s="784">
        <v>-118.69451981953956</v>
      </c>
      <c r="N31" s="782">
        <v>0.0</v>
      </c>
      <c r="O31" s="783"/>
      <c r="P31" s="785"/>
      <c r="Q31" s="785"/>
      <c r="R31" s="785"/>
      <c r="S31" s="785"/>
      <c r="T31" s="785"/>
      <c r="U31" s="785" t="s">
        <v>2386</v>
      </c>
      <c r="V31" s="786"/>
      <c r="W31" s="588"/>
    </row>
    <row r="32" ht="15.0" customHeight="1">
      <c r="A32" s="787">
        <v>41296.0</v>
      </c>
      <c r="B32" s="788" t="s">
        <v>1393</v>
      </c>
      <c r="C32" s="788" t="s">
        <v>1394</v>
      </c>
      <c r="D32" s="789"/>
      <c r="E32" s="790" t="s">
        <v>2333</v>
      </c>
      <c r="F32" s="719"/>
      <c r="G32" s="791">
        <v>-0.3813073844463626</v>
      </c>
      <c r="H32" s="721"/>
      <c r="I32" s="792">
        <v>394.20000000000005</v>
      </c>
      <c r="J32" s="793">
        <v>19.71</v>
      </c>
      <c r="K32" s="793">
        <v>19.71</v>
      </c>
      <c r="L32" s="794">
        <v>43465.0</v>
      </c>
      <c r="M32" s="795">
        <v>0.38491497983257383</v>
      </c>
      <c r="N32" s="796">
        <v>19.71</v>
      </c>
      <c r="O32" s="797">
        <v>0.05</v>
      </c>
      <c r="P32" s="798"/>
      <c r="Q32" s="798"/>
      <c r="R32" s="798"/>
      <c r="S32" s="798">
        <v>43324.0</v>
      </c>
      <c r="T32" s="798" t="s">
        <v>1223</v>
      </c>
      <c r="U32" s="799" t="s">
        <v>1395</v>
      </c>
      <c r="V32" s="800"/>
      <c r="W32" s="801"/>
    </row>
    <row r="33" ht="15.0" customHeight="1">
      <c r="A33" s="787">
        <v>40424.0</v>
      </c>
      <c r="B33" s="802" t="s">
        <v>1476</v>
      </c>
      <c r="C33" s="802" t="s">
        <v>1177</v>
      </c>
      <c r="D33" s="803">
        <v>1500.0</v>
      </c>
      <c r="E33" s="791">
        <v>-0.20955281768072265</v>
      </c>
      <c r="F33" s="804">
        <v>1897.66</v>
      </c>
      <c r="G33" s="791">
        <v>0.36443383860088585</v>
      </c>
      <c r="H33" s="792">
        <v>200.0</v>
      </c>
      <c r="I33" s="792">
        <v>2589.231518159357</v>
      </c>
      <c r="J33" s="796">
        <v>88.83</v>
      </c>
      <c r="K33" s="796">
        <v>100.32</v>
      </c>
      <c r="L33" s="805">
        <v>43465.0</v>
      </c>
      <c r="M33" s="795">
        <v>0.3849030778475412</v>
      </c>
      <c r="N33" s="796">
        <v>95.89746363553175</v>
      </c>
      <c r="O33" s="806">
        <v>0.12</v>
      </c>
      <c r="P33" s="807"/>
      <c r="Q33" s="807"/>
      <c r="R33" s="807"/>
      <c r="S33" s="807">
        <v>43324.0</v>
      </c>
      <c r="T33" s="808" t="s">
        <v>1240</v>
      </c>
      <c r="U33" s="802" t="s">
        <v>2389</v>
      </c>
      <c r="V33" s="726"/>
      <c r="W33" s="726"/>
    </row>
    <row r="34" ht="15.0" customHeight="1">
      <c r="A34" s="611">
        <v>42688.0</v>
      </c>
      <c r="B34" s="588" t="s">
        <v>2125</v>
      </c>
      <c r="C34" s="588" t="s">
        <v>381</v>
      </c>
      <c r="D34" s="588">
        <v>150.0</v>
      </c>
      <c r="E34" s="589">
        <v>-0.1678686341950516</v>
      </c>
      <c r="F34" s="809">
        <v>180.26</v>
      </c>
      <c r="G34" s="589">
        <v>0.2957707982178983</v>
      </c>
      <c r="H34" s="591"/>
      <c r="I34" s="658">
        <v>233.57564408675833</v>
      </c>
      <c r="J34" s="810">
        <v>7.14</v>
      </c>
      <c r="K34" s="810">
        <v>8.19</v>
      </c>
      <c r="L34" s="811">
        <v>43465.0</v>
      </c>
      <c r="M34" s="784">
        <v>0.38490018772195755</v>
      </c>
      <c r="N34" s="782">
        <v>7.7858548028919445</v>
      </c>
      <c r="O34" s="812">
        <v>0.15</v>
      </c>
      <c r="P34" s="624"/>
      <c r="Q34" s="624"/>
      <c r="R34" s="624"/>
      <c r="S34" s="624">
        <v>43324.0</v>
      </c>
      <c r="T34" s="786" t="s">
        <v>1240</v>
      </c>
      <c r="U34" s="588" t="s">
        <v>2390</v>
      </c>
      <c r="V34" s="726"/>
      <c r="W34" s="726"/>
    </row>
    <row r="35" ht="15.0" customHeight="1">
      <c r="A35" s="703">
        <v>41655.0</v>
      </c>
      <c r="B35" s="656" t="s">
        <v>1811</v>
      </c>
      <c r="C35" s="656" t="s">
        <v>1402</v>
      </c>
      <c r="D35" s="679">
        <v>83.0</v>
      </c>
      <c r="E35" s="680">
        <v>-0.1727299910296023</v>
      </c>
      <c r="F35" s="813">
        <v>100.33</v>
      </c>
      <c r="G35" s="680">
        <v>0.12702573373074277</v>
      </c>
      <c r="H35" s="682"/>
      <c r="I35" s="682">
        <v>113.07449186520543</v>
      </c>
      <c r="J35" s="814">
        <v>4.49</v>
      </c>
      <c r="K35" s="814">
        <v>4.85</v>
      </c>
      <c r="L35" s="815">
        <v>43465.0</v>
      </c>
      <c r="M35" s="619">
        <v>0.3848967748604817</v>
      </c>
      <c r="N35" s="620">
        <v>4.711437161050227</v>
      </c>
      <c r="O35" s="816">
        <v>0.09</v>
      </c>
      <c r="P35" s="618"/>
      <c r="Q35" s="618"/>
      <c r="R35" s="618"/>
      <c r="S35" s="618">
        <v>43324.0</v>
      </c>
      <c r="T35" s="817" t="s">
        <v>1223</v>
      </c>
      <c r="U35" s="653" t="s">
        <v>2392</v>
      </c>
      <c r="V35" s="726"/>
      <c r="W35" s="726"/>
    </row>
    <row r="36" ht="15.0" customHeight="1">
      <c r="A36" s="611">
        <v>42215.0</v>
      </c>
      <c r="B36" s="588" t="s">
        <v>1088</v>
      </c>
      <c r="C36" s="588" t="s">
        <v>1088</v>
      </c>
      <c r="D36" s="588">
        <v>2600.0</v>
      </c>
      <c r="E36" s="589">
        <v>-0.04533554619657998</v>
      </c>
      <c r="F36" s="809">
        <v>2723.47</v>
      </c>
      <c r="G36" s="589">
        <v>0.9072640283968416</v>
      </c>
      <c r="H36" s="591"/>
      <c r="I36" s="591">
        <v>5194.376363417946</v>
      </c>
      <c r="J36" s="810">
        <v>196.74</v>
      </c>
      <c r="K36" s="810">
        <v>214.68</v>
      </c>
      <c r="L36" s="811">
        <v>43465.0</v>
      </c>
      <c r="M36" s="784">
        <v>0.38489105146500274</v>
      </c>
      <c r="N36" s="782">
        <v>207.77505453671785</v>
      </c>
      <c r="O36" s="812">
        <v>0.1</v>
      </c>
      <c r="P36" s="624"/>
      <c r="Q36" s="624"/>
      <c r="R36" s="624"/>
      <c r="S36" s="624">
        <v>43324.0</v>
      </c>
      <c r="T36" s="786" t="s">
        <v>1223</v>
      </c>
      <c r="U36" s="598" t="s">
        <v>2393</v>
      </c>
      <c r="V36" s="726"/>
      <c r="W36" s="726"/>
    </row>
    <row r="37" ht="15.0" customHeight="1">
      <c r="A37" s="611">
        <v>42783.0</v>
      </c>
      <c r="B37" s="588" t="s">
        <v>2394</v>
      </c>
      <c r="C37" s="588" t="s">
        <v>2395</v>
      </c>
      <c r="D37" s="598">
        <v>35.0</v>
      </c>
      <c r="E37" s="589">
        <v>-0.38757655293088367</v>
      </c>
      <c r="F37" s="809">
        <v>57.15</v>
      </c>
      <c r="G37" s="589">
        <v>-0.6905056019989155</v>
      </c>
      <c r="H37" s="591"/>
      <c r="I37" s="591">
        <v>17.687604845761975</v>
      </c>
      <c r="J37" s="810">
        <v>0.35</v>
      </c>
      <c r="K37" s="810">
        <v>0.42</v>
      </c>
      <c r="L37" s="811">
        <v>43465.0</v>
      </c>
      <c r="M37" s="784">
        <v>0.3848873505517537</v>
      </c>
      <c r="N37" s="782">
        <v>0.3930578854613772</v>
      </c>
      <c r="O37" s="812">
        <v>0.3</v>
      </c>
      <c r="P37" s="624"/>
      <c r="Q37" s="624"/>
      <c r="R37" s="624"/>
      <c r="S37" s="624">
        <v>43324.0</v>
      </c>
      <c r="T37" s="786" t="s">
        <v>1608</v>
      </c>
      <c r="U37" s="586"/>
      <c r="V37" s="726"/>
      <c r="W37" s="726"/>
    </row>
    <row r="38" ht="15.0" customHeight="1">
      <c r="A38" s="585">
        <v>40472.0</v>
      </c>
      <c r="B38" s="586" t="s">
        <v>2396</v>
      </c>
      <c r="C38" s="588" t="s">
        <v>1035</v>
      </c>
      <c r="D38" s="598">
        <v>1100.0</v>
      </c>
      <c r="E38" s="589">
        <v>-0.12176349889422045</v>
      </c>
      <c r="F38" s="809">
        <v>1252.51</v>
      </c>
      <c r="G38" s="589">
        <v>-0.021947981512811854</v>
      </c>
      <c r="H38" s="591">
        <v>813.6</v>
      </c>
      <c r="I38" s="658">
        <v>1225.019933675388</v>
      </c>
      <c r="J38" s="810">
        <v>40.69</v>
      </c>
      <c r="K38" s="810">
        <v>48.3</v>
      </c>
      <c r="L38" s="811">
        <v>43465.0</v>
      </c>
      <c r="M38" s="784">
        <v>0.3848740269850193</v>
      </c>
      <c r="N38" s="782">
        <v>45.371108654644004</v>
      </c>
      <c r="O38" s="812">
        <v>0.12</v>
      </c>
      <c r="P38" s="624"/>
      <c r="Q38" s="624"/>
      <c r="R38" s="624"/>
      <c r="S38" s="624">
        <v>43324.0</v>
      </c>
      <c r="T38" s="786" t="s">
        <v>1240</v>
      </c>
      <c r="U38" s="586" t="s">
        <v>2397</v>
      </c>
      <c r="V38" s="726"/>
      <c r="W38" s="726"/>
    </row>
    <row r="39" ht="15.0" customHeight="1">
      <c r="A39" s="611">
        <v>43288.0</v>
      </c>
      <c r="B39" s="588" t="s">
        <v>2096</v>
      </c>
      <c r="C39" s="588" t="s">
        <v>1387</v>
      </c>
      <c r="D39" s="588"/>
      <c r="E39" s="589" t="s">
        <v>2333</v>
      </c>
      <c r="F39" s="809">
        <v>45.19</v>
      </c>
      <c r="G39" s="589">
        <v>-0.3420486468188362</v>
      </c>
      <c r="H39" s="591"/>
      <c r="I39" s="658">
        <v>29.732821650256792</v>
      </c>
      <c r="J39" s="810">
        <v>0.44</v>
      </c>
      <c r="K39" s="810">
        <v>0.69</v>
      </c>
      <c r="L39" s="811">
        <v>43465.0</v>
      </c>
      <c r="M39" s="784">
        <v>0.38137426797945645</v>
      </c>
      <c r="N39" s="782">
        <v>0.5946564330051358</v>
      </c>
      <c r="O39" s="812">
        <v>0.35</v>
      </c>
      <c r="P39" s="624"/>
      <c r="Q39" s="624"/>
      <c r="R39" s="624"/>
      <c r="S39" s="624">
        <v>43325.0</v>
      </c>
      <c r="T39" s="786" t="s">
        <v>1608</v>
      </c>
      <c r="U39" s="598" t="s">
        <v>2099</v>
      </c>
      <c r="V39" s="726"/>
      <c r="W39" s="726"/>
    </row>
    <row r="40" ht="15.0" customHeight="1">
      <c r="A40" s="585">
        <v>40574.0</v>
      </c>
      <c r="B40" s="586" t="s">
        <v>2398</v>
      </c>
      <c r="C40" s="586" t="s">
        <v>1112</v>
      </c>
      <c r="D40" s="695"/>
      <c r="E40" s="589" t="s">
        <v>2333</v>
      </c>
      <c r="F40" s="809"/>
      <c r="G40" s="589"/>
      <c r="H40" s="591"/>
      <c r="I40" s="682">
        <v>84.375</v>
      </c>
      <c r="J40" s="782"/>
      <c r="K40" s="782"/>
      <c r="L40" s="783"/>
      <c r="M40" s="784">
        <v>-118.77089257917936</v>
      </c>
      <c r="N40" s="782">
        <v>0.0</v>
      </c>
      <c r="O40" s="783">
        <v>3.0</v>
      </c>
      <c r="P40" s="818"/>
      <c r="Q40" s="818"/>
      <c r="R40" s="818"/>
      <c r="S40" s="818"/>
      <c r="T40" s="818"/>
      <c r="U40" s="586" t="s">
        <v>2399</v>
      </c>
      <c r="V40" s="744"/>
      <c r="W40" s="744"/>
    </row>
    <row r="41" ht="15.0" customHeight="1">
      <c r="A41" s="703">
        <v>42074.0</v>
      </c>
      <c r="B41" s="819" t="s">
        <v>1454</v>
      </c>
      <c r="C41" s="819" t="s">
        <v>1455</v>
      </c>
      <c r="D41" s="819">
        <v>15.0</v>
      </c>
      <c r="E41" s="680">
        <v>-0.2732558139534884</v>
      </c>
      <c r="F41" s="813">
        <v>20.64</v>
      </c>
      <c r="G41" s="680">
        <v>1.0622568348854147</v>
      </c>
      <c r="H41" s="682"/>
      <c r="I41" s="682">
        <v>42.56498107203496</v>
      </c>
      <c r="J41" s="820">
        <v>3.46</v>
      </c>
      <c r="K41" s="820">
        <v>3.58</v>
      </c>
      <c r="L41" s="821">
        <v>43465.0</v>
      </c>
      <c r="M41" s="619">
        <v>0.31125823338406416</v>
      </c>
      <c r="N41" s="620">
        <v>3.5426490119939125</v>
      </c>
      <c r="O41" s="822">
        <v>-0.03</v>
      </c>
      <c r="P41" s="821"/>
      <c r="Q41" s="821"/>
      <c r="R41" s="821"/>
      <c r="S41" s="821">
        <v>43351.0</v>
      </c>
      <c r="T41" s="823" t="s">
        <v>1223</v>
      </c>
      <c r="U41" s="819" t="s">
        <v>2400</v>
      </c>
      <c r="V41" s="726"/>
      <c r="W41" s="726"/>
    </row>
    <row r="42" ht="15.0" customHeight="1">
      <c r="A42" s="787">
        <v>42444.0</v>
      </c>
      <c r="B42" s="788" t="s">
        <v>1353</v>
      </c>
      <c r="C42" s="788" t="s">
        <v>1053</v>
      </c>
      <c r="D42" s="819">
        <v>1200.0</v>
      </c>
      <c r="E42" s="791">
        <v>-0.3852679463338917</v>
      </c>
      <c r="F42" s="804">
        <v>1952.07</v>
      </c>
      <c r="G42" s="791">
        <v>-0.4732920385418573</v>
      </c>
      <c r="H42" s="721"/>
      <c r="I42" s="792">
        <v>1028.1708103235965</v>
      </c>
      <c r="J42" s="796">
        <v>17.17</v>
      </c>
      <c r="K42" s="796">
        <v>25.37</v>
      </c>
      <c r="L42" s="805">
        <v>43465.0</v>
      </c>
      <c r="M42" s="795">
        <v>0.3084610891996481</v>
      </c>
      <c r="N42" s="796">
        <v>22.840619068562887</v>
      </c>
      <c r="O42" s="806">
        <v>0.3</v>
      </c>
      <c r="P42" s="807"/>
      <c r="Q42" s="807"/>
      <c r="R42" s="807"/>
      <c r="S42" s="807">
        <v>43331.0</v>
      </c>
      <c r="T42" s="800" t="s">
        <v>1240</v>
      </c>
      <c r="U42" s="788" t="s">
        <v>2401</v>
      </c>
      <c r="V42" s="824" t="s">
        <v>2402</v>
      </c>
      <c r="W42" s="726"/>
    </row>
    <row r="43" ht="15.0" customHeight="1">
      <c r="A43" s="825">
        <v>41587.0</v>
      </c>
      <c r="B43" s="826" t="s">
        <v>2403</v>
      </c>
      <c r="C43" s="826" t="s">
        <v>1357</v>
      </c>
      <c r="D43" s="827">
        <v>36.5</v>
      </c>
      <c r="E43" s="828" t="e">
        <v>#N/A</v>
      </c>
      <c r="F43" s="829" t="e">
        <v>#N/A</v>
      </c>
      <c r="G43" s="828" t="e">
        <v>#N/A</v>
      </c>
      <c r="H43" s="830"/>
      <c r="I43" s="831">
        <v>62.34000000000001</v>
      </c>
      <c r="J43" s="832"/>
      <c r="K43" s="832"/>
      <c r="L43" s="833"/>
      <c r="M43" s="829">
        <v>-118.77381962119483</v>
      </c>
      <c r="N43" s="832">
        <v>0.0</v>
      </c>
      <c r="O43" s="833"/>
      <c r="P43" s="834"/>
      <c r="Q43" s="834"/>
      <c r="R43" s="834"/>
      <c r="S43" s="834"/>
      <c r="T43" s="834"/>
      <c r="U43" s="826" t="s">
        <v>2405</v>
      </c>
      <c r="V43" s="726"/>
      <c r="W43" s="726"/>
    </row>
    <row r="44" ht="15.0" customHeight="1">
      <c r="A44" s="787">
        <v>43095.0</v>
      </c>
      <c r="B44" s="788" t="s">
        <v>2406</v>
      </c>
      <c r="C44" s="788" t="s">
        <v>2407</v>
      </c>
      <c r="D44" s="789"/>
      <c r="E44" s="790" t="s">
        <v>2333</v>
      </c>
      <c r="F44" s="795" t="e">
        <v>#N/A</v>
      </c>
      <c r="G44" s="806" t="e">
        <v>#N/A</v>
      </c>
      <c r="H44" s="721"/>
      <c r="I44" s="835">
        <v>32.11606606606607</v>
      </c>
      <c r="J44" s="836"/>
      <c r="K44" s="836"/>
      <c r="L44" s="837"/>
      <c r="M44" s="795">
        <v>-118.77382024381659</v>
      </c>
      <c r="N44" s="836">
        <v>0.0</v>
      </c>
      <c r="O44" s="837"/>
      <c r="P44" s="723"/>
      <c r="Q44" s="723"/>
      <c r="R44" s="723"/>
      <c r="S44" s="723"/>
      <c r="T44" s="723"/>
      <c r="U44" s="788" t="s">
        <v>2408</v>
      </c>
      <c r="V44" s="726"/>
      <c r="W44" s="726"/>
    </row>
    <row r="45" ht="15.0" customHeight="1">
      <c r="A45" s="838">
        <v>40564.0</v>
      </c>
      <c r="B45" s="839" t="s">
        <v>2409</v>
      </c>
      <c r="C45" s="839" t="s">
        <v>442</v>
      </c>
      <c r="D45" s="840">
        <v>125.0</v>
      </c>
      <c r="E45" s="841" t="e">
        <v>#N/A</v>
      </c>
      <c r="F45" s="842" t="e">
        <v>#N/A</v>
      </c>
      <c r="G45" s="841" t="e">
        <v>#N/A</v>
      </c>
      <c r="H45" s="843"/>
      <c r="I45" s="844">
        <v>123.9433033033033</v>
      </c>
      <c r="J45" s="845"/>
      <c r="K45" s="845"/>
      <c r="L45" s="846"/>
      <c r="M45" s="842">
        <v>-118.77382024388002</v>
      </c>
      <c r="N45" s="845">
        <v>0.0</v>
      </c>
      <c r="O45" s="846"/>
      <c r="P45" s="847"/>
      <c r="Q45" s="847"/>
      <c r="R45" s="847"/>
      <c r="S45" s="847"/>
      <c r="T45" s="847"/>
      <c r="U45" s="839" t="s">
        <v>2410</v>
      </c>
      <c r="V45" s="726"/>
      <c r="W45" s="726"/>
    </row>
    <row r="46" ht="15.0" customHeight="1">
      <c r="A46" s="838">
        <v>41471.0</v>
      </c>
      <c r="B46" s="839" t="s">
        <v>2411</v>
      </c>
      <c r="C46" s="839" t="s">
        <v>2412</v>
      </c>
      <c r="D46" s="848">
        <v>62.0</v>
      </c>
      <c r="E46" s="841" t="e">
        <v>#N/A</v>
      </c>
      <c r="F46" s="842" t="e">
        <v>#N/A</v>
      </c>
      <c r="G46" s="841" t="e">
        <v>#N/A</v>
      </c>
      <c r="H46" s="843"/>
      <c r="I46" s="844">
        <v>99.6</v>
      </c>
      <c r="J46" s="845"/>
      <c r="K46" s="845"/>
      <c r="L46" s="846"/>
      <c r="M46" s="842">
        <v>-118.77382024388002</v>
      </c>
      <c r="N46" s="845">
        <v>0.0</v>
      </c>
      <c r="O46" s="846"/>
      <c r="P46" s="847"/>
      <c r="Q46" s="847"/>
      <c r="R46" s="847"/>
      <c r="S46" s="847"/>
      <c r="T46" s="847"/>
      <c r="U46" s="839" t="s">
        <v>2414</v>
      </c>
      <c r="V46" s="726"/>
      <c r="W46" s="726"/>
    </row>
    <row r="47" ht="15.0" customHeight="1">
      <c r="A47" s="838">
        <v>42136.0</v>
      </c>
      <c r="B47" s="839" t="s">
        <v>2415</v>
      </c>
      <c r="C47" s="839" t="s">
        <v>371</v>
      </c>
      <c r="D47" s="848">
        <v>40.0</v>
      </c>
      <c r="E47" s="841" t="e">
        <v>#N/A</v>
      </c>
      <c r="F47" s="842" t="e">
        <v>#N/A</v>
      </c>
      <c r="G47" s="841" t="e">
        <v>#N/A</v>
      </c>
      <c r="H47" s="843"/>
      <c r="I47" s="844">
        <v>62.25000000000001</v>
      </c>
      <c r="J47" s="845"/>
      <c r="K47" s="845"/>
      <c r="L47" s="846"/>
      <c r="M47" s="842">
        <v>-118.77382024391171</v>
      </c>
      <c r="N47" s="845">
        <v>0.0</v>
      </c>
      <c r="O47" s="846"/>
      <c r="P47" s="847"/>
      <c r="Q47" s="847"/>
      <c r="R47" s="847"/>
      <c r="S47" s="847"/>
      <c r="T47" s="847"/>
      <c r="U47" s="839" t="s">
        <v>2416</v>
      </c>
      <c r="V47" s="726"/>
      <c r="W47" s="726"/>
    </row>
    <row r="48" ht="15.0" customHeight="1">
      <c r="A48" s="838">
        <v>42042.0</v>
      </c>
      <c r="B48" s="839" t="s">
        <v>2417</v>
      </c>
      <c r="C48" s="839" t="s">
        <v>2418</v>
      </c>
      <c r="D48" s="839"/>
      <c r="E48" s="849" t="s">
        <v>2333</v>
      </c>
      <c r="F48" s="842" t="e">
        <v>#N/A</v>
      </c>
      <c r="G48" s="841" t="e">
        <v>#N/A</v>
      </c>
      <c r="H48" s="843"/>
      <c r="I48" s="844">
        <v>100.86306306306307</v>
      </c>
      <c r="J48" s="845"/>
      <c r="K48" s="845"/>
      <c r="L48" s="846"/>
      <c r="M48" s="842">
        <v>-118.77382024394343</v>
      </c>
      <c r="N48" s="845">
        <v>0.0</v>
      </c>
      <c r="O48" s="846"/>
      <c r="P48" s="847"/>
      <c r="Q48" s="847"/>
      <c r="R48" s="847"/>
      <c r="S48" s="847"/>
      <c r="T48" s="847"/>
      <c r="U48" s="839" t="s">
        <v>2419</v>
      </c>
      <c r="V48" s="726"/>
      <c r="W48" s="726"/>
    </row>
    <row r="49" ht="15.0" customHeight="1">
      <c r="A49" s="838">
        <v>41969.0</v>
      </c>
      <c r="B49" s="839" t="s">
        <v>2420</v>
      </c>
      <c r="C49" s="839" t="s">
        <v>2421</v>
      </c>
      <c r="D49" s="848">
        <v>57.0</v>
      </c>
      <c r="E49" s="841" t="e">
        <v>#N/A</v>
      </c>
      <c r="F49" s="842" t="e">
        <v>#N/A</v>
      </c>
      <c r="G49" s="841" t="e">
        <v>#N/A</v>
      </c>
      <c r="H49" s="843"/>
      <c r="I49" s="844">
        <v>61.286786786786784</v>
      </c>
      <c r="J49" s="845"/>
      <c r="K49" s="845"/>
      <c r="L49" s="846"/>
      <c r="M49" s="842">
        <v>-118.77382024394343</v>
      </c>
      <c r="N49" s="845">
        <v>0.0</v>
      </c>
      <c r="O49" s="846"/>
      <c r="P49" s="847"/>
      <c r="Q49" s="847"/>
      <c r="R49" s="847"/>
      <c r="S49" s="847"/>
      <c r="T49" s="847"/>
      <c r="U49" s="839"/>
      <c r="V49" s="726"/>
      <c r="W49" s="726"/>
    </row>
    <row r="50" ht="15.0" customHeight="1">
      <c r="A50" s="838">
        <v>41953.0</v>
      </c>
      <c r="B50" s="839" t="s">
        <v>2143</v>
      </c>
      <c r="C50" s="839" t="s">
        <v>2144</v>
      </c>
      <c r="D50" s="848">
        <v>79.0</v>
      </c>
      <c r="E50" s="841" t="e">
        <v>#N/A</v>
      </c>
      <c r="F50" s="842" t="e">
        <v>#N/A</v>
      </c>
      <c r="G50" s="841" t="e">
        <v>#N/A</v>
      </c>
      <c r="H50" s="843"/>
      <c r="I50" s="844">
        <v>107.08033033033031</v>
      </c>
      <c r="J50" s="845"/>
      <c r="K50" s="845"/>
      <c r="L50" s="846"/>
      <c r="M50" s="842">
        <v>-118.77382024394343</v>
      </c>
      <c r="N50" s="845">
        <v>0.0</v>
      </c>
      <c r="O50" s="846"/>
      <c r="P50" s="847"/>
      <c r="Q50" s="847"/>
      <c r="R50" s="847"/>
      <c r="S50" s="847"/>
      <c r="T50" s="847"/>
      <c r="U50" s="839" t="s">
        <v>2423</v>
      </c>
      <c r="V50" s="726"/>
      <c r="W50" s="726"/>
    </row>
    <row r="51" ht="15.0" customHeight="1">
      <c r="A51" s="850">
        <v>41183.0</v>
      </c>
      <c r="B51" s="851" t="s">
        <v>2424</v>
      </c>
      <c r="C51" s="852" t="s">
        <v>2426</v>
      </c>
      <c r="D51" s="853"/>
      <c r="E51" s="854" t="s">
        <v>2333</v>
      </c>
      <c r="F51" s="855">
        <v>18.0</v>
      </c>
      <c r="G51" s="856">
        <v>-0.07777777777777795</v>
      </c>
      <c r="H51" s="857">
        <v>34.34451048558932</v>
      </c>
      <c r="I51" s="857">
        <v>16.599999999999998</v>
      </c>
      <c r="J51" s="858"/>
      <c r="K51" s="858"/>
      <c r="L51" s="859"/>
      <c r="M51" s="860">
        <v>-118.77382747298326</v>
      </c>
      <c r="N51" s="858">
        <v>0.0</v>
      </c>
      <c r="O51" s="859"/>
      <c r="P51" s="861"/>
      <c r="Q51" s="861"/>
      <c r="R51" s="861"/>
      <c r="S51" s="861"/>
      <c r="T51" s="861"/>
      <c r="U51" s="851" t="s">
        <v>2432</v>
      </c>
      <c r="V51" s="726"/>
      <c r="W51" s="726"/>
    </row>
    <row r="52" ht="15.0" customHeight="1">
      <c r="A52" s="838">
        <v>41240.0</v>
      </c>
      <c r="B52" s="839" t="s">
        <v>2433</v>
      </c>
      <c r="C52" s="839" t="s">
        <v>2434</v>
      </c>
      <c r="D52" s="848">
        <v>180.0</v>
      </c>
      <c r="E52" s="862">
        <v>93.73684210526316</v>
      </c>
      <c r="F52" s="863">
        <v>1.9</v>
      </c>
      <c r="G52" s="862">
        <v>140.15852694800063</v>
      </c>
      <c r="H52" s="843"/>
      <c r="I52" s="844">
        <v>268.2012012012012</v>
      </c>
      <c r="J52" s="845"/>
      <c r="K52" s="845"/>
      <c r="L52" s="846"/>
      <c r="M52" s="842">
        <v>-118.77382747298326</v>
      </c>
      <c r="N52" s="845">
        <v>0.0</v>
      </c>
      <c r="O52" s="846"/>
      <c r="P52" s="847"/>
      <c r="Q52" s="847"/>
      <c r="R52" s="847"/>
      <c r="S52" s="847"/>
      <c r="T52" s="847"/>
      <c r="U52" s="839" t="s">
        <v>2436</v>
      </c>
      <c r="V52" s="726"/>
      <c r="W52" s="726"/>
    </row>
    <row r="53" ht="15.0" customHeight="1">
      <c r="A53" s="864">
        <v>40517.0</v>
      </c>
      <c r="B53" s="865" t="s">
        <v>2438</v>
      </c>
      <c r="C53" s="865" t="s">
        <v>2439</v>
      </c>
      <c r="D53" s="866"/>
      <c r="E53" s="867" t="s">
        <v>2333</v>
      </c>
      <c r="F53" s="868" t="e">
        <v>#N/A</v>
      </c>
      <c r="G53" s="867" t="s">
        <v>2333</v>
      </c>
      <c r="H53" s="869"/>
      <c r="I53" s="869"/>
      <c r="J53" s="870"/>
      <c r="K53" s="870"/>
      <c r="L53" s="871"/>
      <c r="M53" s="868">
        <v>-118.77383348725266</v>
      </c>
      <c r="N53" s="870">
        <v>0.0</v>
      </c>
      <c r="O53" s="871"/>
      <c r="P53" s="872"/>
      <c r="Q53" s="872"/>
      <c r="R53" s="872"/>
      <c r="S53" s="872"/>
      <c r="T53" s="872"/>
      <c r="U53" s="865" t="s">
        <v>2441</v>
      </c>
      <c r="V53" s="726"/>
      <c r="W53" s="726"/>
    </row>
    <row r="54" ht="15.0" customHeight="1">
      <c r="A54" s="787">
        <v>41958.0</v>
      </c>
      <c r="B54" s="788" t="s">
        <v>2442</v>
      </c>
      <c r="C54" s="788" t="s">
        <v>2443</v>
      </c>
      <c r="D54" s="873"/>
      <c r="E54" s="790" t="s">
        <v>2333</v>
      </c>
      <c r="F54" s="874">
        <v>113.0</v>
      </c>
      <c r="G54" s="791"/>
      <c r="H54" s="721"/>
      <c r="I54" s="792">
        <v>68.42363003003003</v>
      </c>
      <c r="J54" s="836"/>
      <c r="K54" s="836"/>
      <c r="L54" s="837"/>
      <c r="M54" s="795">
        <v>-118.77383424904869</v>
      </c>
      <c r="N54" s="836">
        <v>0.0</v>
      </c>
      <c r="O54" s="837"/>
      <c r="P54" s="723"/>
      <c r="Q54" s="723"/>
      <c r="R54" s="723"/>
      <c r="S54" s="723"/>
      <c r="T54" s="723"/>
      <c r="U54" s="723"/>
      <c r="V54" s="824" t="s">
        <v>2445</v>
      </c>
      <c r="W54" s="726"/>
    </row>
    <row r="55" ht="15.0" customHeight="1">
      <c r="A55" s="850">
        <v>40984.0</v>
      </c>
      <c r="B55" s="851" t="s">
        <v>2446</v>
      </c>
      <c r="C55" s="851" t="s">
        <v>368</v>
      </c>
      <c r="D55" s="853"/>
      <c r="E55" s="854" t="s">
        <v>2333</v>
      </c>
      <c r="F55" s="875">
        <v>2.84</v>
      </c>
      <c r="G55" s="856"/>
      <c r="H55" s="876"/>
      <c r="I55" s="857">
        <v>37.5</v>
      </c>
      <c r="J55" s="858"/>
      <c r="K55" s="858"/>
      <c r="L55" s="859"/>
      <c r="M55" s="860">
        <v>-118.77383506040715</v>
      </c>
      <c r="N55" s="858">
        <v>0.0</v>
      </c>
      <c r="O55" s="859"/>
      <c r="P55" s="861"/>
      <c r="Q55" s="861"/>
      <c r="R55" s="861"/>
      <c r="S55" s="861"/>
      <c r="T55" s="861"/>
      <c r="U55" s="851" t="s">
        <v>2448</v>
      </c>
      <c r="V55" s="726"/>
      <c r="W55" s="726"/>
    </row>
    <row r="56" ht="15.0" customHeight="1">
      <c r="A56" s="787">
        <v>40936.0</v>
      </c>
      <c r="B56" s="788" t="s">
        <v>2449</v>
      </c>
      <c r="C56" s="788" t="s">
        <v>2450</v>
      </c>
      <c r="D56" s="873"/>
      <c r="E56" s="790" t="s">
        <v>2333</v>
      </c>
      <c r="F56" s="874">
        <v>75.59</v>
      </c>
      <c r="G56" s="877"/>
      <c r="H56" s="721"/>
      <c r="I56" s="792">
        <v>96.0</v>
      </c>
      <c r="J56" s="836"/>
      <c r="K56" s="836"/>
      <c r="L56" s="837"/>
      <c r="M56" s="795">
        <v>-118.77383728992264</v>
      </c>
      <c r="N56" s="836">
        <v>0.0</v>
      </c>
      <c r="O56" s="837"/>
      <c r="P56" s="723"/>
      <c r="Q56" s="723"/>
      <c r="R56" s="723"/>
      <c r="S56" s="723"/>
      <c r="T56" s="723"/>
      <c r="U56" s="788" t="s">
        <v>2451</v>
      </c>
      <c r="V56" s="824" t="s">
        <v>2445</v>
      </c>
      <c r="W56" s="726"/>
    </row>
    <row r="57" ht="15.0" customHeight="1">
      <c r="A57" s="787">
        <v>42127.0</v>
      </c>
      <c r="B57" s="788" t="s">
        <v>2452</v>
      </c>
      <c r="C57" s="788" t="s">
        <v>2453</v>
      </c>
      <c r="D57" s="788"/>
      <c r="E57" s="790" t="s">
        <v>2333</v>
      </c>
      <c r="F57" s="804">
        <v>5.65</v>
      </c>
      <c r="G57" s="791">
        <v>6.522123893805309</v>
      </c>
      <c r="H57" s="721"/>
      <c r="I57" s="792">
        <v>42.5</v>
      </c>
      <c r="J57" s="836"/>
      <c r="K57" s="836"/>
      <c r="L57" s="837"/>
      <c r="M57" s="795">
        <v>-118.77384106272197</v>
      </c>
      <c r="N57" s="836">
        <v>0.0</v>
      </c>
      <c r="O57" s="837"/>
      <c r="P57" s="723"/>
      <c r="Q57" s="723"/>
      <c r="R57" s="723"/>
      <c r="S57" s="723"/>
      <c r="T57" s="723"/>
      <c r="U57" s="788" t="s">
        <v>2454</v>
      </c>
      <c r="V57" s="726"/>
      <c r="W57" s="726"/>
    </row>
    <row r="58" ht="15.0" customHeight="1">
      <c r="A58" s="574">
        <v>40632.0</v>
      </c>
      <c r="B58" s="575" t="s">
        <v>2455</v>
      </c>
      <c r="C58" s="575" t="s">
        <v>2456</v>
      </c>
      <c r="D58" s="627"/>
      <c r="E58" s="577" t="s">
        <v>2333</v>
      </c>
      <c r="F58" s="878">
        <v>14.85</v>
      </c>
      <c r="G58" s="577">
        <v>1.3380471380471382</v>
      </c>
      <c r="H58" s="579"/>
      <c r="I58" s="579">
        <v>34.72</v>
      </c>
      <c r="J58" s="879"/>
      <c r="K58" s="879"/>
      <c r="L58" s="880"/>
      <c r="M58" s="881">
        <v>-118.84333891210045</v>
      </c>
      <c r="N58" s="879">
        <v>0.0</v>
      </c>
      <c r="O58" s="880"/>
      <c r="P58" s="883"/>
      <c r="Q58" s="883"/>
      <c r="R58" s="883"/>
      <c r="S58" s="883"/>
      <c r="T58" s="883"/>
      <c r="U58" s="575" t="s">
        <v>2458</v>
      </c>
      <c r="V58" s="726"/>
      <c r="W58" s="726"/>
    </row>
    <row r="59" ht="15.0" customHeight="1">
      <c r="A59" s="585">
        <v>40832.0</v>
      </c>
      <c r="B59" s="586" t="s">
        <v>2459</v>
      </c>
      <c r="C59" s="586" t="s">
        <v>1118</v>
      </c>
      <c r="D59" s="586"/>
      <c r="E59" s="589" t="s">
        <v>2333</v>
      </c>
      <c r="F59" s="809">
        <v>14.36</v>
      </c>
      <c r="G59" s="589">
        <v>1.0891364902506964</v>
      </c>
      <c r="H59" s="591"/>
      <c r="I59" s="658">
        <v>30.0</v>
      </c>
      <c r="J59" s="782"/>
      <c r="K59" s="782"/>
      <c r="L59" s="783"/>
      <c r="M59" s="784">
        <v>-118.84334444622019</v>
      </c>
      <c r="N59" s="782">
        <v>0.0</v>
      </c>
      <c r="O59" s="783"/>
      <c r="P59" s="786"/>
      <c r="Q59" s="786"/>
      <c r="R59" s="786"/>
      <c r="S59" s="786"/>
      <c r="T59" s="786"/>
      <c r="U59" s="588" t="s">
        <v>2460</v>
      </c>
      <c r="V59" s="726"/>
      <c r="W59" s="726"/>
    </row>
    <row r="60" ht="15.0" customHeight="1">
      <c r="A60" s="585">
        <v>41081.0</v>
      </c>
      <c r="B60" s="586" t="s">
        <v>2461</v>
      </c>
      <c r="C60" s="587">
        <v>3333.0</v>
      </c>
      <c r="D60" s="586"/>
      <c r="E60" s="589" t="s">
        <v>2333</v>
      </c>
      <c r="F60" s="590">
        <v>23.95</v>
      </c>
      <c r="G60" s="589" t="s">
        <v>2333</v>
      </c>
      <c r="H60" s="591"/>
      <c r="I60" s="602">
        <v>0.0</v>
      </c>
      <c r="J60" s="586">
        <v>0.0</v>
      </c>
      <c r="K60" s="586"/>
      <c r="L60" s="586"/>
      <c r="M60" s="586"/>
      <c r="N60" s="586"/>
      <c r="O60" s="586"/>
      <c r="P60" s="586"/>
      <c r="Q60" s="586"/>
      <c r="R60" s="586"/>
      <c r="S60" s="586"/>
      <c r="T60" s="786"/>
      <c r="U60" s="586" t="s">
        <v>2462</v>
      </c>
      <c r="V60" s="586"/>
      <c r="W60" s="726"/>
    </row>
    <row r="61" ht="15.0" customHeight="1">
      <c r="A61" s="585">
        <v>41097.0</v>
      </c>
      <c r="B61" s="586" t="s">
        <v>2463</v>
      </c>
      <c r="C61" s="587" t="s">
        <v>2464</v>
      </c>
      <c r="D61" s="586"/>
      <c r="E61" s="589" t="s">
        <v>2333</v>
      </c>
      <c r="F61" s="590">
        <v>1.6</v>
      </c>
      <c r="G61" s="589">
        <v>-0.6875</v>
      </c>
      <c r="H61" s="591"/>
      <c r="I61" s="602">
        <v>0.5</v>
      </c>
      <c r="J61" s="586">
        <v>0.0</v>
      </c>
      <c r="K61" s="586"/>
      <c r="L61" s="586"/>
      <c r="M61" s="586"/>
      <c r="N61" s="586"/>
      <c r="O61" s="586"/>
      <c r="P61" s="586"/>
      <c r="Q61" s="586"/>
      <c r="R61" s="586"/>
      <c r="S61" s="586"/>
      <c r="T61" s="786"/>
      <c r="U61" s="586" t="s">
        <v>2465</v>
      </c>
      <c r="V61" s="647"/>
      <c r="W61" s="726"/>
    </row>
    <row r="62" ht="15.0" customHeight="1">
      <c r="A62" s="585">
        <v>41830.0</v>
      </c>
      <c r="B62" s="586" t="s">
        <v>2466</v>
      </c>
      <c r="C62" s="587" t="s">
        <v>2467</v>
      </c>
      <c r="D62" s="586"/>
      <c r="E62" s="589" t="s">
        <v>2333</v>
      </c>
      <c r="F62" s="590">
        <v>3.08</v>
      </c>
      <c r="G62" s="589" t="s">
        <v>2333</v>
      </c>
      <c r="H62" s="591"/>
      <c r="I62" s="602">
        <v>0.0</v>
      </c>
      <c r="J62" s="767"/>
      <c r="K62" s="767"/>
      <c r="L62" s="767"/>
      <c r="M62" s="767"/>
      <c r="N62" s="767"/>
      <c r="O62" s="767"/>
      <c r="P62" s="586"/>
      <c r="Q62" s="586"/>
      <c r="R62" s="586"/>
      <c r="S62" s="586"/>
      <c r="T62" s="786"/>
      <c r="U62" s="586" t="s">
        <v>2468</v>
      </c>
      <c r="V62" s="647"/>
      <c r="W62" s="726"/>
    </row>
    <row r="63" ht="15.0" customHeight="1">
      <c r="A63" s="585">
        <v>41128.0</v>
      </c>
      <c r="B63" s="586" t="s">
        <v>2469</v>
      </c>
      <c r="C63" s="587" t="s">
        <v>2470</v>
      </c>
      <c r="D63" s="586"/>
      <c r="E63" s="589" t="s">
        <v>2333</v>
      </c>
      <c r="F63" s="590">
        <v>0.99</v>
      </c>
      <c r="G63" s="589">
        <v>-0.4949494949494949</v>
      </c>
      <c r="H63" s="591"/>
      <c r="I63" s="602">
        <v>0.5</v>
      </c>
      <c r="J63" s="586">
        <v>0.0</v>
      </c>
      <c r="K63" s="586"/>
      <c r="L63" s="586"/>
      <c r="M63" s="586"/>
      <c r="N63" s="586"/>
      <c r="O63" s="586"/>
      <c r="P63" s="586"/>
      <c r="Q63" s="586"/>
      <c r="R63" s="586"/>
      <c r="S63" s="586"/>
      <c r="T63" s="786"/>
      <c r="U63" s="586" t="s">
        <v>2471</v>
      </c>
      <c r="V63" s="586"/>
      <c r="W63" s="726"/>
    </row>
    <row r="64" ht="15.0" customHeight="1">
      <c r="A64" s="585">
        <v>41136.0</v>
      </c>
      <c r="B64" s="586" t="s">
        <v>2472</v>
      </c>
      <c r="C64" s="587" t="s">
        <v>2473</v>
      </c>
      <c r="D64" s="586"/>
      <c r="E64" s="589" t="s">
        <v>2333</v>
      </c>
      <c r="F64" s="590">
        <v>29.3</v>
      </c>
      <c r="G64" s="589">
        <v>-0.795221843003413</v>
      </c>
      <c r="H64" s="591"/>
      <c r="I64" s="602">
        <v>6.0</v>
      </c>
      <c r="J64" s="586">
        <v>0.0</v>
      </c>
      <c r="K64" s="586"/>
      <c r="L64" s="586"/>
      <c r="M64" s="586"/>
      <c r="N64" s="586"/>
      <c r="O64" s="586"/>
      <c r="P64" s="586"/>
      <c r="Q64" s="586"/>
      <c r="R64" s="586"/>
      <c r="S64" s="586"/>
      <c r="T64" s="786"/>
      <c r="U64" s="586" t="s">
        <v>2474</v>
      </c>
      <c r="V64" s="586"/>
      <c r="W64" s="726"/>
    </row>
    <row r="65" ht="15.0" customHeight="1">
      <c r="A65" s="585">
        <v>40878.0</v>
      </c>
      <c r="B65" s="586" t="s">
        <v>2475</v>
      </c>
      <c r="C65" s="587" t="s">
        <v>2476</v>
      </c>
      <c r="D65" s="586"/>
      <c r="E65" s="589" t="s">
        <v>2333</v>
      </c>
      <c r="F65" s="590" t="e">
        <v>#N/A</v>
      </c>
      <c r="G65" s="589" t="s">
        <v>2333</v>
      </c>
      <c r="H65" s="591"/>
      <c r="I65" s="602"/>
      <c r="J65" s="586">
        <v>0.0</v>
      </c>
      <c r="K65" s="586"/>
      <c r="L65" s="586"/>
      <c r="M65" s="586"/>
      <c r="N65" s="586"/>
      <c r="O65" s="586"/>
      <c r="P65" s="586"/>
      <c r="Q65" s="586"/>
      <c r="R65" s="586"/>
      <c r="S65" s="586"/>
      <c r="T65" s="586"/>
      <c r="U65" s="586" t="s">
        <v>2477</v>
      </c>
      <c r="V65" s="586"/>
      <c r="W65" s="586"/>
    </row>
    <row r="66" ht="15.0" customHeight="1">
      <c r="A66" s="652">
        <v>42424.0</v>
      </c>
      <c r="B66" s="653" t="s">
        <v>2478</v>
      </c>
      <c r="C66" s="653" t="s">
        <v>2479</v>
      </c>
      <c r="D66" s="653">
        <v>101.5</v>
      </c>
      <c r="E66" s="589">
        <f>IFERROR(__xludf.DUMMYFUNCTION("if(and(D66&lt;&gt;0,D66&lt;&gt;""""),D66/GOOGLEFINANCE(C66,""price"")-1,"""")"),562.8888888888889)</f>
        <v>562.8888889</v>
      </c>
      <c r="F66" s="813">
        <f>IFERROR(__xludf.DUMMYFUNCTION("GOOGLEFINANCE(C66,""price"")"),0.18)</f>
        <v>0.18</v>
      </c>
      <c r="G66" s="589">
        <f t="shared" ref="G66:G67" si="1">if(and(I66&lt;&gt;0,I66&lt;&gt;""),I66/F66-1,"")</f>
        <v>1415.472505</v>
      </c>
      <c r="H66" s="591"/>
      <c r="I66" s="658">
        <f>N66*(Buys!$I$1+O66*100)</f>
        <v>254.9650508</v>
      </c>
      <c r="J66" s="814">
        <v>10.9</v>
      </c>
      <c r="K66" s="814">
        <v>12.02</v>
      </c>
      <c r="L66" s="815">
        <v>43465.0</v>
      </c>
      <c r="M66" s="619">
        <f t="shared" ref="M66:M67" si="2">(L66-now())/365</f>
        <v>-0.8201115779</v>
      </c>
      <c r="N66" s="620">
        <f t="shared" ref="N66:N67" si="3">J66*M66+(1-M66)*K66</f>
        <v>12.93852497</v>
      </c>
      <c r="O66" s="816">
        <v>0.05</v>
      </c>
      <c r="P66" s="815"/>
      <c r="Q66" s="815"/>
      <c r="R66" s="815"/>
      <c r="S66" s="815">
        <v>43291.0</v>
      </c>
      <c r="T66" s="817" t="s">
        <v>1223</v>
      </c>
      <c r="U66" s="653" t="s">
        <v>2482</v>
      </c>
      <c r="V66" s="726"/>
      <c r="W66" s="726"/>
    </row>
    <row r="67" ht="15.0" customHeight="1">
      <c r="A67" s="574">
        <v>41485.0</v>
      </c>
      <c r="B67" s="575" t="s">
        <v>2483</v>
      </c>
      <c r="C67" s="575" t="s">
        <v>2484</v>
      </c>
      <c r="D67" s="627"/>
      <c r="E67" s="577" t="str">
        <f>IFERROR(__xludf.DUMMYFUNCTION("if(and(D67&lt;&gt;0,D67&lt;&gt;""""),D67/GOOGLEFINANCE(C67,""price"")-1,"""")"),"")</f>
        <v/>
      </c>
      <c r="F67" s="878" t="str">
        <f>IFERROR(__xludf.DUMMYFUNCTION("GOOGLEFINANCE(C67,""price"")"),"#N/A")</f>
        <v>#N/A</v>
      </c>
      <c r="G67" s="577" t="str">
        <f t="shared" si="1"/>
        <v>#N/A</v>
      </c>
      <c r="H67" s="579"/>
      <c r="I67" s="579">
        <f>2.22*15</f>
        <v>33.3</v>
      </c>
      <c r="J67" s="879"/>
      <c r="K67" s="879"/>
      <c r="L67" s="880"/>
      <c r="M67" s="881">
        <f t="shared" si="2"/>
        <v>-119.9023034</v>
      </c>
      <c r="N67" s="879">
        <f t="shared" si="3"/>
        <v>0</v>
      </c>
      <c r="O67" s="880"/>
      <c r="P67" s="883"/>
      <c r="Q67" s="883"/>
      <c r="R67" s="883"/>
      <c r="S67" s="883"/>
      <c r="T67" s="883"/>
      <c r="U67" s="575" t="s">
        <v>2485</v>
      </c>
      <c r="V67" s="726"/>
      <c r="W67" s="726"/>
    </row>
    <row r="68" ht="15.0" customHeight="1">
      <c r="A68" s="884">
        <v>42688.0</v>
      </c>
      <c r="B68" s="885" t="s">
        <v>2125</v>
      </c>
      <c r="C68" s="885" t="s">
        <v>381</v>
      </c>
      <c r="D68" s="886">
        <v>160.0</v>
      </c>
      <c r="E68" s="887">
        <v>-0.09655561829474868</v>
      </c>
      <c r="F68" s="888">
        <v>177.1</v>
      </c>
      <c r="G68" s="887">
        <v>0.7046584745789659</v>
      </c>
      <c r="H68" s="889"/>
      <c r="I68" s="890">
        <v>301.89501584793487</v>
      </c>
      <c r="J68" s="891">
        <v>7.98</v>
      </c>
      <c r="K68" s="891">
        <v>9.26</v>
      </c>
      <c r="L68" s="892">
        <v>43830.0</v>
      </c>
      <c r="M68" s="893">
        <v>0.2532351399987357</v>
      </c>
      <c r="N68" s="894">
        <v>8.935859020801619</v>
      </c>
      <c r="O68" s="895">
        <v>0.2</v>
      </c>
      <c r="P68" s="895">
        <v>0.25</v>
      </c>
      <c r="Q68" s="896">
        <v>33.78466638128009</v>
      </c>
      <c r="R68" s="897">
        <v>4.0</v>
      </c>
      <c r="S68" s="898">
        <v>43679.0</v>
      </c>
      <c r="T68" s="899" t="s">
        <v>1240</v>
      </c>
      <c r="U68" s="900" t="s">
        <v>2126</v>
      </c>
      <c r="V68" s="824" t="s">
        <v>2445</v>
      </c>
      <c r="W68" s="726"/>
    </row>
    <row r="69" ht="15.0" customHeight="1">
      <c r="A69" s="884">
        <v>41573.0</v>
      </c>
      <c r="B69" s="885" t="s">
        <v>2413</v>
      </c>
      <c r="C69" s="885" t="s">
        <v>1092</v>
      </c>
      <c r="D69" s="901">
        <v>8.0</v>
      </c>
      <c r="E69" s="887">
        <v>-0.40431868950111693</v>
      </c>
      <c r="F69" s="888">
        <v>13.43</v>
      </c>
      <c r="G69" s="887">
        <v>0.8615040953090096</v>
      </c>
      <c r="H69" s="889"/>
      <c r="I69" s="890">
        <v>25.0</v>
      </c>
      <c r="J69" s="902"/>
      <c r="K69" s="902"/>
      <c r="L69" s="892">
        <v>43465.0</v>
      </c>
      <c r="M69" s="893">
        <v>-0.7467665645611242</v>
      </c>
      <c r="N69" s="902">
        <v>0.0</v>
      </c>
      <c r="O69" s="903">
        <v>-0.03</v>
      </c>
      <c r="P69" s="904"/>
      <c r="Q69" s="905"/>
      <c r="R69" s="906"/>
      <c r="S69" s="906">
        <v>43619.0</v>
      </c>
      <c r="T69" s="899" t="s">
        <v>1223</v>
      </c>
      <c r="U69" s="900" t="s">
        <v>2422</v>
      </c>
      <c r="V69" s="907" t="s">
        <v>2445</v>
      </c>
      <c r="W69" s="726"/>
    </row>
    <row r="70" ht="15.0" customHeight="1">
      <c r="A70" s="908">
        <v>40472.0</v>
      </c>
      <c r="B70" s="909" t="s">
        <v>2396</v>
      </c>
      <c r="C70" s="909" t="s">
        <v>1035</v>
      </c>
      <c r="D70" s="910">
        <v>1100.0</v>
      </c>
      <c r="E70" s="911">
        <v>-0.10273665320771652</v>
      </c>
      <c r="F70" s="912">
        <v>1225.95</v>
      </c>
      <c r="G70" s="911">
        <v>0.22199937974093653</v>
      </c>
      <c r="H70" s="913">
        <v>813.6</v>
      </c>
      <c r="I70" s="890">
        <v>1498.1101395934013</v>
      </c>
      <c r="J70" s="432">
        <v>52.25</v>
      </c>
      <c r="K70" s="432">
        <v>55.9</v>
      </c>
      <c r="L70" s="914">
        <v>43830.0</v>
      </c>
      <c r="M70" s="915">
        <v>0.2532326936516879</v>
      </c>
      <c r="N70" s="916">
        <v>54.975700668171335</v>
      </c>
      <c r="O70" s="917">
        <v>0.15</v>
      </c>
      <c r="P70" s="895">
        <v>0.15</v>
      </c>
      <c r="Q70" s="896">
        <v>27.250405568013893</v>
      </c>
      <c r="R70" s="897">
        <v>8.0</v>
      </c>
      <c r="S70" s="914">
        <v>43720.0</v>
      </c>
      <c r="T70" s="918" t="s">
        <v>1240</v>
      </c>
      <c r="U70" s="919" t="s">
        <v>2487</v>
      </c>
      <c r="V70" s="907" t="s">
        <v>2445</v>
      </c>
      <c r="W70" s="726"/>
    </row>
    <row r="71" ht="15.0" customHeight="1">
      <c r="A71" s="884">
        <v>41900.0</v>
      </c>
      <c r="B71" s="885" t="s">
        <v>2488</v>
      </c>
      <c r="C71" s="885" t="s">
        <v>1070</v>
      </c>
      <c r="D71" s="901">
        <v>230.0</v>
      </c>
      <c r="E71" s="887">
        <v>-0.05891980360065474</v>
      </c>
      <c r="F71" s="888">
        <v>244.4</v>
      </c>
      <c r="G71" s="887">
        <v>0.2497332901863416</v>
      </c>
      <c r="H71" s="889"/>
      <c r="I71" s="890">
        <v>305.43481612154187</v>
      </c>
      <c r="J71" s="891">
        <v>11.98</v>
      </c>
      <c r="K71" s="891">
        <v>13.56</v>
      </c>
      <c r="L71" s="898">
        <v>43861.0</v>
      </c>
      <c r="M71" s="893">
        <v>0.3381637626204979</v>
      </c>
      <c r="N71" s="894">
        <v>13.025701255059616</v>
      </c>
      <c r="O71" s="895">
        <v>0.125</v>
      </c>
      <c r="P71" s="895">
        <v>0.225</v>
      </c>
      <c r="Q71" s="896">
        <v>23.44862745895549</v>
      </c>
      <c r="R71" s="897">
        <v>4.0</v>
      </c>
      <c r="S71" s="898">
        <v>43732.0</v>
      </c>
      <c r="T71" s="897" t="s">
        <v>1240</v>
      </c>
      <c r="U71" s="900" t="s">
        <v>2490</v>
      </c>
      <c r="V71" s="907"/>
      <c r="W71" s="726"/>
    </row>
    <row r="72" ht="15.0" customHeight="1">
      <c r="A72" s="736"/>
      <c r="B72" s="737"/>
      <c r="C72" s="737"/>
      <c r="D72" s="738"/>
      <c r="E72" s="738"/>
      <c r="F72" s="736"/>
      <c r="G72" s="739"/>
      <c r="H72" s="740"/>
      <c r="I72" s="740"/>
      <c r="J72" s="741"/>
      <c r="K72" s="741"/>
      <c r="L72" s="741"/>
      <c r="M72" s="741"/>
      <c r="N72" s="741"/>
      <c r="O72" s="741"/>
      <c r="P72" s="737"/>
      <c r="Q72" s="737"/>
      <c r="R72" s="737"/>
      <c r="S72" s="737"/>
      <c r="T72" s="737"/>
      <c r="U72" s="750"/>
      <c r="V72" s="726"/>
      <c r="W72" s="726"/>
    </row>
    <row r="73" ht="15.0" customHeight="1">
      <c r="A73" s="736"/>
      <c r="B73" s="737"/>
      <c r="C73" s="737"/>
      <c r="D73" s="737"/>
      <c r="E73" s="737"/>
      <c r="F73" s="736"/>
      <c r="G73" s="739"/>
      <c r="H73" s="740"/>
      <c r="I73" s="920"/>
      <c r="J73" s="741"/>
      <c r="K73" s="741"/>
      <c r="L73" s="741"/>
      <c r="M73" s="741"/>
      <c r="N73" s="741"/>
      <c r="O73" s="741"/>
      <c r="P73" s="737"/>
      <c r="Q73" s="737"/>
      <c r="R73" s="737"/>
      <c r="S73" s="737"/>
      <c r="T73" s="737"/>
      <c r="U73" s="750"/>
      <c r="V73" s="726"/>
      <c r="W73" s="726"/>
    </row>
    <row r="74" ht="15.0" customHeight="1">
      <c r="A74" s="736"/>
      <c r="B74" s="737"/>
      <c r="C74" s="737"/>
      <c r="D74" s="738"/>
      <c r="E74" s="738"/>
      <c r="F74" s="736"/>
      <c r="G74" s="739"/>
      <c r="H74" s="740"/>
      <c r="I74" s="740"/>
      <c r="J74" s="741"/>
      <c r="K74" s="741"/>
      <c r="L74" s="741"/>
      <c r="M74" s="741"/>
      <c r="N74" s="741"/>
      <c r="O74" s="741"/>
      <c r="P74" s="737"/>
      <c r="Q74" s="737"/>
      <c r="R74" s="737"/>
      <c r="S74" s="737"/>
      <c r="T74" s="737"/>
      <c r="U74" s="750"/>
      <c r="V74" s="726"/>
      <c r="W74" s="726"/>
    </row>
    <row r="75" ht="15.0" customHeight="1">
      <c r="A75" s="725"/>
      <c r="B75" s="726"/>
      <c r="C75" s="726"/>
      <c r="D75" s="751"/>
      <c r="E75" s="751"/>
      <c r="F75" s="725"/>
      <c r="G75" s="727"/>
      <c r="H75" s="728"/>
      <c r="I75" s="728"/>
      <c r="J75" s="752"/>
      <c r="K75" s="752"/>
      <c r="L75" s="752"/>
      <c r="M75" s="752"/>
      <c r="N75" s="752"/>
      <c r="O75" s="752"/>
      <c r="P75" s="726"/>
      <c r="Q75" s="726"/>
      <c r="R75" s="726"/>
      <c r="S75" s="726"/>
      <c r="T75" s="726"/>
      <c r="U75" s="754"/>
      <c r="V75" s="726"/>
      <c r="W75" s="726"/>
    </row>
    <row r="76" ht="15.0" customHeight="1">
      <c r="A76" s="736"/>
      <c r="B76" s="737"/>
      <c r="C76" s="737"/>
      <c r="D76" s="738"/>
      <c r="E76" s="738"/>
      <c r="F76" s="736"/>
      <c r="G76" s="739"/>
      <c r="H76" s="740"/>
      <c r="I76" s="740"/>
      <c r="J76" s="741"/>
      <c r="K76" s="741"/>
      <c r="L76" s="741"/>
      <c r="M76" s="741"/>
      <c r="N76" s="741"/>
      <c r="O76" s="741"/>
      <c r="P76" s="737"/>
      <c r="Q76" s="737"/>
      <c r="R76" s="737"/>
      <c r="S76" s="737"/>
      <c r="T76" s="737"/>
      <c r="U76" s="750"/>
      <c r="V76" s="726"/>
      <c r="W76" s="726"/>
    </row>
    <row r="77" ht="15.0" customHeight="1">
      <c r="A77" s="736"/>
      <c r="B77" s="737"/>
      <c r="C77" s="737"/>
      <c r="D77" s="738"/>
      <c r="E77" s="738"/>
      <c r="F77" s="736"/>
      <c r="G77" s="739"/>
      <c r="H77" s="740"/>
      <c r="I77" s="740"/>
      <c r="J77" s="741"/>
      <c r="K77" s="741"/>
      <c r="L77" s="741"/>
      <c r="M77" s="741"/>
      <c r="N77" s="741"/>
      <c r="O77" s="741"/>
      <c r="P77" s="737"/>
      <c r="Q77" s="737"/>
      <c r="R77" s="737"/>
      <c r="S77" s="737"/>
      <c r="T77" s="737"/>
      <c r="U77" s="750"/>
      <c r="V77" s="726"/>
      <c r="W77" s="726"/>
    </row>
    <row r="78" ht="15.0" customHeight="1">
      <c r="A78" s="736"/>
      <c r="B78" s="737"/>
      <c r="C78" s="737"/>
      <c r="D78" s="738"/>
      <c r="E78" s="738"/>
      <c r="F78" s="736"/>
      <c r="G78" s="739"/>
      <c r="H78" s="740"/>
      <c r="I78" s="740"/>
      <c r="J78" s="741"/>
      <c r="K78" s="741"/>
      <c r="L78" s="741"/>
      <c r="M78" s="741"/>
      <c r="N78" s="741"/>
      <c r="O78" s="741"/>
      <c r="P78" s="737"/>
      <c r="Q78" s="737"/>
      <c r="R78" s="737"/>
      <c r="S78" s="737"/>
      <c r="T78" s="737"/>
      <c r="U78" s="750"/>
      <c r="V78" s="726"/>
      <c r="W78" s="726"/>
    </row>
    <row r="79" ht="15.0" customHeight="1">
      <c r="A79" s="736"/>
      <c r="B79" s="737"/>
      <c r="C79" s="737"/>
      <c r="D79" s="738"/>
      <c r="E79" s="738"/>
      <c r="F79" s="736"/>
      <c r="G79" s="739"/>
      <c r="H79" s="740"/>
      <c r="I79" s="740"/>
      <c r="J79" s="741"/>
      <c r="K79" s="741"/>
      <c r="L79" s="741"/>
      <c r="M79" s="741"/>
      <c r="N79" s="741"/>
      <c r="O79" s="741"/>
      <c r="P79" s="737"/>
      <c r="Q79" s="737"/>
      <c r="R79" s="737"/>
      <c r="S79" s="737"/>
      <c r="T79" s="737"/>
      <c r="U79" s="750"/>
      <c r="V79" s="726"/>
      <c r="W79" s="726"/>
    </row>
    <row r="80" ht="15.0" customHeight="1">
      <c r="A80" s="736"/>
      <c r="B80" s="737"/>
      <c r="C80" s="737"/>
      <c r="D80" s="738"/>
      <c r="E80" s="738"/>
      <c r="F80" s="736"/>
      <c r="G80" s="739"/>
      <c r="H80" s="740"/>
      <c r="I80" s="740"/>
      <c r="J80" s="741"/>
      <c r="K80" s="741"/>
      <c r="L80" s="741"/>
      <c r="M80" s="741"/>
      <c r="N80" s="741"/>
      <c r="O80" s="741"/>
      <c r="P80" s="737"/>
      <c r="Q80" s="737"/>
      <c r="R80" s="737"/>
      <c r="S80" s="737"/>
      <c r="T80" s="737"/>
      <c r="U80" s="750"/>
      <c r="V80" s="726"/>
      <c r="W80" s="726"/>
    </row>
    <row r="81" ht="15.0" customHeight="1">
      <c r="A81" s="736"/>
      <c r="B81" s="737"/>
      <c r="C81" s="737"/>
      <c r="D81" s="738"/>
      <c r="E81" s="738"/>
      <c r="F81" s="736"/>
      <c r="G81" s="739"/>
      <c r="H81" s="740"/>
      <c r="I81" s="920"/>
      <c r="J81" s="741"/>
      <c r="K81" s="741"/>
      <c r="L81" s="741"/>
      <c r="M81" s="741"/>
      <c r="N81" s="741"/>
      <c r="O81" s="741"/>
      <c r="P81" s="737"/>
      <c r="Q81" s="737"/>
      <c r="R81" s="737"/>
      <c r="S81" s="737"/>
      <c r="T81" s="737"/>
      <c r="U81" s="750"/>
      <c r="V81" s="726"/>
      <c r="W81" s="726"/>
    </row>
    <row r="82" ht="15.0" customHeight="1">
      <c r="A82" s="736"/>
      <c r="B82" s="737"/>
      <c r="C82" s="737"/>
      <c r="D82" s="738"/>
      <c r="E82" s="738"/>
      <c r="F82" s="736"/>
      <c r="G82" s="739"/>
      <c r="H82" s="740"/>
      <c r="I82" s="740"/>
      <c r="J82" s="741"/>
      <c r="K82" s="741"/>
      <c r="L82" s="741"/>
      <c r="M82" s="741"/>
      <c r="N82" s="741"/>
      <c r="O82" s="741"/>
      <c r="P82" s="737"/>
      <c r="Q82" s="737"/>
      <c r="R82" s="737"/>
      <c r="S82" s="737"/>
      <c r="T82" s="737"/>
      <c r="U82" s="750"/>
      <c r="V82" s="726"/>
      <c r="W82" s="726"/>
    </row>
    <row r="83" ht="15.0" customHeight="1">
      <c r="A83" s="736"/>
      <c r="B83" s="737"/>
      <c r="C83" s="737"/>
      <c r="D83" s="738"/>
      <c r="E83" s="738"/>
      <c r="F83" s="736"/>
      <c r="G83" s="739"/>
      <c r="H83" s="740"/>
      <c r="I83" s="740"/>
      <c r="J83" s="741"/>
      <c r="K83" s="741"/>
      <c r="L83" s="741"/>
      <c r="M83" s="741"/>
      <c r="N83" s="741"/>
      <c r="O83" s="741"/>
      <c r="P83" s="737"/>
      <c r="Q83" s="737"/>
      <c r="R83" s="737"/>
      <c r="S83" s="737"/>
      <c r="T83" s="737"/>
      <c r="U83" s="750"/>
      <c r="V83" s="726"/>
      <c r="W83" s="726"/>
    </row>
    <row r="84" ht="15.0" customHeight="1">
      <c r="A84" s="736"/>
      <c r="B84" s="737"/>
      <c r="C84" s="737"/>
      <c r="D84" s="738"/>
      <c r="E84" s="738"/>
      <c r="F84" s="736"/>
      <c r="G84" s="739"/>
      <c r="H84" s="740"/>
      <c r="I84" s="920"/>
      <c r="J84" s="741"/>
      <c r="K84" s="741"/>
      <c r="L84" s="741"/>
      <c r="M84" s="741"/>
      <c r="N84" s="741"/>
      <c r="O84" s="741"/>
      <c r="P84" s="737"/>
      <c r="Q84" s="737"/>
      <c r="R84" s="737"/>
      <c r="S84" s="737"/>
      <c r="T84" s="737"/>
      <c r="U84" s="750"/>
      <c r="V84" s="726"/>
      <c r="W84" s="726"/>
    </row>
    <row r="85" ht="15.0" customHeight="1">
      <c r="A85" s="736"/>
      <c r="B85" s="737"/>
      <c r="C85" s="737"/>
      <c r="D85" s="738"/>
      <c r="E85" s="738"/>
      <c r="F85" s="736"/>
      <c r="G85" s="739"/>
      <c r="H85" s="740"/>
      <c r="I85" s="740"/>
      <c r="J85" s="741"/>
      <c r="K85" s="741"/>
      <c r="L85" s="741"/>
      <c r="M85" s="741"/>
      <c r="N85" s="741"/>
      <c r="O85" s="741"/>
      <c r="P85" s="737"/>
      <c r="Q85" s="737"/>
      <c r="R85" s="737"/>
      <c r="S85" s="737"/>
      <c r="T85" s="737"/>
      <c r="U85" s="750"/>
      <c r="V85" s="726"/>
      <c r="W85" s="726"/>
    </row>
    <row r="86" ht="15.0" customHeight="1">
      <c r="A86" s="736"/>
      <c r="B86" s="737"/>
      <c r="C86" s="737"/>
      <c r="D86" s="738"/>
      <c r="E86" s="738"/>
      <c r="F86" s="736"/>
      <c r="G86" s="739"/>
      <c r="H86" s="740"/>
      <c r="I86" s="740"/>
      <c r="J86" s="741"/>
      <c r="K86" s="741"/>
      <c r="L86" s="741"/>
      <c r="M86" s="741"/>
      <c r="N86" s="741"/>
      <c r="O86" s="741"/>
      <c r="P86" s="742"/>
      <c r="Q86" s="742"/>
      <c r="R86" s="742"/>
      <c r="S86" s="742"/>
      <c r="T86" s="742"/>
      <c r="U86" s="743"/>
      <c r="V86" s="744"/>
      <c r="W86" s="744"/>
    </row>
    <row r="87" ht="15.0" customHeight="1">
      <c r="A87" s="736"/>
      <c r="B87" s="737"/>
      <c r="C87" s="737"/>
      <c r="D87" s="738"/>
      <c r="E87" s="738"/>
      <c r="F87" s="736"/>
      <c r="G87" s="739"/>
      <c r="H87" s="740"/>
      <c r="I87" s="740"/>
      <c r="J87" s="741"/>
      <c r="K87" s="741"/>
      <c r="L87" s="741"/>
      <c r="M87" s="741"/>
      <c r="N87" s="741"/>
      <c r="O87" s="741"/>
      <c r="P87" s="737"/>
      <c r="Q87" s="737"/>
      <c r="R87" s="737"/>
      <c r="S87" s="737"/>
      <c r="T87" s="737"/>
      <c r="U87" s="750"/>
      <c r="V87" s="726"/>
      <c r="W87" s="726"/>
    </row>
    <row r="88" ht="15.0" customHeight="1">
      <c r="A88" s="736"/>
      <c r="B88" s="737"/>
      <c r="C88" s="737"/>
      <c r="D88" s="738"/>
      <c r="E88" s="738"/>
      <c r="F88" s="736"/>
      <c r="G88" s="739"/>
      <c r="H88" s="740"/>
      <c r="I88" s="740"/>
      <c r="J88" s="741"/>
      <c r="K88" s="741"/>
      <c r="L88" s="741"/>
      <c r="M88" s="741"/>
      <c r="N88" s="741"/>
      <c r="O88" s="741"/>
      <c r="P88" s="737"/>
      <c r="Q88" s="737"/>
      <c r="R88" s="737"/>
      <c r="S88" s="737"/>
      <c r="T88" s="737"/>
      <c r="U88" s="750"/>
      <c r="V88" s="726"/>
      <c r="W88" s="726"/>
    </row>
    <row r="89" ht="15.0" customHeight="1">
      <c r="A89" s="736"/>
      <c r="B89" s="737"/>
      <c r="C89" s="737"/>
      <c r="D89" s="738"/>
      <c r="E89" s="738"/>
      <c r="F89" s="736"/>
      <c r="G89" s="739"/>
      <c r="H89" s="740"/>
      <c r="I89" s="740"/>
      <c r="J89" s="741"/>
      <c r="K89" s="741"/>
      <c r="L89" s="741"/>
      <c r="M89" s="741"/>
      <c r="N89" s="741"/>
      <c r="O89" s="741"/>
      <c r="P89" s="737"/>
      <c r="Q89" s="737"/>
      <c r="R89" s="737"/>
      <c r="S89" s="737"/>
      <c r="T89" s="737"/>
      <c r="U89" s="750"/>
      <c r="V89" s="726"/>
      <c r="W89" s="726"/>
    </row>
    <row r="90" ht="15.0" customHeight="1">
      <c r="A90" s="736"/>
      <c r="B90" s="737"/>
      <c r="C90" s="737"/>
      <c r="D90" s="738"/>
      <c r="E90" s="738"/>
      <c r="F90" s="736"/>
      <c r="G90" s="739"/>
      <c r="H90" s="740"/>
      <c r="I90" s="740"/>
      <c r="J90" s="741"/>
      <c r="K90" s="741"/>
      <c r="L90" s="741"/>
      <c r="M90" s="741"/>
      <c r="N90" s="741"/>
      <c r="O90" s="741"/>
      <c r="P90" s="737"/>
      <c r="Q90" s="737"/>
      <c r="R90" s="737"/>
      <c r="S90" s="737"/>
      <c r="T90" s="737"/>
      <c r="U90" s="750"/>
      <c r="V90" s="726"/>
      <c r="W90" s="726"/>
    </row>
    <row r="91" ht="15.0" customHeight="1">
      <c r="A91" s="736"/>
      <c r="B91" s="737"/>
      <c r="C91" s="737"/>
      <c r="D91" s="737"/>
      <c r="E91" s="737"/>
      <c r="F91" s="736"/>
      <c r="G91" s="739"/>
      <c r="H91" s="740"/>
      <c r="I91" s="740"/>
      <c r="J91" s="741"/>
      <c r="K91" s="741"/>
      <c r="L91" s="741"/>
      <c r="M91" s="741"/>
      <c r="N91" s="741"/>
      <c r="O91" s="741"/>
      <c r="P91" s="742"/>
      <c r="Q91" s="742"/>
      <c r="R91" s="742"/>
      <c r="S91" s="742"/>
      <c r="T91" s="742"/>
      <c r="U91" s="743"/>
      <c r="V91" s="744"/>
      <c r="W91" s="744"/>
    </row>
    <row r="92" ht="15.0" customHeight="1">
      <c r="A92" s="736"/>
      <c r="B92" s="737"/>
      <c r="C92" s="737"/>
      <c r="D92" s="738"/>
      <c r="E92" s="738"/>
      <c r="F92" s="736"/>
      <c r="G92" s="739"/>
      <c r="H92" s="740"/>
      <c r="I92" s="740"/>
      <c r="J92" s="741"/>
      <c r="K92" s="741"/>
      <c r="L92" s="741"/>
      <c r="M92" s="741"/>
      <c r="N92" s="741"/>
      <c r="O92" s="741"/>
      <c r="P92" s="737"/>
      <c r="Q92" s="737"/>
      <c r="R92" s="737"/>
      <c r="S92" s="737"/>
      <c r="T92" s="737"/>
      <c r="U92" s="750"/>
      <c r="V92" s="726"/>
      <c r="W92" s="726"/>
    </row>
    <row r="93" ht="15.0" customHeight="1">
      <c r="A93" s="736"/>
      <c r="B93" s="737"/>
      <c r="C93" s="737"/>
      <c r="D93" s="738"/>
      <c r="E93" s="738"/>
      <c r="F93" s="736"/>
      <c r="G93" s="739"/>
      <c r="H93" s="740"/>
      <c r="I93" s="740"/>
      <c r="J93" s="741"/>
      <c r="K93" s="741"/>
      <c r="L93" s="741"/>
      <c r="M93" s="741"/>
      <c r="N93" s="741"/>
      <c r="O93" s="741"/>
      <c r="P93" s="737"/>
      <c r="Q93" s="737"/>
      <c r="R93" s="737"/>
      <c r="S93" s="737"/>
      <c r="T93" s="737"/>
      <c r="U93" s="750"/>
      <c r="V93" s="726"/>
      <c r="W93" s="726"/>
    </row>
    <row r="94" ht="15.0" customHeight="1">
      <c r="A94" s="736"/>
      <c r="B94" s="737"/>
      <c r="C94" s="737"/>
      <c r="D94" s="738"/>
      <c r="E94" s="738"/>
      <c r="F94" s="736"/>
      <c r="G94" s="739"/>
      <c r="H94" s="740"/>
      <c r="I94" s="740"/>
      <c r="J94" s="741"/>
      <c r="K94" s="741"/>
      <c r="L94" s="741"/>
      <c r="M94" s="741"/>
      <c r="N94" s="741"/>
      <c r="O94" s="741"/>
      <c r="P94" s="737"/>
      <c r="Q94" s="737"/>
      <c r="R94" s="737"/>
      <c r="S94" s="737"/>
      <c r="T94" s="737"/>
      <c r="U94" s="750"/>
      <c r="V94" s="726"/>
      <c r="W94" s="726"/>
    </row>
    <row r="95" ht="15.0" customHeight="1">
      <c r="A95" s="725"/>
      <c r="B95" s="726"/>
      <c r="C95" s="744"/>
      <c r="D95" s="726"/>
      <c r="E95" s="726"/>
      <c r="F95" s="725"/>
      <c r="G95" s="727"/>
      <c r="H95" s="728"/>
      <c r="I95" s="728"/>
      <c r="J95" s="752"/>
      <c r="K95" s="752"/>
      <c r="L95" s="752"/>
      <c r="M95" s="752"/>
      <c r="N95" s="752"/>
      <c r="O95" s="752"/>
      <c r="P95" s="726"/>
      <c r="Q95" s="726"/>
      <c r="R95" s="726"/>
      <c r="S95" s="726"/>
      <c r="T95" s="726"/>
      <c r="U95" s="754"/>
      <c r="V95" s="726"/>
      <c r="W95" s="726"/>
    </row>
    <row r="96" ht="15.0" customHeight="1">
      <c r="A96" s="736"/>
      <c r="B96" s="737"/>
      <c r="C96" s="737"/>
      <c r="D96" s="738"/>
      <c r="E96" s="738"/>
      <c r="F96" s="736"/>
      <c r="G96" s="739"/>
      <c r="H96" s="740"/>
      <c r="I96" s="740"/>
      <c r="J96" s="741"/>
      <c r="K96" s="741"/>
      <c r="L96" s="741"/>
      <c r="M96" s="741"/>
      <c r="N96" s="741"/>
      <c r="O96" s="741"/>
      <c r="P96" s="737"/>
      <c r="Q96" s="737"/>
      <c r="R96" s="737"/>
      <c r="S96" s="737"/>
      <c r="T96" s="737"/>
      <c r="U96" s="750"/>
      <c r="V96" s="726"/>
      <c r="W96" s="726"/>
    </row>
    <row r="97" ht="15.0" customHeight="1">
      <c r="A97" s="736"/>
      <c r="B97" s="737"/>
      <c r="C97" s="737"/>
      <c r="D97" s="738"/>
      <c r="E97" s="738"/>
      <c r="F97" s="736"/>
      <c r="G97" s="739"/>
      <c r="H97" s="740"/>
      <c r="I97" s="740"/>
      <c r="J97" s="741"/>
      <c r="K97" s="741"/>
      <c r="L97" s="741"/>
      <c r="M97" s="741"/>
      <c r="N97" s="741"/>
      <c r="O97" s="741"/>
      <c r="P97" s="737"/>
      <c r="Q97" s="737"/>
      <c r="R97" s="737"/>
      <c r="S97" s="737"/>
      <c r="T97" s="737"/>
      <c r="U97" s="750"/>
      <c r="V97" s="726"/>
      <c r="W97" s="726"/>
    </row>
    <row r="98" ht="15.0" customHeight="1">
      <c r="A98" s="736"/>
      <c r="B98" s="737"/>
      <c r="C98" s="737"/>
      <c r="D98" s="738"/>
      <c r="E98" s="738"/>
      <c r="F98" s="736"/>
      <c r="G98" s="739"/>
      <c r="H98" s="740"/>
      <c r="I98" s="740"/>
      <c r="J98" s="741"/>
      <c r="K98" s="741"/>
      <c r="L98" s="741"/>
      <c r="M98" s="741"/>
      <c r="N98" s="741"/>
      <c r="O98" s="741"/>
      <c r="P98" s="737"/>
      <c r="Q98" s="737"/>
      <c r="R98" s="737"/>
      <c r="S98" s="737"/>
      <c r="T98" s="737"/>
      <c r="U98" s="750"/>
      <c r="V98" s="726"/>
      <c r="W98" s="726"/>
    </row>
    <row r="99" ht="15.0" customHeight="1">
      <c r="A99" s="736"/>
      <c r="B99" s="737"/>
      <c r="C99" s="737"/>
      <c r="D99" s="738"/>
      <c r="E99" s="738"/>
      <c r="F99" s="736"/>
      <c r="G99" s="739"/>
      <c r="H99" s="740"/>
      <c r="I99" s="740"/>
      <c r="J99" s="741"/>
      <c r="K99" s="741"/>
      <c r="L99" s="741"/>
      <c r="M99" s="741"/>
      <c r="N99" s="741"/>
      <c r="O99" s="741"/>
      <c r="P99" s="737"/>
      <c r="Q99" s="737"/>
      <c r="R99" s="737"/>
      <c r="S99" s="737"/>
      <c r="T99" s="737"/>
      <c r="U99" s="750"/>
      <c r="V99" s="726"/>
      <c r="W99" s="726"/>
    </row>
    <row r="100" ht="15.0" customHeight="1">
      <c r="A100" s="736"/>
      <c r="B100" s="737"/>
      <c r="C100" s="737"/>
      <c r="D100" s="737"/>
      <c r="E100" s="737"/>
      <c r="F100" s="736"/>
      <c r="G100" s="739"/>
      <c r="H100" s="740"/>
      <c r="I100" s="740"/>
      <c r="J100" s="741"/>
      <c r="K100" s="741"/>
      <c r="L100" s="741"/>
      <c r="M100" s="741"/>
      <c r="N100" s="741"/>
      <c r="O100" s="741"/>
      <c r="P100" s="737"/>
      <c r="Q100" s="737"/>
      <c r="R100" s="737"/>
      <c r="S100" s="737"/>
      <c r="T100" s="737"/>
      <c r="U100" s="750"/>
      <c r="V100" s="726"/>
      <c r="W100" s="726"/>
    </row>
    <row r="101" ht="15.0" customHeight="1">
      <c r="A101" s="736"/>
      <c r="B101" s="737"/>
      <c r="C101" s="737"/>
      <c r="D101" s="738"/>
      <c r="E101" s="738"/>
      <c r="F101" s="736"/>
      <c r="G101" s="739"/>
      <c r="H101" s="740"/>
      <c r="I101" s="740"/>
      <c r="J101" s="741"/>
      <c r="K101" s="741"/>
      <c r="L101" s="741"/>
      <c r="M101" s="741"/>
      <c r="N101" s="741"/>
      <c r="O101" s="741"/>
      <c r="P101" s="737"/>
      <c r="Q101" s="737"/>
      <c r="R101" s="737"/>
      <c r="S101" s="737"/>
      <c r="T101" s="737"/>
      <c r="U101" s="750"/>
      <c r="V101" s="726"/>
      <c r="W101" s="726"/>
    </row>
    <row r="102" ht="15.0" customHeight="1">
      <c r="A102" s="736"/>
      <c r="B102" s="737"/>
      <c r="C102" s="737"/>
      <c r="D102" s="737"/>
      <c r="E102" s="737"/>
      <c r="F102" s="736"/>
      <c r="G102" s="739"/>
      <c r="H102" s="740"/>
      <c r="I102" s="740"/>
      <c r="J102" s="741"/>
      <c r="K102" s="741"/>
      <c r="L102" s="741"/>
      <c r="M102" s="741"/>
      <c r="N102" s="741"/>
      <c r="O102" s="741"/>
      <c r="P102" s="737"/>
      <c r="Q102" s="737"/>
      <c r="R102" s="737"/>
      <c r="S102" s="737"/>
      <c r="T102" s="737"/>
      <c r="U102" s="750"/>
      <c r="V102" s="726"/>
      <c r="W102" s="726"/>
    </row>
    <row r="103" ht="15.0" customHeight="1">
      <c r="A103" s="736"/>
      <c r="B103" s="737"/>
      <c r="C103" s="737"/>
      <c r="D103" s="737"/>
      <c r="E103" s="737"/>
      <c r="F103" s="736"/>
      <c r="G103" s="739"/>
      <c r="H103" s="740"/>
      <c r="I103" s="740"/>
      <c r="J103" s="741"/>
      <c r="K103" s="741"/>
      <c r="L103" s="741"/>
      <c r="M103" s="741"/>
      <c r="N103" s="741"/>
      <c r="O103" s="741"/>
      <c r="P103" s="737"/>
      <c r="Q103" s="737"/>
      <c r="R103" s="737"/>
      <c r="S103" s="737"/>
      <c r="T103" s="737"/>
      <c r="U103" s="750"/>
      <c r="V103" s="726"/>
      <c r="W103" s="726"/>
    </row>
    <row r="104" ht="15.0" customHeight="1">
      <c r="A104" s="736"/>
      <c r="B104" s="737"/>
      <c r="C104" s="737"/>
      <c r="D104" s="738"/>
      <c r="E104" s="738"/>
      <c r="F104" s="736"/>
      <c r="G104" s="739"/>
      <c r="H104" s="740"/>
      <c r="I104" s="740"/>
      <c r="J104" s="741"/>
      <c r="K104" s="741"/>
      <c r="L104" s="741"/>
      <c r="M104" s="741"/>
      <c r="N104" s="741"/>
      <c r="O104" s="741"/>
      <c r="P104" s="737"/>
      <c r="Q104" s="737"/>
      <c r="R104" s="737"/>
      <c r="S104" s="737"/>
      <c r="T104" s="737"/>
      <c r="U104" s="750"/>
      <c r="V104" s="726"/>
      <c r="W104" s="726"/>
    </row>
    <row r="105" ht="15.0" customHeight="1">
      <c r="A105" s="736"/>
      <c r="B105" s="737"/>
      <c r="C105" s="737"/>
      <c r="D105" s="737"/>
      <c r="E105" s="737"/>
      <c r="F105" s="736"/>
      <c r="G105" s="739"/>
      <c r="H105" s="740"/>
      <c r="I105" s="740"/>
      <c r="J105" s="741"/>
      <c r="K105" s="741"/>
      <c r="L105" s="741"/>
      <c r="M105" s="741"/>
      <c r="N105" s="741"/>
      <c r="O105" s="741"/>
      <c r="P105" s="737"/>
      <c r="Q105" s="737"/>
      <c r="R105" s="737"/>
      <c r="S105" s="737"/>
      <c r="T105" s="737"/>
      <c r="U105" s="750"/>
      <c r="V105" s="726"/>
      <c r="W105" s="726"/>
    </row>
    <row r="106" ht="15.0" customHeight="1">
      <c r="A106" s="736"/>
      <c r="B106" s="737"/>
      <c r="C106" s="737"/>
      <c r="D106" s="737"/>
      <c r="E106" s="737"/>
      <c r="F106" s="736"/>
      <c r="G106" s="739"/>
      <c r="H106" s="740"/>
      <c r="I106" s="920"/>
      <c r="J106" s="741"/>
      <c r="K106" s="741"/>
      <c r="L106" s="741"/>
      <c r="M106" s="741"/>
      <c r="N106" s="741"/>
      <c r="O106" s="741"/>
      <c r="P106" s="742"/>
      <c r="Q106" s="742"/>
      <c r="R106" s="742"/>
      <c r="S106" s="742"/>
      <c r="T106" s="742"/>
      <c r="U106" s="743"/>
      <c r="V106" s="744"/>
      <c r="W106" s="744"/>
    </row>
    <row r="107" ht="15.0" customHeight="1">
      <c r="A107" s="736"/>
      <c r="B107" s="921"/>
      <c r="C107" s="737"/>
      <c r="D107" s="738"/>
      <c r="E107" s="738"/>
      <c r="F107" s="736"/>
      <c r="G107" s="739"/>
      <c r="H107" s="740"/>
      <c r="I107" s="740"/>
      <c r="J107" s="741"/>
      <c r="K107" s="741"/>
      <c r="L107" s="741"/>
      <c r="M107" s="741"/>
      <c r="N107" s="741"/>
      <c r="O107" s="741"/>
      <c r="P107" s="737"/>
      <c r="Q107" s="737"/>
      <c r="R107" s="737"/>
      <c r="S107" s="737"/>
      <c r="T107" s="737"/>
      <c r="U107" s="750"/>
      <c r="V107" s="726"/>
      <c r="W107" s="726"/>
    </row>
    <row r="108" ht="15.0" customHeight="1">
      <c r="A108" s="736"/>
      <c r="B108" s="737"/>
      <c r="C108" s="737"/>
      <c r="D108" s="738"/>
      <c r="E108" s="738"/>
      <c r="F108" s="736"/>
      <c r="G108" s="739"/>
      <c r="H108" s="740"/>
      <c r="I108" s="740"/>
      <c r="J108" s="741"/>
      <c r="K108" s="741"/>
      <c r="L108" s="741"/>
      <c r="M108" s="741"/>
      <c r="N108" s="741"/>
      <c r="O108" s="741"/>
      <c r="P108" s="737"/>
      <c r="Q108" s="737"/>
      <c r="R108" s="737"/>
      <c r="S108" s="737"/>
      <c r="T108" s="737"/>
      <c r="U108" s="750"/>
      <c r="V108" s="726"/>
      <c r="W108" s="726"/>
    </row>
    <row r="109" ht="15.0" customHeight="1">
      <c r="A109" s="736"/>
      <c r="B109" s="737"/>
      <c r="C109" s="737"/>
      <c r="D109" s="738"/>
      <c r="E109" s="738"/>
      <c r="F109" s="736"/>
      <c r="G109" s="739"/>
      <c r="H109" s="740"/>
      <c r="I109" s="740"/>
      <c r="J109" s="741"/>
      <c r="K109" s="741"/>
      <c r="L109" s="741"/>
      <c r="M109" s="741"/>
      <c r="N109" s="741"/>
      <c r="O109" s="741"/>
      <c r="P109" s="737"/>
      <c r="Q109" s="737"/>
      <c r="R109" s="737"/>
      <c r="S109" s="737"/>
      <c r="T109" s="737"/>
      <c r="U109" s="750"/>
      <c r="V109" s="726"/>
      <c r="W109" s="726"/>
    </row>
    <row r="110" ht="15.0" customHeight="1">
      <c r="A110" s="725"/>
      <c r="B110" s="726"/>
      <c r="C110" s="726"/>
      <c r="D110" s="726"/>
      <c r="E110" s="726"/>
      <c r="F110" s="725"/>
      <c r="G110" s="727"/>
      <c r="H110" s="728"/>
      <c r="I110" s="728"/>
      <c r="J110" s="752"/>
      <c r="K110" s="752"/>
      <c r="L110" s="752"/>
      <c r="M110" s="752"/>
      <c r="N110" s="752"/>
      <c r="O110" s="752"/>
      <c r="P110" s="726"/>
      <c r="Q110" s="726"/>
      <c r="R110" s="726"/>
      <c r="S110" s="726"/>
      <c r="T110" s="726"/>
      <c r="U110" s="754"/>
      <c r="V110" s="726"/>
      <c r="W110" s="726"/>
    </row>
    <row r="111" ht="15.0" customHeight="1">
      <c r="A111" s="736"/>
      <c r="B111" s="737"/>
      <c r="C111" s="737"/>
      <c r="D111" s="737"/>
      <c r="E111" s="737"/>
      <c r="F111" s="736"/>
      <c r="G111" s="739"/>
      <c r="H111" s="740"/>
      <c r="I111" s="740"/>
      <c r="J111" s="741"/>
      <c r="K111" s="741"/>
      <c r="L111" s="741"/>
      <c r="M111" s="741"/>
      <c r="N111" s="741"/>
      <c r="O111" s="741"/>
      <c r="P111" s="737"/>
      <c r="Q111" s="737"/>
      <c r="R111" s="737"/>
      <c r="S111" s="737"/>
      <c r="T111" s="737"/>
      <c r="U111" s="750"/>
      <c r="V111" s="726"/>
      <c r="W111" s="726"/>
    </row>
    <row r="112" ht="15.0" customHeight="1">
      <c r="A112" s="736"/>
      <c r="B112" s="737"/>
      <c r="C112" s="737"/>
      <c r="D112" s="738"/>
      <c r="E112" s="738"/>
      <c r="F112" s="736"/>
      <c r="G112" s="739"/>
      <c r="H112" s="740"/>
      <c r="I112" s="740"/>
      <c r="J112" s="741"/>
      <c r="K112" s="741"/>
      <c r="L112" s="741"/>
      <c r="M112" s="741"/>
      <c r="N112" s="741"/>
      <c r="O112" s="741"/>
      <c r="P112" s="737"/>
      <c r="Q112" s="737"/>
      <c r="R112" s="737"/>
      <c r="S112" s="737"/>
      <c r="T112" s="737"/>
      <c r="U112" s="750"/>
      <c r="V112" s="726"/>
      <c r="W112" s="726"/>
    </row>
    <row r="113" ht="15.0" customHeight="1">
      <c r="A113" s="736"/>
      <c r="B113" s="737"/>
      <c r="C113" s="737"/>
      <c r="D113" s="738"/>
      <c r="E113" s="738"/>
      <c r="F113" s="736"/>
      <c r="G113" s="739"/>
      <c r="H113" s="740"/>
      <c r="I113" s="740"/>
      <c r="J113" s="741"/>
      <c r="K113" s="741"/>
      <c r="L113" s="741"/>
      <c r="M113" s="741"/>
      <c r="N113" s="741"/>
      <c r="O113" s="741"/>
      <c r="P113" s="737"/>
      <c r="Q113" s="737"/>
      <c r="R113" s="737"/>
      <c r="S113" s="737"/>
      <c r="T113" s="737"/>
      <c r="U113" s="750"/>
      <c r="V113" s="726"/>
      <c r="W113" s="726"/>
    </row>
    <row r="114" ht="15.0" customHeight="1">
      <c r="A114" s="725"/>
      <c r="B114" s="726"/>
      <c r="C114" s="726"/>
      <c r="D114" s="751"/>
      <c r="E114" s="751"/>
      <c r="F114" s="725"/>
      <c r="G114" s="727"/>
      <c r="H114" s="728"/>
      <c r="I114" s="728"/>
      <c r="J114" s="752"/>
      <c r="K114" s="752"/>
      <c r="L114" s="752"/>
      <c r="M114" s="752"/>
      <c r="N114" s="752"/>
      <c r="O114" s="752"/>
      <c r="P114" s="726"/>
      <c r="Q114" s="726"/>
      <c r="R114" s="726"/>
      <c r="S114" s="726"/>
      <c r="T114" s="726"/>
      <c r="U114" s="754"/>
      <c r="V114" s="726"/>
      <c r="W114" s="726"/>
    </row>
    <row r="115" ht="15.0" customHeight="1">
      <c r="A115" s="725"/>
      <c r="B115" s="726"/>
      <c r="C115" s="726"/>
      <c r="D115" s="751"/>
      <c r="E115" s="751"/>
      <c r="F115" s="725"/>
      <c r="G115" s="727"/>
      <c r="H115" s="728"/>
      <c r="I115" s="728"/>
      <c r="J115" s="752"/>
      <c r="K115" s="752"/>
      <c r="L115" s="752"/>
      <c r="M115" s="752"/>
      <c r="N115" s="752"/>
      <c r="O115" s="752"/>
      <c r="P115" s="726"/>
      <c r="Q115" s="726"/>
      <c r="R115" s="726"/>
      <c r="S115" s="726"/>
      <c r="T115" s="726"/>
      <c r="U115" s="754"/>
      <c r="V115" s="726"/>
      <c r="W115" s="726"/>
    </row>
    <row r="116" ht="15.0" customHeight="1">
      <c r="A116" s="736"/>
      <c r="B116" s="737"/>
      <c r="C116" s="737"/>
      <c r="D116" s="738"/>
      <c r="E116" s="738"/>
      <c r="F116" s="736"/>
      <c r="G116" s="739"/>
      <c r="H116" s="740"/>
      <c r="I116" s="740"/>
      <c r="J116" s="741"/>
      <c r="K116" s="741"/>
      <c r="L116" s="741"/>
      <c r="M116" s="741"/>
      <c r="N116" s="741"/>
      <c r="O116" s="741"/>
      <c r="P116" s="737"/>
      <c r="Q116" s="737"/>
      <c r="R116" s="737"/>
      <c r="S116" s="737"/>
      <c r="T116" s="737"/>
      <c r="U116" s="750"/>
      <c r="V116" s="726"/>
      <c r="W116" s="726"/>
    </row>
    <row r="117" ht="15.0" customHeight="1">
      <c r="A117" s="736"/>
      <c r="B117" s="737"/>
      <c r="C117" s="737"/>
      <c r="D117" s="738"/>
      <c r="E117" s="738"/>
      <c r="F117" s="736"/>
      <c r="G117" s="739"/>
      <c r="H117" s="740"/>
      <c r="I117" s="740"/>
      <c r="J117" s="741"/>
      <c r="K117" s="741"/>
      <c r="L117" s="741"/>
      <c r="M117" s="741"/>
      <c r="N117" s="741"/>
      <c r="O117" s="741"/>
      <c r="P117" s="737"/>
      <c r="Q117" s="737"/>
      <c r="R117" s="737"/>
      <c r="S117" s="737"/>
      <c r="T117" s="737"/>
      <c r="U117" s="750"/>
      <c r="V117" s="726"/>
      <c r="W117" s="726"/>
    </row>
    <row r="118" ht="15.0" customHeight="1">
      <c r="A118" s="725"/>
      <c r="B118" s="726"/>
      <c r="C118" s="726"/>
      <c r="D118" s="751"/>
      <c r="E118" s="751"/>
      <c r="F118" s="725"/>
      <c r="G118" s="727"/>
      <c r="H118" s="728"/>
      <c r="I118" s="728"/>
      <c r="J118" s="752"/>
      <c r="K118" s="752"/>
      <c r="L118" s="752"/>
      <c r="M118" s="752"/>
      <c r="N118" s="752"/>
      <c r="O118" s="752"/>
      <c r="P118" s="726"/>
      <c r="Q118" s="726"/>
      <c r="R118" s="726"/>
      <c r="S118" s="726"/>
      <c r="T118" s="726"/>
      <c r="U118" s="754"/>
      <c r="V118" s="726"/>
      <c r="W118" s="726"/>
    </row>
    <row r="119" ht="15.0" customHeight="1">
      <c r="A119" s="736"/>
      <c r="B119" s="737"/>
      <c r="C119" s="737"/>
      <c r="D119" s="738"/>
      <c r="E119" s="738"/>
      <c r="F119" s="736"/>
      <c r="G119" s="739"/>
      <c r="H119" s="740"/>
      <c r="I119" s="920"/>
      <c r="J119" s="741"/>
      <c r="K119" s="741"/>
      <c r="L119" s="741"/>
      <c r="M119" s="741"/>
      <c r="N119" s="741"/>
      <c r="O119" s="741"/>
      <c r="P119" s="737"/>
      <c r="Q119" s="737"/>
      <c r="R119" s="737"/>
      <c r="S119" s="737"/>
      <c r="T119" s="737"/>
      <c r="U119" s="750"/>
      <c r="V119" s="726"/>
      <c r="W119" s="726"/>
    </row>
    <row r="120" ht="15.0" customHeight="1">
      <c r="A120" s="725"/>
      <c r="B120" s="726"/>
      <c r="C120" s="726"/>
      <c r="D120" s="751"/>
      <c r="E120" s="751"/>
      <c r="F120" s="725"/>
      <c r="G120" s="727"/>
      <c r="H120" s="728"/>
      <c r="I120" s="728"/>
      <c r="J120" s="752"/>
      <c r="K120" s="752"/>
      <c r="L120" s="752"/>
      <c r="M120" s="752"/>
      <c r="N120" s="752"/>
      <c r="O120" s="752"/>
      <c r="P120" s="726"/>
      <c r="Q120" s="726"/>
      <c r="R120" s="726"/>
      <c r="S120" s="726"/>
      <c r="T120" s="726"/>
      <c r="U120" s="754"/>
      <c r="V120" s="726"/>
      <c r="W120" s="726"/>
    </row>
    <row r="121" ht="15.0" customHeight="1">
      <c r="A121" s="736"/>
      <c r="B121" s="737"/>
      <c r="C121" s="737"/>
      <c r="D121" s="737"/>
      <c r="E121" s="737"/>
      <c r="F121" s="736"/>
      <c r="G121" s="739"/>
      <c r="H121" s="740"/>
      <c r="I121" s="740"/>
      <c r="J121" s="741"/>
      <c r="K121" s="741"/>
      <c r="L121" s="741"/>
      <c r="M121" s="741"/>
      <c r="N121" s="741"/>
      <c r="O121" s="741"/>
      <c r="P121" s="737"/>
      <c r="Q121" s="737"/>
      <c r="R121" s="737"/>
      <c r="S121" s="737"/>
      <c r="T121" s="737"/>
      <c r="U121" s="750"/>
      <c r="V121" s="726"/>
      <c r="W121" s="726"/>
    </row>
    <row r="122" ht="15.0" customHeight="1">
      <c r="A122" s="736"/>
      <c r="B122" s="737"/>
      <c r="C122" s="737"/>
      <c r="D122" s="737"/>
      <c r="E122" s="737"/>
      <c r="F122" s="736"/>
      <c r="G122" s="739"/>
      <c r="H122" s="740"/>
      <c r="I122" s="740"/>
      <c r="J122" s="741"/>
      <c r="K122" s="741"/>
      <c r="L122" s="741"/>
      <c r="M122" s="741"/>
      <c r="N122" s="741"/>
      <c r="O122" s="741"/>
      <c r="P122" s="737"/>
      <c r="Q122" s="737"/>
      <c r="R122" s="737"/>
      <c r="S122" s="737"/>
      <c r="T122" s="737"/>
      <c r="U122" s="750"/>
      <c r="V122" s="726"/>
      <c r="W122" s="726"/>
    </row>
    <row r="123" ht="15.0" customHeight="1">
      <c r="A123" s="725"/>
      <c r="B123" s="726"/>
      <c r="C123" s="726"/>
      <c r="D123" s="726"/>
      <c r="E123" s="726"/>
      <c r="F123" s="725"/>
      <c r="G123" s="727"/>
      <c r="H123" s="728"/>
      <c r="I123" s="728"/>
      <c r="J123" s="752"/>
      <c r="K123" s="752"/>
      <c r="L123" s="752"/>
      <c r="M123" s="752"/>
      <c r="N123" s="752"/>
      <c r="O123" s="752"/>
      <c r="P123" s="726"/>
      <c r="Q123" s="726"/>
      <c r="R123" s="726"/>
      <c r="S123" s="726"/>
      <c r="T123" s="726"/>
      <c r="U123" s="754"/>
      <c r="V123" s="726"/>
      <c r="W123" s="726"/>
    </row>
    <row r="124" ht="15.0" customHeight="1">
      <c r="A124" s="736"/>
      <c r="B124" s="737"/>
      <c r="C124" s="737"/>
      <c r="D124" s="737"/>
      <c r="E124" s="737"/>
      <c r="F124" s="736"/>
      <c r="G124" s="739"/>
      <c r="H124" s="740"/>
      <c r="I124" s="740"/>
      <c r="J124" s="741"/>
      <c r="K124" s="741"/>
      <c r="L124" s="741"/>
      <c r="M124" s="741"/>
      <c r="N124" s="741"/>
      <c r="O124" s="741"/>
      <c r="P124" s="737"/>
      <c r="Q124" s="737"/>
      <c r="R124" s="737"/>
      <c r="S124" s="737"/>
      <c r="T124" s="737"/>
      <c r="U124" s="750"/>
      <c r="V124" s="726"/>
      <c r="W124" s="726"/>
    </row>
    <row r="125" ht="15.0" customHeight="1">
      <c r="A125" s="725"/>
      <c r="B125" s="726"/>
      <c r="C125" s="726"/>
      <c r="D125" s="726"/>
      <c r="E125" s="726"/>
      <c r="F125" s="725"/>
      <c r="G125" s="727"/>
      <c r="H125" s="728"/>
      <c r="I125" s="728"/>
      <c r="J125" s="752"/>
      <c r="K125" s="752"/>
      <c r="L125" s="752"/>
      <c r="M125" s="752"/>
      <c r="N125" s="752"/>
      <c r="O125" s="752"/>
      <c r="P125" s="726"/>
      <c r="Q125" s="726"/>
      <c r="R125" s="726"/>
      <c r="S125" s="726"/>
      <c r="T125" s="726"/>
      <c r="U125" s="754"/>
      <c r="V125" s="726"/>
      <c r="W125" s="726"/>
    </row>
    <row r="126" ht="15.0" customHeight="1">
      <c r="A126" s="736"/>
      <c r="B126" s="737"/>
      <c r="C126" s="737"/>
      <c r="D126" s="737"/>
      <c r="E126" s="737"/>
      <c r="F126" s="736"/>
      <c r="G126" s="739"/>
      <c r="H126" s="740"/>
      <c r="I126" s="740"/>
      <c r="J126" s="741"/>
      <c r="K126" s="741"/>
      <c r="L126" s="741"/>
      <c r="M126" s="741"/>
      <c r="N126" s="741"/>
      <c r="O126" s="741"/>
      <c r="P126" s="737"/>
      <c r="Q126" s="737"/>
      <c r="R126" s="737"/>
      <c r="S126" s="737"/>
      <c r="T126" s="737"/>
      <c r="U126" s="750"/>
      <c r="V126" s="726"/>
      <c r="W126" s="726"/>
    </row>
    <row r="127" ht="15.0" customHeight="1">
      <c r="A127" s="736"/>
      <c r="B127" s="737"/>
      <c r="C127" s="737"/>
      <c r="D127" s="737"/>
      <c r="E127" s="737"/>
      <c r="F127" s="736"/>
      <c r="G127" s="739"/>
      <c r="H127" s="740"/>
      <c r="I127" s="740"/>
      <c r="J127" s="741"/>
      <c r="K127" s="741"/>
      <c r="L127" s="741"/>
      <c r="M127" s="741"/>
      <c r="N127" s="741"/>
      <c r="O127" s="741"/>
      <c r="P127" s="737"/>
      <c r="Q127" s="737"/>
      <c r="R127" s="737"/>
      <c r="S127" s="737"/>
      <c r="T127" s="737"/>
      <c r="U127" s="750"/>
      <c r="V127" s="726"/>
      <c r="W127" s="726"/>
    </row>
    <row r="128" ht="15.0" customHeight="1">
      <c r="A128" s="736"/>
      <c r="B128" s="737"/>
      <c r="C128" s="737"/>
      <c r="D128" s="737"/>
      <c r="E128" s="737"/>
      <c r="F128" s="736"/>
      <c r="G128" s="739"/>
      <c r="H128" s="740"/>
      <c r="I128" s="740"/>
      <c r="J128" s="741"/>
      <c r="K128" s="741"/>
      <c r="L128" s="741"/>
      <c r="M128" s="741"/>
      <c r="N128" s="741"/>
      <c r="O128" s="741"/>
      <c r="P128" s="737"/>
      <c r="Q128" s="737"/>
      <c r="R128" s="737"/>
      <c r="S128" s="737"/>
      <c r="T128" s="737"/>
      <c r="U128" s="750"/>
      <c r="V128" s="726"/>
      <c r="W128" s="726"/>
    </row>
    <row r="129" ht="15.0" customHeight="1">
      <c r="A129" s="736"/>
      <c r="B129" s="737"/>
      <c r="C129" s="737"/>
      <c r="D129" s="738"/>
      <c r="E129" s="738"/>
      <c r="F129" s="736"/>
      <c r="G129" s="739"/>
      <c r="H129" s="740"/>
      <c r="I129" s="740"/>
      <c r="J129" s="741"/>
      <c r="K129" s="741"/>
      <c r="L129" s="741"/>
      <c r="M129" s="741"/>
      <c r="N129" s="741"/>
      <c r="O129" s="741"/>
      <c r="P129" s="737"/>
      <c r="Q129" s="737"/>
      <c r="R129" s="737"/>
      <c r="S129" s="737"/>
      <c r="T129" s="737"/>
      <c r="U129" s="750"/>
      <c r="V129" s="726"/>
      <c r="W129" s="726"/>
    </row>
    <row r="130" ht="15.0" customHeight="1">
      <c r="A130" s="736"/>
      <c r="B130" s="737"/>
      <c r="C130" s="737"/>
      <c r="D130" s="737"/>
      <c r="E130" s="737"/>
      <c r="F130" s="736"/>
      <c r="G130" s="739"/>
      <c r="H130" s="740"/>
      <c r="I130" s="740"/>
      <c r="J130" s="741"/>
      <c r="K130" s="741"/>
      <c r="L130" s="741"/>
      <c r="M130" s="741"/>
      <c r="N130" s="741"/>
      <c r="O130" s="741"/>
      <c r="P130" s="737"/>
      <c r="Q130" s="737"/>
      <c r="R130" s="737"/>
      <c r="S130" s="737"/>
      <c r="T130" s="737"/>
      <c r="U130" s="750"/>
      <c r="V130" s="726"/>
      <c r="W130" s="726"/>
    </row>
    <row r="131" ht="15.0" customHeight="1">
      <c r="A131" s="736"/>
      <c r="B131" s="737"/>
      <c r="C131" s="737"/>
      <c r="D131" s="738"/>
      <c r="E131" s="738"/>
      <c r="F131" s="736"/>
      <c r="G131" s="739"/>
      <c r="H131" s="740"/>
      <c r="I131" s="740"/>
      <c r="J131" s="741"/>
      <c r="K131" s="741"/>
      <c r="L131" s="741"/>
      <c r="M131" s="741"/>
      <c r="N131" s="741"/>
      <c r="O131" s="741"/>
      <c r="P131" s="737"/>
      <c r="Q131" s="737"/>
      <c r="R131" s="737"/>
      <c r="S131" s="737"/>
      <c r="T131" s="737"/>
      <c r="U131" s="750"/>
      <c r="V131" s="726"/>
      <c r="W131" s="726"/>
    </row>
    <row r="132" ht="15.0" customHeight="1">
      <c r="A132" s="736"/>
      <c r="B132" s="737"/>
      <c r="C132" s="737"/>
      <c r="D132" s="737"/>
      <c r="E132" s="737"/>
      <c r="F132" s="736"/>
      <c r="G132" s="739"/>
      <c r="H132" s="740"/>
      <c r="I132" s="740"/>
      <c r="J132" s="741"/>
      <c r="K132" s="741"/>
      <c r="L132" s="741"/>
      <c r="M132" s="741"/>
      <c r="N132" s="741"/>
      <c r="O132" s="741"/>
      <c r="P132" s="737"/>
      <c r="Q132" s="737"/>
      <c r="R132" s="737"/>
      <c r="S132" s="737"/>
      <c r="T132" s="737"/>
      <c r="U132" s="750"/>
      <c r="V132" s="726"/>
      <c r="W132" s="726"/>
    </row>
    <row r="133" ht="15.0" customHeight="1">
      <c r="A133" s="736"/>
      <c r="B133" s="921"/>
      <c r="C133" s="737"/>
      <c r="D133" s="738"/>
      <c r="E133" s="738"/>
      <c r="F133" s="736"/>
      <c r="G133" s="739"/>
      <c r="H133" s="740"/>
      <c r="I133" s="740"/>
      <c r="J133" s="741"/>
      <c r="K133" s="741"/>
      <c r="L133" s="741"/>
      <c r="M133" s="741"/>
      <c r="N133" s="741"/>
      <c r="O133" s="741"/>
      <c r="P133" s="737"/>
      <c r="Q133" s="737"/>
      <c r="R133" s="737"/>
      <c r="S133" s="737"/>
      <c r="T133" s="737"/>
      <c r="U133" s="750"/>
      <c r="V133" s="726"/>
      <c r="W133" s="726"/>
    </row>
    <row r="134" ht="15.0" customHeight="1">
      <c r="A134" s="736"/>
      <c r="B134" s="737"/>
      <c r="C134" s="737"/>
      <c r="D134" s="738"/>
      <c r="E134" s="738"/>
      <c r="F134" s="736"/>
      <c r="G134" s="739"/>
      <c r="H134" s="740"/>
      <c r="I134" s="740"/>
      <c r="J134" s="741"/>
      <c r="K134" s="741"/>
      <c r="L134" s="741"/>
      <c r="M134" s="741"/>
      <c r="N134" s="741"/>
      <c r="O134" s="741"/>
      <c r="P134" s="737"/>
      <c r="Q134" s="737"/>
      <c r="R134" s="737"/>
      <c r="S134" s="737"/>
      <c r="T134" s="737"/>
      <c r="U134" s="750"/>
      <c r="V134" s="726"/>
      <c r="W134" s="726"/>
    </row>
    <row r="135" ht="15.0" customHeight="1">
      <c r="A135" s="736"/>
      <c r="B135" s="737"/>
      <c r="C135" s="737"/>
      <c r="D135" s="738"/>
      <c r="E135" s="738"/>
      <c r="F135" s="736"/>
      <c r="G135" s="739"/>
      <c r="H135" s="740"/>
      <c r="I135" s="740"/>
      <c r="J135" s="741"/>
      <c r="K135" s="741"/>
      <c r="L135" s="741"/>
      <c r="M135" s="741"/>
      <c r="N135" s="741"/>
      <c r="O135" s="741"/>
      <c r="P135" s="737"/>
      <c r="Q135" s="737"/>
      <c r="R135" s="737"/>
      <c r="S135" s="737"/>
      <c r="T135" s="737"/>
      <c r="U135" s="750"/>
      <c r="V135" s="726"/>
      <c r="W135" s="726"/>
    </row>
    <row r="136" ht="15.0" customHeight="1">
      <c r="A136" s="736"/>
      <c r="B136" s="737"/>
      <c r="C136" s="737"/>
      <c r="D136" s="738"/>
      <c r="E136" s="738"/>
      <c r="F136" s="736"/>
      <c r="G136" s="739"/>
      <c r="H136" s="740"/>
      <c r="I136" s="740"/>
      <c r="J136" s="741"/>
      <c r="K136" s="741"/>
      <c r="L136" s="741"/>
      <c r="M136" s="741"/>
      <c r="N136" s="741"/>
      <c r="O136" s="741"/>
      <c r="P136" s="737"/>
      <c r="Q136" s="737"/>
      <c r="R136" s="737"/>
      <c r="S136" s="737"/>
      <c r="T136" s="737"/>
      <c r="U136" s="750"/>
      <c r="V136" s="726"/>
      <c r="W136" s="726"/>
    </row>
    <row r="137" ht="15.0" customHeight="1">
      <c r="A137" s="736"/>
      <c r="B137" s="737"/>
      <c r="C137" s="737"/>
      <c r="D137" s="738"/>
      <c r="E137" s="738"/>
      <c r="F137" s="736"/>
      <c r="G137" s="739"/>
      <c r="H137" s="740"/>
      <c r="I137" s="740"/>
      <c r="J137" s="741"/>
      <c r="K137" s="741"/>
      <c r="L137" s="741"/>
      <c r="M137" s="741"/>
      <c r="N137" s="741"/>
      <c r="O137" s="741"/>
      <c r="P137" s="737"/>
      <c r="Q137" s="737"/>
      <c r="R137" s="737"/>
      <c r="S137" s="737"/>
      <c r="T137" s="737"/>
      <c r="U137" s="750"/>
      <c r="V137" s="726"/>
      <c r="W137" s="726"/>
    </row>
    <row r="138" ht="15.0" customHeight="1">
      <c r="A138" s="736"/>
      <c r="B138" s="737"/>
      <c r="C138" s="737"/>
      <c r="D138" s="738"/>
      <c r="E138" s="738"/>
      <c r="F138" s="736"/>
      <c r="G138" s="739"/>
      <c r="H138" s="740"/>
      <c r="I138" s="740"/>
      <c r="J138" s="741"/>
      <c r="K138" s="741"/>
      <c r="L138" s="741"/>
      <c r="M138" s="741"/>
      <c r="N138" s="741"/>
      <c r="O138" s="741"/>
      <c r="P138" s="737"/>
      <c r="Q138" s="737"/>
      <c r="R138" s="737"/>
      <c r="S138" s="737"/>
      <c r="T138" s="737"/>
      <c r="U138" s="750"/>
      <c r="V138" s="726"/>
      <c r="W138" s="726"/>
    </row>
    <row r="139" ht="15.0" customHeight="1">
      <c r="A139" s="736"/>
      <c r="B139" s="737"/>
      <c r="C139" s="737"/>
      <c r="D139" s="738"/>
      <c r="E139" s="738"/>
      <c r="F139" s="736"/>
      <c r="G139" s="739"/>
      <c r="H139" s="740"/>
      <c r="I139" s="740"/>
      <c r="J139" s="741"/>
      <c r="K139" s="741"/>
      <c r="L139" s="741"/>
      <c r="M139" s="741"/>
      <c r="N139" s="741"/>
      <c r="O139" s="741"/>
      <c r="P139" s="737"/>
      <c r="Q139" s="737"/>
      <c r="R139" s="737"/>
      <c r="S139" s="737"/>
      <c r="T139" s="737"/>
      <c r="U139" s="750"/>
      <c r="V139" s="726"/>
      <c r="W139" s="726"/>
    </row>
    <row r="140" ht="15.0" customHeight="1">
      <c r="A140" s="736"/>
      <c r="B140" s="737"/>
      <c r="C140" s="737"/>
      <c r="D140" s="738"/>
      <c r="E140" s="738"/>
      <c r="F140" s="736"/>
      <c r="G140" s="739"/>
      <c r="H140" s="740"/>
      <c r="I140" s="740"/>
      <c r="J140" s="741"/>
      <c r="K140" s="741"/>
      <c r="L140" s="741"/>
      <c r="M140" s="741"/>
      <c r="N140" s="741"/>
      <c r="O140" s="741"/>
      <c r="P140" s="737"/>
      <c r="Q140" s="737"/>
      <c r="R140" s="737"/>
      <c r="S140" s="737"/>
      <c r="T140" s="737"/>
      <c r="U140" s="750"/>
      <c r="V140" s="726"/>
      <c r="W140" s="726"/>
    </row>
    <row r="141" ht="15.0" customHeight="1">
      <c r="A141" s="736"/>
      <c r="B141" s="737"/>
      <c r="C141" s="737"/>
      <c r="D141" s="738"/>
      <c r="E141" s="738"/>
      <c r="F141" s="736"/>
      <c r="G141" s="739"/>
      <c r="H141" s="740"/>
      <c r="I141" s="740"/>
      <c r="J141" s="741"/>
      <c r="K141" s="741"/>
      <c r="L141" s="741"/>
      <c r="M141" s="741"/>
      <c r="N141" s="741"/>
      <c r="O141" s="741"/>
      <c r="P141" s="737"/>
      <c r="Q141" s="737"/>
      <c r="R141" s="737"/>
      <c r="S141" s="737"/>
      <c r="T141" s="737"/>
      <c r="U141" s="750"/>
      <c r="V141" s="726"/>
      <c r="W141" s="726"/>
    </row>
    <row r="142" ht="15.0" customHeight="1">
      <c r="A142" s="725"/>
      <c r="B142" s="726"/>
      <c r="C142" s="726"/>
      <c r="D142" s="751"/>
      <c r="E142" s="751"/>
      <c r="F142" s="725"/>
      <c r="G142" s="727"/>
      <c r="H142" s="728"/>
      <c r="I142" s="728"/>
      <c r="J142" s="752"/>
      <c r="K142" s="752"/>
      <c r="L142" s="752"/>
      <c r="M142" s="752"/>
      <c r="N142" s="752"/>
      <c r="O142" s="752"/>
      <c r="P142" s="726"/>
      <c r="Q142" s="726"/>
      <c r="R142" s="726"/>
      <c r="S142" s="726"/>
      <c r="T142" s="726"/>
      <c r="U142" s="754"/>
      <c r="V142" s="726"/>
      <c r="W142" s="726"/>
    </row>
    <row r="143" ht="15.0" customHeight="1">
      <c r="A143" s="736"/>
      <c r="B143" s="737"/>
      <c r="C143" s="737"/>
      <c r="D143" s="738"/>
      <c r="E143" s="738"/>
      <c r="F143" s="736"/>
      <c r="G143" s="739"/>
      <c r="H143" s="740"/>
      <c r="I143" s="740"/>
      <c r="J143" s="741"/>
      <c r="K143" s="741"/>
      <c r="L143" s="741"/>
      <c r="M143" s="741"/>
      <c r="N143" s="741"/>
      <c r="O143" s="741"/>
      <c r="P143" s="737"/>
      <c r="Q143" s="737"/>
      <c r="R143" s="737"/>
      <c r="S143" s="737"/>
      <c r="T143" s="737"/>
      <c r="U143" s="750"/>
      <c r="V143" s="726"/>
      <c r="W143" s="726"/>
    </row>
    <row r="144" ht="15.0" customHeight="1">
      <c r="A144" s="736"/>
      <c r="B144" s="737"/>
      <c r="C144" s="737"/>
      <c r="D144" s="738"/>
      <c r="E144" s="738"/>
      <c r="F144" s="736"/>
      <c r="G144" s="739"/>
      <c r="H144" s="740"/>
      <c r="I144" s="740"/>
      <c r="J144" s="741"/>
      <c r="K144" s="741"/>
      <c r="L144" s="741"/>
      <c r="M144" s="741"/>
      <c r="N144" s="741"/>
      <c r="O144" s="741"/>
      <c r="P144" s="737"/>
      <c r="Q144" s="737"/>
      <c r="R144" s="737"/>
      <c r="S144" s="737"/>
      <c r="T144" s="737"/>
      <c r="U144" s="750"/>
      <c r="V144" s="726"/>
      <c r="W144" s="726"/>
    </row>
    <row r="145" ht="15.0" customHeight="1">
      <c r="A145" s="736"/>
      <c r="B145" s="737"/>
      <c r="C145" s="737"/>
      <c r="D145" s="738"/>
      <c r="E145" s="738"/>
      <c r="F145" s="736"/>
      <c r="G145" s="739"/>
      <c r="H145" s="740"/>
      <c r="I145" s="740"/>
      <c r="J145" s="741"/>
      <c r="K145" s="741"/>
      <c r="L145" s="741"/>
      <c r="M145" s="741"/>
      <c r="N145" s="741"/>
      <c r="O145" s="741"/>
      <c r="P145" s="737"/>
      <c r="Q145" s="737"/>
      <c r="R145" s="737"/>
      <c r="S145" s="737"/>
      <c r="T145" s="737"/>
      <c r="U145" s="750"/>
      <c r="V145" s="726"/>
      <c r="W145" s="726"/>
    </row>
    <row r="146" ht="15.0" customHeight="1">
      <c r="A146" s="736"/>
      <c r="B146" s="737"/>
      <c r="C146" s="737"/>
      <c r="D146" s="737"/>
      <c r="E146" s="737"/>
      <c r="F146" s="736"/>
      <c r="G146" s="739"/>
      <c r="H146" s="740"/>
      <c r="I146" s="740"/>
      <c r="J146" s="741"/>
      <c r="K146" s="741"/>
      <c r="L146" s="741"/>
      <c r="M146" s="741"/>
      <c r="N146" s="741"/>
      <c r="O146" s="741"/>
      <c r="P146" s="737"/>
      <c r="Q146" s="737"/>
      <c r="R146" s="737"/>
      <c r="S146" s="737"/>
      <c r="T146" s="737"/>
      <c r="U146" s="750"/>
      <c r="V146" s="726"/>
      <c r="W146" s="726"/>
    </row>
    <row r="147" ht="15.0" customHeight="1">
      <c r="A147" s="736"/>
      <c r="B147" s="737"/>
      <c r="C147" s="737"/>
      <c r="D147" s="737"/>
      <c r="E147" s="737"/>
      <c r="F147" s="736"/>
      <c r="G147" s="739"/>
      <c r="H147" s="740"/>
      <c r="I147" s="740"/>
      <c r="J147" s="741"/>
      <c r="K147" s="741"/>
      <c r="L147" s="741"/>
      <c r="M147" s="741"/>
      <c r="N147" s="741"/>
      <c r="O147" s="741"/>
      <c r="P147" s="737"/>
      <c r="Q147" s="737"/>
      <c r="R147" s="737"/>
      <c r="S147" s="737"/>
      <c r="T147" s="737"/>
      <c r="U147" s="750"/>
      <c r="V147" s="726"/>
      <c r="W147" s="726"/>
    </row>
    <row r="148" ht="15.0" customHeight="1">
      <c r="A148" s="736"/>
      <c r="B148" s="737"/>
      <c r="C148" s="737"/>
      <c r="D148" s="738"/>
      <c r="E148" s="738"/>
      <c r="F148" s="736"/>
      <c r="G148" s="739"/>
      <c r="H148" s="740"/>
      <c r="I148" s="740"/>
      <c r="J148" s="741"/>
      <c r="K148" s="741"/>
      <c r="L148" s="741"/>
      <c r="M148" s="741"/>
      <c r="N148" s="741"/>
      <c r="O148" s="741"/>
      <c r="P148" s="737"/>
      <c r="Q148" s="737"/>
      <c r="R148" s="737"/>
      <c r="S148" s="737"/>
      <c r="T148" s="737"/>
      <c r="U148" s="750"/>
      <c r="V148" s="726"/>
      <c r="W148" s="726"/>
    </row>
    <row r="149" ht="15.0" customHeight="1">
      <c r="A149" s="736"/>
      <c r="B149" s="737"/>
      <c r="C149" s="737"/>
      <c r="D149" s="738"/>
      <c r="E149" s="738"/>
      <c r="F149" s="736"/>
      <c r="G149" s="739"/>
      <c r="H149" s="740"/>
      <c r="I149" s="740"/>
      <c r="J149" s="741"/>
      <c r="K149" s="741"/>
      <c r="L149" s="741"/>
      <c r="M149" s="741"/>
      <c r="N149" s="741"/>
      <c r="O149" s="741"/>
      <c r="P149" s="737"/>
      <c r="Q149" s="737"/>
      <c r="R149" s="737"/>
      <c r="S149" s="737"/>
      <c r="T149" s="737"/>
      <c r="U149" s="750"/>
      <c r="V149" s="726"/>
      <c r="W149" s="726"/>
    </row>
    <row r="150" ht="15.0" customHeight="1">
      <c r="A150" s="736"/>
      <c r="B150" s="737"/>
      <c r="C150" s="737"/>
      <c r="D150" s="738"/>
      <c r="E150" s="738"/>
      <c r="F150" s="736"/>
      <c r="G150" s="739"/>
      <c r="H150" s="740"/>
      <c r="I150" s="740"/>
      <c r="J150" s="741"/>
      <c r="K150" s="741"/>
      <c r="L150" s="741"/>
      <c r="M150" s="741"/>
      <c r="N150" s="741"/>
      <c r="O150" s="741"/>
      <c r="P150" s="737"/>
      <c r="Q150" s="737"/>
      <c r="R150" s="737"/>
      <c r="S150" s="737"/>
      <c r="T150" s="737"/>
      <c r="U150" s="750"/>
      <c r="V150" s="726"/>
      <c r="W150" s="726"/>
    </row>
    <row r="151" ht="15.0" customHeight="1">
      <c r="A151" s="736"/>
      <c r="B151" s="737"/>
      <c r="C151" s="737"/>
      <c r="D151" s="738"/>
      <c r="E151" s="738"/>
      <c r="F151" s="736"/>
      <c r="G151" s="739"/>
      <c r="H151" s="740"/>
      <c r="I151" s="740"/>
      <c r="J151" s="741"/>
      <c r="K151" s="741"/>
      <c r="L151" s="741"/>
      <c r="M151" s="741"/>
      <c r="N151" s="741"/>
      <c r="O151" s="741"/>
      <c r="P151" s="737"/>
      <c r="Q151" s="737"/>
      <c r="R151" s="737"/>
      <c r="S151" s="737"/>
      <c r="T151" s="737"/>
      <c r="U151" s="750"/>
      <c r="V151" s="726"/>
      <c r="W151" s="726"/>
    </row>
    <row r="152" ht="15.0" customHeight="1">
      <c r="A152" s="736"/>
      <c r="B152" s="737"/>
      <c r="C152" s="737"/>
      <c r="D152" s="738"/>
      <c r="E152" s="738"/>
      <c r="F152" s="736"/>
      <c r="G152" s="739"/>
      <c r="H152" s="740"/>
      <c r="I152" s="740"/>
      <c r="J152" s="741"/>
      <c r="K152" s="741"/>
      <c r="L152" s="741"/>
      <c r="M152" s="741"/>
      <c r="N152" s="741"/>
      <c r="O152" s="741"/>
      <c r="P152" s="737"/>
      <c r="Q152" s="737"/>
      <c r="R152" s="737"/>
      <c r="S152" s="737"/>
      <c r="T152" s="737"/>
      <c r="U152" s="750"/>
      <c r="V152" s="726"/>
      <c r="W152" s="726"/>
    </row>
    <row r="153" ht="15.0" customHeight="1">
      <c r="A153" s="736"/>
      <c r="B153" s="737"/>
      <c r="C153" s="737"/>
      <c r="D153" s="738"/>
      <c r="E153" s="738"/>
      <c r="F153" s="736"/>
      <c r="G153" s="739"/>
      <c r="H153" s="740"/>
      <c r="I153" s="740"/>
      <c r="J153" s="741"/>
      <c r="K153" s="741"/>
      <c r="L153" s="741"/>
      <c r="M153" s="741"/>
      <c r="N153" s="741"/>
      <c r="O153" s="741"/>
      <c r="P153" s="737"/>
      <c r="Q153" s="737"/>
      <c r="R153" s="737"/>
      <c r="S153" s="737"/>
      <c r="T153" s="737"/>
      <c r="U153" s="750"/>
      <c r="V153" s="726"/>
      <c r="W153" s="726"/>
    </row>
    <row r="154" ht="15.0" customHeight="1">
      <c r="A154" s="736"/>
      <c r="B154" s="737"/>
      <c r="C154" s="737"/>
      <c r="D154" s="738"/>
      <c r="E154" s="738"/>
      <c r="F154" s="736"/>
      <c r="G154" s="739"/>
      <c r="H154" s="740"/>
      <c r="I154" s="740"/>
      <c r="J154" s="741"/>
      <c r="K154" s="741"/>
      <c r="L154" s="741"/>
      <c r="M154" s="741"/>
      <c r="N154" s="741"/>
      <c r="O154" s="741"/>
      <c r="P154" s="737"/>
      <c r="Q154" s="737"/>
      <c r="R154" s="737"/>
      <c r="S154" s="737"/>
      <c r="T154" s="737"/>
      <c r="U154" s="750"/>
      <c r="V154" s="726"/>
      <c r="W154" s="726"/>
    </row>
    <row r="155" ht="15.0" customHeight="1">
      <c r="A155" s="736"/>
      <c r="B155" s="737"/>
      <c r="C155" s="737"/>
      <c r="D155" s="738"/>
      <c r="E155" s="738"/>
      <c r="F155" s="736"/>
      <c r="G155" s="739"/>
      <c r="H155" s="740"/>
      <c r="I155" s="740"/>
      <c r="J155" s="741"/>
      <c r="K155" s="741"/>
      <c r="L155" s="741"/>
      <c r="M155" s="741"/>
      <c r="N155" s="741"/>
      <c r="O155" s="741"/>
      <c r="P155" s="737"/>
      <c r="Q155" s="737"/>
      <c r="R155" s="737"/>
      <c r="S155" s="737"/>
      <c r="T155" s="737"/>
      <c r="U155" s="750"/>
      <c r="V155" s="726"/>
      <c r="W155" s="726"/>
    </row>
    <row r="156" ht="15.0" customHeight="1">
      <c r="A156" s="725"/>
      <c r="B156" s="726"/>
      <c r="C156" s="726"/>
      <c r="D156" s="751"/>
      <c r="E156" s="751"/>
      <c r="F156" s="725"/>
      <c r="G156" s="727"/>
      <c r="H156" s="728"/>
      <c r="I156" s="728"/>
      <c r="J156" s="752"/>
      <c r="K156" s="752"/>
      <c r="L156" s="752"/>
      <c r="M156" s="752"/>
      <c r="N156" s="752"/>
      <c r="O156" s="752"/>
      <c r="P156" s="726"/>
      <c r="Q156" s="726"/>
      <c r="R156" s="726"/>
      <c r="S156" s="726"/>
      <c r="T156" s="726"/>
      <c r="U156" s="754"/>
      <c r="V156" s="726"/>
      <c r="W156" s="726"/>
    </row>
    <row r="157" ht="15.0" customHeight="1">
      <c r="A157" s="736"/>
      <c r="B157" s="737"/>
      <c r="C157" s="737"/>
      <c r="D157" s="738"/>
      <c r="E157" s="738"/>
      <c r="F157" s="736"/>
      <c r="G157" s="739"/>
      <c r="H157" s="740"/>
      <c r="I157" s="740"/>
      <c r="J157" s="741"/>
      <c r="K157" s="741"/>
      <c r="L157" s="741"/>
      <c r="M157" s="741"/>
      <c r="N157" s="741"/>
      <c r="O157" s="741"/>
      <c r="P157" s="737"/>
      <c r="Q157" s="737"/>
      <c r="R157" s="737"/>
      <c r="S157" s="737"/>
      <c r="T157" s="737"/>
      <c r="U157" s="750"/>
      <c r="V157" s="726"/>
      <c r="W157" s="726"/>
    </row>
    <row r="158" ht="15.0" customHeight="1">
      <c r="A158" s="736"/>
      <c r="B158" s="737"/>
      <c r="C158" s="737"/>
      <c r="D158" s="738"/>
      <c r="E158" s="738"/>
      <c r="F158" s="736"/>
      <c r="G158" s="739"/>
      <c r="H158" s="740"/>
      <c r="I158" s="740"/>
      <c r="J158" s="741"/>
      <c r="K158" s="741"/>
      <c r="L158" s="741"/>
      <c r="M158" s="741"/>
      <c r="N158" s="741"/>
      <c r="O158" s="741"/>
      <c r="P158" s="737"/>
      <c r="Q158" s="737"/>
      <c r="R158" s="737"/>
      <c r="S158" s="737"/>
      <c r="T158" s="737"/>
      <c r="U158" s="750"/>
      <c r="V158" s="726"/>
      <c r="W158" s="726"/>
    </row>
    <row r="159" ht="15.0" customHeight="1">
      <c r="A159" s="736"/>
      <c r="B159" s="737"/>
      <c r="C159" s="737"/>
      <c r="D159" s="738"/>
      <c r="E159" s="738"/>
      <c r="F159" s="736"/>
      <c r="G159" s="739"/>
      <c r="H159" s="740"/>
      <c r="I159" s="740"/>
      <c r="J159" s="741"/>
      <c r="K159" s="741"/>
      <c r="L159" s="741"/>
      <c r="M159" s="741"/>
      <c r="N159" s="741"/>
      <c r="O159" s="741"/>
      <c r="P159" s="737"/>
      <c r="Q159" s="737"/>
      <c r="R159" s="737"/>
      <c r="S159" s="737"/>
      <c r="T159" s="737"/>
      <c r="U159" s="750"/>
      <c r="V159" s="726"/>
      <c r="W159" s="726"/>
    </row>
    <row r="160" ht="15.0" customHeight="1">
      <c r="A160" s="736"/>
      <c r="B160" s="737"/>
      <c r="C160" s="737"/>
      <c r="D160" s="738"/>
      <c r="E160" s="738"/>
      <c r="F160" s="736"/>
      <c r="G160" s="739"/>
      <c r="H160" s="740"/>
      <c r="I160" s="740"/>
      <c r="J160" s="741"/>
      <c r="K160" s="741"/>
      <c r="L160" s="741"/>
      <c r="M160" s="741"/>
      <c r="N160" s="741"/>
      <c r="O160" s="741"/>
      <c r="P160" s="737"/>
      <c r="Q160" s="737"/>
      <c r="R160" s="737"/>
      <c r="S160" s="737"/>
      <c r="T160" s="737"/>
      <c r="U160" s="750"/>
      <c r="V160" s="726"/>
      <c r="W160" s="726"/>
    </row>
    <row r="161" ht="15.0" customHeight="1">
      <c r="A161" s="736"/>
      <c r="B161" s="737"/>
      <c r="C161" s="737"/>
      <c r="D161" s="738"/>
      <c r="E161" s="738"/>
      <c r="F161" s="736"/>
      <c r="G161" s="739"/>
      <c r="H161" s="740"/>
      <c r="I161" s="740"/>
      <c r="J161" s="741"/>
      <c r="K161" s="741"/>
      <c r="L161" s="741"/>
      <c r="M161" s="741"/>
      <c r="N161" s="741"/>
      <c r="O161" s="741"/>
      <c r="P161" s="737"/>
      <c r="Q161" s="737"/>
      <c r="R161" s="737"/>
      <c r="S161" s="737"/>
      <c r="T161" s="737"/>
      <c r="U161" s="750"/>
      <c r="V161" s="726"/>
      <c r="W161" s="726"/>
    </row>
    <row r="162" ht="15.0" customHeight="1">
      <c r="A162" s="736"/>
      <c r="B162" s="737"/>
      <c r="C162" s="737"/>
      <c r="D162" s="738"/>
      <c r="E162" s="738"/>
      <c r="F162" s="736"/>
      <c r="G162" s="739"/>
      <c r="H162" s="740"/>
      <c r="I162" s="740"/>
      <c r="J162" s="741"/>
      <c r="K162" s="741"/>
      <c r="L162" s="741"/>
      <c r="M162" s="741"/>
      <c r="N162" s="741"/>
      <c r="O162" s="741"/>
      <c r="P162" s="737"/>
      <c r="Q162" s="737"/>
      <c r="R162" s="737"/>
      <c r="S162" s="737"/>
      <c r="T162" s="737"/>
      <c r="U162" s="750"/>
      <c r="V162" s="726"/>
      <c r="W162" s="726"/>
    </row>
    <row r="163" ht="15.0" customHeight="1">
      <c r="A163" s="736"/>
      <c r="B163" s="737"/>
      <c r="C163" s="737"/>
      <c r="D163" s="738"/>
      <c r="E163" s="738"/>
      <c r="F163" s="736"/>
      <c r="G163" s="739"/>
      <c r="H163" s="740"/>
      <c r="I163" s="740"/>
      <c r="J163" s="741"/>
      <c r="K163" s="741"/>
      <c r="L163" s="741"/>
      <c r="M163" s="741"/>
      <c r="N163" s="741"/>
      <c r="O163" s="741"/>
      <c r="P163" s="737"/>
      <c r="Q163" s="737"/>
      <c r="R163" s="737"/>
      <c r="S163" s="737"/>
      <c r="T163" s="737"/>
      <c r="U163" s="750"/>
      <c r="V163" s="726"/>
      <c r="W163" s="726"/>
    </row>
    <row r="164" ht="15.0" customHeight="1">
      <c r="A164" s="736"/>
      <c r="B164" s="737"/>
      <c r="C164" s="737"/>
      <c r="D164" s="738"/>
      <c r="E164" s="738"/>
      <c r="F164" s="736"/>
      <c r="G164" s="739"/>
      <c r="H164" s="740"/>
      <c r="I164" s="740"/>
      <c r="J164" s="741"/>
      <c r="K164" s="741"/>
      <c r="L164" s="741"/>
      <c r="M164" s="741"/>
      <c r="N164" s="741"/>
      <c r="O164" s="741"/>
      <c r="P164" s="737"/>
      <c r="Q164" s="737"/>
      <c r="R164" s="737"/>
      <c r="S164" s="737"/>
      <c r="T164" s="737"/>
      <c r="U164" s="750"/>
      <c r="V164" s="726"/>
      <c r="W164" s="726"/>
    </row>
    <row r="165" ht="15.0" customHeight="1">
      <c r="A165" s="725"/>
      <c r="B165" s="726"/>
      <c r="C165" s="726"/>
      <c r="D165" s="751"/>
      <c r="E165" s="751"/>
      <c r="F165" s="725"/>
      <c r="G165" s="727"/>
      <c r="H165" s="728"/>
      <c r="I165" s="728"/>
      <c r="J165" s="752"/>
      <c r="K165" s="752"/>
      <c r="L165" s="752"/>
      <c r="M165" s="752"/>
      <c r="N165" s="752"/>
      <c r="O165" s="752"/>
      <c r="P165" s="726"/>
      <c r="Q165" s="726"/>
      <c r="R165" s="726"/>
      <c r="S165" s="726"/>
      <c r="T165" s="726"/>
      <c r="U165" s="754"/>
      <c r="V165" s="726"/>
      <c r="W165" s="726"/>
    </row>
    <row r="166" ht="15.0" customHeight="1">
      <c r="A166" s="736"/>
      <c r="B166" s="737"/>
      <c r="C166" s="737"/>
      <c r="D166" s="738"/>
      <c r="E166" s="922"/>
      <c r="F166" s="922"/>
      <c r="G166" s="922"/>
      <c r="H166" s="922"/>
      <c r="I166" s="923"/>
      <c r="J166" s="741"/>
      <c r="K166" s="741"/>
      <c r="L166" s="741"/>
      <c r="M166" s="741"/>
      <c r="N166" s="741"/>
      <c r="O166" s="741"/>
      <c r="P166" s="742"/>
      <c r="Q166" s="742"/>
      <c r="R166" s="742"/>
      <c r="S166" s="742"/>
      <c r="T166" s="742"/>
      <c r="U166" s="743"/>
      <c r="V166" s="744"/>
      <c r="W166" s="744"/>
    </row>
    <row r="167" ht="15.0" customHeight="1">
      <c r="A167" s="736"/>
      <c r="B167" s="737"/>
      <c r="C167" s="737"/>
      <c r="D167" s="738"/>
      <c r="E167" s="738"/>
      <c r="F167" s="736"/>
      <c r="G167" s="739"/>
      <c r="H167" s="740"/>
      <c r="I167" s="740"/>
      <c r="J167" s="741"/>
      <c r="K167" s="741"/>
      <c r="L167" s="741"/>
      <c r="M167" s="741"/>
      <c r="N167" s="741"/>
      <c r="O167" s="741"/>
      <c r="P167" s="737"/>
      <c r="Q167" s="737"/>
      <c r="R167" s="737"/>
      <c r="S167" s="737"/>
      <c r="T167" s="737"/>
      <c r="U167" s="750"/>
      <c r="V167" s="726"/>
      <c r="W167" s="726"/>
    </row>
    <row r="168" ht="15.0" customHeight="1">
      <c r="A168" s="736"/>
      <c r="B168" s="737"/>
      <c r="C168" s="737"/>
      <c r="D168" s="738"/>
      <c r="E168" s="738"/>
      <c r="F168" s="736"/>
      <c r="G168" s="739"/>
      <c r="H168" s="740"/>
      <c r="I168" s="740"/>
      <c r="J168" s="741"/>
      <c r="K168" s="741"/>
      <c r="L168" s="741"/>
      <c r="M168" s="741"/>
      <c r="N168" s="741"/>
      <c r="O168" s="741"/>
      <c r="P168" s="737"/>
      <c r="Q168" s="737"/>
      <c r="R168" s="737"/>
      <c r="S168" s="737"/>
      <c r="T168" s="737"/>
      <c r="U168" s="750"/>
      <c r="V168" s="726"/>
      <c r="W168" s="726"/>
    </row>
    <row r="169" ht="15.0" customHeight="1">
      <c r="A169" s="736"/>
      <c r="B169" s="737"/>
      <c r="C169" s="737"/>
      <c r="D169" s="738"/>
      <c r="E169" s="738"/>
      <c r="F169" s="736"/>
      <c r="G169" s="739"/>
      <c r="H169" s="740"/>
      <c r="I169" s="740"/>
      <c r="J169" s="741"/>
      <c r="K169" s="741"/>
      <c r="L169" s="741"/>
      <c r="M169" s="741"/>
      <c r="N169" s="741"/>
      <c r="O169" s="741"/>
      <c r="P169" s="737"/>
      <c r="Q169" s="737"/>
      <c r="R169" s="737"/>
      <c r="S169" s="737"/>
      <c r="T169" s="737"/>
      <c r="U169" s="750"/>
      <c r="V169" s="726"/>
      <c r="W169" s="726"/>
    </row>
    <row r="170" ht="15.0" customHeight="1">
      <c r="A170" s="736"/>
      <c r="B170" s="737"/>
      <c r="C170" s="737"/>
      <c r="D170" s="738"/>
      <c r="E170" s="738"/>
      <c r="F170" s="736"/>
      <c r="G170" s="739"/>
      <c r="H170" s="740"/>
      <c r="I170" s="740"/>
      <c r="J170" s="741"/>
      <c r="K170" s="741"/>
      <c r="L170" s="741"/>
      <c r="M170" s="741"/>
      <c r="N170" s="741"/>
      <c r="O170" s="741"/>
      <c r="P170" s="737"/>
      <c r="Q170" s="737"/>
      <c r="R170" s="737"/>
      <c r="S170" s="737"/>
      <c r="T170" s="737"/>
      <c r="U170" s="750"/>
      <c r="V170" s="726"/>
      <c r="W170" s="726"/>
    </row>
    <row r="171" ht="15.0" customHeight="1">
      <c r="A171" s="736"/>
      <c r="B171" s="737"/>
      <c r="C171" s="737"/>
      <c r="D171" s="738"/>
      <c r="E171" s="738"/>
      <c r="F171" s="736"/>
      <c r="G171" s="739"/>
      <c r="H171" s="740"/>
      <c r="I171" s="740"/>
      <c r="J171" s="741"/>
      <c r="K171" s="741"/>
      <c r="L171" s="741"/>
      <c r="M171" s="741"/>
      <c r="N171" s="741"/>
      <c r="O171" s="741"/>
      <c r="P171" s="737"/>
      <c r="Q171" s="737"/>
      <c r="R171" s="737"/>
      <c r="S171" s="737"/>
      <c r="T171" s="737"/>
      <c r="U171" s="750"/>
      <c r="V171" s="726"/>
      <c r="W171" s="726"/>
    </row>
    <row r="172" ht="15.0" customHeight="1">
      <c r="A172" s="736"/>
      <c r="B172" s="737"/>
      <c r="C172" s="737"/>
      <c r="D172" s="738"/>
      <c r="E172" s="738"/>
      <c r="F172" s="736"/>
      <c r="G172" s="739"/>
      <c r="H172" s="740"/>
      <c r="I172" s="740"/>
      <c r="J172" s="741"/>
      <c r="K172" s="741"/>
      <c r="L172" s="741"/>
      <c r="M172" s="741"/>
      <c r="N172" s="741"/>
      <c r="O172" s="741"/>
      <c r="P172" s="737"/>
      <c r="Q172" s="737"/>
      <c r="R172" s="737"/>
      <c r="S172" s="737"/>
      <c r="T172" s="737"/>
      <c r="U172" s="750"/>
      <c r="V172" s="726"/>
      <c r="W172" s="726"/>
    </row>
    <row r="173" ht="15.0" customHeight="1">
      <c r="A173" s="736"/>
      <c r="B173" s="737"/>
      <c r="C173" s="737"/>
      <c r="D173" s="738"/>
      <c r="E173" s="738"/>
      <c r="F173" s="736"/>
      <c r="G173" s="739"/>
      <c r="H173" s="740"/>
      <c r="I173" s="740"/>
      <c r="J173" s="741"/>
      <c r="K173" s="741"/>
      <c r="L173" s="741"/>
      <c r="M173" s="741"/>
      <c r="N173" s="741"/>
      <c r="O173" s="741"/>
      <c r="P173" s="737"/>
      <c r="Q173" s="737"/>
      <c r="R173" s="737"/>
      <c r="S173" s="737"/>
      <c r="T173" s="737"/>
      <c r="U173" s="750"/>
      <c r="V173" s="726"/>
      <c r="W173" s="726"/>
    </row>
    <row r="174" ht="15.0" customHeight="1">
      <c r="A174" s="736"/>
      <c r="B174" s="737"/>
      <c r="C174" s="737"/>
      <c r="D174" s="738"/>
      <c r="E174" s="738"/>
      <c r="F174" s="736"/>
      <c r="G174" s="739"/>
      <c r="H174" s="740"/>
      <c r="I174" s="740"/>
      <c r="J174" s="741"/>
      <c r="K174" s="741"/>
      <c r="L174" s="741"/>
      <c r="M174" s="741"/>
      <c r="N174" s="741"/>
      <c r="O174" s="741"/>
      <c r="P174" s="737"/>
      <c r="Q174" s="737"/>
      <c r="R174" s="737"/>
      <c r="S174" s="737"/>
      <c r="T174" s="737"/>
      <c r="U174" s="750"/>
      <c r="V174" s="726"/>
      <c r="W174" s="726"/>
    </row>
    <row r="175" ht="15.0" customHeight="1">
      <c r="A175" s="736"/>
      <c r="B175" s="737"/>
      <c r="C175" s="737"/>
      <c r="D175" s="738"/>
      <c r="E175" s="738"/>
      <c r="F175" s="736"/>
      <c r="G175" s="739"/>
      <c r="H175" s="740"/>
      <c r="I175" s="740"/>
      <c r="J175" s="741"/>
      <c r="K175" s="741"/>
      <c r="L175" s="741"/>
      <c r="M175" s="741"/>
      <c r="N175" s="741"/>
      <c r="O175" s="741"/>
      <c r="P175" s="737"/>
      <c r="Q175" s="737"/>
      <c r="R175" s="737"/>
      <c r="S175" s="737"/>
      <c r="T175" s="737"/>
      <c r="U175" s="750"/>
      <c r="V175" s="726"/>
      <c r="W175" s="726"/>
    </row>
    <row r="176" ht="15.0" customHeight="1">
      <c r="A176" s="736"/>
      <c r="B176" s="737"/>
      <c r="C176" s="737"/>
      <c r="D176" s="738"/>
      <c r="E176" s="738"/>
      <c r="F176" s="736"/>
      <c r="G176" s="739"/>
      <c r="H176" s="740"/>
      <c r="I176" s="740"/>
      <c r="J176" s="741"/>
      <c r="K176" s="741"/>
      <c r="L176" s="741"/>
      <c r="M176" s="741"/>
      <c r="N176" s="741"/>
      <c r="O176" s="741"/>
      <c r="P176" s="737"/>
      <c r="Q176" s="737"/>
      <c r="R176" s="737"/>
      <c r="S176" s="737"/>
      <c r="T176" s="737"/>
      <c r="U176" s="750"/>
      <c r="V176" s="726"/>
      <c r="W176" s="726"/>
    </row>
    <row r="177" ht="15.0" customHeight="1">
      <c r="A177" s="736"/>
      <c r="B177" s="737"/>
      <c r="C177" s="737"/>
      <c r="D177" s="738"/>
      <c r="E177" s="738"/>
      <c r="F177" s="736"/>
      <c r="G177" s="739"/>
      <c r="H177" s="740"/>
      <c r="I177" s="740"/>
      <c r="J177" s="741"/>
      <c r="K177" s="741"/>
      <c r="L177" s="741"/>
      <c r="M177" s="741"/>
      <c r="N177" s="741"/>
      <c r="O177" s="741"/>
      <c r="P177" s="737"/>
      <c r="Q177" s="737"/>
      <c r="R177" s="737"/>
      <c r="S177" s="737"/>
      <c r="T177" s="737"/>
      <c r="U177" s="750"/>
      <c r="V177" s="726"/>
      <c r="W177" s="726"/>
    </row>
    <row r="178" ht="15.0" customHeight="1">
      <c r="A178" s="736"/>
      <c r="B178" s="737"/>
      <c r="C178" s="737"/>
      <c r="D178" s="738"/>
      <c r="E178" s="738"/>
      <c r="F178" s="736"/>
      <c r="G178" s="739"/>
      <c r="H178" s="740"/>
      <c r="I178" s="740"/>
      <c r="J178" s="741"/>
      <c r="K178" s="741"/>
      <c r="L178" s="741"/>
      <c r="M178" s="741"/>
      <c r="N178" s="741"/>
      <c r="O178" s="741"/>
      <c r="P178" s="737"/>
      <c r="Q178" s="737"/>
      <c r="R178" s="737"/>
      <c r="S178" s="737"/>
      <c r="T178" s="737"/>
      <c r="U178" s="750"/>
      <c r="V178" s="726"/>
      <c r="W178" s="726"/>
    </row>
    <row r="179" ht="15.0" customHeight="1">
      <c r="A179" s="736"/>
      <c r="B179" s="737"/>
      <c r="C179" s="737"/>
      <c r="D179" s="738"/>
      <c r="E179" s="738"/>
      <c r="F179" s="736"/>
      <c r="G179" s="739"/>
      <c r="H179" s="740"/>
      <c r="I179" s="740"/>
      <c r="J179" s="741"/>
      <c r="K179" s="741"/>
      <c r="L179" s="741"/>
      <c r="M179" s="741"/>
      <c r="N179" s="741"/>
      <c r="O179" s="741"/>
      <c r="P179" s="737"/>
      <c r="Q179" s="737"/>
      <c r="R179" s="737"/>
      <c r="S179" s="737"/>
      <c r="T179" s="737"/>
      <c r="U179" s="750"/>
      <c r="V179" s="726"/>
      <c r="W179" s="726"/>
    </row>
    <row r="180" ht="15.0" customHeight="1">
      <c r="A180" s="736"/>
      <c r="B180" s="737"/>
      <c r="C180" s="737"/>
      <c r="D180" s="738"/>
      <c r="E180" s="738"/>
      <c r="F180" s="736"/>
      <c r="G180" s="739"/>
      <c r="H180" s="740"/>
      <c r="I180" s="740"/>
      <c r="J180" s="741"/>
      <c r="K180" s="741"/>
      <c r="L180" s="741"/>
      <c r="M180" s="741"/>
      <c r="N180" s="741"/>
      <c r="O180" s="741"/>
      <c r="P180" s="737"/>
      <c r="Q180" s="737"/>
      <c r="R180" s="737"/>
      <c r="S180" s="737"/>
      <c r="T180" s="737"/>
      <c r="U180" s="750"/>
      <c r="V180" s="726"/>
      <c r="W180" s="726"/>
    </row>
    <row r="181" ht="15.0" customHeight="1">
      <c r="A181" s="736"/>
      <c r="B181" s="737"/>
      <c r="C181" s="737"/>
      <c r="D181" s="738"/>
      <c r="E181" s="738"/>
      <c r="F181" s="736"/>
      <c r="G181" s="739"/>
      <c r="H181" s="740"/>
      <c r="I181" s="740"/>
      <c r="J181" s="741"/>
      <c r="K181" s="741"/>
      <c r="L181" s="741"/>
      <c r="M181" s="741"/>
      <c r="N181" s="741"/>
      <c r="O181" s="741"/>
      <c r="P181" s="737"/>
      <c r="Q181" s="737"/>
      <c r="R181" s="737"/>
      <c r="S181" s="737"/>
      <c r="T181" s="737"/>
      <c r="U181" s="750"/>
      <c r="V181" s="726"/>
      <c r="W181" s="726"/>
    </row>
    <row r="182" ht="15.0" customHeight="1">
      <c r="A182" s="736"/>
      <c r="B182" s="737"/>
      <c r="C182" s="737"/>
      <c r="D182" s="738"/>
      <c r="E182" s="738"/>
      <c r="F182" s="736"/>
      <c r="G182" s="739"/>
      <c r="H182" s="740"/>
      <c r="I182" s="740"/>
      <c r="J182" s="741"/>
      <c r="K182" s="741"/>
      <c r="L182" s="741"/>
      <c r="M182" s="741"/>
      <c r="N182" s="741"/>
      <c r="O182" s="741"/>
      <c r="P182" s="737"/>
      <c r="Q182" s="737"/>
      <c r="R182" s="737"/>
      <c r="S182" s="737"/>
      <c r="T182" s="737"/>
      <c r="U182" s="750"/>
      <c r="V182" s="726"/>
      <c r="W182" s="726"/>
    </row>
    <row r="183" ht="15.0" customHeight="1">
      <c r="A183" s="736"/>
      <c r="B183" s="737"/>
      <c r="C183" s="737"/>
      <c r="D183" s="738"/>
      <c r="E183" s="738"/>
      <c r="F183" s="736"/>
      <c r="G183" s="739"/>
      <c r="H183" s="740"/>
      <c r="I183" s="740"/>
      <c r="J183" s="741"/>
      <c r="K183" s="741"/>
      <c r="L183" s="741"/>
      <c r="M183" s="741"/>
      <c r="N183" s="741"/>
      <c r="O183" s="741"/>
      <c r="P183" s="737"/>
      <c r="Q183" s="737"/>
      <c r="R183" s="737"/>
      <c r="S183" s="737"/>
      <c r="T183" s="737"/>
      <c r="U183" s="750"/>
      <c r="V183" s="726"/>
      <c r="W183" s="726"/>
    </row>
    <row r="184" ht="15.0" customHeight="1">
      <c r="A184" s="736"/>
      <c r="B184" s="737"/>
      <c r="C184" s="737"/>
      <c r="D184" s="738"/>
      <c r="E184" s="738"/>
      <c r="F184" s="736"/>
      <c r="G184" s="739"/>
      <c r="H184" s="740"/>
      <c r="I184" s="740"/>
      <c r="J184" s="741"/>
      <c r="K184" s="741"/>
      <c r="L184" s="741"/>
      <c r="M184" s="741"/>
      <c r="N184" s="741"/>
      <c r="O184" s="741"/>
      <c r="P184" s="737"/>
      <c r="Q184" s="737"/>
      <c r="R184" s="737"/>
      <c r="S184" s="737"/>
      <c r="T184" s="737"/>
      <c r="U184" s="750"/>
      <c r="V184" s="726"/>
      <c r="W184" s="726"/>
    </row>
    <row r="185" ht="15.0" customHeight="1">
      <c r="A185" s="736"/>
      <c r="B185" s="737"/>
      <c r="C185" s="737"/>
      <c r="D185" s="738"/>
      <c r="E185" s="738"/>
      <c r="F185" s="736"/>
      <c r="G185" s="739"/>
      <c r="H185" s="740"/>
      <c r="I185" s="740"/>
      <c r="J185" s="741"/>
      <c r="K185" s="741"/>
      <c r="L185" s="741"/>
      <c r="M185" s="741"/>
      <c r="N185" s="741"/>
      <c r="O185" s="741"/>
      <c r="P185" s="737"/>
      <c r="Q185" s="737"/>
      <c r="R185" s="737"/>
      <c r="S185" s="737"/>
      <c r="T185" s="737"/>
      <c r="U185" s="750"/>
      <c r="V185" s="726"/>
      <c r="W185" s="726"/>
    </row>
    <row r="186" ht="15.0" customHeight="1">
      <c r="A186" s="736"/>
      <c r="B186" s="737"/>
      <c r="C186" s="737"/>
      <c r="D186" s="737"/>
      <c r="E186" s="737"/>
      <c r="F186" s="736"/>
      <c r="G186" s="739"/>
      <c r="H186" s="740"/>
      <c r="I186" s="740"/>
      <c r="J186" s="741"/>
      <c r="K186" s="741"/>
      <c r="L186" s="741"/>
      <c r="M186" s="741"/>
      <c r="N186" s="741"/>
      <c r="O186" s="741"/>
      <c r="P186" s="737"/>
      <c r="Q186" s="737"/>
      <c r="R186" s="737"/>
      <c r="S186" s="737"/>
      <c r="T186" s="737"/>
      <c r="U186" s="750"/>
      <c r="V186" s="726"/>
      <c r="W186" s="726"/>
    </row>
    <row r="187" ht="15.0" customHeight="1">
      <c r="A187" s="736"/>
      <c r="B187" s="737"/>
      <c r="C187" s="737"/>
      <c r="D187" s="738"/>
      <c r="E187" s="738"/>
      <c r="F187" s="736"/>
      <c r="G187" s="739"/>
      <c r="H187" s="740"/>
      <c r="I187" s="740"/>
      <c r="J187" s="741"/>
      <c r="K187" s="741"/>
      <c r="L187" s="741"/>
      <c r="M187" s="741"/>
      <c r="N187" s="741"/>
      <c r="O187" s="741"/>
      <c r="P187" s="737"/>
      <c r="Q187" s="737"/>
      <c r="R187" s="737"/>
      <c r="S187" s="737"/>
      <c r="T187" s="737"/>
      <c r="U187" s="750"/>
      <c r="V187" s="726"/>
      <c r="W187" s="726"/>
    </row>
    <row r="188" ht="15.0" customHeight="1">
      <c r="A188" s="736"/>
      <c r="B188" s="737"/>
      <c r="C188" s="737"/>
      <c r="D188" s="738"/>
      <c r="E188" s="738"/>
      <c r="F188" s="736"/>
      <c r="G188" s="739"/>
      <c r="H188" s="740"/>
      <c r="I188" s="740"/>
      <c r="J188" s="741"/>
      <c r="K188" s="741"/>
      <c r="L188" s="741"/>
      <c r="M188" s="741"/>
      <c r="N188" s="741"/>
      <c r="O188" s="741"/>
      <c r="P188" s="737"/>
      <c r="Q188" s="737"/>
      <c r="R188" s="737"/>
      <c r="S188" s="737"/>
      <c r="T188" s="737"/>
      <c r="U188" s="750"/>
      <c r="V188" s="726"/>
      <c r="W188" s="726"/>
    </row>
    <row r="189" ht="15.0" customHeight="1">
      <c r="A189" s="725"/>
      <c r="B189" s="726"/>
      <c r="C189" s="726"/>
      <c r="D189" s="751"/>
      <c r="E189" s="751"/>
      <c r="F189" s="725"/>
      <c r="G189" s="727"/>
      <c r="H189" s="728"/>
      <c r="I189" s="728"/>
      <c r="J189" s="752"/>
      <c r="K189" s="752"/>
      <c r="L189" s="752"/>
      <c r="M189" s="752"/>
      <c r="N189" s="752"/>
      <c r="O189" s="752"/>
      <c r="P189" s="726"/>
      <c r="Q189" s="726"/>
      <c r="R189" s="726"/>
      <c r="S189" s="726"/>
      <c r="T189" s="726"/>
      <c r="U189" s="754"/>
      <c r="V189" s="726"/>
      <c r="W189" s="726"/>
    </row>
    <row r="190" ht="15.0" customHeight="1">
      <c r="A190" s="736"/>
      <c r="B190" s="737"/>
      <c r="C190" s="737"/>
      <c r="D190" s="738"/>
      <c r="E190" s="738"/>
      <c r="F190" s="736"/>
      <c r="G190" s="739"/>
      <c r="H190" s="740"/>
      <c r="I190" s="740"/>
      <c r="J190" s="741"/>
      <c r="K190" s="741"/>
      <c r="L190" s="741"/>
      <c r="M190" s="741"/>
      <c r="N190" s="741"/>
      <c r="O190" s="741"/>
      <c r="P190" s="737"/>
      <c r="Q190" s="737"/>
      <c r="R190" s="737"/>
      <c r="S190" s="737"/>
      <c r="T190" s="737"/>
      <c r="U190" s="750"/>
      <c r="V190" s="726"/>
      <c r="W190" s="726"/>
    </row>
    <row r="191" ht="15.0" customHeight="1">
      <c r="A191" s="736"/>
      <c r="B191" s="737"/>
      <c r="C191" s="737"/>
      <c r="D191" s="738"/>
      <c r="E191" s="738"/>
      <c r="F191" s="736"/>
      <c r="G191" s="739"/>
      <c r="H191" s="740"/>
      <c r="I191" s="740"/>
      <c r="J191" s="741"/>
      <c r="K191" s="741"/>
      <c r="L191" s="741"/>
      <c r="M191" s="741"/>
      <c r="N191" s="741"/>
      <c r="O191" s="741"/>
      <c r="P191" s="737"/>
      <c r="Q191" s="737"/>
      <c r="R191" s="737"/>
      <c r="S191" s="737"/>
      <c r="T191" s="737"/>
      <c r="U191" s="750"/>
      <c r="V191" s="726"/>
      <c r="W191" s="726"/>
    </row>
    <row r="192" ht="15.0" customHeight="1">
      <c r="A192" s="736"/>
      <c r="B192" s="737"/>
      <c r="C192" s="737"/>
      <c r="D192" s="738"/>
      <c r="E192" s="738"/>
      <c r="F192" s="736"/>
      <c r="G192" s="739"/>
      <c r="H192" s="740"/>
      <c r="I192" s="740"/>
      <c r="J192" s="741"/>
      <c r="K192" s="741"/>
      <c r="L192" s="741"/>
      <c r="M192" s="741"/>
      <c r="N192" s="741"/>
      <c r="O192" s="741"/>
      <c r="P192" s="737"/>
      <c r="Q192" s="737"/>
      <c r="R192" s="737"/>
      <c r="S192" s="737"/>
      <c r="T192" s="737"/>
      <c r="U192" s="750"/>
      <c r="V192" s="726"/>
      <c r="W192" s="726"/>
    </row>
    <row r="193" ht="15.0" customHeight="1">
      <c r="A193" s="736"/>
      <c r="B193" s="737"/>
      <c r="C193" s="737"/>
      <c r="D193" s="738"/>
      <c r="E193" s="738"/>
      <c r="F193" s="736"/>
      <c r="G193" s="739"/>
      <c r="H193" s="740"/>
      <c r="I193" s="740"/>
      <c r="J193" s="741"/>
      <c r="K193" s="741"/>
      <c r="L193" s="741"/>
      <c r="M193" s="741"/>
      <c r="N193" s="741"/>
      <c r="O193" s="741"/>
      <c r="P193" s="737"/>
      <c r="Q193" s="737"/>
      <c r="R193" s="737"/>
      <c r="S193" s="737"/>
      <c r="T193" s="737"/>
      <c r="U193" s="750"/>
      <c r="V193" s="726"/>
      <c r="W193" s="726"/>
    </row>
    <row r="194" ht="15.0" customHeight="1">
      <c r="A194" s="736"/>
      <c r="B194" s="737"/>
      <c r="C194" s="737"/>
      <c r="D194" s="738"/>
      <c r="E194" s="738"/>
      <c r="F194" s="736"/>
      <c r="G194" s="739"/>
      <c r="H194" s="740"/>
      <c r="I194" s="740"/>
      <c r="J194" s="741"/>
      <c r="K194" s="741"/>
      <c r="L194" s="741"/>
      <c r="M194" s="741"/>
      <c r="N194" s="741"/>
      <c r="O194" s="741"/>
      <c r="P194" s="737"/>
      <c r="Q194" s="737"/>
      <c r="R194" s="737"/>
      <c r="S194" s="737"/>
      <c r="T194" s="737"/>
      <c r="U194" s="750"/>
      <c r="V194" s="726"/>
      <c r="W194" s="726"/>
    </row>
    <row r="195" ht="15.0" customHeight="1">
      <c r="A195" s="725"/>
      <c r="B195" s="726"/>
      <c r="C195" s="726"/>
      <c r="D195" s="751"/>
      <c r="E195" s="751"/>
      <c r="F195" s="725"/>
      <c r="G195" s="727"/>
      <c r="H195" s="728"/>
      <c r="I195" s="728"/>
      <c r="J195" s="752"/>
      <c r="K195" s="752"/>
      <c r="L195" s="752"/>
      <c r="M195" s="752"/>
      <c r="N195" s="752"/>
      <c r="O195" s="752"/>
      <c r="P195" s="726"/>
      <c r="Q195" s="726"/>
      <c r="R195" s="726"/>
      <c r="S195" s="726"/>
      <c r="T195" s="726"/>
      <c r="U195" s="754"/>
      <c r="V195" s="726"/>
      <c r="W195" s="726"/>
    </row>
    <row r="196" ht="15.0" customHeight="1">
      <c r="A196" s="736"/>
      <c r="B196" s="737"/>
      <c r="C196" s="737"/>
      <c r="D196" s="738"/>
      <c r="E196" s="738"/>
      <c r="F196" s="736"/>
      <c r="G196" s="739"/>
      <c r="H196" s="740"/>
      <c r="I196" s="740"/>
      <c r="J196" s="741"/>
      <c r="K196" s="741"/>
      <c r="L196" s="741"/>
      <c r="M196" s="741"/>
      <c r="N196" s="741"/>
      <c r="O196" s="741"/>
      <c r="P196" s="737"/>
      <c r="Q196" s="737"/>
      <c r="R196" s="737"/>
      <c r="S196" s="737"/>
      <c r="T196" s="737"/>
      <c r="U196" s="750"/>
      <c r="V196" s="726"/>
      <c r="W196" s="726"/>
    </row>
    <row r="197" ht="15.0" customHeight="1">
      <c r="A197" s="736"/>
      <c r="B197" s="737"/>
      <c r="C197" s="737"/>
      <c r="D197" s="738"/>
      <c r="E197" s="738"/>
      <c r="F197" s="736"/>
      <c r="G197" s="739"/>
      <c r="H197" s="740"/>
      <c r="I197" s="740"/>
      <c r="J197" s="741"/>
      <c r="K197" s="741"/>
      <c r="L197" s="741"/>
      <c r="M197" s="741"/>
      <c r="N197" s="741"/>
      <c r="O197" s="741"/>
      <c r="P197" s="737"/>
      <c r="Q197" s="737"/>
      <c r="R197" s="737"/>
      <c r="S197" s="737"/>
      <c r="T197" s="737"/>
      <c r="U197" s="750"/>
      <c r="V197" s="726"/>
      <c r="W197" s="726"/>
    </row>
    <row r="198" ht="15.0" customHeight="1">
      <c r="A198" s="736"/>
      <c r="B198" s="737"/>
      <c r="C198" s="737"/>
      <c r="D198" s="738"/>
      <c r="E198" s="738"/>
      <c r="F198" s="736"/>
      <c r="G198" s="739"/>
      <c r="H198" s="740"/>
      <c r="I198" s="740"/>
      <c r="J198" s="741"/>
      <c r="K198" s="741"/>
      <c r="L198" s="741"/>
      <c r="M198" s="741"/>
      <c r="N198" s="741"/>
      <c r="O198" s="741"/>
      <c r="P198" s="737"/>
      <c r="Q198" s="737"/>
      <c r="R198" s="737"/>
      <c r="S198" s="737"/>
      <c r="T198" s="737"/>
      <c r="U198" s="750"/>
      <c r="V198" s="726"/>
      <c r="W198" s="726"/>
    </row>
    <row r="199" ht="15.0" customHeight="1">
      <c r="A199" s="736"/>
      <c r="B199" s="737"/>
      <c r="C199" s="737"/>
      <c r="D199" s="737"/>
      <c r="E199" s="737"/>
      <c r="F199" s="736"/>
      <c r="G199" s="739"/>
      <c r="H199" s="740"/>
      <c r="I199" s="740"/>
      <c r="J199" s="741"/>
      <c r="K199" s="741"/>
      <c r="L199" s="741"/>
      <c r="M199" s="741"/>
      <c r="N199" s="741"/>
      <c r="O199" s="741"/>
      <c r="P199" s="737"/>
      <c r="Q199" s="737"/>
      <c r="R199" s="737"/>
      <c r="S199" s="737"/>
      <c r="T199" s="737"/>
      <c r="U199" s="750"/>
      <c r="V199" s="726"/>
      <c r="W199" s="726"/>
    </row>
    <row r="200" ht="15.0" customHeight="1">
      <c r="A200" s="736"/>
      <c r="B200" s="737"/>
      <c r="C200" s="737"/>
      <c r="D200" s="738"/>
      <c r="E200" s="738"/>
      <c r="F200" s="736"/>
      <c r="G200" s="739"/>
      <c r="H200" s="740"/>
      <c r="I200" s="740"/>
      <c r="J200" s="741"/>
      <c r="K200" s="741"/>
      <c r="L200" s="741"/>
      <c r="M200" s="741"/>
      <c r="N200" s="741"/>
      <c r="O200" s="741"/>
      <c r="P200" s="737"/>
      <c r="Q200" s="737"/>
      <c r="R200" s="737"/>
      <c r="S200" s="737"/>
      <c r="T200" s="737"/>
      <c r="U200" s="750"/>
      <c r="V200" s="726"/>
      <c r="W200" s="726"/>
    </row>
    <row r="201" ht="15.0" customHeight="1">
      <c r="A201" s="736"/>
      <c r="B201" s="737"/>
      <c r="C201" s="737"/>
      <c r="D201" s="738"/>
      <c r="E201" s="738"/>
      <c r="F201" s="736"/>
      <c r="G201" s="739"/>
      <c r="H201" s="740"/>
      <c r="I201" s="740"/>
      <c r="J201" s="741"/>
      <c r="K201" s="741"/>
      <c r="L201" s="741"/>
      <c r="M201" s="741"/>
      <c r="N201" s="741"/>
      <c r="O201" s="741"/>
      <c r="P201" s="737"/>
      <c r="Q201" s="737"/>
      <c r="R201" s="737"/>
      <c r="S201" s="737"/>
      <c r="T201" s="737"/>
      <c r="U201" s="750"/>
      <c r="V201" s="726"/>
      <c r="W201" s="726"/>
    </row>
    <row r="202" ht="15.0" customHeight="1">
      <c r="A202" s="725"/>
      <c r="B202" s="726"/>
      <c r="C202" s="726"/>
      <c r="D202" s="751"/>
      <c r="E202" s="751"/>
      <c r="F202" s="725"/>
      <c r="G202" s="727"/>
      <c r="H202" s="728"/>
      <c r="I202" s="728"/>
      <c r="J202" s="752"/>
      <c r="K202" s="752"/>
      <c r="L202" s="752"/>
      <c r="M202" s="752"/>
      <c r="N202" s="752"/>
      <c r="O202" s="752"/>
      <c r="P202" s="726"/>
      <c r="Q202" s="726"/>
      <c r="R202" s="726"/>
      <c r="S202" s="726"/>
      <c r="T202" s="726"/>
      <c r="U202" s="754"/>
      <c r="V202" s="726"/>
      <c r="W202" s="726"/>
    </row>
    <row r="203" ht="15.0" customHeight="1">
      <c r="A203" s="736"/>
      <c r="B203" s="737"/>
      <c r="C203" s="737"/>
      <c r="D203" s="738"/>
      <c r="E203" s="738"/>
      <c r="F203" s="736"/>
      <c r="G203" s="739"/>
      <c r="H203" s="740"/>
      <c r="I203" s="740"/>
      <c r="J203" s="741"/>
      <c r="K203" s="741"/>
      <c r="L203" s="741"/>
      <c r="M203" s="741"/>
      <c r="N203" s="741"/>
      <c r="O203" s="741"/>
      <c r="P203" s="737"/>
      <c r="Q203" s="737"/>
      <c r="R203" s="737"/>
      <c r="S203" s="737"/>
      <c r="T203" s="737"/>
      <c r="U203" s="750"/>
      <c r="V203" s="726"/>
      <c r="W203" s="726"/>
    </row>
    <row r="204" ht="15.0" customHeight="1">
      <c r="A204" s="736"/>
      <c r="B204" s="737"/>
      <c r="C204" s="737"/>
      <c r="D204" s="738"/>
      <c r="E204" s="738"/>
      <c r="F204" s="736"/>
      <c r="G204" s="739"/>
      <c r="H204" s="740"/>
      <c r="I204" s="740"/>
      <c r="J204" s="741"/>
      <c r="K204" s="741"/>
      <c r="L204" s="741"/>
      <c r="M204" s="741"/>
      <c r="N204" s="741"/>
      <c r="O204" s="741"/>
      <c r="P204" s="737"/>
      <c r="Q204" s="737"/>
      <c r="R204" s="737"/>
      <c r="S204" s="737"/>
      <c r="T204" s="737"/>
      <c r="U204" s="750"/>
      <c r="V204" s="726"/>
      <c r="W204" s="726"/>
    </row>
    <row r="205" ht="15.0" customHeight="1">
      <c r="A205" s="736"/>
      <c r="B205" s="737"/>
      <c r="C205" s="737"/>
      <c r="D205" s="738"/>
      <c r="E205" s="738"/>
      <c r="F205" s="736"/>
      <c r="G205" s="739"/>
      <c r="H205" s="740"/>
      <c r="I205" s="740"/>
      <c r="J205" s="741"/>
      <c r="K205" s="741"/>
      <c r="L205" s="741"/>
      <c r="M205" s="741"/>
      <c r="N205" s="741"/>
      <c r="O205" s="741"/>
      <c r="P205" s="737"/>
      <c r="Q205" s="737"/>
      <c r="R205" s="737"/>
      <c r="S205" s="737"/>
      <c r="T205" s="737"/>
      <c r="U205" s="750"/>
      <c r="V205" s="726"/>
      <c r="W205" s="726"/>
    </row>
    <row r="206" ht="15.0" customHeight="1">
      <c r="A206" s="736"/>
      <c r="B206" s="921"/>
      <c r="C206" s="737"/>
      <c r="D206" s="738"/>
      <c r="E206" s="738"/>
      <c r="F206" s="736"/>
      <c r="G206" s="739"/>
      <c r="H206" s="740"/>
      <c r="I206" s="740"/>
      <c r="J206" s="741"/>
      <c r="K206" s="741"/>
      <c r="L206" s="741"/>
      <c r="M206" s="741"/>
      <c r="N206" s="741"/>
      <c r="O206" s="741"/>
      <c r="P206" s="737"/>
      <c r="Q206" s="737"/>
      <c r="R206" s="737"/>
      <c r="S206" s="737"/>
      <c r="T206" s="737"/>
      <c r="U206" s="750"/>
      <c r="V206" s="726"/>
      <c r="W206" s="726"/>
    </row>
    <row r="207" ht="15.0" customHeight="1">
      <c r="A207" s="736"/>
      <c r="B207" s="737"/>
      <c r="C207" s="737"/>
      <c r="D207" s="738"/>
      <c r="E207" s="738"/>
      <c r="F207" s="736"/>
      <c r="G207" s="739"/>
      <c r="H207" s="740"/>
      <c r="I207" s="740"/>
      <c r="J207" s="741"/>
      <c r="K207" s="741"/>
      <c r="L207" s="741"/>
      <c r="M207" s="741"/>
      <c r="N207" s="741"/>
      <c r="O207" s="741"/>
      <c r="P207" s="737"/>
      <c r="Q207" s="737"/>
      <c r="R207" s="737"/>
      <c r="S207" s="737"/>
      <c r="T207" s="737"/>
      <c r="U207" s="750"/>
      <c r="V207" s="726"/>
      <c r="W207" s="726"/>
    </row>
    <row r="208" ht="15.0" customHeight="1">
      <c r="A208" s="725"/>
      <c r="B208" s="726"/>
      <c r="C208" s="726"/>
      <c r="D208" s="751"/>
      <c r="E208" s="751"/>
      <c r="F208" s="725"/>
      <c r="G208" s="727"/>
      <c r="H208" s="728"/>
      <c r="I208" s="728"/>
      <c r="J208" s="752"/>
      <c r="K208" s="752"/>
      <c r="L208" s="752"/>
      <c r="M208" s="752"/>
      <c r="N208" s="752"/>
      <c r="O208" s="752"/>
      <c r="P208" s="726"/>
      <c r="Q208" s="726"/>
      <c r="R208" s="726"/>
      <c r="S208" s="726"/>
      <c r="T208" s="726"/>
      <c r="U208" s="754"/>
      <c r="V208" s="726"/>
      <c r="W208" s="726"/>
    </row>
    <row r="209" ht="15.0" customHeight="1">
      <c r="A209" s="736"/>
      <c r="B209" s="737"/>
      <c r="C209" s="737"/>
      <c r="D209" s="738"/>
      <c r="E209" s="738"/>
      <c r="F209" s="736"/>
      <c r="G209" s="739"/>
      <c r="H209" s="740"/>
      <c r="I209" s="740"/>
      <c r="J209" s="741"/>
      <c r="K209" s="741"/>
      <c r="L209" s="741"/>
      <c r="M209" s="741"/>
      <c r="N209" s="741"/>
      <c r="O209" s="741"/>
      <c r="P209" s="737"/>
      <c r="Q209" s="737"/>
      <c r="R209" s="737"/>
      <c r="S209" s="737"/>
      <c r="T209" s="737"/>
      <c r="U209" s="750"/>
      <c r="V209" s="726"/>
      <c r="W209" s="726"/>
    </row>
    <row r="210" ht="15.0" customHeight="1">
      <c r="A210" s="736"/>
      <c r="B210" s="737"/>
      <c r="C210" s="737"/>
      <c r="D210" s="738"/>
      <c r="E210" s="738"/>
      <c r="F210" s="736"/>
      <c r="G210" s="739"/>
      <c r="H210" s="740"/>
      <c r="I210" s="740"/>
      <c r="J210" s="741"/>
      <c r="K210" s="741"/>
      <c r="L210" s="741"/>
      <c r="M210" s="741"/>
      <c r="N210" s="741"/>
      <c r="O210" s="741"/>
      <c r="P210" s="737"/>
      <c r="Q210" s="737"/>
      <c r="R210" s="737"/>
      <c r="S210" s="737"/>
      <c r="T210" s="737"/>
      <c r="U210" s="750"/>
      <c r="V210" s="726"/>
      <c r="W210" s="726"/>
    </row>
    <row r="211" ht="15.0" customHeight="1">
      <c r="A211" s="736"/>
      <c r="B211" s="737"/>
      <c r="C211" s="737"/>
      <c r="D211" s="738"/>
      <c r="E211" s="738"/>
      <c r="F211" s="736"/>
      <c r="G211" s="739"/>
      <c r="H211" s="740"/>
      <c r="I211" s="740"/>
      <c r="J211" s="741"/>
      <c r="K211" s="741"/>
      <c r="L211" s="741"/>
      <c r="M211" s="741"/>
      <c r="N211" s="741"/>
      <c r="O211" s="741"/>
      <c r="P211" s="737"/>
      <c r="Q211" s="737"/>
      <c r="R211" s="737"/>
      <c r="S211" s="737"/>
      <c r="T211" s="737"/>
      <c r="U211" s="750"/>
      <c r="V211" s="726"/>
      <c r="W211" s="726"/>
    </row>
    <row r="212" ht="15.0" customHeight="1">
      <c r="A212" s="736"/>
      <c r="B212" s="737"/>
      <c r="C212" s="737"/>
      <c r="D212" s="738"/>
      <c r="E212" s="738"/>
      <c r="F212" s="736"/>
      <c r="G212" s="739"/>
      <c r="H212" s="740"/>
      <c r="I212" s="740"/>
      <c r="J212" s="741"/>
      <c r="K212" s="741"/>
      <c r="L212" s="741"/>
      <c r="M212" s="741"/>
      <c r="N212" s="741"/>
      <c r="O212" s="741"/>
      <c r="P212" s="737"/>
      <c r="Q212" s="737"/>
      <c r="R212" s="737"/>
      <c r="S212" s="737"/>
      <c r="T212" s="737"/>
      <c r="U212" s="750"/>
      <c r="V212" s="726"/>
      <c r="W212" s="726"/>
    </row>
    <row r="213" ht="15.0" customHeight="1">
      <c r="A213" s="736"/>
      <c r="B213" s="737"/>
      <c r="C213" s="737"/>
      <c r="D213" s="738"/>
      <c r="E213" s="738"/>
      <c r="F213" s="736"/>
      <c r="G213" s="739"/>
      <c r="H213" s="740"/>
      <c r="I213" s="740"/>
      <c r="J213" s="741"/>
      <c r="K213" s="741"/>
      <c r="L213" s="741"/>
      <c r="M213" s="741"/>
      <c r="N213" s="741"/>
      <c r="O213" s="741"/>
      <c r="P213" s="737"/>
      <c r="Q213" s="737"/>
      <c r="R213" s="737"/>
      <c r="S213" s="737"/>
      <c r="T213" s="737"/>
      <c r="U213" s="750"/>
      <c r="V213" s="726"/>
      <c r="W213" s="726"/>
    </row>
    <row r="214" ht="15.0" customHeight="1">
      <c r="A214" s="736"/>
      <c r="B214" s="737"/>
      <c r="C214" s="737"/>
      <c r="D214" s="738"/>
      <c r="E214" s="738"/>
      <c r="F214" s="736"/>
      <c r="G214" s="739"/>
      <c r="H214" s="740"/>
      <c r="I214" s="740"/>
      <c r="J214" s="741"/>
      <c r="K214" s="741"/>
      <c r="L214" s="741"/>
      <c r="M214" s="741"/>
      <c r="N214" s="741"/>
      <c r="O214" s="741"/>
      <c r="P214" s="737"/>
      <c r="Q214" s="737"/>
      <c r="R214" s="737"/>
      <c r="S214" s="737"/>
      <c r="T214" s="737"/>
      <c r="U214" s="750"/>
      <c r="V214" s="726"/>
      <c r="W214" s="726"/>
    </row>
    <row r="215" ht="15.0" customHeight="1">
      <c r="A215" s="736"/>
      <c r="B215" s="737"/>
      <c r="C215" s="737"/>
      <c r="D215" s="738"/>
      <c r="E215" s="738"/>
      <c r="F215" s="736"/>
      <c r="G215" s="739"/>
      <c r="H215" s="740"/>
      <c r="I215" s="740"/>
      <c r="J215" s="741"/>
      <c r="K215" s="741"/>
      <c r="L215" s="741"/>
      <c r="M215" s="741"/>
      <c r="N215" s="741"/>
      <c r="O215" s="741"/>
      <c r="P215" s="737"/>
      <c r="Q215" s="737"/>
      <c r="R215" s="737"/>
      <c r="S215" s="737"/>
      <c r="T215" s="737"/>
      <c r="U215" s="750"/>
      <c r="V215" s="726"/>
      <c r="W215" s="726"/>
    </row>
    <row r="216" ht="15.0" customHeight="1">
      <c r="A216" s="736"/>
      <c r="B216" s="737"/>
      <c r="C216" s="737"/>
      <c r="D216" s="738"/>
      <c r="E216" s="738"/>
      <c r="F216" s="736"/>
      <c r="G216" s="739"/>
      <c r="H216" s="740"/>
      <c r="I216" s="740"/>
      <c r="J216" s="741"/>
      <c r="K216" s="741"/>
      <c r="L216" s="741"/>
      <c r="M216" s="741"/>
      <c r="N216" s="741"/>
      <c r="O216" s="741"/>
      <c r="P216" s="737"/>
      <c r="Q216" s="737"/>
      <c r="R216" s="737"/>
      <c r="S216" s="737"/>
      <c r="T216" s="737"/>
      <c r="U216" s="750"/>
      <c r="V216" s="726"/>
      <c r="W216" s="726"/>
    </row>
    <row r="217" ht="15.0" customHeight="1">
      <c r="A217" s="736"/>
      <c r="B217" s="737"/>
      <c r="C217" s="737"/>
      <c r="D217" s="738"/>
      <c r="E217" s="738"/>
      <c r="F217" s="736"/>
      <c r="G217" s="739"/>
      <c r="H217" s="740"/>
      <c r="I217" s="740"/>
      <c r="J217" s="741"/>
      <c r="K217" s="741"/>
      <c r="L217" s="741"/>
      <c r="M217" s="741"/>
      <c r="N217" s="741"/>
      <c r="O217" s="741"/>
      <c r="P217" s="737"/>
      <c r="Q217" s="737"/>
      <c r="R217" s="737"/>
      <c r="S217" s="737"/>
      <c r="T217" s="737"/>
      <c r="U217" s="750"/>
      <c r="V217" s="726"/>
      <c r="W217" s="726"/>
    </row>
    <row r="218" ht="15.0" customHeight="1">
      <c r="A218" s="736"/>
      <c r="B218" s="737"/>
      <c r="C218" s="737"/>
      <c r="D218" s="738"/>
      <c r="E218" s="738"/>
      <c r="F218" s="736"/>
      <c r="G218" s="739"/>
      <c r="H218" s="740"/>
      <c r="I218" s="740"/>
      <c r="J218" s="741"/>
      <c r="K218" s="741"/>
      <c r="L218" s="741"/>
      <c r="M218" s="741"/>
      <c r="N218" s="741"/>
      <c r="O218" s="741"/>
      <c r="P218" s="737"/>
      <c r="Q218" s="737"/>
      <c r="R218" s="737"/>
      <c r="S218" s="737"/>
      <c r="T218" s="737"/>
      <c r="U218" s="750"/>
      <c r="V218" s="726"/>
      <c r="W218" s="726"/>
    </row>
    <row r="219" ht="15.0" customHeight="1">
      <c r="A219" s="736"/>
      <c r="B219" s="737"/>
      <c r="C219" s="737"/>
      <c r="D219" s="738"/>
      <c r="E219" s="738"/>
      <c r="F219" s="736"/>
      <c r="G219" s="739"/>
      <c r="H219" s="740"/>
      <c r="I219" s="740"/>
      <c r="J219" s="741"/>
      <c r="K219" s="741"/>
      <c r="L219" s="741"/>
      <c r="M219" s="741"/>
      <c r="N219" s="741"/>
      <c r="O219" s="741"/>
      <c r="P219" s="737"/>
      <c r="Q219" s="737"/>
      <c r="R219" s="737"/>
      <c r="S219" s="737"/>
      <c r="T219" s="737"/>
      <c r="U219" s="750"/>
      <c r="V219" s="726"/>
      <c r="W219" s="726"/>
    </row>
    <row r="220" ht="15.0" customHeight="1">
      <c r="A220" s="736"/>
      <c r="B220" s="737"/>
      <c r="C220" s="737"/>
      <c r="D220" s="738"/>
      <c r="E220" s="738"/>
      <c r="F220" s="736"/>
      <c r="G220" s="739"/>
      <c r="H220" s="740"/>
      <c r="I220" s="740"/>
      <c r="J220" s="741"/>
      <c r="K220" s="741"/>
      <c r="L220" s="741"/>
      <c r="M220" s="741"/>
      <c r="N220" s="741"/>
      <c r="O220" s="741"/>
      <c r="P220" s="737"/>
      <c r="Q220" s="737"/>
      <c r="R220" s="737"/>
      <c r="S220" s="737"/>
      <c r="T220" s="737"/>
      <c r="U220" s="750"/>
      <c r="V220" s="726"/>
      <c r="W220" s="726"/>
    </row>
    <row r="221" ht="15.0" customHeight="1">
      <c r="A221" s="736"/>
      <c r="B221" s="737"/>
      <c r="C221" s="737"/>
      <c r="D221" s="738"/>
      <c r="E221" s="738"/>
      <c r="F221" s="736"/>
      <c r="G221" s="739"/>
      <c r="H221" s="740"/>
      <c r="I221" s="740"/>
      <c r="J221" s="741"/>
      <c r="K221" s="741"/>
      <c r="L221" s="741"/>
      <c r="M221" s="741"/>
      <c r="N221" s="741"/>
      <c r="O221" s="741"/>
      <c r="P221" s="737"/>
      <c r="Q221" s="737"/>
      <c r="R221" s="737"/>
      <c r="S221" s="737"/>
      <c r="T221" s="737"/>
      <c r="U221" s="750"/>
      <c r="V221" s="726"/>
      <c r="W221" s="726"/>
    </row>
    <row r="222" ht="15.0" customHeight="1">
      <c r="A222" s="725"/>
      <c r="B222" s="726"/>
      <c r="C222" s="726"/>
      <c r="D222" s="751"/>
      <c r="E222" s="751"/>
      <c r="F222" s="725"/>
      <c r="G222" s="727"/>
      <c r="H222" s="728"/>
      <c r="I222" s="728"/>
      <c r="J222" s="752"/>
      <c r="K222" s="752"/>
      <c r="L222" s="752"/>
      <c r="M222" s="752"/>
      <c r="N222" s="752"/>
      <c r="O222" s="752"/>
      <c r="P222" s="726"/>
      <c r="Q222" s="726"/>
      <c r="R222" s="726"/>
      <c r="S222" s="726"/>
      <c r="T222" s="726"/>
      <c r="U222" s="754"/>
      <c r="V222" s="726"/>
      <c r="W222" s="726"/>
    </row>
    <row r="223" ht="15.0" customHeight="1">
      <c r="A223" s="736"/>
      <c r="B223" s="737"/>
      <c r="C223" s="737"/>
      <c r="D223" s="738"/>
      <c r="E223" s="738"/>
      <c r="F223" s="736"/>
      <c r="G223" s="739"/>
      <c r="H223" s="740"/>
      <c r="I223" s="740"/>
      <c r="J223" s="741"/>
      <c r="K223" s="741"/>
      <c r="L223" s="741"/>
      <c r="M223" s="741"/>
      <c r="N223" s="741"/>
      <c r="O223" s="741"/>
      <c r="P223" s="737"/>
      <c r="Q223" s="737"/>
      <c r="R223" s="737"/>
      <c r="S223" s="737"/>
      <c r="T223" s="737"/>
      <c r="U223" s="750"/>
      <c r="V223" s="726"/>
      <c r="W223" s="726"/>
    </row>
    <row r="224" ht="15.0" customHeight="1">
      <c r="A224" s="736"/>
      <c r="B224" s="737"/>
      <c r="C224" s="737"/>
      <c r="D224" s="738"/>
      <c r="E224" s="738"/>
      <c r="F224" s="736"/>
      <c r="G224" s="739"/>
      <c r="H224" s="740"/>
      <c r="I224" s="740"/>
      <c r="J224" s="741"/>
      <c r="K224" s="741"/>
      <c r="L224" s="741"/>
      <c r="M224" s="741"/>
      <c r="N224" s="741"/>
      <c r="O224" s="741"/>
      <c r="P224" s="737"/>
      <c r="Q224" s="737"/>
      <c r="R224" s="737"/>
      <c r="S224" s="737"/>
      <c r="T224" s="737"/>
      <c r="U224" s="750"/>
      <c r="V224" s="726"/>
      <c r="W224" s="726"/>
    </row>
    <row r="225" ht="15.0" customHeight="1">
      <c r="A225" s="736"/>
      <c r="B225" s="737"/>
      <c r="C225" s="737"/>
      <c r="D225" s="738"/>
      <c r="E225" s="738"/>
      <c r="F225" s="736"/>
      <c r="G225" s="739"/>
      <c r="H225" s="740"/>
      <c r="I225" s="740"/>
      <c r="J225" s="741"/>
      <c r="K225" s="741"/>
      <c r="L225" s="741"/>
      <c r="M225" s="741"/>
      <c r="N225" s="741"/>
      <c r="O225" s="741"/>
      <c r="P225" s="737"/>
      <c r="Q225" s="737"/>
      <c r="R225" s="737"/>
      <c r="S225" s="737"/>
      <c r="T225" s="737"/>
      <c r="U225" s="750"/>
      <c r="V225" s="726"/>
      <c r="W225" s="726"/>
    </row>
    <row r="226" ht="15.0" customHeight="1">
      <c r="A226" s="736"/>
      <c r="B226" s="737"/>
      <c r="C226" s="737"/>
      <c r="D226" s="738"/>
      <c r="E226" s="738"/>
      <c r="F226" s="736"/>
      <c r="G226" s="739"/>
      <c r="H226" s="740"/>
      <c r="I226" s="740"/>
      <c r="J226" s="741"/>
      <c r="K226" s="741"/>
      <c r="L226" s="741"/>
      <c r="M226" s="741"/>
      <c r="N226" s="741"/>
      <c r="O226" s="741"/>
      <c r="P226" s="737"/>
      <c r="Q226" s="737"/>
      <c r="R226" s="737"/>
      <c r="S226" s="737"/>
      <c r="T226" s="737"/>
      <c r="U226" s="750"/>
      <c r="V226" s="726"/>
      <c r="W226" s="726"/>
    </row>
    <row r="227" ht="15.0" customHeight="1">
      <c r="A227" s="736"/>
      <c r="B227" s="737"/>
      <c r="C227" s="737"/>
      <c r="D227" s="738"/>
      <c r="E227" s="738"/>
      <c r="F227" s="736"/>
      <c r="G227" s="739"/>
      <c r="H227" s="740"/>
      <c r="I227" s="740"/>
      <c r="J227" s="741"/>
      <c r="K227" s="741"/>
      <c r="L227" s="741"/>
      <c r="M227" s="741"/>
      <c r="N227" s="741"/>
      <c r="O227" s="741"/>
      <c r="P227" s="737"/>
      <c r="Q227" s="737"/>
      <c r="R227" s="737"/>
      <c r="S227" s="737"/>
      <c r="T227" s="737"/>
      <c r="U227" s="750"/>
      <c r="V227" s="726"/>
      <c r="W227" s="726"/>
    </row>
    <row r="228" ht="15.0" customHeight="1">
      <c r="A228" s="736"/>
      <c r="B228" s="737"/>
      <c r="C228" s="737"/>
      <c r="D228" s="738"/>
      <c r="E228" s="738"/>
      <c r="F228" s="736"/>
      <c r="G228" s="739"/>
      <c r="H228" s="740"/>
      <c r="I228" s="740"/>
      <c r="J228" s="741"/>
      <c r="K228" s="741"/>
      <c r="L228" s="741"/>
      <c r="M228" s="741"/>
      <c r="N228" s="741"/>
      <c r="O228" s="741"/>
      <c r="P228" s="737"/>
      <c r="Q228" s="737"/>
      <c r="R228" s="737"/>
      <c r="S228" s="737"/>
      <c r="T228" s="737"/>
      <c r="U228" s="750"/>
      <c r="V228" s="726"/>
      <c r="W228" s="726"/>
    </row>
    <row r="229" ht="15.0" customHeight="1">
      <c r="A229" s="736"/>
      <c r="B229" s="737"/>
      <c r="C229" s="737"/>
      <c r="D229" s="738"/>
      <c r="E229" s="738"/>
      <c r="F229" s="736"/>
      <c r="G229" s="739"/>
      <c r="H229" s="740"/>
      <c r="I229" s="740"/>
      <c r="J229" s="741"/>
      <c r="K229" s="741"/>
      <c r="L229" s="741"/>
      <c r="M229" s="741"/>
      <c r="N229" s="741"/>
      <c r="O229" s="741"/>
      <c r="P229" s="737"/>
      <c r="Q229" s="737"/>
      <c r="R229" s="737"/>
      <c r="S229" s="737"/>
      <c r="T229" s="737"/>
      <c r="U229" s="750"/>
      <c r="V229" s="726"/>
      <c r="W229" s="726"/>
    </row>
    <row r="230" ht="15.0" customHeight="1">
      <c r="A230" s="725"/>
      <c r="B230" s="726"/>
      <c r="C230" s="726"/>
      <c r="D230" s="751"/>
      <c r="E230" s="751"/>
      <c r="F230" s="725"/>
      <c r="G230" s="727"/>
      <c r="H230" s="728"/>
      <c r="I230" s="728"/>
      <c r="J230" s="752"/>
      <c r="K230" s="752"/>
      <c r="L230" s="752"/>
      <c r="M230" s="752"/>
      <c r="N230" s="752"/>
      <c r="O230" s="752"/>
      <c r="P230" s="726"/>
      <c r="Q230" s="726"/>
      <c r="R230" s="726"/>
      <c r="S230" s="726"/>
      <c r="T230" s="726"/>
      <c r="U230" s="754"/>
      <c r="V230" s="726"/>
      <c r="W230" s="726"/>
    </row>
    <row r="231" ht="15.0" customHeight="1">
      <c r="A231" s="736"/>
      <c r="B231" s="737"/>
      <c r="C231" s="737"/>
      <c r="D231" s="738"/>
      <c r="E231" s="738"/>
      <c r="F231" s="736"/>
      <c r="G231" s="739"/>
      <c r="H231" s="740"/>
      <c r="I231" s="740"/>
      <c r="J231" s="741"/>
      <c r="K231" s="741"/>
      <c r="L231" s="741"/>
      <c r="M231" s="741"/>
      <c r="N231" s="741"/>
      <c r="O231" s="741"/>
      <c r="P231" s="737"/>
      <c r="Q231" s="737"/>
      <c r="R231" s="737"/>
      <c r="S231" s="737"/>
      <c r="T231" s="737"/>
      <c r="U231" s="750"/>
      <c r="V231" s="726"/>
      <c r="W231" s="726"/>
    </row>
    <row r="232" ht="15.0" customHeight="1">
      <c r="A232" s="736"/>
      <c r="B232" s="737"/>
      <c r="C232" s="737"/>
      <c r="D232" s="738"/>
      <c r="E232" s="738"/>
      <c r="F232" s="736"/>
      <c r="G232" s="739"/>
      <c r="H232" s="740"/>
      <c r="I232" s="740"/>
      <c r="J232" s="741"/>
      <c r="K232" s="741"/>
      <c r="L232" s="741"/>
      <c r="M232" s="741"/>
      <c r="N232" s="741"/>
      <c r="O232" s="741"/>
      <c r="P232" s="737"/>
      <c r="Q232" s="737"/>
      <c r="R232" s="737"/>
      <c r="S232" s="737"/>
      <c r="T232" s="737"/>
      <c r="U232" s="750"/>
      <c r="V232" s="726"/>
      <c r="W232" s="726"/>
    </row>
    <row r="233" ht="15.0" customHeight="1">
      <c r="A233" s="736"/>
      <c r="B233" s="737"/>
      <c r="C233" s="737"/>
      <c r="D233" s="738"/>
      <c r="E233" s="738"/>
      <c r="F233" s="736"/>
      <c r="G233" s="739"/>
      <c r="H233" s="740"/>
      <c r="I233" s="740"/>
      <c r="J233" s="741"/>
      <c r="K233" s="741"/>
      <c r="L233" s="741"/>
      <c r="M233" s="741"/>
      <c r="N233" s="741"/>
      <c r="O233" s="741"/>
      <c r="P233" s="737"/>
      <c r="Q233" s="737"/>
      <c r="R233" s="737"/>
      <c r="S233" s="737"/>
      <c r="T233" s="737"/>
      <c r="U233" s="750"/>
      <c r="V233" s="726"/>
      <c r="W233" s="726"/>
    </row>
    <row r="234" ht="15.0" customHeight="1">
      <c r="A234" s="736"/>
      <c r="B234" s="737"/>
      <c r="C234" s="737"/>
      <c r="D234" s="738"/>
      <c r="E234" s="738"/>
      <c r="F234" s="736"/>
      <c r="G234" s="739"/>
      <c r="H234" s="740"/>
      <c r="I234" s="740"/>
      <c r="J234" s="741"/>
      <c r="K234" s="741"/>
      <c r="L234" s="741"/>
      <c r="M234" s="741"/>
      <c r="N234" s="741"/>
      <c r="O234" s="741"/>
      <c r="P234" s="737"/>
      <c r="Q234" s="737"/>
      <c r="R234" s="737"/>
      <c r="S234" s="737"/>
      <c r="T234" s="737"/>
      <c r="U234" s="750"/>
      <c r="V234" s="726"/>
      <c r="W234" s="726"/>
    </row>
    <row r="235" ht="15.0" customHeight="1">
      <c r="A235" s="736"/>
      <c r="B235" s="737"/>
      <c r="C235" s="737"/>
      <c r="D235" s="738"/>
      <c r="E235" s="738"/>
      <c r="F235" s="736"/>
      <c r="G235" s="739"/>
      <c r="H235" s="740"/>
      <c r="I235" s="740"/>
      <c r="J235" s="741"/>
      <c r="K235" s="741"/>
      <c r="L235" s="741"/>
      <c r="M235" s="741"/>
      <c r="N235" s="741"/>
      <c r="O235" s="741"/>
      <c r="P235" s="737"/>
      <c r="Q235" s="737"/>
      <c r="R235" s="737"/>
      <c r="S235" s="737"/>
      <c r="T235" s="737"/>
      <c r="U235" s="750"/>
      <c r="V235" s="726"/>
      <c r="W235" s="726"/>
    </row>
    <row r="236" ht="15.0" customHeight="1">
      <c r="A236" s="736"/>
      <c r="B236" s="737"/>
      <c r="C236" s="737"/>
      <c r="D236" s="738"/>
      <c r="E236" s="738"/>
      <c r="F236" s="736"/>
      <c r="G236" s="739"/>
      <c r="H236" s="740"/>
      <c r="I236" s="740"/>
      <c r="J236" s="741"/>
      <c r="K236" s="741"/>
      <c r="L236" s="741"/>
      <c r="M236" s="741"/>
      <c r="N236" s="741"/>
      <c r="O236" s="741"/>
      <c r="P236" s="737"/>
      <c r="Q236" s="737"/>
      <c r="R236" s="737"/>
      <c r="S236" s="737"/>
      <c r="T236" s="737"/>
      <c r="U236" s="750"/>
      <c r="V236" s="726"/>
      <c r="W236" s="726"/>
    </row>
    <row r="237" ht="15.0" customHeight="1">
      <c r="A237" s="736"/>
      <c r="B237" s="737"/>
      <c r="C237" s="737"/>
      <c r="D237" s="738"/>
      <c r="E237" s="738"/>
      <c r="F237" s="736"/>
      <c r="G237" s="739"/>
      <c r="H237" s="740"/>
      <c r="I237" s="740"/>
      <c r="J237" s="741"/>
      <c r="K237" s="741"/>
      <c r="L237" s="741"/>
      <c r="M237" s="741"/>
      <c r="N237" s="741"/>
      <c r="O237" s="741"/>
      <c r="P237" s="737"/>
      <c r="Q237" s="737"/>
      <c r="R237" s="737"/>
      <c r="S237" s="737"/>
      <c r="T237" s="737"/>
      <c r="U237" s="750"/>
      <c r="V237" s="726"/>
      <c r="W237" s="726"/>
    </row>
    <row r="238" ht="15.0" customHeight="1">
      <c r="A238" s="736"/>
      <c r="B238" s="737"/>
      <c r="C238" s="737"/>
      <c r="D238" s="738"/>
      <c r="E238" s="738"/>
      <c r="F238" s="736"/>
      <c r="G238" s="739"/>
      <c r="H238" s="740"/>
      <c r="I238" s="740"/>
      <c r="J238" s="741"/>
      <c r="K238" s="741"/>
      <c r="L238" s="741"/>
      <c r="M238" s="741"/>
      <c r="N238" s="741"/>
      <c r="O238" s="741"/>
      <c r="P238" s="737"/>
      <c r="Q238" s="737"/>
      <c r="R238" s="737"/>
      <c r="S238" s="737"/>
      <c r="T238" s="737"/>
      <c r="U238" s="750"/>
      <c r="V238" s="726"/>
      <c r="W238" s="726"/>
    </row>
    <row r="239" ht="15.0" customHeight="1">
      <c r="A239" s="549"/>
      <c r="B239" s="550"/>
      <c r="C239" s="550"/>
      <c r="D239" s="550"/>
      <c r="E239" s="550"/>
      <c r="F239" s="549"/>
      <c r="G239" s="114"/>
      <c r="H239" s="559"/>
      <c r="I239" s="559"/>
      <c r="J239" s="730"/>
      <c r="K239" s="730"/>
      <c r="L239" s="730"/>
      <c r="M239" s="730"/>
      <c r="N239" s="730"/>
      <c r="O239" s="730"/>
      <c r="P239" s="647"/>
      <c r="Q239" s="647"/>
      <c r="R239" s="647"/>
      <c r="S239" s="647"/>
      <c r="T239" s="647"/>
      <c r="U239" s="731"/>
      <c r="V239" s="647"/>
      <c r="W239" s="647"/>
    </row>
    <row r="240" ht="15.0" customHeight="1">
      <c r="A240" s="549"/>
      <c r="B240" s="550"/>
      <c r="C240" s="550"/>
      <c r="D240" s="550"/>
      <c r="E240" s="550"/>
      <c r="F240" s="549"/>
      <c r="G240" s="114"/>
      <c r="H240" s="559"/>
      <c r="I240" s="559"/>
      <c r="J240" s="730"/>
      <c r="K240" s="730"/>
      <c r="L240" s="730"/>
      <c r="M240" s="730"/>
      <c r="N240" s="730"/>
      <c r="O240" s="730"/>
      <c r="P240" s="647"/>
      <c r="Q240" s="647"/>
      <c r="R240" s="647"/>
      <c r="S240" s="647"/>
      <c r="T240" s="647"/>
      <c r="U240" s="731"/>
      <c r="V240" s="647"/>
      <c r="W240" s="647"/>
    </row>
    <row r="241" ht="15.0" customHeight="1">
      <c r="A241" s="549"/>
      <c r="B241" s="550"/>
      <c r="C241" s="550"/>
      <c r="D241" s="550"/>
      <c r="E241" s="550"/>
      <c r="F241" s="549"/>
      <c r="G241" s="114"/>
      <c r="H241" s="559"/>
      <c r="I241" s="559"/>
      <c r="J241" s="730"/>
      <c r="K241" s="730"/>
      <c r="L241" s="730"/>
      <c r="M241" s="730"/>
      <c r="N241" s="730"/>
      <c r="O241" s="730"/>
      <c r="P241" s="647"/>
      <c r="Q241" s="647"/>
      <c r="R241" s="647"/>
      <c r="S241" s="647"/>
      <c r="T241" s="647"/>
      <c r="U241" s="731"/>
      <c r="V241" s="647"/>
      <c r="W241" s="647"/>
    </row>
    <row r="242" ht="15.0" customHeight="1">
      <c r="A242" s="549"/>
      <c r="B242" s="550"/>
      <c r="C242" s="550"/>
      <c r="D242" s="550"/>
      <c r="E242" s="550"/>
      <c r="F242" s="549"/>
      <c r="G242" s="114"/>
      <c r="H242" s="559"/>
      <c r="I242" s="559"/>
      <c r="J242" s="730"/>
      <c r="K242" s="730"/>
      <c r="L242" s="730"/>
      <c r="M242" s="730"/>
      <c r="N242" s="730"/>
      <c r="O242" s="730"/>
      <c r="P242" s="647"/>
      <c r="Q242" s="647"/>
      <c r="R242" s="647"/>
      <c r="S242" s="647"/>
      <c r="T242" s="647"/>
      <c r="U242" s="731"/>
      <c r="V242" s="647"/>
      <c r="W242" s="647"/>
    </row>
    <row r="243" ht="15.0" customHeight="1">
      <c r="A243" s="549"/>
      <c r="B243" s="550"/>
      <c r="C243" s="550"/>
      <c r="D243" s="550"/>
      <c r="E243" s="550"/>
      <c r="F243" s="549"/>
      <c r="G243" s="114"/>
      <c r="H243" s="559"/>
      <c r="I243" s="559"/>
      <c r="J243" s="730"/>
      <c r="K243" s="730"/>
      <c r="L243" s="730"/>
      <c r="M243" s="730"/>
      <c r="N243" s="730"/>
      <c r="O243" s="730"/>
      <c r="P243" s="647"/>
      <c r="Q243" s="647"/>
      <c r="R243" s="647"/>
      <c r="S243" s="647"/>
      <c r="T243" s="647"/>
      <c r="U243" s="731"/>
      <c r="V243" s="647"/>
      <c r="W243" s="647"/>
    </row>
    <row r="244" ht="15.0" customHeight="1">
      <c r="A244" s="549" t="s">
        <v>2503</v>
      </c>
      <c r="B244" s="550"/>
      <c r="C244" s="550"/>
      <c r="D244" s="647"/>
      <c r="E244" s="647"/>
      <c r="F244" s="549"/>
      <c r="G244" s="648"/>
      <c r="H244" s="647"/>
      <c r="I244" s="647"/>
      <c r="J244" s="730"/>
      <c r="K244" s="730"/>
      <c r="L244" s="730"/>
      <c r="M244" s="730"/>
      <c r="N244" s="730"/>
      <c r="O244" s="730"/>
      <c r="P244" s="647"/>
      <c r="Q244" s="647"/>
      <c r="R244" s="647"/>
      <c r="S244" s="647"/>
      <c r="T244" s="647"/>
      <c r="U244" s="731"/>
      <c r="V244" s="647"/>
      <c r="W244" s="647"/>
    </row>
    <row r="245" ht="15.0" customHeight="1">
      <c r="A245" s="549"/>
      <c r="B245" s="550"/>
      <c r="C245" s="550" t="s">
        <v>2035</v>
      </c>
      <c r="D245" s="647"/>
      <c r="E245" s="647"/>
      <c r="F245" s="549"/>
      <c r="G245" s="648"/>
      <c r="H245" s="647"/>
      <c r="I245" s="647"/>
      <c r="J245" s="730"/>
      <c r="K245" s="730"/>
      <c r="L245" s="730"/>
      <c r="M245" s="730"/>
      <c r="N245" s="730"/>
      <c r="O245" s="730"/>
      <c r="P245" s="647"/>
      <c r="Q245" s="647"/>
      <c r="R245" s="647"/>
      <c r="S245" s="647"/>
      <c r="T245" s="647"/>
      <c r="U245" s="731"/>
      <c r="V245" s="647"/>
      <c r="W245" s="647"/>
    </row>
    <row r="246" ht="15.0" customHeight="1">
      <c r="A246" s="549"/>
      <c r="B246" s="550"/>
      <c r="C246" s="550" t="s">
        <v>2192</v>
      </c>
      <c r="D246" s="647"/>
      <c r="E246" s="647"/>
      <c r="F246" s="549"/>
      <c r="G246" s="648"/>
      <c r="H246" s="647"/>
      <c r="I246" s="647"/>
      <c r="J246" s="730"/>
      <c r="K246" s="730"/>
      <c r="L246" s="730"/>
      <c r="M246" s="730"/>
      <c r="N246" s="730"/>
      <c r="O246" s="730"/>
      <c r="P246" s="647"/>
      <c r="Q246" s="647"/>
      <c r="R246" s="647"/>
      <c r="S246" s="647"/>
      <c r="T246" s="647"/>
      <c r="U246" s="731"/>
      <c r="V246" s="647"/>
      <c r="W246" s="647"/>
    </row>
    <row r="247" ht="15.0" customHeight="1">
      <c r="A247" s="549"/>
      <c r="B247" s="550"/>
      <c r="C247" s="550"/>
      <c r="D247" s="550"/>
      <c r="E247" s="550"/>
      <c r="F247" s="549"/>
      <c r="G247" s="114"/>
      <c r="H247" s="559"/>
      <c r="I247" s="559"/>
      <c r="J247" s="730"/>
      <c r="K247" s="730"/>
      <c r="L247" s="730"/>
      <c r="M247" s="730"/>
      <c r="N247" s="730"/>
      <c r="O247" s="730"/>
      <c r="P247" s="647"/>
      <c r="Q247" s="647"/>
      <c r="R247" s="647"/>
      <c r="S247" s="647"/>
      <c r="T247" s="647"/>
      <c r="U247" s="731"/>
      <c r="V247" s="647"/>
      <c r="W247" s="647"/>
    </row>
    <row r="248" ht="15.0" customHeight="1">
      <c r="A248" s="549"/>
      <c r="B248" s="550"/>
      <c r="C248" s="550" t="s">
        <v>2504</v>
      </c>
      <c r="D248" s="647"/>
      <c r="E248" s="647"/>
      <c r="F248" s="549"/>
      <c r="G248" s="648"/>
      <c r="H248" s="647"/>
      <c r="I248" s="647"/>
      <c r="J248" s="730"/>
      <c r="K248" s="730"/>
      <c r="L248" s="730"/>
      <c r="M248" s="730"/>
      <c r="N248" s="730"/>
      <c r="O248" s="730"/>
      <c r="P248" s="647"/>
      <c r="Q248" s="647"/>
      <c r="R248" s="647"/>
      <c r="S248" s="647"/>
      <c r="T248" s="647"/>
      <c r="U248" s="731"/>
      <c r="V248" s="647"/>
      <c r="W248" s="647"/>
    </row>
    <row r="249" ht="15.0" customHeight="1">
      <c r="A249" s="549"/>
      <c r="B249" s="550"/>
      <c r="C249" s="550" t="s">
        <v>2505</v>
      </c>
      <c r="D249" s="647"/>
      <c r="E249" s="647"/>
      <c r="F249" s="549"/>
      <c r="G249" s="648"/>
      <c r="H249" s="647"/>
      <c r="I249" s="647"/>
      <c r="J249" s="730"/>
      <c r="K249" s="730"/>
      <c r="L249" s="730"/>
      <c r="M249" s="730"/>
      <c r="N249" s="730"/>
      <c r="O249" s="730"/>
      <c r="P249" s="647"/>
      <c r="Q249" s="647"/>
      <c r="R249" s="647"/>
      <c r="S249" s="647"/>
      <c r="T249" s="647"/>
      <c r="U249" s="731"/>
      <c r="V249" s="647"/>
      <c r="W249" s="647"/>
    </row>
    <row r="250" ht="15.0" customHeight="1">
      <c r="A250" s="549"/>
      <c r="B250" s="550"/>
      <c r="C250" s="550"/>
      <c r="D250" s="550"/>
      <c r="E250" s="550"/>
      <c r="F250" s="549"/>
      <c r="G250" s="114"/>
      <c r="H250" s="559"/>
      <c r="I250" s="559"/>
      <c r="J250" s="730"/>
      <c r="K250" s="730"/>
      <c r="L250" s="730"/>
      <c r="M250" s="730"/>
      <c r="N250" s="730"/>
      <c r="O250" s="730"/>
      <c r="P250" s="647"/>
      <c r="Q250" s="647"/>
      <c r="R250" s="647"/>
      <c r="S250" s="647"/>
      <c r="T250" s="647"/>
      <c r="U250" s="731"/>
      <c r="V250" s="647"/>
      <c r="W250" s="647"/>
    </row>
    <row r="251" ht="15.0" customHeight="1">
      <c r="A251" s="549"/>
      <c r="B251" s="550"/>
      <c r="C251" s="550" t="s">
        <v>2506</v>
      </c>
      <c r="D251" s="647"/>
      <c r="E251" s="647"/>
      <c r="F251" s="549"/>
      <c r="G251" s="648"/>
      <c r="H251" s="647"/>
      <c r="I251" s="647"/>
      <c r="J251" s="730"/>
      <c r="K251" s="730"/>
      <c r="L251" s="730"/>
      <c r="M251" s="730"/>
      <c r="N251" s="730"/>
      <c r="O251" s="730"/>
      <c r="P251" s="647"/>
      <c r="Q251" s="647"/>
      <c r="R251" s="647"/>
      <c r="S251" s="647"/>
      <c r="T251" s="647"/>
      <c r="U251" s="731"/>
      <c r="V251" s="647"/>
      <c r="W251" s="647"/>
    </row>
    <row r="252" ht="15.0" customHeight="1">
      <c r="A252" s="549"/>
      <c r="B252" s="550"/>
      <c r="C252" s="550" t="s">
        <v>2507</v>
      </c>
      <c r="D252" s="647"/>
      <c r="E252" s="647"/>
      <c r="F252" s="549"/>
      <c r="G252" s="648"/>
      <c r="H252" s="647"/>
      <c r="I252" s="647"/>
      <c r="J252" s="730"/>
      <c r="K252" s="730"/>
      <c r="L252" s="730"/>
      <c r="M252" s="730"/>
      <c r="N252" s="730"/>
      <c r="O252" s="730"/>
      <c r="P252" s="647"/>
      <c r="Q252" s="647"/>
      <c r="R252" s="647"/>
      <c r="S252" s="647"/>
      <c r="T252" s="647"/>
      <c r="U252" s="731"/>
      <c r="V252" s="647"/>
      <c r="W252" s="647"/>
    </row>
    <row r="253" ht="15.0" customHeight="1">
      <c r="A253" s="549"/>
      <c r="B253" s="550"/>
      <c r="C253" s="550" t="s">
        <v>2508</v>
      </c>
      <c r="D253" s="647"/>
      <c r="E253" s="647"/>
      <c r="F253" s="549"/>
      <c r="G253" s="648"/>
      <c r="H253" s="647"/>
      <c r="I253" s="647"/>
      <c r="J253" s="730"/>
      <c r="K253" s="730"/>
      <c r="L253" s="730"/>
      <c r="M253" s="730"/>
      <c r="N253" s="730"/>
      <c r="O253" s="730"/>
      <c r="P253" s="647"/>
      <c r="Q253" s="647"/>
      <c r="R253" s="647"/>
      <c r="S253" s="647"/>
      <c r="T253" s="647"/>
      <c r="U253" s="731"/>
      <c r="V253" s="647"/>
      <c r="W253" s="647"/>
    </row>
    <row r="254" ht="15.0" customHeight="1">
      <c r="A254" s="549"/>
      <c r="B254" s="550"/>
      <c r="C254" s="550"/>
      <c r="D254" s="550"/>
      <c r="E254" s="550"/>
      <c r="F254" s="549"/>
      <c r="G254" s="114"/>
      <c r="H254" s="559"/>
      <c r="I254" s="559"/>
      <c r="J254" s="730"/>
      <c r="K254" s="730"/>
      <c r="L254" s="730"/>
      <c r="M254" s="730"/>
      <c r="N254" s="730"/>
      <c r="O254" s="730"/>
      <c r="P254" s="647"/>
      <c r="Q254" s="647"/>
      <c r="R254" s="647"/>
      <c r="S254" s="647"/>
      <c r="T254" s="647"/>
      <c r="U254" s="731"/>
      <c r="V254" s="647"/>
      <c r="W254" s="647"/>
    </row>
    <row r="255" ht="15.0" customHeight="1">
      <c r="A255" s="549"/>
      <c r="B255" s="550"/>
      <c r="C255" s="550" t="s">
        <v>2509</v>
      </c>
      <c r="D255" s="647"/>
      <c r="E255" s="647"/>
      <c r="F255" s="549"/>
      <c r="G255" s="648"/>
      <c r="H255" s="647"/>
      <c r="I255" s="647"/>
      <c r="J255" s="730"/>
      <c r="K255" s="730"/>
      <c r="L255" s="730"/>
      <c r="M255" s="730"/>
      <c r="N255" s="730"/>
      <c r="O255" s="730"/>
      <c r="P255" s="647"/>
      <c r="Q255" s="647"/>
      <c r="R255" s="647"/>
      <c r="S255" s="647"/>
      <c r="T255" s="647"/>
      <c r="U255" s="731"/>
      <c r="V255" s="647"/>
      <c r="W255" s="647"/>
    </row>
    <row r="256" ht="15.0" customHeight="1">
      <c r="A256" s="549"/>
      <c r="B256" s="550"/>
      <c r="C256" s="550" t="s">
        <v>2510</v>
      </c>
      <c r="D256" s="647"/>
      <c r="E256" s="647"/>
      <c r="F256" s="549"/>
      <c r="G256" s="648"/>
      <c r="H256" s="647"/>
      <c r="I256" s="647"/>
      <c r="J256" s="730"/>
      <c r="K256" s="730"/>
      <c r="L256" s="730"/>
      <c r="M256" s="730"/>
      <c r="N256" s="730"/>
      <c r="O256" s="730"/>
      <c r="P256" s="647"/>
      <c r="Q256" s="647"/>
      <c r="R256" s="647"/>
      <c r="S256" s="647"/>
      <c r="T256" s="647"/>
      <c r="U256" s="731"/>
      <c r="V256" s="647"/>
      <c r="W256" s="647"/>
    </row>
    <row r="257" ht="15.0" customHeight="1">
      <c r="A257" s="647"/>
      <c r="B257" s="647"/>
      <c r="C257" s="550" t="s">
        <v>903</v>
      </c>
      <c r="D257" s="647"/>
      <c r="E257" s="647"/>
      <c r="F257" s="549"/>
      <c r="G257" s="648"/>
      <c r="H257" s="647"/>
      <c r="I257" s="647"/>
      <c r="J257" s="730"/>
      <c r="K257" s="730"/>
      <c r="L257" s="730"/>
      <c r="M257" s="730"/>
      <c r="N257" s="730"/>
      <c r="O257" s="730"/>
      <c r="P257" s="647"/>
      <c r="Q257" s="647"/>
      <c r="R257" s="647"/>
      <c r="S257" s="647"/>
      <c r="T257" s="647"/>
      <c r="U257" s="731"/>
      <c r="V257" s="647"/>
      <c r="W257" s="647"/>
    </row>
    <row r="258" ht="15.0" customHeight="1">
      <c r="A258" s="647"/>
      <c r="B258" s="647"/>
      <c r="C258" s="550" t="s">
        <v>2511</v>
      </c>
      <c r="D258" s="647"/>
      <c r="E258" s="647"/>
      <c r="F258" s="549"/>
      <c r="G258" s="648"/>
      <c r="H258" s="647"/>
      <c r="I258" s="647"/>
      <c r="J258" s="730"/>
      <c r="K258" s="730"/>
      <c r="L258" s="730"/>
      <c r="M258" s="730"/>
      <c r="N258" s="730"/>
      <c r="O258" s="730"/>
      <c r="P258" s="647"/>
      <c r="Q258" s="647"/>
      <c r="R258" s="647"/>
      <c r="S258" s="647"/>
      <c r="T258" s="647"/>
      <c r="U258" s="731"/>
      <c r="V258" s="647"/>
      <c r="W258" s="647"/>
    </row>
    <row r="259" ht="15.0" customHeight="1">
      <c r="A259" s="647"/>
      <c r="B259" s="647"/>
      <c r="C259" s="550" t="s">
        <v>387</v>
      </c>
      <c r="D259" s="647"/>
      <c r="E259" s="647"/>
      <c r="F259" s="549"/>
      <c r="G259" s="648"/>
      <c r="H259" s="647"/>
      <c r="I259" s="647"/>
      <c r="J259" s="730"/>
      <c r="K259" s="730"/>
      <c r="L259" s="730"/>
      <c r="M259" s="730"/>
      <c r="N259" s="730"/>
      <c r="O259" s="730"/>
      <c r="P259" s="647"/>
      <c r="Q259" s="647"/>
      <c r="R259" s="647"/>
      <c r="S259" s="647"/>
      <c r="T259" s="647"/>
      <c r="U259" s="731"/>
      <c r="V259" s="647"/>
      <c r="W259" s="647"/>
    </row>
    <row r="260" ht="15.0" customHeight="1">
      <c r="A260" s="549"/>
      <c r="B260" s="550"/>
      <c r="C260" s="550"/>
      <c r="D260" s="550"/>
      <c r="E260" s="550"/>
      <c r="F260" s="549"/>
      <c r="G260" s="114"/>
      <c r="H260" s="559"/>
      <c r="I260" s="559"/>
      <c r="J260" s="730"/>
      <c r="K260" s="730"/>
      <c r="L260" s="730"/>
      <c r="M260" s="730"/>
      <c r="N260" s="730"/>
      <c r="O260" s="730"/>
      <c r="P260" s="647"/>
      <c r="Q260" s="647"/>
      <c r="R260" s="647"/>
      <c r="S260" s="647"/>
      <c r="T260" s="647"/>
      <c r="U260" s="731"/>
      <c r="V260" s="647"/>
      <c r="W260" s="647"/>
    </row>
    <row r="261" ht="15.0" customHeight="1">
      <c r="A261" s="647"/>
      <c r="B261" s="647"/>
      <c r="C261" s="7" t="s">
        <v>2513</v>
      </c>
      <c r="D261" s="647"/>
      <c r="E261" s="647"/>
      <c r="F261" s="549"/>
      <c r="G261" s="648"/>
      <c r="H261" s="647"/>
      <c r="I261" s="647"/>
      <c r="J261" s="730"/>
      <c r="K261" s="730"/>
      <c r="L261" s="730"/>
      <c r="M261" s="730"/>
      <c r="N261" s="730"/>
      <c r="O261" s="730"/>
      <c r="P261" s="647"/>
      <c r="Q261" s="647"/>
      <c r="R261" s="647"/>
      <c r="S261" s="647"/>
      <c r="T261" s="647"/>
      <c r="U261" s="731"/>
      <c r="V261" s="647"/>
      <c r="W261" s="647"/>
    </row>
    <row r="262" ht="15.0" customHeight="1">
      <c r="A262" s="647"/>
      <c r="B262" s="647"/>
      <c r="C262" s="7" t="s">
        <v>2514</v>
      </c>
      <c r="D262" s="647"/>
      <c r="E262" s="647"/>
      <c r="F262" s="549"/>
      <c r="G262" s="648"/>
      <c r="H262" s="647"/>
      <c r="I262" s="647"/>
      <c r="J262" s="730"/>
      <c r="K262" s="730"/>
      <c r="L262" s="730"/>
      <c r="M262" s="730"/>
      <c r="N262" s="730"/>
      <c r="O262" s="730"/>
      <c r="P262" s="647"/>
      <c r="Q262" s="647"/>
      <c r="R262" s="647"/>
      <c r="S262" s="647"/>
      <c r="T262" s="647"/>
      <c r="U262" s="731"/>
      <c r="V262" s="647"/>
      <c r="W262" s="647"/>
    </row>
    <row r="263" ht="15.0" customHeight="1">
      <c r="A263" s="647"/>
      <c r="B263" s="647"/>
      <c r="C263" s="7" t="s">
        <v>2515</v>
      </c>
      <c r="D263" s="647"/>
      <c r="E263" s="647"/>
      <c r="F263" s="549"/>
      <c r="G263" s="648"/>
      <c r="H263" s="647"/>
      <c r="I263" s="647"/>
      <c r="J263" s="730"/>
      <c r="K263" s="730"/>
      <c r="L263" s="730"/>
      <c r="M263" s="730"/>
      <c r="N263" s="730"/>
      <c r="O263" s="730"/>
      <c r="P263" s="647"/>
      <c r="Q263" s="647"/>
      <c r="R263" s="647"/>
      <c r="S263" s="647"/>
      <c r="T263" s="647"/>
      <c r="U263" s="731"/>
      <c r="V263" s="647"/>
      <c r="W263" s="647"/>
    </row>
    <row r="264" ht="15.0" customHeight="1">
      <c r="A264" s="647"/>
      <c r="B264" s="647"/>
      <c r="C264" s="7" t="s">
        <v>2516</v>
      </c>
      <c r="D264" s="647"/>
      <c r="E264" s="647"/>
      <c r="F264" s="549"/>
      <c r="G264" s="648"/>
      <c r="H264" s="647"/>
      <c r="I264" s="647"/>
      <c r="J264" s="730"/>
      <c r="K264" s="730"/>
      <c r="L264" s="730"/>
      <c r="M264" s="730"/>
      <c r="N264" s="730"/>
      <c r="O264" s="730"/>
      <c r="P264" s="647"/>
      <c r="Q264" s="647"/>
      <c r="R264" s="647"/>
      <c r="S264" s="647"/>
      <c r="T264" s="647"/>
      <c r="U264" s="731"/>
      <c r="V264" s="647"/>
      <c r="W264" s="647"/>
    </row>
    <row r="265" ht="15.0" customHeight="1">
      <c r="A265" s="647"/>
      <c r="B265" s="647"/>
      <c r="C265" s="7" t="s">
        <v>2517</v>
      </c>
      <c r="D265" s="647"/>
      <c r="E265" s="647"/>
      <c r="F265" s="549"/>
      <c r="G265" s="648"/>
      <c r="H265" s="647"/>
      <c r="I265" s="647"/>
      <c r="J265" s="730"/>
      <c r="K265" s="730"/>
      <c r="L265" s="730"/>
      <c r="M265" s="730"/>
      <c r="N265" s="730"/>
      <c r="O265" s="730"/>
      <c r="P265" s="647"/>
      <c r="Q265" s="647"/>
      <c r="R265" s="647"/>
      <c r="S265" s="647"/>
      <c r="T265" s="647"/>
      <c r="U265" s="731"/>
      <c r="V265" s="647"/>
      <c r="W265" s="647"/>
    </row>
    <row r="266" ht="15.0" customHeight="1">
      <c r="A266" s="647"/>
      <c r="B266" s="647"/>
      <c r="C266" s="7" t="s">
        <v>2518</v>
      </c>
      <c r="D266" s="647"/>
      <c r="E266" s="647"/>
      <c r="F266" s="549"/>
      <c r="G266" s="648"/>
      <c r="H266" s="647"/>
      <c r="I266" s="647"/>
      <c r="J266" s="730"/>
      <c r="K266" s="730"/>
      <c r="L266" s="730"/>
      <c r="M266" s="730"/>
      <c r="N266" s="730"/>
      <c r="O266" s="730"/>
      <c r="P266" s="647"/>
      <c r="Q266" s="647"/>
      <c r="R266" s="647"/>
      <c r="S266" s="647"/>
      <c r="T266" s="647"/>
      <c r="U266" s="731"/>
      <c r="V266" s="647"/>
      <c r="W266" s="647"/>
    </row>
    <row r="267" ht="15.0" customHeight="1">
      <c r="A267" s="647"/>
      <c r="B267" s="647"/>
      <c r="C267" s="7" t="s">
        <v>2519</v>
      </c>
      <c r="D267" s="647"/>
      <c r="E267" s="647"/>
      <c r="F267" s="549"/>
      <c r="G267" s="648"/>
      <c r="H267" s="647"/>
      <c r="I267" s="647"/>
      <c r="J267" s="730"/>
      <c r="K267" s="730"/>
      <c r="L267" s="730"/>
      <c r="M267" s="730"/>
      <c r="N267" s="730"/>
      <c r="O267" s="730"/>
      <c r="P267" s="647"/>
      <c r="Q267" s="647"/>
      <c r="R267" s="647"/>
      <c r="S267" s="647"/>
      <c r="T267" s="647"/>
      <c r="U267" s="731"/>
      <c r="V267" s="647"/>
      <c r="W267" s="647"/>
    </row>
    <row r="268" ht="15.0" customHeight="1">
      <c r="A268" s="647"/>
      <c r="B268" s="647"/>
      <c r="C268" s="7" t="s">
        <v>2520</v>
      </c>
      <c r="D268" s="647"/>
      <c r="E268" s="647"/>
      <c r="F268" s="549"/>
      <c r="G268" s="648"/>
      <c r="H268" s="647"/>
      <c r="I268" s="647"/>
      <c r="J268" s="730"/>
      <c r="K268" s="730"/>
      <c r="L268" s="730"/>
      <c r="M268" s="730"/>
      <c r="N268" s="730"/>
      <c r="O268" s="730"/>
      <c r="P268" s="647"/>
      <c r="Q268" s="647"/>
      <c r="R268" s="647"/>
      <c r="S268" s="647"/>
      <c r="T268" s="647"/>
      <c r="U268" s="731"/>
      <c r="V268" s="647"/>
      <c r="W268" s="647"/>
    </row>
    <row r="269" ht="15.0" customHeight="1">
      <c r="A269" s="647"/>
      <c r="B269" s="647"/>
      <c r="C269" s="7" t="s">
        <v>2521</v>
      </c>
      <c r="D269" s="647"/>
      <c r="E269" s="647"/>
      <c r="F269" s="549"/>
      <c r="G269" s="648"/>
      <c r="H269" s="647"/>
      <c r="I269" s="647"/>
      <c r="J269" s="730"/>
      <c r="K269" s="730"/>
      <c r="L269" s="730"/>
      <c r="M269" s="730"/>
      <c r="N269" s="730"/>
      <c r="O269" s="730"/>
      <c r="P269" s="647"/>
      <c r="Q269" s="647"/>
      <c r="R269" s="647"/>
      <c r="S269" s="647"/>
      <c r="T269" s="647"/>
      <c r="U269" s="731"/>
      <c r="V269" s="647"/>
      <c r="W269" s="647"/>
    </row>
    <row r="270" ht="15.0" customHeight="1">
      <c r="A270" s="647"/>
      <c r="B270" s="647"/>
      <c r="C270" s="7" t="s">
        <v>2522</v>
      </c>
      <c r="D270" s="647"/>
      <c r="E270" s="647"/>
      <c r="F270" s="549"/>
      <c r="G270" s="648"/>
      <c r="H270" s="647"/>
      <c r="I270" s="647"/>
      <c r="J270" s="730"/>
      <c r="K270" s="730"/>
      <c r="L270" s="730"/>
      <c r="M270" s="730"/>
      <c r="N270" s="730"/>
      <c r="O270" s="730"/>
      <c r="P270" s="647"/>
      <c r="Q270" s="647"/>
      <c r="R270" s="647"/>
      <c r="S270" s="647"/>
      <c r="T270" s="647"/>
      <c r="U270" s="731"/>
      <c r="V270" s="647"/>
      <c r="W270" s="647"/>
    </row>
  </sheetData>
  <autoFilter ref="$A$3:$U$242">
    <sortState ref="A3:U242">
      <sortCondition descending="1" ref="G3:G242"/>
      <sortCondition ref="C3:C242"/>
    </sortState>
  </autoFilter>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7.29" defaultRowHeight="15.75"/>
  <cols>
    <col customWidth="1" min="1" max="1" width="8.71"/>
    <col customWidth="1" min="2" max="2" width="25.43"/>
    <col customWidth="1" min="3" max="5" width="8.71"/>
    <col customWidth="1" min="6" max="6" width="22.29"/>
    <col customWidth="1" min="7" max="16" width="8.71"/>
    <col customWidth="1" min="17" max="17" width="10.0"/>
    <col customWidth="1" min="18" max="27" width="8.71"/>
  </cols>
  <sheetData>
    <row r="1" ht="14.25" customHeight="1">
      <c r="B1" s="474" t="s">
        <v>2524</v>
      </c>
    </row>
    <row r="2" ht="14.25" customHeight="1">
      <c r="B2" s="924" t="s">
        <v>2525</v>
      </c>
    </row>
    <row r="3" ht="14.25" customHeight="1">
      <c r="B3" t="s">
        <v>2526</v>
      </c>
      <c r="C3" s="925">
        <v>0.03</v>
      </c>
      <c r="D3" s="94" t="s">
        <v>2527</v>
      </c>
    </row>
    <row r="4" ht="14.25" customHeight="1">
      <c r="B4" t="s">
        <v>2528</v>
      </c>
      <c r="C4" s="925">
        <v>0.04</v>
      </c>
      <c r="D4" s="94" t="s">
        <v>2527</v>
      </c>
      <c r="F4" s="94" t="s">
        <v>2529</v>
      </c>
      <c r="G4" s="926">
        <v>6.0</v>
      </c>
    </row>
    <row r="5" ht="14.25" customHeight="1">
      <c r="B5" t="s">
        <v>2530</v>
      </c>
      <c r="C5" s="925">
        <v>0.05</v>
      </c>
      <c r="D5" s="94" t="s">
        <v>2531</v>
      </c>
      <c r="F5" s="94" t="s">
        <v>2532</v>
      </c>
      <c r="G5" s="927">
        <f>1/G4</f>
        <v>0.1666666667</v>
      </c>
    </row>
    <row r="6" ht="14.25" customHeight="1"/>
    <row r="7" ht="14.25" customHeight="1">
      <c r="B7" s="924" t="s">
        <v>2534</v>
      </c>
      <c r="F7" s="924" t="s">
        <v>2535</v>
      </c>
    </row>
    <row r="8" ht="14.25" customHeight="1">
      <c r="B8" t="s">
        <v>2536</v>
      </c>
      <c r="C8" s="925">
        <v>0.25</v>
      </c>
      <c r="F8" t="s">
        <v>310</v>
      </c>
      <c r="G8">
        <v>1.0</v>
      </c>
      <c r="H8">
        <f t="shared" ref="H8:AA8" si="1">G8+1</f>
        <v>2</v>
      </c>
      <c r="I8">
        <f t="shared" si="1"/>
        <v>3</v>
      </c>
      <c r="J8">
        <f t="shared" si="1"/>
        <v>4</v>
      </c>
      <c r="K8">
        <f t="shared" si="1"/>
        <v>5</v>
      </c>
      <c r="L8">
        <f t="shared" si="1"/>
        <v>6</v>
      </c>
      <c r="M8">
        <f t="shared" si="1"/>
        <v>7</v>
      </c>
      <c r="N8">
        <f t="shared" si="1"/>
        <v>8</v>
      </c>
      <c r="O8">
        <f t="shared" si="1"/>
        <v>9</v>
      </c>
      <c r="P8">
        <f t="shared" si="1"/>
        <v>10</v>
      </c>
      <c r="Q8">
        <f t="shared" si="1"/>
        <v>11</v>
      </c>
      <c r="R8">
        <f t="shared" si="1"/>
        <v>12</v>
      </c>
      <c r="S8">
        <f t="shared" si="1"/>
        <v>13</v>
      </c>
      <c r="T8">
        <f t="shared" si="1"/>
        <v>14</v>
      </c>
      <c r="U8">
        <f t="shared" si="1"/>
        <v>15</v>
      </c>
      <c r="V8">
        <f t="shared" si="1"/>
        <v>16</v>
      </c>
      <c r="W8">
        <f t="shared" si="1"/>
        <v>17</v>
      </c>
      <c r="X8">
        <f t="shared" si="1"/>
        <v>18</v>
      </c>
      <c r="Y8">
        <f t="shared" si="1"/>
        <v>19</v>
      </c>
      <c r="Z8">
        <f t="shared" si="1"/>
        <v>20</v>
      </c>
      <c r="AA8">
        <f t="shared" si="1"/>
        <v>21</v>
      </c>
    </row>
    <row r="9" ht="14.25" customHeight="1">
      <c r="B9" t="s">
        <v>2537</v>
      </c>
      <c r="C9" s="925">
        <v>0.35</v>
      </c>
      <c r="F9" t="s">
        <v>2538</v>
      </c>
      <c r="G9" s="928">
        <f>C10</f>
        <v>57.78879766</v>
      </c>
      <c r="H9" s="928">
        <f t="shared" ref="H9:AA9" si="2">G9*(1+G12)</f>
        <v>78.01487684</v>
      </c>
      <c r="I9" s="928">
        <f t="shared" si="2"/>
        <v>101.1592903</v>
      </c>
      <c r="J9" s="928">
        <f t="shared" si="2"/>
        <v>125.7747176</v>
      </c>
      <c r="K9" s="928">
        <f t="shared" si="2"/>
        <v>149.6719139</v>
      </c>
      <c r="L9" s="928">
        <f t="shared" si="2"/>
        <v>170.1270755</v>
      </c>
      <c r="M9" s="928">
        <f t="shared" si="2"/>
        <v>184.3043318</v>
      </c>
      <c r="N9" s="928">
        <f t="shared" si="2"/>
        <v>189.8334618</v>
      </c>
      <c r="O9" s="928">
        <f t="shared" si="2"/>
        <v>195.5284656</v>
      </c>
      <c r="P9" s="928">
        <f t="shared" si="2"/>
        <v>201.3943196</v>
      </c>
      <c r="Q9" s="928">
        <f t="shared" si="2"/>
        <v>207.4361492</v>
      </c>
      <c r="R9" s="928">
        <f t="shared" si="2"/>
        <v>213.6592337</v>
      </c>
      <c r="S9" s="928">
        <f t="shared" si="2"/>
        <v>220.0690107</v>
      </c>
      <c r="T9" s="928">
        <f t="shared" si="2"/>
        <v>226.671081</v>
      </c>
      <c r="U9" s="928">
        <f t="shared" si="2"/>
        <v>233.4712134</v>
      </c>
      <c r="V9" s="928">
        <f t="shared" si="2"/>
        <v>240.4753498</v>
      </c>
      <c r="W9" s="928">
        <f t="shared" si="2"/>
        <v>247.6896103</v>
      </c>
      <c r="X9" s="928">
        <f t="shared" si="2"/>
        <v>255.1202986</v>
      </c>
      <c r="Y9" s="928">
        <f t="shared" si="2"/>
        <v>262.7739076</v>
      </c>
      <c r="Z9" s="928">
        <f t="shared" si="2"/>
        <v>270.6571248</v>
      </c>
      <c r="AA9" s="928">
        <f t="shared" si="2"/>
        <v>278.7768385</v>
      </c>
    </row>
    <row r="10" ht="14.25" customHeight="1">
      <c r="B10" t="s">
        <v>2540</v>
      </c>
      <c r="C10" s="929">
        <v>57.78879765561956</v>
      </c>
      <c r="F10" t="s">
        <v>2536</v>
      </c>
      <c r="G10" s="930">
        <f>C8</f>
        <v>0.25</v>
      </c>
      <c r="H10" s="925">
        <f t="shared" ref="H10:Z10" si="3">MAX($C$14,$C$8+$G$5*($C$14-$C$8)*(H8-1))</f>
        <v>0.2283333333</v>
      </c>
      <c r="I10" s="925">
        <f t="shared" si="3"/>
        <v>0.2066666667</v>
      </c>
      <c r="J10" s="925">
        <f t="shared" si="3"/>
        <v>0.185</v>
      </c>
      <c r="K10" s="925">
        <f t="shared" si="3"/>
        <v>0.1633333333</v>
      </c>
      <c r="L10" s="925">
        <f t="shared" si="3"/>
        <v>0.1416666667</v>
      </c>
      <c r="M10" s="925">
        <f t="shared" si="3"/>
        <v>0.12</v>
      </c>
      <c r="N10" s="925">
        <f t="shared" si="3"/>
        <v>0.12</v>
      </c>
      <c r="O10" s="925">
        <f t="shared" si="3"/>
        <v>0.12</v>
      </c>
      <c r="P10" s="925">
        <f t="shared" si="3"/>
        <v>0.12</v>
      </c>
      <c r="Q10" s="925">
        <f t="shared" si="3"/>
        <v>0.12</v>
      </c>
      <c r="R10" s="925">
        <f t="shared" si="3"/>
        <v>0.12</v>
      </c>
      <c r="S10" s="925">
        <f t="shared" si="3"/>
        <v>0.12</v>
      </c>
      <c r="T10" s="925">
        <f t="shared" si="3"/>
        <v>0.12</v>
      </c>
      <c r="U10" s="925">
        <f t="shared" si="3"/>
        <v>0.12</v>
      </c>
      <c r="V10" s="925">
        <f t="shared" si="3"/>
        <v>0.12</v>
      </c>
      <c r="W10" s="925">
        <f t="shared" si="3"/>
        <v>0.12</v>
      </c>
      <c r="X10" s="925">
        <f t="shared" si="3"/>
        <v>0.12</v>
      </c>
      <c r="Y10" s="925">
        <f t="shared" si="3"/>
        <v>0.12</v>
      </c>
      <c r="Z10" s="925">
        <f t="shared" si="3"/>
        <v>0.12</v>
      </c>
      <c r="AA10" s="931"/>
    </row>
    <row r="11" ht="14.25" customHeight="1">
      <c r="B11" t="s">
        <v>2543</v>
      </c>
      <c r="C11" s="929">
        <v>1.0</v>
      </c>
      <c r="F11" t="s">
        <v>2544</v>
      </c>
      <c r="G11" s="930">
        <f>1-$C$17</f>
        <v>-0.4</v>
      </c>
      <c r="H11" s="930">
        <f t="shared" ref="H11:Z11" si="4">1-H12/H10</f>
        <v>-0.299270073</v>
      </c>
      <c r="I11" s="930">
        <f t="shared" si="4"/>
        <v>-0.1774193548</v>
      </c>
      <c r="J11" s="930">
        <f t="shared" si="4"/>
        <v>-0.02702702703</v>
      </c>
      <c r="K11" s="930">
        <f t="shared" si="4"/>
        <v>0.1632653061</v>
      </c>
      <c r="L11" s="930">
        <f t="shared" si="4"/>
        <v>0.4117647059</v>
      </c>
      <c r="M11" s="930">
        <f t="shared" si="4"/>
        <v>0.75</v>
      </c>
      <c r="N11" s="930">
        <f t="shared" si="4"/>
        <v>0.75</v>
      </c>
      <c r="O11" s="930">
        <f t="shared" si="4"/>
        <v>0.75</v>
      </c>
      <c r="P11" s="930">
        <f t="shared" si="4"/>
        <v>0.75</v>
      </c>
      <c r="Q11" s="930">
        <f t="shared" si="4"/>
        <v>0.75</v>
      </c>
      <c r="R11" s="930">
        <f t="shared" si="4"/>
        <v>0.75</v>
      </c>
      <c r="S11" s="930">
        <f t="shared" si="4"/>
        <v>0.75</v>
      </c>
      <c r="T11" s="930">
        <f t="shared" si="4"/>
        <v>0.75</v>
      </c>
      <c r="U11" s="930">
        <f t="shared" si="4"/>
        <v>0.75</v>
      </c>
      <c r="V11" s="930">
        <f t="shared" si="4"/>
        <v>0.75</v>
      </c>
      <c r="W11" s="930">
        <f t="shared" si="4"/>
        <v>0.75</v>
      </c>
      <c r="X11" s="930">
        <f t="shared" si="4"/>
        <v>0.75</v>
      </c>
      <c r="Y11" s="930">
        <f t="shared" si="4"/>
        <v>0.75</v>
      </c>
      <c r="Z11" s="930">
        <f t="shared" si="4"/>
        <v>0.75</v>
      </c>
      <c r="AA11" s="930"/>
    </row>
    <row r="12" ht="14.25" customHeight="1">
      <c r="B12" t="s">
        <v>2545</v>
      </c>
      <c r="C12" s="929">
        <v>0.5</v>
      </c>
      <c r="F12" t="s">
        <v>2537</v>
      </c>
      <c r="G12" s="930">
        <f>C9</f>
        <v>0.35</v>
      </c>
      <c r="H12" s="932">
        <f t="shared" ref="H12:Z12" si="5">MAX($C$15,$C$9+$G$5*($C$15-$C$9)*(H8-1))</f>
        <v>0.2966666667</v>
      </c>
      <c r="I12" s="932">
        <f t="shared" si="5"/>
        <v>0.2433333333</v>
      </c>
      <c r="J12" s="932">
        <f t="shared" si="5"/>
        <v>0.19</v>
      </c>
      <c r="K12" s="932">
        <f t="shared" si="5"/>
        <v>0.1366666667</v>
      </c>
      <c r="L12" s="932">
        <f t="shared" si="5"/>
        <v>0.08333333333</v>
      </c>
      <c r="M12" s="932">
        <f t="shared" si="5"/>
        <v>0.03</v>
      </c>
      <c r="N12" s="932">
        <f t="shared" si="5"/>
        <v>0.03</v>
      </c>
      <c r="O12" s="932">
        <f t="shared" si="5"/>
        <v>0.03</v>
      </c>
      <c r="P12" s="932">
        <f t="shared" si="5"/>
        <v>0.03</v>
      </c>
      <c r="Q12" s="932">
        <f t="shared" si="5"/>
        <v>0.03</v>
      </c>
      <c r="R12" s="932">
        <f t="shared" si="5"/>
        <v>0.03</v>
      </c>
      <c r="S12" s="932">
        <f t="shared" si="5"/>
        <v>0.03</v>
      </c>
      <c r="T12" s="932">
        <f t="shared" si="5"/>
        <v>0.03</v>
      </c>
      <c r="U12" s="932">
        <f t="shared" si="5"/>
        <v>0.03</v>
      </c>
      <c r="V12" s="932">
        <f t="shared" si="5"/>
        <v>0.03</v>
      </c>
      <c r="W12" s="932">
        <f t="shared" si="5"/>
        <v>0.03</v>
      </c>
      <c r="X12" s="932">
        <f t="shared" si="5"/>
        <v>0.03</v>
      </c>
      <c r="Y12" s="932">
        <f t="shared" si="5"/>
        <v>0.03</v>
      </c>
      <c r="Z12" s="932">
        <f t="shared" si="5"/>
        <v>0.03</v>
      </c>
      <c r="AA12" s="933"/>
    </row>
    <row r="13" ht="14.25" customHeight="1">
      <c r="B13" t="s">
        <v>2546</v>
      </c>
      <c r="C13" s="932">
        <v>0.2</v>
      </c>
      <c r="F13" t="s">
        <v>2547</v>
      </c>
      <c r="G13" s="928">
        <f t="shared" ref="G13:Z13" si="6">G11*G9</f>
        <v>-23.11551906</v>
      </c>
      <c r="H13" s="928">
        <f t="shared" si="6"/>
        <v>-23.34751788</v>
      </c>
      <c r="I13" s="928">
        <f t="shared" si="6"/>
        <v>-17.94761602</v>
      </c>
      <c r="J13" s="928">
        <f t="shared" si="6"/>
        <v>-3.399316692</v>
      </c>
      <c r="K13" s="928">
        <f t="shared" si="6"/>
        <v>24.43623085</v>
      </c>
      <c r="L13" s="928">
        <f t="shared" si="6"/>
        <v>70.05232521</v>
      </c>
      <c r="M13" s="928">
        <f t="shared" si="6"/>
        <v>138.2282489</v>
      </c>
      <c r="N13" s="928">
        <f t="shared" si="6"/>
        <v>142.3750963</v>
      </c>
      <c r="O13" s="928">
        <f t="shared" si="6"/>
        <v>146.6463492</v>
      </c>
      <c r="P13" s="928">
        <f t="shared" si="6"/>
        <v>151.0457397</v>
      </c>
      <c r="Q13" s="928">
        <f t="shared" si="6"/>
        <v>155.5771119</v>
      </c>
      <c r="R13" s="928">
        <f t="shared" si="6"/>
        <v>160.2444252</v>
      </c>
      <c r="S13" s="928">
        <f t="shared" si="6"/>
        <v>165.051758</v>
      </c>
      <c r="T13" s="928">
        <f t="shared" si="6"/>
        <v>170.0033107</v>
      </c>
      <c r="U13" s="928">
        <f t="shared" si="6"/>
        <v>175.1034101</v>
      </c>
      <c r="V13" s="928">
        <f t="shared" si="6"/>
        <v>180.3565124</v>
      </c>
      <c r="W13" s="928">
        <f t="shared" si="6"/>
        <v>185.7672077</v>
      </c>
      <c r="X13" s="928">
        <f t="shared" si="6"/>
        <v>191.340224</v>
      </c>
      <c r="Y13" s="928">
        <f t="shared" si="6"/>
        <v>197.0804307</v>
      </c>
      <c r="Z13" s="928">
        <f t="shared" si="6"/>
        <v>202.9928436</v>
      </c>
      <c r="AA13" s="928"/>
    </row>
    <row r="14" ht="14.25" customHeight="1">
      <c r="B14" s="94" t="s">
        <v>2548</v>
      </c>
      <c r="C14" s="935">
        <v>0.12</v>
      </c>
    </row>
    <row r="15" ht="14.25" customHeight="1">
      <c r="B15" t="s">
        <v>2549</v>
      </c>
      <c r="C15" s="932">
        <v>0.03</v>
      </c>
      <c r="F15" s="924" t="s">
        <v>2550</v>
      </c>
    </row>
    <row r="16" ht="14.25" customHeight="1">
      <c r="F16" s="936" t="s">
        <v>2551</v>
      </c>
      <c r="G16" s="937">
        <f t="shared" ref="G16:Z16" si="7">G13/(1+$C$21)^G8</f>
        <v>-21.64374444</v>
      </c>
      <c r="H16" s="937">
        <f t="shared" si="7"/>
        <v>-20.46907472</v>
      </c>
      <c r="I16" s="937">
        <f t="shared" si="7"/>
        <v>-14.73306183</v>
      </c>
      <c r="J16" s="937">
        <f t="shared" si="7"/>
        <v>-2.612802699</v>
      </c>
      <c r="K16" s="937">
        <f t="shared" si="7"/>
        <v>17.58644085</v>
      </c>
      <c r="L16" s="937">
        <f t="shared" si="7"/>
        <v>47.20576489</v>
      </c>
      <c r="M16" s="937">
        <f t="shared" si="7"/>
        <v>87.21637608</v>
      </c>
      <c r="N16" s="937">
        <f t="shared" si="7"/>
        <v>84.11317168</v>
      </c>
      <c r="O16" s="937">
        <f t="shared" si="7"/>
        <v>81.12038093</v>
      </c>
      <c r="P16" s="937">
        <f t="shared" si="7"/>
        <v>78.23407524</v>
      </c>
      <c r="Q16" s="937">
        <f t="shared" si="7"/>
        <v>75.45046582</v>
      </c>
      <c r="R16" s="937">
        <f t="shared" si="7"/>
        <v>72.76589869</v>
      </c>
      <c r="S16" s="937">
        <f t="shared" si="7"/>
        <v>70.17684986</v>
      </c>
      <c r="T16" s="937">
        <f t="shared" si="7"/>
        <v>67.67992074</v>
      </c>
      <c r="U16" s="937">
        <f t="shared" si="7"/>
        <v>65.27183368</v>
      </c>
      <c r="V16" s="937">
        <f t="shared" si="7"/>
        <v>62.94942761</v>
      </c>
      <c r="W16" s="937">
        <f t="shared" si="7"/>
        <v>60.70965397</v>
      </c>
      <c r="X16" s="937">
        <f t="shared" si="7"/>
        <v>58.54957265</v>
      </c>
      <c r="Y16" s="937">
        <f t="shared" si="7"/>
        <v>56.46634815</v>
      </c>
      <c r="Z16" s="937">
        <f t="shared" si="7"/>
        <v>54.45724588</v>
      </c>
      <c r="AA16" s="937"/>
    </row>
    <row r="17" ht="14.25" customHeight="1">
      <c r="B17" t="s">
        <v>2552</v>
      </c>
      <c r="C17" s="930">
        <f>C9/C8</f>
        <v>1.4</v>
      </c>
      <c r="F17" s="936" t="s">
        <v>2553</v>
      </c>
      <c r="G17" s="937">
        <f>SUM(G16:Z16)</f>
        <v>980.494743</v>
      </c>
    </row>
    <row r="18" ht="14.25" customHeight="1">
      <c r="F18" s="938" t="s">
        <v>2554</v>
      </c>
    </row>
    <row r="19" ht="14.25" customHeight="1">
      <c r="B19" t="s">
        <v>2555</v>
      </c>
      <c r="C19" s="930">
        <f>C3+C11*C5</f>
        <v>0.08</v>
      </c>
      <c r="F19" s="936" t="s">
        <v>2556</v>
      </c>
      <c r="G19" s="928">
        <f>AA9</f>
        <v>278.7768385</v>
      </c>
      <c r="I19" s="94" t="s">
        <v>2557</v>
      </c>
      <c r="J19">
        <f>Z8</f>
        <v>20</v>
      </c>
    </row>
    <row r="20" ht="14.25" customHeight="1">
      <c r="B20" t="s">
        <v>2558</v>
      </c>
      <c r="C20" s="930">
        <f>C3+C4</f>
        <v>0.07</v>
      </c>
      <c r="F20" s="936" t="s">
        <v>2559</v>
      </c>
      <c r="G20" s="928">
        <f>(G19*(1-C15/C14))/(C21-$C$15)</f>
        <v>5502.174445</v>
      </c>
      <c r="I20" s="94" t="s">
        <v>2560</v>
      </c>
      <c r="J20" s="509">
        <f>G20/G19</f>
        <v>19.73684211</v>
      </c>
    </row>
    <row r="21" ht="14.25" customHeight="1">
      <c r="B21" t="s">
        <v>2561</v>
      </c>
      <c r="C21" s="930">
        <f>C19*(1-C12)+(1-C13)*C20*C12</f>
        <v>0.068</v>
      </c>
      <c r="F21" s="936" t="s">
        <v>2562</v>
      </c>
      <c r="G21" s="928">
        <f>G20/(1+C21)^J19</f>
        <v>1476.07798</v>
      </c>
    </row>
    <row r="22" ht="14.25" customHeight="1"/>
    <row r="23" ht="14.25" customHeight="1">
      <c r="B23" s="924" t="s">
        <v>2563</v>
      </c>
      <c r="C23" s="928">
        <f>C10*(1/(C21)+SQRT((C9*100)*(C8-C21)*100)*(G4/4)^(0.2))</f>
        <v>2431.562619</v>
      </c>
      <c r="F23" s="924" t="s">
        <v>2535</v>
      </c>
      <c r="G23" s="928">
        <f>G21+G17</f>
        <v>2456.572723</v>
      </c>
    </row>
    <row r="24" ht="14.25" customHeight="1">
      <c r="B24" t="s">
        <v>333</v>
      </c>
      <c r="C24" s="928">
        <f>C23/C10</f>
        <v>42.0767124</v>
      </c>
      <c r="F24" s="936" t="s">
        <v>333</v>
      </c>
      <c r="G24" s="928">
        <f>G23/C10</f>
        <v>42.50949705</v>
      </c>
    </row>
    <row r="25" ht="14.25" customHeight="1"/>
    <row r="26" ht="14.25" customHeight="1"/>
    <row r="27" ht="14.25" customHeight="1">
      <c r="B27" s="474" t="s">
        <v>2566</v>
      </c>
      <c r="C27" s="939" t="s">
        <v>2567</v>
      </c>
    </row>
    <row r="28" ht="14.25" customHeight="1">
      <c r="B28" s="940">
        <v>1.0</v>
      </c>
      <c r="C28" s="934"/>
      <c r="D28" s="94" t="s">
        <v>2568</v>
      </c>
    </row>
    <row r="29" ht="14.25" customHeight="1">
      <c r="B29" s="940">
        <v>2.0</v>
      </c>
      <c r="C29" s="934"/>
      <c r="D29" s="941" t="s">
        <v>2569</v>
      </c>
    </row>
    <row r="30" ht="14.25" customHeight="1">
      <c r="B30" s="940">
        <v>3.0</v>
      </c>
      <c r="C30" s="942">
        <f>C10*(1/(C21)+SQRT((C9*100)*(C8-C21)*100)*(G4/4)^(0.2))</f>
        <v>2431.562619</v>
      </c>
      <c r="D30" s="94" t="s">
        <v>2570</v>
      </c>
    </row>
    <row r="31" ht="14.25" customHeight="1">
      <c r="D31" s="306" t="s">
        <v>1192</v>
      </c>
      <c r="E31" s="307"/>
      <c r="F31" s="308">
        <f>1/max(0.0666,0.042)</f>
        <v>15.01501502</v>
      </c>
      <c r="G31" s="309" t="s">
        <v>1195</v>
      </c>
    </row>
    <row r="32" ht="14.25" customHeight="1">
      <c r="B32" s="940">
        <v>4.0</v>
      </c>
      <c r="C32" s="942">
        <f>G23</f>
        <v>2456.572723</v>
      </c>
      <c r="D32" s="94" t="s">
        <v>2571</v>
      </c>
    </row>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portrait"/>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7.29" defaultRowHeight="15.75"/>
  <cols>
    <col customWidth="1" min="1" max="1" width="8.71"/>
    <col customWidth="1" min="2" max="2" width="25.43"/>
    <col customWidth="1" min="3" max="5" width="8.71"/>
    <col customWidth="1" min="6" max="6" width="22.29"/>
    <col customWidth="1" min="7" max="16" width="8.71"/>
    <col customWidth="1" min="17" max="17" width="10.0"/>
    <col customWidth="1" min="18" max="27" width="8.71"/>
  </cols>
  <sheetData>
    <row r="1" ht="14.25" customHeight="1"/>
    <row r="2" ht="14.25" customHeight="1">
      <c r="B2" s="924" t="s">
        <v>2525</v>
      </c>
    </row>
    <row r="3" ht="14.25" customHeight="1">
      <c r="B3" t="s">
        <v>2526</v>
      </c>
      <c r="C3" s="925">
        <v>0.025</v>
      </c>
    </row>
    <row r="4" ht="14.25" customHeight="1">
      <c r="B4" t="s">
        <v>2528</v>
      </c>
      <c r="C4" s="925">
        <v>0.04</v>
      </c>
      <c r="F4" s="94" t="s">
        <v>2529</v>
      </c>
      <c r="G4" s="926">
        <v>6.0</v>
      </c>
    </row>
    <row r="5" ht="14.25" customHeight="1">
      <c r="B5" t="s">
        <v>2530</v>
      </c>
      <c r="C5" s="925">
        <v>0.05</v>
      </c>
      <c r="F5" s="94" t="s">
        <v>2532</v>
      </c>
      <c r="G5" s="927">
        <f>1/G4</f>
        <v>0.1666666667</v>
      </c>
    </row>
    <row r="6" ht="14.25" customHeight="1"/>
    <row r="7" ht="14.25" customHeight="1">
      <c r="B7" s="924" t="s">
        <v>2534</v>
      </c>
      <c r="F7" s="924" t="s">
        <v>2535</v>
      </c>
    </row>
    <row r="8" ht="14.25" customHeight="1">
      <c r="B8" t="s">
        <v>2536</v>
      </c>
      <c r="C8" s="925">
        <v>0.2</v>
      </c>
      <c r="F8" t="s">
        <v>310</v>
      </c>
      <c r="G8">
        <v>1.0</v>
      </c>
      <c r="H8">
        <f t="shared" ref="H8:AA8" si="1">G8+1</f>
        <v>2</v>
      </c>
      <c r="I8">
        <f t="shared" si="1"/>
        <v>3</v>
      </c>
      <c r="J8">
        <f t="shared" si="1"/>
        <v>4</v>
      </c>
      <c r="K8">
        <f t="shared" si="1"/>
        <v>5</v>
      </c>
      <c r="L8">
        <f t="shared" si="1"/>
        <v>6</v>
      </c>
      <c r="M8">
        <f t="shared" si="1"/>
        <v>7</v>
      </c>
      <c r="N8">
        <f t="shared" si="1"/>
        <v>8</v>
      </c>
      <c r="O8">
        <f t="shared" si="1"/>
        <v>9</v>
      </c>
      <c r="P8">
        <f t="shared" si="1"/>
        <v>10</v>
      </c>
      <c r="Q8">
        <f t="shared" si="1"/>
        <v>11</v>
      </c>
      <c r="R8">
        <f t="shared" si="1"/>
        <v>12</v>
      </c>
      <c r="S8">
        <f t="shared" si="1"/>
        <v>13</v>
      </c>
      <c r="T8">
        <f t="shared" si="1"/>
        <v>14</v>
      </c>
      <c r="U8">
        <f t="shared" si="1"/>
        <v>15</v>
      </c>
      <c r="V8">
        <f t="shared" si="1"/>
        <v>16</v>
      </c>
      <c r="W8">
        <f t="shared" si="1"/>
        <v>17</v>
      </c>
      <c r="X8">
        <f t="shared" si="1"/>
        <v>18</v>
      </c>
      <c r="Y8">
        <f t="shared" si="1"/>
        <v>19</v>
      </c>
      <c r="Z8">
        <f t="shared" si="1"/>
        <v>20</v>
      </c>
      <c r="AA8">
        <f t="shared" si="1"/>
        <v>21</v>
      </c>
    </row>
    <row r="9" ht="14.25" customHeight="1">
      <c r="B9" t="s">
        <v>2537</v>
      </c>
      <c r="C9" s="925">
        <v>0.1</v>
      </c>
      <c r="F9" t="s">
        <v>2538</v>
      </c>
      <c r="G9" s="928">
        <f>C10</f>
        <v>1</v>
      </c>
      <c r="H9">
        <f t="shared" ref="H9:AA9" si="2">G9*(1+G12)</f>
        <v>1.1</v>
      </c>
      <c r="I9" s="937">
        <f t="shared" si="2"/>
        <v>1.197166667</v>
      </c>
      <c r="J9" s="937">
        <f t="shared" si="2"/>
        <v>1.288949444</v>
      </c>
      <c r="K9" s="937">
        <f t="shared" si="2"/>
        <v>1.372731158</v>
      </c>
      <c r="L9" s="937">
        <f t="shared" si="2"/>
        <v>1.445943487</v>
      </c>
      <c r="M9" s="937">
        <f t="shared" si="2"/>
        <v>1.506191132</v>
      </c>
      <c r="N9" s="937">
        <f t="shared" si="2"/>
        <v>1.551376866</v>
      </c>
      <c r="O9" s="937">
        <f t="shared" si="2"/>
        <v>1.597918172</v>
      </c>
      <c r="P9" s="937">
        <f t="shared" si="2"/>
        <v>1.645855717</v>
      </c>
      <c r="Q9" s="937">
        <f t="shared" si="2"/>
        <v>1.695231389</v>
      </c>
      <c r="R9" s="937">
        <f t="shared" si="2"/>
        <v>1.74608833</v>
      </c>
      <c r="S9" s="937">
        <f t="shared" si="2"/>
        <v>1.79847098</v>
      </c>
      <c r="T9" s="937">
        <f t="shared" si="2"/>
        <v>1.85242511</v>
      </c>
      <c r="U9" s="937">
        <f t="shared" si="2"/>
        <v>1.907997863</v>
      </c>
      <c r="V9" s="937">
        <f t="shared" si="2"/>
        <v>1.965237799</v>
      </c>
      <c r="W9" s="937">
        <f t="shared" si="2"/>
        <v>2.024194933</v>
      </c>
      <c r="X9" s="937">
        <f t="shared" si="2"/>
        <v>2.084920781</v>
      </c>
      <c r="Y9" s="937">
        <f t="shared" si="2"/>
        <v>2.147468404</v>
      </c>
      <c r="Z9" s="937">
        <f t="shared" si="2"/>
        <v>2.211892456</v>
      </c>
      <c r="AA9" s="937">
        <f t="shared" si="2"/>
        <v>2.27824923</v>
      </c>
    </row>
    <row r="10" ht="14.25" customHeight="1">
      <c r="B10" t="s">
        <v>2540</v>
      </c>
      <c r="C10" s="929">
        <v>1.0</v>
      </c>
      <c r="F10" t="s">
        <v>2536</v>
      </c>
      <c r="G10" s="930">
        <f>C8</f>
        <v>0.2</v>
      </c>
      <c r="H10" s="925">
        <f t="shared" ref="H10:Z10" si="3">MAX($C$14,$C$8+$G$5*($C$14-$C$8)*(H8-1))</f>
        <v>0.1866666667</v>
      </c>
      <c r="I10" s="925">
        <f t="shared" si="3"/>
        <v>0.1733333333</v>
      </c>
      <c r="J10" s="925">
        <f t="shared" si="3"/>
        <v>0.16</v>
      </c>
      <c r="K10" s="925">
        <f t="shared" si="3"/>
        <v>0.1466666667</v>
      </c>
      <c r="L10" s="925">
        <f t="shared" si="3"/>
        <v>0.1333333333</v>
      </c>
      <c r="M10" s="925">
        <f t="shared" si="3"/>
        <v>0.12</v>
      </c>
      <c r="N10" s="925">
        <f t="shared" si="3"/>
        <v>0.12</v>
      </c>
      <c r="O10" s="925">
        <f t="shared" si="3"/>
        <v>0.12</v>
      </c>
      <c r="P10" s="925">
        <f t="shared" si="3"/>
        <v>0.12</v>
      </c>
      <c r="Q10" s="925">
        <f t="shared" si="3"/>
        <v>0.12</v>
      </c>
      <c r="R10" s="925">
        <f t="shared" si="3"/>
        <v>0.12</v>
      </c>
      <c r="S10" s="925">
        <f t="shared" si="3"/>
        <v>0.12</v>
      </c>
      <c r="T10" s="925">
        <f t="shared" si="3"/>
        <v>0.12</v>
      </c>
      <c r="U10" s="925">
        <f t="shared" si="3"/>
        <v>0.12</v>
      </c>
      <c r="V10" s="925">
        <f t="shared" si="3"/>
        <v>0.12</v>
      </c>
      <c r="W10" s="925">
        <f t="shared" si="3"/>
        <v>0.12</v>
      </c>
      <c r="X10" s="925">
        <f t="shared" si="3"/>
        <v>0.12</v>
      </c>
      <c r="Y10" s="925">
        <f t="shared" si="3"/>
        <v>0.12</v>
      </c>
      <c r="Z10" s="925">
        <f t="shared" si="3"/>
        <v>0.12</v>
      </c>
      <c r="AA10" s="931"/>
    </row>
    <row r="11" ht="14.25" customHeight="1">
      <c r="B11" t="s">
        <v>2543</v>
      </c>
      <c r="C11" s="929">
        <v>1.0</v>
      </c>
      <c r="F11" t="s">
        <v>2544</v>
      </c>
      <c r="G11" s="930">
        <f>1-$C$17</f>
        <v>0.5</v>
      </c>
      <c r="H11" s="930">
        <f t="shared" ref="H11:Z11" si="4">1-H12/H10</f>
        <v>0.5267857143</v>
      </c>
      <c r="I11" s="930">
        <f t="shared" si="4"/>
        <v>0.5576923077</v>
      </c>
      <c r="J11" s="930">
        <f t="shared" si="4"/>
        <v>0.59375</v>
      </c>
      <c r="K11" s="930">
        <f t="shared" si="4"/>
        <v>0.6363636364</v>
      </c>
      <c r="L11" s="930">
        <f t="shared" si="4"/>
        <v>0.6875</v>
      </c>
      <c r="M11" s="930">
        <f t="shared" si="4"/>
        <v>0.75</v>
      </c>
      <c r="N11" s="930">
        <f t="shared" si="4"/>
        <v>0.75</v>
      </c>
      <c r="O11" s="930">
        <f t="shared" si="4"/>
        <v>0.75</v>
      </c>
      <c r="P11" s="930">
        <f t="shared" si="4"/>
        <v>0.75</v>
      </c>
      <c r="Q11" s="930">
        <f t="shared" si="4"/>
        <v>0.75</v>
      </c>
      <c r="R11" s="930">
        <f t="shared" si="4"/>
        <v>0.75</v>
      </c>
      <c r="S11" s="930">
        <f t="shared" si="4"/>
        <v>0.75</v>
      </c>
      <c r="T11" s="930">
        <f t="shared" si="4"/>
        <v>0.75</v>
      </c>
      <c r="U11" s="930">
        <f t="shared" si="4"/>
        <v>0.75</v>
      </c>
      <c r="V11" s="930">
        <f t="shared" si="4"/>
        <v>0.75</v>
      </c>
      <c r="W11" s="930">
        <f t="shared" si="4"/>
        <v>0.75</v>
      </c>
      <c r="X11" s="930">
        <f t="shared" si="4"/>
        <v>0.75</v>
      </c>
      <c r="Y11" s="930">
        <f t="shared" si="4"/>
        <v>0.75</v>
      </c>
      <c r="Z11" s="930">
        <f t="shared" si="4"/>
        <v>0.75</v>
      </c>
      <c r="AA11" s="930"/>
    </row>
    <row r="12" ht="14.25" customHeight="1">
      <c r="B12" t="s">
        <v>2545</v>
      </c>
      <c r="C12" s="929">
        <v>0.5</v>
      </c>
      <c r="F12" t="s">
        <v>2537</v>
      </c>
      <c r="G12" s="930">
        <f>C9</f>
        <v>0.1</v>
      </c>
      <c r="H12" s="932">
        <f t="shared" ref="H12:Z12" si="5">MAX($C$15,$C$9+$G$5*($C$15-$C$9)*(H8-1))</f>
        <v>0.08833333333</v>
      </c>
      <c r="I12" s="932">
        <f t="shared" si="5"/>
        <v>0.07666666667</v>
      </c>
      <c r="J12" s="932">
        <f t="shared" si="5"/>
        <v>0.065</v>
      </c>
      <c r="K12" s="932">
        <f t="shared" si="5"/>
        <v>0.05333333333</v>
      </c>
      <c r="L12" s="932">
        <f t="shared" si="5"/>
        <v>0.04166666667</v>
      </c>
      <c r="M12" s="932">
        <f t="shared" si="5"/>
        <v>0.03</v>
      </c>
      <c r="N12" s="932">
        <f t="shared" si="5"/>
        <v>0.03</v>
      </c>
      <c r="O12" s="932">
        <f t="shared" si="5"/>
        <v>0.03</v>
      </c>
      <c r="P12" s="932">
        <f t="shared" si="5"/>
        <v>0.03</v>
      </c>
      <c r="Q12" s="932">
        <f t="shared" si="5"/>
        <v>0.03</v>
      </c>
      <c r="R12" s="932">
        <f t="shared" si="5"/>
        <v>0.03</v>
      </c>
      <c r="S12" s="932">
        <f t="shared" si="5"/>
        <v>0.03</v>
      </c>
      <c r="T12" s="932">
        <f t="shared" si="5"/>
        <v>0.03</v>
      </c>
      <c r="U12" s="932">
        <f t="shared" si="5"/>
        <v>0.03</v>
      </c>
      <c r="V12" s="932">
        <f t="shared" si="5"/>
        <v>0.03</v>
      </c>
      <c r="W12" s="932">
        <f t="shared" si="5"/>
        <v>0.03</v>
      </c>
      <c r="X12" s="932">
        <f t="shared" si="5"/>
        <v>0.03</v>
      </c>
      <c r="Y12" s="932">
        <f t="shared" si="5"/>
        <v>0.03</v>
      </c>
      <c r="Z12" s="932">
        <f t="shared" si="5"/>
        <v>0.03</v>
      </c>
      <c r="AA12" s="933"/>
    </row>
    <row r="13" ht="14.25" customHeight="1">
      <c r="B13" t="s">
        <v>2546</v>
      </c>
      <c r="C13" s="932">
        <v>0.2</v>
      </c>
      <c r="F13" t="s">
        <v>2547</v>
      </c>
      <c r="G13" s="928">
        <f t="shared" ref="G13:Z13" si="6">G11*G9</f>
        <v>0.5</v>
      </c>
      <c r="H13" s="928">
        <f t="shared" si="6"/>
        <v>0.5794642857</v>
      </c>
      <c r="I13" s="928">
        <f t="shared" si="6"/>
        <v>0.667650641</v>
      </c>
      <c r="J13" s="928">
        <f t="shared" si="6"/>
        <v>0.7653137326</v>
      </c>
      <c r="K13" s="928">
        <f t="shared" si="6"/>
        <v>0.8735561917</v>
      </c>
      <c r="L13" s="928">
        <f t="shared" si="6"/>
        <v>0.9940861472</v>
      </c>
      <c r="M13" s="928">
        <f t="shared" si="6"/>
        <v>1.129643349</v>
      </c>
      <c r="N13" s="928">
        <f t="shared" si="6"/>
        <v>1.16353265</v>
      </c>
      <c r="O13" s="928">
        <f t="shared" si="6"/>
        <v>1.198438629</v>
      </c>
      <c r="P13" s="928">
        <f t="shared" si="6"/>
        <v>1.234391788</v>
      </c>
      <c r="Q13" s="928">
        <f t="shared" si="6"/>
        <v>1.271423542</v>
      </c>
      <c r="R13" s="928">
        <f t="shared" si="6"/>
        <v>1.309566248</v>
      </c>
      <c r="S13" s="928">
        <f t="shared" si="6"/>
        <v>1.348853235</v>
      </c>
      <c r="T13" s="928">
        <f t="shared" si="6"/>
        <v>1.389318832</v>
      </c>
      <c r="U13" s="928">
        <f t="shared" si="6"/>
        <v>1.430998397</v>
      </c>
      <c r="V13" s="928">
        <f t="shared" si="6"/>
        <v>1.473928349</v>
      </c>
      <c r="W13" s="928">
        <f t="shared" si="6"/>
        <v>1.5181462</v>
      </c>
      <c r="X13" s="928">
        <f t="shared" si="6"/>
        <v>1.563690586</v>
      </c>
      <c r="Y13" s="928">
        <f t="shared" si="6"/>
        <v>1.610601303</v>
      </c>
      <c r="Z13" s="928">
        <f t="shared" si="6"/>
        <v>1.658919342</v>
      </c>
      <c r="AA13" s="928"/>
    </row>
    <row r="14" ht="14.25" customHeight="1">
      <c r="B14" s="94" t="s">
        <v>2548</v>
      </c>
      <c r="C14" s="935">
        <v>0.12</v>
      </c>
    </row>
    <row r="15" ht="14.25" customHeight="1">
      <c r="B15" t="s">
        <v>2549</v>
      </c>
      <c r="C15" s="932">
        <v>0.03</v>
      </c>
      <c r="F15" s="924" t="s">
        <v>2550</v>
      </c>
    </row>
    <row r="16" ht="14.25" customHeight="1">
      <c r="F16" s="936" t="s">
        <v>2551</v>
      </c>
      <c r="G16" s="937">
        <f t="shared" ref="G16:Z16" si="7">G13/(1+$C$21)^G8</f>
        <v>0.4701457452</v>
      </c>
      <c r="H16" s="937">
        <f t="shared" si="7"/>
        <v>0.5123322396</v>
      </c>
      <c r="I16" s="937">
        <f t="shared" si="7"/>
        <v>0.5550559821</v>
      </c>
      <c r="J16" s="937">
        <f t="shared" si="7"/>
        <v>0.5982593976</v>
      </c>
      <c r="K16" s="937">
        <f t="shared" si="7"/>
        <v>0.6421010426</v>
      </c>
      <c r="L16" s="937">
        <f t="shared" si="7"/>
        <v>0.6870669472</v>
      </c>
      <c r="M16" s="937">
        <f t="shared" si="7"/>
        <v>0.7341400043</v>
      </c>
      <c r="N16" s="937">
        <f t="shared" si="7"/>
        <v>0.7110147667</v>
      </c>
      <c r="O16" s="937">
        <f t="shared" si="7"/>
        <v>0.6886179687</v>
      </c>
      <c r="P16" s="937">
        <f t="shared" si="7"/>
        <v>0.6669266646</v>
      </c>
      <c r="Q16" s="937">
        <f t="shared" si="7"/>
        <v>0.6459186314</v>
      </c>
      <c r="R16" s="937">
        <f t="shared" si="7"/>
        <v>0.6255723464</v>
      </c>
      <c r="S16" s="937">
        <f t="shared" si="7"/>
        <v>0.6058669645</v>
      </c>
      <c r="T16" s="937">
        <f t="shared" si="7"/>
        <v>0.5867822976</v>
      </c>
      <c r="U16" s="937">
        <f t="shared" si="7"/>
        <v>0.5682987931</v>
      </c>
      <c r="V16" s="937">
        <f t="shared" si="7"/>
        <v>0.5503975147</v>
      </c>
      <c r="W16" s="937">
        <f t="shared" si="7"/>
        <v>0.5330601224</v>
      </c>
      <c r="X16" s="937">
        <f t="shared" si="7"/>
        <v>0.5162688539</v>
      </c>
      <c r="Y16" s="937">
        <f t="shared" si="7"/>
        <v>0.5000065063</v>
      </c>
      <c r="Z16" s="937">
        <f t="shared" si="7"/>
        <v>0.4842564189</v>
      </c>
      <c r="AA16" s="937"/>
    </row>
    <row r="17" ht="14.25" customHeight="1">
      <c r="B17" t="s">
        <v>2552</v>
      </c>
      <c r="C17" s="930">
        <f>C9/C8</f>
        <v>0.5</v>
      </c>
      <c r="F17" s="936" t="s">
        <v>2553</v>
      </c>
      <c r="G17" s="937">
        <f>SUM(G16:Z16)</f>
        <v>11.88208921</v>
      </c>
    </row>
    <row r="18" ht="14.25" customHeight="1">
      <c r="F18" s="938" t="s">
        <v>2554</v>
      </c>
    </row>
    <row r="19" ht="14.25" customHeight="1">
      <c r="B19" t="s">
        <v>2555</v>
      </c>
      <c r="C19" s="930">
        <f>C3+C11*C5</f>
        <v>0.075</v>
      </c>
      <c r="F19" s="936" t="s">
        <v>2556</v>
      </c>
      <c r="G19" s="928">
        <f>AA9</f>
        <v>2.27824923</v>
      </c>
      <c r="I19" s="94" t="s">
        <v>2557</v>
      </c>
      <c r="J19">
        <f>Z8</f>
        <v>20</v>
      </c>
    </row>
    <row r="20" ht="14.25" customHeight="1">
      <c r="B20" t="s">
        <v>2558</v>
      </c>
      <c r="C20" s="930">
        <f>C3+C4</f>
        <v>0.065</v>
      </c>
      <c r="F20" s="936" t="s">
        <v>2559</v>
      </c>
      <c r="G20" s="928">
        <f>(G19*(1-C15/C14))/(C21-$C$15)</f>
        <v>51.00557978</v>
      </c>
    </row>
    <row r="21" ht="14.25" customHeight="1">
      <c r="B21" t="s">
        <v>2561</v>
      </c>
      <c r="C21" s="930">
        <f>C19*(1-C12)+C12*(1-C13)*C20</f>
        <v>0.0635</v>
      </c>
      <c r="F21" s="936" t="s">
        <v>2562</v>
      </c>
      <c r="G21" s="928">
        <f>G20/(1+C21)^J19</f>
        <v>14.88907795</v>
      </c>
    </row>
    <row r="22" ht="14.25" customHeight="1"/>
    <row r="23" ht="14.25" customHeight="1">
      <c r="B23" s="924" t="s">
        <v>2563</v>
      </c>
      <c r="C23" s="928">
        <f>C10*(1/(C21)+SQRT((C9*100)*(C8-C21)*100)*(G4/4)^(0.2))</f>
        <v>28.4182638</v>
      </c>
      <c r="F23" s="924" t="s">
        <v>2535</v>
      </c>
      <c r="G23" s="928">
        <f>G21+G17</f>
        <v>26.77116716</v>
      </c>
    </row>
    <row r="24" ht="14.25" customHeight="1">
      <c r="B24" t="s">
        <v>333</v>
      </c>
      <c r="C24" s="928">
        <f>C23/C10</f>
        <v>28.4182638</v>
      </c>
      <c r="F24" s="936" t="s">
        <v>333</v>
      </c>
      <c r="G24" s="928">
        <f>G23/C10</f>
        <v>26.77116716</v>
      </c>
    </row>
    <row r="25" ht="14.25" customHeight="1"/>
    <row r="26" ht="14.25" customHeight="1"/>
    <row r="27" ht="14.25" customHeight="1">
      <c r="B27" s="474" t="s">
        <v>2566</v>
      </c>
      <c r="C27" s="939" t="s">
        <v>2567</v>
      </c>
    </row>
    <row r="28" ht="14.25" customHeight="1">
      <c r="B28" s="940">
        <v>1.0</v>
      </c>
      <c r="C28" s="934"/>
      <c r="D28" s="94" t="s">
        <v>2568</v>
      </c>
    </row>
    <row r="29" ht="14.25" customHeight="1">
      <c r="B29" s="940">
        <v>2.0</v>
      </c>
      <c r="C29" s="934"/>
      <c r="D29" s="941" t="s">
        <v>2569</v>
      </c>
    </row>
    <row r="30" ht="14.25" customHeight="1">
      <c r="B30" s="940">
        <v>3.0</v>
      </c>
      <c r="C30" s="942">
        <f>C10*(1/(C21)+SQRT((C9*100)*(C8-C21)*100)*(G4/4)^(0.2))</f>
        <v>28.4182638</v>
      </c>
      <c r="D30" s="94" t="s">
        <v>2570</v>
      </c>
    </row>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portrait"/>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7.29" defaultRowHeight="15.75"/>
  <cols>
    <col customWidth="1" min="1" max="6" width="8.71"/>
  </cols>
  <sheetData>
    <row r="1" ht="12.75" customHeight="1"/>
    <row r="2" ht="12.75" customHeight="1">
      <c r="B2" s="33" t="s">
        <v>2605</v>
      </c>
    </row>
    <row r="3" ht="12.75" customHeight="1">
      <c r="B3" s="48" t="s">
        <v>2606</v>
      </c>
      <c r="E3" s="963" t="s">
        <v>2607</v>
      </c>
    </row>
    <row r="4" ht="12.75" customHeight="1">
      <c r="B4" s="48" t="s">
        <v>2608</v>
      </c>
      <c r="E4" s="963"/>
    </row>
    <row r="5" ht="12.75" customHeight="1">
      <c r="B5" s="7" t="s">
        <v>2609</v>
      </c>
    </row>
    <row r="6" ht="12.75" customHeight="1">
      <c r="B6" s="7" t="s">
        <v>2610</v>
      </c>
    </row>
    <row r="7" ht="12.75" customHeight="1">
      <c r="B7" s="7" t="s">
        <v>2611</v>
      </c>
    </row>
    <row r="8" ht="12.75" customHeight="1">
      <c r="B8" s="7" t="s">
        <v>2612</v>
      </c>
    </row>
    <row r="9" ht="12.75" customHeight="1">
      <c r="B9" s="7" t="s">
        <v>2613</v>
      </c>
    </row>
    <row r="10" ht="12.75" customHeight="1">
      <c r="B10" s="7"/>
    </row>
    <row r="11" ht="12.75" customHeight="1">
      <c r="B11" s="33" t="s">
        <v>2614</v>
      </c>
    </row>
    <row r="12" ht="12.75" customHeight="1">
      <c r="B12" s="48" t="s">
        <v>2615</v>
      </c>
    </row>
    <row r="13" ht="12.75" customHeight="1">
      <c r="B13" s="48" t="s">
        <v>2616</v>
      </c>
    </row>
    <row r="14" ht="12.75" customHeight="1">
      <c r="B14" s="7" t="s">
        <v>2617</v>
      </c>
    </row>
    <row r="15" ht="12.75" customHeight="1">
      <c r="B15" s="7" t="s">
        <v>2618</v>
      </c>
    </row>
    <row r="16" ht="12.75" customHeight="1"/>
    <row r="17" ht="12.75" customHeight="1">
      <c r="B17" s="963" t="s">
        <v>2619</v>
      </c>
    </row>
    <row r="18" ht="12.75" customHeight="1">
      <c r="B18" s="7" t="s">
        <v>2620</v>
      </c>
    </row>
    <row r="19" ht="12.75" customHeight="1">
      <c r="B19" s="963" t="s">
        <v>2621</v>
      </c>
      <c r="D19" s="1" t="s">
        <v>2622</v>
      </c>
    </row>
    <row r="20" ht="12.75" customHeight="1">
      <c r="B20" s="963" t="s">
        <v>2623</v>
      </c>
    </row>
    <row r="21" ht="12.75" customHeight="1">
      <c r="B21" s="963" t="s">
        <v>2624</v>
      </c>
    </row>
    <row r="22" ht="12.75" customHeight="1">
      <c r="B22" s="7" t="s">
        <v>2625</v>
      </c>
    </row>
    <row r="23" ht="12.75" customHeight="1">
      <c r="B23" s="7" t="s">
        <v>2610</v>
      </c>
    </row>
    <row r="24" ht="12.75" customHeight="1">
      <c r="B24" s="7" t="s">
        <v>2626</v>
      </c>
      <c r="D24" s="1" t="s">
        <v>2627</v>
      </c>
    </row>
    <row r="25" ht="12.75" customHeight="1">
      <c r="A25" s="7"/>
      <c r="B25" s="7"/>
      <c r="C25" s="7"/>
      <c r="D25" s="7"/>
      <c r="E25" s="7"/>
      <c r="F25" s="7"/>
    </row>
    <row r="26" ht="12.75" customHeight="1">
      <c r="B26" s="33" t="s">
        <v>2628</v>
      </c>
    </row>
    <row r="27" ht="12.75" customHeight="1">
      <c r="B27" s="48" t="s">
        <v>2629</v>
      </c>
    </row>
    <row r="28" ht="12.75" customHeight="1">
      <c r="B28" s="1" t="s">
        <v>2630</v>
      </c>
    </row>
    <row r="29" ht="12.75" customHeight="1">
      <c r="B29" s="7" t="s">
        <v>2631</v>
      </c>
    </row>
    <row r="30" ht="12.75" customHeight="1"/>
    <row r="31" ht="12.75" customHeight="1">
      <c r="B31" s="33" t="s">
        <v>2632</v>
      </c>
    </row>
    <row r="32" ht="12.75" customHeight="1">
      <c r="B32" s="48" t="s">
        <v>2633</v>
      </c>
      <c r="C32" s="964" t="s">
        <v>2634</v>
      </c>
    </row>
    <row r="33" ht="12.75" customHeight="1">
      <c r="B33" s="963" t="s">
        <v>2635</v>
      </c>
      <c r="C33" s="964"/>
    </row>
    <row r="34" ht="12.75" customHeight="1">
      <c r="B34" s="963" t="s">
        <v>2636</v>
      </c>
    </row>
    <row r="35" ht="12.75" customHeight="1">
      <c r="B35" s="1" t="s">
        <v>2637</v>
      </c>
    </row>
    <row r="36" ht="12.75" customHeight="1">
      <c r="B36" s="1" t="s">
        <v>2638</v>
      </c>
    </row>
    <row r="37" ht="12.75" customHeight="1">
      <c r="B37" s="1" t="s">
        <v>2639</v>
      </c>
    </row>
    <row r="38" ht="12.75" customHeight="1">
      <c r="B38" s="1" t="s">
        <v>2640</v>
      </c>
    </row>
    <row r="39" ht="12.75" customHeight="1">
      <c r="B39" s="1" t="s">
        <v>2641</v>
      </c>
    </row>
    <row r="40" ht="12.75" customHeight="1">
      <c r="B40" s="963" t="s">
        <v>2642</v>
      </c>
    </row>
    <row r="41" ht="12.75" customHeight="1"/>
    <row r="42" ht="12.75" customHeight="1">
      <c r="B42" s="33" t="s">
        <v>2643</v>
      </c>
    </row>
    <row r="43" ht="12.75" customHeight="1">
      <c r="B43" s="1" t="s">
        <v>2644</v>
      </c>
    </row>
    <row r="44" ht="12.75" customHeight="1">
      <c r="B44" s="1" t="s">
        <v>2645</v>
      </c>
    </row>
    <row r="45" ht="12.75" customHeight="1">
      <c r="B45" s="1" t="s">
        <v>2646</v>
      </c>
    </row>
    <row r="46" ht="12.75" customHeight="1">
      <c r="B46" s="1" t="s">
        <v>2647</v>
      </c>
    </row>
    <row r="47" ht="12.75" customHeight="1">
      <c r="B47" s="1" t="s">
        <v>2648</v>
      </c>
    </row>
    <row r="48" ht="12.75" customHeight="1">
      <c r="B48" s="7" t="s">
        <v>2649</v>
      </c>
    </row>
    <row r="49" ht="12.75" customHeight="1"/>
    <row r="50" ht="12.75" customHeight="1">
      <c r="B50" s="33" t="s">
        <v>2650</v>
      </c>
    </row>
    <row r="51" ht="12.75" customHeight="1">
      <c r="B51" s="1" t="s">
        <v>2651</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7.29" defaultRowHeight="15.75"/>
  <cols>
    <col customWidth="1" min="1" max="18" width="8.71"/>
  </cols>
  <sheetData>
    <row r="1" ht="15.0" customHeight="1"/>
    <row r="2" ht="15.0" customHeight="1">
      <c r="B2" s="550" t="s">
        <v>2652</v>
      </c>
    </row>
    <row r="3" ht="15.0" customHeight="1">
      <c r="B3" s="550" t="s">
        <v>2653</v>
      </c>
    </row>
    <row r="4" ht="15.0" customHeight="1">
      <c r="B4" s="550" t="s">
        <v>2654</v>
      </c>
    </row>
    <row r="5" ht="15.0" customHeight="1">
      <c r="B5" s="550" t="s">
        <v>2655</v>
      </c>
    </row>
    <row r="6" ht="15.0" customHeight="1">
      <c r="B6" s="550" t="s">
        <v>2656</v>
      </c>
    </row>
    <row r="7" ht="15.0" customHeight="1">
      <c r="B7" s="550" t="s">
        <v>2657</v>
      </c>
    </row>
    <row r="8" ht="15.0" customHeight="1">
      <c r="B8" s="550" t="s">
        <v>2658</v>
      </c>
    </row>
    <row r="9" ht="15.0" customHeight="1">
      <c r="B9" s="550" t="s">
        <v>2659</v>
      </c>
    </row>
    <row r="10" ht="15.0" customHeight="1">
      <c r="B10" s="550" t="s">
        <v>2660</v>
      </c>
    </row>
    <row r="11" ht="15.0" customHeight="1">
      <c r="B11" s="550" t="s">
        <v>2661</v>
      </c>
    </row>
    <row r="12" ht="15.0" customHeight="1">
      <c r="B12" s="550" t="s">
        <v>2662</v>
      </c>
    </row>
    <row r="13" ht="15.0" customHeight="1">
      <c r="B13" s="550" t="s">
        <v>2663</v>
      </c>
    </row>
    <row r="14" ht="15.0" customHeight="1">
      <c r="B14" s="550" t="s">
        <v>2664</v>
      </c>
    </row>
    <row r="15" ht="15.0" customHeight="1">
      <c r="B15" s="550" t="s">
        <v>2665</v>
      </c>
    </row>
    <row r="16" ht="15.0" customHeight="1">
      <c r="B16" s="550" t="s">
        <v>2666</v>
      </c>
    </row>
    <row r="17" ht="15.0" customHeight="1">
      <c r="B17" s="94" t="s">
        <v>2667</v>
      </c>
    </row>
    <row r="18" ht="15.0" customHeight="1">
      <c r="B18" s="94" t="s">
        <v>2668</v>
      </c>
    </row>
    <row r="19" ht="15.0" customHeight="1"/>
    <row r="20" ht="15.0" customHeight="1"/>
    <row r="21" ht="15.0" customHeight="1">
      <c r="B21" s="550" t="s">
        <v>2669</v>
      </c>
    </row>
    <row r="22" ht="15.0" customHeight="1">
      <c r="B22" s="550" t="s">
        <v>2670</v>
      </c>
    </row>
    <row r="23" ht="15.0" customHeight="1">
      <c r="B23" s="550" t="s">
        <v>2671</v>
      </c>
    </row>
    <row r="24" ht="15.0" customHeight="1"/>
    <row r="25" ht="15.0" customHeight="1">
      <c r="B25" s="558" t="s">
        <v>2672</v>
      </c>
    </row>
    <row r="26" ht="15.0" customHeight="1"/>
    <row r="27" ht="15.0" customHeight="1">
      <c r="B27" s="550" t="s">
        <v>2673</v>
      </c>
    </row>
    <row r="28" ht="15.0" customHeight="1"/>
    <row r="29" ht="15.0" customHeight="1">
      <c r="B29" s="550" t="s">
        <v>2674</v>
      </c>
    </row>
    <row r="30" ht="15.0" customHeight="1"/>
    <row r="31" ht="15.0" customHeight="1">
      <c r="B31" s="550" t="s">
        <v>2675</v>
      </c>
    </row>
    <row r="32" ht="15.0" customHeight="1"/>
    <row r="33" ht="15.0" customHeight="1">
      <c r="B33" s="550" t="s">
        <v>2676</v>
      </c>
    </row>
    <row r="34" ht="15.0" customHeight="1">
      <c r="B34" s="550" t="s">
        <v>2677</v>
      </c>
    </row>
    <row r="35" ht="15.0" customHeight="1">
      <c r="B35" s="550" t="s">
        <v>2678</v>
      </c>
    </row>
    <row r="36" ht="15.0" customHeight="1">
      <c r="B36" s="550" t="s">
        <v>2679</v>
      </c>
    </row>
    <row r="37" ht="15.0" customHeight="1">
      <c r="B37" s="550" t="s">
        <v>2680</v>
      </c>
    </row>
    <row r="38" ht="15.0" customHeight="1">
      <c r="B38" s="550" t="s">
        <v>2681</v>
      </c>
    </row>
    <row r="39" ht="15.0" customHeight="1">
      <c r="B39" s="550" t="s">
        <v>2682</v>
      </c>
    </row>
    <row r="40" ht="15.0" customHeight="1">
      <c r="B40" s="550" t="s">
        <v>2683</v>
      </c>
    </row>
    <row r="41" ht="15.0" customHeight="1">
      <c r="B41" s="550" t="s">
        <v>2684</v>
      </c>
    </row>
    <row r="42" ht="15.0" customHeight="1">
      <c r="B42" s="550" t="s">
        <v>2685</v>
      </c>
    </row>
    <row r="43" ht="15.0" customHeight="1">
      <c r="B43" s="550" t="s">
        <v>2686</v>
      </c>
    </row>
    <row r="44" ht="15.0" customHeight="1"/>
    <row r="45" ht="15.0" customHeight="1">
      <c r="B45" s="550" t="s">
        <v>2687</v>
      </c>
    </row>
    <row r="46" ht="15.0" customHeight="1"/>
    <row r="47" ht="15.0" customHeight="1">
      <c r="B47" s="550" t="s">
        <v>2688</v>
      </c>
    </row>
    <row r="48" ht="15.0" customHeight="1">
      <c r="B48" s="550" t="s">
        <v>2689</v>
      </c>
    </row>
    <row r="49" ht="15.0" customHeight="1">
      <c r="B49" s="550" t="s">
        <v>2690</v>
      </c>
    </row>
    <row r="50" ht="15.0" customHeight="1">
      <c r="B50" s="550" t="s">
        <v>2691</v>
      </c>
    </row>
    <row r="51" ht="15.0" customHeight="1">
      <c r="B51" s="550" t="s">
        <v>2692</v>
      </c>
    </row>
    <row r="52" ht="15.0" customHeight="1"/>
    <row r="53" ht="15.0" customHeight="1">
      <c r="B53" s="550" t="s">
        <v>2693</v>
      </c>
    </row>
    <row r="54" ht="15.0" customHeight="1"/>
    <row r="55" ht="15.0" customHeight="1">
      <c r="B55" s="550" t="s">
        <v>2694</v>
      </c>
    </row>
    <row r="56" ht="15.0" customHeight="1">
      <c r="B56" s="550" t="s">
        <v>2695</v>
      </c>
    </row>
    <row r="57" ht="15.0" customHeight="1">
      <c r="B57" s="550" t="s">
        <v>2696</v>
      </c>
    </row>
    <row r="58" ht="15.0" customHeight="1">
      <c r="B58" s="550" t="s">
        <v>2697</v>
      </c>
    </row>
    <row r="59" ht="15.0" customHeight="1"/>
    <row r="60" ht="15.0" customHeight="1">
      <c r="B60" s="550" t="s">
        <v>2698</v>
      </c>
    </row>
    <row r="61" ht="15.0" customHeight="1"/>
    <row r="62" ht="15.0" customHeight="1">
      <c r="B62" s="550" t="s">
        <v>2699</v>
      </c>
    </row>
    <row r="63" ht="15.0" customHeight="1">
      <c r="B63" s="550" t="s">
        <v>2700</v>
      </c>
    </row>
    <row r="64" ht="15.0" customHeight="1">
      <c r="B64" s="550" t="s">
        <v>2701</v>
      </c>
    </row>
    <row r="65" ht="15.0" customHeight="1">
      <c r="B65" s="550" t="s">
        <v>2702</v>
      </c>
    </row>
    <row r="66" ht="15.0" customHeight="1"/>
    <row r="67" ht="15.0" customHeight="1">
      <c r="B67" s="550" t="s">
        <v>2703</v>
      </c>
    </row>
    <row r="68" ht="15.0" customHeight="1"/>
    <row r="69" ht="15.0" customHeight="1">
      <c r="B69" s="550" t="s">
        <v>2704</v>
      </c>
    </row>
    <row r="70" ht="15.0" customHeight="1">
      <c r="B70" s="550" t="s">
        <v>2705</v>
      </c>
    </row>
    <row r="71" ht="15.0" customHeight="1">
      <c r="B71" s="550" t="s">
        <v>2706</v>
      </c>
    </row>
    <row r="72" ht="15.0" customHeight="1"/>
    <row r="73" ht="15.0" customHeight="1">
      <c r="B73" s="550" t="s">
        <v>2707</v>
      </c>
    </row>
    <row r="74" ht="15.0" customHeight="1"/>
    <row r="75" ht="15.0" customHeight="1">
      <c r="B75" s="550" t="s">
        <v>2708</v>
      </c>
    </row>
    <row r="76" ht="15.0" customHeight="1">
      <c r="B76" s="550" t="s">
        <v>2709</v>
      </c>
    </row>
    <row r="77" ht="15.0" customHeight="1">
      <c r="B77" s="550" t="s">
        <v>2710</v>
      </c>
    </row>
    <row r="78" ht="15.0" customHeight="1"/>
    <row r="79" ht="15.0" customHeight="1">
      <c r="B79" s="550" t="s">
        <v>2711</v>
      </c>
    </row>
    <row r="80" ht="15.0" customHeight="1"/>
    <row r="81" ht="15.0" customHeight="1">
      <c r="B81" s="550" t="s">
        <v>2712</v>
      </c>
    </row>
    <row r="82" ht="15.0" customHeight="1">
      <c r="B82" s="550" t="s">
        <v>2713</v>
      </c>
    </row>
    <row r="83" ht="15.0" customHeight="1">
      <c r="B83" s="550" t="s">
        <v>2714</v>
      </c>
    </row>
    <row r="84" ht="15.0" customHeight="1"/>
    <row r="85" ht="15.0" customHeight="1">
      <c r="B85" s="550" t="s">
        <v>2715</v>
      </c>
    </row>
    <row r="86" ht="15.0" customHeight="1"/>
    <row r="87" ht="15.0" customHeight="1">
      <c r="B87" s="550" t="s">
        <v>2716</v>
      </c>
    </row>
    <row r="88" ht="15.0" customHeight="1">
      <c r="B88" s="550" t="s">
        <v>2717</v>
      </c>
    </row>
    <row r="89" ht="15.0" customHeight="1">
      <c r="B89" s="550" t="s">
        <v>2718</v>
      </c>
    </row>
    <row r="90" ht="15.0" customHeight="1">
      <c r="B90" s="550" t="s">
        <v>2719</v>
      </c>
    </row>
    <row r="91" ht="15.0" customHeight="1">
      <c r="B91" s="550" t="s">
        <v>2720</v>
      </c>
    </row>
    <row r="92" ht="15.0" customHeight="1">
      <c r="B92" s="550" t="s">
        <v>2721</v>
      </c>
    </row>
    <row r="93" ht="15.0" customHeight="1">
      <c r="B93" s="550" t="s">
        <v>2722</v>
      </c>
    </row>
    <row r="94" ht="15.0" customHeight="1">
      <c r="B94" s="550" t="s">
        <v>2723</v>
      </c>
    </row>
    <row r="95" ht="15.0" customHeight="1">
      <c r="B95" s="550" t="s">
        <v>2724</v>
      </c>
    </row>
    <row r="96" ht="15.0" customHeight="1"/>
    <row r="97" ht="15.0" customHeight="1">
      <c r="B97" s="550" t="s">
        <v>2725</v>
      </c>
    </row>
    <row r="98" ht="15.0" customHeight="1"/>
    <row r="99" ht="15.0" customHeight="1">
      <c r="B99" s="550" t="s">
        <v>2726</v>
      </c>
    </row>
    <row r="100" ht="15.0" customHeight="1">
      <c r="B100" s="550" t="s">
        <v>2727</v>
      </c>
    </row>
    <row r="101" ht="15.0" customHeight="1"/>
    <row r="102" ht="15.0" customHeight="1">
      <c r="B102" s="550" t="s">
        <v>2728</v>
      </c>
    </row>
    <row r="103" ht="15.0" customHeight="1"/>
    <row r="104" ht="15.0" customHeight="1">
      <c r="B104" s="550" t="s">
        <v>2729</v>
      </c>
    </row>
    <row r="105" ht="15.0" customHeight="1">
      <c r="B105" s="550" t="s">
        <v>2730</v>
      </c>
    </row>
    <row r="106" ht="15.0" customHeight="1">
      <c r="B106" s="550" t="s">
        <v>2731</v>
      </c>
    </row>
    <row r="107" ht="15.0" customHeight="1">
      <c r="B107" s="550" t="s">
        <v>2732</v>
      </c>
    </row>
    <row r="108" ht="15.0" customHeight="1">
      <c r="B108" s="550" t="s">
        <v>2733</v>
      </c>
    </row>
    <row r="109" ht="15.0" customHeight="1"/>
    <row r="110" ht="15.0" customHeight="1">
      <c r="B110" s="550" t="s">
        <v>2734</v>
      </c>
    </row>
    <row r="111" ht="15.0" customHeight="1"/>
    <row r="112" ht="15.0" customHeight="1">
      <c r="B112" s="550" t="s">
        <v>2735</v>
      </c>
    </row>
    <row r="113" ht="15.0" customHeight="1"/>
    <row r="114" ht="15.0" customHeight="1">
      <c r="B114" s="550" t="s">
        <v>2736</v>
      </c>
    </row>
    <row r="115" ht="15.0" customHeight="1">
      <c r="B115" s="550" t="s">
        <v>2737</v>
      </c>
    </row>
    <row r="116" ht="15.0" customHeight="1">
      <c r="B116" s="550" t="s">
        <v>2738</v>
      </c>
    </row>
    <row r="117" ht="15.0" customHeight="1">
      <c r="B117" s="550" t="s">
        <v>2739</v>
      </c>
    </row>
    <row r="118" ht="15.0" customHeight="1">
      <c r="B118" s="550" t="s">
        <v>2740</v>
      </c>
    </row>
    <row r="119" ht="15.0" customHeight="1">
      <c r="B119" s="550" t="s">
        <v>2741</v>
      </c>
    </row>
    <row r="120" ht="15.0" customHeight="1"/>
    <row r="121" ht="15.0" customHeight="1">
      <c r="B121" s="550" t="s">
        <v>2742</v>
      </c>
    </row>
    <row r="122" ht="15.0" customHeight="1"/>
    <row r="123" ht="15.0" customHeight="1">
      <c r="B123" s="550" t="s">
        <v>2743</v>
      </c>
    </row>
    <row r="124" ht="15.0" customHeight="1">
      <c r="B124" s="550" t="s">
        <v>2744</v>
      </c>
    </row>
    <row r="125" ht="15.0" customHeight="1">
      <c r="B125" s="550" t="s">
        <v>2745</v>
      </c>
    </row>
    <row r="126" ht="15.0" customHeight="1">
      <c r="B126" s="550" t="s">
        <v>2746</v>
      </c>
    </row>
    <row r="127" ht="15.0" customHeight="1"/>
    <row r="128" ht="15.0" customHeight="1">
      <c r="B128" s="550" t="s">
        <v>2747</v>
      </c>
    </row>
    <row r="129" ht="15.0" customHeight="1"/>
    <row r="130" ht="15.0" customHeight="1">
      <c r="B130" s="550" t="s">
        <v>2748</v>
      </c>
    </row>
    <row r="131" ht="15.0" customHeight="1">
      <c r="B131" s="550" t="s">
        <v>2749</v>
      </c>
    </row>
    <row r="132" ht="15.0" customHeight="1">
      <c r="B132" s="550" t="s">
        <v>2750</v>
      </c>
    </row>
    <row r="133" ht="15.0" customHeight="1">
      <c r="B133" s="550" t="s">
        <v>2751</v>
      </c>
    </row>
    <row r="134" ht="15.0" customHeight="1"/>
    <row r="135" ht="15.0" customHeight="1">
      <c r="B135" s="550" t="s">
        <v>2752</v>
      </c>
    </row>
    <row r="136" ht="15.0" customHeight="1"/>
    <row r="137" ht="15.0" customHeight="1">
      <c r="B137" s="550" t="s">
        <v>2753</v>
      </c>
    </row>
    <row r="138" ht="15.0" customHeight="1">
      <c r="B138" s="550" t="s">
        <v>2754</v>
      </c>
    </row>
    <row r="139" ht="15.0" customHeight="1">
      <c r="B139" s="550" t="s">
        <v>2755</v>
      </c>
    </row>
    <row r="140" ht="15.0" customHeight="1">
      <c r="B140" s="550" t="s">
        <v>2756</v>
      </c>
    </row>
    <row r="141" ht="15.0" customHeight="1">
      <c r="B141" s="550" t="s">
        <v>2757</v>
      </c>
    </row>
    <row r="142" ht="15.0" customHeight="1">
      <c r="B142" s="550" t="s">
        <v>2758</v>
      </c>
    </row>
    <row r="143" ht="15.0" customHeight="1">
      <c r="B143" s="550" t="s">
        <v>2759</v>
      </c>
    </row>
    <row r="144" ht="15.0" customHeight="1"/>
    <row r="145" ht="15.0" customHeight="1">
      <c r="B145" s="550" t="s">
        <v>2760</v>
      </c>
    </row>
    <row r="146" ht="15.0" customHeight="1"/>
    <row r="147" ht="15.0" customHeight="1">
      <c r="B147" s="550" t="s">
        <v>2761</v>
      </c>
    </row>
    <row r="148" ht="15.0" customHeight="1">
      <c r="B148" s="550" t="s">
        <v>2762</v>
      </c>
    </row>
    <row r="149" ht="15.0" customHeight="1"/>
    <row r="150" ht="15.0" customHeight="1">
      <c r="B150" s="550" t="s">
        <v>2763</v>
      </c>
    </row>
    <row r="151" ht="15.0" customHeight="1"/>
    <row r="152" ht="15.0" customHeight="1">
      <c r="B152" s="550" t="s">
        <v>2764</v>
      </c>
    </row>
    <row r="153" ht="15.0" customHeight="1">
      <c r="B153" s="550" t="s">
        <v>2765</v>
      </c>
    </row>
    <row r="154" ht="15.0" customHeight="1">
      <c r="B154" s="550" t="s">
        <v>2766</v>
      </c>
    </row>
    <row r="155" ht="15.0" customHeight="1">
      <c r="B155" s="550" t="s">
        <v>2767</v>
      </c>
    </row>
    <row r="156" ht="15.0" customHeight="1">
      <c r="B156" s="550" t="s">
        <v>2768</v>
      </c>
    </row>
    <row r="157" ht="15.0" customHeight="1"/>
    <row r="158" ht="15.0" customHeight="1">
      <c r="B158" s="550" t="s">
        <v>2769</v>
      </c>
    </row>
    <row r="159" ht="15.0" customHeight="1"/>
    <row r="160" ht="15.0" customHeight="1">
      <c r="B160" s="550" t="s">
        <v>2770</v>
      </c>
    </row>
    <row r="161" ht="15.0" customHeight="1">
      <c r="B161" s="550" t="s">
        <v>2771</v>
      </c>
    </row>
    <row r="162" ht="15.0" customHeight="1">
      <c r="B162" s="550" t="s">
        <v>2772</v>
      </c>
    </row>
    <row r="163" ht="15.0" customHeight="1">
      <c r="B163" s="550" t="s">
        <v>2773</v>
      </c>
    </row>
    <row r="164" ht="15.0" customHeight="1">
      <c r="B164" s="550" t="s">
        <v>2774</v>
      </c>
    </row>
  </sheetData>
  <drawing r:id="rId1"/>
</worksheet>
</file>